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ТР нефть" sheetId="4" r:id="rId1"/>
    <sheet name="Протокол" sheetId="5" r:id="rId2"/>
    <sheet name="Лист1" sheetId="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__123Graph_A" localSheetId="1" hidden="1">[1]REN1011!#REF!</definedName>
    <definedName name="__123Graph_A" hidden="1">[2]REN1011!#REF!</definedName>
    <definedName name="__123Graph_AGraph1" localSheetId="1" hidden="1">[1]REN1011!#REF!</definedName>
    <definedName name="__123Graph_AGraph1" hidden="1">[2]REN1011!#REF!</definedName>
    <definedName name="_ajy21" localSheetId="1">'[3]ит.эцн,шгн'!#REF!</definedName>
    <definedName name="_ajy21">'[3]ит.эцн,шгн'!#REF!</definedName>
    <definedName name="_ajy29" localSheetId="1">#REF!</definedName>
    <definedName name="_ajy29">#REF!</definedName>
    <definedName name="_crd1" localSheetId="1">#REF!</definedName>
    <definedName name="_crd1">#REF!</definedName>
    <definedName name="_crd125" localSheetId="1">#REF!</definedName>
    <definedName name="_crd125">#REF!</definedName>
    <definedName name="_crd126" localSheetId="1">#REF!</definedName>
    <definedName name="_crd126">#REF!</definedName>
    <definedName name="_crd2" localSheetId="1">#REF!</definedName>
    <definedName name="_crd2">#REF!</definedName>
    <definedName name="_crd4" localSheetId="1">'[4]ит.эцн,шгн'!#REF!</definedName>
    <definedName name="_crd4">'[3]ит.эцн,шгн'!#REF!</definedName>
    <definedName name="_jcd4" localSheetId="1">'[4]ит.эцн,шгн'!#REF!</definedName>
    <definedName name="_jcd4">'[3]ит.эцн,шгн'!#REF!</definedName>
    <definedName name="_Jid1" localSheetId="1">'[4]ит.эцн,шгн'!#REF!</definedName>
    <definedName name="_Jid1">'[3]ит.эцн,шгн'!#REF!</definedName>
    <definedName name="_njy125" localSheetId="1">#REF!</definedName>
    <definedName name="_njy125">#REF!</definedName>
    <definedName name="_njy126" localSheetId="1">#REF!</definedName>
    <definedName name="_njy126">#REF!</definedName>
    <definedName name="_njy2" localSheetId="1">#REF!</definedName>
    <definedName name="_njy2">#REF!</definedName>
    <definedName name="_njy4" localSheetId="1">'[4]ит.эцн,шгн'!#REF!</definedName>
    <definedName name="_njy4">'[3]ит.эцн,шгн'!#REF!</definedName>
    <definedName name="_noy1" localSheetId="1">#REF!</definedName>
    <definedName name="_noy1">#REF!</definedName>
    <definedName name="_reb125" localSheetId="1">#REF!</definedName>
    <definedName name="_reb125">#REF!</definedName>
    <definedName name="_reb126" localSheetId="1">#REF!</definedName>
    <definedName name="_reb126">#REF!</definedName>
    <definedName name="_red1" localSheetId="1">#REF!</definedName>
    <definedName name="_red1">#REF!</definedName>
    <definedName name="_red2" localSheetId="1">#REF!</definedName>
    <definedName name="_red2">#REF!</definedName>
    <definedName name="_tn1" localSheetId="1">'[4]ит.эцн,шгн'!#REF!</definedName>
    <definedName name="_tn1">'[3]ит.эцн,шгн'!#REF!</definedName>
    <definedName name="_xlnm._FilterDatabase" localSheetId="1" hidden="1">Протокол!$A$182:$BG$311</definedName>
    <definedName name="_xlnm._FilterDatabase" localSheetId="0" hidden="1">'ТР нефть'!$A$28:$ASU$641</definedName>
    <definedName name="cccc" localSheetId="1">#REF!</definedName>
    <definedName name="cccc">#REF!</definedName>
    <definedName name="crd1a" localSheetId="1">#REF!</definedName>
    <definedName name="crd1a">#REF!</definedName>
    <definedName name="crd1d" localSheetId="1">#REF!</definedName>
    <definedName name="crd1d">#REF!</definedName>
    <definedName name="crd2b" localSheetId="1">#REF!</definedName>
    <definedName name="crd2b">#REF!</definedName>
    <definedName name="crd3a" localSheetId="1">#REF!</definedName>
    <definedName name="crd3a">#REF!</definedName>
    <definedName name="crd3b" localSheetId="1">#REF!</definedName>
    <definedName name="crd3b">#REF!</definedName>
    <definedName name="crdf3" localSheetId="1">#REF!</definedName>
    <definedName name="crdf3">#REF!</definedName>
    <definedName name="frffff" localSheetId="1">#REF!</definedName>
    <definedName name="frffff">#REF!</definedName>
    <definedName name="ItSkv1" localSheetId="1">'[4]ит.эцн,шгн'!#REF!</definedName>
    <definedName name="ItSkv1">'[3]ит.эцн,шгн'!#REF!</definedName>
    <definedName name="j" localSheetId="1">[5]база!$B$1:$W$65536</definedName>
    <definedName name="j">[6]база!$B$1:$W$65536</definedName>
    <definedName name="month" localSheetId="1">#REF!,#REF!,#REF!,#REF!,#REF!,#REF!,#REF!,#REF!,#REF!,#REF!,#REF!,#REF!,#REF!,#REF!,#REF!</definedName>
    <definedName name="month">#REF!,#REF!,#REF!,#REF!,#REF!,#REF!,#REF!,#REF!,#REF!,#REF!,#REF!,#REF!,#REF!,#REF!,#REF!</definedName>
    <definedName name="njy1a" localSheetId="1">#REF!</definedName>
    <definedName name="njy1a">#REF!</definedName>
    <definedName name="njy1b" localSheetId="1">#REF!</definedName>
    <definedName name="njy1b">#REF!</definedName>
    <definedName name="njy2b" localSheetId="1">#REF!</definedName>
    <definedName name="njy2b">#REF!</definedName>
    <definedName name="njy3a" localSheetId="1">#REF!</definedName>
    <definedName name="njy3a">#REF!</definedName>
    <definedName name="njy3b" localSheetId="1">#REF!</definedName>
    <definedName name="njy3b">#REF!</definedName>
    <definedName name="njyy3" localSheetId="1">#REF!</definedName>
    <definedName name="njyy3">#REF!</definedName>
    <definedName name="Plot" localSheetId="1">[7]ЭЦН!$BH$30</definedName>
    <definedName name="Plot">[8]ЭЦН!$BH$30</definedName>
    <definedName name="Plot1" localSheetId="1">[7]ШГН!$BH$30</definedName>
    <definedName name="Plot1">[8]ШГН!$BH$30</definedName>
    <definedName name="rebb3" localSheetId="1">#REF!</definedName>
    <definedName name="rebb3">#REF!</definedName>
    <definedName name="red1a" localSheetId="1">#REF!</definedName>
    <definedName name="red1a">#REF!</definedName>
    <definedName name="red1b" localSheetId="1">#REF!</definedName>
    <definedName name="red1b">#REF!</definedName>
    <definedName name="red2b" localSheetId="1">#REF!</definedName>
    <definedName name="red2b">#REF!</definedName>
    <definedName name="red3a" localSheetId="1">#REF!</definedName>
    <definedName name="red3a">#REF!</definedName>
    <definedName name="red3b" localSheetId="1">#REF!</definedName>
    <definedName name="red3b">#REF!</definedName>
    <definedName name="skv" localSheetId="1">[9]режим!#REF!</definedName>
    <definedName name="skv">[9]режим!#REF!</definedName>
    <definedName name="W" localSheetId="1">'[10]Расчет глушения'!$R$49</definedName>
    <definedName name="W">'[11]Расчет глушения'!$R$49</definedName>
    <definedName name="year" localSheetId="1">#REF!,#REF!,#REF!,#REF!,#REF!,#REF!,#REF!,#REF!,#REF!,#REF!,#REF!,#REF!,#REF!,#REF!,#REF!</definedName>
    <definedName name="year">#REF!,#REF!,#REF!,#REF!,#REF!,#REF!,#REF!,#REF!,#REF!,#REF!,#REF!,#REF!,#REF!,#REF!,#REF!</definedName>
    <definedName name="yfn" localSheetId="1">'[12]таблица руководству'!$P$1</definedName>
    <definedName name="yfn">'[13]таблица руководству'!$P$1</definedName>
    <definedName name="Z_000D0162_7963_43A4_A80A_81C6AAB7CCBF_.wvu.FilterData" localSheetId="0" hidden="1">'ТР нефть'!$A$29:$MM$641</definedName>
    <definedName name="Z_0083DA14_08CD_4248_B5F5_897B319DDA6C_.wvu.FilterData" localSheetId="0" hidden="1">'ТР нефть'!$A$26:$ASU$641</definedName>
    <definedName name="Z_00863298_A335_4AAF_AD4F_EAE12948AC46_.wvu.FilterData" localSheetId="0" hidden="1">'ТР нефть'!$A$29:$ASS$641</definedName>
    <definedName name="Z_00B9B0FA_1112_4877_BC66_BF039697993A_.wvu.FilterData" localSheetId="0" hidden="1">'ТР нефть'!$A$29:$ASR$641</definedName>
    <definedName name="Z_00CD0425_6F8D_4B7B_AE6A_1D6D4BB24B51_.wvu.FilterData" localSheetId="0" hidden="1">'ТР нефть'!$A$29:$ASU$641</definedName>
    <definedName name="Z_00EF9D6D_DF3B_4B2E_A537_3A4E27072CA2_.wvu.FilterData" localSheetId="0" hidden="1">'ТР нефть'!$A$29:$ASS$641</definedName>
    <definedName name="Z_00EFC300_E920_4791_A4CF_D9495D1DB8AD_.wvu.FilterData" localSheetId="0" hidden="1">'ТР нефть'!$A$29:$ASR$641</definedName>
    <definedName name="Z_012DE4A4_00F1_4148_8B3B_9760ECAC6E8C_.wvu.FilterData" localSheetId="0" hidden="1">'ТР нефть'!$A$29:$ASS$641</definedName>
    <definedName name="Z_01327368_AEAF_411D_89E7_C72AC5550656_.wvu.FilterData" localSheetId="0" hidden="1">'ТР нефть'!$A$28:$ASU$641</definedName>
    <definedName name="Z_0171F24F_27EC_46E6_822A_49475D02E1A9_.wvu.FilterData" localSheetId="0" hidden="1">'ТР нефть'!$A$26:$ASU$641</definedName>
    <definedName name="Z_01B3FC3E_665C_4CEA_A81D_856A407BBD22_.wvu.FilterData" localSheetId="0" hidden="1">'ТР нефть'!$A$28:$ASU$641</definedName>
    <definedName name="Z_01CF6E03_583D_4EDE_ACC8_00DA81CC5082_.wvu.PrintArea" localSheetId="1" hidden="1">Протокол!$A$16:$BD$399</definedName>
    <definedName name="Z_01CF6E03_583D_4EDE_ACC8_00DA81CC5082_.wvu.Rows" localSheetId="1" hidden="1">Протокол!#REF!</definedName>
    <definedName name="Z_01E4E84E_7D50_4394_8188_D370EE3DC4BE_.wvu.FilterData" localSheetId="0" hidden="1">'ТР нефть'!$A$28:$ASU$641</definedName>
    <definedName name="Z_01FA0445_1F30_4B23_BF14_03BA91966D1F_.wvu.FilterData" localSheetId="0" hidden="1">'ТР нефть'!$A$26:$ASU$641</definedName>
    <definedName name="Z_020C35F9_024A_4497_8F06_B249A9894BDA_.wvu.FilterData" localSheetId="0" hidden="1">'ТР нефть'!$A$29:$ASS$641</definedName>
    <definedName name="Z_0233454A_1F2D_4DD6_9FCA_621D6949726C_.wvu.FilterData" localSheetId="0" hidden="1">'ТР нефть'!$A$29:$ASS$641</definedName>
    <definedName name="Z_02364ED7_3B1B_4341_B07C_829AAB58A3E8_.wvu.FilterData" localSheetId="0" hidden="1">'ТР нефть'!$A$26:$ASU$641</definedName>
    <definedName name="Z_02436D3D_966B_45D0_9171_C2F392A73305_.wvu.FilterData" localSheetId="0" hidden="1">'ТР нефть'!$A$29:$MM$641</definedName>
    <definedName name="Z_0251C580_C704_42AB_A697_0263800ECEBD_.wvu.FilterData" localSheetId="0" hidden="1">'ТР нефть'!$A$29:$ASS$641</definedName>
    <definedName name="Z_02540494_08A0_452B_9733_E50C2FD4109C_.wvu.FilterData" localSheetId="0" hidden="1">'ТР нефть'!$A$26:$ASU$641</definedName>
    <definedName name="Z_028EF93B_ACB4_45BF_856E_1C6886CABAF9_.wvu.FilterData" localSheetId="0" hidden="1">'ТР нефть'!$A$28:$ASU$641</definedName>
    <definedName name="Z_02B6DF72_6485_4D97_A2E6_9C7457EDE8E5_.wvu.FilterData" localSheetId="0" hidden="1">'ТР нефть'!$A$28:$ASU$641</definedName>
    <definedName name="Z_0320F3E4_F281_47E5_8BC7_B7147C3870CA_.wvu.FilterData" localSheetId="0" hidden="1">'ТР нефть'!$A$29:$ASS$641</definedName>
    <definedName name="Z_034447B7_4CD0_4936_8488_778B5A408484_.wvu.FilterData" localSheetId="0" hidden="1">'ТР нефть'!$A$29:$ASR$641</definedName>
    <definedName name="Z_0366D041_C06F_4277_83FD_88F9ECFB66A8_.wvu.FilterData" localSheetId="0" hidden="1">'ТР нефть'!$A$29:$MM$641</definedName>
    <definedName name="Z_038CF20F_9DA9_4918_96DE_56CB92E8F358_.wvu.FilterData" localSheetId="0" hidden="1">'ТР нефть'!$A$29:$ASR$641</definedName>
    <definedName name="Z_039AF910_027A_41F3_AB3B_171427E8FB67_.wvu.FilterData" localSheetId="0" hidden="1">'ТР нефть'!$A$28:$ASU$639</definedName>
    <definedName name="Z_03ECAD38_04EA_4213_A436_733B78B6F1FC_.wvu.FilterData" localSheetId="0" hidden="1">'ТР нефть'!$A$26:$ASU$641</definedName>
    <definedName name="Z_03F2DA97_4610_4D8E_B504_A4723E128466_.wvu.FilterData" localSheetId="0" hidden="1">'ТР нефть'!$A$29:$ASR$641</definedName>
    <definedName name="Z_0435F7FE_2CAA_4025_ACC4_5197D258FFDB_.wvu.FilterData" localSheetId="0" hidden="1">'ТР нефть'!$A$29:$ASS$641</definedName>
    <definedName name="Z_044F004A_E194_4476_A9C6_99E2BEB47173_.wvu.FilterData" localSheetId="0" hidden="1">'ТР нефть'!$A$29:$ASR$641</definedName>
    <definedName name="Z_047E5552_E7C9_4C76_BEC3_44D633DECA5D_.wvu.FilterData" localSheetId="0" hidden="1">'ТР нефть'!$A$29:$ARU$641</definedName>
    <definedName name="Z_048EA00D_B3D2_41FF_ABC8_A5024B32614B_.wvu.FilterData" localSheetId="0" hidden="1">'ТР нефть'!#REF!</definedName>
    <definedName name="Z_04F3040C_1B98_4494_B1AC_9D6B7C2898BC_.wvu.FilterData" localSheetId="0" hidden="1">'ТР нефть'!#REF!</definedName>
    <definedName name="Z_04F332DF_40B2_4E67_9A99_5F1514D5E96D_.wvu.FilterData" localSheetId="0" hidden="1">'ТР нефть'!$A$29:$ARU$641</definedName>
    <definedName name="Z_05047C3E_22AC_4E26_8EBD_AECE462937A1_.wvu.FilterData" localSheetId="0" hidden="1">'ТР нефть'!$A$26:$ASU$639</definedName>
    <definedName name="Z_05095447_FD99_41AF_8AA2_DDC2204FE441_.wvu.FilterData" localSheetId="0" hidden="1">'ТР нефть'!$A$26:$ASU$641</definedName>
    <definedName name="Z_051EC6A6_E0C9_48CB_85CE_498EFBFDCD20_.wvu.FilterData" localSheetId="0" hidden="1">'ТР нефть'!$A$29:$ASR$641</definedName>
    <definedName name="Z_05227028_FCDB_4040_A790_54BAF0E5CB98_.wvu.FilterData" localSheetId="0" hidden="1">'ТР нефть'!$A$29:$ASU$641</definedName>
    <definedName name="Z_053C00CB_76CF_4149_83CE_530A4A5B0C20_.wvu.FilterData" localSheetId="0" hidden="1">'ТР нефть'!$A$29:$MM$641</definedName>
    <definedName name="Z_05465528_1182_42C3_B0B8_6C48209BDFAB_.wvu.FilterData" localSheetId="1" hidden="1">Протокол!$A$16:$BD$499</definedName>
    <definedName name="Z_05465528_1182_42C3_B0B8_6C48209BDFAB_.wvu.FilterData" localSheetId="0" hidden="1">'ТР нефть'!$A$28:$ASU$641</definedName>
    <definedName name="Z_0549EFCE_1293_4747_8C99_885B8A4E694D_.wvu.FilterData" localSheetId="0" hidden="1">'ТР нефть'!$A$26:$ASU$641</definedName>
    <definedName name="Z_055D0393_9FEB_4BD5_9340_FA288EF15A0E_.wvu.FilterData" localSheetId="0" hidden="1">'ТР нефть'!$A$29:$ASS$641</definedName>
    <definedName name="Z_0578DDF1_A1A0_485E_A53E_9B1DF951C6F8_.wvu.FilterData" localSheetId="0" hidden="1">'ТР нефть'!$A$29:$ASS$641</definedName>
    <definedName name="Z_05A0E8C5_2B49_4159_B7BA_68E67236AC9A_.wvu.FilterData" localSheetId="0" hidden="1">'ТР нефть'!$A$28:$ASU$641</definedName>
    <definedName name="Z_05CAD280_C15E_4B80_B43B_CD5961814BD4_.wvu.FilterData" localSheetId="0" hidden="1">'ТР нефть'!$A$29:$MM$641</definedName>
    <definedName name="Z_0611C66A_A1B1_43B0_A8E0_D2B00B135D62_.wvu.FilterData" localSheetId="0" hidden="1">'ТР нефть'!$A$28:$ASU$639</definedName>
    <definedName name="Z_061BB690_676C_40CE_9344_97B03D36945B_.wvu.FilterData" localSheetId="0" hidden="1">'ТР нефть'!$A$29:$MM$641</definedName>
    <definedName name="Z_06269C30_7E1D_45F2_8F8F_068E4270A466_.wvu.FilterData" localSheetId="0" hidden="1">'ТР нефть'!$A$29:$ASR$641</definedName>
    <definedName name="Z_0694138E_9B90_428C_B837_F1F0372A8783_.wvu.FilterData" localSheetId="0" hidden="1">'ТР нефть'!$A$29:$ASS$641</definedName>
    <definedName name="Z_0698B950_608F_42AF_9092_D68C0C7EBBBF_.wvu.FilterData" localSheetId="0" hidden="1">'ТР нефть'!$A$29:$ARU$641</definedName>
    <definedName name="Z_06AB286A_E72E_459D_9F52_7C38D06D82D7_.wvu.FilterData" localSheetId="0" hidden="1">'ТР нефть'!$A$28:$ASU$642</definedName>
    <definedName name="Z_06D61178_C0AA_48E5_9607_4C03992F4CC1_.wvu.FilterData" localSheetId="0" hidden="1">'ТР нефть'!$A$26:$ASU$639</definedName>
    <definedName name="Z_06F08525_9BF8_4896_8E4C_AAA0773E9BFA_.wvu.FilterData" localSheetId="0" hidden="1">'ТР нефть'!$A$29:$ASR$641</definedName>
    <definedName name="Z_0722F840_5650_4ADA_89D6_72D0C6B771A1_.wvu.FilterData" localSheetId="0" hidden="1">'ТР нефть'!$A$29:$MM$641</definedName>
    <definedName name="Z_0766067D_4D40_4A8B_AC5D_1E8902FF9861_.wvu.FilterData" localSheetId="0" hidden="1">'ТР нефть'!$A$29:$ASS$641</definedName>
    <definedName name="Z_07757D9C_8048_4C9B_86E9_9C836B30CF6F_.wvu.FilterData" localSheetId="0" hidden="1">'ТР нефть'!$A$29:$MM$641</definedName>
    <definedName name="Z_077A3BA4_F1C2_4774_B3D4_9301CF5AA96B_.wvu.FilterData" localSheetId="0" hidden="1">'ТР нефть'!$A$29:$MM$604</definedName>
    <definedName name="Z_07B3DE1A_6CE6_4783_8A61_96BC092BED39_.wvu.FilterData" localSheetId="0" hidden="1">'ТР нефть'!$A$29:$ASS$641</definedName>
    <definedName name="Z_087E62FB_6E01_4F3C_A173_AEC735EEDC88_.wvu.FilterData" localSheetId="0" hidden="1">'ТР нефть'!$A$29:$ASS$641</definedName>
    <definedName name="Z_08AA3209_9F37_4393_BA58_C7BB0519C77B_.wvu.FilterData" localSheetId="0" hidden="1">'ТР нефть'!$A$26:$ASU$641</definedName>
    <definedName name="Z_08B59046_256A_4D68_8764_0F94365F79C9_.wvu.FilterData" localSheetId="0" hidden="1">'ТР нефть'!$A$29:$ASR$641</definedName>
    <definedName name="Z_08C328AD_B2D7_444A_9F50_0C006C84E23F_.wvu.FilterData" localSheetId="0" hidden="1">'ТР нефть'!$A$29:$MM$604</definedName>
    <definedName name="Z_0909617C_1F0F_48B5_BA68_76B9B9556323_.wvu.FilterData" localSheetId="0" hidden="1">'ТР нефть'!$A$29:$ASR$641</definedName>
    <definedName name="Z_09235186_A903_4EEB_B812_E082AC17FBDE_.wvu.FilterData" localSheetId="0" hidden="1">'ТР нефть'!$A$29:$ASR$641</definedName>
    <definedName name="Z_0938D7F7_4F28_4AD2_B8D8_E62E4B453BE5_.wvu.FilterData" localSheetId="0" hidden="1">'ТР нефть'!$A$29:$ASS$641</definedName>
    <definedName name="Z_096EAFB3_97A0_477F_B2D4_62D48D7FEAD9_.wvu.FilterData" localSheetId="0" hidden="1">'ТР нефть'!$A$29:$ARU$641</definedName>
    <definedName name="Z_096F00BE_097B_4EAD_AC4D_BEA860D1BA49_.wvu.FilterData" localSheetId="0" hidden="1">'ТР нефть'!$A$26:$ASU$641</definedName>
    <definedName name="Z_097FC99A_7E52_4130_BFA2_357E231211AE_.wvu.FilterData" localSheetId="0" hidden="1">'ТР нефть'!$A$29:$MM$641</definedName>
    <definedName name="Z_09ABB3A6_D38A_4894_9E05_A24F35296B17_.wvu.Cols" localSheetId="1" hidden="1">Протокол!#REF!,Протокол!#REF!</definedName>
    <definedName name="Z_09ABB3A6_D38A_4894_9E05_A24F35296B17_.wvu.Cols" localSheetId="0" hidden="1">'ТР нефть'!$A:$A,'ТР нефть'!$M:$O,'ТР нефть'!$CD:$CD,'ТР нефть'!$DA:$ED</definedName>
    <definedName name="Z_09ABB3A6_D38A_4894_9E05_A24F35296B17_.wvu.FilterData" localSheetId="1" hidden="1">Протокол!#REF!</definedName>
    <definedName name="Z_09ABB3A6_D38A_4894_9E05_A24F35296B17_.wvu.FilterData" localSheetId="0" hidden="1">'ТР нефть'!$A$29:$ASR$641</definedName>
    <definedName name="Z_09ABB3A6_D38A_4894_9E05_A24F35296B17_.wvu.PrintArea" localSheetId="1" hidden="1">Протокол!$A$16:$BD$496</definedName>
    <definedName name="Z_09ABB3A6_D38A_4894_9E05_A24F35296B17_.wvu.PrintArea" localSheetId="0" hidden="1">'ТР нефть'!$A$20:$NQ$669</definedName>
    <definedName name="Z_09ABB3A6_D38A_4894_9E05_A24F35296B17_.wvu.PrintTitles" localSheetId="0" hidden="1">'ТР нефть'!$25:$25</definedName>
    <definedName name="Z_09ABB3A6_D38A_4894_9E05_A24F35296B17_.wvu.Rows" localSheetId="1" hidden="1">Протокол!#REF!,Протокол!$29:$29,Протокол!$33:$33,Протокол!#REF!,Протокол!#REF!,Протокол!$124:$133,Протокол!#REF!,Протокол!#REF!,Протокол!#REF!,Протокол!$254:$311,Протокол!$370:$397,Протокол!#REF!,Протокол!#REF!</definedName>
    <definedName name="Z_09ABB3A6_D38A_4894_9E05_A24F35296B17_.wvu.Rows" localSheetId="0" hidden="1">'ТР нефть'!$20:$24</definedName>
    <definedName name="Z_09BB7BB9_9756_4A9D_A899_06CEA3AE864F_.wvu.FilterData" localSheetId="0" hidden="1">'ТР нефть'!$A$29:$MM$641</definedName>
    <definedName name="Z_0A0F7894_7811_46B0_8089_9567D696E526_.wvu.FilterData" localSheetId="0" hidden="1">'ТР нефть'!$A$29:$ASR$641</definedName>
    <definedName name="Z_0A120F02_79DA_4CD3_B6CE_378D529CE2B3_.wvu.FilterData" localSheetId="0" hidden="1">'ТР нефть'!$A$29:$ASR$641</definedName>
    <definedName name="Z_0A193953_2FBD_4905_9F9E_7A4E9320A220_.wvu.FilterData" localSheetId="0" hidden="1">'ТР нефть'!$A$28:$ASU$641</definedName>
    <definedName name="Z_0A4BA2FC_DBBC_4DE4_A358_1AD1C13E698C_.wvu.FilterData" localSheetId="0" hidden="1">'ТР нефть'!$A$29:$ASR$641</definedName>
    <definedName name="Z_0A603BB3_33C2_47E7_884D_188B0619D75F_.wvu.FilterData" localSheetId="0" hidden="1">'ТР нефть'!$A$29:$MM$641</definedName>
    <definedName name="Z_0AA3EE79_27A2_4837_9538_5529774F72C0_.wvu.FilterData" localSheetId="0" hidden="1">'ТР нефть'!$A$29:$MM$641</definedName>
    <definedName name="Z_0AB87E4F_060D_4A2D_9282_67E71229A09B_.wvu.FilterData" localSheetId="0" hidden="1">'ТР нефть'!$A$29:$ASS$641</definedName>
    <definedName name="Z_0AB9BF50_90AB_4F9D_BF69_5424F26B8149_.wvu.FilterData" localSheetId="0" hidden="1">'ТР нефть'!$A$29:$ASR$641</definedName>
    <definedName name="Z_0AC401D7_FE75_4E11_A3C9_CD223E0DE347_.wvu.FilterData" localSheetId="0" hidden="1">'ТР нефть'!$A$29:$ASU$641</definedName>
    <definedName name="Z_0AD4DE70_6C83_465B_B60E_7BA5C051E40B_.wvu.FilterData" localSheetId="0" hidden="1">'ТР нефть'!$A$29:$ASS$641</definedName>
    <definedName name="Z_0B1EA50C_6C2D_4EE6_B69A_706ECDDC8392_.wvu.FilterData" localSheetId="0" hidden="1">'ТР нефть'!$A$29:$MM$641</definedName>
    <definedName name="Z_0B3AC450_EC72_474B_A6BA_64BF1F98487D_.wvu.FilterData" localSheetId="0" hidden="1">'ТР нефть'!#REF!</definedName>
    <definedName name="Z_0B8239AC_3E8F_42A0_AF80_7986AAA04BD0_.wvu.FilterData" localSheetId="0" hidden="1">'ТР нефть'!$A$29:$ARU$641</definedName>
    <definedName name="Z_0C1041CB_55EC_45D8_A8D3_A7BF7388712E_.wvu.FilterData" localSheetId="0" hidden="1">'ТР нефть'!$A$29:$MM$641</definedName>
    <definedName name="Z_0C3A864A_7AD9_4FA2_BB8B_A1D0CC5A89C7_.wvu.FilterData" localSheetId="0" hidden="1">'ТР нефть'!$A$29:$ASR$641</definedName>
    <definedName name="Z_0C41BE5F_02EA_482D_8656_A7F6F701FE26_.wvu.FilterData" localSheetId="0" hidden="1">'ТР нефть'!$A$28:$ASU$642</definedName>
    <definedName name="Z_0C4BBFB5_523E_47ED_85A1_035FF43B22AC_.wvu.FilterData" localSheetId="0" hidden="1">'ТР нефть'!$A$29:$ASS$641</definedName>
    <definedName name="Z_0C5AEAB1_E851_4321_B9A9_E8E5B380FFB5_.wvu.FilterData" localSheetId="0" hidden="1">'ТР нефть'!$A$29:$MM$641</definedName>
    <definedName name="Z_0C6C709C_5B93_4803_BA39_4847A155B44E_.wvu.FilterData" localSheetId="0" hidden="1">'ТР нефть'!$A$29:$ASR$641</definedName>
    <definedName name="Z_0C7CDED0_4401_459A_B8B0_C6647A77C73D_.wvu.FilterData" localSheetId="0" hidden="1">'ТР нефть'!$A$29:$ARU$641</definedName>
    <definedName name="Z_0C8DBAD4_DF9F_4AA1_950A_5443B0BA044D_.wvu.FilterData" localSheetId="0" hidden="1">'ТР нефть'!$A$29:$ASS$641</definedName>
    <definedName name="Z_0CA543D8_DBD2_463F_8D49_3076AD8C52FB_.wvu.FilterData" localSheetId="0" hidden="1">'ТР нефть'!$A$29:$MM$641</definedName>
    <definedName name="Z_0CCD6044_1120_4DF7_94DF_26DFD94E2119_.wvu.FilterData" localSheetId="0" hidden="1">'ТР нефть'!$A$29:$ASU$641</definedName>
    <definedName name="Z_0D0AB9AB_2AD8_40F6_BB7A_93223A8DEC9A_.wvu.FilterData" localSheetId="0" hidden="1">'ТР нефть'!$A$29:$ASR$641</definedName>
    <definedName name="Z_0D2048CB_FB0B_4308_A97F_A312EB107D14_.wvu.FilterData" localSheetId="0" hidden="1">'ТР нефть'!$A$29:$ASU$641</definedName>
    <definedName name="Z_0D2E7346_F955_4575_9FE7_BF2D95FB99A8_.wvu.FilterData" localSheetId="0" hidden="1">'ТР нефть'!$A$26:$ASU$641</definedName>
    <definedName name="Z_0D3B0D91_514A_4419_9433_A82C34BDB01A_.wvu.FilterData" localSheetId="0" hidden="1">'ТР нефть'!$A$26:$ASU$641</definedName>
    <definedName name="Z_0DC540CC_64A8_443A_A89A_601F850F354B_.wvu.FilterData" localSheetId="0" hidden="1">'ТР нефть'!$A$29:$ASR$641</definedName>
    <definedName name="Z_0DDAA57A_CD03_46C6_BD73_D4BC986F221B_.wvu.FilterData" localSheetId="0" hidden="1">'ТР нефть'!$A$29:$MM$604</definedName>
    <definedName name="Z_0DE70F73_CA47_467D_ADC2_3FE7F40B5EA3_.wvu.FilterData" localSheetId="0" hidden="1">'ТР нефть'!$A$29:$ASR$641</definedName>
    <definedName name="Z_0DFAA091_3594_4838_A339_6E99E68F03F3_.wvu.FilterData" localSheetId="0" hidden="1">'ТР нефть'!$A$29:$ASR$641</definedName>
    <definedName name="Z_0E11523F_BAFE_43A4_B42B_718208777EC8_.wvu.PrintArea" localSheetId="1" hidden="1">Протокол!$B$16:$BD$471</definedName>
    <definedName name="Z_0E11523F_BAFE_43A4_B42B_718208777EC8_.wvu.PrintTitles" localSheetId="1" hidden="1">Протокол!$37:$38</definedName>
    <definedName name="Z_0E11523F_BAFE_43A4_B42B_718208777EC8_.wvu.Rows" localSheetId="1" hidden="1">Протокол!$40:$56,Протокол!#REF!,Протокол!$113:$133,Протокол!#REF!,Протокол!#REF!,Протокол!#REF!,Протокол!$318:$326,Протокол!#REF!</definedName>
    <definedName name="Z_0E539E5E_BBBB_4F6C_B6B5_BABB81E21B53_.wvu.FilterData" localSheetId="1" hidden="1">Протокол!$B$39:$BD$317</definedName>
    <definedName name="Z_0E99BA01_18CD_43B5_910E_6EAC9DC80ED8_.wvu.FilterData" localSheetId="0" hidden="1">'ТР нефть'!$A$29:$ASR$641</definedName>
    <definedName name="Z_0EF7EDF1_BBE9_4693_B564_A7EB67FBA3AD_.wvu.FilterData" localSheetId="0" hidden="1">'ТР нефть'!$A$26:$ASU$641</definedName>
    <definedName name="Z_0F056621_2B9F_46E1_B8AF_38EE2E118CF5_.wvu.FilterData" localSheetId="0" hidden="1">'ТР нефть'!$A$29:$ASR$641</definedName>
    <definedName name="Z_0F7375B2_B014_4BAE_90B1_39DEAFB965A1_.wvu.FilterData" localSheetId="0" hidden="1">'ТР нефть'!$A$29:$ARU$641</definedName>
    <definedName name="Z_0FB5660C_2265_4F47_BC3C_254AA626BEE6_.wvu.FilterData" localSheetId="0" hidden="1">'ТР нефть'!$A$29:$ASR$641</definedName>
    <definedName name="Z_10006C87_640C_477F_976A_4AE6779753D3_.wvu.FilterData" localSheetId="0" hidden="1">'ТР нефть'!$A$26:$ASU$639</definedName>
    <definedName name="Z_1004AB9E_6315_40E6_942E_E29D85114BB2_.wvu.FilterData" localSheetId="0" hidden="1">'ТР нефть'!$A$29:$ASU$641</definedName>
    <definedName name="Z_10151C92_2D15_49AE_AF6E_0F60FC21820A_.wvu.FilterData" localSheetId="0" hidden="1">'ТР нефть'!$A$29:$MM$641</definedName>
    <definedName name="Z_102426A5_B7DA_4EA2_8D25_16B3AA253903_.wvu.FilterData" localSheetId="0" hidden="1">'ТР нефть'!$A$29:$ASR$641</definedName>
    <definedName name="Z_10277077_D4F6_4336_A579_72B64C305636_.wvu.FilterData" localSheetId="0" hidden="1">'ТР нефть'!$A$26:$ASU$641</definedName>
    <definedName name="Z_1046CC9C_159B_4DA3_9174_7A540CA465A5_.wvu.FilterData" localSheetId="0" hidden="1">'ТР нефть'!$A$29:$ASR$641</definedName>
    <definedName name="Z_1048A0E0_DB33_4207_93B1_999C639ACFE2_.wvu.FilterData" localSheetId="0" hidden="1">'ТР нефть'!$A$29:$ASR$641</definedName>
    <definedName name="Z_1070ED83_FD92_4924_9D9F_204B665BE58A_.wvu.FilterData" localSheetId="0" hidden="1">'ТР нефть'!$A$28:$ASU$641</definedName>
    <definedName name="Z_10A95246_B1F8_4B3E_B5AD_7D8147DD1B35_.wvu.FilterData" localSheetId="0" hidden="1">'ТР нефть'!$A$29:$ASS$641</definedName>
    <definedName name="Z_10D54A8A_FB96_48D8_BB14_F9BD914E481F_.wvu.FilterData" localSheetId="0" hidden="1">'ТР нефть'!$A$28:$ASU$641</definedName>
    <definedName name="Z_11AE2A7E_A979_4650_9A03_68EEF04CC040_.wvu.FilterData" localSheetId="0" hidden="1">'ТР нефть'!$A$29:$ASR$641</definedName>
    <definedName name="Z_11B1C5C0_5168_4C8D_BD11_2BD9DEFEFD5F_.wvu.FilterData" localSheetId="0" hidden="1">'ТР нефть'!$A$29:$MM$641</definedName>
    <definedName name="Z_11D78779_0144_4A36_AD30_C01BB402FC37_.wvu.FilterData" localSheetId="0" hidden="1">'ТР нефть'!$A$29:$MM$641</definedName>
    <definedName name="Z_129BB37F_A538_41C0_93AE_26A5A4CD5CF3_.wvu.FilterData" localSheetId="0" hidden="1">'ТР нефть'!$A$26:$ASU$641</definedName>
    <definedName name="Z_12CDC3C7_CBF7_499C_A8A4_6ADFD9404931_.wvu.FilterData" localSheetId="0" hidden="1">'ТР нефть'!$A$29:$ASR$641</definedName>
    <definedName name="Z_12DBDF62_766A_4669_98BA_22750CDA2ABC_.wvu.FilterData" localSheetId="0" hidden="1">'ТР нефть'!$A$29:$ASS$641</definedName>
    <definedName name="Z_1333654C_30BF_4F66_A6A6_7FDD5C74B3A3_.wvu.FilterData" localSheetId="0" hidden="1">'ТР нефть'!$A$26:$ASU$641</definedName>
    <definedName name="Z_139729AE_F358_437F_959E_D4B18D11EE4A_.wvu.FilterData" localSheetId="0" hidden="1">'ТР нефть'!$A$29:$ASS$641</definedName>
    <definedName name="Z_13C909D8_6CD2_46D2_B573_2517A1EDBB92_.wvu.FilterData" localSheetId="0" hidden="1">'ТР нефть'!$A$29:$ARU$641</definedName>
    <definedName name="Z_13D85E29_0854_4B13_89E3_305066488FB4_.wvu.FilterData" localSheetId="0" hidden="1">'ТР нефть'!$A$29:$ARU$641</definedName>
    <definedName name="Z_13EA3CF7_CBE8_4105_B4D7_3ABC1F066420_.wvu.FilterData" localSheetId="0" hidden="1">'ТР нефть'!$A$29:$ASS$641</definedName>
    <definedName name="Z_14179636_2E18_455B_BB10_DE5FAEE93842_.wvu.FilterData" localSheetId="0" hidden="1">'ТР нефть'!$A$29:$MM$641</definedName>
    <definedName name="Z_14280F97_6B3D_4BE5_B9B1_1E423009BBB9_.wvu.FilterData" localSheetId="0" hidden="1">'ТР нефть'!$A$26:$ASU$641</definedName>
    <definedName name="Z_14851BB4_64B4_4FDF_AD64_FAC77D29242E_.wvu.FilterData" localSheetId="0" hidden="1">'ТР нефть'!$A$29:$ASS$641</definedName>
    <definedName name="Z_1511B2DF_7A21_4B7E_9804_BAE701BF6516_.wvu.FilterData" localSheetId="0" hidden="1">'ТР нефть'!$A$29:$ASR$641</definedName>
    <definedName name="Z_1514DF0B_2453_4ECF_950B_C53DAD7F8D9E_.wvu.FilterData" localSheetId="0" hidden="1">'ТР нефть'!$A$28:$ASU$641</definedName>
    <definedName name="Z_15219310_2479_4213_816F_0E74BF0BCFDB_.wvu.FilterData" localSheetId="0" hidden="1">'ТР нефть'!$A$29:$MM$604</definedName>
    <definedName name="Z_1534D2C6_5C19_44ED_9000_1D624D07B634_.wvu.FilterData" localSheetId="1" hidden="1">Протокол!$B$39:$BD$317</definedName>
    <definedName name="Z_1541AD15_85D1_4DCB_9F4F_6AC5100D9047_.wvu.FilterData" localSheetId="0" hidden="1">'ТР нефть'!$A$29:$ARU$641</definedName>
    <definedName name="Z_155CD2EF_5323_46E0_92ED_EF0792E09139_.wvu.FilterData" localSheetId="0" hidden="1">'ТР нефть'!$A$29:$ASR$641</definedName>
    <definedName name="Z_1562C43B_923C_4F10_840C_2D828E36DB00_.wvu.Cols" localSheetId="0" hidden="1">'ТР нефть'!$A:$A,'ТР нефть'!$C:$G,'ТР нефть'!$K:$N,'ТР нефть'!$U:$AT,'ТР нефть'!$AV:$CH,'ТР нефть'!$CD:$CD,'ТР нефть'!$CI:$CM,'ТР нефть'!$DJ:$ED</definedName>
    <definedName name="Z_1562C43B_923C_4F10_840C_2D828E36DB00_.wvu.FilterData" localSheetId="1" hidden="1">Протокол!$A$407:$BD$407</definedName>
    <definedName name="Z_1562C43B_923C_4F10_840C_2D828E36DB00_.wvu.FilterData" localSheetId="0" hidden="1">'ТР нефть'!$A$29:$ASR$641</definedName>
    <definedName name="Z_1562C43B_923C_4F10_840C_2D828E36DB00_.wvu.PrintArea" localSheetId="1" hidden="1">Протокол!$A$16:$BD$477</definedName>
    <definedName name="Z_1562C43B_923C_4F10_840C_2D828E36DB00_.wvu.PrintArea" localSheetId="0" hidden="1">'ТР нефть'!$B$20:$GC$660</definedName>
    <definedName name="Z_1562C43B_923C_4F10_840C_2D828E36DB00_.wvu.PrintTitles" localSheetId="0" hidden="1">'ТР нефть'!$25:$25</definedName>
    <definedName name="Z_1562C43B_923C_4F10_840C_2D828E36DB00_.wvu.Rows" localSheetId="1" hidden="1">Протокол!#REF!,Протокол!$27:$29,Протокол!$33:$33,Протокол!#REF!,Протокол!$89:$143,Протокол!#REF!,Протокол!#REF!</definedName>
    <definedName name="Z_1562C43B_923C_4F10_840C_2D828E36DB00_.wvu.Rows" localSheetId="0" hidden="1">'ТР нефть'!$20:$24</definedName>
    <definedName name="Z_156795B0_DA96_49B8_AF0E_871C450BD7E4_.wvu.FilterData" localSheetId="0" hidden="1">'ТР нефть'!$A$28:$ASU$641</definedName>
    <definedName name="Z_1574E6A5_C1A8_4920_BD5F_3975C1F5BA47_.wvu.FilterData" localSheetId="0" hidden="1">'ТР нефть'!$A$28:$ASU$641</definedName>
    <definedName name="Z_15A36940_E1DA_486B_BD74_EA5D05663958_.wvu.FilterData" localSheetId="0" hidden="1">'ТР нефть'!$A$29:$ASS$641</definedName>
    <definedName name="Z_15D0E0CB_6A65_42D4_99A5_1D13A6CCB5A8_.wvu.FilterData" localSheetId="0" hidden="1">'ТР нефть'!$A$26:$ASU$641</definedName>
    <definedName name="Z_15D5FDDD_0198_4619_BAB3_3AEBD487526D_.wvu.FilterData" localSheetId="0" hidden="1">'ТР нефть'!$A$29:$ASR$641</definedName>
    <definedName name="Z_1604A5CA_7479_4D77_A13B_270BF1DB1CD6_.wvu.FilterData" localSheetId="0" hidden="1">'ТР нефть'!$A$29:$ASU$641</definedName>
    <definedName name="Z_160CD702_72D7_4EC8_96B7_BDF32FC00846_.wvu.FilterData" localSheetId="0" hidden="1">'ТР нефть'!$A$29:$ASR$641</definedName>
    <definedName name="Z_1616085E_E3CF_4DB3_9D83_34468E3F60C7_.wvu.FilterData" localSheetId="0" hidden="1">'ТР нефть'!$A$29:$ASS$641</definedName>
    <definedName name="Z_167E86D9_30A3_483D_A44F_180DED5D0294_.wvu.FilterData" localSheetId="0" hidden="1">'ТР нефть'!$A$29:$ASS$641</definedName>
    <definedName name="Z_16807E03_7337_4FB2_830E_DC2E278C3632_.wvu.FilterData" localSheetId="0" hidden="1">'ТР нефть'!$A$26:$ASU$641</definedName>
    <definedName name="Z_16D2378F_0D76_4702_BE21_A4D555074304_.wvu.FilterData" localSheetId="0" hidden="1">'ТР нефть'!$A$29:$ASR$641</definedName>
    <definedName name="Z_16E08094_5B1B_43D1_9D53_F559A6015F3A_.wvu.Cols" localSheetId="0" hidden="1">'ТР нефть'!$A:$A,'ТР нефть'!$C:$G,'ТР нефть'!$K:$N,'ТР нефть'!$U:$AT,'ТР нефть'!$AV:$CM,'ТР нефть'!$DA:$ED</definedName>
    <definedName name="Z_16E08094_5B1B_43D1_9D53_F559A6015F3A_.wvu.FilterData" localSheetId="1" hidden="1">Протокол!$A$16:$BD$499</definedName>
    <definedName name="Z_16E08094_5B1B_43D1_9D53_F559A6015F3A_.wvu.FilterData" localSheetId="0" hidden="1">'ТР нефть'!$A$26:$ASU$26</definedName>
    <definedName name="Z_16E08094_5B1B_43D1_9D53_F559A6015F3A_.wvu.PrintArea" localSheetId="1" hidden="1">Протокол!$A$1:$BE$491</definedName>
    <definedName name="Z_16E08094_5B1B_43D1_9D53_F559A6015F3A_.wvu.PrintArea" localSheetId="0" hidden="1">'ТР нефть'!$B$20:$DI$660</definedName>
    <definedName name="Z_16E08094_5B1B_43D1_9D53_F559A6015F3A_.wvu.PrintTitles" localSheetId="0" hidden="1">'ТР нефть'!$25:$25</definedName>
    <definedName name="Z_16E08094_5B1B_43D1_9D53_F559A6015F3A_.wvu.Rows" localSheetId="1" hidden="1">Протокол!$16:$17,Протокол!$29:$30,Протокол!$112:$112,Протокол!$136:$142,Протокол!$144:$154,Протокол!$159:$159,Протокол!$167:$171,Протокол!$197:$311,Протокол!$318:$318,Протокол!$394:$397,Протокол!$438:$464</definedName>
    <definedName name="Z_16E08094_5B1B_43D1_9D53_F559A6015F3A_.wvu.Rows" localSheetId="0" hidden="1">'ТР нефть'!$1:$24,'ТР нефть'!#REF!</definedName>
    <definedName name="Z_17018D28_F3FA_43F6_B759_8B3A0E844B88_.wvu.FilterData" localSheetId="0" hidden="1">'ТР нефть'!$A$26:$ASU$641</definedName>
    <definedName name="Z_17879573_2BF3_4C8F_B731_1749A80AD77A_.wvu.FilterData" localSheetId="0" hidden="1">'ТР нефть'!$A$29:$ASS$641</definedName>
    <definedName name="Z_17BF988F_675F_4297_B1A0_C5688B22CBEE_.wvu.FilterData" localSheetId="0" hidden="1">'ТР нефть'!$A$29:$ASU$641</definedName>
    <definedName name="Z_17FC1DA2_F690_4967_BB77_DB54037BA77D_.wvu.FilterData" localSheetId="0" hidden="1">'ТР нефть'!$A$29:$ASS$641</definedName>
    <definedName name="Z_1806807E_6703_4329_A13A_39A642F3300A_.wvu.FilterData" localSheetId="0" hidden="1">'ТР нефть'!$A$26:$ASU$641</definedName>
    <definedName name="Z_181C0A22_67BF_4581_BA98_31ED9EFEAF3C_.wvu.FilterData" localSheetId="0" hidden="1">'ТР нефть'!$A$29:$ASR$641</definedName>
    <definedName name="Z_18744C6D_3060_456A_830A_C5345293DA54_.wvu.FilterData" localSheetId="0" hidden="1">'ТР нефть'!$A$29:$ASR$641</definedName>
    <definedName name="Z_1877FDF8_C4C6_4B6E_9C45_9477D4F60716_.wvu.FilterData" localSheetId="0" hidden="1">'ТР нефть'!$A$29:$ASR$641</definedName>
    <definedName name="Z_189517B0_F284_4E14_83CA_41F344AEB3B0_.wvu.FilterData" localSheetId="0" hidden="1">'ТР нефть'!$A$28:$ASU$641</definedName>
    <definedName name="Z_18DEB462_FBAA_4987_978F_362616C2147D_.wvu.FilterData" localSheetId="1" hidden="1">Протокол!$B$39:$BD$317</definedName>
    <definedName name="Z_191124C6_2680_4177_B961_C67E7F8A8AA8_.wvu.FilterData" localSheetId="0" hidden="1">'ТР нефть'!$A$29:$ASR$641</definedName>
    <definedName name="Z_1994FD56_B35D_47AB_B8C5_34D53C1B4383_.wvu.FilterData" localSheetId="0" hidden="1">'ТР нефть'!$A$29:$MM$641</definedName>
    <definedName name="Z_19DB3A01_ED5A_4F19_A079_27B5F32AA755_.wvu.FilterData" localSheetId="0" hidden="1">'ТР нефть'!$A$29:$ASR$641</definedName>
    <definedName name="Z_19DE6888_139D_46CA_A359_9DEDCBB0CF78_.wvu.FilterData" localSheetId="0" hidden="1">'ТР нефть'!$A$28:$ASU$641</definedName>
    <definedName name="Z_19F650A9_F1E1_460B_ABE1_CD2DE1A50E1D_.wvu.FilterData" localSheetId="0" hidden="1">'ТР нефть'!$A$29:$MM$641</definedName>
    <definedName name="Z_1A046F32_999B_4041_AD1D_C2109855FE05_.wvu.FilterData" localSheetId="0" hidden="1">'ТР нефть'!$A$29:$ASS$641</definedName>
    <definedName name="Z_1A315C06_6DA4_4B87_9AF1_15840BD9AF6E_.wvu.FilterData" localSheetId="0" hidden="1">'ТР нефть'!$A$29:$ASS$641</definedName>
    <definedName name="Z_1A337F62_8766_46A1_AD56_328C7E5C5661_.wvu.FilterData" localSheetId="0" hidden="1">'ТР нефть'!$A$28:$ASU$639</definedName>
    <definedName name="Z_1A4EA78A_CB4D_4A26_B665_5A9D492CF904_.wvu.FilterData" localSheetId="0" hidden="1">'ТР нефть'!$A$29:$ASS$641</definedName>
    <definedName name="Z_1A9DD8E6_FD83_436A_B3C9_B77367FE2950_.wvu.FilterData" localSheetId="0" hidden="1">'ТР нефть'!$A$29:$MM$641</definedName>
    <definedName name="Z_1AD30437_695F_4438_BC58_6B66C66CB3C3_.wvu.FilterData" localSheetId="0" hidden="1">'ТР нефть'!$A$29:$MM$641</definedName>
    <definedName name="Z_1AED217C_A1EB_4C3F_8467_731FBD5D7319_.wvu.FilterData" localSheetId="0" hidden="1">'ТР нефть'!#REF!</definedName>
    <definedName name="Z_1B0612CC_B7AB_4B8D_A326_BF1F3DA29E8F_.wvu.FilterData" localSheetId="0" hidden="1">'ТР нефть'!$A$29:$ASR$641</definedName>
    <definedName name="Z_1B06F6F2_0BF4_433B_A6F3_92E69DBAF7FD_.wvu.FilterData" localSheetId="0" hidden="1">'ТР нефть'!$A$28:$ASU$639</definedName>
    <definedName name="Z_1B0E5DE4_D7F0_4393_88F3_C2FB03F700A8_.wvu.FilterData" localSheetId="1" hidden="1">Протокол!$A$318:$BD$326</definedName>
    <definedName name="Z_1B224E30_9813_4D03_9B02_E3783F97DB35_.wvu.FilterData" localSheetId="0" hidden="1">'ТР нефть'!$A$29:$ASR$641</definedName>
    <definedName name="Z_1B400741_91BD_4B6F_9749_80A1583B6A37_.wvu.FilterData" localSheetId="0" hidden="1">'ТР нефть'!$A$29:$ASR$641</definedName>
    <definedName name="Z_1B54C1AA_6690_42B3_9294_0D5487E56DA5_.wvu.FilterData" localSheetId="0" hidden="1">'ТР нефть'!$A$29:$ASS$641</definedName>
    <definedName name="Z_1B555DDF_2774_41C6_AD5F_31ABBAFCF92F_.wvu.FilterData" localSheetId="0" hidden="1">'ТР нефть'!$A$29:$ARU$641</definedName>
    <definedName name="Z_1B92C9B4_630D_4C88_99F2_3E0D09A12F02_.wvu.FilterData" localSheetId="0" hidden="1">'ТР нефть'!$A$26:$ASU$641</definedName>
    <definedName name="Z_1BE4E482_9153_4B5E_BB72_A46890840D41_.wvu.FilterData" localSheetId="0" hidden="1">'ТР нефть'!$A$29:$MM$641</definedName>
    <definedName name="Z_1BF7E819_BD4C_4A5C_BF8D_42270A0D4F35_.wvu.FilterData" localSheetId="1" hidden="1">Протокол!$A$182:$BG$311</definedName>
    <definedName name="Z_1BF7E819_BD4C_4A5C_BF8D_42270A0D4F35_.wvu.FilterData" localSheetId="0" hidden="1">'ТР нефть'!$A$28:$ASU$642</definedName>
    <definedName name="Z_1C31C7D3_EAA7_460E_8141_02B314AD964C_.wvu.Cols" localSheetId="1" hidden="1">Протокол!#REF!,Протокол!#REF!</definedName>
    <definedName name="Z_1C31C7D3_EAA7_460E_8141_02B314AD964C_.wvu.Cols" localSheetId="0" hidden="1">'ТР нефть'!$A:$A,'ТР нефть'!$C:$H,'ТР нефть'!$AV:$BW,'ТР нефть'!$CD:$CD,'ТР нефть'!$CJ:$CJ,'ТР нефть'!$CX:$ED,'ТР нефть'!$MQ:$MR,'ТР нефть'!$MT:$MT,'ТР нефть'!$MW:$NF</definedName>
    <definedName name="Z_1C31C7D3_EAA7_460E_8141_02B314AD964C_.wvu.FilterData" localSheetId="1" hidden="1">Протокол!#REF!</definedName>
    <definedName name="Z_1C31C7D3_EAA7_460E_8141_02B314AD964C_.wvu.FilterData" localSheetId="0" hidden="1">'ТР нефть'!$A$29:$ASR$641</definedName>
    <definedName name="Z_1C31C7D3_EAA7_460E_8141_02B314AD964C_.wvu.PrintArea" localSheetId="1" hidden="1">Протокол!$A$16:$BD$496</definedName>
    <definedName name="Z_1C31C7D3_EAA7_460E_8141_02B314AD964C_.wvu.PrintArea" localSheetId="0" hidden="1">'ТР нефть'!$B$20:$DJ$646</definedName>
    <definedName name="Z_1C31C7D3_EAA7_460E_8141_02B314AD964C_.wvu.PrintTitles" localSheetId="0" hidden="1">'ТР нефть'!$25:$25</definedName>
    <definedName name="Z_1C31C7D3_EAA7_460E_8141_02B314AD964C_.wvu.Rows" localSheetId="1" hidden="1">Протокол!#REF!,Протокол!$29:$29,Протокол!$33:$33,Протокол!#REF!,Протокол!#REF!,Протокол!$124:$133,Протокол!#REF!,Протокол!#REF!,Протокол!#REF!,Протокол!$254:$311,Протокол!$370:$397,Протокол!#REF!,Протокол!#REF!</definedName>
    <definedName name="Z_1C31C7D3_EAA7_460E_8141_02B314AD964C_.wvu.Rows" localSheetId="0" hidden="1">'ТР нефть'!$20:$24</definedName>
    <definedName name="Z_1C57E8E6_1F4D_4D84_9D75_ED2BC6F8331E_.wvu.FilterData" localSheetId="0" hidden="1">'ТР нефть'!$A$29:$ASU$641</definedName>
    <definedName name="Z_1C65CCAF_377A_49FC_908A_6D4C4BAD7634_.wvu.FilterData" localSheetId="0" hidden="1">'ТР нефть'!$A$29:$ASU$641</definedName>
    <definedName name="Z_1C87037A_5488_4236_BFCF_CA7EDB70EED2_.wvu.FilterData" localSheetId="0" hidden="1">'ТР нефть'!$A$26:$ASU$641</definedName>
    <definedName name="Z_1CEF759C_706F_40B8_A756_CB2D8AD1AACD_.wvu.FilterData" localSheetId="0" hidden="1">'ТР нефть'!$A$29:$MM$641</definedName>
    <definedName name="Z_1D0F93B8_C562_4A04_8FF2_5101FD734DF9_.wvu.FilterData" localSheetId="0" hidden="1">'ТР нефть'!$A$29:$MM$641</definedName>
    <definedName name="Z_1D1DFE20_F5B8_419C_B829_3B62D99530D0_.wvu.FilterData" localSheetId="0" hidden="1">'ТР нефть'!$A$29:$ASS$641</definedName>
    <definedName name="Z_1D1EF9F6_D082_4E20_A6B2_5D0331EE45C2_.wvu.FilterData" localSheetId="0" hidden="1">'ТР нефть'!$A$26:$ASU$641</definedName>
    <definedName name="Z_1D22E2E8_FD0A_461C_96E1_5C0971087BD4_.wvu.FilterData" localSheetId="0" hidden="1">'ТР нефть'!#REF!</definedName>
    <definedName name="Z_1D45FECA_23FB_4A93_89FD_2D2488255D24_.wvu.FilterData" localSheetId="0" hidden="1">'ТР нефть'!$A$29:$ASR$641</definedName>
    <definedName name="Z_1D62C369_8EA2_49FC_BD97_BF9B87C6C606_.wvu.FilterData" localSheetId="0" hidden="1">'ТР нефть'!$A$26:$ASU$641</definedName>
    <definedName name="Z_1D8F7318_D176_4694_928E_0723BF548DC2_.wvu.FilterData" localSheetId="0" hidden="1">'ТР нефть'!$A$29:$ASS$641</definedName>
    <definedName name="Z_1D912D43_2802_4D6A_B8FB_CA50F09B80D9_.wvu.FilterData" localSheetId="0" hidden="1">'ТР нефть'!$ME$29:$ME$641</definedName>
    <definedName name="Z_1D99B31C_7B31_4660_AA4A_CF0E15807AFB_.wvu.FilterData" localSheetId="1" hidden="1">Протокол!$A$16:$BD$499</definedName>
    <definedName name="Z_1D9DBAB2_E2EC_4A52_8698_FA60A381D213_.wvu.Cols" localSheetId="0" hidden="1">'ТР нефть'!$A:$A,'ТР нефть'!$C:$H,'ТР нефть'!$U:$CL,'ТР нефть'!$CT:$CT,'ТР нефть'!$CW:$EE,'ТР нефть'!$EI:$EK,'ТР нефть'!$EQ:$EQ,'ТР нефть'!$ET:$FA,'ТР нефть'!$FF:$FH,'ТР нефть'!$FJ:$FK,'ТР нефть'!$FO:$FP,'ТР нефть'!$FU:$FW,'ТР нефть'!$FY:$FY,'ТР нефть'!$MM:$MN,'ТР нефть'!$MP:$ASR</definedName>
    <definedName name="Z_1D9DBAB2_E2EC_4A52_8698_FA60A381D213_.wvu.FilterData" localSheetId="1" hidden="1">Протокол!$A$16:$BD$499</definedName>
    <definedName name="Z_1D9DBAB2_E2EC_4A52_8698_FA60A381D213_.wvu.FilterData" localSheetId="0" hidden="1">'ТР нефть'!$A$28:$ASU$641</definedName>
    <definedName name="Z_1D9DBAB2_E2EC_4A52_8698_FA60A381D213_.wvu.PrintArea" localSheetId="1" hidden="1">Протокол!$A$1:$BE$489</definedName>
    <definedName name="Z_1D9DBAB2_E2EC_4A52_8698_FA60A381D213_.wvu.PrintArea" localSheetId="0" hidden="1">'ТР нефть'!$B$20:$GC$647</definedName>
    <definedName name="Z_1D9DBAB2_E2EC_4A52_8698_FA60A381D213_.wvu.PrintTitles" localSheetId="0" hidden="1">'ТР нефть'!$25:$25</definedName>
    <definedName name="Z_1D9DBAB2_E2EC_4A52_8698_FA60A381D213_.wvu.Rows" localSheetId="1" hidden="1">Протокол!$16:$17,Протокол!$81:$84,Протокол!$91:$105,Протокол!$112:$144,Протокол!$156:$165,Протокол!$167:$171,Протокол!$253:$311,Протокол!$318:$318,Протокол!$336:$397,Протокол!$416:$464</definedName>
    <definedName name="Z_1D9DBAB2_E2EC_4A52_8698_FA60A381D213_.wvu.Rows" localSheetId="0" hidden="1">'ТР нефть'!$1:$24,'ТР нефть'!#REF!,'ТР нефть'!#REF!</definedName>
    <definedName name="Z_1DA6C19D_E410_4E57_9CB4_52210352954E_.wvu.FilterData" localSheetId="0" hidden="1">'ТР нефть'!$A$29:$ASS$641</definedName>
    <definedName name="Z_1DB0024A_746C_4157_85C9_07CF3C9C6CB7_.wvu.FilterData" localSheetId="0" hidden="1">'ТР нефть'!$A$29:$MM$641</definedName>
    <definedName name="Z_1DBCDDC9_7952_4D8B_9328_5F0E784939F5_.wvu.FilterData" localSheetId="0" hidden="1">'ТР нефть'!$A$29:$ASR$641</definedName>
    <definedName name="Z_1DC50618_C599_49C0_A6A3_D672FD4EEEFF_.wvu.FilterData" localSheetId="0" hidden="1">'ТР нефть'!$A$29:$MM$641</definedName>
    <definedName name="Z_1DF005CB_7A70_45D8_A35F_1F1EA3453E37_.wvu.FilterData" localSheetId="0" hidden="1">'ТР нефть'!$A$29:$ASS$641</definedName>
    <definedName name="Z_1E072C1F_8960_4CB7_9AF3_7AE53361692B_.wvu.FilterData" localSheetId="0" hidden="1">'ТР нефть'!$A$29:$ASS$641</definedName>
    <definedName name="Z_1E29E27A_D44A_4B95_93C3_94EC48FFBADC_.wvu.FilterData" localSheetId="0" hidden="1">'ТР нефть'!$A$29:$ASR$641</definedName>
    <definedName name="Z_1E37B575_148C_4AA8_BF02_B8D48D98B5FE_.wvu.FilterData" localSheetId="0" hidden="1">'ТР нефть'!$A$29:$ASR$641</definedName>
    <definedName name="Z_1E3A8E7C_2FA4_4319_B9A8_DD9AD688E714_.wvu.FilterData" localSheetId="0" hidden="1">'ТР нефть'!$A$29:$ASR$641</definedName>
    <definedName name="Z_1E4B80FD_B31F_49B9_A229_BA0EC74DF300_.wvu.FilterData" localSheetId="0" hidden="1">'ТР нефть'!$A$26:$ASU$641</definedName>
    <definedName name="Z_1E6685A5_2770_4100_AC81_BED8C93EB28D_.wvu.FilterData" localSheetId="1" hidden="1">Протокол!$B$39:$BD$317</definedName>
    <definedName name="Z_1EA3282D_5D32_4E9D_B631_8F1E08A1CBDC_.wvu.FilterData" localSheetId="0" hidden="1">'ТР нефть'!$A$28:$ASU$641</definedName>
    <definedName name="Z_1EBFD40A_FEC3_4E4F_A337_3C82DF599F0E_.wvu.FilterData" localSheetId="0" hidden="1">'ТР нефть'!$A$29:$ASR$641</definedName>
    <definedName name="Z_1EC22002_5418_431E_B29C_455149EB1AC6_.wvu.FilterData" localSheetId="1" hidden="1">Протокол!$A$407:$BD$407</definedName>
    <definedName name="Z_1EC22002_5418_431E_B29C_455149EB1AC6_.wvu.FilterData" localSheetId="0" hidden="1">'ТР нефть'!$A$29:$ASS$641</definedName>
    <definedName name="Z_1EC9E401_B094_4BF1_BA31_95FB8403D88D_.wvu.FilterData" localSheetId="0" hidden="1">'ТР нефть'!$A$29:$ASR$641</definedName>
    <definedName name="Z_1ED8AB55_E4FE_4E7A_9B5D_35218F3DAFBB_.wvu.FilterData" localSheetId="0" hidden="1">'ТР нефть'!$A$29:$ASU$641</definedName>
    <definedName name="Z_1F0D794F_B72D_4A44_8AE6_85A919E225A5_.wvu.FilterData" localSheetId="0" hidden="1">'ТР нефть'!$A$29:$MM$641</definedName>
    <definedName name="Z_1F15C451_AB25_4098_AEE4_F316AAAF3167_.wvu.FilterData" localSheetId="0" hidden="1">'ТР нефть'!$A$29:$ASR$641</definedName>
    <definedName name="Z_1F18A609_FC97_4616_84F1_7CF836094CCF_.wvu.FilterData" localSheetId="0" hidden="1">'ТР нефть'!$A$26:$ASU$641</definedName>
    <definedName name="Z_1F59C997_408E_4A60_AA81_28D6D20BBB72_.wvu.FilterData" localSheetId="0" hidden="1">'ТР нефть'!$A$29:$ASU$641</definedName>
    <definedName name="Z_1F6C6015_D6CF_4818_A735_0784DC3C936C_.wvu.FilterData" localSheetId="0" hidden="1">'ТР нефть'!$A$29:$ASU$641</definedName>
    <definedName name="Z_1F73632E_CFD9_41C6_A3B1_6EAFB5792720_.wvu.FilterData" localSheetId="1" hidden="1">Протокол!$A$407:$BD$407</definedName>
    <definedName name="Z_1F73632E_CFD9_41C6_A3B1_6EAFB5792720_.wvu.FilterData" localSheetId="0" hidden="1">'ТР нефть'!#REF!</definedName>
    <definedName name="Z_1FCEF939_085F_451A_B1D9_D3E0E70854E7_.wvu.FilterData" localSheetId="0" hidden="1">'ТР нефть'!$A$29:$ASR$641</definedName>
    <definedName name="Z_1FE6DE18_5FE3_4D0A_8446_C34D73E84190_.wvu.FilterData" localSheetId="0" hidden="1">'ТР нефть'!$A$28:$ASU$641</definedName>
    <definedName name="Z_1FFDAE3D_EC52_47EA_8F09_5FE570BF3179_.wvu.FilterData" localSheetId="0" hidden="1">'ТР нефть'!$A$29:$MM$641</definedName>
    <definedName name="Z_202B21D4_B7F0_4A73_B3C1_054F3C92D3B0_.wvu.FilterData" localSheetId="0" hidden="1">'ТР нефть'!$A$29:$ASS$641</definedName>
    <definedName name="Z_204295F8_E985_40E7_8071_AADFC447E70A_.wvu.FilterData" localSheetId="0" hidden="1">'ТР нефть'!$A$29:$ARU$641</definedName>
    <definedName name="Z_208363DB_6FC5_4CB5_918B_C77E66847A37_.wvu.FilterData" localSheetId="0" hidden="1">'ТР нефть'!$A$29:$ASR$641</definedName>
    <definedName name="Z_208F515B_E0AE_474F_A895_7F599EA6178D_.wvu.FilterData" localSheetId="1" hidden="1">Протокол!$A$407:$BD$467</definedName>
    <definedName name="Z_208F515B_E0AE_474F_A895_7F599EA6178D_.wvu.FilterData" localSheetId="0" hidden="1">'ТР нефть'!$A$29:$ASS$641</definedName>
    <definedName name="Z_20A76144_2879_4BE2_8192_5113D39B6DAB_.wvu.FilterData" localSheetId="0" hidden="1">'ТР нефть'!$A$29:$MM$641</definedName>
    <definedName name="Z_20A781FE_EC08_4BB9_A2E7_305D02C56222_.wvu.FilterData" localSheetId="0" hidden="1">'ТР нефть'!$A$29:$ASS$641</definedName>
    <definedName name="Z_20A9FFA5_01EB_4BBD_8C8E_3DD43EABE9E0_.wvu.FilterData" localSheetId="0" hidden="1">'ТР нефть'!$A$29:$ASR$641</definedName>
    <definedName name="Z_20B3AAA6_42AC_4743_893E_6642011356B4_.wvu.FilterData" localSheetId="0" hidden="1">'ТР нефть'!$A$28:$ASU$641</definedName>
    <definedName name="Z_20E411BF_3032_458D_8D08_3068CA51BDCB_.wvu.FilterData" localSheetId="0" hidden="1">'ТР нефть'!$A$29:$ASS$641</definedName>
    <definedName name="Z_21142F3D_6E4F_442B_89BE_DC4338FE71F0_.wvu.FilterData" localSheetId="0" hidden="1">'ТР нефть'!$A$29:$MM$641</definedName>
    <definedName name="Z_2148111A_5DD2_44B0_97DA_ABDD61915790_.wvu.FilterData" localSheetId="0" hidden="1">'ТР нефть'!$A$29:$ASR$641</definedName>
    <definedName name="Z_21484807_6527_4040_AEDA_000F9CF8E339_.wvu.FilterData" localSheetId="0" hidden="1">'ТР нефть'!$A$29:$MM$641</definedName>
    <definedName name="Z_214E905E_EDA3_49CB_B6AA_AA957F76B19A_.wvu.FilterData" localSheetId="0" hidden="1">'ТР нефть'!$A$29:$ASS$641</definedName>
    <definedName name="Z_2151EB6A_3152_4505_AD33_DB6DFC6301EC_.wvu.FilterData" localSheetId="0" hidden="1">'ТР нефть'!$A$29:$ASR$641</definedName>
    <definedName name="Z_21537D02_6075_4264_9FF2_12817E103F53_.wvu.FilterData" localSheetId="0" hidden="1">'ТР нефть'!$A$29:$MM$641</definedName>
    <definedName name="Z_216C8FB2_8962_49CC_8544_CA21DC68C121_.wvu.FilterData" localSheetId="0" hidden="1">'ТР нефть'!$A$29:$ASS$641</definedName>
    <definedName name="Z_2178AA47_1D3E_41B6_B5DA_47502A228A96_.wvu.FilterData" localSheetId="0" hidden="1">'ТР нефть'!$A$29:$ARU$641</definedName>
    <definedName name="Z_2185A38D_9156_43B3_A481_7E25C7B59A62_.wvu.FilterData" localSheetId="0" hidden="1">'ТР нефть'!$A$29:$ARU$641</definedName>
    <definedName name="Z_218CF421_A281_4A39_9FA5_9983C35B4CAA_.wvu.FilterData" localSheetId="0" hidden="1">'ТР нефть'!$A$26:$ASU$641</definedName>
    <definedName name="Z_218E0BC9_1661_427F_ADC7_6FFE78555CA5_.wvu.FilterData" localSheetId="0" hidden="1">'ТР нефть'!$A$26:$ASU$641</definedName>
    <definedName name="Z_21AA5287_2610_4EFA_A00C_C43251EFD2D8_.wvu.FilterData" localSheetId="0" hidden="1">'ТР нефть'!$A$26:$ASU$641</definedName>
    <definedName name="Z_21B28B9A_0CA6_4C1A_B881_9FC42AF97EFD_.wvu.FilterData" localSheetId="0" hidden="1">'ТР нефть'!$A$29:$ASS$641</definedName>
    <definedName name="Z_21E5D52D_5237_4035_8BD2_C6B39A3FA42A_.wvu.FilterData" localSheetId="0" hidden="1">'ТР нефть'!$A$26:$ASU$641</definedName>
    <definedName name="Z_220EBA00_B9F2_4FDC_BA30_9091DC42C9CA_.wvu.FilterData" localSheetId="1" hidden="1">Протокол!$A$316:$BD$316</definedName>
    <definedName name="Z_220EBA00_B9F2_4FDC_BA30_9091DC42C9CA_.wvu.FilterData" localSheetId="0" hidden="1">'ТР нефть'!$A$29:$ASS$641</definedName>
    <definedName name="Z_2248A4E7_F7D1_4A15_A8F0_A2E891A9434B_.wvu.FilterData" localSheetId="0" hidden="1">'ТР нефть'!$A$29:$ASR$641</definedName>
    <definedName name="Z_22536821_6FC5_40BB_830B_D820B706502F_.wvu.FilterData" localSheetId="0" hidden="1">'ТР нефть'!$A$29:$ASS$641</definedName>
    <definedName name="Z_225EED72_D5C6_408D_B939_E7D9234E9819_.wvu.FilterData" localSheetId="0" hidden="1">'ТР нефть'!$A$29:$MM$641</definedName>
    <definedName name="Z_2270C65F_E1F4_4848_AEB3_F95B15C7D68B_.wvu.FilterData" localSheetId="0" hidden="1">'ТР нефть'!#REF!</definedName>
    <definedName name="Z_22873C75_75BF_4C09_8E44_62044F46F42F_.wvu.FilterData" localSheetId="0" hidden="1">'ТР нефть'!$A$29:$MM$641</definedName>
    <definedName name="Z_22B1C187_1F35_4B66_9489_E81A64D7AAE3_.wvu.FilterData" localSheetId="0" hidden="1">'ТР нефть'!$A$29:$ASS$641</definedName>
    <definedName name="Z_22E5BAFC_067A_45DD_91F7_872C9A9EA39F_.wvu.FilterData" localSheetId="0" hidden="1">'ТР нефть'!$A$29:$MM$641</definedName>
    <definedName name="Z_22F3C8FA_78FA_4A53_88A3_7C45A97EDF8D_.wvu.FilterData" localSheetId="0" hidden="1">'ТР нефть'!$A$29:$ASS$641</definedName>
    <definedName name="Z_2316B4AB_EE21_47B4_B279_9075AB877ED4_.wvu.FilterData" localSheetId="0" hidden="1">'ТР нефть'!$A$28:$ASU$641</definedName>
    <definedName name="Z_232B9A59_D4E6_4584_B6D7_2C4796626A1F_.wvu.Cols" localSheetId="1" hidden="1">Протокол!#REF!</definedName>
    <definedName name="Z_232B9A59_D4E6_4584_B6D7_2C4796626A1F_.wvu.FilterData" localSheetId="1" hidden="1">Протокол!$AW$16:$AW$465</definedName>
    <definedName name="Z_232B9A59_D4E6_4584_B6D7_2C4796626A1F_.wvu.PrintArea" localSheetId="1" hidden="1">Протокол!$A$16:$BD$465</definedName>
    <definedName name="Z_232B9A59_D4E6_4584_B6D7_2C4796626A1F_.wvu.Rows" localSheetId="1" hidden="1">Протокол!#REF!,Протокол!$27:$29,Протокол!$33:$33,Протокол!#REF!,Протокол!$89:$143,Протокол!#REF!,Протокол!#REF!,Протокол!#REF!,Протокол!#REF!</definedName>
    <definedName name="Z_232CF544_D957_406A_8B69_652D7BEE3502_.wvu.FilterData" localSheetId="0" hidden="1">'ТР нефть'!$A$29:$MM$641</definedName>
    <definedName name="Z_23585D67_00DE_49F0_B1F1_8E75C18A736E_.wvu.FilterData" localSheetId="0" hidden="1">'ТР нефть'!$A$29:$ARU$641</definedName>
    <definedName name="Z_23A947B3_724B_4547_B8E2_1816C128CFF4_.wvu.FilterData" localSheetId="0" hidden="1">'ТР нефть'!$A$29:$ASR$641</definedName>
    <definedName name="Z_23AAA0C4_052A_4FDB_832D_B778F0C1793D_.wvu.FilterData" localSheetId="0" hidden="1">'ТР нефть'!$A$26:$ASU$641</definedName>
    <definedName name="Z_23ABF7B4_43EA_47D9_A484_11CDC04F6610_.wvu.FilterData" localSheetId="0" hidden="1">'ТР нефть'!$A$29:$ARU$641</definedName>
    <definedName name="Z_240437E8_653E_4EC8_B4C8_5936D13C509E_.wvu.FilterData" localSheetId="0" hidden="1">'ТР нефть'!$A$29:$ARU$641</definedName>
    <definedName name="Z_2412D11F_0ABD_496F_A19A_85CB7E09C410_.wvu.FilterData" localSheetId="0" hidden="1">'ТР нефть'!$A$29:$MM$641</definedName>
    <definedName name="Z_241631B6_D408_427A_86C5_9FAFD6A72887_.wvu.FilterData" localSheetId="0" hidden="1">'ТР нефть'!$A$29:$MM$604</definedName>
    <definedName name="Z_241F2845_E02B_4A8B_BD39_A06A42515C1F_.wvu.FilterData" localSheetId="0" hidden="1">'ТР нефть'!$A$29:$MM$641</definedName>
    <definedName name="Z_24423900_E345_4A33_B769_0B00981F4FC5_.wvu.FilterData" localSheetId="0" hidden="1">'ТР нефть'!$A$29:$MM$641</definedName>
    <definedName name="Z_2446A336_E1EE_44D8_A980_AD685F144025_.wvu.FilterData" localSheetId="0" hidden="1">'ТР нефть'!$A$29:$ASR$641</definedName>
    <definedName name="Z_24476678_B136_4D29_9D42_58C5DB4F8151_.wvu.FilterData" localSheetId="0" hidden="1">'ТР нефть'!$A$29:$ASS$641</definedName>
    <definedName name="Z_24B0BAAB_8F0E_4E57_9BCC_C91147A2CAED_.wvu.FilterData" localSheetId="0" hidden="1">'ТР нефть'!$A$26:$ASU$641</definedName>
    <definedName name="Z_24D2EA14_B464_45F8_AC1B_95837C306DDE_.wvu.FilterData" localSheetId="0" hidden="1">'ТР нефть'!$A$29:$ASS$641</definedName>
    <definedName name="Z_253E6E52_E24B_4C2C_95F7_9D6643869551_.wvu.FilterData" localSheetId="0" hidden="1">'ТР нефть'!$A$29:$ASR$641</definedName>
    <definedName name="Z_253EEA0F_2410_4406_A7B1_EBE22D174BAD_.wvu.FilterData" localSheetId="0" hidden="1">'ТР нефть'!$A$28:$ASU$641</definedName>
    <definedName name="Z_254F255A_F27C_41C2_BF57_0E1C03CA6B4E_.wvu.FilterData" localSheetId="0" hidden="1">'ТР нефть'!$A$29:$MM$641</definedName>
    <definedName name="Z_2558BA00_BBAB_40D3_B6EF_D24967B89054_.wvu.Cols" localSheetId="1" hidden="1">Протокол!$U:$V,Протокол!$AJ:$AJ,Протокол!$AW:$AW</definedName>
    <definedName name="Z_2558BA00_BBAB_40D3_B6EF_D24967B89054_.wvu.FilterData" localSheetId="1" hidden="1">Протокол!$A$316:$BD$326</definedName>
    <definedName name="Z_2558BA00_BBAB_40D3_B6EF_D24967B89054_.wvu.PrintArea" localSheetId="1" hidden="1">Протокол!$B$16:$BD$465</definedName>
    <definedName name="Z_2558BA00_BBAB_40D3_B6EF_D24967B89054_.wvu.Rows" localSheetId="1" hidden="1">Протокол!#REF!,Протокол!$26:$29,Протокол!#REF!,Протокол!$113:$133,Протокол!#REF!,Протокол!$405:$405,Протокол!#REF!</definedName>
    <definedName name="Z_255AFD9A_D8C9_4CB3_A1BB_56CD5573A8E8_.wvu.FilterData" localSheetId="0" hidden="1">'ТР нефть'!$A$29:$ASS$641</definedName>
    <definedName name="Z_25AAE678_5C22_4AAD_8510_FAF077E990AA_.wvu.FilterData" localSheetId="0" hidden="1">'ТР нефть'!$A$29:$ASS$641</definedName>
    <definedName name="Z_263867EA_07B1_42C3_ADAA_A01120B76E5C_.wvu.FilterData" localSheetId="0" hidden="1">'ТР нефть'!$A$29:$ASS$641</definedName>
    <definedName name="Z_268AD7B7_F2DF_46EC_9B3C_5151594EFCDD_.wvu.FilterData" localSheetId="0" hidden="1">'ТР нефть'!$A$26:$ASU$641</definedName>
    <definedName name="Z_268F0408_BD38_46EF_989A_C2DCC6AC7719_.wvu.FilterData" localSheetId="0" hidden="1">'ТР нефть'!$A$29:$ASR$641</definedName>
    <definedName name="Z_26A89895_12B8_459C_ACC5_F3266466470D_.wvu.FilterData" localSheetId="0" hidden="1">'ТР нефть'!$A$29:$MM$604</definedName>
    <definedName name="Z_26B79C59_B18E_44CF_8784_93E57AFA6EC8_.wvu.FilterData" localSheetId="0" hidden="1">'ТР нефть'!$A$29:$ASS$641</definedName>
    <definedName name="Z_26CF8C73_40B0_4885_B99A_106F27AD3BED_.wvu.FilterData" localSheetId="0" hidden="1">'ТР нефть'!$A$29:$ASR$641</definedName>
    <definedName name="Z_26EBA9BD_1A4A_4D82_82E0_9DFD8AEAC9CC_.wvu.FilterData" localSheetId="0" hidden="1">'ТР нефть'!$A$29:$ASR$641</definedName>
    <definedName name="Z_26EC0A06_3E38_499E_9B7F_24C50ACFF08A_.wvu.FilterData" localSheetId="0" hidden="1">'ТР нефть'!$A$29:$ASU$641</definedName>
    <definedName name="Z_26F67BA5_284C_4847_A3E7_6170E8D2AD43_.wvu.FilterData" localSheetId="0" hidden="1">'ТР нефть'!$A$29:$MM$641</definedName>
    <definedName name="Z_27485F7E_C8ED_455C_B689_0AC1A9034406_.wvu.FilterData" localSheetId="0" hidden="1">'ТР нефть'!$A$29:$ASS$641</definedName>
    <definedName name="Z_275ACEA6_E89B_4873_9A1F_4EFDB2A8F0AD_.wvu.FilterData" localSheetId="0" hidden="1">'ТР нефть'!$A$29:$ASR$641</definedName>
    <definedName name="Z_2764AD22_4FA1_4510_97E4_E5E44F30F6E8_.wvu.FilterData" localSheetId="0" hidden="1">'ТР нефть'!$A$29:$ARU$641</definedName>
    <definedName name="Z_27699CDC_6A42_40D7_817F_EDA0C1E5151F_.wvu.FilterData" localSheetId="0" hidden="1">'ТР нефть'!$A$29:$ASS$641</definedName>
    <definedName name="Z_277AB5D8_1CBD_4475_8E02_0B4BFC921E51_.wvu.FilterData" localSheetId="0" hidden="1">'ТР нефть'!$A$29:$ASS$641</definedName>
    <definedName name="Z_27A989A0_D70A_4A8D_B6B9_1D26DDB0A615_.wvu.FilterData" localSheetId="0" hidden="1">'ТР нефть'!$A$26:$ASU$641</definedName>
    <definedName name="Z_27ABBDF5_DF97_4F57_855D_5B90C15AE692_.wvu.FilterData" localSheetId="0" hidden="1">'ТР нефть'!$A$29:$ASS$641</definedName>
    <definedName name="Z_27BB3AB1_B26E_4D5E_A632_D9EF9F117409_.wvu.FilterData" localSheetId="0" hidden="1">'ТР нефть'!$A$26:$ASU$641</definedName>
    <definedName name="Z_27D64E14_383E_4B10_B9DE_FE04A67264C2_.wvu.FilterData" localSheetId="0" hidden="1">'ТР нефть'!$A$28:$ASU$642</definedName>
    <definedName name="Z_27EF461D_186B_41AD_868A_E6508A57B53B_.wvu.FilterData" localSheetId="0" hidden="1">'ТР нефть'!$A$29:$ASS$641</definedName>
    <definedName name="Z_27F49DFB_DD1D_4E32_8FE1_47F4F66D4DA5_.wvu.FilterData" localSheetId="0" hidden="1">'ТР нефть'!$A$26:$ASU$641</definedName>
    <definedName name="Z_2812C92E_2B79_46F4_AB02_DB78826F0A31_.wvu.FilterData" localSheetId="0" hidden="1">'ТР нефть'!$A$29:$MM$641</definedName>
    <definedName name="Z_282A2711_E292_425C_B387_B965E473BB32_.wvu.FilterData" localSheetId="0" hidden="1">'ТР нефть'!$A$29:$ASU$641</definedName>
    <definedName name="Z_2845D806_B93F_480A_8401_6F009202CB16_.wvu.FilterData" localSheetId="0" hidden="1">'ТР нефть'!$A$28:$ASU$639</definedName>
    <definedName name="Z_28561777_97F9_4E7E_A27E_97561457AFFD_.wvu.FilterData" localSheetId="0" hidden="1">'ТР нефть'!$A$28:$ASU$641</definedName>
    <definedName name="Z_28587360_BB6F_4BEE_A5E1_18FB082A3D90_.wvu.Cols" localSheetId="0" hidden="1">'ТР нефть'!$Q:$BU,'ТР нефть'!$CG:$CM,'ТР нефть'!$CT:$CT,'ТР нефть'!$DJ:$ED,'ТР нефть'!$MM:$MN,'ТР нефть'!$MP:$MP,'ТР нефть'!$MS:$NB,'ТР нефть'!$NM:$ASR</definedName>
    <definedName name="Z_28587360_BB6F_4BEE_A5E1_18FB082A3D90_.wvu.FilterData" localSheetId="1" hidden="1">Протокол!$A$16:$BD$499</definedName>
    <definedName name="Z_28587360_BB6F_4BEE_A5E1_18FB082A3D90_.wvu.FilterData" localSheetId="0" hidden="1">'ТР нефть'!$A$28:$ASU$639</definedName>
    <definedName name="Z_28587360_BB6F_4BEE_A5E1_18FB082A3D90_.wvu.PrintArea" localSheetId="1" hidden="1">Протокол!$A$1:$BE$491</definedName>
    <definedName name="Z_28587360_BB6F_4BEE_A5E1_18FB082A3D90_.wvu.PrintArea" localSheetId="0" hidden="1">'ТР нефть'!$B$3:$DU$646</definedName>
    <definedName name="Z_28587360_BB6F_4BEE_A5E1_18FB082A3D90_.wvu.PrintTitles" localSheetId="0" hidden="1">'ТР нефть'!$25:$25</definedName>
    <definedName name="Z_28587360_BB6F_4BEE_A5E1_18FB082A3D90_.wvu.Rows" localSheetId="1" hidden="1">Протокол!$16:$17,Протокол!$26:$30,Протокол!$93:$105,Протокол!$108:$165,Протокол!$167:$171,Протокол!$176:$179,Протокол!$196:$311,Протокол!$318:$318,Протокол!$337:$397,Протокол!$424:$464</definedName>
    <definedName name="Z_28587360_BB6F_4BEE_A5E1_18FB082A3D90_.wvu.Rows" localSheetId="0" hidden="1">'ТР нефть'!$1:$24,'ТР нефть'!#REF!</definedName>
    <definedName name="Z_288010E5_ECAF_4E27_913D_3A23E0CAB82A_.wvu.FilterData" localSheetId="0" hidden="1">'ТР нефть'!$A$29:$ASR$641</definedName>
    <definedName name="Z_28884CB3_FE51_4AE0_B035_B55465FEB3D7_.wvu.FilterData" localSheetId="0" hidden="1">'ТР нефть'!$A$26:$ASU$641</definedName>
    <definedName name="Z_288B24D1_AFB0_419E_980C_C35E7AE6804A_.wvu.FilterData" localSheetId="1" hidden="1">Протокол!$B$39:$BD$317</definedName>
    <definedName name="Z_28A9D0BB_60F6_4B2E_A8AC_A96CAA8B2D61_.wvu.FilterData" localSheetId="0" hidden="1">'ТР нефть'!$A$29:$MM$641</definedName>
    <definedName name="Z_28B47CCB_D69E_4C4F_B723_A12BEACA560A_.wvu.FilterData" localSheetId="0" hidden="1">'ТР нефть'!$A$26:$ASU$641</definedName>
    <definedName name="Z_28BA5973_AEDF_403D_8316_F846E1748EDD_.wvu.FilterData" localSheetId="0" hidden="1">'ТР нефть'!$A$29:$ASR$641</definedName>
    <definedName name="Z_28DBF953_6D36_4206_8F69_9DFED953239E_.wvu.FilterData" localSheetId="0" hidden="1">'ТР нефть'!$A$26:$ASU$641</definedName>
    <definedName name="Z_28DD5BF7_D2C5_41E8_AF13_C8DF320E1F66_.wvu.FilterData" localSheetId="0" hidden="1">'ТР нефть'!#REF!</definedName>
    <definedName name="Z_28F32EF4_571F_4CFD_8BD3_832F68C21135_.wvu.FilterData" localSheetId="0" hidden="1">'ТР нефть'!$A$29:$MM$641</definedName>
    <definedName name="Z_29170D54_C0C6_4DBF_BB43_46482FF4737C_.wvu.FilterData" localSheetId="0" hidden="1">'ТР нефть'!$A$29:$MM$604</definedName>
    <definedName name="Z_29498251_856C_4D82_AEA9_A650D3F19486_.wvu.FilterData" localSheetId="0" hidden="1">'ТР нефть'!$A$28:$ASU$639</definedName>
    <definedName name="Z_295803F2_AA8A_4FCD_8E8F_3C214C6838CD_.wvu.FilterData" localSheetId="0" hidden="1">'ТР нефть'!$A$29:$ASR$641</definedName>
    <definedName name="Z_2973D9BD_01C2_46B6_B2EA_DF436F865442_.wvu.FilterData" localSheetId="0" hidden="1">'ТР нефть'!$A$29:$ASS$641</definedName>
    <definedName name="Z_298DB58D_A1D0_439F_A434_868FF14DAB7D_.wvu.FilterData" localSheetId="0" hidden="1">'ТР нефть'!$A$29:$ASS$641</definedName>
    <definedName name="Z_29DE9674_D6CE_42C8_9415_A1B7DC42A4FB_.wvu.FilterData" localSheetId="0" hidden="1">'ТР нефть'!$A$29:$ASR$641</definedName>
    <definedName name="Z_29EBE115_26E8_47E7_B54A_D5A1FF926FC2_.wvu.FilterData" localSheetId="0" hidden="1">'ТР нефть'!$A$29:$ASU$641</definedName>
    <definedName name="Z_2A646C73_797D_4C22_AFF9_5118B4237059_.wvu.FilterData" localSheetId="0" hidden="1">'ТР нефть'!$A$29:$ASU$641</definedName>
    <definedName name="Z_2A685E22_974B_4F94_B7CC_1E2FB9D654ED_.wvu.FilterData" localSheetId="0" hidden="1">'ТР нефть'!$A$29:$ASS$641</definedName>
    <definedName name="Z_2A73EA48_889A_4F52_A380_934FBF87A91B_.wvu.FilterData" localSheetId="0" hidden="1">'ТР нефть'!$A$29:$ASR$641</definedName>
    <definedName name="Z_2A75E4F7_0923_4706_899F_D139C4AC21C6_.wvu.FilterData" localSheetId="0" hidden="1">'ТР нефть'!$A$29:$ASR$641</definedName>
    <definedName name="Z_2A7D074D_AA21_4B79_BD79_AFB00A4E52D9_.wvu.FilterData" localSheetId="0" hidden="1">'ТР нефть'!$A$29:$ASS$641</definedName>
    <definedName name="Z_2A83B899_2B39_4512_B8FD_6B397101F9F0_.wvu.FilterData" localSheetId="0" hidden="1">'ТР нефть'!$A$29:$ASR$641</definedName>
    <definedName name="Z_2AA8C9D9_8125_4442_A611_EFC446518ED4_.wvu.FilterData" localSheetId="0" hidden="1">'ТР нефть'!$A$29:$MM$604</definedName>
    <definedName name="Z_2AA9B4AB_F64F_46A5_932A_21781291649F_.wvu.FilterData" localSheetId="0" hidden="1">'ТР нефть'!$A$29:$MM$641</definedName>
    <definedName name="Z_2AB723D1_8979_44BB_939E_C30BA0511197_.wvu.FilterData" localSheetId="0" hidden="1">'ТР нефть'!$A$29:$ASU$641</definedName>
    <definedName name="Z_2AEF0211_DEB3_4579_B824_2DBAC31147C1_.wvu.FilterData" localSheetId="0" hidden="1">'ТР нефть'!$A$29:$ARU$641</definedName>
    <definedName name="Z_2B19D14A_9099_465D_B4B7_FF863F9F1165_.wvu.FilterData" localSheetId="0" hidden="1">'ТР нефть'!$A$29:$ASS$641</definedName>
    <definedName name="Z_2B236CBF_F954_4783_956C_16F4122BEC1F_.wvu.FilterData" localSheetId="0" hidden="1">'ТР нефть'!$A$29:$ASS$641</definedName>
    <definedName name="Z_2B45F5B1_226D_4EED_AE94_BABA8C1C3CE3_.wvu.FilterData" localSheetId="0" hidden="1">'ТР нефть'!$A$29:$MM$641</definedName>
    <definedName name="Z_2B704ED2_FB1D_4A37_91BE_C89B2890C583_.wvu.FilterData" localSheetId="0" hidden="1">'ТР нефть'!$A$29:$ASS$641</definedName>
    <definedName name="Z_2B74AC74_AD7B_45C1_BB1B_0DC075D62159_.wvu.FilterData" localSheetId="0" hidden="1">'ТР нефть'!$A$29:$MM$641</definedName>
    <definedName name="Z_2BD27045_91AB_492E_A68C_F22128A7F447_.wvu.FilterData" localSheetId="0" hidden="1">'ТР нефть'!$A$26:$ASU$641</definedName>
    <definedName name="Z_2C0889D7_FFC7_48DD_A5D4_7A947DD9372F_.wvu.FilterData" localSheetId="0" hidden="1">'ТР нефть'!$A$29:$ASR$641</definedName>
    <definedName name="Z_2C353261_746E_4CBA_9D73_865D57AB00D8_.wvu.FilterData" localSheetId="0" hidden="1">'ТР нефть'!$A$29:$ASS$641</definedName>
    <definedName name="Z_2C45EC08_192C_4BE9_B4E8_C6B0E308C4BA_.wvu.FilterData" localSheetId="0" hidden="1">'ТР нефть'!$A$28:$ASU$641</definedName>
    <definedName name="Z_2C76B9EC_5BC9_47D0_A4B7_756DB56A2EEC_.wvu.FilterData" localSheetId="0" hidden="1">'ТР нефть'!$A$29:$ASR$641</definedName>
    <definedName name="Z_2C7A5228_6E6A_4CAF_A7EF_64E5F27E8F51_.wvu.FilterData" localSheetId="0" hidden="1">'ТР нефть'!$A$29:$MM$604</definedName>
    <definedName name="Z_2C7EA6AD_F018_4A5E_AFD2_2209F0F3E6B2_.wvu.FilterData" localSheetId="0" hidden="1">'ТР нефть'!$A$29:$MM$641</definedName>
    <definedName name="Z_2C8CC6AC_374D_4BE4_9C9A_D3E43DCB2838_.wvu.FilterData" localSheetId="0" hidden="1">'ТР нефть'!$A$29:$MM$641</definedName>
    <definedName name="Z_2CC35312_5806_4A79_A76B_1FA28FC882E9_.wvu.FilterData" localSheetId="0" hidden="1">'ТР нефть'!$A$29:$ASS$641</definedName>
    <definedName name="Z_2CC56CA8_E04E_419A_917F_B80EAE8C31B5_.wvu.FilterData" localSheetId="0" hidden="1">'ТР нефть'!$A$29:$ASR$641</definedName>
    <definedName name="Z_2CCDB608_91B4_4755_A2D1_E62F436FBEBD_.wvu.FilterData" localSheetId="0" hidden="1">'ТР нефть'!$A$29:$ASS$641</definedName>
    <definedName name="Z_2CD6F229_01CE_427B_9893_A99F57F95462_.wvu.FilterData" localSheetId="0" hidden="1">'ТР нефть'!$A$29:$ASS$641</definedName>
    <definedName name="Z_2CE2A02D_B61B_4D32_8627_013C1ECF2927_.wvu.FilterData" localSheetId="0" hidden="1">'ТР нефть'!$A$29:$ASS$641</definedName>
    <definedName name="Z_2CF8270E_A232_4F00_9E05_C754B852A402_.wvu.FilterData" localSheetId="0" hidden="1">'ТР нефть'!$A$29:$ASS$641</definedName>
    <definedName name="Z_2D6DF30C_C66A_468A_A98B_777FAB0E451B_.wvu.FilterData" localSheetId="0" hidden="1">'ТР нефть'!#REF!</definedName>
    <definedName name="Z_2D8BD5D2_511B_4379_877D_99E9FFAD23AE_.wvu.FilterData" localSheetId="0" hidden="1">'ТР нефть'!$A$29:$ASR$641</definedName>
    <definedName name="Z_2D9FCAB6_CCD0_4D9D_8A35_8E3E95822EE7_.wvu.FilterData" localSheetId="0" hidden="1">'ТР нефть'!$A$29:$ASR$641</definedName>
    <definedName name="Z_2DB52052_7577_44F5_96F2_8584C81E11D8_.wvu.FilterData" localSheetId="0" hidden="1">'ТР нефть'!$A$29:$MM$641</definedName>
    <definedName name="Z_2DC6DD49_6459_4FC6_A891_B0FE9AE13C40_.wvu.FilterData" localSheetId="0" hidden="1">'ТР нефть'!$A$29:$ASS$641</definedName>
    <definedName name="Z_2DF06F16_9906_4394_819D_2CD7B2EBB398_.wvu.FilterData" localSheetId="1" hidden="1">Протокол!$A$16:$BD$499</definedName>
    <definedName name="Z_2DF06F16_9906_4394_819D_2CD7B2EBB398_.wvu.FilterData" localSheetId="0" hidden="1">'ТР нефть'!$A$28:$ASU$641</definedName>
    <definedName name="Z_2DF6E1FF_BDCB_4727_9AC2_B133404AF837_.wvu.FilterData" localSheetId="0" hidden="1">'ТР нефть'!$A$29:$ASR$641</definedName>
    <definedName name="Z_2E1ED9B4_31E0_417F_9325_F5CA2FBFDDD9_.wvu.FilterData" localSheetId="0" hidden="1">'ТР нефть'!$A$29:$ASS$641</definedName>
    <definedName name="Z_2E47009B_B696_4A69_B9EE_CA9936EE6B86_.wvu.FilterData" localSheetId="0" hidden="1">'ТР нефть'!$A$28:$ASU$641</definedName>
    <definedName name="Z_2E54BF7B_3A42_471F_B8C7_5D67B684FA4C_.wvu.FilterData" localSheetId="0" hidden="1">'ТР нефть'!$A$29:$ASR$641</definedName>
    <definedName name="Z_2F2421C1_27C9_4B71_95D5_A1DA3CEB43CF_.wvu.FilterData" localSheetId="0" hidden="1">'ТР нефть'!$A$29:$ASS$641</definedName>
    <definedName name="Z_2F42ED6C_14B8_48A0_A09D_14D60D9CBDD3_.wvu.FilterData" localSheetId="0" hidden="1">'ТР нефть'!$A$28:$ASU$641</definedName>
    <definedName name="Z_2F4BF2B3_E03D_4C21_83CA_2A47725239AD_.wvu.FilterData" localSheetId="0" hidden="1">'ТР нефть'!$A$29:$ASR$641</definedName>
    <definedName name="Z_2F57A6F4_4372_4C0F_AF6E_A9D3790B69E7_.wvu.FilterData" localSheetId="0" hidden="1">'ТР нефть'!$A$28:$ASU$641</definedName>
    <definedName name="Z_2F8A056E_32DF_40C1_B9F6_E44D09749F33_.wvu.FilterData" localSheetId="0" hidden="1">'ТР нефть'!$A$29:$ASR$641</definedName>
    <definedName name="Z_2F90ABEC_805E_417F_8FB1_56A07D123A74_.wvu.FilterData" localSheetId="0" hidden="1">'ТР нефть'!$A$29:$ASR$641</definedName>
    <definedName name="Z_2FBC10DC_2255_467C_9E31_3196E59AB8E0_.wvu.FilterData" localSheetId="0" hidden="1">'ТР нефть'!$A$29:$ASS$641</definedName>
    <definedName name="Z_30094FC9_49AC_40BE_8F6D_11B49A00F694_.wvu.FilterData" localSheetId="0" hidden="1">'ТР нефть'!$A$29:$ASS$641</definedName>
    <definedName name="Z_300A0CD6_4975_4967_ADC1_8AA189D73C0C_.wvu.FilterData" localSheetId="0" hidden="1">'ТР нефть'!$A$29:$ASS$641</definedName>
    <definedName name="Z_302E86FB_D781_4E77_AD78_CE09EFF91CC4_.wvu.FilterData" localSheetId="0" hidden="1">'ТР нефть'!$A$29:$MM$641</definedName>
    <definedName name="Z_30452811_170F_4B84_8C8F_62FF1846E835_.wvu.FilterData" localSheetId="1" hidden="1">Протокол!$A$316:$BD$326</definedName>
    <definedName name="Z_3070A1C3_8E77_47C0_8525_CA8FDA8A5A37_.wvu.FilterData" localSheetId="0" hidden="1">'ТР нефть'!$A$29:$ARU$641</definedName>
    <definedName name="Z_30A69CEF_BBF9_4B12_8859_9DECD832F075_.wvu.FilterData" localSheetId="0" hidden="1">'ТР нефть'!$A$29:$MM$641</definedName>
    <definedName name="Z_30F10537_02D8_4B8F_B962_ED6AF1FE2BBA_.wvu.FilterData" localSheetId="0" hidden="1">'ТР нефть'!$A$29:$ASR$641</definedName>
    <definedName name="Z_30F4362A_875A_461D_B821_718742C383CF_.wvu.FilterData" localSheetId="0" hidden="1">'ТР нефть'!$A$29:$ASR$641</definedName>
    <definedName name="Z_30F7CD50_D770_406B_92FE_A2715B599095_.wvu.FilterData" localSheetId="0" hidden="1">'ТР нефть'!$A$28:$ASU$642</definedName>
    <definedName name="Z_311B0BEF_A97B_4A39_BE62_03E33392C808_.wvu.FilterData" localSheetId="0" hidden="1">'ТР нефть'!$A$29:$MM$641</definedName>
    <definedName name="Z_311F8546_6B62_42A1_B23B_A1904D975929_.wvu.FilterData" localSheetId="0" hidden="1">'ТР нефть'!$A$29:$ASR$641</definedName>
    <definedName name="Z_318D5F67_4C12_46A4_BE76_11B86434676E_.wvu.FilterData" localSheetId="0" hidden="1">'ТР нефть'!$A$29:$ASS$641</definedName>
    <definedName name="Z_31A77C70_F86F_4D16_9AF1_FD30B1727F42_.wvu.FilterData" localSheetId="0" hidden="1">'ТР нефть'!$A$29:$MM$641</definedName>
    <definedName name="Z_31C1913C_6635_45DA_85EE_FB4E943BF45E_.wvu.FilterData" localSheetId="0" hidden="1">'ТР нефть'!$A$26:$ASU$641</definedName>
    <definedName name="Z_31CEBB9E_FF80_46D7_A666_E56DBCA1588D_.wvu.FilterData" localSheetId="0" hidden="1">'ТР нефть'!$A$29:$MM$641</definedName>
    <definedName name="Z_31E47FA5_5FAC_4D58_9539_A7E86D3B04BF_.wvu.FilterData" localSheetId="0" hidden="1">'ТР нефть'!$A$28:$ASU$641</definedName>
    <definedName name="Z_320432BA_6AF8_4806_BC30_60A1EF6F718F_.wvu.FilterData" localSheetId="0" hidden="1">'ТР нефть'!$A$29:$MM$641</definedName>
    <definedName name="Z_32263651_BE31_40E8_BB48_838E3D37ACFE_.wvu.FilterData" localSheetId="0" hidden="1">'ТР нефть'!$A$29:$ASR$641</definedName>
    <definedName name="Z_32908F43_76A7_4177_8ACD_C4F641D4AA01_.wvu.FilterData" localSheetId="0" hidden="1">'ТР нефть'!$A$29:$ARU$641</definedName>
    <definedName name="Z_32B6B118_82AA_46BA_9078_D4F22AD0CE80_.wvu.FilterData" localSheetId="0" hidden="1">'ТР нефть'!$A$29:$ASR$641</definedName>
    <definedName name="Z_32D1C038_E352_46F8_9614_A8FE83A15BD3_.wvu.FilterData" localSheetId="0" hidden="1">'ТР нефть'!$A$29:$ASS$641</definedName>
    <definedName name="Z_332D04EC_42F8_409C_B956_C2D3D9E3DC01_.wvu.FilterData" localSheetId="0" hidden="1">'ТР нефть'!$A$29:$MM$641</definedName>
    <definedName name="Z_33301392_B8B5_4307_8320_89A24DE978DF_.wvu.FilterData" localSheetId="0" hidden="1">'ТР нефть'!$A$29:$MM$641</definedName>
    <definedName name="Z_333BC309_78A1_4896_8AE6_A4C36E29B754_.wvu.FilterData" localSheetId="0" hidden="1">'ТР нефть'!$A$26:$ASU$641</definedName>
    <definedName name="Z_3358D5DF_A870_4226_A9C8_E4E61617D582_.wvu.FilterData" localSheetId="0" hidden="1">'ТР нефть'!$A$29:$ASU$641</definedName>
    <definedName name="Z_337268BC_8BF6_49B6_B097_C796F1F54BB8_.wvu.FilterData" localSheetId="0" hidden="1">'ТР нефть'!$A$28:$ASU$641</definedName>
    <definedName name="Z_337B1C98_99EC_4B94_A02A_19B560BA35EA_.wvu.FilterData" localSheetId="0" hidden="1">'ТР нефть'!$A$29:$ASS$641</definedName>
    <definedName name="Z_339A8351_BD1E_4629_A099_2CE1B341A3DF_.wvu.FilterData" localSheetId="0" hidden="1">'ТР нефть'!$A$29:$MM$641</definedName>
    <definedName name="Z_339C701E_AA47_4F33_AFC2_3DFAA503210A_.wvu.FilterData" localSheetId="0" hidden="1">'ТР нефть'!$A$29:$ASS$641</definedName>
    <definedName name="Z_33D63854_65A9_4168_8E12_02EDC588A3A8_.wvu.FilterData" localSheetId="0" hidden="1">'ТР нефть'!#REF!</definedName>
    <definedName name="Z_33F8D966_CB59_4B87_8ABB_F675D3CE3CF5_.wvu.FilterData" localSheetId="0" hidden="1">'ТР нефть'!$A$29:$MM$604</definedName>
    <definedName name="Z_341E4D99_2FCA_4154_9590_C8B1E6B8E474_.wvu.FilterData" localSheetId="0" hidden="1">'ТР нефть'!$A$29:$ARU$641</definedName>
    <definedName name="Z_342C1F82_83B5_4B00_B754_B64CB6F3053F_.wvu.FilterData" localSheetId="0" hidden="1">'ТР нефть'!$A$29:$ASS$641</definedName>
    <definedName name="Z_3438CF70_5441_49FC_A068_79E3C8758023_.wvu.FilterData" localSheetId="0" hidden="1">'ТР нефть'!$A$29:$ASS$641</definedName>
    <definedName name="Z_34455920_ECB2_41FD_8950_196CC7EF4437_.wvu.FilterData" localSheetId="0" hidden="1">'ТР нефть'!$A$29:$MM$604</definedName>
    <definedName name="Z_345D7D06_B9E1_4265_A730_84D6D51C22B9_.wvu.FilterData" localSheetId="0" hidden="1">'ТР нефть'!#REF!</definedName>
    <definedName name="Z_345DE6CE_63D4_4C13_BE57_E45E19DB738B_.wvu.FilterData" localSheetId="0" hidden="1">'ТР нефть'!$A$29:$MM$641</definedName>
    <definedName name="Z_34782E84_30C6_41F3_9471_138DFF923F7C_.wvu.FilterData" localSheetId="0" hidden="1">'ТР нефть'!$A$29:$MM$641</definedName>
    <definedName name="Z_349C4F93_1AC1_4947_990E_F312BCAD2907_.wvu.FilterData" localSheetId="0" hidden="1">'ТР нефть'!$A$26:$ASU$641</definedName>
    <definedName name="Z_34E5D5C0_5259_4339_9A7B_003A3529CAA9_.wvu.FilterData" localSheetId="0" hidden="1">'ТР нефть'!$A$26:$ASU$641</definedName>
    <definedName name="Z_34EF4863_6170_4BCF_8CD2_7AF4933AFF22_.wvu.FilterData" localSheetId="0" hidden="1">'ТР нефть'!$A$29:$ASS$641</definedName>
    <definedName name="Z_351D1593_33EA_4514_917A_AE26F6662420_.wvu.FilterData" localSheetId="0" hidden="1">'ТР нефть'!$A$29:$ASR$641</definedName>
    <definedName name="Z_351F434A_A033_4A1B_8192_A0DA671D8E32_.wvu.FilterData" localSheetId="0" hidden="1">'ТР нефть'!$A$29:$ASR$641</definedName>
    <definedName name="Z_3539EA05_BA3B_44A7_9202_E0A2FAD3C919_.wvu.FilterData" localSheetId="0" hidden="1">'ТР нефть'!$A$28:$ASU$641</definedName>
    <definedName name="Z_354FF418_FB3E_4AE2_AE1B_AEE46912319A_.wvu.FilterData" localSheetId="1" hidden="1">Протокол!$A$316:$BD$326</definedName>
    <definedName name="Z_35516FDA_A4EF_443D_BE3E_286971600496_.wvu.FilterData" localSheetId="0" hidden="1">'ТР нефть'!$A$29:$ASU$641</definedName>
    <definedName name="Z_355A51CB_8145_44FD_8D6C_6745E159BAE7_.wvu.FilterData" localSheetId="1" hidden="1">Протокол!$A$407:$BD$467</definedName>
    <definedName name="Z_35662716_765D_403B_AF52_5542A07CF895_.wvu.PrintArea" localSheetId="1" hidden="1">Протокол!$B$16:$BD$400</definedName>
    <definedName name="Z_35662716_765D_403B_AF52_5542A07CF895_.wvu.PrintTitles" localSheetId="1" hidden="1">Протокол!$37:$38</definedName>
    <definedName name="Z_35662716_765D_403B_AF52_5542A07CF895_.wvu.Rows" localSheetId="1" hidden="1">Протокол!$40:$56,Протокол!#REF!,Протокол!$112:$133,Протокол!#REF!,Протокол!#REF!,Протокол!#REF!</definedName>
    <definedName name="Z_35CF869A_28E1_4E8D_807C_9625097E7BFF_.wvu.FilterData" localSheetId="0" hidden="1">'ТР нефть'!$A$29:$MM$641</definedName>
    <definedName name="Z_35DCEFDF_32F2_4C38_996B_D5CE8BE57DF0_.wvu.FilterData" localSheetId="1" hidden="1">Протокол!$A$16:$BD$499</definedName>
    <definedName name="Z_36117205_CF2C_4DD7_A77F_1FAE98BE3A5F_.wvu.FilterData" localSheetId="0" hidden="1">'ТР нефть'!$A$29:$ASR$641</definedName>
    <definedName name="Z_3644188D_84F8_4133_81DC_4FF5FF3E387E_.wvu.FilterData" localSheetId="0" hidden="1">'ТР нефть'!$A$29:$MM$641</definedName>
    <definedName name="Z_3645C473_DBDF_4791_B250_08B0EE83899E_.wvu.FilterData" localSheetId="0" hidden="1">'ТР нефть'!$A$29:$ASS$641</definedName>
    <definedName name="Z_365FC956_5209_4F01_B7C1_73A97A0A42D5_.wvu.FilterData" localSheetId="0" hidden="1">'ТР нефть'!$A$29:$MM$604</definedName>
    <definedName name="Z_36E8BACD_E6DD_4F96_AA70_634C8D968770_.wvu.FilterData" localSheetId="0" hidden="1">'ТР нефть'!$A$29:$ASS$641</definedName>
    <definedName name="Z_36EF87FA_694E_493A_81AD_682C5B24BE18_.wvu.FilterData" localSheetId="0" hidden="1">'ТР нефть'!$A$29:$ASU$641</definedName>
    <definedName name="Z_36F2C0D2_BD52_46AD_B2FA_E1D0DB326A0C_.wvu.FilterData" localSheetId="0" hidden="1">'ТР нефть'!$A$29:$ASS$641</definedName>
    <definedName name="Z_36FFBEB6_A58A_4251_9EE7_EFB0177CE370_.wvu.FilterData" localSheetId="0" hidden="1">'ТР нефть'!$A$26:$ASU$641</definedName>
    <definedName name="Z_3760A91F_5F51_4AB4_9ABB_B153CB4E86BF_.wvu.FilterData" localSheetId="0" hidden="1">'ТР нефть'!$A$28:$ASU$642</definedName>
    <definedName name="Z_376617DA_4C6A_45B7_9BC6_1B607069C7C6_.wvu.FilterData" localSheetId="0" hidden="1">'ТР нефть'!$A$29:$ASS$641</definedName>
    <definedName name="Z_376EC86B_5C36_4335_8B2D_F2E227A26A61_.wvu.FilterData" localSheetId="0" hidden="1">'ТР нефть'!$A$29:$ASS$641</definedName>
    <definedName name="Z_377402F7_EF08_4DCC_951F_B495F1F19A78_.wvu.FilterData" localSheetId="0" hidden="1">'ТР нефть'!$A$26:$ASU$641</definedName>
    <definedName name="Z_37756E03_3332_4CE4_8E5E_46F8F98A7F46_.wvu.PrintArea" localSheetId="1" hidden="1">Протокол!$A$16:$BD$399</definedName>
    <definedName name="Z_37756E03_3332_4CE4_8E5E_46F8F98A7F46_.wvu.Rows" localSheetId="1" hidden="1">Протокол!#REF!</definedName>
    <definedName name="Z_378D28C5_D28D_425A_981D_A131997E641C_.wvu.FilterData" localSheetId="0" hidden="1">'ТР нефть'!$A$29:$ASS$641</definedName>
    <definedName name="Z_37D3F488_3869_4A55_81D8_608966D8F03E_.wvu.FilterData" localSheetId="0" hidden="1">'ТР нефть'!$A$28:$ASU$641</definedName>
    <definedName name="Z_37D7F27D_4073_4083_BF21_BA1E0E929CE2_.wvu.FilterData" localSheetId="0" hidden="1">'ТР нефть'!$A$29:$ASR$641</definedName>
    <definedName name="Z_37DE0BCA_0A2D_4C1F_865F_ACFA5FB90AB7_.wvu.FilterData" localSheetId="0" hidden="1">'ТР нефть'!$A$28:$ASU$639</definedName>
    <definedName name="Z_37F22C1A_A083_4F94_9E73_940901F5CFAD_.wvu.FilterData" localSheetId="0" hidden="1">'ТР нефть'!$A$28:$ASU$641</definedName>
    <definedName name="Z_37FE664B_9A59_4906_A54A_72D36D119F3B_.wvu.FilterData" localSheetId="0" hidden="1">'ТР нефть'!$A$28:$ASU$641</definedName>
    <definedName name="Z_3802BB8B_9977_4A2E_8817_7C29D0334A0E_.wvu.FilterData" localSheetId="0" hidden="1">'ТР нефть'!$A$29:$ASS$641</definedName>
    <definedName name="Z_381EE998_A5C4_4E4B_8E22_041D0F0A5A4B_.wvu.FilterData" localSheetId="0" hidden="1">'ТР нефть'!$A$29:$ASU$641</definedName>
    <definedName name="Z_38736D3C_057B_4814_BA33_F61C549BEEE1_.wvu.FilterData" localSheetId="0" hidden="1">'ТР нефть'!$A$28:$ASU$641</definedName>
    <definedName name="Z_38F923E0_CE2D_445A_A211_CBC12FB4B264_.wvu.FilterData" localSheetId="0" hidden="1">'ТР нефть'!$A$29:$ASS$641</definedName>
    <definedName name="Z_38F93DD6_A1E8_415E_A3E4_02BD664F0930_.wvu.Cols" localSheetId="1" hidden="1">Протокол!#REF!,Протокол!#REF!</definedName>
    <definedName name="Z_38F93DD6_A1E8_415E_A3E4_02BD664F0930_.wvu.Cols" localSheetId="0" hidden="1">'ТР нефть'!$A:$A,'ТР нефть'!$C:$G,'ТР нефть'!$K:$N,'ТР нефть'!$U:$AT,'ТР нефть'!$AV:$CH,'ТР нефть'!$BW:$BW,'ТР нефть'!$CD:$CD,'ТР нефть'!$CI:$CM,'ТР нефть'!$DA:$ED,'ТР нефть'!$EU:$FI</definedName>
    <definedName name="Z_38F93DD6_A1E8_415E_A3E4_02BD664F0930_.wvu.FilterData" localSheetId="1" hidden="1">Протокол!$A$407:$BD$456</definedName>
    <definedName name="Z_38F93DD6_A1E8_415E_A3E4_02BD664F0930_.wvu.FilterData" localSheetId="0" hidden="1">'ТР нефть'!$A$26:$ASU$641</definedName>
    <definedName name="Z_38F93DD6_A1E8_415E_A3E4_02BD664F0930_.wvu.PrintArea" localSheetId="1" hidden="1">Протокол!$A$16:$BD$496</definedName>
    <definedName name="Z_38F93DD6_A1E8_415E_A3E4_02BD664F0930_.wvu.PrintArea" localSheetId="0" hidden="1">'ТР нефть'!$A$20:$DI$660</definedName>
    <definedName name="Z_38F93DD6_A1E8_415E_A3E4_02BD664F0930_.wvu.PrintTitles" localSheetId="0" hidden="1">'ТР нефть'!$25:$25</definedName>
    <definedName name="Z_38F93DD6_A1E8_415E_A3E4_02BD664F0930_.wvu.Rows" localSheetId="1" hidden="1">Протокол!#REF!,Протокол!$29:$29,Протокол!$33:$33,Протокол!#REF!,Протокол!#REF!,Протокол!$124:$133,Протокол!#REF!,Протокол!#REF!,Протокол!#REF!,Протокол!$254:$311,Протокол!$370:$397,Протокол!#REF!,Протокол!#REF!</definedName>
    <definedName name="Z_38F93DD6_A1E8_415E_A3E4_02BD664F0930_.wvu.Rows" localSheetId="0" hidden="1">'ТР нефть'!$20:$24,'ТР нефть'!#REF!</definedName>
    <definedName name="Z_390BE604_F66D_4733_8F55_4E1C7F26847E_.wvu.FilterData" localSheetId="0" hidden="1">'ТР нефть'!$A$29:$ASS$641</definedName>
    <definedName name="Z_390DA300_6A70_4A94_AC53_0DF4EE9E22F3_.wvu.FilterData" localSheetId="1" hidden="1">Протокол!$B$39:$BD$317</definedName>
    <definedName name="Z_3949B72A_AAEF_48AF_86F8_32E3A935D61F_.wvu.FilterData" localSheetId="0" hidden="1">'ТР нефть'!$ME$29:$ME$641</definedName>
    <definedName name="Z_394FB89D_0A3E_4275_8F04_999FD268A0DE_.wvu.FilterData" localSheetId="0" hidden="1">'ТР нефть'!$A$29:$MM$604</definedName>
    <definedName name="Z_39A27EF5_29C1_46BC_8E8C_C07788A59BF0_.wvu.FilterData" localSheetId="0" hidden="1">'ТР нефть'!$A$29:$ASR$641</definedName>
    <definedName name="Z_39ACF530_D204_4F13_AB6F_B99683CD8A5D_.wvu.FilterData" localSheetId="0" hidden="1">'ТР нефть'!$A$28:$ASU$639</definedName>
    <definedName name="Z_39C4E969_0530_4D93_87E8_8A687A2696F1_.wvu.FilterData" localSheetId="1" hidden="1">Протокол!$B$39:$BD$317</definedName>
    <definedName name="Z_39F0E5F6_3482_4BA7_BEF9_4EB13F4F4897_.wvu.FilterData" localSheetId="0" hidden="1">'ТР нефть'!$A$29:$MM$641</definedName>
    <definedName name="Z_39F967A2_02A6_464D_8D37_860557D00050_.wvu.FilterData" localSheetId="0" hidden="1">'ТР нефть'!$A$29:$MM$641</definedName>
    <definedName name="Z_3A172BF4_9AB1_4BE2_9C5F_6EC427D2E1F6_.wvu.FilterData" localSheetId="0" hidden="1">'ТР нефть'!$A$29:$MM$641</definedName>
    <definedName name="Z_3A22AAF4_94F8_4A06_83AA_5B9D75678772_.wvu.FilterData" localSheetId="0" hidden="1">'ТР нефть'!$A$29:$ASS$641</definedName>
    <definedName name="Z_3A2F3AC1_4675_4519_9743_4148DD0F4B8F_.wvu.FilterData" localSheetId="0" hidden="1">'ТР нефть'!$A$26:$ASU$641</definedName>
    <definedName name="Z_3A4C8B59_C34A_4CE5_A9E2_6925452912E2_.wvu.FilterData" localSheetId="0" hidden="1">'ТР нефть'!$A$29:$MM$641</definedName>
    <definedName name="Z_3A4E52AB_D204_478E_A7E4_9977195BAF1D_.wvu.FilterData" localSheetId="0" hidden="1">'ТР нефть'!$A$29:$ASU$641</definedName>
    <definedName name="Z_3A993DA6_3164_4859_8FEC_19D24128DB3F_.wvu.FilterData" localSheetId="0" hidden="1">'ТР нефть'!$A$29:$ASS$641</definedName>
    <definedName name="Z_3AA534EA_ADDE_4953_AD4B_4B362CC393F5_.wvu.FilterData" localSheetId="0" hidden="1">'ТР нефть'!$A$29:$MM$641</definedName>
    <definedName name="Z_3ABF8923_FDF0_448C_AEA6_4EDB073039ED_.wvu.FilterData" localSheetId="0" hidden="1">'ТР нефть'!$A$29:$MM$604</definedName>
    <definedName name="Z_3ADADBD0_DB4B_4AF4_8735_92F4794CE039_.wvu.FilterData" localSheetId="0" hidden="1">'ТР нефть'!$A$29:$ASS$641</definedName>
    <definedName name="Z_3AF5B66D_51D0_4C0C_B0CA_400A5CA5F195_.wvu.FilterData" localSheetId="0" hidden="1">'ТР нефть'!$A$26:$ASU$641</definedName>
    <definedName name="Z_3B152A9A_956D_4A93_863D_3606882D949F_.wvu.FilterData" localSheetId="0" hidden="1">'ТР нефть'!$A$26:$ASU$641</definedName>
    <definedName name="Z_3B64D95E_E573_496D_BDBC_78869C7EF15C_.wvu.FilterData" localSheetId="0" hidden="1">'ТР нефть'!$A$29:$MM$604</definedName>
    <definedName name="Z_3B6A4312_715D_49E4_8C00_71AC37414D41_.wvu.FilterData" localSheetId="0" hidden="1">'ТР нефть'!$A$29:$ASR$641</definedName>
    <definedName name="Z_3B779181_A23D_436C_9E78_4004C1790522_.wvu.FilterData" localSheetId="0" hidden="1">'ТР нефть'!$A$29:$ASR$641</definedName>
    <definedName name="Z_3BA9B865_C3C5_4611_8CED_2477A61582CF_.wvu.FilterData" localSheetId="0" hidden="1">'ТР нефть'!$A$29:$MM$641</definedName>
    <definedName name="Z_3BF455E8_11F1_429E_856B_373A0287D4B9_.wvu.FilterData" localSheetId="0" hidden="1">'ТР нефть'!$A$29:$ASS$641</definedName>
    <definedName name="Z_3BF627ED_C2BC_4EE2_8325_21570698DC30_.wvu.FilterData" localSheetId="0" hidden="1">'ТР нефть'!$A$29:$ASR$641</definedName>
    <definedName name="Z_3C15FAC8_F415_442F_A833_9B716F8E1D41_.wvu.FilterData" localSheetId="0" hidden="1">'ТР нефть'!$A$29:$ASS$641</definedName>
    <definedName name="Z_3C217946_BBC1_4E84_B1F7_9575ACEABA3F_.wvu.FilterData" localSheetId="0" hidden="1">'ТР нефть'!$A$29:$MM$641</definedName>
    <definedName name="Z_3C375833_715B_4A81_BB3C_11131D3CDE3B_.wvu.FilterData" localSheetId="0" hidden="1">'ТР нефть'!$A$29:$MM$604</definedName>
    <definedName name="Z_3C46BDB0_B2ED_4478_9939_1599AD4BD445_.wvu.FilterData" localSheetId="0" hidden="1">'ТР нефть'!$A$26:$ASU$641</definedName>
    <definedName name="Z_3C518E1E_656B_45D5_A01E_C9855C90C21E_.wvu.FilterData" localSheetId="0" hidden="1">'ТР нефть'!$A$26:$ASU$641</definedName>
    <definedName name="Z_3C632DE0_8569_4E99_AADE_A19679E53A11_.wvu.FilterData" localSheetId="0" hidden="1">'ТР нефть'!$A$29:$ASR$641</definedName>
    <definedName name="Z_3C66F5A5_C4AE_4E10_AEA9_5F19FFAA35A7_.wvu.FilterData" localSheetId="0" hidden="1">'ТР нефть'!$A$29:$ASR$641</definedName>
    <definedName name="Z_3C7BDDAA_0C44_451F_9ACA_1A381DDC84ED_.wvu.FilterData" localSheetId="0" hidden="1">'ТР нефть'!$A$29:$ASR$641</definedName>
    <definedName name="Z_3C7C36E5_74F1_4CCC_B097_EB4859EBF531_.wvu.FilterData" localSheetId="0" hidden="1">'ТР нефть'!$A$29:$MM$604</definedName>
    <definedName name="Z_3C827DB0_EF5F_4ABC_8499_9843C66AFF1A_.wvu.FilterData" localSheetId="0" hidden="1">'ТР нефть'!$A$28:$ASU$639</definedName>
    <definedName name="Z_3C89A5E8_32C9_4D41_9B94_4945F4D1F2C3_.wvu.FilterData" localSheetId="0" hidden="1">'ТР нефть'!$A$28:$ASU$641</definedName>
    <definedName name="Z_3C98D880_BA87_4EF7_AA4A_072E66CD935F_.wvu.FilterData" localSheetId="0" hidden="1">'ТР нефть'!$A$29:$ASS$641</definedName>
    <definedName name="Z_3C9BFBFE_E6AC_422E_9E0A_3B3BC599CE6F_.wvu.FilterData" localSheetId="0" hidden="1">'ТР нефть'!$A$29:$ASR$641</definedName>
    <definedName name="Z_3CA24BE9_8C07_4D14_ABC6_23D1C7C41C76_.wvu.FilterData" localSheetId="0" hidden="1">'ТР нефть'!$A$29:$MM$641</definedName>
    <definedName name="Z_3CC5D81D_D26A_4526_878D_8AC921300189_.wvu.FilterData" localSheetId="1" hidden="1">Протокол!$B$39:$BD$317</definedName>
    <definedName name="Z_3D63EDAD_6347_4C83_AAED_6943CBDD51FE_.wvu.FilterData" localSheetId="0" hidden="1">'ТР нефть'!$A$29:$MM$641</definedName>
    <definedName name="Z_3D863C93_6C74_4F30_9F74_A5BF7B6DD6F6_.wvu.FilterData" localSheetId="0" hidden="1">'ТР нефть'!$A$29:$ASU$641</definedName>
    <definedName name="Z_3DACFCB8_9A62_46D1_B49A_1E2D599751D6_.wvu.FilterData" localSheetId="0" hidden="1">'ТР нефть'!$A$26:$ASU$641</definedName>
    <definedName name="Z_3DCC8472_113F_499B_9A62_568BE04ACC18_.wvu.FilterData" localSheetId="0" hidden="1">'ТР нефть'!$A$29:$ASS$641</definedName>
    <definedName name="Z_3DE9E9CC_17D8_4F6F_B0F8_1FF24F6F1B08_.wvu.FilterData" localSheetId="0" hidden="1">'ТР нефть'!$A$29:$MM$604</definedName>
    <definedName name="Z_3E08FB6E_A0D9_456C_9D97_496012639E69_.wvu.FilterData" localSheetId="0" hidden="1">'ТР нефть'!$A$29:$ARU$641</definedName>
    <definedName name="Z_3E0D8347_0F83_4367_9A1C_7F358B848646_.wvu.FilterData" localSheetId="0" hidden="1">'ТР нефть'!$A$29:$ASU$641</definedName>
    <definedName name="Z_3E0EF16F_3004_496A_94C7_9C63B9D35969_.wvu.FilterData" localSheetId="0" hidden="1">'ТР нефть'!$A$29:$ARU$641</definedName>
    <definedName name="Z_3E374437_CCAC_4944_9F69_3CE2B7AAD790_.wvu.FilterData" localSheetId="0" hidden="1">'ТР нефть'!$A$29:$MM$641</definedName>
    <definedName name="Z_3E5F589A_B9F2_4C4E_87A7_E3740B28134B_.wvu.FilterData" localSheetId="0" hidden="1">'ТР нефть'!$A$26:$ASU$641</definedName>
    <definedName name="Z_3E87251F_031C_49D2_B352_0B743C7E351C_.wvu.FilterData" localSheetId="0" hidden="1">'ТР нефть'!$A$29:$MM$641</definedName>
    <definedName name="Z_3EB41C0C_FFFF_49A6_AEAF_9A71EF536F1F_.wvu.FilterData" localSheetId="0" hidden="1">'ТР нефть'!$A$29:$ASR$641</definedName>
    <definedName name="Z_3EBB8F78_F338_4998_81CD_52AEA1665C67_.wvu.FilterData" localSheetId="0" hidden="1">'ТР нефть'!$A$29:$MM$641</definedName>
    <definedName name="Z_3F14B8FF_178F_4BD9_822D_B8E2B6599F15_.wvu.FilterData" localSheetId="0" hidden="1">'ТР нефть'!$A$29:$ASR$641</definedName>
    <definedName name="Z_3F340B7C_AEB0_4F1F_BF70_EC01B896CF4C_.wvu.FilterData" localSheetId="0" hidden="1">'ТР нефть'!$A$29:$ASR$641</definedName>
    <definedName name="Z_3F638013_787E_4E6B_A4C2_44754FEE8960_.wvu.FilterData" localSheetId="0" hidden="1">'ТР нефть'!$A$28:$ASU$641</definedName>
    <definedName name="Z_3F91BE32_C124_4AF8_94BB_BDABE1242CCD_.wvu.FilterData" localSheetId="0" hidden="1">'ТР нефть'!$A$29:$MM$641</definedName>
    <definedName name="Z_3F9C0D9E_0A86_4B3A_8356_B6F287144E5D_.wvu.FilterData" localSheetId="0" hidden="1">'ТР нефть'!$A$29:$ASS$641</definedName>
    <definedName name="Z_3FB554C7_532F_40EB_B270_1F0124F1ACE3_.wvu.FilterData" localSheetId="0" hidden="1">'ТР нефть'!$A$28:$ASU$641</definedName>
    <definedName name="Z_3FC9CE42_675C_4411_AC93_A604E83054A0_.wvu.FilterData" localSheetId="0" hidden="1">'ТР нефть'!$A$28:$ASU$641</definedName>
    <definedName name="Z_3FE3AE8B_4ED1_4D5F_9ACB_4A30C8B07BCE_.wvu.FilterData" localSheetId="0" hidden="1">'ТР нефть'!$A$29:$ASR$641</definedName>
    <definedName name="Z_3FF3F81F_B485_443B_930E_536281C8334E_.wvu.FilterData" localSheetId="1" hidden="1">Протокол!$B$39:$BD$317</definedName>
    <definedName name="Z_3FF3F81F_B485_443B_930E_536281C8334E_.wvu.Rows" localSheetId="1" hidden="1">Протокол!$85:$85</definedName>
    <definedName name="Z_40387047_8D5A_463A_B090_D0803E4AB0BF_.wvu.FilterData" localSheetId="0" hidden="1">'ТР нефть'!$A$26:$ASU$641</definedName>
    <definedName name="Z_4043E4CD_65B1_452C_9CC0_E819163A676F_.wvu.FilterData" localSheetId="0" hidden="1">'ТР нефть'!$A$29:$MM$641</definedName>
    <definedName name="Z_405F4206_C6DA_4670_AAE0_35E83B3EB7DF_.wvu.FilterData" localSheetId="0" hidden="1">'ТР нефть'!$A$29:$ASR$641</definedName>
    <definedName name="Z_409C2669_0746_42B8_A0D9_A7E08FA1CFE3_.wvu.FilterData" localSheetId="0" hidden="1">'ТР нефть'!$A$29:$MM$604</definedName>
    <definedName name="Z_409E21AC_45C1_4E33_A039_69F722ED92B1_.wvu.FilterData" localSheetId="0" hidden="1">'ТР нефть'!$A$29:$MM$641</definedName>
    <definedName name="Z_40B27F8A_EFF6_4399_9E66_07D01585FFFE_.wvu.FilterData" localSheetId="0" hidden="1">'ТР нефть'!$A$29:$ASS$641</definedName>
    <definedName name="Z_40EC3EB8_B3EA_41ED_9BBE_8FD0E73E466B_.wvu.FilterData" localSheetId="0" hidden="1">'ТР нефть'!$A$28:$ASU$641</definedName>
    <definedName name="Z_40F03146_219E_4467_A97C_30E6EBD3A1FA_.wvu.FilterData" localSheetId="0" hidden="1">'ТР нефть'!$A$29:$ASR$641</definedName>
    <definedName name="Z_41054D37_7C71_4A42_85B3_A4A3E8A324E2_.wvu.FilterData" localSheetId="0" hidden="1">'ТР нефть'!$A$29:$ASS$641</definedName>
    <definedName name="Z_4116EF4C_FDBC_4E8E_B0C3_56BAE3649D43_.wvu.FilterData" localSheetId="0" hidden="1">'ТР нефть'!$A$28:$ASU$639</definedName>
    <definedName name="Z_4159F285_373C_42C7_8227_4C533BD04B3B_.wvu.FilterData" localSheetId="0" hidden="1">'ТР нефть'!#REF!</definedName>
    <definedName name="Z_4185372C_0019_473F_BB40_D1DDE9D43F19_.wvu.FilterData" localSheetId="0" hidden="1">'ТР нефть'!$A$29:$ASS$641</definedName>
    <definedName name="Z_41AA36B9_3623_4F76_B796_91B2C8A35049_.wvu.FilterData" localSheetId="0" hidden="1">'ТР нефть'!$A$29:$ARU$641</definedName>
    <definedName name="Z_420D3EFB_369F_4600_9ED3_682D40C61036_.wvu.FilterData" localSheetId="0" hidden="1">'ТР нефть'!$A$29:$MM$604</definedName>
    <definedName name="Z_42141B33_BE80_427C_8C12_87E150F45B68_.wvu.FilterData" localSheetId="0" hidden="1">'ТР нефть'!$A$29:$ASS$641</definedName>
    <definedName name="Z_422D8179_4DD3_4DC4_9779_50A831B4DD6A_.wvu.FilterData" localSheetId="0" hidden="1">'ТР нефть'!$A$28:$ASU$639</definedName>
    <definedName name="Z_42344247_9F55_405C_AFE1_582D9401A479_.wvu.FilterData" localSheetId="0" hidden="1">'ТР нефть'!$A$29:$ASS$641</definedName>
    <definedName name="Z_425D5D24_C09A_4717_9CC0_516F1BB7BD8E_.wvu.FilterData" localSheetId="0" hidden="1">'ТР нефть'!$A$29:$MM$641</definedName>
    <definedName name="Z_426A96B9_5530_4CA7_A526_125D4F45FEB9_.wvu.FilterData" localSheetId="0" hidden="1">'ТР нефть'!$A$29:$ASS$641</definedName>
    <definedName name="Z_42B49555_CDAB_4F7B_BEB3_1905064DD105_.wvu.FilterData" localSheetId="0" hidden="1">'ТР нефть'!$A$29:$ASR$641</definedName>
    <definedName name="Z_42EE35C3_6D97_44E3_88EF_E42844BEB997_.wvu.FilterData" localSheetId="0" hidden="1">'ТР нефть'!$A$29:$ASS$641</definedName>
    <definedName name="Z_43026AF8_B87C_4972_AFA7_8E07BA6DB047_.wvu.FilterData" localSheetId="0" hidden="1">'ТР нефть'!$A$29:$ASS$641</definedName>
    <definedName name="Z_43CF00C7_B74C_4EC3_BD48_25F422A978B3_.wvu.FilterData" localSheetId="0" hidden="1">'ТР нефть'!#REF!</definedName>
    <definedName name="Z_43DEE052_F81C_4790_8035_54B593B364B4_.wvu.FilterData" localSheetId="0" hidden="1">'ТР нефть'!$A$29:$ASR$641</definedName>
    <definedName name="Z_43EC2A01_3CDB_4AE4_B174_090F32601E81_.wvu.FilterData" localSheetId="0" hidden="1">'ТР нефть'!$A$26:$ASU$641</definedName>
    <definedName name="Z_43F11674_589A_41B4_8AAC_8E4DB1C41086_.wvu.FilterData" localSheetId="1" hidden="1">Протокол!$A$316:$BD$326</definedName>
    <definedName name="Z_43F11674_589A_41B4_8AAC_8E4DB1C41086_.wvu.FilterData" localSheetId="0" hidden="1">'ТР нефть'!$A$29:$MM$641</definedName>
    <definedName name="Z_4411F410_FC0E_4FA5_A76A_5D73AC6D7654_.wvu.FilterData" localSheetId="0" hidden="1">'ТР нефть'!$A$26:$ASU$641</definedName>
    <definedName name="Z_44584D22_FC5F_4B32_8944_0DD04FADE829_.wvu.FilterData" localSheetId="0" hidden="1">'ТР нефть'!$A$29:$ASR$641</definedName>
    <definedName name="Z_445E1AA4_59F0_4F14_B7EF_8FC20B3DEDAE_.wvu.FilterData" localSheetId="0" hidden="1">'ТР нефть'!$A$28:$ASU$641</definedName>
    <definedName name="Z_4477852D_54E3_4A70_ADC6_6502DA27506D_.wvu.FilterData" localSheetId="0" hidden="1">'ТР нефть'!$A$29:$ASR$641</definedName>
    <definedName name="Z_44B1AF43_BB3D_4FEA_A9D7_29334288555B_.wvu.FilterData" localSheetId="0" hidden="1">'ТР нефть'!$A$29:$ASR$641</definedName>
    <definedName name="Z_44E0F907_5862_4EAB_9DE2_53BDDD932D97_.wvu.FilterData" localSheetId="0" hidden="1">'ТР нефть'!$A$29:$ASS$641</definedName>
    <definedName name="Z_44EE2FE8_4BBB_4BBE_8E77_F0E112CF55D1_.wvu.FilterData" localSheetId="0" hidden="1">'ТР нефть'!$A$29:$ARU$641</definedName>
    <definedName name="Z_44FFB0F9_ACB0_4EFF_9EE9_B223472CA5BA_.wvu.FilterData" localSheetId="0" hidden="1">'ТР нефть'!$A$28:$ASU$642</definedName>
    <definedName name="Z_45160E31_15B7_4563_966F_B2CA4D6A2482_.wvu.FilterData" localSheetId="0" hidden="1">'ТР нефть'!$A$29:$ARU$641</definedName>
    <definedName name="Z_452C4906_17F7_4AF2_BF4E_504C7F68A39C_.wvu.FilterData" localSheetId="0" hidden="1">'ТР нефть'!$A$28:$ASU$642</definedName>
    <definedName name="Z_452DA663_BCE4_4819_A790_85224E40A115_.wvu.FilterData" localSheetId="0" hidden="1">'ТР нефть'!$A$29:$ARU$641</definedName>
    <definedName name="Z_4538B952_50C9_490C_9AE3_BEFD8250C826_.wvu.FilterData" localSheetId="0" hidden="1">'ТР нефть'!#REF!</definedName>
    <definedName name="Z_454FE769_CF40_47B6_9153_20D9EAED5134_.wvu.FilterData" localSheetId="1" hidden="1">Протокол!$A$407:$BD$407</definedName>
    <definedName name="Z_454FE769_CF40_47B6_9153_20D9EAED5134_.wvu.FilterData" localSheetId="0" hidden="1">'ТР нефть'!$A$29:$ASS$641</definedName>
    <definedName name="Z_45E2F134_E834_44BD_B995_BCD2F7FF3253_.wvu.FilterData" localSheetId="0" hidden="1">'ТР нефть'!$A$29:$ASS$641</definedName>
    <definedName name="Z_45E9816C_C273_44E4_BCCE_D4BA3A2AF2CF_.wvu.FilterData" localSheetId="0" hidden="1">'ТР нефть'!$A$26:$ASU$641</definedName>
    <definedName name="Z_46337A2C_237E_4658_AFF9_C825AA30C0BB_.wvu.FilterData" localSheetId="0" hidden="1">'ТР нефть'!$A$29:$ASU$641</definedName>
    <definedName name="Z_46417D4F_0BEA_4F2C_B370_09451459784F_.wvu.FilterData" localSheetId="0" hidden="1">'ТР нефть'!$A$29:$ASR$641</definedName>
    <definedName name="Z_466EEA3D_604F_412D_9FA5_FFB3F57577C3_.wvu.Cols" localSheetId="0" hidden="1">'ТР нефть'!$D:$G,'ТР нефть'!$CD:$CM,'ТР нефть'!$DG:$DG,'ТР нефть'!$DJ:$ED,'ТР нефть'!$MM:$MN,'ТР нефть'!$MP:$MP,'ТР нефть'!$MS:$NB,'ТР нефть'!$NM:$ASR</definedName>
    <definedName name="Z_466EEA3D_604F_412D_9FA5_FFB3F57577C3_.wvu.FilterData" localSheetId="1" hidden="1">Протокол!$A$16:$BD$499</definedName>
    <definedName name="Z_466EEA3D_604F_412D_9FA5_FFB3F57577C3_.wvu.FilterData" localSheetId="0" hidden="1">'ТР нефть'!$A$28:$ASU$639</definedName>
    <definedName name="Z_466EEA3D_604F_412D_9FA5_FFB3F57577C3_.wvu.PrintArea" localSheetId="1" hidden="1">Протокол!$A$1:$BE$491</definedName>
    <definedName name="Z_466EEA3D_604F_412D_9FA5_FFB3F57577C3_.wvu.PrintArea" localSheetId="0" hidden="1">'ТР нефть'!$B$1:$DY$646</definedName>
    <definedName name="Z_466EEA3D_604F_412D_9FA5_FFB3F57577C3_.wvu.PrintTitles" localSheetId="0" hidden="1">'ТР нефть'!$25:$25</definedName>
    <definedName name="Z_466EEA3D_604F_412D_9FA5_FFB3F57577C3_.wvu.Rows" localSheetId="1" hidden="1">Протокол!$16:$17,Протокол!$29:$30,Протокол!$96:$105,Протокол!$108:$157,Протокол!$159:$164,Протокол!$167:$171,Протокол!$196:$311,Протокол!$318:$318,Протокол!$337:$397,Протокол!$424:$464</definedName>
    <definedName name="Z_466EEA3D_604F_412D_9FA5_FFB3F57577C3_.wvu.Rows" localSheetId="0" hidden="1">'ТР нефть'!$1:$24,'ТР нефть'!#REF!</definedName>
    <definedName name="Z_46918800_7E47_4DDC_9B08_2E5665C92888_.wvu.FilterData" localSheetId="0" hidden="1">'ТР нефть'!$A$29:$ASS$641</definedName>
    <definedName name="Z_46A16FD8_8396_4BBD_9829_E60B1FAE38DB_.wvu.FilterData" localSheetId="0" hidden="1">'ТР нефть'!$A$29:$ASR$641</definedName>
    <definedName name="Z_46A71F96_2317_4520_A20A_04D2769CD55D_.wvu.FilterData" localSheetId="1" hidden="1">Протокол!#REF!</definedName>
    <definedName name="Z_46A71F96_2317_4520_A20A_04D2769CD55D_.wvu.FilterData" localSheetId="0" hidden="1">'ТР нефть'!$A$29:$MM$604</definedName>
    <definedName name="Z_46A8B888_4D35_49AC_8967_A71872A16E33_.wvu.FilterData" localSheetId="0" hidden="1">'ТР нефть'!$A$29:$ASS$641</definedName>
    <definedName name="Z_46B46D80_4030_4D02_9F0C_ACBA8AFBB7B5_.wvu.FilterData" localSheetId="0" hidden="1">'ТР нефть'!$A$29:$ASR$641</definedName>
    <definedName name="Z_4725FD92_A2D9_420B_B11E_6FE9BB0EF2C5_.wvu.FilterData" localSheetId="0" hidden="1">'ТР нефть'!$A$29:$ASR$641</definedName>
    <definedName name="Z_477B6F2F_B215_4CA8_897A_97F9983D2287_.wvu.FilterData" localSheetId="0" hidden="1">'ТР нефть'!$A$29:$ASS$641</definedName>
    <definedName name="Z_47998505_5DDE_48A5_B199_4F006502509C_.wvu.FilterData" localSheetId="0" hidden="1">'ТР нефть'!$A$29:$MM$641</definedName>
    <definedName name="Z_47BF0F53_1EFB_47EE_804F_26E209436E1B_.wvu.FilterData" localSheetId="0" hidden="1">'ТР нефть'!$A$29:$ASR$641</definedName>
    <definedName name="Z_47C7886C_E827_4B97_82DD_B82D20056932_.wvu.FilterData" localSheetId="0" hidden="1">'ТР нефть'!$A$29:$ASS$641</definedName>
    <definedName name="Z_47FF2F76_889F_49CA_998A_A2581E80D067_.wvu.FilterData" localSheetId="0" hidden="1">'ТР нефть'!$A$29:$ASS$641</definedName>
    <definedName name="Z_480B2731_6C9F_485A_960F_EC60EC42E1BF_.wvu.FilterData" localSheetId="0" hidden="1">'ТР нефть'!$A$29:$MM$641</definedName>
    <definedName name="Z_482B9563_4FEC_4F78_B2B1_77404A21C23B_.wvu.FilterData" localSheetId="0" hidden="1">'ТР нефть'!$A$29:$MM$641</definedName>
    <definedName name="Z_48750423_CC01_40A3_82AA_1C28DBD0A369_.wvu.FilterData" localSheetId="0" hidden="1">'ТР нефть'!$A$29:$MM$641</definedName>
    <definedName name="Z_48B557D0_92DE_4EEA_AA7A_3547F0DF9049_.wvu.FilterData" localSheetId="0" hidden="1">'ТР нефть'!$A$29:$MM$604</definedName>
    <definedName name="Z_48BCC07B_6A2E_40CC_8283_9B18FE5C0A71_.wvu.FilterData" localSheetId="0" hidden="1">'ТР нефть'!$A$26:$ASU$641</definedName>
    <definedName name="Z_4907DF04_497C_4362_ACE7_DA61E3886316_.wvu.FilterData" localSheetId="0" hidden="1">'ТР нефть'!$A$28:$ASU$642</definedName>
    <definedName name="Z_49465C0D_8305_429C_9D1C_8DF133B82578_.wvu.FilterData" localSheetId="0" hidden="1">'ТР нефть'!$A$28:$ASU$641</definedName>
    <definedName name="Z_4957D3A7_EB52_4322_B5A7_CB05EE71B2D0_.wvu.Cols" localSheetId="0" hidden="1">'ТР нефть'!$K:$N,'ТР нефть'!$AO:$AT,'ТР нефть'!$AV:$BJ,'ТР нефть'!$BL:$BL,'ТР нефть'!$BO:$BP,'ТР нефть'!$BR:$BU,'ТР нефть'!$BW:$BW,'ТР нефть'!$CD:$CD,'ТР нефть'!$CI:$CK,'ТР нефть'!$CT:$CT,'ТР нефть'!$CY:$ED,'ТР нефть'!$EU:$FJ,'ТР нефть'!$MQ:$MR,'ТР нефть'!$MT:$MT,'ТР нефть'!$MW:$NL</definedName>
    <definedName name="Z_4957D3A7_EB52_4322_B5A7_CB05EE71B2D0_.wvu.FilterData" localSheetId="1" hidden="1">Протокол!$A$182:$BG$311</definedName>
    <definedName name="Z_4957D3A7_EB52_4322_B5A7_CB05EE71B2D0_.wvu.FilterData" localSheetId="0" hidden="1">'ТР нефть'!$A$28:$ASU$641</definedName>
    <definedName name="Z_4957D3A7_EB52_4322_B5A7_CB05EE71B2D0_.wvu.PrintArea" localSheetId="1" hidden="1">Протокол!$A$1:$BE$489</definedName>
    <definedName name="Z_4957D3A7_EB52_4322_B5A7_CB05EE71B2D0_.wvu.PrintArea" localSheetId="0" hidden="1">'ТР нефть'!$B$1:$EC$650</definedName>
    <definedName name="Z_4957D3A7_EB52_4322_B5A7_CB05EE71B2D0_.wvu.PrintTitles" localSheetId="0" hidden="1">'ТР нефть'!$25:$25</definedName>
    <definedName name="Z_4957D3A7_EB52_4322_B5A7_CB05EE71B2D0_.wvu.Rows" localSheetId="1" hidden="1">Протокол!$16:$17,Протокол!$58:$84,Протокол!$96:$105,Протокол!$112:$144,Протокол!$156:$165,Протокол!$167:$171,Протокол!$318:$318,Протокол!$337:$397,Протокол!$435:$464</definedName>
    <definedName name="Z_4957D3A7_EB52_4322_B5A7_CB05EE71B2D0_.wvu.Rows" localSheetId="0" hidden="1">'ТР нефть'!$645:$646</definedName>
    <definedName name="Z_496AAA1D_B011_4E28_8D38_449242AE68A4_.wvu.FilterData" localSheetId="0" hidden="1">'ТР нефть'!$A$26:$ASU$641</definedName>
    <definedName name="Z_49B78EAC_56E0_4B84_86D4_8B60F8127FCB_.wvu.FilterData" localSheetId="0" hidden="1">'ТР нефть'!$A$29:$MM$641</definedName>
    <definedName name="Z_49C41655_82DA_4560_83BA_3AFAB66452D3_.wvu.FilterData" localSheetId="0" hidden="1">'ТР нефть'!$A$26:$ASU$641</definedName>
    <definedName name="Z_4A05455F_8747_4525_B31E_8518FA352B50_.wvu.FilterData" localSheetId="0" hidden="1">'ТР нефть'!$A$29:$MM$641</definedName>
    <definedName name="Z_4A152CC0_6741_4E3D_9EA8_C56B9E9FE9D0_.wvu.FilterData" localSheetId="0" hidden="1">'ТР нефть'!$A$29:$ASR$641</definedName>
    <definedName name="Z_4A1E8C7C_99BF_4A53_BCFC_3A73336CF29C_.wvu.FilterData" localSheetId="0" hidden="1">'ТР нефть'!$A$28:$ASU$641</definedName>
    <definedName name="Z_4A5307AC_AD77_4133_8D91_E7B7B30C0FDD_.wvu.FilterData" localSheetId="0" hidden="1">'ТР нефть'!$A$29:$ASR$641</definedName>
    <definedName name="Z_4A877774_3677_4D11_B8CA_5F1FF24700F5_.wvu.FilterData" localSheetId="0" hidden="1">'ТР нефть'!$A$29:$ARU$641</definedName>
    <definedName name="Z_4AAA5EDE_0D35_4D44_AEC7_984FB760D6AF_.wvu.FilterData" localSheetId="0" hidden="1">'ТР нефть'!$A$29:$ASR$641</definedName>
    <definedName name="Z_4AACDB7A_3B27_4831_B148_1A9B850680D3_.wvu.FilterData" localSheetId="0" hidden="1">'ТР нефть'!$A$29:$ASR$641</definedName>
    <definedName name="Z_4AB624F1_1D29_426E_8FEC_BA3A2EBD4059_.wvu.FilterData" localSheetId="0" hidden="1">'ТР нефть'!$A$29:$ASS$641</definedName>
    <definedName name="Z_4AB88D64_A667_4B04_B179_C18BC40D30C2_.wvu.FilterData" localSheetId="0" hidden="1">'ТР нефть'!$A$29:$ASU$641</definedName>
    <definedName name="Z_4AC599BC_B63A_48F5_81A0_0C746A000C1C_.wvu.FilterData" localSheetId="0" hidden="1">'ТР нефть'!$A$29:$ASR$641</definedName>
    <definedName name="Z_4AE6DB5C_231D_48F0_829D_589AFB86EBC3_.wvu.FilterData" localSheetId="0" hidden="1">'ТР нефть'!$A$28:$ASU$641</definedName>
    <definedName name="Z_4B230172_5AA0_44FD_B9E7_C47513B09D87_.wvu.Cols" localSheetId="1" hidden="1">Протокол!$V:$V,Протокол!$AW:$AW</definedName>
    <definedName name="Z_4B230172_5AA0_44FD_B9E7_C47513B09D87_.wvu.FilterData" localSheetId="1" hidden="1">Протокол!$A$318:$BD$326</definedName>
    <definedName name="Z_4B230172_5AA0_44FD_B9E7_C47513B09D87_.wvu.PrintArea" localSheetId="1" hidden="1">Протокол!$B$16:$BD$465</definedName>
    <definedName name="Z_4B230172_5AA0_44FD_B9E7_C47513B09D87_.wvu.Rows" localSheetId="1" hidden="1">Протокол!#REF!,Протокол!$26:$29,Протокол!#REF!,Протокол!#REF!,Протокол!$119:$133,Протокол!#REF!,Протокол!#REF!,Протокол!#REF!</definedName>
    <definedName name="Z_4B62CA01_2807_40EE_AC44_31DB25BFD7AC_.wvu.FilterData" localSheetId="0" hidden="1">'ТР нефть'!$A$29:$MM$641</definedName>
    <definedName name="Z_4B7B47ED_79D1_4098_9601_180E4BB54672_.wvu.FilterData" localSheetId="1" hidden="1">Протокол!$A$407:$BD$467</definedName>
    <definedName name="Z_4B7B47ED_79D1_4098_9601_180E4BB54672_.wvu.FilterData" localSheetId="0" hidden="1">'ТР нефть'!$A$29:$ASS$641</definedName>
    <definedName name="Z_4BECE511_10C1_46BE_91E9_38BE161E7616_.wvu.FilterData" localSheetId="0" hidden="1">'ТР нефть'!$A$29:$ASS$641</definedName>
    <definedName name="Z_4BFD92DC_541B_4AE3_B6E9_5A02391CB759_.wvu.FilterData" localSheetId="0" hidden="1">'ТР нефть'!$A$28:$ASU$641</definedName>
    <definedName name="Z_4C497335_3C95_443C_86A0_76BB7298CF07_.wvu.FilterData" localSheetId="0" hidden="1">'ТР нефть'!$A$29:$ARU$641</definedName>
    <definedName name="Z_4C81ABE3_AF46_41B1_9932_7E075CA3392E_.wvu.FilterData" localSheetId="0" hidden="1">'ТР нефть'!$A$29:$ASR$641</definedName>
    <definedName name="Z_4CB046A9_DAB7_494A_BF9F_EEC44D3EA2E9_.wvu.FilterData" localSheetId="0" hidden="1">'ТР нефть'!$A$29:$ASU$641</definedName>
    <definedName name="Z_4D069CC4_68F7_476E_9508_5F44D4914D13_.wvu.FilterData" localSheetId="0" hidden="1">'ТР нефть'!$A$28:$ASU$642</definedName>
    <definedName name="Z_4D1366F8_05DC_4405_8C5E_A714598F5C15_.wvu.FilterData" localSheetId="0" hidden="1">'ТР нефть'!$A$29:$ASS$641</definedName>
    <definedName name="Z_4D244E1D_128A_4427_90CD_B9FB06B9CADE_.wvu.FilterData" localSheetId="0" hidden="1">'ТР нефть'!$A$29:$ASR$641</definedName>
    <definedName name="Z_4D2B62E1_FB18_4AC5_ADF1_A9BDDB958482_.wvu.FilterData" localSheetId="1" hidden="1">Протокол!$B$39:$BD$317</definedName>
    <definedName name="Z_4D628E68_F998_4D6F_9FC8_D02B08F058C8_.wvu.FilterData" localSheetId="0" hidden="1">'ТР нефть'!#REF!</definedName>
    <definedName name="Z_4D87F0FE_43B9_419E_94A1_7C2872BA66BF_.wvu.FilterData" localSheetId="0" hidden="1">'ТР нефть'!$A$26:$ASU$641</definedName>
    <definedName name="Z_4D8DF18E_ED2A_418D_B860_97FE38BC9C8B_.wvu.FilterData" localSheetId="0" hidden="1">'ТР нефть'!$A$26:$ASU$641</definedName>
    <definedName name="Z_4DD86D0B_E929_4845_B735_25367CD29BB5_.wvu.FilterData" localSheetId="0" hidden="1">'ТР нефть'!$A$29:$ASR$641</definedName>
    <definedName name="Z_4DE355EF_A5EE_4101_86E4_A69EF87B3918_.wvu.FilterData" localSheetId="0" hidden="1">'ТР нефть'!$A$28:$ASU$642</definedName>
    <definedName name="Z_4E130FCB_2585_4835_A4B4_1B003FF2C555_.wvu.FilterData" localSheetId="0" hidden="1">'ТР нефть'!$A$29:$MM$604</definedName>
    <definedName name="Z_4E2FC4AB_D5BC_449C_A1B5_19AAFC72007C_.wvu.FilterData" localSheetId="0" hidden="1">'ТР нефть'!$A$29:$MM$604</definedName>
    <definedName name="Z_4E98CAB8_7E55_4D19_918E_5A8F5ACA9613_.wvu.FilterData" localSheetId="1" hidden="1">Протокол!$B$39:$BD$317</definedName>
    <definedName name="Z_4E9E056F_4494_42BB_9580_A2B97BB13957_.wvu.FilterData" localSheetId="0" hidden="1">'ТР нефть'!$A$29:$MM$604</definedName>
    <definedName name="Z_4EA23DC8_7AA6_440D_A8C7_272B707D3C38_.wvu.FilterData" localSheetId="0" hidden="1">'ТР нефть'!$A$28:$ASU$641</definedName>
    <definedName name="Z_4EE04B05_5930_45BB_9468_3A8F0189607A_.wvu.FilterData" localSheetId="0" hidden="1">'ТР нефть'!$A$29:$ASS$641</definedName>
    <definedName name="Z_4F7AD4D8_69C7_4381_9392_F0BBCA31444A_.wvu.Cols" localSheetId="0" hidden="1">'ТР нефть'!$A:$A,'ТР нефть'!$F:$F,'ТР нефть'!$P:$AL,'ТР нефть'!$AO:$AT,'ТР нефть'!$AV:$BJ,'ТР нефть'!$BL:$BL,'ТР нефть'!$BO:$BP,'ТР нефть'!$BR:$BU,'ТР нефть'!$BW:$BW,'ТР нефть'!$CD:$CD,'ТР нефть'!$CI:$CK,'ТР нефть'!$CT:$CT,'ТР нефть'!$CY:$CY,'ТР нефть'!$DJ:$ED,'ТР нефть'!$MQ:$MR,'ТР нефть'!$MT:$MT,'ТР нефть'!$MW:$NL</definedName>
    <definedName name="Z_4F7AD4D8_69C7_4381_9392_F0BBCA31444A_.wvu.FilterData" localSheetId="1" hidden="1">Протокол!$A$16:$BD$499</definedName>
    <definedName name="Z_4F7AD4D8_69C7_4381_9392_F0BBCA31444A_.wvu.FilterData" localSheetId="0" hidden="1">'ТР нефть'!$A$28:$ASU$28</definedName>
    <definedName name="Z_4F7AD4D8_69C7_4381_9392_F0BBCA31444A_.wvu.PrintArea" localSheetId="1" hidden="1">Протокол!$A$1:$BE$489</definedName>
    <definedName name="Z_4F7AD4D8_69C7_4381_9392_F0BBCA31444A_.wvu.PrintArea" localSheetId="0" hidden="1">'ТР нефть'!$B$1:$EA$647</definedName>
    <definedName name="Z_4F7AD4D8_69C7_4381_9392_F0BBCA31444A_.wvu.PrintTitles" localSheetId="0" hidden="1">'ТР нефть'!$25:$25</definedName>
    <definedName name="Z_4F7AD4D8_69C7_4381_9392_F0BBCA31444A_.wvu.Rows" localSheetId="1" hidden="1">Протокол!$16:$17,Протокол!$70:$84,Протокол!$96:$105,Протокол!$112:$144,Протокол!$153:$153,Протокол!$156:$165,Протокол!$167:$171,Протокол!$318:$318</definedName>
    <definedName name="Z_4F7AD4D8_69C7_4381_9392_F0BBCA31444A_.wvu.Rows" localSheetId="0" hidden="1">'ТР нефть'!$645:$646</definedName>
    <definedName name="Z_4F8F3267_0F8D_48F7_87EC_145E9427C200_.wvu.FilterData" localSheetId="0" hidden="1">'ТР нефть'!$A$29:$ASS$641</definedName>
    <definedName name="Z_4FB00B09_6320_4153_A0AA_989F356BF67F_.wvu.FilterData" localSheetId="0" hidden="1">'ТР нефть'!$A$26:$ASU$641</definedName>
    <definedName name="Z_4FB6920D_89C3_4945_8292_BC79763AB8F3_.wvu.FilterData" localSheetId="0" hidden="1">'ТР нефть'!$A$26:$ASU$641</definedName>
    <definedName name="Z_4FC97230_450E_4919_A8EB_B05E09347B8A_.wvu.FilterData" localSheetId="0" hidden="1">'ТР нефть'!$A$28:$ASU$641</definedName>
    <definedName name="Z_4FCE3D75_83C4_4801_8F58_31C8BC9A5C84_.wvu.FilterData" localSheetId="0" hidden="1">'ТР нефть'!$A$29:$ASR$641</definedName>
    <definedName name="Z_5024C375_9561_47F6_A261_25D3F1EE6C46_.wvu.FilterData" localSheetId="0" hidden="1">'ТР нефть'!$A$29:$ASS$641</definedName>
    <definedName name="Z_505C01B7_A8B5_473B_A29A_A076B1546827_.wvu.FilterData" localSheetId="0" hidden="1">'ТР нефть'!$A$29:$ASS$641</definedName>
    <definedName name="Z_50AFC219_7AFE_47AA_89D0_C182E9E3ECA7_.wvu.FilterData" localSheetId="0" hidden="1">'ТР нефть'!$A$29:$MM$641</definedName>
    <definedName name="Z_50FD8392_0877_4209_A446_EAC740ED644B_.wvu.FilterData" localSheetId="0" hidden="1">'ТР нефть'!$A$29:$MM$604</definedName>
    <definedName name="Z_5187A6D4_697D_46FA_917B_BDD28D15429C_.wvu.FilterData" localSheetId="0" hidden="1">'ТР нефть'!$A$29:$ASS$641</definedName>
    <definedName name="Z_518E8183_364E_47E2_9E1F_6AE3C67AEA85_.wvu.FilterData" localSheetId="0" hidden="1">'ТР нефть'!$A$29:$ASS$641</definedName>
    <definedName name="Z_518F7893_0553_4594_8A30_258BA82AB4C5_.wvu.FilterData" localSheetId="0" hidden="1">'ТР нефть'!$A$29:$ARU$641</definedName>
    <definedName name="Z_519D0E49_6A66_4A8D_A99B_1788FDE4E9A0_.wvu.FilterData" localSheetId="0" hidden="1">'ТР нефть'!$A$29:$ASR$641</definedName>
    <definedName name="Z_51C49A7E_9384_4060_8652_D267EEB8EB65_.wvu.FilterData" localSheetId="1" hidden="1">Протокол!$AW$16:$AW$465</definedName>
    <definedName name="Z_51C6C476_0922_4A68_9096_A8D0CB9CBB84_.wvu.FilterData" localSheetId="0" hidden="1">'ТР нефть'!$A$29:$ASS$641</definedName>
    <definedName name="Z_51D69A30_E40C_4711_B06C_2155B4B2487F_.wvu.FilterData" localSheetId="0" hidden="1">'ТР нефть'!$A$29:$ASR$641</definedName>
    <definedName name="Z_5258A29F_0A85_4FAD_843D_99F053B96682_.wvu.FilterData" localSheetId="0" hidden="1">'ТР нефть'!$A$29:$MM$604</definedName>
    <definedName name="Z_5265DE90_2EEF_4035_B8C5_D43D31BC82FA_.wvu.FilterData" localSheetId="0" hidden="1">'ТР нефть'!$A$29:$ASS$641</definedName>
    <definedName name="Z_527BFE65_D1B6_4A12_8523_6C64BE1117C3_.wvu.FilterData" localSheetId="0" hidden="1">'ТР нефть'!$A$29:$MM$641</definedName>
    <definedName name="Z_52C72BDF_F062_4D65_B3D7_20D82F3C3495_.wvu.FilterData" localSheetId="0" hidden="1">'ТР нефть'!$A$29:$ASS$641</definedName>
    <definedName name="Z_52CA4057_ED3B_4631_9AF3_9905EF3C75E5_.wvu.FilterData" localSheetId="1" hidden="1">Протокол!$A$316:$BD$316</definedName>
    <definedName name="Z_52CA4057_ED3B_4631_9AF3_9905EF3C75E5_.wvu.FilterData" localSheetId="0" hidden="1">'ТР нефть'!$A$29:$ASR$641</definedName>
    <definedName name="Z_52CF18A5_A971_486C_BB17_13F4DB35C324_.wvu.FilterData" localSheetId="0" hidden="1">'ТР нефть'!$A$29:$ASR$641</definedName>
    <definedName name="Z_52F5C65E_68FD_411F_AF16_AE664797A495_.wvu.FilterData" localSheetId="0" hidden="1">'ТР нефть'!$A$29:$MM$641</definedName>
    <definedName name="Z_53180D37_05AD_47A0_B674_FBD0B63EFFC1_.wvu.FilterData" localSheetId="0" hidden="1">'ТР нефть'!$A$28:$ASU$639</definedName>
    <definedName name="Z_532D5A00_25F7_437D_9A73_AD8D2A17ABFC_.wvu.FilterData" localSheetId="0" hidden="1">'ТР нефть'!$A$29:$MM$604</definedName>
    <definedName name="Z_5350B8A0_C39B_44EF_BF28_5A335ED45A7E_.wvu.FilterData" localSheetId="0" hidden="1">'ТР нефть'!$A$28:$ASU$641</definedName>
    <definedName name="Z_5388A142_93DF_469F_A569_423A4D2F26C9_.wvu.FilterData" localSheetId="0" hidden="1">'ТР нефть'!$A$29:$ASR$641</definedName>
    <definedName name="Z_53B07AD6_E433_4AD1_9A5E_D603393EE1BF_.wvu.FilterData" localSheetId="1" hidden="1">Протокол!$A$316:$BD$399</definedName>
    <definedName name="Z_53B07AD6_E433_4AD1_9A5E_D603393EE1BF_.wvu.FilterData" localSheetId="0" hidden="1">'ТР нефть'!$A$29:$MM$641</definedName>
    <definedName name="Z_53C000BD_16F2_4D69_A7FF_023BC07C4815_.wvu.FilterData" localSheetId="0" hidden="1">'ТР нефть'!$A$29:$ASR$641</definedName>
    <definedName name="Z_53CB9BE9_9BFD_4FEE_B63C_8926D3A72C53_.wvu.FilterData" localSheetId="0" hidden="1">'ТР нефть'!$A$26:$ASU$641</definedName>
    <definedName name="Z_53ED8B04_E299_4DA5_8EFD_7B318EA24BD9_.wvu.FilterData" localSheetId="0" hidden="1">'ТР нефть'!$A$29:$ASS$641</definedName>
    <definedName name="Z_53F5608E_0DAF_4D18_BC34_902441AB7610_.wvu.FilterData" localSheetId="0" hidden="1">'ТР нефть'!$A$28:$ASU$641</definedName>
    <definedName name="Z_543E6594_B5C7_42B5_AAFF_E1159D79A457_.wvu.FilterData" localSheetId="0" hidden="1">'ТР нефть'!$A$29:$ASS$641</definedName>
    <definedName name="Z_5475EBDD_F6D1_461E_901F_D589681116D6_.wvu.FilterData" localSheetId="0" hidden="1">'ТР нефть'!$A$29:$ASR$641</definedName>
    <definedName name="Z_548F795F_D360_4496_9DA4_4A7CDFB8B8FE_.wvu.FilterData" localSheetId="0" hidden="1">'ТР нефть'!$A$29:$ASR$641</definedName>
    <definedName name="Z_54AA26DB_CA1F_45FB_8322_8F2AAB47DB5D_.wvu.FilterData" localSheetId="1" hidden="1">Протокол!$A$318:$BD$326</definedName>
    <definedName name="Z_54D04D67_408B_45B2_945A_8BFD917D6003_.wvu.FilterData" localSheetId="0" hidden="1">'ТР нефть'!$A$26:$ASU$641</definedName>
    <definedName name="Z_54ED23D3_B635_4D74_AF41_C22302ED30C7_.wvu.FilterData" localSheetId="0" hidden="1">'ТР нефть'!$A$26:$ASU$641</definedName>
    <definedName name="Z_5529A6E8_D27B_4413_80B8_CB1D9D95CFA4_.wvu.Cols" localSheetId="1" hidden="1">Протокол!#REF!,Протокол!#REF!</definedName>
    <definedName name="Z_5529A6E8_D27B_4413_80B8_CB1D9D95CFA4_.wvu.Cols" localSheetId="0" hidden="1">'ТР нефть'!$A:$A,'ТР нефть'!$D:$G,'ТР нефть'!$U:$AD,'ТР нефть'!$AF:$AG,'ТР нефть'!$AJ:$AK,'ТР нефть'!$AO:$AT,'ТР нефть'!$AV:$BJ,'ТР нефть'!$BO:$BO,'ТР нефть'!$BR:$BU,'ТР нефть'!$CD:$CD,'ТР нефть'!$CX:$CX,'ТР нефть'!$DJ:$ED,'ТР нефть'!$MQ:$MR,'ТР нефть'!$MT:$MT,'ТР нефть'!$MW:$NF</definedName>
    <definedName name="Z_5529A6E8_D27B_4413_80B8_CB1D9D95CFA4_.wvu.FilterData" localSheetId="1" hidden="1">Протокол!#REF!</definedName>
    <definedName name="Z_5529A6E8_D27B_4413_80B8_CB1D9D95CFA4_.wvu.FilterData" localSheetId="0" hidden="1">'ТР нефть'!$A$29:$ASS$641</definedName>
    <definedName name="Z_5529A6E8_D27B_4413_80B8_CB1D9D95CFA4_.wvu.PrintArea" localSheetId="1" hidden="1">Протокол!$A$16:$BD$496</definedName>
    <definedName name="Z_5529A6E8_D27B_4413_80B8_CB1D9D95CFA4_.wvu.PrintArea" localSheetId="0" hidden="1">'ТР нефть'!$B$20:$DR$646</definedName>
    <definedName name="Z_5529A6E8_D27B_4413_80B8_CB1D9D95CFA4_.wvu.PrintTitles" localSheetId="0" hidden="1">'ТР нефть'!$25:$25</definedName>
    <definedName name="Z_5529A6E8_D27B_4413_80B8_CB1D9D95CFA4_.wvu.Rows" localSheetId="1" hidden="1">Протокол!#REF!,Протокол!$29:$29,Протокол!$33:$33,Протокол!#REF!,Протокол!#REF!,Протокол!$124:$133,Протокол!#REF!,Протокол!#REF!,Протокол!#REF!,Протокол!$254:$311,Протокол!$370:$397,Протокол!#REF!,Протокол!#REF!</definedName>
    <definedName name="Z_5529A6E8_D27B_4413_80B8_CB1D9D95CFA4_.wvu.Rows" localSheetId="0" hidden="1">'ТР нефть'!$20:$24</definedName>
    <definedName name="Z_553EB262_D0F1_4723_9295_CB6F87FB48E0_.wvu.FilterData" localSheetId="0" hidden="1">'ТР нефть'!$A$29:$ASR$641</definedName>
    <definedName name="Z_5548C5AA_1C86_449B_90DA_FC8F1DA7615D_.wvu.FilterData" localSheetId="0" hidden="1">'ТР нефть'!$A$28:$ASU$641</definedName>
    <definedName name="Z_55783AF8_8C77_42C7_962E_463D48E0E662_.wvu.FilterData" localSheetId="0" hidden="1">'ТР нефть'!$A$28:$ASU$642</definedName>
    <definedName name="Z_558E6CC9_DD1E_4A44_83D5_AEDD16D7AE76_.wvu.FilterData" localSheetId="0" hidden="1">'ТР нефть'!$A$29:$MM$641</definedName>
    <definedName name="Z_55AEE832_9A09_4167_B55A_B8594A47F3BF_.wvu.FilterData" localSheetId="0" hidden="1">'ТР нефть'!$A$29:$ASS$641</definedName>
    <definedName name="Z_56289D28_1343_462F_B945_987EE0531C66_.wvu.FilterData" localSheetId="0" hidden="1">'ТР нефть'!$A$29:$ARU$641</definedName>
    <definedName name="Z_56318E19_6F07_499D_9A0D_CA1F89DC34FC_.wvu.FilterData" localSheetId="0" hidden="1">'ТР нефть'!$A$28:$ASU$641</definedName>
    <definedName name="Z_5690BB74_4F8B_4787_AEEB_2B6CAD858273_.wvu.FilterData" localSheetId="0" hidden="1">'ТР нефть'!$A$29:$ASR$641</definedName>
    <definedName name="Z_5697FE63_5030_4A71_A0D4_9B639CBC1FD1_.wvu.FilterData" localSheetId="0" hidden="1">'ТР нефть'!$A$29:$MM$641</definedName>
    <definedName name="Z_56B292E8_6566_42AB_A9AF_3EC059D6418A_.wvu.FilterData" localSheetId="0" hidden="1">'ТР нефть'!$A$26:$ASU$641</definedName>
    <definedName name="Z_56CB14E6_1AAF_4C36_AE6F_A2D9B3FE1401_.wvu.FilterData" localSheetId="0" hidden="1">'ТР нефть'!$A$29:$ASS$641</definedName>
    <definedName name="Z_56CC103F_3777_4D9D_84E5_9BF5CE40D45C_.wvu.FilterData" localSheetId="0" hidden="1">'ТР нефть'!$A$29:$MM$604</definedName>
    <definedName name="Z_56D4A554_9113_4323_8239_6B312FF89E28_.wvu.FilterData" localSheetId="0" hidden="1">'ТР нефть'!$A$28:$ASU$641</definedName>
    <definedName name="Z_56D7CA11_ABE9_4BD3_BC99_8AD49BF4CB50_.wvu.FilterData" localSheetId="0" hidden="1">'ТР нефть'!#REF!</definedName>
    <definedName name="Z_56D85BB4_BC80_47C2_8FC8_B7E4347D79CF_.wvu.FilterData" localSheetId="0" hidden="1">'ТР нефть'!$A$29:$ASR$641</definedName>
    <definedName name="Z_56DBB119_F072_4D51_A83C_141C9EF19BA6_.wvu.FilterData" localSheetId="0" hidden="1">'ТР нефть'!$A$29:$MM$641</definedName>
    <definedName name="Z_570886B8_EF1F_4A3E_B3A7_F072C5B116D7_.wvu.FilterData" localSheetId="0" hidden="1">'ТР нефть'!$A$29:$ASR$641</definedName>
    <definedName name="Z_570C06A1_21B7_4A01_8894_F389F64BD34E_.wvu.FilterData" localSheetId="0" hidden="1">'ТР нефть'!$A$29:$MM$641</definedName>
    <definedName name="Z_57410F8B_10AF_40CC_A15A_F46D8DCF9176_.wvu.FilterData" localSheetId="0" hidden="1">'ТР нефть'!$A$29:$ASR$641</definedName>
    <definedName name="Z_574B440C_A87B_4379_87F3_8ABF7478A2E2_.wvu.FilterData" localSheetId="0" hidden="1">'ТР нефть'!$A$29:$ASS$641</definedName>
    <definedName name="Z_57565816_6AAE_4FD6_9B83_A5891B3F8732_.wvu.Cols" localSheetId="1" hidden="1">Протокол!#REF!,Протокол!#REF!</definedName>
    <definedName name="Z_57565816_6AAE_4FD6_9B83_A5891B3F8732_.wvu.Cols" localSheetId="0" hidden="1">'ТР нефть'!$A:$A,'ТР нефть'!$C:$G,'ТР нефть'!$U:$AD,'ТР нефть'!$AF:$AG,'ТР нефть'!$AJ:$AK,'ТР нефть'!$AO:$AT,'ТР нефть'!$AV:$BJ,'ТР нефть'!$CD:$CD,'ТР нефть'!$DJ:$ED</definedName>
    <definedName name="Z_57565816_6AAE_4FD6_9B83_A5891B3F8732_.wvu.FilterData" localSheetId="1" hidden="1">Протокол!$A$407:$BD$467</definedName>
    <definedName name="Z_57565816_6AAE_4FD6_9B83_A5891B3F8732_.wvu.FilterData" localSheetId="0" hidden="1">'ТР нефть'!$A$29:$ASR$641</definedName>
    <definedName name="Z_57565816_6AAE_4FD6_9B83_A5891B3F8732_.wvu.PrintArea" localSheetId="1" hidden="1">Протокол!$A$16:$BD$477</definedName>
    <definedName name="Z_57565816_6AAE_4FD6_9B83_A5891B3F8732_.wvu.PrintArea" localSheetId="0" hidden="1">'ТР нефть'!$B$20:$DI$644</definedName>
    <definedName name="Z_57565816_6AAE_4FD6_9B83_A5891B3F8732_.wvu.PrintTitles" localSheetId="0" hidden="1">'ТР нефть'!$25:$25</definedName>
    <definedName name="Z_57565816_6AAE_4FD6_9B83_A5891B3F8732_.wvu.Rows" localSheetId="1" hidden="1">Протокол!#REF!,Протокол!$27:$29,Протокол!$33:$33,Протокол!#REF!,Протокол!$91:$104,Протокол!$121:$133,Протокол!#REF!,Протокол!#REF!,Протокол!#REF!,Протокол!$327:$397,Протокол!#REF!,Протокол!#REF!</definedName>
    <definedName name="Z_57565816_6AAE_4FD6_9B83_A5891B3F8732_.wvu.Rows" localSheetId="0" hidden="1">'ТР нефть'!$20:$24</definedName>
    <definedName name="Z_5771B1C7_53B1_4F1F_BD57_D5CCA59A436A_.wvu.FilterData" localSheetId="0" hidden="1">'ТР нефть'!$A$29:$ASS$641</definedName>
    <definedName name="Z_57761752_8357_4796_AB43_37010425B447_.wvu.FilterData" localSheetId="0" hidden="1">'ТР нефть'!$A$29:$ASR$641</definedName>
    <definedName name="Z_5814DA41_6AA6_4D73_A845_9F1C7D530C42_.wvu.FilterData" localSheetId="0" hidden="1">'ТР нефть'!$A$29:$ASS$641</definedName>
    <definedName name="Z_581A4E74_9470_4635_8C9D_C81CD28DC0BC_.wvu.FilterData" localSheetId="0" hidden="1">'ТР нефть'!$A$29:$ASR$641</definedName>
    <definedName name="Z_581C145C_DB5B_49DE_BDDC_761FF61F8E35_.wvu.FilterData" localSheetId="0" hidden="1">'ТР нефть'!$A$29:$ASR$641</definedName>
    <definedName name="Z_581EA239_65E9_49E1_BD3A_E9C870F62E0B_.wvu.FilterData" localSheetId="0" hidden="1">'ТР нефть'!$A$29:$ASS$641</definedName>
    <definedName name="Z_583911C4_7AA6_4AA5_8D1C_E813891DCD63_.wvu.FilterData" localSheetId="0" hidden="1">'ТР нефть'!$A$29:$ASS$641</definedName>
    <definedName name="Z_5844F6B5_3BBE_4AB1_A34A_514CE4BF83F3_.wvu.FilterData" localSheetId="0" hidden="1">'ТР нефть'!$A$26:$ASU$641</definedName>
    <definedName name="Z_58524B50_7BF9_47BC_8EBE_62BA9104C94C_.wvu.FilterData" localSheetId="0" hidden="1">'ТР нефть'!$A$29:$ASR$641</definedName>
    <definedName name="Z_586476C8_1F98_4614_AE65_9287B02F9851_.wvu.FilterData" localSheetId="0" hidden="1">'ТР нефть'!$A$29:$ASS$641</definedName>
    <definedName name="Z_58718B4F_1644_4413_B94B_940E57B4FE8E_.wvu.FilterData" localSheetId="0" hidden="1">'ТР нефть'!$A$29:$ASR$641</definedName>
    <definedName name="Z_5884820C_CAF9_4888_8C0B_389A44B40379_.wvu.FilterData" localSheetId="0" hidden="1">'ТР нефть'!$A$29:$ASR$641</definedName>
    <definedName name="Z_58B1E01C_AEE8_4FA5_95F1_8C0DC91517EC_.wvu.FilterData" localSheetId="0" hidden="1">'ТР нефть'!$A$26:$ASU$641</definedName>
    <definedName name="Z_58B89F04_C357_48B8_B33C_D5E05B2E0E77_.wvu.FilterData" localSheetId="0" hidden="1">'ТР нефть'!$A$29:$ASR$641</definedName>
    <definedName name="Z_58DAB99D_E8BD_4871_9099_6A92B1F79402_.wvu.FilterData" localSheetId="0" hidden="1">'ТР нефть'!$A$29:$ASR$641</definedName>
    <definedName name="Z_592E30F3_77A0_48E9_85A7_DCFBD8C0AC83_.wvu.FilterData" localSheetId="0" hidden="1">'ТР нефть'!$A$28:$ASU$641</definedName>
    <definedName name="Z_594DA632_C9CE_4589_989C_C12054941BC6_.wvu.FilterData" localSheetId="0" hidden="1">'ТР нефть'!$A$29:$ARU$641</definedName>
    <definedName name="Z_594E535F_C0C8_4620_9BBF_C31E478682A8_.wvu.FilterData" localSheetId="0" hidden="1">'ТР нефть'!$A$29:$MM$641</definedName>
    <definedName name="Z_597B7E5B_28F9_4A2C_A1F3_A2FD7E281037_.wvu.FilterData" localSheetId="0" hidden="1">'ТР нефть'!$A$29:$ASR$641</definedName>
    <definedName name="Z_59A7FA3D_4090_438B_AD45_EA003092DBA0_.wvu.FilterData" localSheetId="0" hidden="1">'ТР нефть'!$A$29:$ARU$641</definedName>
    <definedName name="Z_5A2A0097_94ED_47DE_950B_B024EA2C13D3_.wvu.FilterData" localSheetId="0" hidden="1">'ТР нефть'!$A$29:$ASU$641</definedName>
    <definedName name="Z_5AC050CA_33EF_4CB9_9FC8_0C01CC6BDD25_.wvu.FilterData" localSheetId="0" hidden="1">'ТР нефть'!$A$29:$MM$641</definedName>
    <definedName name="Z_5AD7D979_C74D_4BA4_A9B8_E5A4331E8FEC_.wvu.FilterData" localSheetId="0" hidden="1">'ТР нефть'!$A$26:$ASU$641</definedName>
    <definedName name="Z_5AEDA4C8_388A_4B35_A192_CD692DCB3714_.wvu.FilterData" localSheetId="0" hidden="1">'ТР нефть'!$A$26:$ASU$641</definedName>
    <definedName name="Z_5AFFC51F_7A63_4039_8F75_84954C1C2FD3_.wvu.FilterData" localSheetId="0" hidden="1">'ТР нефть'!$A$29:$ASS$641</definedName>
    <definedName name="Z_5B08FF6D_3AA9_4554_AB4C_813B528A7F83_.wvu.FilterData" localSheetId="0" hidden="1">'ТР нефть'!$A$28:$ASU$642</definedName>
    <definedName name="Z_5B20399C_1EAE_4723_AECF_7CE00AFC65A2_.wvu.FilterData" localSheetId="0" hidden="1">'ТР нефть'!$A$29:$ASR$641</definedName>
    <definedName name="Z_5B227730_9D9D_49BC_8D45_BAAB67A17A58_.wvu.FilterData" localSheetId="0" hidden="1">'ТР нефть'!$A$29:$MM$641</definedName>
    <definedName name="Z_5B4AD890_A886_48FA_BDE3_5FF69569DBB8_.wvu.FilterData" localSheetId="0" hidden="1">'ТР нефть'!$A$28:$ASU$641</definedName>
    <definedName name="Z_5B87427B_55C0_4484_B929_7EAA7FA19CDA_.wvu.FilterData" localSheetId="1" hidden="1">Протокол!#REF!</definedName>
    <definedName name="Z_5B87427B_55C0_4484_B929_7EAA7FA19CDA_.wvu.FilterData" localSheetId="0" hidden="1">'ТР нефть'!#REF!</definedName>
    <definedName name="Z_5B8F0957_3C28_4B64_93A7_E5191AAB3A84_.wvu.FilterData" localSheetId="0" hidden="1">'ТР нефть'!$A$29:$ASS$641</definedName>
    <definedName name="Z_5BAA8EAA_2D38_42D2_9EE9_FF547DCD146E_.wvu.FilterData" localSheetId="0" hidden="1">'ТР нефть'!$A$29:$ASS$641</definedName>
    <definedName name="Z_5BB961F9_7843_465A_9387_D02E950FFBAD_.wvu.FilterData" localSheetId="0" hidden="1">'ТР нефть'!$A$29:$ARU$641</definedName>
    <definedName name="Z_5BC0755D_E89D_49E6_B6A8_8913D8FE22B1_.wvu.FilterData" localSheetId="0" hidden="1">'ТР нефть'!$A$29:$ASS$641</definedName>
    <definedName name="Z_5BE3FDF6_2646_4810_99AD_B8C4E7585229_.wvu.FilterData" localSheetId="0" hidden="1">'ТР нефть'!$A$29:$ASR$641</definedName>
    <definedName name="Z_5BE8B302_64EE_4774_B5D8_326F8803923F_.wvu.FilterData" localSheetId="0" hidden="1">'ТР нефть'!$A$29:$ASR$641</definedName>
    <definedName name="Z_5C5F6A8A_8BC1_48AA_8C93_D881EC95E1F4_.wvu.FilterData" localSheetId="0" hidden="1">'ТР нефть'!$A$29:$ASR$641</definedName>
    <definedName name="Z_5C6376FA_5E21_4A72_867D_2BA8CCF52D9D_.wvu.FilterData" localSheetId="0" hidden="1">'ТР нефть'!$A$29:$ASR$641</definedName>
    <definedName name="Z_5C82F2CB_3295_4D27_87E2_055A4D7156A0_.wvu.FilterData" localSheetId="0" hidden="1">'ТР нефть'!$A$28:$ASU$641</definedName>
    <definedName name="Z_5C856E5F_B3B1_455C_8956_55F7C32C6340_.wvu.FilterData" localSheetId="0" hidden="1">'ТР нефть'!$A$28:$ASU$641</definedName>
    <definedName name="Z_5CE1BBDC_0918_42C3_8B23_96B97666801F_.wvu.FilterData" localSheetId="0" hidden="1">'ТР нефть'!$A$26:$ASU$641</definedName>
    <definedName name="Z_5CEEA054_F661_4454_A404_C89794EF0E86_.wvu.FilterData" localSheetId="0" hidden="1">'ТР нефть'!$A$29:$ASS$641</definedName>
    <definedName name="Z_5D20FEC8_FA54_46DD_BB68_3A6BC79B4691_.wvu.FilterData" localSheetId="0" hidden="1">'ТР нефть'!$A$29:$MM$641</definedName>
    <definedName name="Z_5D3CE141_6BF5_4754_B187_6C69A2FF3D58_.wvu.FilterData" localSheetId="0" hidden="1">'ТР нефть'!$A$29:$MM$641</definedName>
    <definedName name="Z_5D3EDBD4_E598_4885_B428_C5B59CE64E62_.wvu.FilterData" localSheetId="0" hidden="1">'ТР нефть'!$A$29:$ASR$641</definedName>
    <definedName name="Z_5D3EDF85_9D3F_407E_956F_D764283ED07E_.wvu.FilterData" localSheetId="0" hidden="1">'ТР нефть'!$A$26:$ASU$641</definedName>
    <definedName name="Z_5D461612_7ABE_45DA_815E_0B2D077CE6C0_.wvu.FilterData" localSheetId="0" hidden="1">'ТР нефть'!$A$29:$ARU$641</definedName>
    <definedName name="Z_5D4ED65B_3ED4_4439_BE4F_D81C41A8064D_.wvu.FilterData" localSheetId="0" hidden="1">'ТР нефть'!$A$29:$ASU$641</definedName>
    <definedName name="Z_5D57DDA2_BC50_4347_AA8F_2CDCFA93B771_.wvu.FilterData" localSheetId="0" hidden="1">'ТР нефть'!$A$29:$MM$604</definedName>
    <definedName name="Z_5D5B9C3E_8693_4D3E_8F25_97998778001B_.wvu.FilterData" localSheetId="0" hidden="1">'ТР нефть'!$A$26:$ASU$641</definedName>
    <definedName name="Z_5D90FB4B_AF09_4B74_8D4C_A7F301480D14_.wvu.FilterData" localSheetId="0" hidden="1">'ТР нефть'!$A$28:$ASU$641</definedName>
    <definedName name="Z_5D9E035D_13B2_4F00_AD4F_D338D4B211A2_.wvu.FilterData" localSheetId="0" hidden="1">'ТР нефть'!$A$29:$MM$604</definedName>
    <definedName name="Z_5DA2C1B9_62B1_4599_8214_FCB923353536_.wvu.FilterData" localSheetId="0" hidden="1">'ТР нефть'!$A$29:$ASS$641</definedName>
    <definedName name="Z_5DA4D86C_8984_446B_86A2_A481BE507D0C_.wvu.FilterData" localSheetId="0" hidden="1">'ТР нефть'!$A$29:$MM$641</definedName>
    <definedName name="Z_5E05E506_66DE_4464_A5CF_91977D82BD8E_.wvu.FilterData" localSheetId="0" hidden="1">'ТР нефть'!$A$29:$ASU$641</definedName>
    <definedName name="Z_5E128A52_A628_481A_A413_2F5F3FC8D7A5_.wvu.FilterData" localSheetId="0" hidden="1">'ТР нефть'!$A$29:$ASR$641</definedName>
    <definedName name="Z_5E28C5E1_6B8D_48E6_B0F9_E29741B787BF_.wvu.FilterData" localSheetId="0" hidden="1">'ТР нефть'!$A$29:$ASS$641</definedName>
    <definedName name="Z_5E31C4A0_52DA_4DA1_AF00_0499EC5BB76A_.wvu.FilterData" localSheetId="0" hidden="1">'ТР нефть'!$A$29:$ASR$641</definedName>
    <definedName name="Z_5E6E2E76_FC1C_43A1_8646_AE7E80CED04F_.wvu.FilterData" localSheetId="0" hidden="1">'ТР нефть'!$A$29:$ASS$641</definedName>
    <definedName name="Z_5EBCBC3D_85D9_4330_B404_3B5255A692EE_.wvu.FilterData" localSheetId="0" hidden="1">'ТР нефть'!$A$29:$ASR$641</definedName>
    <definedName name="Z_5EC51BD6_2E1D_4162_A680_03B679FBCC26_.wvu.FilterData" localSheetId="0" hidden="1">'ТР нефть'!$A$29:$ASR$641</definedName>
    <definedName name="Z_5EE27076_038F_45C5_B9F8_59BFCFFDF839_.wvu.FilterData" localSheetId="0" hidden="1">'ТР нефть'!$A$29:$ASR$641</definedName>
    <definedName name="Z_5EE98220_0796_4D89_BC61_F17B2C71CC82_.wvu.FilterData" localSheetId="0" hidden="1">'ТР нефть'!#REF!</definedName>
    <definedName name="Z_5EFB767A_1A24_450F_918C_2F31C1EB7956_.wvu.FilterData" localSheetId="0" hidden="1">'ТР нефть'!$A$29:$ASR$641</definedName>
    <definedName name="Z_5F8D84AA_4987_46BA_A794_4586732F4EEA_.wvu.FilterData" localSheetId="0" hidden="1">'ТР нефть'!$A$29:$ASR$641</definedName>
    <definedName name="Z_5F95B176_0B30_41FE_AD5B_DE479EFBA0A5_.wvu.FilterData" localSheetId="0" hidden="1">'ТР нефть'!$A$29:$ASR$641</definedName>
    <definedName name="Z_5FBB3A27_6768_4A50_A558_D66069E723A6_.wvu.FilterData" localSheetId="0" hidden="1">'ТР нефть'!$A$29:$MM$641</definedName>
    <definedName name="Z_5FF9226F_DFFD_4111_AC27_1B66262E9AC9_.wvu.FilterData" localSheetId="0" hidden="1">'ТР нефть'!$A$29:$MM$641</definedName>
    <definedName name="Z_603E8108_29C4_46C9_A128_1560D12F7535_.wvu.FilterData" localSheetId="1" hidden="1">Протокол!$B$39:$BD$317</definedName>
    <definedName name="Z_6049E05C_141D_4F96_BC55_8084D8098C06_.wvu.FilterData" localSheetId="0" hidden="1">'ТР нефть'!$A$29:$ASU$641</definedName>
    <definedName name="Z_608311DF_A106_4A8D_8F96_C82A34DA7343_.wvu.FilterData" localSheetId="0" hidden="1">'ТР нефть'!$A$28:$ASU$642</definedName>
    <definedName name="Z_60B8E855_5428_4DF3_A419_83E9B0D60873_.wvu.FilterData" localSheetId="0" hidden="1">'ТР нефть'!$A$29:$MM$641</definedName>
    <definedName name="Z_60B9B6B1_1C71_4C3D_BC94_30595AE2D42F_.wvu.FilterData" localSheetId="0" hidden="1">'ТР нефть'!$A$28:$ASU$641</definedName>
    <definedName name="Z_60BAC7DF_2B90_455E_9B87_73FB77F5149C_.wvu.FilterData" localSheetId="0" hidden="1">'ТР нефть'!$A$29:$MM$604</definedName>
    <definedName name="Z_610831F5_5DFE_42D4_A0A2_4912634EFE03_.wvu.FilterData" localSheetId="0" hidden="1">'ТР нефть'!$A$29:$ASS$641</definedName>
    <definedName name="Z_6109CD44_011A_459C_B4E8_DFF21202DB85_.wvu.FilterData" localSheetId="0" hidden="1">'ТР нефть'!$A$28:$ASU$642</definedName>
    <definedName name="Z_611B0384_13B6_4163_85D4_D7BAD4A34B7F_.wvu.FilterData" localSheetId="1" hidden="1">Протокол!$A$316:$BD$399</definedName>
    <definedName name="Z_611B0384_13B6_4163_85D4_D7BAD4A34B7F_.wvu.FilterData" localSheetId="0" hidden="1">'ТР нефть'!$A$29:$MM$641</definedName>
    <definedName name="Z_611B05A2_EF87_4DE3_92D9_E81EF8C5A83A_.wvu.FilterData" localSheetId="0" hidden="1">'ТР нефть'!$A$29:$ASU$641</definedName>
    <definedName name="Z_614B9FFD_795C_4359_BC5C_C828D3EB8FF4_.wvu.FilterData" localSheetId="0" hidden="1">'ТР нефть'!$A$29:$MM$604</definedName>
    <definedName name="Z_616DE0EA_5C33_4EBA_8C96_AAD5C41D228E_.wvu.FilterData" localSheetId="0" hidden="1">'ТР нефть'!$A$29:$ASR$641</definedName>
    <definedName name="Z_618C8F3B_B39B_4220_B47E_F8300B073BCB_.wvu.FilterData" localSheetId="0" hidden="1">'ТР нефть'!$A$29:$MM$641</definedName>
    <definedName name="Z_61A88C9D_BAD5_4A8B_AD01_83A5C9A26D07_.wvu.FilterData" localSheetId="0" hidden="1">'ТР нефть'!#REF!</definedName>
    <definedName name="Z_61AE1371_F801_4716_9C6B_3859299D0E57_.wvu.FilterData" localSheetId="1" hidden="1">Протокол!$A$316:$BD$326</definedName>
    <definedName name="Z_61B01522_E603_4868_B693_52CC7D249D5D_.wvu.FilterData" localSheetId="1" hidden="1">Протокол!$A$16:$BD$499</definedName>
    <definedName name="Z_61B01522_E603_4868_B693_52CC7D249D5D_.wvu.FilterData" localSheetId="0" hidden="1">'ТР нефть'!$A$28:$ASU$641</definedName>
    <definedName name="Z_61B2C8AC_94BF_48E9_9F24_B5DC591F2B52_.wvu.FilterData" localSheetId="0" hidden="1">'ТР нефть'!$A$29:$MM$641</definedName>
    <definedName name="Z_61B750EA_37E0_4108_8FCC_6D09DDEE6F7F_.wvu.FilterData" localSheetId="0" hidden="1">'ТР нефть'!$A$28:$ASU$641</definedName>
    <definedName name="Z_61BFCBEA_520A_4832_99D6_05BE90E353A1_.wvu.FilterData" localSheetId="1" hidden="1">Протокол!$B$39:$BD$317</definedName>
    <definedName name="Z_61C09787_C049_4A33_A0C8_E0467A33F8A4_.wvu.FilterData" localSheetId="1" hidden="1">Протокол!$A$407:$BD$467</definedName>
    <definedName name="Z_61C5CE20_42B1_4ADE_95A8_78B603AE0A8E_.wvu.FilterData" localSheetId="1" hidden="1">Протокол!$A$407:$BD$407</definedName>
    <definedName name="Z_61CA38C3_D78A_4D93_9152_F48476B2FFA7_.wvu.FilterData" localSheetId="0" hidden="1">'ТР нефть'!$A$29:$ASS$641</definedName>
    <definedName name="Z_61F513A0_CD04_4208_BB7B_EF94B71B5D2E_.wvu.FilterData" localSheetId="0" hidden="1">'ТР нефть'!$A$29:$MM$641</definedName>
    <definedName name="Z_620EB810_6E4D_4497_BA5D_D64F71C940AB_.wvu.FilterData" localSheetId="0" hidden="1">'ТР нефть'!$A$26:$ASU$641</definedName>
    <definedName name="Z_6276FE62_FFCA_4C4C_B510_F4359FD4D4FE_.wvu.FilterData" localSheetId="0" hidden="1">'ТР нефть'!$A$28:$ASU$639</definedName>
    <definedName name="Z_62870B97_4DE7_48A0_B703_85CE73BE6EDE_.wvu.FilterData" localSheetId="0" hidden="1">'ТР нефть'!$A$26:$ASU$641</definedName>
    <definedName name="Z_62A19800_CB2F_4C3A_B901_126B4A45ECF2_.wvu.FilterData" localSheetId="0" hidden="1">'ТР нефть'!$A$29:$ASR$641</definedName>
    <definedName name="Z_62D617EA_3F8C_46E4_B7ED_ED910224A2D5_.wvu.FilterData" localSheetId="0" hidden="1">'ТР нефть'!$A$29:$MM$604</definedName>
    <definedName name="Z_62EC29AD_65F1_4C94_8E76_E8E84C009272_.wvu.FilterData" localSheetId="0" hidden="1">'ТР нефть'!$A$29:$ASU$641</definedName>
    <definedName name="Z_6304AEDC_BD29_44EE_9128_61833E5BC3CB_.wvu.FilterData" localSheetId="0" hidden="1">'ТР нефть'!$A$28:$ASU$641</definedName>
    <definedName name="Z_6363D4F5_5D5E_4E59_9FFA_F25ECB73B14D_.wvu.FilterData" localSheetId="0" hidden="1">'ТР нефть'!$A$29:$ASR$641</definedName>
    <definedName name="Z_636F9599_3486_4F3C_B7E3_6E06356CDB98_.wvu.FilterData" localSheetId="0" hidden="1">'ТР нефть'!$A$26:$ASU$639</definedName>
    <definedName name="Z_63735A23_482D_49E4_8C79_B9428AB4EB29_.wvu.FilterData" localSheetId="0" hidden="1">'ТР нефть'!$A$29:$ASR$641</definedName>
    <definedName name="Z_639283DD_E56B_444F_9272_F6B08C176AFA_.wvu.FilterData" localSheetId="0" hidden="1">'ТР нефть'!$A$29:$MM$641</definedName>
    <definedName name="Z_63AF84E7_C448_4994_BC89_B7C84E4D2F35_.wvu.FilterData" localSheetId="0" hidden="1">'ТР нефть'!$A$29:$ASR$641</definedName>
    <definedName name="Z_63B98663_8E47_4A91_90F7_D07DFFE5AA80_.wvu.FilterData" localSheetId="1" hidden="1">Протокол!$B$39:$BD$317</definedName>
    <definedName name="Z_643C4347_DA7A_4263_9E3C_C2670B202436_.wvu.FilterData" localSheetId="0" hidden="1">'ТР нефть'!$A$29:$MM$641</definedName>
    <definedName name="Z_646EEC27_EF51_4592_B2E6_31EBB30A4392_.wvu.FilterData" localSheetId="0" hidden="1">'ТР нефть'!$A$29:$ASR$641</definedName>
    <definedName name="Z_647ACE19_DAED_4BA3_886F_200F70147705_.wvu.FilterData" localSheetId="0" hidden="1">'ТР нефть'!$A$29:$ASR$641</definedName>
    <definedName name="Z_649306FE_6725_4B46_8DE9_0DE7C29878B6_.wvu.FilterData" localSheetId="0" hidden="1">'ТР нефть'!$A$29:$ASR$641</definedName>
    <definedName name="Z_64AED274_0AC5_4073_A8E8_0BFE8B139ADB_.wvu.FilterData" localSheetId="0" hidden="1">'ТР нефть'!$A$29:$MM$641</definedName>
    <definedName name="Z_64AF537D_24ED_42D3_8A53_2CAD73FDE7B5_.wvu.FilterData" localSheetId="0" hidden="1">'ТР нефть'!$A$29:$ASS$641</definedName>
    <definedName name="Z_64CE0A37_1916_4091_B06E_AB833543B840_.wvu.FilterData" localSheetId="0" hidden="1">'ТР нефть'!$A$26:$ASU$641</definedName>
    <definedName name="Z_64FF025B_D67B_48E4_96AE_F2F1161446A6_.wvu.FilterData" localSheetId="0" hidden="1">'ТР нефть'!$A$29:$ARU$641</definedName>
    <definedName name="Z_650D59C1_D0C2_4E43_B007_C74F94112652_.wvu.FilterData" localSheetId="0" hidden="1">'ТР нефть'!$A$29:$ASR$641</definedName>
    <definedName name="Z_652DC0DE_8ACA_4502_895E_48CC50C5D5F5_.wvu.FilterData" localSheetId="0" hidden="1">'ТР нефть'!$A$29:$ASR$641</definedName>
    <definedName name="Z_653CED6C_F12C_4D44_829B_170E9BC30DC7_.wvu.FilterData" localSheetId="0" hidden="1">'ТР нефть'!$A$29:$MM$604</definedName>
    <definedName name="Z_656E065A_A15F_4F69_88A1_12C9197E8752_.wvu.FilterData" localSheetId="0" hidden="1">'ТР нефть'!$A$26:$ASU$641</definedName>
    <definedName name="Z_65C10F07_80E7_4CEC_898C_E4343C1C8396_.wvu.FilterData" localSheetId="0" hidden="1">'ТР нефть'!$A$29:$ASR$641</definedName>
    <definedName name="Z_66314A25_0291_4F3A_8BA0_3AA0A064F43A_.wvu.FilterData" localSheetId="0" hidden="1">'ТР нефть'!$A$29:$ASU$641</definedName>
    <definedName name="Z_665D9074_70F5_4D62_9A97_CF6B79E4C031_.wvu.FilterData" localSheetId="0" hidden="1">'ТР нефть'!$A$29:$MM$604</definedName>
    <definedName name="Z_665DBE3F_99B2_40B5_BF2A_82C10B45920D_.wvu.FilterData" localSheetId="0" hidden="1">'ТР нефть'!$A$29:$ASR$641</definedName>
    <definedName name="Z_6684BED3_D4B3_43DD_8340_0DCE6BE6E787_.wvu.FilterData" localSheetId="0" hidden="1">'ТР нефть'!$A$29:$ASR$641</definedName>
    <definedName name="Z_66952FA5_54A3_40FC_87CF_E22E9A6C5C25_.wvu.FilterData" localSheetId="0" hidden="1">'ТР нефть'!$A$26:$ASU$641</definedName>
    <definedName name="Z_66A23467_C19D_40F4_B5FE_E5DD83B3BBC6_.wvu.FilterData" localSheetId="0" hidden="1">'ТР нефть'!$A$26:$ASU$641</definedName>
    <definedName name="Z_66ECA53E_B341_4ACA_BA54_90129CE0F184_.wvu.FilterData" localSheetId="0" hidden="1">'ТР нефть'!$A$29:$ASR$641</definedName>
    <definedName name="Z_66F01C8A_5EA0_4191_B80E_6DA3ACC2EA87_.wvu.FilterData" localSheetId="0" hidden="1">'ТР нефть'!$A$29:$MM$641</definedName>
    <definedName name="Z_66F65AF9_BFBB_4145_8A43_423E48A5C8E0_.wvu.FilterData" localSheetId="1" hidden="1">Протокол!$AW$16:$AW$465</definedName>
    <definedName name="Z_67039298_CDE9_4091_8902_1F0BD8E24631_.wvu.FilterData" localSheetId="0" hidden="1">'ТР нефть'!$A$29:$ASU$641</definedName>
    <definedName name="Z_673F4D1A_4E2F_4563_AB14_8D2BE8C67838_.wvu.FilterData" localSheetId="0" hidden="1">'ТР нефть'!#REF!</definedName>
    <definedName name="Z_674B349E_69B7_4A78_B6AF_38E7C826B254_.wvu.FilterData" localSheetId="0" hidden="1">'ТР нефть'!$A$28:$ASU$642</definedName>
    <definedName name="Z_675CFE56_1C26_413C_A6B0_36B3F437A2AD_.wvu.FilterData" localSheetId="0" hidden="1">'ТР нефть'!$A$29:$ASS$641</definedName>
    <definedName name="Z_676211AF_AC47_4019_9471_F9F6EF450CB1_.wvu.FilterData" localSheetId="0" hidden="1">'ТР нефть'!$A$29:$ASR$641</definedName>
    <definedName name="Z_6768FCB8_116D_470D_A55B_BC907282EDB4_.wvu.FilterData" localSheetId="0" hidden="1">'ТР нефть'!$A$29:$ASR$641</definedName>
    <definedName name="Z_67756150_8938_4016_8F53_3E97854F8CDF_.wvu.FilterData" localSheetId="0" hidden="1">'ТР нефть'!$A$29:$ASU$641</definedName>
    <definedName name="Z_6777663E_19D9_43BB_9932_7BAF30F4EBF6_.wvu.FilterData" localSheetId="0" hidden="1">'ТР нефть'!$A$29:$MM$641</definedName>
    <definedName name="Z_67B90967_2375_44D3_9CBB_ECECC355CA9C_.wvu.FilterData" localSheetId="0" hidden="1">'ТР нефть'!$A$29:$ASR$641</definedName>
    <definedName name="Z_67CBB17D_F3C6_4267_B403_8DF7722296B2_.wvu.FilterData" localSheetId="0" hidden="1">'ТР нефть'!$A$29:$MM$641</definedName>
    <definedName name="Z_67DA2196_CAF6_4B7C_BE4D_FACD05991005_.wvu.FilterData" localSheetId="0" hidden="1">'ТР нефть'!$A$29:$ASS$641</definedName>
    <definedName name="Z_6855D675_C214_4F1E_8D52_E12422766842_.wvu.FilterData" localSheetId="0" hidden="1">'ТР нефть'!$A$29:$ASS$641</definedName>
    <definedName name="Z_6867D50B_74F9_4D16_9105_A4CBF65E15E8_.wvu.FilterData" localSheetId="0" hidden="1">'ТР нефть'!$A$28:$ASU$639</definedName>
    <definedName name="Z_6868EA2C_433F_4DAD_B885_895799A69480_.wvu.FilterData" localSheetId="0" hidden="1">'ТР нефть'!$A$28:$ASU$641</definedName>
    <definedName name="Z_686C5E50_B5F1_4A09_BAF7_F82516C9CCEB_.wvu.FilterData" localSheetId="0" hidden="1">'ТР нефть'!$A$29:$ASR$641</definedName>
    <definedName name="Z_68AF0436_59DA_46B2_A177_CE9C2246AA23_.wvu.FilterData" localSheetId="0" hidden="1">'ТР нефть'!$A$28:$ASU$642</definedName>
    <definedName name="Z_68FBB79A_B9FF_474B_B2E0_FD2BCFDD9579_.wvu.FilterData" localSheetId="0" hidden="1">'ТР нефть'!$A$29:$ASU$641</definedName>
    <definedName name="Z_6910A4B3_8B0E_41AB_800A_A4FD567E19D2_.wvu.FilterData" localSheetId="0" hidden="1">'ТР нефть'!$A$29:$MM$641</definedName>
    <definedName name="Z_693622C6_1F06_450A_9C74_7E8BA18A1278_.wvu.FilterData" localSheetId="0" hidden="1">'ТР нефть'!$A$29:$ASS$641</definedName>
    <definedName name="Z_69486362_7DD7_4233_861A_45A4875902AA_.wvu.FilterData" localSheetId="0" hidden="1">'ТР нефть'!$A$26:$ASU$641</definedName>
    <definedName name="Z_695DF71C_0CCE_4A40_97F7_0495AB84B5B7_.wvu.FilterData" localSheetId="0" hidden="1">'ТР нефть'!$A$29:$ASR$641</definedName>
    <definedName name="Z_698DE834_FCD2_403E_8F16_9312ACD27D68_.wvu.FilterData" localSheetId="0" hidden="1">'ТР нефть'!$A$29:$ASU$641</definedName>
    <definedName name="Z_69932581_3679_4553_B45B_673F8C366970_.wvu.FilterData" localSheetId="0" hidden="1">'ТР нефть'!$A$26:$ASU$641</definedName>
    <definedName name="Z_69A59BC9_EB65_4E74_9950_C87A8F2AC798_.wvu.FilterData" localSheetId="0" hidden="1">'ТР нефть'!$A$29:$ARU$641</definedName>
    <definedName name="Z_69B2A33C_6785_4306_8073_ED958E3097BC_.wvu.FilterData" localSheetId="0" hidden="1">'ТР нефть'!$A$29:$ASR$641</definedName>
    <definedName name="Z_69D24B82_D8E9_4D4D_BE7B_9192C6BE8496_.wvu.FilterData" localSheetId="0" hidden="1">'ТР нефть'!$A$28:$ASU$639</definedName>
    <definedName name="Z_69D6630B_8790_4349_A9AC_809BB76F21DD_.wvu.FilterData" localSheetId="0" hidden="1">'ТР нефть'!$A$29:$MM$641</definedName>
    <definedName name="Z_6A044937_6F14_4AAF_B8D7_6F3F43F02003_.wvu.FilterData" localSheetId="0" hidden="1">'ТР нефть'!$A$29:$MM$641</definedName>
    <definedName name="Z_6A2B788F_E49A_4ECA_9CDF_B6D5363BA4CB_.wvu.FilterData" localSheetId="1" hidden="1">Протокол!#REF!</definedName>
    <definedName name="Z_6A2B788F_E49A_4ECA_9CDF_B6D5363BA4CB_.wvu.FilterData" localSheetId="0" hidden="1">'ТР нефть'!$A$29:$ASR$641</definedName>
    <definedName name="Z_6A56DF60_603B_473A_BA19_E70AE69519C9_.wvu.FilterData" localSheetId="0" hidden="1">'ТР нефть'!$A$26:$ASU$641</definedName>
    <definedName name="Z_6A8DD3AE_DCF6_4887_AEFE_EA2852EF8F96_.wvu.FilterData" localSheetId="0" hidden="1">'ТР нефть'!$A$29:$ASR$641</definedName>
    <definedName name="Z_6B26AFE4_3124_4B60_8791_AD731E61EBFB_.wvu.FilterData" localSheetId="0" hidden="1">'ТР нефть'!$A$29:$ASR$641</definedName>
    <definedName name="Z_6B7A60C0_891E_4803_86AA_EBF00C428F58_.wvu.FilterData" localSheetId="1" hidden="1">Протокол!$A$316:$BD$326</definedName>
    <definedName name="Z_6B7A60C0_891E_4803_86AA_EBF00C428F58_.wvu.FilterData" localSheetId="0" hidden="1">'ТР нефть'!$A$29:$MM$641</definedName>
    <definedName name="Z_6C047576_5255_4337_BC1E_280492B54183_.wvu.FilterData" localSheetId="0" hidden="1">'ТР нефть'!$A$29:$ASS$641</definedName>
    <definedName name="Z_6C058F15_E8F5_4036_96B0_2C8D2384F8A5_.wvu.FilterData" localSheetId="0" hidden="1">'ТР нефть'!$A$28:$ASU$641</definedName>
    <definedName name="Z_6C2509A3_0A21_4837_BF3E_E568C59C6196_.wvu.FilterData" localSheetId="0" hidden="1">'ТР нефть'!$A$29:$MM$641</definedName>
    <definedName name="Z_6C27350A_436C_4297_BA16_2CAA6084367C_.wvu.FilterData" localSheetId="0" hidden="1">'ТР нефть'!$A$26:$ASU$641</definedName>
    <definedName name="Z_6C4C02A0_14D3_438C_B3AD_6457BC49C9B6_.wvu.FilterData" localSheetId="0" hidden="1">'ТР нефть'!$A$29:$ASR$641</definedName>
    <definedName name="Z_6C52920D_6586_43D5_9BC4_8DCF4852A539_.wvu.FilterData" localSheetId="0" hidden="1">'ТР нефть'!$A$29:$ASR$641</definedName>
    <definedName name="Z_6C74EDB4_0F09_4C84_BF17_BAC8A7B8AA38_.wvu.FilterData" localSheetId="0" hidden="1">'ТР нефть'!$A$28:$ASU$641</definedName>
    <definedName name="Z_6CA5CE25_70F5_48C1_BDC4_B6AC09FCF54A_.wvu.FilterData" localSheetId="0" hidden="1">'ТР нефть'!$A$29:$ASS$641</definedName>
    <definedName name="Z_6CFC57D6_CF70_4F07_963D_69A4FE5615FF_.wvu.FilterData" localSheetId="0" hidden="1">'ТР нефть'!$A$28:$ASU$639</definedName>
    <definedName name="Z_6CFD2CD0_78AF_490A_BD54_6385C3F3BB75_.wvu.FilterData" localSheetId="0" hidden="1">'ТР нефть'!$A$29:$ASS$641</definedName>
    <definedName name="Z_6D02D48A_CAED_44E1_88CA_B8DF72C5F971_.wvu.FilterData" localSheetId="0" hidden="1">'ТР нефть'!$A$29:$ASS$641</definedName>
    <definedName name="Z_6D09FC5D_BAEC_4F88_B1CE_C3D1014604D1_.wvu.FilterData" localSheetId="0" hidden="1">'ТР нефть'!$A$29:$ASU$641</definedName>
    <definedName name="Z_6D273E0F_C06F_4168_BB67_6C3366460D96_.wvu.FilterData" localSheetId="0" hidden="1">'ТР нефть'!$A$29:$ASR$641</definedName>
    <definedName name="Z_6D2D6E1D_7E96_4D95_B6D8_985DD31CFB5D_.wvu.FilterData" localSheetId="0" hidden="1">'ТР нефть'!$A$29:$ASS$641</definedName>
    <definedName name="Z_6D380A61_4B03_4C94_8C36_1B337C290D57_.wvu.FilterData" localSheetId="0" hidden="1">'ТР нефть'!$A$26:$ASU$641</definedName>
    <definedName name="Z_6D607C7E_762E_42C6_BA80_811B73B8A0E0_.wvu.FilterData" localSheetId="0" hidden="1">'ТР нефть'!$A$28:$ASU$639</definedName>
    <definedName name="Z_6D65B166_CC41_47F2_BE81_5A9EDF443C76_.wvu.FilterData" localSheetId="0" hidden="1">'ТР нефть'!$A$29:$ASU$641</definedName>
    <definedName name="Z_6D7DC654_A707_4DB8_A226_85A93C9D1E45_.wvu.FilterData" localSheetId="0" hidden="1">'ТР нефть'!$A$26:$ASU$641</definedName>
    <definedName name="Z_6D8B5E10_9638_4D05_B6C4_6355F02FAF72_.wvu.FilterData" localSheetId="0" hidden="1">'ТР нефть'!$A$29:$MM$641</definedName>
    <definedName name="Z_6E01AF48_0637_4AC0_97A8_118610798DA7_.wvu.FilterData" localSheetId="0" hidden="1">'ТР нефть'!$A$29:$MM$641</definedName>
    <definedName name="Z_6E1B8EB6_6C28_46DC_AF39_232C84F10732_.wvu.FilterData" localSheetId="0" hidden="1">'ТР нефть'!$A$29:$ASR$641</definedName>
    <definedName name="Z_6E59FB2E_4521_4242_90E4_828EB78C30CE_.wvu.FilterData" localSheetId="0" hidden="1">'ТР нефть'!$A$26:$ASU$641</definedName>
    <definedName name="Z_6E5A1DA1_B0B4_4F2F_B260_FEE684505BD9_.wvu.FilterData" localSheetId="0" hidden="1">'ТР нефть'!$A$29:$ASR$641</definedName>
    <definedName name="Z_6E606633_907D_4293_8DD5_0765C3A832B7_.wvu.FilterData" localSheetId="0" hidden="1">'ТР нефть'!$A$29:$ASS$641</definedName>
    <definedName name="Z_6E94879B_EED1_4D8E_BB11_4E7CFFDF4A36_.wvu.FilterData" localSheetId="0" hidden="1">'ТР нефть'!$A$29:$ASS$641</definedName>
    <definedName name="Z_6EBD3C73_14AC_4652_8807_2C98CA219AD4_.wvu.FilterData" localSheetId="0" hidden="1">'ТР нефть'!$A$29:$ASR$641</definedName>
    <definedName name="Z_6EDFC7A4_608B_4C7B_9CE1_1325BF8643FF_.wvu.FilterData" localSheetId="0" hidden="1">'ТР нефть'!$A$29:$ARU$641</definedName>
    <definedName name="Z_6EE0F48B_A987_40AB_A012_9A7EB229C825_.wvu.FilterData" localSheetId="0" hidden="1">'ТР нефть'!$A$29:$ARU$641</definedName>
    <definedName name="Z_6F1C1950_251A_4C73_92C9_6EB848BCC02E_.wvu.FilterData" localSheetId="0" hidden="1">'ТР нефть'!$A$28:$ASU$639</definedName>
    <definedName name="Z_6F26384D_B207_4A6F_B652_4A86F825F952_.wvu.FilterData" localSheetId="0" hidden="1">'ТР нефть'!$A$29:$ASR$641</definedName>
    <definedName name="Z_6F26A5CB_C5A0_4966_8369_E8896B29ACCA_.wvu.FilterData" localSheetId="0" hidden="1">'ТР нефть'!$A$29:$ASS$641</definedName>
    <definedName name="Z_6F6C39B5_32E1_4FB6_A5D9_B09D6D17318C_.wvu.FilterData" localSheetId="1" hidden="1">Протокол!$A$316:$BD$326</definedName>
    <definedName name="Z_6F6C39B5_32E1_4FB6_A5D9_B09D6D17318C_.wvu.FilterData" localSheetId="0" hidden="1">'ТР нефть'!$A$29:$MM$604</definedName>
    <definedName name="Z_6F7F802A_64C5_4B8D_95E2_65593CEE0AB3_.wvu.FilterData" localSheetId="0" hidden="1">'ТР нефть'!$A$29:$ASR$641</definedName>
    <definedName name="Z_6FB13568_F63A_45A2_8716_1ACBBF336397_.wvu.FilterData" localSheetId="0" hidden="1">'ТР нефть'!$A$29:$MM$641</definedName>
    <definedName name="Z_6FD1EC95_3CFC_4C08_ADA9_4B94C13C5A40_.wvu.FilterData" localSheetId="0" hidden="1">'ТР нефть'!$A$29:$MM$641</definedName>
    <definedName name="Z_713C2427_A2D3_44D7_BBC8_350E227A0A0E_.wvu.FilterData" localSheetId="0" hidden="1">'ТР нефть'!$A$29:$MM$641</definedName>
    <definedName name="Z_717A96D5_E51B_436B_A9B1_2C4818E648BA_.wvu.FilterData" localSheetId="0" hidden="1">'ТР нефть'!$A$29:$ASR$641</definedName>
    <definedName name="Z_717B6596_8A4F_4D33_A758_F2BC5561B4EA_.wvu.FilterData" localSheetId="0" hidden="1">'ТР нефть'!$A$29:$ASR$641</definedName>
    <definedName name="Z_718FEFA8_8269_41E6_AC98_668C8926BC98_.wvu.FilterData" localSheetId="0" hidden="1">'ТР нефть'!$A$29:$ASS$641</definedName>
    <definedName name="Z_71911DEA_E381_47EC_B734_4C794A1A5049_.wvu.FilterData" localSheetId="0" hidden="1">'ТР нефть'!$A$29:$ASS$641</definedName>
    <definedName name="Z_71B6C59E_9C71_435D_A55E_6596E35CDD09_.wvu.FilterData" localSheetId="0" hidden="1">'ТР нефть'!$A$29:$ASR$641</definedName>
    <definedName name="Z_71D3FB35_4FD9_4F46_A84F_96A247460E68_.wvu.FilterData" localSheetId="0" hidden="1">'ТР нефть'!$A$29:$ASR$641</definedName>
    <definedName name="Z_721CF898_7D79_406D_A078_B3AD1A0DB04B_.wvu.FilterData" localSheetId="0" hidden="1">'ТР нефть'!$A$29:$ASR$641</definedName>
    <definedName name="Z_722958BE_86B7_4A3E_9485_FF0A2240AD24_.wvu.FilterData" localSheetId="0" hidden="1">'ТР нефть'!$A$28:$ASU$642</definedName>
    <definedName name="Z_72500674_2292_493F_9880_36722C16579C_.wvu.FilterData" localSheetId="0" hidden="1">'ТР нефть'!$A$29:$ASS$641</definedName>
    <definedName name="Z_727442BF_2F83_46F5_AD19_58BE7C9FB45F_.wvu.FilterData" localSheetId="0" hidden="1">'ТР нефть'!$A$29:$ARU$641</definedName>
    <definedName name="Z_7277833D_1C03_490C_8A02_9BE594C7FCAB_.wvu.FilterData" localSheetId="0" hidden="1">'ТР нефть'!$A$29:$ASR$641</definedName>
    <definedName name="Z_72C6621B_7AE0_402C_A035_11CAEAE65495_.wvu.FilterData" localSheetId="0" hidden="1">'ТР нефть'!$A$29:$ASS$641</definedName>
    <definedName name="Z_72E6E49D_8949_4A18_B6F6_D7A98C4E57A8_.wvu.FilterData" localSheetId="0" hidden="1">'ТР нефть'!$A$29:$MM$641</definedName>
    <definedName name="Z_72FFDFF1_5CC9_48ED_8E7A_43E66451324E_.wvu.FilterData" localSheetId="0" hidden="1">'ТР нефть'!$A$29:$MM$604</definedName>
    <definedName name="Z_736432E6_25A9_42A6_95F0_C08B1610B475_.wvu.FilterData" localSheetId="0" hidden="1">'ТР нефть'!$A$29:$MM$641</definedName>
    <definedName name="Z_73896FEF_92C0_4992_88D7_5096402FDC32_.wvu.FilterData" localSheetId="0" hidden="1">'ТР нефть'!$A$28:$ASU$639</definedName>
    <definedName name="Z_73955DFF_E05B_41F5_A983_5EE16D60D375_.wvu.FilterData" localSheetId="0" hidden="1">'ТР нефть'!$A$28:$ASU$641</definedName>
    <definedName name="Z_739642CE_04B7_4055_989B_9449A48705D9_.wvu.FilterData" localSheetId="0" hidden="1">'ТР нефть'!$A$29:$MM$604</definedName>
    <definedName name="Z_73BE18AF_9FB2_42B7_8180_8D8819DE2AB6_.wvu.FilterData" localSheetId="0" hidden="1">'ТР нефть'!$A$29:$ASS$641</definedName>
    <definedName name="Z_73DA4154_7B78_4A00_983A_D53E2F7DA335_.wvu.FilterData" localSheetId="1" hidden="1">Протокол!$B$39:$BD$317</definedName>
    <definedName name="Z_73FCBC7C_F146_4AB6_BE53_2F40422C606A_.wvu.FilterData" localSheetId="0" hidden="1">'ТР нефть'!$A$29:$MM$641</definedName>
    <definedName name="Z_74108AB7_1B72_461E_B15C_5280C20A568E_.wvu.FilterData" localSheetId="0" hidden="1">'ТР нефть'!$A$29:$MM$641</definedName>
    <definedName name="Z_741FDC11_4B4F_4E4A_BA3B_9BEC345DDDBA_.wvu.FilterData" localSheetId="0" hidden="1">'ТР нефть'!$A$29:$ASR$641</definedName>
    <definedName name="Z_74424DB6_9ADA_469E_8D4C_7D27A4EAF1B4_.wvu.FilterData" localSheetId="0" hidden="1">'ТР нефть'!$A$26:$ASU$641</definedName>
    <definedName name="Z_744FC9D1_BF13_4081_9827_4527B2BC643F_.wvu.FilterData" localSheetId="0" hidden="1">'ТР нефть'!$A$26:$ASU$641</definedName>
    <definedName name="Z_74853B2B_C3B0_41A0_B8BE_A2B463B30088_.wvu.FilterData" localSheetId="0" hidden="1">'ТР нефть'!$A$29:$ASR$641</definedName>
    <definedName name="Z_74CC393F_9659_4F83_A889_B8352483E2E8_.wvu.FilterData" localSheetId="0" hidden="1">'ТР нефть'!$A$26:$ASU$641</definedName>
    <definedName name="Z_74F762B7_1AE1_4EC7_9694_803820F96F8C_.wvu.FilterData" localSheetId="0" hidden="1">'ТР нефть'!$A$29:$ASR$641</definedName>
    <definedName name="Z_7516654D_FF7C_4EF3_8C57_488DBF0059C2_.wvu.FilterData" localSheetId="0" hidden="1">'ТР нефть'!$A$29:$ASR$641</definedName>
    <definedName name="Z_75305C22_9AFA_43B4_B183_435F72A3C5E2_.wvu.FilterData" localSheetId="0" hidden="1">'ТР нефть'!$A$29:$MM$641</definedName>
    <definedName name="Z_756AE117_C93E_4CD9_8AC0_81A1B3805CCC_.wvu.FilterData" localSheetId="0" hidden="1">'ТР нефть'!$A$29:$ASS$641</definedName>
    <definedName name="Z_757DF14D_E660_492B_AFD6_6CC1C6A8D586_.wvu.FilterData" localSheetId="0" hidden="1">'ТР нефть'!$A$29:$MM$604</definedName>
    <definedName name="Z_75DBC9B9_7F2D_4C09_AFAA_AC8A0E69EC45_.wvu.FilterData" localSheetId="0" hidden="1">'ТР нефть'!$A$29:$ASR$641</definedName>
    <definedName name="Z_75E5B940_E22E_4D26_A43D_CE1F41296A29_.wvu.FilterData" localSheetId="0" hidden="1">'ТР нефть'!$A$29:$ASR$641</definedName>
    <definedName name="Z_76657FA6_5C93_4B43_9B2C_B108A2FD469C_.wvu.FilterData" localSheetId="0" hidden="1">'ТР нефть'!$A$29:$MM$641</definedName>
    <definedName name="Z_76746EF0_80F9_4E7A_B819_FE16EF813A0C_.wvu.FilterData" localSheetId="0" hidden="1">'ТР нефть'!$A$29:$ASR$641</definedName>
    <definedName name="Z_77037AC6_5910_4654_AB25_D5D6F5805560_.wvu.FilterData" localSheetId="0" hidden="1">'ТР нефть'!$A$29:$ARU$641</definedName>
    <definedName name="Z_77141914_F19F_4DD7_98B1_60E3C4FC6D1B_.wvu.Cols" localSheetId="1" hidden="1">Протокол!#REF!</definedName>
    <definedName name="Z_77141914_F19F_4DD7_98B1_60E3C4FC6D1B_.wvu.Cols" localSheetId="0" hidden="1">'ТР нефть'!$A:$A,'ТР нефть'!$F:$F,'ТР нефть'!$K:$AT,'ТР нефть'!$AV:$BJ,'ТР нефть'!$BM:$CH,'ТР нефть'!$CD:$CD,'ТР нефть'!$CX:$CX,'ТР нефть'!$DA:$ED,'ТР нефть'!$MQ:$MR,'ТР нефть'!$MT:$MT,'ТР нефть'!$MW:$NF,'ТР нефть'!$NQ:$ASR</definedName>
    <definedName name="Z_77141914_F19F_4DD7_98B1_60E3C4FC6D1B_.wvu.FilterData" localSheetId="0" hidden="1">'ТР нефть'!$A$29:$ASR$641</definedName>
    <definedName name="Z_77141914_F19F_4DD7_98B1_60E3C4FC6D1B_.wvu.PrintArea" localSheetId="1" hidden="1">Протокол!$A$16:$BC$499</definedName>
    <definedName name="Z_77141914_F19F_4DD7_98B1_60E3C4FC6D1B_.wvu.PrintArea" localSheetId="0" hidden="1">'ТР нефть'!$B$20:$DX$646</definedName>
    <definedName name="Z_77141914_F19F_4DD7_98B1_60E3C4FC6D1B_.wvu.PrintTitles" localSheetId="0" hidden="1">'ТР нефть'!$25:$25</definedName>
    <definedName name="Z_77141914_F19F_4DD7_98B1_60E3C4FC6D1B_.wvu.Rows" localSheetId="1" hidden="1">Протокол!#REF!,Протокол!$29:$29,Протокол!$33:$33,Протокол!#REF!,Протокол!#REF!,Протокол!#REF!,Протокол!#REF!,Протокол!#REF!,Протокол!#REF!,Протокол!#REF!,Протокол!#REF!,Протокол!#REF!,Протокол!#REF!,Протокол!#REF!</definedName>
    <definedName name="Z_77141914_F19F_4DD7_98B1_60E3C4FC6D1B_.wvu.Rows" localSheetId="0" hidden="1">'ТР нефть'!$20:$24</definedName>
    <definedName name="Z_77476497_49BB_40EF_8A83_E87024A5656F_.wvu.FilterData" localSheetId="0" hidden="1">'ТР нефть'!$A$26:$ASU$639</definedName>
    <definedName name="Z_77645787_5921_4CDC_ABE3_CA4DD53CEEFD_.wvu.FilterData" localSheetId="0" hidden="1">'ТР нефть'!$A$29:$ASR$641</definedName>
    <definedName name="Z_7777B733_F732_4781_9A45_03DD12487204_.wvu.FilterData" localSheetId="0" hidden="1">'ТР нефть'!$A$28:$ASU$641</definedName>
    <definedName name="Z_77A4A433_494F_41AB_A080_778926049C5F_.wvu.FilterData" localSheetId="0" hidden="1">'ТР нефть'!$A$26:$ASU$641</definedName>
    <definedName name="Z_77D091B9_854E_47D9_9CC0_B2ED8B442FEC_.wvu.FilterData" localSheetId="0" hidden="1">'ТР нефть'!$A$26:$ASU$641</definedName>
    <definedName name="Z_77D22405_661B_4FFA_88BF_2D085AAB71B9_.wvu.FilterData" localSheetId="0" hidden="1">'ТР нефть'!$A$29:$ASR$641</definedName>
    <definedName name="Z_77E26B94_3545_4ECE_B4B8_0DA5DBED13DB_.wvu.FilterData" localSheetId="0" hidden="1">'ТР нефть'!$A$26:$ASU$641</definedName>
    <definedName name="Z_77F7EC1B_041B_4D39_8326_3B12F25D8618_.wvu.FilterData" localSheetId="0" hidden="1">'ТР нефть'!$A$28:$ASU$641</definedName>
    <definedName name="Z_785253E0_4F53_4BB8_8E3B_BAE7338CA37D_.wvu.FilterData" localSheetId="0" hidden="1">'ТР нефть'!$A$29:$MM$641</definedName>
    <definedName name="Z_786BA686_00F6_4B00_8F9D_52031A260D36_.wvu.FilterData" localSheetId="0" hidden="1">'ТР нефть'!$A$29:$MM$641</definedName>
    <definedName name="Z_78D48110_C226_4C07_B792_FE7645BF4A21_.wvu.FilterData" localSheetId="0" hidden="1">'ТР нефть'!$A$26:$ASU$641</definedName>
    <definedName name="Z_78D73FA4_308D_40BE_A47E_41A367A9914D_.wvu.FilterData" localSheetId="0" hidden="1">'ТР нефть'!$A$26:$ASU$641</definedName>
    <definedName name="Z_78E23666_B40D_48A3_9857_0C13856D70EB_.wvu.FilterData" localSheetId="0" hidden="1">'ТР нефть'!$A$29:$ASS$641</definedName>
    <definedName name="Z_78E67EA5_F8E3_4006_AE37_CF3A5A64FC13_.wvu.FilterData" localSheetId="0" hidden="1">'ТР нефть'!$A$29:$ASS$641</definedName>
    <definedName name="Z_7906B80F_84B4_4209_9B1E_5A35FDF9B3ED_.wvu.FilterData" localSheetId="0" hidden="1">'ТР нефть'!$A$26:$ASU$641</definedName>
    <definedName name="Z_793D9716_50BB_46E6_B973_7BB583C8C56E_.wvu.FilterData" localSheetId="0" hidden="1">'ТР нефть'!#REF!</definedName>
    <definedName name="Z_7976B67B_BD72_42D1_A563_076BB4C9CDC7_.wvu.FilterData" localSheetId="0" hidden="1">'ТР нефть'!$A$29:$ASR$641</definedName>
    <definedName name="Z_79873EE7_693D_4DD5_806F_C5B93C89D1BC_.wvu.FilterData" localSheetId="0" hidden="1">'ТР нефть'!$A$29:$ASR$641</definedName>
    <definedName name="Z_798AE344_36EF_4B23_86A6_63D52E40B602_.wvu.FilterData" localSheetId="1" hidden="1">Протокол!$A$318:$BD$326</definedName>
    <definedName name="Z_79A5A79C_A41A_4BA5_89F2_8499E4B76B75_.wvu.FilterData" localSheetId="0" hidden="1">'ТР нефть'!$A$29:$ASS$641</definedName>
    <definedName name="Z_7A217400_11AF_432E_A2A0_5FC09AC514CF_.wvu.FilterData" localSheetId="0" hidden="1">'ТР нефть'!$A$29:$MM$641</definedName>
    <definedName name="Z_7A5AD6A7_EDE7_4290_B3C8_1AD58A6BF728_.wvu.FilterData" localSheetId="0" hidden="1">'ТР нефть'!$A$29:$ASR$641</definedName>
    <definedName name="Z_7A6F1289_C932_4903_845A_50343F3D68D6_.wvu.FilterData" localSheetId="0" hidden="1">'ТР нефть'!$A$26:$ASU$641</definedName>
    <definedName name="Z_7A8DB159_5AFE_4DF1_9BAF_0E327B556361_.wvu.FilterData" localSheetId="0" hidden="1">'ТР нефть'!$A$29:$ASR$641</definedName>
    <definedName name="Z_7A9417C7_A776_4CB6_A3D4_8B6ECC4BB80D_.wvu.FilterData" localSheetId="0" hidden="1">'ТР нефть'!$A$26:$ASU$641</definedName>
    <definedName name="Z_7AC58487_A06E_4435_A0A7_6EA15CEF262E_.wvu.FilterData" localSheetId="0" hidden="1">'ТР нефть'!$A$26:$ASU$641</definedName>
    <definedName name="Z_7B13B1F0_29C0_42B4_A8CF_EEC5D428F6CE_.wvu.FilterData" localSheetId="1" hidden="1">Протокол!$A$407:$BD$464</definedName>
    <definedName name="Z_7B6C8BD7_C462_4D9E_8AE5_86D20D11B502_.wvu.FilterData" localSheetId="0" hidden="1">'ТР нефть'!$A$29:$MM$641</definedName>
    <definedName name="Z_7BB24F71_269E_411B_8625_9DACE6A74DCB_.wvu.FilterData" localSheetId="0" hidden="1">'ТР нефть'!$A$29:$ASS$641</definedName>
    <definedName name="Z_7BD579E4_4EC2_40E6_ABB6_9E7970E5E1DC_.wvu.FilterData" localSheetId="1" hidden="1">Протокол!$B$39:$BD$317</definedName>
    <definedName name="Z_7BE52F0B_9724_43A0_BCF0_39EAA370FE70_.wvu.FilterData" localSheetId="0" hidden="1">'ТР нефть'!$A$29:$ASS$641</definedName>
    <definedName name="Z_7C37DDD4_420A_4FD3_8D26_22B304767C5B_.wvu.FilterData" localSheetId="0" hidden="1">'ТР нефть'!$A$29:$ASR$641</definedName>
    <definedName name="Z_7C53F468_2980_4813_AF11_89FDBA891E5D_.wvu.Cols" localSheetId="0" hidden="1">'ТР нефть'!$A:$A,'ТР нефть'!$F:$F,'ТР нефть'!$U:$AD,'ТР нефть'!$AF:$AG,'ТР нефть'!$AJ:$AK,'ТР нефть'!$AO:$AT,'ТР нефть'!$AV:$BJ,'ТР нефть'!$BO:$BO,'ТР нефть'!$BR:$BU,'ТР нефть'!$CD:$CD,'ТР нефть'!$DA:$ED,'ТР нефть'!$EP:$FA,'ТР нефть'!$FF:$FP,'ТР нефть'!$HK:$LX,'ТР нефть'!$MM:$MN,'ТР нефть'!$MP:$MP,'ТР нефть'!$MS:$NB,'ТР нефть'!$NM:$NQ</definedName>
    <definedName name="Z_7C53F468_2980_4813_AF11_89FDBA891E5D_.wvu.FilterData" localSheetId="1" hidden="1">Протокол!$A$16:$BD$499</definedName>
    <definedName name="Z_7C53F468_2980_4813_AF11_89FDBA891E5D_.wvu.FilterData" localSheetId="0" hidden="1">'ТР нефть'!$A$28:$ASU$641</definedName>
    <definedName name="Z_7C53F468_2980_4813_AF11_89FDBA891E5D_.wvu.PrintArea" localSheetId="1" hidden="1">Протокол!$A$1:$BE$491</definedName>
    <definedName name="Z_7C53F468_2980_4813_AF11_89FDBA891E5D_.wvu.PrintArea" localSheetId="0" hidden="1">'ТР нефть'!$B$20:$EA$646</definedName>
    <definedName name="Z_7C53F468_2980_4813_AF11_89FDBA891E5D_.wvu.PrintTitles" localSheetId="0" hidden="1">'ТР нефть'!$25:$25</definedName>
    <definedName name="Z_7C53F468_2980_4813_AF11_89FDBA891E5D_.wvu.Rows" localSheetId="1" hidden="1">Протокол!$16:$17,Протокол!$29:$30,Протокол!$96:$105,Протокол!$108:$157,Протокол!$159:$164,Протокол!$167:$171,Протокол!$318:$318</definedName>
    <definedName name="Z_7C53F468_2980_4813_AF11_89FDBA891E5D_.wvu.Rows" localSheetId="0" hidden="1">'ТР нефть'!$1:$24,'ТР нефть'!#REF!</definedName>
    <definedName name="Z_7C5641FA_D412_4089_B7EF_EB146B3B237B_.wvu.FilterData" localSheetId="0" hidden="1">'ТР нефть'!$A$29:$ASR$641</definedName>
    <definedName name="Z_7C86E079_C160_469F_987C_48777588C3A5_.wvu.FilterData" localSheetId="0" hidden="1">'ТР нефть'!$A$29:$ARU$641</definedName>
    <definedName name="Z_7CA704F8_28C9_4E53_9633_4922081FFB3B_.wvu.FilterData" localSheetId="0" hidden="1">'ТР нефть'!$A$29:$ASS$641</definedName>
    <definedName name="Z_7CB8B8C1_FDCE_44A3_B58A_DEAE60E520A2_.wvu.FilterData" localSheetId="1" hidden="1">Протокол!$A$316:$BD$323</definedName>
    <definedName name="Z_7CCDEC11_B6F1_4A61_94B4_C4D9FE506629_.wvu.FilterData" localSheetId="0" hidden="1">'ТР нефть'!$A$26:$ASU$641</definedName>
    <definedName name="Z_7CD5DFCD_FBA4_4917_9E8E_B6596FEB6771_.wvu.FilterData" localSheetId="0" hidden="1">'ТР нефть'!$A$29:$ASS$641</definedName>
    <definedName name="Z_7CE1AEE6_85B8_489F_A89B_02084A376006_.wvu.FilterData" localSheetId="0" hidden="1">'ТР нефть'!$A$29:$ASU$641</definedName>
    <definedName name="Z_7CFB9A40_9ABE_4EE4_A694_DC4EE6015F66_.wvu.FilterData" localSheetId="0" hidden="1">'ТР нефть'!$A$28:$ASU$639</definedName>
    <definedName name="Z_7D154762_C073_4493_991E_B18D8C548044_.wvu.FilterData" localSheetId="0" hidden="1">'ТР нефть'!$A$26:$ASU$641</definedName>
    <definedName name="Z_7D2E75FE_48DB_4557_BF30_26D1F1330738_.wvu.FilterData" localSheetId="0" hidden="1">'ТР нефть'!$A$29:$ASR$641</definedName>
    <definedName name="Z_7D54876A_E715_4DE8_9BB8_19253393E1ED_.wvu.FilterData" localSheetId="0" hidden="1">'ТР нефть'!$A$29:$ARU$641</definedName>
    <definedName name="Z_7D68C117_021D_4535_87A2_5566A3BD56AB_.wvu.FilterData" localSheetId="0" hidden="1">'ТР нефть'!$A$29:$ASS$641</definedName>
    <definedName name="Z_7D8205CB_B10E_496E_B261_9E6A087D4B6D_.wvu.FilterData" localSheetId="0" hidden="1">'ТР нефть'!$A$26:$ASU$641</definedName>
    <definedName name="Z_7DA2AB30_6BB3_4809_8007_AA893797EE20_.wvu.FilterData" localSheetId="0" hidden="1">'ТР нефть'!$A$28:$ASU$641</definedName>
    <definedName name="Z_7DBFAAD6_2CC9_4DB1_8B42_520AA7A81C5E_.wvu.FilterData" localSheetId="0" hidden="1">'ТР нефть'!$A$26:$ASU$641</definedName>
    <definedName name="Z_7DFE7485_6548_495A_B822_2DDB283BC195_.wvu.FilterData" localSheetId="0" hidden="1">'ТР нефть'!$A$29:$MM$641</definedName>
    <definedName name="Z_7E039FCD_3C91_429A_90D6_C4DA47A982D1_.wvu.PrintArea" localSheetId="1" hidden="1">Протокол!$B$16:$BA$317</definedName>
    <definedName name="Z_7E039FCD_3C91_429A_90D6_C4DA47A982D1_.wvu.PrintTitles" localSheetId="1" hidden="1">Протокол!$37:$38</definedName>
    <definedName name="Z_7E1822F4_94FA_41D3_97D8_9D73922E7011_.wvu.FilterData" localSheetId="0" hidden="1">'ТР нефть'!$A$29:$ASR$641</definedName>
    <definedName name="Z_7E3FA995_5CE3_4E5E_8DAB_8F0AF56E5BED_.wvu.FilterData" localSheetId="0" hidden="1">'ТР нефть'!$A$28:$ASU$642</definedName>
    <definedName name="Z_7E6D6CB3_AAB3_4213_86FE_2F4EB412D8C2_.wvu.FilterData" localSheetId="0" hidden="1">'ТР нефть'!$A$29:$MM$641</definedName>
    <definedName name="Z_7E72C25D_5BBC_4C24_A503_D28A96CA9EA0_.wvu.FilterData" localSheetId="0" hidden="1">'ТР нефть'!$A$28:$ASU$641</definedName>
    <definedName name="Z_7EB87187_7927_4127_AEC2_6FF1B3BADA3B_.wvu.FilterData" localSheetId="0" hidden="1">'ТР нефть'!$A$29:$MM$641</definedName>
    <definedName name="Z_7EFC9194_1B93_448E_8729_4AF3D956089A_.wvu.FilterData" localSheetId="1" hidden="1">Протокол!$A$316:$BD$399</definedName>
    <definedName name="Z_7EFC9194_1B93_448E_8729_4AF3D956089A_.wvu.FilterData" localSheetId="0" hidden="1">'ТР нефть'!$A$29:$MM$641</definedName>
    <definedName name="Z_7F1589D2_E7F7_4AC8_B097_314E0403B366_.wvu.FilterData" localSheetId="0" hidden="1">'ТР нефть'!$A$29:$MM$641</definedName>
    <definedName name="Z_7F6360DE_E868_4286_B01A_0CF9F3FBC4F5_.wvu.FilterData" localSheetId="0" hidden="1">'ТР нефть'!$A$29:$ASU$641</definedName>
    <definedName name="Z_7FF956EF_D5F8_406B_9D44_4350A0783B85_.wvu.FilterData" localSheetId="0" hidden="1">'ТР нефть'!$A$28:$ASU$641</definedName>
    <definedName name="Z_8019D8BA_8F68_4C46_B0F9_ED8561716726_.wvu.FilterData" localSheetId="0" hidden="1">'ТР нефть'!$A$29:$MM$641</definedName>
    <definedName name="Z_8023DEDF_EC3A_4B24_8FF5_4F4F5EBF7F7B_.wvu.FilterData" localSheetId="0" hidden="1">'ТР нефть'!$A$29:$ASR$641</definedName>
    <definedName name="Z_803597B2_D491_416D_80AB_AD39D97D813C_.wvu.FilterData" localSheetId="0" hidden="1">'ТР нефть'!$A$29:$ASR$641</definedName>
    <definedName name="Z_80473080_5C64_445F_AC97_40F756ED8E5A_.wvu.FilterData" localSheetId="0" hidden="1">'ТР нефть'!$A$29:$ASS$641</definedName>
    <definedName name="Z_8053AB2C_52C6_4DB2_A0F2_4110C0057D9D_.wvu.FilterData" localSheetId="0" hidden="1">'ТР нефть'!$A$29:$ASS$641</definedName>
    <definedName name="Z_80749640_B1DF_4328_957B_4BB75D045C7F_.wvu.FilterData" localSheetId="0" hidden="1">'ТР нефть'!$A$29:$ASS$641</definedName>
    <definedName name="Z_80B1C3A6_9E69_4902_8679_857C9A338FDE_.wvu.FilterData" localSheetId="0" hidden="1">'ТР нефть'!$A$28:$ASU$641</definedName>
    <definedName name="Z_80B1E566_255D_4DE7_87FF_52A2BE0D05E9_.wvu.FilterData" localSheetId="0" hidden="1">'ТР нефть'!$A$29:$ASR$641</definedName>
    <definedName name="Z_80D63D09_9A6C_47F2_BE9B_C49D4A4BD836_.wvu.FilterData" localSheetId="0" hidden="1">'ТР нефть'!$A$29:$ARU$641</definedName>
    <definedName name="Z_80D7B5C2_66CC_4D9A_8E94_F9749370C545_.wvu.FilterData" localSheetId="0" hidden="1">'ТР нефть'!$A$26:$ASU$641</definedName>
    <definedName name="Z_80E25553_B51E_4446_90A9_79322A698C26_.wvu.FilterData" localSheetId="0" hidden="1">'ТР нефть'!$A$29:$ASS$641</definedName>
    <definedName name="Z_80EF491A_4263_4B1E_836B_2CA7B2988688_.wvu.FilterData" localSheetId="0" hidden="1">'ТР нефть'!$A$29:$ASS$641</definedName>
    <definedName name="Z_810BD883_7544_4A9F_B8A0_BEDAA0607657_.wvu.FilterData" localSheetId="0" hidden="1">'ТР нефть'!$A$28:$ASU$639</definedName>
    <definedName name="Z_810E86A6_90C5_46B4_9012_A192C3D3AC7E_.wvu.FilterData" localSheetId="0" hidden="1">'ТР нефть'!$A$29:$ARU$641</definedName>
    <definedName name="Z_8151C8CB_2A8D_4BD5_94A0_65374954AC9E_.wvu.FilterData" localSheetId="0" hidden="1">'ТР нефть'!$A$29:$ASR$641</definedName>
    <definedName name="Z_81A805D4_454E_4CDE_9D81_D2593A34DCFF_.wvu.FilterData" localSheetId="0" hidden="1">'ТР нефть'!$A$29:$ASR$641</definedName>
    <definedName name="Z_81B3CA36_AF99_4EE7_A1A9_749DED9A0AC6_.wvu.FilterData" localSheetId="0" hidden="1">'ТР нефть'!$A$29:$ASS$641</definedName>
    <definedName name="Z_81CFBF98_9FC1_4F99_810B_95CEC032EAC7_.wvu.FilterData" localSheetId="0" hidden="1">'ТР нефть'!$A$29:$ASS$641</definedName>
    <definedName name="Z_81EBCE22_9C30_4A3F_A8D8_B965EDE741A1_.wvu.FilterData" localSheetId="0" hidden="1">'ТР нефть'!$A$26:$ASU$641</definedName>
    <definedName name="Z_820395E3_9942_42EA_9134_F37B184FDD65_.wvu.FilterData" localSheetId="0" hidden="1">'ТР нефть'!$A$29:$ASR$641</definedName>
    <definedName name="Z_8215DC1E_D8BD_4ACC_ACCD_1520C7DE1AE9_.wvu.FilterData" localSheetId="0" hidden="1">'ТР нефть'!$A$29:$ASS$641</definedName>
    <definedName name="Z_822E8E9A_9443_4F1D_87AD_2C75B172A0B9_.wvu.FilterData" localSheetId="0" hidden="1">'ТР нефть'!$A$29:$ARU$641</definedName>
    <definedName name="Z_82918539_19F4_4AC7_BCFB_69C7F2102990_.wvu.FilterData" localSheetId="0" hidden="1">'ТР нефть'!$A$29:$ASU$641</definedName>
    <definedName name="Z_82BE37D1_8418_497B_BA63_9DE5D484FB4E_.wvu.FilterData" localSheetId="0" hidden="1">'ТР нефть'!$A$29:$ARU$641</definedName>
    <definedName name="Z_82BEE275_04CA_450D_B898_79353ADC59D2_.wvu.FilterData" localSheetId="0" hidden="1">'ТР нефть'!$A$29:$ASR$641</definedName>
    <definedName name="Z_82D6034E_CE08_4F5E_9756_C5521F1DCA02_.wvu.FilterData" localSheetId="0" hidden="1">'ТР нефть'!#REF!</definedName>
    <definedName name="Z_82F450AD_1596_4DC9_BB23_739C2735A812_.wvu.FilterData" localSheetId="0" hidden="1">'ТР нефть'!$A$29:$ASS$641</definedName>
    <definedName name="Z_82F640A3_B478_4B99_87D9_76AC988FFDEF_.wvu.FilterData" localSheetId="0" hidden="1">'ТР нефть'!$A$29:$MM$641</definedName>
    <definedName name="Z_830EC2A1_A617_43C9_9179_46FB28F29374_.wvu.FilterData" localSheetId="0" hidden="1">'ТР нефть'!$A$29:$MM$641</definedName>
    <definedName name="Z_83191B07_9A42_4668_A84E_F0B4E8CF7D6F_.wvu.FilterData" localSheetId="0" hidden="1">'ТР нефть'!$A$29:$ASS$641</definedName>
    <definedName name="Z_833A5F2E_7070_403C_B014_8CF3EE34D337_.wvu.FilterData" localSheetId="0" hidden="1">'ТР нефть'!$A$29:$ASS$641</definedName>
    <definedName name="Z_835FD13E_796D_44EE_9029_38BF27096982_.wvu.FilterData" localSheetId="0" hidden="1">'ТР нефть'!$A$28:$ASU$641</definedName>
    <definedName name="Z_836AB33C_2BC8_405A_A69A_0908AAC845CA_.wvu.FilterData" localSheetId="0" hidden="1">'ТР нефть'!$A$29:$ASR$641</definedName>
    <definedName name="Z_83790892_275A_4679_885D_87A89D88ACAE_.wvu.FilterData" localSheetId="0" hidden="1">'ТР нефть'!$A$29:$ASU$641</definedName>
    <definedName name="Z_837F766F_8EE7_4A41_99D6_BE7C5899FD15_.wvu.FilterData" localSheetId="0" hidden="1">'ТР нефть'!$A$29:$ASR$641</definedName>
    <definedName name="Z_8395D33B_333D_469F_9C7D_2D7EEE4D8C69_.wvu.FilterData" localSheetId="1" hidden="1">Протокол!$B$39:$BD$317</definedName>
    <definedName name="Z_83A22D2E_40FC_4886_B38D_18669B98BE9F_.wvu.FilterData" localSheetId="0" hidden="1">'ТР нефть'!$A$29:$MM$604</definedName>
    <definedName name="Z_83EDDE93_F8A4_48E3_8599_1616FC677F4B_.wvu.FilterData" localSheetId="0" hidden="1">'ТР нефть'!$A$28:$ASU$641</definedName>
    <definedName name="Z_83F952CA_4930_4928_8898_E8B842F7B5C8_.wvu.FilterData" localSheetId="0" hidden="1">'ТР нефть'!$A$29:$ARU$641</definedName>
    <definedName name="Z_848830BF_F8F0_4C9F_B792_8D805830AE98_.wvu.FilterData" localSheetId="0" hidden="1">'ТР нефть'!$A$29:$ASS$641</definedName>
    <definedName name="Z_84957CA1_7961_40BE_9734_6776F36BB84C_.wvu.FilterData" localSheetId="0" hidden="1">'ТР нефть'!$A$29:$MM$641</definedName>
    <definedName name="Z_84B4B24E_44D6_4F34_BA6C_7D31F161381F_.wvu.FilterData" localSheetId="0" hidden="1">'ТР нефть'!$A$29:$MM$641</definedName>
    <definedName name="Z_84BC798B_6B1F_4F27_9444_A126CD15B034_.wvu.FilterData" localSheetId="0" hidden="1">'ТР нефть'!$A$29:$MM$604</definedName>
    <definedName name="Z_84DAF420_52FE_4B00_A842_9AFDBB02DC5C_.wvu.FilterData" localSheetId="0" hidden="1">'ТР нефть'!$A$28:$ASU$642</definedName>
    <definedName name="Z_84E523BE_759A_46D6_BEDB_6331B7BE64F3_.wvu.FilterData" localSheetId="0" hidden="1">'ТР нефть'!$A$29:$ASR$641</definedName>
    <definedName name="Z_84FAC7E0_C60A_441D_B662_A5411E50C6D8_.wvu.FilterData" localSheetId="0" hidden="1">'ТР нефть'!$A$29:$ASR$641</definedName>
    <definedName name="Z_85085670_9616_4356_B57B_548F423D0D61_.wvu.FilterData" localSheetId="0" hidden="1">'ТР нефть'!$A$29:$ASS$641</definedName>
    <definedName name="Z_853FE388_DF53_4EC6_9307_B959C772AE73_.wvu.FilterData" localSheetId="0" hidden="1">'ТР нефть'!$A$26:$ASU$641</definedName>
    <definedName name="Z_855E1C31_1775_4145_BEC6_343522AAE615_.wvu.FilterData" localSheetId="0" hidden="1">'ТР нефть'!$A$29:$MM$641</definedName>
    <definedName name="Z_855E9080_26EC_443B_BFFE_9C66BBDA4892_.wvu.FilterData" localSheetId="0" hidden="1">'ТР нефть'!$A$29:$ARU$641</definedName>
    <definedName name="Z_857E871D_E8D2_4797_9217_1E16EA45E70A_.wvu.FilterData" localSheetId="0" hidden="1">'ТР нефть'!$A$28:$ASU$639</definedName>
    <definedName name="Z_8585EB9C_9593_4DDB_9228_0D9D684B4692_.wvu.FilterData" localSheetId="0" hidden="1">'ТР нефть'!$A$29:$ASS$641</definedName>
    <definedName name="Z_8596E0E8_E64D_419B_83F1_DA590D2CD2E7_.wvu.FilterData" localSheetId="1" hidden="1">Протокол!$B$39:$BD$317</definedName>
    <definedName name="Z_8599C42D_B8C6_4F6A_ACEA_CE371D12AA1E_.wvu.FilterData" localSheetId="0" hidden="1">'ТР нефть'!$A$28:$ASU$642</definedName>
    <definedName name="Z_85FC91DA_1C3F_433D_81D5_E0DDCB9627CD_.wvu.FilterData" localSheetId="0" hidden="1">'ТР нефть'!$A$29:$ASR$641</definedName>
    <definedName name="Z_861186FA_7777_4D47_823A_B0DC39FC52C9_.wvu.FilterData" localSheetId="0" hidden="1">'ТР нефть'!$A$29:$ARU$641</definedName>
    <definedName name="Z_86168000_3236_4DBD_B2E5_7EA0A5C120D5_.wvu.FilterData" localSheetId="0" hidden="1">'ТР нефть'!$A$29:$ASS$641</definedName>
    <definedName name="Z_861BAB80_353D_4FA7_893F_D2DA063605E3_.wvu.FilterData" localSheetId="0" hidden="1">'ТР нефть'!$A$29:$ASR$641</definedName>
    <definedName name="Z_863DB853_89BC_4251_92CE_251BED898812_.wvu.FilterData" localSheetId="0" hidden="1">'ТР нефть'!$A$29:$ARU$641</definedName>
    <definedName name="Z_866FFC02_80A3_4516_8951_CB52D4C72B9B_.wvu.FilterData" localSheetId="0" hidden="1">'ТР нефть'!$A$29:$ASR$641</definedName>
    <definedName name="Z_86FA8ADC_3E41_4498_8FEE_ED3228B068CF_.wvu.FilterData" localSheetId="0" hidden="1">'ТР нефть'!$A$26:$ASU$641</definedName>
    <definedName name="Z_870E5F26_6192_432E_B737_87B8E4831FBB_.wvu.FilterData" localSheetId="0" hidden="1">'ТР нефть'!$A$29:$ASR$641</definedName>
    <definedName name="Z_8710CF0B_DF68_48FF_B22E_DD718AAD59F5_.wvu.FilterData" localSheetId="0" hidden="1">'ТР нефть'!$A$29:$ASS$641</definedName>
    <definedName name="Z_8718E71E_1FA9_442C_8D55_0EEEFCD6C794_.wvu.FilterData" localSheetId="1" hidden="1">Протокол!$A$316:$BD$326</definedName>
    <definedName name="Z_8718E71E_1FA9_442C_8D55_0EEEFCD6C794_.wvu.FilterData" localSheetId="0" hidden="1">'ТР нефть'!$A$29:$MM$641</definedName>
    <definedName name="Z_875428F1_3232_4E97_ADD0_ECB8DB8EE548_.wvu.FilterData" localSheetId="0" hidden="1">'ТР нефть'!$A$29:$ASR$641</definedName>
    <definedName name="Z_876C6217_BEB1_4E9E_92D5_9A438F0203B4_.wvu.FilterData" localSheetId="0" hidden="1">'ТР нефть'!$A$28:$ASU$642</definedName>
    <definedName name="Z_878CCD04_22AA_4A1B_9C11_F7582E48F5A0_.wvu.FilterData" localSheetId="0" hidden="1">'ТР нефть'!$A$29:$ASR$641</definedName>
    <definedName name="Z_87DAC61C_3E0F_4F6F_ADBA_F79B9040F997_.wvu.FilterData" localSheetId="0" hidden="1">'ТР нефть'!$A$26:$ASU$641</definedName>
    <definedName name="Z_8831E353_D250_4F51_985D_074A575DC4F1_.wvu.FilterData" localSheetId="0" hidden="1">'ТР нефть'!$A$28:$ASU$641</definedName>
    <definedName name="Z_88387AEF_594E_438D_9E61_28C116991F90_.wvu.FilterData" localSheetId="0" hidden="1">'ТР нефть'!$A$29:$ASR$641</definedName>
    <definedName name="Z_887B0D60_B4EA_4149_9F37_6706FF5F3CC2_.wvu.FilterData" localSheetId="0" hidden="1">'ТР нефть'!$A$29:$ASS$641</definedName>
    <definedName name="Z_88A00641_844E_4A49_87CA_59D1CD954143_.wvu.FilterData" localSheetId="0" hidden="1">'ТР нефть'!$A$28:$ASU$641</definedName>
    <definedName name="Z_88ECA2D8_A884_4C38_810B_B7818EE0D4F7_.wvu.FilterData" localSheetId="0" hidden="1">'ТР нефть'!$A$29:$MM$604</definedName>
    <definedName name="Z_88FBB016_030D_4C38_AA94_E77DA63B83E1_.wvu.FilterData" localSheetId="0" hidden="1">'ТР нефть'!$A$26:$ASU$641</definedName>
    <definedName name="Z_88FEE6F4_3104_478A_A5EB_0AB2EFC463F1_.wvu.FilterData" localSheetId="0" hidden="1">'ТР нефть'!$A$26:$ASU$641</definedName>
    <definedName name="Z_89085E2B_2BC1_4372_BB79_9FEA8502CEF9_.wvu.FilterData" localSheetId="0" hidden="1">'ТР нефть'!$A$28:$ASU$641</definedName>
    <definedName name="Z_891E81E1_0EE9_4C98_BEDC_EADA363F5A28_.wvu.FilterData" localSheetId="0" hidden="1">'ТР нефть'!$A$26:$ASU$641</definedName>
    <definedName name="Z_893B4606_9CFA_45A8_A835_E9583FE158E9_.wvu.FilterData" localSheetId="0" hidden="1">'ТР нефть'!$A$29:$MM$605</definedName>
    <definedName name="Z_89BC1B83_34DA_4F19_8B4B_E5EBDF79317C_.wvu.FilterData" localSheetId="0" hidden="1">'ТР нефть'!$A$28:$ASU$641</definedName>
    <definedName name="Z_89E035C4_D0B8_4D26_A289_BC7C467F68BB_.wvu.FilterData" localSheetId="0" hidden="1">'ТР нефть'!$A$26:$ASU$641</definedName>
    <definedName name="Z_89E4EF23_0770_4B03_9119_0574A43D3C14_.wvu.FilterData" localSheetId="0" hidden="1">'ТР нефть'!$A$29:$ASR$641</definedName>
    <definedName name="Z_8A04A943_CCC7_43E5_B5DD_10EFA7D092C0_.wvu.FilterData" localSheetId="0" hidden="1">'ТР нефть'!$A$29:$MM$641</definedName>
    <definedName name="Z_8A0E6297_E81F_4443_86AD_C41A67010F19_.wvu.FilterData" localSheetId="1" hidden="1">Протокол!$A$407:$BD$407</definedName>
    <definedName name="Z_8A8D9DC8_9A80_44F7_8A93_5203111B5CAE_.wvu.FilterData" localSheetId="0" hidden="1">'ТР нефть'!$A$29:$ASR$641</definedName>
    <definedName name="Z_8ACC45DA_30E8_4704_AC4F_04AB60DBA4EB_.wvu.FilterData" localSheetId="0" hidden="1">'ТР нефть'!$A$29:$MM$641</definedName>
    <definedName name="Z_8AD95484_0478_4785_84AA_1DB8CFCAFB08_.wvu.FilterData" localSheetId="0" hidden="1">'ТР нефть'!$A$29:$ASR$641</definedName>
    <definedName name="Z_8AE0695F_357E_49F1_B7EA_13540F2B032A_.wvu.FilterData" localSheetId="0" hidden="1">'ТР нефть'!$A$29:$MM$641</definedName>
    <definedName name="Z_8AED0E1D_163E_4A01_88C4_0EFFD5FBE556_.wvu.FilterData" localSheetId="1" hidden="1">Протокол!$A$16:$BD$499</definedName>
    <definedName name="Z_8AED0E1D_163E_4A01_88C4_0EFFD5FBE556_.wvu.FilterData" localSheetId="0" hidden="1">'ТР нефть'!$A$28:$ASU$641</definedName>
    <definedName name="Z_8B1398D4_CE9E_43BE_B536_B4556DD3E936_.wvu.FilterData" localSheetId="0" hidden="1">'ТР нефть'!$A$29:$ASR$641</definedName>
    <definedName name="Z_8B3333D4_DFC7_4B52_AF01_732C356BF105_.wvu.FilterData" localSheetId="0" hidden="1">'ТР нефть'!$A$29:$MM$641</definedName>
    <definedName name="Z_8B4103CC_C8FE_4240_9D71_CA8CDC4441CE_.wvu.FilterData" localSheetId="0" hidden="1">'ТР нефть'!$A$29:$ASR$641</definedName>
    <definedName name="Z_8B68E6AC_C099_48D0_8713_0E06DE5E918B_.wvu.FilterData" localSheetId="0" hidden="1">'ТР нефть'!$A$28:$ASU$641</definedName>
    <definedName name="Z_8B75B9D8_8EBC_49FF_B1E2_5A8F208BD08F_.wvu.FilterData" localSheetId="0" hidden="1">'ТР нефть'!$A$29:$ASS$641</definedName>
    <definedName name="Z_8BAE3830_2AA0_4375_9E64_A4F59113EAEE_.wvu.FilterData" localSheetId="0" hidden="1">'ТР нефть'!$A$29:$ASR$641</definedName>
    <definedName name="Z_8BC6A54B_527A_4A65_B10A_A7EE3870BF51_.wvu.FilterData" localSheetId="0" hidden="1">'ТР нефть'!$A$29:$ASS$641</definedName>
    <definedName name="Z_8BE60571_9AC0_42DE_912D_9B3E0EF1768F_.wvu.FilterData" localSheetId="0" hidden="1">'ТР нефть'!$A$29:$ASS$641</definedName>
    <definedName name="Z_8C05EE74_B82E_4348_931B_86854C0DE81D_.wvu.FilterData" localSheetId="0" hidden="1">'ТР нефть'!$A$29:$MM$641</definedName>
    <definedName name="Z_8C2F1C8B_951B_4B2D_B6E2_3D32460526DF_.wvu.FilterData" localSheetId="0" hidden="1">'ТР нефть'!$A$28:$ASU$641</definedName>
    <definedName name="Z_8C3285C9_5D1D_4E6A_9221_70E90B1A2412_.wvu.FilterData" localSheetId="0" hidden="1">'ТР нефть'!$A$29:$ASS$641</definedName>
    <definedName name="Z_8C5A01E9_3623_43AE_BDBC_911186889F36_.wvu.FilterData" localSheetId="0" hidden="1">'ТР нефть'!$A$29:$ASS$641</definedName>
    <definedName name="Z_8C81E2A0_872C_4802_8D44_FD8E82C23F9A_.wvu.FilterData" localSheetId="0" hidden="1">'ТР нефть'!$A$29:$MM$641</definedName>
    <definedName name="Z_8CAC7D09_4F3A_4878_AFCD_CEADBF6D36C6_.wvu.FilterData" localSheetId="0" hidden="1">'ТР нефть'!#REF!</definedName>
    <definedName name="Z_8D04BD98_EE38_4C7E_9421_5C6D8337487E_.wvu.FilterData" localSheetId="0" hidden="1">'ТР нефть'!$A$29:$MM$641</definedName>
    <definedName name="Z_8D0F558F_7004_44B2_AB7A_7E77FD80F8F2_.wvu.FilterData" localSheetId="0" hidden="1">'ТР нефть'!$A$29:$MM$641</definedName>
    <definedName name="Z_8D11A1A9_913F_47AB_A729_350B2A8F4904_.wvu.FilterData" localSheetId="0" hidden="1">'ТР нефть'!$A$29:$ASR$641</definedName>
    <definedName name="Z_8D12578F_0798_4131_A191_5164D444DAFB_.wvu.FilterData" localSheetId="0" hidden="1">'ТР нефть'!$A$28:$ASU$641</definedName>
    <definedName name="Z_8D4A8BE1_5FC9_4BF3_BE5E_F8DFB59CCB26_.wvu.FilterData" localSheetId="0" hidden="1">'ТР нефть'!$A$29:$ASR$641</definedName>
    <definedName name="Z_8D69C37F_DE7D_4975_A0EF_CCE06164F33F_.wvu.FilterData" localSheetId="0" hidden="1">'ТР нефть'!$A$29:$ASU$641</definedName>
    <definedName name="Z_8D6B264F_A244_42AF_BCA3_564F72658E0B_.wvu.FilterData" localSheetId="0" hidden="1">'ТР нефть'!$A$26:$ASU$641</definedName>
    <definedName name="Z_8D70AB9A_FFE9_4157_9025_7FA8C66C124F_.wvu.FilterData" localSheetId="0" hidden="1">'ТР нефть'!$A$29:$ASR$641</definedName>
    <definedName name="Z_8D8C52BB_2B2F_486E_AAB1_0D90DD0E9935_.wvu.Cols" localSheetId="1" hidden="1">Протокол!#REF!</definedName>
    <definedName name="Z_8D8C52BB_2B2F_486E_AAB1_0D90DD0E9935_.wvu.Cols" localSheetId="0" hidden="1">'ТР нефть'!$A:$A,'ТР нефть'!$E:$F,'ТР нефть'!$M:$O,'ТР нефть'!$U:$BO,'ТР нефть'!$DA:$ED,'ТР нефть'!$EU:$FI,'ТР нефть'!$HO:$MB,'ТР нефть'!$MQ:$MR,'ТР нефть'!$MT:$MT,'ТР нефть'!$MW:$ASR</definedName>
    <definedName name="Z_8D8C52BB_2B2F_486E_AAB1_0D90DD0E9935_.wvu.FilterData" localSheetId="1" hidden="1">Протокол!$A$313:$BD$318</definedName>
    <definedName name="Z_8D8C52BB_2B2F_486E_AAB1_0D90DD0E9935_.wvu.FilterData" localSheetId="0" hidden="1">'ТР нефть'!$A$26:$ASU$641</definedName>
    <definedName name="Z_8D8C52BB_2B2F_486E_AAB1_0D90DD0E9935_.wvu.PrintArea" localSheetId="1" hidden="1">Протокол!$A$16:$BD$499</definedName>
    <definedName name="Z_8D8C52BB_2B2F_486E_AAB1_0D90DD0E9935_.wvu.PrintArea" localSheetId="0" hidden="1">'ТР нефть'!$B$20:$GC$646</definedName>
    <definedName name="Z_8D8C52BB_2B2F_486E_AAB1_0D90DD0E9935_.wvu.PrintTitles" localSheetId="0" hidden="1">'ТР нефть'!$25:$25</definedName>
    <definedName name="Z_8D8C52BB_2B2F_486E_AAB1_0D90DD0E9935_.wvu.Rows" localSheetId="1" hidden="1">Протокол!#REF!,Протокол!$27:$29,Протокол!$33:$33,Протокол!#REF!,Протокол!#REF!,Протокол!#REF!,Протокол!#REF!,Протокол!#REF!,Протокол!#REF!,Протокол!#REF!,Протокол!#REF!,Протокол!#REF!,Протокол!$457:$464</definedName>
    <definedName name="Z_8D8C52BB_2B2F_486E_AAB1_0D90DD0E9935_.wvu.Rows" localSheetId="0" hidden="1">'ТР нефть'!$20:$24,'ТР нефть'!#REF!</definedName>
    <definedName name="Z_8D9432F3_6085_4080_9D63_284A2C370E2E_.wvu.FilterData" localSheetId="0" hidden="1">'ТР нефть'!$A$26:$ASU$641</definedName>
    <definedName name="Z_8DB13080_6DB5_4F2D_BC67_422F7D8176C6_.wvu.FilterData" localSheetId="0" hidden="1">'ТР нефть'!$A$29:$ARU$641</definedName>
    <definedName name="Z_8DE39B5E_0812_4D83_9E04_DA7FB44619F8_.wvu.FilterData" localSheetId="0" hidden="1">'ТР нефть'!$A$29:$MM$641</definedName>
    <definedName name="Z_8DF87771_B774_4F83_B185_13F77C5D7D29_.wvu.FilterData" localSheetId="0" hidden="1">'ТР нефть'!$A$29:$ASR$641</definedName>
    <definedName name="Z_8E04D9F4_5201_49E2_8A61_7C5F9C3A956A_.wvu.FilterData" localSheetId="0" hidden="1">'ТР нефть'!$A$29:$ASU$641</definedName>
    <definedName name="Z_8E141891_6CFB_48B0_990A_0C003AC79AFD_.wvu.FilterData" localSheetId="0" hidden="1">'ТР нефть'!$A$29:$ASS$641</definedName>
    <definedName name="Z_8E1D16C5_46E9_483B_933B_AF42DD5D7167_.wvu.FilterData" localSheetId="0" hidden="1">'ТР нефть'!$A$29:$ASS$641</definedName>
    <definedName name="Z_8E42A464_D0E1_4792_A643_4338BCDBC909_.wvu.FilterData" localSheetId="0" hidden="1">'ТР нефть'!$A$29:$ASR$641</definedName>
    <definedName name="Z_8E4EDD22_BC72_44A2_B6B6_78403BD4E827_.wvu.FilterData" localSheetId="0" hidden="1">'ТР нефть'!$A$29:$MM$641</definedName>
    <definedName name="Z_8E7A5F8A_FB09_4557_9B31_897759CCB2A5_.wvu.FilterData" localSheetId="0" hidden="1">'ТР нефть'!$A$29:$ASR$641</definedName>
    <definedName name="Z_8EE831E3_9157_44FB_BE41_99F86F5449DA_.wvu.FilterData" localSheetId="0" hidden="1">'ТР нефть'!$A$28:$ASU$642</definedName>
    <definedName name="Z_8EF88FE7_7FAD_47AE_B369_B587591D935F_.wvu.FilterData" localSheetId="0" hidden="1">'ТР нефть'!$A$29:$ARU$641</definedName>
    <definedName name="Z_8F3D35F4_3B1E_4F2C_B832_11D8F18F695D_.wvu.FilterData" localSheetId="0" hidden="1">'ТР нефть'!$A$26:$ASU$641</definedName>
    <definedName name="Z_8F496A3A_B277_4FAF_AAA0_BBAC9C6BB609_.wvu.FilterData" localSheetId="0" hidden="1">'ТР нефть'!$A$29:$MM$604</definedName>
    <definedName name="Z_8F519663_23BD_40BF_AF44_3921D5C284BC_.wvu.FilterData" localSheetId="0" hidden="1">'ТР нефть'!$A$29:$ARU$641</definedName>
    <definedName name="Z_8F68246A_A92B_42AE_AD4B_CED87DDDE389_.wvu.FilterData" localSheetId="0" hidden="1">'ТР нефть'!$A$29:$ASR$641</definedName>
    <definedName name="Z_8F8AACB6_016C_4F9D_A8B3_C755B29AB9A5_.wvu.FilterData" localSheetId="0" hidden="1">'ТР нефть'!$A$29:$MM$641</definedName>
    <definedName name="Z_8FB00C8B_7069_4416_8F4C_3B01900F49EB_.wvu.FilterData" localSheetId="0" hidden="1">'ТР нефть'!$A$29:$ASR$641</definedName>
    <definedName name="Z_8FD09DF0_32B0_4EFF_85A2_5D5894DEE6C9_.wvu.FilterData" localSheetId="0" hidden="1">'ТР нефть'!$A$29:$ASU$641</definedName>
    <definedName name="Z_8FE0BF8B_F05E_4312_8B14_32A89D421385_.wvu.FilterData" localSheetId="0" hidden="1">'ТР нефть'!$A$29:$MM$641</definedName>
    <definedName name="Z_900A14BC_14DD_4C1C_8271_35C5F24461CF_.wvu.FilterData" localSheetId="0" hidden="1">'ТР нефть'!$A$29:$ASR$641</definedName>
    <definedName name="Z_904EC028_7060_4401_94ED_6DA444F1D72E_.wvu.FilterData" localSheetId="0" hidden="1">'ТР нефть'!$A$28:$ASU$642</definedName>
    <definedName name="Z_906A8C79_6CA2_439E_B8F9_D1F494579C93_.wvu.FilterData" localSheetId="0" hidden="1">'ТР нефть'!$A$29:$ASR$641</definedName>
    <definedName name="Z_907A053B_8AF0_489B_97E7_91ED775BAB29_.wvu.FilterData" localSheetId="0" hidden="1">'ТР нефть'!$A$29:$ARU$641</definedName>
    <definedName name="Z_90976C38_CB13_423F_81B1_C23E5BCB53DC_.wvu.FilterData" localSheetId="0" hidden="1">'ТР нефть'!$A$29:$ASR$641</definedName>
    <definedName name="Z_90A4027C_B03C_40F6_89C8_AE2CDEFDE6D9_.wvu.FilterData" localSheetId="0" hidden="1">'ТР нефть'!$A$29:$ASR$641</definedName>
    <definedName name="Z_90BADC7E_E08F_4F96_B140_54F9C9E63F35_.wvu.FilterData" localSheetId="0" hidden="1">'ТР нефть'!$A$29:$ASR$641</definedName>
    <definedName name="Z_90D0AE20_1FB3_4F31_8A07_52D98CBF2B7E_.wvu.FilterData" localSheetId="0" hidden="1">'ТР нефть'!$A$29:$ARU$641</definedName>
    <definedName name="Z_91276138_97EA_4ADD_B3F3_2131754A20D1_.wvu.FilterData" localSheetId="0" hidden="1">'ТР нефть'!$A$29:$ASR$641</definedName>
    <definedName name="Z_91370372_BDF3_4948_B8E3_665E6B017600_.wvu.FilterData" localSheetId="0" hidden="1">'ТР нефть'!$A$29:$MM$641</definedName>
    <definedName name="Z_91479240_DBEA_485E_A23A_2AB5637DD563_.wvu.FilterData" localSheetId="0" hidden="1">'ТР нефть'!$A$29:$ASR$641</definedName>
    <definedName name="Z_915A4862_11A8_406E_9B1C_717ABE409420_.wvu.FilterData" localSheetId="0" hidden="1">'ТР нефть'!$A$28:$ASU$641</definedName>
    <definedName name="Z_916C2B23_83EC_4954_90BA_606C79102226_.wvu.FilterData" localSheetId="0" hidden="1">'ТР нефть'!$A$26:$ASU$641</definedName>
    <definedName name="Z_916CCA3A_F736_4700_B37A_93145F1614F9_.wvu.FilterData" localSheetId="0" hidden="1">'ТР нефть'!$A$29:$ASR$641</definedName>
    <definedName name="Z_9188A5E0_4045_4F8E_839B_7E738746C5A8_.wvu.FilterData" localSheetId="0" hidden="1">'ТР нефть'!$A$29:$ASR$641</definedName>
    <definedName name="Z_91A350BF_E80D_46EC_9C0A_E1AF38756D27_.wvu.FilterData" localSheetId="0" hidden="1">'ТР нефть'!$A$29:$ASU$641</definedName>
    <definedName name="Z_91A498F5_9054_40F8_8158_E6952A16E3FB_.wvu.FilterData" localSheetId="0" hidden="1">'ТР нефть'!$ME$29:$ME$641</definedName>
    <definedName name="Z_91B75701_1F1D_4702_8780_9835CD952046_.wvu.FilterData" localSheetId="0" hidden="1">'ТР нефть'!#REF!</definedName>
    <definedName name="Z_91D7E01A_64EA_4EB2_A86D_33949AFE66B2_.wvu.FilterData" localSheetId="0" hidden="1">'ТР нефть'!$A$28:$ASU$639</definedName>
    <definedName name="Z_91E445EB_B5DE_4A48_92B7_B9B5B2ED9949_.wvu.FilterData" localSheetId="0" hidden="1">'ТР нефть'!$A$29:$MM$641</definedName>
    <definedName name="Z_91F212C0_E112_4824_8883_21C6C176D9A0_.wvu.Cols" localSheetId="0" hidden="1">'ТР нефть'!$A:$A,'ТР нефть'!$Q:$AL,'ТР нефть'!$AO:$AT,'ТР нефть'!$AV:$BJ,'ТР нефть'!$BL:$BL,'ТР нефть'!$BO:$BP,'ТР нефть'!$BR:$BU,'ТР нефть'!$BW:$BW,'ТР нефть'!$CD:$CD,'ТР нефть'!$CI:$CL,'ТР нефть'!$CT:$CT,'ТР нефть'!$CY:$CY,'ТР нефть'!$DJ:$ED,'ТР нефть'!$GJ:$GJ</definedName>
    <definedName name="Z_91F212C0_E112_4824_8883_21C6C176D9A0_.wvu.FilterData" localSheetId="1" hidden="1">Протокол!$A$16:$BD$499</definedName>
    <definedName name="Z_91F212C0_E112_4824_8883_21C6C176D9A0_.wvu.FilterData" localSheetId="0" hidden="1">'ТР нефть'!$A$28:$ASU$639</definedName>
    <definedName name="Z_91F212C0_E112_4824_8883_21C6C176D9A0_.wvu.PrintArea" localSheetId="1" hidden="1">Протокол!$A$1:$BE$489</definedName>
    <definedName name="Z_91F212C0_E112_4824_8883_21C6C176D9A0_.wvu.PrintArea" localSheetId="0" hidden="1">'ТР нефть'!$A$2:$DY$646</definedName>
    <definedName name="Z_91F212C0_E112_4824_8883_21C6C176D9A0_.wvu.PrintTitles" localSheetId="0" hidden="1">'ТР нефть'!$25:$25</definedName>
    <definedName name="Z_91F212C0_E112_4824_8883_21C6C176D9A0_.wvu.Rows" localSheetId="1" hidden="1">Протокол!$16:$17,Протокол!$70:$79,Протокол!$81:$84,Протокол!$112:$144,Протокол!$156:$165,Протокол!$167:$171,Протокол!$253:$311,Протокол!$318:$318,Протокол!$362:$397,Протокол!$416:$464</definedName>
    <definedName name="Z_91F212C0_E112_4824_8883_21C6C176D9A0_.wvu.Rows" localSheetId="0" hidden="1">'ТР нефть'!$1:$24,'ТР нефть'!#REF!,'ТР нефть'!#REF!</definedName>
    <definedName name="Z_91FDCEE8_A36D_4406_AA6C_9AB5A3AA530B_.wvu.FilterData" localSheetId="0" hidden="1">'ТР нефть'!$A$28:$ASU$641</definedName>
    <definedName name="Z_921E659B_435E_48D5_9196_742F38B2FD13_.wvu.FilterData" localSheetId="0" hidden="1">'ТР нефть'!$A$29:$MM$641</definedName>
    <definedName name="Z_923EBF06_7229_4E08_A7A6_0200298A51A9_.wvu.Cols" localSheetId="0" hidden="1">'ТР нефть'!$A:$A,'ТР нефть'!$C:$G,'ТР нефть'!$K:$N,'ТР нефть'!$U:$AQ,'ТР нефть'!$AT:$AT,'ТР нефть'!$AV:$CH,'ТР нефть'!$CD:$CD,'ТР нефть'!$CI:$CM,'ТР нефть'!$DM:$DP,'ТР нефть'!$DT:$ED</definedName>
    <definedName name="Z_923EBF06_7229_4E08_A7A6_0200298A51A9_.wvu.FilterData" localSheetId="1" hidden="1">Протокол!$A$409:$BD$467</definedName>
    <definedName name="Z_923EBF06_7229_4E08_A7A6_0200298A51A9_.wvu.FilterData" localSheetId="0" hidden="1">'ТР нефть'!$A$29:$ASR$641</definedName>
    <definedName name="Z_923EBF06_7229_4E08_A7A6_0200298A51A9_.wvu.PrintArea" localSheetId="1" hidden="1">Протокол!$A$16:$BD$477</definedName>
    <definedName name="Z_923EBF06_7229_4E08_A7A6_0200298A51A9_.wvu.PrintArea" localSheetId="0" hidden="1">'ТР нефть'!$B$20:$DI$660</definedName>
    <definedName name="Z_923EBF06_7229_4E08_A7A6_0200298A51A9_.wvu.PrintTitles" localSheetId="0" hidden="1">'ТР нефть'!$25:$25</definedName>
    <definedName name="Z_923EBF06_7229_4E08_A7A6_0200298A51A9_.wvu.Rows" localSheetId="1" hidden="1">Протокол!#REF!,Протокол!$27:$29,Протокол!$33:$33,Протокол!#REF!,Протокол!$89:$143,Протокол!#REF!,Протокол!#REF!</definedName>
    <definedName name="Z_923EBF06_7229_4E08_A7A6_0200298A51A9_.wvu.Rows" localSheetId="0" hidden="1">'ТР нефть'!$20:$24</definedName>
    <definedName name="Z_92406DCD_30F0_426A_8302_A2F60AA56021_.wvu.FilterData" localSheetId="0" hidden="1">'ТР нефть'!$A$28:$ASU$639</definedName>
    <definedName name="Z_92474A1E_9975_401F_A764_87B3586B45A1_.wvu.FilterData" localSheetId="0" hidden="1">'ТР нефть'!$A$29:$ASR$641</definedName>
    <definedName name="Z_925436CC_9544_4801_8316_ABAD33507589_.wvu.FilterData" localSheetId="0" hidden="1">'ТР нефть'!$A$29:$MM$641</definedName>
    <definedName name="Z_92D76058_31B0_4571_B55A_2247C99C0BE3_.wvu.FilterData" localSheetId="0" hidden="1">'ТР нефть'!$A$26:$ASU$641</definedName>
    <definedName name="Z_92E72E9A_02A8_4443_91FB_6C327309219F_.wvu.FilterData" localSheetId="0" hidden="1">'ТР нефть'!$A$26:$ASU$641</definedName>
    <definedName name="Z_930EC83A_3F6B_4961_A273_C70DCC75005D_.wvu.FilterData" localSheetId="0" hidden="1">'ТР нефть'!$A$29:$ASS$641</definedName>
    <definedName name="Z_93121844_BDAA_4D55_A2ED_3F355FB49E5D_.wvu.FilterData" localSheetId="0" hidden="1">'ТР нефть'!$A$29:$ASS$641</definedName>
    <definedName name="Z_931BC4F1_E6E0_4A9F_B305_BF1AD303A03C_.wvu.FilterData" localSheetId="0" hidden="1">'ТР нефть'!$A$29:$ASR$641</definedName>
    <definedName name="Z_93228254_3DC2_45EC_9F2A_667E6AB1536F_.wvu.FilterData" localSheetId="0" hidden="1">'ТР нефть'!$A$29:$MM$641</definedName>
    <definedName name="Z_932FF6EC_3B90_4C1C_AC35_84F13685C299_.wvu.FilterData" localSheetId="0" hidden="1">'ТР нефть'!$A$29:$ASR$641</definedName>
    <definedName name="Z_934F0E10_8AB9_48EF_9980_05823EB09693_.wvu.FilterData" localSheetId="0" hidden="1">'ТР нефть'!$A$29:$MM$641</definedName>
    <definedName name="Z_93767ED4_8253_4218_B5DC_A1543E6FB12B_.wvu.FilterData" localSheetId="0" hidden="1">'ТР нефть'!$A$29:$ARU$641</definedName>
    <definedName name="Z_9379E469_1840_4583_8F6D_4C86D3FE8D9D_.wvu.FilterData" localSheetId="0" hidden="1">'ТР нефть'!$A$28:$ASU$642</definedName>
    <definedName name="Z_93CE641F_FCF6_457B_B0BC_58535BB73BD6_.wvu.PrintArea" localSheetId="1" hidden="1">Протокол!$B$16:$BD$399</definedName>
    <definedName name="Z_93CE641F_FCF6_457B_B0BC_58535BB73BD6_.wvu.PrintTitles" localSheetId="1" hidden="1">Протокол!$37:$38</definedName>
    <definedName name="Z_93CE641F_FCF6_457B_B0BC_58535BB73BD6_.wvu.Rows" localSheetId="1" hidden="1">Протокол!#REF!,Протокол!#REF!</definedName>
    <definedName name="Z_93E38518_93E7_4EA5_908D_21EC154498DD_.wvu.FilterData" localSheetId="0" hidden="1">'ТР нефть'!$A$28:$ASU$641</definedName>
    <definedName name="Z_94458B78_E8F6_4BAF_A1E6_E4D621CD4B22_.wvu.FilterData" localSheetId="0" hidden="1">'ТР нефть'!$A$29:$MM$604</definedName>
    <definedName name="Z_945ACA7B_F7B6_4FA2_9DE1_B04419983711_.wvu.FilterData" localSheetId="0" hidden="1">'ТР нефть'!$A$28:$ASU$641</definedName>
    <definedName name="Z_94A82F51_BCC4_4092_9A2C_15054988D3C2_.wvu.FilterData" localSheetId="0" hidden="1">'ТР нефть'!$A$29:$ASS$641</definedName>
    <definedName name="Z_94CB780B_8BA2_48C7_865A_FBC5B9FE25E5_.wvu.FilterData" localSheetId="0" hidden="1">'ТР нефть'!$A$29:$ASR$641</definedName>
    <definedName name="Z_94FB640A_1D36_4F66_86C4_BA0E05C04D55_.wvu.FilterData" localSheetId="0" hidden="1">'ТР нефть'!$A$29:$ASR$641</definedName>
    <definedName name="Z_950D3878_73EC_4962_955E_3CDA350ED4A9_.wvu.FilterData" localSheetId="0" hidden="1">'ТР нефть'!$A$28:$ASU$641</definedName>
    <definedName name="Z_9567E99C_8C8E_44EB_9A4B_5313CBEBD97D_.wvu.FilterData" localSheetId="0" hidden="1">'ТР нефть'!$A$26:$ASU$641</definedName>
    <definedName name="Z_956A50D5_B3A5_45CC_9E57_51A9F47BF764_.wvu.FilterData" localSheetId="0" hidden="1">'ТР нефть'!$A$29:$ASR$641</definedName>
    <definedName name="Z_956B3CA6_6099_4EEE_9F35_9179DC40E5F7_.wvu.FilterData" localSheetId="1" hidden="1">Протокол!$B$39:$BD$317</definedName>
    <definedName name="Z_956B3CA6_6099_4EEE_9F35_9179DC40E5F7_.wvu.PrintArea" localSheetId="1" hidden="1">Протокол!$B$16:$BB$317</definedName>
    <definedName name="Z_95EA5E95_AB9F_4790_9451_A93EACA89A91_.wvu.FilterData" localSheetId="0" hidden="1">'ТР нефть'!$A$29:$ASS$641</definedName>
    <definedName name="Z_95ECDEA0_EC20_42A6_AA77_3309403600D6_.wvu.FilterData" localSheetId="0" hidden="1">'ТР нефть'!$A$29:$ASS$641</definedName>
    <definedName name="Z_9610E79A_0542_4750_A0EC_345C0ECAF061_.wvu.FilterData" localSheetId="0" hidden="1">'ТР нефть'!#REF!</definedName>
    <definedName name="Z_96311221_100B_4060_9C5C_A6E5FE061306_.wvu.FilterData" localSheetId="0" hidden="1">'ТР нефть'!$A$29:$ARU$641</definedName>
    <definedName name="Z_967822D2_F2C0_4E32_81B1_DA3CB226007D_.wvu.FilterData" localSheetId="0" hidden="1">'ТР нефть'!$A$29:$ASS$641</definedName>
    <definedName name="Z_968534EC_4960_4295_A7E7_2345E24410C6_.wvu.FilterData" localSheetId="0" hidden="1">'ТР нефть'!$A$29:$ASS$641</definedName>
    <definedName name="Z_96973EAE_AFB1_4B99_A0EF_019BC126BC59_.wvu.FilterData" localSheetId="1" hidden="1">Протокол!$A$407:$BD$467</definedName>
    <definedName name="Z_96B5BEB9_6EDA_423B_9F3F_B64134EB0257_.wvu.FilterData" localSheetId="0" hidden="1">'ТР нефть'!$A$29:$ASU$641</definedName>
    <definedName name="Z_96C8FC8E_F987_4E7B_974C_B205975B44CA_.wvu.FilterData" localSheetId="0" hidden="1">'ТР нефть'!$A$28:$ASU$641</definedName>
    <definedName name="Z_96E0D3FE_7C69_4451_A3B3_3703DD9ED8C8_.wvu.FilterData" localSheetId="0" hidden="1">'ТР нефть'!$A$28:$ASU$642</definedName>
    <definedName name="Z_97513153_5ABE_422F_A901_56901328BABA_.wvu.FilterData" localSheetId="0" hidden="1">'ТР нефть'!$A$28:$ASU$639</definedName>
    <definedName name="Z_976759C2_FD53_4531_A5AA_0006B1552875_.wvu.FilterData" localSheetId="0" hidden="1">'ТР нефть'!$A$26:$ASU$641</definedName>
    <definedName name="Z_9769083A_FD61_4EC5_8EBD_BBE66C5F3257_.wvu.FilterData" localSheetId="0" hidden="1">'ТР нефть'!$A$29:$ARU$641</definedName>
    <definedName name="Z_979AB2B2_5E04_4E36_B117_7C532854C5D0_.wvu.FilterData" localSheetId="0" hidden="1">'ТР нефть'!$A$29:$MM$641</definedName>
    <definedName name="Z_97CFD7D9_12EC_463A_819B_1B94423543D6_.wvu.FilterData" localSheetId="0" hidden="1">'ТР нефть'!$A$29:$MM$641</definedName>
    <definedName name="Z_97DAA228_B135_4A67_A4B1_C4931ED0B5D4_.wvu.FilterData" localSheetId="0" hidden="1">'ТР нефть'!$A$29:$ASR$641</definedName>
    <definedName name="Z_983A8DCF_C387_4723_B3EA_AB82DD29740D_.wvu.FilterData" localSheetId="0" hidden="1">'ТР нефть'!$A$29:$MM$641</definedName>
    <definedName name="Z_9843B29C_A713_4D48_A555_F2B5441079CA_.wvu.FilterData" localSheetId="0" hidden="1">'ТР нефть'!$A$29:$ASS$641</definedName>
    <definedName name="Z_985140D3_2F2D_4201_999E_AE1CA2F5FE18_.wvu.FilterData" localSheetId="0" hidden="1">'ТР нефть'!$A$29:$ASS$641</definedName>
    <definedName name="Z_9899C837_85CE_41BB_B50B_CB99DB7F0E05_.wvu.FilterData" localSheetId="0" hidden="1">'ТР нефть'!$A$29:$MM$641</definedName>
    <definedName name="Z_989DD302_475A_4A7D_99A3_5ACC45F9E24E_.wvu.FilterData" localSheetId="0" hidden="1">'ТР нефть'!$A$29:$MM$641</definedName>
    <definedName name="Z_98EC58E1_49E5_40F5_94B8_2F3AAAF6BB62_.wvu.FilterData" localSheetId="0" hidden="1">'ТР нефть'!$A$28:$ASU$639</definedName>
    <definedName name="Z_99468465_9D91_4F67_947A_869BD8A4F8E6_.wvu.FilterData" localSheetId="0" hidden="1">'ТР нефть'!$A$29:$MM$641</definedName>
    <definedName name="Z_99691987_F040_4A03_AFF0_31FF009F7D4E_.wvu.FilterData" localSheetId="0" hidden="1">'ТР нефть'!$A$29:$ASR$641</definedName>
    <definedName name="Z_99891662_831C_4B66_B61E_08993561BA44_.wvu.FilterData" localSheetId="0" hidden="1">'ТР нефть'!$A$28:$ASU$641</definedName>
    <definedName name="Z_999793A3_5147_4B74_BF19_63A05F8D4479_.wvu.FilterData" localSheetId="0" hidden="1">'ТР нефть'!$A$29:$ASR$641</definedName>
    <definedName name="Z_99DAF4C2_C92C_4348_9BF1_7783A52C1B47_.wvu.FilterData" localSheetId="0" hidden="1">'ТР нефть'!$A$29:$ASS$641</definedName>
    <definedName name="Z_9A41C2E0_DB5A_4252_9780_0CF3DCE1E72B_.wvu.FilterData" localSheetId="1" hidden="1">Протокол!#REF!</definedName>
    <definedName name="Z_9A41C2E0_DB5A_4252_9780_0CF3DCE1E72B_.wvu.FilterData" localSheetId="0" hidden="1">'ТР нефть'!$A$29:$ASR$641</definedName>
    <definedName name="Z_9A9E24E5_FDB7_4F23_9D65_551140A289E0_.wvu.FilterData" localSheetId="0" hidden="1">'ТР нефть'!$A$29:$MM$641</definedName>
    <definedName name="Z_9AF580DD_A3BF_46C4_B026_DF174DE085F9_.wvu.FilterData" localSheetId="0" hidden="1">'ТР нефть'!$A$28:$ASU$641</definedName>
    <definedName name="Z_9B0F9866_516B_4616_8F85_A534C931AE4F_.wvu.FilterData" localSheetId="0" hidden="1">'ТР нефть'!$A$29:$ARU$641</definedName>
    <definedName name="Z_9B12149F_EDE6_4AD6_9FB6_5A1BB55720D1_.wvu.FilterData" localSheetId="0" hidden="1">'ТР нефть'!$A$29:$MM$641</definedName>
    <definedName name="Z_9B3EF897_9320_4FE8_BBA8_7CABFFEC58F2_.wvu.FilterData" localSheetId="0" hidden="1">'ТР нефть'!$A$29:$ASS$641</definedName>
    <definedName name="Z_9B57AA8E_4B05_4C08_BD17_F8F5DCDB9648_.wvu.FilterData" localSheetId="0" hidden="1">'ТР нефть'!$A$29:$ASR$641</definedName>
    <definedName name="Z_9B768CA4_A57A_4680_8FFE_AFACFEF6966A_.wvu.FilterData" localSheetId="0" hidden="1">'ТР нефть'!$A$29:$ASS$641</definedName>
    <definedName name="Z_9B81887C_C36C_4BB9_A3DC_575194BA784E_.wvu.FilterData" localSheetId="0" hidden="1">'ТР нефть'!$A$29:$ASR$641</definedName>
    <definedName name="Z_9BA5FFBE_B024_4204_8F31_9F383FAD5C16_.wvu.FilterData" localSheetId="0" hidden="1">'ТР нефть'!$A$29:$ASS$641</definedName>
    <definedName name="Z_9BAA7259_F0EF_4C8F_AF84_D4195EC76321_.wvu.FilterData" localSheetId="0" hidden="1">'ТР нефть'!$A$29:$ASS$641</definedName>
    <definedName name="Z_9BAC12E3_48AC_45CE_A1F0_1CCAA39F271F_.wvu.FilterData" localSheetId="0" hidden="1">'ТР нефть'!$A$29:$ASR$641</definedName>
    <definedName name="Z_9BF8DD57_CCFA_4C68_AB31_8360D20890A8_.wvu.FilterData" localSheetId="0" hidden="1">'ТР нефть'!$A$29:$MM$641</definedName>
    <definedName name="Z_9C7FBF46_203D_4501_A966_6927B906A862_.wvu.FilterData" localSheetId="0" hidden="1">'ТР нефть'!$A$28:$ASU$641</definedName>
    <definedName name="Z_9CBF382C_8805_480C_BC1B_C213D7A14938_.wvu.FilterData" localSheetId="0" hidden="1">'ТР нефть'!$A$29:$ASR$641</definedName>
    <definedName name="Z_9D1BBE21_A282_401D_A2E5_AA86A6726261_.wvu.FilterData" localSheetId="0" hidden="1">'ТР нефть'!$A$29:$ASR$641</definedName>
    <definedName name="Z_9D8427D1_23C3_4C2D_9AB7_C8330FDC81F6_.wvu.FilterData" localSheetId="0" hidden="1">'ТР нефть'!$A$29:$ASS$641</definedName>
    <definedName name="Z_9DBCF4ED_D38B_4595_BB8A_C55384F332FD_.wvu.FilterData" localSheetId="0" hidden="1">'ТР нефть'!$A$28:$ASU$641</definedName>
    <definedName name="Z_9DFC4A56_B3EB_44FC_AB59_EAD6C8695199_.wvu.FilterData" localSheetId="0" hidden="1">'ТР нефть'!$A$29:$MM$604</definedName>
    <definedName name="Z_9E19BDF7_87C7_4618_80AD_AA1E4D4D56FF_.wvu.FilterData" localSheetId="0" hidden="1">'ТР нефть'!$A$29:$ASR$641</definedName>
    <definedName name="Z_9E594673_D529_43F4_AB8B_9CD6B732AA16_.wvu.FilterData" localSheetId="0" hidden="1">'ТР нефть'!$A$29:$ASS$641</definedName>
    <definedName name="Z_9E64451C_FAC1_41CB_9263_A8E088E50B0C_.wvu.FilterData" localSheetId="0" hidden="1">'ТР нефть'!$A$29:$ASR$641</definedName>
    <definedName name="Z_9E77F40A_836F_41EF_8AE8_6520A40DD3A3_.wvu.FilterData" localSheetId="0" hidden="1">'ТР нефть'!$A$29:$MM$605</definedName>
    <definedName name="Z_9EA4061C_BA59_4A74_8343_233DB0815E70_.wvu.FilterData" localSheetId="0" hidden="1">'ТР нефть'!$A$29:$ASR$641</definedName>
    <definedName name="Z_9F076FF0_3DAE_4CF2_A52D_E5D0F8A3CD91_.wvu.FilterData" localSheetId="0" hidden="1">'ТР нефть'!$A$29:$ASS$641</definedName>
    <definedName name="Z_9F20992A_69B3_4300_8914_5DADA3160973_.wvu.FilterData" localSheetId="0" hidden="1">'ТР нефть'!$A$26:$ASU$641</definedName>
    <definedName name="Z_9F2F8EC0_DBC3_4CE6_BE3C_0FA642B8C56E_.wvu.FilterData" localSheetId="0" hidden="1">'ТР нефть'!$A$29:$MM$641</definedName>
    <definedName name="Z_9F6020B2_8129_4C33_9564_4AB269230744_.wvu.FilterData" localSheetId="0" hidden="1">'ТР нефть'!$A$29:$ASR$641</definedName>
    <definedName name="Z_9F8A8586_5421_44BA_94A9_4C81B6E282AA_.wvu.FilterData" localSheetId="0" hidden="1">'ТР нефть'!$A$28:$ASU$641</definedName>
    <definedName name="Z_9F925448_9CF2_491C_A30C_F2674442F292_.wvu.FilterData" localSheetId="1" hidden="1">Протокол!$A$407:$BD$464</definedName>
    <definedName name="Z_9FCA08A5_6CA7_4C10_B773_A2FA865155C9_.wvu.FilterData" localSheetId="0" hidden="1">'ТР нефть'!#REF!</definedName>
    <definedName name="Z_A00A11EF_0035_4593_88CF_D73AE5E93FDA_.wvu.FilterData" localSheetId="0" hidden="1">'ТР нефть'!$A$26:$ASU$641</definedName>
    <definedName name="Z_A06D4352_517C_4F4F_AEDC_63FA946FEDC8_.wvu.FilterData" localSheetId="0" hidden="1">'ТР нефть'!$A$29:$ASR$641</definedName>
    <definedName name="Z_A0768F82_51E8_4B91_924B_7A975F78650C_.wvu.FilterData" localSheetId="0" hidden="1">'ТР нефть'!$A$29:$ASR$641</definedName>
    <definedName name="Z_A0A84B21_40C5_4F65_B8A7_3F5930169B82_.wvu.FilterData" localSheetId="0" hidden="1">'ТР нефть'!$A$26:$ASU$641</definedName>
    <definedName name="Z_A0C9372F_158E_4BDC_A4DC_94D06C95BDAE_.wvu.FilterData" localSheetId="0" hidden="1">'ТР нефть'!$A$29:$ASR$641</definedName>
    <definedName name="Z_A0EFFA8F_C081_4D79_8A8D_5B0F520EC276_.wvu.FilterData" localSheetId="0" hidden="1">'ТР нефть'!$A$29:$ASU$641</definedName>
    <definedName name="Z_A1126233_490E_421D_85A6_6CDD45457468_.wvu.FilterData" localSheetId="0" hidden="1">'ТР нефть'!$A$29:$ASS$641</definedName>
    <definedName name="Z_A12254E3_1838_47E7_92FF_45BD648758D8_.wvu.FilterData" localSheetId="0" hidden="1">'ТР нефть'!$A$28:$ASU$641</definedName>
    <definedName name="Z_A13AB9E5_BDC9_4DC1_8870_2B5C2309ED59_.wvu.FilterData" localSheetId="0" hidden="1">'ТР нефть'!$A$29:$MM$641</definedName>
    <definedName name="Z_A14B8DB8_8479_46D1_B695_FD5E810B4CFC_.wvu.FilterData" localSheetId="0" hidden="1">'ТР нефть'!$A$29:$ASS$641</definedName>
    <definedName name="Z_A156A47F_B8E6_48F7_8842_A436255DE220_.wvu.FilterData" localSheetId="0" hidden="1">'ТР нефть'!$A$29:$ASR$641</definedName>
    <definedName name="Z_A16935B6_1436_4D04_958E_D26A518D72AB_.wvu.FilterData" localSheetId="0" hidden="1">'ТР нефть'!$A$29:$MM$641</definedName>
    <definedName name="Z_A17CFD4D_7A34_40D9_B7FE_CC7EBD5D11FF_.wvu.FilterData" localSheetId="0" hidden="1">'ТР нефть'!$A$29:$MM$641</definedName>
    <definedName name="Z_A1B78E63_E201_45AA_AF67_4F8259CDE03B_.wvu.FilterData" localSheetId="0" hidden="1">'ТР нефть'!$A$29:$ASS$641</definedName>
    <definedName name="Z_A1C8069C_3B79_42AA_9F18_E58137340FAD_.wvu.FilterData" localSheetId="0" hidden="1">'ТР нефть'!$A$29:$MM$604</definedName>
    <definedName name="Z_A2136389_DE4F_406D_A66B_D9369388E0EB_.wvu.FilterData" localSheetId="1" hidden="1">Протокол!$A$407:$BD$467</definedName>
    <definedName name="Z_A2136389_DE4F_406D_A66B_D9369388E0EB_.wvu.FilterData" localSheetId="0" hidden="1">'ТР нефть'!$A$29:$ASS$641</definedName>
    <definedName name="Z_A227EF81_4E7B_4ACB_A5CB_CCDCFEB3733B_.wvu.FilterData" localSheetId="0" hidden="1">'ТР нефть'!$A$29:$MM$641</definedName>
    <definedName name="Z_A23B0CEF_12B8_4428_AB50_957B182BD7C6_.wvu.FilterData" localSheetId="0" hidden="1">'ТР нефть'!$A$29:$ASS$641</definedName>
    <definedName name="Z_A253A020_7F9F_40C3_8E65_7E7C0847AE9C_.wvu.FilterData" localSheetId="0" hidden="1">'ТР нефть'!$A$29:$ASS$641</definedName>
    <definedName name="Z_A269BE13_0C25_4A35_B48C_5931A83D7387_.wvu.FilterData" localSheetId="0" hidden="1">'ТР нефть'!$A$29:$MM$641</definedName>
    <definedName name="Z_A26AD8BF_ED62_4903_B8D4_DB1355FF47D6_.wvu.FilterData" localSheetId="0" hidden="1">'ТР нефть'!$A$29:$MM$641</definedName>
    <definedName name="Z_A26AFBA3_80D4_4D03_B72C_05D9DC8ED971_.wvu.FilterData" localSheetId="0" hidden="1">'ТР нефть'!$A$26:$ASU$641</definedName>
    <definedName name="Z_A26D3420_442F_4C50_8B47_7BD481FD7266_.wvu.FilterData" localSheetId="0" hidden="1">'ТР нефть'!$A$29:$MM$641</definedName>
    <definedName name="Z_A276A4A5_1270_433B_93A2_C02BAAC12DF7_.wvu.FilterData" localSheetId="0" hidden="1">'ТР нефть'!$A$29:$ARU$641</definedName>
    <definedName name="Z_A284E38E_1231_4E22_80C5_4F8E6ACD31BC_.wvu.FilterData" localSheetId="0" hidden="1">'ТР нефть'!$A$26:$ASU$641</definedName>
    <definedName name="Z_A2AA2B83_7854_46F5_A764_EECC41602A01_.wvu.FilterData" localSheetId="0" hidden="1">'ТР нефть'!$A$28:$ASU$641</definedName>
    <definedName name="Z_A2C52750_643A_4BD3_864A_15A94E7FD0A3_.wvu.FilterData" localSheetId="0" hidden="1">'ТР нефть'!$A$29:$ASR$641</definedName>
    <definedName name="Z_A33DF877_C45A_44E4_9E4E_B1B0E5A8457F_.wvu.FilterData" localSheetId="0" hidden="1">'ТР нефть'!$A$28:$ASU$641</definedName>
    <definedName name="Z_A3461BFA_9142_47E5_8355_871334A48B55_.wvu.FilterData" localSheetId="0" hidden="1">'ТР нефть'!$A$29:$ASR$641</definedName>
    <definedName name="Z_A34B9A29_D23C_4043_B0AC_D60AC363231C_.wvu.FilterData" localSheetId="0" hidden="1">'ТР нефть'!$A$26:$ASU$641</definedName>
    <definedName name="Z_A369D8D5_73AB_4715_A4D7_76CF7026F957_.wvu.FilterData" localSheetId="0" hidden="1">'ТР нефть'!$A$29:$ASS$641</definedName>
    <definedName name="Z_A3DA4879_A28B_4AD7_BA85_F8B73E716D7B_.wvu.FilterData" localSheetId="0" hidden="1">'ТР нефть'!$A$29:$ASS$641</definedName>
    <definedName name="Z_A49BDC20_F845_4595_97C1_C5ABA7DB00CA_.wvu.FilterData" localSheetId="0" hidden="1">'ТР нефть'!$A$29:$MM$641</definedName>
    <definedName name="Z_A4B9909D_C3FB_4C50_B7FE_53F2A7DD6D76_.wvu.FilterData" localSheetId="0" hidden="1">'ТР нефть'!$A$29:$MM$641</definedName>
    <definedName name="Z_A4C036B8_8926_42D1_BC17_6D7D830147D3_.wvu.FilterData" localSheetId="0" hidden="1">'ТР нефть'!$A$29:$ASS$641</definedName>
    <definedName name="Z_A4C78371_FC9A_4094_9154_F40B56CDE1EA_.wvu.FilterData" localSheetId="0" hidden="1">'ТР нефть'!$A$29:$MM$641</definedName>
    <definedName name="Z_A4CE64AB_ABD0_46DD_A2AA_343DF6601FBB_.wvu.FilterData" localSheetId="0" hidden="1">'ТР нефть'!$A$29:$MM$641</definedName>
    <definedName name="Z_A505F9F1_9885_4728_83ED_BBC0F622D800_.wvu.FilterData" localSheetId="0" hidden="1">'ТР нефть'!$A$29:$ASU$641</definedName>
    <definedName name="Z_A507B952_F5C3_4219_9070_52EB62974314_.wvu.FilterData" localSheetId="0" hidden="1">'ТР нефть'!$A$29:$ASU$641</definedName>
    <definedName name="Z_A535A427_BC87_4889_9E22_12042DD98C62_.wvu.FilterData" localSheetId="0" hidden="1">'ТР нефть'!$A$29:$ASR$641</definedName>
    <definedName name="Z_A54A0789_2E8A_4A8A_B954_2A399077E07C_.wvu.FilterData" localSheetId="0" hidden="1">'ТР нефть'!$A$28:$ASU$641</definedName>
    <definedName name="Z_A55266E3_21A1_42AF_A939_DE34CF988A8C_.wvu.FilterData" localSheetId="0" hidden="1">'ТР нефть'!$A$29:$ASR$641</definedName>
    <definedName name="Z_A56DCDCC_CB7A_4B39_86BF_B714B6EBBE58_.wvu.FilterData" localSheetId="0" hidden="1">'ТР нефть'!$A$29:$ASS$641</definedName>
    <definedName name="Z_A5AF9DC5_EF0F_4DEB_B358_EA0351A8E131_.wvu.FilterData" localSheetId="1" hidden="1">Протокол!#REF!</definedName>
    <definedName name="Z_A5AF9DC5_EF0F_4DEB_B358_EA0351A8E131_.wvu.FilterData" localSheetId="0" hidden="1">'ТР нефть'!$A$29:$ASR$641</definedName>
    <definedName name="Z_A5B4C1F0_0DBE_4B58_A3FE_583AD5FDF859_.wvu.FilterData" localSheetId="0" hidden="1">'ТР нефть'!$A$29:$ASU$641</definedName>
    <definedName name="Z_A5D90EAD_DFC4_46D9_A8D6_6CCD51FD4197_.wvu.FilterData" localSheetId="0" hidden="1">'ТР нефть'!$ME$29:$ME$641</definedName>
    <definedName name="Z_A5EDBE2F_765A_4A7B_9BC4_45F5DC9E39A1_.wvu.FilterData" localSheetId="0" hidden="1">'ТР нефть'!$A$29:$ASR$641</definedName>
    <definedName name="Z_A60FF1C9_7AC5_4780_8571_77DFA8687C24_.wvu.FilterData" localSheetId="0" hidden="1">'ТР нефть'!$A$29:$ARU$641</definedName>
    <definedName name="Z_A63855FD_7CE3_43B1_A11D_03CBC18AA331_.wvu.FilterData" localSheetId="0" hidden="1">'ТР нефть'!$A$29:$ASS$641</definedName>
    <definedName name="Z_A655B2D0_9711_4650_9AC7_1453C5610534_.wvu.FilterData" localSheetId="0" hidden="1">'ТР нефть'!$A$29:$ASS$641</definedName>
    <definedName name="Z_A65ED526_D8F0_485E_B043_5FA185C94DF6_.wvu.FilterData" localSheetId="0" hidden="1">'ТР нефть'!$A$26:$ASU$641</definedName>
    <definedName name="Z_A684221D_885C_4901_9807_C6E9641461DA_.wvu.FilterData" localSheetId="0" hidden="1">'ТР нефть'!$A$29:$MM$641</definedName>
    <definedName name="Z_A6D965DE_E265_425B_81D2_F1342B86D975_.wvu.FilterData" localSheetId="0" hidden="1">'ТР нефть'!$A$29:$ASR$641</definedName>
    <definedName name="Z_A6F3BDF4_8BA3_44C8_8E94_BC688C8C1550_.wvu.FilterData" localSheetId="0" hidden="1">'ТР нефть'!$A$28:$ASU$641</definedName>
    <definedName name="Z_A6FE4AE3_A0FE_4D96_AABF_F20234D99497_.wvu.FilterData" localSheetId="0" hidden="1">'ТР нефть'!$A$29:$ASR$641</definedName>
    <definedName name="Z_A7117179_FEA5_4C8F_B2C8_B5DD9ECFB8B9_.wvu.FilterData" localSheetId="1" hidden="1">Протокол!$A$16:$BD$499</definedName>
    <definedName name="Z_A7117179_FEA5_4C8F_B2C8_B5DD9ECFB8B9_.wvu.FilterData" localSheetId="0" hidden="1">'ТР нефть'!$A$26:$ASU$641</definedName>
    <definedName name="Z_A71EF588_813A_48C9_8874_13EDEDDE5F81_.wvu.FilterData" localSheetId="0" hidden="1">'ТР нефть'!$A$26:$ASU$641</definedName>
    <definedName name="Z_A75E3185_1994_4F71_8786_CAFB0D9288C9_.wvu.FilterData" localSheetId="1" hidden="1">Протокол!$B$39:$BD$317</definedName>
    <definedName name="Z_A75E3185_1994_4F71_8786_CAFB0D9288C9_.wvu.PrintArea" localSheetId="1" hidden="1">Протокол!$B$16:$BA$317</definedName>
    <definedName name="Z_A75E3185_1994_4F71_8786_CAFB0D9288C9_.wvu.Rows" localSheetId="1" hidden="1">Протокол!$85:$85</definedName>
    <definedName name="Z_A76D8611_1745_4D41_A3D9_0A8B23796FD8_.wvu.FilterData" localSheetId="0" hidden="1">'ТР нефть'!$A$29:$ASR$641</definedName>
    <definedName name="Z_A76DEB73_AB79_47C7_A5D5_37E8E3C2ED4B_.wvu.FilterData" localSheetId="0" hidden="1">'ТР нефть'!$A$29:$ASR$641</definedName>
    <definedName name="Z_A7A0319D_C473_40D0_9B9C_651917A58168_.wvu.FilterData" localSheetId="0" hidden="1">'ТР нефть'!$A$28:$ASU$641</definedName>
    <definedName name="Z_A7ADDCDD_8E5C_4E37_9511_5ED56F587628_.wvu.FilterData" localSheetId="0" hidden="1">'ТР нефть'!#REF!</definedName>
    <definedName name="Z_A7EFBA5B_E9E6_4F4A_B929_1F1F9426151F_.wvu.FilterData" localSheetId="0" hidden="1">'ТР нефть'!$A$29:$ASU$641</definedName>
    <definedName name="Z_A80C5952_DF39_49D6_994F_C66BB80350C8_.wvu.FilterData" localSheetId="0" hidden="1">'ТР нефть'!$A$28:$ASU$641</definedName>
    <definedName name="Z_A8447175_62A4_45DC_A6CF_0DFFB6083D48_.wvu.FilterData" localSheetId="0" hidden="1">'ТР нефть'!$A$29:$ASS$641</definedName>
    <definedName name="Z_A8461745_D6D0_4328_89A7_B8034BB736B6_.wvu.FilterData" localSheetId="0" hidden="1">'ТР нефть'!$A$29:$ASU$641</definedName>
    <definedName name="Z_A853DE0E_4468_48A5_8CEC_3CB77DC3698D_.wvu.FilterData" localSheetId="0" hidden="1">'ТР нефть'!$A$29:$MM$641</definedName>
    <definedName name="Z_A8546632_E06E_4BAD_977E_0FE01CCDA887_.wvu.Cols" localSheetId="0" hidden="1">'ТР нефть'!$A:$A,'ТР нефть'!$F:$F,'ТР нефть'!$U:$AD,'ТР нефть'!$AF:$AG,'ТР нефть'!$AJ:$AK,'ТР нефть'!$AO:$AT,'ТР нефть'!$AV:$BJ,'ТР нефть'!$BO:$BO,'ТР нефть'!$BR:$BU,'ТР нефть'!$CD:$CD,'ТР нефть'!$CX:$CX,'ТР нефть'!$DJ:$ED,'ТР нефть'!$MQ:$MR,'ТР нефть'!$MT:$MT,'ТР нефть'!$MW:$ASR</definedName>
    <definedName name="Z_A8546632_E06E_4BAD_977E_0FE01CCDA887_.wvu.FilterData" localSheetId="1" hidden="1">Протокол!$A$407:$BD$407</definedName>
    <definedName name="Z_A8546632_E06E_4BAD_977E_0FE01CCDA887_.wvu.FilterData" localSheetId="0" hidden="1">'ТР нефть'!#REF!</definedName>
    <definedName name="Z_A8546632_E06E_4BAD_977E_0FE01CCDA887_.wvu.PrintArea" localSheetId="1" hidden="1">Протокол!$A$16:$BD$477</definedName>
    <definedName name="Z_A8546632_E06E_4BAD_977E_0FE01CCDA887_.wvu.PrintArea" localSheetId="0" hidden="1">'ТР нефть'!$B$20:$DI$646</definedName>
    <definedName name="Z_A8546632_E06E_4BAD_977E_0FE01CCDA887_.wvu.PrintTitles" localSheetId="0" hidden="1">'ТР нефть'!$25:$25</definedName>
    <definedName name="Z_A8546632_E06E_4BAD_977E_0FE01CCDA887_.wvu.Rows" localSheetId="1" hidden="1">Протокол!#REF!,Протокол!$27:$29,Протокол!$33:$33,Протокол!#REF!,Протокол!$89:$143,Протокол!#REF!,Протокол!#REF!</definedName>
    <definedName name="Z_A8546632_E06E_4BAD_977E_0FE01CCDA887_.wvu.Rows" localSheetId="0" hidden="1">'ТР нефть'!$20:$24</definedName>
    <definedName name="Z_A8AD4921_F2ED_449A_9B9A_47A8D2322EF0_.wvu.FilterData" localSheetId="0" hidden="1">'ТР нефть'!$A$29:$MM$641</definedName>
    <definedName name="Z_A8C1559B_E3FD_4CBB_A30A_593ABD19F704_.wvu.FilterData" localSheetId="0" hidden="1">'ТР нефть'!$A$29:$ASR$641</definedName>
    <definedName name="Z_A8C4AB4C_C3CA_4E59_AA29_C5DA117257A5_.wvu.FilterData" localSheetId="0" hidden="1">'ТР нефть'!#REF!</definedName>
    <definedName name="Z_A8CA7D12_7C27_436C_AF67_2A60584E3620_.wvu.FilterData" localSheetId="1" hidden="1">Протокол!#REF!</definedName>
    <definedName name="Z_A8CA7D12_7C27_436C_AF67_2A60584E3620_.wvu.FilterData" localSheetId="0" hidden="1">'ТР нефть'!#REF!</definedName>
    <definedName name="Z_A8D90F74_FA74_42A2_9222_381F8A81B7F7_.wvu.FilterData" localSheetId="0" hidden="1">'ТР нефть'!$A$29:$MM$604</definedName>
    <definedName name="Z_A8DCC5DB_04AF_491F_9AB5_B8721537DCF0_.wvu.FilterData" localSheetId="0" hidden="1">'ТР нефть'!$A$29:$ASR$641</definedName>
    <definedName name="Z_A91C9CCF_B369_43E7_88C1_2D63056CE06E_.wvu.FilterData" localSheetId="0" hidden="1">'ТР нефть'!$A$26:$ASU$641</definedName>
    <definedName name="Z_A9334FDB_5815_47C8_887A_A2AD0B0C9BF4_.wvu.FilterData" localSheetId="0" hidden="1">'ТР нефть'!$A$26:$ASU$641</definedName>
    <definedName name="Z_A983D028_8F0D_45D2_A00C_43617467811E_.wvu.FilterData" localSheetId="0" hidden="1">'ТР нефть'!$A$29:$ASR$641</definedName>
    <definedName name="Z_A99A1718_8559_4E82_8072_231033CD28A4_.wvu.FilterData" localSheetId="0" hidden="1">'ТР нефть'!$A$29:$ARU$641</definedName>
    <definedName name="Z_A9A92327_F9C5_41ED_9908_D5BAAB466920_.wvu.FilterData" localSheetId="0" hidden="1">'ТР нефть'!$A$29:$ASR$641</definedName>
    <definedName name="Z_A9DF7666_719A_4B3A_B933_32D9AEAA6DB3_.wvu.FilterData" localSheetId="0" hidden="1">'ТР нефть'!$A$29:$ASR$641</definedName>
    <definedName name="Z_AAA1EB31_A132_4ECD_9160_77481F1B6432_.wvu.FilterData" localSheetId="0" hidden="1">'ТР нефть'!$A$29:$ASR$641</definedName>
    <definedName name="Z_AAC78C4F_63F1_4D74_82AF_A0F9B32ED48A_.wvu.FilterData" localSheetId="0" hidden="1">'ТР нефть'!$A$29:$ASR$641</definedName>
    <definedName name="Z_AAEA0013_300F_4555_BC4E_6396AB6904C1_.wvu.FilterData" localSheetId="0" hidden="1">'ТР нефть'!$A$29:$ASR$641</definedName>
    <definedName name="Z_AB46547D_109F_4A64_980F_D748F0401F57_.wvu.FilterData" localSheetId="0" hidden="1">'ТР нефть'!$A$29:$ASS$641</definedName>
    <definedName name="Z_AB71A83B_2EAB_4D25_BA4C_8ADA61924900_.wvu.FilterData" localSheetId="0" hidden="1">'ТР нефть'!$A$29:$MM$641</definedName>
    <definedName name="Z_AB944C23_8F09_424D_949D_BD141397E052_.wvu.FilterData" localSheetId="0" hidden="1">'ТР нефть'!$A$29:$MM$641</definedName>
    <definedName name="Z_ABA80D4C_080F_45BD_806F_37F117903200_.wvu.Cols" localSheetId="1" hidden="1">Протокол!#REF!,Протокол!#REF!</definedName>
    <definedName name="Z_ABA80D4C_080F_45BD_806F_37F117903200_.wvu.Cols" localSheetId="0" hidden="1">'ТР нефть'!$A:$A,'ТР нефть'!$C:$H,'ТР нефть'!$K:$AT,'ТР нефть'!$AV:$CH,'ТР нефть'!$BW:$BW,'ТР нефть'!$CD:$CD,'ТР нефть'!$CX:$CX,'ТР нефть'!$DA:$ED,'ТР нефть'!$EU:$FI,'ТР нефть'!$MQ:$MR,'ТР нефть'!$MT:$MT,'ТР нефть'!$MW:$NF</definedName>
    <definedName name="Z_ABA80D4C_080F_45BD_806F_37F117903200_.wvu.FilterData" localSheetId="1" hidden="1">Протокол!$A$407:$BD$467</definedName>
    <definedName name="Z_ABA80D4C_080F_45BD_806F_37F117903200_.wvu.FilterData" localSheetId="0" hidden="1">'ТР нефть'!$A$29:$ASR$641</definedName>
    <definedName name="Z_ABA80D4C_080F_45BD_806F_37F117903200_.wvu.PrintArea" localSheetId="1" hidden="1">Протокол!$A$16:$BD$495</definedName>
    <definedName name="Z_ABA80D4C_080F_45BD_806F_37F117903200_.wvu.PrintArea" localSheetId="0" hidden="1">'ТР нефть'!$B$20:$DI$646</definedName>
    <definedName name="Z_ABA80D4C_080F_45BD_806F_37F117903200_.wvu.PrintTitles" localSheetId="0" hidden="1">'ТР нефть'!$25:$25</definedName>
    <definedName name="Z_ABA80D4C_080F_45BD_806F_37F117903200_.wvu.Rows" localSheetId="1" hidden="1">Протокол!#REF!,Протокол!#REF!,Протокол!#REF!,Протокол!#REF!</definedName>
    <definedName name="Z_ABA80D4C_080F_45BD_806F_37F117903200_.wvu.Rows" localSheetId="0" hidden="1">'ТР нефть'!$20:$24</definedName>
    <definedName name="Z_ABBAFEDD_9B5F_4387_B6A2_0B19492A55F6_.wvu.FilterData" localSheetId="0" hidden="1">'ТР нефть'!$A$29:$ASS$641</definedName>
    <definedName name="Z_ABC35E13_10B4_44D3_95FC_3B3636B90622_.wvu.FilterData" localSheetId="0" hidden="1">'ТР нефть'!$A$29:$ASS$641</definedName>
    <definedName name="Z_ABC7C1CE_16A3_4654_AC09_4B2BE3823A82_.wvu.FilterData" localSheetId="0" hidden="1">'ТР нефть'!$A$29:$ASS$641</definedName>
    <definedName name="Z_ABCE96AC_9DC2_4C07_953A_ECBD16CC2241_.wvu.FilterData" localSheetId="0" hidden="1">'ТР нефть'!$A$29:$ASR$641</definedName>
    <definedName name="Z_AC0C2833_192D_4EC0_9194_95509CA33DAF_.wvu.FilterData" localSheetId="0" hidden="1">'ТР нефть'!$A$29:$ASS$641</definedName>
    <definedName name="Z_AC1F77F3_05F4_4316_95A3_A99F454A7060_.wvu.FilterData" localSheetId="0" hidden="1">'ТР нефть'!$A$29:$MM$641</definedName>
    <definedName name="Z_AC3A0B50_9C96_4BCF_8AB2_C2BE0D77D00B_.wvu.FilterData" localSheetId="0" hidden="1">'ТР нефть'!$A$29:$MM$641</definedName>
    <definedName name="Z_AC3FA180_6B79_4C2B_AA81_2CBC9B77FD2C_.wvu.FilterData" localSheetId="0" hidden="1">'ТР нефть'!$A$29:$ASR$641</definedName>
    <definedName name="Z_AC9C6C2F_B1FE_46CA_8E2B_1E2A550B6FA8_.wvu.FilterData" localSheetId="0" hidden="1">'ТР нефть'!$A$29:$ASR$641</definedName>
    <definedName name="Z_ACD42F0D_175D_433C_800D_0B617E7A6951_.wvu.FilterData" localSheetId="0" hidden="1">'ТР нефть'!$A$29:$ASS$641</definedName>
    <definedName name="Z_ACE287E6_3A65_4CA8_AAB0_C7D4D6A02B43_.wvu.FilterData" localSheetId="0" hidden="1">'ТР нефть'!$A$26:$ASU$641</definedName>
    <definedName name="Z_ACF640A4_4D16_4706_8C0A_A8FF8CD452DE_.wvu.FilterData" localSheetId="0" hidden="1">'ТР нефть'!$A$29:$ASR$641</definedName>
    <definedName name="Z_AD04BBBF_7DE5_4950_9461_E34395422920_.wvu.FilterData" localSheetId="0" hidden="1">'ТР нефть'!$A$29:$ASS$641</definedName>
    <definedName name="Z_AD28F00C_944C_4309_817D_A7F15566F82A_.wvu.FilterData" localSheetId="0" hidden="1">'ТР нефть'!$A$26:$ASU$641</definedName>
    <definedName name="Z_AD82FD82_2D03_4A94_906B_52B86F266203_.wvu.FilterData" localSheetId="0" hidden="1">'ТР нефть'!$A$28:$ASU$642</definedName>
    <definedName name="Z_ADA0EE4E_3B21_4D44_AFB1_A70FAB9C656A_.wvu.FilterData" localSheetId="0" hidden="1">'ТР нефть'!$A$26:$ASU$641</definedName>
    <definedName name="Z_ADA9914F_D18B_4DD8_80D9_A6AEFB22EAE8_.wvu.FilterData" localSheetId="1" hidden="1">Протокол!$A$318:$BD$326</definedName>
    <definedName name="Z_ADB24D1B_2DD8_44A3_AFC9_CA502A7AD086_.wvu.FilterData" localSheetId="0" hidden="1">'ТР нефть'!$A$29:$MM$641</definedName>
    <definedName name="Z_ADED8D4D_A93A_4D2B_9A7F_BAAB42235A05_.wvu.FilterData" localSheetId="0" hidden="1">'ТР нефть'!$A$29:$ASS$641</definedName>
    <definedName name="Z_ADF7BD5A_1B77_441B_81AF_8A11D4A20B56_.wvu.FilterData" localSheetId="0" hidden="1">'ТР нефть'!$A$29:$ARU$641</definedName>
    <definedName name="Z_AE04A1DD_D9FD_4711_A199_5B87C12D1988_.wvu.FilterData" localSheetId="0" hidden="1">'ТР нефть'!$A$29:$MM$604</definedName>
    <definedName name="Z_AE2F8C00_C06C_43BD_92BF_44FB4FBC4ACB_.wvu.FilterData" localSheetId="0" hidden="1">'ТР нефть'!$A$26:$ASU$641</definedName>
    <definedName name="Z_AE35B393_F9EA_47E6_BF74_BC287C475A2B_.wvu.FilterData" localSheetId="0" hidden="1">'ТР нефть'!$A$29:$ASS$641</definedName>
    <definedName name="Z_AE829D92_9FB6_42DF_867C_527820AA2186_.wvu.Cols" localSheetId="0" hidden="1">'ТР нефть'!$A:$I,'ТР нефть'!$P:$AL,'ТР нефть'!$AO:$AT,'ТР нефть'!$AV:$BJ,'ТР нефть'!$BL:$BL,'ТР нефть'!$BO:$BP,'ТР нефть'!$BR:$BU,'ТР нефть'!$BW:$BW,'ТР нефть'!$CD:$CD,'ТР нефть'!$CY:$ED,'ТР нефть'!$EU:$FJ,'ТР нефть'!$HO:$KG,'ТР нефть'!$KI:$LE,'ТР нефть'!$LG:$MB,'ТР нефть'!$MQ:$MR,'ТР нефть'!$MW:$NL</definedName>
    <definedName name="Z_AE829D92_9FB6_42DF_867C_527820AA2186_.wvu.FilterData" localSheetId="1" hidden="1">Протокол!$A$182:$BG$311</definedName>
    <definedName name="Z_AE829D92_9FB6_42DF_867C_527820AA2186_.wvu.FilterData" localSheetId="0" hidden="1">'ТР нефть'!$A$28:$ASU$641</definedName>
    <definedName name="Z_AE829D92_9FB6_42DF_867C_527820AA2186_.wvu.PrintArea" localSheetId="1" hidden="1">Протокол!$A$1:$BE$489</definedName>
    <definedName name="Z_AE829D92_9FB6_42DF_867C_527820AA2186_.wvu.PrintArea" localSheetId="0" hidden="1">'ТР нефть'!$D$1:$ASU$650</definedName>
    <definedName name="Z_AE829D92_9FB6_42DF_867C_527820AA2186_.wvu.PrintTitles" localSheetId="0" hidden="1">'ТР нефть'!$25:$25</definedName>
    <definedName name="Z_AE829D92_9FB6_42DF_867C_527820AA2186_.wvu.Rows" localSheetId="1" hidden="1">Протокол!$16:$17,Протокол!$70:$84,Протокол!$96:$105,Протокол!$112:$144,Протокол!$153:$153,Протокол!$156:$165,Протокол!$167:$171,Протокол!$251:$311,Протокол!$318:$318,Протокол!$331:$397,Протокол!$431:$464</definedName>
    <definedName name="Z_AE829D92_9FB6_42DF_867C_527820AA2186_.wvu.Rows" localSheetId="0" hidden="1">'ТР нефть'!$645:$646</definedName>
    <definedName name="Z_AE933E2F_9CEC_4DFF_AEE3_A7A0B4E04F5E_.wvu.FilterData" localSheetId="0" hidden="1">'ТР нефть'!$A$29:$ASR$641</definedName>
    <definedName name="Z_AEA693FA_4D82_44B1_861C_F740504DB137_.wvu.FilterData" localSheetId="0" hidden="1">'ТР нефть'!$A$29:$ARU$641</definedName>
    <definedName name="Z_AEC452AF_B03F_4184_810A_7F0A256C78EE_.wvu.FilterData" localSheetId="0" hidden="1">'ТР нефть'!$A$29:$ASR$641</definedName>
    <definedName name="Z_AED3C970_8037_47D9_AB0B_48A9BB0AB6D5_.wvu.FilterData" localSheetId="0" hidden="1">'ТР нефть'!$A$29:$ASU$641</definedName>
    <definedName name="Z_AEEC38E6_DB0E_4F9C_A3D7_F4ABB6FA25E7_.wvu.FilterData" localSheetId="0" hidden="1">'ТР нефть'!$A$28:$ASU$641</definedName>
    <definedName name="Z_AF5E750E_1A4E_463E_907C_5BB1602DC4DD_.wvu.FilterData" localSheetId="0" hidden="1">'ТР нефть'!$A$29:$ARU$641</definedName>
    <definedName name="Z_AF81F213_1AEE_4664_8D00_D26FC715B908_.wvu.FilterData" localSheetId="0" hidden="1">'ТР нефть'!$A$29:$MM$604</definedName>
    <definedName name="Z_AF8507A0_E91E_407B_871C_C5004618FF1F_.wvu.FilterData" localSheetId="0" hidden="1">'ТР нефть'!$A$29:$MM$604</definedName>
    <definedName name="Z_AFB1801E_E861_4031_BFE1_BB7B0C6D6DF5_.wvu.FilterData" localSheetId="0" hidden="1">'ТР нефть'!$A$29:$ASR$641</definedName>
    <definedName name="Z_AFD8FCB5_EB5C_4AE3_9225_0E840E84741D_.wvu.FilterData" localSheetId="0" hidden="1">'ТР нефть'!$A$29:$MM$641</definedName>
    <definedName name="Z_AFF00DDD_08BD_4E12_914C_F504C903EBC7_.wvu.FilterData" localSheetId="0" hidden="1">'ТР нефть'!$A$29:$ASS$641</definedName>
    <definedName name="Z_AFF1FF7F_1FE8_4F02_A349_F00F1A13AE2D_.wvu.FilterData" localSheetId="0" hidden="1">'ТР нефть'!$A$28:$ASU$641</definedName>
    <definedName name="Z_B01E63B6_A459_49E3_B05A_018E6BB81EA3_.wvu.FilterData" localSheetId="0" hidden="1">'ТР нефть'!$A$29:$ASS$641</definedName>
    <definedName name="Z_B03D50BC_0034_4A06_986E_ABE68262A997_.wvu.FilterData" localSheetId="0" hidden="1">'ТР нефть'!$A$29:$ASR$641</definedName>
    <definedName name="Z_B07E0AF9_3750_4B40_B685_B8D4D99F1EE2_.wvu.FilterData" localSheetId="0" hidden="1">'ТР нефть'!$A$26:$ASU$641</definedName>
    <definedName name="Z_B0CD0D18_BF05_450C_AA94_1D99DECD0F85_.wvu.FilterData" localSheetId="0" hidden="1">'ТР нефть'!$A$29:$ASS$641</definedName>
    <definedName name="Z_B0E4CDB3_8B89_405B_BA05_8BF24F851AAC_.wvu.FilterData" localSheetId="0" hidden="1">'ТР нефть'!$A$29:$ASR$641</definedName>
    <definedName name="Z_B1225E35_9C84_42A9_B960_EB6AEC6EFFFC_.wvu.FilterData" localSheetId="0" hidden="1">'ТР нефть'!$A$28:$ASU$641</definedName>
    <definedName name="Z_B19318A0_22FB_46D4_ADB9_6B0F8ED750CA_.wvu.FilterData" localSheetId="1" hidden="1">Протокол!$A$182:$BG$311</definedName>
    <definedName name="Z_B19318A0_22FB_46D4_ADB9_6B0F8ED750CA_.wvu.FilterData" localSheetId="0" hidden="1">'ТР нефть'!$A$28:$ASU$642</definedName>
    <definedName name="Z_B1A639B9_C9F4_49F7_8A4F_83D44244D10E_.wvu.FilterData" localSheetId="0" hidden="1">'ТР нефть'!$A$26:$ASU$641</definedName>
    <definedName name="Z_B1C320DD_9B69_44D8_89E5_942D46A61412_.wvu.FilterData" localSheetId="0" hidden="1">'ТР нефть'!$A$29:$ARU$641</definedName>
    <definedName name="Z_B1D85099_A61D_46D6_A794_F9691480796F_.wvu.FilterData" localSheetId="0" hidden="1">'ТР нефть'!$A$28:$ASU$641</definedName>
    <definedName name="Z_B1F4C5A7_4732_4B4C_9EE7_F6C8ABAB0B81_.wvu.FilterData" localSheetId="0" hidden="1">'ТР нефть'!$A$29:$ASR$641</definedName>
    <definedName name="Z_B26139E0_61D4_4B71_B343_B78B85B3E94B_.wvu.FilterData" localSheetId="1" hidden="1">Протокол!#REF!</definedName>
    <definedName name="Z_B26139E0_61D4_4B71_B343_B78B85B3E94B_.wvu.FilterData" localSheetId="0" hidden="1">'ТР нефть'!$A$29:$MM$641</definedName>
    <definedName name="Z_B283DFCA_06B3_47B0_9418_3067507D6645_.wvu.FilterData" localSheetId="0" hidden="1">'ТР нефть'!$A$29:$ASR$641</definedName>
    <definedName name="Z_B29B00E3_6264_437D_AC39_321F7CD70280_.wvu.FilterData" localSheetId="0" hidden="1">'ТР нефть'!$A$29:$MM$641</definedName>
    <definedName name="Z_B2BBFDEA_07AE_4A3A_B2BB_16DF306264C5_.wvu.FilterData" localSheetId="0" hidden="1">'ТР нефть'!$A$26:$ASU$641</definedName>
    <definedName name="Z_B2FDC41B_1B10_4CA3_AD18_EECB0DAF8A1F_.wvu.FilterData" localSheetId="0" hidden="1">'ТР нефть'!$A$29:$MM$641</definedName>
    <definedName name="Z_B3160377_6503_4FC1_A56B_6237483E05B1_.wvu.FilterData" localSheetId="0" hidden="1">'ТР нефть'!#REF!</definedName>
    <definedName name="Z_B340A437_C0A4_4480_9CE7_B838FFE8A29E_.wvu.FilterData" localSheetId="0" hidden="1">'ТР нефть'!$A$29:$MM$604</definedName>
    <definedName name="Z_B34FCC6F_B680_4BAD_A04B_E9376678C055_.wvu.FilterData" localSheetId="0" hidden="1">'ТР нефть'!$A$29:$MM$641</definedName>
    <definedName name="Z_B3B9A520_3625_4148_ACAA_DA60FC4F7C8A_.wvu.FilterData" localSheetId="0" hidden="1">'ТР нефть'!$A$29:$MM$604</definedName>
    <definedName name="Z_B3C236B3_B3A3_4C77_889A_1C38AF718069_.wvu.FilterData" localSheetId="0" hidden="1">'ТР нефть'!$A$26:$ASU$641</definedName>
    <definedName name="Z_B41C5434_062F_41D2_884B_E228CFF5F39E_.wvu.FilterData" localSheetId="0" hidden="1">'ТР нефть'!$A$28:$ASU$641</definedName>
    <definedName name="Z_B4287A3A_3D6F_4465_A18E_8EAE39E2565B_.wvu.FilterData" localSheetId="0" hidden="1">'ТР нефть'!$A$26:$ASU$641</definedName>
    <definedName name="Z_B4518493_4A44_4A2A_983B_C3395316C571_.wvu.FilterData" localSheetId="0" hidden="1">'ТР нефть'!$A$29:$ASR$641</definedName>
    <definedName name="Z_B4876DB6_88BB_4DF3_9957_FEC15F4B4E23_.wvu.FilterData" localSheetId="0" hidden="1">'ТР нефть'!$A$29:$ASU$641</definedName>
    <definedName name="Z_B48FF8F9_2593_4C2E_B14F_537983F2D2E7_.wvu.FilterData" localSheetId="0" hidden="1">'ТР нефть'!$A$26:$ASU$641</definedName>
    <definedName name="Z_B4939260_59E3_4C8F_A8BC_2014F4C9AEB8_.wvu.FilterData" localSheetId="0" hidden="1">'ТР нефть'!$A$29:$MM$604</definedName>
    <definedName name="Z_B4C2B6E2_ACFD_45B3_8564_3F4A38E2BBC1_.wvu.FilterData" localSheetId="0" hidden="1">'ТР нефть'!$A$26:$ASU$641</definedName>
    <definedName name="Z_B4C74CA1_3D8F_434B_A44B_B50FF8C7E8AF_.wvu.FilterData" localSheetId="0" hidden="1">'ТР нефть'!$A$29:$MM$641</definedName>
    <definedName name="Z_B4F7BEC3_0FD6_4833_A8B5_F74A50CAC745_.wvu.FilterData" localSheetId="0" hidden="1">'ТР нефть'!$A$29:$ASS$641</definedName>
    <definedName name="Z_B5298B71_AFA3_48C3_AD1E_31C1DF8BC23D_.wvu.FilterData" localSheetId="0" hidden="1">'ТР нефть'!$A$29:$ASR$641</definedName>
    <definedName name="Z_B5630B20_7908_4B9A_858E_DEF133EAB92C_.wvu.Cols" localSheetId="1" hidden="1">Протокол!#REF!,Протокол!#REF!</definedName>
    <definedName name="Z_B5630B20_7908_4B9A_858E_DEF133EAB92C_.wvu.Cols" localSheetId="0" hidden="1">'ТР нефть'!$A:$A,'ТР нефть'!$D:$G,'ТР нефть'!$K:$N,'ТР нефть'!$U:$AT,'ТР нефть'!$AV:$CH,'ТР нефть'!$CD:$CD,'ТР нефть'!$DA:$ED,'ТР нефть'!$MQ:$MR,'ТР нефть'!$MT:$MT</definedName>
    <definedName name="Z_B5630B20_7908_4B9A_858E_DEF133EAB92C_.wvu.FilterData" localSheetId="1" hidden="1">Протокол!#REF!</definedName>
    <definedName name="Z_B5630B20_7908_4B9A_858E_DEF133EAB92C_.wvu.FilterData" localSheetId="0" hidden="1">'ТР нефть'!$A$29:$ASR$641</definedName>
    <definedName name="Z_B5630B20_7908_4B9A_858E_DEF133EAB92C_.wvu.PrintArea" localSheetId="1" hidden="1">Протокол!$A$16:$BD$496</definedName>
    <definedName name="Z_B5630B20_7908_4B9A_858E_DEF133EAB92C_.wvu.PrintArea" localSheetId="0" hidden="1">'ТР нефть'!$B$20:$GC$646</definedName>
    <definedName name="Z_B5630B20_7908_4B9A_858E_DEF133EAB92C_.wvu.PrintTitles" localSheetId="0" hidden="1">'ТР нефть'!$25:$25</definedName>
    <definedName name="Z_B5630B20_7908_4B9A_858E_DEF133EAB92C_.wvu.Rows" localSheetId="1" hidden="1">Протокол!#REF!,Протокол!$29:$29,Протокол!$33:$33,Протокол!#REF!,Протокол!#REF!,Протокол!$124:$133,Протокол!#REF!,Протокол!#REF!,Протокол!#REF!,Протокол!$254:$311,Протокол!$370:$397,Протокол!#REF!,Протокол!#REF!</definedName>
    <definedName name="Z_B5630B20_7908_4B9A_858E_DEF133EAB92C_.wvu.Rows" localSheetId="0" hidden="1">'ТР нефть'!$20:$24</definedName>
    <definedName name="Z_B56EB42C_6143_496A_87DF_C9F8A664F9C3_.wvu.FilterData" localSheetId="0" hidden="1">'ТР нефть'!$A$28:$ASU$639</definedName>
    <definedName name="Z_B5874BFE_9C66_4C00_9016_946B91692FDE_.wvu.FilterData" localSheetId="0" hidden="1">'ТР нефть'!$A$29:$ASR$641</definedName>
    <definedName name="Z_B592BF83_4F96_495D_9929_A10DA94CDE3E_.wvu.FilterData" localSheetId="0" hidden="1">'ТР нефть'!$A$29:$ASR$641</definedName>
    <definedName name="Z_B5A271E6_65C4_443F_8637_778A6A5F0398_.wvu.FilterData" localSheetId="0" hidden="1">'ТР нефть'!$A$29:$MM$641</definedName>
    <definedName name="Z_B5AECF79_99B5_4FF6_A195_943153FFE20B_.wvu.FilterData" localSheetId="0" hidden="1">'ТР нефть'!$A$29:$MM$641</definedName>
    <definedName name="Z_B5E0F700_90A3_4460_A228_A226880C1350_.wvu.FilterData" localSheetId="0" hidden="1">'ТР нефть'!$A$29:$ASR$641</definedName>
    <definedName name="Z_B601F6D5_1440_4FD2_BB23_54A601743BB0_.wvu.FilterData" localSheetId="0" hidden="1">'ТР нефть'!$A$29:$ARU$641</definedName>
    <definedName name="Z_B636AA85_5B15_4D7D_AD3B_BA1EDFD0FA4F_.wvu.FilterData" localSheetId="0" hidden="1">'ТР нефть'!$A$29:$ASR$641</definedName>
    <definedName name="Z_B67A6BBF_B574_4EDC_B542_C3CB5BB38EA1_.wvu.FilterData" localSheetId="0" hidden="1">'ТР нефть'!#REF!</definedName>
    <definedName name="Z_B6802BD2_0969_459F_A7A3_A27EAD2D03C1_.wvu.FilterData" localSheetId="0" hidden="1">'ТР нефть'!#REF!</definedName>
    <definedName name="Z_B68785FC_DD35_4F1B_A229_CE50CF232275_.wvu.FilterData" localSheetId="0" hidden="1">'ТР нефть'!$A$29:$ASR$641</definedName>
    <definedName name="Z_B6C8E8FE_3818_4D4C_8C67_1E90E07C4B0F_.wvu.FilterData" localSheetId="0" hidden="1">'ТР нефть'!$A$26:$ASU$641</definedName>
    <definedName name="Z_B722EDA8_F9FF_4636_A361_502178DF6751_.wvu.FilterData" localSheetId="0" hidden="1">'ТР нефть'!$A$29:$ASR$641</definedName>
    <definedName name="Z_B72539C1_4030_46A6_81D2_21210E8C3847_.wvu.FilterData" localSheetId="0" hidden="1">'ТР нефть'!$A$29:$MM$604</definedName>
    <definedName name="Z_B77CAC28_9530_4AB0_A6A5_A2AB1DC06A0A_.wvu.FilterData" localSheetId="0" hidden="1">'ТР нефть'!$A$28:$ASU$641</definedName>
    <definedName name="Z_B78E3E4D_046D_4EB3_AF76_92B5E69E8F31_.wvu.FilterData" localSheetId="0" hidden="1">'ТР нефть'!$A$29:$ASR$641</definedName>
    <definedName name="Z_B80CEC17_38C9_4E02_B425_09833BB0813C_.wvu.FilterData" localSheetId="0" hidden="1">'ТР нефть'!$A$29:$ASS$641</definedName>
    <definedName name="Z_B8160A50_09DC_4081_A4CE_BB21FD176728_.wvu.FilterData" localSheetId="0" hidden="1">'ТР нефть'!$A$29:$ASR$641</definedName>
    <definedName name="Z_B867D6F2_6932_4C73_8E3F_09902CBE8FBE_.wvu.FilterData" localSheetId="0" hidden="1">'ТР нефть'!$A$29:$MM$641</definedName>
    <definedName name="Z_B86A8326_45D5_4C09_AD2C_F85397C5AFBD_.wvu.FilterData" localSheetId="0" hidden="1">'ТР нефть'!$A$29:$MM$641</definedName>
    <definedName name="Z_B86C63B0_48C6_41AD_99B0_8BDB1BB42CF8_.wvu.FilterData" localSheetId="0" hidden="1">'ТР нефть'!$A$29:$MM$641</definedName>
    <definedName name="Z_B86D1837_31EC_4FF1_80BF_1745A4E5CAFC_.wvu.FilterData" localSheetId="0" hidden="1">'ТР нефть'!$A$28:$ASU$642</definedName>
    <definedName name="Z_B8712CCD_D483_4CCD_8DEC_95801C13522D_.wvu.FilterData" localSheetId="0" hidden="1">'ТР нефть'!$A$28:$ASU$642</definedName>
    <definedName name="Z_B8747421_43A8_4D61_8480_E896832C63AA_.wvu.FilterData" localSheetId="0" hidden="1">'ТР нефть'!$A$29:$ARU$641</definedName>
    <definedName name="Z_B884BE0B_C823_4065_9875_57CF7E197B97_.wvu.FilterData" localSheetId="0" hidden="1">'ТР нефть'!$A$29:$ASR$641</definedName>
    <definedName name="Z_B886E169_CF12_4EFC_8E55_96B3595AB5D5_.wvu.FilterData" localSheetId="0" hidden="1">'ТР нефть'!$A$29:$MM$641</definedName>
    <definedName name="Z_B890F73B_8643_4038_A214_1E3022877DEE_.wvu.FilterData" localSheetId="0" hidden="1">'ТР нефть'!$A$26:$ASU$641</definedName>
    <definedName name="Z_B8F4286A_7CDA_48C9_9872_1D37C63D743C_.wvu.FilterData" localSheetId="0" hidden="1">'ТР нефть'!$A$29:$ASS$641</definedName>
    <definedName name="Z_B8F653AF_6663_4423_B04E_98CE719648B9_.wvu.FilterData" localSheetId="1" hidden="1">Протокол!$B$39:$BD$317</definedName>
    <definedName name="Z_B92C0B86_F4E1_406C_B758_7EAA48F3A3D8_.wvu.FilterData" localSheetId="0" hidden="1">'ТР нефть'!$A$29:$ASR$641</definedName>
    <definedName name="Z_B95059C6_C6C5_47E9_906F_B34C08350965_.wvu.FilterData" localSheetId="0" hidden="1">'ТР нефть'!$A$28:$ASU$641</definedName>
    <definedName name="Z_B951E3C5_C64E_48BD_9843_AAE01EEAD3C2_.wvu.FilterData" localSheetId="0" hidden="1">'ТР нефть'!$A$29:$ASS$641</definedName>
    <definedName name="Z_B9BC2641_96A6_465A_B2E8_2D8CFA403B2F_.wvu.FilterData" localSheetId="0" hidden="1">'ТР нефть'!$A$29:$MM$604</definedName>
    <definedName name="Z_B9DC5653_65A7_482B_9BA9_C3B83DF4930B_.wvu.FilterData" localSheetId="0" hidden="1">'ТР нефть'!$A$29:$ASU$641</definedName>
    <definedName name="Z_B9E9A9C9_AEF1_470B_B7B4_F08B211CCEC8_.wvu.FilterData" localSheetId="0" hidden="1">'ТР нефть'!$A$26:$ASU$26</definedName>
    <definedName name="Z_BA0ACC6E_521C_4CFE_92FB_966547F78135_.wvu.FilterData" localSheetId="0" hidden="1">'ТР нефть'!$A$29:$ASS$641</definedName>
    <definedName name="Z_BA3B6E12_EC06_4809_8E7A_20BDE852B5D9_.wvu.FilterData" localSheetId="0" hidden="1">'ТР нефть'!$A$29:$MM$641</definedName>
    <definedName name="Z_BAC9C90A_9540_4ABE_BEE6_E37DA8EC1FE2_.wvu.FilterData" localSheetId="0" hidden="1">'ТР нефть'!$A$29:$MM$604</definedName>
    <definedName name="Z_BB4BF5A1_4584_47F4_BD01_7189960D67DF_.wvu.FilterData" localSheetId="0" hidden="1">'ТР нефть'!$A$29:$ASS$641</definedName>
    <definedName name="Z_BB727909_DC3D_40CE_9301_69C592C2EBBD_.wvu.FilterData" localSheetId="0" hidden="1">'ТР нефть'!$A$29:$MM$641</definedName>
    <definedName name="Z_BBAB7CE1_0DD5_4CC0_A604_E0A310461EA0_.wvu.FilterData" localSheetId="0" hidden="1">'ТР нефть'!$A$26:$ASU$641</definedName>
    <definedName name="Z_BBCCE411_FB09_473B_A90B_FE314EC8F0D4_.wvu.FilterData" localSheetId="0" hidden="1">'ТР нефть'!$A$29:$ASR$641</definedName>
    <definedName name="Z_BBF38E0F_4B21_46CC_8DEF_D60C00E77531_.wvu.FilterData" localSheetId="0" hidden="1">'ТР нефть'!$A$29:$ASR$641</definedName>
    <definedName name="Z_BC1A9A2E_93D1_4B40_943A_18739C8CEB4F_.wvu.FilterData" localSheetId="0" hidden="1">'ТР нефть'!$A$29:$ASS$641</definedName>
    <definedName name="Z_BC2E4F8E_8C64_4C14_8E16_2124B850C938_.wvu.FilterData" localSheetId="0" hidden="1">'ТР нефть'!$A$26:$ASU$641</definedName>
    <definedName name="Z_BC6A0280_ED7B_4233_9C55_DE52D4C8555F_.wvu.FilterData" localSheetId="0" hidden="1">'ТР нефть'!$A$29:$ASR$641</definedName>
    <definedName name="Z_BC8E9EB0_DB09_4DEA_BA11_AF392DF5606E_.wvu.FilterData" localSheetId="0" hidden="1">'ТР нефть'!$A$29:$ASR$641</definedName>
    <definedName name="Z_BCA82A84_B212_4031_98D0_7847728192D4_.wvu.FilterData" localSheetId="0" hidden="1">'ТР нефть'!$A$29:$MM$641</definedName>
    <definedName name="Z_BCE4C17D_29C8_46BE_9BB6_27DADD269AD8_.wvu.FilterData" localSheetId="0" hidden="1">'ТР нефть'!$A$29:$ASR$641</definedName>
    <definedName name="Z_BCF2B070_4FEF_47C7_A9B4_37E2948556F1_.wvu.FilterData" localSheetId="0" hidden="1">'ТР нефть'!$A$29:$ASS$641</definedName>
    <definedName name="Z_BCF4AB9F_A39E_4082_9BDB_C2FA8ACB72D1_.wvu.FilterData" localSheetId="0" hidden="1">'ТР нефть'!$A$29:$ASS$641</definedName>
    <definedName name="Z_BD356CFE_05C8_44CC_BEED_671797648D26_.wvu.Cols" localSheetId="0" hidden="1">'ТР нефть'!$A:$I,'ТР нефть'!$Q:$BU,'ТР нефть'!$BW:$BW,'ТР нефть'!$CD:$CD,'ТР нефть'!$CG:$CM,'ТР нефть'!$CT:$CT,'ТР нефть'!$DA:$ED,'ТР нефть'!$MM:$MN,'ТР нефть'!$MP:$MP,'ТР нефть'!$MS:$NB,'ТР нефть'!$NM:$ASR</definedName>
    <definedName name="Z_BD356CFE_05C8_44CC_BEED_671797648D26_.wvu.FilterData" localSheetId="1" hidden="1">Протокол!$A$16:$BD$499</definedName>
    <definedName name="Z_BD356CFE_05C8_44CC_BEED_671797648D26_.wvu.FilterData" localSheetId="0" hidden="1">'ТР нефть'!$A$28:$ASU$639</definedName>
    <definedName name="Z_BD356CFE_05C8_44CC_BEED_671797648D26_.wvu.PrintArea" localSheetId="1" hidden="1">Протокол!$A$1:$BE$489</definedName>
    <definedName name="Z_BD356CFE_05C8_44CC_BEED_671797648D26_.wvu.PrintArea" localSheetId="0" hidden="1">'ТР нефть'!$J$4:$DY$646</definedName>
    <definedName name="Z_BD356CFE_05C8_44CC_BEED_671797648D26_.wvu.PrintTitles" localSheetId="0" hidden="1">'ТР нефть'!$25:$25</definedName>
    <definedName name="Z_BD356CFE_05C8_44CC_BEED_671797648D26_.wvu.Rows" localSheetId="1" hidden="1">Протокол!$16:$17,Протокол!$81:$84,Протокол!$91:$105,Протокол!$112:$144,Протокол!$156:$165,Протокол!$167:$171,Протокол!$253:$311,Протокол!$318:$318,Протокол!$336:$397,Протокол!$416:$464</definedName>
    <definedName name="Z_BD356CFE_05C8_44CC_BEED_671797648D26_.wvu.Rows" localSheetId="0" hidden="1">'ТР нефть'!$1:$24,'ТР нефть'!#REF!,'ТР нефть'!#REF!</definedName>
    <definedName name="Z_BD4C77E4_C241_49BD_8C5F_3E7E7D9E7A0E_.wvu.FilterData" localSheetId="0" hidden="1">'ТР нефть'!$A$29:$ASU$641</definedName>
    <definedName name="Z_BD549E9F_97C9_4695_B953_A45F8FA3F15B_.wvu.FilterData" localSheetId="0" hidden="1">'ТР нефть'!$A$29:$ASS$641</definedName>
    <definedName name="Z_BD5ECC0A_633B_43D5_B789_2F61736BCACE_.wvu.FilterData" localSheetId="0" hidden="1">'ТР нефть'!$A$29:$ASS$641</definedName>
    <definedName name="Z_BDA98516_D740_42D4_BB47_E3A9B7A4E66F_.wvu.FilterData" localSheetId="0" hidden="1">'ТР нефть'!$A$29:$MM$604</definedName>
    <definedName name="Z_BDACF48B_1B18_4D60_BDD0_83C8963211EA_.wvu.FilterData" localSheetId="1" hidden="1">Протокол!$A$316:$BD$399</definedName>
    <definedName name="Z_BDACF48B_1B18_4D60_BDD0_83C8963211EA_.wvu.FilterData" localSheetId="0" hidden="1">'ТР нефть'!$A$29:$ASR$641</definedName>
    <definedName name="Z_BDC777A2_8304_413E_BA8B_7EE2FAE7299A_.wvu.FilterData" localSheetId="0" hidden="1">'ТР нефть'!$A$29:$ASS$641</definedName>
    <definedName name="Z_BDCA3C37_4041_42F3_94A6_4E68EBB8EBBF_.wvu.FilterData" localSheetId="0" hidden="1">'ТР нефть'!$A$29:$MM$641</definedName>
    <definedName name="Z_BDF7DF07_9B89_4D03_BE3A_0207124A6456_.wvu.FilterData" localSheetId="0" hidden="1">'ТР нефть'!$A$29:$MM$604</definedName>
    <definedName name="Z_BE096980_7E53_42AC_8C00_909E364C3D28_.wvu.FilterData" localSheetId="0" hidden="1">'ТР нефть'!$A$29:$ASR$641</definedName>
    <definedName name="Z_BE1D8EAB_C16D_4950_A253_19BBFF731C3B_.wvu.FilterData" localSheetId="0" hidden="1">'ТР нефть'!$A$29:$ASR$641</definedName>
    <definedName name="Z_BE246FA6_DF03_4E27_9734_6AD38E49EF11_.wvu.FilterData" localSheetId="0" hidden="1">'ТР нефть'!$A$29:$ASR$641</definedName>
    <definedName name="Z_BE2A5105_A780_4FD3_BAA6_DC3AEDFF8ED1_.wvu.FilterData" localSheetId="0" hidden="1">'ТР нефть'!$A$28:$ASU$641</definedName>
    <definedName name="Z_BE801C5B_4DF4_456E_9692_2BEB7C2DA493_.wvu.FilterData" localSheetId="0" hidden="1">'ТР нефть'!$A$29:$ASU$641</definedName>
    <definedName name="Z_BEA77ACE_B7D2_42DB_BA17_B847390F0F20_.wvu.FilterData" localSheetId="0" hidden="1">'ТР нефть'!$A$29:$ASR$641</definedName>
    <definedName name="Z_BEE87D3B_018A_41D9_B004_2A8BB0F291D3_.wvu.FilterData" localSheetId="0" hidden="1">'ТР нефть'!$A$29:$ARU$641</definedName>
    <definedName name="Z_BEF024F7_3A93_4E04_9470_F5B5F44F4684_.wvu.FilterData" localSheetId="1" hidden="1">Протокол!$B$39:$BD$317</definedName>
    <definedName name="Z_BF1CE5BC_47A2_40B6_A7DB_9DC83429D0ED_.wvu.FilterData" localSheetId="0" hidden="1">'ТР нефть'!$A$29:$ASR$641</definedName>
    <definedName name="Z_BF71E6EC_45C5_4128_813A_6E3A7618E5DE_.wvu.FilterData" localSheetId="1" hidden="1">Протокол!$B$39:$BD$317</definedName>
    <definedName name="Z_BFA4FBE4_0761_4A7C_AA23_03BEBE16B878_.wvu.FilterData" localSheetId="0" hidden="1">'ТР нефть'!$A$29:$MM$641</definedName>
    <definedName name="Z_BFBCB961_66EA_4EA9_8440_412B8B776F21_.wvu.FilterData" localSheetId="0" hidden="1">'ТР нефть'!$A$26:$ASU$641</definedName>
    <definedName name="Z_BFC4367F_2B98_4406_8D32_929901645256_.wvu.FilterData" localSheetId="1" hidden="1">Протокол!$A$407:$BD$467</definedName>
    <definedName name="Z_BFC4367F_2B98_4406_8D32_929901645256_.wvu.FilterData" localSheetId="0" hidden="1">'ТР нефть'!$A$29:$ASR$641</definedName>
    <definedName name="Z_BFD22102_6863_4325_AD85_991F107289A4_.wvu.FilterData" localSheetId="0" hidden="1">'ТР нефть'!$A$29:$ASS$641</definedName>
    <definedName name="Z_BFF80271_ED7C_479D_B95A_23BEE935295D_.wvu.FilterData" localSheetId="0" hidden="1">'ТР нефть'!$A$26:$ASU$641</definedName>
    <definedName name="Z_C0069B6F_3120_411A_84DE_D7443CA234B5_.wvu.FilterData" localSheetId="0" hidden="1">'ТР нефть'!$A$29:$ASS$641</definedName>
    <definedName name="Z_C0208157_C05F_40E9_8B53_C52FC16FEBD4_.wvu.FilterData" localSheetId="0" hidden="1">'ТР нефть'!$A$26:$ASU$641</definedName>
    <definedName name="Z_C04DBD0D_24C6_4A43_A41F_BDF1DF133B9F_.wvu.FilterData" localSheetId="0" hidden="1">'ТР нефть'!$A$29:$ASR$641</definedName>
    <definedName name="Z_C05AF26E_1395_445D_868B_F077C89152ED_.wvu.FilterData" localSheetId="0" hidden="1">'ТР нефть'!$A$28:$ASU$642</definedName>
    <definedName name="Z_C0B76E28_A1D1_4E7F_9C0C_0D14041619DE_.wvu.FilterData" localSheetId="0" hidden="1">'ТР нефть'!$A$29:$ASS$641</definedName>
    <definedName name="Z_C0C19E87_1B5D_4FB9_98C4_B29F2333FDC4_.wvu.FilterData" localSheetId="0" hidden="1">'ТР нефть'!$A$29:$ASR$641</definedName>
    <definedName name="Z_C119A82E_61A9_47E3_93B6_FDD450B62BF9_.wvu.FilterData" localSheetId="0" hidden="1">'ТР нефть'!$A$29:$ASR$641</definedName>
    <definedName name="Z_C1351C31_BDC5_4324_94A0_138B17531E7B_.wvu.FilterData" localSheetId="0" hidden="1">'ТР нефть'!$A$29:$ASR$641</definedName>
    <definedName name="Z_C143CF27_64D9_42BC_81F3_7AC8941B650C_.wvu.FilterData" localSheetId="0" hidden="1">'ТР нефть'!$A$29:$MM$604</definedName>
    <definedName name="Z_C1478429_6288_4248_8F48_2D49E48D9353_.wvu.FilterData" localSheetId="0" hidden="1">'ТР нефть'!$A$29:$ASU$641</definedName>
    <definedName name="Z_C17B8D01_FADC_4DD0_92D7_024071C617AF_.wvu.FilterData" localSheetId="0" hidden="1">'ТР нефть'!$A$26:$ASU$641</definedName>
    <definedName name="Z_C184BC46_0274_4BDD_A6DC_16E24947A67D_.wvu.FilterData" localSheetId="0" hidden="1">'ТР нефть'!$A$29:$ASR$641</definedName>
    <definedName name="Z_C1B48A15_F7ED_4D0E_AAFC_52A1257A13AA_.wvu.FilterData" localSheetId="1" hidden="1">Протокол!$A$407:$BD$467</definedName>
    <definedName name="Z_C1C914FF_EF78_4542_B115_A9576875FF72_.wvu.FilterData" localSheetId="0" hidden="1">'ТР нефть'!$A$29:$ASR$641</definedName>
    <definedName name="Z_C1CCA482_6125_48B3_81C9_6E3BB6CB5248_.wvu.FilterData" localSheetId="0" hidden="1">'ТР нефть'!$A$29:$ASR$641</definedName>
    <definedName name="Z_C1E9C169_FB2B_4A56_8371_A696117CE823_.wvu.FilterData" localSheetId="0" hidden="1">'ТР нефть'!$A$29:$ASS$641</definedName>
    <definedName name="Z_C22D43B1_827C_4E05_AF0B_13568294FFF6_.wvu.FilterData" localSheetId="0" hidden="1">'ТР нефть'!$A$26:$ASU$641</definedName>
    <definedName name="Z_C237A81F_4CD2_4747_A080_C04611DDA5E1_.wvu.FilterData" localSheetId="0" hidden="1">'ТР нефть'!$A$29:$ASR$641</definedName>
    <definedName name="Z_C2623E05_CAAB_4CA1_A8AB_4264698928DE_.wvu.FilterData" localSheetId="0" hidden="1">'ТР нефть'!$A$29:$ASR$641</definedName>
    <definedName name="Z_C2656092_F424_490A_8DBD_2D8E8B169373_.wvu.FilterData" localSheetId="0" hidden="1">'ТР нефть'!$A$28:$ASU$641</definedName>
    <definedName name="Z_C2A02950_36DF_4469_AB3B_0E8CC672D5E8_.wvu.FilterData" localSheetId="0" hidden="1">'ТР нефть'!$A$29:$ASR$641</definedName>
    <definedName name="Z_C31CFC7D_C404_40A9_B033_65C500F16447_.wvu.FilterData" localSheetId="0" hidden="1">'ТР нефть'!$A$26:$ASU$641</definedName>
    <definedName name="Z_C340A03C_04E6_4FCA_BA0F_299371220A91_.wvu.FilterData" localSheetId="0" hidden="1">'ТР нефть'!$A$26:$ASU$641</definedName>
    <definedName name="Z_C35037C9_952A_48FD_B513_48CC2D78FED4_.wvu.FilterData" localSheetId="0" hidden="1">'ТР нефть'!$A$28:$ASU$641</definedName>
    <definedName name="Z_C373DBFC_CE43_4A7B_8450_E60B8A3066AA_.wvu.FilterData" localSheetId="0" hidden="1">'ТР нефть'!$A$29:$ASS$641</definedName>
    <definedName name="Z_C37682F4_D668_4E25_9663_AB880E22B676_.wvu.FilterData" localSheetId="0" hidden="1">'ТР нефть'!$A$29:$ASS$641</definedName>
    <definedName name="Z_C37C4EC7_5D6C_4797_8DDE_2B0A20B5E94F_.wvu.FilterData" localSheetId="0" hidden="1">'ТР нефть'!$A$29:$ASR$641</definedName>
    <definedName name="Z_C383291B_C77F_4B19_9441_44588232FD5E_.wvu.FilterData" localSheetId="0" hidden="1">'ТР нефть'!$A$29:$MM$641</definedName>
    <definedName name="Z_C3C2D4EF_3475_4B41_B020_C97583F91F84_.wvu.FilterData" localSheetId="0" hidden="1">'ТР нефть'!$A$29:$ASR$641</definedName>
    <definedName name="Z_C3CC1FC5_AEA8_45F6_8343_B4294AE6DFE3_.wvu.FilterData" localSheetId="0" hidden="1">'ТР нефть'!$A$29:$ASR$641</definedName>
    <definedName name="Z_C4057801_D6F4_482B_B0CF_A4D479719EAD_.wvu.FilterData" localSheetId="0" hidden="1">'ТР нефть'!$A$28:$ASU$641</definedName>
    <definedName name="Z_C41A5760_DD4D_4D02_80EF_8123445A41A6_.wvu.FilterData" localSheetId="0" hidden="1">'ТР нефть'!$A$29:$ASR$641</definedName>
    <definedName name="Z_C468BEF6_9A42_4C55_86AD_E7827DE14B67_.wvu.FilterData" localSheetId="1" hidden="1">Протокол!$A$407:$BD$441</definedName>
    <definedName name="Z_C468BEF6_9A42_4C55_86AD_E7827DE14B67_.wvu.FilterData" localSheetId="0" hidden="1">'ТР нефть'!$A$29:$MM$641</definedName>
    <definedName name="Z_C49D5C6E_6BED_495F_A2BD_05EE05DE79C8_.wvu.FilterData" localSheetId="0" hidden="1">'ТР нефть'!$A$29:$ARU$641</definedName>
    <definedName name="Z_C4C32854_C65A_49C1_8C6A_3B8514FE3055_.wvu.FilterData" localSheetId="0" hidden="1">'ТР нефть'!$A$29:$ASR$641</definedName>
    <definedName name="Z_C4CFEF44_1341_4DC6_A9A6_678A1294CE73_.wvu.FilterData" localSheetId="0" hidden="1">'ТР нефть'!$A$29:$ASR$641</definedName>
    <definedName name="Z_C4E4C2EF_B3DB_4A5A_931A_968C4BFEAA48_.wvu.FilterData" localSheetId="1" hidden="1">Протокол!$B$39:$BD$317</definedName>
    <definedName name="Z_C4EF843A_E0AD_42FB_A510_803CBC9D121F_.wvu.FilterData" localSheetId="1" hidden="1">Протокол!$B$39:$BD$317</definedName>
    <definedName name="Z_C4FBF2E6_6EE5_4CB6_8B2B_19B0940BDFCE_.wvu.FilterData" localSheetId="0" hidden="1">'ТР нефть'!$A$29:$ASU$641</definedName>
    <definedName name="Z_C50130FB_B00F_47BA_AC16_45CADAF2ED0E_.wvu.FilterData" localSheetId="1" hidden="1">Протокол!$B$39:$BD$317</definedName>
    <definedName name="Z_C50130FB_B00F_47BA_AC16_45CADAF2ED0E_.wvu.PrintArea" localSheetId="1" hidden="1">Протокол!#REF!</definedName>
    <definedName name="Z_C50F2097_CE8B_482A_808D_65952B33C7B3_.wvu.FilterData" localSheetId="0" hidden="1">'ТР нефть'!$A$29:$ASR$641</definedName>
    <definedName name="Z_C5143485_2572_45F6_9D02_F8D6F36FF76C_.wvu.FilterData" localSheetId="0" hidden="1">'ТР нефть'!$A$26:$ASU$641</definedName>
    <definedName name="Z_C58B0027_D612_40B7_A466_00BF43758864_.wvu.FilterData" localSheetId="0" hidden="1">'ТР нефть'!$A$26:$ASU$641</definedName>
    <definedName name="Z_C59E0CFF_1A59_4F13_A57F_89891CE71FD5_.wvu.FilterData" localSheetId="0" hidden="1">'ТР нефть'!$A$29:$MM$641</definedName>
    <definedName name="Z_C5A1CD2C_37B4_4138_ABCF_0B54C48E256A_.wvu.FilterData" localSheetId="0" hidden="1">'ТР нефть'!$A$29:$ASS$641</definedName>
    <definedName name="Z_C5A25EFB_11A9_484A_AB49_A74BCA983479_.wvu.FilterData" localSheetId="0" hidden="1">'ТР нефть'!$A$28:$ASU$641</definedName>
    <definedName name="Z_C5A569D0_C553_4354_9BA9_0DE6D6A2C0BF_.wvu.FilterData" localSheetId="0" hidden="1">'ТР нефть'!$A$29:$ASS$641</definedName>
    <definedName name="Z_C5B4FF29_79DC_46B1_AF2D_6C96EF496435_.wvu.FilterData" localSheetId="1" hidden="1">Протокол!$B$39:$BD$317</definedName>
    <definedName name="Z_C5F073E6_19C4_4DF1_967F_2E8769C8F235_.wvu.FilterData" localSheetId="0" hidden="1">'ТР нефть'!$A$29:$ASR$641</definedName>
    <definedName name="Z_C61C1993_8D70_4F91_9A42_CC8113FDC0C8_.wvu.FilterData" localSheetId="0" hidden="1">'ТР нефть'!$A$29:$MM$641</definedName>
    <definedName name="Z_C63BF0A0_A4D9_4286_BB2E_CE0E0F32D6E7_.wvu.FilterData" localSheetId="0" hidden="1">'ТР нефть'!#REF!</definedName>
    <definedName name="Z_C691027B_7F8E_40BD_90F9_4ECB7FECE49F_.wvu.FilterData" localSheetId="0" hidden="1">'ТР нефть'!$A$29:$ASU$641</definedName>
    <definedName name="Z_C6D7F8AF_1450_4617_B0D6_6172213D78F1_.wvu.FilterData" localSheetId="0" hidden="1">'ТР нефть'!$A$29:$ASU$641</definedName>
    <definedName name="Z_C6E8EFE8_B5BD_4F8F_BC53_5288254D1237_.wvu.FilterData" localSheetId="0" hidden="1">'ТР нефть'!$A$29:$ASS$641</definedName>
    <definedName name="Z_C6EAE705_9ECE_4D92_BE75_092A0F4A1123_.wvu.FilterData" localSheetId="0" hidden="1">'ТР нефть'!$A$29:$ASR$641</definedName>
    <definedName name="Z_C7145854_2759_43C9_9CE9_D7D121D5FFD8_.wvu.FilterData" localSheetId="0" hidden="1">'ТР нефть'!$A$28:$ASU$641</definedName>
    <definedName name="Z_C75CA007_5FA2_4399_AB97_6D8D3F29BAEE_.wvu.FilterData" localSheetId="0" hidden="1">'ТР нефть'!$A$26:$ASU$641</definedName>
    <definedName name="Z_C76044D9_2AD3_4315_BECA_3274C2F62FE4_.wvu.Cols" localSheetId="0" hidden="1">'ТР нефть'!$A:$A,'ТР нефть'!$F:$F,'ТР нефть'!$P:$AL,'ТР нефть'!$AO:$AT,'ТР нефть'!$AV:$BJ,'ТР нефть'!$BL:$BL,'ТР нефть'!$BO:$BP,'ТР нефть'!$BR:$BU,'ТР нефть'!$BW:$BW,'ТР нефть'!$CD:$CD,'ТР нефть'!$CT:$CT,'ТР нефть'!$CY:$CY,'ТР нефть'!$DG:$DH,'ТР нефть'!$DJ:$ED,'ТР нефть'!$MM:$MN,'ТР нефть'!$MP:$MP,'ТР нефть'!$MS:$NB,'ТР нефть'!$NM:$ASR</definedName>
    <definedName name="Z_C76044D9_2AD3_4315_BECA_3274C2F62FE4_.wvu.FilterData" localSheetId="1" hidden="1">Протокол!$A$182:$BG$311</definedName>
    <definedName name="Z_C76044D9_2AD3_4315_BECA_3274C2F62FE4_.wvu.FilterData" localSheetId="0" hidden="1">'ТР нефть'!$A$28:$ASU$641</definedName>
    <definedName name="Z_C76044D9_2AD3_4315_BECA_3274C2F62FE4_.wvu.PrintArea" localSheetId="1" hidden="1">Протокол!$A$1:$BE$489</definedName>
    <definedName name="Z_C76044D9_2AD3_4315_BECA_3274C2F62FE4_.wvu.PrintArea" localSheetId="0" hidden="1">'ТР нефть'!$B$2:$DX$647</definedName>
    <definedName name="Z_C76044D9_2AD3_4315_BECA_3274C2F62FE4_.wvu.PrintTitles" localSheetId="0" hidden="1">'ТР нефть'!$25:$25</definedName>
    <definedName name="Z_C76044D9_2AD3_4315_BECA_3274C2F62FE4_.wvu.Rows" localSheetId="1" hidden="1">Протокол!$16:$17,Протокол!$58:$84,Протокол!$96:$105,Протокол!$112:$144,Протокол!$156:$165,Протокол!$167:$171,Протокол!$318:$318,Протокол!$337:$397,Протокол!$435:$464</definedName>
    <definedName name="Z_C76044D9_2AD3_4315_BECA_3274C2F62FE4_.wvu.Rows" localSheetId="0" hidden="1">'ТР нефть'!$645:$646</definedName>
    <definedName name="Z_C77E0D5C_77D1_4D32_B578_8D0932BFB12F_.wvu.FilterData" localSheetId="0" hidden="1">'ТР нефть'!$A$29:$ASU$641</definedName>
    <definedName name="Z_C78950F7_0562_42D4_8DD1_1F20AEDC7FCD_.wvu.FilterData" localSheetId="0" hidden="1">'ТР нефть'!$A$28:$ASU$642</definedName>
    <definedName name="Z_C7A49ECF_0AE6_48EC_9D18_75F8033C1CA7_.wvu.FilterData" localSheetId="0" hidden="1">'ТР нефть'!$A$29:$ASR$641</definedName>
    <definedName name="Z_C7E237A0_C21C_4045_A118_B20F9DAB59C9_.wvu.FilterData" localSheetId="0" hidden="1">'ТР нефть'!$A$29:$ASS$641</definedName>
    <definedName name="Z_C82F3E6B_2C19_4241_9377_37F79A2D9F5C_.wvu.FilterData" localSheetId="0" hidden="1">'ТР нефть'!$A$29:$ASR$641</definedName>
    <definedName name="Z_C833EFD7_ED84_4483_BCFE_A006F74F168C_.wvu.FilterData" localSheetId="0" hidden="1">'ТР нефть'!$A$29:$ASR$641</definedName>
    <definedName name="Z_C85E9FA3_52F4_4263_A2CE_72826EC8D218_.wvu.FilterData" localSheetId="1" hidden="1">Протокол!$A$407:$BD$467</definedName>
    <definedName name="Z_C89EB2BA_12A0_474E_9530_ECAC58CECD24_.wvu.FilterData" localSheetId="0" hidden="1">'ТР нефть'!$A$26:$ASU$641</definedName>
    <definedName name="Z_C8D69882_0B56_434A_AF20_D75105CA7CB1_.wvu.FilterData" localSheetId="0" hidden="1">'ТР нефть'!$A$29:$ASU$641</definedName>
    <definedName name="Z_C908A292_8199_40ED_B71A_A19ABA89AA28_.wvu.FilterData" localSheetId="0" hidden="1">'ТР нефть'!$A$29:$MM$641</definedName>
    <definedName name="Z_C9198D9D_23A9_4EA4_A37D_A21004CDFCEF_.wvu.FilterData" localSheetId="0" hidden="1">'ТР нефть'!$A$28:$ASU$641</definedName>
    <definedName name="Z_C92673CB_EB3E_454E_87F0_2A31179C165E_.wvu.FilterData" localSheetId="1" hidden="1">Протокол!$A$316:$BD$326</definedName>
    <definedName name="Z_C92673CB_EB3E_454E_87F0_2A31179C165E_.wvu.FilterData" localSheetId="0" hidden="1">'ТР нефть'!$A$29:$MM$641</definedName>
    <definedName name="Z_C93ADCF0_4460_4C9C_A388_D7C2917012EF_.wvu.FilterData" localSheetId="0" hidden="1">'ТР нефть'!$A$29:$ASS$641</definedName>
    <definedName name="Z_C97B3454_BF06_413C_B6EF_A98854D10B65_.wvu.FilterData" localSheetId="0" hidden="1">'ТР нефть'!$A$29:$ASR$641</definedName>
    <definedName name="Z_CA1041EE_DC86_409E_9960_A935525F021E_.wvu.FilterData" localSheetId="0" hidden="1">'ТР нефть'!$A$29:$ASR$641</definedName>
    <definedName name="Z_CAA16C23_7209_40A4_BCD6_E2E5FFB4ACA7_.wvu.FilterData" localSheetId="0" hidden="1">'ТР нефть'!$A$29:$ASR$641</definedName>
    <definedName name="Z_CAB69BCD_475C_4D5A_A23B_19DFD3BDEEC2_.wvu.FilterData" localSheetId="0" hidden="1">'ТР нефть'!$A$29:$ASU$641</definedName>
    <definedName name="Z_CAC318DF_73CB_474A_AE7E_678A309535CD_.wvu.FilterData" localSheetId="1" hidden="1">Протокол!$B$39:$BD$317</definedName>
    <definedName name="Z_CACF2CB9_3588_4218_AF45_3CEA7C49C474_.wvu.FilterData" localSheetId="0" hidden="1">'ТР нефть'!$A$29:$ASR$641</definedName>
    <definedName name="Z_CB5F074C_39CD_48F0_9631_4B472F9655BD_.wvu.FilterData" localSheetId="0" hidden="1">'ТР нефть'!$A$28:$ASU$641</definedName>
    <definedName name="Z_CB5F5BDD_0338_4CBA_B3CA_1328C9273328_.wvu.FilterData" localSheetId="0" hidden="1">'ТР нефть'!$A$29:$ASS$641</definedName>
    <definedName name="Z_CB9E2D72_62CD_4388_924B_CCD7BA235471_.wvu.FilterData" localSheetId="0" hidden="1">'ТР нефть'!$A$29:$ASS$641</definedName>
    <definedName name="Z_CBE53927_E2CA_4165_A62D_FF1ED48CE211_.wvu.FilterData" localSheetId="0" hidden="1">'ТР нефть'!$A$29:$ASR$641</definedName>
    <definedName name="Z_CBE900E9_AD1B_499F_990A_B342E4D3B87F_.wvu.FilterData" localSheetId="0" hidden="1">'ТР нефть'!$A$29:$ARU$641</definedName>
    <definedName name="Z_CBF0DEB2_3A43_46F6_A8A4_ACE468480785_.wvu.FilterData" localSheetId="0" hidden="1">'ТР нефть'!$A$29:$ASS$641</definedName>
    <definedName name="Z_CC3946F9_3FBA_491B_AE9C_C80C4ED40E1E_.wvu.FilterData" localSheetId="0" hidden="1">'ТР нефть'!$A$28:$ASU$639</definedName>
    <definedName name="Z_CC5F7F0A_973D_418C_AF48_7FCE7108A087_.wvu.FilterData" localSheetId="0" hidden="1">'ТР нефть'!$A$29:$ASS$641</definedName>
    <definedName name="Z_CC6B5E19_B771_4DF1_9CEB_F4C925BA5E8A_.wvu.FilterData" localSheetId="0" hidden="1">'ТР нефть'!$A$29:$MM$641</definedName>
    <definedName name="Z_CCCE5C12_2C40_41AB_8C65_3BA22E29B7A7_.wvu.FilterData" localSheetId="0" hidden="1">'ТР нефть'!$A$29:$ASR$641</definedName>
    <definedName name="Z_CCE50FAA_D4BA_489C_BCFD_756B340ECBF3_.wvu.Cols" localSheetId="1" hidden="1">Протокол!#REF!</definedName>
    <definedName name="Z_CCE50FAA_D4BA_489C_BCFD_756B340ECBF3_.wvu.Cols" localSheetId="0" hidden="1">'ТР нефть'!$A:$A,'ТР нефть'!$C:$H,'ТР нефть'!$K:$AT,'ТР нефть'!$AV:$BW,'ТР нефть'!$CD:$CD,'ТР нефть'!$CJ:$CJ,'ТР нефть'!$CX:$ED,'ТР нефть'!$MQ:$MR,'ТР нефть'!$MT:$MT,'ТР нефть'!$MW:$NF</definedName>
    <definedName name="Z_CCE50FAA_D4BA_489C_BCFD_756B340ECBF3_.wvu.FilterData" localSheetId="0" hidden="1">'ТР нефть'!$A$29:$ASR$641</definedName>
    <definedName name="Z_CCE50FAA_D4BA_489C_BCFD_756B340ECBF3_.wvu.PrintArea" localSheetId="1" hidden="1">Протокол!$A$16:$BC$465</definedName>
    <definedName name="Z_CCE50FAA_D4BA_489C_BCFD_756B340ECBF3_.wvu.PrintArea" localSheetId="0" hidden="1">'ТР нефть'!$B$20:$GC$646</definedName>
    <definedName name="Z_CCE50FAA_D4BA_489C_BCFD_756B340ECBF3_.wvu.PrintTitles" localSheetId="0" hidden="1">'ТР нефть'!$25:$25</definedName>
    <definedName name="Z_CCE50FAA_D4BA_489C_BCFD_756B340ECBF3_.wvu.Rows" localSheetId="1" hidden="1">Протокол!#REF!,Протокол!$29:$29,Протокол!$33:$33,Протокол!#REF!,Протокол!#REF!,Протокол!#REF!,Протокол!#REF!,Протокол!#REF!,Протокол!#REF!,Протокол!#REF!,Протокол!$257:$311,Протокол!#REF!,Протокол!#REF!,Протокол!#REF!</definedName>
    <definedName name="Z_CCE50FAA_D4BA_489C_BCFD_756B340ECBF3_.wvu.Rows" localSheetId="0" hidden="1">'ТР нефть'!$20:$24</definedName>
    <definedName name="Z_CCEA36EB_73FE_4AC9_BA86_D50AFA50F45E_.wvu.FilterData" localSheetId="0" hidden="1">'ТР нефть'!$A$29:$ASS$641</definedName>
    <definedName name="Z_CD01DEC8_E381_4BE3_B347_F80A9552FA3F_.wvu.FilterData" localSheetId="0" hidden="1">'ТР нефть'!$A$29:$ASS$641</definedName>
    <definedName name="Z_CD512965_5D99_4FBE_8F82_16AD59B21C5C_.wvu.FilterData" localSheetId="0" hidden="1">'ТР нефть'!$A$29:$ASS$641</definedName>
    <definedName name="Z_CD65D1B8_CDA2_4CAF_AA2A_AFEE3CE5518F_.wvu.FilterData" localSheetId="0" hidden="1">'ТР нефть'!$A$29:$MM$641</definedName>
    <definedName name="Z_CD66638F_4BFF_4FA4_B38F_F2DF4824F846_.wvu.FilterData" localSheetId="0" hidden="1">'ТР нефть'!$A$29:$MM$641</definedName>
    <definedName name="Z_CDA2E9DF_023A_45F9_8B10_18D0D2093B79_.wvu.FilterData" localSheetId="0" hidden="1">'ТР нефть'!$A$29:$ASU$641</definedName>
    <definedName name="Z_CDDABB7C_5989_49DC_AD9A_20C2A3D6C075_.wvu.FilterData" localSheetId="0" hidden="1">'ТР нефть'!$A$29:$ASR$641</definedName>
    <definedName name="Z_CDE73486_D304_4482_A13A_BEC781AD4386_.wvu.FilterData" localSheetId="0" hidden="1">'ТР нефть'!$A$29:$ASR$641</definedName>
    <definedName name="Z_CDF438C7_3392_4148_8C38_3971910085EE_.wvu.FilterData" localSheetId="0" hidden="1">'ТР нефть'!$A$29:$MM$604</definedName>
    <definedName name="Z_CE052EA6_7032_4175_BBA1_5AB2174D4EC4_.wvu.FilterData" localSheetId="0" hidden="1">'ТР нефть'!$A$28:$ASU$641</definedName>
    <definedName name="Z_CE1FCC2A_75B3_4815_9E56_AD1B92776C04_.wvu.FilterData" localSheetId="0" hidden="1">'ТР нефть'!$A$29:$MM$604</definedName>
    <definedName name="Z_CE2B6BAB_46BE_4005_8E8B_E6BDBDAB3D39_.wvu.FilterData" localSheetId="0" hidden="1">'ТР нефть'!$A$26:$ASU$641</definedName>
    <definedName name="Z_CE379666_878C_42AB_BAE9_3A466CB016ED_.wvu.FilterData" localSheetId="0" hidden="1">'ТР нефть'!$A$29:$MM$604</definedName>
    <definedName name="Z_CE44C2EC_1B01_44B2_9A98_6F0A3467D614_.wvu.FilterData" localSheetId="1" hidden="1">Протокол!$A$407:$BD$467</definedName>
    <definedName name="Z_CE44C2EC_1B01_44B2_9A98_6F0A3467D614_.wvu.FilterData" localSheetId="0" hidden="1">'ТР нефть'!$A$29:$ASS$641</definedName>
    <definedName name="Z_CE4B3E64_1AAF_4EEF_A353_6DAEA315775C_.wvu.FilterData" localSheetId="0" hidden="1">'ТР нефть'!$A$29:$MM$641</definedName>
    <definedName name="Z_CE6F8181_BBC4_42C7_B79C_3D4E2355723E_.wvu.FilterData" localSheetId="0" hidden="1">'ТР нефть'!$A$29:$ASS$641</definedName>
    <definedName name="Z_CE7C98EA_9953_46B3_B485_E4E7DC636893_.wvu.FilterData" localSheetId="0" hidden="1">'ТР нефть'!$A$29:$ASS$641</definedName>
    <definedName name="Z_CEA9DAAE_0F6E_49AC_9581_01573AF6589F_.wvu.FilterData" localSheetId="0" hidden="1">'ТР нефть'!$A$29:$ASR$641</definedName>
    <definedName name="Z_CEC66DC2_9CD7_4FD0_86A1_08113F64BC73_.wvu.FilterData" localSheetId="0" hidden="1">'ТР нефть'!$A$26:$ASU$641</definedName>
    <definedName name="Z_CEDDCA66_37F7_4621_8A44_4AB5B97AF087_.wvu.FilterData" localSheetId="0" hidden="1">'ТР нефть'!$A$29:$ASR$641</definedName>
    <definedName name="Z_CEE9418E_4CE8_4CB7_9325_0F132F2B7123_.wvu.FilterData" localSheetId="1" hidden="1">Протокол!$A$316:$BD$326</definedName>
    <definedName name="Z_CF06CCCE_1C3A_4ACC_AC4A_D62D4C530564_.wvu.Cols" localSheetId="0" hidden="1">'ТР нефть'!$F:$F,'ТР нефть'!$AO:$AT,'ТР нефть'!$AV:$BJ,'ТР нефть'!$BL:$BL,'ТР нефть'!$BO:$BP,'ТР нефть'!$BR:$BU,'ТР нефть'!$BW:$BW,'ТР нефть'!$CD:$CD,'ТР нефть'!$CI:$CK,'ТР нефть'!$CT:$CT,'ТР нефть'!$CY:$CY,'ТР нефть'!$DG:$DH,'ТР нефть'!$DJ:$ED,'ТР нефть'!$MM:$MN,'ТР нефть'!$MP:$MP,'ТР нефть'!$MS:$NB,'ТР нефть'!$NM:$ASR</definedName>
    <definedName name="Z_CF06CCCE_1C3A_4ACC_AC4A_D62D4C530564_.wvu.FilterData" localSheetId="1" hidden="1">Протокол!$A$182:$BG$311</definedName>
    <definedName name="Z_CF06CCCE_1C3A_4ACC_AC4A_D62D4C530564_.wvu.FilterData" localSheetId="0" hidden="1">'ТР нефть'!$A$28:$ASU$641</definedName>
    <definedName name="Z_CF06CCCE_1C3A_4ACC_AC4A_D62D4C530564_.wvu.PrintArea" localSheetId="1" hidden="1">Протокол!$A$1:$BE$489</definedName>
    <definedName name="Z_CF06CCCE_1C3A_4ACC_AC4A_D62D4C530564_.wvu.PrintArea" localSheetId="0" hidden="1">'ТР нефть'!$B$2:$DX$650</definedName>
    <definedName name="Z_CF06CCCE_1C3A_4ACC_AC4A_D62D4C530564_.wvu.PrintTitles" localSheetId="0" hidden="1">'ТР нефть'!$25:$25</definedName>
    <definedName name="Z_CF06CCCE_1C3A_4ACC_AC4A_D62D4C530564_.wvu.Rows" localSheetId="1" hidden="1">Протокол!$16:$17,Протокол!$58:$84,Протокол!$93:$105,Протокол!$112:$144,Протокол!$156:$165,Протокол!$167:$171,Протокол!$208:$311,Протокол!$318:$318,Протокол!$398:$398,Протокол!$423:$464,Протокол!$468:$468,Протокол!$472:$489</definedName>
    <definedName name="Z_CF06CCCE_1C3A_4ACC_AC4A_D62D4C530564_.wvu.Rows" localSheetId="0" hidden="1">'ТР нефть'!$27:$27,'ТР нефть'!$645:$646</definedName>
    <definedName name="Z_CF0909A4_99E3_4125_9ACD_B7FC2581FF35_.wvu.FilterData" localSheetId="0" hidden="1">'ТР нефть'!$A$29:$ASR$641</definedName>
    <definedName name="Z_CF16B544_DCFA_42FD_BF45_E190A72EDEAA_.wvu.FilterData" localSheetId="0" hidden="1">'ТР нефть'!$A$29:$MM$641</definedName>
    <definedName name="Z_CF4FB8E4_F527_40AF_8652_02D954201D41_.wvu.FilterData" localSheetId="0" hidden="1">'ТР нефть'!$A$26:$ASU$641</definedName>
    <definedName name="Z_CF5BA6FE_CF6B_4D65_9837_7387DFB25646_.wvu.FilterData" localSheetId="0" hidden="1">'ТР нефть'!$A$29:$MM$641</definedName>
    <definedName name="Z_CF63651A_A2CC_44F6_8C5F_A4FBF5FDDCC5_.wvu.FilterData" localSheetId="0" hidden="1">'ТР нефть'!$A$29:$ASS$641</definedName>
    <definedName name="Z_CF6F3B59_D4C9_4BB4_8613_31FCDAF8F548_.wvu.FilterData" localSheetId="0" hidden="1">'ТР нефть'!$A$29:$ASR$641</definedName>
    <definedName name="Z_CF860943_D450_46A3_8164_999EE36014F9_.wvu.FilterData" localSheetId="0" hidden="1">'ТР нефть'!$A$28:$ASU$639</definedName>
    <definedName name="Z_CF889AD9_5DEA_416C_8BA7_73783C638D77_.wvu.FilterData" localSheetId="0" hidden="1">'ТР нефть'!$A$29:$ASR$641</definedName>
    <definedName name="Z_CF9A17AE_08CE_4769_A1FF_5A46AFB311B6_.wvu.FilterData" localSheetId="0" hidden="1">'ТР нефть'!$A$29:$ASS$641</definedName>
    <definedName name="Z_D00C0E3E_783F_450B_BF96_3E921CE1B173_.wvu.FilterData" localSheetId="0" hidden="1">'ТР нефть'!$A$29:$ASS$641</definedName>
    <definedName name="Z_D00FAF5A_022D_45B5_8328_1D4D1E8C58B2_.wvu.FilterData" localSheetId="1" hidden="1">Протокол!$A$318:$BD$326</definedName>
    <definedName name="Z_D031A8B0_052A_43AC_9A7C_4581AA926693_.wvu.FilterData" localSheetId="0" hidden="1">'ТР нефть'!#REF!</definedName>
    <definedName name="Z_D05BF45E_27AD_401F_BC10_15730F8A0DD5_.wvu.FilterData" localSheetId="0" hidden="1">'ТР нефть'!$A$29:$ASR$641</definedName>
    <definedName name="Z_D05BF6E8_9DEE_44EF_84A9_6FF493F84100_.wvu.FilterData" localSheetId="0" hidden="1">'ТР нефть'!$A$29:$MM$641</definedName>
    <definedName name="Z_D07FDCAB_F276_4103_AE24_F47BF1482A89_.wvu.FilterData" localSheetId="0" hidden="1">'ТР нефть'!$A$29:$ASS$641</definedName>
    <definedName name="Z_D0CFD864_6945_459D_853E_0979611D6101_.wvu.FilterData" localSheetId="0" hidden="1">'ТР нефть'!$A$29:$ASS$641</definedName>
    <definedName name="Z_D12B0267_9110_4451_83C3_D98F334D0A1C_.wvu.FilterData" localSheetId="0" hidden="1">'ТР нефть'!$A$29:$ASS$641</definedName>
    <definedName name="Z_D1422608_A07B_433F_B230_1D9207B4BE85_.wvu.FilterData" localSheetId="0" hidden="1">'ТР нефть'!$A$29:$ASR$641</definedName>
    <definedName name="Z_D18058B5_208A_43DB_87F9_714A3149CC28_.wvu.FilterData" localSheetId="0" hidden="1">'ТР нефть'!$A$29:$ASR$641</definedName>
    <definedName name="Z_D273BFC7_D94E_4499_B2B2_0EDF7947E90E_.wvu.FilterData" localSheetId="0" hidden="1">'ТР нефть'!$A$29:$ASS$641</definedName>
    <definedName name="Z_D29C7F06_5ABE_4E1D_96E8_14065B26A1EE_.wvu.FilterData" localSheetId="0" hidden="1">'ТР нефть'!$A$26:$ASU$641</definedName>
    <definedName name="Z_D2F559A2_3380_4107_B056_A3DD61FE705C_.wvu.FilterData" localSheetId="0" hidden="1">'ТР нефть'!$A$29:$ASR$641</definedName>
    <definedName name="Z_D2FF90F2_E298_4F29_A3C0_034DB972AD9C_.wvu.FilterData" localSheetId="0" hidden="1">'ТР нефть'!$A$28:$ASU$641</definedName>
    <definedName name="Z_D33556A5_AFCC_4091_860E_D6E4CB81269A_.wvu.FilterData" localSheetId="0" hidden="1">'ТР нефть'!$A$26:$ASU$641</definedName>
    <definedName name="Z_D35611DC_4289_4FB5_A8F5_714349A034B6_.wvu.FilterData" localSheetId="0" hidden="1">'ТР нефть'!$A$29:$ASS$641</definedName>
    <definedName name="Z_D37C4B1F_A306_4F18_8372_35B803ABA3C2_.wvu.FilterData" localSheetId="0" hidden="1">'ТР нефть'!$A$29:$MM$641</definedName>
    <definedName name="Z_D3973EF1_963D_48D3_A449_991F5FDFEDFA_.wvu.FilterData" localSheetId="0" hidden="1">'ТР нефть'!$A$29:$ASS$641</definedName>
    <definedName name="Z_D39C2DF5_B0AD_4EF2_A839_29F832E3D2AB_.wvu.FilterData" localSheetId="0" hidden="1">'ТР нефть'!$A$29:$ASS$641</definedName>
    <definedName name="Z_D40B17E2_C2F8_41E6_B3D2_9ED25FDAC70F_.wvu.FilterData" localSheetId="0" hidden="1">'ТР нефть'!$A$29:$MM$641</definedName>
    <definedName name="Z_D4374610_E696_4FE9_97B3_6D500A944E71_.wvu.FilterData" localSheetId="0" hidden="1">'ТР нефть'!$A$29:$MM$641</definedName>
    <definedName name="Z_D43E1F93_33D5_4AC2_B861_6F1DA579B91C_.wvu.FilterData" localSheetId="0" hidden="1">'ТР нефть'!$A$29:$MM$604</definedName>
    <definedName name="Z_D45A6CF3_98D2_41D9_8A7B_A9552CCA56A9_.wvu.FilterData" localSheetId="0" hidden="1">'ТР нефть'!$A$29:$ARU$641</definedName>
    <definedName name="Z_D4636206_51C1_407D_8F78_BBDCD452A43C_.wvu.FilterData" localSheetId="0" hidden="1">'ТР нефть'!$A$29:$MM$641</definedName>
    <definedName name="Z_D4981D25_B8F5_42C0_B4D5_E372DC8955A4_.wvu.FilterData" localSheetId="0" hidden="1">'ТР нефть'!$A$28:$ASU$641</definedName>
    <definedName name="Z_D4B61A22_FDCF_4FDB_8241_3F29F051C324_.wvu.FilterData" localSheetId="0" hidden="1">'ТР нефть'!$A$29:$ASS$641</definedName>
    <definedName name="Z_D4BBB2D3_9C10_405D_8C1F_EDE49E1BE348_.wvu.FilterData" localSheetId="0" hidden="1">'ТР нефть'!$A$29:$ASS$641</definedName>
    <definedName name="Z_D4C698F5_0E35_4852_986E_801D83713CB1_.wvu.FilterData" localSheetId="0" hidden="1">'ТР нефть'!$A$29:$MM$641</definedName>
    <definedName name="Z_D4DE4E87_3E3F_4098_939B_1F8E1F467C03_.wvu.FilterData" localSheetId="0" hidden="1">'ТР нефть'!$A$28:$ASU$641</definedName>
    <definedName name="Z_D50E8060_1620_414A_A601_3D87F0DDBDF8_.wvu.FilterData" localSheetId="0" hidden="1">'ТР нефть'!$A$29:$ARU$641</definedName>
    <definedName name="Z_D511CA82_F425_4F71_8EC4_1304A120E059_.wvu.FilterData" localSheetId="0" hidden="1">'ТР нефть'!$A$29:$MM$641</definedName>
    <definedName name="Z_D52C8848_4DDA_4F1E_A68C_5603E64E613B_.wvu.FilterData" localSheetId="0" hidden="1">'ТР нефть'!$A$29:$ASS$641</definedName>
    <definedName name="Z_D5319206_6EFF_45AF_B5CD_59D7A6AC909B_.wvu.FilterData" localSheetId="0" hidden="1">'ТР нефть'!$A$29:$ARU$641</definedName>
    <definedName name="Z_D562C1EF_EA11_442B_BBC5_916420FB3597_.wvu.FilterData" localSheetId="0" hidden="1">'ТР нефть'!$A$29:$MM$641</definedName>
    <definedName name="Z_D5724647_F4CD_4DD8_9AEE_6177C12A9C71_.wvu.FilterData" localSheetId="0" hidden="1">'ТР нефть'!$A$29:$ASR$641</definedName>
    <definedName name="Z_D578106B_0AC6_4BF0_AB92_A689B5BB3C98_.wvu.FilterData" localSheetId="0" hidden="1">'ТР нефть'!$A$26:$ASU$641</definedName>
    <definedName name="Z_D606E046_0A7E_439B_9E9B_2ED60FE76BCA_.wvu.FilterData" localSheetId="0" hidden="1">'ТР нефть'!$A$29:$ASR$641</definedName>
    <definedName name="Z_D67CFC5A_648D_4DF9_9C62_37E4722A354A_.wvu.FilterData" localSheetId="0" hidden="1">'ТР нефть'!$A$29:$ASS$641</definedName>
    <definedName name="Z_D683B9F8_C43F_406D_803F_71C7C5022FD6_.wvu.FilterData" localSheetId="0" hidden="1">'ТР нефть'!$A$29:$ASS$641</definedName>
    <definedName name="Z_D69884C2_A34A_4A02_8834_790D8A8A7125_.wvu.FilterData" localSheetId="0" hidden="1">'ТР нефть'!$A$29:$ASR$641</definedName>
    <definedName name="Z_D698E620_290C_4196_80C9_FE45FDE4E3D6_.wvu.FilterData" localSheetId="0" hidden="1">'ТР нефть'!$A$29:$ASR$641</definedName>
    <definedName name="Z_D6995677_8F98_44CA_BFBA_70DB583341E0_.wvu.FilterData" localSheetId="0" hidden="1">'ТР нефть'!$A$29:$ASS$641</definedName>
    <definedName name="Z_D69C83C0_5E02_41FC_805E_B0919DA16A9F_.wvu.FilterData" localSheetId="0" hidden="1">'ТР нефть'!$A$28:$ASU$641</definedName>
    <definedName name="Z_D6B5CB6C_045C_4EF1_8C6C_D0303DEBD304_.wvu.FilterData" localSheetId="0" hidden="1">'ТР нефть'!$A$26:$ASU$641</definedName>
    <definedName name="Z_D6D0DA6D_CC78_4C8A_9F91_1D92F0B62FA6_.wvu.FilterData" localSheetId="0" hidden="1">'ТР нефть'!$A$29:$ASR$641</definedName>
    <definedName name="Z_D6D4C020_7B5E_4FF9_89AD_4D64456F9422_.wvu.FilterData" localSheetId="0" hidden="1">'ТР нефть'!$A$29:$ASR$641</definedName>
    <definedName name="Z_D6F59125_00E6_4930_81F3_BB6F18BD4370_.wvu.FilterData" localSheetId="0" hidden="1">'ТР нефть'!$A$28:$ASU$641</definedName>
    <definedName name="Z_D73624AA_3F2C_41E5_992D_0F3DB6163594_.wvu.FilterData" localSheetId="0" hidden="1">'ТР нефть'!$A$29:$ASS$641</definedName>
    <definedName name="Z_D797B468_4B7C_4066_B5A2_8C27021FC335_.wvu.FilterData" localSheetId="0" hidden="1">'ТР нефть'!$A$28:$ASU$642</definedName>
    <definedName name="Z_D7A15C01_A1C1_4AAE_ABC8_B68B97AB7A7B_.wvu.FilterData" localSheetId="0" hidden="1">'ТР нефть'!$A$29:$ASS$641</definedName>
    <definedName name="Z_D7D3416C_89C5_4403_BAF0_5F55C77794D8_.wvu.FilterData" localSheetId="0" hidden="1">'ТР нефть'!$A$29:$ASS$641</definedName>
    <definedName name="Z_D7DBEF19_A009_4725_BCC9_40633D4C3FD9_.wvu.FilterData" localSheetId="0" hidden="1">'ТР нефть'!$A$26:$ASU$641</definedName>
    <definedName name="Z_D7F56EF2_5B5E_4401_BBE4_3CC7280CA3C1_.wvu.FilterData" localSheetId="0" hidden="1">'ТР нефть'!$A$29:$ASS$641</definedName>
    <definedName name="Z_D7FAEEAA_813B_46BC_8840_03947F6B512D_.wvu.FilterData" localSheetId="0" hidden="1">'ТР нефть'!$A$26:$ASU$641</definedName>
    <definedName name="Z_D7FC607D_8C7B_4BEA_82D6_B89932644F85_.wvu.FilterData" localSheetId="0" hidden="1">'ТР нефть'!$A$29:$ASS$641</definedName>
    <definedName name="Z_D8457BAD_8A8D_49E7_8F9C_4CC6417122A6_.wvu.FilterData" localSheetId="0" hidden="1">'ТР нефть'!$A$29:$ARU$641</definedName>
    <definedName name="Z_D84D6DCD_B91E_4B7F_A5D7_336C62ADBFB2_.wvu.FilterData" localSheetId="0" hidden="1">'ТР нефть'!$A$29:$ASR$641</definedName>
    <definedName name="Z_D88292F4_3728_4880_99E6_E9EE4708B3A2_.wvu.FilterData" localSheetId="0" hidden="1">'ТР нефть'!$A$29:$MM$641</definedName>
    <definedName name="Z_D88D4571_CCDF_4188_91A2_63506D07B8C5_.wvu.FilterData" localSheetId="0" hidden="1">'ТР нефть'!$A$26:$ASU$641</definedName>
    <definedName name="Z_D8A2803A_19AB_425A_96BB_299E7DAF8D9E_.wvu.Cols" localSheetId="0" hidden="1">'ТР нефть'!$P:$AL,'ТР нефть'!$AO:$AT,'ТР нефть'!$AV:$BJ,'ТР нефть'!$BL:$BL,'ТР нефть'!$BO:$BP,'ТР нефть'!$BR:$BU,'ТР нефть'!$BW:$BW,'ТР нефть'!$CI:$CK,'ТР нефть'!$CT:$CT,'ТР нефть'!$CY:$CY,'ТР нефть'!$DG:$DH,'ТР нефть'!$DJ:$ED,'ТР нефть'!$MQ:$MR,'ТР нефть'!$MT:$MT,'ТР нефть'!$MW:$NL</definedName>
    <definedName name="Z_D8A2803A_19AB_425A_96BB_299E7DAF8D9E_.wvu.FilterData" localSheetId="1" hidden="1">Протокол!$A$182:$BG$311</definedName>
    <definedName name="Z_D8A2803A_19AB_425A_96BB_299E7DAF8D9E_.wvu.FilterData" localSheetId="0" hidden="1">'ТР нефть'!$A$28:$ASU$641</definedName>
    <definedName name="Z_D8A2803A_19AB_425A_96BB_299E7DAF8D9E_.wvu.PrintArea" localSheetId="1" hidden="1">Протокол!$A$1:$BE$489</definedName>
    <definedName name="Z_D8A2803A_19AB_425A_96BB_299E7DAF8D9E_.wvu.PrintArea" localSheetId="0" hidden="1">'ТР нефть'!$B$1:$EA$650</definedName>
    <definedName name="Z_D8A2803A_19AB_425A_96BB_299E7DAF8D9E_.wvu.PrintTitles" localSheetId="0" hidden="1">'ТР нефть'!$25:$25</definedName>
    <definedName name="Z_D8A2803A_19AB_425A_96BB_299E7DAF8D9E_.wvu.Rows" localSheetId="1" hidden="1">Протокол!$16:$17,Протокол!$58:$84,Протокол!$96:$105,Протокол!$112:$144,Протокол!$156:$165,Протокол!$167:$171,Протокол!$318:$318,Протокол!$337:$397,Протокол!$435:$464</definedName>
    <definedName name="Z_D8A2803A_19AB_425A_96BB_299E7DAF8D9E_.wvu.Rows" localSheetId="0" hidden="1">'ТР нефть'!$645:$646</definedName>
    <definedName name="Z_D8D44F71_1C10_44AD_A704_F9E8D4285D3D_.wvu.FilterData" localSheetId="0" hidden="1">'ТР нефть'!$A$29:$ASS$641</definedName>
    <definedName name="Z_D973BAC6_FEDB_44C7_AEA6_99D2B43875B4_.wvu.FilterData" localSheetId="0" hidden="1">'ТР нефть'!$A$29:$ASR$641</definedName>
    <definedName name="Z_D9DD69AC_969D_4C0F_9B10_713D688A9162_.wvu.FilterData" localSheetId="0" hidden="1">'ТР нефть'!#REF!</definedName>
    <definedName name="Z_D9E8B204_867E_4A9C_B1DB_9FF893A60D7B_.wvu.FilterData" localSheetId="0" hidden="1">'ТР нефть'!$A$29:$ASS$641</definedName>
    <definedName name="Z_DA24FEB0_6C68_4C88_868F_4E1E911EC598_.wvu.FilterData" localSheetId="0" hidden="1">'ТР нефть'!$A$29:$ASS$641</definedName>
    <definedName name="Z_DA411A08_CC25_4E92_BD70_D72F28CC6A6F_.wvu.FilterData" localSheetId="0" hidden="1">'ТР нефть'!$A$29:$ASR$641</definedName>
    <definedName name="Z_DA54E45F_8905_437B_AEAD_E47FF30788B8_.wvu.FilterData" localSheetId="0" hidden="1">'ТР нефть'!$A$29:$ASR$641</definedName>
    <definedName name="Z_DA57FE5E_C99A_4596_91EA_31F92F63ED75_.wvu.FilterData" localSheetId="0" hidden="1">'ТР нефть'!$A$29:$MM$641</definedName>
    <definedName name="Z_DA703E74_60E8_459A_89D1_217820CD0D3F_.wvu.FilterData" localSheetId="0" hidden="1">'ТР нефть'!$A$29:$ASS$641</definedName>
    <definedName name="Z_DA83C1AB_89E0_4D1F_AB15_DFD330DDDA9F_.wvu.FilterData" localSheetId="0" hidden="1">'ТР нефть'!$A$29:$MM$641</definedName>
    <definedName name="Z_DA8817DE_9638_423C_8A10_BC68F462019F_.wvu.FilterData" localSheetId="0" hidden="1">'ТР нефть'!$A$29:$ASS$641</definedName>
    <definedName name="Z_DA8964ED_2724_4BE1_9759_79B773D13959_.wvu.FilterData" localSheetId="0" hidden="1">'ТР нефть'!$A$29:$ASS$641</definedName>
    <definedName name="Z_DAA9B9B2_D860_43E0_9C62_343429FF7CD7_.wvu.FilterData" localSheetId="0" hidden="1">'ТР нефть'!$A$29:$ASR$641</definedName>
    <definedName name="Z_DABADC4D_F1E2_4E69_B630_DFE46F480D3C_.wvu.FilterData" localSheetId="0" hidden="1">'ТР нефть'!$A$29:$ASS$641</definedName>
    <definedName name="Z_DAC05CBA_ADFC_42EF_B94D_D36AB5E3C2A7_.wvu.FilterData" localSheetId="0" hidden="1">'ТР нефть'!$A$29:$MM$604</definedName>
    <definedName name="Z_DAD95DE0_7A94_4726_AC70_43EA5496E6CC_.wvu.FilterData" localSheetId="0" hidden="1">'ТР нефть'!$A$29:$ASS$641</definedName>
    <definedName name="Z_DB01B35D_1989_4864_9C7F_23F710234A3F_.wvu.FilterData" localSheetId="0" hidden="1">'ТР нефть'!$A$26:$ASU$641</definedName>
    <definedName name="Z_DB0FA432_A1EA_4E91_AB5E_DF184CA092EE_.wvu.FilterData" localSheetId="0" hidden="1">'ТР нефть'!$A$29:$MM$604</definedName>
    <definedName name="Z_DB284E79_4D3B_411A_9369_9686F116A319_.wvu.FilterData" localSheetId="0" hidden="1">'ТР нефть'!$A$29:$ASR$641</definedName>
    <definedName name="Z_DBD86601_502C_4175_A775_C62989CFAA8B_.wvu.FilterData" localSheetId="1" hidden="1">Протокол!$B$39:$BD$317</definedName>
    <definedName name="Z_DBE6D6EA_0958_4C4A_96F8_EDD920009326_.wvu.FilterData" localSheetId="0" hidden="1">'ТР нефть'!$A$29:$MM$641</definedName>
    <definedName name="Z_DBEACE75_576E_4E99_AA13_FCA93D240ECB_.wvu.FilterData" localSheetId="0" hidden="1">'ТР нефть'!$A$29:$ASS$641</definedName>
    <definedName name="Z_DC2C3832_F246_4B96_BDBB_646079D5F38A_.wvu.FilterData" localSheetId="0" hidden="1">'ТР нефть'!$A$29:$ASS$641</definedName>
    <definedName name="Z_DC2F7AEB_EC85_408E_9614_DD0582B83168_.wvu.FilterData" localSheetId="0" hidden="1">'ТР нефть'!$A$29:$ASR$641</definedName>
    <definedName name="Z_DC313C47_A45D_48C4_92D1_F4B3CBEA3583_.wvu.FilterData" localSheetId="0" hidden="1">'ТР нефть'!$A$29:$ASS$641</definedName>
    <definedName name="Z_DC91EDE5_299B_45D8_B8CE_3AEA57B3B664_.wvu.FilterData" localSheetId="0" hidden="1">'ТР нефть'!$A$28:$ASU$641</definedName>
    <definedName name="Z_DCBC3E5E_534C_4717_98FA_572C57E9A6D5_.wvu.FilterData" localSheetId="0" hidden="1">'ТР нефть'!$A$29:$ASR$641</definedName>
    <definedName name="Z_DD1D7220_CF9F_4987_9B8E_D945338B6CD6_.wvu.FilterData" localSheetId="0" hidden="1">'ТР нефть'!$A$29:$ASR$641</definedName>
    <definedName name="Z_DD499C46_C325_42FD_B577_8CFED7490405_.wvu.FilterData" localSheetId="0" hidden="1">'ТР нефть'!$A$28:$ASU$641</definedName>
    <definedName name="Z_DD58A56E_9AD3_4DFA_8265_33B1500C02EA_.wvu.FilterData" localSheetId="0" hidden="1">'ТР нефть'!$A$29:$MM$641</definedName>
    <definedName name="Z_DD6E125F_89A2_49CE_B59B_C330D14EE76E_.wvu.FilterData" localSheetId="0" hidden="1">'ТР нефть'!#REF!</definedName>
    <definedName name="Z_DD727636_1896_4F83_83D7_D8D07D0309CD_.wvu.FilterData" localSheetId="0" hidden="1">'ТР нефть'!$A$28:$ASU$641</definedName>
    <definedName name="Z_DDE74A7C_16E4_43CC_B727_9DE4F98BF998_.wvu.FilterData" localSheetId="0" hidden="1">'ТР нефть'!$A$26:$ASU$641</definedName>
    <definedName name="Z_DDF61026_3D54_4166_9CE3_BC3B37599A9C_.wvu.FilterData" localSheetId="0" hidden="1">'ТР нефть'!$A$29:$ASS$641</definedName>
    <definedName name="Z_DE107157_CA0C_470B_8256_C7BB99657D8A_.wvu.FilterData" localSheetId="0" hidden="1">'ТР нефть'!$A$29:$ARU$641</definedName>
    <definedName name="Z_DE25F056_61FE_4F0D_A8C1_EB770BA2F701_.wvu.FilterData" localSheetId="0" hidden="1">'ТР нефть'!$A$28:$ASU$641</definedName>
    <definedName name="Z_DE6A550F_63C2_4BD1_AD66_473A52A41CF5_.wvu.FilterData" localSheetId="0" hidden="1">'ТР нефть'!$A$29:$MM$641</definedName>
    <definedName name="Z_DE97FBBF_9448_4A05_AC6B_9A9A50D303DC_.wvu.FilterData" localSheetId="0" hidden="1">'ТР нефть'!$A$29:$ASS$641</definedName>
    <definedName name="Z_DEFC725D_04A7_4405_9278_F469D3F7D455_.wvu.FilterData" localSheetId="0" hidden="1">'ТР нефть'!$ME$29:$ME$641</definedName>
    <definedName name="Z_DF086982_513C_4405_ABBF_FE97FD8C422C_.wvu.FilterData" localSheetId="0" hidden="1">'ТР нефть'!$A$29:$ARU$641</definedName>
    <definedName name="Z_DF35AF0F_9CD7_4581_9C04_5858F735A3CC_.wvu.FilterData" localSheetId="0" hidden="1">'ТР нефть'!$A$29:$ASR$641</definedName>
    <definedName name="Z_DF4D8FBD_6BBD_45B1_A21D_EA411047AED1_.wvu.FilterData" localSheetId="0" hidden="1">'ТР нефть'!#REF!</definedName>
    <definedName name="Z_DF6C227B_E441_4061_B142_3005E9EB5F53_.wvu.FilterData" localSheetId="0" hidden="1">'ТР нефть'!$A$26:$ASU$641</definedName>
    <definedName name="Z_DFB13B31_0FF6_4574_BEBE_F77EBDDBECBA_.wvu.FilterData" localSheetId="0" hidden="1">'ТР нефть'!$A$29:$ASR$641</definedName>
    <definedName name="Z_DFC6ADCD_F085_4E0E_9652_867708C48CEF_.wvu.FilterData" localSheetId="0" hidden="1">'ТР нефть'!$A$29:$ASR$641</definedName>
    <definedName name="Z_DFED554B_5710_448B_926A_1309794D396F_.wvu.FilterData" localSheetId="0" hidden="1">'ТР нефть'!$A$29:$ASS$641</definedName>
    <definedName name="Z_DFFBBCCD_1B69_4F51_AD4C_C0B428EE5146_.wvu.FilterData" localSheetId="0" hidden="1">'ТР нефть'!$A$29:$ASS$641</definedName>
    <definedName name="Z_E0302261_0BF3_48F9_BDA0_086857BEFE5E_.wvu.FilterData" localSheetId="0" hidden="1">'ТР нефть'!$A$29:$MM$641</definedName>
    <definedName name="Z_E0519D37_9D0C_4401_82F7_2FFE10E79A26_.wvu.FilterData" localSheetId="0" hidden="1">'ТР нефть'!$A$29:$ASS$641</definedName>
    <definedName name="Z_E07F8B4F_E010_4C0D_BCAC_01D2779D9801_.wvu.PrintArea" localSheetId="1" hidden="1">Протокол!$B$16:$BA$317</definedName>
    <definedName name="Z_E07F8B4F_E010_4C0D_BCAC_01D2779D9801_.wvu.PrintTitles" localSheetId="1" hidden="1">Протокол!$37:$38</definedName>
    <definedName name="Z_E0A51B4F_EC26_46B7_BE1A_A024CBD6DE4C_.wvu.FilterData" localSheetId="0" hidden="1">'ТР нефть'!$A$26:$ASU$641</definedName>
    <definedName name="Z_E0F50B73_0F98_46A2_AB94_1915B053CDC8_.wvu.FilterData" localSheetId="0" hidden="1">'ТР нефть'!$A$26:$ASU$641</definedName>
    <definedName name="Z_E0FE56D2_B34C_4B5A_A247_4BE8A61A2561_.wvu.FilterData" localSheetId="0" hidden="1">'ТР нефть'!$A$29:$ASR$641</definedName>
    <definedName name="Z_E12AA8FC_7338_4C3B_BF86_C9DBFADB1FC1_.wvu.FilterData" localSheetId="0" hidden="1">'ТР нефть'!$A$29:$ASU$641</definedName>
    <definedName name="Z_E174C7BC_1FAE_4E09_8C5C_E5170C71B91C_.wvu.FilterData" localSheetId="0" hidden="1">'ТР нефть'!$A$29:$MM$604</definedName>
    <definedName name="Z_E18EF673_A809_461A_AFFE_45BAF433D8D3_.wvu.FilterData" localSheetId="0" hidden="1">'ТР нефть'!$A$29:$ASS$641</definedName>
    <definedName name="Z_E19D5836_A2A3_461B_B282_115B92319146_.wvu.FilterData" localSheetId="0" hidden="1">'ТР нефть'!$A$29:$ASR$641</definedName>
    <definedName name="Z_E1B73CE2_8F1D_4950_B93B_B28B8B5DE5B4_.wvu.FilterData" localSheetId="0" hidden="1">'ТР нефть'!$A$26:$ASU$641</definedName>
    <definedName name="Z_E1C461D1_D8F7_4F5F_855E_85985567BEFC_.wvu.FilterData" localSheetId="0" hidden="1">'ТР нефть'!$A$28:$ASU$642</definedName>
    <definedName name="Z_E1D5315C_0E86_451C_A7D6_916DC7A3EA6F_.wvu.FilterData" localSheetId="0" hidden="1">'ТР нефть'!$A$29:$ARU$641</definedName>
    <definedName name="Z_E26C45D2_9731_4C1D_96DD_BEE45D47DC73_.wvu.FilterData" localSheetId="0" hidden="1">'ТР нефть'!$A$29:$MM$641</definedName>
    <definedName name="Z_E26F6A57_A31D_4D57_875A_4F5A161C3C50_.wvu.FilterData" localSheetId="0" hidden="1">'ТР нефть'!$A$29:$ASS$641</definedName>
    <definedName name="Z_E28FC051_8A87_4697_8BA2_52B97C93ECB8_.wvu.FilterData" localSheetId="0" hidden="1">'ТР нефть'!$A$26:$ASU$641</definedName>
    <definedName name="Z_E2C09FAA_ABB0_439B_90DE_8856065A8DEA_.wvu.FilterData" localSheetId="0" hidden="1">'ТР нефть'!$A$29:$MM$641</definedName>
    <definedName name="Z_E2CD4DEE_7695_47CD_A7C6_21070AE6332B_.wvu.FilterData" localSheetId="0" hidden="1">'ТР нефть'!$A$29:$MM$641</definedName>
    <definedName name="Z_E2CF4115_090D_4182_A6F5_6F4C96CAEB0C_.wvu.FilterData" localSheetId="0" hidden="1">'ТР нефть'!$A$26:$ASU$641</definedName>
    <definedName name="Z_E2D74AAE_6C7B_40CD_B2C7_63F6007AC37E_.wvu.FilterData" localSheetId="0" hidden="1">'ТР нефть'!$A$29:$MM$641</definedName>
    <definedName name="Z_E2E8E601_D59F_4129_8BB4_7506AE5E69CB_.wvu.FilterData" localSheetId="1" hidden="1">Протокол!$B$39:$BD$317</definedName>
    <definedName name="Z_E300B309_99C8_4247_A9F4_69A36ADC37F3_.wvu.FilterData" localSheetId="0" hidden="1">'ТР нефть'!$A$29:$MM$641</definedName>
    <definedName name="Z_E3102618_D597_4F68_92A4_0EA469F009CC_.wvu.FilterData" localSheetId="0" hidden="1">'ТР нефть'!$A$29:$ARU$641</definedName>
    <definedName name="Z_E317E689_5FBA_4050_B2F0_F9A2E4F4F772_.wvu.FilterData" localSheetId="0" hidden="1">'ТР нефть'!$A$29:$ASR$641</definedName>
    <definedName name="Z_E32843A3_1F4F_40DB_9497_D195C0C57B56_.wvu.FilterData" localSheetId="0" hidden="1">'ТР нефть'!$A$29:$ASS$641</definedName>
    <definedName name="Z_E3432B47_386B_4B37_B5DD_CFED86C6B3F0_.wvu.FilterData" localSheetId="0" hidden="1">'ТР нефть'!$A$28:$ASU$641</definedName>
    <definedName name="Z_E36D6519_D93A_4F1E_BBB1_E39BAD3A2414_.wvu.FilterData" localSheetId="0" hidden="1">'ТР нефть'!$A$29:$MM$604</definedName>
    <definedName name="Z_E37DB072_F95A_44F1_A022_4F275761ED5C_.wvu.FilterData" localSheetId="0" hidden="1">'ТР нефть'!$A$29:$ARU$641</definedName>
    <definedName name="Z_E38018BC_E1E7_4B0D_A7B4_603B3FA845AC_.wvu.FilterData" localSheetId="0" hidden="1">'ТР нефть'!$A$29:$MM$641</definedName>
    <definedName name="Z_E39ECC99_CB04_4B28_A00A_542F4689BD2F_.wvu.FilterData" localSheetId="0" hidden="1">'ТР нефть'!$A$29:$ASU$641</definedName>
    <definedName name="Z_E3C905C2_6D3E_408E_8329_436D3F5BC1DA_.wvu.FilterData" localSheetId="1" hidden="1">Протокол!$A$316:$BD$323</definedName>
    <definedName name="Z_E3CCA327_DCCB_4ACE_ADC8_1128D8B77DDB_.wvu.FilterData" localSheetId="0" hidden="1">'ТР нефть'!$A$29:$ASR$641</definedName>
    <definedName name="Z_E3D6BDC7_2BB7_48CB_949B_CF3463DBB8E2_.wvu.FilterData" localSheetId="0" hidden="1">'ТР нефть'!$A$29:$ASU$641</definedName>
    <definedName name="Z_E3DDD141_B88D_4329_AB49_9DA5A2C34C45_.wvu.FilterData" localSheetId="1" hidden="1">Протокол!$B$39:$BD$317</definedName>
    <definedName name="Z_E3E7E9B9_8882_433E_8D19_DE4330607FB2_.wvu.FilterData" localSheetId="0" hidden="1">'ТР нефть'!$A$29:$ASR$641</definedName>
    <definedName name="Z_E47CBF48_8C17_41A1_9F36_473641043596_.wvu.FilterData" localSheetId="0" hidden="1">'ТР нефть'!$A$26:$ASU$641</definedName>
    <definedName name="Z_E4D30272_7027_4AA8_B6F8_B2DAA9AA3D10_.wvu.FilterData" localSheetId="0" hidden="1">'ТР нефть'!$A$29:$MM$641</definedName>
    <definedName name="Z_E512AFE5_1E4F_43FA_ACBA_E24B1F7B491A_.wvu.FilterData" localSheetId="0" hidden="1">'ТР нефть'!#REF!</definedName>
    <definedName name="Z_E52A0D62_E406_48C8_A26F_F00B74508E5B_.wvu.FilterData" localSheetId="0" hidden="1">'ТР нефть'!$A$29:$ARU$641</definedName>
    <definedName name="Z_E5605150_C90F_487D_82E4_9DE697AC8EF0_.wvu.FilterData" localSheetId="0" hidden="1">'ТР нефть'!$A$29:$ASS$641</definedName>
    <definedName name="Z_E598FE8F_1F5B_4D41_BE41_D3BE6E168068_.wvu.FilterData" localSheetId="0" hidden="1">'ТР нефть'!$A$29:$MM$641</definedName>
    <definedName name="Z_E5B91D48_CF80_4CDF_8288_7867BA0D74E1_.wvu.FilterData" localSheetId="0" hidden="1">'ТР нефть'!$A$29:$ASR$641</definedName>
    <definedName name="Z_E63EED6C_EB2D_4B7E_A453_3CBE79AE0B3B_.wvu.FilterData" localSheetId="0" hidden="1">'ТР нефть'!$A$29:$MM$641</definedName>
    <definedName name="Z_E6404C5E_CC26_492F_A7D7_7B87F78CB440_.wvu.FilterData" localSheetId="0" hidden="1">'ТР нефть'!$A$29:$ASR$641</definedName>
    <definedName name="Z_E66EC562_519D_44F5_913F_197BB62138F4_.wvu.FilterData" localSheetId="0" hidden="1">'ТР нефть'!$A$29:$MM$641</definedName>
    <definedName name="Z_E67D00DA_08FE_4488_B28D_FCE3B696D480_.wvu.FilterData" localSheetId="0" hidden="1">'ТР нефть'!$A$29:$ASS$641</definedName>
    <definedName name="Z_E68A441C_39BB_43B3_8434_5A33547DAA0A_.wvu.FilterData" localSheetId="0" hidden="1">'ТР нефть'!$A$29:$ASR$641</definedName>
    <definedName name="Z_E69AED69_C686_4A04_9CBA_8CCB691A8216_.wvu.PrintArea" localSheetId="1" hidden="1">Протокол!$B$16:$BD$400</definedName>
    <definedName name="Z_E69AED69_C686_4A04_9CBA_8CCB691A8216_.wvu.PrintTitles" localSheetId="1" hidden="1">Протокол!$37:$38</definedName>
    <definedName name="Z_E69AED69_C686_4A04_9CBA_8CCB691A8216_.wvu.Rows" localSheetId="1" hidden="1">Протокол!$40:$56,Протокол!#REF!,Протокол!$112:$133,Протокол!#REF!,Протокол!#REF!,Протокол!#REF!</definedName>
    <definedName name="Z_E69D7AC0_8100_49BA_8A01_3665B9069AFB_.wvu.FilterData" localSheetId="0" hidden="1">'ТР нефть'!$A$28:$ASU$639</definedName>
    <definedName name="Z_E6A0F3B4_9B5B_4D71_91BA_30BB08F4B78E_.wvu.FilterData" localSheetId="0" hidden="1">'ТР нефть'!$A$28:$ASU$641</definedName>
    <definedName name="Z_E6C86EF6_97CC_4D01_8E52_8C8B7A5FB084_.wvu.FilterData" localSheetId="0" hidden="1">'ТР нефть'!$A$29:$ASU$641</definedName>
    <definedName name="Z_E6CCA076_6116_4D62_8C32_FC617B798DF9_.wvu.FilterData" localSheetId="0" hidden="1">'ТР нефть'!$A$29:$ARU$641</definedName>
    <definedName name="Z_E6CE4BDF_CC59_423C_BA32_BAC60A9E4669_.wvu.FilterData" localSheetId="0" hidden="1">'ТР нефть'!$A$29:$ASU$641</definedName>
    <definedName name="Z_E6E13B61_B55F_4518_A8B6_816AE5FCAB12_.wvu.FilterData" localSheetId="0" hidden="1">'ТР нефть'!$A$28:$ASU$641</definedName>
    <definedName name="Z_E713F3D1_C233_4322_AC18_6C4DC4990AA1_.wvu.FilterData" localSheetId="0" hidden="1">'ТР нефть'!$A$29:$MM$641</definedName>
    <definedName name="Z_E72DF19F_F8B3_48F0_9D33_A947A563BC97_.wvu.FilterData" localSheetId="0" hidden="1">'ТР нефть'!$A$29:$ARU$641</definedName>
    <definedName name="Z_E78018BB_B731_44A8_A165_BEC33A70B634_.wvu.FilterData" localSheetId="0" hidden="1">'ТР нефть'!$A$29:$MM$604</definedName>
    <definedName name="Z_E780C905_CF9A_4E2B_B614_ECD40BF157C7_.wvu.FilterData" localSheetId="0" hidden="1">'ТР нефть'!$A$29:$ASR$641</definedName>
    <definedName name="Z_E7C78662_ADB7_4267_B8A1_7C540EBD3396_.wvu.FilterData" localSheetId="0" hidden="1">'ТР нефть'!$A$28:$ASU$641</definedName>
    <definedName name="Z_E7CCEC57_A9E8_4A91_B759_D0B047FBC75E_.wvu.FilterData" localSheetId="0" hidden="1">'ТР нефть'!$A$29:$ASR$641</definedName>
    <definedName name="Z_E7CDE14C_BC66_4921_8827_8D5EBF22E54C_.wvu.Cols" localSheetId="0" hidden="1">'ТР нефть'!$AV:$BJ,'ТР нефть'!$BO:$BO,'ТР нефть'!$BR:$BU,'ТР нефть'!$EU:$FI,'ТР нефть'!$MQ:$MR,'ТР нефть'!$MT:$MT,'ТР нефть'!$MW:$NF,'ТР нефть'!$NQ:$ASR</definedName>
    <definedName name="Z_E7CDE14C_BC66_4921_8827_8D5EBF22E54C_.wvu.FilterData" localSheetId="1" hidden="1">Протокол!$A$16:$BD$499</definedName>
    <definedName name="Z_E7CDE14C_BC66_4921_8827_8D5EBF22E54C_.wvu.FilterData" localSheetId="0" hidden="1">'ТР нефть'!$A$28:$ASU$641</definedName>
    <definedName name="Z_E7CDE14C_BC66_4921_8827_8D5EBF22E54C_.wvu.PrintArea" localSheetId="1" hidden="1">Протокол!$A$16:$BD$499</definedName>
    <definedName name="Z_E7CDE14C_BC66_4921_8827_8D5EBF22E54C_.wvu.PrintArea" localSheetId="0" hidden="1">'ТР нефть'!$B$20:$DZ$1048268</definedName>
    <definedName name="Z_E7CDE14C_BC66_4921_8827_8D5EBF22E54C_.wvu.PrintTitles" localSheetId="0" hidden="1">'ТР нефть'!$25:$25</definedName>
    <definedName name="Z_E7E4A59C_6E68_4ECD_9E9D_64FA67D3F57D_.wvu.FilterData" localSheetId="0" hidden="1">'ТР нефть'!$A$29:$MM$641</definedName>
    <definedName name="Z_E808D31F_D6F4_4073_8AF5_FBAF06D549D1_.wvu.FilterData" localSheetId="0" hidden="1">'ТР нефть'!$A$29:$ASS$641</definedName>
    <definedName name="Z_E80BD80A_9ADE_4E23_9BEE_11849E2B3E5C_.wvu.FilterData" localSheetId="0" hidden="1">'ТР нефть'!$A$28:$ASU$642</definedName>
    <definedName name="Z_E8264C90_D7C0_4D4F_B753_862BBA9F5CA6_.wvu.FilterData" localSheetId="0" hidden="1">'ТР нефть'!$A$26:$ASU$641</definedName>
    <definedName name="Z_E830E2E3_D8A0_4AFE_A334_754AAFFB664D_.wvu.FilterData" localSheetId="0" hidden="1">'ТР нефть'!$A$29:$ASS$641</definedName>
    <definedName name="Z_E831AD84_7916_41ED_BD28_2430DC09FB40_.wvu.FilterData" localSheetId="0" hidden="1">'ТР нефть'!$A$28:$ASU$641</definedName>
    <definedName name="Z_E870081C_53E7_4AEF_B77F_E41F63FC0CE9_.wvu.FilterData" localSheetId="0" hidden="1">'ТР нефть'!$A$29:$MM$641</definedName>
    <definedName name="Z_E87C2EA2_E3A8_40B2_8EA2_3604348853F4_.wvu.FilterData" localSheetId="0" hidden="1">'ТР нефть'!$A$29:$ASS$641</definedName>
    <definedName name="Z_E87F44BC_36F5_4FFC_A963_847EDC82525F_.wvu.FilterData" localSheetId="0" hidden="1">'ТР нефть'!$A$29:$ASS$641</definedName>
    <definedName name="Z_E8A1586B_047A_407D_851A_16692836A612_.wvu.FilterData" localSheetId="0" hidden="1">'ТР нефть'!$A$29:$ASR$641</definedName>
    <definedName name="Z_E8B0BB45_CD9E_428E_AEE0_72F79F9497AC_.wvu.FilterData" localSheetId="0" hidden="1">'ТР нефть'!$A$29:$ARU$641</definedName>
    <definedName name="Z_E8C3F614_F232_47CF_8E2A_3BC9CBB833FA_.wvu.FilterData" localSheetId="0" hidden="1">'ТР нефть'!$A$28:$ASU$639</definedName>
    <definedName name="Z_E8D15D88_A4F1_45D5_A7BA_0C313D4D1150_.wvu.FilterData" localSheetId="0" hidden="1">'ТР нефть'!$A$29:$ASS$641</definedName>
    <definedName name="Z_E94A3022_986B_4351_94CE_CEFCD92A6717_.wvu.FilterData" localSheetId="0" hidden="1">'ТР нефть'!$A$28:$ASU$641</definedName>
    <definedName name="Z_E9542559_E843_4A46_AC6B_CB3D4F1DC3CF_.wvu.FilterData" localSheetId="0" hidden="1">'ТР нефть'!$A$29:$ASR$641</definedName>
    <definedName name="Z_E9656C9C_C59C_45F1_AFD6_CE1B094CA6CC_.wvu.FilterData" localSheetId="0" hidden="1">'ТР нефть'!$A$28:$ASU$641</definedName>
    <definedName name="Z_E965C243_24C1_4EB3_A210_F14E6071C053_.wvu.FilterData" localSheetId="0" hidden="1">'ТР нефть'!$A$29:$ASU$641</definedName>
    <definedName name="Z_E969BD9E_C887_4433_ADBF_C233B831D5DB_.wvu.FilterData" localSheetId="0" hidden="1">'ТР нефть'!$A$29:$ASR$641</definedName>
    <definedName name="Z_E9C299E2_8E02_4A13_BFBA_8DF3C6598C2D_.wvu.FilterData" localSheetId="0" hidden="1">'ТР нефть'!$A$29:$ASR$641</definedName>
    <definedName name="Z_EA120D09_1C0E_44EA_B7D9_AD18C072BE29_.wvu.FilterData" localSheetId="0" hidden="1">'ТР нефть'!$A$29:$ASS$641</definedName>
    <definedName name="Z_EA149DFC_ABFC_4D22_8AA1_6DE9D55B1BB6_.wvu.FilterData" localSheetId="0" hidden="1">'ТР нефть'!$A$28:$ASU$641</definedName>
    <definedName name="Z_EA52EC99_68F9_4BCC_9C2E_22D569B6D3A3_.wvu.FilterData" localSheetId="0" hidden="1">'ТР нефть'!$A$29:$ASS$641</definedName>
    <definedName name="Z_EA8DB580_6EE5_4970_ADB3_91446FA2E573_.wvu.FilterData" localSheetId="0" hidden="1">'ТР нефть'!$A$29:$ASR$641</definedName>
    <definedName name="Z_EA98EBE3_85DE_4CF0_87B0_2A167F807AB2_.wvu.FilterData" localSheetId="0" hidden="1">'ТР нефть'!$A$29:$ASS$641</definedName>
    <definedName name="Z_EABC8393_E1E8_4C8A_817C_23AC6BB0546E_.wvu.FilterData" localSheetId="0" hidden="1">'ТР нефть'!$A$29:$ASS$641</definedName>
    <definedName name="Z_EAC52936_33A6_49F6_919B_68F9F944155C_.wvu.FilterData" localSheetId="0" hidden="1">'ТР нефть'!$A$29:$ASS$641</definedName>
    <definedName name="Z_EB015A7C_0826_4560_A93C_B47A74339939_.wvu.FilterData" localSheetId="0" hidden="1">'ТР нефть'!$A$29:$ASR$641</definedName>
    <definedName name="Z_EB0293F7_7616_4E45_B861_5E2A050234D4_.wvu.FilterData" localSheetId="0" hidden="1">'ТР нефть'!$A$29:$ARU$641</definedName>
    <definedName name="Z_EB14AB71_7601_4A78_9F09_65E41FA5141A_.wvu.FilterData" localSheetId="0" hidden="1">'ТР нефть'!$A$29:$ASS$641</definedName>
    <definedName name="Z_EB183C9C_5E2E_4928_BF36_2A776AA89C0A_.wvu.FilterData" localSheetId="0" hidden="1">'ТР нефть'!$A$29:$ASR$641</definedName>
    <definedName name="Z_EB92E064_6F13_4E7E_BBC2_E73C51817FC2_.wvu.FilterData" localSheetId="0" hidden="1">'ТР нефть'!$A$26:$ASU$641</definedName>
    <definedName name="Z_EBD1440E_4AE8_4B82_BE5B_AC90C3B3A66E_.wvu.FilterData" localSheetId="0" hidden="1">'ТР нефть'!$A$29:$MM$641</definedName>
    <definedName name="Z_EBE89EC4_B7A3_4758_92ED_97B855E305BF_.wvu.FilterData" localSheetId="0" hidden="1">'ТР нефть'!$A$29:$MM$641</definedName>
    <definedName name="Z_EBEE64FA_DD3D_41D8_8811_39D022CAEE12_.wvu.FilterData" localSheetId="0" hidden="1">'ТР нефть'!$A$26:$ASU$641</definedName>
    <definedName name="Z_EC01C6C3_6C9B_423E_B902_3F899044688E_.wvu.FilterData" localSheetId="0" hidden="1">'ТР нефть'!$A$29:$ASR$641</definedName>
    <definedName name="Z_EC05F1DF_C822_461B_9A4A_C60F996760B6_.wvu.Cols" localSheetId="0" hidden="1">'ТР нефть'!$AO:$AT,'ТР нефть'!$AV:$BJ,'ТР нефть'!$BL:$BL,'ТР нефть'!$BO:$BP,'ТР нефть'!$BR:$BU,'ТР нефть'!$BW:$BW,'ТР нефть'!$CD:$CD,'ТР нефть'!$CI:$CK,'ТР нефть'!$CT:$CT,'ТР нефть'!$CY:$CY,'ТР нефть'!$DG:$DH,'ТР нефть'!$DJ:$ED</definedName>
    <definedName name="Z_EC05F1DF_C822_461B_9A4A_C60F996760B6_.wvu.FilterData" localSheetId="1" hidden="1">Протокол!$A$16:$BD$499</definedName>
    <definedName name="Z_EC05F1DF_C822_461B_9A4A_C60F996760B6_.wvu.FilterData" localSheetId="0" hidden="1">'ТР нефть'!$A$28:$ASU$641</definedName>
    <definedName name="Z_EC05F1DF_C822_461B_9A4A_C60F996760B6_.wvu.PrintArea" localSheetId="1" hidden="1">Протокол!$A$1:$BE$489</definedName>
    <definedName name="Z_EC05F1DF_C822_461B_9A4A_C60F996760B6_.wvu.PrintArea" localSheetId="0" hidden="1">'ТР нефть'!$A$1:$DI$1048279</definedName>
    <definedName name="Z_EC05F1DF_C822_461B_9A4A_C60F996760B6_.wvu.Rows" localSheetId="1" hidden="1">Протокол!$16:$17,Протокол!$70:$84,Протокол!$96:$105,Протокол!$112:$144,Протокол!$153:$153,Протокол!$156:$165,Протокол!$167:$171,Протокол!$251:$311,Протокол!$318:$318,Протокол!$331:$397,Протокол!$431:$464</definedName>
    <definedName name="Z_EC05F1DF_C822_461B_9A4A_C60F996760B6_.wvu.Rows" localSheetId="0" hidden="1">'ТР нефть'!$1:$24,'ТР нефть'!#REF!,'ТР нефть'!#REF!</definedName>
    <definedName name="Z_EC2C47EF_AB86_4A28_B428_20FFA6F9A0AC_.wvu.FilterData" localSheetId="0" hidden="1">'ТР нефть'!$A$29:$MM$641</definedName>
    <definedName name="Z_EC5E26C5_ADF0_4B6C_A1D0_913B4FEC158B_.wvu.FilterData" localSheetId="0" hidden="1">'ТР нефть'!$A$29:$MM$641</definedName>
    <definedName name="Z_ECC0EB16_2E80_41B5_AB22_58FC86387FDA_.wvu.FilterData" localSheetId="0" hidden="1">'ТР нефть'!$A$29:$MM$641</definedName>
    <definedName name="Z_ECD00B2F_8D4D_49E6_A059_27695AA7B440_.wvu.FilterData" localSheetId="0" hidden="1">'ТР нефть'!$A$29:$ASS$641</definedName>
    <definedName name="Z_ECDDAA38_AC96_48C7_B3E2_0818A56E4B7B_.wvu.FilterData" localSheetId="0" hidden="1">'ТР нефть'!$A$29:$MM$641</definedName>
    <definedName name="Z_ECF63E05_99D4_4CFC_A5CE_82D3F6074B1D_.wvu.FilterData" localSheetId="0" hidden="1">'ТР нефть'!$A$29:$MM$641</definedName>
    <definedName name="Z_ED120BA0_3CC9_4B99_BE16_C5B1D339FCE3_.wvu.FilterData" localSheetId="0" hidden="1">'ТР нефть'!$A$26:$ASU$641</definedName>
    <definedName name="Z_ED2A6117_5C4C_4A80_B13E_AA63F6B184D3_.wvu.FilterData" localSheetId="1" hidden="1">Протокол!$A$407:$BD$407</definedName>
    <definedName name="Z_ED2A6117_5C4C_4A80_B13E_AA63F6B184D3_.wvu.FilterData" localSheetId="0" hidden="1">'ТР нефть'!$A$29:$ASR$641</definedName>
    <definedName name="Z_ED3281F9_BC44_4A2A_B739_875F799F6200_.wvu.FilterData" localSheetId="0" hidden="1">'ТР нефть'!$A$29:$ARU$641</definedName>
    <definedName name="Z_ED653206_E06A_40AE_A126_B76CEC4DB9A6_.wvu.FilterData" localSheetId="0" hidden="1">'ТР нефть'!$A$29:$ARU$641</definedName>
    <definedName name="Z_ED67E616_14F8_41BC_8834_59D28FF46CEC_.wvu.FilterData" localSheetId="0" hidden="1">'ТР нефть'!$A$29:$ASR$641</definedName>
    <definedName name="Z_EEEFDD50_9365_4CC3_AEB7_ECDCCF593E7A_.wvu.FilterData" localSheetId="0" hidden="1">'ТР нефть'!$A$29:$ASR$641</definedName>
    <definedName name="Z_EF24CCCA_A4CF_4E8A_8808_CAA66144853C_.wvu.FilterData" localSheetId="0" hidden="1">'ТР нефть'!$A$28:$ASU$642</definedName>
    <definedName name="Z_EF3D01D2_9286_49A9_B1B8_636D46EC1BE1_.wvu.FilterData" localSheetId="0" hidden="1">'ТР нефть'!$A$29:$ASS$641</definedName>
    <definedName name="Z_EF4A5DFC_F6D2_46A2_82F0_141DD300EDDC_.wvu.FilterData" localSheetId="0" hidden="1">'ТР нефть'!$A$28:$ASU$641</definedName>
    <definedName name="Z_EF5D2080_AE0A_4E5D_832F_86AF39EA8A7B_.wvu.FilterData" localSheetId="0" hidden="1">'ТР нефть'!$A$29:$ASS$641</definedName>
    <definedName name="Z_EFA189D5_A8C6_4C22_BE5E_8656E1BFEBDD_.wvu.FilterData" localSheetId="0" hidden="1">'ТР нефть'!$A$28:$ASU$639</definedName>
    <definedName name="Z_EFD1E6DE_2691_4E39_8FA1_2EA3537AE9FA_.wvu.FilterData" localSheetId="0" hidden="1">'ТР нефть'!$A$26:$ASU$641</definedName>
    <definedName name="Z_EFEDE49C_05B3_4A94_8095_8EDF00187388_.wvu.FilterData" localSheetId="0" hidden="1">'ТР нефть'!$A$29:$ASR$641</definedName>
    <definedName name="Z_F00FCD90_A386_4555_A4FC_B9F77E6CD058_.wvu.FilterData" localSheetId="0" hidden="1">'ТР нефть'!$A$29:$MM$641</definedName>
    <definedName name="Z_F0133217_7A23_4D39_B2BC_1040ED524471_.wvu.FilterData" localSheetId="0" hidden="1">'ТР нефть'!$A$29:$ARU$641</definedName>
    <definedName name="Z_F01626F0_D619_4596_A3AD_08C7E7B2A2EA_.wvu.FilterData" localSheetId="0" hidden="1">'ТР нефть'!$A$28:$ASU$639</definedName>
    <definedName name="Z_F032927F_A68B_4A34_A63A_B4921A3E96B9_.wvu.FilterData" localSheetId="0" hidden="1">'ТР нефть'!$A$29:$MM$604</definedName>
    <definedName name="Z_F0407B9C_C7AC_4451_89E1_91D36F542353_.wvu.FilterData" localSheetId="0" hidden="1">'ТР нефть'!$A$29:$MM$604</definedName>
    <definedName name="Z_F0409436_03CB_4BD0_877F_6E3668C1269B_.wvu.FilterData" localSheetId="0" hidden="1">'ТР нефть'!$A$29:$ASR$641</definedName>
    <definedName name="Z_F0669AEC_5D70_4FF8_ABEC_AFE8879B7466_.wvu.FilterData" localSheetId="0" hidden="1">'ТР нефть'!$A$29:$MM$641</definedName>
    <definedName name="Z_F07BA3F5_7B6A_4DD1_A644_9C5F10356411_.wvu.FilterData" localSheetId="0" hidden="1">'ТР нефть'!$A$29:$ARU$641</definedName>
    <definedName name="Z_F08970D1_9CB6_40A9_90F6_BF62C3245EB0_.wvu.FilterData" localSheetId="0" hidden="1">'ТР нефть'!$A$29:$ASR$641</definedName>
    <definedName name="Z_F0898D5E_3C25_42A0_8DAD_DB64A94A11BC_.wvu.FilterData" localSheetId="0" hidden="1">'ТР нефть'!$A$29:$ASS$641</definedName>
    <definedName name="Z_F171B362_0DF3_4FBC_8760_D1A0874C370E_.wvu.FilterData" localSheetId="0" hidden="1">'ТР нефть'!$A$26:$ASU$641</definedName>
    <definedName name="Z_F1A33585_085E_4371_8A31_B1B38476FC3D_.wvu.FilterData" localSheetId="0" hidden="1">'ТР нефть'!$A$28:$ASU$642</definedName>
    <definedName name="Z_F1ACEE1D_C74D_4E33_A80B_B940D79F4BC0_.wvu.FilterData" localSheetId="0" hidden="1">'ТР нефть'!$A$29:$ASR$641</definedName>
    <definedName name="Z_F20B186B_E284_49B7_A17C_EC2A217FCF3E_.wvu.FilterData" localSheetId="0" hidden="1">'ТР нефть'!$A$29:$ASS$641</definedName>
    <definedName name="Z_F20F194D_37EE_4B8C_AB14_DDAF4E298233_.wvu.FilterData" localSheetId="0" hidden="1">'ТР нефть'!$A$29:$MM$641</definedName>
    <definedName name="Z_F220B985_59B3_46D0_96F8_B035963598AA_.wvu.FilterData" localSheetId="0" hidden="1">'ТР нефть'!$A$29:$ASR$641</definedName>
    <definedName name="Z_F247FF84_2B44_43C3_8DC0_B00DB0E30DD8_.wvu.FilterData" localSheetId="0" hidden="1">'ТР нефть'!$A$29:$ASR$641</definedName>
    <definedName name="Z_F257337B_DE49_4C48_965E_16FAAF38A883_.wvu.FilterData" localSheetId="1" hidden="1">Протокол!$B$39:$BD$317</definedName>
    <definedName name="Z_F25A3FAA_85B6_455C_82C2_55C730DD0B51_.wvu.FilterData" localSheetId="0" hidden="1">'ТР нефть'!$A$29:$ASR$641</definedName>
    <definedName name="Z_F265F7E3_B129_4236_AA1A_C2F594558088_.wvu.FilterData" localSheetId="0" hidden="1">'ТР нефть'!$A$29:$ASS$641</definedName>
    <definedName name="Z_F2716C53_B951_42AF_AB9A_016121EDC344_.wvu.FilterData" localSheetId="0" hidden="1">'ТР нефть'!$A$29:$ASR$641</definedName>
    <definedName name="Z_F280BF82_CFCB_4280_8B75_7349D40B1D7B_.wvu.FilterData" localSheetId="0" hidden="1">'ТР нефть'!$A$29:$ASR$641</definedName>
    <definedName name="Z_F2A5BCF9_48CA_498F_8DC9_42E635D26098_.wvu.FilterData" localSheetId="0" hidden="1">'ТР нефть'!$A$29:$ASR$641</definedName>
    <definedName name="Z_F2B59D4F_9197_4151_B99A_8E51EB8139E3_.wvu.FilterData" localSheetId="0" hidden="1">'ТР нефть'!$A$29:$ASR$641</definedName>
    <definedName name="Z_F2BD0FCA_3EDD_42D3_9301_7540A88A633B_.wvu.FilterData" localSheetId="0" hidden="1">'ТР нефть'!$A$28:$ASU$641</definedName>
    <definedName name="Z_F2C5FEF2_5BF0_4F8B_AAC6_440F832D250B_.wvu.FilterData" localSheetId="1" hidden="1">Протокол!$A$316:$BD$316</definedName>
    <definedName name="Z_F2C5FEF2_5BF0_4F8B_AAC6_440F832D250B_.wvu.PrintArea" localSheetId="1" hidden="1">Протокол!$A$16:$BD$465</definedName>
    <definedName name="Z_F2C5FEF2_5BF0_4F8B_AAC6_440F832D250B_.wvu.Rows" localSheetId="1" hidden="1">Протокол!#REF!,Протокол!$27:$29,Протокол!$33:$33,Протокол!#REF!,Протокол!$91:$104,Протокол!$132:$133,Протокол!#REF!,Протокол!#REF!,Протокол!#REF!,Протокол!#REF!,Протокол!#REF!</definedName>
    <definedName name="Z_F2D97302_134F_48DB_B8DC_CF385DB61DD2_.wvu.FilterData" localSheetId="0" hidden="1">'ТР нефть'!$A$26:$ASU$641</definedName>
    <definedName name="Z_F30DF2A0_EEF3_4B88_B13C_8332150E1B77_.wvu.FilterData" localSheetId="0" hidden="1">'ТР нефть'!$A$29:$ASS$641</definedName>
    <definedName name="Z_F3102605_0761_4270_9180_0F2F60DEB259_.wvu.FilterData" localSheetId="0" hidden="1">'ТР нефть'!$A$29:$ASR$641</definedName>
    <definedName name="Z_F3126DA9_6547_4F89_9CC5_22A76D9CCB3A_.wvu.FilterData" localSheetId="0" hidden="1">'ТР нефть'!$A$26:$ASU$641</definedName>
    <definedName name="Z_F33701DC_7DA3_4EBF_8DCE_C15805A47872_.wvu.FilterData" localSheetId="0" hidden="1">'ТР нефть'!$A$29:$MM$641</definedName>
    <definedName name="Z_F342F239_B481_4AEC_A93C_DA07AD5106F3_.wvu.FilterData" localSheetId="0" hidden="1">'ТР нефть'!$A$29:$ARU$641</definedName>
    <definedName name="Z_F36A948B_31E8_49FE_BADF_3FC43A3375DE_.wvu.FilterData" localSheetId="0" hidden="1">'ТР нефть'!$A$29:$ASU$641</definedName>
    <definedName name="Z_F3AD6FF6_E7DB_400D_B9DD_E3752E3A9C3C_.wvu.FilterData" localSheetId="0" hidden="1">'ТР нефть'!$A$29:$ASR$641</definedName>
    <definedName name="Z_F3CCA47E_D78B_48FB_B648_783AA84AC136_.wvu.FilterData" localSheetId="0" hidden="1">'ТР нефть'!$A$26:$ASU$641</definedName>
    <definedName name="Z_F3D91998_AC2C_4C0F_BDCB_2106B1925795_.wvu.FilterData" localSheetId="0" hidden="1">'ТР нефть'!$A$29:$ASR$641</definedName>
    <definedName name="Z_F3F6BEEF_01D6_4D7E_A3C8_02AEB6EA5FF7_.wvu.FilterData" localSheetId="0" hidden="1">'ТР нефть'!$A$29:$ASR$641</definedName>
    <definedName name="Z_F3FBE916_C18C_4834_8961_BF4EE3B199C9_.wvu.FilterData" localSheetId="0" hidden="1">'ТР нефть'!$A$29:$ASR$641</definedName>
    <definedName name="Z_F416DA0B_853A_41F8_A2B8_A37505926FF0_.wvu.FilterData" localSheetId="0" hidden="1">'ТР нефть'!$A$29:$ASR$641</definedName>
    <definedName name="Z_F4307B53_9EDD_43D6_9D6F_FB9C9B804BC4_.wvu.FilterData" localSheetId="0" hidden="1">'ТР нефть'!$A$26:$ASU$641</definedName>
    <definedName name="Z_F4337142_CB75_43E9_86F1_3914F9BA4316_.wvu.FilterData" localSheetId="0" hidden="1">'ТР нефть'!#REF!</definedName>
    <definedName name="Z_F4409812_8104_4354_9DDC_B83AFAA3F3F4_.wvu.FilterData" localSheetId="0" hidden="1">'ТР нефть'!$A$29:$MM$641</definedName>
    <definedName name="Z_F44C784B_4F68_40DA_B868_E652C4A9F0E5_.wvu.FilterData" localSheetId="0" hidden="1">'ТР нефть'!$A$29:$MM$641</definedName>
    <definedName name="Z_F47E3513_84AC_4A06_BE48_857EF9DC8CB1_.wvu.FilterData" localSheetId="0" hidden="1">'ТР нефть'!$A$29:$ASR$641</definedName>
    <definedName name="Z_F48EE8FF_B8F4_4138_9085_E3291F9531B2_.wvu.FilterData" localSheetId="0" hidden="1">'ТР нефть'!$A$29:$ASU$641</definedName>
    <definedName name="Z_F4AFD303_6E9C_4F34_8C45_DF82A0B5205A_.wvu.FilterData" localSheetId="0" hidden="1">'ТР нефть'!$A$29:$MM$641</definedName>
    <definedName name="Z_F4FAD948_7F5B_4C77_976A_E40293BFD2CD_.wvu.FilterData" localSheetId="0" hidden="1">'ТР нефть'!$A$26:$ASU$641</definedName>
    <definedName name="Z_F519CD51_0B3E_4670_AAFD_052645962120_.wvu.FilterData" localSheetId="1" hidden="1">Протокол!$A$316:$BD$322</definedName>
    <definedName name="Z_F519CD51_0B3E_4670_AAFD_052645962120_.wvu.FilterData" localSheetId="0" hidden="1">'ТР нефть'!$A$29:$MM$641</definedName>
    <definedName name="Z_F524BB4C_1237_4285_9CA7_D315C88FBE45_.wvu.FilterData" localSheetId="0" hidden="1">'ТР нефть'!$A$29:$MM$641</definedName>
    <definedName name="Z_F531DA06_3999_4D06_BFF7_BA8013050E31_.wvu.FilterData" localSheetId="1" hidden="1">Протокол!$A$407:$BD$467</definedName>
    <definedName name="Z_F531DA06_3999_4D06_BFF7_BA8013050E31_.wvu.FilterData" localSheetId="0" hidden="1">'ТР нефть'!$A$29:$ASS$641</definedName>
    <definedName name="Z_F562E858_808E_4BE7_944B_5D1B80A3217F_.wvu.FilterData" localSheetId="0" hidden="1">'ТР нефть'!$A$29:$ASR$641</definedName>
    <definedName name="Z_F56F1E8B_0C9F_4D53_A754_D731D7065F35_.wvu.FilterData" localSheetId="0" hidden="1">'ТР нефть'!$A$29:$ASR$641</definedName>
    <definedName name="Z_F5738D6B_A687_4AC7_863E_19B507C842A4_.wvu.FilterData" localSheetId="1" hidden="1">Протокол!$A$16:$BD$499</definedName>
    <definedName name="Z_F573D34A_BB78_46AC_9487_6833C080143C_.wvu.FilterData" localSheetId="0" hidden="1">'ТР нефть'!$A$29:$ARU$641</definedName>
    <definedName name="Z_F5A3131E_DF37_4E59_8DFA_C9CA9C41566F_.wvu.FilterData" localSheetId="0" hidden="1">'ТР нефть'!$A$29:$ASS$641</definedName>
    <definedName name="Z_F5DEBDB8_F506_4207_A490_1E7DC32F4C30_.wvu.FilterData" localSheetId="0" hidden="1">'ТР нефть'!$A$29:$MM$641</definedName>
    <definedName name="Z_F5F706C8_0F22_482F_9741_A20B897417F2_.wvu.FilterData" localSheetId="0" hidden="1">'ТР нефть'!$A$29:$ASR$641</definedName>
    <definedName name="Z_F6030C03_1555_4EA5_8BBB_523A8DDAFA37_.wvu.FilterData" localSheetId="0" hidden="1">'ТР нефть'!$A$29:$ASR$641</definedName>
    <definedName name="Z_F64B4DA5_93EC_4676_A107_1726086D0AA9_.wvu.FilterData" localSheetId="0" hidden="1">'ТР нефть'!$A$29:$ASR$641</definedName>
    <definedName name="Z_F6817A6A_2E45_459A_A73A_D21189ACFB12_.wvu.FilterData" localSheetId="0" hidden="1">'ТР нефть'!$A$29:$ASR$641</definedName>
    <definedName name="Z_F69ABC7E_26BC_48B2_B239_136983D8C566_.wvu.FilterData" localSheetId="0" hidden="1">'ТР нефть'!$A$29:$ASS$641</definedName>
    <definedName name="Z_F6ACC2C1_E530_4DC2_8D4E_D6EBFA47F2E0_.wvu.FilterData" localSheetId="0" hidden="1">'ТР нефть'!$A$29:$ASS$641</definedName>
    <definedName name="Z_F7078495_8650_488B_B237_1B369EAE2487_.wvu.FilterData" localSheetId="0" hidden="1">'ТР нефть'!$A$29:$ARU$641</definedName>
    <definedName name="Z_F711D3F9_06AF_46EC_BC19_088911218C5E_.wvu.FilterData" localSheetId="0" hidden="1">'ТР нефть'!$A$29:$MM$641</definedName>
    <definedName name="Z_F742D244_A0DD_4D0D_BDB7_D232D2B00032_.wvu.FilterData" localSheetId="0" hidden="1">'ТР нефть'!$A$29:$MM$641</definedName>
    <definedName name="Z_F77EFE5A_22DE_42E7_9448_0C1E5B71C8B6_.wvu.FilterData" localSheetId="0" hidden="1">'ТР нефть'!$A$26:$ASU$641</definedName>
    <definedName name="Z_F78826D0_C0EB_4670_ACA2_5D178FFCA795_.wvu.FilterData" localSheetId="0" hidden="1">'ТР нефть'!$A$29:$ASU$641</definedName>
    <definedName name="Z_F790C9FF_789B_48CF_9228_8200B4A84982_.wvu.FilterData" localSheetId="0" hidden="1">'ТР нефть'!$A$26:$ASU$641</definedName>
    <definedName name="Z_F7D46BE5_806B_4A78_9A5F_D356FEE1F299_.wvu.FilterData" localSheetId="0" hidden="1">'ТР нефть'!$A$29:$ASU$641</definedName>
    <definedName name="Z_F7E9036C_25ED_44E7_A664_DF841CFE140B_.wvu.FilterData" localSheetId="0" hidden="1">'ТР нефть'!$A$29:$ASS$641</definedName>
    <definedName name="Z_F81D66FD_9BAA_40EC_B5DC_E16B3E240B8E_.wvu.FilterData" localSheetId="0" hidden="1">'ТР нефть'!$A$29:$MM$641</definedName>
    <definedName name="Z_F846CE0D_A4A7_46AE_90B5_536B3873B0D9_.wvu.FilterData" localSheetId="0" hidden="1">'ТР нефть'!$A$29:$ASR$641</definedName>
    <definedName name="Z_F8695DBE_DACD_4541_B96A_EDE6D0C0DFF7_.wvu.FilterData" localSheetId="0" hidden="1">'ТР нефть'!$A$29:$ASR$641</definedName>
    <definedName name="Z_F8CA9F9A_7F13_4721_81D8_EB07B1F231C0_.wvu.FilterData" localSheetId="0" hidden="1">'ТР нефть'!$A$29:$MM$641</definedName>
    <definedName name="Z_F8E15C75_AEF3_46A3_98DB_63B273E24C52_.wvu.FilterData" localSheetId="0" hidden="1">'ТР нефть'!$A$29:$MM$641</definedName>
    <definedName name="Z_F8E32C54_FB2F_435B_B1A6_5CED77338997_.wvu.FilterData" localSheetId="0" hidden="1">'ТР нефть'!$A$29:$MM$641</definedName>
    <definedName name="Z_F8ED44E7_0F9F_4732_9821_9F71138EA47E_.wvu.FilterData" localSheetId="0" hidden="1">'ТР нефть'!$A$29:$ASR$641</definedName>
    <definedName name="Z_F8F3810F_C923_4A7A_8A7D_7C8AE1F2BF70_.wvu.FilterData" localSheetId="0" hidden="1">'ТР нефть'!$A$29:$ASS$641</definedName>
    <definedName name="Z_F91CFE22_132F_4500_A439_73F080BF85AE_.wvu.FilterData" localSheetId="0" hidden="1">'ТР нефть'!$A$29:$MM$641</definedName>
    <definedName name="Z_F9471BAB_77BF_46A4_9191_5448E01AF260_.wvu.FilterData" localSheetId="0" hidden="1">'ТР нефть'!$A$28:$ASU$642</definedName>
    <definedName name="Z_F95E8495_CFEC_4D90_9C90_F987E7030C46_.wvu.FilterData" localSheetId="0" hidden="1">'ТР нефть'!$A$29:$ASR$641</definedName>
    <definedName name="Z_F963A8CF_B5F3_41D8_BE70_7427B6E8D9CC_.wvu.FilterData" localSheetId="0" hidden="1">'ТР нефть'!$A$29:$ASS$641</definedName>
    <definedName name="Z_F9957911_E6DD_42C5_B748_EC684D8E5FA9_.wvu.FilterData" localSheetId="0" hidden="1">'ТР нефть'!$A$29:$MM$604</definedName>
    <definedName name="Z_F9BDAC29_F312_45CA_8CBC_D76EF49E4230_.wvu.Cols" localSheetId="1" hidden="1">Протокол!#REF!</definedName>
    <definedName name="Z_F9BDAC29_F312_45CA_8CBC_D76EF49E4230_.wvu.Cols" localSheetId="0" hidden="1">'ТР нефть'!$F:$F,'ТР нефть'!$U:$AD,'ТР нефть'!$AF:$AG,'ТР нефть'!$AJ:$AK,'ТР нефть'!$AO:$AT,'ТР нефть'!$AV:$BJ,'ТР нефть'!$BO:$BO,'ТР нефть'!$BS:$BU,'ТР нефть'!$DJ:$DZ,'ТР нефть'!$HO:$MB</definedName>
    <definedName name="Z_F9BDAC29_F312_45CA_8CBC_D76EF49E4230_.wvu.FilterData" localSheetId="1" hidden="1">Протокол!$A$16:$BD$499</definedName>
    <definedName name="Z_F9BDAC29_F312_45CA_8CBC_D76EF49E4230_.wvu.FilterData" localSheetId="0" hidden="1">'ТР нефть'!$A$26:$ASU$641</definedName>
    <definedName name="Z_F9BDAC29_F312_45CA_8CBC_D76EF49E4230_.wvu.PrintArea" localSheetId="1" hidden="1">Протокол!$A$16:$BD$499</definedName>
    <definedName name="Z_F9BDAC29_F312_45CA_8CBC_D76EF49E4230_.wvu.PrintArea" localSheetId="0" hidden="1">'ТР нефть'!$B$20:$DI$647</definedName>
    <definedName name="Z_F9BDAC29_F312_45CA_8CBC_D76EF49E4230_.wvu.PrintTitles" localSheetId="0" hidden="1">'ТР нефть'!$25:$25</definedName>
    <definedName name="Z_F9BDAC29_F312_45CA_8CBC_D76EF49E4230_.wvu.Rows" localSheetId="1" hidden="1">Протокол!#REF!,Протокол!#REF!,Протокол!$107:$108,Протокол!#REF!,Протокол!#REF!,Протокол!$180:$180,Протокол!#REF!,Протокол!$438:$464</definedName>
    <definedName name="Z_F9BDAC29_F312_45CA_8CBC_D76EF49E4230_.wvu.Rows" localSheetId="0" hidden="1">'ТР нефть'!#REF!</definedName>
    <definedName name="Z_F9C16040_F585_4BE9_B646_69504A19F3BE_.wvu.FilterData" localSheetId="0" hidden="1">'ТР нефть'!$A$26:$ASU$639</definedName>
    <definedName name="Z_F9C74CA0_F398_4360_9DC0_1F151862B29E_.wvu.FilterData" localSheetId="1" hidden="1">Протокол!$B$39:$BD$317</definedName>
    <definedName name="Z_F9CBCB39_304F_4A8E_8EB6_FF02CC43A09E_.wvu.FilterData" localSheetId="0" hidden="1">'ТР нефть'!$A$29:$ASS$641</definedName>
    <definedName name="Z_F9E347BE_70A9_403A_A3AD_12553F66D9E7_.wvu.FilterData" localSheetId="0" hidden="1">'ТР нефть'!$A$28:$ASU$641</definedName>
    <definedName name="Z_FA13B0AD_B29D_4492_8505_81CFA9E7DE1A_.wvu.FilterData" localSheetId="1" hidden="1">Протокол!$A$316:$BD$326</definedName>
    <definedName name="Z_FA13B0AD_B29D_4492_8505_81CFA9E7DE1A_.wvu.FilterData" localSheetId="0" hidden="1">'ТР нефть'!$A$29:$MM$641</definedName>
    <definedName name="Z_FA23E15C_B3F5_4509_9721_3027AFC86D44_.wvu.FilterData" localSheetId="0" hidden="1">'ТР нефть'!$A$29:$ASR$641</definedName>
    <definedName name="Z_FA4E7E3B_7871_4910_8C55_07052BB0EBB1_.wvu.FilterData" localSheetId="0" hidden="1">'ТР нефть'!$A$29:$MM$641</definedName>
    <definedName name="Z_FA607D31_5824_4E68_B8D3_78E39E1BCADA_.wvu.FilterData" localSheetId="0" hidden="1">'ТР нефть'!$A$29:$ASS$641</definedName>
    <definedName name="Z_FA91EA4C_EB09_4C75_BF5D_4E8FFE109B48_.wvu.FilterData" localSheetId="0" hidden="1">'ТР нефть'!$A$29:$ASR$641</definedName>
    <definedName name="Z_FA9205DE_BDFB_4815_A9E9_6E2F19B28F7D_.wvu.FilterData" localSheetId="0" hidden="1">'ТР нефть'!$A$29:$ASR$641</definedName>
    <definedName name="Z_FAB42F59_D8F1_4E8B_B873_BC0691F1DFA4_.wvu.FilterData" localSheetId="0" hidden="1">'ТР нефть'!$A$29:$MM$641</definedName>
    <definedName name="Z_FAE2BB07_AF39_4B71_A4BB_D3BA2249EBEC_.wvu.FilterData" localSheetId="0" hidden="1">'ТР нефть'!$A$29:$ASS$641</definedName>
    <definedName name="Z_FAEA3533_F4C1_4A63_8953_9E31C765288F_.wvu.FilterData" localSheetId="0" hidden="1">'ТР нефть'!$A$26:$ASU$641</definedName>
    <definedName name="Z_FB16B6E8_341C_45AB_9B44_788DF955842F_.wvu.FilterData" localSheetId="0" hidden="1">'ТР нефть'!$A$26:$ASU$641</definedName>
    <definedName name="Z_FB590A8C_7AE5_45F4_93F8_0A74C7DE0B60_.wvu.FilterData" localSheetId="0" hidden="1">'ТР нефть'!$A$26:$ASU$641</definedName>
    <definedName name="Z_FB94D8CD_031A_4BEB_9BAF_15D30E7F1ED3_.wvu.FilterData" localSheetId="0" hidden="1">'ТР нефть'!$A$28:$ASU$641</definedName>
    <definedName name="Z_FBD4210E_AEA3_4C8D_8F97_FF68F71EFD2C_.wvu.FilterData" localSheetId="0" hidden="1">'ТР нефть'!$A$26:$ASU$641</definedName>
    <definedName name="Z_FBF8FC78_0BB4_4EB6_9049_17FBE5C711EE_.wvu.FilterData" localSheetId="0" hidden="1">'ТР нефть'!$A$29:$ARU$641</definedName>
    <definedName name="Z_FC0CDFA7_8A7B_4F36_A123_A67B61B27113_.wvu.FilterData" localSheetId="0" hidden="1">'ТР нефть'!$A$29:$ASR$641</definedName>
    <definedName name="Z_FC10D986_4C86_4C54_8386_E4FD4DE1C59F_.wvu.FilterData" localSheetId="0" hidden="1">'ТР нефть'!$A$29:$MM$605</definedName>
    <definedName name="Z_FC52CD02_ED1D_415B_A001_5D4A559FF6FA_.wvu.FilterData" localSheetId="0" hidden="1">'ТР нефть'!$A$29:$ASR$641</definedName>
    <definedName name="Z_FC7BA2E3_ACA2_485C_9295_24E2AC5B23D7_.wvu.FilterData" localSheetId="0" hidden="1">'ТР нефть'!$A$29:$ASS$641</definedName>
    <definedName name="Z_FC8C6764_19A5_4BCB_BF74_FC96F797FB04_.wvu.FilterData" localSheetId="0" hidden="1">'ТР нефть'!$A$29:$ASS$641</definedName>
    <definedName name="Z_FCA5B5A1_AE46_4854_94B4_C0CE6E23269D_.wvu.FilterData" localSheetId="0" hidden="1">'ТР нефть'!$A$29:$ASR$641</definedName>
    <definedName name="Z_FD1DF72F_67EA_4710_8C2E_D23C829601D4_.wvu.FilterData" localSheetId="0" hidden="1">'ТР нефть'!$A$29:$ASS$641</definedName>
    <definedName name="Z_FD88AA58_8DF2_42DF_819E_B126CBD27831_.wvu.FilterData" localSheetId="0" hidden="1">'ТР нефть'!$A$29:$ASR$641</definedName>
    <definedName name="Z_FD8BC3DD_8586_4176_B664_5DDBF829864B_.wvu.FilterData" localSheetId="0" hidden="1">'ТР нефть'!$A$29:$MM$641</definedName>
    <definedName name="Z_FDB763EA_FA1F_42D4_965E_2782EA1DCEDC_.wvu.FilterData" localSheetId="0" hidden="1">'ТР нефть'!#REF!</definedName>
    <definedName name="Z_FDCD941D_9832_4AB0_8227_209392FE2547_.wvu.FilterData" localSheetId="1" hidden="1">Протокол!$B$39:$BD$317</definedName>
    <definedName name="Z_FDE5A088_0F1C_49CA_ACC9_11E312D3A407_.wvu.FilterData" localSheetId="0" hidden="1">'ТР нефть'!$A$29:$ASS$641</definedName>
    <definedName name="Z_FDF845C0_B598_476A_BC43_D1D93C8FB7B4_.wvu.FilterData" localSheetId="0" hidden="1">'ТР нефть'!$A$29:$ASR$641</definedName>
    <definedName name="Z_FE38F303_48F7_48BD_9E9C_041BBD2A4DFC_.wvu.FilterData" localSheetId="0" hidden="1">'ТР нефть'!$A$29:$ASS$641</definedName>
    <definedName name="Z_FE3D381B_542E_46F3_A15A_68C4D4FE44DE_.wvu.FilterData" localSheetId="0" hidden="1">'ТР нефть'!$A$29:$MM$641</definedName>
    <definedName name="Z_FE5B97A9_F6EC_4B4C_9DC2_6E295AC6737D_.wvu.FilterData" localSheetId="0" hidden="1">'ТР нефть'!$A$29:$ASS$641</definedName>
    <definedName name="Z_FE6B1CF2_5111_41F1_B767_8805C57C9B55_.wvu.FilterData" localSheetId="0" hidden="1">'ТР нефть'!$A$29:$ASS$641</definedName>
    <definedName name="Z_FE878808_4E45_48AB_BA0B_1C2A79FB3D05_.wvu.FilterData" localSheetId="0" hidden="1">'ТР нефть'!$A$28:$ASU$641</definedName>
    <definedName name="Z_FE906FF9_FE67_46E9_B79A_84E171A2D743_.wvu.FilterData" localSheetId="0" hidden="1">'ТР нефть'!$A$29:$ASS$641</definedName>
    <definedName name="Z_FE99AA75_97C6_4D73_B1AD_FA1ECF6FC166_.wvu.FilterData" localSheetId="0" hidden="1">'ТР нефть'!$A$29:$ASR$641</definedName>
    <definedName name="Z_FEBB5595_CD14_484D_B82D_2A1AB6634077_.wvu.FilterData" localSheetId="0" hidden="1">'ТР нефть'!#REF!</definedName>
    <definedName name="Z_FECD82C6_123B_46C7_9B2B_AB774D9C8C02_.wvu.FilterData" localSheetId="0" hidden="1">'ТР нефть'!$A$28:$ASU$639</definedName>
    <definedName name="Z_FED68245_1009_4399_9C82_D41303915EC8_.wvu.FilterData" localSheetId="0" hidden="1">'ТР нефть'!$A$26:$ASU$641</definedName>
    <definedName name="Z_FF160A5A_9A39_4BCF_B494_9C725B67FBCE_.wvu.Cols" localSheetId="1" hidden="1">Протокол!#REF!,Протокол!#REF!</definedName>
    <definedName name="Z_FF160A5A_9A39_4BCF_B494_9C725B67FBCE_.wvu.Cols" localSheetId="0" hidden="1">'ТР нефть'!$A:$A,'ТР нефть'!$C:$H,'ТР нефть'!$K:$AT,'ТР нефть'!$AV:$CH,'ТР нефть'!$BW:$BW,'ТР нефть'!$CD:$CD,'ТР нефть'!$CX:$CX,'ТР нефть'!$DA:$ED,'ТР нефть'!$EU:$FI,'ТР нефть'!$MQ:$MR,'ТР нефть'!$MT:$MT,'ТР нефть'!$MW:$NF</definedName>
    <definedName name="Z_FF160A5A_9A39_4BCF_B494_9C725B67FBCE_.wvu.FilterData" localSheetId="1" hidden="1">Протокол!$A$407:$BD$467</definedName>
    <definedName name="Z_FF160A5A_9A39_4BCF_B494_9C725B67FBCE_.wvu.FilterData" localSheetId="0" hidden="1">'ТР нефть'!$A$29:$ASR$641</definedName>
    <definedName name="Z_FF160A5A_9A39_4BCF_B494_9C725B67FBCE_.wvu.PrintArea" localSheetId="1" hidden="1">Протокол!$A$16:$BD$477</definedName>
    <definedName name="Z_FF160A5A_9A39_4BCF_B494_9C725B67FBCE_.wvu.PrintArea" localSheetId="0" hidden="1">'ТР нефть'!$B$20:$DI$646</definedName>
    <definedName name="Z_FF160A5A_9A39_4BCF_B494_9C725B67FBCE_.wvu.PrintTitles" localSheetId="0" hidden="1">'ТР нефть'!$25:$25</definedName>
    <definedName name="Z_FF160A5A_9A39_4BCF_B494_9C725B67FBCE_.wvu.Rows" localSheetId="1" hidden="1">Протокол!#REF!,Протокол!$27:$29,Протокол!$33:$33,Протокол!#REF!,Протокол!$91:$104,Протокол!$121:$133,Протокол!#REF!,Протокол!#REF!,Протокол!#REF!,Протокол!$327:$397,Протокол!#REF!,Протокол!#REF!</definedName>
    <definedName name="Z_FF160A5A_9A39_4BCF_B494_9C725B67FBCE_.wvu.Rows" localSheetId="0" hidden="1">'ТР нефть'!$20:$24</definedName>
    <definedName name="Z_FF471CF2_4A23_4CE5_8194_7736A20F1AAE_.wvu.FilterData" localSheetId="0" hidden="1">'ТР нефть'!$A$29:$ASR$641</definedName>
    <definedName name="Z_FF4BA77D_763B_4A26_A07F_0D48063DDAA8_.wvu.FilterData" localSheetId="0" hidden="1">'ТР нефть'!$A$29:$ASR$641</definedName>
    <definedName name="Z_FF78464F_CD47_4032_996D_1D44866E4752_.wvu.FilterData" localSheetId="0" hidden="1">'ТР нефть'!$A$29:$ARU$641</definedName>
    <definedName name="Z_FFA0E13F_A284_4690_8F9C_19676299D7E6_.wvu.FilterData" localSheetId="0" hidden="1">'ТР нефть'!$A$29:$MM$641</definedName>
    <definedName name="Z_FFE28E4E_94B1_4DE6_8968_886DF553B2FB_.wvu.FilterData" localSheetId="0" hidden="1">'ТР нефть'!$A$26:$ASU$641</definedName>
    <definedName name="Z_FFE68D4C_933E_414E_84C3_38E375B9DC2F_.wvu.FilterData" localSheetId="0" hidden="1">'ТР нефть'!$A$29:$ARU$641</definedName>
    <definedName name="а" localSheetId="1">#REF!</definedName>
    <definedName name="а">#REF!</definedName>
    <definedName name="Анализ_пр1" localSheetId="1">[14]Анализ!$D$21:$F$25,[14]Анализ!$D$35:$F$39,[14]Анализ!$D$49:$F$53,[14]Анализ!$D$63:$F$67,[14]Анализ!$D$77:$F$81,[14]Анализ!$D$91:$F$95,[14]Анализ!$D$105:$F$109,[14]Анализ!$D$119:$F$123</definedName>
    <definedName name="Анализ_пр1">[15]Анализ!$D$21:$F$25,[15]Анализ!$D$35:$F$39,[15]Анализ!$D$49:$F$53,[15]Анализ!$D$63:$F$67,[15]Анализ!$D$77:$F$81,[15]Анализ!$D$91:$F$95,[15]Анализ!$D$105:$F$109,[15]Анализ!$D$119:$F$123</definedName>
    <definedName name="Анализ_пр11" localSheetId="1">[14]Анализ!$B$21:$B$25,[14]Анализ!$B$35:$B$39,[14]Анализ!$B$49:$B$53,[14]Анализ!$B$63:$B$67,[14]Анализ!$B$77:$B$81,[14]Анализ!$B$91:$B$95,[14]Анализ!$B$105:$B$109,[14]Анализ!$B$119:$B$123</definedName>
    <definedName name="Анализ_пр11">[15]Анализ!$B$21:$B$25,[15]Анализ!$B$35:$B$39,[15]Анализ!$B$49:$B$53,[15]Анализ!$B$63:$B$67,[15]Анализ!$B$77:$B$81,[15]Анализ!$B$91:$B$95,[15]Анализ!$B$105:$B$109,[15]Анализ!$B$119:$B$123</definedName>
    <definedName name="Анализ_пр2" localSheetId="1">[14]Анализ!$D$28,[14]Анализ!$E$28:$E$31,[14]Анализ!$D$42,[14]Анализ!$E$42:$E$45,[14]Анализ!$D$56,[14]Анализ!$E$56:$E$59,[14]Анализ!$D$70,[14]Анализ!$E$70:$E$73,[14]Анализ!$D$84,[14]Анализ!$E$84:$E$87,[14]Анализ!$D$98,[14]Анализ!$E$98:$E$101,[14]Анализ!$D$112,[14]Анализ!$E$112:$E$115</definedName>
    <definedName name="Анализ_пр2">[15]Анализ!$D$28,[15]Анализ!$E$28:$E$31,[15]Анализ!$D$42,[15]Анализ!$E$42:$E$45,[15]Анализ!$D$56,[15]Анализ!$E$56:$E$59,[15]Анализ!$D$70,[15]Анализ!$E$70:$E$73,[15]Анализ!$D$84,[15]Анализ!$E$84:$E$87,[15]Анализ!$D$98,[15]Анализ!$E$98:$E$101,[15]Анализ!$D$112,[15]Анализ!$E$112:$E$115</definedName>
    <definedName name="Анализ_пр2_2" localSheetId="1">[14]Анализ!$D$126,[14]Анализ!$E$126:$E$129</definedName>
    <definedName name="Анализ_пр2_2">[15]Анализ!$D$126,[15]Анализ!$E$126:$E$129</definedName>
    <definedName name="Анализ_пр22" localSheetId="1">[14]Анализ!$B$29:$B$31,[14]Анализ!$B$43:$B$45,[14]Анализ!$B$57:$B$59,[14]Анализ!$B$71:$B$73,[14]Анализ!$B$85:$B$87,[14]Анализ!$B$99:$B$101,[14]Анализ!$B$113:$B$115,[14]Анализ!$B$127:$B$129</definedName>
    <definedName name="Анализ_пр22">[15]Анализ!$B$29:$B$31,[15]Анализ!$B$43:$B$45,[15]Анализ!$B$57:$B$59,[15]Анализ!$B$71:$B$73,[15]Анализ!$B$85:$B$87,[15]Анализ!$B$99:$B$101,[15]Анализ!$B$113:$B$115,[15]Анализ!$B$127:$B$129</definedName>
    <definedName name="ао" localSheetId="1">#REF!</definedName>
    <definedName name="ао">#REF!</definedName>
    <definedName name="ап" localSheetId="1">'[16]2003'!$Z$3</definedName>
    <definedName name="ап">'[17]2003'!$Z$3</definedName>
    <definedName name="апрель" localSheetId="1">'[18]изм 03-04'!$T$1:$T$65536</definedName>
    <definedName name="апрель">'[19]изм 03-04'!$T$1:$T$65536</definedName>
    <definedName name="Б" localSheetId="1">[20]ГТИ!$A$7:$A$3009</definedName>
    <definedName name="Б">[21]ГТИ!$A$7:$A$3009</definedName>
    <definedName name="б1" localSheetId="1">#REF!</definedName>
    <definedName name="б1">#REF!</definedName>
    <definedName name="б2" localSheetId="1">#REF!</definedName>
    <definedName name="б2">#REF!</definedName>
    <definedName name="б3" localSheetId="1">#REF!</definedName>
    <definedName name="б3">#REF!</definedName>
    <definedName name="Б9" localSheetId="1">#REF!</definedName>
    <definedName name="Б9">#REF!</definedName>
    <definedName name="база" localSheetId="1">[5]база!$B$1:$W$65536</definedName>
    <definedName name="база">[22]база!$B$1:$W$65536</definedName>
    <definedName name="база1" localSheetId="1">#REF!</definedName>
    <definedName name="база1">#REF!</definedName>
    <definedName name="бп" localSheetId="1">[5]база!$B$1:$AH$65536</definedName>
    <definedName name="бп">[22]база!$B$1:$AH$65536</definedName>
    <definedName name="бп1" localSheetId="1">[23]база!$B$1:$AH$65536</definedName>
    <definedName name="бп1">[24]база!$B$1:$AH$65536</definedName>
    <definedName name="бр" localSheetId="1">#REF!</definedName>
    <definedName name="бр">#REF!</definedName>
    <definedName name="брбр" localSheetId="1">#REF!</definedName>
    <definedName name="брбр">#REF!</definedName>
    <definedName name="БРИ" localSheetId="1">#REF!</definedName>
    <definedName name="БРИ">#REF!</definedName>
    <definedName name="Бурение_год" localSheetId="1">#REF!,#REF!,#REF!,#REF!,#REF!,#REF!,#REF!,#REF!,#REF!,#REF!,#REF!</definedName>
    <definedName name="Бурение_год">#REF!,#REF!,#REF!,#REF!,#REF!,#REF!,#REF!,#REF!,#REF!,#REF!,#REF!</definedName>
    <definedName name="Бурение_месяц" localSheetId="1">#REF!,#REF!,#REF!,#REF!,#REF!,#REF!,#REF!,#REF!,#REF!,#REF!,#REF!</definedName>
    <definedName name="Бурение_месяц">#REF!,#REF!,#REF!,#REF!,#REF!,#REF!,#REF!,#REF!,#REF!,#REF!,#REF!</definedName>
    <definedName name="В_Ю11" localSheetId="1">'[25]Расчет Рзаб и Кпр'!#REF!</definedName>
    <definedName name="В_Ю11">'[26]Расчет Рзаб и Кпр'!#REF!</definedName>
    <definedName name="вода" localSheetId="1">[27]ВАХ_Ю11!#REF!</definedName>
    <definedName name="вода">[27]ВАХ_Ю11!#REF!</definedName>
    <definedName name="газ_год" localSheetId="1">[14]Газ!$N$37:$P$61,[14]Газ!$N$66:$P$90,[14]Газ!$N$106:$P$115,[14]Газ!$N$118:$P$127,[14]Газ!$N$130:$P$139,[14]Газ!$N$142:$P$151,[14]Газ!$N$174:$P$201,[14]Газ!$N$206:$P$230,[14]Газ!$N$235:$P$259,[14]Газ!$N$264:$P$290,[14]Газ!$N$295:$P$304,[14]Газ!$N$307:$P$316,[14]Газ!$N$320:$P$328</definedName>
    <definedName name="газ_год">[15]Газ!$N$37:$P$61,[15]Газ!$N$66:$P$90,[15]Газ!$N$106:$P$115,[15]Газ!$N$118:$P$127,[15]Газ!$N$130:$P$139,[15]Газ!$N$142:$P$151,[15]Газ!$N$174:$P$201,[15]Газ!$N$206:$P$230,[15]Газ!$N$235:$P$259,[15]Газ!$N$264:$P$290,[15]Газ!$N$295:$P$304,[15]Газ!$N$307:$P$316,[15]Газ!$N$320:$P$328</definedName>
    <definedName name="газ_месяц" localSheetId="1">[14]Газ!$I$37:$K$61,[14]Газ!$I$66:$K$90,[14]Газ!$I$106:$K$115,[14]Газ!$I$118:$K$127,[14]Газ!$I$130:$K$139,[14]Газ!$I$142:$K$151,[14]Газ!$I$174:$K$201,[14]Газ!$I$206:$K$230,[14]Газ!$I$235:$K$259,[14]Газ!$I$264:$K$290,[14]Газ!$I$295:$K$304,[14]Газ!$I$307:$K$316,[14]Газ!$I$320:$K$328</definedName>
    <definedName name="газ_месяц">[15]Газ!$I$37:$K$61,[15]Газ!$I$66:$K$90,[15]Газ!$I$106:$K$115,[15]Газ!$I$118:$K$127,[15]Газ!$I$130:$K$139,[15]Газ!$I$142:$K$151,[15]Газ!$I$174:$K$201,[15]Газ!$I$206:$K$230,[15]Газ!$I$235:$K$259,[15]Газ!$I$264:$K$290,[15]Газ!$I$295:$K$304,[15]Газ!$I$307:$K$316,[15]Газ!$I$320:$K$328</definedName>
    <definedName name="гг" localSheetId="1">'[28]изм 04-05'!$Q$1:$Q$65536</definedName>
    <definedName name="гг">'[29]изм 04-05'!$Q$1:$Q$65536</definedName>
    <definedName name="год" localSheetId="1">'[30]таблица руководству'!$Y$2</definedName>
    <definedName name="год">'[31]таблица руководству'!$Y$2</definedName>
    <definedName name="Грп_год1" localSheetId="1">'[14]ГРП, Оптимизация'!$C$87:$D$87,'[14]ГРП, Оптимизация'!$F$87:$G$87,'[14]ГРП, Оптимизация'!$I$87:$J$87,'[14]ГРП, Оптимизация'!$C$90:$D$90,'[14]ГРП, Оптимизация'!$F$90:$G$90,'[14]ГРП, Оптимизация'!$I$90:$J$90,'[14]ГРП, Оптимизация'!$C$93:$D$93</definedName>
    <definedName name="Грп_год1">'[15]ГРП, Оптимизация'!$C$87:$D$87,'[15]ГРП, Оптимизация'!$F$87:$G$87,'[15]ГРП, Оптимизация'!$I$87:$J$87,'[15]ГРП, Оптимизация'!$C$90:$D$90,'[15]ГРП, Оптимизация'!$F$90:$G$90,'[15]ГРП, Оптимизация'!$I$90:$J$90,'[15]ГРП, Оптимизация'!$C$93:$D$93</definedName>
    <definedName name="Грп_год2" localSheetId="1">'[14]ГРП, Оптимизация'!$F$93:$G$93,'[14]ГРП, Оптимизация'!$I$93:$J$93,'[14]ГРП, Оптимизация'!$C$96:$D$96,'[14]ГРП, Оптимизация'!$F$96:$G$96,'[14]ГРП, Оптимизация'!$I$96:$J$96,'[14]ГРП, Оптимизация'!$C$99:$D$99,'[14]ГРП, Оптимизация'!$F$99:$G$99</definedName>
    <definedName name="Грп_год2">'[15]ГРП, Оптимизация'!$F$93:$G$93,'[15]ГРП, Оптимизация'!$I$93:$J$93,'[15]ГРП, Оптимизация'!$C$96:$D$96,'[15]ГРП, Оптимизация'!$F$96:$G$96,'[15]ГРП, Оптимизация'!$I$96:$J$96,'[15]ГРП, Оптимизация'!$C$99:$D$99,'[15]ГРП, Оптимизация'!$F$99:$G$99</definedName>
    <definedName name="Грп_год3" localSheetId="1">'[14]ГРП, Оптимизация'!$I$99:$J$99,'[14]ГРП, Оптимизация'!$C$102:$D$102,'[14]ГРП, Оптимизация'!$F$102:$G$102,'[14]ГРП, Оптимизация'!$I$102:$J$102,'[14]ГРП, Оптимизация'!$C$105:$D$105,'[14]ГРП, Оптимизация'!$F$105:$G$105,'[14]ГРП, Оптимизация'!$I$105:$J$105</definedName>
    <definedName name="Грп_год3">'[15]ГРП, Оптимизация'!$I$99:$J$99,'[15]ГРП, Оптимизация'!$C$102:$D$102,'[15]ГРП, Оптимизация'!$F$102:$G$102,'[15]ГРП, Оптимизация'!$I$102:$J$102,'[15]ГРП, Оптимизация'!$C$105:$D$105,'[15]ГРП, Оптимизация'!$F$105:$G$105,'[15]ГРП, Оптимизация'!$I$105:$J$105</definedName>
    <definedName name="Грп_год4" localSheetId="1">'[14]ГРП, Оптимизация'!$C$108:$D$108,'[14]ГРП, Оптимизация'!$F$108:$G$108,'[14]ГРП, Оптимизация'!$I$108:$J$108</definedName>
    <definedName name="Грп_год4">'[15]ГРП, Оптимизация'!$C$108:$D$108,'[15]ГРП, Оптимизация'!$F$108:$G$108,'[15]ГРП, Оптимизация'!$I$108:$J$108</definedName>
    <definedName name="гтмн" localSheetId="1">#REF!</definedName>
    <definedName name="гтмн">#REF!</definedName>
    <definedName name="гтмс" localSheetId="1">#REF!</definedName>
    <definedName name="гтмс">#REF!</definedName>
    <definedName name="дата" localSheetId="1">'[16]2003'!#REF!</definedName>
    <definedName name="дата">'[17]2003'!#REF!</definedName>
    <definedName name="дллщд" localSheetId="1">'[4]ит.эцн,шгн'!#REF!</definedName>
    <definedName name="дллщд">'[32]ит.эцн,шгн'!#REF!</definedName>
    <definedName name="днс" localSheetId="1">#REF!</definedName>
    <definedName name="днс">#REF!</definedName>
    <definedName name="Добыча_год" localSheetId="1">[33]Добыча!$J$32:$K$34,[33]Добыча!$J$36:$K$38,[33]Добыча!$J$43:$K$47,[33]Добыча!$J$52:$K$54,[33]Добыча!$J$56:$K$57,[33]Добыча!$J$62:$K$64,[33]Добыча!$J$66:$K$67,[33]Добыча!$J$80:$K$83,[33]Добыча!$J$96:$K$99,[33]Добыча!$J$88:$K$89,[33]Добыча!$J$92:$K$93</definedName>
    <definedName name="Добыча_год">[34]Добыча!$J$32:$K$34,[34]Добыча!$J$36:$K$38,[34]Добыча!$J$43:$K$47,[34]Добыча!$J$52:$K$54,[34]Добыча!$J$56:$K$57,[34]Добыча!$J$62:$K$64,[34]Добыча!$J$66:$K$67,[34]Добыча!$J$80:$K$83,[34]Добыча!$J$96:$K$99,[34]Добыча!$J$88:$K$89,[34]Добыча!$J$92:$K$93</definedName>
    <definedName name="Добыча_год1" localSheetId="1">#REF!,#REF!,#REF!,#REF!,#REF!,#REF!,#REF!,#REF!,#REF!,#REF!,#REF!,#REF!</definedName>
    <definedName name="Добыча_год1">#REF!,#REF!,#REF!,#REF!,#REF!,#REF!,#REF!,#REF!,#REF!,#REF!,#REF!,#REF!</definedName>
    <definedName name="Добыча_год2" localSheetId="1">#REF!,#REF!,#REF!,#REF!,#REF!,#REF!,#REF!,#REF!,#REF!,#REF!,#REF!</definedName>
    <definedName name="Добыча_год2">#REF!,#REF!,#REF!,#REF!,#REF!,#REF!,#REF!,#REF!,#REF!,#REF!,#REF!</definedName>
    <definedName name="Добыча_год3" localSheetId="1">#REF!,#REF!,#REF!,#REF!,#REF!,#REF!,#REF!,#REF!,#REF!,#REF!,#REF!</definedName>
    <definedName name="Добыча_год3">#REF!,#REF!,#REF!,#REF!,#REF!,#REF!,#REF!,#REF!,#REF!,#REF!,#REF!</definedName>
    <definedName name="Добыча_год4" localSheetId="1">#REF!,#REF!,#REF!,#REF!,#REF!,#REF!,#REF!,#REF!</definedName>
    <definedName name="Добыча_год4">#REF!,#REF!,#REF!,#REF!,#REF!,#REF!,#REF!,#REF!</definedName>
    <definedName name="Добыча_месяц" localSheetId="1">[33]Добыча!$F$32:$G$34,[33]Добыча!$F$36:$G$38,[33]Добыча!$F$43:$G$47,[33]Добыча!$F$52:$G$54,[33]Добыча!$F$56:$G$57,[33]Добыча!$F$62:$G$64,[33]Добыча!$F$66:$G$67,[33]Добыча!$F$80:$G$83,[33]Добыча!$F$88:$G$89,[33]Добыча!$F$92:$G$93,[33]Добыча!$F$96:$G$99</definedName>
    <definedName name="Добыча_месяц">[34]Добыча!$F$32:$G$34,[34]Добыча!$F$36:$G$38,[34]Добыча!$F$43:$G$47,[34]Добыча!$F$52:$G$54,[34]Добыча!$F$56:$G$57,[34]Добыча!$F$62:$G$64,[34]Добыча!$F$66:$G$67,[34]Добыча!$F$80:$G$83,[34]Добыча!$F$88:$G$89,[34]Добыча!$F$92:$G$93,[34]Добыча!$F$96:$G$99</definedName>
    <definedName name="Добыча_месяц1" localSheetId="1">#REF!,#REF!,#REF!,#REF!,#REF!,#REF!,#REF!,#REF!,#REF!,#REF!,#REF!,#REF!</definedName>
    <definedName name="Добыча_месяц1">#REF!,#REF!,#REF!,#REF!,#REF!,#REF!,#REF!,#REF!,#REF!,#REF!,#REF!,#REF!</definedName>
    <definedName name="Добыча_месяц2" localSheetId="1">#REF!,#REF!,#REF!,#REF!,#REF!,#REF!,#REF!,#REF!,#REF!,#REF!,#REF!</definedName>
    <definedName name="Добыча_месяц2">#REF!,#REF!,#REF!,#REF!,#REF!,#REF!,#REF!,#REF!,#REF!,#REF!,#REF!</definedName>
    <definedName name="Добыча_месяц3" localSheetId="1">#REF!,#REF!,#REF!,#REF!,#REF!,#REF!,#REF!,#REF!,#REF!,#REF!,#REF!</definedName>
    <definedName name="Добыча_месяц3">#REF!,#REF!,#REF!,#REF!,#REF!,#REF!,#REF!,#REF!,#REF!,#REF!,#REF!</definedName>
    <definedName name="Добыча_месяц4" localSheetId="1">#REF!,#REF!,#REF!,#REF!,#REF!,#REF!,#REF!,#REF!</definedName>
    <definedName name="Добыча_месяц4">#REF!,#REF!,#REF!,#REF!,#REF!,#REF!,#REF!,#REF!</definedName>
    <definedName name="ее" localSheetId="1">#REF!</definedName>
    <definedName name="ее">#REF!</definedName>
    <definedName name="енл" localSheetId="1">'[28]изм 04-05'!$T$1:$T$65536</definedName>
    <definedName name="енл">'[29]изм 04-05'!$T$1:$T$65536</definedName>
    <definedName name="жc" localSheetId="1">#REF!</definedName>
    <definedName name="жc">#REF!</definedName>
    <definedName name="жгтм" localSheetId="1">#REF!</definedName>
    <definedName name="жгтм">#REF!</definedName>
    <definedName name="жи" localSheetId="1">#REF!</definedName>
    <definedName name="жи">#REF!</definedName>
    <definedName name="жидк" localSheetId="1">#REF!</definedName>
    <definedName name="жидк">#REF!</definedName>
    <definedName name="жидк1" localSheetId="1">#REF!</definedName>
    <definedName name="жидк1">#REF!</definedName>
    <definedName name="жм" localSheetId="1">#REF!</definedName>
    <definedName name="жм">#REF!</definedName>
    <definedName name="жн" localSheetId="1">#REF!</definedName>
    <definedName name="жн">#REF!</definedName>
    <definedName name="жс" localSheetId="1">#REF!</definedName>
    <definedName name="жс">#REF!</definedName>
    <definedName name="З_П" localSheetId="1">'[27]З_П  А1,А2'!#REF!</definedName>
    <definedName name="З_П">'[27]З_П  А1,А2'!#REF!</definedName>
    <definedName name="_xlnm.Print_Titles" localSheetId="0">'ТР нефть'!$25:$25</definedName>
    <definedName name="зщо">'[35]изм 04-05'!$Q$1:$Q$65536</definedName>
    <definedName name="из" localSheetId="1">#REF!</definedName>
    <definedName name="из">#REF!</definedName>
    <definedName name="Итоги_месяц" localSheetId="1">[14]Итоги!$C$51:$D$66,[14]Итоги!$C$69:$D$71,[14]Итоги!$F$69:$G$71,[14]Итоги!$I$69:$J$71,[14]Итоги!$L$51:$M$66,[14]Итоги!$L$69:$M$71,[14]Итоги!$O$51:$P$66,[14]Итоги!$O$69:$P$71,[14]Итоги!$X$51:$Y$66,[14]Итоги!$X$69:$Y$71,[14]Итоги!$AA$51:$AB$66,[14]Итоги!$AA$69:$AB$71</definedName>
    <definedName name="Итоги_месяц">[15]Итоги!$C$51:$D$66,[15]Итоги!$C$69:$D$71,[15]Итоги!$F$69:$G$71,[15]Итоги!$I$69:$J$71,[15]Итоги!$L$51:$M$66,[15]Итоги!$L$69:$M$71,[15]Итоги!$O$51:$P$66,[15]Итоги!$O$69:$P$71,[15]Итоги!$X$51:$Y$66,[15]Итоги!$X$69:$Y$71,[15]Итоги!$AA$51:$AB$66,[15]Итоги!$AA$69:$AB$71</definedName>
    <definedName name="й" localSheetId="1">#REF!</definedName>
    <definedName name="й">#REF!</definedName>
    <definedName name="йцуек" localSheetId="1" hidden="1">#REF!</definedName>
    <definedName name="йцуек" hidden="1">#REF!</definedName>
    <definedName name="квартал" localSheetId="1">'[30]таблица руководству'!$Y$2</definedName>
    <definedName name="квартал">'[31]таблица руководству'!$Y$2</definedName>
    <definedName name="ке" localSheetId="1">'[36]изм 04-05'!$Q$1:$Q$65536</definedName>
    <definedName name="ке">'[37]изм 04-05'!$Q$1:$Q$65536</definedName>
    <definedName name="КРС" localSheetId="1">#REF!,#REF!,#REF!,#REF!</definedName>
    <definedName name="КРС">#REF!,#REF!,#REF!,#REF!</definedName>
    <definedName name="КРС_П1" localSheetId="1">[14]Простои!$F$31:$F$43,[14]Простои!$H$31:$H$43,[14]Простои!$J$31:$J$43,[14]Простои!$L$31:$L$43,[14]Простои!$N$31:$N$43,[14]Простои!$P$31:$P$43,[14]Простои!$R$31:$R$43,[14]Простои!$T$31:$T$43,[14]Простои!$V$31:$V$43,[14]Простои!$X$31:$X$43,[14]Простои!$Z$31:$Z$43,[14]Простои!$AB$31:$AB$43</definedName>
    <definedName name="КРС_П1">[15]Простои!$F$31:$F$43,[15]Простои!$H$31:$H$43,[15]Простои!$J$31:$J$43,[15]Простои!$L$31:$L$43,[15]Простои!$N$31:$N$43,[15]Простои!$P$31:$P$43,[15]Простои!$R$31:$R$43,[15]Простои!$T$31:$T$43,[15]Простои!$V$31:$V$43,[15]Простои!$X$31:$X$43,[15]Простои!$Z$31:$Z$43,[15]Простои!$AB$31:$AB$43</definedName>
    <definedName name="КРС_П2" localSheetId="1">[14]Простои!$AD$31:$AD$43,[14]Простои!$AF$31:$AF$43,[14]Простои!$AH$31:$AH$43,[14]Простои!$AJ$31:$AJ$43,[14]Простои!$AL$31:$AL$43,[14]Простои!$AN$31:$AN$43,[14]Простои!$AP$31:$AP$43,[14]Простои!$AR$31:$AR$43,[14]Простои!$AT$31:$AT$43,[14]Простои!$AV$31:$AV$43,[14]Простои!$AX$31:$AX$43</definedName>
    <definedName name="КРС_П2">[15]Простои!$AD$31:$AD$43,[15]Простои!$AF$31:$AF$43,[15]Простои!$AH$31:$AH$43,[15]Простои!$AJ$31:$AJ$43,[15]Простои!$AL$31:$AL$43,[15]Простои!$AN$31:$AN$43,[15]Простои!$AP$31:$AP$43,[15]Простои!$AR$31:$AR$43,[15]Простои!$AT$31:$AT$43,[15]Простои!$AV$31:$AV$43,[15]Простои!$AX$31:$AX$43</definedName>
    <definedName name="КРС_П3" localSheetId="1">[14]Простои!$AZ$31:$AZ$43,[14]Простои!$BB$31:$BB$43,[14]Простои!$BD$31:$BD$43,[14]Простои!$BF$31:$BF$43,[14]Простои!$BH$31:$BH$43,[14]Простои!$BJ$31:$BJ$43,[14]Простои!$BL$31:$BL$43,[14]Простои!$BN$31:$BN$43,[14]Простои!$BP$31:$BP$43</definedName>
    <definedName name="КРС_П3">[15]Простои!$AZ$31:$AZ$43,[15]Простои!$BB$31:$BB$43,[15]Простои!$BD$31:$BD$43,[15]Простои!$BF$31:$BF$43,[15]Простои!$BH$31:$BH$43,[15]Простои!$BJ$31:$BJ$43,[15]Простои!$BL$31:$BL$43,[15]Простои!$BN$31:$BN$43,[15]Простои!$BP$31:$BP$43</definedName>
    <definedName name="КРС_Р" localSheetId="1">'[14]Работа бригад ТКРС'!$F$33:$G$45,'[14]Работа бригад ТКРС'!$J$33:$K$45,'[14]Работа бригад ТКРС'!$N$33:$O$45,'[14]Работа бригад ТКРС'!$R$33:$S$45,'[14]Работа бригад ТКРС'!$AD$33:$AE$45</definedName>
    <definedName name="КРС_Р">'[15]Работа бригад ТКРС'!$F$33:$G$45,'[15]Работа бригад ТКРС'!$J$33:$K$45,'[15]Работа бригад ТКРС'!$N$33:$O$45,'[15]Работа бригад ТКРС'!$R$33:$S$45,'[15]Работа бригад ТКРС'!$AD$33:$AE$45</definedName>
    <definedName name="л" localSheetId="1">'[38]изм 04-05'!$Q$1:$Q$65536</definedName>
    <definedName name="л">'[39]изм 04-05'!$Q$1:$Q$65536</definedName>
    <definedName name="лдж" localSheetId="1">#REF!</definedName>
    <definedName name="лдж">#REF!</definedName>
    <definedName name="лджр" localSheetId="1">#REF!</definedName>
    <definedName name="лджр">#REF!</definedName>
    <definedName name="М_Ю" localSheetId="1">[27]М_Ю!#REF!</definedName>
    <definedName name="М_Ю">[27]М_Ю!#REF!</definedName>
    <definedName name="Мощности" localSheetId="1">#REF!,#REF!,#REF!,#REF!,#REF!,#REF!</definedName>
    <definedName name="Мощности">#REF!,#REF!,#REF!,#REF!,#REF!,#REF!</definedName>
    <definedName name="мрп" localSheetId="1">#REF!</definedName>
    <definedName name="мрп">#REF!</definedName>
    <definedName name="Н_Б10" localSheetId="1">[27]Н_В_Б10!#REF!</definedName>
    <definedName name="Н_Б10">[27]Н_В_Б10!#REF!</definedName>
    <definedName name="н66" localSheetId="1">'[36]изм 04-05'!$T$1:$T$65536</definedName>
    <definedName name="н66">'[37]изм 04-05'!$T$1:$T$65536</definedName>
    <definedName name="Накопленная_нефть_1" localSheetId="1">#REF!,#REF!,#REF!,#REF!,#REF!,#REF!,#REF!,#REF!,#REF!,#REF!,#REF!,#REF!,#REF!</definedName>
    <definedName name="Накопленная_нефть_1">#REF!,#REF!,#REF!,#REF!,#REF!,#REF!,#REF!,#REF!,#REF!,#REF!,#REF!,#REF!,#REF!</definedName>
    <definedName name="нбд" localSheetId="1">'[40]изм-09.02'!$K$7:$K$215</definedName>
    <definedName name="нбд">'[41]изм-09.02'!$K$7:$K$215</definedName>
    <definedName name="нгтм" localSheetId="1">'[40]изм-09.02'!$W$8:$W$215</definedName>
    <definedName name="нгтм">'[41]изм-09.02'!$W$8:$W$215</definedName>
    <definedName name="нено" localSheetId="1">'[28]изм 04-05'!$P$1:$P$65536</definedName>
    <definedName name="нено">'[29]изм 04-05'!$P$1:$P$65536</definedName>
    <definedName name="НесСлучаи_год" localSheetId="1">[42]Бурение!#REF!</definedName>
    <definedName name="НесСлучаи_год">[43]Бурение!#REF!</definedName>
    <definedName name="НесСлучаи_месяц" localSheetId="1">[42]Бурение!#REF!</definedName>
    <definedName name="НесСлучаи_месяц">[43]Бурение!#REF!</definedName>
    <definedName name="нефть" localSheetId="1">#REF!</definedName>
    <definedName name="нефть">#REF!</definedName>
    <definedName name="ни" localSheetId="1">#REF!</definedName>
    <definedName name="ни">#REF!</definedName>
    <definedName name="нм" localSheetId="1">#REF!</definedName>
    <definedName name="нм">#REF!</definedName>
    <definedName name="нн" localSheetId="1">#REF!</definedName>
    <definedName name="нн">#REF!</definedName>
    <definedName name="новое" localSheetId="1">'[44]01-изм'!$O$1:$O$65536</definedName>
    <definedName name="новое">'[45]01-изм'!$O$1:$O$65536</definedName>
    <definedName name="НПО" localSheetId="1">[33]Добыча!$H$107:$I$110,[33]Добыча!$K$107:$M$110</definedName>
    <definedName name="НПО">[34]Добыча!$H$107:$I$110,[34]Добыча!$K$107:$M$110</definedName>
    <definedName name="нс" localSheetId="1">#REF!</definedName>
    <definedName name="нс">#REF!</definedName>
    <definedName name="нт" localSheetId="1">#REF!</definedName>
    <definedName name="нт">#REF!</definedName>
    <definedName name="нш" localSheetId="1">'[46]изм 04-05'!$Q$1:$Q$65536</definedName>
    <definedName name="нш">'[47]изм 04-05'!$Q$1:$Q$65536</definedName>
    <definedName name="_xlnm.Print_Area" localSheetId="1">Протокол!$A$1:$BE$489</definedName>
    <definedName name="_xlnm.Print_Area" localSheetId="0">'ТР нефть'!$B$2:$DX$650</definedName>
    <definedName name="Область_печати_ИМ" localSheetId="1">#REF!</definedName>
    <definedName name="Область_печати_ИМ">#REF!</definedName>
    <definedName name="од" localSheetId="1">#REF!</definedName>
    <definedName name="од">#REF!</definedName>
    <definedName name="одлождлэждэж" localSheetId="1">#REF!</definedName>
    <definedName name="одлождлэждэж">#REF!</definedName>
    <definedName name="оорр" localSheetId="1">'[48] изменение режима'!$W$1:$W$65536</definedName>
    <definedName name="оорр">'[49] изменение режима'!$W$1:$W$65536</definedName>
    <definedName name="опт" localSheetId="1">#REF!</definedName>
    <definedName name="опт">#REF!</definedName>
    <definedName name="Орг" localSheetId="1">[50]Организации!$B$3:$C$9</definedName>
    <definedName name="Орг">[51]Организации!$B$3:$C$9</definedName>
    <definedName name="Остатки_мес1" localSheetId="1">#REF!,#REF!,#REF!,#REF!,#REF!,#REF!,#REF!,#REF!,#REF!,#REF!,#REF!</definedName>
    <definedName name="Остатки_мес1">#REF!,#REF!,#REF!,#REF!,#REF!,#REF!,#REF!,#REF!,#REF!,#REF!,#REF!</definedName>
    <definedName name="Остатки_мес2" localSheetId="1">#REF!,#REF!,#REF!</definedName>
    <definedName name="Остатки_мес2">#REF!,#REF!,#REF!</definedName>
    <definedName name="Отключения" localSheetId="1">#REF!,#REF!,#REF!,#REF!</definedName>
    <definedName name="Отключения">#REF!,#REF!,#REF!,#REF!</definedName>
    <definedName name="п" localSheetId="1">[52]доб!$C$7:$C$1051</definedName>
    <definedName name="п">[53]доб!$C$7:$C$1051</definedName>
    <definedName name="П_Ю1" localSheetId="1">[27]З_П_Ю1!#REF!</definedName>
    <definedName name="П_Ю1">[27]З_П_Ю1!#REF!</definedName>
    <definedName name="Период" localSheetId="1">#REF!</definedName>
    <definedName name="Период">#REF!</definedName>
    <definedName name="пл" localSheetId="1">#REF!</definedName>
    <definedName name="пл">#REF!</definedName>
    <definedName name="пласт" localSheetId="1">#REF!</definedName>
    <definedName name="пласт">#REF!</definedName>
    <definedName name="пн" localSheetId="1">#REF!</definedName>
    <definedName name="пн">#REF!</definedName>
    <definedName name="Полет_год" localSheetId="1">[14]Рапорт!$J$100,[14]Рапорт!$M$100,[14]Рапорт!$P$100,[14]Рапорт!$S$100,[14]Рапорт!$V$100,[14]Рапорт!$Y$100,[14]Рапорт!$AB$100,[14]Рапорт!$AE$100</definedName>
    <definedName name="Полет_год">[15]Рапорт!$J$100,[15]Рапорт!$M$100,[15]Рапорт!$P$100,[15]Рапорт!$S$100,[15]Рапорт!$V$100,[15]Рапорт!$Y$100,[15]Рапорт!$AB$100,[15]Рапорт!$AE$100</definedName>
    <definedName name="Полет_месяц" localSheetId="1">[14]Рапорт!$I$100,[14]Рапорт!$L$100,[14]Рапорт!$O$100,[14]Рапорт!$R$100,[14]Рапорт!$U$100,[14]Рапорт!$X$100,[14]Рапорт!$AA$100,[14]Рапорт!$AD$100</definedName>
    <definedName name="Полет_месяц">[15]Рапорт!$I$100,[15]Рапорт!$L$100,[15]Рапорт!$O$100,[15]Рапорт!$R$100,[15]Рапорт!$U$100,[15]Рапорт!$X$100,[15]Рапорт!$AA$100,[15]Рапорт!$AD$100</definedName>
    <definedName name="Порывы" localSheetId="1">#REF!,#REF!,#REF!,#REF!</definedName>
    <definedName name="Порывы">#REF!,#REF!,#REF!,#REF!</definedName>
    <definedName name="Потери" localSheetId="1">#REF!,#REF!,#REF!,#REF!</definedName>
    <definedName name="Потери">#REF!,#REF!,#REF!,#REF!</definedName>
    <definedName name="Потери_год1" localSheetId="1">[14]Потери!$C$152:$L$157,[14]Потери!$C$161:$L$169,[14]Потери!$C$173:$L$184,[14]Потери!$C$188:$L$199,[14]Потери!$C$203:$L$208,[14]Потери!$C$212:$L$214,[14]Потери!$O$152:$P$157,[14]Потери!$R$152:$R$157,[14]Потери!$T$152:$V$157,[14]Потери!$O$161:$P$169</definedName>
    <definedName name="Потери_год1">[15]Потери!$C$152:$L$157,[15]Потери!$C$161:$L$169,[15]Потери!$C$173:$L$184,[15]Потери!$C$188:$L$199,[15]Потери!$C$203:$L$208,[15]Потери!$C$212:$L$214,[15]Потери!$O$152:$P$157,[15]Потери!$R$152:$R$157,[15]Потери!$T$152:$V$157,[15]Потери!$O$161:$P$169</definedName>
    <definedName name="Потери_год2" localSheetId="1">[14]Потери!$R$161:$R$169,[14]Потери!$T$161:$V$169,[14]Потери!$O$173:$P$184,[14]Потери!$R$173:$R$184,[14]Потери!$T$173:$V$184,[14]Потери!$O$188:$P$199,[14]Потери!$R$188:$R$199,[14]Потери!$T$188:$V$199,[14]Потери!$O$203:$P$208,[14]Потери!$R$203:$R$208</definedName>
    <definedName name="Потери_год2">[15]Потери!$R$161:$R$169,[15]Потери!$T$161:$V$169,[15]Потери!$O$173:$P$184,[15]Потери!$R$173:$R$184,[15]Потери!$T$173:$V$184,[15]Потери!$O$188:$P$199,[15]Потери!$R$188:$R$199,[15]Потери!$T$188:$V$199,[15]Потери!$O$203:$P$208,[15]Потери!$R$203:$R$208</definedName>
    <definedName name="Потери_год3" localSheetId="1">[14]Потери!$T$203:$V$208,[14]Потери!$O$212:$P$214,[14]Потери!$R$212:$R$214,[14]Потери!$T$212:$V$214,[14]Потери!$Y$152:$AI$157,[14]Потери!$Y$161:$AI$169,[14]Потери!$Y$173:$AI$184,[14]Потери!$Y$188:$AI$199,[14]Потери!$Y$203:$AI$208,[14]Потери!$Y$212:$AI$214,[14]Потери!$AK$152:$AK$157</definedName>
    <definedName name="Потери_год3">[15]Потери!$T$203:$V$208,[15]Потери!$O$212:$P$214,[15]Потери!$R$212:$R$214,[15]Потери!$T$212:$V$214,[15]Потери!$Y$152:$AI$157,[15]Потери!$Y$161:$AI$169,[15]Потери!$Y$173:$AI$184,[15]Потери!$Y$188:$AI$199,[15]Потери!$Y$203:$AI$208,[15]Потери!$Y$212:$AI$214,[15]Потери!$AK$152:$AK$157</definedName>
    <definedName name="Потери_год4" localSheetId="1">[14]Потери!$AM$152:$AM$157,[14]Потери!$AK$161:$AK$169,[14]Потери!$AM$161:$AM$169,[14]Потери!$AK$173:$AK$184,[14]Потери!$AM$173:$AM$184,[14]Потери!$AK$188:$AK$199,[14]Потери!$AM$188:$AM$199,[14]Потери!$AK$203:$AK$208,[14]Потери!$AM$203:$AM$208,[14]Потери!$AK$212:$AK$214,[14]Потери!$AM$212:$AM$214</definedName>
    <definedName name="Потери_год4">[15]Потери!$AM$152:$AM$157,[15]Потери!$AK$161:$AK$169,[15]Потери!$AM$161:$AM$169,[15]Потери!$AK$173:$AK$184,[15]Потери!$AM$173:$AM$184,[15]Потери!$AK$188:$AK$199,[15]Потери!$AM$188:$AM$199,[15]Потери!$AK$203:$AK$208,[15]Потери!$AM$203:$AM$208,[15]Потери!$AK$212:$AK$214,[15]Потери!$AM$212:$AM$214</definedName>
    <definedName name="Потери_месяц" localSheetId="1">#REF!,#REF!,#REF!,#REF!,#REF!,#REF!</definedName>
    <definedName name="Потери_месяц">#REF!,#REF!,#REF!,#REF!,#REF!,#REF!</definedName>
    <definedName name="Потери_месяц1" localSheetId="1">[14]Потери!$C$80:$L$85,[14]Потери!$C$89:$L$97,[14]Потери!$C$101:$L$112,[14]Потери!$C$116:$L$127,[14]Потери!$C$131:$L$136,[14]Потери!$C$140:$L$142,[14]Потери!$O$80:$P$85,[14]Потери!$R$80:$R$85,[14]Потери!$T$80:$V$85,[14]Потери!$O$89:$P$97,[14]Потери!$R$89:$R$97,[14]Потери!$T$89:$V$97</definedName>
    <definedName name="Потери_месяц1">[15]Потери!$C$80:$L$85,[15]Потери!$C$89:$L$97,[15]Потери!$C$101:$L$112,[15]Потери!$C$116:$L$127,[15]Потери!$C$131:$L$136,[15]Потери!$C$140:$L$142,[15]Потери!$O$80:$P$85,[15]Потери!$R$80:$R$85,[15]Потери!$T$80:$V$85,[15]Потери!$O$89:$P$97,[15]Потери!$R$89:$R$97,[15]Потери!$T$89:$V$97</definedName>
    <definedName name="Потери_месяц2" localSheetId="1">[14]Потери!$O$101:$P$112,[14]Потери!$R$101:$R$112,[14]Потери!$T$101:$V$112,[14]Потери!$O$116:$P$127,[14]Потери!$R$116:$R$127,[14]Потери!$T$116:$V$127,[14]Потери!$O$131:$P$136,[14]Потери!$R$131:$R$136,[14]Потери!$T$131:$V$136,[14]Потери!$O$140:$P$142,[14]Потери!$R$140:$R$142,[14]Потери!$T$140:$V$142</definedName>
    <definedName name="Потери_месяц2">[15]Потери!$O$101:$P$112,[15]Потери!$R$101:$R$112,[15]Потери!$T$101:$V$112,[15]Потери!$O$116:$P$127,[15]Потери!$R$116:$R$127,[15]Потери!$T$116:$V$127,[15]Потери!$O$131:$P$136,[15]Потери!$R$131:$R$136,[15]Потери!$T$131:$V$136,[15]Потери!$O$140:$P$142,[15]Потери!$R$140:$R$142,[15]Потери!$T$140:$V$142</definedName>
    <definedName name="Потери_месяц3" localSheetId="1">[14]Потери!$Y$80:$AI$85,[14]Потери!$Y$89:$AI$97,[14]Потери!$Y$101:$AI$112,[14]Потери!$Y$116:$AI$127,[14]Потери!$Y$131:$AI$136,[14]Потери!$Y$140:$AI$142,[14]Потери!$AK$80:$AK$85,[14]Потери!$AM$80:$AM$85,[14]Потери!$AK$89:$AK$97,[14]Потери!$AM$89:$AM$97,[14]Потери!$AK$101:$AK$112</definedName>
    <definedName name="Потери_месяц3">[15]Потери!$Y$80:$AI$85,[15]Потери!$Y$89:$AI$97,[15]Потери!$Y$101:$AI$112,[15]Потери!$Y$116:$AI$127,[15]Потери!$Y$131:$AI$136,[15]Потери!$Y$140:$AI$142,[15]Потери!$AK$80:$AK$85,[15]Потери!$AM$80:$AM$85,[15]Потери!$AK$89:$AK$97,[15]Потери!$AM$89:$AM$97,[15]Потери!$AK$101:$AK$112</definedName>
    <definedName name="Потери_месяц4" localSheetId="1">[14]Потери!$AM$101:$AM$112,[14]Потери!$AK$116:$AK$127,[14]Потери!$AM$116:$AM$127,[14]Потери!$AK$131:$AK$136,[14]Потери!$AM$131:$AM$136,[14]Потери!$AK$140:$AK$142,[14]Потери!$AM$140:$AM$142</definedName>
    <definedName name="Потери_месяц4">[15]Потери!$AM$101:$AM$112,[15]Потери!$AK$116:$AK$127,[15]Потери!$AM$116:$AM$127,[15]Потери!$AK$131:$AK$136,[15]Потери!$AM$131:$AM$136,[15]Потери!$AK$140:$AK$142,[15]Потери!$AM$140:$AM$142</definedName>
    <definedName name="прирост" localSheetId="1">#REF!</definedName>
    <definedName name="прирост">#REF!</definedName>
    <definedName name="Прич" localSheetId="1">#REF!</definedName>
    <definedName name="Прич">#REF!</definedName>
    <definedName name="ПРОКАТ" localSheetId="1">[52]доб!$A$7:$V$1055</definedName>
    <definedName name="ПРОКАТ">[53]доб!$A$7:$V$1055</definedName>
    <definedName name="ПРС" localSheetId="1">#REF!,#REF!,#REF!,#REF!</definedName>
    <definedName name="ПРС">#REF!,#REF!,#REF!,#REF!</definedName>
    <definedName name="ПРС_П1" localSheetId="1">[14]Простои!$F$7:$F$19,[14]Простои!$H$7:$H$19,[14]Простои!$J$7:$J$19,[14]Простои!$L$7:$L$19,[14]Простои!$N$7:$N$19,[14]Простои!$P$7:$P$19,[14]Простои!$R$7:$R$19,[14]Простои!$T$7:$T$19,[14]Простои!$V$7:$V$19,[14]Простои!$X$7:$X$19,[14]Простои!$Z$7:$Z$19,[14]Простои!$AB$7:$AB$19,[14]Простои!$AD$7:$AD$19</definedName>
    <definedName name="ПРС_П1">[15]Простои!$F$7:$F$19,[15]Простои!$H$7:$H$19,[15]Простои!$J$7:$J$19,[15]Простои!$L$7:$L$19,[15]Простои!$N$7:$N$19,[15]Простои!$P$7:$P$19,[15]Простои!$R$7:$R$19,[15]Простои!$T$7:$T$19,[15]Простои!$V$7:$V$19,[15]Простои!$X$7:$X$19,[15]Простои!$Z$7:$Z$19,[15]Простои!$AB$7:$AB$19,[15]Простои!$AD$7:$AD$19</definedName>
    <definedName name="ПРС_П2" localSheetId="1">[14]Простои!$AD$7:$AD$19,[14]Простои!$AF$7:$AF$19,[14]Простои!$AH$7:$AH$19,[14]Простои!$AJ$7:$AJ$19,[14]Простои!$AL$7:$AL$19,[14]Простои!$AN$7:$AN$19,[14]Простои!$AP$7:$AP$19,[14]Простои!$AR$7:$AR$19,[14]Простои!$AT$7:$AT$19,[14]Простои!$AV$7:$AV$19,[14]Простои!$AX$7:$AX$19,[14]Простои!$AZ$7:$AZ$19</definedName>
    <definedName name="ПРС_П2">[15]Простои!$AD$7:$AD$19,[15]Простои!$AF$7:$AF$19,[15]Простои!$AH$7:$AH$19,[15]Простои!$AJ$7:$AJ$19,[15]Простои!$AL$7:$AL$19,[15]Простои!$AN$7:$AN$19,[15]Простои!$AP$7:$AP$19,[15]Простои!$AR$7:$AR$19,[15]Простои!$AT$7:$AT$19,[15]Простои!$AV$7:$AV$19,[15]Простои!$AX$7:$AX$19,[15]Простои!$AZ$7:$AZ$19</definedName>
    <definedName name="ПРС_П3" localSheetId="1">[14]Простои!$AZ$7:$AZ$19,[14]Простои!$BB$7:$BB$19,[14]Простои!$BD$7:$BD$19,[14]Простои!$BF$7:$BF$19,[14]Простои!$BH$7:$BH$19,[14]Простои!$BJ$7:$BJ$19,[14]Простои!$BL$7:$BL$19,[14]Простои!$BN$7:$BN$19,[14]Простои!$BP$7:$BP$19</definedName>
    <definedName name="ПРС_П3">[15]Простои!$AZ$7:$AZ$19,[15]Простои!$BB$7:$BB$19,[15]Простои!$BD$7:$BD$19,[15]Простои!$BF$7:$BF$19,[15]Простои!$BH$7:$BH$19,[15]Простои!$BJ$7:$BJ$19,[15]Простои!$BL$7:$BL$19,[15]Простои!$BN$7:$BN$19,[15]Простои!$BP$7:$BP$19</definedName>
    <definedName name="ПРС_Р1" localSheetId="1">'[14]Работа бригад ТКРС'!$F$6:$G$21,'[14]Работа бригад ТКРС'!$J$6:$K$21,'[14]Работа бригад ТКРС'!$N$6:$O$21,'[14]Работа бригад ТКРС'!$R$6:$S$21,'[14]Работа бригад ТКРС'!$V$6:$W$21,'[14]Работа бригад ТКРС'!$Z$6:$AA$21,'[14]Работа бригад ТКРС'!$AD$6:$AE$21</definedName>
    <definedName name="ПРС_Р1">'[15]Работа бригад ТКРС'!$F$6:$G$21,'[15]Работа бригад ТКРС'!$J$6:$K$21,'[15]Работа бригад ТКРС'!$N$6:$O$21,'[15]Работа бригад ТКРС'!$R$6:$S$21,'[15]Работа бригад ТКРС'!$V$6:$W$21,'[15]Работа бригад ТКРС'!$Z$6:$AA$21,'[15]Работа бригад ТКРС'!$AD$6:$AE$21</definedName>
    <definedName name="ПРС_Р2" localSheetId="1">'[14]Работа бригад ТКРС'!$AH$6:$AI$21,'[14]Работа бригад ТКРС'!$AL$6:$AM$21,'[14]Работа бригад ТКРС'!$AV$6:$AW$21</definedName>
    <definedName name="ПРС_Р2">'[15]Работа бригад ТКРС'!$AH$6:$AI$21,'[15]Работа бригад ТКРС'!$AL$6:$AM$21,'[15]Работа бригад ТКРС'!$AV$6:$AW$21</definedName>
    <definedName name="рап" localSheetId="1">'[54]01-изм'!$N$1:$N$65536</definedName>
    <definedName name="рап">'[55]01-изм'!$N$1:$N$65536</definedName>
    <definedName name="Расчет" localSheetId="1">[50]Расчет!$E$3:$M$242</definedName>
    <definedName name="Расчет">[51]Расчет!$E$3:$M$242</definedName>
    <definedName name="Расчет_О" localSheetId="1">[50]Расчет!$E$2:$M$2</definedName>
    <definedName name="Расчет_О">[51]Расчет!$E$2:$M$2</definedName>
    <definedName name="_xlnm.Recorder" localSheetId="1">#REF!</definedName>
    <definedName name="_xlnm.Recorder">#REF!</definedName>
    <definedName name="рлжд" localSheetId="1">'[56]ит.эцн,шгн'!#REF!</definedName>
    <definedName name="рлжд">'[57]ит.эцн,шгн'!#REF!</definedName>
    <definedName name="рмогнмгл" localSheetId="1">'[58] изменение режима'!$W$1:$W$65536</definedName>
    <definedName name="рмогнмгл">'[59] изменение режима'!$W$1:$W$65536</definedName>
    <definedName name="Роспан_ГРП" localSheetId="1">'[14]ГРП, Оптимизация'!$B$34:$D$36,'[14]ГРП, Оптимизация'!$F$34:$H$36,'[14]ГРП, Оптимизация'!$J$34:$K$36,'[14]ГРП, Оптимизация'!$M$34:$O$36,'[14]ГРП, Оптимизация'!$B$73:$C$75,'[14]ГРП, Оптимизация'!$E$73:$F$75,'[14]ГРП, Оптимизация'!$H$73:$J$75</definedName>
    <definedName name="Роспан_ГРП">'[15]ГРП, Оптимизация'!$B$34:$D$36,'[15]ГРП, Оптимизация'!$F$34:$H$36,'[15]ГРП, Оптимизация'!$J$34:$K$36,'[15]ГРП, Оптимизация'!$M$34:$O$36,'[15]ГРП, Оптимизация'!$B$73:$C$75,'[15]ГРП, Оптимизация'!$E$73:$F$75,'[15]ГРП, Оптимизация'!$H$73:$J$75</definedName>
    <definedName name="С_Б8" localSheetId="1">[27]сов_Б!#REF!</definedName>
    <definedName name="С_Б8">[27]сов_Б!#REF!</definedName>
    <definedName name="Сдача_Ввод_год" localSheetId="1">[14]Бурение!$E$233:$F$241,[14]Бурение!$K$233:$L$241</definedName>
    <definedName name="Сдача_Ввод_год">[15]Бурение!$E$233:$F$241,[15]Бурение!$K$233:$L$241</definedName>
    <definedName name="скв" localSheetId="1">#REF!</definedName>
    <definedName name="скв">#REF!</definedName>
    <definedName name="скв1" localSheetId="1">#REF!</definedName>
    <definedName name="скв1">#REF!</definedName>
    <definedName name="скв2" localSheetId="1">#REF!</definedName>
    <definedName name="скв2">#REF!</definedName>
    <definedName name="скв3" localSheetId="1">#REF!</definedName>
    <definedName name="скв3">#REF!</definedName>
    <definedName name="Случаи_год" localSheetId="1">[42]Бурение!#REF!</definedName>
    <definedName name="Случаи_год">[43]Бурение!#REF!</definedName>
    <definedName name="Случаи_месяц" localSheetId="1">[42]Бурение!#REF!</definedName>
    <definedName name="Случаи_месяц">[43]Бурение!#REF!</definedName>
    <definedName name="сн" localSheetId="1">#REF!</definedName>
    <definedName name="сн">#REF!</definedName>
    <definedName name="сос" localSheetId="1">'[54]01-изм'!$T$1:$T$65536</definedName>
    <definedName name="сос">'[55]01-изм'!$T$1:$T$65536</definedName>
    <definedName name="сп" localSheetId="1">#REF!</definedName>
    <definedName name="сп">#REF!</definedName>
    <definedName name="сп1" localSheetId="1">#REF!</definedName>
    <definedName name="сп1">#REF!</definedName>
    <definedName name="сп2" localSheetId="1">#REF!</definedName>
    <definedName name="сп2">#REF!</definedName>
    <definedName name="спн" localSheetId="1">#REF!</definedName>
    <definedName name="спн">#REF!</definedName>
    <definedName name="способ" localSheetId="1">#REF!</definedName>
    <definedName name="способ">#REF!</definedName>
    <definedName name="сс" localSheetId="1">#REF!</definedName>
    <definedName name="сс">#REF!</definedName>
    <definedName name="сч1" localSheetId="1">#REF!</definedName>
    <definedName name="сч1">#REF!</definedName>
    <definedName name="сч2" localSheetId="1">#REF!</definedName>
    <definedName name="сч2">#REF!</definedName>
    <definedName name="сэ" localSheetId="1">#REF!</definedName>
    <definedName name="сэ">#REF!</definedName>
    <definedName name="тонны" localSheetId="1">#REF!</definedName>
    <definedName name="тонны">#REF!</definedName>
    <definedName name="тонны1" localSheetId="1">#REF!</definedName>
    <definedName name="тонны1">#REF!</definedName>
    <definedName name="тт" localSheetId="1">#REF!</definedName>
    <definedName name="тт">#REF!</definedName>
    <definedName name="уточ._режима" localSheetId="1">#REF!</definedName>
    <definedName name="уточ._режима">#REF!</definedName>
    <definedName name="флаг" localSheetId="1">'[60]таблица руководству'!$Q$3</definedName>
    <definedName name="флаг">'[61]таблица руководству'!$Q$3</definedName>
    <definedName name="флаг1" localSheetId="1">#REF!</definedName>
    <definedName name="флаг1">#REF!</definedName>
    <definedName name="флаг2" localSheetId="1">'[60]Суточная добыча за неделю'!$L$2</definedName>
    <definedName name="флаг2">'[61]Суточная добыча за неделю'!$L$2</definedName>
    <definedName name="флаг4">"CheckBox1"</definedName>
    <definedName name="флаг5">"Флажок 16"</definedName>
    <definedName name="фон21" localSheetId="1">'[4]ит.эцн,шгн'!#REF!</definedName>
    <definedName name="фон21">'[3]ит.эцн,шгн'!#REF!</definedName>
    <definedName name="фонд" localSheetId="1">#REF!</definedName>
    <definedName name="фонд">#REF!</definedName>
    <definedName name="Фонд_пред_сутки" localSheetId="1">[14]Рапорт!$M$64:$M$69,[14]Рапорт!$R$64:$R$69,[14]Рапорт!$W$64:$W$69,[14]Рапорт!$C$72:$C$77,[14]Рапорт!$H$72:$H$77,[14]Рапорт!$M$72:$M$77,[14]Рапорт!$R$72:$R$77,[14]Рапорт!$W$72:$W$77,[14]Рапорт!$AB$72:$AB$77</definedName>
    <definedName name="Фонд_пред_сутки">[15]Рапорт!$M$64:$M$69,[15]Рапорт!$R$64:$R$69,[15]Рапорт!$W$64:$W$69,[15]Рапорт!$C$72:$C$77,[15]Рапорт!$H$72:$H$77,[15]Рапорт!$M$72:$M$77,[15]Рапорт!$R$72:$R$77,[15]Рапорт!$W$72:$W$77,[15]Рапорт!$AB$72:$AB$77</definedName>
    <definedName name="Ч_Ю1" localSheetId="1">[27]ЧК_Ю1!#REF!</definedName>
    <definedName name="Ч_Ю1">[27]ЧК_Ю1!#REF!</definedName>
    <definedName name="шифр" localSheetId="1">#REF!</definedName>
    <definedName name="шифр">#REF!</definedName>
    <definedName name="ывпафвыа12" localSheetId="1" hidden="1">[2]REN1011!#REF!</definedName>
    <definedName name="ывпафвыа12" hidden="1">[2]REN1011!#REF!</definedName>
    <definedName name="ьл" localSheetId="1">'[38]изм 04-05'!$T$1:$T$65536</definedName>
    <definedName name="ьл">'[39]изм 04-05'!$T$1:$T$65536</definedName>
    <definedName name="эх" localSheetId="1" hidden="1">#REF!</definedName>
    <definedName name="эх" hidden="1">#REF!</definedName>
    <definedName name="Ю" localSheetId="1">#REF!</definedName>
    <definedName name="Ю">#REF!</definedName>
    <definedName name="яя">[62]база!$B$1:$X$65536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10" i="5" l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326" i="5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19" i="5"/>
  <c r="B320" i="5" s="1"/>
  <c r="B321" i="5" s="1"/>
  <c r="B322" i="5" s="1"/>
  <c r="B323" i="5" s="1"/>
  <c r="B324" i="5" s="1"/>
  <c r="B325" i="5" s="1"/>
  <c r="B186" i="5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AQ178" i="5"/>
  <c r="BA165" i="5"/>
  <c r="AZ165" i="5"/>
  <c r="AR165" i="5"/>
  <c r="AR178" i="5" s="1"/>
  <c r="AQ165" i="5"/>
  <c r="AE165" i="5"/>
  <c r="AD165" i="5"/>
  <c r="P165" i="5"/>
  <c r="O165" i="5"/>
  <c r="BB152" i="5"/>
  <c r="BA152" i="5"/>
  <c r="AZ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B148" i="5"/>
  <c r="B149" i="5" s="1"/>
  <c r="B150" i="5" s="1"/>
  <c r="B151" i="5" s="1"/>
  <c r="B152" i="5" s="1"/>
  <c r="B153" i="5" s="1"/>
  <c r="B147" i="5"/>
  <c r="BA143" i="5"/>
  <c r="AZ143" i="5"/>
  <c r="AR143" i="5"/>
  <c r="AQ143" i="5"/>
  <c r="AE143" i="5"/>
  <c r="AD143" i="5"/>
  <c r="P143" i="5"/>
  <c r="O143" i="5"/>
  <c r="B117" i="5"/>
  <c r="B116" i="5"/>
  <c r="B115" i="5"/>
  <c r="B114" i="5"/>
  <c r="B113" i="5"/>
  <c r="V109" i="5"/>
  <c r="V181" i="5" s="1"/>
  <c r="V314" i="5" s="1"/>
  <c r="V406" i="5" s="1"/>
  <c r="B105" i="5"/>
  <c r="B104" i="5"/>
  <c r="B103" i="5"/>
  <c r="B102" i="5"/>
  <c r="B101" i="5"/>
  <c r="B100" i="5"/>
  <c r="B99" i="5"/>
  <c r="B98" i="5"/>
  <c r="B97" i="5"/>
  <c r="B96" i="5"/>
  <c r="B92" i="5"/>
  <c r="B91" i="5"/>
  <c r="B90" i="5"/>
  <c r="V87" i="5"/>
  <c r="G87" i="5"/>
  <c r="G109" i="5" s="1"/>
  <c r="G181" i="5" s="1"/>
  <c r="G314" i="5" s="1"/>
  <c r="G406" i="5" s="1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H28" i="5"/>
  <c r="G28" i="5"/>
  <c r="F20" i="5"/>
  <c r="E20" i="5"/>
  <c r="QX646" i="4"/>
  <c r="QX645" i="4"/>
  <c r="QX644" i="4"/>
  <c r="QX643" i="4"/>
  <c r="QX642" i="4"/>
  <c r="ER642" i="4"/>
  <c r="EO642" i="4"/>
  <c r="EM642" i="4"/>
  <c r="QX641" i="4"/>
  <c r="FY641" i="4"/>
  <c r="FX641" i="4"/>
  <c r="FW641" i="4"/>
  <c r="FV641" i="4"/>
  <c r="FU641" i="4"/>
  <c r="FT641" i="4"/>
  <c r="FS641" i="4"/>
  <c r="FR641" i="4"/>
  <c r="FQ641" i="4"/>
  <c r="FP641" i="4"/>
  <c r="FO641" i="4"/>
  <c r="FN641" i="4"/>
  <c r="FM641" i="4"/>
  <c r="FL641" i="4"/>
  <c r="FK641" i="4"/>
  <c r="EB641" i="4"/>
  <c r="DX641" i="4"/>
  <c r="DW641" i="4"/>
  <c r="DL641" i="4"/>
  <c r="DH641" i="4"/>
  <c r="DF641" i="4"/>
  <c r="DD641" i="4"/>
  <c r="DC641" i="4"/>
  <c r="DB641" i="4" s="1"/>
  <c r="DA641" i="4"/>
  <c r="CX641" i="4"/>
  <c r="CV641" i="4"/>
  <c r="CU641" i="4"/>
  <c r="DE641" i="4" s="1"/>
  <c r="CO641" i="4"/>
  <c r="CW641" i="4" s="1"/>
  <c r="CD641" i="4"/>
  <c r="BS641" i="4"/>
  <c r="BP641" i="4"/>
  <c r="BO641" i="4"/>
  <c r="BN641" i="4"/>
  <c r="BM641" i="4"/>
  <c r="BL641" i="4"/>
  <c r="BK641" i="4"/>
  <c r="BJ641" i="4"/>
  <c r="BI641" i="4"/>
  <c r="BH641" i="4"/>
  <c r="BG641" i="4"/>
  <c r="BF641" i="4"/>
  <c r="BE641" i="4"/>
  <c r="BD641" i="4"/>
  <c r="BC641" i="4"/>
  <c r="BB641" i="4"/>
  <c r="BA641" i="4"/>
  <c r="AZ641" i="4"/>
  <c r="AY641" i="4"/>
  <c r="AX641" i="4"/>
  <c r="AW641" i="4"/>
  <c r="AV641" i="4"/>
  <c r="Q641" i="4"/>
  <c r="B641" i="4"/>
  <c r="A641" i="4"/>
  <c r="DA640" i="4"/>
  <c r="CK640" i="4"/>
  <c r="A640" i="4"/>
  <c r="QX639" i="4"/>
  <c r="FV639" i="4"/>
  <c r="FU639" i="4"/>
  <c r="FP639" i="4"/>
  <c r="FO639" i="4"/>
  <c r="FL639" i="4"/>
  <c r="FK639" i="4"/>
  <c r="FJ639" i="4"/>
  <c r="FY639" i="4" s="1"/>
  <c r="FI639" i="4"/>
  <c r="FX639" i="4" s="1"/>
  <c r="FH639" i="4"/>
  <c r="FG639" i="4"/>
  <c r="FE639" i="4"/>
  <c r="FT639" i="4" s="1"/>
  <c r="FD639" i="4"/>
  <c r="FS639" i="4" s="1"/>
  <c r="FC639" i="4"/>
  <c r="FR639" i="4" s="1"/>
  <c r="FA639" i="4"/>
  <c r="EZ639" i="4"/>
  <c r="EY639" i="4"/>
  <c r="EX639" i="4"/>
  <c r="FN639" i="4" s="1"/>
  <c r="EW639" i="4"/>
  <c r="FM639" i="4" s="1"/>
  <c r="EV639" i="4"/>
  <c r="EU639" i="4"/>
  <c r="EB639" i="4"/>
  <c r="EA639" i="4"/>
  <c r="DX639" i="4"/>
  <c r="DW639" i="4"/>
  <c r="DV639" i="4"/>
  <c r="DZ639" i="4" s="1"/>
  <c r="DU639" i="4"/>
  <c r="DH639" i="4"/>
  <c r="DF639" i="4"/>
  <c r="DA639" i="4"/>
  <c r="CX639" i="4"/>
  <c r="CW639" i="4"/>
  <c r="CV639" i="4"/>
  <c r="DY639" i="4" s="1"/>
  <c r="EC639" i="4" s="1"/>
  <c r="CU639" i="4"/>
  <c r="DE639" i="4" s="1"/>
  <c r="CO639" i="4"/>
  <c r="FB639" i="4" s="1"/>
  <c r="FQ639" i="4" s="1"/>
  <c r="CK639" i="4"/>
  <c r="BS639" i="4"/>
  <c r="BP639" i="4"/>
  <c r="BO639" i="4"/>
  <c r="BN639" i="4"/>
  <c r="BM639" i="4"/>
  <c r="BL639" i="4"/>
  <c r="BK639" i="4"/>
  <c r="BJ639" i="4"/>
  <c r="BI639" i="4"/>
  <c r="BH639" i="4"/>
  <c r="BG639" i="4"/>
  <c r="BF639" i="4"/>
  <c r="BE639" i="4"/>
  <c r="BD639" i="4"/>
  <c r="BC639" i="4"/>
  <c r="BB639" i="4"/>
  <c r="BA639" i="4"/>
  <c r="AZ639" i="4"/>
  <c r="AY639" i="4"/>
  <c r="AX639" i="4"/>
  <c r="AW639" i="4"/>
  <c r="AV639" i="4"/>
  <c r="Q639" i="4"/>
  <c r="B639" i="4"/>
  <c r="A639" i="4"/>
  <c r="QX638" i="4"/>
  <c r="FX638" i="4"/>
  <c r="FS638" i="4"/>
  <c r="FR638" i="4"/>
  <c r="FQ638" i="4"/>
  <c r="DC638" i="4" s="1"/>
  <c r="DB638" i="4" s="1"/>
  <c r="FN638" i="4"/>
  <c r="FM638" i="4"/>
  <c r="FI638" i="4"/>
  <c r="FH638" i="4"/>
  <c r="FV638" i="4" s="1"/>
  <c r="FG638" i="4"/>
  <c r="FU638" i="4" s="1"/>
  <c r="FE638" i="4"/>
  <c r="FT638" i="4" s="1"/>
  <c r="FD638" i="4"/>
  <c r="FC638" i="4"/>
  <c r="FB638" i="4"/>
  <c r="FA638" i="4"/>
  <c r="FP638" i="4" s="1"/>
  <c r="EZ638" i="4"/>
  <c r="FO638" i="4" s="1"/>
  <c r="EY638" i="4"/>
  <c r="EX638" i="4"/>
  <c r="EW638" i="4"/>
  <c r="EV638" i="4"/>
  <c r="FL638" i="4" s="1"/>
  <c r="EU638" i="4"/>
  <c r="FK638" i="4" s="1"/>
  <c r="DX638" i="4"/>
  <c r="EB638" i="4" s="1"/>
  <c r="DW638" i="4"/>
  <c r="EA638" i="4" s="1"/>
  <c r="DH638" i="4"/>
  <c r="DF638" i="4"/>
  <c r="DE638" i="4"/>
  <c r="DD638" i="4"/>
  <c r="DA638" i="4"/>
  <c r="CX638" i="4"/>
  <c r="FJ638" i="4" s="1"/>
  <c r="FY638" i="4" s="1"/>
  <c r="CW638" i="4"/>
  <c r="CV638" i="4"/>
  <c r="FF638" i="4" s="1"/>
  <c r="FW638" i="4" s="1"/>
  <c r="CU638" i="4"/>
  <c r="CO638" i="4"/>
  <c r="CK638" i="4"/>
  <c r="BS638" i="4"/>
  <c r="BP638" i="4"/>
  <c r="BO638" i="4"/>
  <c r="BN638" i="4"/>
  <c r="BM638" i="4"/>
  <c r="BL638" i="4"/>
  <c r="BK638" i="4"/>
  <c r="BJ638" i="4"/>
  <c r="BI638" i="4"/>
  <c r="BH638" i="4"/>
  <c r="BG638" i="4"/>
  <c r="BF638" i="4"/>
  <c r="BE638" i="4"/>
  <c r="BD638" i="4"/>
  <c r="BC638" i="4"/>
  <c r="BB638" i="4"/>
  <c r="BA638" i="4"/>
  <c r="AZ638" i="4"/>
  <c r="AY638" i="4"/>
  <c r="AX638" i="4"/>
  <c r="AW638" i="4"/>
  <c r="AV638" i="4"/>
  <c r="Q638" i="4"/>
  <c r="B638" i="4"/>
  <c r="A638" i="4"/>
  <c r="QX637" i="4"/>
  <c r="FU637" i="4"/>
  <c r="FT637" i="4"/>
  <c r="FS637" i="4"/>
  <c r="FO637" i="4"/>
  <c r="FN637" i="4"/>
  <c r="FI637" i="4"/>
  <c r="FX637" i="4" s="1"/>
  <c r="FH637" i="4"/>
  <c r="FV637" i="4" s="1"/>
  <c r="FG637" i="4"/>
  <c r="FE637" i="4"/>
  <c r="FD637" i="4"/>
  <c r="FC637" i="4"/>
  <c r="FR637" i="4" s="1"/>
  <c r="FA637" i="4"/>
  <c r="FP637" i="4" s="1"/>
  <c r="EZ637" i="4"/>
  <c r="EY637" i="4"/>
  <c r="EX637" i="4"/>
  <c r="EW637" i="4"/>
  <c r="FM637" i="4" s="1"/>
  <c r="EV637" i="4"/>
  <c r="FL637" i="4" s="1"/>
  <c r="EU637" i="4"/>
  <c r="FK637" i="4" s="1"/>
  <c r="EA637" i="4"/>
  <c r="DX637" i="4"/>
  <c r="EB637" i="4" s="1"/>
  <c r="DW637" i="4"/>
  <c r="DV637" i="4" s="1"/>
  <c r="DZ637" i="4" s="1"/>
  <c r="DU637" i="4"/>
  <c r="DH637" i="4"/>
  <c r="DF637" i="4"/>
  <c r="DA637" i="4"/>
  <c r="CX637" i="4"/>
  <c r="FJ637" i="4" s="1"/>
  <c r="FY637" i="4" s="1"/>
  <c r="CW637" i="4"/>
  <c r="CU637" i="4"/>
  <c r="DE637" i="4" s="1"/>
  <c r="CO637" i="4"/>
  <c r="FB637" i="4" s="1"/>
  <c r="FQ637" i="4" s="1"/>
  <c r="CK637" i="4"/>
  <c r="BP637" i="4"/>
  <c r="BO637" i="4"/>
  <c r="BN637" i="4"/>
  <c r="BM637" i="4"/>
  <c r="BL637" i="4"/>
  <c r="BK637" i="4"/>
  <c r="BJ637" i="4"/>
  <c r="BI637" i="4"/>
  <c r="BH637" i="4"/>
  <c r="BG637" i="4"/>
  <c r="BF637" i="4"/>
  <c r="BE637" i="4"/>
  <c r="BD637" i="4"/>
  <c r="BC637" i="4"/>
  <c r="BB637" i="4"/>
  <c r="BA637" i="4"/>
  <c r="AZ637" i="4"/>
  <c r="AY637" i="4"/>
  <c r="AX637" i="4"/>
  <c r="AW637" i="4"/>
  <c r="AV637" i="4"/>
  <c r="Y637" i="4"/>
  <c r="Q637" i="4"/>
  <c r="B637" i="4"/>
  <c r="A637" i="4"/>
  <c r="QX636" i="4"/>
  <c r="FV636" i="4"/>
  <c r="FU636" i="4"/>
  <c r="FP636" i="4"/>
  <c r="FO636" i="4"/>
  <c r="FL636" i="4"/>
  <c r="FK636" i="4"/>
  <c r="FJ636" i="4"/>
  <c r="FY636" i="4" s="1"/>
  <c r="FI636" i="4"/>
  <c r="FX636" i="4" s="1"/>
  <c r="FH636" i="4"/>
  <c r="FG636" i="4"/>
  <c r="FE636" i="4"/>
  <c r="FT636" i="4" s="1"/>
  <c r="FD636" i="4"/>
  <c r="FS636" i="4" s="1"/>
  <c r="FC636" i="4"/>
  <c r="FR636" i="4" s="1"/>
  <c r="FA636" i="4"/>
  <c r="EZ636" i="4"/>
  <c r="EY636" i="4"/>
  <c r="EX636" i="4"/>
  <c r="FN636" i="4" s="1"/>
  <c r="EW636" i="4"/>
  <c r="FM636" i="4" s="1"/>
  <c r="EV636" i="4"/>
  <c r="EU636" i="4"/>
  <c r="EB636" i="4"/>
  <c r="EA636" i="4"/>
  <c r="DX636" i="4"/>
  <c r="DW636" i="4"/>
  <c r="DV636" i="4"/>
  <c r="DZ636" i="4" s="1"/>
  <c r="DU636" i="4"/>
  <c r="DL636" i="4"/>
  <c r="DH636" i="4"/>
  <c r="DF636" i="4"/>
  <c r="DA636" i="4"/>
  <c r="CX636" i="4"/>
  <c r="CW636" i="4"/>
  <c r="CV636" i="4"/>
  <c r="DY636" i="4" s="1"/>
  <c r="EC636" i="4" s="1"/>
  <c r="CU636" i="4"/>
  <c r="DE636" i="4" s="1"/>
  <c r="CO636" i="4"/>
  <c r="FB636" i="4" s="1"/>
  <c r="FQ636" i="4" s="1"/>
  <c r="CK636" i="4"/>
  <c r="BP636" i="4"/>
  <c r="BO636" i="4"/>
  <c r="BN636" i="4"/>
  <c r="BM636" i="4"/>
  <c r="BL636" i="4"/>
  <c r="BK636" i="4"/>
  <c r="BJ636" i="4"/>
  <c r="BI636" i="4"/>
  <c r="BH636" i="4"/>
  <c r="BG636" i="4"/>
  <c r="BF636" i="4"/>
  <c r="BE636" i="4"/>
  <c r="BD636" i="4"/>
  <c r="BC636" i="4"/>
  <c r="BB636" i="4"/>
  <c r="BA636" i="4"/>
  <c r="AZ636" i="4"/>
  <c r="AY636" i="4"/>
  <c r="AX636" i="4"/>
  <c r="AW636" i="4"/>
  <c r="AV636" i="4"/>
  <c r="Y636" i="4"/>
  <c r="Q636" i="4"/>
  <c r="B636" i="4"/>
  <c r="A636" i="4"/>
  <c r="QX635" i="4"/>
  <c r="FX635" i="4"/>
  <c r="FT635" i="4"/>
  <c r="FS635" i="4"/>
  <c r="FR635" i="4"/>
  <c r="FN635" i="4"/>
  <c r="FM635" i="4"/>
  <c r="FL635" i="4"/>
  <c r="FI635" i="4"/>
  <c r="FH635" i="4"/>
  <c r="FV635" i="4" s="1"/>
  <c r="FG635" i="4"/>
  <c r="FU635" i="4" s="1"/>
  <c r="FE635" i="4"/>
  <c r="FD635" i="4"/>
  <c r="FC635" i="4"/>
  <c r="FA635" i="4"/>
  <c r="FP635" i="4" s="1"/>
  <c r="EZ635" i="4"/>
  <c r="FO635" i="4" s="1"/>
  <c r="EY635" i="4"/>
  <c r="EX635" i="4"/>
  <c r="EW635" i="4"/>
  <c r="EV635" i="4"/>
  <c r="EU635" i="4"/>
  <c r="FK635" i="4" s="1"/>
  <c r="DX635" i="4"/>
  <c r="EB635" i="4" s="1"/>
  <c r="DW635" i="4"/>
  <c r="DV635" i="4" s="1"/>
  <c r="DZ635" i="4" s="1"/>
  <c r="DL635" i="4"/>
  <c r="DH635" i="4"/>
  <c r="DF635" i="4"/>
  <c r="DA635" i="4"/>
  <c r="CX635" i="4"/>
  <c r="FJ635" i="4" s="1"/>
  <c r="FY635" i="4" s="1"/>
  <c r="CW635" i="4"/>
  <c r="CU635" i="4"/>
  <c r="DE635" i="4" s="1"/>
  <c r="CO635" i="4"/>
  <c r="CV635" i="4" s="1"/>
  <c r="CK635" i="4"/>
  <c r="BP635" i="4"/>
  <c r="BO635" i="4"/>
  <c r="BN635" i="4"/>
  <c r="BM635" i="4"/>
  <c r="BL635" i="4"/>
  <c r="BK635" i="4"/>
  <c r="BJ635" i="4"/>
  <c r="BI635" i="4"/>
  <c r="BH635" i="4"/>
  <c r="BG635" i="4"/>
  <c r="BF635" i="4"/>
  <c r="BE635" i="4"/>
  <c r="BD635" i="4"/>
  <c r="BC635" i="4"/>
  <c r="BB635" i="4"/>
  <c r="BA635" i="4"/>
  <c r="AZ635" i="4"/>
  <c r="AY635" i="4"/>
  <c r="AX635" i="4"/>
  <c r="AW635" i="4"/>
  <c r="AV635" i="4"/>
  <c r="Y635" i="4"/>
  <c r="Q635" i="4"/>
  <c r="B635" i="4"/>
  <c r="A635" i="4"/>
  <c r="QX634" i="4"/>
  <c r="FW634" i="4"/>
  <c r="FV634" i="4"/>
  <c r="FU634" i="4"/>
  <c r="FP634" i="4"/>
  <c r="FO634" i="4"/>
  <c r="FL634" i="4"/>
  <c r="FK634" i="4"/>
  <c r="FI634" i="4"/>
  <c r="FX634" i="4" s="1"/>
  <c r="FH634" i="4"/>
  <c r="FG634" i="4"/>
  <c r="FF634" i="4"/>
  <c r="FE634" i="4"/>
  <c r="FT634" i="4" s="1"/>
  <c r="FD634" i="4"/>
  <c r="FS634" i="4" s="1"/>
  <c r="FC634" i="4"/>
  <c r="FR634" i="4" s="1"/>
  <c r="FA634" i="4"/>
  <c r="EZ634" i="4"/>
  <c r="EY634" i="4"/>
  <c r="EX634" i="4"/>
  <c r="FN634" i="4" s="1"/>
  <c r="EW634" i="4"/>
  <c r="FM634" i="4" s="1"/>
  <c r="EV634" i="4"/>
  <c r="EU634" i="4"/>
  <c r="EB634" i="4"/>
  <c r="DZ634" i="4"/>
  <c r="DX634" i="4"/>
  <c r="DW634" i="4"/>
  <c r="EA634" i="4" s="1"/>
  <c r="DV634" i="4"/>
  <c r="DL634" i="4"/>
  <c r="DH634" i="4"/>
  <c r="DF634" i="4"/>
  <c r="DA634" i="4"/>
  <c r="CX634" i="4"/>
  <c r="FJ634" i="4" s="1"/>
  <c r="FY634" i="4" s="1"/>
  <c r="CW634" i="4"/>
  <c r="CV634" i="4"/>
  <c r="DY634" i="4" s="1"/>
  <c r="EC634" i="4" s="1"/>
  <c r="CU634" i="4"/>
  <c r="DE634" i="4" s="1"/>
  <c r="CO634" i="4"/>
  <c r="FB634" i="4" s="1"/>
  <c r="FQ634" i="4" s="1"/>
  <c r="CK634" i="4"/>
  <c r="BP634" i="4"/>
  <c r="BO634" i="4"/>
  <c r="BN634" i="4"/>
  <c r="BM634" i="4"/>
  <c r="BL634" i="4"/>
  <c r="BK634" i="4"/>
  <c r="BJ634" i="4"/>
  <c r="BI634" i="4"/>
  <c r="BH634" i="4"/>
  <c r="BG634" i="4"/>
  <c r="BF634" i="4"/>
  <c r="BE634" i="4"/>
  <c r="BD634" i="4"/>
  <c r="BC634" i="4"/>
  <c r="BB634" i="4"/>
  <c r="BA634" i="4"/>
  <c r="AZ634" i="4"/>
  <c r="AY634" i="4"/>
  <c r="AX634" i="4"/>
  <c r="AW634" i="4"/>
  <c r="AV634" i="4"/>
  <c r="Y634" i="4"/>
  <c r="Q634" i="4"/>
  <c r="B634" i="4"/>
  <c r="A634" i="4"/>
  <c r="QX633" i="4"/>
  <c r="FX633" i="4"/>
  <c r="FU633" i="4"/>
  <c r="FT633" i="4"/>
  <c r="FS633" i="4"/>
  <c r="FR633" i="4"/>
  <c r="FN633" i="4"/>
  <c r="FL633" i="4"/>
  <c r="FI633" i="4"/>
  <c r="FH633" i="4"/>
  <c r="FV633" i="4" s="1"/>
  <c r="FG633" i="4"/>
  <c r="FE633" i="4"/>
  <c r="FD633" i="4"/>
  <c r="FC633" i="4"/>
  <c r="FB633" i="4"/>
  <c r="FQ633" i="4" s="1"/>
  <c r="DC633" i="4" s="1"/>
  <c r="FA633" i="4"/>
  <c r="FP633" i="4" s="1"/>
  <c r="EZ633" i="4"/>
  <c r="FO633" i="4" s="1"/>
  <c r="EY633" i="4"/>
  <c r="EX633" i="4"/>
  <c r="EW633" i="4"/>
  <c r="FM633" i="4" s="1"/>
  <c r="EV633" i="4"/>
  <c r="EU633" i="4"/>
  <c r="FK633" i="4" s="1"/>
  <c r="EB633" i="4"/>
  <c r="DX633" i="4"/>
  <c r="DH633" i="4"/>
  <c r="DF633" i="4"/>
  <c r="DE633" i="4"/>
  <c r="DA633" i="4"/>
  <c r="CX633" i="4"/>
  <c r="FJ633" i="4" s="1"/>
  <c r="FY633" i="4" s="1"/>
  <c r="CW633" i="4"/>
  <c r="CV633" i="4"/>
  <c r="DG633" i="4" s="1"/>
  <c r="CU633" i="4"/>
  <c r="CO633" i="4"/>
  <c r="CK633" i="4"/>
  <c r="BS633" i="4"/>
  <c r="BP633" i="4"/>
  <c r="BO633" i="4"/>
  <c r="BN633" i="4"/>
  <c r="BM633" i="4"/>
  <c r="BL633" i="4"/>
  <c r="BK633" i="4"/>
  <c r="BJ633" i="4"/>
  <c r="BI633" i="4"/>
  <c r="BH633" i="4"/>
  <c r="BG633" i="4"/>
  <c r="BF633" i="4"/>
  <c r="BE633" i="4"/>
  <c r="BD633" i="4"/>
  <c r="BC633" i="4"/>
  <c r="BB633" i="4"/>
  <c r="BA633" i="4"/>
  <c r="AZ633" i="4"/>
  <c r="AY633" i="4"/>
  <c r="AX633" i="4"/>
  <c r="AW633" i="4"/>
  <c r="AV633" i="4"/>
  <c r="Y633" i="4"/>
  <c r="Q633" i="4"/>
  <c r="B633" i="4"/>
  <c r="A633" i="4"/>
  <c r="QX632" i="4"/>
  <c r="FU632" i="4"/>
  <c r="FT632" i="4"/>
  <c r="FP632" i="4"/>
  <c r="FO632" i="4"/>
  <c r="FN632" i="4"/>
  <c r="FK632" i="4"/>
  <c r="FI632" i="4"/>
  <c r="FX632" i="4" s="1"/>
  <c r="FH632" i="4"/>
  <c r="FV632" i="4" s="1"/>
  <c r="FG632" i="4"/>
  <c r="FE632" i="4"/>
  <c r="FD632" i="4"/>
  <c r="FS632" i="4" s="1"/>
  <c r="FC632" i="4"/>
  <c r="FR632" i="4" s="1"/>
  <c r="FB632" i="4"/>
  <c r="FQ632" i="4" s="1"/>
  <c r="DC632" i="4" s="1"/>
  <c r="FA632" i="4"/>
  <c r="EZ632" i="4"/>
  <c r="EY632" i="4"/>
  <c r="EX632" i="4"/>
  <c r="EW632" i="4"/>
  <c r="FM632" i="4" s="1"/>
  <c r="EV632" i="4"/>
  <c r="FL632" i="4" s="1"/>
  <c r="EU632" i="4"/>
  <c r="DH632" i="4"/>
  <c r="DF632" i="4"/>
  <c r="DE632" i="4"/>
  <c r="DA632" i="4"/>
  <c r="CX632" i="4"/>
  <c r="FJ632" i="4" s="1"/>
  <c r="FY632" i="4" s="1"/>
  <c r="CV632" i="4"/>
  <c r="CU632" i="4"/>
  <c r="CT632" i="4"/>
  <c r="CO632" i="4"/>
  <c r="CW632" i="4" s="1"/>
  <c r="CK632" i="4"/>
  <c r="BS632" i="4"/>
  <c r="BP632" i="4"/>
  <c r="BO632" i="4"/>
  <c r="BN632" i="4"/>
  <c r="BM632" i="4"/>
  <c r="BL632" i="4"/>
  <c r="BK632" i="4"/>
  <c r="BJ632" i="4"/>
  <c r="BI632" i="4"/>
  <c r="BH632" i="4"/>
  <c r="BG632" i="4"/>
  <c r="BF632" i="4"/>
  <c r="BE632" i="4"/>
  <c r="BD632" i="4"/>
  <c r="BC632" i="4"/>
  <c r="BB632" i="4"/>
  <c r="BA632" i="4"/>
  <c r="AZ632" i="4"/>
  <c r="AY632" i="4"/>
  <c r="AX632" i="4"/>
  <c r="AW632" i="4"/>
  <c r="AV632" i="4"/>
  <c r="Y632" i="4"/>
  <c r="Q632" i="4"/>
  <c r="B632" i="4"/>
  <c r="A632" i="4"/>
  <c r="QX631" i="4"/>
  <c r="FV631" i="4"/>
  <c r="FU631" i="4"/>
  <c r="FP631" i="4"/>
  <c r="FO631" i="4"/>
  <c r="FL631" i="4"/>
  <c r="FK631" i="4"/>
  <c r="FJ631" i="4"/>
  <c r="FY631" i="4" s="1"/>
  <c r="FI631" i="4"/>
  <c r="FX631" i="4" s="1"/>
  <c r="FH631" i="4"/>
  <c r="FG631" i="4"/>
  <c r="FE631" i="4"/>
  <c r="FT631" i="4" s="1"/>
  <c r="FD631" i="4"/>
  <c r="FS631" i="4" s="1"/>
  <c r="FC631" i="4"/>
  <c r="FR631" i="4" s="1"/>
  <c r="FA631" i="4"/>
  <c r="EZ631" i="4"/>
  <c r="EY631" i="4"/>
  <c r="EX631" i="4"/>
  <c r="FN631" i="4" s="1"/>
  <c r="EW631" i="4"/>
  <c r="FM631" i="4" s="1"/>
  <c r="EV631" i="4"/>
  <c r="EU631" i="4"/>
  <c r="DX631" i="4"/>
  <c r="EB631" i="4" s="1"/>
  <c r="DH631" i="4"/>
  <c r="DG631" i="4"/>
  <c r="DF631" i="4"/>
  <c r="DA631" i="4"/>
  <c r="CX631" i="4"/>
  <c r="CV631" i="4"/>
  <c r="FF631" i="4" s="1"/>
  <c r="FW631" i="4" s="1"/>
  <c r="CU631" i="4"/>
  <c r="DE631" i="4" s="1"/>
  <c r="CO631" i="4"/>
  <c r="FB631" i="4" s="1"/>
  <c r="FQ631" i="4" s="1"/>
  <c r="CK631" i="4"/>
  <c r="BS631" i="4"/>
  <c r="BP631" i="4"/>
  <c r="BO631" i="4"/>
  <c r="BN631" i="4"/>
  <c r="BM631" i="4"/>
  <c r="BL631" i="4"/>
  <c r="BK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Y631" i="4"/>
  <c r="Q631" i="4"/>
  <c r="B631" i="4"/>
  <c r="A631" i="4"/>
  <c r="QX630" i="4"/>
  <c r="FX630" i="4"/>
  <c r="FS630" i="4"/>
  <c r="FR630" i="4"/>
  <c r="FQ630" i="4"/>
  <c r="FN630" i="4"/>
  <c r="FM630" i="4"/>
  <c r="FK630" i="4"/>
  <c r="FI630" i="4"/>
  <c r="FH630" i="4"/>
  <c r="FV630" i="4" s="1"/>
  <c r="FG630" i="4"/>
  <c r="FU630" i="4" s="1"/>
  <c r="FE630" i="4"/>
  <c r="FT630" i="4" s="1"/>
  <c r="FD630" i="4"/>
  <c r="FC630" i="4"/>
  <c r="FB630" i="4"/>
  <c r="FA630" i="4"/>
  <c r="FP630" i="4" s="1"/>
  <c r="EZ630" i="4"/>
  <c r="FO630" i="4" s="1"/>
  <c r="EY630" i="4"/>
  <c r="EX630" i="4"/>
  <c r="EW630" i="4"/>
  <c r="EV630" i="4"/>
  <c r="FL630" i="4" s="1"/>
  <c r="EU630" i="4"/>
  <c r="DF630" i="4"/>
  <c r="DA630" i="4"/>
  <c r="CX630" i="4"/>
  <c r="FJ630" i="4" s="1"/>
  <c r="FY630" i="4" s="1"/>
  <c r="CU630" i="4"/>
  <c r="DE630" i="4" s="1"/>
  <c r="CT630" i="4"/>
  <c r="CT642" i="4" s="1"/>
  <c r="CO630" i="4"/>
  <c r="CW630" i="4" s="1"/>
  <c r="CK630" i="4"/>
  <c r="BS630" i="4"/>
  <c r="BP630" i="4"/>
  <c r="BO630" i="4"/>
  <c r="BN630" i="4"/>
  <c r="BM630" i="4"/>
  <c r="BL630" i="4"/>
  <c r="BK630" i="4"/>
  <c r="BJ630" i="4"/>
  <c r="BI630" i="4"/>
  <c r="BH630" i="4"/>
  <c r="BG630" i="4"/>
  <c r="BF630" i="4"/>
  <c r="BE630" i="4"/>
  <c r="BD630" i="4"/>
  <c r="BC630" i="4"/>
  <c r="BB630" i="4"/>
  <c r="BA630" i="4"/>
  <c r="AZ630" i="4"/>
  <c r="AY630" i="4"/>
  <c r="AX630" i="4"/>
  <c r="AW630" i="4"/>
  <c r="AV630" i="4"/>
  <c r="Y630" i="4"/>
  <c r="Q630" i="4"/>
  <c r="B630" i="4"/>
  <c r="A630" i="4"/>
  <c r="QX629" i="4"/>
  <c r="FS629" i="4"/>
  <c r="FQ629" i="4"/>
  <c r="FO629" i="4"/>
  <c r="FN629" i="4"/>
  <c r="FM629" i="4"/>
  <c r="FK629" i="4"/>
  <c r="FI629" i="4"/>
  <c r="FX629" i="4" s="1"/>
  <c r="FH629" i="4"/>
  <c r="FV629" i="4" s="1"/>
  <c r="FG629" i="4"/>
  <c r="FU629" i="4" s="1"/>
  <c r="FE629" i="4"/>
  <c r="FT629" i="4" s="1"/>
  <c r="FD629" i="4"/>
  <c r="FC629" i="4"/>
  <c r="FR629" i="4" s="1"/>
  <c r="FB629" i="4"/>
  <c r="FA629" i="4"/>
  <c r="FP629" i="4" s="1"/>
  <c r="EZ629" i="4"/>
  <c r="EY629" i="4"/>
  <c r="EX629" i="4"/>
  <c r="EW629" i="4"/>
  <c r="EV629" i="4"/>
  <c r="FL629" i="4" s="1"/>
  <c r="EU629" i="4"/>
  <c r="DA629" i="4"/>
  <c r="CX629" i="4"/>
  <c r="FJ629" i="4" s="1"/>
  <c r="FY629" i="4" s="1"/>
  <c r="CW629" i="4"/>
  <c r="CV629" i="4"/>
  <c r="FF629" i="4" s="1"/>
  <c r="FW629" i="4" s="1"/>
  <c r="CU629" i="4"/>
  <c r="CO629" i="4"/>
  <c r="CK629" i="4"/>
  <c r="BS629" i="4"/>
  <c r="BP629" i="4"/>
  <c r="BO629" i="4"/>
  <c r="BN629" i="4"/>
  <c r="BM629" i="4"/>
  <c r="BL629" i="4"/>
  <c r="BK629" i="4"/>
  <c r="BJ629" i="4"/>
  <c r="BI629" i="4"/>
  <c r="BH629" i="4"/>
  <c r="BG629" i="4"/>
  <c r="BF629" i="4"/>
  <c r="BE629" i="4"/>
  <c r="BD629" i="4"/>
  <c r="BC629" i="4"/>
  <c r="BB629" i="4"/>
  <c r="BA629" i="4"/>
  <c r="AZ629" i="4"/>
  <c r="AY629" i="4"/>
  <c r="AX629" i="4"/>
  <c r="AW629" i="4"/>
  <c r="AV629" i="4"/>
  <c r="Y629" i="4"/>
  <c r="Q629" i="4"/>
  <c r="B629" i="4"/>
  <c r="A629" i="4"/>
  <c r="QX628" i="4"/>
  <c r="FS628" i="4"/>
  <c r="FQ628" i="4"/>
  <c r="FO628" i="4"/>
  <c r="FN628" i="4"/>
  <c r="FM628" i="4"/>
  <c r="FK628" i="4"/>
  <c r="FI628" i="4"/>
  <c r="FX628" i="4" s="1"/>
  <c r="FH628" i="4"/>
  <c r="FV628" i="4" s="1"/>
  <c r="FG628" i="4"/>
  <c r="FU628" i="4" s="1"/>
  <c r="FE628" i="4"/>
  <c r="FT628" i="4" s="1"/>
  <c r="FD628" i="4"/>
  <c r="FC628" i="4"/>
  <c r="FR628" i="4" s="1"/>
  <c r="FA628" i="4"/>
  <c r="FP628" i="4" s="1"/>
  <c r="EZ628" i="4"/>
  <c r="EY628" i="4"/>
  <c r="EX628" i="4"/>
  <c r="EW628" i="4"/>
  <c r="EV628" i="4"/>
  <c r="FL628" i="4" s="1"/>
  <c r="EU628" i="4"/>
  <c r="DA628" i="4"/>
  <c r="CX628" i="4"/>
  <c r="FJ628" i="4" s="1"/>
  <c r="FY628" i="4" s="1"/>
  <c r="CW628" i="4"/>
  <c r="CO628" i="4"/>
  <c r="FB628" i="4" s="1"/>
  <c r="CK628" i="4"/>
  <c r="BS628" i="4"/>
  <c r="BP628" i="4"/>
  <c r="BO628" i="4"/>
  <c r="BN628" i="4"/>
  <c r="BM628" i="4"/>
  <c r="BL628" i="4"/>
  <c r="BK628" i="4"/>
  <c r="BJ628" i="4"/>
  <c r="BI628" i="4"/>
  <c r="BH628" i="4"/>
  <c r="BG628" i="4"/>
  <c r="BF628" i="4"/>
  <c r="BE628" i="4"/>
  <c r="BD628" i="4"/>
  <c r="BC628" i="4"/>
  <c r="BB628" i="4"/>
  <c r="BA628" i="4"/>
  <c r="AZ628" i="4"/>
  <c r="AY628" i="4"/>
  <c r="AX628" i="4"/>
  <c r="AW628" i="4"/>
  <c r="AV628" i="4"/>
  <c r="Y628" i="4"/>
  <c r="Q628" i="4"/>
  <c r="B628" i="4"/>
  <c r="A628" i="4"/>
  <c r="QX627" i="4"/>
  <c r="FX627" i="4"/>
  <c r="FV627" i="4"/>
  <c r="FT627" i="4"/>
  <c r="FR627" i="4"/>
  <c r="FP627" i="4"/>
  <c r="FM627" i="4"/>
  <c r="FL627" i="4"/>
  <c r="FJ627" i="4"/>
  <c r="FY627" i="4" s="1"/>
  <c r="FI627" i="4"/>
  <c r="FH627" i="4"/>
  <c r="FG627" i="4"/>
  <c r="FU627" i="4" s="1"/>
  <c r="FF627" i="4"/>
  <c r="FW627" i="4" s="1"/>
  <c r="FE627" i="4"/>
  <c r="FD627" i="4"/>
  <c r="FS627" i="4" s="1"/>
  <c r="FC627" i="4"/>
  <c r="FB627" i="4"/>
  <c r="FQ627" i="4" s="1"/>
  <c r="FA627" i="4"/>
  <c r="EZ627" i="4"/>
  <c r="FO627" i="4" s="1"/>
  <c r="EY627" i="4"/>
  <c r="EX627" i="4"/>
  <c r="FN627" i="4" s="1"/>
  <c r="EW627" i="4"/>
  <c r="EV627" i="4"/>
  <c r="EU627" i="4"/>
  <c r="FK627" i="4" s="1"/>
  <c r="DH627" i="4"/>
  <c r="DF627" i="4"/>
  <c r="CX627" i="4"/>
  <c r="CW627" i="4"/>
  <c r="CV627" i="4"/>
  <c r="DG627" i="4" s="1"/>
  <c r="CU627" i="4"/>
  <c r="CO627" i="4"/>
  <c r="CK627" i="4"/>
  <c r="B627" i="4"/>
  <c r="QX626" i="4"/>
  <c r="FX626" i="4"/>
  <c r="FV626" i="4"/>
  <c r="FT626" i="4"/>
  <c r="FR626" i="4"/>
  <c r="FP626" i="4"/>
  <c r="FM626" i="4"/>
  <c r="FL626" i="4"/>
  <c r="FJ626" i="4"/>
  <c r="FY626" i="4" s="1"/>
  <c r="FI626" i="4"/>
  <c r="FH626" i="4"/>
  <c r="FG626" i="4"/>
  <c r="FU626" i="4" s="1"/>
  <c r="FE626" i="4"/>
  <c r="FD626" i="4"/>
  <c r="FS626" i="4" s="1"/>
  <c r="FC626" i="4"/>
  <c r="FA626" i="4"/>
  <c r="EZ626" i="4"/>
  <c r="FO626" i="4" s="1"/>
  <c r="EY626" i="4"/>
  <c r="EX626" i="4"/>
  <c r="FN626" i="4" s="1"/>
  <c r="EW626" i="4"/>
  <c r="EV626" i="4"/>
  <c r="EU626" i="4"/>
  <c r="FK626" i="4" s="1"/>
  <c r="DH626" i="4"/>
  <c r="DF626" i="4"/>
  <c r="DA626" i="4"/>
  <c r="CX626" i="4"/>
  <c r="CU626" i="4"/>
  <c r="CO626" i="4"/>
  <c r="CK626" i="4"/>
  <c r="BS626" i="4"/>
  <c r="BP626" i="4"/>
  <c r="BO626" i="4"/>
  <c r="BN626" i="4"/>
  <c r="BM626" i="4"/>
  <c r="BL626" i="4"/>
  <c r="BK626" i="4"/>
  <c r="BJ626" i="4"/>
  <c r="BI626" i="4"/>
  <c r="BH626" i="4"/>
  <c r="BG626" i="4"/>
  <c r="BF626" i="4"/>
  <c r="BE626" i="4"/>
  <c r="BD626" i="4"/>
  <c r="BC626" i="4"/>
  <c r="BB626" i="4"/>
  <c r="BA626" i="4"/>
  <c r="AZ626" i="4"/>
  <c r="AY626" i="4"/>
  <c r="AX626" i="4"/>
  <c r="AW626" i="4"/>
  <c r="AV626" i="4"/>
  <c r="Y626" i="4"/>
  <c r="Q626" i="4"/>
  <c r="B626" i="4"/>
  <c r="A626" i="4"/>
  <c r="QX625" i="4"/>
  <c r="FX625" i="4"/>
  <c r="FU625" i="4"/>
  <c r="FT625" i="4"/>
  <c r="FR625" i="4"/>
  <c r="FP625" i="4"/>
  <c r="FN625" i="4"/>
  <c r="FL625" i="4"/>
  <c r="FK625" i="4"/>
  <c r="FI625" i="4"/>
  <c r="FH625" i="4"/>
  <c r="FV625" i="4" s="1"/>
  <c r="FG625" i="4"/>
  <c r="FE625" i="4"/>
  <c r="FD625" i="4"/>
  <c r="FS625" i="4" s="1"/>
  <c r="FC625" i="4"/>
  <c r="FA625" i="4"/>
  <c r="EZ625" i="4"/>
  <c r="FO625" i="4" s="1"/>
  <c r="EY625" i="4"/>
  <c r="EX625" i="4"/>
  <c r="EW625" i="4"/>
  <c r="FM625" i="4" s="1"/>
  <c r="EV625" i="4"/>
  <c r="EU625" i="4"/>
  <c r="DH625" i="4"/>
  <c r="DF625" i="4"/>
  <c r="DE625" i="4"/>
  <c r="DA625" i="4"/>
  <c r="CX625" i="4"/>
  <c r="FJ625" i="4" s="1"/>
  <c r="FY625" i="4" s="1"/>
  <c r="CU625" i="4"/>
  <c r="CO625" i="4"/>
  <c r="CK625" i="4"/>
  <c r="BS625" i="4"/>
  <c r="BP625" i="4"/>
  <c r="BO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Y625" i="4"/>
  <c r="AX625" i="4"/>
  <c r="AW625" i="4"/>
  <c r="AV625" i="4"/>
  <c r="Y625" i="4"/>
  <c r="Q625" i="4"/>
  <c r="B625" i="4"/>
  <c r="A625" i="4"/>
  <c r="QX624" i="4"/>
  <c r="FX624" i="4"/>
  <c r="FU624" i="4"/>
  <c r="FT624" i="4"/>
  <c r="FR624" i="4"/>
  <c r="FP624" i="4"/>
  <c r="FN624" i="4"/>
  <c r="FL624" i="4"/>
  <c r="FK624" i="4"/>
  <c r="FI624" i="4"/>
  <c r="FH624" i="4"/>
  <c r="FV624" i="4" s="1"/>
  <c r="FG624" i="4"/>
  <c r="FE624" i="4"/>
  <c r="FD624" i="4"/>
  <c r="FS624" i="4" s="1"/>
  <c r="FC624" i="4"/>
  <c r="FA624" i="4"/>
  <c r="EZ624" i="4"/>
  <c r="FO624" i="4" s="1"/>
  <c r="EY624" i="4"/>
  <c r="EX624" i="4"/>
  <c r="EW624" i="4"/>
  <c r="FM624" i="4" s="1"/>
  <c r="EV624" i="4"/>
  <c r="EU624" i="4"/>
  <c r="EB624" i="4"/>
  <c r="DX624" i="4"/>
  <c r="DW624" i="4"/>
  <c r="DL624" i="4"/>
  <c r="DH624" i="4"/>
  <c r="DF624" i="4"/>
  <c r="DA624" i="4"/>
  <c r="CX624" i="4"/>
  <c r="FJ624" i="4" s="1"/>
  <c r="FY624" i="4" s="1"/>
  <c r="CU624" i="4"/>
  <c r="DE624" i="4" s="1"/>
  <c r="CO624" i="4"/>
  <c r="CW624" i="4" s="1"/>
  <c r="CK624" i="4"/>
  <c r="BP624" i="4"/>
  <c r="BO624" i="4"/>
  <c r="BN624" i="4"/>
  <c r="BM624" i="4"/>
  <c r="BL624" i="4"/>
  <c r="BK624" i="4"/>
  <c r="BJ624" i="4"/>
  <c r="BI624" i="4"/>
  <c r="BH624" i="4"/>
  <c r="BG624" i="4"/>
  <c r="BF624" i="4"/>
  <c r="BE624" i="4"/>
  <c r="BD624" i="4"/>
  <c r="BC624" i="4"/>
  <c r="BB624" i="4"/>
  <c r="BA624" i="4"/>
  <c r="AZ624" i="4"/>
  <c r="AY624" i="4"/>
  <c r="AX624" i="4"/>
  <c r="AW624" i="4"/>
  <c r="AV624" i="4"/>
  <c r="Y624" i="4"/>
  <c r="Q624" i="4"/>
  <c r="B624" i="4"/>
  <c r="A624" i="4"/>
  <c r="FU623" i="4"/>
  <c r="FS623" i="4"/>
  <c r="FO623" i="4"/>
  <c r="FN623" i="4"/>
  <c r="FL623" i="4"/>
  <c r="FK623" i="4"/>
  <c r="FI623" i="4"/>
  <c r="FX623" i="4" s="1"/>
  <c r="FH623" i="4"/>
  <c r="FV623" i="4" s="1"/>
  <c r="FG623" i="4"/>
  <c r="FE623" i="4"/>
  <c r="FT623" i="4" s="1"/>
  <c r="FD623" i="4"/>
  <c r="FC623" i="4"/>
  <c r="FR623" i="4" s="1"/>
  <c r="FA623" i="4"/>
  <c r="FP623" i="4" s="1"/>
  <c r="EZ623" i="4"/>
  <c r="EY623" i="4"/>
  <c r="EX623" i="4"/>
  <c r="EW623" i="4"/>
  <c r="FM623" i="4" s="1"/>
  <c r="EV623" i="4"/>
  <c r="EU623" i="4"/>
  <c r="EB623" i="4"/>
  <c r="DZ623" i="4"/>
  <c r="DX623" i="4"/>
  <c r="DW623" i="4"/>
  <c r="EA623" i="4" s="1"/>
  <c r="DV623" i="4"/>
  <c r="DL623" i="4"/>
  <c r="DF623" i="4"/>
  <c r="DA623" i="4"/>
  <c r="CX623" i="4"/>
  <c r="FJ623" i="4" s="1"/>
  <c r="FY623" i="4" s="1"/>
  <c r="CW623" i="4"/>
  <c r="CU623" i="4"/>
  <c r="DE623" i="4" s="1"/>
  <c r="CO623" i="4"/>
  <c r="CV623" i="4" s="1"/>
  <c r="CN623" i="4"/>
  <c r="QX623" i="4" s="1"/>
  <c r="CK623" i="4"/>
  <c r="CJ623" i="4"/>
  <c r="CG623" i="4"/>
  <c r="BP623" i="4"/>
  <c r="BO623" i="4"/>
  <c r="BN623" i="4"/>
  <c r="BM623" i="4"/>
  <c r="BL623" i="4"/>
  <c r="BK623" i="4"/>
  <c r="BJ623" i="4"/>
  <c r="BI623" i="4"/>
  <c r="BH623" i="4"/>
  <c r="BG623" i="4"/>
  <c r="BF623" i="4"/>
  <c r="BE623" i="4"/>
  <c r="BD623" i="4"/>
  <c r="BC623" i="4"/>
  <c r="BB623" i="4"/>
  <c r="BA623" i="4"/>
  <c r="AZ623" i="4"/>
  <c r="AY623" i="4"/>
  <c r="AX623" i="4"/>
  <c r="AW623" i="4"/>
  <c r="AV623" i="4"/>
  <c r="Y623" i="4"/>
  <c r="Q623" i="4"/>
  <c r="B623" i="4"/>
  <c r="A623" i="4"/>
  <c r="QX622" i="4"/>
  <c r="FU622" i="4"/>
  <c r="FS622" i="4"/>
  <c r="FO622" i="4"/>
  <c r="FN622" i="4"/>
  <c r="FL622" i="4"/>
  <c r="FK622" i="4"/>
  <c r="FI622" i="4"/>
  <c r="FX622" i="4" s="1"/>
  <c r="FH622" i="4"/>
  <c r="FV622" i="4" s="1"/>
  <c r="FG622" i="4"/>
  <c r="FE622" i="4"/>
  <c r="FT622" i="4" s="1"/>
  <c r="FD622" i="4"/>
  <c r="FC622" i="4"/>
  <c r="FR622" i="4" s="1"/>
  <c r="FA622" i="4"/>
  <c r="FP622" i="4" s="1"/>
  <c r="EZ622" i="4"/>
  <c r="EY622" i="4"/>
  <c r="EX622" i="4"/>
  <c r="EW622" i="4"/>
  <c r="FM622" i="4" s="1"/>
  <c r="EV622" i="4"/>
  <c r="EU622" i="4"/>
  <c r="EB622" i="4"/>
  <c r="DZ622" i="4"/>
  <c r="DX622" i="4"/>
  <c r="DW622" i="4"/>
  <c r="EA622" i="4" s="1"/>
  <c r="DV622" i="4"/>
  <c r="DL622" i="4"/>
  <c r="DH622" i="4"/>
  <c r="DF622" i="4"/>
  <c r="DA622" i="4"/>
  <c r="CX622" i="4"/>
  <c r="FJ622" i="4" s="1"/>
  <c r="FY622" i="4" s="1"/>
  <c r="CW622" i="4"/>
  <c r="CU622" i="4"/>
  <c r="DE622" i="4" s="1"/>
  <c r="CO622" i="4"/>
  <c r="CV622" i="4" s="1"/>
  <c r="CK622" i="4"/>
  <c r="CG622" i="4"/>
  <c r="BP622" i="4"/>
  <c r="BO622" i="4"/>
  <c r="BN622" i="4"/>
  <c r="BM622" i="4"/>
  <c r="BL622" i="4"/>
  <c r="BK622" i="4"/>
  <c r="BJ622" i="4"/>
  <c r="BI622" i="4"/>
  <c r="BH622" i="4"/>
  <c r="BG622" i="4"/>
  <c r="BF622" i="4"/>
  <c r="BE622" i="4"/>
  <c r="BD622" i="4"/>
  <c r="BC622" i="4"/>
  <c r="BB622" i="4"/>
  <c r="BA622" i="4"/>
  <c r="AZ622" i="4"/>
  <c r="AY622" i="4"/>
  <c r="AX622" i="4"/>
  <c r="AW622" i="4"/>
  <c r="AV622" i="4"/>
  <c r="Y622" i="4"/>
  <c r="Q622" i="4"/>
  <c r="B622" i="4"/>
  <c r="A622" i="4"/>
  <c r="QX621" i="4"/>
  <c r="FY621" i="4"/>
  <c r="FV621" i="4"/>
  <c r="FS621" i="4"/>
  <c r="FO621" i="4"/>
  <c r="FM621" i="4"/>
  <c r="FL621" i="4"/>
  <c r="FJ621" i="4"/>
  <c r="FI621" i="4"/>
  <c r="FX621" i="4" s="1"/>
  <c r="FH621" i="4"/>
  <c r="FG621" i="4"/>
  <c r="FU621" i="4" s="1"/>
  <c r="FE621" i="4"/>
  <c r="FT621" i="4" s="1"/>
  <c r="FD621" i="4"/>
  <c r="FC621" i="4"/>
  <c r="FR621" i="4" s="1"/>
  <c r="FA621" i="4"/>
  <c r="FP621" i="4" s="1"/>
  <c r="EZ621" i="4"/>
  <c r="EY621" i="4"/>
  <c r="EX621" i="4"/>
  <c r="FN621" i="4" s="1"/>
  <c r="EW621" i="4"/>
  <c r="EV621" i="4"/>
  <c r="EU621" i="4"/>
  <c r="FK621" i="4" s="1"/>
  <c r="EA621" i="4"/>
  <c r="DX621" i="4"/>
  <c r="DW621" i="4"/>
  <c r="DU621" i="4"/>
  <c r="DL621" i="4"/>
  <c r="DH621" i="4"/>
  <c r="DG621" i="4"/>
  <c r="DF621" i="4"/>
  <c r="DA621" i="4"/>
  <c r="CX621" i="4"/>
  <c r="CW621" i="4"/>
  <c r="CV621" i="4"/>
  <c r="CU621" i="4"/>
  <c r="DE621" i="4" s="1"/>
  <c r="CO621" i="4"/>
  <c r="FB621" i="4" s="1"/>
  <c r="FQ621" i="4" s="1"/>
  <c r="CK621" i="4"/>
  <c r="CG621" i="4"/>
  <c r="BP621" i="4"/>
  <c r="BO621" i="4"/>
  <c r="BN621" i="4"/>
  <c r="BM621" i="4"/>
  <c r="BL621" i="4"/>
  <c r="BK621" i="4"/>
  <c r="BJ621" i="4"/>
  <c r="BI621" i="4"/>
  <c r="BH621" i="4"/>
  <c r="BG621" i="4"/>
  <c r="BF621" i="4"/>
  <c r="BE621" i="4"/>
  <c r="BD621" i="4"/>
  <c r="BC621" i="4"/>
  <c r="BB621" i="4"/>
  <c r="BA621" i="4"/>
  <c r="AZ621" i="4"/>
  <c r="AY621" i="4"/>
  <c r="AX621" i="4"/>
  <c r="AW621" i="4"/>
  <c r="AV621" i="4"/>
  <c r="Y621" i="4"/>
  <c r="Q621" i="4"/>
  <c r="B621" i="4"/>
  <c r="A621" i="4"/>
  <c r="FS620" i="4"/>
  <c r="FO620" i="4"/>
  <c r="FN620" i="4"/>
  <c r="FM620" i="4"/>
  <c r="FK620" i="4"/>
  <c r="FH620" i="4"/>
  <c r="FV620" i="4" s="1"/>
  <c r="FG620" i="4"/>
  <c r="FU620" i="4" s="1"/>
  <c r="FE620" i="4"/>
  <c r="FT620" i="4" s="1"/>
  <c r="FD620" i="4"/>
  <c r="FC620" i="4"/>
  <c r="FR620" i="4" s="1"/>
  <c r="FA620" i="4"/>
  <c r="FP620" i="4" s="1"/>
  <c r="EZ620" i="4"/>
  <c r="EY620" i="4"/>
  <c r="EX620" i="4"/>
  <c r="EW620" i="4"/>
  <c r="EV620" i="4"/>
  <c r="FL620" i="4" s="1"/>
  <c r="EU620" i="4"/>
  <c r="EB620" i="4"/>
  <c r="DX620" i="4"/>
  <c r="DL620" i="4"/>
  <c r="DF620" i="4"/>
  <c r="DE620" i="4"/>
  <c r="DA620" i="4"/>
  <c r="CW620" i="4"/>
  <c r="CU620" i="4"/>
  <c r="CO620" i="4"/>
  <c r="CV620" i="4" s="1"/>
  <c r="CN620" i="4"/>
  <c r="DW620" i="4" s="1"/>
  <c r="CJ620" i="4"/>
  <c r="CG620" i="4"/>
  <c r="BP620" i="4"/>
  <c r="BO620" i="4"/>
  <c r="BN620" i="4"/>
  <c r="BM620" i="4"/>
  <c r="BL620" i="4"/>
  <c r="BK620" i="4"/>
  <c r="BJ620" i="4"/>
  <c r="BI620" i="4"/>
  <c r="BH620" i="4"/>
  <c r="BG620" i="4"/>
  <c r="BF620" i="4"/>
  <c r="BE620" i="4"/>
  <c r="BD620" i="4"/>
  <c r="BC620" i="4"/>
  <c r="BB620" i="4"/>
  <c r="BA620" i="4"/>
  <c r="AZ620" i="4"/>
  <c r="AY620" i="4"/>
  <c r="AX620" i="4"/>
  <c r="AW620" i="4"/>
  <c r="AV620" i="4"/>
  <c r="Y620" i="4"/>
  <c r="Q620" i="4"/>
  <c r="B620" i="4"/>
  <c r="A620" i="4"/>
  <c r="QX619" i="4"/>
  <c r="FY619" i="4"/>
  <c r="FS619" i="4"/>
  <c r="FO619" i="4"/>
  <c r="FN619" i="4"/>
  <c r="FM619" i="4"/>
  <c r="FK619" i="4"/>
  <c r="FJ619" i="4"/>
  <c r="FI619" i="4"/>
  <c r="FX619" i="4" s="1"/>
  <c r="FH619" i="4"/>
  <c r="FV619" i="4" s="1"/>
  <c r="FG619" i="4"/>
  <c r="FU619" i="4" s="1"/>
  <c r="FE619" i="4"/>
  <c r="FT619" i="4" s="1"/>
  <c r="FD619" i="4"/>
  <c r="FC619" i="4"/>
  <c r="FR619" i="4" s="1"/>
  <c r="FA619" i="4"/>
  <c r="FP619" i="4" s="1"/>
  <c r="EZ619" i="4"/>
  <c r="EY619" i="4"/>
  <c r="EX619" i="4"/>
  <c r="EW619" i="4"/>
  <c r="EV619" i="4"/>
  <c r="FL619" i="4" s="1"/>
  <c r="EU619" i="4"/>
  <c r="EB619" i="4"/>
  <c r="EA619" i="4"/>
  <c r="DX619" i="4"/>
  <c r="DW619" i="4"/>
  <c r="DV619" i="4"/>
  <c r="DZ619" i="4" s="1"/>
  <c r="DU619" i="4"/>
  <c r="DL619" i="4"/>
  <c r="DH619" i="4"/>
  <c r="DF619" i="4"/>
  <c r="DE619" i="4"/>
  <c r="DA619" i="4"/>
  <c r="CX619" i="4"/>
  <c r="CW619" i="4"/>
  <c r="CU619" i="4"/>
  <c r="CO619" i="4"/>
  <c r="CV619" i="4" s="1"/>
  <c r="CK619" i="4"/>
  <c r="BP619" i="4"/>
  <c r="BO619" i="4"/>
  <c r="BN619" i="4"/>
  <c r="BM619" i="4"/>
  <c r="BL619" i="4"/>
  <c r="BK619" i="4"/>
  <c r="BJ619" i="4"/>
  <c r="BI619" i="4"/>
  <c r="BH619" i="4"/>
  <c r="BG619" i="4"/>
  <c r="BF619" i="4"/>
  <c r="BE619" i="4"/>
  <c r="BD619" i="4"/>
  <c r="BC619" i="4"/>
  <c r="BB619" i="4"/>
  <c r="BA619" i="4"/>
  <c r="AZ619" i="4"/>
  <c r="AY619" i="4"/>
  <c r="AX619" i="4"/>
  <c r="AW619" i="4"/>
  <c r="AV619" i="4"/>
  <c r="Y619" i="4"/>
  <c r="Q619" i="4"/>
  <c r="B619" i="4"/>
  <c r="A619" i="4"/>
  <c r="FT618" i="4"/>
  <c r="FR618" i="4"/>
  <c r="FP618" i="4"/>
  <c r="FN618" i="4"/>
  <c r="FM618" i="4"/>
  <c r="FK618" i="4"/>
  <c r="FH618" i="4"/>
  <c r="FV618" i="4" s="1"/>
  <c r="FG618" i="4"/>
  <c r="FU618" i="4" s="1"/>
  <c r="FE618" i="4"/>
  <c r="FD618" i="4"/>
  <c r="FS618" i="4" s="1"/>
  <c r="FC618" i="4"/>
  <c r="FB618" i="4"/>
  <c r="FQ618" i="4" s="1"/>
  <c r="FA618" i="4"/>
  <c r="EZ618" i="4"/>
  <c r="FO618" i="4" s="1"/>
  <c r="EY618" i="4"/>
  <c r="EX618" i="4"/>
  <c r="EW618" i="4"/>
  <c r="EV618" i="4"/>
  <c r="FL618" i="4" s="1"/>
  <c r="EU618" i="4"/>
  <c r="EB618" i="4"/>
  <c r="DX618" i="4"/>
  <c r="DG618" i="4"/>
  <c r="DF618" i="4"/>
  <c r="DA618" i="4"/>
  <c r="CW618" i="4"/>
  <c r="CV618" i="4"/>
  <c r="FF618" i="4" s="1"/>
  <c r="FW618" i="4" s="1"/>
  <c r="CU618" i="4"/>
  <c r="DE618" i="4" s="1"/>
  <c r="CO618" i="4"/>
  <c r="CN618" i="4"/>
  <c r="BP618" i="4"/>
  <c r="BO618" i="4"/>
  <c r="BN618" i="4"/>
  <c r="BM618" i="4"/>
  <c r="BL618" i="4"/>
  <c r="BJ618" i="4"/>
  <c r="BI618" i="4"/>
  <c r="BH618" i="4"/>
  <c r="AW618" i="4"/>
  <c r="Y618" i="4"/>
  <c r="Q618" i="4"/>
  <c r="B618" i="4"/>
  <c r="A618" i="4"/>
  <c r="FS617" i="4"/>
  <c r="FO617" i="4"/>
  <c r="FN617" i="4"/>
  <c r="FM617" i="4"/>
  <c r="FK617" i="4"/>
  <c r="FH617" i="4"/>
  <c r="FV617" i="4" s="1"/>
  <c r="FG617" i="4"/>
  <c r="FU617" i="4" s="1"/>
  <c r="FE617" i="4"/>
  <c r="FT617" i="4" s="1"/>
  <c r="FD617" i="4"/>
  <c r="FC617" i="4"/>
  <c r="FR617" i="4" s="1"/>
  <c r="FA617" i="4"/>
  <c r="FP617" i="4" s="1"/>
  <c r="EZ617" i="4"/>
  <c r="EY617" i="4"/>
  <c r="EX617" i="4"/>
  <c r="EW617" i="4"/>
  <c r="EV617" i="4"/>
  <c r="FL617" i="4" s="1"/>
  <c r="EU617" i="4"/>
  <c r="EB617" i="4"/>
  <c r="DX617" i="4"/>
  <c r="DL617" i="4"/>
  <c r="DF617" i="4"/>
  <c r="DE617" i="4"/>
  <c r="DA617" i="4"/>
  <c r="CW617" i="4"/>
  <c r="CU617" i="4"/>
  <c r="CO617" i="4"/>
  <c r="CV617" i="4" s="1"/>
  <c r="CN617" i="4"/>
  <c r="DW617" i="4" s="1"/>
  <c r="CJ617" i="4"/>
  <c r="BS617" i="4"/>
  <c r="BP617" i="4"/>
  <c r="BO617" i="4"/>
  <c r="BN617" i="4"/>
  <c r="BM617" i="4"/>
  <c r="BL617" i="4"/>
  <c r="BK617" i="4"/>
  <c r="BJ617" i="4"/>
  <c r="BI617" i="4"/>
  <c r="BH617" i="4"/>
  <c r="BG617" i="4"/>
  <c r="BF617" i="4"/>
  <c r="BE617" i="4"/>
  <c r="BD617" i="4"/>
  <c r="BC617" i="4"/>
  <c r="BB617" i="4"/>
  <c r="BA617" i="4"/>
  <c r="AZ617" i="4"/>
  <c r="AY617" i="4"/>
  <c r="AX617" i="4"/>
  <c r="AW617" i="4"/>
  <c r="AV617" i="4"/>
  <c r="Y617" i="4"/>
  <c r="Q617" i="4"/>
  <c r="B617" i="4"/>
  <c r="A617" i="4"/>
  <c r="QX616" i="4"/>
  <c r="FY616" i="4"/>
  <c r="FS616" i="4"/>
  <c r="FO616" i="4"/>
  <c r="FN616" i="4"/>
  <c r="FM616" i="4"/>
  <c r="FK616" i="4"/>
  <c r="FJ616" i="4"/>
  <c r="FI616" i="4"/>
  <c r="FX616" i="4" s="1"/>
  <c r="FH616" i="4"/>
  <c r="FV616" i="4" s="1"/>
  <c r="FG616" i="4"/>
  <c r="FU616" i="4" s="1"/>
  <c r="FE616" i="4"/>
  <c r="FT616" i="4" s="1"/>
  <c r="FD616" i="4"/>
  <c r="FC616" i="4"/>
  <c r="FR616" i="4" s="1"/>
  <c r="FA616" i="4"/>
  <c r="FP616" i="4" s="1"/>
  <c r="EZ616" i="4"/>
  <c r="EY616" i="4"/>
  <c r="EX616" i="4"/>
  <c r="EW616" i="4"/>
  <c r="EV616" i="4"/>
  <c r="FL616" i="4" s="1"/>
  <c r="EU616" i="4"/>
  <c r="EB616" i="4"/>
  <c r="EA616" i="4"/>
  <c r="DX616" i="4"/>
  <c r="DW616" i="4"/>
  <c r="DV616" i="4"/>
  <c r="DZ616" i="4" s="1"/>
  <c r="DU616" i="4"/>
  <c r="DL616" i="4"/>
  <c r="DH616" i="4"/>
  <c r="DF616" i="4"/>
  <c r="DE616" i="4"/>
  <c r="DA616" i="4"/>
  <c r="CX616" i="4"/>
  <c r="CW616" i="4"/>
  <c r="CU616" i="4"/>
  <c r="CO616" i="4"/>
  <c r="CV616" i="4" s="1"/>
  <c r="CK616" i="4"/>
  <c r="CG616" i="4"/>
  <c r="BP616" i="4"/>
  <c r="BO616" i="4"/>
  <c r="BN616" i="4"/>
  <c r="BM616" i="4"/>
  <c r="BL616" i="4"/>
  <c r="BK616" i="4"/>
  <c r="BJ616" i="4"/>
  <c r="BI616" i="4"/>
  <c r="BH616" i="4"/>
  <c r="BG616" i="4"/>
  <c r="BF616" i="4"/>
  <c r="BE616" i="4"/>
  <c r="BD616" i="4"/>
  <c r="BC616" i="4"/>
  <c r="BB616" i="4"/>
  <c r="BA616" i="4"/>
  <c r="AZ616" i="4"/>
  <c r="AY616" i="4"/>
  <c r="AX616" i="4"/>
  <c r="AW616" i="4"/>
  <c r="AV616" i="4"/>
  <c r="Y616" i="4"/>
  <c r="Q616" i="4"/>
  <c r="B616" i="4"/>
  <c r="A616" i="4"/>
  <c r="FU615" i="4"/>
  <c r="FS615" i="4"/>
  <c r="FO615" i="4"/>
  <c r="FN615" i="4"/>
  <c r="FL615" i="4"/>
  <c r="FK615" i="4"/>
  <c r="FI615" i="4"/>
  <c r="FX615" i="4" s="1"/>
  <c r="FH615" i="4"/>
  <c r="FV615" i="4" s="1"/>
  <c r="FG615" i="4"/>
  <c r="FE615" i="4"/>
  <c r="FT615" i="4" s="1"/>
  <c r="FD615" i="4"/>
  <c r="FC615" i="4"/>
  <c r="FR615" i="4" s="1"/>
  <c r="FA615" i="4"/>
  <c r="FP615" i="4" s="1"/>
  <c r="EZ615" i="4"/>
  <c r="EY615" i="4"/>
  <c r="EX615" i="4"/>
  <c r="EW615" i="4"/>
  <c r="FM615" i="4" s="1"/>
  <c r="EV615" i="4"/>
  <c r="EU615" i="4"/>
  <c r="EB615" i="4"/>
  <c r="DX615" i="4"/>
  <c r="DW615" i="4"/>
  <c r="EA615" i="4" s="1"/>
  <c r="DL615" i="4"/>
  <c r="DF615" i="4"/>
  <c r="DA615" i="4"/>
  <c r="CX615" i="4"/>
  <c r="FJ615" i="4" s="1"/>
  <c r="FY615" i="4" s="1"/>
  <c r="CW615" i="4"/>
  <c r="CU615" i="4"/>
  <c r="DE615" i="4" s="1"/>
  <c r="CO615" i="4"/>
  <c r="CV615" i="4" s="1"/>
  <c r="CN615" i="4"/>
  <c r="QX615" i="4" s="1"/>
  <c r="CK615" i="4"/>
  <c r="CJ615" i="4"/>
  <c r="CG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C615" i="4"/>
  <c r="BB615" i="4"/>
  <c r="BA615" i="4"/>
  <c r="AZ615" i="4"/>
  <c r="AY615" i="4"/>
  <c r="AX615" i="4"/>
  <c r="AW615" i="4"/>
  <c r="AV615" i="4"/>
  <c r="Y615" i="4"/>
  <c r="Q615" i="4"/>
  <c r="B615" i="4"/>
  <c r="A615" i="4"/>
  <c r="QX614" i="4"/>
  <c r="FU614" i="4"/>
  <c r="FS614" i="4"/>
  <c r="FO614" i="4"/>
  <c r="FN614" i="4"/>
  <c r="FL614" i="4"/>
  <c r="FK614" i="4"/>
  <c r="FI614" i="4"/>
  <c r="FX614" i="4" s="1"/>
  <c r="FH614" i="4"/>
  <c r="FV614" i="4" s="1"/>
  <c r="FG614" i="4"/>
  <c r="FE614" i="4"/>
  <c r="FT614" i="4" s="1"/>
  <c r="FD614" i="4"/>
  <c r="FC614" i="4"/>
  <c r="FR614" i="4" s="1"/>
  <c r="FA614" i="4"/>
  <c r="FP614" i="4" s="1"/>
  <c r="EZ614" i="4"/>
  <c r="EY614" i="4"/>
  <c r="EX614" i="4"/>
  <c r="EW614" i="4"/>
  <c r="FM614" i="4" s="1"/>
  <c r="EV614" i="4"/>
  <c r="EU614" i="4"/>
  <c r="EB614" i="4"/>
  <c r="DX614" i="4"/>
  <c r="DW614" i="4"/>
  <c r="EA614" i="4" s="1"/>
  <c r="DL614" i="4"/>
  <c r="DH614" i="4"/>
  <c r="DF614" i="4"/>
  <c r="DA614" i="4"/>
  <c r="CX614" i="4"/>
  <c r="FJ614" i="4" s="1"/>
  <c r="FY614" i="4" s="1"/>
  <c r="CW614" i="4"/>
  <c r="CU614" i="4"/>
  <c r="DE614" i="4" s="1"/>
  <c r="CO614" i="4"/>
  <c r="CV614" i="4" s="1"/>
  <c r="CK614" i="4"/>
  <c r="CJ614" i="4"/>
  <c r="CG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C614" i="4"/>
  <c r="BB614" i="4"/>
  <c r="BA614" i="4"/>
  <c r="AZ614" i="4"/>
  <c r="AY614" i="4"/>
  <c r="AX614" i="4"/>
  <c r="AW614" i="4"/>
  <c r="AV614" i="4"/>
  <c r="Y614" i="4"/>
  <c r="Q614" i="4"/>
  <c r="B614" i="4"/>
  <c r="A614" i="4"/>
  <c r="MF613" i="4"/>
  <c r="FT613" i="4"/>
  <c r="FR613" i="4"/>
  <c r="FP613" i="4"/>
  <c r="FN613" i="4"/>
  <c r="FM613" i="4"/>
  <c r="FK613" i="4"/>
  <c r="FJ613" i="4"/>
  <c r="FY613" i="4" s="1"/>
  <c r="FH613" i="4"/>
  <c r="FV613" i="4" s="1"/>
  <c r="FG613" i="4"/>
  <c r="FU613" i="4" s="1"/>
  <c r="FE613" i="4"/>
  <c r="FD613" i="4"/>
  <c r="FS613" i="4" s="1"/>
  <c r="FC613" i="4"/>
  <c r="FA613" i="4"/>
  <c r="EZ613" i="4"/>
  <c r="FO613" i="4" s="1"/>
  <c r="EY613" i="4"/>
  <c r="EX613" i="4"/>
  <c r="EW613" i="4"/>
  <c r="EV613" i="4"/>
  <c r="FL613" i="4" s="1"/>
  <c r="EU613" i="4"/>
  <c r="EB613" i="4"/>
  <c r="EA613" i="4"/>
  <c r="DY613" i="4"/>
  <c r="EC613" i="4" s="1"/>
  <c r="DX613" i="4"/>
  <c r="DW613" i="4"/>
  <c r="DV613" i="4"/>
  <c r="DU613" i="4"/>
  <c r="DL613" i="4"/>
  <c r="DH613" i="4"/>
  <c r="DF613" i="4"/>
  <c r="DE613" i="4"/>
  <c r="DA613" i="4"/>
  <c r="CX613" i="4"/>
  <c r="CW613" i="4"/>
  <c r="CU613" i="4"/>
  <c r="CO613" i="4"/>
  <c r="CV613" i="4" s="1"/>
  <c r="CN613" i="4"/>
  <c r="FI613" i="4" s="1"/>
  <c r="FX613" i="4" s="1"/>
  <c r="CK613" i="4"/>
  <c r="CJ613" i="4"/>
  <c r="CG613" i="4"/>
  <c r="BP613" i="4"/>
  <c r="BO613" i="4"/>
  <c r="BN613" i="4"/>
  <c r="BM613" i="4"/>
  <c r="BL613" i="4"/>
  <c r="BK613" i="4"/>
  <c r="BJ613" i="4"/>
  <c r="BI613" i="4"/>
  <c r="BH613" i="4"/>
  <c r="BG613" i="4"/>
  <c r="BF613" i="4"/>
  <c r="BE613" i="4"/>
  <c r="BD613" i="4"/>
  <c r="BC613" i="4"/>
  <c r="BB613" i="4"/>
  <c r="BA613" i="4"/>
  <c r="AZ613" i="4"/>
  <c r="AY613" i="4"/>
  <c r="AX613" i="4"/>
  <c r="AW613" i="4"/>
  <c r="AV613" i="4"/>
  <c r="Y613" i="4"/>
  <c r="B613" i="4"/>
  <c r="A613" i="4"/>
  <c r="QX612" i="4"/>
  <c r="FY612" i="4"/>
  <c r="FV612" i="4"/>
  <c r="FS612" i="4"/>
  <c r="FO612" i="4"/>
  <c r="FM612" i="4"/>
  <c r="FL612" i="4"/>
  <c r="FI612" i="4"/>
  <c r="FX612" i="4" s="1"/>
  <c r="FH612" i="4"/>
  <c r="FG612" i="4"/>
  <c r="FU612" i="4" s="1"/>
  <c r="FE612" i="4"/>
  <c r="FT612" i="4" s="1"/>
  <c r="FD612" i="4"/>
  <c r="FC612" i="4"/>
  <c r="FR612" i="4" s="1"/>
  <c r="FA612" i="4"/>
  <c r="FP612" i="4" s="1"/>
  <c r="EZ612" i="4"/>
  <c r="EY612" i="4"/>
  <c r="EX612" i="4"/>
  <c r="FN612" i="4" s="1"/>
  <c r="EW612" i="4"/>
  <c r="EV612" i="4"/>
  <c r="EU612" i="4"/>
  <c r="FK612" i="4" s="1"/>
  <c r="EA612" i="4"/>
  <c r="DX612" i="4"/>
  <c r="DW612" i="4"/>
  <c r="DU612" i="4"/>
  <c r="DH612" i="4"/>
  <c r="DF612" i="4"/>
  <c r="DA612" i="4"/>
  <c r="CX612" i="4"/>
  <c r="FJ612" i="4" s="1"/>
  <c r="CU612" i="4"/>
  <c r="DE612" i="4" s="1"/>
  <c r="CO612" i="4"/>
  <c r="FB612" i="4" s="1"/>
  <c r="FQ612" i="4" s="1"/>
  <c r="CK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C612" i="4"/>
  <c r="BB612" i="4"/>
  <c r="BA612" i="4"/>
  <c r="AZ612" i="4"/>
  <c r="AY612" i="4"/>
  <c r="AX612" i="4"/>
  <c r="AW612" i="4"/>
  <c r="AV612" i="4"/>
  <c r="Q612" i="4"/>
  <c r="B612" i="4"/>
  <c r="A612" i="4"/>
  <c r="QX611" i="4"/>
  <c r="FX611" i="4"/>
  <c r="FT611" i="4"/>
  <c r="FR611" i="4"/>
  <c r="FP611" i="4"/>
  <c r="FN611" i="4"/>
  <c r="FM611" i="4"/>
  <c r="FK611" i="4"/>
  <c r="FJ611" i="4"/>
  <c r="FY611" i="4" s="1"/>
  <c r="FI611" i="4"/>
  <c r="FH611" i="4"/>
  <c r="FV611" i="4" s="1"/>
  <c r="FG611" i="4"/>
  <c r="FU611" i="4" s="1"/>
  <c r="FE611" i="4"/>
  <c r="FD611" i="4"/>
  <c r="FS611" i="4" s="1"/>
  <c r="FC611" i="4"/>
  <c r="FB611" i="4"/>
  <c r="FQ611" i="4" s="1"/>
  <c r="FA611" i="4"/>
  <c r="EZ611" i="4"/>
  <c r="FO611" i="4" s="1"/>
  <c r="EY611" i="4"/>
  <c r="EX611" i="4"/>
  <c r="EW611" i="4"/>
  <c r="EV611" i="4"/>
  <c r="FL611" i="4" s="1"/>
  <c r="EU611" i="4"/>
  <c r="EB611" i="4"/>
  <c r="EA611" i="4"/>
  <c r="DX611" i="4"/>
  <c r="DW611" i="4"/>
  <c r="DV611" i="4"/>
  <c r="DZ611" i="4" s="1"/>
  <c r="DU611" i="4"/>
  <c r="DL611" i="4"/>
  <c r="DH611" i="4"/>
  <c r="DF611" i="4"/>
  <c r="DE611" i="4"/>
  <c r="DA611" i="4"/>
  <c r="CX611" i="4"/>
  <c r="CU611" i="4"/>
  <c r="CO611" i="4"/>
  <c r="CK611" i="4"/>
  <c r="CG611" i="4"/>
  <c r="BP611" i="4"/>
  <c r="BO611" i="4"/>
  <c r="BN611" i="4"/>
  <c r="BM611" i="4"/>
  <c r="BL611" i="4"/>
  <c r="BK611" i="4"/>
  <c r="BJ611" i="4"/>
  <c r="BI611" i="4"/>
  <c r="BH611" i="4"/>
  <c r="BG611" i="4"/>
  <c r="BF611" i="4"/>
  <c r="BE611" i="4"/>
  <c r="BD611" i="4"/>
  <c r="BC611" i="4"/>
  <c r="BB611" i="4"/>
  <c r="BA611" i="4"/>
  <c r="AZ611" i="4"/>
  <c r="AY611" i="4"/>
  <c r="AX611" i="4"/>
  <c r="AW611" i="4"/>
  <c r="AV611" i="4"/>
  <c r="Y611" i="4"/>
  <c r="Q611" i="4"/>
  <c r="B611" i="4"/>
  <c r="A611" i="4"/>
  <c r="QX610" i="4"/>
  <c r="FX610" i="4"/>
  <c r="FU610" i="4"/>
  <c r="FT610" i="4"/>
  <c r="FR610" i="4"/>
  <c r="FP610" i="4"/>
  <c r="FN610" i="4"/>
  <c r="FL610" i="4"/>
  <c r="FK610" i="4"/>
  <c r="FI610" i="4"/>
  <c r="FH610" i="4"/>
  <c r="FV610" i="4" s="1"/>
  <c r="FG610" i="4"/>
  <c r="FE610" i="4"/>
  <c r="FD610" i="4"/>
  <c r="FS610" i="4" s="1"/>
  <c r="FC610" i="4"/>
  <c r="FA610" i="4"/>
  <c r="EZ610" i="4"/>
  <c r="FO610" i="4" s="1"/>
  <c r="EY610" i="4"/>
  <c r="EX610" i="4"/>
  <c r="EW610" i="4"/>
  <c r="FM610" i="4" s="1"/>
  <c r="EV610" i="4"/>
  <c r="EU610" i="4"/>
  <c r="EB610" i="4"/>
  <c r="DX610" i="4"/>
  <c r="DW610" i="4"/>
  <c r="DL610" i="4"/>
  <c r="DH610" i="4"/>
  <c r="DF610" i="4"/>
  <c r="DA610" i="4"/>
  <c r="CX610" i="4"/>
  <c r="FJ610" i="4" s="1"/>
  <c r="FY610" i="4" s="1"/>
  <c r="CU610" i="4"/>
  <c r="DE610" i="4" s="1"/>
  <c r="CO610" i="4"/>
  <c r="CW610" i="4" s="1"/>
  <c r="CK610" i="4"/>
  <c r="BP610" i="4"/>
  <c r="BO610" i="4"/>
  <c r="BN610" i="4"/>
  <c r="BM610" i="4"/>
  <c r="BL610" i="4"/>
  <c r="BK610" i="4"/>
  <c r="BJ610" i="4"/>
  <c r="BI610" i="4"/>
  <c r="BH610" i="4"/>
  <c r="BG610" i="4"/>
  <c r="BF610" i="4"/>
  <c r="BE610" i="4"/>
  <c r="BD610" i="4"/>
  <c r="BC610" i="4"/>
  <c r="BB610" i="4"/>
  <c r="BA610" i="4"/>
  <c r="AZ610" i="4"/>
  <c r="AY610" i="4"/>
  <c r="AX610" i="4"/>
  <c r="AW610" i="4"/>
  <c r="AV610" i="4"/>
  <c r="Y610" i="4"/>
  <c r="Q610" i="4"/>
  <c r="B610" i="4"/>
  <c r="A610" i="4"/>
  <c r="QX609" i="4"/>
  <c r="FU609" i="4"/>
  <c r="FS609" i="4"/>
  <c r="FO609" i="4"/>
  <c r="FN609" i="4"/>
  <c r="FL609" i="4"/>
  <c r="FK609" i="4"/>
  <c r="FI609" i="4"/>
  <c r="FX609" i="4" s="1"/>
  <c r="FH609" i="4"/>
  <c r="FV609" i="4" s="1"/>
  <c r="FG609" i="4"/>
  <c r="FE609" i="4"/>
  <c r="FT609" i="4" s="1"/>
  <c r="FD609" i="4"/>
  <c r="FC609" i="4"/>
  <c r="FR609" i="4" s="1"/>
  <c r="FA609" i="4"/>
  <c r="FP609" i="4" s="1"/>
  <c r="EZ609" i="4"/>
  <c r="EY609" i="4"/>
  <c r="EX609" i="4"/>
  <c r="EW609" i="4"/>
  <c r="FM609" i="4" s="1"/>
  <c r="EV609" i="4"/>
  <c r="EU609" i="4"/>
  <c r="EB609" i="4"/>
  <c r="DX609" i="4"/>
  <c r="DW609" i="4"/>
  <c r="EA609" i="4" s="1"/>
  <c r="DH609" i="4"/>
  <c r="DF609" i="4"/>
  <c r="DE609" i="4"/>
  <c r="DA609" i="4"/>
  <c r="CX609" i="4"/>
  <c r="FJ609" i="4" s="1"/>
  <c r="FY609" i="4" s="1"/>
  <c r="CU609" i="4"/>
  <c r="CO609" i="4"/>
  <c r="CK609" i="4"/>
  <c r="BP609" i="4"/>
  <c r="BO609" i="4"/>
  <c r="BN609" i="4"/>
  <c r="BM609" i="4"/>
  <c r="BL609" i="4"/>
  <c r="BK609" i="4"/>
  <c r="BJ609" i="4"/>
  <c r="BI609" i="4"/>
  <c r="BH609" i="4"/>
  <c r="BG609" i="4"/>
  <c r="BF609" i="4"/>
  <c r="BE609" i="4"/>
  <c r="BD609" i="4"/>
  <c r="BC609" i="4"/>
  <c r="BB609" i="4"/>
  <c r="BA609" i="4"/>
  <c r="AZ609" i="4"/>
  <c r="AY609" i="4"/>
  <c r="AX609" i="4"/>
  <c r="AW609" i="4"/>
  <c r="AV609" i="4"/>
  <c r="Y609" i="4"/>
  <c r="Q609" i="4"/>
  <c r="B609" i="4"/>
  <c r="A609" i="4"/>
  <c r="QX608" i="4"/>
  <c r="FS608" i="4"/>
  <c r="FQ608" i="4"/>
  <c r="DD608" i="4" s="1"/>
  <c r="FO608" i="4"/>
  <c r="FN608" i="4"/>
  <c r="FM608" i="4"/>
  <c r="FK608" i="4"/>
  <c r="FI608" i="4"/>
  <c r="FX608" i="4" s="1"/>
  <c r="FH608" i="4"/>
  <c r="FV608" i="4" s="1"/>
  <c r="FG608" i="4"/>
  <c r="FU608" i="4" s="1"/>
  <c r="FE608" i="4"/>
  <c r="FT608" i="4" s="1"/>
  <c r="FD608" i="4"/>
  <c r="FC608" i="4"/>
  <c r="FR608" i="4" s="1"/>
  <c r="FB608" i="4"/>
  <c r="FA608" i="4"/>
  <c r="FP608" i="4" s="1"/>
  <c r="EZ608" i="4"/>
  <c r="EY608" i="4"/>
  <c r="EX608" i="4"/>
  <c r="EW608" i="4"/>
  <c r="EV608" i="4"/>
  <c r="FL608" i="4" s="1"/>
  <c r="EU608" i="4"/>
  <c r="DX608" i="4"/>
  <c r="EB608" i="4" s="1"/>
  <c r="DH608" i="4"/>
  <c r="DF608" i="4"/>
  <c r="DC608" i="4"/>
  <c r="DB608" i="4" s="1"/>
  <c r="DA608" i="4"/>
  <c r="CX608" i="4"/>
  <c r="FJ608" i="4" s="1"/>
  <c r="FY608" i="4" s="1"/>
  <c r="CW608" i="4"/>
  <c r="CU608" i="4"/>
  <c r="DE608" i="4" s="1"/>
  <c r="CO608" i="4"/>
  <c r="CV608" i="4" s="1"/>
  <c r="CK608" i="4"/>
  <c r="BP608" i="4"/>
  <c r="BO608" i="4"/>
  <c r="BN608" i="4"/>
  <c r="BM608" i="4"/>
  <c r="BL608" i="4"/>
  <c r="BK608" i="4"/>
  <c r="BJ608" i="4"/>
  <c r="BI608" i="4"/>
  <c r="BH608" i="4"/>
  <c r="BG608" i="4"/>
  <c r="BF608" i="4"/>
  <c r="BE608" i="4"/>
  <c r="BD608" i="4"/>
  <c r="BC608" i="4"/>
  <c r="BB608" i="4"/>
  <c r="BA608" i="4"/>
  <c r="AZ608" i="4"/>
  <c r="AY608" i="4"/>
  <c r="AX608" i="4"/>
  <c r="AW608" i="4"/>
  <c r="AV608" i="4"/>
  <c r="Y608" i="4"/>
  <c r="Q608" i="4"/>
  <c r="B608" i="4"/>
  <c r="A608" i="4"/>
  <c r="QX607" i="4"/>
  <c r="FX607" i="4"/>
  <c r="FU607" i="4"/>
  <c r="FT607" i="4"/>
  <c r="FR607" i="4"/>
  <c r="FP607" i="4"/>
  <c r="FN607" i="4"/>
  <c r="FL607" i="4"/>
  <c r="FK607" i="4"/>
  <c r="FJ607" i="4"/>
  <c r="FY607" i="4" s="1"/>
  <c r="FI607" i="4"/>
  <c r="FH607" i="4"/>
  <c r="FV607" i="4" s="1"/>
  <c r="FG607" i="4"/>
  <c r="FE607" i="4"/>
  <c r="FD607" i="4"/>
  <c r="FS607" i="4" s="1"/>
  <c r="FC607" i="4"/>
  <c r="FA607" i="4"/>
  <c r="EZ607" i="4"/>
  <c r="FO607" i="4" s="1"/>
  <c r="EY607" i="4"/>
  <c r="EX607" i="4"/>
  <c r="EW607" i="4"/>
  <c r="FM607" i="4" s="1"/>
  <c r="EV607" i="4"/>
  <c r="EU607" i="4"/>
  <c r="EB607" i="4"/>
  <c r="DX607" i="4"/>
  <c r="DW607" i="4"/>
  <c r="DH607" i="4"/>
  <c r="DF607" i="4"/>
  <c r="DE607" i="4"/>
  <c r="DA607" i="4"/>
  <c r="CX607" i="4"/>
  <c r="CW607" i="4"/>
  <c r="CU607" i="4"/>
  <c r="CO607" i="4"/>
  <c r="CV607" i="4" s="1"/>
  <c r="FF607" i="4" s="1"/>
  <c r="FW607" i="4" s="1"/>
  <c r="CK607" i="4"/>
  <c r="BS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Y607" i="4"/>
  <c r="AX607" i="4"/>
  <c r="AW607" i="4"/>
  <c r="AV607" i="4"/>
  <c r="Y607" i="4"/>
  <c r="Q607" i="4"/>
  <c r="B607" i="4"/>
  <c r="A607" i="4"/>
  <c r="QX606" i="4"/>
  <c r="FX606" i="4"/>
  <c r="FU606" i="4"/>
  <c r="FS606" i="4"/>
  <c r="FO606" i="4"/>
  <c r="FN606" i="4"/>
  <c r="FL606" i="4"/>
  <c r="FK606" i="4"/>
  <c r="FI606" i="4"/>
  <c r="FH606" i="4"/>
  <c r="FV606" i="4" s="1"/>
  <c r="FG606" i="4"/>
  <c r="FE606" i="4"/>
  <c r="FT606" i="4" s="1"/>
  <c r="FD606" i="4"/>
  <c r="FC606" i="4"/>
  <c r="FR606" i="4" s="1"/>
  <c r="FA606" i="4"/>
  <c r="FP606" i="4" s="1"/>
  <c r="EZ606" i="4"/>
  <c r="EY606" i="4"/>
  <c r="EX606" i="4"/>
  <c r="EW606" i="4"/>
  <c r="FM606" i="4" s="1"/>
  <c r="EV606" i="4"/>
  <c r="EU606" i="4"/>
  <c r="EB606" i="4"/>
  <c r="DX606" i="4"/>
  <c r="DW606" i="4"/>
  <c r="EA606" i="4" s="1"/>
  <c r="DL606" i="4"/>
  <c r="DH606" i="4"/>
  <c r="DF606" i="4"/>
  <c r="DA606" i="4"/>
  <c r="CX606" i="4"/>
  <c r="FJ606" i="4" s="1"/>
  <c r="FY606" i="4" s="1"/>
  <c r="CW606" i="4"/>
  <c r="CU606" i="4"/>
  <c r="DE606" i="4" s="1"/>
  <c r="CO606" i="4"/>
  <c r="CV606" i="4" s="1"/>
  <c r="CG606" i="4"/>
  <c r="BS606" i="4"/>
  <c r="BP606" i="4"/>
  <c r="BO606" i="4"/>
  <c r="BN606" i="4"/>
  <c r="BM606" i="4"/>
  <c r="BL606" i="4"/>
  <c r="BK606" i="4"/>
  <c r="BJ606" i="4"/>
  <c r="BI606" i="4"/>
  <c r="BH606" i="4"/>
  <c r="BG606" i="4"/>
  <c r="BF606" i="4"/>
  <c r="BE606" i="4"/>
  <c r="BD606" i="4"/>
  <c r="BC606" i="4"/>
  <c r="BB606" i="4"/>
  <c r="BA606" i="4"/>
  <c r="AZ606" i="4"/>
  <c r="AY606" i="4"/>
  <c r="AX606" i="4"/>
  <c r="AW606" i="4"/>
  <c r="AV606" i="4"/>
  <c r="Y606" i="4"/>
  <c r="Q606" i="4"/>
  <c r="B606" i="4"/>
  <c r="A606" i="4"/>
  <c r="FV605" i="4"/>
  <c r="FS605" i="4"/>
  <c r="FO605" i="4"/>
  <c r="FM605" i="4"/>
  <c r="FL605" i="4"/>
  <c r="FH605" i="4"/>
  <c r="FG605" i="4"/>
  <c r="FU605" i="4" s="1"/>
  <c r="FE605" i="4"/>
  <c r="FT605" i="4" s="1"/>
  <c r="FD605" i="4"/>
  <c r="FC605" i="4"/>
  <c r="FR605" i="4" s="1"/>
  <c r="FA605" i="4"/>
  <c r="FP605" i="4" s="1"/>
  <c r="EZ605" i="4"/>
  <c r="EY605" i="4"/>
  <c r="EX605" i="4"/>
  <c r="FN605" i="4" s="1"/>
  <c r="EW605" i="4"/>
  <c r="EV605" i="4"/>
  <c r="EU605" i="4"/>
  <c r="FK605" i="4" s="1"/>
  <c r="DX605" i="4"/>
  <c r="EB605" i="4" s="1"/>
  <c r="DL605" i="4"/>
  <c r="DG605" i="4"/>
  <c r="DF605" i="4"/>
  <c r="DA605" i="4"/>
  <c r="CW605" i="4"/>
  <c r="CV605" i="4"/>
  <c r="CU605" i="4"/>
  <c r="DE605" i="4" s="1"/>
  <c r="CO605" i="4"/>
  <c r="FB605" i="4" s="1"/>
  <c r="FQ605" i="4" s="1"/>
  <c r="CN605" i="4"/>
  <c r="CJ605" i="4"/>
  <c r="CG605" i="4"/>
  <c r="BS605" i="4"/>
  <c r="BP605" i="4"/>
  <c r="BO605" i="4"/>
  <c r="BN605" i="4"/>
  <c r="BM605" i="4"/>
  <c r="BL605" i="4"/>
  <c r="BK605" i="4"/>
  <c r="BJ605" i="4"/>
  <c r="BI605" i="4"/>
  <c r="BH605" i="4"/>
  <c r="BG605" i="4"/>
  <c r="BF605" i="4"/>
  <c r="BE605" i="4"/>
  <c r="BD605" i="4"/>
  <c r="BC605" i="4"/>
  <c r="BB605" i="4"/>
  <c r="BA605" i="4"/>
  <c r="AZ605" i="4"/>
  <c r="AY605" i="4"/>
  <c r="AX605" i="4"/>
  <c r="AW605" i="4"/>
  <c r="AV605" i="4"/>
  <c r="Y605" i="4"/>
  <c r="Q605" i="4"/>
  <c r="B605" i="4"/>
  <c r="A605" i="4"/>
  <c r="QX604" i="4"/>
  <c r="FX604" i="4"/>
  <c r="FT604" i="4"/>
  <c r="FR604" i="4"/>
  <c r="FP604" i="4"/>
  <c r="FN604" i="4"/>
  <c r="FM604" i="4"/>
  <c r="FK604" i="4"/>
  <c r="FJ604" i="4"/>
  <c r="FY604" i="4" s="1"/>
  <c r="FI604" i="4"/>
  <c r="FH604" i="4"/>
  <c r="FV604" i="4" s="1"/>
  <c r="FG604" i="4"/>
  <c r="FU604" i="4" s="1"/>
  <c r="FE604" i="4"/>
  <c r="FD604" i="4"/>
  <c r="FS604" i="4" s="1"/>
  <c r="FC604" i="4"/>
  <c r="FA604" i="4"/>
  <c r="EZ604" i="4"/>
  <c r="FO604" i="4" s="1"/>
  <c r="EY604" i="4"/>
  <c r="EX604" i="4"/>
  <c r="EW604" i="4"/>
  <c r="EV604" i="4"/>
  <c r="FL604" i="4" s="1"/>
  <c r="EU604" i="4"/>
  <c r="EB604" i="4"/>
  <c r="EA604" i="4"/>
  <c r="DY604" i="4"/>
  <c r="EC604" i="4" s="1"/>
  <c r="DX604" i="4"/>
  <c r="DW604" i="4"/>
  <c r="DV604" i="4"/>
  <c r="DU604" i="4"/>
  <c r="DL604" i="4"/>
  <c r="DH604" i="4"/>
  <c r="DF604" i="4"/>
  <c r="DE604" i="4"/>
  <c r="DA604" i="4"/>
  <c r="CX604" i="4"/>
  <c r="CW604" i="4"/>
  <c r="CU604" i="4"/>
  <c r="CO604" i="4"/>
  <c r="CV604" i="4" s="1"/>
  <c r="CG604" i="4"/>
  <c r="BS604" i="4"/>
  <c r="BP604" i="4"/>
  <c r="BO604" i="4"/>
  <c r="BN604" i="4"/>
  <c r="BM604" i="4"/>
  <c r="BL604" i="4"/>
  <c r="BK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Y604" i="4"/>
  <c r="Q604" i="4"/>
  <c r="B604" i="4"/>
  <c r="A604" i="4"/>
  <c r="QX603" i="4"/>
  <c r="FX603" i="4"/>
  <c r="FU603" i="4"/>
  <c r="FT603" i="4"/>
  <c r="FP603" i="4"/>
  <c r="FN603" i="4"/>
  <c r="FL603" i="4"/>
  <c r="FK603" i="4"/>
  <c r="FI603" i="4"/>
  <c r="FH603" i="4"/>
  <c r="FV603" i="4" s="1"/>
  <c r="FG603" i="4"/>
  <c r="FE603" i="4"/>
  <c r="FD603" i="4"/>
  <c r="FS603" i="4" s="1"/>
  <c r="FC603" i="4"/>
  <c r="FR603" i="4" s="1"/>
  <c r="FA603" i="4"/>
  <c r="EZ603" i="4"/>
  <c r="FO603" i="4" s="1"/>
  <c r="EY603" i="4"/>
  <c r="EX603" i="4"/>
  <c r="EW603" i="4"/>
  <c r="FM603" i="4" s="1"/>
  <c r="EV603" i="4"/>
  <c r="EU603" i="4"/>
  <c r="EB603" i="4"/>
  <c r="DX603" i="4"/>
  <c r="DW603" i="4"/>
  <c r="DL603" i="4"/>
  <c r="DH603" i="4"/>
  <c r="DF603" i="4"/>
  <c r="DA603" i="4"/>
  <c r="CX603" i="4"/>
  <c r="FJ603" i="4" s="1"/>
  <c r="FY603" i="4" s="1"/>
  <c r="CW603" i="4"/>
  <c r="CU603" i="4"/>
  <c r="DE603" i="4" s="1"/>
  <c r="CO603" i="4"/>
  <c r="CV603" i="4" s="1"/>
  <c r="CK603" i="4"/>
  <c r="BS603" i="4"/>
  <c r="BP603" i="4"/>
  <c r="BO603" i="4"/>
  <c r="BN603" i="4"/>
  <c r="BM603" i="4"/>
  <c r="BL603" i="4"/>
  <c r="BK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Y603" i="4"/>
  <c r="Q603" i="4"/>
  <c r="B603" i="4"/>
  <c r="A603" i="4"/>
  <c r="FV602" i="4"/>
  <c r="FT602" i="4"/>
  <c r="FR602" i="4"/>
  <c r="FM602" i="4"/>
  <c r="FL602" i="4"/>
  <c r="FH602" i="4"/>
  <c r="FG602" i="4"/>
  <c r="FU602" i="4" s="1"/>
  <c r="FE602" i="4"/>
  <c r="FD602" i="4"/>
  <c r="FS602" i="4" s="1"/>
  <c r="FC602" i="4"/>
  <c r="FA602" i="4"/>
  <c r="FP602" i="4" s="1"/>
  <c r="EZ602" i="4"/>
  <c r="FO602" i="4" s="1"/>
  <c r="EY602" i="4"/>
  <c r="EX602" i="4"/>
  <c r="FN602" i="4" s="1"/>
  <c r="EW602" i="4"/>
  <c r="EV602" i="4"/>
  <c r="EU602" i="4"/>
  <c r="FK602" i="4" s="1"/>
  <c r="DX602" i="4"/>
  <c r="EB602" i="4" s="1"/>
  <c r="DL602" i="4"/>
  <c r="DG602" i="4"/>
  <c r="DF602" i="4"/>
  <c r="DD602" i="4"/>
  <c r="DA602" i="4"/>
  <c r="CW602" i="4"/>
  <c r="CV602" i="4"/>
  <c r="CU602" i="4"/>
  <c r="DE602" i="4" s="1"/>
  <c r="CO602" i="4"/>
  <c r="FB602" i="4" s="1"/>
  <c r="FQ602" i="4" s="1"/>
  <c r="DC602" i="4" s="1"/>
  <c r="CN602" i="4"/>
  <c r="CJ602" i="4"/>
  <c r="CG602" i="4"/>
  <c r="BS602" i="4"/>
  <c r="BP602" i="4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Y602" i="4"/>
  <c r="AX602" i="4"/>
  <c r="AW602" i="4"/>
  <c r="AV602" i="4"/>
  <c r="Y602" i="4"/>
  <c r="Q602" i="4"/>
  <c r="B602" i="4"/>
  <c r="A602" i="4"/>
  <c r="QX601" i="4"/>
  <c r="FY601" i="4"/>
  <c r="FX601" i="4"/>
  <c r="FT601" i="4"/>
  <c r="FS601" i="4"/>
  <c r="FO601" i="4"/>
  <c r="FN601" i="4"/>
  <c r="FM601" i="4"/>
  <c r="FK601" i="4"/>
  <c r="FJ601" i="4"/>
  <c r="FI601" i="4"/>
  <c r="FH601" i="4"/>
  <c r="FV601" i="4" s="1"/>
  <c r="FG601" i="4"/>
  <c r="FU601" i="4" s="1"/>
  <c r="FE601" i="4"/>
  <c r="FD601" i="4"/>
  <c r="FC601" i="4"/>
  <c r="FR601" i="4" s="1"/>
  <c r="FA601" i="4"/>
  <c r="FP601" i="4" s="1"/>
  <c r="EZ601" i="4"/>
  <c r="EY601" i="4"/>
  <c r="EX601" i="4"/>
  <c r="EW601" i="4"/>
  <c r="EV601" i="4"/>
  <c r="FL601" i="4" s="1"/>
  <c r="EU601" i="4"/>
  <c r="EB601" i="4"/>
  <c r="EA601" i="4"/>
  <c r="DY601" i="4"/>
  <c r="EC601" i="4" s="1"/>
  <c r="DX601" i="4"/>
  <c r="DW601" i="4"/>
  <c r="DV601" i="4"/>
  <c r="DZ601" i="4" s="1"/>
  <c r="DU601" i="4"/>
  <c r="DL601" i="4"/>
  <c r="DH601" i="4"/>
  <c r="DF601" i="4"/>
  <c r="DE601" i="4"/>
  <c r="DA601" i="4"/>
  <c r="CX601" i="4"/>
  <c r="CW601" i="4"/>
  <c r="CU601" i="4"/>
  <c r="CO601" i="4"/>
  <c r="CV601" i="4" s="1"/>
  <c r="CG601" i="4"/>
  <c r="BS601" i="4"/>
  <c r="BP601" i="4"/>
  <c r="BO601" i="4"/>
  <c r="BN601" i="4"/>
  <c r="BM601" i="4"/>
  <c r="BL601" i="4"/>
  <c r="BK601" i="4"/>
  <c r="BJ601" i="4"/>
  <c r="BI601" i="4"/>
  <c r="BH601" i="4"/>
  <c r="BG601" i="4"/>
  <c r="BF601" i="4"/>
  <c r="BE601" i="4"/>
  <c r="BD601" i="4"/>
  <c r="BC601" i="4"/>
  <c r="BB601" i="4"/>
  <c r="BA601" i="4"/>
  <c r="AZ601" i="4"/>
  <c r="AY601" i="4"/>
  <c r="AX601" i="4"/>
  <c r="AW601" i="4"/>
  <c r="AV601" i="4"/>
  <c r="Y601" i="4"/>
  <c r="Q601" i="4"/>
  <c r="B601" i="4"/>
  <c r="A601" i="4"/>
  <c r="QX600" i="4"/>
  <c r="FX600" i="4"/>
  <c r="FU600" i="4"/>
  <c r="FS600" i="4"/>
  <c r="FN600" i="4"/>
  <c r="FL600" i="4"/>
  <c r="FK600" i="4"/>
  <c r="FI600" i="4"/>
  <c r="FH600" i="4"/>
  <c r="FV600" i="4" s="1"/>
  <c r="FG600" i="4"/>
  <c r="FE600" i="4"/>
  <c r="FT600" i="4" s="1"/>
  <c r="FD600" i="4"/>
  <c r="FC600" i="4"/>
  <c r="FR600" i="4" s="1"/>
  <c r="FA600" i="4"/>
  <c r="FP600" i="4" s="1"/>
  <c r="EZ600" i="4"/>
  <c r="FO600" i="4" s="1"/>
  <c r="EY600" i="4"/>
  <c r="EX600" i="4"/>
  <c r="EW600" i="4"/>
  <c r="FM600" i="4" s="1"/>
  <c r="EV600" i="4"/>
  <c r="EU600" i="4"/>
  <c r="EB600" i="4"/>
  <c r="DX600" i="4"/>
  <c r="DW600" i="4"/>
  <c r="DL600" i="4"/>
  <c r="DH600" i="4"/>
  <c r="DF600" i="4"/>
  <c r="DA600" i="4"/>
  <c r="CX600" i="4"/>
  <c r="FJ600" i="4" s="1"/>
  <c r="FY600" i="4" s="1"/>
  <c r="CW600" i="4"/>
  <c r="CU600" i="4"/>
  <c r="DE600" i="4" s="1"/>
  <c r="CO600" i="4"/>
  <c r="CV600" i="4" s="1"/>
  <c r="BS600" i="4"/>
  <c r="BP600" i="4"/>
  <c r="BO600" i="4"/>
  <c r="BN600" i="4"/>
  <c r="BM600" i="4"/>
  <c r="BL600" i="4"/>
  <c r="BK600" i="4"/>
  <c r="BJ600" i="4"/>
  <c r="BI600" i="4"/>
  <c r="BH600" i="4"/>
  <c r="BG600" i="4"/>
  <c r="BF600" i="4"/>
  <c r="BE600" i="4"/>
  <c r="BD600" i="4"/>
  <c r="BC600" i="4"/>
  <c r="BB600" i="4"/>
  <c r="BA600" i="4"/>
  <c r="AZ600" i="4"/>
  <c r="AY600" i="4"/>
  <c r="AX600" i="4"/>
  <c r="AW600" i="4"/>
  <c r="AV600" i="4"/>
  <c r="Y600" i="4"/>
  <c r="Q600" i="4"/>
  <c r="B600" i="4"/>
  <c r="A600" i="4"/>
  <c r="MF599" i="4"/>
  <c r="FU599" i="4"/>
  <c r="FR599" i="4"/>
  <c r="FN599" i="4"/>
  <c r="FM599" i="4"/>
  <c r="FL599" i="4"/>
  <c r="FI599" i="4"/>
  <c r="FX599" i="4" s="1"/>
  <c r="FH599" i="4"/>
  <c r="FV599" i="4" s="1"/>
  <c r="FG599" i="4"/>
  <c r="FE599" i="4"/>
  <c r="FT599" i="4" s="1"/>
  <c r="FD599" i="4"/>
  <c r="FS599" i="4" s="1"/>
  <c r="FC599" i="4"/>
  <c r="FA599" i="4"/>
  <c r="EZ599" i="4"/>
  <c r="EY599" i="4"/>
  <c r="EX599" i="4"/>
  <c r="EW599" i="4"/>
  <c r="EV599" i="4"/>
  <c r="EU599" i="4"/>
  <c r="EB599" i="4"/>
  <c r="DX599" i="4"/>
  <c r="DW599" i="4"/>
  <c r="DL599" i="4"/>
  <c r="DH599" i="4"/>
  <c r="DF599" i="4"/>
  <c r="DA599" i="4"/>
  <c r="CX599" i="4"/>
  <c r="FJ599" i="4" s="1"/>
  <c r="FY599" i="4" s="1"/>
  <c r="CW599" i="4"/>
  <c r="CU599" i="4"/>
  <c r="DE599" i="4" s="1"/>
  <c r="CO599" i="4"/>
  <c r="CV599" i="4" s="1"/>
  <c r="CK599" i="4"/>
  <c r="CJ599" i="4"/>
  <c r="CG599" i="4"/>
  <c r="AQ599" i="4"/>
  <c r="AO599" i="4"/>
  <c r="Y599" i="4"/>
  <c r="B599" i="4"/>
  <c r="A599" i="4"/>
  <c r="QX598" i="4"/>
  <c r="FU598" i="4"/>
  <c r="FT598" i="4"/>
  <c r="FP598" i="4"/>
  <c r="FN598" i="4"/>
  <c r="FL598" i="4"/>
  <c r="FK598" i="4"/>
  <c r="FI598" i="4"/>
  <c r="FX598" i="4" s="1"/>
  <c r="FH598" i="4"/>
  <c r="FV598" i="4" s="1"/>
  <c r="FG598" i="4"/>
  <c r="FE598" i="4"/>
  <c r="FD598" i="4"/>
  <c r="FS598" i="4" s="1"/>
  <c r="FC598" i="4"/>
  <c r="FR598" i="4" s="1"/>
  <c r="FA598" i="4"/>
  <c r="EZ598" i="4"/>
  <c r="FO598" i="4" s="1"/>
  <c r="EY598" i="4"/>
  <c r="EX598" i="4"/>
  <c r="EW598" i="4"/>
  <c r="FM598" i="4" s="1"/>
  <c r="EV598" i="4"/>
  <c r="EU598" i="4"/>
  <c r="EB598" i="4"/>
  <c r="DX598" i="4"/>
  <c r="DW598" i="4"/>
  <c r="DL598" i="4"/>
  <c r="DH598" i="4"/>
  <c r="DF598" i="4"/>
  <c r="DA598" i="4"/>
  <c r="CX598" i="4"/>
  <c r="FJ598" i="4" s="1"/>
  <c r="FY598" i="4" s="1"/>
  <c r="CU598" i="4"/>
  <c r="DE598" i="4" s="1"/>
  <c r="CO598" i="4"/>
  <c r="CW598" i="4" s="1"/>
  <c r="CK598" i="4"/>
  <c r="CG598" i="4"/>
  <c r="BS598" i="4"/>
  <c r="BP598" i="4"/>
  <c r="BO598" i="4"/>
  <c r="BN598" i="4"/>
  <c r="BM598" i="4"/>
  <c r="BL598" i="4"/>
  <c r="BK598" i="4"/>
  <c r="BJ598" i="4"/>
  <c r="BI598" i="4"/>
  <c r="BH598" i="4"/>
  <c r="BG598" i="4"/>
  <c r="BF598" i="4"/>
  <c r="BE598" i="4"/>
  <c r="BD598" i="4"/>
  <c r="BC598" i="4"/>
  <c r="BB598" i="4"/>
  <c r="BA598" i="4"/>
  <c r="AZ598" i="4"/>
  <c r="AY598" i="4"/>
  <c r="AX598" i="4"/>
  <c r="AW598" i="4"/>
  <c r="AV598" i="4"/>
  <c r="Y598" i="4"/>
  <c r="Q598" i="4"/>
  <c r="B598" i="4"/>
  <c r="A598" i="4"/>
  <c r="QX597" i="4"/>
  <c r="FY597" i="4"/>
  <c r="FT597" i="4"/>
  <c r="FS597" i="4"/>
  <c r="FO597" i="4"/>
  <c r="FN597" i="4"/>
  <c r="FM597" i="4"/>
  <c r="FK597" i="4"/>
  <c r="FJ597" i="4"/>
  <c r="FI597" i="4"/>
  <c r="FX597" i="4" s="1"/>
  <c r="FH597" i="4"/>
  <c r="FV597" i="4" s="1"/>
  <c r="FG597" i="4"/>
  <c r="FU597" i="4" s="1"/>
  <c r="FE597" i="4"/>
  <c r="FD597" i="4"/>
  <c r="FC597" i="4"/>
  <c r="FR597" i="4" s="1"/>
  <c r="FA597" i="4"/>
  <c r="FP597" i="4" s="1"/>
  <c r="EZ597" i="4"/>
  <c r="EY597" i="4"/>
  <c r="EX597" i="4"/>
  <c r="EW597" i="4"/>
  <c r="EV597" i="4"/>
  <c r="FL597" i="4" s="1"/>
  <c r="EU597" i="4"/>
  <c r="EB597" i="4"/>
  <c r="EA597" i="4"/>
  <c r="DY597" i="4"/>
  <c r="EC597" i="4" s="1"/>
  <c r="DX597" i="4"/>
  <c r="DW597" i="4"/>
  <c r="DV597" i="4"/>
  <c r="DZ597" i="4" s="1"/>
  <c r="DU597" i="4"/>
  <c r="DL597" i="4"/>
  <c r="DH597" i="4"/>
  <c r="DF597" i="4"/>
  <c r="DE597" i="4"/>
  <c r="DA597" i="4"/>
  <c r="CX597" i="4"/>
  <c r="CW597" i="4"/>
  <c r="CU597" i="4"/>
  <c r="CO597" i="4"/>
  <c r="CV597" i="4" s="1"/>
  <c r="CK597" i="4"/>
  <c r="BS597" i="4"/>
  <c r="BP597" i="4"/>
  <c r="BO597" i="4"/>
  <c r="BN597" i="4"/>
  <c r="BM597" i="4"/>
  <c r="BL597" i="4"/>
  <c r="BK597" i="4"/>
  <c r="BJ597" i="4"/>
  <c r="BI597" i="4"/>
  <c r="BH597" i="4"/>
  <c r="BG597" i="4"/>
  <c r="BF597" i="4"/>
  <c r="BE597" i="4"/>
  <c r="BD597" i="4"/>
  <c r="BC597" i="4"/>
  <c r="BB597" i="4"/>
  <c r="BA597" i="4"/>
  <c r="AZ597" i="4"/>
  <c r="AY597" i="4"/>
  <c r="AX597" i="4"/>
  <c r="AW597" i="4"/>
  <c r="AV597" i="4"/>
  <c r="Y597" i="4"/>
  <c r="Q597" i="4"/>
  <c r="B597" i="4"/>
  <c r="A597" i="4"/>
  <c r="QX596" i="4"/>
  <c r="FX596" i="4"/>
  <c r="FU596" i="4"/>
  <c r="FS596" i="4"/>
  <c r="FN596" i="4"/>
  <c r="FL596" i="4"/>
  <c r="FK596" i="4"/>
  <c r="FI596" i="4"/>
  <c r="FH596" i="4"/>
  <c r="FV596" i="4" s="1"/>
  <c r="FG596" i="4"/>
  <c r="FE596" i="4"/>
  <c r="FT596" i="4" s="1"/>
  <c r="FD596" i="4"/>
  <c r="FC596" i="4"/>
  <c r="FR596" i="4" s="1"/>
  <c r="FA596" i="4"/>
  <c r="FP596" i="4" s="1"/>
  <c r="EZ596" i="4"/>
  <c r="FO596" i="4" s="1"/>
  <c r="EY596" i="4"/>
  <c r="EX596" i="4"/>
  <c r="EW596" i="4"/>
  <c r="FM596" i="4" s="1"/>
  <c r="EV596" i="4"/>
  <c r="EU596" i="4"/>
  <c r="EB596" i="4"/>
  <c r="DX596" i="4"/>
  <c r="DW596" i="4"/>
  <c r="DL596" i="4"/>
  <c r="DH596" i="4"/>
  <c r="DF596" i="4"/>
  <c r="DA596" i="4"/>
  <c r="CX596" i="4"/>
  <c r="FJ596" i="4" s="1"/>
  <c r="FY596" i="4" s="1"/>
  <c r="CW596" i="4"/>
  <c r="CU596" i="4"/>
  <c r="DE596" i="4" s="1"/>
  <c r="CO596" i="4"/>
  <c r="CV596" i="4" s="1"/>
  <c r="CK596" i="4"/>
  <c r="BS596" i="4"/>
  <c r="BP596" i="4"/>
  <c r="BO596" i="4"/>
  <c r="BN596" i="4"/>
  <c r="BM596" i="4"/>
  <c r="BL596" i="4"/>
  <c r="BK596" i="4"/>
  <c r="BJ596" i="4"/>
  <c r="BI596" i="4"/>
  <c r="BH596" i="4"/>
  <c r="BG596" i="4"/>
  <c r="BF596" i="4"/>
  <c r="BE596" i="4"/>
  <c r="BD596" i="4"/>
  <c r="BC596" i="4"/>
  <c r="BB596" i="4"/>
  <c r="BA596" i="4"/>
  <c r="AZ596" i="4"/>
  <c r="AY596" i="4"/>
  <c r="AX596" i="4"/>
  <c r="AW596" i="4"/>
  <c r="AV596" i="4"/>
  <c r="Y596" i="4"/>
  <c r="Q596" i="4"/>
  <c r="B596" i="4"/>
  <c r="A596" i="4"/>
  <c r="QX595" i="4"/>
  <c r="FV595" i="4"/>
  <c r="FS595" i="4"/>
  <c r="FO595" i="4"/>
  <c r="FM595" i="4"/>
  <c r="FL595" i="4"/>
  <c r="FJ595" i="4"/>
  <c r="FY595" i="4" s="1"/>
  <c r="FI595" i="4"/>
  <c r="FX595" i="4" s="1"/>
  <c r="FH595" i="4"/>
  <c r="FG595" i="4"/>
  <c r="FU595" i="4" s="1"/>
  <c r="FE595" i="4"/>
  <c r="FT595" i="4" s="1"/>
  <c r="FD595" i="4"/>
  <c r="FC595" i="4"/>
  <c r="FR595" i="4" s="1"/>
  <c r="FA595" i="4"/>
  <c r="FP595" i="4" s="1"/>
  <c r="EZ595" i="4"/>
  <c r="EY595" i="4"/>
  <c r="EX595" i="4"/>
  <c r="FN595" i="4" s="1"/>
  <c r="EW595" i="4"/>
  <c r="EV595" i="4"/>
  <c r="EU595" i="4"/>
  <c r="FK595" i="4" s="1"/>
  <c r="EA595" i="4"/>
  <c r="DX595" i="4"/>
  <c r="EB595" i="4" s="1"/>
  <c r="DW595" i="4"/>
  <c r="DU595" i="4"/>
  <c r="DL595" i="4"/>
  <c r="DH595" i="4"/>
  <c r="DF595" i="4"/>
  <c r="DA595" i="4"/>
  <c r="CX595" i="4"/>
  <c r="CW595" i="4"/>
  <c r="CV595" i="4"/>
  <c r="CU595" i="4"/>
  <c r="DE595" i="4" s="1"/>
  <c r="CO595" i="4"/>
  <c r="FB595" i="4" s="1"/>
  <c r="FQ595" i="4" s="1"/>
  <c r="DC595" i="4" s="1"/>
  <c r="CK595" i="4"/>
  <c r="CG595" i="4"/>
  <c r="BP595" i="4"/>
  <c r="BO595" i="4"/>
  <c r="BN595" i="4"/>
  <c r="BM595" i="4"/>
  <c r="BL595" i="4"/>
  <c r="BK595" i="4"/>
  <c r="BJ595" i="4"/>
  <c r="BI595" i="4"/>
  <c r="BH595" i="4"/>
  <c r="BG595" i="4"/>
  <c r="BF595" i="4"/>
  <c r="BE595" i="4"/>
  <c r="BD595" i="4"/>
  <c r="BC595" i="4"/>
  <c r="BB595" i="4"/>
  <c r="BA595" i="4"/>
  <c r="AZ595" i="4"/>
  <c r="AY595" i="4"/>
  <c r="AX595" i="4"/>
  <c r="AW595" i="4"/>
  <c r="AV595" i="4"/>
  <c r="Y595" i="4"/>
  <c r="Q595" i="4"/>
  <c r="B595" i="4"/>
  <c r="A595" i="4"/>
  <c r="FW594" i="4"/>
  <c r="FS594" i="4"/>
  <c r="FQ594" i="4"/>
  <c r="DC594" i="4" s="1"/>
  <c r="FO594" i="4"/>
  <c r="FN594" i="4"/>
  <c r="FM594" i="4"/>
  <c r="FK594" i="4"/>
  <c r="FH594" i="4"/>
  <c r="FV594" i="4" s="1"/>
  <c r="FG594" i="4"/>
  <c r="FU594" i="4" s="1"/>
  <c r="FE594" i="4"/>
  <c r="FT594" i="4" s="1"/>
  <c r="FD594" i="4"/>
  <c r="FC594" i="4"/>
  <c r="FR594" i="4" s="1"/>
  <c r="FB594" i="4"/>
  <c r="FA594" i="4"/>
  <c r="FP594" i="4" s="1"/>
  <c r="EZ594" i="4"/>
  <c r="EY594" i="4"/>
  <c r="EX594" i="4"/>
  <c r="EW594" i="4"/>
  <c r="EV594" i="4"/>
  <c r="FL594" i="4" s="1"/>
  <c r="EU594" i="4"/>
  <c r="EB594" i="4"/>
  <c r="EA594" i="4"/>
  <c r="DZ594" i="4"/>
  <c r="DU594" i="4"/>
  <c r="DL594" i="4"/>
  <c r="DG594" i="4"/>
  <c r="DF594" i="4"/>
  <c r="DD594" i="4"/>
  <c r="DA594" i="4"/>
  <c r="CW594" i="4"/>
  <c r="CV594" i="4"/>
  <c r="FF594" i="4" s="1"/>
  <c r="CU594" i="4"/>
  <c r="EC594" i="4" s="1"/>
  <c r="CO594" i="4"/>
  <c r="CN594" i="4"/>
  <c r="CJ594" i="4"/>
  <c r="CG594" i="4"/>
  <c r="BP594" i="4"/>
  <c r="BO594" i="4"/>
  <c r="BN594" i="4"/>
  <c r="BM594" i="4"/>
  <c r="BL594" i="4"/>
  <c r="BK594" i="4"/>
  <c r="BJ594" i="4"/>
  <c r="BI594" i="4"/>
  <c r="BH594" i="4"/>
  <c r="BG594" i="4"/>
  <c r="BF594" i="4"/>
  <c r="BE594" i="4"/>
  <c r="BD594" i="4"/>
  <c r="BC594" i="4"/>
  <c r="BB594" i="4"/>
  <c r="BA594" i="4"/>
  <c r="AZ594" i="4"/>
  <c r="AY594" i="4"/>
  <c r="AX594" i="4"/>
  <c r="AW594" i="4"/>
  <c r="AV594" i="4"/>
  <c r="Y594" i="4"/>
  <c r="Q594" i="4"/>
  <c r="B594" i="4"/>
  <c r="A594" i="4"/>
  <c r="QX593" i="4"/>
  <c r="FV593" i="4"/>
  <c r="FO593" i="4"/>
  <c r="FM593" i="4"/>
  <c r="FL593" i="4"/>
  <c r="FJ593" i="4"/>
  <c r="FY593" i="4" s="1"/>
  <c r="FI593" i="4"/>
  <c r="FX593" i="4" s="1"/>
  <c r="FH593" i="4"/>
  <c r="FG593" i="4"/>
  <c r="FU593" i="4" s="1"/>
  <c r="FE593" i="4"/>
  <c r="FT593" i="4" s="1"/>
  <c r="FD593" i="4"/>
  <c r="FS593" i="4" s="1"/>
  <c r="FC593" i="4"/>
  <c r="FR593" i="4" s="1"/>
  <c r="FA593" i="4"/>
  <c r="FP593" i="4" s="1"/>
  <c r="EZ593" i="4"/>
  <c r="EY593" i="4"/>
  <c r="EX593" i="4"/>
  <c r="FN593" i="4" s="1"/>
  <c r="EW593" i="4"/>
  <c r="EV593" i="4"/>
  <c r="EU593" i="4"/>
  <c r="FK593" i="4" s="1"/>
  <c r="EA593" i="4"/>
  <c r="DX593" i="4"/>
  <c r="EB593" i="4" s="1"/>
  <c r="DW593" i="4"/>
  <c r="DV593" i="4" s="1"/>
  <c r="DZ593" i="4" s="1"/>
  <c r="DU593" i="4"/>
  <c r="DL593" i="4"/>
  <c r="DH593" i="4"/>
  <c r="DF593" i="4"/>
  <c r="DA593" i="4"/>
  <c r="CX593" i="4"/>
  <c r="CW593" i="4"/>
  <c r="CV593" i="4"/>
  <c r="CU593" i="4"/>
  <c r="DE593" i="4" s="1"/>
  <c r="CO593" i="4"/>
  <c r="FB593" i="4" s="1"/>
  <c r="FQ593" i="4" s="1"/>
  <c r="DC593" i="4" s="1"/>
  <c r="CK593" i="4"/>
  <c r="CG593" i="4"/>
  <c r="BP593" i="4"/>
  <c r="BO593" i="4"/>
  <c r="BN593" i="4"/>
  <c r="BM593" i="4"/>
  <c r="BL593" i="4"/>
  <c r="BJ593" i="4"/>
  <c r="BI593" i="4"/>
  <c r="BH593" i="4"/>
  <c r="BG593" i="4"/>
  <c r="BF593" i="4"/>
  <c r="BE593" i="4"/>
  <c r="BD593" i="4"/>
  <c r="BC593" i="4"/>
  <c r="BB593" i="4"/>
  <c r="BA593" i="4"/>
  <c r="AZ593" i="4"/>
  <c r="AY593" i="4"/>
  <c r="AX593" i="4"/>
  <c r="AW593" i="4"/>
  <c r="AV593" i="4"/>
  <c r="Y593" i="4"/>
  <c r="Q593" i="4"/>
  <c r="B593" i="4"/>
  <c r="A593" i="4"/>
  <c r="QX592" i="4"/>
  <c r="FX592" i="4"/>
  <c r="FV592" i="4"/>
  <c r="FT592" i="4"/>
  <c r="FS592" i="4"/>
  <c r="FR592" i="4"/>
  <c r="FM592" i="4"/>
  <c r="FL592" i="4"/>
  <c r="FJ592" i="4"/>
  <c r="FY592" i="4" s="1"/>
  <c r="FI592" i="4"/>
  <c r="FH592" i="4"/>
  <c r="FG592" i="4"/>
  <c r="FU592" i="4" s="1"/>
  <c r="FE592" i="4"/>
  <c r="FD592" i="4"/>
  <c r="FC592" i="4"/>
  <c r="FA592" i="4"/>
  <c r="FP592" i="4" s="1"/>
  <c r="EZ592" i="4"/>
  <c r="FO592" i="4" s="1"/>
  <c r="EY592" i="4"/>
  <c r="EX592" i="4"/>
  <c r="FN592" i="4" s="1"/>
  <c r="EW592" i="4"/>
  <c r="EV592" i="4"/>
  <c r="EU592" i="4"/>
  <c r="FK592" i="4" s="1"/>
  <c r="EB592" i="4"/>
  <c r="EA592" i="4"/>
  <c r="DU592" i="4"/>
  <c r="DL592" i="4"/>
  <c r="DH592" i="4"/>
  <c r="DF592" i="4"/>
  <c r="DA592" i="4"/>
  <c r="CX592" i="4"/>
  <c r="CW592" i="4"/>
  <c r="CU592" i="4"/>
  <c r="CO592" i="4"/>
  <c r="DZ592" i="4" s="1"/>
  <c r="CN592" i="4"/>
  <c r="CK592" i="4"/>
  <c r="CJ592" i="4"/>
  <c r="CG592" i="4"/>
  <c r="BP592" i="4"/>
  <c r="BO592" i="4"/>
  <c r="BN592" i="4"/>
  <c r="BM592" i="4"/>
  <c r="BL592" i="4"/>
  <c r="BK592" i="4"/>
  <c r="BJ592" i="4"/>
  <c r="BI592" i="4"/>
  <c r="BH592" i="4"/>
  <c r="BG592" i="4"/>
  <c r="BF592" i="4"/>
  <c r="BE592" i="4"/>
  <c r="BD592" i="4"/>
  <c r="BC592" i="4"/>
  <c r="BB592" i="4"/>
  <c r="BA592" i="4"/>
  <c r="AZ592" i="4"/>
  <c r="AY592" i="4"/>
  <c r="AX592" i="4"/>
  <c r="AW592" i="4"/>
  <c r="AV592" i="4"/>
  <c r="Y592" i="4"/>
  <c r="Q592" i="4"/>
  <c r="B592" i="4"/>
  <c r="A592" i="4"/>
  <c r="QX591" i="4"/>
  <c r="FX591" i="4"/>
  <c r="FU591" i="4"/>
  <c r="FT591" i="4"/>
  <c r="FP591" i="4"/>
  <c r="FN591" i="4"/>
  <c r="FL591" i="4"/>
  <c r="FK591" i="4"/>
  <c r="FI591" i="4"/>
  <c r="FH591" i="4"/>
  <c r="FV591" i="4" s="1"/>
  <c r="FG591" i="4"/>
  <c r="FE591" i="4"/>
  <c r="FD591" i="4"/>
  <c r="FS591" i="4" s="1"/>
  <c r="FC591" i="4"/>
  <c r="FR591" i="4" s="1"/>
  <c r="FA591" i="4"/>
  <c r="EZ591" i="4"/>
  <c r="FO591" i="4" s="1"/>
  <c r="EY591" i="4"/>
  <c r="EX591" i="4"/>
  <c r="EW591" i="4"/>
  <c r="FM591" i="4" s="1"/>
  <c r="EV591" i="4"/>
  <c r="EU591" i="4"/>
  <c r="EB591" i="4"/>
  <c r="DX591" i="4"/>
  <c r="DW591" i="4"/>
  <c r="DL591" i="4"/>
  <c r="DH591" i="4"/>
  <c r="DF591" i="4"/>
  <c r="DA591" i="4"/>
  <c r="CX591" i="4"/>
  <c r="FJ591" i="4" s="1"/>
  <c r="FY591" i="4" s="1"/>
  <c r="CW591" i="4"/>
  <c r="CU591" i="4"/>
  <c r="DE591" i="4" s="1"/>
  <c r="CO591" i="4"/>
  <c r="CV591" i="4" s="1"/>
  <c r="CN591" i="4"/>
  <c r="CK591" i="4"/>
  <c r="CJ591" i="4"/>
  <c r="CG591" i="4"/>
  <c r="BP591" i="4"/>
  <c r="BO591" i="4"/>
  <c r="BN591" i="4"/>
  <c r="BM591" i="4"/>
  <c r="BL591" i="4"/>
  <c r="BJ591" i="4"/>
  <c r="BI591" i="4"/>
  <c r="BH591" i="4"/>
  <c r="BG591" i="4"/>
  <c r="BF591" i="4"/>
  <c r="BE591" i="4"/>
  <c r="BD591" i="4"/>
  <c r="BC591" i="4"/>
  <c r="BB591" i="4"/>
  <c r="BA591" i="4"/>
  <c r="AZ591" i="4"/>
  <c r="AY591" i="4"/>
  <c r="AX591" i="4"/>
  <c r="AW591" i="4"/>
  <c r="AV591" i="4"/>
  <c r="Y591" i="4"/>
  <c r="Q591" i="4"/>
  <c r="B591" i="4"/>
  <c r="A591" i="4"/>
  <c r="QX590" i="4"/>
  <c r="FY590" i="4"/>
  <c r="FS590" i="4"/>
  <c r="FO590" i="4"/>
  <c r="FN590" i="4"/>
  <c r="FM590" i="4"/>
  <c r="FK590" i="4"/>
  <c r="FJ590" i="4"/>
  <c r="FI590" i="4"/>
  <c r="FX590" i="4" s="1"/>
  <c r="FH590" i="4"/>
  <c r="FV590" i="4" s="1"/>
  <c r="FG590" i="4"/>
  <c r="FU590" i="4" s="1"/>
  <c r="FE590" i="4"/>
  <c r="FT590" i="4" s="1"/>
  <c r="FD590" i="4"/>
  <c r="FC590" i="4"/>
  <c r="FR590" i="4" s="1"/>
  <c r="FA590" i="4"/>
  <c r="FP590" i="4" s="1"/>
  <c r="EZ590" i="4"/>
  <c r="EY590" i="4"/>
  <c r="EX590" i="4"/>
  <c r="EW590" i="4"/>
  <c r="EV590" i="4"/>
  <c r="FL590" i="4" s="1"/>
  <c r="EU590" i="4"/>
  <c r="EB590" i="4"/>
  <c r="EA590" i="4"/>
  <c r="DX590" i="4"/>
  <c r="DW590" i="4"/>
  <c r="DV590" i="4"/>
  <c r="DZ590" i="4" s="1"/>
  <c r="DU590" i="4"/>
  <c r="DL590" i="4"/>
  <c r="DH590" i="4"/>
  <c r="DF590" i="4"/>
  <c r="DE590" i="4"/>
  <c r="DA590" i="4"/>
  <c r="CX590" i="4"/>
  <c r="CU590" i="4"/>
  <c r="CO590" i="4"/>
  <c r="CV590" i="4" s="1"/>
  <c r="CK590" i="4"/>
  <c r="CG590" i="4"/>
  <c r="BP590" i="4"/>
  <c r="BO590" i="4"/>
  <c r="BN590" i="4"/>
  <c r="BM590" i="4"/>
  <c r="BL590" i="4"/>
  <c r="BK590" i="4"/>
  <c r="BJ590" i="4"/>
  <c r="BI590" i="4"/>
  <c r="BH590" i="4"/>
  <c r="BG590" i="4"/>
  <c r="BF590" i="4"/>
  <c r="BE590" i="4"/>
  <c r="BD590" i="4"/>
  <c r="BC590" i="4"/>
  <c r="BB590" i="4"/>
  <c r="BA590" i="4"/>
  <c r="AZ590" i="4"/>
  <c r="AY590" i="4"/>
  <c r="AX590" i="4"/>
  <c r="AW590" i="4"/>
  <c r="AV590" i="4"/>
  <c r="Y590" i="4"/>
  <c r="Q590" i="4"/>
  <c r="B590" i="4"/>
  <c r="A590" i="4"/>
  <c r="FU589" i="4"/>
  <c r="FS589" i="4"/>
  <c r="FN589" i="4"/>
  <c r="FL589" i="4"/>
  <c r="FK589" i="4"/>
  <c r="FI589" i="4"/>
  <c r="FX589" i="4" s="1"/>
  <c r="FH589" i="4"/>
  <c r="FV589" i="4" s="1"/>
  <c r="FG589" i="4"/>
  <c r="FE589" i="4"/>
  <c r="FT589" i="4" s="1"/>
  <c r="FD589" i="4"/>
  <c r="FC589" i="4"/>
  <c r="FR589" i="4" s="1"/>
  <c r="FA589" i="4"/>
  <c r="FP589" i="4" s="1"/>
  <c r="EZ589" i="4"/>
  <c r="FO589" i="4" s="1"/>
  <c r="EY589" i="4"/>
  <c r="EX589" i="4"/>
  <c r="EW589" i="4"/>
  <c r="FM589" i="4" s="1"/>
  <c r="EV589" i="4"/>
  <c r="EU589" i="4"/>
  <c r="EB589" i="4"/>
  <c r="DX589" i="4"/>
  <c r="DW589" i="4"/>
  <c r="DL589" i="4"/>
  <c r="DF589" i="4"/>
  <c r="DE589" i="4"/>
  <c r="DA589" i="4"/>
  <c r="CX589" i="4"/>
  <c r="FJ589" i="4" s="1"/>
  <c r="FY589" i="4" s="1"/>
  <c r="CW589" i="4"/>
  <c r="CU589" i="4"/>
  <c r="CO589" i="4"/>
  <c r="CV589" i="4" s="1"/>
  <c r="CN589" i="4"/>
  <c r="MF589" i="4" s="1"/>
  <c r="CK589" i="4"/>
  <c r="CJ589" i="4"/>
  <c r="BP589" i="4"/>
  <c r="BO589" i="4"/>
  <c r="BN589" i="4"/>
  <c r="BM589" i="4"/>
  <c r="BL589" i="4"/>
  <c r="BK589" i="4"/>
  <c r="BJ589" i="4"/>
  <c r="BI589" i="4"/>
  <c r="BH589" i="4"/>
  <c r="BG589" i="4"/>
  <c r="BF589" i="4"/>
  <c r="BE589" i="4"/>
  <c r="BD589" i="4"/>
  <c r="BC589" i="4"/>
  <c r="BB589" i="4"/>
  <c r="BA589" i="4"/>
  <c r="AZ589" i="4"/>
  <c r="AY589" i="4"/>
  <c r="AX589" i="4"/>
  <c r="AW589" i="4"/>
  <c r="AV589" i="4"/>
  <c r="Y589" i="4"/>
  <c r="B589" i="4"/>
  <c r="A589" i="4"/>
  <c r="QX588" i="4"/>
  <c r="FV588" i="4"/>
  <c r="FU588" i="4"/>
  <c r="FS588" i="4"/>
  <c r="FO588" i="4"/>
  <c r="FM588" i="4"/>
  <c r="FL588" i="4"/>
  <c r="FJ588" i="4"/>
  <c r="FY588" i="4" s="1"/>
  <c r="FI588" i="4"/>
  <c r="FX588" i="4" s="1"/>
  <c r="FH588" i="4"/>
  <c r="FG588" i="4"/>
  <c r="FE588" i="4"/>
  <c r="FT588" i="4" s="1"/>
  <c r="FD588" i="4"/>
  <c r="FC588" i="4"/>
  <c r="FR588" i="4" s="1"/>
  <c r="FA588" i="4"/>
  <c r="FP588" i="4" s="1"/>
  <c r="EZ588" i="4"/>
  <c r="EY588" i="4"/>
  <c r="EX588" i="4"/>
  <c r="FN588" i="4" s="1"/>
  <c r="EW588" i="4"/>
  <c r="EV588" i="4"/>
  <c r="EU588" i="4"/>
  <c r="FK588" i="4" s="1"/>
  <c r="EA588" i="4"/>
  <c r="DX588" i="4"/>
  <c r="EB588" i="4" s="1"/>
  <c r="DW588" i="4"/>
  <c r="DU588" i="4"/>
  <c r="DL588" i="4"/>
  <c r="DH588" i="4"/>
  <c r="DG588" i="4"/>
  <c r="DF588" i="4"/>
  <c r="DA588" i="4"/>
  <c r="CX588" i="4"/>
  <c r="CW588" i="4"/>
  <c r="CV588" i="4"/>
  <c r="CU588" i="4"/>
  <c r="DE588" i="4" s="1"/>
  <c r="CO588" i="4"/>
  <c r="FB588" i="4" s="1"/>
  <c r="FQ588" i="4" s="1"/>
  <c r="DD588" i="4" s="1"/>
  <c r="CK588" i="4"/>
  <c r="CG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C588" i="4"/>
  <c r="BB588" i="4"/>
  <c r="BA588" i="4"/>
  <c r="AZ588" i="4"/>
  <c r="AY588" i="4"/>
  <c r="AX588" i="4"/>
  <c r="AW588" i="4"/>
  <c r="AV588" i="4"/>
  <c r="Y588" i="4"/>
  <c r="Q588" i="4"/>
  <c r="B588" i="4"/>
  <c r="A588" i="4"/>
  <c r="QX587" i="4"/>
  <c r="FY587" i="4"/>
  <c r="FW587" i="4"/>
  <c r="FT587" i="4"/>
  <c r="FS587" i="4"/>
  <c r="FO587" i="4"/>
  <c r="FN587" i="4"/>
  <c r="FM587" i="4"/>
  <c r="FK587" i="4"/>
  <c r="FJ587" i="4"/>
  <c r="FI587" i="4"/>
  <c r="FX587" i="4" s="1"/>
  <c r="FH587" i="4"/>
  <c r="FV587" i="4" s="1"/>
  <c r="FG587" i="4"/>
  <c r="FU587" i="4" s="1"/>
  <c r="FE587" i="4"/>
  <c r="FD587" i="4"/>
  <c r="FC587" i="4"/>
  <c r="FR587" i="4" s="1"/>
  <c r="FB587" i="4"/>
  <c r="FQ587" i="4" s="1"/>
  <c r="FA587" i="4"/>
  <c r="FP587" i="4" s="1"/>
  <c r="EZ587" i="4"/>
  <c r="EY587" i="4"/>
  <c r="EX587" i="4"/>
  <c r="EW587" i="4"/>
  <c r="EV587" i="4"/>
  <c r="FL587" i="4" s="1"/>
  <c r="EU587" i="4"/>
  <c r="EA587" i="4"/>
  <c r="DX587" i="4"/>
  <c r="DV587" i="4" s="1"/>
  <c r="DW587" i="4"/>
  <c r="DU587" i="4"/>
  <c r="DL587" i="4"/>
  <c r="DH587" i="4"/>
  <c r="DG587" i="4"/>
  <c r="DF587" i="4"/>
  <c r="DE587" i="4"/>
  <c r="DA587" i="4"/>
  <c r="CX587" i="4"/>
  <c r="CW587" i="4"/>
  <c r="CU587" i="4"/>
  <c r="CO587" i="4"/>
  <c r="CV587" i="4" s="1"/>
  <c r="FF587" i="4" s="1"/>
  <c r="CK587" i="4"/>
  <c r="CG587" i="4"/>
  <c r="BS587" i="4"/>
  <c r="BR587" i="4"/>
  <c r="BP587" i="4"/>
  <c r="BO587" i="4"/>
  <c r="BN587" i="4"/>
  <c r="BM587" i="4"/>
  <c r="BL587" i="4"/>
  <c r="BK587" i="4"/>
  <c r="BJ587" i="4"/>
  <c r="BI587" i="4"/>
  <c r="BH587" i="4"/>
  <c r="BG587" i="4"/>
  <c r="BF587" i="4"/>
  <c r="BE587" i="4"/>
  <c r="BD587" i="4"/>
  <c r="BC587" i="4"/>
  <c r="BB587" i="4"/>
  <c r="BA587" i="4"/>
  <c r="AZ587" i="4"/>
  <c r="AY587" i="4"/>
  <c r="AX587" i="4"/>
  <c r="AW587" i="4"/>
  <c r="AV587" i="4"/>
  <c r="AQ587" i="4"/>
  <c r="AO587" i="4"/>
  <c r="Y587" i="4"/>
  <c r="Q587" i="4"/>
  <c r="B587" i="4"/>
  <c r="A587" i="4"/>
  <c r="FV586" i="4"/>
  <c r="FU586" i="4"/>
  <c r="FO586" i="4"/>
  <c r="FL586" i="4"/>
  <c r="FH586" i="4"/>
  <c r="FG586" i="4"/>
  <c r="FE586" i="4"/>
  <c r="FT586" i="4" s="1"/>
  <c r="FD586" i="4"/>
  <c r="FS586" i="4" s="1"/>
  <c r="FC586" i="4"/>
  <c r="FR586" i="4" s="1"/>
  <c r="FA586" i="4"/>
  <c r="FP586" i="4" s="1"/>
  <c r="EZ586" i="4"/>
  <c r="EY586" i="4"/>
  <c r="EX586" i="4"/>
  <c r="FN586" i="4" s="1"/>
  <c r="EW586" i="4"/>
  <c r="FM586" i="4" s="1"/>
  <c r="EV586" i="4"/>
  <c r="EU586" i="4"/>
  <c r="FK586" i="4" s="1"/>
  <c r="DX586" i="4"/>
  <c r="EB586" i="4" s="1"/>
  <c r="DL586" i="4"/>
  <c r="DF586" i="4"/>
  <c r="DC586" i="4"/>
  <c r="DA586" i="4"/>
  <c r="CW586" i="4"/>
  <c r="CV586" i="4"/>
  <c r="CU586" i="4"/>
  <c r="DE586" i="4" s="1"/>
  <c r="CO586" i="4"/>
  <c r="FB586" i="4" s="1"/>
  <c r="FQ586" i="4" s="1"/>
  <c r="DD586" i="4" s="1"/>
  <c r="CN586" i="4"/>
  <c r="CJ586" i="4"/>
  <c r="CG586" i="4"/>
  <c r="BP586" i="4"/>
  <c r="BO586" i="4"/>
  <c r="BN586" i="4"/>
  <c r="BM586" i="4"/>
  <c r="BL586" i="4"/>
  <c r="BK586" i="4"/>
  <c r="BJ586" i="4"/>
  <c r="BI586" i="4"/>
  <c r="BH586" i="4"/>
  <c r="BG586" i="4"/>
  <c r="BF586" i="4"/>
  <c r="BE586" i="4"/>
  <c r="BD586" i="4"/>
  <c r="BC586" i="4"/>
  <c r="BB586" i="4"/>
  <c r="BA586" i="4"/>
  <c r="AZ586" i="4"/>
  <c r="AY586" i="4"/>
  <c r="AX586" i="4"/>
  <c r="AW586" i="4"/>
  <c r="AV586" i="4"/>
  <c r="Y586" i="4"/>
  <c r="Q586" i="4"/>
  <c r="B586" i="4"/>
  <c r="A586" i="4"/>
  <c r="QX585" i="4"/>
  <c r="FV585" i="4"/>
  <c r="FU585" i="4"/>
  <c r="FP585" i="4"/>
  <c r="FO585" i="4"/>
  <c r="FL585" i="4"/>
  <c r="FJ585" i="4"/>
  <c r="FY585" i="4" s="1"/>
  <c r="FI585" i="4"/>
  <c r="FX585" i="4" s="1"/>
  <c r="FH585" i="4"/>
  <c r="FG585" i="4"/>
  <c r="FE585" i="4"/>
  <c r="FT585" i="4" s="1"/>
  <c r="FD585" i="4"/>
  <c r="FS585" i="4" s="1"/>
  <c r="FC585" i="4"/>
  <c r="FR585" i="4" s="1"/>
  <c r="FA585" i="4"/>
  <c r="EZ585" i="4"/>
  <c r="EY585" i="4"/>
  <c r="EX585" i="4"/>
  <c r="FN585" i="4" s="1"/>
  <c r="EW585" i="4"/>
  <c r="FM585" i="4" s="1"/>
  <c r="EV585" i="4"/>
  <c r="EU585" i="4"/>
  <c r="FK585" i="4" s="1"/>
  <c r="EA585" i="4"/>
  <c r="DX585" i="4"/>
  <c r="DW585" i="4"/>
  <c r="DU585" i="4"/>
  <c r="DL585" i="4"/>
  <c r="DH585" i="4"/>
  <c r="DF585" i="4"/>
  <c r="DA585" i="4"/>
  <c r="CX585" i="4"/>
  <c r="CW585" i="4"/>
  <c r="CV585" i="4"/>
  <c r="CU585" i="4"/>
  <c r="DE585" i="4" s="1"/>
  <c r="CO585" i="4"/>
  <c r="FB585" i="4" s="1"/>
  <c r="FQ585" i="4" s="1"/>
  <c r="DD585" i="4" s="1"/>
  <c r="CK585" i="4"/>
  <c r="CG585" i="4"/>
  <c r="BS585" i="4"/>
  <c r="BP585" i="4"/>
  <c r="BO585" i="4"/>
  <c r="BN585" i="4"/>
  <c r="BM585" i="4"/>
  <c r="BL585" i="4"/>
  <c r="BK585" i="4"/>
  <c r="BJ585" i="4"/>
  <c r="BI585" i="4"/>
  <c r="BH585" i="4"/>
  <c r="BG585" i="4"/>
  <c r="BF585" i="4"/>
  <c r="BE585" i="4"/>
  <c r="BD585" i="4"/>
  <c r="BC585" i="4"/>
  <c r="BB585" i="4"/>
  <c r="BA585" i="4"/>
  <c r="AZ585" i="4"/>
  <c r="AY585" i="4"/>
  <c r="AX585" i="4"/>
  <c r="AW585" i="4"/>
  <c r="AV585" i="4"/>
  <c r="Y585" i="4"/>
  <c r="Q585" i="4"/>
  <c r="B585" i="4"/>
  <c r="A585" i="4"/>
  <c r="QX584" i="4"/>
  <c r="FX584" i="4"/>
  <c r="FU584" i="4"/>
  <c r="FT584" i="4"/>
  <c r="FP584" i="4"/>
  <c r="FN584" i="4"/>
  <c r="FL584" i="4"/>
  <c r="FK584" i="4"/>
  <c r="FI584" i="4"/>
  <c r="FH584" i="4"/>
  <c r="FV584" i="4" s="1"/>
  <c r="FG584" i="4"/>
  <c r="FE584" i="4"/>
  <c r="FD584" i="4"/>
  <c r="FS584" i="4" s="1"/>
  <c r="FC584" i="4"/>
  <c r="FR584" i="4" s="1"/>
  <c r="FA584" i="4"/>
  <c r="EZ584" i="4"/>
  <c r="FO584" i="4" s="1"/>
  <c r="EY584" i="4"/>
  <c r="EX584" i="4"/>
  <c r="EW584" i="4"/>
  <c r="FM584" i="4" s="1"/>
  <c r="EV584" i="4"/>
  <c r="EU584" i="4"/>
  <c r="EB584" i="4"/>
  <c r="DX584" i="4"/>
  <c r="DW584" i="4"/>
  <c r="DL584" i="4"/>
  <c r="DH584" i="4"/>
  <c r="DF584" i="4"/>
  <c r="DA584" i="4"/>
  <c r="CX584" i="4"/>
  <c r="FJ584" i="4" s="1"/>
  <c r="FY584" i="4" s="1"/>
  <c r="CU584" i="4"/>
  <c r="DE584" i="4" s="1"/>
  <c r="CO584" i="4"/>
  <c r="FB584" i="4" s="1"/>
  <c r="FQ584" i="4" s="1"/>
  <c r="CK584" i="4"/>
  <c r="CJ584" i="4"/>
  <c r="CG584" i="4"/>
  <c r="BS584" i="4"/>
  <c r="BP584" i="4"/>
  <c r="BO584" i="4"/>
  <c r="BN584" i="4"/>
  <c r="BM584" i="4"/>
  <c r="BL584" i="4"/>
  <c r="BK584" i="4"/>
  <c r="BJ584" i="4"/>
  <c r="BI584" i="4"/>
  <c r="BH584" i="4"/>
  <c r="BG584" i="4"/>
  <c r="BF584" i="4"/>
  <c r="BE584" i="4"/>
  <c r="BD584" i="4"/>
  <c r="BC584" i="4"/>
  <c r="BB584" i="4"/>
  <c r="BA584" i="4"/>
  <c r="AZ584" i="4"/>
  <c r="AY584" i="4"/>
  <c r="AX584" i="4"/>
  <c r="AW584" i="4"/>
  <c r="AV584" i="4"/>
  <c r="Y584" i="4"/>
  <c r="Q584" i="4"/>
  <c r="B584" i="4"/>
  <c r="A584" i="4"/>
  <c r="QX583" i="4"/>
  <c r="FV583" i="4"/>
  <c r="FU583" i="4"/>
  <c r="FT583" i="4"/>
  <c r="FP583" i="4"/>
  <c r="FL583" i="4"/>
  <c r="FK583" i="4"/>
  <c r="FJ583" i="4"/>
  <c r="FY583" i="4" s="1"/>
  <c r="FI583" i="4"/>
  <c r="FX583" i="4" s="1"/>
  <c r="FH583" i="4"/>
  <c r="FG583" i="4"/>
  <c r="FE583" i="4"/>
  <c r="FD583" i="4"/>
  <c r="FS583" i="4" s="1"/>
  <c r="FC583" i="4"/>
  <c r="FR583" i="4" s="1"/>
  <c r="FA583" i="4"/>
  <c r="EZ583" i="4"/>
  <c r="FO583" i="4" s="1"/>
  <c r="EY583" i="4"/>
  <c r="EX583" i="4"/>
  <c r="FN583" i="4" s="1"/>
  <c r="EW583" i="4"/>
  <c r="FM583" i="4" s="1"/>
  <c r="EV583" i="4"/>
  <c r="EU583" i="4"/>
  <c r="EB583" i="4"/>
  <c r="DX583" i="4"/>
  <c r="DW583" i="4"/>
  <c r="EA583" i="4" s="1"/>
  <c r="DV583" i="4"/>
  <c r="DZ583" i="4" s="1"/>
  <c r="DL583" i="4"/>
  <c r="DH583" i="4"/>
  <c r="DF583" i="4"/>
  <c r="DE583" i="4"/>
  <c r="DA583" i="4"/>
  <c r="CX583" i="4"/>
  <c r="CW583" i="4"/>
  <c r="CV583" i="4"/>
  <c r="DG583" i="4" s="1"/>
  <c r="CU583" i="4"/>
  <c r="CO583" i="4"/>
  <c r="FB583" i="4" s="1"/>
  <c r="FQ583" i="4" s="1"/>
  <c r="CK583" i="4"/>
  <c r="CG583" i="4"/>
  <c r="BR583" i="4"/>
  <c r="BS583" i="4" s="1"/>
  <c r="BP583" i="4"/>
  <c r="BO583" i="4"/>
  <c r="BN583" i="4"/>
  <c r="BM583" i="4"/>
  <c r="BL583" i="4"/>
  <c r="BK583" i="4"/>
  <c r="BJ583" i="4"/>
  <c r="BI583" i="4"/>
  <c r="BH583" i="4"/>
  <c r="BG583" i="4"/>
  <c r="BF583" i="4"/>
  <c r="BE583" i="4"/>
  <c r="BD583" i="4"/>
  <c r="BC583" i="4"/>
  <c r="BB583" i="4"/>
  <c r="BA583" i="4"/>
  <c r="AZ583" i="4"/>
  <c r="AY583" i="4"/>
  <c r="AX583" i="4"/>
  <c r="AW583" i="4"/>
  <c r="AV583" i="4"/>
  <c r="Y583" i="4"/>
  <c r="Q583" i="4"/>
  <c r="B583" i="4"/>
  <c r="A583" i="4"/>
  <c r="QX582" i="4"/>
  <c r="FU582" i="4"/>
  <c r="FR582" i="4"/>
  <c r="FP582" i="4"/>
  <c r="FO582" i="4"/>
  <c r="FN582" i="4"/>
  <c r="FK582" i="4"/>
  <c r="FI582" i="4"/>
  <c r="FX582" i="4" s="1"/>
  <c r="FH582" i="4"/>
  <c r="FV582" i="4" s="1"/>
  <c r="FG582" i="4"/>
  <c r="FE582" i="4"/>
  <c r="FT582" i="4" s="1"/>
  <c r="FD582" i="4"/>
  <c r="FS582" i="4" s="1"/>
  <c r="FC582" i="4"/>
  <c r="FB582" i="4"/>
  <c r="FQ582" i="4" s="1"/>
  <c r="FA582" i="4"/>
  <c r="EZ582" i="4"/>
  <c r="EY582" i="4"/>
  <c r="EX582" i="4"/>
  <c r="EW582" i="4"/>
  <c r="FM582" i="4" s="1"/>
  <c r="EV582" i="4"/>
  <c r="FL582" i="4" s="1"/>
  <c r="EU582" i="4"/>
  <c r="EB582" i="4"/>
  <c r="DY582" i="4"/>
  <c r="EC582" i="4" s="1"/>
  <c r="DX582" i="4"/>
  <c r="DW582" i="4"/>
  <c r="EA582" i="4" s="1"/>
  <c r="DV582" i="4"/>
  <c r="DZ582" i="4" s="1"/>
  <c r="DL582" i="4"/>
  <c r="DH582" i="4"/>
  <c r="DF582" i="4"/>
  <c r="DE582" i="4"/>
  <c r="DA582" i="4"/>
  <c r="CX582" i="4"/>
  <c r="FJ582" i="4" s="1"/>
  <c r="FY582" i="4" s="1"/>
  <c r="CW582" i="4"/>
  <c r="CV582" i="4"/>
  <c r="DG582" i="4" s="1"/>
  <c r="CU582" i="4"/>
  <c r="CO582" i="4"/>
  <c r="CK582" i="4"/>
  <c r="CG582" i="4"/>
  <c r="BS582" i="4"/>
  <c r="BP582" i="4"/>
  <c r="BO582" i="4"/>
  <c r="BN582" i="4"/>
  <c r="BM582" i="4"/>
  <c r="BL582" i="4"/>
  <c r="BK582" i="4"/>
  <c r="BJ582" i="4"/>
  <c r="BI582" i="4"/>
  <c r="BH582" i="4"/>
  <c r="BG582" i="4"/>
  <c r="BF582" i="4"/>
  <c r="BE582" i="4"/>
  <c r="BD582" i="4"/>
  <c r="BC582" i="4"/>
  <c r="BB582" i="4"/>
  <c r="BA582" i="4"/>
  <c r="AZ582" i="4"/>
  <c r="AY582" i="4"/>
  <c r="AX582" i="4"/>
  <c r="AW582" i="4"/>
  <c r="AV582" i="4"/>
  <c r="Y582" i="4"/>
  <c r="Q582" i="4"/>
  <c r="B582" i="4"/>
  <c r="A582" i="4"/>
  <c r="QX581" i="4"/>
  <c r="FW581" i="4"/>
  <c r="FO581" i="4"/>
  <c r="FN581" i="4"/>
  <c r="FM581" i="4"/>
  <c r="FJ581" i="4"/>
  <c r="FY581" i="4" s="1"/>
  <c r="FI581" i="4"/>
  <c r="FX581" i="4" s="1"/>
  <c r="FH581" i="4"/>
  <c r="FV581" i="4" s="1"/>
  <c r="FG581" i="4"/>
  <c r="FU581" i="4" s="1"/>
  <c r="FE581" i="4"/>
  <c r="FT581" i="4" s="1"/>
  <c r="FD581" i="4"/>
  <c r="FS581" i="4" s="1"/>
  <c r="FC581" i="4"/>
  <c r="FR581" i="4" s="1"/>
  <c r="FB581" i="4"/>
  <c r="FQ581" i="4" s="1"/>
  <c r="FA581" i="4"/>
  <c r="FP581" i="4" s="1"/>
  <c r="EZ581" i="4"/>
  <c r="EY581" i="4"/>
  <c r="EX581" i="4"/>
  <c r="EW581" i="4"/>
  <c r="EV581" i="4"/>
  <c r="FL581" i="4" s="1"/>
  <c r="EU581" i="4"/>
  <c r="FK581" i="4" s="1"/>
  <c r="EA581" i="4"/>
  <c r="DX581" i="4"/>
  <c r="EB581" i="4" s="1"/>
  <c r="DW581" i="4"/>
  <c r="DU581" i="4"/>
  <c r="DL581" i="4"/>
  <c r="DH581" i="4"/>
  <c r="DG581" i="4"/>
  <c r="DF581" i="4"/>
  <c r="DE581" i="4"/>
  <c r="DA581" i="4"/>
  <c r="CX581" i="4"/>
  <c r="CW581" i="4"/>
  <c r="CV581" i="4"/>
  <c r="FF581" i="4" s="1"/>
  <c r="CU581" i="4"/>
  <c r="CO581" i="4"/>
  <c r="CK581" i="4"/>
  <c r="CG581" i="4"/>
  <c r="BS581" i="4"/>
  <c r="BP581" i="4"/>
  <c r="BO581" i="4"/>
  <c r="BN581" i="4"/>
  <c r="BM581" i="4"/>
  <c r="BL581" i="4"/>
  <c r="BK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Y581" i="4"/>
  <c r="Q581" i="4"/>
  <c r="B581" i="4"/>
  <c r="A581" i="4"/>
  <c r="QX580" i="4"/>
  <c r="FT580" i="4"/>
  <c r="FP580" i="4"/>
  <c r="FO580" i="4"/>
  <c r="FN580" i="4"/>
  <c r="FI580" i="4"/>
  <c r="FX580" i="4" s="1"/>
  <c r="FH580" i="4"/>
  <c r="FV580" i="4" s="1"/>
  <c r="FG580" i="4"/>
  <c r="FU580" i="4" s="1"/>
  <c r="FE580" i="4"/>
  <c r="FD580" i="4"/>
  <c r="FS580" i="4" s="1"/>
  <c r="FC580" i="4"/>
  <c r="FR580" i="4" s="1"/>
  <c r="FB580" i="4"/>
  <c r="FQ580" i="4" s="1"/>
  <c r="DD580" i="4" s="1"/>
  <c r="FA580" i="4"/>
  <c r="EZ580" i="4"/>
  <c r="EY580" i="4"/>
  <c r="EX580" i="4"/>
  <c r="EW580" i="4"/>
  <c r="FM580" i="4" s="1"/>
  <c r="EV580" i="4"/>
  <c r="FL580" i="4" s="1"/>
  <c r="EU580" i="4"/>
  <c r="FK580" i="4" s="1"/>
  <c r="DX580" i="4"/>
  <c r="EB580" i="4" s="1"/>
  <c r="DW580" i="4"/>
  <c r="EA580" i="4" s="1"/>
  <c r="DU580" i="4"/>
  <c r="DL580" i="4"/>
  <c r="DH580" i="4"/>
  <c r="DF580" i="4"/>
  <c r="DA580" i="4"/>
  <c r="CX580" i="4"/>
  <c r="FJ580" i="4" s="1"/>
  <c r="FY580" i="4" s="1"/>
  <c r="CV580" i="4"/>
  <c r="FF580" i="4" s="1"/>
  <c r="FW580" i="4" s="1"/>
  <c r="CU580" i="4"/>
  <c r="DE580" i="4" s="1"/>
  <c r="CO580" i="4"/>
  <c r="CW580" i="4" s="1"/>
  <c r="CK580" i="4"/>
  <c r="CG580" i="4"/>
  <c r="BS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C580" i="4"/>
  <c r="BB580" i="4"/>
  <c r="BA580" i="4"/>
  <c r="AZ580" i="4"/>
  <c r="AY580" i="4"/>
  <c r="AX580" i="4"/>
  <c r="AW580" i="4"/>
  <c r="AV580" i="4"/>
  <c r="Y580" i="4"/>
  <c r="Q580" i="4"/>
  <c r="B580" i="4"/>
  <c r="A580" i="4"/>
  <c r="QX579" i="4"/>
  <c r="FV579" i="4"/>
  <c r="FU579" i="4"/>
  <c r="FT579" i="4"/>
  <c r="FP579" i="4"/>
  <c r="FO579" i="4"/>
  <c r="FJ579" i="4"/>
  <c r="FY579" i="4" s="1"/>
  <c r="FI579" i="4"/>
  <c r="FX579" i="4" s="1"/>
  <c r="FH579" i="4"/>
  <c r="FG579" i="4"/>
  <c r="FE579" i="4"/>
  <c r="FD579" i="4"/>
  <c r="FS579" i="4" s="1"/>
  <c r="FC579" i="4"/>
  <c r="FR579" i="4" s="1"/>
  <c r="FA579" i="4"/>
  <c r="EZ579" i="4"/>
  <c r="EY579" i="4"/>
  <c r="EX579" i="4"/>
  <c r="FN579" i="4" s="1"/>
  <c r="EW579" i="4"/>
  <c r="FM579" i="4" s="1"/>
  <c r="EV579" i="4"/>
  <c r="FL579" i="4" s="1"/>
  <c r="EU579" i="4"/>
  <c r="FK579" i="4" s="1"/>
  <c r="EA579" i="4"/>
  <c r="DX579" i="4"/>
  <c r="EB579" i="4" s="1"/>
  <c r="DW579" i="4"/>
  <c r="DU579" i="4"/>
  <c r="DL579" i="4"/>
  <c r="DH579" i="4"/>
  <c r="DF579" i="4"/>
  <c r="DA579" i="4"/>
  <c r="CX579" i="4"/>
  <c r="CV579" i="4"/>
  <c r="CU579" i="4"/>
  <c r="DE579" i="4" s="1"/>
  <c r="CO579" i="4"/>
  <c r="FB579" i="4" s="1"/>
  <c r="FQ579" i="4" s="1"/>
  <c r="CK579" i="4"/>
  <c r="CG579" i="4"/>
  <c r="BS579" i="4"/>
  <c r="BP579" i="4"/>
  <c r="BO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Y579" i="4"/>
  <c r="AX579" i="4"/>
  <c r="AW579" i="4"/>
  <c r="AV579" i="4"/>
  <c r="Y579" i="4"/>
  <c r="Q579" i="4"/>
  <c r="B579" i="4"/>
  <c r="A579" i="4"/>
  <c r="QX578" i="4"/>
  <c r="FU578" i="4"/>
  <c r="FT578" i="4"/>
  <c r="FS578" i="4"/>
  <c r="FO578" i="4"/>
  <c r="FN578" i="4"/>
  <c r="FI578" i="4"/>
  <c r="FX578" i="4" s="1"/>
  <c r="FH578" i="4"/>
  <c r="FV578" i="4" s="1"/>
  <c r="FG578" i="4"/>
  <c r="FE578" i="4"/>
  <c r="FD578" i="4"/>
  <c r="FC578" i="4"/>
  <c r="FR578" i="4" s="1"/>
  <c r="FA578" i="4"/>
  <c r="FP578" i="4" s="1"/>
  <c r="EZ578" i="4"/>
  <c r="EY578" i="4"/>
  <c r="EX578" i="4"/>
  <c r="EW578" i="4"/>
  <c r="FM578" i="4" s="1"/>
  <c r="EV578" i="4"/>
  <c r="FL578" i="4" s="1"/>
  <c r="EU578" i="4"/>
  <c r="FK578" i="4" s="1"/>
  <c r="DX578" i="4"/>
  <c r="EB578" i="4" s="1"/>
  <c r="DW578" i="4"/>
  <c r="DV578" i="4" s="1"/>
  <c r="DZ578" i="4" s="1"/>
  <c r="DL578" i="4"/>
  <c r="DH578" i="4"/>
  <c r="DF578" i="4"/>
  <c r="DA578" i="4"/>
  <c r="CX578" i="4"/>
  <c r="FJ578" i="4" s="1"/>
  <c r="FY578" i="4" s="1"/>
  <c r="CU578" i="4"/>
  <c r="DE578" i="4" s="1"/>
  <c r="CO578" i="4"/>
  <c r="CW578" i="4" s="1"/>
  <c r="CK578" i="4"/>
  <c r="CG578" i="4"/>
  <c r="BP578" i="4"/>
  <c r="BO578" i="4"/>
  <c r="BN578" i="4"/>
  <c r="BM578" i="4"/>
  <c r="BL578" i="4"/>
  <c r="BK578" i="4"/>
  <c r="BJ578" i="4"/>
  <c r="BI578" i="4"/>
  <c r="BH578" i="4"/>
  <c r="BG578" i="4"/>
  <c r="BF578" i="4"/>
  <c r="BE578" i="4"/>
  <c r="BD578" i="4"/>
  <c r="BC578" i="4"/>
  <c r="BB578" i="4"/>
  <c r="BA578" i="4"/>
  <c r="AZ578" i="4"/>
  <c r="AY578" i="4"/>
  <c r="AX578" i="4"/>
  <c r="AW578" i="4"/>
  <c r="AV578" i="4"/>
  <c r="Y578" i="4"/>
  <c r="Q578" i="4"/>
  <c r="B578" i="4"/>
  <c r="A578" i="4"/>
  <c r="QX577" i="4"/>
  <c r="FX577" i="4"/>
  <c r="FV577" i="4"/>
  <c r="FS577" i="4"/>
  <c r="FR577" i="4"/>
  <c r="FM577" i="4"/>
  <c r="FL577" i="4"/>
  <c r="FI577" i="4"/>
  <c r="FH577" i="4"/>
  <c r="FG577" i="4"/>
  <c r="FU577" i="4" s="1"/>
  <c r="FF577" i="4"/>
  <c r="FW577" i="4" s="1"/>
  <c r="FE577" i="4"/>
  <c r="FT577" i="4" s="1"/>
  <c r="FD577" i="4"/>
  <c r="FC577" i="4"/>
  <c r="FA577" i="4"/>
  <c r="FP577" i="4" s="1"/>
  <c r="EZ577" i="4"/>
  <c r="FO577" i="4" s="1"/>
  <c r="EY577" i="4"/>
  <c r="EX577" i="4"/>
  <c r="FN577" i="4" s="1"/>
  <c r="EW577" i="4"/>
  <c r="EV577" i="4"/>
  <c r="EU577" i="4"/>
  <c r="FK577" i="4" s="1"/>
  <c r="DX577" i="4"/>
  <c r="EB577" i="4" s="1"/>
  <c r="DW577" i="4"/>
  <c r="DV577" i="4" s="1"/>
  <c r="DZ577" i="4" s="1"/>
  <c r="DL577" i="4"/>
  <c r="DH577" i="4"/>
  <c r="DG577" i="4"/>
  <c r="DF577" i="4"/>
  <c r="DE577" i="4"/>
  <c r="DA577" i="4"/>
  <c r="CX577" i="4"/>
  <c r="FJ577" i="4" s="1"/>
  <c r="FY577" i="4" s="1"/>
  <c r="CW577" i="4"/>
  <c r="CV577" i="4"/>
  <c r="CU577" i="4"/>
  <c r="CO577" i="4"/>
  <c r="FB577" i="4" s="1"/>
  <c r="FQ577" i="4" s="1"/>
  <c r="CK577" i="4"/>
  <c r="CG577" i="4"/>
  <c r="BS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Y577" i="4"/>
  <c r="Q577" i="4"/>
  <c r="B577" i="4"/>
  <c r="A577" i="4"/>
  <c r="QX576" i="4"/>
  <c r="FX576" i="4"/>
  <c r="FV576" i="4"/>
  <c r="FU576" i="4"/>
  <c r="FS576" i="4"/>
  <c r="FR576" i="4"/>
  <c r="FL576" i="4"/>
  <c r="FK576" i="4"/>
  <c r="FI576" i="4"/>
  <c r="FH576" i="4"/>
  <c r="FG576" i="4"/>
  <c r="FE576" i="4"/>
  <c r="FT576" i="4" s="1"/>
  <c r="FD576" i="4"/>
  <c r="FC576" i="4"/>
  <c r="FA576" i="4"/>
  <c r="FP576" i="4" s="1"/>
  <c r="EZ576" i="4"/>
  <c r="FO576" i="4" s="1"/>
  <c r="EY576" i="4"/>
  <c r="EX576" i="4"/>
  <c r="FN576" i="4" s="1"/>
  <c r="EW576" i="4"/>
  <c r="FM576" i="4" s="1"/>
  <c r="EV576" i="4"/>
  <c r="EU576" i="4"/>
  <c r="EB576" i="4"/>
  <c r="DX576" i="4"/>
  <c r="DW576" i="4"/>
  <c r="EA576" i="4" s="1"/>
  <c r="DV576" i="4"/>
  <c r="DZ576" i="4" s="1"/>
  <c r="DL576" i="4"/>
  <c r="DH576" i="4"/>
  <c r="DF576" i="4"/>
  <c r="DE576" i="4"/>
  <c r="DA576" i="4"/>
  <c r="CX576" i="4"/>
  <c r="FJ576" i="4" s="1"/>
  <c r="FY576" i="4" s="1"/>
  <c r="CW576" i="4"/>
  <c r="CU576" i="4"/>
  <c r="CP576" i="4"/>
  <c r="CO576" i="4"/>
  <c r="CV576" i="4" s="1"/>
  <c r="CK576" i="4"/>
  <c r="CG576" i="4"/>
  <c r="BR576" i="4"/>
  <c r="BS576" i="4" s="1"/>
  <c r="BP576" i="4"/>
  <c r="BO576" i="4"/>
  <c r="BN576" i="4"/>
  <c r="BM576" i="4"/>
  <c r="BL576" i="4"/>
  <c r="BK576" i="4"/>
  <c r="BJ576" i="4"/>
  <c r="BI576" i="4"/>
  <c r="BH576" i="4"/>
  <c r="BG576" i="4"/>
  <c r="BF576" i="4"/>
  <c r="BE576" i="4"/>
  <c r="BD576" i="4"/>
  <c r="BC576" i="4"/>
  <c r="BB576" i="4"/>
  <c r="BA576" i="4"/>
  <c r="AZ576" i="4"/>
  <c r="AY576" i="4"/>
  <c r="AX576" i="4"/>
  <c r="AW576" i="4"/>
  <c r="AV576" i="4"/>
  <c r="Y576" i="4"/>
  <c r="Q576" i="4"/>
  <c r="B576" i="4"/>
  <c r="A576" i="4"/>
  <c r="QX575" i="4"/>
  <c r="FX575" i="4"/>
  <c r="FT575" i="4"/>
  <c r="FS575" i="4"/>
  <c r="FR575" i="4"/>
  <c r="FM575" i="4"/>
  <c r="FL575" i="4"/>
  <c r="FI575" i="4"/>
  <c r="FG575" i="4"/>
  <c r="FU575" i="4" s="1"/>
  <c r="FE575" i="4"/>
  <c r="FD575" i="4"/>
  <c r="FC575" i="4"/>
  <c r="FA575" i="4"/>
  <c r="FP575" i="4" s="1"/>
  <c r="EZ575" i="4"/>
  <c r="FO575" i="4" s="1"/>
  <c r="EY575" i="4"/>
  <c r="EX575" i="4"/>
  <c r="FN575" i="4" s="1"/>
  <c r="EW575" i="4"/>
  <c r="EV575" i="4"/>
  <c r="EU575" i="4"/>
  <c r="FK575" i="4" s="1"/>
  <c r="DX575" i="4"/>
  <c r="EB575" i="4" s="1"/>
  <c r="DW575" i="4"/>
  <c r="DV575" i="4" s="1"/>
  <c r="DZ575" i="4" s="1"/>
  <c r="DL575" i="4"/>
  <c r="DH575" i="4"/>
  <c r="DF575" i="4"/>
  <c r="DA575" i="4"/>
  <c r="CX575" i="4"/>
  <c r="FJ575" i="4" s="1"/>
  <c r="FY575" i="4" s="1"/>
  <c r="CS575" i="4"/>
  <c r="CW575" i="4" s="1"/>
  <c r="CO575" i="4"/>
  <c r="CV575" i="4" s="1"/>
  <c r="CK575" i="4"/>
  <c r="CG575" i="4"/>
  <c r="BS575" i="4"/>
  <c r="BP575" i="4"/>
  <c r="BO575" i="4"/>
  <c r="BN575" i="4"/>
  <c r="BM575" i="4"/>
  <c r="BL575" i="4"/>
  <c r="BK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Y575" i="4"/>
  <c r="Q575" i="4"/>
  <c r="B575" i="4"/>
  <c r="A575" i="4"/>
  <c r="FV574" i="4"/>
  <c r="FT574" i="4"/>
  <c r="FS574" i="4"/>
  <c r="FR574" i="4"/>
  <c r="FM574" i="4"/>
  <c r="FL574" i="4"/>
  <c r="FH574" i="4"/>
  <c r="FG574" i="4"/>
  <c r="FU574" i="4" s="1"/>
  <c r="FF574" i="4"/>
  <c r="FW574" i="4" s="1"/>
  <c r="FE574" i="4"/>
  <c r="FD574" i="4"/>
  <c r="FC574" i="4"/>
  <c r="FA574" i="4"/>
  <c r="FP574" i="4" s="1"/>
  <c r="EZ574" i="4"/>
  <c r="FO574" i="4" s="1"/>
  <c r="EY574" i="4"/>
  <c r="EX574" i="4"/>
  <c r="FN574" i="4" s="1"/>
  <c r="EW574" i="4"/>
  <c r="EV574" i="4"/>
  <c r="EU574" i="4"/>
  <c r="FK574" i="4" s="1"/>
  <c r="DX574" i="4"/>
  <c r="EB574" i="4" s="1"/>
  <c r="DW574" i="4"/>
  <c r="DV574" i="4" s="1"/>
  <c r="DZ574" i="4" s="1"/>
  <c r="DL574" i="4"/>
  <c r="DG574" i="4"/>
  <c r="DF574" i="4"/>
  <c r="DE574" i="4"/>
  <c r="DA574" i="4"/>
  <c r="CX574" i="4"/>
  <c r="FJ574" i="4" s="1"/>
  <c r="FY574" i="4" s="1"/>
  <c r="CW574" i="4"/>
  <c r="CV574" i="4"/>
  <c r="CU574" i="4"/>
  <c r="CO574" i="4"/>
  <c r="FB574" i="4" s="1"/>
  <c r="FQ574" i="4" s="1"/>
  <c r="CN574" i="4"/>
  <c r="FI574" i="4" s="1"/>
  <c r="FX574" i="4" s="1"/>
  <c r="CK574" i="4"/>
  <c r="CJ574" i="4"/>
  <c r="CG574" i="4"/>
  <c r="BS574" i="4"/>
  <c r="BP574" i="4"/>
  <c r="BO574" i="4"/>
  <c r="BN574" i="4"/>
  <c r="BM574" i="4"/>
  <c r="BL574" i="4"/>
  <c r="BK574" i="4"/>
  <c r="BJ574" i="4"/>
  <c r="BI574" i="4"/>
  <c r="BH574" i="4"/>
  <c r="BG574" i="4"/>
  <c r="BF574" i="4"/>
  <c r="BE574" i="4"/>
  <c r="BD574" i="4"/>
  <c r="BC574" i="4"/>
  <c r="BB574" i="4"/>
  <c r="BA574" i="4"/>
  <c r="AZ574" i="4"/>
  <c r="AY574" i="4"/>
  <c r="AX574" i="4"/>
  <c r="AW574" i="4"/>
  <c r="AV574" i="4"/>
  <c r="Y574" i="4"/>
  <c r="Q574" i="4"/>
  <c r="B574" i="4"/>
  <c r="A574" i="4"/>
  <c r="QX573" i="4"/>
  <c r="FT573" i="4"/>
  <c r="FS573" i="4"/>
  <c r="FO573" i="4"/>
  <c r="FN573" i="4"/>
  <c r="FM573" i="4"/>
  <c r="FI573" i="4"/>
  <c r="FX573" i="4" s="1"/>
  <c r="FH573" i="4"/>
  <c r="FV573" i="4" s="1"/>
  <c r="FG573" i="4"/>
  <c r="FU573" i="4" s="1"/>
  <c r="FE573" i="4"/>
  <c r="FD573" i="4"/>
  <c r="FC573" i="4"/>
  <c r="FR573" i="4" s="1"/>
  <c r="FA573" i="4"/>
  <c r="FP573" i="4" s="1"/>
  <c r="EZ573" i="4"/>
  <c r="EY573" i="4"/>
  <c r="EX573" i="4"/>
  <c r="EW573" i="4"/>
  <c r="EV573" i="4"/>
  <c r="FL573" i="4" s="1"/>
  <c r="EU573" i="4"/>
  <c r="FK573" i="4" s="1"/>
  <c r="DX573" i="4"/>
  <c r="EB573" i="4" s="1"/>
  <c r="DW573" i="4"/>
  <c r="EA573" i="4" s="1"/>
  <c r="DL573" i="4"/>
  <c r="DH573" i="4"/>
  <c r="DF573" i="4"/>
  <c r="DE573" i="4"/>
  <c r="DA573" i="4"/>
  <c r="CX573" i="4"/>
  <c r="FJ573" i="4" s="1"/>
  <c r="FY573" i="4" s="1"/>
  <c r="CU573" i="4"/>
  <c r="CO573" i="4"/>
  <c r="CW573" i="4" s="1"/>
  <c r="CK573" i="4"/>
  <c r="CG573" i="4"/>
  <c r="BS573" i="4"/>
  <c r="BR573" i="4"/>
  <c r="BP573" i="4"/>
  <c r="BO573" i="4"/>
  <c r="BN573" i="4"/>
  <c r="BM573" i="4"/>
  <c r="BL573" i="4"/>
  <c r="BK573" i="4"/>
  <c r="BJ573" i="4"/>
  <c r="BI573" i="4"/>
  <c r="BH573" i="4"/>
  <c r="BG573" i="4"/>
  <c r="BF573" i="4"/>
  <c r="BE573" i="4"/>
  <c r="BD573" i="4"/>
  <c r="BC573" i="4"/>
  <c r="BB573" i="4"/>
  <c r="BA573" i="4"/>
  <c r="AZ573" i="4"/>
  <c r="AY573" i="4"/>
  <c r="AX573" i="4"/>
  <c r="AW573" i="4"/>
  <c r="AV573" i="4"/>
  <c r="Y573" i="4"/>
  <c r="Q573" i="4"/>
  <c r="B573" i="4"/>
  <c r="A573" i="4"/>
  <c r="QX572" i="4"/>
  <c r="FT572" i="4"/>
  <c r="FS572" i="4"/>
  <c r="FO572" i="4"/>
  <c r="FN572" i="4"/>
  <c r="FM572" i="4"/>
  <c r="FI572" i="4"/>
  <c r="FX572" i="4" s="1"/>
  <c r="FH572" i="4"/>
  <c r="FV572" i="4" s="1"/>
  <c r="FG572" i="4"/>
  <c r="FU572" i="4" s="1"/>
  <c r="FE572" i="4"/>
  <c r="FD572" i="4"/>
  <c r="FC572" i="4"/>
  <c r="FR572" i="4" s="1"/>
  <c r="FA572" i="4"/>
  <c r="FP572" i="4" s="1"/>
  <c r="EZ572" i="4"/>
  <c r="EY572" i="4"/>
  <c r="EX572" i="4"/>
  <c r="EW572" i="4"/>
  <c r="EV572" i="4"/>
  <c r="FL572" i="4" s="1"/>
  <c r="EU572" i="4"/>
  <c r="FK572" i="4" s="1"/>
  <c r="DX572" i="4"/>
  <c r="EB572" i="4" s="1"/>
  <c r="DW572" i="4"/>
  <c r="EA572" i="4" s="1"/>
  <c r="DL572" i="4"/>
  <c r="DH572" i="4"/>
  <c r="DF572" i="4"/>
  <c r="DA572" i="4"/>
  <c r="CX572" i="4"/>
  <c r="FJ572" i="4" s="1"/>
  <c r="FY572" i="4" s="1"/>
  <c r="CU572" i="4"/>
  <c r="DE572" i="4" s="1"/>
  <c r="CO572" i="4"/>
  <c r="CW572" i="4" s="1"/>
  <c r="CK572" i="4"/>
  <c r="CG572" i="4"/>
  <c r="BS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Y572" i="4"/>
  <c r="Q572" i="4"/>
  <c r="B572" i="4"/>
  <c r="A572" i="4"/>
  <c r="QX571" i="4"/>
  <c r="FX571" i="4"/>
  <c r="FT571" i="4"/>
  <c r="FS571" i="4"/>
  <c r="FR571" i="4"/>
  <c r="FN571" i="4"/>
  <c r="FM571" i="4"/>
  <c r="FL571" i="4"/>
  <c r="FI571" i="4"/>
  <c r="FH571" i="4"/>
  <c r="FV571" i="4" s="1"/>
  <c r="FG571" i="4"/>
  <c r="FU571" i="4" s="1"/>
  <c r="FE571" i="4"/>
  <c r="FD571" i="4"/>
  <c r="FC571" i="4"/>
  <c r="FA571" i="4"/>
  <c r="FP571" i="4" s="1"/>
  <c r="EZ571" i="4"/>
  <c r="FO571" i="4" s="1"/>
  <c r="EY571" i="4"/>
  <c r="EX571" i="4"/>
  <c r="EW571" i="4"/>
  <c r="EV571" i="4"/>
  <c r="EU571" i="4"/>
  <c r="FK571" i="4" s="1"/>
  <c r="DX571" i="4"/>
  <c r="EB571" i="4" s="1"/>
  <c r="DW571" i="4"/>
  <c r="DV571" i="4" s="1"/>
  <c r="DZ571" i="4" s="1"/>
  <c r="DL571" i="4"/>
  <c r="DH571" i="4"/>
  <c r="DF571" i="4"/>
  <c r="DE571" i="4"/>
  <c r="DA571" i="4"/>
  <c r="CX571" i="4"/>
  <c r="FJ571" i="4" s="1"/>
  <c r="FY571" i="4" s="1"/>
  <c r="CU571" i="4"/>
  <c r="CO571" i="4"/>
  <c r="CW571" i="4" s="1"/>
  <c r="CK571" i="4"/>
  <c r="CG571" i="4"/>
  <c r="BS571" i="4"/>
  <c r="BP571" i="4"/>
  <c r="BO571" i="4"/>
  <c r="BN571" i="4"/>
  <c r="BM571" i="4"/>
  <c r="BL571" i="4"/>
  <c r="BK571" i="4"/>
  <c r="BJ571" i="4"/>
  <c r="BI571" i="4"/>
  <c r="BH571" i="4"/>
  <c r="BG571" i="4"/>
  <c r="BF571" i="4"/>
  <c r="BE571" i="4"/>
  <c r="BD571" i="4"/>
  <c r="BC571" i="4"/>
  <c r="BB571" i="4"/>
  <c r="BA571" i="4"/>
  <c r="AZ571" i="4"/>
  <c r="AY571" i="4"/>
  <c r="AX571" i="4"/>
  <c r="AW571" i="4"/>
  <c r="AV571" i="4"/>
  <c r="Y571" i="4"/>
  <c r="Q571" i="4"/>
  <c r="B571" i="4"/>
  <c r="A571" i="4"/>
  <c r="QX570" i="4"/>
  <c r="FX570" i="4"/>
  <c r="FW570" i="4"/>
  <c r="FV570" i="4"/>
  <c r="FS570" i="4"/>
  <c r="FR570" i="4"/>
  <c r="FM570" i="4"/>
  <c r="FL570" i="4"/>
  <c r="FK570" i="4"/>
  <c r="FI570" i="4"/>
  <c r="FH570" i="4"/>
  <c r="FG570" i="4"/>
  <c r="FU570" i="4" s="1"/>
  <c r="FF570" i="4"/>
  <c r="FE570" i="4"/>
  <c r="FT570" i="4" s="1"/>
  <c r="FD570" i="4"/>
  <c r="FC570" i="4"/>
  <c r="FA570" i="4"/>
  <c r="FP570" i="4" s="1"/>
  <c r="EZ570" i="4"/>
  <c r="FO570" i="4" s="1"/>
  <c r="EY570" i="4"/>
  <c r="EX570" i="4"/>
  <c r="FN570" i="4" s="1"/>
  <c r="EW570" i="4"/>
  <c r="EV570" i="4"/>
  <c r="EU570" i="4"/>
  <c r="EB570" i="4"/>
  <c r="DX570" i="4"/>
  <c r="DW570" i="4"/>
  <c r="EA570" i="4" s="1"/>
  <c r="DV570" i="4"/>
  <c r="DZ570" i="4" s="1"/>
  <c r="DL570" i="4"/>
  <c r="DH570" i="4"/>
  <c r="DG570" i="4"/>
  <c r="DF570" i="4"/>
  <c r="DE570" i="4"/>
  <c r="DA570" i="4"/>
  <c r="CX570" i="4"/>
  <c r="FJ570" i="4" s="1"/>
  <c r="FY570" i="4" s="1"/>
  <c r="CW570" i="4"/>
  <c r="CV570" i="4"/>
  <c r="DY570" i="4" s="1"/>
  <c r="EC570" i="4" s="1"/>
  <c r="CU570" i="4"/>
  <c r="CO570" i="4"/>
  <c r="FB570" i="4" s="1"/>
  <c r="FQ570" i="4" s="1"/>
  <c r="CK570" i="4"/>
  <c r="CG570" i="4"/>
  <c r="BS570" i="4"/>
  <c r="BR570" i="4"/>
  <c r="BP570" i="4"/>
  <c r="BO570" i="4"/>
  <c r="BN570" i="4"/>
  <c r="BM570" i="4"/>
  <c r="BL570" i="4"/>
  <c r="BK570" i="4"/>
  <c r="BJ570" i="4"/>
  <c r="BI570" i="4"/>
  <c r="BH570" i="4"/>
  <c r="BG570" i="4"/>
  <c r="BF570" i="4"/>
  <c r="BE570" i="4"/>
  <c r="BD570" i="4"/>
  <c r="BC570" i="4"/>
  <c r="BB570" i="4"/>
  <c r="BA570" i="4"/>
  <c r="AZ570" i="4"/>
  <c r="AY570" i="4"/>
  <c r="AX570" i="4"/>
  <c r="AW570" i="4"/>
  <c r="AV570" i="4"/>
  <c r="Y570" i="4"/>
  <c r="Q570" i="4"/>
  <c r="B570" i="4"/>
  <c r="A570" i="4"/>
  <c r="QX569" i="4"/>
  <c r="FX569" i="4"/>
  <c r="FW569" i="4"/>
  <c r="FV569" i="4"/>
  <c r="FS569" i="4"/>
  <c r="FR569" i="4"/>
  <c r="FM569" i="4"/>
  <c r="FL569" i="4"/>
  <c r="FK569" i="4"/>
  <c r="FI569" i="4"/>
  <c r="FH569" i="4"/>
  <c r="FG569" i="4"/>
  <c r="FU569" i="4" s="1"/>
  <c r="FF569" i="4"/>
  <c r="FE569" i="4"/>
  <c r="FT569" i="4" s="1"/>
  <c r="FD569" i="4"/>
  <c r="FC569" i="4"/>
  <c r="FA569" i="4"/>
  <c r="FP569" i="4" s="1"/>
  <c r="EZ569" i="4"/>
  <c r="FO569" i="4" s="1"/>
  <c r="EY569" i="4"/>
  <c r="EX569" i="4"/>
  <c r="FN569" i="4" s="1"/>
  <c r="EW569" i="4"/>
  <c r="EV569" i="4"/>
  <c r="EU569" i="4"/>
  <c r="EB569" i="4"/>
  <c r="DX569" i="4"/>
  <c r="DW569" i="4"/>
  <c r="EA569" i="4" s="1"/>
  <c r="DV569" i="4"/>
  <c r="DZ569" i="4" s="1"/>
  <c r="DL569" i="4"/>
  <c r="DH569" i="4"/>
  <c r="DG569" i="4"/>
  <c r="DF569" i="4"/>
  <c r="DE569" i="4"/>
  <c r="DA569" i="4"/>
  <c r="CX569" i="4"/>
  <c r="FJ569" i="4" s="1"/>
  <c r="FY569" i="4" s="1"/>
  <c r="CW569" i="4"/>
  <c r="CV569" i="4"/>
  <c r="DY569" i="4" s="1"/>
  <c r="EC569" i="4" s="1"/>
  <c r="CU569" i="4"/>
  <c r="CO569" i="4"/>
  <c r="FB569" i="4" s="1"/>
  <c r="FQ569" i="4" s="1"/>
  <c r="CK569" i="4"/>
  <c r="CG569" i="4"/>
  <c r="BP569" i="4"/>
  <c r="BO569" i="4"/>
  <c r="BN569" i="4"/>
  <c r="BM569" i="4"/>
  <c r="BL569" i="4"/>
  <c r="BK569" i="4"/>
  <c r="BJ569" i="4"/>
  <c r="BI569" i="4"/>
  <c r="BH569" i="4"/>
  <c r="BG569" i="4"/>
  <c r="BF569" i="4"/>
  <c r="BE569" i="4"/>
  <c r="BD569" i="4"/>
  <c r="BC569" i="4"/>
  <c r="BB569" i="4"/>
  <c r="BA569" i="4"/>
  <c r="AZ569" i="4"/>
  <c r="AY569" i="4"/>
  <c r="AX569" i="4"/>
  <c r="AW569" i="4"/>
  <c r="AV569" i="4"/>
  <c r="Y569" i="4"/>
  <c r="Q569" i="4"/>
  <c r="B569" i="4"/>
  <c r="A569" i="4"/>
  <c r="MF568" i="4"/>
  <c r="FV568" i="4"/>
  <c r="FU568" i="4"/>
  <c r="FP568" i="4"/>
  <c r="FO568" i="4"/>
  <c r="FJ568" i="4"/>
  <c r="FY568" i="4" s="1"/>
  <c r="FI568" i="4"/>
  <c r="FX568" i="4" s="1"/>
  <c r="FH568" i="4"/>
  <c r="FG568" i="4"/>
  <c r="FE568" i="4"/>
  <c r="FT568" i="4" s="1"/>
  <c r="FD568" i="4"/>
  <c r="FS568" i="4" s="1"/>
  <c r="FC568" i="4"/>
  <c r="FR568" i="4" s="1"/>
  <c r="FA568" i="4"/>
  <c r="EZ568" i="4"/>
  <c r="EY568" i="4"/>
  <c r="EX568" i="4"/>
  <c r="FN568" i="4" s="1"/>
  <c r="EW568" i="4"/>
  <c r="FM568" i="4" s="1"/>
  <c r="EV568" i="4"/>
  <c r="FL568" i="4" s="1"/>
  <c r="EU568" i="4"/>
  <c r="FK568" i="4" s="1"/>
  <c r="EA568" i="4"/>
  <c r="DX568" i="4"/>
  <c r="EB568" i="4" s="1"/>
  <c r="DW568" i="4"/>
  <c r="DU568" i="4"/>
  <c r="DL568" i="4"/>
  <c r="DH568" i="4"/>
  <c r="DF568" i="4"/>
  <c r="CX568" i="4"/>
  <c r="CU568" i="4"/>
  <c r="DE568" i="4" s="1"/>
  <c r="CO568" i="4"/>
  <c r="FB568" i="4" s="1"/>
  <c r="FQ568" i="4" s="1"/>
  <c r="CK568" i="4"/>
  <c r="CJ568" i="4"/>
  <c r="BS568" i="4"/>
  <c r="BP568" i="4"/>
  <c r="BO568" i="4"/>
  <c r="BN568" i="4"/>
  <c r="BM568" i="4"/>
  <c r="BL568" i="4"/>
  <c r="BK568" i="4"/>
  <c r="BJ568" i="4"/>
  <c r="BI568" i="4"/>
  <c r="BH568" i="4"/>
  <c r="BG568" i="4"/>
  <c r="BF568" i="4"/>
  <c r="BE568" i="4"/>
  <c r="BD568" i="4"/>
  <c r="BC568" i="4"/>
  <c r="BB568" i="4"/>
  <c r="BA568" i="4"/>
  <c r="AZ568" i="4"/>
  <c r="AY568" i="4"/>
  <c r="AX568" i="4"/>
  <c r="AW568" i="4"/>
  <c r="AV568" i="4"/>
  <c r="Y568" i="4"/>
  <c r="Q568" i="4"/>
  <c r="B568" i="4"/>
  <c r="A568" i="4"/>
  <c r="QX567" i="4"/>
  <c r="FX567" i="4"/>
  <c r="FT567" i="4"/>
  <c r="FS567" i="4"/>
  <c r="FO567" i="4"/>
  <c r="FN567" i="4"/>
  <c r="FM567" i="4"/>
  <c r="FI567" i="4"/>
  <c r="FH567" i="4"/>
  <c r="FV567" i="4" s="1"/>
  <c r="FG567" i="4"/>
  <c r="FU567" i="4" s="1"/>
  <c r="FE567" i="4"/>
  <c r="FD567" i="4"/>
  <c r="FC567" i="4"/>
  <c r="FR567" i="4" s="1"/>
  <c r="FA567" i="4"/>
  <c r="FP567" i="4" s="1"/>
  <c r="EZ567" i="4"/>
  <c r="EY567" i="4"/>
  <c r="EX567" i="4"/>
  <c r="EW567" i="4"/>
  <c r="EV567" i="4"/>
  <c r="FL567" i="4" s="1"/>
  <c r="EU567" i="4"/>
  <c r="FK567" i="4" s="1"/>
  <c r="DX567" i="4"/>
  <c r="EB567" i="4" s="1"/>
  <c r="DW567" i="4"/>
  <c r="EA567" i="4" s="1"/>
  <c r="DL567" i="4"/>
  <c r="DH567" i="4"/>
  <c r="DF567" i="4"/>
  <c r="DA567" i="4"/>
  <c r="CX567" i="4"/>
  <c r="FJ567" i="4" s="1"/>
  <c r="FY567" i="4" s="1"/>
  <c r="CU567" i="4"/>
  <c r="DE567" i="4" s="1"/>
  <c r="CO567" i="4"/>
  <c r="CW567" i="4" s="1"/>
  <c r="CG567" i="4"/>
  <c r="BS567" i="4"/>
  <c r="BP567" i="4"/>
  <c r="BO567" i="4"/>
  <c r="BN567" i="4"/>
  <c r="BM567" i="4"/>
  <c r="BL567" i="4"/>
  <c r="BK567" i="4"/>
  <c r="BJ567" i="4"/>
  <c r="BI567" i="4"/>
  <c r="BH567" i="4"/>
  <c r="BG567" i="4"/>
  <c r="BF567" i="4"/>
  <c r="BE567" i="4"/>
  <c r="BD567" i="4"/>
  <c r="BC567" i="4"/>
  <c r="BB567" i="4"/>
  <c r="BA567" i="4"/>
  <c r="AZ567" i="4"/>
  <c r="AY567" i="4"/>
  <c r="AX567" i="4"/>
  <c r="AW567" i="4"/>
  <c r="AV567" i="4"/>
  <c r="Y567" i="4"/>
  <c r="Q567" i="4"/>
  <c r="B567" i="4"/>
  <c r="A567" i="4"/>
  <c r="QX566" i="4"/>
  <c r="FX566" i="4"/>
  <c r="FW566" i="4"/>
  <c r="FV566" i="4"/>
  <c r="FS566" i="4"/>
  <c r="FR566" i="4"/>
  <c r="FM566" i="4"/>
  <c r="FL566" i="4"/>
  <c r="FK566" i="4"/>
  <c r="FI566" i="4"/>
  <c r="FH566" i="4"/>
  <c r="FG566" i="4"/>
  <c r="FU566" i="4" s="1"/>
  <c r="FF566" i="4"/>
  <c r="FE566" i="4"/>
  <c r="FT566" i="4" s="1"/>
  <c r="FD566" i="4"/>
  <c r="FC566" i="4"/>
  <c r="FA566" i="4"/>
  <c r="FP566" i="4" s="1"/>
  <c r="EZ566" i="4"/>
  <c r="FO566" i="4" s="1"/>
  <c r="EY566" i="4"/>
  <c r="EX566" i="4"/>
  <c r="FN566" i="4" s="1"/>
  <c r="EW566" i="4"/>
  <c r="EV566" i="4"/>
  <c r="EU566" i="4"/>
  <c r="EB566" i="4"/>
  <c r="DX566" i="4"/>
  <c r="DW566" i="4"/>
  <c r="EA566" i="4" s="1"/>
  <c r="DV566" i="4"/>
  <c r="DZ566" i="4" s="1"/>
  <c r="DL566" i="4"/>
  <c r="DH566" i="4"/>
  <c r="DG566" i="4"/>
  <c r="DF566" i="4"/>
  <c r="DE566" i="4"/>
  <c r="DA566" i="4"/>
  <c r="CX566" i="4"/>
  <c r="FJ566" i="4" s="1"/>
  <c r="FY566" i="4" s="1"/>
  <c r="CW566" i="4"/>
  <c r="CV566" i="4"/>
  <c r="DY566" i="4" s="1"/>
  <c r="EC566" i="4" s="1"/>
  <c r="CU566" i="4"/>
  <c r="CO566" i="4"/>
  <c r="FB566" i="4" s="1"/>
  <c r="FQ566" i="4" s="1"/>
  <c r="CG566" i="4"/>
  <c r="BS566" i="4"/>
  <c r="BP566" i="4"/>
  <c r="BO566" i="4"/>
  <c r="BN566" i="4"/>
  <c r="BM566" i="4"/>
  <c r="BL566" i="4"/>
  <c r="BK566" i="4"/>
  <c r="BJ566" i="4"/>
  <c r="BI566" i="4"/>
  <c r="BH566" i="4"/>
  <c r="BG566" i="4"/>
  <c r="BF566" i="4"/>
  <c r="BE566" i="4"/>
  <c r="BD566" i="4"/>
  <c r="BC566" i="4"/>
  <c r="BB566" i="4"/>
  <c r="BA566" i="4"/>
  <c r="AZ566" i="4"/>
  <c r="AY566" i="4"/>
  <c r="AX566" i="4"/>
  <c r="AW566" i="4"/>
  <c r="AV566" i="4"/>
  <c r="Y566" i="4"/>
  <c r="Q566" i="4"/>
  <c r="B566" i="4"/>
  <c r="A566" i="4"/>
  <c r="QX565" i="4"/>
  <c r="FV565" i="4"/>
  <c r="FU565" i="4"/>
  <c r="FP565" i="4"/>
  <c r="FO565" i="4"/>
  <c r="FK565" i="4"/>
  <c r="FJ565" i="4"/>
  <c r="FY565" i="4" s="1"/>
  <c r="FI565" i="4"/>
  <c r="FX565" i="4" s="1"/>
  <c r="FH565" i="4"/>
  <c r="FG565" i="4"/>
  <c r="FE565" i="4"/>
  <c r="FT565" i="4" s="1"/>
  <c r="FD565" i="4"/>
  <c r="FS565" i="4" s="1"/>
  <c r="FC565" i="4"/>
  <c r="FR565" i="4" s="1"/>
  <c r="FA565" i="4"/>
  <c r="EZ565" i="4"/>
  <c r="EY565" i="4"/>
  <c r="EX565" i="4"/>
  <c r="FN565" i="4" s="1"/>
  <c r="EW565" i="4"/>
  <c r="FM565" i="4" s="1"/>
  <c r="EV565" i="4"/>
  <c r="FL565" i="4" s="1"/>
  <c r="EU565" i="4"/>
  <c r="EB565" i="4"/>
  <c r="EA565" i="4"/>
  <c r="DZ565" i="4"/>
  <c r="DX565" i="4"/>
  <c r="DW565" i="4"/>
  <c r="DV565" i="4"/>
  <c r="DU565" i="4"/>
  <c r="DL565" i="4"/>
  <c r="DH565" i="4"/>
  <c r="DF565" i="4"/>
  <c r="DA565" i="4"/>
  <c r="CX565" i="4"/>
  <c r="CW565" i="4"/>
  <c r="CV565" i="4"/>
  <c r="DY565" i="4" s="1"/>
  <c r="EC565" i="4" s="1"/>
  <c r="CU565" i="4"/>
  <c r="DE565" i="4" s="1"/>
  <c r="CO565" i="4"/>
  <c r="FB565" i="4" s="1"/>
  <c r="FQ565" i="4" s="1"/>
  <c r="CK565" i="4"/>
  <c r="CG565" i="4"/>
  <c r="BS565" i="4"/>
  <c r="BP565" i="4"/>
  <c r="BO565" i="4"/>
  <c r="BN565" i="4"/>
  <c r="BM565" i="4"/>
  <c r="BL565" i="4"/>
  <c r="BK565" i="4"/>
  <c r="BJ565" i="4"/>
  <c r="BI565" i="4"/>
  <c r="BH565" i="4"/>
  <c r="BG565" i="4"/>
  <c r="BF565" i="4"/>
  <c r="BE565" i="4"/>
  <c r="BD565" i="4"/>
  <c r="BC565" i="4"/>
  <c r="BB565" i="4"/>
  <c r="BA565" i="4"/>
  <c r="AZ565" i="4"/>
  <c r="AY565" i="4"/>
  <c r="AX565" i="4"/>
  <c r="AW565" i="4"/>
  <c r="AV565" i="4"/>
  <c r="Y565" i="4"/>
  <c r="Q565" i="4"/>
  <c r="B565" i="4"/>
  <c r="A565" i="4"/>
  <c r="QX564" i="4"/>
  <c r="FU564" i="4"/>
  <c r="FT564" i="4"/>
  <c r="FP564" i="4"/>
  <c r="FO564" i="4"/>
  <c r="FN564" i="4"/>
  <c r="FJ564" i="4"/>
  <c r="FY564" i="4" s="1"/>
  <c r="FI564" i="4"/>
  <c r="FX564" i="4" s="1"/>
  <c r="FH564" i="4"/>
  <c r="FV564" i="4" s="1"/>
  <c r="FG564" i="4"/>
  <c r="FE564" i="4"/>
  <c r="FD564" i="4"/>
  <c r="FS564" i="4" s="1"/>
  <c r="FC564" i="4"/>
  <c r="FR564" i="4" s="1"/>
  <c r="FB564" i="4"/>
  <c r="FQ564" i="4" s="1"/>
  <c r="FA564" i="4"/>
  <c r="EZ564" i="4"/>
  <c r="EY564" i="4"/>
  <c r="EX564" i="4"/>
  <c r="EW564" i="4"/>
  <c r="FM564" i="4" s="1"/>
  <c r="EV564" i="4"/>
  <c r="FL564" i="4" s="1"/>
  <c r="EU564" i="4"/>
  <c r="FK564" i="4" s="1"/>
  <c r="EP564" i="4"/>
  <c r="EB564" i="4"/>
  <c r="EA564" i="4"/>
  <c r="DZ564" i="4"/>
  <c r="DX564" i="4"/>
  <c r="DW564" i="4"/>
  <c r="DV564" i="4"/>
  <c r="DU564" i="4"/>
  <c r="DL564" i="4"/>
  <c r="DH564" i="4"/>
  <c r="DF564" i="4"/>
  <c r="DA564" i="4"/>
  <c r="CX564" i="4"/>
  <c r="CW564" i="4"/>
  <c r="CV564" i="4"/>
  <c r="DY564" i="4" s="1"/>
  <c r="EC564" i="4" s="1"/>
  <c r="CU564" i="4"/>
  <c r="DE564" i="4" s="1"/>
  <c r="CO564" i="4"/>
  <c r="CK564" i="4"/>
  <c r="CG564" i="4"/>
  <c r="BS564" i="4"/>
  <c r="BP564" i="4"/>
  <c r="BO564" i="4"/>
  <c r="BN564" i="4"/>
  <c r="BM564" i="4"/>
  <c r="BL564" i="4"/>
  <c r="BK564" i="4"/>
  <c r="BJ564" i="4"/>
  <c r="BI564" i="4"/>
  <c r="BH564" i="4"/>
  <c r="BG564" i="4"/>
  <c r="BF564" i="4"/>
  <c r="BE564" i="4"/>
  <c r="BD564" i="4"/>
  <c r="BC564" i="4"/>
  <c r="BB564" i="4"/>
  <c r="BA564" i="4"/>
  <c r="AZ564" i="4"/>
  <c r="AY564" i="4"/>
  <c r="AX564" i="4"/>
  <c r="AW564" i="4"/>
  <c r="AV564" i="4"/>
  <c r="Y564" i="4"/>
  <c r="Q564" i="4"/>
  <c r="B564" i="4"/>
  <c r="A564" i="4"/>
  <c r="QX563" i="4"/>
  <c r="FX563" i="4"/>
  <c r="FU563" i="4"/>
  <c r="FT563" i="4"/>
  <c r="FP563" i="4"/>
  <c r="FO563" i="4"/>
  <c r="FN563" i="4"/>
  <c r="FJ563" i="4"/>
  <c r="FY563" i="4" s="1"/>
  <c r="FI563" i="4"/>
  <c r="FH563" i="4"/>
  <c r="FV563" i="4" s="1"/>
  <c r="FG563" i="4"/>
  <c r="FE563" i="4"/>
  <c r="FD563" i="4"/>
  <c r="FS563" i="4" s="1"/>
  <c r="FC563" i="4"/>
  <c r="FR563" i="4" s="1"/>
  <c r="FA563" i="4"/>
  <c r="EZ563" i="4"/>
  <c r="EY563" i="4"/>
  <c r="EX563" i="4"/>
  <c r="EW563" i="4"/>
  <c r="FM563" i="4" s="1"/>
  <c r="EV563" i="4"/>
  <c r="FL563" i="4" s="1"/>
  <c r="EU563" i="4"/>
  <c r="FK563" i="4" s="1"/>
  <c r="EA563" i="4"/>
  <c r="DX563" i="4"/>
  <c r="EB563" i="4" s="1"/>
  <c r="DW563" i="4"/>
  <c r="DV563" i="4" s="1"/>
  <c r="DZ563" i="4" s="1"/>
  <c r="DU563" i="4"/>
  <c r="DL563" i="4"/>
  <c r="DH563" i="4"/>
  <c r="DF563" i="4"/>
  <c r="DA563" i="4"/>
  <c r="CX563" i="4"/>
  <c r="CW563" i="4"/>
  <c r="CU563" i="4"/>
  <c r="DE563" i="4" s="1"/>
  <c r="CO563" i="4"/>
  <c r="CV563" i="4" s="1"/>
  <c r="CG563" i="4"/>
  <c r="BS563" i="4"/>
  <c r="BP563" i="4"/>
  <c r="BO563" i="4"/>
  <c r="BN563" i="4"/>
  <c r="BM563" i="4"/>
  <c r="BL563" i="4"/>
  <c r="BK563" i="4"/>
  <c r="BJ563" i="4"/>
  <c r="BI563" i="4"/>
  <c r="BH563" i="4"/>
  <c r="BG563" i="4"/>
  <c r="BF563" i="4"/>
  <c r="BE563" i="4"/>
  <c r="BD563" i="4"/>
  <c r="BC563" i="4"/>
  <c r="BB563" i="4"/>
  <c r="BA563" i="4"/>
  <c r="AZ563" i="4"/>
  <c r="AY563" i="4"/>
  <c r="AX563" i="4"/>
  <c r="AW563" i="4"/>
  <c r="AV563" i="4"/>
  <c r="Y563" i="4"/>
  <c r="Q563" i="4"/>
  <c r="B563" i="4"/>
  <c r="A563" i="4"/>
  <c r="QX562" i="4"/>
  <c r="FX562" i="4"/>
  <c r="FT562" i="4"/>
  <c r="FS562" i="4"/>
  <c r="FR562" i="4"/>
  <c r="FN562" i="4"/>
  <c r="FM562" i="4"/>
  <c r="FL562" i="4"/>
  <c r="FI562" i="4"/>
  <c r="FH562" i="4"/>
  <c r="FV562" i="4" s="1"/>
  <c r="FG562" i="4"/>
  <c r="FU562" i="4" s="1"/>
  <c r="FE562" i="4"/>
  <c r="FD562" i="4"/>
  <c r="FC562" i="4"/>
  <c r="FA562" i="4"/>
  <c r="FP562" i="4" s="1"/>
  <c r="EZ562" i="4"/>
  <c r="FO562" i="4" s="1"/>
  <c r="EY562" i="4"/>
  <c r="EX562" i="4"/>
  <c r="EW562" i="4"/>
  <c r="EV562" i="4"/>
  <c r="EU562" i="4"/>
  <c r="FK562" i="4" s="1"/>
  <c r="DX562" i="4"/>
  <c r="EB562" i="4" s="1"/>
  <c r="DW562" i="4"/>
  <c r="DV562" i="4" s="1"/>
  <c r="DZ562" i="4" s="1"/>
  <c r="DL562" i="4"/>
  <c r="DH562" i="4"/>
  <c r="DF562" i="4"/>
  <c r="DE562" i="4"/>
  <c r="DA562" i="4"/>
  <c r="CX562" i="4"/>
  <c r="FJ562" i="4" s="1"/>
  <c r="FY562" i="4" s="1"/>
  <c r="CU562" i="4"/>
  <c r="CO562" i="4"/>
  <c r="CW562" i="4" s="1"/>
  <c r="CK562" i="4"/>
  <c r="CG562" i="4"/>
  <c r="BS562" i="4"/>
  <c r="BP562" i="4"/>
  <c r="BO562" i="4"/>
  <c r="BN562" i="4"/>
  <c r="BM562" i="4"/>
  <c r="BL562" i="4"/>
  <c r="BK562" i="4"/>
  <c r="BJ562" i="4"/>
  <c r="BI562" i="4"/>
  <c r="BH562" i="4"/>
  <c r="BG562" i="4"/>
  <c r="BF562" i="4"/>
  <c r="BE562" i="4"/>
  <c r="BD562" i="4"/>
  <c r="BC562" i="4"/>
  <c r="BB562" i="4"/>
  <c r="BA562" i="4"/>
  <c r="AZ562" i="4"/>
  <c r="AY562" i="4"/>
  <c r="AX562" i="4"/>
  <c r="AW562" i="4"/>
  <c r="AV562" i="4"/>
  <c r="Y562" i="4"/>
  <c r="Q562" i="4"/>
  <c r="B562" i="4"/>
  <c r="A562" i="4"/>
  <c r="QX561" i="4"/>
  <c r="FX561" i="4"/>
  <c r="FW561" i="4"/>
  <c r="FV561" i="4"/>
  <c r="FS561" i="4"/>
  <c r="FR561" i="4"/>
  <c r="FM561" i="4"/>
  <c r="FL561" i="4"/>
  <c r="FK561" i="4"/>
  <c r="FI561" i="4"/>
  <c r="FH561" i="4"/>
  <c r="FG561" i="4"/>
  <c r="FU561" i="4" s="1"/>
  <c r="FF561" i="4"/>
  <c r="FE561" i="4"/>
  <c r="FT561" i="4" s="1"/>
  <c r="FD561" i="4"/>
  <c r="FC561" i="4"/>
  <c r="FA561" i="4"/>
  <c r="FP561" i="4" s="1"/>
  <c r="EZ561" i="4"/>
  <c r="FO561" i="4" s="1"/>
  <c r="EY561" i="4"/>
  <c r="EX561" i="4"/>
  <c r="FN561" i="4" s="1"/>
  <c r="EW561" i="4"/>
  <c r="EV561" i="4"/>
  <c r="EU561" i="4"/>
  <c r="EB561" i="4"/>
  <c r="DX561" i="4"/>
  <c r="DW561" i="4"/>
  <c r="EA561" i="4" s="1"/>
  <c r="DV561" i="4"/>
  <c r="DZ561" i="4" s="1"/>
  <c r="DL561" i="4"/>
  <c r="DH561" i="4"/>
  <c r="DG561" i="4"/>
  <c r="DF561" i="4"/>
  <c r="DE561" i="4"/>
  <c r="DA561" i="4"/>
  <c r="CX561" i="4"/>
  <c r="FJ561" i="4" s="1"/>
  <c r="FY561" i="4" s="1"/>
  <c r="CW561" i="4"/>
  <c r="CV561" i="4"/>
  <c r="DY561" i="4" s="1"/>
  <c r="EC561" i="4" s="1"/>
  <c r="CU561" i="4"/>
  <c r="CO561" i="4"/>
  <c r="FB561" i="4" s="1"/>
  <c r="FQ561" i="4" s="1"/>
  <c r="CK561" i="4"/>
  <c r="CG561" i="4"/>
  <c r="BS561" i="4"/>
  <c r="BP561" i="4"/>
  <c r="BO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Y561" i="4"/>
  <c r="Q561" i="4"/>
  <c r="B561" i="4"/>
  <c r="A561" i="4"/>
  <c r="QX560" i="4"/>
  <c r="FX560" i="4"/>
  <c r="FV560" i="4"/>
  <c r="FU560" i="4"/>
  <c r="FR560" i="4"/>
  <c r="FP560" i="4"/>
  <c r="FL560" i="4"/>
  <c r="FK560" i="4"/>
  <c r="FI560" i="4"/>
  <c r="FH560" i="4"/>
  <c r="FG560" i="4"/>
  <c r="FE560" i="4"/>
  <c r="FT560" i="4" s="1"/>
  <c r="FD560" i="4"/>
  <c r="FS560" i="4" s="1"/>
  <c r="FC560" i="4"/>
  <c r="FA560" i="4"/>
  <c r="EZ560" i="4"/>
  <c r="FO560" i="4" s="1"/>
  <c r="EY560" i="4"/>
  <c r="EX560" i="4"/>
  <c r="FN560" i="4" s="1"/>
  <c r="EW560" i="4"/>
  <c r="FM560" i="4" s="1"/>
  <c r="EV560" i="4"/>
  <c r="EU560" i="4"/>
  <c r="EB560" i="4"/>
  <c r="EA560" i="4"/>
  <c r="DX560" i="4"/>
  <c r="DW560" i="4"/>
  <c r="DV560" i="4"/>
  <c r="DZ560" i="4" s="1"/>
  <c r="DU560" i="4"/>
  <c r="DL560" i="4"/>
  <c r="DH560" i="4"/>
  <c r="DF560" i="4"/>
  <c r="DA560" i="4"/>
  <c r="CX560" i="4"/>
  <c r="FJ560" i="4" s="1"/>
  <c r="FY560" i="4" s="1"/>
  <c r="CU560" i="4"/>
  <c r="CO560" i="4"/>
  <c r="CW560" i="4" s="1"/>
  <c r="CK560" i="4"/>
  <c r="CG560" i="4"/>
  <c r="BS560" i="4"/>
  <c r="BP560" i="4"/>
  <c r="BO560" i="4"/>
  <c r="BN560" i="4"/>
  <c r="BM560" i="4"/>
  <c r="BL560" i="4"/>
  <c r="BK560" i="4"/>
  <c r="BJ560" i="4"/>
  <c r="BI560" i="4"/>
  <c r="BH560" i="4"/>
  <c r="BG560" i="4"/>
  <c r="BF560" i="4"/>
  <c r="BE560" i="4"/>
  <c r="BD560" i="4"/>
  <c r="BC560" i="4"/>
  <c r="BB560" i="4"/>
  <c r="BA560" i="4"/>
  <c r="AZ560" i="4"/>
  <c r="AY560" i="4"/>
  <c r="AX560" i="4"/>
  <c r="AW560" i="4"/>
  <c r="AV560" i="4"/>
  <c r="Y560" i="4"/>
  <c r="Q560" i="4"/>
  <c r="B560" i="4"/>
  <c r="A560" i="4"/>
  <c r="QX559" i="4"/>
  <c r="FX559" i="4"/>
  <c r="FW559" i="4"/>
  <c r="FV559" i="4"/>
  <c r="FS559" i="4"/>
  <c r="FR559" i="4"/>
  <c r="FM559" i="4"/>
  <c r="FL559" i="4"/>
  <c r="FK559" i="4"/>
  <c r="FI559" i="4"/>
  <c r="FH559" i="4"/>
  <c r="FG559" i="4"/>
  <c r="FU559" i="4" s="1"/>
  <c r="FF559" i="4"/>
  <c r="FE559" i="4"/>
  <c r="FT559" i="4" s="1"/>
  <c r="FD559" i="4"/>
  <c r="FC559" i="4"/>
  <c r="FA559" i="4"/>
  <c r="FP559" i="4" s="1"/>
  <c r="EZ559" i="4"/>
  <c r="FO559" i="4" s="1"/>
  <c r="EY559" i="4"/>
  <c r="EX559" i="4"/>
  <c r="FN559" i="4" s="1"/>
  <c r="EW559" i="4"/>
  <c r="EV559" i="4"/>
  <c r="EU559" i="4"/>
  <c r="EB559" i="4"/>
  <c r="DX559" i="4"/>
  <c r="DW559" i="4"/>
  <c r="EA559" i="4" s="1"/>
  <c r="DV559" i="4"/>
  <c r="DZ559" i="4" s="1"/>
  <c r="DL559" i="4"/>
  <c r="DH559" i="4"/>
  <c r="DG559" i="4"/>
  <c r="DF559" i="4"/>
  <c r="DE559" i="4"/>
  <c r="DA559" i="4"/>
  <c r="CX559" i="4"/>
  <c r="FJ559" i="4" s="1"/>
  <c r="FY559" i="4" s="1"/>
  <c r="CW559" i="4"/>
  <c r="CV559" i="4"/>
  <c r="DY559" i="4" s="1"/>
  <c r="EC559" i="4" s="1"/>
  <c r="CU559" i="4"/>
  <c r="CO559" i="4"/>
  <c r="FB559" i="4" s="1"/>
  <c r="FQ559" i="4" s="1"/>
  <c r="CK559" i="4"/>
  <c r="CG559" i="4"/>
  <c r="BS559" i="4"/>
  <c r="BR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Q559" i="4"/>
  <c r="AO559" i="4"/>
  <c r="Y559" i="4"/>
  <c r="Q559" i="4"/>
  <c r="B559" i="4"/>
  <c r="A559" i="4"/>
  <c r="QX558" i="4"/>
  <c r="FT558" i="4"/>
  <c r="FS558" i="4"/>
  <c r="FO558" i="4"/>
  <c r="FN558" i="4"/>
  <c r="FM558" i="4"/>
  <c r="FI558" i="4"/>
  <c r="FX558" i="4" s="1"/>
  <c r="FH558" i="4"/>
  <c r="FV558" i="4" s="1"/>
  <c r="FG558" i="4"/>
  <c r="FU558" i="4" s="1"/>
  <c r="FE558" i="4"/>
  <c r="FD558" i="4"/>
  <c r="FC558" i="4"/>
  <c r="FR558" i="4" s="1"/>
  <c r="FA558" i="4"/>
  <c r="FP558" i="4" s="1"/>
  <c r="EZ558" i="4"/>
  <c r="EY558" i="4"/>
  <c r="EX558" i="4"/>
  <c r="EW558" i="4"/>
  <c r="EV558" i="4"/>
  <c r="FL558" i="4" s="1"/>
  <c r="EU558" i="4"/>
  <c r="FK558" i="4" s="1"/>
  <c r="DX558" i="4"/>
  <c r="EB558" i="4" s="1"/>
  <c r="DW558" i="4"/>
  <c r="EA558" i="4" s="1"/>
  <c r="DL558" i="4"/>
  <c r="DH558" i="4"/>
  <c r="DF558" i="4"/>
  <c r="DA558" i="4"/>
  <c r="CX558" i="4"/>
  <c r="FJ558" i="4" s="1"/>
  <c r="FY558" i="4" s="1"/>
  <c r="CU558" i="4"/>
  <c r="DE558" i="4" s="1"/>
  <c r="CO558" i="4"/>
  <c r="CW558" i="4" s="1"/>
  <c r="CK558" i="4"/>
  <c r="CG558" i="4"/>
  <c r="BS558" i="4"/>
  <c r="BP558" i="4"/>
  <c r="BO558" i="4"/>
  <c r="BN558" i="4"/>
  <c r="BM558" i="4"/>
  <c r="BL558" i="4"/>
  <c r="BK558" i="4"/>
  <c r="BJ558" i="4"/>
  <c r="BI558" i="4"/>
  <c r="BH558" i="4"/>
  <c r="BG558" i="4"/>
  <c r="BF558" i="4"/>
  <c r="BE558" i="4"/>
  <c r="BD558" i="4"/>
  <c r="BC558" i="4"/>
  <c r="BB558" i="4"/>
  <c r="BA558" i="4"/>
  <c r="AZ558" i="4"/>
  <c r="AY558" i="4"/>
  <c r="AX558" i="4"/>
  <c r="AW558" i="4"/>
  <c r="AV558" i="4"/>
  <c r="Y558" i="4"/>
  <c r="Q558" i="4"/>
  <c r="B558" i="4"/>
  <c r="A558" i="4"/>
  <c r="QX557" i="4"/>
  <c r="FX557" i="4"/>
  <c r="FT557" i="4"/>
  <c r="FS557" i="4"/>
  <c r="FN557" i="4"/>
  <c r="FM557" i="4"/>
  <c r="FL557" i="4"/>
  <c r="FI557" i="4"/>
  <c r="FG557" i="4"/>
  <c r="FU557" i="4" s="1"/>
  <c r="FE557" i="4"/>
  <c r="FD557" i="4"/>
  <c r="FA557" i="4"/>
  <c r="FP557" i="4" s="1"/>
  <c r="EZ557" i="4"/>
  <c r="FO557" i="4" s="1"/>
  <c r="EY557" i="4"/>
  <c r="EX557" i="4"/>
  <c r="EW557" i="4"/>
  <c r="EV557" i="4"/>
  <c r="EU557" i="4"/>
  <c r="FK557" i="4" s="1"/>
  <c r="DX557" i="4"/>
  <c r="EB557" i="4" s="1"/>
  <c r="DW557" i="4"/>
  <c r="DV557" i="4" s="1"/>
  <c r="DZ557" i="4" s="1"/>
  <c r="DL557" i="4"/>
  <c r="DH557" i="4"/>
  <c r="DF557" i="4"/>
  <c r="DA557" i="4"/>
  <c r="CX557" i="4"/>
  <c r="FJ557" i="4" s="1"/>
  <c r="FY557" i="4" s="1"/>
  <c r="CS557" i="4"/>
  <c r="CV557" i="4" s="1"/>
  <c r="CP557" i="4"/>
  <c r="CW557" i="4" s="1"/>
  <c r="CO557" i="4"/>
  <c r="FB557" i="4" s="1"/>
  <c r="FQ557" i="4" s="1"/>
  <c r="CK557" i="4"/>
  <c r="CG557" i="4"/>
  <c r="BS557" i="4"/>
  <c r="BP557" i="4"/>
  <c r="BO557" i="4"/>
  <c r="BN557" i="4"/>
  <c r="BM557" i="4"/>
  <c r="BL557" i="4"/>
  <c r="BK557" i="4"/>
  <c r="BJ557" i="4"/>
  <c r="BI557" i="4"/>
  <c r="BH557" i="4"/>
  <c r="BG557" i="4"/>
  <c r="BF557" i="4"/>
  <c r="BE557" i="4"/>
  <c r="BD557" i="4"/>
  <c r="BC557" i="4"/>
  <c r="BB557" i="4"/>
  <c r="BA557" i="4"/>
  <c r="AZ557" i="4"/>
  <c r="AY557" i="4"/>
  <c r="AX557" i="4"/>
  <c r="AW557" i="4"/>
  <c r="AV557" i="4"/>
  <c r="Y557" i="4"/>
  <c r="Q557" i="4"/>
  <c r="B557" i="4"/>
  <c r="A557" i="4"/>
  <c r="QX556" i="4"/>
  <c r="FT556" i="4"/>
  <c r="FS556" i="4"/>
  <c r="FO556" i="4"/>
  <c r="FN556" i="4"/>
  <c r="FM556" i="4"/>
  <c r="FI556" i="4"/>
  <c r="FX556" i="4" s="1"/>
  <c r="FH556" i="4"/>
  <c r="FV556" i="4" s="1"/>
  <c r="FG556" i="4"/>
  <c r="FU556" i="4" s="1"/>
  <c r="FE556" i="4"/>
  <c r="FD556" i="4"/>
  <c r="FC556" i="4"/>
  <c r="FR556" i="4" s="1"/>
  <c r="FA556" i="4"/>
  <c r="FP556" i="4" s="1"/>
  <c r="EZ556" i="4"/>
  <c r="EY556" i="4"/>
  <c r="EX556" i="4"/>
  <c r="EW556" i="4"/>
  <c r="EV556" i="4"/>
  <c r="FL556" i="4" s="1"/>
  <c r="EU556" i="4"/>
  <c r="FK556" i="4" s="1"/>
  <c r="DX556" i="4"/>
  <c r="EB556" i="4" s="1"/>
  <c r="DW556" i="4"/>
  <c r="EA556" i="4" s="1"/>
  <c r="DL556" i="4"/>
  <c r="DH556" i="4"/>
  <c r="DF556" i="4"/>
  <c r="DA556" i="4"/>
  <c r="CX556" i="4"/>
  <c r="FJ556" i="4" s="1"/>
  <c r="FY556" i="4" s="1"/>
  <c r="CU556" i="4"/>
  <c r="DE556" i="4" s="1"/>
  <c r="CO556" i="4"/>
  <c r="CW556" i="4" s="1"/>
  <c r="CK556" i="4"/>
  <c r="CG556" i="4"/>
  <c r="BS556" i="4"/>
  <c r="BP556" i="4"/>
  <c r="BO556" i="4"/>
  <c r="BN556" i="4"/>
  <c r="BM556" i="4"/>
  <c r="BL556" i="4"/>
  <c r="BK556" i="4"/>
  <c r="BJ556" i="4"/>
  <c r="BI556" i="4"/>
  <c r="BH556" i="4"/>
  <c r="BG556" i="4"/>
  <c r="BF556" i="4"/>
  <c r="BE556" i="4"/>
  <c r="BD556" i="4"/>
  <c r="BC556" i="4"/>
  <c r="BB556" i="4"/>
  <c r="BA556" i="4"/>
  <c r="AZ556" i="4"/>
  <c r="AY556" i="4"/>
  <c r="AX556" i="4"/>
  <c r="AW556" i="4"/>
  <c r="AV556" i="4"/>
  <c r="Y556" i="4"/>
  <c r="Q556" i="4"/>
  <c r="B556" i="4"/>
  <c r="A556" i="4"/>
  <c r="MF555" i="4"/>
  <c r="FX555" i="4"/>
  <c r="FT555" i="4"/>
  <c r="FS555" i="4"/>
  <c r="FR555" i="4"/>
  <c r="FN555" i="4"/>
  <c r="FM555" i="4"/>
  <c r="FL555" i="4"/>
  <c r="FI555" i="4"/>
  <c r="FH555" i="4"/>
  <c r="FV555" i="4" s="1"/>
  <c r="FG555" i="4"/>
  <c r="FU555" i="4" s="1"/>
  <c r="FE555" i="4"/>
  <c r="FD555" i="4"/>
  <c r="FC555" i="4"/>
  <c r="FA555" i="4"/>
  <c r="FP555" i="4" s="1"/>
  <c r="EZ555" i="4"/>
  <c r="FO555" i="4" s="1"/>
  <c r="EY555" i="4"/>
  <c r="EX555" i="4"/>
  <c r="EW555" i="4"/>
  <c r="EV555" i="4"/>
  <c r="EU555" i="4"/>
  <c r="FK555" i="4" s="1"/>
  <c r="DX555" i="4"/>
  <c r="EB555" i="4" s="1"/>
  <c r="DW555" i="4"/>
  <c r="DV555" i="4" s="1"/>
  <c r="DZ555" i="4" s="1"/>
  <c r="DL555" i="4"/>
  <c r="DH555" i="4"/>
  <c r="DF555" i="4"/>
  <c r="DE555" i="4"/>
  <c r="DA555" i="4"/>
  <c r="CX555" i="4"/>
  <c r="FJ555" i="4" s="1"/>
  <c r="FY555" i="4" s="1"/>
  <c r="CU555" i="4"/>
  <c r="CO555" i="4"/>
  <c r="CW555" i="4" s="1"/>
  <c r="CK555" i="4"/>
  <c r="CG555" i="4"/>
  <c r="BS555" i="4"/>
  <c r="BP555" i="4"/>
  <c r="BO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Y555" i="4"/>
  <c r="Q555" i="4"/>
  <c r="B555" i="4"/>
  <c r="A555" i="4"/>
  <c r="QX554" i="4"/>
  <c r="FX554" i="4"/>
  <c r="FW554" i="4"/>
  <c r="FV554" i="4"/>
  <c r="FS554" i="4"/>
  <c r="FR554" i="4"/>
  <c r="FM554" i="4"/>
  <c r="FL554" i="4"/>
  <c r="FK554" i="4"/>
  <c r="FI554" i="4"/>
  <c r="FH554" i="4"/>
  <c r="FG554" i="4"/>
  <c r="FU554" i="4" s="1"/>
  <c r="FF554" i="4"/>
  <c r="FE554" i="4"/>
  <c r="FT554" i="4" s="1"/>
  <c r="FD554" i="4"/>
  <c r="FC554" i="4"/>
  <c r="FA554" i="4"/>
  <c r="FP554" i="4" s="1"/>
  <c r="EZ554" i="4"/>
  <c r="FO554" i="4" s="1"/>
  <c r="EY554" i="4"/>
  <c r="EX554" i="4"/>
  <c r="FN554" i="4" s="1"/>
  <c r="EW554" i="4"/>
  <c r="EV554" i="4"/>
  <c r="EU554" i="4"/>
  <c r="EB554" i="4"/>
  <c r="DX554" i="4"/>
  <c r="DW554" i="4"/>
  <c r="EA554" i="4" s="1"/>
  <c r="DV554" i="4"/>
  <c r="DZ554" i="4" s="1"/>
  <c r="DL554" i="4"/>
  <c r="DH554" i="4"/>
  <c r="DG554" i="4"/>
  <c r="DF554" i="4"/>
  <c r="DE554" i="4"/>
  <c r="DA554" i="4"/>
  <c r="CX554" i="4"/>
  <c r="FJ554" i="4" s="1"/>
  <c r="FY554" i="4" s="1"/>
  <c r="CW554" i="4"/>
  <c r="CV554" i="4"/>
  <c r="DY554" i="4" s="1"/>
  <c r="EC554" i="4" s="1"/>
  <c r="CU554" i="4"/>
  <c r="CO554" i="4"/>
  <c r="FB554" i="4" s="1"/>
  <c r="FQ554" i="4" s="1"/>
  <c r="CK554" i="4"/>
  <c r="CG554" i="4"/>
  <c r="BS554" i="4"/>
  <c r="BP554" i="4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Y554" i="4"/>
  <c r="Q554" i="4"/>
  <c r="B554" i="4"/>
  <c r="A554" i="4"/>
  <c r="QX553" i="4"/>
  <c r="FX553" i="4"/>
  <c r="FV553" i="4"/>
  <c r="FU553" i="4"/>
  <c r="FR553" i="4"/>
  <c r="FP553" i="4"/>
  <c r="FL553" i="4"/>
  <c r="FK553" i="4"/>
  <c r="FJ553" i="4"/>
  <c r="FY553" i="4" s="1"/>
  <c r="FI553" i="4"/>
  <c r="FH553" i="4"/>
  <c r="FG553" i="4"/>
  <c r="FE553" i="4"/>
  <c r="FT553" i="4" s="1"/>
  <c r="FD553" i="4"/>
  <c r="FS553" i="4" s="1"/>
  <c r="FC553" i="4"/>
  <c r="FA553" i="4"/>
  <c r="EZ553" i="4"/>
  <c r="FO553" i="4" s="1"/>
  <c r="EY553" i="4"/>
  <c r="EX553" i="4"/>
  <c r="FN553" i="4" s="1"/>
  <c r="EW553" i="4"/>
  <c r="FM553" i="4" s="1"/>
  <c r="EV553" i="4"/>
  <c r="EU553" i="4"/>
  <c r="EB553" i="4"/>
  <c r="EA553" i="4"/>
  <c r="DX553" i="4"/>
  <c r="DW553" i="4"/>
  <c r="DV553" i="4" s="1"/>
  <c r="DZ553" i="4" s="1"/>
  <c r="DU553" i="4"/>
  <c r="DL553" i="4"/>
  <c r="DH553" i="4"/>
  <c r="DF553" i="4"/>
  <c r="DE553" i="4"/>
  <c r="DA553" i="4"/>
  <c r="CX553" i="4"/>
  <c r="CW553" i="4"/>
  <c r="CV553" i="4"/>
  <c r="DY553" i="4" s="1"/>
  <c r="EC553" i="4" s="1"/>
  <c r="CU553" i="4"/>
  <c r="CO553" i="4"/>
  <c r="FB553" i="4" s="1"/>
  <c r="FQ553" i="4" s="1"/>
  <c r="CG553" i="4"/>
  <c r="BS553" i="4"/>
  <c r="BP553" i="4"/>
  <c r="BO553" i="4"/>
  <c r="BN553" i="4"/>
  <c r="BM553" i="4"/>
  <c r="BL553" i="4"/>
  <c r="BK553" i="4"/>
  <c r="BJ553" i="4"/>
  <c r="BI553" i="4"/>
  <c r="BH553" i="4"/>
  <c r="BG553" i="4"/>
  <c r="BF553" i="4"/>
  <c r="BE553" i="4"/>
  <c r="BD553" i="4"/>
  <c r="BC553" i="4"/>
  <c r="BB553" i="4"/>
  <c r="BA553" i="4"/>
  <c r="AZ553" i="4"/>
  <c r="AY553" i="4"/>
  <c r="AX553" i="4"/>
  <c r="AW553" i="4"/>
  <c r="AV553" i="4"/>
  <c r="Y553" i="4"/>
  <c r="Q553" i="4"/>
  <c r="B553" i="4"/>
  <c r="A553" i="4"/>
  <c r="QX552" i="4"/>
  <c r="FX552" i="4"/>
  <c r="FU552" i="4"/>
  <c r="FT552" i="4"/>
  <c r="FP552" i="4"/>
  <c r="FO552" i="4"/>
  <c r="FN552" i="4"/>
  <c r="FJ552" i="4"/>
  <c r="FY552" i="4" s="1"/>
  <c r="FI552" i="4"/>
  <c r="FH552" i="4"/>
  <c r="FV552" i="4" s="1"/>
  <c r="FG552" i="4"/>
  <c r="FE552" i="4"/>
  <c r="FD552" i="4"/>
  <c r="FS552" i="4" s="1"/>
  <c r="FC552" i="4"/>
  <c r="FR552" i="4" s="1"/>
  <c r="FA552" i="4"/>
  <c r="EZ552" i="4"/>
  <c r="EY552" i="4"/>
  <c r="EX552" i="4"/>
  <c r="EW552" i="4"/>
  <c r="FM552" i="4" s="1"/>
  <c r="EV552" i="4"/>
  <c r="FL552" i="4" s="1"/>
  <c r="EU552" i="4"/>
  <c r="FK552" i="4" s="1"/>
  <c r="EA552" i="4"/>
  <c r="DX552" i="4"/>
  <c r="EB552" i="4" s="1"/>
  <c r="DW552" i="4"/>
  <c r="DV552" i="4" s="1"/>
  <c r="DZ552" i="4" s="1"/>
  <c r="DU552" i="4"/>
  <c r="DL552" i="4"/>
  <c r="DH552" i="4"/>
  <c r="DF552" i="4"/>
  <c r="DA552" i="4"/>
  <c r="CX552" i="4"/>
  <c r="CU552" i="4"/>
  <c r="DE552" i="4" s="1"/>
  <c r="CO552" i="4"/>
  <c r="CW552" i="4" s="1"/>
  <c r="CG552" i="4"/>
  <c r="BS552" i="4"/>
  <c r="BP552" i="4"/>
  <c r="BO552" i="4"/>
  <c r="BN552" i="4"/>
  <c r="BM552" i="4"/>
  <c r="BL552" i="4"/>
  <c r="BK552" i="4"/>
  <c r="BJ552" i="4"/>
  <c r="BI552" i="4"/>
  <c r="BH552" i="4"/>
  <c r="BG552" i="4"/>
  <c r="BF552" i="4"/>
  <c r="BE552" i="4"/>
  <c r="BD552" i="4"/>
  <c r="BC552" i="4"/>
  <c r="BB552" i="4"/>
  <c r="BA552" i="4"/>
  <c r="AZ552" i="4"/>
  <c r="AY552" i="4"/>
  <c r="AX552" i="4"/>
  <c r="AW552" i="4"/>
  <c r="AV552" i="4"/>
  <c r="Y552" i="4"/>
  <c r="Q552" i="4"/>
  <c r="B552" i="4"/>
  <c r="A552" i="4"/>
  <c r="QX551" i="4"/>
  <c r="FX551" i="4"/>
  <c r="FT551" i="4"/>
  <c r="FS551" i="4"/>
  <c r="FR551" i="4"/>
  <c r="FN551" i="4"/>
  <c r="FM551" i="4"/>
  <c r="FL551" i="4"/>
  <c r="FI551" i="4"/>
  <c r="FH551" i="4"/>
  <c r="FV551" i="4" s="1"/>
  <c r="FG551" i="4"/>
  <c r="FU551" i="4" s="1"/>
  <c r="FE551" i="4"/>
  <c r="FD551" i="4"/>
  <c r="FC551" i="4"/>
  <c r="FA551" i="4"/>
  <c r="FP551" i="4" s="1"/>
  <c r="EZ551" i="4"/>
  <c r="FO551" i="4" s="1"/>
  <c r="EY551" i="4"/>
  <c r="EX551" i="4"/>
  <c r="EW551" i="4"/>
  <c r="EV551" i="4"/>
  <c r="EU551" i="4"/>
  <c r="FK551" i="4" s="1"/>
  <c r="DX551" i="4"/>
  <c r="EB551" i="4" s="1"/>
  <c r="DW551" i="4"/>
  <c r="DV551" i="4" s="1"/>
  <c r="DZ551" i="4" s="1"/>
  <c r="DL551" i="4"/>
  <c r="DH551" i="4"/>
  <c r="DF551" i="4"/>
  <c r="DE551" i="4"/>
  <c r="DA551" i="4"/>
  <c r="CX551" i="4"/>
  <c r="FJ551" i="4" s="1"/>
  <c r="FY551" i="4" s="1"/>
  <c r="CU551" i="4"/>
  <c r="CO551" i="4"/>
  <c r="CW551" i="4" s="1"/>
  <c r="CK551" i="4"/>
  <c r="BS551" i="4"/>
  <c r="BP551" i="4"/>
  <c r="BO551" i="4"/>
  <c r="BN551" i="4"/>
  <c r="BM551" i="4"/>
  <c r="BL551" i="4"/>
  <c r="BK551" i="4"/>
  <c r="BJ551" i="4"/>
  <c r="BI551" i="4"/>
  <c r="BH551" i="4"/>
  <c r="BG551" i="4"/>
  <c r="BF551" i="4"/>
  <c r="BE551" i="4"/>
  <c r="BD551" i="4"/>
  <c r="BC551" i="4"/>
  <c r="BB551" i="4"/>
  <c r="BA551" i="4"/>
  <c r="AZ551" i="4"/>
  <c r="AY551" i="4"/>
  <c r="AX551" i="4"/>
  <c r="AW551" i="4"/>
  <c r="AV551" i="4"/>
  <c r="Y551" i="4"/>
  <c r="Q551" i="4"/>
  <c r="B551" i="4"/>
  <c r="A551" i="4"/>
  <c r="QX550" i="4"/>
  <c r="FX550" i="4"/>
  <c r="FV550" i="4"/>
  <c r="FU550" i="4"/>
  <c r="FR550" i="4"/>
  <c r="FP550" i="4"/>
  <c r="FL550" i="4"/>
  <c r="FK550" i="4"/>
  <c r="FJ550" i="4"/>
  <c r="FY550" i="4" s="1"/>
  <c r="FI550" i="4"/>
  <c r="FH550" i="4"/>
  <c r="FG550" i="4"/>
  <c r="FE550" i="4"/>
  <c r="FT550" i="4" s="1"/>
  <c r="FD550" i="4"/>
  <c r="FS550" i="4" s="1"/>
  <c r="FC550" i="4"/>
  <c r="FA550" i="4"/>
  <c r="EZ550" i="4"/>
  <c r="FO550" i="4" s="1"/>
  <c r="EY550" i="4"/>
  <c r="EX550" i="4"/>
  <c r="FN550" i="4" s="1"/>
  <c r="EW550" i="4"/>
  <c r="FM550" i="4" s="1"/>
  <c r="EV550" i="4"/>
  <c r="EU550" i="4"/>
  <c r="EB550" i="4"/>
  <c r="EA550" i="4"/>
  <c r="DX550" i="4"/>
  <c r="DW550" i="4"/>
  <c r="DV550" i="4" s="1"/>
  <c r="DZ550" i="4" s="1"/>
  <c r="DU550" i="4"/>
  <c r="DL550" i="4"/>
  <c r="DH550" i="4"/>
  <c r="DF550" i="4"/>
  <c r="DE550" i="4"/>
  <c r="DA550" i="4"/>
  <c r="CX550" i="4"/>
  <c r="CW550" i="4"/>
  <c r="CV550" i="4"/>
  <c r="DY550" i="4" s="1"/>
  <c r="EC550" i="4" s="1"/>
  <c r="CU550" i="4"/>
  <c r="CO550" i="4"/>
  <c r="FB550" i="4" s="1"/>
  <c r="FQ550" i="4" s="1"/>
  <c r="CG550" i="4"/>
  <c r="BS550" i="4"/>
  <c r="BP550" i="4"/>
  <c r="BO550" i="4"/>
  <c r="BN550" i="4"/>
  <c r="BM550" i="4"/>
  <c r="BL550" i="4"/>
  <c r="BK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Y550" i="4"/>
  <c r="Q550" i="4"/>
  <c r="B550" i="4"/>
  <c r="A550" i="4"/>
  <c r="QX549" i="4"/>
  <c r="FU549" i="4"/>
  <c r="FT549" i="4"/>
  <c r="FP549" i="4"/>
  <c r="FO549" i="4"/>
  <c r="FN549" i="4"/>
  <c r="FJ549" i="4"/>
  <c r="FY549" i="4" s="1"/>
  <c r="FI549" i="4"/>
  <c r="FX549" i="4" s="1"/>
  <c r="FH549" i="4"/>
  <c r="FV549" i="4" s="1"/>
  <c r="FG549" i="4"/>
  <c r="FE549" i="4"/>
  <c r="FD549" i="4"/>
  <c r="FS549" i="4" s="1"/>
  <c r="FC549" i="4"/>
  <c r="FR549" i="4" s="1"/>
  <c r="FA549" i="4"/>
  <c r="EZ549" i="4"/>
  <c r="EY549" i="4"/>
  <c r="EX549" i="4"/>
  <c r="EW549" i="4"/>
  <c r="FM549" i="4" s="1"/>
  <c r="EV549" i="4"/>
  <c r="FL549" i="4" s="1"/>
  <c r="EU549" i="4"/>
  <c r="FK549" i="4" s="1"/>
  <c r="EA549" i="4"/>
  <c r="DX549" i="4"/>
  <c r="EB549" i="4" s="1"/>
  <c r="DW549" i="4"/>
  <c r="DV549" i="4" s="1"/>
  <c r="DZ549" i="4" s="1"/>
  <c r="DU549" i="4"/>
  <c r="DL549" i="4"/>
  <c r="DH549" i="4"/>
  <c r="DF549" i="4"/>
  <c r="DA549" i="4"/>
  <c r="CX549" i="4"/>
  <c r="CU549" i="4"/>
  <c r="DE549" i="4" s="1"/>
  <c r="CO549" i="4"/>
  <c r="CW549" i="4" s="1"/>
  <c r="CG549" i="4"/>
  <c r="BS549" i="4"/>
  <c r="BP549" i="4"/>
  <c r="BO549" i="4"/>
  <c r="BN549" i="4"/>
  <c r="BM549" i="4"/>
  <c r="BL549" i="4"/>
  <c r="BK549" i="4"/>
  <c r="BJ549" i="4"/>
  <c r="BI549" i="4"/>
  <c r="BH549" i="4"/>
  <c r="BG549" i="4"/>
  <c r="BF549" i="4"/>
  <c r="BE549" i="4"/>
  <c r="BD549" i="4"/>
  <c r="BC549" i="4"/>
  <c r="BB549" i="4"/>
  <c r="BA549" i="4"/>
  <c r="AZ549" i="4"/>
  <c r="AY549" i="4"/>
  <c r="AX549" i="4"/>
  <c r="AW549" i="4"/>
  <c r="AV549" i="4"/>
  <c r="Y549" i="4"/>
  <c r="Q549" i="4"/>
  <c r="B549" i="4"/>
  <c r="A549" i="4"/>
  <c r="QX548" i="4"/>
  <c r="FX548" i="4"/>
  <c r="FT548" i="4"/>
  <c r="FS548" i="4"/>
  <c r="FN548" i="4"/>
  <c r="FM548" i="4"/>
  <c r="FL548" i="4"/>
  <c r="FI548" i="4"/>
  <c r="FH548" i="4"/>
  <c r="FV548" i="4" s="1"/>
  <c r="FG548" i="4"/>
  <c r="FU548" i="4" s="1"/>
  <c r="FE548" i="4"/>
  <c r="FD548" i="4"/>
  <c r="FA548" i="4"/>
  <c r="FP548" i="4" s="1"/>
  <c r="EZ548" i="4"/>
  <c r="FO548" i="4" s="1"/>
  <c r="EY548" i="4"/>
  <c r="EX548" i="4"/>
  <c r="EW548" i="4"/>
  <c r="EV548" i="4"/>
  <c r="EU548" i="4"/>
  <c r="FK548" i="4" s="1"/>
  <c r="DX548" i="4"/>
  <c r="EB548" i="4" s="1"/>
  <c r="DW548" i="4"/>
  <c r="DV548" i="4" s="1"/>
  <c r="DL548" i="4"/>
  <c r="DH548" i="4"/>
  <c r="DF548" i="4"/>
  <c r="DE548" i="4"/>
  <c r="DA548" i="4"/>
  <c r="CX548" i="4"/>
  <c r="FJ548" i="4" s="1"/>
  <c r="FY548" i="4" s="1"/>
  <c r="CU548" i="4"/>
  <c r="CP548" i="4"/>
  <c r="BS548" i="4"/>
  <c r="BR548" i="4"/>
  <c r="BP548" i="4"/>
  <c r="BO548" i="4"/>
  <c r="BN548" i="4"/>
  <c r="BM548" i="4"/>
  <c r="BL548" i="4"/>
  <c r="BK548" i="4"/>
  <c r="BJ548" i="4"/>
  <c r="BI548" i="4"/>
  <c r="BH548" i="4"/>
  <c r="BG548" i="4"/>
  <c r="BF548" i="4"/>
  <c r="BE548" i="4"/>
  <c r="BD548" i="4"/>
  <c r="BC548" i="4"/>
  <c r="BB548" i="4"/>
  <c r="BA548" i="4"/>
  <c r="AZ548" i="4"/>
  <c r="AY548" i="4"/>
  <c r="AX548" i="4"/>
  <c r="AW548" i="4"/>
  <c r="AV548" i="4"/>
  <c r="Y548" i="4"/>
  <c r="Q548" i="4"/>
  <c r="B548" i="4"/>
  <c r="A548" i="4"/>
  <c r="QX547" i="4"/>
  <c r="FX547" i="4"/>
  <c r="FW547" i="4"/>
  <c r="FV547" i="4"/>
  <c r="FS547" i="4"/>
  <c r="FR547" i="4"/>
  <c r="FM547" i="4"/>
  <c r="FL547" i="4"/>
  <c r="FK547" i="4"/>
  <c r="FI547" i="4"/>
  <c r="FH547" i="4"/>
  <c r="FG547" i="4"/>
  <c r="FU547" i="4" s="1"/>
  <c r="FF547" i="4"/>
  <c r="FE547" i="4"/>
  <c r="FT547" i="4" s="1"/>
  <c r="FD547" i="4"/>
  <c r="FC547" i="4"/>
  <c r="FA547" i="4"/>
  <c r="FP547" i="4" s="1"/>
  <c r="EZ547" i="4"/>
  <c r="FO547" i="4" s="1"/>
  <c r="EY547" i="4"/>
  <c r="EX547" i="4"/>
  <c r="FN547" i="4" s="1"/>
  <c r="EW547" i="4"/>
  <c r="EV547" i="4"/>
  <c r="EU547" i="4"/>
  <c r="EB547" i="4"/>
  <c r="DX547" i="4"/>
  <c r="DW547" i="4"/>
  <c r="EA547" i="4" s="1"/>
  <c r="DV547" i="4"/>
  <c r="DZ547" i="4" s="1"/>
  <c r="DL547" i="4"/>
  <c r="DH547" i="4"/>
  <c r="DG547" i="4"/>
  <c r="DF547" i="4"/>
  <c r="DE547" i="4"/>
  <c r="DA547" i="4"/>
  <c r="CX547" i="4"/>
  <c r="FJ547" i="4" s="1"/>
  <c r="FY547" i="4" s="1"/>
  <c r="CW547" i="4"/>
  <c r="CV547" i="4"/>
  <c r="DY547" i="4" s="1"/>
  <c r="EC547" i="4" s="1"/>
  <c r="CU547" i="4"/>
  <c r="CO547" i="4"/>
  <c r="FB547" i="4" s="1"/>
  <c r="FQ547" i="4" s="1"/>
  <c r="CG547" i="4"/>
  <c r="BS547" i="4"/>
  <c r="BP547" i="4"/>
  <c r="BO547" i="4"/>
  <c r="BN547" i="4"/>
  <c r="BM547" i="4"/>
  <c r="BL547" i="4"/>
  <c r="BK547" i="4"/>
  <c r="BJ547" i="4"/>
  <c r="BI547" i="4"/>
  <c r="BH547" i="4"/>
  <c r="BG547" i="4"/>
  <c r="BF547" i="4"/>
  <c r="BE547" i="4"/>
  <c r="BD547" i="4"/>
  <c r="BC547" i="4"/>
  <c r="BB547" i="4"/>
  <c r="BA547" i="4"/>
  <c r="AZ547" i="4"/>
  <c r="AY547" i="4"/>
  <c r="AX547" i="4"/>
  <c r="AW547" i="4"/>
  <c r="AV547" i="4"/>
  <c r="Y547" i="4"/>
  <c r="Q547" i="4"/>
  <c r="B547" i="4"/>
  <c r="A547" i="4"/>
  <c r="QX546" i="4"/>
  <c r="FX546" i="4"/>
  <c r="FV546" i="4"/>
  <c r="FU546" i="4"/>
  <c r="FP546" i="4"/>
  <c r="FO546" i="4"/>
  <c r="FK546" i="4"/>
  <c r="FJ546" i="4"/>
  <c r="FY546" i="4" s="1"/>
  <c r="FI546" i="4"/>
  <c r="FH546" i="4"/>
  <c r="FG546" i="4"/>
  <c r="FE546" i="4"/>
  <c r="FT546" i="4" s="1"/>
  <c r="FD546" i="4"/>
  <c r="FS546" i="4" s="1"/>
  <c r="FC546" i="4"/>
  <c r="FR546" i="4" s="1"/>
  <c r="FA546" i="4"/>
  <c r="EZ546" i="4"/>
  <c r="EY546" i="4"/>
  <c r="EX546" i="4"/>
  <c r="FN546" i="4" s="1"/>
  <c r="EW546" i="4"/>
  <c r="FM546" i="4" s="1"/>
  <c r="EV546" i="4"/>
  <c r="FL546" i="4" s="1"/>
  <c r="EU546" i="4"/>
  <c r="EB546" i="4"/>
  <c r="EA546" i="4"/>
  <c r="DZ546" i="4"/>
  <c r="DX546" i="4"/>
  <c r="DW546" i="4"/>
  <c r="DV546" i="4"/>
  <c r="DU546" i="4"/>
  <c r="DL546" i="4"/>
  <c r="DH546" i="4"/>
  <c r="DF546" i="4"/>
  <c r="DA546" i="4"/>
  <c r="CX546" i="4"/>
  <c r="CW546" i="4"/>
  <c r="CV546" i="4"/>
  <c r="DY546" i="4" s="1"/>
  <c r="EC546" i="4" s="1"/>
  <c r="CU546" i="4"/>
  <c r="DE546" i="4" s="1"/>
  <c r="CO546" i="4"/>
  <c r="FB546" i="4" s="1"/>
  <c r="FQ546" i="4" s="1"/>
  <c r="CG546" i="4"/>
  <c r="BS546" i="4"/>
  <c r="BP546" i="4"/>
  <c r="BO546" i="4"/>
  <c r="BN546" i="4"/>
  <c r="BM546" i="4"/>
  <c r="BL546" i="4"/>
  <c r="BK546" i="4"/>
  <c r="BJ546" i="4"/>
  <c r="BI546" i="4"/>
  <c r="BH546" i="4"/>
  <c r="BG546" i="4"/>
  <c r="BF546" i="4"/>
  <c r="BE546" i="4"/>
  <c r="BD546" i="4"/>
  <c r="BC546" i="4"/>
  <c r="BB546" i="4"/>
  <c r="BA546" i="4"/>
  <c r="AZ546" i="4"/>
  <c r="AY546" i="4"/>
  <c r="AX546" i="4"/>
  <c r="AW546" i="4"/>
  <c r="AV546" i="4"/>
  <c r="Y546" i="4"/>
  <c r="Q546" i="4"/>
  <c r="B546" i="4"/>
  <c r="A546" i="4"/>
  <c r="QX545" i="4"/>
  <c r="FT545" i="4"/>
  <c r="FS545" i="4"/>
  <c r="FO545" i="4"/>
  <c r="FN545" i="4"/>
  <c r="FM545" i="4"/>
  <c r="FI545" i="4"/>
  <c r="FX545" i="4" s="1"/>
  <c r="FH545" i="4"/>
  <c r="FV545" i="4" s="1"/>
  <c r="FG545" i="4"/>
  <c r="FU545" i="4" s="1"/>
  <c r="FE545" i="4"/>
  <c r="FD545" i="4"/>
  <c r="FC545" i="4"/>
  <c r="FR545" i="4" s="1"/>
  <c r="FA545" i="4"/>
  <c r="FP545" i="4" s="1"/>
  <c r="EZ545" i="4"/>
  <c r="EY545" i="4"/>
  <c r="EX545" i="4"/>
  <c r="EW545" i="4"/>
  <c r="EV545" i="4"/>
  <c r="FL545" i="4" s="1"/>
  <c r="EU545" i="4"/>
  <c r="FK545" i="4" s="1"/>
  <c r="DX545" i="4"/>
  <c r="EB545" i="4" s="1"/>
  <c r="DW545" i="4"/>
  <c r="EA545" i="4" s="1"/>
  <c r="DL545" i="4"/>
  <c r="DH545" i="4"/>
  <c r="DF545" i="4"/>
  <c r="DA545" i="4"/>
  <c r="CX545" i="4"/>
  <c r="FJ545" i="4" s="1"/>
  <c r="FY545" i="4" s="1"/>
  <c r="CU545" i="4"/>
  <c r="DE545" i="4" s="1"/>
  <c r="CO545" i="4"/>
  <c r="CW545" i="4" s="1"/>
  <c r="CG545" i="4"/>
  <c r="BS545" i="4"/>
  <c r="BP545" i="4"/>
  <c r="BO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Y545" i="4"/>
  <c r="Q545" i="4"/>
  <c r="B545" i="4"/>
  <c r="A545" i="4"/>
  <c r="QX544" i="4"/>
  <c r="FW544" i="4"/>
  <c r="FV544" i="4"/>
  <c r="FS544" i="4"/>
  <c r="FO544" i="4"/>
  <c r="FM544" i="4"/>
  <c r="FL544" i="4"/>
  <c r="FK544" i="4"/>
  <c r="FI544" i="4"/>
  <c r="FX544" i="4" s="1"/>
  <c r="FH544" i="4"/>
  <c r="FG544" i="4"/>
  <c r="FU544" i="4" s="1"/>
  <c r="FF544" i="4"/>
  <c r="FE544" i="4"/>
  <c r="FT544" i="4" s="1"/>
  <c r="FD544" i="4"/>
  <c r="FC544" i="4"/>
  <c r="FR544" i="4" s="1"/>
  <c r="FA544" i="4"/>
  <c r="FP544" i="4" s="1"/>
  <c r="EZ544" i="4"/>
  <c r="EY544" i="4"/>
  <c r="EX544" i="4"/>
  <c r="FN544" i="4" s="1"/>
  <c r="EW544" i="4"/>
  <c r="EV544" i="4"/>
  <c r="EU544" i="4"/>
  <c r="EB544" i="4"/>
  <c r="DX544" i="4"/>
  <c r="DW544" i="4"/>
  <c r="EA544" i="4" s="1"/>
  <c r="DV544" i="4"/>
  <c r="DZ544" i="4" s="1"/>
  <c r="DL544" i="4"/>
  <c r="DH544" i="4"/>
  <c r="DG544" i="4"/>
  <c r="DF544" i="4"/>
  <c r="DE544" i="4"/>
  <c r="DA544" i="4"/>
  <c r="CX544" i="4"/>
  <c r="FJ544" i="4" s="1"/>
  <c r="FY544" i="4" s="1"/>
  <c r="CW544" i="4"/>
  <c r="CV544" i="4"/>
  <c r="DY544" i="4" s="1"/>
  <c r="EC544" i="4" s="1"/>
  <c r="CU544" i="4"/>
  <c r="CO544" i="4"/>
  <c r="FB544" i="4" s="1"/>
  <c r="FQ544" i="4" s="1"/>
  <c r="CG544" i="4"/>
  <c r="BS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C544" i="4"/>
  <c r="BB544" i="4"/>
  <c r="BA544" i="4"/>
  <c r="AZ544" i="4"/>
  <c r="AY544" i="4"/>
  <c r="AX544" i="4"/>
  <c r="AW544" i="4"/>
  <c r="AV544" i="4"/>
  <c r="Y544" i="4"/>
  <c r="Q544" i="4"/>
  <c r="B544" i="4"/>
  <c r="A544" i="4"/>
  <c r="QX543" i="4"/>
  <c r="FY543" i="4"/>
  <c r="FX543" i="4"/>
  <c r="FV543" i="4"/>
  <c r="FU543" i="4"/>
  <c r="FS543" i="4"/>
  <c r="FO543" i="4"/>
  <c r="FK543" i="4"/>
  <c r="FJ543" i="4"/>
  <c r="FI543" i="4"/>
  <c r="FH543" i="4"/>
  <c r="FG543" i="4"/>
  <c r="FE543" i="4"/>
  <c r="FT543" i="4" s="1"/>
  <c r="FD543" i="4"/>
  <c r="FC543" i="4"/>
  <c r="FR543" i="4" s="1"/>
  <c r="FA543" i="4"/>
  <c r="FP543" i="4" s="1"/>
  <c r="EZ543" i="4"/>
  <c r="EY543" i="4"/>
  <c r="EX543" i="4"/>
  <c r="FN543" i="4" s="1"/>
  <c r="EW543" i="4"/>
  <c r="FM543" i="4" s="1"/>
  <c r="EV543" i="4"/>
  <c r="FL543" i="4" s="1"/>
  <c r="EU543" i="4"/>
  <c r="EB543" i="4"/>
  <c r="EA543" i="4"/>
  <c r="DZ543" i="4"/>
  <c r="DX543" i="4"/>
  <c r="DW543" i="4"/>
  <c r="DV543" i="4"/>
  <c r="DU543" i="4"/>
  <c r="DL543" i="4"/>
  <c r="DH543" i="4"/>
  <c r="DG543" i="4"/>
  <c r="DF543" i="4"/>
  <c r="DA543" i="4"/>
  <c r="CX543" i="4"/>
  <c r="CW543" i="4"/>
  <c r="CV543" i="4"/>
  <c r="DY543" i="4" s="1"/>
  <c r="EC543" i="4" s="1"/>
  <c r="CU543" i="4"/>
  <c r="DE543" i="4" s="1"/>
  <c r="CO543" i="4"/>
  <c r="FB543" i="4" s="1"/>
  <c r="FQ543" i="4" s="1"/>
  <c r="CG543" i="4"/>
  <c r="BS543" i="4"/>
  <c r="BP543" i="4"/>
  <c r="BO543" i="4"/>
  <c r="BN543" i="4"/>
  <c r="BM543" i="4"/>
  <c r="BL543" i="4"/>
  <c r="BK543" i="4"/>
  <c r="BJ543" i="4"/>
  <c r="BI543" i="4"/>
  <c r="BH543" i="4"/>
  <c r="BG543" i="4"/>
  <c r="BF543" i="4"/>
  <c r="BE543" i="4"/>
  <c r="BD543" i="4"/>
  <c r="BC543" i="4"/>
  <c r="BB543" i="4"/>
  <c r="BA543" i="4"/>
  <c r="AZ543" i="4"/>
  <c r="AY543" i="4"/>
  <c r="AX543" i="4"/>
  <c r="AW543" i="4"/>
  <c r="AV543" i="4"/>
  <c r="Y543" i="4"/>
  <c r="Q543" i="4"/>
  <c r="B543" i="4"/>
  <c r="A543" i="4"/>
  <c r="QX542" i="4"/>
  <c r="FX542" i="4"/>
  <c r="FS542" i="4"/>
  <c r="FO542" i="4"/>
  <c r="FN542" i="4"/>
  <c r="FM542" i="4"/>
  <c r="FI542" i="4"/>
  <c r="FH542" i="4"/>
  <c r="FV542" i="4" s="1"/>
  <c r="FG542" i="4"/>
  <c r="FU542" i="4" s="1"/>
  <c r="FE542" i="4"/>
  <c r="FT542" i="4" s="1"/>
  <c r="FD542" i="4"/>
  <c r="FC542" i="4"/>
  <c r="FR542" i="4" s="1"/>
  <c r="FA542" i="4"/>
  <c r="FP542" i="4" s="1"/>
  <c r="EZ542" i="4"/>
  <c r="EY542" i="4"/>
  <c r="EX542" i="4"/>
  <c r="EW542" i="4"/>
  <c r="EV542" i="4"/>
  <c r="FL542" i="4" s="1"/>
  <c r="EU542" i="4"/>
  <c r="FK542" i="4" s="1"/>
  <c r="DX542" i="4"/>
  <c r="EB542" i="4" s="1"/>
  <c r="DW542" i="4"/>
  <c r="EA542" i="4" s="1"/>
  <c r="DL542" i="4"/>
  <c r="DH542" i="4"/>
  <c r="DF542" i="4"/>
  <c r="DA542" i="4"/>
  <c r="CX542" i="4"/>
  <c r="FJ542" i="4" s="1"/>
  <c r="FY542" i="4" s="1"/>
  <c r="CW542" i="4"/>
  <c r="CU542" i="4"/>
  <c r="DE542" i="4" s="1"/>
  <c r="CO542" i="4"/>
  <c r="CV542" i="4" s="1"/>
  <c r="CG542" i="4"/>
  <c r="BS542" i="4"/>
  <c r="BP542" i="4"/>
  <c r="BO542" i="4"/>
  <c r="BN542" i="4"/>
  <c r="BM542" i="4"/>
  <c r="BL542" i="4"/>
  <c r="BK542" i="4"/>
  <c r="BJ542" i="4"/>
  <c r="BI542" i="4"/>
  <c r="BH542" i="4"/>
  <c r="BG542" i="4"/>
  <c r="BF542" i="4"/>
  <c r="BE542" i="4"/>
  <c r="BD542" i="4"/>
  <c r="BC542" i="4"/>
  <c r="BB542" i="4"/>
  <c r="BA542" i="4"/>
  <c r="AZ542" i="4"/>
  <c r="AY542" i="4"/>
  <c r="AX542" i="4"/>
  <c r="AW542" i="4"/>
  <c r="AV542" i="4"/>
  <c r="Y542" i="4"/>
  <c r="Q542" i="4"/>
  <c r="B542" i="4"/>
  <c r="A542" i="4"/>
  <c r="QX541" i="4"/>
  <c r="FW541" i="4"/>
  <c r="FV541" i="4"/>
  <c r="FS541" i="4"/>
  <c r="FO541" i="4"/>
  <c r="FM541" i="4"/>
  <c r="FL541" i="4"/>
  <c r="FK541" i="4"/>
  <c r="FI541" i="4"/>
  <c r="FX541" i="4" s="1"/>
  <c r="FH541" i="4"/>
  <c r="FG541" i="4"/>
  <c r="FU541" i="4" s="1"/>
  <c r="FF541" i="4"/>
  <c r="FE541" i="4"/>
  <c r="FT541" i="4" s="1"/>
  <c r="FD541" i="4"/>
  <c r="FC541" i="4"/>
  <c r="FR541" i="4" s="1"/>
  <c r="FA541" i="4"/>
  <c r="FP541" i="4" s="1"/>
  <c r="EZ541" i="4"/>
  <c r="EY541" i="4"/>
  <c r="EX541" i="4"/>
  <c r="FN541" i="4" s="1"/>
  <c r="EW541" i="4"/>
  <c r="EV541" i="4"/>
  <c r="EU541" i="4"/>
  <c r="EB541" i="4"/>
  <c r="DX541" i="4"/>
  <c r="DW541" i="4"/>
  <c r="EA541" i="4" s="1"/>
  <c r="DV541" i="4"/>
  <c r="DZ541" i="4" s="1"/>
  <c r="DL541" i="4"/>
  <c r="DH541" i="4"/>
  <c r="DG541" i="4"/>
  <c r="DF541" i="4"/>
  <c r="DE541" i="4"/>
  <c r="DA541" i="4"/>
  <c r="CX541" i="4"/>
  <c r="FJ541" i="4" s="1"/>
  <c r="FY541" i="4" s="1"/>
  <c r="CW541" i="4"/>
  <c r="CV541" i="4"/>
  <c r="DY541" i="4" s="1"/>
  <c r="EC541" i="4" s="1"/>
  <c r="CU541" i="4"/>
  <c r="CO541" i="4"/>
  <c r="FB541" i="4" s="1"/>
  <c r="FQ541" i="4" s="1"/>
  <c r="CK541" i="4"/>
  <c r="CG541" i="4"/>
  <c r="BS541" i="4"/>
  <c r="BP541" i="4"/>
  <c r="BO541" i="4"/>
  <c r="BN541" i="4"/>
  <c r="BM541" i="4"/>
  <c r="BL541" i="4"/>
  <c r="BK541" i="4"/>
  <c r="BJ541" i="4"/>
  <c r="BI541" i="4"/>
  <c r="BH541" i="4"/>
  <c r="BG541" i="4"/>
  <c r="BF541" i="4"/>
  <c r="BE541" i="4"/>
  <c r="BD541" i="4"/>
  <c r="BC541" i="4"/>
  <c r="BB541" i="4"/>
  <c r="BA541" i="4"/>
  <c r="AZ541" i="4"/>
  <c r="AY541" i="4"/>
  <c r="AX541" i="4"/>
  <c r="AW541" i="4"/>
  <c r="AV541" i="4"/>
  <c r="Y541" i="4"/>
  <c r="Q541" i="4"/>
  <c r="B541" i="4"/>
  <c r="A541" i="4"/>
  <c r="QX540" i="4"/>
  <c r="FX540" i="4"/>
  <c r="FV540" i="4"/>
  <c r="FU540" i="4"/>
  <c r="FT540" i="4"/>
  <c r="FR540" i="4"/>
  <c r="FP540" i="4"/>
  <c r="FL540" i="4"/>
  <c r="FK540" i="4"/>
  <c r="FJ540" i="4"/>
  <c r="FY540" i="4" s="1"/>
  <c r="FI540" i="4"/>
  <c r="FH540" i="4"/>
  <c r="FG540" i="4"/>
  <c r="FE540" i="4"/>
  <c r="FD540" i="4"/>
  <c r="FS540" i="4" s="1"/>
  <c r="FC540" i="4"/>
  <c r="FA540" i="4"/>
  <c r="EZ540" i="4"/>
  <c r="FO540" i="4" s="1"/>
  <c r="EY540" i="4"/>
  <c r="EX540" i="4"/>
  <c r="FN540" i="4" s="1"/>
  <c r="EW540" i="4"/>
  <c r="FM540" i="4" s="1"/>
  <c r="EV540" i="4"/>
  <c r="EU540" i="4"/>
  <c r="EB540" i="4"/>
  <c r="EA540" i="4"/>
  <c r="DX540" i="4"/>
  <c r="DW540" i="4"/>
  <c r="DV540" i="4" s="1"/>
  <c r="DZ540" i="4" s="1"/>
  <c r="DU540" i="4"/>
  <c r="DL540" i="4"/>
  <c r="DH540" i="4"/>
  <c r="DF540" i="4"/>
  <c r="DE540" i="4"/>
  <c r="DA540" i="4"/>
  <c r="CX540" i="4"/>
  <c r="CV540" i="4"/>
  <c r="DY540" i="4" s="1"/>
  <c r="EC540" i="4" s="1"/>
  <c r="CU540" i="4"/>
  <c r="CO540" i="4"/>
  <c r="FB540" i="4" s="1"/>
  <c r="FQ540" i="4" s="1"/>
  <c r="CK540" i="4"/>
  <c r="CG540" i="4"/>
  <c r="BS540" i="4"/>
  <c r="BP540" i="4"/>
  <c r="BO540" i="4"/>
  <c r="BN540" i="4"/>
  <c r="BM540" i="4"/>
  <c r="BL540" i="4"/>
  <c r="BK540" i="4"/>
  <c r="BJ540" i="4"/>
  <c r="BI540" i="4"/>
  <c r="BH540" i="4"/>
  <c r="BG540" i="4"/>
  <c r="BF540" i="4"/>
  <c r="BE540" i="4"/>
  <c r="BD540" i="4"/>
  <c r="BC540" i="4"/>
  <c r="BB540" i="4"/>
  <c r="BA540" i="4"/>
  <c r="AZ540" i="4"/>
  <c r="AY540" i="4"/>
  <c r="AX540" i="4"/>
  <c r="AW540" i="4"/>
  <c r="AV540" i="4"/>
  <c r="Y540" i="4"/>
  <c r="Q540" i="4"/>
  <c r="B540" i="4"/>
  <c r="A540" i="4"/>
  <c r="QX539" i="4"/>
  <c r="FY539" i="4"/>
  <c r="FX539" i="4"/>
  <c r="FV539" i="4"/>
  <c r="FU539" i="4"/>
  <c r="FS539" i="4"/>
  <c r="FO539" i="4"/>
  <c r="FK539" i="4"/>
  <c r="FJ539" i="4"/>
  <c r="FI539" i="4"/>
  <c r="FH539" i="4"/>
  <c r="FG539" i="4"/>
  <c r="FE539" i="4"/>
  <c r="FT539" i="4" s="1"/>
  <c r="FD539" i="4"/>
  <c r="FC539" i="4"/>
  <c r="FR539" i="4" s="1"/>
  <c r="FA539" i="4"/>
  <c r="FP539" i="4" s="1"/>
  <c r="EZ539" i="4"/>
  <c r="EY539" i="4"/>
  <c r="EX539" i="4"/>
  <c r="FN539" i="4" s="1"/>
  <c r="EW539" i="4"/>
  <c r="FM539" i="4" s="1"/>
  <c r="EV539" i="4"/>
  <c r="FL539" i="4" s="1"/>
  <c r="EU539" i="4"/>
  <c r="EB539" i="4"/>
  <c r="EA539" i="4"/>
  <c r="DZ539" i="4"/>
  <c r="DX539" i="4"/>
  <c r="DW539" i="4"/>
  <c r="DV539" i="4"/>
  <c r="DU539" i="4"/>
  <c r="DL539" i="4"/>
  <c r="DH539" i="4"/>
  <c r="DG539" i="4"/>
  <c r="DF539" i="4"/>
  <c r="DA539" i="4"/>
  <c r="CX539" i="4"/>
  <c r="CW539" i="4"/>
  <c r="CV539" i="4"/>
  <c r="DY539" i="4" s="1"/>
  <c r="EC539" i="4" s="1"/>
  <c r="CU539" i="4"/>
  <c r="DE539" i="4" s="1"/>
  <c r="CO539" i="4"/>
  <c r="FB539" i="4" s="1"/>
  <c r="FQ539" i="4" s="1"/>
  <c r="CG539" i="4"/>
  <c r="BS539" i="4"/>
  <c r="BP539" i="4"/>
  <c r="BO539" i="4"/>
  <c r="BN539" i="4"/>
  <c r="BM539" i="4"/>
  <c r="BL539" i="4"/>
  <c r="BK539" i="4"/>
  <c r="BJ539" i="4"/>
  <c r="BI539" i="4"/>
  <c r="BH539" i="4"/>
  <c r="BG539" i="4"/>
  <c r="BF539" i="4"/>
  <c r="BE539" i="4"/>
  <c r="BD539" i="4"/>
  <c r="BC539" i="4"/>
  <c r="BB539" i="4"/>
  <c r="BA539" i="4"/>
  <c r="AZ539" i="4"/>
  <c r="AY539" i="4"/>
  <c r="AX539" i="4"/>
  <c r="AW539" i="4"/>
  <c r="AV539" i="4"/>
  <c r="Y539" i="4"/>
  <c r="Q539" i="4"/>
  <c r="B539" i="4"/>
  <c r="A539" i="4"/>
  <c r="QX538" i="4"/>
  <c r="FX538" i="4"/>
  <c r="FS538" i="4"/>
  <c r="FO538" i="4"/>
  <c r="FN538" i="4"/>
  <c r="FM538" i="4"/>
  <c r="FI538" i="4"/>
  <c r="FH538" i="4"/>
  <c r="FV538" i="4" s="1"/>
  <c r="FG538" i="4"/>
  <c r="FU538" i="4" s="1"/>
  <c r="FE538" i="4"/>
  <c r="FT538" i="4" s="1"/>
  <c r="FD538" i="4"/>
  <c r="FC538" i="4"/>
  <c r="FR538" i="4" s="1"/>
  <c r="FA538" i="4"/>
  <c r="FP538" i="4" s="1"/>
  <c r="EZ538" i="4"/>
  <c r="EY538" i="4"/>
  <c r="EX538" i="4"/>
  <c r="EW538" i="4"/>
  <c r="EV538" i="4"/>
  <c r="FL538" i="4" s="1"/>
  <c r="EU538" i="4"/>
  <c r="FK538" i="4" s="1"/>
  <c r="DX538" i="4"/>
  <c r="EB538" i="4" s="1"/>
  <c r="DW538" i="4"/>
  <c r="EA538" i="4" s="1"/>
  <c r="DL538" i="4"/>
  <c r="DH538" i="4"/>
  <c r="DF538" i="4"/>
  <c r="DA538" i="4"/>
  <c r="CX538" i="4"/>
  <c r="FJ538" i="4" s="1"/>
  <c r="FY538" i="4" s="1"/>
  <c r="CW538" i="4"/>
  <c r="CU538" i="4"/>
  <c r="DE538" i="4" s="1"/>
  <c r="CO538" i="4"/>
  <c r="CV538" i="4" s="1"/>
  <c r="CG538" i="4"/>
  <c r="BS538" i="4"/>
  <c r="BP538" i="4"/>
  <c r="BO538" i="4"/>
  <c r="BN538" i="4"/>
  <c r="BM538" i="4"/>
  <c r="BL538" i="4"/>
  <c r="BK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Y538" i="4"/>
  <c r="Q538" i="4"/>
  <c r="B538" i="4"/>
  <c r="A538" i="4"/>
  <c r="QX537" i="4"/>
  <c r="FW537" i="4"/>
  <c r="FV537" i="4"/>
  <c r="FS537" i="4"/>
  <c r="FO537" i="4"/>
  <c r="FM537" i="4"/>
  <c r="FL537" i="4"/>
  <c r="FK537" i="4"/>
  <c r="FI537" i="4"/>
  <c r="FX537" i="4" s="1"/>
  <c r="FH537" i="4"/>
  <c r="FG537" i="4"/>
  <c r="FU537" i="4" s="1"/>
  <c r="FF537" i="4"/>
  <c r="FE537" i="4"/>
  <c r="FT537" i="4" s="1"/>
  <c r="FD537" i="4"/>
  <c r="FC537" i="4"/>
  <c r="FR537" i="4" s="1"/>
  <c r="FA537" i="4"/>
  <c r="FP537" i="4" s="1"/>
  <c r="EZ537" i="4"/>
  <c r="EY537" i="4"/>
  <c r="EX537" i="4"/>
  <c r="FN537" i="4" s="1"/>
  <c r="EW537" i="4"/>
  <c r="EV537" i="4"/>
  <c r="EU537" i="4"/>
  <c r="EB537" i="4"/>
  <c r="DX537" i="4"/>
  <c r="DW537" i="4"/>
  <c r="EA537" i="4" s="1"/>
  <c r="DV537" i="4"/>
  <c r="DZ537" i="4" s="1"/>
  <c r="DL537" i="4"/>
  <c r="DH537" i="4"/>
  <c r="DG537" i="4"/>
  <c r="DF537" i="4"/>
  <c r="DE537" i="4"/>
  <c r="DA537" i="4"/>
  <c r="CX537" i="4"/>
  <c r="FJ537" i="4" s="1"/>
  <c r="FY537" i="4" s="1"/>
  <c r="CW537" i="4"/>
  <c r="CV537" i="4"/>
  <c r="DY537" i="4" s="1"/>
  <c r="EC537" i="4" s="1"/>
  <c r="CU537" i="4"/>
  <c r="CO537" i="4"/>
  <c r="FB537" i="4" s="1"/>
  <c r="FQ537" i="4" s="1"/>
  <c r="CK537" i="4"/>
  <c r="CG537" i="4"/>
  <c r="BS537" i="4"/>
  <c r="BP537" i="4"/>
  <c r="BO537" i="4"/>
  <c r="BN537" i="4"/>
  <c r="BM537" i="4"/>
  <c r="BL537" i="4"/>
  <c r="BK537" i="4"/>
  <c r="BJ537" i="4"/>
  <c r="BI537" i="4"/>
  <c r="BH537" i="4"/>
  <c r="BG537" i="4"/>
  <c r="BF537" i="4"/>
  <c r="BE537" i="4"/>
  <c r="BD537" i="4"/>
  <c r="BC537" i="4"/>
  <c r="BB537" i="4"/>
  <c r="BA537" i="4"/>
  <c r="AZ537" i="4"/>
  <c r="AY537" i="4"/>
  <c r="AX537" i="4"/>
  <c r="AW537" i="4"/>
  <c r="AV537" i="4"/>
  <c r="Y537" i="4"/>
  <c r="Q537" i="4"/>
  <c r="B537" i="4"/>
  <c r="A537" i="4"/>
  <c r="QX536" i="4"/>
  <c r="FX536" i="4"/>
  <c r="FV536" i="4"/>
  <c r="FU536" i="4"/>
  <c r="FT536" i="4"/>
  <c r="FR536" i="4"/>
  <c r="FP536" i="4"/>
  <c r="FL536" i="4"/>
  <c r="FK536" i="4"/>
  <c r="FJ536" i="4"/>
  <c r="FY536" i="4" s="1"/>
  <c r="FI536" i="4"/>
  <c r="FH536" i="4"/>
  <c r="FG536" i="4"/>
  <c r="FE536" i="4"/>
  <c r="FD536" i="4"/>
  <c r="FS536" i="4" s="1"/>
  <c r="FC536" i="4"/>
  <c r="FA536" i="4"/>
  <c r="EZ536" i="4"/>
  <c r="FO536" i="4" s="1"/>
  <c r="EY536" i="4"/>
  <c r="EX536" i="4"/>
  <c r="FN536" i="4" s="1"/>
  <c r="EW536" i="4"/>
  <c r="FM536" i="4" s="1"/>
  <c r="EV536" i="4"/>
  <c r="EU536" i="4"/>
  <c r="EB536" i="4"/>
  <c r="EA536" i="4"/>
  <c r="DX536" i="4"/>
  <c r="DW536" i="4"/>
  <c r="DV536" i="4" s="1"/>
  <c r="DZ536" i="4" s="1"/>
  <c r="DU536" i="4"/>
  <c r="DL536" i="4"/>
  <c r="DH536" i="4"/>
  <c r="DF536" i="4"/>
  <c r="DE536" i="4"/>
  <c r="DA536" i="4"/>
  <c r="CX536" i="4"/>
  <c r="CV536" i="4"/>
  <c r="DY536" i="4" s="1"/>
  <c r="EC536" i="4" s="1"/>
  <c r="CU536" i="4"/>
  <c r="CO536" i="4"/>
  <c r="FB536" i="4" s="1"/>
  <c r="FQ536" i="4" s="1"/>
  <c r="CK536" i="4"/>
  <c r="CG536" i="4"/>
  <c r="BS536" i="4"/>
  <c r="BP536" i="4"/>
  <c r="BO536" i="4"/>
  <c r="BN536" i="4"/>
  <c r="BM536" i="4"/>
  <c r="BL536" i="4"/>
  <c r="BK536" i="4"/>
  <c r="BJ536" i="4"/>
  <c r="BI536" i="4"/>
  <c r="BH536" i="4"/>
  <c r="BG536" i="4"/>
  <c r="BF536" i="4"/>
  <c r="BE536" i="4"/>
  <c r="BD536" i="4"/>
  <c r="BC536" i="4"/>
  <c r="BB536" i="4"/>
  <c r="BA536" i="4"/>
  <c r="AZ536" i="4"/>
  <c r="AY536" i="4"/>
  <c r="AX536" i="4"/>
  <c r="AW536" i="4"/>
  <c r="AV536" i="4"/>
  <c r="Y536" i="4"/>
  <c r="Q536" i="4"/>
  <c r="B536" i="4"/>
  <c r="A536" i="4"/>
  <c r="QX535" i="4"/>
  <c r="FY535" i="4"/>
  <c r="FV535" i="4"/>
  <c r="FU535" i="4"/>
  <c r="FS535" i="4"/>
  <c r="FO535" i="4"/>
  <c r="FK535" i="4"/>
  <c r="FJ535" i="4"/>
  <c r="FI535" i="4"/>
  <c r="FX535" i="4" s="1"/>
  <c r="FH535" i="4"/>
  <c r="FG535" i="4"/>
  <c r="FE535" i="4"/>
  <c r="FT535" i="4" s="1"/>
  <c r="FD535" i="4"/>
  <c r="FC535" i="4"/>
  <c r="FR535" i="4" s="1"/>
  <c r="FA535" i="4"/>
  <c r="FP535" i="4" s="1"/>
  <c r="EZ535" i="4"/>
  <c r="EY535" i="4"/>
  <c r="EX535" i="4"/>
  <c r="FN535" i="4" s="1"/>
  <c r="EW535" i="4"/>
  <c r="FM535" i="4" s="1"/>
  <c r="EV535" i="4"/>
  <c r="FL535" i="4" s="1"/>
  <c r="EU535" i="4"/>
  <c r="EB535" i="4"/>
  <c r="EA535" i="4"/>
  <c r="DZ535" i="4"/>
  <c r="DX535" i="4"/>
  <c r="DW535" i="4"/>
  <c r="DV535" i="4"/>
  <c r="DU535" i="4"/>
  <c r="DL535" i="4"/>
  <c r="DH535" i="4"/>
  <c r="DG535" i="4"/>
  <c r="DF535" i="4"/>
  <c r="DA535" i="4"/>
  <c r="CX535" i="4"/>
  <c r="CW535" i="4"/>
  <c r="CV535" i="4"/>
  <c r="DY535" i="4" s="1"/>
  <c r="EC535" i="4" s="1"/>
  <c r="CU535" i="4"/>
  <c r="DE535" i="4" s="1"/>
  <c r="CO535" i="4"/>
  <c r="FB535" i="4" s="1"/>
  <c r="FQ535" i="4" s="1"/>
  <c r="DD535" i="4" s="1"/>
  <c r="CK535" i="4"/>
  <c r="CG535" i="4"/>
  <c r="BS535" i="4"/>
  <c r="BP535" i="4"/>
  <c r="BO535" i="4"/>
  <c r="BN535" i="4"/>
  <c r="BM535" i="4"/>
  <c r="BL535" i="4"/>
  <c r="BK535" i="4"/>
  <c r="BJ535" i="4"/>
  <c r="BI535" i="4"/>
  <c r="BH535" i="4"/>
  <c r="BG535" i="4"/>
  <c r="BF535" i="4"/>
  <c r="BE535" i="4"/>
  <c r="BD535" i="4"/>
  <c r="BC535" i="4"/>
  <c r="BB535" i="4"/>
  <c r="BA535" i="4"/>
  <c r="AZ535" i="4"/>
  <c r="AY535" i="4"/>
  <c r="AX535" i="4"/>
  <c r="AW535" i="4"/>
  <c r="AV535" i="4"/>
  <c r="Y535" i="4"/>
  <c r="Q535" i="4"/>
  <c r="B535" i="4"/>
  <c r="A535" i="4"/>
  <c r="QX534" i="4"/>
  <c r="FX534" i="4"/>
  <c r="FU534" i="4"/>
  <c r="FT534" i="4"/>
  <c r="FR534" i="4"/>
  <c r="FP534" i="4"/>
  <c r="FN534" i="4"/>
  <c r="FJ534" i="4"/>
  <c r="FY534" i="4" s="1"/>
  <c r="FI534" i="4"/>
  <c r="FH534" i="4"/>
  <c r="FV534" i="4" s="1"/>
  <c r="FG534" i="4"/>
  <c r="FE534" i="4"/>
  <c r="FD534" i="4"/>
  <c r="FS534" i="4" s="1"/>
  <c r="FC534" i="4"/>
  <c r="FA534" i="4"/>
  <c r="EZ534" i="4"/>
  <c r="FO534" i="4" s="1"/>
  <c r="EY534" i="4"/>
  <c r="EX534" i="4"/>
  <c r="EW534" i="4"/>
  <c r="FM534" i="4" s="1"/>
  <c r="EV534" i="4"/>
  <c r="FL534" i="4" s="1"/>
  <c r="EU534" i="4"/>
  <c r="FK534" i="4" s="1"/>
  <c r="EA534" i="4"/>
  <c r="DX534" i="4"/>
  <c r="EB534" i="4" s="1"/>
  <c r="DW534" i="4"/>
  <c r="DV534" i="4" s="1"/>
  <c r="DU534" i="4"/>
  <c r="DL534" i="4"/>
  <c r="DH534" i="4"/>
  <c r="DF534" i="4"/>
  <c r="DA534" i="4"/>
  <c r="CX534" i="4"/>
  <c r="CU534" i="4"/>
  <c r="DE534" i="4" s="1"/>
  <c r="CO534" i="4"/>
  <c r="CK534" i="4"/>
  <c r="CG534" i="4"/>
  <c r="BS534" i="4"/>
  <c r="BP534" i="4"/>
  <c r="BO534" i="4"/>
  <c r="BN534" i="4"/>
  <c r="BM534" i="4"/>
  <c r="BL534" i="4"/>
  <c r="BK534" i="4"/>
  <c r="BJ534" i="4"/>
  <c r="BI534" i="4"/>
  <c r="BH534" i="4"/>
  <c r="BG534" i="4"/>
  <c r="BF534" i="4"/>
  <c r="BE534" i="4"/>
  <c r="BD534" i="4"/>
  <c r="BC534" i="4"/>
  <c r="BB534" i="4"/>
  <c r="BA534" i="4"/>
  <c r="AZ534" i="4"/>
  <c r="AY534" i="4"/>
  <c r="AX534" i="4"/>
  <c r="AW534" i="4"/>
  <c r="AV534" i="4"/>
  <c r="Y534" i="4"/>
  <c r="Q534" i="4"/>
  <c r="B534" i="4"/>
  <c r="A534" i="4"/>
  <c r="QX533" i="4"/>
  <c r="FY533" i="4"/>
  <c r="FS533" i="4"/>
  <c r="FO533" i="4"/>
  <c r="FN533" i="4"/>
  <c r="FI533" i="4"/>
  <c r="FX533" i="4" s="1"/>
  <c r="FH533" i="4"/>
  <c r="FV533" i="4" s="1"/>
  <c r="FG533" i="4"/>
  <c r="FU533" i="4" s="1"/>
  <c r="FE533" i="4"/>
  <c r="FT533" i="4" s="1"/>
  <c r="FD533" i="4"/>
  <c r="FC533" i="4"/>
  <c r="FR533" i="4" s="1"/>
  <c r="FA533" i="4"/>
  <c r="FP533" i="4" s="1"/>
  <c r="EZ533" i="4"/>
  <c r="EY533" i="4"/>
  <c r="EX533" i="4"/>
  <c r="EW533" i="4"/>
  <c r="FM533" i="4" s="1"/>
  <c r="EV533" i="4"/>
  <c r="FL533" i="4" s="1"/>
  <c r="EU533" i="4"/>
  <c r="FK533" i="4" s="1"/>
  <c r="DX533" i="4"/>
  <c r="DW533" i="4"/>
  <c r="EA533" i="4" s="1"/>
  <c r="DL533" i="4"/>
  <c r="DH533" i="4"/>
  <c r="DG533" i="4"/>
  <c r="DF533" i="4"/>
  <c r="DA533" i="4"/>
  <c r="CX533" i="4"/>
  <c r="FJ533" i="4" s="1"/>
  <c r="CW533" i="4"/>
  <c r="CU533" i="4"/>
  <c r="DE533" i="4" s="1"/>
  <c r="CO533" i="4"/>
  <c r="CV533" i="4" s="1"/>
  <c r="CK533" i="4"/>
  <c r="CG533" i="4"/>
  <c r="BS533" i="4"/>
  <c r="BP533" i="4"/>
  <c r="BO533" i="4"/>
  <c r="BN533" i="4"/>
  <c r="BM533" i="4"/>
  <c r="BL533" i="4"/>
  <c r="BK533" i="4"/>
  <c r="BJ533" i="4"/>
  <c r="BI533" i="4"/>
  <c r="BH533" i="4"/>
  <c r="BG533" i="4"/>
  <c r="BF533" i="4"/>
  <c r="BE533" i="4"/>
  <c r="BD533" i="4"/>
  <c r="BC533" i="4"/>
  <c r="BB533" i="4"/>
  <c r="BA533" i="4"/>
  <c r="AZ533" i="4"/>
  <c r="AY533" i="4"/>
  <c r="AX533" i="4"/>
  <c r="AW533" i="4"/>
  <c r="AV533" i="4"/>
  <c r="Y533" i="4"/>
  <c r="Q533" i="4"/>
  <c r="B533" i="4"/>
  <c r="A533" i="4"/>
  <c r="QX532" i="4"/>
  <c r="FX532" i="4"/>
  <c r="FT532" i="4"/>
  <c r="FR532" i="4"/>
  <c r="FP532" i="4"/>
  <c r="FN532" i="4"/>
  <c r="FM532" i="4"/>
  <c r="FI532" i="4"/>
  <c r="FH532" i="4"/>
  <c r="FV532" i="4" s="1"/>
  <c r="FG532" i="4"/>
  <c r="FU532" i="4" s="1"/>
  <c r="FE532" i="4"/>
  <c r="FD532" i="4"/>
  <c r="FS532" i="4" s="1"/>
  <c r="FC532" i="4"/>
  <c r="FB532" i="4"/>
  <c r="FQ532" i="4" s="1"/>
  <c r="FA532" i="4"/>
  <c r="EZ532" i="4"/>
  <c r="FO532" i="4" s="1"/>
  <c r="EY532" i="4"/>
  <c r="EX532" i="4"/>
  <c r="EW532" i="4"/>
  <c r="EV532" i="4"/>
  <c r="FL532" i="4" s="1"/>
  <c r="EU532" i="4"/>
  <c r="FK532" i="4" s="1"/>
  <c r="DX532" i="4"/>
  <c r="EB532" i="4" s="1"/>
  <c r="DW532" i="4"/>
  <c r="DL532" i="4"/>
  <c r="DH532" i="4"/>
  <c r="DF532" i="4"/>
  <c r="DE532" i="4"/>
  <c r="DA532" i="4"/>
  <c r="CX532" i="4"/>
  <c r="FJ532" i="4" s="1"/>
  <c r="FY532" i="4" s="1"/>
  <c r="CU532" i="4"/>
  <c r="CO532" i="4"/>
  <c r="CG532" i="4"/>
  <c r="BS532" i="4"/>
  <c r="BQ532" i="4"/>
  <c r="BP532" i="4"/>
  <c r="BO532" i="4"/>
  <c r="BN532" i="4"/>
  <c r="BM532" i="4"/>
  <c r="BL532" i="4"/>
  <c r="BK532" i="4"/>
  <c r="BJ532" i="4"/>
  <c r="BI532" i="4"/>
  <c r="BH532" i="4"/>
  <c r="BG532" i="4"/>
  <c r="BF532" i="4"/>
  <c r="BE532" i="4"/>
  <c r="BD532" i="4"/>
  <c r="BC532" i="4"/>
  <c r="BB532" i="4"/>
  <c r="BA532" i="4"/>
  <c r="AZ532" i="4"/>
  <c r="AY532" i="4"/>
  <c r="AX532" i="4"/>
  <c r="AW532" i="4"/>
  <c r="AV532" i="4"/>
  <c r="Y532" i="4"/>
  <c r="Q532" i="4"/>
  <c r="B532" i="4"/>
  <c r="A532" i="4"/>
  <c r="QX531" i="4"/>
  <c r="FX531" i="4"/>
  <c r="FW531" i="4"/>
  <c r="FV531" i="4"/>
  <c r="FS531" i="4"/>
  <c r="FO531" i="4"/>
  <c r="FM531" i="4"/>
  <c r="FL531" i="4"/>
  <c r="FI531" i="4"/>
  <c r="FH531" i="4"/>
  <c r="FG531" i="4"/>
  <c r="FU531" i="4" s="1"/>
  <c r="FF531" i="4"/>
  <c r="FE531" i="4"/>
  <c r="FT531" i="4" s="1"/>
  <c r="FD531" i="4"/>
  <c r="FC531" i="4"/>
  <c r="FR531" i="4" s="1"/>
  <c r="FA531" i="4"/>
  <c r="FP531" i="4" s="1"/>
  <c r="EZ531" i="4"/>
  <c r="EY531" i="4"/>
  <c r="EX531" i="4"/>
  <c r="FN531" i="4" s="1"/>
  <c r="EW531" i="4"/>
  <c r="EV531" i="4"/>
  <c r="EU531" i="4"/>
  <c r="FK531" i="4" s="1"/>
  <c r="EB531" i="4"/>
  <c r="DX531" i="4"/>
  <c r="DV531" i="4" s="1"/>
  <c r="DZ531" i="4" s="1"/>
  <c r="DW531" i="4"/>
  <c r="EA531" i="4" s="1"/>
  <c r="DL531" i="4"/>
  <c r="DH531" i="4"/>
  <c r="DG531" i="4"/>
  <c r="DF531" i="4"/>
  <c r="DA531" i="4"/>
  <c r="CX531" i="4"/>
  <c r="FJ531" i="4" s="1"/>
  <c r="FY531" i="4" s="1"/>
  <c r="CW531" i="4"/>
  <c r="CV531" i="4"/>
  <c r="CU531" i="4"/>
  <c r="DE531" i="4" s="1"/>
  <c r="CO531" i="4"/>
  <c r="FB531" i="4" s="1"/>
  <c r="FQ531" i="4" s="1"/>
  <c r="CG531" i="4"/>
  <c r="BS531" i="4"/>
  <c r="BP531" i="4"/>
  <c r="BO531" i="4"/>
  <c r="BN531" i="4"/>
  <c r="BM531" i="4"/>
  <c r="BL531" i="4"/>
  <c r="BK531" i="4"/>
  <c r="BJ531" i="4"/>
  <c r="BI531" i="4"/>
  <c r="BH531" i="4"/>
  <c r="BG531" i="4"/>
  <c r="BF531" i="4"/>
  <c r="BE531" i="4"/>
  <c r="BD531" i="4"/>
  <c r="BC531" i="4"/>
  <c r="BB531" i="4"/>
  <c r="BA531" i="4"/>
  <c r="AZ531" i="4"/>
  <c r="AY531" i="4"/>
  <c r="AX531" i="4"/>
  <c r="AW531" i="4"/>
  <c r="AV531" i="4"/>
  <c r="Y531" i="4"/>
  <c r="Q531" i="4"/>
  <c r="B531" i="4"/>
  <c r="A531" i="4"/>
  <c r="QX530" i="4"/>
  <c r="FV530" i="4"/>
  <c r="FU530" i="4"/>
  <c r="FQ530" i="4"/>
  <c r="DD530" i="4" s="1"/>
  <c r="FO530" i="4"/>
  <c r="FK530" i="4"/>
  <c r="FJ530" i="4"/>
  <c r="FY530" i="4" s="1"/>
  <c r="FI530" i="4"/>
  <c r="FX530" i="4" s="1"/>
  <c r="FH530" i="4"/>
  <c r="FG530" i="4"/>
  <c r="FE530" i="4"/>
  <c r="FT530" i="4" s="1"/>
  <c r="FD530" i="4"/>
  <c r="FS530" i="4" s="1"/>
  <c r="FC530" i="4"/>
  <c r="FR530" i="4" s="1"/>
  <c r="FA530" i="4"/>
  <c r="FP530" i="4" s="1"/>
  <c r="EZ530" i="4"/>
  <c r="EY530" i="4"/>
  <c r="EX530" i="4"/>
  <c r="FN530" i="4" s="1"/>
  <c r="EW530" i="4"/>
  <c r="FM530" i="4" s="1"/>
  <c r="EV530" i="4"/>
  <c r="FL530" i="4" s="1"/>
  <c r="EU530" i="4"/>
  <c r="EA530" i="4"/>
  <c r="DX530" i="4"/>
  <c r="EB530" i="4" s="1"/>
  <c r="DW530" i="4"/>
  <c r="DU530" i="4"/>
  <c r="DL530" i="4"/>
  <c r="DH530" i="4"/>
  <c r="DG530" i="4"/>
  <c r="DF530" i="4"/>
  <c r="DE530" i="4"/>
  <c r="DA530" i="4"/>
  <c r="CX530" i="4"/>
  <c r="CW530" i="4"/>
  <c r="CV530" i="4"/>
  <c r="CU530" i="4"/>
  <c r="CO530" i="4"/>
  <c r="FB530" i="4" s="1"/>
  <c r="CK530" i="4"/>
  <c r="CG530" i="4"/>
  <c r="BS530" i="4"/>
  <c r="BP530" i="4"/>
  <c r="BO530" i="4"/>
  <c r="BN530" i="4"/>
  <c r="BM530" i="4"/>
  <c r="BL530" i="4"/>
  <c r="BK530" i="4"/>
  <c r="BJ530" i="4"/>
  <c r="BI530" i="4"/>
  <c r="BH530" i="4"/>
  <c r="BG530" i="4"/>
  <c r="BF530" i="4"/>
  <c r="BE530" i="4"/>
  <c r="BD530" i="4"/>
  <c r="BC530" i="4"/>
  <c r="BB530" i="4"/>
  <c r="BA530" i="4"/>
  <c r="AZ530" i="4"/>
  <c r="AY530" i="4"/>
  <c r="AX530" i="4"/>
  <c r="AW530" i="4"/>
  <c r="AV530" i="4"/>
  <c r="Y530" i="4"/>
  <c r="Q530" i="4"/>
  <c r="B530" i="4"/>
  <c r="A530" i="4"/>
  <c r="QX529" i="4"/>
  <c r="FV529" i="4"/>
  <c r="FU529" i="4"/>
  <c r="FT529" i="4"/>
  <c r="FP529" i="4"/>
  <c r="FL529" i="4"/>
  <c r="FI529" i="4"/>
  <c r="FX529" i="4" s="1"/>
  <c r="FH529" i="4"/>
  <c r="FG529" i="4"/>
  <c r="FE529" i="4"/>
  <c r="FD529" i="4"/>
  <c r="FS529" i="4" s="1"/>
  <c r="FC529" i="4"/>
  <c r="FR529" i="4" s="1"/>
  <c r="FB529" i="4"/>
  <c r="FQ529" i="4" s="1"/>
  <c r="DC529" i="4" s="1"/>
  <c r="DB529" i="4" s="1"/>
  <c r="FA529" i="4"/>
  <c r="EZ529" i="4"/>
  <c r="FO529" i="4" s="1"/>
  <c r="EY529" i="4"/>
  <c r="EX529" i="4"/>
  <c r="FN529" i="4" s="1"/>
  <c r="EW529" i="4"/>
  <c r="FM529" i="4" s="1"/>
  <c r="EV529" i="4"/>
  <c r="EU529" i="4"/>
  <c r="FK529" i="4" s="1"/>
  <c r="EA529" i="4"/>
  <c r="DZ529" i="4"/>
  <c r="DX529" i="4"/>
  <c r="EB529" i="4" s="1"/>
  <c r="DW529" i="4"/>
  <c r="DV529" i="4" s="1"/>
  <c r="DU529" i="4"/>
  <c r="DL529" i="4"/>
  <c r="DH529" i="4"/>
  <c r="DF529" i="4"/>
  <c r="DD529" i="4"/>
  <c r="DA529" i="4"/>
  <c r="CX529" i="4"/>
  <c r="FJ529" i="4" s="1"/>
  <c r="FY529" i="4" s="1"/>
  <c r="CV529" i="4"/>
  <c r="DG529" i="4" s="1"/>
  <c r="CU529" i="4"/>
  <c r="DE529" i="4" s="1"/>
  <c r="CO529" i="4"/>
  <c r="CW529" i="4" s="1"/>
  <c r="CG529" i="4"/>
  <c r="BS529" i="4"/>
  <c r="BP529" i="4"/>
  <c r="BO529" i="4"/>
  <c r="BN529" i="4"/>
  <c r="BM529" i="4"/>
  <c r="BL529" i="4"/>
  <c r="BK529" i="4"/>
  <c r="BJ529" i="4"/>
  <c r="BI529" i="4"/>
  <c r="BH529" i="4"/>
  <c r="BG529" i="4"/>
  <c r="BF529" i="4"/>
  <c r="BE529" i="4"/>
  <c r="BD529" i="4"/>
  <c r="BC529" i="4"/>
  <c r="BB529" i="4"/>
  <c r="BA529" i="4"/>
  <c r="AZ529" i="4"/>
  <c r="AY529" i="4"/>
  <c r="AX529" i="4"/>
  <c r="AW529" i="4"/>
  <c r="AV529" i="4"/>
  <c r="Y529" i="4"/>
  <c r="Q529" i="4"/>
  <c r="B529" i="4"/>
  <c r="A529" i="4"/>
  <c r="FT528" i="4"/>
  <c r="FR528" i="4"/>
  <c r="FM528" i="4"/>
  <c r="FL528" i="4"/>
  <c r="FH528" i="4"/>
  <c r="FV528" i="4" s="1"/>
  <c r="FG528" i="4"/>
  <c r="FU528" i="4" s="1"/>
  <c r="FE528" i="4"/>
  <c r="FD528" i="4"/>
  <c r="FS528" i="4" s="1"/>
  <c r="FC528" i="4"/>
  <c r="FB528" i="4"/>
  <c r="FQ528" i="4" s="1"/>
  <c r="DC528" i="4" s="1"/>
  <c r="FA528" i="4"/>
  <c r="FP528" i="4" s="1"/>
  <c r="EZ528" i="4"/>
  <c r="FO528" i="4" s="1"/>
  <c r="EY528" i="4"/>
  <c r="EX528" i="4"/>
  <c r="FN528" i="4" s="1"/>
  <c r="EW528" i="4"/>
  <c r="EV528" i="4"/>
  <c r="EU528" i="4"/>
  <c r="FK528" i="4" s="1"/>
  <c r="DX528" i="4"/>
  <c r="EB528" i="4" s="1"/>
  <c r="DL528" i="4"/>
  <c r="DG528" i="4"/>
  <c r="DF528" i="4"/>
  <c r="DE528" i="4"/>
  <c r="DA528" i="4"/>
  <c r="CW528" i="4"/>
  <c r="CV528" i="4"/>
  <c r="FF528" i="4" s="1"/>
  <c r="FW528" i="4" s="1"/>
  <c r="CU528" i="4"/>
  <c r="CO528" i="4"/>
  <c r="CG528" i="4"/>
  <c r="BS528" i="4"/>
  <c r="BP528" i="4"/>
  <c r="BO528" i="4"/>
  <c r="BM528" i="4"/>
  <c r="BL528" i="4"/>
  <c r="BK528" i="4"/>
  <c r="BJ528" i="4"/>
  <c r="BI528" i="4"/>
  <c r="BH528" i="4"/>
  <c r="BG528" i="4"/>
  <c r="BF528" i="4"/>
  <c r="BE528" i="4"/>
  <c r="BD528" i="4"/>
  <c r="BC528" i="4"/>
  <c r="BB528" i="4"/>
  <c r="BA528" i="4"/>
  <c r="AZ528" i="4"/>
  <c r="AY528" i="4"/>
  <c r="AX528" i="4"/>
  <c r="AW528" i="4"/>
  <c r="AV528" i="4"/>
  <c r="AQ528" i="4"/>
  <c r="CN528" i="4" s="1"/>
  <c r="Y528" i="4"/>
  <c r="Q528" i="4"/>
  <c r="B528" i="4"/>
  <c r="A528" i="4"/>
  <c r="QX527" i="4"/>
  <c r="FX527" i="4"/>
  <c r="FW527" i="4"/>
  <c r="FV527" i="4"/>
  <c r="FS527" i="4"/>
  <c r="FL527" i="4"/>
  <c r="FI527" i="4"/>
  <c r="FH527" i="4"/>
  <c r="FG527" i="4"/>
  <c r="FU527" i="4" s="1"/>
  <c r="FF527" i="4"/>
  <c r="FE527" i="4"/>
  <c r="FT527" i="4" s="1"/>
  <c r="FD527" i="4"/>
  <c r="FC527" i="4"/>
  <c r="FR527" i="4" s="1"/>
  <c r="FA527" i="4"/>
  <c r="FP527" i="4" s="1"/>
  <c r="EZ527" i="4"/>
  <c r="FO527" i="4" s="1"/>
  <c r="EY527" i="4"/>
  <c r="EX527" i="4"/>
  <c r="FN527" i="4" s="1"/>
  <c r="EW527" i="4"/>
  <c r="FM527" i="4" s="1"/>
  <c r="EV527" i="4"/>
  <c r="EU527" i="4"/>
  <c r="FK527" i="4" s="1"/>
  <c r="DX527" i="4"/>
  <c r="DV527" i="4" s="1"/>
  <c r="DZ527" i="4" s="1"/>
  <c r="DW527" i="4"/>
  <c r="DL527" i="4"/>
  <c r="DH527" i="4"/>
  <c r="DG527" i="4"/>
  <c r="DF527" i="4"/>
  <c r="DA527" i="4"/>
  <c r="CX527" i="4"/>
  <c r="FJ527" i="4" s="1"/>
  <c r="FY527" i="4" s="1"/>
  <c r="CW527" i="4"/>
  <c r="CV527" i="4"/>
  <c r="CU527" i="4"/>
  <c r="DE527" i="4" s="1"/>
  <c r="CO527" i="4"/>
  <c r="FB527" i="4" s="1"/>
  <c r="FQ527" i="4" s="1"/>
  <c r="CG527" i="4"/>
  <c r="BS527" i="4"/>
  <c r="BP527" i="4"/>
  <c r="BO527" i="4"/>
  <c r="BN527" i="4"/>
  <c r="BM527" i="4"/>
  <c r="BL527" i="4"/>
  <c r="BK527" i="4"/>
  <c r="BJ527" i="4"/>
  <c r="BI527" i="4"/>
  <c r="BH527" i="4"/>
  <c r="BG527" i="4"/>
  <c r="BF527" i="4"/>
  <c r="BE527" i="4"/>
  <c r="BD527" i="4"/>
  <c r="BC527" i="4"/>
  <c r="BB527" i="4"/>
  <c r="BA527" i="4"/>
  <c r="AZ527" i="4"/>
  <c r="AY527" i="4"/>
  <c r="AX527" i="4"/>
  <c r="AW527" i="4"/>
  <c r="AV527" i="4"/>
  <c r="Y527" i="4"/>
  <c r="Q527" i="4"/>
  <c r="B527" i="4"/>
  <c r="A527" i="4"/>
  <c r="QX526" i="4"/>
  <c r="FX526" i="4"/>
  <c r="FW526" i="4"/>
  <c r="FP526" i="4"/>
  <c r="FO526" i="4"/>
  <c r="FN526" i="4"/>
  <c r="FM526" i="4"/>
  <c r="FI526" i="4"/>
  <c r="FH526" i="4"/>
  <c r="FV526" i="4" s="1"/>
  <c r="FG526" i="4"/>
  <c r="FU526" i="4" s="1"/>
  <c r="FE526" i="4"/>
  <c r="FT526" i="4" s="1"/>
  <c r="FD526" i="4"/>
  <c r="FS526" i="4" s="1"/>
  <c r="FC526" i="4"/>
  <c r="FR526" i="4" s="1"/>
  <c r="FB526" i="4"/>
  <c r="FQ526" i="4" s="1"/>
  <c r="FA526" i="4"/>
  <c r="EZ526" i="4"/>
  <c r="EY526" i="4"/>
  <c r="EX526" i="4"/>
  <c r="EW526" i="4"/>
  <c r="EV526" i="4"/>
  <c r="FL526" i="4" s="1"/>
  <c r="EU526" i="4"/>
  <c r="FK526" i="4" s="1"/>
  <c r="EA526" i="4"/>
  <c r="DX526" i="4"/>
  <c r="EB526" i="4" s="1"/>
  <c r="DW526" i="4"/>
  <c r="DU526" i="4"/>
  <c r="DL526" i="4"/>
  <c r="DH526" i="4"/>
  <c r="DG526" i="4"/>
  <c r="DF526" i="4"/>
  <c r="DE526" i="4"/>
  <c r="DA526" i="4"/>
  <c r="CX526" i="4"/>
  <c r="FJ526" i="4" s="1"/>
  <c r="FY526" i="4" s="1"/>
  <c r="CW526" i="4"/>
  <c r="CV526" i="4"/>
  <c r="FF526" i="4" s="1"/>
  <c r="CU526" i="4"/>
  <c r="CO526" i="4"/>
  <c r="CG526" i="4"/>
  <c r="BP526" i="4"/>
  <c r="BO526" i="4"/>
  <c r="BN526" i="4"/>
  <c r="BM526" i="4"/>
  <c r="BL526" i="4"/>
  <c r="BK526" i="4"/>
  <c r="BJ526" i="4"/>
  <c r="BI526" i="4"/>
  <c r="BH526" i="4"/>
  <c r="BG526" i="4"/>
  <c r="BF526" i="4"/>
  <c r="BE526" i="4"/>
  <c r="BD526" i="4"/>
  <c r="BC526" i="4"/>
  <c r="BB526" i="4"/>
  <c r="BA526" i="4"/>
  <c r="AZ526" i="4"/>
  <c r="AY526" i="4"/>
  <c r="AX526" i="4"/>
  <c r="AW526" i="4"/>
  <c r="AV526" i="4"/>
  <c r="Y526" i="4"/>
  <c r="Q526" i="4"/>
  <c r="B526" i="4"/>
  <c r="A526" i="4"/>
  <c r="QX525" i="4"/>
  <c r="FV525" i="4"/>
  <c r="FT525" i="4"/>
  <c r="FP525" i="4"/>
  <c r="FO525" i="4"/>
  <c r="FM525" i="4"/>
  <c r="FJ525" i="4"/>
  <c r="FY525" i="4" s="1"/>
  <c r="FI525" i="4"/>
  <c r="FX525" i="4" s="1"/>
  <c r="FH525" i="4"/>
  <c r="FG525" i="4"/>
  <c r="FU525" i="4" s="1"/>
  <c r="FE525" i="4"/>
  <c r="FD525" i="4"/>
  <c r="FS525" i="4" s="1"/>
  <c r="FC525" i="4"/>
  <c r="FR525" i="4" s="1"/>
  <c r="FA525" i="4"/>
  <c r="EZ525" i="4"/>
  <c r="EY525" i="4"/>
  <c r="EX525" i="4"/>
  <c r="FN525" i="4" s="1"/>
  <c r="EW525" i="4"/>
  <c r="EV525" i="4"/>
  <c r="FL525" i="4" s="1"/>
  <c r="EU525" i="4"/>
  <c r="FK525" i="4" s="1"/>
  <c r="EA525" i="4"/>
  <c r="DX525" i="4"/>
  <c r="EB525" i="4" s="1"/>
  <c r="DW525" i="4"/>
  <c r="DV525" i="4" s="1"/>
  <c r="DZ525" i="4" s="1"/>
  <c r="DU525" i="4"/>
  <c r="DL525" i="4"/>
  <c r="DH525" i="4"/>
  <c r="DF525" i="4"/>
  <c r="DA525" i="4"/>
  <c r="CX525" i="4"/>
  <c r="CV525" i="4"/>
  <c r="DG525" i="4" s="1"/>
  <c r="CU525" i="4"/>
  <c r="DE525" i="4" s="1"/>
  <c r="CO525" i="4"/>
  <c r="CW525" i="4" s="1"/>
  <c r="CG525" i="4"/>
  <c r="BS525" i="4"/>
  <c r="BP525" i="4"/>
  <c r="BO525" i="4"/>
  <c r="BN525" i="4"/>
  <c r="BM525" i="4"/>
  <c r="BL525" i="4"/>
  <c r="BK525" i="4"/>
  <c r="BJ525" i="4"/>
  <c r="BI525" i="4"/>
  <c r="BH525" i="4"/>
  <c r="BG525" i="4"/>
  <c r="BF525" i="4"/>
  <c r="BE525" i="4"/>
  <c r="BD525" i="4"/>
  <c r="BC525" i="4"/>
  <c r="BB525" i="4"/>
  <c r="BA525" i="4"/>
  <c r="AZ525" i="4"/>
  <c r="AY525" i="4"/>
  <c r="AX525" i="4"/>
  <c r="AW525" i="4"/>
  <c r="AV525" i="4"/>
  <c r="Y525" i="4"/>
  <c r="Q525" i="4"/>
  <c r="B525" i="4"/>
  <c r="A525" i="4"/>
  <c r="QX524" i="4"/>
  <c r="FX524" i="4"/>
  <c r="FT524" i="4"/>
  <c r="FS524" i="4"/>
  <c r="FR524" i="4"/>
  <c r="FN524" i="4"/>
  <c r="FM524" i="4"/>
  <c r="FI524" i="4"/>
  <c r="FH524" i="4"/>
  <c r="FV524" i="4" s="1"/>
  <c r="FG524" i="4"/>
  <c r="FU524" i="4" s="1"/>
  <c r="FE524" i="4"/>
  <c r="FD524" i="4"/>
  <c r="FC524" i="4"/>
  <c r="FA524" i="4"/>
  <c r="FP524" i="4" s="1"/>
  <c r="EZ524" i="4"/>
  <c r="FO524" i="4" s="1"/>
  <c r="EY524" i="4"/>
  <c r="EX524" i="4"/>
  <c r="EW524" i="4"/>
  <c r="EV524" i="4"/>
  <c r="FL524" i="4" s="1"/>
  <c r="EU524" i="4"/>
  <c r="FK524" i="4" s="1"/>
  <c r="DX524" i="4"/>
  <c r="EB524" i="4" s="1"/>
  <c r="DW524" i="4"/>
  <c r="DV524" i="4" s="1"/>
  <c r="DZ524" i="4" s="1"/>
  <c r="DL524" i="4"/>
  <c r="DH524" i="4"/>
  <c r="DF524" i="4"/>
  <c r="DE524" i="4"/>
  <c r="DA524" i="4"/>
  <c r="CX524" i="4"/>
  <c r="FJ524" i="4" s="1"/>
  <c r="FY524" i="4" s="1"/>
  <c r="CU524" i="4"/>
  <c r="CO524" i="4"/>
  <c r="CW524" i="4" s="1"/>
  <c r="CG524" i="4"/>
  <c r="BS524" i="4"/>
  <c r="BP524" i="4"/>
  <c r="BO524" i="4"/>
  <c r="BN524" i="4"/>
  <c r="BM524" i="4"/>
  <c r="BL524" i="4"/>
  <c r="BK524" i="4"/>
  <c r="BJ524" i="4"/>
  <c r="BI524" i="4"/>
  <c r="BH524" i="4"/>
  <c r="BG524" i="4"/>
  <c r="BF524" i="4"/>
  <c r="BE524" i="4"/>
  <c r="BD524" i="4"/>
  <c r="BC524" i="4"/>
  <c r="BB524" i="4"/>
  <c r="BA524" i="4"/>
  <c r="AZ524" i="4"/>
  <c r="AY524" i="4"/>
  <c r="AX524" i="4"/>
  <c r="AW524" i="4"/>
  <c r="AV524" i="4"/>
  <c r="Y524" i="4"/>
  <c r="Q524" i="4"/>
  <c r="B524" i="4"/>
  <c r="A524" i="4"/>
  <c r="QX523" i="4"/>
  <c r="FX523" i="4"/>
  <c r="FV523" i="4"/>
  <c r="FU523" i="4"/>
  <c r="FR523" i="4"/>
  <c r="FP523" i="4"/>
  <c r="FL523" i="4"/>
  <c r="FK523" i="4"/>
  <c r="FI523" i="4"/>
  <c r="FH523" i="4"/>
  <c r="FG523" i="4"/>
  <c r="FF523" i="4"/>
  <c r="FW523" i="4" s="1"/>
  <c r="FE523" i="4"/>
  <c r="FT523" i="4" s="1"/>
  <c r="FD523" i="4"/>
  <c r="FS523" i="4" s="1"/>
  <c r="FC523" i="4"/>
  <c r="FA523" i="4"/>
  <c r="EZ523" i="4"/>
  <c r="FO523" i="4" s="1"/>
  <c r="EY523" i="4"/>
  <c r="EX523" i="4"/>
  <c r="FN523" i="4" s="1"/>
  <c r="EW523" i="4"/>
  <c r="FM523" i="4" s="1"/>
  <c r="EV523" i="4"/>
  <c r="EU523" i="4"/>
  <c r="EB523" i="4"/>
  <c r="DX523" i="4"/>
  <c r="DW523" i="4"/>
  <c r="DV523" i="4" s="1"/>
  <c r="DZ523" i="4" s="1"/>
  <c r="DL523" i="4"/>
  <c r="DH523" i="4"/>
  <c r="DF523" i="4"/>
  <c r="DE523" i="4"/>
  <c r="DA523" i="4"/>
  <c r="CX523" i="4"/>
  <c r="FJ523" i="4" s="1"/>
  <c r="FY523" i="4" s="1"/>
  <c r="CW523" i="4"/>
  <c r="CV523" i="4"/>
  <c r="DY523" i="4" s="1"/>
  <c r="EC523" i="4" s="1"/>
  <c r="CU523" i="4"/>
  <c r="CO523" i="4"/>
  <c r="FB523" i="4" s="1"/>
  <c r="FQ523" i="4" s="1"/>
  <c r="CG523" i="4"/>
  <c r="BS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Y523" i="4"/>
  <c r="Q523" i="4"/>
  <c r="B523" i="4"/>
  <c r="A523" i="4"/>
  <c r="QX522" i="4"/>
  <c r="FV522" i="4"/>
  <c r="FU522" i="4"/>
  <c r="FT522" i="4"/>
  <c r="FP522" i="4"/>
  <c r="FO522" i="4"/>
  <c r="FJ522" i="4"/>
  <c r="FY522" i="4" s="1"/>
  <c r="FI522" i="4"/>
  <c r="FX522" i="4" s="1"/>
  <c r="FH522" i="4"/>
  <c r="FG522" i="4"/>
  <c r="FE522" i="4"/>
  <c r="FD522" i="4"/>
  <c r="FS522" i="4" s="1"/>
  <c r="FC522" i="4"/>
  <c r="FR522" i="4" s="1"/>
  <c r="FA522" i="4"/>
  <c r="EZ522" i="4"/>
  <c r="EY522" i="4"/>
  <c r="EX522" i="4"/>
  <c r="FN522" i="4" s="1"/>
  <c r="EW522" i="4"/>
  <c r="FM522" i="4" s="1"/>
  <c r="EV522" i="4"/>
  <c r="FL522" i="4" s="1"/>
  <c r="EU522" i="4"/>
  <c r="FK522" i="4" s="1"/>
  <c r="EA522" i="4"/>
  <c r="DX522" i="4"/>
  <c r="EB522" i="4" s="1"/>
  <c r="DW522" i="4"/>
  <c r="DV522" i="4" s="1"/>
  <c r="DZ522" i="4" s="1"/>
  <c r="DU522" i="4"/>
  <c r="DL522" i="4"/>
  <c r="DH522" i="4"/>
  <c r="DF522" i="4"/>
  <c r="DA522" i="4"/>
  <c r="CX522" i="4"/>
  <c r="CV522" i="4"/>
  <c r="DG522" i="4" s="1"/>
  <c r="CU522" i="4"/>
  <c r="DE522" i="4" s="1"/>
  <c r="CO522" i="4"/>
  <c r="CW522" i="4" s="1"/>
  <c r="CG522" i="4"/>
  <c r="BS522" i="4"/>
  <c r="BR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Y522" i="4"/>
  <c r="Q522" i="4"/>
  <c r="B522" i="4"/>
  <c r="A522" i="4"/>
  <c r="QX521" i="4"/>
  <c r="FX521" i="4"/>
  <c r="FU521" i="4"/>
  <c r="FT521" i="4"/>
  <c r="FS521" i="4"/>
  <c r="FO521" i="4"/>
  <c r="FN521" i="4"/>
  <c r="FI521" i="4"/>
  <c r="FH521" i="4"/>
  <c r="FV521" i="4" s="1"/>
  <c r="FG521" i="4"/>
  <c r="FE521" i="4"/>
  <c r="FD521" i="4"/>
  <c r="FC521" i="4"/>
  <c r="FR521" i="4" s="1"/>
  <c r="FA521" i="4"/>
  <c r="FP521" i="4" s="1"/>
  <c r="EZ521" i="4"/>
  <c r="EY521" i="4"/>
  <c r="EX521" i="4"/>
  <c r="EW521" i="4"/>
  <c r="FM521" i="4" s="1"/>
  <c r="EV521" i="4"/>
  <c r="FL521" i="4" s="1"/>
  <c r="EU521" i="4"/>
  <c r="FK521" i="4" s="1"/>
  <c r="DX521" i="4"/>
  <c r="EB521" i="4" s="1"/>
  <c r="DW521" i="4"/>
  <c r="DV521" i="4" s="1"/>
  <c r="DZ521" i="4" s="1"/>
  <c r="DL521" i="4"/>
  <c r="DH521" i="4"/>
  <c r="DF521" i="4"/>
  <c r="DA521" i="4"/>
  <c r="CX521" i="4"/>
  <c r="FJ521" i="4" s="1"/>
  <c r="FY521" i="4" s="1"/>
  <c r="CW521" i="4"/>
  <c r="CU521" i="4"/>
  <c r="DE521" i="4" s="1"/>
  <c r="CO521" i="4"/>
  <c r="CV521" i="4" s="1"/>
  <c r="CG521" i="4"/>
  <c r="BS521" i="4"/>
  <c r="BP521" i="4"/>
  <c r="BO521" i="4"/>
  <c r="BN521" i="4"/>
  <c r="BM521" i="4"/>
  <c r="BL521" i="4"/>
  <c r="BK521" i="4"/>
  <c r="BJ521" i="4"/>
  <c r="BI521" i="4"/>
  <c r="BH521" i="4"/>
  <c r="BG521" i="4"/>
  <c r="BF521" i="4"/>
  <c r="BE521" i="4"/>
  <c r="BD521" i="4"/>
  <c r="BC521" i="4"/>
  <c r="BB521" i="4"/>
  <c r="BA521" i="4"/>
  <c r="AZ521" i="4"/>
  <c r="AY521" i="4"/>
  <c r="AX521" i="4"/>
  <c r="AW521" i="4"/>
  <c r="AV521" i="4"/>
  <c r="Y521" i="4"/>
  <c r="Q521" i="4"/>
  <c r="B521" i="4"/>
  <c r="A521" i="4"/>
  <c r="QX520" i="4"/>
  <c r="FX520" i="4"/>
  <c r="FW520" i="4"/>
  <c r="FV520" i="4"/>
  <c r="FS520" i="4"/>
  <c r="FR520" i="4"/>
  <c r="FM520" i="4"/>
  <c r="FL520" i="4"/>
  <c r="FI520" i="4"/>
  <c r="FH520" i="4"/>
  <c r="FG520" i="4"/>
  <c r="FU520" i="4" s="1"/>
  <c r="FF520" i="4"/>
  <c r="FE520" i="4"/>
  <c r="FT520" i="4" s="1"/>
  <c r="FD520" i="4"/>
  <c r="FC520" i="4"/>
  <c r="FA520" i="4"/>
  <c r="FP520" i="4" s="1"/>
  <c r="EZ520" i="4"/>
  <c r="FO520" i="4" s="1"/>
  <c r="EY520" i="4"/>
  <c r="EX520" i="4"/>
  <c r="FN520" i="4" s="1"/>
  <c r="EW520" i="4"/>
  <c r="EV520" i="4"/>
  <c r="EU520" i="4"/>
  <c r="FK520" i="4" s="1"/>
  <c r="DX520" i="4"/>
  <c r="EB520" i="4" s="1"/>
  <c r="DW520" i="4"/>
  <c r="EA520" i="4" s="1"/>
  <c r="DL520" i="4"/>
  <c r="DH520" i="4"/>
  <c r="DG520" i="4"/>
  <c r="DF520" i="4"/>
  <c r="DE520" i="4"/>
  <c r="DA520" i="4"/>
  <c r="CX520" i="4"/>
  <c r="FJ520" i="4" s="1"/>
  <c r="FY520" i="4" s="1"/>
  <c r="CW520" i="4"/>
  <c r="CV520" i="4"/>
  <c r="CU520" i="4"/>
  <c r="CO520" i="4"/>
  <c r="FB520" i="4" s="1"/>
  <c r="FQ520" i="4" s="1"/>
  <c r="CK520" i="4"/>
  <c r="CG520" i="4"/>
  <c r="BS520" i="4"/>
  <c r="BP520" i="4"/>
  <c r="BO520" i="4"/>
  <c r="BN520" i="4"/>
  <c r="BM520" i="4"/>
  <c r="BL520" i="4"/>
  <c r="BK520" i="4"/>
  <c r="BJ520" i="4"/>
  <c r="BI520" i="4"/>
  <c r="BH520" i="4"/>
  <c r="BG520" i="4"/>
  <c r="BF520" i="4"/>
  <c r="BE520" i="4"/>
  <c r="BD520" i="4"/>
  <c r="BC520" i="4"/>
  <c r="BB520" i="4"/>
  <c r="BA520" i="4"/>
  <c r="AZ520" i="4"/>
  <c r="AY520" i="4"/>
  <c r="AX520" i="4"/>
  <c r="AW520" i="4"/>
  <c r="AV520" i="4"/>
  <c r="Y520" i="4"/>
  <c r="Q520" i="4"/>
  <c r="B520" i="4"/>
  <c r="A520" i="4"/>
  <c r="QX519" i="4"/>
  <c r="FX519" i="4"/>
  <c r="FV519" i="4"/>
  <c r="FU519" i="4"/>
  <c r="FR519" i="4"/>
  <c r="FP519" i="4"/>
  <c r="FL519" i="4"/>
  <c r="FK519" i="4"/>
  <c r="FI519" i="4"/>
  <c r="FH519" i="4"/>
  <c r="FG519" i="4"/>
  <c r="FF519" i="4"/>
  <c r="FW519" i="4" s="1"/>
  <c r="FE519" i="4"/>
  <c r="FT519" i="4" s="1"/>
  <c r="FD519" i="4"/>
  <c r="FS519" i="4" s="1"/>
  <c r="FC519" i="4"/>
  <c r="FA519" i="4"/>
  <c r="EZ519" i="4"/>
  <c r="FO519" i="4" s="1"/>
  <c r="EY519" i="4"/>
  <c r="EX519" i="4"/>
  <c r="FN519" i="4" s="1"/>
  <c r="EW519" i="4"/>
  <c r="FM519" i="4" s="1"/>
  <c r="EV519" i="4"/>
  <c r="EU519" i="4"/>
  <c r="EB519" i="4"/>
  <c r="DX519" i="4"/>
  <c r="DW519" i="4"/>
  <c r="DV519" i="4" s="1"/>
  <c r="DZ519" i="4" s="1"/>
  <c r="DL519" i="4"/>
  <c r="DH519" i="4"/>
  <c r="DF519" i="4"/>
  <c r="DE519" i="4"/>
  <c r="DA519" i="4"/>
  <c r="CX519" i="4"/>
  <c r="FJ519" i="4" s="1"/>
  <c r="FY519" i="4" s="1"/>
  <c r="CW519" i="4"/>
  <c r="CV519" i="4"/>
  <c r="CU519" i="4"/>
  <c r="CO519" i="4"/>
  <c r="FB519" i="4" s="1"/>
  <c r="FQ519" i="4" s="1"/>
  <c r="CK519" i="4"/>
  <c r="CG519" i="4"/>
  <c r="BS519" i="4"/>
  <c r="BP519" i="4"/>
  <c r="BO519" i="4"/>
  <c r="BN519" i="4"/>
  <c r="BM519" i="4"/>
  <c r="BL519" i="4"/>
  <c r="BK519" i="4"/>
  <c r="BJ519" i="4"/>
  <c r="BI519" i="4"/>
  <c r="BH519" i="4"/>
  <c r="BG519" i="4"/>
  <c r="BF519" i="4"/>
  <c r="BE519" i="4"/>
  <c r="BD519" i="4"/>
  <c r="BC519" i="4"/>
  <c r="BB519" i="4"/>
  <c r="BA519" i="4"/>
  <c r="AZ519" i="4"/>
  <c r="AY519" i="4"/>
  <c r="AX519" i="4"/>
  <c r="AW519" i="4"/>
  <c r="AV519" i="4"/>
  <c r="Y519" i="4"/>
  <c r="Q519" i="4"/>
  <c r="B519" i="4"/>
  <c r="A519" i="4"/>
  <c r="QX518" i="4"/>
  <c r="FV518" i="4"/>
  <c r="FU518" i="4"/>
  <c r="FP518" i="4"/>
  <c r="FO518" i="4"/>
  <c r="FK518" i="4"/>
  <c r="FJ518" i="4"/>
  <c r="FY518" i="4" s="1"/>
  <c r="FI518" i="4"/>
  <c r="FX518" i="4" s="1"/>
  <c r="FH518" i="4"/>
  <c r="FG518" i="4"/>
  <c r="FE518" i="4"/>
  <c r="FT518" i="4" s="1"/>
  <c r="FD518" i="4"/>
  <c r="FS518" i="4" s="1"/>
  <c r="FC518" i="4"/>
  <c r="FR518" i="4" s="1"/>
  <c r="FA518" i="4"/>
  <c r="EZ518" i="4"/>
  <c r="EY518" i="4"/>
  <c r="EX518" i="4"/>
  <c r="FN518" i="4" s="1"/>
  <c r="EW518" i="4"/>
  <c r="FM518" i="4" s="1"/>
  <c r="EV518" i="4"/>
  <c r="FL518" i="4" s="1"/>
  <c r="EU518" i="4"/>
  <c r="EB518" i="4"/>
  <c r="EA518" i="4"/>
  <c r="DX518" i="4"/>
  <c r="DW518" i="4"/>
  <c r="DV518" i="4"/>
  <c r="DZ518" i="4" s="1"/>
  <c r="DU518" i="4"/>
  <c r="DL518" i="4"/>
  <c r="DH518" i="4"/>
  <c r="DF518" i="4"/>
  <c r="DE518" i="4"/>
  <c r="DA518" i="4"/>
  <c r="CX518" i="4"/>
  <c r="CW518" i="4"/>
  <c r="CV518" i="4"/>
  <c r="DY518" i="4" s="1"/>
  <c r="EC518" i="4" s="1"/>
  <c r="CU518" i="4"/>
  <c r="CO518" i="4"/>
  <c r="FB518" i="4" s="1"/>
  <c r="FQ518" i="4" s="1"/>
  <c r="CK518" i="4"/>
  <c r="CG518" i="4"/>
  <c r="BS518" i="4"/>
  <c r="BP518" i="4"/>
  <c r="BO518" i="4"/>
  <c r="BN518" i="4"/>
  <c r="BM518" i="4"/>
  <c r="BL518" i="4"/>
  <c r="BK518" i="4"/>
  <c r="BJ518" i="4"/>
  <c r="BI518" i="4"/>
  <c r="BH518" i="4"/>
  <c r="BG518" i="4"/>
  <c r="BF518" i="4"/>
  <c r="BE518" i="4"/>
  <c r="BD518" i="4"/>
  <c r="BC518" i="4"/>
  <c r="BB518" i="4"/>
  <c r="BA518" i="4"/>
  <c r="AZ518" i="4"/>
  <c r="AY518" i="4"/>
  <c r="AX518" i="4"/>
  <c r="AW518" i="4"/>
  <c r="AV518" i="4"/>
  <c r="Y518" i="4"/>
  <c r="Q518" i="4"/>
  <c r="B518" i="4"/>
  <c r="A518" i="4"/>
  <c r="QX517" i="4"/>
  <c r="FV517" i="4"/>
  <c r="FU517" i="4"/>
  <c r="FT517" i="4"/>
  <c r="FP517" i="4"/>
  <c r="FO517" i="4"/>
  <c r="FI517" i="4"/>
  <c r="FX517" i="4" s="1"/>
  <c r="FH517" i="4"/>
  <c r="FG517" i="4"/>
  <c r="FE517" i="4"/>
  <c r="FD517" i="4"/>
  <c r="FS517" i="4" s="1"/>
  <c r="FC517" i="4"/>
  <c r="FR517" i="4" s="1"/>
  <c r="FA517" i="4"/>
  <c r="EZ517" i="4"/>
  <c r="EY517" i="4"/>
  <c r="EX517" i="4"/>
  <c r="FN517" i="4" s="1"/>
  <c r="EW517" i="4"/>
  <c r="FM517" i="4" s="1"/>
  <c r="EV517" i="4"/>
  <c r="FL517" i="4" s="1"/>
  <c r="EU517" i="4"/>
  <c r="FK517" i="4" s="1"/>
  <c r="DX517" i="4"/>
  <c r="EB517" i="4" s="1"/>
  <c r="DL517" i="4"/>
  <c r="DH517" i="4"/>
  <c r="DF517" i="4"/>
  <c r="DA517" i="4"/>
  <c r="CW517" i="4"/>
  <c r="CV517" i="4"/>
  <c r="DG517" i="4" s="1"/>
  <c r="CU517" i="4"/>
  <c r="DE517" i="4" s="1"/>
  <c r="CO517" i="4"/>
  <c r="FB517" i="4" s="1"/>
  <c r="FQ517" i="4" s="1"/>
  <c r="CN517" i="4"/>
  <c r="DW517" i="4" s="1"/>
  <c r="CG517" i="4"/>
  <c r="BP517" i="4"/>
  <c r="BO517" i="4"/>
  <c r="BN517" i="4"/>
  <c r="BM517" i="4"/>
  <c r="BL517" i="4"/>
  <c r="BK517" i="4"/>
  <c r="BJ517" i="4"/>
  <c r="BI517" i="4"/>
  <c r="BH517" i="4"/>
  <c r="BG517" i="4"/>
  <c r="BF517" i="4"/>
  <c r="BE517" i="4"/>
  <c r="BD517" i="4"/>
  <c r="BC517" i="4"/>
  <c r="BB517" i="4"/>
  <c r="BA517" i="4"/>
  <c r="AZ517" i="4"/>
  <c r="AY517" i="4"/>
  <c r="AX517" i="4"/>
  <c r="AW517" i="4"/>
  <c r="AV517" i="4"/>
  <c r="Y517" i="4"/>
  <c r="Q517" i="4"/>
  <c r="B517" i="4"/>
  <c r="A517" i="4"/>
  <c r="QX516" i="4"/>
  <c r="FU516" i="4"/>
  <c r="FT516" i="4"/>
  <c r="FS516" i="4"/>
  <c r="FO516" i="4"/>
  <c r="FN516" i="4"/>
  <c r="FI516" i="4"/>
  <c r="FX516" i="4" s="1"/>
  <c r="FH516" i="4"/>
  <c r="FV516" i="4" s="1"/>
  <c r="FG516" i="4"/>
  <c r="FE516" i="4"/>
  <c r="FD516" i="4"/>
  <c r="FC516" i="4"/>
  <c r="FR516" i="4" s="1"/>
  <c r="FA516" i="4"/>
  <c r="FP516" i="4" s="1"/>
  <c r="EZ516" i="4"/>
  <c r="EY516" i="4"/>
  <c r="EX516" i="4"/>
  <c r="EW516" i="4"/>
  <c r="FM516" i="4" s="1"/>
  <c r="EV516" i="4"/>
  <c r="FL516" i="4" s="1"/>
  <c r="EU516" i="4"/>
  <c r="FK516" i="4" s="1"/>
  <c r="DX516" i="4"/>
  <c r="EB516" i="4" s="1"/>
  <c r="DW516" i="4"/>
  <c r="DV516" i="4" s="1"/>
  <c r="DZ516" i="4" s="1"/>
  <c r="DL516" i="4"/>
  <c r="DH516" i="4"/>
  <c r="DF516" i="4"/>
  <c r="DA516" i="4"/>
  <c r="CX516" i="4"/>
  <c r="FJ516" i="4" s="1"/>
  <c r="FY516" i="4" s="1"/>
  <c r="CU516" i="4"/>
  <c r="DE516" i="4" s="1"/>
  <c r="CO516" i="4"/>
  <c r="CW516" i="4" s="1"/>
  <c r="CK516" i="4"/>
  <c r="CG516" i="4"/>
  <c r="BS516" i="4"/>
  <c r="BP516" i="4"/>
  <c r="BO516" i="4"/>
  <c r="BN516" i="4"/>
  <c r="BM516" i="4"/>
  <c r="BL516" i="4"/>
  <c r="BK516" i="4"/>
  <c r="BJ516" i="4"/>
  <c r="BI516" i="4"/>
  <c r="BH516" i="4"/>
  <c r="BG516" i="4"/>
  <c r="BF516" i="4"/>
  <c r="BE516" i="4"/>
  <c r="BD516" i="4"/>
  <c r="BC516" i="4"/>
  <c r="BB516" i="4"/>
  <c r="BA516" i="4"/>
  <c r="AZ516" i="4"/>
  <c r="AY516" i="4"/>
  <c r="AX516" i="4"/>
  <c r="AW516" i="4"/>
  <c r="AV516" i="4"/>
  <c r="Y516" i="4"/>
  <c r="Q516" i="4"/>
  <c r="B516" i="4"/>
  <c r="A516" i="4"/>
  <c r="QX515" i="4"/>
  <c r="FX515" i="4"/>
  <c r="FT515" i="4"/>
  <c r="FS515" i="4"/>
  <c r="FR515" i="4"/>
  <c r="FN515" i="4"/>
  <c r="FM515" i="4"/>
  <c r="FI515" i="4"/>
  <c r="FH515" i="4"/>
  <c r="FV515" i="4" s="1"/>
  <c r="FG515" i="4"/>
  <c r="FU515" i="4" s="1"/>
  <c r="FE515" i="4"/>
  <c r="FD515" i="4"/>
  <c r="FC515" i="4"/>
  <c r="FA515" i="4"/>
  <c r="FP515" i="4" s="1"/>
  <c r="EZ515" i="4"/>
  <c r="FO515" i="4" s="1"/>
  <c r="EY515" i="4"/>
  <c r="EX515" i="4"/>
  <c r="EW515" i="4"/>
  <c r="EV515" i="4"/>
  <c r="FL515" i="4" s="1"/>
  <c r="EU515" i="4"/>
  <c r="FK515" i="4" s="1"/>
  <c r="DX515" i="4"/>
  <c r="EB515" i="4" s="1"/>
  <c r="DW515" i="4"/>
  <c r="DV515" i="4" s="1"/>
  <c r="DZ515" i="4" s="1"/>
  <c r="DL515" i="4"/>
  <c r="DH515" i="4"/>
  <c r="DF515" i="4"/>
  <c r="DE515" i="4"/>
  <c r="DA515" i="4"/>
  <c r="CX515" i="4"/>
  <c r="FJ515" i="4" s="1"/>
  <c r="FY515" i="4" s="1"/>
  <c r="CU515" i="4"/>
  <c r="CO515" i="4"/>
  <c r="CW515" i="4" s="1"/>
  <c r="CK515" i="4"/>
  <c r="CG515" i="4"/>
  <c r="BP515" i="4"/>
  <c r="BO515" i="4"/>
  <c r="BN515" i="4"/>
  <c r="BM515" i="4"/>
  <c r="BL515" i="4"/>
  <c r="BK515" i="4"/>
  <c r="BJ515" i="4"/>
  <c r="BI515" i="4"/>
  <c r="BH515" i="4"/>
  <c r="BG515" i="4"/>
  <c r="BF515" i="4"/>
  <c r="BE515" i="4"/>
  <c r="BD515" i="4"/>
  <c r="BC515" i="4"/>
  <c r="BB515" i="4"/>
  <c r="BA515" i="4"/>
  <c r="AZ515" i="4"/>
  <c r="AY515" i="4"/>
  <c r="AX515" i="4"/>
  <c r="AW515" i="4"/>
  <c r="AV515" i="4"/>
  <c r="Y515" i="4"/>
  <c r="Q515" i="4"/>
  <c r="B515" i="4"/>
  <c r="A515" i="4"/>
  <c r="QX514" i="4"/>
  <c r="FX514" i="4"/>
  <c r="FV514" i="4"/>
  <c r="FU514" i="4"/>
  <c r="FR514" i="4"/>
  <c r="FP514" i="4"/>
  <c r="FL514" i="4"/>
  <c r="FK514" i="4"/>
  <c r="FI514" i="4"/>
  <c r="FH514" i="4"/>
  <c r="FG514" i="4"/>
  <c r="FF514" i="4"/>
  <c r="FW514" i="4" s="1"/>
  <c r="FE514" i="4"/>
  <c r="FT514" i="4" s="1"/>
  <c r="FD514" i="4"/>
  <c r="FS514" i="4" s="1"/>
  <c r="FC514" i="4"/>
  <c r="FA514" i="4"/>
  <c r="EZ514" i="4"/>
  <c r="FO514" i="4" s="1"/>
  <c r="EY514" i="4"/>
  <c r="EX514" i="4"/>
  <c r="FN514" i="4" s="1"/>
  <c r="EW514" i="4"/>
  <c r="FM514" i="4" s="1"/>
  <c r="EV514" i="4"/>
  <c r="EU514" i="4"/>
  <c r="EB514" i="4"/>
  <c r="DX514" i="4"/>
  <c r="DW514" i="4"/>
  <c r="DV514" i="4" s="1"/>
  <c r="DZ514" i="4" s="1"/>
  <c r="DL514" i="4"/>
  <c r="DH514" i="4"/>
  <c r="DF514" i="4"/>
  <c r="DE514" i="4"/>
  <c r="DA514" i="4"/>
  <c r="CX514" i="4"/>
  <c r="FJ514" i="4" s="1"/>
  <c r="FY514" i="4" s="1"/>
  <c r="CW514" i="4"/>
  <c r="CV514" i="4"/>
  <c r="DY514" i="4" s="1"/>
  <c r="EC514" i="4" s="1"/>
  <c r="CU514" i="4"/>
  <c r="CO514" i="4"/>
  <c r="FB514" i="4" s="1"/>
  <c r="FQ514" i="4" s="1"/>
  <c r="CK514" i="4"/>
  <c r="CG514" i="4"/>
  <c r="BS514" i="4"/>
  <c r="BP514" i="4"/>
  <c r="BO514" i="4"/>
  <c r="BN514" i="4"/>
  <c r="BM514" i="4"/>
  <c r="BL514" i="4"/>
  <c r="BK514" i="4"/>
  <c r="BJ514" i="4"/>
  <c r="BI514" i="4"/>
  <c r="BH514" i="4"/>
  <c r="BG514" i="4"/>
  <c r="BF514" i="4"/>
  <c r="BE514" i="4"/>
  <c r="BD514" i="4"/>
  <c r="BC514" i="4"/>
  <c r="BB514" i="4"/>
  <c r="BA514" i="4"/>
  <c r="AZ514" i="4"/>
  <c r="AY514" i="4"/>
  <c r="AX514" i="4"/>
  <c r="AW514" i="4"/>
  <c r="AV514" i="4"/>
  <c r="Y514" i="4"/>
  <c r="Q514" i="4"/>
  <c r="B514" i="4"/>
  <c r="A514" i="4"/>
  <c r="QX513" i="4"/>
  <c r="FV513" i="4"/>
  <c r="FU513" i="4"/>
  <c r="FP513" i="4"/>
  <c r="FO513" i="4"/>
  <c r="FK513" i="4"/>
  <c r="FJ513" i="4"/>
  <c r="FY513" i="4" s="1"/>
  <c r="FI513" i="4"/>
  <c r="FX513" i="4" s="1"/>
  <c r="FH513" i="4"/>
  <c r="FG513" i="4"/>
  <c r="FE513" i="4"/>
  <c r="FT513" i="4" s="1"/>
  <c r="FD513" i="4"/>
  <c r="FS513" i="4" s="1"/>
  <c r="FC513" i="4"/>
  <c r="FR513" i="4" s="1"/>
  <c r="FA513" i="4"/>
  <c r="EZ513" i="4"/>
  <c r="EY513" i="4"/>
  <c r="EX513" i="4"/>
  <c r="FN513" i="4" s="1"/>
  <c r="EW513" i="4"/>
  <c r="FM513" i="4" s="1"/>
  <c r="EV513" i="4"/>
  <c r="FL513" i="4" s="1"/>
  <c r="EU513" i="4"/>
  <c r="EB513" i="4"/>
  <c r="EA513" i="4"/>
  <c r="DX513" i="4"/>
  <c r="DW513" i="4"/>
  <c r="DV513" i="4"/>
  <c r="DZ513" i="4" s="1"/>
  <c r="DU513" i="4"/>
  <c r="DL513" i="4"/>
  <c r="DH513" i="4"/>
  <c r="DF513" i="4"/>
  <c r="DE513" i="4"/>
  <c r="DA513" i="4"/>
  <c r="CX513" i="4"/>
  <c r="CW513" i="4"/>
  <c r="CV513" i="4"/>
  <c r="DY513" i="4" s="1"/>
  <c r="EC513" i="4" s="1"/>
  <c r="CU513" i="4"/>
  <c r="CO513" i="4"/>
  <c r="FB513" i="4" s="1"/>
  <c r="FQ513" i="4" s="1"/>
  <c r="CG513" i="4"/>
  <c r="BS513" i="4"/>
  <c r="BP513" i="4"/>
  <c r="BO513" i="4"/>
  <c r="BN513" i="4"/>
  <c r="BM513" i="4"/>
  <c r="BL513" i="4"/>
  <c r="BK513" i="4"/>
  <c r="BJ513" i="4"/>
  <c r="BI513" i="4"/>
  <c r="BH513" i="4"/>
  <c r="BG513" i="4"/>
  <c r="BF513" i="4"/>
  <c r="BE513" i="4"/>
  <c r="BD513" i="4"/>
  <c r="BC513" i="4"/>
  <c r="BB513" i="4"/>
  <c r="BA513" i="4"/>
  <c r="AZ513" i="4"/>
  <c r="AY513" i="4"/>
  <c r="AX513" i="4"/>
  <c r="AW513" i="4"/>
  <c r="AV513" i="4"/>
  <c r="Y513" i="4"/>
  <c r="Q513" i="4"/>
  <c r="B513" i="4"/>
  <c r="A513" i="4"/>
  <c r="FU512" i="4"/>
  <c r="FT512" i="4"/>
  <c r="FS512" i="4"/>
  <c r="FO512" i="4"/>
  <c r="FN512" i="4"/>
  <c r="FI512" i="4"/>
  <c r="FX512" i="4" s="1"/>
  <c r="FH512" i="4"/>
  <c r="FV512" i="4" s="1"/>
  <c r="FG512" i="4"/>
  <c r="FE512" i="4"/>
  <c r="FD512" i="4"/>
  <c r="FC512" i="4"/>
  <c r="FR512" i="4" s="1"/>
  <c r="FA512" i="4"/>
  <c r="FP512" i="4" s="1"/>
  <c r="EZ512" i="4"/>
  <c r="EY512" i="4"/>
  <c r="EX512" i="4"/>
  <c r="EW512" i="4"/>
  <c r="FM512" i="4" s="1"/>
  <c r="EV512" i="4"/>
  <c r="FL512" i="4" s="1"/>
  <c r="EU512" i="4"/>
  <c r="FK512" i="4" s="1"/>
  <c r="DX512" i="4"/>
  <c r="EB512" i="4" s="1"/>
  <c r="DL512" i="4"/>
  <c r="DF512" i="4"/>
  <c r="DA512" i="4"/>
  <c r="CW512" i="4"/>
  <c r="CU512" i="4"/>
  <c r="DE512" i="4" s="1"/>
  <c r="CO512" i="4"/>
  <c r="CV512" i="4" s="1"/>
  <c r="CN512" i="4"/>
  <c r="DW512" i="4" s="1"/>
  <c r="CJ512" i="4"/>
  <c r="CG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Y512" i="4"/>
  <c r="Q512" i="4"/>
  <c r="B512" i="4"/>
  <c r="A512" i="4"/>
  <c r="FU511" i="4"/>
  <c r="FT511" i="4"/>
  <c r="FS511" i="4"/>
  <c r="FO511" i="4"/>
  <c r="FN511" i="4"/>
  <c r="FI511" i="4"/>
  <c r="FX511" i="4" s="1"/>
  <c r="FH511" i="4"/>
  <c r="FV511" i="4" s="1"/>
  <c r="FG511" i="4"/>
  <c r="FE511" i="4"/>
  <c r="FD511" i="4"/>
  <c r="FC511" i="4"/>
  <c r="FR511" i="4" s="1"/>
  <c r="FA511" i="4"/>
  <c r="FP511" i="4" s="1"/>
  <c r="EZ511" i="4"/>
  <c r="EY511" i="4"/>
  <c r="EX511" i="4"/>
  <c r="EW511" i="4"/>
  <c r="FM511" i="4" s="1"/>
  <c r="EV511" i="4"/>
  <c r="FL511" i="4" s="1"/>
  <c r="EU511" i="4"/>
  <c r="FK511" i="4" s="1"/>
  <c r="DX511" i="4"/>
  <c r="EB511" i="4" s="1"/>
  <c r="DL511" i="4"/>
  <c r="DF511" i="4"/>
  <c r="DA511" i="4"/>
  <c r="CW511" i="4"/>
  <c r="CU511" i="4"/>
  <c r="DE511" i="4" s="1"/>
  <c r="CO511" i="4"/>
  <c r="CV511" i="4" s="1"/>
  <c r="CN511" i="4"/>
  <c r="DW511" i="4" s="1"/>
  <c r="CJ511" i="4"/>
  <c r="CG511" i="4"/>
  <c r="BP511" i="4"/>
  <c r="BO511" i="4"/>
  <c r="BN511" i="4"/>
  <c r="BM511" i="4"/>
  <c r="BL511" i="4"/>
  <c r="BK511" i="4"/>
  <c r="BJ511" i="4"/>
  <c r="BI511" i="4"/>
  <c r="BH511" i="4"/>
  <c r="BG511" i="4"/>
  <c r="BF511" i="4"/>
  <c r="BE511" i="4"/>
  <c r="BD511" i="4"/>
  <c r="BC511" i="4"/>
  <c r="BB511" i="4"/>
  <c r="BA511" i="4"/>
  <c r="AZ511" i="4"/>
  <c r="AY511" i="4"/>
  <c r="AX511" i="4"/>
  <c r="AW511" i="4"/>
  <c r="AV511" i="4"/>
  <c r="Y511" i="4"/>
  <c r="Q511" i="4"/>
  <c r="B511" i="4"/>
  <c r="A511" i="4"/>
  <c r="QX510" i="4"/>
  <c r="FU510" i="4"/>
  <c r="FT510" i="4"/>
  <c r="FS510" i="4"/>
  <c r="FO510" i="4"/>
  <c r="FN510" i="4"/>
  <c r="FI510" i="4"/>
  <c r="FX510" i="4" s="1"/>
  <c r="FH510" i="4"/>
  <c r="FV510" i="4" s="1"/>
  <c r="FG510" i="4"/>
  <c r="FE510" i="4"/>
  <c r="FD510" i="4"/>
  <c r="FC510" i="4"/>
  <c r="FR510" i="4" s="1"/>
  <c r="FA510" i="4"/>
  <c r="FP510" i="4" s="1"/>
  <c r="EZ510" i="4"/>
  <c r="EY510" i="4"/>
  <c r="EX510" i="4"/>
  <c r="EW510" i="4"/>
  <c r="FM510" i="4" s="1"/>
  <c r="EV510" i="4"/>
  <c r="FL510" i="4" s="1"/>
  <c r="EU510" i="4"/>
  <c r="FK510" i="4" s="1"/>
  <c r="DX510" i="4"/>
  <c r="EB510" i="4" s="1"/>
  <c r="DW510" i="4"/>
  <c r="DV510" i="4" s="1"/>
  <c r="DZ510" i="4" s="1"/>
  <c r="DL510" i="4"/>
  <c r="DH510" i="4"/>
  <c r="DF510" i="4"/>
  <c r="DA510" i="4"/>
  <c r="CX510" i="4"/>
  <c r="FJ510" i="4" s="1"/>
  <c r="FY510" i="4" s="1"/>
  <c r="CW510" i="4"/>
  <c r="CU510" i="4"/>
  <c r="DE510" i="4" s="1"/>
  <c r="CO510" i="4"/>
  <c r="CV510" i="4" s="1"/>
  <c r="CK510" i="4"/>
  <c r="BP510" i="4"/>
  <c r="BO510" i="4"/>
  <c r="BN510" i="4"/>
  <c r="BM510" i="4"/>
  <c r="BL510" i="4"/>
  <c r="BK510" i="4"/>
  <c r="BJ510" i="4"/>
  <c r="BI510" i="4"/>
  <c r="BH510" i="4"/>
  <c r="BG510" i="4"/>
  <c r="BF510" i="4"/>
  <c r="BE510" i="4"/>
  <c r="BD510" i="4"/>
  <c r="BC510" i="4"/>
  <c r="BB510" i="4"/>
  <c r="BA510" i="4"/>
  <c r="AZ510" i="4"/>
  <c r="AY510" i="4"/>
  <c r="AX510" i="4"/>
  <c r="AW510" i="4"/>
  <c r="AV510" i="4"/>
  <c r="Y510" i="4"/>
  <c r="Q510" i="4"/>
  <c r="B510" i="4"/>
  <c r="A510" i="4"/>
  <c r="QX509" i="4"/>
  <c r="FX509" i="4"/>
  <c r="FV509" i="4"/>
  <c r="FU509" i="4"/>
  <c r="FR509" i="4"/>
  <c r="FP509" i="4"/>
  <c r="FL509" i="4"/>
  <c r="FK509" i="4"/>
  <c r="FI509" i="4"/>
  <c r="FH509" i="4"/>
  <c r="FG509" i="4"/>
  <c r="FF509" i="4"/>
  <c r="FW509" i="4" s="1"/>
  <c r="FE509" i="4"/>
  <c r="FT509" i="4" s="1"/>
  <c r="FD509" i="4"/>
  <c r="FS509" i="4" s="1"/>
  <c r="FC509" i="4"/>
  <c r="FA509" i="4"/>
  <c r="EZ509" i="4"/>
  <c r="FO509" i="4" s="1"/>
  <c r="EY509" i="4"/>
  <c r="EX509" i="4"/>
  <c r="FN509" i="4" s="1"/>
  <c r="EW509" i="4"/>
  <c r="FM509" i="4" s="1"/>
  <c r="EV509" i="4"/>
  <c r="EU509" i="4"/>
  <c r="EB509" i="4"/>
  <c r="DX509" i="4"/>
  <c r="DW509" i="4"/>
  <c r="DV509" i="4" s="1"/>
  <c r="DZ509" i="4" s="1"/>
  <c r="DL509" i="4"/>
  <c r="DH509" i="4"/>
  <c r="DF509" i="4"/>
  <c r="DE509" i="4"/>
  <c r="DA509" i="4"/>
  <c r="CX509" i="4"/>
  <c r="FJ509" i="4" s="1"/>
  <c r="FY509" i="4" s="1"/>
  <c r="CW509" i="4"/>
  <c r="CV509" i="4"/>
  <c r="CU509" i="4"/>
  <c r="CO509" i="4"/>
  <c r="FB509" i="4" s="1"/>
  <c r="FQ509" i="4" s="1"/>
  <c r="CK509" i="4"/>
  <c r="CG509" i="4"/>
  <c r="BR509" i="4"/>
  <c r="BS509" i="4" s="1"/>
  <c r="BP509" i="4"/>
  <c r="BO509" i="4"/>
  <c r="BN509" i="4"/>
  <c r="BM509" i="4"/>
  <c r="BL509" i="4"/>
  <c r="BK509" i="4"/>
  <c r="BJ509" i="4"/>
  <c r="BI509" i="4"/>
  <c r="BH509" i="4"/>
  <c r="BG509" i="4"/>
  <c r="BF509" i="4"/>
  <c r="BE509" i="4"/>
  <c r="BD509" i="4"/>
  <c r="BC509" i="4"/>
  <c r="BB509" i="4"/>
  <c r="BA509" i="4"/>
  <c r="AZ509" i="4"/>
  <c r="AY509" i="4"/>
  <c r="AX509" i="4"/>
  <c r="AW509" i="4"/>
  <c r="AV509" i="4"/>
  <c r="AQ509" i="4"/>
  <c r="AO509" i="4"/>
  <c r="AI509" i="4"/>
  <c r="Y509" i="4"/>
  <c r="Q509" i="4"/>
  <c r="B509" i="4"/>
  <c r="A509" i="4"/>
  <c r="QX508" i="4"/>
  <c r="FX508" i="4"/>
  <c r="FU508" i="4"/>
  <c r="FT508" i="4"/>
  <c r="FS508" i="4"/>
  <c r="FO508" i="4"/>
  <c r="FN508" i="4"/>
  <c r="FI508" i="4"/>
  <c r="FH508" i="4"/>
  <c r="FV508" i="4" s="1"/>
  <c r="FG508" i="4"/>
  <c r="FE508" i="4"/>
  <c r="FD508" i="4"/>
  <c r="FC508" i="4"/>
  <c r="FR508" i="4" s="1"/>
  <c r="FA508" i="4"/>
  <c r="FP508" i="4" s="1"/>
  <c r="EZ508" i="4"/>
  <c r="EY508" i="4"/>
  <c r="EX508" i="4"/>
  <c r="EW508" i="4"/>
  <c r="FM508" i="4" s="1"/>
  <c r="EV508" i="4"/>
  <c r="FL508" i="4" s="1"/>
  <c r="EU508" i="4"/>
  <c r="FK508" i="4" s="1"/>
  <c r="DX508" i="4"/>
  <c r="EB508" i="4" s="1"/>
  <c r="DW508" i="4"/>
  <c r="DV508" i="4" s="1"/>
  <c r="DZ508" i="4" s="1"/>
  <c r="DL508" i="4"/>
  <c r="DH508" i="4"/>
  <c r="DF508" i="4"/>
  <c r="DA508" i="4"/>
  <c r="CX508" i="4"/>
  <c r="FJ508" i="4" s="1"/>
  <c r="FY508" i="4" s="1"/>
  <c r="CU508" i="4"/>
  <c r="DE508" i="4" s="1"/>
  <c r="CO508" i="4"/>
  <c r="CW508" i="4" s="1"/>
  <c r="CG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C508" i="4"/>
  <c r="BB508" i="4"/>
  <c r="BA508" i="4"/>
  <c r="AZ508" i="4"/>
  <c r="AY508" i="4"/>
  <c r="AX508" i="4"/>
  <c r="AW508" i="4"/>
  <c r="AV508" i="4"/>
  <c r="Y508" i="4"/>
  <c r="Q508" i="4"/>
  <c r="B508" i="4"/>
  <c r="A508" i="4"/>
  <c r="FV507" i="4"/>
  <c r="FU507" i="4"/>
  <c r="FR507" i="4"/>
  <c r="FP507" i="4"/>
  <c r="FL507" i="4"/>
  <c r="FK507" i="4"/>
  <c r="FH507" i="4"/>
  <c r="FG507" i="4"/>
  <c r="FE507" i="4"/>
  <c r="FT507" i="4" s="1"/>
  <c r="FD507" i="4"/>
  <c r="FS507" i="4" s="1"/>
  <c r="FC507" i="4"/>
  <c r="FA507" i="4"/>
  <c r="EZ507" i="4"/>
  <c r="FO507" i="4" s="1"/>
  <c r="EY507" i="4"/>
  <c r="EX507" i="4"/>
  <c r="FN507" i="4" s="1"/>
  <c r="EW507" i="4"/>
  <c r="FM507" i="4" s="1"/>
  <c r="EV507" i="4"/>
  <c r="EU507" i="4"/>
  <c r="EC507" i="4"/>
  <c r="EB507" i="4"/>
  <c r="EA507" i="4"/>
  <c r="DU507" i="4"/>
  <c r="DL507" i="4"/>
  <c r="DH507" i="4"/>
  <c r="DF507" i="4"/>
  <c r="DE507" i="4"/>
  <c r="DA507" i="4"/>
  <c r="CX507" i="4"/>
  <c r="FJ507" i="4" s="1"/>
  <c r="FY507" i="4" s="1"/>
  <c r="CW507" i="4"/>
  <c r="CU507" i="4"/>
  <c r="CO507" i="4"/>
  <c r="DZ507" i="4" s="1"/>
  <c r="CN507" i="4"/>
  <c r="FI507" i="4" s="1"/>
  <c r="FX507" i="4" s="1"/>
  <c r="CK507" i="4"/>
  <c r="CJ507" i="4"/>
  <c r="CG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Y507" i="4"/>
  <c r="Q507" i="4"/>
  <c r="B507" i="4"/>
  <c r="A507" i="4"/>
  <c r="QX506" i="4"/>
  <c r="FX506" i="4"/>
  <c r="FT506" i="4"/>
  <c r="FS506" i="4"/>
  <c r="FR506" i="4"/>
  <c r="FN506" i="4"/>
  <c r="FM506" i="4"/>
  <c r="FI506" i="4"/>
  <c r="FH506" i="4"/>
  <c r="FV506" i="4" s="1"/>
  <c r="FG506" i="4"/>
  <c r="FU506" i="4" s="1"/>
  <c r="FE506" i="4"/>
  <c r="FD506" i="4"/>
  <c r="FC506" i="4"/>
  <c r="FA506" i="4"/>
  <c r="FP506" i="4" s="1"/>
  <c r="EZ506" i="4"/>
  <c r="FO506" i="4" s="1"/>
  <c r="EY506" i="4"/>
  <c r="EX506" i="4"/>
  <c r="EW506" i="4"/>
  <c r="EV506" i="4"/>
  <c r="FL506" i="4" s="1"/>
  <c r="EU506" i="4"/>
  <c r="FK506" i="4" s="1"/>
  <c r="DX506" i="4"/>
  <c r="EB506" i="4" s="1"/>
  <c r="DW506" i="4"/>
  <c r="DV506" i="4" s="1"/>
  <c r="DZ506" i="4" s="1"/>
  <c r="DL506" i="4"/>
  <c r="DH506" i="4"/>
  <c r="DF506" i="4"/>
  <c r="DE506" i="4"/>
  <c r="DA506" i="4"/>
  <c r="CX506" i="4"/>
  <c r="FJ506" i="4" s="1"/>
  <c r="FY506" i="4" s="1"/>
  <c r="CU506" i="4"/>
  <c r="CO506" i="4"/>
  <c r="CW506" i="4" s="1"/>
  <c r="CK506" i="4"/>
  <c r="CG506" i="4"/>
  <c r="BS506" i="4"/>
  <c r="BP506" i="4"/>
  <c r="BO506" i="4"/>
  <c r="BN506" i="4"/>
  <c r="BM506" i="4"/>
  <c r="BL506" i="4"/>
  <c r="BK506" i="4"/>
  <c r="BJ506" i="4"/>
  <c r="BI506" i="4"/>
  <c r="BH506" i="4"/>
  <c r="BG506" i="4"/>
  <c r="BF506" i="4"/>
  <c r="BE506" i="4"/>
  <c r="BD506" i="4"/>
  <c r="BC506" i="4"/>
  <c r="BB506" i="4"/>
  <c r="BA506" i="4"/>
  <c r="AZ506" i="4"/>
  <c r="AY506" i="4"/>
  <c r="AX506" i="4"/>
  <c r="AW506" i="4"/>
  <c r="AV506" i="4"/>
  <c r="Y506" i="4"/>
  <c r="Q506" i="4"/>
  <c r="B506" i="4"/>
  <c r="A506" i="4"/>
  <c r="FW505" i="4"/>
  <c r="FV505" i="4"/>
  <c r="FS505" i="4"/>
  <c r="FR505" i="4"/>
  <c r="FM505" i="4"/>
  <c r="FL505" i="4"/>
  <c r="FH505" i="4"/>
  <c r="FG505" i="4"/>
  <c r="FU505" i="4" s="1"/>
  <c r="FF505" i="4"/>
  <c r="FE505" i="4"/>
  <c r="FT505" i="4" s="1"/>
  <c r="FD505" i="4"/>
  <c r="FC505" i="4"/>
  <c r="FA505" i="4"/>
  <c r="FP505" i="4" s="1"/>
  <c r="EZ505" i="4"/>
  <c r="FO505" i="4" s="1"/>
  <c r="EY505" i="4"/>
  <c r="EX505" i="4"/>
  <c r="FN505" i="4" s="1"/>
  <c r="EW505" i="4"/>
  <c r="EV505" i="4"/>
  <c r="EU505" i="4"/>
  <c r="FK505" i="4" s="1"/>
  <c r="EC505" i="4"/>
  <c r="EB505" i="4"/>
  <c r="EA505" i="4"/>
  <c r="DX505" i="4"/>
  <c r="DG505" i="4"/>
  <c r="DF505" i="4"/>
  <c r="DE505" i="4"/>
  <c r="DA505" i="4"/>
  <c r="CW505" i="4"/>
  <c r="CV505" i="4"/>
  <c r="CU505" i="4"/>
  <c r="CO505" i="4"/>
  <c r="FB505" i="4" s="1"/>
  <c r="FQ505" i="4" s="1"/>
  <c r="CN505" i="4"/>
  <c r="FI505" i="4" s="1"/>
  <c r="FX505" i="4" s="1"/>
  <c r="CG505" i="4"/>
  <c r="BS505" i="4"/>
  <c r="BP505" i="4"/>
  <c r="BO505" i="4"/>
  <c r="BL505" i="4"/>
  <c r="BJ505" i="4"/>
  <c r="BI505" i="4"/>
  <c r="BH505" i="4"/>
  <c r="BG505" i="4"/>
  <c r="BF505" i="4"/>
  <c r="BE505" i="4"/>
  <c r="BD505" i="4"/>
  <c r="BC505" i="4"/>
  <c r="BB505" i="4"/>
  <c r="BA505" i="4"/>
  <c r="AZ505" i="4"/>
  <c r="AY505" i="4"/>
  <c r="AX505" i="4"/>
  <c r="AW505" i="4"/>
  <c r="AV505" i="4"/>
  <c r="Y505" i="4"/>
  <c r="Q505" i="4"/>
  <c r="B505" i="4"/>
  <c r="A505" i="4"/>
  <c r="QX504" i="4"/>
  <c r="FV504" i="4"/>
  <c r="FU504" i="4"/>
  <c r="FT504" i="4"/>
  <c r="FP504" i="4"/>
  <c r="FO504" i="4"/>
  <c r="FJ504" i="4"/>
  <c r="FY504" i="4" s="1"/>
  <c r="FI504" i="4"/>
  <c r="FX504" i="4" s="1"/>
  <c r="FH504" i="4"/>
  <c r="FG504" i="4"/>
  <c r="FE504" i="4"/>
  <c r="FD504" i="4"/>
  <c r="FS504" i="4" s="1"/>
  <c r="FC504" i="4"/>
  <c r="FR504" i="4" s="1"/>
  <c r="FA504" i="4"/>
  <c r="EZ504" i="4"/>
  <c r="EY504" i="4"/>
  <c r="EX504" i="4"/>
  <c r="FN504" i="4" s="1"/>
  <c r="EW504" i="4"/>
  <c r="FM504" i="4" s="1"/>
  <c r="EV504" i="4"/>
  <c r="FL504" i="4" s="1"/>
  <c r="EU504" i="4"/>
  <c r="FK504" i="4" s="1"/>
  <c r="EA504" i="4"/>
  <c r="DX504" i="4"/>
  <c r="EB504" i="4" s="1"/>
  <c r="DW504" i="4"/>
  <c r="DV504" i="4" s="1"/>
  <c r="DZ504" i="4" s="1"/>
  <c r="DU504" i="4"/>
  <c r="DL504" i="4"/>
  <c r="DH504" i="4"/>
  <c r="DF504" i="4"/>
  <c r="DA504" i="4"/>
  <c r="CX504" i="4"/>
  <c r="CV504" i="4"/>
  <c r="DG504" i="4" s="1"/>
  <c r="CU504" i="4"/>
  <c r="DE504" i="4" s="1"/>
  <c r="CO504" i="4"/>
  <c r="CW504" i="4" s="1"/>
  <c r="CK504" i="4"/>
  <c r="CG504" i="4"/>
  <c r="BS504" i="4"/>
  <c r="BP504" i="4"/>
  <c r="BO504" i="4"/>
  <c r="BN504" i="4"/>
  <c r="BM504" i="4"/>
  <c r="BL504" i="4"/>
  <c r="BK504" i="4"/>
  <c r="BJ504" i="4"/>
  <c r="BI504" i="4"/>
  <c r="BH504" i="4"/>
  <c r="BG504" i="4"/>
  <c r="BF504" i="4"/>
  <c r="BE504" i="4"/>
  <c r="BD504" i="4"/>
  <c r="BC504" i="4"/>
  <c r="BB504" i="4"/>
  <c r="BA504" i="4"/>
  <c r="AZ504" i="4"/>
  <c r="AY504" i="4"/>
  <c r="AX504" i="4"/>
  <c r="AW504" i="4"/>
  <c r="AV504" i="4"/>
  <c r="Y504" i="4"/>
  <c r="Q504" i="4"/>
  <c r="B504" i="4"/>
  <c r="A504" i="4"/>
  <c r="MF503" i="4"/>
  <c r="FU503" i="4"/>
  <c r="FT503" i="4"/>
  <c r="FS503" i="4"/>
  <c r="FO503" i="4"/>
  <c r="FN503" i="4"/>
  <c r="FI503" i="4"/>
  <c r="FX503" i="4" s="1"/>
  <c r="FH503" i="4"/>
  <c r="FV503" i="4" s="1"/>
  <c r="FG503" i="4"/>
  <c r="FE503" i="4"/>
  <c r="FD503" i="4"/>
  <c r="FC503" i="4"/>
  <c r="FR503" i="4" s="1"/>
  <c r="FA503" i="4"/>
  <c r="FP503" i="4" s="1"/>
  <c r="EZ503" i="4"/>
  <c r="EY503" i="4"/>
  <c r="EX503" i="4"/>
  <c r="EW503" i="4"/>
  <c r="FM503" i="4" s="1"/>
  <c r="EV503" i="4"/>
  <c r="FL503" i="4" s="1"/>
  <c r="EU503" i="4"/>
  <c r="FK503" i="4" s="1"/>
  <c r="DX503" i="4"/>
  <c r="EB503" i="4" s="1"/>
  <c r="DW503" i="4"/>
  <c r="EA503" i="4" s="1"/>
  <c r="DL503" i="4"/>
  <c r="DH503" i="4"/>
  <c r="DF503" i="4"/>
  <c r="DA503" i="4"/>
  <c r="CX503" i="4"/>
  <c r="FJ503" i="4" s="1"/>
  <c r="FY503" i="4" s="1"/>
  <c r="CU503" i="4"/>
  <c r="DE503" i="4" s="1"/>
  <c r="CO503" i="4"/>
  <c r="CW503" i="4" s="1"/>
  <c r="CK503" i="4"/>
  <c r="CG503" i="4"/>
  <c r="BS503" i="4"/>
  <c r="BP503" i="4"/>
  <c r="BO503" i="4"/>
  <c r="BN503" i="4"/>
  <c r="BM503" i="4"/>
  <c r="BL503" i="4"/>
  <c r="BK503" i="4"/>
  <c r="BJ503" i="4"/>
  <c r="BI503" i="4"/>
  <c r="BH503" i="4"/>
  <c r="BG503" i="4"/>
  <c r="BF503" i="4"/>
  <c r="BE503" i="4"/>
  <c r="BD503" i="4"/>
  <c r="BC503" i="4"/>
  <c r="BB503" i="4"/>
  <c r="BA503" i="4"/>
  <c r="AZ503" i="4"/>
  <c r="AY503" i="4"/>
  <c r="AX503" i="4"/>
  <c r="AW503" i="4"/>
  <c r="AV503" i="4"/>
  <c r="Y503" i="4"/>
  <c r="B503" i="4"/>
  <c r="A503" i="4"/>
  <c r="QX502" i="4"/>
  <c r="FX502" i="4"/>
  <c r="FV502" i="4"/>
  <c r="FS502" i="4"/>
  <c r="FR502" i="4"/>
  <c r="FM502" i="4"/>
  <c r="FL502" i="4"/>
  <c r="FI502" i="4"/>
  <c r="FH502" i="4"/>
  <c r="FG502" i="4"/>
  <c r="FU502" i="4" s="1"/>
  <c r="FF502" i="4"/>
  <c r="FW502" i="4" s="1"/>
  <c r="FE502" i="4"/>
  <c r="FT502" i="4" s="1"/>
  <c r="FD502" i="4"/>
  <c r="FC502" i="4"/>
  <c r="FA502" i="4"/>
  <c r="FP502" i="4" s="1"/>
  <c r="EZ502" i="4"/>
  <c r="FO502" i="4" s="1"/>
  <c r="EY502" i="4"/>
  <c r="EX502" i="4"/>
  <c r="FN502" i="4" s="1"/>
  <c r="EW502" i="4"/>
  <c r="EV502" i="4"/>
  <c r="EU502" i="4"/>
  <c r="FK502" i="4" s="1"/>
  <c r="DX502" i="4"/>
  <c r="EB502" i="4" s="1"/>
  <c r="DW502" i="4"/>
  <c r="EA502" i="4" s="1"/>
  <c r="DL502" i="4"/>
  <c r="DH502" i="4"/>
  <c r="DG502" i="4"/>
  <c r="DF502" i="4"/>
  <c r="DE502" i="4"/>
  <c r="DA502" i="4"/>
  <c r="CX502" i="4"/>
  <c r="FJ502" i="4" s="1"/>
  <c r="FY502" i="4" s="1"/>
  <c r="CW502" i="4"/>
  <c r="CV502" i="4"/>
  <c r="CU502" i="4"/>
  <c r="CO502" i="4"/>
  <c r="FB502" i="4" s="1"/>
  <c r="FQ502" i="4" s="1"/>
  <c r="CG502" i="4"/>
  <c r="BS502" i="4"/>
  <c r="BP502" i="4"/>
  <c r="BO502" i="4"/>
  <c r="BN502" i="4"/>
  <c r="BM502" i="4"/>
  <c r="BL502" i="4"/>
  <c r="BK502" i="4"/>
  <c r="BJ502" i="4"/>
  <c r="BI502" i="4"/>
  <c r="BH502" i="4"/>
  <c r="BG502" i="4"/>
  <c r="BF502" i="4"/>
  <c r="BE502" i="4"/>
  <c r="BD502" i="4"/>
  <c r="BC502" i="4"/>
  <c r="BB502" i="4"/>
  <c r="BA502" i="4"/>
  <c r="AZ502" i="4"/>
  <c r="AY502" i="4"/>
  <c r="AX502" i="4"/>
  <c r="AW502" i="4"/>
  <c r="AV502" i="4"/>
  <c r="Y502" i="4"/>
  <c r="Q502" i="4"/>
  <c r="B502" i="4"/>
  <c r="A502" i="4"/>
  <c r="QX501" i="4"/>
  <c r="FX501" i="4"/>
  <c r="FV501" i="4"/>
  <c r="FU501" i="4"/>
  <c r="FP501" i="4"/>
  <c r="FO501" i="4"/>
  <c r="FK501" i="4"/>
  <c r="FJ501" i="4"/>
  <c r="FY501" i="4" s="1"/>
  <c r="FI501" i="4"/>
  <c r="FH501" i="4"/>
  <c r="FG501" i="4"/>
  <c r="FE501" i="4"/>
  <c r="FT501" i="4" s="1"/>
  <c r="FD501" i="4"/>
  <c r="FS501" i="4" s="1"/>
  <c r="FC501" i="4"/>
  <c r="FR501" i="4" s="1"/>
  <c r="FA501" i="4"/>
  <c r="EZ501" i="4"/>
  <c r="EY501" i="4"/>
  <c r="EX501" i="4"/>
  <c r="FN501" i="4" s="1"/>
  <c r="EW501" i="4"/>
  <c r="FM501" i="4" s="1"/>
  <c r="EV501" i="4"/>
  <c r="FL501" i="4" s="1"/>
  <c r="EU501" i="4"/>
  <c r="EB501" i="4"/>
  <c r="EA501" i="4"/>
  <c r="DX501" i="4"/>
  <c r="DW501" i="4"/>
  <c r="DV501" i="4"/>
  <c r="DZ501" i="4" s="1"/>
  <c r="DU501" i="4"/>
  <c r="DL501" i="4"/>
  <c r="DH501" i="4"/>
  <c r="DF501" i="4"/>
  <c r="DE501" i="4"/>
  <c r="DA501" i="4"/>
  <c r="CX501" i="4"/>
  <c r="CW501" i="4"/>
  <c r="CV501" i="4"/>
  <c r="DY501" i="4" s="1"/>
  <c r="EC501" i="4" s="1"/>
  <c r="CU501" i="4"/>
  <c r="CO501" i="4"/>
  <c r="FB501" i="4" s="1"/>
  <c r="FQ501" i="4" s="1"/>
  <c r="CG501" i="4"/>
  <c r="BS501" i="4"/>
  <c r="BP501" i="4"/>
  <c r="BO501" i="4"/>
  <c r="BN501" i="4"/>
  <c r="BM501" i="4"/>
  <c r="BL501" i="4"/>
  <c r="BK501" i="4"/>
  <c r="BJ501" i="4"/>
  <c r="BI501" i="4"/>
  <c r="BH501" i="4"/>
  <c r="BG501" i="4"/>
  <c r="BF501" i="4"/>
  <c r="BE501" i="4"/>
  <c r="BD501" i="4"/>
  <c r="BC501" i="4"/>
  <c r="BB501" i="4"/>
  <c r="BA501" i="4"/>
  <c r="AZ501" i="4"/>
  <c r="AY501" i="4"/>
  <c r="AX501" i="4"/>
  <c r="AW501" i="4"/>
  <c r="AV501" i="4"/>
  <c r="Y501" i="4"/>
  <c r="Q501" i="4"/>
  <c r="B501" i="4"/>
  <c r="A501" i="4"/>
  <c r="QX500" i="4"/>
  <c r="FX500" i="4"/>
  <c r="FU500" i="4"/>
  <c r="FT500" i="4"/>
  <c r="FS500" i="4"/>
  <c r="FO500" i="4"/>
  <c r="FN500" i="4"/>
  <c r="FI500" i="4"/>
  <c r="FH500" i="4"/>
  <c r="FV500" i="4" s="1"/>
  <c r="FG500" i="4"/>
  <c r="FE500" i="4"/>
  <c r="FD500" i="4"/>
  <c r="FC500" i="4"/>
  <c r="FR500" i="4" s="1"/>
  <c r="FA500" i="4"/>
  <c r="FP500" i="4" s="1"/>
  <c r="EZ500" i="4"/>
  <c r="EY500" i="4"/>
  <c r="EX500" i="4"/>
  <c r="EW500" i="4"/>
  <c r="FM500" i="4" s="1"/>
  <c r="EV500" i="4"/>
  <c r="FL500" i="4" s="1"/>
  <c r="EU500" i="4"/>
  <c r="FK500" i="4" s="1"/>
  <c r="DX500" i="4"/>
  <c r="EB500" i="4" s="1"/>
  <c r="DW500" i="4"/>
  <c r="EA500" i="4" s="1"/>
  <c r="DL500" i="4"/>
  <c r="DH500" i="4"/>
  <c r="DF500" i="4"/>
  <c r="DA500" i="4"/>
  <c r="CX500" i="4"/>
  <c r="FJ500" i="4" s="1"/>
  <c r="FY500" i="4" s="1"/>
  <c r="CU500" i="4"/>
  <c r="DE500" i="4" s="1"/>
  <c r="CO500" i="4"/>
  <c r="CW500" i="4" s="1"/>
  <c r="CG500" i="4"/>
  <c r="BS500" i="4"/>
  <c r="BP500" i="4"/>
  <c r="BO500" i="4"/>
  <c r="BN500" i="4"/>
  <c r="BM500" i="4"/>
  <c r="BL500" i="4"/>
  <c r="BK500" i="4"/>
  <c r="BJ500" i="4"/>
  <c r="BI500" i="4"/>
  <c r="BH500" i="4"/>
  <c r="BG500" i="4"/>
  <c r="BF500" i="4"/>
  <c r="BE500" i="4"/>
  <c r="BD500" i="4"/>
  <c r="BC500" i="4"/>
  <c r="BB500" i="4"/>
  <c r="BA500" i="4"/>
  <c r="AZ500" i="4"/>
  <c r="AY500" i="4"/>
  <c r="AX500" i="4"/>
  <c r="AW500" i="4"/>
  <c r="AV500" i="4"/>
  <c r="Y500" i="4"/>
  <c r="Q500" i="4"/>
  <c r="B500" i="4"/>
  <c r="A500" i="4"/>
  <c r="QX499" i="4"/>
  <c r="FX499" i="4"/>
  <c r="FW499" i="4"/>
  <c r="FV499" i="4"/>
  <c r="FS499" i="4"/>
  <c r="FR499" i="4"/>
  <c r="FM499" i="4"/>
  <c r="FL499" i="4"/>
  <c r="FI499" i="4"/>
  <c r="FH499" i="4"/>
  <c r="FG499" i="4"/>
  <c r="FU499" i="4" s="1"/>
  <c r="FF499" i="4"/>
  <c r="FE499" i="4"/>
  <c r="FT499" i="4" s="1"/>
  <c r="FD499" i="4"/>
  <c r="FC499" i="4"/>
  <c r="FA499" i="4"/>
  <c r="FP499" i="4" s="1"/>
  <c r="EZ499" i="4"/>
  <c r="FO499" i="4" s="1"/>
  <c r="EY499" i="4"/>
  <c r="EX499" i="4"/>
  <c r="FN499" i="4" s="1"/>
  <c r="EW499" i="4"/>
  <c r="EV499" i="4"/>
  <c r="EU499" i="4"/>
  <c r="FK499" i="4" s="1"/>
  <c r="DX499" i="4"/>
  <c r="EB499" i="4" s="1"/>
  <c r="DW499" i="4"/>
  <c r="EA499" i="4" s="1"/>
  <c r="DL499" i="4"/>
  <c r="DH499" i="4"/>
  <c r="DG499" i="4"/>
  <c r="DF499" i="4"/>
  <c r="DE499" i="4"/>
  <c r="DA499" i="4"/>
  <c r="CX499" i="4"/>
  <c r="FJ499" i="4" s="1"/>
  <c r="FY499" i="4" s="1"/>
  <c r="CW499" i="4"/>
  <c r="CV499" i="4"/>
  <c r="CU499" i="4"/>
  <c r="CO499" i="4"/>
  <c r="FB499" i="4" s="1"/>
  <c r="FQ499" i="4" s="1"/>
  <c r="BP499" i="4"/>
  <c r="BO499" i="4"/>
  <c r="BN499" i="4"/>
  <c r="BM499" i="4"/>
  <c r="BL499" i="4"/>
  <c r="BK499" i="4"/>
  <c r="BJ499" i="4"/>
  <c r="BI499" i="4"/>
  <c r="BH499" i="4"/>
  <c r="BG499" i="4"/>
  <c r="BF499" i="4"/>
  <c r="BE499" i="4"/>
  <c r="BD499" i="4"/>
  <c r="BC499" i="4"/>
  <c r="BB499" i="4"/>
  <c r="BA499" i="4"/>
  <c r="AZ499" i="4"/>
  <c r="AY499" i="4"/>
  <c r="AX499" i="4"/>
  <c r="AW499" i="4"/>
  <c r="AV499" i="4"/>
  <c r="Y499" i="4"/>
  <c r="Q499" i="4"/>
  <c r="B499" i="4"/>
  <c r="A499" i="4"/>
  <c r="MF498" i="4"/>
  <c r="FY498" i="4"/>
  <c r="FW498" i="4"/>
  <c r="FU498" i="4"/>
  <c r="FT498" i="4"/>
  <c r="FS498" i="4"/>
  <c r="FJ498" i="4"/>
  <c r="FI498" i="4"/>
  <c r="FX498" i="4" s="1"/>
  <c r="FH498" i="4"/>
  <c r="FV498" i="4" s="1"/>
  <c r="FG498" i="4"/>
  <c r="FF498" i="4"/>
  <c r="FE498" i="4"/>
  <c r="FD498" i="4"/>
  <c r="FC498" i="4"/>
  <c r="FR498" i="4" s="1"/>
  <c r="FB498" i="4"/>
  <c r="FQ498" i="4" s="1"/>
  <c r="FA498" i="4"/>
  <c r="EZ498" i="4"/>
  <c r="EY498" i="4"/>
  <c r="EX498" i="4"/>
  <c r="EW498" i="4"/>
  <c r="EV498" i="4"/>
  <c r="EU498" i="4"/>
  <c r="DX498" i="4"/>
  <c r="EB498" i="4" s="1"/>
  <c r="DW498" i="4"/>
  <c r="EA498" i="4" s="1"/>
  <c r="DL498" i="4"/>
  <c r="DH498" i="4"/>
  <c r="DG498" i="4"/>
  <c r="DF498" i="4"/>
  <c r="DE498" i="4"/>
  <c r="DA498" i="4"/>
  <c r="CW498" i="4"/>
  <c r="CK498" i="4"/>
  <c r="CJ498" i="4"/>
  <c r="CG498" i="4"/>
  <c r="BS498" i="4"/>
  <c r="BP498" i="4"/>
  <c r="BL498" i="4"/>
  <c r="BJ498" i="4"/>
  <c r="BI498" i="4"/>
  <c r="BG498" i="4"/>
  <c r="BF498" i="4"/>
  <c r="BE498" i="4"/>
  <c r="BD498" i="4"/>
  <c r="BC498" i="4"/>
  <c r="BB498" i="4"/>
  <c r="BA498" i="4"/>
  <c r="AZ498" i="4"/>
  <c r="AY498" i="4"/>
  <c r="AX498" i="4"/>
  <c r="Y498" i="4"/>
  <c r="B498" i="4"/>
  <c r="A498" i="4"/>
  <c r="QX497" i="4"/>
  <c r="FX497" i="4"/>
  <c r="FU497" i="4"/>
  <c r="FT497" i="4"/>
  <c r="FS497" i="4"/>
  <c r="FO497" i="4"/>
  <c r="FN497" i="4"/>
  <c r="FI497" i="4"/>
  <c r="FH497" i="4"/>
  <c r="FV497" i="4" s="1"/>
  <c r="FG497" i="4"/>
  <c r="FE497" i="4"/>
  <c r="FD497" i="4"/>
  <c r="FC497" i="4"/>
  <c r="FR497" i="4" s="1"/>
  <c r="FA497" i="4"/>
  <c r="FP497" i="4" s="1"/>
  <c r="EZ497" i="4"/>
  <c r="EY497" i="4"/>
  <c r="EX497" i="4"/>
  <c r="EW497" i="4"/>
  <c r="FM497" i="4" s="1"/>
  <c r="EV497" i="4"/>
  <c r="FL497" i="4" s="1"/>
  <c r="EU497" i="4"/>
  <c r="FK497" i="4" s="1"/>
  <c r="DX497" i="4"/>
  <c r="EB497" i="4" s="1"/>
  <c r="DW497" i="4"/>
  <c r="EA497" i="4" s="1"/>
  <c r="DL497" i="4"/>
  <c r="DH497" i="4"/>
  <c r="DF497" i="4"/>
  <c r="DA497" i="4"/>
  <c r="CX497" i="4"/>
  <c r="FJ497" i="4" s="1"/>
  <c r="FY497" i="4" s="1"/>
  <c r="CU497" i="4"/>
  <c r="DE497" i="4" s="1"/>
  <c r="CO497" i="4"/>
  <c r="CW497" i="4" s="1"/>
  <c r="CG497" i="4"/>
  <c r="BR497" i="4"/>
  <c r="BS497" i="4" s="1"/>
  <c r="BP497" i="4"/>
  <c r="BO497" i="4"/>
  <c r="BN497" i="4"/>
  <c r="BM497" i="4"/>
  <c r="BL497" i="4"/>
  <c r="BK497" i="4"/>
  <c r="BJ497" i="4"/>
  <c r="BI497" i="4"/>
  <c r="BH497" i="4"/>
  <c r="BG497" i="4"/>
  <c r="BF497" i="4"/>
  <c r="BE497" i="4"/>
  <c r="BD497" i="4"/>
  <c r="BC497" i="4"/>
  <c r="BB497" i="4"/>
  <c r="BA497" i="4"/>
  <c r="AZ497" i="4"/>
  <c r="AY497" i="4"/>
  <c r="AX497" i="4"/>
  <c r="AW497" i="4"/>
  <c r="AV497" i="4"/>
  <c r="Y497" i="4"/>
  <c r="Q497" i="4"/>
  <c r="B497" i="4"/>
  <c r="A497" i="4"/>
  <c r="QX496" i="4"/>
  <c r="FX496" i="4"/>
  <c r="FT496" i="4"/>
  <c r="FS496" i="4"/>
  <c r="FR496" i="4"/>
  <c r="FN496" i="4"/>
  <c r="FM496" i="4"/>
  <c r="FI496" i="4"/>
  <c r="FH496" i="4"/>
  <c r="FV496" i="4" s="1"/>
  <c r="FG496" i="4"/>
  <c r="FU496" i="4" s="1"/>
  <c r="FE496" i="4"/>
  <c r="FD496" i="4"/>
  <c r="FC496" i="4"/>
  <c r="FA496" i="4"/>
  <c r="FP496" i="4" s="1"/>
  <c r="EZ496" i="4"/>
  <c r="FO496" i="4" s="1"/>
  <c r="EY496" i="4"/>
  <c r="EX496" i="4"/>
  <c r="EW496" i="4"/>
  <c r="EV496" i="4"/>
  <c r="FL496" i="4" s="1"/>
  <c r="EU496" i="4"/>
  <c r="FK496" i="4" s="1"/>
  <c r="DX496" i="4"/>
  <c r="EB496" i="4" s="1"/>
  <c r="DW496" i="4"/>
  <c r="DV496" i="4" s="1"/>
  <c r="DZ496" i="4" s="1"/>
  <c r="DL496" i="4"/>
  <c r="DH496" i="4"/>
  <c r="DF496" i="4"/>
  <c r="DA496" i="4"/>
  <c r="CX496" i="4"/>
  <c r="FJ496" i="4" s="1"/>
  <c r="FY496" i="4" s="1"/>
  <c r="CU496" i="4"/>
  <c r="DE496" i="4" s="1"/>
  <c r="CO496" i="4"/>
  <c r="CW496" i="4" s="1"/>
  <c r="CG496" i="4"/>
  <c r="BS496" i="4"/>
  <c r="BP496" i="4"/>
  <c r="BO496" i="4"/>
  <c r="BN496" i="4"/>
  <c r="BM496" i="4"/>
  <c r="BL496" i="4"/>
  <c r="BK496" i="4"/>
  <c r="BJ496" i="4"/>
  <c r="BI496" i="4"/>
  <c r="BH496" i="4"/>
  <c r="BG496" i="4"/>
  <c r="BF496" i="4"/>
  <c r="BE496" i="4"/>
  <c r="BD496" i="4"/>
  <c r="BC496" i="4"/>
  <c r="BB496" i="4"/>
  <c r="BA496" i="4"/>
  <c r="AZ496" i="4"/>
  <c r="AY496" i="4"/>
  <c r="AX496" i="4"/>
  <c r="AW496" i="4"/>
  <c r="AV496" i="4"/>
  <c r="Y496" i="4"/>
  <c r="Q496" i="4"/>
  <c r="B496" i="4"/>
  <c r="A496" i="4"/>
  <c r="QX495" i="4"/>
  <c r="FX495" i="4"/>
  <c r="FV495" i="4"/>
  <c r="FU495" i="4"/>
  <c r="FT495" i="4"/>
  <c r="FR495" i="4"/>
  <c r="FP495" i="4"/>
  <c r="FL495" i="4"/>
  <c r="FK495" i="4"/>
  <c r="FJ495" i="4"/>
  <c r="FY495" i="4" s="1"/>
  <c r="FI495" i="4"/>
  <c r="FH495" i="4"/>
  <c r="FG495" i="4"/>
  <c r="FE495" i="4"/>
  <c r="FD495" i="4"/>
  <c r="FS495" i="4" s="1"/>
  <c r="FC495" i="4"/>
  <c r="FA495" i="4"/>
  <c r="EZ495" i="4"/>
  <c r="FO495" i="4" s="1"/>
  <c r="EY495" i="4"/>
  <c r="EX495" i="4"/>
  <c r="FN495" i="4" s="1"/>
  <c r="EW495" i="4"/>
  <c r="FM495" i="4" s="1"/>
  <c r="EV495" i="4"/>
  <c r="EU495" i="4"/>
  <c r="EB495" i="4"/>
  <c r="DX495" i="4"/>
  <c r="DH495" i="4"/>
  <c r="DF495" i="4"/>
  <c r="DA495" i="4"/>
  <c r="CX495" i="4"/>
  <c r="CV495" i="4"/>
  <c r="DG495" i="4" s="1"/>
  <c r="CU495" i="4"/>
  <c r="DE495" i="4" s="1"/>
  <c r="CO495" i="4"/>
  <c r="FB495" i="4" s="1"/>
  <c r="FQ495" i="4" s="1"/>
  <c r="CK495" i="4"/>
  <c r="CG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Y495" i="4"/>
  <c r="AX495" i="4"/>
  <c r="AW495" i="4"/>
  <c r="AV495" i="4"/>
  <c r="Q495" i="4"/>
  <c r="B495" i="4"/>
  <c r="A495" i="4"/>
  <c r="QX494" i="4"/>
  <c r="FX494" i="4"/>
  <c r="FS494" i="4"/>
  <c r="FR494" i="4"/>
  <c r="FN494" i="4"/>
  <c r="FM494" i="4"/>
  <c r="FL494" i="4"/>
  <c r="FI494" i="4"/>
  <c r="FH494" i="4"/>
  <c r="FV494" i="4" s="1"/>
  <c r="FG494" i="4"/>
  <c r="FU494" i="4" s="1"/>
  <c r="FE494" i="4"/>
  <c r="FT494" i="4" s="1"/>
  <c r="FD494" i="4"/>
  <c r="FC494" i="4"/>
  <c r="FA494" i="4"/>
  <c r="FP494" i="4" s="1"/>
  <c r="EZ494" i="4"/>
  <c r="FO494" i="4" s="1"/>
  <c r="EY494" i="4"/>
  <c r="EX494" i="4"/>
  <c r="EW494" i="4"/>
  <c r="EV494" i="4"/>
  <c r="EU494" i="4"/>
  <c r="FK494" i="4" s="1"/>
  <c r="DX494" i="4"/>
  <c r="EB494" i="4" s="1"/>
  <c r="DW494" i="4"/>
  <c r="EA494" i="4" s="1"/>
  <c r="DL494" i="4"/>
  <c r="DH494" i="4"/>
  <c r="DF494" i="4"/>
  <c r="DE494" i="4"/>
  <c r="DA494" i="4"/>
  <c r="CX494" i="4"/>
  <c r="FJ494" i="4" s="1"/>
  <c r="FY494" i="4" s="1"/>
  <c r="CW494" i="4"/>
  <c r="CU494" i="4"/>
  <c r="CO494" i="4"/>
  <c r="CV494" i="4" s="1"/>
  <c r="CK494" i="4"/>
  <c r="BS494" i="4"/>
  <c r="BP494" i="4"/>
  <c r="BO494" i="4"/>
  <c r="BN494" i="4"/>
  <c r="BM494" i="4"/>
  <c r="BL494" i="4"/>
  <c r="BK494" i="4"/>
  <c r="BJ494" i="4"/>
  <c r="BI494" i="4"/>
  <c r="BH494" i="4"/>
  <c r="BG494" i="4"/>
  <c r="BF494" i="4"/>
  <c r="BE494" i="4"/>
  <c r="BD494" i="4"/>
  <c r="BC494" i="4"/>
  <c r="BB494" i="4"/>
  <c r="BA494" i="4"/>
  <c r="AZ494" i="4"/>
  <c r="AY494" i="4"/>
  <c r="AX494" i="4"/>
  <c r="AW494" i="4"/>
  <c r="AV494" i="4"/>
  <c r="Y494" i="4"/>
  <c r="Q494" i="4"/>
  <c r="B494" i="4"/>
  <c r="A494" i="4"/>
  <c r="QX493" i="4"/>
  <c r="FY493" i="4"/>
  <c r="FX493" i="4"/>
  <c r="FV493" i="4"/>
  <c r="FU493" i="4"/>
  <c r="FS493" i="4"/>
  <c r="FO493" i="4"/>
  <c r="FL493" i="4"/>
  <c r="FK493" i="4"/>
  <c r="FJ493" i="4"/>
  <c r="FI493" i="4"/>
  <c r="FH493" i="4"/>
  <c r="FG493" i="4"/>
  <c r="FE493" i="4"/>
  <c r="FT493" i="4" s="1"/>
  <c r="FD493" i="4"/>
  <c r="FC493" i="4"/>
  <c r="FR493" i="4" s="1"/>
  <c r="FA493" i="4"/>
  <c r="FP493" i="4" s="1"/>
  <c r="EZ493" i="4"/>
  <c r="EY493" i="4"/>
  <c r="EX493" i="4"/>
  <c r="FN493" i="4" s="1"/>
  <c r="EW493" i="4"/>
  <c r="FM493" i="4" s="1"/>
  <c r="EV493" i="4"/>
  <c r="EU493" i="4"/>
  <c r="EB493" i="4"/>
  <c r="EA493" i="4"/>
  <c r="DX493" i="4"/>
  <c r="DW493" i="4"/>
  <c r="DV493" i="4"/>
  <c r="DZ493" i="4" s="1"/>
  <c r="DU493" i="4"/>
  <c r="DL493" i="4"/>
  <c r="DH493" i="4"/>
  <c r="DG493" i="4"/>
  <c r="DF493" i="4"/>
  <c r="DE493" i="4"/>
  <c r="DA493" i="4"/>
  <c r="CX493" i="4"/>
  <c r="CW493" i="4"/>
  <c r="CV493" i="4"/>
  <c r="DY493" i="4" s="1"/>
  <c r="EC493" i="4" s="1"/>
  <c r="CU493" i="4"/>
  <c r="CO493" i="4"/>
  <c r="FB493" i="4" s="1"/>
  <c r="FQ493" i="4" s="1"/>
  <c r="CG493" i="4"/>
  <c r="BS493" i="4"/>
  <c r="BP493" i="4"/>
  <c r="BO493" i="4"/>
  <c r="BN493" i="4"/>
  <c r="BM493" i="4"/>
  <c r="BL493" i="4"/>
  <c r="BK493" i="4"/>
  <c r="BJ493" i="4"/>
  <c r="BI493" i="4"/>
  <c r="BH493" i="4"/>
  <c r="BG493" i="4"/>
  <c r="BF493" i="4"/>
  <c r="BE493" i="4"/>
  <c r="BD493" i="4"/>
  <c r="BC493" i="4"/>
  <c r="BB493" i="4"/>
  <c r="BA493" i="4"/>
  <c r="AZ493" i="4"/>
  <c r="AY493" i="4"/>
  <c r="AX493" i="4"/>
  <c r="AW493" i="4"/>
  <c r="AV493" i="4"/>
  <c r="Y493" i="4"/>
  <c r="Q493" i="4"/>
  <c r="B493" i="4"/>
  <c r="A493" i="4"/>
  <c r="QX492" i="4"/>
  <c r="FY492" i="4"/>
  <c r="FU492" i="4"/>
  <c r="FS492" i="4"/>
  <c r="FO492" i="4"/>
  <c r="FN492" i="4"/>
  <c r="FJ492" i="4"/>
  <c r="FI492" i="4"/>
  <c r="FX492" i="4" s="1"/>
  <c r="FH492" i="4"/>
  <c r="FV492" i="4" s="1"/>
  <c r="FG492" i="4"/>
  <c r="FE492" i="4"/>
  <c r="FT492" i="4" s="1"/>
  <c r="FD492" i="4"/>
  <c r="FC492" i="4"/>
  <c r="FR492" i="4" s="1"/>
  <c r="FA492" i="4"/>
  <c r="FP492" i="4" s="1"/>
  <c r="EZ492" i="4"/>
  <c r="EY492" i="4"/>
  <c r="EX492" i="4"/>
  <c r="EW492" i="4"/>
  <c r="FM492" i="4" s="1"/>
  <c r="EV492" i="4"/>
  <c r="FL492" i="4" s="1"/>
  <c r="EU492" i="4"/>
  <c r="FK492" i="4" s="1"/>
  <c r="EA492" i="4"/>
  <c r="DX492" i="4"/>
  <c r="EB492" i="4" s="1"/>
  <c r="DW492" i="4"/>
  <c r="DU492" i="4"/>
  <c r="DL492" i="4"/>
  <c r="DH492" i="4"/>
  <c r="DF492" i="4"/>
  <c r="DA492" i="4"/>
  <c r="CX492" i="4"/>
  <c r="CW492" i="4"/>
  <c r="CU492" i="4"/>
  <c r="DE492" i="4" s="1"/>
  <c r="CO492" i="4"/>
  <c r="CV492" i="4" s="1"/>
  <c r="CK492" i="4"/>
  <c r="BS492" i="4"/>
  <c r="BP492" i="4"/>
  <c r="BO492" i="4"/>
  <c r="BN492" i="4"/>
  <c r="BM492" i="4"/>
  <c r="BL492" i="4"/>
  <c r="BK492" i="4"/>
  <c r="BJ492" i="4"/>
  <c r="BI492" i="4"/>
  <c r="BH492" i="4"/>
  <c r="BG492" i="4"/>
  <c r="BF492" i="4"/>
  <c r="BE492" i="4"/>
  <c r="BD492" i="4"/>
  <c r="BC492" i="4"/>
  <c r="BB492" i="4"/>
  <c r="BA492" i="4"/>
  <c r="AZ492" i="4"/>
  <c r="AY492" i="4"/>
  <c r="AX492" i="4"/>
  <c r="AW492" i="4"/>
  <c r="AV492" i="4"/>
  <c r="Y492" i="4"/>
  <c r="Q492" i="4"/>
  <c r="B492" i="4"/>
  <c r="A492" i="4"/>
  <c r="QX491" i="4"/>
  <c r="FX491" i="4"/>
  <c r="FS491" i="4"/>
  <c r="FO491" i="4"/>
  <c r="FN491" i="4"/>
  <c r="FM491" i="4"/>
  <c r="FL491" i="4"/>
  <c r="FI491" i="4"/>
  <c r="FH491" i="4"/>
  <c r="FV491" i="4" s="1"/>
  <c r="FG491" i="4"/>
  <c r="FU491" i="4" s="1"/>
  <c r="FE491" i="4"/>
  <c r="FT491" i="4" s="1"/>
  <c r="FD491" i="4"/>
  <c r="FC491" i="4"/>
  <c r="FR491" i="4" s="1"/>
  <c r="FA491" i="4"/>
  <c r="FP491" i="4" s="1"/>
  <c r="EZ491" i="4"/>
  <c r="EY491" i="4"/>
  <c r="EX491" i="4"/>
  <c r="EW491" i="4"/>
  <c r="EV491" i="4"/>
  <c r="EU491" i="4"/>
  <c r="FK491" i="4" s="1"/>
  <c r="DX491" i="4"/>
  <c r="EB491" i="4" s="1"/>
  <c r="DW491" i="4"/>
  <c r="EA491" i="4" s="1"/>
  <c r="DL491" i="4"/>
  <c r="DH491" i="4"/>
  <c r="DF491" i="4"/>
  <c r="DA491" i="4"/>
  <c r="CX491" i="4"/>
  <c r="FJ491" i="4" s="1"/>
  <c r="FY491" i="4" s="1"/>
  <c r="CW491" i="4"/>
  <c r="CU491" i="4"/>
  <c r="DE491" i="4" s="1"/>
  <c r="CO491" i="4"/>
  <c r="CV491" i="4" s="1"/>
  <c r="CG491" i="4"/>
  <c r="BR491" i="4"/>
  <c r="BS491" i="4" s="1"/>
  <c r="BP491" i="4"/>
  <c r="BO491" i="4"/>
  <c r="BN491" i="4"/>
  <c r="BM491" i="4"/>
  <c r="BL491" i="4"/>
  <c r="BK491" i="4"/>
  <c r="BJ491" i="4"/>
  <c r="BI491" i="4"/>
  <c r="BH491" i="4"/>
  <c r="BG491" i="4"/>
  <c r="BF491" i="4"/>
  <c r="BE491" i="4"/>
  <c r="BD491" i="4"/>
  <c r="BC491" i="4"/>
  <c r="BB491" i="4"/>
  <c r="BA491" i="4"/>
  <c r="AZ491" i="4"/>
  <c r="AY491" i="4"/>
  <c r="AX491" i="4"/>
  <c r="AW491" i="4"/>
  <c r="AV491" i="4"/>
  <c r="AQ491" i="4"/>
  <c r="AI491" i="4"/>
  <c r="Y491" i="4"/>
  <c r="Q491" i="4"/>
  <c r="B491" i="4"/>
  <c r="A491" i="4"/>
  <c r="QX490" i="4"/>
  <c r="FX490" i="4"/>
  <c r="FT490" i="4"/>
  <c r="FR490" i="4"/>
  <c r="FP490" i="4"/>
  <c r="FN490" i="4"/>
  <c r="FM490" i="4"/>
  <c r="FJ490" i="4"/>
  <c r="FY490" i="4" s="1"/>
  <c r="FI490" i="4"/>
  <c r="FH490" i="4"/>
  <c r="FV490" i="4" s="1"/>
  <c r="FG490" i="4"/>
  <c r="FU490" i="4" s="1"/>
  <c r="FE490" i="4"/>
  <c r="FD490" i="4"/>
  <c r="FS490" i="4" s="1"/>
  <c r="FC490" i="4"/>
  <c r="FA490" i="4"/>
  <c r="EZ490" i="4"/>
  <c r="FO490" i="4" s="1"/>
  <c r="EY490" i="4"/>
  <c r="EX490" i="4"/>
  <c r="EW490" i="4"/>
  <c r="EV490" i="4"/>
  <c r="FL490" i="4" s="1"/>
  <c r="EU490" i="4"/>
  <c r="FK490" i="4" s="1"/>
  <c r="EA490" i="4"/>
  <c r="DX490" i="4"/>
  <c r="EB490" i="4" s="1"/>
  <c r="DW490" i="4"/>
  <c r="DV490" i="4" s="1"/>
  <c r="DZ490" i="4" s="1"/>
  <c r="DU490" i="4"/>
  <c r="DL490" i="4"/>
  <c r="DH490" i="4"/>
  <c r="DF490" i="4"/>
  <c r="DA490" i="4"/>
  <c r="CX490" i="4"/>
  <c r="CU490" i="4"/>
  <c r="DE490" i="4" s="1"/>
  <c r="CO490" i="4"/>
  <c r="CW490" i="4" s="1"/>
  <c r="CG490" i="4"/>
  <c r="BS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Y490" i="4"/>
  <c r="Q490" i="4"/>
  <c r="B490" i="4"/>
  <c r="A490" i="4"/>
  <c r="QX489" i="4"/>
  <c r="FX489" i="4"/>
  <c r="FU489" i="4"/>
  <c r="FT489" i="4"/>
  <c r="FR489" i="4"/>
  <c r="FP489" i="4"/>
  <c r="FN489" i="4"/>
  <c r="FL489" i="4"/>
  <c r="FK489" i="4"/>
  <c r="FI489" i="4"/>
  <c r="FH489" i="4"/>
  <c r="FV489" i="4" s="1"/>
  <c r="FG489" i="4"/>
  <c r="FE489" i="4"/>
  <c r="FD489" i="4"/>
  <c r="FS489" i="4" s="1"/>
  <c r="FC489" i="4"/>
  <c r="FA489" i="4"/>
  <c r="EZ489" i="4"/>
  <c r="FO489" i="4" s="1"/>
  <c r="EY489" i="4"/>
  <c r="EX489" i="4"/>
  <c r="EW489" i="4"/>
  <c r="FM489" i="4" s="1"/>
  <c r="EV489" i="4"/>
  <c r="EU489" i="4"/>
  <c r="EB489" i="4"/>
  <c r="DX489" i="4"/>
  <c r="DW489" i="4"/>
  <c r="DV489" i="4" s="1"/>
  <c r="DZ489" i="4" s="1"/>
  <c r="DL489" i="4"/>
  <c r="DH489" i="4"/>
  <c r="DF489" i="4"/>
  <c r="DA489" i="4"/>
  <c r="CX489" i="4"/>
  <c r="FJ489" i="4" s="1"/>
  <c r="FY489" i="4" s="1"/>
  <c r="CU489" i="4"/>
  <c r="DE489" i="4" s="1"/>
  <c r="CO489" i="4"/>
  <c r="FB489" i="4" s="1"/>
  <c r="FQ489" i="4" s="1"/>
  <c r="CG489" i="4"/>
  <c r="BS489" i="4"/>
  <c r="BP489" i="4"/>
  <c r="BO489" i="4"/>
  <c r="BN489" i="4"/>
  <c r="BM489" i="4"/>
  <c r="BL489" i="4"/>
  <c r="BK489" i="4"/>
  <c r="BJ489" i="4"/>
  <c r="BI489" i="4"/>
  <c r="BH489" i="4"/>
  <c r="BG489" i="4"/>
  <c r="BF489" i="4"/>
  <c r="BE489" i="4"/>
  <c r="BD489" i="4"/>
  <c r="BC489" i="4"/>
  <c r="BB489" i="4"/>
  <c r="BA489" i="4"/>
  <c r="AZ489" i="4"/>
  <c r="AY489" i="4"/>
  <c r="AX489" i="4"/>
  <c r="AW489" i="4"/>
  <c r="AV489" i="4"/>
  <c r="Y489" i="4"/>
  <c r="Q489" i="4"/>
  <c r="B489" i="4"/>
  <c r="A489" i="4"/>
  <c r="QX488" i="4"/>
  <c r="FX488" i="4"/>
  <c r="FV488" i="4"/>
  <c r="FU488" i="4"/>
  <c r="FT488" i="4"/>
  <c r="FR488" i="4"/>
  <c r="FP488" i="4"/>
  <c r="FL488" i="4"/>
  <c r="FJ488" i="4"/>
  <c r="FY488" i="4" s="1"/>
  <c r="FI488" i="4"/>
  <c r="FH488" i="4"/>
  <c r="FG488" i="4"/>
  <c r="FE488" i="4"/>
  <c r="FD488" i="4"/>
  <c r="FS488" i="4" s="1"/>
  <c r="FC488" i="4"/>
  <c r="FA488" i="4"/>
  <c r="EZ488" i="4"/>
  <c r="FO488" i="4" s="1"/>
  <c r="EY488" i="4"/>
  <c r="EX488" i="4"/>
  <c r="FN488" i="4" s="1"/>
  <c r="EW488" i="4"/>
  <c r="FM488" i="4" s="1"/>
  <c r="EV488" i="4"/>
  <c r="EU488" i="4"/>
  <c r="FK488" i="4" s="1"/>
  <c r="EA488" i="4"/>
  <c r="DX488" i="4"/>
  <c r="EB488" i="4" s="1"/>
  <c r="DW488" i="4"/>
  <c r="DV488" i="4" s="1"/>
  <c r="DZ488" i="4" s="1"/>
  <c r="DU488" i="4"/>
  <c r="DL488" i="4"/>
  <c r="DH488" i="4"/>
  <c r="DF488" i="4"/>
  <c r="DA488" i="4"/>
  <c r="CX488" i="4"/>
  <c r="CW488" i="4"/>
  <c r="CV488" i="4"/>
  <c r="DG488" i="4" s="1"/>
  <c r="CU488" i="4"/>
  <c r="DE488" i="4" s="1"/>
  <c r="CO488" i="4"/>
  <c r="FB488" i="4" s="1"/>
  <c r="FQ488" i="4" s="1"/>
  <c r="BS488" i="4"/>
  <c r="BP488" i="4"/>
  <c r="BO488" i="4"/>
  <c r="BN488" i="4"/>
  <c r="BM488" i="4"/>
  <c r="BL488" i="4"/>
  <c r="BK488" i="4"/>
  <c r="BJ488" i="4"/>
  <c r="BI488" i="4"/>
  <c r="BH488" i="4"/>
  <c r="BG488" i="4"/>
  <c r="BF488" i="4"/>
  <c r="BE488" i="4"/>
  <c r="BD488" i="4"/>
  <c r="BC488" i="4"/>
  <c r="BB488" i="4"/>
  <c r="BA488" i="4"/>
  <c r="AZ488" i="4"/>
  <c r="AY488" i="4"/>
  <c r="AX488" i="4"/>
  <c r="AW488" i="4"/>
  <c r="AV488" i="4"/>
  <c r="AO488" i="4"/>
  <c r="Y488" i="4"/>
  <c r="Q488" i="4"/>
  <c r="B488" i="4"/>
  <c r="A488" i="4"/>
  <c r="QX487" i="4"/>
  <c r="FX487" i="4"/>
  <c r="FT487" i="4"/>
  <c r="FR487" i="4"/>
  <c r="FP487" i="4"/>
  <c r="FN487" i="4"/>
  <c r="FM487" i="4"/>
  <c r="FJ487" i="4"/>
  <c r="FY487" i="4" s="1"/>
  <c r="FI487" i="4"/>
  <c r="FH487" i="4"/>
  <c r="FV487" i="4" s="1"/>
  <c r="FG487" i="4"/>
  <c r="FU487" i="4" s="1"/>
  <c r="FE487" i="4"/>
  <c r="FD487" i="4"/>
  <c r="FS487" i="4" s="1"/>
  <c r="FC487" i="4"/>
  <c r="FA487" i="4"/>
  <c r="EZ487" i="4"/>
  <c r="FO487" i="4" s="1"/>
  <c r="EY487" i="4"/>
  <c r="EX487" i="4"/>
  <c r="EW487" i="4"/>
  <c r="EV487" i="4"/>
  <c r="FL487" i="4" s="1"/>
  <c r="EU487" i="4"/>
  <c r="FK487" i="4" s="1"/>
  <c r="EA487" i="4"/>
  <c r="DX487" i="4"/>
  <c r="EB487" i="4" s="1"/>
  <c r="DW487" i="4"/>
  <c r="DV487" i="4" s="1"/>
  <c r="DZ487" i="4" s="1"/>
  <c r="DU487" i="4"/>
  <c r="DL487" i="4"/>
  <c r="DH487" i="4"/>
  <c r="DF487" i="4"/>
  <c r="DE487" i="4"/>
  <c r="DA487" i="4"/>
  <c r="CX487" i="4"/>
  <c r="CU487" i="4"/>
  <c r="CO487" i="4"/>
  <c r="CW487" i="4" s="1"/>
  <c r="CG487" i="4"/>
  <c r="BS487" i="4"/>
  <c r="BR487" i="4"/>
  <c r="BP487" i="4"/>
  <c r="BO487" i="4"/>
  <c r="BN487" i="4"/>
  <c r="BM487" i="4"/>
  <c r="BL487" i="4"/>
  <c r="BK487" i="4"/>
  <c r="BJ487" i="4"/>
  <c r="BI487" i="4"/>
  <c r="BH487" i="4"/>
  <c r="BG487" i="4"/>
  <c r="BF487" i="4"/>
  <c r="BE487" i="4"/>
  <c r="BD487" i="4"/>
  <c r="BC487" i="4"/>
  <c r="BB487" i="4"/>
  <c r="BA487" i="4"/>
  <c r="AZ487" i="4"/>
  <c r="AY487" i="4"/>
  <c r="AX487" i="4"/>
  <c r="AW487" i="4"/>
  <c r="AV487" i="4"/>
  <c r="AQ487" i="4"/>
  <c r="Y487" i="4"/>
  <c r="Q487" i="4"/>
  <c r="B487" i="4"/>
  <c r="A487" i="4"/>
  <c r="QX486" i="4"/>
  <c r="FX486" i="4"/>
  <c r="FT486" i="4"/>
  <c r="FR486" i="4"/>
  <c r="FP486" i="4"/>
  <c r="FN486" i="4"/>
  <c r="FM486" i="4"/>
  <c r="FJ486" i="4"/>
  <c r="FY486" i="4" s="1"/>
  <c r="FI486" i="4"/>
  <c r="FH486" i="4"/>
  <c r="FV486" i="4" s="1"/>
  <c r="FG486" i="4"/>
  <c r="FU486" i="4" s="1"/>
  <c r="FE486" i="4"/>
  <c r="FD486" i="4"/>
  <c r="FS486" i="4" s="1"/>
  <c r="FC486" i="4"/>
  <c r="FB486" i="4"/>
  <c r="FQ486" i="4" s="1"/>
  <c r="DD486" i="4" s="1"/>
  <c r="DB486" i="4" s="1"/>
  <c r="FA486" i="4"/>
  <c r="EZ486" i="4"/>
  <c r="FO486" i="4" s="1"/>
  <c r="EY486" i="4"/>
  <c r="EX486" i="4"/>
  <c r="EW486" i="4"/>
  <c r="EV486" i="4"/>
  <c r="FL486" i="4" s="1"/>
  <c r="EU486" i="4"/>
  <c r="FK486" i="4" s="1"/>
  <c r="EA486" i="4"/>
  <c r="DX486" i="4"/>
  <c r="EB486" i="4" s="1"/>
  <c r="DW486" i="4"/>
  <c r="DV486" i="4" s="1"/>
  <c r="DZ486" i="4" s="1"/>
  <c r="DU486" i="4"/>
  <c r="DL486" i="4"/>
  <c r="DH486" i="4"/>
  <c r="DF486" i="4"/>
  <c r="DA486" i="4"/>
  <c r="CX486" i="4"/>
  <c r="CW486" i="4"/>
  <c r="CU486" i="4"/>
  <c r="DE486" i="4" s="1"/>
  <c r="CO486" i="4"/>
  <c r="CV486" i="4" s="1"/>
  <c r="CG486" i="4"/>
  <c r="BS486" i="4"/>
  <c r="BP486" i="4"/>
  <c r="BO486" i="4"/>
  <c r="BN486" i="4"/>
  <c r="BM486" i="4"/>
  <c r="BL486" i="4"/>
  <c r="BK486" i="4"/>
  <c r="BJ486" i="4"/>
  <c r="BI486" i="4"/>
  <c r="BH486" i="4"/>
  <c r="BG486" i="4"/>
  <c r="BF486" i="4"/>
  <c r="BE486" i="4"/>
  <c r="BD486" i="4"/>
  <c r="BC486" i="4"/>
  <c r="BB486" i="4"/>
  <c r="BA486" i="4"/>
  <c r="AZ486" i="4"/>
  <c r="AY486" i="4"/>
  <c r="AX486" i="4"/>
  <c r="AW486" i="4"/>
  <c r="AV486" i="4"/>
  <c r="Y486" i="4"/>
  <c r="Q486" i="4"/>
  <c r="B486" i="4"/>
  <c r="A486" i="4"/>
  <c r="QX485" i="4"/>
  <c r="FY485" i="4"/>
  <c r="FX485" i="4"/>
  <c r="FV485" i="4"/>
  <c r="FS485" i="4"/>
  <c r="FO485" i="4"/>
  <c r="FM485" i="4"/>
  <c r="FK485" i="4"/>
  <c r="FJ485" i="4"/>
  <c r="FI485" i="4"/>
  <c r="FH485" i="4"/>
  <c r="FG485" i="4"/>
  <c r="FU485" i="4" s="1"/>
  <c r="FE485" i="4"/>
  <c r="FT485" i="4" s="1"/>
  <c r="FD485" i="4"/>
  <c r="FC485" i="4"/>
  <c r="FR485" i="4" s="1"/>
  <c r="FA485" i="4"/>
  <c r="FP485" i="4" s="1"/>
  <c r="EZ485" i="4"/>
  <c r="EY485" i="4"/>
  <c r="EX485" i="4"/>
  <c r="FN485" i="4" s="1"/>
  <c r="EW485" i="4"/>
  <c r="EV485" i="4"/>
  <c r="FL485" i="4" s="1"/>
  <c r="EU485" i="4"/>
  <c r="EB485" i="4"/>
  <c r="EA485" i="4"/>
  <c r="DX485" i="4"/>
  <c r="DW485" i="4"/>
  <c r="DV485" i="4"/>
  <c r="DZ485" i="4" s="1"/>
  <c r="DU485" i="4"/>
  <c r="DL485" i="4"/>
  <c r="DH485" i="4"/>
  <c r="DG485" i="4"/>
  <c r="DF485" i="4"/>
  <c r="DE485" i="4"/>
  <c r="DA485" i="4"/>
  <c r="CX485" i="4"/>
  <c r="CW485" i="4"/>
  <c r="CV485" i="4"/>
  <c r="DY485" i="4" s="1"/>
  <c r="EC485" i="4" s="1"/>
  <c r="CU485" i="4"/>
  <c r="CO485" i="4"/>
  <c r="FB485" i="4" s="1"/>
  <c r="FQ485" i="4" s="1"/>
  <c r="CG485" i="4"/>
  <c r="BS485" i="4"/>
  <c r="BP485" i="4"/>
  <c r="BO485" i="4"/>
  <c r="BN485" i="4"/>
  <c r="BM485" i="4"/>
  <c r="BL485" i="4"/>
  <c r="BK485" i="4"/>
  <c r="BJ485" i="4"/>
  <c r="BI485" i="4"/>
  <c r="BH485" i="4"/>
  <c r="BG485" i="4"/>
  <c r="BF485" i="4"/>
  <c r="BE485" i="4"/>
  <c r="BD485" i="4"/>
  <c r="BC485" i="4"/>
  <c r="BB485" i="4"/>
  <c r="BA485" i="4"/>
  <c r="AZ485" i="4"/>
  <c r="AY485" i="4"/>
  <c r="AX485" i="4"/>
  <c r="AW485" i="4"/>
  <c r="AV485" i="4"/>
  <c r="Y485" i="4"/>
  <c r="Q485" i="4"/>
  <c r="B485" i="4"/>
  <c r="A485" i="4"/>
  <c r="QX484" i="4"/>
  <c r="FX484" i="4"/>
  <c r="FU484" i="4"/>
  <c r="FS484" i="4"/>
  <c r="FO484" i="4"/>
  <c r="FN484" i="4"/>
  <c r="FK484" i="4"/>
  <c r="FI484" i="4"/>
  <c r="FH484" i="4"/>
  <c r="FV484" i="4" s="1"/>
  <c r="FG484" i="4"/>
  <c r="FE484" i="4"/>
  <c r="FT484" i="4" s="1"/>
  <c r="FD484" i="4"/>
  <c r="FC484" i="4"/>
  <c r="FR484" i="4" s="1"/>
  <c r="FA484" i="4"/>
  <c r="FP484" i="4" s="1"/>
  <c r="EZ484" i="4"/>
  <c r="EY484" i="4"/>
  <c r="EX484" i="4"/>
  <c r="EW484" i="4"/>
  <c r="FM484" i="4" s="1"/>
  <c r="EV484" i="4"/>
  <c r="FL484" i="4" s="1"/>
  <c r="EU484" i="4"/>
  <c r="EB484" i="4"/>
  <c r="DZ484" i="4"/>
  <c r="DX484" i="4"/>
  <c r="DW484" i="4"/>
  <c r="EA484" i="4" s="1"/>
  <c r="DV484" i="4"/>
  <c r="DL484" i="4"/>
  <c r="DH484" i="4"/>
  <c r="DF484" i="4"/>
  <c r="DA484" i="4"/>
  <c r="CX484" i="4"/>
  <c r="FJ484" i="4" s="1"/>
  <c r="FY484" i="4" s="1"/>
  <c r="CW484" i="4"/>
  <c r="CU484" i="4"/>
  <c r="DE484" i="4" s="1"/>
  <c r="CO484" i="4"/>
  <c r="CV484" i="4" s="1"/>
  <c r="CG484" i="4"/>
  <c r="BR484" i="4"/>
  <c r="BS484" i="4" s="1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Y484" i="4"/>
  <c r="Q484" i="4"/>
  <c r="B484" i="4"/>
  <c r="A484" i="4"/>
  <c r="QX483" i="4"/>
  <c r="FX483" i="4"/>
  <c r="FT483" i="4"/>
  <c r="FR483" i="4"/>
  <c r="FP483" i="4"/>
  <c r="FN483" i="4"/>
  <c r="FM483" i="4"/>
  <c r="FJ483" i="4"/>
  <c r="FY483" i="4" s="1"/>
  <c r="FI483" i="4"/>
  <c r="FH483" i="4"/>
  <c r="FV483" i="4" s="1"/>
  <c r="FG483" i="4"/>
  <c r="FU483" i="4" s="1"/>
  <c r="FE483" i="4"/>
  <c r="FD483" i="4"/>
  <c r="FS483" i="4" s="1"/>
  <c r="FC483" i="4"/>
  <c r="FA483" i="4"/>
  <c r="EZ483" i="4"/>
  <c r="FO483" i="4" s="1"/>
  <c r="EY483" i="4"/>
  <c r="EX483" i="4"/>
  <c r="EW483" i="4"/>
  <c r="EV483" i="4"/>
  <c r="FL483" i="4" s="1"/>
  <c r="EU483" i="4"/>
  <c r="FK483" i="4" s="1"/>
  <c r="EA483" i="4"/>
  <c r="DX483" i="4"/>
  <c r="EB483" i="4" s="1"/>
  <c r="DW483" i="4"/>
  <c r="DV483" i="4" s="1"/>
  <c r="DZ483" i="4" s="1"/>
  <c r="DU483" i="4"/>
  <c r="DL483" i="4"/>
  <c r="DH483" i="4"/>
  <c r="DF483" i="4"/>
  <c r="DA483" i="4"/>
  <c r="CX483" i="4"/>
  <c r="CU483" i="4"/>
  <c r="DE483" i="4" s="1"/>
  <c r="CO483" i="4"/>
  <c r="CW483" i="4" s="1"/>
  <c r="CG483" i="4"/>
  <c r="BS483" i="4"/>
  <c r="BR483" i="4"/>
  <c r="BP483" i="4"/>
  <c r="BO483" i="4"/>
  <c r="BN483" i="4"/>
  <c r="BM483" i="4"/>
  <c r="BL483" i="4"/>
  <c r="BK483" i="4"/>
  <c r="BJ483" i="4"/>
  <c r="BI483" i="4"/>
  <c r="BH483" i="4"/>
  <c r="BG483" i="4"/>
  <c r="BF483" i="4"/>
  <c r="BE483" i="4"/>
  <c r="BD483" i="4"/>
  <c r="BC483" i="4"/>
  <c r="BB483" i="4"/>
  <c r="BA483" i="4"/>
  <c r="AZ483" i="4"/>
  <c r="AY483" i="4"/>
  <c r="AX483" i="4"/>
  <c r="AW483" i="4"/>
  <c r="AV483" i="4"/>
  <c r="Y483" i="4"/>
  <c r="Q483" i="4"/>
  <c r="B483" i="4"/>
  <c r="A483" i="4"/>
  <c r="QX482" i="4"/>
  <c r="FX482" i="4"/>
  <c r="FS482" i="4"/>
  <c r="FO482" i="4"/>
  <c r="FN482" i="4"/>
  <c r="FM482" i="4"/>
  <c r="FI482" i="4"/>
  <c r="FH482" i="4"/>
  <c r="FV482" i="4" s="1"/>
  <c r="FG482" i="4"/>
  <c r="FU482" i="4" s="1"/>
  <c r="FE482" i="4"/>
  <c r="FT482" i="4" s="1"/>
  <c r="FD482" i="4"/>
  <c r="FC482" i="4"/>
  <c r="FR482" i="4" s="1"/>
  <c r="FA482" i="4"/>
  <c r="FP482" i="4" s="1"/>
  <c r="EZ482" i="4"/>
  <c r="EY482" i="4"/>
  <c r="EX482" i="4"/>
  <c r="EW482" i="4"/>
  <c r="EV482" i="4"/>
  <c r="FL482" i="4" s="1"/>
  <c r="EU482" i="4"/>
  <c r="FK482" i="4" s="1"/>
  <c r="DX482" i="4"/>
  <c r="EB482" i="4" s="1"/>
  <c r="DW482" i="4"/>
  <c r="EA482" i="4" s="1"/>
  <c r="DL482" i="4"/>
  <c r="DH482" i="4"/>
  <c r="DF482" i="4"/>
  <c r="DA482" i="4"/>
  <c r="CX482" i="4"/>
  <c r="FJ482" i="4" s="1"/>
  <c r="FY482" i="4" s="1"/>
  <c r="CW482" i="4"/>
  <c r="CU482" i="4"/>
  <c r="DE482" i="4" s="1"/>
  <c r="CO482" i="4"/>
  <c r="CV482" i="4" s="1"/>
  <c r="CG482" i="4"/>
  <c r="BR482" i="4"/>
  <c r="BS482" i="4" s="1"/>
  <c r="BP482" i="4"/>
  <c r="BO482" i="4"/>
  <c r="BN482" i="4"/>
  <c r="BM482" i="4"/>
  <c r="BL482" i="4"/>
  <c r="BK482" i="4"/>
  <c r="BJ482" i="4"/>
  <c r="BI482" i="4"/>
  <c r="BH482" i="4"/>
  <c r="BG482" i="4"/>
  <c r="BF482" i="4"/>
  <c r="BE482" i="4"/>
  <c r="BD482" i="4"/>
  <c r="BC482" i="4"/>
  <c r="BB482" i="4"/>
  <c r="BA482" i="4"/>
  <c r="AZ482" i="4"/>
  <c r="AY482" i="4"/>
  <c r="AX482" i="4"/>
  <c r="AW482" i="4"/>
  <c r="AV482" i="4"/>
  <c r="Y482" i="4"/>
  <c r="Q482" i="4"/>
  <c r="B482" i="4"/>
  <c r="A482" i="4"/>
  <c r="QX481" i="4"/>
  <c r="FX481" i="4"/>
  <c r="FT481" i="4"/>
  <c r="FR481" i="4"/>
  <c r="FP481" i="4"/>
  <c r="FN481" i="4"/>
  <c r="FM481" i="4"/>
  <c r="FL481" i="4"/>
  <c r="FI481" i="4"/>
  <c r="FH481" i="4"/>
  <c r="FV481" i="4" s="1"/>
  <c r="FG481" i="4"/>
  <c r="FU481" i="4" s="1"/>
  <c r="FE481" i="4"/>
  <c r="FD481" i="4"/>
  <c r="FS481" i="4" s="1"/>
  <c r="FC481" i="4"/>
  <c r="FA481" i="4"/>
  <c r="EZ481" i="4"/>
  <c r="FO481" i="4" s="1"/>
  <c r="EY481" i="4"/>
  <c r="EX481" i="4"/>
  <c r="EW481" i="4"/>
  <c r="EV481" i="4"/>
  <c r="EU481" i="4"/>
  <c r="FK481" i="4" s="1"/>
  <c r="DX481" i="4"/>
  <c r="EB481" i="4" s="1"/>
  <c r="DW481" i="4"/>
  <c r="DV481" i="4" s="1"/>
  <c r="DZ481" i="4" s="1"/>
  <c r="DL481" i="4"/>
  <c r="DH481" i="4"/>
  <c r="DF481" i="4"/>
  <c r="DA481" i="4"/>
  <c r="CX481" i="4"/>
  <c r="FJ481" i="4" s="1"/>
  <c r="FY481" i="4" s="1"/>
  <c r="CU481" i="4"/>
  <c r="DE481" i="4" s="1"/>
  <c r="CO481" i="4"/>
  <c r="FB481" i="4" s="1"/>
  <c r="FQ481" i="4" s="1"/>
  <c r="CG481" i="4"/>
  <c r="BS481" i="4"/>
  <c r="BP481" i="4"/>
  <c r="BO481" i="4"/>
  <c r="BN481" i="4"/>
  <c r="BM481" i="4"/>
  <c r="BL481" i="4"/>
  <c r="BK481" i="4"/>
  <c r="BJ481" i="4"/>
  <c r="BI481" i="4"/>
  <c r="BH481" i="4"/>
  <c r="BG481" i="4"/>
  <c r="BF481" i="4"/>
  <c r="BE481" i="4"/>
  <c r="BD481" i="4"/>
  <c r="BC481" i="4"/>
  <c r="BB481" i="4"/>
  <c r="BA481" i="4"/>
  <c r="AZ481" i="4"/>
  <c r="AY481" i="4"/>
  <c r="AX481" i="4"/>
  <c r="AW481" i="4"/>
  <c r="AV481" i="4"/>
  <c r="AQ481" i="4"/>
  <c r="Y481" i="4"/>
  <c r="Q481" i="4"/>
  <c r="B481" i="4"/>
  <c r="A481" i="4"/>
  <c r="QX480" i="4"/>
  <c r="FV480" i="4"/>
  <c r="FS480" i="4"/>
  <c r="FO480" i="4"/>
  <c r="FM480" i="4"/>
  <c r="FL480" i="4"/>
  <c r="FK480" i="4"/>
  <c r="FI480" i="4"/>
  <c r="FX480" i="4" s="1"/>
  <c r="FH480" i="4"/>
  <c r="FG480" i="4"/>
  <c r="FU480" i="4" s="1"/>
  <c r="FE480" i="4"/>
  <c r="FT480" i="4" s="1"/>
  <c r="FD480" i="4"/>
  <c r="FC480" i="4"/>
  <c r="FR480" i="4" s="1"/>
  <c r="FA480" i="4"/>
  <c r="FP480" i="4" s="1"/>
  <c r="EZ480" i="4"/>
  <c r="EY480" i="4"/>
  <c r="EX480" i="4"/>
  <c r="FN480" i="4" s="1"/>
  <c r="EW480" i="4"/>
  <c r="EV480" i="4"/>
  <c r="EB480" i="4"/>
  <c r="DX480" i="4"/>
  <c r="DH480" i="4"/>
  <c r="DF480" i="4"/>
  <c r="DA480" i="4"/>
  <c r="CX480" i="4"/>
  <c r="FJ480" i="4" s="1"/>
  <c r="FY480" i="4" s="1"/>
  <c r="CU480" i="4"/>
  <c r="DE480" i="4" s="1"/>
  <c r="CO480" i="4"/>
  <c r="FB480" i="4" s="1"/>
  <c r="FQ480" i="4" s="1"/>
  <c r="CK480" i="4"/>
  <c r="BP480" i="4"/>
  <c r="BO480" i="4"/>
  <c r="BN480" i="4"/>
  <c r="BM480" i="4"/>
  <c r="BL480" i="4"/>
  <c r="BK480" i="4"/>
  <c r="BJ480" i="4"/>
  <c r="BI480" i="4"/>
  <c r="BH480" i="4"/>
  <c r="BG480" i="4"/>
  <c r="BF480" i="4"/>
  <c r="BE480" i="4"/>
  <c r="BD480" i="4"/>
  <c r="BC480" i="4"/>
  <c r="BB480" i="4"/>
  <c r="BA480" i="4"/>
  <c r="AZ480" i="4"/>
  <c r="AY480" i="4"/>
  <c r="AX480" i="4"/>
  <c r="AW480" i="4"/>
  <c r="AV480" i="4"/>
  <c r="AI480" i="4"/>
  <c r="Y480" i="4"/>
  <c r="Q480" i="4"/>
  <c r="B480" i="4"/>
  <c r="A480" i="4"/>
  <c r="QX479" i="4"/>
  <c r="FX479" i="4"/>
  <c r="FU479" i="4"/>
  <c r="FT479" i="4"/>
  <c r="FR479" i="4"/>
  <c r="FP479" i="4"/>
  <c r="FN479" i="4"/>
  <c r="FL479" i="4"/>
  <c r="FK479" i="4"/>
  <c r="FI479" i="4"/>
  <c r="FH479" i="4"/>
  <c r="FV479" i="4" s="1"/>
  <c r="FG479" i="4"/>
  <c r="FE479" i="4"/>
  <c r="FD479" i="4"/>
  <c r="FS479" i="4" s="1"/>
  <c r="FC479" i="4"/>
  <c r="FA479" i="4"/>
  <c r="EZ479" i="4"/>
  <c r="FO479" i="4" s="1"/>
  <c r="EY479" i="4"/>
  <c r="EX479" i="4"/>
  <c r="EW479" i="4"/>
  <c r="FM479" i="4" s="1"/>
  <c r="EV479" i="4"/>
  <c r="EU479" i="4"/>
  <c r="EB479" i="4"/>
  <c r="DX479" i="4"/>
  <c r="DW479" i="4"/>
  <c r="DV479" i="4" s="1"/>
  <c r="DZ479" i="4" s="1"/>
  <c r="DL479" i="4"/>
  <c r="DH479" i="4"/>
  <c r="DF479" i="4"/>
  <c r="DE479" i="4"/>
  <c r="DA479" i="4"/>
  <c r="CX479" i="4"/>
  <c r="FJ479" i="4" s="1"/>
  <c r="FY479" i="4" s="1"/>
  <c r="CU479" i="4"/>
  <c r="CO479" i="4"/>
  <c r="FB479" i="4" s="1"/>
  <c r="FQ479" i="4" s="1"/>
  <c r="CG479" i="4"/>
  <c r="BR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I479" i="4"/>
  <c r="Y479" i="4"/>
  <c r="Q479" i="4"/>
  <c r="B479" i="4"/>
  <c r="A479" i="4"/>
  <c r="QX478" i="4"/>
  <c r="FY478" i="4"/>
  <c r="FX478" i="4"/>
  <c r="FV478" i="4"/>
  <c r="FS478" i="4"/>
  <c r="FO478" i="4"/>
  <c r="FM478" i="4"/>
  <c r="FK478" i="4"/>
  <c r="FJ478" i="4"/>
  <c r="FI478" i="4"/>
  <c r="FH478" i="4"/>
  <c r="FG478" i="4"/>
  <c r="FU478" i="4" s="1"/>
  <c r="FE478" i="4"/>
  <c r="FT478" i="4" s="1"/>
  <c r="FD478" i="4"/>
  <c r="FC478" i="4"/>
  <c r="FR478" i="4" s="1"/>
  <c r="FA478" i="4"/>
  <c r="FP478" i="4" s="1"/>
  <c r="EZ478" i="4"/>
  <c r="EY478" i="4"/>
  <c r="EX478" i="4"/>
  <c r="FN478" i="4" s="1"/>
  <c r="EW478" i="4"/>
  <c r="EV478" i="4"/>
  <c r="FL478" i="4" s="1"/>
  <c r="EU478" i="4"/>
  <c r="EB478" i="4"/>
  <c r="EA478" i="4"/>
  <c r="DX478" i="4"/>
  <c r="DW478" i="4"/>
  <c r="DV478" i="4"/>
  <c r="DZ478" i="4" s="1"/>
  <c r="DU478" i="4"/>
  <c r="DL478" i="4"/>
  <c r="DH478" i="4"/>
  <c r="DG478" i="4"/>
  <c r="DF478" i="4"/>
  <c r="DE478" i="4"/>
  <c r="DA478" i="4"/>
  <c r="CX478" i="4"/>
  <c r="CW478" i="4"/>
  <c r="CV478" i="4"/>
  <c r="DY478" i="4" s="1"/>
  <c r="EC478" i="4" s="1"/>
  <c r="CU478" i="4"/>
  <c r="CO478" i="4"/>
  <c r="FB478" i="4" s="1"/>
  <c r="FQ478" i="4" s="1"/>
  <c r="CG478" i="4"/>
  <c r="BS478" i="4"/>
  <c r="BP478" i="4"/>
  <c r="BO478" i="4"/>
  <c r="BN478" i="4"/>
  <c r="BM478" i="4"/>
  <c r="BL478" i="4"/>
  <c r="BK478" i="4"/>
  <c r="BJ478" i="4"/>
  <c r="BI478" i="4"/>
  <c r="BH478" i="4"/>
  <c r="BG478" i="4"/>
  <c r="BF478" i="4"/>
  <c r="BE478" i="4"/>
  <c r="BD478" i="4"/>
  <c r="BC478" i="4"/>
  <c r="BB478" i="4"/>
  <c r="BA478" i="4"/>
  <c r="AZ478" i="4"/>
  <c r="AY478" i="4"/>
  <c r="AX478" i="4"/>
  <c r="AW478" i="4"/>
  <c r="AV478" i="4"/>
  <c r="AQ478" i="4"/>
  <c r="Y478" i="4"/>
  <c r="Q478" i="4"/>
  <c r="B478" i="4"/>
  <c r="A478" i="4"/>
  <c r="QX477" i="4"/>
  <c r="FX477" i="4"/>
  <c r="FV477" i="4"/>
  <c r="FU477" i="4"/>
  <c r="FT477" i="4"/>
  <c r="FR477" i="4"/>
  <c r="FP477" i="4"/>
  <c r="FL477" i="4"/>
  <c r="FJ477" i="4"/>
  <c r="FY477" i="4" s="1"/>
  <c r="FI477" i="4"/>
  <c r="FH477" i="4"/>
  <c r="FG477" i="4"/>
  <c r="FE477" i="4"/>
  <c r="FD477" i="4"/>
  <c r="FS477" i="4" s="1"/>
  <c r="FC477" i="4"/>
  <c r="FA477" i="4"/>
  <c r="EZ477" i="4"/>
  <c r="FO477" i="4" s="1"/>
  <c r="EY477" i="4"/>
  <c r="EX477" i="4"/>
  <c r="FN477" i="4" s="1"/>
  <c r="EW477" i="4"/>
  <c r="FM477" i="4" s="1"/>
  <c r="EV477" i="4"/>
  <c r="EU477" i="4"/>
  <c r="FK477" i="4" s="1"/>
  <c r="EA477" i="4"/>
  <c r="DX477" i="4"/>
  <c r="EB477" i="4" s="1"/>
  <c r="DW477" i="4"/>
  <c r="DV477" i="4" s="1"/>
  <c r="DZ477" i="4" s="1"/>
  <c r="DU477" i="4"/>
  <c r="DL477" i="4"/>
  <c r="DH477" i="4"/>
  <c r="DF477" i="4"/>
  <c r="DA477" i="4"/>
  <c r="CX477" i="4"/>
  <c r="CW477" i="4"/>
  <c r="CV477" i="4"/>
  <c r="DG477" i="4" s="1"/>
  <c r="CU477" i="4"/>
  <c r="DE477" i="4" s="1"/>
  <c r="CO477" i="4"/>
  <c r="FB477" i="4" s="1"/>
  <c r="FQ477" i="4" s="1"/>
  <c r="CK477" i="4"/>
  <c r="BS477" i="4"/>
  <c r="BP477" i="4"/>
  <c r="BO477" i="4"/>
  <c r="BN477" i="4"/>
  <c r="BM477" i="4"/>
  <c r="BL477" i="4"/>
  <c r="BK477" i="4"/>
  <c r="BJ477" i="4"/>
  <c r="BI477" i="4"/>
  <c r="BH477" i="4"/>
  <c r="BG477" i="4"/>
  <c r="BF477" i="4"/>
  <c r="BE477" i="4"/>
  <c r="BD477" i="4"/>
  <c r="BC477" i="4"/>
  <c r="BB477" i="4"/>
  <c r="BA477" i="4"/>
  <c r="AZ477" i="4"/>
  <c r="AY477" i="4"/>
  <c r="AX477" i="4"/>
  <c r="AW477" i="4"/>
  <c r="AV477" i="4"/>
  <c r="AO477" i="4"/>
  <c r="Y477" i="4"/>
  <c r="Q477" i="4"/>
  <c r="B477" i="4"/>
  <c r="A477" i="4"/>
  <c r="QX476" i="4"/>
  <c r="FY476" i="4"/>
  <c r="FU476" i="4"/>
  <c r="FS476" i="4"/>
  <c r="FO476" i="4"/>
  <c r="FN476" i="4"/>
  <c r="FK476" i="4"/>
  <c r="FJ476" i="4"/>
  <c r="FI476" i="4"/>
  <c r="FX476" i="4" s="1"/>
  <c r="FH476" i="4"/>
  <c r="FV476" i="4" s="1"/>
  <c r="FG476" i="4"/>
  <c r="FE476" i="4"/>
  <c r="FT476" i="4" s="1"/>
  <c r="FD476" i="4"/>
  <c r="FC476" i="4"/>
  <c r="FR476" i="4" s="1"/>
  <c r="FA476" i="4"/>
  <c r="FP476" i="4" s="1"/>
  <c r="EZ476" i="4"/>
  <c r="EY476" i="4"/>
  <c r="EX476" i="4"/>
  <c r="EW476" i="4"/>
  <c r="FM476" i="4" s="1"/>
  <c r="EV476" i="4"/>
  <c r="FL476" i="4" s="1"/>
  <c r="EU476" i="4"/>
  <c r="EB476" i="4"/>
  <c r="EA476" i="4"/>
  <c r="DZ476" i="4"/>
  <c r="DX476" i="4"/>
  <c r="DW476" i="4"/>
  <c r="DV476" i="4"/>
  <c r="DU476" i="4"/>
  <c r="DL476" i="4"/>
  <c r="DH476" i="4"/>
  <c r="DF476" i="4"/>
  <c r="DA476" i="4"/>
  <c r="CX476" i="4"/>
  <c r="CW476" i="4"/>
  <c r="CU476" i="4"/>
  <c r="DE476" i="4" s="1"/>
  <c r="CO476" i="4"/>
  <c r="CV476" i="4" s="1"/>
  <c r="CK476" i="4"/>
  <c r="CG476" i="4"/>
  <c r="BS476" i="4"/>
  <c r="BP476" i="4"/>
  <c r="BO476" i="4"/>
  <c r="BN476" i="4"/>
  <c r="BM476" i="4"/>
  <c r="BL476" i="4"/>
  <c r="BK476" i="4"/>
  <c r="BJ476" i="4"/>
  <c r="BI476" i="4"/>
  <c r="BH476" i="4"/>
  <c r="BG476" i="4"/>
  <c r="BF476" i="4"/>
  <c r="BE476" i="4"/>
  <c r="BD476" i="4"/>
  <c r="BC476" i="4"/>
  <c r="BB476" i="4"/>
  <c r="BA476" i="4"/>
  <c r="AZ476" i="4"/>
  <c r="AY476" i="4"/>
  <c r="AX476" i="4"/>
  <c r="AW476" i="4"/>
  <c r="AV476" i="4"/>
  <c r="Y476" i="4"/>
  <c r="Q476" i="4"/>
  <c r="B476" i="4"/>
  <c r="A476" i="4"/>
  <c r="QX475" i="4"/>
  <c r="FX475" i="4"/>
  <c r="FT475" i="4"/>
  <c r="FR475" i="4"/>
  <c r="FP475" i="4"/>
  <c r="FN475" i="4"/>
  <c r="FM475" i="4"/>
  <c r="FJ475" i="4"/>
  <c r="FY475" i="4" s="1"/>
  <c r="FI475" i="4"/>
  <c r="FH475" i="4"/>
  <c r="FV475" i="4" s="1"/>
  <c r="FG475" i="4"/>
  <c r="FU475" i="4" s="1"/>
  <c r="FE475" i="4"/>
  <c r="FD475" i="4"/>
  <c r="FS475" i="4" s="1"/>
  <c r="FC475" i="4"/>
  <c r="FA475" i="4"/>
  <c r="EZ475" i="4"/>
  <c r="FO475" i="4" s="1"/>
  <c r="EY475" i="4"/>
  <c r="EX475" i="4"/>
  <c r="EW475" i="4"/>
  <c r="EV475" i="4"/>
  <c r="FL475" i="4" s="1"/>
  <c r="EU475" i="4"/>
  <c r="FK475" i="4" s="1"/>
  <c r="EA475" i="4"/>
  <c r="DX475" i="4"/>
  <c r="EB475" i="4" s="1"/>
  <c r="DW475" i="4"/>
  <c r="DV475" i="4" s="1"/>
  <c r="DU475" i="4"/>
  <c r="DL475" i="4"/>
  <c r="DH475" i="4"/>
  <c r="DF475" i="4"/>
  <c r="DA475" i="4"/>
  <c r="CX475" i="4"/>
  <c r="CU475" i="4"/>
  <c r="DE475" i="4" s="1"/>
  <c r="CO475" i="4"/>
  <c r="CK475" i="4"/>
  <c r="CG475" i="4"/>
  <c r="BS475" i="4"/>
  <c r="BP475" i="4"/>
  <c r="BO475" i="4"/>
  <c r="BN475" i="4"/>
  <c r="BM475" i="4"/>
  <c r="BL475" i="4"/>
  <c r="BK475" i="4"/>
  <c r="BJ475" i="4"/>
  <c r="BI475" i="4"/>
  <c r="BH475" i="4"/>
  <c r="BG475" i="4"/>
  <c r="BF475" i="4"/>
  <c r="BE475" i="4"/>
  <c r="BD475" i="4"/>
  <c r="BC475" i="4"/>
  <c r="BB475" i="4"/>
  <c r="BA475" i="4"/>
  <c r="AZ475" i="4"/>
  <c r="AY475" i="4"/>
  <c r="AX475" i="4"/>
  <c r="AW475" i="4"/>
  <c r="AV475" i="4"/>
  <c r="Y475" i="4"/>
  <c r="Q475" i="4"/>
  <c r="B475" i="4"/>
  <c r="A475" i="4"/>
  <c r="QX474" i="4"/>
  <c r="FY474" i="4"/>
  <c r="FT474" i="4"/>
  <c r="FS474" i="4"/>
  <c r="FO474" i="4"/>
  <c r="FN474" i="4"/>
  <c r="FM474" i="4"/>
  <c r="FL474" i="4"/>
  <c r="FI474" i="4"/>
  <c r="FX474" i="4" s="1"/>
  <c r="FH474" i="4"/>
  <c r="FV474" i="4" s="1"/>
  <c r="FG474" i="4"/>
  <c r="FU474" i="4" s="1"/>
  <c r="FE474" i="4"/>
  <c r="FD474" i="4"/>
  <c r="FC474" i="4"/>
  <c r="FR474" i="4" s="1"/>
  <c r="FA474" i="4"/>
  <c r="FP474" i="4" s="1"/>
  <c r="EZ474" i="4"/>
  <c r="EY474" i="4"/>
  <c r="EX474" i="4"/>
  <c r="EW474" i="4"/>
  <c r="EV474" i="4"/>
  <c r="EU474" i="4"/>
  <c r="FK474" i="4" s="1"/>
  <c r="DX474" i="4"/>
  <c r="EB474" i="4" s="1"/>
  <c r="DW474" i="4"/>
  <c r="EA474" i="4" s="1"/>
  <c r="DL474" i="4"/>
  <c r="DH474" i="4"/>
  <c r="DF474" i="4"/>
  <c r="DA474" i="4"/>
  <c r="CX474" i="4"/>
  <c r="FJ474" i="4" s="1"/>
  <c r="CU474" i="4"/>
  <c r="DE474" i="4" s="1"/>
  <c r="CO474" i="4"/>
  <c r="CV474" i="4" s="1"/>
  <c r="DG474" i="4" s="1"/>
  <c r="CK474" i="4"/>
  <c r="CG474" i="4"/>
  <c r="BS474" i="4"/>
  <c r="BP474" i="4"/>
  <c r="BO474" i="4"/>
  <c r="BN474" i="4"/>
  <c r="BM474" i="4"/>
  <c r="BL474" i="4"/>
  <c r="BK474" i="4"/>
  <c r="BJ474" i="4"/>
  <c r="BI474" i="4"/>
  <c r="BH474" i="4"/>
  <c r="BG474" i="4"/>
  <c r="BF474" i="4"/>
  <c r="BE474" i="4"/>
  <c r="BD474" i="4"/>
  <c r="BC474" i="4"/>
  <c r="BB474" i="4"/>
  <c r="BA474" i="4"/>
  <c r="AZ474" i="4"/>
  <c r="AY474" i="4"/>
  <c r="AX474" i="4"/>
  <c r="AW474" i="4"/>
  <c r="AV474" i="4"/>
  <c r="Y474" i="4"/>
  <c r="Q474" i="4"/>
  <c r="B474" i="4"/>
  <c r="A474" i="4"/>
  <c r="QX473" i="4"/>
  <c r="FX473" i="4"/>
  <c r="FT473" i="4"/>
  <c r="FS473" i="4"/>
  <c r="FR473" i="4"/>
  <c r="FN473" i="4"/>
  <c r="FM473" i="4"/>
  <c r="FL473" i="4"/>
  <c r="FI473" i="4"/>
  <c r="FH473" i="4"/>
  <c r="FV473" i="4" s="1"/>
  <c r="FG473" i="4"/>
  <c r="FU473" i="4" s="1"/>
  <c r="FE473" i="4"/>
  <c r="FD473" i="4"/>
  <c r="FC473" i="4"/>
  <c r="FA473" i="4"/>
  <c r="FP473" i="4" s="1"/>
  <c r="EZ473" i="4"/>
  <c r="FO473" i="4" s="1"/>
  <c r="EY473" i="4"/>
  <c r="EX473" i="4"/>
  <c r="EW473" i="4"/>
  <c r="EV473" i="4"/>
  <c r="EU473" i="4"/>
  <c r="FK473" i="4" s="1"/>
  <c r="DX473" i="4"/>
  <c r="EB473" i="4" s="1"/>
  <c r="DW473" i="4"/>
  <c r="DL473" i="4"/>
  <c r="DH473" i="4"/>
  <c r="DF473" i="4"/>
  <c r="DE473" i="4"/>
  <c r="DA473" i="4"/>
  <c r="CX473" i="4"/>
  <c r="FJ473" i="4" s="1"/>
  <c r="FY473" i="4" s="1"/>
  <c r="CU473" i="4"/>
  <c r="CO473" i="4"/>
  <c r="FB473" i="4" s="1"/>
  <c r="FQ473" i="4" s="1"/>
  <c r="CK473" i="4"/>
  <c r="CG473" i="4"/>
  <c r="BS473" i="4"/>
  <c r="BP473" i="4"/>
  <c r="BO473" i="4"/>
  <c r="BN473" i="4"/>
  <c r="BM473" i="4"/>
  <c r="BL473" i="4"/>
  <c r="BK473" i="4"/>
  <c r="BJ473" i="4"/>
  <c r="BI473" i="4"/>
  <c r="BH473" i="4"/>
  <c r="BG473" i="4"/>
  <c r="BF473" i="4"/>
  <c r="BE473" i="4"/>
  <c r="BD473" i="4"/>
  <c r="BC473" i="4"/>
  <c r="BB473" i="4"/>
  <c r="BA473" i="4"/>
  <c r="AZ473" i="4"/>
  <c r="AY473" i="4"/>
  <c r="AX473" i="4"/>
  <c r="AW473" i="4"/>
  <c r="AV473" i="4"/>
  <c r="Y473" i="4"/>
  <c r="Q473" i="4"/>
  <c r="B473" i="4"/>
  <c r="A473" i="4"/>
  <c r="QX472" i="4"/>
  <c r="FY472" i="4"/>
  <c r="FV472" i="4"/>
  <c r="FS472" i="4"/>
  <c r="FO472" i="4"/>
  <c r="FM472" i="4"/>
  <c r="FL472" i="4"/>
  <c r="FK472" i="4"/>
  <c r="FJ472" i="4"/>
  <c r="FI472" i="4"/>
  <c r="FX472" i="4" s="1"/>
  <c r="FH472" i="4"/>
  <c r="FG472" i="4"/>
  <c r="FU472" i="4" s="1"/>
  <c r="FE472" i="4"/>
  <c r="FT472" i="4" s="1"/>
  <c r="FD472" i="4"/>
  <c r="FC472" i="4"/>
  <c r="FR472" i="4" s="1"/>
  <c r="FA472" i="4"/>
  <c r="FP472" i="4" s="1"/>
  <c r="EZ472" i="4"/>
  <c r="EY472" i="4"/>
  <c r="EX472" i="4"/>
  <c r="FN472" i="4" s="1"/>
  <c r="EW472" i="4"/>
  <c r="EV472" i="4"/>
  <c r="EU472" i="4"/>
  <c r="EB472" i="4"/>
  <c r="EA472" i="4"/>
  <c r="DX472" i="4"/>
  <c r="DW472" i="4"/>
  <c r="DV472" i="4"/>
  <c r="DZ472" i="4" s="1"/>
  <c r="DU472" i="4"/>
  <c r="DL472" i="4"/>
  <c r="DH472" i="4"/>
  <c r="DG472" i="4"/>
  <c r="DF472" i="4"/>
  <c r="DE472" i="4"/>
  <c r="DA472" i="4"/>
  <c r="CX472" i="4"/>
  <c r="CW472" i="4"/>
  <c r="CV472" i="4"/>
  <c r="DY472" i="4" s="1"/>
  <c r="EC472" i="4" s="1"/>
  <c r="CU472" i="4"/>
  <c r="CO472" i="4"/>
  <c r="FB472" i="4" s="1"/>
  <c r="FQ472" i="4" s="1"/>
  <c r="CK472" i="4"/>
  <c r="CG472" i="4"/>
  <c r="BS472" i="4"/>
  <c r="BP472" i="4"/>
  <c r="BO472" i="4"/>
  <c r="BN472" i="4"/>
  <c r="BM472" i="4"/>
  <c r="BL472" i="4"/>
  <c r="BK472" i="4"/>
  <c r="BJ472" i="4"/>
  <c r="BI472" i="4"/>
  <c r="BH472" i="4"/>
  <c r="BG472" i="4"/>
  <c r="BF472" i="4"/>
  <c r="BE472" i="4"/>
  <c r="BD472" i="4"/>
  <c r="BC472" i="4"/>
  <c r="BB472" i="4"/>
  <c r="BA472" i="4"/>
  <c r="AZ472" i="4"/>
  <c r="AY472" i="4"/>
  <c r="AX472" i="4"/>
  <c r="AW472" i="4"/>
  <c r="AV472" i="4"/>
  <c r="Y472" i="4"/>
  <c r="Q472" i="4"/>
  <c r="B472" i="4"/>
  <c r="A472" i="4"/>
  <c r="QX471" i="4"/>
  <c r="FX471" i="4"/>
  <c r="FV471" i="4"/>
  <c r="FU471" i="4"/>
  <c r="FT471" i="4"/>
  <c r="FR471" i="4"/>
  <c r="FP471" i="4"/>
  <c r="FL471" i="4"/>
  <c r="FK471" i="4"/>
  <c r="FJ471" i="4"/>
  <c r="FY471" i="4" s="1"/>
  <c r="FI471" i="4"/>
  <c r="FH471" i="4"/>
  <c r="FG471" i="4"/>
  <c r="FE471" i="4"/>
  <c r="FD471" i="4"/>
  <c r="FS471" i="4" s="1"/>
  <c r="FC471" i="4"/>
  <c r="FA471" i="4"/>
  <c r="EZ471" i="4"/>
  <c r="FO471" i="4" s="1"/>
  <c r="EY471" i="4"/>
  <c r="EX471" i="4"/>
  <c r="FN471" i="4" s="1"/>
  <c r="EW471" i="4"/>
  <c r="FM471" i="4" s="1"/>
  <c r="EV471" i="4"/>
  <c r="EU471" i="4"/>
  <c r="EB471" i="4"/>
  <c r="EA471" i="4"/>
  <c r="DX471" i="4"/>
  <c r="DW471" i="4"/>
  <c r="DV471" i="4" s="1"/>
  <c r="DZ471" i="4" s="1"/>
  <c r="DU471" i="4"/>
  <c r="DL471" i="4"/>
  <c r="DH471" i="4"/>
  <c r="DF471" i="4"/>
  <c r="DA471" i="4"/>
  <c r="CX471" i="4"/>
  <c r="CV471" i="4"/>
  <c r="CU471" i="4"/>
  <c r="DE471" i="4" s="1"/>
  <c r="CO471" i="4"/>
  <c r="CW471" i="4" s="1"/>
  <c r="CK471" i="4"/>
  <c r="CG471" i="4"/>
  <c r="BS471" i="4"/>
  <c r="BP471" i="4"/>
  <c r="BO471" i="4"/>
  <c r="BN471" i="4"/>
  <c r="BM471" i="4"/>
  <c r="BL471" i="4"/>
  <c r="BK471" i="4"/>
  <c r="BJ471" i="4"/>
  <c r="BI471" i="4"/>
  <c r="BH471" i="4"/>
  <c r="BG471" i="4"/>
  <c r="BF471" i="4"/>
  <c r="BE471" i="4"/>
  <c r="BD471" i="4"/>
  <c r="BC471" i="4"/>
  <c r="BB471" i="4"/>
  <c r="BA471" i="4"/>
  <c r="AZ471" i="4"/>
  <c r="AY471" i="4"/>
  <c r="AX471" i="4"/>
  <c r="AW471" i="4"/>
  <c r="AV471" i="4"/>
  <c r="Y471" i="4"/>
  <c r="Q471" i="4"/>
  <c r="B471" i="4"/>
  <c r="A471" i="4"/>
  <c r="QX470" i="4"/>
  <c r="FY470" i="4"/>
  <c r="FU470" i="4"/>
  <c r="FS470" i="4"/>
  <c r="FO470" i="4"/>
  <c r="FN470" i="4"/>
  <c r="FK470" i="4"/>
  <c r="FJ470" i="4"/>
  <c r="FI470" i="4"/>
  <c r="FX470" i="4" s="1"/>
  <c r="FH470" i="4"/>
  <c r="FV470" i="4" s="1"/>
  <c r="FG470" i="4"/>
  <c r="FE470" i="4"/>
  <c r="FT470" i="4" s="1"/>
  <c r="FD470" i="4"/>
  <c r="FC470" i="4"/>
  <c r="FR470" i="4" s="1"/>
  <c r="FA470" i="4"/>
  <c r="FP470" i="4" s="1"/>
  <c r="EZ470" i="4"/>
  <c r="EY470" i="4"/>
  <c r="EX470" i="4"/>
  <c r="EW470" i="4"/>
  <c r="FM470" i="4" s="1"/>
  <c r="EV470" i="4"/>
  <c r="FL470" i="4" s="1"/>
  <c r="EU470" i="4"/>
  <c r="EB470" i="4"/>
  <c r="EA470" i="4"/>
  <c r="DZ470" i="4"/>
  <c r="DX470" i="4"/>
  <c r="DW470" i="4"/>
  <c r="DV470" i="4"/>
  <c r="DU470" i="4"/>
  <c r="DL470" i="4"/>
  <c r="DH470" i="4"/>
  <c r="DF470" i="4"/>
  <c r="DA470" i="4"/>
  <c r="CX470" i="4"/>
  <c r="CW470" i="4"/>
  <c r="CU470" i="4"/>
  <c r="DE470" i="4" s="1"/>
  <c r="CO470" i="4"/>
  <c r="CV470" i="4" s="1"/>
  <c r="CK470" i="4"/>
  <c r="CG470" i="4"/>
  <c r="BS470" i="4"/>
  <c r="BP470" i="4"/>
  <c r="BO470" i="4"/>
  <c r="BN470" i="4"/>
  <c r="BM470" i="4"/>
  <c r="BL470" i="4"/>
  <c r="BK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Y470" i="4"/>
  <c r="Q470" i="4"/>
  <c r="B470" i="4"/>
  <c r="A470" i="4"/>
  <c r="QX469" i="4"/>
  <c r="FX469" i="4"/>
  <c r="FT469" i="4"/>
  <c r="FR469" i="4"/>
  <c r="FP469" i="4"/>
  <c r="FN469" i="4"/>
  <c r="FM469" i="4"/>
  <c r="FJ469" i="4"/>
  <c r="FY469" i="4" s="1"/>
  <c r="FI469" i="4"/>
  <c r="FH469" i="4"/>
  <c r="FV469" i="4" s="1"/>
  <c r="FG469" i="4"/>
  <c r="FU469" i="4" s="1"/>
  <c r="FE469" i="4"/>
  <c r="FD469" i="4"/>
  <c r="FS469" i="4" s="1"/>
  <c r="FC469" i="4"/>
  <c r="FB469" i="4"/>
  <c r="FQ469" i="4" s="1"/>
  <c r="FA469" i="4"/>
  <c r="EZ469" i="4"/>
  <c r="FO469" i="4" s="1"/>
  <c r="EY469" i="4"/>
  <c r="EX469" i="4"/>
  <c r="EW469" i="4"/>
  <c r="EV469" i="4"/>
  <c r="FL469" i="4" s="1"/>
  <c r="EU469" i="4"/>
  <c r="FK469" i="4" s="1"/>
  <c r="EA469" i="4"/>
  <c r="DX469" i="4"/>
  <c r="EB469" i="4" s="1"/>
  <c r="DW469" i="4"/>
  <c r="DV469" i="4" s="1"/>
  <c r="DZ469" i="4" s="1"/>
  <c r="DU469" i="4"/>
  <c r="DL469" i="4"/>
  <c r="DH469" i="4"/>
  <c r="DF469" i="4"/>
  <c r="DA469" i="4"/>
  <c r="CX469" i="4"/>
  <c r="CU469" i="4"/>
  <c r="DE469" i="4" s="1"/>
  <c r="CO469" i="4"/>
  <c r="CK469" i="4"/>
  <c r="CG469" i="4"/>
  <c r="BS469" i="4"/>
  <c r="BP469" i="4"/>
  <c r="BO469" i="4"/>
  <c r="BN469" i="4"/>
  <c r="BM469" i="4"/>
  <c r="BL469" i="4"/>
  <c r="BK469" i="4"/>
  <c r="BJ469" i="4"/>
  <c r="BI469" i="4"/>
  <c r="BH469" i="4"/>
  <c r="BG469" i="4"/>
  <c r="BF469" i="4"/>
  <c r="BE469" i="4"/>
  <c r="BD469" i="4"/>
  <c r="BC469" i="4"/>
  <c r="BB469" i="4"/>
  <c r="BA469" i="4"/>
  <c r="AZ469" i="4"/>
  <c r="AY469" i="4"/>
  <c r="AX469" i="4"/>
  <c r="AW469" i="4"/>
  <c r="AV469" i="4"/>
  <c r="Y469" i="4"/>
  <c r="Q469" i="4"/>
  <c r="B469" i="4"/>
  <c r="A469" i="4"/>
  <c r="QX468" i="4"/>
  <c r="FS468" i="4"/>
  <c r="FO468" i="4"/>
  <c r="FN468" i="4"/>
  <c r="FM468" i="4"/>
  <c r="FL468" i="4"/>
  <c r="FI468" i="4"/>
  <c r="FX468" i="4" s="1"/>
  <c r="FH468" i="4"/>
  <c r="FV468" i="4" s="1"/>
  <c r="FG468" i="4"/>
  <c r="FU468" i="4" s="1"/>
  <c r="FD468" i="4"/>
  <c r="FA468" i="4"/>
  <c r="FP468" i="4" s="1"/>
  <c r="EZ468" i="4"/>
  <c r="EY468" i="4"/>
  <c r="EX468" i="4"/>
  <c r="EW468" i="4"/>
  <c r="EV468" i="4"/>
  <c r="EU468" i="4"/>
  <c r="FK468" i="4" s="1"/>
  <c r="DX468" i="4"/>
  <c r="EB468" i="4" s="1"/>
  <c r="DL468" i="4"/>
  <c r="DH468" i="4"/>
  <c r="DF468" i="4"/>
  <c r="DA468" i="4"/>
  <c r="CU468" i="4"/>
  <c r="DE468" i="4" s="1"/>
  <c r="CR468" i="4"/>
  <c r="CP468" i="4"/>
  <c r="CK468" i="4"/>
  <c r="CG468" i="4"/>
  <c r="BS468" i="4"/>
  <c r="BP468" i="4"/>
  <c r="BO468" i="4"/>
  <c r="BN468" i="4"/>
  <c r="BM468" i="4"/>
  <c r="BL468" i="4"/>
  <c r="BK468" i="4"/>
  <c r="BJ468" i="4"/>
  <c r="BI468" i="4"/>
  <c r="BH468" i="4"/>
  <c r="BG468" i="4"/>
  <c r="BF468" i="4"/>
  <c r="BE468" i="4"/>
  <c r="BD468" i="4"/>
  <c r="BC468" i="4"/>
  <c r="BB468" i="4"/>
  <c r="BA468" i="4"/>
  <c r="AZ468" i="4"/>
  <c r="AY468" i="4"/>
  <c r="AX468" i="4"/>
  <c r="AW468" i="4"/>
  <c r="AV468" i="4"/>
  <c r="Y468" i="4"/>
  <c r="Q468" i="4"/>
  <c r="B468" i="4"/>
  <c r="A468" i="4"/>
  <c r="QX467" i="4"/>
  <c r="FT467" i="4"/>
  <c r="FP467" i="4"/>
  <c r="FO467" i="4"/>
  <c r="FN467" i="4"/>
  <c r="FM467" i="4"/>
  <c r="FJ467" i="4"/>
  <c r="FY467" i="4" s="1"/>
  <c r="FI467" i="4"/>
  <c r="FX467" i="4" s="1"/>
  <c r="FH467" i="4"/>
  <c r="FV467" i="4" s="1"/>
  <c r="FG467" i="4"/>
  <c r="FU467" i="4" s="1"/>
  <c r="FE467" i="4"/>
  <c r="FD467" i="4"/>
  <c r="FS467" i="4" s="1"/>
  <c r="FC467" i="4"/>
  <c r="FR467" i="4" s="1"/>
  <c r="FB467" i="4"/>
  <c r="FQ467" i="4" s="1"/>
  <c r="FA467" i="4"/>
  <c r="EZ467" i="4"/>
  <c r="EY467" i="4"/>
  <c r="EX467" i="4"/>
  <c r="EW467" i="4"/>
  <c r="EV467" i="4"/>
  <c r="FL467" i="4" s="1"/>
  <c r="EU467" i="4"/>
  <c r="FK467" i="4" s="1"/>
  <c r="EA467" i="4"/>
  <c r="DX467" i="4"/>
  <c r="EB467" i="4" s="1"/>
  <c r="DW467" i="4"/>
  <c r="DV467" i="4" s="1"/>
  <c r="DZ467" i="4" s="1"/>
  <c r="DU467" i="4"/>
  <c r="DL467" i="4"/>
  <c r="DH467" i="4"/>
  <c r="DF467" i="4"/>
  <c r="DA467" i="4"/>
  <c r="CX467" i="4"/>
  <c r="CU467" i="4"/>
  <c r="DE467" i="4" s="1"/>
  <c r="CO467" i="4"/>
  <c r="CK467" i="4"/>
  <c r="CG467" i="4"/>
  <c r="BS467" i="4"/>
  <c r="BP467" i="4"/>
  <c r="BO467" i="4"/>
  <c r="BN467" i="4"/>
  <c r="BM467" i="4"/>
  <c r="BL467" i="4"/>
  <c r="BK467" i="4"/>
  <c r="BJ467" i="4"/>
  <c r="BI467" i="4"/>
  <c r="BH467" i="4"/>
  <c r="BG467" i="4"/>
  <c r="BF467" i="4"/>
  <c r="BE467" i="4"/>
  <c r="BD467" i="4"/>
  <c r="BC467" i="4"/>
  <c r="BB467" i="4"/>
  <c r="BA467" i="4"/>
  <c r="AZ467" i="4"/>
  <c r="AY467" i="4"/>
  <c r="AX467" i="4"/>
  <c r="AW467" i="4"/>
  <c r="AV467" i="4"/>
  <c r="Y467" i="4"/>
  <c r="Q467" i="4"/>
  <c r="B467" i="4"/>
  <c r="A467" i="4"/>
  <c r="QX466" i="4"/>
  <c r="FY466" i="4"/>
  <c r="FT466" i="4"/>
  <c r="FS466" i="4"/>
  <c r="FO466" i="4"/>
  <c r="FN466" i="4"/>
  <c r="FM466" i="4"/>
  <c r="FI466" i="4"/>
  <c r="FX466" i="4" s="1"/>
  <c r="FH466" i="4"/>
  <c r="FV466" i="4" s="1"/>
  <c r="FG466" i="4"/>
  <c r="FU466" i="4" s="1"/>
  <c r="FE466" i="4"/>
  <c r="FD466" i="4"/>
  <c r="FC466" i="4"/>
  <c r="FR466" i="4" s="1"/>
  <c r="FA466" i="4"/>
  <c r="FP466" i="4" s="1"/>
  <c r="EZ466" i="4"/>
  <c r="EY466" i="4"/>
  <c r="EX466" i="4"/>
  <c r="EW466" i="4"/>
  <c r="EV466" i="4"/>
  <c r="FL466" i="4" s="1"/>
  <c r="EU466" i="4"/>
  <c r="FK466" i="4" s="1"/>
  <c r="DX466" i="4"/>
  <c r="EB466" i="4" s="1"/>
  <c r="DW466" i="4"/>
  <c r="EA466" i="4" s="1"/>
  <c r="DL466" i="4"/>
  <c r="DH466" i="4"/>
  <c r="DF466" i="4"/>
  <c r="DA466" i="4"/>
  <c r="CX466" i="4"/>
  <c r="FJ466" i="4" s="1"/>
  <c r="CU466" i="4"/>
  <c r="DE466" i="4" s="1"/>
  <c r="CO466" i="4"/>
  <c r="CV466" i="4" s="1"/>
  <c r="DG466" i="4" s="1"/>
  <c r="CK466" i="4"/>
  <c r="CG466" i="4"/>
  <c r="BS466" i="4"/>
  <c r="BP466" i="4"/>
  <c r="BO466" i="4"/>
  <c r="BN466" i="4"/>
  <c r="BM466" i="4"/>
  <c r="BL466" i="4"/>
  <c r="BK466" i="4"/>
  <c r="BJ466" i="4"/>
  <c r="BI466" i="4"/>
  <c r="BH466" i="4"/>
  <c r="BG466" i="4"/>
  <c r="BF466" i="4"/>
  <c r="BE466" i="4"/>
  <c r="BD466" i="4"/>
  <c r="BC466" i="4"/>
  <c r="BB466" i="4"/>
  <c r="BA466" i="4"/>
  <c r="AZ466" i="4"/>
  <c r="AY466" i="4"/>
  <c r="AX466" i="4"/>
  <c r="AW466" i="4"/>
  <c r="AV466" i="4"/>
  <c r="Y466" i="4"/>
  <c r="Q466" i="4"/>
  <c r="B466" i="4"/>
  <c r="A466" i="4"/>
  <c r="QX465" i="4"/>
  <c r="FX465" i="4"/>
  <c r="FT465" i="4"/>
  <c r="FS465" i="4"/>
  <c r="FR465" i="4"/>
  <c r="FN465" i="4"/>
  <c r="FM465" i="4"/>
  <c r="FL465" i="4"/>
  <c r="FI465" i="4"/>
  <c r="FH465" i="4"/>
  <c r="FV465" i="4" s="1"/>
  <c r="FG465" i="4"/>
  <c r="FU465" i="4" s="1"/>
  <c r="FE465" i="4"/>
  <c r="FD465" i="4"/>
  <c r="FC465" i="4"/>
  <c r="FB465" i="4"/>
  <c r="FQ465" i="4" s="1"/>
  <c r="FA465" i="4"/>
  <c r="FP465" i="4" s="1"/>
  <c r="EZ465" i="4"/>
  <c r="FO465" i="4" s="1"/>
  <c r="EY465" i="4"/>
  <c r="EX465" i="4"/>
  <c r="EW465" i="4"/>
  <c r="EV465" i="4"/>
  <c r="EU465" i="4"/>
  <c r="FK465" i="4" s="1"/>
  <c r="DX465" i="4"/>
  <c r="EB465" i="4" s="1"/>
  <c r="DW465" i="4"/>
  <c r="DL465" i="4"/>
  <c r="DH465" i="4"/>
  <c r="DF465" i="4"/>
  <c r="DE465" i="4"/>
  <c r="DA465" i="4"/>
  <c r="CX465" i="4"/>
  <c r="FJ465" i="4" s="1"/>
  <c r="FY465" i="4" s="1"/>
  <c r="CU465" i="4"/>
  <c r="CO465" i="4"/>
  <c r="CK465" i="4"/>
  <c r="CG465" i="4"/>
  <c r="BS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Y465" i="4"/>
  <c r="AX465" i="4"/>
  <c r="AW465" i="4"/>
  <c r="AV465" i="4"/>
  <c r="Y465" i="4"/>
  <c r="Q465" i="4"/>
  <c r="B465" i="4"/>
  <c r="A465" i="4"/>
  <c r="QX464" i="4"/>
  <c r="FY464" i="4"/>
  <c r="FX464" i="4"/>
  <c r="FW464" i="4"/>
  <c r="FV464" i="4"/>
  <c r="FS464" i="4"/>
  <c r="FR464" i="4"/>
  <c r="FM464" i="4"/>
  <c r="FL464" i="4"/>
  <c r="FK464" i="4"/>
  <c r="FI464" i="4"/>
  <c r="FH464" i="4"/>
  <c r="FG464" i="4"/>
  <c r="FU464" i="4" s="1"/>
  <c r="FF464" i="4"/>
  <c r="FE464" i="4"/>
  <c r="FT464" i="4" s="1"/>
  <c r="FD464" i="4"/>
  <c r="FC464" i="4"/>
  <c r="FA464" i="4"/>
  <c r="FP464" i="4" s="1"/>
  <c r="EZ464" i="4"/>
  <c r="FO464" i="4" s="1"/>
  <c r="EY464" i="4"/>
  <c r="EX464" i="4"/>
  <c r="FN464" i="4" s="1"/>
  <c r="EW464" i="4"/>
  <c r="EV464" i="4"/>
  <c r="EU464" i="4"/>
  <c r="DX464" i="4"/>
  <c r="EB464" i="4" s="1"/>
  <c r="DW464" i="4"/>
  <c r="EA464" i="4" s="1"/>
  <c r="DV464" i="4"/>
  <c r="DZ464" i="4" s="1"/>
  <c r="DL464" i="4"/>
  <c r="DH464" i="4"/>
  <c r="DG464" i="4"/>
  <c r="DF464" i="4"/>
  <c r="DE464" i="4"/>
  <c r="DA464" i="4"/>
  <c r="CX464" i="4"/>
  <c r="FJ464" i="4" s="1"/>
  <c r="CW464" i="4"/>
  <c r="CV464" i="4"/>
  <c r="CU464" i="4"/>
  <c r="CO464" i="4"/>
  <c r="FB464" i="4" s="1"/>
  <c r="FQ464" i="4" s="1"/>
  <c r="CK464" i="4"/>
  <c r="CG464" i="4"/>
  <c r="BS464" i="4"/>
  <c r="BP464" i="4"/>
  <c r="BO464" i="4"/>
  <c r="BN464" i="4"/>
  <c r="BM464" i="4"/>
  <c r="BL464" i="4"/>
  <c r="BK464" i="4"/>
  <c r="BJ464" i="4"/>
  <c r="BI464" i="4"/>
  <c r="BH464" i="4"/>
  <c r="BG464" i="4"/>
  <c r="BF464" i="4"/>
  <c r="BE464" i="4"/>
  <c r="BD464" i="4"/>
  <c r="BC464" i="4"/>
  <c r="BB464" i="4"/>
  <c r="BA464" i="4"/>
  <c r="AZ464" i="4"/>
  <c r="AY464" i="4"/>
  <c r="AX464" i="4"/>
  <c r="AW464" i="4"/>
  <c r="AV464" i="4"/>
  <c r="Y464" i="4"/>
  <c r="Q464" i="4"/>
  <c r="B464" i="4"/>
  <c r="A464" i="4"/>
  <c r="QX463" i="4"/>
  <c r="FX463" i="4"/>
  <c r="FV463" i="4"/>
  <c r="FU463" i="4"/>
  <c r="FR463" i="4"/>
  <c r="FP463" i="4"/>
  <c r="FL463" i="4"/>
  <c r="FK463" i="4"/>
  <c r="FJ463" i="4"/>
  <c r="FY463" i="4" s="1"/>
  <c r="FI463" i="4"/>
  <c r="FH463" i="4"/>
  <c r="FG463" i="4"/>
  <c r="FE463" i="4"/>
  <c r="FT463" i="4" s="1"/>
  <c r="FD463" i="4"/>
  <c r="FS463" i="4" s="1"/>
  <c r="FC463" i="4"/>
  <c r="FA463" i="4"/>
  <c r="EZ463" i="4"/>
  <c r="FO463" i="4" s="1"/>
  <c r="EY463" i="4"/>
  <c r="EX463" i="4"/>
  <c r="FN463" i="4" s="1"/>
  <c r="EW463" i="4"/>
  <c r="FM463" i="4" s="1"/>
  <c r="EV463" i="4"/>
  <c r="EU463" i="4"/>
  <c r="EB463" i="4"/>
  <c r="EA463" i="4"/>
  <c r="DX463" i="4"/>
  <c r="DW463" i="4"/>
  <c r="DV463" i="4" s="1"/>
  <c r="DZ463" i="4" s="1"/>
  <c r="DU463" i="4"/>
  <c r="DL463" i="4"/>
  <c r="DH463" i="4"/>
  <c r="DF463" i="4"/>
  <c r="DE463" i="4"/>
  <c r="DA463" i="4"/>
  <c r="CX463" i="4"/>
  <c r="CW463" i="4"/>
  <c r="CV463" i="4"/>
  <c r="CU463" i="4"/>
  <c r="CO463" i="4"/>
  <c r="FB463" i="4" s="1"/>
  <c r="FQ463" i="4" s="1"/>
  <c r="DC463" i="4" s="1"/>
  <c r="CK463" i="4"/>
  <c r="BS463" i="4"/>
  <c r="BP463" i="4"/>
  <c r="BO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Y463" i="4"/>
  <c r="Q463" i="4"/>
  <c r="B463" i="4"/>
  <c r="A463" i="4"/>
  <c r="QX462" i="4"/>
  <c r="FT462" i="4"/>
  <c r="FS462" i="4"/>
  <c r="FO462" i="4"/>
  <c r="FM462" i="4"/>
  <c r="FI462" i="4"/>
  <c r="FX462" i="4" s="1"/>
  <c r="FH462" i="4"/>
  <c r="FV462" i="4" s="1"/>
  <c r="FG462" i="4"/>
  <c r="FU462" i="4" s="1"/>
  <c r="FE462" i="4"/>
  <c r="FD462" i="4"/>
  <c r="FC462" i="4"/>
  <c r="FR462" i="4" s="1"/>
  <c r="FB462" i="4"/>
  <c r="FQ462" i="4" s="1"/>
  <c r="FA462" i="4"/>
  <c r="FP462" i="4" s="1"/>
  <c r="EZ462" i="4"/>
  <c r="EY462" i="4"/>
  <c r="EX462" i="4"/>
  <c r="FN462" i="4" s="1"/>
  <c r="EW462" i="4"/>
  <c r="EV462" i="4"/>
  <c r="FL462" i="4" s="1"/>
  <c r="EU462" i="4"/>
  <c r="FK462" i="4" s="1"/>
  <c r="DX462" i="4"/>
  <c r="EB462" i="4" s="1"/>
  <c r="DW462" i="4"/>
  <c r="DV462" i="4" s="1"/>
  <c r="DZ462" i="4" s="1"/>
  <c r="DL462" i="4"/>
  <c r="DH462" i="4"/>
  <c r="DF462" i="4"/>
  <c r="DD462" i="4"/>
  <c r="DC462" i="4"/>
  <c r="DB462" i="4" s="1"/>
  <c r="DA462" i="4"/>
  <c r="CX462" i="4"/>
  <c r="FJ462" i="4" s="1"/>
  <c r="FY462" i="4" s="1"/>
  <c r="CW462" i="4"/>
  <c r="CV462" i="4"/>
  <c r="FF462" i="4" s="1"/>
  <c r="FW462" i="4" s="1"/>
  <c r="CU462" i="4"/>
  <c r="DE462" i="4" s="1"/>
  <c r="CO462" i="4"/>
  <c r="CK462" i="4"/>
  <c r="CG462" i="4"/>
  <c r="BS462" i="4"/>
  <c r="BP462" i="4"/>
  <c r="BO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Y462" i="4"/>
  <c r="AX462" i="4"/>
  <c r="AW462" i="4"/>
  <c r="AV462" i="4"/>
  <c r="Y462" i="4"/>
  <c r="Q462" i="4"/>
  <c r="B462" i="4"/>
  <c r="A462" i="4"/>
  <c r="QX461" i="4"/>
  <c r="FU461" i="4"/>
  <c r="FT461" i="4"/>
  <c r="FP461" i="4"/>
  <c r="FO461" i="4"/>
  <c r="FN461" i="4"/>
  <c r="FK461" i="4"/>
  <c r="FI461" i="4"/>
  <c r="FX461" i="4" s="1"/>
  <c r="FH461" i="4"/>
  <c r="FV461" i="4" s="1"/>
  <c r="FG461" i="4"/>
  <c r="FE461" i="4"/>
  <c r="FD461" i="4"/>
  <c r="FS461" i="4" s="1"/>
  <c r="FC461" i="4"/>
  <c r="FR461" i="4" s="1"/>
  <c r="FA461" i="4"/>
  <c r="EZ461" i="4"/>
  <c r="EY461" i="4"/>
  <c r="EX461" i="4"/>
  <c r="EW461" i="4"/>
  <c r="FM461" i="4" s="1"/>
  <c r="EV461" i="4"/>
  <c r="FL461" i="4" s="1"/>
  <c r="EU461" i="4"/>
  <c r="EB461" i="4"/>
  <c r="DX461" i="4"/>
  <c r="DL461" i="4"/>
  <c r="DH461" i="4"/>
  <c r="DF461" i="4"/>
  <c r="DA461" i="4"/>
  <c r="CU461" i="4"/>
  <c r="DE461" i="4" s="1"/>
  <c r="CP461" i="4"/>
  <c r="CK461" i="4"/>
  <c r="CG461" i="4"/>
  <c r="BS461" i="4"/>
  <c r="BP461" i="4"/>
  <c r="BO461" i="4"/>
  <c r="BN461" i="4"/>
  <c r="BM461" i="4"/>
  <c r="BL461" i="4"/>
  <c r="BK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Y461" i="4"/>
  <c r="Q461" i="4"/>
  <c r="B461" i="4"/>
  <c r="A461" i="4"/>
  <c r="QX460" i="4"/>
  <c r="FU460" i="4"/>
  <c r="FT460" i="4"/>
  <c r="FP460" i="4"/>
  <c r="FO460" i="4"/>
  <c r="FN460" i="4"/>
  <c r="FK460" i="4"/>
  <c r="FI460" i="4"/>
  <c r="FX460" i="4" s="1"/>
  <c r="FG460" i="4"/>
  <c r="FE460" i="4"/>
  <c r="FD460" i="4"/>
  <c r="FS460" i="4" s="1"/>
  <c r="FC460" i="4"/>
  <c r="FR460" i="4" s="1"/>
  <c r="FA460" i="4"/>
  <c r="EZ460" i="4"/>
  <c r="EY460" i="4"/>
  <c r="EX460" i="4"/>
  <c r="EW460" i="4"/>
  <c r="FM460" i="4" s="1"/>
  <c r="EV460" i="4"/>
  <c r="FL460" i="4" s="1"/>
  <c r="EU460" i="4"/>
  <c r="EB460" i="4"/>
  <c r="DX460" i="4"/>
  <c r="DL460" i="4"/>
  <c r="DH460" i="4"/>
  <c r="DA460" i="4"/>
  <c r="CU460" i="4"/>
  <c r="DE460" i="4" s="1"/>
  <c r="CS460" i="4"/>
  <c r="CR460" i="4"/>
  <c r="CP460" i="4"/>
  <c r="CK460" i="4"/>
  <c r="CG460" i="4"/>
  <c r="BS460" i="4"/>
  <c r="BP460" i="4"/>
  <c r="BO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Y460" i="4"/>
  <c r="AX460" i="4"/>
  <c r="AW460" i="4"/>
  <c r="AV460" i="4"/>
  <c r="Y460" i="4"/>
  <c r="Q460" i="4"/>
  <c r="B460" i="4"/>
  <c r="A460" i="4"/>
  <c r="QX459" i="4"/>
  <c r="FX459" i="4"/>
  <c r="FV459" i="4"/>
  <c r="FR459" i="4"/>
  <c r="FP459" i="4"/>
  <c r="FM459" i="4"/>
  <c r="FL459" i="4"/>
  <c r="FK459" i="4"/>
  <c r="FJ459" i="4"/>
  <c r="FY459" i="4" s="1"/>
  <c r="FI459" i="4"/>
  <c r="FH459" i="4"/>
  <c r="FG459" i="4"/>
  <c r="FU459" i="4" s="1"/>
  <c r="FE459" i="4"/>
  <c r="FT459" i="4" s="1"/>
  <c r="FD459" i="4"/>
  <c r="FS459" i="4" s="1"/>
  <c r="FC459" i="4"/>
  <c r="FA459" i="4"/>
  <c r="EZ459" i="4"/>
  <c r="FO459" i="4" s="1"/>
  <c r="EY459" i="4"/>
  <c r="EX459" i="4"/>
  <c r="FN459" i="4" s="1"/>
  <c r="EW459" i="4"/>
  <c r="EV459" i="4"/>
  <c r="EU459" i="4"/>
  <c r="EB459" i="4"/>
  <c r="EA459" i="4"/>
  <c r="DX459" i="4"/>
  <c r="DW459" i="4"/>
  <c r="DV459" i="4"/>
  <c r="DZ459" i="4" s="1"/>
  <c r="DU459" i="4"/>
  <c r="DL459" i="4"/>
  <c r="DH459" i="4"/>
  <c r="DF459" i="4"/>
  <c r="DE459" i="4"/>
  <c r="DA459" i="4"/>
  <c r="CX459" i="4"/>
  <c r="CW459" i="4"/>
  <c r="CV459" i="4"/>
  <c r="DG459" i="4" s="1"/>
  <c r="CU459" i="4"/>
  <c r="CO459" i="4"/>
  <c r="FB459" i="4" s="1"/>
  <c r="FQ459" i="4" s="1"/>
  <c r="CK459" i="4"/>
  <c r="CG459" i="4"/>
  <c r="BS459" i="4"/>
  <c r="BP459" i="4"/>
  <c r="BO459" i="4"/>
  <c r="BN459" i="4"/>
  <c r="BM459" i="4"/>
  <c r="BL459" i="4"/>
  <c r="BK459" i="4"/>
  <c r="BJ459" i="4"/>
  <c r="BI459" i="4"/>
  <c r="BH459" i="4"/>
  <c r="BG459" i="4"/>
  <c r="BF459" i="4"/>
  <c r="BE459" i="4"/>
  <c r="BD459" i="4"/>
  <c r="BC459" i="4"/>
  <c r="BB459" i="4"/>
  <c r="BA459" i="4"/>
  <c r="AZ459" i="4"/>
  <c r="AY459" i="4"/>
  <c r="AX459" i="4"/>
  <c r="AW459" i="4"/>
  <c r="AV459" i="4"/>
  <c r="Y459" i="4"/>
  <c r="Q459" i="4"/>
  <c r="B459" i="4"/>
  <c r="A459" i="4"/>
  <c r="QX458" i="4"/>
  <c r="FV458" i="4"/>
  <c r="FU458" i="4"/>
  <c r="FP458" i="4"/>
  <c r="FO458" i="4"/>
  <c r="FL458" i="4"/>
  <c r="FJ458" i="4"/>
  <c r="FY458" i="4" s="1"/>
  <c r="FI458" i="4"/>
  <c r="FX458" i="4" s="1"/>
  <c r="FH458" i="4"/>
  <c r="FG458" i="4"/>
  <c r="FE458" i="4"/>
  <c r="FT458" i="4" s="1"/>
  <c r="FD458" i="4"/>
  <c r="FS458" i="4" s="1"/>
  <c r="FC458" i="4"/>
  <c r="FR458" i="4" s="1"/>
  <c r="FA458" i="4"/>
  <c r="EZ458" i="4"/>
  <c r="EY458" i="4"/>
  <c r="EX458" i="4"/>
  <c r="FN458" i="4" s="1"/>
  <c r="EW458" i="4"/>
  <c r="FM458" i="4" s="1"/>
  <c r="EV458" i="4"/>
  <c r="EU458" i="4"/>
  <c r="FK458" i="4" s="1"/>
  <c r="EA458" i="4"/>
  <c r="DX458" i="4"/>
  <c r="EB458" i="4" s="1"/>
  <c r="DW458" i="4"/>
  <c r="DU458" i="4"/>
  <c r="DL458" i="4"/>
  <c r="DH458" i="4"/>
  <c r="DF458" i="4"/>
  <c r="DA458" i="4"/>
  <c r="CX458" i="4"/>
  <c r="CW458" i="4"/>
  <c r="CV458" i="4"/>
  <c r="FF458" i="4" s="1"/>
  <c r="FW458" i="4" s="1"/>
  <c r="CU458" i="4"/>
  <c r="DE458" i="4" s="1"/>
  <c r="CO458" i="4"/>
  <c r="FB458" i="4" s="1"/>
  <c r="FQ458" i="4" s="1"/>
  <c r="CK458" i="4"/>
  <c r="CG458" i="4"/>
  <c r="BS458" i="4"/>
  <c r="BP458" i="4"/>
  <c r="BO458" i="4"/>
  <c r="BN458" i="4"/>
  <c r="BM458" i="4"/>
  <c r="BL458" i="4"/>
  <c r="BK458" i="4"/>
  <c r="BJ458" i="4"/>
  <c r="BI458" i="4"/>
  <c r="BH458" i="4"/>
  <c r="BG458" i="4"/>
  <c r="BF458" i="4"/>
  <c r="BE458" i="4"/>
  <c r="BD458" i="4"/>
  <c r="BC458" i="4"/>
  <c r="BB458" i="4"/>
  <c r="BA458" i="4"/>
  <c r="AZ458" i="4"/>
  <c r="AY458" i="4"/>
  <c r="AX458" i="4"/>
  <c r="AW458" i="4"/>
  <c r="AV458" i="4"/>
  <c r="Y458" i="4"/>
  <c r="Q458" i="4"/>
  <c r="B458" i="4"/>
  <c r="A458" i="4"/>
  <c r="QX457" i="4"/>
  <c r="FU457" i="4"/>
  <c r="FT457" i="4"/>
  <c r="FP457" i="4"/>
  <c r="FO457" i="4"/>
  <c r="FN457" i="4"/>
  <c r="FK457" i="4"/>
  <c r="FJ457" i="4"/>
  <c r="FY457" i="4" s="1"/>
  <c r="FI457" i="4"/>
  <c r="FX457" i="4" s="1"/>
  <c r="FH457" i="4"/>
  <c r="FV457" i="4" s="1"/>
  <c r="FG457" i="4"/>
  <c r="FE457" i="4"/>
  <c r="FD457" i="4"/>
  <c r="FS457" i="4" s="1"/>
  <c r="FC457" i="4"/>
  <c r="FR457" i="4" s="1"/>
  <c r="FA457" i="4"/>
  <c r="EZ457" i="4"/>
  <c r="EY457" i="4"/>
  <c r="EX457" i="4"/>
  <c r="EW457" i="4"/>
  <c r="FM457" i="4" s="1"/>
  <c r="EV457" i="4"/>
  <c r="FL457" i="4" s="1"/>
  <c r="EU457" i="4"/>
  <c r="EB457" i="4"/>
  <c r="EA457" i="4"/>
  <c r="DX457" i="4"/>
  <c r="DW457" i="4"/>
  <c r="DV457" i="4" s="1"/>
  <c r="DZ457" i="4" s="1"/>
  <c r="DU457" i="4"/>
  <c r="DL457" i="4"/>
  <c r="DH457" i="4"/>
  <c r="DF457" i="4"/>
  <c r="DA457" i="4"/>
  <c r="CX457" i="4"/>
  <c r="CU457" i="4"/>
  <c r="DE457" i="4" s="1"/>
  <c r="CO457" i="4"/>
  <c r="CW457" i="4" s="1"/>
  <c r="CK457" i="4"/>
  <c r="CG457" i="4"/>
  <c r="BS457" i="4"/>
  <c r="BP457" i="4"/>
  <c r="BO457" i="4"/>
  <c r="BN457" i="4"/>
  <c r="BM457" i="4"/>
  <c r="BL457" i="4"/>
  <c r="BK457" i="4"/>
  <c r="BJ457" i="4"/>
  <c r="BI457" i="4"/>
  <c r="BH457" i="4"/>
  <c r="BG457" i="4"/>
  <c r="BF457" i="4"/>
  <c r="BE457" i="4"/>
  <c r="BD457" i="4"/>
  <c r="BC457" i="4"/>
  <c r="BB457" i="4"/>
  <c r="BA457" i="4"/>
  <c r="AZ457" i="4"/>
  <c r="AY457" i="4"/>
  <c r="AX457" i="4"/>
  <c r="AW457" i="4"/>
  <c r="AV457" i="4"/>
  <c r="Y457" i="4"/>
  <c r="Q457" i="4"/>
  <c r="B457" i="4"/>
  <c r="A457" i="4"/>
  <c r="QX456" i="4"/>
  <c r="FX456" i="4"/>
  <c r="FT456" i="4"/>
  <c r="FS456" i="4"/>
  <c r="FR456" i="4"/>
  <c r="FN456" i="4"/>
  <c r="FM456" i="4"/>
  <c r="FI456" i="4"/>
  <c r="FH456" i="4"/>
  <c r="FV456" i="4" s="1"/>
  <c r="FG456" i="4"/>
  <c r="FU456" i="4" s="1"/>
  <c r="FE456" i="4"/>
  <c r="FD456" i="4"/>
  <c r="FC456" i="4"/>
  <c r="FA456" i="4"/>
  <c r="FP456" i="4" s="1"/>
  <c r="EZ456" i="4"/>
  <c r="FO456" i="4" s="1"/>
  <c r="EY456" i="4"/>
  <c r="EX456" i="4"/>
  <c r="EW456" i="4"/>
  <c r="EV456" i="4"/>
  <c r="FL456" i="4" s="1"/>
  <c r="EU456" i="4"/>
  <c r="FK456" i="4" s="1"/>
  <c r="DX456" i="4"/>
  <c r="EB456" i="4" s="1"/>
  <c r="DW456" i="4"/>
  <c r="EA456" i="4" s="1"/>
  <c r="DL456" i="4"/>
  <c r="DH456" i="4"/>
  <c r="DF456" i="4"/>
  <c r="DA456" i="4"/>
  <c r="CX456" i="4"/>
  <c r="FJ456" i="4" s="1"/>
  <c r="FY456" i="4" s="1"/>
  <c r="CU456" i="4"/>
  <c r="DE456" i="4" s="1"/>
  <c r="CO456" i="4"/>
  <c r="CV456" i="4" s="1"/>
  <c r="CK456" i="4"/>
  <c r="CG456" i="4"/>
  <c r="BS456" i="4"/>
  <c r="BP456" i="4"/>
  <c r="BO456" i="4"/>
  <c r="BN456" i="4"/>
  <c r="BM456" i="4"/>
  <c r="BL456" i="4"/>
  <c r="BK456" i="4"/>
  <c r="BJ456" i="4"/>
  <c r="BI456" i="4"/>
  <c r="BH456" i="4"/>
  <c r="BG456" i="4"/>
  <c r="BF456" i="4"/>
  <c r="BE456" i="4"/>
  <c r="BD456" i="4"/>
  <c r="BC456" i="4"/>
  <c r="BB456" i="4"/>
  <c r="BA456" i="4"/>
  <c r="AZ456" i="4"/>
  <c r="AY456" i="4"/>
  <c r="AX456" i="4"/>
  <c r="AW456" i="4"/>
  <c r="AV456" i="4"/>
  <c r="Y456" i="4"/>
  <c r="Q456" i="4"/>
  <c r="B456" i="4"/>
  <c r="A456" i="4"/>
  <c r="QX455" i="4"/>
  <c r="FX455" i="4"/>
  <c r="FS455" i="4"/>
  <c r="FR455" i="4"/>
  <c r="FN455" i="4"/>
  <c r="FM455" i="4"/>
  <c r="FL455" i="4"/>
  <c r="FI455" i="4"/>
  <c r="FH455" i="4"/>
  <c r="FV455" i="4" s="1"/>
  <c r="FG455" i="4"/>
  <c r="FU455" i="4" s="1"/>
  <c r="FE455" i="4"/>
  <c r="FT455" i="4" s="1"/>
  <c r="FD455" i="4"/>
  <c r="FC455" i="4"/>
  <c r="FA455" i="4"/>
  <c r="FP455" i="4" s="1"/>
  <c r="EZ455" i="4"/>
  <c r="FO455" i="4" s="1"/>
  <c r="EY455" i="4"/>
  <c r="EX455" i="4"/>
  <c r="EW455" i="4"/>
  <c r="EV455" i="4"/>
  <c r="EU455" i="4"/>
  <c r="FK455" i="4" s="1"/>
  <c r="DX455" i="4"/>
  <c r="EB455" i="4" s="1"/>
  <c r="DW455" i="4"/>
  <c r="DV455" i="4" s="1"/>
  <c r="DZ455" i="4" s="1"/>
  <c r="DL455" i="4"/>
  <c r="DH455" i="4"/>
  <c r="DF455" i="4"/>
  <c r="DE455" i="4"/>
  <c r="DA455" i="4"/>
  <c r="CX455" i="4"/>
  <c r="FJ455" i="4" s="1"/>
  <c r="FY455" i="4" s="1"/>
  <c r="CW455" i="4"/>
  <c r="CU455" i="4"/>
  <c r="CO455" i="4"/>
  <c r="FB455" i="4" s="1"/>
  <c r="FQ455" i="4" s="1"/>
  <c r="CK455" i="4"/>
  <c r="CG455" i="4"/>
  <c r="BS455" i="4"/>
  <c r="BP455" i="4"/>
  <c r="BO455" i="4"/>
  <c r="BN455" i="4"/>
  <c r="BM455" i="4"/>
  <c r="BL455" i="4"/>
  <c r="BK455" i="4"/>
  <c r="BJ455" i="4"/>
  <c r="BI455" i="4"/>
  <c r="BH455" i="4"/>
  <c r="BG455" i="4"/>
  <c r="BF455" i="4"/>
  <c r="BE455" i="4"/>
  <c r="BD455" i="4"/>
  <c r="BC455" i="4"/>
  <c r="BB455" i="4"/>
  <c r="BA455" i="4"/>
  <c r="AZ455" i="4"/>
  <c r="AY455" i="4"/>
  <c r="AX455" i="4"/>
  <c r="AW455" i="4"/>
  <c r="AV455" i="4"/>
  <c r="Y455" i="4"/>
  <c r="Q455" i="4"/>
  <c r="B455" i="4"/>
  <c r="A455" i="4"/>
  <c r="QX454" i="4"/>
  <c r="FX454" i="4"/>
  <c r="FV454" i="4"/>
  <c r="FR454" i="4"/>
  <c r="FP454" i="4"/>
  <c r="FL454" i="4"/>
  <c r="FK454" i="4"/>
  <c r="FJ454" i="4"/>
  <c r="FY454" i="4" s="1"/>
  <c r="FI454" i="4"/>
  <c r="FG454" i="4"/>
  <c r="FU454" i="4" s="1"/>
  <c r="FE454" i="4"/>
  <c r="FT454" i="4" s="1"/>
  <c r="FD454" i="4"/>
  <c r="FS454" i="4" s="1"/>
  <c r="FC454" i="4"/>
  <c r="FA454" i="4"/>
  <c r="EZ454" i="4"/>
  <c r="FO454" i="4" s="1"/>
  <c r="EY454" i="4"/>
  <c r="EX454" i="4"/>
  <c r="FN454" i="4" s="1"/>
  <c r="EW454" i="4"/>
  <c r="FM454" i="4" s="1"/>
  <c r="EV454" i="4"/>
  <c r="EU454" i="4"/>
  <c r="EB454" i="4"/>
  <c r="EA454" i="4"/>
  <c r="DX454" i="4"/>
  <c r="DW454" i="4"/>
  <c r="DV454" i="4"/>
  <c r="DZ454" i="4" s="1"/>
  <c r="DU454" i="4"/>
  <c r="DL454" i="4"/>
  <c r="DH454" i="4"/>
  <c r="DF454" i="4"/>
  <c r="DE454" i="4"/>
  <c r="DA454" i="4"/>
  <c r="CX454" i="4"/>
  <c r="CW454" i="4"/>
  <c r="CV454" i="4"/>
  <c r="DG454" i="4" s="1"/>
  <c r="CU454" i="4"/>
  <c r="CO454" i="4"/>
  <c r="FB454" i="4" s="1"/>
  <c r="FQ454" i="4" s="1"/>
  <c r="CK454" i="4"/>
  <c r="CG454" i="4"/>
  <c r="BS454" i="4"/>
  <c r="BP454" i="4"/>
  <c r="BO454" i="4"/>
  <c r="BN454" i="4"/>
  <c r="BM454" i="4"/>
  <c r="BL454" i="4"/>
  <c r="BK454" i="4"/>
  <c r="BJ454" i="4"/>
  <c r="BI454" i="4"/>
  <c r="BH454" i="4"/>
  <c r="BG454" i="4"/>
  <c r="BF454" i="4"/>
  <c r="BE454" i="4"/>
  <c r="BD454" i="4"/>
  <c r="BC454" i="4"/>
  <c r="BB454" i="4"/>
  <c r="BA454" i="4"/>
  <c r="AZ454" i="4"/>
  <c r="AY454" i="4"/>
  <c r="AX454" i="4"/>
  <c r="AW454" i="4"/>
  <c r="AV454" i="4"/>
  <c r="Y454" i="4"/>
  <c r="Q454" i="4"/>
  <c r="B454" i="4"/>
  <c r="A454" i="4"/>
  <c r="QX453" i="4"/>
  <c r="FV453" i="4"/>
  <c r="FU453" i="4"/>
  <c r="FT453" i="4"/>
  <c r="FP453" i="4"/>
  <c r="FO453" i="4"/>
  <c r="FK453" i="4"/>
  <c r="FJ453" i="4"/>
  <c r="FY453" i="4" s="1"/>
  <c r="FI453" i="4"/>
  <c r="FX453" i="4" s="1"/>
  <c r="FH453" i="4"/>
  <c r="FG453" i="4"/>
  <c r="FE453" i="4"/>
  <c r="FD453" i="4"/>
  <c r="FS453" i="4" s="1"/>
  <c r="FC453" i="4"/>
  <c r="FR453" i="4" s="1"/>
  <c r="FA453" i="4"/>
  <c r="EZ453" i="4"/>
  <c r="EY453" i="4"/>
  <c r="EX453" i="4"/>
  <c r="FN453" i="4" s="1"/>
  <c r="EW453" i="4"/>
  <c r="FM453" i="4" s="1"/>
  <c r="EV453" i="4"/>
  <c r="FL453" i="4" s="1"/>
  <c r="EU453" i="4"/>
  <c r="EB453" i="4"/>
  <c r="EA453" i="4"/>
  <c r="DX453" i="4"/>
  <c r="DW453" i="4"/>
  <c r="DV453" i="4" s="1"/>
  <c r="DZ453" i="4" s="1"/>
  <c r="DU453" i="4"/>
  <c r="DL453" i="4"/>
  <c r="DH453" i="4"/>
  <c r="DF453" i="4"/>
  <c r="DA453" i="4"/>
  <c r="CX453" i="4"/>
  <c r="CV453" i="4"/>
  <c r="FF453" i="4" s="1"/>
  <c r="FW453" i="4" s="1"/>
  <c r="CU453" i="4"/>
  <c r="DE453" i="4" s="1"/>
  <c r="CO453" i="4"/>
  <c r="CW453" i="4" s="1"/>
  <c r="CK453" i="4"/>
  <c r="CG453" i="4"/>
  <c r="BS453" i="4"/>
  <c r="BP453" i="4"/>
  <c r="BO453" i="4"/>
  <c r="BN453" i="4"/>
  <c r="BM453" i="4"/>
  <c r="BL453" i="4"/>
  <c r="BK453" i="4"/>
  <c r="BJ453" i="4"/>
  <c r="BI453" i="4"/>
  <c r="BH453" i="4"/>
  <c r="BG453" i="4"/>
  <c r="BF453" i="4"/>
  <c r="BE453" i="4"/>
  <c r="BD453" i="4"/>
  <c r="BC453" i="4"/>
  <c r="BB453" i="4"/>
  <c r="BA453" i="4"/>
  <c r="AZ453" i="4"/>
  <c r="AY453" i="4"/>
  <c r="AX453" i="4"/>
  <c r="AW453" i="4"/>
  <c r="AV453" i="4"/>
  <c r="Y453" i="4"/>
  <c r="Q453" i="4"/>
  <c r="B453" i="4"/>
  <c r="A453" i="4"/>
  <c r="QX452" i="4"/>
  <c r="FY452" i="4"/>
  <c r="FU452" i="4"/>
  <c r="FT452" i="4"/>
  <c r="FS452" i="4"/>
  <c r="FO452" i="4"/>
  <c r="FN452" i="4"/>
  <c r="FJ452" i="4"/>
  <c r="FI452" i="4"/>
  <c r="FX452" i="4" s="1"/>
  <c r="FH452" i="4"/>
  <c r="FV452" i="4" s="1"/>
  <c r="FG452" i="4"/>
  <c r="FE452" i="4"/>
  <c r="FD452" i="4"/>
  <c r="FC452" i="4"/>
  <c r="FR452" i="4" s="1"/>
  <c r="FA452" i="4"/>
  <c r="FP452" i="4" s="1"/>
  <c r="EZ452" i="4"/>
  <c r="EY452" i="4"/>
  <c r="EX452" i="4"/>
  <c r="EW452" i="4"/>
  <c r="FM452" i="4" s="1"/>
  <c r="EV452" i="4"/>
  <c r="FL452" i="4" s="1"/>
  <c r="EU452" i="4"/>
  <c r="FK452" i="4" s="1"/>
  <c r="EA452" i="4"/>
  <c r="DX452" i="4"/>
  <c r="EB452" i="4" s="1"/>
  <c r="DW452" i="4"/>
  <c r="DU452" i="4"/>
  <c r="DL452" i="4"/>
  <c r="DH452" i="4"/>
  <c r="DF452" i="4"/>
  <c r="DA452" i="4"/>
  <c r="CX452" i="4"/>
  <c r="CU452" i="4"/>
  <c r="DE452" i="4" s="1"/>
  <c r="CO452" i="4"/>
  <c r="CW452" i="4" s="1"/>
  <c r="CK452" i="4"/>
  <c r="CG452" i="4"/>
  <c r="BS452" i="4"/>
  <c r="BP452" i="4"/>
  <c r="BO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Y452" i="4"/>
  <c r="Q452" i="4"/>
  <c r="B452" i="4"/>
  <c r="A452" i="4"/>
  <c r="QX451" i="4"/>
  <c r="FX451" i="4"/>
  <c r="FT451" i="4"/>
  <c r="FS451" i="4"/>
  <c r="FR451" i="4"/>
  <c r="FN451" i="4"/>
  <c r="FM451" i="4"/>
  <c r="FI451" i="4"/>
  <c r="FH451" i="4"/>
  <c r="FV451" i="4" s="1"/>
  <c r="FG451" i="4"/>
  <c r="FU451" i="4" s="1"/>
  <c r="FE451" i="4"/>
  <c r="FD451" i="4"/>
  <c r="FC451" i="4"/>
  <c r="FA451" i="4"/>
  <c r="FP451" i="4" s="1"/>
  <c r="EZ451" i="4"/>
  <c r="FO451" i="4" s="1"/>
  <c r="EY451" i="4"/>
  <c r="EX451" i="4"/>
  <c r="EW451" i="4"/>
  <c r="EV451" i="4"/>
  <c r="FL451" i="4" s="1"/>
  <c r="EU451" i="4"/>
  <c r="FK451" i="4" s="1"/>
  <c r="DX451" i="4"/>
  <c r="EB451" i="4" s="1"/>
  <c r="DW451" i="4"/>
  <c r="EA451" i="4" s="1"/>
  <c r="DL451" i="4"/>
  <c r="DH451" i="4"/>
  <c r="DF451" i="4"/>
  <c r="DA451" i="4"/>
  <c r="CX451" i="4"/>
  <c r="FJ451" i="4" s="1"/>
  <c r="FY451" i="4" s="1"/>
  <c r="CU451" i="4"/>
  <c r="DE451" i="4" s="1"/>
  <c r="CO451" i="4"/>
  <c r="CV451" i="4" s="1"/>
  <c r="CK451" i="4"/>
  <c r="CG451" i="4"/>
  <c r="BR451" i="4"/>
  <c r="BS451" i="4" s="1"/>
  <c r="BP451" i="4"/>
  <c r="BO451" i="4"/>
  <c r="BN451" i="4"/>
  <c r="BM451" i="4"/>
  <c r="BL451" i="4"/>
  <c r="BK451" i="4"/>
  <c r="BJ451" i="4"/>
  <c r="BI451" i="4"/>
  <c r="BH451" i="4"/>
  <c r="BG451" i="4"/>
  <c r="BF451" i="4"/>
  <c r="BE451" i="4"/>
  <c r="BD451" i="4"/>
  <c r="BC451" i="4"/>
  <c r="BB451" i="4"/>
  <c r="BA451" i="4"/>
  <c r="AZ451" i="4"/>
  <c r="AY451" i="4"/>
  <c r="AX451" i="4"/>
  <c r="AW451" i="4"/>
  <c r="AV451" i="4"/>
  <c r="AQ451" i="4"/>
  <c r="AI451" i="4"/>
  <c r="Y451" i="4"/>
  <c r="Q451" i="4"/>
  <c r="B451" i="4"/>
  <c r="A451" i="4"/>
  <c r="QX450" i="4"/>
  <c r="FV450" i="4"/>
  <c r="FU450" i="4"/>
  <c r="FT450" i="4"/>
  <c r="FP450" i="4"/>
  <c r="FO450" i="4"/>
  <c r="FK450" i="4"/>
  <c r="FJ450" i="4"/>
  <c r="FY450" i="4" s="1"/>
  <c r="FI450" i="4"/>
  <c r="FX450" i="4" s="1"/>
  <c r="FH450" i="4"/>
  <c r="FG450" i="4"/>
  <c r="FE450" i="4"/>
  <c r="FD450" i="4"/>
  <c r="FS450" i="4" s="1"/>
  <c r="FC450" i="4"/>
  <c r="FR450" i="4" s="1"/>
  <c r="FA450" i="4"/>
  <c r="EZ450" i="4"/>
  <c r="EY450" i="4"/>
  <c r="EX450" i="4"/>
  <c r="FN450" i="4" s="1"/>
  <c r="EW450" i="4"/>
  <c r="FM450" i="4" s="1"/>
  <c r="EV450" i="4"/>
  <c r="FL450" i="4" s="1"/>
  <c r="EU450" i="4"/>
  <c r="EB450" i="4"/>
  <c r="EA450" i="4"/>
  <c r="DZ450" i="4"/>
  <c r="DX450" i="4"/>
  <c r="DW450" i="4"/>
  <c r="DV450" i="4"/>
  <c r="DU450" i="4"/>
  <c r="DL450" i="4"/>
  <c r="DH450" i="4"/>
  <c r="DF450" i="4"/>
  <c r="DA450" i="4"/>
  <c r="CX450" i="4"/>
  <c r="CV450" i="4"/>
  <c r="FF450" i="4" s="1"/>
  <c r="FW450" i="4" s="1"/>
  <c r="CU450" i="4"/>
  <c r="DE450" i="4" s="1"/>
  <c r="CO450" i="4"/>
  <c r="CW450" i="4" s="1"/>
  <c r="CK450" i="4"/>
  <c r="CG450" i="4"/>
  <c r="BS450" i="4"/>
  <c r="BP450" i="4"/>
  <c r="BO450" i="4"/>
  <c r="BN450" i="4"/>
  <c r="BM450" i="4"/>
  <c r="BL450" i="4"/>
  <c r="BK450" i="4"/>
  <c r="BJ450" i="4"/>
  <c r="BI450" i="4"/>
  <c r="BH450" i="4"/>
  <c r="BG450" i="4"/>
  <c r="BF450" i="4"/>
  <c r="BE450" i="4"/>
  <c r="BD450" i="4"/>
  <c r="BC450" i="4"/>
  <c r="BB450" i="4"/>
  <c r="BA450" i="4"/>
  <c r="AZ450" i="4"/>
  <c r="AY450" i="4"/>
  <c r="AX450" i="4"/>
  <c r="AW450" i="4"/>
  <c r="AV450" i="4"/>
  <c r="Y450" i="4"/>
  <c r="Q450" i="4"/>
  <c r="B450" i="4"/>
  <c r="A450" i="4"/>
  <c r="QX449" i="4"/>
  <c r="FY449" i="4"/>
  <c r="FU449" i="4"/>
  <c r="FT449" i="4"/>
  <c r="FS449" i="4"/>
  <c r="FO449" i="4"/>
  <c r="FN449" i="4"/>
  <c r="FJ449" i="4"/>
  <c r="FI449" i="4"/>
  <c r="FX449" i="4" s="1"/>
  <c r="FH449" i="4"/>
  <c r="FV449" i="4" s="1"/>
  <c r="FG449" i="4"/>
  <c r="FE449" i="4"/>
  <c r="FD449" i="4"/>
  <c r="FC449" i="4"/>
  <c r="FR449" i="4" s="1"/>
  <c r="FA449" i="4"/>
  <c r="FP449" i="4" s="1"/>
  <c r="EZ449" i="4"/>
  <c r="EY449" i="4"/>
  <c r="EX449" i="4"/>
  <c r="EW449" i="4"/>
  <c r="FM449" i="4" s="1"/>
  <c r="EV449" i="4"/>
  <c r="FL449" i="4" s="1"/>
  <c r="EU449" i="4"/>
  <c r="FK449" i="4" s="1"/>
  <c r="EA449" i="4"/>
  <c r="DX449" i="4"/>
  <c r="EB449" i="4" s="1"/>
  <c r="DW449" i="4"/>
  <c r="DU449" i="4"/>
  <c r="DL449" i="4"/>
  <c r="DH449" i="4"/>
  <c r="DF449" i="4"/>
  <c r="DA449" i="4"/>
  <c r="CX449" i="4"/>
  <c r="CU449" i="4"/>
  <c r="DE449" i="4" s="1"/>
  <c r="CO449" i="4"/>
  <c r="CW449" i="4" s="1"/>
  <c r="CK449" i="4"/>
  <c r="CG449" i="4"/>
  <c r="BS449" i="4"/>
  <c r="BP449" i="4"/>
  <c r="BO449" i="4"/>
  <c r="BN449" i="4"/>
  <c r="BM449" i="4"/>
  <c r="BL449" i="4"/>
  <c r="BK449" i="4"/>
  <c r="BJ449" i="4"/>
  <c r="BI449" i="4"/>
  <c r="BH449" i="4"/>
  <c r="BG449" i="4"/>
  <c r="BF449" i="4"/>
  <c r="BE449" i="4"/>
  <c r="BD449" i="4"/>
  <c r="BC449" i="4"/>
  <c r="BB449" i="4"/>
  <c r="BA449" i="4"/>
  <c r="AZ449" i="4"/>
  <c r="AY449" i="4"/>
  <c r="AX449" i="4"/>
  <c r="AW449" i="4"/>
  <c r="AV449" i="4"/>
  <c r="Y449" i="4"/>
  <c r="Q449" i="4"/>
  <c r="B449" i="4"/>
  <c r="A449" i="4"/>
  <c r="QX448" i="4"/>
  <c r="FT448" i="4"/>
  <c r="FS448" i="4"/>
  <c r="FO448" i="4"/>
  <c r="FN448" i="4"/>
  <c r="FM448" i="4"/>
  <c r="FI448" i="4"/>
  <c r="FX448" i="4" s="1"/>
  <c r="FH448" i="4"/>
  <c r="FV448" i="4" s="1"/>
  <c r="FG448" i="4"/>
  <c r="FU448" i="4" s="1"/>
  <c r="FE448" i="4"/>
  <c r="FD448" i="4"/>
  <c r="FC448" i="4"/>
  <c r="FR448" i="4" s="1"/>
  <c r="FA448" i="4"/>
  <c r="FP448" i="4" s="1"/>
  <c r="EZ448" i="4"/>
  <c r="EY448" i="4"/>
  <c r="EX448" i="4"/>
  <c r="EW448" i="4"/>
  <c r="EV448" i="4"/>
  <c r="FL448" i="4" s="1"/>
  <c r="EU448" i="4"/>
  <c r="FK448" i="4" s="1"/>
  <c r="DX448" i="4"/>
  <c r="EB448" i="4" s="1"/>
  <c r="DW448" i="4"/>
  <c r="EA448" i="4" s="1"/>
  <c r="DL448" i="4"/>
  <c r="DH448" i="4"/>
  <c r="DF448" i="4"/>
  <c r="DA448" i="4"/>
  <c r="CX448" i="4"/>
  <c r="FJ448" i="4" s="1"/>
  <c r="FY448" i="4" s="1"/>
  <c r="CU448" i="4"/>
  <c r="DE448" i="4" s="1"/>
  <c r="CO448" i="4"/>
  <c r="CV448" i="4" s="1"/>
  <c r="CK448" i="4"/>
  <c r="CG448" i="4"/>
  <c r="BS448" i="4"/>
  <c r="BP448" i="4"/>
  <c r="BO448" i="4"/>
  <c r="BN448" i="4"/>
  <c r="BM448" i="4"/>
  <c r="BL448" i="4"/>
  <c r="BK448" i="4"/>
  <c r="BJ448" i="4"/>
  <c r="BI448" i="4"/>
  <c r="BH448" i="4"/>
  <c r="BG448" i="4"/>
  <c r="BF448" i="4"/>
  <c r="BE448" i="4"/>
  <c r="BD448" i="4"/>
  <c r="BC448" i="4"/>
  <c r="BB448" i="4"/>
  <c r="BA448" i="4"/>
  <c r="AZ448" i="4"/>
  <c r="AY448" i="4"/>
  <c r="AX448" i="4"/>
  <c r="AW448" i="4"/>
  <c r="AV448" i="4"/>
  <c r="Y448" i="4"/>
  <c r="Q448" i="4"/>
  <c r="B448" i="4"/>
  <c r="A448" i="4"/>
  <c r="QX447" i="4"/>
  <c r="FX447" i="4"/>
  <c r="FT447" i="4"/>
  <c r="FS447" i="4"/>
  <c r="FR447" i="4"/>
  <c r="FN447" i="4"/>
  <c r="FM447" i="4"/>
  <c r="FL447" i="4"/>
  <c r="FI447" i="4"/>
  <c r="FH447" i="4"/>
  <c r="FV447" i="4" s="1"/>
  <c r="FG447" i="4"/>
  <c r="FU447" i="4" s="1"/>
  <c r="FE447" i="4"/>
  <c r="FD447" i="4"/>
  <c r="FC447" i="4"/>
  <c r="FA447" i="4"/>
  <c r="FP447" i="4" s="1"/>
  <c r="EZ447" i="4"/>
  <c r="FO447" i="4" s="1"/>
  <c r="EY447" i="4"/>
  <c r="EX447" i="4"/>
  <c r="EW447" i="4"/>
  <c r="EV447" i="4"/>
  <c r="EU447" i="4"/>
  <c r="FK447" i="4" s="1"/>
  <c r="DX447" i="4"/>
  <c r="EB447" i="4" s="1"/>
  <c r="DW447" i="4"/>
  <c r="DV447" i="4" s="1"/>
  <c r="DZ447" i="4" s="1"/>
  <c r="DL447" i="4"/>
  <c r="DH447" i="4"/>
  <c r="DF447" i="4"/>
  <c r="DE447" i="4"/>
  <c r="DA447" i="4"/>
  <c r="CX447" i="4"/>
  <c r="FJ447" i="4" s="1"/>
  <c r="FY447" i="4" s="1"/>
  <c r="CU447" i="4"/>
  <c r="CO447" i="4"/>
  <c r="FB447" i="4" s="1"/>
  <c r="FQ447" i="4" s="1"/>
  <c r="CK447" i="4"/>
  <c r="CG447" i="4"/>
  <c r="BS447" i="4"/>
  <c r="BP447" i="4"/>
  <c r="BO447" i="4"/>
  <c r="BN447" i="4"/>
  <c r="BM447" i="4"/>
  <c r="BL447" i="4"/>
  <c r="BK447" i="4"/>
  <c r="BJ447" i="4"/>
  <c r="BI447" i="4"/>
  <c r="BH447" i="4"/>
  <c r="BG447" i="4"/>
  <c r="BF447" i="4"/>
  <c r="BE447" i="4"/>
  <c r="BD447" i="4"/>
  <c r="BC447" i="4"/>
  <c r="BB447" i="4"/>
  <c r="BA447" i="4"/>
  <c r="AZ447" i="4"/>
  <c r="AY447" i="4"/>
  <c r="AX447" i="4"/>
  <c r="AW447" i="4"/>
  <c r="AV447" i="4"/>
  <c r="Y447" i="4"/>
  <c r="Q447" i="4"/>
  <c r="B447" i="4"/>
  <c r="A447" i="4"/>
  <c r="QX446" i="4"/>
  <c r="FX446" i="4"/>
  <c r="FS446" i="4"/>
  <c r="FR446" i="4"/>
  <c r="FN446" i="4"/>
  <c r="FM446" i="4"/>
  <c r="FL446" i="4"/>
  <c r="FK446" i="4"/>
  <c r="FI446" i="4"/>
  <c r="FH446" i="4"/>
  <c r="FV446" i="4" s="1"/>
  <c r="FG446" i="4"/>
  <c r="FU446" i="4" s="1"/>
  <c r="FE446" i="4"/>
  <c r="FT446" i="4" s="1"/>
  <c r="FD446" i="4"/>
  <c r="FC446" i="4"/>
  <c r="FA446" i="4"/>
  <c r="FP446" i="4" s="1"/>
  <c r="EZ446" i="4"/>
  <c r="FO446" i="4" s="1"/>
  <c r="EY446" i="4"/>
  <c r="EX446" i="4"/>
  <c r="EW446" i="4"/>
  <c r="EV446" i="4"/>
  <c r="EU446" i="4"/>
  <c r="EB446" i="4"/>
  <c r="DX446" i="4"/>
  <c r="DW446" i="4"/>
  <c r="DV446" i="4" s="1"/>
  <c r="DZ446" i="4" s="1"/>
  <c r="DL446" i="4"/>
  <c r="DH446" i="4"/>
  <c r="DF446" i="4"/>
  <c r="DE446" i="4"/>
  <c r="DA446" i="4"/>
  <c r="CX446" i="4"/>
  <c r="FJ446" i="4" s="1"/>
  <c r="FY446" i="4" s="1"/>
  <c r="CW446" i="4"/>
  <c r="CU446" i="4"/>
  <c r="CO446" i="4"/>
  <c r="FB446" i="4" s="1"/>
  <c r="FQ446" i="4" s="1"/>
  <c r="CK446" i="4"/>
  <c r="CG446" i="4"/>
  <c r="BS446" i="4"/>
  <c r="BP446" i="4"/>
  <c r="BO446" i="4"/>
  <c r="BN446" i="4"/>
  <c r="BM446" i="4"/>
  <c r="BL446" i="4"/>
  <c r="BK446" i="4"/>
  <c r="BJ446" i="4"/>
  <c r="BI446" i="4"/>
  <c r="BH446" i="4"/>
  <c r="BG446" i="4"/>
  <c r="BF446" i="4"/>
  <c r="BE446" i="4"/>
  <c r="BD446" i="4"/>
  <c r="BC446" i="4"/>
  <c r="BB446" i="4"/>
  <c r="BA446" i="4"/>
  <c r="AZ446" i="4"/>
  <c r="AY446" i="4"/>
  <c r="AX446" i="4"/>
  <c r="AW446" i="4"/>
  <c r="AV446" i="4"/>
  <c r="Y446" i="4"/>
  <c r="Q446" i="4"/>
  <c r="B446" i="4"/>
  <c r="A446" i="4"/>
  <c r="QX445" i="4"/>
  <c r="FX445" i="4"/>
  <c r="FV445" i="4"/>
  <c r="FU445" i="4"/>
  <c r="FR445" i="4"/>
  <c r="FP445" i="4"/>
  <c r="FL445" i="4"/>
  <c r="FK445" i="4"/>
  <c r="FJ445" i="4"/>
  <c r="FY445" i="4" s="1"/>
  <c r="FI445" i="4"/>
  <c r="FH445" i="4"/>
  <c r="FG445" i="4"/>
  <c r="FE445" i="4"/>
  <c r="FT445" i="4" s="1"/>
  <c r="FD445" i="4"/>
  <c r="FS445" i="4" s="1"/>
  <c r="FC445" i="4"/>
  <c r="FA445" i="4"/>
  <c r="EZ445" i="4"/>
  <c r="FO445" i="4" s="1"/>
  <c r="EY445" i="4"/>
  <c r="EX445" i="4"/>
  <c r="FN445" i="4" s="1"/>
  <c r="EW445" i="4"/>
  <c r="FM445" i="4" s="1"/>
  <c r="EV445" i="4"/>
  <c r="EU445" i="4"/>
  <c r="EB445" i="4"/>
  <c r="EA445" i="4"/>
  <c r="DX445" i="4"/>
  <c r="DW445" i="4"/>
  <c r="DV445" i="4"/>
  <c r="DZ445" i="4" s="1"/>
  <c r="DU445" i="4"/>
  <c r="DL445" i="4"/>
  <c r="DH445" i="4"/>
  <c r="DF445" i="4"/>
  <c r="DE445" i="4"/>
  <c r="DA445" i="4"/>
  <c r="CX445" i="4"/>
  <c r="CW445" i="4"/>
  <c r="CV445" i="4"/>
  <c r="DG445" i="4" s="1"/>
  <c r="CU445" i="4"/>
  <c r="CO445" i="4"/>
  <c r="FB445" i="4" s="1"/>
  <c r="FQ445" i="4" s="1"/>
  <c r="CK445" i="4"/>
  <c r="CG445" i="4"/>
  <c r="BS445" i="4"/>
  <c r="BP445" i="4"/>
  <c r="BO445" i="4"/>
  <c r="BN445" i="4"/>
  <c r="BM445" i="4"/>
  <c r="BL445" i="4"/>
  <c r="BK445" i="4"/>
  <c r="BJ445" i="4"/>
  <c r="BI445" i="4"/>
  <c r="BH445" i="4"/>
  <c r="BG445" i="4"/>
  <c r="BF445" i="4"/>
  <c r="BE445" i="4"/>
  <c r="BD445" i="4"/>
  <c r="BC445" i="4"/>
  <c r="BB445" i="4"/>
  <c r="BA445" i="4"/>
  <c r="AZ445" i="4"/>
  <c r="AY445" i="4"/>
  <c r="AX445" i="4"/>
  <c r="AW445" i="4"/>
  <c r="AV445" i="4"/>
  <c r="AQ445" i="4"/>
  <c r="AI445" i="4"/>
  <c r="Y445" i="4"/>
  <c r="Q445" i="4"/>
  <c r="B445" i="4"/>
  <c r="A445" i="4"/>
  <c r="FV444" i="4"/>
  <c r="FR444" i="4"/>
  <c r="FP444" i="4"/>
  <c r="FM444" i="4"/>
  <c r="FL444" i="4"/>
  <c r="FK444" i="4"/>
  <c r="FH444" i="4"/>
  <c r="FG444" i="4"/>
  <c r="FU444" i="4" s="1"/>
  <c r="FF444" i="4"/>
  <c r="FW444" i="4" s="1"/>
  <c r="FE444" i="4"/>
  <c r="FT444" i="4" s="1"/>
  <c r="FD444" i="4"/>
  <c r="FS444" i="4" s="1"/>
  <c r="FC444" i="4"/>
  <c r="FA444" i="4"/>
  <c r="EZ444" i="4"/>
  <c r="FO444" i="4" s="1"/>
  <c r="EY444" i="4"/>
  <c r="EX444" i="4"/>
  <c r="FN444" i="4" s="1"/>
  <c r="EW444" i="4"/>
  <c r="EV444" i="4"/>
  <c r="EU444" i="4"/>
  <c r="EB444" i="4"/>
  <c r="DX444" i="4"/>
  <c r="DW444" i="4"/>
  <c r="DV444" i="4" s="1"/>
  <c r="DZ444" i="4" s="1"/>
  <c r="DL444" i="4"/>
  <c r="DF444" i="4"/>
  <c r="DE444" i="4"/>
  <c r="DA444" i="4"/>
  <c r="CX444" i="4"/>
  <c r="FJ444" i="4" s="1"/>
  <c r="FY444" i="4" s="1"/>
  <c r="CW444" i="4"/>
  <c r="CV444" i="4"/>
  <c r="CU444" i="4"/>
  <c r="CO444" i="4"/>
  <c r="FB444" i="4" s="1"/>
  <c r="FQ444" i="4" s="1"/>
  <c r="CN444" i="4"/>
  <c r="QX444" i="4" s="1"/>
  <c r="CK444" i="4"/>
  <c r="CJ444" i="4"/>
  <c r="CG444" i="4"/>
  <c r="BS444" i="4"/>
  <c r="BP444" i="4"/>
  <c r="BO444" i="4"/>
  <c r="BN444" i="4"/>
  <c r="BM444" i="4"/>
  <c r="BL444" i="4"/>
  <c r="BK444" i="4"/>
  <c r="BJ444" i="4"/>
  <c r="BI444" i="4"/>
  <c r="BH444" i="4"/>
  <c r="BG444" i="4"/>
  <c r="BF444" i="4"/>
  <c r="BE444" i="4"/>
  <c r="BD444" i="4"/>
  <c r="BC444" i="4"/>
  <c r="BB444" i="4"/>
  <c r="BA444" i="4"/>
  <c r="AZ444" i="4"/>
  <c r="AY444" i="4"/>
  <c r="AX444" i="4"/>
  <c r="AW444" i="4"/>
  <c r="AV444" i="4"/>
  <c r="Y444" i="4"/>
  <c r="Q444" i="4"/>
  <c r="B444" i="4"/>
  <c r="A444" i="4"/>
  <c r="QX443" i="4"/>
  <c r="FX443" i="4"/>
  <c r="FT443" i="4"/>
  <c r="FS443" i="4"/>
  <c r="FN443" i="4"/>
  <c r="FM443" i="4"/>
  <c r="FL443" i="4"/>
  <c r="FI443" i="4"/>
  <c r="FH443" i="4"/>
  <c r="FV443" i="4" s="1"/>
  <c r="FG443" i="4"/>
  <c r="FU443" i="4" s="1"/>
  <c r="FE443" i="4"/>
  <c r="FD443" i="4"/>
  <c r="FA443" i="4"/>
  <c r="FP443" i="4" s="1"/>
  <c r="EZ443" i="4"/>
  <c r="FO443" i="4" s="1"/>
  <c r="EY443" i="4"/>
  <c r="EX443" i="4"/>
  <c r="EW443" i="4"/>
  <c r="EV443" i="4"/>
  <c r="EU443" i="4"/>
  <c r="FK443" i="4" s="1"/>
  <c r="DX443" i="4"/>
  <c r="EB443" i="4" s="1"/>
  <c r="DW443" i="4"/>
  <c r="DV443" i="4" s="1"/>
  <c r="DZ443" i="4" s="1"/>
  <c r="DL443" i="4"/>
  <c r="DH443" i="4"/>
  <c r="DF443" i="4"/>
  <c r="DA443" i="4"/>
  <c r="CX443" i="4"/>
  <c r="FJ443" i="4" s="1"/>
  <c r="FY443" i="4" s="1"/>
  <c r="CU443" i="4"/>
  <c r="DE443" i="4" s="1"/>
  <c r="CP443" i="4"/>
  <c r="FC443" i="4" s="1"/>
  <c r="FR443" i="4" s="1"/>
  <c r="CO443" i="4"/>
  <c r="FB443" i="4" s="1"/>
  <c r="FQ443" i="4" s="1"/>
  <c r="CK443" i="4"/>
  <c r="CG443" i="4"/>
  <c r="BS443" i="4"/>
  <c r="BP443" i="4"/>
  <c r="BO443" i="4"/>
  <c r="BN443" i="4"/>
  <c r="BM443" i="4"/>
  <c r="BL443" i="4"/>
  <c r="BK443" i="4"/>
  <c r="BJ443" i="4"/>
  <c r="BI443" i="4"/>
  <c r="BH443" i="4"/>
  <c r="BG443" i="4"/>
  <c r="BF443" i="4"/>
  <c r="BE443" i="4"/>
  <c r="BD443" i="4"/>
  <c r="BC443" i="4"/>
  <c r="BB443" i="4"/>
  <c r="BA443" i="4"/>
  <c r="AZ443" i="4"/>
  <c r="AY443" i="4"/>
  <c r="AX443" i="4"/>
  <c r="AW443" i="4"/>
  <c r="AV443" i="4"/>
  <c r="Y443" i="4"/>
  <c r="Q443" i="4"/>
  <c r="B443" i="4"/>
  <c r="A443" i="4"/>
  <c r="QX442" i="4"/>
  <c r="FX442" i="4"/>
  <c r="FT442" i="4"/>
  <c r="FS442" i="4"/>
  <c r="FR442" i="4"/>
  <c r="FN442" i="4"/>
  <c r="FM442" i="4"/>
  <c r="FL442" i="4"/>
  <c r="FI442" i="4"/>
  <c r="FH442" i="4"/>
  <c r="FV442" i="4" s="1"/>
  <c r="FG442" i="4"/>
  <c r="FU442" i="4" s="1"/>
  <c r="FE442" i="4"/>
  <c r="FD442" i="4"/>
  <c r="FC442" i="4"/>
  <c r="FA442" i="4"/>
  <c r="FP442" i="4" s="1"/>
  <c r="EZ442" i="4"/>
  <c r="FO442" i="4" s="1"/>
  <c r="EY442" i="4"/>
  <c r="EX442" i="4"/>
  <c r="EW442" i="4"/>
  <c r="EV442" i="4"/>
  <c r="EU442" i="4"/>
  <c r="FK442" i="4" s="1"/>
  <c r="DX442" i="4"/>
  <c r="EB442" i="4" s="1"/>
  <c r="DW442" i="4"/>
  <c r="DV442" i="4" s="1"/>
  <c r="DZ442" i="4" s="1"/>
  <c r="DL442" i="4"/>
  <c r="DH442" i="4"/>
  <c r="DF442" i="4"/>
  <c r="DA442" i="4"/>
  <c r="CX442" i="4"/>
  <c r="FJ442" i="4" s="1"/>
  <c r="FY442" i="4" s="1"/>
  <c r="CU442" i="4"/>
  <c r="DE442" i="4" s="1"/>
  <c r="CO442" i="4"/>
  <c r="FB442" i="4" s="1"/>
  <c r="FQ442" i="4" s="1"/>
  <c r="CK442" i="4"/>
  <c r="CG442" i="4"/>
  <c r="BS442" i="4"/>
  <c r="BP442" i="4"/>
  <c r="BO442" i="4"/>
  <c r="BN442" i="4"/>
  <c r="BM442" i="4"/>
  <c r="BL442" i="4"/>
  <c r="BK442" i="4"/>
  <c r="BJ442" i="4"/>
  <c r="BI442" i="4"/>
  <c r="BH442" i="4"/>
  <c r="BG442" i="4"/>
  <c r="BF442" i="4"/>
  <c r="BE442" i="4"/>
  <c r="BD442" i="4"/>
  <c r="BC442" i="4"/>
  <c r="BB442" i="4"/>
  <c r="BA442" i="4"/>
  <c r="AZ442" i="4"/>
  <c r="AY442" i="4"/>
  <c r="AX442" i="4"/>
  <c r="AW442" i="4"/>
  <c r="AV442" i="4"/>
  <c r="Y442" i="4"/>
  <c r="Q442" i="4"/>
  <c r="B442" i="4"/>
  <c r="A442" i="4"/>
  <c r="QX441" i="4"/>
  <c r="FS441" i="4"/>
  <c r="FR441" i="4"/>
  <c r="FN441" i="4"/>
  <c r="FM441" i="4"/>
  <c r="FL441" i="4"/>
  <c r="FK441" i="4"/>
  <c r="FH441" i="4"/>
  <c r="FV441" i="4" s="1"/>
  <c r="FG441" i="4"/>
  <c r="FU441" i="4" s="1"/>
  <c r="FE441" i="4"/>
  <c r="FT441" i="4" s="1"/>
  <c r="FD441" i="4"/>
  <c r="FC441" i="4"/>
  <c r="FA441" i="4"/>
  <c r="FP441" i="4" s="1"/>
  <c r="EZ441" i="4"/>
  <c r="FO441" i="4" s="1"/>
  <c r="EY441" i="4"/>
  <c r="EX441" i="4"/>
  <c r="EW441" i="4"/>
  <c r="EV441" i="4"/>
  <c r="EU441" i="4"/>
  <c r="EB441" i="4"/>
  <c r="DX441" i="4"/>
  <c r="DW441" i="4"/>
  <c r="EA441" i="4" s="1"/>
  <c r="DV441" i="4"/>
  <c r="DZ441" i="4" s="1"/>
  <c r="DL441" i="4"/>
  <c r="DH441" i="4"/>
  <c r="DF441" i="4"/>
  <c r="DE441" i="4"/>
  <c r="DA441" i="4"/>
  <c r="CX441" i="4"/>
  <c r="FJ441" i="4" s="1"/>
  <c r="FY441" i="4" s="1"/>
  <c r="CW441" i="4"/>
  <c r="CU441" i="4"/>
  <c r="CO441" i="4"/>
  <c r="FB441" i="4" s="1"/>
  <c r="FQ441" i="4" s="1"/>
  <c r="CN441" i="4"/>
  <c r="FI441" i="4" s="1"/>
  <c r="FX441" i="4" s="1"/>
  <c r="CK441" i="4"/>
  <c r="CJ441" i="4"/>
  <c r="CG441" i="4"/>
  <c r="BS441" i="4"/>
  <c r="BP441" i="4"/>
  <c r="BO441" i="4"/>
  <c r="BN441" i="4"/>
  <c r="BM441" i="4"/>
  <c r="BL441" i="4"/>
  <c r="BK441" i="4"/>
  <c r="BJ441" i="4"/>
  <c r="BI441" i="4"/>
  <c r="BH441" i="4"/>
  <c r="BG441" i="4"/>
  <c r="BF441" i="4"/>
  <c r="BE441" i="4"/>
  <c r="BD441" i="4"/>
  <c r="BC441" i="4"/>
  <c r="BB441" i="4"/>
  <c r="BA441" i="4"/>
  <c r="AZ441" i="4"/>
  <c r="AY441" i="4"/>
  <c r="AX441" i="4"/>
  <c r="AW441" i="4"/>
  <c r="AV441" i="4"/>
  <c r="Y441" i="4"/>
  <c r="Q441" i="4"/>
  <c r="B441" i="4"/>
  <c r="A441" i="4"/>
  <c r="QX440" i="4"/>
  <c r="FX440" i="4"/>
  <c r="FT440" i="4"/>
  <c r="FS440" i="4"/>
  <c r="FR440" i="4"/>
  <c r="FN440" i="4"/>
  <c r="FM440" i="4"/>
  <c r="FL440" i="4"/>
  <c r="FI440" i="4"/>
  <c r="FH440" i="4"/>
  <c r="FV440" i="4" s="1"/>
  <c r="FG440" i="4"/>
  <c r="FU440" i="4" s="1"/>
  <c r="FE440" i="4"/>
  <c r="FD440" i="4"/>
  <c r="FC440" i="4"/>
  <c r="FA440" i="4"/>
  <c r="FP440" i="4" s="1"/>
  <c r="EZ440" i="4"/>
  <c r="FO440" i="4" s="1"/>
  <c r="EY440" i="4"/>
  <c r="EX440" i="4"/>
  <c r="EW440" i="4"/>
  <c r="EV440" i="4"/>
  <c r="EU440" i="4"/>
  <c r="FK440" i="4" s="1"/>
  <c r="DX440" i="4"/>
  <c r="EB440" i="4" s="1"/>
  <c r="DW440" i="4"/>
  <c r="DV440" i="4" s="1"/>
  <c r="DZ440" i="4" s="1"/>
  <c r="DL440" i="4"/>
  <c r="DH440" i="4"/>
  <c r="DF440" i="4"/>
  <c r="DA440" i="4"/>
  <c r="CX440" i="4"/>
  <c r="FJ440" i="4" s="1"/>
  <c r="FY440" i="4" s="1"/>
  <c r="CU440" i="4"/>
  <c r="DE440" i="4" s="1"/>
  <c r="CO440" i="4"/>
  <c r="FB440" i="4" s="1"/>
  <c r="FQ440" i="4" s="1"/>
  <c r="CK440" i="4"/>
  <c r="CG440" i="4"/>
  <c r="BS440" i="4"/>
  <c r="BP440" i="4"/>
  <c r="BO440" i="4"/>
  <c r="BN440" i="4"/>
  <c r="BM440" i="4"/>
  <c r="BL440" i="4"/>
  <c r="BK440" i="4"/>
  <c r="BJ440" i="4"/>
  <c r="BI440" i="4"/>
  <c r="BH440" i="4"/>
  <c r="BG440" i="4"/>
  <c r="BF440" i="4"/>
  <c r="BE440" i="4"/>
  <c r="BD440" i="4"/>
  <c r="BC440" i="4"/>
  <c r="BB440" i="4"/>
  <c r="BA440" i="4"/>
  <c r="AZ440" i="4"/>
  <c r="AY440" i="4"/>
  <c r="AX440" i="4"/>
  <c r="AW440" i="4"/>
  <c r="AV440" i="4"/>
  <c r="Y440" i="4"/>
  <c r="Q440" i="4"/>
  <c r="B440" i="4"/>
  <c r="A440" i="4"/>
  <c r="QX439" i="4"/>
  <c r="FS439" i="4"/>
  <c r="FR439" i="4"/>
  <c r="FN439" i="4"/>
  <c r="FM439" i="4"/>
  <c r="FL439" i="4"/>
  <c r="FK439" i="4"/>
  <c r="FH439" i="4"/>
  <c r="FV439" i="4" s="1"/>
  <c r="FG439" i="4"/>
  <c r="FU439" i="4" s="1"/>
  <c r="FE439" i="4"/>
  <c r="FT439" i="4" s="1"/>
  <c r="FD439" i="4"/>
  <c r="FC439" i="4"/>
  <c r="FA439" i="4"/>
  <c r="FP439" i="4" s="1"/>
  <c r="EZ439" i="4"/>
  <c r="FO439" i="4" s="1"/>
  <c r="EY439" i="4"/>
  <c r="EX439" i="4"/>
  <c r="EW439" i="4"/>
  <c r="EV439" i="4"/>
  <c r="EU439" i="4"/>
  <c r="EB439" i="4"/>
  <c r="DX439" i="4"/>
  <c r="DW439" i="4"/>
  <c r="EA439" i="4" s="1"/>
  <c r="DV439" i="4"/>
  <c r="DZ439" i="4" s="1"/>
  <c r="DL439" i="4"/>
  <c r="DH439" i="4"/>
  <c r="DF439" i="4"/>
  <c r="DE439" i="4"/>
  <c r="DA439" i="4"/>
  <c r="CX439" i="4"/>
  <c r="FJ439" i="4" s="1"/>
  <c r="FY439" i="4" s="1"/>
  <c r="CW439" i="4"/>
  <c r="CU439" i="4"/>
  <c r="CO439" i="4"/>
  <c r="FB439" i="4" s="1"/>
  <c r="FQ439" i="4" s="1"/>
  <c r="CN439" i="4"/>
  <c r="FI439" i="4" s="1"/>
  <c r="FX439" i="4" s="1"/>
  <c r="CK439" i="4"/>
  <c r="CJ439" i="4"/>
  <c r="CG439" i="4"/>
  <c r="BS439" i="4"/>
  <c r="BP439" i="4"/>
  <c r="BO439" i="4"/>
  <c r="BN439" i="4"/>
  <c r="BM439" i="4"/>
  <c r="BL439" i="4"/>
  <c r="BK439" i="4"/>
  <c r="BJ439" i="4"/>
  <c r="BI439" i="4"/>
  <c r="BH439" i="4"/>
  <c r="BG439" i="4"/>
  <c r="BF439" i="4"/>
  <c r="BE439" i="4"/>
  <c r="BD439" i="4"/>
  <c r="BC439" i="4"/>
  <c r="BB439" i="4"/>
  <c r="BA439" i="4"/>
  <c r="AZ439" i="4"/>
  <c r="AY439" i="4"/>
  <c r="AX439" i="4"/>
  <c r="AW439" i="4"/>
  <c r="AV439" i="4"/>
  <c r="Y439" i="4"/>
  <c r="Q439" i="4"/>
  <c r="B439" i="4"/>
  <c r="A439" i="4"/>
  <c r="QX438" i="4"/>
  <c r="FX438" i="4"/>
  <c r="FT438" i="4"/>
  <c r="FS438" i="4"/>
  <c r="FR438" i="4"/>
  <c r="FN438" i="4"/>
  <c r="FM438" i="4"/>
  <c r="FL438" i="4"/>
  <c r="FI438" i="4"/>
  <c r="FH438" i="4"/>
  <c r="FV438" i="4" s="1"/>
  <c r="FG438" i="4"/>
  <c r="FU438" i="4" s="1"/>
  <c r="FE438" i="4"/>
  <c r="FD438" i="4"/>
  <c r="FC438" i="4"/>
  <c r="FA438" i="4"/>
  <c r="FP438" i="4" s="1"/>
  <c r="EZ438" i="4"/>
  <c r="FO438" i="4" s="1"/>
  <c r="EY438" i="4"/>
  <c r="EX438" i="4"/>
  <c r="EW438" i="4"/>
  <c r="EV438" i="4"/>
  <c r="EU438" i="4"/>
  <c r="FK438" i="4" s="1"/>
  <c r="DX438" i="4"/>
  <c r="EB438" i="4" s="1"/>
  <c r="DW438" i="4"/>
  <c r="DV438" i="4" s="1"/>
  <c r="DZ438" i="4" s="1"/>
  <c r="DL438" i="4"/>
  <c r="DH438" i="4"/>
  <c r="DF438" i="4"/>
  <c r="DA438" i="4"/>
  <c r="CX438" i="4"/>
  <c r="FJ438" i="4" s="1"/>
  <c r="FY438" i="4" s="1"/>
  <c r="CU438" i="4"/>
  <c r="DE438" i="4" s="1"/>
  <c r="CO438" i="4"/>
  <c r="FB438" i="4" s="1"/>
  <c r="FQ438" i="4" s="1"/>
  <c r="CK438" i="4"/>
  <c r="CG438" i="4"/>
  <c r="BS438" i="4"/>
  <c r="BP438" i="4"/>
  <c r="BO438" i="4"/>
  <c r="BN438" i="4"/>
  <c r="BM438" i="4"/>
  <c r="BL438" i="4"/>
  <c r="BK438" i="4"/>
  <c r="BJ438" i="4"/>
  <c r="BI438" i="4"/>
  <c r="BH438" i="4"/>
  <c r="BG438" i="4"/>
  <c r="BF438" i="4"/>
  <c r="BE438" i="4"/>
  <c r="BD438" i="4"/>
  <c r="BC438" i="4"/>
  <c r="BB438" i="4"/>
  <c r="BA438" i="4"/>
  <c r="AZ438" i="4"/>
  <c r="AY438" i="4"/>
  <c r="AX438" i="4"/>
  <c r="AW438" i="4"/>
  <c r="AV438" i="4"/>
  <c r="Y438" i="4"/>
  <c r="Q438" i="4"/>
  <c r="B438" i="4"/>
  <c r="A438" i="4"/>
  <c r="QX437" i="4"/>
  <c r="FX437" i="4"/>
  <c r="FS437" i="4"/>
  <c r="FR437" i="4"/>
  <c r="FN437" i="4"/>
  <c r="FM437" i="4"/>
  <c r="FL437" i="4"/>
  <c r="FK437" i="4"/>
  <c r="FI437" i="4"/>
  <c r="FH437" i="4"/>
  <c r="FV437" i="4" s="1"/>
  <c r="FG437" i="4"/>
  <c r="FU437" i="4" s="1"/>
  <c r="FE437" i="4"/>
  <c r="FT437" i="4" s="1"/>
  <c r="FD437" i="4"/>
  <c r="FC437" i="4"/>
  <c r="FA437" i="4"/>
  <c r="FP437" i="4" s="1"/>
  <c r="EZ437" i="4"/>
  <c r="FO437" i="4" s="1"/>
  <c r="EY437" i="4"/>
  <c r="EX437" i="4"/>
  <c r="EW437" i="4"/>
  <c r="EV437" i="4"/>
  <c r="EU437" i="4"/>
  <c r="EB437" i="4"/>
  <c r="DX437" i="4"/>
  <c r="DW437" i="4"/>
  <c r="EA437" i="4" s="1"/>
  <c r="DV437" i="4"/>
  <c r="DZ437" i="4" s="1"/>
  <c r="DL437" i="4"/>
  <c r="DH437" i="4"/>
  <c r="DF437" i="4"/>
  <c r="DE437" i="4"/>
  <c r="DA437" i="4"/>
  <c r="CX437" i="4"/>
  <c r="FJ437" i="4" s="1"/>
  <c r="FY437" i="4" s="1"/>
  <c r="CW437" i="4"/>
  <c r="CU437" i="4"/>
  <c r="CO437" i="4"/>
  <c r="FB437" i="4" s="1"/>
  <c r="FQ437" i="4" s="1"/>
  <c r="CK437" i="4"/>
  <c r="CG437" i="4"/>
  <c r="BS437" i="4"/>
  <c r="BP437" i="4"/>
  <c r="BO437" i="4"/>
  <c r="BN437" i="4"/>
  <c r="BM437" i="4"/>
  <c r="BL437" i="4"/>
  <c r="BK437" i="4"/>
  <c r="BJ437" i="4"/>
  <c r="BI437" i="4"/>
  <c r="BH437" i="4"/>
  <c r="BG437" i="4"/>
  <c r="BF437" i="4"/>
  <c r="BE437" i="4"/>
  <c r="BD437" i="4"/>
  <c r="BC437" i="4"/>
  <c r="BB437" i="4"/>
  <c r="BA437" i="4"/>
  <c r="AZ437" i="4"/>
  <c r="AY437" i="4"/>
  <c r="AX437" i="4"/>
  <c r="AW437" i="4"/>
  <c r="AV437" i="4"/>
  <c r="Y437" i="4"/>
  <c r="Q437" i="4"/>
  <c r="B437" i="4"/>
  <c r="A437" i="4"/>
  <c r="QX436" i="4"/>
  <c r="FX436" i="4"/>
  <c r="FV436" i="4"/>
  <c r="FR436" i="4"/>
  <c r="FP436" i="4"/>
  <c r="FM436" i="4"/>
  <c r="FL436" i="4"/>
  <c r="FK436" i="4"/>
  <c r="FJ436" i="4"/>
  <c r="FY436" i="4" s="1"/>
  <c r="FI436" i="4"/>
  <c r="FH436" i="4"/>
  <c r="FG436" i="4"/>
  <c r="FU436" i="4" s="1"/>
  <c r="FE436" i="4"/>
  <c r="FT436" i="4" s="1"/>
  <c r="FD436" i="4"/>
  <c r="FS436" i="4" s="1"/>
  <c r="FC436" i="4"/>
  <c r="FA436" i="4"/>
  <c r="EZ436" i="4"/>
  <c r="FO436" i="4" s="1"/>
  <c r="EY436" i="4"/>
  <c r="EX436" i="4"/>
  <c r="FN436" i="4" s="1"/>
  <c r="EW436" i="4"/>
  <c r="EV436" i="4"/>
  <c r="EU436" i="4"/>
  <c r="EB436" i="4"/>
  <c r="EA436" i="4"/>
  <c r="DX436" i="4"/>
  <c r="DW436" i="4"/>
  <c r="DV436" i="4"/>
  <c r="DZ436" i="4" s="1"/>
  <c r="DU436" i="4"/>
  <c r="DL436" i="4"/>
  <c r="DH436" i="4"/>
  <c r="DF436" i="4"/>
  <c r="DE436" i="4"/>
  <c r="DA436" i="4"/>
  <c r="CX436" i="4"/>
  <c r="CW436" i="4"/>
  <c r="CV436" i="4"/>
  <c r="DG436" i="4" s="1"/>
  <c r="CU436" i="4"/>
  <c r="CO436" i="4"/>
  <c r="FB436" i="4" s="1"/>
  <c r="FQ436" i="4" s="1"/>
  <c r="CG436" i="4"/>
  <c r="BS436" i="4"/>
  <c r="BP436" i="4"/>
  <c r="BO436" i="4"/>
  <c r="BN436" i="4"/>
  <c r="BM436" i="4"/>
  <c r="BL436" i="4"/>
  <c r="BK436" i="4"/>
  <c r="BJ436" i="4"/>
  <c r="BI436" i="4"/>
  <c r="BH436" i="4"/>
  <c r="BG436" i="4"/>
  <c r="BF436" i="4"/>
  <c r="BE436" i="4"/>
  <c r="BD436" i="4"/>
  <c r="BC436" i="4"/>
  <c r="BB436" i="4"/>
  <c r="BA436" i="4"/>
  <c r="AZ436" i="4"/>
  <c r="AY436" i="4"/>
  <c r="AX436" i="4"/>
  <c r="AW436" i="4"/>
  <c r="AV436" i="4"/>
  <c r="AQ436" i="4"/>
  <c r="Y436" i="4"/>
  <c r="Q436" i="4"/>
  <c r="B436" i="4"/>
  <c r="A436" i="4"/>
  <c r="QX435" i="4"/>
  <c r="FV435" i="4"/>
  <c r="FU435" i="4"/>
  <c r="FT435" i="4"/>
  <c r="FP435" i="4"/>
  <c r="FO435" i="4"/>
  <c r="FL435" i="4"/>
  <c r="FK435" i="4"/>
  <c r="FJ435" i="4"/>
  <c r="FY435" i="4" s="1"/>
  <c r="FI435" i="4"/>
  <c r="FX435" i="4" s="1"/>
  <c r="FH435" i="4"/>
  <c r="FG435" i="4"/>
  <c r="FE435" i="4"/>
  <c r="FD435" i="4"/>
  <c r="FS435" i="4" s="1"/>
  <c r="FC435" i="4"/>
  <c r="FR435" i="4" s="1"/>
  <c r="FA435" i="4"/>
  <c r="EZ435" i="4"/>
  <c r="EY435" i="4"/>
  <c r="EX435" i="4"/>
  <c r="FN435" i="4" s="1"/>
  <c r="EW435" i="4"/>
  <c r="FM435" i="4" s="1"/>
  <c r="EV435" i="4"/>
  <c r="EU435" i="4"/>
  <c r="EB435" i="4"/>
  <c r="EA435" i="4"/>
  <c r="DX435" i="4"/>
  <c r="DW435" i="4"/>
  <c r="DV435" i="4" s="1"/>
  <c r="DZ435" i="4" s="1"/>
  <c r="DU435" i="4"/>
  <c r="DL435" i="4"/>
  <c r="DH435" i="4"/>
  <c r="DF435" i="4"/>
  <c r="DA435" i="4"/>
  <c r="CX435" i="4"/>
  <c r="CW435" i="4"/>
  <c r="CV435" i="4"/>
  <c r="FF435" i="4" s="1"/>
  <c r="FW435" i="4" s="1"/>
  <c r="CU435" i="4"/>
  <c r="DE435" i="4" s="1"/>
  <c r="CO435" i="4"/>
  <c r="FB435" i="4" s="1"/>
  <c r="FQ435" i="4" s="1"/>
  <c r="CK435" i="4"/>
  <c r="BP435" i="4"/>
  <c r="BO435" i="4"/>
  <c r="BN435" i="4"/>
  <c r="BM435" i="4"/>
  <c r="BL435" i="4"/>
  <c r="BK435" i="4"/>
  <c r="BJ435" i="4"/>
  <c r="BI435" i="4"/>
  <c r="BH435" i="4"/>
  <c r="BG435" i="4"/>
  <c r="BF435" i="4"/>
  <c r="BE435" i="4"/>
  <c r="BD435" i="4"/>
  <c r="BC435" i="4"/>
  <c r="BB435" i="4"/>
  <c r="BA435" i="4"/>
  <c r="AZ435" i="4"/>
  <c r="AY435" i="4"/>
  <c r="AX435" i="4"/>
  <c r="AW435" i="4"/>
  <c r="AV435" i="4"/>
  <c r="Y435" i="4"/>
  <c r="Q435" i="4"/>
  <c r="B435" i="4"/>
  <c r="A435" i="4"/>
  <c r="QX434" i="4"/>
  <c r="FX434" i="4"/>
  <c r="FS434" i="4"/>
  <c r="FR434" i="4"/>
  <c r="FN434" i="4"/>
  <c r="FM434" i="4"/>
  <c r="FL434" i="4"/>
  <c r="FI434" i="4"/>
  <c r="FH434" i="4"/>
  <c r="FV434" i="4" s="1"/>
  <c r="FG434" i="4"/>
  <c r="FU434" i="4" s="1"/>
  <c r="FE434" i="4"/>
  <c r="FT434" i="4" s="1"/>
  <c r="FD434" i="4"/>
  <c r="FC434" i="4"/>
  <c r="FA434" i="4"/>
  <c r="FP434" i="4" s="1"/>
  <c r="EZ434" i="4"/>
  <c r="FO434" i="4" s="1"/>
  <c r="EY434" i="4"/>
  <c r="EX434" i="4"/>
  <c r="EW434" i="4"/>
  <c r="EV434" i="4"/>
  <c r="EU434" i="4"/>
  <c r="FK434" i="4" s="1"/>
  <c r="DX434" i="4"/>
  <c r="EB434" i="4" s="1"/>
  <c r="DW434" i="4"/>
  <c r="DV434" i="4" s="1"/>
  <c r="DZ434" i="4" s="1"/>
  <c r="DL434" i="4"/>
  <c r="DH434" i="4"/>
  <c r="DF434" i="4"/>
  <c r="DA434" i="4"/>
  <c r="CX434" i="4"/>
  <c r="FJ434" i="4" s="1"/>
  <c r="FY434" i="4" s="1"/>
  <c r="CW434" i="4"/>
  <c r="CU434" i="4"/>
  <c r="DE434" i="4" s="1"/>
  <c r="CO434" i="4"/>
  <c r="FB434" i="4" s="1"/>
  <c r="FQ434" i="4" s="1"/>
  <c r="CK434" i="4"/>
  <c r="BS434" i="4"/>
  <c r="BP434" i="4"/>
  <c r="BO434" i="4"/>
  <c r="BN434" i="4"/>
  <c r="BM434" i="4"/>
  <c r="BL434" i="4"/>
  <c r="BK434" i="4"/>
  <c r="BJ434" i="4"/>
  <c r="BI434" i="4"/>
  <c r="BH434" i="4"/>
  <c r="BG434" i="4"/>
  <c r="BF434" i="4"/>
  <c r="BE434" i="4"/>
  <c r="BD434" i="4"/>
  <c r="BC434" i="4"/>
  <c r="BB434" i="4"/>
  <c r="BA434" i="4"/>
  <c r="AZ434" i="4"/>
  <c r="AY434" i="4"/>
  <c r="AX434" i="4"/>
  <c r="AW434" i="4"/>
  <c r="AV434" i="4"/>
  <c r="Y434" i="4"/>
  <c r="Q434" i="4"/>
  <c r="B434" i="4"/>
  <c r="A434" i="4"/>
  <c r="QX433" i="4"/>
  <c r="FV433" i="4"/>
  <c r="FP433" i="4"/>
  <c r="FO433" i="4"/>
  <c r="FM433" i="4"/>
  <c r="FL433" i="4"/>
  <c r="FK433" i="4"/>
  <c r="FJ433" i="4"/>
  <c r="FY433" i="4" s="1"/>
  <c r="FI433" i="4"/>
  <c r="FX433" i="4" s="1"/>
  <c r="FH433" i="4"/>
  <c r="FG433" i="4"/>
  <c r="FU433" i="4" s="1"/>
  <c r="FE433" i="4"/>
  <c r="FT433" i="4" s="1"/>
  <c r="FD433" i="4"/>
  <c r="FS433" i="4" s="1"/>
  <c r="FC433" i="4"/>
  <c r="FR433" i="4" s="1"/>
  <c r="FA433" i="4"/>
  <c r="EZ433" i="4"/>
  <c r="EY433" i="4"/>
  <c r="EX433" i="4"/>
  <c r="FN433" i="4" s="1"/>
  <c r="EW433" i="4"/>
  <c r="EV433" i="4"/>
  <c r="EU433" i="4"/>
  <c r="EB433" i="4"/>
  <c r="EA433" i="4"/>
  <c r="DX433" i="4"/>
  <c r="DW433" i="4"/>
  <c r="DV433" i="4"/>
  <c r="DZ433" i="4" s="1"/>
  <c r="DU433" i="4"/>
  <c r="DL433" i="4"/>
  <c r="DH433" i="4"/>
  <c r="DF433" i="4"/>
  <c r="DE433" i="4"/>
  <c r="DA433" i="4"/>
  <c r="CX433" i="4"/>
  <c r="CW433" i="4"/>
  <c r="CV433" i="4"/>
  <c r="DG433" i="4" s="1"/>
  <c r="CU433" i="4"/>
  <c r="CO433" i="4"/>
  <c r="FB433" i="4" s="1"/>
  <c r="FQ433" i="4" s="1"/>
  <c r="CK433" i="4"/>
  <c r="CG433" i="4"/>
  <c r="BR433" i="4"/>
  <c r="BS433" i="4" s="1"/>
  <c r="BP433" i="4"/>
  <c r="BO433" i="4"/>
  <c r="BN433" i="4"/>
  <c r="BM433" i="4"/>
  <c r="BL433" i="4"/>
  <c r="BK433" i="4"/>
  <c r="BJ433" i="4"/>
  <c r="BI433" i="4"/>
  <c r="BH433" i="4"/>
  <c r="BG433" i="4"/>
  <c r="BF433" i="4"/>
  <c r="BE433" i="4"/>
  <c r="BD433" i="4"/>
  <c r="BC433" i="4"/>
  <c r="BB433" i="4"/>
  <c r="BA433" i="4"/>
  <c r="AZ433" i="4"/>
  <c r="AY433" i="4"/>
  <c r="AX433" i="4"/>
  <c r="AW433" i="4"/>
  <c r="AV433" i="4"/>
  <c r="AQ433" i="4"/>
  <c r="Y433" i="4"/>
  <c r="Q433" i="4"/>
  <c r="B433" i="4"/>
  <c r="A433" i="4"/>
  <c r="QX432" i="4"/>
  <c r="FX432" i="4"/>
  <c r="FR432" i="4"/>
  <c r="FP432" i="4"/>
  <c r="FN432" i="4"/>
  <c r="FM432" i="4"/>
  <c r="FL432" i="4"/>
  <c r="FK432" i="4"/>
  <c r="FI432" i="4"/>
  <c r="FH432" i="4"/>
  <c r="FV432" i="4" s="1"/>
  <c r="FG432" i="4"/>
  <c r="FU432" i="4" s="1"/>
  <c r="FE432" i="4"/>
  <c r="FT432" i="4" s="1"/>
  <c r="FD432" i="4"/>
  <c r="FS432" i="4" s="1"/>
  <c r="FC432" i="4"/>
  <c r="FA432" i="4"/>
  <c r="EZ432" i="4"/>
  <c r="FO432" i="4" s="1"/>
  <c r="EY432" i="4"/>
  <c r="EX432" i="4"/>
  <c r="EW432" i="4"/>
  <c r="EV432" i="4"/>
  <c r="EU432" i="4"/>
  <c r="EB432" i="4"/>
  <c r="DX432" i="4"/>
  <c r="DW432" i="4"/>
  <c r="EA432" i="4" s="1"/>
  <c r="DV432" i="4"/>
  <c r="DZ432" i="4" s="1"/>
  <c r="DL432" i="4"/>
  <c r="DH432" i="4"/>
  <c r="DF432" i="4"/>
  <c r="DE432" i="4"/>
  <c r="DA432" i="4"/>
  <c r="CX432" i="4"/>
  <c r="FJ432" i="4" s="1"/>
  <c r="FY432" i="4" s="1"/>
  <c r="CW432" i="4"/>
  <c r="CU432" i="4"/>
  <c r="CO432" i="4"/>
  <c r="FB432" i="4" s="1"/>
  <c r="FQ432" i="4" s="1"/>
  <c r="CK432" i="4"/>
  <c r="CG432" i="4"/>
  <c r="BS432" i="4"/>
  <c r="BP432" i="4"/>
  <c r="BO432" i="4"/>
  <c r="BN432" i="4"/>
  <c r="BM432" i="4"/>
  <c r="BL432" i="4"/>
  <c r="BK432" i="4"/>
  <c r="BJ432" i="4"/>
  <c r="BI432" i="4"/>
  <c r="BH432" i="4"/>
  <c r="BG432" i="4"/>
  <c r="BF432" i="4"/>
  <c r="BE432" i="4"/>
  <c r="BD432" i="4"/>
  <c r="BC432" i="4"/>
  <c r="BB432" i="4"/>
  <c r="BA432" i="4"/>
  <c r="AZ432" i="4"/>
  <c r="AY432" i="4"/>
  <c r="AX432" i="4"/>
  <c r="AW432" i="4"/>
  <c r="AV432" i="4"/>
  <c r="Y432" i="4"/>
  <c r="Q432" i="4"/>
  <c r="B432" i="4"/>
  <c r="A432" i="4"/>
  <c r="QX431" i="4"/>
  <c r="FV431" i="4"/>
  <c r="FP431" i="4"/>
  <c r="FO431" i="4"/>
  <c r="FM431" i="4"/>
  <c r="FL431" i="4"/>
  <c r="FK431" i="4"/>
  <c r="FJ431" i="4"/>
  <c r="FY431" i="4" s="1"/>
  <c r="FI431" i="4"/>
  <c r="FX431" i="4" s="1"/>
  <c r="FH431" i="4"/>
  <c r="FG431" i="4"/>
  <c r="FU431" i="4" s="1"/>
  <c r="FE431" i="4"/>
  <c r="FT431" i="4" s="1"/>
  <c r="FD431" i="4"/>
  <c r="FS431" i="4" s="1"/>
  <c r="FC431" i="4"/>
  <c r="FR431" i="4" s="1"/>
  <c r="FA431" i="4"/>
  <c r="EZ431" i="4"/>
  <c r="EY431" i="4"/>
  <c r="EX431" i="4"/>
  <c r="FN431" i="4" s="1"/>
  <c r="EW431" i="4"/>
  <c r="EV431" i="4"/>
  <c r="EU431" i="4"/>
  <c r="EB431" i="4"/>
  <c r="EA431" i="4"/>
  <c r="DX431" i="4"/>
  <c r="DW431" i="4"/>
  <c r="DV431" i="4"/>
  <c r="DZ431" i="4" s="1"/>
  <c r="DU431" i="4"/>
  <c r="DL431" i="4"/>
  <c r="DH431" i="4"/>
  <c r="DF431" i="4"/>
  <c r="DE431" i="4"/>
  <c r="DA431" i="4"/>
  <c r="CX431" i="4"/>
  <c r="CW431" i="4"/>
  <c r="CV431" i="4"/>
  <c r="DG431" i="4" s="1"/>
  <c r="CU431" i="4"/>
  <c r="CO431" i="4"/>
  <c r="FB431" i="4" s="1"/>
  <c r="FQ431" i="4" s="1"/>
  <c r="CK431" i="4"/>
  <c r="CG431" i="4"/>
  <c r="BR431" i="4"/>
  <c r="BS431" i="4" s="1"/>
  <c r="BP431" i="4"/>
  <c r="BO431" i="4"/>
  <c r="BN431" i="4"/>
  <c r="BM431" i="4"/>
  <c r="BL431" i="4"/>
  <c r="BK431" i="4"/>
  <c r="BJ431" i="4"/>
  <c r="BI431" i="4"/>
  <c r="BH431" i="4"/>
  <c r="BG431" i="4"/>
  <c r="BF431" i="4"/>
  <c r="BE431" i="4"/>
  <c r="BD431" i="4"/>
  <c r="BC431" i="4"/>
  <c r="BB431" i="4"/>
  <c r="BA431" i="4"/>
  <c r="AZ431" i="4"/>
  <c r="AY431" i="4"/>
  <c r="AX431" i="4"/>
  <c r="AW431" i="4"/>
  <c r="AV431" i="4"/>
  <c r="AQ431" i="4"/>
  <c r="Y431" i="4"/>
  <c r="Q431" i="4"/>
  <c r="B431" i="4"/>
  <c r="A431" i="4"/>
  <c r="QX430" i="4"/>
  <c r="FX430" i="4"/>
  <c r="FR430" i="4"/>
  <c r="FP430" i="4"/>
  <c r="FN430" i="4"/>
  <c r="FM430" i="4"/>
  <c r="FL430" i="4"/>
  <c r="FK430" i="4"/>
  <c r="FI430" i="4"/>
  <c r="FH430" i="4"/>
  <c r="FV430" i="4" s="1"/>
  <c r="FG430" i="4"/>
  <c r="FU430" i="4" s="1"/>
  <c r="FE430" i="4"/>
  <c r="FT430" i="4" s="1"/>
  <c r="FD430" i="4"/>
  <c r="FS430" i="4" s="1"/>
  <c r="FC430" i="4"/>
  <c r="FA430" i="4"/>
  <c r="EZ430" i="4"/>
  <c r="FO430" i="4" s="1"/>
  <c r="EY430" i="4"/>
  <c r="EX430" i="4"/>
  <c r="EW430" i="4"/>
  <c r="EV430" i="4"/>
  <c r="EU430" i="4"/>
  <c r="EB430" i="4"/>
  <c r="DX430" i="4"/>
  <c r="DW430" i="4"/>
  <c r="EA430" i="4" s="1"/>
  <c r="DV430" i="4"/>
  <c r="DZ430" i="4" s="1"/>
  <c r="DL430" i="4"/>
  <c r="DH430" i="4"/>
  <c r="DF430" i="4"/>
  <c r="DE430" i="4"/>
  <c r="DA430" i="4"/>
  <c r="CX430" i="4"/>
  <c r="FJ430" i="4" s="1"/>
  <c r="FY430" i="4" s="1"/>
  <c r="CW430" i="4"/>
  <c r="CU430" i="4"/>
  <c r="CO430" i="4"/>
  <c r="FB430" i="4" s="1"/>
  <c r="FQ430" i="4" s="1"/>
  <c r="CK430" i="4"/>
  <c r="CG430" i="4"/>
  <c r="BS430" i="4"/>
  <c r="BP430" i="4"/>
  <c r="BO430" i="4"/>
  <c r="BN430" i="4"/>
  <c r="BM430" i="4"/>
  <c r="BL430" i="4"/>
  <c r="BK430" i="4"/>
  <c r="BJ430" i="4"/>
  <c r="BI430" i="4"/>
  <c r="BH430" i="4"/>
  <c r="BG430" i="4"/>
  <c r="BF430" i="4"/>
  <c r="BE430" i="4"/>
  <c r="BD430" i="4"/>
  <c r="BC430" i="4"/>
  <c r="BB430" i="4"/>
  <c r="BA430" i="4"/>
  <c r="AZ430" i="4"/>
  <c r="AY430" i="4"/>
  <c r="AX430" i="4"/>
  <c r="AW430" i="4"/>
  <c r="AV430" i="4"/>
  <c r="Y430" i="4"/>
  <c r="Q430" i="4"/>
  <c r="B430" i="4"/>
  <c r="A430" i="4"/>
  <c r="QX429" i="4"/>
  <c r="FV429" i="4"/>
  <c r="FP429" i="4"/>
  <c r="FO429" i="4"/>
  <c r="FM429" i="4"/>
  <c r="FK429" i="4"/>
  <c r="FJ429" i="4"/>
  <c r="FY429" i="4" s="1"/>
  <c r="FI429" i="4"/>
  <c r="FX429" i="4" s="1"/>
  <c r="FH429" i="4"/>
  <c r="FG429" i="4"/>
  <c r="FU429" i="4" s="1"/>
  <c r="FE429" i="4"/>
  <c r="FT429" i="4" s="1"/>
  <c r="FD429" i="4"/>
  <c r="FS429" i="4" s="1"/>
  <c r="FC429" i="4"/>
  <c r="FR429" i="4" s="1"/>
  <c r="FA429" i="4"/>
  <c r="EZ429" i="4"/>
  <c r="EY429" i="4"/>
  <c r="EX429" i="4"/>
  <c r="FN429" i="4" s="1"/>
  <c r="EW429" i="4"/>
  <c r="EV429" i="4"/>
  <c r="FL429" i="4" s="1"/>
  <c r="EU429" i="4"/>
  <c r="EB429" i="4"/>
  <c r="EA429" i="4"/>
  <c r="DX429" i="4"/>
  <c r="DW429" i="4"/>
  <c r="DV429" i="4"/>
  <c r="DZ429" i="4" s="1"/>
  <c r="DU429" i="4"/>
  <c r="DL429" i="4"/>
  <c r="DH429" i="4"/>
  <c r="DF429" i="4"/>
  <c r="DE429" i="4"/>
  <c r="DA429" i="4"/>
  <c r="CX429" i="4"/>
  <c r="CW429" i="4"/>
  <c r="CV429" i="4"/>
  <c r="DG429" i="4" s="1"/>
  <c r="CU429" i="4"/>
  <c r="CO429" i="4"/>
  <c r="FB429" i="4" s="1"/>
  <c r="FQ429" i="4" s="1"/>
  <c r="CK429" i="4"/>
  <c r="CG429" i="4"/>
  <c r="BS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C429" i="4"/>
  <c r="BB429" i="4"/>
  <c r="BA429" i="4"/>
  <c r="AZ429" i="4"/>
  <c r="AY429" i="4"/>
  <c r="AX429" i="4"/>
  <c r="AW429" i="4"/>
  <c r="AV429" i="4"/>
  <c r="Y429" i="4"/>
  <c r="Q429" i="4"/>
  <c r="B429" i="4"/>
  <c r="A429" i="4"/>
  <c r="QX428" i="4"/>
  <c r="FV428" i="4"/>
  <c r="FU428" i="4"/>
  <c r="FT428" i="4"/>
  <c r="FP428" i="4"/>
  <c r="FO428" i="4"/>
  <c r="FL428" i="4"/>
  <c r="FJ428" i="4"/>
  <c r="FY428" i="4" s="1"/>
  <c r="FI428" i="4"/>
  <c r="FX428" i="4" s="1"/>
  <c r="FH428" i="4"/>
  <c r="FG428" i="4"/>
  <c r="FE428" i="4"/>
  <c r="FD428" i="4"/>
  <c r="FS428" i="4" s="1"/>
  <c r="FC428" i="4"/>
  <c r="FR428" i="4" s="1"/>
  <c r="FA428" i="4"/>
  <c r="EZ428" i="4"/>
  <c r="EY428" i="4"/>
  <c r="EX428" i="4"/>
  <c r="FN428" i="4" s="1"/>
  <c r="EW428" i="4"/>
  <c r="FM428" i="4" s="1"/>
  <c r="EV428" i="4"/>
  <c r="EU428" i="4"/>
  <c r="FK428" i="4" s="1"/>
  <c r="EA428" i="4"/>
  <c r="DX428" i="4"/>
  <c r="EB428" i="4" s="1"/>
  <c r="DW428" i="4"/>
  <c r="DV428" i="4" s="1"/>
  <c r="DZ428" i="4" s="1"/>
  <c r="DU428" i="4"/>
  <c r="DL428" i="4"/>
  <c r="DH428" i="4"/>
  <c r="DF428" i="4"/>
  <c r="DA428" i="4"/>
  <c r="CX428" i="4"/>
  <c r="CV428" i="4"/>
  <c r="FF428" i="4" s="1"/>
  <c r="FW428" i="4" s="1"/>
  <c r="CU428" i="4"/>
  <c r="DE428" i="4" s="1"/>
  <c r="CO428" i="4"/>
  <c r="CW428" i="4" s="1"/>
  <c r="CK428" i="4"/>
  <c r="CG428" i="4"/>
  <c r="BS428" i="4"/>
  <c r="BP428" i="4"/>
  <c r="BO428" i="4"/>
  <c r="BN428" i="4"/>
  <c r="BM428" i="4"/>
  <c r="BL428" i="4"/>
  <c r="BK428" i="4"/>
  <c r="BJ428" i="4"/>
  <c r="BI428" i="4"/>
  <c r="BH428" i="4"/>
  <c r="BG428" i="4"/>
  <c r="BF428" i="4"/>
  <c r="BE428" i="4"/>
  <c r="BD428" i="4"/>
  <c r="BC428" i="4"/>
  <c r="BB428" i="4"/>
  <c r="BA428" i="4"/>
  <c r="AZ428" i="4"/>
  <c r="AY428" i="4"/>
  <c r="AX428" i="4"/>
  <c r="AW428" i="4"/>
  <c r="AV428" i="4"/>
  <c r="Y428" i="4"/>
  <c r="Q428" i="4"/>
  <c r="B428" i="4"/>
  <c r="A428" i="4"/>
  <c r="QX427" i="4"/>
  <c r="FU427" i="4"/>
  <c r="FT427" i="4"/>
  <c r="FS427" i="4"/>
  <c r="FO427" i="4"/>
  <c r="FN427" i="4"/>
  <c r="FK427" i="4"/>
  <c r="FI427" i="4"/>
  <c r="FX427" i="4" s="1"/>
  <c r="FH427" i="4"/>
  <c r="FV427" i="4" s="1"/>
  <c r="FG427" i="4"/>
  <c r="FE427" i="4"/>
  <c r="FD427" i="4"/>
  <c r="FC427" i="4"/>
  <c r="FR427" i="4" s="1"/>
  <c r="FA427" i="4"/>
  <c r="FP427" i="4" s="1"/>
  <c r="EZ427" i="4"/>
  <c r="EY427" i="4"/>
  <c r="EX427" i="4"/>
  <c r="EW427" i="4"/>
  <c r="FM427" i="4" s="1"/>
  <c r="EV427" i="4"/>
  <c r="FL427" i="4" s="1"/>
  <c r="EU427" i="4"/>
  <c r="EB427" i="4"/>
  <c r="DX427" i="4"/>
  <c r="DW427" i="4"/>
  <c r="EA427" i="4" s="1"/>
  <c r="DV427" i="4"/>
  <c r="DL427" i="4"/>
  <c r="DH427" i="4"/>
  <c r="DF427" i="4"/>
  <c r="DA427" i="4"/>
  <c r="CX427" i="4"/>
  <c r="FJ427" i="4" s="1"/>
  <c r="FY427" i="4" s="1"/>
  <c r="CU427" i="4"/>
  <c r="DE427" i="4" s="1"/>
  <c r="CO427" i="4"/>
  <c r="CW427" i="4" s="1"/>
  <c r="CK427" i="4"/>
  <c r="CG427" i="4"/>
  <c r="BS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C427" i="4"/>
  <c r="BB427" i="4"/>
  <c r="BA427" i="4"/>
  <c r="AZ427" i="4"/>
  <c r="AY427" i="4"/>
  <c r="AX427" i="4"/>
  <c r="AW427" i="4"/>
  <c r="AV427" i="4"/>
  <c r="Y427" i="4"/>
  <c r="Q427" i="4"/>
  <c r="B427" i="4"/>
  <c r="A427" i="4"/>
  <c r="QX426" i="4"/>
  <c r="FX426" i="4"/>
  <c r="FS426" i="4"/>
  <c r="FN426" i="4"/>
  <c r="FM426" i="4"/>
  <c r="FI426" i="4"/>
  <c r="FG426" i="4"/>
  <c r="FU426" i="4" s="1"/>
  <c r="FD426" i="4"/>
  <c r="FA426" i="4"/>
  <c r="FP426" i="4" s="1"/>
  <c r="EZ426" i="4"/>
  <c r="FO426" i="4" s="1"/>
  <c r="EY426" i="4"/>
  <c r="EX426" i="4"/>
  <c r="EW426" i="4"/>
  <c r="EV426" i="4"/>
  <c r="FL426" i="4" s="1"/>
  <c r="EU426" i="4"/>
  <c r="FK426" i="4" s="1"/>
  <c r="DX426" i="4"/>
  <c r="EB426" i="4" s="1"/>
  <c r="DL426" i="4"/>
  <c r="DH426" i="4"/>
  <c r="DA426" i="4"/>
  <c r="CS426" i="4"/>
  <c r="FH426" i="4" s="1"/>
  <c r="FV426" i="4" s="1"/>
  <c r="CR426" i="4"/>
  <c r="CP426" i="4"/>
  <c r="FC426" i="4" s="1"/>
  <c r="FR426" i="4" s="1"/>
  <c r="CG426" i="4"/>
  <c r="BR426" i="4"/>
  <c r="BS426" i="4" s="1"/>
  <c r="BP426" i="4"/>
  <c r="BO426" i="4"/>
  <c r="BN426" i="4"/>
  <c r="BM426" i="4"/>
  <c r="BL426" i="4"/>
  <c r="BK426" i="4"/>
  <c r="BJ426" i="4"/>
  <c r="BI426" i="4"/>
  <c r="BH426" i="4"/>
  <c r="BG426" i="4"/>
  <c r="BF426" i="4"/>
  <c r="BE426" i="4"/>
  <c r="BD426" i="4"/>
  <c r="BC426" i="4"/>
  <c r="BB426" i="4"/>
  <c r="BA426" i="4"/>
  <c r="AZ426" i="4"/>
  <c r="AY426" i="4"/>
  <c r="AX426" i="4"/>
  <c r="AW426" i="4"/>
  <c r="AV426" i="4"/>
  <c r="AQ426" i="4"/>
  <c r="Y426" i="4"/>
  <c r="Q426" i="4"/>
  <c r="B426" i="4"/>
  <c r="A426" i="4"/>
  <c r="QX425" i="4"/>
  <c r="FV425" i="4"/>
  <c r="FP425" i="4"/>
  <c r="FO425" i="4"/>
  <c r="FM425" i="4"/>
  <c r="FK425" i="4"/>
  <c r="FJ425" i="4"/>
  <c r="FY425" i="4" s="1"/>
  <c r="FI425" i="4"/>
  <c r="FX425" i="4" s="1"/>
  <c r="FH425" i="4"/>
  <c r="FG425" i="4"/>
  <c r="FU425" i="4" s="1"/>
  <c r="FE425" i="4"/>
  <c r="FT425" i="4" s="1"/>
  <c r="FD425" i="4"/>
  <c r="FS425" i="4" s="1"/>
  <c r="FC425" i="4"/>
  <c r="FR425" i="4" s="1"/>
  <c r="FA425" i="4"/>
  <c r="EZ425" i="4"/>
  <c r="EY425" i="4"/>
  <c r="EX425" i="4"/>
  <c r="FN425" i="4" s="1"/>
  <c r="EW425" i="4"/>
  <c r="EV425" i="4"/>
  <c r="FL425" i="4" s="1"/>
  <c r="EU425" i="4"/>
  <c r="EB425" i="4"/>
  <c r="EA425" i="4"/>
  <c r="DX425" i="4"/>
  <c r="DW425" i="4"/>
  <c r="DV425" i="4"/>
  <c r="DZ425" i="4" s="1"/>
  <c r="DU425" i="4"/>
  <c r="DL425" i="4"/>
  <c r="DH425" i="4"/>
  <c r="DF425" i="4"/>
  <c r="DE425" i="4"/>
  <c r="DA425" i="4"/>
  <c r="CX425" i="4"/>
  <c r="CW425" i="4"/>
  <c r="CV425" i="4"/>
  <c r="DG425" i="4" s="1"/>
  <c r="CU425" i="4"/>
  <c r="CO425" i="4"/>
  <c r="FB425" i="4" s="1"/>
  <c r="FQ425" i="4" s="1"/>
  <c r="CK425" i="4"/>
  <c r="CG425" i="4"/>
  <c r="BR425" i="4"/>
  <c r="BS425" i="4" s="1"/>
  <c r="BP425" i="4"/>
  <c r="BO425" i="4"/>
  <c r="BN425" i="4"/>
  <c r="BM425" i="4"/>
  <c r="BL425" i="4"/>
  <c r="BK425" i="4"/>
  <c r="BJ425" i="4"/>
  <c r="BI425" i="4"/>
  <c r="BH425" i="4"/>
  <c r="BG425" i="4"/>
  <c r="BF425" i="4"/>
  <c r="BE425" i="4"/>
  <c r="BD425" i="4"/>
  <c r="BC425" i="4"/>
  <c r="BB425" i="4"/>
  <c r="BA425" i="4"/>
  <c r="AZ425" i="4"/>
  <c r="AY425" i="4"/>
  <c r="AX425" i="4"/>
  <c r="AW425" i="4"/>
  <c r="AV425" i="4"/>
  <c r="AQ425" i="4"/>
  <c r="Y425" i="4"/>
  <c r="Q425" i="4"/>
  <c r="B425" i="4"/>
  <c r="A425" i="4"/>
  <c r="QX424" i="4"/>
  <c r="FX424" i="4"/>
  <c r="FU424" i="4"/>
  <c r="FR424" i="4"/>
  <c r="FP424" i="4"/>
  <c r="FN424" i="4"/>
  <c r="FL424" i="4"/>
  <c r="FK424" i="4"/>
  <c r="FI424" i="4"/>
  <c r="FH424" i="4"/>
  <c r="FV424" i="4" s="1"/>
  <c r="FG424" i="4"/>
  <c r="FE424" i="4"/>
  <c r="FT424" i="4" s="1"/>
  <c r="FD424" i="4"/>
  <c r="FS424" i="4" s="1"/>
  <c r="FC424" i="4"/>
  <c r="FA424" i="4"/>
  <c r="EZ424" i="4"/>
  <c r="FO424" i="4" s="1"/>
  <c r="EY424" i="4"/>
  <c r="EX424" i="4"/>
  <c r="EW424" i="4"/>
  <c r="FM424" i="4" s="1"/>
  <c r="EV424" i="4"/>
  <c r="EU424" i="4"/>
  <c r="EB424" i="4"/>
  <c r="DX424" i="4"/>
  <c r="DW424" i="4"/>
  <c r="EA424" i="4" s="1"/>
  <c r="DV424" i="4"/>
  <c r="DZ424" i="4" s="1"/>
  <c r="DL424" i="4"/>
  <c r="DH424" i="4"/>
  <c r="DF424" i="4"/>
  <c r="DE424" i="4"/>
  <c r="DA424" i="4"/>
  <c r="CX424" i="4"/>
  <c r="FJ424" i="4" s="1"/>
  <c r="FY424" i="4" s="1"/>
  <c r="CW424" i="4"/>
  <c r="CU424" i="4"/>
  <c r="CO424" i="4"/>
  <c r="FB424" i="4" s="1"/>
  <c r="FQ424" i="4" s="1"/>
  <c r="CK424" i="4"/>
  <c r="CG424" i="4"/>
  <c r="BS424" i="4"/>
  <c r="BP424" i="4"/>
  <c r="BO424" i="4"/>
  <c r="BN424" i="4"/>
  <c r="BM424" i="4"/>
  <c r="BL424" i="4"/>
  <c r="BK424" i="4"/>
  <c r="BJ42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Y424" i="4"/>
  <c r="Q424" i="4"/>
  <c r="B424" i="4"/>
  <c r="A424" i="4"/>
  <c r="QX423" i="4"/>
  <c r="FV423" i="4"/>
  <c r="FP423" i="4"/>
  <c r="FO423" i="4"/>
  <c r="FM423" i="4"/>
  <c r="FK423" i="4"/>
  <c r="FJ423" i="4"/>
  <c r="FY423" i="4" s="1"/>
  <c r="FI423" i="4"/>
  <c r="FX423" i="4" s="1"/>
  <c r="FH423" i="4"/>
  <c r="FG423" i="4"/>
  <c r="FU423" i="4" s="1"/>
  <c r="FE423" i="4"/>
  <c r="FT423" i="4" s="1"/>
  <c r="FD423" i="4"/>
  <c r="FS423" i="4" s="1"/>
  <c r="FC423" i="4"/>
  <c r="FR423" i="4" s="1"/>
  <c r="FA423" i="4"/>
  <c r="EZ423" i="4"/>
  <c r="EY423" i="4"/>
  <c r="EX423" i="4"/>
  <c r="FN423" i="4" s="1"/>
  <c r="EW423" i="4"/>
  <c r="EV423" i="4"/>
  <c r="FL423" i="4" s="1"/>
  <c r="EU423" i="4"/>
  <c r="EB423" i="4"/>
  <c r="EA423" i="4"/>
  <c r="DX423" i="4"/>
  <c r="DW423" i="4"/>
  <c r="DV423" i="4"/>
  <c r="DZ423" i="4" s="1"/>
  <c r="DU423" i="4"/>
  <c r="DL423" i="4"/>
  <c r="DH423" i="4"/>
  <c r="DF423" i="4"/>
  <c r="DE423" i="4"/>
  <c r="DA423" i="4"/>
  <c r="CX423" i="4"/>
  <c r="CW423" i="4"/>
  <c r="CV423" i="4"/>
  <c r="DG423" i="4" s="1"/>
  <c r="CU423" i="4"/>
  <c r="CO423" i="4"/>
  <c r="FB423" i="4" s="1"/>
  <c r="FQ423" i="4" s="1"/>
  <c r="CK423" i="4"/>
  <c r="CG423" i="4"/>
  <c r="BS423" i="4"/>
  <c r="BP423" i="4"/>
  <c r="BO423" i="4"/>
  <c r="BN423" i="4"/>
  <c r="BM423" i="4"/>
  <c r="BL423" i="4"/>
  <c r="BK423" i="4"/>
  <c r="BJ423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Y423" i="4"/>
  <c r="Q423" i="4"/>
  <c r="B423" i="4"/>
  <c r="A423" i="4"/>
  <c r="QX422" i="4"/>
  <c r="FV422" i="4"/>
  <c r="FU422" i="4"/>
  <c r="FT422" i="4"/>
  <c r="FP422" i="4"/>
  <c r="FO422" i="4"/>
  <c r="FL422" i="4"/>
  <c r="FJ422" i="4"/>
  <c r="FY422" i="4" s="1"/>
  <c r="FI422" i="4"/>
  <c r="FX422" i="4" s="1"/>
  <c r="FH422" i="4"/>
  <c r="FG422" i="4"/>
  <c r="FE422" i="4"/>
  <c r="FD422" i="4"/>
  <c r="FS422" i="4" s="1"/>
  <c r="FC422" i="4"/>
  <c r="FR422" i="4" s="1"/>
  <c r="FA422" i="4"/>
  <c r="EZ422" i="4"/>
  <c r="EY422" i="4"/>
  <c r="EX422" i="4"/>
  <c r="FN422" i="4" s="1"/>
  <c r="EW422" i="4"/>
  <c r="FM422" i="4" s="1"/>
  <c r="EV422" i="4"/>
  <c r="EU422" i="4"/>
  <c r="FK422" i="4" s="1"/>
  <c r="EA422" i="4"/>
  <c r="DX422" i="4"/>
  <c r="EB422" i="4" s="1"/>
  <c r="DW422" i="4"/>
  <c r="DV422" i="4" s="1"/>
  <c r="DZ422" i="4" s="1"/>
  <c r="DU422" i="4"/>
  <c r="DL422" i="4"/>
  <c r="DH422" i="4"/>
  <c r="DF422" i="4"/>
  <c r="DA422" i="4"/>
  <c r="CX422" i="4"/>
  <c r="CV422" i="4"/>
  <c r="FF422" i="4" s="1"/>
  <c r="FW422" i="4" s="1"/>
  <c r="CU422" i="4"/>
  <c r="DE422" i="4" s="1"/>
  <c r="CO422" i="4"/>
  <c r="CW422" i="4" s="1"/>
  <c r="CK422" i="4"/>
  <c r="CG422" i="4"/>
  <c r="BS422" i="4"/>
  <c r="BP422" i="4"/>
  <c r="BO422" i="4"/>
  <c r="BN422" i="4"/>
  <c r="BM422" i="4"/>
  <c r="BL422" i="4"/>
  <c r="BK422" i="4"/>
  <c r="BJ422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Y422" i="4"/>
  <c r="Q422" i="4"/>
  <c r="B422" i="4"/>
  <c r="A422" i="4"/>
  <c r="QX421" i="4"/>
  <c r="FU421" i="4"/>
  <c r="FT421" i="4"/>
  <c r="FS421" i="4"/>
  <c r="FO421" i="4"/>
  <c r="FN421" i="4"/>
  <c r="FK421" i="4"/>
  <c r="FI421" i="4"/>
  <c r="FX421" i="4" s="1"/>
  <c r="FH421" i="4"/>
  <c r="FV421" i="4" s="1"/>
  <c r="FG421" i="4"/>
  <c r="FE421" i="4"/>
  <c r="FD421" i="4"/>
  <c r="FC421" i="4"/>
  <c r="FR421" i="4" s="1"/>
  <c r="FA421" i="4"/>
  <c r="FP421" i="4" s="1"/>
  <c r="EZ421" i="4"/>
  <c r="EY421" i="4"/>
  <c r="EX421" i="4"/>
  <c r="EW421" i="4"/>
  <c r="FM421" i="4" s="1"/>
  <c r="EV421" i="4"/>
  <c r="FL421" i="4" s="1"/>
  <c r="EU421" i="4"/>
  <c r="EB421" i="4"/>
  <c r="DX421" i="4"/>
  <c r="DW421" i="4"/>
  <c r="EA421" i="4" s="1"/>
  <c r="DV421" i="4"/>
  <c r="DL421" i="4"/>
  <c r="DH421" i="4"/>
  <c r="DF421" i="4"/>
  <c r="DA421" i="4"/>
  <c r="CX421" i="4"/>
  <c r="FJ421" i="4" s="1"/>
  <c r="FY421" i="4" s="1"/>
  <c r="CU421" i="4"/>
  <c r="DE421" i="4" s="1"/>
  <c r="CO421" i="4"/>
  <c r="CW421" i="4" s="1"/>
  <c r="CK421" i="4"/>
  <c r="CG421" i="4"/>
  <c r="BS421" i="4"/>
  <c r="BP421" i="4"/>
  <c r="BO421" i="4"/>
  <c r="BN421" i="4"/>
  <c r="BM421" i="4"/>
  <c r="BL421" i="4"/>
  <c r="BK421" i="4"/>
  <c r="BJ421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Y421" i="4"/>
  <c r="Q421" i="4"/>
  <c r="B421" i="4"/>
  <c r="A421" i="4"/>
  <c r="QX420" i="4"/>
  <c r="FY420" i="4"/>
  <c r="FX420" i="4"/>
  <c r="FT420" i="4"/>
  <c r="FS420" i="4"/>
  <c r="FR420" i="4"/>
  <c r="FN420" i="4"/>
  <c r="FM420" i="4"/>
  <c r="FJ420" i="4"/>
  <c r="FI420" i="4"/>
  <c r="FH420" i="4"/>
  <c r="FV420" i="4" s="1"/>
  <c r="FG420" i="4"/>
  <c r="FU420" i="4" s="1"/>
  <c r="FE420" i="4"/>
  <c r="FD420" i="4"/>
  <c r="FC420" i="4"/>
  <c r="FA420" i="4"/>
  <c r="FP420" i="4" s="1"/>
  <c r="EZ420" i="4"/>
  <c r="FO420" i="4" s="1"/>
  <c r="EY420" i="4"/>
  <c r="EX420" i="4"/>
  <c r="EW420" i="4"/>
  <c r="EV420" i="4"/>
  <c r="FL420" i="4" s="1"/>
  <c r="EU420" i="4"/>
  <c r="FK420" i="4" s="1"/>
  <c r="EA420" i="4"/>
  <c r="DX420" i="4"/>
  <c r="EB420" i="4" s="1"/>
  <c r="DW420" i="4"/>
  <c r="DV420" i="4" s="1"/>
  <c r="DZ420" i="4" s="1"/>
  <c r="DU420" i="4"/>
  <c r="DL420" i="4"/>
  <c r="DH420" i="4"/>
  <c r="DF420" i="4"/>
  <c r="DA420" i="4"/>
  <c r="CX420" i="4"/>
  <c r="CU420" i="4"/>
  <c r="DE420" i="4" s="1"/>
  <c r="CO420" i="4"/>
  <c r="CV420" i="4" s="1"/>
  <c r="CK420" i="4"/>
  <c r="CG420" i="4"/>
  <c r="BS420" i="4"/>
  <c r="BP420" i="4"/>
  <c r="BO420" i="4"/>
  <c r="BN420" i="4"/>
  <c r="BM420" i="4"/>
  <c r="BL420" i="4"/>
  <c r="BK420" i="4"/>
  <c r="BJ42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Y420" i="4"/>
  <c r="Q420" i="4"/>
  <c r="B420" i="4"/>
  <c r="A420" i="4"/>
  <c r="QX419" i="4"/>
  <c r="FX419" i="4"/>
  <c r="FS419" i="4"/>
  <c r="FR419" i="4"/>
  <c r="FN419" i="4"/>
  <c r="FM419" i="4"/>
  <c r="FL419" i="4"/>
  <c r="FI419" i="4"/>
  <c r="FH419" i="4"/>
  <c r="FV419" i="4" s="1"/>
  <c r="FG419" i="4"/>
  <c r="FU419" i="4" s="1"/>
  <c r="FE419" i="4"/>
  <c r="FT419" i="4" s="1"/>
  <c r="FD419" i="4"/>
  <c r="FC419" i="4"/>
  <c r="FA419" i="4"/>
  <c r="FP419" i="4" s="1"/>
  <c r="EZ419" i="4"/>
  <c r="FO419" i="4" s="1"/>
  <c r="EY419" i="4"/>
  <c r="EX419" i="4"/>
  <c r="EW419" i="4"/>
  <c r="EV419" i="4"/>
  <c r="EU419" i="4"/>
  <c r="FK419" i="4" s="1"/>
  <c r="DX419" i="4"/>
  <c r="EB419" i="4" s="1"/>
  <c r="DW419" i="4"/>
  <c r="DV419" i="4" s="1"/>
  <c r="DZ419" i="4" s="1"/>
  <c r="DL419" i="4"/>
  <c r="DH419" i="4"/>
  <c r="DF419" i="4"/>
  <c r="DA419" i="4"/>
  <c r="CX419" i="4"/>
  <c r="FJ419" i="4" s="1"/>
  <c r="FY419" i="4" s="1"/>
  <c r="CW419" i="4"/>
  <c r="CU419" i="4"/>
  <c r="DE419" i="4" s="1"/>
  <c r="CO419" i="4"/>
  <c r="FB419" i="4" s="1"/>
  <c r="FQ419" i="4" s="1"/>
  <c r="CK419" i="4"/>
  <c r="CG419" i="4"/>
  <c r="BS419" i="4"/>
  <c r="BP419" i="4"/>
  <c r="BO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V419" i="4"/>
  <c r="Y419" i="4"/>
  <c r="Q419" i="4"/>
  <c r="B419" i="4"/>
  <c r="A419" i="4"/>
  <c r="QX418" i="4"/>
  <c r="FX418" i="4"/>
  <c r="FR418" i="4"/>
  <c r="FP418" i="4"/>
  <c r="FN418" i="4"/>
  <c r="FL418" i="4"/>
  <c r="FK418" i="4"/>
  <c r="FI418" i="4"/>
  <c r="FH418" i="4"/>
  <c r="FV418" i="4" s="1"/>
  <c r="FG418" i="4"/>
  <c r="FU418" i="4" s="1"/>
  <c r="FE418" i="4"/>
  <c r="FT418" i="4" s="1"/>
  <c r="FD418" i="4"/>
  <c r="FS418" i="4" s="1"/>
  <c r="FC418" i="4"/>
  <c r="FA418" i="4"/>
  <c r="EZ418" i="4"/>
  <c r="FO418" i="4" s="1"/>
  <c r="EY418" i="4"/>
  <c r="EX418" i="4"/>
  <c r="EW418" i="4"/>
  <c r="FM418" i="4" s="1"/>
  <c r="EV418" i="4"/>
  <c r="EU418" i="4"/>
  <c r="EB418" i="4"/>
  <c r="DX418" i="4"/>
  <c r="DW418" i="4"/>
  <c r="EA418" i="4" s="1"/>
  <c r="DV418" i="4"/>
  <c r="DZ418" i="4" s="1"/>
  <c r="DL418" i="4"/>
  <c r="DH418" i="4"/>
  <c r="DF418" i="4"/>
  <c r="DE418" i="4"/>
  <c r="DA418" i="4"/>
  <c r="CX418" i="4"/>
  <c r="FJ418" i="4" s="1"/>
  <c r="FY418" i="4" s="1"/>
  <c r="CW418" i="4"/>
  <c r="CU418" i="4"/>
  <c r="CO418" i="4"/>
  <c r="FB418" i="4" s="1"/>
  <c r="FQ418" i="4" s="1"/>
  <c r="CK418" i="4"/>
  <c r="CG418" i="4"/>
  <c r="BS418" i="4"/>
  <c r="BP418" i="4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Y418" i="4"/>
  <c r="Q418" i="4"/>
  <c r="B418" i="4"/>
  <c r="A418" i="4"/>
  <c r="QX417" i="4"/>
  <c r="FY417" i="4"/>
  <c r="FV417" i="4"/>
  <c r="FS417" i="4"/>
  <c r="FO417" i="4"/>
  <c r="FM417" i="4"/>
  <c r="FJ417" i="4"/>
  <c r="FI417" i="4"/>
  <c r="FX417" i="4" s="1"/>
  <c r="FH417" i="4"/>
  <c r="FG417" i="4"/>
  <c r="FU417" i="4" s="1"/>
  <c r="FE417" i="4"/>
  <c r="FT417" i="4" s="1"/>
  <c r="FD417" i="4"/>
  <c r="FC417" i="4"/>
  <c r="FR417" i="4" s="1"/>
  <c r="FA417" i="4"/>
  <c r="FP417" i="4" s="1"/>
  <c r="EZ417" i="4"/>
  <c r="EY417" i="4"/>
  <c r="EX417" i="4"/>
  <c r="FN417" i="4" s="1"/>
  <c r="EW417" i="4"/>
  <c r="EV417" i="4"/>
  <c r="FL417" i="4" s="1"/>
  <c r="EU417" i="4"/>
  <c r="FK417" i="4" s="1"/>
  <c r="EA417" i="4"/>
  <c r="DX417" i="4"/>
  <c r="DW417" i="4"/>
  <c r="DU417" i="4"/>
  <c r="DL417" i="4"/>
  <c r="DH417" i="4"/>
  <c r="DG417" i="4"/>
  <c r="DF417" i="4"/>
  <c r="DE417" i="4"/>
  <c r="DA417" i="4"/>
  <c r="CX417" i="4"/>
  <c r="CW417" i="4"/>
  <c r="CV417" i="4"/>
  <c r="FF417" i="4" s="1"/>
  <c r="FW417" i="4" s="1"/>
  <c r="CU417" i="4"/>
  <c r="CO417" i="4"/>
  <c r="FB417" i="4" s="1"/>
  <c r="FQ417" i="4" s="1"/>
  <c r="CK417" i="4"/>
  <c r="CG417" i="4"/>
  <c r="BS417" i="4"/>
  <c r="BP417" i="4"/>
  <c r="BO417" i="4"/>
  <c r="BN417" i="4"/>
  <c r="BM417" i="4"/>
  <c r="BL417" i="4"/>
  <c r="BK417" i="4"/>
  <c r="BJ417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Y417" i="4"/>
  <c r="Q417" i="4"/>
  <c r="B417" i="4"/>
  <c r="A417" i="4"/>
  <c r="QX416" i="4"/>
  <c r="FX416" i="4"/>
  <c r="FV416" i="4"/>
  <c r="FU416" i="4"/>
  <c r="FT416" i="4"/>
  <c r="FR416" i="4"/>
  <c r="FP416" i="4"/>
  <c r="FL416" i="4"/>
  <c r="FI416" i="4"/>
  <c r="FH416" i="4"/>
  <c r="FG416" i="4"/>
  <c r="FF416" i="4"/>
  <c r="FW416" i="4" s="1"/>
  <c r="FE416" i="4"/>
  <c r="FD416" i="4"/>
  <c r="FS416" i="4" s="1"/>
  <c r="FC416" i="4"/>
  <c r="FB416" i="4"/>
  <c r="FQ416" i="4" s="1"/>
  <c r="DD416" i="4" s="1"/>
  <c r="FA416" i="4"/>
  <c r="EZ416" i="4"/>
  <c r="FO416" i="4" s="1"/>
  <c r="EY416" i="4"/>
  <c r="EX416" i="4"/>
  <c r="FN416" i="4" s="1"/>
  <c r="EW416" i="4"/>
  <c r="FM416" i="4" s="1"/>
  <c r="EV416" i="4"/>
  <c r="EU416" i="4"/>
  <c r="FK416" i="4" s="1"/>
  <c r="DX416" i="4"/>
  <c r="EB416" i="4" s="1"/>
  <c r="DW416" i="4"/>
  <c r="DL416" i="4"/>
  <c r="DH416" i="4"/>
  <c r="DF416" i="4"/>
  <c r="DA416" i="4"/>
  <c r="CX416" i="4"/>
  <c r="FJ416" i="4" s="1"/>
  <c r="FY416" i="4" s="1"/>
  <c r="CW416" i="4"/>
  <c r="CV416" i="4"/>
  <c r="DG416" i="4" s="1"/>
  <c r="CU416" i="4"/>
  <c r="CO416" i="4"/>
  <c r="CK416" i="4"/>
  <c r="CG416" i="4"/>
  <c r="BS416" i="4"/>
  <c r="BP416" i="4"/>
  <c r="BO416" i="4"/>
  <c r="BN416" i="4"/>
  <c r="BM416" i="4"/>
  <c r="BL416" i="4"/>
  <c r="BK416" i="4"/>
  <c r="BJ416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V416" i="4"/>
  <c r="Y416" i="4"/>
  <c r="Q416" i="4"/>
  <c r="B416" i="4"/>
  <c r="A416" i="4"/>
  <c r="QX415" i="4"/>
  <c r="FX415" i="4"/>
  <c r="FU415" i="4"/>
  <c r="FT415" i="4"/>
  <c r="FR415" i="4"/>
  <c r="FP415" i="4"/>
  <c r="FN415" i="4"/>
  <c r="FK415" i="4"/>
  <c r="FI415" i="4"/>
  <c r="FH415" i="4"/>
  <c r="FV415" i="4" s="1"/>
  <c r="FG415" i="4"/>
  <c r="FE415" i="4"/>
  <c r="FD415" i="4"/>
  <c r="FS415" i="4" s="1"/>
  <c r="FC415" i="4"/>
  <c r="FA415" i="4"/>
  <c r="EZ415" i="4"/>
  <c r="FO415" i="4" s="1"/>
  <c r="EY415" i="4"/>
  <c r="EX415" i="4"/>
  <c r="EW415" i="4"/>
  <c r="FM415" i="4" s="1"/>
  <c r="EV415" i="4"/>
  <c r="FL415" i="4" s="1"/>
  <c r="EU415" i="4"/>
  <c r="EB415" i="4"/>
  <c r="DX415" i="4"/>
  <c r="DW415" i="4"/>
  <c r="EA415" i="4" s="1"/>
  <c r="DV415" i="4"/>
  <c r="DL415" i="4"/>
  <c r="DH415" i="4"/>
  <c r="DF415" i="4"/>
  <c r="DE415" i="4"/>
  <c r="DA415" i="4"/>
  <c r="CX415" i="4"/>
  <c r="FJ415" i="4" s="1"/>
  <c r="FY415" i="4" s="1"/>
  <c r="CU415" i="4"/>
  <c r="CO415" i="4"/>
  <c r="FB415" i="4" s="1"/>
  <c r="FQ415" i="4" s="1"/>
  <c r="CK415" i="4"/>
  <c r="CG415" i="4"/>
  <c r="BS415" i="4"/>
  <c r="BP415" i="4"/>
  <c r="BO415" i="4"/>
  <c r="BN415" i="4"/>
  <c r="BM415" i="4"/>
  <c r="BL415" i="4"/>
  <c r="BK415" i="4"/>
  <c r="BJ415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Y415" i="4"/>
  <c r="Q415" i="4"/>
  <c r="B415" i="4"/>
  <c r="A415" i="4"/>
  <c r="QX414" i="4"/>
  <c r="FY414" i="4"/>
  <c r="FV414" i="4"/>
  <c r="FS414" i="4"/>
  <c r="FO414" i="4"/>
  <c r="FM414" i="4"/>
  <c r="FJ414" i="4"/>
  <c r="FI414" i="4"/>
  <c r="FX414" i="4" s="1"/>
  <c r="FH414" i="4"/>
  <c r="FG414" i="4"/>
  <c r="FU414" i="4" s="1"/>
  <c r="FE414" i="4"/>
  <c r="FT414" i="4" s="1"/>
  <c r="FD414" i="4"/>
  <c r="FC414" i="4"/>
  <c r="FR414" i="4" s="1"/>
  <c r="FA414" i="4"/>
  <c r="FP414" i="4" s="1"/>
  <c r="EZ414" i="4"/>
  <c r="EY414" i="4"/>
  <c r="EX414" i="4"/>
  <c r="FN414" i="4" s="1"/>
  <c r="EW414" i="4"/>
  <c r="EV414" i="4"/>
  <c r="FL414" i="4" s="1"/>
  <c r="EU414" i="4"/>
  <c r="FK414" i="4" s="1"/>
  <c r="EA414" i="4"/>
  <c r="DX414" i="4"/>
  <c r="DW414" i="4"/>
  <c r="DU414" i="4"/>
  <c r="DL414" i="4"/>
  <c r="DH414" i="4"/>
  <c r="DG414" i="4"/>
  <c r="DF414" i="4"/>
  <c r="DE414" i="4"/>
  <c r="DA414" i="4"/>
  <c r="CX414" i="4"/>
  <c r="CW414" i="4"/>
  <c r="CV414" i="4"/>
  <c r="FF414" i="4" s="1"/>
  <c r="FW414" i="4" s="1"/>
  <c r="CU414" i="4"/>
  <c r="CO414" i="4"/>
  <c r="FB414" i="4" s="1"/>
  <c r="FQ414" i="4" s="1"/>
  <c r="CK414" i="4"/>
  <c r="CG414" i="4"/>
  <c r="BP414" i="4"/>
  <c r="BO414" i="4"/>
  <c r="BN414" i="4"/>
  <c r="BM414" i="4"/>
  <c r="BL414" i="4"/>
  <c r="BK414" i="4"/>
  <c r="BJ414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Y414" i="4"/>
  <c r="Q414" i="4"/>
  <c r="B414" i="4"/>
  <c r="A414" i="4"/>
  <c r="QX413" i="4"/>
  <c r="FU413" i="4"/>
  <c r="FS413" i="4"/>
  <c r="FO413" i="4"/>
  <c r="FN413" i="4"/>
  <c r="FK413" i="4"/>
  <c r="FI413" i="4"/>
  <c r="FX413" i="4" s="1"/>
  <c r="FH413" i="4"/>
  <c r="FV413" i="4" s="1"/>
  <c r="FG413" i="4"/>
  <c r="FE413" i="4"/>
  <c r="FT413" i="4" s="1"/>
  <c r="FD413" i="4"/>
  <c r="FC413" i="4"/>
  <c r="FR413" i="4" s="1"/>
  <c r="FA413" i="4"/>
  <c r="FP413" i="4" s="1"/>
  <c r="EZ413" i="4"/>
  <c r="EY413" i="4"/>
  <c r="EX413" i="4"/>
  <c r="EW413" i="4"/>
  <c r="FM413" i="4" s="1"/>
  <c r="EV413" i="4"/>
  <c r="FL413" i="4" s="1"/>
  <c r="EU413" i="4"/>
  <c r="EB413" i="4"/>
  <c r="DX413" i="4"/>
  <c r="DW413" i="4"/>
  <c r="EA413" i="4" s="1"/>
  <c r="DV413" i="4"/>
  <c r="DZ413" i="4" s="1"/>
  <c r="DL413" i="4"/>
  <c r="DH413" i="4"/>
  <c r="DF413" i="4"/>
  <c r="DE413" i="4"/>
  <c r="DA413" i="4"/>
  <c r="CX413" i="4"/>
  <c r="FJ413" i="4" s="1"/>
  <c r="FY413" i="4" s="1"/>
  <c r="CW413" i="4"/>
  <c r="CU413" i="4"/>
  <c r="CO413" i="4"/>
  <c r="CV413" i="4" s="1"/>
  <c r="CG413" i="4"/>
  <c r="BS413" i="4"/>
  <c r="BP413" i="4"/>
  <c r="BO413" i="4"/>
  <c r="BN413" i="4"/>
  <c r="BM413" i="4"/>
  <c r="BL413" i="4"/>
  <c r="BK413" i="4"/>
  <c r="BJ413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Y413" i="4"/>
  <c r="Q413" i="4"/>
  <c r="B413" i="4"/>
  <c r="A413" i="4"/>
  <c r="QX412" i="4"/>
  <c r="FV412" i="4"/>
  <c r="FU412" i="4"/>
  <c r="FS412" i="4"/>
  <c r="FO412" i="4"/>
  <c r="FL412" i="4"/>
  <c r="FI412" i="4"/>
  <c r="FX412" i="4" s="1"/>
  <c r="FH412" i="4"/>
  <c r="FG412" i="4"/>
  <c r="FF412" i="4"/>
  <c r="FW412" i="4" s="1"/>
  <c r="FE412" i="4"/>
  <c r="FT412" i="4" s="1"/>
  <c r="FD412" i="4"/>
  <c r="FC412" i="4"/>
  <c r="FR412" i="4" s="1"/>
  <c r="FA412" i="4"/>
  <c r="FP412" i="4" s="1"/>
  <c r="EZ412" i="4"/>
  <c r="EY412" i="4"/>
  <c r="EX412" i="4"/>
  <c r="FN412" i="4" s="1"/>
  <c r="EW412" i="4"/>
  <c r="FM412" i="4" s="1"/>
  <c r="EV412" i="4"/>
  <c r="EU412" i="4"/>
  <c r="FK412" i="4" s="1"/>
  <c r="DX412" i="4"/>
  <c r="EB412" i="4" s="1"/>
  <c r="DW412" i="4"/>
  <c r="DV412" i="4" s="1"/>
  <c r="DZ412" i="4" s="1"/>
  <c r="DL412" i="4"/>
  <c r="DH412" i="4"/>
  <c r="DG412" i="4"/>
  <c r="DF412" i="4"/>
  <c r="DA412" i="4"/>
  <c r="CX412" i="4"/>
  <c r="FJ412" i="4" s="1"/>
  <c r="FY412" i="4" s="1"/>
  <c r="CW412" i="4"/>
  <c r="CV412" i="4"/>
  <c r="CU412" i="4"/>
  <c r="DE412" i="4" s="1"/>
  <c r="CO412" i="4"/>
  <c r="FB412" i="4" s="1"/>
  <c r="FQ412" i="4" s="1"/>
  <c r="DD412" i="4" s="1"/>
  <c r="CK412" i="4"/>
  <c r="CG412" i="4"/>
  <c r="BS412" i="4"/>
  <c r="BP412" i="4"/>
  <c r="BO412" i="4"/>
  <c r="BN412" i="4"/>
  <c r="BM412" i="4"/>
  <c r="BL412" i="4"/>
  <c r="BK412" i="4"/>
  <c r="BJ412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Y412" i="4"/>
  <c r="Q412" i="4"/>
  <c r="B412" i="4"/>
  <c r="A412" i="4"/>
  <c r="QX411" i="4"/>
  <c r="FX411" i="4"/>
  <c r="FU411" i="4"/>
  <c r="FT411" i="4"/>
  <c r="FR411" i="4"/>
  <c r="FP411" i="4"/>
  <c r="FN411" i="4"/>
  <c r="FK411" i="4"/>
  <c r="FI411" i="4"/>
  <c r="FH411" i="4"/>
  <c r="FV411" i="4" s="1"/>
  <c r="FG411" i="4"/>
  <c r="FE411" i="4"/>
  <c r="FD411" i="4"/>
  <c r="FS411" i="4" s="1"/>
  <c r="FC411" i="4"/>
  <c r="FB411" i="4"/>
  <c r="FQ411" i="4" s="1"/>
  <c r="FA411" i="4"/>
  <c r="EZ411" i="4"/>
  <c r="FO411" i="4" s="1"/>
  <c r="EY411" i="4"/>
  <c r="EX411" i="4"/>
  <c r="EW411" i="4"/>
  <c r="FM411" i="4" s="1"/>
  <c r="EV411" i="4"/>
  <c r="FL411" i="4" s="1"/>
  <c r="EU411" i="4"/>
  <c r="EB411" i="4"/>
  <c r="DX411" i="4"/>
  <c r="DW411" i="4"/>
  <c r="EA411" i="4" s="1"/>
  <c r="DV411" i="4"/>
  <c r="DZ411" i="4" s="1"/>
  <c r="DL411" i="4"/>
  <c r="DH411" i="4"/>
  <c r="DF411" i="4"/>
  <c r="DE411" i="4"/>
  <c r="DA411" i="4"/>
  <c r="CX411" i="4"/>
  <c r="FJ411" i="4" s="1"/>
  <c r="FY411" i="4" s="1"/>
  <c r="CU411" i="4"/>
  <c r="CO411" i="4"/>
  <c r="CK411" i="4"/>
  <c r="BS411" i="4"/>
  <c r="BP411" i="4"/>
  <c r="BO411" i="4"/>
  <c r="BN411" i="4"/>
  <c r="BM411" i="4"/>
  <c r="BL411" i="4"/>
  <c r="BK411" i="4"/>
  <c r="BJ41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V411" i="4"/>
  <c r="Y411" i="4"/>
  <c r="Q411" i="4"/>
  <c r="B411" i="4"/>
  <c r="A411" i="4"/>
  <c r="QX410" i="4"/>
  <c r="FX410" i="4"/>
  <c r="FV410" i="4"/>
  <c r="FU410" i="4"/>
  <c r="FT410" i="4"/>
  <c r="FR410" i="4"/>
  <c r="FP410" i="4"/>
  <c r="FL410" i="4"/>
  <c r="FI410" i="4"/>
  <c r="FH410" i="4"/>
  <c r="FG410" i="4"/>
  <c r="FF410" i="4"/>
  <c r="FW410" i="4" s="1"/>
  <c r="FE410" i="4"/>
  <c r="FD410" i="4"/>
  <c r="FS410" i="4" s="1"/>
  <c r="FC410" i="4"/>
  <c r="FA410" i="4"/>
  <c r="EZ410" i="4"/>
  <c r="FO410" i="4" s="1"/>
  <c r="EY410" i="4"/>
  <c r="EX410" i="4"/>
  <c r="FN410" i="4" s="1"/>
  <c r="EW410" i="4"/>
  <c r="FM410" i="4" s="1"/>
  <c r="EV410" i="4"/>
  <c r="EU410" i="4"/>
  <c r="FK410" i="4" s="1"/>
  <c r="DX410" i="4"/>
  <c r="EB410" i="4" s="1"/>
  <c r="DW410" i="4"/>
  <c r="DL410" i="4"/>
  <c r="DH410" i="4"/>
  <c r="DF410" i="4"/>
  <c r="DA410" i="4"/>
  <c r="CX410" i="4"/>
  <c r="FJ410" i="4" s="1"/>
  <c r="FY410" i="4" s="1"/>
  <c r="CV410" i="4"/>
  <c r="CU410" i="4"/>
  <c r="DE410" i="4" s="1"/>
  <c r="CO410" i="4"/>
  <c r="CW410" i="4" s="1"/>
  <c r="CK410" i="4"/>
  <c r="CG410" i="4"/>
  <c r="BS410" i="4"/>
  <c r="BP410" i="4"/>
  <c r="BO410" i="4"/>
  <c r="BN410" i="4"/>
  <c r="BM410" i="4"/>
  <c r="BL410" i="4"/>
  <c r="BK410" i="4"/>
  <c r="BJ410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V410" i="4"/>
  <c r="Y410" i="4"/>
  <c r="Q410" i="4"/>
  <c r="B410" i="4"/>
  <c r="A410" i="4"/>
  <c r="QX409" i="4"/>
  <c r="FU409" i="4"/>
  <c r="FT409" i="4"/>
  <c r="FS409" i="4"/>
  <c r="FO409" i="4"/>
  <c r="FN409" i="4"/>
  <c r="FK409" i="4"/>
  <c r="FI409" i="4"/>
  <c r="FX409" i="4" s="1"/>
  <c r="FH409" i="4"/>
  <c r="FV409" i="4" s="1"/>
  <c r="FG409" i="4"/>
  <c r="FE409" i="4"/>
  <c r="FD409" i="4"/>
  <c r="FC409" i="4"/>
  <c r="FR409" i="4" s="1"/>
  <c r="FB409" i="4"/>
  <c r="FQ409" i="4" s="1"/>
  <c r="FA409" i="4"/>
  <c r="FP409" i="4" s="1"/>
  <c r="EZ409" i="4"/>
  <c r="EY409" i="4"/>
  <c r="EX409" i="4"/>
  <c r="EW409" i="4"/>
  <c r="FM409" i="4" s="1"/>
  <c r="EV409" i="4"/>
  <c r="FL409" i="4" s="1"/>
  <c r="EU409" i="4"/>
  <c r="EB409" i="4"/>
  <c r="DX409" i="4"/>
  <c r="DW409" i="4"/>
  <c r="EA409" i="4" s="1"/>
  <c r="DV409" i="4"/>
  <c r="DZ409" i="4" s="1"/>
  <c r="DL409" i="4"/>
  <c r="DH409" i="4"/>
  <c r="DF409" i="4"/>
  <c r="DE409" i="4"/>
  <c r="DA409" i="4"/>
  <c r="CX409" i="4"/>
  <c r="FJ409" i="4" s="1"/>
  <c r="FY409" i="4" s="1"/>
  <c r="CU409" i="4"/>
  <c r="CO409" i="4"/>
  <c r="CV409" i="4" s="1"/>
  <c r="DY409" i="4" s="1"/>
  <c r="EC409" i="4" s="1"/>
  <c r="CK409" i="4"/>
  <c r="CG409" i="4"/>
  <c r="BS409" i="4"/>
  <c r="BP409" i="4"/>
  <c r="BO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V409" i="4"/>
  <c r="Y409" i="4"/>
  <c r="Q409" i="4"/>
  <c r="B409" i="4"/>
  <c r="A409" i="4"/>
  <c r="QX408" i="4"/>
  <c r="FY408" i="4"/>
  <c r="FX408" i="4"/>
  <c r="FV408" i="4"/>
  <c r="FT408" i="4"/>
  <c r="FS408" i="4"/>
  <c r="FR408" i="4"/>
  <c r="FM408" i="4"/>
  <c r="FJ408" i="4"/>
  <c r="FI408" i="4"/>
  <c r="FH408" i="4"/>
  <c r="FG408" i="4"/>
  <c r="FU408" i="4" s="1"/>
  <c r="FE408" i="4"/>
  <c r="FD408" i="4"/>
  <c r="FC408" i="4"/>
  <c r="FA408" i="4"/>
  <c r="FP408" i="4" s="1"/>
  <c r="EZ408" i="4"/>
  <c r="FO408" i="4" s="1"/>
  <c r="EY408" i="4"/>
  <c r="EX408" i="4"/>
  <c r="FN408" i="4" s="1"/>
  <c r="EW408" i="4"/>
  <c r="EV408" i="4"/>
  <c r="FL408" i="4" s="1"/>
  <c r="EU408" i="4"/>
  <c r="FK408" i="4" s="1"/>
  <c r="EA408" i="4"/>
  <c r="DX408" i="4"/>
  <c r="EB408" i="4" s="1"/>
  <c r="DW408" i="4"/>
  <c r="DV408" i="4" s="1"/>
  <c r="DZ408" i="4" s="1"/>
  <c r="DU408" i="4"/>
  <c r="DL408" i="4"/>
  <c r="DH408" i="4"/>
  <c r="DF408" i="4"/>
  <c r="DD408" i="4"/>
  <c r="DA408" i="4"/>
  <c r="CX408" i="4"/>
  <c r="CV408" i="4"/>
  <c r="DG408" i="4" s="1"/>
  <c r="CU408" i="4"/>
  <c r="DE408" i="4" s="1"/>
  <c r="CO408" i="4"/>
  <c r="FB408" i="4" s="1"/>
  <c r="FQ408" i="4" s="1"/>
  <c r="DC408" i="4" s="1"/>
  <c r="CK408" i="4"/>
  <c r="CG408" i="4"/>
  <c r="BS408" i="4"/>
  <c r="BP408" i="4"/>
  <c r="BO408" i="4"/>
  <c r="BN408" i="4"/>
  <c r="BM408" i="4"/>
  <c r="BL408" i="4"/>
  <c r="BK408" i="4"/>
  <c r="BJ408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Y408" i="4"/>
  <c r="Q408" i="4"/>
  <c r="B408" i="4"/>
  <c r="A408" i="4"/>
  <c r="QX407" i="4"/>
  <c r="FU407" i="4"/>
  <c r="FS407" i="4"/>
  <c r="FO407" i="4"/>
  <c r="FN407" i="4"/>
  <c r="FL407" i="4"/>
  <c r="FI407" i="4"/>
  <c r="FX407" i="4" s="1"/>
  <c r="FH407" i="4"/>
  <c r="FV407" i="4" s="1"/>
  <c r="FG407" i="4"/>
  <c r="FE407" i="4"/>
  <c r="FT407" i="4" s="1"/>
  <c r="FD407" i="4"/>
  <c r="FC407" i="4"/>
  <c r="FR407" i="4" s="1"/>
  <c r="FA407" i="4"/>
  <c r="FP407" i="4" s="1"/>
  <c r="EZ407" i="4"/>
  <c r="EY407" i="4"/>
  <c r="EX407" i="4"/>
  <c r="EW407" i="4"/>
  <c r="FM407" i="4" s="1"/>
  <c r="EV407" i="4"/>
  <c r="EU407" i="4"/>
  <c r="FK407" i="4" s="1"/>
  <c r="DX407" i="4"/>
  <c r="EB407" i="4" s="1"/>
  <c r="DW407" i="4"/>
  <c r="DL407" i="4"/>
  <c r="DH407" i="4"/>
  <c r="DF407" i="4"/>
  <c r="DC407" i="4"/>
  <c r="DB407" i="4" s="1"/>
  <c r="DA407" i="4"/>
  <c r="CX407" i="4"/>
  <c r="FJ407" i="4" s="1"/>
  <c r="FY407" i="4" s="1"/>
  <c r="CW407" i="4"/>
  <c r="CU407" i="4"/>
  <c r="DE407" i="4" s="1"/>
  <c r="CO407" i="4"/>
  <c r="FB407" i="4" s="1"/>
  <c r="FQ407" i="4" s="1"/>
  <c r="DD407" i="4" s="1"/>
  <c r="CK407" i="4"/>
  <c r="CG407" i="4"/>
  <c r="BS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Y407" i="4"/>
  <c r="Q407" i="4"/>
  <c r="B407" i="4"/>
  <c r="A407" i="4"/>
  <c r="QX406" i="4"/>
  <c r="FX406" i="4"/>
  <c r="FU406" i="4"/>
  <c r="FR406" i="4"/>
  <c r="FP406" i="4"/>
  <c r="FN406" i="4"/>
  <c r="FK406" i="4"/>
  <c r="FI406" i="4"/>
  <c r="FH406" i="4"/>
  <c r="FV406" i="4" s="1"/>
  <c r="FG406" i="4"/>
  <c r="FE406" i="4"/>
  <c r="FT406" i="4" s="1"/>
  <c r="FD406" i="4"/>
  <c r="FS406" i="4" s="1"/>
  <c r="FC406" i="4"/>
  <c r="FA406" i="4"/>
  <c r="EZ406" i="4"/>
  <c r="FO406" i="4" s="1"/>
  <c r="EY406" i="4"/>
  <c r="EX406" i="4"/>
  <c r="EW406" i="4"/>
  <c r="FM406" i="4" s="1"/>
  <c r="EV406" i="4"/>
  <c r="FL406" i="4" s="1"/>
  <c r="EU406" i="4"/>
  <c r="EB406" i="4"/>
  <c r="DX406" i="4"/>
  <c r="DW406" i="4"/>
  <c r="EA406" i="4" s="1"/>
  <c r="DV406" i="4"/>
  <c r="DL406" i="4"/>
  <c r="DH406" i="4"/>
  <c r="DF406" i="4"/>
  <c r="DE406" i="4"/>
  <c r="DA406" i="4"/>
  <c r="CX406" i="4"/>
  <c r="FJ406" i="4" s="1"/>
  <c r="FY406" i="4" s="1"/>
  <c r="CU406" i="4"/>
  <c r="CO406" i="4"/>
  <c r="CV406" i="4" s="1"/>
  <c r="CK406" i="4"/>
  <c r="CG406" i="4"/>
  <c r="BS406" i="4"/>
  <c r="BP406" i="4"/>
  <c r="BO406" i="4"/>
  <c r="BN406" i="4"/>
  <c r="BM406" i="4"/>
  <c r="BL406" i="4"/>
  <c r="BK406" i="4"/>
  <c r="BJ406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V406" i="4"/>
  <c r="Y406" i="4"/>
  <c r="Q406" i="4"/>
  <c r="B406" i="4"/>
  <c r="A406" i="4"/>
  <c r="QX405" i="4"/>
  <c r="FV405" i="4"/>
  <c r="FP405" i="4"/>
  <c r="FO405" i="4"/>
  <c r="FM405" i="4"/>
  <c r="FJ405" i="4"/>
  <c r="FY405" i="4" s="1"/>
  <c r="FI405" i="4"/>
  <c r="FX405" i="4" s="1"/>
  <c r="FH405" i="4"/>
  <c r="FG405" i="4"/>
  <c r="FU405" i="4" s="1"/>
  <c r="FE405" i="4"/>
  <c r="FT405" i="4" s="1"/>
  <c r="FD405" i="4"/>
  <c r="FS405" i="4" s="1"/>
  <c r="FC405" i="4"/>
  <c r="FR405" i="4" s="1"/>
  <c r="FA405" i="4"/>
  <c r="EZ405" i="4"/>
  <c r="EY405" i="4"/>
  <c r="EX405" i="4"/>
  <c r="FN405" i="4" s="1"/>
  <c r="EW405" i="4"/>
  <c r="EV405" i="4"/>
  <c r="FL405" i="4" s="1"/>
  <c r="EU405" i="4"/>
  <c r="FK405" i="4" s="1"/>
  <c r="EA405" i="4"/>
  <c r="DX405" i="4"/>
  <c r="DW405" i="4"/>
  <c r="DU405" i="4"/>
  <c r="DL405" i="4"/>
  <c r="DH405" i="4"/>
  <c r="DF405" i="4"/>
  <c r="DE405" i="4"/>
  <c r="DA405" i="4"/>
  <c r="CX405" i="4"/>
  <c r="CW405" i="4"/>
  <c r="CV405" i="4"/>
  <c r="DG405" i="4" s="1"/>
  <c r="CU405" i="4"/>
  <c r="CO405" i="4"/>
  <c r="FB405" i="4" s="1"/>
  <c r="FQ405" i="4" s="1"/>
  <c r="DC405" i="4" s="1"/>
  <c r="CK405" i="4"/>
  <c r="CG405" i="4"/>
  <c r="BS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Y405" i="4"/>
  <c r="Q405" i="4"/>
  <c r="B405" i="4"/>
  <c r="A405" i="4"/>
  <c r="QX404" i="4"/>
  <c r="FX404" i="4"/>
  <c r="FU404" i="4"/>
  <c r="FT404" i="4"/>
  <c r="FR404" i="4"/>
  <c r="FP404" i="4"/>
  <c r="FN404" i="4"/>
  <c r="FL404" i="4"/>
  <c r="FI404" i="4"/>
  <c r="FH404" i="4"/>
  <c r="FV404" i="4" s="1"/>
  <c r="FG404" i="4"/>
  <c r="FE404" i="4"/>
  <c r="FD404" i="4"/>
  <c r="FS404" i="4" s="1"/>
  <c r="FC404" i="4"/>
  <c r="FA404" i="4"/>
  <c r="EZ404" i="4"/>
  <c r="FO404" i="4" s="1"/>
  <c r="EY404" i="4"/>
  <c r="EX404" i="4"/>
  <c r="EW404" i="4"/>
  <c r="FM404" i="4" s="1"/>
  <c r="EV404" i="4"/>
  <c r="EU404" i="4"/>
  <c r="FK404" i="4" s="1"/>
  <c r="DX404" i="4"/>
  <c r="EB404" i="4" s="1"/>
  <c r="DW404" i="4"/>
  <c r="DL404" i="4"/>
  <c r="DH404" i="4"/>
  <c r="DF404" i="4"/>
  <c r="DA404" i="4"/>
  <c r="CX404" i="4"/>
  <c r="FJ404" i="4" s="1"/>
  <c r="FY404" i="4" s="1"/>
  <c r="CU404" i="4"/>
  <c r="DE404" i="4" s="1"/>
  <c r="CO404" i="4"/>
  <c r="CW404" i="4" s="1"/>
  <c r="CK404" i="4"/>
  <c r="CG404" i="4"/>
  <c r="BS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Y404" i="4"/>
  <c r="Q404" i="4"/>
  <c r="B404" i="4"/>
  <c r="A404" i="4"/>
  <c r="QX403" i="4"/>
  <c r="FW403" i="4"/>
  <c r="FS403" i="4"/>
  <c r="FQ403" i="4"/>
  <c r="FO403" i="4"/>
  <c r="FN403" i="4"/>
  <c r="FM403" i="4"/>
  <c r="FI403" i="4"/>
  <c r="FX403" i="4" s="1"/>
  <c r="FH403" i="4"/>
  <c r="FV403" i="4" s="1"/>
  <c r="FG403" i="4"/>
  <c r="FU403" i="4" s="1"/>
  <c r="FE403" i="4"/>
  <c r="FT403" i="4" s="1"/>
  <c r="FD403" i="4"/>
  <c r="FC403" i="4"/>
  <c r="FR403" i="4" s="1"/>
  <c r="FB403" i="4"/>
  <c r="FA403" i="4"/>
  <c r="FP403" i="4" s="1"/>
  <c r="EZ403" i="4"/>
  <c r="EY403" i="4"/>
  <c r="EX403" i="4"/>
  <c r="EW403" i="4"/>
  <c r="EV403" i="4"/>
  <c r="FL403" i="4" s="1"/>
  <c r="EU403" i="4"/>
  <c r="FK403" i="4" s="1"/>
  <c r="DX403" i="4"/>
  <c r="DV403" i="4" s="1"/>
  <c r="DW403" i="4"/>
  <c r="EA403" i="4" s="1"/>
  <c r="DL403" i="4"/>
  <c r="DH403" i="4"/>
  <c r="DG403" i="4"/>
  <c r="DF403" i="4"/>
  <c r="DE403" i="4"/>
  <c r="DA403" i="4"/>
  <c r="CX403" i="4"/>
  <c r="FJ403" i="4" s="1"/>
  <c r="FY403" i="4" s="1"/>
  <c r="CW403" i="4"/>
  <c r="CU403" i="4"/>
  <c r="CO403" i="4"/>
  <c r="CV403" i="4" s="1"/>
  <c r="FF403" i="4" s="1"/>
  <c r="CK403" i="4"/>
  <c r="BR403" i="4"/>
  <c r="BS403" i="4" s="1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Q403" i="4"/>
  <c r="Y403" i="4"/>
  <c r="Q403" i="4"/>
  <c r="B403" i="4"/>
  <c r="A403" i="4"/>
  <c r="QX402" i="4"/>
  <c r="FU402" i="4"/>
  <c r="FT402" i="4"/>
  <c r="FS402" i="4"/>
  <c r="FO402" i="4"/>
  <c r="FN402" i="4"/>
  <c r="FM402" i="4"/>
  <c r="FI402" i="4"/>
  <c r="FX402" i="4" s="1"/>
  <c r="FH402" i="4"/>
  <c r="FV402" i="4" s="1"/>
  <c r="FG402" i="4"/>
  <c r="FE402" i="4"/>
  <c r="FD402" i="4"/>
  <c r="FC402" i="4"/>
  <c r="FR402" i="4" s="1"/>
  <c r="FA402" i="4"/>
  <c r="FP402" i="4" s="1"/>
  <c r="EZ402" i="4"/>
  <c r="EY402" i="4"/>
  <c r="EX402" i="4"/>
  <c r="EW402" i="4"/>
  <c r="EV402" i="4"/>
  <c r="FL402" i="4" s="1"/>
  <c r="EU402" i="4"/>
  <c r="FK402" i="4" s="1"/>
  <c r="EB402" i="4"/>
  <c r="DY402" i="4"/>
  <c r="EC402" i="4" s="1"/>
  <c r="DX402" i="4"/>
  <c r="DW402" i="4"/>
  <c r="EA402" i="4" s="1"/>
  <c r="DV402" i="4"/>
  <c r="DZ402" i="4" s="1"/>
  <c r="DL402" i="4"/>
  <c r="DH402" i="4"/>
  <c r="DG402" i="4"/>
  <c r="DF402" i="4"/>
  <c r="DA402" i="4"/>
  <c r="CX402" i="4"/>
  <c r="FJ402" i="4" s="1"/>
  <c r="FY402" i="4" s="1"/>
  <c r="CU402" i="4"/>
  <c r="DE402" i="4" s="1"/>
  <c r="CO402" i="4"/>
  <c r="CV402" i="4" s="1"/>
  <c r="FF402" i="4" s="1"/>
  <c r="FW402" i="4" s="1"/>
  <c r="CK402" i="4"/>
  <c r="CG402" i="4"/>
  <c r="BS402" i="4"/>
  <c r="BR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Y402" i="4"/>
  <c r="Q402" i="4"/>
  <c r="B402" i="4"/>
  <c r="A402" i="4"/>
  <c r="QX401" i="4"/>
  <c r="FU401" i="4"/>
  <c r="FS401" i="4"/>
  <c r="FO401" i="4"/>
  <c r="FN401" i="4"/>
  <c r="FM401" i="4"/>
  <c r="FI401" i="4"/>
  <c r="FX401" i="4" s="1"/>
  <c r="FH401" i="4"/>
  <c r="FV401" i="4" s="1"/>
  <c r="FG401" i="4"/>
  <c r="FE401" i="4"/>
  <c r="FT401" i="4" s="1"/>
  <c r="FD401" i="4"/>
  <c r="FC401" i="4"/>
  <c r="FR401" i="4" s="1"/>
  <c r="FA401" i="4"/>
  <c r="FP401" i="4" s="1"/>
  <c r="EZ401" i="4"/>
  <c r="EY401" i="4"/>
  <c r="EX401" i="4"/>
  <c r="EW401" i="4"/>
  <c r="EV401" i="4"/>
  <c r="FL401" i="4" s="1"/>
  <c r="EU401" i="4"/>
  <c r="FK401" i="4" s="1"/>
  <c r="EB401" i="4"/>
  <c r="DY401" i="4"/>
  <c r="EC401" i="4" s="1"/>
  <c r="DX401" i="4"/>
  <c r="DW401" i="4"/>
  <c r="EA401" i="4" s="1"/>
  <c r="DV401" i="4"/>
  <c r="DZ401" i="4" s="1"/>
  <c r="DL401" i="4"/>
  <c r="DH401" i="4"/>
  <c r="DG401" i="4"/>
  <c r="DF401" i="4"/>
  <c r="DA401" i="4"/>
  <c r="CX401" i="4"/>
  <c r="FJ401" i="4" s="1"/>
  <c r="FY401" i="4" s="1"/>
  <c r="CU401" i="4"/>
  <c r="DE401" i="4" s="1"/>
  <c r="CO401" i="4"/>
  <c r="CV401" i="4" s="1"/>
  <c r="FF401" i="4" s="1"/>
  <c r="FW401" i="4" s="1"/>
  <c r="CK401" i="4"/>
  <c r="CG401" i="4"/>
  <c r="BS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Y401" i="4"/>
  <c r="Q401" i="4"/>
  <c r="B401" i="4"/>
  <c r="A401" i="4"/>
  <c r="MF400" i="4"/>
  <c r="FY400" i="4"/>
  <c r="FX400" i="4"/>
  <c r="FT400" i="4"/>
  <c r="FS400" i="4"/>
  <c r="FR400" i="4"/>
  <c r="FK400" i="4"/>
  <c r="FJ400" i="4"/>
  <c r="FI400" i="4"/>
  <c r="FH400" i="4"/>
  <c r="FV400" i="4" s="1"/>
  <c r="FG400" i="4"/>
  <c r="FU400" i="4" s="1"/>
  <c r="FF400" i="4"/>
  <c r="FW400" i="4" s="1"/>
  <c r="FE400" i="4"/>
  <c r="FD400" i="4"/>
  <c r="FC400" i="4"/>
  <c r="FB400" i="4"/>
  <c r="FQ400" i="4" s="1"/>
  <c r="DD400" i="4" s="1"/>
  <c r="FA400" i="4"/>
  <c r="EZ400" i="4"/>
  <c r="EY400" i="4"/>
  <c r="EX400" i="4"/>
  <c r="EW400" i="4"/>
  <c r="EV400" i="4"/>
  <c r="EU400" i="4"/>
  <c r="EB400" i="4"/>
  <c r="DZ400" i="4"/>
  <c r="DY400" i="4"/>
  <c r="EC400" i="4" s="1"/>
  <c r="DX400" i="4"/>
  <c r="DW400" i="4"/>
  <c r="EA400" i="4" s="1"/>
  <c r="DV400" i="4"/>
  <c r="DL400" i="4"/>
  <c r="DH400" i="4"/>
  <c r="DG400" i="4"/>
  <c r="DF400" i="4"/>
  <c r="DE400" i="4"/>
  <c r="DA400" i="4"/>
  <c r="CK400" i="4"/>
  <c r="CJ400" i="4"/>
  <c r="CG400" i="4"/>
  <c r="BS400" i="4"/>
  <c r="BP400" i="4"/>
  <c r="BO400" i="4"/>
  <c r="BL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Y400" i="4"/>
  <c r="B400" i="4"/>
  <c r="A400" i="4"/>
  <c r="QX399" i="4"/>
  <c r="FX399" i="4"/>
  <c r="FV399" i="4"/>
  <c r="FU399" i="4"/>
  <c r="FR399" i="4"/>
  <c r="FP399" i="4"/>
  <c r="FN399" i="4"/>
  <c r="FL399" i="4"/>
  <c r="FK399" i="4"/>
  <c r="FI399" i="4"/>
  <c r="FH399" i="4"/>
  <c r="FG399" i="4"/>
  <c r="FF399" i="4"/>
  <c r="FW399" i="4" s="1"/>
  <c r="FE399" i="4"/>
  <c r="FT399" i="4" s="1"/>
  <c r="FD399" i="4"/>
  <c r="FS399" i="4" s="1"/>
  <c r="FC399" i="4"/>
  <c r="FA399" i="4"/>
  <c r="EZ399" i="4"/>
  <c r="FO399" i="4" s="1"/>
  <c r="EY399" i="4"/>
  <c r="EX399" i="4"/>
  <c r="EW399" i="4"/>
  <c r="FM399" i="4" s="1"/>
  <c r="EV399" i="4"/>
  <c r="EU399" i="4"/>
  <c r="EB399" i="4"/>
  <c r="DY399" i="4"/>
  <c r="EC399" i="4" s="1"/>
  <c r="DX399" i="4"/>
  <c r="DW399" i="4"/>
  <c r="DU399" i="4" s="1"/>
  <c r="DV399" i="4"/>
  <c r="DZ399" i="4" s="1"/>
  <c r="DL399" i="4"/>
  <c r="DH399" i="4"/>
  <c r="DF399" i="4"/>
  <c r="DE399" i="4"/>
  <c r="DA399" i="4"/>
  <c r="CX399" i="4"/>
  <c r="FJ399" i="4" s="1"/>
  <c r="FY399" i="4" s="1"/>
  <c r="CV399" i="4"/>
  <c r="DG399" i="4" s="1"/>
  <c r="CU399" i="4"/>
  <c r="CO399" i="4"/>
  <c r="FB399" i="4" s="1"/>
  <c r="FQ399" i="4" s="1"/>
  <c r="CK399" i="4"/>
  <c r="BS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Y399" i="4"/>
  <c r="Q399" i="4"/>
  <c r="B399" i="4"/>
  <c r="A399" i="4"/>
  <c r="QX398" i="4"/>
  <c r="FX398" i="4"/>
  <c r="FU398" i="4"/>
  <c r="FT398" i="4"/>
  <c r="FP398" i="4"/>
  <c r="FO398" i="4"/>
  <c r="FJ398" i="4"/>
  <c r="FY398" i="4" s="1"/>
  <c r="FI398" i="4"/>
  <c r="FH398" i="4"/>
  <c r="FV398" i="4" s="1"/>
  <c r="FG398" i="4"/>
  <c r="FE398" i="4"/>
  <c r="FD398" i="4"/>
  <c r="FS398" i="4" s="1"/>
  <c r="FC398" i="4"/>
  <c r="FR398" i="4" s="1"/>
  <c r="FB398" i="4"/>
  <c r="FQ398" i="4" s="1"/>
  <c r="DC398" i="4" s="1"/>
  <c r="FA398" i="4"/>
  <c r="EZ398" i="4"/>
  <c r="EY398" i="4"/>
  <c r="EX398" i="4"/>
  <c r="FN398" i="4" s="1"/>
  <c r="EW398" i="4"/>
  <c r="FM398" i="4" s="1"/>
  <c r="EV398" i="4"/>
  <c r="FL398" i="4" s="1"/>
  <c r="EU398" i="4"/>
  <c r="FK398" i="4" s="1"/>
  <c r="EB398" i="4"/>
  <c r="DX398" i="4"/>
  <c r="DH398" i="4"/>
  <c r="DF398" i="4"/>
  <c r="DE398" i="4"/>
  <c r="DA398" i="4"/>
  <c r="CX398" i="4"/>
  <c r="CV398" i="4"/>
  <c r="FF398" i="4" s="1"/>
  <c r="FW398" i="4" s="1"/>
  <c r="CU398" i="4"/>
  <c r="CO398" i="4"/>
  <c r="CW398" i="4" s="1"/>
  <c r="CK398" i="4"/>
  <c r="CG398" i="4"/>
  <c r="BS398" i="4"/>
  <c r="BP398" i="4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Y398" i="4"/>
  <c r="Q398" i="4"/>
  <c r="B398" i="4"/>
  <c r="A398" i="4"/>
  <c r="QX397" i="4"/>
  <c r="FW397" i="4"/>
  <c r="FV397" i="4"/>
  <c r="FU397" i="4"/>
  <c r="FS397" i="4"/>
  <c r="FR397" i="4"/>
  <c r="FO397" i="4"/>
  <c r="FL397" i="4"/>
  <c r="FJ397" i="4"/>
  <c r="FY397" i="4" s="1"/>
  <c r="FI397" i="4"/>
  <c r="FX397" i="4" s="1"/>
  <c r="FH397" i="4"/>
  <c r="FG397" i="4"/>
  <c r="FF397" i="4"/>
  <c r="FE397" i="4"/>
  <c r="FT397" i="4" s="1"/>
  <c r="FD397" i="4"/>
  <c r="FC397" i="4"/>
  <c r="FA397" i="4"/>
  <c r="FP397" i="4" s="1"/>
  <c r="EZ397" i="4"/>
  <c r="EY397" i="4"/>
  <c r="EX397" i="4"/>
  <c r="FN397" i="4" s="1"/>
  <c r="EW397" i="4"/>
  <c r="FM397" i="4" s="1"/>
  <c r="EV397" i="4"/>
  <c r="EU397" i="4"/>
  <c r="FK397" i="4" s="1"/>
  <c r="EB397" i="4"/>
  <c r="DX397" i="4"/>
  <c r="DW397" i="4"/>
  <c r="EA397" i="4" s="1"/>
  <c r="DL397" i="4"/>
  <c r="DH397" i="4"/>
  <c r="DF397" i="4"/>
  <c r="DA397" i="4"/>
  <c r="CX397" i="4"/>
  <c r="CW397" i="4"/>
  <c r="CV397" i="4"/>
  <c r="CU397" i="4"/>
  <c r="DE397" i="4" s="1"/>
  <c r="CO397" i="4"/>
  <c r="FB397" i="4" s="1"/>
  <c r="FQ397" i="4" s="1"/>
  <c r="CK397" i="4"/>
  <c r="CG397" i="4"/>
  <c r="BS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Y397" i="4"/>
  <c r="Q397" i="4"/>
  <c r="B397" i="4"/>
  <c r="A397" i="4"/>
  <c r="QX396" i="4"/>
  <c r="FX396" i="4"/>
  <c r="FU396" i="4"/>
  <c r="FR396" i="4"/>
  <c r="FP396" i="4"/>
  <c r="FN396" i="4"/>
  <c r="FL396" i="4"/>
  <c r="FK396" i="4"/>
  <c r="FI396" i="4"/>
  <c r="FH396" i="4"/>
  <c r="FV396" i="4" s="1"/>
  <c r="FG396" i="4"/>
  <c r="FE396" i="4"/>
  <c r="FT396" i="4" s="1"/>
  <c r="FD396" i="4"/>
  <c r="FS396" i="4" s="1"/>
  <c r="FC396" i="4"/>
  <c r="FA396" i="4"/>
  <c r="EZ396" i="4"/>
  <c r="FO396" i="4" s="1"/>
  <c r="EY396" i="4"/>
  <c r="EX396" i="4"/>
  <c r="EW396" i="4"/>
  <c r="FM396" i="4" s="1"/>
  <c r="EV396" i="4"/>
  <c r="EU396" i="4"/>
  <c r="EB396" i="4"/>
  <c r="EA396" i="4"/>
  <c r="DX396" i="4"/>
  <c r="DW396" i="4"/>
  <c r="DV396" i="4"/>
  <c r="DZ396" i="4" s="1"/>
  <c r="DU396" i="4"/>
  <c r="DL396" i="4"/>
  <c r="DH396" i="4"/>
  <c r="DF396" i="4"/>
  <c r="DA396" i="4"/>
  <c r="CX396" i="4"/>
  <c r="FJ396" i="4" s="1"/>
  <c r="FY396" i="4" s="1"/>
  <c r="CV396" i="4"/>
  <c r="DG396" i="4" s="1"/>
  <c r="CU396" i="4"/>
  <c r="DE396" i="4" s="1"/>
  <c r="CO396" i="4"/>
  <c r="FB396" i="4" s="1"/>
  <c r="FQ396" i="4" s="1"/>
  <c r="CK396" i="4"/>
  <c r="CG396" i="4"/>
  <c r="BS396" i="4"/>
  <c r="BP396" i="4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Y396" i="4"/>
  <c r="Q396" i="4"/>
  <c r="B396" i="4"/>
  <c r="A396" i="4"/>
  <c r="QX395" i="4"/>
  <c r="FU395" i="4"/>
  <c r="FS395" i="4"/>
  <c r="FO395" i="4"/>
  <c r="FN395" i="4"/>
  <c r="FK395" i="4"/>
  <c r="FI395" i="4"/>
  <c r="FX395" i="4" s="1"/>
  <c r="FH395" i="4"/>
  <c r="FV395" i="4" s="1"/>
  <c r="FG395" i="4"/>
  <c r="FE395" i="4"/>
  <c r="FT395" i="4" s="1"/>
  <c r="FD395" i="4"/>
  <c r="FC395" i="4"/>
  <c r="FR395" i="4" s="1"/>
  <c r="FA395" i="4"/>
  <c r="FP395" i="4" s="1"/>
  <c r="EZ395" i="4"/>
  <c r="EY395" i="4"/>
  <c r="EX395" i="4"/>
  <c r="EW395" i="4"/>
  <c r="FM395" i="4" s="1"/>
  <c r="EV395" i="4"/>
  <c r="FL395" i="4" s="1"/>
  <c r="EU395" i="4"/>
  <c r="EB395" i="4"/>
  <c r="DX395" i="4"/>
  <c r="DL395" i="4"/>
  <c r="DH395" i="4"/>
  <c r="DF395" i="4"/>
  <c r="DE395" i="4"/>
  <c r="DA395" i="4"/>
  <c r="CW395" i="4"/>
  <c r="CU395" i="4"/>
  <c r="CO395" i="4"/>
  <c r="FB395" i="4" s="1"/>
  <c r="FQ395" i="4" s="1"/>
  <c r="CN395" i="4"/>
  <c r="DW395" i="4" s="1"/>
  <c r="CJ395" i="4"/>
  <c r="CG395" i="4"/>
  <c r="BS395" i="4"/>
  <c r="BP395" i="4"/>
  <c r="BO395" i="4"/>
  <c r="BN395" i="4"/>
  <c r="BM395" i="4"/>
  <c r="BL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Y395" i="4"/>
  <c r="Q395" i="4"/>
  <c r="B395" i="4"/>
  <c r="A395" i="4"/>
  <c r="QX394" i="4"/>
  <c r="FY394" i="4"/>
  <c r="FU394" i="4"/>
  <c r="FS394" i="4"/>
  <c r="FO394" i="4"/>
  <c r="FN394" i="4"/>
  <c r="FK394" i="4"/>
  <c r="FJ394" i="4"/>
  <c r="FI394" i="4"/>
  <c r="FX394" i="4" s="1"/>
  <c r="FH394" i="4"/>
  <c r="FV394" i="4" s="1"/>
  <c r="FG394" i="4"/>
  <c r="FE394" i="4"/>
  <c r="FT394" i="4" s="1"/>
  <c r="FD394" i="4"/>
  <c r="FC394" i="4"/>
  <c r="FR394" i="4" s="1"/>
  <c r="FA394" i="4"/>
  <c r="FP394" i="4" s="1"/>
  <c r="EZ394" i="4"/>
  <c r="EY394" i="4"/>
  <c r="EX394" i="4"/>
  <c r="EW394" i="4"/>
  <c r="FM394" i="4" s="1"/>
  <c r="EV394" i="4"/>
  <c r="FL394" i="4" s="1"/>
  <c r="EU394" i="4"/>
  <c r="EB394" i="4"/>
  <c r="EA394" i="4"/>
  <c r="DX394" i="4"/>
  <c r="DW394" i="4"/>
  <c r="DV394" i="4"/>
  <c r="DZ394" i="4" s="1"/>
  <c r="DU394" i="4"/>
  <c r="DL394" i="4"/>
  <c r="DH394" i="4"/>
  <c r="DF394" i="4"/>
  <c r="DE394" i="4"/>
  <c r="DA394" i="4"/>
  <c r="CX394" i="4"/>
  <c r="CW394" i="4"/>
  <c r="CU394" i="4"/>
  <c r="CO394" i="4"/>
  <c r="FB394" i="4" s="1"/>
  <c r="FQ394" i="4" s="1"/>
  <c r="CK394" i="4"/>
  <c r="BS394" i="4"/>
  <c r="BP394" i="4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Y394" i="4"/>
  <c r="Q394" i="4"/>
  <c r="B394" i="4"/>
  <c r="A394" i="4"/>
  <c r="QX393" i="4"/>
  <c r="FU393" i="4"/>
  <c r="FS393" i="4"/>
  <c r="FO393" i="4"/>
  <c r="FN393" i="4"/>
  <c r="FL393" i="4"/>
  <c r="FI393" i="4"/>
  <c r="FX393" i="4" s="1"/>
  <c r="FH393" i="4"/>
  <c r="FV393" i="4" s="1"/>
  <c r="FG393" i="4"/>
  <c r="FE393" i="4"/>
  <c r="FT393" i="4" s="1"/>
  <c r="FD393" i="4"/>
  <c r="FC393" i="4"/>
  <c r="FR393" i="4" s="1"/>
  <c r="FA393" i="4"/>
  <c r="FP393" i="4" s="1"/>
  <c r="EZ393" i="4"/>
  <c r="EY393" i="4"/>
  <c r="EX393" i="4"/>
  <c r="EW393" i="4"/>
  <c r="FM393" i="4" s="1"/>
  <c r="EV393" i="4"/>
  <c r="EU393" i="4"/>
  <c r="FK393" i="4" s="1"/>
  <c r="DX393" i="4"/>
  <c r="EB393" i="4" s="1"/>
  <c r="DW393" i="4"/>
  <c r="DV393" i="4" s="1"/>
  <c r="DZ393" i="4" s="1"/>
  <c r="DL393" i="4"/>
  <c r="DH393" i="4"/>
  <c r="DF393" i="4"/>
  <c r="DA393" i="4"/>
  <c r="CX393" i="4"/>
  <c r="FJ393" i="4" s="1"/>
  <c r="FY393" i="4" s="1"/>
  <c r="CW393" i="4"/>
  <c r="CU393" i="4"/>
  <c r="DE393" i="4" s="1"/>
  <c r="CO393" i="4"/>
  <c r="CV393" i="4" s="1"/>
  <c r="CK393" i="4"/>
  <c r="BS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Y393" i="4"/>
  <c r="Q393" i="4"/>
  <c r="B393" i="4"/>
  <c r="A393" i="4"/>
  <c r="QX392" i="4"/>
  <c r="FY392" i="4"/>
  <c r="FV392" i="4"/>
  <c r="FS392" i="4"/>
  <c r="FO392" i="4"/>
  <c r="FM392" i="4"/>
  <c r="FL392" i="4"/>
  <c r="FJ392" i="4"/>
  <c r="FI392" i="4"/>
  <c r="FX392" i="4" s="1"/>
  <c r="FH392" i="4"/>
  <c r="FG392" i="4"/>
  <c r="FU392" i="4" s="1"/>
  <c r="FE392" i="4"/>
  <c r="FT392" i="4" s="1"/>
  <c r="FD392" i="4"/>
  <c r="FC392" i="4"/>
  <c r="FR392" i="4" s="1"/>
  <c r="FA392" i="4"/>
  <c r="FP392" i="4" s="1"/>
  <c r="EZ392" i="4"/>
  <c r="EY392" i="4"/>
  <c r="EX392" i="4"/>
  <c r="FN392" i="4" s="1"/>
  <c r="EW392" i="4"/>
  <c r="EV392" i="4"/>
  <c r="EU392" i="4"/>
  <c r="FK392" i="4" s="1"/>
  <c r="EA392" i="4"/>
  <c r="DX392" i="4"/>
  <c r="EB392" i="4" s="1"/>
  <c r="DW392" i="4"/>
  <c r="DU392" i="4"/>
  <c r="DL392" i="4"/>
  <c r="DH392" i="4"/>
  <c r="DG392" i="4"/>
  <c r="DF392" i="4"/>
  <c r="DE392" i="4"/>
  <c r="DA392" i="4"/>
  <c r="CX392" i="4"/>
  <c r="CW392" i="4"/>
  <c r="CV392" i="4"/>
  <c r="CU392" i="4"/>
  <c r="CO392" i="4"/>
  <c r="FB392" i="4" s="1"/>
  <c r="FQ392" i="4" s="1"/>
  <c r="CK392" i="4"/>
  <c r="CG392" i="4"/>
  <c r="BS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Y392" i="4"/>
  <c r="Q392" i="4"/>
  <c r="B392" i="4"/>
  <c r="A392" i="4"/>
  <c r="QX391" i="4"/>
  <c r="FX391" i="4"/>
  <c r="FV391" i="4"/>
  <c r="FU391" i="4"/>
  <c r="FT391" i="4"/>
  <c r="FR391" i="4"/>
  <c r="FP391" i="4"/>
  <c r="FL391" i="4"/>
  <c r="FK391" i="4"/>
  <c r="FI391" i="4"/>
  <c r="FH391" i="4"/>
  <c r="FG391" i="4"/>
  <c r="FF391" i="4"/>
  <c r="FW391" i="4" s="1"/>
  <c r="FE391" i="4"/>
  <c r="FD391" i="4"/>
  <c r="FS391" i="4" s="1"/>
  <c r="FC391" i="4"/>
  <c r="FA391" i="4"/>
  <c r="EZ391" i="4"/>
  <c r="FO391" i="4" s="1"/>
  <c r="EY391" i="4"/>
  <c r="EX391" i="4"/>
  <c r="FN391" i="4" s="1"/>
  <c r="EW391" i="4"/>
  <c r="FM391" i="4" s="1"/>
  <c r="EV391" i="4"/>
  <c r="EU391" i="4"/>
  <c r="EB391" i="4"/>
  <c r="DX391" i="4"/>
  <c r="DW391" i="4"/>
  <c r="DV391" i="4" s="1"/>
  <c r="DZ391" i="4" s="1"/>
  <c r="DL391" i="4"/>
  <c r="DH391" i="4"/>
  <c r="DF391" i="4"/>
  <c r="DA391" i="4"/>
  <c r="CX391" i="4"/>
  <c r="FJ391" i="4" s="1"/>
  <c r="FY391" i="4" s="1"/>
  <c r="CW391" i="4"/>
  <c r="CV391" i="4"/>
  <c r="CU391" i="4"/>
  <c r="DE391" i="4" s="1"/>
  <c r="CO391" i="4"/>
  <c r="FB391" i="4" s="1"/>
  <c r="FQ391" i="4" s="1"/>
  <c r="CN391" i="4"/>
  <c r="CK391" i="4"/>
  <c r="CJ391" i="4"/>
  <c r="BS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Y391" i="4"/>
  <c r="Q391" i="4"/>
  <c r="B391" i="4"/>
  <c r="A391" i="4"/>
  <c r="QX390" i="4"/>
  <c r="FX390" i="4"/>
  <c r="FV390" i="4"/>
  <c r="FU390" i="4"/>
  <c r="FT390" i="4"/>
  <c r="FR390" i="4"/>
  <c r="FP390" i="4"/>
  <c r="FL390" i="4"/>
  <c r="FK390" i="4"/>
  <c r="FI390" i="4"/>
  <c r="FH390" i="4"/>
  <c r="FG390" i="4"/>
  <c r="FF390" i="4"/>
  <c r="FW390" i="4" s="1"/>
  <c r="FE390" i="4"/>
  <c r="FD390" i="4"/>
  <c r="FS390" i="4" s="1"/>
  <c r="FC390" i="4"/>
  <c r="FA390" i="4"/>
  <c r="EZ390" i="4"/>
  <c r="FO390" i="4" s="1"/>
  <c r="EY390" i="4"/>
  <c r="EX390" i="4"/>
  <c r="FN390" i="4" s="1"/>
  <c r="EW390" i="4"/>
  <c r="FM390" i="4" s="1"/>
  <c r="EV390" i="4"/>
  <c r="EU390" i="4"/>
  <c r="EB390" i="4"/>
  <c r="DX390" i="4"/>
  <c r="DW390" i="4"/>
  <c r="DV390" i="4" s="1"/>
  <c r="DZ390" i="4" s="1"/>
  <c r="DL390" i="4"/>
  <c r="DH390" i="4"/>
  <c r="DF390" i="4"/>
  <c r="DA390" i="4"/>
  <c r="CX390" i="4"/>
  <c r="FJ390" i="4" s="1"/>
  <c r="FY390" i="4" s="1"/>
  <c r="CW390" i="4"/>
  <c r="CV390" i="4"/>
  <c r="CU390" i="4"/>
  <c r="DE390" i="4" s="1"/>
  <c r="CO390" i="4"/>
  <c r="FB390" i="4" s="1"/>
  <c r="FQ390" i="4" s="1"/>
  <c r="CN390" i="4"/>
  <c r="CK390" i="4"/>
  <c r="CJ390" i="4"/>
  <c r="BS390" i="4"/>
  <c r="BP390" i="4"/>
  <c r="BO390" i="4"/>
  <c r="BN390" i="4"/>
  <c r="BM390" i="4"/>
  <c r="BL390" i="4"/>
  <c r="BK390" i="4"/>
  <c r="BJ390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Y390" i="4"/>
  <c r="Q390" i="4"/>
  <c r="B390" i="4"/>
  <c r="A390" i="4"/>
  <c r="QX389" i="4"/>
  <c r="FX389" i="4"/>
  <c r="FV389" i="4"/>
  <c r="FU389" i="4"/>
  <c r="FT389" i="4"/>
  <c r="FR389" i="4"/>
  <c r="FP389" i="4"/>
  <c r="FL389" i="4"/>
  <c r="FK389" i="4"/>
  <c r="FI389" i="4"/>
  <c r="FH389" i="4"/>
  <c r="FG389" i="4"/>
  <c r="FF389" i="4"/>
  <c r="FW389" i="4" s="1"/>
  <c r="FE389" i="4"/>
  <c r="FD389" i="4"/>
  <c r="FS389" i="4" s="1"/>
  <c r="FC389" i="4"/>
  <c r="FA389" i="4"/>
  <c r="EZ389" i="4"/>
  <c r="FO389" i="4" s="1"/>
  <c r="EY389" i="4"/>
  <c r="EX389" i="4"/>
  <c r="FN389" i="4" s="1"/>
  <c r="EW389" i="4"/>
  <c r="FM389" i="4" s="1"/>
  <c r="EV389" i="4"/>
  <c r="EU389" i="4"/>
  <c r="EB389" i="4"/>
  <c r="DX389" i="4"/>
  <c r="DW389" i="4"/>
  <c r="DV389" i="4" s="1"/>
  <c r="DZ389" i="4" s="1"/>
  <c r="DL389" i="4"/>
  <c r="DH389" i="4"/>
  <c r="DF389" i="4"/>
  <c r="DA389" i="4"/>
  <c r="CX389" i="4"/>
  <c r="FJ389" i="4" s="1"/>
  <c r="FY389" i="4" s="1"/>
  <c r="CV389" i="4"/>
  <c r="DY389" i="4" s="1"/>
  <c r="EC389" i="4" s="1"/>
  <c r="CU389" i="4"/>
  <c r="DE389" i="4" s="1"/>
  <c r="CO389" i="4"/>
  <c r="FB389" i="4" s="1"/>
  <c r="FQ389" i="4" s="1"/>
  <c r="CK389" i="4"/>
  <c r="CG389" i="4"/>
  <c r="BS389" i="4"/>
  <c r="BP389" i="4"/>
  <c r="BO389" i="4"/>
  <c r="BN389" i="4"/>
  <c r="BM389" i="4"/>
  <c r="BL389" i="4"/>
  <c r="BK389" i="4"/>
  <c r="BJ389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Y389" i="4"/>
  <c r="Q389" i="4"/>
  <c r="B389" i="4"/>
  <c r="A389" i="4"/>
  <c r="QX388" i="4"/>
  <c r="FY388" i="4"/>
  <c r="FU388" i="4"/>
  <c r="FS388" i="4"/>
  <c r="FO388" i="4"/>
  <c r="FN388" i="4"/>
  <c r="FK388" i="4"/>
  <c r="FJ388" i="4"/>
  <c r="FI388" i="4"/>
  <c r="FX388" i="4" s="1"/>
  <c r="FH388" i="4"/>
  <c r="FV388" i="4" s="1"/>
  <c r="FG388" i="4"/>
  <c r="FE388" i="4"/>
  <c r="FT388" i="4" s="1"/>
  <c r="FD388" i="4"/>
  <c r="FC388" i="4"/>
  <c r="FR388" i="4" s="1"/>
  <c r="FA388" i="4"/>
  <c r="FP388" i="4" s="1"/>
  <c r="EZ388" i="4"/>
  <c r="EY388" i="4"/>
  <c r="EX388" i="4"/>
  <c r="EW388" i="4"/>
  <c r="FM388" i="4" s="1"/>
  <c r="EV388" i="4"/>
  <c r="FL388" i="4" s="1"/>
  <c r="EU388" i="4"/>
  <c r="EB388" i="4"/>
  <c r="EA388" i="4"/>
  <c r="DX388" i="4"/>
  <c r="DW388" i="4"/>
  <c r="DV388" i="4"/>
  <c r="DZ388" i="4" s="1"/>
  <c r="DU388" i="4"/>
  <c r="DL388" i="4"/>
  <c r="DH388" i="4"/>
  <c r="DF388" i="4"/>
  <c r="DE388" i="4"/>
  <c r="DA388" i="4"/>
  <c r="CX388" i="4"/>
  <c r="CW388" i="4"/>
  <c r="CU388" i="4"/>
  <c r="CO388" i="4"/>
  <c r="FB388" i="4" s="1"/>
  <c r="FQ388" i="4" s="1"/>
  <c r="CK388" i="4"/>
  <c r="CG388" i="4"/>
  <c r="BS388" i="4"/>
  <c r="BP388" i="4"/>
  <c r="BO388" i="4"/>
  <c r="BN388" i="4"/>
  <c r="BM388" i="4"/>
  <c r="BL388" i="4"/>
  <c r="BK388" i="4"/>
  <c r="BJ388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V388" i="4"/>
  <c r="Y388" i="4"/>
  <c r="Q388" i="4"/>
  <c r="B388" i="4"/>
  <c r="A388" i="4"/>
  <c r="QX387" i="4"/>
  <c r="FX387" i="4"/>
  <c r="FV387" i="4"/>
  <c r="FT387" i="4"/>
  <c r="FR387" i="4"/>
  <c r="FP387" i="4"/>
  <c r="FM387" i="4"/>
  <c r="FJ387" i="4"/>
  <c r="FY387" i="4" s="1"/>
  <c r="FI387" i="4"/>
  <c r="FH387" i="4"/>
  <c r="FG387" i="4"/>
  <c r="FU387" i="4" s="1"/>
  <c r="FE387" i="4"/>
  <c r="FD387" i="4"/>
  <c r="FS387" i="4" s="1"/>
  <c r="FC387" i="4"/>
  <c r="FA387" i="4"/>
  <c r="EZ387" i="4"/>
  <c r="FO387" i="4" s="1"/>
  <c r="EY387" i="4"/>
  <c r="EX387" i="4"/>
  <c r="FN387" i="4" s="1"/>
  <c r="EW387" i="4"/>
  <c r="EV387" i="4"/>
  <c r="FL387" i="4" s="1"/>
  <c r="EU387" i="4"/>
  <c r="FK387" i="4" s="1"/>
  <c r="EA387" i="4"/>
  <c r="DX387" i="4"/>
  <c r="EB387" i="4" s="1"/>
  <c r="DW387" i="4"/>
  <c r="DV387" i="4" s="1"/>
  <c r="DZ387" i="4" s="1"/>
  <c r="DU387" i="4"/>
  <c r="DL387" i="4"/>
  <c r="DH387" i="4"/>
  <c r="DF387" i="4"/>
  <c r="DA387" i="4"/>
  <c r="CX387" i="4"/>
  <c r="CV387" i="4"/>
  <c r="DG387" i="4" s="1"/>
  <c r="CU387" i="4"/>
  <c r="DE387" i="4" s="1"/>
  <c r="CO387" i="4"/>
  <c r="CW387" i="4" s="1"/>
  <c r="CK387" i="4"/>
  <c r="CG387" i="4"/>
  <c r="BS387" i="4"/>
  <c r="BP387" i="4"/>
  <c r="BO387" i="4"/>
  <c r="BN387" i="4"/>
  <c r="BM387" i="4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Y387" i="4"/>
  <c r="Q387" i="4"/>
  <c r="B387" i="4"/>
  <c r="A387" i="4"/>
  <c r="QX386" i="4"/>
  <c r="FU386" i="4"/>
  <c r="FS386" i="4"/>
  <c r="FO386" i="4"/>
  <c r="FN386" i="4"/>
  <c r="FL386" i="4"/>
  <c r="FI386" i="4"/>
  <c r="FX386" i="4" s="1"/>
  <c r="FH386" i="4"/>
  <c r="FV386" i="4" s="1"/>
  <c r="FG386" i="4"/>
  <c r="FE386" i="4"/>
  <c r="FT386" i="4" s="1"/>
  <c r="FD386" i="4"/>
  <c r="FC386" i="4"/>
  <c r="FR386" i="4" s="1"/>
  <c r="FA386" i="4"/>
  <c r="FP386" i="4" s="1"/>
  <c r="EZ386" i="4"/>
  <c r="EY386" i="4"/>
  <c r="EX386" i="4"/>
  <c r="EW386" i="4"/>
  <c r="FM386" i="4" s="1"/>
  <c r="EV386" i="4"/>
  <c r="EU386" i="4"/>
  <c r="FK386" i="4" s="1"/>
  <c r="DX386" i="4"/>
  <c r="EB386" i="4" s="1"/>
  <c r="DW386" i="4"/>
  <c r="DV386" i="4" s="1"/>
  <c r="DZ386" i="4" s="1"/>
  <c r="DL386" i="4"/>
  <c r="DH386" i="4"/>
  <c r="DF386" i="4"/>
  <c r="DA386" i="4"/>
  <c r="CX386" i="4"/>
  <c r="FJ386" i="4" s="1"/>
  <c r="FY386" i="4" s="1"/>
  <c r="CW386" i="4"/>
  <c r="CU386" i="4"/>
  <c r="DE386" i="4" s="1"/>
  <c r="CO386" i="4"/>
  <c r="CV386" i="4" s="1"/>
  <c r="CK386" i="4"/>
  <c r="BS386" i="4"/>
  <c r="BP386" i="4"/>
  <c r="BO386" i="4"/>
  <c r="BN386" i="4"/>
  <c r="BM386" i="4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Q386" i="4"/>
  <c r="Y386" i="4"/>
  <c r="Q386" i="4"/>
  <c r="B386" i="4"/>
  <c r="A386" i="4"/>
  <c r="QX385" i="4"/>
  <c r="FX385" i="4"/>
  <c r="FT385" i="4"/>
  <c r="FR385" i="4"/>
  <c r="FP385" i="4"/>
  <c r="FN385" i="4"/>
  <c r="FM385" i="4"/>
  <c r="FK385" i="4"/>
  <c r="FI385" i="4"/>
  <c r="FH385" i="4"/>
  <c r="FV385" i="4" s="1"/>
  <c r="FG385" i="4"/>
  <c r="FU385" i="4" s="1"/>
  <c r="FE385" i="4"/>
  <c r="FD385" i="4"/>
  <c r="FS385" i="4" s="1"/>
  <c r="FC385" i="4"/>
  <c r="FA385" i="4"/>
  <c r="EZ385" i="4"/>
  <c r="FO385" i="4" s="1"/>
  <c r="EY385" i="4"/>
  <c r="EX385" i="4"/>
  <c r="EW385" i="4"/>
  <c r="EV385" i="4"/>
  <c r="FL385" i="4" s="1"/>
  <c r="EU385" i="4"/>
  <c r="EB385" i="4"/>
  <c r="DX385" i="4"/>
  <c r="DW385" i="4"/>
  <c r="EA385" i="4" s="1"/>
  <c r="DV385" i="4"/>
  <c r="DZ385" i="4" s="1"/>
  <c r="DL385" i="4"/>
  <c r="DH385" i="4"/>
  <c r="DF385" i="4"/>
  <c r="DE385" i="4"/>
  <c r="DA385" i="4"/>
  <c r="CX385" i="4"/>
  <c r="FJ385" i="4" s="1"/>
  <c r="FY385" i="4" s="1"/>
  <c r="CU385" i="4"/>
  <c r="CO385" i="4"/>
  <c r="CW385" i="4" s="1"/>
  <c r="CK385" i="4"/>
  <c r="CG385" i="4"/>
  <c r="BS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Y385" i="4"/>
  <c r="Q385" i="4"/>
  <c r="B385" i="4"/>
  <c r="A385" i="4"/>
  <c r="QX384" i="4"/>
  <c r="FY384" i="4"/>
  <c r="FV384" i="4"/>
  <c r="FS384" i="4"/>
  <c r="FO384" i="4"/>
  <c r="FM384" i="4"/>
  <c r="FL384" i="4"/>
  <c r="FJ384" i="4"/>
  <c r="FI384" i="4"/>
  <c r="FX384" i="4" s="1"/>
  <c r="FH384" i="4"/>
  <c r="FG384" i="4"/>
  <c r="FU384" i="4" s="1"/>
  <c r="FE384" i="4"/>
  <c r="FT384" i="4" s="1"/>
  <c r="FD384" i="4"/>
  <c r="FC384" i="4"/>
  <c r="FR384" i="4" s="1"/>
  <c r="FA384" i="4"/>
  <c r="FP384" i="4" s="1"/>
  <c r="EZ384" i="4"/>
  <c r="EY384" i="4"/>
  <c r="EX384" i="4"/>
  <c r="FN384" i="4" s="1"/>
  <c r="EW384" i="4"/>
  <c r="EV384" i="4"/>
  <c r="EU384" i="4"/>
  <c r="FK384" i="4" s="1"/>
  <c r="EA384" i="4"/>
  <c r="DX384" i="4"/>
  <c r="EB384" i="4" s="1"/>
  <c r="DW384" i="4"/>
  <c r="DU384" i="4"/>
  <c r="DL384" i="4"/>
  <c r="DH384" i="4"/>
  <c r="DG384" i="4"/>
  <c r="DF384" i="4"/>
  <c r="DE384" i="4"/>
  <c r="DA384" i="4"/>
  <c r="CX384" i="4"/>
  <c r="CW384" i="4"/>
  <c r="CV384" i="4"/>
  <c r="CU384" i="4"/>
  <c r="CO384" i="4"/>
  <c r="FB384" i="4" s="1"/>
  <c r="FQ384" i="4" s="1"/>
  <c r="CK384" i="4"/>
  <c r="CG384" i="4"/>
  <c r="BS384" i="4"/>
  <c r="BP384" i="4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Y384" i="4"/>
  <c r="Q384" i="4"/>
  <c r="B384" i="4"/>
  <c r="A384" i="4"/>
  <c r="QX383" i="4"/>
  <c r="FX383" i="4"/>
  <c r="FV383" i="4"/>
  <c r="FU383" i="4"/>
  <c r="FT383" i="4"/>
  <c r="FR383" i="4"/>
  <c r="FP383" i="4"/>
  <c r="FL383" i="4"/>
  <c r="FK383" i="4"/>
  <c r="FI383" i="4"/>
  <c r="FH383" i="4"/>
  <c r="FG383" i="4"/>
  <c r="FF383" i="4"/>
  <c r="FW383" i="4" s="1"/>
  <c r="FE383" i="4"/>
  <c r="FD383" i="4"/>
  <c r="FS383" i="4" s="1"/>
  <c r="FC383" i="4"/>
  <c r="FA383" i="4"/>
  <c r="EZ383" i="4"/>
  <c r="FO383" i="4" s="1"/>
  <c r="EY383" i="4"/>
  <c r="EX383" i="4"/>
  <c r="FN383" i="4" s="1"/>
  <c r="EW383" i="4"/>
  <c r="FM383" i="4" s="1"/>
  <c r="EV383" i="4"/>
  <c r="EU383" i="4"/>
  <c r="EB383" i="4"/>
  <c r="DX383" i="4"/>
  <c r="DW383" i="4"/>
  <c r="DV383" i="4" s="1"/>
  <c r="DZ383" i="4" s="1"/>
  <c r="DL383" i="4"/>
  <c r="DH383" i="4"/>
  <c r="DF383" i="4"/>
  <c r="DA383" i="4"/>
  <c r="CX383" i="4"/>
  <c r="FJ383" i="4" s="1"/>
  <c r="FY383" i="4" s="1"/>
  <c r="CV383" i="4"/>
  <c r="DY383" i="4" s="1"/>
  <c r="EC383" i="4" s="1"/>
  <c r="CU383" i="4"/>
  <c r="DE383" i="4" s="1"/>
  <c r="CO383" i="4"/>
  <c r="FB383" i="4" s="1"/>
  <c r="FQ383" i="4" s="1"/>
  <c r="CK383" i="4"/>
  <c r="CG383" i="4"/>
  <c r="BS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Y383" i="4"/>
  <c r="Q383" i="4"/>
  <c r="B383" i="4"/>
  <c r="A383" i="4"/>
  <c r="QX382" i="4"/>
  <c r="FY382" i="4"/>
  <c r="FU382" i="4"/>
  <c r="FS382" i="4"/>
  <c r="FO382" i="4"/>
  <c r="FN382" i="4"/>
  <c r="FK382" i="4"/>
  <c r="FJ382" i="4"/>
  <c r="FI382" i="4"/>
  <c r="FX382" i="4" s="1"/>
  <c r="FH382" i="4"/>
  <c r="FV382" i="4" s="1"/>
  <c r="FG382" i="4"/>
  <c r="FE382" i="4"/>
  <c r="FT382" i="4" s="1"/>
  <c r="FD382" i="4"/>
  <c r="FC382" i="4"/>
  <c r="FR382" i="4" s="1"/>
  <c r="FA382" i="4"/>
  <c r="FP382" i="4" s="1"/>
  <c r="EZ382" i="4"/>
  <c r="EY382" i="4"/>
  <c r="EX382" i="4"/>
  <c r="EW382" i="4"/>
  <c r="FM382" i="4" s="1"/>
  <c r="EV382" i="4"/>
  <c r="FL382" i="4" s="1"/>
  <c r="EU382" i="4"/>
  <c r="EB382" i="4"/>
  <c r="EA382" i="4"/>
  <c r="DX382" i="4"/>
  <c r="DW382" i="4"/>
  <c r="DV382" i="4"/>
  <c r="DZ382" i="4" s="1"/>
  <c r="DU382" i="4"/>
  <c r="DL382" i="4"/>
  <c r="DH382" i="4"/>
  <c r="DF382" i="4"/>
  <c r="DE382" i="4"/>
  <c r="DA382" i="4"/>
  <c r="CX382" i="4"/>
  <c r="CW382" i="4"/>
  <c r="CU382" i="4"/>
  <c r="CO382" i="4"/>
  <c r="FB382" i="4" s="1"/>
  <c r="FQ382" i="4" s="1"/>
  <c r="CK382" i="4"/>
  <c r="CG382" i="4"/>
  <c r="BS382" i="4"/>
  <c r="BR382" i="4"/>
  <c r="BP382" i="4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Q382" i="4"/>
  <c r="Y382" i="4"/>
  <c r="Q382" i="4"/>
  <c r="B382" i="4"/>
  <c r="A382" i="4"/>
  <c r="QX381" i="4"/>
  <c r="FX381" i="4"/>
  <c r="FV381" i="4"/>
  <c r="FU381" i="4"/>
  <c r="FT381" i="4"/>
  <c r="FR381" i="4"/>
  <c r="FP381" i="4"/>
  <c r="FL381" i="4"/>
  <c r="FK381" i="4"/>
  <c r="FI381" i="4"/>
  <c r="FH381" i="4"/>
  <c r="FG381" i="4"/>
  <c r="FF381" i="4"/>
  <c r="FW381" i="4" s="1"/>
  <c r="FE381" i="4"/>
  <c r="FD381" i="4"/>
  <c r="FS381" i="4" s="1"/>
  <c r="FC381" i="4"/>
  <c r="FA381" i="4"/>
  <c r="EZ381" i="4"/>
  <c r="FO381" i="4" s="1"/>
  <c r="EY381" i="4"/>
  <c r="EX381" i="4"/>
  <c r="FN381" i="4" s="1"/>
  <c r="EW381" i="4"/>
  <c r="FM381" i="4" s="1"/>
  <c r="EV381" i="4"/>
  <c r="EU381" i="4"/>
  <c r="EB381" i="4"/>
  <c r="DX381" i="4"/>
  <c r="DW381" i="4"/>
  <c r="DV381" i="4" s="1"/>
  <c r="DZ381" i="4" s="1"/>
  <c r="DL381" i="4"/>
  <c r="DH381" i="4"/>
  <c r="DF381" i="4"/>
  <c r="DA381" i="4"/>
  <c r="CX381" i="4"/>
  <c r="FJ381" i="4" s="1"/>
  <c r="FY381" i="4" s="1"/>
  <c r="CV381" i="4"/>
  <c r="DY381" i="4" s="1"/>
  <c r="EC381" i="4" s="1"/>
  <c r="CU381" i="4"/>
  <c r="DE381" i="4" s="1"/>
  <c r="CO381" i="4"/>
  <c r="FB381" i="4" s="1"/>
  <c r="FQ381" i="4" s="1"/>
  <c r="CK381" i="4"/>
  <c r="CG381" i="4"/>
  <c r="BR381" i="4"/>
  <c r="BS381" i="4" s="1"/>
  <c r="BP381" i="4"/>
  <c r="BO381" i="4"/>
  <c r="BN381" i="4"/>
  <c r="BM381" i="4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Q381" i="4"/>
  <c r="Y381" i="4"/>
  <c r="Q381" i="4"/>
  <c r="B381" i="4"/>
  <c r="A381" i="4"/>
  <c r="QX380" i="4"/>
  <c r="FY380" i="4"/>
  <c r="FV380" i="4"/>
  <c r="FS380" i="4"/>
  <c r="FO380" i="4"/>
  <c r="FM380" i="4"/>
  <c r="FL380" i="4"/>
  <c r="FJ380" i="4"/>
  <c r="FI380" i="4"/>
  <c r="FX380" i="4" s="1"/>
  <c r="FH380" i="4"/>
  <c r="FG380" i="4"/>
  <c r="FU380" i="4" s="1"/>
  <c r="FE380" i="4"/>
  <c r="FT380" i="4" s="1"/>
  <c r="FD380" i="4"/>
  <c r="FC380" i="4"/>
  <c r="FR380" i="4" s="1"/>
  <c r="FA380" i="4"/>
  <c r="FP380" i="4" s="1"/>
  <c r="EZ380" i="4"/>
  <c r="EY380" i="4"/>
  <c r="EX380" i="4"/>
  <c r="FN380" i="4" s="1"/>
  <c r="EW380" i="4"/>
  <c r="EV380" i="4"/>
  <c r="EU380" i="4"/>
  <c r="FK380" i="4" s="1"/>
  <c r="EA380" i="4"/>
  <c r="DX380" i="4"/>
  <c r="EB380" i="4" s="1"/>
  <c r="DW380" i="4"/>
  <c r="DU380" i="4"/>
  <c r="DL380" i="4"/>
  <c r="DH380" i="4"/>
  <c r="DG380" i="4"/>
  <c r="DF380" i="4"/>
  <c r="DE380" i="4"/>
  <c r="DA380" i="4"/>
  <c r="CX380" i="4"/>
  <c r="CW380" i="4"/>
  <c r="CV380" i="4"/>
  <c r="CU380" i="4"/>
  <c r="CO380" i="4"/>
  <c r="FB380" i="4" s="1"/>
  <c r="FQ380" i="4" s="1"/>
  <c r="CK380" i="4"/>
  <c r="CG380" i="4"/>
  <c r="BS380" i="4"/>
  <c r="BP380" i="4"/>
  <c r="BO380" i="4"/>
  <c r="BN380" i="4"/>
  <c r="BM380" i="4"/>
  <c r="BL380" i="4"/>
  <c r="BK380" i="4"/>
  <c r="BJ380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Q380" i="4"/>
  <c r="Y380" i="4"/>
  <c r="Q380" i="4"/>
  <c r="B380" i="4"/>
  <c r="A380" i="4"/>
  <c r="QX379" i="4"/>
  <c r="FY379" i="4"/>
  <c r="FX379" i="4"/>
  <c r="FV379" i="4"/>
  <c r="FS379" i="4"/>
  <c r="FO379" i="4"/>
  <c r="FM379" i="4"/>
  <c r="FJ379" i="4"/>
  <c r="FI379" i="4"/>
  <c r="FH379" i="4"/>
  <c r="FG379" i="4"/>
  <c r="FU379" i="4" s="1"/>
  <c r="FE379" i="4"/>
  <c r="FT379" i="4" s="1"/>
  <c r="FD379" i="4"/>
  <c r="FC379" i="4"/>
  <c r="FR379" i="4" s="1"/>
  <c r="FA379" i="4"/>
  <c r="FP379" i="4" s="1"/>
  <c r="EZ379" i="4"/>
  <c r="EY379" i="4"/>
  <c r="EX379" i="4"/>
  <c r="FN379" i="4" s="1"/>
  <c r="EW379" i="4"/>
  <c r="EV379" i="4"/>
  <c r="FL379" i="4" s="1"/>
  <c r="EU379" i="4"/>
  <c r="FK379" i="4" s="1"/>
  <c r="EA379" i="4"/>
  <c r="DX379" i="4"/>
  <c r="EB379" i="4" s="1"/>
  <c r="DW379" i="4"/>
  <c r="DU379" i="4"/>
  <c r="DL379" i="4"/>
  <c r="DH379" i="4"/>
  <c r="DG379" i="4"/>
  <c r="DF379" i="4"/>
  <c r="DE379" i="4"/>
  <c r="DA379" i="4"/>
  <c r="CX379" i="4"/>
  <c r="CW379" i="4"/>
  <c r="CV379" i="4"/>
  <c r="CU379" i="4"/>
  <c r="CO379" i="4"/>
  <c r="FB379" i="4" s="1"/>
  <c r="FQ379" i="4" s="1"/>
  <c r="CG379" i="4"/>
  <c r="BP379" i="4"/>
  <c r="BO379" i="4"/>
  <c r="BN379" i="4"/>
  <c r="BM379" i="4"/>
  <c r="BL379" i="4"/>
  <c r="BK379" i="4"/>
  <c r="BJ379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Y379" i="4"/>
  <c r="Q379" i="4"/>
  <c r="B379" i="4"/>
  <c r="A379" i="4"/>
  <c r="QX378" i="4"/>
  <c r="FX378" i="4"/>
  <c r="FV378" i="4"/>
  <c r="FT378" i="4"/>
  <c r="FR378" i="4"/>
  <c r="FP378" i="4"/>
  <c r="FM378" i="4"/>
  <c r="FJ378" i="4"/>
  <c r="FY378" i="4" s="1"/>
  <c r="FI378" i="4"/>
  <c r="FH378" i="4"/>
  <c r="FG378" i="4"/>
  <c r="FU378" i="4" s="1"/>
  <c r="FE378" i="4"/>
  <c r="FD378" i="4"/>
  <c r="FS378" i="4" s="1"/>
  <c r="FC378" i="4"/>
  <c r="FA378" i="4"/>
  <c r="EZ378" i="4"/>
  <c r="FO378" i="4" s="1"/>
  <c r="EY378" i="4"/>
  <c r="EX378" i="4"/>
  <c r="FN378" i="4" s="1"/>
  <c r="EW378" i="4"/>
  <c r="EV378" i="4"/>
  <c r="FL378" i="4" s="1"/>
  <c r="EU378" i="4"/>
  <c r="FK378" i="4" s="1"/>
  <c r="EA378" i="4"/>
  <c r="DX378" i="4"/>
  <c r="EB378" i="4" s="1"/>
  <c r="DW378" i="4"/>
  <c r="DV378" i="4" s="1"/>
  <c r="DZ378" i="4" s="1"/>
  <c r="DU378" i="4"/>
  <c r="DL378" i="4"/>
  <c r="DH378" i="4"/>
  <c r="DF378" i="4"/>
  <c r="DA378" i="4"/>
  <c r="CX378" i="4"/>
  <c r="CW378" i="4"/>
  <c r="CV378" i="4"/>
  <c r="DG378" i="4" s="1"/>
  <c r="CU378" i="4"/>
  <c r="DE378" i="4" s="1"/>
  <c r="CO378" i="4"/>
  <c r="FB378" i="4" s="1"/>
  <c r="FQ378" i="4" s="1"/>
  <c r="CG378" i="4"/>
  <c r="BS378" i="4"/>
  <c r="BP378" i="4"/>
  <c r="BO378" i="4"/>
  <c r="BN378" i="4"/>
  <c r="BM378" i="4"/>
  <c r="BL378" i="4"/>
  <c r="BK378" i="4"/>
  <c r="BJ378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Y378" i="4"/>
  <c r="Q378" i="4"/>
  <c r="B378" i="4"/>
  <c r="A378" i="4"/>
  <c r="QX377" i="4"/>
  <c r="FX377" i="4"/>
  <c r="FT377" i="4"/>
  <c r="FR377" i="4"/>
  <c r="FP377" i="4"/>
  <c r="FN377" i="4"/>
  <c r="FK377" i="4"/>
  <c r="FI377" i="4"/>
  <c r="FH377" i="4"/>
  <c r="FV377" i="4" s="1"/>
  <c r="FG377" i="4"/>
  <c r="FU377" i="4" s="1"/>
  <c r="FE377" i="4"/>
  <c r="FD377" i="4"/>
  <c r="FS377" i="4" s="1"/>
  <c r="FC377" i="4"/>
  <c r="FA377" i="4"/>
  <c r="EZ377" i="4"/>
  <c r="FO377" i="4" s="1"/>
  <c r="EY377" i="4"/>
  <c r="EX377" i="4"/>
  <c r="EW377" i="4"/>
  <c r="FM377" i="4" s="1"/>
  <c r="EV377" i="4"/>
  <c r="FL377" i="4" s="1"/>
  <c r="EU377" i="4"/>
  <c r="EB377" i="4"/>
  <c r="DX377" i="4"/>
  <c r="DW377" i="4"/>
  <c r="EA377" i="4" s="1"/>
  <c r="DV377" i="4"/>
  <c r="DZ377" i="4" s="1"/>
  <c r="DL377" i="4"/>
  <c r="DH377" i="4"/>
  <c r="DF377" i="4"/>
  <c r="DE377" i="4"/>
  <c r="DA377" i="4"/>
  <c r="CX377" i="4"/>
  <c r="FJ377" i="4" s="1"/>
  <c r="FY377" i="4" s="1"/>
  <c r="CU377" i="4"/>
  <c r="CO377" i="4"/>
  <c r="CW377" i="4" s="1"/>
  <c r="CG377" i="4"/>
  <c r="BR377" i="4"/>
  <c r="BS377" i="4" s="1"/>
  <c r="BP377" i="4"/>
  <c r="BO377" i="4"/>
  <c r="BN377" i="4"/>
  <c r="BM377" i="4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Q377" i="4"/>
  <c r="Y377" i="4"/>
  <c r="Q377" i="4"/>
  <c r="B377" i="4"/>
  <c r="A377" i="4"/>
  <c r="QX376" i="4"/>
  <c r="FX376" i="4"/>
  <c r="FU376" i="4"/>
  <c r="FT376" i="4"/>
  <c r="FR376" i="4"/>
  <c r="FP376" i="4"/>
  <c r="FN376" i="4"/>
  <c r="FK376" i="4"/>
  <c r="FI376" i="4"/>
  <c r="FH376" i="4"/>
  <c r="FV376" i="4" s="1"/>
  <c r="FG376" i="4"/>
  <c r="FE376" i="4"/>
  <c r="FD376" i="4"/>
  <c r="FS376" i="4" s="1"/>
  <c r="FC376" i="4"/>
  <c r="FA376" i="4"/>
  <c r="EZ376" i="4"/>
  <c r="FO376" i="4" s="1"/>
  <c r="EY376" i="4"/>
  <c r="EX376" i="4"/>
  <c r="EW376" i="4"/>
  <c r="FM376" i="4" s="1"/>
  <c r="EV376" i="4"/>
  <c r="FL376" i="4" s="1"/>
  <c r="EU376" i="4"/>
  <c r="EB376" i="4"/>
  <c r="DX376" i="4"/>
  <c r="DW376" i="4"/>
  <c r="EA376" i="4" s="1"/>
  <c r="DV376" i="4"/>
  <c r="DZ376" i="4" s="1"/>
  <c r="DL376" i="4"/>
  <c r="DH376" i="4"/>
  <c r="DF376" i="4"/>
  <c r="DE376" i="4"/>
  <c r="DA376" i="4"/>
  <c r="CX376" i="4"/>
  <c r="FJ376" i="4" s="1"/>
  <c r="FY376" i="4" s="1"/>
  <c r="CU376" i="4"/>
  <c r="CO376" i="4"/>
  <c r="CW376" i="4" s="1"/>
  <c r="CG376" i="4"/>
  <c r="BS376" i="4"/>
  <c r="BP376" i="4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Y376" i="4"/>
  <c r="Q376" i="4"/>
  <c r="B376" i="4"/>
  <c r="A376" i="4"/>
  <c r="QX375" i="4"/>
  <c r="FX375" i="4"/>
  <c r="FV375" i="4"/>
  <c r="FU375" i="4"/>
  <c r="FT375" i="4"/>
  <c r="FR375" i="4"/>
  <c r="FP375" i="4"/>
  <c r="FL375" i="4"/>
  <c r="FI375" i="4"/>
  <c r="FH375" i="4"/>
  <c r="FG375" i="4"/>
  <c r="FF375" i="4"/>
  <c r="FW375" i="4" s="1"/>
  <c r="FE375" i="4"/>
  <c r="FD375" i="4"/>
  <c r="FS375" i="4" s="1"/>
  <c r="FC375" i="4"/>
  <c r="FA375" i="4"/>
  <c r="EZ375" i="4"/>
  <c r="FO375" i="4" s="1"/>
  <c r="EY375" i="4"/>
  <c r="EX375" i="4"/>
  <c r="FN375" i="4" s="1"/>
  <c r="EW375" i="4"/>
  <c r="FM375" i="4" s="1"/>
  <c r="EV375" i="4"/>
  <c r="EU375" i="4"/>
  <c r="FK375" i="4" s="1"/>
  <c r="DX375" i="4"/>
  <c r="EB375" i="4" s="1"/>
  <c r="DW375" i="4"/>
  <c r="DV375" i="4" s="1"/>
  <c r="DZ375" i="4" s="1"/>
  <c r="DL375" i="4"/>
  <c r="DH375" i="4"/>
  <c r="DF375" i="4"/>
  <c r="DA375" i="4"/>
  <c r="CX375" i="4"/>
  <c r="FJ375" i="4" s="1"/>
  <c r="FY375" i="4" s="1"/>
  <c r="CW375" i="4"/>
  <c r="CV375" i="4"/>
  <c r="DY375" i="4" s="1"/>
  <c r="EC375" i="4" s="1"/>
  <c r="CU375" i="4"/>
  <c r="DE375" i="4" s="1"/>
  <c r="CO375" i="4"/>
  <c r="FB375" i="4" s="1"/>
  <c r="FQ375" i="4" s="1"/>
  <c r="CG375" i="4"/>
  <c r="BS375" i="4"/>
  <c r="BP375" i="4"/>
  <c r="BO375" i="4"/>
  <c r="BN375" i="4"/>
  <c r="BM375" i="4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Y375" i="4"/>
  <c r="Q375" i="4"/>
  <c r="B375" i="4"/>
  <c r="A375" i="4"/>
  <c r="QX374" i="4"/>
  <c r="FX374" i="4"/>
  <c r="FV374" i="4"/>
  <c r="FT374" i="4"/>
  <c r="FR374" i="4"/>
  <c r="FP374" i="4"/>
  <c r="FM374" i="4"/>
  <c r="FJ374" i="4"/>
  <c r="FY374" i="4" s="1"/>
  <c r="FI374" i="4"/>
  <c r="FH374" i="4"/>
  <c r="FG374" i="4"/>
  <c r="FU374" i="4" s="1"/>
  <c r="FE374" i="4"/>
  <c r="FD374" i="4"/>
  <c r="FS374" i="4" s="1"/>
  <c r="FC374" i="4"/>
  <c r="FA374" i="4"/>
  <c r="EZ374" i="4"/>
  <c r="FO374" i="4" s="1"/>
  <c r="EY374" i="4"/>
  <c r="EX374" i="4"/>
  <c r="FN374" i="4" s="1"/>
  <c r="EW374" i="4"/>
  <c r="EV374" i="4"/>
  <c r="FL374" i="4" s="1"/>
  <c r="EU374" i="4"/>
  <c r="FK374" i="4" s="1"/>
  <c r="EA374" i="4"/>
  <c r="DX374" i="4"/>
  <c r="EB374" i="4" s="1"/>
  <c r="DW374" i="4"/>
  <c r="DV374" i="4" s="1"/>
  <c r="DZ374" i="4" s="1"/>
  <c r="DU374" i="4"/>
  <c r="DL374" i="4"/>
  <c r="DH374" i="4"/>
  <c r="DF374" i="4"/>
  <c r="DA374" i="4"/>
  <c r="CX374" i="4"/>
  <c r="CV374" i="4"/>
  <c r="DG374" i="4" s="1"/>
  <c r="CU374" i="4"/>
  <c r="DE374" i="4" s="1"/>
  <c r="CO374" i="4"/>
  <c r="CW374" i="4" s="1"/>
  <c r="CK374" i="4"/>
  <c r="CG374" i="4"/>
  <c r="BS374" i="4"/>
  <c r="BP374" i="4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Q374" i="4"/>
  <c r="Y374" i="4"/>
  <c r="Q374" i="4"/>
  <c r="B374" i="4"/>
  <c r="A374" i="4"/>
  <c r="QX373" i="4"/>
  <c r="FX373" i="4"/>
  <c r="FV373" i="4"/>
  <c r="FT373" i="4"/>
  <c r="FR373" i="4"/>
  <c r="FP373" i="4"/>
  <c r="FM373" i="4"/>
  <c r="FJ373" i="4"/>
  <c r="FY373" i="4" s="1"/>
  <c r="FI373" i="4"/>
  <c r="FH373" i="4"/>
  <c r="FG373" i="4"/>
  <c r="FU373" i="4" s="1"/>
  <c r="FE373" i="4"/>
  <c r="FD373" i="4"/>
  <c r="FS373" i="4" s="1"/>
  <c r="FC373" i="4"/>
  <c r="FA373" i="4"/>
  <c r="EZ373" i="4"/>
  <c r="FO373" i="4" s="1"/>
  <c r="EY373" i="4"/>
  <c r="EX373" i="4"/>
  <c r="FN373" i="4" s="1"/>
  <c r="EW373" i="4"/>
  <c r="EV373" i="4"/>
  <c r="FL373" i="4" s="1"/>
  <c r="EU373" i="4"/>
  <c r="FK373" i="4" s="1"/>
  <c r="EA373" i="4"/>
  <c r="DX373" i="4"/>
  <c r="EB373" i="4" s="1"/>
  <c r="DW373" i="4"/>
  <c r="DV373" i="4" s="1"/>
  <c r="DZ373" i="4" s="1"/>
  <c r="DU373" i="4"/>
  <c r="DL373" i="4"/>
  <c r="DH373" i="4"/>
  <c r="DF373" i="4"/>
  <c r="DA373" i="4"/>
  <c r="CX373" i="4"/>
  <c r="CV373" i="4"/>
  <c r="DG373" i="4" s="1"/>
  <c r="CU373" i="4"/>
  <c r="DE373" i="4" s="1"/>
  <c r="CO373" i="4"/>
  <c r="CW373" i="4" s="1"/>
  <c r="CG373" i="4"/>
  <c r="BS373" i="4"/>
  <c r="BR373" i="4"/>
  <c r="BP373" i="4"/>
  <c r="BO373" i="4"/>
  <c r="BN373" i="4"/>
  <c r="BM373" i="4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Y373" i="4"/>
  <c r="Q373" i="4"/>
  <c r="B373" i="4"/>
  <c r="A373" i="4"/>
  <c r="QX372" i="4"/>
  <c r="FX372" i="4"/>
  <c r="FU372" i="4"/>
  <c r="FS372" i="4"/>
  <c r="FP372" i="4"/>
  <c r="FO372" i="4"/>
  <c r="FM372" i="4"/>
  <c r="FK372" i="4"/>
  <c r="FI372" i="4"/>
  <c r="FH372" i="4"/>
  <c r="FV372" i="4" s="1"/>
  <c r="FG372" i="4"/>
  <c r="FE372" i="4"/>
  <c r="FT372" i="4" s="1"/>
  <c r="FD372" i="4"/>
  <c r="FC372" i="4"/>
  <c r="FR372" i="4" s="1"/>
  <c r="EZ372" i="4"/>
  <c r="EY372" i="4"/>
  <c r="EX372" i="4"/>
  <c r="FN372" i="4" s="1"/>
  <c r="EW372" i="4"/>
  <c r="EV372" i="4"/>
  <c r="FL372" i="4" s="1"/>
  <c r="EU372" i="4"/>
  <c r="EB372" i="4"/>
  <c r="DX372" i="4"/>
  <c r="DW372" i="4"/>
  <c r="EA372" i="4" s="1"/>
  <c r="DV372" i="4"/>
  <c r="DZ372" i="4" s="1"/>
  <c r="DL372" i="4"/>
  <c r="DH372" i="4"/>
  <c r="DF372" i="4"/>
  <c r="DE372" i="4"/>
  <c r="DA372" i="4"/>
  <c r="CX372" i="4"/>
  <c r="FJ372" i="4" s="1"/>
  <c r="FY372" i="4" s="1"/>
  <c r="CU372" i="4"/>
  <c r="CO372" i="4"/>
  <c r="CW372" i="4" s="1"/>
  <c r="CG372" i="4"/>
  <c r="BS372" i="4"/>
  <c r="BP372" i="4"/>
  <c r="BO372" i="4"/>
  <c r="BN372" i="4"/>
  <c r="BM372" i="4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Y372" i="4"/>
  <c r="Q372" i="4"/>
  <c r="B372" i="4"/>
  <c r="A372" i="4"/>
  <c r="QX371" i="4"/>
  <c r="FX371" i="4"/>
  <c r="FV371" i="4"/>
  <c r="FU371" i="4"/>
  <c r="FT371" i="4"/>
  <c r="FR371" i="4"/>
  <c r="FP371" i="4"/>
  <c r="FL371" i="4"/>
  <c r="FI371" i="4"/>
  <c r="FH371" i="4"/>
  <c r="FG371" i="4"/>
  <c r="FF371" i="4"/>
  <c r="FW371" i="4" s="1"/>
  <c r="FE371" i="4"/>
  <c r="FD371" i="4"/>
  <c r="FS371" i="4" s="1"/>
  <c r="FC371" i="4"/>
  <c r="FA371" i="4"/>
  <c r="EZ371" i="4"/>
  <c r="FO371" i="4" s="1"/>
  <c r="EY371" i="4"/>
  <c r="EX371" i="4"/>
  <c r="FN371" i="4" s="1"/>
  <c r="EW371" i="4"/>
  <c r="FM371" i="4" s="1"/>
  <c r="EV371" i="4"/>
  <c r="EU371" i="4"/>
  <c r="FK371" i="4" s="1"/>
  <c r="DX371" i="4"/>
  <c r="EB371" i="4" s="1"/>
  <c r="DW371" i="4"/>
  <c r="DV371" i="4" s="1"/>
  <c r="DZ371" i="4" s="1"/>
  <c r="DL371" i="4"/>
  <c r="DH371" i="4"/>
  <c r="DF371" i="4"/>
  <c r="DA371" i="4"/>
  <c r="CX371" i="4"/>
  <c r="FJ371" i="4" s="1"/>
  <c r="FY371" i="4" s="1"/>
  <c r="CV371" i="4"/>
  <c r="DY371" i="4" s="1"/>
  <c r="EC371" i="4" s="1"/>
  <c r="CU371" i="4"/>
  <c r="DE371" i="4" s="1"/>
  <c r="CO371" i="4"/>
  <c r="FB371" i="4" s="1"/>
  <c r="FQ371" i="4" s="1"/>
  <c r="CK371" i="4"/>
  <c r="CG371" i="4"/>
  <c r="BP371" i="4"/>
  <c r="BO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Y371" i="4"/>
  <c r="Q371" i="4"/>
  <c r="B371" i="4"/>
  <c r="A371" i="4"/>
  <c r="QX370" i="4"/>
  <c r="FX370" i="4"/>
  <c r="FV370" i="4"/>
  <c r="FT370" i="4"/>
  <c r="FR370" i="4"/>
  <c r="FP370" i="4"/>
  <c r="FM370" i="4"/>
  <c r="FJ370" i="4"/>
  <c r="FY370" i="4" s="1"/>
  <c r="FI370" i="4"/>
  <c r="FH370" i="4"/>
  <c r="FG370" i="4"/>
  <c r="FU370" i="4" s="1"/>
  <c r="FE370" i="4"/>
  <c r="FD370" i="4"/>
  <c r="FS370" i="4" s="1"/>
  <c r="FC370" i="4"/>
  <c r="FA370" i="4"/>
  <c r="EZ370" i="4"/>
  <c r="FO370" i="4" s="1"/>
  <c r="EY370" i="4"/>
  <c r="EX370" i="4"/>
  <c r="FN370" i="4" s="1"/>
  <c r="EW370" i="4"/>
  <c r="EV370" i="4"/>
  <c r="FL370" i="4" s="1"/>
  <c r="EU370" i="4"/>
  <c r="FK370" i="4" s="1"/>
  <c r="EA370" i="4"/>
  <c r="DX370" i="4"/>
  <c r="EB370" i="4" s="1"/>
  <c r="DW370" i="4"/>
  <c r="DV370" i="4" s="1"/>
  <c r="DZ370" i="4" s="1"/>
  <c r="DU370" i="4"/>
  <c r="DL370" i="4"/>
  <c r="DH370" i="4"/>
  <c r="DF370" i="4"/>
  <c r="DA370" i="4"/>
  <c r="CX370" i="4"/>
  <c r="CV370" i="4"/>
  <c r="DG370" i="4" s="1"/>
  <c r="CU370" i="4"/>
  <c r="DE370" i="4" s="1"/>
  <c r="CO370" i="4"/>
  <c r="CW370" i="4" s="1"/>
  <c r="CG370" i="4"/>
  <c r="BS370" i="4"/>
  <c r="BP370" i="4"/>
  <c r="BO370" i="4"/>
  <c r="BN370" i="4"/>
  <c r="BM370" i="4"/>
  <c r="BL370" i="4"/>
  <c r="BK370" i="4"/>
  <c r="BJ370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Y370" i="4"/>
  <c r="Q370" i="4"/>
  <c r="B370" i="4"/>
  <c r="A370" i="4"/>
  <c r="QX369" i="4"/>
  <c r="FX369" i="4"/>
  <c r="FT369" i="4"/>
  <c r="FR369" i="4"/>
  <c r="FP369" i="4"/>
  <c r="FN369" i="4"/>
  <c r="FK369" i="4"/>
  <c r="FI369" i="4"/>
  <c r="FH369" i="4"/>
  <c r="FV369" i="4" s="1"/>
  <c r="FG369" i="4"/>
  <c r="FU369" i="4" s="1"/>
  <c r="FE369" i="4"/>
  <c r="FD369" i="4"/>
  <c r="FS369" i="4" s="1"/>
  <c r="FC369" i="4"/>
  <c r="FA369" i="4"/>
  <c r="EZ369" i="4"/>
  <c r="FO369" i="4" s="1"/>
  <c r="EY369" i="4"/>
  <c r="EX369" i="4"/>
  <c r="EW369" i="4"/>
  <c r="FM369" i="4" s="1"/>
  <c r="EV369" i="4"/>
  <c r="FL369" i="4" s="1"/>
  <c r="EU369" i="4"/>
  <c r="EB369" i="4"/>
  <c r="DX369" i="4"/>
  <c r="DW369" i="4"/>
  <c r="EA369" i="4" s="1"/>
  <c r="DV369" i="4"/>
  <c r="DZ369" i="4" s="1"/>
  <c r="DL369" i="4"/>
  <c r="DH369" i="4"/>
  <c r="DF369" i="4"/>
  <c r="DE369" i="4"/>
  <c r="DA369" i="4"/>
  <c r="CX369" i="4"/>
  <c r="FJ369" i="4" s="1"/>
  <c r="FY369" i="4" s="1"/>
  <c r="CU369" i="4"/>
  <c r="CO369" i="4"/>
  <c r="CW369" i="4" s="1"/>
  <c r="CG369" i="4"/>
  <c r="BS369" i="4"/>
  <c r="BP369" i="4"/>
  <c r="BO369" i="4"/>
  <c r="BN369" i="4"/>
  <c r="BM369" i="4"/>
  <c r="BL369" i="4"/>
  <c r="BK369" i="4"/>
  <c r="BJ369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Y369" i="4"/>
  <c r="Q369" i="4"/>
  <c r="B369" i="4"/>
  <c r="A369" i="4"/>
  <c r="QX368" i="4"/>
  <c r="FX368" i="4"/>
  <c r="FV368" i="4"/>
  <c r="FU368" i="4"/>
  <c r="FT368" i="4"/>
  <c r="FR368" i="4"/>
  <c r="FP368" i="4"/>
  <c r="FL368" i="4"/>
  <c r="FI368" i="4"/>
  <c r="FH368" i="4"/>
  <c r="FG368" i="4"/>
  <c r="FE368" i="4"/>
  <c r="FD368" i="4"/>
  <c r="FS368" i="4" s="1"/>
  <c r="FC368" i="4"/>
  <c r="FA368" i="4"/>
  <c r="EZ368" i="4"/>
  <c r="FO368" i="4" s="1"/>
  <c r="EY368" i="4"/>
  <c r="EX368" i="4"/>
  <c r="FN368" i="4" s="1"/>
  <c r="EW368" i="4"/>
  <c r="FM368" i="4" s="1"/>
  <c r="EV368" i="4"/>
  <c r="EU368" i="4"/>
  <c r="FK368" i="4" s="1"/>
  <c r="DX368" i="4"/>
  <c r="EB368" i="4" s="1"/>
  <c r="DW368" i="4"/>
  <c r="DV368" i="4" s="1"/>
  <c r="DZ368" i="4" s="1"/>
  <c r="DL368" i="4"/>
  <c r="DH368" i="4"/>
  <c r="DB368" i="4"/>
  <c r="DA368" i="4"/>
  <c r="CX368" i="4"/>
  <c r="FJ368" i="4" s="1"/>
  <c r="FY368" i="4" s="1"/>
  <c r="CU368" i="4"/>
  <c r="CO368" i="4"/>
  <c r="CW368" i="4" s="1"/>
  <c r="CG368" i="4"/>
  <c r="BS368" i="4"/>
  <c r="BP368" i="4"/>
  <c r="BO368" i="4"/>
  <c r="BN368" i="4"/>
  <c r="BM368" i="4"/>
  <c r="BL368" i="4"/>
  <c r="BK368" i="4"/>
  <c r="BJ368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V368" i="4"/>
  <c r="Y368" i="4"/>
  <c r="Q368" i="4"/>
  <c r="B368" i="4"/>
  <c r="A368" i="4"/>
  <c r="QX367" i="4"/>
  <c r="FX367" i="4"/>
  <c r="FV367" i="4"/>
  <c r="FU367" i="4"/>
  <c r="FT367" i="4"/>
  <c r="FR367" i="4"/>
  <c r="FP367" i="4"/>
  <c r="FL367" i="4"/>
  <c r="FI367" i="4"/>
  <c r="FH367" i="4"/>
  <c r="FG367" i="4"/>
  <c r="FF367" i="4"/>
  <c r="FW367" i="4" s="1"/>
  <c r="FE367" i="4"/>
  <c r="FD367" i="4"/>
  <c r="FS367" i="4" s="1"/>
  <c r="FC367" i="4"/>
  <c r="FA367" i="4"/>
  <c r="EZ367" i="4"/>
  <c r="FO367" i="4" s="1"/>
  <c r="EY367" i="4"/>
  <c r="EX367" i="4"/>
  <c r="FN367" i="4" s="1"/>
  <c r="EW367" i="4"/>
  <c r="FM367" i="4" s="1"/>
  <c r="EV367" i="4"/>
  <c r="EU367" i="4"/>
  <c r="FK367" i="4" s="1"/>
  <c r="DX367" i="4"/>
  <c r="EB367" i="4" s="1"/>
  <c r="DW367" i="4"/>
  <c r="DV367" i="4" s="1"/>
  <c r="DZ367" i="4" s="1"/>
  <c r="DL367" i="4"/>
  <c r="DH367" i="4"/>
  <c r="DF367" i="4"/>
  <c r="DA367" i="4"/>
  <c r="CX367" i="4"/>
  <c r="FJ367" i="4" s="1"/>
  <c r="FY367" i="4" s="1"/>
  <c r="CV367" i="4"/>
  <c r="DY367" i="4" s="1"/>
  <c r="EC367" i="4" s="1"/>
  <c r="CU367" i="4"/>
  <c r="DE367" i="4" s="1"/>
  <c r="CO367" i="4"/>
  <c r="FB367" i="4" s="1"/>
  <c r="FQ367" i="4" s="1"/>
  <c r="CK367" i="4"/>
  <c r="BS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Y367" i="4"/>
  <c r="Q367" i="4"/>
  <c r="B367" i="4"/>
  <c r="A367" i="4"/>
  <c r="QX366" i="4"/>
  <c r="FX366" i="4"/>
  <c r="FV366" i="4"/>
  <c r="FT366" i="4"/>
  <c r="FR366" i="4"/>
  <c r="FP366" i="4"/>
  <c r="FM366" i="4"/>
  <c r="FJ366" i="4"/>
  <c r="FY366" i="4" s="1"/>
  <c r="FI366" i="4"/>
  <c r="FH366" i="4"/>
  <c r="FG366" i="4"/>
  <c r="FU366" i="4" s="1"/>
  <c r="FE366" i="4"/>
  <c r="FD366" i="4"/>
  <c r="FS366" i="4" s="1"/>
  <c r="FC366" i="4"/>
  <c r="FA366" i="4"/>
  <c r="EZ366" i="4"/>
  <c r="FO366" i="4" s="1"/>
  <c r="EY366" i="4"/>
  <c r="EX366" i="4"/>
  <c r="FN366" i="4" s="1"/>
  <c r="EW366" i="4"/>
  <c r="EV366" i="4"/>
  <c r="FL366" i="4" s="1"/>
  <c r="EU366" i="4"/>
  <c r="FK366" i="4" s="1"/>
  <c r="EA366" i="4"/>
  <c r="DX366" i="4"/>
  <c r="EB366" i="4" s="1"/>
  <c r="DW366" i="4"/>
  <c r="DV366" i="4" s="1"/>
  <c r="DZ366" i="4" s="1"/>
  <c r="DU366" i="4"/>
  <c r="DL366" i="4"/>
  <c r="DH366" i="4"/>
  <c r="DF366" i="4"/>
  <c r="DA366" i="4"/>
  <c r="CX366" i="4"/>
  <c r="CV366" i="4"/>
  <c r="DG366" i="4" s="1"/>
  <c r="CU366" i="4"/>
  <c r="DE366" i="4" s="1"/>
  <c r="CO366" i="4"/>
  <c r="CW366" i="4" s="1"/>
  <c r="CK366" i="4"/>
  <c r="BS366" i="4"/>
  <c r="BP366" i="4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Y366" i="4"/>
  <c r="Q366" i="4"/>
  <c r="B366" i="4"/>
  <c r="A366" i="4"/>
  <c r="QX365" i="4"/>
  <c r="FX365" i="4"/>
  <c r="FU365" i="4"/>
  <c r="FT365" i="4"/>
  <c r="FR365" i="4"/>
  <c r="FP365" i="4"/>
  <c r="FN365" i="4"/>
  <c r="FK365" i="4"/>
  <c r="FI365" i="4"/>
  <c r="FH365" i="4"/>
  <c r="FV365" i="4" s="1"/>
  <c r="FG365" i="4"/>
  <c r="FE365" i="4"/>
  <c r="FD365" i="4"/>
  <c r="FS365" i="4" s="1"/>
  <c r="FC365" i="4"/>
  <c r="FA365" i="4"/>
  <c r="EZ365" i="4"/>
  <c r="FO365" i="4" s="1"/>
  <c r="EY365" i="4"/>
  <c r="EX365" i="4"/>
  <c r="EW365" i="4"/>
  <c r="FM365" i="4" s="1"/>
  <c r="EV365" i="4"/>
  <c r="FL365" i="4" s="1"/>
  <c r="EU365" i="4"/>
  <c r="EB365" i="4"/>
  <c r="DX365" i="4"/>
  <c r="DW365" i="4"/>
  <c r="EA365" i="4" s="1"/>
  <c r="DV365" i="4"/>
  <c r="DZ365" i="4" s="1"/>
  <c r="DL365" i="4"/>
  <c r="DH365" i="4"/>
  <c r="DF365" i="4"/>
  <c r="DE365" i="4"/>
  <c r="DA365" i="4"/>
  <c r="CX365" i="4"/>
  <c r="FJ365" i="4" s="1"/>
  <c r="FY365" i="4" s="1"/>
  <c r="CU365" i="4"/>
  <c r="CO365" i="4"/>
  <c r="CW365" i="4" s="1"/>
  <c r="CK365" i="4"/>
  <c r="BS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Q365" i="4"/>
  <c r="Y365" i="4"/>
  <c r="Q365" i="4"/>
  <c r="B365" i="4"/>
  <c r="A365" i="4"/>
  <c r="QX364" i="4"/>
  <c r="FY364" i="4"/>
  <c r="FV364" i="4"/>
  <c r="FS364" i="4"/>
  <c r="FO364" i="4"/>
  <c r="FM364" i="4"/>
  <c r="FJ364" i="4"/>
  <c r="FI364" i="4"/>
  <c r="FX364" i="4" s="1"/>
  <c r="FH364" i="4"/>
  <c r="FG364" i="4"/>
  <c r="FU364" i="4" s="1"/>
  <c r="FE364" i="4"/>
  <c r="FT364" i="4" s="1"/>
  <c r="FD364" i="4"/>
  <c r="FC364" i="4"/>
  <c r="FR364" i="4" s="1"/>
  <c r="FA364" i="4"/>
  <c r="FP364" i="4" s="1"/>
  <c r="EZ364" i="4"/>
  <c r="EY364" i="4"/>
  <c r="EX364" i="4"/>
  <c r="FN364" i="4" s="1"/>
  <c r="EW364" i="4"/>
  <c r="EV364" i="4"/>
  <c r="FL364" i="4" s="1"/>
  <c r="EU364" i="4"/>
  <c r="FK364" i="4" s="1"/>
  <c r="EA364" i="4"/>
  <c r="DX364" i="4"/>
  <c r="EB364" i="4" s="1"/>
  <c r="DW364" i="4"/>
  <c r="DU364" i="4"/>
  <c r="DL364" i="4"/>
  <c r="DH364" i="4"/>
  <c r="DG364" i="4"/>
  <c r="DF364" i="4"/>
  <c r="DE364" i="4"/>
  <c r="DA364" i="4"/>
  <c r="CX364" i="4"/>
  <c r="CW364" i="4"/>
  <c r="CV364" i="4"/>
  <c r="CU364" i="4"/>
  <c r="CO364" i="4"/>
  <c r="FB364" i="4" s="1"/>
  <c r="FQ364" i="4" s="1"/>
  <c r="CK364" i="4"/>
  <c r="CG364" i="4"/>
  <c r="BS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Y364" i="4"/>
  <c r="Q364" i="4"/>
  <c r="B364" i="4"/>
  <c r="A364" i="4"/>
  <c r="QX363" i="4"/>
  <c r="FX363" i="4"/>
  <c r="FU363" i="4"/>
  <c r="FT363" i="4"/>
  <c r="FR363" i="4"/>
  <c r="FP363" i="4"/>
  <c r="FL363" i="4"/>
  <c r="FI363" i="4"/>
  <c r="FH363" i="4"/>
  <c r="FV363" i="4" s="1"/>
  <c r="FG363" i="4"/>
  <c r="FF363" i="4"/>
  <c r="FW363" i="4" s="1"/>
  <c r="FE363" i="4"/>
  <c r="FD363" i="4"/>
  <c r="FS363" i="4" s="1"/>
  <c r="FC363" i="4"/>
  <c r="FA363" i="4"/>
  <c r="EZ363" i="4"/>
  <c r="FO363" i="4" s="1"/>
  <c r="EY363" i="4"/>
  <c r="EX363" i="4"/>
  <c r="FN363" i="4" s="1"/>
  <c r="EW363" i="4"/>
  <c r="FM363" i="4" s="1"/>
  <c r="EV363" i="4"/>
  <c r="EU363" i="4"/>
  <c r="FK363" i="4" s="1"/>
  <c r="DX363" i="4"/>
  <c r="EB363" i="4" s="1"/>
  <c r="DW363" i="4"/>
  <c r="DV363" i="4" s="1"/>
  <c r="DZ363" i="4" s="1"/>
  <c r="DL363" i="4"/>
  <c r="DH363" i="4"/>
  <c r="DF363" i="4"/>
  <c r="DA363" i="4"/>
  <c r="CX363" i="4"/>
  <c r="FJ363" i="4" s="1"/>
  <c r="FY363" i="4" s="1"/>
  <c r="CV363" i="4"/>
  <c r="DY363" i="4" s="1"/>
  <c r="EC363" i="4" s="1"/>
  <c r="CU363" i="4"/>
  <c r="DE363" i="4" s="1"/>
  <c r="CO363" i="4"/>
  <c r="FB363" i="4" s="1"/>
  <c r="FQ363" i="4" s="1"/>
  <c r="CK363" i="4"/>
  <c r="CG363" i="4"/>
  <c r="BS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Y363" i="4"/>
  <c r="Q363" i="4"/>
  <c r="B363" i="4"/>
  <c r="A363" i="4"/>
  <c r="QX362" i="4"/>
  <c r="FX362" i="4"/>
  <c r="FU362" i="4"/>
  <c r="FS362" i="4"/>
  <c r="FO362" i="4"/>
  <c r="FN362" i="4"/>
  <c r="FK362" i="4"/>
  <c r="FI362" i="4"/>
  <c r="FH362" i="4"/>
  <c r="FV362" i="4" s="1"/>
  <c r="FG362" i="4"/>
  <c r="FE362" i="4"/>
  <c r="FT362" i="4" s="1"/>
  <c r="FD362" i="4"/>
  <c r="FC362" i="4"/>
  <c r="FR362" i="4" s="1"/>
  <c r="FA362" i="4"/>
  <c r="FP362" i="4" s="1"/>
  <c r="EZ362" i="4"/>
  <c r="EY362" i="4"/>
  <c r="EX362" i="4"/>
  <c r="EW362" i="4"/>
  <c r="FM362" i="4" s="1"/>
  <c r="EV362" i="4"/>
  <c r="FL362" i="4" s="1"/>
  <c r="EU362" i="4"/>
  <c r="EB362" i="4"/>
  <c r="DX362" i="4"/>
  <c r="DW362" i="4"/>
  <c r="EA362" i="4" s="1"/>
  <c r="DV362" i="4"/>
  <c r="DZ362" i="4" s="1"/>
  <c r="DL362" i="4"/>
  <c r="DH362" i="4"/>
  <c r="DF362" i="4"/>
  <c r="DE362" i="4"/>
  <c r="DA362" i="4"/>
  <c r="CX362" i="4"/>
  <c r="FJ362" i="4" s="1"/>
  <c r="FY362" i="4" s="1"/>
  <c r="CW362" i="4"/>
  <c r="CU362" i="4"/>
  <c r="CO362" i="4"/>
  <c r="FB362" i="4" s="1"/>
  <c r="FQ362" i="4" s="1"/>
  <c r="CG362" i="4"/>
  <c r="BS362" i="4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Y362" i="4"/>
  <c r="Q362" i="4"/>
  <c r="B362" i="4"/>
  <c r="A362" i="4"/>
  <c r="QX361" i="4"/>
  <c r="FU361" i="4"/>
  <c r="FS361" i="4"/>
  <c r="FO361" i="4"/>
  <c r="FN361" i="4"/>
  <c r="FL361" i="4"/>
  <c r="FI361" i="4"/>
  <c r="FX361" i="4" s="1"/>
  <c r="FH361" i="4"/>
  <c r="FV361" i="4" s="1"/>
  <c r="FG361" i="4"/>
  <c r="FE361" i="4"/>
  <c r="FT361" i="4" s="1"/>
  <c r="FD361" i="4"/>
  <c r="FC361" i="4"/>
  <c r="FR361" i="4" s="1"/>
  <c r="FA361" i="4"/>
  <c r="FP361" i="4" s="1"/>
  <c r="EZ361" i="4"/>
  <c r="EY361" i="4"/>
  <c r="EX361" i="4"/>
  <c r="EW361" i="4"/>
  <c r="FM361" i="4" s="1"/>
  <c r="EV361" i="4"/>
  <c r="EU361" i="4"/>
  <c r="FK361" i="4" s="1"/>
  <c r="DX361" i="4"/>
  <c r="EB361" i="4" s="1"/>
  <c r="DW361" i="4"/>
  <c r="DV361" i="4" s="1"/>
  <c r="DZ361" i="4" s="1"/>
  <c r="DL361" i="4"/>
  <c r="DH361" i="4"/>
  <c r="DF361" i="4"/>
  <c r="DA361" i="4"/>
  <c r="CX361" i="4"/>
  <c r="FJ361" i="4" s="1"/>
  <c r="FY361" i="4" s="1"/>
  <c r="CW361" i="4"/>
  <c r="CU361" i="4"/>
  <c r="DE361" i="4" s="1"/>
  <c r="CO361" i="4"/>
  <c r="CV361" i="4" s="1"/>
  <c r="CK361" i="4"/>
  <c r="CG361" i="4"/>
  <c r="BS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Y361" i="4"/>
  <c r="Q361" i="4"/>
  <c r="B361" i="4"/>
  <c r="A361" i="4"/>
  <c r="QX360" i="4"/>
  <c r="FX360" i="4"/>
  <c r="FU360" i="4"/>
  <c r="FT360" i="4"/>
  <c r="FR360" i="4"/>
  <c r="FP360" i="4"/>
  <c r="FN360" i="4"/>
  <c r="FK360" i="4"/>
  <c r="FI360" i="4"/>
  <c r="FH360" i="4"/>
  <c r="FV360" i="4" s="1"/>
  <c r="FG360" i="4"/>
  <c r="FE360" i="4"/>
  <c r="FD360" i="4"/>
  <c r="FS360" i="4" s="1"/>
  <c r="FC360" i="4"/>
  <c r="FA360" i="4"/>
  <c r="EZ360" i="4"/>
  <c r="FO360" i="4" s="1"/>
  <c r="EY360" i="4"/>
  <c r="EX360" i="4"/>
  <c r="EW360" i="4"/>
  <c r="FM360" i="4" s="1"/>
  <c r="EV360" i="4"/>
  <c r="FL360" i="4" s="1"/>
  <c r="EU360" i="4"/>
  <c r="EB360" i="4"/>
  <c r="DX360" i="4"/>
  <c r="DW360" i="4"/>
  <c r="EA360" i="4" s="1"/>
  <c r="DV360" i="4"/>
  <c r="DZ360" i="4" s="1"/>
  <c r="DL360" i="4"/>
  <c r="DH360" i="4"/>
  <c r="DF360" i="4"/>
  <c r="DE360" i="4"/>
  <c r="DA360" i="4"/>
  <c r="CX360" i="4"/>
  <c r="FJ360" i="4" s="1"/>
  <c r="FY360" i="4" s="1"/>
  <c r="CU360" i="4"/>
  <c r="CO360" i="4"/>
  <c r="CW360" i="4" s="1"/>
  <c r="CK360" i="4"/>
  <c r="CG360" i="4"/>
  <c r="BS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Y360" i="4"/>
  <c r="Q360" i="4"/>
  <c r="B360" i="4"/>
  <c r="A360" i="4"/>
  <c r="MF359" i="4"/>
  <c r="FY359" i="4"/>
  <c r="FS359" i="4"/>
  <c r="FO359" i="4"/>
  <c r="FM359" i="4"/>
  <c r="FJ359" i="4"/>
  <c r="FI359" i="4"/>
  <c r="FX359" i="4" s="1"/>
  <c r="FG359" i="4"/>
  <c r="FU359" i="4" s="1"/>
  <c r="FE359" i="4"/>
  <c r="FT359" i="4" s="1"/>
  <c r="FD359" i="4"/>
  <c r="FC359" i="4"/>
  <c r="FR359" i="4" s="1"/>
  <c r="FA359" i="4"/>
  <c r="FP359" i="4" s="1"/>
  <c r="EZ359" i="4"/>
  <c r="EY359" i="4"/>
  <c r="EX359" i="4"/>
  <c r="FN359" i="4" s="1"/>
  <c r="EW359" i="4"/>
  <c r="EV359" i="4"/>
  <c r="FL359" i="4" s="1"/>
  <c r="EU359" i="4"/>
  <c r="FK359" i="4" s="1"/>
  <c r="EA359" i="4"/>
  <c r="DX359" i="4"/>
  <c r="EB359" i="4" s="1"/>
  <c r="DW359" i="4"/>
  <c r="DU359" i="4"/>
  <c r="DL359" i="4"/>
  <c r="DH359" i="4"/>
  <c r="DA359" i="4"/>
  <c r="CX359" i="4"/>
  <c r="CU359" i="4"/>
  <c r="DE359" i="4" s="1"/>
  <c r="CS359" i="4"/>
  <c r="FH359" i="4" s="1"/>
  <c r="FV359" i="4" s="1"/>
  <c r="CO359" i="4"/>
  <c r="CV359" i="4" s="1"/>
  <c r="CK359" i="4"/>
  <c r="CG359" i="4"/>
  <c r="BS359" i="4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Y359" i="4"/>
  <c r="B359" i="4"/>
  <c r="A359" i="4"/>
  <c r="QX358" i="4"/>
  <c r="FX358" i="4"/>
  <c r="FU358" i="4"/>
  <c r="FT358" i="4"/>
  <c r="FR358" i="4"/>
  <c r="FP358" i="4"/>
  <c r="FN358" i="4"/>
  <c r="FL358" i="4"/>
  <c r="FI358" i="4"/>
  <c r="FH358" i="4"/>
  <c r="FV358" i="4" s="1"/>
  <c r="FG358" i="4"/>
  <c r="FE358" i="4"/>
  <c r="FD358" i="4"/>
  <c r="FS358" i="4" s="1"/>
  <c r="FC358" i="4"/>
  <c r="FA358" i="4"/>
  <c r="EZ358" i="4"/>
  <c r="FO358" i="4" s="1"/>
  <c r="EY358" i="4"/>
  <c r="EX358" i="4"/>
  <c r="EW358" i="4"/>
  <c r="FM358" i="4" s="1"/>
  <c r="EV358" i="4"/>
  <c r="EU358" i="4"/>
  <c r="FK358" i="4" s="1"/>
  <c r="DX358" i="4"/>
  <c r="EB358" i="4" s="1"/>
  <c r="DW358" i="4"/>
  <c r="DV358" i="4" s="1"/>
  <c r="DZ358" i="4" s="1"/>
  <c r="DL358" i="4"/>
  <c r="DH358" i="4"/>
  <c r="DF358" i="4"/>
  <c r="DA358" i="4"/>
  <c r="CX358" i="4"/>
  <c r="FJ358" i="4" s="1"/>
  <c r="FY358" i="4" s="1"/>
  <c r="CU358" i="4"/>
  <c r="DE358" i="4" s="1"/>
  <c r="CO358" i="4"/>
  <c r="FB358" i="4" s="1"/>
  <c r="FQ358" i="4" s="1"/>
  <c r="CK358" i="4"/>
  <c r="CG358" i="4"/>
  <c r="BS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Y358" i="4"/>
  <c r="Q358" i="4"/>
  <c r="B358" i="4"/>
  <c r="A358" i="4"/>
  <c r="QX357" i="4"/>
  <c r="FS357" i="4"/>
  <c r="FO357" i="4"/>
  <c r="FN357" i="4"/>
  <c r="FM357" i="4"/>
  <c r="FK357" i="4"/>
  <c r="FI357" i="4"/>
  <c r="FX357" i="4" s="1"/>
  <c r="FH357" i="4"/>
  <c r="FV357" i="4" s="1"/>
  <c r="FG357" i="4"/>
  <c r="FU357" i="4" s="1"/>
  <c r="FE357" i="4"/>
  <c r="FT357" i="4" s="1"/>
  <c r="FD357" i="4"/>
  <c r="FC357" i="4"/>
  <c r="FR357" i="4" s="1"/>
  <c r="FA357" i="4"/>
  <c r="FP357" i="4" s="1"/>
  <c r="EZ357" i="4"/>
  <c r="EY357" i="4"/>
  <c r="EX357" i="4"/>
  <c r="EW357" i="4"/>
  <c r="EV357" i="4"/>
  <c r="FL357" i="4" s="1"/>
  <c r="EU357" i="4"/>
  <c r="EB357" i="4"/>
  <c r="DX357" i="4"/>
  <c r="DW357" i="4"/>
  <c r="EA357" i="4" s="1"/>
  <c r="DV357" i="4"/>
  <c r="DZ357" i="4" s="1"/>
  <c r="DL357" i="4"/>
  <c r="DH357" i="4"/>
  <c r="DF357" i="4"/>
  <c r="DE357" i="4"/>
  <c r="DA357" i="4"/>
  <c r="CX357" i="4"/>
  <c r="FJ357" i="4" s="1"/>
  <c r="FY357" i="4" s="1"/>
  <c r="CW357" i="4"/>
  <c r="CU357" i="4"/>
  <c r="CO357" i="4"/>
  <c r="FB357" i="4" s="1"/>
  <c r="FQ357" i="4" s="1"/>
  <c r="CK357" i="4"/>
  <c r="CG357" i="4"/>
  <c r="BS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Y357" i="4"/>
  <c r="Q357" i="4"/>
  <c r="B357" i="4"/>
  <c r="A357" i="4"/>
  <c r="QX356" i="4"/>
  <c r="FX356" i="4"/>
  <c r="FV356" i="4"/>
  <c r="FT356" i="4"/>
  <c r="FR356" i="4"/>
  <c r="FP356" i="4"/>
  <c r="FM356" i="4"/>
  <c r="FL356" i="4"/>
  <c r="FJ356" i="4"/>
  <c r="FY356" i="4" s="1"/>
  <c r="FI356" i="4"/>
  <c r="FH356" i="4"/>
  <c r="FG356" i="4"/>
  <c r="FU356" i="4" s="1"/>
  <c r="FE356" i="4"/>
  <c r="FD356" i="4"/>
  <c r="FS356" i="4" s="1"/>
  <c r="FC356" i="4"/>
  <c r="FA356" i="4"/>
  <c r="EZ356" i="4"/>
  <c r="FO356" i="4" s="1"/>
  <c r="EY356" i="4"/>
  <c r="EX356" i="4"/>
  <c r="FN356" i="4" s="1"/>
  <c r="EW356" i="4"/>
  <c r="EV356" i="4"/>
  <c r="EU356" i="4"/>
  <c r="FK356" i="4" s="1"/>
  <c r="EA356" i="4"/>
  <c r="DX356" i="4"/>
  <c r="EB356" i="4" s="1"/>
  <c r="DW356" i="4"/>
  <c r="DV356" i="4" s="1"/>
  <c r="DZ356" i="4" s="1"/>
  <c r="DU356" i="4"/>
  <c r="DL356" i="4"/>
  <c r="DH356" i="4"/>
  <c r="DF356" i="4"/>
  <c r="DA356" i="4"/>
  <c r="CX356" i="4"/>
  <c r="CV356" i="4"/>
  <c r="DG356" i="4" s="1"/>
  <c r="CU356" i="4"/>
  <c r="DE356" i="4" s="1"/>
  <c r="CO356" i="4"/>
  <c r="CW356" i="4" s="1"/>
  <c r="CG356" i="4"/>
  <c r="BS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Y356" i="4"/>
  <c r="Q356" i="4"/>
  <c r="B356" i="4"/>
  <c r="A356" i="4"/>
  <c r="QX355" i="4"/>
  <c r="FX355" i="4"/>
  <c r="FT355" i="4"/>
  <c r="FR355" i="4"/>
  <c r="FP355" i="4"/>
  <c r="FN355" i="4"/>
  <c r="FK355" i="4"/>
  <c r="FJ355" i="4"/>
  <c r="FY355" i="4" s="1"/>
  <c r="FI355" i="4"/>
  <c r="FH355" i="4"/>
  <c r="FV355" i="4" s="1"/>
  <c r="FG355" i="4"/>
  <c r="FU355" i="4" s="1"/>
  <c r="FE355" i="4"/>
  <c r="FD355" i="4"/>
  <c r="FS355" i="4" s="1"/>
  <c r="FC355" i="4"/>
  <c r="FA355" i="4"/>
  <c r="EZ355" i="4"/>
  <c r="FO355" i="4" s="1"/>
  <c r="EY355" i="4"/>
  <c r="EX355" i="4"/>
  <c r="EW355" i="4"/>
  <c r="FM355" i="4" s="1"/>
  <c r="EV355" i="4"/>
  <c r="FL355" i="4" s="1"/>
  <c r="EU355" i="4"/>
  <c r="EB355" i="4"/>
  <c r="EA355" i="4"/>
  <c r="DX355" i="4"/>
  <c r="DW355" i="4"/>
  <c r="DV355" i="4"/>
  <c r="DZ355" i="4" s="1"/>
  <c r="DU355" i="4"/>
  <c r="DL355" i="4"/>
  <c r="DH355" i="4"/>
  <c r="DF355" i="4"/>
  <c r="DE355" i="4"/>
  <c r="DA355" i="4"/>
  <c r="CX355" i="4"/>
  <c r="CU355" i="4"/>
  <c r="CO355" i="4"/>
  <c r="CW355" i="4" s="1"/>
  <c r="CG355" i="4"/>
  <c r="BS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Y355" i="4"/>
  <c r="Q355" i="4"/>
  <c r="B355" i="4"/>
  <c r="A355" i="4"/>
  <c r="QX354" i="4"/>
  <c r="FX354" i="4"/>
  <c r="FU354" i="4"/>
  <c r="FT354" i="4"/>
  <c r="FR354" i="4"/>
  <c r="FP354" i="4"/>
  <c r="FN354" i="4"/>
  <c r="FL354" i="4"/>
  <c r="FI354" i="4"/>
  <c r="FH354" i="4"/>
  <c r="FV354" i="4" s="1"/>
  <c r="FG354" i="4"/>
  <c r="FE354" i="4"/>
  <c r="FD354" i="4"/>
  <c r="FS354" i="4" s="1"/>
  <c r="FC354" i="4"/>
  <c r="FA354" i="4"/>
  <c r="EZ354" i="4"/>
  <c r="FO354" i="4" s="1"/>
  <c r="EY354" i="4"/>
  <c r="EX354" i="4"/>
  <c r="EW354" i="4"/>
  <c r="FM354" i="4" s="1"/>
  <c r="EV354" i="4"/>
  <c r="EU354" i="4"/>
  <c r="FK354" i="4" s="1"/>
  <c r="DX354" i="4"/>
  <c r="EB354" i="4" s="1"/>
  <c r="DW354" i="4"/>
  <c r="DV354" i="4" s="1"/>
  <c r="DZ354" i="4" s="1"/>
  <c r="DL354" i="4"/>
  <c r="DH354" i="4"/>
  <c r="DF354" i="4"/>
  <c r="DA354" i="4"/>
  <c r="CX354" i="4"/>
  <c r="FJ354" i="4" s="1"/>
  <c r="FY354" i="4" s="1"/>
  <c r="CU354" i="4"/>
  <c r="DE354" i="4" s="1"/>
  <c r="CO354" i="4"/>
  <c r="FB354" i="4" s="1"/>
  <c r="FQ354" i="4" s="1"/>
  <c r="CG354" i="4"/>
  <c r="BS354" i="4"/>
  <c r="BP354" i="4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Y354" i="4"/>
  <c r="Q354" i="4"/>
  <c r="B354" i="4"/>
  <c r="A354" i="4"/>
  <c r="QX353" i="4"/>
  <c r="FX353" i="4"/>
  <c r="FV353" i="4"/>
  <c r="FT353" i="4"/>
  <c r="FR353" i="4"/>
  <c r="FP353" i="4"/>
  <c r="FM353" i="4"/>
  <c r="FL353" i="4"/>
  <c r="FJ353" i="4"/>
  <c r="FY353" i="4" s="1"/>
  <c r="FI353" i="4"/>
  <c r="FH353" i="4"/>
  <c r="FG353" i="4"/>
  <c r="FU353" i="4" s="1"/>
  <c r="FE353" i="4"/>
  <c r="FD353" i="4"/>
  <c r="FS353" i="4" s="1"/>
  <c r="FC353" i="4"/>
  <c r="FA353" i="4"/>
  <c r="EZ353" i="4"/>
  <c r="FO353" i="4" s="1"/>
  <c r="EY353" i="4"/>
  <c r="EX353" i="4"/>
  <c r="FN353" i="4" s="1"/>
  <c r="EW353" i="4"/>
  <c r="EV353" i="4"/>
  <c r="EU353" i="4"/>
  <c r="FK353" i="4" s="1"/>
  <c r="EA353" i="4"/>
  <c r="DX353" i="4"/>
  <c r="EB353" i="4" s="1"/>
  <c r="DW353" i="4"/>
  <c r="DV353" i="4" s="1"/>
  <c r="DZ353" i="4" s="1"/>
  <c r="DU353" i="4"/>
  <c r="DL353" i="4"/>
  <c r="DH353" i="4"/>
  <c r="DF353" i="4"/>
  <c r="DA353" i="4"/>
  <c r="CX353" i="4"/>
  <c r="CV353" i="4"/>
  <c r="DG353" i="4" s="1"/>
  <c r="CU353" i="4"/>
  <c r="DE353" i="4" s="1"/>
  <c r="CO353" i="4"/>
  <c r="CW353" i="4" s="1"/>
  <c r="CK353" i="4"/>
  <c r="CG353" i="4"/>
  <c r="BS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Y353" i="4"/>
  <c r="Q353" i="4"/>
  <c r="B353" i="4"/>
  <c r="A353" i="4"/>
  <c r="QX352" i="4"/>
  <c r="FU352" i="4"/>
  <c r="FS352" i="4"/>
  <c r="FO352" i="4"/>
  <c r="FN352" i="4"/>
  <c r="FL352" i="4"/>
  <c r="FK352" i="4"/>
  <c r="FI352" i="4"/>
  <c r="FX352" i="4" s="1"/>
  <c r="FH352" i="4"/>
  <c r="FV352" i="4" s="1"/>
  <c r="FG352" i="4"/>
  <c r="FE352" i="4"/>
  <c r="FT352" i="4" s="1"/>
  <c r="FD352" i="4"/>
  <c r="FC352" i="4"/>
  <c r="FR352" i="4" s="1"/>
  <c r="FA352" i="4"/>
  <c r="FP352" i="4" s="1"/>
  <c r="EZ352" i="4"/>
  <c r="EY352" i="4"/>
  <c r="EX352" i="4"/>
  <c r="EW352" i="4"/>
  <c r="FM352" i="4" s="1"/>
  <c r="EV352" i="4"/>
  <c r="EU352" i="4"/>
  <c r="EB352" i="4"/>
  <c r="DX352" i="4"/>
  <c r="DW352" i="4"/>
  <c r="DV352" i="4" s="1"/>
  <c r="DZ352" i="4" s="1"/>
  <c r="DL352" i="4"/>
  <c r="DH352" i="4"/>
  <c r="DF352" i="4"/>
  <c r="DA352" i="4"/>
  <c r="CX352" i="4"/>
  <c r="FJ352" i="4" s="1"/>
  <c r="FY352" i="4" s="1"/>
  <c r="CW352" i="4"/>
  <c r="CU352" i="4"/>
  <c r="DE352" i="4" s="1"/>
  <c r="CO352" i="4"/>
  <c r="CV352" i="4" s="1"/>
  <c r="CK352" i="4"/>
  <c r="BS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Y352" i="4"/>
  <c r="Q352" i="4"/>
  <c r="B352" i="4"/>
  <c r="A352" i="4"/>
  <c r="QX351" i="4"/>
  <c r="FY351" i="4"/>
  <c r="FV351" i="4"/>
  <c r="FS351" i="4"/>
  <c r="FO351" i="4"/>
  <c r="FM351" i="4"/>
  <c r="FL351" i="4"/>
  <c r="FJ351" i="4"/>
  <c r="FI351" i="4"/>
  <c r="FX351" i="4" s="1"/>
  <c r="FH351" i="4"/>
  <c r="FG351" i="4"/>
  <c r="FU351" i="4" s="1"/>
  <c r="FE351" i="4"/>
  <c r="FT351" i="4" s="1"/>
  <c r="FD351" i="4"/>
  <c r="FC351" i="4"/>
  <c r="FR351" i="4" s="1"/>
  <c r="FA351" i="4"/>
  <c r="FP351" i="4" s="1"/>
  <c r="EZ351" i="4"/>
  <c r="EY351" i="4"/>
  <c r="EX351" i="4"/>
  <c r="FN351" i="4" s="1"/>
  <c r="EW351" i="4"/>
  <c r="EV351" i="4"/>
  <c r="EU351" i="4"/>
  <c r="FK351" i="4" s="1"/>
  <c r="EA351" i="4"/>
  <c r="DX351" i="4"/>
  <c r="EB351" i="4" s="1"/>
  <c r="DW351" i="4"/>
  <c r="DU351" i="4"/>
  <c r="DL351" i="4"/>
  <c r="DH351" i="4"/>
  <c r="DG351" i="4"/>
  <c r="DF351" i="4"/>
  <c r="DA351" i="4"/>
  <c r="CX351" i="4"/>
  <c r="CW351" i="4"/>
  <c r="CV351" i="4"/>
  <c r="CU351" i="4"/>
  <c r="DE351" i="4" s="1"/>
  <c r="CO351" i="4"/>
  <c r="FB351" i="4" s="1"/>
  <c r="FQ351" i="4" s="1"/>
  <c r="CK351" i="4"/>
  <c r="CG351" i="4"/>
  <c r="BS351" i="4"/>
  <c r="BP351" i="4"/>
  <c r="BO351" i="4"/>
  <c r="BN351" i="4"/>
  <c r="BM351" i="4"/>
  <c r="BL351" i="4"/>
  <c r="BK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Y351" i="4"/>
  <c r="Q351" i="4"/>
  <c r="B351" i="4"/>
  <c r="A351" i="4"/>
  <c r="QX350" i="4"/>
  <c r="FX350" i="4"/>
  <c r="FU350" i="4"/>
  <c r="FT350" i="4"/>
  <c r="FR350" i="4"/>
  <c r="FP350" i="4"/>
  <c r="FN350" i="4"/>
  <c r="FL350" i="4"/>
  <c r="FI350" i="4"/>
  <c r="FH350" i="4"/>
  <c r="FV350" i="4" s="1"/>
  <c r="FG350" i="4"/>
  <c r="FE350" i="4"/>
  <c r="FD350" i="4"/>
  <c r="FS350" i="4" s="1"/>
  <c r="FC350" i="4"/>
  <c r="FA350" i="4"/>
  <c r="EZ350" i="4"/>
  <c r="FO350" i="4" s="1"/>
  <c r="EY350" i="4"/>
  <c r="EX350" i="4"/>
  <c r="EW350" i="4"/>
  <c r="FM350" i="4" s="1"/>
  <c r="EV350" i="4"/>
  <c r="EU350" i="4"/>
  <c r="FK350" i="4" s="1"/>
  <c r="DX350" i="4"/>
  <c r="EB350" i="4" s="1"/>
  <c r="DW350" i="4"/>
  <c r="DV350" i="4" s="1"/>
  <c r="DZ350" i="4" s="1"/>
  <c r="DL350" i="4"/>
  <c r="DH350" i="4"/>
  <c r="DF350" i="4"/>
  <c r="DA350" i="4"/>
  <c r="CX350" i="4"/>
  <c r="FJ350" i="4" s="1"/>
  <c r="FY350" i="4" s="1"/>
  <c r="CU350" i="4"/>
  <c r="DE350" i="4" s="1"/>
  <c r="CO350" i="4"/>
  <c r="FB350" i="4" s="1"/>
  <c r="FQ350" i="4" s="1"/>
  <c r="CG350" i="4"/>
  <c r="BS350" i="4"/>
  <c r="BP350" i="4"/>
  <c r="BO350" i="4"/>
  <c r="BN350" i="4"/>
  <c r="BM350" i="4"/>
  <c r="BL350" i="4"/>
  <c r="BK350" i="4"/>
  <c r="BJ350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Y350" i="4"/>
  <c r="Q350" i="4"/>
  <c r="B350" i="4"/>
  <c r="A350" i="4"/>
  <c r="QX349" i="4"/>
  <c r="FX349" i="4"/>
  <c r="FV349" i="4"/>
  <c r="FT349" i="4"/>
  <c r="FR349" i="4"/>
  <c r="FP349" i="4"/>
  <c r="FM349" i="4"/>
  <c r="FL349" i="4"/>
  <c r="FJ349" i="4"/>
  <c r="FY349" i="4" s="1"/>
  <c r="FI349" i="4"/>
  <c r="FH349" i="4"/>
  <c r="FG349" i="4"/>
  <c r="FU349" i="4" s="1"/>
  <c r="FE349" i="4"/>
  <c r="FD349" i="4"/>
  <c r="FS349" i="4" s="1"/>
  <c r="FC349" i="4"/>
  <c r="FA349" i="4"/>
  <c r="EZ349" i="4"/>
  <c r="FO349" i="4" s="1"/>
  <c r="EY349" i="4"/>
  <c r="EX349" i="4"/>
  <c r="FN349" i="4" s="1"/>
  <c r="EW349" i="4"/>
  <c r="EV349" i="4"/>
  <c r="EU349" i="4"/>
  <c r="FK349" i="4" s="1"/>
  <c r="EA349" i="4"/>
  <c r="DX349" i="4"/>
  <c r="EB349" i="4" s="1"/>
  <c r="DW349" i="4"/>
  <c r="DV349" i="4" s="1"/>
  <c r="DZ349" i="4" s="1"/>
  <c r="DU349" i="4"/>
  <c r="DL349" i="4"/>
  <c r="DH349" i="4"/>
  <c r="DF349" i="4"/>
  <c r="DA349" i="4"/>
  <c r="CX349" i="4"/>
  <c r="CV349" i="4"/>
  <c r="CU349" i="4"/>
  <c r="DE349" i="4" s="1"/>
  <c r="CO349" i="4"/>
  <c r="CW349" i="4" s="1"/>
  <c r="CG349" i="4"/>
  <c r="BS349" i="4"/>
  <c r="BR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V349" i="4"/>
  <c r="Y349" i="4"/>
  <c r="Q349" i="4"/>
  <c r="B349" i="4"/>
  <c r="A349" i="4"/>
  <c r="MF348" i="4"/>
  <c r="FY348" i="4"/>
  <c r="FU348" i="4"/>
  <c r="FS348" i="4"/>
  <c r="FO348" i="4"/>
  <c r="FN348" i="4"/>
  <c r="FL348" i="4"/>
  <c r="FK348" i="4"/>
  <c r="FJ348" i="4"/>
  <c r="FI348" i="4"/>
  <c r="FX348" i="4" s="1"/>
  <c r="FH348" i="4"/>
  <c r="FV348" i="4" s="1"/>
  <c r="FG348" i="4"/>
  <c r="FF348" i="4"/>
  <c r="FW348" i="4" s="1"/>
  <c r="FE348" i="4"/>
  <c r="FT348" i="4" s="1"/>
  <c r="FD348" i="4"/>
  <c r="FC348" i="4"/>
  <c r="FR348" i="4" s="1"/>
  <c r="FA348" i="4"/>
  <c r="FP348" i="4" s="1"/>
  <c r="EZ348" i="4"/>
  <c r="EY348" i="4"/>
  <c r="EX348" i="4"/>
  <c r="EW348" i="4"/>
  <c r="FM348" i="4" s="1"/>
  <c r="EV348" i="4"/>
  <c r="EU348" i="4"/>
  <c r="EB348" i="4"/>
  <c r="DX348" i="4"/>
  <c r="DW348" i="4"/>
  <c r="DV348" i="4" s="1"/>
  <c r="DY348" i="4" s="1"/>
  <c r="EC348" i="4" s="1"/>
  <c r="DL348" i="4"/>
  <c r="DH348" i="4"/>
  <c r="DG348" i="4"/>
  <c r="DF348" i="4"/>
  <c r="DE348" i="4"/>
  <c r="DA348" i="4"/>
  <c r="CW348" i="4"/>
  <c r="CO348" i="4"/>
  <c r="FB348" i="4" s="1"/>
  <c r="FQ348" i="4" s="1"/>
  <c r="DD348" i="4" s="1"/>
  <c r="CG348" i="4"/>
  <c r="BS348" i="4"/>
  <c r="BP348" i="4"/>
  <c r="BO348" i="4"/>
  <c r="BN348" i="4"/>
  <c r="BM348" i="4"/>
  <c r="BL348" i="4"/>
  <c r="BK348" i="4"/>
  <c r="BJ348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V348" i="4"/>
  <c r="Y348" i="4"/>
  <c r="B348" i="4"/>
  <c r="A348" i="4"/>
  <c r="QX347" i="4"/>
  <c r="FU347" i="4"/>
  <c r="FS347" i="4"/>
  <c r="FO347" i="4"/>
  <c r="FN347" i="4"/>
  <c r="FL347" i="4"/>
  <c r="FK347" i="4"/>
  <c r="FI347" i="4"/>
  <c r="FX347" i="4" s="1"/>
  <c r="FH347" i="4"/>
  <c r="FV347" i="4" s="1"/>
  <c r="FG347" i="4"/>
  <c r="FE347" i="4"/>
  <c r="FT347" i="4" s="1"/>
  <c r="FD347" i="4"/>
  <c r="FC347" i="4"/>
  <c r="FR347" i="4" s="1"/>
  <c r="FA347" i="4"/>
  <c r="FP347" i="4" s="1"/>
  <c r="EZ347" i="4"/>
  <c r="EY347" i="4"/>
  <c r="EX347" i="4"/>
  <c r="EW347" i="4"/>
  <c r="FM347" i="4" s="1"/>
  <c r="EV347" i="4"/>
  <c r="EU347" i="4"/>
  <c r="EB347" i="4"/>
  <c r="DZ347" i="4"/>
  <c r="DX347" i="4"/>
  <c r="DW347" i="4"/>
  <c r="DV347" i="4" s="1"/>
  <c r="DL347" i="4"/>
  <c r="DH347" i="4"/>
  <c r="DF347" i="4"/>
  <c r="DA347" i="4"/>
  <c r="CX347" i="4"/>
  <c r="FJ347" i="4" s="1"/>
  <c r="FY347" i="4" s="1"/>
  <c r="CW347" i="4"/>
  <c r="CU347" i="4"/>
  <c r="DE347" i="4" s="1"/>
  <c r="CO347" i="4"/>
  <c r="CV347" i="4" s="1"/>
  <c r="CG347" i="4"/>
  <c r="BS347" i="4"/>
  <c r="BP347" i="4"/>
  <c r="BO347" i="4"/>
  <c r="BN347" i="4"/>
  <c r="BM347" i="4"/>
  <c r="BL347" i="4"/>
  <c r="BK347" i="4"/>
  <c r="BJ347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V347" i="4"/>
  <c r="Y347" i="4"/>
  <c r="Q347" i="4"/>
  <c r="B347" i="4"/>
  <c r="A347" i="4"/>
  <c r="FY346" i="4"/>
  <c r="FV346" i="4"/>
  <c r="FS346" i="4"/>
  <c r="FO346" i="4"/>
  <c r="FM346" i="4"/>
  <c r="FL346" i="4"/>
  <c r="FJ346" i="4"/>
  <c r="FI346" i="4"/>
  <c r="FX346" i="4" s="1"/>
  <c r="FH346" i="4"/>
  <c r="FG346" i="4"/>
  <c r="FU346" i="4" s="1"/>
  <c r="FE346" i="4"/>
  <c r="FT346" i="4" s="1"/>
  <c r="FD346" i="4"/>
  <c r="FC346" i="4"/>
  <c r="FR346" i="4" s="1"/>
  <c r="FA346" i="4"/>
  <c r="FP346" i="4" s="1"/>
  <c r="EZ346" i="4"/>
  <c r="EY346" i="4"/>
  <c r="EX346" i="4"/>
  <c r="FN346" i="4" s="1"/>
  <c r="EW346" i="4"/>
  <c r="EV346" i="4"/>
  <c r="EU346" i="4"/>
  <c r="FK346" i="4" s="1"/>
  <c r="EA346" i="4"/>
  <c r="DX346" i="4"/>
  <c r="DW346" i="4"/>
  <c r="DU346" i="4"/>
  <c r="DL346" i="4"/>
  <c r="DF346" i="4"/>
  <c r="DA346" i="4"/>
  <c r="CW346" i="4"/>
  <c r="CU346" i="4"/>
  <c r="DE346" i="4" s="1"/>
  <c r="CO346" i="4"/>
  <c r="FB346" i="4" s="1"/>
  <c r="FQ346" i="4" s="1"/>
  <c r="CN346" i="4"/>
  <c r="QX346" i="4" s="1"/>
  <c r="CG346" i="4"/>
  <c r="BS346" i="4"/>
  <c r="BP346" i="4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Y346" i="4"/>
  <c r="Q346" i="4"/>
  <c r="B346" i="4"/>
  <c r="A346" i="4"/>
  <c r="QX345" i="4"/>
  <c r="FS345" i="4"/>
  <c r="FO345" i="4"/>
  <c r="FN345" i="4"/>
  <c r="FM345" i="4"/>
  <c r="FK345" i="4"/>
  <c r="FH345" i="4"/>
  <c r="FV345" i="4" s="1"/>
  <c r="FG345" i="4"/>
  <c r="FU345" i="4" s="1"/>
  <c r="FE345" i="4"/>
  <c r="FT345" i="4" s="1"/>
  <c r="FD345" i="4"/>
  <c r="FC345" i="4"/>
  <c r="FR345" i="4" s="1"/>
  <c r="FA345" i="4"/>
  <c r="FP345" i="4" s="1"/>
  <c r="EZ345" i="4"/>
  <c r="EY345" i="4"/>
  <c r="EX345" i="4"/>
  <c r="EW345" i="4"/>
  <c r="EV345" i="4"/>
  <c r="FL345" i="4" s="1"/>
  <c r="EU345" i="4"/>
  <c r="EB345" i="4"/>
  <c r="DX345" i="4"/>
  <c r="DV345" i="4"/>
  <c r="DZ345" i="4" s="1"/>
  <c r="DL345" i="4"/>
  <c r="DH345" i="4"/>
  <c r="DF345" i="4"/>
  <c r="DE345" i="4"/>
  <c r="DA345" i="4"/>
  <c r="CW345" i="4"/>
  <c r="CU345" i="4"/>
  <c r="CO345" i="4"/>
  <c r="FB345" i="4" s="1"/>
  <c r="FQ345" i="4" s="1"/>
  <c r="CN345" i="4"/>
  <c r="DW345" i="4" s="1"/>
  <c r="CG345" i="4"/>
  <c r="BS345" i="4"/>
  <c r="BP345" i="4"/>
  <c r="BO345" i="4"/>
  <c r="BM345" i="4"/>
  <c r="BL345" i="4"/>
  <c r="BK345" i="4"/>
  <c r="BJ345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Y345" i="4"/>
  <c r="Q345" i="4"/>
  <c r="B345" i="4"/>
  <c r="A345" i="4"/>
  <c r="QX344" i="4"/>
  <c r="FU344" i="4"/>
  <c r="FS344" i="4"/>
  <c r="FR344" i="4"/>
  <c r="FN344" i="4"/>
  <c r="FL344" i="4"/>
  <c r="FK344" i="4"/>
  <c r="FI344" i="4"/>
  <c r="FX344" i="4" s="1"/>
  <c r="FH344" i="4"/>
  <c r="FV344" i="4" s="1"/>
  <c r="FG344" i="4"/>
  <c r="FE344" i="4"/>
  <c r="FT344" i="4" s="1"/>
  <c r="FD344" i="4"/>
  <c r="FC344" i="4"/>
  <c r="FA344" i="4"/>
  <c r="FP344" i="4" s="1"/>
  <c r="EZ344" i="4"/>
  <c r="FO344" i="4" s="1"/>
  <c r="EY344" i="4"/>
  <c r="EX344" i="4"/>
  <c r="EW344" i="4"/>
  <c r="FM344" i="4" s="1"/>
  <c r="EV344" i="4"/>
  <c r="EU344" i="4"/>
  <c r="EB344" i="4"/>
  <c r="DX344" i="4"/>
  <c r="DW344" i="4"/>
  <c r="DL344" i="4"/>
  <c r="DH344" i="4"/>
  <c r="DF344" i="4"/>
  <c r="DA344" i="4"/>
  <c r="CX344" i="4"/>
  <c r="FJ344" i="4" s="1"/>
  <c r="FY344" i="4" s="1"/>
  <c r="CW344" i="4"/>
  <c r="CU344" i="4"/>
  <c r="DE344" i="4" s="1"/>
  <c r="CO344" i="4"/>
  <c r="CV344" i="4" s="1"/>
  <c r="CG344" i="4"/>
  <c r="BS344" i="4"/>
  <c r="BP344" i="4"/>
  <c r="BO344" i="4"/>
  <c r="BN344" i="4"/>
  <c r="BM344" i="4"/>
  <c r="BL344" i="4"/>
  <c r="BK344" i="4"/>
  <c r="BJ344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Y344" i="4"/>
  <c r="Q344" i="4"/>
  <c r="B344" i="4"/>
  <c r="A344" i="4"/>
  <c r="QX343" i="4"/>
  <c r="FV343" i="4"/>
  <c r="FP343" i="4"/>
  <c r="FO343" i="4"/>
  <c r="FM343" i="4"/>
  <c r="FJ343" i="4"/>
  <c r="FY343" i="4" s="1"/>
  <c r="FI343" i="4"/>
  <c r="FX343" i="4" s="1"/>
  <c r="FH343" i="4"/>
  <c r="FG343" i="4"/>
  <c r="FU343" i="4" s="1"/>
  <c r="FE343" i="4"/>
  <c r="FT343" i="4" s="1"/>
  <c r="FD343" i="4"/>
  <c r="FS343" i="4" s="1"/>
  <c r="FC343" i="4"/>
  <c r="FR343" i="4" s="1"/>
  <c r="FA343" i="4"/>
  <c r="EZ343" i="4"/>
  <c r="EY343" i="4"/>
  <c r="EX343" i="4"/>
  <c r="FN343" i="4" s="1"/>
  <c r="EW343" i="4"/>
  <c r="EV343" i="4"/>
  <c r="FL343" i="4" s="1"/>
  <c r="EU343" i="4"/>
  <c r="FK343" i="4" s="1"/>
  <c r="EA343" i="4"/>
  <c r="DX343" i="4"/>
  <c r="DW343" i="4"/>
  <c r="DU343" i="4"/>
  <c r="DL343" i="4"/>
  <c r="DH343" i="4"/>
  <c r="DF343" i="4"/>
  <c r="DA343" i="4"/>
  <c r="CX343" i="4"/>
  <c r="CW343" i="4"/>
  <c r="CV343" i="4"/>
  <c r="CU343" i="4"/>
  <c r="DE343" i="4" s="1"/>
  <c r="CO343" i="4"/>
  <c r="FB343" i="4" s="1"/>
  <c r="FQ343" i="4" s="1"/>
  <c r="DC343" i="4" s="1"/>
  <c r="CG343" i="4"/>
  <c r="BS343" i="4"/>
  <c r="BP343" i="4"/>
  <c r="BO343" i="4"/>
  <c r="BN343" i="4"/>
  <c r="BM343" i="4"/>
  <c r="BL343" i="4"/>
  <c r="BK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Y343" i="4"/>
  <c r="Q343" i="4"/>
  <c r="B343" i="4"/>
  <c r="A343" i="4"/>
  <c r="QX342" i="4"/>
  <c r="FS342" i="4"/>
  <c r="FO342" i="4"/>
  <c r="FN342" i="4"/>
  <c r="FM342" i="4"/>
  <c r="FK342" i="4"/>
  <c r="FI342" i="4"/>
  <c r="FX342" i="4" s="1"/>
  <c r="FH342" i="4"/>
  <c r="FV342" i="4" s="1"/>
  <c r="FG342" i="4"/>
  <c r="FU342" i="4" s="1"/>
  <c r="FE342" i="4"/>
  <c r="FT342" i="4" s="1"/>
  <c r="FD342" i="4"/>
  <c r="FC342" i="4"/>
  <c r="FR342" i="4" s="1"/>
  <c r="FA342" i="4"/>
  <c r="FP342" i="4" s="1"/>
  <c r="EZ342" i="4"/>
  <c r="EY342" i="4"/>
  <c r="EX342" i="4"/>
  <c r="EW342" i="4"/>
  <c r="EV342" i="4"/>
  <c r="FL342" i="4" s="1"/>
  <c r="EU342" i="4"/>
  <c r="EB342" i="4"/>
  <c r="DX342" i="4"/>
  <c r="DW342" i="4"/>
  <c r="EA342" i="4" s="1"/>
  <c r="DV342" i="4"/>
  <c r="DL342" i="4"/>
  <c r="DH342" i="4"/>
  <c r="DF342" i="4"/>
  <c r="DE342" i="4"/>
  <c r="DA342" i="4"/>
  <c r="CX342" i="4"/>
  <c r="FJ342" i="4" s="1"/>
  <c r="FY342" i="4" s="1"/>
  <c r="CU342" i="4"/>
  <c r="CO342" i="4"/>
  <c r="CV342" i="4" s="1"/>
  <c r="CK342" i="4"/>
  <c r="CG342" i="4"/>
  <c r="BS342" i="4"/>
  <c r="BR342" i="4"/>
  <c r="BP342" i="4"/>
  <c r="BO342" i="4"/>
  <c r="BN342" i="4"/>
  <c r="BM342" i="4"/>
  <c r="BL342" i="4"/>
  <c r="BK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Y342" i="4"/>
  <c r="Q342" i="4"/>
  <c r="B342" i="4"/>
  <c r="A342" i="4"/>
  <c r="QX341" i="4"/>
  <c r="FS341" i="4"/>
  <c r="FO341" i="4"/>
  <c r="FN341" i="4"/>
  <c r="FM341" i="4"/>
  <c r="FK341" i="4"/>
  <c r="FI341" i="4"/>
  <c r="FX341" i="4" s="1"/>
  <c r="FH341" i="4"/>
  <c r="FV341" i="4" s="1"/>
  <c r="FG341" i="4"/>
  <c r="FU341" i="4" s="1"/>
  <c r="FE341" i="4"/>
  <c r="FT341" i="4" s="1"/>
  <c r="FD341" i="4"/>
  <c r="FC341" i="4"/>
  <c r="FR341" i="4" s="1"/>
  <c r="FB341" i="4"/>
  <c r="FQ341" i="4" s="1"/>
  <c r="FA341" i="4"/>
  <c r="FP341" i="4" s="1"/>
  <c r="EZ341" i="4"/>
  <c r="EY341" i="4"/>
  <c r="EX341" i="4"/>
  <c r="EW341" i="4"/>
  <c r="EV341" i="4"/>
  <c r="FL341" i="4" s="1"/>
  <c r="EU341" i="4"/>
  <c r="EB341" i="4"/>
  <c r="DX341" i="4"/>
  <c r="DW341" i="4"/>
  <c r="EA341" i="4" s="1"/>
  <c r="DV341" i="4"/>
  <c r="DZ341" i="4" s="1"/>
  <c r="DL341" i="4"/>
  <c r="DH341" i="4"/>
  <c r="DF341" i="4"/>
  <c r="DE341" i="4"/>
  <c r="DA341" i="4"/>
  <c r="CX341" i="4"/>
  <c r="FJ341" i="4" s="1"/>
  <c r="FY341" i="4" s="1"/>
  <c r="CW341" i="4"/>
  <c r="CU341" i="4"/>
  <c r="CO341" i="4"/>
  <c r="CV341" i="4" s="1"/>
  <c r="CG341" i="4"/>
  <c r="BS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Y341" i="4"/>
  <c r="Q341" i="4"/>
  <c r="B341" i="4"/>
  <c r="A341" i="4"/>
  <c r="QX340" i="4"/>
  <c r="FX340" i="4"/>
  <c r="FU340" i="4"/>
  <c r="FS340" i="4"/>
  <c r="FR340" i="4"/>
  <c r="FN340" i="4"/>
  <c r="FL340" i="4"/>
  <c r="FK340" i="4"/>
  <c r="FI340" i="4"/>
  <c r="FH340" i="4"/>
  <c r="FV340" i="4" s="1"/>
  <c r="FG340" i="4"/>
  <c r="FE340" i="4"/>
  <c r="FT340" i="4" s="1"/>
  <c r="FD340" i="4"/>
  <c r="FC340" i="4"/>
  <c r="FA340" i="4"/>
  <c r="FP340" i="4" s="1"/>
  <c r="EZ340" i="4"/>
  <c r="FO340" i="4" s="1"/>
  <c r="EY340" i="4"/>
  <c r="EX340" i="4"/>
  <c r="EW340" i="4"/>
  <c r="FM340" i="4" s="1"/>
  <c r="EV340" i="4"/>
  <c r="EU340" i="4"/>
  <c r="EB340" i="4"/>
  <c r="DX340" i="4"/>
  <c r="DW340" i="4"/>
  <c r="DL340" i="4"/>
  <c r="DH340" i="4"/>
  <c r="DF340" i="4"/>
  <c r="DA340" i="4"/>
  <c r="CX340" i="4"/>
  <c r="FJ340" i="4" s="1"/>
  <c r="FY340" i="4" s="1"/>
  <c r="CW340" i="4"/>
  <c r="CU340" i="4"/>
  <c r="DE340" i="4" s="1"/>
  <c r="CO340" i="4"/>
  <c r="CV340" i="4" s="1"/>
  <c r="CG340" i="4"/>
  <c r="BS340" i="4"/>
  <c r="BP340" i="4"/>
  <c r="BO340" i="4"/>
  <c r="BN340" i="4"/>
  <c r="BM340" i="4"/>
  <c r="BL340" i="4"/>
  <c r="BK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Y340" i="4"/>
  <c r="Q340" i="4"/>
  <c r="B340" i="4"/>
  <c r="A340" i="4"/>
  <c r="QX339" i="4"/>
  <c r="FV339" i="4"/>
  <c r="FP339" i="4"/>
  <c r="FO339" i="4"/>
  <c r="FM339" i="4"/>
  <c r="FJ339" i="4"/>
  <c r="FY339" i="4" s="1"/>
  <c r="FI339" i="4"/>
  <c r="FX339" i="4" s="1"/>
  <c r="FH339" i="4"/>
  <c r="FG339" i="4"/>
  <c r="FU339" i="4" s="1"/>
  <c r="FE339" i="4"/>
  <c r="FT339" i="4" s="1"/>
  <c r="FD339" i="4"/>
  <c r="FS339" i="4" s="1"/>
  <c r="FC339" i="4"/>
  <c r="FR339" i="4" s="1"/>
  <c r="FA339" i="4"/>
  <c r="EZ339" i="4"/>
  <c r="EY339" i="4"/>
  <c r="EX339" i="4"/>
  <c r="FN339" i="4" s="1"/>
  <c r="EW339" i="4"/>
  <c r="EV339" i="4"/>
  <c r="FL339" i="4" s="1"/>
  <c r="EU339" i="4"/>
  <c r="FK339" i="4" s="1"/>
  <c r="DX339" i="4"/>
  <c r="EB339" i="4" s="1"/>
  <c r="DH339" i="4"/>
  <c r="DF339" i="4"/>
  <c r="DE339" i="4"/>
  <c r="DA339" i="4"/>
  <c r="CX339" i="4"/>
  <c r="CU339" i="4"/>
  <c r="CO339" i="4"/>
  <c r="CK339" i="4"/>
  <c r="BS339" i="4"/>
  <c r="BP339" i="4"/>
  <c r="BO339" i="4"/>
  <c r="BN339" i="4"/>
  <c r="BM339" i="4"/>
  <c r="BL339" i="4"/>
  <c r="BK339" i="4"/>
  <c r="BJ339" i="4"/>
  <c r="BI339" i="4"/>
  <c r="BH339" i="4"/>
  <c r="BG339" i="4"/>
  <c r="BE339" i="4"/>
  <c r="BC339" i="4"/>
  <c r="BA339" i="4"/>
  <c r="AY339" i="4"/>
  <c r="AW339" i="4"/>
  <c r="Y339" i="4"/>
  <c r="Q339" i="4"/>
  <c r="B339" i="4"/>
  <c r="A339" i="4"/>
  <c r="QX338" i="4"/>
  <c r="FU338" i="4"/>
  <c r="FS338" i="4"/>
  <c r="FN338" i="4"/>
  <c r="FL338" i="4"/>
  <c r="FK338" i="4"/>
  <c r="FI338" i="4"/>
  <c r="FX338" i="4" s="1"/>
  <c r="FH338" i="4"/>
  <c r="FV338" i="4" s="1"/>
  <c r="FG338" i="4"/>
  <c r="FE338" i="4"/>
  <c r="FT338" i="4" s="1"/>
  <c r="FD338" i="4"/>
  <c r="FC338" i="4"/>
  <c r="FR338" i="4" s="1"/>
  <c r="FA338" i="4"/>
  <c r="FP338" i="4" s="1"/>
  <c r="EZ338" i="4"/>
  <c r="FO338" i="4" s="1"/>
  <c r="EY338" i="4"/>
  <c r="EX338" i="4"/>
  <c r="EW338" i="4"/>
  <c r="FM338" i="4" s="1"/>
  <c r="EV338" i="4"/>
  <c r="EU338" i="4"/>
  <c r="EB338" i="4"/>
  <c r="DX338" i="4"/>
  <c r="DW338" i="4"/>
  <c r="DL338" i="4"/>
  <c r="DH338" i="4"/>
  <c r="DF338" i="4"/>
  <c r="DA338" i="4"/>
  <c r="CX338" i="4"/>
  <c r="FJ338" i="4" s="1"/>
  <c r="FY338" i="4" s="1"/>
  <c r="CW338" i="4"/>
  <c r="CU338" i="4"/>
  <c r="DE338" i="4" s="1"/>
  <c r="CO338" i="4"/>
  <c r="CV338" i="4" s="1"/>
  <c r="CG338" i="4"/>
  <c r="BS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Y338" i="4"/>
  <c r="Q338" i="4"/>
  <c r="B338" i="4"/>
  <c r="A338" i="4"/>
  <c r="QX337" i="4"/>
  <c r="FV337" i="4"/>
  <c r="FS337" i="4"/>
  <c r="FP337" i="4"/>
  <c r="FO337" i="4"/>
  <c r="FM337" i="4"/>
  <c r="FJ337" i="4"/>
  <c r="FY337" i="4" s="1"/>
  <c r="FI337" i="4"/>
  <c r="FX337" i="4" s="1"/>
  <c r="FH337" i="4"/>
  <c r="FG337" i="4"/>
  <c r="FU337" i="4" s="1"/>
  <c r="FE337" i="4"/>
  <c r="FT337" i="4" s="1"/>
  <c r="FD337" i="4"/>
  <c r="FC337" i="4"/>
  <c r="FR337" i="4" s="1"/>
  <c r="FA337" i="4"/>
  <c r="EZ337" i="4"/>
  <c r="EY337" i="4"/>
  <c r="EX337" i="4"/>
  <c r="FN337" i="4" s="1"/>
  <c r="EW337" i="4"/>
  <c r="EV337" i="4"/>
  <c r="FL337" i="4" s="1"/>
  <c r="EU337" i="4"/>
  <c r="FK337" i="4" s="1"/>
  <c r="EA337" i="4"/>
  <c r="DX337" i="4"/>
  <c r="DW337" i="4"/>
  <c r="DU337" i="4"/>
  <c r="DL337" i="4"/>
  <c r="DH337" i="4"/>
  <c r="DF337" i="4"/>
  <c r="DA337" i="4"/>
  <c r="CX337" i="4"/>
  <c r="CW337" i="4"/>
  <c r="CV337" i="4"/>
  <c r="CU337" i="4"/>
  <c r="DE337" i="4" s="1"/>
  <c r="CO337" i="4"/>
  <c r="FB337" i="4" s="1"/>
  <c r="FQ337" i="4" s="1"/>
  <c r="DC337" i="4" s="1"/>
  <c r="CK337" i="4"/>
  <c r="CG337" i="4"/>
  <c r="BS337" i="4"/>
  <c r="BP337" i="4"/>
  <c r="BO337" i="4"/>
  <c r="BN337" i="4"/>
  <c r="BM337" i="4"/>
  <c r="BL337" i="4"/>
  <c r="BK337" i="4"/>
  <c r="BJ337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Y337" i="4"/>
  <c r="Q337" i="4"/>
  <c r="B337" i="4"/>
  <c r="A337" i="4"/>
  <c r="QX336" i="4"/>
  <c r="FX336" i="4"/>
  <c r="FU336" i="4"/>
  <c r="FT336" i="4"/>
  <c r="FP336" i="4"/>
  <c r="FO336" i="4"/>
  <c r="FN336" i="4"/>
  <c r="FL336" i="4"/>
  <c r="FI336" i="4"/>
  <c r="FH336" i="4"/>
  <c r="FV336" i="4" s="1"/>
  <c r="FG336" i="4"/>
  <c r="FE336" i="4"/>
  <c r="FD336" i="4"/>
  <c r="FS336" i="4" s="1"/>
  <c r="FC336" i="4"/>
  <c r="FR336" i="4" s="1"/>
  <c r="FA336" i="4"/>
  <c r="EZ336" i="4"/>
  <c r="EY336" i="4"/>
  <c r="EX336" i="4"/>
  <c r="EW336" i="4"/>
  <c r="FM336" i="4" s="1"/>
  <c r="EV336" i="4"/>
  <c r="EU336" i="4"/>
  <c r="FK336" i="4" s="1"/>
  <c r="DX336" i="4"/>
  <c r="EB336" i="4" s="1"/>
  <c r="DW336" i="4"/>
  <c r="DL336" i="4"/>
  <c r="DH336" i="4"/>
  <c r="DF336" i="4"/>
  <c r="DC336" i="4"/>
  <c r="DB336" i="4" s="1"/>
  <c r="DA336" i="4"/>
  <c r="CX336" i="4"/>
  <c r="FJ336" i="4" s="1"/>
  <c r="FY336" i="4" s="1"/>
  <c r="CU336" i="4"/>
  <c r="DE336" i="4" s="1"/>
  <c r="CO336" i="4"/>
  <c r="FB336" i="4" s="1"/>
  <c r="FQ336" i="4" s="1"/>
  <c r="DD336" i="4" s="1"/>
  <c r="CG336" i="4"/>
  <c r="BS336" i="4"/>
  <c r="BP336" i="4"/>
  <c r="BO336" i="4"/>
  <c r="BN336" i="4"/>
  <c r="BM336" i="4"/>
  <c r="BL336" i="4"/>
  <c r="BK336" i="4"/>
  <c r="BJ336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Y336" i="4"/>
  <c r="Q336" i="4"/>
  <c r="B336" i="4"/>
  <c r="A336" i="4"/>
  <c r="QX335" i="4"/>
  <c r="FY335" i="4"/>
  <c r="FX335" i="4"/>
  <c r="FV335" i="4"/>
  <c r="FT335" i="4"/>
  <c r="FR335" i="4"/>
  <c r="FP335" i="4"/>
  <c r="FM335" i="4"/>
  <c r="FL335" i="4"/>
  <c r="FJ335" i="4"/>
  <c r="FI335" i="4"/>
  <c r="FH335" i="4"/>
  <c r="FG335" i="4"/>
  <c r="FU335" i="4" s="1"/>
  <c r="FE335" i="4"/>
  <c r="FD335" i="4"/>
  <c r="FS335" i="4" s="1"/>
  <c r="FC335" i="4"/>
  <c r="FA335" i="4"/>
  <c r="EZ335" i="4"/>
  <c r="FO335" i="4" s="1"/>
  <c r="EY335" i="4"/>
  <c r="EX335" i="4"/>
  <c r="FN335" i="4" s="1"/>
  <c r="EW335" i="4"/>
  <c r="EV335" i="4"/>
  <c r="EU335" i="4"/>
  <c r="FK335" i="4" s="1"/>
  <c r="EA335" i="4"/>
  <c r="DX335" i="4"/>
  <c r="EB335" i="4" s="1"/>
  <c r="DW335" i="4"/>
  <c r="DU335" i="4"/>
  <c r="DL335" i="4"/>
  <c r="DH335" i="4"/>
  <c r="DF335" i="4"/>
  <c r="DA335" i="4"/>
  <c r="CX335" i="4"/>
  <c r="CV335" i="4"/>
  <c r="CU335" i="4"/>
  <c r="DE335" i="4" s="1"/>
  <c r="CO335" i="4"/>
  <c r="CW335" i="4" s="1"/>
  <c r="CG335" i="4"/>
  <c r="BS335" i="4"/>
  <c r="BP335" i="4"/>
  <c r="BO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Y335" i="4"/>
  <c r="Q335" i="4"/>
  <c r="B335" i="4"/>
  <c r="A335" i="4"/>
  <c r="QX334" i="4"/>
  <c r="FX334" i="4"/>
  <c r="FV334" i="4"/>
  <c r="FU334" i="4"/>
  <c r="FT334" i="4"/>
  <c r="FR334" i="4"/>
  <c r="FP334" i="4"/>
  <c r="FK334" i="4"/>
  <c r="FJ334" i="4"/>
  <c r="FY334" i="4" s="1"/>
  <c r="FI334" i="4"/>
  <c r="FH334" i="4"/>
  <c r="FG334" i="4"/>
  <c r="FE334" i="4"/>
  <c r="FD334" i="4"/>
  <c r="FS334" i="4" s="1"/>
  <c r="FC334" i="4"/>
  <c r="FA334" i="4"/>
  <c r="EZ334" i="4"/>
  <c r="FO334" i="4" s="1"/>
  <c r="EY334" i="4"/>
  <c r="EX334" i="4"/>
  <c r="FN334" i="4" s="1"/>
  <c r="EW334" i="4"/>
  <c r="FM334" i="4" s="1"/>
  <c r="EV334" i="4"/>
  <c r="FL334" i="4" s="1"/>
  <c r="EU334" i="4"/>
  <c r="EB334" i="4"/>
  <c r="EA334" i="4"/>
  <c r="DX334" i="4"/>
  <c r="DW334" i="4"/>
  <c r="DV334" i="4"/>
  <c r="DU334" i="4"/>
  <c r="DL334" i="4"/>
  <c r="DH334" i="4"/>
  <c r="DF334" i="4"/>
  <c r="DE334" i="4"/>
  <c r="DA334" i="4"/>
  <c r="CX334" i="4"/>
  <c r="CU334" i="4"/>
  <c r="CO334" i="4"/>
  <c r="CW334" i="4" s="1"/>
  <c r="CG334" i="4"/>
  <c r="BS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Y334" i="4"/>
  <c r="Q334" i="4"/>
  <c r="B334" i="4"/>
  <c r="A334" i="4"/>
  <c r="QX333" i="4"/>
  <c r="FV333" i="4"/>
  <c r="FU333" i="4"/>
  <c r="FT333" i="4"/>
  <c r="FP333" i="4"/>
  <c r="FN333" i="4"/>
  <c r="FI333" i="4"/>
  <c r="FX333" i="4" s="1"/>
  <c r="FH333" i="4"/>
  <c r="FG333" i="4"/>
  <c r="FF333" i="4"/>
  <c r="FW333" i="4" s="1"/>
  <c r="FE333" i="4"/>
  <c r="FD333" i="4"/>
  <c r="FS333" i="4" s="1"/>
  <c r="FC333" i="4"/>
  <c r="FR333" i="4" s="1"/>
  <c r="FB333" i="4"/>
  <c r="FQ333" i="4" s="1"/>
  <c r="DC333" i="4" s="1"/>
  <c r="DB333" i="4" s="1"/>
  <c r="FA333" i="4"/>
  <c r="EZ333" i="4"/>
  <c r="FO333" i="4" s="1"/>
  <c r="EY333" i="4"/>
  <c r="EX333" i="4"/>
  <c r="EW333" i="4"/>
  <c r="FM333" i="4" s="1"/>
  <c r="EV333" i="4"/>
  <c r="FL333" i="4" s="1"/>
  <c r="EU333" i="4"/>
  <c r="FK333" i="4" s="1"/>
  <c r="EA333" i="4"/>
  <c r="DZ333" i="4"/>
  <c r="DX333" i="4"/>
  <c r="EB333" i="4" s="1"/>
  <c r="DW333" i="4"/>
  <c r="DV333" i="4" s="1"/>
  <c r="DU333" i="4"/>
  <c r="DL333" i="4"/>
  <c r="DH333" i="4"/>
  <c r="DF333" i="4"/>
  <c r="DD333" i="4"/>
  <c r="DA333" i="4"/>
  <c r="CX333" i="4"/>
  <c r="FJ333" i="4" s="1"/>
  <c r="FY333" i="4" s="1"/>
  <c r="CV333" i="4"/>
  <c r="DG333" i="4" s="1"/>
  <c r="CU333" i="4"/>
  <c r="DE333" i="4" s="1"/>
  <c r="CO333" i="4"/>
  <c r="CW333" i="4" s="1"/>
  <c r="CK333" i="4"/>
  <c r="CG333" i="4"/>
  <c r="BS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Y333" i="4"/>
  <c r="Q333" i="4"/>
  <c r="B333" i="4"/>
  <c r="A333" i="4"/>
  <c r="QX332" i="4"/>
  <c r="FX332" i="4"/>
  <c r="FT332" i="4"/>
  <c r="FS332" i="4"/>
  <c r="FO332" i="4"/>
  <c r="FN332" i="4"/>
  <c r="FM332" i="4"/>
  <c r="FK332" i="4"/>
  <c r="FJ332" i="4"/>
  <c r="FY332" i="4" s="1"/>
  <c r="FI332" i="4"/>
  <c r="FH332" i="4"/>
  <c r="FV332" i="4" s="1"/>
  <c r="FG332" i="4"/>
  <c r="FU332" i="4" s="1"/>
  <c r="FE332" i="4"/>
  <c r="FD332" i="4"/>
  <c r="FC332" i="4"/>
  <c r="FR332" i="4" s="1"/>
  <c r="FA332" i="4"/>
  <c r="FP332" i="4" s="1"/>
  <c r="EZ332" i="4"/>
  <c r="EY332" i="4"/>
  <c r="EX332" i="4"/>
  <c r="EW332" i="4"/>
  <c r="EV332" i="4"/>
  <c r="FL332" i="4" s="1"/>
  <c r="EU332" i="4"/>
  <c r="EB332" i="4"/>
  <c r="EA332" i="4"/>
  <c r="DX332" i="4"/>
  <c r="DW332" i="4"/>
  <c r="DV332" i="4"/>
  <c r="DZ332" i="4" s="1"/>
  <c r="DU332" i="4"/>
  <c r="DL332" i="4"/>
  <c r="DH332" i="4"/>
  <c r="DF332" i="4"/>
  <c r="DE332" i="4"/>
  <c r="DA332" i="4"/>
  <c r="CX332" i="4"/>
  <c r="CU332" i="4"/>
  <c r="CO332" i="4"/>
  <c r="CW332" i="4" s="1"/>
  <c r="CG332" i="4"/>
  <c r="BS332" i="4"/>
  <c r="BP332" i="4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Y332" i="4"/>
  <c r="Q332" i="4"/>
  <c r="B332" i="4"/>
  <c r="A332" i="4"/>
  <c r="QX331" i="4"/>
  <c r="FX331" i="4"/>
  <c r="FU331" i="4"/>
  <c r="FS331" i="4"/>
  <c r="FR331" i="4"/>
  <c r="FN331" i="4"/>
  <c r="FL331" i="4"/>
  <c r="FK331" i="4"/>
  <c r="FI331" i="4"/>
  <c r="FH331" i="4"/>
  <c r="FV331" i="4" s="1"/>
  <c r="FG331" i="4"/>
  <c r="FE331" i="4"/>
  <c r="FT331" i="4" s="1"/>
  <c r="FD331" i="4"/>
  <c r="FC331" i="4"/>
  <c r="FA331" i="4"/>
  <c r="FP331" i="4" s="1"/>
  <c r="EZ331" i="4"/>
  <c r="FO331" i="4" s="1"/>
  <c r="EY331" i="4"/>
  <c r="EX331" i="4"/>
  <c r="EW331" i="4"/>
  <c r="FM331" i="4" s="1"/>
  <c r="EV331" i="4"/>
  <c r="EU331" i="4"/>
  <c r="EB331" i="4"/>
  <c r="DX331" i="4"/>
  <c r="DW331" i="4"/>
  <c r="EA331" i="4" s="1"/>
  <c r="DL331" i="4"/>
  <c r="DH331" i="4"/>
  <c r="DF331" i="4"/>
  <c r="DA331" i="4"/>
  <c r="CX331" i="4"/>
  <c r="FJ331" i="4" s="1"/>
  <c r="FY331" i="4" s="1"/>
  <c r="CW331" i="4"/>
  <c r="CU331" i="4"/>
  <c r="DE331" i="4" s="1"/>
  <c r="CO331" i="4"/>
  <c r="CV331" i="4" s="1"/>
  <c r="BS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Y331" i="4"/>
  <c r="Q331" i="4"/>
  <c r="B331" i="4"/>
  <c r="A331" i="4"/>
  <c r="MF330" i="4"/>
  <c r="FU330" i="4"/>
  <c r="FT330" i="4"/>
  <c r="FP330" i="4"/>
  <c r="FO330" i="4"/>
  <c r="FN330" i="4"/>
  <c r="FL330" i="4"/>
  <c r="FK330" i="4"/>
  <c r="FJ330" i="4"/>
  <c r="FY330" i="4" s="1"/>
  <c r="FI330" i="4"/>
  <c r="FX330" i="4" s="1"/>
  <c r="FH330" i="4"/>
  <c r="FV330" i="4" s="1"/>
  <c r="FG330" i="4"/>
  <c r="FF330" i="4"/>
  <c r="FW330" i="4" s="1"/>
  <c r="FE330" i="4"/>
  <c r="FD330" i="4"/>
  <c r="FS330" i="4" s="1"/>
  <c r="FC330" i="4"/>
  <c r="FR330" i="4" s="1"/>
  <c r="FB330" i="4"/>
  <c r="FQ330" i="4" s="1"/>
  <c r="FA330" i="4"/>
  <c r="EZ330" i="4"/>
  <c r="EY330" i="4"/>
  <c r="EX330" i="4"/>
  <c r="EW330" i="4"/>
  <c r="FM330" i="4" s="1"/>
  <c r="EV330" i="4"/>
  <c r="EU330" i="4"/>
  <c r="EB330" i="4"/>
  <c r="DX330" i="4"/>
  <c r="DW330" i="4"/>
  <c r="DV330" i="4" s="1"/>
  <c r="DL330" i="4"/>
  <c r="DH330" i="4"/>
  <c r="DG330" i="4"/>
  <c r="DF330" i="4"/>
  <c r="DE330" i="4"/>
  <c r="DA330" i="4"/>
  <c r="CW330" i="4"/>
  <c r="CO330" i="4"/>
  <c r="CG330" i="4"/>
  <c r="BP330" i="4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Y330" i="4"/>
  <c r="Q330" i="4"/>
  <c r="B330" i="4"/>
  <c r="A330" i="4"/>
  <c r="QX329" i="4"/>
  <c r="FU329" i="4"/>
  <c r="FT329" i="4"/>
  <c r="FP329" i="4"/>
  <c r="FO329" i="4"/>
  <c r="FN329" i="4"/>
  <c r="FL329" i="4"/>
  <c r="FI329" i="4"/>
  <c r="FX329" i="4" s="1"/>
  <c r="FH329" i="4"/>
  <c r="FV329" i="4" s="1"/>
  <c r="FG329" i="4"/>
  <c r="FE329" i="4"/>
  <c r="FD329" i="4"/>
  <c r="FS329" i="4" s="1"/>
  <c r="FC329" i="4"/>
  <c r="FR329" i="4" s="1"/>
  <c r="FA329" i="4"/>
  <c r="EZ329" i="4"/>
  <c r="EY329" i="4"/>
  <c r="EX329" i="4"/>
  <c r="EW329" i="4"/>
  <c r="FM329" i="4" s="1"/>
  <c r="EV329" i="4"/>
  <c r="EU329" i="4"/>
  <c r="FK329" i="4" s="1"/>
  <c r="DX329" i="4"/>
  <c r="EB329" i="4" s="1"/>
  <c r="DW329" i="4"/>
  <c r="DV329" i="4" s="1"/>
  <c r="DZ329" i="4" s="1"/>
  <c r="DL329" i="4"/>
  <c r="DH329" i="4"/>
  <c r="DF329" i="4"/>
  <c r="DA329" i="4"/>
  <c r="CX329" i="4"/>
  <c r="FJ329" i="4" s="1"/>
  <c r="FY329" i="4" s="1"/>
  <c r="CU329" i="4"/>
  <c r="DE329" i="4" s="1"/>
  <c r="CO329" i="4"/>
  <c r="CW329" i="4" s="1"/>
  <c r="CG329" i="4"/>
  <c r="BS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Y329" i="4"/>
  <c r="Q329" i="4"/>
  <c r="B329" i="4"/>
  <c r="A329" i="4"/>
  <c r="FV328" i="4"/>
  <c r="FT328" i="4"/>
  <c r="FS328" i="4"/>
  <c r="FR328" i="4"/>
  <c r="FM328" i="4"/>
  <c r="FL328" i="4"/>
  <c r="FH328" i="4"/>
  <c r="FG328" i="4"/>
  <c r="FU328" i="4" s="1"/>
  <c r="FE328" i="4"/>
  <c r="FD328" i="4"/>
  <c r="FC328" i="4"/>
  <c r="FA328" i="4"/>
  <c r="FP328" i="4" s="1"/>
  <c r="EZ328" i="4"/>
  <c r="FO328" i="4" s="1"/>
  <c r="EY328" i="4"/>
  <c r="EX328" i="4"/>
  <c r="FN328" i="4" s="1"/>
  <c r="EW328" i="4"/>
  <c r="EV328" i="4"/>
  <c r="EU328" i="4"/>
  <c r="FK328" i="4" s="1"/>
  <c r="DX328" i="4"/>
  <c r="EB328" i="4" s="1"/>
  <c r="DL328" i="4"/>
  <c r="DG328" i="4"/>
  <c r="DF328" i="4"/>
  <c r="DA328" i="4"/>
  <c r="CW328" i="4"/>
  <c r="CV328" i="4"/>
  <c r="CU328" i="4"/>
  <c r="DE328" i="4" s="1"/>
  <c r="CO328" i="4"/>
  <c r="FB328" i="4" s="1"/>
  <c r="FQ328" i="4" s="1"/>
  <c r="CN328" i="4"/>
  <c r="FI328" i="4" s="1"/>
  <c r="FX328" i="4" s="1"/>
  <c r="CG328" i="4"/>
  <c r="BS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Y328" i="4"/>
  <c r="Q328" i="4"/>
  <c r="B328" i="4"/>
  <c r="A328" i="4"/>
  <c r="QX327" i="4"/>
  <c r="FX327" i="4"/>
  <c r="FU327" i="4"/>
  <c r="FS327" i="4"/>
  <c r="FR327" i="4"/>
  <c r="FN327" i="4"/>
  <c r="FL327" i="4"/>
  <c r="FK327" i="4"/>
  <c r="FI327" i="4"/>
  <c r="FH327" i="4"/>
  <c r="FV327" i="4" s="1"/>
  <c r="FG327" i="4"/>
  <c r="FE327" i="4"/>
  <c r="FT327" i="4" s="1"/>
  <c r="FD327" i="4"/>
  <c r="FC327" i="4"/>
  <c r="FA327" i="4"/>
  <c r="FP327" i="4" s="1"/>
  <c r="EZ327" i="4"/>
  <c r="FO327" i="4" s="1"/>
  <c r="EY327" i="4"/>
  <c r="EX327" i="4"/>
  <c r="EW327" i="4"/>
  <c r="FM327" i="4" s="1"/>
  <c r="EV327" i="4"/>
  <c r="EU327" i="4"/>
  <c r="EB327" i="4"/>
  <c r="DX327" i="4"/>
  <c r="DW327" i="4"/>
  <c r="EA327" i="4" s="1"/>
  <c r="DL327" i="4"/>
  <c r="DH327" i="4"/>
  <c r="DF327" i="4"/>
  <c r="DA327" i="4"/>
  <c r="CX327" i="4"/>
  <c r="FJ327" i="4" s="1"/>
  <c r="FY327" i="4" s="1"/>
  <c r="CW327" i="4"/>
  <c r="CU327" i="4"/>
  <c r="DE327" i="4" s="1"/>
  <c r="CO327" i="4"/>
  <c r="CV327" i="4" s="1"/>
  <c r="BS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Y327" i="4"/>
  <c r="Q327" i="4"/>
  <c r="B327" i="4"/>
  <c r="A327" i="4"/>
  <c r="QX326" i="4"/>
  <c r="FU326" i="4"/>
  <c r="FT326" i="4"/>
  <c r="FP326" i="4"/>
  <c r="FO326" i="4"/>
  <c r="FN326" i="4"/>
  <c r="FL326" i="4"/>
  <c r="FI326" i="4"/>
  <c r="FX326" i="4" s="1"/>
  <c r="FH326" i="4"/>
  <c r="FV326" i="4" s="1"/>
  <c r="FG326" i="4"/>
  <c r="FE326" i="4"/>
  <c r="FD326" i="4"/>
  <c r="FS326" i="4" s="1"/>
  <c r="FC326" i="4"/>
  <c r="FR326" i="4" s="1"/>
  <c r="FA326" i="4"/>
  <c r="EZ326" i="4"/>
  <c r="EY326" i="4"/>
  <c r="EX326" i="4"/>
  <c r="EW326" i="4"/>
  <c r="FM326" i="4" s="1"/>
  <c r="EV326" i="4"/>
  <c r="EU326" i="4"/>
  <c r="FK326" i="4" s="1"/>
  <c r="DX326" i="4"/>
  <c r="EB326" i="4" s="1"/>
  <c r="DW326" i="4"/>
  <c r="DV326" i="4" s="1"/>
  <c r="DZ326" i="4" s="1"/>
  <c r="DL326" i="4"/>
  <c r="DH326" i="4"/>
  <c r="DF326" i="4"/>
  <c r="DA326" i="4"/>
  <c r="CX326" i="4"/>
  <c r="FJ326" i="4" s="1"/>
  <c r="FY326" i="4" s="1"/>
  <c r="CU326" i="4"/>
  <c r="DE326" i="4" s="1"/>
  <c r="CO326" i="4"/>
  <c r="CW326" i="4" s="1"/>
  <c r="CG326" i="4"/>
  <c r="BS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Y326" i="4"/>
  <c r="Q326" i="4"/>
  <c r="B326" i="4"/>
  <c r="A326" i="4"/>
  <c r="QX325" i="4"/>
  <c r="FY325" i="4"/>
  <c r="FX325" i="4"/>
  <c r="FV325" i="4"/>
  <c r="FT325" i="4"/>
  <c r="FS325" i="4"/>
  <c r="FR325" i="4"/>
  <c r="FM325" i="4"/>
  <c r="FL325" i="4"/>
  <c r="FJ325" i="4"/>
  <c r="FI325" i="4"/>
  <c r="FH325" i="4"/>
  <c r="FG325" i="4"/>
  <c r="FU325" i="4" s="1"/>
  <c r="FE325" i="4"/>
  <c r="FD325" i="4"/>
  <c r="FC325" i="4"/>
  <c r="FA325" i="4"/>
  <c r="FP325" i="4" s="1"/>
  <c r="EZ325" i="4"/>
  <c r="FO325" i="4" s="1"/>
  <c r="EY325" i="4"/>
  <c r="EX325" i="4"/>
  <c r="FN325" i="4" s="1"/>
  <c r="EW325" i="4"/>
  <c r="EV325" i="4"/>
  <c r="EU325" i="4"/>
  <c r="FK325" i="4" s="1"/>
  <c r="EA325" i="4"/>
  <c r="DX325" i="4"/>
  <c r="EB325" i="4" s="1"/>
  <c r="DW325" i="4"/>
  <c r="DV325" i="4" s="1"/>
  <c r="DZ325" i="4" s="1"/>
  <c r="DU325" i="4"/>
  <c r="DL325" i="4"/>
  <c r="DH325" i="4"/>
  <c r="DG325" i="4"/>
  <c r="DF325" i="4"/>
  <c r="DA325" i="4"/>
  <c r="CX325" i="4"/>
  <c r="CV325" i="4"/>
  <c r="CU325" i="4"/>
  <c r="DE325" i="4" s="1"/>
  <c r="CO325" i="4"/>
  <c r="CW325" i="4" s="1"/>
  <c r="CG325" i="4"/>
  <c r="BS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Y325" i="4"/>
  <c r="Q325" i="4"/>
  <c r="B325" i="4"/>
  <c r="A325" i="4"/>
  <c r="QX324" i="4"/>
  <c r="FX324" i="4"/>
  <c r="FR324" i="4"/>
  <c r="FP324" i="4"/>
  <c r="FN324" i="4"/>
  <c r="FK324" i="4"/>
  <c r="FI324" i="4"/>
  <c r="FH324" i="4"/>
  <c r="FV324" i="4" s="1"/>
  <c r="FG324" i="4"/>
  <c r="FU324" i="4" s="1"/>
  <c r="FE324" i="4"/>
  <c r="FT324" i="4" s="1"/>
  <c r="FD324" i="4"/>
  <c r="FS324" i="4" s="1"/>
  <c r="FC324" i="4"/>
  <c r="FA324" i="4"/>
  <c r="EZ324" i="4"/>
  <c r="FO324" i="4" s="1"/>
  <c r="EY324" i="4"/>
  <c r="EX324" i="4"/>
  <c r="EW324" i="4"/>
  <c r="FM324" i="4" s="1"/>
  <c r="EV324" i="4"/>
  <c r="FL324" i="4" s="1"/>
  <c r="EU324" i="4"/>
  <c r="EB324" i="4"/>
  <c r="EA324" i="4"/>
  <c r="DX324" i="4"/>
  <c r="DW324" i="4"/>
  <c r="DV324" i="4"/>
  <c r="DZ324" i="4" s="1"/>
  <c r="DU324" i="4"/>
  <c r="DL324" i="4"/>
  <c r="DH324" i="4"/>
  <c r="DF324" i="4"/>
  <c r="DE324" i="4"/>
  <c r="DA324" i="4"/>
  <c r="CX324" i="4"/>
  <c r="FJ324" i="4" s="1"/>
  <c r="FY324" i="4" s="1"/>
  <c r="CW324" i="4"/>
  <c r="CU324" i="4"/>
  <c r="CO324" i="4"/>
  <c r="FB324" i="4" s="1"/>
  <c r="FQ324" i="4" s="1"/>
  <c r="CK324" i="4"/>
  <c r="BP324" i="4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Y324" i="4"/>
  <c r="Q324" i="4"/>
  <c r="B324" i="4"/>
  <c r="A324" i="4"/>
  <c r="QX323" i="4"/>
  <c r="FU323" i="4"/>
  <c r="FT323" i="4"/>
  <c r="FS323" i="4"/>
  <c r="FO323" i="4"/>
  <c r="FN323" i="4"/>
  <c r="FK323" i="4"/>
  <c r="FI323" i="4"/>
  <c r="FX323" i="4" s="1"/>
  <c r="FH323" i="4"/>
  <c r="FV323" i="4" s="1"/>
  <c r="FG323" i="4"/>
  <c r="FE323" i="4"/>
  <c r="FD323" i="4"/>
  <c r="FC323" i="4"/>
  <c r="FR323" i="4" s="1"/>
  <c r="FA323" i="4"/>
  <c r="FP323" i="4" s="1"/>
  <c r="EZ323" i="4"/>
  <c r="EY323" i="4"/>
  <c r="EX323" i="4"/>
  <c r="EW323" i="4"/>
  <c r="FM323" i="4" s="1"/>
  <c r="EV323" i="4"/>
  <c r="FL323" i="4" s="1"/>
  <c r="EU323" i="4"/>
  <c r="EB323" i="4"/>
  <c r="EA323" i="4"/>
  <c r="DX323" i="4"/>
  <c r="DW323" i="4"/>
  <c r="DV323" i="4"/>
  <c r="DZ323" i="4" s="1"/>
  <c r="DU323" i="4"/>
  <c r="DL323" i="4"/>
  <c r="DH323" i="4"/>
  <c r="DF323" i="4"/>
  <c r="DE323" i="4"/>
  <c r="DA323" i="4"/>
  <c r="CX323" i="4"/>
  <c r="FJ323" i="4" s="1"/>
  <c r="FY323" i="4" s="1"/>
  <c r="CW323" i="4"/>
  <c r="CU323" i="4"/>
  <c r="CO323" i="4"/>
  <c r="CV323" i="4" s="1"/>
  <c r="CK323" i="4"/>
  <c r="BS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Q323" i="4"/>
  <c r="Y323" i="4"/>
  <c r="Q323" i="4"/>
  <c r="B323" i="4"/>
  <c r="A323" i="4"/>
  <c r="FV322" i="4"/>
  <c r="FT322" i="4"/>
  <c r="FS322" i="4"/>
  <c r="FR322" i="4"/>
  <c r="FM322" i="4"/>
  <c r="FH322" i="4"/>
  <c r="FG322" i="4"/>
  <c r="FU322" i="4" s="1"/>
  <c r="FE322" i="4"/>
  <c r="FD322" i="4"/>
  <c r="FC322" i="4"/>
  <c r="FA322" i="4"/>
  <c r="FP322" i="4" s="1"/>
  <c r="EZ322" i="4"/>
  <c r="FO322" i="4" s="1"/>
  <c r="EY322" i="4"/>
  <c r="EX322" i="4"/>
  <c r="FN322" i="4" s="1"/>
  <c r="EW322" i="4"/>
  <c r="EV322" i="4"/>
  <c r="FL322" i="4" s="1"/>
  <c r="EU322" i="4"/>
  <c r="FK322" i="4" s="1"/>
  <c r="DX322" i="4"/>
  <c r="EB322" i="4" s="1"/>
  <c r="DL322" i="4"/>
  <c r="DG322" i="4"/>
  <c r="DF322" i="4"/>
  <c r="DA322" i="4"/>
  <c r="CW322" i="4"/>
  <c r="CV322" i="4"/>
  <c r="CU322" i="4"/>
  <c r="DE322" i="4" s="1"/>
  <c r="CO322" i="4"/>
  <c r="FB322" i="4" s="1"/>
  <c r="FQ322" i="4" s="1"/>
  <c r="CN322" i="4"/>
  <c r="FI322" i="4" s="1"/>
  <c r="FX322" i="4" s="1"/>
  <c r="CJ322" i="4"/>
  <c r="BS322" i="4"/>
  <c r="BP322" i="4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Y322" i="4"/>
  <c r="Q322" i="4"/>
  <c r="B322" i="4"/>
  <c r="A322" i="4"/>
  <c r="QX321" i="4"/>
  <c r="FY321" i="4"/>
  <c r="FX321" i="4"/>
  <c r="FV321" i="4"/>
  <c r="FT321" i="4"/>
  <c r="FS321" i="4"/>
  <c r="FR321" i="4"/>
  <c r="FM321" i="4"/>
  <c r="FJ321" i="4"/>
  <c r="FI321" i="4"/>
  <c r="FH321" i="4"/>
  <c r="FG321" i="4"/>
  <c r="FU321" i="4" s="1"/>
  <c r="FE321" i="4"/>
  <c r="FD321" i="4"/>
  <c r="FC321" i="4"/>
  <c r="FA321" i="4"/>
  <c r="FP321" i="4" s="1"/>
  <c r="EZ321" i="4"/>
  <c r="FO321" i="4" s="1"/>
  <c r="EY321" i="4"/>
  <c r="EX321" i="4"/>
  <c r="FN321" i="4" s="1"/>
  <c r="EW321" i="4"/>
  <c r="EV321" i="4"/>
  <c r="FL321" i="4" s="1"/>
  <c r="EU321" i="4"/>
  <c r="FK321" i="4" s="1"/>
  <c r="EA321" i="4"/>
  <c r="DX321" i="4"/>
  <c r="EB321" i="4" s="1"/>
  <c r="DW321" i="4"/>
  <c r="DV321" i="4" s="1"/>
  <c r="DZ321" i="4" s="1"/>
  <c r="DU321" i="4"/>
  <c r="DL321" i="4"/>
  <c r="DH321" i="4"/>
  <c r="DG321" i="4"/>
  <c r="DF321" i="4"/>
  <c r="DA321" i="4"/>
  <c r="CX321" i="4"/>
  <c r="CV321" i="4"/>
  <c r="DY321" i="4" s="1"/>
  <c r="EC321" i="4" s="1"/>
  <c r="CU321" i="4"/>
  <c r="DE321" i="4" s="1"/>
  <c r="CO321" i="4"/>
  <c r="CW321" i="4" s="1"/>
  <c r="CK321" i="4"/>
  <c r="CG321" i="4"/>
  <c r="BS321" i="4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Y321" i="4"/>
  <c r="Q321" i="4"/>
  <c r="B321" i="4"/>
  <c r="A321" i="4"/>
  <c r="QX320" i="4"/>
  <c r="FX320" i="4"/>
  <c r="FU320" i="4"/>
  <c r="FS320" i="4"/>
  <c r="FR320" i="4"/>
  <c r="FN320" i="4"/>
  <c r="FL320" i="4"/>
  <c r="FI320" i="4"/>
  <c r="FH320" i="4"/>
  <c r="FV320" i="4" s="1"/>
  <c r="FG320" i="4"/>
  <c r="FE320" i="4"/>
  <c r="FT320" i="4" s="1"/>
  <c r="FD320" i="4"/>
  <c r="FC320" i="4"/>
  <c r="FA320" i="4"/>
  <c r="FP320" i="4" s="1"/>
  <c r="EZ320" i="4"/>
  <c r="FO320" i="4" s="1"/>
  <c r="EY320" i="4"/>
  <c r="EX320" i="4"/>
  <c r="EW320" i="4"/>
  <c r="FM320" i="4" s="1"/>
  <c r="EV320" i="4"/>
  <c r="EU320" i="4"/>
  <c r="FK320" i="4" s="1"/>
  <c r="DX320" i="4"/>
  <c r="EB320" i="4" s="1"/>
  <c r="DW320" i="4"/>
  <c r="EA320" i="4" s="1"/>
  <c r="DL320" i="4"/>
  <c r="DH320" i="4"/>
  <c r="DF320" i="4"/>
  <c r="DA320" i="4"/>
  <c r="CX320" i="4"/>
  <c r="FJ320" i="4" s="1"/>
  <c r="FY320" i="4" s="1"/>
  <c r="CW320" i="4"/>
  <c r="CU320" i="4"/>
  <c r="DE320" i="4" s="1"/>
  <c r="CO320" i="4"/>
  <c r="CV320" i="4" s="1"/>
  <c r="CK320" i="4"/>
  <c r="CG320" i="4"/>
  <c r="BS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Y320" i="4"/>
  <c r="Q320" i="4"/>
  <c r="B320" i="4"/>
  <c r="A320" i="4"/>
  <c r="QX319" i="4"/>
  <c r="FX319" i="4"/>
  <c r="FT319" i="4"/>
  <c r="FR319" i="4"/>
  <c r="FP319" i="4"/>
  <c r="FN319" i="4"/>
  <c r="FM319" i="4"/>
  <c r="FK319" i="4"/>
  <c r="FI319" i="4"/>
  <c r="FH319" i="4"/>
  <c r="FV319" i="4" s="1"/>
  <c r="FG319" i="4"/>
  <c r="FU319" i="4" s="1"/>
  <c r="FE319" i="4"/>
  <c r="FD319" i="4"/>
  <c r="FS319" i="4" s="1"/>
  <c r="FC319" i="4"/>
  <c r="FA319" i="4"/>
  <c r="EZ319" i="4"/>
  <c r="FO319" i="4" s="1"/>
  <c r="EY319" i="4"/>
  <c r="EX319" i="4"/>
  <c r="EW319" i="4"/>
  <c r="EV319" i="4"/>
  <c r="FL319" i="4" s="1"/>
  <c r="EU319" i="4"/>
  <c r="EB319" i="4"/>
  <c r="DX319" i="4"/>
  <c r="DW319" i="4"/>
  <c r="EA319" i="4" s="1"/>
  <c r="DV319" i="4"/>
  <c r="DZ319" i="4" s="1"/>
  <c r="DL319" i="4"/>
  <c r="DH319" i="4"/>
  <c r="DF319" i="4"/>
  <c r="DE319" i="4"/>
  <c r="DA319" i="4"/>
  <c r="CX319" i="4"/>
  <c r="FJ319" i="4" s="1"/>
  <c r="FY319" i="4" s="1"/>
  <c r="CU319" i="4"/>
  <c r="CO319" i="4"/>
  <c r="FB319" i="4" s="1"/>
  <c r="FQ319" i="4" s="1"/>
  <c r="CK319" i="4"/>
  <c r="CG319" i="4"/>
  <c r="BS319" i="4"/>
  <c r="BR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Q319" i="4"/>
  <c r="AO319" i="4"/>
  <c r="Y319" i="4"/>
  <c r="Q319" i="4"/>
  <c r="B319" i="4"/>
  <c r="A319" i="4"/>
  <c r="QX318" i="4"/>
  <c r="FX318" i="4"/>
  <c r="FV318" i="4"/>
  <c r="FT318" i="4"/>
  <c r="FR318" i="4"/>
  <c r="FP318" i="4"/>
  <c r="FM318" i="4"/>
  <c r="FJ318" i="4"/>
  <c r="FY318" i="4" s="1"/>
  <c r="FI318" i="4"/>
  <c r="FH318" i="4"/>
  <c r="FG318" i="4"/>
  <c r="FU318" i="4" s="1"/>
  <c r="FE318" i="4"/>
  <c r="FD318" i="4"/>
  <c r="FS318" i="4" s="1"/>
  <c r="FC318" i="4"/>
  <c r="FA318" i="4"/>
  <c r="EZ318" i="4"/>
  <c r="FO318" i="4" s="1"/>
  <c r="EY318" i="4"/>
  <c r="EX318" i="4"/>
  <c r="FN318" i="4" s="1"/>
  <c r="EW318" i="4"/>
  <c r="EV318" i="4"/>
  <c r="FL318" i="4" s="1"/>
  <c r="EU318" i="4"/>
  <c r="FK318" i="4" s="1"/>
  <c r="EA318" i="4"/>
  <c r="DX318" i="4"/>
  <c r="EB318" i="4" s="1"/>
  <c r="DW318" i="4"/>
  <c r="DV318" i="4" s="1"/>
  <c r="DZ318" i="4" s="1"/>
  <c r="DU318" i="4"/>
  <c r="DL318" i="4"/>
  <c r="DH318" i="4"/>
  <c r="DF318" i="4"/>
  <c r="DA318" i="4"/>
  <c r="CX318" i="4"/>
  <c r="CV318" i="4"/>
  <c r="DY318" i="4" s="1"/>
  <c r="EC318" i="4" s="1"/>
  <c r="CU318" i="4"/>
  <c r="DE318" i="4" s="1"/>
  <c r="CO318" i="4"/>
  <c r="CW318" i="4" s="1"/>
  <c r="CK318" i="4"/>
  <c r="CG318" i="4"/>
  <c r="BS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Y318" i="4"/>
  <c r="Q318" i="4"/>
  <c r="B318" i="4"/>
  <c r="A318" i="4"/>
  <c r="QX317" i="4"/>
  <c r="FU317" i="4"/>
  <c r="FS317" i="4"/>
  <c r="FO317" i="4"/>
  <c r="FN317" i="4"/>
  <c r="FL317" i="4"/>
  <c r="FI317" i="4"/>
  <c r="FX317" i="4" s="1"/>
  <c r="FH317" i="4"/>
  <c r="FV317" i="4" s="1"/>
  <c r="FG317" i="4"/>
  <c r="FE317" i="4"/>
  <c r="FT317" i="4" s="1"/>
  <c r="FD317" i="4"/>
  <c r="FC317" i="4"/>
  <c r="FR317" i="4" s="1"/>
  <c r="FA317" i="4"/>
  <c r="FP317" i="4" s="1"/>
  <c r="EZ317" i="4"/>
  <c r="EY317" i="4"/>
  <c r="EX317" i="4"/>
  <c r="EW317" i="4"/>
  <c r="FM317" i="4" s="1"/>
  <c r="EV317" i="4"/>
  <c r="EU317" i="4"/>
  <c r="FK317" i="4" s="1"/>
  <c r="DX317" i="4"/>
  <c r="EB317" i="4" s="1"/>
  <c r="DW317" i="4"/>
  <c r="EA317" i="4" s="1"/>
  <c r="DL317" i="4"/>
  <c r="DH317" i="4"/>
  <c r="DF317" i="4"/>
  <c r="DA317" i="4"/>
  <c r="CX317" i="4"/>
  <c r="FJ317" i="4" s="1"/>
  <c r="FY317" i="4" s="1"/>
  <c r="CW317" i="4"/>
  <c r="CU317" i="4"/>
  <c r="DE317" i="4" s="1"/>
  <c r="CO317" i="4"/>
  <c r="CV317" i="4" s="1"/>
  <c r="CK317" i="4"/>
  <c r="CG317" i="4"/>
  <c r="BS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Y317" i="4"/>
  <c r="Q317" i="4"/>
  <c r="B317" i="4"/>
  <c r="A317" i="4"/>
  <c r="QX316" i="4"/>
  <c r="FX316" i="4"/>
  <c r="FU316" i="4"/>
  <c r="FT316" i="4"/>
  <c r="FR316" i="4"/>
  <c r="FP316" i="4"/>
  <c r="FN316" i="4"/>
  <c r="FK316" i="4"/>
  <c r="FI316" i="4"/>
  <c r="FH316" i="4"/>
  <c r="FV316" i="4" s="1"/>
  <c r="FG316" i="4"/>
  <c r="FE316" i="4"/>
  <c r="FD316" i="4"/>
  <c r="FS316" i="4" s="1"/>
  <c r="FC316" i="4"/>
  <c r="FA316" i="4"/>
  <c r="EZ316" i="4"/>
  <c r="FO316" i="4" s="1"/>
  <c r="EY316" i="4"/>
  <c r="EX316" i="4"/>
  <c r="EW316" i="4"/>
  <c r="FM316" i="4" s="1"/>
  <c r="EV316" i="4"/>
  <c r="FL316" i="4" s="1"/>
  <c r="EU316" i="4"/>
  <c r="EB316" i="4"/>
  <c r="DX316" i="4"/>
  <c r="DW316" i="4"/>
  <c r="EA316" i="4" s="1"/>
  <c r="DV316" i="4"/>
  <c r="DZ316" i="4" s="1"/>
  <c r="DL316" i="4"/>
  <c r="DH316" i="4"/>
  <c r="DF316" i="4"/>
  <c r="DE316" i="4"/>
  <c r="DA316" i="4"/>
  <c r="CX316" i="4"/>
  <c r="FJ316" i="4" s="1"/>
  <c r="FY316" i="4" s="1"/>
  <c r="CU316" i="4"/>
  <c r="CO316" i="4"/>
  <c r="FB316" i="4" s="1"/>
  <c r="FQ316" i="4" s="1"/>
  <c r="CK316" i="4"/>
  <c r="CG316" i="4"/>
  <c r="BS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Y316" i="4"/>
  <c r="Q316" i="4"/>
  <c r="B316" i="4"/>
  <c r="A316" i="4"/>
  <c r="QX315" i="4"/>
  <c r="FY315" i="4"/>
  <c r="FV315" i="4"/>
  <c r="FS315" i="4"/>
  <c r="FO315" i="4"/>
  <c r="FM315" i="4"/>
  <c r="FJ315" i="4"/>
  <c r="FI315" i="4"/>
  <c r="FX315" i="4" s="1"/>
  <c r="FH315" i="4"/>
  <c r="FG315" i="4"/>
  <c r="FU315" i="4" s="1"/>
  <c r="FE315" i="4"/>
  <c r="FT315" i="4" s="1"/>
  <c r="FD315" i="4"/>
  <c r="FC315" i="4"/>
  <c r="FR315" i="4" s="1"/>
  <c r="FA315" i="4"/>
  <c r="FP315" i="4" s="1"/>
  <c r="EZ315" i="4"/>
  <c r="EY315" i="4"/>
  <c r="EX315" i="4"/>
  <c r="FN315" i="4" s="1"/>
  <c r="EW315" i="4"/>
  <c r="EV315" i="4"/>
  <c r="FL315" i="4" s="1"/>
  <c r="EU315" i="4"/>
  <c r="FK315" i="4" s="1"/>
  <c r="EA315" i="4"/>
  <c r="DX315" i="4"/>
  <c r="EB315" i="4" s="1"/>
  <c r="DW315" i="4"/>
  <c r="DU315" i="4"/>
  <c r="DL315" i="4"/>
  <c r="DH315" i="4"/>
  <c r="DG315" i="4"/>
  <c r="DF315" i="4"/>
  <c r="DE315" i="4"/>
  <c r="DA315" i="4"/>
  <c r="CX315" i="4"/>
  <c r="CW315" i="4"/>
  <c r="CV315" i="4"/>
  <c r="CU315" i="4"/>
  <c r="CO315" i="4"/>
  <c r="FB315" i="4" s="1"/>
  <c r="FQ315" i="4" s="1"/>
  <c r="CK315" i="4"/>
  <c r="CG315" i="4"/>
  <c r="BR315" i="4"/>
  <c r="BS315" i="4" s="1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Y315" i="4"/>
  <c r="Q315" i="4"/>
  <c r="B315" i="4"/>
  <c r="A315" i="4"/>
  <c r="QX314" i="4"/>
  <c r="FY314" i="4"/>
  <c r="FV314" i="4"/>
  <c r="FS314" i="4"/>
  <c r="FO314" i="4"/>
  <c r="FM314" i="4"/>
  <c r="FJ314" i="4"/>
  <c r="FI314" i="4"/>
  <c r="FX314" i="4" s="1"/>
  <c r="FH314" i="4"/>
  <c r="FG314" i="4"/>
  <c r="FU314" i="4" s="1"/>
  <c r="FE314" i="4"/>
  <c r="FT314" i="4" s="1"/>
  <c r="FD314" i="4"/>
  <c r="FC314" i="4"/>
  <c r="FR314" i="4" s="1"/>
  <c r="FA314" i="4"/>
  <c r="FP314" i="4" s="1"/>
  <c r="EZ314" i="4"/>
  <c r="EY314" i="4"/>
  <c r="EX314" i="4"/>
  <c r="FN314" i="4" s="1"/>
  <c r="EW314" i="4"/>
  <c r="EV314" i="4"/>
  <c r="FL314" i="4" s="1"/>
  <c r="EU314" i="4"/>
  <c r="FK314" i="4" s="1"/>
  <c r="EA314" i="4"/>
  <c r="DX314" i="4"/>
  <c r="EB314" i="4" s="1"/>
  <c r="DW314" i="4"/>
  <c r="DU314" i="4"/>
  <c r="DL314" i="4"/>
  <c r="DH314" i="4"/>
  <c r="DG314" i="4"/>
  <c r="DF314" i="4"/>
  <c r="DE314" i="4"/>
  <c r="DA314" i="4"/>
  <c r="CX314" i="4"/>
  <c r="CW314" i="4"/>
  <c r="CV314" i="4"/>
  <c r="CU314" i="4"/>
  <c r="CO314" i="4"/>
  <c r="FB314" i="4" s="1"/>
  <c r="FQ314" i="4" s="1"/>
  <c r="CK314" i="4"/>
  <c r="CG314" i="4"/>
  <c r="BS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Y314" i="4"/>
  <c r="Q314" i="4"/>
  <c r="B314" i="4"/>
  <c r="A314" i="4"/>
  <c r="QX313" i="4"/>
  <c r="FX313" i="4"/>
  <c r="FV313" i="4"/>
  <c r="FU313" i="4"/>
  <c r="FT313" i="4"/>
  <c r="FR313" i="4"/>
  <c r="FP313" i="4"/>
  <c r="FL313" i="4"/>
  <c r="FI313" i="4"/>
  <c r="FH313" i="4"/>
  <c r="FG313" i="4"/>
  <c r="FF313" i="4"/>
  <c r="FW313" i="4" s="1"/>
  <c r="FE313" i="4"/>
  <c r="FD313" i="4"/>
  <c r="FS313" i="4" s="1"/>
  <c r="FC313" i="4"/>
  <c r="FA313" i="4"/>
  <c r="EZ313" i="4"/>
  <c r="FO313" i="4" s="1"/>
  <c r="EY313" i="4"/>
  <c r="EX313" i="4"/>
  <c r="FN313" i="4" s="1"/>
  <c r="EW313" i="4"/>
  <c r="FM313" i="4" s="1"/>
  <c r="EV313" i="4"/>
  <c r="EU313" i="4"/>
  <c r="FK313" i="4" s="1"/>
  <c r="DX313" i="4"/>
  <c r="EB313" i="4" s="1"/>
  <c r="DW313" i="4"/>
  <c r="DV313" i="4" s="1"/>
  <c r="DZ313" i="4" s="1"/>
  <c r="DL313" i="4"/>
  <c r="DH313" i="4"/>
  <c r="DF313" i="4"/>
  <c r="DA313" i="4"/>
  <c r="CX313" i="4"/>
  <c r="FJ313" i="4" s="1"/>
  <c r="FY313" i="4" s="1"/>
  <c r="CV313" i="4"/>
  <c r="DG313" i="4" s="1"/>
  <c r="CU313" i="4"/>
  <c r="DE313" i="4" s="1"/>
  <c r="CO313" i="4"/>
  <c r="CW313" i="4" s="1"/>
  <c r="CK313" i="4"/>
  <c r="CG313" i="4"/>
  <c r="BS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Y313" i="4"/>
  <c r="Q313" i="4"/>
  <c r="B313" i="4"/>
  <c r="A313" i="4"/>
  <c r="QX312" i="4"/>
  <c r="FU312" i="4"/>
  <c r="FS312" i="4"/>
  <c r="FO312" i="4"/>
  <c r="FN312" i="4"/>
  <c r="FK312" i="4"/>
  <c r="FI312" i="4"/>
  <c r="FX312" i="4" s="1"/>
  <c r="FH312" i="4"/>
  <c r="FV312" i="4" s="1"/>
  <c r="FG312" i="4"/>
  <c r="FE312" i="4"/>
  <c r="FT312" i="4" s="1"/>
  <c r="FD312" i="4"/>
  <c r="FC312" i="4"/>
  <c r="FR312" i="4" s="1"/>
  <c r="FA312" i="4"/>
  <c r="FP312" i="4" s="1"/>
  <c r="EZ312" i="4"/>
  <c r="EY312" i="4"/>
  <c r="EX312" i="4"/>
  <c r="EW312" i="4"/>
  <c r="FM312" i="4" s="1"/>
  <c r="EV312" i="4"/>
  <c r="FL312" i="4" s="1"/>
  <c r="EU312" i="4"/>
  <c r="EB312" i="4"/>
  <c r="DX312" i="4"/>
  <c r="DW312" i="4"/>
  <c r="EA312" i="4" s="1"/>
  <c r="DV312" i="4"/>
  <c r="DZ312" i="4" s="1"/>
  <c r="DL312" i="4"/>
  <c r="DH312" i="4"/>
  <c r="DF312" i="4"/>
  <c r="DE312" i="4"/>
  <c r="DA312" i="4"/>
  <c r="CX312" i="4"/>
  <c r="FJ312" i="4" s="1"/>
  <c r="FY312" i="4" s="1"/>
  <c r="CW312" i="4"/>
  <c r="CU312" i="4"/>
  <c r="CO312" i="4"/>
  <c r="CV312" i="4" s="1"/>
  <c r="CK312" i="4"/>
  <c r="CG312" i="4"/>
  <c r="BS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Q312" i="4"/>
  <c r="Y312" i="4"/>
  <c r="Q312" i="4"/>
  <c r="B312" i="4"/>
  <c r="A312" i="4"/>
  <c r="QX311" i="4"/>
  <c r="FU311" i="4"/>
  <c r="FS311" i="4"/>
  <c r="FO311" i="4"/>
  <c r="FN311" i="4"/>
  <c r="FK311" i="4"/>
  <c r="FI311" i="4"/>
  <c r="FX311" i="4" s="1"/>
  <c r="FH311" i="4"/>
  <c r="FV311" i="4" s="1"/>
  <c r="FG311" i="4"/>
  <c r="FE311" i="4"/>
  <c r="FT311" i="4" s="1"/>
  <c r="FD311" i="4"/>
  <c r="FC311" i="4"/>
  <c r="FR311" i="4" s="1"/>
  <c r="FA311" i="4"/>
  <c r="FP311" i="4" s="1"/>
  <c r="EZ311" i="4"/>
  <c r="EY311" i="4"/>
  <c r="EX311" i="4"/>
  <c r="EW311" i="4"/>
  <c r="FM311" i="4" s="1"/>
  <c r="EV311" i="4"/>
  <c r="FL311" i="4" s="1"/>
  <c r="EU311" i="4"/>
  <c r="EB311" i="4"/>
  <c r="DX311" i="4"/>
  <c r="DW311" i="4"/>
  <c r="EA311" i="4" s="1"/>
  <c r="DV311" i="4"/>
  <c r="DZ311" i="4" s="1"/>
  <c r="DL311" i="4"/>
  <c r="DH311" i="4"/>
  <c r="DF311" i="4"/>
  <c r="DE311" i="4"/>
  <c r="DA311" i="4"/>
  <c r="CX311" i="4"/>
  <c r="FJ311" i="4" s="1"/>
  <c r="FY311" i="4" s="1"/>
  <c r="CW311" i="4"/>
  <c r="CU311" i="4"/>
  <c r="CO311" i="4"/>
  <c r="CV311" i="4" s="1"/>
  <c r="CK311" i="4"/>
  <c r="CG311" i="4"/>
  <c r="BS311" i="4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Y311" i="4"/>
  <c r="Q311" i="4"/>
  <c r="B311" i="4"/>
  <c r="A311" i="4"/>
  <c r="QX310" i="4"/>
  <c r="FX310" i="4"/>
  <c r="FT310" i="4"/>
  <c r="FR310" i="4"/>
  <c r="FP310" i="4"/>
  <c r="FN310" i="4"/>
  <c r="FM310" i="4"/>
  <c r="FJ310" i="4"/>
  <c r="FY310" i="4" s="1"/>
  <c r="FI310" i="4"/>
  <c r="FH310" i="4"/>
  <c r="FV310" i="4" s="1"/>
  <c r="FG310" i="4"/>
  <c r="FU310" i="4" s="1"/>
  <c r="FE310" i="4"/>
  <c r="FD310" i="4"/>
  <c r="FS310" i="4" s="1"/>
  <c r="FC310" i="4"/>
  <c r="FA310" i="4"/>
  <c r="EZ310" i="4"/>
  <c r="FO310" i="4" s="1"/>
  <c r="EY310" i="4"/>
  <c r="EX310" i="4"/>
  <c r="EW310" i="4"/>
  <c r="EV310" i="4"/>
  <c r="FL310" i="4" s="1"/>
  <c r="EU310" i="4"/>
  <c r="FK310" i="4" s="1"/>
  <c r="EA310" i="4"/>
  <c r="DX310" i="4"/>
  <c r="EB310" i="4" s="1"/>
  <c r="DW310" i="4"/>
  <c r="DV310" i="4" s="1"/>
  <c r="DZ310" i="4" s="1"/>
  <c r="DU310" i="4"/>
  <c r="DL310" i="4"/>
  <c r="DH310" i="4"/>
  <c r="DF310" i="4"/>
  <c r="DA310" i="4"/>
  <c r="CX310" i="4"/>
  <c r="CU310" i="4"/>
  <c r="DE310" i="4" s="1"/>
  <c r="CO310" i="4"/>
  <c r="CW310" i="4" s="1"/>
  <c r="CK310" i="4"/>
  <c r="CG310" i="4"/>
  <c r="BS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Y310" i="4"/>
  <c r="Q310" i="4"/>
  <c r="B310" i="4"/>
  <c r="A310" i="4"/>
  <c r="QX309" i="4"/>
  <c r="FS309" i="4"/>
  <c r="FO309" i="4"/>
  <c r="FN309" i="4"/>
  <c r="FM309" i="4"/>
  <c r="FL309" i="4"/>
  <c r="FI309" i="4"/>
  <c r="FX309" i="4" s="1"/>
  <c r="FH309" i="4"/>
  <c r="FV309" i="4" s="1"/>
  <c r="FG309" i="4"/>
  <c r="FU309" i="4" s="1"/>
  <c r="FE309" i="4"/>
  <c r="FT309" i="4" s="1"/>
  <c r="FD309" i="4"/>
  <c r="FC309" i="4"/>
  <c r="FR309" i="4" s="1"/>
  <c r="FA309" i="4"/>
  <c r="FP309" i="4" s="1"/>
  <c r="EZ309" i="4"/>
  <c r="EY309" i="4"/>
  <c r="EX309" i="4"/>
  <c r="EW309" i="4"/>
  <c r="EV309" i="4"/>
  <c r="EU309" i="4"/>
  <c r="FK309" i="4" s="1"/>
  <c r="DX309" i="4"/>
  <c r="EB309" i="4" s="1"/>
  <c r="DW309" i="4"/>
  <c r="EA309" i="4" s="1"/>
  <c r="DL309" i="4"/>
  <c r="DH309" i="4"/>
  <c r="DF309" i="4"/>
  <c r="DA309" i="4"/>
  <c r="CX309" i="4"/>
  <c r="FJ309" i="4" s="1"/>
  <c r="FY309" i="4" s="1"/>
  <c r="CW309" i="4"/>
  <c r="CU309" i="4"/>
  <c r="DE309" i="4" s="1"/>
  <c r="CO309" i="4"/>
  <c r="CV309" i="4" s="1"/>
  <c r="CK309" i="4"/>
  <c r="BS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Y309" i="4"/>
  <c r="Q309" i="4"/>
  <c r="B309" i="4"/>
  <c r="A309" i="4"/>
  <c r="QX308" i="4"/>
  <c r="FY308" i="4"/>
  <c r="FV308" i="4"/>
  <c r="FS308" i="4"/>
  <c r="FO308" i="4"/>
  <c r="FM308" i="4"/>
  <c r="FJ308" i="4"/>
  <c r="FI308" i="4"/>
  <c r="FX308" i="4" s="1"/>
  <c r="FH308" i="4"/>
  <c r="FG308" i="4"/>
  <c r="FU308" i="4" s="1"/>
  <c r="FE308" i="4"/>
  <c r="FT308" i="4" s="1"/>
  <c r="FD308" i="4"/>
  <c r="FC308" i="4"/>
  <c r="FR308" i="4" s="1"/>
  <c r="FA308" i="4"/>
  <c r="FP308" i="4" s="1"/>
  <c r="EZ308" i="4"/>
  <c r="EY308" i="4"/>
  <c r="EX308" i="4"/>
  <c r="FN308" i="4" s="1"/>
  <c r="EW308" i="4"/>
  <c r="EV308" i="4"/>
  <c r="FL308" i="4" s="1"/>
  <c r="EU308" i="4"/>
  <c r="FK308" i="4" s="1"/>
  <c r="EA308" i="4"/>
  <c r="DX308" i="4"/>
  <c r="EB308" i="4" s="1"/>
  <c r="DW308" i="4"/>
  <c r="DU308" i="4"/>
  <c r="DL308" i="4"/>
  <c r="DH308" i="4"/>
  <c r="DG308" i="4"/>
  <c r="DF308" i="4"/>
  <c r="DE308" i="4"/>
  <c r="DA308" i="4"/>
  <c r="CX308" i="4"/>
  <c r="CW308" i="4"/>
  <c r="CV308" i="4"/>
  <c r="CU308" i="4"/>
  <c r="CO308" i="4"/>
  <c r="FB308" i="4" s="1"/>
  <c r="FQ308" i="4" s="1"/>
  <c r="CK308" i="4"/>
  <c r="CG308" i="4"/>
  <c r="BS308" i="4"/>
  <c r="BP308" i="4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Y308" i="4"/>
  <c r="Q308" i="4"/>
  <c r="B308" i="4"/>
  <c r="A308" i="4"/>
  <c r="QX307" i="4"/>
  <c r="FX307" i="4"/>
  <c r="FV307" i="4"/>
  <c r="FU307" i="4"/>
  <c r="FT307" i="4"/>
  <c r="FR307" i="4"/>
  <c r="FP307" i="4"/>
  <c r="FL307" i="4"/>
  <c r="FJ307" i="4"/>
  <c r="FY307" i="4" s="1"/>
  <c r="FI307" i="4"/>
  <c r="FH307" i="4"/>
  <c r="FG307" i="4"/>
  <c r="FE307" i="4"/>
  <c r="FD307" i="4"/>
  <c r="FS307" i="4" s="1"/>
  <c r="FC307" i="4"/>
  <c r="FA307" i="4"/>
  <c r="EZ307" i="4"/>
  <c r="FO307" i="4" s="1"/>
  <c r="EY307" i="4"/>
  <c r="EX307" i="4"/>
  <c r="FN307" i="4" s="1"/>
  <c r="EW307" i="4"/>
  <c r="FM307" i="4" s="1"/>
  <c r="EV307" i="4"/>
  <c r="EU307" i="4"/>
  <c r="FK307" i="4" s="1"/>
  <c r="EA307" i="4"/>
  <c r="DX307" i="4"/>
  <c r="EB307" i="4" s="1"/>
  <c r="DW307" i="4"/>
  <c r="DV307" i="4" s="1"/>
  <c r="DZ307" i="4" s="1"/>
  <c r="DU307" i="4"/>
  <c r="DL307" i="4"/>
  <c r="DH307" i="4"/>
  <c r="DF307" i="4"/>
  <c r="DA307" i="4"/>
  <c r="CX307" i="4"/>
  <c r="CV307" i="4"/>
  <c r="DG307" i="4" s="1"/>
  <c r="CU307" i="4"/>
  <c r="DE307" i="4" s="1"/>
  <c r="CO307" i="4"/>
  <c r="CW307" i="4" s="1"/>
  <c r="CG307" i="4"/>
  <c r="BS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Y307" i="4"/>
  <c r="Q307" i="4"/>
  <c r="B307" i="4"/>
  <c r="A307" i="4"/>
  <c r="QX306" i="4"/>
  <c r="FX306" i="4"/>
  <c r="FT306" i="4"/>
  <c r="FR306" i="4"/>
  <c r="FP306" i="4"/>
  <c r="FN306" i="4"/>
  <c r="FM306" i="4"/>
  <c r="FJ306" i="4"/>
  <c r="FY306" i="4" s="1"/>
  <c r="FI306" i="4"/>
  <c r="FH306" i="4"/>
  <c r="FV306" i="4" s="1"/>
  <c r="FG306" i="4"/>
  <c r="FU306" i="4" s="1"/>
  <c r="FE306" i="4"/>
  <c r="FD306" i="4"/>
  <c r="FS306" i="4" s="1"/>
  <c r="FC306" i="4"/>
  <c r="FA306" i="4"/>
  <c r="EZ306" i="4"/>
  <c r="FO306" i="4" s="1"/>
  <c r="EY306" i="4"/>
  <c r="EX306" i="4"/>
  <c r="EW306" i="4"/>
  <c r="EV306" i="4"/>
  <c r="FL306" i="4" s="1"/>
  <c r="EU306" i="4"/>
  <c r="FK306" i="4" s="1"/>
  <c r="EA306" i="4"/>
  <c r="DX306" i="4"/>
  <c r="EB306" i="4" s="1"/>
  <c r="DW306" i="4"/>
  <c r="DV306" i="4" s="1"/>
  <c r="DZ306" i="4" s="1"/>
  <c r="DU306" i="4"/>
  <c r="DL306" i="4"/>
  <c r="DH306" i="4"/>
  <c r="DF306" i="4"/>
  <c r="DE306" i="4"/>
  <c r="DA306" i="4"/>
  <c r="CX306" i="4"/>
  <c r="CU306" i="4"/>
  <c r="CO306" i="4"/>
  <c r="CW306" i="4" s="1"/>
  <c r="CK306" i="4"/>
  <c r="CG306" i="4"/>
  <c r="BS306" i="4"/>
  <c r="BP306" i="4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Y306" i="4"/>
  <c r="Q306" i="4"/>
  <c r="B306" i="4"/>
  <c r="A306" i="4"/>
  <c r="QX305" i="4"/>
  <c r="FV305" i="4"/>
  <c r="FU305" i="4"/>
  <c r="FS305" i="4"/>
  <c r="FO305" i="4"/>
  <c r="FL305" i="4"/>
  <c r="FI305" i="4"/>
  <c r="FX305" i="4" s="1"/>
  <c r="FH305" i="4"/>
  <c r="FG305" i="4"/>
  <c r="FF305" i="4"/>
  <c r="FW305" i="4" s="1"/>
  <c r="FE305" i="4"/>
  <c r="FT305" i="4" s="1"/>
  <c r="FD305" i="4"/>
  <c r="FC305" i="4"/>
  <c r="FR305" i="4" s="1"/>
  <c r="FA305" i="4"/>
  <c r="FP305" i="4" s="1"/>
  <c r="EZ305" i="4"/>
  <c r="EY305" i="4"/>
  <c r="EX305" i="4"/>
  <c r="FN305" i="4" s="1"/>
  <c r="EW305" i="4"/>
  <c r="FM305" i="4" s="1"/>
  <c r="EV305" i="4"/>
  <c r="EU305" i="4"/>
  <c r="FK305" i="4" s="1"/>
  <c r="DX305" i="4"/>
  <c r="EB305" i="4" s="1"/>
  <c r="DW305" i="4"/>
  <c r="EA305" i="4" s="1"/>
  <c r="DL305" i="4"/>
  <c r="DH305" i="4"/>
  <c r="DG305" i="4"/>
  <c r="DF305" i="4"/>
  <c r="DA305" i="4"/>
  <c r="CX305" i="4"/>
  <c r="FJ305" i="4" s="1"/>
  <c r="FY305" i="4" s="1"/>
  <c r="CW305" i="4"/>
  <c r="CV305" i="4"/>
  <c r="CU305" i="4"/>
  <c r="DE305" i="4" s="1"/>
  <c r="CO305" i="4"/>
  <c r="FB305" i="4" s="1"/>
  <c r="FQ305" i="4" s="1"/>
  <c r="CK305" i="4"/>
  <c r="CG305" i="4"/>
  <c r="BS305" i="4"/>
  <c r="BP305" i="4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Y305" i="4"/>
  <c r="Q305" i="4"/>
  <c r="B305" i="4"/>
  <c r="A305" i="4"/>
  <c r="QX304" i="4"/>
  <c r="FX304" i="4"/>
  <c r="FU304" i="4"/>
  <c r="FT304" i="4"/>
  <c r="FR304" i="4"/>
  <c r="FP304" i="4"/>
  <c r="FN304" i="4"/>
  <c r="FK304" i="4"/>
  <c r="FI304" i="4"/>
  <c r="FH304" i="4"/>
  <c r="FV304" i="4" s="1"/>
  <c r="FG304" i="4"/>
  <c r="FE304" i="4"/>
  <c r="FD304" i="4"/>
  <c r="FS304" i="4" s="1"/>
  <c r="FC304" i="4"/>
  <c r="FA304" i="4"/>
  <c r="EZ304" i="4"/>
  <c r="FO304" i="4" s="1"/>
  <c r="EY304" i="4"/>
  <c r="EX304" i="4"/>
  <c r="EW304" i="4"/>
  <c r="FM304" i="4" s="1"/>
  <c r="EV304" i="4"/>
  <c r="FL304" i="4" s="1"/>
  <c r="EU304" i="4"/>
  <c r="EB304" i="4"/>
  <c r="DX304" i="4"/>
  <c r="DW304" i="4"/>
  <c r="DV304" i="4" s="1"/>
  <c r="DZ304" i="4" s="1"/>
  <c r="DL304" i="4"/>
  <c r="DH304" i="4"/>
  <c r="DF304" i="4"/>
  <c r="DE304" i="4"/>
  <c r="DA304" i="4"/>
  <c r="CX304" i="4"/>
  <c r="FJ304" i="4" s="1"/>
  <c r="FY304" i="4" s="1"/>
  <c r="CU304" i="4"/>
  <c r="CO304" i="4"/>
  <c r="FB304" i="4" s="1"/>
  <c r="FQ304" i="4" s="1"/>
  <c r="CK304" i="4"/>
  <c r="CG304" i="4"/>
  <c r="BS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Y304" i="4"/>
  <c r="Q304" i="4"/>
  <c r="B304" i="4"/>
  <c r="A304" i="4"/>
  <c r="MF303" i="4"/>
  <c r="FY303" i="4"/>
  <c r="FV303" i="4"/>
  <c r="FS303" i="4"/>
  <c r="FO303" i="4"/>
  <c r="FM303" i="4"/>
  <c r="FJ303" i="4"/>
  <c r="FI303" i="4"/>
  <c r="FX303" i="4" s="1"/>
  <c r="FH303" i="4"/>
  <c r="FG303" i="4"/>
  <c r="FU303" i="4" s="1"/>
  <c r="FE303" i="4"/>
  <c r="FT303" i="4" s="1"/>
  <c r="FD303" i="4"/>
  <c r="FC303" i="4"/>
  <c r="FR303" i="4" s="1"/>
  <c r="FA303" i="4"/>
  <c r="FP303" i="4" s="1"/>
  <c r="EZ303" i="4"/>
  <c r="EY303" i="4"/>
  <c r="EX303" i="4"/>
  <c r="FN303" i="4" s="1"/>
  <c r="EW303" i="4"/>
  <c r="EV303" i="4"/>
  <c r="FL303" i="4" s="1"/>
  <c r="EU303" i="4"/>
  <c r="FK303" i="4" s="1"/>
  <c r="EA303" i="4"/>
  <c r="DX303" i="4"/>
  <c r="EB303" i="4" s="1"/>
  <c r="DW303" i="4"/>
  <c r="DU303" i="4"/>
  <c r="DL303" i="4"/>
  <c r="DH303" i="4"/>
  <c r="DG303" i="4"/>
  <c r="DF303" i="4"/>
  <c r="DE303" i="4"/>
  <c r="DA303" i="4"/>
  <c r="CX303" i="4"/>
  <c r="CW303" i="4"/>
  <c r="CV303" i="4"/>
  <c r="CU303" i="4"/>
  <c r="CO303" i="4"/>
  <c r="FB303" i="4" s="1"/>
  <c r="FQ303" i="4" s="1"/>
  <c r="CK303" i="4"/>
  <c r="CG303" i="4"/>
  <c r="BS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Y303" i="4"/>
  <c r="B303" i="4"/>
  <c r="A303" i="4"/>
  <c r="QX302" i="4"/>
  <c r="FU302" i="4"/>
  <c r="FS302" i="4"/>
  <c r="FO302" i="4"/>
  <c r="FN302" i="4"/>
  <c r="FK302" i="4"/>
  <c r="FI302" i="4"/>
  <c r="FX302" i="4" s="1"/>
  <c r="FH302" i="4"/>
  <c r="FV302" i="4" s="1"/>
  <c r="FG302" i="4"/>
  <c r="FE302" i="4"/>
  <c r="FT302" i="4" s="1"/>
  <c r="FD302" i="4"/>
  <c r="FC302" i="4"/>
  <c r="FR302" i="4" s="1"/>
  <c r="FA302" i="4"/>
  <c r="FP302" i="4" s="1"/>
  <c r="EZ302" i="4"/>
  <c r="EY302" i="4"/>
  <c r="EX302" i="4"/>
  <c r="EW302" i="4"/>
  <c r="FM302" i="4" s="1"/>
  <c r="EV302" i="4"/>
  <c r="FL302" i="4" s="1"/>
  <c r="EU302" i="4"/>
  <c r="EB302" i="4"/>
  <c r="DX302" i="4"/>
  <c r="DW302" i="4"/>
  <c r="EA302" i="4" s="1"/>
  <c r="DV302" i="4"/>
  <c r="DZ302" i="4" s="1"/>
  <c r="DL302" i="4"/>
  <c r="DH302" i="4"/>
  <c r="DF302" i="4"/>
  <c r="DE302" i="4"/>
  <c r="DA302" i="4"/>
  <c r="CX302" i="4"/>
  <c r="FJ302" i="4" s="1"/>
  <c r="FY302" i="4" s="1"/>
  <c r="CW302" i="4"/>
  <c r="CU302" i="4"/>
  <c r="CO302" i="4"/>
  <c r="CV302" i="4" s="1"/>
  <c r="CK302" i="4"/>
  <c r="CG302" i="4"/>
  <c r="BS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Y302" i="4"/>
  <c r="Q302" i="4"/>
  <c r="B302" i="4"/>
  <c r="A302" i="4"/>
  <c r="QX301" i="4"/>
  <c r="FX301" i="4"/>
  <c r="FV301" i="4"/>
  <c r="FT301" i="4"/>
  <c r="FR301" i="4"/>
  <c r="FP301" i="4"/>
  <c r="FM301" i="4"/>
  <c r="FJ301" i="4"/>
  <c r="FY301" i="4" s="1"/>
  <c r="FI301" i="4"/>
  <c r="FH301" i="4"/>
  <c r="FG301" i="4"/>
  <c r="FU301" i="4" s="1"/>
  <c r="FE301" i="4"/>
  <c r="FD301" i="4"/>
  <c r="FS301" i="4" s="1"/>
  <c r="FC301" i="4"/>
  <c r="FA301" i="4"/>
  <c r="EZ301" i="4"/>
  <c r="FO301" i="4" s="1"/>
  <c r="EY301" i="4"/>
  <c r="EX301" i="4"/>
  <c r="FN301" i="4" s="1"/>
  <c r="EW301" i="4"/>
  <c r="EV301" i="4"/>
  <c r="FL301" i="4" s="1"/>
  <c r="EU301" i="4"/>
  <c r="FK301" i="4" s="1"/>
  <c r="EA301" i="4"/>
  <c r="DX301" i="4"/>
  <c r="EB301" i="4" s="1"/>
  <c r="DW301" i="4"/>
  <c r="DV301" i="4" s="1"/>
  <c r="DZ301" i="4" s="1"/>
  <c r="DU301" i="4"/>
  <c r="DL301" i="4"/>
  <c r="DH301" i="4"/>
  <c r="DF301" i="4"/>
  <c r="DE301" i="4"/>
  <c r="DA301" i="4"/>
  <c r="CX301" i="4"/>
  <c r="CV301" i="4"/>
  <c r="CU301" i="4"/>
  <c r="CO301" i="4"/>
  <c r="CW301" i="4" s="1"/>
  <c r="CK301" i="4"/>
  <c r="CG301" i="4"/>
  <c r="BS301" i="4"/>
  <c r="BP301" i="4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Y301" i="4"/>
  <c r="Q301" i="4"/>
  <c r="B301" i="4"/>
  <c r="A301" i="4"/>
  <c r="QX300" i="4"/>
  <c r="FV300" i="4"/>
  <c r="FU300" i="4"/>
  <c r="FS300" i="4"/>
  <c r="FO300" i="4"/>
  <c r="FL300" i="4"/>
  <c r="FI300" i="4"/>
  <c r="FX300" i="4" s="1"/>
  <c r="FH300" i="4"/>
  <c r="FG300" i="4"/>
  <c r="FF300" i="4"/>
  <c r="FW300" i="4" s="1"/>
  <c r="FE300" i="4"/>
  <c r="FT300" i="4" s="1"/>
  <c r="FD300" i="4"/>
  <c r="FC300" i="4"/>
  <c r="FR300" i="4" s="1"/>
  <c r="FA300" i="4"/>
  <c r="FP300" i="4" s="1"/>
  <c r="EZ300" i="4"/>
  <c r="EY300" i="4"/>
  <c r="EX300" i="4"/>
  <c r="FN300" i="4" s="1"/>
  <c r="EW300" i="4"/>
  <c r="FM300" i="4" s="1"/>
  <c r="EV300" i="4"/>
  <c r="EU300" i="4"/>
  <c r="FK300" i="4" s="1"/>
  <c r="DX300" i="4"/>
  <c r="EB300" i="4" s="1"/>
  <c r="DW300" i="4"/>
  <c r="EA300" i="4" s="1"/>
  <c r="DL300" i="4"/>
  <c r="DH300" i="4"/>
  <c r="DG300" i="4"/>
  <c r="DF300" i="4"/>
  <c r="DA300" i="4"/>
  <c r="CX300" i="4"/>
  <c r="FJ300" i="4" s="1"/>
  <c r="FY300" i="4" s="1"/>
  <c r="CW300" i="4"/>
  <c r="CV300" i="4"/>
  <c r="CU300" i="4"/>
  <c r="DE300" i="4" s="1"/>
  <c r="CO300" i="4"/>
  <c r="FB300" i="4" s="1"/>
  <c r="FQ300" i="4" s="1"/>
  <c r="CK300" i="4"/>
  <c r="CG300" i="4"/>
  <c r="BS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Y300" i="4"/>
  <c r="Q300" i="4"/>
  <c r="B300" i="4"/>
  <c r="A300" i="4"/>
  <c r="QX299" i="4"/>
  <c r="FX299" i="4"/>
  <c r="FU299" i="4"/>
  <c r="FT299" i="4"/>
  <c r="FR299" i="4"/>
  <c r="FP299" i="4"/>
  <c r="FN299" i="4"/>
  <c r="FK299" i="4"/>
  <c r="FI299" i="4"/>
  <c r="FH299" i="4"/>
  <c r="FV299" i="4" s="1"/>
  <c r="FG299" i="4"/>
  <c r="FE299" i="4"/>
  <c r="FD299" i="4"/>
  <c r="FS299" i="4" s="1"/>
  <c r="FC299" i="4"/>
  <c r="FA299" i="4"/>
  <c r="EZ299" i="4"/>
  <c r="FO299" i="4" s="1"/>
  <c r="EY299" i="4"/>
  <c r="EX299" i="4"/>
  <c r="EW299" i="4"/>
  <c r="FM299" i="4" s="1"/>
  <c r="EV299" i="4"/>
  <c r="FL299" i="4" s="1"/>
  <c r="EU299" i="4"/>
  <c r="EB299" i="4"/>
  <c r="DX299" i="4"/>
  <c r="DW299" i="4"/>
  <c r="EA299" i="4" s="1"/>
  <c r="DV299" i="4"/>
  <c r="DZ299" i="4" s="1"/>
  <c r="DL299" i="4"/>
  <c r="DH299" i="4"/>
  <c r="DF299" i="4"/>
  <c r="DE299" i="4"/>
  <c r="DA299" i="4"/>
  <c r="CX299" i="4"/>
  <c r="FJ299" i="4" s="1"/>
  <c r="FY299" i="4" s="1"/>
  <c r="CU299" i="4"/>
  <c r="CO299" i="4"/>
  <c r="FB299" i="4" s="1"/>
  <c r="FQ299" i="4" s="1"/>
  <c r="CK299" i="4"/>
  <c r="CG299" i="4"/>
  <c r="BS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Y299" i="4"/>
  <c r="Q299" i="4"/>
  <c r="B299" i="4"/>
  <c r="A299" i="4"/>
  <c r="QX298" i="4"/>
  <c r="FV298" i="4"/>
  <c r="FS298" i="4"/>
  <c r="FP298" i="4"/>
  <c r="FM298" i="4"/>
  <c r="FK298" i="4"/>
  <c r="FI298" i="4"/>
  <c r="FX298" i="4" s="1"/>
  <c r="FH298" i="4"/>
  <c r="FG298" i="4"/>
  <c r="FU298" i="4" s="1"/>
  <c r="FE298" i="4"/>
  <c r="FT298" i="4" s="1"/>
  <c r="FC298" i="4"/>
  <c r="FR298" i="4" s="1"/>
  <c r="FA298" i="4"/>
  <c r="EZ298" i="4"/>
  <c r="FO298" i="4" s="1"/>
  <c r="EY298" i="4"/>
  <c r="EX298" i="4"/>
  <c r="FN298" i="4" s="1"/>
  <c r="EW298" i="4"/>
  <c r="EV298" i="4"/>
  <c r="FL298" i="4" s="1"/>
  <c r="EU298" i="4"/>
  <c r="DX298" i="4"/>
  <c r="EB298" i="4" s="1"/>
  <c r="DW298" i="4"/>
  <c r="DV298" i="4" s="1"/>
  <c r="DZ298" i="4" s="1"/>
  <c r="DL298" i="4"/>
  <c r="DH298" i="4"/>
  <c r="DF298" i="4"/>
  <c r="DA298" i="4"/>
  <c r="CX298" i="4"/>
  <c r="FJ298" i="4" s="1"/>
  <c r="FY298" i="4" s="1"/>
  <c r="CV298" i="4"/>
  <c r="DG298" i="4" s="1"/>
  <c r="CU298" i="4"/>
  <c r="DE298" i="4" s="1"/>
  <c r="CO298" i="4"/>
  <c r="CW298" i="4" s="1"/>
  <c r="CK298" i="4"/>
  <c r="CG298" i="4"/>
  <c r="BS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Y298" i="4"/>
  <c r="Q298" i="4"/>
  <c r="B298" i="4"/>
  <c r="A298" i="4"/>
  <c r="QX297" i="4"/>
  <c r="FX297" i="4"/>
  <c r="FU297" i="4"/>
  <c r="FT297" i="4"/>
  <c r="FS297" i="4"/>
  <c r="FR297" i="4"/>
  <c r="FN297" i="4"/>
  <c r="FL297" i="4"/>
  <c r="FK297" i="4"/>
  <c r="FI297" i="4"/>
  <c r="FH297" i="4"/>
  <c r="FV297" i="4" s="1"/>
  <c r="FG297" i="4"/>
  <c r="FE297" i="4"/>
  <c r="FD297" i="4"/>
  <c r="FC297" i="4"/>
  <c r="FA297" i="4"/>
  <c r="FP297" i="4" s="1"/>
  <c r="EZ297" i="4"/>
  <c r="FO297" i="4" s="1"/>
  <c r="EY297" i="4"/>
  <c r="EX297" i="4"/>
  <c r="EW297" i="4"/>
  <c r="FM297" i="4" s="1"/>
  <c r="EV297" i="4"/>
  <c r="EU297" i="4"/>
  <c r="EB297" i="4"/>
  <c r="DX297" i="4"/>
  <c r="DW297" i="4"/>
  <c r="DV297" i="4" s="1"/>
  <c r="DZ297" i="4" s="1"/>
  <c r="DL297" i="4"/>
  <c r="DH297" i="4"/>
  <c r="DF297" i="4"/>
  <c r="DE297" i="4"/>
  <c r="DA297" i="4"/>
  <c r="CX297" i="4"/>
  <c r="FJ297" i="4" s="1"/>
  <c r="FY297" i="4" s="1"/>
  <c r="CU297" i="4"/>
  <c r="CO297" i="4"/>
  <c r="CW297" i="4" s="1"/>
  <c r="CK297" i="4"/>
  <c r="CG297" i="4"/>
  <c r="BS297" i="4"/>
  <c r="BP297" i="4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Y297" i="4"/>
  <c r="Q297" i="4"/>
  <c r="B297" i="4"/>
  <c r="A297" i="4"/>
  <c r="QX296" i="4"/>
  <c r="FY296" i="4"/>
  <c r="FX296" i="4"/>
  <c r="FV296" i="4"/>
  <c r="FS296" i="4"/>
  <c r="FR296" i="4"/>
  <c r="FM296" i="4"/>
  <c r="FK296" i="4"/>
  <c r="FJ296" i="4"/>
  <c r="FI296" i="4"/>
  <c r="FH296" i="4"/>
  <c r="FG296" i="4"/>
  <c r="FU296" i="4" s="1"/>
  <c r="FE296" i="4"/>
  <c r="FT296" i="4" s="1"/>
  <c r="FD296" i="4"/>
  <c r="FC296" i="4"/>
  <c r="FA296" i="4"/>
  <c r="FP296" i="4" s="1"/>
  <c r="EZ296" i="4"/>
  <c r="FO296" i="4" s="1"/>
  <c r="EY296" i="4"/>
  <c r="EX296" i="4"/>
  <c r="FN296" i="4" s="1"/>
  <c r="EW296" i="4"/>
  <c r="EV296" i="4"/>
  <c r="FL296" i="4" s="1"/>
  <c r="EU296" i="4"/>
  <c r="EB296" i="4"/>
  <c r="EA296" i="4"/>
  <c r="DX296" i="4"/>
  <c r="DW296" i="4"/>
  <c r="DV296" i="4"/>
  <c r="DZ296" i="4" s="1"/>
  <c r="DU296" i="4"/>
  <c r="DL296" i="4"/>
  <c r="DH296" i="4"/>
  <c r="DG296" i="4"/>
  <c r="DF296" i="4"/>
  <c r="DE296" i="4"/>
  <c r="DA296" i="4"/>
  <c r="CX296" i="4"/>
  <c r="CW296" i="4"/>
  <c r="CV296" i="4"/>
  <c r="DY296" i="4" s="1"/>
  <c r="EC296" i="4" s="1"/>
  <c r="CU296" i="4"/>
  <c r="CO296" i="4"/>
  <c r="FB296" i="4" s="1"/>
  <c r="FQ296" i="4" s="1"/>
  <c r="CK296" i="4"/>
  <c r="CG296" i="4"/>
  <c r="BS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Y296" i="4"/>
  <c r="Q296" i="4"/>
  <c r="B296" i="4"/>
  <c r="A296" i="4"/>
  <c r="QX295" i="4"/>
  <c r="FV295" i="4"/>
  <c r="FU295" i="4"/>
  <c r="FP295" i="4"/>
  <c r="FO295" i="4"/>
  <c r="FL295" i="4"/>
  <c r="FJ295" i="4"/>
  <c r="FY295" i="4" s="1"/>
  <c r="FI295" i="4"/>
  <c r="FX295" i="4" s="1"/>
  <c r="FH295" i="4"/>
  <c r="FG295" i="4"/>
  <c r="FE295" i="4"/>
  <c r="FT295" i="4" s="1"/>
  <c r="FD295" i="4"/>
  <c r="FS295" i="4" s="1"/>
  <c r="FC295" i="4"/>
  <c r="FR295" i="4" s="1"/>
  <c r="FA295" i="4"/>
  <c r="EZ295" i="4"/>
  <c r="EY295" i="4"/>
  <c r="EX295" i="4"/>
  <c r="FN295" i="4" s="1"/>
  <c r="EW295" i="4"/>
  <c r="FM295" i="4" s="1"/>
  <c r="EV295" i="4"/>
  <c r="EU295" i="4"/>
  <c r="FK295" i="4" s="1"/>
  <c r="EA295" i="4"/>
  <c r="DX295" i="4"/>
  <c r="EB295" i="4" s="1"/>
  <c r="DW295" i="4"/>
  <c r="DV295" i="4" s="1"/>
  <c r="DZ295" i="4" s="1"/>
  <c r="DU295" i="4"/>
  <c r="DL295" i="4"/>
  <c r="DH295" i="4"/>
  <c r="DF295" i="4"/>
  <c r="DA295" i="4"/>
  <c r="CX295" i="4"/>
  <c r="CW295" i="4"/>
  <c r="CV295" i="4"/>
  <c r="DY295" i="4" s="1"/>
  <c r="EC295" i="4" s="1"/>
  <c r="CU295" i="4"/>
  <c r="DE295" i="4" s="1"/>
  <c r="CO295" i="4"/>
  <c r="FB295" i="4" s="1"/>
  <c r="FQ295" i="4" s="1"/>
  <c r="CK295" i="4"/>
  <c r="CG295" i="4"/>
  <c r="BS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Y295" i="4"/>
  <c r="Q295" i="4"/>
  <c r="B295" i="4"/>
  <c r="A295" i="4"/>
  <c r="QX294" i="4"/>
  <c r="FU294" i="4"/>
  <c r="FT294" i="4"/>
  <c r="FP294" i="4"/>
  <c r="FO294" i="4"/>
  <c r="FN294" i="4"/>
  <c r="FK294" i="4"/>
  <c r="FI294" i="4"/>
  <c r="FX294" i="4" s="1"/>
  <c r="FH294" i="4"/>
  <c r="FV294" i="4" s="1"/>
  <c r="FG294" i="4"/>
  <c r="FE294" i="4"/>
  <c r="FD294" i="4"/>
  <c r="FS294" i="4" s="1"/>
  <c r="FC294" i="4"/>
  <c r="FR294" i="4" s="1"/>
  <c r="FA294" i="4"/>
  <c r="EZ294" i="4"/>
  <c r="EY294" i="4"/>
  <c r="EX294" i="4"/>
  <c r="EW294" i="4"/>
  <c r="FM294" i="4" s="1"/>
  <c r="EV294" i="4"/>
  <c r="FL294" i="4" s="1"/>
  <c r="EU294" i="4"/>
  <c r="EB294" i="4"/>
  <c r="DZ294" i="4"/>
  <c r="DX294" i="4"/>
  <c r="DW294" i="4"/>
  <c r="EA294" i="4" s="1"/>
  <c r="DV294" i="4"/>
  <c r="DL294" i="4"/>
  <c r="DH294" i="4"/>
  <c r="DF294" i="4"/>
  <c r="DA294" i="4"/>
  <c r="CX294" i="4"/>
  <c r="FJ294" i="4" s="1"/>
  <c r="FY294" i="4" s="1"/>
  <c r="CU294" i="4"/>
  <c r="DE294" i="4" s="1"/>
  <c r="CO294" i="4"/>
  <c r="FB294" i="4" s="1"/>
  <c r="FQ294" i="4" s="1"/>
  <c r="CK294" i="4"/>
  <c r="CG294" i="4"/>
  <c r="BS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Y294" i="4"/>
  <c r="Q294" i="4"/>
  <c r="B294" i="4"/>
  <c r="A294" i="4"/>
  <c r="QX293" i="4"/>
  <c r="FT293" i="4"/>
  <c r="FP293" i="4"/>
  <c r="FO293" i="4"/>
  <c r="FN293" i="4"/>
  <c r="FM293" i="4"/>
  <c r="FJ293" i="4"/>
  <c r="FY293" i="4" s="1"/>
  <c r="FI293" i="4"/>
  <c r="FX293" i="4" s="1"/>
  <c r="FH293" i="4"/>
  <c r="FV293" i="4" s="1"/>
  <c r="FG293" i="4"/>
  <c r="FU293" i="4" s="1"/>
  <c r="FE293" i="4"/>
  <c r="FD293" i="4"/>
  <c r="FS293" i="4" s="1"/>
  <c r="FC293" i="4"/>
  <c r="FR293" i="4" s="1"/>
  <c r="FA293" i="4"/>
  <c r="EZ293" i="4"/>
  <c r="EY293" i="4"/>
  <c r="EX293" i="4"/>
  <c r="EW293" i="4"/>
  <c r="EV293" i="4"/>
  <c r="FL293" i="4" s="1"/>
  <c r="EU293" i="4"/>
  <c r="FK293" i="4" s="1"/>
  <c r="EA293" i="4"/>
  <c r="DX293" i="4"/>
  <c r="EB293" i="4" s="1"/>
  <c r="DW293" i="4"/>
  <c r="DU293" i="4"/>
  <c r="DL293" i="4"/>
  <c r="DH293" i="4"/>
  <c r="DF293" i="4"/>
  <c r="DA293" i="4"/>
  <c r="CX293" i="4"/>
  <c r="CU293" i="4"/>
  <c r="DE293" i="4" s="1"/>
  <c r="CO293" i="4"/>
  <c r="FB293" i="4" s="1"/>
  <c r="FQ293" i="4" s="1"/>
  <c r="CK293" i="4"/>
  <c r="CG293" i="4"/>
  <c r="BS293" i="4"/>
  <c r="BP293" i="4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Y293" i="4"/>
  <c r="Q293" i="4"/>
  <c r="B293" i="4"/>
  <c r="A293" i="4"/>
  <c r="QX292" i="4"/>
  <c r="FX292" i="4"/>
  <c r="FT292" i="4"/>
  <c r="FS292" i="4"/>
  <c r="FO292" i="4"/>
  <c r="FN292" i="4"/>
  <c r="FM292" i="4"/>
  <c r="FL292" i="4"/>
  <c r="FI292" i="4"/>
  <c r="FH292" i="4"/>
  <c r="FV292" i="4" s="1"/>
  <c r="FG292" i="4"/>
  <c r="FU292" i="4" s="1"/>
  <c r="FE292" i="4"/>
  <c r="FD292" i="4"/>
  <c r="FC292" i="4"/>
  <c r="FR292" i="4" s="1"/>
  <c r="FA292" i="4"/>
  <c r="FP292" i="4" s="1"/>
  <c r="EZ292" i="4"/>
  <c r="EY292" i="4"/>
  <c r="EX292" i="4"/>
  <c r="EW292" i="4"/>
  <c r="EV292" i="4"/>
  <c r="EU292" i="4"/>
  <c r="FK292" i="4" s="1"/>
  <c r="DX292" i="4"/>
  <c r="EB292" i="4" s="1"/>
  <c r="DW292" i="4"/>
  <c r="DV292" i="4" s="1"/>
  <c r="DZ292" i="4" s="1"/>
  <c r="DL292" i="4"/>
  <c r="DH292" i="4"/>
  <c r="DF292" i="4"/>
  <c r="DA292" i="4"/>
  <c r="CX292" i="4"/>
  <c r="FJ292" i="4" s="1"/>
  <c r="FY292" i="4" s="1"/>
  <c r="CU292" i="4"/>
  <c r="DE292" i="4" s="1"/>
  <c r="CO292" i="4"/>
  <c r="CW292" i="4" s="1"/>
  <c r="CG292" i="4"/>
  <c r="BS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Y292" i="4"/>
  <c r="Q292" i="4"/>
  <c r="B292" i="4"/>
  <c r="A292" i="4"/>
  <c r="QX291" i="4"/>
  <c r="FX291" i="4"/>
  <c r="FV291" i="4"/>
  <c r="FS291" i="4"/>
  <c r="FR291" i="4"/>
  <c r="FQ291" i="4"/>
  <c r="DD291" i="4" s="1"/>
  <c r="DB291" i="4" s="1"/>
  <c r="FM291" i="4"/>
  <c r="FL291" i="4"/>
  <c r="FK291" i="4"/>
  <c r="FI291" i="4"/>
  <c r="FH291" i="4"/>
  <c r="FG291" i="4"/>
  <c r="FU291" i="4" s="1"/>
  <c r="FE291" i="4"/>
  <c r="FT291" i="4" s="1"/>
  <c r="FD291" i="4"/>
  <c r="FC291" i="4"/>
  <c r="FB291" i="4"/>
  <c r="FA291" i="4"/>
  <c r="FP291" i="4" s="1"/>
  <c r="EZ291" i="4"/>
  <c r="FO291" i="4" s="1"/>
  <c r="EY291" i="4"/>
  <c r="EX291" i="4"/>
  <c r="FN291" i="4" s="1"/>
  <c r="EW291" i="4"/>
  <c r="EV291" i="4"/>
  <c r="EU291" i="4"/>
  <c r="EB291" i="4"/>
  <c r="DX291" i="4"/>
  <c r="DW291" i="4"/>
  <c r="EA291" i="4" s="1"/>
  <c r="DV291" i="4"/>
  <c r="DZ291" i="4" s="1"/>
  <c r="DL291" i="4"/>
  <c r="DH291" i="4"/>
  <c r="DF291" i="4"/>
  <c r="DE291" i="4"/>
  <c r="DA291" i="4"/>
  <c r="CX291" i="4"/>
  <c r="FJ291" i="4" s="1"/>
  <c r="FY291" i="4" s="1"/>
  <c r="CW291" i="4"/>
  <c r="CV291" i="4"/>
  <c r="DY291" i="4" s="1"/>
  <c r="EC291" i="4" s="1"/>
  <c r="CU291" i="4"/>
  <c r="CO291" i="4"/>
  <c r="CG291" i="4"/>
  <c r="BS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Y291" i="4"/>
  <c r="Q291" i="4"/>
  <c r="B291" i="4"/>
  <c r="A291" i="4"/>
  <c r="QX290" i="4"/>
  <c r="FU290" i="4"/>
  <c r="FT290" i="4"/>
  <c r="FP290" i="4"/>
  <c r="FO290" i="4"/>
  <c r="FN290" i="4"/>
  <c r="FJ290" i="4"/>
  <c r="FY290" i="4" s="1"/>
  <c r="FI290" i="4"/>
  <c r="FX290" i="4" s="1"/>
  <c r="FH290" i="4"/>
  <c r="FV290" i="4" s="1"/>
  <c r="FG290" i="4"/>
  <c r="FE290" i="4"/>
  <c r="FD290" i="4"/>
  <c r="FS290" i="4" s="1"/>
  <c r="FC290" i="4"/>
  <c r="FR290" i="4" s="1"/>
  <c r="FA290" i="4"/>
  <c r="EZ290" i="4"/>
  <c r="EY290" i="4"/>
  <c r="EX290" i="4"/>
  <c r="EW290" i="4"/>
  <c r="FM290" i="4" s="1"/>
  <c r="EV290" i="4"/>
  <c r="FL290" i="4" s="1"/>
  <c r="EU290" i="4"/>
  <c r="FK290" i="4" s="1"/>
  <c r="EA290" i="4"/>
  <c r="DX290" i="4"/>
  <c r="EB290" i="4" s="1"/>
  <c r="DW290" i="4"/>
  <c r="DU290" i="4"/>
  <c r="DL290" i="4"/>
  <c r="DH290" i="4"/>
  <c r="DF290" i="4"/>
  <c r="DA290" i="4"/>
  <c r="CX290" i="4"/>
  <c r="CU290" i="4"/>
  <c r="DE290" i="4" s="1"/>
  <c r="CO290" i="4"/>
  <c r="FB290" i="4" s="1"/>
  <c r="FQ290" i="4" s="1"/>
  <c r="CG290" i="4"/>
  <c r="BS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Y290" i="4"/>
  <c r="Q290" i="4"/>
  <c r="B290" i="4"/>
  <c r="A290" i="4"/>
  <c r="QX289" i="4"/>
  <c r="FX289" i="4"/>
  <c r="FT289" i="4"/>
  <c r="FS289" i="4"/>
  <c r="FR289" i="4"/>
  <c r="FN289" i="4"/>
  <c r="FM289" i="4"/>
  <c r="FL289" i="4"/>
  <c r="FI289" i="4"/>
  <c r="FH289" i="4"/>
  <c r="FV289" i="4" s="1"/>
  <c r="FG289" i="4"/>
  <c r="FU289" i="4" s="1"/>
  <c r="FE289" i="4"/>
  <c r="FD289" i="4"/>
  <c r="FC289" i="4"/>
  <c r="FA289" i="4"/>
  <c r="FP289" i="4" s="1"/>
  <c r="EZ289" i="4"/>
  <c r="FO289" i="4" s="1"/>
  <c r="EY289" i="4"/>
  <c r="EX289" i="4"/>
  <c r="EW289" i="4"/>
  <c r="EV289" i="4"/>
  <c r="EU289" i="4"/>
  <c r="FK289" i="4" s="1"/>
  <c r="DX289" i="4"/>
  <c r="EB289" i="4" s="1"/>
  <c r="DW289" i="4"/>
  <c r="DV289" i="4" s="1"/>
  <c r="DZ289" i="4" s="1"/>
  <c r="DL289" i="4"/>
  <c r="DH289" i="4"/>
  <c r="DF289" i="4"/>
  <c r="DE289" i="4"/>
  <c r="DA289" i="4"/>
  <c r="CX289" i="4"/>
  <c r="FJ289" i="4" s="1"/>
  <c r="FY289" i="4" s="1"/>
  <c r="CU289" i="4"/>
  <c r="CO289" i="4"/>
  <c r="CW289" i="4" s="1"/>
  <c r="CG289" i="4"/>
  <c r="BS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Y289" i="4"/>
  <c r="Q289" i="4"/>
  <c r="B289" i="4"/>
  <c r="A289" i="4"/>
  <c r="QX288" i="4"/>
  <c r="FX288" i="4"/>
  <c r="FV288" i="4"/>
  <c r="FU288" i="4"/>
  <c r="FR288" i="4"/>
  <c r="FP288" i="4"/>
  <c r="FL288" i="4"/>
  <c r="FK288" i="4"/>
  <c r="FJ288" i="4"/>
  <c r="FY288" i="4" s="1"/>
  <c r="FI288" i="4"/>
  <c r="FH288" i="4"/>
  <c r="FG288" i="4"/>
  <c r="FE288" i="4"/>
  <c r="FT288" i="4" s="1"/>
  <c r="FD288" i="4"/>
  <c r="FS288" i="4" s="1"/>
  <c r="FC288" i="4"/>
  <c r="FA288" i="4"/>
  <c r="EZ288" i="4"/>
  <c r="FO288" i="4" s="1"/>
  <c r="EY288" i="4"/>
  <c r="EX288" i="4"/>
  <c r="FN288" i="4" s="1"/>
  <c r="EW288" i="4"/>
  <c r="FM288" i="4" s="1"/>
  <c r="EV288" i="4"/>
  <c r="EU288" i="4"/>
  <c r="EB288" i="4"/>
  <c r="EA288" i="4"/>
  <c r="DX288" i="4"/>
  <c r="DW288" i="4"/>
  <c r="DV288" i="4" s="1"/>
  <c r="DZ288" i="4" s="1"/>
  <c r="DU288" i="4"/>
  <c r="DL288" i="4"/>
  <c r="DH288" i="4"/>
  <c r="DF288" i="4"/>
  <c r="DE288" i="4"/>
  <c r="DA288" i="4"/>
  <c r="CX288" i="4"/>
  <c r="CW288" i="4"/>
  <c r="CV288" i="4"/>
  <c r="DY288" i="4" s="1"/>
  <c r="EC288" i="4" s="1"/>
  <c r="CU288" i="4"/>
  <c r="CO288" i="4"/>
  <c r="FB288" i="4" s="1"/>
  <c r="FQ288" i="4" s="1"/>
  <c r="CG288" i="4"/>
  <c r="BS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Y288" i="4"/>
  <c r="Q288" i="4"/>
  <c r="B288" i="4"/>
  <c r="A288" i="4"/>
  <c r="QX287" i="4"/>
  <c r="FX287" i="4"/>
  <c r="FU287" i="4"/>
  <c r="FT287" i="4"/>
  <c r="FP287" i="4"/>
  <c r="FO287" i="4"/>
  <c r="FN287" i="4"/>
  <c r="FJ287" i="4"/>
  <c r="FY287" i="4" s="1"/>
  <c r="FI287" i="4"/>
  <c r="FH287" i="4"/>
  <c r="FV287" i="4" s="1"/>
  <c r="FG287" i="4"/>
  <c r="FE287" i="4"/>
  <c r="FD287" i="4"/>
  <c r="FS287" i="4" s="1"/>
  <c r="FC287" i="4"/>
  <c r="FR287" i="4" s="1"/>
  <c r="FA287" i="4"/>
  <c r="EZ287" i="4"/>
  <c r="EY287" i="4"/>
  <c r="EX287" i="4"/>
  <c r="EW287" i="4"/>
  <c r="FM287" i="4" s="1"/>
  <c r="EV287" i="4"/>
  <c r="FL287" i="4" s="1"/>
  <c r="EU287" i="4"/>
  <c r="FK287" i="4" s="1"/>
  <c r="EA287" i="4"/>
  <c r="DX287" i="4"/>
  <c r="EB287" i="4" s="1"/>
  <c r="DW287" i="4"/>
  <c r="DU287" i="4"/>
  <c r="DL287" i="4"/>
  <c r="DH287" i="4"/>
  <c r="DF287" i="4"/>
  <c r="DA287" i="4"/>
  <c r="CX287" i="4"/>
  <c r="CU287" i="4"/>
  <c r="DE287" i="4" s="1"/>
  <c r="CO287" i="4"/>
  <c r="FB287" i="4" s="1"/>
  <c r="FQ287" i="4" s="1"/>
  <c r="CG287" i="4"/>
  <c r="BS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Y287" i="4"/>
  <c r="Q287" i="4"/>
  <c r="B287" i="4"/>
  <c r="A287" i="4"/>
  <c r="QX286" i="4"/>
  <c r="FX286" i="4"/>
  <c r="FT286" i="4"/>
  <c r="FS286" i="4"/>
  <c r="FR286" i="4"/>
  <c r="FN286" i="4"/>
  <c r="FM286" i="4"/>
  <c r="FL286" i="4"/>
  <c r="FI286" i="4"/>
  <c r="FH286" i="4"/>
  <c r="FV286" i="4" s="1"/>
  <c r="FG286" i="4"/>
  <c r="FU286" i="4" s="1"/>
  <c r="FE286" i="4"/>
  <c r="FD286" i="4"/>
  <c r="FC286" i="4"/>
  <c r="FB286" i="4"/>
  <c r="FQ286" i="4" s="1"/>
  <c r="FA286" i="4"/>
  <c r="FP286" i="4" s="1"/>
  <c r="EZ286" i="4"/>
  <c r="FO286" i="4" s="1"/>
  <c r="EY286" i="4"/>
  <c r="EX286" i="4"/>
  <c r="EW286" i="4"/>
  <c r="EV286" i="4"/>
  <c r="EU286" i="4"/>
  <c r="FK286" i="4" s="1"/>
  <c r="EL286" i="4"/>
  <c r="DX286" i="4"/>
  <c r="EB286" i="4" s="1"/>
  <c r="DW286" i="4"/>
  <c r="DV286" i="4" s="1"/>
  <c r="DZ286" i="4" s="1"/>
  <c r="DL286" i="4"/>
  <c r="DH286" i="4"/>
  <c r="DF286" i="4"/>
  <c r="DA286" i="4"/>
  <c r="CX286" i="4"/>
  <c r="FJ286" i="4" s="1"/>
  <c r="FY286" i="4" s="1"/>
  <c r="CW286" i="4"/>
  <c r="CU286" i="4"/>
  <c r="DE286" i="4" s="1"/>
  <c r="CO286" i="4"/>
  <c r="CV286" i="4" s="1"/>
  <c r="CG286" i="4"/>
  <c r="BS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Y286" i="4"/>
  <c r="Q286" i="4"/>
  <c r="B286" i="4"/>
  <c r="A286" i="4"/>
  <c r="QX285" i="4"/>
  <c r="FX285" i="4"/>
  <c r="FV285" i="4"/>
  <c r="FS285" i="4"/>
  <c r="FR285" i="4"/>
  <c r="FQ285" i="4"/>
  <c r="DD285" i="4" s="1"/>
  <c r="DB285" i="4" s="1"/>
  <c r="FM285" i="4"/>
  <c r="FL285" i="4"/>
  <c r="FK285" i="4"/>
  <c r="FI285" i="4"/>
  <c r="FH285" i="4"/>
  <c r="FG285" i="4"/>
  <c r="FU285" i="4" s="1"/>
  <c r="FE285" i="4"/>
  <c r="FT285" i="4" s="1"/>
  <c r="FD285" i="4"/>
  <c r="FC285" i="4"/>
  <c r="FB285" i="4"/>
  <c r="FA285" i="4"/>
  <c r="FP285" i="4" s="1"/>
  <c r="EZ285" i="4"/>
  <c r="FO285" i="4" s="1"/>
  <c r="EY285" i="4"/>
  <c r="EX285" i="4"/>
  <c r="FN285" i="4" s="1"/>
  <c r="EW285" i="4"/>
  <c r="EV285" i="4"/>
  <c r="EU285" i="4"/>
  <c r="EB285" i="4"/>
  <c r="DX285" i="4"/>
  <c r="DW285" i="4"/>
  <c r="EA285" i="4" s="1"/>
  <c r="DV285" i="4"/>
  <c r="DZ285" i="4" s="1"/>
  <c r="DL285" i="4"/>
  <c r="DH285" i="4"/>
  <c r="DF285" i="4"/>
  <c r="DE285" i="4"/>
  <c r="DA285" i="4"/>
  <c r="CX285" i="4"/>
  <c r="FJ285" i="4" s="1"/>
  <c r="FY285" i="4" s="1"/>
  <c r="CW285" i="4"/>
  <c r="CV285" i="4"/>
  <c r="DY285" i="4" s="1"/>
  <c r="EC285" i="4" s="1"/>
  <c r="CU285" i="4"/>
  <c r="CO285" i="4"/>
  <c r="CG285" i="4"/>
  <c r="BS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Y285" i="4"/>
  <c r="Q285" i="4"/>
  <c r="B285" i="4"/>
  <c r="A285" i="4"/>
  <c r="QX284" i="4"/>
  <c r="FX284" i="4"/>
  <c r="FU284" i="4"/>
  <c r="FT284" i="4"/>
  <c r="FP284" i="4"/>
  <c r="FO284" i="4"/>
  <c r="FN284" i="4"/>
  <c r="FJ284" i="4"/>
  <c r="FY284" i="4" s="1"/>
  <c r="FI284" i="4"/>
  <c r="FH284" i="4"/>
  <c r="FV284" i="4" s="1"/>
  <c r="FG284" i="4"/>
  <c r="FE284" i="4"/>
  <c r="FD284" i="4"/>
  <c r="FS284" i="4" s="1"/>
  <c r="FC284" i="4"/>
  <c r="FR284" i="4" s="1"/>
  <c r="FA284" i="4"/>
  <c r="EZ284" i="4"/>
  <c r="EY284" i="4"/>
  <c r="EX284" i="4"/>
  <c r="EW284" i="4"/>
  <c r="FM284" i="4" s="1"/>
  <c r="EV284" i="4"/>
  <c r="FL284" i="4" s="1"/>
  <c r="EU284" i="4"/>
  <c r="FK284" i="4" s="1"/>
  <c r="EA284" i="4"/>
  <c r="DX284" i="4"/>
  <c r="EB284" i="4" s="1"/>
  <c r="DW284" i="4"/>
  <c r="DU284" i="4"/>
  <c r="DL284" i="4"/>
  <c r="DH284" i="4"/>
  <c r="DF284" i="4"/>
  <c r="DA284" i="4"/>
  <c r="CX284" i="4"/>
  <c r="CU284" i="4"/>
  <c r="DE284" i="4" s="1"/>
  <c r="CO284" i="4"/>
  <c r="FB284" i="4" s="1"/>
  <c r="FQ284" i="4" s="1"/>
  <c r="CG284" i="4"/>
  <c r="BR284" i="4"/>
  <c r="BS284" i="4" s="1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Y284" i="4"/>
  <c r="Q284" i="4"/>
  <c r="B284" i="4"/>
  <c r="A284" i="4"/>
  <c r="QX283" i="4"/>
  <c r="FT283" i="4"/>
  <c r="FS283" i="4"/>
  <c r="FO283" i="4"/>
  <c r="FN283" i="4"/>
  <c r="FM283" i="4"/>
  <c r="FI283" i="4"/>
  <c r="FX283" i="4" s="1"/>
  <c r="FH283" i="4"/>
  <c r="FV283" i="4" s="1"/>
  <c r="FG283" i="4"/>
  <c r="FU283" i="4" s="1"/>
  <c r="FE283" i="4"/>
  <c r="FD283" i="4"/>
  <c r="FC283" i="4"/>
  <c r="FR283" i="4" s="1"/>
  <c r="FA283" i="4"/>
  <c r="FP283" i="4" s="1"/>
  <c r="EZ283" i="4"/>
  <c r="EY283" i="4"/>
  <c r="EX283" i="4"/>
  <c r="EW283" i="4"/>
  <c r="EV283" i="4"/>
  <c r="FL283" i="4" s="1"/>
  <c r="EU283" i="4"/>
  <c r="FK283" i="4" s="1"/>
  <c r="DX283" i="4"/>
  <c r="EB283" i="4" s="1"/>
  <c r="DW283" i="4"/>
  <c r="DV283" i="4" s="1"/>
  <c r="DZ283" i="4" s="1"/>
  <c r="DL283" i="4"/>
  <c r="DH283" i="4"/>
  <c r="DF283" i="4"/>
  <c r="DA283" i="4"/>
  <c r="CX283" i="4"/>
  <c r="FJ283" i="4" s="1"/>
  <c r="FY283" i="4" s="1"/>
  <c r="CU283" i="4"/>
  <c r="DE283" i="4" s="1"/>
  <c r="CO283" i="4"/>
  <c r="CW283" i="4" s="1"/>
  <c r="CK283" i="4"/>
  <c r="CG283" i="4"/>
  <c r="BS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Y283" i="4"/>
  <c r="Q283" i="4"/>
  <c r="B283" i="4"/>
  <c r="A283" i="4"/>
  <c r="QX282" i="4"/>
  <c r="FX282" i="4"/>
  <c r="FT282" i="4"/>
  <c r="FS282" i="4"/>
  <c r="FR282" i="4"/>
  <c r="FN282" i="4"/>
  <c r="FM282" i="4"/>
  <c r="FL282" i="4"/>
  <c r="FI282" i="4"/>
  <c r="FH282" i="4"/>
  <c r="FV282" i="4" s="1"/>
  <c r="FG282" i="4"/>
  <c r="FU282" i="4" s="1"/>
  <c r="FE282" i="4"/>
  <c r="FD282" i="4"/>
  <c r="FC282" i="4"/>
  <c r="FA282" i="4"/>
  <c r="FP282" i="4" s="1"/>
  <c r="EZ282" i="4"/>
  <c r="FO282" i="4" s="1"/>
  <c r="EY282" i="4"/>
  <c r="EX282" i="4"/>
  <c r="EW282" i="4"/>
  <c r="EV282" i="4"/>
  <c r="EU282" i="4"/>
  <c r="FK282" i="4" s="1"/>
  <c r="DX282" i="4"/>
  <c r="EB282" i="4" s="1"/>
  <c r="DW282" i="4"/>
  <c r="DV282" i="4" s="1"/>
  <c r="DZ282" i="4" s="1"/>
  <c r="DL282" i="4"/>
  <c r="DH282" i="4"/>
  <c r="DF282" i="4"/>
  <c r="DE282" i="4"/>
  <c r="DA282" i="4"/>
  <c r="CX282" i="4"/>
  <c r="FJ282" i="4" s="1"/>
  <c r="FY282" i="4" s="1"/>
  <c r="CU282" i="4"/>
  <c r="CO282" i="4"/>
  <c r="CW282" i="4" s="1"/>
  <c r="CK282" i="4"/>
  <c r="BS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Y282" i="4"/>
  <c r="Q282" i="4"/>
  <c r="B282" i="4"/>
  <c r="A282" i="4"/>
  <c r="QX281" i="4"/>
  <c r="FX281" i="4"/>
  <c r="FV281" i="4"/>
  <c r="FU281" i="4"/>
  <c r="FR281" i="4"/>
  <c r="FP281" i="4"/>
  <c r="FL281" i="4"/>
  <c r="FK281" i="4"/>
  <c r="FJ281" i="4"/>
  <c r="FY281" i="4" s="1"/>
  <c r="FI281" i="4"/>
  <c r="FH281" i="4"/>
  <c r="FG281" i="4"/>
  <c r="FE281" i="4"/>
  <c r="FT281" i="4" s="1"/>
  <c r="FD281" i="4"/>
  <c r="FS281" i="4" s="1"/>
  <c r="FC281" i="4"/>
  <c r="FA281" i="4"/>
  <c r="EZ281" i="4"/>
  <c r="FO281" i="4" s="1"/>
  <c r="EY281" i="4"/>
  <c r="EX281" i="4"/>
  <c r="FN281" i="4" s="1"/>
  <c r="EW281" i="4"/>
  <c r="FM281" i="4" s="1"/>
  <c r="EV281" i="4"/>
  <c r="EU281" i="4"/>
  <c r="EB281" i="4"/>
  <c r="EA281" i="4"/>
  <c r="DX281" i="4"/>
  <c r="DW281" i="4"/>
  <c r="DV281" i="4" s="1"/>
  <c r="DZ281" i="4" s="1"/>
  <c r="DU281" i="4"/>
  <c r="DL281" i="4"/>
  <c r="DH281" i="4"/>
  <c r="DF281" i="4"/>
  <c r="DE281" i="4"/>
  <c r="DA281" i="4"/>
  <c r="CX281" i="4"/>
  <c r="CW281" i="4"/>
  <c r="CV281" i="4"/>
  <c r="CU281" i="4"/>
  <c r="CO281" i="4"/>
  <c r="FB281" i="4" s="1"/>
  <c r="FQ281" i="4" s="1"/>
  <c r="CK281" i="4"/>
  <c r="CG281" i="4"/>
  <c r="BS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Y281" i="4"/>
  <c r="Q281" i="4"/>
  <c r="B281" i="4"/>
  <c r="A281" i="4"/>
  <c r="QX280" i="4"/>
  <c r="FV280" i="4"/>
  <c r="FU280" i="4"/>
  <c r="FP280" i="4"/>
  <c r="FO280" i="4"/>
  <c r="FK280" i="4"/>
  <c r="FJ280" i="4"/>
  <c r="FY280" i="4" s="1"/>
  <c r="FI280" i="4"/>
  <c r="FX280" i="4" s="1"/>
  <c r="FH280" i="4"/>
  <c r="FG280" i="4"/>
  <c r="FE280" i="4"/>
  <c r="FT280" i="4" s="1"/>
  <c r="FD280" i="4"/>
  <c r="FS280" i="4" s="1"/>
  <c r="FC280" i="4"/>
  <c r="FR280" i="4" s="1"/>
  <c r="FA280" i="4"/>
  <c r="EZ280" i="4"/>
  <c r="EY280" i="4"/>
  <c r="EX280" i="4"/>
  <c r="FN280" i="4" s="1"/>
  <c r="EW280" i="4"/>
  <c r="FM280" i="4" s="1"/>
  <c r="EV280" i="4"/>
  <c r="FL280" i="4" s="1"/>
  <c r="EU280" i="4"/>
  <c r="EB280" i="4"/>
  <c r="EA280" i="4"/>
  <c r="DZ280" i="4"/>
  <c r="DX280" i="4"/>
  <c r="DW280" i="4"/>
  <c r="DV280" i="4"/>
  <c r="DU280" i="4"/>
  <c r="DL280" i="4"/>
  <c r="DH280" i="4"/>
  <c r="DF280" i="4"/>
  <c r="DA280" i="4"/>
  <c r="CX280" i="4"/>
  <c r="CW280" i="4"/>
  <c r="CV280" i="4"/>
  <c r="DY280" i="4" s="1"/>
  <c r="EC280" i="4" s="1"/>
  <c r="CU280" i="4"/>
  <c r="DE280" i="4" s="1"/>
  <c r="CO280" i="4"/>
  <c r="FB280" i="4" s="1"/>
  <c r="FQ280" i="4" s="1"/>
  <c r="CG280" i="4"/>
  <c r="BS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Y280" i="4"/>
  <c r="Q280" i="4"/>
  <c r="B280" i="4"/>
  <c r="A280" i="4"/>
  <c r="FT279" i="4"/>
  <c r="FS279" i="4"/>
  <c r="FO279" i="4"/>
  <c r="FN279" i="4"/>
  <c r="FM279" i="4"/>
  <c r="FH279" i="4"/>
  <c r="FV279" i="4" s="1"/>
  <c r="FG279" i="4"/>
  <c r="FU279" i="4" s="1"/>
  <c r="FE279" i="4"/>
  <c r="FD279" i="4"/>
  <c r="FC279" i="4"/>
  <c r="FR279" i="4" s="1"/>
  <c r="FA279" i="4"/>
  <c r="FP279" i="4" s="1"/>
  <c r="EZ279" i="4"/>
  <c r="EY279" i="4"/>
  <c r="EX279" i="4"/>
  <c r="EW279" i="4"/>
  <c r="EV279" i="4"/>
  <c r="FL279" i="4" s="1"/>
  <c r="EU279" i="4"/>
  <c r="FK279" i="4" s="1"/>
  <c r="DX279" i="4"/>
  <c r="EB279" i="4" s="1"/>
  <c r="DL279" i="4"/>
  <c r="DF279" i="4"/>
  <c r="DA279" i="4"/>
  <c r="CW279" i="4"/>
  <c r="CU279" i="4"/>
  <c r="DE279" i="4" s="1"/>
  <c r="CO279" i="4"/>
  <c r="CV279" i="4" s="1"/>
  <c r="CN279" i="4"/>
  <c r="DW279" i="4" s="1"/>
  <c r="CG279" i="4"/>
  <c r="BS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Y279" i="4"/>
  <c r="B279" i="4"/>
  <c r="A279" i="4"/>
  <c r="FS278" i="4"/>
  <c r="FR278" i="4"/>
  <c r="FN278" i="4"/>
  <c r="FM278" i="4"/>
  <c r="FL278" i="4"/>
  <c r="FK278" i="4"/>
  <c r="FH278" i="4"/>
  <c r="FV278" i="4" s="1"/>
  <c r="FG278" i="4"/>
  <c r="FU278" i="4" s="1"/>
  <c r="FE278" i="4"/>
  <c r="FT278" i="4" s="1"/>
  <c r="FD278" i="4"/>
  <c r="FC278" i="4"/>
  <c r="FA278" i="4"/>
  <c r="FP278" i="4" s="1"/>
  <c r="EZ278" i="4"/>
  <c r="FO278" i="4" s="1"/>
  <c r="EY278" i="4"/>
  <c r="EX278" i="4"/>
  <c r="EW278" i="4"/>
  <c r="EV278" i="4"/>
  <c r="EU278" i="4"/>
  <c r="EB278" i="4"/>
  <c r="DX278" i="4"/>
  <c r="DL278" i="4"/>
  <c r="DF278" i="4"/>
  <c r="DE278" i="4"/>
  <c r="DA278" i="4"/>
  <c r="CW278" i="4"/>
  <c r="CU278" i="4"/>
  <c r="CO278" i="4"/>
  <c r="CV278" i="4" s="1"/>
  <c r="CN278" i="4"/>
  <c r="FI278" i="4" s="1"/>
  <c r="BP278" i="4"/>
  <c r="BO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Y278" i="4"/>
  <c r="Q278" i="4"/>
  <c r="B278" i="4"/>
  <c r="A278" i="4"/>
  <c r="QX277" i="4"/>
  <c r="FX277" i="4"/>
  <c r="FU277" i="4"/>
  <c r="FT277" i="4"/>
  <c r="FP277" i="4"/>
  <c r="FO277" i="4"/>
  <c r="FN277" i="4"/>
  <c r="FK277" i="4"/>
  <c r="FJ277" i="4"/>
  <c r="FY277" i="4" s="1"/>
  <c r="FI277" i="4"/>
  <c r="FH277" i="4"/>
  <c r="FV277" i="4" s="1"/>
  <c r="FG277" i="4"/>
  <c r="FE277" i="4"/>
  <c r="FD277" i="4"/>
  <c r="FS277" i="4" s="1"/>
  <c r="FC277" i="4"/>
  <c r="FR277" i="4" s="1"/>
  <c r="FA277" i="4"/>
  <c r="EZ277" i="4"/>
  <c r="EY277" i="4"/>
  <c r="EX277" i="4"/>
  <c r="EW277" i="4"/>
  <c r="FM277" i="4" s="1"/>
  <c r="EV277" i="4"/>
  <c r="FL277" i="4" s="1"/>
  <c r="EU277" i="4"/>
  <c r="EB277" i="4"/>
  <c r="EA277" i="4"/>
  <c r="DX277" i="4"/>
  <c r="DW277" i="4"/>
  <c r="DV277" i="4"/>
  <c r="DU277" i="4"/>
  <c r="DL277" i="4"/>
  <c r="DH277" i="4"/>
  <c r="DF277" i="4"/>
  <c r="DA277" i="4"/>
  <c r="CX277" i="4"/>
  <c r="CW277" i="4"/>
  <c r="CU277" i="4"/>
  <c r="DE277" i="4" s="1"/>
  <c r="CO277" i="4"/>
  <c r="FB277" i="4" s="1"/>
  <c r="FQ277" i="4" s="1"/>
  <c r="BS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Y277" i="4"/>
  <c r="Q277" i="4"/>
  <c r="B277" i="4"/>
  <c r="A277" i="4"/>
  <c r="QX276" i="4"/>
  <c r="FX276" i="4"/>
  <c r="FS276" i="4"/>
  <c r="FR276" i="4"/>
  <c r="FN276" i="4"/>
  <c r="FM276" i="4"/>
  <c r="FL276" i="4"/>
  <c r="FK276" i="4"/>
  <c r="FI276" i="4"/>
  <c r="FH276" i="4"/>
  <c r="FV276" i="4" s="1"/>
  <c r="FG276" i="4"/>
  <c r="FU276" i="4" s="1"/>
  <c r="FE276" i="4"/>
  <c r="FT276" i="4" s="1"/>
  <c r="FD276" i="4"/>
  <c r="FC276" i="4"/>
  <c r="FA276" i="4"/>
  <c r="FP276" i="4" s="1"/>
  <c r="EZ276" i="4"/>
  <c r="FO276" i="4" s="1"/>
  <c r="EY276" i="4"/>
  <c r="EX276" i="4"/>
  <c r="EW276" i="4"/>
  <c r="EV276" i="4"/>
  <c r="EU276" i="4"/>
  <c r="EB276" i="4"/>
  <c r="DX276" i="4"/>
  <c r="DW276" i="4"/>
  <c r="EA276" i="4" s="1"/>
  <c r="DV276" i="4"/>
  <c r="DZ276" i="4" s="1"/>
  <c r="DL276" i="4"/>
  <c r="DH276" i="4"/>
  <c r="DF276" i="4"/>
  <c r="DE276" i="4"/>
  <c r="DA276" i="4"/>
  <c r="CX276" i="4"/>
  <c r="FJ276" i="4" s="1"/>
  <c r="FY276" i="4" s="1"/>
  <c r="CW276" i="4"/>
  <c r="CU276" i="4"/>
  <c r="CO276" i="4"/>
  <c r="CV276" i="4" s="1"/>
  <c r="CG276" i="4"/>
  <c r="BR276" i="4"/>
  <c r="BS276" i="4" s="1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Y276" i="4"/>
  <c r="Q276" i="4"/>
  <c r="B276" i="4"/>
  <c r="A276" i="4"/>
  <c r="QX275" i="4"/>
  <c r="FX275" i="4"/>
  <c r="FV275" i="4"/>
  <c r="FR275" i="4"/>
  <c r="FP275" i="4"/>
  <c r="FM275" i="4"/>
  <c r="FL275" i="4"/>
  <c r="FK275" i="4"/>
  <c r="FJ275" i="4"/>
  <c r="FY275" i="4" s="1"/>
  <c r="FI275" i="4"/>
  <c r="FH275" i="4"/>
  <c r="FG275" i="4"/>
  <c r="FU275" i="4" s="1"/>
  <c r="FE275" i="4"/>
  <c r="FT275" i="4" s="1"/>
  <c r="FD275" i="4"/>
  <c r="FS275" i="4" s="1"/>
  <c r="FC275" i="4"/>
  <c r="FA275" i="4"/>
  <c r="EZ275" i="4"/>
  <c r="FO275" i="4" s="1"/>
  <c r="EY275" i="4"/>
  <c r="EX275" i="4"/>
  <c r="FN275" i="4" s="1"/>
  <c r="EW275" i="4"/>
  <c r="EV275" i="4"/>
  <c r="EU275" i="4"/>
  <c r="EB275" i="4"/>
  <c r="EA275" i="4"/>
  <c r="DX275" i="4"/>
  <c r="DW275" i="4"/>
  <c r="DV275" i="4" s="1"/>
  <c r="DZ275" i="4" s="1"/>
  <c r="DU275" i="4"/>
  <c r="DL275" i="4"/>
  <c r="DH275" i="4"/>
  <c r="DF275" i="4"/>
  <c r="DE275" i="4"/>
  <c r="DA275" i="4"/>
  <c r="CX275" i="4"/>
  <c r="CW275" i="4"/>
  <c r="CV275" i="4"/>
  <c r="CU275" i="4"/>
  <c r="CO275" i="4"/>
  <c r="FB275" i="4" s="1"/>
  <c r="FQ275" i="4" s="1"/>
  <c r="CG275" i="4"/>
  <c r="BS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Y275" i="4"/>
  <c r="Q275" i="4"/>
  <c r="B275" i="4"/>
  <c r="A275" i="4"/>
  <c r="QX274" i="4"/>
  <c r="FU274" i="4"/>
  <c r="FT274" i="4"/>
  <c r="FP274" i="4"/>
  <c r="FO274" i="4"/>
  <c r="FN274" i="4"/>
  <c r="FK274" i="4"/>
  <c r="FJ274" i="4"/>
  <c r="FY274" i="4" s="1"/>
  <c r="FI274" i="4"/>
  <c r="FX274" i="4" s="1"/>
  <c r="FH274" i="4"/>
  <c r="FV274" i="4" s="1"/>
  <c r="FG274" i="4"/>
  <c r="FE274" i="4"/>
  <c r="FD274" i="4"/>
  <c r="FS274" i="4" s="1"/>
  <c r="FC274" i="4"/>
  <c r="FR274" i="4" s="1"/>
  <c r="FA274" i="4"/>
  <c r="EZ274" i="4"/>
  <c r="EY274" i="4"/>
  <c r="EX274" i="4"/>
  <c r="EW274" i="4"/>
  <c r="FM274" i="4" s="1"/>
  <c r="EV274" i="4"/>
  <c r="FL274" i="4" s="1"/>
  <c r="EU274" i="4"/>
  <c r="EB274" i="4"/>
  <c r="EA274" i="4"/>
  <c r="DX274" i="4"/>
  <c r="DW274" i="4"/>
  <c r="DV274" i="4"/>
  <c r="DU274" i="4"/>
  <c r="DL274" i="4"/>
  <c r="DH274" i="4"/>
  <c r="DF274" i="4"/>
  <c r="DA274" i="4"/>
  <c r="CX274" i="4"/>
  <c r="CU274" i="4"/>
  <c r="DE274" i="4" s="1"/>
  <c r="CO274" i="4"/>
  <c r="FB274" i="4" s="1"/>
  <c r="FQ274" i="4" s="1"/>
  <c r="CG274" i="4"/>
  <c r="BS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Y274" i="4"/>
  <c r="Q274" i="4"/>
  <c r="B274" i="4"/>
  <c r="A274" i="4"/>
  <c r="QX273" i="4"/>
  <c r="FX273" i="4"/>
  <c r="FT273" i="4"/>
  <c r="FS273" i="4"/>
  <c r="FR273" i="4"/>
  <c r="FN273" i="4"/>
  <c r="FM273" i="4"/>
  <c r="FL273" i="4"/>
  <c r="FI273" i="4"/>
  <c r="FH273" i="4"/>
  <c r="FV273" i="4" s="1"/>
  <c r="FG273" i="4"/>
  <c r="FU273" i="4" s="1"/>
  <c r="FE273" i="4"/>
  <c r="FD273" i="4"/>
  <c r="FC273" i="4"/>
  <c r="FA273" i="4"/>
  <c r="FP273" i="4" s="1"/>
  <c r="EZ273" i="4"/>
  <c r="FO273" i="4" s="1"/>
  <c r="EY273" i="4"/>
  <c r="EX273" i="4"/>
  <c r="EW273" i="4"/>
  <c r="EV273" i="4"/>
  <c r="EU273" i="4"/>
  <c r="FK273" i="4" s="1"/>
  <c r="DX273" i="4"/>
  <c r="EB273" i="4" s="1"/>
  <c r="DW273" i="4"/>
  <c r="DV273" i="4" s="1"/>
  <c r="DZ273" i="4" s="1"/>
  <c r="DL273" i="4"/>
  <c r="DH273" i="4"/>
  <c r="DF273" i="4"/>
  <c r="DA273" i="4"/>
  <c r="CX273" i="4"/>
  <c r="FJ273" i="4" s="1"/>
  <c r="FY273" i="4" s="1"/>
  <c r="CW273" i="4"/>
  <c r="CU273" i="4"/>
  <c r="DE273" i="4" s="1"/>
  <c r="CO273" i="4"/>
  <c r="CV273" i="4" s="1"/>
  <c r="CG273" i="4"/>
  <c r="BS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Y273" i="4"/>
  <c r="Q273" i="4"/>
  <c r="B273" i="4"/>
  <c r="A273" i="4"/>
  <c r="QX272" i="4"/>
  <c r="FX272" i="4"/>
  <c r="FV272" i="4"/>
  <c r="FR272" i="4"/>
  <c r="FP272" i="4"/>
  <c r="FM272" i="4"/>
  <c r="FL272" i="4"/>
  <c r="FK272" i="4"/>
  <c r="FJ272" i="4"/>
  <c r="FY272" i="4" s="1"/>
  <c r="FI272" i="4"/>
  <c r="FH272" i="4"/>
  <c r="FG272" i="4"/>
  <c r="FU272" i="4" s="1"/>
  <c r="FE272" i="4"/>
  <c r="FT272" i="4" s="1"/>
  <c r="FD272" i="4"/>
  <c r="FS272" i="4" s="1"/>
  <c r="FC272" i="4"/>
  <c r="FA272" i="4"/>
  <c r="EZ272" i="4"/>
  <c r="FO272" i="4" s="1"/>
  <c r="EY272" i="4"/>
  <c r="EX272" i="4"/>
  <c r="FN272" i="4" s="1"/>
  <c r="EW272" i="4"/>
  <c r="EV272" i="4"/>
  <c r="EU272" i="4"/>
  <c r="EB272" i="4"/>
  <c r="EA272" i="4"/>
  <c r="DX272" i="4"/>
  <c r="DW272" i="4"/>
  <c r="DV272" i="4" s="1"/>
  <c r="DZ272" i="4" s="1"/>
  <c r="DU272" i="4"/>
  <c r="DL272" i="4"/>
  <c r="DH272" i="4"/>
  <c r="DF272" i="4"/>
  <c r="DE272" i="4"/>
  <c r="DA272" i="4"/>
  <c r="CX272" i="4"/>
  <c r="CW272" i="4"/>
  <c r="CV272" i="4"/>
  <c r="DY272" i="4" s="1"/>
  <c r="EC272" i="4" s="1"/>
  <c r="CU272" i="4"/>
  <c r="CO272" i="4"/>
  <c r="FB272" i="4" s="1"/>
  <c r="FQ272" i="4" s="1"/>
  <c r="CG272" i="4"/>
  <c r="BS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Y272" i="4"/>
  <c r="Q272" i="4"/>
  <c r="B272" i="4"/>
  <c r="A272" i="4"/>
  <c r="QX271" i="4"/>
  <c r="FU271" i="4"/>
  <c r="FP271" i="4"/>
  <c r="FO271" i="4"/>
  <c r="FN271" i="4"/>
  <c r="FK271" i="4"/>
  <c r="FI271" i="4"/>
  <c r="FX271" i="4" s="1"/>
  <c r="FH271" i="4"/>
  <c r="FV271" i="4" s="1"/>
  <c r="FG271" i="4"/>
  <c r="FD271" i="4"/>
  <c r="FS271" i="4" s="1"/>
  <c r="FC271" i="4"/>
  <c r="FR271" i="4" s="1"/>
  <c r="FA271" i="4"/>
  <c r="EZ271" i="4"/>
  <c r="EY271" i="4"/>
  <c r="EX271" i="4"/>
  <c r="EW271" i="4"/>
  <c r="FM271" i="4" s="1"/>
  <c r="EV271" i="4"/>
  <c r="FL271" i="4" s="1"/>
  <c r="EU271" i="4"/>
  <c r="EB271" i="4"/>
  <c r="DX271" i="4"/>
  <c r="DL271" i="4"/>
  <c r="DH271" i="4"/>
  <c r="DF271" i="4"/>
  <c r="DA271" i="4"/>
  <c r="CR271" i="4"/>
  <c r="FE271" i="4" s="1"/>
  <c r="FT271" i="4" s="1"/>
  <c r="CP271" i="4"/>
  <c r="DW271" i="4" s="1"/>
  <c r="CG271" i="4"/>
  <c r="BS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Y271" i="4"/>
  <c r="Q271" i="4"/>
  <c r="B271" i="4"/>
  <c r="A271" i="4"/>
  <c r="QX270" i="4"/>
  <c r="FU270" i="4"/>
  <c r="FT270" i="4"/>
  <c r="FP270" i="4"/>
  <c r="FO270" i="4"/>
  <c r="FN270" i="4"/>
  <c r="FK270" i="4"/>
  <c r="FJ270" i="4"/>
  <c r="FY270" i="4" s="1"/>
  <c r="FI270" i="4"/>
  <c r="FX270" i="4" s="1"/>
  <c r="FH270" i="4"/>
  <c r="FV270" i="4" s="1"/>
  <c r="FG270" i="4"/>
  <c r="FE270" i="4"/>
  <c r="FD270" i="4"/>
  <c r="FS270" i="4" s="1"/>
  <c r="FC270" i="4"/>
  <c r="FR270" i="4" s="1"/>
  <c r="FA270" i="4"/>
  <c r="EZ270" i="4"/>
  <c r="EY270" i="4"/>
  <c r="EX270" i="4"/>
  <c r="EW270" i="4"/>
  <c r="FM270" i="4" s="1"/>
  <c r="EV270" i="4"/>
  <c r="FL270" i="4" s="1"/>
  <c r="EU270" i="4"/>
  <c r="EB270" i="4"/>
  <c r="EA270" i="4"/>
  <c r="DX270" i="4"/>
  <c r="DW270" i="4"/>
  <c r="DV270" i="4"/>
  <c r="DU270" i="4"/>
  <c r="DL270" i="4"/>
  <c r="DH270" i="4"/>
  <c r="DF270" i="4"/>
  <c r="DA270" i="4"/>
  <c r="CX270" i="4"/>
  <c r="CU270" i="4"/>
  <c r="DE270" i="4" s="1"/>
  <c r="CO270" i="4"/>
  <c r="FB270" i="4" s="1"/>
  <c r="FQ270" i="4" s="1"/>
  <c r="CK270" i="4"/>
  <c r="CG270" i="4"/>
  <c r="BS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Y270" i="4"/>
  <c r="Q270" i="4"/>
  <c r="B270" i="4"/>
  <c r="A270" i="4"/>
  <c r="QX269" i="4"/>
  <c r="FY269" i="4"/>
  <c r="FT269" i="4"/>
  <c r="FS269" i="4"/>
  <c r="FO269" i="4"/>
  <c r="FN269" i="4"/>
  <c r="FM269" i="4"/>
  <c r="FJ269" i="4"/>
  <c r="FI269" i="4"/>
  <c r="FX269" i="4" s="1"/>
  <c r="FH269" i="4"/>
  <c r="FV269" i="4" s="1"/>
  <c r="FG269" i="4"/>
  <c r="FU269" i="4" s="1"/>
  <c r="FE269" i="4"/>
  <c r="FD269" i="4"/>
  <c r="FC269" i="4"/>
  <c r="FR269" i="4" s="1"/>
  <c r="FA269" i="4"/>
  <c r="FP269" i="4" s="1"/>
  <c r="EZ269" i="4"/>
  <c r="EY269" i="4"/>
  <c r="EX269" i="4"/>
  <c r="EW269" i="4"/>
  <c r="EV269" i="4"/>
  <c r="FL269" i="4" s="1"/>
  <c r="EU269" i="4"/>
  <c r="FK269" i="4" s="1"/>
  <c r="EA269" i="4"/>
  <c r="DX269" i="4"/>
  <c r="EB269" i="4" s="1"/>
  <c r="DW269" i="4"/>
  <c r="DV269" i="4" s="1"/>
  <c r="DZ269" i="4" s="1"/>
  <c r="DU269" i="4"/>
  <c r="DL269" i="4"/>
  <c r="DH269" i="4"/>
  <c r="DF269" i="4"/>
  <c r="DA269" i="4"/>
  <c r="CX269" i="4"/>
  <c r="CU269" i="4"/>
  <c r="DE269" i="4" s="1"/>
  <c r="CO269" i="4"/>
  <c r="CW269" i="4" s="1"/>
  <c r="CK269" i="4"/>
  <c r="CG269" i="4"/>
  <c r="BS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Y269" i="4"/>
  <c r="Q269" i="4"/>
  <c r="B269" i="4"/>
  <c r="A269" i="4"/>
  <c r="QX268" i="4"/>
  <c r="FX268" i="4"/>
  <c r="FT268" i="4"/>
  <c r="FS268" i="4"/>
  <c r="FR268" i="4"/>
  <c r="FN268" i="4"/>
  <c r="FM268" i="4"/>
  <c r="FL268" i="4"/>
  <c r="FI268" i="4"/>
  <c r="FH268" i="4"/>
  <c r="FV268" i="4" s="1"/>
  <c r="FG268" i="4"/>
  <c r="FU268" i="4" s="1"/>
  <c r="FE268" i="4"/>
  <c r="FD268" i="4"/>
  <c r="FC268" i="4"/>
  <c r="FA268" i="4"/>
  <c r="FP268" i="4" s="1"/>
  <c r="EZ268" i="4"/>
  <c r="FO268" i="4" s="1"/>
  <c r="EY268" i="4"/>
  <c r="EX268" i="4"/>
  <c r="EW268" i="4"/>
  <c r="EV268" i="4"/>
  <c r="EU268" i="4"/>
  <c r="FK268" i="4" s="1"/>
  <c r="DX268" i="4"/>
  <c r="EB268" i="4" s="1"/>
  <c r="DW268" i="4"/>
  <c r="DV268" i="4" s="1"/>
  <c r="DZ268" i="4" s="1"/>
  <c r="DL268" i="4"/>
  <c r="DH268" i="4"/>
  <c r="DF268" i="4"/>
  <c r="DA268" i="4"/>
  <c r="CX268" i="4"/>
  <c r="FJ268" i="4" s="1"/>
  <c r="FY268" i="4" s="1"/>
  <c r="CU268" i="4"/>
  <c r="DE268" i="4" s="1"/>
  <c r="CO268" i="4"/>
  <c r="CW268" i="4" s="1"/>
  <c r="CK268" i="4"/>
  <c r="CG268" i="4"/>
  <c r="BS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Y268" i="4"/>
  <c r="Q268" i="4"/>
  <c r="B268" i="4"/>
  <c r="A268" i="4"/>
  <c r="QX267" i="4"/>
  <c r="FX267" i="4"/>
  <c r="FS267" i="4"/>
  <c r="FR267" i="4"/>
  <c r="FN267" i="4"/>
  <c r="FM267" i="4"/>
  <c r="FL267" i="4"/>
  <c r="FK267" i="4"/>
  <c r="FI267" i="4"/>
  <c r="FH267" i="4"/>
  <c r="FV267" i="4" s="1"/>
  <c r="FG267" i="4"/>
  <c r="FU267" i="4" s="1"/>
  <c r="FE267" i="4"/>
  <c r="FT267" i="4" s="1"/>
  <c r="FD267" i="4"/>
  <c r="FC267" i="4"/>
  <c r="FA267" i="4"/>
  <c r="FP267" i="4" s="1"/>
  <c r="EZ267" i="4"/>
  <c r="FO267" i="4" s="1"/>
  <c r="EY267" i="4"/>
  <c r="EX267" i="4"/>
  <c r="EW267" i="4"/>
  <c r="EV267" i="4"/>
  <c r="EU267" i="4"/>
  <c r="EB267" i="4"/>
  <c r="DX267" i="4"/>
  <c r="DW267" i="4"/>
  <c r="EA267" i="4" s="1"/>
  <c r="DV267" i="4"/>
  <c r="DZ267" i="4" s="1"/>
  <c r="DL267" i="4"/>
  <c r="DH267" i="4"/>
  <c r="DF267" i="4"/>
  <c r="DE267" i="4"/>
  <c r="DA267" i="4"/>
  <c r="CX267" i="4"/>
  <c r="FJ267" i="4" s="1"/>
  <c r="FY267" i="4" s="1"/>
  <c r="CW267" i="4"/>
  <c r="CU267" i="4"/>
  <c r="CO267" i="4"/>
  <c r="CV267" i="4" s="1"/>
  <c r="CK267" i="4"/>
  <c r="CG267" i="4"/>
  <c r="BS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Y267" i="4"/>
  <c r="Q267" i="4"/>
  <c r="B267" i="4"/>
  <c r="A267" i="4"/>
  <c r="QX266" i="4"/>
  <c r="FX266" i="4"/>
  <c r="FV266" i="4"/>
  <c r="FR266" i="4"/>
  <c r="FP266" i="4"/>
  <c r="FM266" i="4"/>
  <c r="FL266" i="4"/>
  <c r="FK266" i="4"/>
  <c r="FJ266" i="4"/>
  <c r="FY266" i="4" s="1"/>
  <c r="FI266" i="4"/>
  <c r="FH266" i="4"/>
  <c r="FG266" i="4"/>
  <c r="FU266" i="4" s="1"/>
  <c r="FE266" i="4"/>
  <c r="FT266" i="4" s="1"/>
  <c r="FD266" i="4"/>
  <c r="FS266" i="4" s="1"/>
  <c r="FC266" i="4"/>
  <c r="FA266" i="4"/>
  <c r="EZ266" i="4"/>
  <c r="FO266" i="4" s="1"/>
  <c r="EY266" i="4"/>
  <c r="EX266" i="4"/>
  <c r="FN266" i="4" s="1"/>
  <c r="EW266" i="4"/>
  <c r="EV266" i="4"/>
  <c r="EU266" i="4"/>
  <c r="EB266" i="4"/>
  <c r="EA266" i="4"/>
  <c r="DX266" i="4"/>
  <c r="DW266" i="4"/>
  <c r="DV266" i="4" s="1"/>
  <c r="DZ266" i="4" s="1"/>
  <c r="DU266" i="4"/>
  <c r="DL266" i="4"/>
  <c r="DH266" i="4"/>
  <c r="DF266" i="4"/>
  <c r="DE266" i="4"/>
  <c r="DA266" i="4"/>
  <c r="CX266" i="4"/>
  <c r="CW266" i="4"/>
  <c r="CV266" i="4"/>
  <c r="CU266" i="4"/>
  <c r="CO266" i="4"/>
  <c r="FB266" i="4" s="1"/>
  <c r="FQ266" i="4" s="1"/>
  <c r="BS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Y266" i="4"/>
  <c r="Q266" i="4"/>
  <c r="B266" i="4"/>
  <c r="A266" i="4"/>
  <c r="QX265" i="4"/>
  <c r="FY265" i="4"/>
  <c r="FT265" i="4"/>
  <c r="FS265" i="4"/>
  <c r="FO265" i="4"/>
  <c r="FN265" i="4"/>
  <c r="FM265" i="4"/>
  <c r="FJ265" i="4"/>
  <c r="FI265" i="4"/>
  <c r="FX265" i="4" s="1"/>
  <c r="FH265" i="4"/>
  <c r="FV265" i="4" s="1"/>
  <c r="FG265" i="4"/>
  <c r="FU265" i="4" s="1"/>
  <c r="FE265" i="4"/>
  <c r="FD265" i="4"/>
  <c r="FC265" i="4"/>
  <c r="FR265" i="4" s="1"/>
  <c r="FA265" i="4"/>
  <c r="FP265" i="4" s="1"/>
  <c r="EZ265" i="4"/>
  <c r="EY265" i="4"/>
  <c r="EX265" i="4"/>
  <c r="EW265" i="4"/>
  <c r="EV265" i="4"/>
  <c r="FL265" i="4" s="1"/>
  <c r="EU265" i="4"/>
  <c r="FK265" i="4" s="1"/>
  <c r="EA265" i="4"/>
  <c r="DX265" i="4"/>
  <c r="EB265" i="4" s="1"/>
  <c r="DW265" i="4"/>
  <c r="DV265" i="4" s="1"/>
  <c r="DZ265" i="4" s="1"/>
  <c r="DU265" i="4"/>
  <c r="DL265" i="4"/>
  <c r="DH265" i="4"/>
  <c r="DF265" i="4"/>
  <c r="DA265" i="4"/>
  <c r="CX265" i="4"/>
  <c r="CU265" i="4"/>
  <c r="DE265" i="4" s="1"/>
  <c r="CO265" i="4"/>
  <c r="CW265" i="4" s="1"/>
  <c r="CK265" i="4"/>
  <c r="CG265" i="4"/>
  <c r="BS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Y265" i="4"/>
  <c r="Q265" i="4"/>
  <c r="B265" i="4"/>
  <c r="A265" i="4"/>
  <c r="QX264" i="4"/>
  <c r="FX264" i="4"/>
  <c r="FT264" i="4"/>
  <c r="FS264" i="4"/>
  <c r="FR264" i="4"/>
  <c r="FN264" i="4"/>
  <c r="FM264" i="4"/>
  <c r="FL264" i="4"/>
  <c r="FI264" i="4"/>
  <c r="FH264" i="4"/>
  <c r="FV264" i="4" s="1"/>
  <c r="FG264" i="4"/>
  <c r="FU264" i="4" s="1"/>
  <c r="FE264" i="4"/>
  <c r="FD264" i="4"/>
  <c r="FC264" i="4"/>
  <c r="FA264" i="4"/>
  <c r="FP264" i="4" s="1"/>
  <c r="EZ264" i="4"/>
  <c r="FO264" i="4" s="1"/>
  <c r="EY264" i="4"/>
  <c r="EX264" i="4"/>
  <c r="EW264" i="4"/>
  <c r="EV264" i="4"/>
  <c r="EU264" i="4"/>
  <c r="FK264" i="4" s="1"/>
  <c r="DX264" i="4"/>
  <c r="EB264" i="4" s="1"/>
  <c r="DW264" i="4"/>
  <c r="DV264" i="4" s="1"/>
  <c r="DZ264" i="4" s="1"/>
  <c r="DL264" i="4"/>
  <c r="DH264" i="4"/>
  <c r="DF264" i="4"/>
  <c r="DA264" i="4"/>
  <c r="CX264" i="4"/>
  <c r="FJ264" i="4" s="1"/>
  <c r="FY264" i="4" s="1"/>
  <c r="CU264" i="4"/>
  <c r="DE264" i="4" s="1"/>
  <c r="CO264" i="4"/>
  <c r="CW264" i="4" s="1"/>
  <c r="CG264" i="4"/>
  <c r="BS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Y264" i="4"/>
  <c r="Q264" i="4"/>
  <c r="B264" i="4"/>
  <c r="A264" i="4"/>
  <c r="QX263" i="4"/>
  <c r="FX263" i="4"/>
  <c r="FV263" i="4"/>
  <c r="FR263" i="4"/>
  <c r="FP263" i="4"/>
  <c r="FM263" i="4"/>
  <c r="FL263" i="4"/>
  <c r="FJ263" i="4"/>
  <c r="FY263" i="4" s="1"/>
  <c r="FI263" i="4"/>
  <c r="FH263" i="4"/>
  <c r="FG263" i="4"/>
  <c r="FU263" i="4" s="1"/>
  <c r="FE263" i="4"/>
  <c r="FT263" i="4" s="1"/>
  <c r="FD263" i="4"/>
  <c r="FS263" i="4" s="1"/>
  <c r="FC263" i="4"/>
  <c r="FA263" i="4"/>
  <c r="EZ263" i="4"/>
  <c r="FO263" i="4" s="1"/>
  <c r="EY263" i="4"/>
  <c r="EX263" i="4"/>
  <c r="FN263" i="4" s="1"/>
  <c r="EW263" i="4"/>
  <c r="EV263" i="4"/>
  <c r="EU263" i="4"/>
  <c r="FK263" i="4" s="1"/>
  <c r="EA263" i="4"/>
  <c r="DX263" i="4"/>
  <c r="EB263" i="4" s="1"/>
  <c r="DW263" i="4"/>
  <c r="DV263" i="4" s="1"/>
  <c r="DZ263" i="4" s="1"/>
  <c r="DU263" i="4"/>
  <c r="DL263" i="4"/>
  <c r="DH263" i="4"/>
  <c r="DF263" i="4"/>
  <c r="DE263" i="4"/>
  <c r="DA263" i="4"/>
  <c r="CX263" i="4"/>
  <c r="CW263" i="4"/>
  <c r="CV263" i="4"/>
  <c r="CU263" i="4"/>
  <c r="CO263" i="4"/>
  <c r="FB263" i="4" s="1"/>
  <c r="FQ263" i="4" s="1"/>
  <c r="CG263" i="4"/>
  <c r="BS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Y263" i="4"/>
  <c r="Q263" i="4"/>
  <c r="B263" i="4"/>
  <c r="A263" i="4"/>
  <c r="QX262" i="4"/>
  <c r="FX262" i="4"/>
  <c r="FU262" i="4"/>
  <c r="FT262" i="4"/>
  <c r="FP262" i="4"/>
  <c r="FO262" i="4"/>
  <c r="FN262" i="4"/>
  <c r="FK262" i="4"/>
  <c r="FJ262" i="4"/>
  <c r="FY262" i="4" s="1"/>
  <c r="FI262" i="4"/>
  <c r="FH262" i="4"/>
  <c r="FV262" i="4" s="1"/>
  <c r="FG262" i="4"/>
  <c r="FE262" i="4"/>
  <c r="FD262" i="4"/>
  <c r="FS262" i="4" s="1"/>
  <c r="FC262" i="4"/>
  <c r="FR262" i="4" s="1"/>
  <c r="FA262" i="4"/>
  <c r="EZ262" i="4"/>
  <c r="EY262" i="4"/>
  <c r="EX262" i="4"/>
  <c r="EW262" i="4"/>
  <c r="FM262" i="4" s="1"/>
  <c r="EV262" i="4"/>
  <c r="FL262" i="4" s="1"/>
  <c r="EU262" i="4"/>
  <c r="EB262" i="4"/>
  <c r="EA262" i="4"/>
  <c r="DX262" i="4"/>
  <c r="DW262" i="4"/>
  <c r="DV262" i="4"/>
  <c r="DU262" i="4"/>
  <c r="DL262" i="4"/>
  <c r="DH262" i="4"/>
  <c r="DF262" i="4"/>
  <c r="DA262" i="4"/>
  <c r="CX262" i="4"/>
  <c r="CU262" i="4"/>
  <c r="DE262" i="4" s="1"/>
  <c r="CO262" i="4"/>
  <c r="FB262" i="4" s="1"/>
  <c r="FQ262" i="4" s="1"/>
  <c r="CG262" i="4"/>
  <c r="BS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Y262" i="4"/>
  <c r="Q262" i="4"/>
  <c r="B262" i="4"/>
  <c r="A262" i="4"/>
  <c r="QX261" i="4"/>
  <c r="FX261" i="4"/>
  <c r="FU261" i="4"/>
  <c r="FT261" i="4"/>
  <c r="FS261" i="4"/>
  <c r="FR261" i="4"/>
  <c r="FN261" i="4"/>
  <c r="FL261" i="4"/>
  <c r="FI261" i="4"/>
  <c r="FH261" i="4"/>
  <c r="FV261" i="4" s="1"/>
  <c r="FG261" i="4"/>
  <c r="FE261" i="4"/>
  <c r="FD261" i="4"/>
  <c r="FC261" i="4"/>
  <c r="FA261" i="4"/>
  <c r="FP261" i="4" s="1"/>
  <c r="EZ261" i="4"/>
  <c r="FO261" i="4" s="1"/>
  <c r="EY261" i="4"/>
  <c r="EX261" i="4"/>
  <c r="EW261" i="4"/>
  <c r="FM261" i="4" s="1"/>
  <c r="EV261" i="4"/>
  <c r="EU261" i="4"/>
  <c r="FK261" i="4" s="1"/>
  <c r="DX261" i="4"/>
  <c r="EB261" i="4" s="1"/>
  <c r="DW261" i="4"/>
  <c r="DV261" i="4" s="1"/>
  <c r="DZ261" i="4" s="1"/>
  <c r="DL261" i="4"/>
  <c r="DH261" i="4"/>
  <c r="DF261" i="4"/>
  <c r="DA261" i="4"/>
  <c r="CX261" i="4"/>
  <c r="FJ261" i="4" s="1"/>
  <c r="FY261" i="4" s="1"/>
  <c r="CW261" i="4"/>
  <c r="CU261" i="4"/>
  <c r="DE261" i="4" s="1"/>
  <c r="CO261" i="4"/>
  <c r="CV261" i="4" s="1"/>
  <c r="CN261" i="4"/>
  <c r="CG261" i="4"/>
  <c r="BS261" i="4"/>
  <c r="BP261" i="4"/>
  <c r="BO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Y261" i="4"/>
  <c r="Q261" i="4"/>
  <c r="B261" i="4"/>
  <c r="A261" i="4"/>
  <c r="FV260" i="4"/>
  <c r="FR260" i="4"/>
  <c r="FP260" i="4"/>
  <c r="FM260" i="4"/>
  <c r="FL260" i="4"/>
  <c r="FJ260" i="4"/>
  <c r="FY260" i="4" s="1"/>
  <c r="FH260" i="4"/>
  <c r="FG260" i="4"/>
  <c r="FU260" i="4" s="1"/>
  <c r="FE260" i="4"/>
  <c r="FT260" i="4" s="1"/>
  <c r="FD260" i="4"/>
  <c r="FS260" i="4" s="1"/>
  <c r="FC260" i="4"/>
  <c r="FA260" i="4"/>
  <c r="EZ260" i="4"/>
  <c r="FO260" i="4" s="1"/>
  <c r="EY260" i="4"/>
  <c r="EX260" i="4"/>
  <c r="FN260" i="4" s="1"/>
  <c r="EW260" i="4"/>
  <c r="EV260" i="4"/>
  <c r="EU260" i="4"/>
  <c r="FK260" i="4" s="1"/>
  <c r="EA260" i="4"/>
  <c r="DX260" i="4"/>
  <c r="EB260" i="4" s="1"/>
  <c r="DW260" i="4"/>
  <c r="DV260" i="4" s="1"/>
  <c r="DZ260" i="4" s="1"/>
  <c r="DU260" i="4"/>
  <c r="DL260" i="4"/>
  <c r="DF260" i="4"/>
  <c r="DE260" i="4"/>
  <c r="DA260" i="4"/>
  <c r="CX260" i="4"/>
  <c r="CW260" i="4"/>
  <c r="CV260" i="4"/>
  <c r="DY260" i="4" s="1"/>
  <c r="EC260" i="4" s="1"/>
  <c r="CU260" i="4"/>
  <c r="CO260" i="4"/>
  <c r="FB260" i="4" s="1"/>
  <c r="FQ260" i="4" s="1"/>
  <c r="CN260" i="4"/>
  <c r="FI260" i="4" s="1"/>
  <c r="FX260" i="4" s="1"/>
  <c r="CK260" i="4"/>
  <c r="CJ260" i="4"/>
  <c r="BS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Y260" i="4"/>
  <c r="Q260" i="4"/>
  <c r="B260" i="4"/>
  <c r="A260" i="4"/>
  <c r="FV259" i="4"/>
  <c r="FR259" i="4"/>
  <c r="FP259" i="4"/>
  <c r="FM259" i="4"/>
  <c r="FL259" i="4"/>
  <c r="FJ259" i="4"/>
  <c r="FY259" i="4" s="1"/>
  <c r="FH259" i="4"/>
  <c r="FG259" i="4"/>
  <c r="FU259" i="4" s="1"/>
  <c r="FE259" i="4"/>
  <c r="FT259" i="4" s="1"/>
  <c r="FD259" i="4"/>
  <c r="FS259" i="4" s="1"/>
  <c r="FC259" i="4"/>
  <c r="FA259" i="4"/>
  <c r="EZ259" i="4"/>
  <c r="FO259" i="4" s="1"/>
  <c r="EY259" i="4"/>
  <c r="EX259" i="4"/>
  <c r="FN259" i="4" s="1"/>
  <c r="EW259" i="4"/>
  <c r="EV259" i="4"/>
  <c r="EU259" i="4"/>
  <c r="FK259" i="4" s="1"/>
  <c r="EA259" i="4"/>
  <c r="DX259" i="4"/>
  <c r="EB259" i="4" s="1"/>
  <c r="DW259" i="4"/>
  <c r="DV259" i="4" s="1"/>
  <c r="DZ259" i="4" s="1"/>
  <c r="DU259" i="4"/>
  <c r="DL259" i="4"/>
  <c r="DF259" i="4"/>
  <c r="DE259" i="4"/>
  <c r="DA259" i="4"/>
  <c r="CX259" i="4"/>
  <c r="CW259" i="4"/>
  <c r="CV259" i="4"/>
  <c r="DY259" i="4" s="1"/>
  <c r="EC259" i="4" s="1"/>
  <c r="CU259" i="4"/>
  <c r="CO259" i="4"/>
  <c r="FB259" i="4" s="1"/>
  <c r="FQ259" i="4" s="1"/>
  <c r="CN259" i="4"/>
  <c r="FI259" i="4" s="1"/>
  <c r="FX259" i="4" s="1"/>
  <c r="CK259" i="4"/>
  <c r="CJ259" i="4"/>
  <c r="CG259" i="4"/>
  <c r="BS259" i="4"/>
  <c r="BP259" i="4"/>
  <c r="BO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Y259" i="4"/>
  <c r="Q259" i="4"/>
  <c r="B259" i="4"/>
  <c r="A259" i="4"/>
  <c r="FV258" i="4"/>
  <c r="FR258" i="4"/>
  <c r="FP258" i="4"/>
  <c r="FM258" i="4"/>
  <c r="FL258" i="4"/>
  <c r="FJ258" i="4"/>
  <c r="FY258" i="4" s="1"/>
  <c r="FH258" i="4"/>
  <c r="FG258" i="4"/>
  <c r="FU258" i="4" s="1"/>
  <c r="FE258" i="4"/>
  <c r="FT258" i="4" s="1"/>
  <c r="FD258" i="4"/>
  <c r="FS258" i="4" s="1"/>
  <c r="FC258" i="4"/>
  <c r="FA258" i="4"/>
  <c r="EZ258" i="4"/>
  <c r="FO258" i="4" s="1"/>
  <c r="EY258" i="4"/>
  <c r="EX258" i="4"/>
  <c r="FN258" i="4" s="1"/>
  <c r="EW258" i="4"/>
  <c r="EV258" i="4"/>
  <c r="EU258" i="4"/>
  <c r="FK258" i="4" s="1"/>
  <c r="EA258" i="4"/>
  <c r="DX258" i="4"/>
  <c r="EB258" i="4" s="1"/>
  <c r="DW258" i="4"/>
  <c r="DV258" i="4" s="1"/>
  <c r="DZ258" i="4" s="1"/>
  <c r="DU258" i="4"/>
  <c r="DL258" i="4"/>
  <c r="DF258" i="4"/>
  <c r="DE258" i="4"/>
  <c r="DA258" i="4"/>
  <c r="CX258" i="4"/>
  <c r="CW258" i="4"/>
  <c r="CV258" i="4"/>
  <c r="DY258" i="4" s="1"/>
  <c r="EC258" i="4" s="1"/>
  <c r="CU258" i="4"/>
  <c r="CO258" i="4"/>
  <c r="FB258" i="4" s="1"/>
  <c r="FQ258" i="4" s="1"/>
  <c r="CN258" i="4"/>
  <c r="FI258" i="4" s="1"/>
  <c r="FX258" i="4" s="1"/>
  <c r="CG258" i="4"/>
  <c r="BS258" i="4"/>
  <c r="BP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Y258" i="4"/>
  <c r="Q258" i="4"/>
  <c r="B258" i="4"/>
  <c r="A258" i="4"/>
  <c r="QX257" i="4"/>
  <c r="FY257" i="4"/>
  <c r="FV257" i="4"/>
  <c r="FT257" i="4"/>
  <c r="FS257" i="4"/>
  <c r="FO257" i="4"/>
  <c r="FM257" i="4"/>
  <c r="FJ257" i="4"/>
  <c r="FI257" i="4"/>
  <c r="FX257" i="4" s="1"/>
  <c r="FH257" i="4"/>
  <c r="FG257" i="4"/>
  <c r="FU257" i="4" s="1"/>
  <c r="FE257" i="4"/>
  <c r="FD257" i="4"/>
  <c r="FC257" i="4"/>
  <c r="FR257" i="4" s="1"/>
  <c r="FA257" i="4"/>
  <c r="FP257" i="4" s="1"/>
  <c r="EZ257" i="4"/>
  <c r="EY257" i="4"/>
  <c r="EX257" i="4"/>
  <c r="FN257" i="4" s="1"/>
  <c r="EW257" i="4"/>
  <c r="EV257" i="4"/>
  <c r="FL257" i="4" s="1"/>
  <c r="EU257" i="4"/>
  <c r="FK257" i="4" s="1"/>
  <c r="EA257" i="4"/>
  <c r="DX257" i="4"/>
  <c r="EB257" i="4" s="1"/>
  <c r="DW257" i="4"/>
  <c r="DV257" i="4" s="1"/>
  <c r="DZ257" i="4" s="1"/>
  <c r="DU257" i="4"/>
  <c r="DL257" i="4"/>
  <c r="DH257" i="4"/>
  <c r="DG257" i="4"/>
  <c r="DF257" i="4"/>
  <c r="DA257" i="4"/>
  <c r="CX257" i="4"/>
  <c r="CV257" i="4"/>
  <c r="FF257" i="4" s="1"/>
  <c r="FW257" i="4" s="1"/>
  <c r="CU257" i="4"/>
  <c r="DE257" i="4" s="1"/>
  <c r="CO257" i="4"/>
  <c r="CW257" i="4" s="1"/>
  <c r="CK257" i="4"/>
  <c r="CG257" i="4"/>
  <c r="BS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Y257" i="4"/>
  <c r="Q257" i="4"/>
  <c r="B257" i="4"/>
  <c r="A257" i="4"/>
  <c r="QX256" i="4"/>
  <c r="FX256" i="4"/>
  <c r="FU256" i="4"/>
  <c r="FT256" i="4"/>
  <c r="FS256" i="4"/>
  <c r="FR256" i="4"/>
  <c r="FN256" i="4"/>
  <c r="FL256" i="4"/>
  <c r="FI256" i="4"/>
  <c r="FH256" i="4"/>
  <c r="FV256" i="4" s="1"/>
  <c r="FG256" i="4"/>
  <c r="FE256" i="4"/>
  <c r="FD256" i="4"/>
  <c r="FC256" i="4"/>
  <c r="FA256" i="4"/>
  <c r="FP256" i="4" s="1"/>
  <c r="EZ256" i="4"/>
  <c r="FO256" i="4" s="1"/>
  <c r="EY256" i="4"/>
  <c r="EX256" i="4"/>
  <c r="EW256" i="4"/>
  <c r="FM256" i="4" s="1"/>
  <c r="EV256" i="4"/>
  <c r="EU256" i="4"/>
  <c r="FK256" i="4" s="1"/>
  <c r="DX256" i="4"/>
  <c r="EB256" i="4" s="1"/>
  <c r="DW256" i="4"/>
  <c r="DV256" i="4" s="1"/>
  <c r="DZ256" i="4" s="1"/>
  <c r="DL256" i="4"/>
  <c r="DH256" i="4"/>
  <c r="DF256" i="4"/>
  <c r="DA256" i="4"/>
  <c r="CX256" i="4"/>
  <c r="FJ256" i="4" s="1"/>
  <c r="FY256" i="4" s="1"/>
  <c r="CU256" i="4"/>
  <c r="DE256" i="4" s="1"/>
  <c r="CO256" i="4"/>
  <c r="CW256" i="4" s="1"/>
  <c r="CK256" i="4"/>
  <c r="CG256" i="4"/>
  <c r="BS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Y256" i="4"/>
  <c r="Q256" i="4"/>
  <c r="B256" i="4"/>
  <c r="A256" i="4"/>
  <c r="QX255" i="4"/>
  <c r="FX255" i="4"/>
  <c r="FS255" i="4"/>
  <c r="FR255" i="4"/>
  <c r="FN255" i="4"/>
  <c r="FM255" i="4"/>
  <c r="FK255" i="4"/>
  <c r="FI255" i="4"/>
  <c r="FH255" i="4"/>
  <c r="FV255" i="4" s="1"/>
  <c r="FG255" i="4"/>
  <c r="FU255" i="4" s="1"/>
  <c r="FE255" i="4"/>
  <c r="FT255" i="4" s="1"/>
  <c r="FD255" i="4"/>
  <c r="FC255" i="4"/>
  <c r="FA255" i="4"/>
  <c r="FP255" i="4" s="1"/>
  <c r="EZ255" i="4"/>
  <c r="FO255" i="4" s="1"/>
  <c r="EY255" i="4"/>
  <c r="EX255" i="4"/>
  <c r="EW255" i="4"/>
  <c r="EV255" i="4"/>
  <c r="FL255" i="4" s="1"/>
  <c r="EU255" i="4"/>
  <c r="EB255" i="4"/>
  <c r="DX255" i="4"/>
  <c r="DW255" i="4"/>
  <c r="EA255" i="4" s="1"/>
  <c r="DV255" i="4"/>
  <c r="DZ255" i="4" s="1"/>
  <c r="DL255" i="4"/>
  <c r="DH255" i="4"/>
  <c r="DF255" i="4"/>
  <c r="DE255" i="4"/>
  <c r="DA255" i="4"/>
  <c r="CX255" i="4"/>
  <c r="FJ255" i="4" s="1"/>
  <c r="FY255" i="4" s="1"/>
  <c r="CW255" i="4"/>
  <c r="CU255" i="4"/>
  <c r="CO255" i="4"/>
  <c r="CV255" i="4" s="1"/>
  <c r="CK255" i="4"/>
  <c r="CG255" i="4"/>
  <c r="BS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Y255" i="4"/>
  <c r="Q255" i="4"/>
  <c r="B255" i="4"/>
  <c r="A255" i="4"/>
  <c r="QX254" i="4"/>
  <c r="FX254" i="4"/>
  <c r="FV254" i="4"/>
  <c r="FR254" i="4"/>
  <c r="FP254" i="4"/>
  <c r="FM254" i="4"/>
  <c r="FL254" i="4"/>
  <c r="FJ254" i="4"/>
  <c r="FY254" i="4" s="1"/>
  <c r="FI254" i="4"/>
  <c r="FH254" i="4"/>
  <c r="FG254" i="4"/>
  <c r="FU254" i="4" s="1"/>
  <c r="FE254" i="4"/>
  <c r="FT254" i="4" s="1"/>
  <c r="FD254" i="4"/>
  <c r="FS254" i="4" s="1"/>
  <c r="FC254" i="4"/>
  <c r="FA254" i="4"/>
  <c r="EZ254" i="4"/>
  <c r="FO254" i="4" s="1"/>
  <c r="EY254" i="4"/>
  <c r="EX254" i="4"/>
  <c r="FN254" i="4" s="1"/>
  <c r="EW254" i="4"/>
  <c r="EV254" i="4"/>
  <c r="EU254" i="4"/>
  <c r="FK254" i="4" s="1"/>
  <c r="EA254" i="4"/>
  <c r="DX254" i="4"/>
  <c r="EB254" i="4" s="1"/>
  <c r="DW254" i="4"/>
  <c r="DV254" i="4" s="1"/>
  <c r="DZ254" i="4" s="1"/>
  <c r="DU254" i="4"/>
  <c r="DL254" i="4"/>
  <c r="DH254" i="4"/>
  <c r="DF254" i="4"/>
  <c r="DE254" i="4"/>
  <c r="DA254" i="4"/>
  <c r="CX254" i="4"/>
  <c r="CW254" i="4"/>
  <c r="CV254" i="4"/>
  <c r="CU254" i="4"/>
  <c r="CO254" i="4"/>
  <c r="FB254" i="4" s="1"/>
  <c r="FQ254" i="4" s="1"/>
  <c r="DC254" i="4" s="1"/>
  <c r="CK254" i="4"/>
  <c r="CG254" i="4"/>
  <c r="BS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Y254" i="4"/>
  <c r="Q254" i="4"/>
  <c r="B254" i="4"/>
  <c r="A254" i="4"/>
  <c r="QX253" i="4"/>
  <c r="FW253" i="4"/>
  <c r="FV253" i="4"/>
  <c r="FU253" i="4"/>
  <c r="FP253" i="4"/>
  <c r="FO253" i="4"/>
  <c r="FL253" i="4"/>
  <c r="FK253" i="4"/>
  <c r="FI253" i="4"/>
  <c r="FX253" i="4" s="1"/>
  <c r="FH253" i="4"/>
  <c r="FG253" i="4"/>
  <c r="FF253" i="4"/>
  <c r="FE253" i="4"/>
  <c r="FT253" i="4" s="1"/>
  <c r="FD253" i="4"/>
  <c r="FS253" i="4" s="1"/>
  <c r="FC253" i="4"/>
  <c r="FR253" i="4" s="1"/>
  <c r="FA253" i="4"/>
  <c r="EZ253" i="4"/>
  <c r="EY253" i="4"/>
  <c r="EX253" i="4"/>
  <c r="FN253" i="4" s="1"/>
  <c r="EW253" i="4"/>
  <c r="FM253" i="4" s="1"/>
  <c r="EV253" i="4"/>
  <c r="EU253" i="4"/>
  <c r="EB253" i="4"/>
  <c r="DZ253" i="4"/>
  <c r="DX253" i="4"/>
  <c r="DW253" i="4"/>
  <c r="EA253" i="4" s="1"/>
  <c r="DV253" i="4"/>
  <c r="DL253" i="4"/>
  <c r="DH253" i="4"/>
  <c r="DF253" i="4"/>
  <c r="DA253" i="4"/>
  <c r="CX253" i="4"/>
  <c r="FJ253" i="4" s="1"/>
  <c r="FY253" i="4" s="1"/>
  <c r="CW253" i="4"/>
  <c r="CV253" i="4"/>
  <c r="DY253" i="4" s="1"/>
  <c r="CU253" i="4"/>
  <c r="DE253" i="4" s="1"/>
  <c r="CO253" i="4"/>
  <c r="FB253" i="4" s="1"/>
  <c r="FQ253" i="4" s="1"/>
  <c r="DD253" i="4" s="1"/>
  <c r="CG253" i="4"/>
  <c r="BS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Y253" i="4"/>
  <c r="Q253" i="4"/>
  <c r="B253" i="4"/>
  <c r="A253" i="4"/>
  <c r="QX252" i="4"/>
  <c r="FY252" i="4"/>
  <c r="FV252" i="4"/>
  <c r="FT252" i="4"/>
  <c r="FS252" i="4"/>
  <c r="FO252" i="4"/>
  <c r="FM252" i="4"/>
  <c r="FJ252" i="4"/>
  <c r="FI252" i="4"/>
  <c r="FX252" i="4" s="1"/>
  <c r="FH252" i="4"/>
  <c r="FG252" i="4"/>
  <c r="FU252" i="4" s="1"/>
  <c r="FE252" i="4"/>
  <c r="FD252" i="4"/>
  <c r="FC252" i="4"/>
  <c r="FR252" i="4" s="1"/>
  <c r="FA252" i="4"/>
  <c r="FP252" i="4" s="1"/>
  <c r="EZ252" i="4"/>
  <c r="EY252" i="4"/>
  <c r="EX252" i="4"/>
  <c r="FN252" i="4" s="1"/>
  <c r="EW252" i="4"/>
  <c r="EV252" i="4"/>
  <c r="FL252" i="4" s="1"/>
  <c r="EU252" i="4"/>
  <c r="FK252" i="4" s="1"/>
  <c r="EA252" i="4"/>
  <c r="DX252" i="4"/>
  <c r="EB252" i="4" s="1"/>
  <c r="DW252" i="4"/>
  <c r="DU252" i="4"/>
  <c r="DL252" i="4"/>
  <c r="DH252" i="4"/>
  <c r="DG252" i="4"/>
  <c r="DF252" i="4"/>
  <c r="DA252" i="4"/>
  <c r="CX252" i="4"/>
  <c r="CV252" i="4"/>
  <c r="FF252" i="4" s="1"/>
  <c r="FW252" i="4" s="1"/>
  <c r="CU252" i="4"/>
  <c r="DE252" i="4" s="1"/>
  <c r="CO252" i="4"/>
  <c r="CW252" i="4" s="1"/>
  <c r="CK252" i="4"/>
  <c r="BS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Y252" i="4"/>
  <c r="Q252" i="4"/>
  <c r="B252" i="4"/>
  <c r="A252" i="4"/>
  <c r="QX251" i="4"/>
  <c r="FX251" i="4"/>
  <c r="FS251" i="4"/>
  <c r="FR251" i="4"/>
  <c r="FN251" i="4"/>
  <c r="FM251" i="4"/>
  <c r="FK251" i="4"/>
  <c r="FI251" i="4"/>
  <c r="FH251" i="4"/>
  <c r="FV251" i="4" s="1"/>
  <c r="FG251" i="4"/>
  <c r="FU251" i="4" s="1"/>
  <c r="FE251" i="4"/>
  <c r="FT251" i="4" s="1"/>
  <c r="FD251" i="4"/>
  <c r="FC251" i="4"/>
  <c r="FA251" i="4"/>
  <c r="FP251" i="4" s="1"/>
  <c r="EZ251" i="4"/>
  <c r="FO251" i="4" s="1"/>
  <c r="EY251" i="4"/>
  <c r="EX251" i="4"/>
  <c r="EW251" i="4"/>
  <c r="EV251" i="4"/>
  <c r="FL251" i="4" s="1"/>
  <c r="EU251" i="4"/>
  <c r="EB251" i="4"/>
  <c r="DX251" i="4"/>
  <c r="DW251" i="4"/>
  <c r="EA251" i="4" s="1"/>
  <c r="DV251" i="4"/>
  <c r="DZ251" i="4" s="1"/>
  <c r="DL251" i="4"/>
  <c r="DH251" i="4"/>
  <c r="DF251" i="4"/>
  <c r="DE251" i="4"/>
  <c r="DA251" i="4"/>
  <c r="CX251" i="4"/>
  <c r="FJ251" i="4" s="1"/>
  <c r="FY251" i="4" s="1"/>
  <c r="CW251" i="4"/>
  <c r="CU251" i="4"/>
  <c r="CO251" i="4"/>
  <c r="CV251" i="4" s="1"/>
  <c r="CK251" i="4"/>
  <c r="CG251" i="4"/>
  <c r="BS251" i="4"/>
  <c r="BP251" i="4"/>
  <c r="BO251" i="4"/>
  <c r="BN251" i="4"/>
  <c r="BM251" i="4"/>
  <c r="BL251" i="4"/>
  <c r="BK251" i="4"/>
  <c r="BJ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Y251" i="4"/>
  <c r="Q251" i="4"/>
  <c r="B251" i="4"/>
  <c r="A251" i="4"/>
  <c r="QX250" i="4"/>
  <c r="FP250" i="4"/>
  <c r="FO250" i="4"/>
  <c r="FM250" i="4"/>
  <c r="FK250" i="4"/>
  <c r="FJ250" i="4"/>
  <c r="FY250" i="4" s="1"/>
  <c r="FI250" i="4"/>
  <c r="FX250" i="4" s="1"/>
  <c r="FH250" i="4"/>
  <c r="FV250" i="4" s="1"/>
  <c r="FG250" i="4"/>
  <c r="FU250" i="4" s="1"/>
  <c r="FE250" i="4"/>
  <c r="FT250" i="4" s="1"/>
  <c r="FD250" i="4"/>
  <c r="FS250" i="4" s="1"/>
  <c r="FC250" i="4"/>
  <c r="FR250" i="4" s="1"/>
  <c r="FB250" i="4"/>
  <c r="FQ250" i="4" s="1"/>
  <c r="FA250" i="4"/>
  <c r="EZ250" i="4"/>
  <c r="EY250" i="4"/>
  <c r="EX250" i="4"/>
  <c r="FN250" i="4" s="1"/>
  <c r="EW250" i="4"/>
  <c r="EV250" i="4"/>
  <c r="FL250" i="4" s="1"/>
  <c r="EU250" i="4"/>
  <c r="EB250" i="4"/>
  <c r="EA250" i="4"/>
  <c r="DX250" i="4"/>
  <c r="DW250" i="4"/>
  <c r="DV250" i="4"/>
  <c r="DZ250" i="4" s="1"/>
  <c r="DU250" i="4"/>
  <c r="DL250" i="4"/>
  <c r="DH250" i="4"/>
  <c r="DF250" i="4"/>
  <c r="DE250" i="4"/>
  <c r="DA250" i="4"/>
  <c r="CX250" i="4"/>
  <c r="CW250" i="4"/>
  <c r="CV250" i="4"/>
  <c r="CU250" i="4"/>
  <c r="CO250" i="4"/>
  <c r="CK250" i="4"/>
  <c r="CJ250" i="4"/>
  <c r="BS250" i="4"/>
  <c r="BP250" i="4"/>
  <c r="BO250" i="4"/>
  <c r="BJ250" i="4"/>
  <c r="BI250" i="4"/>
  <c r="BH250" i="4"/>
  <c r="BG250" i="4"/>
  <c r="BF250" i="4"/>
  <c r="Y250" i="4"/>
  <c r="Q250" i="4"/>
  <c r="B250" i="4"/>
  <c r="A250" i="4"/>
  <c r="QX249" i="4"/>
  <c r="FY249" i="4"/>
  <c r="FX249" i="4"/>
  <c r="FT249" i="4"/>
  <c r="FS249" i="4"/>
  <c r="FR249" i="4"/>
  <c r="FN249" i="4"/>
  <c r="FM249" i="4"/>
  <c r="FJ249" i="4"/>
  <c r="FI249" i="4"/>
  <c r="FH249" i="4"/>
  <c r="FV249" i="4" s="1"/>
  <c r="FG249" i="4"/>
  <c r="FU249" i="4" s="1"/>
  <c r="FE249" i="4"/>
  <c r="FD249" i="4"/>
  <c r="FC249" i="4"/>
  <c r="FA249" i="4"/>
  <c r="FP249" i="4" s="1"/>
  <c r="EZ249" i="4"/>
  <c r="FO249" i="4" s="1"/>
  <c r="EY249" i="4"/>
  <c r="EX249" i="4"/>
  <c r="EW249" i="4"/>
  <c r="EV249" i="4"/>
  <c r="FL249" i="4" s="1"/>
  <c r="EU249" i="4"/>
  <c r="FK249" i="4" s="1"/>
  <c r="EB249" i="4"/>
  <c r="EA249" i="4"/>
  <c r="DX249" i="4"/>
  <c r="DW249" i="4"/>
  <c r="DV249" i="4"/>
  <c r="DU249" i="4"/>
  <c r="DL249" i="4"/>
  <c r="DH249" i="4"/>
  <c r="DF249" i="4"/>
  <c r="DE249" i="4"/>
  <c r="DA249" i="4"/>
  <c r="CX249" i="4"/>
  <c r="CU249" i="4"/>
  <c r="CO249" i="4"/>
  <c r="CV249" i="4" s="1"/>
  <c r="FF249" i="4" s="1"/>
  <c r="FW249" i="4" s="1"/>
  <c r="CK249" i="4"/>
  <c r="CG249" i="4"/>
  <c r="BS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Y249" i="4"/>
  <c r="Q249" i="4"/>
  <c r="B249" i="4"/>
  <c r="A249" i="4"/>
  <c r="QX248" i="4"/>
  <c r="FY248" i="4"/>
  <c r="FX248" i="4"/>
  <c r="FV248" i="4"/>
  <c r="FS248" i="4"/>
  <c r="FR248" i="4"/>
  <c r="FP248" i="4"/>
  <c r="FM248" i="4"/>
  <c r="FL248" i="4"/>
  <c r="FJ248" i="4"/>
  <c r="FI248" i="4"/>
  <c r="FH248" i="4"/>
  <c r="FG248" i="4"/>
  <c r="FU248" i="4" s="1"/>
  <c r="FE248" i="4"/>
  <c r="FT248" i="4" s="1"/>
  <c r="FD248" i="4"/>
  <c r="FC248" i="4"/>
  <c r="FA248" i="4"/>
  <c r="EZ248" i="4"/>
  <c r="FO248" i="4" s="1"/>
  <c r="EY248" i="4"/>
  <c r="EX248" i="4"/>
  <c r="FN248" i="4" s="1"/>
  <c r="EW248" i="4"/>
  <c r="EV248" i="4"/>
  <c r="EU248" i="4"/>
  <c r="FK248" i="4" s="1"/>
  <c r="EA248" i="4"/>
  <c r="DX248" i="4"/>
  <c r="EB248" i="4" s="1"/>
  <c r="DW248" i="4"/>
  <c r="DU248" i="4"/>
  <c r="DL248" i="4"/>
  <c r="DH248" i="4"/>
  <c r="DF248" i="4"/>
  <c r="DA248" i="4"/>
  <c r="CX248" i="4"/>
  <c r="CW248" i="4"/>
  <c r="CV248" i="4"/>
  <c r="CU248" i="4"/>
  <c r="DE248" i="4" s="1"/>
  <c r="CO248" i="4"/>
  <c r="FB248" i="4" s="1"/>
  <c r="FQ248" i="4" s="1"/>
  <c r="DC248" i="4" s="1"/>
  <c r="CK248" i="4"/>
  <c r="CG248" i="4"/>
  <c r="BS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Y248" i="4"/>
  <c r="Q248" i="4"/>
  <c r="B248" i="4"/>
  <c r="A248" i="4"/>
  <c r="QX247" i="4"/>
  <c r="FU247" i="4"/>
  <c r="FQ247" i="4"/>
  <c r="DD247" i="4" s="1"/>
  <c r="FP247" i="4"/>
  <c r="FN247" i="4"/>
  <c r="FL247" i="4"/>
  <c r="FK247" i="4"/>
  <c r="FI247" i="4"/>
  <c r="FX247" i="4" s="1"/>
  <c r="FH247" i="4"/>
  <c r="FV247" i="4" s="1"/>
  <c r="FG247" i="4"/>
  <c r="FE247" i="4"/>
  <c r="FT247" i="4" s="1"/>
  <c r="FD247" i="4"/>
  <c r="FS247" i="4" s="1"/>
  <c r="FC247" i="4"/>
  <c r="FR247" i="4" s="1"/>
  <c r="FA247" i="4"/>
  <c r="EZ247" i="4"/>
  <c r="FO247" i="4" s="1"/>
  <c r="EY247" i="4"/>
  <c r="EX247" i="4"/>
  <c r="EW247" i="4"/>
  <c r="FM247" i="4" s="1"/>
  <c r="EV247" i="4"/>
  <c r="EU247" i="4"/>
  <c r="EB247" i="4"/>
  <c r="DX247" i="4"/>
  <c r="DW247" i="4"/>
  <c r="DV247" i="4" s="1"/>
  <c r="DZ247" i="4" s="1"/>
  <c r="DL247" i="4"/>
  <c r="DH247" i="4"/>
  <c r="DF247" i="4"/>
  <c r="DE247" i="4"/>
  <c r="DC247" i="4"/>
  <c r="DB247" i="4" s="1"/>
  <c r="DA247" i="4"/>
  <c r="CX247" i="4"/>
  <c r="FJ247" i="4" s="1"/>
  <c r="FY247" i="4" s="1"/>
  <c r="CW247" i="4"/>
  <c r="CU247" i="4"/>
  <c r="CO247" i="4"/>
  <c r="FB247" i="4" s="1"/>
  <c r="CK247" i="4"/>
  <c r="BS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Y247" i="4"/>
  <c r="Q247" i="4"/>
  <c r="B247" i="4"/>
  <c r="A247" i="4"/>
  <c r="QX246" i="4"/>
  <c r="FV246" i="4"/>
  <c r="FU246" i="4"/>
  <c r="FT246" i="4"/>
  <c r="FL246" i="4"/>
  <c r="FJ246" i="4"/>
  <c r="FY246" i="4" s="1"/>
  <c r="FI246" i="4"/>
  <c r="FX246" i="4" s="1"/>
  <c r="FH246" i="4"/>
  <c r="FG246" i="4"/>
  <c r="FE246" i="4"/>
  <c r="FD246" i="4"/>
  <c r="FS246" i="4" s="1"/>
  <c r="FC246" i="4"/>
  <c r="FR246" i="4" s="1"/>
  <c r="FA246" i="4"/>
  <c r="FP246" i="4" s="1"/>
  <c r="EZ246" i="4"/>
  <c r="FO246" i="4" s="1"/>
  <c r="EY246" i="4"/>
  <c r="EX246" i="4"/>
  <c r="FN246" i="4" s="1"/>
  <c r="EW246" i="4"/>
  <c r="FM246" i="4" s="1"/>
  <c r="EV246" i="4"/>
  <c r="EU246" i="4"/>
  <c r="FK246" i="4" s="1"/>
  <c r="DX246" i="4"/>
  <c r="EB246" i="4" s="1"/>
  <c r="DW246" i="4"/>
  <c r="EA246" i="4" s="1"/>
  <c r="DU246" i="4"/>
  <c r="DL246" i="4"/>
  <c r="DH246" i="4"/>
  <c r="DF246" i="4"/>
  <c r="DA246" i="4"/>
  <c r="CX246" i="4"/>
  <c r="CV246" i="4"/>
  <c r="CU246" i="4"/>
  <c r="DE246" i="4" s="1"/>
  <c r="CO246" i="4"/>
  <c r="CW246" i="4" s="1"/>
  <c r="CK246" i="4"/>
  <c r="BS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Y246" i="4"/>
  <c r="Q246" i="4"/>
  <c r="B246" i="4"/>
  <c r="A246" i="4"/>
  <c r="QX245" i="4"/>
  <c r="FX245" i="4"/>
  <c r="FS245" i="4"/>
  <c r="FR245" i="4"/>
  <c r="FP245" i="4"/>
  <c r="FN245" i="4"/>
  <c r="FM245" i="4"/>
  <c r="FL245" i="4"/>
  <c r="FK245" i="4"/>
  <c r="FI245" i="4"/>
  <c r="FH245" i="4"/>
  <c r="FV245" i="4" s="1"/>
  <c r="FG245" i="4"/>
  <c r="FU245" i="4" s="1"/>
  <c r="FE245" i="4"/>
  <c r="FT245" i="4" s="1"/>
  <c r="FD245" i="4"/>
  <c r="FC245" i="4"/>
  <c r="FB245" i="4"/>
  <c r="FQ245" i="4" s="1"/>
  <c r="FA245" i="4"/>
  <c r="EZ245" i="4"/>
  <c r="FO245" i="4" s="1"/>
  <c r="EY245" i="4"/>
  <c r="EX245" i="4"/>
  <c r="EW245" i="4"/>
  <c r="EV245" i="4"/>
  <c r="EU245" i="4"/>
  <c r="EB245" i="4"/>
  <c r="EA245" i="4"/>
  <c r="DX245" i="4"/>
  <c r="DW245" i="4"/>
  <c r="DV245" i="4"/>
  <c r="DZ245" i="4" s="1"/>
  <c r="DU245" i="4"/>
  <c r="DL245" i="4"/>
  <c r="DH245" i="4"/>
  <c r="DF245" i="4"/>
  <c r="DE245" i="4"/>
  <c r="DA245" i="4"/>
  <c r="CX245" i="4"/>
  <c r="FJ245" i="4" s="1"/>
  <c r="FY245" i="4" s="1"/>
  <c r="CV245" i="4"/>
  <c r="DY245" i="4" s="1"/>
  <c r="EC245" i="4" s="1"/>
  <c r="CU245" i="4"/>
  <c r="CO245" i="4"/>
  <c r="CW245" i="4" s="1"/>
  <c r="CK245" i="4"/>
  <c r="CG245" i="4"/>
  <c r="BS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Y245" i="4"/>
  <c r="Q245" i="4"/>
  <c r="B245" i="4"/>
  <c r="A245" i="4"/>
  <c r="QX244" i="4"/>
  <c r="FX244" i="4"/>
  <c r="FV244" i="4"/>
  <c r="FQ244" i="4"/>
  <c r="DC244" i="4" s="1"/>
  <c r="FP244" i="4"/>
  <c r="FM244" i="4"/>
  <c r="FL244" i="4"/>
  <c r="FK244" i="4"/>
  <c r="FJ244" i="4"/>
  <c r="FY244" i="4" s="1"/>
  <c r="FI244" i="4"/>
  <c r="FH244" i="4"/>
  <c r="FG244" i="4"/>
  <c r="FU244" i="4" s="1"/>
  <c r="FE244" i="4"/>
  <c r="FT244" i="4" s="1"/>
  <c r="FD244" i="4"/>
  <c r="FS244" i="4" s="1"/>
  <c r="FC244" i="4"/>
  <c r="FR244" i="4" s="1"/>
  <c r="FA244" i="4"/>
  <c r="EZ244" i="4"/>
  <c r="FO244" i="4" s="1"/>
  <c r="EY244" i="4"/>
  <c r="EX244" i="4"/>
  <c r="FN244" i="4" s="1"/>
  <c r="EW244" i="4"/>
  <c r="EV244" i="4"/>
  <c r="EU244" i="4"/>
  <c r="EB244" i="4"/>
  <c r="EA244" i="4"/>
  <c r="DX244" i="4"/>
  <c r="DW244" i="4"/>
  <c r="DV244" i="4"/>
  <c r="DZ244" i="4" s="1"/>
  <c r="DU244" i="4"/>
  <c r="DL244" i="4"/>
  <c r="DH244" i="4"/>
  <c r="DF244" i="4"/>
  <c r="DE244" i="4"/>
  <c r="DA244" i="4"/>
  <c r="CX244" i="4"/>
  <c r="CW244" i="4"/>
  <c r="CV244" i="4"/>
  <c r="DY244" i="4" s="1"/>
  <c r="EC244" i="4" s="1"/>
  <c r="CU244" i="4"/>
  <c r="CO244" i="4"/>
  <c r="FB244" i="4" s="1"/>
  <c r="BS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Y244" i="4"/>
  <c r="Q244" i="4"/>
  <c r="B244" i="4"/>
  <c r="A244" i="4"/>
  <c r="QX243" i="4"/>
  <c r="FT243" i="4"/>
  <c r="FR243" i="4"/>
  <c r="FL243" i="4"/>
  <c r="FJ243" i="4"/>
  <c r="FY243" i="4" s="1"/>
  <c r="FI243" i="4"/>
  <c r="FX243" i="4" s="1"/>
  <c r="FH243" i="4"/>
  <c r="FV243" i="4" s="1"/>
  <c r="FG243" i="4"/>
  <c r="FU243" i="4" s="1"/>
  <c r="FE243" i="4"/>
  <c r="FD243" i="4"/>
  <c r="FS243" i="4" s="1"/>
  <c r="FC243" i="4"/>
  <c r="FA243" i="4"/>
  <c r="FP243" i="4" s="1"/>
  <c r="EZ243" i="4"/>
  <c r="FO243" i="4" s="1"/>
  <c r="EY243" i="4"/>
  <c r="EX243" i="4"/>
  <c r="FN243" i="4" s="1"/>
  <c r="EW243" i="4"/>
  <c r="FM243" i="4" s="1"/>
  <c r="EV243" i="4"/>
  <c r="EU243" i="4"/>
  <c r="FK243" i="4" s="1"/>
  <c r="DZ243" i="4"/>
  <c r="DX243" i="4"/>
  <c r="EB243" i="4" s="1"/>
  <c r="DW243" i="4"/>
  <c r="DV243" i="4" s="1"/>
  <c r="DL243" i="4"/>
  <c r="DH243" i="4"/>
  <c r="DF243" i="4"/>
  <c r="DA243" i="4"/>
  <c r="CX243" i="4"/>
  <c r="CU243" i="4"/>
  <c r="DE243" i="4" s="1"/>
  <c r="CO243" i="4"/>
  <c r="CW243" i="4" s="1"/>
  <c r="CK243" i="4"/>
  <c r="CG243" i="4"/>
  <c r="BS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Y243" i="4"/>
  <c r="Q243" i="4"/>
  <c r="B243" i="4"/>
  <c r="A243" i="4"/>
  <c r="QX242" i="4"/>
  <c r="FY242" i="4"/>
  <c r="FS242" i="4"/>
  <c r="FR242" i="4"/>
  <c r="FO242" i="4"/>
  <c r="FN242" i="4"/>
  <c r="FI242" i="4"/>
  <c r="FX242" i="4" s="1"/>
  <c r="FH242" i="4"/>
  <c r="FV242" i="4" s="1"/>
  <c r="FG242" i="4"/>
  <c r="FU242" i="4" s="1"/>
  <c r="FE242" i="4"/>
  <c r="FT242" i="4" s="1"/>
  <c r="FD242" i="4"/>
  <c r="FC242" i="4"/>
  <c r="FB242" i="4"/>
  <c r="FQ242" i="4" s="1"/>
  <c r="FA242" i="4"/>
  <c r="FP242" i="4" s="1"/>
  <c r="EZ242" i="4"/>
  <c r="EY242" i="4"/>
  <c r="EX242" i="4"/>
  <c r="EW242" i="4"/>
  <c r="FM242" i="4" s="1"/>
  <c r="EV242" i="4"/>
  <c r="FL242" i="4" s="1"/>
  <c r="EU242" i="4"/>
  <c r="FK242" i="4" s="1"/>
  <c r="DX242" i="4"/>
  <c r="EB242" i="4" s="1"/>
  <c r="DW242" i="4"/>
  <c r="DL242" i="4"/>
  <c r="DH242" i="4"/>
  <c r="DG242" i="4"/>
  <c r="DF242" i="4"/>
  <c r="DA242" i="4"/>
  <c r="CX242" i="4"/>
  <c r="FJ242" i="4" s="1"/>
  <c r="CW242" i="4"/>
  <c r="CU242" i="4"/>
  <c r="DE242" i="4" s="1"/>
  <c r="CO242" i="4"/>
  <c r="CV242" i="4" s="1"/>
  <c r="FF242" i="4" s="1"/>
  <c r="FW242" i="4" s="1"/>
  <c r="CK242" i="4"/>
  <c r="CG242" i="4"/>
  <c r="BS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Y242" i="4"/>
  <c r="Q242" i="4"/>
  <c r="B242" i="4"/>
  <c r="A242" i="4"/>
  <c r="QX241" i="4"/>
  <c r="FX241" i="4"/>
  <c r="FU241" i="4"/>
  <c r="FT241" i="4"/>
  <c r="FS241" i="4"/>
  <c r="FR241" i="4"/>
  <c r="FN241" i="4"/>
  <c r="FL241" i="4"/>
  <c r="FK241" i="4"/>
  <c r="FI241" i="4"/>
  <c r="FH241" i="4"/>
  <c r="FV241" i="4" s="1"/>
  <c r="FG241" i="4"/>
  <c r="FE241" i="4"/>
  <c r="FD241" i="4"/>
  <c r="FC241" i="4"/>
  <c r="FA241" i="4"/>
  <c r="FP241" i="4" s="1"/>
  <c r="EZ241" i="4"/>
  <c r="FO241" i="4" s="1"/>
  <c r="EY241" i="4"/>
  <c r="EX241" i="4"/>
  <c r="EW241" i="4"/>
  <c r="FM241" i="4" s="1"/>
  <c r="EV241" i="4"/>
  <c r="EU241" i="4"/>
  <c r="EB241" i="4"/>
  <c r="DX241" i="4"/>
  <c r="DW241" i="4"/>
  <c r="DV241" i="4" s="1"/>
  <c r="DZ241" i="4" s="1"/>
  <c r="DL241" i="4"/>
  <c r="DH241" i="4"/>
  <c r="DF241" i="4"/>
  <c r="DA241" i="4"/>
  <c r="CX241" i="4"/>
  <c r="FJ241" i="4" s="1"/>
  <c r="FY241" i="4" s="1"/>
  <c r="CU241" i="4"/>
  <c r="DE241" i="4" s="1"/>
  <c r="CO241" i="4"/>
  <c r="CW241" i="4" s="1"/>
  <c r="CK241" i="4"/>
  <c r="CG241" i="4"/>
  <c r="BS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Y241" i="4"/>
  <c r="Q241" i="4"/>
  <c r="B241" i="4"/>
  <c r="A241" i="4"/>
  <c r="QX240" i="4"/>
  <c r="FY240" i="4"/>
  <c r="FX240" i="4"/>
  <c r="FS240" i="4"/>
  <c r="FO240" i="4"/>
  <c r="FN240" i="4"/>
  <c r="FM240" i="4"/>
  <c r="FK240" i="4"/>
  <c r="FJ240" i="4"/>
  <c r="FI240" i="4"/>
  <c r="FH240" i="4"/>
  <c r="FV240" i="4" s="1"/>
  <c r="FG240" i="4"/>
  <c r="FU240" i="4" s="1"/>
  <c r="FE240" i="4"/>
  <c r="FT240" i="4" s="1"/>
  <c r="FD240" i="4"/>
  <c r="FC240" i="4"/>
  <c r="FR240" i="4" s="1"/>
  <c r="FA240" i="4"/>
  <c r="FP240" i="4" s="1"/>
  <c r="EZ240" i="4"/>
  <c r="EY240" i="4"/>
  <c r="EX240" i="4"/>
  <c r="EW240" i="4"/>
  <c r="EV240" i="4"/>
  <c r="FL240" i="4" s="1"/>
  <c r="EU240" i="4"/>
  <c r="EB240" i="4"/>
  <c r="EA240" i="4"/>
  <c r="DX240" i="4"/>
  <c r="DW240" i="4"/>
  <c r="DV240" i="4"/>
  <c r="DZ240" i="4" s="1"/>
  <c r="DU240" i="4"/>
  <c r="DL240" i="4"/>
  <c r="DH240" i="4"/>
  <c r="DF240" i="4"/>
  <c r="DE240" i="4"/>
  <c r="DA240" i="4"/>
  <c r="CX240" i="4"/>
  <c r="CW240" i="4"/>
  <c r="CU240" i="4"/>
  <c r="CO240" i="4"/>
  <c r="CV240" i="4" s="1"/>
  <c r="CG240" i="4"/>
  <c r="BS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Y240" i="4"/>
  <c r="Q240" i="4"/>
  <c r="B240" i="4"/>
  <c r="A240" i="4"/>
  <c r="QX239" i="4"/>
  <c r="FU239" i="4"/>
  <c r="FS239" i="4"/>
  <c r="FO239" i="4"/>
  <c r="FN239" i="4"/>
  <c r="FL239" i="4"/>
  <c r="FK239" i="4"/>
  <c r="FI239" i="4"/>
  <c r="FX239" i="4" s="1"/>
  <c r="FH239" i="4"/>
  <c r="FV239" i="4" s="1"/>
  <c r="FG239" i="4"/>
  <c r="FE239" i="4"/>
  <c r="FT239" i="4" s="1"/>
  <c r="FD239" i="4"/>
  <c r="FC239" i="4"/>
  <c r="FR239" i="4" s="1"/>
  <c r="FA239" i="4"/>
  <c r="FP239" i="4" s="1"/>
  <c r="EZ239" i="4"/>
  <c r="EY239" i="4"/>
  <c r="EX239" i="4"/>
  <c r="EW239" i="4"/>
  <c r="FM239" i="4" s="1"/>
  <c r="EV239" i="4"/>
  <c r="EU239" i="4"/>
  <c r="EB239" i="4"/>
  <c r="DX239" i="4"/>
  <c r="DW239" i="4"/>
  <c r="EA239" i="4" s="1"/>
  <c r="DL239" i="4"/>
  <c r="DH239" i="4"/>
  <c r="DF239" i="4"/>
  <c r="DA239" i="4"/>
  <c r="CX239" i="4"/>
  <c r="FJ239" i="4" s="1"/>
  <c r="FY239" i="4" s="1"/>
  <c r="CW239" i="4"/>
  <c r="CU239" i="4"/>
  <c r="DE239" i="4" s="1"/>
  <c r="CO239" i="4"/>
  <c r="CV239" i="4" s="1"/>
  <c r="CK239" i="4"/>
  <c r="CG239" i="4"/>
  <c r="BS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Y239" i="4"/>
  <c r="Q239" i="4"/>
  <c r="B239" i="4"/>
  <c r="A239" i="4"/>
  <c r="QX238" i="4"/>
  <c r="FX238" i="4"/>
  <c r="FT238" i="4"/>
  <c r="FR238" i="4"/>
  <c r="FP238" i="4"/>
  <c r="FN238" i="4"/>
  <c r="FM238" i="4"/>
  <c r="FK238" i="4"/>
  <c r="FJ238" i="4"/>
  <c r="FY238" i="4" s="1"/>
  <c r="FI238" i="4"/>
  <c r="FH238" i="4"/>
  <c r="FV238" i="4" s="1"/>
  <c r="FG238" i="4"/>
  <c r="FU238" i="4" s="1"/>
  <c r="FE238" i="4"/>
  <c r="FD238" i="4"/>
  <c r="FS238" i="4" s="1"/>
  <c r="FC238" i="4"/>
  <c r="FA238" i="4"/>
  <c r="EZ238" i="4"/>
  <c r="FO238" i="4" s="1"/>
  <c r="EY238" i="4"/>
  <c r="EX238" i="4"/>
  <c r="EW238" i="4"/>
  <c r="EV238" i="4"/>
  <c r="FL238" i="4" s="1"/>
  <c r="EU238" i="4"/>
  <c r="EB238" i="4"/>
  <c r="EA238" i="4"/>
  <c r="DX238" i="4"/>
  <c r="DW238" i="4"/>
  <c r="DV238" i="4"/>
  <c r="DZ238" i="4" s="1"/>
  <c r="DU238" i="4"/>
  <c r="DL238" i="4"/>
  <c r="DH238" i="4"/>
  <c r="DF238" i="4"/>
  <c r="DE238" i="4"/>
  <c r="DA238" i="4"/>
  <c r="CX238" i="4"/>
  <c r="CU238" i="4"/>
  <c r="CO238" i="4"/>
  <c r="FB238" i="4" s="1"/>
  <c r="FQ238" i="4" s="1"/>
  <c r="CK238" i="4"/>
  <c r="CG238" i="4"/>
  <c r="BS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Y238" i="4"/>
  <c r="Q238" i="4"/>
  <c r="B238" i="4"/>
  <c r="A238" i="4"/>
  <c r="QX237" i="4"/>
  <c r="FY237" i="4"/>
  <c r="FV237" i="4"/>
  <c r="FS237" i="4"/>
  <c r="FO237" i="4"/>
  <c r="FM237" i="4"/>
  <c r="FL237" i="4"/>
  <c r="FJ237" i="4"/>
  <c r="FI237" i="4"/>
  <c r="FX237" i="4" s="1"/>
  <c r="FH237" i="4"/>
  <c r="FG237" i="4"/>
  <c r="FU237" i="4" s="1"/>
  <c r="FE237" i="4"/>
  <c r="FT237" i="4" s="1"/>
  <c r="FD237" i="4"/>
  <c r="FC237" i="4"/>
  <c r="FR237" i="4" s="1"/>
  <c r="FA237" i="4"/>
  <c r="FP237" i="4" s="1"/>
  <c r="EZ237" i="4"/>
  <c r="EY237" i="4"/>
  <c r="EX237" i="4"/>
  <c r="FN237" i="4" s="1"/>
  <c r="EW237" i="4"/>
  <c r="EV237" i="4"/>
  <c r="EU237" i="4"/>
  <c r="FK237" i="4" s="1"/>
  <c r="EA237" i="4"/>
  <c r="DX237" i="4"/>
  <c r="EB237" i="4" s="1"/>
  <c r="DW237" i="4"/>
  <c r="DV237" i="4" s="1"/>
  <c r="DZ237" i="4" s="1"/>
  <c r="DU237" i="4"/>
  <c r="DL237" i="4"/>
  <c r="DH237" i="4"/>
  <c r="DG237" i="4"/>
  <c r="DF237" i="4"/>
  <c r="DA237" i="4"/>
  <c r="CX237" i="4"/>
  <c r="CW237" i="4"/>
  <c r="CV237" i="4"/>
  <c r="CU237" i="4"/>
  <c r="DE237" i="4" s="1"/>
  <c r="CO237" i="4"/>
  <c r="FB237" i="4" s="1"/>
  <c r="FQ237" i="4" s="1"/>
  <c r="CK237" i="4"/>
  <c r="CG237" i="4"/>
  <c r="BS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Y237" i="4"/>
  <c r="Q237" i="4"/>
  <c r="B237" i="4"/>
  <c r="A237" i="4"/>
  <c r="QX236" i="4"/>
  <c r="FX236" i="4"/>
  <c r="FU236" i="4"/>
  <c r="FT236" i="4"/>
  <c r="FR236" i="4"/>
  <c r="FP236" i="4"/>
  <c r="FN236" i="4"/>
  <c r="FL236" i="4"/>
  <c r="FK236" i="4"/>
  <c r="FI236" i="4"/>
  <c r="FH236" i="4"/>
  <c r="FV236" i="4" s="1"/>
  <c r="FG236" i="4"/>
  <c r="FE236" i="4"/>
  <c r="FD236" i="4"/>
  <c r="FS236" i="4" s="1"/>
  <c r="FC236" i="4"/>
  <c r="FA236" i="4"/>
  <c r="EZ236" i="4"/>
  <c r="FO236" i="4" s="1"/>
  <c r="EY236" i="4"/>
  <c r="EX236" i="4"/>
  <c r="EW236" i="4"/>
  <c r="FM236" i="4" s="1"/>
  <c r="EV236" i="4"/>
  <c r="EU236" i="4"/>
  <c r="EB236" i="4"/>
  <c r="DX236" i="4"/>
  <c r="DW236" i="4"/>
  <c r="DV236" i="4" s="1"/>
  <c r="DZ236" i="4" s="1"/>
  <c r="DL236" i="4"/>
  <c r="DH236" i="4"/>
  <c r="DF236" i="4"/>
  <c r="DA236" i="4"/>
  <c r="CX236" i="4"/>
  <c r="FJ236" i="4" s="1"/>
  <c r="FY236" i="4" s="1"/>
  <c r="CU236" i="4"/>
  <c r="DE236" i="4" s="1"/>
  <c r="CO236" i="4"/>
  <c r="CW236" i="4" s="1"/>
  <c r="CK236" i="4"/>
  <c r="CG236" i="4"/>
  <c r="BS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Y236" i="4"/>
  <c r="Q236" i="4"/>
  <c r="B236" i="4"/>
  <c r="A236" i="4"/>
  <c r="MF235" i="4"/>
  <c r="FY235" i="4"/>
  <c r="FS235" i="4"/>
  <c r="FO235" i="4"/>
  <c r="FN235" i="4"/>
  <c r="FM235" i="4"/>
  <c r="FK235" i="4"/>
  <c r="FJ235" i="4"/>
  <c r="FI235" i="4"/>
  <c r="FX235" i="4" s="1"/>
  <c r="FH235" i="4"/>
  <c r="FV235" i="4" s="1"/>
  <c r="FG235" i="4"/>
  <c r="FU235" i="4" s="1"/>
  <c r="FE235" i="4"/>
  <c r="FT235" i="4" s="1"/>
  <c r="FD235" i="4"/>
  <c r="FC235" i="4"/>
  <c r="FR235" i="4" s="1"/>
  <c r="FA235" i="4"/>
  <c r="FP235" i="4" s="1"/>
  <c r="EZ235" i="4"/>
  <c r="EY235" i="4"/>
  <c r="EX235" i="4"/>
  <c r="EW235" i="4"/>
  <c r="EV235" i="4"/>
  <c r="FL235" i="4" s="1"/>
  <c r="EU235" i="4"/>
  <c r="EB235" i="4"/>
  <c r="EA235" i="4"/>
  <c r="DX235" i="4"/>
  <c r="DW235" i="4"/>
  <c r="DV235" i="4"/>
  <c r="DZ235" i="4" s="1"/>
  <c r="DU235" i="4"/>
  <c r="DL235" i="4"/>
  <c r="DH235" i="4"/>
  <c r="DF235" i="4"/>
  <c r="DE235" i="4"/>
  <c r="DA235" i="4"/>
  <c r="CX235" i="4"/>
  <c r="CW235" i="4"/>
  <c r="CU235" i="4"/>
  <c r="CO235" i="4"/>
  <c r="CV235" i="4" s="1"/>
  <c r="CK235" i="4"/>
  <c r="CG235" i="4"/>
  <c r="BS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Y235" i="4"/>
  <c r="Q235" i="4"/>
  <c r="B235" i="4"/>
  <c r="A235" i="4"/>
  <c r="QX234" i="4"/>
  <c r="FX234" i="4"/>
  <c r="FV234" i="4"/>
  <c r="FT234" i="4"/>
  <c r="FR234" i="4"/>
  <c r="FP234" i="4"/>
  <c r="FM234" i="4"/>
  <c r="FL234" i="4"/>
  <c r="FJ234" i="4"/>
  <c r="FY234" i="4" s="1"/>
  <c r="FI234" i="4"/>
  <c r="FH234" i="4"/>
  <c r="FG234" i="4"/>
  <c r="FU234" i="4" s="1"/>
  <c r="FE234" i="4"/>
  <c r="FD234" i="4"/>
  <c r="FS234" i="4" s="1"/>
  <c r="FC234" i="4"/>
  <c r="FA234" i="4"/>
  <c r="EZ234" i="4"/>
  <c r="FO234" i="4" s="1"/>
  <c r="EY234" i="4"/>
  <c r="EX234" i="4"/>
  <c r="FN234" i="4" s="1"/>
  <c r="EW234" i="4"/>
  <c r="EV234" i="4"/>
  <c r="EU234" i="4"/>
  <c r="FK234" i="4" s="1"/>
  <c r="EA234" i="4"/>
  <c r="DX234" i="4"/>
  <c r="EB234" i="4" s="1"/>
  <c r="DW234" i="4"/>
  <c r="DV234" i="4" s="1"/>
  <c r="DZ234" i="4" s="1"/>
  <c r="DU234" i="4"/>
  <c r="DL234" i="4"/>
  <c r="DH234" i="4"/>
  <c r="DF234" i="4"/>
  <c r="DA234" i="4"/>
  <c r="CX234" i="4"/>
  <c r="CV234" i="4"/>
  <c r="CU234" i="4"/>
  <c r="DE234" i="4" s="1"/>
  <c r="CO234" i="4"/>
  <c r="CW234" i="4" s="1"/>
  <c r="CK234" i="4"/>
  <c r="CG234" i="4"/>
  <c r="BS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Y234" i="4"/>
  <c r="Q234" i="4"/>
  <c r="B234" i="4"/>
  <c r="A234" i="4"/>
  <c r="QX233" i="4"/>
  <c r="FX233" i="4"/>
  <c r="FU233" i="4"/>
  <c r="FS233" i="4"/>
  <c r="FO233" i="4"/>
  <c r="FN233" i="4"/>
  <c r="FL233" i="4"/>
  <c r="FI233" i="4"/>
  <c r="FH233" i="4"/>
  <c r="FV233" i="4" s="1"/>
  <c r="FG233" i="4"/>
  <c r="FE233" i="4"/>
  <c r="FT233" i="4" s="1"/>
  <c r="FD233" i="4"/>
  <c r="FC233" i="4"/>
  <c r="FR233" i="4" s="1"/>
  <c r="FA233" i="4"/>
  <c r="FP233" i="4" s="1"/>
  <c r="EZ233" i="4"/>
  <c r="EY233" i="4"/>
  <c r="EX233" i="4"/>
  <c r="EW233" i="4"/>
  <c r="FM233" i="4" s="1"/>
  <c r="EV233" i="4"/>
  <c r="EU233" i="4"/>
  <c r="FK233" i="4" s="1"/>
  <c r="DX233" i="4"/>
  <c r="EB233" i="4" s="1"/>
  <c r="DW233" i="4"/>
  <c r="EA233" i="4" s="1"/>
  <c r="DL233" i="4"/>
  <c r="DH233" i="4"/>
  <c r="DF233" i="4"/>
  <c r="DA233" i="4"/>
  <c r="CX233" i="4"/>
  <c r="FJ233" i="4" s="1"/>
  <c r="FY233" i="4" s="1"/>
  <c r="CW233" i="4"/>
  <c r="CU233" i="4"/>
  <c r="DE233" i="4" s="1"/>
  <c r="CO233" i="4"/>
  <c r="CV233" i="4" s="1"/>
  <c r="CG233" i="4"/>
  <c r="BS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Y233" i="4"/>
  <c r="Q233" i="4"/>
  <c r="B233" i="4"/>
  <c r="A233" i="4"/>
  <c r="MF232" i="4"/>
  <c r="FY232" i="4"/>
  <c r="FW232" i="4"/>
  <c r="FV232" i="4"/>
  <c r="FS232" i="4"/>
  <c r="FO232" i="4"/>
  <c r="FM232" i="4"/>
  <c r="FL232" i="4"/>
  <c r="FJ232" i="4"/>
  <c r="FI232" i="4"/>
  <c r="FX232" i="4" s="1"/>
  <c r="FH232" i="4"/>
  <c r="FG232" i="4"/>
  <c r="FU232" i="4" s="1"/>
  <c r="FF232" i="4"/>
  <c r="FE232" i="4"/>
  <c r="FT232" i="4" s="1"/>
  <c r="FD232" i="4"/>
  <c r="FC232" i="4"/>
  <c r="FR232" i="4" s="1"/>
  <c r="FA232" i="4"/>
  <c r="FP232" i="4" s="1"/>
  <c r="EZ232" i="4"/>
  <c r="EY232" i="4"/>
  <c r="EX232" i="4"/>
  <c r="FN232" i="4" s="1"/>
  <c r="EW232" i="4"/>
  <c r="EV232" i="4"/>
  <c r="EU232" i="4"/>
  <c r="FK232" i="4" s="1"/>
  <c r="EA232" i="4"/>
  <c r="DX232" i="4"/>
  <c r="EB232" i="4" s="1"/>
  <c r="DW232" i="4"/>
  <c r="DU232" i="4"/>
  <c r="DL232" i="4"/>
  <c r="DH232" i="4"/>
  <c r="DG232" i="4"/>
  <c r="DF232" i="4"/>
  <c r="DE232" i="4"/>
  <c r="DA232" i="4"/>
  <c r="CW232" i="4"/>
  <c r="CO232" i="4"/>
  <c r="FB232" i="4" s="1"/>
  <c r="FQ232" i="4" s="1"/>
  <c r="CK232" i="4"/>
  <c r="CG232" i="4"/>
  <c r="BS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Y232" i="4"/>
  <c r="B232" i="4"/>
  <c r="A232" i="4"/>
  <c r="QX231" i="4"/>
  <c r="FX231" i="4"/>
  <c r="FT231" i="4"/>
  <c r="FR231" i="4"/>
  <c r="FP231" i="4"/>
  <c r="FN231" i="4"/>
  <c r="FM231" i="4"/>
  <c r="FK231" i="4"/>
  <c r="FI231" i="4"/>
  <c r="FH231" i="4"/>
  <c r="FV231" i="4" s="1"/>
  <c r="FG231" i="4"/>
  <c r="FU231" i="4" s="1"/>
  <c r="FE231" i="4"/>
  <c r="FD231" i="4"/>
  <c r="FS231" i="4" s="1"/>
  <c r="FC231" i="4"/>
  <c r="FA231" i="4"/>
  <c r="EZ231" i="4"/>
  <c r="FO231" i="4" s="1"/>
  <c r="EY231" i="4"/>
  <c r="EX231" i="4"/>
  <c r="EW231" i="4"/>
  <c r="EV231" i="4"/>
  <c r="FL231" i="4" s="1"/>
  <c r="EU231" i="4"/>
  <c r="EB231" i="4"/>
  <c r="DX231" i="4"/>
  <c r="DW231" i="4"/>
  <c r="EA231" i="4" s="1"/>
  <c r="DV231" i="4"/>
  <c r="DZ231" i="4" s="1"/>
  <c r="DL231" i="4"/>
  <c r="DH231" i="4"/>
  <c r="DF231" i="4"/>
  <c r="DE231" i="4"/>
  <c r="DA231" i="4"/>
  <c r="CX231" i="4"/>
  <c r="FJ231" i="4" s="1"/>
  <c r="FY231" i="4" s="1"/>
  <c r="CU231" i="4"/>
  <c r="CO231" i="4"/>
  <c r="FB231" i="4" s="1"/>
  <c r="FQ231" i="4" s="1"/>
  <c r="CK231" i="4"/>
  <c r="CG231" i="4"/>
  <c r="BS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Y231" i="4"/>
  <c r="Q231" i="4"/>
  <c r="B231" i="4"/>
  <c r="A231" i="4"/>
  <c r="QX230" i="4"/>
  <c r="FY230" i="4"/>
  <c r="FV230" i="4"/>
  <c r="FS230" i="4"/>
  <c r="FO230" i="4"/>
  <c r="FM230" i="4"/>
  <c r="FL230" i="4"/>
  <c r="FJ230" i="4"/>
  <c r="FI230" i="4"/>
  <c r="FX230" i="4" s="1"/>
  <c r="FH230" i="4"/>
  <c r="FG230" i="4"/>
  <c r="FU230" i="4" s="1"/>
  <c r="FE230" i="4"/>
  <c r="FT230" i="4" s="1"/>
  <c r="FD230" i="4"/>
  <c r="FC230" i="4"/>
  <c r="FR230" i="4" s="1"/>
  <c r="FA230" i="4"/>
  <c r="FP230" i="4" s="1"/>
  <c r="EZ230" i="4"/>
  <c r="EY230" i="4"/>
  <c r="EX230" i="4"/>
  <c r="FN230" i="4" s="1"/>
  <c r="EW230" i="4"/>
  <c r="EV230" i="4"/>
  <c r="EU230" i="4"/>
  <c r="FK230" i="4" s="1"/>
  <c r="EA230" i="4"/>
  <c r="DX230" i="4"/>
  <c r="EB230" i="4" s="1"/>
  <c r="DW230" i="4"/>
  <c r="DU230" i="4"/>
  <c r="DL230" i="4"/>
  <c r="DH230" i="4"/>
  <c r="DG230" i="4"/>
  <c r="DF230" i="4"/>
  <c r="DA230" i="4"/>
  <c r="CX230" i="4"/>
  <c r="CW230" i="4"/>
  <c r="CV230" i="4"/>
  <c r="CU230" i="4"/>
  <c r="DE230" i="4" s="1"/>
  <c r="CO230" i="4"/>
  <c r="FB230" i="4" s="1"/>
  <c r="FQ230" i="4" s="1"/>
  <c r="CK230" i="4"/>
  <c r="CG230" i="4"/>
  <c r="BS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Y230" i="4"/>
  <c r="Q230" i="4"/>
  <c r="B230" i="4"/>
  <c r="A230" i="4"/>
  <c r="QX229" i="4"/>
  <c r="FX229" i="4"/>
  <c r="FV229" i="4"/>
  <c r="FU229" i="4"/>
  <c r="FT229" i="4"/>
  <c r="FR229" i="4"/>
  <c r="FP229" i="4"/>
  <c r="FL229" i="4"/>
  <c r="FK229" i="4"/>
  <c r="FI229" i="4"/>
  <c r="FH229" i="4"/>
  <c r="FG229" i="4"/>
  <c r="FF229" i="4"/>
  <c r="FW229" i="4" s="1"/>
  <c r="FE229" i="4"/>
  <c r="FD229" i="4"/>
  <c r="FS229" i="4" s="1"/>
  <c r="FC229" i="4"/>
  <c r="FA229" i="4"/>
  <c r="EZ229" i="4"/>
  <c r="FO229" i="4" s="1"/>
  <c r="EY229" i="4"/>
  <c r="EX229" i="4"/>
  <c r="FN229" i="4" s="1"/>
  <c r="EW229" i="4"/>
  <c r="FM229" i="4" s="1"/>
  <c r="EV229" i="4"/>
  <c r="EU229" i="4"/>
  <c r="EB229" i="4"/>
  <c r="DX229" i="4"/>
  <c r="DW229" i="4"/>
  <c r="DV229" i="4" s="1"/>
  <c r="DZ229" i="4" s="1"/>
  <c r="DL229" i="4"/>
  <c r="DH229" i="4"/>
  <c r="DF229" i="4"/>
  <c r="DA229" i="4"/>
  <c r="CX229" i="4"/>
  <c r="FJ229" i="4" s="1"/>
  <c r="FY229" i="4" s="1"/>
  <c r="CV229" i="4"/>
  <c r="DG229" i="4" s="1"/>
  <c r="CU229" i="4"/>
  <c r="DE229" i="4" s="1"/>
  <c r="CO229" i="4"/>
  <c r="CW229" i="4" s="1"/>
  <c r="CK229" i="4"/>
  <c r="CG229" i="4"/>
  <c r="BS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Y229" i="4"/>
  <c r="Q229" i="4"/>
  <c r="B229" i="4"/>
  <c r="A229" i="4"/>
  <c r="QX228" i="4"/>
  <c r="FY228" i="4"/>
  <c r="FU228" i="4"/>
  <c r="FS228" i="4"/>
  <c r="FO228" i="4"/>
  <c r="FN228" i="4"/>
  <c r="FK228" i="4"/>
  <c r="FJ228" i="4"/>
  <c r="FI228" i="4"/>
  <c r="FX228" i="4" s="1"/>
  <c r="FH228" i="4"/>
  <c r="FV228" i="4" s="1"/>
  <c r="FG228" i="4"/>
  <c r="FE228" i="4"/>
  <c r="FT228" i="4" s="1"/>
  <c r="FD228" i="4"/>
  <c r="FC228" i="4"/>
  <c r="FR228" i="4" s="1"/>
  <c r="FA228" i="4"/>
  <c r="FP228" i="4" s="1"/>
  <c r="EZ228" i="4"/>
  <c r="EY228" i="4"/>
  <c r="EX228" i="4"/>
  <c r="EW228" i="4"/>
  <c r="FM228" i="4" s="1"/>
  <c r="EV228" i="4"/>
  <c r="FL228" i="4" s="1"/>
  <c r="EU228" i="4"/>
  <c r="EB228" i="4"/>
  <c r="EA228" i="4"/>
  <c r="DX228" i="4"/>
  <c r="DW228" i="4"/>
  <c r="DV228" i="4"/>
  <c r="DZ228" i="4" s="1"/>
  <c r="DU228" i="4"/>
  <c r="DL228" i="4"/>
  <c r="DH228" i="4"/>
  <c r="DF228" i="4"/>
  <c r="DE228" i="4"/>
  <c r="DA228" i="4"/>
  <c r="CX228" i="4"/>
  <c r="CW228" i="4"/>
  <c r="CU228" i="4"/>
  <c r="CO228" i="4"/>
  <c r="CV228" i="4" s="1"/>
  <c r="CK228" i="4"/>
  <c r="CG228" i="4"/>
  <c r="BS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Y228" i="4"/>
  <c r="Q228" i="4"/>
  <c r="B228" i="4"/>
  <c r="A228" i="4"/>
  <c r="QX227" i="4"/>
  <c r="FX227" i="4"/>
  <c r="FV227" i="4"/>
  <c r="FT227" i="4"/>
  <c r="FR227" i="4"/>
  <c r="FP227" i="4"/>
  <c r="FM227" i="4"/>
  <c r="FJ227" i="4"/>
  <c r="FY227" i="4" s="1"/>
  <c r="FI227" i="4"/>
  <c r="FH227" i="4"/>
  <c r="FG227" i="4"/>
  <c r="FU227" i="4" s="1"/>
  <c r="FE227" i="4"/>
  <c r="FD227" i="4"/>
  <c r="FS227" i="4" s="1"/>
  <c r="FC227" i="4"/>
  <c r="FA227" i="4"/>
  <c r="EZ227" i="4"/>
  <c r="FO227" i="4" s="1"/>
  <c r="EY227" i="4"/>
  <c r="EX227" i="4"/>
  <c r="FN227" i="4" s="1"/>
  <c r="EW227" i="4"/>
  <c r="EV227" i="4"/>
  <c r="FL227" i="4" s="1"/>
  <c r="EU227" i="4"/>
  <c r="FK227" i="4" s="1"/>
  <c r="EA227" i="4"/>
  <c r="DX227" i="4"/>
  <c r="EB227" i="4" s="1"/>
  <c r="DW227" i="4"/>
  <c r="DV227" i="4" s="1"/>
  <c r="DZ227" i="4" s="1"/>
  <c r="DU227" i="4"/>
  <c r="DL227" i="4"/>
  <c r="DH227" i="4"/>
  <c r="DF227" i="4"/>
  <c r="DA227" i="4"/>
  <c r="CX227" i="4"/>
  <c r="CV227" i="4"/>
  <c r="CU227" i="4"/>
  <c r="DE227" i="4" s="1"/>
  <c r="CO227" i="4"/>
  <c r="CW227" i="4" s="1"/>
  <c r="CK227" i="4"/>
  <c r="CG227" i="4"/>
  <c r="BS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Y227" i="4"/>
  <c r="Q227" i="4"/>
  <c r="B227" i="4"/>
  <c r="A227" i="4"/>
  <c r="QX226" i="4"/>
  <c r="FU226" i="4"/>
  <c r="FS226" i="4"/>
  <c r="FO226" i="4"/>
  <c r="FN226" i="4"/>
  <c r="FL226" i="4"/>
  <c r="FI226" i="4"/>
  <c r="FX226" i="4" s="1"/>
  <c r="FH226" i="4"/>
  <c r="FV226" i="4" s="1"/>
  <c r="FG226" i="4"/>
  <c r="FE226" i="4"/>
  <c r="FT226" i="4" s="1"/>
  <c r="FD226" i="4"/>
  <c r="FC226" i="4"/>
  <c r="FR226" i="4" s="1"/>
  <c r="FA226" i="4"/>
  <c r="FP226" i="4" s="1"/>
  <c r="EZ226" i="4"/>
  <c r="EY226" i="4"/>
  <c r="EX226" i="4"/>
  <c r="EW226" i="4"/>
  <c r="FM226" i="4" s="1"/>
  <c r="EV226" i="4"/>
  <c r="EU226" i="4"/>
  <c r="FK226" i="4" s="1"/>
  <c r="DX226" i="4"/>
  <c r="EB226" i="4" s="1"/>
  <c r="DW226" i="4"/>
  <c r="EA226" i="4" s="1"/>
  <c r="DL226" i="4"/>
  <c r="DH226" i="4"/>
  <c r="DF226" i="4"/>
  <c r="DA226" i="4"/>
  <c r="CX226" i="4"/>
  <c r="FJ226" i="4" s="1"/>
  <c r="FY226" i="4" s="1"/>
  <c r="CW226" i="4"/>
  <c r="CU226" i="4"/>
  <c r="DE226" i="4" s="1"/>
  <c r="CO226" i="4"/>
  <c r="CV226" i="4" s="1"/>
  <c r="CK226" i="4"/>
  <c r="CG226" i="4"/>
  <c r="BS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Y226" i="4"/>
  <c r="Q226" i="4"/>
  <c r="B226" i="4"/>
  <c r="A226" i="4"/>
  <c r="QX225" i="4"/>
  <c r="FX225" i="4"/>
  <c r="FT225" i="4"/>
  <c r="FR225" i="4"/>
  <c r="FP225" i="4"/>
  <c r="FN225" i="4"/>
  <c r="FM225" i="4"/>
  <c r="FK225" i="4"/>
  <c r="FI225" i="4"/>
  <c r="FH225" i="4"/>
  <c r="FV225" i="4" s="1"/>
  <c r="FG225" i="4"/>
  <c r="FU225" i="4" s="1"/>
  <c r="FE225" i="4"/>
  <c r="FD225" i="4"/>
  <c r="FS225" i="4" s="1"/>
  <c r="FC225" i="4"/>
  <c r="FA225" i="4"/>
  <c r="EZ225" i="4"/>
  <c r="FO225" i="4" s="1"/>
  <c r="EY225" i="4"/>
  <c r="EX225" i="4"/>
  <c r="EW225" i="4"/>
  <c r="EV225" i="4"/>
  <c r="FL225" i="4" s="1"/>
  <c r="EU225" i="4"/>
  <c r="EB225" i="4"/>
  <c r="DX225" i="4"/>
  <c r="DW225" i="4"/>
  <c r="DV225" i="4" s="1"/>
  <c r="DZ225" i="4" s="1"/>
  <c r="DL225" i="4"/>
  <c r="DH225" i="4"/>
  <c r="DF225" i="4"/>
  <c r="DE225" i="4"/>
  <c r="DA225" i="4"/>
  <c r="CX225" i="4"/>
  <c r="FJ225" i="4" s="1"/>
  <c r="FY225" i="4" s="1"/>
  <c r="CU225" i="4"/>
  <c r="CO225" i="4"/>
  <c r="FB225" i="4" s="1"/>
  <c r="FQ225" i="4" s="1"/>
  <c r="CK225" i="4"/>
  <c r="CG225" i="4"/>
  <c r="BS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Y225" i="4"/>
  <c r="Q225" i="4"/>
  <c r="B225" i="4"/>
  <c r="A225" i="4"/>
  <c r="QX224" i="4"/>
  <c r="FS224" i="4"/>
  <c r="FO224" i="4"/>
  <c r="FM224" i="4"/>
  <c r="FL224" i="4"/>
  <c r="FI224" i="4"/>
  <c r="FX224" i="4" s="1"/>
  <c r="FG224" i="4"/>
  <c r="FU224" i="4" s="1"/>
  <c r="FE224" i="4"/>
  <c r="FT224" i="4" s="1"/>
  <c r="FD224" i="4"/>
  <c r="FC224" i="4"/>
  <c r="FR224" i="4" s="1"/>
  <c r="FA224" i="4"/>
  <c r="FP224" i="4" s="1"/>
  <c r="EZ224" i="4"/>
  <c r="EY224" i="4"/>
  <c r="EX224" i="4"/>
  <c r="FN224" i="4" s="1"/>
  <c r="EW224" i="4"/>
  <c r="EV224" i="4"/>
  <c r="EU224" i="4"/>
  <c r="FK224" i="4" s="1"/>
  <c r="EA224" i="4"/>
  <c r="DX224" i="4"/>
  <c r="EB224" i="4" s="1"/>
  <c r="DW224" i="4"/>
  <c r="DU224" i="4"/>
  <c r="DL224" i="4"/>
  <c r="DH224" i="4"/>
  <c r="DB224" i="4"/>
  <c r="DA224" i="4"/>
  <c r="CX224" i="4"/>
  <c r="FJ224" i="4" s="1"/>
  <c r="FY224" i="4" s="1"/>
  <c r="CU224" i="4"/>
  <c r="CS224" i="4"/>
  <c r="FH224" i="4" s="1"/>
  <c r="FV224" i="4" s="1"/>
  <c r="CO224" i="4"/>
  <c r="FB224" i="4" s="1"/>
  <c r="FQ224" i="4" s="1"/>
  <c r="CK224" i="4"/>
  <c r="CG224" i="4"/>
  <c r="BS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Y224" i="4"/>
  <c r="Q224" i="4"/>
  <c r="B224" i="4"/>
  <c r="A224" i="4"/>
  <c r="QX223" i="4"/>
  <c r="FU223" i="4"/>
  <c r="FS223" i="4"/>
  <c r="FO223" i="4"/>
  <c r="FN223" i="4"/>
  <c r="FL223" i="4"/>
  <c r="FI223" i="4"/>
  <c r="FX223" i="4" s="1"/>
  <c r="FH223" i="4"/>
  <c r="FV223" i="4" s="1"/>
  <c r="FG223" i="4"/>
  <c r="FE223" i="4"/>
  <c r="FT223" i="4" s="1"/>
  <c r="FD223" i="4"/>
  <c r="FC223" i="4"/>
  <c r="FR223" i="4" s="1"/>
  <c r="FA223" i="4"/>
  <c r="FP223" i="4" s="1"/>
  <c r="EZ223" i="4"/>
  <c r="EY223" i="4"/>
  <c r="EX223" i="4"/>
  <c r="EW223" i="4"/>
  <c r="FM223" i="4" s="1"/>
  <c r="EV223" i="4"/>
  <c r="EU223" i="4"/>
  <c r="FK223" i="4" s="1"/>
  <c r="DX223" i="4"/>
  <c r="EB223" i="4" s="1"/>
  <c r="DW223" i="4"/>
  <c r="EA223" i="4" s="1"/>
  <c r="DL223" i="4"/>
  <c r="DH223" i="4"/>
  <c r="DF223" i="4"/>
  <c r="DA223" i="4"/>
  <c r="CX223" i="4"/>
  <c r="FJ223" i="4" s="1"/>
  <c r="FY223" i="4" s="1"/>
  <c r="CW223" i="4"/>
  <c r="CU223" i="4"/>
  <c r="DE223" i="4" s="1"/>
  <c r="CO223" i="4"/>
  <c r="CV223" i="4" s="1"/>
  <c r="CK223" i="4"/>
  <c r="CG223" i="4"/>
  <c r="BS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Y223" i="4"/>
  <c r="Q223" i="4"/>
  <c r="B223" i="4"/>
  <c r="A223" i="4"/>
  <c r="QX222" i="4"/>
  <c r="FX222" i="4"/>
  <c r="FT222" i="4"/>
  <c r="FR222" i="4"/>
  <c r="FP222" i="4"/>
  <c r="FN222" i="4"/>
  <c r="FM222" i="4"/>
  <c r="FK222" i="4"/>
  <c r="FI222" i="4"/>
  <c r="FH222" i="4"/>
  <c r="FV222" i="4" s="1"/>
  <c r="FG222" i="4"/>
  <c r="FU222" i="4" s="1"/>
  <c r="FE222" i="4"/>
  <c r="FD222" i="4"/>
  <c r="FS222" i="4" s="1"/>
  <c r="FC222" i="4"/>
  <c r="FA222" i="4"/>
  <c r="EZ222" i="4"/>
  <c r="FO222" i="4" s="1"/>
  <c r="EY222" i="4"/>
  <c r="EX222" i="4"/>
  <c r="EW222" i="4"/>
  <c r="EV222" i="4"/>
  <c r="FL222" i="4" s="1"/>
  <c r="EU222" i="4"/>
  <c r="EB222" i="4"/>
  <c r="DX222" i="4"/>
  <c r="DW222" i="4"/>
  <c r="DV222" i="4" s="1"/>
  <c r="DZ222" i="4" s="1"/>
  <c r="DL222" i="4"/>
  <c r="DH222" i="4"/>
  <c r="DF222" i="4"/>
  <c r="DE222" i="4"/>
  <c r="DA222" i="4"/>
  <c r="CX222" i="4"/>
  <c r="FJ222" i="4" s="1"/>
  <c r="FY222" i="4" s="1"/>
  <c r="CU222" i="4"/>
  <c r="CO222" i="4"/>
  <c r="FB222" i="4" s="1"/>
  <c r="FQ222" i="4" s="1"/>
  <c r="CK222" i="4"/>
  <c r="CG222" i="4"/>
  <c r="BS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Y222" i="4"/>
  <c r="Q222" i="4"/>
  <c r="B222" i="4"/>
  <c r="A222" i="4"/>
  <c r="MF221" i="4"/>
  <c r="FY221" i="4"/>
  <c r="FW221" i="4"/>
  <c r="FV221" i="4"/>
  <c r="FS221" i="4"/>
  <c r="FO221" i="4"/>
  <c r="FM221" i="4"/>
  <c r="FL221" i="4"/>
  <c r="FJ221" i="4"/>
  <c r="FI221" i="4"/>
  <c r="FX221" i="4" s="1"/>
  <c r="FH221" i="4"/>
  <c r="FG221" i="4"/>
  <c r="FU221" i="4" s="1"/>
  <c r="FF221" i="4"/>
  <c r="FE221" i="4"/>
  <c r="FT221" i="4" s="1"/>
  <c r="FD221" i="4"/>
  <c r="FC221" i="4"/>
  <c r="FR221" i="4" s="1"/>
  <c r="FA221" i="4"/>
  <c r="FP221" i="4" s="1"/>
  <c r="EZ221" i="4"/>
  <c r="EY221" i="4"/>
  <c r="EX221" i="4"/>
  <c r="FN221" i="4" s="1"/>
  <c r="EW221" i="4"/>
  <c r="EV221" i="4"/>
  <c r="EU221" i="4"/>
  <c r="FK221" i="4" s="1"/>
  <c r="EA221" i="4"/>
  <c r="DX221" i="4"/>
  <c r="EB221" i="4" s="1"/>
  <c r="DW221" i="4"/>
  <c r="DU221" i="4"/>
  <c r="DL221" i="4"/>
  <c r="DH221" i="4"/>
  <c r="DG221" i="4"/>
  <c r="DF221" i="4"/>
  <c r="DE221" i="4"/>
  <c r="DA221" i="4"/>
  <c r="CW221" i="4"/>
  <c r="CO221" i="4"/>
  <c r="FB221" i="4" s="1"/>
  <c r="FQ221" i="4" s="1"/>
  <c r="CK221" i="4"/>
  <c r="CJ221" i="4"/>
  <c r="CG221" i="4"/>
  <c r="BS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Y221" i="4"/>
  <c r="B221" i="4"/>
  <c r="A221" i="4"/>
  <c r="QX220" i="4"/>
  <c r="FU220" i="4"/>
  <c r="FS220" i="4"/>
  <c r="FO220" i="4"/>
  <c r="FN220" i="4"/>
  <c r="FL220" i="4"/>
  <c r="FI220" i="4"/>
  <c r="FX220" i="4" s="1"/>
  <c r="FH220" i="4"/>
  <c r="FV220" i="4" s="1"/>
  <c r="FG220" i="4"/>
  <c r="FE220" i="4"/>
  <c r="FT220" i="4" s="1"/>
  <c r="FD220" i="4"/>
  <c r="FC220" i="4"/>
  <c r="FR220" i="4" s="1"/>
  <c r="FA220" i="4"/>
  <c r="FP220" i="4" s="1"/>
  <c r="EZ220" i="4"/>
  <c r="EY220" i="4"/>
  <c r="EX220" i="4"/>
  <c r="EW220" i="4"/>
  <c r="FM220" i="4" s="1"/>
  <c r="EV220" i="4"/>
  <c r="EU220" i="4"/>
  <c r="FK220" i="4" s="1"/>
  <c r="DX220" i="4"/>
  <c r="EB220" i="4" s="1"/>
  <c r="DW220" i="4"/>
  <c r="EA220" i="4" s="1"/>
  <c r="DL220" i="4"/>
  <c r="DH220" i="4"/>
  <c r="DF220" i="4"/>
  <c r="DA220" i="4"/>
  <c r="CX220" i="4"/>
  <c r="FJ220" i="4" s="1"/>
  <c r="FY220" i="4" s="1"/>
  <c r="CW220" i="4"/>
  <c r="CU220" i="4"/>
  <c r="DE220" i="4" s="1"/>
  <c r="CO220" i="4"/>
  <c r="CV220" i="4" s="1"/>
  <c r="CK220" i="4"/>
  <c r="CG220" i="4"/>
  <c r="BS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Y220" i="4"/>
  <c r="Q220" i="4"/>
  <c r="B220" i="4"/>
  <c r="A220" i="4"/>
  <c r="QX219" i="4"/>
  <c r="FX219" i="4"/>
  <c r="FT219" i="4"/>
  <c r="FR219" i="4"/>
  <c r="FP219" i="4"/>
  <c r="FN219" i="4"/>
  <c r="FM219" i="4"/>
  <c r="FK219" i="4"/>
  <c r="FI219" i="4"/>
  <c r="FH219" i="4"/>
  <c r="FV219" i="4" s="1"/>
  <c r="FG219" i="4"/>
  <c r="FU219" i="4" s="1"/>
  <c r="FE219" i="4"/>
  <c r="FD219" i="4"/>
  <c r="FS219" i="4" s="1"/>
  <c r="FC219" i="4"/>
  <c r="FA219" i="4"/>
  <c r="EZ219" i="4"/>
  <c r="FO219" i="4" s="1"/>
  <c r="EY219" i="4"/>
  <c r="EX219" i="4"/>
  <c r="EW219" i="4"/>
  <c r="EV219" i="4"/>
  <c r="FL219" i="4" s="1"/>
  <c r="EU219" i="4"/>
  <c r="EB219" i="4"/>
  <c r="DX219" i="4"/>
  <c r="DW219" i="4"/>
  <c r="DV219" i="4" s="1"/>
  <c r="DZ219" i="4" s="1"/>
  <c r="DL219" i="4"/>
  <c r="DH219" i="4"/>
  <c r="DF219" i="4"/>
  <c r="DE219" i="4"/>
  <c r="DA219" i="4"/>
  <c r="CX219" i="4"/>
  <c r="FJ219" i="4" s="1"/>
  <c r="FY219" i="4" s="1"/>
  <c r="CU219" i="4"/>
  <c r="CO219" i="4"/>
  <c r="FB219" i="4" s="1"/>
  <c r="FQ219" i="4" s="1"/>
  <c r="CK219" i="4"/>
  <c r="CG219" i="4"/>
  <c r="BS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Y219" i="4"/>
  <c r="Q219" i="4"/>
  <c r="B219" i="4"/>
  <c r="A219" i="4"/>
  <c r="QX218" i="4"/>
  <c r="FY218" i="4"/>
  <c r="FV218" i="4"/>
  <c r="FS218" i="4"/>
  <c r="FO218" i="4"/>
  <c r="FM218" i="4"/>
  <c r="FL218" i="4"/>
  <c r="FJ218" i="4"/>
  <c r="FI218" i="4"/>
  <c r="FX218" i="4" s="1"/>
  <c r="FH218" i="4"/>
  <c r="FG218" i="4"/>
  <c r="FU218" i="4" s="1"/>
  <c r="FE218" i="4"/>
  <c r="FT218" i="4" s="1"/>
  <c r="FD218" i="4"/>
  <c r="FC218" i="4"/>
  <c r="FR218" i="4" s="1"/>
  <c r="FA218" i="4"/>
  <c r="FP218" i="4" s="1"/>
  <c r="EZ218" i="4"/>
  <c r="EY218" i="4"/>
  <c r="EX218" i="4"/>
  <c r="FN218" i="4" s="1"/>
  <c r="EW218" i="4"/>
  <c r="EV218" i="4"/>
  <c r="EU218" i="4"/>
  <c r="FK218" i="4" s="1"/>
  <c r="EA218" i="4"/>
  <c r="DX218" i="4"/>
  <c r="EB218" i="4" s="1"/>
  <c r="DW218" i="4"/>
  <c r="DU218" i="4"/>
  <c r="DL218" i="4"/>
  <c r="DH218" i="4"/>
  <c r="DG218" i="4"/>
  <c r="DF218" i="4"/>
  <c r="DE218" i="4"/>
  <c r="DA218" i="4"/>
  <c r="CX218" i="4"/>
  <c r="CW218" i="4"/>
  <c r="CV218" i="4"/>
  <c r="CU218" i="4"/>
  <c r="CO218" i="4"/>
  <c r="FB218" i="4" s="1"/>
  <c r="FQ218" i="4" s="1"/>
  <c r="CK218" i="4"/>
  <c r="CG218" i="4"/>
  <c r="BS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Y218" i="4"/>
  <c r="Q218" i="4"/>
  <c r="B218" i="4"/>
  <c r="A218" i="4"/>
  <c r="QX217" i="4"/>
  <c r="FX217" i="4"/>
  <c r="FV217" i="4"/>
  <c r="FU217" i="4"/>
  <c r="FT217" i="4"/>
  <c r="FR217" i="4"/>
  <c r="FP217" i="4"/>
  <c r="FL217" i="4"/>
  <c r="FK217" i="4"/>
  <c r="FI217" i="4"/>
  <c r="FH217" i="4"/>
  <c r="FG217" i="4"/>
  <c r="FF217" i="4"/>
  <c r="FW217" i="4" s="1"/>
  <c r="FE217" i="4"/>
  <c r="FD217" i="4"/>
  <c r="FS217" i="4" s="1"/>
  <c r="FC217" i="4"/>
  <c r="FA217" i="4"/>
  <c r="EZ217" i="4"/>
  <c r="FO217" i="4" s="1"/>
  <c r="EY217" i="4"/>
  <c r="EX217" i="4"/>
  <c r="FN217" i="4" s="1"/>
  <c r="EW217" i="4"/>
  <c r="FM217" i="4" s="1"/>
  <c r="EV217" i="4"/>
  <c r="EU217" i="4"/>
  <c r="EB217" i="4"/>
  <c r="DX217" i="4"/>
  <c r="DW217" i="4"/>
  <c r="DV217" i="4" s="1"/>
  <c r="DZ217" i="4" s="1"/>
  <c r="DL217" i="4"/>
  <c r="DH217" i="4"/>
  <c r="DF217" i="4"/>
  <c r="DA217" i="4"/>
  <c r="CX217" i="4"/>
  <c r="FJ217" i="4" s="1"/>
  <c r="FY217" i="4" s="1"/>
  <c r="CV217" i="4"/>
  <c r="DG217" i="4" s="1"/>
  <c r="CU217" i="4"/>
  <c r="DE217" i="4" s="1"/>
  <c r="CO217" i="4"/>
  <c r="CW217" i="4" s="1"/>
  <c r="CK217" i="4"/>
  <c r="CG217" i="4"/>
  <c r="BS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Y217" i="4"/>
  <c r="Q217" i="4"/>
  <c r="B217" i="4"/>
  <c r="A217" i="4"/>
  <c r="QX216" i="4"/>
  <c r="FY216" i="4"/>
  <c r="FU216" i="4"/>
  <c r="FS216" i="4"/>
  <c r="FO216" i="4"/>
  <c r="FN216" i="4"/>
  <c r="FK216" i="4"/>
  <c r="FJ216" i="4"/>
  <c r="FI216" i="4"/>
  <c r="FX216" i="4" s="1"/>
  <c r="FH216" i="4"/>
  <c r="FV216" i="4" s="1"/>
  <c r="FG216" i="4"/>
  <c r="FE216" i="4"/>
  <c r="FT216" i="4" s="1"/>
  <c r="FD216" i="4"/>
  <c r="FC216" i="4"/>
  <c r="FR216" i="4" s="1"/>
  <c r="FA216" i="4"/>
  <c r="FP216" i="4" s="1"/>
  <c r="EZ216" i="4"/>
  <c r="EY216" i="4"/>
  <c r="EX216" i="4"/>
  <c r="EW216" i="4"/>
  <c r="FM216" i="4" s="1"/>
  <c r="EV216" i="4"/>
  <c r="FL216" i="4" s="1"/>
  <c r="EU216" i="4"/>
  <c r="EB216" i="4"/>
  <c r="EA216" i="4"/>
  <c r="DX216" i="4"/>
  <c r="DW216" i="4"/>
  <c r="DV216" i="4"/>
  <c r="DZ216" i="4" s="1"/>
  <c r="DU216" i="4"/>
  <c r="DL216" i="4"/>
  <c r="DH216" i="4"/>
  <c r="DF216" i="4"/>
  <c r="DE216" i="4"/>
  <c r="DA216" i="4"/>
  <c r="CX216" i="4"/>
  <c r="CW216" i="4"/>
  <c r="CU216" i="4"/>
  <c r="CO216" i="4"/>
  <c r="CV216" i="4" s="1"/>
  <c r="CK216" i="4"/>
  <c r="CG216" i="4"/>
  <c r="BS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Y216" i="4"/>
  <c r="Q216" i="4"/>
  <c r="B216" i="4"/>
  <c r="A216" i="4"/>
  <c r="QX215" i="4"/>
  <c r="FX215" i="4"/>
  <c r="FV215" i="4"/>
  <c r="FT215" i="4"/>
  <c r="FR215" i="4"/>
  <c r="FP215" i="4"/>
  <c r="FM215" i="4"/>
  <c r="FJ215" i="4"/>
  <c r="FY215" i="4" s="1"/>
  <c r="FI215" i="4"/>
  <c r="FH215" i="4"/>
  <c r="FG215" i="4"/>
  <c r="FU215" i="4" s="1"/>
  <c r="FE215" i="4"/>
  <c r="FD215" i="4"/>
  <c r="FS215" i="4" s="1"/>
  <c r="FC215" i="4"/>
  <c r="FA215" i="4"/>
  <c r="EZ215" i="4"/>
  <c r="FO215" i="4" s="1"/>
  <c r="EY215" i="4"/>
  <c r="EX215" i="4"/>
  <c r="FN215" i="4" s="1"/>
  <c r="EW215" i="4"/>
  <c r="EV215" i="4"/>
  <c r="FL215" i="4" s="1"/>
  <c r="EU215" i="4"/>
  <c r="FK215" i="4" s="1"/>
  <c r="EA215" i="4"/>
  <c r="DX215" i="4"/>
  <c r="EB215" i="4" s="1"/>
  <c r="DW215" i="4"/>
  <c r="DV215" i="4" s="1"/>
  <c r="DZ215" i="4" s="1"/>
  <c r="DU215" i="4"/>
  <c r="DL215" i="4"/>
  <c r="DH215" i="4"/>
  <c r="DF215" i="4"/>
  <c r="DA215" i="4"/>
  <c r="CX215" i="4"/>
  <c r="CV215" i="4"/>
  <c r="CU215" i="4"/>
  <c r="DE215" i="4" s="1"/>
  <c r="CO215" i="4"/>
  <c r="CW215" i="4" s="1"/>
  <c r="CK215" i="4"/>
  <c r="CG215" i="4"/>
  <c r="BS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Y215" i="4"/>
  <c r="Q215" i="4"/>
  <c r="B215" i="4"/>
  <c r="A215" i="4"/>
  <c r="QX214" i="4"/>
  <c r="FU214" i="4"/>
  <c r="FS214" i="4"/>
  <c r="FO214" i="4"/>
  <c r="FN214" i="4"/>
  <c r="FL214" i="4"/>
  <c r="FI214" i="4"/>
  <c r="FX214" i="4" s="1"/>
  <c r="FH214" i="4"/>
  <c r="FV214" i="4" s="1"/>
  <c r="FG214" i="4"/>
  <c r="FE214" i="4"/>
  <c r="FT214" i="4" s="1"/>
  <c r="FD214" i="4"/>
  <c r="FC214" i="4"/>
  <c r="FR214" i="4" s="1"/>
  <c r="FA214" i="4"/>
  <c r="FP214" i="4" s="1"/>
  <c r="EZ214" i="4"/>
  <c r="EY214" i="4"/>
  <c r="EX214" i="4"/>
  <c r="EW214" i="4"/>
  <c r="FM214" i="4" s="1"/>
  <c r="EV214" i="4"/>
  <c r="EU214" i="4"/>
  <c r="FK214" i="4" s="1"/>
  <c r="DX214" i="4"/>
  <c r="EB214" i="4" s="1"/>
  <c r="DW214" i="4"/>
  <c r="EA214" i="4" s="1"/>
  <c r="DL214" i="4"/>
  <c r="DH214" i="4"/>
  <c r="DF214" i="4"/>
  <c r="DA214" i="4"/>
  <c r="CX214" i="4"/>
  <c r="FJ214" i="4" s="1"/>
  <c r="FY214" i="4" s="1"/>
  <c r="CW214" i="4"/>
  <c r="CU214" i="4"/>
  <c r="DE214" i="4" s="1"/>
  <c r="CO214" i="4"/>
  <c r="CV214" i="4" s="1"/>
  <c r="CK214" i="4"/>
  <c r="CG214" i="4"/>
  <c r="BS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Y214" i="4"/>
  <c r="Q214" i="4"/>
  <c r="B214" i="4"/>
  <c r="A214" i="4"/>
  <c r="QX213" i="4"/>
  <c r="FT213" i="4"/>
  <c r="FR213" i="4"/>
  <c r="FP213" i="4"/>
  <c r="FN213" i="4"/>
  <c r="FM213" i="4"/>
  <c r="FK213" i="4"/>
  <c r="FH213" i="4"/>
  <c r="FV213" i="4" s="1"/>
  <c r="FG213" i="4"/>
  <c r="FU213" i="4" s="1"/>
  <c r="FE213" i="4"/>
  <c r="FD213" i="4"/>
  <c r="FS213" i="4" s="1"/>
  <c r="FC213" i="4"/>
  <c r="FA213" i="4"/>
  <c r="EZ213" i="4"/>
  <c r="FO213" i="4" s="1"/>
  <c r="EY213" i="4"/>
  <c r="EX213" i="4"/>
  <c r="EW213" i="4"/>
  <c r="EV213" i="4"/>
  <c r="FL213" i="4" s="1"/>
  <c r="EU213" i="4"/>
  <c r="EB213" i="4"/>
  <c r="DX213" i="4"/>
  <c r="DW213" i="4"/>
  <c r="DV213" i="4" s="1"/>
  <c r="DZ213" i="4" s="1"/>
  <c r="DL213" i="4"/>
  <c r="DH213" i="4"/>
  <c r="DF213" i="4"/>
  <c r="DE213" i="4"/>
  <c r="DA213" i="4"/>
  <c r="CX213" i="4"/>
  <c r="FJ213" i="4" s="1"/>
  <c r="FY213" i="4" s="1"/>
  <c r="CW213" i="4"/>
  <c r="CU213" i="4"/>
  <c r="CO213" i="4"/>
  <c r="FB213" i="4" s="1"/>
  <c r="FQ213" i="4" s="1"/>
  <c r="CN213" i="4"/>
  <c r="FI213" i="4" s="1"/>
  <c r="FX213" i="4" s="1"/>
  <c r="CK213" i="4"/>
  <c r="CJ213" i="4"/>
  <c r="CG213" i="4"/>
  <c r="BS213" i="4"/>
  <c r="BP213" i="4"/>
  <c r="BO213" i="4"/>
  <c r="BN213" i="4"/>
  <c r="BM213" i="4"/>
  <c r="BL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Y213" i="4"/>
  <c r="Q213" i="4"/>
  <c r="B213" i="4"/>
  <c r="A213" i="4"/>
  <c r="QX212" i="4"/>
  <c r="FT212" i="4"/>
  <c r="FR212" i="4"/>
  <c r="FP212" i="4"/>
  <c r="FN212" i="4"/>
  <c r="FM212" i="4"/>
  <c r="FK212" i="4"/>
  <c r="FH212" i="4"/>
  <c r="FV212" i="4" s="1"/>
  <c r="FG212" i="4"/>
  <c r="FU212" i="4" s="1"/>
  <c r="FE212" i="4"/>
  <c r="FD212" i="4"/>
  <c r="FS212" i="4" s="1"/>
  <c r="FC212" i="4"/>
  <c r="FA212" i="4"/>
  <c r="EZ212" i="4"/>
  <c r="FO212" i="4" s="1"/>
  <c r="EY212" i="4"/>
  <c r="EX212" i="4"/>
  <c r="EW212" i="4"/>
  <c r="EV212" i="4"/>
  <c r="FL212" i="4" s="1"/>
  <c r="EU212" i="4"/>
  <c r="EB212" i="4"/>
  <c r="DX212" i="4"/>
  <c r="DW212" i="4"/>
  <c r="DV212" i="4" s="1"/>
  <c r="DZ212" i="4" s="1"/>
  <c r="DL212" i="4"/>
  <c r="DH212" i="4"/>
  <c r="DF212" i="4"/>
  <c r="DE212" i="4"/>
  <c r="DA212" i="4"/>
  <c r="CX212" i="4"/>
  <c r="FJ212" i="4" s="1"/>
  <c r="FY212" i="4" s="1"/>
  <c r="CW212" i="4"/>
  <c r="CU212" i="4"/>
  <c r="CO212" i="4"/>
  <c r="FB212" i="4" s="1"/>
  <c r="FQ212" i="4" s="1"/>
  <c r="CN212" i="4"/>
  <c r="FI212" i="4" s="1"/>
  <c r="FX212" i="4" s="1"/>
  <c r="CK212" i="4"/>
  <c r="CJ212" i="4"/>
  <c r="CG212" i="4"/>
  <c r="BS212" i="4"/>
  <c r="BP212" i="4"/>
  <c r="BO212" i="4"/>
  <c r="BN212" i="4"/>
  <c r="BL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Y212" i="4"/>
  <c r="Q212" i="4"/>
  <c r="B212" i="4"/>
  <c r="A212" i="4"/>
  <c r="QX211" i="4"/>
  <c r="FY211" i="4"/>
  <c r="FV211" i="4"/>
  <c r="FS211" i="4"/>
  <c r="FO211" i="4"/>
  <c r="FM211" i="4"/>
  <c r="FL211" i="4"/>
  <c r="FJ211" i="4"/>
  <c r="FI211" i="4"/>
  <c r="FX211" i="4" s="1"/>
  <c r="FH211" i="4"/>
  <c r="FG211" i="4"/>
  <c r="FU211" i="4" s="1"/>
  <c r="FE211" i="4"/>
  <c r="FT211" i="4" s="1"/>
  <c r="FD211" i="4"/>
  <c r="FC211" i="4"/>
  <c r="FR211" i="4" s="1"/>
  <c r="FA211" i="4"/>
  <c r="FP211" i="4" s="1"/>
  <c r="EZ211" i="4"/>
  <c r="EY211" i="4"/>
  <c r="EX211" i="4"/>
  <c r="FN211" i="4" s="1"/>
  <c r="EW211" i="4"/>
  <c r="EV211" i="4"/>
  <c r="EU211" i="4"/>
  <c r="FK211" i="4" s="1"/>
  <c r="EA211" i="4"/>
  <c r="DX211" i="4"/>
  <c r="EB211" i="4" s="1"/>
  <c r="DW211" i="4"/>
  <c r="DU211" i="4"/>
  <c r="DL211" i="4"/>
  <c r="DH211" i="4"/>
  <c r="DG211" i="4"/>
  <c r="DF211" i="4"/>
  <c r="DE211" i="4"/>
  <c r="DA211" i="4"/>
  <c r="CX211" i="4"/>
  <c r="CW211" i="4"/>
  <c r="CV211" i="4"/>
  <c r="CU211" i="4"/>
  <c r="CO211" i="4"/>
  <c r="FB211" i="4" s="1"/>
  <c r="FQ211" i="4" s="1"/>
  <c r="CK211" i="4"/>
  <c r="CG211" i="4"/>
  <c r="BS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Y211" i="4"/>
  <c r="Q211" i="4"/>
  <c r="B211" i="4"/>
  <c r="A211" i="4"/>
  <c r="QX210" i="4"/>
  <c r="FX210" i="4"/>
  <c r="FV210" i="4"/>
  <c r="FU210" i="4"/>
  <c r="FT210" i="4"/>
  <c r="FR210" i="4"/>
  <c r="FP210" i="4"/>
  <c r="FL210" i="4"/>
  <c r="FK210" i="4"/>
  <c r="FI210" i="4"/>
  <c r="FH210" i="4"/>
  <c r="FG210" i="4"/>
  <c r="FF210" i="4"/>
  <c r="FW210" i="4" s="1"/>
  <c r="FE210" i="4"/>
  <c r="FD210" i="4"/>
  <c r="FS210" i="4" s="1"/>
  <c r="FC210" i="4"/>
  <c r="FA210" i="4"/>
  <c r="EZ210" i="4"/>
  <c r="FO210" i="4" s="1"/>
  <c r="EY210" i="4"/>
  <c r="EX210" i="4"/>
  <c r="FN210" i="4" s="1"/>
  <c r="EW210" i="4"/>
  <c r="FM210" i="4" s="1"/>
  <c r="EV210" i="4"/>
  <c r="EU210" i="4"/>
  <c r="EB210" i="4"/>
  <c r="DX210" i="4"/>
  <c r="DW210" i="4"/>
  <c r="DV210" i="4" s="1"/>
  <c r="DZ210" i="4" s="1"/>
  <c r="DL210" i="4"/>
  <c r="DH210" i="4"/>
  <c r="DF210" i="4"/>
  <c r="DA210" i="4"/>
  <c r="CX210" i="4"/>
  <c r="FJ210" i="4" s="1"/>
  <c r="FY210" i="4" s="1"/>
  <c r="CV210" i="4"/>
  <c r="DG210" i="4" s="1"/>
  <c r="CU210" i="4"/>
  <c r="DE210" i="4" s="1"/>
  <c r="CO210" i="4"/>
  <c r="CW210" i="4" s="1"/>
  <c r="CK210" i="4"/>
  <c r="CG210" i="4"/>
  <c r="BS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Y210" i="4"/>
  <c r="Q210" i="4"/>
  <c r="B210" i="4"/>
  <c r="A210" i="4"/>
  <c r="QX209" i="4"/>
  <c r="FY209" i="4"/>
  <c r="FU209" i="4"/>
  <c r="FS209" i="4"/>
  <c r="FO209" i="4"/>
  <c r="FN209" i="4"/>
  <c r="FK209" i="4"/>
  <c r="FJ209" i="4"/>
  <c r="FI209" i="4"/>
  <c r="FX209" i="4" s="1"/>
  <c r="FH209" i="4"/>
  <c r="FV209" i="4" s="1"/>
  <c r="FG209" i="4"/>
  <c r="FE209" i="4"/>
  <c r="FT209" i="4" s="1"/>
  <c r="FD209" i="4"/>
  <c r="FC209" i="4"/>
  <c r="FR209" i="4" s="1"/>
  <c r="FA209" i="4"/>
  <c r="FP209" i="4" s="1"/>
  <c r="EZ209" i="4"/>
  <c r="EY209" i="4"/>
  <c r="EX209" i="4"/>
  <c r="EW209" i="4"/>
  <c r="FM209" i="4" s="1"/>
  <c r="EV209" i="4"/>
  <c r="FL209" i="4" s="1"/>
  <c r="EU209" i="4"/>
  <c r="EB209" i="4"/>
  <c r="EA209" i="4"/>
  <c r="DX209" i="4"/>
  <c r="DW209" i="4"/>
  <c r="DV209" i="4"/>
  <c r="DZ209" i="4" s="1"/>
  <c r="DU209" i="4"/>
  <c r="DL209" i="4"/>
  <c r="DH209" i="4"/>
  <c r="DF209" i="4"/>
  <c r="DE209" i="4"/>
  <c r="DA209" i="4"/>
  <c r="CX209" i="4"/>
  <c r="CW209" i="4"/>
  <c r="CU209" i="4"/>
  <c r="CO209" i="4"/>
  <c r="CV209" i="4" s="1"/>
  <c r="CK209" i="4"/>
  <c r="CG209" i="4"/>
  <c r="BS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Y209" i="4"/>
  <c r="Q209" i="4"/>
  <c r="B209" i="4"/>
  <c r="A209" i="4"/>
  <c r="QX208" i="4"/>
  <c r="FV208" i="4"/>
  <c r="FT208" i="4"/>
  <c r="FR208" i="4"/>
  <c r="FP208" i="4"/>
  <c r="FM208" i="4"/>
  <c r="FH208" i="4"/>
  <c r="FG208" i="4"/>
  <c r="FU208" i="4" s="1"/>
  <c r="FE208" i="4"/>
  <c r="FD208" i="4"/>
  <c r="FS208" i="4" s="1"/>
  <c r="FC208" i="4"/>
  <c r="FA208" i="4"/>
  <c r="EZ208" i="4"/>
  <c r="FO208" i="4" s="1"/>
  <c r="EY208" i="4"/>
  <c r="EX208" i="4"/>
  <c r="FN208" i="4" s="1"/>
  <c r="EW208" i="4"/>
  <c r="EV208" i="4"/>
  <c r="FL208" i="4" s="1"/>
  <c r="EU208" i="4"/>
  <c r="FK208" i="4" s="1"/>
  <c r="DX208" i="4"/>
  <c r="EB208" i="4" s="1"/>
  <c r="DL208" i="4"/>
  <c r="DH208" i="4"/>
  <c r="DF208" i="4"/>
  <c r="DA208" i="4"/>
  <c r="CW208" i="4"/>
  <c r="CV208" i="4"/>
  <c r="CU208" i="4"/>
  <c r="DE208" i="4" s="1"/>
  <c r="CO208" i="4"/>
  <c r="FB208" i="4" s="1"/>
  <c r="FQ208" i="4" s="1"/>
  <c r="CN208" i="4"/>
  <c r="FI208" i="4" s="1"/>
  <c r="FX208" i="4" s="1"/>
  <c r="CJ208" i="4"/>
  <c r="CG208" i="4"/>
  <c r="BS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Y208" i="4"/>
  <c r="Q208" i="4"/>
  <c r="B208" i="4"/>
  <c r="A208" i="4"/>
  <c r="QX207" i="4"/>
  <c r="FU207" i="4"/>
  <c r="FS207" i="4"/>
  <c r="FO207" i="4"/>
  <c r="FN207" i="4"/>
  <c r="FK207" i="4"/>
  <c r="FI207" i="4"/>
  <c r="FX207" i="4" s="1"/>
  <c r="FH207" i="4"/>
  <c r="FV207" i="4" s="1"/>
  <c r="FG207" i="4"/>
  <c r="FE207" i="4"/>
  <c r="FT207" i="4" s="1"/>
  <c r="FD207" i="4"/>
  <c r="FC207" i="4"/>
  <c r="FR207" i="4" s="1"/>
  <c r="FA207" i="4"/>
  <c r="FP207" i="4" s="1"/>
  <c r="EZ207" i="4"/>
  <c r="EY207" i="4"/>
  <c r="EX207" i="4"/>
  <c r="EW207" i="4"/>
  <c r="FM207" i="4" s="1"/>
  <c r="EV207" i="4"/>
  <c r="FL207" i="4" s="1"/>
  <c r="EU207" i="4"/>
  <c r="EB207" i="4"/>
  <c r="DX207" i="4"/>
  <c r="DL207" i="4"/>
  <c r="DH207" i="4"/>
  <c r="DF207" i="4"/>
  <c r="DE207" i="4"/>
  <c r="DA207" i="4"/>
  <c r="CW207" i="4"/>
  <c r="CU207" i="4"/>
  <c r="CO207" i="4"/>
  <c r="CV207" i="4" s="1"/>
  <c r="CN207" i="4"/>
  <c r="DW207" i="4" s="1"/>
  <c r="CJ207" i="4"/>
  <c r="CG207" i="4"/>
  <c r="BS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Y207" i="4"/>
  <c r="Q207" i="4"/>
  <c r="B207" i="4"/>
  <c r="A207" i="4"/>
  <c r="QX206" i="4"/>
  <c r="FX206" i="4"/>
  <c r="FV206" i="4"/>
  <c r="FU206" i="4"/>
  <c r="FT206" i="4"/>
  <c r="FR206" i="4"/>
  <c r="FP206" i="4"/>
  <c r="FL206" i="4"/>
  <c r="FK206" i="4"/>
  <c r="FI206" i="4"/>
  <c r="FH206" i="4"/>
  <c r="FG206" i="4"/>
  <c r="FF206" i="4"/>
  <c r="FW206" i="4" s="1"/>
  <c r="FE206" i="4"/>
  <c r="FD206" i="4"/>
  <c r="FS206" i="4" s="1"/>
  <c r="FC206" i="4"/>
  <c r="FA206" i="4"/>
  <c r="EZ206" i="4"/>
  <c r="FO206" i="4" s="1"/>
  <c r="EY206" i="4"/>
  <c r="EX206" i="4"/>
  <c r="FN206" i="4" s="1"/>
  <c r="EW206" i="4"/>
  <c r="FM206" i="4" s="1"/>
  <c r="EV206" i="4"/>
  <c r="EU206" i="4"/>
  <c r="EB206" i="4"/>
  <c r="DX206" i="4"/>
  <c r="DW206" i="4"/>
  <c r="DV206" i="4" s="1"/>
  <c r="DZ206" i="4" s="1"/>
  <c r="DL206" i="4"/>
  <c r="DH206" i="4"/>
  <c r="DF206" i="4"/>
  <c r="DA206" i="4"/>
  <c r="CX206" i="4"/>
  <c r="FJ206" i="4" s="1"/>
  <c r="FY206" i="4" s="1"/>
  <c r="CV206" i="4"/>
  <c r="DG206" i="4" s="1"/>
  <c r="CU206" i="4"/>
  <c r="DE206" i="4" s="1"/>
  <c r="CO206" i="4"/>
  <c r="CW206" i="4" s="1"/>
  <c r="CG206" i="4"/>
  <c r="BS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Y206" i="4"/>
  <c r="Q206" i="4"/>
  <c r="B206" i="4"/>
  <c r="A206" i="4"/>
  <c r="MF205" i="4"/>
  <c r="FX205" i="4"/>
  <c r="FV205" i="4"/>
  <c r="FT205" i="4"/>
  <c r="FR205" i="4"/>
  <c r="FP205" i="4"/>
  <c r="FM205" i="4"/>
  <c r="FJ205" i="4"/>
  <c r="FY205" i="4" s="1"/>
  <c r="FI205" i="4"/>
  <c r="FH205" i="4"/>
  <c r="FG205" i="4"/>
  <c r="FU205" i="4" s="1"/>
  <c r="FF205" i="4"/>
  <c r="FW205" i="4" s="1"/>
  <c r="FE205" i="4"/>
  <c r="FD205" i="4"/>
  <c r="FS205" i="4" s="1"/>
  <c r="FC205" i="4"/>
  <c r="FB205" i="4"/>
  <c r="FQ205" i="4" s="1"/>
  <c r="FA205" i="4"/>
  <c r="EZ205" i="4"/>
  <c r="FO205" i="4" s="1"/>
  <c r="EY205" i="4"/>
  <c r="EX205" i="4"/>
  <c r="FN205" i="4" s="1"/>
  <c r="EW205" i="4"/>
  <c r="EV205" i="4"/>
  <c r="FL205" i="4" s="1"/>
  <c r="EU205" i="4"/>
  <c r="FK205" i="4" s="1"/>
  <c r="EA205" i="4"/>
  <c r="DX205" i="4"/>
  <c r="EB205" i="4" s="1"/>
  <c r="DW205" i="4"/>
  <c r="DV205" i="4" s="1"/>
  <c r="DU205" i="4"/>
  <c r="DL205" i="4"/>
  <c r="DH205" i="4"/>
  <c r="DG205" i="4"/>
  <c r="DF205" i="4"/>
  <c r="DE205" i="4"/>
  <c r="DA205" i="4"/>
  <c r="CW205" i="4"/>
  <c r="CO205" i="4"/>
  <c r="CK205" i="4"/>
  <c r="CJ205" i="4"/>
  <c r="CG205" i="4"/>
  <c r="BS205" i="4"/>
  <c r="BP205" i="4"/>
  <c r="BO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Y205" i="4"/>
  <c r="B205" i="4"/>
  <c r="A205" i="4"/>
  <c r="QX204" i="4"/>
  <c r="FX204" i="4"/>
  <c r="FT204" i="4"/>
  <c r="FR204" i="4"/>
  <c r="FP204" i="4"/>
  <c r="FN204" i="4"/>
  <c r="FM204" i="4"/>
  <c r="FK204" i="4"/>
  <c r="FI204" i="4"/>
  <c r="FH204" i="4"/>
  <c r="FV204" i="4" s="1"/>
  <c r="FG204" i="4"/>
  <c r="FU204" i="4" s="1"/>
  <c r="FE204" i="4"/>
  <c r="FD204" i="4"/>
  <c r="FS204" i="4" s="1"/>
  <c r="FC204" i="4"/>
  <c r="FA204" i="4"/>
  <c r="EZ204" i="4"/>
  <c r="FO204" i="4" s="1"/>
  <c r="EY204" i="4"/>
  <c r="EX204" i="4"/>
  <c r="EW204" i="4"/>
  <c r="EV204" i="4"/>
  <c r="FL204" i="4" s="1"/>
  <c r="EU204" i="4"/>
  <c r="EB204" i="4"/>
  <c r="DX204" i="4"/>
  <c r="DW204" i="4"/>
  <c r="DV204" i="4" s="1"/>
  <c r="DZ204" i="4" s="1"/>
  <c r="DL204" i="4"/>
  <c r="DH204" i="4"/>
  <c r="DF204" i="4"/>
  <c r="DE204" i="4"/>
  <c r="DA204" i="4"/>
  <c r="CX204" i="4"/>
  <c r="FJ204" i="4" s="1"/>
  <c r="FY204" i="4" s="1"/>
  <c r="CW204" i="4"/>
  <c r="CU204" i="4"/>
  <c r="CO204" i="4"/>
  <c r="FB204" i="4" s="1"/>
  <c r="FQ204" i="4" s="1"/>
  <c r="CG204" i="4"/>
  <c r="BS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Y204" i="4"/>
  <c r="Q204" i="4"/>
  <c r="B204" i="4"/>
  <c r="A204" i="4"/>
  <c r="QX203" i="4"/>
  <c r="FX203" i="4"/>
  <c r="FV203" i="4"/>
  <c r="FU203" i="4"/>
  <c r="FT203" i="4"/>
  <c r="FR203" i="4"/>
  <c r="FP203" i="4"/>
  <c r="FL203" i="4"/>
  <c r="FK203" i="4"/>
  <c r="FJ203" i="4"/>
  <c r="FY203" i="4" s="1"/>
  <c r="FI203" i="4"/>
  <c r="FH203" i="4"/>
  <c r="FG203" i="4"/>
  <c r="FE203" i="4"/>
  <c r="FD203" i="4"/>
  <c r="FS203" i="4" s="1"/>
  <c r="FC203" i="4"/>
  <c r="FA203" i="4"/>
  <c r="EZ203" i="4"/>
  <c r="FO203" i="4" s="1"/>
  <c r="EY203" i="4"/>
  <c r="EX203" i="4"/>
  <c r="FN203" i="4" s="1"/>
  <c r="EW203" i="4"/>
  <c r="FM203" i="4" s="1"/>
  <c r="EV203" i="4"/>
  <c r="EU203" i="4"/>
  <c r="EB203" i="4"/>
  <c r="EA203" i="4"/>
  <c r="DX203" i="4"/>
  <c r="DW203" i="4"/>
  <c r="DV203" i="4" s="1"/>
  <c r="DZ203" i="4" s="1"/>
  <c r="DU203" i="4"/>
  <c r="DL203" i="4"/>
  <c r="DH203" i="4"/>
  <c r="DF203" i="4"/>
  <c r="DA203" i="4"/>
  <c r="CX203" i="4"/>
  <c r="CV203" i="4"/>
  <c r="DG203" i="4" s="1"/>
  <c r="CU203" i="4"/>
  <c r="DE203" i="4" s="1"/>
  <c r="CO203" i="4"/>
  <c r="CW203" i="4" s="1"/>
  <c r="CG203" i="4"/>
  <c r="BS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Y203" i="4"/>
  <c r="Q203" i="4"/>
  <c r="B203" i="4"/>
  <c r="A203" i="4"/>
  <c r="QX202" i="4"/>
  <c r="FX202" i="4"/>
  <c r="FT202" i="4"/>
  <c r="FP202" i="4"/>
  <c r="FO202" i="4"/>
  <c r="FN202" i="4"/>
  <c r="FL202" i="4"/>
  <c r="FI202" i="4"/>
  <c r="FH202" i="4"/>
  <c r="FV202" i="4" s="1"/>
  <c r="FG202" i="4"/>
  <c r="FU202" i="4" s="1"/>
  <c r="FE202" i="4"/>
  <c r="FD202" i="4"/>
  <c r="FS202" i="4" s="1"/>
  <c r="FC202" i="4"/>
  <c r="FR202" i="4" s="1"/>
  <c r="FB202" i="4"/>
  <c r="FQ202" i="4" s="1"/>
  <c r="FA202" i="4"/>
  <c r="EZ202" i="4"/>
  <c r="EY202" i="4"/>
  <c r="EW202" i="4"/>
  <c r="FM202" i="4" s="1"/>
  <c r="EU202" i="4"/>
  <c r="FK202" i="4" s="1"/>
  <c r="EB202" i="4"/>
  <c r="DX202" i="4"/>
  <c r="DW202" i="4"/>
  <c r="DV202" i="4" s="1"/>
  <c r="DZ202" i="4" s="1"/>
  <c r="DL202" i="4"/>
  <c r="DH202" i="4"/>
  <c r="DF202" i="4"/>
  <c r="DE202" i="4"/>
  <c r="DA202" i="4"/>
  <c r="CX202" i="4"/>
  <c r="FJ202" i="4" s="1"/>
  <c r="FY202" i="4" s="1"/>
  <c r="CU202" i="4"/>
  <c r="CO202" i="4"/>
  <c r="CW202" i="4" s="1"/>
  <c r="CG202" i="4"/>
  <c r="BS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Y202" i="4"/>
  <c r="Q202" i="4"/>
  <c r="B202" i="4"/>
  <c r="A202" i="4"/>
  <c r="QX201" i="4"/>
  <c r="FX201" i="4"/>
  <c r="FV201" i="4"/>
  <c r="FU201" i="4"/>
  <c r="FT201" i="4"/>
  <c r="FR201" i="4"/>
  <c r="FP201" i="4"/>
  <c r="FL201" i="4"/>
  <c r="FK201" i="4"/>
  <c r="FJ201" i="4"/>
  <c r="FY201" i="4" s="1"/>
  <c r="FI201" i="4"/>
  <c r="FH201" i="4"/>
  <c r="FG201" i="4"/>
  <c r="FE201" i="4"/>
  <c r="FD201" i="4"/>
  <c r="FS201" i="4" s="1"/>
  <c r="FC201" i="4"/>
  <c r="FA201" i="4"/>
  <c r="EZ201" i="4"/>
  <c r="FO201" i="4" s="1"/>
  <c r="EY201" i="4"/>
  <c r="EX201" i="4"/>
  <c r="FN201" i="4" s="1"/>
  <c r="EW201" i="4"/>
  <c r="FM201" i="4" s="1"/>
  <c r="EV201" i="4"/>
  <c r="EU201" i="4"/>
  <c r="EB201" i="4"/>
  <c r="EA201" i="4"/>
  <c r="DX201" i="4"/>
  <c r="DW201" i="4"/>
  <c r="DV201" i="4" s="1"/>
  <c r="DZ201" i="4" s="1"/>
  <c r="DU201" i="4"/>
  <c r="DL201" i="4"/>
  <c r="DH201" i="4"/>
  <c r="DF201" i="4"/>
  <c r="DA201" i="4"/>
  <c r="CX201" i="4"/>
  <c r="CV201" i="4"/>
  <c r="DG201" i="4" s="1"/>
  <c r="CU201" i="4"/>
  <c r="DE201" i="4" s="1"/>
  <c r="CO201" i="4"/>
  <c r="CW201" i="4" s="1"/>
  <c r="CG201" i="4"/>
  <c r="BS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Y201" i="4"/>
  <c r="Q201" i="4"/>
  <c r="B201" i="4"/>
  <c r="A201" i="4"/>
  <c r="QX200" i="4"/>
  <c r="FT200" i="4"/>
  <c r="FP200" i="4"/>
  <c r="FO200" i="4"/>
  <c r="FN200" i="4"/>
  <c r="FM200" i="4"/>
  <c r="FJ200" i="4"/>
  <c r="FY200" i="4" s="1"/>
  <c r="FI200" i="4"/>
  <c r="FX200" i="4" s="1"/>
  <c r="FH200" i="4"/>
  <c r="FV200" i="4" s="1"/>
  <c r="FG200" i="4"/>
  <c r="FU200" i="4" s="1"/>
  <c r="FE200" i="4"/>
  <c r="FD200" i="4"/>
  <c r="FS200" i="4" s="1"/>
  <c r="FC200" i="4"/>
  <c r="FR200" i="4" s="1"/>
  <c r="FA200" i="4"/>
  <c r="EZ200" i="4"/>
  <c r="EY200" i="4"/>
  <c r="EX200" i="4"/>
  <c r="EW200" i="4"/>
  <c r="EV200" i="4"/>
  <c r="FL200" i="4" s="1"/>
  <c r="EU200" i="4"/>
  <c r="FK200" i="4" s="1"/>
  <c r="EA200" i="4"/>
  <c r="DX200" i="4"/>
  <c r="EB200" i="4" s="1"/>
  <c r="DW200" i="4"/>
  <c r="DV200" i="4" s="1"/>
  <c r="DZ200" i="4" s="1"/>
  <c r="DU200" i="4"/>
  <c r="DL200" i="4"/>
  <c r="DH200" i="4"/>
  <c r="DF200" i="4"/>
  <c r="DA200" i="4"/>
  <c r="CX200" i="4"/>
  <c r="CU200" i="4"/>
  <c r="DE200" i="4" s="1"/>
  <c r="CO200" i="4"/>
  <c r="CW200" i="4" s="1"/>
  <c r="CK200" i="4"/>
  <c r="CG200" i="4"/>
  <c r="BS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Y200" i="4"/>
  <c r="Q200" i="4"/>
  <c r="B200" i="4"/>
  <c r="A200" i="4"/>
  <c r="QX199" i="4"/>
  <c r="FT199" i="4"/>
  <c r="FS199" i="4"/>
  <c r="FO199" i="4"/>
  <c r="FN199" i="4"/>
  <c r="FM199" i="4"/>
  <c r="FL199" i="4"/>
  <c r="FI199" i="4"/>
  <c r="FX199" i="4" s="1"/>
  <c r="FH199" i="4"/>
  <c r="FV199" i="4" s="1"/>
  <c r="FG199" i="4"/>
  <c r="FU199" i="4" s="1"/>
  <c r="FE199" i="4"/>
  <c r="FD199" i="4"/>
  <c r="FC199" i="4"/>
  <c r="FR199" i="4" s="1"/>
  <c r="FA199" i="4"/>
  <c r="FP199" i="4" s="1"/>
  <c r="EZ199" i="4"/>
  <c r="EY199" i="4"/>
  <c r="EX199" i="4"/>
  <c r="EW199" i="4"/>
  <c r="EV199" i="4"/>
  <c r="EU199" i="4"/>
  <c r="FK199" i="4" s="1"/>
  <c r="DX199" i="4"/>
  <c r="EB199" i="4" s="1"/>
  <c r="DW199" i="4"/>
  <c r="EA199" i="4" s="1"/>
  <c r="DL199" i="4"/>
  <c r="DH199" i="4"/>
  <c r="DF199" i="4"/>
  <c r="DA199" i="4"/>
  <c r="CX199" i="4"/>
  <c r="FJ199" i="4" s="1"/>
  <c r="FY199" i="4" s="1"/>
  <c r="CU199" i="4"/>
  <c r="DE199" i="4" s="1"/>
  <c r="CO199" i="4"/>
  <c r="CV199" i="4" s="1"/>
  <c r="CK199" i="4"/>
  <c r="CG199" i="4"/>
  <c r="BS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Y199" i="4"/>
  <c r="Q199" i="4"/>
  <c r="B199" i="4"/>
  <c r="A199" i="4"/>
  <c r="QX198" i="4"/>
  <c r="FX198" i="4"/>
  <c r="FT198" i="4"/>
  <c r="FS198" i="4"/>
  <c r="FR198" i="4"/>
  <c r="FN198" i="4"/>
  <c r="FM198" i="4"/>
  <c r="FL198" i="4"/>
  <c r="FK198" i="4"/>
  <c r="FI198" i="4"/>
  <c r="FH198" i="4"/>
  <c r="FV198" i="4" s="1"/>
  <c r="FG198" i="4"/>
  <c r="FU198" i="4" s="1"/>
  <c r="FE198" i="4"/>
  <c r="FD198" i="4"/>
  <c r="FC198" i="4"/>
  <c r="FA198" i="4"/>
  <c r="FP198" i="4" s="1"/>
  <c r="EZ198" i="4"/>
  <c r="FO198" i="4" s="1"/>
  <c r="EY198" i="4"/>
  <c r="EX198" i="4"/>
  <c r="EW198" i="4"/>
  <c r="EV198" i="4"/>
  <c r="EU198" i="4"/>
  <c r="EB198" i="4"/>
  <c r="DX198" i="4"/>
  <c r="DW198" i="4"/>
  <c r="DV198" i="4" s="1"/>
  <c r="DZ198" i="4" s="1"/>
  <c r="DL198" i="4"/>
  <c r="DH198" i="4"/>
  <c r="DF198" i="4"/>
  <c r="DE198" i="4"/>
  <c r="DA198" i="4"/>
  <c r="CX198" i="4"/>
  <c r="FJ198" i="4" s="1"/>
  <c r="FY198" i="4" s="1"/>
  <c r="CU198" i="4"/>
  <c r="CO198" i="4"/>
  <c r="FB198" i="4" s="1"/>
  <c r="FQ198" i="4" s="1"/>
  <c r="CK198" i="4"/>
  <c r="CG198" i="4"/>
  <c r="BS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Y198" i="4"/>
  <c r="Q198" i="4"/>
  <c r="B198" i="4"/>
  <c r="A198" i="4"/>
  <c r="QX197" i="4"/>
  <c r="FY197" i="4"/>
  <c r="FX197" i="4"/>
  <c r="FV197" i="4"/>
  <c r="FS197" i="4"/>
  <c r="FR197" i="4"/>
  <c r="FM197" i="4"/>
  <c r="FL197" i="4"/>
  <c r="FK197" i="4"/>
  <c r="FJ197" i="4"/>
  <c r="FI197" i="4"/>
  <c r="FH197" i="4"/>
  <c r="FG197" i="4"/>
  <c r="FU197" i="4" s="1"/>
  <c r="FE197" i="4"/>
  <c r="FT197" i="4" s="1"/>
  <c r="FD197" i="4"/>
  <c r="FC197" i="4"/>
  <c r="FA197" i="4"/>
  <c r="FP197" i="4" s="1"/>
  <c r="EZ197" i="4"/>
  <c r="FO197" i="4" s="1"/>
  <c r="EY197" i="4"/>
  <c r="EX197" i="4"/>
  <c r="FN197" i="4" s="1"/>
  <c r="EW197" i="4"/>
  <c r="EV197" i="4"/>
  <c r="EU197" i="4"/>
  <c r="EB197" i="4"/>
  <c r="EA197" i="4"/>
  <c r="DX197" i="4"/>
  <c r="DW197" i="4"/>
  <c r="DV197" i="4"/>
  <c r="DZ197" i="4" s="1"/>
  <c r="DU197" i="4"/>
  <c r="DL197" i="4"/>
  <c r="DH197" i="4"/>
  <c r="DG197" i="4"/>
  <c r="DF197" i="4"/>
  <c r="DE197" i="4"/>
  <c r="DA197" i="4"/>
  <c r="CX197" i="4"/>
  <c r="CW197" i="4"/>
  <c r="CV197" i="4"/>
  <c r="DY197" i="4" s="1"/>
  <c r="EC197" i="4" s="1"/>
  <c r="CU197" i="4"/>
  <c r="CO197" i="4"/>
  <c r="FB197" i="4" s="1"/>
  <c r="FQ197" i="4" s="1"/>
  <c r="CK197" i="4"/>
  <c r="BS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Y197" i="4"/>
  <c r="Q197" i="4"/>
  <c r="B197" i="4"/>
  <c r="A197" i="4"/>
  <c r="MF196" i="4"/>
  <c r="FU196" i="4"/>
  <c r="FP196" i="4"/>
  <c r="FO196" i="4"/>
  <c r="FN196" i="4"/>
  <c r="FK196" i="4"/>
  <c r="FJ196" i="4"/>
  <c r="FY196" i="4" s="1"/>
  <c r="FI196" i="4"/>
  <c r="FX196" i="4" s="1"/>
  <c r="FH196" i="4"/>
  <c r="FV196" i="4" s="1"/>
  <c r="FG196" i="4"/>
  <c r="FE196" i="4"/>
  <c r="FT196" i="4" s="1"/>
  <c r="FD196" i="4"/>
  <c r="FS196" i="4" s="1"/>
  <c r="FC196" i="4"/>
  <c r="FR196" i="4" s="1"/>
  <c r="FA196" i="4"/>
  <c r="EZ196" i="4"/>
  <c r="EY196" i="4"/>
  <c r="EX196" i="4"/>
  <c r="EW196" i="4"/>
  <c r="FM196" i="4" s="1"/>
  <c r="EV196" i="4"/>
  <c r="FL196" i="4" s="1"/>
  <c r="EU196" i="4"/>
  <c r="EB196" i="4"/>
  <c r="EA196" i="4"/>
  <c r="DZ196" i="4"/>
  <c r="DX196" i="4"/>
  <c r="DW196" i="4"/>
  <c r="DV196" i="4"/>
  <c r="DU196" i="4"/>
  <c r="DL196" i="4"/>
  <c r="DH196" i="4"/>
  <c r="DF196" i="4"/>
  <c r="DA196" i="4"/>
  <c r="CX196" i="4"/>
  <c r="CW196" i="4"/>
  <c r="CU196" i="4"/>
  <c r="DE196" i="4" s="1"/>
  <c r="CO196" i="4"/>
  <c r="CV196" i="4" s="1"/>
  <c r="CK196" i="4"/>
  <c r="CG196" i="4"/>
  <c r="BS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Y196" i="4"/>
  <c r="Q196" i="4"/>
  <c r="B196" i="4"/>
  <c r="A196" i="4"/>
  <c r="QX195" i="4"/>
  <c r="FT195" i="4"/>
  <c r="FP195" i="4"/>
  <c r="FO195" i="4"/>
  <c r="FN195" i="4"/>
  <c r="FM195" i="4"/>
  <c r="FJ195" i="4"/>
  <c r="FY195" i="4" s="1"/>
  <c r="FI195" i="4"/>
  <c r="FX195" i="4" s="1"/>
  <c r="FH195" i="4"/>
  <c r="FV195" i="4" s="1"/>
  <c r="FG195" i="4"/>
  <c r="FU195" i="4" s="1"/>
  <c r="FE195" i="4"/>
  <c r="FD195" i="4"/>
  <c r="FS195" i="4" s="1"/>
  <c r="FC195" i="4"/>
  <c r="FR195" i="4" s="1"/>
  <c r="FA195" i="4"/>
  <c r="EZ195" i="4"/>
  <c r="EY195" i="4"/>
  <c r="EX195" i="4"/>
  <c r="EW195" i="4"/>
  <c r="EV195" i="4"/>
  <c r="FL195" i="4" s="1"/>
  <c r="EU195" i="4"/>
  <c r="FK195" i="4" s="1"/>
  <c r="EA195" i="4"/>
  <c r="DX195" i="4"/>
  <c r="EB195" i="4" s="1"/>
  <c r="DW195" i="4"/>
  <c r="DV195" i="4" s="1"/>
  <c r="DZ195" i="4" s="1"/>
  <c r="DU195" i="4"/>
  <c r="DL195" i="4"/>
  <c r="DH195" i="4"/>
  <c r="DF195" i="4"/>
  <c r="DA195" i="4"/>
  <c r="CX195" i="4"/>
  <c r="CU195" i="4"/>
  <c r="DE195" i="4" s="1"/>
  <c r="CO195" i="4"/>
  <c r="CW195" i="4" s="1"/>
  <c r="CK195" i="4"/>
  <c r="CG195" i="4"/>
  <c r="BS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Y195" i="4"/>
  <c r="Q195" i="4"/>
  <c r="B195" i="4"/>
  <c r="A195" i="4"/>
  <c r="QX194" i="4"/>
  <c r="FT194" i="4"/>
  <c r="FS194" i="4"/>
  <c r="FO194" i="4"/>
  <c r="FN194" i="4"/>
  <c r="FM194" i="4"/>
  <c r="FL194" i="4"/>
  <c r="FI194" i="4"/>
  <c r="FX194" i="4" s="1"/>
  <c r="FH194" i="4"/>
  <c r="FV194" i="4" s="1"/>
  <c r="FG194" i="4"/>
  <c r="FU194" i="4" s="1"/>
  <c r="FE194" i="4"/>
  <c r="FD194" i="4"/>
  <c r="FC194" i="4"/>
  <c r="FR194" i="4" s="1"/>
  <c r="FA194" i="4"/>
  <c r="FP194" i="4" s="1"/>
  <c r="EZ194" i="4"/>
  <c r="EY194" i="4"/>
  <c r="EX194" i="4"/>
  <c r="EW194" i="4"/>
  <c r="EV194" i="4"/>
  <c r="EU194" i="4"/>
  <c r="FK194" i="4" s="1"/>
  <c r="DX194" i="4"/>
  <c r="EB194" i="4" s="1"/>
  <c r="DW194" i="4"/>
  <c r="EA194" i="4" s="1"/>
  <c r="DL194" i="4"/>
  <c r="DH194" i="4"/>
  <c r="DF194" i="4"/>
  <c r="DA194" i="4"/>
  <c r="CX194" i="4"/>
  <c r="FJ194" i="4" s="1"/>
  <c r="FY194" i="4" s="1"/>
  <c r="CU194" i="4"/>
  <c r="DE194" i="4" s="1"/>
  <c r="CO194" i="4"/>
  <c r="CV194" i="4" s="1"/>
  <c r="CK194" i="4"/>
  <c r="CG194" i="4"/>
  <c r="BS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Y194" i="4"/>
  <c r="Q194" i="4"/>
  <c r="B194" i="4"/>
  <c r="A194" i="4"/>
  <c r="QX193" i="4"/>
  <c r="FX193" i="4"/>
  <c r="FT193" i="4"/>
  <c r="FS193" i="4"/>
  <c r="FR193" i="4"/>
  <c r="FN193" i="4"/>
  <c r="FM193" i="4"/>
  <c r="FL193" i="4"/>
  <c r="FI193" i="4"/>
  <c r="FH193" i="4"/>
  <c r="FV193" i="4" s="1"/>
  <c r="FG193" i="4"/>
  <c r="FU193" i="4" s="1"/>
  <c r="FE193" i="4"/>
  <c r="FD193" i="4"/>
  <c r="FC193" i="4"/>
  <c r="FA193" i="4"/>
  <c r="FP193" i="4" s="1"/>
  <c r="EZ193" i="4"/>
  <c r="FO193" i="4" s="1"/>
  <c r="EY193" i="4"/>
  <c r="EX193" i="4"/>
  <c r="EW193" i="4"/>
  <c r="EV193" i="4"/>
  <c r="EU193" i="4"/>
  <c r="FK193" i="4" s="1"/>
  <c r="DX193" i="4"/>
  <c r="EB193" i="4" s="1"/>
  <c r="DW193" i="4"/>
  <c r="DV193" i="4" s="1"/>
  <c r="DZ193" i="4" s="1"/>
  <c r="DL193" i="4"/>
  <c r="DH193" i="4"/>
  <c r="DF193" i="4"/>
  <c r="DE193" i="4"/>
  <c r="DA193" i="4"/>
  <c r="CX193" i="4"/>
  <c r="FJ193" i="4" s="1"/>
  <c r="FY193" i="4" s="1"/>
  <c r="CU193" i="4"/>
  <c r="CO193" i="4"/>
  <c r="FB193" i="4" s="1"/>
  <c r="FQ193" i="4" s="1"/>
  <c r="CG193" i="4"/>
  <c r="BS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Y193" i="4"/>
  <c r="Q193" i="4"/>
  <c r="B193" i="4"/>
  <c r="A193" i="4"/>
  <c r="QX192" i="4"/>
  <c r="FX192" i="4"/>
  <c r="FV192" i="4"/>
  <c r="FU192" i="4"/>
  <c r="FR192" i="4"/>
  <c r="FP192" i="4"/>
  <c r="FL192" i="4"/>
  <c r="FK192" i="4"/>
  <c r="FJ192" i="4"/>
  <c r="FY192" i="4" s="1"/>
  <c r="FI192" i="4"/>
  <c r="FH192" i="4"/>
  <c r="FG192" i="4"/>
  <c r="FE192" i="4"/>
  <c r="FT192" i="4" s="1"/>
  <c r="FD192" i="4"/>
  <c r="FS192" i="4" s="1"/>
  <c r="FC192" i="4"/>
  <c r="FA192" i="4"/>
  <c r="EZ192" i="4"/>
  <c r="FO192" i="4" s="1"/>
  <c r="EY192" i="4"/>
  <c r="EX192" i="4"/>
  <c r="FN192" i="4" s="1"/>
  <c r="EW192" i="4"/>
  <c r="FM192" i="4" s="1"/>
  <c r="EV192" i="4"/>
  <c r="EU192" i="4"/>
  <c r="EB192" i="4"/>
  <c r="EA192" i="4"/>
  <c r="DX192" i="4"/>
  <c r="DW192" i="4"/>
  <c r="DV192" i="4" s="1"/>
  <c r="DZ192" i="4" s="1"/>
  <c r="DU192" i="4"/>
  <c r="DL192" i="4"/>
  <c r="DH192" i="4"/>
  <c r="DF192" i="4"/>
  <c r="DA192" i="4"/>
  <c r="CX192" i="4"/>
  <c r="CW192" i="4"/>
  <c r="CV192" i="4"/>
  <c r="DG192" i="4" s="1"/>
  <c r="CU192" i="4"/>
  <c r="DE192" i="4" s="1"/>
  <c r="CO192" i="4"/>
  <c r="FB192" i="4" s="1"/>
  <c r="FQ192" i="4" s="1"/>
  <c r="CG192" i="4"/>
  <c r="BS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Y192" i="4"/>
  <c r="Q192" i="4"/>
  <c r="B192" i="4"/>
  <c r="A192" i="4"/>
  <c r="QX191" i="4"/>
  <c r="FT191" i="4"/>
  <c r="FP191" i="4"/>
  <c r="FO191" i="4"/>
  <c r="FN191" i="4"/>
  <c r="FJ191" i="4"/>
  <c r="FY191" i="4" s="1"/>
  <c r="FI191" i="4"/>
  <c r="FX191" i="4" s="1"/>
  <c r="FH191" i="4"/>
  <c r="FV191" i="4" s="1"/>
  <c r="FG191" i="4"/>
  <c r="FU191" i="4" s="1"/>
  <c r="FE191" i="4"/>
  <c r="FD191" i="4"/>
  <c r="FS191" i="4" s="1"/>
  <c r="FC191" i="4"/>
  <c r="FR191" i="4" s="1"/>
  <c r="FB191" i="4"/>
  <c r="FQ191" i="4" s="1"/>
  <c r="FA191" i="4"/>
  <c r="EZ191" i="4"/>
  <c r="EX191" i="4"/>
  <c r="EW191" i="4"/>
  <c r="FM191" i="4" s="1"/>
  <c r="EV191" i="4"/>
  <c r="FL191" i="4" s="1"/>
  <c r="EU191" i="4"/>
  <c r="FK191" i="4" s="1"/>
  <c r="DX191" i="4"/>
  <c r="EB191" i="4" s="1"/>
  <c r="DW191" i="4"/>
  <c r="EA191" i="4" s="1"/>
  <c r="DL191" i="4"/>
  <c r="DH191" i="4"/>
  <c r="DF191" i="4"/>
  <c r="DA191" i="4"/>
  <c r="CX191" i="4"/>
  <c r="CU191" i="4"/>
  <c r="DE191" i="4" s="1"/>
  <c r="CO191" i="4"/>
  <c r="CV191" i="4" s="1"/>
  <c r="CG191" i="4"/>
  <c r="BS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Y191" i="4"/>
  <c r="Q191" i="4"/>
  <c r="B191" i="4"/>
  <c r="A191" i="4"/>
  <c r="QX190" i="4"/>
  <c r="FY190" i="4"/>
  <c r="FX190" i="4"/>
  <c r="FV190" i="4"/>
  <c r="FS190" i="4"/>
  <c r="FR190" i="4"/>
  <c r="FM190" i="4"/>
  <c r="FL190" i="4"/>
  <c r="FK190" i="4"/>
  <c r="FJ190" i="4"/>
  <c r="FI190" i="4"/>
  <c r="FH190" i="4"/>
  <c r="FG190" i="4"/>
  <c r="FU190" i="4" s="1"/>
  <c r="FE190" i="4"/>
  <c r="FT190" i="4" s="1"/>
  <c r="FD190" i="4"/>
  <c r="FC190" i="4"/>
  <c r="FA190" i="4"/>
  <c r="FP190" i="4" s="1"/>
  <c r="EZ190" i="4"/>
  <c r="FO190" i="4" s="1"/>
  <c r="EY190" i="4"/>
  <c r="EX190" i="4"/>
  <c r="FN190" i="4" s="1"/>
  <c r="EW190" i="4"/>
  <c r="EV190" i="4"/>
  <c r="EU190" i="4"/>
  <c r="EB190" i="4"/>
  <c r="EA190" i="4"/>
  <c r="DX190" i="4"/>
  <c r="DW190" i="4"/>
  <c r="DV190" i="4"/>
  <c r="DZ190" i="4" s="1"/>
  <c r="DU190" i="4"/>
  <c r="DL190" i="4"/>
  <c r="DH190" i="4"/>
  <c r="DG190" i="4"/>
  <c r="DF190" i="4"/>
  <c r="DE190" i="4"/>
  <c r="DA190" i="4"/>
  <c r="CX190" i="4"/>
  <c r="CW190" i="4"/>
  <c r="CV190" i="4"/>
  <c r="DY190" i="4" s="1"/>
  <c r="EC190" i="4" s="1"/>
  <c r="CU190" i="4"/>
  <c r="CO190" i="4"/>
  <c r="FB190" i="4" s="1"/>
  <c r="FQ190" i="4" s="1"/>
  <c r="CG190" i="4"/>
  <c r="BS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Y190" i="4"/>
  <c r="Q190" i="4"/>
  <c r="B190" i="4"/>
  <c r="A190" i="4"/>
  <c r="QX189" i="4"/>
  <c r="FX189" i="4"/>
  <c r="FU189" i="4"/>
  <c r="FP189" i="4"/>
  <c r="FO189" i="4"/>
  <c r="FN189" i="4"/>
  <c r="FK189" i="4"/>
  <c r="FJ189" i="4"/>
  <c r="FY189" i="4" s="1"/>
  <c r="FI189" i="4"/>
  <c r="FH189" i="4"/>
  <c r="FV189" i="4" s="1"/>
  <c r="FG189" i="4"/>
  <c r="FE189" i="4"/>
  <c r="FT189" i="4" s="1"/>
  <c r="FD189" i="4"/>
  <c r="FS189" i="4" s="1"/>
  <c r="FC189" i="4"/>
  <c r="FR189" i="4" s="1"/>
  <c r="FA189" i="4"/>
  <c r="EZ189" i="4"/>
  <c r="EY189" i="4"/>
  <c r="EX189" i="4"/>
  <c r="EW189" i="4"/>
  <c r="FM189" i="4" s="1"/>
  <c r="EV189" i="4"/>
  <c r="FL189" i="4" s="1"/>
  <c r="EU189" i="4"/>
  <c r="EB189" i="4"/>
  <c r="EA189" i="4"/>
  <c r="DZ189" i="4"/>
  <c r="DX189" i="4"/>
  <c r="DW189" i="4"/>
  <c r="DV189" i="4"/>
  <c r="DU189" i="4"/>
  <c r="DL189" i="4"/>
  <c r="DH189" i="4"/>
  <c r="DF189" i="4"/>
  <c r="DA189" i="4"/>
  <c r="CX189" i="4"/>
  <c r="CW189" i="4"/>
  <c r="CU189" i="4"/>
  <c r="DE189" i="4" s="1"/>
  <c r="CO189" i="4"/>
  <c r="CV189" i="4" s="1"/>
  <c r="CG189" i="4"/>
  <c r="BS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Y189" i="4"/>
  <c r="Q189" i="4"/>
  <c r="B189" i="4"/>
  <c r="A189" i="4"/>
  <c r="QX188" i="4"/>
  <c r="FX188" i="4"/>
  <c r="FT188" i="4"/>
  <c r="FS188" i="4"/>
  <c r="FO188" i="4"/>
  <c r="FN188" i="4"/>
  <c r="FM188" i="4"/>
  <c r="FL188" i="4"/>
  <c r="FI188" i="4"/>
  <c r="FH188" i="4"/>
  <c r="FV188" i="4" s="1"/>
  <c r="FG188" i="4"/>
  <c r="FU188" i="4" s="1"/>
  <c r="FE188" i="4"/>
  <c r="FD188" i="4"/>
  <c r="FC188" i="4"/>
  <c r="FR188" i="4" s="1"/>
  <c r="FA188" i="4"/>
  <c r="FP188" i="4" s="1"/>
  <c r="EZ188" i="4"/>
  <c r="EY188" i="4"/>
  <c r="EX188" i="4"/>
  <c r="EW188" i="4"/>
  <c r="EV188" i="4"/>
  <c r="EU188" i="4"/>
  <c r="FK188" i="4" s="1"/>
  <c r="DX188" i="4"/>
  <c r="EB188" i="4" s="1"/>
  <c r="DW188" i="4"/>
  <c r="EA188" i="4" s="1"/>
  <c r="DL188" i="4"/>
  <c r="DH188" i="4"/>
  <c r="DF188" i="4"/>
  <c r="DA188" i="4"/>
  <c r="CX188" i="4"/>
  <c r="FJ188" i="4" s="1"/>
  <c r="FY188" i="4" s="1"/>
  <c r="CU188" i="4"/>
  <c r="DE188" i="4" s="1"/>
  <c r="CO188" i="4"/>
  <c r="CV188" i="4" s="1"/>
  <c r="CG188" i="4"/>
  <c r="BS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Y188" i="4"/>
  <c r="Q188" i="4"/>
  <c r="B188" i="4"/>
  <c r="A188" i="4"/>
  <c r="QX187" i="4"/>
  <c r="FY187" i="4"/>
  <c r="FX187" i="4"/>
  <c r="FV187" i="4"/>
  <c r="FS187" i="4"/>
  <c r="FR187" i="4"/>
  <c r="FM187" i="4"/>
  <c r="FL187" i="4"/>
  <c r="FK187" i="4"/>
  <c r="FJ187" i="4"/>
  <c r="FI187" i="4"/>
  <c r="FH187" i="4"/>
  <c r="FG187" i="4"/>
  <c r="FU187" i="4" s="1"/>
  <c r="FE187" i="4"/>
  <c r="FT187" i="4" s="1"/>
  <c r="FD187" i="4"/>
  <c r="FC187" i="4"/>
  <c r="FA187" i="4"/>
  <c r="FP187" i="4" s="1"/>
  <c r="EZ187" i="4"/>
  <c r="FO187" i="4" s="1"/>
  <c r="EY187" i="4"/>
  <c r="EX187" i="4"/>
  <c r="FN187" i="4" s="1"/>
  <c r="EW187" i="4"/>
  <c r="EV187" i="4"/>
  <c r="EU187" i="4"/>
  <c r="EB187" i="4"/>
  <c r="EA187" i="4"/>
  <c r="DX187" i="4"/>
  <c r="DW187" i="4"/>
  <c r="DV187" i="4"/>
  <c r="DZ187" i="4" s="1"/>
  <c r="DU187" i="4"/>
  <c r="DL187" i="4"/>
  <c r="DH187" i="4"/>
  <c r="DG187" i="4"/>
  <c r="DF187" i="4"/>
  <c r="DE187" i="4"/>
  <c r="DA187" i="4"/>
  <c r="CX187" i="4"/>
  <c r="CW187" i="4"/>
  <c r="CV187" i="4"/>
  <c r="DY187" i="4" s="1"/>
  <c r="EC187" i="4" s="1"/>
  <c r="CU187" i="4"/>
  <c r="CO187" i="4"/>
  <c r="FB187" i="4" s="1"/>
  <c r="FQ187" i="4" s="1"/>
  <c r="CK187" i="4"/>
  <c r="CG187" i="4"/>
  <c r="BS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Y187" i="4"/>
  <c r="Q187" i="4"/>
  <c r="B187" i="4"/>
  <c r="A187" i="4"/>
  <c r="QX186" i="4"/>
  <c r="FX186" i="4"/>
  <c r="FV186" i="4"/>
  <c r="FU186" i="4"/>
  <c r="FP186" i="4"/>
  <c r="FO186" i="4"/>
  <c r="FL186" i="4"/>
  <c r="FK186" i="4"/>
  <c r="FJ186" i="4"/>
  <c r="FY186" i="4" s="1"/>
  <c r="FH186" i="4"/>
  <c r="FG186" i="4"/>
  <c r="FE186" i="4"/>
  <c r="FT186" i="4" s="1"/>
  <c r="FD186" i="4"/>
  <c r="FS186" i="4" s="1"/>
  <c r="FC186" i="4"/>
  <c r="FR186" i="4" s="1"/>
  <c r="FA186" i="4"/>
  <c r="EZ186" i="4"/>
  <c r="EY186" i="4"/>
  <c r="EX186" i="4"/>
  <c r="FN186" i="4" s="1"/>
  <c r="EW186" i="4"/>
  <c r="FM186" i="4" s="1"/>
  <c r="EV186" i="4"/>
  <c r="EU186" i="4"/>
  <c r="EB186" i="4"/>
  <c r="EA186" i="4"/>
  <c r="DZ186" i="4"/>
  <c r="DX186" i="4"/>
  <c r="DW186" i="4"/>
  <c r="DV186" i="4"/>
  <c r="DU186" i="4"/>
  <c r="DL186" i="4"/>
  <c r="DH186" i="4"/>
  <c r="DF186" i="4"/>
  <c r="DA186" i="4"/>
  <c r="CX186" i="4"/>
  <c r="CW186" i="4"/>
  <c r="CU186" i="4"/>
  <c r="DE186" i="4" s="1"/>
  <c r="CO186" i="4"/>
  <c r="CV186" i="4" s="1"/>
  <c r="CG186" i="4"/>
  <c r="BS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Y186" i="4"/>
  <c r="Q186" i="4"/>
  <c r="B186" i="4"/>
  <c r="A186" i="4"/>
  <c r="QX185" i="4"/>
  <c r="FX185" i="4"/>
  <c r="FT185" i="4"/>
  <c r="FS185" i="4"/>
  <c r="FO185" i="4"/>
  <c r="FN185" i="4"/>
  <c r="FM185" i="4"/>
  <c r="FI185" i="4"/>
  <c r="FH185" i="4"/>
  <c r="FV185" i="4" s="1"/>
  <c r="FG185" i="4"/>
  <c r="FU185" i="4" s="1"/>
  <c r="FE185" i="4"/>
  <c r="FD185" i="4"/>
  <c r="FC185" i="4"/>
  <c r="FR185" i="4" s="1"/>
  <c r="FA185" i="4"/>
  <c r="FP185" i="4" s="1"/>
  <c r="EZ185" i="4"/>
  <c r="EY185" i="4"/>
  <c r="EX185" i="4"/>
  <c r="EW185" i="4"/>
  <c r="EV185" i="4"/>
  <c r="FL185" i="4" s="1"/>
  <c r="EU185" i="4"/>
  <c r="FK185" i="4" s="1"/>
  <c r="DX185" i="4"/>
  <c r="EB185" i="4" s="1"/>
  <c r="DW185" i="4"/>
  <c r="EA185" i="4" s="1"/>
  <c r="DL185" i="4"/>
  <c r="DH185" i="4"/>
  <c r="DF185" i="4"/>
  <c r="DA185" i="4"/>
  <c r="CX185" i="4"/>
  <c r="FJ185" i="4" s="1"/>
  <c r="FY185" i="4" s="1"/>
  <c r="CU185" i="4"/>
  <c r="DE185" i="4" s="1"/>
  <c r="CO185" i="4"/>
  <c r="CV185" i="4" s="1"/>
  <c r="CG185" i="4"/>
  <c r="BS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Y185" i="4"/>
  <c r="Q185" i="4"/>
  <c r="B185" i="4"/>
  <c r="A185" i="4"/>
  <c r="QX184" i="4"/>
  <c r="FX184" i="4"/>
  <c r="FV184" i="4"/>
  <c r="FS184" i="4"/>
  <c r="FR184" i="4"/>
  <c r="FM184" i="4"/>
  <c r="FL184" i="4"/>
  <c r="FK184" i="4"/>
  <c r="FI184" i="4"/>
  <c r="FH184" i="4"/>
  <c r="FG184" i="4"/>
  <c r="FU184" i="4" s="1"/>
  <c r="FE184" i="4"/>
  <c r="FT184" i="4" s="1"/>
  <c r="FD184" i="4"/>
  <c r="FC184" i="4"/>
  <c r="FA184" i="4"/>
  <c r="FP184" i="4" s="1"/>
  <c r="EZ184" i="4"/>
  <c r="FO184" i="4" s="1"/>
  <c r="EY184" i="4"/>
  <c r="EX184" i="4"/>
  <c r="FN184" i="4" s="1"/>
  <c r="EW184" i="4"/>
  <c r="EV184" i="4"/>
  <c r="EU184" i="4"/>
  <c r="EB184" i="4"/>
  <c r="DX184" i="4"/>
  <c r="DW184" i="4"/>
  <c r="EA184" i="4" s="1"/>
  <c r="DV184" i="4"/>
  <c r="DZ184" i="4" s="1"/>
  <c r="DL184" i="4"/>
  <c r="DH184" i="4"/>
  <c r="DG184" i="4"/>
  <c r="DF184" i="4"/>
  <c r="DE184" i="4"/>
  <c r="DA184" i="4"/>
  <c r="CX184" i="4"/>
  <c r="FJ184" i="4" s="1"/>
  <c r="FY184" i="4" s="1"/>
  <c r="CW184" i="4"/>
  <c r="CV184" i="4"/>
  <c r="DY184" i="4" s="1"/>
  <c r="EC184" i="4" s="1"/>
  <c r="CU184" i="4"/>
  <c r="CO184" i="4"/>
  <c r="FB184" i="4" s="1"/>
  <c r="FQ184" i="4" s="1"/>
  <c r="BS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Y184" i="4"/>
  <c r="Q184" i="4"/>
  <c r="B184" i="4"/>
  <c r="A184" i="4"/>
  <c r="QX183" i="4"/>
  <c r="FX183" i="4"/>
  <c r="FU183" i="4"/>
  <c r="FT183" i="4"/>
  <c r="FP183" i="4"/>
  <c r="FO183" i="4"/>
  <c r="FN183" i="4"/>
  <c r="FJ183" i="4"/>
  <c r="FY183" i="4" s="1"/>
  <c r="FI183" i="4"/>
  <c r="FH183" i="4"/>
  <c r="FV183" i="4" s="1"/>
  <c r="FG183" i="4"/>
  <c r="FE183" i="4"/>
  <c r="FD183" i="4"/>
  <c r="FS183" i="4" s="1"/>
  <c r="FC183" i="4"/>
  <c r="FR183" i="4" s="1"/>
  <c r="FA183" i="4"/>
  <c r="EZ183" i="4"/>
  <c r="EY183" i="4"/>
  <c r="EX183" i="4"/>
  <c r="EW183" i="4"/>
  <c r="FM183" i="4" s="1"/>
  <c r="EV183" i="4"/>
  <c r="FL183" i="4" s="1"/>
  <c r="EU183" i="4"/>
  <c r="FK183" i="4" s="1"/>
  <c r="EA183" i="4"/>
  <c r="DX183" i="4"/>
  <c r="EB183" i="4" s="1"/>
  <c r="DW183" i="4"/>
  <c r="DV183" i="4" s="1"/>
  <c r="DZ183" i="4" s="1"/>
  <c r="DU183" i="4"/>
  <c r="DL183" i="4"/>
  <c r="DH183" i="4"/>
  <c r="DF183" i="4"/>
  <c r="DA183" i="4"/>
  <c r="CX183" i="4"/>
  <c r="CU183" i="4"/>
  <c r="DE183" i="4" s="1"/>
  <c r="CO183" i="4"/>
  <c r="CW183" i="4" s="1"/>
  <c r="CG183" i="4"/>
  <c r="BS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Y183" i="4"/>
  <c r="Q183" i="4"/>
  <c r="B183" i="4"/>
  <c r="A183" i="4"/>
  <c r="QX182" i="4"/>
  <c r="FX182" i="4"/>
  <c r="FT182" i="4"/>
  <c r="FS182" i="4"/>
  <c r="FR182" i="4"/>
  <c r="FN182" i="4"/>
  <c r="FM182" i="4"/>
  <c r="FL182" i="4"/>
  <c r="FI182" i="4"/>
  <c r="FH182" i="4"/>
  <c r="FV182" i="4" s="1"/>
  <c r="FG182" i="4"/>
  <c r="FU182" i="4" s="1"/>
  <c r="FE182" i="4"/>
  <c r="FD182" i="4"/>
  <c r="FC182" i="4"/>
  <c r="FA182" i="4"/>
  <c r="FP182" i="4" s="1"/>
  <c r="EZ182" i="4"/>
  <c r="FO182" i="4" s="1"/>
  <c r="EY182" i="4"/>
  <c r="EX182" i="4"/>
  <c r="EW182" i="4"/>
  <c r="EV182" i="4"/>
  <c r="EU182" i="4"/>
  <c r="FK182" i="4" s="1"/>
  <c r="DX182" i="4"/>
  <c r="EB182" i="4" s="1"/>
  <c r="DW182" i="4"/>
  <c r="DV182" i="4" s="1"/>
  <c r="DZ182" i="4" s="1"/>
  <c r="DL182" i="4"/>
  <c r="DH182" i="4"/>
  <c r="DF182" i="4"/>
  <c r="DE182" i="4"/>
  <c r="DA182" i="4"/>
  <c r="CX182" i="4"/>
  <c r="FJ182" i="4" s="1"/>
  <c r="FY182" i="4" s="1"/>
  <c r="CU182" i="4"/>
  <c r="CO182" i="4"/>
  <c r="FB182" i="4" s="1"/>
  <c r="FQ182" i="4" s="1"/>
  <c r="CG182" i="4"/>
  <c r="BS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Y182" i="4"/>
  <c r="Q182" i="4"/>
  <c r="B182" i="4"/>
  <c r="A182" i="4"/>
  <c r="QX181" i="4"/>
  <c r="FX181" i="4"/>
  <c r="FV181" i="4"/>
  <c r="FU181" i="4"/>
  <c r="FR181" i="4"/>
  <c r="FP181" i="4"/>
  <c r="FL181" i="4"/>
  <c r="FK181" i="4"/>
  <c r="FJ181" i="4"/>
  <c r="FY181" i="4" s="1"/>
  <c r="FI181" i="4"/>
  <c r="FH181" i="4"/>
  <c r="FG181" i="4"/>
  <c r="FE181" i="4"/>
  <c r="FT181" i="4" s="1"/>
  <c r="FD181" i="4"/>
  <c r="FS181" i="4" s="1"/>
  <c r="FC181" i="4"/>
  <c r="FA181" i="4"/>
  <c r="EZ181" i="4"/>
  <c r="FO181" i="4" s="1"/>
  <c r="EY181" i="4"/>
  <c r="EX181" i="4"/>
  <c r="FN181" i="4" s="1"/>
  <c r="EW181" i="4"/>
  <c r="FM181" i="4" s="1"/>
  <c r="EV181" i="4"/>
  <c r="EU181" i="4"/>
  <c r="EB181" i="4"/>
  <c r="EA181" i="4"/>
  <c r="DX181" i="4"/>
  <c r="DW181" i="4"/>
  <c r="DV181" i="4" s="1"/>
  <c r="DZ181" i="4" s="1"/>
  <c r="DU181" i="4"/>
  <c r="DL181" i="4"/>
  <c r="DH181" i="4"/>
  <c r="DF181" i="4"/>
  <c r="DA181" i="4"/>
  <c r="CX181" i="4"/>
  <c r="CW181" i="4"/>
  <c r="CV181" i="4"/>
  <c r="DG181" i="4" s="1"/>
  <c r="CU181" i="4"/>
  <c r="DE181" i="4" s="1"/>
  <c r="CO181" i="4"/>
  <c r="FB181" i="4" s="1"/>
  <c r="FQ181" i="4" s="1"/>
  <c r="CG181" i="4"/>
  <c r="BS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Y181" i="4"/>
  <c r="Q181" i="4"/>
  <c r="B181" i="4"/>
  <c r="A181" i="4"/>
  <c r="QX180" i="4"/>
  <c r="FX180" i="4"/>
  <c r="FU180" i="4"/>
  <c r="FT180" i="4"/>
  <c r="FP180" i="4"/>
  <c r="FO180" i="4"/>
  <c r="FN180" i="4"/>
  <c r="FJ180" i="4"/>
  <c r="FY180" i="4" s="1"/>
  <c r="FI180" i="4"/>
  <c r="FH180" i="4"/>
  <c r="FV180" i="4" s="1"/>
  <c r="FG180" i="4"/>
  <c r="FE180" i="4"/>
  <c r="FD180" i="4"/>
  <c r="FS180" i="4" s="1"/>
  <c r="FC180" i="4"/>
  <c r="FR180" i="4" s="1"/>
  <c r="FB180" i="4"/>
  <c r="FQ180" i="4" s="1"/>
  <c r="FA180" i="4"/>
  <c r="EZ180" i="4"/>
  <c r="EY180" i="4"/>
  <c r="EX180" i="4"/>
  <c r="EW180" i="4"/>
  <c r="FM180" i="4" s="1"/>
  <c r="EV180" i="4"/>
  <c r="FL180" i="4" s="1"/>
  <c r="EU180" i="4"/>
  <c r="FK180" i="4" s="1"/>
  <c r="EA180" i="4"/>
  <c r="DX180" i="4"/>
  <c r="EB180" i="4" s="1"/>
  <c r="DW180" i="4"/>
  <c r="DV180" i="4" s="1"/>
  <c r="DU180" i="4"/>
  <c r="DL180" i="4"/>
  <c r="DH180" i="4"/>
  <c r="DF180" i="4"/>
  <c r="DB180" i="4"/>
  <c r="DA180" i="4"/>
  <c r="CX180" i="4"/>
  <c r="CW180" i="4"/>
  <c r="CV180" i="4"/>
  <c r="DG180" i="4" s="1"/>
  <c r="CU180" i="4"/>
  <c r="CO180" i="4"/>
  <c r="CG180" i="4"/>
  <c r="BS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Y180" i="4"/>
  <c r="Q180" i="4"/>
  <c r="B180" i="4"/>
  <c r="A180" i="4"/>
  <c r="QX179" i="4"/>
  <c r="FX179" i="4"/>
  <c r="FU179" i="4"/>
  <c r="FT179" i="4"/>
  <c r="FO179" i="4"/>
  <c r="FK179" i="4"/>
  <c r="FJ179" i="4"/>
  <c r="FY179" i="4" s="1"/>
  <c r="FH179" i="4"/>
  <c r="FV179" i="4" s="1"/>
  <c r="FG179" i="4"/>
  <c r="FE179" i="4"/>
  <c r="FD179" i="4"/>
  <c r="FS179" i="4" s="1"/>
  <c r="FC179" i="4"/>
  <c r="FR179" i="4" s="1"/>
  <c r="FA179" i="4"/>
  <c r="FP179" i="4" s="1"/>
  <c r="EZ179" i="4"/>
  <c r="EY179" i="4"/>
  <c r="EX179" i="4"/>
  <c r="FN179" i="4" s="1"/>
  <c r="EW179" i="4"/>
  <c r="FM179" i="4" s="1"/>
  <c r="EV179" i="4"/>
  <c r="FL179" i="4" s="1"/>
  <c r="EU179" i="4"/>
  <c r="EA179" i="4"/>
  <c r="DX179" i="4"/>
  <c r="EB179" i="4" s="1"/>
  <c r="DW179" i="4"/>
  <c r="DV179" i="4" s="1"/>
  <c r="DZ179" i="4" s="1"/>
  <c r="DU179" i="4"/>
  <c r="DL179" i="4"/>
  <c r="DH179" i="4"/>
  <c r="DF179" i="4"/>
  <c r="DA179" i="4"/>
  <c r="CX179" i="4"/>
  <c r="CU179" i="4"/>
  <c r="DE179" i="4" s="1"/>
  <c r="CO179" i="4"/>
  <c r="CW179" i="4" s="1"/>
  <c r="CG179" i="4"/>
  <c r="BS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Y179" i="4"/>
  <c r="Q179" i="4"/>
  <c r="B179" i="4"/>
  <c r="A179" i="4"/>
  <c r="QX178" i="4"/>
  <c r="FX178" i="4"/>
  <c r="FT178" i="4"/>
  <c r="FS178" i="4"/>
  <c r="FR178" i="4"/>
  <c r="FN178" i="4"/>
  <c r="FM178" i="4"/>
  <c r="FL178" i="4"/>
  <c r="FI178" i="4"/>
  <c r="FH178" i="4"/>
  <c r="FV178" i="4" s="1"/>
  <c r="FG178" i="4"/>
  <c r="FU178" i="4" s="1"/>
  <c r="FE178" i="4"/>
  <c r="FD178" i="4"/>
  <c r="FC178" i="4"/>
  <c r="FA178" i="4"/>
  <c r="FP178" i="4" s="1"/>
  <c r="EZ178" i="4"/>
  <c r="FO178" i="4" s="1"/>
  <c r="EY178" i="4"/>
  <c r="EX178" i="4"/>
  <c r="EW178" i="4"/>
  <c r="EV178" i="4"/>
  <c r="EU178" i="4"/>
  <c r="FK178" i="4" s="1"/>
  <c r="DX178" i="4"/>
  <c r="EB178" i="4" s="1"/>
  <c r="DW178" i="4"/>
  <c r="DV178" i="4" s="1"/>
  <c r="DZ178" i="4" s="1"/>
  <c r="DL178" i="4"/>
  <c r="DH178" i="4"/>
  <c r="DF178" i="4"/>
  <c r="DE178" i="4"/>
  <c r="DA178" i="4"/>
  <c r="CX178" i="4"/>
  <c r="FJ178" i="4" s="1"/>
  <c r="FY178" i="4" s="1"/>
  <c r="CU178" i="4"/>
  <c r="CO178" i="4"/>
  <c r="FB178" i="4" s="1"/>
  <c r="FQ178" i="4" s="1"/>
  <c r="CG178" i="4"/>
  <c r="BS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Y178" i="4"/>
  <c r="Q178" i="4"/>
  <c r="B178" i="4"/>
  <c r="A178" i="4"/>
  <c r="QX177" i="4"/>
  <c r="FX177" i="4"/>
  <c r="FV177" i="4"/>
  <c r="FU177" i="4"/>
  <c r="FR177" i="4"/>
  <c r="FP177" i="4"/>
  <c r="FL177" i="4"/>
  <c r="FK177" i="4"/>
  <c r="FJ177" i="4"/>
  <c r="FY177" i="4" s="1"/>
  <c r="FI177" i="4"/>
  <c r="FH177" i="4"/>
  <c r="FG177" i="4"/>
  <c r="FE177" i="4"/>
  <c r="FT177" i="4" s="1"/>
  <c r="FD177" i="4"/>
  <c r="FS177" i="4" s="1"/>
  <c r="FC177" i="4"/>
  <c r="FA177" i="4"/>
  <c r="EZ177" i="4"/>
  <c r="FO177" i="4" s="1"/>
  <c r="EY177" i="4"/>
  <c r="EX177" i="4"/>
  <c r="FN177" i="4" s="1"/>
  <c r="EW177" i="4"/>
  <c r="FM177" i="4" s="1"/>
  <c r="EV177" i="4"/>
  <c r="EU177" i="4"/>
  <c r="EB177" i="4"/>
  <c r="EA177" i="4"/>
  <c r="DX177" i="4"/>
  <c r="DW177" i="4"/>
  <c r="DV177" i="4" s="1"/>
  <c r="DZ177" i="4" s="1"/>
  <c r="DU177" i="4"/>
  <c r="DL177" i="4"/>
  <c r="DH177" i="4"/>
  <c r="DF177" i="4"/>
  <c r="DA177" i="4"/>
  <c r="CX177" i="4"/>
  <c r="CW177" i="4"/>
  <c r="CV177" i="4"/>
  <c r="DG177" i="4" s="1"/>
  <c r="CU177" i="4"/>
  <c r="DE177" i="4" s="1"/>
  <c r="CO177" i="4"/>
  <c r="FB177" i="4" s="1"/>
  <c r="FQ177" i="4" s="1"/>
  <c r="CN177" i="4"/>
  <c r="CK177" i="4"/>
  <c r="CJ177" i="4"/>
  <c r="CG177" i="4"/>
  <c r="BS177" i="4"/>
  <c r="BP177" i="4"/>
  <c r="BO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Y177" i="4"/>
  <c r="Q177" i="4"/>
  <c r="B177" i="4"/>
  <c r="A177" i="4"/>
  <c r="QX176" i="4"/>
  <c r="FX176" i="4"/>
  <c r="FV176" i="4"/>
  <c r="FU176" i="4"/>
  <c r="FR176" i="4"/>
  <c r="FP176" i="4"/>
  <c r="FL176" i="4"/>
  <c r="FK176" i="4"/>
  <c r="FJ176" i="4"/>
  <c r="FY176" i="4" s="1"/>
  <c r="FI176" i="4"/>
  <c r="FH176" i="4"/>
  <c r="FG176" i="4"/>
  <c r="FE176" i="4"/>
  <c r="FT176" i="4" s="1"/>
  <c r="FD176" i="4"/>
  <c r="FS176" i="4" s="1"/>
  <c r="FC176" i="4"/>
  <c r="FA176" i="4"/>
  <c r="EZ176" i="4"/>
  <c r="FO176" i="4" s="1"/>
  <c r="EY176" i="4"/>
  <c r="EX176" i="4"/>
  <c r="FN176" i="4" s="1"/>
  <c r="EW176" i="4"/>
  <c r="FM176" i="4" s="1"/>
  <c r="EV176" i="4"/>
  <c r="EU176" i="4"/>
  <c r="EB176" i="4"/>
  <c r="EA176" i="4"/>
  <c r="DX176" i="4"/>
  <c r="DW176" i="4"/>
  <c r="DV176" i="4" s="1"/>
  <c r="DZ176" i="4" s="1"/>
  <c r="DU176" i="4"/>
  <c r="DL176" i="4"/>
  <c r="DH176" i="4"/>
  <c r="DF176" i="4"/>
  <c r="DA176" i="4"/>
  <c r="CX176" i="4"/>
  <c r="CW176" i="4"/>
  <c r="CV176" i="4"/>
  <c r="DG176" i="4" s="1"/>
  <c r="CU176" i="4"/>
  <c r="DE176" i="4" s="1"/>
  <c r="CO176" i="4"/>
  <c r="FB176" i="4" s="1"/>
  <c r="FQ176" i="4" s="1"/>
  <c r="CG176" i="4"/>
  <c r="BS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Y176" i="4"/>
  <c r="Q176" i="4"/>
  <c r="B176" i="4"/>
  <c r="A176" i="4"/>
  <c r="QX175" i="4"/>
  <c r="FU175" i="4"/>
  <c r="FT175" i="4"/>
  <c r="FP175" i="4"/>
  <c r="FO175" i="4"/>
  <c r="FN175" i="4"/>
  <c r="FJ175" i="4"/>
  <c r="FY175" i="4" s="1"/>
  <c r="FI175" i="4"/>
  <c r="FX175" i="4" s="1"/>
  <c r="FH175" i="4"/>
  <c r="FV175" i="4" s="1"/>
  <c r="FG175" i="4"/>
  <c r="FE175" i="4"/>
  <c r="FD175" i="4"/>
  <c r="FS175" i="4" s="1"/>
  <c r="FC175" i="4"/>
  <c r="FR175" i="4" s="1"/>
  <c r="FA175" i="4"/>
  <c r="EZ175" i="4"/>
  <c r="EY175" i="4"/>
  <c r="EX175" i="4"/>
  <c r="EW175" i="4"/>
  <c r="FM175" i="4" s="1"/>
  <c r="EV175" i="4"/>
  <c r="FL175" i="4" s="1"/>
  <c r="EU175" i="4"/>
  <c r="FK175" i="4" s="1"/>
  <c r="EA175" i="4"/>
  <c r="DX175" i="4"/>
  <c r="EB175" i="4" s="1"/>
  <c r="DW175" i="4"/>
  <c r="DV175" i="4" s="1"/>
  <c r="DZ175" i="4" s="1"/>
  <c r="DU175" i="4"/>
  <c r="DL175" i="4"/>
  <c r="DH175" i="4"/>
  <c r="DF175" i="4"/>
  <c r="DA175" i="4"/>
  <c r="CX175" i="4"/>
  <c r="CW175" i="4"/>
  <c r="CU175" i="4"/>
  <c r="DE175" i="4" s="1"/>
  <c r="CO175" i="4"/>
  <c r="CV175" i="4" s="1"/>
  <c r="BS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Y175" i="4"/>
  <c r="Q175" i="4"/>
  <c r="B175" i="4"/>
  <c r="A175" i="4"/>
  <c r="QX174" i="4"/>
  <c r="FX174" i="4"/>
  <c r="FW174" i="4"/>
  <c r="FV174" i="4"/>
  <c r="FS174" i="4"/>
  <c r="FR174" i="4"/>
  <c r="FM174" i="4"/>
  <c r="FL174" i="4"/>
  <c r="FK174" i="4"/>
  <c r="FI174" i="4"/>
  <c r="FH174" i="4"/>
  <c r="FG174" i="4"/>
  <c r="FU174" i="4" s="1"/>
  <c r="FF174" i="4"/>
  <c r="FE174" i="4"/>
  <c r="FT174" i="4" s="1"/>
  <c r="FD174" i="4"/>
  <c r="FC174" i="4"/>
  <c r="FA174" i="4"/>
  <c r="FP174" i="4" s="1"/>
  <c r="EZ174" i="4"/>
  <c r="FO174" i="4" s="1"/>
  <c r="EY174" i="4"/>
  <c r="EX174" i="4"/>
  <c r="FN174" i="4" s="1"/>
  <c r="EW174" i="4"/>
  <c r="EV174" i="4"/>
  <c r="EU174" i="4"/>
  <c r="EB174" i="4"/>
  <c r="DX174" i="4"/>
  <c r="DW174" i="4"/>
  <c r="EA174" i="4" s="1"/>
  <c r="DV174" i="4"/>
  <c r="DZ174" i="4" s="1"/>
  <c r="DL174" i="4"/>
  <c r="DH174" i="4"/>
  <c r="DG174" i="4"/>
  <c r="DF174" i="4"/>
  <c r="DE174" i="4"/>
  <c r="DA174" i="4"/>
  <c r="CX174" i="4"/>
  <c r="FJ174" i="4" s="1"/>
  <c r="FY174" i="4" s="1"/>
  <c r="CW174" i="4"/>
  <c r="CV174" i="4"/>
  <c r="DY174" i="4" s="1"/>
  <c r="EC174" i="4" s="1"/>
  <c r="CU174" i="4"/>
  <c r="CO174" i="4"/>
  <c r="FB174" i="4" s="1"/>
  <c r="FQ174" i="4" s="1"/>
  <c r="CG174" i="4"/>
  <c r="BS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Y174" i="4"/>
  <c r="Q174" i="4"/>
  <c r="B174" i="4"/>
  <c r="A174" i="4"/>
  <c r="QX173" i="4"/>
  <c r="FV173" i="4"/>
  <c r="FU173" i="4"/>
  <c r="FP173" i="4"/>
  <c r="FO173" i="4"/>
  <c r="FK173" i="4"/>
  <c r="FJ173" i="4"/>
  <c r="FY173" i="4" s="1"/>
  <c r="FI173" i="4"/>
  <c r="FX173" i="4" s="1"/>
  <c r="FH173" i="4"/>
  <c r="FG173" i="4"/>
  <c r="FE173" i="4"/>
  <c r="FT173" i="4" s="1"/>
  <c r="FD173" i="4"/>
  <c r="FS173" i="4" s="1"/>
  <c r="FC173" i="4"/>
  <c r="FR173" i="4" s="1"/>
  <c r="FA173" i="4"/>
  <c r="EZ173" i="4"/>
  <c r="EY173" i="4"/>
  <c r="EX173" i="4"/>
  <c r="FN173" i="4" s="1"/>
  <c r="EW173" i="4"/>
  <c r="FM173" i="4" s="1"/>
  <c r="EV173" i="4"/>
  <c r="FL173" i="4" s="1"/>
  <c r="EU173" i="4"/>
  <c r="EB173" i="4"/>
  <c r="EA173" i="4"/>
  <c r="DZ173" i="4"/>
  <c r="DX173" i="4"/>
  <c r="DW173" i="4"/>
  <c r="DV173" i="4"/>
  <c r="DU173" i="4"/>
  <c r="DL173" i="4"/>
  <c r="DH173" i="4"/>
  <c r="DF173" i="4"/>
  <c r="DA173" i="4"/>
  <c r="CX173" i="4"/>
  <c r="CW173" i="4"/>
  <c r="CV173" i="4"/>
  <c r="FF173" i="4" s="1"/>
  <c r="FW173" i="4" s="1"/>
  <c r="CU173" i="4"/>
  <c r="DE173" i="4" s="1"/>
  <c r="CO173" i="4"/>
  <c r="FB173" i="4" s="1"/>
  <c r="FQ173" i="4" s="1"/>
  <c r="BS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Y173" i="4"/>
  <c r="Q173" i="4"/>
  <c r="B173" i="4"/>
  <c r="A173" i="4"/>
  <c r="QX172" i="4"/>
  <c r="FX172" i="4"/>
  <c r="FT172" i="4"/>
  <c r="FS172" i="4"/>
  <c r="FR172" i="4"/>
  <c r="FN172" i="4"/>
  <c r="FM172" i="4"/>
  <c r="FL172" i="4"/>
  <c r="FI172" i="4"/>
  <c r="FH172" i="4"/>
  <c r="FV172" i="4" s="1"/>
  <c r="FG172" i="4"/>
  <c r="FU172" i="4" s="1"/>
  <c r="FE172" i="4"/>
  <c r="FD172" i="4"/>
  <c r="FC172" i="4"/>
  <c r="FA172" i="4"/>
  <c r="FP172" i="4" s="1"/>
  <c r="EZ172" i="4"/>
  <c r="FO172" i="4" s="1"/>
  <c r="EY172" i="4"/>
  <c r="EX172" i="4"/>
  <c r="EW172" i="4"/>
  <c r="EV172" i="4"/>
  <c r="EU172" i="4"/>
  <c r="FK172" i="4" s="1"/>
  <c r="DX172" i="4"/>
  <c r="EB172" i="4" s="1"/>
  <c r="DW172" i="4"/>
  <c r="DV172" i="4" s="1"/>
  <c r="DZ172" i="4" s="1"/>
  <c r="DL172" i="4"/>
  <c r="DH172" i="4"/>
  <c r="DF172" i="4"/>
  <c r="DE172" i="4"/>
  <c r="DA172" i="4"/>
  <c r="CX172" i="4"/>
  <c r="FJ172" i="4" s="1"/>
  <c r="FY172" i="4" s="1"/>
  <c r="CW172" i="4"/>
  <c r="CU172" i="4"/>
  <c r="CO172" i="4"/>
  <c r="FB172" i="4" s="1"/>
  <c r="FQ172" i="4" s="1"/>
  <c r="CG172" i="4"/>
  <c r="BS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Y172" i="4"/>
  <c r="Q172" i="4"/>
  <c r="B172" i="4"/>
  <c r="A172" i="4"/>
  <c r="QX171" i="4"/>
  <c r="FX171" i="4"/>
  <c r="FV171" i="4"/>
  <c r="FU171" i="4"/>
  <c r="FR171" i="4"/>
  <c r="FP171" i="4"/>
  <c r="FL171" i="4"/>
  <c r="FK171" i="4"/>
  <c r="FJ171" i="4"/>
  <c r="FY171" i="4" s="1"/>
  <c r="FI171" i="4"/>
  <c r="FH171" i="4"/>
  <c r="FG171" i="4"/>
  <c r="FE171" i="4"/>
  <c r="FT171" i="4" s="1"/>
  <c r="FD171" i="4"/>
  <c r="FS171" i="4" s="1"/>
  <c r="FC171" i="4"/>
  <c r="FA171" i="4"/>
  <c r="EZ171" i="4"/>
  <c r="FO171" i="4" s="1"/>
  <c r="EY171" i="4"/>
  <c r="EX171" i="4"/>
  <c r="FN171" i="4" s="1"/>
  <c r="EW171" i="4"/>
  <c r="FM171" i="4" s="1"/>
  <c r="EV171" i="4"/>
  <c r="EU171" i="4"/>
  <c r="EB171" i="4"/>
  <c r="EA171" i="4"/>
  <c r="DX171" i="4"/>
  <c r="DW171" i="4"/>
  <c r="DV171" i="4" s="1"/>
  <c r="DZ171" i="4" s="1"/>
  <c r="DU171" i="4"/>
  <c r="DL171" i="4"/>
  <c r="DH171" i="4"/>
  <c r="DF171" i="4"/>
  <c r="DE171" i="4"/>
  <c r="DA171" i="4"/>
  <c r="CX171" i="4"/>
  <c r="CW171" i="4"/>
  <c r="CV171" i="4"/>
  <c r="DG171" i="4" s="1"/>
  <c r="CU171" i="4"/>
  <c r="CO171" i="4"/>
  <c r="FB171" i="4" s="1"/>
  <c r="FQ171" i="4" s="1"/>
  <c r="CG171" i="4"/>
  <c r="BS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Y171" i="4"/>
  <c r="Q171" i="4"/>
  <c r="B171" i="4"/>
  <c r="A171" i="4"/>
  <c r="QX170" i="4"/>
  <c r="FU170" i="4"/>
  <c r="FP170" i="4"/>
  <c r="FO170" i="4"/>
  <c r="FN170" i="4"/>
  <c r="FJ170" i="4"/>
  <c r="FY170" i="4" s="1"/>
  <c r="FI170" i="4"/>
  <c r="FX170" i="4" s="1"/>
  <c r="FH170" i="4"/>
  <c r="FV170" i="4" s="1"/>
  <c r="FG170" i="4"/>
  <c r="FD170" i="4"/>
  <c r="FS170" i="4" s="1"/>
  <c r="FC170" i="4"/>
  <c r="FR170" i="4" s="1"/>
  <c r="FB170" i="4"/>
  <c r="FQ170" i="4" s="1"/>
  <c r="FA170" i="4"/>
  <c r="EZ170" i="4"/>
  <c r="EY170" i="4"/>
  <c r="EX170" i="4"/>
  <c r="EW170" i="4"/>
  <c r="FM170" i="4" s="1"/>
  <c r="EV170" i="4"/>
  <c r="FL170" i="4" s="1"/>
  <c r="EU170" i="4"/>
  <c r="FK170" i="4" s="1"/>
  <c r="EA170" i="4"/>
  <c r="DX170" i="4"/>
  <c r="EB170" i="4" s="1"/>
  <c r="DW170" i="4"/>
  <c r="DV170" i="4" s="1"/>
  <c r="DZ170" i="4" s="1"/>
  <c r="DU170" i="4"/>
  <c r="DL170" i="4"/>
  <c r="DH170" i="4"/>
  <c r="DF170" i="4"/>
  <c r="DA170" i="4"/>
  <c r="CX170" i="4"/>
  <c r="CW170" i="4"/>
  <c r="CR170" i="4"/>
  <c r="FE170" i="4" s="1"/>
  <c r="FT170" i="4" s="1"/>
  <c r="CO170" i="4"/>
  <c r="CG170" i="4"/>
  <c r="BS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Y170" i="4"/>
  <c r="Q170" i="4"/>
  <c r="B170" i="4"/>
  <c r="A170" i="4"/>
  <c r="QX169" i="4"/>
  <c r="FT169" i="4"/>
  <c r="FS169" i="4"/>
  <c r="FO169" i="4"/>
  <c r="FN169" i="4"/>
  <c r="FM169" i="4"/>
  <c r="FI169" i="4"/>
  <c r="FX169" i="4" s="1"/>
  <c r="FH169" i="4"/>
  <c r="FV169" i="4" s="1"/>
  <c r="FG169" i="4"/>
  <c r="FU169" i="4" s="1"/>
  <c r="FE169" i="4"/>
  <c r="FD169" i="4"/>
  <c r="FC169" i="4"/>
  <c r="FR169" i="4" s="1"/>
  <c r="FA169" i="4"/>
  <c r="FP169" i="4" s="1"/>
  <c r="EZ169" i="4"/>
  <c r="EY169" i="4"/>
  <c r="EX169" i="4"/>
  <c r="EW169" i="4"/>
  <c r="EV169" i="4"/>
  <c r="FL169" i="4" s="1"/>
  <c r="EU169" i="4"/>
  <c r="FK169" i="4" s="1"/>
  <c r="DX169" i="4"/>
  <c r="EB169" i="4" s="1"/>
  <c r="DW169" i="4"/>
  <c r="EA169" i="4" s="1"/>
  <c r="DL169" i="4"/>
  <c r="DH169" i="4"/>
  <c r="DF169" i="4"/>
  <c r="DA169" i="4"/>
  <c r="CX169" i="4"/>
  <c r="FJ169" i="4" s="1"/>
  <c r="FY169" i="4" s="1"/>
  <c r="CW169" i="4"/>
  <c r="CU169" i="4"/>
  <c r="DE169" i="4" s="1"/>
  <c r="CO169" i="4"/>
  <c r="CV169" i="4" s="1"/>
  <c r="CG169" i="4"/>
  <c r="BS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Y169" i="4"/>
  <c r="Q169" i="4"/>
  <c r="B169" i="4"/>
  <c r="A169" i="4"/>
  <c r="QX168" i="4"/>
  <c r="FX168" i="4"/>
  <c r="FW168" i="4"/>
  <c r="FV168" i="4"/>
  <c r="FS168" i="4"/>
  <c r="FR168" i="4"/>
  <c r="FM168" i="4"/>
  <c r="FL168" i="4"/>
  <c r="FK168" i="4"/>
  <c r="FI168" i="4"/>
  <c r="FH168" i="4"/>
  <c r="FG168" i="4"/>
  <c r="FU168" i="4" s="1"/>
  <c r="FF168" i="4"/>
  <c r="FE168" i="4"/>
  <c r="FT168" i="4" s="1"/>
  <c r="FD168" i="4"/>
  <c r="FC168" i="4"/>
  <c r="FA168" i="4"/>
  <c r="FP168" i="4" s="1"/>
  <c r="EZ168" i="4"/>
  <c r="FO168" i="4" s="1"/>
  <c r="EY168" i="4"/>
  <c r="EX168" i="4"/>
  <c r="FN168" i="4" s="1"/>
  <c r="EW168" i="4"/>
  <c r="EV168" i="4"/>
  <c r="EU168" i="4"/>
  <c r="EB168" i="4"/>
  <c r="DX168" i="4"/>
  <c r="DW168" i="4"/>
  <c r="EA168" i="4" s="1"/>
  <c r="DV168" i="4"/>
  <c r="DZ168" i="4" s="1"/>
  <c r="DL168" i="4"/>
  <c r="DH168" i="4"/>
  <c r="DG168" i="4"/>
  <c r="DF168" i="4"/>
  <c r="DE168" i="4"/>
  <c r="DA168" i="4"/>
  <c r="CX168" i="4"/>
  <c r="FJ168" i="4" s="1"/>
  <c r="FY168" i="4" s="1"/>
  <c r="CW168" i="4"/>
  <c r="CV168" i="4"/>
  <c r="DY168" i="4" s="1"/>
  <c r="EC168" i="4" s="1"/>
  <c r="CU168" i="4"/>
  <c r="CO168" i="4"/>
  <c r="FB168" i="4" s="1"/>
  <c r="FQ168" i="4" s="1"/>
  <c r="CG168" i="4"/>
  <c r="BS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Y168" i="4"/>
  <c r="Q168" i="4"/>
  <c r="B168" i="4"/>
  <c r="A168" i="4"/>
  <c r="QX167" i="4"/>
  <c r="FV167" i="4"/>
  <c r="FU167" i="4"/>
  <c r="FP167" i="4"/>
  <c r="FO167" i="4"/>
  <c r="FK167" i="4"/>
  <c r="FJ167" i="4"/>
  <c r="FY167" i="4" s="1"/>
  <c r="FI167" i="4"/>
  <c r="FX167" i="4" s="1"/>
  <c r="FH167" i="4"/>
  <c r="FG167" i="4"/>
  <c r="FE167" i="4"/>
  <c r="FT167" i="4" s="1"/>
  <c r="FD167" i="4"/>
  <c r="FS167" i="4" s="1"/>
  <c r="FC167" i="4"/>
  <c r="FR167" i="4" s="1"/>
  <c r="FA167" i="4"/>
  <c r="EZ167" i="4"/>
  <c r="EY167" i="4"/>
  <c r="EX167" i="4"/>
  <c r="FN167" i="4" s="1"/>
  <c r="EW167" i="4"/>
  <c r="FM167" i="4" s="1"/>
  <c r="EV167" i="4"/>
  <c r="FL167" i="4" s="1"/>
  <c r="EU167" i="4"/>
  <c r="EB167" i="4"/>
  <c r="EA167" i="4"/>
  <c r="DZ167" i="4"/>
  <c r="DX167" i="4"/>
  <c r="DW167" i="4"/>
  <c r="DV167" i="4"/>
  <c r="DU167" i="4"/>
  <c r="DL167" i="4"/>
  <c r="DH167" i="4"/>
  <c r="DF167" i="4"/>
  <c r="DA167" i="4"/>
  <c r="CX167" i="4"/>
  <c r="CW167" i="4"/>
  <c r="CV167" i="4"/>
  <c r="FF167" i="4" s="1"/>
  <c r="FW167" i="4" s="1"/>
  <c r="CU167" i="4"/>
  <c r="DE167" i="4" s="1"/>
  <c r="CO167" i="4"/>
  <c r="FB167" i="4" s="1"/>
  <c r="FQ167" i="4" s="1"/>
  <c r="CG167" i="4"/>
  <c r="BS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Y167" i="4"/>
  <c r="Q167" i="4"/>
  <c r="B167" i="4"/>
  <c r="A167" i="4"/>
  <c r="QX166" i="4"/>
  <c r="FS166" i="4"/>
  <c r="FO166" i="4"/>
  <c r="FN166" i="4"/>
  <c r="FM166" i="4"/>
  <c r="FI166" i="4"/>
  <c r="FX166" i="4" s="1"/>
  <c r="FG166" i="4"/>
  <c r="FU166" i="4" s="1"/>
  <c r="FD166" i="4"/>
  <c r="FC166" i="4"/>
  <c r="FR166" i="4" s="1"/>
  <c r="FA166" i="4"/>
  <c r="FP166" i="4" s="1"/>
  <c r="EZ166" i="4"/>
  <c r="EY166" i="4"/>
  <c r="EX166" i="4"/>
  <c r="EW166" i="4"/>
  <c r="EV166" i="4"/>
  <c r="FL166" i="4" s="1"/>
  <c r="EU166" i="4"/>
  <c r="FK166" i="4" s="1"/>
  <c r="DX166" i="4"/>
  <c r="EB166" i="4" s="1"/>
  <c r="DL166" i="4"/>
  <c r="DH166" i="4"/>
  <c r="DA166" i="4"/>
  <c r="CS166" i="4"/>
  <c r="FH166" i="4" s="1"/>
  <c r="FV166" i="4" s="1"/>
  <c r="CR166" i="4"/>
  <c r="CP166" i="4"/>
  <c r="DW166" i="4" s="1"/>
  <c r="CK166" i="4"/>
  <c r="CG166" i="4"/>
  <c r="BS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Y166" i="4"/>
  <c r="Q166" i="4"/>
  <c r="B166" i="4"/>
  <c r="A166" i="4"/>
  <c r="MF165" i="4"/>
  <c r="FW165" i="4"/>
  <c r="FV165" i="4"/>
  <c r="FU165" i="4"/>
  <c r="FP165" i="4"/>
  <c r="FO165" i="4"/>
  <c r="FK165" i="4"/>
  <c r="FJ165" i="4"/>
  <c r="FY165" i="4" s="1"/>
  <c r="FI165" i="4"/>
  <c r="FX165" i="4" s="1"/>
  <c r="FH165" i="4"/>
  <c r="FG165" i="4"/>
  <c r="FF165" i="4"/>
  <c r="FE165" i="4"/>
  <c r="FT165" i="4" s="1"/>
  <c r="FD165" i="4"/>
  <c r="FS165" i="4" s="1"/>
  <c r="FC165" i="4"/>
  <c r="FR165" i="4" s="1"/>
  <c r="FA165" i="4"/>
  <c r="EZ165" i="4"/>
  <c r="EY165" i="4"/>
  <c r="EX165" i="4"/>
  <c r="FN165" i="4" s="1"/>
  <c r="EW165" i="4"/>
  <c r="FM165" i="4" s="1"/>
  <c r="EV165" i="4"/>
  <c r="FL165" i="4" s="1"/>
  <c r="EU165" i="4"/>
  <c r="EB165" i="4"/>
  <c r="EA165" i="4"/>
  <c r="DZ165" i="4"/>
  <c r="DX165" i="4"/>
  <c r="DW165" i="4"/>
  <c r="DV165" i="4"/>
  <c r="DY165" i="4" s="1"/>
  <c r="EC165" i="4" s="1"/>
  <c r="DU165" i="4"/>
  <c r="DL165" i="4"/>
  <c r="DH165" i="4"/>
  <c r="DG165" i="4"/>
  <c r="DF165" i="4"/>
  <c r="DE165" i="4"/>
  <c r="DA165" i="4"/>
  <c r="CW165" i="4"/>
  <c r="CO165" i="4"/>
  <c r="FB165" i="4" s="1"/>
  <c r="FQ165" i="4" s="1"/>
  <c r="CG165" i="4"/>
  <c r="BS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Y165" i="4"/>
  <c r="B165" i="4"/>
  <c r="A165" i="4"/>
  <c r="QX164" i="4"/>
  <c r="FV164" i="4"/>
  <c r="FU164" i="4"/>
  <c r="FP164" i="4"/>
  <c r="FO164" i="4"/>
  <c r="FK164" i="4"/>
  <c r="FJ164" i="4"/>
  <c r="FY164" i="4" s="1"/>
  <c r="FI164" i="4"/>
  <c r="FX164" i="4" s="1"/>
  <c r="FH164" i="4"/>
  <c r="FG164" i="4"/>
  <c r="FE164" i="4"/>
  <c r="FT164" i="4" s="1"/>
  <c r="FD164" i="4"/>
  <c r="FS164" i="4" s="1"/>
  <c r="FC164" i="4"/>
  <c r="FR164" i="4" s="1"/>
  <c r="FA164" i="4"/>
  <c r="EZ164" i="4"/>
  <c r="EY164" i="4"/>
  <c r="EX164" i="4"/>
  <c r="FN164" i="4" s="1"/>
  <c r="EW164" i="4"/>
  <c r="FM164" i="4" s="1"/>
  <c r="EV164" i="4"/>
  <c r="FL164" i="4" s="1"/>
  <c r="EU164" i="4"/>
  <c r="EB164" i="4"/>
  <c r="EA164" i="4"/>
  <c r="DZ164" i="4"/>
  <c r="DX164" i="4"/>
  <c r="DW164" i="4"/>
  <c r="DV164" i="4"/>
  <c r="DU164" i="4"/>
  <c r="DL164" i="4"/>
  <c r="DH164" i="4"/>
  <c r="DF164" i="4"/>
  <c r="DA164" i="4"/>
  <c r="CX164" i="4"/>
  <c r="CW164" i="4"/>
  <c r="CV164" i="4"/>
  <c r="FF164" i="4" s="1"/>
  <c r="FW164" i="4" s="1"/>
  <c r="CU164" i="4"/>
  <c r="DE164" i="4" s="1"/>
  <c r="CO164" i="4"/>
  <c r="FB164" i="4" s="1"/>
  <c r="FQ164" i="4" s="1"/>
  <c r="CG164" i="4"/>
  <c r="BS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Y164" i="4"/>
  <c r="Q164" i="4"/>
  <c r="B164" i="4"/>
  <c r="A164" i="4"/>
  <c r="QX163" i="4"/>
  <c r="FT163" i="4"/>
  <c r="FS163" i="4"/>
  <c r="FO163" i="4"/>
  <c r="FN163" i="4"/>
  <c r="FM163" i="4"/>
  <c r="FI163" i="4"/>
  <c r="FX163" i="4" s="1"/>
  <c r="FH163" i="4"/>
  <c r="FV163" i="4" s="1"/>
  <c r="FG163" i="4"/>
  <c r="FU163" i="4" s="1"/>
  <c r="FE163" i="4"/>
  <c r="FD163" i="4"/>
  <c r="FC163" i="4"/>
  <c r="FR163" i="4" s="1"/>
  <c r="FA163" i="4"/>
  <c r="FP163" i="4" s="1"/>
  <c r="EZ163" i="4"/>
  <c r="EY163" i="4"/>
  <c r="EX163" i="4"/>
  <c r="EW163" i="4"/>
  <c r="EV163" i="4"/>
  <c r="FL163" i="4" s="1"/>
  <c r="EU163" i="4"/>
  <c r="FK163" i="4" s="1"/>
  <c r="DX163" i="4"/>
  <c r="EB163" i="4" s="1"/>
  <c r="DW163" i="4"/>
  <c r="EA163" i="4" s="1"/>
  <c r="DL163" i="4"/>
  <c r="DH163" i="4"/>
  <c r="DF163" i="4"/>
  <c r="DA163" i="4"/>
  <c r="CX163" i="4"/>
  <c r="FJ163" i="4" s="1"/>
  <c r="FY163" i="4" s="1"/>
  <c r="CW163" i="4"/>
  <c r="CU163" i="4"/>
  <c r="DE163" i="4" s="1"/>
  <c r="CO163" i="4"/>
  <c r="CV163" i="4" s="1"/>
  <c r="CG163" i="4"/>
  <c r="BS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Y163" i="4"/>
  <c r="Q163" i="4"/>
  <c r="B163" i="4"/>
  <c r="A163" i="4"/>
  <c r="QX162" i="4"/>
  <c r="FX162" i="4"/>
  <c r="FW162" i="4"/>
  <c r="FV162" i="4"/>
  <c r="FS162" i="4"/>
  <c r="FR162" i="4"/>
  <c r="FM162" i="4"/>
  <c r="FL162" i="4"/>
  <c r="FK162" i="4"/>
  <c r="FI162" i="4"/>
  <c r="FH162" i="4"/>
  <c r="FG162" i="4"/>
  <c r="FU162" i="4" s="1"/>
  <c r="FF162" i="4"/>
  <c r="FE162" i="4"/>
  <c r="FT162" i="4" s="1"/>
  <c r="FD162" i="4"/>
  <c r="FC162" i="4"/>
  <c r="FA162" i="4"/>
  <c r="FP162" i="4" s="1"/>
  <c r="EZ162" i="4"/>
  <c r="FO162" i="4" s="1"/>
  <c r="EY162" i="4"/>
  <c r="EX162" i="4"/>
  <c r="FN162" i="4" s="1"/>
  <c r="EW162" i="4"/>
  <c r="EV162" i="4"/>
  <c r="EU162" i="4"/>
  <c r="EB162" i="4"/>
  <c r="DX162" i="4"/>
  <c r="DW162" i="4"/>
  <c r="EA162" i="4" s="1"/>
  <c r="DV162" i="4"/>
  <c r="DZ162" i="4" s="1"/>
  <c r="DL162" i="4"/>
  <c r="DH162" i="4"/>
  <c r="DG162" i="4"/>
  <c r="DF162" i="4"/>
  <c r="DE162" i="4"/>
  <c r="DA162" i="4"/>
  <c r="CX162" i="4"/>
  <c r="FJ162" i="4" s="1"/>
  <c r="FY162" i="4" s="1"/>
  <c r="CW162" i="4"/>
  <c r="CV162" i="4"/>
  <c r="DY162" i="4" s="1"/>
  <c r="EC162" i="4" s="1"/>
  <c r="CU162" i="4"/>
  <c r="CO162" i="4"/>
  <c r="FB162" i="4" s="1"/>
  <c r="FQ162" i="4" s="1"/>
  <c r="BS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Y162" i="4"/>
  <c r="Q162" i="4"/>
  <c r="B162" i="4"/>
  <c r="A162" i="4"/>
  <c r="QX161" i="4"/>
  <c r="FU161" i="4"/>
  <c r="FT161" i="4"/>
  <c r="FP161" i="4"/>
  <c r="FO161" i="4"/>
  <c r="FN161" i="4"/>
  <c r="FJ161" i="4"/>
  <c r="FY161" i="4" s="1"/>
  <c r="FI161" i="4"/>
  <c r="FX161" i="4" s="1"/>
  <c r="FH161" i="4"/>
  <c r="FV161" i="4" s="1"/>
  <c r="FG161" i="4"/>
  <c r="FE161" i="4"/>
  <c r="FD161" i="4"/>
  <c r="FS161" i="4" s="1"/>
  <c r="FC161" i="4"/>
  <c r="FR161" i="4" s="1"/>
  <c r="FA161" i="4"/>
  <c r="EZ161" i="4"/>
  <c r="EY161" i="4"/>
  <c r="EX161" i="4"/>
  <c r="EW161" i="4"/>
  <c r="FM161" i="4" s="1"/>
  <c r="EV161" i="4"/>
  <c r="FL161" i="4" s="1"/>
  <c r="EU161" i="4"/>
  <c r="FK161" i="4" s="1"/>
  <c r="EA161" i="4"/>
  <c r="DX161" i="4"/>
  <c r="EB161" i="4" s="1"/>
  <c r="DW161" i="4"/>
  <c r="DV161" i="4" s="1"/>
  <c r="DZ161" i="4" s="1"/>
  <c r="DU161" i="4"/>
  <c r="DL161" i="4"/>
  <c r="DH161" i="4"/>
  <c r="DF161" i="4"/>
  <c r="DA161" i="4"/>
  <c r="CX161" i="4"/>
  <c r="CW161" i="4"/>
  <c r="CU161" i="4"/>
  <c r="DE161" i="4" s="1"/>
  <c r="CO161" i="4"/>
  <c r="CV161" i="4" s="1"/>
  <c r="CG161" i="4"/>
  <c r="BS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Y161" i="4"/>
  <c r="Q161" i="4"/>
  <c r="B161" i="4"/>
  <c r="A161" i="4"/>
  <c r="QX160" i="4"/>
  <c r="FX160" i="4"/>
  <c r="FT160" i="4"/>
  <c r="FS160" i="4"/>
  <c r="FR160" i="4"/>
  <c r="FN160" i="4"/>
  <c r="FM160" i="4"/>
  <c r="FL160" i="4"/>
  <c r="FI160" i="4"/>
  <c r="FH160" i="4"/>
  <c r="FV160" i="4" s="1"/>
  <c r="FG160" i="4"/>
  <c r="FU160" i="4" s="1"/>
  <c r="FE160" i="4"/>
  <c r="FD160" i="4"/>
  <c r="FC160" i="4"/>
  <c r="FA160" i="4"/>
  <c r="FP160" i="4" s="1"/>
  <c r="EZ160" i="4"/>
  <c r="FO160" i="4" s="1"/>
  <c r="EY160" i="4"/>
  <c r="EX160" i="4"/>
  <c r="EW160" i="4"/>
  <c r="EV160" i="4"/>
  <c r="EU160" i="4"/>
  <c r="FK160" i="4" s="1"/>
  <c r="DX160" i="4"/>
  <c r="EB160" i="4" s="1"/>
  <c r="DW160" i="4"/>
  <c r="DV160" i="4" s="1"/>
  <c r="DZ160" i="4" s="1"/>
  <c r="DL160" i="4"/>
  <c r="DH160" i="4"/>
  <c r="DF160" i="4"/>
  <c r="DE160" i="4"/>
  <c r="DA160" i="4"/>
  <c r="CX160" i="4"/>
  <c r="FJ160" i="4" s="1"/>
  <c r="FY160" i="4" s="1"/>
  <c r="CU160" i="4"/>
  <c r="CO160" i="4"/>
  <c r="FB160" i="4" s="1"/>
  <c r="FQ160" i="4" s="1"/>
  <c r="CG160" i="4"/>
  <c r="BS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Y160" i="4"/>
  <c r="Q160" i="4"/>
  <c r="B160" i="4"/>
  <c r="A160" i="4"/>
  <c r="QX159" i="4"/>
  <c r="FX159" i="4"/>
  <c r="FV159" i="4"/>
  <c r="FU159" i="4"/>
  <c r="FR159" i="4"/>
  <c r="FP159" i="4"/>
  <c r="FL159" i="4"/>
  <c r="FK159" i="4"/>
  <c r="FJ159" i="4"/>
  <c r="FY159" i="4" s="1"/>
  <c r="FI159" i="4"/>
  <c r="FH159" i="4"/>
  <c r="FG159" i="4"/>
  <c r="FE159" i="4"/>
  <c r="FT159" i="4" s="1"/>
  <c r="FD159" i="4"/>
  <c r="FS159" i="4" s="1"/>
  <c r="FC159" i="4"/>
  <c r="FA159" i="4"/>
  <c r="EZ159" i="4"/>
  <c r="FO159" i="4" s="1"/>
  <c r="EY159" i="4"/>
  <c r="EX159" i="4"/>
  <c r="FN159" i="4" s="1"/>
  <c r="EW159" i="4"/>
  <c r="FM159" i="4" s="1"/>
  <c r="EV159" i="4"/>
  <c r="EU159" i="4"/>
  <c r="EB159" i="4"/>
  <c r="EA159" i="4"/>
  <c r="DX159" i="4"/>
  <c r="DW159" i="4"/>
  <c r="DV159" i="4" s="1"/>
  <c r="DZ159" i="4" s="1"/>
  <c r="DU159" i="4"/>
  <c r="DL159" i="4"/>
  <c r="DH159" i="4"/>
  <c r="DF159" i="4"/>
  <c r="DE159" i="4"/>
  <c r="DA159" i="4"/>
  <c r="CX159" i="4"/>
  <c r="CW159" i="4"/>
  <c r="CV159" i="4"/>
  <c r="DG159" i="4" s="1"/>
  <c r="CU159" i="4"/>
  <c r="CO159" i="4"/>
  <c r="FB159" i="4" s="1"/>
  <c r="FQ159" i="4" s="1"/>
  <c r="CG159" i="4"/>
  <c r="BS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Y159" i="4"/>
  <c r="Q159" i="4"/>
  <c r="B159" i="4"/>
  <c r="A159" i="4"/>
  <c r="QX158" i="4"/>
  <c r="FU158" i="4"/>
  <c r="FT158" i="4"/>
  <c r="FP158" i="4"/>
  <c r="FO158" i="4"/>
  <c r="FN158" i="4"/>
  <c r="FJ158" i="4"/>
  <c r="FY158" i="4" s="1"/>
  <c r="FI158" i="4"/>
  <c r="FX158" i="4" s="1"/>
  <c r="FH158" i="4"/>
  <c r="FV158" i="4" s="1"/>
  <c r="FG158" i="4"/>
  <c r="FE158" i="4"/>
  <c r="FD158" i="4"/>
  <c r="FS158" i="4" s="1"/>
  <c r="FC158" i="4"/>
  <c r="FR158" i="4" s="1"/>
  <c r="FA158" i="4"/>
  <c r="EZ158" i="4"/>
  <c r="EY158" i="4"/>
  <c r="EX158" i="4"/>
  <c r="EW158" i="4"/>
  <c r="FM158" i="4" s="1"/>
  <c r="EV158" i="4"/>
  <c r="FL158" i="4" s="1"/>
  <c r="EU158" i="4"/>
  <c r="FK158" i="4" s="1"/>
  <c r="EA158" i="4"/>
  <c r="DX158" i="4"/>
  <c r="EB158" i="4" s="1"/>
  <c r="DW158" i="4"/>
  <c r="DV158" i="4" s="1"/>
  <c r="DZ158" i="4" s="1"/>
  <c r="DU158" i="4"/>
  <c r="DL158" i="4"/>
  <c r="DH158" i="4"/>
  <c r="DF158" i="4"/>
  <c r="DA158" i="4"/>
  <c r="CX158" i="4"/>
  <c r="CW158" i="4"/>
  <c r="CU158" i="4"/>
  <c r="DE158" i="4" s="1"/>
  <c r="CO158" i="4"/>
  <c r="CV158" i="4" s="1"/>
  <c r="CG158" i="4"/>
  <c r="BS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Y158" i="4"/>
  <c r="Q158" i="4"/>
  <c r="B158" i="4"/>
  <c r="A158" i="4"/>
  <c r="QX157" i="4"/>
  <c r="FX157" i="4"/>
  <c r="FV157" i="4"/>
  <c r="FS157" i="4"/>
  <c r="FR157" i="4"/>
  <c r="FN157" i="4"/>
  <c r="FM157" i="4"/>
  <c r="FL157" i="4"/>
  <c r="FH157" i="4"/>
  <c r="FG157" i="4"/>
  <c r="FU157" i="4" s="1"/>
  <c r="FF157" i="4"/>
  <c r="FW157" i="4" s="1"/>
  <c r="FE157" i="4"/>
  <c r="FT157" i="4" s="1"/>
  <c r="FD157" i="4"/>
  <c r="FC157" i="4"/>
  <c r="FA157" i="4"/>
  <c r="FP157" i="4" s="1"/>
  <c r="EZ157" i="4"/>
  <c r="FO157" i="4" s="1"/>
  <c r="EY157" i="4"/>
  <c r="EX157" i="4"/>
  <c r="EW157" i="4"/>
  <c r="EV157" i="4"/>
  <c r="EU157" i="4"/>
  <c r="FK157" i="4" s="1"/>
  <c r="EB157" i="4"/>
  <c r="DX157" i="4"/>
  <c r="DW157" i="4"/>
  <c r="EA157" i="4" s="1"/>
  <c r="DV157" i="4"/>
  <c r="DZ157" i="4" s="1"/>
  <c r="DL157" i="4"/>
  <c r="DH157" i="4"/>
  <c r="DG157" i="4"/>
  <c r="DF157" i="4"/>
  <c r="DE157" i="4"/>
  <c r="DA157" i="4"/>
  <c r="CX157" i="4"/>
  <c r="FJ157" i="4" s="1"/>
  <c r="FY157" i="4" s="1"/>
  <c r="CW157" i="4"/>
  <c r="CV157" i="4"/>
  <c r="DY157" i="4" s="1"/>
  <c r="EC157" i="4" s="1"/>
  <c r="CU157" i="4"/>
  <c r="CO157" i="4"/>
  <c r="FB157" i="4" s="1"/>
  <c r="FQ157" i="4" s="1"/>
  <c r="CG157" i="4"/>
  <c r="BS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Y157" i="4"/>
  <c r="Q157" i="4"/>
  <c r="B157" i="4"/>
  <c r="A157" i="4"/>
  <c r="QX156" i="4"/>
  <c r="FV156" i="4"/>
  <c r="FU156" i="4"/>
  <c r="FP156" i="4"/>
  <c r="FO156" i="4"/>
  <c r="FK156" i="4"/>
  <c r="FJ156" i="4"/>
  <c r="FY156" i="4" s="1"/>
  <c r="FI156" i="4"/>
  <c r="FX156" i="4" s="1"/>
  <c r="FH156" i="4"/>
  <c r="FG156" i="4"/>
  <c r="FE156" i="4"/>
  <c r="FT156" i="4" s="1"/>
  <c r="FD156" i="4"/>
  <c r="FS156" i="4" s="1"/>
  <c r="FC156" i="4"/>
  <c r="FR156" i="4" s="1"/>
  <c r="FA156" i="4"/>
  <c r="EZ156" i="4"/>
  <c r="EY156" i="4"/>
  <c r="EX156" i="4"/>
  <c r="FN156" i="4" s="1"/>
  <c r="EW156" i="4"/>
  <c r="FM156" i="4" s="1"/>
  <c r="EV156" i="4"/>
  <c r="FL156" i="4" s="1"/>
  <c r="EU156" i="4"/>
  <c r="EB156" i="4"/>
  <c r="EA156" i="4"/>
  <c r="DZ156" i="4"/>
  <c r="DX156" i="4"/>
  <c r="DW156" i="4"/>
  <c r="DV156" i="4"/>
  <c r="DU156" i="4"/>
  <c r="DL156" i="4"/>
  <c r="DH156" i="4"/>
  <c r="DF156" i="4"/>
  <c r="DA156" i="4"/>
  <c r="CX156" i="4"/>
  <c r="CW156" i="4"/>
  <c r="CV156" i="4"/>
  <c r="FF156" i="4" s="1"/>
  <c r="FW156" i="4" s="1"/>
  <c r="CU156" i="4"/>
  <c r="DE156" i="4" s="1"/>
  <c r="CO156" i="4"/>
  <c r="FB156" i="4" s="1"/>
  <c r="FQ156" i="4" s="1"/>
  <c r="CG156" i="4"/>
  <c r="BS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Y156" i="4"/>
  <c r="Q156" i="4"/>
  <c r="B156" i="4"/>
  <c r="A156" i="4"/>
  <c r="QX155" i="4"/>
  <c r="FT155" i="4"/>
  <c r="FS155" i="4"/>
  <c r="FO155" i="4"/>
  <c r="FN155" i="4"/>
  <c r="FM155" i="4"/>
  <c r="FI155" i="4"/>
  <c r="FX155" i="4" s="1"/>
  <c r="FH155" i="4"/>
  <c r="FV155" i="4" s="1"/>
  <c r="FG155" i="4"/>
  <c r="FU155" i="4" s="1"/>
  <c r="FE155" i="4"/>
  <c r="FD155" i="4"/>
  <c r="FC155" i="4"/>
  <c r="FR155" i="4" s="1"/>
  <c r="FA155" i="4"/>
  <c r="FP155" i="4" s="1"/>
  <c r="EZ155" i="4"/>
  <c r="EY155" i="4"/>
  <c r="EX155" i="4"/>
  <c r="EW155" i="4"/>
  <c r="EV155" i="4"/>
  <c r="FL155" i="4" s="1"/>
  <c r="EU155" i="4"/>
  <c r="FK155" i="4" s="1"/>
  <c r="DX155" i="4"/>
  <c r="EB155" i="4" s="1"/>
  <c r="DW155" i="4"/>
  <c r="EA155" i="4" s="1"/>
  <c r="DL155" i="4"/>
  <c r="DH155" i="4"/>
  <c r="DF155" i="4"/>
  <c r="DA155" i="4"/>
  <c r="CX155" i="4"/>
  <c r="FJ155" i="4" s="1"/>
  <c r="FY155" i="4" s="1"/>
  <c r="CU155" i="4"/>
  <c r="DE155" i="4" s="1"/>
  <c r="CO155" i="4"/>
  <c r="CV155" i="4" s="1"/>
  <c r="CG155" i="4"/>
  <c r="BS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Y155" i="4"/>
  <c r="Q155" i="4"/>
  <c r="B155" i="4"/>
  <c r="A155" i="4"/>
  <c r="QX154" i="4"/>
  <c r="FX154" i="4"/>
  <c r="FV154" i="4"/>
  <c r="FS154" i="4"/>
  <c r="FR154" i="4"/>
  <c r="FM154" i="4"/>
  <c r="FL154" i="4"/>
  <c r="FK154" i="4"/>
  <c r="FI154" i="4"/>
  <c r="FH154" i="4"/>
  <c r="FG154" i="4"/>
  <c r="FU154" i="4" s="1"/>
  <c r="FE154" i="4"/>
  <c r="FT154" i="4" s="1"/>
  <c r="FD154" i="4"/>
  <c r="FC154" i="4"/>
  <c r="FA154" i="4"/>
  <c r="FP154" i="4" s="1"/>
  <c r="EZ154" i="4"/>
  <c r="FO154" i="4" s="1"/>
  <c r="EY154" i="4"/>
  <c r="EX154" i="4"/>
  <c r="FN154" i="4" s="1"/>
  <c r="EW154" i="4"/>
  <c r="EV154" i="4"/>
  <c r="EU154" i="4"/>
  <c r="EL154" i="4"/>
  <c r="DX154" i="4"/>
  <c r="EB154" i="4" s="1"/>
  <c r="DW154" i="4"/>
  <c r="DV154" i="4" s="1"/>
  <c r="DZ154" i="4" s="1"/>
  <c r="DL154" i="4"/>
  <c r="DH154" i="4"/>
  <c r="DF154" i="4"/>
  <c r="DE154" i="4"/>
  <c r="DA154" i="4"/>
  <c r="CX154" i="4"/>
  <c r="FJ154" i="4" s="1"/>
  <c r="FY154" i="4" s="1"/>
  <c r="CU154" i="4"/>
  <c r="CO154" i="4"/>
  <c r="FB154" i="4" s="1"/>
  <c r="FQ154" i="4" s="1"/>
  <c r="CG154" i="4"/>
  <c r="BS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Y154" i="4"/>
  <c r="Q154" i="4"/>
  <c r="B154" i="4"/>
  <c r="A154" i="4"/>
  <c r="QX153" i="4"/>
  <c r="FX153" i="4"/>
  <c r="FV153" i="4"/>
  <c r="FU153" i="4"/>
  <c r="FR153" i="4"/>
  <c r="FP153" i="4"/>
  <c r="FL153" i="4"/>
  <c r="FK153" i="4"/>
  <c r="FJ153" i="4"/>
  <c r="FY153" i="4" s="1"/>
  <c r="FI153" i="4"/>
  <c r="FH153" i="4"/>
  <c r="FG153" i="4"/>
  <c r="FE153" i="4"/>
  <c r="FT153" i="4" s="1"/>
  <c r="FD153" i="4"/>
  <c r="FS153" i="4" s="1"/>
  <c r="FC153" i="4"/>
  <c r="FA153" i="4"/>
  <c r="EZ153" i="4"/>
  <c r="FO153" i="4" s="1"/>
  <c r="EY153" i="4"/>
  <c r="EX153" i="4"/>
  <c r="FN153" i="4" s="1"/>
  <c r="EW153" i="4"/>
  <c r="FM153" i="4" s="1"/>
  <c r="EV153" i="4"/>
  <c r="EU153" i="4"/>
  <c r="EB153" i="4"/>
  <c r="EA153" i="4"/>
  <c r="DX153" i="4"/>
  <c r="DW153" i="4"/>
  <c r="DV153" i="4" s="1"/>
  <c r="DZ153" i="4" s="1"/>
  <c r="DU153" i="4"/>
  <c r="DL153" i="4"/>
  <c r="DH153" i="4"/>
  <c r="DF153" i="4"/>
  <c r="DE153" i="4"/>
  <c r="DA153" i="4"/>
  <c r="CX153" i="4"/>
  <c r="CW153" i="4"/>
  <c r="CV153" i="4"/>
  <c r="DG153" i="4" s="1"/>
  <c r="CU153" i="4"/>
  <c r="CO153" i="4"/>
  <c r="FB153" i="4" s="1"/>
  <c r="FQ153" i="4" s="1"/>
  <c r="CG153" i="4"/>
  <c r="BS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Y153" i="4"/>
  <c r="Q153" i="4"/>
  <c r="B153" i="4"/>
  <c r="A153" i="4"/>
  <c r="QX152" i="4"/>
  <c r="FU152" i="4"/>
  <c r="FT152" i="4"/>
  <c r="FP152" i="4"/>
  <c r="FO152" i="4"/>
  <c r="FN152" i="4"/>
  <c r="FJ152" i="4"/>
  <c r="FY152" i="4" s="1"/>
  <c r="FI152" i="4"/>
  <c r="FX152" i="4" s="1"/>
  <c r="FH152" i="4"/>
  <c r="FV152" i="4" s="1"/>
  <c r="FG152" i="4"/>
  <c r="FE152" i="4"/>
  <c r="FD152" i="4"/>
  <c r="FS152" i="4" s="1"/>
  <c r="FC152" i="4"/>
  <c r="FR152" i="4" s="1"/>
  <c r="FA152" i="4"/>
  <c r="EZ152" i="4"/>
  <c r="EY152" i="4"/>
  <c r="EX152" i="4"/>
  <c r="EW152" i="4"/>
  <c r="FM152" i="4" s="1"/>
  <c r="EV152" i="4"/>
  <c r="FL152" i="4" s="1"/>
  <c r="EU152" i="4"/>
  <c r="FK152" i="4" s="1"/>
  <c r="EA152" i="4"/>
  <c r="DX152" i="4"/>
  <c r="EB152" i="4" s="1"/>
  <c r="DW152" i="4"/>
  <c r="DV152" i="4" s="1"/>
  <c r="DZ152" i="4" s="1"/>
  <c r="DU152" i="4"/>
  <c r="DL152" i="4"/>
  <c r="DH152" i="4"/>
  <c r="DF152" i="4"/>
  <c r="DA152" i="4"/>
  <c r="CX152" i="4"/>
  <c r="CW152" i="4"/>
  <c r="CU152" i="4"/>
  <c r="DE152" i="4" s="1"/>
  <c r="CO152" i="4"/>
  <c r="CV152" i="4" s="1"/>
  <c r="CG152" i="4"/>
  <c r="BS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Y152" i="4"/>
  <c r="Q152" i="4"/>
  <c r="B152" i="4"/>
  <c r="A152" i="4"/>
  <c r="QX151" i="4"/>
  <c r="FX151" i="4"/>
  <c r="FT151" i="4"/>
  <c r="FS151" i="4"/>
  <c r="FR151" i="4"/>
  <c r="FN151" i="4"/>
  <c r="FM151" i="4"/>
  <c r="FL151" i="4"/>
  <c r="FI151" i="4"/>
  <c r="FH151" i="4"/>
  <c r="FV151" i="4" s="1"/>
  <c r="FG151" i="4"/>
  <c r="FU151" i="4" s="1"/>
  <c r="FE151" i="4"/>
  <c r="FD151" i="4"/>
  <c r="FC151" i="4"/>
  <c r="FA151" i="4"/>
  <c r="FP151" i="4" s="1"/>
  <c r="EZ151" i="4"/>
  <c r="FO151" i="4" s="1"/>
  <c r="EY151" i="4"/>
  <c r="EX151" i="4"/>
  <c r="EW151" i="4"/>
  <c r="EV151" i="4"/>
  <c r="EU151" i="4"/>
  <c r="FK151" i="4" s="1"/>
  <c r="DX151" i="4"/>
  <c r="EB151" i="4" s="1"/>
  <c r="DW151" i="4"/>
  <c r="DV151" i="4" s="1"/>
  <c r="DZ151" i="4" s="1"/>
  <c r="DL151" i="4"/>
  <c r="DH151" i="4"/>
  <c r="DF151" i="4"/>
  <c r="DE151" i="4"/>
  <c r="DA151" i="4"/>
  <c r="CX151" i="4"/>
  <c r="FJ151" i="4" s="1"/>
  <c r="FY151" i="4" s="1"/>
  <c r="CW151" i="4"/>
  <c r="CU151" i="4"/>
  <c r="CO151" i="4"/>
  <c r="FB151" i="4" s="1"/>
  <c r="FQ151" i="4" s="1"/>
  <c r="BS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Y151" i="4"/>
  <c r="Q151" i="4"/>
  <c r="B151" i="4"/>
  <c r="A151" i="4"/>
  <c r="QX150" i="4"/>
  <c r="FV150" i="4"/>
  <c r="FU150" i="4"/>
  <c r="FP150" i="4"/>
  <c r="FO150" i="4"/>
  <c r="FK150" i="4"/>
  <c r="FJ150" i="4"/>
  <c r="FY150" i="4" s="1"/>
  <c r="FI150" i="4"/>
  <c r="FX150" i="4" s="1"/>
  <c r="FH150" i="4"/>
  <c r="FG150" i="4"/>
  <c r="FE150" i="4"/>
  <c r="FT150" i="4" s="1"/>
  <c r="FD150" i="4"/>
  <c r="FS150" i="4" s="1"/>
  <c r="FC150" i="4"/>
  <c r="FR150" i="4" s="1"/>
  <c r="FA150" i="4"/>
  <c r="EZ150" i="4"/>
  <c r="EY150" i="4"/>
  <c r="EX150" i="4"/>
  <c r="FN150" i="4" s="1"/>
  <c r="EW150" i="4"/>
  <c r="FM150" i="4" s="1"/>
  <c r="EV150" i="4"/>
  <c r="FL150" i="4" s="1"/>
  <c r="EU150" i="4"/>
  <c r="EB150" i="4"/>
  <c r="EA150" i="4"/>
  <c r="DZ150" i="4"/>
  <c r="DX150" i="4"/>
  <c r="DW150" i="4"/>
  <c r="DV150" i="4"/>
  <c r="DU150" i="4"/>
  <c r="DL150" i="4"/>
  <c r="DH150" i="4"/>
  <c r="DF150" i="4"/>
  <c r="DA150" i="4"/>
  <c r="CX150" i="4"/>
  <c r="CW150" i="4"/>
  <c r="CV150" i="4"/>
  <c r="FF150" i="4" s="1"/>
  <c r="FW150" i="4" s="1"/>
  <c r="CU150" i="4"/>
  <c r="DE150" i="4" s="1"/>
  <c r="CO150" i="4"/>
  <c r="FB150" i="4" s="1"/>
  <c r="FQ150" i="4" s="1"/>
  <c r="CG150" i="4"/>
  <c r="BS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Y150" i="4"/>
  <c r="Q150" i="4"/>
  <c r="B150" i="4"/>
  <c r="A150" i="4"/>
  <c r="QX149" i="4"/>
  <c r="FT149" i="4"/>
  <c r="FS149" i="4"/>
  <c r="FO149" i="4"/>
  <c r="FN149" i="4"/>
  <c r="FM149" i="4"/>
  <c r="FI149" i="4"/>
  <c r="FX149" i="4" s="1"/>
  <c r="FH149" i="4"/>
  <c r="FV149" i="4" s="1"/>
  <c r="FG149" i="4"/>
  <c r="FU149" i="4" s="1"/>
  <c r="FE149" i="4"/>
  <c r="FD149" i="4"/>
  <c r="FC149" i="4"/>
  <c r="FR149" i="4" s="1"/>
  <c r="FA149" i="4"/>
  <c r="FP149" i="4" s="1"/>
  <c r="EZ149" i="4"/>
  <c r="EY149" i="4"/>
  <c r="EX149" i="4"/>
  <c r="EW149" i="4"/>
  <c r="EV149" i="4"/>
  <c r="FL149" i="4" s="1"/>
  <c r="EU149" i="4"/>
  <c r="FK149" i="4" s="1"/>
  <c r="DX149" i="4"/>
  <c r="EB149" i="4" s="1"/>
  <c r="DW149" i="4"/>
  <c r="EA149" i="4" s="1"/>
  <c r="DL149" i="4"/>
  <c r="DH149" i="4"/>
  <c r="DF149" i="4"/>
  <c r="DA149" i="4"/>
  <c r="CX149" i="4"/>
  <c r="FJ149" i="4" s="1"/>
  <c r="FY149" i="4" s="1"/>
  <c r="CW149" i="4"/>
  <c r="CU149" i="4"/>
  <c r="DE149" i="4" s="1"/>
  <c r="CO149" i="4"/>
  <c r="CV149" i="4" s="1"/>
  <c r="CG149" i="4"/>
  <c r="BS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Y149" i="4"/>
  <c r="Q149" i="4"/>
  <c r="B149" i="4"/>
  <c r="A149" i="4"/>
  <c r="QX148" i="4"/>
  <c r="FX148" i="4"/>
  <c r="FW148" i="4"/>
  <c r="FV148" i="4"/>
  <c r="FS148" i="4"/>
  <c r="FR148" i="4"/>
  <c r="FM148" i="4"/>
  <c r="FL148" i="4"/>
  <c r="FK148" i="4"/>
  <c r="FI148" i="4"/>
  <c r="FH148" i="4"/>
  <c r="FG148" i="4"/>
  <c r="FU148" i="4" s="1"/>
  <c r="FF148" i="4"/>
  <c r="FE148" i="4"/>
  <c r="FT148" i="4" s="1"/>
  <c r="FD148" i="4"/>
  <c r="FC148" i="4"/>
  <c r="FA148" i="4"/>
  <c r="FP148" i="4" s="1"/>
  <c r="EZ148" i="4"/>
  <c r="FO148" i="4" s="1"/>
  <c r="EY148" i="4"/>
  <c r="EX148" i="4"/>
  <c r="FN148" i="4" s="1"/>
  <c r="EW148" i="4"/>
  <c r="EV148" i="4"/>
  <c r="EU148" i="4"/>
  <c r="EB148" i="4"/>
  <c r="DX148" i="4"/>
  <c r="DW148" i="4"/>
  <c r="EA148" i="4" s="1"/>
  <c r="DV148" i="4"/>
  <c r="DZ148" i="4" s="1"/>
  <c r="DL148" i="4"/>
  <c r="DH148" i="4"/>
  <c r="DG148" i="4"/>
  <c r="DF148" i="4"/>
  <c r="DE148" i="4"/>
  <c r="DA148" i="4"/>
  <c r="CX148" i="4"/>
  <c r="FJ148" i="4" s="1"/>
  <c r="FY148" i="4" s="1"/>
  <c r="CW148" i="4"/>
  <c r="CV148" i="4"/>
  <c r="DY148" i="4" s="1"/>
  <c r="EC148" i="4" s="1"/>
  <c r="CU148" i="4"/>
  <c r="CO148" i="4"/>
  <c r="FB148" i="4" s="1"/>
  <c r="FQ148" i="4" s="1"/>
  <c r="CG148" i="4"/>
  <c r="BS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Y148" i="4"/>
  <c r="Q148" i="4"/>
  <c r="B148" i="4"/>
  <c r="A148" i="4"/>
  <c r="QX147" i="4"/>
  <c r="FV147" i="4"/>
  <c r="FU147" i="4"/>
  <c r="FP147" i="4"/>
  <c r="FO147" i="4"/>
  <c r="FK147" i="4"/>
  <c r="FJ147" i="4"/>
  <c r="FY147" i="4" s="1"/>
  <c r="FI147" i="4"/>
  <c r="FX147" i="4" s="1"/>
  <c r="FH147" i="4"/>
  <c r="FG147" i="4"/>
  <c r="FE147" i="4"/>
  <c r="FT147" i="4" s="1"/>
  <c r="FD147" i="4"/>
  <c r="FS147" i="4" s="1"/>
  <c r="FC147" i="4"/>
  <c r="FR147" i="4" s="1"/>
  <c r="FA147" i="4"/>
  <c r="EZ147" i="4"/>
  <c r="EY147" i="4"/>
  <c r="EX147" i="4"/>
  <c r="FN147" i="4" s="1"/>
  <c r="EW147" i="4"/>
  <c r="FM147" i="4" s="1"/>
  <c r="EV147" i="4"/>
  <c r="FL147" i="4" s="1"/>
  <c r="EU147" i="4"/>
  <c r="EB147" i="4"/>
  <c r="EA147" i="4"/>
  <c r="DZ147" i="4"/>
  <c r="DX147" i="4"/>
  <c r="DW147" i="4"/>
  <c r="DV147" i="4"/>
  <c r="DU147" i="4"/>
  <c r="DL147" i="4"/>
  <c r="DH147" i="4"/>
  <c r="DF147" i="4"/>
  <c r="DA147" i="4"/>
  <c r="CX147" i="4"/>
  <c r="CW147" i="4"/>
  <c r="CV147" i="4"/>
  <c r="FF147" i="4" s="1"/>
  <c r="FW147" i="4" s="1"/>
  <c r="CU147" i="4"/>
  <c r="DE147" i="4" s="1"/>
  <c r="CO147" i="4"/>
  <c r="FB147" i="4" s="1"/>
  <c r="FQ147" i="4" s="1"/>
  <c r="CK147" i="4"/>
  <c r="CG147" i="4"/>
  <c r="BS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Y147" i="4"/>
  <c r="Q147" i="4"/>
  <c r="B147" i="4"/>
  <c r="A147" i="4"/>
  <c r="QX146" i="4"/>
  <c r="FU146" i="4"/>
  <c r="FT146" i="4"/>
  <c r="FP146" i="4"/>
  <c r="FO146" i="4"/>
  <c r="FN146" i="4"/>
  <c r="FJ146" i="4"/>
  <c r="FY146" i="4" s="1"/>
  <c r="FI146" i="4"/>
  <c r="FX146" i="4" s="1"/>
  <c r="FH146" i="4"/>
  <c r="FV146" i="4" s="1"/>
  <c r="FG146" i="4"/>
  <c r="FE146" i="4"/>
  <c r="FD146" i="4"/>
  <c r="FS146" i="4" s="1"/>
  <c r="FC146" i="4"/>
  <c r="FR146" i="4" s="1"/>
  <c r="FA146" i="4"/>
  <c r="EZ146" i="4"/>
  <c r="EY146" i="4"/>
  <c r="EX146" i="4"/>
  <c r="EW146" i="4"/>
  <c r="FM146" i="4" s="1"/>
  <c r="EV146" i="4"/>
  <c r="FL146" i="4" s="1"/>
  <c r="EU146" i="4"/>
  <c r="FK146" i="4" s="1"/>
  <c r="EA146" i="4"/>
  <c r="DX146" i="4"/>
  <c r="EB146" i="4" s="1"/>
  <c r="DW146" i="4"/>
  <c r="DV146" i="4" s="1"/>
  <c r="DZ146" i="4" s="1"/>
  <c r="DU146" i="4"/>
  <c r="DL146" i="4"/>
  <c r="DH146" i="4"/>
  <c r="DF146" i="4"/>
  <c r="DA146" i="4"/>
  <c r="CX146" i="4"/>
  <c r="CU146" i="4"/>
  <c r="DE146" i="4" s="1"/>
  <c r="CO146" i="4"/>
  <c r="CW146" i="4" s="1"/>
  <c r="CG146" i="4"/>
  <c r="BS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Y146" i="4"/>
  <c r="Q146" i="4"/>
  <c r="B146" i="4"/>
  <c r="A146" i="4"/>
  <c r="QX145" i="4"/>
  <c r="FX145" i="4"/>
  <c r="FT145" i="4"/>
  <c r="FS145" i="4"/>
  <c r="FR145" i="4"/>
  <c r="FN145" i="4"/>
  <c r="FM145" i="4"/>
  <c r="FL145" i="4"/>
  <c r="FI145" i="4"/>
  <c r="FH145" i="4"/>
  <c r="FV145" i="4" s="1"/>
  <c r="FG145" i="4"/>
  <c r="FU145" i="4" s="1"/>
  <c r="FE145" i="4"/>
  <c r="FD145" i="4"/>
  <c r="FC145" i="4"/>
  <c r="FA145" i="4"/>
  <c r="FP145" i="4" s="1"/>
  <c r="EZ145" i="4"/>
  <c r="FO145" i="4" s="1"/>
  <c r="EY145" i="4"/>
  <c r="EX145" i="4"/>
  <c r="EW145" i="4"/>
  <c r="EV145" i="4"/>
  <c r="EU145" i="4"/>
  <c r="FK145" i="4" s="1"/>
  <c r="DX145" i="4"/>
  <c r="EB145" i="4" s="1"/>
  <c r="DW145" i="4"/>
  <c r="DV145" i="4" s="1"/>
  <c r="DZ145" i="4" s="1"/>
  <c r="DL145" i="4"/>
  <c r="DH145" i="4"/>
  <c r="DF145" i="4"/>
  <c r="DE145" i="4"/>
  <c r="DA145" i="4"/>
  <c r="CX145" i="4"/>
  <c r="FJ145" i="4" s="1"/>
  <c r="FY145" i="4" s="1"/>
  <c r="CU145" i="4"/>
  <c r="CO145" i="4"/>
  <c r="FB145" i="4" s="1"/>
  <c r="FQ145" i="4" s="1"/>
  <c r="CG145" i="4"/>
  <c r="BS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Y145" i="4"/>
  <c r="Q145" i="4"/>
  <c r="B145" i="4"/>
  <c r="A145" i="4"/>
  <c r="QX144" i="4"/>
  <c r="FX144" i="4"/>
  <c r="FV144" i="4"/>
  <c r="FU144" i="4"/>
  <c r="FR144" i="4"/>
  <c r="FP144" i="4"/>
  <c r="FL144" i="4"/>
  <c r="FK144" i="4"/>
  <c r="FJ144" i="4"/>
  <c r="FY144" i="4" s="1"/>
  <c r="FI144" i="4"/>
  <c r="FH144" i="4"/>
  <c r="FG144" i="4"/>
  <c r="FE144" i="4"/>
  <c r="FT144" i="4" s="1"/>
  <c r="FD144" i="4"/>
  <c r="FS144" i="4" s="1"/>
  <c r="FC144" i="4"/>
  <c r="FA144" i="4"/>
  <c r="EZ144" i="4"/>
  <c r="FO144" i="4" s="1"/>
  <c r="EY144" i="4"/>
  <c r="EX144" i="4"/>
  <c r="FN144" i="4" s="1"/>
  <c r="EW144" i="4"/>
  <c r="FM144" i="4" s="1"/>
  <c r="EV144" i="4"/>
  <c r="EU144" i="4"/>
  <c r="EB144" i="4"/>
  <c r="EA144" i="4"/>
  <c r="DX144" i="4"/>
  <c r="DW144" i="4"/>
  <c r="DV144" i="4" s="1"/>
  <c r="DZ144" i="4" s="1"/>
  <c r="DU144" i="4"/>
  <c r="DL144" i="4"/>
  <c r="DH144" i="4"/>
  <c r="DF144" i="4"/>
  <c r="DE144" i="4"/>
  <c r="DA144" i="4"/>
  <c r="CX144" i="4"/>
  <c r="CW144" i="4"/>
  <c r="CV144" i="4"/>
  <c r="DG144" i="4" s="1"/>
  <c r="CU144" i="4"/>
  <c r="CO144" i="4"/>
  <c r="FB144" i="4" s="1"/>
  <c r="FQ144" i="4" s="1"/>
  <c r="CG144" i="4"/>
  <c r="BS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Y144" i="4"/>
  <c r="Q144" i="4"/>
  <c r="B144" i="4"/>
  <c r="A144" i="4"/>
  <c r="QX143" i="4"/>
  <c r="FU143" i="4"/>
  <c r="FT143" i="4"/>
  <c r="FP143" i="4"/>
  <c r="FO143" i="4"/>
  <c r="FN143" i="4"/>
  <c r="FJ143" i="4"/>
  <c r="FY143" i="4" s="1"/>
  <c r="FI143" i="4"/>
  <c r="FX143" i="4" s="1"/>
  <c r="FH143" i="4"/>
  <c r="FV143" i="4" s="1"/>
  <c r="FG143" i="4"/>
  <c r="FE143" i="4"/>
  <c r="FD143" i="4"/>
  <c r="FS143" i="4" s="1"/>
  <c r="FC143" i="4"/>
  <c r="FR143" i="4" s="1"/>
  <c r="FA143" i="4"/>
  <c r="EZ143" i="4"/>
  <c r="EY143" i="4"/>
  <c r="EX143" i="4"/>
  <c r="EW143" i="4"/>
  <c r="FM143" i="4" s="1"/>
  <c r="EV143" i="4"/>
  <c r="FL143" i="4" s="1"/>
  <c r="EU143" i="4"/>
  <c r="FK143" i="4" s="1"/>
  <c r="EA143" i="4"/>
  <c r="DX143" i="4"/>
  <c r="EB143" i="4" s="1"/>
  <c r="DW143" i="4"/>
  <c r="DV143" i="4" s="1"/>
  <c r="DZ143" i="4" s="1"/>
  <c r="DU143" i="4"/>
  <c r="DL143" i="4"/>
  <c r="DH143" i="4"/>
  <c r="DF143" i="4"/>
  <c r="DA143" i="4"/>
  <c r="CX143" i="4"/>
  <c r="CU143" i="4"/>
  <c r="DE143" i="4" s="1"/>
  <c r="CO143" i="4"/>
  <c r="CG143" i="4"/>
  <c r="BS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Y143" i="4"/>
  <c r="Q143" i="4"/>
  <c r="B143" i="4"/>
  <c r="A143" i="4"/>
  <c r="QX142" i="4"/>
  <c r="FX142" i="4"/>
  <c r="FT142" i="4"/>
  <c r="FS142" i="4"/>
  <c r="FR142" i="4"/>
  <c r="FN142" i="4"/>
  <c r="FM142" i="4"/>
  <c r="FL142" i="4"/>
  <c r="FI142" i="4"/>
  <c r="FH142" i="4"/>
  <c r="FV142" i="4" s="1"/>
  <c r="FG142" i="4"/>
  <c r="FU142" i="4" s="1"/>
  <c r="FE142" i="4"/>
  <c r="FD142" i="4"/>
  <c r="FC142" i="4"/>
  <c r="FA142" i="4"/>
  <c r="FP142" i="4" s="1"/>
  <c r="EZ142" i="4"/>
  <c r="FO142" i="4" s="1"/>
  <c r="EY142" i="4"/>
  <c r="EX142" i="4"/>
  <c r="EW142" i="4"/>
  <c r="EV142" i="4"/>
  <c r="EU142" i="4"/>
  <c r="FK142" i="4" s="1"/>
  <c r="DX142" i="4"/>
  <c r="EB142" i="4" s="1"/>
  <c r="DW142" i="4"/>
  <c r="DL142" i="4"/>
  <c r="DH142" i="4"/>
  <c r="DF142" i="4"/>
  <c r="DE142" i="4"/>
  <c r="DA142" i="4"/>
  <c r="CX142" i="4"/>
  <c r="FJ142" i="4" s="1"/>
  <c r="FY142" i="4" s="1"/>
  <c r="CW142" i="4"/>
  <c r="CU142" i="4"/>
  <c r="CO142" i="4"/>
  <c r="FB142" i="4" s="1"/>
  <c r="FQ142" i="4" s="1"/>
  <c r="CG142" i="4"/>
  <c r="BS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Y142" i="4"/>
  <c r="Q142" i="4"/>
  <c r="B142" i="4"/>
  <c r="A142" i="4"/>
  <c r="QX141" i="4"/>
  <c r="FX141" i="4"/>
  <c r="FV141" i="4"/>
  <c r="FU141" i="4"/>
  <c r="FR141" i="4"/>
  <c r="FP141" i="4"/>
  <c r="FL141" i="4"/>
  <c r="FK141" i="4"/>
  <c r="FJ141" i="4"/>
  <c r="FY141" i="4" s="1"/>
  <c r="FI141" i="4"/>
  <c r="FH141" i="4"/>
  <c r="FG141" i="4"/>
  <c r="FE141" i="4"/>
  <c r="FT141" i="4" s="1"/>
  <c r="FD141" i="4"/>
  <c r="FS141" i="4" s="1"/>
  <c r="FC141" i="4"/>
  <c r="FA141" i="4"/>
  <c r="EZ141" i="4"/>
  <c r="FO141" i="4" s="1"/>
  <c r="EY141" i="4"/>
  <c r="EX141" i="4"/>
  <c r="FN141" i="4" s="1"/>
  <c r="EW141" i="4"/>
  <c r="FM141" i="4" s="1"/>
  <c r="EV141" i="4"/>
  <c r="EU141" i="4"/>
  <c r="EB141" i="4"/>
  <c r="EA141" i="4"/>
  <c r="DX141" i="4"/>
  <c r="DW141" i="4"/>
  <c r="DV141" i="4" s="1"/>
  <c r="DZ141" i="4" s="1"/>
  <c r="DU141" i="4"/>
  <c r="DL141" i="4"/>
  <c r="DH141" i="4"/>
  <c r="DF141" i="4"/>
  <c r="DE141" i="4"/>
  <c r="DA141" i="4"/>
  <c r="CX141" i="4"/>
  <c r="CW141" i="4"/>
  <c r="CV141" i="4"/>
  <c r="CU141" i="4"/>
  <c r="CO141" i="4"/>
  <c r="FB141" i="4" s="1"/>
  <c r="FQ141" i="4" s="1"/>
  <c r="DC141" i="4" s="1"/>
  <c r="CG141" i="4"/>
  <c r="BS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Y141" i="4"/>
  <c r="Q141" i="4"/>
  <c r="B141" i="4"/>
  <c r="A141" i="4"/>
  <c r="QX140" i="4"/>
  <c r="FU140" i="4"/>
  <c r="FT140" i="4"/>
  <c r="FP140" i="4"/>
  <c r="FO140" i="4"/>
  <c r="FN140" i="4"/>
  <c r="FJ140" i="4"/>
  <c r="FY140" i="4" s="1"/>
  <c r="FI140" i="4"/>
  <c r="FX140" i="4" s="1"/>
  <c r="FH140" i="4"/>
  <c r="FV140" i="4" s="1"/>
  <c r="FG140" i="4"/>
  <c r="FE140" i="4"/>
  <c r="FD140" i="4"/>
  <c r="FS140" i="4" s="1"/>
  <c r="FC140" i="4"/>
  <c r="FR140" i="4" s="1"/>
  <c r="FA140" i="4"/>
  <c r="EZ140" i="4"/>
  <c r="EY140" i="4"/>
  <c r="EX140" i="4"/>
  <c r="EW140" i="4"/>
  <c r="FM140" i="4" s="1"/>
  <c r="EV140" i="4"/>
  <c r="FL140" i="4" s="1"/>
  <c r="EU140" i="4"/>
  <c r="FK140" i="4" s="1"/>
  <c r="EA140" i="4"/>
  <c r="DX140" i="4"/>
  <c r="EB140" i="4" s="1"/>
  <c r="DW140" i="4"/>
  <c r="DV140" i="4" s="1"/>
  <c r="DU140" i="4"/>
  <c r="DL140" i="4"/>
  <c r="DH140" i="4"/>
  <c r="DF140" i="4"/>
  <c r="DA140" i="4"/>
  <c r="CX140" i="4"/>
  <c r="CU140" i="4"/>
  <c r="DE140" i="4" s="1"/>
  <c r="CO140" i="4"/>
  <c r="CG140" i="4"/>
  <c r="BS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Y140" i="4"/>
  <c r="Q140" i="4"/>
  <c r="B140" i="4"/>
  <c r="A140" i="4"/>
  <c r="QX139" i="4"/>
  <c r="FX139" i="4"/>
  <c r="FT139" i="4"/>
  <c r="FS139" i="4"/>
  <c r="FR139" i="4"/>
  <c r="FN139" i="4"/>
  <c r="FM139" i="4"/>
  <c r="FL139" i="4"/>
  <c r="FI139" i="4"/>
  <c r="FH139" i="4"/>
  <c r="FV139" i="4" s="1"/>
  <c r="FG139" i="4"/>
  <c r="FU139" i="4" s="1"/>
  <c r="FE139" i="4"/>
  <c r="FD139" i="4"/>
  <c r="FC139" i="4"/>
  <c r="FA139" i="4"/>
  <c r="FP139" i="4" s="1"/>
  <c r="EZ139" i="4"/>
  <c r="FO139" i="4" s="1"/>
  <c r="EY139" i="4"/>
  <c r="EX139" i="4"/>
  <c r="EW139" i="4"/>
  <c r="EV139" i="4"/>
  <c r="EU139" i="4"/>
  <c r="FK139" i="4" s="1"/>
  <c r="DX139" i="4"/>
  <c r="EB139" i="4" s="1"/>
  <c r="DW139" i="4"/>
  <c r="DL139" i="4"/>
  <c r="DH139" i="4"/>
  <c r="DF139" i="4"/>
  <c r="DE139" i="4"/>
  <c r="DA139" i="4"/>
  <c r="CX139" i="4"/>
  <c r="FJ139" i="4" s="1"/>
  <c r="FY139" i="4" s="1"/>
  <c r="CU139" i="4"/>
  <c r="CO139" i="4"/>
  <c r="FB139" i="4" s="1"/>
  <c r="FQ139" i="4" s="1"/>
  <c r="CG139" i="4"/>
  <c r="BS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Y139" i="4"/>
  <c r="Q139" i="4"/>
  <c r="B139" i="4"/>
  <c r="A139" i="4"/>
  <c r="QX138" i="4"/>
  <c r="FX138" i="4"/>
  <c r="FV138" i="4"/>
  <c r="FU138" i="4"/>
  <c r="FR138" i="4"/>
  <c r="FP138" i="4"/>
  <c r="FL138" i="4"/>
  <c r="FK138" i="4"/>
  <c r="FJ138" i="4"/>
  <c r="FY138" i="4" s="1"/>
  <c r="FI138" i="4"/>
  <c r="FH138" i="4"/>
  <c r="FG138" i="4"/>
  <c r="FE138" i="4"/>
  <c r="FT138" i="4" s="1"/>
  <c r="FD138" i="4"/>
  <c r="FS138" i="4" s="1"/>
  <c r="FC138" i="4"/>
  <c r="FA138" i="4"/>
  <c r="EZ138" i="4"/>
  <c r="FO138" i="4" s="1"/>
  <c r="EY138" i="4"/>
  <c r="EX138" i="4"/>
  <c r="FN138" i="4" s="1"/>
  <c r="EW138" i="4"/>
  <c r="FM138" i="4" s="1"/>
  <c r="EV138" i="4"/>
  <c r="EU138" i="4"/>
  <c r="EB138" i="4"/>
  <c r="EA138" i="4"/>
  <c r="DX138" i="4"/>
  <c r="DW138" i="4"/>
  <c r="DV138" i="4" s="1"/>
  <c r="DZ138" i="4" s="1"/>
  <c r="DU138" i="4"/>
  <c r="DL138" i="4"/>
  <c r="DH138" i="4"/>
  <c r="DF138" i="4"/>
  <c r="DE138" i="4"/>
  <c r="DA138" i="4"/>
  <c r="CX138" i="4"/>
  <c r="CW138" i="4"/>
  <c r="CV138" i="4"/>
  <c r="CU138" i="4"/>
  <c r="CO138" i="4"/>
  <c r="FB138" i="4" s="1"/>
  <c r="FQ138" i="4" s="1"/>
  <c r="DC138" i="4" s="1"/>
  <c r="CG138" i="4"/>
  <c r="BS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Y138" i="4"/>
  <c r="Q138" i="4"/>
  <c r="B138" i="4"/>
  <c r="A138" i="4"/>
  <c r="QX137" i="4"/>
  <c r="FU137" i="4"/>
  <c r="FT137" i="4"/>
  <c r="FP137" i="4"/>
  <c r="FO137" i="4"/>
  <c r="FN137" i="4"/>
  <c r="FJ137" i="4"/>
  <c r="FY137" i="4" s="1"/>
  <c r="FI137" i="4"/>
  <c r="FX137" i="4" s="1"/>
  <c r="FH137" i="4"/>
  <c r="FV137" i="4" s="1"/>
  <c r="FG137" i="4"/>
  <c r="FE137" i="4"/>
  <c r="FD137" i="4"/>
  <c r="FS137" i="4" s="1"/>
  <c r="FC137" i="4"/>
  <c r="FR137" i="4" s="1"/>
  <c r="FB137" i="4"/>
  <c r="FQ137" i="4" s="1"/>
  <c r="FA137" i="4"/>
  <c r="EZ137" i="4"/>
  <c r="EY137" i="4"/>
  <c r="EX137" i="4"/>
  <c r="EW137" i="4"/>
  <c r="FM137" i="4" s="1"/>
  <c r="EV137" i="4"/>
  <c r="FL137" i="4" s="1"/>
  <c r="EU137" i="4"/>
  <c r="FK137" i="4" s="1"/>
  <c r="EA137" i="4"/>
  <c r="DX137" i="4"/>
  <c r="EB137" i="4" s="1"/>
  <c r="DW137" i="4"/>
  <c r="DV137" i="4" s="1"/>
  <c r="DZ137" i="4" s="1"/>
  <c r="DU137" i="4"/>
  <c r="DL137" i="4"/>
  <c r="DH137" i="4"/>
  <c r="DF137" i="4"/>
  <c r="DA137" i="4"/>
  <c r="CX137" i="4"/>
  <c r="CW137" i="4"/>
  <c r="CU137" i="4"/>
  <c r="DE137" i="4" s="1"/>
  <c r="CO137" i="4"/>
  <c r="CV137" i="4" s="1"/>
  <c r="CG137" i="4"/>
  <c r="BS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Y137" i="4"/>
  <c r="Q137" i="4"/>
  <c r="B137" i="4"/>
  <c r="A137" i="4"/>
  <c r="QX136" i="4"/>
  <c r="FX136" i="4"/>
  <c r="FT136" i="4"/>
  <c r="FS136" i="4"/>
  <c r="FR136" i="4"/>
  <c r="FN136" i="4"/>
  <c r="FM136" i="4"/>
  <c r="FL136" i="4"/>
  <c r="FI136" i="4"/>
  <c r="FH136" i="4"/>
  <c r="FV136" i="4" s="1"/>
  <c r="FG136" i="4"/>
  <c r="FU136" i="4" s="1"/>
  <c r="FE136" i="4"/>
  <c r="FD136" i="4"/>
  <c r="FC136" i="4"/>
  <c r="FA136" i="4"/>
  <c r="FP136" i="4" s="1"/>
  <c r="EZ136" i="4"/>
  <c r="FO136" i="4" s="1"/>
  <c r="EY136" i="4"/>
  <c r="EX136" i="4"/>
  <c r="EW136" i="4"/>
  <c r="EV136" i="4"/>
  <c r="EU136" i="4"/>
  <c r="FK136" i="4" s="1"/>
  <c r="DX136" i="4"/>
  <c r="EB136" i="4" s="1"/>
  <c r="DW136" i="4"/>
  <c r="DL136" i="4"/>
  <c r="DH136" i="4"/>
  <c r="DF136" i="4"/>
  <c r="DE136" i="4"/>
  <c r="DA136" i="4"/>
  <c r="CX136" i="4"/>
  <c r="FJ136" i="4" s="1"/>
  <c r="FY136" i="4" s="1"/>
  <c r="CU136" i="4"/>
  <c r="CO136" i="4"/>
  <c r="FB136" i="4" s="1"/>
  <c r="FQ136" i="4" s="1"/>
  <c r="CG136" i="4"/>
  <c r="BS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Y136" i="4"/>
  <c r="Q136" i="4"/>
  <c r="B136" i="4"/>
  <c r="A136" i="4"/>
  <c r="QX135" i="4"/>
  <c r="FX135" i="4"/>
  <c r="FV135" i="4"/>
  <c r="FU135" i="4"/>
  <c r="FR135" i="4"/>
  <c r="FP135" i="4"/>
  <c r="FL135" i="4"/>
  <c r="FK135" i="4"/>
  <c r="FJ135" i="4"/>
  <c r="FY135" i="4" s="1"/>
  <c r="FI135" i="4"/>
  <c r="FH135" i="4"/>
  <c r="FG135" i="4"/>
  <c r="FE135" i="4"/>
  <c r="FT135" i="4" s="1"/>
  <c r="FD135" i="4"/>
  <c r="FS135" i="4" s="1"/>
  <c r="FC135" i="4"/>
  <c r="FA135" i="4"/>
  <c r="EZ135" i="4"/>
  <c r="FO135" i="4" s="1"/>
  <c r="EY135" i="4"/>
  <c r="EX135" i="4"/>
  <c r="FN135" i="4" s="1"/>
  <c r="EW135" i="4"/>
  <c r="FM135" i="4" s="1"/>
  <c r="EV135" i="4"/>
  <c r="EU135" i="4"/>
  <c r="EB135" i="4"/>
  <c r="EA135" i="4"/>
  <c r="DX135" i="4"/>
  <c r="DW135" i="4"/>
  <c r="DV135" i="4" s="1"/>
  <c r="DZ135" i="4" s="1"/>
  <c r="DU135" i="4"/>
  <c r="DL135" i="4"/>
  <c r="DH135" i="4"/>
  <c r="DF135" i="4"/>
  <c r="DE135" i="4"/>
  <c r="DA135" i="4"/>
  <c r="CX135" i="4"/>
  <c r="CW135" i="4"/>
  <c r="CV135" i="4"/>
  <c r="CU135" i="4"/>
  <c r="CO135" i="4"/>
  <c r="FB135" i="4" s="1"/>
  <c r="FQ135" i="4" s="1"/>
  <c r="DC135" i="4" s="1"/>
  <c r="CG135" i="4"/>
  <c r="BS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Y135" i="4"/>
  <c r="Q135" i="4"/>
  <c r="B135" i="4"/>
  <c r="A135" i="4"/>
  <c r="QX134" i="4"/>
  <c r="FU134" i="4"/>
  <c r="FT134" i="4"/>
  <c r="FP134" i="4"/>
  <c r="FO134" i="4"/>
  <c r="FN134" i="4"/>
  <c r="FJ134" i="4"/>
  <c r="FY134" i="4" s="1"/>
  <c r="FI134" i="4"/>
  <c r="FX134" i="4" s="1"/>
  <c r="FH134" i="4"/>
  <c r="FV134" i="4" s="1"/>
  <c r="FG134" i="4"/>
  <c r="FE134" i="4"/>
  <c r="FD134" i="4"/>
  <c r="FS134" i="4" s="1"/>
  <c r="FC134" i="4"/>
  <c r="FR134" i="4" s="1"/>
  <c r="FA134" i="4"/>
  <c r="EZ134" i="4"/>
  <c r="EY134" i="4"/>
  <c r="EX134" i="4"/>
  <c r="EW134" i="4"/>
  <c r="FM134" i="4" s="1"/>
  <c r="EV134" i="4"/>
  <c r="FL134" i="4" s="1"/>
  <c r="EU134" i="4"/>
  <c r="FK134" i="4" s="1"/>
  <c r="EA134" i="4"/>
  <c r="DX134" i="4"/>
  <c r="EB134" i="4" s="1"/>
  <c r="DW134" i="4"/>
  <c r="DV134" i="4" s="1"/>
  <c r="DU134" i="4"/>
  <c r="DL134" i="4"/>
  <c r="DH134" i="4"/>
  <c r="DF134" i="4"/>
  <c r="DA134" i="4"/>
  <c r="CX134" i="4"/>
  <c r="CW134" i="4"/>
  <c r="CU134" i="4"/>
  <c r="DE134" i="4" s="1"/>
  <c r="CO134" i="4"/>
  <c r="CV134" i="4" s="1"/>
  <c r="CG134" i="4"/>
  <c r="BS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Y134" i="4"/>
  <c r="Q134" i="4"/>
  <c r="B134" i="4"/>
  <c r="A134" i="4"/>
  <c r="QX133" i="4"/>
  <c r="FX133" i="4"/>
  <c r="FT133" i="4"/>
  <c r="FS133" i="4"/>
  <c r="FR133" i="4"/>
  <c r="FN133" i="4"/>
  <c r="FM133" i="4"/>
  <c r="FI133" i="4"/>
  <c r="FH133" i="4"/>
  <c r="FV133" i="4" s="1"/>
  <c r="FG133" i="4"/>
  <c r="FU133" i="4" s="1"/>
  <c r="FE133" i="4"/>
  <c r="FD133" i="4"/>
  <c r="FC133" i="4"/>
  <c r="FB133" i="4"/>
  <c r="FQ133" i="4" s="1"/>
  <c r="DD133" i="4" s="1"/>
  <c r="FA133" i="4"/>
  <c r="FP133" i="4" s="1"/>
  <c r="EZ133" i="4"/>
  <c r="FO133" i="4" s="1"/>
  <c r="EY133" i="4"/>
  <c r="EX133" i="4"/>
  <c r="EW133" i="4"/>
  <c r="EV133" i="4"/>
  <c r="FL133" i="4" s="1"/>
  <c r="EU133" i="4"/>
  <c r="FK133" i="4" s="1"/>
  <c r="EL133" i="4"/>
  <c r="DX133" i="4"/>
  <c r="EB133" i="4" s="1"/>
  <c r="DW133" i="4"/>
  <c r="EA133" i="4" s="1"/>
  <c r="DL133" i="4"/>
  <c r="DH133" i="4"/>
  <c r="DF133" i="4"/>
  <c r="DA133" i="4"/>
  <c r="CX133" i="4"/>
  <c r="FJ133" i="4" s="1"/>
  <c r="FY133" i="4" s="1"/>
  <c r="CU133" i="4"/>
  <c r="DE133" i="4" s="1"/>
  <c r="CO133" i="4"/>
  <c r="CV133" i="4" s="1"/>
  <c r="CG133" i="4"/>
  <c r="BS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Y133" i="4"/>
  <c r="Q133" i="4"/>
  <c r="B133" i="4"/>
  <c r="A133" i="4"/>
  <c r="QX132" i="4"/>
  <c r="FX132" i="4"/>
  <c r="FW132" i="4"/>
  <c r="FV132" i="4"/>
  <c r="FS132" i="4"/>
  <c r="FR132" i="4"/>
  <c r="FM132" i="4"/>
  <c r="FL132" i="4"/>
  <c r="FI132" i="4"/>
  <c r="FH132" i="4"/>
  <c r="FG132" i="4"/>
  <c r="FU132" i="4" s="1"/>
  <c r="FF132" i="4"/>
  <c r="FE132" i="4"/>
  <c r="FT132" i="4" s="1"/>
  <c r="FD132" i="4"/>
  <c r="FC132" i="4"/>
  <c r="FA132" i="4"/>
  <c r="FP132" i="4" s="1"/>
  <c r="EZ132" i="4"/>
  <c r="FO132" i="4" s="1"/>
  <c r="EY132" i="4"/>
  <c r="EX132" i="4"/>
  <c r="FN132" i="4" s="1"/>
  <c r="EW132" i="4"/>
  <c r="EV132" i="4"/>
  <c r="EU132" i="4"/>
  <c r="FK132" i="4" s="1"/>
  <c r="EB132" i="4"/>
  <c r="DX132" i="4"/>
  <c r="DW132" i="4"/>
  <c r="EA132" i="4" s="1"/>
  <c r="DV132" i="4"/>
  <c r="DZ132" i="4" s="1"/>
  <c r="DL132" i="4"/>
  <c r="DH132" i="4"/>
  <c r="DG132" i="4"/>
  <c r="DF132" i="4"/>
  <c r="DE132" i="4"/>
  <c r="DA132" i="4"/>
  <c r="CX132" i="4"/>
  <c r="FJ132" i="4" s="1"/>
  <c r="FY132" i="4" s="1"/>
  <c r="CW132" i="4"/>
  <c r="CV132" i="4"/>
  <c r="DY132" i="4" s="1"/>
  <c r="EC132" i="4" s="1"/>
  <c r="CU132" i="4"/>
  <c r="CO132" i="4"/>
  <c r="FB132" i="4" s="1"/>
  <c r="FQ132" i="4" s="1"/>
  <c r="CG132" i="4"/>
  <c r="BS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Y132" i="4"/>
  <c r="Q132" i="4"/>
  <c r="B132" i="4"/>
  <c r="A132" i="4"/>
  <c r="QX131" i="4"/>
  <c r="FV131" i="4"/>
  <c r="FU131" i="4"/>
  <c r="FQ131" i="4"/>
  <c r="DD131" i="4" s="1"/>
  <c r="FP131" i="4"/>
  <c r="FO131" i="4"/>
  <c r="FK131" i="4"/>
  <c r="FJ131" i="4"/>
  <c r="FY131" i="4" s="1"/>
  <c r="FI131" i="4"/>
  <c r="FX131" i="4" s="1"/>
  <c r="FH131" i="4"/>
  <c r="FG131" i="4"/>
  <c r="FE131" i="4"/>
  <c r="FT131" i="4" s="1"/>
  <c r="FD131" i="4"/>
  <c r="FS131" i="4" s="1"/>
  <c r="FC131" i="4"/>
  <c r="FR131" i="4" s="1"/>
  <c r="FA131" i="4"/>
  <c r="EZ131" i="4"/>
  <c r="EY131" i="4"/>
  <c r="EX131" i="4"/>
  <c r="FN131" i="4" s="1"/>
  <c r="EW131" i="4"/>
  <c r="FM131" i="4" s="1"/>
  <c r="EV131" i="4"/>
  <c r="FL131" i="4" s="1"/>
  <c r="EU131" i="4"/>
  <c r="EB131" i="4"/>
  <c r="EA131" i="4"/>
  <c r="DZ131" i="4"/>
  <c r="DX131" i="4"/>
  <c r="DW131" i="4"/>
  <c r="DV131" i="4"/>
  <c r="DU131" i="4"/>
  <c r="DL131" i="4"/>
  <c r="DH131" i="4"/>
  <c r="DF131" i="4"/>
  <c r="DA131" i="4"/>
  <c r="CX131" i="4"/>
  <c r="CW131" i="4"/>
  <c r="CV131" i="4"/>
  <c r="FF131" i="4" s="1"/>
  <c r="FW131" i="4" s="1"/>
  <c r="CU131" i="4"/>
  <c r="DE131" i="4" s="1"/>
  <c r="CO131" i="4"/>
  <c r="FB131" i="4" s="1"/>
  <c r="CG131" i="4"/>
  <c r="BS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Y131" i="4"/>
  <c r="Q131" i="4"/>
  <c r="B131" i="4"/>
  <c r="A131" i="4"/>
  <c r="QX130" i="4"/>
  <c r="FY130" i="4"/>
  <c r="FT130" i="4"/>
  <c r="FS130" i="4"/>
  <c r="FO130" i="4"/>
  <c r="FN130" i="4"/>
  <c r="FI130" i="4"/>
  <c r="FX130" i="4" s="1"/>
  <c r="FH130" i="4"/>
  <c r="FV130" i="4" s="1"/>
  <c r="FG130" i="4"/>
  <c r="FU130" i="4" s="1"/>
  <c r="FE130" i="4"/>
  <c r="FD130" i="4"/>
  <c r="FC130" i="4"/>
  <c r="FR130" i="4" s="1"/>
  <c r="FA130" i="4"/>
  <c r="FP130" i="4" s="1"/>
  <c r="EZ130" i="4"/>
  <c r="EY130" i="4"/>
  <c r="EX130" i="4"/>
  <c r="EW130" i="4"/>
  <c r="FM130" i="4" s="1"/>
  <c r="EV130" i="4"/>
  <c r="FL130" i="4" s="1"/>
  <c r="EU130" i="4"/>
  <c r="FK130" i="4" s="1"/>
  <c r="DX130" i="4"/>
  <c r="EB130" i="4" s="1"/>
  <c r="DW130" i="4"/>
  <c r="EA130" i="4" s="1"/>
  <c r="DL130" i="4"/>
  <c r="DH130" i="4"/>
  <c r="DF130" i="4"/>
  <c r="DA130" i="4"/>
  <c r="CX130" i="4"/>
  <c r="FJ130" i="4" s="1"/>
  <c r="CU130" i="4"/>
  <c r="DE130" i="4" s="1"/>
  <c r="CO130" i="4"/>
  <c r="CG130" i="4"/>
  <c r="BS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Y130" i="4"/>
  <c r="Q130" i="4"/>
  <c r="B130" i="4"/>
  <c r="A130" i="4"/>
  <c r="QX129" i="4"/>
  <c r="FX129" i="4"/>
  <c r="FV129" i="4"/>
  <c r="FS129" i="4"/>
  <c r="FR129" i="4"/>
  <c r="FM129" i="4"/>
  <c r="FL129" i="4"/>
  <c r="FK129" i="4"/>
  <c r="FI129" i="4"/>
  <c r="FH129" i="4"/>
  <c r="FG129" i="4"/>
  <c r="FU129" i="4" s="1"/>
  <c r="FE129" i="4"/>
  <c r="FT129" i="4" s="1"/>
  <c r="FD129" i="4"/>
  <c r="FC129" i="4"/>
  <c r="FA129" i="4"/>
  <c r="FP129" i="4" s="1"/>
  <c r="EZ129" i="4"/>
  <c r="FO129" i="4" s="1"/>
  <c r="EY129" i="4"/>
  <c r="EX129" i="4"/>
  <c r="FN129" i="4" s="1"/>
  <c r="EW129" i="4"/>
  <c r="EV129" i="4"/>
  <c r="EU129" i="4"/>
  <c r="EL129" i="4"/>
  <c r="EL642" i="4" s="1"/>
  <c r="DX129" i="4"/>
  <c r="EB129" i="4" s="1"/>
  <c r="DW129" i="4"/>
  <c r="DL129" i="4"/>
  <c r="DH129" i="4"/>
  <c r="DF129" i="4"/>
  <c r="DE129" i="4"/>
  <c r="DA129" i="4"/>
  <c r="CX129" i="4"/>
  <c r="FJ129" i="4" s="1"/>
  <c r="FY129" i="4" s="1"/>
  <c r="CU129" i="4"/>
  <c r="CO129" i="4"/>
  <c r="CG129" i="4"/>
  <c r="BS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Y129" i="4"/>
  <c r="Q129" i="4"/>
  <c r="B129" i="4"/>
  <c r="A129" i="4"/>
  <c r="QX128" i="4"/>
  <c r="FX128" i="4"/>
  <c r="FV128" i="4"/>
  <c r="FU128" i="4"/>
  <c r="FR128" i="4"/>
  <c r="FP128" i="4"/>
  <c r="FL128" i="4"/>
  <c r="FK128" i="4"/>
  <c r="FI128" i="4"/>
  <c r="FH128" i="4"/>
  <c r="FG128" i="4"/>
  <c r="FF128" i="4"/>
  <c r="FW128" i="4" s="1"/>
  <c r="FE128" i="4"/>
  <c r="FT128" i="4" s="1"/>
  <c r="FD128" i="4"/>
  <c r="FS128" i="4" s="1"/>
  <c r="FC128" i="4"/>
  <c r="FA128" i="4"/>
  <c r="EZ128" i="4"/>
  <c r="FO128" i="4" s="1"/>
  <c r="EY128" i="4"/>
  <c r="EX128" i="4"/>
  <c r="FN128" i="4" s="1"/>
  <c r="EW128" i="4"/>
  <c r="FM128" i="4" s="1"/>
  <c r="EV128" i="4"/>
  <c r="EU128" i="4"/>
  <c r="EB128" i="4"/>
  <c r="EA128" i="4"/>
  <c r="DX128" i="4"/>
  <c r="DW128" i="4"/>
  <c r="DV128" i="4"/>
  <c r="DZ128" i="4" s="1"/>
  <c r="DU128" i="4"/>
  <c r="DL128" i="4"/>
  <c r="DH128" i="4"/>
  <c r="DF128" i="4"/>
  <c r="DE128" i="4"/>
  <c r="DA128" i="4"/>
  <c r="CX128" i="4"/>
  <c r="FJ128" i="4" s="1"/>
  <c r="FY128" i="4" s="1"/>
  <c r="CW128" i="4"/>
  <c r="CV128" i="4"/>
  <c r="CU128" i="4"/>
  <c r="CO128" i="4"/>
  <c r="FB128" i="4" s="1"/>
  <c r="FQ128" i="4" s="1"/>
  <c r="BS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Y128" i="4"/>
  <c r="Q128" i="4"/>
  <c r="B128" i="4"/>
  <c r="A128" i="4"/>
  <c r="QX127" i="4"/>
  <c r="FT127" i="4"/>
  <c r="FS127" i="4"/>
  <c r="FO127" i="4"/>
  <c r="FN127" i="4"/>
  <c r="FI127" i="4"/>
  <c r="FX127" i="4" s="1"/>
  <c r="FH127" i="4"/>
  <c r="FV127" i="4" s="1"/>
  <c r="FG127" i="4"/>
  <c r="FU127" i="4" s="1"/>
  <c r="FE127" i="4"/>
  <c r="FD127" i="4"/>
  <c r="FC127" i="4"/>
  <c r="FR127" i="4" s="1"/>
  <c r="FA127" i="4"/>
  <c r="FP127" i="4" s="1"/>
  <c r="EZ127" i="4"/>
  <c r="EY127" i="4"/>
  <c r="EX127" i="4"/>
  <c r="EW127" i="4"/>
  <c r="FM127" i="4" s="1"/>
  <c r="EV127" i="4"/>
  <c r="FL127" i="4" s="1"/>
  <c r="EU127" i="4"/>
  <c r="FK127" i="4" s="1"/>
  <c r="DX127" i="4"/>
  <c r="EB127" i="4" s="1"/>
  <c r="DW127" i="4"/>
  <c r="EA127" i="4" s="1"/>
  <c r="DL127" i="4"/>
  <c r="DH127" i="4"/>
  <c r="DF127" i="4"/>
  <c r="DA127" i="4"/>
  <c r="CX127" i="4"/>
  <c r="FJ127" i="4" s="1"/>
  <c r="FY127" i="4" s="1"/>
  <c r="CW127" i="4"/>
  <c r="CU127" i="4"/>
  <c r="DE127" i="4" s="1"/>
  <c r="CO127" i="4"/>
  <c r="CV127" i="4" s="1"/>
  <c r="FF127" i="4" s="1"/>
  <c r="FW127" i="4" s="1"/>
  <c r="CG127" i="4"/>
  <c r="BS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Y127" i="4"/>
  <c r="Q127" i="4"/>
  <c r="B127" i="4"/>
  <c r="A127" i="4"/>
  <c r="QX126" i="4"/>
  <c r="FY126" i="4"/>
  <c r="FX126" i="4"/>
  <c r="FV126" i="4"/>
  <c r="FS126" i="4"/>
  <c r="FR126" i="4"/>
  <c r="FQ126" i="4"/>
  <c r="FM126" i="4"/>
  <c r="FL126" i="4"/>
  <c r="FI126" i="4"/>
  <c r="FH126" i="4"/>
  <c r="FG126" i="4"/>
  <c r="FU126" i="4" s="1"/>
  <c r="FF126" i="4"/>
  <c r="FW126" i="4" s="1"/>
  <c r="FE126" i="4"/>
  <c r="FT126" i="4" s="1"/>
  <c r="FD126" i="4"/>
  <c r="FC126" i="4"/>
  <c r="FA126" i="4"/>
  <c r="FP126" i="4" s="1"/>
  <c r="EZ126" i="4"/>
  <c r="FO126" i="4" s="1"/>
  <c r="EY126" i="4"/>
  <c r="EX126" i="4"/>
  <c r="FN126" i="4" s="1"/>
  <c r="EW126" i="4"/>
  <c r="EV126" i="4"/>
  <c r="EU126" i="4"/>
  <c r="FK126" i="4" s="1"/>
  <c r="EB126" i="4"/>
  <c r="DX126" i="4"/>
  <c r="DW126" i="4"/>
  <c r="DV126" i="4"/>
  <c r="DZ126" i="4" s="1"/>
  <c r="DL126" i="4"/>
  <c r="DH126" i="4"/>
  <c r="DG126" i="4"/>
  <c r="DF126" i="4"/>
  <c r="DE126" i="4"/>
  <c r="DA126" i="4"/>
  <c r="CX126" i="4"/>
  <c r="FJ126" i="4" s="1"/>
  <c r="CW126" i="4"/>
  <c r="CV126" i="4"/>
  <c r="DY126" i="4" s="1"/>
  <c r="EC126" i="4" s="1"/>
  <c r="CU126" i="4"/>
  <c r="CO126" i="4"/>
  <c r="FB126" i="4" s="1"/>
  <c r="CG126" i="4"/>
  <c r="BS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Y126" i="4"/>
  <c r="Q126" i="4"/>
  <c r="B126" i="4"/>
  <c r="A126" i="4"/>
  <c r="QX125" i="4"/>
  <c r="FV125" i="4"/>
  <c r="FU125" i="4"/>
  <c r="FP125" i="4"/>
  <c r="FO125" i="4"/>
  <c r="FK125" i="4"/>
  <c r="FJ125" i="4"/>
  <c r="FY125" i="4" s="1"/>
  <c r="FI125" i="4"/>
  <c r="FX125" i="4" s="1"/>
  <c r="FH125" i="4"/>
  <c r="FG125" i="4"/>
  <c r="FE125" i="4"/>
  <c r="FT125" i="4" s="1"/>
  <c r="FD125" i="4"/>
  <c r="FS125" i="4" s="1"/>
  <c r="FC125" i="4"/>
  <c r="FR125" i="4" s="1"/>
  <c r="FA125" i="4"/>
  <c r="EZ125" i="4"/>
  <c r="EY125" i="4"/>
  <c r="EX125" i="4"/>
  <c r="FN125" i="4" s="1"/>
  <c r="EW125" i="4"/>
  <c r="FM125" i="4" s="1"/>
  <c r="EV125" i="4"/>
  <c r="FL125" i="4" s="1"/>
  <c r="EU125" i="4"/>
  <c r="EB125" i="4"/>
  <c r="EA125" i="4"/>
  <c r="DZ125" i="4"/>
  <c r="DX125" i="4"/>
  <c r="DW125" i="4"/>
  <c r="DV125" i="4"/>
  <c r="DU125" i="4"/>
  <c r="DL125" i="4"/>
  <c r="DH125" i="4"/>
  <c r="DF125" i="4"/>
  <c r="DA125" i="4"/>
  <c r="CX125" i="4"/>
  <c r="CW125" i="4"/>
  <c r="CV125" i="4"/>
  <c r="CU125" i="4"/>
  <c r="DE125" i="4" s="1"/>
  <c r="CO125" i="4"/>
  <c r="FB125" i="4" s="1"/>
  <c r="FQ125" i="4" s="1"/>
  <c r="CG125" i="4"/>
  <c r="BS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Y125" i="4"/>
  <c r="Q125" i="4"/>
  <c r="B125" i="4"/>
  <c r="A125" i="4"/>
  <c r="QX124" i="4"/>
  <c r="FY124" i="4"/>
  <c r="FT124" i="4"/>
  <c r="FS124" i="4"/>
  <c r="FO124" i="4"/>
  <c r="FN124" i="4"/>
  <c r="FM124" i="4"/>
  <c r="FL124" i="4"/>
  <c r="FI124" i="4"/>
  <c r="FX124" i="4" s="1"/>
  <c r="FH124" i="4"/>
  <c r="FV124" i="4" s="1"/>
  <c r="FG124" i="4"/>
  <c r="FU124" i="4" s="1"/>
  <c r="FE124" i="4"/>
  <c r="FD124" i="4"/>
  <c r="FC124" i="4"/>
  <c r="FR124" i="4" s="1"/>
  <c r="FA124" i="4"/>
  <c r="FP124" i="4" s="1"/>
  <c r="EZ124" i="4"/>
  <c r="EY124" i="4"/>
  <c r="EX124" i="4"/>
  <c r="EW124" i="4"/>
  <c r="EV124" i="4"/>
  <c r="EU124" i="4"/>
  <c r="FK124" i="4" s="1"/>
  <c r="DX124" i="4"/>
  <c r="EB124" i="4" s="1"/>
  <c r="DW124" i="4"/>
  <c r="DL124" i="4"/>
  <c r="DH124" i="4"/>
  <c r="DG124" i="4"/>
  <c r="DF124" i="4"/>
  <c r="DA124" i="4"/>
  <c r="CX124" i="4"/>
  <c r="FJ124" i="4" s="1"/>
  <c r="CW124" i="4"/>
  <c r="CU124" i="4"/>
  <c r="DE124" i="4" s="1"/>
  <c r="CO124" i="4"/>
  <c r="CV124" i="4" s="1"/>
  <c r="FF124" i="4" s="1"/>
  <c r="FW124" i="4" s="1"/>
  <c r="CG124" i="4"/>
  <c r="BS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Y124" i="4"/>
  <c r="Q124" i="4"/>
  <c r="B124" i="4"/>
  <c r="A124" i="4"/>
  <c r="QX123" i="4"/>
  <c r="FY123" i="4"/>
  <c r="FX123" i="4"/>
  <c r="FV123" i="4"/>
  <c r="FR123" i="4"/>
  <c r="FQ123" i="4"/>
  <c r="DC123" i="4" s="1"/>
  <c r="FM123" i="4"/>
  <c r="FL123" i="4"/>
  <c r="FJ123" i="4"/>
  <c r="FI123" i="4"/>
  <c r="FH123" i="4"/>
  <c r="FG123" i="4"/>
  <c r="FU123" i="4" s="1"/>
  <c r="FE123" i="4"/>
  <c r="FT123" i="4" s="1"/>
  <c r="FD123" i="4"/>
  <c r="FS123" i="4" s="1"/>
  <c r="FC123" i="4"/>
  <c r="FA123" i="4"/>
  <c r="FP123" i="4" s="1"/>
  <c r="EZ123" i="4"/>
  <c r="FO123" i="4" s="1"/>
  <c r="EY123" i="4"/>
  <c r="EX123" i="4"/>
  <c r="FN123" i="4" s="1"/>
  <c r="EW123" i="4"/>
  <c r="EV123" i="4"/>
  <c r="EU123" i="4"/>
  <c r="FK123" i="4" s="1"/>
  <c r="EB123" i="4"/>
  <c r="DX123" i="4"/>
  <c r="DW123" i="4"/>
  <c r="DV123" i="4" s="1"/>
  <c r="DZ123" i="4" s="1"/>
  <c r="DL123" i="4"/>
  <c r="DH123" i="4"/>
  <c r="DF123" i="4"/>
  <c r="DE123" i="4"/>
  <c r="DA123" i="4"/>
  <c r="CX123" i="4"/>
  <c r="CW123" i="4"/>
  <c r="CV123" i="4"/>
  <c r="CU123" i="4"/>
  <c r="CO123" i="4"/>
  <c r="FB123" i="4" s="1"/>
  <c r="BS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Y123" i="4"/>
  <c r="Q123" i="4"/>
  <c r="B123" i="4"/>
  <c r="A123" i="4"/>
  <c r="QX122" i="4"/>
  <c r="FY122" i="4"/>
  <c r="FT122" i="4"/>
  <c r="FS122" i="4"/>
  <c r="FO122" i="4"/>
  <c r="FN122" i="4"/>
  <c r="FJ122" i="4"/>
  <c r="FI122" i="4"/>
  <c r="FX122" i="4" s="1"/>
  <c r="FH122" i="4"/>
  <c r="FV122" i="4" s="1"/>
  <c r="FG122" i="4"/>
  <c r="FU122" i="4" s="1"/>
  <c r="FE122" i="4"/>
  <c r="FD122" i="4"/>
  <c r="FC122" i="4"/>
  <c r="FR122" i="4" s="1"/>
  <c r="FA122" i="4"/>
  <c r="FP122" i="4" s="1"/>
  <c r="EZ122" i="4"/>
  <c r="EY122" i="4"/>
  <c r="EX122" i="4"/>
  <c r="EW122" i="4"/>
  <c r="FM122" i="4" s="1"/>
  <c r="EV122" i="4"/>
  <c r="FL122" i="4" s="1"/>
  <c r="EU122" i="4"/>
  <c r="FK122" i="4" s="1"/>
  <c r="EA122" i="4"/>
  <c r="DX122" i="4"/>
  <c r="EB122" i="4" s="1"/>
  <c r="DW122" i="4"/>
  <c r="DU122" i="4"/>
  <c r="DL122" i="4"/>
  <c r="DH122" i="4"/>
  <c r="DF122" i="4"/>
  <c r="DA122" i="4"/>
  <c r="CX122" i="4"/>
  <c r="CW122" i="4"/>
  <c r="CU122" i="4"/>
  <c r="DE122" i="4" s="1"/>
  <c r="CO122" i="4"/>
  <c r="FB122" i="4" s="1"/>
  <c r="FQ122" i="4" s="1"/>
  <c r="CG122" i="4"/>
  <c r="BS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Y122" i="4"/>
  <c r="Q122" i="4"/>
  <c r="B122" i="4"/>
  <c r="A122" i="4"/>
  <c r="QX121" i="4"/>
  <c r="FX121" i="4"/>
  <c r="FV121" i="4"/>
  <c r="FT121" i="4"/>
  <c r="FQ121" i="4"/>
  <c r="DD121" i="4" s="1"/>
  <c r="FM121" i="4"/>
  <c r="FL121" i="4"/>
  <c r="FK121" i="4"/>
  <c r="FH121" i="4"/>
  <c r="FG121" i="4"/>
  <c r="FU121" i="4" s="1"/>
  <c r="FF121" i="4"/>
  <c r="FW121" i="4" s="1"/>
  <c r="FE121" i="4"/>
  <c r="FD121" i="4"/>
  <c r="FS121" i="4" s="1"/>
  <c r="FC121" i="4"/>
  <c r="FR121" i="4" s="1"/>
  <c r="FA121" i="4"/>
  <c r="FP121" i="4" s="1"/>
  <c r="EZ121" i="4"/>
  <c r="FO121" i="4" s="1"/>
  <c r="EY121" i="4"/>
  <c r="EX121" i="4"/>
  <c r="FN121" i="4" s="1"/>
  <c r="EW121" i="4"/>
  <c r="EV121" i="4"/>
  <c r="EU121" i="4"/>
  <c r="EA121" i="4"/>
  <c r="DX121" i="4"/>
  <c r="EB121" i="4" s="1"/>
  <c r="DW121" i="4"/>
  <c r="DV121" i="4" s="1"/>
  <c r="DZ121" i="4" s="1"/>
  <c r="DU121" i="4"/>
  <c r="DL121" i="4"/>
  <c r="DH121" i="4"/>
  <c r="DG121" i="4"/>
  <c r="DF121" i="4"/>
  <c r="DA121" i="4"/>
  <c r="CX121" i="4"/>
  <c r="FJ121" i="4" s="1"/>
  <c r="FY121" i="4" s="1"/>
  <c r="CW121" i="4"/>
  <c r="CV121" i="4"/>
  <c r="CU121" i="4"/>
  <c r="DE121" i="4" s="1"/>
  <c r="CO121" i="4"/>
  <c r="FB121" i="4" s="1"/>
  <c r="CG121" i="4"/>
  <c r="BS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Y121" i="4"/>
  <c r="Q121" i="4"/>
  <c r="B121" i="4"/>
  <c r="A121" i="4"/>
  <c r="QX120" i="4"/>
  <c r="FO120" i="4"/>
  <c r="FN120" i="4"/>
  <c r="FJ120" i="4"/>
  <c r="FY120" i="4" s="1"/>
  <c r="FI120" i="4"/>
  <c r="FX120" i="4" s="1"/>
  <c r="FH120" i="4"/>
  <c r="FV120" i="4" s="1"/>
  <c r="FG120" i="4"/>
  <c r="FU120" i="4" s="1"/>
  <c r="FE120" i="4"/>
  <c r="FT120" i="4" s="1"/>
  <c r="FD120" i="4"/>
  <c r="FS120" i="4" s="1"/>
  <c r="FC120" i="4"/>
  <c r="FR120" i="4" s="1"/>
  <c r="FA120" i="4"/>
  <c r="FP120" i="4" s="1"/>
  <c r="EZ120" i="4"/>
  <c r="EY120" i="4"/>
  <c r="EX120" i="4"/>
  <c r="EW120" i="4"/>
  <c r="FM120" i="4" s="1"/>
  <c r="EV120" i="4"/>
  <c r="FL120" i="4" s="1"/>
  <c r="EU120" i="4"/>
  <c r="FK120" i="4" s="1"/>
  <c r="EB120" i="4"/>
  <c r="EA120" i="4"/>
  <c r="DX120" i="4"/>
  <c r="DW120" i="4"/>
  <c r="DV120" i="4"/>
  <c r="DZ120" i="4" s="1"/>
  <c r="DU120" i="4"/>
  <c r="DL120" i="4"/>
  <c r="DH120" i="4"/>
  <c r="DF120" i="4"/>
  <c r="DE120" i="4"/>
  <c r="DA120" i="4"/>
  <c r="CX120" i="4"/>
  <c r="CW120" i="4"/>
  <c r="CU120" i="4"/>
  <c r="CO120" i="4"/>
  <c r="CV120" i="4" s="1"/>
  <c r="CG120" i="4"/>
  <c r="BS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Y120" i="4"/>
  <c r="Q120" i="4"/>
  <c r="B120" i="4"/>
  <c r="A120" i="4"/>
  <c r="QX119" i="4"/>
  <c r="FX119" i="4"/>
  <c r="FT119" i="4"/>
  <c r="FS119" i="4"/>
  <c r="FO119" i="4"/>
  <c r="FN119" i="4"/>
  <c r="FM119" i="4"/>
  <c r="FK119" i="4"/>
  <c r="FJ119" i="4"/>
  <c r="FY119" i="4" s="1"/>
  <c r="FI119" i="4"/>
  <c r="FH119" i="4"/>
  <c r="FV119" i="4" s="1"/>
  <c r="FG119" i="4"/>
  <c r="FU119" i="4" s="1"/>
  <c r="FE119" i="4"/>
  <c r="FD119" i="4"/>
  <c r="FC119" i="4"/>
  <c r="FR119" i="4" s="1"/>
  <c r="FA119" i="4"/>
  <c r="FP119" i="4" s="1"/>
  <c r="EZ119" i="4"/>
  <c r="EY119" i="4"/>
  <c r="EX119" i="4"/>
  <c r="EW119" i="4"/>
  <c r="EV119" i="4"/>
  <c r="FL119" i="4" s="1"/>
  <c r="EU119" i="4"/>
  <c r="EB119" i="4"/>
  <c r="EA119" i="4"/>
  <c r="DX119" i="4"/>
  <c r="DW119" i="4"/>
  <c r="DV119" i="4"/>
  <c r="DZ119" i="4" s="1"/>
  <c r="DU119" i="4"/>
  <c r="DL119" i="4"/>
  <c r="DH119" i="4"/>
  <c r="DF119" i="4"/>
  <c r="DE119" i="4"/>
  <c r="DA119" i="4"/>
  <c r="CX119" i="4"/>
  <c r="CW119" i="4"/>
  <c r="CU119" i="4"/>
  <c r="CO119" i="4"/>
  <c r="CV119" i="4" s="1"/>
  <c r="CG119" i="4"/>
  <c r="BS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Y119" i="4"/>
  <c r="Q119" i="4"/>
  <c r="B119" i="4"/>
  <c r="A119" i="4"/>
  <c r="QX118" i="4"/>
  <c r="FX118" i="4"/>
  <c r="FU118" i="4"/>
  <c r="FT118" i="4"/>
  <c r="FS118" i="4"/>
  <c r="FR118" i="4"/>
  <c r="FN118" i="4"/>
  <c r="FL118" i="4"/>
  <c r="FK118" i="4"/>
  <c r="FI118" i="4"/>
  <c r="FH118" i="4"/>
  <c r="FV118" i="4" s="1"/>
  <c r="FG118" i="4"/>
  <c r="FE118" i="4"/>
  <c r="FD118" i="4"/>
  <c r="FC118" i="4"/>
  <c r="FA118" i="4"/>
  <c r="FP118" i="4" s="1"/>
  <c r="EZ118" i="4"/>
  <c r="FO118" i="4" s="1"/>
  <c r="EY118" i="4"/>
  <c r="EX118" i="4"/>
  <c r="EW118" i="4"/>
  <c r="FM118" i="4" s="1"/>
  <c r="EV118" i="4"/>
  <c r="EU118" i="4"/>
  <c r="EB118" i="4"/>
  <c r="DX118" i="4"/>
  <c r="DW118" i="4"/>
  <c r="DV118" i="4" s="1"/>
  <c r="DZ118" i="4" s="1"/>
  <c r="DL118" i="4"/>
  <c r="DH118" i="4"/>
  <c r="DF118" i="4"/>
  <c r="DA118" i="4"/>
  <c r="CX118" i="4"/>
  <c r="FJ118" i="4" s="1"/>
  <c r="FY118" i="4" s="1"/>
  <c r="CU118" i="4"/>
  <c r="DE118" i="4" s="1"/>
  <c r="CO118" i="4"/>
  <c r="CW118" i="4" s="1"/>
  <c r="CK118" i="4"/>
  <c r="CG118" i="4"/>
  <c r="BS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Y118" i="4"/>
  <c r="Q118" i="4"/>
  <c r="B118" i="4"/>
  <c r="A118" i="4"/>
  <c r="QX117" i="4"/>
  <c r="FY117" i="4"/>
  <c r="FX117" i="4"/>
  <c r="FS117" i="4"/>
  <c r="FR117" i="4"/>
  <c r="FN117" i="4"/>
  <c r="FM117" i="4"/>
  <c r="FK117" i="4"/>
  <c r="FJ117" i="4"/>
  <c r="FI117" i="4"/>
  <c r="FH117" i="4"/>
  <c r="FV117" i="4" s="1"/>
  <c r="FG117" i="4"/>
  <c r="FU117" i="4" s="1"/>
  <c r="FE117" i="4"/>
  <c r="FT117" i="4" s="1"/>
  <c r="FD117" i="4"/>
  <c r="FC117" i="4"/>
  <c r="FA117" i="4"/>
  <c r="FP117" i="4" s="1"/>
  <c r="EZ117" i="4"/>
  <c r="FO117" i="4" s="1"/>
  <c r="EY117" i="4"/>
  <c r="EX117" i="4"/>
  <c r="EW117" i="4"/>
  <c r="EV117" i="4"/>
  <c r="FL117" i="4" s="1"/>
  <c r="EU117" i="4"/>
  <c r="EB117" i="4"/>
  <c r="EA117" i="4"/>
  <c r="DX117" i="4"/>
  <c r="DW117" i="4"/>
  <c r="DV117" i="4"/>
  <c r="DZ117" i="4" s="1"/>
  <c r="DU117" i="4"/>
  <c r="DL117" i="4"/>
  <c r="DH117" i="4"/>
  <c r="DF117" i="4"/>
  <c r="DE117" i="4"/>
  <c r="DA117" i="4"/>
  <c r="CX117" i="4"/>
  <c r="CW117" i="4"/>
  <c r="CU117" i="4"/>
  <c r="CO117" i="4"/>
  <c r="CV117" i="4" s="1"/>
  <c r="CK117" i="4"/>
  <c r="CG117" i="4"/>
  <c r="BS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Y117" i="4"/>
  <c r="Q117" i="4"/>
  <c r="B117" i="4"/>
  <c r="A117" i="4"/>
  <c r="QX116" i="4"/>
  <c r="FX116" i="4"/>
  <c r="FV116" i="4"/>
  <c r="FR116" i="4"/>
  <c r="FP116" i="4"/>
  <c r="FM116" i="4"/>
  <c r="FL116" i="4"/>
  <c r="FJ116" i="4"/>
  <c r="FY116" i="4" s="1"/>
  <c r="FI116" i="4"/>
  <c r="FH116" i="4"/>
  <c r="FG116" i="4"/>
  <c r="FU116" i="4" s="1"/>
  <c r="FE116" i="4"/>
  <c r="FT116" i="4" s="1"/>
  <c r="FD116" i="4"/>
  <c r="FS116" i="4" s="1"/>
  <c r="FC116" i="4"/>
  <c r="FA116" i="4"/>
  <c r="EZ116" i="4"/>
  <c r="FO116" i="4" s="1"/>
  <c r="EY116" i="4"/>
  <c r="EX116" i="4"/>
  <c r="FN116" i="4" s="1"/>
  <c r="EW116" i="4"/>
  <c r="EV116" i="4"/>
  <c r="EU116" i="4"/>
  <c r="FK116" i="4" s="1"/>
  <c r="EA116" i="4"/>
  <c r="DX116" i="4"/>
  <c r="EB116" i="4" s="1"/>
  <c r="DW116" i="4"/>
  <c r="DV116" i="4" s="1"/>
  <c r="DZ116" i="4" s="1"/>
  <c r="DU116" i="4"/>
  <c r="DL116" i="4"/>
  <c r="DH116" i="4"/>
  <c r="DF116" i="4"/>
  <c r="DA116" i="4"/>
  <c r="CX116" i="4"/>
  <c r="CW116" i="4"/>
  <c r="CV116" i="4"/>
  <c r="CU116" i="4"/>
  <c r="DE116" i="4" s="1"/>
  <c r="CO116" i="4"/>
  <c r="FB116" i="4" s="1"/>
  <c r="FQ116" i="4" s="1"/>
  <c r="CG116" i="4"/>
  <c r="BS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Y116" i="4"/>
  <c r="Q116" i="4"/>
  <c r="B116" i="4"/>
  <c r="A116" i="4"/>
  <c r="QX115" i="4"/>
  <c r="FT115" i="4"/>
  <c r="FP115" i="4"/>
  <c r="FO115" i="4"/>
  <c r="FN115" i="4"/>
  <c r="FM115" i="4"/>
  <c r="FK115" i="4"/>
  <c r="FJ115" i="4"/>
  <c r="FY115" i="4" s="1"/>
  <c r="FI115" i="4"/>
  <c r="FX115" i="4" s="1"/>
  <c r="FH115" i="4"/>
  <c r="FV115" i="4" s="1"/>
  <c r="FG115" i="4"/>
  <c r="FU115" i="4" s="1"/>
  <c r="FE115" i="4"/>
  <c r="FD115" i="4"/>
  <c r="FS115" i="4" s="1"/>
  <c r="FC115" i="4"/>
  <c r="FR115" i="4" s="1"/>
  <c r="FA115" i="4"/>
  <c r="EZ115" i="4"/>
  <c r="EY115" i="4"/>
  <c r="EX115" i="4"/>
  <c r="EW115" i="4"/>
  <c r="EV115" i="4"/>
  <c r="FL115" i="4" s="1"/>
  <c r="EU115" i="4"/>
  <c r="EB115" i="4"/>
  <c r="EA115" i="4"/>
  <c r="DX115" i="4"/>
  <c r="DW115" i="4"/>
  <c r="DV115" i="4"/>
  <c r="DZ115" i="4" s="1"/>
  <c r="DU115" i="4"/>
  <c r="DL115" i="4"/>
  <c r="DH115" i="4"/>
  <c r="DF115" i="4"/>
  <c r="DE115" i="4"/>
  <c r="DA115" i="4"/>
  <c r="CX115" i="4"/>
  <c r="CW115" i="4"/>
  <c r="CU115" i="4"/>
  <c r="CO115" i="4"/>
  <c r="CV115" i="4" s="1"/>
  <c r="CG115" i="4"/>
  <c r="BS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Y115" i="4"/>
  <c r="Q115" i="4"/>
  <c r="B115" i="4"/>
  <c r="A115" i="4"/>
  <c r="QX114" i="4"/>
  <c r="FX114" i="4"/>
  <c r="FU114" i="4"/>
  <c r="FT114" i="4"/>
  <c r="FS114" i="4"/>
  <c r="FR114" i="4"/>
  <c r="FN114" i="4"/>
  <c r="FL114" i="4"/>
  <c r="FK114" i="4"/>
  <c r="FI114" i="4"/>
  <c r="FH114" i="4"/>
  <c r="FV114" i="4" s="1"/>
  <c r="FG114" i="4"/>
  <c r="FE114" i="4"/>
  <c r="FD114" i="4"/>
  <c r="FC114" i="4"/>
  <c r="FA114" i="4"/>
  <c r="FP114" i="4" s="1"/>
  <c r="EZ114" i="4"/>
  <c r="FO114" i="4" s="1"/>
  <c r="EY114" i="4"/>
  <c r="EX114" i="4"/>
  <c r="EW114" i="4"/>
  <c r="FM114" i="4" s="1"/>
  <c r="EV114" i="4"/>
  <c r="EU114" i="4"/>
  <c r="EB114" i="4"/>
  <c r="DX114" i="4"/>
  <c r="DW114" i="4"/>
  <c r="DV114" i="4" s="1"/>
  <c r="DZ114" i="4" s="1"/>
  <c r="DL114" i="4"/>
  <c r="DH114" i="4"/>
  <c r="DF114" i="4"/>
  <c r="DA114" i="4"/>
  <c r="CX114" i="4"/>
  <c r="FJ114" i="4" s="1"/>
  <c r="FY114" i="4" s="1"/>
  <c r="CW114" i="4"/>
  <c r="CU114" i="4"/>
  <c r="DE114" i="4" s="1"/>
  <c r="CO114" i="4"/>
  <c r="CV114" i="4" s="1"/>
  <c r="CG114" i="4"/>
  <c r="BS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Y114" i="4"/>
  <c r="Q114" i="4"/>
  <c r="B114" i="4"/>
  <c r="A114" i="4"/>
  <c r="QX113" i="4"/>
  <c r="FX113" i="4"/>
  <c r="FV113" i="4"/>
  <c r="FR113" i="4"/>
  <c r="FP113" i="4"/>
  <c r="FM113" i="4"/>
  <c r="FL113" i="4"/>
  <c r="FJ113" i="4"/>
  <c r="FY113" i="4" s="1"/>
  <c r="FI113" i="4"/>
  <c r="FH113" i="4"/>
  <c r="FG113" i="4"/>
  <c r="FU113" i="4" s="1"/>
  <c r="FE113" i="4"/>
  <c r="FT113" i="4" s="1"/>
  <c r="FD113" i="4"/>
  <c r="FS113" i="4" s="1"/>
  <c r="FC113" i="4"/>
  <c r="FA113" i="4"/>
  <c r="EZ113" i="4"/>
  <c r="FO113" i="4" s="1"/>
  <c r="EY113" i="4"/>
  <c r="EX113" i="4"/>
  <c r="FN113" i="4" s="1"/>
  <c r="EW113" i="4"/>
  <c r="EV113" i="4"/>
  <c r="EU113" i="4"/>
  <c r="FK113" i="4" s="1"/>
  <c r="EA113" i="4"/>
  <c r="DX113" i="4"/>
  <c r="EB113" i="4" s="1"/>
  <c r="DW113" i="4"/>
  <c r="DV113" i="4" s="1"/>
  <c r="DZ113" i="4" s="1"/>
  <c r="DU113" i="4"/>
  <c r="DL113" i="4"/>
  <c r="DH113" i="4"/>
  <c r="DF113" i="4"/>
  <c r="DE113" i="4"/>
  <c r="DA113" i="4"/>
  <c r="CX113" i="4"/>
  <c r="CW113" i="4"/>
  <c r="CV113" i="4"/>
  <c r="DY113" i="4" s="1"/>
  <c r="EC113" i="4" s="1"/>
  <c r="CU113" i="4"/>
  <c r="CO113" i="4"/>
  <c r="FB113" i="4" s="1"/>
  <c r="FQ113" i="4" s="1"/>
  <c r="CG113" i="4"/>
  <c r="BS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Y113" i="4"/>
  <c r="Q113" i="4"/>
  <c r="B113" i="4"/>
  <c r="A113" i="4"/>
  <c r="QX112" i="4"/>
  <c r="FT112" i="4"/>
  <c r="FP112" i="4"/>
  <c r="FO112" i="4"/>
  <c r="FN112" i="4"/>
  <c r="FM112" i="4"/>
  <c r="FK112" i="4"/>
  <c r="FJ112" i="4"/>
  <c r="FY112" i="4" s="1"/>
  <c r="FI112" i="4"/>
  <c r="FX112" i="4" s="1"/>
  <c r="FH112" i="4"/>
  <c r="FV112" i="4" s="1"/>
  <c r="FG112" i="4"/>
  <c r="FU112" i="4" s="1"/>
  <c r="FE112" i="4"/>
  <c r="FD112" i="4"/>
  <c r="FS112" i="4" s="1"/>
  <c r="FC112" i="4"/>
  <c r="FR112" i="4" s="1"/>
  <c r="FA112" i="4"/>
  <c r="EZ112" i="4"/>
  <c r="EY112" i="4"/>
  <c r="EX112" i="4"/>
  <c r="EW112" i="4"/>
  <c r="EV112" i="4"/>
  <c r="FL112" i="4" s="1"/>
  <c r="EU112" i="4"/>
  <c r="EB112" i="4"/>
  <c r="EA112" i="4"/>
  <c r="DX112" i="4"/>
  <c r="DW112" i="4"/>
  <c r="DV112" i="4"/>
  <c r="DZ112" i="4" s="1"/>
  <c r="DU112" i="4"/>
  <c r="DL112" i="4"/>
  <c r="DH112" i="4"/>
  <c r="DF112" i="4"/>
  <c r="DE112" i="4"/>
  <c r="DA112" i="4"/>
  <c r="CX112" i="4"/>
  <c r="CW112" i="4"/>
  <c r="CU112" i="4"/>
  <c r="CO112" i="4"/>
  <c r="FB112" i="4" s="1"/>
  <c r="FQ112" i="4" s="1"/>
  <c r="CG112" i="4"/>
  <c r="BS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Y112" i="4"/>
  <c r="Q112" i="4"/>
  <c r="B112" i="4"/>
  <c r="A112" i="4"/>
  <c r="QX111" i="4"/>
  <c r="FX111" i="4"/>
  <c r="FU111" i="4"/>
  <c r="FT111" i="4"/>
  <c r="FS111" i="4"/>
  <c r="FR111" i="4"/>
  <c r="FN111" i="4"/>
  <c r="FL111" i="4"/>
  <c r="FI111" i="4"/>
  <c r="FH111" i="4"/>
  <c r="FV111" i="4" s="1"/>
  <c r="FG111" i="4"/>
  <c r="FE111" i="4"/>
  <c r="FD111" i="4"/>
  <c r="FC111" i="4"/>
  <c r="FA111" i="4"/>
  <c r="FP111" i="4" s="1"/>
  <c r="EZ111" i="4"/>
  <c r="FO111" i="4" s="1"/>
  <c r="EY111" i="4"/>
  <c r="EX111" i="4"/>
  <c r="EW111" i="4"/>
  <c r="FM111" i="4" s="1"/>
  <c r="EV111" i="4"/>
  <c r="EU111" i="4"/>
  <c r="FK111" i="4" s="1"/>
  <c r="DX111" i="4"/>
  <c r="EB111" i="4" s="1"/>
  <c r="DW111" i="4"/>
  <c r="DV111" i="4" s="1"/>
  <c r="DZ111" i="4" s="1"/>
  <c r="DL111" i="4"/>
  <c r="DH111" i="4"/>
  <c r="DF111" i="4"/>
  <c r="DA111" i="4"/>
  <c r="CX111" i="4"/>
  <c r="FJ111" i="4" s="1"/>
  <c r="FY111" i="4" s="1"/>
  <c r="CW111" i="4"/>
  <c r="CU111" i="4"/>
  <c r="DE111" i="4" s="1"/>
  <c r="CO111" i="4"/>
  <c r="CV111" i="4" s="1"/>
  <c r="CG111" i="4"/>
  <c r="BS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Y111" i="4"/>
  <c r="Q111" i="4"/>
  <c r="B111" i="4"/>
  <c r="A111" i="4"/>
  <c r="QX110" i="4"/>
  <c r="FX110" i="4"/>
  <c r="FV110" i="4"/>
  <c r="FR110" i="4"/>
  <c r="FP110" i="4"/>
  <c r="FM110" i="4"/>
  <c r="FL110" i="4"/>
  <c r="FJ110" i="4"/>
  <c r="FY110" i="4" s="1"/>
  <c r="FI110" i="4"/>
  <c r="FH110" i="4"/>
  <c r="FG110" i="4"/>
  <c r="FU110" i="4" s="1"/>
  <c r="FE110" i="4"/>
  <c r="FT110" i="4" s="1"/>
  <c r="FD110" i="4"/>
  <c r="FS110" i="4" s="1"/>
  <c r="FC110" i="4"/>
  <c r="FA110" i="4"/>
  <c r="EZ110" i="4"/>
  <c r="FO110" i="4" s="1"/>
  <c r="EY110" i="4"/>
  <c r="EX110" i="4"/>
  <c r="FN110" i="4" s="1"/>
  <c r="EW110" i="4"/>
  <c r="EV110" i="4"/>
  <c r="EU110" i="4"/>
  <c r="FK110" i="4" s="1"/>
  <c r="EA110" i="4"/>
  <c r="DX110" i="4"/>
  <c r="EB110" i="4" s="1"/>
  <c r="DW110" i="4"/>
  <c r="DV110" i="4" s="1"/>
  <c r="DZ110" i="4" s="1"/>
  <c r="DU110" i="4"/>
  <c r="DL110" i="4"/>
  <c r="DH110" i="4"/>
  <c r="DF110" i="4"/>
  <c r="DA110" i="4"/>
  <c r="CX110" i="4"/>
  <c r="CW110" i="4"/>
  <c r="CV110" i="4"/>
  <c r="DY110" i="4" s="1"/>
  <c r="EC110" i="4" s="1"/>
  <c r="CU110" i="4"/>
  <c r="DE110" i="4" s="1"/>
  <c r="CO110" i="4"/>
  <c r="FB110" i="4" s="1"/>
  <c r="FQ110" i="4" s="1"/>
  <c r="CG110" i="4"/>
  <c r="BS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Y110" i="4"/>
  <c r="Q110" i="4"/>
  <c r="B110" i="4"/>
  <c r="A110" i="4"/>
  <c r="QX109" i="4"/>
  <c r="FU109" i="4"/>
  <c r="FT109" i="4"/>
  <c r="FP109" i="4"/>
  <c r="FO109" i="4"/>
  <c r="FN109" i="4"/>
  <c r="FK109" i="4"/>
  <c r="FJ109" i="4"/>
  <c r="FY109" i="4" s="1"/>
  <c r="FI109" i="4"/>
  <c r="FX109" i="4" s="1"/>
  <c r="FH109" i="4"/>
  <c r="FV109" i="4" s="1"/>
  <c r="FG109" i="4"/>
  <c r="FE109" i="4"/>
  <c r="FD109" i="4"/>
  <c r="FS109" i="4" s="1"/>
  <c r="FC109" i="4"/>
  <c r="FR109" i="4" s="1"/>
  <c r="FA109" i="4"/>
  <c r="EZ109" i="4"/>
  <c r="EY109" i="4"/>
  <c r="EX109" i="4"/>
  <c r="EW109" i="4"/>
  <c r="FM109" i="4" s="1"/>
  <c r="EV109" i="4"/>
  <c r="FL109" i="4" s="1"/>
  <c r="EU109" i="4"/>
  <c r="EB109" i="4"/>
  <c r="EA109" i="4"/>
  <c r="DX109" i="4"/>
  <c r="DW109" i="4"/>
  <c r="DV109" i="4"/>
  <c r="DZ109" i="4" s="1"/>
  <c r="DU109" i="4"/>
  <c r="DL109" i="4"/>
  <c r="DH109" i="4"/>
  <c r="DF109" i="4"/>
  <c r="DE109" i="4"/>
  <c r="DA109" i="4"/>
  <c r="CX109" i="4"/>
  <c r="CU109" i="4"/>
  <c r="CO109" i="4"/>
  <c r="FB109" i="4" s="1"/>
  <c r="FQ109" i="4" s="1"/>
  <c r="CG109" i="4"/>
  <c r="BS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Y109" i="4"/>
  <c r="Q109" i="4"/>
  <c r="B109" i="4"/>
  <c r="A109" i="4"/>
  <c r="QX108" i="4"/>
  <c r="FX108" i="4"/>
  <c r="FU108" i="4"/>
  <c r="FT108" i="4"/>
  <c r="FS108" i="4"/>
  <c r="FR108" i="4"/>
  <c r="FN108" i="4"/>
  <c r="FL108" i="4"/>
  <c r="FI108" i="4"/>
  <c r="FH108" i="4"/>
  <c r="FV108" i="4" s="1"/>
  <c r="FG108" i="4"/>
  <c r="FE108" i="4"/>
  <c r="FD108" i="4"/>
  <c r="FC108" i="4"/>
  <c r="FA108" i="4"/>
  <c r="FP108" i="4" s="1"/>
  <c r="EZ108" i="4"/>
  <c r="FO108" i="4" s="1"/>
  <c r="EY108" i="4"/>
  <c r="EX108" i="4"/>
  <c r="EW108" i="4"/>
  <c r="FM108" i="4" s="1"/>
  <c r="EV108" i="4"/>
  <c r="EU108" i="4"/>
  <c r="FK108" i="4" s="1"/>
  <c r="DX108" i="4"/>
  <c r="EB108" i="4" s="1"/>
  <c r="DW108" i="4"/>
  <c r="DV108" i="4" s="1"/>
  <c r="DZ108" i="4" s="1"/>
  <c r="DL108" i="4"/>
  <c r="DH108" i="4"/>
  <c r="DF108" i="4"/>
  <c r="DA108" i="4"/>
  <c r="CX108" i="4"/>
  <c r="FJ108" i="4" s="1"/>
  <c r="FY108" i="4" s="1"/>
  <c r="CU108" i="4"/>
  <c r="DE108" i="4" s="1"/>
  <c r="CO108" i="4"/>
  <c r="CW108" i="4" s="1"/>
  <c r="CG108" i="4"/>
  <c r="BS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Y108" i="4"/>
  <c r="Q108" i="4"/>
  <c r="B108" i="4"/>
  <c r="A108" i="4"/>
  <c r="QX107" i="4"/>
  <c r="FX107" i="4"/>
  <c r="FV107" i="4"/>
  <c r="FR107" i="4"/>
  <c r="FP107" i="4"/>
  <c r="FM107" i="4"/>
  <c r="FL107" i="4"/>
  <c r="FJ107" i="4"/>
  <c r="FY107" i="4" s="1"/>
  <c r="FI107" i="4"/>
  <c r="FH107" i="4"/>
  <c r="FG107" i="4"/>
  <c r="FU107" i="4" s="1"/>
  <c r="FE107" i="4"/>
  <c r="FT107" i="4" s="1"/>
  <c r="FD107" i="4"/>
  <c r="FS107" i="4" s="1"/>
  <c r="FC107" i="4"/>
  <c r="FA107" i="4"/>
  <c r="EZ107" i="4"/>
  <c r="FO107" i="4" s="1"/>
  <c r="EY107" i="4"/>
  <c r="EX107" i="4"/>
  <c r="FN107" i="4" s="1"/>
  <c r="EW107" i="4"/>
  <c r="EV107" i="4"/>
  <c r="EU107" i="4"/>
  <c r="FK107" i="4" s="1"/>
  <c r="EA107" i="4"/>
  <c r="DX107" i="4"/>
  <c r="EB107" i="4" s="1"/>
  <c r="DW107" i="4"/>
  <c r="DV107" i="4" s="1"/>
  <c r="DZ107" i="4" s="1"/>
  <c r="DU107" i="4"/>
  <c r="DL107" i="4"/>
  <c r="DH107" i="4"/>
  <c r="DF107" i="4"/>
  <c r="DA107" i="4"/>
  <c r="CX107" i="4"/>
  <c r="CW107" i="4"/>
  <c r="CV107" i="4"/>
  <c r="DY107" i="4" s="1"/>
  <c r="EC107" i="4" s="1"/>
  <c r="CU107" i="4"/>
  <c r="DE107" i="4" s="1"/>
  <c r="CO107" i="4"/>
  <c r="FB107" i="4" s="1"/>
  <c r="FQ107" i="4" s="1"/>
  <c r="CG107" i="4"/>
  <c r="BS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Y107" i="4"/>
  <c r="Q107" i="4"/>
  <c r="B107" i="4"/>
  <c r="A107" i="4"/>
  <c r="QX106" i="4"/>
  <c r="FU106" i="4"/>
  <c r="FT106" i="4"/>
  <c r="FP106" i="4"/>
  <c r="FO106" i="4"/>
  <c r="FN106" i="4"/>
  <c r="FK106" i="4"/>
  <c r="FJ106" i="4"/>
  <c r="FY106" i="4" s="1"/>
  <c r="FI106" i="4"/>
  <c r="FX106" i="4" s="1"/>
  <c r="FH106" i="4"/>
  <c r="FV106" i="4" s="1"/>
  <c r="FG106" i="4"/>
  <c r="FE106" i="4"/>
  <c r="FD106" i="4"/>
  <c r="FS106" i="4" s="1"/>
  <c r="FC106" i="4"/>
  <c r="FR106" i="4" s="1"/>
  <c r="FA106" i="4"/>
  <c r="EZ106" i="4"/>
  <c r="EY106" i="4"/>
  <c r="EX106" i="4"/>
  <c r="EW106" i="4"/>
  <c r="FM106" i="4" s="1"/>
  <c r="EV106" i="4"/>
  <c r="FL106" i="4" s="1"/>
  <c r="EU106" i="4"/>
  <c r="EB106" i="4"/>
  <c r="EA106" i="4"/>
  <c r="DX106" i="4"/>
  <c r="DW106" i="4"/>
  <c r="DV106" i="4"/>
  <c r="DZ106" i="4" s="1"/>
  <c r="DU106" i="4"/>
  <c r="DL106" i="4"/>
  <c r="DH106" i="4"/>
  <c r="DF106" i="4"/>
  <c r="DE106" i="4"/>
  <c r="DA106" i="4"/>
  <c r="CX106" i="4"/>
  <c r="CW106" i="4"/>
  <c r="CU106" i="4"/>
  <c r="CO106" i="4"/>
  <c r="FB106" i="4" s="1"/>
  <c r="FQ106" i="4" s="1"/>
  <c r="CG106" i="4"/>
  <c r="BS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Y106" i="4"/>
  <c r="Q106" i="4"/>
  <c r="B106" i="4"/>
  <c r="A106" i="4"/>
  <c r="QX105" i="4"/>
  <c r="FX105" i="4"/>
  <c r="FU105" i="4"/>
  <c r="FT105" i="4"/>
  <c r="FS105" i="4"/>
  <c r="FR105" i="4"/>
  <c r="FN105" i="4"/>
  <c r="FL105" i="4"/>
  <c r="FI105" i="4"/>
  <c r="FH105" i="4"/>
  <c r="FV105" i="4" s="1"/>
  <c r="FG105" i="4"/>
  <c r="FE105" i="4"/>
  <c r="FD105" i="4"/>
  <c r="FC105" i="4"/>
  <c r="FA105" i="4"/>
  <c r="FP105" i="4" s="1"/>
  <c r="EZ105" i="4"/>
  <c r="FO105" i="4" s="1"/>
  <c r="EY105" i="4"/>
  <c r="EX105" i="4"/>
  <c r="EW105" i="4"/>
  <c r="FM105" i="4" s="1"/>
  <c r="EV105" i="4"/>
  <c r="EU105" i="4"/>
  <c r="FK105" i="4" s="1"/>
  <c r="DX105" i="4"/>
  <c r="EB105" i="4" s="1"/>
  <c r="DW105" i="4"/>
  <c r="DV105" i="4" s="1"/>
  <c r="DZ105" i="4" s="1"/>
  <c r="DL105" i="4"/>
  <c r="DH105" i="4"/>
  <c r="DF105" i="4"/>
  <c r="DA105" i="4"/>
  <c r="CX105" i="4"/>
  <c r="FJ105" i="4" s="1"/>
  <c r="FY105" i="4" s="1"/>
  <c r="CU105" i="4"/>
  <c r="DE105" i="4" s="1"/>
  <c r="CO105" i="4"/>
  <c r="CW105" i="4" s="1"/>
  <c r="CG105" i="4"/>
  <c r="BS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Y105" i="4"/>
  <c r="Q105" i="4"/>
  <c r="B105" i="4"/>
  <c r="A105" i="4"/>
  <c r="QX104" i="4"/>
  <c r="FX104" i="4"/>
  <c r="FV104" i="4"/>
  <c r="FR104" i="4"/>
  <c r="FP104" i="4"/>
  <c r="FM104" i="4"/>
  <c r="FL104" i="4"/>
  <c r="FJ104" i="4"/>
  <c r="FY104" i="4" s="1"/>
  <c r="FI104" i="4"/>
  <c r="FH104" i="4"/>
  <c r="FG104" i="4"/>
  <c r="FU104" i="4" s="1"/>
  <c r="FE104" i="4"/>
  <c r="FT104" i="4" s="1"/>
  <c r="FD104" i="4"/>
  <c r="FS104" i="4" s="1"/>
  <c r="FC104" i="4"/>
  <c r="FA104" i="4"/>
  <c r="EZ104" i="4"/>
  <c r="FO104" i="4" s="1"/>
  <c r="EY104" i="4"/>
  <c r="EX104" i="4"/>
  <c r="FN104" i="4" s="1"/>
  <c r="EW104" i="4"/>
  <c r="EV104" i="4"/>
  <c r="EU104" i="4"/>
  <c r="FK104" i="4" s="1"/>
  <c r="EA104" i="4"/>
  <c r="DX104" i="4"/>
  <c r="EB104" i="4" s="1"/>
  <c r="DW104" i="4"/>
  <c r="DV104" i="4" s="1"/>
  <c r="DZ104" i="4" s="1"/>
  <c r="DU104" i="4"/>
  <c r="DL104" i="4"/>
  <c r="DH104" i="4"/>
  <c r="DF104" i="4"/>
  <c r="DA104" i="4"/>
  <c r="CX104" i="4"/>
  <c r="CW104" i="4"/>
  <c r="CV104" i="4"/>
  <c r="DY104" i="4" s="1"/>
  <c r="EC104" i="4" s="1"/>
  <c r="CU104" i="4"/>
  <c r="DE104" i="4" s="1"/>
  <c r="CO104" i="4"/>
  <c r="FB104" i="4" s="1"/>
  <c r="FQ104" i="4" s="1"/>
  <c r="CK104" i="4"/>
  <c r="CG104" i="4"/>
  <c r="BS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Y104" i="4"/>
  <c r="Q104" i="4"/>
  <c r="B104" i="4"/>
  <c r="A104" i="4"/>
  <c r="QX103" i="4"/>
  <c r="FU103" i="4"/>
  <c r="FP103" i="4"/>
  <c r="FO103" i="4"/>
  <c r="FN103" i="4"/>
  <c r="FL103" i="4"/>
  <c r="FK103" i="4"/>
  <c r="FI103" i="4"/>
  <c r="FX103" i="4" s="1"/>
  <c r="FH103" i="4"/>
  <c r="FV103" i="4" s="1"/>
  <c r="FG103" i="4"/>
  <c r="FE103" i="4"/>
  <c r="FT103" i="4" s="1"/>
  <c r="FD103" i="4"/>
  <c r="FS103" i="4" s="1"/>
  <c r="FC103" i="4"/>
  <c r="FR103" i="4" s="1"/>
  <c r="FA103" i="4"/>
  <c r="EZ103" i="4"/>
  <c r="EY103" i="4"/>
  <c r="EX103" i="4"/>
  <c r="EW103" i="4"/>
  <c r="FM103" i="4" s="1"/>
  <c r="EV103" i="4"/>
  <c r="EU103" i="4"/>
  <c r="EB103" i="4"/>
  <c r="DX103" i="4"/>
  <c r="DW103" i="4"/>
  <c r="DV103" i="4" s="1"/>
  <c r="DZ103" i="4" s="1"/>
  <c r="DL103" i="4"/>
  <c r="DH103" i="4"/>
  <c r="DF103" i="4"/>
  <c r="DA103" i="4"/>
  <c r="CX103" i="4"/>
  <c r="FJ103" i="4" s="1"/>
  <c r="FY103" i="4" s="1"/>
  <c r="CW103" i="4"/>
  <c r="CU103" i="4"/>
  <c r="DE103" i="4" s="1"/>
  <c r="CO103" i="4"/>
  <c r="FB103" i="4" s="1"/>
  <c r="FQ103" i="4" s="1"/>
  <c r="CG103" i="4"/>
  <c r="BS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Y103" i="4"/>
  <c r="Q103" i="4"/>
  <c r="B103" i="4"/>
  <c r="A103" i="4"/>
  <c r="QX102" i="4"/>
  <c r="FY102" i="4"/>
  <c r="FV102" i="4"/>
  <c r="FT102" i="4"/>
  <c r="FS102" i="4"/>
  <c r="FO102" i="4"/>
  <c r="FM102" i="4"/>
  <c r="FL102" i="4"/>
  <c r="FJ102" i="4"/>
  <c r="FI102" i="4"/>
  <c r="FX102" i="4" s="1"/>
  <c r="FH102" i="4"/>
  <c r="FG102" i="4"/>
  <c r="FU102" i="4" s="1"/>
  <c r="FE102" i="4"/>
  <c r="FD102" i="4"/>
  <c r="FC102" i="4"/>
  <c r="FR102" i="4" s="1"/>
  <c r="FA102" i="4"/>
  <c r="FP102" i="4" s="1"/>
  <c r="EZ102" i="4"/>
  <c r="EY102" i="4"/>
  <c r="EX102" i="4"/>
  <c r="FN102" i="4" s="1"/>
  <c r="EW102" i="4"/>
  <c r="EV102" i="4"/>
  <c r="EU102" i="4"/>
  <c r="FK102" i="4" s="1"/>
  <c r="EA102" i="4"/>
  <c r="DX102" i="4"/>
  <c r="EB102" i="4" s="1"/>
  <c r="DW102" i="4"/>
  <c r="DV102" i="4" s="1"/>
  <c r="DZ102" i="4" s="1"/>
  <c r="DU102" i="4"/>
  <c r="DL102" i="4"/>
  <c r="DH102" i="4"/>
  <c r="DG102" i="4"/>
  <c r="DF102" i="4"/>
  <c r="DE102" i="4"/>
  <c r="DA102" i="4"/>
  <c r="CX102" i="4"/>
  <c r="CV102" i="4"/>
  <c r="FF102" i="4" s="1"/>
  <c r="FW102" i="4" s="1"/>
  <c r="CO102" i="4"/>
  <c r="CW102" i="4" s="1"/>
  <c r="CG102" i="4"/>
  <c r="BS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Y102" i="4"/>
  <c r="Q102" i="4"/>
  <c r="B102" i="4"/>
  <c r="A102" i="4"/>
  <c r="QX101" i="4"/>
  <c r="FX101" i="4"/>
  <c r="FV101" i="4"/>
  <c r="FR101" i="4"/>
  <c r="FP101" i="4"/>
  <c r="FM101" i="4"/>
  <c r="FL101" i="4"/>
  <c r="FJ101" i="4"/>
  <c r="FY101" i="4" s="1"/>
  <c r="FI101" i="4"/>
  <c r="FH101" i="4"/>
  <c r="FG101" i="4"/>
  <c r="FU101" i="4" s="1"/>
  <c r="FE101" i="4"/>
  <c r="FT101" i="4" s="1"/>
  <c r="FD101" i="4"/>
  <c r="FS101" i="4" s="1"/>
  <c r="FC101" i="4"/>
  <c r="FA101" i="4"/>
  <c r="EZ101" i="4"/>
  <c r="FO101" i="4" s="1"/>
  <c r="EY101" i="4"/>
  <c r="EX101" i="4"/>
  <c r="FN101" i="4" s="1"/>
  <c r="EW101" i="4"/>
  <c r="EV101" i="4"/>
  <c r="EU101" i="4"/>
  <c r="FK101" i="4" s="1"/>
  <c r="EA101" i="4"/>
  <c r="DX101" i="4"/>
  <c r="EB101" i="4" s="1"/>
  <c r="DW101" i="4"/>
  <c r="DV101" i="4" s="1"/>
  <c r="DZ101" i="4" s="1"/>
  <c r="DU101" i="4"/>
  <c r="DL101" i="4"/>
  <c r="DH101" i="4"/>
  <c r="DF101" i="4"/>
  <c r="DA101" i="4"/>
  <c r="CX101" i="4"/>
  <c r="CW101" i="4"/>
  <c r="CV101" i="4"/>
  <c r="CU101" i="4"/>
  <c r="DE101" i="4" s="1"/>
  <c r="CO101" i="4"/>
  <c r="FB101" i="4" s="1"/>
  <c r="FQ101" i="4" s="1"/>
  <c r="CK101" i="4"/>
  <c r="CG101" i="4"/>
  <c r="BS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Y101" i="4"/>
  <c r="Q101" i="4"/>
  <c r="B101" i="4"/>
  <c r="A101" i="4"/>
  <c r="QX100" i="4"/>
  <c r="FU100" i="4"/>
  <c r="FP100" i="4"/>
  <c r="FO100" i="4"/>
  <c r="FN100" i="4"/>
  <c r="FL100" i="4"/>
  <c r="FK100" i="4"/>
  <c r="FI100" i="4"/>
  <c r="FX100" i="4" s="1"/>
  <c r="FH100" i="4"/>
  <c r="FV100" i="4" s="1"/>
  <c r="FG100" i="4"/>
  <c r="FE100" i="4"/>
  <c r="FT100" i="4" s="1"/>
  <c r="FD100" i="4"/>
  <c r="FS100" i="4" s="1"/>
  <c r="FC100" i="4"/>
  <c r="FR100" i="4" s="1"/>
  <c r="FA100" i="4"/>
  <c r="EZ100" i="4"/>
  <c r="EY100" i="4"/>
  <c r="EX100" i="4"/>
  <c r="EW100" i="4"/>
  <c r="FM100" i="4" s="1"/>
  <c r="EV100" i="4"/>
  <c r="EU100" i="4"/>
  <c r="EB100" i="4"/>
  <c r="DX100" i="4"/>
  <c r="DW100" i="4"/>
  <c r="DV100" i="4" s="1"/>
  <c r="DZ100" i="4" s="1"/>
  <c r="DL100" i="4"/>
  <c r="DH100" i="4"/>
  <c r="DF100" i="4"/>
  <c r="DA100" i="4"/>
  <c r="CX100" i="4"/>
  <c r="FJ100" i="4" s="1"/>
  <c r="FY100" i="4" s="1"/>
  <c r="CW100" i="4"/>
  <c r="CU100" i="4"/>
  <c r="DE100" i="4" s="1"/>
  <c r="CO100" i="4"/>
  <c r="FB100" i="4" s="1"/>
  <c r="FQ100" i="4" s="1"/>
  <c r="CG100" i="4"/>
  <c r="BS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Y100" i="4"/>
  <c r="Q100" i="4"/>
  <c r="B100" i="4"/>
  <c r="A100" i="4"/>
  <c r="QX99" i="4"/>
  <c r="FY99" i="4"/>
  <c r="FV99" i="4"/>
  <c r="FT99" i="4"/>
  <c r="FS99" i="4"/>
  <c r="FO99" i="4"/>
  <c r="FM99" i="4"/>
  <c r="FL99" i="4"/>
  <c r="FJ99" i="4"/>
  <c r="FI99" i="4"/>
  <c r="FX99" i="4" s="1"/>
  <c r="FH99" i="4"/>
  <c r="FG99" i="4"/>
  <c r="FU99" i="4" s="1"/>
  <c r="FE99" i="4"/>
  <c r="FD99" i="4"/>
  <c r="FC99" i="4"/>
  <c r="FR99" i="4" s="1"/>
  <c r="FA99" i="4"/>
  <c r="FP99" i="4" s="1"/>
  <c r="EZ99" i="4"/>
  <c r="EY99" i="4"/>
  <c r="EX99" i="4"/>
  <c r="FN99" i="4" s="1"/>
  <c r="EW99" i="4"/>
  <c r="EV99" i="4"/>
  <c r="EU99" i="4"/>
  <c r="FK99" i="4" s="1"/>
  <c r="EA99" i="4"/>
  <c r="DX99" i="4"/>
  <c r="EB99" i="4" s="1"/>
  <c r="DW99" i="4"/>
  <c r="DV99" i="4" s="1"/>
  <c r="DZ99" i="4" s="1"/>
  <c r="DU99" i="4"/>
  <c r="DL99" i="4"/>
  <c r="DH99" i="4"/>
  <c r="DG99" i="4"/>
  <c r="DF99" i="4"/>
  <c r="DA99" i="4"/>
  <c r="CX99" i="4"/>
  <c r="CV99" i="4"/>
  <c r="FF99" i="4" s="1"/>
  <c r="FW99" i="4" s="1"/>
  <c r="CU99" i="4"/>
  <c r="DE99" i="4" s="1"/>
  <c r="CO99" i="4"/>
  <c r="CW99" i="4" s="1"/>
  <c r="CG99" i="4"/>
  <c r="BS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Y99" i="4"/>
  <c r="Q99" i="4"/>
  <c r="B99" i="4"/>
  <c r="A99" i="4"/>
  <c r="QX98" i="4"/>
  <c r="FY98" i="4"/>
  <c r="FX98" i="4"/>
  <c r="FS98" i="4"/>
  <c r="FR98" i="4"/>
  <c r="FN98" i="4"/>
  <c r="FM98" i="4"/>
  <c r="FK98" i="4"/>
  <c r="FJ98" i="4"/>
  <c r="FI98" i="4"/>
  <c r="FH98" i="4"/>
  <c r="FV98" i="4" s="1"/>
  <c r="FG98" i="4"/>
  <c r="FU98" i="4" s="1"/>
  <c r="FE98" i="4"/>
  <c r="FT98" i="4" s="1"/>
  <c r="FD98" i="4"/>
  <c r="FC98" i="4"/>
  <c r="FA98" i="4"/>
  <c r="FP98" i="4" s="1"/>
  <c r="EZ98" i="4"/>
  <c r="FO98" i="4" s="1"/>
  <c r="EY98" i="4"/>
  <c r="EX98" i="4"/>
  <c r="EW98" i="4"/>
  <c r="EV98" i="4"/>
  <c r="FL98" i="4" s="1"/>
  <c r="EU98" i="4"/>
  <c r="EB98" i="4"/>
  <c r="EA98" i="4"/>
  <c r="DX98" i="4"/>
  <c r="DW98" i="4"/>
  <c r="DV98" i="4"/>
  <c r="DZ98" i="4" s="1"/>
  <c r="DU98" i="4"/>
  <c r="DL98" i="4"/>
  <c r="DH98" i="4"/>
  <c r="DF98" i="4"/>
  <c r="DE98" i="4"/>
  <c r="DA98" i="4"/>
  <c r="CX98" i="4"/>
  <c r="CW98" i="4"/>
  <c r="CU98" i="4"/>
  <c r="CO98" i="4"/>
  <c r="CV98" i="4" s="1"/>
  <c r="CG98" i="4"/>
  <c r="BS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Y98" i="4"/>
  <c r="Q98" i="4"/>
  <c r="B98" i="4"/>
  <c r="A98" i="4"/>
  <c r="QX97" i="4"/>
  <c r="FU97" i="4"/>
  <c r="FP97" i="4"/>
  <c r="FO97" i="4"/>
  <c r="FN97" i="4"/>
  <c r="FL97" i="4"/>
  <c r="FK97" i="4"/>
  <c r="FI97" i="4"/>
  <c r="FX97" i="4" s="1"/>
  <c r="FH97" i="4"/>
  <c r="FV97" i="4" s="1"/>
  <c r="FG97" i="4"/>
  <c r="FE97" i="4"/>
  <c r="FT97" i="4" s="1"/>
  <c r="FD97" i="4"/>
  <c r="FS97" i="4" s="1"/>
  <c r="FC97" i="4"/>
  <c r="FR97" i="4" s="1"/>
  <c r="FA97" i="4"/>
  <c r="EZ97" i="4"/>
  <c r="EY97" i="4"/>
  <c r="EX97" i="4"/>
  <c r="EW97" i="4"/>
  <c r="FM97" i="4" s="1"/>
  <c r="EV97" i="4"/>
  <c r="EU97" i="4"/>
  <c r="EB97" i="4"/>
  <c r="DX97" i="4"/>
  <c r="DW97" i="4"/>
  <c r="DV97" i="4" s="1"/>
  <c r="DZ97" i="4" s="1"/>
  <c r="DL97" i="4"/>
  <c r="DH97" i="4"/>
  <c r="DF97" i="4"/>
  <c r="DA97" i="4"/>
  <c r="CX97" i="4"/>
  <c r="FJ97" i="4" s="1"/>
  <c r="FY97" i="4" s="1"/>
  <c r="CW97" i="4"/>
  <c r="CU97" i="4"/>
  <c r="DE97" i="4" s="1"/>
  <c r="CO97" i="4"/>
  <c r="FB97" i="4" s="1"/>
  <c r="FQ97" i="4" s="1"/>
  <c r="CG97" i="4"/>
  <c r="BS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Y97" i="4"/>
  <c r="Q97" i="4"/>
  <c r="B97" i="4"/>
  <c r="A97" i="4"/>
  <c r="QX96" i="4"/>
  <c r="FY96" i="4"/>
  <c r="FV96" i="4"/>
  <c r="FT96" i="4"/>
  <c r="FS96" i="4"/>
  <c r="FO96" i="4"/>
  <c r="FM96" i="4"/>
  <c r="FL96" i="4"/>
  <c r="FJ96" i="4"/>
  <c r="FI96" i="4"/>
  <c r="FX96" i="4" s="1"/>
  <c r="FH96" i="4"/>
  <c r="FG96" i="4"/>
  <c r="FU96" i="4" s="1"/>
  <c r="FE96" i="4"/>
  <c r="FD96" i="4"/>
  <c r="FC96" i="4"/>
  <c r="FR96" i="4" s="1"/>
  <c r="FA96" i="4"/>
  <c r="FP96" i="4" s="1"/>
  <c r="EZ96" i="4"/>
  <c r="EY96" i="4"/>
  <c r="EX96" i="4"/>
  <c r="FN96" i="4" s="1"/>
  <c r="EW96" i="4"/>
  <c r="EV96" i="4"/>
  <c r="EU96" i="4"/>
  <c r="FK96" i="4" s="1"/>
  <c r="EA96" i="4"/>
  <c r="DX96" i="4"/>
  <c r="EB96" i="4" s="1"/>
  <c r="DW96" i="4"/>
  <c r="DV96" i="4" s="1"/>
  <c r="DZ96" i="4" s="1"/>
  <c r="DU96" i="4"/>
  <c r="DL96" i="4"/>
  <c r="DH96" i="4"/>
  <c r="DG96" i="4"/>
  <c r="DF96" i="4"/>
  <c r="DA96" i="4"/>
  <c r="CX96" i="4"/>
  <c r="CW96" i="4"/>
  <c r="CV96" i="4"/>
  <c r="FF96" i="4" s="1"/>
  <c r="FW96" i="4" s="1"/>
  <c r="CU96" i="4"/>
  <c r="DE96" i="4" s="1"/>
  <c r="CO96" i="4"/>
  <c r="FB96" i="4" s="1"/>
  <c r="FQ96" i="4" s="1"/>
  <c r="CG96" i="4"/>
  <c r="BS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Y96" i="4"/>
  <c r="Q96" i="4"/>
  <c r="B96" i="4"/>
  <c r="A96" i="4"/>
  <c r="QX95" i="4"/>
  <c r="FY95" i="4"/>
  <c r="FX95" i="4"/>
  <c r="FS95" i="4"/>
  <c r="FR95" i="4"/>
  <c r="FN95" i="4"/>
  <c r="FM95" i="4"/>
  <c r="FK95" i="4"/>
  <c r="FJ95" i="4"/>
  <c r="FI95" i="4"/>
  <c r="FH95" i="4"/>
  <c r="FV95" i="4" s="1"/>
  <c r="FG95" i="4"/>
  <c r="FU95" i="4" s="1"/>
  <c r="FE95" i="4"/>
  <c r="FT95" i="4" s="1"/>
  <c r="FD95" i="4"/>
  <c r="FC95" i="4"/>
  <c r="FA95" i="4"/>
  <c r="FP95" i="4" s="1"/>
  <c r="EZ95" i="4"/>
  <c r="FO95" i="4" s="1"/>
  <c r="EY95" i="4"/>
  <c r="EX95" i="4"/>
  <c r="EW95" i="4"/>
  <c r="EV95" i="4"/>
  <c r="FL95" i="4" s="1"/>
  <c r="EU95" i="4"/>
  <c r="EB95" i="4"/>
  <c r="EA95" i="4"/>
  <c r="DX95" i="4"/>
  <c r="DW95" i="4"/>
  <c r="DV95" i="4"/>
  <c r="DZ95" i="4" s="1"/>
  <c r="DU95" i="4"/>
  <c r="DL95" i="4"/>
  <c r="DH95" i="4"/>
  <c r="DF95" i="4"/>
  <c r="DE95" i="4"/>
  <c r="DA95" i="4"/>
  <c r="CX95" i="4"/>
  <c r="CW95" i="4"/>
  <c r="CU95" i="4"/>
  <c r="CO95" i="4"/>
  <c r="CV95" i="4" s="1"/>
  <c r="CG95" i="4"/>
  <c r="BS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Y95" i="4"/>
  <c r="Q95" i="4"/>
  <c r="B95" i="4"/>
  <c r="A95" i="4"/>
  <c r="QX94" i="4"/>
  <c r="FU94" i="4"/>
  <c r="FP94" i="4"/>
  <c r="FO94" i="4"/>
  <c r="FN94" i="4"/>
  <c r="FL94" i="4"/>
  <c r="FK94" i="4"/>
  <c r="FI94" i="4"/>
  <c r="FX94" i="4" s="1"/>
  <c r="FH94" i="4"/>
  <c r="FV94" i="4" s="1"/>
  <c r="FG94" i="4"/>
  <c r="FE94" i="4"/>
  <c r="FT94" i="4" s="1"/>
  <c r="FD94" i="4"/>
  <c r="FS94" i="4" s="1"/>
  <c r="FC94" i="4"/>
  <c r="FR94" i="4" s="1"/>
  <c r="FA94" i="4"/>
  <c r="EZ94" i="4"/>
  <c r="EY94" i="4"/>
  <c r="EX94" i="4"/>
  <c r="EW94" i="4"/>
  <c r="FM94" i="4" s="1"/>
  <c r="EV94" i="4"/>
  <c r="EU94" i="4"/>
  <c r="EB94" i="4"/>
  <c r="DX94" i="4"/>
  <c r="DW94" i="4"/>
  <c r="DV94" i="4" s="1"/>
  <c r="DZ94" i="4" s="1"/>
  <c r="DL94" i="4"/>
  <c r="DH94" i="4"/>
  <c r="DF94" i="4"/>
  <c r="DA94" i="4"/>
  <c r="CX94" i="4"/>
  <c r="FJ94" i="4" s="1"/>
  <c r="FY94" i="4" s="1"/>
  <c r="CW94" i="4"/>
  <c r="CU94" i="4"/>
  <c r="DE94" i="4" s="1"/>
  <c r="CO94" i="4"/>
  <c r="FB94" i="4" s="1"/>
  <c r="FQ94" i="4" s="1"/>
  <c r="CG94" i="4"/>
  <c r="BS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Y94" i="4"/>
  <c r="Q94" i="4"/>
  <c r="B94" i="4"/>
  <c r="A94" i="4"/>
  <c r="QX93" i="4"/>
  <c r="FY93" i="4"/>
  <c r="FV93" i="4"/>
  <c r="FT93" i="4"/>
  <c r="FS93" i="4"/>
  <c r="FO93" i="4"/>
  <c r="FM93" i="4"/>
  <c r="FL93" i="4"/>
  <c r="FJ93" i="4"/>
  <c r="FI93" i="4"/>
  <c r="FX93" i="4" s="1"/>
  <c r="FH93" i="4"/>
  <c r="FG93" i="4"/>
  <c r="FU93" i="4" s="1"/>
  <c r="FE93" i="4"/>
  <c r="FD93" i="4"/>
  <c r="FC93" i="4"/>
  <c r="FR93" i="4" s="1"/>
  <c r="FA93" i="4"/>
  <c r="FP93" i="4" s="1"/>
  <c r="EZ93" i="4"/>
  <c r="EY93" i="4"/>
  <c r="EX93" i="4"/>
  <c r="FN93" i="4" s="1"/>
  <c r="EW93" i="4"/>
  <c r="EV93" i="4"/>
  <c r="EU93" i="4"/>
  <c r="FK93" i="4" s="1"/>
  <c r="EA93" i="4"/>
  <c r="DX93" i="4"/>
  <c r="EB93" i="4" s="1"/>
  <c r="DW93" i="4"/>
  <c r="DV93" i="4" s="1"/>
  <c r="DZ93" i="4" s="1"/>
  <c r="DU93" i="4"/>
  <c r="DL93" i="4"/>
  <c r="DH93" i="4"/>
  <c r="DG93" i="4"/>
  <c r="DF93" i="4"/>
  <c r="DA93" i="4"/>
  <c r="CX93" i="4"/>
  <c r="CV93" i="4"/>
  <c r="FF93" i="4" s="1"/>
  <c r="FW93" i="4" s="1"/>
  <c r="CU93" i="4"/>
  <c r="DE93" i="4" s="1"/>
  <c r="CO93" i="4"/>
  <c r="CW93" i="4" s="1"/>
  <c r="CG93" i="4"/>
  <c r="BS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Y93" i="4"/>
  <c r="Q93" i="4"/>
  <c r="B93" i="4"/>
  <c r="A93" i="4"/>
  <c r="QX92" i="4"/>
  <c r="FY92" i="4"/>
  <c r="FX92" i="4"/>
  <c r="FS92" i="4"/>
  <c r="FR92" i="4"/>
  <c r="FN92" i="4"/>
  <c r="FM92" i="4"/>
  <c r="FK92" i="4"/>
  <c r="FJ92" i="4"/>
  <c r="FI92" i="4"/>
  <c r="FH92" i="4"/>
  <c r="FV92" i="4" s="1"/>
  <c r="FG92" i="4"/>
  <c r="FU92" i="4" s="1"/>
  <c r="FE92" i="4"/>
  <c r="FT92" i="4" s="1"/>
  <c r="FD92" i="4"/>
  <c r="FC92" i="4"/>
  <c r="FA92" i="4"/>
  <c r="FP92" i="4" s="1"/>
  <c r="EZ92" i="4"/>
  <c r="FO92" i="4" s="1"/>
  <c r="EY92" i="4"/>
  <c r="EX92" i="4"/>
  <c r="EW92" i="4"/>
  <c r="EV92" i="4"/>
  <c r="FL92" i="4" s="1"/>
  <c r="EU92" i="4"/>
  <c r="EB92" i="4"/>
  <c r="EA92" i="4"/>
  <c r="DX92" i="4"/>
  <c r="DW92" i="4"/>
  <c r="DV92" i="4"/>
  <c r="DZ92" i="4" s="1"/>
  <c r="DU92" i="4"/>
  <c r="DL92" i="4"/>
  <c r="DH92" i="4"/>
  <c r="DF92" i="4"/>
  <c r="DE92" i="4"/>
  <c r="DA92" i="4"/>
  <c r="CX92" i="4"/>
  <c r="CW92" i="4"/>
  <c r="CU92" i="4"/>
  <c r="CO92" i="4"/>
  <c r="CV92" i="4" s="1"/>
  <c r="CG92" i="4"/>
  <c r="BS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Y92" i="4"/>
  <c r="Q92" i="4"/>
  <c r="B92" i="4"/>
  <c r="A92" i="4"/>
  <c r="QX91" i="4"/>
  <c r="FU91" i="4"/>
  <c r="FP91" i="4"/>
  <c r="FO91" i="4"/>
  <c r="FN91" i="4"/>
  <c r="FL91" i="4"/>
  <c r="FK91" i="4"/>
  <c r="FI91" i="4"/>
  <c r="FX91" i="4" s="1"/>
  <c r="FH91" i="4"/>
  <c r="FV91" i="4" s="1"/>
  <c r="FG91" i="4"/>
  <c r="FE91" i="4"/>
  <c r="FT91" i="4" s="1"/>
  <c r="FD91" i="4"/>
  <c r="FS91" i="4" s="1"/>
  <c r="FC91" i="4"/>
  <c r="FR91" i="4" s="1"/>
  <c r="FA91" i="4"/>
  <c r="EZ91" i="4"/>
  <c r="EY91" i="4"/>
  <c r="EX91" i="4"/>
  <c r="EW91" i="4"/>
  <c r="FM91" i="4" s="1"/>
  <c r="EV91" i="4"/>
  <c r="EU91" i="4"/>
  <c r="EB91" i="4"/>
  <c r="DZ91" i="4"/>
  <c r="DX91" i="4"/>
  <c r="DW91" i="4"/>
  <c r="EA91" i="4" s="1"/>
  <c r="DV91" i="4"/>
  <c r="DL91" i="4"/>
  <c r="DH91" i="4"/>
  <c r="DF91" i="4"/>
  <c r="DA91" i="4"/>
  <c r="CX91" i="4"/>
  <c r="FJ91" i="4" s="1"/>
  <c r="FY91" i="4" s="1"/>
  <c r="CW91" i="4"/>
  <c r="CU91" i="4"/>
  <c r="DE91" i="4" s="1"/>
  <c r="CO91" i="4"/>
  <c r="FB91" i="4" s="1"/>
  <c r="FQ91" i="4" s="1"/>
  <c r="CG91" i="4"/>
  <c r="BS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Y91" i="4"/>
  <c r="Q91" i="4"/>
  <c r="B91" i="4"/>
  <c r="A91" i="4"/>
  <c r="QX90" i="4"/>
  <c r="FY90" i="4"/>
  <c r="FV90" i="4"/>
  <c r="FT90" i="4"/>
  <c r="FS90" i="4"/>
  <c r="FO90" i="4"/>
  <c r="FM90" i="4"/>
  <c r="FL90" i="4"/>
  <c r="FJ90" i="4"/>
  <c r="FI90" i="4"/>
  <c r="FX90" i="4" s="1"/>
  <c r="FH90" i="4"/>
  <c r="FG90" i="4"/>
  <c r="FU90" i="4" s="1"/>
  <c r="FE90" i="4"/>
  <c r="FD90" i="4"/>
  <c r="FC90" i="4"/>
  <c r="FR90" i="4" s="1"/>
  <c r="FA90" i="4"/>
  <c r="FP90" i="4" s="1"/>
  <c r="EZ90" i="4"/>
  <c r="EY90" i="4"/>
  <c r="EX90" i="4"/>
  <c r="FN90" i="4" s="1"/>
  <c r="EW90" i="4"/>
  <c r="EV90" i="4"/>
  <c r="EU90" i="4"/>
  <c r="FK90" i="4" s="1"/>
  <c r="EA90" i="4"/>
  <c r="DX90" i="4"/>
  <c r="EB90" i="4" s="1"/>
  <c r="DW90" i="4"/>
  <c r="DV90" i="4" s="1"/>
  <c r="DZ90" i="4" s="1"/>
  <c r="DU90" i="4"/>
  <c r="DL90" i="4"/>
  <c r="DH90" i="4"/>
  <c r="DG90" i="4"/>
  <c r="DF90" i="4"/>
  <c r="DA90" i="4"/>
  <c r="CX90" i="4"/>
  <c r="CV90" i="4"/>
  <c r="FF90" i="4" s="1"/>
  <c r="FW90" i="4" s="1"/>
  <c r="CU90" i="4"/>
  <c r="DE90" i="4" s="1"/>
  <c r="CO90" i="4"/>
  <c r="CW90" i="4" s="1"/>
  <c r="CG90" i="4"/>
  <c r="BS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Y90" i="4"/>
  <c r="Q90" i="4"/>
  <c r="B90" i="4"/>
  <c r="A90" i="4"/>
  <c r="QX89" i="4"/>
  <c r="FY89" i="4"/>
  <c r="FX89" i="4"/>
  <c r="FS89" i="4"/>
  <c r="FR89" i="4"/>
  <c r="FN89" i="4"/>
  <c r="FM89" i="4"/>
  <c r="FK89" i="4"/>
  <c r="FJ89" i="4"/>
  <c r="FI89" i="4"/>
  <c r="FH89" i="4"/>
  <c r="FV89" i="4" s="1"/>
  <c r="FG89" i="4"/>
  <c r="FU89" i="4" s="1"/>
  <c r="FE89" i="4"/>
  <c r="FT89" i="4" s="1"/>
  <c r="FD89" i="4"/>
  <c r="FC89" i="4"/>
  <c r="FA89" i="4"/>
  <c r="FP89" i="4" s="1"/>
  <c r="EZ89" i="4"/>
  <c r="FO89" i="4" s="1"/>
  <c r="EY89" i="4"/>
  <c r="EX89" i="4"/>
  <c r="EW89" i="4"/>
  <c r="EV89" i="4"/>
  <c r="FL89" i="4" s="1"/>
  <c r="EU89" i="4"/>
  <c r="EB89" i="4"/>
  <c r="EA89" i="4"/>
  <c r="DX89" i="4"/>
  <c r="DW89" i="4"/>
  <c r="DV89" i="4"/>
  <c r="DZ89" i="4" s="1"/>
  <c r="DU89" i="4"/>
  <c r="DL89" i="4"/>
  <c r="DH89" i="4"/>
  <c r="DF89" i="4"/>
  <c r="DA89" i="4"/>
  <c r="CX89" i="4"/>
  <c r="CW89" i="4"/>
  <c r="CR89" i="4"/>
  <c r="CV89" i="4" s="1"/>
  <c r="CO89" i="4"/>
  <c r="FB89" i="4" s="1"/>
  <c r="FQ89" i="4" s="1"/>
  <c r="CG89" i="4"/>
  <c r="BS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Y89" i="4"/>
  <c r="Q89" i="4"/>
  <c r="B89" i="4"/>
  <c r="A89" i="4"/>
  <c r="QX88" i="4"/>
  <c r="FX88" i="4"/>
  <c r="FV88" i="4"/>
  <c r="FR88" i="4"/>
  <c r="FP88" i="4"/>
  <c r="FM88" i="4"/>
  <c r="FL88" i="4"/>
  <c r="FJ88" i="4"/>
  <c r="FY88" i="4" s="1"/>
  <c r="FI88" i="4"/>
  <c r="FH88" i="4"/>
  <c r="FG88" i="4"/>
  <c r="FU88" i="4" s="1"/>
  <c r="FE88" i="4"/>
  <c r="FT88" i="4" s="1"/>
  <c r="FD88" i="4"/>
  <c r="FS88" i="4" s="1"/>
  <c r="FC88" i="4"/>
  <c r="FA88" i="4"/>
  <c r="EZ88" i="4"/>
  <c r="FO88" i="4" s="1"/>
  <c r="EY88" i="4"/>
  <c r="EX88" i="4"/>
  <c r="FN88" i="4" s="1"/>
  <c r="EW88" i="4"/>
  <c r="EV88" i="4"/>
  <c r="EU88" i="4"/>
  <c r="FK88" i="4" s="1"/>
  <c r="EA88" i="4"/>
  <c r="DX88" i="4"/>
  <c r="EB88" i="4" s="1"/>
  <c r="DW88" i="4"/>
  <c r="DV88" i="4" s="1"/>
  <c r="DZ88" i="4" s="1"/>
  <c r="DU88" i="4"/>
  <c r="DL88" i="4"/>
  <c r="DH88" i="4"/>
  <c r="DF88" i="4"/>
  <c r="DA88" i="4"/>
  <c r="CX88" i="4"/>
  <c r="CW88" i="4"/>
  <c r="CV88" i="4"/>
  <c r="CU88" i="4"/>
  <c r="DE88" i="4" s="1"/>
  <c r="CO88" i="4"/>
  <c r="FB88" i="4" s="1"/>
  <c r="FQ88" i="4" s="1"/>
  <c r="CG88" i="4"/>
  <c r="BS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Y88" i="4"/>
  <c r="Q88" i="4"/>
  <c r="B88" i="4"/>
  <c r="A88" i="4"/>
  <c r="QX87" i="4"/>
  <c r="FT87" i="4"/>
  <c r="FP87" i="4"/>
  <c r="FO87" i="4"/>
  <c r="FN87" i="4"/>
  <c r="FM87" i="4"/>
  <c r="FK87" i="4"/>
  <c r="FJ87" i="4"/>
  <c r="FY87" i="4" s="1"/>
  <c r="FI87" i="4"/>
  <c r="FX87" i="4" s="1"/>
  <c r="FH87" i="4"/>
  <c r="FV87" i="4" s="1"/>
  <c r="FG87" i="4"/>
  <c r="FU87" i="4" s="1"/>
  <c r="FE87" i="4"/>
  <c r="FD87" i="4"/>
  <c r="FS87" i="4" s="1"/>
  <c r="FC87" i="4"/>
  <c r="FR87" i="4" s="1"/>
  <c r="FA87" i="4"/>
  <c r="EZ87" i="4"/>
  <c r="EY87" i="4"/>
  <c r="EX87" i="4"/>
  <c r="EW87" i="4"/>
  <c r="EV87" i="4"/>
  <c r="FL87" i="4" s="1"/>
  <c r="EU87" i="4"/>
  <c r="EB87" i="4"/>
  <c r="EA87" i="4"/>
  <c r="DX87" i="4"/>
  <c r="DW87" i="4"/>
  <c r="DV87" i="4"/>
  <c r="DZ87" i="4" s="1"/>
  <c r="DU87" i="4"/>
  <c r="DL87" i="4"/>
  <c r="DH87" i="4"/>
  <c r="DF87" i="4"/>
  <c r="DE87" i="4"/>
  <c r="DA87" i="4"/>
  <c r="CX87" i="4"/>
  <c r="CW87" i="4"/>
  <c r="CU87" i="4"/>
  <c r="CO87" i="4"/>
  <c r="CV87" i="4" s="1"/>
  <c r="CG87" i="4"/>
  <c r="BS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Y87" i="4"/>
  <c r="Q87" i="4"/>
  <c r="B87" i="4"/>
  <c r="A87" i="4"/>
  <c r="QX86" i="4"/>
  <c r="FX86" i="4"/>
  <c r="FU86" i="4"/>
  <c r="FT86" i="4"/>
  <c r="FS86" i="4"/>
  <c r="FR86" i="4"/>
  <c r="FN86" i="4"/>
  <c r="FL86" i="4"/>
  <c r="FK86" i="4"/>
  <c r="FI86" i="4"/>
  <c r="FH86" i="4"/>
  <c r="FV86" i="4" s="1"/>
  <c r="FG86" i="4"/>
  <c r="FE86" i="4"/>
  <c r="FD86" i="4"/>
  <c r="FC86" i="4"/>
  <c r="FA86" i="4"/>
  <c r="FP86" i="4" s="1"/>
  <c r="EZ86" i="4"/>
  <c r="FO86" i="4" s="1"/>
  <c r="EY86" i="4"/>
  <c r="EX86" i="4"/>
  <c r="EW86" i="4"/>
  <c r="FM86" i="4" s="1"/>
  <c r="EV86" i="4"/>
  <c r="EU86" i="4"/>
  <c r="EB86" i="4"/>
  <c r="DX86" i="4"/>
  <c r="DW86" i="4"/>
  <c r="DV86" i="4" s="1"/>
  <c r="DZ86" i="4" s="1"/>
  <c r="DL86" i="4"/>
  <c r="DH86" i="4"/>
  <c r="DF86" i="4"/>
  <c r="DA86" i="4"/>
  <c r="CX86" i="4"/>
  <c r="FJ86" i="4" s="1"/>
  <c r="FY86" i="4" s="1"/>
  <c r="CU86" i="4"/>
  <c r="DE86" i="4" s="1"/>
  <c r="CO86" i="4"/>
  <c r="CW86" i="4" s="1"/>
  <c r="CG86" i="4"/>
  <c r="BS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Y86" i="4"/>
  <c r="Q86" i="4"/>
  <c r="B86" i="4"/>
  <c r="A86" i="4"/>
  <c r="QX85" i="4"/>
  <c r="FX85" i="4"/>
  <c r="FV85" i="4"/>
  <c r="FR85" i="4"/>
  <c r="FP85" i="4"/>
  <c r="FM85" i="4"/>
  <c r="FL85" i="4"/>
  <c r="FJ85" i="4"/>
  <c r="FY85" i="4" s="1"/>
  <c r="FI85" i="4"/>
  <c r="FH85" i="4"/>
  <c r="FG85" i="4"/>
  <c r="FU85" i="4" s="1"/>
  <c r="FE85" i="4"/>
  <c r="FT85" i="4" s="1"/>
  <c r="FD85" i="4"/>
  <c r="FS85" i="4" s="1"/>
  <c r="FC85" i="4"/>
  <c r="FA85" i="4"/>
  <c r="EZ85" i="4"/>
  <c r="FO85" i="4" s="1"/>
  <c r="EY85" i="4"/>
  <c r="EX85" i="4"/>
  <c r="FN85" i="4" s="1"/>
  <c r="EW85" i="4"/>
  <c r="EV85" i="4"/>
  <c r="EU85" i="4"/>
  <c r="FK85" i="4" s="1"/>
  <c r="EA85" i="4"/>
  <c r="DX85" i="4"/>
  <c r="EB85" i="4" s="1"/>
  <c r="DW85" i="4"/>
  <c r="DV85" i="4" s="1"/>
  <c r="DZ85" i="4" s="1"/>
  <c r="DU85" i="4"/>
  <c r="DL85" i="4"/>
  <c r="DH85" i="4"/>
  <c r="DF85" i="4"/>
  <c r="DA85" i="4"/>
  <c r="CX85" i="4"/>
  <c r="CW85" i="4"/>
  <c r="CV85" i="4"/>
  <c r="CU85" i="4"/>
  <c r="DE85" i="4" s="1"/>
  <c r="CO85" i="4"/>
  <c r="FB85" i="4" s="1"/>
  <c r="FQ85" i="4" s="1"/>
  <c r="CG85" i="4"/>
  <c r="BS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Y85" i="4"/>
  <c r="Q85" i="4"/>
  <c r="B85" i="4"/>
  <c r="A85" i="4"/>
  <c r="QX84" i="4"/>
  <c r="FT84" i="4"/>
  <c r="FP84" i="4"/>
  <c r="FO84" i="4"/>
  <c r="FN84" i="4"/>
  <c r="FM84" i="4"/>
  <c r="FK84" i="4"/>
  <c r="FJ84" i="4"/>
  <c r="FY84" i="4" s="1"/>
  <c r="FI84" i="4"/>
  <c r="FX84" i="4" s="1"/>
  <c r="FH84" i="4"/>
  <c r="FV84" i="4" s="1"/>
  <c r="FG84" i="4"/>
  <c r="FU84" i="4" s="1"/>
  <c r="FE84" i="4"/>
  <c r="FD84" i="4"/>
  <c r="FS84" i="4" s="1"/>
  <c r="FC84" i="4"/>
  <c r="FR84" i="4" s="1"/>
  <c r="FA84" i="4"/>
  <c r="EZ84" i="4"/>
  <c r="EY84" i="4"/>
  <c r="EX84" i="4"/>
  <c r="EW84" i="4"/>
  <c r="EV84" i="4"/>
  <c r="FL84" i="4" s="1"/>
  <c r="EU84" i="4"/>
  <c r="EB84" i="4"/>
  <c r="EA84" i="4"/>
  <c r="DX84" i="4"/>
  <c r="DW84" i="4"/>
  <c r="DV84" i="4"/>
  <c r="DZ84" i="4" s="1"/>
  <c r="DU84" i="4"/>
  <c r="DL84" i="4"/>
  <c r="DH84" i="4"/>
  <c r="DF84" i="4"/>
  <c r="DE84" i="4"/>
  <c r="DA84" i="4"/>
  <c r="CX84" i="4"/>
  <c r="CU84" i="4"/>
  <c r="CO84" i="4"/>
  <c r="FB84" i="4" s="1"/>
  <c r="FQ84" i="4" s="1"/>
  <c r="CG84" i="4"/>
  <c r="BS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Y84" i="4"/>
  <c r="Q84" i="4"/>
  <c r="B84" i="4"/>
  <c r="A84" i="4"/>
  <c r="QX83" i="4"/>
  <c r="FX83" i="4"/>
  <c r="FU83" i="4"/>
  <c r="FT83" i="4"/>
  <c r="FS83" i="4"/>
  <c r="FR83" i="4"/>
  <c r="FN83" i="4"/>
  <c r="FL83" i="4"/>
  <c r="FK83" i="4"/>
  <c r="FI83" i="4"/>
  <c r="FH83" i="4"/>
  <c r="FV83" i="4" s="1"/>
  <c r="FG83" i="4"/>
  <c r="FE83" i="4"/>
  <c r="FD83" i="4"/>
  <c r="FC83" i="4"/>
  <c r="FA83" i="4"/>
  <c r="FP83" i="4" s="1"/>
  <c r="EZ83" i="4"/>
  <c r="FO83" i="4" s="1"/>
  <c r="EY83" i="4"/>
  <c r="EX83" i="4"/>
  <c r="EW83" i="4"/>
  <c r="FM83" i="4" s="1"/>
  <c r="EV83" i="4"/>
  <c r="EU83" i="4"/>
  <c r="EB83" i="4"/>
  <c r="DX83" i="4"/>
  <c r="DW83" i="4"/>
  <c r="DV83" i="4" s="1"/>
  <c r="DZ83" i="4" s="1"/>
  <c r="DL83" i="4"/>
  <c r="DH83" i="4"/>
  <c r="DF83" i="4"/>
  <c r="DA83" i="4"/>
  <c r="CX83" i="4"/>
  <c r="FJ83" i="4" s="1"/>
  <c r="FY83" i="4" s="1"/>
  <c r="CU83" i="4"/>
  <c r="DE83" i="4" s="1"/>
  <c r="CO83" i="4"/>
  <c r="CW83" i="4" s="1"/>
  <c r="CG83" i="4"/>
  <c r="BS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Y83" i="4"/>
  <c r="Q83" i="4"/>
  <c r="B83" i="4"/>
  <c r="A83" i="4"/>
  <c r="QX82" i="4"/>
  <c r="FX82" i="4"/>
  <c r="FV82" i="4"/>
  <c r="FR82" i="4"/>
  <c r="FP82" i="4"/>
  <c r="FM82" i="4"/>
  <c r="FL82" i="4"/>
  <c r="FJ82" i="4"/>
  <c r="FY82" i="4" s="1"/>
  <c r="FI82" i="4"/>
  <c r="FH82" i="4"/>
  <c r="FG82" i="4"/>
  <c r="FU82" i="4" s="1"/>
  <c r="FE82" i="4"/>
  <c r="FT82" i="4" s="1"/>
  <c r="FD82" i="4"/>
  <c r="FS82" i="4" s="1"/>
  <c r="FC82" i="4"/>
  <c r="FA82" i="4"/>
  <c r="EZ82" i="4"/>
  <c r="FO82" i="4" s="1"/>
  <c r="EY82" i="4"/>
  <c r="EX82" i="4"/>
  <c r="FN82" i="4" s="1"/>
  <c r="EW82" i="4"/>
  <c r="EV82" i="4"/>
  <c r="EU82" i="4"/>
  <c r="FK82" i="4" s="1"/>
  <c r="EA82" i="4"/>
  <c r="DX82" i="4"/>
  <c r="EB82" i="4" s="1"/>
  <c r="DW82" i="4"/>
  <c r="DV82" i="4" s="1"/>
  <c r="DZ82" i="4" s="1"/>
  <c r="DU82" i="4"/>
  <c r="DL82" i="4"/>
  <c r="DH82" i="4"/>
  <c r="DF82" i="4"/>
  <c r="DA82" i="4"/>
  <c r="CX82" i="4"/>
  <c r="CW82" i="4"/>
  <c r="CV82" i="4"/>
  <c r="DY82" i="4" s="1"/>
  <c r="EC82" i="4" s="1"/>
  <c r="CU82" i="4"/>
  <c r="DE82" i="4" s="1"/>
  <c r="CO82" i="4"/>
  <c r="FB82" i="4" s="1"/>
  <c r="FQ82" i="4" s="1"/>
  <c r="CG82" i="4"/>
  <c r="BS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Y82" i="4"/>
  <c r="Q82" i="4"/>
  <c r="B82" i="4"/>
  <c r="A82" i="4"/>
  <c r="QX81" i="4"/>
  <c r="FT81" i="4"/>
  <c r="FP81" i="4"/>
  <c r="FO81" i="4"/>
  <c r="FN81" i="4"/>
  <c r="FM81" i="4"/>
  <c r="FK81" i="4"/>
  <c r="FI81" i="4"/>
  <c r="FX81" i="4" s="1"/>
  <c r="FG81" i="4"/>
  <c r="FU81" i="4" s="1"/>
  <c r="FE81" i="4"/>
  <c r="FD81" i="4"/>
  <c r="FS81" i="4" s="1"/>
  <c r="FC81" i="4"/>
  <c r="FR81" i="4" s="1"/>
  <c r="FB81" i="4"/>
  <c r="FQ81" i="4" s="1"/>
  <c r="FA81" i="4"/>
  <c r="EZ81" i="4"/>
  <c r="EY81" i="4"/>
  <c r="EX81" i="4"/>
  <c r="EW81" i="4"/>
  <c r="EV81" i="4"/>
  <c r="FL81" i="4" s="1"/>
  <c r="EU81" i="4"/>
  <c r="EB81" i="4"/>
  <c r="DX81" i="4"/>
  <c r="DL81" i="4"/>
  <c r="DH81" i="4"/>
  <c r="DA81" i="4"/>
  <c r="CS81" i="4"/>
  <c r="DF81" i="4" s="1"/>
  <c r="CR81" i="4"/>
  <c r="CU81" i="4" s="1"/>
  <c r="DE81" i="4" s="1"/>
  <c r="CP81" i="4"/>
  <c r="DW81" i="4" s="1"/>
  <c r="CO81" i="4"/>
  <c r="CG81" i="4"/>
  <c r="BS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Y81" i="4"/>
  <c r="Q81" i="4"/>
  <c r="B81" i="4"/>
  <c r="A81" i="4"/>
  <c r="QX80" i="4"/>
  <c r="FU80" i="4"/>
  <c r="FP80" i="4"/>
  <c r="FO80" i="4"/>
  <c r="FN80" i="4"/>
  <c r="FL80" i="4"/>
  <c r="FK80" i="4"/>
  <c r="FI80" i="4"/>
  <c r="FX80" i="4" s="1"/>
  <c r="FH80" i="4"/>
  <c r="FV80" i="4" s="1"/>
  <c r="FG80" i="4"/>
  <c r="FE80" i="4"/>
  <c r="FT80" i="4" s="1"/>
  <c r="FD80" i="4"/>
  <c r="FS80" i="4" s="1"/>
  <c r="FC80" i="4"/>
  <c r="FR80" i="4" s="1"/>
  <c r="FA80" i="4"/>
  <c r="EZ80" i="4"/>
  <c r="EY80" i="4"/>
  <c r="EX80" i="4"/>
  <c r="EW80" i="4"/>
  <c r="FM80" i="4" s="1"/>
  <c r="EV80" i="4"/>
  <c r="EU80" i="4"/>
  <c r="EB80" i="4"/>
  <c r="DZ80" i="4"/>
  <c r="DX80" i="4"/>
  <c r="DW80" i="4"/>
  <c r="EA80" i="4" s="1"/>
  <c r="DV80" i="4"/>
  <c r="DL80" i="4"/>
  <c r="DH80" i="4"/>
  <c r="DF80" i="4"/>
  <c r="DA80" i="4"/>
  <c r="CX80" i="4"/>
  <c r="FJ80" i="4" s="1"/>
  <c r="FY80" i="4" s="1"/>
  <c r="CW80" i="4"/>
  <c r="CU80" i="4"/>
  <c r="DE80" i="4" s="1"/>
  <c r="CO80" i="4"/>
  <c r="FB80" i="4" s="1"/>
  <c r="FQ80" i="4" s="1"/>
  <c r="CG80" i="4"/>
  <c r="BS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Y80" i="4"/>
  <c r="Q80" i="4"/>
  <c r="B80" i="4"/>
  <c r="A80" i="4"/>
  <c r="QX79" i="4"/>
  <c r="FY79" i="4"/>
  <c r="FT79" i="4"/>
  <c r="FS79" i="4"/>
  <c r="FO79" i="4"/>
  <c r="FM79" i="4"/>
  <c r="FL79" i="4"/>
  <c r="FJ79" i="4"/>
  <c r="FI79" i="4"/>
  <c r="FX79" i="4" s="1"/>
  <c r="FG79" i="4"/>
  <c r="FU79" i="4" s="1"/>
  <c r="FE79" i="4"/>
  <c r="FD79" i="4"/>
  <c r="FC79" i="4"/>
  <c r="FR79" i="4" s="1"/>
  <c r="FA79" i="4"/>
  <c r="FP79" i="4" s="1"/>
  <c r="EZ79" i="4"/>
  <c r="EY79" i="4"/>
  <c r="EX79" i="4"/>
  <c r="FN79" i="4" s="1"/>
  <c r="EW79" i="4"/>
  <c r="EV79" i="4"/>
  <c r="EU79" i="4"/>
  <c r="FK79" i="4" s="1"/>
  <c r="EA79" i="4"/>
  <c r="DX79" i="4"/>
  <c r="EB79" i="4" s="1"/>
  <c r="DW79" i="4"/>
  <c r="DV79" i="4" s="1"/>
  <c r="DZ79" i="4" s="1"/>
  <c r="DU79" i="4"/>
  <c r="DL79" i="4"/>
  <c r="DH79" i="4"/>
  <c r="DF79" i="4"/>
  <c r="DA79" i="4"/>
  <c r="CX79" i="4"/>
  <c r="CU79" i="4"/>
  <c r="DE79" i="4" s="1"/>
  <c r="CS79" i="4"/>
  <c r="CW79" i="4" s="1"/>
  <c r="CO79" i="4"/>
  <c r="CV79" i="4" s="1"/>
  <c r="CG79" i="4"/>
  <c r="BS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Y79" i="4"/>
  <c r="Q79" i="4"/>
  <c r="B79" i="4"/>
  <c r="A79" i="4"/>
  <c r="QX78" i="4"/>
  <c r="FX78" i="4"/>
  <c r="FU78" i="4"/>
  <c r="FT78" i="4"/>
  <c r="FS78" i="4"/>
  <c r="FN78" i="4"/>
  <c r="FL78" i="4"/>
  <c r="FK78" i="4"/>
  <c r="FI78" i="4"/>
  <c r="FG78" i="4"/>
  <c r="FE78" i="4"/>
  <c r="FD78" i="4"/>
  <c r="FA78" i="4"/>
  <c r="FP78" i="4" s="1"/>
  <c r="EZ78" i="4"/>
  <c r="FO78" i="4" s="1"/>
  <c r="EY78" i="4"/>
  <c r="EX78" i="4"/>
  <c r="EW78" i="4"/>
  <c r="FM78" i="4" s="1"/>
  <c r="EV78" i="4"/>
  <c r="EU78" i="4"/>
  <c r="EB78" i="4"/>
  <c r="DX78" i="4"/>
  <c r="DL78" i="4"/>
  <c r="DH78" i="4"/>
  <c r="DF78" i="4"/>
  <c r="DA78" i="4"/>
  <c r="CS78" i="4"/>
  <c r="CU78" i="4" s="1"/>
  <c r="DE78" i="4" s="1"/>
  <c r="CR78" i="4"/>
  <c r="CP78" i="4"/>
  <c r="CG78" i="4"/>
  <c r="BS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Y78" i="4"/>
  <c r="Q78" i="4"/>
  <c r="B78" i="4"/>
  <c r="A78" i="4"/>
  <c r="QX77" i="4"/>
  <c r="FY77" i="4"/>
  <c r="FV77" i="4"/>
  <c r="FT77" i="4"/>
  <c r="FS77" i="4"/>
  <c r="FO77" i="4"/>
  <c r="FM77" i="4"/>
  <c r="FL77" i="4"/>
  <c r="FJ77" i="4"/>
  <c r="FI77" i="4"/>
  <c r="FX77" i="4" s="1"/>
  <c r="FH77" i="4"/>
  <c r="FG77" i="4"/>
  <c r="FU77" i="4" s="1"/>
  <c r="FE77" i="4"/>
  <c r="FD77" i="4"/>
  <c r="FC77" i="4"/>
  <c r="FR77" i="4" s="1"/>
  <c r="FA77" i="4"/>
  <c r="FP77" i="4" s="1"/>
  <c r="EZ77" i="4"/>
  <c r="EY77" i="4"/>
  <c r="EX77" i="4"/>
  <c r="FN77" i="4" s="1"/>
  <c r="EW77" i="4"/>
  <c r="EV77" i="4"/>
  <c r="EU77" i="4"/>
  <c r="FK77" i="4" s="1"/>
  <c r="EA77" i="4"/>
  <c r="DX77" i="4"/>
  <c r="EB77" i="4" s="1"/>
  <c r="DW77" i="4"/>
  <c r="DV77" i="4" s="1"/>
  <c r="DZ77" i="4" s="1"/>
  <c r="DU77" i="4"/>
  <c r="DL77" i="4"/>
  <c r="DH77" i="4"/>
  <c r="DG77" i="4"/>
  <c r="DF77" i="4"/>
  <c r="DA77" i="4"/>
  <c r="CX77" i="4"/>
  <c r="CV77" i="4"/>
  <c r="FF77" i="4" s="1"/>
  <c r="FW77" i="4" s="1"/>
  <c r="CU77" i="4"/>
  <c r="DE77" i="4" s="1"/>
  <c r="CO77" i="4"/>
  <c r="CW77" i="4" s="1"/>
  <c r="CG77" i="4"/>
  <c r="BS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Y77" i="4"/>
  <c r="Q77" i="4"/>
  <c r="B77" i="4"/>
  <c r="A77" i="4"/>
  <c r="QX76" i="4"/>
  <c r="FY76" i="4"/>
  <c r="FX76" i="4"/>
  <c r="FS76" i="4"/>
  <c r="FR76" i="4"/>
  <c r="FN76" i="4"/>
  <c r="FM76" i="4"/>
  <c r="FK76" i="4"/>
  <c r="FJ76" i="4"/>
  <c r="FI76" i="4"/>
  <c r="FH76" i="4"/>
  <c r="FV76" i="4" s="1"/>
  <c r="FG76" i="4"/>
  <c r="FU76" i="4" s="1"/>
  <c r="FE76" i="4"/>
  <c r="FT76" i="4" s="1"/>
  <c r="FD76" i="4"/>
  <c r="FC76" i="4"/>
  <c r="FA76" i="4"/>
  <c r="FP76" i="4" s="1"/>
  <c r="EZ76" i="4"/>
  <c r="FO76" i="4" s="1"/>
  <c r="EY76" i="4"/>
  <c r="EX76" i="4"/>
  <c r="EW76" i="4"/>
  <c r="EV76" i="4"/>
  <c r="FL76" i="4" s="1"/>
  <c r="EU76" i="4"/>
  <c r="EB76" i="4"/>
  <c r="EA76" i="4"/>
  <c r="DX76" i="4"/>
  <c r="DW76" i="4"/>
  <c r="DV76" i="4"/>
  <c r="DZ76" i="4" s="1"/>
  <c r="DU76" i="4"/>
  <c r="DL76" i="4"/>
  <c r="DH76" i="4"/>
  <c r="DF76" i="4"/>
  <c r="DE76" i="4"/>
  <c r="DA76" i="4"/>
  <c r="CX76" i="4"/>
  <c r="CW76" i="4"/>
  <c r="CU76" i="4"/>
  <c r="CO76" i="4"/>
  <c r="CV76" i="4" s="1"/>
  <c r="CG76" i="4"/>
  <c r="BS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Y76" i="4"/>
  <c r="Q76" i="4"/>
  <c r="B76" i="4"/>
  <c r="A76" i="4"/>
  <c r="QX75" i="4"/>
  <c r="FU75" i="4"/>
  <c r="FP75" i="4"/>
  <c r="FO75" i="4"/>
  <c r="FN75" i="4"/>
  <c r="FL75" i="4"/>
  <c r="FK75" i="4"/>
  <c r="FI75" i="4"/>
  <c r="FX75" i="4" s="1"/>
  <c r="FH75" i="4"/>
  <c r="FV75" i="4" s="1"/>
  <c r="FG75" i="4"/>
  <c r="FE75" i="4"/>
  <c r="FT75" i="4" s="1"/>
  <c r="FD75" i="4"/>
  <c r="FS75" i="4" s="1"/>
  <c r="FC75" i="4"/>
  <c r="FR75" i="4" s="1"/>
  <c r="FA75" i="4"/>
  <c r="EZ75" i="4"/>
  <c r="EY75" i="4"/>
  <c r="EX75" i="4"/>
  <c r="EW75" i="4"/>
  <c r="FM75" i="4" s="1"/>
  <c r="EV75" i="4"/>
  <c r="EU75" i="4"/>
  <c r="EB75" i="4"/>
  <c r="DZ75" i="4"/>
  <c r="DX75" i="4"/>
  <c r="DW75" i="4"/>
  <c r="EA75" i="4" s="1"/>
  <c r="DV75" i="4"/>
  <c r="DL75" i="4"/>
  <c r="DH75" i="4"/>
  <c r="DF75" i="4"/>
  <c r="DA75" i="4"/>
  <c r="CX75" i="4"/>
  <c r="FJ75" i="4" s="1"/>
  <c r="FY75" i="4" s="1"/>
  <c r="CW75" i="4"/>
  <c r="CU75" i="4"/>
  <c r="DE75" i="4" s="1"/>
  <c r="CO75" i="4"/>
  <c r="FB75" i="4" s="1"/>
  <c r="FQ75" i="4" s="1"/>
  <c r="CG75" i="4"/>
  <c r="BS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Y75" i="4"/>
  <c r="Q75" i="4"/>
  <c r="B75" i="4"/>
  <c r="A75" i="4"/>
  <c r="QX74" i="4"/>
  <c r="FY74" i="4"/>
  <c r="FV74" i="4"/>
  <c r="FT74" i="4"/>
  <c r="FS74" i="4"/>
  <c r="FO74" i="4"/>
  <c r="FM74" i="4"/>
  <c r="FL74" i="4"/>
  <c r="FJ74" i="4"/>
  <c r="FI74" i="4"/>
  <c r="FX74" i="4" s="1"/>
  <c r="FH74" i="4"/>
  <c r="FG74" i="4"/>
  <c r="FU74" i="4" s="1"/>
  <c r="FE74" i="4"/>
  <c r="FD74" i="4"/>
  <c r="FC74" i="4"/>
  <c r="FR74" i="4" s="1"/>
  <c r="FA74" i="4"/>
  <c r="FP74" i="4" s="1"/>
  <c r="EZ74" i="4"/>
  <c r="EY74" i="4"/>
  <c r="EX74" i="4"/>
  <c r="FN74" i="4" s="1"/>
  <c r="EW74" i="4"/>
  <c r="EV74" i="4"/>
  <c r="EU74" i="4"/>
  <c r="FK74" i="4" s="1"/>
  <c r="EA74" i="4"/>
  <c r="DX74" i="4"/>
  <c r="EB74" i="4" s="1"/>
  <c r="DW74" i="4"/>
  <c r="DV74" i="4" s="1"/>
  <c r="DZ74" i="4" s="1"/>
  <c r="DU74" i="4"/>
  <c r="DL74" i="4"/>
  <c r="DH74" i="4"/>
  <c r="DG74" i="4"/>
  <c r="DF74" i="4"/>
  <c r="DA74" i="4"/>
  <c r="CX74" i="4"/>
  <c r="CV74" i="4"/>
  <c r="FF74" i="4" s="1"/>
  <c r="FW74" i="4" s="1"/>
  <c r="CU74" i="4"/>
  <c r="DE74" i="4" s="1"/>
  <c r="CO74" i="4"/>
  <c r="CW74" i="4" s="1"/>
  <c r="CG74" i="4"/>
  <c r="BS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Y74" i="4"/>
  <c r="Q74" i="4"/>
  <c r="B74" i="4"/>
  <c r="A74" i="4"/>
  <c r="QX73" i="4"/>
  <c r="FY73" i="4"/>
  <c r="FS73" i="4"/>
  <c r="FO73" i="4"/>
  <c r="FN73" i="4"/>
  <c r="FM73" i="4"/>
  <c r="FK73" i="4"/>
  <c r="FJ73" i="4"/>
  <c r="FI73" i="4"/>
  <c r="FX73" i="4" s="1"/>
  <c r="FH73" i="4"/>
  <c r="FV73" i="4" s="1"/>
  <c r="FG73" i="4"/>
  <c r="FU73" i="4" s="1"/>
  <c r="FE73" i="4"/>
  <c r="FT73" i="4" s="1"/>
  <c r="FD73" i="4"/>
  <c r="FC73" i="4"/>
  <c r="FR73" i="4" s="1"/>
  <c r="FA73" i="4"/>
  <c r="FP73" i="4" s="1"/>
  <c r="EZ73" i="4"/>
  <c r="EY73" i="4"/>
  <c r="EX73" i="4"/>
  <c r="EW73" i="4"/>
  <c r="EV73" i="4"/>
  <c r="FL73" i="4" s="1"/>
  <c r="EU73" i="4"/>
  <c r="EB73" i="4"/>
  <c r="EA73" i="4"/>
  <c r="DX73" i="4"/>
  <c r="DW73" i="4"/>
  <c r="DV73" i="4"/>
  <c r="DZ73" i="4" s="1"/>
  <c r="DU73" i="4"/>
  <c r="DL73" i="4"/>
  <c r="DH73" i="4"/>
  <c r="DF73" i="4"/>
  <c r="DE73" i="4"/>
  <c r="DA73" i="4"/>
  <c r="CX73" i="4"/>
  <c r="CW73" i="4"/>
  <c r="CU73" i="4"/>
  <c r="CO73" i="4"/>
  <c r="CV73" i="4" s="1"/>
  <c r="CG73" i="4"/>
  <c r="BS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Y73" i="4"/>
  <c r="Q73" i="4"/>
  <c r="B73" i="4"/>
  <c r="A73" i="4"/>
  <c r="QX72" i="4"/>
  <c r="FU72" i="4"/>
  <c r="FS72" i="4"/>
  <c r="FO72" i="4"/>
  <c r="FN72" i="4"/>
  <c r="FL72" i="4"/>
  <c r="FK72" i="4"/>
  <c r="FI72" i="4"/>
  <c r="FX72" i="4" s="1"/>
  <c r="FH72" i="4"/>
  <c r="FV72" i="4" s="1"/>
  <c r="FG72" i="4"/>
  <c r="FE72" i="4"/>
  <c r="FT72" i="4" s="1"/>
  <c r="FD72" i="4"/>
  <c r="FC72" i="4"/>
  <c r="FR72" i="4" s="1"/>
  <c r="FA72" i="4"/>
  <c r="FP72" i="4" s="1"/>
  <c r="EZ72" i="4"/>
  <c r="EY72" i="4"/>
  <c r="EX72" i="4"/>
  <c r="EW72" i="4"/>
  <c r="FM72" i="4" s="1"/>
  <c r="EV72" i="4"/>
  <c r="EU72" i="4"/>
  <c r="EB72" i="4"/>
  <c r="DZ72" i="4"/>
  <c r="DX72" i="4"/>
  <c r="DW72" i="4"/>
  <c r="EA72" i="4" s="1"/>
  <c r="DV72" i="4"/>
  <c r="DL72" i="4"/>
  <c r="DH72" i="4"/>
  <c r="DF72" i="4"/>
  <c r="DA72" i="4"/>
  <c r="CX72" i="4"/>
  <c r="FJ72" i="4" s="1"/>
  <c r="FY72" i="4" s="1"/>
  <c r="CW72" i="4"/>
  <c r="CU72" i="4"/>
  <c r="DE72" i="4" s="1"/>
  <c r="CO72" i="4"/>
  <c r="FB72" i="4" s="1"/>
  <c r="FQ72" i="4" s="1"/>
  <c r="CG72" i="4"/>
  <c r="BS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Y72" i="4"/>
  <c r="Q72" i="4"/>
  <c r="B72" i="4"/>
  <c r="A72" i="4"/>
  <c r="QX71" i="4"/>
  <c r="FS71" i="4"/>
  <c r="FO71" i="4"/>
  <c r="FM71" i="4"/>
  <c r="FL71" i="4"/>
  <c r="FI71" i="4"/>
  <c r="FX71" i="4" s="1"/>
  <c r="FG71" i="4"/>
  <c r="FU71" i="4" s="1"/>
  <c r="FD71" i="4"/>
  <c r="FC71" i="4"/>
  <c r="FR71" i="4" s="1"/>
  <c r="FA71" i="4"/>
  <c r="FP71" i="4" s="1"/>
  <c r="EZ71" i="4"/>
  <c r="EY71" i="4"/>
  <c r="EX71" i="4"/>
  <c r="FN71" i="4" s="1"/>
  <c r="EW71" i="4"/>
  <c r="EV71" i="4"/>
  <c r="EU71" i="4"/>
  <c r="FK71" i="4" s="1"/>
  <c r="DX71" i="4"/>
  <c r="EB71" i="4" s="1"/>
  <c r="DL71" i="4"/>
  <c r="DH71" i="4"/>
  <c r="DF71" i="4"/>
  <c r="DA71" i="4"/>
  <c r="CS71" i="4"/>
  <c r="CR71" i="4"/>
  <c r="CR642" i="4" s="1"/>
  <c r="CP71" i="4"/>
  <c r="DW71" i="4" s="1"/>
  <c r="CO71" i="4"/>
  <c r="CW71" i="4" s="1"/>
  <c r="CG71" i="4"/>
  <c r="BS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Y71" i="4"/>
  <c r="Q71" i="4"/>
  <c r="B71" i="4"/>
  <c r="A71" i="4"/>
  <c r="QX70" i="4"/>
  <c r="FU70" i="4"/>
  <c r="FT70" i="4"/>
  <c r="FP70" i="4"/>
  <c r="FO70" i="4"/>
  <c r="FN70" i="4"/>
  <c r="FK70" i="4"/>
  <c r="FJ70" i="4"/>
  <c r="FY70" i="4" s="1"/>
  <c r="FI70" i="4"/>
  <c r="FX70" i="4" s="1"/>
  <c r="FH70" i="4"/>
  <c r="FV70" i="4" s="1"/>
  <c r="FG70" i="4"/>
  <c r="FE70" i="4"/>
  <c r="FD70" i="4"/>
  <c r="FS70" i="4" s="1"/>
  <c r="FC70" i="4"/>
  <c r="FR70" i="4" s="1"/>
  <c r="FA70" i="4"/>
  <c r="EZ70" i="4"/>
  <c r="EY70" i="4"/>
  <c r="EX70" i="4"/>
  <c r="EW70" i="4"/>
  <c r="FM70" i="4" s="1"/>
  <c r="EV70" i="4"/>
  <c r="FL70" i="4" s="1"/>
  <c r="EU70" i="4"/>
  <c r="EB70" i="4"/>
  <c r="EA70" i="4"/>
  <c r="DX70" i="4"/>
  <c r="DW70" i="4"/>
  <c r="DV70" i="4"/>
  <c r="DZ70" i="4" s="1"/>
  <c r="DU70" i="4"/>
  <c r="DL70" i="4"/>
  <c r="DH70" i="4"/>
  <c r="DF70" i="4"/>
  <c r="DE70" i="4"/>
  <c r="DA70" i="4"/>
  <c r="CX70" i="4"/>
  <c r="CU70" i="4"/>
  <c r="CO70" i="4"/>
  <c r="CW70" i="4" s="1"/>
  <c r="CK70" i="4"/>
  <c r="CG70" i="4"/>
  <c r="BS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Y70" i="4"/>
  <c r="Q70" i="4"/>
  <c r="B70" i="4"/>
  <c r="A70" i="4"/>
  <c r="QX69" i="4"/>
  <c r="FY69" i="4"/>
  <c r="FV69" i="4"/>
  <c r="FT69" i="4"/>
  <c r="FS69" i="4"/>
  <c r="FO69" i="4"/>
  <c r="FM69" i="4"/>
  <c r="FJ69" i="4"/>
  <c r="FI69" i="4"/>
  <c r="FX69" i="4" s="1"/>
  <c r="FH69" i="4"/>
  <c r="FG69" i="4"/>
  <c r="FU69" i="4" s="1"/>
  <c r="FE69" i="4"/>
  <c r="FD69" i="4"/>
  <c r="FC69" i="4"/>
  <c r="FR69" i="4" s="1"/>
  <c r="FA69" i="4"/>
  <c r="FP69" i="4" s="1"/>
  <c r="EZ69" i="4"/>
  <c r="EY69" i="4"/>
  <c r="EX69" i="4"/>
  <c r="FN69" i="4" s="1"/>
  <c r="EW69" i="4"/>
  <c r="EV69" i="4"/>
  <c r="FL69" i="4" s="1"/>
  <c r="EU69" i="4"/>
  <c r="FK69" i="4" s="1"/>
  <c r="EA69" i="4"/>
  <c r="DX69" i="4"/>
  <c r="EB69" i="4" s="1"/>
  <c r="DW69" i="4"/>
  <c r="DV69" i="4" s="1"/>
  <c r="DZ69" i="4" s="1"/>
  <c r="DU69" i="4"/>
  <c r="DL69" i="4"/>
  <c r="DH69" i="4"/>
  <c r="DG69" i="4"/>
  <c r="DF69" i="4"/>
  <c r="DA69" i="4"/>
  <c r="CX69" i="4"/>
  <c r="CW69" i="4"/>
  <c r="CV69" i="4"/>
  <c r="FF69" i="4" s="1"/>
  <c r="FW69" i="4" s="1"/>
  <c r="CU69" i="4"/>
  <c r="DE69" i="4" s="1"/>
  <c r="CO69" i="4"/>
  <c r="FB69" i="4" s="1"/>
  <c r="FQ69" i="4" s="1"/>
  <c r="CG69" i="4"/>
  <c r="BS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Y69" i="4"/>
  <c r="Q69" i="4"/>
  <c r="B69" i="4"/>
  <c r="A69" i="4"/>
  <c r="QX68" i="4"/>
  <c r="FX68" i="4"/>
  <c r="FS68" i="4"/>
  <c r="FR68" i="4"/>
  <c r="FN68" i="4"/>
  <c r="FM68" i="4"/>
  <c r="FK68" i="4"/>
  <c r="FI68" i="4"/>
  <c r="FH68" i="4"/>
  <c r="FV68" i="4" s="1"/>
  <c r="FG68" i="4"/>
  <c r="FU68" i="4" s="1"/>
  <c r="FE68" i="4"/>
  <c r="FT68" i="4" s="1"/>
  <c r="FD68" i="4"/>
  <c r="FC68" i="4"/>
  <c r="FA68" i="4"/>
  <c r="FP68" i="4" s="1"/>
  <c r="EZ68" i="4"/>
  <c r="FO68" i="4" s="1"/>
  <c r="EY68" i="4"/>
  <c r="EX68" i="4"/>
  <c r="EW68" i="4"/>
  <c r="EV68" i="4"/>
  <c r="FL68" i="4" s="1"/>
  <c r="EU68" i="4"/>
  <c r="EB68" i="4"/>
  <c r="DX68" i="4"/>
  <c r="DW68" i="4"/>
  <c r="EA68" i="4" s="1"/>
  <c r="DV68" i="4"/>
  <c r="DZ68" i="4" s="1"/>
  <c r="DL68" i="4"/>
  <c r="DH68" i="4"/>
  <c r="DF68" i="4"/>
  <c r="DE68" i="4"/>
  <c r="DA68" i="4"/>
  <c r="CX68" i="4"/>
  <c r="FJ68" i="4" s="1"/>
  <c r="FY68" i="4" s="1"/>
  <c r="CW68" i="4"/>
  <c r="CU68" i="4"/>
  <c r="CO68" i="4"/>
  <c r="CV68" i="4" s="1"/>
  <c r="CG68" i="4"/>
  <c r="BS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Y68" i="4"/>
  <c r="Q68" i="4"/>
  <c r="B68" i="4"/>
  <c r="A68" i="4"/>
  <c r="QX67" i="4"/>
  <c r="FW67" i="4"/>
  <c r="FV67" i="4"/>
  <c r="FU67" i="4"/>
  <c r="FP67" i="4"/>
  <c r="FO67" i="4"/>
  <c r="FL67" i="4"/>
  <c r="FK67" i="4"/>
  <c r="FI67" i="4"/>
  <c r="FX67" i="4" s="1"/>
  <c r="FH67" i="4"/>
  <c r="FG67" i="4"/>
  <c r="FF67" i="4"/>
  <c r="FE67" i="4"/>
  <c r="FT67" i="4" s="1"/>
  <c r="FD67" i="4"/>
  <c r="FS67" i="4" s="1"/>
  <c r="FC67" i="4"/>
  <c r="FR67" i="4" s="1"/>
  <c r="FA67" i="4"/>
  <c r="EZ67" i="4"/>
  <c r="EY67" i="4"/>
  <c r="EX67" i="4"/>
  <c r="FN67" i="4" s="1"/>
  <c r="EW67" i="4"/>
  <c r="FM67" i="4" s="1"/>
  <c r="EV67" i="4"/>
  <c r="EU67" i="4"/>
  <c r="EB67" i="4"/>
  <c r="DZ67" i="4"/>
  <c r="DX67" i="4"/>
  <c r="DW67" i="4"/>
  <c r="EA67" i="4" s="1"/>
  <c r="DV67" i="4"/>
  <c r="DL67" i="4"/>
  <c r="DH67" i="4"/>
  <c r="DF67" i="4"/>
  <c r="DA67" i="4"/>
  <c r="CX67" i="4"/>
  <c r="FJ67" i="4" s="1"/>
  <c r="FY67" i="4" s="1"/>
  <c r="CW67" i="4"/>
  <c r="CV67" i="4"/>
  <c r="DY67" i="4" s="1"/>
  <c r="EC67" i="4" s="1"/>
  <c r="CU67" i="4"/>
  <c r="DE67" i="4" s="1"/>
  <c r="CP67" i="4"/>
  <c r="CO67" i="4"/>
  <c r="FB67" i="4" s="1"/>
  <c r="FQ67" i="4" s="1"/>
  <c r="CK67" i="4"/>
  <c r="CG67" i="4"/>
  <c r="BS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Y67" i="4"/>
  <c r="Q67" i="4"/>
  <c r="B67" i="4"/>
  <c r="A67" i="4"/>
  <c r="QX66" i="4"/>
  <c r="FW66" i="4"/>
  <c r="FV66" i="4"/>
  <c r="FU66" i="4"/>
  <c r="FS66" i="4"/>
  <c r="FO66" i="4"/>
  <c r="FL66" i="4"/>
  <c r="FK66" i="4"/>
  <c r="FI66" i="4"/>
  <c r="FX66" i="4" s="1"/>
  <c r="FH66" i="4"/>
  <c r="FG66" i="4"/>
  <c r="FF66" i="4"/>
  <c r="FE66" i="4"/>
  <c r="FT66" i="4" s="1"/>
  <c r="FD66" i="4"/>
  <c r="FC66" i="4"/>
  <c r="FR66" i="4" s="1"/>
  <c r="FA66" i="4"/>
  <c r="FP66" i="4" s="1"/>
  <c r="EZ66" i="4"/>
  <c r="EY66" i="4"/>
  <c r="EX66" i="4"/>
  <c r="FN66" i="4" s="1"/>
  <c r="EW66" i="4"/>
  <c r="FM66" i="4" s="1"/>
  <c r="EV66" i="4"/>
  <c r="EU66" i="4"/>
  <c r="EB66" i="4"/>
  <c r="DZ66" i="4"/>
  <c r="DX66" i="4"/>
  <c r="DW66" i="4"/>
  <c r="EA66" i="4" s="1"/>
  <c r="DV66" i="4"/>
  <c r="DL66" i="4"/>
  <c r="DH66" i="4"/>
  <c r="DG66" i="4"/>
  <c r="DF66" i="4"/>
  <c r="DA66" i="4"/>
  <c r="CX66" i="4"/>
  <c r="FJ66" i="4" s="1"/>
  <c r="FY66" i="4" s="1"/>
  <c r="CW66" i="4"/>
  <c r="CV66" i="4"/>
  <c r="DY66" i="4" s="1"/>
  <c r="EC66" i="4" s="1"/>
  <c r="CU66" i="4"/>
  <c r="DE66" i="4" s="1"/>
  <c r="CO66" i="4"/>
  <c r="FB66" i="4" s="1"/>
  <c r="FQ66" i="4" s="1"/>
  <c r="CG66" i="4"/>
  <c r="BS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Y66" i="4"/>
  <c r="Q66" i="4"/>
  <c r="B66" i="4"/>
  <c r="A66" i="4"/>
  <c r="QX65" i="4"/>
  <c r="FY65" i="4"/>
  <c r="FV65" i="4"/>
  <c r="FT65" i="4"/>
  <c r="FS65" i="4"/>
  <c r="FO65" i="4"/>
  <c r="FM65" i="4"/>
  <c r="FJ65" i="4"/>
  <c r="FI65" i="4"/>
  <c r="FX65" i="4" s="1"/>
  <c r="FH65" i="4"/>
  <c r="FG65" i="4"/>
  <c r="FU65" i="4" s="1"/>
  <c r="FE65" i="4"/>
  <c r="FD65" i="4"/>
  <c r="FC65" i="4"/>
  <c r="FR65" i="4" s="1"/>
  <c r="FA65" i="4"/>
  <c r="FP65" i="4" s="1"/>
  <c r="EZ65" i="4"/>
  <c r="EY65" i="4"/>
  <c r="EX65" i="4"/>
  <c r="FN65" i="4" s="1"/>
  <c r="EW65" i="4"/>
  <c r="EV65" i="4"/>
  <c r="FL65" i="4" s="1"/>
  <c r="EU65" i="4"/>
  <c r="FK65" i="4" s="1"/>
  <c r="EA65" i="4"/>
  <c r="DX65" i="4"/>
  <c r="EB65" i="4" s="1"/>
  <c r="DW65" i="4"/>
  <c r="DU65" i="4"/>
  <c r="DL65" i="4"/>
  <c r="DH65" i="4"/>
  <c r="DG65" i="4"/>
  <c r="DF65" i="4"/>
  <c r="DA65" i="4"/>
  <c r="CX65" i="4"/>
  <c r="CW65" i="4"/>
  <c r="CV65" i="4"/>
  <c r="FF65" i="4" s="1"/>
  <c r="FW65" i="4" s="1"/>
  <c r="CU65" i="4"/>
  <c r="DE65" i="4" s="1"/>
  <c r="CO65" i="4"/>
  <c r="FB65" i="4" s="1"/>
  <c r="FQ65" i="4" s="1"/>
  <c r="CG65" i="4"/>
  <c r="BS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Y65" i="4"/>
  <c r="Q65" i="4"/>
  <c r="B65" i="4"/>
  <c r="A65" i="4"/>
  <c r="QX64" i="4"/>
  <c r="FS64" i="4"/>
  <c r="FO64" i="4"/>
  <c r="FN64" i="4"/>
  <c r="FM64" i="4"/>
  <c r="FK64" i="4"/>
  <c r="FI64" i="4"/>
  <c r="FX64" i="4" s="1"/>
  <c r="FH64" i="4"/>
  <c r="FV64" i="4" s="1"/>
  <c r="FG64" i="4"/>
  <c r="FU64" i="4" s="1"/>
  <c r="FE64" i="4"/>
  <c r="FT64" i="4" s="1"/>
  <c r="FD64" i="4"/>
  <c r="FC64" i="4"/>
  <c r="FR64" i="4" s="1"/>
  <c r="FA64" i="4"/>
  <c r="FP64" i="4" s="1"/>
  <c r="EZ64" i="4"/>
  <c r="EY64" i="4"/>
  <c r="EX64" i="4"/>
  <c r="EW64" i="4"/>
  <c r="EV64" i="4"/>
  <c r="FL64" i="4" s="1"/>
  <c r="EU64" i="4"/>
  <c r="EB64" i="4"/>
  <c r="DX64" i="4"/>
  <c r="DW64" i="4"/>
  <c r="EA64" i="4" s="1"/>
  <c r="DV64" i="4"/>
  <c r="DZ64" i="4" s="1"/>
  <c r="DL64" i="4"/>
  <c r="DH64" i="4"/>
  <c r="DF64" i="4"/>
  <c r="DE64" i="4"/>
  <c r="DA64" i="4"/>
  <c r="CX64" i="4"/>
  <c r="FJ64" i="4" s="1"/>
  <c r="FY64" i="4" s="1"/>
  <c r="CW64" i="4"/>
  <c r="CU64" i="4"/>
  <c r="CO64" i="4"/>
  <c r="CV64" i="4" s="1"/>
  <c r="CG64" i="4"/>
  <c r="BS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Y64" i="4"/>
  <c r="Q64" i="4"/>
  <c r="B64" i="4"/>
  <c r="A64" i="4"/>
  <c r="QX63" i="4"/>
  <c r="FW63" i="4"/>
  <c r="FV63" i="4"/>
  <c r="FU63" i="4"/>
  <c r="FS63" i="4"/>
  <c r="FO63" i="4"/>
  <c r="FL63" i="4"/>
  <c r="FK63" i="4"/>
  <c r="FI63" i="4"/>
  <c r="FX63" i="4" s="1"/>
  <c r="FH63" i="4"/>
  <c r="FG63" i="4"/>
  <c r="FF63" i="4"/>
  <c r="FE63" i="4"/>
  <c r="FT63" i="4" s="1"/>
  <c r="FD63" i="4"/>
  <c r="FC63" i="4"/>
  <c r="FR63" i="4" s="1"/>
  <c r="FA63" i="4"/>
  <c r="FP63" i="4" s="1"/>
  <c r="EZ63" i="4"/>
  <c r="EY63" i="4"/>
  <c r="EX63" i="4"/>
  <c r="FN63" i="4" s="1"/>
  <c r="EW63" i="4"/>
  <c r="FM63" i="4" s="1"/>
  <c r="EV63" i="4"/>
  <c r="EU63" i="4"/>
  <c r="EB63" i="4"/>
  <c r="DZ63" i="4"/>
  <c r="DX63" i="4"/>
  <c r="DW63" i="4"/>
  <c r="EA63" i="4" s="1"/>
  <c r="DV63" i="4"/>
  <c r="DL63" i="4"/>
  <c r="DH63" i="4"/>
  <c r="DG63" i="4"/>
  <c r="DF63" i="4"/>
  <c r="DA63" i="4"/>
  <c r="CX63" i="4"/>
  <c r="FJ63" i="4" s="1"/>
  <c r="FY63" i="4" s="1"/>
  <c r="CW63" i="4"/>
  <c r="CV63" i="4"/>
  <c r="DY63" i="4" s="1"/>
  <c r="EC63" i="4" s="1"/>
  <c r="CU63" i="4"/>
  <c r="DE63" i="4" s="1"/>
  <c r="CO63" i="4"/>
  <c r="FB63" i="4" s="1"/>
  <c r="FQ63" i="4" s="1"/>
  <c r="CG63" i="4"/>
  <c r="BS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Y63" i="4"/>
  <c r="Q63" i="4"/>
  <c r="B63" i="4"/>
  <c r="A63" i="4"/>
  <c r="QX62" i="4"/>
  <c r="FX62" i="4"/>
  <c r="FU62" i="4"/>
  <c r="FT62" i="4"/>
  <c r="FS62" i="4"/>
  <c r="FP62" i="4"/>
  <c r="FM62" i="4"/>
  <c r="FK62" i="4"/>
  <c r="FH62" i="4"/>
  <c r="FV62" i="4" s="1"/>
  <c r="FG62" i="4"/>
  <c r="FE62" i="4"/>
  <c r="FD62" i="4"/>
  <c r="FC62" i="4"/>
  <c r="FR62" i="4" s="1"/>
  <c r="FA62" i="4"/>
  <c r="EZ62" i="4"/>
  <c r="FO62" i="4" s="1"/>
  <c r="EY62" i="4"/>
  <c r="EX62" i="4"/>
  <c r="FN62" i="4" s="1"/>
  <c r="EW62" i="4"/>
  <c r="EV62" i="4"/>
  <c r="FL62" i="4" s="1"/>
  <c r="EU62" i="4"/>
  <c r="DX62" i="4"/>
  <c r="EB62" i="4" s="1"/>
  <c r="DW62" i="4"/>
  <c r="DV62" i="4" s="1"/>
  <c r="DZ62" i="4" s="1"/>
  <c r="DL62" i="4"/>
  <c r="DH62" i="4"/>
  <c r="DF62" i="4"/>
  <c r="DA62" i="4"/>
  <c r="CX62" i="4"/>
  <c r="FJ62" i="4" s="1"/>
  <c r="FY62" i="4" s="1"/>
  <c r="CU62" i="4"/>
  <c r="DE62" i="4" s="1"/>
  <c r="CO62" i="4"/>
  <c r="CW62" i="4" s="1"/>
  <c r="CG62" i="4"/>
  <c r="BS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Y62" i="4"/>
  <c r="Q62" i="4"/>
  <c r="B62" i="4"/>
  <c r="A62" i="4"/>
  <c r="QX61" i="4"/>
  <c r="FX61" i="4"/>
  <c r="FV61" i="4"/>
  <c r="FT61" i="4"/>
  <c r="FR61" i="4"/>
  <c r="FP61" i="4"/>
  <c r="FM61" i="4"/>
  <c r="FL61" i="4"/>
  <c r="FJ61" i="4"/>
  <c r="FY61" i="4" s="1"/>
  <c r="FI61" i="4"/>
  <c r="FH61" i="4"/>
  <c r="FG61" i="4"/>
  <c r="FU61" i="4" s="1"/>
  <c r="FE61" i="4"/>
  <c r="FD61" i="4"/>
  <c r="FS61" i="4" s="1"/>
  <c r="FC61" i="4"/>
  <c r="FA61" i="4"/>
  <c r="EZ61" i="4"/>
  <c r="FO61" i="4" s="1"/>
  <c r="EY61" i="4"/>
  <c r="EX61" i="4"/>
  <c r="FN61" i="4" s="1"/>
  <c r="EW61" i="4"/>
  <c r="EV61" i="4"/>
  <c r="EU61" i="4"/>
  <c r="FK61" i="4" s="1"/>
  <c r="EA61" i="4"/>
  <c r="DX61" i="4"/>
  <c r="EB61" i="4" s="1"/>
  <c r="DW61" i="4"/>
  <c r="DV61" i="4" s="1"/>
  <c r="DZ61" i="4" s="1"/>
  <c r="DU61" i="4"/>
  <c r="DL61" i="4"/>
  <c r="DH61" i="4"/>
  <c r="DF61" i="4"/>
  <c r="DA61" i="4"/>
  <c r="CX61" i="4"/>
  <c r="CV61" i="4"/>
  <c r="DY61" i="4" s="1"/>
  <c r="EC61" i="4" s="1"/>
  <c r="CU61" i="4"/>
  <c r="DE61" i="4" s="1"/>
  <c r="CO61" i="4"/>
  <c r="FB61" i="4" s="1"/>
  <c r="FQ61" i="4" s="1"/>
  <c r="CG61" i="4"/>
  <c r="BS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Y61" i="4"/>
  <c r="Q61" i="4"/>
  <c r="B61" i="4"/>
  <c r="A61" i="4"/>
  <c r="QX60" i="4"/>
  <c r="FX60" i="4"/>
  <c r="FU60" i="4"/>
  <c r="FT60" i="4"/>
  <c r="FR60" i="4"/>
  <c r="FP60" i="4"/>
  <c r="FN60" i="4"/>
  <c r="FK60" i="4"/>
  <c r="FJ60" i="4"/>
  <c r="FY60" i="4" s="1"/>
  <c r="FI60" i="4"/>
  <c r="FH60" i="4"/>
  <c r="FV60" i="4" s="1"/>
  <c r="FG60" i="4"/>
  <c r="FE60" i="4"/>
  <c r="FD60" i="4"/>
  <c r="FS60" i="4" s="1"/>
  <c r="FC60" i="4"/>
  <c r="FA60" i="4"/>
  <c r="EZ60" i="4"/>
  <c r="FO60" i="4" s="1"/>
  <c r="EY60" i="4"/>
  <c r="EX60" i="4"/>
  <c r="EW60" i="4"/>
  <c r="FM60" i="4" s="1"/>
  <c r="EV60" i="4"/>
  <c r="FL60" i="4" s="1"/>
  <c r="EU60" i="4"/>
  <c r="EB60" i="4"/>
  <c r="EA60" i="4"/>
  <c r="DX60" i="4"/>
  <c r="DW60" i="4"/>
  <c r="DV60" i="4"/>
  <c r="DZ60" i="4" s="1"/>
  <c r="DU60" i="4"/>
  <c r="DL60" i="4"/>
  <c r="DH60" i="4"/>
  <c r="DF60" i="4"/>
  <c r="DE60" i="4"/>
  <c r="DA60" i="4"/>
  <c r="CX60" i="4"/>
  <c r="CU60" i="4"/>
  <c r="CO60" i="4"/>
  <c r="CW60" i="4" s="1"/>
  <c r="CG60" i="4"/>
  <c r="BS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Y60" i="4"/>
  <c r="Q60" i="4"/>
  <c r="B60" i="4"/>
  <c r="A60" i="4"/>
  <c r="QX59" i="4"/>
  <c r="FX59" i="4"/>
  <c r="FU59" i="4"/>
  <c r="FT59" i="4"/>
  <c r="FR59" i="4"/>
  <c r="FP59" i="4"/>
  <c r="FN59" i="4"/>
  <c r="FL59" i="4"/>
  <c r="FI59" i="4"/>
  <c r="FH59" i="4"/>
  <c r="FV59" i="4" s="1"/>
  <c r="FG59" i="4"/>
  <c r="FE59" i="4"/>
  <c r="FD59" i="4"/>
  <c r="FS59" i="4" s="1"/>
  <c r="FC59" i="4"/>
  <c r="FA59" i="4"/>
  <c r="EZ59" i="4"/>
  <c r="FO59" i="4" s="1"/>
  <c r="EY59" i="4"/>
  <c r="EX59" i="4"/>
  <c r="EW59" i="4"/>
  <c r="FM59" i="4" s="1"/>
  <c r="EV59" i="4"/>
  <c r="EU59" i="4"/>
  <c r="FK59" i="4" s="1"/>
  <c r="DX59" i="4"/>
  <c r="EB59" i="4" s="1"/>
  <c r="DW59" i="4"/>
  <c r="DV59" i="4" s="1"/>
  <c r="DZ59" i="4" s="1"/>
  <c r="DL59" i="4"/>
  <c r="DH59" i="4"/>
  <c r="DF59" i="4"/>
  <c r="DA59" i="4"/>
  <c r="CX59" i="4"/>
  <c r="FJ59" i="4" s="1"/>
  <c r="FY59" i="4" s="1"/>
  <c r="CU59" i="4"/>
  <c r="DE59" i="4" s="1"/>
  <c r="CO59" i="4"/>
  <c r="CW59" i="4" s="1"/>
  <c r="CG59" i="4"/>
  <c r="BS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Y59" i="4"/>
  <c r="Q59" i="4"/>
  <c r="B59" i="4"/>
  <c r="A59" i="4"/>
  <c r="QX58" i="4"/>
  <c r="FX58" i="4"/>
  <c r="FV58" i="4"/>
  <c r="FT58" i="4"/>
  <c r="FR58" i="4"/>
  <c r="FP58" i="4"/>
  <c r="FM58" i="4"/>
  <c r="FL58" i="4"/>
  <c r="FJ58" i="4"/>
  <c r="FY58" i="4" s="1"/>
  <c r="FI58" i="4"/>
  <c r="FH58" i="4"/>
  <c r="FG58" i="4"/>
  <c r="FU58" i="4" s="1"/>
  <c r="FE58" i="4"/>
  <c r="FD58" i="4"/>
  <c r="FS58" i="4" s="1"/>
  <c r="FC58" i="4"/>
  <c r="FA58" i="4"/>
  <c r="EZ58" i="4"/>
  <c r="FO58" i="4" s="1"/>
  <c r="EY58" i="4"/>
  <c r="EX58" i="4"/>
  <c r="FN58" i="4" s="1"/>
  <c r="EW58" i="4"/>
  <c r="EV58" i="4"/>
  <c r="EU58" i="4"/>
  <c r="FK58" i="4" s="1"/>
  <c r="EA58" i="4"/>
  <c r="DX58" i="4"/>
  <c r="EB58" i="4" s="1"/>
  <c r="DW58" i="4"/>
  <c r="DV58" i="4" s="1"/>
  <c r="DZ58" i="4" s="1"/>
  <c r="DU58" i="4"/>
  <c r="DL58" i="4"/>
  <c r="DH58" i="4"/>
  <c r="DF58" i="4"/>
  <c r="DE58" i="4"/>
  <c r="DA58" i="4"/>
  <c r="CX58" i="4"/>
  <c r="CW58" i="4"/>
  <c r="CV58" i="4"/>
  <c r="CU58" i="4"/>
  <c r="CO58" i="4"/>
  <c r="FB58" i="4" s="1"/>
  <c r="FQ58" i="4" s="1"/>
  <c r="BS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Y58" i="4"/>
  <c r="Q58" i="4"/>
  <c r="B58" i="4"/>
  <c r="A58" i="4"/>
  <c r="QX57" i="4"/>
  <c r="FY57" i="4"/>
  <c r="FV57" i="4"/>
  <c r="FS57" i="4"/>
  <c r="FO57" i="4"/>
  <c r="FM57" i="4"/>
  <c r="FJ57" i="4"/>
  <c r="FI57" i="4"/>
  <c r="FX57" i="4" s="1"/>
  <c r="FH57" i="4"/>
  <c r="FG57" i="4"/>
  <c r="FU57" i="4" s="1"/>
  <c r="FE57" i="4"/>
  <c r="FT57" i="4" s="1"/>
  <c r="FD57" i="4"/>
  <c r="FC57" i="4"/>
  <c r="FR57" i="4" s="1"/>
  <c r="FA57" i="4"/>
  <c r="FP57" i="4" s="1"/>
  <c r="EZ57" i="4"/>
  <c r="EY57" i="4"/>
  <c r="EX57" i="4"/>
  <c r="FN57" i="4" s="1"/>
  <c r="EW57" i="4"/>
  <c r="EV57" i="4"/>
  <c r="FL57" i="4" s="1"/>
  <c r="EU57" i="4"/>
  <c r="FK57" i="4" s="1"/>
  <c r="EA57" i="4"/>
  <c r="DX57" i="4"/>
  <c r="EB57" i="4" s="1"/>
  <c r="DW57" i="4"/>
  <c r="DU57" i="4"/>
  <c r="DL57" i="4"/>
  <c r="DH57" i="4"/>
  <c r="DG57" i="4"/>
  <c r="DF57" i="4"/>
  <c r="DA57" i="4"/>
  <c r="CX57" i="4"/>
  <c r="CW57" i="4"/>
  <c r="CV57" i="4"/>
  <c r="FF57" i="4" s="1"/>
  <c r="FW57" i="4" s="1"/>
  <c r="CU57" i="4"/>
  <c r="DE57" i="4" s="1"/>
  <c r="CO57" i="4"/>
  <c r="FB57" i="4" s="1"/>
  <c r="FQ57" i="4" s="1"/>
  <c r="CG57" i="4"/>
  <c r="BS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Y57" i="4"/>
  <c r="Q57" i="4"/>
  <c r="B57" i="4"/>
  <c r="A57" i="4"/>
  <c r="QX56" i="4"/>
  <c r="FS56" i="4"/>
  <c r="FO56" i="4"/>
  <c r="FN56" i="4"/>
  <c r="FM56" i="4"/>
  <c r="FK56" i="4"/>
  <c r="FI56" i="4"/>
  <c r="FX56" i="4" s="1"/>
  <c r="FH56" i="4"/>
  <c r="FV56" i="4" s="1"/>
  <c r="FG56" i="4"/>
  <c r="FU56" i="4" s="1"/>
  <c r="FE56" i="4"/>
  <c r="FT56" i="4" s="1"/>
  <c r="FD56" i="4"/>
  <c r="FC56" i="4"/>
  <c r="FR56" i="4" s="1"/>
  <c r="FA56" i="4"/>
  <c r="FP56" i="4" s="1"/>
  <c r="EZ56" i="4"/>
  <c r="EY56" i="4"/>
  <c r="EX56" i="4"/>
  <c r="EW56" i="4"/>
  <c r="EV56" i="4"/>
  <c r="FL56" i="4" s="1"/>
  <c r="EU56" i="4"/>
  <c r="EB56" i="4"/>
  <c r="DX56" i="4"/>
  <c r="DW56" i="4"/>
  <c r="EA56" i="4" s="1"/>
  <c r="DV56" i="4"/>
  <c r="DZ56" i="4" s="1"/>
  <c r="DL56" i="4"/>
  <c r="DH56" i="4"/>
  <c r="DF56" i="4"/>
  <c r="DE56" i="4"/>
  <c r="DA56" i="4"/>
  <c r="CX56" i="4"/>
  <c r="FJ56" i="4" s="1"/>
  <c r="FY56" i="4" s="1"/>
  <c r="CW56" i="4"/>
  <c r="CU56" i="4"/>
  <c r="CO56" i="4"/>
  <c r="CV56" i="4" s="1"/>
  <c r="CG56" i="4"/>
  <c r="BS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Y56" i="4"/>
  <c r="Q56" i="4"/>
  <c r="B56" i="4"/>
  <c r="A56" i="4"/>
  <c r="QX55" i="4"/>
  <c r="FU55" i="4"/>
  <c r="FS55" i="4"/>
  <c r="FO55" i="4"/>
  <c r="FN55" i="4"/>
  <c r="FL55" i="4"/>
  <c r="FK55" i="4"/>
  <c r="FI55" i="4"/>
  <c r="FX55" i="4" s="1"/>
  <c r="FH55" i="4"/>
  <c r="FV55" i="4" s="1"/>
  <c r="FG55" i="4"/>
  <c r="FE55" i="4"/>
  <c r="FT55" i="4" s="1"/>
  <c r="FD55" i="4"/>
  <c r="FC55" i="4"/>
  <c r="FR55" i="4" s="1"/>
  <c r="FA55" i="4"/>
  <c r="FP55" i="4" s="1"/>
  <c r="EZ55" i="4"/>
  <c r="EY55" i="4"/>
  <c r="EX55" i="4"/>
  <c r="EW55" i="4"/>
  <c r="FM55" i="4" s="1"/>
  <c r="EV55" i="4"/>
  <c r="EU55" i="4"/>
  <c r="EB55" i="4"/>
  <c r="DZ55" i="4"/>
  <c r="DX55" i="4"/>
  <c r="DW55" i="4"/>
  <c r="EA55" i="4" s="1"/>
  <c r="DV55" i="4"/>
  <c r="DL55" i="4"/>
  <c r="DH55" i="4"/>
  <c r="DF55" i="4"/>
  <c r="DA55" i="4"/>
  <c r="CX55" i="4"/>
  <c r="FJ55" i="4" s="1"/>
  <c r="FY55" i="4" s="1"/>
  <c r="CW55" i="4"/>
  <c r="CU55" i="4"/>
  <c r="DE55" i="4" s="1"/>
  <c r="CO55" i="4"/>
  <c r="FB55" i="4" s="1"/>
  <c r="FQ55" i="4" s="1"/>
  <c r="CG55" i="4"/>
  <c r="BS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Y55" i="4"/>
  <c r="Q55" i="4"/>
  <c r="B55" i="4"/>
  <c r="A55" i="4"/>
  <c r="QX54" i="4"/>
  <c r="FY54" i="4"/>
  <c r="FV54" i="4"/>
  <c r="FS54" i="4"/>
  <c r="FO54" i="4"/>
  <c r="FM54" i="4"/>
  <c r="FJ54" i="4"/>
  <c r="FI54" i="4"/>
  <c r="FX54" i="4" s="1"/>
  <c r="FH54" i="4"/>
  <c r="FG54" i="4"/>
  <c r="FU54" i="4" s="1"/>
  <c r="FE54" i="4"/>
  <c r="FT54" i="4" s="1"/>
  <c r="FD54" i="4"/>
  <c r="FC54" i="4"/>
  <c r="FR54" i="4" s="1"/>
  <c r="FA54" i="4"/>
  <c r="FP54" i="4" s="1"/>
  <c r="EZ54" i="4"/>
  <c r="EY54" i="4"/>
  <c r="EX54" i="4"/>
  <c r="FN54" i="4" s="1"/>
  <c r="EW54" i="4"/>
  <c r="EV54" i="4"/>
  <c r="FL54" i="4" s="1"/>
  <c r="EU54" i="4"/>
  <c r="FK54" i="4" s="1"/>
  <c r="EA54" i="4"/>
  <c r="DX54" i="4"/>
  <c r="EB54" i="4" s="1"/>
  <c r="DW54" i="4"/>
  <c r="DU54" i="4"/>
  <c r="DL54" i="4"/>
  <c r="DH54" i="4"/>
  <c r="DG54" i="4"/>
  <c r="DF54" i="4"/>
  <c r="DA54" i="4"/>
  <c r="CX54" i="4"/>
  <c r="CW54" i="4"/>
  <c r="CV54" i="4"/>
  <c r="FF54" i="4" s="1"/>
  <c r="FW54" i="4" s="1"/>
  <c r="CU54" i="4"/>
  <c r="DE54" i="4" s="1"/>
  <c r="CO54" i="4"/>
  <c r="FB54" i="4" s="1"/>
  <c r="FQ54" i="4" s="1"/>
  <c r="CG54" i="4"/>
  <c r="BS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Y54" i="4"/>
  <c r="Q54" i="4"/>
  <c r="B54" i="4"/>
  <c r="A54" i="4"/>
  <c r="QX53" i="4"/>
  <c r="FS53" i="4"/>
  <c r="FO53" i="4"/>
  <c r="FN53" i="4"/>
  <c r="FM53" i="4"/>
  <c r="FK53" i="4"/>
  <c r="FI53" i="4"/>
  <c r="FX53" i="4" s="1"/>
  <c r="FH53" i="4"/>
  <c r="FV53" i="4" s="1"/>
  <c r="FG53" i="4"/>
  <c r="FU53" i="4" s="1"/>
  <c r="FE53" i="4"/>
  <c r="FT53" i="4" s="1"/>
  <c r="FD53" i="4"/>
  <c r="FC53" i="4"/>
  <c r="FR53" i="4" s="1"/>
  <c r="FA53" i="4"/>
  <c r="FP53" i="4" s="1"/>
  <c r="EZ53" i="4"/>
  <c r="EY53" i="4"/>
  <c r="EX53" i="4"/>
  <c r="EW53" i="4"/>
  <c r="EV53" i="4"/>
  <c r="FL53" i="4" s="1"/>
  <c r="EU53" i="4"/>
  <c r="ET53" i="4"/>
  <c r="DX53" i="4"/>
  <c r="EB53" i="4" s="1"/>
  <c r="DW53" i="4"/>
  <c r="DV53" i="4" s="1"/>
  <c r="DZ53" i="4" s="1"/>
  <c r="DL53" i="4"/>
  <c r="DH53" i="4"/>
  <c r="DF53" i="4"/>
  <c r="DA53" i="4"/>
  <c r="CX53" i="4"/>
  <c r="FJ53" i="4" s="1"/>
  <c r="FY53" i="4" s="1"/>
  <c r="CU53" i="4"/>
  <c r="DE53" i="4" s="1"/>
  <c r="CO53" i="4"/>
  <c r="CW53" i="4" s="1"/>
  <c r="CG53" i="4"/>
  <c r="BS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Y53" i="4"/>
  <c r="Q53" i="4"/>
  <c r="B53" i="4"/>
  <c r="A53" i="4"/>
  <c r="QX52" i="4"/>
  <c r="FX52" i="4"/>
  <c r="FV52" i="4"/>
  <c r="FT52" i="4"/>
  <c r="FR52" i="4"/>
  <c r="FP52" i="4"/>
  <c r="FM52" i="4"/>
  <c r="FL52" i="4"/>
  <c r="FJ52" i="4"/>
  <c r="FY52" i="4" s="1"/>
  <c r="FI52" i="4"/>
  <c r="FH52" i="4"/>
  <c r="FG52" i="4"/>
  <c r="FU52" i="4" s="1"/>
  <c r="FE52" i="4"/>
  <c r="FD52" i="4"/>
  <c r="FS52" i="4" s="1"/>
  <c r="FC52" i="4"/>
  <c r="FA52" i="4"/>
  <c r="EZ52" i="4"/>
  <c r="FO52" i="4" s="1"/>
  <c r="EY52" i="4"/>
  <c r="EX52" i="4"/>
  <c r="FN52" i="4" s="1"/>
  <c r="EW52" i="4"/>
  <c r="EV52" i="4"/>
  <c r="EU52" i="4"/>
  <c r="FK52" i="4" s="1"/>
  <c r="EA52" i="4"/>
  <c r="DX52" i="4"/>
  <c r="EB52" i="4" s="1"/>
  <c r="DW52" i="4"/>
  <c r="DV52" i="4" s="1"/>
  <c r="DZ52" i="4" s="1"/>
  <c r="DU52" i="4"/>
  <c r="DL52" i="4"/>
  <c r="DH52" i="4"/>
  <c r="DF52" i="4"/>
  <c r="DA52" i="4"/>
  <c r="CX52" i="4"/>
  <c r="CV52" i="4"/>
  <c r="CU52" i="4"/>
  <c r="DE52" i="4" s="1"/>
  <c r="CO52" i="4"/>
  <c r="FB52" i="4" s="1"/>
  <c r="FQ52" i="4" s="1"/>
  <c r="CG52" i="4"/>
  <c r="BS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Y52" i="4"/>
  <c r="Q52" i="4"/>
  <c r="B52" i="4"/>
  <c r="A52" i="4"/>
  <c r="QX51" i="4"/>
  <c r="FX51" i="4"/>
  <c r="FT51" i="4"/>
  <c r="FR51" i="4"/>
  <c r="FP51" i="4"/>
  <c r="FN51" i="4"/>
  <c r="FM51" i="4"/>
  <c r="FK51" i="4"/>
  <c r="FJ51" i="4"/>
  <c r="FY51" i="4" s="1"/>
  <c r="FI51" i="4"/>
  <c r="FH51" i="4"/>
  <c r="FV51" i="4" s="1"/>
  <c r="FG51" i="4"/>
  <c r="FU51" i="4" s="1"/>
  <c r="FE51" i="4"/>
  <c r="FD51" i="4"/>
  <c r="FS51" i="4" s="1"/>
  <c r="FC51" i="4"/>
  <c r="FA51" i="4"/>
  <c r="EZ51" i="4"/>
  <c r="FO51" i="4" s="1"/>
  <c r="EY51" i="4"/>
  <c r="EX51" i="4"/>
  <c r="EW51" i="4"/>
  <c r="EV51" i="4"/>
  <c r="FL51" i="4" s="1"/>
  <c r="EU51" i="4"/>
  <c r="EB51" i="4"/>
  <c r="EA51" i="4"/>
  <c r="DX51" i="4"/>
  <c r="DW51" i="4"/>
  <c r="DV51" i="4"/>
  <c r="DZ51" i="4" s="1"/>
  <c r="DU51" i="4"/>
  <c r="DL51" i="4"/>
  <c r="DH51" i="4"/>
  <c r="DF51" i="4"/>
  <c r="DE51" i="4"/>
  <c r="DA51" i="4"/>
  <c r="CX51" i="4"/>
  <c r="CU51" i="4"/>
  <c r="CO51" i="4"/>
  <c r="CW51" i="4" s="1"/>
  <c r="CG51" i="4"/>
  <c r="BS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Y51" i="4"/>
  <c r="Q51" i="4"/>
  <c r="B51" i="4"/>
  <c r="A51" i="4"/>
  <c r="QX50" i="4"/>
  <c r="FX50" i="4"/>
  <c r="FU50" i="4"/>
  <c r="FT50" i="4"/>
  <c r="FR50" i="4"/>
  <c r="FP50" i="4"/>
  <c r="FN50" i="4"/>
  <c r="FL50" i="4"/>
  <c r="FI50" i="4"/>
  <c r="FH50" i="4"/>
  <c r="FV50" i="4" s="1"/>
  <c r="FG50" i="4"/>
  <c r="FE50" i="4"/>
  <c r="FD50" i="4"/>
  <c r="FS50" i="4" s="1"/>
  <c r="FC50" i="4"/>
  <c r="FA50" i="4"/>
  <c r="EZ50" i="4"/>
  <c r="FO50" i="4" s="1"/>
  <c r="EY50" i="4"/>
  <c r="EX50" i="4"/>
  <c r="EW50" i="4"/>
  <c r="FM50" i="4" s="1"/>
  <c r="EV50" i="4"/>
  <c r="EU50" i="4"/>
  <c r="FK50" i="4" s="1"/>
  <c r="DX50" i="4"/>
  <c r="EB50" i="4" s="1"/>
  <c r="DW50" i="4"/>
  <c r="DV50" i="4" s="1"/>
  <c r="DZ50" i="4" s="1"/>
  <c r="DL50" i="4"/>
  <c r="DH50" i="4"/>
  <c r="DF50" i="4"/>
  <c r="DA50" i="4"/>
  <c r="CX50" i="4"/>
  <c r="FJ50" i="4" s="1"/>
  <c r="FY50" i="4" s="1"/>
  <c r="CU50" i="4"/>
  <c r="DE50" i="4" s="1"/>
  <c r="CO50" i="4"/>
  <c r="CW50" i="4" s="1"/>
  <c r="CG50" i="4"/>
  <c r="BS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Y50" i="4"/>
  <c r="Q50" i="4"/>
  <c r="B50" i="4"/>
  <c r="A50" i="4"/>
  <c r="QX49" i="4"/>
  <c r="FX49" i="4"/>
  <c r="FV49" i="4"/>
  <c r="FT49" i="4"/>
  <c r="FR49" i="4"/>
  <c r="FP49" i="4"/>
  <c r="FM49" i="4"/>
  <c r="FL49" i="4"/>
  <c r="FJ49" i="4"/>
  <c r="FY49" i="4" s="1"/>
  <c r="FI49" i="4"/>
  <c r="FH49" i="4"/>
  <c r="FG49" i="4"/>
  <c r="FU49" i="4" s="1"/>
  <c r="FE49" i="4"/>
  <c r="FD49" i="4"/>
  <c r="FS49" i="4" s="1"/>
  <c r="FC49" i="4"/>
  <c r="FA49" i="4"/>
  <c r="EZ49" i="4"/>
  <c r="FO49" i="4" s="1"/>
  <c r="EY49" i="4"/>
  <c r="EX49" i="4"/>
  <c r="FN49" i="4" s="1"/>
  <c r="EW49" i="4"/>
  <c r="EV49" i="4"/>
  <c r="EU49" i="4"/>
  <c r="FK49" i="4" s="1"/>
  <c r="EA49" i="4"/>
  <c r="DX49" i="4"/>
  <c r="EB49" i="4" s="1"/>
  <c r="DW49" i="4"/>
  <c r="DV49" i="4" s="1"/>
  <c r="DZ49" i="4" s="1"/>
  <c r="DU49" i="4"/>
  <c r="DL49" i="4"/>
  <c r="DH49" i="4"/>
  <c r="DF49" i="4"/>
  <c r="DA49" i="4"/>
  <c r="CX49" i="4"/>
  <c r="CV49" i="4"/>
  <c r="CU49" i="4"/>
  <c r="DE49" i="4" s="1"/>
  <c r="CO49" i="4"/>
  <c r="FB49" i="4" s="1"/>
  <c r="FQ49" i="4" s="1"/>
  <c r="CG49" i="4"/>
  <c r="BS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Y49" i="4"/>
  <c r="Q49" i="4"/>
  <c r="B49" i="4"/>
  <c r="A49" i="4"/>
  <c r="QX48" i="4"/>
  <c r="FX48" i="4"/>
  <c r="FT48" i="4"/>
  <c r="FR48" i="4"/>
  <c r="FP48" i="4"/>
  <c r="FN48" i="4"/>
  <c r="FK48" i="4"/>
  <c r="FJ48" i="4"/>
  <c r="FY48" i="4" s="1"/>
  <c r="FI48" i="4"/>
  <c r="FH48" i="4"/>
  <c r="FV48" i="4" s="1"/>
  <c r="FG48" i="4"/>
  <c r="FU48" i="4" s="1"/>
  <c r="FE48" i="4"/>
  <c r="FD48" i="4"/>
  <c r="FS48" i="4" s="1"/>
  <c r="FC48" i="4"/>
  <c r="FA48" i="4"/>
  <c r="EZ48" i="4"/>
  <c r="FO48" i="4" s="1"/>
  <c r="EY48" i="4"/>
  <c r="EX48" i="4"/>
  <c r="EW48" i="4"/>
  <c r="FM48" i="4" s="1"/>
  <c r="EV48" i="4"/>
  <c r="FL48" i="4" s="1"/>
  <c r="EU48" i="4"/>
  <c r="EB48" i="4"/>
  <c r="EA48" i="4"/>
  <c r="DX48" i="4"/>
  <c r="DW48" i="4"/>
  <c r="DV48" i="4"/>
  <c r="DZ48" i="4" s="1"/>
  <c r="DU48" i="4"/>
  <c r="DL48" i="4"/>
  <c r="DH48" i="4"/>
  <c r="DF48" i="4"/>
  <c r="DE48" i="4"/>
  <c r="DA48" i="4"/>
  <c r="CX48" i="4"/>
  <c r="CU48" i="4"/>
  <c r="CO48" i="4"/>
  <c r="CW48" i="4" s="1"/>
  <c r="CG48" i="4"/>
  <c r="BS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Y48" i="4"/>
  <c r="Q48" i="4"/>
  <c r="B48" i="4"/>
  <c r="A48" i="4"/>
  <c r="QX47" i="4"/>
  <c r="FX47" i="4"/>
  <c r="FU47" i="4"/>
  <c r="FT47" i="4"/>
  <c r="FR47" i="4"/>
  <c r="FP47" i="4"/>
  <c r="FN47" i="4"/>
  <c r="FL47" i="4"/>
  <c r="FK47" i="4"/>
  <c r="FI47" i="4"/>
  <c r="FH47" i="4"/>
  <c r="FV47" i="4" s="1"/>
  <c r="FG47" i="4"/>
  <c r="FE47" i="4"/>
  <c r="FD47" i="4"/>
  <c r="FS47" i="4" s="1"/>
  <c r="FC47" i="4"/>
  <c r="FA47" i="4"/>
  <c r="EZ47" i="4"/>
  <c r="FO47" i="4" s="1"/>
  <c r="EY47" i="4"/>
  <c r="EX47" i="4"/>
  <c r="EW47" i="4"/>
  <c r="FM47" i="4" s="1"/>
  <c r="EV47" i="4"/>
  <c r="EU47" i="4"/>
  <c r="EB47" i="4"/>
  <c r="DX47" i="4"/>
  <c r="DW47" i="4"/>
  <c r="DV47" i="4" s="1"/>
  <c r="DZ47" i="4" s="1"/>
  <c r="DL47" i="4"/>
  <c r="DH47" i="4"/>
  <c r="DF47" i="4"/>
  <c r="DA47" i="4"/>
  <c r="CX47" i="4"/>
  <c r="FJ47" i="4" s="1"/>
  <c r="FY47" i="4" s="1"/>
  <c r="CU47" i="4"/>
  <c r="DE47" i="4" s="1"/>
  <c r="CO47" i="4"/>
  <c r="CW47" i="4" s="1"/>
  <c r="CG47" i="4"/>
  <c r="BS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Y47" i="4"/>
  <c r="Q47" i="4"/>
  <c r="B47" i="4"/>
  <c r="A47" i="4"/>
  <c r="QX46" i="4"/>
  <c r="FX46" i="4"/>
  <c r="FV46" i="4"/>
  <c r="FT46" i="4"/>
  <c r="FR46" i="4"/>
  <c r="FP46" i="4"/>
  <c r="FM46" i="4"/>
  <c r="FL46" i="4"/>
  <c r="FJ46" i="4"/>
  <c r="FY46" i="4" s="1"/>
  <c r="FI46" i="4"/>
  <c r="FH46" i="4"/>
  <c r="FG46" i="4"/>
  <c r="FU46" i="4" s="1"/>
  <c r="FE46" i="4"/>
  <c r="FD46" i="4"/>
  <c r="FS46" i="4" s="1"/>
  <c r="FC46" i="4"/>
  <c r="FA46" i="4"/>
  <c r="EZ46" i="4"/>
  <c r="FO46" i="4" s="1"/>
  <c r="EY46" i="4"/>
  <c r="EX46" i="4"/>
  <c r="FN46" i="4" s="1"/>
  <c r="EW46" i="4"/>
  <c r="EV46" i="4"/>
  <c r="EU46" i="4"/>
  <c r="FK46" i="4" s="1"/>
  <c r="EA46" i="4"/>
  <c r="DX46" i="4"/>
  <c r="EB46" i="4" s="1"/>
  <c r="DW46" i="4"/>
  <c r="DV46" i="4" s="1"/>
  <c r="DZ46" i="4" s="1"/>
  <c r="DU46" i="4"/>
  <c r="DL46" i="4"/>
  <c r="DH46" i="4"/>
  <c r="DF46" i="4"/>
  <c r="DA46" i="4"/>
  <c r="CX46" i="4"/>
  <c r="CV46" i="4"/>
  <c r="DY46" i="4" s="1"/>
  <c r="EC46" i="4" s="1"/>
  <c r="CU46" i="4"/>
  <c r="DE46" i="4" s="1"/>
  <c r="CO46" i="4"/>
  <c r="FB46" i="4" s="1"/>
  <c r="FQ46" i="4" s="1"/>
  <c r="CG46" i="4"/>
  <c r="BS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Y46" i="4"/>
  <c r="Q46" i="4"/>
  <c r="B46" i="4"/>
  <c r="A46" i="4"/>
  <c r="QX45" i="4"/>
  <c r="FX45" i="4"/>
  <c r="FT45" i="4"/>
  <c r="FR45" i="4"/>
  <c r="FP45" i="4"/>
  <c r="FN45" i="4"/>
  <c r="FM45" i="4"/>
  <c r="FK45" i="4"/>
  <c r="FJ45" i="4"/>
  <c r="FY45" i="4" s="1"/>
  <c r="FI45" i="4"/>
  <c r="FH45" i="4"/>
  <c r="FV45" i="4" s="1"/>
  <c r="FG45" i="4"/>
  <c r="FU45" i="4" s="1"/>
  <c r="FE45" i="4"/>
  <c r="FD45" i="4"/>
  <c r="FS45" i="4" s="1"/>
  <c r="FC45" i="4"/>
  <c r="FA45" i="4"/>
  <c r="EZ45" i="4"/>
  <c r="FO45" i="4" s="1"/>
  <c r="EY45" i="4"/>
  <c r="EX45" i="4"/>
  <c r="EW45" i="4"/>
  <c r="EV45" i="4"/>
  <c r="FL45" i="4" s="1"/>
  <c r="EU45" i="4"/>
  <c r="EB45" i="4"/>
  <c r="EA45" i="4"/>
  <c r="DX45" i="4"/>
  <c r="DW45" i="4"/>
  <c r="DV45" i="4"/>
  <c r="DZ45" i="4" s="1"/>
  <c r="DU45" i="4"/>
  <c r="DL45" i="4"/>
  <c r="DH45" i="4"/>
  <c r="DF45" i="4"/>
  <c r="DE45" i="4"/>
  <c r="DA45" i="4"/>
  <c r="CX45" i="4"/>
  <c r="CU45" i="4"/>
  <c r="CO45" i="4"/>
  <c r="CW45" i="4" s="1"/>
  <c r="CG45" i="4"/>
  <c r="BS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Y45" i="4"/>
  <c r="Q45" i="4"/>
  <c r="B45" i="4"/>
  <c r="A45" i="4"/>
  <c r="QX44" i="4"/>
  <c r="FX44" i="4"/>
  <c r="FU44" i="4"/>
  <c r="FT44" i="4"/>
  <c r="FR44" i="4"/>
  <c r="FP44" i="4"/>
  <c r="FN44" i="4"/>
  <c r="FL44" i="4"/>
  <c r="FI44" i="4"/>
  <c r="FH44" i="4"/>
  <c r="FV44" i="4" s="1"/>
  <c r="FG44" i="4"/>
  <c r="FE44" i="4"/>
  <c r="FD44" i="4"/>
  <c r="FS44" i="4" s="1"/>
  <c r="FC44" i="4"/>
  <c r="FB44" i="4"/>
  <c r="FQ44" i="4" s="1"/>
  <c r="FA44" i="4"/>
  <c r="EZ44" i="4"/>
  <c r="FO44" i="4" s="1"/>
  <c r="EY44" i="4"/>
  <c r="EX44" i="4"/>
  <c r="EW44" i="4"/>
  <c r="FM44" i="4" s="1"/>
  <c r="EV44" i="4"/>
  <c r="EU44" i="4"/>
  <c r="FK44" i="4" s="1"/>
  <c r="EB44" i="4"/>
  <c r="DX44" i="4"/>
  <c r="DH44" i="4"/>
  <c r="DF44" i="4"/>
  <c r="DE44" i="4"/>
  <c r="DA44" i="4"/>
  <c r="CX44" i="4"/>
  <c r="FJ44" i="4" s="1"/>
  <c r="FY44" i="4" s="1"/>
  <c r="CV44" i="4"/>
  <c r="DG44" i="4" s="1"/>
  <c r="CU44" i="4"/>
  <c r="CO44" i="4"/>
  <c r="CW44" i="4" s="1"/>
  <c r="CG44" i="4"/>
  <c r="BS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Y44" i="4"/>
  <c r="Q44" i="4"/>
  <c r="B44" i="4"/>
  <c r="A44" i="4"/>
  <c r="QX43" i="4"/>
  <c r="FX43" i="4"/>
  <c r="FT43" i="4"/>
  <c r="FR43" i="4"/>
  <c r="FP43" i="4"/>
  <c r="FN43" i="4"/>
  <c r="FK43" i="4"/>
  <c r="FJ43" i="4"/>
  <c r="FY43" i="4" s="1"/>
  <c r="FI43" i="4"/>
  <c r="FH43" i="4"/>
  <c r="FV43" i="4" s="1"/>
  <c r="FG43" i="4"/>
  <c r="FU43" i="4" s="1"/>
  <c r="FE43" i="4"/>
  <c r="FD43" i="4"/>
  <c r="FS43" i="4" s="1"/>
  <c r="FC43" i="4"/>
  <c r="FA43" i="4"/>
  <c r="EZ43" i="4"/>
  <c r="FO43" i="4" s="1"/>
  <c r="EY43" i="4"/>
  <c r="EX43" i="4"/>
  <c r="EW43" i="4"/>
  <c r="FM43" i="4" s="1"/>
  <c r="EV43" i="4"/>
  <c r="FL43" i="4" s="1"/>
  <c r="EU43" i="4"/>
  <c r="EB43" i="4"/>
  <c r="EA43" i="4"/>
  <c r="DX43" i="4"/>
  <c r="DW43" i="4"/>
  <c r="DV43" i="4"/>
  <c r="DZ43" i="4" s="1"/>
  <c r="DU43" i="4"/>
  <c r="DL43" i="4"/>
  <c r="DH43" i="4"/>
  <c r="DF43" i="4"/>
  <c r="DE43" i="4"/>
  <c r="DA43" i="4"/>
  <c r="CX43" i="4"/>
  <c r="CU43" i="4"/>
  <c r="CO43" i="4"/>
  <c r="CW43" i="4" s="1"/>
  <c r="CG43" i="4"/>
  <c r="BS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Y43" i="4"/>
  <c r="Q43" i="4"/>
  <c r="B43" i="4"/>
  <c r="A43" i="4"/>
  <c r="QX42" i="4"/>
  <c r="FX42" i="4"/>
  <c r="FU42" i="4"/>
  <c r="FT42" i="4"/>
  <c r="FR42" i="4"/>
  <c r="FN42" i="4"/>
  <c r="FL42" i="4"/>
  <c r="FI42" i="4"/>
  <c r="FH42" i="4"/>
  <c r="FV42" i="4" s="1"/>
  <c r="FG42" i="4"/>
  <c r="FE42" i="4"/>
  <c r="FD42" i="4"/>
  <c r="FS42" i="4" s="1"/>
  <c r="FC42" i="4"/>
  <c r="FA42" i="4"/>
  <c r="FP42" i="4" s="1"/>
  <c r="EZ42" i="4"/>
  <c r="FO42" i="4" s="1"/>
  <c r="EY42" i="4"/>
  <c r="EX42" i="4"/>
  <c r="EW42" i="4"/>
  <c r="FM42" i="4" s="1"/>
  <c r="EV42" i="4"/>
  <c r="EU42" i="4"/>
  <c r="FK42" i="4" s="1"/>
  <c r="DX42" i="4"/>
  <c r="EB42" i="4" s="1"/>
  <c r="DW42" i="4"/>
  <c r="DV42" i="4" s="1"/>
  <c r="DZ42" i="4" s="1"/>
  <c r="DL42" i="4"/>
  <c r="DH42" i="4"/>
  <c r="DF42" i="4"/>
  <c r="DA42" i="4"/>
  <c r="CX42" i="4"/>
  <c r="FJ42" i="4" s="1"/>
  <c r="FY42" i="4" s="1"/>
  <c r="CU42" i="4"/>
  <c r="DE42" i="4" s="1"/>
  <c r="CO42" i="4"/>
  <c r="CW42" i="4" s="1"/>
  <c r="CG42" i="4"/>
  <c r="BS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Y42" i="4"/>
  <c r="Q42" i="4"/>
  <c r="B42" i="4"/>
  <c r="A42" i="4"/>
  <c r="QX41" i="4"/>
  <c r="FX41" i="4"/>
  <c r="FV41" i="4"/>
  <c r="FT41" i="4"/>
  <c r="FR41" i="4"/>
  <c r="FP41" i="4"/>
  <c r="FM41" i="4"/>
  <c r="FL41" i="4"/>
  <c r="FJ41" i="4"/>
  <c r="FY41" i="4" s="1"/>
  <c r="FI41" i="4"/>
  <c r="FH41" i="4"/>
  <c r="FG41" i="4"/>
  <c r="FU41" i="4" s="1"/>
  <c r="FE41" i="4"/>
  <c r="FD41" i="4"/>
  <c r="FS41" i="4" s="1"/>
  <c r="FC41" i="4"/>
  <c r="FA41" i="4"/>
  <c r="EZ41" i="4"/>
  <c r="FO41" i="4" s="1"/>
  <c r="EY41" i="4"/>
  <c r="EX41" i="4"/>
  <c r="FN41" i="4" s="1"/>
  <c r="EW41" i="4"/>
  <c r="EV41" i="4"/>
  <c r="EU41" i="4"/>
  <c r="FK41" i="4" s="1"/>
  <c r="EA41" i="4"/>
  <c r="DX41" i="4"/>
  <c r="EB41" i="4" s="1"/>
  <c r="DW41" i="4"/>
  <c r="DV41" i="4" s="1"/>
  <c r="DZ41" i="4" s="1"/>
  <c r="DU41" i="4"/>
  <c r="DL41" i="4"/>
  <c r="DH41" i="4"/>
  <c r="DF41" i="4"/>
  <c r="DA41" i="4"/>
  <c r="CX41" i="4"/>
  <c r="CV41" i="4"/>
  <c r="CU41" i="4"/>
  <c r="DE41" i="4" s="1"/>
  <c r="CO41" i="4"/>
  <c r="FB41" i="4" s="1"/>
  <c r="FQ41" i="4" s="1"/>
  <c r="CG41" i="4"/>
  <c r="BS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Y41" i="4"/>
  <c r="Q41" i="4"/>
  <c r="B41" i="4"/>
  <c r="A41" i="4"/>
  <c r="QX40" i="4"/>
  <c r="MF40" i="4"/>
  <c r="FU40" i="4"/>
  <c r="FP40" i="4"/>
  <c r="FO40" i="4"/>
  <c r="FL40" i="4"/>
  <c r="FK40" i="4"/>
  <c r="FI40" i="4"/>
  <c r="FX40" i="4" s="1"/>
  <c r="FH40" i="4"/>
  <c r="FV40" i="4" s="1"/>
  <c r="FG40" i="4"/>
  <c r="FE40" i="4"/>
  <c r="FT40" i="4" s="1"/>
  <c r="FD40" i="4"/>
  <c r="FS40" i="4" s="1"/>
  <c r="FC40" i="4"/>
  <c r="FR40" i="4" s="1"/>
  <c r="FA40" i="4"/>
  <c r="EZ40" i="4"/>
  <c r="EY40" i="4"/>
  <c r="EX40" i="4"/>
  <c r="FN40" i="4" s="1"/>
  <c r="EW40" i="4"/>
  <c r="FM40" i="4" s="1"/>
  <c r="EV40" i="4"/>
  <c r="EU40" i="4"/>
  <c r="EB40" i="4"/>
  <c r="DZ40" i="4"/>
  <c r="DX40" i="4"/>
  <c r="DW40" i="4"/>
  <c r="EA40" i="4" s="1"/>
  <c r="DV40" i="4"/>
  <c r="DL40" i="4"/>
  <c r="DH40" i="4"/>
  <c r="DF40" i="4"/>
  <c r="DA40" i="4"/>
  <c r="CX40" i="4"/>
  <c r="FJ40" i="4" s="1"/>
  <c r="FY40" i="4" s="1"/>
  <c r="CW40" i="4"/>
  <c r="CU40" i="4"/>
  <c r="DE40" i="4" s="1"/>
  <c r="CO40" i="4"/>
  <c r="FB40" i="4" s="1"/>
  <c r="FQ40" i="4" s="1"/>
  <c r="CG40" i="4"/>
  <c r="BS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Y40" i="4"/>
  <c r="Q40" i="4"/>
  <c r="B40" i="4"/>
  <c r="A40" i="4"/>
  <c r="QX39" i="4"/>
  <c r="MF39" i="4"/>
  <c r="FU39" i="4"/>
  <c r="FT39" i="4"/>
  <c r="FP39" i="4"/>
  <c r="FO39" i="4"/>
  <c r="FN39" i="4"/>
  <c r="FK39" i="4"/>
  <c r="FJ39" i="4"/>
  <c r="FY39" i="4" s="1"/>
  <c r="FI39" i="4"/>
  <c r="FX39" i="4" s="1"/>
  <c r="FH39" i="4"/>
  <c r="FV39" i="4" s="1"/>
  <c r="FG39" i="4"/>
  <c r="FE39" i="4"/>
  <c r="FD39" i="4"/>
  <c r="FS39" i="4" s="1"/>
  <c r="FC39" i="4"/>
  <c r="FR39" i="4" s="1"/>
  <c r="FA39" i="4"/>
  <c r="EZ39" i="4"/>
  <c r="EY39" i="4"/>
  <c r="EX39" i="4"/>
  <c r="EW39" i="4"/>
  <c r="FM39" i="4" s="1"/>
  <c r="EV39" i="4"/>
  <c r="FL39" i="4" s="1"/>
  <c r="EU39" i="4"/>
  <c r="EB39" i="4"/>
  <c r="EA39" i="4"/>
  <c r="DX39" i="4"/>
  <c r="DW39" i="4"/>
  <c r="DV39" i="4"/>
  <c r="DZ39" i="4" s="1"/>
  <c r="DU39" i="4"/>
  <c r="DL39" i="4"/>
  <c r="DH39" i="4"/>
  <c r="DF39" i="4"/>
  <c r="DE39" i="4"/>
  <c r="DA39" i="4"/>
  <c r="CX39" i="4"/>
  <c r="CU39" i="4"/>
  <c r="CO39" i="4"/>
  <c r="CV39" i="4" s="1"/>
  <c r="CG39" i="4"/>
  <c r="BS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Y39" i="4"/>
  <c r="Q39" i="4"/>
  <c r="B39" i="4"/>
  <c r="A39" i="4"/>
  <c r="QX38" i="4"/>
  <c r="MF38" i="4"/>
  <c r="FY38" i="4"/>
  <c r="FV38" i="4"/>
  <c r="FT38" i="4"/>
  <c r="FS38" i="4"/>
  <c r="FO38" i="4"/>
  <c r="FM38" i="4"/>
  <c r="FJ38" i="4"/>
  <c r="FI38" i="4"/>
  <c r="FX38" i="4" s="1"/>
  <c r="FH38" i="4"/>
  <c r="FG38" i="4"/>
  <c r="FU38" i="4" s="1"/>
  <c r="FE38" i="4"/>
  <c r="FD38" i="4"/>
  <c r="FC38" i="4"/>
  <c r="FR38" i="4" s="1"/>
  <c r="FA38" i="4"/>
  <c r="FP38" i="4" s="1"/>
  <c r="EZ38" i="4"/>
  <c r="EY38" i="4"/>
  <c r="EX38" i="4"/>
  <c r="FN38" i="4" s="1"/>
  <c r="EW38" i="4"/>
  <c r="EV38" i="4"/>
  <c r="FL38" i="4" s="1"/>
  <c r="EU38" i="4"/>
  <c r="FK38" i="4" s="1"/>
  <c r="EA38" i="4"/>
  <c r="DX38" i="4"/>
  <c r="EB38" i="4" s="1"/>
  <c r="DW38" i="4"/>
  <c r="DV38" i="4" s="1"/>
  <c r="DZ38" i="4" s="1"/>
  <c r="DU38" i="4"/>
  <c r="DL38" i="4"/>
  <c r="DH38" i="4"/>
  <c r="DG38" i="4"/>
  <c r="DF38" i="4"/>
  <c r="DA38" i="4"/>
  <c r="CX38" i="4"/>
  <c r="CV38" i="4"/>
  <c r="FF38" i="4" s="1"/>
  <c r="FW38" i="4" s="1"/>
  <c r="CU38" i="4"/>
  <c r="DE38" i="4" s="1"/>
  <c r="CO38" i="4"/>
  <c r="CW38" i="4" s="1"/>
  <c r="CG38" i="4"/>
  <c r="BS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Y38" i="4"/>
  <c r="Q38" i="4"/>
  <c r="B38" i="4"/>
  <c r="A38" i="4"/>
  <c r="QX37" i="4"/>
  <c r="MF37" i="4"/>
  <c r="FX37" i="4"/>
  <c r="FU37" i="4"/>
  <c r="FT37" i="4"/>
  <c r="FR37" i="4"/>
  <c r="FP37" i="4"/>
  <c r="FN37" i="4"/>
  <c r="FL37" i="4"/>
  <c r="FI37" i="4"/>
  <c r="FH37" i="4"/>
  <c r="FV37" i="4" s="1"/>
  <c r="FG37" i="4"/>
  <c r="FE37" i="4"/>
  <c r="FD37" i="4"/>
  <c r="FS37" i="4" s="1"/>
  <c r="FC37" i="4"/>
  <c r="FA37" i="4"/>
  <c r="EZ37" i="4"/>
  <c r="FO37" i="4" s="1"/>
  <c r="EY37" i="4"/>
  <c r="EX37" i="4"/>
  <c r="EW37" i="4"/>
  <c r="FM37" i="4" s="1"/>
  <c r="EV37" i="4"/>
  <c r="EU37" i="4"/>
  <c r="FK37" i="4" s="1"/>
  <c r="DX37" i="4"/>
  <c r="EB37" i="4" s="1"/>
  <c r="DW37" i="4"/>
  <c r="DV37" i="4" s="1"/>
  <c r="DZ37" i="4" s="1"/>
  <c r="DL37" i="4"/>
  <c r="DH37" i="4"/>
  <c r="DF37" i="4"/>
  <c r="DA37" i="4"/>
  <c r="CX37" i="4"/>
  <c r="FJ37" i="4" s="1"/>
  <c r="FY37" i="4" s="1"/>
  <c r="CU37" i="4"/>
  <c r="DE37" i="4" s="1"/>
  <c r="CO37" i="4"/>
  <c r="CW37" i="4" s="1"/>
  <c r="CG37" i="4"/>
  <c r="BS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Y37" i="4"/>
  <c r="Q37" i="4"/>
  <c r="B37" i="4"/>
  <c r="A37" i="4"/>
  <c r="QX36" i="4"/>
  <c r="MF36" i="4"/>
  <c r="FY36" i="4"/>
  <c r="FS36" i="4"/>
  <c r="FO36" i="4"/>
  <c r="FN36" i="4"/>
  <c r="FM36" i="4"/>
  <c r="FK36" i="4"/>
  <c r="FJ36" i="4"/>
  <c r="FI36" i="4"/>
  <c r="FX36" i="4" s="1"/>
  <c r="FH36" i="4"/>
  <c r="FV36" i="4" s="1"/>
  <c r="FG36" i="4"/>
  <c r="FU36" i="4" s="1"/>
  <c r="FE36" i="4"/>
  <c r="FT36" i="4" s="1"/>
  <c r="FD36" i="4"/>
  <c r="FC36" i="4"/>
  <c r="FR36" i="4" s="1"/>
  <c r="FA36" i="4"/>
  <c r="FP36" i="4" s="1"/>
  <c r="EZ36" i="4"/>
  <c r="EY36" i="4"/>
  <c r="EX36" i="4"/>
  <c r="EW36" i="4"/>
  <c r="EV36" i="4"/>
  <c r="FL36" i="4" s="1"/>
  <c r="EU36" i="4"/>
  <c r="EB36" i="4"/>
  <c r="EA36" i="4"/>
  <c r="DX36" i="4"/>
  <c r="DW36" i="4"/>
  <c r="DV36" i="4"/>
  <c r="DZ36" i="4" s="1"/>
  <c r="DU36" i="4"/>
  <c r="DL36" i="4"/>
  <c r="DH36" i="4"/>
  <c r="DF36" i="4"/>
  <c r="DE36" i="4"/>
  <c r="DA36" i="4"/>
  <c r="CX36" i="4"/>
  <c r="CW36" i="4"/>
  <c r="CU36" i="4"/>
  <c r="CO36" i="4"/>
  <c r="CV36" i="4" s="1"/>
  <c r="CG36" i="4"/>
  <c r="BS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Y36" i="4"/>
  <c r="Q36" i="4"/>
  <c r="B36" i="4"/>
  <c r="A36" i="4"/>
  <c r="QX35" i="4"/>
  <c r="MF35" i="4"/>
  <c r="FX35" i="4"/>
  <c r="FV35" i="4"/>
  <c r="FT35" i="4"/>
  <c r="FR35" i="4"/>
  <c r="FP35" i="4"/>
  <c r="FM35" i="4"/>
  <c r="FL35" i="4"/>
  <c r="FJ35" i="4"/>
  <c r="FY35" i="4" s="1"/>
  <c r="FI35" i="4"/>
  <c r="FH35" i="4"/>
  <c r="FG35" i="4"/>
  <c r="FU35" i="4" s="1"/>
  <c r="FE35" i="4"/>
  <c r="FD35" i="4"/>
  <c r="FS35" i="4" s="1"/>
  <c r="FC35" i="4"/>
  <c r="FA35" i="4"/>
  <c r="EZ35" i="4"/>
  <c r="FO35" i="4" s="1"/>
  <c r="EY35" i="4"/>
  <c r="EX35" i="4"/>
  <c r="FN35" i="4" s="1"/>
  <c r="EW35" i="4"/>
  <c r="EV35" i="4"/>
  <c r="EU35" i="4"/>
  <c r="FK35" i="4" s="1"/>
  <c r="EA35" i="4"/>
  <c r="DX35" i="4"/>
  <c r="EB35" i="4" s="1"/>
  <c r="DW35" i="4"/>
  <c r="DV35" i="4" s="1"/>
  <c r="DZ35" i="4" s="1"/>
  <c r="DU35" i="4"/>
  <c r="DL35" i="4"/>
  <c r="DH35" i="4"/>
  <c r="DF35" i="4"/>
  <c r="DA35" i="4"/>
  <c r="CX35" i="4"/>
  <c r="CV35" i="4"/>
  <c r="CU35" i="4"/>
  <c r="DE35" i="4" s="1"/>
  <c r="CO35" i="4"/>
  <c r="FB35" i="4" s="1"/>
  <c r="FQ35" i="4" s="1"/>
  <c r="CG35" i="4"/>
  <c r="BS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Y35" i="4"/>
  <c r="Q35" i="4"/>
  <c r="B35" i="4"/>
  <c r="A35" i="4"/>
  <c r="QX34" i="4"/>
  <c r="MF34" i="4"/>
  <c r="FW34" i="4"/>
  <c r="FV34" i="4"/>
  <c r="FU34" i="4"/>
  <c r="FP34" i="4"/>
  <c r="FO34" i="4"/>
  <c r="FL34" i="4"/>
  <c r="FK34" i="4"/>
  <c r="FI34" i="4"/>
  <c r="FX34" i="4" s="1"/>
  <c r="FH34" i="4"/>
  <c r="FG34" i="4"/>
  <c r="FF34" i="4"/>
  <c r="FE34" i="4"/>
  <c r="FT34" i="4" s="1"/>
  <c r="FD34" i="4"/>
  <c r="FS34" i="4" s="1"/>
  <c r="FC34" i="4"/>
  <c r="FR34" i="4" s="1"/>
  <c r="FA34" i="4"/>
  <c r="EZ34" i="4"/>
  <c r="EY34" i="4"/>
  <c r="EX34" i="4"/>
  <c r="FN34" i="4" s="1"/>
  <c r="EW34" i="4"/>
  <c r="FM34" i="4" s="1"/>
  <c r="EV34" i="4"/>
  <c r="EU34" i="4"/>
  <c r="EB34" i="4"/>
  <c r="DZ34" i="4"/>
  <c r="DX34" i="4"/>
  <c r="DW34" i="4"/>
  <c r="EA34" i="4" s="1"/>
  <c r="DV34" i="4"/>
  <c r="DL34" i="4"/>
  <c r="DH34" i="4"/>
  <c r="DF34" i="4"/>
  <c r="DA34" i="4"/>
  <c r="CX34" i="4"/>
  <c r="FJ34" i="4" s="1"/>
  <c r="FY34" i="4" s="1"/>
  <c r="CW34" i="4"/>
  <c r="CV34" i="4"/>
  <c r="DY34" i="4" s="1"/>
  <c r="EC34" i="4" s="1"/>
  <c r="CU34" i="4"/>
  <c r="DE34" i="4" s="1"/>
  <c r="CO34" i="4"/>
  <c r="FB34" i="4" s="1"/>
  <c r="FQ34" i="4" s="1"/>
  <c r="CG34" i="4"/>
  <c r="BS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Y34" i="4"/>
  <c r="Q34" i="4"/>
  <c r="B34" i="4"/>
  <c r="A34" i="4"/>
  <c r="QX33" i="4"/>
  <c r="MF33" i="4"/>
  <c r="FU33" i="4"/>
  <c r="FT33" i="4"/>
  <c r="FP33" i="4"/>
  <c r="FO33" i="4"/>
  <c r="FN33" i="4"/>
  <c r="FK33" i="4"/>
  <c r="FJ33" i="4"/>
  <c r="FY33" i="4" s="1"/>
  <c r="FI33" i="4"/>
  <c r="FX33" i="4" s="1"/>
  <c r="FH33" i="4"/>
  <c r="FV33" i="4" s="1"/>
  <c r="FG33" i="4"/>
  <c r="FE33" i="4"/>
  <c r="FD33" i="4"/>
  <c r="FS33" i="4" s="1"/>
  <c r="FC33" i="4"/>
  <c r="FR33" i="4" s="1"/>
  <c r="FA33" i="4"/>
  <c r="EZ33" i="4"/>
  <c r="EY33" i="4"/>
  <c r="EX33" i="4"/>
  <c r="EW33" i="4"/>
  <c r="FM33" i="4" s="1"/>
  <c r="EV33" i="4"/>
  <c r="FL33" i="4" s="1"/>
  <c r="EU33" i="4"/>
  <c r="EB33" i="4"/>
  <c r="EA33" i="4"/>
  <c r="DX33" i="4"/>
  <c r="DW33" i="4"/>
  <c r="DV33" i="4"/>
  <c r="DZ33" i="4" s="1"/>
  <c r="DU33" i="4"/>
  <c r="DL33" i="4"/>
  <c r="DH33" i="4"/>
  <c r="DF33" i="4"/>
  <c r="DE33" i="4"/>
  <c r="DA33" i="4"/>
  <c r="CX33" i="4"/>
  <c r="CU33" i="4"/>
  <c r="CO33" i="4"/>
  <c r="CW33" i="4" s="1"/>
  <c r="CG33" i="4"/>
  <c r="BS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Y33" i="4"/>
  <c r="Q33" i="4"/>
  <c r="B33" i="4"/>
  <c r="A33" i="4"/>
  <c r="QX32" i="4"/>
  <c r="MF32" i="4"/>
  <c r="FY32" i="4"/>
  <c r="FV32" i="4"/>
  <c r="FT32" i="4"/>
  <c r="FS32" i="4"/>
  <c r="FO32" i="4"/>
  <c r="FM32" i="4"/>
  <c r="FJ32" i="4"/>
  <c r="FI32" i="4"/>
  <c r="FX32" i="4" s="1"/>
  <c r="FH32" i="4"/>
  <c r="FG32" i="4"/>
  <c r="FU32" i="4" s="1"/>
  <c r="FE32" i="4"/>
  <c r="FD32" i="4"/>
  <c r="FC32" i="4"/>
  <c r="FR32" i="4" s="1"/>
  <c r="FA32" i="4"/>
  <c r="FP32" i="4" s="1"/>
  <c r="EZ32" i="4"/>
  <c r="EY32" i="4"/>
  <c r="EX32" i="4"/>
  <c r="FN32" i="4" s="1"/>
  <c r="EW32" i="4"/>
  <c r="EV32" i="4"/>
  <c r="FL32" i="4" s="1"/>
  <c r="EU32" i="4"/>
  <c r="FK32" i="4" s="1"/>
  <c r="EA32" i="4"/>
  <c r="DX32" i="4"/>
  <c r="EB32" i="4" s="1"/>
  <c r="DW32" i="4"/>
  <c r="DU32" i="4"/>
  <c r="DL32" i="4"/>
  <c r="DH32" i="4"/>
  <c r="DG32" i="4"/>
  <c r="DF32" i="4"/>
  <c r="DA32" i="4"/>
  <c r="CX32" i="4"/>
  <c r="CW32" i="4"/>
  <c r="CV32" i="4"/>
  <c r="FF32" i="4" s="1"/>
  <c r="FW32" i="4" s="1"/>
  <c r="CU32" i="4"/>
  <c r="DE32" i="4" s="1"/>
  <c r="CO32" i="4"/>
  <c r="FB32" i="4" s="1"/>
  <c r="FQ32" i="4" s="1"/>
  <c r="CG32" i="4"/>
  <c r="BS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Y32" i="4"/>
  <c r="Q32" i="4"/>
  <c r="B32" i="4"/>
  <c r="A32" i="4"/>
  <c r="QX31" i="4"/>
  <c r="MF31" i="4"/>
  <c r="FX31" i="4"/>
  <c r="FU31" i="4"/>
  <c r="FT31" i="4"/>
  <c r="FR31" i="4"/>
  <c r="FP31" i="4"/>
  <c r="FN31" i="4"/>
  <c r="FL31" i="4"/>
  <c r="FI31" i="4"/>
  <c r="FH31" i="4"/>
  <c r="FV31" i="4" s="1"/>
  <c r="FG31" i="4"/>
  <c r="FE31" i="4"/>
  <c r="FD31" i="4"/>
  <c r="FS31" i="4" s="1"/>
  <c r="FC31" i="4"/>
  <c r="FA31" i="4"/>
  <c r="EZ31" i="4"/>
  <c r="FO31" i="4" s="1"/>
  <c r="EY31" i="4"/>
  <c r="EX31" i="4"/>
  <c r="EW31" i="4"/>
  <c r="FM31" i="4" s="1"/>
  <c r="EV31" i="4"/>
  <c r="EU31" i="4"/>
  <c r="FK31" i="4" s="1"/>
  <c r="DX31" i="4"/>
  <c r="EB31" i="4" s="1"/>
  <c r="DW31" i="4"/>
  <c r="DV31" i="4" s="1"/>
  <c r="DZ31" i="4" s="1"/>
  <c r="DL31" i="4"/>
  <c r="DH31" i="4"/>
  <c r="DF31" i="4"/>
  <c r="DA31" i="4"/>
  <c r="CX31" i="4"/>
  <c r="FJ31" i="4" s="1"/>
  <c r="FY31" i="4" s="1"/>
  <c r="CU31" i="4"/>
  <c r="DE31" i="4" s="1"/>
  <c r="CO31" i="4"/>
  <c r="CW31" i="4" s="1"/>
  <c r="CG31" i="4"/>
  <c r="BS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Y31" i="4"/>
  <c r="Q31" i="4"/>
  <c r="B31" i="4"/>
  <c r="A31" i="4"/>
  <c r="QX30" i="4"/>
  <c r="MF30" i="4"/>
  <c r="FY30" i="4"/>
  <c r="FS30" i="4"/>
  <c r="FO30" i="4"/>
  <c r="FN30" i="4"/>
  <c r="FM30" i="4"/>
  <c r="FK30" i="4"/>
  <c r="FJ30" i="4"/>
  <c r="FI30" i="4"/>
  <c r="FX30" i="4" s="1"/>
  <c r="FH30" i="4"/>
  <c r="FV30" i="4" s="1"/>
  <c r="FG30" i="4"/>
  <c r="FU30" i="4" s="1"/>
  <c r="FE30" i="4"/>
  <c r="FT30" i="4" s="1"/>
  <c r="FD30" i="4"/>
  <c r="FC30" i="4"/>
  <c r="FR30" i="4" s="1"/>
  <c r="FA30" i="4"/>
  <c r="FP30" i="4" s="1"/>
  <c r="EZ30" i="4"/>
  <c r="EY30" i="4"/>
  <c r="EX30" i="4"/>
  <c r="EW30" i="4"/>
  <c r="EV30" i="4"/>
  <c r="FL30" i="4" s="1"/>
  <c r="EU30" i="4"/>
  <c r="EB30" i="4"/>
  <c r="EA30" i="4"/>
  <c r="DX30" i="4"/>
  <c r="DW30" i="4"/>
  <c r="DV30" i="4"/>
  <c r="DZ30" i="4" s="1"/>
  <c r="DU30" i="4"/>
  <c r="DL30" i="4"/>
  <c r="DH30" i="4"/>
  <c r="DF30" i="4"/>
  <c r="DE30" i="4"/>
  <c r="DA30" i="4"/>
  <c r="CX30" i="4"/>
  <c r="CW30" i="4"/>
  <c r="CU30" i="4"/>
  <c r="CO30" i="4"/>
  <c r="CV30" i="4" s="1"/>
  <c r="CG30" i="4"/>
  <c r="BS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Y30" i="4"/>
  <c r="Q30" i="4"/>
  <c r="B30" i="4"/>
  <c r="A30" i="4"/>
  <c r="QX29" i="4"/>
  <c r="MF29" i="4"/>
  <c r="FX29" i="4"/>
  <c r="FV29" i="4"/>
  <c r="FT29" i="4"/>
  <c r="FR29" i="4"/>
  <c r="FP29" i="4"/>
  <c r="FM29" i="4"/>
  <c r="FL29" i="4"/>
  <c r="FJ29" i="4"/>
  <c r="FY29" i="4" s="1"/>
  <c r="FI29" i="4"/>
  <c r="FH29" i="4"/>
  <c r="FG29" i="4"/>
  <c r="FU29" i="4" s="1"/>
  <c r="FE29" i="4"/>
  <c r="FD29" i="4"/>
  <c r="FS29" i="4" s="1"/>
  <c r="FC29" i="4"/>
  <c r="FA29" i="4"/>
  <c r="EZ29" i="4"/>
  <c r="FO29" i="4" s="1"/>
  <c r="EY29" i="4"/>
  <c r="EX29" i="4"/>
  <c r="FN29" i="4" s="1"/>
  <c r="EW29" i="4"/>
  <c r="EV29" i="4"/>
  <c r="EU29" i="4"/>
  <c r="FK29" i="4" s="1"/>
  <c r="EA29" i="4"/>
  <c r="DX29" i="4"/>
  <c r="EB29" i="4" s="1"/>
  <c r="DW29" i="4"/>
  <c r="DV29" i="4" s="1"/>
  <c r="DZ29" i="4" s="1"/>
  <c r="DU29" i="4"/>
  <c r="DL29" i="4"/>
  <c r="DH29" i="4"/>
  <c r="DF29" i="4"/>
  <c r="DA29" i="4"/>
  <c r="CX29" i="4"/>
  <c r="CV29" i="4"/>
  <c r="DG29" i="4" s="1"/>
  <c r="CU29" i="4"/>
  <c r="DE29" i="4" s="1"/>
  <c r="CO29" i="4"/>
  <c r="CW29" i="4" s="1"/>
  <c r="CG29" i="4"/>
  <c r="BS29" i="4"/>
  <c r="Y29" i="4"/>
  <c r="Q29" i="4"/>
  <c r="B29" i="4"/>
  <c r="A29" i="4"/>
  <c r="GC28" i="4"/>
  <c r="GB28" i="4"/>
  <c r="GA28" i="4"/>
  <c r="FZ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HE26" i="4"/>
  <c r="GY26" i="4"/>
  <c r="GU26" i="4"/>
  <c r="DD32" i="4" l="1"/>
  <c r="DC32" i="4"/>
  <c r="DC34" i="4"/>
  <c r="DD34" i="4"/>
  <c r="DY35" i="4"/>
  <c r="EC35" i="4" s="1"/>
  <c r="DG36" i="4"/>
  <c r="DY36" i="4"/>
  <c r="EC36" i="4" s="1"/>
  <c r="FF36" i="4"/>
  <c r="FW36" i="4" s="1"/>
  <c r="DY49" i="4"/>
  <c r="EC49" i="4" s="1"/>
  <c r="DY64" i="4"/>
  <c r="EC64" i="4" s="1"/>
  <c r="DG64" i="4"/>
  <c r="FF64" i="4"/>
  <c r="FW64" i="4" s="1"/>
  <c r="DC67" i="4"/>
  <c r="DB67" i="4" s="1"/>
  <c r="DD67" i="4"/>
  <c r="DD75" i="4"/>
  <c r="DC75" i="4"/>
  <c r="DB75" i="4" s="1"/>
  <c r="DY76" i="4"/>
  <c r="EC76" i="4" s="1"/>
  <c r="DG76" i="4"/>
  <c r="FF76" i="4"/>
  <c r="FW76" i="4" s="1"/>
  <c r="DC80" i="4"/>
  <c r="DD80" i="4"/>
  <c r="DY85" i="4"/>
  <c r="EC85" i="4" s="1"/>
  <c r="DD97" i="4"/>
  <c r="DC97" i="4"/>
  <c r="DB97" i="4" s="1"/>
  <c r="DC103" i="4"/>
  <c r="DB103" i="4" s="1"/>
  <c r="DD103" i="4"/>
  <c r="DC107" i="4"/>
  <c r="DD107" i="4"/>
  <c r="DC110" i="4"/>
  <c r="DD110" i="4"/>
  <c r="DD122" i="4"/>
  <c r="DC122" i="4"/>
  <c r="DC40" i="4"/>
  <c r="DD40" i="4"/>
  <c r="DC41" i="4"/>
  <c r="DD41" i="4"/>
  <c r="DY52" i="4"/>
  <c r="EC52" i="4" s="1"/>
  <c r="DC66" i="4"/>
  <c r="DD66" i="4"/>
  <c r="DC72" i="4"/>
  <c r="DB72" i="4" s="1"/>
  <c r="DD72" i="4"/>
  <c r="DY73" i="4"/>
  <c r="EC73" i="4" s="1"/>
  <c r="DG73" i="4"/>
  <c r="FF73" i="4"/>
  <c r="FW73" i="4" s="1"/>
  <c r="FF79" i="4"/>
  <c r="FW79" i="4" s="1"/>
  <c r="DG79" i="4"/>
  <c r="DY79" i="4"/>
  <c r="EC79" i="4" s="1"/>
  <c r="DV81" i="4"/>
  <c r="DZ81" i="4" s="1"/>
  <c r="EA81" i="4"/>
  <c r="DU81" i="4"/>
  <c r="DC88" i="4"/>
  <c r="DB88" i="4" s="1"/>
  <c r="DD88" i="4"/>
  <c r="DD91" i="4"/>
  <c r="DC91" i="4"/>
  <c r="DY92" i="4"/>
  <c r="EC92" i="4" s="1"/>
  <c r="DG92" i="4"/>
  <c r="FF92" i="4"/>
  <c r="FW92" i="4" s="1"/>
  <c r="DD94" i="4"/>
  <c r="DC94" i="4"/>
  <c r="DB94" i="4" s="1"/>
  <c r="DY111" i="4"/>
  <c r="EC111" i="4" s="1"/>
  <c r="DG111" i="4"/>
  <c r="FF111" i="4"/>
  <c r="FW111" i="4" s="1"/>
  <c r="DC116" i="4"/>
  <c r="DB116" i="4" s="1"/>
  <c r="DD116" i="4"/>
  <c r="DG119" i="4"/>
  <c r="FF119" i="4"/>
  <c r="FW119" i="4" s="1"/>
  <c r="DY119" i="4"/>
  <c r="EC119" i="4" s="1"/>
  <c r="DC128" i="4"/>
  <c r="DD128" i="4"/>
  <c r="DC46" i="4"/>
  <c r="DD46" i="4"/>
  <c r="DD54" i="4"/>
  <c r="DC54" i="4"/>
  <c r="DD57" i="4"/>
  <c r="DC57" i="4"/>
  <c r="DB57" i="4" s="1"/>
  <c r="DC58" i="4"/>
  <c r="DD58" i="4"/>
  <c r="DC63" i="4"/>
  <c r="DB63" i="4" s="1"/>
  <c r="DD63" i="4"/>
  <c r="DC82" i="4"/>
  <c r="DD82" i="4"/>
  <c r="DD84" i="4"/>
  <c r="DC84" i="4"/>
  <c r="DB84" i="4" s="1"/>
  <c r="DD89" i="4"/>
  <c r="DC89" i="4"/>
  <c r="DC113" i="4"/>
  <c r="DD113" i="4"/>
  <c r="DY41" i="4"/>
  <c r="EC41" i="4" s="1"/>
  <c r="DD55" i="4"/>
  <c r="DC55" i="4"/>
  <c r="DY56" i="4"/>
  <c r="EC56" i="4" s="1"/>
  <c r="DG56" i="4"/>
  <c r="FF56" i="4"/>
  <c r="FW56" i="4" s="1"/>
  <c r="DY88" i="4"/>
  <c r="EC88" i="4" s="1"/>
  <c r="DY89" i="4"/>
  <c r="DG89" i="4"/>
  <c r="FF89" i="4"/>
  <c r="FW89" i="4" s="1"/>
  <c r="DD96" i="4"/>
  <c r="DC96" i="4"/>
  <c r="DC101" i="4"/>
  <c r="DB101" i="4" s="1"/>
  <c r="DD101" i="4"/>
  <c r="DD106" i="4"/>
  <c r="DC106" i="4"/>
  <c r="DB106" i="4" s="1"/>
  <c r="DY116" i="4"/>
  <c r="EC116" i="4" s="1"/>
  <c r="DY117" i="4"/>
  <c r="EC117" i="4" s="1"/>
  <c r="DG117" i="4"/>
  <c r="FF117" i="4"/>
  <c r="FW117" i="4" s="1"/>
  <c r="DY30" i="4"/>
  <c r="EC30" i="4" s="1"/>
  <c r="DG30" i="4"/>
  <c r="FF30" i="4"/>
  <c r="FW30" i="4" s="1"/>
  <c r="DC35" i="4"/>
  <c r="DD35" i="4"/>
  <c r="DG39" i="4"/>
  <c r="FF39" i="4"/>
  <c r="FW39" i="4" s="1"/>
  <c r="DY39" i="4"/>
  <c r="EC39" i="4" s="1"/>
  <c r="DC49" i="4"/>
  <c r="DB49" i="4" s="1"/>
  <c r="DD49" i="4"/>
  <c r="DY58" i="4"/>
  <c r="EC58" i="4" s="1"/>
  <c r="DY68" i="4"/>
  <c r="EC68" i="4" s="1"/>
  <c r="DG68" i="4"/>
  <c r="FF68" i="4"/>
  <c r="FW68" i="4" s="1"/>
  <c r="DD69" i="4"/>
  <c r="DC69" i="4"/>
  <c r="DV71" i="4"/>
  <c r="DZ71" i="4" s="1"/>
  <c r="EA71" i="4"/>
  <c r="DU71" i="4"/>
  <c r="DD81" i="4"/>
  <c r="DC81" i="4"/>
  <c r="DB81" i="4" s="1"/>
  <c r="DC85" i="4"/>
  <c r="DD85" i="4"/>
  <c r="DG87" i="4"/>
  <c r="FF87" i="4"/>
  <c r="FW87" i="4" s="1"/>
  <c r="DY87" i="4"/>
  <c r="EC87" i="4" s="1"/>
  <c r="DY98" i="4"/>
  <c r="EC98" i="4" s="1"/>
  <c r="DG98" i="4"/>
  <c r="FF98" i="4"/>
  <c r="FW98" i="4" s="1"/>
  <c r="DD100" i="4"/>
  <c r="DC100" i="4"/>
  <c r="DD109" i="4"/>
  <c r="DC109" i="4"/>
  <c r="DB109" i="4" s="1"/>
  <c r="DY114" i="4"/>
  <c r="EC114" i="4" s="1"/>
  <c r="DG114" i="4"/>
  <c r="FF114" i="4"/>
  <c r="FW114" i="4" s="1"/>
  <c r="DG115" i="4"/>
  <c r="FF115" i="4"/>
  <c r="FW115" i="4" s="1"/>
  <c r="DY115" i="4"/>
  <c r="EC115" i="4" s="1"/>
  <c r="DD132" i="4"/>
  <c r="DC132" i="4"/>
  <c r="DB132" i="4" s="1"/>
  <c r="DC44" i="4"/>
  <c r="DB44" i="4" s="1"/>
  <c r="DD44" i="4"/>
  <c r="DC52" i="4"/>
  <c r="DD52" i="4"/>
  <c r="DC61" i="4"/>
  <c r="DD61" i="4"/>
  <c r="DD65" i="4"/>
  <c r="DC65" i="4"/>
  <c r="DY95" i="4"/>
  <c r="EC95" i="4" s="1"/>
  <c r="DG95" i="4"/>
  <c r="FF95" i="4"/>
  <c r="FW95" i="4" s="1"/>
  <c r="DY101" i="4"/>
  <c r="EC101" i="4" s="1"/>
  <c r="DC104" i="4"/>
  <c r="DB104" i="4" s="1"/>
  <c r="DD104" i="4"/>
  <c r="DD112" i="4"/>
  <c r="DC112" i="4"/>
  <c r="DB112" i="4" s="1"/>
  <c r="FF120" i="4"/>
  <c r="FW120" i="4" s="1"/>
  <c r="DY120" i="4"/>
  <c r="EC120" i="4" s="1"/>
  <c r="DG120" i="4"/>
  <c r="DD125" i="4"/>
  <c r="DC125" i="4"/>
  <c r="DB125" i="4" s="1"/>
  <c r="FB39" i="4"/>
  <c r="FQ39" i="4" s="1"/>
  <c r="FH81" i="4"/>
  <c r="FV81" i="4" s="1"/>
  <c r="FB119" i="4"/>
  <c r="FQ119" i="4" s="1"/>
  <c r="DY123" i="4"/>
  <c r="EC123" i="4" s="1"/>
  <c r="DD135" i="4"/>
  <c r="DB135" i="4" s="1"/>
  <c r="DC139" i="4"/>
  <c r="DD139" i="4"/>
  <c r="CW140" i="4"/>
  <c r="CV140" i="4"/>
  <c r="DC142" i="4"/>
  <c r="DD142" i="4"/>
  <c r="DC145" i="4"/>
  <c r="DD145" i="4"/>
  <c r="DD148" i="4"/>
  <c r="DC148" i="4"/>
  <c r="DY161" i="4"/>
  <c r="EC161" i="4" s="1"/>
  <c r="DG161" i="4"/>
  <c r="FF161" i="4"/>
  <c r="FW161" i="4" s="1"/>
  <c r="EA166" i="4"/>
  <c r="DU166" i="4"/>
  <c r="DV166" i="4"/>
  <c r="DD173" i="4"/>
  <c r="DC173" i="4"/>
  <c r="DB173" i="4" s="1"/>
  <c r="DD176" i="4"/>
  <c r="DC176" i="4"/>
  <c r="DB176" i="4" s="1"/>
  <c r="DD181" i="4"/>
  <c r="DC181" i="4"/>
  <c r="FF189" i="4"/>
  <c r="FW189" i="4" s="1"/>
  <c r="DY189" i="4"/>
  <c r="EC189" i="4" s="1"/>
  <c r="DG189" i="4"/>
  <c r="DC204" i="4"/>
  <c r="DB204" i="4" s="1"/>
  <c r="DD204" i="4"/>
  <c r="DZ205" i="4"/>
  <c r="DY205" i="4"/>
  <c r="EC205" i="4" s="1"/>
  <c r="DD208" i="4"/>
  <c r="DC208" i="4"/>
  <c r="DC219" i="4"/>
  <c r="DB219" i="4" s="1"/>
  <c r="DD219" i="4"/>
  <c r="DG220" i="4"/>
  <c r="FF220" i="4"/>
  <c r="FW220" i="4" s="1"/>
  <c r="DC222" i="4"/>
  <c r="DD222" i="4"/>
  <c r="DG223" i="4"/>
  <c r="FF223" i="4"/>
  <c r="FW223" i="4" s="1"/>
  <c r="DC225" i="4"/>
  <c r="DB225" i="4" s="1"/>
  <c r="DD225" i="4"/>
  <c r="DG226" i="4"/>
  <c r="FF226" i="4"/>
  <c r="FW226" i="4" s="1"/>
  <c r="FF240" i="4"/>
  <c r="FW240" i="4" s="1"/>
  <c r="DY240" i="4"/>
  <c r="EC240" i="4" s="1"/>
  <c r="DG240" i="4"/>
  <c r="DC250" i="4"/>
  <c r="DB250" i="4" s="1"/>
  <c r="DD250" i="4"/>
  <c r="FB33" i="4"/>
  <c r="FQ33" i="4" s="1"/>
  <c r="FF44" i="4"/>
  <c r="FW44" i="4" s="1"/>
  <c r="FB48" i="4"/>
  <c r="FQ48" i="4" s="1"/>
  <c r="FB51" i="4"/>
  <c r="FQ51" i="4" s="1"/>
  <c r="CX78" i="4"/>
  <c r="FJ78" i="4" s="1"/>
  <c r="FY78" i="4" s="1"/>
  <c r="FB115" i="4"/>
  <c r="FQ115" i="4" s="1"/>
  <c r="DU34" i="4"/>
  <c r="CW35" i="4"/>
  <c r="DY38" i="4"/>
  <c r="EC38" i="4" s="1"/>
  <c r="FB38" i="4"/>
  <c r="FQ38" i="4" s="1"/>
  <c r="CV40" i="4"/>
  <c r="DU40" i="4"/>
  <c r="CW41" i="4"/>
  <c r="CW46" i="4"/>
  <c r="CW49" i="4"/>
  <c r="CW52" i="4"/>
  <c r="CV55" i="4"/>
  <c r="DU55" i="4"/>
  <c r="CW61" i="4"/>
  <c r="DU63" i="4"/>
  <c r="DU66" i="4"/>
  <c r="DU67" i="4"/>
  <c r="DY69" i="4"/>
  <c r="EC69" i="4" s="1"/>
  <c r="CS642" i="4"/>
  <c r="FB71" i="4"/>
  <c r="FQ71" i="4" s="1"/>
  <c r="FH71" i="4"/>
  <c r="FV71" i="4" s="1"/>
  <c r="CV72" i="4"/>
  <c r="DU72" i="4"/>
  <c r="DY74" i="4"/>
  <c r="EC74" i="4" s="1"/>
  <c r="FB74" i="4"/>
  <c r="FQ74" i="4" s="1"/>
  <c r="CV75" i="4"/>
  <c r="DU75" i="4"/>
  <c r="DY77" i="4"/>
  <c r="EC77" i="4" s="1"/>
  <c r="FB77" i="4"/>
  <c r="FQ77" i="4" s="1"/>
  <c r="FB79" i="4"/>
  <c r="FQ79" i="4" s="1"/>
  <c r="FH79" i="4"/>
  <c r="FV79" i="4" s="1"/>
  <c r="CV80" i="4"/>
  <c r="DU80" i="4"/>
  <c r="DY90" i="4"/>
  <c r="EC90" i="4" s="1"/>
  <c r="FB90" i="4"/>
  <c r="FQ90" i="4" s="1"/>
  <c r="CV91" i="4"/>
  <c r="DU91" i="4"/>
  <c r="DY93" i="4"/>
  <c r="EC93" i="4" s="1"/>
  <c r="FB93" i="4"/>
  <c r="FQ93" i="4" s="1"/>
  <c r="CV94" i="4"/>
  <c r="DU94" i="4"/>
  <c r="EA94" i="4"/>
  <c r="DY96" i="4"/>
  <c r="EC96" i="4" s="1"/>
  <c r="CV97" i="4"/>
  <c r="DU97" i="4"/>
  <c r="EA97" i="4"/>
  <c r="DY99" i="4"/>
  <c r="EC99" i="4" s="1"/>
  <c r="FB99" i="4"/>
  <c r="FQ99" i="4" s="1"/>
  <c r="CV100" i="4"/>
  <c r="DU100" i="4"/>
  <c r="EA100" i="4"/>
  <c r="DY102" i="4"/>
  <c r="EC102" i="4" s="1"/>
  <c r="FB102" i="4"/>
  <c r="FQ102" i="4" s="1"/>
  <c r="CV103" i="4"/>
  <c r="DU103" i="4"/>
  <c r="EA103" i="4"/>
  <c r="DG123" i="4"/>
  <c r="DD126" i="4"/>
  <c r="DC126" i="4"/>
  <c r="FB129" i="4"/>
  <c r="FQ129" i="4" s="1"/>
  <c r="CW129" i="4"/>
  <c r="CV129" i="4"/>
  <c r="DG133" i="4"/>
  <c r="FF133" i="4"/>
  <c r="FW133" i="4" s="1"/>
  <c r="FB134" i="4"/>
  <c r="FQ134" i="4" s="1"/>
  <c r="DV136" i="4"/>
  <c r="DZ136" i="4" s="1"/>
  <c r="EA136" i="4"/>
  <c r="DU136" i="4"/>
  <c r="DD138" i="4"/>
  <c r="DB138" i="4" s="1"/>
  <c r="DB141" i="4"/>
  <c r="DD141" i="4"/>
  <c r="CW143" i="4"/>
  <c r="CV143" i="4"/>
  <c r="DD150" i="4"/>
  <c r="DC150" i="4"/>
  <c r="DB150" i="4" s="1"/>
  <c r="DD153" i="4"/>
  <c r="DC153" i="4"/>
  <c r="DD165" i="4"/>
  <c r="DC165" i="4"/>
  <c r="DB165" i="4" s="1"/>
  <c r="DD170" i="4"/>
  <c r="DC170" i="4"/>
  <c r="DY175" i="4"/>
  <c r="EC175" i="4" s="1"/>
  <c r="DG175" i="4"/>
  <c r="FF175" i="4"/>
  <c r="FW175" i="4" s="1"/>
  <c r="DD191" i="4"/>
  <c r="DC191" i="4"/>
  <c r="DB191" i="4" s="1"/>
  <c r="DG194" i="4"/>
  <c r="FF194" i="4"/>
  <c r="FW194" i="4" s="1"/>
  <c r="DC198" i="4"/>
  <c r="DB198" i="4" s="1"/>
  <c r="DD198" i="4"/>
  <c r="DV207" i="4"/>
  <c r="DZ207" i="4" s="1"/>
  <c r="EA207" i="4"/>
  <c r="DU207" i="4"/>
  <c r="FF209" i="4"/>
  <c r="FW209" i="4" s="1"/>
  <c r="DY209" i="4"/>
  <c r="EC209" i="4" s="1"/>
  <c r="DG209" i="4"/>
  <c r="DD211" i="4"/>
  <c r="DC211" i="4"/>
  <c r="DC231" i="4"/>
  <c r="DD231" i="4"/>
  <c r="DD232" i="4"/>
  <c r="DC232" i="4"/>
  <c r="DD237" i="4"/>
  <c r="DC237" i="4"/>
  <c r="FB43" i="4"/>
  <c r="FQ43" i="4" s="1"/>
  <c r="FB87" i="4"/>
  <c r="FQ87" i="4" s="1"/>
  <c r="FF29" i="4"/>
  <c r="FW29" i="4" s="1"/>
  <c r="FB31" i="4"/>
  <c r="FQ31" i="4" s="1"/>
  <c r="CV33" i="4"/>
  <c r="FF35" i="4"/>
  <c r="FW35" i="4" s="1"/>
  <c r="FF41" i="4"/>
  <c r="FW41" i="4" s="1"/>
  <c r="FB42" i="4"/>
  <c r="FQ42" i="4" s="1"/>
  <c r="CV43" i="4"/>
  <c r="CV45" i="4"/>
  <c r="FF46" i="4"/>
  <c r="FW46" i="4" s="1"/>
  <c r="FB47" i="4"/>
  <c r="FQ47" i="4" s="1"/>
  <c r="CV48" i="4"/>
  <c r="FF49" i="4"/>
  <c r="FW49" i="4" s="1"/>
  <c r="FB50" i="4"/>
  <c r="FQ50" i="4" s="1"/>
  <c r="CV51" i="4"/>
  <c r="FF52" i="4"/>
  <c r="FW52" i="4" s="1"/>
  <c r="FF58" i="4"/>
  <c r="FW58" i="4" s="1"/>
  <c r="FB59" i="4"/>
  <c r="FQ59" i="4" s="1"/>
  <c r="CV60" i="4"/>
  <c r="FF61" i="4"/>
  <c r="FW61" i="4" s="1"/>
  <c r="FB62" i="4"/>
  <c r="FQ62" i="4" s="1"/>
  <c r="CV70" i="4"/>
  <c r="CU71" i="4"/>
  <c r="DE71" i="4" s="1"/>
  <c r="DE642" i="4" s="1"/>
  <c r="FH78" i="4"/>
  <c r="FV78" i="4" s="1"/>
  <c r="CV81" i="4"/>
  <c r="FF82" i="4"/>
  <c r="FW82" i="4" s="1"/>
  <c r="FB83" i="4"/>
  <c r="FQ83" i="4" s="1"/>
  <c r="CV84" i="4"/>
  <c r="FF85" i="4"/>
  <c r="FW85" i="4" s="1"/>
  <c r="FB86" i="4"/>
  <c r="FQ86" i="4" s="1"/>
  <c r="FF88" i="4"/>
  <c r="FW88" i="4" s="1"/>
  <c r="FF101" i="4"/>
  <c r="FW101" i="4" s="1"/>
  <c r="FF104" i="4"/>
  <c r="FW104" i="4" s="1"/>
  <c r="FB105" i="4"/>
  <c r="FQ105" i="4" s="1"/>
  <c r="CV106" i="4"/>
  <c r="FF107" i="4"/>
  <c r="FW107" i="4" s="1"/>
  <c r="FB108" i="4"/>
  <c r="FQ108" i="4" s="1"/>
  <c r="CV109" i="4"/>
  <c r="FF110" i="4"/>
  <c r="FW110" i="4" s="1"/>
  <c r="FB111" i="4"/>
  <c r="FQ111" i="4" s="1"/>
  <c r="CV112" i="4"/>
  <c r="FF113" i="4"/>
  <c r="FW113" i="4" s="1"/>
  <c r="FB114" i="4"/>
  <c r="FQ114" i="4" s="1"/>
  <c r="FF116" i="4"/>
  <c r="FW116" i="4" s="1"/>
  <c r="FB118" i="4"/>
  <c r="FQ118" i="4" s="1"/>
  <c r="FB120" i="4"/>
  <c r="FQ120" i="4" s="1"/>
  <c r="DC121" i="4"/>
  <c r="DB121" i="4" s="1"/>
  <c r="CV122" i="4"/>
  <c r="DV122" i="4"/>
  <c r="DZ122" i="4" s="1"/>
  <c r="EA123" i="4"/>
  <c r="DG127" i="4"/>
  <c r="CV130" i="4"/>
  <c r="CW130" i="4"/>
  <c r="DZ134" i="4"/>
  <c r="DG135" i="4"/>
  <c r="FF135" i="4"/>
  <c r="FW135" i="4" s="1"/>
  <c r="DY135" i="4"/>
  <c r="EC135" i="4" s="1"/>
  <c r="DD137" i="4"/>
  <c r="DC137" i="4"/>
  <c r="DV139" i="4"/>
  <c r="DZ139" i="4" s="1"/>
  <c r="EA139" i="4"/>
  <c r="DU139" i="4"/>
  <c r="FB140" i="4"/>
  <c r="FQ140" i="4" s="1"/>
  <c r="DD144" i="4"/>
  <c r="DC144" i="4"/>
  <c r="DY152" i="4"/>
  <c r="EC152" i="4" s="1"/>
  <c r="DG152" i="4"/>
  <c r="FF152" i="4"/>
  <c r="FW152" i="4" s="1"/>
  <c r="DD157" i="4"/>
  <c r="DC157" i="4"/>
  <c r="DC160" i="4"/>
  <c r="DD160" i="4"/>
  <c r="DD167" i="4"/>
  <c r="DC167" i="4"/>
  <c r="DC172" i="4"/>
  <c r="DB172" i="4" s="1"/>
  <c r="DD172" i="4"/>
  <c r="DC178" i="4"/>
  <c r="DD178" i="4"/>
  <c r="DZ180" i="4"/>
  <c r="DY180" i="4"/>
  <c r="EC180" i="4" s="1"/>
  <c r="DG185" i="4"/>
  <c r="FF185" i="4"/>
  <c r="FW185" i="4" s="1"/>
  <c r="DD187" i="4"/>
  <c r="DC187" i="4"/>
  <c r="DB187" i="4" s="1"/>
  <c r="DC193" i="4"/>
  <c r="DD193" i="4"/>
  <c r="DG199" i="4"/>
  <c r="FF199" i="4"/>
  <c r="FW199" i="4" s="1"/>
  <c r="FF207" i="4"/>
  <c r="FW207" i="4" s="1"/>
  <c r="DG207" i="4"/>
  <c r="FF216" i="4"/>
  <c r="FW216" i="4" s="1"/>
  <c r="DY216" i="4"/>
  <c r="EC216" i="4" s="1"/>
  <c r="DG216" i="4"/>
  <c r="DD218" i="4"/>
  <c r="DC218" i="4"/>
  <c r="DB218" i="4" s="1"/>
  <c r="DG239" i="4"/>
  <c r="FF239" i="4"/>
  <c r="FW239" i="4" s="1"/>
  <c r="DC245" i="4"/>
  <c r="DD245" i="4"/>
  <c r="FB45" i="4"/>
  <c r="FQ45" i="4" s="1"/>
  <c r="FB60" i="4"/>
  <c r="FQ60" i="4" s="1"/>
  <c r="FB70" i="4"/>
  <c r="FQ70" i="4" s="1"/>
  <c r="DW78" i="4"/>
  <c r="FB37" i="4"/>
  <c r="FQ37" i="4" s="1"/>
  <c r="DG35" i="4"/>
  <c r="FB36" i="4"/>
  <c r="FQ36" i="4" s="1"/>
  <c r="CW39" i="4"/>
  <c r="DG41" i="4"/>
  <c r="DG46" i="4"/>
  <c r="DG49" i="4"/>
  <c r="DG52" i="4"/>
  <c r="FB53" i="4"/>
  <c r="FQ53" i="4" s="1"/>
  <c r="FB56" i="4"/>
  <c r="FQ56" i="4" s="1"/>
  <c r="DG58" i="4"/>
  <c r="DG61" i="4"/>
  <c r="FB64" i="4"/>
  <c r="FQ64" i="4" s="1"/>
  <c r="FB68" i="4"/>
  <c r="FQ68" i="4" s="1"/>
  <c r="CV71" i="4"/>
  <c r="FB73" i="4"/>
  <c r="FQ73" i="4" s="1"/>
  <c r="FB76" i="4"/>
  <c r="FQ76" i="4" s="1"/>
  <c r="FC78" i="4"/>
  <c r="FR78" i="4" s="1"/>
  <c r="FR642" i="4" s="1"/>
  <c r="CW81" i="4"/>
  <c r="DG82" i="4"/>
  <c r="CW84" i="4"/>
  <c r="DG85" i="4"/>
  <c r="DG88" i="4"/>
  <c r="FB92" i="4"/>
  <c r="FQ92" i="4" s="1"/>
  <c r="FB95" i="4"/>
  <c r="FQ95" i="4" s="1"/>
  <c r="FB98" i="4"/>
  <c r="FQ98" i="4" s="1"/>
  <c r="DG101" i="4"/>
  <c r="DG104" i="4"/>
  <c r="DG107" i="4"/>
  <c r="CW109" i="4"/>
  <c r="DG110" i="4"/>
  <c r="DG113" i="4"/>
  <c r="DG116" i="4"/>
  <c r="FB117" i="4"/>
  <c r="FQ117" i="4" s="1"/>
  <c r="FF123" i="4"/>
  <c r="FW123" i="4" s="1"/>
  <c r="DG138" i="4"/>
  <c r="FF138" i="4"/>
  <c r="FW138" i="4" s="1"/>
  <c r="DY138" i="4"/>
  <c r="EC138" i="4" s="1"/>
  <c r="DZ140" i="4"/>
  <c r="DG141" i="4"/>
  <c r="FF141" i="4"/>
  <c r="FW141" i="4" s="1"/>
  <c r="DY141" i="4"/>
  <c r="EC141" i="4" s="1"/>
  <c r="DV142" i="4"/>
  <c r="DZ142" i="4" s="1"/>
  <c r="EA142" i="4"/>
  <c r="DU142" i="4"/>
  <c r="FB143" i="4"/>
  <c r="FQ143" i="4" s="1"/>
  <c r="DD147" i="4"/>
  <c r="DC147" i="4"/>
  <c r="DC151" i="4"/>
  <c r="DB151" i="4" s="1"/>
  <c r="DD151" i="4"/>
  <c r="DG163" i="4"/>
  <c r="FF163" i="4"/>
  <c r="FW163" i="4" s="1"/>
  <c r="DD174" i="4"/>
  <c r="DC174" i="4"/>
  <c r="DB174" i="4" s="1"/>
  <c r="DC182" i="4"/>
  <c r="DB182" i="4" s="1"/>
  <c r="DD182" i="4"/>
  <c r="DG188" i="4"/>
  <c r="FF188" i="4"/>
  <c r="FW188" i="4" s="1"/>
  <c r="DD190" i="4"/>
  <c r="DC190" i="4"/>
  <c r="FF196" i="4"/>
  <c r="FW196" i="4" s="1"/>
  <c r="DY196" i="4"/>
  <c r="EC196" i="4" s="1"/>
  <c r="DG196" i="4"/>
  <c r="DY215" i="4"/>
  <c r="EC215" i="4" s="1"/>
  <c r="DD221" i="4"/>
  <c r="DC221" i="4"/>
  <c r="DG233" i="4"/>
  <c r="FF233" i="4"/>
  <c r="FW233" i="4" s="1"/>
  <c r="DY234" i="4"/>
  <c r="EC234" i="4" s="1"/>
  <c r="FF235" i="4"/>
  <c r="FW235" i="4" s="1"/>
  <c r="DY235" i="4"/>
  <c r="EC235" i="4" s="1"/>
  <c r="DG235" i="4"/>
  <c r="DY237" i="4"/>
  <c r="EC237" i="4" s="1"/>
  <c r="AX422" i="5"/>
  <c r="AF422" i="5"/>
  <c r="Z422" i="5"/>
  <c r="T422" i="5"/>
  <c r="N422" i="5"/>
  <c r="H422" i="5"/>
  <c r="AJ421" i="5"/>
  <c r="AD421" i="5"/>
  <c r="X421" i="5"/>
  <c r="R421" i="5"/>
  <c r="L421" i="5"/>
  <c r="F421" i="5"/>
  <c r="AH420" i="5"/>
  <c r="AB420" i="5"/>
  <c r="V420" i="5"/>
  <c r="P420" i="5"/>
  <c r="J420" i="5"/>
  <c r="D420" i="5"/>
  <c r="AX419" i="5"/>
  <c r="AF419" i="5"/>
  <c r="Z419" i="5"/>
  <c r="T419" i="5"/>
  <c r="N419" i="5"/>
  <c r="H419" i="5"/>
  <c r="AJ418" i="5"/>
  <c r="AE422" i="5"/>
  <c r="AJ422" i="5"/>
  <c r="AD422" i="5"/>
  <c r="X422" i="5"/>
  <c r="R422" i="5"/>
  <c r="L422" i="5"/>
  <c r="F422" i="5"/>
  <c r="AB421" i="5"/>
  <c r="V421" i="5"/>
  <c r="P421" i="5"/>
  <c r="J421" i="5"/>
  <c r="D421" i="5"/>
  <c r="AX420" i="5"/>
  <c r="AF420" i="5"/>
  <c r="Z420" i="5"/>
  <c r="T420" i="5"/>
  <c r="N420" i="5"/>
  <c r="H420" i="5"/>
  <c r="AJ419" i="5"/>
  <c r="AD419" i="5"/>
  <c r="X419" i="5"/>
  <c r="R419" i="5"/>
  <c r="L419" i="5"/>
  <c r="F419" i="5"/>
  <c r="AB418" i="5"/>
  <c r="V418" i="5"/>
  <c r="P418" i="5"/>
  <c r="J418" i="5"/>
  <c r="D418" i="5"/>
  <c r="AX417" i="5"/>
  <c r="AF417" i="5"/>
  <c r="Z417" i="5"/>
  <c r="T417" i="5"/>
  <c r="N417" i="5"/>
  <c r="H417" i="5"/>
  <c r="AJ416" i="5"/>
  <c r="AD416" i="5"/>
  <c r="X416" i="5"/>
  <c r="R416" i="5"/>
  <c r="L416" i="5"/>
  <c r="F416" i="5"/>
  <c r="AG415" i="5"/>
  <c r="AA415" i="5"/>
  <c r="U415" i="5"/>
  <c r="O415" i="5"/>
  <c r="I415" i="5"/>
  <c r="AE414" i="5"/>
  <c r="Y414" i="5"/>
  <c r="S414" i="5"/>
  <c r="M414" i="5"/>
  <c r="G414" i="5"/>
  <c r="AI413" i="5"/>
  <c r="AC413" i="5"/>
  <c r="W413" i="5"/>
  <c r="AI422" i="5"/>
  <c r="AV422" i="5" s="1"/>
  <c r="AC422" i="5"/>
  <c r="AP422" i="5" s="1"/>
  <c r="W422" i="5"/>
  <c r="AK422" i="5" s="1"/>
  <c r="Q422" i="5"/>
  <c r="K422" i="5"/>
  <c r="E422" i="5"/>
  <c r="AY421" i="5"/>
  <c r="AG421" i="5"/>
  <c r="AT421" i="5" s="1"/>
  <c r="AA421" i="5"/>
  <c r="U421" i="5"/>
  <c r="O421" i="5"/>
  <c r="I421" i="5"/>
  <c r="AE420" i="5"/>
  <c r="Y420" i="5"/>
  <c r="AM420" i="5" s="1"/>
  <c r="S420" i="5"/>
  <c r="M420" i="5"/>
  <c r="G420" i="5"/>
  <c r="AI419" i="5"/>
  <c r="AV419" i="5" s="1"/>
  <c r="AH422" i="5"/>
  <c r="AB422" i="5"/>
  <c r="V422" i="5"/>
  <c r="P422" i="5"/>
  <c r="J422" i="5"/>
  <c r="D422" i="5"/>
  <c r="AX421" i="5"/>
  <c r="AF421" i="5"/>
  <c r="Z421" i="5"/>
  <c r="T421" i="5"/>
  <c r="N421" i="5"/>
  <c r="H421" i="5"/>
  <c r="AD420" i="5"/>
  <c r="X420" i="5"/>
  <c r="R420" i="5"/>
  <c r="L420" i="5"/>
  <c r="F420" i="5"/>
  <c r="AY422" i="5"/>
  <c r="S422" i="5"/>
  <c r="AI421" i="5"/>
  <c r="AV421" i="5" s="1"/>
  <c r="Q421" i="5"/>
  <c r="AY420" i="5"/>
  <c r="AG420" i="5"/>
  <c r="AT420" i="5" s="1"/>
  <c r="O420" i="5"/>
  <c r="AH419" i="5"/>
  <c r="Y419" i="5"/>
  <c r="P419" i="5"/>
  <c r="G419" i="5"/>
  <c r="AX418" i="5"/>
  <c r="AF418" i="5"/>
  <c r="Y418" i="5"/>
  <c r="AM418" i="5" s="1"/>
  <c r="R418" i="5"/>
  <c r="K418" i="5"/>
  <c r="AA417" i="5"/>
  <c r="S417" i="5"/>
  <c r="L417" i="5"/>
  <c r="E417" i="5"/>
  <c r="AX416" i="5"/>
  <c r="AG422" i="5"/>
  <c r="AT422" i="5" s="1"/>
  <c r="AA422" i="5"/>
  <c r="I422" i="5"/>
  <c r="Y421" i="5"/>
  <c r="AM421" i="5" s="1"/>
  <c r="G421" i="5"/>
  <c r="W420" i="5"/>
  <c r="AK420" i="5" s="1"/>
  <c r="E420" i="5"/>
  <c r="AC419" i="5"/>
  <c r="AP419" i="5" s="1"/>
  <c r="U419" i="5"/>
  <c r="K419" i="5"/>
  <c r="AC418" i="5"/>
  <c r="U418" i="5"/>
  <c r="N418" i="5"/>
  <c r="G418" i="5"/>
  <c r="AD417" i="5"/>
  <c r="W417" i="5"/>
  <c r="AK417" i="5" s="1"/>
  <c r="P417" i="5"/>
  <c r="I417" i="5"/>
  <c r="AF416" i="5"/>
  <c r="Y416" i="5"/>
  <c r="AM416" i="5" s="1"/>
  <c r="Q416" i="5"/>
  <c r="J416" i="5"/>
  <c r="AF415" i="5"/>
  <c r="Y415" i="5"/>
  <c r="R415" i="5"/>
  <c r="K415" i="5"/>
  <c r="D415" i="5"/>
  <c r="AH414" i="5"/>
  <c r="AU414" i="5" s="1"/>
  <c r="AA414" i="5"/>
  <c r="T414" i="5"/>
  <c r="L414" i="5"/>
  <c r="E414" i="5"/>
  <c r="AX413" i="5"/>
  <c r="AJ413" i="5"/>
  <c r="AB413" i="5"/>
  <c r="U413" i="5"/>
  <c r="O413" i="5"/>
  <c r="I413" i="5"/>
  <c r="AE412" i="5"/>
  <c r="Y412" i="5"/>
  <c r="S412" i="5"/>
  <c r="M412" i="5"/>
  <c r="G412" i="5"/>
  <c r="AI411" i="5"/>
  <c r="AC411" i="5"/>
  <c r="W411" i="5"/>
  <c r="Q411" i="5"/>
  <c r="K411" i="5"/>
  <c r="E411" i="5"/>
  <c r="AX410" i="5"/>
  <c r="AF410" i="5"/>
  <c r="Z410" i="5"/>
  <c r="T410" i="5"/>
  <c r="N410" i="5"/>
  <c r="H410" i="5"/>
  <c r="AC421" i="5"/>
  <c r="AP421" i="5" s="1"/>
  <c r="AA420" i="5"/>
  <c r="AY419" i="5"/>
  <c r="AE419" i="5"/>
  <c r="Q419" i="5"/>
  <c r="D419" i="5"/>
  <c r="AD418" i="5"/>
  <c r="S418" i="5"/>
  <c r="H418" i="5"/>
  <c r="AB417" i="5"/>
  <c r="Q417" i="5"/>
  <c r="F417" i="5"/>
  <c r="AB416" i="5"/>
  <c r="T416" i="5"/>
  <c r="K416" i="5"/>
  <c r="AJ415" i="5"/>
  <c r="AW415" i="5" s="1"/>
  <c r="AB415" i="5"/>
  <c r="S415" i="5"/>
  <c r="J415" i="5"/>
  <c r="AJ414" i="5"/>
  <c r="AB414" i="5"/>
  <c r="AO414" i="5" s="1"/>
  <c r="R414" i="5"/>
  <c r="J414" i="5"/>
  <c r="AA413" i="5"/>
  <c r="S413" i="5"/>
  <c r="L413" i="5"/>
  <c r="E413" i="5"/>
  <c r="AX412" i="5"/>
  <c r="AI412" i="5"/>
  <c r="AB412" i="5"/>
  <c r="AO412" i="5" s="1"/>
  <c r="U412" i="5"/>
  <c r="N412" i="5"/>
  <c r="F412" i="5"/>
  <c r="AY411" i="5"/>
  <c r="AD411" i="5"/>
  <c r="V411" i="5"/>
  <c r="O411" i="5"/>
  <c r="H411" i="5"/>
  <c r="AD410" i="5"/>
  <c r="W410" i="5"/>
  <c r="AK410" i="5" s="1"/>
  <c r="P410" i="5"/>
  <c r="I410" i="5"/>
  <c r="AD409" i="5"/>
  <c r="X409" i="5"/>
  <c r="R409" i="5"/>
  <c r="L409" i="5"/>
  <c r="F409" i="5"/>
  <c r="AE397" i="5"/>
  <c r="Y397" i="5"/>
  <c r="S397" i="5"/>
  <c r="M397" i="5"/>
  <c r="G397" i="5"/>
  <c r="Y422" i="5"/>
  <c r="AM422" i="5" s="1"/>
  <c r="W421" i="5"/>
  <c r="AK421" i="5" s="1"/>
  <c r="U420" i="5"/>
  <c r="AB419" i="5"/>
  <c r="O419" i="5"/>
  <c r="AA418" i="5"/>
  <c r="Q418" i="5"/>
  <c r="F418" i="5"/>
  <c r="AJ417" i="5"/>
  <c r="Y417" i="5"/>
  <c r="O417" i="5"/>
  <c r="D417" i="5"/>
  <c r="AI416" i="5"/>
  <c r="AV416" i="5" s="1"/>
  <c r="AA416" i="5"/>
  <c r="S416" i="5"/>
  <c r="I416" i="5"/>
  <c r="AI415" i="5"/>
  <c r="Z415" i="5"/>
  <c r="AN415" i="5" s="1"/>
  <c r="Q415" i="5"/>
  <c r="H415" i="5"/>
  <c r="AI414" i="5"/>
  <c r="AV414" i="5" s="1"/>
  <c r="Z414" i="5"/>
  <c r="Q414" i="5"/>
  <c r="I414" i="5"/>
  <c r="Z413" i="5"/>
  <c r="AN413" i="5" s="1"/>
  <c r="R413" i="5"/>
  <c r="K413" i="5"/>
  <c r="D413" i="5"/>
  <c r="AA412" i="5"/>
  <c r="T412" i="5"/>
  <c r="L412" i="5"/>
  <c r="E412" i="5"/>
  <c r="AX411" i="5"/>
  <c r="AJ411" i="5"/>
  <c r="AB411" i="5"/>
  <c r="U411" i="5"/>
  <c r="N411" i="5"/>
  <c r="G411" i="5"/>
  <c r="AJ410" i="5"/>
  <c r="AC410" i="5"/>
  <c r="AP410" i="5" s="1"/>
  <c r="V410" i="5"/>
  <c r="O410" i="5"/>
  <c r="G410" i="5"/>
  <c r="AJ409" i="5"/>
  <c r="AC409" i="5"/>
  <c r="W409" i="5"/>
  <c r="Q409" i="5"/>
  <c r="K409" i="5"/>
  <c r="E409" i="5"/>
  <c r="AJ397" i="5"/>
  <c r="AD397" i="5"/>
  <c r="X397" i="5"/>
  <c r="R397" i="5"/>
  <c r="L397" i="5"/>
  <c r="F397" i="5"/>
  <c r="U422" i="5"/>
  <c r="S421" i="5"/>
  <c r="Q420" i="5"/>
  <c r="AA419" i="5"/>
  <c r="M419" i="5"/>
  <c r="AY418" i="5"/>
  <c r="Z418" i="5"/>
  <c r="AN418" i="5" s="1"/>
  <c r="O418" i="5"/>
  <c r="E418" i="5"/>
  <c r="AI417" i="5"/>
  <c r="AV417" i="5" s="1"/>
  <c r="X417" i="5"/>
  <c r="AL417" i="5" s="1"/>
  <c r="M417" i="5"/>
  <c r="AH416" i="5"/>
  <c r="AU416" i="5" s="1"/>
  <c r="Z416" i="5"/>
  <c r="AN416" i="5" s="1"/>
  <c r="P416" i="5"/>
  <c r="H416" i="5"/>
  <c r="AX415" i="5"/>
  <c r="X415" i="5"/>
  <c r="AL415" i="5" s="1"/>
  <c r="P415" i="5"/>
  <c r="G415" i="5"/>
  <c r="AY414" i="5"/>
  <c r="AG414" i="5"/>
  <c r="AT414" i="5" s="1"/>
  <c r="X414" i="5"/>
  <c r="AL414" i="5" s="1"/>
  <c r="P414" i="5"/>
  <c r="H414" i="5"/>
  <c r="AY413" i="5"/>
  <c r="AG413" i="5"/>
  <c r="AT413" i="5" s="1"/>
  <c r="Y413" i="5"/>
  <c r="AM413" i="5" s="1"/>
  <c r="Q413" i="5"/>
  <c r="J413" i="5"/>
  <c r="AG412" i="5"/>
  <c r="Z412" i="5"/>
  <c r="AN412" i="5" s="1"/>
  <c r="R412" i="5"/>
  <c r="K412" i="5"/>
  <c r="D412" i="5"/>
  <c r="AH411" i="5"/>
  <c r="AA411" i="5"/>
  <c r="T411" i="5"/>
  <c r="M411" i="5"/>
  <c r="F411" i="5"/>
  <c r="AI410" i="5"/>
  <c r="AV410" i="5" s="1"/>
  <c r="AB410" i="5"/>
  <c r="U410" i="5"/>
  <c r="M410" i="5"/>
  <c r="F410" i="5"/>
  <c r="AY409" i="5"/>
  <c r="AI409" i="5"/>
  <c r="AB409" i="5"/>
  <c r="V409" i="5"/>
  <c r="P409" i="5"/>
  <c r="J409" i="5"/>
  <c r="D409" i="5"/>
  <c r="AI397" i="5"/>
  <c r="AC397" i="5"/>
  <c r="W397" i="5"/>
  <c r="Q397" i="5"/>
  <c r="K397" i="5"/>
  <c r="E397" i="5"/>
  <c r="AY396" i="5"/>
  <c r="O422" i="5"/>
  <c r="M421" i="5"/>
  <c r="K420" i="5"/>
  <c r="W419" i="5"/>
  <c r="AK419" i="5" s="1"/>
  <c r="J419" i="5"/>
  <c r="AI418" i="5"/>
  <c r="X418" i="5"/>
  <c r="M418" i="5"/>
  <c r="AG417" i="5"/>
  <c r="V417" i="5"/>
  <c r="K417" i="5"/>
  <c r="AG416" i="5"/>
  <c r="AT416" i="5" s="1"/>
  <c r="W416" i="5"/>
  <c r="AK416" i="5" s="1"/>
  <c r="O416" i="5"/>
  <c r="G416" i="5"/>
  <c r="AE415" i="5"/>
  <c r="W415" i="5"/>
  <c r="AK415" i="5" s="1"/>
  <c r="N415" i="5"/>
  <c r="F415" i="5"/>
  <c r="AX414" i="5"/>
  <c r="AF414" i="5"/>
  <c r="W414" i="5"/>
  <c r="AK414" i="5" s="1"/>
  <c r="O414" i="5"/>
  <c r="F414" i="5"/>
  <c r="AF413" i="5"/>
  <c r="X413" i="5"/>
  <c r="AL413" i="5" s="1"/>
  <c r="P413" i="5"/>
  <c r="H413" i="5"/>
  <c r="AF412" i="5"/>
  <c r="X412" i="5"/>
  <c r="Q412" i="5"/>
  <c r="J412" i="5"/>
  <c r="AG411" i="5"/>
  <c r="Z411" i="5"/>
  <c r="AN411" i="5" s="1"/>
  <c r="S411" i="5"/>
  <c r="L411" i="5"/>
  <c r="D411" i="5"/>
  <c r="AH410" i="5"/>
  <c r="AA410" i="5"/>
  <c r="S410" i="5"/>
  <c r="L410" i="5"/>
  <c r="E410" i="5"/>
  <c r="AX409" i="5"/>
  <c r="AG409" i="5"/>
  <c r="AT409" i="5" s="1"/>
  <c r="AA409" i="5"/>
  <c r="U409" i="5"/>
  <c r="O409" i="5"/>
  <c r="I409" i="5"/>
  <c r="AH397" i="5"/>
  <c r="AU397" i="5" s="1"/>
  <c r="AB397" i="5"/>
  <c r="AO397" i="5" s="1"/>
  <c r="V397" i="5"/>
  <c r="P397" i="5"/>
  <c r="J397" i="5"/>
  <c r="D397" i="5"/>
  <c r="AX396" i="5"/>
  <c r="AF396" i="5"/>
  <c r="Z396" i="5"/>
  <c r="T396" i="5"/>
  <c r="N396" i="5"/>
  <c r="H396" i="5"/>
  <c r="AJ395" i="5"/>
  <c r="AD395" i="5"/>
  <c r="X395" i="5"/>
  <c r="R395" i="5"/>
  <c r="L395" i="5"/>
  <c r="F395" i="5"/>
  <c r="AB394" i="5"/>
  <c r="V394" i="5"/>
  <c r="P394" i="5"/>
  <c r="J394" i="5"/>
  <c r="D394" i="5"/>
  <c r="AX393" i="5"/>
  <c r="AF393" i="5"/>
  <c r="Z393" i="5"/>
  <c r="T393" i="5"/>
  <c r="N393" i="5"/>
  <c r="H393" i="5"/>
  <c r="AJ392" i="5"/>
  <c r="AD392" i="5"/>
  <c r="X392" i="5"/>
  <c r="R392" i="5"/>
  <c r="L392" i="5"/>
  <c r="F392" i="5"/>
  <c r="AH391" i="5"/>
  <c r="AB391" i="5"/>
  <c r="V391" i="5"/>
  <c r="P391" i="5"/>
  <c r="J391" i="5"/>
  <c r="D391" i="5"/>
  <c r="AX390" i="5"/>
  <c r="AF390" i="5"/>
  <c r="Z390" i="5"/>
  <c r="T390" i="5"/>
  <c r="M422" i="5"/>
  <c r="AI420" i="5"/>
  <c r="AV420" i="5" s="1"/>
  <c r="V419" i="5"/>
  <c r="AG418" i="5"/>
  <c r="AT418" i="5" s="1"/>
  <c r="U417" i="5"/>
  <c r="N416" i="5"/>
  <c r="M415" i="5"/>
  <c r="N414" i="5"/>
  <c r="N413" i="5"/>
  <c r="W412" i="5"/>
  <c r="AF411" i="5"/>
  <c r="J411" i="5"/>
  <c r="R410" i="5"/>
  <c r="Z409" i="5"/>
  <c r="AN409" i="5" s="1"/>
  <c r="H409" i="5"/>
  <c r="U397" i="5"/>
  <c r="AG396" i="5"/>
  <c r="AT396" i="5" s="1"/>
  <c r="Y396" i="5"/>
  <c r="R396" i="5"/>
  <c r="K396" i="5"/>
  <c r="D396" i="5"/>
  <c r="AA395" i="5"/>
  <c r="T395" i="5"/>
  <c r="M395" i="5"/>
  <c r="E395" i="5"/>
  <c r="AX394" i="5"/>
  <c r="AJ394" i="5"/>
  <c r="AC394" i="5"/>
  <c r="AP394" i="5" s="1"/>
  <c r="U394" i="5"/>
  <c r="N394" i="5"/>
  <c r="G394" i="5"/>
  <c r="AD393" i="5"/>
  <c r="W393" i="5"/>
  <c r="AK393" i="5" s="1"/>
  <c r="P393" i="5"/>
  <c r="I393" i="5"/>
  <c r="AF392" i="5"/>
  <c r="Y392" i="5"/>
  <c r="Q392" i="5"/>
  <c r="J392" i="5"/>
  <c r="AG391" i="5"/>
  <c r="Z391" i="5"/>
  <c r="S391" i="5"/>
  <c r="L391" i="5"/>
  <c r="E391" i="5"/>
  <c r="AI390" i="5"/>
  <c r="AV390" i="5" s="1"/>
  <c r="AB390" i="5"/>
  <c r="U390" i="5"/>
  <c r="N390" i="5"/>
  <c r="H390" i="5"/>
  <c r="AJ389" i="5"/>
  <c r="AD389" i="5"/>
  <c r="X389" i="5"/>
  <c r="R389" i="5"/>
  <c r="L389" i="5"/>
  <c r="F389" i="5"/>
  <c r="G422" i="5"/>
  <c r="AC420" i="5"/>
  <c r="AP420" i="5" s="1"/>
  <c r="S419" i="5"/>
  <c r="AE418" i="5"/>
  <c r="AY417" i="5"/>
  <c r="R417" i="5"/>
  <c r="M416" i="5"/>
  <c r="L415" i="5"/>
  <c r="K414" i="5"/>
  <c r="M413" i="5"/>
  <c r="V412" i="5"/>
  <c r="AE411" i="5"/>
  <c r="I411" i="5"/>
  <c r="Q410" i="5"/>
  <c r="Y409" i="5"/>
  <c r="AM409" i="5" s="1"/>
  <c r="G409" i="5"/>
  <c r="T397" i="5"/>
  <c r="AE396" i="5"/>
  <c r="X396" i="5"/>
  <c r="Q396" i="5"/>
  <c r="J396" i="5"/>
  <c r="AG395" i="5"/>
  <c r="AT395" i="5" s="1"/>
  <c r="Z395" i="5"/>
  <c r="AN395" i="5" s="1"/>
  <c r="S395" i="5"/>
  <c r="K395" i="5"/>
  <c r="D395" i="5"/>
  <c r="AI394" i="5"/>
  <c r="AV394" i="5" s="1"/>
  <c r="AA394" i="5"/>
  <c r="T394" i="5"/>
  <c r="M394" i="5"/>
  <c r="F394" i="5"/>
  <c r="AY393" i="5"/>
  <c r="AJ393" i="5"/>
  <c r="AC393" i="5"/>
  <c r="AP393" i="5" s="1"/>
  <c r="V393" i="5"/>
  <c r="O393" i="5"/>
  <c r="G393" i="5"/>
  <c r="AE392" i="5"/>
  <c r="W392" i="5"/>
  <c r="P392" i="5"/>
  <c r="I392" i="5"/>
  <c r="AF391" i="5"/>
  <c r="Y391" i="5"/>
  <c r="AM391" i="5" s="1"/>
  <c r="R391" i="5"/>
  <c r="K391" i="5"/>
  <c r="AH390" i="5"/>
  <c r="AU390" i="5" s="1"/>
  <c r="AA390" i="5"/>
  <c r="S390" i="5"/>
  <c r="M390" i="5"/>
  <c r="G390" i="5"/>
  <c r="AI389" i="5"/>
  <c r="AC389" i="5"/>
  <c r="W389" i="5"/>
  <c r="Q389" i="5"/>
  <c r="K389" i="5"/>
  <c r="I420" i="5"/>
  <c r="I419" i="5"/>
  <c r="W418" i="5"/>
  <c r="AK418" i="5" s="1"/>
  <c r="J417" i="5"/>
  <c r="AE416" i="5"/>
  <c r="E416" i="5"/>
  <c r="AD415" i="5"/>
  <c r="E415" i="5"/>
  <c r="AD414" i="5"/>
  <c r="D414" i="5"/>
  <c r="AE413" i="5"/>
  <c r="G413" i="5"/>
  <c r="P412" i="5"/>
  <c r="Y411" i="5"/>
  <c r="AM411" i="5" s="1"/>
  <c r="AG410" i="5"/>
  <c r="AT410" i="5" s="1"/>
  <c r="K410" i="5"/>
  <c r="T409" i="5"/>
  <c r="AY397" i="5"/>
  <c r="AG397" i="5"/>
  <c r="AT397" i="5" s="1"/>
  <c r="O397" i="5"/>
  <c r="AD396" i="5"/>
  <c r="W396" i="5"/>
  <c r="AK396" i="5" s="1"/>
  <c r="P396" i="5"/>
  <c r="I396" i="5"/>
  <c r="AF395" i="5"/>
  <c r="Y395" i="5"/>
  <c r="AE421" i="5"/>
  <c r="E419" i="5"/>
  <c r="T418" i="5"/>
  <c r="G417" i="5"/>
  <c r="AC416" i="5"/>
  <c r="AP416" i="5" s="1"/>
  <c r="D416" i="5"/>
  <c r="AC415" i="5"/>
  <c r="AP415" i="5" s="1"/>
  <c r="AC414" i="5"/>
  <c r="AP414" i="5" s="1"/>
  <c r="AD413" i="5"/>
  <c r="F413" i="5"/>
  <c r="AJ412" i="5"/>
  <c r="AW412" i="5" s="1"/>
  <c r="O412" i="5"/>
  <c r="X411" i="5"/>
  <c r="AL411" i="5" s="1"/>
  <c r="AE410" i="5"/>
  <c r="J410" i="5"/>
  <c r="S409" i="5"/>
  <c r="AX397" i="5"/>
  <c r="AF397" i="5"/>
  <c r="N397" i="5"/>
  <c r="AJ396" i="5"/>
  <c r="AC396" i="5"/>
  <c r="AP396" i="5" s="1"/>
  <c r="V396" i="5"/>
  <c r="O396" i="5"/>
  <c r="G396" i="5"/>
  <c r="AE395" i="5"/>
  <c r="W395" i="5"/>
  <c r="P395" i="5"/>
  <c r="I395" i="5"/>
  <c r="AF394" i="5"/>
  <c r="Y394" i="5"/>
  <c r="AM394" i="5" s="1"/>
  <c r="R394" i="5"/>
  <c r="K394" i="5"/>
  <c r="AH393" i="5"/>
  <c r="AA393" i="5"/>
  <c r="S393" i="5"/>
  <c r="L393" i="5"/>
  <c r="E393" i="5"/>
  <c r="AX392" i="5"/>
  <c r="AI392" i="5"/>
  <c r="AB392" i="5"/>
  <c r="U392" i="5"/>
  <c r="N392" i="5"/>
  <c r="G392" i="5"/>
  <c r="AY391" i="5"/>
  <c r="AD391" i="5"/>
  <c r="W391" i="5"/>
  <c r="O391" i="5"/>
  <c r="H391" i="5"/>
  <c r="AE390" i="5"/>
  <c r="X390" i="5"/>
  <c r="Q390" i="5"/>
  <c r="K390" i="5"/>
  <c r="E390" i="5"/>
  <c r="AY389" i="5"/>
  <c r="AG389" i="5"/>
  <c r="AT389" i="5" s="1"/>
  <c r="AA389" i="5"/>
  <c r="U389" i="5"/>
  <c r="O389" i="5"/>
  <c r="I389" i="5"/>
  <c r="AE388" i="5"/>
  <c r="Y388" i="5"/>
  <c r="S388" i="5"/>
  <c r="M388" i="5"/>
  <c r="G388" i="5"/>
  <c r="AI387" i="5"/>
  <c r="AC387" i="5"/>
  <c r="W387" i="5"/>
  <c r="Q387" i="5"/>
  <c r="K387" i="5"/>
  <c r="E387" i="5"/>
  <c r="AY386" i="5"/>
  <c r="AG386" i="5"/>
  <c r="AA386" i="5"/>
  <c r="U386" i="5"/>
  <c r="O386" i="5"/>
  <c r="I386" i="5"/>
  <c r="AE385" i="5"/>
  <c r="Y385" i="5"/>
  <c r="S385" i="5"/>
  <c r="M385" i="5"/>
  <c r="G385" i="5"/>
  <c r="AI384" i="5"/>
  <c r="AC384" i="5"/>
  <c r="W384" i="5"/>
  <c r="Q384" i="5"/>
  <c r="K384" i="5"/>
  <c r="E384" i="5"/>
  <c r="AY383" i="5"/>
  <c r="AG383" i="5"/>
  <c r="AA383" i="5"/>
  <c r="U383" i="5"/>
  <c r="O383" i="5"/>
  <c r="I383" i="5"/>
  <c r="K421" i="5"/>
  <c r="L418" i="5"/>
  <c r="V416" i="5"/>
  <c r="V413" i="5"/>
  <c r="I412" i="5"/>
  <c r="AF409" i="5"/>
  <c r="U396" i="5"/>
  <c r="AY395" i="5"/>
  <c r="AC395" i="5"/>
  <c r="AP395" i="5" s="1"/>
  <c r="N395" i="5"/>
  <c r="AY394" i="5"/>
  <c r="W394" i="5"/>
  <c r="H394" i="5"/>
  <c r="AE393" i="5"/>
  <c r="Q393" i="5"/>
  <c r="Z392" i="5"/>
  <c r="K392" i="5"/>
  <c r="AI391" i="5"/>
  <c r="T391" i="5"/>
  <c r="F391" i="5"/>
  <c r="AC390" i="5"/>
  <c r="AP390" i="5" s="1"/>
  <c r="O390" i="5"/>
  <c r="AE389" i="5"/>
  <c r="S389" i="5"/>
  <c r="G389" i="5"/>
  <c r="AX388" i="5"/>
  <c r="AG388" i="5"/>
  <c r="AT388" i="5" s="1"/>
  <c r="Z388" i="5"/>
  <c r="AN388" i="5" s="1"/>
  <c r="R388" i="5"/>
  <c r="K388" i="5"/>
  <c r="D388" i="5"/>
  <c r="AH387" i="5"/>
  <c r="AA387" i="5"/>
  <c r="T387" i="5"/>
  <c r="M387" i="5"/>
  <c r="F387" i="5"/>
  <c r="AX386" i="5"/>
  <c r="AJ386" i="5"/>
  <c r="AW386" i="5" s="1"/>
  <c r="AC386" i="5"/>
  <c r="AP386" i="5" s="1"/>
  <c r="V386" i="5"/>
  <c r="N386" i="5"/>
  <c r="G386" i="5"/>
  <c r="AD385" i="5"/>
  <c r="W385" i="5"/>
  <c r="P385" i="5"/>
  <c r="I385" i="5"/>
  <c r="AF384" i="5"/>
  <c r="Y384" i="5"/>
  <c r="R384" i="5"/>
  <c r="J384" i="5"/>
  <c r="Z383" i="5"/>
  <c r="S383" i="5"/>
  <c r="L383" i="5"/>
  <c r="E383" i="5"/>
  <c r="AY382" i="5"/>
  <c r="AG382" i="5"/>
  <c r="AA382" i="5"/>
  <c r="U382" i="5"/>
  <c r="O382" i="5"/>
  <c r="I382" i="5"/>
  <c r="AE381" i="5"/>
  <c r="Y381" i="5"/>
  <c r="S381" i="5"/>
  <c r="M381" i="5"/>
  <c r="G381" i="5"/>
  <c r="AI380" i="5"/>
  <c r="AC380" i="5"/>
  <c r="W380" i="5"/>
  <c r="Q380" i="5"/>
  <c r="K380" i="5"/>
  <c r="E380" i="5"/>
  <c r="AY379" i="5"/>
  <c r="AG379" i="5"/>
  <c r="AA379" i="5"/>
  <c r="U379" i="5"/>
  <c r="O379" i="5"/>
  <c r="I379" i="5"/>
  <c r="AE378" i="5"/>
  <c r="Y378" i="5"/>
  <c r="S378" i="5"/>
  <c r="M378" i="5"/>
  <c r="G378" i="5"/>
  <c r="AI377" i="5"/>
  <c r="AC377" i="5"/>
  <c r="W377" i="5"/>
  <c r="Q377" i="5"/>
  <c r="K377" i="5"/>
  <c r="E377" i="5"/>
  <c r="AY376" i="5"/>
  <c r="AG376" i="5"/>
  <c r="AA376" i="5"/>
  <c r="U376" i="5"/>
  <c r="O376" i="5"/>
  <c r="I376" i="5"/>
  <c r="AE375" i="5"/>
  <c r="Y375" i="5"/>
  <c r="S375" i="5"/>
  <c r="M375" i="5"/>
  <c r="G375" i="5"/>
  <c r="AI374" i="5"/>
  <c r="AC374" i="5"/>
  <c r="W374" i="5"/>
  <c r="Q374" i="5"/>
  <c r="K374" i="5"/>
  <c r="E374" i="5"/>
  <c r="AY373" i="5"/>
  <c r="AG373" i="5"/>
  <c r="AA373" i="5"/>
  <c r="U373" i="5"/>
  <c r="O373" i="5"/>
  <c r="E421" i="5"/>
  <c r="I418" i="5"/>
  <c r="U416" i="5"/>
  <c r="T413" i="5"/>
  <c r="H412" i="5"/>
  <c r="AE409" i="5"/>
  <c r="S396" i="5"/>
  <c r="AX395" i="5"/>
  <c r="AB395" i="5"/>
  <c r="AO395" i="5" s="1"/>
  <c r="J395" i="5"/>
  <c r="AG394" i="5"/>
  <c r="AT394" i="5" s="1"/>
  <c r="S394" i="5"/>
  <c r="E394" i="5"/>
  <c r="AB393" i="5"/>
  <c r="AO393" i="5" s="1"/>
  <c r="M393" i="5"/>
  <c r="AY392" i="5"/>
  <c r="V392" i="5"/>
  <c r="H392" i="5"/>
  <c r="AE391" i="5"/>
  <c r="Q391" i="5"/>
  <c r="Y390" i="5"/>
  <c r="L390" i="5"/>
  <c r="AB389" i="5"/>
  <c r="P389" i="5"/>
  <c r="E389" i="5"/>
  <c r="AF388" i="5"/>
  <c r="X388" i="5"/>
  <c r="Q388" i="5"/>
  <c r="J388" i="5"/>
  <c r="AG387" i="5"/>
  <c r="Z387" i="5"/>
  <c r="AN387" i="5" s="1"/>
  <c r="S387" i="5"/>
  <c r="L387" i="5"/>
  <c r="D387" i="5"/>
  <c r="AI386" i="5"/>
  <c r="AB386" i="5"/>
  <c r="T386" i="5"/>
  <c r="M386" i="5"/>
  <c r="F386" i="5"/>
  <c r="AY385" i="5"/>
  <c r="AJ385" i="5"/>
  <c r="AC385" i="5"/>
  <c r="V385" i="5"/>
  <c r="O385" i="5"/>
  <c r="H385" i="5"/>
  <c r="AE384" i="5"/>
  <c r="X384" i="5"/>
  <c r="P384" i="5"/>
  <c r="I384" i="5"/>
  <c r="AF383" i="5"/>
  <c r="Y383" i="5"/>
  <c r="R383" i="5"/>
  <c r="K383" i="5"/>
  <c r="D383" i="5"/>
  <c r="AX382" i="5"/>
  <c r="AF382" i="5"/>
  <c r="Z382" i="5"/>
  <c r="T382" i="5"/>
  <c r="N382" i="5"/>
  <c r="H382" i="5"/>
  <c r="AJ381" i="5"/>
  <c r="AD381" i="5"/>
  <c r="X381" i="5"/>
  <c r="R381" i="5"/>
  <c r="L381" i="5"/>
  <c r="F381" i="5"/>
  <c r="AH380" i="5"/>
  <c r="AB380" i="5"/>
  <c r="AO380" i="5" s="1"/>
  <c r="V380" i="5"/>
  <c r="P380" i="5"/>
  <c r="J380" i="5"/>
  <c r="D380" i="5"/>
  <c r="AX379" i="5"/>
  <c r="AF379" i="5"/>
  <c r="Z379" i="5"/>
  <c r="T379" i="5"/>
  <c r="N379" i="5"/>
  <c r="H379" i="5"/>
  <c r="AJ378" i="5"/>
  <c r="AD378" i="5"/>
  <c r="X378" i="5"/>
  <c r="R378" i="5"/>
  <c r="L378" i="5"/>
  <c r="F378" i="5"/>
  <c r="AB377" i="5"/>
  <c r="AO377" i="5" s="1"/>
  <c r="V377" i="5"/>
  <c r="P377" i="5"/>
  <c r="J377" i="5"/>
  <c r="D377" i="5"/>
  <c r="AX376" i="5"/>
  <c r="AF376" i="5"/>
  <c r="Z376" i="5"/>
  <c r="T376" i="5"/>
  <c r="N376" i="5"/>
  <c r="H376" i="5"/>
  <c r="AJ375" i="5"/>
  <c r="AD375" i="5"/>
  <c r="X375" i="5"/>
  <c r="R375" i="5"/>
  <c r="L375" i="5"/>
  <c r="F375" i="5"/>
  <c r="AH374" i="5"/>
  <c r="AB374" i="5"/>
  <c r="AO374" i="5" s="1"/>
  <c r="V374" i="5"/>
  <c r="P374" i="5"/>
  <c r="J374" i="5"/>
  <c r="D374" i="5"/>
  <c r="AX373" i="5"/>
  <c r="AF373" i="5"/>
  <c r="Z373" i="5"/>
  <c r="T373" i="5"/>
  <c r="N373" i="5"/>
  <c r="H373" i="5"/>
  <c r="AJ372" i="5"/>
  <c r="AE417" i="5"/>
  <c r="V414" i="5"/>
  <c r="Y410" i="5"/>
  <c r="AM410" i="5" s="1"/>
  <c r="N409" i="5"/>
  <c r="AA397" i="5"/>
  <c r="AI396" i="5"/>
  <c r="AV396" i="5" s="1"/>
  <c r="M396" i="5"/>
  <c r="V395" i="5"/>
  <c r="H395" i="5"/>
  <c r="AE394" i="5"/>
  <c r="Q394" i="5"/>
  <c r="Y393" i="5"/>
  <c r="K393" i="5"/>
  <c r="AH392" i="5"/>
  <c r="T392" i="5"/>
  <c r="E392" i="5"/>
  <c r="AC391" i="5"/>
  <c r="AP391" i="5" s="1"/>
  <c r="N391" i="5"/>
  <c r="W390" i="5"/>
  <c r="AK390" i="5" s="1"/>
  <c r="J390" i="5"/>
  <c r="AX389" i="5"/>
  <c r="Z389" i="5"/>
  <c r="AN389" i="5" s="1"/>
  <c r="N389" i="5"/>
  <c r="D389" i="5"/>
  <c r="AD388" i="5"/>
  <c r="W388" i="5"/>
  <c r="P388" i="5"/>
  <c r="I388" i="5"/>
  <c r="AF387" i="5"/>
  <c r="Y387" i="5"/>
  <c r="AM387" i="5" s="1"/>
  <c r="R387" i="5"/>
  <c r="J387" i="5"/>
  <c r="AH386" i="5"/>
  <c r="Z386" i="5"/>
  <c r="S386" i="5"/>
  <c r="L386" i="5"/>
  <c r="E386" i="5"/>
  <c r="AX385" i="5"/>
  <c r="AI385" i="5"/>
  <c r="AB385" i="5"/>
  <c r="AO385" i="5" s="1"/>
  <c r="U385" i="5"/>
  <c r="N385" i="5"/>
  <c r="F385" i="5"/>
  <c r="AY384" i="5"/>
  <c r="AD384" i="5"/>
  <c r="V384" i="5"/>
  <c r="O384" i="5"/>
  <c r="H384" i="5"/>
  <c r="AE383" i="5"/>
  <c r="X383" i="5"/>
  <c r="AL383" i="5" s="1"/>
  <c r="Q383" i="5"/>
  <c r="J383" i="5"/>
  <c r="AE382" i="5"/>
  <c r="Y382" i="5"/>
  <c r="S382" i="5"/>
  <c r="M382" i="5"/>
  <c r="G382" i="5"/>
  <c r="AI381" i="5"/>
  <c r="AC381" i="5"/>
  <c r="W381" i="5"/>
  <c r="Q381" i="5"/>
  <c r="K381" i="5"/>
  <c r="E381" i="5"/>
  <c r="AY380" i="5"/>
  <c r="AG380" i="5"/>
  <c r="AA380" i="5"/>
  <c r="U380" i="5"/>
  <c r="O380" i="5"/>
  <c r="I380" i="5"/>
  <c r="AE379" i="5"/>
  <c r="Y379" i="5"/>
  <c r="S379" i="5"/>
  <c r="M379" i="5"/>
  <c r="G379" i="5"/>
  <c r="AI378" i="5"/>
  <c r="AC378" i="5"/>
  <c r="W378" i="5"/>
  <c r="Q378" i="5"/>
  <c r="K378" i="5"/>
  <c r="AG419" i="5"/>
  <c r="AT419" i="5" s="1"/>
  <c r="AC417" i="5"/>
  <c r="AP417" i="5" s="1"/>
  <c r="U414" i="5"/>
  <c r="AY412" i="5"/>
  <c r="X410" i="5"/>
  <c r="AL410" i="5" s="1"/>
  <c r="M409" i="5"/>
  <c r="Z397" i="5"/>
  <c r="AN397" i="5" s="1"/>
  <c r="AH396" i="5"/>
  <c r="AU396" i="5" s="1"/>
  <c r="L396" i="5"/>
  <c r="U395" i="5"/>
  <c r="G395" i="5"/>
  <c r="AD394" i="5"/>
  <c r="O394" i="5"/>
  <c r="X393" i="5"/>
  <c r="AL393" i="5" s="1"/>
  <c r="J393" i="5"/>
  <c r="AG392" i="5"/>
  <c r="AT392" i="5" s="1"/>
  <c r="S392" i="5"/>
  <c r="D392" i="5"/>
  <c r="AA391" i="5"/>
  <c r="M391" i="5"/>
  <c r="AY390" i="5"/>
  <c r="AJ390" i="5"/>
  <c r="AW390" i="5" s="1"/>
  <c r="V390" i="5"/>
  <c r="I390" i="5"/>
  <c r="Y389" i="5"/>
  <c r="M389" i="5"/>
  <c r="AJ388" i="5"/>
  <c r="AC388" i="5"/>
  <c r="V388" i="5"/>
  <c r="O388" i="5"/>
  <c r="H388" i="5"/>
  <c r="AE387" i="5"/>
  <c r="X387" i="5"/>
  <c r="P387" i="5"/>
  <c r="I387" i="5"/>
  <c r="AF386" i="5"/>
  <c r="Y386" i="5"/>
  <c r="R386" i="5"/>
  <c r="K386" i="5"/>
  <c r="D386" i="5"/>
  <c r="AH385" i="5"/>
  <c r="AU385" i="5" s="1"/>
  <c r="AA385" i="5"/>
  <c r="T385" i="5"/>
  <c r="L385" i="5"/>
  <c r="E385" i="5"/>
  <c r="AX384" i="5"/>
  <c r="AJ384" i="5"/>
  <c r="AW384" i="5" s="1"/>
  <c r="AB384" i="5"/>
  <c r="AO384" i="5" s="1"/>
  <c r="U384" i="5"/>
  <c r="N384" i="5"/>
  <c r="G384" i="5"/>
  <c r="AD383" i="5"/>
  <c r="W383" i="5"/>
  <c r="AK383" i="5" s="1"/>
  <c r="P383" i="5"/>
  <c r="H383" i="5"/>
  <c r="AJ382" i="5"/>
  <c r="AW382" i="5" s="1"/>
  <c r="AD382" i="5"/>
  <c r="X382" i="5"/>
  <c r="AL382" i="5" s="1"/>
  <c r="R382" i="5"/>
  <c r="L382" i="5"/>
  <c r="F382" i="5"/>
  <c r="AH381" i="5"/>
  <c r="AU381" i="5" s="1"/>
  <c r="AB381" i="5"/>
  <c r="AO381" i="5" s="1"/>
  <c r="V381" i="5"/>
  <c r="P381" i="5"/>
  <c r="J381" i="5"/>
  <c r="D381" i="5"/>
  <c r="AX380" i="5"/>
  <c r="AF380" i="5"/>
  <c r="Z380" i="5"/>
  <c r="AN380" i="5" s="1"/>
  <c r="T380" i="5"/>
  <c r="N380" i="5"/>
  <c r="H380" i="5"/>
  <c r="AJ379" i="5"/>
  <c r="AW379" i="5" s="1"/>
  <c r="AD379" i="5"/>
  <c r="X379" i="5"/>
  <c r="AL379" i="5" s="1"/>
  <c r="R379" i="5"/>
  <c r="L379" i="5"/>
  <c r="F379" i="5"/>
  <c r="AH378" i="5"/>
  <c r="AU378" i="5" s="1"/>
  <c r="AB378" i="5"/>
  <c r="AO378" i="5" s="1"/>
  <c r="V378" i="5"/>
  <c r="P378" i="5"/>
  <c r="J378" i="5"/>
  <c r="D378" i="5"/>
  <c r="AX377" i="5"/>
  <c r="AF377" i="5"/>
  <c r="Z377" i="5"/>
  <c r="AN377" i="5" s="1"/>
  <c r="T377" i="5"/>
  <c r="N377" i="5"/>
  <c r="H377" i="5"/>
  <c r="AJ376" i="5"/>
  <c r="AW376" i="5" s="1"/>
  <c r="AD376" i="5"/>
  <c r="X376" i="5"/>
  <c r="AL376" i="5" s="1"/>
  <c r="R376" i="5"/>
  <c r="L376" i="5"/>
  <c r="F376" i="5"/>
  <c r="AB375" i="5"/>
  <c r="AO375" i="5" s="1"/>
  <c r="V375" i="5"/>
  <c r="P375" i="5"/>
  <c r="J375" i="5"/>
  <c r="D375" i="5"/>
  <c r="AX374" i="5"/>
  <c r="AF374" i="5"/>
  <c r="Z374" i="5"/>
  <c r="AN374" i="5" s="1"/>
  <c r="T374" i="5"/>
  <c r="N374" i="5"/>
  <c r="H374" i="5"/>
  <c r="AJ373" i="5"/>
  <c r="AW373" i="5" s="1"/>
  <c r="AD373" i="5"/>
  <c r="X373" i="5"/>
  <c r="R373" i="5"/>
  <c r="L373" i="5"/>
  <c r="F373" i="5"/>
  <c r="AH372" i="5"/>
  <c r="D410" i="5"/>
  <c r="AB396" i="5"/>
  <c r="Q395" i="5"/>
  <c r="Z394" i="5"/>
  <c r="AN394" i="5" s="1"/>
  <c r="AI393" i="5"/>
  <c r="AV393" i="5" s="1"/>
  <c r="I391" i="5"/>
  <c r="R390" i="5"/>
  <c r="AB388" i="5"/>
  <c r="AO388" i="5" s="1"/>
  <c r="F388" i="5"/>
  <c r="O387" i="5"/>
  <c r="X386" i="5"/>
  <c r="AL386" i="5" s="1"/>
  <c r="AG385" i="5"/>
  <c r="K385" i="5"/>
  <c r="T384" i="5"/>
  <c r="AX383" i="5"/>
  <c r="AC383" i="5"/>
  <c r="G383" i="5"/>
  <c r="W382" i="5"/>
  <c r="AK382" i="5" s="1"/>
  <c r="E382" i="5"/>
  <c r="U381" i="5"/>
  <c r="S380" i="5"/>
  <c r="AI379" i="5"/>
  <c r="AV379" i="5" s="1"/>
  <c r="Q379" i="5"/>
  <c r="AY378" i="5"/>
  <c r="AG378" i="5"/>
  <c r="AT378" i="5" s="1"/>
  <c r="O378" i="5"/>
  <c r="AD377" i="5"/>
  <c r="R377" i="5"/>
  <c r="F377" i="5"/>
  <c r="AH376" i="5"/>
  <c r="V376" i="5"/>
  <c r="J376" i="5"/>
  <c r="AX375" i="5"/>
  <c r="Z375" i="5"/>
  <c r="N375" i="5"/>
  <c r="AD374" i="5"/>
  <c r="R374" i="5"/>
  <c r="F374" i="5"/>
  <c r="AH373" i="5"/>
  <c r="AU373" i="5" s="1"/>
  <c r="V373" i="5"/>
  <c r="J373" i="5"/>
  <c r="AI372" i="5"/>
  <c r="AB372" i="5"/>
  <c r="V372" i="5"/>
  <c r="P372" i="5"/>
  <c r="J372" i="5"/>
  <c r="D372" i="5"/>
  <c r="AX371" i="5"/>
  <c r="AF371" i="5"/>
  <c r="Z371" i="5"/>
  <c r="T371" i="5"/>
  <c r="N371" i="5"/>
  <c r="H371" i="5"/>
  <c r="AJ370" i="5"/>
  <c r="AD370" i="5"/>
  <c r="X370" i="5"/>
  <c r="R370" i="5"/>
  <c r="L370" i="5"/>
  <c r="F370" i="5"/>
  <c r="AB369" i="5"/>
  <c r="V369" i="5"/>
  <c r="P369" i="5"/>
  <c r="J369" i="5"/>
  <c r="D369" i="5"/>
  <c r="AX368" i="5"/>
  <c r="AF368" i="5"/>
  <c r="Z368" i="5"/>
  <c r="T368" i="5"/>
  <c r="N368" i="5"/>
  <c r="H368" i="5"/>
  <c r="AJ367" i="5"/>
  <c r="AD367" i="5"/>
  <c r="X367" i="5"/>
  <c r="R367" i="5"/>
  <c r="L367" i="5"/>
  <c r="F367" i="5"/>
  <c r="AH366" i="5"/>
  <c r="AB366" i="5"/>
  <c r="V366" i="5"/>
  <c r="P366" i="5"/>
  <c r="J366" i="5"/>
  <c r="D366" i="5"/>
  <c r="AX365" i="5"/>
  <c r="AF365" i="5"/>
  <c r="Z365" i="5"/>
  <c r="T365" i="5"/>
  <c r="N365" i="5"/>
  <c r="H365" i="5"/>
  <c r="AJ364" i="5"/>
  <c r="AD364" i="5"/>
  <c r="X364" i="5"/>
  <c r="R364" i="5"/>
  <c r="L364" i="5"/>
  <c r="F364" i="5"/>
  <c r="AH363" i="5"/>
  <c r="AB363" i="5"/>
  <c r="V363" i="5"/>
  <c r="P363" i="5"/>
  <c r="J363" i="5"/>
  <c r="D363" i="5"/>
  <c r="AX362" i="5"/>
  <c r="AF362" i="5"/>
  <c r="Z362" i="5"/>
  <c r="T362" i="5"/>
  <c r="N362" i="5"/>
  <c r="H362" i="5"/>
  <c r="AJ361" i="5"/>
  <c r="AD361" i="5"/>
  <c r="X361" i="5"/>
  <c r="R361" i="5"/>
  <c r="L361" i="5"/>
  <c r="F361" i="5"/>
  <c r="AH360" i="5"/>
  <c r="AA396" i="5"/>
  <c r="O395" i="5"/>
  <c r="X394" i="5"/>
  <c r="AL394" i="5" s="1"/>
  <c r="AG393" i="5"/>
  <c r="AX391" i="5"/>
  <c r="G391" i="5"/>
  <c r="P390" i="5"/>
  <c r="AF389" i="5"/>
  <c r="AY388" i="5"/>
  <c r="AA388" i="5"/>
  <c r="E388" i="5"/>
  <c r="AJ387" i="5"/>
  <c r="N387" i="5"/>
  <c r="W386" i="5"/>
  <c r="AF385" i="5"/>
  <c r="J385" i="5"/>
  <c r="S384" i="5"/>
  <c r="AB383" i="5"/>
  <c r="F383" i="5"/>
  <c r="V382" i="5"/>
  <c r="D382" i="5"/>
  <c r="T381" i="5"/>
  <c r="R380" i="5"/>
  <c r="AH379" i="5"/>
  <c r="AU379" i="5" s="1"/>
  <c r="P379" i="5"/>
  <c r="AX378" i="5"/>
  <c r="AF378" i="5"/>
  <c r="N378" i="5"/>
  <c r="AY377" i="5"/>
  <c r="AA377" i="5"/>
  <c r="O377" i="5"/>
  <c r="AE376" i="5"/>
  <c r="S376" i="5"/>
  <c r="G376" i="5"/>
  <c r="AI375" i="5"/>
  <c r="W375" i="5"/>
  <c r="K375" i="5"/>
  <c r="AY374" i="5"/>
  <c r="AA374" i="5"/>
  <c r="O374" i="5"/>
  <c r="AE373" i="5"/>
  <c r="S373" i="5"/>
  <c r="I373" i="5"/>
  <c r="AY372" i="5"/>
  <c r="AG372" i="5"/>
  <c r="AA372" i="5"/>
  <c r="U372" i="5"/>
  <c r="O372" i="5"/>
  <c r="I372" i="5"/>
  <c r="AE371" i="5"/>
  <c r="Y371" i="5"/>
  <c r="S371" i="5"/>
  <c r="M371" i="5"/>
  <c r="G371" i="5"/>
  <c r="AI370" i="5"/>
  <c r="AC370" i="5"/>
  <c r="AP370" i="5" s="1"/>
  <c r="W370" i="5"/>
  <c r="Q370" i="5"/>
  <c r="K370" i="5"/>
  <c r="E370" i="5"/>
  <c r="AY369" i="5"/>
  <c r="AG369" i="5"/>
  <c r="AT369" i="5" s="1"/>
  <c r="AA369" i="5"/>
  <c r="U369" i="5"/>
  <c r="O369" i="5"/>
  <c r="I369" i="5"/>
  <c r="AE368" i="5"/>
  <c r="Y368" i="5"/>
  <c r="AM368" i="5" s="1"/>
  <c r="S368" i="5"/>
  <c r="M368" i="5"/>
  <c r="G368" i="5"/>
  <c r="AI367" i="5"/>
  <c r="AC367" i="5"/>
  <c r="W367" i="5"/>
  <c r="Q367" i="5"/>
  <c r="K367" i="5"/>
  <c r="E367" i="5"/>
  <c r="AY366" i="5"/>
  <c r="AG366" i="5"/>
  <c r="AA366" i="5"/>
  <c r="U366" i="5"/>
  <c r="O366" i="5"/>
  <c r="I366" i="5"/>
  <c r="AE365" i="5"/>
  <c r="Y365" i="5"/>
  <c r="S365" i="5"/>
  <c r="M365" i="5"/>
  <c r="G365" i="5"/>
  <c r="AI364" i="5"/>
  <c r="AC364" i="5"/>
  <c r="W364" i="5"/>
  <c r="Q364" i="5"/>
  <c r="K364" i="5"/>
  <c r="E364" i="5"/>
  <c r="AY363" i="5"/>
  <c r="AG363" i="5"/>
  <c r="AA363" i="5"/>
  <c r="U363" i="5"/>
  <c r="O363" i="5"/>
  <c r="I363" i="5"/>
  <c r="AY416" i="5"/>
  <c r="AD412" i="5"/>
  <c r="F396" i="5"/>
  <c r="L394" i="5"/>
  <c r="U393" i="5"/>
  <c r="AC392" i="5"/>
  <c r="AP392" i="5" s="1"/>
  <c r="F390" i="5"/>
  <c r="V389" i="5"/>
  <c r="U388" i="5"/>
  <c r="AY387" i="5"/>
  <c r="AD387" i="5"/>
  <c r="H387" i="5"/>
  <c r="Q386" i="5"/>
  <c r="Z385" i="5"/>
  <c r="AN385" i="5" s="1"/>
  <c r="D385" i="5"/>
  <c r="AH384" i="5"/>
  <c r="AU384" i="5" s="1"/>
  <c r="M384" i="5"/>
  <c r="V383" i="5"/>
  <c r="AI382" i="5"/>
  <c r="AV382" i="5" s="1"/>
  <c r="Q382" i="5"/>
  <c r="AY381" i="5"/>
  <c r="AG381" i="5"/>
  <c r="AT381" i="5" s="1"/>
  <c r="O381" i="5"/>
  <c r="AE380" i="5"/>
  <c r="M380" i="5"/>
  <c r="AC379" i="5"/>
  <c r="AP379" i="5" s="1"/>
  <c r="K379" i="5"/>
  <c r="AA378" i="5"/>
  <c r="I378" i="5"/>
  <c r="Y377" i="5"/>
  <c r="AM377" i="5" s="1"/>
  <c r="M377" i="5"/>
  <c r="AC376" i="5"/>
  <c r="AP376" i="5" s="1"/>
  <c r="Q376" i="5"/>
  <c r="E376" i="5"/>
  <c r="AG375" i="5"/>
  <c r="AT375" i="5" s="1"/>
  <c r="U375" i="5"/>
  <c r="I375" i="5"/>
  <c r="Y374" i="5"/>
  <c r="AM374" i="5" s="1"/>
  <c r="M374" i="5"/>
  <c r="AC373" i="5"/>
  <c r="AP373" i="5" s="1"/>
  <c r="Q373" i="5"/>
  <c r="G373" i="5"/>
  <c r="AX372" i="5"/>
  <c r="AF372" i="5"/>
  <c r="Z372" i="5"/>
  <c r="T372" i="5"/>
  <c r="N372" i="5"/>
  <c r="H372" i="5"/>
  <c r="AJ371" i="5"/>
  <c r="AD371" i="5"/>
  <c r="AC412" i="5"/>
  <c r="AP412" i="5" s="1"/>
  <c r="E396" i="5"/>
  <c r="I394" i="5"/>
  <c r="R393" i="5"/>
  <c r="AA392" i="5"/>
  <c r="D390" i="5"/>
  <c r="T389" i="5"/>
  <c r="T388" i="5"/>
  <c r="AX387" i="5"/>
  <c r="AB387" i="5"/>
  <c r="AO387" i="5" s="1"/>
  <c r="G387" i="5"/>
  <c r="P386" i="5"/>
  <c r="X385" i="5"/>
  <c r="AL385" i="5" s="1"/>
  <c r="AG384" i="5"/>
  <c r="AT384" i="5" s="1"/>
  <c r="L384" i="5"/>
  <c r="T383" i="5"/>
  <c r="AH382" i="5"/>
  <c r="P382" i="5"/>
  <c r="AX381" i="5"/>
  <c r="AF381" i="5"/>
  <c r="N381" i="5"/>
  <c r="AD380" i="5"/>
  <c r="L380" i="5"/>
  <c r="AB379" i="5"/>
  <c r="J379" i="5"/>
  <c r="Z378" i="5"/>
  <c r="H378" i="5"/>
  <c r="AJ377" i="5"/>
  <c r="X377" i="5"/>
  <c r="L377" i="5"/>
  <c r="AB376" i="5"/>
  <c r="AO376" i="5" s="1"/>
  <c r="P376" i="5"/>
  <c r="D376" i="5"/>
  <c r="AF375" i="5"/>
  <c r="T375" i="5"/>
  <c r="H375" i="5"/>
  <c r="AJ374" i="5"/>
  <c r="AW374" i="5" s="1"/>
  <c r="X374" i="5"/>
  <c r="L374" i="5"/>
  <c r="AB373" i="5"/>
  <c r="P373" i="5"/>
  <c r="E373" i="5"/>
  <c r="AE372" i="5"/>
  <c r="Y372" i="5"/>
  <c r="AM372" i="5" s="1"/>
  <c r="S372" i="5"/>
  <c r="M372" i="5"/>
  <c r="G372" i="5"/>
  <c r="AI371" i="5"/>
  <c r="AC371" i="5"/>
  <c r="AP371" i="5" s="1"/>
  <c r="W371" i="5"/>
  <c r="AK371" i="5" s="1"/>
  <c r="Q371" i="5"/>
  <c r="K371" i="5"/>
  <c r="E371" i="5"/>
  <c r="AY370" i="5"/>
  <c r="AG370" i="5"/>
  <c r="AT370" i="5" s="1"/>
  <c r="AA370" i="5"/>
  <c r="U370" i="5"/>
  <c r="O370" i="5"/>
  <c r="I370" i="5"/>
  <c r="AE369" i="5"/>
  <c r="Y369" i="5"/>
  <c r="AM369" i="5" s="1"/>
  <c r="S369" i="5"/>
  <c r="M369" i="5"/>
  <c r="G369" i="5"/>
  <c r="AI368" i="5"/>
  <c r="AC368" i="5"/>
  <c r="AP368" i="5" s="1"/>
  <c r="W368" i="5"/>
  <c r="AK368" i="5" s="1"/>
  <c r="Q368" i="5"/>
  <c r="K368" i="5"/>
  <c r="E368" i="5"/>
  <c r="AY367" i="5"/>
  <c r="AG367" i="5"/>
  <c r="AA367" i="5"/>
  <c r="U367" i="5"/>
  <c r="O367" i="5"/>
  <c r="I367" i="5"/>
  <c r="AE366" i="5"/>
  <c r="Y366" i="5"/>
  <c r="AM366" i="5" s="1"/>
  <c r="S366" i="5"/>
  <c r="M366" i="5"/>
  <c r="G366" i="5"/>
  <c r="AI365" i="5"/>
  <c r="AC365" i="5"/>
  <c r="AP365" i="5" s="1"/>
  <c r="W365" i="5"/>
  <c r="AK365" i="5" s="1"/>
  <c r="Q365" i="5"/>
  <c r="K365" i="5"/>
  <c r="E365" i="5"/>
  <c r="AY364" i="5"/>
  <c r="AG364" i="5"/>
  <c r="AA364" i="5"/>
  <c r="U364" i="5"/>
  <c r="O364" i="5"/>
  <c r="I364" i="5"/>
  <c r="AE363" i="5"/>
  <c r="Y363" i="5"/>
  <c r="AM363" i="5" s="1"/>
  <c r="S363" i="5"/>
  <c r="M363" i="5"/>
  <c r="G363" i="5"/>
  <c r="AI362" i="5"/>
  <c r="AC362" i="5"/>
  <c r="AP362" i="5" s="1"/>
  <c r="W362" i="5"/>
  <c r="AK362" i="5" s="1"/>
  <c r="Q362" i="5"/>
  <c r="K362" i="5"/>
  <c r="E362" i="5"/>
  <c r="AY361" i="5"/>
  <c r="AG361" i="5"/>
  <c r="AA361" i="5"/>
  <c r="U361" i="5"/>
  <c r="O361" i="5"/>
  <c r="I361" i="5"/>
  <c r="AE360" i="5"/>
  <c r="Y360" i="5"/>
  <c r="S360" i="5"/>
  <c r="M360" i="5"/>
  <c r="G360" i="5"/>
  <c r="AI359" i="5"/>
  <c r="AC359" i="5"/>
  <c r="W359" i="5"/>
  <c r="Q359" i="5"/>
  <c r="K359" i="5"/>
  <c r="E359" i="5"/>
  <c r="AY358" i="5"/>
  <c r="AG358" i="5"/>
  <c r="AA358" i="5"/>
  <c r="U358" i="5"/>
  <c r="O358" i="5"/>
  <c r="I358" i="5"/>
  <c r="AE357" i="5"/>
  <c r="Y357" i="5"/>
  <c r="S357" i="5"/>
  <c r="M357" i="5"/>
  <c r="G357" i="5"/>
  <c r="AI356" i="5"/>
  <c r="AV356" i="5" s="1"/>
  <c r="AC356" i="5"/>
  <c r="W356" i="5"/>
  <c r="Q356" i="5"/>
  <c r="K356" i="5"/>
  <c r="E356" i="5"/>
  <c r="AY355" i="5"/>
  <c r="AG355" i="5"/>
  <c r="AA355" i="5"/>
  <c r="U355" i="5"/>
  <c r="O355" i="5"/>
  <c r="I355" i="5"/>
  <c r="AE354" i="5"/>
  <c r="Y354" i="5"/>
  <c r="S354" i="5"/>
  <c r="M354" i="5"/>
  <c r="G354" i="5"/>
  <c r="AI353" i="5"/>
  <c r="AC353" i="5"/>
  <c r="AP353" i="5" s="1"/>
  <c r="W353" i="5"/>
  <c r="Q353" i="5"/>
  <c r="K353" i="5"/>
  <c r="E353" i="5"/>
  <c r="V415" i="5"/>
  <c r="R411" i="5"/>
  <c r="I397" i="5"/>
  <c r="F393" i="5"/>
  <c r="O392" i="5"/>
  <c r="X391" i="5"/>
  <c r="AL391" i="5" s="1"/>
  <c r="AG390" i="5"/>
  <c r="AT390" i="5" s="1"/>
  <c r="J389" i="5"/>
  <c r="AI388" i="5"/>
  <c r="AV388" i="5" s="1"/>
  <c r="N388" i="5"/>
  <c r="V387" i="5"/>
  <c r="AE386" i="5"/>
  <c r="J386" i="5"/>
  <c r="R385" i="5"/>
  <c r="AA384" i="5"/>
  <c r="F384" i="5"/>
  <c r="AJ383" i="5"/>
  <c r="AW383" i="5" s="1"/>
  <c r="N383" i="5"/>
  <c r="AC382" i="5"/>
  <c r="AP382" i="5" s="1"/>
  <c r="K382" i="5"/>
  <c r="AA381" i="5"/>
  <c r="I381" i="5"/>
  <c r="Y380" i="5"/>
  <c r="AM380" i="5" s="1"/>
  <c r="G380" i="5"/>
  <c r="W379" i="5"/>
  <c r="AK379" i="5" s="1"/>
  <c r="E379" i="5"/>
  <c r="U378" i="5"/>
  <c r="T415" i="5"/>
  <c r="H389" i="5"/>
  <c r="AD386" i="5"/>
  <c r="D384" i="5"/>
  <c r="S377" i="5"/>
  <c r="AI376" i="5"/>
  <c r="AV376" i="5" s="1"/>
  <c r="AY375" i="5"/>
  <c r="O375" i="5"/>
  <c r="AE374" i="5"/>
  <c r="K373" i="5"/>
  <c r="Q372" i="5"/>
  <c r="AY371" i="5"/>
  <c r="AG371" i="5"/>
  <c r="AT371" i="5" s="1"/>
  <c r="R371" i="5"/>
  <c r="F371" i="5"/>
  <c r="V370" i="5"/>
  <c r="J370" i="5"/>
  <c r="AX369" i="5"/>
  <c r="Z369" i="5"/>
  <c r="N369" i="5"/>
  <c r="AD368" i="5"/>
  <c r="R368" i="5"/>
  <c r="F368" i="5"/>
  <c r="V367" i="5"/>
  <c r="J367" i="5"/>
  <c r="AX366" i="5"/>
  <c r="Z366" i="5"/>
  <c r="AN366" i="5" s="1"/>
  <c r="N366" i="5"/>
  <c r="AD365" i="5"/>
  <c r="R365" i="5"/>
  <c r="F365" i="5"/>
  <c r="AH364" i="5"/>
  <c r="V364" i="5"/>
  <c r="J364" i="5"/>
  <c r="AX363" i="5"/>
  <c r="Z363" i="5"/>
  <c r="N363" i="5"/>
  <c r="AB362" i="5"/>
  <c r="S362" i="5"/>
  <c r="J362" i="5"/>
  <c r="AI361" i="5"/>
  <c r="Z361" i="5"/>
  <c r="Q361" i="5"/>
  <c r="H361" i="5"/>
  <c r="AY360" i="5"/>
  <c r="AG360" i="5"/>
  <c r="Z360" i="5"/>
  <c r="R360" i="5"/>
  <c r="K360" i="5"/>
  <c r="D360" i="5"/>
  <c r="AH359" i="5"/>
  <c r="AU359" i="5" s="1"/>
  <c r="AA359" i="5"/>
  <c r="T359" i="5"/>
  <c r="M359" i="5"/>
  <c r="F359" i="5"/>
  <c r="AX358" i="5"/>
  <c r="AJ358" i="5"/>
  <c r="AW358" i="5" s="1"/>
  <c r="AC358" i="5"/>
  <c r="V358" i="5"/>
  <c r="N358" i="5"/>
  <c r="G358" i="5"/>
  <c r="AD357" i="5"/>
  <c r="W357" i="5"/>
  <c r="AK357" i="5" s="1"/>
  <c r="P357" i="5"/>
  <c r="I357" i="5"/>
  <c r="AF356" i="5"/>
  <c r="Y356" i="5"/>
  <c r="R356" i="5"/>
  <c r="AI395" i="5"/>
  <c r="AV395" i="5" s="1"/>
  <c r="AD390" i="5"/>
  <c r="U387" i="5"/>
  <c r="AB382" i="5"/>
  <c r="AO382" i="5" s="1"/>
  <c r="X380" i="5"/>
  <c r="AL380" i="5" s="1"/>
  <c r="T378" i="5"/>
  <c r="AE377" i="5"/>
  <c r="K376" i="5"/>
  <c r="AA375" i="5"/>
  <c r="G374" i="5"/>
  <c r="W373" i="5"/>
  <c r="AK373" i="5" s="1"/>
  <c r="W372" i="5"/>
  <c r="AK372" i="5" s="1"/>
  <c r="E372" i="5"/>
  <c r="V371" i="5"/>
  <c r="J371" i="5"/>
  <c r="AX370" i="5"/>
  <c r="Z370" i="5"/>
  <c r="AN370" i="5" s="1"/>
  <c r="N370" i="5"/>
  <c r="AD369" i="5"/>
  <c r="R369" i="5"/>
  <c r="F369" i="5"/>
  <c r="AH368" i="5"/>
  <c r="AU368" i="5" s="1"/>
  <c r="V368" i="5"/>
  <c r="J368" i="5"/>
  <c r="AX367" i="5"/>
  <c r="Z367" i="5"/>
  <c r="AN367" i="5" s="1"/>
  <c r="N367" i="5"/>
  <c r="AD366" i="5"/>
  <c r="R366" i="5"/>
  <c r="F366" i="5"/>
  <c r="AH365" i="5"/>
  <c r="AU365" i="5" s="1"/>
  <c r="V365" i="5"/>
  <c r="J365" i="5"/>
  <c r="AX364" i="5"/>
  <c r="Z364" i="5"/>
  <c r="AN364" i="5" s="1"/>
  <c r="N364" i="5"/>
  <c r="AD363" i="5"/>
  <c r="R363" i="5"/>
  <c r="F363" i="5"/>
  <c r="AE362" i="5"/>
  <c r="V362" i="5"/>
  <c r="M362" i="5"/>
  <c r="D362" i="5"/>
  <c r="AC361" i="5"/>
  <c r="T361" i="5"/>
  <c r="K361" i="5"/>
  <c r="AJ360" i="5"/>
  <c r="AB360" i="5"/>
  <c r="AO360" i="5" s="1"/>
  <c r="U360" i="5"/>
  <c r="N360" i="5"/>
  <c r="F360" i="5"/>
  <c r="AY359" i="5"/>
  <c r="AD359" i="5"/>
  <c r="V359" i="5"/>
  <c r="O359" i="5"/>
  <c r="H359" i="5"/>
  <c r="AE358" i="5"/>
  <c r="X358" i="5"/>
  <c r="P411" i="5"/>
  <c r="U391" i="5"/>
  <c r="H386" i="5"/>
  <c r="V379" i="5"/>
  <c r="AG377" i="5"/>
  <c r="AT377" i="5" s="1"/>
  <c r="Y376" i="5"/>
  <c r="AM376" i="5" s="1"/>
  <c r="AC375" i="5"/>
  <c r="AP375" i="5" s="1"/>
  <c r="U374" i="5"/>
  <c r="Y373" i="5"/>
  <c r="AM373" i="5" s="1"/>
  <c r="AD372" i="5"/>
  <c r="F372" i="5"/>
  <c r="AB371" i="5"/>
  <c r="AO371" i="5" s="1"/>
  <c r="L371" i="5"/>
  <c r="AB370" i="5"/>
  <c r="H370" i="5"/>
  <c r="X369" i="5"/>
  <c r="AL369" i="5" s="1"/>
  <c r="H369" i="5"/>
  <c r="X368" i="5"/>
  <c r="D368" i="5"/>
  <c r="T367" i="5"/>
  <c r="D367" i="5"/>
  <c r="AJ366" i="5"/>
  <c r="AW366" i="5" s="1"/>
  <c r="T366" i="5"/>
  <c r="AJ365" i="5"/>
  <c r="P365" i="5"/>
  <c r="AF364" i="5"/>
  <c r="P364" i="5"/>
  <c r="AF363" i="5"/>
  <c r="L363" i="5"/>
  <c r="AY362" i="5"/>
  <c r="AJ362" i="5"/>
  <c r="X362" i="5"/>
  <c r="I362" i="5"/>
  <c r="AH361" i="5"/>
  <c r="V361" i="5"/>
  <c r="G361" i="5"/>
  <c r="AF360" i="5"/>
  <c r="V360" i="5"/>
  <c r="J360" i="5"/>
  <c r="AE359" i="5"/>
  <c r="S359" i="5"/>
  <c r="I359" i="5"/>
  <c r="AB358" i="5"/>
  <c r="R358" i="5"/>
  <c r="J358" i="5"/>
  <c r="AI357" i="5"/>
  <c r="AA357" i="5"/>
  <c r="R357" i="5"/>
  <c r="J357" i="5"/>
  <c r="AJ356" i="5"/>
  <c r="AA356" i="5"/>
  <c r="S356" i="5"/>
  <c r="J356" i="5"/>
  <c r="AH355" i="5"/>
  <c r="AU355" i="5" s="1"/>
  <c r="Z355" i="5"/>
  <c r="S355" i="5"/>
  <c r="L355" i="5"/>
  <c r="E355" i="5"/>
  <c r="AX354" i="5"/>
  <c r="AI354" i="5"/>
  <c r="AB354" i="5"/>
  <c r="AO354" i="5" s="1"/>
  <c r="U354" i="5"/>
  <c r="N354" i="5"/>
  <c r="F354" i="5"/>
  <c r="AY353" i="5"/>
  <c r="AD353" i="5"/>
  <c r="V353" i="5"/>
  <c r="O353" i="5"/>
  <c r="H353" i="5"/>
  <c r="AI352" i="5"/>
  <c r="AC352" i="5"/>
  <c r="W352" i="5"/>
  <c r="Q352" i="5"/>
  <c r="K352" i="5"/>
  <c r="E352" i="5"/>
  <c r="AY351" i="5"/>
  <c r="AG351" i="5"/>
  <c r="AA351" i="5"/>
  <c r="U351" i="5"/>
  <c r="O351" i="5"/>
  <c r="I351" i="5"/>
  <c r="AE350" i="5"/>
  <c r="Y350" i="5"/>
  <c r="S350" i="5"/>
  <c r="M350" i="5"/>
  <c r="G350" i="5"/>
  <c r="AI349" i="5"/>
  <c r="AV349" i="5" s="1"/>
  <c r="AC349" i="5"/>
  <c r="W349" i="5"/>
  <c r="Q349" i="5"/>
  <c r="K349" i="5"/>
  <c r="E349" i="5"/>
  <c r="AY348" i="5"/>
  <c r="AG348" i="5"/>
  <c r="AA348" i="5"/>
  <c r="U348" i="5"/>
  <c r="O348" i="5"/>
  <c r="I348" i="5"/>
  <c r="AE347" i="5"/>
  <c r="Y347" i="5"/>
  <c r="S347" i="5"/>
  <c r="M347" i="5"/>
  <c r="G347" i="5"/>
  <c r="AI346" i="5"/>
  <c r="AC346" i="5"/>
  <c r="AP346" i="5" s="1"/>
  <c r="W346" i="5"/>
  <c r="Q346" i="5"/>
  <c r="K346" i="5"/>
  <c r="E346" i="5"/>
  <c r="AY345" i="5"/>
  <c r="AG345" i="5"/>
  <c r="AT345" i="5" s="1"/>
  <c r="AA345" i="5"/>
  <c r="U345" i="5"/>
  <c r="O345" i="5"/>
  <c r="I345" i="5"/>
  <c r="AE344" i="5"/>
  <c r="Y344" i="5"/>
  <c r="AM344" i="5" s="1"/>
  <c r="S344" i="5"/>
  <c r="M344" i="5"/>
  <c r="J382" i="5"/>
  <c r="D379" i="5"/>
  <c r="U377" i="5"/>
  <c r="W376" i="5"/>
  <c r="AK376" i="5" s="1"/>
  <c r="Q375" i="5"/>
  <c r="S374" i="5"/>
  <c r="M373" i="5"/>
  <c r="AC372" i="5"/>
  <c r="AP372" i="5" s="1"/>
  <c r="AA371" i="5"/>
  <c r="I371" i="5"/>
  <c r="Y370" i="5"/>
  <c r="AM370" i="5" s="1"/>
  <c r="G370" i="5"/>
  <c r="W369" i="5"/>
  <c r="E369" i="5"/>
  <c r="U368" i="5"/>
  <c r="S367" i="5"/>
  <c r="AI366" i="5"/>
  <c r="Q366" i="5"/>
  <c r="AY365" i="5"/>
  <c r="AG365" i="5"/>
  <c r="AT365" i="5" s="1"/>
  <c r="O365" i="5"/>
  <c r="AE364" i="5"/>
  <c r="M364" i="5"/>
  <c r="H397" i="5"/>
  <c r="AH388" i="5"/>
  <c r="AU388" i="5" s="1"/>
  <c r="Q385" i="5"/>
  <c r="Z381" i="5"/>
  <c r="AN381" i="5" s="1"/>
  <c r="I377" i="5"/>
  <c r="M376" i="5"/>
  <c r="E375" i="5"/>
  <c r="I374" i="5"/>
  <c r="D373" i="5"/>
  <c r="X372" i="5"/>
  <c r="AL372" i="5" s="1"/>
  <c r="X371" i="5"/>
  <c r="AL371" i="5" s="1"/>
  <c r="D371" i="5"/>
  <c r="T370" i="5"/>
  <c r="D370" i="5"/>
  <c r="AJ369" i="5"/>
  <c r="AW369" i="5" s="1"/>
  <c r="T369" i="5"/>
  <c r="AJ368" i="5"/>
  <c r="AW368" i="5" s="1"/>
  <c r="P368" i="5"/>
  <c r="AF367" i="5"/>
  <c r="L388" i="5"/>
  <c r="Z384" i="5"/>
  <c r="AN384" i="5" s="1"/>
  <c r="H381" i="5"/>
  <c r="E378" i="5"/>
  <c r="G377" i="5"/>
  <c r="R372" i="5"/>
  <c r="U371" i="5"/>
  <c r="S370" i="5"/>
  <c r="AI369" i="5"/>
  <c r="AV369" i="5" s="1"/>
  <c r="Q369" i="5"/>
  <c r="AY368" i="5"/>
  <c r="AG368" i="5"/>
  <c r="O368" i="5"/>
  <c r="AE367" i="5"/>
  <c r="M367" i="5"/>
  <c r="AC366" i="5"/>
  <c r="AP366" i="5" s="1"/>
  <c r="D393" i="5"/>
  <c r="AI383" i="5"/>
  <c r="AV383" i="5" s="1"/>
  <c r="L372" i="5"/>
  <c r="P371" i="5"/>
  <c r="AF370" i="5"/>
  <c r="P370" i="5"/>
  <c r="AF369" i="5"/>
  <c r="L369" i="5"/>
  <c r="AB368" i="5"/>
  <c r="AO368" i="5" s="1"/>
  <c r="L368" i="5"/>
  <c r="AB367" i="5"/>
  <c r="AO367" i="5" s="1"/>
  <c r="H367" i="5"/>
  <c r="X366" i="5"/>
  <c r="AL366" i="5" s="1"/>
  <c r="H366" i="5"/>
  <c r="X365" i="5"/>
  <c r="D365" i="5"/>
  <c r="T364" i="5"/>
  <c r="D364" i="5"/>
  <c r="AJ363" i="5"/>
  <c r="T363" i="5"/>
  <c r="AA362" i="5"/>
  <c r="O362" i="5"/>
  <c r="Y361" i="5"/>
  <c r="M361" i="5"/>
  <c r="AX360" i="5"/>
  <c r="X360" i="5"/>
  <c r="O360" i="5"/>
  <c r="AG359" i="5"/>
  <c r="X359" i="5"/>
  <c r="AL359" i="5" s="1"/>
  <c r="L359" i="5"/>
  <c r="AF358" i="5"/>
  <c r="T358" i="5"/>
  <c r="L358" i="5"/>
  <c r="D358" i="5"/>
  <c r="AC357" i="5"/>
  <c r="U357" i="5"/>
  <c r="L357" i="5"/>
  <c r="D357" i="5"/>
  <c r="AD356" i="5"/>
  <c r="U356" i="5"/>
  <c r="M356" i="5"/>
  <c r="F356" i="5"/>
  <c r="AX355" i="5"/>
  <c r="AJ355" i="5"/>
  <c r="AW355" i="5" s="1"/>
  <c r="AC355" i="5"/>
  <c r="AP355" i="5" s="1"/>
  <c r="V355" i="5"/>
  <c r="N355" i="5"/>
  <c r="G355" i="5"/>
  <c r="AD354" i="5"/>
  <c r="W354" i="5"/>
  <c r="P354" i="5"/>
  <c r="I354" i="5"/>
  <c r="AF353" i="5"/>
  <c r="Y353" i="5"/>
  <c r="AM353" i="5" s="1"/>
  <c r="R353" i="5"/>
  <c r="J353" i="5"/>
  <c r="AE352" i="5"/>
  <c r="Y352" i="5"/>
  <c r="S352" i="5"/>
  <c r="M352" i="5"/>
  <c r="G352" i="5"/>
  <c r="AI351" i="5"/>
  <c r="AC351" i="5"/>
  <c r="W351" i="5"/>
  <c r="Q351" i="5"/>
  <c r="K351" i="5"/>
  <c r="E351" i="5"/>
  <c r="AY350" i="5"/>
  <c r="AG350" i="5"/>
  <c r="AA350" i="5"/>
  <c r="U350" i="5"/>
  <c r="O350" i="5"/>
  <c r="I350" i="5"/>
  <c r="AE349" i="5"/>
  <c r="Y349" i="5"/>
  <c r="S349" i="5"/>
  <c r="M349" i="5"/>
  <c r="G349" i="5"/>
  <c r="AI348" i="5"/>
  <c r="AC348" i="5"/>
  <c r="W348" i="5"/>
  <c r="Q348" i="5"/>
  <c r="K348" i="5"/>
  <c r="E348" i="5"/>
  <c r="AY347" i="5"/>
  <c r="AG347" i="5"/>
  <c r="AA347" i="5"/>
  <c r="U347" i="5"/>
  <c r="O347" i="5"/>
  <c r="I347" i="5"/>
  <c r="AE346" i="5"/>
  <c r="Y346" i="5"/>
  <c r="S346" i="5"/>
  <c r="M346" i="5"/>
  <c r="G346" i="5"/>
  <c r="AI345" i="5"/>
  <c r="AV345" i="5" s="1"/>
  <c r="AC345" i="5"/>
  <c r="W345" i="5"/>
  <c r="Q345" i="5"/>
  <c r="K345" i="5"/>
  <c r="E345" i="5"/>
  <c r="AY344" i="5"/>
  <c r="AG344" i="5"/>
  <c r="AA344" i="5"/>
  <c r="U344" i="5"/>
  <c r="O344" i="5"/>
  <c r="I344" i="5"/>
  <c r="AC369" i="5"/>
  <c r="AP369" i="5" s="1"/>
  <c r="Y367" i="5"/>
  <c r="AM367" i="5" s="1"/>
  <c r="W366" i="5"/>
  <c r="S364" i="5"/>
  <c r="AI363" i="5"/>
  <c r="H363" i="5"/>
  <c r="R362" i="5"/>
  <c r="AX361" i="5"/>
  <c r="AE361" i="5"/>
  <c r="J361" i="5"/>
  <c r="W360" i="5"/>
  <c r="H360" i="5"/>
  <c r="Z359" i="5"/>
  <c r="AN359" i="5" s="1"/>
  <c r="J359" i="5"/>
  <c r="AD358" i="5"/>
  <c r="P358" i="5"/>
  <c r="AB357" i="5"/>
  <c r="AO357" i="5" s="1"/>
  <c r="O357" i="5"/>
  <c r="AB356" i="5"/>
  <c r="AO356" i="5" s="1"/>
  <c r="O356" i="5"/>
  <c r="D356" i="5"/>
  <c r="AI355" i="5"/>
  <c r="X355" i="5"/>
  <c r="AL355" i="5" s="1"/>
  <c r="M355" i="5"/>
  <c r="AG354" i="5"/>
  <c r="V354" i="5"/>
  <c r="K354" i="5"/>
  <c r="AE353" i="5"/>
  <c r="T353" i="5"/>
  <c r="I353" i="5"/>
  <c r="AY352" i="5"/>
  <c r="AG352" i="5"/>
  <c r="X352" i="5"/>
  <c r="O352" i="5"/>
  <c r="F352" i="5"/>
  <c r="AE351" i="5"/>
  <c r="V351" i="5"/>
  <c r="M351" i="5"/>
  <c r="D351" i="5"/>
  <c r="AC350" i="5"/>
  <c r="T350" i="5"/>
  <c r="K350" i="5"/>
  <c r="AJ349" i="5"/>
  <c r="AA349" i="5"/>
  <c r="R349" i="5"/>
  <c r="I349" i="5"/>
  <c r="AH348" i="5"/>
  <c r="Y348" i="5"/>
  <c r="AM348" i="5" s="1"/>
  <c r="P348" i="5"/>
  <c r="G348" i="5"/>
  <c r="AX347" i="5"/>
  <c r="AF347" i="5"/>
  <c r="W347" i="5"/>
  <c r="N347" i="5"/>
  <c r="E347" i="5"/>
  <c r="AD346" i="5"/>
  <c r="U346" i="5"/>
  <c r="L346" i="5"/>
  <c r="AB345" i="5"/>
  <c r="S345" i="5"/>
  <c r="J345" i="5"/>
  <c r="AI344" i="5"/>
  <c r="Z344" i="5"/>
  <c r="Q344" i="5"/>
  <c r="H344" i="5"/>
  <c r="AJ343" i="5"/>
  <c r="AW343" i="5" s="1"/>
  <c r="AD343" i="5"/>
  <c r="X343" i="5"/>
  <c r="R343" i="5"/>
  <c r="L343" i="5"/>
  <c r="F343" i="5"/>
  <c r="AB342" i="5"/>
  <c r="V342" i="5"/>
  <c r="P342" i="5"/>
  <c r="J342" i="5"/>
  <c r="D342" i="5"/>
  <c r="AX341" i="5"/>
  <c r="AF341" i="5"/>
  <c r="Z341" i="5"/>
  <c r="T341" i="5"/>
  <c r="N341" i="5"/>
  <c r="H341" i="5"/>
  <c r="AJ340" i="5"/>
  <c r="AD340" i="5"/>
  <c r="X340" i="5"/>
  <c r="R340" i="5"/>
  <c r="L340" i="5"/>
  <c r="F340" i="5"/>
  <c r="AH339" i="5"/>
  <c r="AU339" i="5" s="1"/>
  <c r="AB339" i="5"/>
  <c r="V339" i="5"/>
  <c r="P339" i="5"/>
  <c r="J339" i="5"/>
  <c r="D339" i="5"/>
  <c r="AX338" i="5"/>
  <c r="AF338" i="5"/>
  <c r="Z338" i="5"/>
  <c r="T338" i="5"/>
  <c r="N338" i="5"/>
  <c r="H338" i="5"/>
  <c r="AJ337" i="5"/>
  <c r="AW337" i="5" s="1"/>
  <c r="AD337" i="5"/>
  <c r="X337" i="5"/>
  <c r="R337" i="5"/>
  <c r="L337" i="5"/>
  <c r="F337" i="5"/>
  <c r="AH336" i="5"/>
  <c r="AU336" i="5" s="1"/>
  <c r="AB336" i="5"/>
  <c r="V336" i="5"/>
  <c r="P336" i="5"/>
  <c r="J336" i="5"/>
  <c r="D336" i="5"/>
  <c r="AX335" i="5"/>
  <c r="AF335" i="5"/>
  <c r="Z335" i="5"/>
  <c r="T335" i="5"/>
  <c r="N335" i="5"/>
  <c r="H335" i="5"/>
  <c r="AJ334" i="5"/>
  <c r="AD334" i="5"/>
  <c r="X334" i="5"/>
  <c r="R334" i="5"/>
  <c r="L334" i="5"/>
  <c r="F334" i="5"/>
  <c r="AH333" i="5"/>
  <c r="AU333" i="5" s="1"/>
  <c r="AB333" i="5"/>
  <c r="V333" i="5"/>
  <c r="P333" i="5"/>
  <c r="J333" i="5"/>
  <c r="D333" i="5"/>
  <c r="AX332" i="5"/>
  <c r="AF332" i="5"/>
  <c r="Z332" i="5"/>
  <c r="T332" i="5"/>
  <c r="M392" i="5"/>
  <c r="O371" i="5"/>
  <c r="K369" i="5"/>
  <c r="P367" i="5"/>
  <c r="L366" i="5"/>
  <c r="AB365" i="5"/>
  <c r="AO365" i="5" s="1"/>
  <c r="H364" i="5"/>
  <c r="AC363" i="5"/>
  <c r="AP363" i="5" s="1"/>
  <c r="E363" i="5"/>
  <c r="AH362" i="5"/>
  <c r="P362" i="5"/>
  <c r="AB361" i="5"/>
  <c r="E361" i="5"/>
  <c r="T360" i="5"/>
  <c r="E360" i="5"/>
  <c r="Y359" i="5"/>
  <c r="G359" i="5"/>
  <c r="Z358" i="5"/>
  <c r="M358" i="5"/>
  <c r="AY357" i="5"/>
  <c r="Z357" i="5"/>
  <c r="AN357" i="5" s="1"/>
  <c r="N357" i="5"/>
  <c r="AY356" i="5"/>
  <c r="Z356" i="5"/>
  <c r="AN356" i="5" s="1"/>
  <c r="N356" i="5"/>
  <c r="AF355" i="5"/>
  <c r="W355" i="5"/>
  <c r="AK355" i="5" s="1"/>
  <c r="K355" i="5"/>
  <c r="AF354" i="5"/>
  <c r="T354" i="5"/>
  <c r="J354" i="5"/>
  <c r="AX353" i="5"/>
  <c r="AB353" i="5"/>
  <c r="AO353" i="5" s="1"/>
  <c r="S353" i="5"/>
  <c r="G353" i="5"/>
  <c r="AX352" i="5"/>
  <c r="AF352" i="5"/>
  <c r="V352" i="5"/>
  <c r="N352" i="5"/>
  <c r="D352" i="5"/>
  <c r="AD351" i="5"/>
  <c r="T351" i="5"/>
  <c r="L351" i="5"/>
  <c r="AJ350" i="5"/>
  <c r="AW350" i="5" s="1"/>
  <c r="AB350" i="5"/>
  <c r="AO350" i="5" s="1"/>
  <c r="R350" i="5"/>
  <c r="J350" i="5"/>
  <c r="Z349" i="5"/>
  <c r="AN349" i="5" s="1"/>
  <c r="P349" i="5"/>
  <c r="H349" i="5"/>
  <c r="AX348" i="5"/>
  <c r="AF348" i="5"/>
  <c r="X348" i="5"/>
  <c r="AL348" i="5" s="1"/>
  <c r="N348" i="5"/>
  <c r="F348" i="5"/>
  <c r="AD347" i="5"/>
  <c r="V347" i="5"/>
  <c r="L347" i="5"/>
  <c r="D347" i="5"/>
  <c r="AB346" i="5"/>
  <c r="AO346" i="5" s="1"/>
  <c r="T346" i="5"/>
  <c r="J346" i="5"/>
  <c r="AJ345" i="5"/>
  <c r="AW345" i="5" s="1"/>
  <c r="Z345" i="5"/>
  <c r="AN345" i="5" s="1"/>
  <c r="R345" i="5"/>
  <c r="H345" i="5"/>
  <c r="AH344" i="5"/>
  <c r="AU344" i="5" s="1"/>
  <c r="X344" i="5"/>
  <c r="AL344" i="5" s="1"/>
  <c r="P344" i="5"/>
  <c r="G344" i="5"/>
  <c r="AI343" i="5"/>
  <c r="AC343" i="5"/>
  <c r="AP343" i="5" s="1"/>
  <c r="W343" i="5"/>
  <c r="Q343" i="5"/>
  <c r="K343" i="5"/>
  <c r="E343" i="5"/>
  <c r="AY342" i="5"/>
  <c r="AG342" i="5"/>
  <c r="AA342" i="5"/>
  <c r="U342" i="5"/>
  <c r="O342" i="5"/>
  <c r="I342" i="5"/>
  <c r="AE341" i="5"/>
  <c r="Y341" i="5"/>
  <c r="AM341" i="5" s="1"/>
  <c r="S341" i="5"/>
  <c r="M341" i="5"/>
  <c r="G341" i="5"/>
  <c r="AI340" i="5"/>
  <c r="AC340" i="5"/>
  <c r="W340" i="5"/>
  <c r="Q340" i="5"/>
  <c r="K340" i="5"/>
  <c r="E340" i="5"/>
  <c r="AY339" i="5"/>
  <c r="AG339" i="5"/>
  <c r="AA339" i="5"/>
  <c r="U339" i="5"/>
  <c r="O339" i="5"/>
  <c r="I339" i="5"/>
  <c r="AE338" i="5"/>
  <c r="Y338" i="5"/>
  <c r="S338" i="5"/>
  <c r="M338" i="5"/>
  <c r="G338" i="5"/>
  <c r="AI337" i="5"/>
  <c r="AC337" i="5"/>
  <c r="AP337" i="5" s="1"/>
  <c r="W337" i="5"/>
  <c r="Q337" i="5"/>
  <c r="K337" i="5"/>
  <c r="E337" i="5"/>
  <c r="AY336" i="5"/>
  <c r="AG374" i="5"/>
  <c r="AT374" i="5" s="1"/>
  <c r="G367" i="5"/>
  <c r="K366" i="5"/>
  <c r="AA365" i="5"/>
  <c r="G364" i="5"/>
  <c r="X363" i="5"/>
  <c r="AL363" i="5" s="1"/>
  <c r="AG362" i="5"/>
  <c r="AT362" i="5" s="1"/>
  <c r="L362" i="5"/>
  <c r="W361" i="5"/>
  <c r="AK361" i="5" s="1"/>
  <c r="D361" i="5"/>
  <c r="AI360" i="5"/>
  <c r="AV360" i="5" s="1"/>
  <c r="Q360" i="5"/>
  <c r="U359" i="5"/>
  <c r="D359" i="5"/>
  <c r="Y358" i="5"/>
  <c r="K358" i="5"/>
  <c r="AX357" i="5"/>
  <c r="X357" i="5"/>
  <c r="AL357" i="5" s="1"/>
  <c r="K357" i="5"/>
  <c r="AX356" i="5"/>
  <c r="X356" i="5"/>
  <c r="L356" i="5"/>
  <c r="AE355" i="5"/>
  <c r="T355" i="5"/>
  <c r="J355" i="5"/>
  <c r="AY354" i="5"/>
  <c r="AC354" i="5"/>
  <c r="R354" i="5"/>
  <c r="H354" i="5"/>
  <c r="AA353" i="5"/>
  <c r="P353" i="5"/>
  <c r="F353" i="5"/>
  <c r="AD352" i="5"/>
  <c r="U352" i="5"/>
  <c r="L352" i="5"/>
  <c r="AB351" i="5"/>
  <c r="AO351" i="5" s="1"/>
  <c r="S351" i="5"/>
  <c r="J351" i="5"/>
  <c r="AI350" i="5"/>
  <c r="AV350" i="5" s="1"/>
  <c r="Z350" i="5"/>
  <c r="AN350" i="5" s="1"/>
  <c r="Q350" i="5"/>
  <c r="H350" i="5"/>
  <c r="AY349" i="5"/>
  <c r="AG349" i="5"/>
  <c r="AT349" i="5" s="1"/>
  <c r="X349" i="5"/>
  <c r="O349" i="5"/>
  <c r="F349" i="5"/>
  <c r="AE348" i="5"/>
  <c r="V348" i="5"/>
  <c r="M348" i="5"/>
  <c r="D348" i="5"/>
  <c r="AC347" i="5"/>
  <c r="AP347" i="5" s="1"/>
  <c r="T347" i="5"/>
  <c r="K347" i="5"/>
  <c r="AJ346" i="5"/>
  <c r="AW346" i="5" s="1"/>
  <c r="AA346" i="5"/>
  <c r="R346" i="5"/>
  <c r="I346" i="5"/>
  <c r="Y345" i="5"/>
  <c r="AM345" i="5" s="1"/>
  <c r="P345" i="5"/>
  <c r="G345" i="5"/>
  <c r="AX344" i="5"/>
  <c r="AF344" i="5"/>
  <c r="W344" i="5"/>
  <c r="AK344" i="5" s="1"/>
  <c r="N344" i="5"/>
  <c r="F344" i="5"/>
  <c r="AH343" i="5"/>
  <c r="AB343" i="5"/>
  <c r="V343" i="5"/>
  <c r="P343" i="5"/>
  <c r="J343" i="5"/>
  <c r="D343" i="5"/>
  <c r="AX342" i="5"/>
  <c r="AF342" i="5"/>
  <c r="Z342" i="5"/>
  <c r="AN342" i="5" s="1"/>
  <c r="T342" i="5"/>
  <c r="N342" i="5"/>
  <c r="H342" i="5"/>
  <c r="AJ341" i="5"/>
  <c r="AD341" i="5"/>
  <c r="X341" i="5"/>
  <c r="AL341" i="5" s="1"/>
  <c r="R341" i="5"/>
  <c r="L341" i="5"/>
  <c r="F341" i="5"/>
  <c r="AB340" i="5"/>
  <c r="V340" i="5"/>
  <c r="P340" i="5"/>
  <c r="J340" i="5"/>
  <c r="D340" i="5"/>
  <c r="AX339" i="5"/>
  <c r="AF339" i="5"/>
  <c r="Z339" i="5"/>
  <c r="AN339" i="5" s="1"/>
  <c r="T339" i="5"/>
  <c r="N339" i="5"/>
  <c r="H339" i="5"/>
  <c r="AJ338" i="5"/>
  <c r="AD338" i="5"/>
  <c r="X338" i="5"/>
  <c r="AL338" i="5" s="1"/>
  <c r="R338" i="5"/>
  <c r="L338" i="5"/>
  <c r="F338" i="5"/>
  <c r="AH337" i="5"/>
  <c r="AB337" i="5"/>
  <c r="V337" i="5"/>
  <c r="P337" i="5"/>
  <c r="J337" i="5"/>
  <c r="D337" i="5"/>
  <c r="AX336" i="5"/>
  <c r="AF336" i="5"/>
  <c r="Z336" i="5"/>
  <c r="T336" i="5"/>
  <c r="N336" i="5"/>
  <c r="H336" i="5"/>
  <c r="M383" i="5"/>
  <c r="AI373" i="5"/>
  <c r="AV373" i="5" s="1"/>
  <c r="AE370" i="5"/>
  <c r="AA368" i="5"/>
  <c r="E366" i="5"/>
  <c r="U365" i="5"/>
  <c r="W363" i="5"/>
  <c r="AD362" i="5"/>
  <c r="G362" i="5"/>
  <c r="S361" i="5"/>
  <c r="AD360" i="5"/>
  <c r="P360" i="5"/>
  <c r="AX359" i="5"/>
  <c r="AJ359" i="5"/>
  <c r="R359" i="5"/>
  <c r="W358" i="5"/>
  <c r="H358" i="5"/>
  <c r="V357" i="5"/>
  <c r="H357" i="5"/>
  <c r="AH356" i="5"/>
  <c r="AU356" i="5" s="1"/>
  <c r="V356" i="5"/>
  <c r="I356" i="5"/>
  <c r="AD355" i="5"/>
  <c r="R355" i="5"/>
  <c r="H355" i="5"/>
  <c r="AA354" i="5"/>
  <c r="Q354" i="5"/>
  <c r="E354" i="5"/>
  <c r="AJ353" i="5"/>
  <c r="Z353" i="5"/>
  <c r="AN353" i="5" s="1"/>
  <c r="N353" i="5"/>
  <c r="D353" i="5"/>
  <c r="AB352" i="5"/>
  <c r="T352" i="5"/>
  <c r="J352" i="5"/>
  <c r="AJ351" i="5"/>
  <c r="AW351" i="5" s="1"/>
  <c r="Z351" i="5"/>
  <c r="R351" i="5"/>
  <c r="H351" i="5"/>
  <c r="AH350" i="5"/>
  <c r="AU350" i="5" s="1"/>
  <c r="X350" i="5"/>
  <c r="AL350" i="5" s="1"/>
  <c r="P350" i="5"/>
  <c r="F350" i="5"/>
  <c r="AX349" i="5"/>
  <c r="AF349" i="5"/>
  <c r="V349" i="5"/>
  <c r="N349" i="5"/>
  <c r="D349" i="5"/>
  <c r="AD348" i="5"/>
  <c r="T348" i="5"/>
  <c r="L348" i="5"/>
  <c r="AJ347" i="5"/>
  <c r="AW347" i="5" s="1"/>
  <c r="AB347" i="5"/>
  <c r="AO347" i="5" s="1"/>
  <c r="R347" i="5"/>
  <c r="J347" i="5"/>
  <c r="AH346" i="5"/>
  <c r="AU346" i="5" s="1"/>
  <c r="Z346" i="5"/>
  <c r="AN346" i="5" s="1"/>
  <c r="P346" i="5"/>
  <c r="H346" i="5"/>
  <c r="AX345" i="5"/>
  <c r="AF345" i="5"/>
  <c r="X345" i="5"/>
  <c r="AL345" i="5" s="1"/>
  <c r="N345" i="5"/>
  <c r="F345" i="5"/>
  <c r="AD344" i="5"/>
  <c r="V344" i="5"/>
  <c r="L344" i="5"/>
  <c r="E344" i="5"/>
  <c r="AY343" i="5"/>
  <c r="AG343" i="5"/>
  <c r="AT343" i="5" s="1"/>
  <c r="AA343" i="5"/>
  <c r="U343" i="5"/>
  <c r="O343" i="5"/>
  <c r="I343" i="5"/>
  <c r="AE342" i="5"/>
  <c r="Y342" i="5"/>
  <c r="AM342" i="5" s="1"/>
  <c r="S342" i="5"/>
  <c r="M342" i="5"/>
  <c r="G342" i="5"/>
  <c r="AI341" i="5"/>
  <c r="AV341" i="5" s="1"/>
  <c r="F380" i="5"/>
  <c r="M370" i="5"/>
  <c r="I368" i="5"/>
  <c r="L365" i="5"/>
  <c r="AB364" i="5"/>
  <c r="AO364" i="5" s="1"/>
  <c r="Q363" i="5"/>
  <c r="Y362" i="5"/>
  <c r="AM362" i="5" s="1"/>
  <c r="F362" i="5"/>
  <c r="P361" i="5"/>
  <c r="AC360" i="5"/>
  <c r="AP360" i="5" s="1"/>
  <c r="L360" i="5"/>
  <c r="AF359" i="5"/>
  <c r="P359" i="5"/>
  <c r="AI358" i="5"/>
  <c r="AV358" i="5" s="1"/>
  <c r="S358" i="5"/>
  <c r="F358" i="5"/>
  <c r="AG357" i="5"/>
  <c r="AT357" i="5" s="1"/>
  <c r="T357" i="5"/>
  <c r="F357" i="5"/>
  <c r="AG356" i="5"/>
  <c r="AT356" i="5" s="1"/>
  <c r="T356" i="5"/>
  <c r="H356" i="5"/>
  <c r="AB355" i="5"/>
  <c r="Q355" i="5"/>
  <c r="F355" i="5"/>
  <c r="AJ354" i="5"/>
  <c r="AW354" i="5" s="1"/>
  <c r="Z354" i="5"/>
  <c r="AN354" i="5" s="1"/>
  <c r="O354" i="5"/>
  <c r="D354" i="5"/>
  <c r="AH353" i="5"/>
  <c r="AU353" i="5" s="1"/>
  <c r="X353" i="5"/>
  <c r="M353" i="5"/>
  <c r="AJ352" i="5"/>
  <c r="AA352" i="5"/>
  <c r="R352" i="5"/>
  <c r="I352" i="5"/>
  <c r="Y351" i="5"/>
  <c r="AM351" i="5" s="1"/>
  <c r="P351" i="5"/>
  <c r="G351" i="5"/>
  <c r="AX350" i="5"/>
  <c r="AF350" i="5"/>
  <c r="W350" i="5"/>
  <c r="N350" i="5"/>
  <c r="E350" i="5"/>
  <c r="AD349" i="5"/>
  <c r="U349" i="5"/>
  <c r="L349" i="5"/>
  <c r="AB348" i="5"/>
  <c r="S348" i="5"/>
  <c r="J348" i="5"/>
  <c r="AI347" i="5"/>
  <c r="AV347" i="5" s="1"/>
  <c r="Z347" i="5"/>
  <c r="Q347" i="5"/>
  <c r="H347" i="5"/>
  <c r="AY346" i="5"/>
  <c r="AG346" i="5"/>
  <c r="AT346" i="5" s="1"/>
  <c r="X346" i="5"/>
  <c r="O346" i="5"/>
  <c r="F346" i="5"/>
  <c r="AE345" i="5"/>
  <c r="V345" i="5"/>
  <c r="M345" i="5"/>
  <c r="D345" i="5"/>
  <c r="AC344" i="5"/>
  <c r="T344" i="5"/>
  <c r="K344" i="5"/>
  <c r="D344" i="5"/>
  <c r="AX343" i="5"/>
  <c r="AF343" i="5"/>
  <c r="Z343" i="5"/>
  <c r="AN343" i="5" s="1"/>
  <c r="T343" i="5"/>
  <c r="N343" i="5"/>
  <c r="H343" i="5"/>
  <c r="AJ342" i="5"/>
  <c r="AD342" i="5"/>
  <c r="X342" i="5"/>
  <c r="R342" i="5"/>
  <c r="L342" i="5"/>
  <c r="F342" i="5"/>
  <c r="AH341" i="5"/>
  <c r="AU341" i="5" s="1"/>
  <c r="AB341" i="5"/>
  <c r="V341" i="5"/>
  <c r="P341" i="5"/>
  <c r="J341" i="5"/>
  <c r="D341" i="5"/>
  <c r="AX340" i="5"/>
  <c r="AF340" i="5"/>
  <c r="Z340" i="5"/>
  <c r="T340" i="5"/>
  <c r="N340" i="5"/>
  <c r="H340" i="5"/>
  <c r="AJ339" i="5"/>
  <c r="AW339" i="5" s="1"/>
  <c r="AD339" i="5"/>
  <c r="X339" i="5"/>
  <c r="AL339" i="5" s="1"/>
  <c r="R339" i="5"/>
  <c r="L339" i="5"/>
  <c r="F339" i="5"/>
  <c r="AH338" i="5"/>
  <c r="AB338" i="5"/>
  <c r="AO338" i="5" s="1"/>
  <c r="V338" i="5"/>
  <c r="P338" i="5"/>
  <c r="J338" i="5"/>
  <c r="D338" i="5"/>
  <c r="AX337" i="5"/>
  <c r="AF337" i="5"/>
  <c r="Z337" i="5"/>
  <c r="AN337" i="5" s="1"/>
  <c r="T337" i="5"/>
  <c r="N337" i="5"/>
  <c r="H337" i="5"/>
  <c r="AJ336" i="5"/>
  <c r="AD336" i="5"/>
  <c r="X336" i="5"/>
  <c r="R336" i="5"/>
  <c r="L336" i="5"/>
  <c r="F336" i="5"/>
  <c r="AH335" i="5"/>
  <c r="AB335" i="5"/>
  <c r="AO335" i="5" s="1"/>
  <c r="V335" i="5"/>
  <c r="P335" i="5"/>
  <c r="J335" i="5"/>
  <c r="D335" i="5"/>
  <c r="AX334" i="5"/>
  <c r="AF334" i="5"/>
  <c r="Z334" i="5"/>
  <c r="T334" i="5"/>
  <c r="N334" i="5"/>
  <c r="H334" i="5"/>
  <c r="AJ333" i="5"/>
  <c r="AD333" i="5"/>
  <c r="X333" i="5"/>
  <c r="R333" i="5"/>
  <c r="L333" i="5"/>
  <c r="F333" i="5"/>
  <c r="AH332" i="5"/>
  <c r="AB332" i="5"/>
  <c r="V332" i="5"/>
  <c r="P332" i="5"/>
  <c r="J332" i="5"/>
  <c r="D332" i="5"/>
  <c r="U362" i="5"/>
  <c r="I360" i="5"/>
  <c r="Q358" i="5"/>
  <c r="Y355" i="5"/>
  <c r="AM355" i="5" s="1"/>
  <c r="L354" i="5"/>
  <c r="AX351" i="5"/>
  <c r="AJ344" i="5"/>
  <c r="AW344" i="5" s="1"/>
  <c r="G343" i="5"/>
  <c r="W342" i="5"/>
  <c r="AK342" i="5" s="1"/>
  <c r="Q341" i="5"/>
  <c r="AY340" i="5"/>
  <c r="AG340" i="5"/>
  <c r="AT340" i="5" s="1"/>
  <c r="O340" i="5"/>
  <c r="AE339" i="5"/>
  <c r="M339" i="5"/>
  <c r="AC338" i="5"/>
  <c r="AP338" i="5" s="1"/>
  <c r="K338" i="5"/>
  <c r="AA337" i="5"/>
  <c r="I337" i="5"/>
  <c r="AG336" i="5"/>
  <c r="U336" i="5"/>
  <c r="I336" i="5"/>
  <c r="AE335" i="5"/>
  <c r="W335" i="5"/>
  <c r="AK335" i="5" s="1"/>
  <c r="M335" i="5"/>
  <c r="E335" i="5"/>
  <c r="AC334" i="5"/>
  <c r="AP334" i="5" s="1"/>
  <c r="U334" i="5"/>
  <c r="K334" i="5"/>
  <c r="AA333" i="5"/>
  <c r="S333" i="5"/>
  <c r="I333" i="5"/>
  <c r="AI332" i="5"/>
  <c r="AV332" i="5" s="1"/>
  <c r="Y332" i="5"/>
  <c r="AM332" i="5" s="1"/>
  <c r="Q332" i="5"/>
  <c r="I332" i="5"/>
  <c r="AJ331" i="5"/>
  <c r="AD331" i="5"/>
  <c r="X331" i="5"/>
  <c r="R331" i="5"/>
  <c r="L331" i="5"/>
  <c r="F331" i="5"/>
  <c r="AH330" i="5"/>
  <c r="AB330" i="5"/>
  <c r="AO330" i="5" s="1"/>
  <c r="V330" i="5"/>
  <c r="P330" i="5"/>
  <c r="J330" i="5"/>
  <c r="D330" i="5"/>
  <c r="AX329" i="5"/>
  <c r="AF329" i="5"/>
  <c r="Z329" i="5"/>
  <c r="T329" i="5"/>
  <c r="N329" i="5"/>
  <c r="H329" i="5"/>
  <c r="AJ328" i="5"/>
  <c r="AD328" i="5"/>
  <c r="X328" i="5"/>
  <c r="R328" i="5"/>
  <c r="L328" i="5"/>
  <c r="F328" i="5"/>
  <c r="AH327" i="5"/>
  <c r="AB327" i="5"/>
  <c r="V327" i="5"/>
  <c r="P327" i="5"/>
  <c r="J327" i="5"/>
  <c r="D327" i="5"/>
  <c r="AX326" i="5"/>
  <c r="AF326" i="5"/>
  <c r="Z326" i="5"/>
  <c r="T326" i="5"/>
  <c r="N326" i="5"/>
  <c r="H326" i="5"/>
  <c r="AJ325" i="5"/>
  <c r="AD325" i="5"/>
  <c r="X325" i="5"/>
  <c r="R325" i="5"/>
  <c r="L325" i="5"/>
  <c r="F325" i="5"/>
  <c r="AH324" i="5"/>
  <c r="AB324" i="5"/>
  <c r="AO324" i="5" s="1"/>
  <c r="V324" i="5"/>
  <c r="P324" i="5"/>
  <c r="J324" i="5"/>
  <c r="D324" i="5"/>
  <c r="AE323" i="5"/>
  <c r="Y323" i="5"/>
  <c r="AM323" i="5" s="1"/>
  <c r="S323" i="5"/>
  <c r="M323" i="5"/>
  <c r="G323" i="5"/>
  <c r="AI322" i="5"/>
  <c r="AC322" i="5"/>
  <c r="W322" i="5"/>
  <c r="Q322" i="5"/>
  <c r="K322" i="5"/>
  <c r="E322" i="5"/>
  <c r="AY321" i="5"/>
  <c r="AG321" i="5"/>
  <c r="AA321" i="5"/>
  <c r="U321" i="5"/>
  <c r="O321" i="5"/>
  <c r="I321" i="5"/>
  <c r="AE320" i="5"/>
  <c r="Y320" i="5"/>
  <c r="S320" i="5"/>
  <c r="M320" i="5"/>
  <c r="G320" i="5"/>
  <c r="AI319" i="5"/>
  <c r="AC319" i="5"/>
  <c r="W319" i="5"/>
  <c r="Q319" i="5"/>
  <c r="K319" i="5"/>
  <c r="E319" i="5"/>
  <c r="AE207" i="5"/>
  <c r="Y207" i="5"/>
  <c r="S207" i="5"/>
  <c r="M207" i="5"/>
  <c r="G207" i="5"/>
  <c r="AI206" i="5"/>
  <c r="AV206" i="5" s="1"/>
  <c r="AC206" i="5"/>
  <c r="W206" i="5"/>
  <c r="Q206" i="5"/>
  <c r="BB206" i="5" s="1"/>
  <c r="K206" i="5"/>
  <c r="E206" i="5"/>
  <c r="AY205" i="5"/>
  <c r="AG205" i="5"/>
  <c r="AA205" i="5"/>
  <c r="U205" i="5"/>
  <c r="O205" i="5"/>
  <c r="AZ205" i="5" s="1"/>
  <c r="I205" i="5"/>
  <c r="AE204" i="5"/>
  <c r="AR204" i="5" s="1"/>
  <c r="Y204" i="5"/>
  <c r="S204" i="5"/>
  <c r="M204" i="5"/>
  <c r="G204" i="5"/>
  <c r="I365" i="5"/>
  <c r="E358" i="5"/>
  <c r="AE356" i="5"/>
  <c r="P355" i="5"/>
  <c r="AJ348" i="5"/>
  <c r="AW348" i="5" s="1"/>
  <c r="AH347" i="5"/>
  <c r="AU347" i="5" s="1"/>
  <c r="AF346" i="5"/>
  <c r="AD345" i="5"/>
  <c r="AB344" i="5"/>
  <c r="AO344" i="5" s="1"/>
  <c r="Q342" i="5"/>
  <c r="AG341" i="5"/>
  <c r="AT341" i="5" s="1"/>
  <c r="O341" i="5"/>
  <c r="AE340" i="5"/>
  <c r="M340" i="5"/>
  <c r="AC339" i="5"/>
  <c r="AP339" i="5" s="1"/>
  <c r="K339" i="5"/>
  <c r="AA338" i="5"/>
  <c r="I338" i="5"/>
  <c r="Y337" i="5"/>
  <c r="G337" i="5"/>
  <c r="AE336" i="5"/>
  <c r="S336" i="5"/>
  <c r="G336" i="5"/>
  <c r="AD335" i="5"/>
  <c r="U335" i="5"/>
  <c r="L335" i="5"/>
  <c r="AB334" i="5"/>
  <c r="S334" i="5"/>
  <c r="J334" i="5"/>
  <c r="AI333" i="5"/>
  <c r="Z333" i="5"/>
  <c r="Q333" i="5"/>
  <c r="H333" i="5"/>
  <c r="AY332" i="5"/>
  <c r="AG332" i="5"/>
  <c r="X332" i="5"/>
  <c r="O332" i="5"/>
  <c r="H332" i="5"/>
  <c r="AI331" i="5"/>
  <c r="AC331" i="5"/>
  <c r="AP331" i="5" s="1"/>
  <c r="W331" i="5"/>
  <c r="Q331" i="5"/>
  <c r="K331" i="5"/>
  <c r="E331" i="5"/>
  <c r="AY330" i="5"/>
  <c r="AG330" i="5"/>
  <c r="AA330" i="5"/>
  <c r="U330" i="5"/>
  <c r="O330" i="5"/>
  <c r="I330" i="5"/>
  <c r="AE329" i="5"/>
  <c r="Y329" i="5"/>
  <c r="AM329" i="5" s="1"/>
  <c r="S329" i="5"/>
  <c r="M329" i="5"/>
  <c r="G329" i="5"/>
  <c r="AI328" i="5"/>
  <c r="AV328" i="5" s="1"/>
  <c r="AC328" i="5"/>
  <c r="W328" i="5"/>
  <c r="Q328" i="5"/>
  <c r="K328" i="5"/>
  <c r="E328" i="5"/>
  <c r="AY327" i="5"/>
  <c r="AG327" i="5"/>
  <c r="AA327" i="5"/>
  <c r="U327" i="5"/>
  <c r="O327" i="5"/>
  <c r="I327" i="5"/>
  <c r="AE326" i="5"/>
  <c r="Y326" i="5"/>
  <c r="S326" i="5"/>
  <c r="M326" i="5"/>
  <c r="G326" i="5"/>
  <c r="AI325" i="5"/>
  <c r="AC325" i="5"/>
  <c r="AP325" i="5" s="1"/>
  <c r="W325" i="5"/>
  <c r="Q325" i="5"/>
  <c r="K325" i="5"/>
  <c r="E325" i="5"/>
  <c r="AY324" i="5"/>
  <c r="AG324" i="5"/>
  <c r="AT324" i="5" s="1"/>
  <c r="AA324" i="5"/>
  <c r="U324" i="5"/>
  <c r="O324" i="5"/>
  <c r="I324" i="5"/>
  <c r="AJ323" i="5"/>
  <c r="AD323" i="5"/>
  <c r="X323" i="5"/>
  <c r="R323" i="5"/>
  <c r="L323" i="5"/>
  <c r="F323" i="5"/>
  <c r="AH322" i="5"/>
  <c r="AB322" i="5"/>
  <c r="AO322" i="5" s="1"/>
  <c r="V322" i="5"/>
  <c r="P322" i="5"/>
  <c r="J322" i="5"/>
  <c r="D322" i="5"/>
  <c r="AX321" i="5"/>
  <c r="AF321" i="5"/>
  <c r="Z321" i="5"/>
  <c r="T321" i="5"/>
  <c r="N321" i="5"/>
  <c r="H321" i="5"/>
  <c r="AJ320" i="5"/>
  <c r="AD320" i="5"/>
  <c r="X320" i="5"/>
  <c r="R320" i="5"/>
  <c r="L320" i="5"/>
  <c r="F320" i="5"/>
  <c r="AH319" i="5"/>
  <c r="AB319" i="5"/>
  <c r="AO319" i="5" s="1"/>
  <c r="K372" i="5"/>
  <c r="Y364" i="5"/>
  <c r="AM364" i="5" s="1"/>
  <c r="AF361" i="5"/>
  <c r="AB359" i="5"/>
  <c r="AO359" i="5" s="1"/>
  <c r="P356" i="5"/>
  <c r="D355" i="5"/>
  <c r="AF351" i="5"/>
  <c r="AD350" i="5"/>
  <c r="AB349" i="5"/>
  <c r="AO349" i="5" s="1"/>
  <c r="Z348" i="5"/>
  <c r="AN348" i="5" s="1"/>
  <c r="X347" i="5"/>
  <c r="AL347" i="5" s="1"/>
  <c r="V346" i="5"/>
  <c r="T345" i="5"/>
  <c r="R344" i="5"/>
  <c r="AE343" i="5"/>
  <c r="K342" i="5"/>
  <c r="AC341" i="5"/>
  <c r="AP341" i="5" s="1"/>
  <c r="K341" i="5"/>
  <c r="AA340" i="5"/>
  <c r="I340" i="5"/>
  <c r="Y339" i="5"/>
  <c r="AM339" i="5" s="1"/>
  <c r="G339" i="5"/>
  <c r="W338" i="5"/>
  <c r="AK338" i="5" s="1"/>
  <c r="E338" i="5"/>
  <c r="U337" i="5"/>
  <c r="AC336" i="5"/>
  <c r="AP336" i="5" s="1"/>
  <c r="Q336" i="5"/>
  <c r="E336" i="5"/>
  <c r="AC335" i="5"/>
  <c r="AP335" i="5" s="1"/>
  <c r="S335" i="5"/>
  <c r="K335" i="5"/>
  <c r="AI334" i="5"/>
  <c r="AA334" i="5"/>
  <c r="Q334" i="5"/>
  <c r="I334" i="5"/>
  <c r="AY333" i="5"/>
  <c r="AG333" i="5"/>
  <c r="Y333" i="5"/>
  <c r="AM333" i="5" s="1"/>
  <c r="O333" i="5"/>
  <c r="G333" i="5"/>
  <c r="AE332" i="5"/>
  <c r="W332" i="5"/>
  <c r="N332" i="5"/>
  <c r="G332" i="5"/>
  <c r="AH331" i="5"/>
  <c r="AB331" i="5"/>
  <c r="V331" i="5"/>
  <c r="P331" i="5"/>
  <c r="J331" i="5"/>
  <c r="D331" i="5"/>
  <c r="AX330" i="5"/>
  <c r="AF330" i="5"/>
  <c r="Z330" i="5"/>
  <c r="AN330" i="5" s="1"/>
  <c r="T330" i="5"/>
  <c r="N330" i="5"/>
  <c r="H330" i="5"/>
  <c r="AJ329" i="5"/>
  <c r="AD329" i="5"/>
  <c r="X329" i="5"/>
  <c r="AL329" i="5" s="1"/>
  <c r="R329" i="5"/>
  <c r="L329" i="5"/>
  <c r="F329" i="5"/>
  <c r="AB328" i="5"/>
  <c r="V328" i="5"/>
  <c r="P328" i="5"/>
  <c r="J328" i="5"/>
  <c r="D328" i="5"/>
  <c r="AX327" i="5"/>
  <c r="AF327" i="5"/>
  <c r="Z327" i="5"/>
  <c r="AN327" i="5" s="1"/>
  <c r="T327" i="5"/>
  <c r="N327" i="5"/>
  <c r="H327" i="5"/>
  <c r="AJ326" i="5"/>
  <c r="AD326" i="5"/>
  <c r="X326" i="5"/>
  <c r="R326" i="5"/>
  <c r="L326" i="5"/>
  <c r="F326" i="5"/>
  <c r="AH325" i="5"/>
  <c r="AB325" i="5"/>
  <c r="V325" i="5"/>
  <c r="P325" i="5"/>
  <c r="J325" i="5"/>
  <c r="D325" i="5"/>
  <c r="AX324" i="5"/>
  <c r="AF324" i="5"/>
  <c r="Z324" i="5"/>
  <c r="AN324" i="5" s="1"/>
  <c r="T324" i="5"/>
  <c r="N324" i="5"/>
  <c r="H324" i="5"/>
  <c r="AI323" i="5"/>
  <c r="AC323" i="5"/>
  <c r="W323" i="5"/>
  <c r="AK323" i="5" s="1"/>
  <c r="Q323" i="5"/>
  <c r="K323" i="5"/>
  <c r="E323" i="5"/>
  <c r="AY322" i="5"/>
  <c r="AG322" i="5"/>
  <c r="AA322" i="5"/>
  <c r="U322" i="5"/>
  <c r="O322" i="5"/>
  <c r="I322" i="5"/>
  <c r="AE321" i="5"/>
  <c r="Y321" i="5"/>
  <c r="S321" i="5"/>
  <c r="M321" i="5"/>
  <c r="G321" i="5"/>
  <c r="N361" i="5"/>
  <c r="N359" i="5"/>
  <c r="AF357" i="5"/>
  <c r="G356" i="5"/>
  <c r="AG353" i="5"/>
  <c r="AT353" i="5" s="1"/>
  <c r="Z352" i="5"/>
  <c r="AN352" i="5" s="1"/>
  <c r="X351" i="5"/>
  <c r="V350" i="5"/>
  <c r="T349" i="5"/>
  <c r="R348" i="5"/>
  <c r="P347" i="5"/>
  <c r="N346" i="5"/>
  <c r="L345" i="5"/>
  <c r="J344" i="5"/>
  <c r="Y343" i="5"/>
  <c r="AM343" i="5" s="1"/>
  <c r="E342" i="5"/>
  <c r="AA341" i="5"/>
  <c r="I341" i="5"/>
  <c r="Y340" i="5"/>
  <c r="AM340" i="5" s="1"/>
  <c r="G340" i="5"/>
  <c r="W339" i="5"/>
  <c r="AK339" i="5" s="1"/>
  <c r="E339" i="5"/>
  <c r="U338" i="5"/>
  <c r="S337" i="5"/>
  <c r="AA336" i="5"/>
  <c r="O336" i="5"/>
  <c r="AJ335" i="5"/>
  <c r="AW335" i="5" s="1"/>
  <c r="AA335" i="5"/>
  <c r="R335" i="5"/>
  <c r="I335" i="5"/>
  <c r="Y334" i="5"/>
  <c r="AM334" i="5" s="1"/>
  <c r="P334" i="5"/>
  <c r="G334" i="5"/>
  <c r="AX333" i="5"/>
  <c r="AF333" i="5"/>
  <c r="W333" i="5"/>
  <c r="AK333" i="5" s="1"/>
  <c r="N333" i="5"/>
  <c r="E333" i="5"/>
  <c r="AD332" i="5"/>
  <c r="U332" i="5"/>
  <c r="M332" i="5"/>
  <c r="F332" i="5"/>
  <c r="AY331" i="5"/>
  <c r="AG331" i="5"/>
  <c r="AA331" i="5"/>
  <c r="U331" i="5"/>
  <c r="O331" i="5"/>
  <c r="I331" i="5"/>
  <c r="AE330" i="5"/>
  <c r="Y330" i="5"/>
  <c r="AM330" i="5" s="1"/>
  <c r="S330" i="5"/>
  <c r="M330" i="5"/>
  <c r="G330" i="5"/>
  <c r="AI329" i="5"/>
  <c r="AC329" i="5"/>
  <c r="AP329" i="5" s="1"/>
  <c r="W329" i="5"/>
  <c r="Q329" i="5"/>
  <c r="K329" i="5"/>
  <c r="E329" i="5"/>
  <c r="AY328" i="5"/>
  <c r="AG328" i="5"/>
  <c r="AA328" i="5"/>
  <c r="U328" i="5"/>
  <c r="O328" i="5"/>
  <c r="I328" i="5"/>
  <c r="AE327" i="5"/>
  <c r="Y327" i="5"/>
  <c r="AM327" i="5" s="1"/>
  <c r="S327" i="5"/>
  <c r="M327" i="5"/>
  <c r="G327" i="5"/>
  <c r="AI326" i="5"/>
  <c r="AC326" i="5"/>
  <c r="AP326" i="5" s="1"/>
  <c r="W326" i="5"/>
  <c r="AK326" i="5" s="1"/>
  <c r="Q326" i="5"/>
  <c r="K326" i="5"/>
  <c r="E326" i="5"/>
  <c r="AY325" i="5"/>
  <c r="AG325" i="5"/>
  <c r="AA325" i="5"/>
  <c r="U325" i="5"/>
  <c r="O325" i="5"/>
  <c r="I325" i="5"/>
  <c r="AE324" i="5"/>
  <c r="Y324" i="5"/>
  <c r="AM324" i="5" s="1"/>
  <c r="S324" i="5"/>
  <c r="M324" i="5"/>
  <c r="G324" i="5"/>
  <c r="AH323" i="5"/>
  <c r="AU323" i="5" s="1"/>
  <c r="AB323" i="5"/>
  <c r="V323" i="5"/>
  <c r="P323" i="5"/>
  <c r="J323" i="5"/>
  <c r="D323" i="5"/>
  <c r="AX322" i="5"/>
  <c r="K363" i="5"/>
  <c r="Q357" i="5"/>
  <c r="AH354" i="5"/>
  <c r="AU354" i="5" s="1"/>
  <c r="U353" i="5"/>
  <c r="P352" i="5"/>
  <c r="N351" i="5"/>
  <c r="L350" i="5"/>
  <c r="J349" i="5"/>
  <c r="H348" i="5"/>
  <c r="F347" i="5"/>
  <c r="D346" i="5"/>
  <c r="S343" i="5"/>
  <c r="AI342" i="5"/>
  <c r="AV342" i="5" s="1"/>
  <c r="AY341" i="5"/>
  <c r="W341" i="5"/>
  <c r="AK341" i="5" s="1"/>
  <c r="E341" i="5"/>
  <c r="U340" i="5"/>
  <c r="S339" i="5"/>
  <c r="AI338" i="5"/>
  <c r="AV338" i="5" s="1"/>
  <c r="Q338" i="5"/>
  <c r="AY337" i="5"/>
  <c r="AG337" i="5"/>
  <c r="AT337" i="5" s="1"/>
  <c r="O337" i="5"/>
  <c r="Y336" i="5"/>
  <c r="AM336" i="5" s="1"/>
  <c r="M336" i="5"/>
  <c r="AI335" i="5"/>
  <c r="AV335" i="5" s="1"/>
  <c r="Y335" i="5"/>
  <c r="AM335" i="5" s="1"/>
  <c r="Q335" i="5"/>
  <c r="G335" i="5"/>
  <c r="AY334" i="5"/>
  <c r="AG334" i="5"/>
  <c r="AT334" i="5" s="1"/>
  <c r="W334" i="5"/>
  <c r="O334" i="5"/>
  <c r="E334" i="5"/>
  <c r="AE333" i="5"/>
  <c r="U333" i="5"/>
  <c r="M333" i="5"/>
  <c r="AC332" i="5"/>
  <c r="S332" i="5"/>
  <c r="L332" i="5"/>
  <c r="E332" i="5"/>
  <c r="AX331" i="5"/>
  <c r="AF331" i="5"/>
  <c r="Z331" i="5"/>
  <c r="AN331" i="5" s="1"/>
  <c r="T331" i="5"/>
  <c r="N331" i="5"/>
  <c r="H331" i="5"/>
  <c r="AJ330" i="5"/>
  <c r="AD330" i="5"/>
  <c r="X330" i="5"/>
  <c r="R330" i="5"/>
  <c r="L330" i="5"/>
  <c r="F330" i="5"/>
  <c r="AH329" i="5"/>
  <c r="AU329" i="5" s="1"/>
  <c r="AB329" i="5"/>
  <c r="AO329" i="5" s="1"/>
  <c r="V329" i="5"/>
  <c r="P329" i="5"/>
  <c r="J329" i="5"/>
  <c r="D329" i="5"/>
  <c r="AX328" i="5"/>
  <c r="AF328" i="5"/>
  <c r="Z328" i="5"/>
  <c r="T328" i="5"/>
  <c r="N328" i="5"/>
  <c r="H328" i="5"/>
  <c r="AJ327" i="5"/>
  <c r="AW327" i="5" s="1"/>
  <c r="AD327" i="5"/>
  <c r="X327" i="5"/>
  <c r="AL327" i="5" s="1"/>
  <c r="R327" i="5"/>
  <c r="L327" i="5"/>
  <c r="F327" i="5"/>
  <c r="AH326" i="5"/>
  <c r="AB326" i="5"/>
  <c r="AO326" i="5" s="1"/>
  <c r="V326" i="5"/>
  <c r="P326" i="5"/>
  <c r="J326" i="5"/>
  <c r="D326" i="5"/>
  <c r="AX325" i="5"/>
  <c r="AF325" i="5"/>
  <c r="Z325" i="5"/>
  <c r="AN325" i="5" s="1"/>
  <c r="T325" i="5"/>
  <c r="N325" i="5"/>
  <c r="H325" i="5"/>
  <c r="AD324" i="5"/>
  <c r="X324" i="5"/>
  <c r="R324" i="5"/>
  <c r="L324" i="5"/>
  <c r="F324" i="5"/>
  <c r="AG323" i="5"/>
  <c r="AA323" i="5"/>
  <c r="U323" i="5"/>
  <c r="O323" i="5"/>
  <c r="I323" i="5"/>
  <c r="AE322" i="5"/>
  <c r="Y322" i="5"/>
  <c r="AM322" i="5" s="1"/>
  <c r="S322" i="5"/>
  <c r="M322" i="5"/>
  <c r="G322" i="5"/>
  <c r="AI321" i="5"/>
  <c r="AC321" i="5"/>
  <c r="AP321" i="5" s="1"/>
  <c r="W321" i="5"/>
  <c r="Q321" i="5"/>
  <c r="K321" i="5"/>
  <c r="E321" i="5"/>
  <c r="AY320" i="5"/>
  <c r="AG320" i="5"/>
  <c r="AT320" i="5" s="1"/>
  <c r="AA320" i="5"/>
  <c r="U320" i="5"/>
  <c r="O320" i="5"/>
  <c r="I320" i="5"/>
  <c r="AE319" i="5"/>
  <c r="Y319" i="5"/>
  <c r="AM319" i="5" s="1"/>
  <c r="S319" i="5"/>
  <c r="M319" i="5"/>
  <c r="G319" i="5"/>
  <c r="AY207" i="5"/>
  <c r="AG207" i="5"/>
  <c r="AA207" i="5"/>
  <c r="U207" i="5"/>
  <c r="O207" i="5"/>
  <c r="AZ207" i="5" s="1"/>
  <c r="I207" i="5"/>
  <c r="AE206" i="5"/>
  <c r="Y206" i="5"/>
  <c r="S206" i="5"/>
  <c r="M206" i="5"/>
  <c r="G206" i="5"/>
  <c r="AI205" i="5"/>
  <c r="AC205" i="5"/>
  <c r="W205" i="5"/>
  <c r="Q205" i="5"/>
  <c r="BB205" i="5" s="1"/>
  <c r="K205" i="5"/>
  <c r="E205" i="5"/>
  <c r="AY204" i="5"/>
  <c r="AG204" i="5"/>
  <c r="AT204" i="5" s="1"/>
  <c r="AA204" i="5"/>
  <c r="U204" i="5"/>
  <c r="O204" i="5"/>
  <c r="AZ204" i="5" s="1"/>
  <c r="I204" i="5"/>
  <c r="AE203" i="5"/>
  <c r="M343" i="5"/>
  <c r="S340" i="5"/>
  <c r="O338" i="5"/>
  <c r="W336" i="5"/>
  <c r="AK336" i="5" s="1"/>
  <c r="O335" i="5"/>
  <c r="M334" i="5"/>
  <c r="K333" i="5"/>
  <c r="K332" i="5"/>
  <c r="Y331" i="5"/>
  <c r="AM331" i="5" s="1"/>
  <c r="E330" i="5"/>
  <c r="U329" i="5"/>
  <c r="Q327" i="5"/>
  <c r="AG326" i="5"/>
  <c r="AT326" i="5" s="1"/>
  <c r="M325" i="5"/>
  <c r="AC324" i="5"/>
  <c r="AP324" i="5" s="1"/>
  <c r="H323" i="5"/>
  <c r="AD322" i="5"/>
  <c r="L322" i="5"/>
  <c r="AB321" i="5"/>
  <c r="AO321" i="5" s="1"/>
  <c r="J321" i="5"/>
  <c r="AI320" i="5"/>
  <c r="AV320" i="5" s="1"/>
  <c r="W320" i="5"/>
  <c r="K320" i="5"/>
  <c r="AY319" i="5"/>
  <c r="AA319" i="5"/>
  <c r="R319" i="5"/>
  <c r="I319" i="5"/>
  <c r="AI207" i="5"/>
  <c r="Z207" i="5"/>
  <c r="Q207" i="5"/>
  <c r="BB207" i="5" s="1"/>
  <c r="H207" i="5"/>
  <c r="AY206" i="5"/>
  <c r="AG206" i="5"/>
  <c r="AT206" i="5" s="1"/>
  <c r="X206" i="5"/>
  <c r="O206" i="5"/>
  <c r="AZ206" i="5" s="1"/>
  <c r="F206" i="5"/>
  <c r="AE205" i="5"/>
  <c r="V205" i="5"/>
  <c r="M205" i="5"/>
  <c r="D205" i="5"/>
  <c r="AC204" i="5"/>
  <c r="T204" i="5"/>
  <c r="K204" i="5"/>
  <c r="AC203" i="5"/>
  <c r="AP203" i="5" s="1"/>
  <c r="W203" i="5"/>
  <c r="Q203" i="5"/>
  <c r="BB203" i="5" s="1"/>
  <c r="K203" i="5"/>
  <c r="E203" i="5"/>
  <c r="AY202" i="5"/>
  <c r="AG202" i="5"/>
  <c r="AT202" i="5" s="1"/>
  <c r="AA202" i="5"/>
  <c r="U202" i="5"/>
  <c r="O202" i="5"/>
  <c r="AZ202" i="5" s="1"/>
  <c r="I202" i="5"/>
  <c r="AE201" i="5"/>
  <c r="Y201" i="5"/>
  <c r="AM201" i="5" s="1"/>
  <c r="S201" i="5"/>
  <c r="M201" i="5"/>
  <c r="G201" i="5"/>
  <c r="AI200" i="5"/>
  <c r="AC200" i="5"/>
  <c r="W200" i="5"/>
  <c r="AK200" i="5" s="1"/>
  <c r="Q200" i="5"/>
  <c r="BB200" i="5" s="1"/>
  <c r="K200" i="5"/>
  <c r="E200" i="5"/>
  <c r="AY199" i="5"/>
  <c r="AG199" i="5"/>
  <c r="AA199" i="5"/>
  <c r="U199" i="5"/>
  <c r="O199" i="5"/>
  <c r="AZ199" i="5" s="1"/>
  <c r="I199" i="5"/>
  <c r="AE198" i="5"/>
  <c r="Y198" i="5"/>
  <c r="S198" i="5"/>
  <c r="M198" i="5"/>
  <c r="G198" i="5"/>
  <c r="AI197" i="5"/>
  <c r="AC197" i="5"/>
  <c r="W197" i="5"/>
  <c r="Q197" i="5"/>
  <c r="BB197" i="5" s="1"/>
  <c r="K197" i="5"/>
  <c r="E197" i="5"/>
  <c r="AY196" i="5"/>
  <c r="AG196" i="5"/>
  <c r="AA196" i="5"/>
  <c r="U196" i="5"/>
  <c r="O196" i="5"/>
  <c r="AZ196" i="5" s="1"/>
  <c r="I196" i="5"/>
  <c r="AE195" i="5"/>
  <c r="Y195" i="5"/>
  <c r="S195" i="5"/>
  <c r="M195" i="5"/>
  <c r="G195" i="5"/>
  <c r="AI194" i="5"/>
  <c r="AC194" i="5"/>
  <c r="W194" i="5"/>
  <c r="Q194" i="5"/>
  <c r="BB194" i="5" s="1"/>
  <c r="K194" i="5"/>
  <c r="E194" i="5"/>
  <c r="AY193" i="5"/>
  <c r="AG193" i="5"/>
  <c r="AA193" i="5"/>
  <c r="U193" i="5"/>
  <c r="O193" i="5"/>
  <c r="AZ193" i="5" s="1"/>
  <c r="I193" i="5"/>
  <c r="AE192" i="5"/>
  <c r="Y192" i="5"/>
  <c r="S192" i="5"/>
  <c r="M192" i="5"/>
  <c r="G192" i="5"/>
  <c r="AI191" i="5"/>
  <c r="AC191" i="5"/>
  <c r="W191" i="5"/>
  <c r="Q191" i="5"/>
  <c r="BB191" i="5" s="1"/>
  <c r="K191" i="5"/>
  <c r="E191" i="5"/>
  <c r="AY190" i="5"/>
  <c r="AG190" i="5"/>
  <c r="AA190" i="5"/>
  <c r="U190" i="5"/>
  <c r="O190" i="5"/>
  <c r="AZ190" i="5" s="1"/>
  <c r="I190" i="5"/>
  <c r="AE189" i="5"/>
  <c r="Y189" i="5"/>
  <c r="S189" i="5"/>
  <c r="M189" i="5"/>
  <c r="G189" i="5"/>
  <c r="AI188" i="5"/>
  <c r="AV188" i="5" s="1"/>
  <c r="AC188" i="5"/>
  <c r="W188" i="5"/>
  <c r="Q188" i="5"/>
  <c r="BB188" i="5" s="1"/>
  <c r="K188" i="5"/>
  <c r="E188" i="5"/>
  <c r="AY187" i="5"/>
  <c r="AG187" i="5"/>
  <c r="AA187" i="5"/>
  <c r="U187" i="5"/>
  <c r="O187" i="5"/>
  <c r="AZ187" i="5" s="1"/>
  <c r="I187" i="5"/>
  <c r="AE186" i="5"/>
  <c r="AR186" i="5" s="1"/>
  <c r="Y186" i="5"/>
  <c r="S186" i="5"/>
  <c r="M186" i="5"/>
  <c r="G186" i="5"/>
  <c r="AI185" i="5"/>
  <c r="AC185" i="5"/>
  <c r="AP185" i="5" s="1"/>
  <c r="W185" i="5"/>
  <c r="Q185" i="5"/>
  <c r="BB185" i="5" s="1"/>
  <c r="K185" i="5"/>
  <c r="E185" i="5"/>
  <c r="AF153" i="5"/>
  <c r="Z153" i="5"/>
  <c r="AN153" i="5" s="1"/>
  <c r="T153" i="5"/>
  <c r="N153" i="5"/>
  <c r="H153" i="5"/>
  <c r="AI151" i="5"/>
  <c r="AC151" i="5"/>
  <c r="W151" i="5"/>
  <c r="AK151" i="5" s="1"/>
  <c r="Q151" i="5"/>
  <c r="K151" i="5"/>
  <c r="E151" i="5"/>
  <c r="AY150" i="5"/>
  <c r="AG150" i="5"/>
  <c r="AA150" i="5"/>
  <c r="U150" i="5"/>
  <c r="O150" i="5"/>
  <c r="I150" i="5"/>
  <c r="AE149" i="5"/>
  <c r="Y149" i="5"/>
  <c r="S149" i="5"/>
  <c r="M149" i="5"/>
  <c r="G149" i="5"/>
  <c r="AI148" i="5"/>
  <c r="AC148" i="5"/>
  <c r="W148" i="5"/>
  <c r="Q148" i="5"/>
  <c r="K148" i="5"/>
  <c r="E148" i="5"/>
  <c r="AY147" i="5"/>
  <c r="AG147" i="5"/>
  <c r="AA147" i="5"/>
  <c r="U147" i="5"/>
  <c r="O147" i="5"/>
  <c r="I147" i="5"/>
  <c r="AE146" i="5"/>
  <c r="Y146" i="5"/>
  <c r="S146" i="5"/>
  <c r="M146" i="5"/>
  <c r="G146" i="5"/>
  <c r="AE92" i="5"/>
  <c r="Y92" i="5"/>
  <c r="S92" i="5"/>
  <c r="M92" i="5"/>
  <c r="G92" i="5"/>
  <c r="AI91" i="5"/>
  <c r="AC91" i="5"/>
  <c r="W91" i="5"/>
  <c r="Q91" i="5"/>
  <c r="K91" i="5"/>
  <c r="E91" i="5"/>
  <c r="AY90" i="5"/>
  <c r="AG90" i="5"/>
  <c r="AA90" i="5"/>
  <c r="U90" i="5"/>
  <c r="O90" i="5"/>
  <c r="I90" i="5"/>
  <c r="AH65" i="5"/>
  <c r="AB65" i="5"/>
  <c r="V65" i="5"/>
  <c r="P65" i="5"/>
  <c r="J65" i="5"/>
  <c r="D65" i="5"/>
  <c r="AX64" i="5"/>
  <c r="AF64" i="5"/>
  <c r="Z64" i="5"/>
  <c r="T64" i="5"/>
  <c r="N64" i="5"/>
  <c r="H64" i="5"/>
  <c r="AJ63" i="5"/>
  <c r="AD63" i="5"/>
  <c r="AF366" i="5"/>
  <c r="X354" i="5"/>
  <c r="AL354" i="5" s="1"/>
  <c r="AC342" i="5"/>
  <c r="AP342" i="5" s="1"/>
  <c r="K336" i="5"/>
  <c r="F335" i="5"/>
  <c r="D334" i="5"/>
  <c r="S331" i="5"/>
  <c r="AI330" i="5"/>
  <c r="AV330" i="5" s="1"/>
  <c r="AY329" i="5"/>
  <c r="O329" i="5"/>
  <c r="AE328" i="5"/>
  <c r="K327" i="5"/>
  <c r="AA326" i="5"/>
  <c r="G325" i="5"/>
  <c r="W324" i="5"/>
  <c r="AK324" i="5" s="1"/>
  <c r="Z322" i="5"/>
  <c r="AN322" i="5" s="1"/>
  <c r="H322" i="5"/>
  <c r="X321" i="5"/>
  <c r="AL321" i="5" s="1"/>
  <c r="F321" i="5"/>
  <c r="V320" i="5"/>
  <c r="J320" i="5"/>
  <c r="AX319" i="5"/>
  <c r="Z319" i="5"/>
  <c r="AN319" i="5" s="1"/>
  <c r="P319" i="5"/>
  <c r="H319" i="5"/>
  <c r="X207" i="5"/>
  <c r="AL207" i="5" s="1"/>
  <c r="P207" i="5"/>
  <c r="BA207" i="5" s="1"/>
  <c r="F207" i="5"/>
  <c r="AX206" i="5"/>
  <c r="AF206" i="5"/>
  <c r="AS206" i="5" s="1"/>
  <c r="V206" i="5"/>
  <c r="N206" i="5"/>
  <c r="D206" i="5"/>
  <c r="AD205" i="5"/>
  <c r="AQ205" i="5" s="1"/>
  <c r="T205" i="5"/>
  <c r="L205" i="5"/>
  <c r="AJ204" i="5"/>
  <c r="AB204" i="5"/>
  <c r="AO204" i="5" s="1"/>
  <c r="R204" i="5"/>
  <c r="J204" i="5"/>
  <c r="AI203" i="5"/>
  <c r="AB203" i="5"/>
  <c r="V203" i="5"/>
  <c r="P203" i="5"/>
  <c r="BA203" i="5" s="1"/>
  <c r="J203" i="5"/>
  <c r="D203" i="5"/>
  <c r="AX202" i="5"/>
  <c r="AF202" i="5"/>
  <c r="Z202" i="5"/>
  <c r="T202" i="5"/>
  <c r="N202" i="5"/>
  <c r="H202" i="5"/>
  <c r="AJ201" i="5"/>
  <c r="AD201" i="5"/>
  <c r="X201" i="5"/>
  <c r="R201" i="5"/>
  <c r="L201" i="5"/>
  <c r="F201" i="5"/>
  <c r="AH200" i="5"/>
  <c r="AB200" i="5"/>
  <c r="V200" i="5"/>
  <c r="P200" i="5"/>
  <c r="BA200" i="5" s="1"/>
  <c r="J200" i="5"/>
  <c r="D200" i="5"/>
  <c r="AX199" i="5"/>
  <c r="AF199" i="5"/>
  <c r="Z199" i="5"/>
  <c r="T199" i="5"/>
  <c r="N199" i="5"/>
  <c r="H199" i="5"/>
  <c r="AJ198" i="5"/>
  <c r="AD198" i="5"/>
  <c r="X198" i="5"/>
  <c r="R198" i="5"/>
  <c r="L198" i="5"/>
  <c r="F198" i="5"/>
  <c r="AH197" i="5"/>
  <c r="AB197" i="5"/>
  <c r="V197" i="5"/>
  <c r="P197" i="5"/>
  <c r="BA197" i="5" s="1"/>
  <c r="J197" i="5"/>
  <c r="D197" i="5"/>
  <c r="AX196" i="5"/>
  <c r="AF196" i="5"/>
  <c r="Z196" i="5"/>
  <c r="T196" i="5"/>
  <c r="N196" i="5"/>
  <c r="H196" i="5"/>
  <c r="AJ195" i="5"/>
  <c r="AD195" i="5"/>
  <c r="X195" i="5"/>
  <c r="R195" i="5"/>
  <c r="L195" i="5"/>
  <c r="F195" i="5"/>
  <c r="AB194" i="5"/>
  <c r="V194" i="5"/>
  <c r="P194" i="5"/>
  <c r="BA194" i="5" s="1"/>
  <c r="J194" i="5"/>
  <c r="D194" i="5"/>
  <c r="AX193" i="5"/>
  <c r="AF193" i="5"/>
  <c r="Z193" i="5"/>
  <c r="T193" i="5"/>
  <c r="N193" i="5"/>
  <c r="H193" i="5"/>
  <c r="AJ192" i="5"/>
  <c r="AD192" i="5"/>
  <c r="X192" i="5"/>
  <c r="R192" i="5"/>
  <c r="L192" i="5"/>
  <c r="F192" i="5"/>
  <c r="AB191" i="5"/>
  <c r="V191" i="5"/>
  <c r="P191" i="5"/>
  <c r="BA191" i="5" s="1"/>
  <c r="J191" i="5"/>
  <c r="D191" i="5"/>
  <c r="AX190" i="5"/>
  <c r="AF190" i="5"/>
  <c r="Z190" i="5"/>
  <c r="T190" i="5"/>
  <c r="N190" i="5"/>
  <c r="H190" i="5"/>
  <c r="AJ189" i="5"/>
  <c r="AD189" i="5"/>
  <c r="X189" i="5"/>
  <c r="R189" i="5"/>
  <c r="L189" i="5"/>
  <c r="F189" i="5"/>
  <c r="AH188" i="5"/>
  <c r="AB188" i="5"/>
  <c r="V188" i="5"/>
  <c r="P188" i="5"/>
  <c r="BA188" i="5" s="1"/>
  <c r="J188" i="5"/>
  <c r="D188" i="5"/>
  <c r="AX187" i="5"/>
  <c r="AF187" i="5"/>
  <c r="Z187" i="5"/>
  <c r="T187" i="5"/>
  <c r="N187" i="5"/>
  <c r="H187" i="5"/>
  <c r="AD186" i="5"/>
  <c r="X186" i="5"/>
  <c r="R186" i="5"/>
  <c r="L186" i="5"/>
  <c r="F186" i="5"/>
  <c r="AH185" i="5"/>
  <c r="AB185" i="5"/>
  <c r="V185" i="5"/>
  <c r="P185" i="5"/>
  <c r="J185" i="5"/>
  <c r="D185" i="5"/>
  <c r="AY153" i="5"/>
  <c r="AE153" i="5"/>
  <c r="BA153" i="5" s="1"/>
  <c r="Y153" i="5"/>
  <c r="S153" i="5"/>
  <c r="M153" i="5"/>
  <c r="G153" i="5"/>
  <c r="AH151" i="5"/>
  <c r="AB151" i="5"/>
  <c r="V151" i="5"/>
  <c r="P151" i="5"/>
  <c r="J151" i="5"/>
  <c r="D151" i="5"/>
  <c r="AX150" i="5"/>
  <c r="AF150" i="5"/>
  <c r="Z150" i="5"/>
  <c r="T150" i="5"/>
  <c r="N150" i="5"/>
  <c r="H150" i="5"/>
  <c r="AJ149" i="5"/>
  <c r="AD149" i="5"/>
  <c r="X149" i="5"/>
  <c r="R149" i="5"/>
  <c r="L149" i="5"/>
  <c r="F149" i="5"/>
  <c r="AH148" i="5"/>
  <c r="AB148" i="5"/>
  <c r="V148" i="5"/>
  <c r="P148" i="5"/>
  <c r="J148" i="5"/>
  <c r="D148" i="5"/>
  <c r="AX147" i="5"/>
  <c r="AF147" i="5"/>
  <c r="Z147" i="5"/>
  <c r="T147" i="5"/>
  <c r="N147" i="5"/>
  <c r="H147" i="5"/>
  <c r="AJ146" i="5"/>
  <c r="AD146" i="5"/>
  <c r="X146" i="5"/>
  <c r="R146" i="5"/>
  <c r="L146" i="5"/>
  <c r="F146" i="5"/>
  <c r="AJ92" i="5"/>
  <c r="AD92" i="5"/>
  <c r="X92" i="5"/>
  <c r="R92" i="5"/>
  <c r="L92" i="5"/>
  <c r="F92" i="5"/>
  <c r="AH91" i="5"/>
  <c r="AB91" i="5"/>
  <c r="V91" i="5"/>
  <c r="P91" i="5"/>
  <c r="J91" i="5"/>
  <c r="D91" i="5"/>
  <c r="AX90" i="5"/>
  <c r="AF90" i="5"/>
  <c r="Z90" i="5"/>
  <c r="T90" i="5"/>
  <c r="N90" i="5"/>
  <c r="L353" i="5"/>
  <c r="AX346" i="5"/>
  <c r="AI339" i="5"/>
  <c r="AV339" i="5" s="1"/>
  <c r="AE337" i="5"/>
  <c r="AY335" i="5"/>
  <c r="M331" i="5"/>
  <c r="AC330" i="5"/>
  <c r="AP330" i="5" s="1"/>
  <c r="I329" i="5"/>
  <c r="Y328" i="5"/>
  <c r="AM328" i="5" s="1"/>
  <c r="E327" i="5"/>
  <c r="U326" i="5"/>
  <c r="Q324" i="5"/>
  <c r="AF323" i="5"/>
  <c r="X322" i="5"/>
  <c r="AL322" i="5" s="1"/>
  <c r="F322" i="5"/>
  <c r="V321" i="5"/>
  <c r="D321" i="5"/>
  <c r="AF320" i="5"/>
  <c r="T320" i="5"/>
  <c r="H320" i="5"/>
  <c r="AJ319" i="5"/>
  <c r="X319" i="5"/>
  <c r="O319" i="5"/>
  <c r="F319" i="5"/>
  <c r="AX207" i="5"/>
  <c r="AF207" i="5"/>
  <c r="AS207" i="5" s="1"/>
  <c r="W207" i="5"/>
  <c r="AK207" i="5" s="1"/>
  <c r="N207" i="5"/>
  <c r="E207" i="5"/>
  <c r="AD206" i="5"/>
  <c r="U206" i="5"/>
  <c r="L206" i="5"/>
  <c r="AB205" i="5"/>
  <c r="S205" i="5"/>
  <c r="J205" i="5"/>
  <c r="AI204" i="5"/>
  <c r="AV204" i="5" s="1"/>
  <c r="Z204" i="5"/>
  <c r="AN204" i="5" s="1"/>
  <c r="Q204" i="5"/>
  <c r="BB204" i="5" s="1"/>
  <c r="H204" i="5"/>
  <c r="AY203" i="5"/>
  <c r="AH203" i="5"/>
  <c r="AU203" i="5" s="1"/>
  <c r="AA203" i="5"/>
  <c r="U203" i="5"/>
  <c r="O203" i="5"/>
  <c r="AZ203" i="5" s="1"/>
  <c r="I203" i="5"/>
  <c r="AE202" i="5"/>
  <c r="Y202" i="5"/>
  <c r="S202" i="5"/>
  <c r="M202" i="5"/>
  <c r="G202" i="5"/>
  <c r="AI201" i="5"/>
  <c r="AC201" i="5"/>
  <c r="W201" i="5"/>
  <c r="Q201" i="5"/>
  <c r="BB201" i="5" s="1"/>
  <c r="K201" i="5"/>
  <c r="E201" i="5"/>
  <c r="AY200" i="5"/>
  <c r="AG200" i="5"/>
  <c r="AA200" i="5"/>
  <c r="U200" i="5"/>
  <c r="O200" i="5"/>
  <c r="AZ200" i="5" s="1"/>
  <c r="I200" i="5"/>
  <c r="AE199" i="5"/>
  <c r="Y199" i="5"/>
  <c r="S199" i="5"/>
  <c r="M199" i="5"/>
  <c r="G199" i="5"/>
  <c r="AI198" i="5"/>
  <c r="AC198" i="5"/>
  <c r="W198" i="5"/>
  <c r="Q198" i="5"/>
  <c r="BB198" i="5" s="1"/>
  <c r="K198" i="5"/>
  <c r="E198" i="5"/>
  <c r="AY197" i="5"/>
  <c r="AG197" i="5"/>
  <c r="AA197" i="5"/>
  <c r="U197" i="5"/>
  <c r="O197" i="5"/>
  <c r="AZ197" i="5" s="1"/>
  <c r="I197" i="5"/>
  <c r="AE196" i="5"/>
  <c r="Y196" i="5"/>
  <c r="S196" i="5"/>
  <c r="M196" i="5"/>
  <c r="G196" i="5"/>
  <c r="AI195" i="5"/>
  <c r="AC195" i="5"/>
  <c r="W195" i="5"/>
  <c r="Q195" i="5"/>
  <c r="BB195" i="5" s="1"/>
  <c r="K195" i="5"/>
  <c r="E195" i="5"/>
  <c r="AY194" i="5"/>
  <c r="AG194" i="5"/>
  <c r="AA194" i="5"/>
  <c r="U194" i="5"/>
  <c r="O194" i="5"/>
  <c r="AZ194" i="5" s="1"/>
  <c r="I194" i="5"/>
  <c r="AE193" i="5"/>
  <c r="Y193" i="5"/>
  <c r="S193" i="5"/>
  <c r="M193" i="5"/>
  <c r="G193" i="5"/>
  <c r="AI192" i="5"/>
  <c r="AC192" i="5"/>
  <c r="W192" i="5"/>
  <c r="Q192" i="5"/>
  <c r="BB192" i="5" s="1"/>
  <c r="K192" i="5"/>
  <c r="E192" i="5"/>
  <c r="AY191" i="5"/>
  <c r="AG191" i="5"/>
  <c r="AT191" i="5" s="1"/>
  <c r="AA191" i="5"/>
  <c r="U191" i="5"/>
  <c r="O191" i="5"/>
  <c r="AZ191" i="5" s="1"/>
  <c r="I191" i="5"/>
  <c r="AE190" i="5"/>
  <c r="Y190" i="5"/>
  <c r="S190" i="5"/>
  <c r="M190" i="5"/>
  <c r="G190" i="5"/>
  <c r="AI189" i="5"/>
  <c r="AV189" i="5" s="1"/>
  <c r="AC189" i="5"/>
  <c r="W189" i="5"/>
  <c r="Q189" i="5"/>
  <c r="BB189" i="5" s="1"/>
  <c r="K189" i="5"/>
  <c r="E189" i="5"/>
  <c r="AY188" i="5"/>
  <c r="AG188" i="5"/>
  <c r="AA188" i="5"/>
  <c r="U188" i="5"/>
  <c r="O188" i="5"/>
  <c r="AZ188" i="5" s="1"/>
  <c r="I188" i="5"/>
  <c r="AE187" i="5"/>
  <c r="AR187" i="5" s="1"/>
  <c r="Y187" i="5"/>
  <c r="S187" i="5"/>
  <c r="M187" i="5"/>
  <c r="G187" i="5"/>
  <c r="AI186" i="5"/>
  <c r="AC186" i="5"/>
  <c r="W186" i="5"/>
  <c r="Q186" i="5"/>
  <c r="BB186" i="5" s="1"/>
  <c r="K186" i="5"/>
  <c r="E186" i="5"/>
  <c r="AY185" i="5"/>
  <c r="AG185" i="5"/>
  <c r="AT185" i="5" s="1"/>
  <c r="AA185" i="5"/>
  <c r="U185" i="5"/>
  <c r="O185" i="5"/>
  <c r="I185" i="5"/>
  <c r="AX153" i="5"/>
  <c r="AJ153" i="5"/>
  <c r="AD153" i="5"/>
  <c r="AZ153" i="5" s="1"/>
  <c r="X153" i="5"/>
  <c r="R153" i="5"/>
  <c r="L153" i="5"/>
  <c r="F153" i="5"/>
  <c r="AY151" i="5"/>
  <c r="AA360" i="5"/>
  <c r="H352" i="5"/>
  <c r="U341" i="5"/>
  <c r="Q339" i="5"/>
  <c r="M337" i="5"/>
  <c r="AJ332" i="5"/>
  <c r="AW332" i="5" s="1"/>
  <c r="G331" i="5"/>
  <c r="W330" i="5"/>
  <c r="AK330" i="5" s="1"/>
  <c r="S328" i="5"/>
  <c r="AI327" i="5"/>
  <c r="AV327" i="5" s="1"/>
  <c r="AY326" i="5"/>
  <c r="O326" i="5"/>
  <c r="AE325" i="5"/>
  <c r="K324" i="5"/>
  <c r="Z323" i="5"/>
  <c r="AN323" i="5" s="1"/>
  <c r="T322" i="5"/>
  <c r="AJ321" i="5"/>
  <c r="AW321" i="5" s="1"/>
  <c r="R321" i="5"/>
  <c r="AC320" i="5"/>
  <c r="Q320" i="5"/>
  <c r="E320" i="5"/>
  <c r="AG319" i="5"/>
  <c r="AT319" i="5" s="1"/>
  <c r="V319" i="5"/>
  <c r="N319" i="5"/>
  <c r="D319" i="5"/>
  <c r="AD207" i="5"/>
  <c r="AQ207" i="5" s="1"/>
  <c r="V207" i="5"/>
  <c r="L207" i="5"/>
  <c r="D207" i="5"/>
  <c r="AB206" i="5"/>
  <c r="AO206" i="5" s="1"/>
  <c r="T206" i="5"/>
  <c r="J206" i="5"/>
  <c r="AJ205" i="5"/>
  <c r="AW205" i="5" s="1"/>
  <c r="Z205" i="5"/>
  <c r="AN205" i="5" s="1"/>
  <c r="R205" i="5"/>
  <c r="H205" i="5"/>
  <c r="AH204" i="5"/>
  <c r="AU204" i="5" s="1"/>
  <c r="X204" i="5"/>
  <c r="AL204" i="5" s="1"/>
  <c r="P204" i="5"/>
  <c r="BA204" i="5" s="1"/>
  <c r="F204" i="5"/>
  <c r="AX203" i="5"/>
  <c r="AG203" i="5"/>
  <c r="AT203" i="5" s="1"/>
  <c r="Z203" i="5"/>
  <c r="AN203" i="5" s="1"/>
  <c r="T203" i="5"/>
  <c r="N203" i="5"/>
  <c r="H203" i="5"/>
  <c r="AJ202" i="5"/>
  <c r="AW202" i="5" s="1"/>
  <c r="AD202" i="5"/>
  <c r="AQ202" i="5" s="1"/>
  <c r="X202" i="5"/>
  <c r="AL202" i="5" s="1"/>
  <c r="R202" i="5"/>
  <c r="L202" i="5"/>
  <c r="F202" i="5"/>
  <c r="AH201" i="5"/>
  <c r="AU201" i="5" s="1"/>
  <c r="AB201" i="5"/>
  <c r="AO201" i="5" s="1"/>
  <c r="V201" i="5"/>
  <c r="P201" i="5"/>
  <c r="BA201" i="5" s="1"/>
  <c r="J201" i="5"/>
  <c r="D201" i="5"/>
  <c r="AX200" i="5"/>
  <c r="AF200" i="5"/>
  <c r="AS200" i="5" s="1"/>
  <c r="Z200" i="5"/>
  <c r="AN200" i="5" s="1"/>
  <c r="T200" i="5"/>
  <c r="N200" i="5"/>
  <c r="H200" i="5"/>
  <c r="AJ199" i="5"/>
  <c r="AW199" i="5" s="1"/>
  <c r="AD199" i="5"/>
  <c r="AQ199" i="5" s="1"/>
  <c r="X199" i="5"/>
  <c r="AL199" i="5" s="1"/>
  <c r="R199" i="5"/>
  <c r="L199" i="5"/>
  <c r="F199" i="5"/>
  <c r="AH198" i="5"/>
  <c r="AB198" i="5"/>
  <c r="AO198" i="5" s="1"/>
  <c r="V198" i="5"/>
  <c r="P198" i="5"/>
  <c r="BA198" i="5" s="1"/>
  <c r="J198" i="5"/>
  <c r="D198" i="5"/>
  <c r="AX197" i="5"/>
  <c r="AF197" i="5"/>
  <c r="AS197" i="5" s="1"/>
  <c r="Z197" i="5"/>
  <c r="AN197" i="5" s="1"/>
  <c r="T197" i="5"/>
  <c r="N197" i="5"/>
  <c r="H197" i="5"/>
  <c r="AJ196" i="5"/>
  <c r="AD196" i="5"/>
  <c r="AQ196" i="5" s="1"/>
  <c r="X196" i="5"/>
  <c r="AL196" i="5" s="1"/>
  <c r="R196" i="5"/>
  <c r="L196" i="5"/>
  <c r="F196" i="5"/>
  <c r="AH195" i="5"/>
  <c r="AU195" i="5" s="1"/>
  <c r="AB195" i="5"/>
  <c r="AO195" i="5" s="1"/>
  <c r="V195" i="5"/>
  <c r="P195" i="5"/>
  <c r="BA195" i="5" s="1"/>
  <c r="J195" i="5"/>
  <c r="D195" i="5"/>
  <c r="AX194" i="5"/>
  <c r="AF194" i="5"/>
  <c r="AS194" i="5" s="1"/>
  <c r="Z194" i="5"/>
  <c r="T194" i="5"/>
  <c r="N194" i="5"/>
  <c r="H194" i="5"/>
  <c r="AJ193" i="5"/>
  <c r="AW193" i="5" s="1"/>
  <c r="AD193" i="5"/>
  <c r="AQ193" i="5" s="1"/>
  <c r="X193" i="5"/>
  <c r="AL193" i="5" s="1"/>
  <c r="R193" i="5"/>
  <c r="L193" i="5"/>
  <c r="F193" i="5"/>
  <c r="AH192" i="5"/>
  <c r="AU192" i="5" s="1"/>
  <c r="AB192" i="5"/>
  <c r="AO192" i="5" s="1"/>
  <c r="V192" i="5"/>
  <c r="P192" i="5"/>
  <c r="BA192" i="5" s="1"/>
  <c r="J192" i="5"/>
  <c r="D192" i="5"/>
  <c r="AX191" i="5"/>
  <c r="AF191" i="5"/>
  <c r="AS191" i="5" s="1"/>
  <c r="Z191" i="5"/>
  <c r="AN191" i="5" s="1"/>
  <c r="T191" i="5"/>
  <c r="N191" i="5"/>
  <c r="H191" i="5"/>
  <c r="AJ190" i="5"/>
  <c r="AW190" i="5" s="1"/>
  <c r="AD190" i="5"/>
  <c r="AQ190" i="5" s="1"/>
  <c r="X190" i="5"/>
  <c r="R190" i="5"/>
  <c r="L190" i="5"/>
  <c r="F190" i="5"/>
  <c r="AH189" i="5"/>
  <c r="AU189" i="5" s="1"/>
  <c r="AB189" i="5"/>
  <c r="AO189" i="5" s="1"/>
  <c r="V189" i="5"/>
  <c r="P189" i="5"/>
  <c r="BA189" i="5" s="1"/>
  <c r="J189" i="5"/>
  <c r="D189" i="5"/>
  <c r="AX188" i="5"/>
  <c r="AF188" i="5"/>
  <c r="AS188" i="5" s="1"/>
  <c r="Z188" i="5"/>
  <c r="AN188" i="5" s="1"/>
  <c r="T188" i="5"/>
  <c r="N188" i="5"/>
  <c r="H188" i="5"/>
  <c r="AJ187" i="5"/>
  <c r="AW187" i="5" s="1"/>
  <c r="AD187" i="5"/>
  <c r="AQ187" i="5" s="1"/>
  <c r="X187" i="5"/>
  <c r="AL187" i="5" s="1"/>
  <c r="R187" i="5"/>
  <c r="L187" i="5"/>
  <c r="F187" i="5"/>
  <c r="AH186" i="5"/>
  <c r="AU186" i="5" s="1"/>
  <c r="AB186" i="5"/>
  <c r="AO186" i="5" s="1"/>
  <c r="V186" i="5"/>
  <c r="P186" i="5"/>
  <c r="BA186" i="5" s="1"/>
  <c r="J186" i="5"/>
  <c r="D186" i="5"/>
  <c r="AX185" i="5"/>
  <c r="AF185" i="5"/>
  <c r="AS185" i="5" s="1"/>
  <c r="Z185" i="5"/>
  <c r="AN185" i="5" s="1"/>
  <c r="T185" i="5"/>
  <c r="N185" i="5"/>
  <c r="H185" i="5"/>
  <c r="AI153" i="5"/>
  <c r="AV153" i="5" s="1"/>
  <c r="AC153" i="5"/>
  <c r="AP153" i="5" s="1"/>
  <c r="W153" i="5"/>
  <c r="AK153" i="5" s="1"/>
  <c r="Q153" i="5"/>
  <c r="K153" i="5"/>
  <c r="E153" i="5"/>
  <c r="AX151" i="5"/>
  <c r="AF151" i="5"/>
  <c r="Z151" i="5"/>
  <c r="AN151" i="5" s="1"/>
  <c r="T151" i="5"/>
  <c r="N151" i="5"/>
  <c r="H151" i="5"/>
  <c r="AJ150" i="5"/>
  <c r="AW150" i="5" s="1"/>
  <c r="AD150" i="5"/>
  <c r="X150" i="5"/>
  <c r="AL150" i="5" s="1"/>
  <c r="R150" i="5"/>
  <c r="L150" i="5"/>
  <c r="F150" i="5"/>
  <c r="AB149" i="5"/>
  <c r="AO149" i="5" s="1"/>
  <c r="V149" i="5"/>
  <c r="P149" i="5"/>
  <c r="J149" i="5"/>
  <c r="D149" i="5"/>
  <c r="AX148" i="5"/>
  <c r="AF148" i="5"/>
  <c r="Z148" i="5"/>
  <c r="AN148" i="5" s="1"/>
  <c r="T148" i="5"/>
  <c r="N148" i="5"/>
  <c r="H148" i="5"/>
  <c r="AJ147" i="5"/>
  <c r="AD147" i="5"/>
  <c r="X147" i="5"/>
  <c r="AL147" i="5" s="1"/>
  <c r="R147" i="5"/>
  <c r="L147" i="5"/>
  <c r="F147" i="5"/>
  <c r="AB146" i="5"/>
  <c r="AO146" i="5" s="1"/>
  <c r="V146" i="5"/>
  <c r="P146" i="5"/>
  <c r="J146" i="5"/>
  <c r="D146" i="5"/>
  <c r="AH92" i="5"/>
  <c r="AU92" i="5" s="1"/>
  <c r="AB92" i="5"/>
  <c r="AO92" i="5" s="1"/>
  <c r="V92" i="5"/>
  <c r="P92" i="5"/>
  <c r="J92" i="5"/>
  <c r="D92" i="5"/>
  <c r="AX91" i="5"/>
  <c r="AF91" i="5"/>
  <c r="Z91" i="5"/>
  <c r="AN91" i="5" s="1"/>
  <c r="T91" i="5"/>
  <c r="N91" i="5"/>
  <c r="H91" i="5"/>
  <c r="AJ90" i="5"/>
  <c r="AW90" i="5" s="1"/>
  <c r="AD90" i="5"/>
  <c r="X90" i="5"/>
  <c r="R90" i="5"/>
  <c r="L90" i="5"/>
  <c r="F90" i="5"/>
  <c r="AE65" i="5"/>
  <c r="Y65" i="5"/>
  <c r="AM65" i="5" s="1"/>
  <c r="S65" i="5"/>
  <c r="M65" i="5"/>
  <c r="G65" i="5"/>
  <c r="AI64" i="5"/>
  <c r="AV64" i="5" s="1"/>
  <c r="AC64" i="5"/>
  <c r="AP64" i="5" s="1"/>
  <c r="W64" i="5"/>
  <c r="AK64" i="5" s="1"/>
  <c r="Q64" i="5"/>
  <c r="K64" i="5"/>
  <c r="E64" i="5"/>
  <c r="AY63" i="5"/>
  <c r="AG63" i="5"/>
  <c r="AA63" i="5"/>
  <c r="AH358" i="5"/>
  <c r="AU358" i="5" s="1"/>
  <c r="F351" i="5"/>
  <c r="AY338" i="5"/>
  <c r="AG335" i="5"/>
  <c r="AT335" i="5" s="1"/>
  <c r="AE334" i="5"/>
  <c r="AC333" i="5"/>
  <c r="AP333" i="5" s="1"/>
  <c r="AA332" i="5"/>
  <c r="Q330" i="5"/>
  <c r="AG329" i="5"/>
  <c r="AT329" i="5" s="1"/>
  <c r="M328" i="5"/>
  <c r="AC327" i="5"/>
  <c r="AP327" i="5" s="1"/>
  <c r="I326" i="5"/>
  <c r="Y325" i="5"/>
  <c r="AM325" i="5" s="1"/>
  <c r="E324" i="5"/>
  <c r="T323" i="5"/>
  <c r="AJ322" i="5"/>
  <c r="AW322" i="5" s="1"/>
  <c r="R322" i="5"/>
  <c r="AH321" i="5"/>
  <c r="AU321" i="5" s="1"/>
  <c r="P321" i="5"/>
  <c r="AB320" i="5"/>
  <c r="AO320" i="5" s="1"/>
  <c r="P320" i="5"/>
  <c r="D320" i="5"/>
  <c r="AF319" i="5"/>
  <c r="U319" i="5"/>
  <c r="L319" i="5"/>
  <c r="AC207" i="5"/>
  <c r="AP207" i="5" s="1"/>
  <c r="T207" i="5"/>
  <c r="K207" i="5"/>
  <c r="AJ206" i="5"/>
  <c r="AA206" i="5"/>
  <c r="R206" i="5"/>
  <c r="I206" i="5"/>
  <c r="AH205" i="5"/>
  <c r="AU205" i="5" s="1"/>
  <c r="Y205" i="5"/>
  <c r="P205" i="5"/>
  <c r="BA205" i="5" s="1"/>
  <c r="G205" i="5"/>
  <c r="AX204" i="5"/>
  <c r="AF204" i="5"/>
  <c r="AS204" i="5" s="1"/>
  <c r="W204" i="5"/>
  <c r="AK204" i="5" s="1"/>
  <c r="N204" i="5"/>
  <c r="E204" i="5"/>
  <c r="AF203" i="5"/>
  <c r="AS203" i="5" s="1"/>
  <c r="Y203" i="5"/>
  <c r="AM203" i="5" s="1"/>
  <c r="S203" i="5"/>
  <c r="M203" i="5"/>
  <c r="G203" i="5"/>
  <c r="AI202" i="5"/>
  <c r="AC202" i="5"/>
  <c r="AP202" i="5" s="1"/>
  <c r="W202" i="5"/>
  <c r="AK202" i="5" s="1"/>
  <c r="Q202" i="5"/>
  <c r="BB202" i="5" s="1"/>
  <c r="K202" i="5"/>
  <c r="E202" i="5"/>
  <c r="AY201" i="5"/>
  <c r="AG201" i="5"/>
  <c r="AT201" i="5" s="1"/>
  <c r="AA201" i="5"/>
  <c r="U201" i="5"/>
  <c r="O201" i="5"/>
  <c r="AZ201" i="5" s="1"/>
  <c r="AI336" i="5"/>
  <c r="AV336" i="5" s="1"/>
  <c r="AF322" i="5"/>
  <c r="T319" i="5"/>
  <c r="AJ207" i="5"/>
  <c r="AW207" i="5" s="1"/>
  <c r="AH206" i="5"/>
  <c r="AF205" i="5"/>
  <c r="AD204" i="5"/>
  <c r="AQ204" i="5" s="1"/>
  <c r="AD203" i="5"/>
  <c r="AQ203" i="5" s="1"/>
  <c r="J202" i="5"/>
  <c r="Z201" i="5"/>
  <c r="AJ200" i="5"/>
  <c r="AW200" i="5" s="1"/>
  <c r="R200" i="5"/>
  <c r="P199" i="5"/>
  <c r="BA199" i="5" s="1"/>
  <c r="AX198" i="5"/>
  <c r="AF198" i="5"/>
  <c r="N198" i="5"/>
  <c r="AD197" i="5"/>
  <c r="AQ197" i="5" s="1"/>
  <c r="L197" i="5"/>
  <c r="AB196" i="5"/>
  <c r="J196" i="5"/>
  <c r="Z195" i="5"/>
  <c r="H195" i="5"/>
  <c r="X194" i="5"/>
  <c r="AL194" i="5" s="1"/>
  <c r="F194" i="5"/>
  <c r="V193" i="5"/>
  <c r="D193" i="5"/>
  <c r="T192" i="5"/>
  <c r="AJ191" i="5"/>
  <c r="AW191" i="5" s="1"/>
  <c r="R191" i="5"/>
  <c r="AH190" i="5"/>
  <c r="AU190" i="5" s="1"/>
  <c r="P190" i="5"/>
  <c r="BA190" i="5" s="1"/>
  <c r="AX189" i="5"/>
  <c r="AF189" i="5"/>
  <c r="AS189" i="5" s="1"/>
  <c r="N189" i="5"/>
  <c r="AD188" i="5"/>
  <c r="AQ188" i="5" s="1"/>
  <c r="L188" i="5"/>
  <c r="AB187" i="5"/>
  <c r="AO187" i="5" s="1"/>
  <c r="J187" i="5"/>
  <c r="Z186" i="5"/>
  <c r="AN186" i="5" s="1"/>
  <c r="H186" i="5"/>
  <c r="X185" i="5"/>
  <c r="AL185" i="5" s="1"/>
  <c r="F185" i="5"/>
  <c r="P153" i="5"/>
  <c r="Y151" i="5"/>
  <c r="AM151" i="5" s="1"/>
  <c r="M151" i="5"/>
  <c r="AC150" i="5"/>
  <c r="AP150" i="5" s="1"/>
  <c r="Q150" i="5"/>
  <c r="E150" i="5"/>
  <c r="AG149" i="5"/>
  <c r="AT149" i="5" s="1"/>
  <c r="U149" i="5"/>
  <c r="I149" i="5"/>
  <c r="Y148" i="5"/>
  <c r="AM148" i="5" s="1"/>
  <c r="M148" i="5"/>
  <c r="AC147" i="5"/>
  <c r="AP147" i="5" s="1"/>
  <c r="Q147" i="5"/>
  <c r="E147" i="5"/>
  <c r="AI146" i="5"/>
  <c r="W146" i="5"/>
  <c r="K146" i="5"/>
  <c r="AG92" i="5"/>
  <c r="U92" i="5"/>
  <c r="I92" i="5"/>
  <c r="Y91" i="5"/>
  <c r="AM91" i="5" s="1"/>
  <c r="M91" i="5"/>
  <c r="AC90" i="5"/>
  <c r="AP90" i="5" s="1"/>
  <c r="Q90" i="5"/>
  <c r="G90" i="5"/>
  <c r="AY65" i="5"/>
  <c r="AG65" i="5"/>
  <c r="X65" i="5"/>
  <c r="O65" i="5"/>
  <c r="F65" i="5"/>
  <c r="AE64" i="5"/>
  <c r="V64" i="5"/>
  <c r="M64" i="5"/>
  <c r="D64" i="5"/>
  <c r="AC63" i="5"/>
  <c r="V63" i="5"/>
  <c r="P63" i="5"/>
  <c r="J63" i="5"/>
  <c r="D63" i="5"/>
  <c r="AX62" i="5"/>
  <c r="AF62" i="5"/>
  <c r="Z62" i="5"/>
  <c r="T62" i="5"/>
  <c r="N62" i="5"/>
  <c r="H62" i="5"/>
  <c r="AD61" i="5"/>
  <c r="X61" i="5"/>
  <c r="R61" i="5"/>
  <c r="L61" i="5"/>
  <c r="F61" i="5"/>
  <c r="AH60" i="5"/>
  <c r="AB60" i="5"/>
  <c r="V60" i="5"/>
  <c r="P60" i="5"/>
  <c r="J60" i="5"/>
  <c r="D60" i="5"/>
  <c r="AX59" i="5"/>
  <c r="AF59" i="5"/>
  <c r="Z59" i="5"/>
  <c r="T59" i="5"/>
  <c r="N59" i="5"/>
  <c r="H59" i="5"/>
  <c r="AJ58" i="5"/>
  <c r="AD58" i="5"/>
  <c r="X58" i="5"/>
  <c r="R58" i="5"/>
  <c r="L58" i="5"/>
  <c r="F58" i="5"/>
  <c r="AB57" i="5"/>
  <c r="V57" i="5"/>
  <c r="P57" i="5"/>
  <c r="J57" i="5"/>
  <c r="D57" i="5"/>
  <c r="AX56" i="5"/>
  <c r="AF56" i="5"/>
  <c r="Z56" i="5"/>
  <c r="T56" i="5"/>
  <c r="N56" i="5"/>
  <c r="H56" i="5"/>
  <c r="AJ55" i="5"/>
  <c r="AD55" i="5"/>
  <c r="X55" i="5"/>
  <c r="R55" i="5"/>
  <c r="L55" i="5"/>
  <c r="F55" i="5"/>
  <c r="AH54" i="5"/>
  <c r="AB54" i="5"/>
  <c r="V54" i="5"/>
  <c r="P54" i="5"/>
  <c r="J54" i="5"/>
  <c r="D54" i="5"/>
  <c r="AX53" i="5"/>
  <c r="AF53" i="5"/>
  <c r="Z53" i="5"/>
  <c r="T53" i="5"/>
  <c r="N53" i="5"/>
  <c r="H53" i="5"/>
  <c r="AJ52" i="5"/>
  <c r="AD52" i="5"/>
  <c r="X52" i="5"/>
  <c r="R52" i="5"/>
  <c r="L52" i="5"/>
  <c r="F52" i="5"/>
  <c r="AH51" i="5"/>
  <c r="AB51" i="5"/>
  <c r="V51" i="5"/>
  <c r="P51" i="5"/>
  <c r="J51" i="5"/>
  <c r="D51" i="5"/>
  <c r="AX50" i="5"/>
  <c r="AF50" i="5"/>
  <c r="Z50" i="5"/>
  <c r="T50" i="5"/>
  <c r="N50" i="5"/>
  <c r="H50" i="5"/>
  <c r="AJ49" i="5"/>
  <c r="AD49" i="5"/>
  <c r="X49" i="5"/>
  <c r="R49" i="5"/>
  <c r="L49" i="5"/>
  <c r="F49" i="5"/>
  <c r="AH48" i="5"/>
  <c r="AB48" i="5"/>
  <c r="V48" i="5"/>
  <c r="P48" i="5"/>
  <c r="J48" i="5"/>
  <c r="D48" i="5"/>
  <c r="AX47" i="5"/>
  <c r="AF47" i="5"/>
  <c r="Z47" i="5"/>
  <c r="T47" i="5"/>
  <c r="N47" i="5"/>
  <c r="H47" i="5"/>
  <c r="AJ46" i="5"/>
  <c r="AD46" i="5"/>
  <c r="X46" i="5"/>
  <c r="R46" i="5"/>
  <c r="L46" i="5"/>
  <c r="F46" i="5"/>
  <c r="AH45" i="5"/>
  <c r="AB45" i="5"/>
  <c r="V45" i="5"/>
  <c r="P45" i="5"/>
  <c r="J45" i="5"/>
  <c r="D45" i="5"/>
  <c r="AX44" i="5"/>
  <c r="AF44" i="5"/>
  <c r="Z44" i="5"/>
  <c r="T44" i="5"/>
  <c r="N44" i="5"/>
  <c r="H44" i="5"/>
  <c r="AJ43" i="5"/>
  <c r="AD43" i="5"/>
  <c r="X43" i="5"/>
  <c r="R43" i="5"/>
  <c r="L43" i="5"/>
  <c r="F43" i="5"/>
  <c r="AF42" i="5"/>
  <c r="Z42" i="5"/>
  <c r="T42" i="5"/>
  <c r="N42" i="5"/>
  <c r="H42" i="5"/>
  <c r="AB41" i="5"/>
  <c r="V41" i="5"/>
  <c r="P41" i="5"/>
  <c r="J41" i="5"/>
  <c r="D41" i="5"/>
  <c r="AX40" i="5"/>
  <c r="AF40" i="5"/>
  <c r="Z40" i="5"/>
  <c r="T40" i="5"/>
  <c r="N40" i="5"/>
  <c r="H40" i="5"/>
  <c r="E357" i="5"/>
  <c r="X335" i="5"/>
  <c r="AL335" i="5" s="1"/>
  <c r="K330" i="5"/>
  <c r="N322" i="5"/>
  <c r="Z320" i="5"/>
  <c r="AN320" i="5" s="1"/>
  <c r="J319" i="5"/>
  <c r="AB207" i="5"/>
  <c r="AO207" i="5" s="1"/>
  <c r="Z206" i="5"/>
  <c r="AN206" i="5" s="1"/>
  <c r="X205" i="5"/>
  <c r="AL205" i="5" s="1"/>
  <c r="V204" i="5"/>
  <c r="X203" i="5"/>
  <c r="AL203" i="5" s="1"/>
  <c r="D202" i="5"/>
  <c r="T201" i="5"/>
  <c r="AE200" i="5"/>
  <c r="M200" i="5"/>
  <c r="AC199" i="5"/>
  <c r="AP199" i="5" s="1"/>
  <c r="K199" i="5"/>
  <c r="AA198" i="5"/>
  <c r="I198" i="5"/>
  <c r="Y197" i="5"/>
  <c r="AM197" i="5" s="1"/>
  <c r="G197" i="5"/>
  <c r="W196" i="5"/>
  <c r="AK196" i="5" s="1"/>
  <c r="E196" i="5"/>
  <c r="U195" i="5"/>
  <c r="S194" i="5"/>
  <c r="AI193" i="5"/>
  <c r="Q193" i="5"/>
  <c r="BB193" i="5" s="1"/>
  <c r="AY192" i="5"/>
  <c r="AG192" i="5"/>
  <c r="AT192" i="5" s="1"/>
  <c r="O192" i="5"/>
  <c r="AZ192" i="5" s="1"/>
  <c r="AE191" i="5"/>
  <c r="M191" i="5"/>
  <c r="AC190" i="5"/>
  <c r="AP190" i="5" s="1"/>
  <c r="K190" i="5"/>
  <c r="AA189" i="5"/>
  <c r="I189" i="5"/>
  <c r="Y188" i="5"/>
  <c r="AM188" i="5" s="1"/>
  <c r="G188" i="5"/>
  <c r="W187" i="5"/>
  <c r="AK187" i="5" s="1"/>
  <c r="E187" i="5"/>
  <c r="U186" i="5"/>
  <c r="S185" i="5"/>
  <c r="AG153" i="5"/>
  <c r="AT153" i="5" s="1"/>
  <c r="O153" i="5"/>
  <c r="AJ151" i="5"/>
  <c r="AW151" i="5" s="1"/>
  <c r="X151" i="5"/>
  <c r="L151" i="5"/>
  <c r="AB150" i="5"/>
  <c r="P150" i="5"/>
  <c r="D150" i="5"/>
  <c r="AF149" i="5"/>
  <c r="T149" i="5"/>
  <c r="H149" i="5"/>
  <c r="AJ148" i="5"/>
  <c r="X148" i="5"/>
  <c r="L148" i="5"/>
  <c r="AB147" i="5"/>
  <c r="P147" i="5"/>
  <c r="D147" i="5"/>
  <c r="AG146" i="5"/>
  <c r="U146" i="5"/>
  <c r="I146" i="5"/>
  <c r="AF92" i="5"/>
  <c r="T92" i="5"/>
  <c r="H92" i="5"/>
  <c r="AJ91" i="5"/>
  <c r="X91" i="5"/>
  <c r="AL91" i="5" s="1"/>
  <c r="L91" i="5"/>
  <c r="AB90" i="5"/>
  <c r="P90" i="5"/>
  <c r="E90" i="5"/>
  <c r="AX65" i="5"/>
  <c r="AF65" i="5"/>
  <c r="W65" i="5"/>
  <c r="N65" i="5"/>
  <c r="E65" i="5"/>
  <c r="AD64" i="5"/>
  <c r="U64" i="5"/>
  <c r="L64" i="5"/>
  <c r="AB63" i="5"/>
  <c r="U63" i="5"/>
  <c r="O63" i="5"/>
  <c r="I63" i="5"/>
  <c r="AE62" i="5"/>
  <c r="Y62" i="5"/>
  <c r="S62" i="5"/>
  <c r="M62" i="5"/>
  <c r="G62" i="5"/>
  <c r="AI61" i="5"/>
  <c r="AV61" i="5" s="1"/>
  <c r="AC61" i="5"/>
  <c r="W61" i="5"/>
  <c r="Q61" i="5"/>
  <c r="K61" i="5"/>
  <c r="E61" i="5"/>
  <c r="AY60" i="5"/>
  <c r="AG60" i="5"/>
  <c r="AA60" i="5"/>
  <c r="U60" i="5"/>
  <c r="O60" i="5"/>
  <c r="I60" i="5"/>
  <c r="AE59" i="5"/>
  <c r="Y59" i="5"/>
  <c r="S59" i="5"/>
  <c r="M59" i="5"/>
  <c r="G59" i="5"/>
  <c r="AI58" i="5"/>
  <c r="AC58" i="5"/>
  <c r="AP58" i="5" s="1"/>
  <c r="W58" i="5"/>
  <c r="Q58" i="5"/>
  <c r="K58" i="5"/>
  <c r="E58" i="5"/>
  <c r="AY57" i="5"/>
  <c r="AG57" i="5"/>
  <c r="AT57" i="5" s="1"/>
  <c r="AA57" i="5"/>
  <c r="U57" i="5"/>
  <c r="O57" i="5"/>
  <c r="I57" i="5"/>
  <c r="AE56" i="5"/>
  <c r="Y56" i="5"/>
  <c r="AM56" i="5" s="1"/>
  <c r="S56" i="5"/>
  <c r="M56" i="5"/>
  <c r="G56" i="5"/>
  <c r="AI55" i="5"/>
  <c r="AC55" i="5"/>
  <c r="W55" i="5"/>
  <c r="AK55" i="5" s="1"/>
  <c r="Q55" i="5"/>
  <c r="K55" i="5"/>
  <c r="E55" i="5"/>
  <c r="AY54" i="5"/>
  <c r="AG54" i="5"/>
  <c r="AA54" i="5"/>
  <c r="U54" i="5"/>
  <c r="O54" i="5"/>
  <c r="I54" i="5"/>
  <c r="AE53" i="5"/>
  <c r="Y53" i="5"/>
  <c r="S53" i="5"/>
  <c r="M53" i="5"/>
  <c r="G53" i="5"/>
  <c r="AI52" i="5"/>
  <c r="AC52" i="5"/>
  <c r="W52" i="5"/>
  <c r="Q52" i="5"/>
  <c r="K52" i="5"/>
  <c r="E52" i="5"/>
  <c r="AY51" i="5"/>
  <c r="AG51" i="5"/>
  <c r="AA51" i="5"/>
  <c r="U51" i="5"/>
  <c r="O51" i="5"/>
  <c r="I51" i="5"/>
  <c r="AE50" i="5"/>
  <c r="Y50" i="5"/>
  <c r="S50" i="5"/>
  <c r="M50" i="5"/>
  <c r="G50" i="5"/>
  <c r="AI49" i="5"/>
  <c r="AV49" i="5" s="1"/>
  <c r="AC49" i="5"/>
  <c r="W49" i="5"/>
  <c r="Q49" i="5"/>
  <c r="K49" i="5"/>
  <c r="E49" i="5"/>
  <c r="AY48" i="5"/>
  <c r="AG48" i="5"/>
  <c r="AA48" i="5"/>
  <c r="U48" i="5"/>
  <c r="O48" i="5"/>
  <c r="I48" i="5"/>
  <c r="AE47" i="5"/>
  <c r="Y47" i="5"/>
  <c r="S47" i="5"/>
  <c r="M47" i="5"/>
  <c r="G47" i="5"/>
  <c r="AI46" i="5"/>
  <c r="AC46" i="5"/>
  <c r="W46" i="5"/>
  <c r="Q46" i="5"/>
  <c r="K46" i="5"/>
  <c r="E46" i="5"/>
  <c r="AY45" i="5"/>
  <c r="AG45" i="5"/>
  <c r="AT45" i="5" s="1"/>
  <c r="AA45" i="5"/>
  <c r="U45" i="5"/>
  <c r="O45" i="5"/>
  <c r="I45" i="5"/>
  <c r="AE44" i="5"/>
  <c r="Y44" i="5"/>
  <c r="S44" i="5"/>
  <c r="M44" i="5"/>
  <c r="G44" i="5"/>
  <c r="AI43" i="5"/>
  <c r="AV43" i="5" s="1"/>
  <c r="AC43" i="5"/>
  <c r="W43" i="5"/>
  <c r="Q43" i="5"/>
  <c r="K43" i="5"/>
  <c r="E43" i="5"/>
  <c r="AY42" i="5"/>
  <c r="AE42" i="5"/>
  <c r="BA42" i="5" s="1"/>
  <c r="Y42" i="5"/>
  <c r="S42" i="5"/>
  <c r="M42" i="5"/>
  <c r="G42" i="5"/>
  <c r="AG41" i="5"/>
  <c r="AT41" i="5" s="1"/>
  <c r="AA41" i="5"/>
  <c r="U41" i="5"/>
  <c r="O41" i="5"/>
  <c r="I41" i="5"/>
  <c r="AE40" i="5"/>
  <c r="Y40" i="5"/>
  <c r="AM40" i="5" s="1"/>
  <c r="S40" i="5"/>
  <c r="M40" i="5"/>
  <c r="G40" i="5"/>
  <c r="D350" i="5"/>
  <c r="V334" i="5"/>
  <c r="AA329" i="5"/>
  <c r="S325" i="5"/>
  <c r="N320" i="5"/>
  <c r="R207" i="5"/>
  <c r="P206" i="5"/>
  <c r="BA206" i="5" s="1"/>
  <c r="N205" i="5"/>
  <c r="L204" i="5"/>
  <c r="R203" i="5"/>
  <c r="AH202" i="5"/>
  <c r="AU202" i="5" s="1"/>
  <c r="AX201" i="5"/>
  <c r="N201" i="5"/>
  <c r="AD200" i="5"/>
  <c r="AQ200" i="5" s="1"/>
  <c r="L200" i="5"/>
  <c r="AB199" i="5"/>
  <c r="AO199" i="5" s="1"/>
  <c r="J199" i="5"/>
  <c r="Z198" i="5"/>
  <c r="AN198" i="5" s="1"/>
  <c r="H198" i="5"/>
  <c r="X197" i="5"/>
  <c r="AL197" i="5" s="1"/>
  <c r="F197" i="5"/>
  <c r="V196" i="5"/>
  <c r="D196" i="5"/>
  <c r="T195" i="5"/>
  <c r="AJ194" i="5"/>
  <c r="AW194" i="5" s="1"/>
  <c r="R194" i="5"/>
  <c r="AH193" i="5"/>
  <c r="AU193" i="5" s="1"/>
  <c r="P193" i="5"/>
  <c r="BA193" i="5" s="1"/>
  <c r="AX192" i="5"/>
  <c r="AF192" i="5"/>
  <c r="AS192" i="5" s="1"/>
  <c r="N192" i="5"/>
  <c r="AD191" i="5"/>
  <c r="AQ191" i="5" s="1"/>
  <c r="L191" i="5"/>
  <c r="AB190" i="5"/>
  <c r="AO190" i="5" s="1"/>
  <c r="J190" i="5"/>
  <c r="Z189" i="5"/>
  <c r="AN189" i="5" s="1"/>
  <c r="H189" i="5"/>
  <c r="X188" i="5"/>
  <c r="AL188" i="5" s="1"/>
  <c r="F188" i="5"/>
  <c r="V187" i="5"/>
  <c r="D187" i="5"/>
  <c r="T186" i="5"/>
  <c r="AJ185" i="5"/>
  <c r="AW185" i="5" s="1"/>
  <c r="R185" i="5"/>
  <c r="AB153" i="5"/>
  <c r="AO153" i="5" s="1"/>
  <c r="J153" i="5"/>
  <c r="AG151" i="5"/>
  <c r="U151" i="5"/>
  <c r="I151" i="5"/>
  <c r="Y150" i="5"/>
  <c r="M150" i="5"/>
  <c r="AC149" i="5"/>
  <c r="Q149" i="5"/>
  <c r="E149" i="5"/>
  <c r="AG148" i="5"/>
  <c r="U148" i="5"/>
  <c r="I148" i="5"/>
  <c r="Y147" i="5"/>
  <c r="M147" i="5"/>
  <c r="AF146" i="5"/>
  <c r="T146" i="5"/>
  <c r="H146" i="5"/>
  <c r="AC92" i="5"/>
  <c r="AP92" i="5" s="1"/>
  <c r="Q92" i="5"/>
  <c r="E92" i="5"/>
  <c r="AG91" i="5"/>
  <c r="U91" i="5"/>
  <c r="I91" i="5"/>
  <c r="Y90" i="5"/>
  <c r="AM90" i="5" s="1"/>
  <c r="M90" i="5"/>
  <c r="D90" i="5"/>
  <c r="AD65" i="5"/>
  <c r="U65" i="5"/>
  <c r="L65" i="5"/>
  <c r="AB64" i="5"/>
  <c r="AO64" i="5" s="1"/>
  <c r="S64" i="5"/>
  <c r="J64" i="5"/>
  <c r="AI63" i="5"/>
  <c r="AV63" i="5" s="1"/>
  <c r="Z63" i="5"/>
  <c r="T63" i="5"/>
  <c r="N63" i="5"/>
  <c r="H63" i="5"/>
  <c r="AJ62" i="5"/>
  <c r="AD62" i="5"/>
  <c r="X62" i="5"/>
  <c r="R62" i="5"/>
  <c r="L62" i="5"/>
  <c r="F62" i="5"/>
  <c r="AH61" i="5"/>
  <c r="AB61" i="5"/>
  <c r="V61" i="5"/>
  <c r="P61" i="5"/>
  <c r="J61" i="5"/>
  <c r="D61" i="5"/>
  <c r="AX60" i="5"/>
  <c r="AF60" i="5"/>
  <c r="Z60" i="5"/>
  <c r="T60" i="5"/>
  <c r="N60" i="5"/>
  <c r="H60" i="5"/>
  <c r="AJ59" i="5"/>
  <c r="AD59" i="5"/>
  <c r="X59" i="5"/>
  <c r="R59" i="5"/>
  <c r="L59" i="5"/>
  <c r="F59" i="5"/>
  <c r="AH58" i="5"/>
  <c r="AB58" i="5"/>
  <c r="V58" i="5"/>
  <c r="P58" i="5"/>
  <c r="J58" i="5"/>
  <c r="D58" i="5"/>
  <c r="AX57" i="5"/>
  <c r="AF57" i="5"/>
  <c r="Z57" i="5"/>
  <c r="T57" i="5"/>
  <c r="N57" i="5"/>
  <c r="H57" i="5"/>
  <c r="AJ56" i="5"/>
  <c r="AD56" i="5"/>
  <c r="X56" i="5"/>
  <c r="R56" i="5"/>
  <c r="L56" i="5"/>
  <c r="F56" i="5"/>
  <c r="AH55" i="5"/>
  <c r="AU55" i="5" s="1"/>
  <c r="AB55" i="5"/>
  <c r="V55" i="5"/>
  <c r="P55" i="5"/>
  <c r="J55" i="5"/>
  <c r="D55" i="5"/>
  <c r="AX54" i="5"/>
  <c r="AF54" i="5"/>
  <c r="Z54" i="5"/>
  <c r="T54" i="5"/>
  <c r="N54" i="5"/>
  <c r="H54" i="5"/>
  <c r="AJ53" i="5"/>
  <c r="AW53" i="5" s="1"/>
  <c r="AD53" i="5"/>
  <c r="X53" i="5"/>
  <c r="R53" i="5"/>
  <c r="L53" i="5"/>
  <c r="F53" i="5"/>
  <c r="AH52" i="5"/>
  <c r="AB52" i="5"/>
  <c r="V52" i="5"/>
  <c r="P52" i="5"/>
  <c r="J52" i="5"/>
  <c r="D52" i="5"/>
  <c r="AX51" i="5"/>
  <c r="AF51" i="5"/>
  <c r="Z51" i="5"/>
  <c r="T51" i="5"/>
  <c r="N51" i="5"/>
  <c r="H51" i="5"/>
  <c r="AJ50" i="5"/>
  <c r="AD50" i="5"/>
  <c r="X50" i="5"/>
  <c r="R50" i="5"/>
  <c r="L50" i="5"/>
  <c r="F50" i="5"/>
  <c r="AH49" i="5"/>
  <c r="AU49" i="5" s="1"/>
  <c r="AB49" i="5"/>
  <c r="V49" i="5"/>
  <c r="P49" i="5"/>
  <c r="J49" i="5"/>
  <c r="D49" i="5"/>
  <c r="AX48" i="5"/>
  <c r="AF48" i="5"/>
  <c r="Z48" i="5"/>
  <c r="T48" i="5"/>
  <c r="N48" i="5"/>
  <c r="H48" i="5"/>
  <c r="AJ47" i="5"/>
  <c r="AW47" i="5" s="1"/>
  <c r="AD47" i="5"/>
  <c r="X47" i="5"/>
  <c r="R47" i="5"/>
  <c r="L47" i="5"/>
  <c r="F47" i="5"/>
  <c r="AB46" i="5"/>
  <c r="V46" i="5"/>
  <c r="P46" i="5"/>
  <c r="J46" i="5"/>
  <c r="D46" i="5"/>
  <c r="AX45" i="5"/>
  <c r="AF45" i="5"/>
  <c r="Z45" i="5"/>
  <c r="T45" i="5"/>
  <c r="N45" i="5"/>
  <c r="H45" i="5"/>
  <c r="AJ44" i="5"/>
  <c r="AD44" i="5"/>
  <c r="X44" i="5"/>
  <c r="R44" i="5"/>
  <c r="L44" i="5"/>
  <c r="F44" i="5"/>
  <c r="AH43" i="5"/>
  <c r="AB43" i="5"/>
  <c r="V43" i="5"/>
  <c r="P43" i="5"/>
  <c r="J43" i="5"/>
  <c r="D43" i="5"/>
  <c r="AX42" i="5"/>
  <c r="AJ42" i="5"/>
  <c r="AD42" i="5"/>
  <c r="AZ42" i="5" s="1"/>
  <c r="X42" i="5"/>
  <c r="R42" i="5"/>
  <c r="L42" i="5"/>
  <c r="F42" i="5"/>
  <c r="AF41" i="5"/>
  <c r="Z41" i="5"/>
  <c r="T41" i="5"/>
  <c r="N41" i="5"/>
  <c r="H41" i="5"/>
  <c r="AJ40" i="5"/>
  <c r="AD40" i="5"/>
  <c r="X40" i="5"/>
  <c r="R40" i="5"/>
  <c r="L40" i="5"/>
  <c r="F40" i="5"/>
  <c r="T333" i="5"/>
  <c r="AI324" i="5"/>
  <c r="AV324" i="5" s="1"/>
  <c r="AD321" i="5"/>
  <c r="J207" i="5"/>
  <c r="H206" i="5"/>
  <c r="F205" i="5"/>
  <c r="D204" i="5"/>
  <c r="L203" i="5"/>
  <c r="AB202" i="5"/>
  <c r="AO202" i="5" s="1"/>
  <c r="I201" i="5"/>
  <c r="Y200" i="5"/>
  <c r="AM200" i="5" s="1"/>
  <c r="G200" i="5"/>
  <c r="W199" i="5"/>
  <c r="AK199" i="5" s="1"/>
  <c r="E199" i="5"/>
  <c r="U198" i="5"/>
  <c r="S197" i="5"/>
  <c r="AI196" i="5"/>
  <c r="AV196" i="5" s="1"/>
  <c r="Q196" i="5"/>
  <c r="BB196" i="5" s="1"/>
  <c r="AY195" i="5"/>
  <c r="AG195" i="5"/>
  <c r="O195" i="5"/>
  <c r="AZ195" i="5" s="1"/>
  <c r="AE194" i="5"/>
  <c r="M194" i="5"/>
  <c r="AC193" i="5"/>
  <c r="AP193" i="5" s="1"/>
  <c r="K193" i="5"/>
  <c r="AA192" i="5"/>
  <c r="I192" i="5"/>
  <c r="Y191" i="5"/>
  <c r="AM191" i="5" s="1"/>
  <c r="G191" i="5"/>
  <c r="W190" i="5"/>
  <c r="AK190" i="5" s="1"/>
  <c r="E190" i="5"/>
  <c r="U189" i="5"/>
  <c r="S188" i="5"/>
  <c r="AI187" i="5"/>
  <c r="Q187" i="5"/>
  <c r="BB187" i="5" s="1"/>
  <c r="AY186" i="5"/>
  <c r="AG186" i="5"/>
  <c r="O186" i="5"/>
  <c r="AZ186" i="5" s="1"/>
  <c r="AE185" i="5"/>
  <c r="M185" i="5"/>
  <c r="AA153" i="5"/>
  <c r="I153" i="5"/>
  <c r="AE151" i="5"/>
  <c r="S151" i="5"/>
  <c r="G151" i="5"/>
  <c r="AI150" i="5"/>
  <c r="W150" i="5"/>
  <c r="AK150" i="5" s="1"/>
  <c r="K150" i="5"/>
  <c r="AY149" i="5"/>
  <c r="AA149" i="5"/>
  <c r="O149" i="5"/>
  <c r="AE148" i="5"/>
  <c r="S148" i="5"/>
  <c r="G148" i="5"/>
  <c r="AI147" i="5"/>
  <c r="W147" i="5"/>
  <c r="AK147" i="5" s="1"/>
  <c r="K147" i="5"/>
  <c r="AC146" i="5"/>
  <c r="Q146" i="5"/>
  <c r="E146" i="5"/>
  <c r="AY92" i="5"/>
  <c r="AA92" i="5"/>
  <c r="O92" i="5"/>
  <c r="AE91" i="5"/>
  <c r="S91" i="5"/>
  <c r="G91" i="5"/>
  <c r="AI90" i="5"/>
  <c r="W90" i="5"/>
  <c r="AK90" i="5" s="1"/>
  <c r="K90" i="5"/>
  <c r="AC65" i="5"/>
  <c r="AP65" i="5" s="1"/>
  <c r="T65" i="5"/>
  <c r="K65" i="5"/>
  <c r="AJ64" i="5"/>
  <c r="AW64" i="5" s="1"/>
  <c r="AA64" i="5"/>
  <c r="R64" i="5"/>
  <c r="I64" i="5"/>
  <c r="AH63" i="5"/>
  <c r="AU63" i="5" s="1"/>
  <c r="Y63" i="5"/>
  <c r="AM63" i="5" s="1"/>
  <c r="S63" i="5"/>
  <c r="M63" i="5"/>
  <c r="G63" i="5"/>
  <c r="AI62" i="5"/>
  <c r="AC62" i="5"/>
  <c r="AP62" i="5" s="1"/>
  <c r="W62" i="5"/>
  <c r="AK62" i="5" s="1"/>
  <c r="Q62" i="5"/>
  <c r="K62" i="5"/>
  <c r="E62" i="5"/>
  <c r="AY61" i="5"/>
  <c r="AG61" i="5"/>
  <c r="AT61" i="5" s="1"/>
  <c r="AA61" i="5"/>
  <c r="U61" i="5"/>
  <c r="O61" i="5"/>
  <c r="I61" i="5"/>
  <c r="AE60" i="5"/>
  <c r="Y60" i="5"/>
  <c r="AM60" i="5" s="1"/>
  <c r="S60" i="5"/>
  <c r="M60" i="5"/>
  <c r="G60" i="5"/>
  <c r="AI59" i="5"/>
  <c r="AC59" i="5"/>
  <c r="AP59" i="5" s="1"/>
  <c r="W59" i="5"/>
  <c r="AK59" i="5" s="1"/>
  <c r="Q59" i="5"/>
  <c r="K59" i="5"/>
  <c r="E59" i="5"/>
  <c r="AY58" i="5"/>
  <c r="AA58" i="5"/>
  <c r="U58" i="5"/>
  <c r="O58" i="5"/>
  <c r="I58" i="5"/>
  <c r="AE57" i="5"/>
  <c r="Y57" i="5"/>
  <c r="AM57" i="5" s="1"/>
  <c r="S57" i="5"/>
  <c r="M57" i="5"/>
  <c r="G57" i="5"/>
  <c r="AI56" i="5"/>
  <c r="AC56" i="5"/>
  <c r="AP56" i="5" s="1"/>
  <c r="W56" i="5"/>
  <c r="Q56" i="5"/>
  <c r="K56" i="5"/>
  <c r="E56" i="5"/>
  <c r="AY55" i="5"/>
  <c r="AG55" i="5"/>
  <c r="AA55" i="5"/>
  <c r="U55" i="5"/>
  <c r="O55" i="5"/>
  <c r="I55" i="5"/>
  <c r="AE54" i="5"/>
  <c r="Y54" i="5"/>
  <c r="AM54" i="5" s="1"/>
  <c r="S54" i="5"/>
  <c r="M54" i="5"/>
  <c r="G54" i="5"/>
  <c r="AI53" i="5"/>
  <c r="AC53" i="5"/>
  <c r="AP53" i="5" s="1"/>
  <c r="W53" i="5"/>
  <c r="AK53" i="5" s="1"/>
  <c r="Q53" i="5"/>
  <c r="K53" i="5"/>
  <c r="E53" i="5"/>
  <c r="AY52" i="5"/>
  <c r="AG52" i="5"/>
  <c r="AA52" i="5"/>
  <c r="U52" i="5"/>
  <c r="O52" i="5"/>
  <c r="I52" i="5"/>
  <c r="AE51" i="5"/>
  <c r="Y51" i="5"/>
  <c r="AM51" i="5" s="1"/>
  <c r="S51" i="5"/>
  <c r="M51" i="5"/>
  <c r="G51" i="5"/>
  <c r="AI50" i="5"/>
  <c r="AC50" i="5"/>
  <c r="AP50" i="5" s="1"/>
  <c r="W50" i="5"/>
  <c r="AK50" i="5" s="1"/>
  <c r="Q50" i="5"/>
  <c r="K50" i="5"/>
  <c r="E50" i="5"/>
  <c r="AY49" i="5"/>
  <c r="AG49" i="5"/>
  <c r="AA49" i="5"/>
  <c r="U49" i="5"/>
  <c r="O49" i="5"/>
  <c r="I49" i="5"/>
  <c r="AE48" i="5"/>
  <c r="Y48" i="5"/>
  <c r="AM48" i="5" s="1"/>
  <c r="S48" i="5"/>
  <c r="M48" i="5"/>
  <c r="G48" i="5"/>
  <c r="AI47" i="5"/>
  <c r="AV47" i="5" s="1"/>
  <c r="AC47" i="5"/>
  <c r="AP47" i="5" s="1"/>
  <c r="W47" i="5"/>
  <c r="AK47" i="5" s="1"/>
  <c r="Q47" i="5"/>
  <c r="K47" i="5"/>
  <c r="E47" i="5"/>
  <c r="AY46" i="5"/>
  <c r="AG46" i="5"/>
  <c r="AA46" i="5"/>
  <c r="U46" i="5"/>
  <c r="O46" i="5"/>
  <c r="I46" i="5"/>
  <c r="AE45" i="5"/>
  <c r="Y45" i="5"/>
  <c r="AM45" i="5" s="1"/>
  <c r="S45" i="5"/>
  <c r="M45" i="5"/>
  <c r="G45" i="5"/>
  <c r="AI44" i="5"/>
  <c r="AC44" i="5"/>
  <c r="AP44" i="5" s="1"/>
  <c r="W44" i="5"/>
  <c r="AK44" i="5" s="1"/>
  <c r="Q44" i="5"/>
  <c r="K44" i="5"/>
  <c r="E44" i="5"/>
  <c r="AY43" i="5"/>
  <c r="AG43" i="5"/>
  <c r="AT43" i="5" s="1"/>
  <c r="AA43" i="5"/>
  <c r="U43" i="5"/>
  <c r="O43" i="5"/>
  <c r="I43" i="5"/>
  <c r="AI42" i="5"/>
  <c r="AV42" i="5" s="1"/>
  <c r="AC42" i="5"/>
  <c r="AP42" i="5" s="1"/>
  <c r="W42" i="5"/>
  <c r="AK42" i="5" s="1"/>
  <c r="Q42" i="5"/>
  <c r="K42" i="5"/>
  <c r="E42" i="5"/>
  <c r="AY41" i="5"/>
  <c r="AE41" i="5"/>
  <c r="BA41" i="5" s="1"/>
  <c r="Y41" i="5"/>
  <c r="S41" i="5"/>
  <c r="M41" i="5"/>
  <c r="G41" i="5"/>
  <c r="AI40" i="5"/>
  <c r="AV40" i="5" s="1"/>
  <c r="AC40" i="5"/>
  <c r="AP40" i="5" s="1"/>
  <c r="W40" i="5"/>
  <c r="AK40" i="5" s="1"/>
  <c r="Q40" i="5"/>
  <c r="K40" i="5"/>
  <c r="E40" i="5"/>
  <c r="R332" i="5"/>
  <c r="G328" i="5"/>
  <c r="AX323" i="5"/>
  <c r="L321" i="5"/>
  <c r="AX205" i="5"/>
  <c r="F203" i="5"/>
  <c r="V202" i="5"/>
  <c r="H201" i="5"/>
  <c r="X200" i="5"/>
  <c r="AL200" i="5" s="1"/>
  <c r="F200" i="5"/>
  <c r="V199" i="5"/>
  <c r="D199" i="5"/>
  <c r="T198" i="5"/>
  <c r="AJ197" i="5"/>
  <c r="AW197" i="5" s="1"/>
  <c r="R197" i="5"/>
  <c r="AH196" i="5"/>
  <c r="AU196" i="5" s="1"/>
  <c r="P196" i="5"/>
  <c r="BA196" i="5" s="1"/>
  <c r="AX195" i="5"/>
  <c r="AF195" i="5"/>
  <c r="AS195" i="5" s="1"/>
  <c r="N195" i="5"/>
  <c r="AD194" i="5"/>
  <c r="L194" i="5"/>
  <c r="AB193" i="5"/>
  <c r="AO193" i="5" s="1"/>
  <c r="J193" i="5"/>
  <c r="Z192" i="5"/>
  <c r="AN192" i="5" s="1"/>
  <c r="H192" i="5"/>
  <c r="X191" i="5"/>
  <c r="F191" i="5"/>
  <c r="V190" i="5"/>
  <c r="D190" i="5"/>
  <c r="T189" i="5"/>
  <c r="AJ188" i="5"/>
  <c r="AW188" i="5" s="1"/>
  <c r="R188" i="5"/>
  <c r="AH187" i="5"/>
  <c r="AU187" i="5" s="1"/>
  <c r="P187" i="5"/>
  <c r="BA187" i="5" s="1"/>
  <c r="AX186" i="5"/>
  <c r="AF186" i="5"/>
  <c r="AS186" i="5" s="1"/>
  <c r="N186" i="5"/>
  <c r="AD185" i="5"/>
  <c r="L185" i="5"/>
  <c r="V153" i="5"/>
  <c r="D153" i="5"/>
  <c r="AD151" i="5"/>
  <c r="R151" i="5"/>
  <c r="F151" i="5"/>
  <c r="AH150" i="5"/>
  <c r="V150" i="5"/>
  <c r="J150" i="5"/>
  <c r="AX149" i="5"/>
  <c r="Z149" i="5"/>
  <c r="AN149" i="5" s="1"/>
  <c r="N149" i="5"/>
  <c r="AD148" i="5"/>
  <c r="R148" i="5"/>
  <c r="F148" i="5"/>
  <c r="V147" i="5"/>
  <c r="J147" i="5"/>
  <c r="AY146" i="5"/>
  <c r="AA146" i="5"/>
  <c r="O146" i="5"/>
  <c r="AX92" i="5"/>
  <c r="Z92" i="5"/>
  <c r="AN92" i="5" s="1"/>
  <c r="N92" i="5"/>
  <c r="AD91" i="5"/>
  <c r="R91" i="5"/>
  <c r="F91" i="5"/>
  <c r="AH90" i="5"/>
  <c r="V90" i="5"/>
  <c r="J90" i="5"/>
  <c r="AJ65" i="5"/>
  <c r="AW65" i="5" s="1"/>
  <c r="AA65" i="5"/>
  <c r="R65" i="5"/>
  <c r="I65" i="5"/>
  <c r="AH64" i="5"/>
  <c r="AU64" i="5" s="1"/>
  <c r="Y64" i="5"/>
  <c r="P64" i="5"/>
  <c r="G64" i="5"/>
  <c r="AX63" i="5"/>
  <c r="AF63" i="5"/>
  <c r="X63" i="5"/>
  <c r="AL63" i="5" s="1"/>
  <c r="R63" i="5"/>
  <c r="L63" i="5"/>
  <c r="F63" i="5"/>
  <c r="AH62" i="5"/>
  <c r="AU62" i="5" s="1"/>
  <c r="AB62" i="5"/>
  <c r="AO62" i="5" s="1"/>
  <c r="V62" i="5"/>
  <c r="P62" i="5"/>
  <c r="J62" i="5"/>
  <c r="D62" i="5"/>
  <c r="AX61" i="5"/>
  <c r="AF61" i="5"/>
  <c r="Z61" i="5"/>
  <c r="AN61" i="5" s="1"/>
  <c r="T61" i="5"/>
  <c r="N61" i="5"/>
  <c r="H61" i="5"/>
  <c r="AJ60" i="5"/>
  <c r="AW60" i="5" s="1"/>
  <c r="AD60" i="5"/>
  <c r="X60" i="5"/>
  <c r="AL60" i="5" s="1"/>
  <c r="R60" i="5"/>
  <c r="L60" i="5"/>
  <c r="F60" i="5"/>
  <c r="AH59" i="5"/>
  <c r="AU59" i="5" s="1"/>
  <c r="AB59" i="5"/>
  <c r="AO59" i="5" s="1"/>
  <c r="V59" i="5"/>
  <c r="P59" i="5"/>
  <c r="J59" i="5"/>
  <c r="D59" i="5"/>
  <c r="AX58" i="5"/>
  <c r="AF58" i="5"/>
  <c r="Z58" i="5"/>
  <c r="AN58" i="5" s="1"/>
  <c r="T58" i="5"/>
  <c r="N58" i="5"/>
  <c r="H58" i="5"/>
  <c r="AJ57" i="5"/>
  <c r="AW57" i="5" s="1"/>
  <c r="AD57" i="5"/>
  <c r="X57" i="5"/>
  <c r="AL57" i="5" s="1"/>
  <c r="R57" i="5"/>
  <c r="L57" i="5"/>
  <c r="F57" i="5"/>
  <c r="AB56" i="5"/>
  <c r="V56" i="5"/>
  <c r="P56" i="5"/>
  <c r="J56" i="5"/>
  <c r="D56" i="5"/>
  <c r="AX55" i="5"/>
  <c r="AF55" i="5"/>
  <c r="Z55" i="5"/>
  <c r="AN55" i="5" s="1"/>
  <c r="T55" i="5"/>
  <c r="N55" i="5"/>
  <c r="H55" i="5"/>
  <c r="AJ54" i="5"/>
  <c r="AW54" i="5" s="1"/>
  <c r="AD54" i="5"/>
  <c r="X54" i="5"/>
  <c r="AL54" i="5" s="1"/>
  <c r="R54" i="5"/>
  <c r="L54" i="5"/>
  <c r="F54" i="5"/>
  <c r="AB53" i="5"/>
  <c r="AO53" i="5" s="1"/>
  <c r="V53" i="5"/>
  <c r="P53" i="5"/>
  <c r="J53" i="5"/>
  <c r="D53" i="5"/>
  <c r="AX52" i="5"/>
  <c r="AF52" i="5"/>
  <c r="Z52" i="5"/>
  <c r="AN52" i="5" s="1"/>
  <c r="T52" i="5"/>
  <c r="N52" i="5"/>
  <c r="H52" i="5"/>
  <c r="AJ51" i="5"/>
  <c r="AD51" i="5"/>
  <c r="X51" i="5"/>
  <c r="AL51" i="5" s="1"/>
  <c r="R51" i="5"/>
  <c r="L51" i="5"/>
  <c r="F51" i="5"/>
  <c r="AH50" i="5"/>
  <c r="AU50" i="5" s="1"/>
  <c r="AB50" i="5"/>
  <c r="V50" i="5"/>
  <c r="P50" i="5"/>
  <c r="J50" i="5"/>
  <c r="D50" i="5"/>
  <c r="AX49" i="5"/>
  <c r="AF49" i="5"/>
  <c r="Z49" i="5"/>
  <c r="AN49" i="5" s="1"/>
  <c r="T49" i="5"/>
  <c r="N49" i="5"/>
  <c r="H49" i="5"/>
  <c r="AJ48" i="5"/>
  <c r="AW48" i="5" s="1"/>
  <c r="AD48" i="5"/>
  <c r="X48" i="5"/>
  <c r="AL48" i="5" s="1"/>
  <c r="R48" i="5"/>
  <c r="L48" i="5"/>
  <c r="F48" i="5"/>
  <c r="AH47" i="5"/>
  <c r="AU47" i="5" s="1"/>
  <c r="AB47" i="5"/>
  <c r="AO47" i="5" s="1"/>
  <c r="V47" i="5"/>
  <c r="P47" i="5"/>
  <c r="J47" i="5"/>
  <c r="D47" i="5"/>
  <c r="AX46" i="5"/>
  <c r="AF46" i="5"/>
  <c r="Z46" i="5"/>
  <c r="AN46" i="5" s="1"/>
  <c r="T46" i="5"/>
  <c r="N46" i="5"/>
  <c r="H46" i="5"/>
  <c r="AJ45" i="5"/>
  <c r="AW45" i="5" s="1"/>
  <c r="AD45" i="5"/>
  <c r="X45" i="5"/>
  <c r="AL45" i="5" s="1"/>
  <c r="R45" i="5"/>
  <c r="L45" i="5"/>
  <c r="F45" i="5"/>
  <c r="AH44" i="5"/>
  <c r="AU44" i="5" s="1"/>
  <c r="AB44" i="5"/>
  <c r="AO44" i="5" s="1"/>
  <c r="V44" i="5"/>
  <c r="P44" i="5"/>
  <c r="J44" i="5"/>
  <c r="D44" i="5"/>
  <c r="AX43" i="5"/>
  <c r="AF43" i="5"/>
  <c r="Z43" i="5"/>
  <c r="AN43" i="5" s="1"/>
  <c r="T43" i="5"/>
  <c r="N43" i="5"/>
  <c r="H43" i="5"/>
  <c r="AH42" i="5"/>
  <c r="AU42" i="5" s="1"/>
  <c r="AB42" i="5"/>
  <c r="AO42" i="5" s="1"/>
  <c r="V42" i="5"/>
  <c r="P42" i="5"/>
  <c r="J42" i="5"/>
  <c r="D42" i="5"/>
  <c r="AX41" i="5"/>
  <c r="AJ41" i="5"/>
  <c r="AD41" i="5"/>
  <c r="AZ41" i="5" s="1"/>
  <c r="X41" i="5"/>
  <c r="AL41" i="5" s="1"/>
  <c r="R41" i="5"/>
  <c r="L41" i="5"/>
  <c r="F41" i="5"/>
  <c r="AH40" i="5"/>
  <c r="AU40" i="5" s="1"/>
  <c r="AB40" i="5"/>
  <c r="AO40" i="5" s="1"/>
  <c r="V40" i="5"/>
  <c r="P40" i="5"/>
  <c r="J40" i="5"/>
  <c r="D40" i="5"/>
  <c r="AG338" i="5"/>
  <c r="AT338" i="5" s="1"/>
  <c r="AE331" i="5"/>
  <c r="W327" i="5"/>
  <c r="AK327" i="5" s="1"/>
  <c r="N323" i="5"/>
  <c r="AX320" i="5"/>
  <c r="AD319" i="5"/>
  <c r="P202" i="5"/>
  <c r="BA202" i="5" s="1"/>
  <c r="AF201" i="5"/>
  <c r="AS201" i="5" s="1"/>
  <c r="S200" i="5"/>
  <c r="AI199" i="5"/>
  <c r="AV199" i="5" s="1"/>
  <c r="Q199" i="5"/>
  <c r="BB199" i="5" s="1"/>
  <c r="AY198" i="5"/>
  <c r="AG198" i="5"/>
  <c r="O198" i="5"/>
  <c r="AZ198" i="5" s="1"/>
  <c r="AE197" i="5"/>
  <c r="M197" i="5"/>
  <c r="AC196" i="5"/>
  <c r="AP196" i="5" s="1"/>
  <c r="K196" i="5"/>
  <c r="AA195" i="5"/>
  <c r="I195" i="5"/>
  <c r="Y194" i="5"/>
  <c r="AM194" i="5" s="1"/>
  <c r="G194" i="5"/>
  <c r="W193" i="5"/>
  <c r="AK193" i="5" s="1"/>
  <c r="E193" i="5"/>
  <c r="U192" i="5"/>
  <c r="S191" i="5"/>
  <c r="AI190" i="5"/>
  <c r="Q190" i="5"/>
  <c r="BB190" i="5" s="1"/>
  <c r="AY189" i="5"/>
  <c r="AG189" i="5"/>
  <c r="O189" i="5"/>
  <c r="AZ189" i="5" s="1"/>
  <c r="AE188" i="5"/>
  <c r="AR188" i="5" s="1"/>
  <c r="M188" i="5"/>
  <c r="AC187" i="5"/>
  <c r="AP187" i="5" s="1"/>
  <c r="K187" i="5"/>
  <c r="AA186" i="5"/>
  <c r="I186" i="5"/>
  <c r="Y185" i="5"/>
  <c r="AM185" i="5" s="1"/>
  <c r="G185" i="5"/>
  <c r="U153" i="5"/>
  <c r="AA151" i="5"/>
  <c r="O151" i="5"/>
  <c r="AE150" i="5"/>
  <c r="S150" i="5"/>
  <c r="G150" i="5"/>
  <c r="AI149" i="5"/>
  <c r="AV149" i="5" s="1"/>
  <c r="W149" i="5"/>
  <c r="K149" i="5"/>
  <c r="AY148" i="5"/>
  <c r="AA148" i="5"/>
  <c r="O148" i="5"/>
  <c r="AE147" i="5"/>
  <c r="S147" i="5"/>
  <c r="N146" i="5"/>
  <c r="AY91" i="5"/>
  <c r="AE90" i="5"/>
  <c r="AY64" i="5"/>
  <c r="K63" i="5"/>
  <c r="AG62" i="5"/>
  <c r="AT62" i="5" s="1"/>
  <c r="M61" i="5"/>
  <c r="AI60" i="5"/>
  <c r="AV60" i="5" s="1"/>
  <c r="U59" i="5"/>
  <c r="W57" i="5"/>
  <c r="AK57" i="5" s="1"/>
  <c r="I56" i="5"/>
  <c r="Y55" i="5"/>
  <c r="K54" i="5"/>
  <c r="AG53" i="5"/>
  <c r="AT53" i="5" s="1"/>
  <c r="M52" i="5"/>
  <c r="AI51" i="5"/>
  <c r="AV51" i="5" s="1"/>
  <c r="U50" i="5"/>
  <c r="W48" i="5"/>
  <c r="AK48" i="5" s="1"/>
  <c r="I47" i="5"/>
  <c r="Y46" i="5"/>
  <c r="K45" i="5"/>
  <c r="AG44" i="5"/>
  <c r="AT44" i="5" s="1"/>
  <c r="M43" i="5"/>
  <c r="AG42" i="5"/>
  <c r="K41" i="5"/>
  <c r="AG40" i="5"/>
  <c r="AT40" i="5" s="1"/>
  <c r="G147" i="5"/>
  <c r="S90" i="5"/>
  <c r="AI65" i="5"/>
  <c r="E63" i="5"/>
  <c r="AA62" i="5"/>
  <c r="G61" i="5"/>
  <c r="AC60" i="5"/>
  <c r="AP60" i="5" s="1"/>
  <c r="AY59" i="5"/>
  <c r="O59" i="5"/>
  <c r="AE58" i="5"/>
  <c r="Q57" i="5"/>
  <c r="S55" i="5"/>
  <c r="E54" i="5"/>
  <c r="AA53" i="5"/>
  <c r="G52" i="5"/>
  <c r="AC51" i="5"/>
  <c r="AY50" i="5"/>
  <c r="O50" i="5"/>
  <c r="AE49" i="5"/>
  <c r="Q48" i="5"/>
  <c r="S46" i="5"/>
  <c r="E45" i="5"/>
  <c r="AA44" i="5"/>
  <c r="G43" i="5"/>
  <c r="AA42" i="5"/>
  <c r="E41" i="5"/>
  <c r="AA40" i="5"/>
  <c r="AI92" i="5"/>
  <c r="AV92" i="5" s="1"/>
  <c r="AA91" i="5"/>
  <c r="H90" i="5"/>
  <c r="Z65" i="5"/>
  <c r="AN65" i="5" s="1"/>
  <c r="AG64" i="5"/>
  <c r="AT64" i="5" s="1"/>
  <c r="U62" i="5"/>
  <c r="W60" i="5"/>
  <c r="AK60" i="5" s="1"/>
  <c r="I59" i="5"/>
  <c r="Y58" i="5"/>
  <c r="K57" i="5"/>
  <c r="AG56" i="5"/>
  <c r="AT56" i="5" s="1"/>
  <c r="M55" i="5"/>
  <c r="AI54" i="5"/>
  <c r="AV54" i="5" s="1"/>
  <c r="U53" i="5"/>
  <c r="W51" i="5"/>
  <c r="AK51" i="5" s="1"/>
  <c r="I50" i="5"/>
  <c r="Y49" i="5"/>
  <c r="K48" i="5"/>
  <c r="AG47" i="5"/>
  <c r="AT47" i="5" s="1"/>
  <c r="M46" i="5"/>
  <c r="AI45" i="5"/>
  <c r="AV45" i="5" s="1"/>
  <c r="U44" i="5"/>
  <c r="U42" i="5"/>
  <c r="AI41" i="5"/>
  <c r="AV41" i="5" s="1"/>
  <c r="U40" i="5"/>
  <c r="AX146" i="5"/>
  <c r="W92" i="5"/>
  <c r="O91" i="5"/>
  <c r="Q65" i="5"/>
  <c r="X64" i="5"/>
  <c r="AL64" i="5" s="1"/>
  <c r="AE63" i="5"/>
  <c r="AY62" i="5"/>
  <c r="O62" i="5"/>
  <c r="AE61" i="5"/>
  <c r="Q60" i="5"/>
  <c r="S58" i="5"/>
  <c r="E57" i="5"/>
  <c r="AA56" i="5"/>
  <c r="G55" i="5"/>
  <c r="AC54" i="5"/>
  <c r="AP54" i="5" s="1"/>
  <c r="AY53" i="5"/>
  <c r="O53" i="5"/>
  <c r="AE52" i="5"/>
  <c r="Q51" i="5"/>
  <c r="S49" i="5"/>
  <c r="E48" i="5"/>
  <c r="AA47" i="5"/>
  <c r="G46" i="5"/>
  <c r="AC45" i="5"/>
  <c r="AY44" i="5"/>
  <c r="O44" i="5"/>
  <c r="AE43" i="5"/>
  <c r="O42" i="5"/>
  <c r="AC41" i="5"/>
  <c r="AY40" i="5"/>
  <c r="O40" i="5"/>
  <c r="K92" i="5"/>
  <c r="H65" i="5"/>
  <c r="O64" i="5"/>
  <c r="W63" i="5"/>
  <c r="AK63" i="5" s="1"/>
  <c r="I62" i="5"/>
  <c r="Y61" i="5"/>
  <c r="K60" i="5"/>
  <c r="AG59" i="5"/>
  <c r="AT59" i="5" s="1"/>
  <c r="M58" i="5"/>
  <c r="AI57" i="5"/>
  <c r="AV57" i="5" s="1"/>
  <c r="U56" i="5"/>
  <c r="W54" i="5"/>
  <c r="AK54" i="5" s="1"/>
  <c r="I53" i="5"/>
  <c r="Y52" i="5"/>
  <c r="AM52" i="5" s="1"/>
  <c r="K51" i="5"/>
  <c r="AG50" i="5"/>
  <c r="AT50" i="5" s="1"/>
  <c r="M49" i="5"/>
  <c r="AI48" i="5"/>
  <c r="AV48" i="5" s="1"/>
  <c r="U47" i="5"/>
  <c r="W45" i="5"/>
  <c r="AK45" i="5" s="1"/>
  <c r="I44" i="5"/>
  <c r="Y43" i="5"/>
  <c r="I42" i="5"/>
  <c r="W41" i="5"/>
  <c r="AK41" i="5" s="1"/>
  <c r="I40" i="5"/>
  <c r="Z146" i="5"/>
  <c r="AN146" i="5" s="1"/>
  <c r="F64" i="5"/>
  <c r="Q63" i="5"/>
  <c r="S61" i="5"/>
  <c r="E60" i="5"/>
  <c r="AA59" i="5"/>
  <c r="G58" i="5"/>
  <c r="AC57" i="5"/>
  <c r="AY56" i="5"/>
  <c r="O56" i="5"/>
  <c r="AE55" i="5"/>
  <c r="Q54" i="5"/>
  <c r="S52" i="5"/>
  <c r="E51" i="5"/>
  <c r="AA50" i="5"/>
  <c r="G49" i="5"/>
  <c r="AC48" i="5"/>
  <c r="AY47" i="5"/>
  <c r="O47" i="5"/>
  <c r="AE46" i="5"/>
  <c r="Q45" i="5"/>
  <c r="S43" i="5"/>
  <c r="Q41" i="5"/>
  <c r="DY29" i="4"/>
  <c r="EC29" i="4" s="1"/>
  <c r="FB29" i="4"/>
  <c r="CV31" i="4"/>
  <c r="DU31" i="4"/>
  <c r="EA31" i="4"/>
  <c r="DV32" i="4"/>
  <c r="DZ32" i="4" s="1"/>
  <c r="DG34" i="4"/>
  <c r="CV37" i="4"/>
  <c r="DU37" i="4"/>
  <c r="EA37" i="4"/>
  <c r="CV42" i="4"/>
  <c r="DU42" i="4"/>
  <c r="EA42" i="4"/>
  <c r="CV47" i="4"/>
  <c r="DU47" i="4"/>
  <c r="EA47" i="4"/>
  <c r="CV50" i="4"/>
  <c r="DU50" i="4"/>
  <c r="EA50" i="4"/>
  <c r="CV53" i="4"/>
  <c r="DU53" i="4"/>
  <c r="EA53" i="4"/>
  <c r="DV54" i="4"/>
  <c r="DZ54" i="4" s="1"/>
  <c r="DV57" i="4"/>
  <c r="DZ57" i="4" s="1"/>
  <c r="CV59" i="4"/>
  <c r="DU59" i="4"/>
  <c r="EA59" i="4"/>
  <c r="CV62" i="4"/>
  <c r="DU62" i="4"/>
  <c r="EA62" i="4"/>
  <c r="DV65" i="4"/>
  <c r="DZ65" i="4" s="1"/>
  <c r="DG67" i="4"/>
  <c r="FE71" i="4"/>
  <c r="FT71" i="4" s="1"/>
  <c r="CX81" i="4"/>
  <c r="FJ81" i="4" s="1"/>
  <c r="FY81" i="4" s="1"/>
  <c r="CV83" i="4"/>
  <c r="DU83" i="4"/>
  <c r="EA83" i="4"/>
  <c r="CV86" i="4"/>
  <c r="DU86" i="4"/>
  <c r="EA86" i="4"/>
  <c r="CU89" i="4"/>
  <c r="DE89" i="4" s="1"/>
  <c r="CV105" i="4"/>
  <c r="AH328" i="5" s="1"/>
  <c r="AU328" i="5" s="1"/>
  <c r="DU105" i="4"/>
  <c r="EA105" i="4"/>
  <c r="CV108" i="4"/>
  <c r="DU108" i="4"/>
  <c r="EA108" i="4"/>
  <c r="DU111" i="4"/>
  <c r="EA111" i="4"/>
  <c r="DU114" i="4"/>
  <c r="EA114" i="4"/>
  <c r="CV118" i="4"/>
  <c r="DU118" i="4"/>
  <c r="EA118" i="4"/>
  <c r="DY121" i="4"/>
  <c r="EC121" i="4" s="1"/>
  <c r="DD123" i="4"/>
  <c r="DB123" i="4" s="1"/>
  <c r="DU123" i="4"/>
  <c r="EA124" i="4"/>
  <c r="DU124" i="4"/>
  <c r="DV124" i="4"/>
  <c r="FB124" i="4"/>
  <c r="FQ124" i="4" s="1"/>
  <c r="FF125" i="4"/>
  <c r="FW125" i="4" s="1"/>
  <c r="DY125" i="4"/>
  <c r="EC125" i="4" s="1"/>
  <c r="DG125" i="4"/>
  <c r="EA126" i="4"/>
  <c r="DU126" i="4"/>
  <c r="FB127" i="4"/>
  <c r="FQ127" i="4" s="1"/>
  <c r="DG134" i="4"/>
  <c r="FF134" i="4"/>
  <c r="FW134" i="4" s="1"/>
  <c r="DY134" i="4"/>
  <c r="EC134" i="4" s="1"/>
  <c r="DY155" i="4"/>
  <c r="EC155" i="4" s="1"/>
  <c r="DG155" i="4"/>
  <c r="FF155" i="4"/>
  <c r="FW155" i="4" s="1"/>
  <c r="DD159" i="4"/>
  <c r="DC159" i="4"/>
  <c r="DD162" i="4"/>
  <c r="DC162" i="4"/>
  <c r="DB162" i="4" s="1"/>
  <c r="DG169" i="4"/>
  <c r="FF169" i="4"/>
  <c r="FW169" i="4" s="1"/>
  <c r="DD171" i="4"/>
  <c r="DC171" i="4"/>
  <c r="FF186" i="4"/>
  <c r="FW186" i="4" s="1"/>
  <c r="DY186" i="4"/>
  <c r="EC186" i="4" s="1"/>
  <c r="DG186" i="4"/>
  <c r="DG191" i="4"/>
  <c r="FF191" i="4"/>
  <c r="FW191" i="4" s="1"/>
  <c r="DC202" i="4"/>
  <c r="DB202" i="4" s="1"/>
  <c r="DD202" i="4"/>
  <c r="DD205" i="4"/>
  <c r="DC205" i="4"/>
  <c r="DG214" i="4"/>
  <c r="FF214" i="4"/>
  <c r="FW214" i="4" s="1"/>
  <c r="FF228" i="4"/>
  <c r="FW228" i="4" s="1"/>
  <c r="DY228" i="4"/>
  <c r="EC228" i="4" s="1"/>
  <c r="DG228" i="4"/>
  <c r="DD230" i="4"/>
  <c r="DC230" i="4"/>
  <c r="DB230" i="4" s="1"/>
  <c r="DC238" i="4"/>
  <c r="DD238" i="4"/>
  <c r="FB30" i="4"/>
  <c r="FQ30" i="4" s="1"/>
  <c r="DU56" i="4"/>
  <c r="DU64" i="4"/>
  <c r="CP642" i="4"/>
  <c r="DU68" i="4"/>
  <c r="CX71" i="4"/>
  <c r="FJ71" i="4" s="1"/>
  <c r="FY71" i="4" s="1"/>
  <c r="CO78" i="4"/>
  <c r="FB78" i="4" s="1"/>
  <c r="FQ78" i="4" s="1"/>
  <c r="DG128" i="4"/>
  <c r="DY128" i="4"/>
  <c r="EC128" i="4" s="1"/>
  <c r="DV129" i="4"/>
  <c r="DZ129" i="4" s="1"/>
  <c r="EA129" i="4"/>
  <c r="DU129" i="4"/>
  <c r="FB130" i="4"/>
  <c r="FQ130" i="4" s="1"/>
  <c r="DC131" i="4"/>
  <c r="DB131" i="4" s="1"/>
  <c r="DC133" i="4"/>
  <c r="DB133" i="4" s="1"/>
  <c r="DC136" i="4"/>
  <c r="DB136" i="4" s="1"/>
  <c r="DD136" i="4"/>
  <c r="DG137" i="4"/>
  <c r="FF137" i="4"/>
  <c r="FW137" i="4" s="1"/>
  <c r="DY137" i="4"/>
  <c r="EC137" i="4" s="1"/>
  <c r="DG149" i="4"/>
  <c r="FF149" i="4"/>
  <c r="FW149" i="4" s="1"/>
  <c r="DC154" i="4"/>
  <c r="DB154" i="4" s="1"/>
  <c r="DD154" i="4"/>
  <c r="DD156" i="4"/>
  <c r="DC156" i="4"/>
  <c r="DY158" i="4"/>
  <c r="EC158" i="4" s="1"/>
  <c r="DG158" i="4"/>
  <c r="FF158" i="4"/>
  <c r="FW158" i="4" s="1"/>
  <c r="DD164" i="4"/>
  <c r="DC164" i="4"/>
  <c r="DB164" i="4" s="1"/>
  <c r="DD168" i="4"/>
  <c r="DC168" i="4"/>
  <c r="DB168" i="4" s="1"/>
  <c r="DD177" i="4"/>
  <c r="DC177" i="4"/>
  <c r="DD184" i="4"/>
  <c r="DC184" i="4"/>
  <c r="DB184" i="4" s="1"/>
  <c r="DD192" i="4"/>
  <c r="DC192" i="4"/>
  <c r="DB192" i="4" s="1"/>
  <c r="DD197" i="4"/>
  <c r="DC197" i="4"/>
  <c r="DC212" i="4"/>
  <c r="DD212" i="4"/>
  <c r="DC213" i="4"/>
  <c r="DD213" i="4"/>
  <c r="DY227" i="4"/>
  <c r="EC227" i="4" s="1"/>
  <c r="DD242" i="4"/>
  <c r="DC242" i="4"/>
  <c r="DV127" i="4"/>
  <c r="DZ127" i="4" s="1"/>
  <c r="DV130" i="4"/>
  <c r="DZ130" i="4" s="1"/>
  <c r="DG131" i="4"/>
  <c r="CW133" i="4"/>
  <c r="DV133" i="4"/>
  <c r="DZ133" i="4" s="1"/>
  <c r="CV136" i="4"/>
  <c r="CV139" i="4"/>
  <c r="CV142" i="4"/>
  <c r="DY144" i="4"/>
  <c r="EC144" i="4" s="1"/>
  <c r="CV145" i="4"/>
  <c r="DU145" i="4"/>
  <c r="EA145" i="4"/>
  <c r="DG147" i="4"/>
  <c r="DV149" i="4"/>
  <c r="DZ149" i="4" s="1"/>
  <c r="DG150" i="4"/>
  <c r="CV151" i="4"/>
  <c r="DU151" i="4"/>
  <c r="EA151" i="4"/>
  <c r="DY153" i="4"/>
  <c r="EC153" i="4" s="1"/>
  <c r="CV154" i="4"/>
  <c r="DU154" i="4"/>
  <c r="EA154" i="4"/>
  <c r="CW155" i="4"/>
  <c r="DV155" i="4"/>
  <c r="DZ155" i="4" s="1"/>
  <c r="DG156" i="4"/>
  <c r="DY159" i="4"/>
  <c r="EC159" i="4" s="1"/>
  <c r="CV160" i="4"/>
  <c r="DU160" i="4"/>
  <c r="EA160" i="4"/>
  <c r="DV163" i="4"/>
  <c r="DZ163" i="4" s="1"/>
  <c r="DG164" i="4"/>
  <c r="CO166" i="4"/>
  <c r="FB166" i="4" s="1"/>
  <c r="FQ166" i="4" s="1"/>
  <c r="CW166" i="4"/>
  <c r="FE166" i="4"/>
  <c r="FT166" i="4" s="1"/>
  <c r="FT642" i="4" s="1"/>
  <c r="DG167" i="4"/>
  <c r="DV169" i="4"/>
  <c r="DZ169" i="4" s="1"/>
  <c r="DY171" i="4"/>
  <c r="EC171" i="4" s="1"/>
  <c r="CV172" i="4"/>
  <c r="DU172" i="4"/>
  <c r="EA172" i="4"/>
  <c r="DG173" i="4"/>
  <c r="DY176" i="4"/>
  <c r="EC176" i="4" s="1"/>
  <c r="DY177" i="4"/>
  <c r="EC177" i="4" s="1"/>
  <c r="CV178" i="4"/>
  <c r="DU178" i="4"/>
  <c r="EA178" i="4"/>
  <c r="FF180" i="4"/>
  <c r="FW180" i="4" s="1"/>
  <c r="DY181" i="4"/>
  <c r="EC181" i="4" s="1"/>
  <c r="CV182" i="4"/>
  <c r="AH334" i="5" s="1"/>
  <c r="AU334" i="5" s="1"/>
  <c r="DU182" i="4"/>
  <c r="EA182" i="4"/>
  <c r="CW185" i="4"/>
  <c r="DV185" i="4"/>
  <c r="DZ185" i="4" s="1"/>
  <c r="CW188" i="4"/>
  <c r="DV188" i="4"/>
  <c r="DZ188" i="4" s="1"/>
  <c r="CW191" i="4"/>
  <c r="DV191" i="4"/>
  <c r="DZ191" i="4" s="1"/>
  <c r="DY192" i="4"/>
  <c r="EC192" i="4" s="1"/>
  <c r="CV193" i="4"/>
  <c r="DU193" i="4"/>
  <c r="EA193" i="4"/>
  <c r="CW194" i="4"/>
  <c r="DV194" i="4"/>
  <c r="DZ194" i="4" s="1"/>
  <c r="CV198" i="4"/>
  <c r="DU198" i="4"/>
  <c r="EA198" i="4"/>
  <c r="CW199" i="4"/>
  <c r="DV199" i="4"/>
  <c r="DZ199" i="4" s="1"/>
  <c r="DY201" i="4"/>
  <c r="EC201" i="4" s="1"/>
  <c r="FB201" i="4"/>
  <c r="FQ201" i="4" s="1"/>
  <c r="CV202" i="4"/>
  <c r="DU202" i="4"/>
  <c r="EA202" i="4"/>
  <c r="DY203" i="4"/>
  <c r="EC203" i="4" s="1"/>
  <c r="FB203" i="4"/>
  <c r="FQ203" i="4" s="1"/>
  <c r="CV204" i="4"/>
  <c r="DU204" i="4"/>
  <c r="EA204" i="4"/>
  <c r="DY206" i="4"/>
  <c r="EC206" i="4" s="1"/>
  <c r="FB206" i="4"/>
  <c r="FQ206" i="4" s="1"/>
  <c r="CK208" i="4"/>
  <c r="CX208" i="4"/>
  <c r="FJ208" i="4" s="1"/>
  <c r="FY208" i="4" s="1"/>
  <c r="DW208" i="4"/>
  <c r="FF208" i="4"/>
  <c r="FW208" i="4" s="1"/>
  <c r="DY210" i="4"/>
  <c r="EC210" i="4" s="1"/>
  <c r="FB210" i="4"/>
  <c r="FQ210" i="4" s="1"/>
  <c r="CV212" i="4"/>
  <c r="AH340" i="5" s="1"/>
  <c r="AU340" i="5" s="1"/>
  <c r="DU212" i="4"/>
  <c r="EA212" i="4"/>
  <c r="CV213" i="4"/>
  <c r="DU213" i="4"/>
  <c r="EA213" i="4"/>
  <c r="DV214" i="4"/>
  <c r="DZ214" i="4" s="1"/>
  <c r="FF215" i="4"/>
  <c r="FW215" i="4" s="1"/>
  <c r="DY217" i="4"/>
  <c r="EC217" i="4" s="1"/>
  <c r="FB217" i="4"/>
  <c r="FQ217" i="4" s="1"/>
  <c r="CV219" i="4"/>
  <c r="DU219" i="4"/>
  <c r="EA219" i="4"/>
  <c r="DV220" i="4"/>
  <c r="DZ220" i="4" s="1"/>
  <c r="CV222" i="4"/>
  <c r="DU222" i="4"/>
  <c r="EA222" i="4"/>
  <c r="DV223" i="4"/>
  <c r="DZ223" i="4" s="1"/>
  <c r="CW224" i="4"/>
  <c r="CV225" i="4"/>
  <c r="DU225" i="4"/>
  <c r="EA225" i="4"/>
  <c r="DV226" i="4"/>
  <c r="DZ226" i="4" s="1"/>
  <c r="FF227" i="4"/>
  <c r="FW227" i="4" s="1"/>
  <c r="DY229" i="4"/>
  <c r="EC229" i="4" s="1"/>
  <c r="FB229" i="4"/>
  <c r="FQ229" i="4" s="1"/>
  <c r="CV231" i="4"/>
  <c r="DU231" i="4"/>
  <c r="DV233" i="4"/>
  <c r="DZ233" i="4" s="1"/>
  <c r="FF234" i="4"/>
  <c r="FW234" i="4" s="1"/>
  <c r="FB236" i="4"/>
  <c r="FQ236" i="4" s="1"/>
  <c r="CV238" i="4"/>
  <c r="DV239" i="4"/>
  <c r="DZ239" i="4" s="1"/>
  <c r="FB241" i="4"/>
  <c r="FQ241" i="4" s="1"/>
  <c r="EA242" i="4"/>
  <c r="DU242" i="4"/>
  <c r="DD244" i="4"/>
  <c r="DB244" i="4" s="1"/>
  <c r="FF244" i="4"/>
  <c r="FW244" i="4" s="1"/>
  <c r="DC253" i="4"/>
  <c r="DB253" i="4" s="1"/>
  <c r="DD262" i="4"/>
  <c r="DC262" i="4"/>
  <c r="DB262" i="4" s="1"/>
  <c r="DD266" i="4"/>
  <c r="DC266" i="4"/>
  <c r="DB266" i="4" s="1"/>
  <c r="DV271" i="4"/>
  <c r="DZ271" i="4" s="1"/>
  <c r="EA271" i="4"/>
  <c r="DU271" i="4"/>
  <c r="DY276" i="4"/>
  <c r="EC276" i="4" s="1"/>
  <c r="DG276" i="4"/>
  <c r="FF276" i="4"/>
  <c r="FW276" i="4" s="1"/>
  <c r="DD277" i="4"/>
  <c r="DC277" i="4"/>
  <c r="DV279" i="4"/>
  <c r="DZ279" i="4" s="1"/>
  <c r="EA279" i="4"/>
  <c r="DU279" i="4"/>
  <c r="DD284" i="4"/>
  <c r="DC284" i="4"/>
  <c r="DD315" i="4"/>
  <c r="DC315" i="4"/>
  <c r="DB315" i="4" s="1"/>
  <c r="DG320" i="4"/>
  <c r="FF320" i="4"/>
  <c r="FW320" i="4" s="1"/>
  <c r="DY131" i="4"/>
  <c r="EC131" i="4" s="1"/>
  <c r="DU132" i="4"/>
  <c r="CW136" i="4"/>
  <c r="CW139" i="4"/>
  <c r="CW145" i="4"/>
  <c r="DY147" i="4"/>
  <c r="EC147" i="4" s="1"/>
  <c r="DU148" i="4"/>
  <c r="DY150" i="4"/>
  <c r="EC150" i="4" s="1"/>
  <c r="CW154" i="4"/>
  <c r="DY156" i="4"/>
  <c r="EC156" i="4" s="1"/>
  <c r="DU157" i="4"/>
  <c r="CW160" i="4"/>
  <c r="DU162" i="4"/>
  <c r="DY164" i="4"/>
  <c r="EC164" i="4" s="1"/>
  <c r="CX166" i="4"/>
  <c r="FJ166" i="4" s="1"/>
  <c r="FY166" i="4" s="1"/>
  <c r="DF166" i="4"/>
  <c r="DF642" i="4" s="1"/>
  <c r="DY167" i="4"/>
  <c r="EC167" i="4" s="1"/>
  <c r="DU168" i="4"/>
  <c r="DY173" i="4"/>
  <c r="EC173" i="4" s="1"/>
  <c r="DU174" i="4"/>
  <c r="CW178" i="4"/>
  <c r="CW182" i="4"/>
  <c r="DU184" i="4"/>
  <c r="FB186" i="4"/>
  <c r="FQ186" i="4" s="1"/>
  <c r="FB189" i="4"/>
  <c r="FQ189" i="4" s="1"/>
  <c r="CW193" i="4"/>
  <c r="FB196" i="4"/>
  <c r="FQ196" i="4" s="1"/>
  <c r="CW198" i="4"/>
  <c r="FB207" i="4"/>
  <c r="FQ207" i="4" s="1"/>
  <c r="DG208" i="4"/>
  <c r="FB209" i="4"/>
  <c r="FQ209" i="4" s="1"/>
  <c r="DG215" i="4"/>
  <c r="FB216" i="4"/>
  <c r="FQ216" i="4" s="1"/>
  <c r="CW219" i="4"/>
  <c r="CW222" i="4"/>
  <c r="CW225" i="4"/>
  <c r="DG227" i="4"/>
  <c r="FB228" i="4"/>
  <c r="FQ228" i="4" s="1"/>
  <c r="CW231" i="4"/>
  <c r="DG234" i="4"/>
  <c r="FB235" i="4"/>
  <c r="FQ235" i="4" s="1"/>
  <c r="CW238" i="4"/>
  <c r="FB240" i="4"/>
  <c r="FQ240" i="4" s="1"/>
  <c r="FF245" i="4"/>
  <c r="FW245" i="4" s="1"/>
  <c r="DG246" i="4"/>
  <c r="EA247" i="4"/>
  <c r="DU247" i="4"/>
  <c r="DG248" i="4"/>
  <c r="FF248" i="4"/>
  <c r="FW248" i="4" s="1"/>
  <c r="DZ249" i="4"/>
  <c r="DG250" i="4"/>
  <c r="FF250" i="4"/>
  <c r="FW250" i="4" s="1"/>
  <c r="DY254" i="4"/>
  <c r="EC254" i="4" s="1"/>
  <c r="DG254" i="4"/>
  <c r="FF254" i="4"/>
  <c r="FW254" i="4" s="1"/>
  <c r="DD274" i="4"/>
  <c r="DC274" i="4"/>
  <c r="DB274" i="4" s="1"/>
  <c r="DG278" i="4"/>
  <c r="FF278" i="4"/>
  <c r="FW278" i="4" s="1"/>
  <c r="DG279" i="4"/>
  <c r="FF279" i="4"/>
  <c r="FW279" i="4" s="1"/>
  <c r="DY279" i="4"/>
  <c r="EC279" i="4" s="1"/>
  <c r="DC304" i="4"/>
  <c r="DB304" i="4" s="1"/>
  <c r="DD304" i="4"/>
  <c r="DD305" i="4"/>
  <c r="DC305" i="4"/>
  <c r="DB305" i="4" s="1"/>
  <c r="DD322" i="4"/>
  <c r="DC322" i="4"/>
  <c r="DB322" i="4" s="1"/>
  <c r="FF323" i="4"/>
  <c r="FW323" i="4" s="1"/>
  <c r="DY323" i="4"/>
  <c r="EC323" i="4" s="1"/>
  <c r="DG323" i="4"/>
  <c r="DY327" i="4"/>
  <c r="EC327" i="4" s="1"/>
  <c r="DG327" i="4"/>
  <c r="FF327" i="4"/>
  <c r="FW327" i="4" s="1"/>
  <c r="DD328" i="4"/>
  <c r="DC328" i="4"/>
  <c r="FB146" i="4"/>
  <c r="FQ146" i="4" s="1"/>
  <c r="FB152" i="4"/>
  <c r="FQ152" i="4" s="1"/>
  <c r="FB158" i="4"/>
  <c r="FQ158" i="4" s="1"/>
  <c r="FB161" i="4"/>
  <c r="FQ161" i="4" s="1"/>
  <c r="FB175" i="4"/>
  <c r="FQ175" i="4" s="1"/>
  <c r="FB179" i="4"/>
  <c r="FQ179" i="4" s="1"/>
  <c r="FB183" i="4"/>
  <c r="FQ183" i="4" s="1"/>
  <c r="FB195" i="4"/>
  <c r="FQ195" i="4" s="1"/>
  <c r="FB200" i="4"/>
  <c r="FQ200" i="4" s="1"/>
  <c r="DU206" i="4"/>
  <c r="EA206" i="4"/>
  <c r="DU210" i="4"/>
  <c r="EA210" i="4"/>
  <c r="DV211" i="4"/>
  <c r="DZ211" i="4" s="1"/>
  <c r="FB215" i="4"/>
  <c r="FQ215" i="4" s="1"/>
  <c r="DU217" i="4"/>
  <c r="EA217" i="4"/>
  <c r="DV218" i="4"/>
  <c r="DZ218" i="4" s="1"/>
  <c r="DV221" i="4"/>
  <c r="DV224" i="4"/>
  <c r="DZ224" i="4" s="1"/>
  <c r="FB227" i="4"/>
  <c r="FQ227" i="4" s="1"/>
  <c r="DU229" i="4"/>
  <c r="EA229" i="4"/>
  <c r="DV230" i="4"/>
  <c r="DZ230" i="4" s="1"/>
  <c r="DV232" i="4"/>
  <c r="FB234" i="4"/>
  <c r="FQ234" i="4" s="1"/>
  <c r="CV236" i="4"/>
  <c r="DU236" i="4"/>
  <c r="EA236" i="4"/>
  <c r="CV241" i="4"/>
  <c r="DU241" i="4"/>
  <c r="EA241" i="4"/>
  <c r="EA243" i="4"/>
  <c r="FF246" i="4"/>
  <c r="FW246" i="4" s="1"/>
  <c r="FB249" i="4"/>
  <c r="FQ249" i="4" s="1"/>
  <c r="EC253" i="4"/>
  <c r="FF261" i="4"/>
  <c r="FW261" i="4" s="1"/>
  <c r="DY261" i="4"/>
  <c r="EC261" i="4" s="1"/>
  <c r="DG261" i="4"/>
  <c r="DD263" i="4"/>
  <c r="DC263" i="4"/>
  <c r="DY266" i="4"/>
  <c r="EC266" i="4" s="1"/>
  <c r="DD275" i="4"/>
  <c r="DC275" i="4"/>
  <c r="DB275" i="4" s="1"/>
  <c r="DD281" i="4"/>
  <c r="DC281" i="4"/>
  <c r="DB281" i="4" s="1"/>
  <c r="DD288" i="4"/>
  <c r="DC288" i="4"/>
  <c r="DC299" i="4"/>
  <c r="DD299" i="4"/>
  <c r="FF311" i="4"/>
  <c r="FW311" i="4" s="1"/>
  <c r="DY311" i="4"/>
  <c r="EC311" i="4" s="1"/>
  <c r="DG311" i="4"/>
  <c r="DC324" i="4"/>
  <c r="DD324" i="4"/>
  <c r="DD330" i="4"/>
  <c r="DC330" i="4"/>
  <c r="DB330" i="4" s="1"/>
  <c r="FB149" i="4"/>
  <c r="FQ149" i="4" s="1"/>
  <c r="FB155" i="4"/>
  <c r="FQ155" i="4" s="1"/>
  <c r="FB163" i="4"/>
  <c r="FQ163" i="4" s="1"/>
  <c r="FB169" i="4"/>
  <c r="FQ169" i="4" s="1"/>
  <c r="CU170" i="4"/>
  <c r="DE170" i="4" s="1"/>
  <c r="FF184" i="4"/>
  <c r="FW184" i="4" s="1"/>
  <c r="FB185" i="4"/>
  <c r="FQ185" i="4" s="1"/>
  <c r="FF187" i="4"/>
  <c r="FW187" i="4" s="1"/>
  <c r="FB188" i="4"/>
  <c r="FQ188" i="4" s="1"/>
  <c r="FF190" i="4"/>
  <c r="FW190" i="4" s="1"/>
  <c r="FB194" i="4"/>
  <c r="FQ194" i="4" s="1"/>
  <c r="FF197" i="4"/>
  <c r="FW197" i="4" s="1"/>
  <c r="FB199" i="4"/>
  <c r="FQ199" i="4" s="1"/>
  <c r="FF211" i="4"/>
  <c r="FW211" i="4" s="1"/>
  <c r="FB214" i="4"/>
  <c r="FQ214" i="4" s="1"/>
  <c r="FF218" i="4"/>
  <c r="FW218" i="4" s="1"/>
  <c r="FB220" i="4"/>
  <c r="FQ220" i="4" s="1"/>
  <c r="FB223" i="4"/>
  <c r="FQ223" i="4" s="1"/>
  <c r="FB226" i="4"/>
  <c r="FQ226" i="4" s="1"/>
  <c r="FF230" i="4"/>
  <c r="FW230" i="4" s="1"/>
  <c r="FB233" i="4"/>
  <c r="FQ233" i="4" s="1"/>
  <c r="FF237" i="4"/>
  <c r="FW237" i="4" s="1"/>
  <c r="FB239" i="4"/>
  <c r="FQ239" i="4" s="1"/>
  <c r="DU243" i="4"/>
  <c r="DG244" i="4"/>
  <c r="DG245" i="4"/>
  <c r="CW249" i="4"/>
  <c r="DG249" i="4"/>
  <c r="DY250" i="4"/>
  <c r="EC250" i="4" s="1"/>
  <c r="DY251" i="4"/>
  <c r="EC251" i="4" s="1"/>
  <c r="DG251" i="4"/>
  <c r="FF251" i="4"/>
  <c r="FW251" i="4" s="1"/>
  <c r="DV252" i="4"/>
  <c r="DZ252" i="4" s="1"/>
  <c r="DY255" i="4"/>
  <c r="EC255" i="4" s="1"/>
  <c r="DG255" i="4"/>
  <c r="FF255" i="4"/>
  <c r="FW255" i="4" s="1"/>
  <c r="FF273" i="4"/>
  <c r="FW273" i="4" s="1"/>
  <c r="DY273" i="4"/>
  <c r="EC273" i="4" s="1"/>
  <c r="DG273" i="4"/>
  <c r="FF286" i="4"/>
  <c r="FW286" i="4" s="1"/>
  <c r="DG286" i="4"/>
  <c r="DY286" i="4"/>
  <c r="EC286" i="4" s="1"/>
  <c r="DD286" i="4"/>
  <c r="DC286" i="4"/>
  <c r="DD287" i="4"/>
  <c r="DC287" i="4"/>
  <c r="DB287" i="4" s="1"/>
  <c r="DC294" i="4"/>
  <c r="DD294" i="4"/>
  <c r="DD295" i="4"/>
  <c r="DC295" i="4"/>
  <c r="DD300" i="4"/>
  <c r="DC300" i="4"/>
  <c r="DB300" i="4" s="1"/>
  <c r="DY305" i="4"/>
  <c r="EC305" i="4" s="1"/>
  <c r="DD308" i="4"/>
  <c r="DC308" i="4"/>
  <c r="FF312" i="4"/>
  <c r="FW312" i="4" s="1"/>
  <c r="DY312" i="4"/>
  <c r="EC312" i="4" s="1"/>
  <c r="DG312" i="4"/>
  <c r="DD314" i="4"/>
  <c r="DC314" i="4"/>
  <c r="DB314" i="4" s="1"/>
  <c r="DC316" i="4"/>
  <c r="DB316" i="4" s="1"/>
  <c r="DD316" i="4"/>
  <c r="DG331" i="4"/>
  <c r="FF331" i="4"/>
  <c r="FW331" i="4" s="1"/>
  <c r="FF144" i="4"/>
  <c r="FW144" i="4" s="1"/>
  <c r="CV146" i="4"/>
  <c r="FF153" i="4"/>
  <c r="FW153" i="4" s="1"/>
  <c r="FF159" i="4"/>
  <c r="FW159" i="4" s="1"/>
  <c r="CU166" i="4"/>
  <c r="DE166" i="4" s="1"/>
  <c r="CV170" i="4"/>
  <c r="FF171" i="4"/>
  <c r="FW171" i="4" s="1"/>
  <c r="FF176" i="4"/>
  <c r="FW176" i="4" s="1"/>
  <c r="FF177" i="4"/>
  <c r="FW177" i="4" s="1"/>
  <c r="CV179" i="4"/>
  <c r="FF181" i="4"/>
  <c r="FW181" i="4" s="1"/>
  <c r="CV183" i="4"/>
  <c r="FF192" i="4"/>
  <c r="FW192" i="4" s="1"/>
  <c r="CV195" i="4"/>
  <c r="CV200" i="4"/>
  <c r="FF201" i="4"/>
  <c r="FW201" i="4" s="1"/>
  <c r="FF203" i="4"/>
  <c r="FW203" i="4" s="1"/>
  <c r="DY249" i="4"/>
  <c r="EC249" i="4" s="1"/>
  <c r="DD258" i="4"/>
  <c r="DC258" i="4"/>
  <c r="DD259" i="4"/>
  <c r="DC259" i="4"/>
  <c r="DD260" i="4"/>
  <c r="DC260" i="4"/>
  <c r="DY263" i="4"/>
  <c r="EC263" i="4" s="1"/>
  <c r="DY275" i="4"/>
  <c r="EC275" i="4" s="1"/>
  <c r="DC280" i="4"/>
  <c r="DB280" i="4" s="1"/>
  <c r="DD280" i="4"/>
  <c r="DY281" i="4"/>
  <c r="EC281" i="4" s="1"/>
  <c r="DD290" i="4"/>
  <c r="DC290" i="4"/>
  <c r="DD293" i="4"/>
  <c r="DC293" i="4"/>
  <c r="DB293" i="4" s="1"/>
  <c r="DD296" i="4"/>
  <c r="DC296" i="4"/>
  <c r="DB296" i="4" s="1"/>
  <c r="DD303" i="4"/>
  <c r="DC303" i="4"/>
  <c r="DG317" i="4"/>
  <c r="FF317" i="4"/>
  <c r="FW317" i="4" s="1"/>
  <c r="DZ330" i="4"/>
  <c r="DY330" i="4"/>
  <c r="EC330" i="4" s="1"/>
  <c r="DD341" i="4"/>
  <c r="DC341" i="4"/>
  <c r="DU127" i="4"/>
  <c r="DU130" i="4"/>
  <c r="DU133" i="4"/>
  <c r="DU149" i="4"/>
  <c r="DU155" i="4"/>
  <c r="DU163" i="4"/>
  <c r="DU169" i="4"/>
  <c r="DU185" i="4"/>
  <c r="DU188" i="4"/>
  <c r="DU191" i="4"/>
  <c r="DU194" i="4"/>
  <c r="DU199" i="4"/>
  <c r="CK207" i="4"/>
  <c r="CX207" i="4"/>
  <c r="FJ207" i="4" s="1"/>
  <c r="FY207" i="4" s="1"/>
  <c r="DU214" i="4"/>
  <c r="DU220" i="4"/>
  <c r="DU223" i="4"/>
  <c r="CV224" i="4"/>
  <c r="DU226" i="4"/>
  <c r="DU233" i="4"/>
  <c r="DU239" i="4"/>
  <c r="DV242" i="4"/>
  <c r="CV243" i="4"/>
  <c r="FB243" i="4"/>
  <c r="FQ243" i="4" s="1"/>
  <c r="DV246" i="4"/>
  <c r="DZ246" i="4" s="1"/>
  <c r="DD248" i="4"/>
  <c r="DB248" i="4" s="1"/>
  <c r="DV248" i="4"/>
  <c r="DZ248" i="4" s="1"/>
  <c r="DB254" i="4"/>
  <c r="DD254" i="4"/>
  <c r="DY267" i="4"/>
  <c r="EC267" i="4" s="1"/>
  <c r="DG267" i="4"/>
  <c r="FF267" i="4"/>
  <c r="FW267" i="4" s="1"/>
  <c r="DD270" i="4"/>
  <c r="DC270" i="4"/>
  <c r="DD272" i="4"/>
  <c r="DC272" i="4"/>
  <c r="DB272" i="4" s="1"/>
  <c r="DY301" i="4"/>
  <c r="EC301" i="4" s="1"/>
  <c r="FF302" i="4"/>
  <c r="FW302" i="4" s="1"/>
  <c r="DY302" i="4"/>
  <c r="EC302" i="4" s="1"/>
  <c r="DG302" i="4"/>
  <c r="DY308" i="4"/>
  <c r="EC308" i="4" s="1"/>
  <c r="DG309" i="4"/>
  <c r="FF309" i="4"/>
  <c r="FW309" i="4" s="1"/>
  <c r="DC319" i="4"/>
  <c r="DD319" i="4"/>
  <c r="DY325" i="4"/>
  <c r="EC325" i="4" s="1"/>
  <c r="DD345" i="4"/>
  <c r="DC345" i="4"/>
  <c r="FB246" i="4"/>
  <c r="FQ246" i="4" s="1"/>
  <c r="CV247" i="4"/>
  <c r="DY252" i="4"/>
  <c r="EC252" i="4" s="1"/>
  <c r="FB252" i="4"/>
  <c r="FQ252" i="4" s="1"/>
  <c r="DU253" i="4"/>
  <c r="DY257" i="4"/>
  <c r="EC257" i="4" s="1"/>
  <c r="FB257" i="4"/>
  <c r="FQ257" i="4" s="1"/>
  <c r="DZ262" i="4"/>
  <c r="FB265" i="4"/>
  <c r="FQ265" i="4" s="1"/>
  <c r="FB269" i="4"/>
  <c r="FQ269" i="4" s="1"/>
  <c r="DZ270" i="4"/>
  <c r="CU271" i="4"/>
  <c r="DE271" i="4" s="1"/>
  <c r="DZ274" i="4"/>
  <c r="DZ277" i="4"/>
  <c r="CK278" i="4"/>
  <c r="CX278" i="4"/>
  <c r="FJ278" i="4" s="1"/>
  <c r="FY278" i="4" s="1"/>
  <c r="DW278" i="4"/>
  <c r="FX278" i="4"/>
  <c r="DH279" i="4"/>
  <c r="FB279" i="4"/>
  <c r="FQ279" i="4" s="1"/>
  <c r="MF279" i="4"/>
  <c r="FB283" i="4"/>
  <c r="FQ283" i="4" s="1"/>
  <c r="FF285" i="4"/>
  <c r="FW285" i="4" s="1"/>
  <c r="FF291" i="4"/>
  <c r="FW291" i="4" s="1"/>
  <c r="FB292" i="4"/>
  <c r="FQ292" i="4" s="1"/>
  <c r="CV294" i="4"/>
  <c r="DU294" i="4"/>
  <c r="FF296" i="4"/>
  <c r="FW296" i="4" s="1"/>
  <c r="DY298" i="4"/>
  <c r="EC298" i="4" s="1"/>
  <c r="FB298" i="4"/>
  <c r="FQ298" i="4" s="1"/>
  <c r="CV299" i="4"/>
  <c r="DU299" i="4"/>
  <c r="DV300" i="4"/>
  <c r="DZ300" i="4" s="1"/>
  <c r="FF301" i="4"/>
  <c r="FW301" i="4" s="1"/>
  <c r="CV304" i="4"/>
  <c r="DU304" i="4"/>
  <c r="EA304" i="4"/>
  <c r="DV305" i="4"/>
  <c r="DZ305" i="4" s="1"/>
  <c r="DY307" i="4"/>
  <c r="EC307" i="4" s="1"/>
  <c r="FB307" i="4"/>
  <c r="FQ307" i="4" s="1"/>
  <c r="DV309" i="4"/>
  <c r="DZ309" i="4" s="1"/>
  <c r="DY313" i="4"/>
  <c r="EC313" i="4" s="1"/>
  <c r="FB313" i="4"/>
  <c r="FQ313" i="4" s="1"/>
  <c r="CV316" i="4"/>
  <c r="DU316" i="4"/>
  <c r="DV317" i="4"/>
  <c r="DZ317" i="4" s="1"/>
  <c r="FF318" i="4"/>
  <c r="FW318" i="4" s="1"/>
  <c r="CV319" i="4"/>
  <c r="DU319" i="4"/>
  <c r="DV320" i="4"/>
  <c r="DZ320" i="4" s="1"/>
  <c r="FF321" i="4"/>
  <c r="FW321" i="4" s="1"/>
  <c r="CK322" i="4"/>
  <c r="CX322" i="4"/>
  <c r="FJ322" i="4" s="1"/>
  <c r="FY322" i="4" s="1"/>
  <c r="DW322" i="4"/>
  <c r="FF322" i="4"/>
  <c r="FW322" i="4" s="1"/>
  <c r="CV324" i="4"/>
  <c r="FF325" i="4"/>
  <c r="FW325" i="4" s="1"/>
  <c r="FB326" i="4"/>
  <c r="FQ326" i="4" s="1"/>
  <c r="DV327" i="4"/>
  <c r="DZ327" i="4" s="1"/>
  <c r="CX328" i="4"/>
  <c r="FJ328" i="4" s="1"/>
  <c r="FY328" i="4" s="1"/>
  <c r="DW328" i="4"/>
  <c r="FF328" i="4"/>
  <c r="FW328" i="4" s="1"/>
  <c r="FB329" i="4"/>
  <c r="FQ329" i="4" s="1"/>
  <c r="DV331" i="4"/>
  <c r="DZ331" i="4" s="1"/>
  <c r="CV334" i="4"/>
  <c r="FB334" i="4"/>
  <c r="FQ334" i="4" s="1"/>
  <c r="FF335" i="4"/>
  <c r="FW335" i="4" s="1"/>
  <c r="DB337" i="4"/>
  <c r="DD337" i="4"/>
  <c r="DV338" i="4"/>
  <c r="DZ338" i="4" s="1"/>
  <c r="EA338" i="4"/>
  <c r="DU338" i="4"/>
  <c r="CW342" i="4"/>
  <c r="DG344" i="4"/>
  <c r="FF344" i="4"/>
  <c r="FW344" i="4" s="1"/>
  <c r="EB346" i="4"/>
  <c r="DV346" i="4"/>
  <c r="DZ346" i="4" s="1"/>
  <c r="DG349" i="4"/>
  <c r="FF349" i="4"/>
  <c r="FW349" i="4" s="1"/>
  <c r="DY349" i="4"/>
  <c r="EC349" i="4" s="1"/>
  <c r="DC350" i="4"/>
  <c r="DB350" i="4" s="1"/>
  <c r="DD350" i="4"/>
  <c r="FF352" i="4"/>
  <c r="FW352" i="4" s="1"/>
  <c r="DY352" i="4"/>
  <c r="EC352" i="4" s="1"/>
  <c r="DG352" i="4"/>
  <c r="DC354" i="4"/>
  <c r="DB354" i="4" s="1"/>
  <c r="DD354" i="4"/>
  <c r="DY364" i="4"/>
  <c r="EC364" i="4" s="1"/>
  <c r="DC389" i="4"/>
  <c r="DD389" i="4"/>
  <c r="DV395" i="4"/>
  <c r="DZ395" i="4" s="1"/>
  <c r="EA395" i="4"/>
  <c r="DU395" i="4"/>
  <c r="FB256" i="4"/>
  <c r="FQ256" i="4" s="1"/>
  <c r="FF258" i="4"/>
  <c r="FW258" i="4" s="1"/>
  <c r="FF259" i="4"/>
  <c r="FW259" i="4" s="1"/>
  <c r="FF260" i="4"/>
  <c r="FW260" i="4" s="1"/>
  <c r="FB261" i="4"/>
  <c r="FQ261" i="4" s="1"/>
  <c r="CV262" i="4"/>
  <c r="FF263" i="4"/>
  <c r="FW263" i="4" s="1"/>
  <c r="FB264" i="4"/>
  <c r="FQ264" i="4" s="1"/>
  <c r="FF266" i="4"/>
  <c r="FW266" i="4" s="1"/>
  <c r="FB268" i="4"/>
  <c r="FQ268" i="4" s="1"/>
  <c r="CV270" i="4"/>
  <c r="CV271" i="4"/>
  <c r="FF272" i="4"/>
  <c r="FW272" i="4" s="1"/>
  <c r="FB273" i="4"/>
  <c r="FQ273" i="4" s="1"/>
  <c r="CV274" i="4"/>
  <c r="FF275" i="4"/>
  <c r="FW275" i="4" s="1"/>
  <c r="CV277" i="4"/>
  <c r="FI279" i="4"/>
  <c r="FX279" i="4" s="1"/>
  <c r="FF281" i="4"/>
  <c r="FW281" i="4" s="1"/>
  <c r="FB282" i="4"/>
  <c r="FQ282" i="4" s="1"/>
  <c r="CV284" i="4"/>
  <c r="DG285" i="4"/>
  <c r="CV287" i="4"/>
  <c r="FF288" i="4"/>
  <c r="FW288" i="4" s="1"/>
  <c r="FB289" i="4"/>
  <c r="FQ289" i="4" s="1"/>
  <c r="CV290" i="4"/>
  <c r="DG291" i="4"/>
  <c r="CV293" i="4"/>
  <c r="CW294" i="4"/>
  <c r="FF295" i="4"/>
  <c r="FW295" i="4" s="1"/>
  <c r="FB297" i="4"/>
  <c r="FQ297" i="4" s="1"/>
  <c r="CW299" i="4"/>
  <c r="DG301" i="4"/>
  <c r="FB302" i="4"/>
  <c r="FQ302" i="4" s="1"/>
  <c r="CW304" i="4"/>
  <c r="FB311" i="4"/>
  <c r="FQ311" i="4" s="1"/>
  <c r="FB312" i="4"/>
  <c r="FQ312" i="4" s="1"/>
  <c r="CW316" i="4"/>
  <c r="DG318" i="4"/>
  <c r="CW319" i="4"/>
  <c r="FB323" i="4"/>
  <c r="FQ323" i="4" s="1"/>
  <c r="FB332" i="4"/>
  <c r="FQ332" i="4" s="1"/>
  <c r="DY333" i="4"/>
  <c r="EC333" i="4" s="1"/>
  <c r="EB337" i="4"/>
  <c r="DV337" i="4"/>
  <c r="DZ337" i="4" s="1"/>
  <c r="FB339" i="4"/>
  <c r="FQ339" i="4" s="1"/>
  <c r="CV339" i="4"/>
  <c r="FF347" i="4"/>
  <c r="FW347" i="4" s="1"/>
  <c r="DY347" i="4"/>
  <c r="EC347" i="4" s="1"/>
  <c r="DG347" i="4"/>
  <c r="DD357" i="4"/>
  <c r="DC357" i="4"/>
  <c r="DB357" i="4" s="1"/>
  <c r="DC358" i="4"/>
  <c r="DB358" i="4" s="1"/>
  <c r="DD358" i="4"/>
  <c r="DC367" i="4"/>
  <c r="DD367" i="4"/>
  <c r="DC381" i="4"/>
  <c r="DD381" i="4"/>
  <c r="DY384" i="4"/>
  <c r="EC384" i="4" s="1"/>
  <c r="DC391" i="4"/>
  <c r="DB391" i="4" s="1"/>
  <c r="DD391" i="4"/>
  <c r="FF393" i="4"/>
  <c r="FW393" i="4" s="1"/>
  <c r="DY393" i="4"/>
  <c r="EC393" i="4" s="1"/>
  <c r="DG393" i="4"/>
  <c r="DD395" i="4"/>
  <c r="DC395" i="4"/>
  <c r="DC397" i="4"/>
  <c r="DD397" i="4"/>
  <c r="DD415" i="4"/>
  <c r="DC415" i="4"/>
  <c r="DB415" i="4" s="1"/>
  <c r="FB251" i="4"/>
  <c r="FQ251" i="4" s="1"/>
  <c r="FB255" i="4"/>
  <c r="FQ255" i="4" s="1"/>
  <c r="DG258" i="4"/>
  <c r="DG259" i="4"/>
  <c r="DG260" i="4"/>
  <c r="CW262" i="4"/>
  <c r="DG263" i="4"/>
  <c r="CV265" i="4"/>
  <c r="DG266" i="4"/>
  <c r="FB267" i="4"/>
  <c r="FQ267" i="4" s="1"/>
  <c r="CV269" i="4"/>
  <c r="CW270" i="4"/>
  <c r="DG272" i="4"/>
  <c r="CW274" i="4"/>
  <c r="DG275" i="4"/>
  <c r="FB276" i="4"/>
  <c r="FQ276" i="4" s="1"/>
  <c r="DH278" i="4"/>
  <c r="FB278" i="4"/>
  <c r="FQ278" i="4" s="1"/>
  <c r="QX278" i="4"/>
  <c r="FF280" i="4"/>
  <c r="FW280" i="4" s="1"/>
  <c r="DG281" i="4"/>
  <c r="CV283" i="4"/>
  <c r="DU283" i="4"/>
  <c r="EA283" i="4"/>
  <c r="CW284" i="4"/>
  <c r="DV284" i="4"/>
  <c r="DZ284" i="4" s="1"/>
  <c r="DU286" i="4"/>
  <c r="EA286" i="4"/>
  <c r="CW287" i="4"/>
  <c r="DV287" i="4"/>
  <c r="DZ287" i="4" s="1"/>
  <c r="DG288" i="4"/>
  <c r="CW290" i="4"/>
  <c r="DV290" i="4"/>
  <c r="DZ290" i="4" s="1"/>
  <c r="CV292" i="4"/>
  <c r="DU292" i="4"/>
  <c r="EA292" i="4"/>
  <c r="CW293" i="4"/>
  <c r="DV293" i="4"/>
  <c r="DZ293" i="4" s="1"/>
  <c r="DG295" i="4"/>
  <c r="DU298" i="4"/>
  <c r="EA298" i="4"/>
  <c r="FB301" i="4"/>
  <c r="FQ301" i="4" s="1"/>
  <c r="DV303" i="4"/>
  <c r="DZ303" i="4" s="1"/>
  <c r="FB306" i="4"/>
  <c r="FQ306" i="4" s="1"/>
  <c r="DV308" i="4"/>
  <c r="DZ308" i="4" s="1"/>
  <c r="FB310" i="4"/>
  <c r="FQ310" i="4" s="1"/>
  <c r="DU313" i="4"/>
  <c r="EA313" i="4"/>
  <c r="DV314" i="4"/>
  <c r="DZ314" i="4" s="1"/>
  <c r="DV315" i="4"/>
  <c r="DZ315" i="4" s="1"/>
  <c r="FB318" i="4"/>
  <c r="FQ318" i="4" s="1"/>
  <c r="FB321" i="4"/>
  <c r="FQ321" i="4" s="1"/>
  <c r="DH322" i="4"/>
  <c r="QX322" i="4"/>
  <c r="FB325" i="4"/>
  <c r="FQ325" i="4" s="1"/>
  <c r="CV326" i="4"/>
  <c r="DU326" i="4"/>
  <c r="EA326" i="4"/>
  <c r="DH328" i="4"/>
  <c r="QX328" i="4"/>
  <c r="CV329" i="4"/>
  <c r="DU329" i="4"/>
  <c r="EA329" i="4"/>
  <c r="DU330" i="4"/>
  <c r="EA330" i="4"/>
  <c r="DY337" i="4"/>
  <c r="EC337" i="4" s="1"/>
  <c r="FF337" i="4"/>
  <c r="FW337" i="4" s="1"/>
  <c r="DG337" i="4"/>
  <c r="DV340" i="4"/>
  <c r="DZ340" i="4" s="1"/>
  <c r="EA340" i="4"/>
  <c r="DU340" i="4"/>
  <c r="DZ342" i="4"/>
  <c r="FB342" i="4"/>
  <c r="FQ342" i="4" s="1"/>
  <c r="FF361" i="4"/>
  <c r="FW361" i="4" s="1"/>
  <c r="DY361" i="4"/>
  <c r="EC361" i="4" s="1"/>
  <c r="DG361" i="4"/>
  <c r="DC371" i="4"/>
  <c r="DD371" i="4"/>
  <c r="DD380" i="4"/>
  <c r="DC380" i="4"/>
  <c r="DD388" i="4"/>
  <c r="DC388" i="4"/>
  <c r="DB388" i="4" s="1"/>
  <c r="DC399" i="4"/>
  <c r="DD399" i="4"/>
  <c r="DZ403" i="4"/>
  <c r="DY403" i="4"/>
  <c r="EC403" i="4" s="1"/>
  <c r="DG253" i="4"/>
  <c r="CV256" i="4"/>
  <c r="DU256" i="4"/>
  <c r="EA256" i="4"/>
  <c r="DH258" i="4"/>
  <c r="QX258" i="4"/>
  <c r="DH259" i="4"/>
  <c r="QX259" i="4"/>
  <c r="DH260" i="4"/>
  <c r="QX260" i="4"/>
  <c r="DU261" i="4"/>
  <c r="EA261" i="4"/>
  <c r="CV264" i="4"/>
  <c r="DU264" i="4"/>
  <c r="EA264" i="4"/>
  <c r="CV268" i="4"/>
  <c r="DU268" i="4"/>
  <c r="EA268" i="4"/>
  <c r="CO271" i="4"/>
  <c r="CX271" i="4"/>
  <c r="FJ271" i="4" s="1"/>
  <c r="FY271" i="4" s="1"/>
  <c r="DU273" i="4"/>
  <c r="EA273" i="4"/>
  <c r="DG280" i="4"/>
  <c r="CV282" i="4"/>
  <c r="DU282" i="4"/>
  <c r="EA282" i="4"/>
  <c r="CV289" i="4"/>
  <c r="DU289" i="4"/>
  <c r="EA289" i="4"/>
  <c r="CV297" i="4"/>
  <c r="DU297" i="4"/>
  <c r="EA297" i="4"/>
  <c r="FF298" i="4"/>
  <c r="FW298" i="4" s="1"/>
  <c r="DU302" i="4"/>
  <c r="FF303" i="4"/>
  <c r="FW303" i="4" s="1"/>
  <c r="FF308" i="4"/>
  <c r="FW308" i="4" s="1"/>
  <c r="FB309" i="4"/>
  <c r="FQ309" i="4" s="1"/>
  <c r="DU311" i="4"/>
  <c r="DU312" i="4"/>
  <c r="FF314" i="4"/>
  <c r="FW314" i="4" s="1"/>
  <c r="FF315" i="4"/>
  <c r="FW315" i="4" s="1"/>
  <c r="FB317" i="4"/>
  <c r="FQ317" i="4" s="1"/>
  <c r="FB320" i="4"/>
  <c r="FQ320" i="4" s="1"/>
  <c r="FB327" i="4"/>
  <c r="FQ327" i="4" s="1"/>
  <c r="FB331" i="4"/>
  <c r="FQ331" i="4" s="1"/>
  <c r="CV332" i="4"/>
  <c r="DV335" i="4"/>
  <c r="DZ335" i="4" s="1"/>
  <c r="DG338" i="4"/>
  <c r="FF338" i="4"/>
  <c r="FW338" i="4" s="1"/>
  <c r="CW339" i="4"/>
  <c r="DG341" i="4"/>
  <c r="FF341" i="4"/>
  <c r="FW341" i="4" s="1"/>
  <c r="DB343" i="4"/>
  <c r="DD343" i="4"/>
  <c r="DV344" i="4"/>
  <c r="DZ344" i="4" s="1"/>
  <c r="EA344" i="4"/>
  <c r="DU344" i="4"/>
  <c r="EA345" i="4"/>
  <c r="DU345" i="4"/>
  <c r="DD346" i="4"/>
  <c r="DC346" i="4"/>
  <c r="DB346" i="4" s="1"/>
  <c r="DC348" i="4"/>
  <c r="DB348" i="4" s="1"/>
  <c r="DC375" i="4"/>
  <c r="DB375" i="4" s="1"/>
  <c r="DD375" i="4"/>
  <c r="DD378" i="4"/>
  <c r="DC378" i="4"/>
  <c r="DD379" i="4"/>
  <c r="DC379" i="4"/>
  <c r="DC383" i="4"/>
  <c r="DB383" i="4" s="1"/>
  <c r="DD383" i="4"/>
  <c r="DC390" i="4"/>
  <c r="DB390" i="4" s="1"/>
  <c r="DD390" i="4"/>
  <c r="DY391" i="4"/>
  <c r="EC391" i="4" s="1"/>
  <c r="DD394" i="4"/>
  <c r="DC394" i="4"/>
  <c r="DB394" i="4" s="1"/>
  <c r="DU251" i="4"/>
  <c r="DU255" i="4"/>
  <c r="DU267" i="4"/>
  <c r="DU276" i="4"/>
  <c r="CX279" i="4"/>
  <c r="FJ279" i="4" s="1"/>
  <c r="FY279" i="4" s="1"/>
  <c r="DU285" i="4"/>
  <c r="DU291" i="4"/>
  <c r="CV306" i="4"/>
  <c r="FF307" i="4"/>
  <c r="FW307" i="4" s="1"/>
  <c r="CV310" i="4"/>
  <c r="DY341" i="4"/>
  <c r="EC341" i="4" s="1"/>
  <c r="DG342" i="4"/>
  <c r="FF342" i="4"/>
  <c r="FW342" i="4" s="1"/>
  <c r="EB343" i="4"/>
  <c r="DV343" i="4"/>
  <c r="DZ343" i="4" s="1"/>
  <c r="DD351" i="4"/>
  <c r="DC351" i="4"/>
  <c r="DB351" i="4" s="1"/>
  <c r="DG359" i="4"/>
  <c r="FF359" i="4"/>
  <c r="FW359" i="4" s="1"/>
  <c r="DD362" i="4"/>
  <c r="DC362" i="4"/>
  <c r="DD364" i="4"/>
  <c r="DC364" i="4"/>
  <c r="FF386" i="4"/>
  <c r="FW386" i="4" s="1"/>
  <c r="DY386" i="4"/>
  <c r="EC386" i="4" s="1"/>
  <c r="DG386" i="4"/>
  <c r="DD392" i="4"/>
  <c r="DC392" i="4"/>
  <c r="DC396" i="4"/>
  <c r="DB396" i="4" s="1"/>
  <c r="DD396" i="4"/>
  <c r="DU300" i="4"/>
  <c r="DU305" i="4"/>
  <c r="DU309" i="4"/>
  <c r="DU317" i="4"/>
  <c r="DU320" i="4"/>
  <c r="DU327" i="4"/>
  <c r="DU331" i="4"/>
  <c r="DZ334" i="4"/>
  <c r="DG335" i="4"/>
  <c r="DV336" i="4"/>
  <c r="DZ336" i="4" s="1"/>
  <c r="EA336" i="4"/>
  <c r="DU336" i="4"/>
  <c r="DY340" i="4"/>
  <c r="EC340" i="4" s="1"/>
  <c r="DG340" i="4"/>
  <c r="FF340" i="4"/>
  <c r="FW340" i="4" s="1"/>
  <c r="DY342" i="4"/>
  <c r="EC342" i="4" s="1"/>
  <c r="FF343" i="4"/>
  <c r="FW343" i="4" s="1"/>
  <c r="DG343" i="4"/>
  <c r="DZ348" i="4"/>
  <c r="DC363" i="4"/>
  <c r="DB363" i="4" s="1"/>
  <c r="DD363" i="4"/>
  <c r="DY379" i="4"/>
  <c r="EC379" i="4" s="1"/>
  <c r="DD382" i="4"/>
  <c r="DC382" i="4"/>
  <c r="DB382" i="4" s="1"/>
  <c r="DD384" i="4"/>
  <c r="DC384" i="4"/>
  <c r="DB384" i="4" s="1"/>
  <c r="DY390" i="4"/>
  <c r="EC390" i="4" s="1"/>
  <c r="DD409" i="4"/>
  <c r="DC409" i="4"/>
  <c r="FB335" i="4"/>
  <c r="FQ335" i="4" s="1"/>
  <c r="CV336" i="4"/>
  <c r="AH412" i="5" s="1"/>
  <c r="AU412" i="5" s="1"/>
  <c r="FI345" i="4"/>
  <c r="FX345" i="4" s="1"/>
  <c r="CV346" i="4"/>
  <c r="FB349" i="4"/>
  <c r="FQ349" i="4" s="1"/>
  <c r="CV350" i="4"/>
  <c r="DU350" i="4"/>
  <c r="EA350" i="4"/>
  <c r="DV351" i="4"/>
  <c r="DZ351" i="4" s="1"/>
  <c r="DY353" i="4"/>
  <c r="EC353" i="4" s="1"/>
  <c r="FB353" i="4"/>
  <c r="FQ353" i="4" s="1"/>
  <c r="CV354" i="4"/>
  <c r="DU354" i="4"/>
  <c r="EA354" i="4"/>
  <c r="DY356" i="4"/>
  <c r="EC356" i="4" s="1"/>
  <c r="FB356" i="4"/>
  <c r="FQ356" i="4" s="1"/>
  <c r="CV358" i="4"/>
  <c r="DU358" i="4"/>
  <c r="EA358" i="4"/>
  <c r="CW359" i="4"/>
  <c r="DV359" i="4"/>
  <c r="DZ359" i="4" s="1"/>
  <c r="DU363" i="4"/>
  <c r="EA363" i="4"/>
  <c r="DV364" i="4"/>
  <c r="DZ364" i="4" s="1"/>
  <c r="DY366" i="4"/>
  <c r="EC366" i="4" s="1"/>
  <c r="FB366" i="4"/>
  <c r="FQ366" i="4" s="1"/>
  <c r="DU367" i="4"/>
  <c r="EA367" i="4"/>
  <c r="DU368" i="4"/>
  <c r="EA368" i="4"/>
  <c r="DY370" i="4"/>
  <c r="EC370" i="4" s="1"/>
  <c r="FB370" i="4"/>
  <c r="FQ370" i="4" s="1"/>
  <c r="DU371" i="4"/>
  <c r="EA371" i="4"/>
  <c r="DY373" i="4"/>
  <c r="EC373" i="4" s="1"/>
  <c r="FB373" i="4"/>
  <c r="FQ373" i="4" s="1"/>
  <c r="DY374" i="4"/>
  <c r="EC374" i="4" s="1"/>
  <c r="FB374" i="4"/>
  <c r="FQ374" i="4" s="1"/>
  <c r="DU375" i="4"/>
  <c r="EA375" i="4"/>
  <c r="DY378" i="4"/>
  <c r="EC378" i="4" s="1"/>
  <c r="DV379" i="4"/>
  <c r="DZ379" i="4" s="1"/>
  <c r="DV380" i="4"/>
  <c r="DZ380" i="4" s="1"/>
  <c r="DU381" i="4"/>
  <c r="EA381" i="4"/>
  <c r="DU383" i="4"/>
  <c r="EA383" i="4"/>
  <c r="DV384" i="4"/>
  <c r="DZ384" i="4" s="1"/>
  <c r="DY387" i="4"/>
  <c r="EC387" i="4" s="1"/>
  <c r="FB387" i="4"/>
  <c r="FQ387" i="4" s="1"/>
  <c r="DU389" i="4"/>
  <c r="EA389" i="4"/>
  <c r="DU390" i="4"/>
  <c r="EA390" i="4"/>
  <c r="DU391" i="4"/>
  <c r="EA391" i="4"/>
  <c r="DV392" i="4"/>
  <c r="DZ392" i="4" s="1"/>
  <c r="DU397" i="4"/>
  <c r="FB401" i="4"/>
  <c r="FQ401" i="4" s="1"/>
  <c r="FB402" i="4"/>
  <c r="FQ402" i="4" s="1"/>
  <c r="DZ406" i="4"/>
  <c r="FB406" i="4"/>
  <c r="FQ406" i="4" s="1"/>
  <c r="DV407" i="4"/>
  <c r="DZ407" i="4" s="1"/>
  <c r="EA407" i="4"/>
  <c r="DU407" i="4"/>
  <c r="DB408" i="4"/>
  <c r="CW411" i="4"/>
  <c r="CV411" i="4"/>
  <c r="DY412" i="4"/>
  <c r="EC412" i="4" s="1"/>
  <c r="DD414" i="4"/>
  <c r="DC414" i="4"/>
  <c r="DZ415" i="4"/>
  <c r="DY420" i="4"/>
  <c r="EC420" i="4" s="1"/>
  <c r="DG420" i="4"/>
  <c r="FF420" i="4"/>
  <c r="FW420" i="4" s="1"/>
  <c r="DD430" i="4"/>
  <c r="DC430" i="4"/>
  <c r="DD459" i="4"/>
  <c r="DC459" i="4"/>
  <c r="DB459" i="4" s="1"/>
  <c r="CW336" i="4"/>
  <c r="FB338" i="4"/>
  <c r="FQ338" i="4" s="1"/>
  <c r="FB340" i="4"/>
  <c r="FQ340" i="4" s="1"/>
  <c r="DU341" i="4"/>
  <c r="DU342" i="4"/>
  <c r="FB344" i="4"/>
  <c r="FQ344" i="4" s="1"/>
  <c r="CV345" i="4"/>
  <c r="AH357" i="5" s="1"/>
  <c r="AU357" i="5" s="1"/>
  <c r="FB347" i="4"/>
  <c r="FQ347" i="4" s="1"/>
  <c r="CW350" i="4"/>
  <c r="FF351" i="4"/>
  <c r="FW351" i="4" s="1"/>
  <c r="FB352" i="4"/>
  <c r="FQ352" i="4" s="1"/>
  <c r="CW354" i="4"/>
  <c r="CV357" i="4"/>
  <c r="AH194" i="5" s="1"/>
  <c r="AU194" i="5" s="1"/>
  <c r="DU357" i="4"/>
  <c r="CW358" i="4"/>
  <c r="DF359" i="4"/>
  <c r="FB361" i="4"/>
  <c r="FQ361" i="4" s="1"/>
  <c r="CV362" i="4"/>
  <c r="DU362" i="4"/>
  <c r="CW363" i="4"/>
  <c r="FF364" i="4"/>
  <c r="FW364" i="4" s="1"/>
  <c r="CW367" i="4"/>
  <c r="CW371" i="4"/>
  <c r="FB372" i="4"/>
  <c r="FQ372" i="4" s="1"/>
  <c r="FF379" i="4"/>
  <c r="FW379" i="4" s="1"/>
  <c r="FF380" i="4"/>
  <c r="FW380" i="4" s="1"/>
  <c r="CW381" i="4"/>
  <c r="CV382" i="4"/>
  <c r="CW383" i="4"/>
  <c r="FF384" i="4"/>
  <c r="FW384" i="4" s="1"/>
  <c r="FB386" i="4"/>
  <c r="FQ386" i="4" s="1"/>
  <c r="CV388" i="4"/>
  <c r="CW389" i="4"/>
  <c r="FF392" i="4"/>
  <c r="FW392" i="4" s="1"/>
  <c r="FB393" i="4"/>
  <c r="FQ393" i="4" s="1"/>
  <c r="CV394" i="4"/>
  <c r="CV395" i="4"/>
  <c r="CW396" i="4"/>
  <c r="FF396" i="4"/>
  <c r="FW396" i="4" s="1"/>
  <c r="DV397" i="4"/>
  <c r="DZ397" i="4" s="1"/>
  <c r="DG398" i="4"/>
  <c r="CW399" i="4"/>
  <c r="DC400" i="4"/>
  <c r="DB400" i="4" s="1"/>
  <c r="CW401" i="4"/>
  <c r="CW402" i="4"/>
  <c r="EB403" i="4"/>
  <c r="CW409" i="4"/>
  <c r="DY410" i="4"/>
  <c r="EC410" i="4" s="1"/>
  <c r="EB414" i="4"/>
  <c r="DV414" i="4"/>
  <c r="DZ414" i="4" s="1"/>
  <c r="DD418" i="4"/>
  <c r="DC418" i="4"/>
  <c r="DB418" i="4" s="1"/>
  <c r="DD423" i="4"/>
  <c r="DC423" i="4"/>
  <c r="DB423" i="4" s="1"/>
  <c r="CV426" i="4"/>
  <c r="DY456" i="4"/>
  <c r="EC456" i="4" s="1"/>
  <c r="DG456" i="4"/>
  <c r="FF456" i="4"/>
  <c r="FW456" i="4" s="1"/>
  <c r="DD472" i="4"/>
  <c r="DC472" i="4"/>
  <c r="DB472" i="4" s="1"/>
  <c r="FB355" i="4"/>
  <c r="FQ355" i="4" s="1"/>
  <c r="FB360" i="4"/>
  <c r="FQ360" i="4" s="1"/>
  <c r="FB365" i="4"/>
  <c r="FQ365" i="4" s="1"/>
  <c r="FB369" i="4"/>
  <c r="FQ369" i="4" s="1"/>
  <c r="FB376" i="4"/>
  <c r="FQ376" i="4" s="1"/>
  <c r="FB377" i="4"/>
  <c r="FQ377" i="4" s="1"/>
  <c r="FB385" i="4"/>
  <c r="FQ385" i="4" s="1"/>
  <c r="DD403" i="4"/>
  <c r="DC403" i="4"/>
  <c r="DV404" i="4"/>
  <c r="DZ404" i="4" s="1"/>
  <c r="EA404" i="4"/>
  <c r="DU404" i="4"/>
  <c r="DG406" i="4"/>
  <c r="FF406" i="4"/>
  <c r="FW406" i="4" s="1"/>
  <c r="DY408" i="4"/>
  <c r="EC408" i="4" s="1"/>
  <c r="FF408" i="4"/>
  <c r="FW408" i="4" s="1"/>
  <c r="DV410" i="4"/>
  <c r="DZ410" i="4" s="1"/>
  <c r="EA410" i="4"/>
  <c r="DU410" i="4"/>
  <c r="DC419" i="4"/>
  <c r="DB419" i="4" s="1"/>
  <c r="DD419" i="4"/>
  <c r="DD425" i="4"/>
  <c r="DC425" i="4"/>
  <c r="DD429" i="4"/>
  <c r="DC429" i="4"/>
  <c r="DD432" i="4"/>
  <c r="DC432" i="4"/>
  <c r="DD444" i="4"/>
  <c r="DC444" i="4"/>
  <c r="DC455" i="4"/>
  <c r="DB455" i="4" s="1"/>
  <c r="DD455" i="4"/>
  <c r="DD464" i="4"/>
  <c r="DC464" i="4"/>
  <c r="CX345" i="4"/>
  <c r="FJ345" i="4" s="1"/>
  <c r="FY345" i="4" s="1"/>
  <c r="DH346" i="4"/>
  <c r="DU347" i="4"/>
  <c r="EA347" i="4"/>
  <c r="DU348" i="4"/>
  <c r="EA348" i="4"/>
  <c r="DU352" i="4"/>
  <c r="EA352" i="4"/>
  <c r="FB359" i="4"/>
  <c r="FQ359" i="4" s="1"/>
  <c r="DU361" i="4"/>
  <c r="EA361" i="4"/>
  <c r="DG363" i="4"/>
  <c r="DG367" i="4"/>
  <c r="DG371" i="4"/>
  <c r="DG375" i="4"/>
  <c r="DG381" i="4"/>
  <c r="DG383" i="4"/>
  <c r="DU386" i="4"/>
  <c r="EA386" i="4"/>
  <c r="DG389" i="4"/>
  <c r="DG390" i="4"/>
  <c r="DG391" i="4"/>
  <c r="DU393" i="4"/>
  <c r="EA393" i="4"/>
  <c r="CK395" i="4"/>
  <c r="CX395" i="4"/>
  <c r="FJ395" i="4" s="1"/>
  <c r="FY395" i="4" s="1"/>
  <c r="DY396" i="4"/>
  <c r="EC396" i="4" s="1"/>
  <c r="DG397" i="4"/>
  <c r="EA399" i="4"/>
  <c r="DD405" i="4"/>
  <c r="DB405" i="4" s="1"/>
  <c r="DY406" i="4"/>
  <c r="EC406" i="4" s="1"/>
  <c r="DD411" i="4"/>
  <c r="DC411" i="4"/>
  <c r="CW415" i="4"/>
  <c r="CV415" i="4"/>
  <c r="DD431" i="4"/>
  <c r="DC431" i="4"/>
  <c r="DC434" i="4"/>
  <c r="DB434" i="4" s="1"/>
  <c r="DD434" i="4"/>
  <c r="DD436" i="4"/>
  <c r="DC436" i="4"/>
  <c r="DD437" i="4"/>
  <c r="DC437" i="4"/>
  <c r="DC443" i="4"/>
  <c r="DB443" i="4" s="1"/>
  <c r="DD443" i="4"/>
  <c r="DD445" i="4"/>
  <c r="DC445" i="4"/>
  <c r="DD446" i="4"/>
  <c r="DC446" i="4"/>
  <c r="DG448" i="4"/>
  <c r="FF448" i="4"/>
  <c r="FW448" i="4" s="1"/>
  <c r="FF353" i="4"/>
  <c r="FW353" i="4" s="1"/>
  <c r="CV355" i="4"/>
  <c r="FF356" i="4"/>
  <c r="FW356" i="4" s="1"/>
  <c r="CV360" i="4"/>
  <c r="DU360" i="4"/>
  <c r="CV365" i="4"/>
  <c r="AH53" i="5" s="1"/>
  <c r="AU53" i="5" s="1"/>
  <c r="DU365" i="4"/>
  <c r="FF366" i="4"/>
  <c r="FW366" i="4" s="1"/>
  <c r="CV368" i="4"/>
  <c r="FB368" i="4"/>
  <c r="FQ368" i="4" s="1"/>
  <c r="CV369" i="4"/>
  <c r="DU369" i="4"/>
  <c r="FF370" i="4"/>
  <c r="FW370" i="4" s="1"/>
  <c r="CV372" i="4"/>
  <c r="DU372" i="4"/>
  <c r="FF373" i="4"/>
  <c r="FW373" i="4" s="1"/>
  <c r="FF374" i="4"/>
  <c r="FW374" i="4" s="1"/>
  <c r="CV376" i="4"/>
  <c r="DU376" i="4"/>
  <c r="CV377" i="4"/>
  <c r="DU377" i="4"/>
  <c r="FF378" i="4"/>
  <c r="FW378" i="4" s="1"/>
  <c r="CV385" i="4"/>
  <c r="DU385" i="4"/>
  <c r="FF387" i="4"/>
  <c r="FW387" i="4" s="1"/>
  <c r="DD398" i="4"/>
  <c r="DB398" i="4" s="1"/>
  <c r="CW406" i="4"/>
  <c r="DC412" i="4"/>
  <c r="DB412" i="4" s="1"/>
  <c r="DV416" i="4"/>
  <c r="EA416" i="4"/>
  <c r="DU416" i="4"/>
  <c r="DD417" i="4"/>
  <c r="DC417" i="4"/>
  <c r="DY444" i="4"/>
  <c r="EC444" i="4" s="1"/>
  <c r="DC447" i="4"/>
  <c r="DD447" i="4"/>
  <c r="DD454" i="4"/>
  <c r="DC454" i="4"/>
  <c r="DB454" i="4" s="1"/>
  <c r="FF405" i="4"/>
  <c r="FW405" i="4" s="1"/>
  <c r="EB405" i="4"/>
  <c r="DV405" i="4"/>
  <c r="DZ405" i="4" s="1"/>
  <c r="DG409" i="4"/>
  <c r="FF409" i="4"/>
  <c r="FW409" i="4" s="1"/>
  <c r="DY413" i="4"/>
  <c r="EC413" i="4" s="1"/>
  <c r="DG413" i="4"/>
  <c r="FF413" i="4"/>
  <c r="FW413" i="4" s="1"/>
  <c r="EB417" i="4"/>
  <c r="DV417" i="4"/>
  <c r="DZ417" i="4" s="1"/>
  <c r="DD424" i="4"/>
  <c r="DC424" i="4"/>
  <c r="DD433" i="4"/>
  <c r="DC433" i="4"/>
  <c r="DD435" i="4"/>
  <c r="DC435" i="4"/>
  <c r="DC438" i="4"/>
  <c r="DD438" i="4"/>
  <c r="DD439" i="4"/>
  <c r="DC439" i="4"/>
  <c r="DC440" i="4"/>
  <c r="DB440" i="4" s="1"/>
  <c r="DD440" i="4"/>
  <c r="DD441" i="4"/>
  <c r="DC441" i="4"/>
  <c r="DB441" i="4" s="1"/>
  <c r="DC442" i="4"/>
  <c r="DB442" i="4" s="1"/>
  <c r="DD442" i="4"/>
  <c r="DY451" i="4"/>
  <c r="EC451" i="4" s="1"/>
  <c r="DG451" i="4"/>
  <c r="FF451" i="4"/>
  <c r="FW451" i="4" s="1"/>
  <c r="DD458" i="4"/>
  <c r="DC458" i="4"/>
  <c r="CV407" i="4"/>
  <c r="CW408" i="4"/>
  <c r="DG410" i="4"/>
  <c r="DU412" i="4"/>
  <c r="EA412" i="4"/>
  <c r="DY414" i="4"/>
  <c r="EC414" i="4" s="1"/>
  <c r="CV419" i="4"/>
  <c r="AH367" i="5" s="1"/>
  <c r="AU367" i="5" s="1"/>
  <c r="DU419" i="4"/>
  <c r="EA419" i="4"/>
  <c r="CW420" i="4"/>
  <c r="DG422" i="4"/>
  <c r="DY423" i="4"/>
  <c r="EC423" i="4" s="1"/>
  <c r="DY425" i="4"/>
  <c r="EC425" i="4" s="1"/>
  <c r="CO426" i="4"/>
  <c r="FB426" i="4" s="1"/>
  <c r="FQ426" i="4" s="1"/>
  <c r="CW426" i="4"/>
  <c r="FE426" i="4"/>
  <c r="FT426" i="4" s="1"/>
  <c r="DG428" i="4"/>
  <c r="DY429" i="4"/>
  <c r="EC429" i="4" s="1"/>
  <c r="DY431" i="4"/>
  <c r="EC431" i="4" s="1"/>
  <c r="DY433" i="4"/>
  <c r="EC433" i="4" s="1"/>
  <c r="CV434" i="4"/>
  <c r="DU434" i="4"/>
  <c r="EA434" i="4"/>
  <c r="DG435" i="4"/>
  <c r="DY436" i="4"/>
  <c r="EC436" i="4" s="1"/>
  <c r="CV438" i="4"/>
  <c r="DU438" i="4"/>
  <c r="EA438" i="4"/>
  <c r="CV440" i="4"/>
  <c r="DU440" i="4"/>
  <c r="EA440" i="4"/>
  <c r="CV442" i="4"/>
  <c r="DU442" i="4"/>
  <c r="EA442" i="4"/>
  <c r="CV443" i="4"/>
  <c r="DU443" i="4"/>
  <c r="EA443" i="4"/>
  <c r="FI444" i="4"/>
  <c r="FX444" i="4" s="1"/>
  <c r="DY445" i="4"/>
  <c r="EC445" i="4" s="1"/>
  <c r="CV447" i="4"/>
  <c r="DU447" i="4"/>
  <c r="EA447" i="4"/>
  <c r="CW448" i="4"/>
  <c r="DV448" i="4"/>
  <c r="DZ448" i="4" s="1"/>
  <c r="DG450" i="4"/>
  <c r="CW451" i="4"/>
  <c r="DV451" i="4"/>
  <c r="DZ451" i="4" s="1"/>
  <c r="DG453" i="4"/>
  <c r="DY454" i="4"/>
  <c r="EC454" i="4" s="1"/>
  <c r="CV455" i="4"/>
  <c r="DU455" i="4"/>
  <c r="EA455" i="4"/>
  <c r="CW456" i="4"/>
  <c r="DV456" i="4"/>
  <c r="DZ456" i="4" s="1"/>
  <c r="DG458" i="4"/>
  <c r="DY459" i="4"/>
  <c r="EC459" i="4" s="1"/>
  <c r="CX460" i="4"/>
  <c r="FJ460" i="4" s="1"/>
  <c r="FY460" i="4" s="1"/>
  <c r="DF460" i="4"/>
  <c r="DW460" i="4"/>
  <c r="CX461" i="4"/>
  <c r="FJ461" i="4" s="1"/>
  <c r="FY461" i="4" s="1"/>
  <c r="DW461" i="4"/>
  <c r="DD469" i="4"/>
  <c r="DC469" i="4"/>
  <c r="DB469" i="4" s="1"/>
  <c r="DD478" i="4"/>
  <c r="DC478" i="4"/>
  <c r="DC489" i="4"/>
  <c r="DD489" i="4"/>
  <c r="DG491" i="4"/>
  <c r="FF491" i="4"/>
  <c r="FW491" i="4" s="1"/>
  <c r="DD495" i="4"/>
  <c r="DC495" i="4"/>
  <c r="FF511" i="4"/>
  <c r="FW511" i="4" s="1"/>
  <c r="DG511" i="4"/>
  <c r="FB404" i="4"/>
  <c r="FQ404" i="4" s="1"/>
  <c r="DU406" i="4"/>
  <c r="FB410" i="4"/>
  <c r="FQ410" i="4" s="1"/>
  <c r="DU411" i="4"/>
  <c r="DU415" i="4"/>
  <c r="CV418" i="4"/>
  <c r="DU418" i="4"/>
  <c r="DY422" i="4"/>
  <c r="EC422" i="4" s="1"/>
  <c r="FB422" i="4"/>
  <c r="FQ422" i="4" s="1"/>
  <c r="CV424" i="4"/>
  <c r="DU424" i="4"/>
  <c r="CX426" i="4"/>
  <c r="FJ426" i="4" s="1"/>
  <c r="FY426" i="4" s="1"/>
  <c r="DF426" i="4"/>
  <c r="DW426" i="4"/>
  <c r="DY428" i="4"/>
  <c r="EC428" i="4" s="1"/>
  <c r="FB428" i="4"/>
  <c r="FQ428" i="4" s="1"/>
  <c r="CV430" i="4"/>
  <c r="DU430" i="4"/>
  <c r="CV432" i="4"/>
  <c r="DU432" i="4"/>
  <c r="DY435" i="4"/>
  <c r="EC435" i="4" s="1"/>
  <c r="CV437" i="4"/>
  <c r="DU437" i="4"/>
  <c r="CW438" i="4"/>
  <c r="CV439" i="4"/>
  <c r="DU439" i="4"/>
  <c r="CW440" i="4"/>
  <c r="CV441" i="4"/>
  <c r="DU441" i="4"/>
  <c r="CW442" i="4"/>
  <c r="CW443" i="4"/>
  <c r="DU444" i="4"/>
  <c r="EA444" i="4"/>
  <c r="CV446" i="4"/>
  <c r="DU446" i="4"/>
  <c r="EA446" i="4"/>
  <c r="CW447" i="4"/>
  <c r="DY450" i="4"/>
  <c r="EC450" i="4" s="1"/>
  <c r="FB450" i="4"/>
  <c r="FQ450" i="4" s="1"/>
  <c r="DY453" i="4"/>
  <c r="EC453" i="4" s="1"/>
  <c r="FB453" i="4"/>
  <c r="FQ453" i="4" s="1"/>
  <c r="CO461" i="4"/>
  <c r="EA462" i="4"/>
  <c r="DD463" i="4"/>
  <c r="DB463" i="4" s="1"/>
  <c r="DC465" i="4"/>
  <c r="DD465" i="4"/>
  <c r="CW467" i="4"/>
  <c r="CV467" i="4"/>
  <c r="FF470" i="4"/>
  <c r="FW470" i="4" s="1"/>
  <c r="DY470" i="4"/>
  <c r="EC470" i="4" s="1"/>
  <c r="DG470" i="4"/>
  <c r="DC479" i="4"/>
  <c r="DD479" i="4"/>
  <c r="DD480" i="4"/>
  <c r="DC480" i="4"/>
  <c r="FF484" i="4"/>
  <c r="FW484" i="4" s="1"/>
  <c r="DY484" i="4"/>
  <c r="EC484" i="4" s="1"/>
  <c r="DG484" i="4"/>
  <c r="DD485" i="4"/>
  <c r="DC485" i="4"/>
  <c r="DY486" i="4"/>
  <c r="EC486" i="4" s="1"/>
  <c r="DG486" i="4"/>
  <c r="FF486" i="4"/>
  <c r="FW486" i="4" s="1"/>
  <c r="DD498" i="4"/>
  <c r="DC498" i="4"/>
  <c r="DB498" i="4" s="1"/>
  <c r="DD502" i="4"/>
  <c r="DC502" i="4"/>
  <c r="DB502" i="4" s="1"/>
  <c r="DD505" i="4"/>
  <c r="DC505" i="4"/>
  <c r="DB505" i="4" s="1"/>
  <c r="DC514" i="4"/>
  <c r="DB514" i="4" s="1"/>
  <c r="DD514" i="4"/>
  <c r="DV517" i="4"/>
  <c r="DZ517" i="4" s="1"/>
  <c r="EA517" i="4"/>
  <c r="DU517" i="4"/>
  <c r="DY520" i="4"/>
  <c r="EC520" i="4" s="1"/>
  <c r="FF521" i="4"/>
  <c r="FW521" i="4" s="1"/>
  <c r="DY521" i="4"/>
  <c r="EC521" i="4" s="1"/>
  <c r="DG521" i="4"/>
  <c r="DD531" i="4"/>
  <c r="DC531" i="4"/>
  <c r="FB413" i="4"/>
  <c r="FQ413" i="4" s="1"/>
  <c r="FB421" i="4"/>
  <c r="FQ421" i="4" s="1"/>
  <c r="FB427" i="4"/>
  <c r="FQ427" i="4" s="1"/>
  <c r="FB449" i="4"/>
  <c r="FQ449" i="4" s="1"/>
  <c r="FB452" i="4"/>
  <c r="FQ452" i="4" s="1"/>
  <c r="FB457" i="4"/>
  <c r="FQ457" i="4" s="1"/>
  <c r="FH460" i="4"/>
  <c r="FV460" i="4" s="1"/>
  <c r="DU462" i="4"/>
  <c r="DV465" i="4"/>
  <c r="DZ465" i="4" s="1"/>
  <c r="EA465" i="4"/>
  <c r="DU465" i="4"/>
  <c r="DG471" i="4"/>
  <c r="FF471" i="4"/>
  <c r="FW471" i="4" s="1"/>
  <c r="DY471" i="4"/>
  <c r="EC471" i="4" s="1"/>
  <c r="DC473" i="4"/>
  <c r="DB473" i="4" s="1"/>
  <c r="DD473" i="4"/>
  <c r="CW475" i="4"/>
  <c r="CV475" i="4"/>
  <c r="DC481" i="4"/>
  <c r="DD481" i="4"/>
  <c r="DD493" i="4"/>
  <c r="DC493" i="4"/>
  <c r="DC509" i="4"/>
  <c r="DB509" i="4" s="1"/>
  <c r="DD509" i="4"/>
  <c r="DD517" i="4"/>
  <c r="DC517" i="4"/>
  <c r="DB517" i="4" s="1"/>
  <c r="DC519" i="4"/>
  <c r="DB519" i="4" s="1"/>
  <c r="DD519" i="4"/>
  <c r="DB528" i="4"/>
  <c r="CV404" i="4"/>
  <c r="FB420" i="4"/>
  <c r="FQ420" i="4" s="1"/>
  <c r="DZ421" i="4"/>
  <c r="DZ427" i="4"/>
  <c r="FB448" i="4"/>
  <c r="FQ448" i="4" s="1"/>
  <c r="FB451" i="4"/>
  <c r="FQ451" i="4" s="1"/>
  <c r="FB456" i="4"/>
  <c r="FQ456" i="4" s="1"/>
  <c r="DG463" i="4"/>
  <c r="DY463" i="4"/>
  <c r="EC463" i="4" s="1"/>
  <c r="FF466" i="4"/>
  <c r="FW466" i="4" s="1"/>
  <c r="DD467" i="4"/>
  <c r="DC467" i="4"/>
  <c r="FC468" i="4"/>
  <c r="FR468" i="4" s="1"/>
  <c r="DW468" i="4"/>
  <c r="CX468" i="4"/>
  <c r="FJ468" i="4" s="1"/>
  <c r="FY468" i="4" s="1"/>
  <c r="CO468" i="4"/>
  <c r="FB468" i="4" s="1"/>
  <c r="FQ468" i="4" s="1"/>
  <c r="CW468" i="4"/>
  <c r="DY474" i="4"/>
  <c r="EC474" i="4" s="1"/>
  <c r="FF474" i="4"/>
  <c r="FW474" i="4" s="1"/>
  <c r="DD477" i="4"/>
  <c r="DC477" i="4"/>
  <c r="FF492" i="4"/>
  <c r="FW492" i="4" s="1"/>
  <c r="DY492" i="4"/>
  <c r="EC492" i="4" s="1"/>
  <c r="DG492" i="4"/>
  <c r="DY494" i="4"/>
  <c r="EC494" i="4" s="1"/>
  <c r="DG494" i="4"/>
  <c r="FF494" i="4"/>
  <c r="FW494" i="4" s="1"/>
  <c r="DD501" i="4"/>
  <c r="DC501" i="4"/>
  <c r="DB501" i="4" s="1"/>
  <c r="FF510" i="4"/>
  <c r="FW510" i="4" s="1"/>
  <c r="DY510" i="4"/>
  <c r="EC510" i="4" s="1"/>
  <c r="DG510" i="4"/>
  <c r="DD513" i="4"/>
  <c r="DC513" i="4"/>
  <c r="DB513" i="4" s="1"/>
  <c r="DU400" i="4"/>
  <c r="DU401" i="4"/>
  <c r="DU402" i="4"/>
  <c r="DU403" i="4"/>
  <c r="DU409" i="4"/>
  <c r="DU413" i="4"/>
  <c r="CV421" i="4"/>
  <c r="DU421" i="4"/>
  <c r="FF423" i="4"/>
  <c r="FW423" i="4" s="1"/>
  <c r="FF425" i="4"/>
  <c r="FW425" i="4" s="1"/>
  <c r="CU426" i="4"/>
  <c r="DE426" i="4" s="1"/>
  <c r="CV427" i="4"/>
  <c r="DU427" i="4"/>
  <c r="FF429" i="4"/>
  <c r="FW429" i="4" s="1"/>
  <c r="FF431" i="4"/>
  <c r="FW431" i="4" s="1"/>
  <c r="FF433" i="4"/>
  <c r="FW433" i="4" s="1"/>
  <c r="FF436" i="4"/>
  <c r="FW436" i="4" s="1"/>
  <c r="DG444" i="4"/>
  <c r="FF445" i="4"/>
  <c r="FW445" i="4" s="1"/>
  <c r="CV449" i="4"/>
  <c r="CV452" i="4"/>
  <c r="FF454" i="4"/>
  <c r="FW454" i="4" s="1"/>
  <c r="CV457" i="4"/>
  <c r="AH56" i="5" s="1"/>
  <c r="AU56" i="5" s="1"/>
  <c r="DV458" i="4"/>
  <c r="DZ458" i="4" s="1"/>
  <c r="FF459" i="4"/>
  <c r="FW459" i="4" s="1"/>
  <c r="FF463" i="4"/>
  <c r="FW463" i="4" s="1"/>
  <c r="CV468" i="4"/>
  <c r="CW469" i="4"/>
  <c r="CV469" i="4"/>
  <c r="DV473" i="4"/>
  <c r="DZ473" i="4" s="1"/>
  <c r="EA473" i="4"/>
  <c r="DU473" i="4"/>
  <c r="FB475" i="4"/>
  <c r="FQ475" i="4" s="1"/>
  <c r="DD488" i="4"/>
  <c r="DC488" i="4"/>
  <c r="DY509" i="4"/>
  <c r="EC509" i="4" s="1"/>
  <c r="DV512" i="4"/>
  <c r="DZ512" i="4" s="1"/>
  <c r="EA512" i="4"/>
  <c r="DU512" i="4"/>
  <c r="DD518" i="4"/>
  <c r="DC518" i="4"/>
  <c r="DY519" i="4"/>
  <c r="EC519" i="4" s="1"/>
  <c r="DC523" i="4"/>
  <c r="DD523" i="4"/>
  <c r="DD527" i="4"/>
  <c r="DC527" i="4"/>
  <c r="FI528" i="4"/>
  <c r="FX528" i="4" s="1"/>
  <c r="DH528" i="4"/>
  <c r="CX528" i="4"/>
  <c r="FJ528" i="4" s="1"/>
  <c r="FY528" i="4" s="1"/>
  <c r="QX528" i="4"/>
  <c r="DW528" i="4"/>
  <c r="DH444" i="4"/>
  <c r="DU448" i="4"/>
  <c r="DV449" i="4"/>
  <c r="DZ449" i="4" s="1"/>
  <c r="DU451" i="4"/>
  <c r="DV452" i="4"/>
  <c r="DZ452" i="4" s="1"/>
  <c r="DU456" i="4"/>
  <c r="CO460" i="4"/>
  <c r="FB460" i="4" s="1"/>
  <c r="FQ460" i="4" s="1"/>
  <c r="DG462" i="4"/>
  <c r="DY462" i="4"/>
  <c r="EC462" i="4" s="1"/>
  <c r="DY464" i="4"/>
  <c r="EC464" i="4" s="1"/>
  <c r="CW465" i="4"/>
  <c r="CV465" i="4"/>
  <c r="AH199" i="5" s="1"/>
  <c r="AU199" i="5" s="1"/>
  <c r="DZ475" i="4"/>
  <c r="FF476" i="4"/>
  <c r="FW476" i="4" s="1"/>
  <c r="DY476" i="4"/>
  <c r="EC476" i="4" s="1"/>
  <c r="DG476" i="4"/>
  <c r="DY482" i="4"/>
  <c r="EC482" i="4" s="1"/>
  <c r="DG482" i="4"/>
  <c r="FF482" i="4"/>
  <c r="FW482" i="4" s="1"/>
  <c r="DD499" i="4"/>
  <c r="DC499" i="4"/>
  <c r="DB499" i="4" s="1"/>
  <c r="DV511" i="4"/>
  <c r="DZ511" i="4" s="1"/>
  <c r="EA511" i="4"/>
  <c r="DU511" i="4"/>
  <c r="FF512" i="4"/>
  <c r="FW512" i="4" s="1"/>
  <c r="DG512" i="4"/>
  <c r="DD520" i="4"/>
  <c r="DC520" i="4"/>
  <c r="DB520" i="4" s="1"/>
  <c r="DD526" i="4"/>
  <c r="DC526" i="4"/>
  <c r="CW466" i="4"/>
  <c r="DV466" i="4"/>
  <c r="DZ466" i="4" s="1"/>
  <c r="FE468" i="4"/>
  <c r="FT468" i="4" s="1"/>
  <c r="FB471" i="4"/>
  <c r="FQ471" i="4" s="1"/>
  <c r="CV473" i="4"/>
  <c r="CW474" i="4"/>
  <c r="DV474" i="4"/>
  <c r="DZ474" i="4" s="1"/>
  <c r="DY477" i="4"/>
  <c r="EC477" i="4" s="1"/>
  <c r="CV479" i="4"/>
  <c r="DU479" i="4"/>
  <c r="EA479" i="4"/>
  <c r="CV481" i="4"/>
  <c r="DU481" i="4"/>
  <c r="EA481" i="4"/>
  <c r="DV482" i="4"/>
  <c r="DZ482" i="4" s="1"/>
  <c r="DY488" i="4"/>
  <c r="EC488" i="4" s="1"/>
  <c r="CV489" i="4"/>
  <c r="DU489" i="4"/>
  <c r="EA489" i="4"/>
  <c r="DV491" i="4"/>
  <c r="DZ491" i="4" s="1"/>
  <c r="DV494" i="4"/>
  <c r="DZ494" i="4" s="1"/>
  <c r="DV499" i="4"/>
  <c r="DZ499" i="4" s="1"/>
  <c r="DV502" i="4"/>
  <c r="DZ502" i="4" s="1"/>
  <c r="DY504" i="4"/>
  <c r="EC504" i="4" s="1"/>
  <c r="FB504" i="4"/>
  <c r="FQ504" i="4" s="1"/>
  <c r="DU509" i="4"/>
  <c r="EA509" i="4"/>
  <c r="DU514" i="4"/>
  <c r="EA514" i="4"/>
  <c r="DY517" i="4"/>
  <c r="EC517" i="4" s="1"/>
  <c r="DU519" i="4"/>
  <c r="EA519" i="4"/>
  <c r="DV520" i="4"/>
  <c r="DZ520" i="4" s="1"/>
  <c r="DY522" i="4"/>
  <c r="EC522" i="4" s="1"/>
  <c r="FB522" i="4"/>
  <c r="FQ522" i="4" s="1"/>
  <c r="DU523" i="4"/>
  <c r="EA523" i="4"/>
  <c r="DY525" i="4"/>
  <c r="EC525" i="4" s="1"/>
  <c r="FB525" i="4"/>
  <c r="FQ525" i="4" s="1"/>
  <c r="DV526" i="4"/>
  <c r="DZ526" i="4" s="1"/>
  <c r="DY529" i="4"/>
  <c r="EC529" i="4" s="1"/>
  <c r="FF530" i="4"/>
  <c r="FW530" i="4" s="1"/>
  <c r="DV530" i="4"/>
  <c r="DZ530" i="4" s="1"/>
  <c r="DY531" i="4"/>
  <c r="EC531" i="4" s="1"/>
  <c r="DV532" i="4"/>
  <c r="DZ532" i="4" s="1"/>
  <c r="EA532" i="4"/>
  <c r="DU532" i="4"/>
  <c r="EB533" i="4"/>
  <c r="DV533" i="4"/>
  <c r="DZ533" i="4" s="1"/>
  <c r="DC536" i="4"/>
  <c r="DD536" i="4"/>
  <c r="DC540" i="4"/>
  <c r="DB540" i="4" s="1"/>
  <c r="DD540" i="4"/>
  <c r="DD570" i="4"/>
  <c r="DC570" i="4"/>
  <c r="DB570" i="4" s="1"/>
  <c r="DY575" i="4"/>
  <c r="DG575" i="4"/>
  <c r="FF575" i="4"/>
  <c r="FW575" i="4" s="1"/>
  <c r="DU464" i="4"/>
  <c r="FB470" i="4"/>
  <c r="FQ470" i="4" s="1"/>
  <c r="CW473" i="4"/>
  <c r="FB476" i="4"/>
  <c r="FQ476" i="4" s="1"/>
  <c r="CW479" i="4"/>
  <c r="CW481" i="4"/>
  <c r="FB484" i="4"/>
  <c r="FQ484" i="4" s="1"/>
  <c r="CW489" i="4"/>
  <c r="FB492" i="4"/>
  <c r="FQ492" i="4" s="1"/>
  <c r="FB497" i="4"/>
  <c r="FQ497" i="4" s="1"/>
  <c r="FB500" i="4"/>
  <c r="FQ500" i="4" s="1"/>
  <c r="FB503" i="4"/>
  <c r="FQ503" i="4" s="1"/>
  <c r="CK505" i="4"/>
  <c r="CX505" i="4"/>
  <c r="FJ505" i="4" s="1"/>
  <c r="FY505" i="4" s="1"/>
  <c r="FB508" i="4"/>
  <c r="FQ508" i="4" s="1"/>
  <c r="FB510" i="4"/>
  <c r="FQ510" i="4" s="1"/>
  <c r="DH511" i="4"/>
  <c r="FB511" i="4"/>
  <c r="FQ511" i="4" s="1"/>
  <c r="QX511" i="4"/>
  <c r="DH512" i="4"/>
  <c r="FB512" i="4"/>
  <c r="FQ512" i="4" s="1"/>
  <c r="QX512" i="4"/>
  <c r="FB516" i="4"/>
  <c r="FQ516" i="4" s="1"/>
  <c r="FB521" i="4"/>
  <c r="FQ521" i="4" s="1"/>
  <c r="EB527" i="4"/>
  <c r="FF533" i="4"/>
  <c r="FW533" i="4" s="1"/>
  <c r="DY533" i="4"/>
  <c r="EC533" i="4" s="1"/>
  <c r="DC550" i="4"/>
  <c r="DD550" i="4"/>
  <c r="DD554" i="4"/>
  <c r="DC554" i="4"/>
  <c r="DD566" i="4"/>
  <c r="DC566" i="4"/>
  <c r="DD574" i="4"/>
  <c r="DC574" i="4"/>
  <c r="DB574" i="4" s="1"/>
  <c r="DY577" i="4"/>
  <c r="EC577" i="4" s="1"/>
  <c r="DD582" i="4"/>
  <c r="DC582" i="4"/>
  <c r="DB582" i="4" s="1"/>
  <c r="DC583" i="4"/>
  <c r="DD583" i="4"/>
  <c r="DZ587" i="4"/>
  <c r="DY587" i="4"/>
  <c r="EC587" i="4" s="1"/>
  <c r="FB483" i="4"/>
  <c r="FQ483" i="4" s="1"/>
  <c r="FB487" i="4"/>
  <c r="FQ487" i="4" s="1"/>
  <c r="FB490" i="4"/>
  <c r="FQ490" i="4" s="1"/>
  <c r="FF495" i="4"/>
  <c r="FW495" i="4" s="1"/>
  <c r="FB496" i="4"/>
  <c r="FQ496" i="4" s="1"/>
  <c r="FB506" i="4"/>
  <c r="FQ506" i="4" s="1"/>
  <c r="FB515" i="4"/>
  <c r="FQ515" i="4" s="1"/>
  <c r="FB524" i="4"/>
  <c r="FQ524" i="4" s="1"/>
  <c r="CW534" i="4"/>
  <c r="CV534" i="4"/>
  <c r="DD547" i="4"/>
  <c r="DC547" i="4"/>
  <c r="DC553" i="4"/>
  <c r="DD553" i="4"/>
  <c r="DD557" i="4"/>
  <c r="DC557" i="4"/>
  <c r="DB557" i="4" s="1"/>
  <c r="DY576" i="4"/>
  <c r="EC576" i="4" s="1"/>
  <c r="DG576" i="4"/>
  <c r="FF576" i="4"/>
  <c r="FW576" i="4" s="1"/>
  <c r="DD579" i="4"/>
  <c r="DC579" i="4"/>
  <c r="FB466" i="4"/>
  <c r="FQ466" i="4" s="1"/>
  <c r="FF472" i="4"/>
  <c r="FW472" i="4" s="1"/>
  <c r="FB474" i="4"/>
  <c r="FQ474" i="4" s="1"/>
  <c r="FF478" i="4"/>
  <c r="FW478" i="4" s="1"/>
  <c r="FB482" i="4"/>
  <c r="FQ482" i="4" s="1"/>
  <c r="DU484" i="4"/>
  <c r="FF485" i="4"/>
  <c r="FW485" i="4" s="1"/>
  <c r="FB491" i="4"/>
  <c r="FQ491" i="4" s="1"/>
  <c r="FF493" i="4"/>
  <c r="FW493" i="4" s="1"/>
  <c r="FB494" i="4"/>
  <c r="FQ494" i="4" s="1"/>
  <c r="CW495" i="4"/>
  <c r="CV497" i="4"/>
  <c r="DU497" i="4"/>
  <c r="DU498" i="4"/>
  <c r="CV500" i="4"/>
  <c r="DU500" i="4"/>
  <c r="FF501" i="4"/>
  <c r="FW501" i="4" s="1"/>
  <c r="CV503" i="4"/>
  <c r="DU503" i="4"/>
  <c r="DH505" i="4"/>
  <c r="QX505" i="4"/>
  <c r="CV508" i="4"/>
  <c r="DU508" i="4"/>
  <c r="EA508" i="4"/>
  <c r="DG509" i="4"/>
  <c r="DU510" i="4"/>
  <c r="EA510" i="4"/>
  <c r="FF513" i="4"/>
  <c r="FW513" i="4" s="1"/>
  <c r="DG514" i="4"/>
  <c r="CV516" i="4"/>
  <c r="DU516" i="4"/>
  <c r="EA516" i="4"/>
  <c r="FF518" i="4"/>
  <c r="FW518" i="4" s="1"/>
  <c r="DG519" i="4"/>
  <c r="DU521" i="4"/>
  <c r="EA521" i="4"/>
  <c r="DG523" i="4"/>
  <c r="DY526" i="4"/>
  <c r="EC526" i="4" s="1"/>
  <c r="FF529" i="4"/>
  <c r="FW529" i="4" s="1"/>
  <c r="CW532" i="4"/>
  <c r="CV532" i="4"/>
  <c r="AH383" i="5" s="1"/>
  <c r="AU383" i="5" s="1"/>
  <c r="FF538" i="4"/>
  <c r="FW538" i="4" s="1"/>
  <c r="DY538" i="4"/>
  <c r="EC538" i="4" s="1"/>
  <c r="DG538" i="4"/>
  <c r="FF542" i="4"/>
  <c r="FW542" i="4" s="1"/>
  <c r="DG542" i="4"/>
  <c r="DD559" i="4"/>
  <c r="DC559" i="4"/>
  <c r="DB559" i="4" s="1"/>
  <c r="DG563" i="4"/>
  <c r="FF563" i="4"/>
  <c r="FW563" i="4" s="1"/>
  <c r="DY563" i="4"/>
  <c r="EC563" i="4" s="1"/>
  <c r="DD568" i="4"/>
  <c r="DC568" i="4"/>
  <c r="DB568" i="4" s="1"/>
  <c r="DY574" i="4"/>
  <c r="EC574" i="4" s="1"/>
  <c r="FF477" i="4"/>
  <c r="FW477" i="4" s="1"/>
  <c r="CV480" i="4"/>
  <c r="CV483" i="4"/>
  <c r="CV487" i="4"/>
  <c r="FF488" i="4"/>
  <c r="FW488" i="4" s="1"/>
  <c r="CV490" i="4"/>
  <c r="DV492" i="4"/>
  <c r="DZ492" i="4" s="1"/>
  <c r="CV496" i="4"/>
  <c r="DU496" i="4"/>
  <c r="EA496" i="4"/>
  <c r="DV497" i="4"/>
  <c r="DZ497" i="4" s="1"/>
  <c r="DV498" i="4"/>
  <c r="DV500" i="4"/>
  <c r="DZ500" i="4" s="1"/>
  <c r="DG501" i="4"/>
  <c r="DV503" i="4"/>
  <c r="DZ503" i="4" s="1"/>
  <c r="FF504" i="4"/>
  <c r="FW504" i="4" s="1"/>
  <c r="CV506" i="4"/>
  <c r="DU506" i="4"/>
  <c r="EA506" i="4"/>
  <c r="CV507" i="4"/>
  <c r="FB507" i="4"/>
  <c r="FQ507" i="4" s="1"/>
  <c r="QX507" i="4"/>
  <c r="DG513" i="4"/>
  <c r="CV515" i="4"/>
  <c r="DU515" i="4"/>
  <c r="EA515" i="4"/>
  <c r="CK517" i="4"/>
  <c r="CX517" i="4"/>
  <c r="FJ517" i="4" s="1"/>
  <c r="FY517" i="4" s="1"/>
  <c r="FF517" i="4"/>
  <c r="FW517" i="4" s="1"/>
  <c r="DG518" i="4"/>
  <c r="FF522" i="4"/>
  <c r="FW522" i="4" s="1"/>
  <c r="CV524" i="4"/>
  <c r="DU524" i="4"/>
  <c r="EA524" i="4"/>
  <c r="FF525" i="4"/>
  <c r="FW525" i="4" s="1"/>
  <c r="EA527" i="4"/>
  <c r="DU527" i="4"/>
  <c r="DC530" i="4"/>
  <c r="DB530" i="4" s="1"/>
  <c r="FB534" i="4"/>
  <c r="FQ534" i="4" s="1"/>
  <c r="DD546" i="4"/>
  <c r="DC546" i="4"/>
  <c r="DB546" i="4" s="1"/>
  <c r="DY557" i="4"/>
  <c r="EC557" i="4" s="1"/>
  <c r="DG557" i="4"/>
  <c r="FF557" i="4"/>
  <c r="FW557" i="4" s="1"/>
  <c r="DD564" i="4"/>
  <c r="DC564" i="4"/>
  <c r="DD565" i="4"/>
  <c r="DC565" i="4"/>
  <c r="DB565" i="4" s="1"/>
  <c r="DD581" i="4"/>
  <c r="DC581" i="4"/>
  <c r="DB581" i="4" s="1"/>
  <c r="DD587" i="4"/>
  <c r="DC587" i="4"/>
  <c r="DB587" i="4" s="1"/>
  <c r="DU466" i="4"/>
  <c r="DU474" i="4"/>
  <c r="CW480" i="4"/>
  <c r="DU482" i="4"/>
  <c r="DU491" i="4"/>
  <c r="DU494" i="4"/>
  <c r="DU499" i="4"/>
  <c r="DU502" i="4"/>
  <c r="CK511" i="4"/>
  <c r="CX511" i="4"/>
  <c r="FJ511" i="4" s="1"/>
  <c r="FY511" i="4" s="1"/>
  <c r="CK512" i="4"/>
  <c r="CX512" i="4"/>
  <c r="FJ512" i="4" s="1"/>
  <c r="FY512" i="4" s="1"/>
  <c r="DU520" i="4"/>
  <c r="DY527" i="4"/>
  <c r="EC527" i="4" s="1"/>
  <c r="DD528" i="4"/>
  <c r="DD532" i="4"/>
  <c r="DC532" i="4"/>
  <c r="DZ534" i="4"/>
  <c r="DC535" i="4"/>
  <c r="DB535" i="4" s="1"/>
  <c r="DD537" i="4"/>
  <c r="DC537" i="4"/>
  <c r="DD539" i="4"/>
  <c r="DC539" i="4"/>
  <c r="DD541" i="4"/>
  <c r="DC541" i="4"/>
  <c r="DB541" i="4" s="1"/>
  <c r="DD543" i="4"/>
  <c r="DC543" i="4"/>
  <c r="DD544" i="4"/>
  <c r="DC544" i="4"/>
  <c r="DD561" i="4"/>
  <c r="DC561" i="4"/>
  <c r="DB561" i="4" s="1"/>
  <c r="DD569" i="4"/>
  <c r="DC569" i="4"/>
  <c r="DD577" i="4"/>
  <c r="DC577" i="4"/>
  <c r="DD584" i="4"/>
  <c r="DC584" i="4"/>
  <c r="DB584" i="4" s="1"/>
  <c r="FB549" i="4"/>
  <c r="FQ549" i="4" s="1"/>
  <c r="FB552" i="4"/>
  <c r="FQ552" i="4" s="1"/>
  <c r="FB563" i="4"/>
  <c r="FQ563" i="4" s="1"/>
  <c r="FB578" i="4"/>
  <c r="FQ578" i="4" s="1"/>
  <c r="DC585" i="4"/>
  <c r="DB585" i="4" s="1"/>
  <c r="EA589" i="4"/>
  <c r="DU589" i="4"/>
  <c r="DH594" i="4"/>
  <c r="CX594" i="4"/>
  <c r="FJ594" i="4" s="1"/>
  <c r="FY594" i="4" s="1"/>
  <c r="CK594" i="4"/>
  <c r="FI594" i="4"/>
  <c r="FX594" i="4" s="1"/>
  <c r="DY599" i="4"/>
  <c r="EC599" i="4" s="1"/>
  <c r="DG599" i="4"/>
  <c r="FF599" i="4"/>
  <c r="FW599" i="4" s="1"/>
  <c r="DV607" i="4"/>
  <c r="DZ607" i="4" s="1"/>
  <c r="EA607" i="4"/>
  <c r="DU607" i="4"/>
  <c r="FF608" i="4"/>
  <c r="FW608" i="4" s="1"/>
  <c r="DG608" i="4"/>
  <c r="DD612" i="4"/>
  <c r="DC612" i="4"/>
  <c r="DB612" i="4" s="1"/>
  <c r="DG615" i="4"/>
  <c r="FF615" i="4"/>
  <c r="FW615" i="4" s="1"/>
  <c r="EA620" i="4"/>
  <c r="DU620" i="4"/>
  <c r="DB632" i="4"/>
  <c r="DD634" i="4"/>
  <c r="DC634" i="4"/>
  <c r="DB634" i="4" s="1"/>
  <c r="FB533" i="4"/>
  <c r="FQ533" i="4" s="1"/>
  <c r="CW536" i="4"/>
  <c r="FB538" i="4"/>
  <c r="FQ538" i="4" s="1"/>
  <c r="CW540" i="4"/>
  <c r="FB542" i="4"/>
  <c r="FQ542" i="4" s="1"/>
  <c r="FB545" i="4"/>
  <c r="FQ545" i="4" s="1"/>
  <c r="CO548" i="4"/>
  <c r="FB556" i="4"/>
  <c r="FQ556" i="4" s="1"/>
  <c r="FB558" i="4"/>
  <c r="FQ558" i="4" s="1"/>
  <c r="FB567" i="4"/>
  <c r="FQ567" i="4" s="1"/>
  <c r="FB572" i="4"/>
  <c r="FQ572" i="4" s="1"/>
  <c r="FB573" i="4"/>
  <c r="FQ573" i="4" s="1"/>
  <c r="DG580" i="4"/>
  <c r="FF583" i="4"/>
  <c r="FW583" i="4" s="1"/>
  <c r="DV584" i="4"/>
  <c r="DZ584" i="4" s="1"/>
  <c r="EA584" i="4"/>
  <c r="DU584" i="4"/>
  <c r="QX586" i="4"/>
  <c r="DH586" i="4"/>
  <c r="DW586" i="4"/>
  <c r="CX586" i="4"/>
  <c r="FJ586" i="4" s="1"/>
  <c r="FY586" i="4" s="1"/>
  <c r="CK586" i="4"/>
  <c r="DB586" i="4"/>
  <c r="DC588" i="4"/>
  <c r="DB588" i="4" s="1"/>
  <c r="FF590" i="4"/>
  <c r="FW590" i="4" s="1"/>
  <c r="DG590" i="4"/>
  <c r="FB590" i="4"/>
  <c r="FQ590" i="4" s="1"/>
  <c r="DE592" i="4"/>
  <c r="EC592" i="4"/>
  <c r="DB594" i="4"/>
  <c r="DG596" i="4"/>
  <c r="FF596" i="4"/>
  <c r="FW596" i="4" s="1"/>
  <c r="DG600" i="4"/>
  <c r="FF600" i="4"/>
  <c r="FW600" i="4" s="1"/>
  <c r="FF602" i="4"/>
  <c r="FW602" i="4" s="1"/>
  <c r="DC611" i="4"/>
  <c r="DD611" i="4"/>
  <c r="FF619" i="4"/>
  <c r="FW619" i="4" s="1"/>
  <c r="DY619" i="4"/>
  <c r="EC619" i="4" s="1"/>
  <c r="DG619" i="4"/>
  <c r="FF620" i="4"/>
  <c r="FW620" i="4" s="1"/>
  <c r="DG620" i="4"/>
  <c r="DV624" i="4"/>
  <c r="DZ624" i="4" s="1"/>
  <c r="EA624" i="4"/>
  <c r="DU624" i="4"/>
  <c r="CW625" i="4"/>
  <c r="FB625" i="4"/>
  <c r="FQ625" i="4" s="1"/>
  <c r="CV625" i="4"/>
  <c r="AH395" i="5" s="1"/>
  <c r="AU395" i="5" s="1"/>
  <c r="DD630" i="4"/>
  <c r="DC630" i="4"/>
  <c r="DD632" i="4"/>
  <c r="DD637" i="4"/>
  <c r="DC637" i="4"/>
  <c r="FF536" i="4"/>
  <c r="FW536" i="4" s="1"/>
  <c r="FF540" i="4"/>
  <c r="FW540" i="4" s="1"/>
  <c r="CV549" i="4"/>
  <c r="FF550" i="4"/>
  <c r="FW550" i="4" s="1"/>
  <c r="FB551" i="4"/>
  <c r="FQ551" i="4" s="1"/>
  <c r="CV552" i="4"/>
  <c r="FF553" i="4"/>
  <c r="FW553" i="4" s="1"/>
  <c r="FB555" i="4"/>
  <c r="FQ555" i="4" s="1"/>
  <c r="FH557" i="4"/>
  <c r="FV557" i="4" s="1"/>
  <c r="FB562" i="4"/>
  <c r="FQ562" i="4" s="1"/>
  <c r="CV568" i="4"/>
  <c r="DV568" i="4"/>
  <c r="DZ568" i="4" s="1"/>
  <c r="FB571" i="4"/>
  <c r="FQ571" i="4" s="1"/>
  <c r="DH574" i="4"/>
  <c r="QX574" i="4"/>
  <c r="FB575" i="4"/>
  <c r="FQ575" i="4" s="1"/>
  <c r="FH575" i="4"/>
  <c r="FV575" i="4" s="1"/>
  <c r="CV578" i="4"/>
  <c r="DU578" i="4"/>
  <c r="EA578" i="4"/>
  <c r="CW579" i="4"/>
  <c r="DV579" i="4"/>
  <c r="DZ579" i="4" s="1"/>
  <c r="DY581" i="4"/>
  <c r="EC581" i="4" s="1"/>
  <c r="FF585" i="4"/>
  <c r="FW585" i="4" s="1"/>
  <c r="EB585" i="4"/>
  <c r="DV585" i="4"/>
  <c r="DZ585" i="4" s="1"/>
  <c r="EB587" i="4"/>
  <c r="DV588" i="4"/>
  <c r="DZ588" i="4" s="1"/>
  <c r="DG589" i="4"/>
  <c r="DV591" i="4"/>
  <c r="DZ591" i="4" s="1"/>
  <c r="EA591" i="4"/>
  <c r="DU591" i="4"/>
  <c r="DB593" i="4"/>
  <c r="DD593" i="4"/>
  <c r="DV603" i="4"/>
  <c r="DZ603" i="4" s="1"/>
  <c r="EA603" i="4"/>
  <c r="DU603" i="4"/>
  <c r="QX605" i="4"/>
  <c r="DH605" i="4"/>
  <c r="DW605" i="4"/>
  <c r="CX605" i="4"/>
  <c r="FJ605" i="4" s="1"/>
  <c r="FY605" i="4" s="1"/>
  <c r="CK605" i="4"/>
  <c r="FI605" i="4"/>
  <c r="FX605" i="4" s="1"/>
  <c r="DV610" i="4"/>
  <c r="DZ610" i="4" s="1"/>
  <c r="EA610" i="4"/>
  <c r="DU610" i="4"/>
  <c r="CW611" i="4"/>
  <c r="CV611" i="4"/>
  <c r="EB612" i="4"/>
  <c r="DV612" i="4"/>
  <c r="DZ612" i="4" s="1"/>
  <c r="DV620" i="4"/>
  <c r="DZ620" i="4" s="1"/>
  <c r="DY623" i="4"/>
  <c r="EC623" i="4" s="1"/>
  <c r="DG623" i="4"/>
  <c r="FF623" i="4"/>
  <c r="FW623" i="4" s="1"/>
  <c r="DG635" i="4"/>
  <c r="FF635" i="4"/>
  <c r="FW635" i="4" s="1"/>
  <c r="DY635" i="4"/>
  <c r="EC635" i="4" s="1"/>
  <c r="DC639" i="4"/>
  <c r="DD639" i="4"/>
  <c r="DU533" i="4"/>
  <c r="FF535" i="4"/>
  <c r="FW535" i="4" s="1"/>
  <c r="DG536" i="4"/>
  <c r="DU538" i="4"/>
  <c r="FF539" i="4"/>
  <c r="FW539" i="4" s="1"/>
  <c r="DG540" i="4"/>
  <c r="DU542" i="4"/>
  <c r="FF543" i="4"/>
  <c r="FW543" i="4" s="1"/>
  <c r="CV545" i="4"/>
  <c r="DU545" i="4"/>
  <c r="FF546" i="4"/>
  <c r="FW546" i="4" s="1"/>
  <c r="FC548" i="4"/>
  <c r="FR548" i="4" s="1"/>
  <c r="DG550" i="4"/>
  <c r="DG553" i="4"/>
  <c r="CV556" i="4"/>
  <c r="DU556" i="4"/>
  <c r="CU557" i="4"/>
  <c r="DE557" i="4" s="1"/>
  <c r="FC557" i="4"/>
  <c r="FR557" i="4" s="1"/>
  <c r="CV558" i="4"/>
  <c r="DU558" i="4"/>
  <c r="FF565" i="4"/>
  <c r="FW565" i="4" s="1"/>
  <c r="CV567" i="4"/>
  <c r="DU567" i="4"/>
  <c r="CW568" i="4"/>
  <c r="CV572" i="4"/>
  <c r="DU572" i="4"/>
  <c r="CV573" i="4"/>
  <c r="DU573" i="4"/>
  <c r="CU575" i="4"/>
  <c r="DE575" i="4" s="1"/>
  <c r="FB576" i="4"/>
  <c r="FQ576" i="4" s="1"/>
  <c r="FF579" i="4"/>
  <c r="FW579" i="4" s="1"/>
  <c r="DU582" i="4"/>
  <c r="DY583" i="4"/>
  <c r="EC583" i="4" s="1"/>
  <c r="DG585" i="4"/>
  <c r="FF588" i="4"/>
  <c r="FW588" i="4" s="1"/>
  <c r="FF589" i="4"/>
  <c r="FW589" i="4" s="1"/>
  <c r="CW590" i="4"/>
  <c r="DY590" i="4"/>
  <c r="EC590" i="4" s="1"/>
  <c r="DB595" i="4"/>
  <c r="DD595" i="4"/>
  <c r="DV595" i="4"/>
  <c r="DZ595" i="4" s="1"/>
  <c r="EA599" i="4"/>
  <c r="DU599" i="4"/>
  <c r="DV599" i="4"/>
  <c r="DZ599" i="4" s="1"/>
  <c r="DZ604" i="4"/>
  <c r="DD605" i="4"/>
  <c r="DC605" i="4"/>
  <c r="DB605" i="4" s="1"/>
  <c r="DY606" i="4"/>
  <c r="EC606" i="4" s="1"/>
  <c r="DG606" i="4"/>
  <c r="FF606" i="4"/>
  <c r="FW606" i="4" s="1"/>
  <c r="FB609" i="4"/>
  <c r="FQ609" i="4" s="1"/>
  <c r="CW609" i="4"/>
  <c r="CV609" i="4"/>
  <c r="DZ613" i="4"/>
  <c r="EA617" i="4"/>
  <c r="DU617" i="4"/>
  <c r="DD621" i="4"/>
  <c r="DC621" i="4"/>
  <c r="EB621" i="4"/>
  <c r="DV621" i="4"/>
  <c r="DZ621" i="4" s="1"/>
  <c r="DV538" i="4"/>
  <c r="DZ538" i="4" s="1"/>
  <c r="DV542" i="4"/>
  <c r="DZ542" i="4" s="1"/>
  <c r="DV545" i="4"/>
  <c r="DZ545" i="4" s="1"/>
  <c r="DG546" i="4"/>
  <c r="DU548" i="4"/>
  <c r="EA548" i="4"/>
  <c r="CV551" i="4"/>
  <c r="DU551" i="4"/>
  <c r="EA551" i="4"/>
  <c r="CV555" i="4"/>
  <c r="AH389" i="5" s="1"/>
  <c r="AU389" i="5" s="1"/>
  <c r="DU555" i="4"/>
  <c r="EA555" i="4"/>
  <c r="DV556" i="4"/>
  <c r="DZ556" i="4" s="1"/>
  <c r="DU557" i="4"/>
  <c r="EA557" i="4"/>
  <c r="DV558" i="4"/>
  <c r="DZ558" i="4" s="1"/>
  <c r="CV560" i="4"/>
  <c r="FB560" i="4"/>
  <c r="FQ560" i="4" s="1"/>
  <c r="CV562" i="4"/>
  <c r="DU562" i="4"/>
  <c r="EA562" i="4"/>
  <c r="DG564" i="4"/>
  <c r="FF564" i="4"/>
  <c r="FW564" i="4" s="1"/>
  <c r="DG565" i="4"/>
  <c r="DV567" i="4"/>
  <c r="DZ567" i="4" s="1"/>
  <c r="CV571" i="4"/>
  <c r="AH421" i="5" s="1"/>
  <c r="AU421" i="5" s="1"/>
  <c r="DU571" i="4"/>
  <c r="EA571" i="4"/>
  <c r="DV572" i="4"/>
  <c r="DZ572" i="4" s="1"/>
  <c r="DV573" i="4"/>
  <c r="DZ573" i="4" s="1"/>
  <c r="DU574" i="4"/>
  <c r="EA574" i="4"/>
  <c r="DU575" i="4"/>
  <c r="EA575" i="4"/>
  <c r="DU577" i="4"/>
  <c r="EA577" i="4"/>
  <c r="DG579" i="4"/>
  <c r="DC580" i="4"/>
  <c r="DB580" i="4" s="1"/>
  <c r="CW584" i="4"/>
  <c r="CV584" i="4"/>
  <c r="FF586" i="4"/>
  <c r="FW586" i="4" s="1"/>
  <c r="DG586" i="4"/>
  <c r="FI586" i="4"/>
  <c r="FX586" i="4" s="1"/>
  <c r="DY593" i="4"/>
  <c r="EC593" i="4" s="1"/>
  <c r="FF593" i="4"/>
  <c r="FW593" i="4" s="1"/>
  <c r="DG593" i="4"/>
  <c r="EA596" i="4"/>
  <c r="DU596" i="4"/>
  <c r="DV596" i="4"/>
  <c r="DZ596" i="4" s="1"/>
  <c r="EA600" i="4"/>
  <c r="DU600" i="4"/>
  <c r="DV600" i="4"/>
  <c r="DZ600" i="4" s="1"/>
  <c r="FI602" i="4"/>
  <c r="FX602" i="4" s="1"/>
  <c r="QX602" i="4"/>
  <c r="DH602" i="4"/>
  <c r="DW602" i="4"/>
  <c r="CX602" i="4"/>
  <c r="FJ602" i="4" s="1"/>
  <c r="FY602" i="4" s="1"/>
  <c r="CK602" i="4"/>
  <c r="DG604" i="4"/>
  <c r="FF604" i="4"/>
  <c r="FW604" i="4" s="1"/>
  <c r="FB604" i="4"/>
  <c r="FQ604" i="4" s="1"/>
  <c r="DY607" i="4"/>
  <c r="EC607" i="4" s="1"/>
  <c r="DG607" i="4"/>
  <c r="DG613" i="4"/>
  <c r="FF613" i="4"/>
  <c r="FW613" i="4" s="1"/>
  <c r="FB613" i="4"/>
  <c r="FQ613" i="4" s="1"/>
  <c r="DG614" i="4"/>
  <c r="FF614" i="4"/>
  <c r="FW614" i="4" s="1"/>
  <c r="FF616" i="4"/>
  <c r="FW616" i="4" s="1"/>
  <c r="DY616" i="4"/>
  <c r="EC616" i="4" s="1"/>
  <c r="DG616" i="4"/>
  <c r="FF617" i="4"/>
  <c r="FW617" i="4" s="1"/>
  <c r="DY617" i="4"/>
  <c r="EC617" i="4" s="1"/>
  <c r="DG617" i="4"/>
  <c r="FI618" i="4"/>
  <c r="FX618" i="4" s="1"/>
  <c r="DH618" i="4"/>
  <c r="CX618" i="4"/>
  <c r="FJ618" i="4" s="1"/>
  <c r="FY618" i="4" s="1"/>
  <c r="CK618" i="4"/>
  <c r="DW618" i="4"/>
  <c r="DD618" i="4"/>
  <c r="DC618" i="4"/>
  <c r="DB618" i="4" s="1"/>
  <c r="QX618" i="4"/>
  <c r="DD631" i="4"/>
  <c r="DC631" i="4"/>
  <c r="DB631" i="4" s="1"/>
  <c r="FF632" i="4"/>
  <c r="FW632" i="4" s="1"/>
  <c r="DG632" i="4"/>
  <c r="FF633" i="4"/>
  <c r="FW633" i="4" s="1"/>
  <c r="DU531" i="4"/>
  <c r="DU537" i="4"/>
  <c r="DU541" i="4"/>
  <c r="DU544" i="4"/>
  <c r="DU547" i="4"/>
  <c r="DU554" i="4"/>
  <c r="DU559" i="4"/>
  <c r="DU561" i="4"/>
  <c r="DU566" i="4"/>
  <c r="DU569" i="4"/>
  <c r="DU570" i="4"/>
  <c r="DU576" i="4"/>
  <c r="DV580" i="4"/>
  <c r="DZ580" i="4" s="1"/>
  <c r="DV581" i="4"/>
  <c r="DZ581" i="4" s="1"/>
  <c r="FF582" i="4"/>
  <c r="FW582" i="4" s="1"/>
  <c r="DU583" i="4"/>
  <c r="DV589" i="4"/>
  <c r="DZ589" i="4" s="1"/>
  <c r="DG591" i="4"/>
  <c r="DY591" i="4"/>
  <c r="EC591" i="4" s="1"/>
  <c r="FF591" i="4"/>
  <c r="FW591" i="4" s="1"/>
  <c r="QX594" i="4"/>
  <c r="DY595" i="4"/>
  <c r="EC595" i="4" s="1"/>
  <c r="FF595" i="4"/>
  <c r="FW595" i="4" s="1"/>
  <c r="DG595" i="4"/>
  <c r="FF597" i="4"/>
  <c r="FW597" i="4" s="1"/>
  <c r="DG597" i="4"/>
  <c r="FB597" i="4"/>
  <c r="FQ597" i="4" s="1"/>
  <c r="DV598" i="4"/>
  <c r="DZ598" i="4" s="1"/>
  <c r="EA598" i="4"/>
  <c r="DU598" i="4"/>
  <c r="FF601" i="4"/>
  <c r="FW601" i="4" s="1"/>
  <c r="DG601" i="4"/>
  <c r="FB601" i="4"/>
  <c r="FQ601" i="4" s="1"/>
  <c r="DB602" i="4"/>
  <c r="DG603" i="4"/>
  <c r="DY603" i="4"/>
  <c r="EC603" i="4" s="1"/>
  <c r="FF603" i="4"/>
  <c r="FW603" i="4" s="1"/>
  <c r="DV617" i="4"/>
  <c r="DZ617" i="4" s="1"/>
  <c r="DY621" i="4"/>
  <c r="EC621" i="4" s="1"/>
  <c r="DY622" i="4"/>
  <c r="EC622" i="4" s="1"/>
  <c r="DG622" i="4"/>
  <c r="FF622" i="4"/>
  <c r="FW622" i="4" s="1"/>
  <c r="FB626" i="4"/>
  <c r="FQ626" i="4" s="1"/>
  <c r="CW626" i="4"/>
  <c r="CV626" i="4"/>
  <c r="DD633" i="4"/>
  <c r="DB633" i="4" s="1"/>
  <c r="DD636" i="4"/>
  <c r="DC636" i="4"/>
  <c r="DB636" i="4" s="1"/>
  <c r="FB591" i="4"/>
  <c r="FQ591" i="4" s="1"/>
  <c r="FB598" i="4"/>
  <c r="FQ598" i="4" s="1"/>
  <c r="FB603" i="4"/>
  <c r="FQ603" i="4" s="1"/>
  <c r="DV606" i="4"/>
  <c r="DZ606" i="4" s="1"/>
  <c r="FB607" i="4"/>
  <c r="FQ607" i="4" s="1"/>
  <c r="DV609" i="4"/>
  <c r="DZ609" i="4" s="1"/>
  <c r="FB610" i="4"/>
  <c r="FQ610" i="4" s="1"/>
  <c r="DV614" i="4"/>
  <c r="DZ614" i="4" s="1"/>
  <c r="DV615" i="4"/>
  <c r="DZ615" i="4" s="1"/>
  <c r="FB624" i="4"/>
  <c r="FQ624" i="4" s="1"/>
  <c r="FB635" i="4"/>
  <c r="FQ635" i="4" s="1"/>
  <c r="FB616" i="4"/>
  <c r="FQ616" i="4" s="1"/>
  <c r="DH617" i="4"/>
  <c r="FB617" i="4"/>
  <c r="FQ617" i="4" s="1"/>
  <c r="QX617" i="4"/>
  <c r="FB619" i="4"/>
  <c r="FQ619" i="4" s="1"/>
  <c r="DH620" i="4"/>
  <c r="FB620" i="4"/>
  <c r="FQ620" i="4" s="1"/>
  <c r="QX620" i="4"/>
  <c r="CV628" i="4"/>
  <c r="FF636" i="4"/>
  <c r="FW636" i="4" s="1"/>
  <c r="DG638" i="4"/>
  <c r="DY638" i="4"/>
  <c r="EC638" i="4" s="1"/>
  <c r="FF639" i="4"/>
  <c r="FW639" i="4" s="1"/>
  <c r="DV641" i="4"/>
  <c r="DZ641" i="4" s="1"/>
  <c r="EA641" i="4"/>
  <c r="DU641" i="4"/>
  <c r="CV592" i="4"/>
  <c r="FB592" i="4"/>
  <c r="FQ592" i="4" s="1"/>
  <c r="DE594" i="4"/>
  <c r="CV598" i="4"/>
  <c r="CV610" i="4"/>
  <c r="CV612" i="4"/>
  <c r="FI617" i="4"/>
  <c r="FX617" i="4" s="1"/>
  <c r="FI620" i="4"/>
  <c r="FX620" i="4" s="1"/>
  <c r="CV624" i="4"/>
  <c r="CV630" i="4"/>
  <c r="CW631" i="4"/>
  <c r="DG634" i="4"/>
  <c r="DU635" i="4"/>
  <c r="EA635" i="4"/>
  <c r="DG636" i="4"/>
  <c r="CV637" i="4"/>
  <c r="EN642" i="4"/>
  <c r="DH589" i="4"/>
  <c r="FB589" i="4"/>
  <c r="FQ589" i="4" s="1"/>
  <c r="FB596" i="4"/>
  <c r="FQ596" i="4" s="1"/>
  <c r="FB599" i="4"/>
  <c r="FQ599" i="4" s="1"/>
  <c r="FB600" i="4"/>
  <c r="FQ600" i="4" s="1"/>
  <c r="FF605" i="4"/>
  <c r="FW605" i="4" s="1"/>
  <c r="FB606" i="4"/>
  <c r="FQ606" i="4" s="1"/>
  <c r="CW612" i="4"/>
  <c r="FB614" i="4"/>
  <c r="FQ614" i="4" s="1"/>
  <c r="DH615" i="4"/>
  <c r="FB615" i="4"/>
  <c r="FQ615" i="4" s="1"/>
  <c r="FF621" i="4"/>
  <c r="FW621" i="4" s="1"/>
  <c r="FB622" i="4"/>
  <c r="FQ622" i="4" s="1"/>
  <c r="DH623" i="4"/>
  <c r="FB623" i="4"/>
  <c r="FQ623" i="4" s="1"/>
  <c r="DU638" i="4"/>
  <c r="DG639" i="4"/>
  <c r="DV638" i="4"/>
  <c r="DZ638" i="4" s="1"/>
  <c r="DU606" i="4"/>
  <c r="DU609" i="4"/>
  <c r="DU614" i="4"/>
  <c r="DU615" i="4"/>
  <c r="CK617" i="4"/>
  <c r="CX617" i="4"/>
  <c r="FJ617" i="4" s="1"/>
  <c r="FY617" i="4" s="1"/>
  <c r="CK620" i="4"/>
  <c r="CX620" i="4"/>
  <c r="FJ620" i="4" s="1"/>
  <c r="FY620" i="4" s="1"/>
  <c r="DU622" i="4"/>
  <c r="DU623" i="4"/>
  <c r="DG629" i="4"/>
  <c r="DU634" i="4"/>
  <c r="DY641" i="4"/>
  <c r="EC641" i="4" s="1"/>
  <c r="DG641" i="4"/>
  <c r="DD622" i="4" l="1"/>
  <c r="DC622" i="4"/>
  <c r="DB622" i="4" s="1"/>
  <c r="DV586" i="4"/>
  <c r="EA586" i="4"/>
  <c r="DU586" i="4"/>
  <c r="DY483" i="4"/>
  <c r="EC483" i="4" s="1"/>
  <c r="DG483" i="4"/>
  <c r="FF483" i="4"/>
  <c r="FW483" i="4" s="1"/>
  <c r="DD487" i="4"/>
  <c r="DC487" i="4"/>
  <c r="DD512" i="4"/>
  <c r="DC512" i="4"/>
  <c r="DB512" i="4" s="1"/>
  <c r="DY446" i="4"/>
  <c r="EC446" i="4" s="1"/>
  <c r="DG446" i="4"/>
  <c r="FF446" i="4"/>
  <c r="FW446" i="4" s="1"/>
  <c r="DG292" i="4"/>
  <c r="FF292" i="4"/>
  <c r="FW292" i="4" s="1"/>
  <c r="DY292" i="4"/>
  <c r="EC292" i="4" s="1"/>
  <c r="DD169" i="4"/>
  <c r="DC169" i="4"/>
  <c r="DB169" i="4" s="1"/>
  <c r="DD152" i="4"/>
  <c r="DC152" i="4"/>
  <c r="DD196" i="4"/>
  <c r="DC196" i="4"/>
  <c r="DB196" i="4" s="1"/>
  <c r="DY50" i="4"/>
  <c r="EC50" i="4" s="1"/>
  <c r="DG50" i="4"/>
  <c r="FF50" i="4"/>
  <c r="FW50" i="4" s="1"/>
  <c r="AR90" i="5"/>
  <c r="BA90" i="5"/>
  <c r="AE106" i="5"/>
  <c r="AR59" i="5"/>
  <c r="BA59" i="5"/>
  <c r="AR64" i="5"/>
  <c r="BA64" i="5"/>
  <c r="AS148" i="5"/>
  <c r="BB148" i="5"/>
  <c r="AZ150" i="5"/>
  <c r="AQ150" i="5"/>
  <c r="DD615" i="4"/>
  <c r="DC615" i="4"/>
  <c r="DD600" i="4"/>
  <c r="DC600" i="4"/>
  <c r="DB600" i="4" s="1"/>
  <c r="DY637" i="4"/>
  <c r="EC637" i="4" s="1"/>
  <c r="DG637" i="4"/>
  <c r="FF637" i="4"/>
  <c r="FW637" i="4" s="1"/>
  <c r="FF630" i="4"/>
  <c r="FW630" i="4" s="1"/>
  <c r="DG630" i="4"/>
  <c r="DG598" i="4"/>
  <c r="DY598" i="4"/>
  <c r="EC598" i="4" s="1"/>
  <c r="FF598" i="4"/>
  <c r="FW598" i="4" s="1"/>
  <c r="DD610" i="4"/>
  <c r="DC610" i="4"/>
  <c r="DD591" i="4"/>
  <c r="DC591" i="4"/>
  <c r="DB591" i="4" s="1"/>
  <c r="DC613" i="4"/>
  <c r="DD613" i="4"/>
  <c r="DY562" i="4"/>
  <c r="EC562" i="4" s="1"/>
  <c r="DG562" i="4"/>
  <c r="FF562" i="4"/>
  <c r="FW562" i="4" s="1"/>
  <c r="DY551" i="4"/>
  <c r="EC551" i="4" s="1"/>
  <c r="DG551" i="4"/>
  <c r="FF551" i="4"/>
  <c r="FW551" i="4" s="1"/>
  <c r="DG549" i="4"/>
  <c r="FF549" i="4"/>
  <c r="FW549" i="4" s="1"/>
  <c r="DY549" i="4"/>
  <c r="EC549" i="4" s="1"/>
  <c r="DB630" i="4"/>
  <c r="CV548" i="4"/>
  <c r="FB548" i="4"/>
  <c r="FQ548" i="4" s="1"/>
  <c r="DD533" i="4"/>
  <c r="DC533" i="4"/>
  <c r="DD549" i="4"/>
  <c r="DC549" i="4"/>
  <c r="DB549" i="4" s="1"/>
  <c r="DY579" i="4"/>
  <c r="EC579" i="4" s="1"/>
  <c r="FF500" i="4"/>
  <c r="FW500" i="4" s="1"/>
  <c r="DY500" i="4"/>
  <c r="EC500" i="4" s="1"/>
  <c r="DG500" i="4"/>
  <c r="DD474" i="4"/>
  <c r="DC474" i="4"/>
  <c r="DB474" i="4" s="1"/>
  <c r="DB547" i="4"/>
  <c r="DD506" i="4"/>
  <c r="DC506" i="4"/>
  <c r="DB506" i="4" s="1"/>
  <c r="DD484" i="4"/>
  <c r="DC484" i="4"/>
  <c r="DY530" i="4"/>
  <c r="EC530" i="4" s="1"/>
  <c r="DY481" i="4"/>
  <c r="EC481" i="4" s="1"/>
  <c r="DG481" i="4"/>
  <c r="FF481" i="4"/>
  <c r="FW481" i="4" s="1"/>
  <c r="DB526" i="4"/>
  <c r="DD460" i="4"/>
  <c r="DC460" i="4"/>
  <c r="DB460" i="4" s="1"/>
  <c r="DB527" i="4"/>
  <c r="DB477" i="4"/>
  <c r="DY466" i="4"/>
  <c r="EC466" i="4" s="1"/>
  <c r="DD427" i="4"/>
  <c r="DC427" i="4"/>
  <c r="DY499" i="4"/>
  <c r="EC499" i="4" s="1"/>
  <c r="DB485" i="4"/>
  <c r="DG467" i="4"/>
  <c r="FF467" i="4"/>
  <c r="FW467" i="4" s="1"/>
  <c r="DY467" i="4"/>
  <c r="EC467" i="4" s="1"/>
  <c r="EA426" i="4"/>
  <c r="DU426" i="4"/>
  <c r="DV426" i="4"/>
  <c r="DZ426" i="4" s="1"/>
  <c r="DB478" i="4"/>
  <c r="DV460" i="4"/>
  <c r="DZ460" i="4" s="1"/>
  <c r="EA460" i="4"/>
  <c r="DU460" i="4"/>
  <c r="DY443" i="4"/>
  <c r="EC443" i="4" s="1"/>
  <c r="DG443" i="4"/>
  <c r="FF443" i="4"/>
  <c r="FW443" i="4" s="1"/>
  <c r="DY440" i="4"/>
  <c r="EC440" i="4" s="1"/>
  <c r="DG440" i="4"/>
  <c r="FF440" i="4"/>
  <c r="FW440" i="4" s="1"/>
  <c r="DB458" i="4"/>
  <c r="DY405" i="4"/>
  <c r="EC405" i="4" s="1"/>
  <c r="DY360" i="4"/>
  <c r="EC360" i="4" s="1"/>
  <c r="DG360" i="4"/>
  <c r="FF360" i="4"/>
  <c r="FW360" i="4" s="1"/>
  <c r="DY448" i="4"/>
  <c r="EC448" i="4" s="1"/>
  <c r="DD359" i="4"/>
  <c r="DC359" i="4"/>
  <c r="CV460" i="4"/>
  <c r="DD360" i="4"/>
  <c r="DC360" i="4"/>
  <c r="DD340" i="4"/>
  <c r="DC340" i="4"/>
  <c r="DB340" i="4" s="1"/>
  <c r="DB430" i="4"/>
  <c r="DB414" i="4"/>
  <c r="DD401" i="4"/>
  <c r="DC401" i="4"/>
  <c r="DY358" i="4"/>
  <c r="EC358" i="4" s="1"/>
  <c r="DG358" i="4"/>
  <c r="FF358" i="4"/>
  <c r="FW358" i="4" s="1"/>
  <c r="DD353" i="4"/>
  <c r="DC353" i="4"/>
  <c r="DB353" i="4" s="1"/>
  <c r="DC349" i="4"/>
  <c r="DB349" i="4" s="1"/>
  <c r="DD349" i="4"/>
  <c r="DY343" i="4"/>
  <c r="EC343" i="4" s="1"/>
  <c r="DY380" i="4"/>
  <c r="EC380" i="4" s="1"/>
  <c r="DY338" i="4"/>
  <c r="EC338" i="4" s="1"/>
  <c r="DD317" i="4"/>
  <c r="DC317" i="4"/>
  <c r="FF297" i="4"/>
  <c r="FW297" i="4" s="1"/>
  <c r="DY297" i="4"/>
  <c r="EC297" i="4" s="1"/>
  <c r="DG297" i="4"/>
  <c r="FF282" i="4"/>
  <c r="FW282" i="4" s="1"/>
  <c r="DY282" i="4"/>
  <c r="EC282" i="4" s="1"/>
  <c r="DG282" i="4"/>
  <c r="DB380" i="4"/>
  <c r="DG326" i="4"/>
  <c r="FF326" i="4"/>
  <c r="FW326" i="4" s="1"/>
  <c r="DY326" i="4"/>
  <c r="EC326" i="4" s="1"/>
  <c r="DD306" i="4"/>
  <c r="DC306" i="4"/>
  <c r="DG265" i="4"/>
  <c r="FF265" i="4"/>
  <c r="FW265" i="4" s="1"/>
  <c r="DY265" i="4"/>
  <c r="EC265" i="4" s="1"/>
  <c r="DD255" i="4"/>
  <c r="DC255" i="4"/>
  <c r="DB255" i="4" s="1"/>
  <c r="DB395" i="4"/>
  <c r="DD332" i="4"/>
  <c r="DC332" i="4"/>
  <c r="DB332" i="4" s="1"/>
  <c r="DD311" i="4"/>
  <c r="DC311" i="4"/>
  <c r="DB311" i="4" s="1"/>
  <c r="DY271" i="4"/>
  <c r="EC271" i="4" s="1"/>
  <c r="DG271" i="4"/>
  <c r="FF271" i="4"/>
  <c r="FW271" i="4" s="1"/>
  <c r="DY262" i="4"/>
  <c r="EC262" i="4" s="1"/>
  <c r="DG262" i="4"/>
  <c r="FF262" i="4"/>
  <c r="FW262" i="4" s="1"/>
  <c r="DY351" i="4"/>
  <c r="EC351" i="4" s="1"/>
  <c r="DV328" i="4"/>
  <c r="EA328" i="4"/>
  <c r="DU328" i="4"/>
  <c r="DD313" i="4"/>
  <c r="DC313" i="4"/>
  <c r="DB313" i="4" s="1"/>
  <c r="DY299" i="4"/>
  <c r="EC299" i="4" s="1"/>
  <c r="DG299" i="4"/>
  <c r="FF299" i="4"/>
  <c r="FW299" i="4" s="1"/>
  <c r="DD292" i="4"/>
  <c r="DC292" i="4"/>
  <c r="DD257" i="4"/>
  <c r="DC257" i="4"/>
  <c r="DB257" i="4" s="1"/>
  <c r="DD246" i="4"/>
  <c r="DC246" i="4"/>
  <c r="DY314" i="4"/>
  <c r="EC314" i="4" s="1"/>
  <c r="DB270" i="4"/>
  <c r="FF243" i="4"/>
  <c r="FW243" i="4" s="1"/>
  <c r="DY243" i="4"/>
  <c r="EC243" i="4" s="1"/>
  <c r="DG243" i="4"/>
  <c r="DB303" i="4"/>
  <c r="DB290" i="4"/>
  <c r="DB295" i="4"/>
  <c r="DB286" i="4"/>
  <c r="DD155" i="4"/>
  <c r="DC155" i="4"/>
  <c r="DY315" i="4"/>
  <c r="EC315" i="4" s="1"/>
  <c r="DB288" i="4"/>
  <c r="DG241" i="4"/>
  <c r="FF241" i="4"/>
  <c r="FW241" i="4" s="1"/>
  <c r="DY241" i="4"/>
  <c r="EC241" i="4" s="1"/>
  <c r="DD179" i="4"/>
  <c r="DC179" i="4"/>
  <c r="DB328" i="4"/>
  <c r="DY248" i="4"/>
  <c r="EC248" i="4" s="1"/>
  <c r="DD240" i="4"/>
  <c r="DC240" i="4"/>
  <c r="DB240" i="4" s="1"/>
  <c r="DD209" i="4"/>
  <c r="DC209" i="4"/>
  <c r="DD189" i="4"/>
  <c r="DC189" i="4"/>
  <c r="DY303" i="4"/>
  <c r="EC303" i="4" s="1"/>
  <c r="DB277" i="4"/>
  <c r="DY231" i="4"/>
  <c r="EC231" i="4" s="1"/>
  <c r="DG231" i="4"/>
  <c r="FF231" i="4"/>
  <c r="FW231" i="4" s="1"/>
  <c r="DY222" i="4"/>
  <c r="EC222" i="4" s="1"/>
  <c r="DG222" i="4"/>
  <c r="FF222" i="4"/>
  <c r="FW222" i="4" s="1"/>
  <c r="DV208" i="4"/>
  <c r="EA208" i="4"/>
  <c r="DU208" i="4"/>
  <c r="DY202" i="4"/>
  <c r="EC202" i="4" s="1"/>
  <c r="DG202" i="4"/>
  <c r="FF202" i="4"/>
  <c r="FW202" i="4" s="1"/>
  <c r="DY193" i="4"/>
  <c r="EC193" i="4" s="1"/>
  <c r="DG193" i="4"/>
  <c r="FF193" i="4"/>
  <c r="FW193" i="4" s="1"/>
  <c r="DB197" i="4"/>
  <c r="DB177" i="4"/>
  <c r="CU642" i="4"/>
  <c r="DY214" i="4"/>
  <c r="EC214" i="4" s="1"/>
  <c r="DB159" i="4"/>
  <c r="FF108" i="4"/>
  <c r="FW108" i="4" s="1"/>
  <c r="DY108" i="4"/>
  <c r="EC108" i="4" s="1"/>
  <c r="DG108" i="4"/>
  <c r="DY31" i="4"/>
  <c r="EC31" i="4" s="1"/>
  <c r="FF31" i="4"/>
  <c r="FW31" i="4" s="1"/>
  <c r="DG31" i="4"/>
  <c r="AP48" i="5"/>
  <c r="BA55" i="5"/>
  <c r="AR55" i="5"/>
  <c r="AM61" i="5"/>
  <c r="O85" i="5"/>
  <c r="AT189" i="5"/>
  <c r="AD399" i="5"/>
  <c r="AZ319" i="5"/>
  <c r="AQ319" i="5"/>
  <c r="AW51" i="5"/>
  <c r="O154" i="5"/>
  <c r="AT55" i="5"/>
  <c r="AR57" i="5"/>
  <c r="BA57" i="5"/>
  <c r="AV59" i="5"/>
  <c r="AE312" i="5"/>
  <c r="AR185" i="5"/>
  <c r="AQ321" i="5"/>
  <c r="AZ321" i="5"/>
  <c r="AL40" i="5"/>
  <c r="AN41" i="5"/>
  <c r="AL44" i="5"/>
  <c r="AN45" i="5"/>
  <c r="AL47" i="5"/>
  <c r="AN48" i="5"/>
  <c r="AL50" i="5"/>
  <c r="AN51" i="5"/>
  <c r="AL53" i="5"/>
  <c r="AN54" i="5"/>
  <c r="AL56" i="5"/>
  <c r="AN57" i="5"/>
  <c r="AL59" i="5"/>
  <c r="AN60" i="5"/>
  <c r="AL62" i="5"/>
  <c r="AN63" i="5"/>
  <c r="AT148" i="5"/>
  <c r="AK49" i="5"/>
  <c r="AM50" i="5"/>
  <c r="AT51" i="5"/>
  <c r="AP52" i="5"/>
  <c r="AR53" i="5"/>
  <c r="BA53" i="5"/>
  <c r="AV55" i="5"/>
  <c r="AO90" i="5"/>
  <c r="BB92" i="5"/>
  <c r="AS92" i="5"/>
  <c r="AO147" i="5"/>
  <c r="BB149" i="5"/>
  <c r="AS149" i="5"/>
  <c r="AN40" i="5"/>
  <c r="AN42" i="5"/>
  <c r="AZ43" i="5"/>
  <c r="AQ43" i="5"/>
  <c r="BB44" i="5"/>
  <c r="AS44" i="5"/>
  <c r="AO45" i="5"/>
  <c r="AZ46" i="5"/>
  <c r="AQ46" i="5"/>
  <c r="BB47" i="5"/>
  <c r="AS47" i="5"/>
  <c r="AO48" i="5"/>
  <c r="AZ49" i="5"/>
  <c r="AQ49" i="5"/>
  <c r="BB50" i="5"/>
  <c r="AS50" i="5"/>
  <c r="AO51" i="5"/>
  <c r="AZ52" i="5"/>
  <c r="AQ52" i="5"/>
  <c r="BB53" i="5"/>
  <c r="AS53" i="5"/>
  <c r="AO54" i="5"/>
  <c r="AZ55" i="5"/>
  <c r="AQ55" i="5"/>
  <c r="BB56" i="5"/>
  <c r="AS56" i="5"/>
  <c r="AO57" i="5"/>
  <c r="AZ58" i="5"/>
  <c r="AQ58" i="5"/>
  <c r="BB59" i="5"/>
  <c r="AS59" i="5"/>
  <c r="AO60" i="5"/>
  <c r="AZ61" i="5"/>
  <c r="AQ61" i="5"/>
  <c r="BB62" i="5"/>
  <c r="AS62" i="5"/>
  <c r="AP63" i="5"/>
  <c r="AM205" i="5"/>
  <c r="AK195" i="5"/>
  <c r="AM196" i="5"/>
  <c r="AT197" i="5"/>
  <c r="AP198" i="5"/>
  <c r="AR199" i="5"/>
  <c r="AV201" i="5"/>
  <c r="AO205" i="5"/>
  <c r="AW319" i="5"/>
  <c r="AS90" i="5"/>
  <c r="BB90" i="5"/>
  <c r="AO91" i="5"/>
  <c r="AQ92" i="5"/>
  <c r="AZ92" i="5"/>
  <c r="AQ146" i="5"/>
  <c r="AD154" i="5"/>
  <c r="AZ146" i="5"/>
  <c r="AS147" i="5"/>
  <c r="BB147" i="5"/>
  <c r="AO148" i="5"/>
  <c r="AQ149" i="5"/>
  <c r="AZ149" i="5"/>
  <c r="AS150" i="5"/>
  <c r="BB150" i="5"/>
  <c r="AO151" i="5"/>
  <c r="AO185" i="5"/>
  <c r="AQ186" i="5"/>
  <c r="AS187" i="5"/>
  <c r="AO188" i="5"/>
  <c r="AQ189" i="5"/>
  <c r="AS190" i="5"/>
  <c r="AO191" i="5"/>
  <c r="AQ192" i="5"/>
  <c r="AS193" i="5"/>
  <c r="AO194" i="5"/>
  <c r="AQ195" i="5"/>
  <c r="AS196" i="5"/>
  <c r="AO197" i="5"/>
  <c r="AQ198" i="5"/>
  <c r="AS199" i="5"/>
  <c r="AO200" i="5"/>
  <c r="AQ201" i="5"/>
  <c r="AS202" i="5"/>
  <c r="AO203" i="5"/>
  <c r="AH320" i="5"/>
  <c r="AU320" i="5" s="1"/>
  <c r="AM146" i="5"/>
  <c r="AT147" i="5"/>
  <c r="AP148" i="5"/>
  <c r="AR149" i="5"/>
  <c r="BA149" i="5"/>
  <c r="AV151" i="5"/>
  <c r="AK194" i="5"/>
  <c r="AM195" i="5"/>
  <c r="AT196" i="5"/>
  <c r="AP197" i="5"/>
  <c r="AR198" i="5"/>
  <c r="AV200" i="5"/>
  <c r="AR205" i="5"/>
  <c r="AP205" i="5"/>
  <c r="AR206" i="5"/>
  <c r="AT328" i="5"/>
  <c r="AR330" i="5"/>
  <c r="BA330" i="5"/>
  <c r="AR321" i="5"/>
  <c r="BA321" i="5"/>
  <c r="AV323" i="5"/>
  <c r="AU325" i="5"/>
  <c r="AW326" i="5"/>
  <c r="AW329" i="5"/>
  <c r="AU331" i="5"/>
  <c r="BA343" i="5"/>
  <c r="AR343" i="5"/>
  <c r="AL332" i="5"/>
  <c r="AV333" i="5"/>
  <c r="AZ335" i="5"/>
  <c r="AQ335" i="5"/>
  <c r="AK322" i="5"/>
  <c r="AZ325" i="5"/>
  <c r="AQ325" i="5"/>
  <c r="BB326" i="5"/>
  <c r="AS326" i="5"/>
  <c r="AO327" i="5"/>
  <c r="AZ328" i="5"/>
  <c r="AQ328" i="5"/>
  <c r="BB329" i="5"/>
  <c r="AS329" i="5"/>
  <c r="AZ331" i="5"/>
  <c r="AQ331" i="5"/>
  <c r="AT336" i="5"/>
  <c r="AR339" i="5"/>
  <c r="BA339" i="5"/>
  <c r="AO332" i="5"/>
  <c r="AZ333" i="5"/>
  <c r="AQ333" i="5"/>
  <c r="BB334" i="5"/>
  <c r="AS334" i="5"/>
  <c r="AZ336" i="5"/>
  <c r="AQ336" i="5"/>
  <c r="BB337" i="5"/>
  <c r="AS337" i="5"/>
  <c r="AZ339" i="5"/>
  <c r="AQ339" i="5"/>
  <c r="BB340" i="5"/>
  <c r="AS340" i="5"/>
  <c r="AO341" i="5"/>
  <c r="AZ342" i="5"/>
  <c r="AQ342" i="5"/>
  <c r="BB343" i="5"/>
  <c r="AS343" i="5"/>
  <c r="AL346" i="5"/>
  <c r="AQ349" i="5"/>
  <c r="AZ349" i="5"/>
  <c r="AK363" i="5"/>
  <c r="AU337" i="5"/>
  <c r="AW338" i="5"/>
  <c r="AW341" i="5"/>
  <c r="AU343" i="5"/>
  <c r="AM358" i="5"/>
  <c r="AK340" i="5"/>
  <c r="AT342" i="5"/>
  <c r="BB352" i="5"/>
  <c r="AS352" i="5"/>
  <c r="AS347" i="5"/>
  <c r="BB347" i="5"/>
  <c r="AP350" i="5"/>
  <c r="BA353" i="5"/>
  <c r="AR353" i="5"/>
  <c r="AV355" i="5"/>
  <c r="AK351" i="5"/>
  <c r="AM352" i="5"/>
  <c r="AT359" i="5"/>
  <c r="BA367" i="5"/>
  <c r="AR367" i="5"/>
  <c r="AN355" i="5"/>
  <c r="AO358" i="5"/>
  <c r="BB360" i="5"/>
  <c r="AS360" i="5"/>
  <c r="AW362" i="5"/>
  <c r="AZ359" i="5"/>
  <c r="AQ359" i="5"/>
  <c r="AW360" i="5"/>
  <c r="AM356" i="5"/>
  <c r="BA374" i="5"/>
  <c r="AR374" i="5"/>
  <c r="AQ386" i="5"/>
  <c r="AZ386" i="5"/>
  <c r="AR386" i="5"/>
  <c r="BA386" i="5"/>
  <c r="AT364" i="5"/>
  <c r="BA366" i="5"/>
  <c r="AR366" i="5"/>
  <c r="AV368" i="5"/>
  <c r="AL377" i="5"/>
  <c r="AU382" i="5"/>
  <c r="AJ391" i="5"/>
  <c r="AW391" i="5" s="1"/>
  <c r="AQ371" i="5"/>
  <c r="AZ371" i="5"/>
  <c r="BB372" i="5"/>
  <c r="AS372" i="5"/>
  <c r="AQ412" i="5"/>
  <c r="AZ412" i="5"/>
  <c r="AT363" i="5"/>
  <c r="AP364" i="5"/>
  <c r="AR365" i="5"/>
  <c r="BA365" i="5"/>
  <c r="AV367" i="5"/>
  <c r="AK375" i="5"/>
  <c r="AZ361" i="5"/>
  <c r="AQ361" i="5"/>
  <c r="BB362" i="5"/>
  <c r="AS362" i="5"/>
  <c r="AO363" i="5"/>
  <c r="AZ364" i="5"/>
  <c r="AQ364" i="5"/>
  <c r="BB365" i="5"/>
  <c r="AS365" i="5"/>
  <c r="AO366" i="5"/>
  <c r="AZ367" i="5"/>
  <c r="AQ367" i="5"/>
  <c r="BB368" i="5"/>
  <c r="AS368" i="5"/>
  <c r="AO369" i="5"/>
  <c r="AQ370" i="5"/>
  <c r="AZ370" i="5"/>
  <c r="BB371" i="5"/>
  <c r="AS371" i="5"/>
  <c r="AO372" i="5"/>
  <c r="AO396" i="5"/>
  <c r="AL373" i="5"/>
  <c r="AZ383" i="5"/>
  <c r="AQ383" i="5"/>
  <c r="AP388" i="5"/>
  <c r="AK378" i="5"/>
  <c r="AM379" i="5"/>
  <c r="AT380" i="5"/>
  <c r="AP381" i="5"/>
  <c r="AR382" i="5"/>
  <c r="BA382" i="5"/>
  <c r="BB387" i="5"/>
  <c r="AS387" i="5"/>
  <c r="AP385" i="5"/>
  <c r="AO386" i="5"/>
  <c r="AT387" i="5"/>
  <c r="AE465" i="5"/>
  <c r="BA409" i="5"/>
  <c r="AK380" i="5"/>
  <c r="AM381" i="5"/>
  <c r="AT382" i="5"/>
  <c r="AK384" i="5"/>
  <c r="AM385" i="5"/>
  <c r="AT386" i="5"/>
  <c r="AP387" i="5"/>
  <c r="BA388" i="5"/>
  <c r="AR388" i="5"/>
  <c r="BB397" i="5"/>
  <c r="AS397" i="5"/>
  <c r="AM395" i="5"/>
  <c r="AV389" i="5"/>
  <c r="AK392" i="5"/>
  <c r="AW393" i="5"/>
  <c r="AL389" i="5"/>
  <c r="AO390" i="5"/>
  <c r="AT391" i="5"/>
  <c r="BB411" i="5"/>
  <c r="AS411" i="5"/>
  <c r="AN390" i="5"/>
  <c r="AL392" i="5"/>
  <c r="AN393" i="5"/>
  <c r="AL395" i="5"/>
  <c r="AN396" i="5"/>
  <c r="AT411" i="5"/>
  <c r="AS414" i="5"/>
  <c r="BB414" i="5"/>
  <c r="AT417" i="5"/>
  <c r="P465" i="5"/>
  <c r="AL397" i="5"/>
  <c r="AK409" i="5"/>
  <c r="AW411" i="5"/>
  <c r="AO417" i="5"/>
  <c r="AR419" i="5"/>
  <c r="BA419" i="5"/>
  <c r="AM415" i="5"/>
  <c r="AV413" i="5"/>
  <c r="AW418" i="5"/>
  <c r="AU420" i="5"/>
  <c r="AW421" i="5"/>
  <c r="DY211" i="4"/>
  <c r="EC211" i="4" s="1"/>
  <c r="DB147" i="4"/>
  <c r="DD92" i="4"/>
  <c r="DC92" i="4"/>
  <c r="DB245" i="4"/>
  <c r="DY207" i="4"/>
  <c r="EC207" i="4" s="1"/>
  <c r="DB193" i="4"/>
  <c r="DB167" i="4"/>
  <c r="DG109" i="4"/>
  <c r="FF109" i="4"/>
  <c r="FW109" i="4" s="1"/>
  <c r="DY109" i="4"/>
  <c r="EC109" i="4" s="1"/>
  <c r="DD50" i="4"/>
  <c r="DC50" i="4"/>
  <c r="DB50" i="4" s="1"/>
  <c r="DG43" i="4"/>
  <c r="FF43" i="4"/>
  <c r="FW43" i="4" s="1"/>
  <c r="DY43" i="4"/>
  <c r="EC43" i="4" s="1"/>
  <c r="DB232" i="4"/>
  <c r="CV166" i="4"/>
  <c r="DB126" i="4"/>
  <c r="DD102" i="4"/>
  <c r="DC102" i="4"/>
  <c r="DD90" i="4"/>
  <c r="DC90" i="4"/>
  <c r="DD77" i="4"/>
  <c r="DC77" i="4"/>
  <c r="DB77" i="4" s="1"/>
  <c r="DD48" i="4"/>
  <c r="DC48" i="4"/>
  <c r="DB222" i="4"/>
  <c r="DB208" i="4"/>
  <c r="DB145" i="4"/>
  <c r="DB139" i="4"/>
  <c r="DB61" i="4"/>
  <c r="DB85" i="4"/>
  <c r="DB69" i="4"/>
  <c r="DB35" i="4"/>
  <c r="DB96" i="4"/>
  <c r="DB58" i="4"/>
  <c r="DB46" i="4"/>
  <c r="DB41" i="4"/>
  <c r="DB110" i="4"/>
  <c r="DD606" i="4"/>
  <c r="DC606" i="4"/>
  <c r="DB606" i="4" s="1"/>
  <c r="DY568" i="4"/>
  <c r="EC568" i="4" s="1"/>
  <c r="DG568" i="4"/>
  <c r="FF568" i="4"/>
  <c r="FW568" i="4" s="1"/>
  <c r="DD538" i="4"/>
  <c r="DC538" i="4"/>
  <c r="DD507" i="4"/>
  <c r="DC507" i="4"/>
  <c r="DB507" i="4" s="1"/>
  <c r="DG532" i="4"/>
  <c r="FF532" i="4"/>
  <c r="FW532" i="4" s="1"/>
  <c r="DY532" i="4"/>
  <c r="EC532" i="4" s="1"/>
  <c r="DY427" i="4"/>
  <c r="EC427" i="4" s="1"/>
  <c r="DG427" i="4"/>
  <c r="FF427" i="4"/>
  <c r="FW427" i="4" s="1"/>
  <c r="DY437" i="4"/>
  <c r="EC437" i="4" s="1"/>
  <c r="DG437" i="4"/>
  <c r="FF437" i="4"/>
  <c r="FW437" i="4" s="1"/>
  <c r="DY365" i="4"/>
  <c r="EC365" i="4" s="1"/>
  <c r="DG365" i="4"/>
  <c r="FF365" i="4"/>
  <c r="FW365" i="4" s="1"/>
  <c r="FF256" i="4"/>
  <c r="FW256" i="4" s="1"/>
  <c r="DY256" i="4"/>
  <c r="EC256" i="4" s="1"/>
  <c r="DG256" i="4"/>
  <c r="DD267" i="4"/>
  <c r="DC267" i="4"/>
  <c r="DB267" i="4" s="1"/>
  <c r="DD234" i="4"/>
  <c r="DC234" i="4"/>
  <c r="DY139" i="4"/>
  <c r="EC139" i="4" s="1"/>
  <c r="DG139" i="4"/>
  <c r="FF139" i="4"/>
  <c r="FW139" i="4" s="1"/>
  <c r="FF83" i="4"/>
  <c r="FW83" i="4" s="1"/>
  <c r="DY83" i="4"/>
  <c r="EC83" i="4" s="1"/>
  <c r="DG83" i="4"/>
  <c r="BA61" i="5"/>
  <c r="AR61" i="5"/>
  <c r="DG624" i="4"/>
  <c r="DY624" i="4"/>
  <c r="EC624" i="4" s="1"/>
  <c r="FF624" i="4"/>
  <c r="FW624" i="4" s="1"/>
  <c r="DD616" i="4"/>
  <c r="DC616" i="4"/>
  <c r="DD573" i="4"/>
  <c r="DC573" i="4"/>
  <c r="DD545" i="4"/>
  <c r="DC545" i="4"/>
  <c r="DB545" i="4" s="1"/>
  <c r="DY515" i="4"/>
  <c r="EC515" i="4" s="1"/>
  <c r="DG515" i="4"/>
  <c r="FF515" i="4"/>
  <c r="FW515" i="4" s="1"/>
  <c r="DZ498" i="4"/>
  <c r="DY498" i="4"/>
  <c r="EC498" i="4" s="1"/>
  <c r="DY490" i="4"/>
  <c r="EC490" i="4" s="1"/>
  <c r="DG490" i="4"/>
  <c r="FF490" i="4"/>
  <c r="FW490" i="4" s="1"/>
  <c r="DD491" i="4"/>
  <c r="DC491" i="4"/>
  <c r="DD496" i="4"/>
  <c r="DC496" i="4"/>
  <c r="DB496" i="4" s="1"/>
  <c r="DD521" i="4"/>
  <c r="DC521" i="4"/>
  <c r="DD511" i="4"/>
  <c r="DC511" i="4"/>
  <c r="DD503" i="4"/>
  <c r="DC503" i="4"/>
  <c r="DB503" i="4" s="1"/>
  <c r="DD522" i="4"/>
  <c r="DC522" i="4"/>
  <c r="DY489" i="4"/>
  <c r="EC489" i="4" s="1"/>
  <c r="DG489" i="4"/>
  <c r="FF489" i="4"/>
  <c r="FW489" i="4" s="1"/>
  <c r="DY473" i="4"/>
  <c r="EC473" i="4" s="1"/>
  <c r="DG473" i="4"/>
  <c r="FF473" i="4"/>
  <c r="FW473" i="4" s="1"/>
  <c r="DG465" i="4"/>
  <c r="FF465" i="4"/>
  <c r="FW465" i="4" s="1"/>
  <c r="DY465" i="4"/>
  <c r="EC465" i="4" s="1"/>
  <c r="DV528" i="4"/>
  <c r="DU528" i="4"/>
  <c r="EA528" i="4"/>
  <c r="DD475" i="4"/>
  <c r="DC475" i="4"/>
  <c r="DY468" i="4"/>
  <c r="EC468" i="4" s="1"/>
  <c r="FF468" i="4"/>
  <c r="FW468" i="4" s="1"/>
  <c r="DG468" i="4"/>
  <c r="DY452" i="4"/>
  <c r="EC452" i="4" s="1"/>
  <c r="DG452" i="4"/>
  <c r="FF452" i="4"/>
  <c r="FW452" i="4" s="1"/>
  <c r="EA468" i="4"/>
  <c r="DU468" i="4"/>
  <c r="DV468" i="4"/>
  <c r="DZ468" i="4" s="1"/>
  <c r="DD421" i="4"/>
  <c r="DC421" i="4"/>
  <c r="DB421" i="4" s="1"/>
  <c r="CV461" i="4"/>
  <c r="FB461" i="4"/>
  <c r="FQ461" i="4" s="1"/>
  <c r="DY439" i="4"/>
  <c r="EC439" i="4" s="1"/>
  <c r="DG439" i="4"/>
  <c r="FF439" i="4"/>
  <c r="FW439" i="4" s="1"/>
  <c r="DY432" i="4"/>
  <c r="EC432" i="4" s="1"/>
  <c r="DG432" i="4"/>
  <c r="FF432" i="4"/>
  <c r="FW432" i="4" s="1"/>
  <c r="DD404" i="4"/>
  <c r="DC404" i="4"/>
  <c r="DY447" i="4"/>
  <c r="EC447" i="4" s="1"/>
  <c r="DG447" i="4"/>
  <c r="FF447" i="4"/>
  <c r="FW447" i="4" s="1"/>
  <c r="DB424" i="4"/>
  <c r="DB417" i="4"/>
  <c r="DY368" i="4"/>
  <c r="EC368" i="4" s="1"/>
  <c r="DG368" i="4"/>
  <c r="FF368" i="4"/>
  <c r="FW368" i="4" s="1"/>
  <c r="DB446" i="4"/>
  <c r="DB437" i="4"/>
  <c r="DB431" i="4"/>
  <c r="DB429" i="4"/>
  <c r="DD385" i="4"/>
  <c r="DC385" i="4"/>
  <c r="DB385" i="4" s="1"/>
  <c r="DD355" i="4"/>
  <c r="DC355" i="4"/>
  <c r="DB355" i="4" s="1"/>
  <c r="DY426" i="4"/>
  <c r="EC426" i="4" s="1"/>
  <c r="DG426" i="4"/>
  <c r="FF426" i="4"/>
  <c r="FW426" i="4" s="1"/>
  <c r="DY388" i="4"/>
  <c r="EC388" i="4" s="1"/>
  <c r="DG388" i="4"/>
  <c r="FF388" i="4"/>
  <c r="FW388" i="4" s="1"/>
  <c r="DD347" i="4"/>
  <c r="DC347" i="4"/>
  <c r="DD338" i="4"/>
  <c r="DC338" i="4"/>
  <c r="DB338" i="4" s="1"/>
  <c r="DD356" i="4"/>
  <c r="DC356" i="4"/>
  <c r="DB356" i="4" s="1"/>
  <c r="DY346" i="4"/>
  <c r="EC346" i="4" s="1"/>
  <c r="FF346" i="4"/>
  <c r="FW346" i="4" s="1"/>
  <c r="DG346" i="4"/>
  <c r="DB392" i="4"/>
  <c r="DB364" i="4"/>
  <c r="DY359" i="4"/>
  <c r="EC359" i="4" s="1"/>
  <c r="DD342" i="4"/>
  <c r="DC342" i="4"/>
  <c r="DG329" i="4"/>
  <c r="FF329" i="4"/>
  <c r="FW329" i="4" s="1"/>
  <c r="DY329" i="4"/>
  <c r="EC329" i="4" s="1"/>
  <c r="DD325" i="4"/>
  <c r="DC325" i="4"/>
  <c r="DB325" i="4" s="1"/>
  <c r="DD251" i="4"/>
  <c r="DC251" i="4"/>
  <c r="DG339" i="4"/>
  <c r="FF339" i="4"/>
  <c r="FW339" i="4" s="1"/>
  <c r="DD323" i="4"/>
  <c r="DC323" i="4"/>
  <c r="DB323" i="4" s="1"/>
  <c r="DY287" i="4"/>
  <c r="EC287" i="4" s="1"/>
  <c r="DG287" i="4"/>
  <c r="FF287" i="4"/>
  <c r="FW287" i="4" s="1"/>
  <c r="DY277" i="4"/>
  <c r="EC277" i="4" s="1"/>
  <c r="DG277" i="4"/>
  <c r="FF277" i="4"/>
  <c r="FW277" i="4" s="1"/>
  <c r="DY270" i="4"/>
  <c r="EC270" i="4" s="1"/>
  <c r="DG270" i="4"/>
  <c r="FF270" i="4"/>
  <c r="FW270" i="4" s="1"/>
  <c r="DD261" i="4"/>
  <c r="DC261" i="4"/>
  <c r="DB261" i="4" s="1"/>
  <c r="DC334" i="4"/>
  <c r="DB334" i="4" s="1"/>
  <c r="DD334" i="4"/>
  <c r="DV322" i="4"/>
  <c r="EA322" i="4"/>
  <c r="DU322" i="4"/>
  <c r="DY319" i="4"/>
  <c r="EC319" i="4" s="1"/>
  <c r="DG319" i="4"/>
  <c r="FF319" i="4"/>
  <c r="FW319" i="4" s="1"/>
  <c r="DD298" i="4"/>
  <c r="DC298" i="4"/>
  <c r="DB298" i="4" s="1"/>
  <c r="DB345" i="4"/>
  <c r="DZ242" i="4"/>
  <c r="DY242" i="4"/>
  <c r="EC242" i="4" s="1"/>
  <c r="DB260" i="4"/>
  <c r="DY183" i="4"/>
  <c r="EC183" i="4" s="1"/>
  <c r="DG183" i="4"/>
  <c r="FF183" i="4"/>
  <c r="FW183" i="4" s="1"/>
  <c r="DY170" i="4"/>
  <c r="EC170" i="4" s="1"/>
  <c r="DG170" i="4"/>
  <c r="FF170" i="4"/>
  <c r="FW170" i="4" s="1"/>
  <c r="DB308" i="4"/>
  <c r="DD226" i="4"/>
  <c r="DC226" i="4"/>
  <c r="DD199" i="4"/>
  <c r="DC199" i="4"/>
  <c r="DB199" i="4" s="1"/>
  <c r="DD185" i="4"/>
  <c r="DC185" i="4"/>
  <c r="DD149" i="4"/>
  <c r="DC149" i="4"/>
  <c r="DB263" i="4"/>
  <c r="DD249" i="4"/>
  <c r="DC249" i="4"/>
  <c r="DD175" i="4"/>
  <c r="DC175" i="4"/>
  <c r="DB175" i="4" s="1"/>
  <c r="DD186" i="4"/>
  <c r="DC186" i="4"/>
  <c r="DB186" i="4" s="1"/>
  <c r="DB284" i="4"/>
  <c r="DY238" i="4"/>
  <c r="EC238" i="4" s="1"/>
  <c r="DG238" i="4"/>
  <c r="FF238" i="4"/>
  <c r="FW238" i="4" s="1"/>
  <c r="DD229" i="4"/>
  <c r="DC229" i="4"/>
  <c r="DB229" i="4" s="1"/>
  <c r="DY225" i="4"/>
  <c r="EC225" i="4" s="1"/>
  <c r="DG225" i="4"/>
  <c r="FF225" i="4"/>
  <c r="FW225" i="4" s="1"/>
  <c r="DY204" i="4"/>
  <c r="EC204" i="4" s="1"/>
  <c r="DG204" i="4"/>
  <c r="FF204" i="4"/>
  <c r="FW204" i="4" s="1"/>
  <c r="DD201" i="4"/>
  <c r="DC201" i="4"/>
  <c r="DY198" i="4"/>
  <c r="EC198" i="4" s="1"/>
  <c r="DG198" i="4"/>
  <c r="FF198" i="4"/>
  <c r="FW198" i="4" s="1"/>
  <c r="DY151" i="4"/>
  <c r="EC151" i="4" s="1"/>
  <c r="DG151" i="4"/>
  <c r="FF151" i="4"/>
  <c r="FW151" i="4" s="1"/>
  <c r="DY145" i="4"/>
  <c r="EC145" i="4" s="1"/>
  <c r="DG145" i="4"/>
  <c r="FF145" i="4"/>
  <c r="FW145" i="4" s="1"/>
  <c r="DD30" i="4"/>
  <c r="DC30" i="4"/>
  <c r="DB30" i="4" s="1"/>
  <c r="DB205" i="4"/>
  <c r="DY191" i="4"/>
  <c r="EC191" i="4" s="1"/>
  <c r="DY86" i="4"/>
  <c r="EC86" i="4" s="1"/>
  <c r="FF86" i="4"/>
  <c r="FW86" i="4" s="1"/>
  <c r="DG86" i="4"/>
  <c r="DY53" i="4"/>
  <c r="EC53" i="4" s="1"/>
  <c r="FF53" i="4"/>
  <c r="FW53" i="4" s="1"/>
  <c r="DG53" i="4"/>
  <c r="FF47" i="4"/>
  <c r="FW47" i="4" s="1"/>
  <c r="DY47" i="4"/>
  <c r="EC47" i="4" s="1"/>
  <c r="DG47" i="4"/>
  <c r="FF37" i="4"/>
  <c r="FW37" i="4" s="1"/>
  <c r="DY37" i="4"/>
  <c r="EC37" i="4" s="1"/>
  <c r="DG37" i="4"/>
  <c r="AP45" i="5"/>
  <c r="BA52" i="5"/>
  <c r="AR52" i="5"/>
  <c r="BA63" i="5"/>
  <c r="AR63" i="5"/>
  <c r="AP51" i="5"/>
  <c r="BA58" i="5"/>
  <c r="AR58" i="5"/>
  <c r="AT42" i="5"/>
  <c r="AM55" i="5"/>
  <c r="AK149" i="5"/>
  <c r="AT52" i="5"/>
  <c r="AR54" i="5"/>
  <c r="BA54" i="5"/>
  <c r="AV56" i="5"/>
  <c r="AT195" i="5"/>
  <c r="AQ40" i="5"/>
  <c r="AD85" i="5"/>
  <c r="AZ40" i="5"/>
  <c r="BB41" i="5"/>
  <c r="AS41" i="5"/>
  <c r="AW42" i="5"/>
  <c r="AO43" i="5"/>
  <c r="AQ44" i="5"/>
  <c r="AZ44" i="5"/>
  <c r="AS45" i="5"/>
  <c r="BB45" i="5"/>
  <c r="AO46" i="5"/>
  <c r="AQ47" i="5"/>
  <c r="AZ47" i="5"/>
  <c r="AS48" i="5"/>
  <c r="BB48" i="5"/>
  <c r="AO49" i="5"/>
  <c r="AQ50" i="5"/>
  <c r="AZ50" i="5"/>
  <c r="AS51" i="5"/>
  <c r="BB51" i="5"/>
  <c r="AO52" i="5"/>
  <c r="AQ53" i="5"/>
  <c r="AZ53" i="5"/>
  <c r="AS54" i="5"/>
  <c r="BB54" i="5"/>
  <c r="AO55" i="5"/>
  <c r="AQ56" i="5"/>
  <c r="AZ56" i="5"/>
  <c r="AS57" i="5"/>
  <c r="BB57" i="5"/>
  <c r="AO58" i="5"/>
  <c r="AQ59" i="5"/>
  <c r="AZ59" i="5"/>
  <c r="AS60" i="5"/>
  <c r="BB60" i="5"/>
  <c r="AO61" i="5"/>
  <c r="AQ62" i="5"/>
  <c r="AZ62" i="5"/>
  <c r="AZ65" i="5"/>
  <c r="AQ65" i="5"/>
  <c r="AT91" i="5"/>
  <c r="BB146" i="5"/>
  <c r="AS146" i="5"/>
  <c r="AK46" i="5"/>
  <c r="AM47" i="5"/>
  <c r="AT48" i="5"/>
  <c r="AP49" i="5"/>
  <c r="AR50" i="5"/>
  <c r="BA50" i="5"/>
  <c r="AV52" i="5"/>
  <c r="AO63" i="5"/>
  <c r="AK65" i="5"/>
  <c r="AV193" i="5"/>
  <c r="AR200" i="5"/>
  <c r="BB40" i="5"/>
  <c r="AS40" i="5"/>
  <c r="AO41" i="5"/>
  <c r="AS42" i="5"/>
  <c r="BB42" i="5"/>
  <c r="AW43" i="5"/>
  <c r="AU45" i="5"/>
  <c r="AW46" i="5"/>
  <c r="AU48" i="5"/>
  <c r="AW49" i="5"/>
  <c r="AU51" i="5"/>
  <c r="AW52" i="5"/>
  <c r="AU54" i="5"/>
  <c r="AW55" i="5"/>
  <c r="AH57" i="5"/>
  <c r="AU57" i="5" s="1"/>
  <c r="AW58" i="5"/>
  <c r="AU60" i="5"/>
  <c r="AJ61" i="5"/>
  <c r="AW61" i="5" s="1"/>
  <c r="AL65" i="5"/>
  <c r="AK146" i="5"/>
  <c r="AS205" i="5"/>
  <c r="O312" i="5"/>
  <c r="AZ185" i="5"/>
  <c r="AZ312" i="5" s="1"/>
  <c r="AK192" i="5"/>
  <c r="AM193" i="5"/>
  <c r="AT194" i="5"/>
  <c r="AP195" i="5"/>
  <c r="AR196" i="5"/>
  <c r="AV198" i="5"/>
  <c r="AU91" i="5"/>
  <c r="AW92" i="5"/>
  <c r="AW146" i="5"/>
  <c r="AU148" i="5"/>
  <c r="AW149" i="5"/>
  <c r="AU151" i="5"/>
  <c r="AU185" i="5"/>
  <c r="AJ186" i="5"/>
  <c r="AW186" i="5" s="1"/>
  <c r="AU188" i="5"/>
  <c r="AW189" i="5"/>
  <c r="AH191" i="5"/>
  <c r="AU191" i="5" s="1"/>
  <c r="AW192" i="5"/>
  <c r="AW195" i="5"/>
  <c r="AU197" i="5"/>
  <c r="AW198" i="5"/>
  <c r="AU200" i="5"/>
  <c r="AW201" i="5"/>
  <c r="AV203" i="5"/>
  <c r="P399" i="5"/>
  <c r="AS366" i="5"/>
  <c r="BB366" i="5"/>
  <c r="AN64" i="5"/>
  <c r="AK91" i="5"/>
  <c r="AM92" i="5"/>
  <c r="AE154" i="5"/>
  <c r="AR146" i="5"/>
  <c r="BA146" i="5"/>
  <c r="AV148" i="5"/>
  <c r="AK191" i="5"/>
  <c r="AM192" i="5"/>
  <c r="AT193" i="5"/>
  <c r="AP194" i="5"/>
  <c r="AR195" i="5"/>
  <c r="AV197" i="5"/>
  <c r="AR203" i="5"/>
  <c r="AV205" i="5"/>
  <c r="AL324" i="5"/>
  <c r="AN328" i="5"/>
  <c r="AL330" i="5"/>
  <c r="AP332" i="5"/>
  <c r="AK334" i="5"/>
  <c r="AT325" i="5"/>
  <c r="AR327" i="5"/>
  <c r="BA327" i="5"/>
  <c r="AV329" i="5"/>
  <c r="AL351" i="5"/>
  <c r="AV334" i="5"/>
  <c r="AQ350" i="5"/>
  <c r="AZ350" i="5"/>
  <c r="BB361" i="5"/>
  <c r="AS361" i="5"/>
  <c r="AK331" i="5"/>
  <c r="AT332" i="5"/>
  <c r="AK319" i="5"/>
  <c r="AM320" i="5"/>
  <c r="AT321" i="5"/>
  <c r="AP322" i="5"/>
  <c r="BA323" i="5"/>
  <c r="AR323" i="5"/>
  <c r="AU324" i="5"/>
  <c r="AW325" i="5"/>
  <c r="AU327" i="5"/>
  <c r="AW328" i="5"/>
  <c r="AU330" i="5"/>
  <c r="AW331" i="5"/>
  <c r="AU332" i="5"/>
  <c r="AW333" i="5"/>
  <c r="AU335" i="5"/>
  <c r="AW336" i="5"/>
  <c r="AU338" i="5"/>
  <c r="AW342" i="5"/>
  <c r="AW352" i="5"/>
  <c r="AQ344" i="5"/>
  <c r="AZ344" i="5"/>
  <c r="AW353" i="5"/>
  <c r="AQ355" i="5"/>
  <c r="AZ355" i="5"/>
  <c r="AK337" i="5"/>
  <c r="AM338" i="5"/>
  <c r="AT339" i="5"/>
  <c r="AP340" i="5"/>
  <c r="AR341" i="5"/>
  <c r="BA341" i="5"/>
  <c r="AV343" i="5"/>
  <c r="AH349" i="5"/>
  <c r="AU349" i="5" s="1"/>
  <c r="AN358" i="5"/>
  <c r="AO361" i="5"/>
  <c r="AN344" i="5"/>
  <c r="AL352" i="5"/>
  <c r="AQ358" i="5"/>
  <c r="AZ358" i="5"/>
  <c r="BA361" i="5"/>
  <c r="AR361" i="5"/>
  <c r="AK366" i="5"/>
  <c r="AK348" i="5"/>
  <c r="AM349" i="5"/>
  <c r="AT350" i="5"/>
  <c r="AP351" i="5"/>
  <c r="BA352" i="5"/>
  <c r="AR352" i="5"/>
  <c r="AZ356" i="5"/>
  <c r="AQ356" i="5"/>
  <c r="AL365" i="5"/>
  <c r="AK369" i="5"/>
  <c r="AK352" i="5"/>
  <c r="AZ353" i="5"/>
  <c r="AQ353" i="5"/>
  <c r="AV354" i="5"/>
  <c r="AW365" i="5"/>
  <c r="AL368" i="5"/>
  <c r="AL358" i="5"/>
  <c r="AR362" i="5"/>
  <c r="BA362" i="5"/>
  <c r="AZ366" i="5"/>
  <c r="AQ366" i="5"/>
  <c r="BB356" i="5"/>
  <c r="AS356" i="5"/>
  <c r="AN361" i="5"/>
  <c r="AN363" i="5"/>
  <c r="AN369" i="5"/>
  <c r="AK359" i="5"/>
  <c r="AM360" i="5"/>
  <c r="AT361" i="5"/>
  <c r="BA363" i="5"/>
  <c r="AR363" i="5"/>
  <c r="AV365" i="5"/>
  <c r="AO373" i="5"/>
  <c r="BB375" i="5"/>
  <c r="AS375" i="5"/>
  <c r="AW377" i="5"/>
  <c r="AZ380" i="5"/>
  <c r="AQ380" i="5"/>
  <c r="AW371" i="5"/>
  <c r="AV364" i="5"/>
  <c r="AR373" i="5"/>
  <c r="BA373" i="5"/>
  <c r="AV375" i="5"/>
  <c r="AO383" i="5"/>
  <c r="AW387" i="5"/>
  <c r="AU360" i="5"/>
  <c r="AW361" i="5"/>
  <c r="AU363" i="5"/>
  <c r="AW364" i="5"/>
  <c r="AU366" i="5"/>
  <c r="AW367" i="5"/>
  <c r="AH369" i="5"/>
  <c r="AU369" i="5" s="1"/>
  <c r="AW370" i="5"/>
  <c r="AV372" i="5"/>
  <c r="AZ374" i="5"/>
  <c r="AQ374" i="5"/>
  <c r="AU376" i="5"/>
  <c r="AT385" i="5"/>
  <c r="AQ373" i="5"/>
  <c r="AZ373" i="5"/>
  <c r="BB374" i="5"/>
  <c r="AS374" i="5"/>
  <c r="AQ376" i="5"/>
  <c r="AZ376" i="5"/>
  <c r="BB377" i="5"/>
  <c r="AS377" i="5"/>
  <c r="AQ379" i="5"/>
  <c r="AZ379" i="5"/>
  <c r="AS380" i="5"/>
  <c r="BB380" i="5"/>
  <c r="AQ382" i="5"/>
  <c r="AZ382" i="5"/>
  <c r="AL387" i="5"/>
  <c r="AW388" i="5"/>
  <c r="AP378" i="5"/>
  <c r="AR379" i="5"/>
  <c r="BA379" i="5"/>
  <c r="AV381" i="5"/>
  <c r="AN386" i="5"/>
  <c r="AR394" i="5"/>
  <c r="BA394" i="5"/>
  <c r="AL384" i="5"/>
  <c r="AW385" i="5"/>
  <c r="AV386" i="5"/>
  <c r="AO389" i="5"/>
  <c r="AK377" i="5"/>
  <c r="AM378" i="5"/>
  <c r="AT379" i="5"/>
  <c r="AP380" i="5"/>
  <c r="BA381" i="5"/>
  <c r="AR381" i="5"/>
  <c r="AK385" i="5"/>
  <c r="AU387" i="5"/>
  <c r="AR393" i="5"/>
  <c r="BA393" i="5"/>
  <c r="AT383" i="5"/>
  <c r="AP384" i="5"/>
  <c r="AR385" i="5"/>
  <c r="BA385" i="5"/>
  <c r="AV387" i="5"/>
  <c r="BB394" i="5"/>
  <c r="AS394" i="5"/>
  <c r="BB395" i="5"/>
  <c r="AS395" i="5"/>
  <c r="AZ415" i="5"/>
  <c r="AQ415" i="5"/>
  <c r="BA392" i="5"/>
  <c r="AR392" i="5"/>
  <c r="AQ389" i="5"/>
  <c r="AZ389" i="5"/>
  <c r="AW394" i="5"/>
  <c r="AK412" i="5"/>
  <c r="BB390" i="5"/>
  <c r="AS390" i="5"/>
  <c r="AO391" i="5"/>
  <c r="AZ392" i="5"/>
  <c r="AQ392" i="5"/>
  <c r="AS393" i="5"/>
  <c r="BB393" i="5"/>
  <c r="AO394" i="5"/>
  <c r="AZ395" i="5"/>
  <c r="AQ395" i="5"/>
  <c r="AS396" i="5"/>
  <c r="BB396" i="5"/>
  <c r="AU410" i="5"/>
  <c r="AK397" i="5"/>
  <c r="AT412" i="5"/>
  <c r="AQ397" i="5"/>
  <c r="AZ397" i="5"/>
  <c r="AP409" i="5"/>
  <c r="AW410" i="5"/>
  <c r="AV415" i="5"/>
  <c r="AZ410" i="5"/>
  <c r="AQ410" i="5"/>
  <c r="AO413" i="5"/>
  <c r="AS415" i="5"/>
  <c r="BB415" i="5"/>
  <c r="AP418" i="5"/>
  <c r="AM419" i="5"/>
  <c r="AL420" i="5"/>
  <c r="AN421" i="5"/>
  <c r="DD76" i="4"/>
  <c r="DC76" i="4"/>
  <c r="DB76" i="4" s="1"/>
  <c r="DV78" i="4"/>
  <c r="DZ78" i="4" s="1"/>
  <c r="EA78" i="4"/>
  <c r="DU78" i="4"/>
  <c r="DD114" i="4"/>
  <c r="DC114" i="4"/>
  <c r="DD108" i="4"/>
  <c r="DC108" i="4"/>
  <c r="DG81" i="4"/>
  <c r="FF81" i="4"/>
  <c r="FW81" i="4" s="1"/>
  <c r="DY81" i="4"/>
  <c r="EC81" i="4" s="1"/>
  <c r="DG60" i="4"/>
  <c r="FF60" i="4"/>
  <c r="FW60" i="4" s="1"/>
  <c r="DY60" i="4"/>
  <c r="EC60" i="4" s="1"/>
  <c r="DD42" i="4"/>
  <c r="DC42" i="4"/>
  <c r="DB42" i="4" s="1"/>
  <c r="DG143" i="4"/>
  <c r="FF143" i="4"/>
  <c r="FW143" i="4" s="1"/>
  <c r="DY143" i="4"/>
  <c r="EC143" i="4" s="1"/>
  <c r="DY133" i="4"/>
  <c r="EC133" i="4" s="1"/>
  <c r="DY94" i="4"/>
  <c r="EC94" i="4" s="1"/>
  <c r="DG94" i="4"/>
  <c r="FF94" i="4"/>
  <c r="FW94" i="4" s="1"/>
  <c r="DY72" i="4"/>
  <c r="EC72" i="4" s="1"/>
  <c r="DG72" i="4"/>
  <c r="FF72" i="4"/>
  <c r="FW72" i="4" s="1"/>
  <c r="DY55" i="4"/>
  <c r="EC55" i="4" s="1"/>
  <c r="DG55" i="4"/>
  <c r="FF55" i="4"/>
  <c r="FW55" i="4" s="1"/>
  <c r="DY32" i="4"/>
  <c r="EC32" i="4" s="1"/>
  <c r="DD39" i="4"/>
  <c r="DC39" i="4"/>
  <c r="DD551" i="4"/>
  <c r="DC551" i="4"/>
  <c r="DB551" i="4" s="1"/>
  <c r="DD558" i="4"/>
  <c r="DC558" i="4"/>
  <c r="DD492" i="4"/>
  <c r="DC492" i="4"/>
  <c r="DY424" i="4"/>
  <c r="EC424" i="4" s="1"/>
  <c r="DG424" i="4"/>
  <c r="FF424" i="4"/>
  <c r="FW424" i="4" s="1"/>
  <c r="DC335" i="4"/>
  <c r="DD335" i="4"/>
  <c r="DD310" i="4"/>
  <c r="DC310" i="4"/>
  <c r="DB310" i="4" s="1"/>
  <c r="DG283" i="4"/>
  <c r="FF283" i="4"/>
  <c r="FW283" i="4" s="1"/>
  <c r="DY283" i="4"/>
  <c r="EC283" i="4" s="1"/>
  <c r="DD264" i="4"/>
  <c r="DC264" i="4"/>
  <c r="DY344" i="4"/>
  <c r="EC344" i="4" s="1"/>
  <c r="DY246" i="4"/>
  <c r="EC246" i="4" s="1"/>
  <c r="DY219" i="4"/>
  <c r="EC219" i="4" s="1"/>
  <c r="DG219" i="4"/>
  <c r="FF219" i="4"/>
  <c r="FW219" i="4" s="1"/>
  <c r="DY182" i="4"/>
  <c r="EC182" i="4" s="1"/>
  <c r="DG182" i="4"/>
  <c r="FF182" i="4"/>
  <c r="FW182" i="4" s="1"/>
  <c r="BA49" i="5"/>
  <c r="AR49" i="5"/>
  <c r="DD599" i="4"/>
  <c r="DC599" i="4"/>
  <c r="DD620" i="4"/>
  <c r="DC620" i="4"/>
  <c r="DB620" i="4" s="1"/>
  <c r="FF572" i="4"/>
  <c r="FW572" i="4" s="1"/>
  <c r="DY572" i="4"/>
  <c r="EC572" i="4" s="1"/>
  <c r="DG572" i="4"/>
  <c r="DG611" i="4"/>
  <c r="FF611" i="4"/>
  <c r="FW611" i="4" s="1"/>
  <c r="DY611" i="4"/>
  <c r="EC611" i="4" s="1"/>
  <c r="DD555" i="4"/>
  <c r="DC555" i="4"/>
  <c r="DD596" i="4"/>
  <c r="DC596" i="4"/>
  <c r="DD592" i="4"/>
  <c r="DC592" i="4"/>
  <c r="DB592" i="4" s="1"/>
  <c r="DD635" i="4"/>
  <c r="DC635" i="4"/>
  <c r="DD607" i="4"/>
  <c r="DC607" i="4"/>
  <c r="DY560" i="4"/>
  <c r="EC560" i="4" s="1"/>
  <c r="DG560" i="4"/>
  <c r="FF560" i="4"/>
  <c r="FW560" i="4" s="1"/>
  <c r="DY600" i="4"/>
  <c r="EC600" i="4" s="1"/>
  <c r="DD542" i="4"/>
  <c r="DC542" i="4"/>
  <c r="DB550" i="4"/>
  <c r="DC471" i="4"/>
  <c r="DB471" i="4" s="1"/>
  <c r="DD471" i="4"/>
  <c r="FF372" i="4"/>
  <c r="FW372" i="4" s="1"/>
  <c r="DY372" i="4"/>
  <c r="EC372" i="4" s="1"/>
  <c r="DG372" i="4"/>
  <c r="DD386" i="4"/>
  <c r="DC386" i="4"/>
  <c r="DB386" i="4" s="1"/>
  <c r="DY345" i="4"/>
  <c r="EC345" i="4" s="1"/>
  <c r="DG345" i="4"/>
  <c r="FF345" i="4"/>
  <c r="FW345" i="4" s="1"/>
  <c r="FF332" i="4"/>
  <c r="FW332" i="4" s="1"/>
  <c r="DY332" i="4"/>
  <c r="EC332" i="4" s="1"/>
  <c r="DG332" i="4"/>
  <c r="DD301" i="4"/>
  <c r="DC301" i="4"/>
  <c r="DD339" i="4"/>
  <c r="DC339" i="4"/>
  <c r="DD302" i="4"/>
  <c r="DC302" i="4"/>
  <c r="DB302" i="4" s="1"/>
  <c r="DD268" i="4"/>
  <c r="DC268" i="4"/>
  <c r="DG334" i="4"/>
  <c r="FF334" i="4"/>
  <c r="FW334" i="4" s="1"/>
  <c r="DY334" i="4"/>
  <c r="EC334" i="4" s="1"/>
  <c r="DY304" i="4"/>
  <c r="EC304" i="4" s="1"/>
  <c r="DG304" i="4"/>
  <c r="FF304" i="4"/>
  <c r="FW304" i="4" s="1"/>
  <c r="DD161" i="4"/>
  <c r="DC161" i="4"/>
  <c r="DD235" i="4"/>
  <c r="DC235" i="4"/>
  <c r="DB235" i="4" s="1"/>
  <c r="DD207" i="4"/>
  <c r="DC207" i="4"/>
  <c r="DD127" i="4"/>
  <c r="DC127" i="4"/>
  <c r="DB127" i="4" s="1"/>
  <c r="DD124" i="4"/>
  <c r="DC124" i="4"/>
  <c r="FF59" i="4"/>
  <c r="FW59" i="4" s="1"/>
  <c r="DY59" i="4"/>
  <c r="EC59" i="4" s="1"/>
  <c r="DG59" i="4"/>
  <c r="AM43" i="5"/>
  <c r="AP41" i="5"/>
  <c r="P85" i="5"/>
  <c r="AZ91" i="5"/>
  <c r="AQ91" i="5"/>
  <c r="AZ148" i="5"/>
  <c r="AQ148" i="5"/>
  <c r="AU150" i="5"/>
  <c r="AT49" i="5"/>
  <c r="AR51" i="5"/>
  <c r="BA51" i="5"/>
  <c r="AV53" i="5"/>
  <c r="AV90" i="5"/>
  <c r="AV147" i="5"/>
  <c r="BA151" i="5"/>
  <c r="AR151" i="5"/>
  <c r="AT186" i="5"/>
  <c r="AW40" i="5"/>
  <c r="AU43" i="5"/>
  <c r="AW44" i="5"/>
  <c r="AH46" i="5"/>
  <c r="AU46" i="5" s="1"/>
  <c r="AW50" i="5"/>
  <c r="AU52" i="5"/>
  <c r="AW56" i="5"/>
  <c r="AU58" i="5"/>
  <c r="AW59" i="5"/>
  <c r="AU61" i="5"/>
  <c r="AW62" i="5"/>
  <c r="AT151" i="5"/>
  <c r="AM42" i="5"/>
  <c r="AK43" i="5"/>
  <c r="AM44" i="5"/>
  <c r="AP46" i="5"/>
  <c r="AR47" i="5"/>
  <c r="BA47" i="5"/>
  <c r="AK61" i="5"/>
  <c r="AM62" i="5"/>
  <c r="BB65" i="5"/>
  <c r="AS65" i="5"/>
  <c r="AL148" i="5"/>
  <c r="AR191" i="5"/>
  <c r="AH41" i="5"/>
  <c r="AU41" i="5" s="1"/>
  <c r="AT65" i="5"/>
  <c r="AV146" i="5"/>
  <c r="AU206" i="5"/>
  <c r="P154" i="5"/>
  <c r="AL153" i="5"/>
  <c r="AK189" i="5"/>
  <c r="AM190" i="5"/>
  <c r="AP192" i="5"/>
  <c r="AR193" i="5"/>
  <c r="AV195" i="5"/>
  <c r="BB323" i="5"/>
  <c r="AS323" i="5"/>
  <c r="AZ63" i="5"/>
  <c r="AQ63" i="5"/>
  <c r="BB64" i="5"/>
  <c r="AS64" i="5"/>
  <c r="AO65" i="5"/>
  <c r="AT90" i="5"/>
  <c r="AP91" i="5"/>
  <c r="AR92" i="5"/>
  <c r="BA92" i="5"/>
  <c r="AK188" i="5"/>
  <c r="AM189" i="5"/>
  <c r="AT190" i="5"/>
  <c r="AP191" i="5"/>
  <c r="AR192" i="5"/>
  <c r="AV194" i="5"/>
  <c r="AP204" i="5"/>
  <c r="AN207" i="5"/>
  <c r="AZ322" i="5"/>
  <c r="AQ322" i="5"/>
  <c r="AZ324" i="5"/>
  <c r="AQ324" i="5"/>
  <c r="BB325" i="5"/>
  <c r="AS325" i="5"/>
  <c r="AZ327" i="5"/>
  <c r="AQ327" i="5"/>
  <c r="BB328" i="5"/>
  <c r="AS328" i="5"/>
  <c r="AZ330" i="5"/>
  <c r="AQ330" i="5"/>
  <c r="BB331" i="5"/>
  <c r="AS331" i="5"/>
  <c r="AO323" i="5"/>
  <c r="AR324" i="5"/>
  <c r="BA324" i="5"/>
  <c r="AV326" i="5"/>
  <c r="BB333" i="5"/>
  <c r="AS333" i="5"/>
  <c r="AT333" i="5"/>
  <c r="AS351" i="5"/>
  <c r="BB351" i="5"/>
  <c r="AK328" i="5"/>
  <c r="AT330" i="5"/>
  <c r="AK206" i="5"/>
  <c r="AM207" i="5"/>
  <c r="AP319" i="5"/>
  <c r="AR320" i="5"/>
  <c r="BA320" i="5"/>
  <c r="AV322" i="5"/>
  <c r="AZ360" i="5"/>
  <c r="AQ360" i="5"/>
  <c r="BA348" i="5"/>
  <c r="AR348" i="5"/>
  <c r="AR338" i="5"/>
  <c r="BA338" i="5"/>
  <c r="AV340" i="5"/>
  <c r="AS348" i="5"/>
  <c r="BB348" i="5"/>
  <c r="AZ351" i="5"/>
  <c r="AQ351" i="5"/>
  <c r="AS354" i="5"/>
  <c r="BB354" i="5"/>
  <c r="AN332" i="5"/>
  <c r="AL334" i="5"/>
  <c r="AN335" i="5"/>
  <c r="AL337" i="5"/>
  <c r="AN338" i="5"/>
  <c r="AL340" i="5"/>
  <c r="AN341" i="5"/>
  <c r="AL343" i="5"/>
  <c r="AV344" i="5"/>
  <c r="AQ346" i="5"/>
  <c r="AZ346" i="5"/>
  <c r="AT352" i="5"/>
  <c r="AK345" i="5"/>
  <c r="AM346" i="5"/>
  <c r="AT347" i="5"/>
  <c r="AP348" i="5"/>
  <c r="BA349" i="5"/>
  <c r="AR349" i="5"/>
  <c r="AV351" i="5"/>
  <c r="AK354" i="5"/>
  <c r="AL360" i="5"/>
  <c r="AT368" i="5"/>
  <c r="BB367" i="5"/>
  <c r="AS367" i="5"/>
  <c r="AK349" i="5"/>
  <c r="AM350" i="5"/>
  <c r="AT351" i="5"/>
  <c r="AP352" i="5"/>
  <c r="BA358" i="5"/>
  <c r="AR358" i="5"/>
  <c r="AN360" i="5"/>
  <c r="AV361" i="5"/>
  <c r="AQ365" i="5"/>
  <c r="AZ365" i="5"/>
  <c r="AK356" i="5"/>
  <c r="AM357" i="5"/>
  <c r="AT358" i="5"/>
  <c r="AP359" i="5"/>
  <c r="BA360" i="5"/>
  <c r="AR360" i="5"/>
  <c r="AV362" i="5"/>
  <c r="BA380" i="5"/>
  <c r="AR380" i="5"/>
  <c r="AJ380" i="5"/>
  <c r="AW380" i="5" s="1"/>
  <c r="AU372" i="5"/>
  <c r="AH375" i="5"/>
  <c r="AU375" i="5" s="1"/>
  <c r="BA387" i="5"/>
  <c r="AR387" i="5"/>
  <c r="AV378" i="5"/>
  <c r="AZ384" i="5"/>
  <c r="AQ384" i="5"/>
  <c r="AV385" i="5"/>
  <c r="AU386" i="5"/>
  <c r="BA384" i="5"/>
  <c r="AR384" i="5"/>
  <c r="AK374" i="5"/>
  <c r="AM375" i="5"/>
  <c r="AT376" i="5"/>
  <c r="AP377" i="5"/>
  <c r="BA378" i="5"/>
  <c r="AR378" i="5"/>
  <c r="AV380" i="5"/>
  <c r="AQ385" i="5"/>
  <c r="AZ385" i="5"/>
  <c r="AV384" i="5"/>
  <c r="AK391" i="5"/>
  <c r="AO392" i="5"/>
  <c r="AL396" i="5"/>
  <c r="AW389" i="5"/>
  <c r="AZ393" i="5"/>
  <c r="AQ393" i="5"/>
  <c r="AU391" i="5"/>
  <c r="AW392" i="5"/>
  <c r="AH394" i="5"/>
  <c r="AU394" i="5" s="1"/>
  <c r="AW395" i="5"/>
  <c r="BB413" i="5"/>
  <c r="AS413" i="5"/>
  <c r="AL418" i="5"/>
  <c r="AP397" i="5"/>
  <c r="AO409" i="5"/>
  <c r="AO410" i="5"/>
  <c r="AU411" i="5"/>
  <c r="AW397" i="5"/>
  <c r="AW409" i="5"/>
  <c r="AN414" i="5"/>
  <c r="AM417" i="5"/>
  <c r="AO419" i="5"/>
  <c r="AL409" i="5"/>
  <c r="AW414" i="5"/>
  <c r="AN410" i="5"/>
  <c r="AK411" i="5"/>
  <c r="AM412" i="5"/>
  <c r="AW413" i="5"/>
  <c r="AU419" i="5"/>
  <c r="AZ420" i="5"/>
  <c r="AQ420" i="5"/>
  <c r="BB421" i="5"/>
  <c r="AS421" i="5"/>
  <c r="AO422" i="5"/>
  <c r="AL416" i="5"/>
  <c r="AN417" i="5"/>
  <c r="AL419" i="5"/>
  <c r="AN420" i="5"/>
  <c r="AL422" i="5"/>
  <c r="DY233" i="4"/>
  <c r="EC233" i="4" s="1"/>
  <c r="DY188" i="4"/>
  <c r="EC188" i="4" s="1"/>
  <c r="DD143" i="4"/>
  <c r="DC143" i="4"/>
  <c r="DB143" i="4" s="1"/>
  <c r="DD117" i="4"/>
  <c r="DC117" i="4"/>
  <c r="DD73" i="4"/>
  <c r="DC73" i="4"/>
  <c r="DB73" i="4" s="1"/>
  <c r="DD56" i="4"/>
  <c r="DC56" i="4"/>
  <c r="DB56" i="4" s="1"/>
  <c r="DD70" i="4"/>
  <c r="DC70" i="4"/>
  <c r="FF122" i="4"/>
  <c r="FW122" i="4" s="1"/>
  <c r="DY122" i="4"/>
  <c r="EC122" i="4" s="1"/>
  <c r="DG122" i="4"/>
  <c r="DD86" i="4"/>
  <c r="DC86" i="4"/>
  <c r="DB86" i="4" s="1"/>
  <c r="DD59" i="4"/>
  <c r="DC59" i="4"/>
  <c r="DG48" i="4"/>
  <c r="FF48" i="4"/>
  <c r="FW48" i="4" s="1"/>
  <c r="DY48" i="4"/>
  <c r="EC48" i="4" s="1"/>
  <c r="DD87" i="4"/>
  <c r="DC87" i="4"/>
  <c r="FF129" i="4"/>
  <c r="FW129" i="4" s="1"/>
  <c r="DG129" i="4"/>
  <c r="DY129" i="4"/>
  <c r="EC129" i="4" s="1"/>
  <c r="DD93" i="4"/>
  <c r="DC93" i="4"/>
  <c r="DB93" i="4" s="1"/>
  <c r="DY65" i="4"/>
  <c r="EC65" i="4" s="1"/>
  <c r="DY54" i="4"/>
  <c r="EC54" i="4" s="1"/>
  <c r="DY40" i="4"/>
  <c r="EC40" i="4" s="1"/>
  <c r="DG40" i="4"/>
  <c r="FF40" i="4"/>
  <c r="FW40" i="4" s="1"/>
  <c r="FE642" i="4"/>
  <c r="DD33" i="4"/>
  <c r="DC33" i="4"/>
  <c r="DY230" i="4"/>
  <c r="EC230" i="4" s="1"/>
  <c r="DB142" i="4"/>
  <c r="DB52" i="4"/>
  <c r="DB113" i="4"/>
  <c r="DB82" i="4"/>
  <c r="DB128" i="4"/>
  <c r="CV78" i="4"/>
  <c r="DB40" i="4"/>
  <c r="DB107" i="4"/>
  <c r="DY612" i="4"/>
  <c r="EC612" i="4" s="1"/>
  <c r="DG612" i="4"/>
  <c r="FF612" i="4"/>
  <c r="FW612" i="4" s="1"/>
  <c r="DG626" i="4"/>
  <c r="FF626" i="4"/>
  <c r="FW626" i="4" s="1"/>
  <c r="DC609" i="4"/>
  <c r="DD609" i="4"/>
  <c r="FF567" i="4"/>
  <c r="FW567" i="4" s="1"/>
  <c r="DY567" i="4"/>
  <c r="EC567" i="4" s="1"/>
  <c r="DG567" i="4"/>
  <c r="DD563" i="4"/>
  <c r="DC563" i="4"/>
  <c r="DB563" i="4" s="1"/>
  <c r="DD482" i="4"/>
  <c r="DC482" i="4"/>
  <c r="DD508" i="4"/>
  <c r="DC508" i="4"/>
  <c r="DB508" i="4" s="1"/>
  <c r="DD451" i="4"/>
  <c r="DC451" i="4"/>
  <c r="DB451" i="4" s="1"/>
  <c r="DD428" i="4"/>
  <c r="DC428" i="4"/>
  <c r="DY376" i="4"/>
  <c r="EC376" i="4" s="1"/>
  <c r="DG376" i="4"/>
  <c r="FF376" i="4"/>
  <c r="FW376" i="4" s="1"/>
  <c r="DD361" i="4"/>
  <c r="DC361" i="4"/>
  <c r="DB361" i="4" s="1"/>
  <c r="DD327" i="4"/>
  <c r="DC327" i="4"/>
  <c r="DD276" i="4"/>
  <c r="DC276" i="4"/>
  <c r="DD273" i="4"/>
  <c r="DC273" i="4"/>
  <c r="DB273" i="4" s="1"/>
  <c r="DD195" i="4"/>
  <c r="DC195" i="4"/>
  <c r="BA43" i="5"/>
  <c r="AR43" i="5"/>
  <c r="BA331" i="5"/>
  <c r="AR331" i="5"/>
  <c r="FF558" i="4"/>
  <c r="FW558" i="4" s="1"/>
  <c r="DY558" i="4"/>
  <c r="EC558" i="4" s="1"/>
  <c r="DG558" i="4"/>
  <c r="DD623" i="4"/>
  <c r="DC623" i="4"/>
  <c r="DB623" i="4" s="1"/>
  <c r="DD614" i="4"/>
  <c r="DC614" i="4"/>
  <c r="DY609" i="4"/>
  <c r="EC609" i="4" s="1"/>
  <c r="DG609" i="4"/>
  <c r="FF609" i="4"/>
  <c r="FW609" i="4" s="1"/>
  <c r="DD576" i="4"/>
  <c r="DC576" i="4"/>
  <c r="DB576" i="4" s="1"/>
  <c r="DD571" i="4"/>
  <c r="DC571" i="4"/>
  <c r="DG625" i="4"/>
  <c r="FF625" i="4"/>
  <c r="FW625" i="4" s="1"/>
  <c r="DD572" i="4"/>
  <c r="DC572" i="4"/>
  <c r="DB572" i="4" s="1"/>
  <c r="DY506" i="4"/>
  <c r="EC506" i="4" s="1"/>
  <c r="DG506" i="4"/>
  <c r="FF506" i="4"/>
  <c r="FW506" i="4" s="1"/>
  <c r="DD466" i="4"/>
  <c r="DC466" i="4"/>
  <c r="DB466" i="4" s="1"/>
  <c r="DG534" i="4"/>
  <c r="FF534" i="4"/>
  <c r="FW534" i="4" s="1"/>
  <c r="DY534" i="4"/>
  <c r="EC534" i="4" s="1"/>
  <c r="DD516" i="4"/>
  <c r="DC516" i="4"/>
  <c r="DD500" i="4"/>
  <c r="DC500" i="4"/>
  <c r="DB500" i="4" s="1"/>
  <c r="DY449" i="4"/>
  <c r="EC449" i="4" s="1"/>
  <c r="DG449" i="4"/>
  <c r="FF449" i="4"/>
  <c r="FW449" i="4" s="1"/>
  <c r="DD420" i="4"/>
  <c r="DC420" i="4"/>
  <c r="DB420" i="4" s="1"/>
  <c r="DB481" i="4"/>
  <c r="DD413" i="4"/>
  <c r="DC413" i="4"/>
  <c r="DB479" i="4"/>
  <c r="DY458" i="4"/>
  <c r="EC458" i="4" s="1"/>
  <c r="DY418" i="4"/>
  <c r="EC418" i="4" s="1"/>
  <c r="DG418" i="4"/>
  <c r="FF418" i="4"/>
  <c r="FW418" i="4" s="1"/>
  <c r="DY434" i="4"/>
  <c r="EC434" i="4" s="1"/>
  <c r="DG434" i="4"/>
  <c r="FF434" i="4"/>
  <c r="FW434" i="4" s="1"/>
  <c r="DB438" i="4"/>
  <c r="DY377" i="4"/>
  <c r="EC377" i="4" s="1"/>
  <c r="DG377" i="4"/>
  <c r="FF377" i="4"/>
  <c r="FW377" i="4" s="1"/>
  <c r="DY355" i="4"/>
  <c r="EC355" i="4" s="1"/>
  <c r="DG355" i="4"/>
  <c r="FF355" i="4"/>
  <c r="FW355" i="4" s="1"/>
  <c r="DD377" i="4"/>
  <c r="DC377" i="4"/>
  <c r="DY395" i="4"/>
  <c r="EC395" i="4" s="1"/>
  <c r="DG395" i="4"/>
  <c r="FF395" i="4"/>
  <c r="FW395" i="4" s="1"/>
  <c r="DY357" i="4"/>
  <c r="EC357" i="4" s="1"/>
  <c r="DG357" i="4"/>
  <c r="FF357" i="4"/>
  <c r="FW357" i="4" s="1"/>
  <c r="FF268" i="4"/>
  <c r="FW268" i="4" s="1"/>
  <c r="DY268" i="4"/>
  <c r="EC268" i="4" s="1"/>
  <c r="DG268" i="4"/>
  <c r="DD278" i="4"/>
  <c r="DC278" i="4"/>
  <c r="DB278" i="4" s="1"/>
  <c r="DY293" i="4"/>
  <c r="EC293" i="4" s="1"/>
  <c r="DG293" i="4"/>
  <c r="FF293" i="4"/>
  <c r="FW293" i="4" s="1"/>
  <c r="DV278" i="4"/>
  <c r="EA278" i="4"/>
  <c r="DU278" i="4"/>
  <c r="DD223" i="4"/>
  <c r="DC223" i="4"/>
  <c r="DD236" i="4"/>
  <c r="DC236" i="4"/>
  <c r="DY212" i="4"/>
  <c r="EC212" i="4" s="1"/>
  <c r="DG212" i="4"/>
  <c r="FF212" i="4"/>
  <c r="FW212" i="4" s="1"/>
  <c r="DD203" i="4"/>
  <c r="DC203" i="4"/>
  <c r="DB203" i="4" s="1"/>
  <c r="DY160" i="4"/>
  <c r="EC160" i="4" s="1"/>
  <c r="DG160" i="4"/>
  <c r="FF160" i="4"/>
  <c r="FW160" i="4" s="1"/>
  <c r="FH642" i="4"/>
  <c r="AV65" i="5"/>
  <c r="AR147" i="5"/>
  <c r="BA147" i="5"/>
  <c r="DD589" i="4"/>
  <c r="DC589" i="4"/>
  <c r="DB589" i="4" s="1"/>
  <c r="DG592" i="4"/>
  <c r="FF592" i="4"/>
  <c r="FW592" i="4" s="1"/>
  <c r="DD619" i="4"/>
  <c r="DC619" i="4"/>
  <c r="DD624" i="4"/>
  <c r="DC624" i="4"/>
  <c r="DB624" i="4" s="1"/>
  <c r="DG584" i="4"/>
  <c r="DY584" i="4"/>
  <c r="EC584" i="4" s="1"/>
  <c r="FF584" i="4"/>
  <c r="FW584" i="4" s="1"/>
  <c r="DY555" i="4"/>
  <c r="EC555" i="4" s="1"/>
  <c r="DG555" i="4"/>
  <c r="FF555" i="4"/>
  <c r="FW555" i="4" s="1"/>
  <c r="DB621" i="4"/>
  <c r="DY588" i="4"/>
  <c r="EC588" i="4" s="1"/>
  <c r="DB639" i="4"/>
  <c r="DV605" i="4"/>
  <c r="EA605" i="4"/>
  <c r="DU605" i="4"/>
  <c r="DY589" i="4"/>
  <c r="EC589" i="4" s="1"/>
  <c r="DY585" i="4"/>
  <c r="EC585" i="4" s="1"/>
  <c r="DG578" i="4"/>
  <c r="FF578" i="4"/>
  <c r="FW578" i="4" s="1"/>
  <c r="DY578" i="4"/>
  <c r="EC578" i="4" s="1"/>
  <c r="DG552" i="4"/>
  <c r="FF552" i="4"/>
  <c r="FW552" i="4" s="1"/>
  <c r="DY552" i="4"/>
  <c r="EC552" i="4" s="1"/>
  <c r="DB637" i="4"/>
  <c r="DC625" i="4"/>
  <c r="DD625" i="4"/>
  <c r="DY620" i="4"/>
  <c r="EC620" i="4" s="1"/>
  <c r="DB611" i="4"/>
  <c r="DD590" i="4"/>
  <c r="DC590" i="4"/>
  <c r="DB590" i="4" s="1"/>
  <c r="DD567" i="4"/>
  <c r="DC567" i="4"/>
  <c r="DB567" i="4" s="1"/>
  <c r="DY615" i="4"/>
  <c r="EC615" i="4" s="1"/>
  <c r="DD578" i="4"/>
  <c r="DC578" i="4"/>
  <c r="DB577" i="4"/>
  <c r="DB544" i="4"/>
  <c r="DB539" i="4"/>
  <c r="DB532" i="4"/>
  <c r="DB564" i="4"/>
  <c r="DY487" i="4"/>
  <c r="EC487" i="4" s="1"/>
  <c r="DG487" i="4"/>
  <c r="FF487" i="4"/>
  <c r="FW487" i="4" s="1"/>
  <c r="DZ548" i="4"/>
  <c r="FF516" i="4"/>
  <c r="FW516" i="4" s="1"/>
  <c r="DY516" i="4"/>
  <c r="EC516" i="4" s="1"/>
  <c r="DG516" i="4"/>
  <c r="FF503" i="4"/>
  <c r="FW503" i="4" s="1"/>
  <c r="DY503" i="4"/>
  <c r="EC503" i="4" s="1"/>
  <c r="DG503" i="4"/>
  <c r="FF497" i="4"/>
  <c r="FW497" i="4" s="1"/>
  <c r="DY497" i="4"/>
  <c r="EC497" i="4" s="1"/>
  <c r="DG497" i="4"/>
  <c r="DB579" i="4"/>
  <c r="DD490" i="4"/>
  <c r="DC490" i="4"/>
  <c r="DB490" i="4" s="1"/>
  <c r="DB583" i="4"/>
  <c r="DB566" i="4"/>
  <c r="CW548" i="4"/>
  <c r="DD510" i="4"/>
  <c r="DC510" i="4"/>
  <c r="DD497" i="4"/>
  <c r="DC497" i="4"/>
  <c r="DB497" i="4" s="1"/>
  <c r="DD476" i="4"/>
  <c r="DC476" i="4"/>
  <c r="EC575" i="4"/>
  <c r="DB536" i="4"/>
  <c r="DD525" i="4"/>
  <c r="DC525" i="4"/>
  <c r="DB525" i="4" s="1"/>
  <c r="DY479" i="4"/>
  <c r="EC479" i="4" s="1"/>
  <c r="DG479" i="4"/>
  <c r="FF479" i="4"/>
  <c r="FW479" i="4" s="1"/>
  <c r="DB523" i="4"/>
  <c r="DY421" i="4"/>
  <c r="EC421" i="4" s="1"/>
  <c r="DG421" i="4"/>
  <c r="FF421" i="4"/>
  <c r="FW421" i="4" s="1"/>
  <c r="DY502" i="4"/>
  <c r="EC502" i="4" s="1"/>
  <c r="DB467" i="4"/>
  <c r="DD456" i="4"/>
  <c r="DC456" i="4"/>
  <c r="DB456" i="4" s="1"/>
  <c r="DY404" i="4"/>
  <c r="EC404" i="4" s="1"/>
  <c r="DG404" i="4"/>
  <c r="FF404" i="4"/>
  <c r="FW404" i="4" s="1"/>
  <c r="DG475" i="4"/>
  <c r="FF475" i="4"/>
  <c r="FW475" i="4" s="1"/>
  <c r="DY475" i="4"/>
  <c r="EC475" i="4" s="1"/>
  <c r="DD457" i="4"/>
  <c r="DC457" i="4"/>
  <c r="DB531" i="4"/>
  <c r="DB465" i="4"/>
  <c r="DD453" i="4"/>
  <c r="DC453" i="4"/>
  <c r="DB453" i="4" s="1"/>
  <c r="DY430" i="4"/>
  <c r="EC430" i="4" s="1"/>
  <c r="DG430" i="4"/>
  <c r="FF430" i="4"/>
  <c r="FW430" i="4" s="1"/>
  <c r="DY511" i="4"/>
  <c r="EC511" i="4" s="1"/>
  <c r="DY491" i="4"/>
  <c r="EC491" i="4" s="1"/>
  <c r="DY455" i="4"/>
  <c r="EC455" i="4" s="1"/>
  <c r="DG455" i="4"/>
  <c r="FF455" i="4"/>
  <c r="FW455" i="4" s="1"/>
  <c r="DY442" i="4"/>
  <c r="EC442" i="4" s="1"/>
  <c r="DG442" i="4"/>
  <c r="FF442" i="4"/>
  <c r="FW442" i="4" s="1"/>
  <c r="DY438" i="4"/>
  <c r="EC438" i="4" s="1"/>
  <c r="DG438" i="4"/>
  <c r="FF438" i="4"/>
  <c r="FW438" i="4" s="1"/>
  <c r="DD426" i="4"/>
  <c r="DC426" i="4"/>
  <c r="DB426" i="4" s="1"/>
  <c r="DB435" i="4"/>
  <c r="DB445" i="4"/>
  <c r="DB436" i="4"/>
  <c r="DG415" i="4"/>
  <c r="FF415" i="4"/>
  <c r="FW415" i="4" s="1"/>
  <c r="DY415" i="4"/>
  <c r="EC415" i="4" s="1"/>
  <c r="DB464" i="4"/>
  <c r="DB444" i="4"/>
  <c r="DB425" i="4"/>
  <c r="DD376" i="4"/>
  <c r="DC376" i="4"/>
  <c r="DY394" i="4"/>
  <c r="EC394" i="4" s="1"/>
  <c r="DG394" i="4"/>
  <c r="FF394" i="4"/>
  <c r="FW394" i="4" s="1"/>
  <c r="DD372" i="4"/>
  <c r="DC372" i="4"/>
  <c r="DY362" i="4"/>
  <c r="EC362" i="4" s="1"/>
  <c r="DG362" i="4"/>
  <c r="FF362" i="4"/>
  <c r="FW362" i="4" s="1"/>
  <c r="DD344" i="4"/>
  <c r="DC344" i="4"/>
  <c r="DB344" i="4" s="1"/>
  <c r="CW460" i="4"/>
  <c r="DG411" i="4"/>
  <c r="FF411" i="4"/>
  <c r="FW411" i="4" s="1"/>
  <c r="DY411" i="4"/>
  <c r="EC411" i="4" s="1"/>
  <c r="DD406" i="4"/>
  <c r="DC406" i="4"/>
  <c r="DB406" i="4" s="1"/>
  <c r="DD387" i="4"/>
  <c r="DC387" i="4"/>
  <c r="DD374" i="4"/>
  <c r="DC374" i="4"/>
  <c r="DD370" i="4"/>
  <c r="DC370" i="4"/>
  <c r="DB370" i="4" s="1"/>
  <c r="DD366" i="4"/>
  <c r="DC366" i="4"/>
  <c r="DY336" i="4"/>
  <c r="EC336" i="4" s="1"/>
  <c r="DG336" i="4"/>
  <c r="FF336" i="4"/>
  <c r="FW336" i="4" s="1"/>
  <c r="DB362" i="4"/>
  <c r="DY310" i="4"/>
  <c r="EC310" i="4" s="1"/>
  <c r="DG310" i="4"/>
  <c r="FF310" i="4"/>
  <c r="FW310" i="4" s="1"/>
  <c r="DB379" i="4"/>
  <c r="DD331" i="4"/>
  <c r="DC331" i="4"/>
  <c r="DB331" i="4" s="1"/>
  <c r="FF289" i="4"/>
  <c r="FW289" i="4" s="1"/>
  <c r="DY289" i="4"/>
  <c r="EC289" i="4" s="1"/>
  <c r="DG289" i="4"/>
  <c r="DB399" i="4"/>
  <c r="DB371" i="4"/>
  <c r="DG269" i="4"/>
  <c r="FF269" i="4"/>
  <c r="FW269" i="4" s="1"/>
  <c r="DY269" i="4"/>
  <c r="EC269" i="4" s="1"/>
  <c r="DB381" i="4"/>
  <c r="DY284" i="4"/>
  <c r="EC284" i="4" s="1"/>
  <c r="DG284" i="4"/>
  <c r="FF284" i="4"/>
  <c r="FW284" i="4" s="1"/>
  <c r="DY274" i="4"/>
  <c r="EC274" i="4" s="1"/>
  <c r="DG274" i="4"/>
  <c r="FF274" i="4"/>
  <c r="FW274" i="4" s="1"/>
  <c r="DY392" i="4"/>
  <c r="EC392" i="4" s="1"/>
  <c r="DD326" i="4"/>
  <c r="DC326" i="4"/>
  <c r="DB326" i="4" s="1"/>
  <c r="DD307" i="4"/>
  <c r="DC307" i="4"/>
  <c r="DD283" i="4"/>
  <c r="DC283" i="4"/>
  <c r="DD269" i="4"/>
  <c r="DC269" i="4"/>
  <c r="DB269" i="4" s="1"/>
  <c r="DD252" i="4"/>
  <c r="DC252" i="4"/>
  <c r="DY309" i="4"/>
  <c r="EC309" i="4" s="1"/>
  <c r="DY300" i="4"/>
  <c r="EC300" i="4" s="1"/>
  <c r="DB259" i="4"/>
  <c r="DY179" i="4"/>
  <c r="EC179" i="4" s="1"/>
  <c r="DG179" i="4"/>
  <c r="FF179" i="4"/>
  <c r="FW179" i="4" s="1"/>
  <c r="DY331" i="4"/>
  <c r="EC331" i="4" s="1"/>
  <c r="DB294" i="4"/>
  <c r="DD239" i="4"/>
  <c r="DC239" i="4"/>
  <c r="DB239" i="4" s="1"/>
  <c r="DD220" i="4"/>
  <c r="DC220" i="4"/>
  <c r="DD194" i="4"/>
  <c r="DC194" i="4"/>
  <c r="DG236" i="4"/>
  <c r="FF236" i="4"/>
  <c r="FW236" i="4" s="1"/>
  <c r="DY236" i="4"/>
  <c r="EC236" i="4" s="1"/>
  <c r="DD227" i="4"/>
  <c r="DC227" i="4"/>
  <c r="DB227" i="4" s="1"/>
  <c r="DD215" i="4"/>
  <c r="DC215" i="4"/>
  <c r="DB215" i="4" s="1"/>
  <c r="DD200" i="4"/>
  <c r="DC200" i="4"/>
  <c r="DD158" i="4"/>
  <c r="DC158" i="4"/>
  <c r="DB158" i="4" s="1"/>
  <c r="DY320" i="4"/>
  <c r="EC320" i="4" s="1"/>
  <c r="DD210" i="4"/>
  <c r="DC210" i="4"/>
  <c r="DB210" i="4" s="1"/>
  <c r="DD206" i="4"/>
  <c r="DC206" i="4"/>
  <c r="DY178" i="4"/>
  <c r="EC178" i="4" s="1"/>
  <c r="DG178" i="4"/>
  <c r="FF178" i="4"/>
  <c r="FW178" i="4" s="1"/>
  <c r="DY172" i="4"/>
  <c r="EC172" i="4" s="1"/>
  <c r="DG172" i="4"/>
  <c r="FF172" i="4"/>
  <c r="FW172" i="4" s="1"/>
  <c r="DD166" i="4"/>
  <c r="DC166" i="4"/>
  <c r="DY154" i="4"/>
  <c r="EC154" i="4" s="1"/>
  <c r="FF154" i="4"/>
  <c r="FW154" i="4" s="1"/>
  <c r="DG154" i="4"/>
  <c r="DY142" i="4"/>
  <c r="EC142" i="4" s="1"/>
  <c r="DG142" i="4"/>
  <c r="FF142" i="4"/>
  <c r="FW142" i="4" s="1"/>
  <c r="DB213" i="4"/>
  <c r="DB156" i="4"/>
  <c r="DY149" i="4"/>
  <c r="EC149" i="4" s="1"/>
  <c r="DB238" i="4"/>
  <c r="DY218" i="4"/>
  <c r="EC218" i="4" s="1"/>
  <c r="DY169" i="4"/>
  <c r="EC169" i="4" s="1"/>
  <c r="DZ124" i="4"/>
  <c r="DY124" i="4"/>
  <c r="EC124" i="4" s="1"/>
  <c r="DY105" i="4"/>
  <c r="EC105" i="4" s="1"/>
  <c r="DG105" i="4"/>
  <c r="FF105" i="4"/>
  <c r="FW105" i="4" s="1"/>
  <c r="FQ29" i="4"/>
  <c r="BA46" i="5"/>
  <c r="AR46" i="5"/>
  <c r="AP57" i="5"/>
  <c r="AM49" i="5"/>
  <c r="AV190" i="5"/>
  <c r="AR197" i="5"/>
  <c r="AM64" i="5"/>
  <c r="AD312" i="5"/>
  <c r="AQ185" i="5"/>
  <c r="AL191" i="5"/>
  <c r="AQ194" i="5"/>
  <c r="AM41" i="5"/>
  <c r="AT46" i="5"/>
  <c r="AR48" i="5"/>
  <c r="BA48" i="5"/>
  <c r="AV50" i="5"/>
  <c r="AM147" i="5"/>
  <c r="AP149" i="5"/>
  <c r="AP43" i="5"/>
  <c r="AR44" i="5"/>
  <c r="BA44" i="5"/>
  <c r="AV46" i="5"/>
  <c r="AK58" i="5"/>
  <c r="AM59" i="5"/>
  <c r="AT60" i="5"/>
  <c r="AP61" i="5"/>
  <c r="AR62" i="5"/>
  <c r="BA62" i="5"/>
  <c r="AW91" i="5"/>
  <c r="AT146" i="5"/>
  <c r="AW148" i="5"/>
  <c r="AO150" i="5"/>
  <c r="AN195" i="5"/>
  <c r="AS198" i="5"/>
  <c r="AN201" i="5"/>
  <c r="AL90" i="5"/>
  <c r="AL190" i="5"/>
  <c r="AN194" i="5"/>
  <c r="AP320" i="5"/>
  <c r="BA325" i="5"/>
  <c r="AR325" i="5"/>
  <c r="AK186" i="5"/>
  <c r="AM187" i="5"/>
  <c r="AT188" i="5"/>
  <c r="AP189" i="5"/>
  <c r="AR190" i="5"/>
  <c r="AV192" i="5"/>
  <c r="AQ206" i="5"/>
  <c r="BB320" i="5"/>
  <c r="AS320" i="5"/>
  <c r="BA328" i="5"/>
  <c r="AR328" i="5"/>
  <c r="AW63" i="5"/>
  <c r="AU65" i="5"/>
  <c r="AV91" i="5"/>
  <c r="AK185" i="5"/>
  <c r="AM186" i="5"/>
  <c r="AT187" i="5"/>
  <c r="AP188" i="5"/>
  <c r="AR189" i="5"/>
  <c r="AV191" i="5"/>
  <c r="AK203" i="5"/>
  <c r="AL206" i="5"/>
  <c r="AV207" i="5"/>
  <c r="AK320" i="5"/>
  <c r="AK321" i="5"/>
  <c r="AT323" i="5"/>
  <c r="AJ324" i="5"/>
  <c r="AW324" i="5" s="1"/>
  <c r="AU326" i="5"/>
  <c r="AW330" i="5"/>
  <c r="AK332" i="5"/>
  <c r="AH352" i="5"/>
  <c r="AU352" i="5" s="1"/>
  <c r="AL320" i="5"/>
  <c r="AN321" i="5"/>
  <c r="AL323" i="5"/>
  <c r="AK325" i="5"/>
  <c r="AM326" i="5"/>
  <c r="AT327" i="5"/>
  <c r="AP328" i="5"/>
  <c r="AR329" i="5"/>
  <c r="BA329" i="5"/>
  <c r="AV331" i="5"/>
  <c r="AO334" i="5"/>
  <c r="AR336" i="5"/>
  <c r="BA336" i="5"/>
  <c r="BA356" i="5"/>
  <c r="AR356" i="5"/>
  <c r="AM204" i="5"/>
  <c r="AT205" i="5"/>
  <c r="AP206" i="5"/>
  <c r="AR207" i="5"/>
  <c r="AV319" i="5"/>
  <c r="AR335" i="5"/>
  <c r="BA335" i="5"/>
  <c r="BA345" i="5"/>
  <c r="AR345" i="5"/>
  <c r="AO348" i="5"/>
  <c r="AK350" i="5"/>
  <c r="AH351" i="5"/>
  <c r="AU351" i="5" s="1"/>
  <c r="AL353" i="5"/>
  <c r="AR342" i="5"/>
  <c r="BA342" i="5"/>
  <c r="BB349" i="5"/>
  <c r="AS349" i="5"/>
  <c r="AO352" i="5"/>
  <c r="AK358" i="5"/>
  <c r="AH345" i="5"/>
  <c r="AU345" i="5" s="1"/>
  <c r="AR355" i="5"/>
  <c r="BA355" i="5"/>
  <c r="AJ357" i="5"/>
  <c r="AW357" i="5" s="1"/>
  <c r="AV337" i="5"/>
  <c r="AM359" i="5"/>
  <c r="AU362" i="5"/>
  <c r="BB332" i="5"/>
  <c r="AS332" i="5"/>
  <c r="AO333" i="5"/>
  <c r="AZ334" i="5"/>
  <c r="AQ334" i="5"/>
  <c r="BB335" i="5"/>
  <c r="AS335" i="5"/>
  <c r="AO336" i="5"/>
  <c r="AZ337" i="5"/>
  <c r="AQ337" i="5"/>
  <c r="BB338" i="5"/>
  <c r="AS338" i="5"/>
  <c r="AO339" i="5"/>
  <c r="AZ340" i="5"/>
  <c r="AQ340" i="5"/>
  <c r="BB341" i="5"/>
  <c r="AS341" i="5"/>
  <c r="AO342" i="5"/>
  <c r="AZ343" i="5"/>
  <c r="AQ343" i="5"/>
  <c r="AW349" i="5"/>
  <c r="AT354" i="5"/>
  <c r="AT344" i="5"/>
  <c r="AP345" i="5"/>
  <c r="BA346" i="5"/>
  <c r="AR346" i="5"/>
  <c r="AV348" i="5"/>
  <c r="AQ354" i="5"/>
  <c r="AZ354" i="5"/>
  <c r="AS358" i="5"/>
  <c r="BB358" i="5"/>
  <c r="AW363" i="5"/>
  <c r="AS369" i="5"/>
  <c r="BB369" i="5"/>
  <c r="AV366" i="5"/>
  <c r="AK346" i="5"/>
  <c r="AM347" i="5"/>
  <c r="AT348" i="5"/>
  <c r="AP349" i="5"/>
  <c r="BA350" i="5"/>
  <c r="AR350" i="5"/>
  <c r="AV352" i="5"/>
  <c r="AV357" i="5"/>
  <c r="BA359" i="5"/>
  <c r="AR359" i="5"/>
  <c r="AU361" i="5"/>
  <c r="AS363" i="5"/>
  <c r="BB363" i="5"/>
  <c r="AZ372" i="5"/>
  <c r="AQ372" i="5"/>
  <c r="AP361" i="5"/>
  <c r="AQ390" i="5"/>
  <c r="AZ390" i="5"/>
  <c r="AP358" i="5"/>
  <c r="AT360" i="5"/>
  <c r="AK353" i="5"/>
  <c r="AM354" i="5"/>
  <c r="AT355" i="5"/>
  <c r="AP356" i="5"/>
  <c r="BA357" i="5"/>
  <c r="AR357" i="5"/>
  <c r="AV359" i="5"/>
  <c r="AL374" i="5"/>
  <c r="AN378" i="5"/>
  <c r="BB381" i="5"/>
  <c r="AS381" i="5"/>
  <c r="AZ387" i="5"/>
  <c r="AQ387" i="5"/>
  <c r="AK370" i="5"/>
  <c r="AM371" i="5"/>
  <c r="AT372" i="5"/>
  <c r="BB378" i="5"/>
  <c r="AS378" i="5"/>
  <c r="AT393" i="5"/>
  <c r="AN375" i="5"/>
  <c r="AP383" i="5"/>
  <c r="AM386" i="5"/>
  <c r="AM389" i="5"/>
  <c r="AK388" i="5"/>
  <c r="AU392" i="5"/>
  <c r="AN373" i="5"/>
  <c r="AL375" i="5"/>
  <c r="AN376" i="5"/>
  <c r="AL378" i="5"/>
  <c r="AN379" i="5"/>
  <c r="AL381" i="5"/>
  <c r="AN382" i="5"/>
  <c r="AM383" i="5"/>
  <c r="AL388" i="5"/>
  <c r="AM390" i="5"/>
  <c r="AT373" i="5"/>
  <c r="AP374" i="5"/>
  <c r="AR375" i="5"/>
  <c r="BA375" i="5"/>
  <c r="AV377" i="5"/>
  <c r="AM384" i="5"/>
  <c r="AV391" i="5"/>
  <c r="AK394" i="5"/>
  <c r="BB409" i="5"/>
  <c r="AS409" i="5"/>
  <c r="AZ391" i="5"/>
  <c r="AQ391" i="5"/>
  <c r="AV392" i="5"/>
  <c r="AU393" i="5"/>
  <c r="AQ413" i="5"/>
  <c r="AZ413" i="5"/>
  <c r="BA413" i="5"/>
  <c r="AR413" i="5"/>
  <c r="BA416" i="5"/>
  <c r="AR416" i="5"/>
  <c r="BB391" i="5"/>
  <c r="AS391" i="5"/>
  <c r="BA396" i="5"/>
  <c r="AR396" i="5"/>
  <c r="BA411" i="5"/>
  <c r="AR411" i="5"/>
  <c r="AM392" i="5"/>
  <c r="AL412" i="5"/>
  <c r="AV418" i="5"/>
  <c r="AV397" i="5"/>
  <c r="AV409" i="5"/>
  <c r="AH415" i="5"/>
  <c r="AU415" i="5" s="1"/>
  <c r="AW417" i="5"/>
  <c r="AM397" i="5"/>
  <c r="AD465" i="5"/>
  <c r="AZ409" i="5"/>
  <c r="AO416" i="5"/>
  <c r="AZ418" i="5"/>
  <c r="AQ418" i="5"/>
  <c r="AS410" i="5"/>
  <c r="BB410" i="5"/>
  <c r="AP411" i="5"/>
  <c r="BA412" i="5"/>
  <c r="AR412" i="5"/>
  <c r="AZ417" i="5"/>
  <c r="AQ417" i="5"/>
  <c r="BB418" i="5"/>
  <c r="AS418" i="5"/>
  <c r="AJ420" i="5"/>
  <c r="AW420" i="5" s="1"/>
  <c r="AU422" i="5"/>
  <c r="AR420" i="5"/>
  <c r="BA420" i="5"/>
  <c r="AQ416" i="5"/>
  <c r="AZ416" i="5"/>
  <c r="AS417" i="5"/>
  <c r="BB417" i="5"/>
  <c r="AO418" i="5"/>
  <c r="AZ419" i="5"/>
  <c r="AQ419" i="5"/>
  <c r="BB420" i="5"/>
  <c r="AS420" i="5"/>
  <c r="AO421" i="5"/>
  <c r="AQ422" i="5"/>
  <c r="AZ422" i="5"/>
  <c r="DB221" i="4"/>
  <c r="DY163" i="4"/>
  <c r="EC163" i="4" s="1"/>
  <c r="FF71" i="4"/>
  <c r="FW71" i="4" s="1"/>
  <c r="DG71" i="4"/>
  <c r="DY71" i="4"/>
  <c r="EC71" i="4" s="1"/>
  <c r="DD53" i="4"/>
  <c r="DC53" i="4"/>
  <c r="DB53" i="4" s="1"/>
  <c r="DD36" i="4"/>
  <c r="DC36" i="4"/>
  <c r="DB36" i="4" s="1"/>
  <c r="DD60" i="4"/>
  <c r="DC60" i="4"/>
  <c r="DB178" i="4"/>
  <c r="DB160" i="4"/>
  <c r="DB144" i="4"/>
  <c r="DB137" i="4"/>
  <c r="DG112" i="4"/>
  <c r="FF112" i="4"/>
  <c r="FW112" i="4" s="1"/>
  <c r="DY112" i="4"/>
  <c r="EC112" i="4" s="1"/>
  <c r="DG106" i="4"/>
  <c r="FF106" i="4"/>
  <c r="FW106" i="4" s="1"/>
  <c r="DY106" i="4"/>
  <c r="EC106" i="4" s="1"/>
  <c r="DD47" i="4"/>
  <c r="DC47" i="4"/>
  <c r="DD43" i="4"/>
  <c r="DC43" i="4"/>
  <c r="DB43" i="4" s="1"/>
  <c r="DB231" i="4"/>
  <c r="DB153" i="4"/>
  <c r="DY97" i="4"/>
  <c r="EC97" i="4" s="1"/>
  <c r="DG97" i="4"/>
  <c r="FF97" i="4"/>
  <c r="FW97" i="4" s="1"/>
  <c r="DY80" i="4"/>
  <c r="EC80" i="4" s="1"/>
  <c r="DG80" i="4"/>
  <c r="FF80" i="4"/>
  <c r="FW80" i="4" s="1"/>
  <c r="DY75" i="4"/>
  <c r="EC75" i="4" s="1"/>
  <c r="DG75" i="4"/>
  <c r="FF75" i="4"/>
  <c r="FW75" i="4" s="1"/>
  <c r="DD71" i="4"/>
  <c r="DC71" i="4"/>
  <c r="DC38" i="4"/>
  <c r="DD38" i="4"/>
  <c r="DD115" i="4"/>
  <c r="DC115" i="4"/>
  <c r="DY220" i="4"/>
  <c r="EC220" i="4" s="1"/>
  <c r="DB181" i="4"/>
  <c r="DZ166" i="4"/>
  <c r="DB148" i="4"/>
  <c r="DG140" i="4"/>
  <c r="FF140" i="4"/>
  <c r="FW140" i="4" s="1"/>
  <c r="DY140" i="4"/>
  <c r="EC140" i="4" s="1"/>
  <c r="DB65" i="4"/>
  <c r="DB100" i="4"/>
  <c r="DB55" i="4"/>
  <c r="DB89" i="4"/>
  <c r="DB54" i="4"/>
  <c r="DB66" i="4"/>
  <c r="DB122" i="4"/>
  <c r="DB80" i="4"/>
  <c r="DB34" i="4"/>
  <c r="DD603" i="4"/>
  <c r="DC603" i="4"/>
  <c r="DV602" i="4"/>
  <c r="EA602" i="4"/>
  <c r="DU602" i="4"/>
  <c r="DD534" i="4"/>
  <c r="DC534" i="4"/>
  <c r="DD524" i="4"/>
  <c r="DC524" i="4"/>
  <c r="DB524" i="4" s="1"/>
  <c r="DD369" i="4"/>
  <c r="DC369" i="4"/>
  <c r="DB369" i="4" s="1"/>
  <c r="DD352" i="4"/>
  <c r="DC352" i="4"/>
  <c r="DY290" i="4"/>
  <c r="EC290" i="4" s="1"/>
  <c r="DG290" i="4"/>
  <c r="FF290" i="4"/>
  <c r="FW290" i="4" s="1"/>
  <c r="DD329" i="4"/>
  <c r="DC329" i="4"/>
  <c r="DB329" i="4" s="1"/>
  <c r="DD265" i="4"/>
  <c r="DC265" i="4"/>
  <c r="DD216" i="4"/>
  <c r="DC216" i="4"/>
  <c r="AR45" i="5"/>
  <c r="BA45" i="5"/>
  <c r="AZ64" i="5"/>
  <c r="AQ64" i="5"/>
  <c r="AD106" i="5"/>
  <c r="AZ90" i="5"/>
  <c r="AZ106" i="5" s="1"/>
  <c r="AQ90" i="5"/>
  <c r="AQ106" i="5" s="1"/>
  <c r="AQ175" i="5" s="1"/>
  <c r="G25" i="5" s="1"/>
  <c r="AZ147" i="5"/>
  <c r="AQ147" i="5"/>
  <c r="AS151" i="5"/>
  <c r="BB151" i="5"/>
  <c r="AW153" i="5"/>
  <c r="AP186" i="5"/>
  <c r="AK201" i="5"/>
  <c r="AM202" i="5"/>
  <c r="O399" i="5"/>
  <c r="BA185" i="5"/>
  <c r="BA312" i="5" s="1"/>
  <c r="P312" i="5"/>
  <c r="BA322" i="5"/>
  <c r="AR322" i="5"/>
  <c r="BA333" i="5"/>
  <c r="AR333" i="5"/>
  <c r="AZ332" i="5"/>
  <c r="AQ332" i="5"/>
  <c r="AL326" i="5"/>
  <c r="AR332" i="5"/>
  <c r="BA332" i="5"/>
  <c r="AQ320" i="5"/>
  <c r="AZ320" i="5"/>
  <c r="AS321" i="5"/>
  <c r="BB321" i="5"/>
  <c r="AQ323" i="5"/>
  <c r="AZ323" i="5"/>
  <c r="AR326" i="5"/>
  <c r="BA326" i="5"/>
  <c r="AZ345" i="5"/>
  <c r="AQ345" i="5"/>
  <c r="AS350" i="5"/>
  <c r="BB350" i="5"/>
  <c r="AS359" i="5"/>
  <c r="BB359" i="5"/>
  <c r="BA370" i="5"/>
  <c r="AR370" i="5"/>
  <c r="AN336" i="5"/>
  <c r="AS344" i="5"/>
  <c r="BB344" i="5"/>
  <c r="AQ347" i="5"/>
  <c r="AZ347" i="5"/>
  <c r="AW334" i="5"/>
  <c r="AW340" i="5"/>
  <c r="AH342" i="5"/>
  <c r="AU342" i="5" s="1"/>
  <c r="BA351" i="5"/>
  <c r="AR351" i="5"/>
  <c r="AH371" i="5"/>
  <c r="AU371" i="5" s="1"/>
  <c r="BA364" i="5"/>
  <c r="AR364" i="5"/>
  <c r="BA347" i="5"/>
  <c r="AR347" i="5"/>
  <c r="AZ363" i="5"/>
  <c r="AQ363" i="5"/>
  <c r="AZ369" i="5"/>
  <c r="AQ369" i="5"/>
  <c r="BA377" i="5"/>
  <c r="AR377" i="5"/>
  <c r="AR354" i="5"/>
  <c r="BA354" i="5"/>
  <c r="BA372" i="5"/>
  <c r="AR372" i="5"/>
  <c r="AK367" i="5"/>
  <c r="AR371" i="5"/>
  <c r="BA371" i="5"/>
  <c r="AR376" i="5"/>
  <c r="BA376" i="5"/>
  <c r="AS385" i="5"/>
  <c r="BB385" i="5"/>
  <c r="AZ377" i="5"/>
  <c r="AQ377" i="5"/>
  <c r="AS386" i="5"/>
  <c r="BB386" i="5"/>
  <c r="AZ394" i="5"/>
  <c r="AQ394" i="5"/>
  <c r="BA383" i="5"/>
  <c r="AR383" i="5"/>
  <c r="AZ388" i="5"/>
  <c r="AQ388" i="5"/>
  <c r="AR417" i="5"/>
  <c r="BA417" i="5"/>
  <c r="AS373" i="5"/>
  <c r="BB373" i="5"/>
  <c r="AQ375" i="5"/>
  <c r="AZ375" i="5"/>
  <c r="AS376" i="5"/>
  <c r="BB376" i="5"/>
  <c r="AQ378" i="5"/>
  <c r="AZ378" i="5"/>
  <c r="AS379" i="5"/>
  <c r="BB379" i="5"/>
  <c r="AQ381" i="5"/>
  <c r="AZ381" i="5"/>
  <c r="AS382" i="5"/>
  <c r="BB382" i="5"/>
  <c r="AS383" i="5"/>
  <c r="BB383" i="5"/>
  <c r="BB388" i="5"/>
  <c r="AS388" i="5"/>
  <c r="AV374" i="5"/>
  <c r="BB384" i="5"/>
  <c r="AS384" i="5"/>
  <c r="BA389" i="5"/>
  <c r="AR389" i="5"/>
  <c r="AL390" i="5"/>
  <c r="AK395" i="5"/>
  <c r="AW396" i="5"/>
  <c r="AR410" i="5"/>
  <c r="BA410" i="5"/>
  <c r="AK389" i="5"/>
  <c r="BB392" i="5"/>
  <c r="AS392" i="5"/>
  <c r="O465" i="5"/>
  <c r="BB412" i="5"/>
  <c r="AS412" i="5"/>
  <c r="BA397" i="5"/>
  <c r="AR397" i="5"/>
  <c r="AH409" i="5"/>
  <c r="AU409" i="5" s="1"/>
  <c r="AV411" i="5"/>
  <c r="AK413" i="5"/>
  <c r="AM414" i="5"/>
  <c r="AT415" i="5"/>
  <c r="AW416" i="5"/>
  <c r="AH418" i="5"/>
  <c r="AU418" i="5" s="1"/>
  <c r="AW419" i="5"/>
  <c r="AW422" i="5"/>
  <c r="AN419" i="5"/>
  <c r="AL421" i="5"/>
  <c r="AN422" i="5"/>
  <c r="DB190" i="4"/>
  <c r="DD98" i="4"/>
  <c r="DC98" i="4"/>
  <c r="DD68" i="4"/>
  <c r="DC68" i="4"/>
  <c r="DB68" i="4" s="1"/>
  <c r="DD45" i="4"/>
  <c r="DC45" i="4"/>
  <c r="DY239" i="4"/>
  <c r="EC239" i="4" s="1"/>
  <c r="DY199" i="4"/>
  <c r="EC199" i="4" s="1"/>
  <c r="DB157" i="4"/>
  <c r="FF130" i="4"/>
  <c r="FW130" i="4" s="1"/>
  <c r="DG130" i="4"/>
  <c r="DY130" i="4"/>
  <c r="EC130" i="4" s="1"/>
  <c r="DD120" i="4"/>
  <c r="DC120" i="4"/>
  <c r="DD111" i="4"/>
  <c r="DC111" i="4"/>
  <c r="DB111" i="4" s="1"/>
  <c r="DD105" i="4"/>
  <c r="DC105" i="4"/>
  <c r="DG84" i="4"/>
  <c r="FF84" i="4"/>
  <c r="FW84" i="4" s="1"/>
  <c r="DY84" i="4"/>
  <c r="EC84" i="4" s="1"/>
  <c r="DG70" i="4"/>
  <c r="FF70" i="4"/>
  <c r="FW70" i="4" s="1"/>
  <c r="DY70" i="4"/>
  <c r="EC70" i="4" s="1"/>
  <c r="DG33" i="4"/>
  <c r="FF33" i="4"/>
  <c r="FW33" i="4" s="1"/>
  <c r="DY33" i="4"/>
  <c r="EC33" i="4" s="1"/>
  <c r="DB237" i="4"/>
  <c r="DB211" i="4"/>
  <c r="DY194" i="4"/>
  <c r="EC194" i="4" s="1"/>
  <c r="DB170" i="4"/>
  <c r="DD134" i="4"/>
  <c r="DC134" i="4"/>
  <c r="DC129" i="4"/>
  <c r="DB129" i="4" s="1"/>
  <c r="DD129" i="4"/>
  <c r="DY100" i="4"/>
  <c r="EC100" i="4" s="1"/>
  <c r="DG100" i="4"/>
  <c r="FF100" i="4"/>
  <c r="FW100" i="4" s="1"/>
  <c r="DD74" i="4"/>
  <c r="DC74" i="4"/>
  <c r="DB74" i="4" s="1"/>
  <c r="DY223" i="4"/>
  <c r="EC223" i="4" s="1"/>
  <c r="EC89" i="4"/>
  <c r="DB91" i="4"/>
  <c r="CW78" i="4"/>
  <c r="DB32" i="4"/>
  <c r="DV618" i="4"/>
  <c r="EA618" i="4"/>
  <c r="DU618" i="4"/>
  <c r="DD452" i="4"/>
  <c r="DC452" i="4"/>
  <c r="DY441" i="4"/>
  <c r="EC441" i="4" s="1"/>
  <c r="DG441" i="4"/>
  <c r="FF441" i="4"/>
  <c r="FW441" i="4" s="1"/>
  <c r="DV461" i="4"/>
  <c r="DZ461" i="4" s="1"/>
  <c r="EA461" i="4"/>
  <c r="DU461" i="4"/>
  <c r="DY419" i="4"/>
  <c r="EC419" i="4" s="1"/>
  <c r="DG419" i="4"/>
  <c r="FF419" i="4"/>
  <c r="FW419" i="4" s="1"/>
  <c r="DD393" i="4"/>
  <c r="DC393" i="4"/>
  <c r="DB393" i="4" s="1"/>
  <c r="DD321" i="4"/>
  <c r="DC321" i="4"/>
  <c r="DD282" i="4"/>
  <c r="DC282" i="4"/>
  <c r="DY200" i="4"/>
  <c r="EC200" i="4" s="1"/>
  <c r="DG200" i="4"/>
  <c r="FF200" i="4"/>
  <c r="FW200" i="4" s="1"/>
  <c r="DY42" i="4"/>
  <c r="EC42" i="4" s="1"/>
  <c r="DG42" i="4"/>
  <c r="FF42" i="4"/>
  <c r="FW42" i="4" s="1"/>
  <c r="AS91" i="5"/>
  <c r="BB91" i="5"/>
  <c r="DG610" i="4"/>
  <c r="DY610" i="4"/>
  <c r="EC610" i="4" s="1"/>
  <c r="FF610" i="4"/>
  <c r="FW610" i="4" s="1"/>
  <c r="FF628" i="4"/>
  <c r="FW628" i="4" s="1"/>
  <c r="DG628" i="4"/>
  <c r="DD617" i="4"/>
  <c r="DC617" i="4"/>
  <c r="DD598" i="4"/>
  <c r="DC598" i="4"/>
  <c r="DB598" i="4" s="1"/>
  <c r="DD601" i="4"/>
  <c r="DC601" i="4"/>
  <c r="DD597" i="4"/>
  <c r="DC597" i="4"/>
  <c r="DY614" i="4"/>
  <c r="EC614" i="4" s="1"/>
  <c r="DC604" i="4"/>
  <c r="DB604" i="4" s="1"/>
  <c r="DD604" i="4"/>
  <c r="DY571" i="4"/>
  <c r="EC571" i="4" s="1"/>
  <c r="DG571" i="4"/>
  <c r="FF571" i="4"/>
  <c r="FW571" i="4" s="1"/>
  <c r="FF573" i="4"/>
  <c r="FW573" i="4" s="1"/>
  <c r="DY573" i="4"/>
  <c r="EC573" i="4" s="1"/>
  <c r="DG573" i="4"/>
  <c r="FF556" i="4"/>
  <c r="FW556" i="4" s="1"/>
  <c r="DY556" i="4"/>
  <c r="EC556" i="4" s="1"/>
  <c r="DG556" i="4"/>
  <c r="FF545" i="4"/>
  <c r="FW545" i="4" s="1"/>
  <c r="DY545" i="4"/>
  <c r="EC545" i="4" s="1"/>
  <c r="DG545" i="4"/>
  <c r="DD575" i="4"/>
  <c r="DC575" i="4"/>
  <c r="DB575" i="4" s="1"/>
  <c r="DD562" i="4"/>
  <c r="DC562" i="4"/>
  <c r="DY596" i="4"/>
  <c r="EC596" i="4" s="1"/>
  <c r="DY580" i="4"/>
  <c r="EC580" i="4" s="1"/>
  <c r="DD556" i="4"/>
  <c r="DC556" i="4"/>
  <c r="DB556" i="4" s="1"/>
  <c r="DD552" i="4"/>
  <c r="DC552" i="4"/>
  <c r="DB569" i="4"/>
  <c r="DB543" i="4"/>
  <c r="DB537" i="4"/>
  <c r="DY524" i="4"/>
  <c r="EC524" i="4" s="1"/>
  <c r="DG524" i="4"/>
  <c r="FF524" i="4"/>
  <c r="FW524" i="4" s="1"/>
  <c r="FF507" i="4"/>
  <c r="FW507" i="4" s="1"/>
  <c r="DG507" i="4"/>
  <c r="DY496" i="4"/>
  <c r="EC496" i="4" s="1"/>
  <c r="DG496" i="4"/>
  <c r="FF496" i="4"/>
  <c r="FW496" i="4" s="1"/>
  <c r="FF480" i="4"/>
  <c r="FW480" i="4" s="1"/>
  <c r="DG480" i="4"/>
  <c r="DY542" i="4"/>
  <c r="EC542" i="4" s="1"/>
  <c r="FF508" i="4"/>
  <c r="FW508" i="4" s="1"/>
  <c r="DY508" i="4"/>
  <c r="EC508" i="4" s="1"/>
  <c r="DG508" i="4"/>
  <c r="DD494" i="4"/>
  <c r="DC494" i="4"/>
  <c r="DB494" i="4" s="1"/>
  <c r="DB553" i="4"/>
  <c r="DD515" i="4"/>
  <c r="DC515" i="4"/>
  <c r="DB515" i="4" s="1"/>
  <c r="DD483" i="4"/>
  <c r="DC483" i="4"/>
  <c r="DB554" i="4"/>
  <c r="DD470" i="4"/>
  <c r="DC470" i="4"/>
  <c r="DD504" i="4"/>
  <c r="DC504" i="4"/>
  <c r="DY512" i="4"/>
  <c r="EC512" i="4" s="1"/>
  <c r="DB518" i="4"/>
  <c r="DB488" i="4"/>
  <c r="DG469" i="4"/>
  <c r="FF469" i="4"/>
  <c r="FW469" i="4" s="1"/>
  <c r="DY469" i="4"/>
  <c r="EC469" i="4" s="1"/>
  <c r="DY457" i="4"/>
  <c r="EC457" i="4" s="1"/>
  <c r="DG457" i="4"/>
  <c r="FF457" i="4"/>
  <c r="FW457" i="4" s="1"/>
  <c r="DD468" i="4"/>
  <c r="DC468" i="4"/>
  <c r="DB468" i="4" s="1"/>
  <c r="DD448" i="4"/>
  <c r="DC448" i="4"/>
  <c r="DB493" i="4"/>
  <c r="DD449" i="4"/>
  <c r="DC449" i="4"/>
  <c r="DB480" i="4"/>
  <c r="DD450" i="4"/>
  <c r="DC450" i="4"/>
  <c r="DD422" i="4"/>
  <c r="DC422" i="4"/>
  <c r="DD410" i="4"/>
  <c r="DC410" i="4"/>
  <c r="DB410" i="4" s="1"/>
  <c r="DB495" i="4"/>
  <c r="DB489" i="4"/>
  <c r="DY417" i="4"/>
  <c r="EC417" i="4" s="1"/>
  <c r="DY407" i="4"/>
  <c r="EC407" i="4" s="1"/>
  <c r="DG407" i="4"/>
  <c r="FF407" i="4"/>
  <c r="FW407" i="4" s="1"/>
  <c r="DB439" i="4"/>
  <c r="DB433" i="4"/>
  <c r="DB447" i="4"/>
  <c r="DZ416" i="4"/>
  <c r="DY416" i="4"/>
  <c r="EC416" i="4" s="1"/>
  <c r="DY385" i="4"/>
  <c r="EC385" i="4" s="1"/>
  <c r="DG385" i="4"/>
  <c r="FF385" i="4"/>
  <c r="FW385" i="4" s="1"/>
  <c r="DY369" i="4"/>
  <c r="EC369" i="4" s="1"/>
  <c r="DG369" i="4"/>
  <c r="FF369" i="4"/>
  <c r="FW369" i="4" s="1"/>
  <c r="DB411" i="4"/>
  <c r="CW461" i="4"/>
  <c r="DB432" i="4"/>
  <c r="DB403" i="4"/>
  <c r="DD365" i="4"/>
  <c r="DC365" i="4"/>
  <c r="DY397" i="4"/>
  <c r="EC397" i="4" s="1"/>
  <c r="DY382" i="4"/>
  <c r="EC382" i="4" s="1"/>
  <c r="DG382" i="4"/>
  <c r="FF382" i="4"/>
  <c r="FW382" i="4" s="1"/>
  <c r="DD402" i="4"/>
  <c r="DC402" i="4"/>
  <c r="DD373" i="4"/>
  <c r="DC373" i="4"/>
  <c r="DY354" i="4"/>
  <c r="EC354" i="4" s="1"/>
  <c r="DG354" i="4"/>
  <c r="FF354" i="4"/>
  <c r="FW354" i="4" s="1"/>
  <c r="DY350" i="4"/>
  <c r="EC350" i="4" s="1"/>
  <c r="DG350" i="4"/>
  <c r="FF350" i="4"/>
  <c r="FW350" i="4" s="1"/>
  <c r="DB409" i="4"/>
  <c r="DY306" i="4"/>
  <c r="EC306" i="4" s="1"/>
  <c r="DG306" i="4"/>
  <c r="FF306" i="4"/>
  <c r="FW306" i="4" s="1"/>
  <c r="DB378" i="4"/>
  <c r="DD320" i="4"/>
  <c r="DC320" i="4"/>
  <c r="DD309" i="4"/>
  <c r="DC309" i="4"/>
  <c r="FB271" i="4"/>
  <c r="FQ271" i="4" s="1"/>
  <c r="CW271" i="4"/>
  <c r="FF264" i="4"/>
  <c r="FW264" i="4" s="1"/>
  <c r="DY264" i="4"/>
  <c r="EC264" i="4" s="1"/>
  <c r="DG264" i="4"/>
  <c r="DD318" i="4"/>
  <c r="DC318" i="4"/>
  <c r="DB397" i="4"/>
  <c r="DB367" i="4"/>
  <c r="DD312" i="4"/>
  <c r="DC312" i="4"/>
  <c r="DB312" i="4" s="1"/>
  <c r="DD297" i="4"/>
  <c r="DC297" i="4"/>
  <c r="DD289" i="4"/>
  <c r="DC289" i="4"/>
  <c r="DD256" i="4"/>
  <c r="DC256" i="4"/>
  <c r="DB256" i="4" s="1"/>
  <c r="DB389" i="4"/>
  <c r="DY335" i="4"/>
  <c r="EC335" i="4" s="1"/>
  <c r="DY324" i="4"/>
  <c r="EC324" i="4" s="1"/>
  <c r="DG324" i="4"/>
  <c r="FF324" i="4"/>
  <c r="FW324" i="4" s="1"/>
  <c r="DY316" i="4"/>
  <c r="EC316" i="4" s="1"/>
  <c r="DG316" i="4"/>
  <c r="FF316" i="4"/>
  <c r="FW316" i="4" s="1"/>
  <c r="DY294" i="4"/>
  <c r="EC294" i="4" s="1"/>
  <c r="DG294" i="4"/>
  <c r="FF294" i="4"/>
  <c r="FW294" i="4" s="1"/>
  <c r="DD279" i="4"/>
  <c r="DC279" i="4"/>
  <c r="DY247" i="4"/>
  <c r="EC247" i="4" s="1"/>
  <c r="DG247" i="4"/>
  <c r="FF247" i="4"/>
  <c r="FW247" i="4" s="1"/>
  <c r="DB319" i="4"/>
  <c r="DD243" i="4"/>
  <c r="DC243" i="4"/>
  <c r="DY224" i="4"/>
  <c r="EC224" i="4" s="1"/>
  <c r="DG224" i="4"/>
  <c r="FF224" i="4"/>
  <c r="FW224" i="4" s="1"/>
  <c r="DB341" i="4"/>
  <c r="DY317" i="4"/>
  <c r="EC317" i="4" s="1"/>
  <c r="DB258" i="4"/>
  <c r="DY195" i="4"/>
  <c r="EC195" i="4" s="1"/>
  <c r="DG195" i="4"/>
  <c r="FF195" i="4"/>
  <c r="FW195" i="4" s="1"/>
  <c r="DY146" i="4"/>
  <c r="EC146" i="4" s="1"/>
  <c r="DG146" i="4"/>
  <c r="FF146" i="4"/>
  <c r="FW146" i="4" s="1"/>
  <c r="DD233" i="4"/>
  <c r="DC233" i="4"/>
  <c r="DB233" i="4" s="1"/>
  <c r="DD214" i="4"/>
  <c r="DC214" i="4"/>
  <c r="DD188" i="4"/>
  <c r="DC188" i="4"/>
  <c r="DD163" i="4"/>
  <c r="DC163" i="4"/>
  <c r="DB163" i="4" s="1"/>
  <c r="DB324" i="4"/>
  <c r="DB299" i="4"/>
  <c r="DY232" i="4"/>
  <c r="EC232" i="4" s="1"/>
  <c r="DZ232" i="4"/>
  <c r="DY221" i="4"/>
  <c r="EC221" i="4" s="1"/>
  <c r="DZ221" i="4"/>
  <c r="DD183" i="4"/>
  <c r="DC183" i="4"/>
  <c r="DD146" i="4"/>
  <c r="DC146" i="4"/>
  <c r="DD228" i="4"/>
  <c r="DC228" i="4"/>
  <c r="DB228" i="4" s="1"/>
  <c r="DD241" i="4"/>
  <c r="DC241" i="4"/>
  <c r="DD217" i="4"/>
  <c r="DC217" i="4"/>
  <c r="DY213" i="4"/>
  <c r="EC213" i="4" s="1"/>
  <c r="DG213" i="4"/>
  <c r="FF213" i="4"/>
  <c r="FW213" i="4" s="1"/>
  <c r="DY136" i="4"/>
  <c r="EC136" i="4" s="1"/>
  <c r="DG136" i="4"/>
  <c r="FF136" i="4"/>
  <c r="FW136" i="4" s="1"/>
  <c r="DB242" i="4"/>
  <c r="DB212" i="4"/>
  <c r="DD130" i="4"/>
  <c r="DC130" i="4"/>
  <c r="DD78" i="4"/>
  <c r="DC78" i="4"/>
  <c r="FC642" i="4"/>
  <c r="DB171" i="4"/>
  <c r="DY118" i="4"/>
  <c r="EC118" i="4" s="1"/>
  <c r="DG118" i="4"/>
  <c r="FF118" i="4"/>
  <c r="FW118" i="4" s="1"/>
  <c r="FF62" i="4"/>
  <c r="FW62" i="4" s="1"/>
  <c r="DY62" i="4"/>
  <c r="EC62" i="4" s="1"/>
  <c r="DG62" i="4"/>
  <c r="CO642" i="4"/>
  <c r="CQ642" i="4" s="1"/>
  <c r="AK92" i="5"/>
  <c r="AM58" i="5"/>
  <c r="AM46" i="5"/>
  <c r="AR150" i="5"/>
  <c r="BA150" i="5"/>
  <c r="AT198" i="5"/>
  <c r="AW41" i="5"/>
  <c r="BB43" i="5"/>
  <c r="AS43" i="5"/>
  <c r="AZ45" i="5"/>
  <c r="AQ45" i="5"/>
  <c r="BB46" i="5"/>
  <c r="AS46" i="5"/>
  <c r="AZ48" i="5"/>
  <c r="AQ48" i="5"/>
  <c r="BB49" i="5"/>
  <c r="AS49" i="5"/>
  <c r="AO50" i="5"/>
  <c r="AZ51" i="5"/>
  <c r="AQ51" i="5"/>
  <c r="BB52" i="5"/>
  <c r="AS52" i="5"/>
  <c r="AZ54" i="5"/>
  <c r="AQ54" i="5"/>
  <c r="BB55" i="5"/>
  <c r="AS55" i="5"/>
  <c r="AO56" i="5"/>
  <c r="AZ57" i="5"/>
  <c r="AQ57" i="5"/>
  <c r="BB58" i="5"/>
  <c r="AS58" i="5"/>
  <c r="AZ60" i="5"/>
  <c r="AQ60" i="5"/>
  <c r="BB61" i="5"/>
  <c r="AS61" i="5"/>
  <c r="BB63" i="5"/>
  <c r="AS63" i="5"/>
  <c r="AU90" i="5"/>
  <c r="AH147" i="5"/>
  <c r="AU147" i="5" s="1"/>
  <c r="AZ151" i="5"/>
  <c r="AQ151" i="5"/>
  <c r="AV44" i="5"/>
  <c r="AK56" i="5"/>
  <c r="AG58" i="5"/>
  <c r="AT58" i="5" s="1"/>
  <c r="AR60" i="5"/>
  <c r="BA60" i="5"/>
  <c r="AV62" i="5"/>
  <c r="BA91" i="5"/>
  <c r="AR91" i="5"/>
  <c r="AP146" i="5"/>
  <c r="BA148" i="5"/>
  <c r="AR148" i="5"/>
  <c r="AV150" i="5"/>
  <c r="AV187" i="5"/>
  <c r="AR194" i="5"/>
  <c r="AL42" i="5"/>
  <c r="AM150" i="5"/>
  <c r="AR40" i="5"/>
  <c r="AE85" i="5"/>
  <c r="BA40" i="5"/>
  <c r="AK52" i="5"/>
  <c r="AM53" i="5"/>
  <c r="AT54" i="5"/>
  <c r="AP55" i="5"/>
  <c r="AR56" i="5"/>
  <c r="BA56" i="5"/>
  <c r="AV58" i="5"/>
  <c r="P106" i="5"/>
  <c r="AL151" i="5"/>
  <c r="AL43" i="5"/>
  <c r="AN44" i="5"/>
  <c r="AL46" i="5"/>
  <c r="AN47" i="5"/>
  <c r="AL49" i="5"/>
  <c r="AN50" i="5"/>
  <c r="AL52" i="5"/>
  <c r="AN53" i="5"/>
  <c r="AL55" i="5"/>
  <c r="AN56" i="5"/>
  <c r="AL58" i="5"/>
  <c r="AN59" i="5"/>
  <c r="AL61" i="5"/>
  <c r="AN62" i="5"/>
  <c r="AT92" i="5"/>
  <c r="AH153" i="5"/>
  <c r="AU153" i="5" s="1"/>
  <c r="AO196" i="5"/>
  <c r="AS322" i="5"/>
  <c r="BB322" i="5"/>
  <c r="AV202" i="5"/>
  <c r="AW206" i="5"/>
  <c r="AS319" i="5"/>
  <c r="BB319" i="5"/>
  <c r="AR334" i="5"/>
  <c r="BA334" i="5"/>
  <c r="AT63" i="5"/>
  <c r="AR65" i="5"/>
  <c r="BA65" i="5"/>
  <c r="AH146" i="5"/>
  <c r="AU146" i="5" s="1"/>
  <c r="AW147" i="5"/>
  <c r="AH149" i="5"/>
  <c r="AU149" i="5" s="1"/>
  <c r="AW196" i="5"/>
  <c r="AU198" i="5"/>
  <c r="AV186" i="5"/>
  <c r="AK198" i="5"/>
  <c r="AM199" i="5"/>
  <c r="AT200" i="5"/>
  <c r="AP201" i="5"/>
  <c r="AR202" i="5"/>
  <c r="AL319" i="5"/>
  <c r="BA337" i="5"/>
  <c r="AR337" i="5"/>
  <c r="AN90" i="5"/>
  <c r="AL92" i="5"/>
  <c r="AL146" i="5"/>
  <c r="AN147" i="5"/>
  <c r="AL149" i="5"/>
  <c r="AN150" i="5"/>
  <c r="AM153" i="5"/>
  <c r="AL186" i="5"/>
  <c r="AN187" i="5"/>
  <c r="AL189" i="5"/>
  <c r="AN190" i="5"/>
  <c r="AL192" i="5"/>
  <c r="AN193" i="5"/>
  <c r="AL195" i="5"/>
  <c r="AN196" i="5"/>
  <c r="AL198" i="5"/>
  <c r="AN199" i="5"/>
  <c r="AL201" i="5"/>
  <c r="AN202" i="5"/>
  <c r="AW204" i="5"/>
  <c r="AH207" i="5"/>
  <c r="AU207" i="5" s="1"/>
  <c r="O106" i="5"/>
  <c r="AK148" i="5"/>
  <c r="AM149" i="5"/>
  <c r="AT150" i="5"/>
  <c r="AP151" i="5"/>
  <c r="AS153" i="5"/>
  <c r="BB153" i="5"/>
  <c r="AV185" i="5"/>
  <c r="AK197" i="5"/>
  <c r="AM198" i="5"/>
  <c r="AT199" i="5"/>
  <c r="AP200" i="5"/>
  <c r="AR201" i="5"/>
  <c r="AJ203" i="5"/>
  <c r="AW203" i="5" s="1"/>
  <c r="AK205" i="5"/>
  <c r="AM206" i="5"/>
  <c r="AT207" i="5"/>
  <c r="AE399" i="5"/>
  <c r="BA319" i="5"/>
  <c r="AR319" i="5"/>
  <c r="AV321" i="5"/>
  <c r="AK329" i="5"/>
  <c r="AT331" i="5"/>
  <c r="AS357" i="5"/>
  <c r="BB357" i="5"/>
  <c r="AM321" i="5"/>
  <c r="AT322" i="5"/>
  <c r="AP323" i="5"/>
  <c r="AS324" i="5"/>
  <c r="BB324" i="5"/>
  <c r="AO325" i="5"/>
  <c r="AQ326" i="5"/>
  <c r="AZ326" i="5"/>
  <c r="AS327" i="5"/>
  <c r="BB327" i="5"/>
  <c r="AO328" i="5"/>
  <c r="AQ329" i="5"/>
  <c r="AZ329" i="5"/>
  <c r="AS330" i="5"/>
  <c r="BB330" i="5"/>
  <c r="AO331" i="5"/>
  <c r="AU319" i="5"/>
  <c r="AW320" i="5"/>
  <c r="AU322" i="5"/>
  <c r="AW323" i="5"/>
  <c r="AV325" i="5"/>
  <c r="AN333" i="5"/>
  <c r="AM337" i="5"/>
  <c r="BA340" i="5"/>
  <c r="AR340" i="5"/>
  <c r="BB346" i="5"/>
  <c r="AS346" i="5"/>
  <c r="AL325" i="5"/>
  <c r="AN326" i="5"/>
  <c r="AL328" i="5"/>
  <c r="AN329" i="5"/>
  <c r="AL331" i="5"/>
  <c r="AL333" i="5"/>
  <c r="AN334" i="5"/>
  <c r="AL336" i="5"/>
  <c r="AN340" i="5"/>
  <c r="AL342" i="5"/>
  <c r="AP344" i="5"/>
  <c r="AN347" i="5"/>
  <c r="AO355" i="5"/>
  <c r="AS345" i="5"/>
  <c r="BB345" i="5"/>
  <c r="AZ348" i="5"/>
  <c r="AQ348" i="5"/>
  <c r="AN351" i="5"/>
  <c r="AW359" i="5"/>
  <c r="AZ362" i="5"/>
  <c r="AQ362" i="5"/>
  <c r="BB336" i="5"/>
  <c r="AS336" i="5"/>
  <c r="AO337" i="5"/>
  <c r="AQ338" i="5"/>
  <c r="AZ338" i="5"/>
  <c r="AS339" i="5"/>
  <c r="BB339" i="5"/>
  <c r="AO340" i="5"/>
  <c r="AQ341" i="5"/>
  <c r="AZ341" i="5"/>
  <c r="AS342" i="5"/>
  <c r="BB342" i="5"/>
  <c r="AO343" i="5"/>
  <c r="AL349" i="5"/>
  <c r="AQ352" i="5"/>
  <c r="AZ352" i="5"/>
  <c r="AP354" i="5"/>
  <c r="AL356" i="5"/>
  <c r="AK343" i="5"/>
  <c r="AS355" i="5"/>
  <c r="BB355" i="5"/>
  <c r="AO345" i="5"/>
  <c r="AK347" i="5"/>
  <c r="AU348" i="5"/>
  <c r="AK360" i="5"/>
  <c r="AV363" i="5"/>
  <c r="BB353" i="5"/>
  <c r="AS353" i="5"/>
  <c r="AP357" i="5"/>
  <c r="AM361" i="5"/>
  <c r="BB370" i="5"/>
  <c r="AS370" i="5"/>
  <c r="BA344" i="5"/>
  <c r="AR344" i="5"/>
  <c r="AV346" i="5"/>
  <c r="AW356" i="5"/>
  <c r="AL362" i="5"/>
  <c r="BB364" i="5"/>
  <c r="AS364" i="5"/>
  <c r="AO370" i="5"/>
  <c r="AQ357" i="5"/>
  <c r="AZ357" i="5"/>
  <c r="AO362" i="5"/>
  <c r="AU364" i="5"/>
  <c r="AQ368" i="5"/>
  <c r="AZ368" i="5"/>
  <c r="AH370" i="5"/>
  <c r="AU370" i="5" s="1"/>
  <c r="AV353" i="5"/>
  <c r="AT367" i="5"/>
  <c r="AR369" i="5"/>
  <c r="BA369" i="5"/>
  <c r="AV371" i="5"/>
  <c r="AO379" i="5"/>
  <c r="AN372" i="5"/>
  <c r="AK364" i="5"/>
  <c r="AM365" i="5"/>
  <c r="AT366" i="5"/>
  <c r="AP367" i="5"/>
  <c r="AR368" i="5"/>
  <c r="BA368" i="5"/>
  <c r="AV370" i="5"/>
  <c r="AK386" i="5"/>
  <c r="BB389" i="5"/>
  <c r="AS389" i="5"/>
  <c r="AL361" i="5"/>
  <c r="AN362" i="5"/>
  <c r="AL364" i="5"/>
  <c r="AN365" i="5"/>
  <c r="AL367" i="5"/>
  <c r="AN368" i="5"/>
  <c r="AL370" i="5"/>
  <c r="AN371" i="5"/>
  <c r="AK381" i="5"/>
  <c r="AM382" i="5"/>
  <c r="AM393" i="5"/>
  <c r="AW372" i="5"/>
  <c r="AU374" i="5"/>
  <c r="AW375" i="5"/>
  <c r="AH377" i="5"/>
  <c r="AU377" i="5" s="1"/>
  <c r="AW378" i="5"/>
  <c r="AU380" i="5"/>
  <c r="AW381" i="5"/>
  <c r="AR391" i="5"/>
  <c r="BA391" i="5"/>
  <c r="AN383" i="5"/>
  <c r="AN392" i="5"/>
  <c r="AK387" i="5"/>
  <c r="AM388" i="5"/>
  <c r="AR390" i="5"/>
  <c r="BA390" i="5"/>
  <c r="BA395" i="5"/>
  <c r="AR395" i="5"/>
  <c r="AR421" i="5"/>
  <c r="BA421" i="5"/>
  <c r="AZ396" i="5"/>
  <c r="AQ396" i="5"/>
  <c r="AQ414" i="5"/>
  <c r="AZ414" i="5"/>
  <c r="AP389" i="5"/>
  <c r="BA418" i="5"/>
  <c r="AR418" i="5"/>
  <c r="AN391" i="5"/>
  <c r="AM396" i="5"/>
  <c r="AR415" i="5"/>
  <c r="BA415" i="5"/>
  <c r="AO411" i="5"/>
  <c r="AH413" i="5"/>
  <c r="AU413" i="5" s="1"/>
  <c r="AQ411" i="5"/>
  <c r="AZ411" i="5"/>
  <c r="AV412" i="5"/>
  <c r="AO415" i="5"/>
  <c r="BB416" i="5"/>
  <c r="AS416" i="5"/>
  <c r="AH417" i="5"/>
  <c r="AU417" i="5" s="1"/>
  <c r="AP413" i="5"/>
  <c r="BA414" i="5"/>
  <c r="AR414" i="5"/>
  <c r="AR422" i="5"/>
  <c r="BA422" i="5"/>
  <c r="BB419" i="5"/>
  <c r="AS419" i="5"/>
  <c r="AO420" i="5"/>
  <c r="AZ421" i="5"/>
  <c r="AQ421" i="5"/>
  <c r="BB422" i="5"/>
  <c r="AS422" i="5"/>
  <c r="DD95" i="4"/>
  <c r="DC95" i="4"/>
  <c r="DB95" i="4" s="1"/>
  <c r="DD64" i="4"/>
  <c r="DC64" i="4"/>
  <c r="DB64" i="4" s="1"/>
  <c r="DD37" i="4"/>
  <c r="DC37" i="4"/>
  <c r="DY185" i="4"/>
  <c r="EC185" i="4" s="1"/>
  <c r="DD140" i="4"/>
  <c r="DC140" i="4"/>
  <c r="DD118" i="4"/>
  <c r="DC118" i="4"/>
  <c r="DB118" i="4" s="1"/>
  <c r="DD83" i="4"/>
  <c r="DC83" i="4"/>
  <c r="DB83" i="4" s="1"/>
  <c r="DD62" i="4"/>
  <c r="DC62" i="4"/>
  <c r="DG51" i="4"/>
  <c r="FF51" i="4"/>
  <c r="FW51" i="4" s="1"/>
  <c r="DY51" i="4"/>
  <c r="EC51" i="4" s="1"/>
  <c r="DG45" i="4"/>
  <c r="FF45" i="4"/>
  <c r="FW45" i="4" s="1"/>
  <c r="DY45" i="4"/>
  <c r="EC45" i="4" s="1"/>
  <c r="DC31" i="4"/>
  <c r="DD31" i="4"/>
  <c r="DY127" i="4"/>
  <c r="EC127" i="4" s="1"/>
  <c r="DY103" i="4"/>
  <c r="EC103" i="4" s="1"/>
  <c r="DG103" i="4"/>
  <c r="FF103" i="4"/>
  <c r="FW103" i="4" s="1"/>
  <c r="DD99" i="4"/>
  <c r="DC99" i="4"/>
  <c r="DB99" i="4" s="1"/>
  <c r="DY91" i="4"/>
  <c r="EC91" i="4" s="1"/>
  <c r="DG91" i="4"/>
  <c r="FF91" i="4"/>
  <c r="FW91" i="4" s="1"/>
  <c r="DD79" i="4"/>
  <c r="DC79" i="4"/>
  <c r="DB79" i="4" s="1"/>
  <c r="DY57" i="4"/>
  <c r="EC57" i="4" s="1"/>
  <c r="DD51" i="4"/>
  <c r="DC51" i="4"/>
  <c r="DB51" i="4" s="1"/>
  <c r="DY226" i="4"/>
  <c r="EC226" i="4" s="1"/>
  <c r="DD119" i="4"/>
  <c r="DC119" i="4"/>
  <c r="DB119" i="4" s="1"/>
  <c r="DB31" i="4" l="1"/>
  <c r="DB62" i="4"/>
  <c r="DB140" i="4"/>
  <c r="AR85" i="5"/>
  <c r="AR174" i="5" s="1"/>
  <c r="DB297" i="4"/>
  <c r="DB318" i="4"/>
  <c r="DD271" i="4"/>
  <c r="DC271" i="4"/>
  <c r="DB402" i="4"/>
  <c r="DB365" i="4"/>
  <c r="DB449" i="4"/>
  <c r="DB470" i="4"/>
  <c r="DB601" i="4"/>
  <c r="DB105" i="4"/>
  <c r="DB45" i="4"/>
  <c r="DB265" i="4"/>
  <c r="DB603" i="4"/>
  <c r="DB115" i="4"/>
  <c r="AQ312" i="5"/>
  <c r="AQ403" i="5" s="1"/>
  <c r="AQ402" i="5" s="1"/>
  <c r="G33" i="5" s="1"/>
  <c r="DB206" i="4"/>
  <c r="DB220" i="4"/>
  <c r="DB252" i="4"/>
  <c r="DB307" i="4"/>
  <c r="DB366" i="4"/>
  <c r="DB387" i="4"/>
  <c r="DB376" i="4"/>
  <c r="DB476" i="4"/>
  <c r="DB578" i="4"/>
  <c r="DB223" i="4"/>
  <c r="DB413" i="4"/>
  <c r="DB571" i="4"/>
  <c r="DB195" i="4"/>
  <c r="DB327" i="4"/>
  <c r="DB33" i="4"/>
  <c r="DB59" i="4"/>
  <c r="DB207" i="4"/>
  <c r="DB268" i="4"/>
  <c r="DB301" i="4"/>
  <c r="DB635" i="4"/>
  <c r="DB555" i="4"/>
  <c r="DB335" i="4"/>
  <c r="DB558" i="4"/>
  <c r="DB114" i="4"/>
  <c r="AR154" i="5"/>
  <c r="AR177" i="5" s="1"/>
  <c r="DB185" i="4"/>
  <c r="DZ322" i="4"/>
  <c r="DY322" i="4"/>
  <c r="EC322" i="4" s="1"/>
  <c r="DB251" i="4"/>
  <c r="DB522" i="4"/>
  <c r="DB521" i="4"/>
  <c r="DB616" i="4"/>
  <c r="DB48" i="4"/>
  <c r="DB102" i="4"/>
  <c r="DB92" i="4"/>
  <c r="DB209" i="4"/>
  <c r="DB179" i="4"/>
  <c r="DB246" i="4"/>
  <c r="DB427" i="4"/>
  <c r="DB484" i="4"/>
  <c r="BA106" i="5"/>
  <c r="DB78" i="4"/>
  <c r="DB217" i="4"/>
  <c r="DB146" i="4"/>
  <c r="DB188" i="4"/>
  <c r="DB243" i="4"/>
  <c r="DB279" i="4"/>
  <c r="DB309" i="4"/>
  <c r="DB422" i="4"/>
  <c r="DB282" i="4"/>
  <c r="DB352" i="4"/>
  <c r="DB534" i="4"/>
  <c r="DB47" i="4"/>
  <c r="DB60" i="4"/>
  <c r="DB200" i="4"/>
  <c r="DB372" i="4"/>
  <c r="DB457" i="4"/>
  <c r="DB377" i="4"/>
  <c r="DB614" i="4"/>
  <c r="DB428" i="4"/>
  <c r="DB482" i="4"/>
  <c r="DB87" i="4"/>
  <c r="DB70" i="4"/>
  <c r="DB117" i="4"/>
  <c r="DB124" i="4"/>
  <c r="AQ85" i="5"/>
  <c r="AQ174" i="5" s="1"/>
  <c r="DB201" i="4"/>
  <c r="DB249" i="4"/>
  <c r="DB342" i="4"/>
  <c r="DB347" i="4"/>
  <c r="DB404" i="4"/>
  <c r="DB234" i="4"/>
  <c r="AQ154" i="5"/>
  <c r="AQ177" i="5" s="1"/>
  <c r="AR312" i="5"/>
  <c r="AR403" i="5" s="1"/>
  <c r="DZ208" i="4"/>
  <c r="DY208" i="4"/>
  <c r="EC208" i="4" s="1"/>
  <c r="DB155" i="4"/>
  <c r="DZ328" i="4"/>
  <c r="DY328" i="4"/>
  <c r="EC328" i="4" s="1"/>
  <c r="DB306" i="4"/>
  <c r="DB317" i="4"/>
  <c r="DB401" i="4"/>
  <c r="DB360" i="4"/>
  <c r="DB533" i="4"/>
  <c r="DB610" i="4"/>
  <c r="DB615" i="4"/>
  <c r="AR106" i="5"/>
  <c r="AR175" i="5" s="1"/>
  <c r="H25" i="5" s="1"/>
  <c r="DB152" i="4"/>
  <c r="DB487" i="4"/>
  <c r="DZ618" i="4"/>
  <c r="DY618" i="4"/>
  <c r="EC618" i="4" s="1"/>
  <c r="AQ465" i="5"/>
  <c r="G32" i="5" s="1"/>
  <c r="DZ528" i="4"/>
  <c r="DY528" i="4"/>
  <c r="EC528" i="4" s="1"/>
  <c r="DZ586" i="4"/>
  <c r="DY586" i="4"/>
  <c r="EC586" i="4" s="1"/>
  <c r="DB37" i="4"/>
  <c r="BA399" i="5"/>
  <c r="DB130" i="4"/>
  <c r="DB241" i="4"/>
  <c r="DB183" i="4"/>
  <c r="DB214" i="4"/>
  <c r="DB320" i="4"/>
  <c r="DB450" i="4"/>
  <c r="DB448" i="4"/>
  <c r="DB483" i="4"/>
  <c r="DB552" i="4"/>
  <c r="DB562" i="4"/>
  <c r="DB321" i="4"/>
  <c r="DB134" i="4"/>
  <c r="DB38" i="4"/>
  <c r="FQ642" i="4"/>
  <c r="FS642" i="4" s="1"/>
  <c r="DC29" i="4"/>
  <c r="DD29" i="4"/>
  <c r="DB609" i="4"/>
  <c r="DD461" i="4"/>
  <c r="DC461" i="4"/>
  <c r="DY166" i="4"/>
  <c r="EC166" i="4" s="1"/>
  <c r="DG166" i="4"/>
  <c r="FF166" i="4"/>
  <c r="FW166" i="4" s="1"/>
  <c r="BA465" i="5"/>
  <c r="AQ399" i="5"/>
  <c r="AQ404" i="5" s="1"/>
  <c r="DY460" i="4"/>
  <c r="EC460" i="4" s="1"/>
  <c r="DG460" i="4"/>
  <c r="FF460" i="4"/>
  <c r="FW460" i="4" s="1"/>
  <c r="DD548" i="4"/>
  <c r="DC548" i="4"/>
  <c r="DB289" i="4"/>
  <c r="DB373" i="4"/>
  <c r="DB504" i="4"/>
  <c r="DB597" i="4"/>
  <c r="DB617" i="4"/>
  <c r="DB452" i="4"/>
  <c r="DB120" i="4"/>
  <c r="DB98" i="4"/>
  <c r="AR465" i="5"/>
  <c r="H32" i="5" s="1"/>
  <c r="DB216" i="4"/>
  <c r="DB71" i="4"/>
  <c r="AZ465" i="5"/>
  <c r="FB642" i="4"/>
  <c r="FD642" i="4" s="1"/>
  <c r="DB166" i="4"/>
  <c r="DB194" i="4"/>
  <c r="DB283" i="4"/>
  <c r="DB374" i="4"/>
  <c r="DB510" i="4"/>
  <c r="DB625" i="4"/>
  <c r="DZ605" i="4"/>
  <c r="DY605" i="4"/>
  <c r="EC605" i="4" s="1"/>
  <c r="DB619" i="4"/>
  <c r="DB236" i="4"/>
  <c r="DZ278" i="4"/>
  <c r="DY278" i="4"/>
  <c r="EC278" i="4" s="1"/>
  <c r="DB516" i="4"/>
  <c r="DB276" i="4"/>
  <c r="DB161" i="4"/>
  <c r="DB339" i="4"/>
  <c r="DB542" i="4"/>
  <c r="DB607" i="4"/>
  <c r="DB596" i="4"/>
  <c r="DB599" i="4"/>
  <c r="DB264" i="4"/>
  <c r="DB492" i="4"/>
  <c r="DB39" i="4"/>
  <c r="DB108" i="4"/>
  <c r="DB149" i="4"/>
  <c r="DB226" i="4"/>
  <c r="DY461" i="4"/>
  <c r="EC461" i="4" s="1"/>
  <c r="DG461" i="4"/>
  <c r="FF461" i="4"/>
  <c r="FW461" i="4" s="1"/>
  <c r="DB475" i="4"/>
  <c r="DB511" i="4"/>
  <c r="DB491" i="4"/>
  <c r="DB573" i="4"/>
  <c r="DB538" i="4"/>
  <c r="DB90" i="4"/>
  <c r="AZ399" i="5"/>
  <c r="DB189" i="4"/>
  <c r="DB292" i="4"/>
  <c r="DB359" i="4"/>
  <c r="DY548" i="4"/>
  <c r="EC548" i="4" s="1"/>
  <c r="DG548" i="4"/>
  <c r="FF548" i="4"/>
  <c r="FW548" i="4" s="1"/>
  <c r="DB613" i="4"/>
  <c r="AR399" i="5"/>
  <c r="AR404" i="5" s="1"/>
  <c r="BA85" i="5"/>
  <c r="DZ602" i="4"/>
  <c r="DY602" i="4"/>
  <c r="EC602" i="4" s="1"/>
  <c r="FF78" i="4"/>
  <c r="FW78" i="4" s="1"/>
  <c r="FW642" i="4" s="1"/>
  <c r="DY78" i="4"/>
  <c r="EC78" i="4" s="1"/>
  <c r="DG78" i="4"/>
  <c r="BA154" i="5"/>
  <c r="AZ85" i="5"/>
  <c r="AZ154" i="5"/>
  <c r="DB461" i="4" l="1"/>
  <c r="AR402" i="5"/>
  <c r="H33" i="5" s="1"/>
  <c r="AR173" i="5"/>
  <c r="H21" i="5" s="1"/>
  <c r="AR179" i="5"/>
  <c r="H24" i="5"/>
  <c r="DB548" i="4"/>
  <c r="G27" i="5"/>
  <c r="AQ179" i="5"/>
  <c r="AQ176" i="5"/>
  <c r="G22" i="5" s="1"/>
  <c r="I22" i="5" s="1"/>
  <c r="H27" i="5"/>
  <c r="AR176" i="5"/>
  <c r="H22" i="5" s="1"/>
  <c r="J22" i="5" s="1"/>
  <c r="DB271" i="4"/>
  <c r="AQ173" i="5"/>
  <c r="G21" i="5" s="1"/>
  <c r="G24" i="5"/>
  <c r="DC642" i="4"/>
  <c r="DB29" i="4"/>
  <c r="DB642" i="4" s="1"/>
  <c r="DD642" i="4" l="1"/>
  <c r="J21" i="5"/>
  <c r="H20" i="5"/>
  <c r="J20" i="5" s="1"/>
  <c r="I21" i="5"/>
  <c r="G20" i="5"/>
  <c r="I20" i="5" s="1"/>
</calcChain>
</file>

<file path=xl/sharedStrings.xml><?xml version="1.0" encoding="utf-8"?>
<sst xmlns="http://schemas.openxmlformats.org/spreadsheetml/2006/main" count="28276" uniqueCount="2251">
  <si>
    <t>"СОГЛАСОВАНО"</t>
  </si>
  <si>
    <t>"УТВЕРЖДАЮ"</t>
  </si>
  <si>
    <t>Руководитель ЦУД</t>
  </si>
  <si>
    <t>Операционный директор</t>
  </si>
  <si>
    <t>ООО "Газпромнефть-Оренбург"</t>
  </si>
  <si>
    <t>___________________А.А. Сагиров</t>
  </si>
  <si>
    <t>____________________________ А.А. Рязанов</t>
  </si>
  <si>
    <t>"_____"____________________2023 г.</t>
  </si>
  <si>
    <t>"_____"_________________ 2023 г.</t>
  </si>
  <si>
    <t>Руководитель программ по поддержке и управлению изменениями бизнес-кейсов по новым опциям и достижению потенциала</t>
  </si>
  <si>
    <t>И.о. директора по геологии и разработке, 
концептуальному проектированию – Главного геолога</t>
  </si>
  <si>
    <t>___________________М.В. Антошкин</t>
  </si>
  <si>
    <t>____________________________ А.Е. Родионов</t>
  </si>
  <si>
    <t>Руководитель программ по формированию бизнес-кейсов по достижению потенциала</t>
  </si>
  <si>
    <t>___________________М.А. Морозов</t>
  </si>
  <si>
    <t>Технологический режим работы нефтяных скважин по ВУ ОНГКМ (Кластер "Восток")</t>
  </si>
  <si>
    <t xml:space="preserve">  на июль 2023 г.</t>
  </si>
  <si>
    <t>Описание скважины</t>
  </si>
  <si>
    <t>Характеристики жидкостей</t>
  </si>
  <si>
    <t xml:space="preserve"> Данные по конструкции</t>
  </si>
  <si>
    <t>Данные эксплуатации</t>
  </si>
  <si>
    <t>Фактический режим</t>
  </si>
  <si>
    <t>Намечаемый режим на следующий месяц</t>
  </si>
  <si>
    <t>М Р П</t>
  </si>
  <si>
    <t>Энергопотребление</t>
  </si>
  <si>
    <t>ГТМ</t>
  </si>
  <si>
    <t>Потенциальный режим</t>
  </si>
  <si>
    <t>Прирост</t>
  </si>
  <si>
    <t>Предыдущий режим</t>
  </si>
  <si>
    <t>Изменения</t>
  </si>
  <si>
    <t>№ п/п</t>
  </si>
  <si>
    <t>Дата составления</t>
  </si>
  <si>
    <t>Организация</t>
  </si>
  <si>
    <t>Месторождение</t>
  </si>
  <si>
    <t>ЛУ</t>
  </si>
  <si>
    <t>Цех</t>
  </si>
  <si>
    <t>ТЛ/ДНС</t>
  </si>
  <si>
    <t>АГЗУ</t>
  </si>
  <si>
    <t>№ Скв</t>
  </si>
  <si>
    <t>Номер куста</t>
  </si>
  <si>
    <t>Дата ввода в эксплуатацию</t>
  </si>
  <si>
    <t>Тип ствола скв.</t>
  </si>
  <si>
    <t>Пласт</t>
  </si>
  <si>
    <t>Состояние по фонду</t>
  </si>
  <si>
    <t>текущее состояние</t>
  </si>
  <si>
    <t>Скин фактор</t>
  </si>
  <si>
    <t>Дата ГРП</t>
  </si>
  <si>
    <t>Исполнитель ГРП</t>
  </si>
  <si>
    <t>Примечание ГРП</t>
  </si>
  <si>
    <t>P нас</t>
  </si>
  <si>
    <t>ГС</t>
  </si>
  <si>
    <t>Вязкость нефти (пл.усл)</t>
  </si>
  <si>
    <t>Вязкость воды (пл.усл.)</t>
  </si>
  <si>
    <t>Вязкость жидкости (станд.усл)</t>
  </si>
  <si>
    <t>Объемный коэф-т нефти</t>
  </si>
  <si>
    <t>Плот-ть нефти (станд.усл)</t>
  </si>
  <si>
    <t>Плот-ть нефти  (пл.усл.)</t>
  </si>
  <si>
    <t>Т пласта</t>
  </si>
  <si>
    <t>Плот-ть воды (станд.усл)</t>
  </si>
  <si>
    <t>Dэк 
внешн.</t>
  </si>
  <si>
    <t>Толщ. стенки</t>
  </si>
  <si>
    <t>Интервал спуска ЭК</t>
  </si>
  <si>
    <t>Исскуств. забой</t>
  </si>
  <si>
    <t>Текущий забой</t>
  </si>
  <si>
    <t>Дата отбивки текущего забоя</t>
  </si>
  <si>
    <t>Способ отбивки текущего забоя</t>
  </si>
  <si>
    <t>Примечание</t>
  </si>
  <si>
    <t>Тип конструкции  забоя</t>
  </si>
  <si>
    <t>Интервалы перфорации</t>
  </si>
  <si>
    <t>Нперф_Эфф</t>
  </si>
  <si>
    <t>Нвд_замер</t>
  </si>
  <si>
    <t>Удлинение на Нвд</t>
  </si>
  <si>
    <t>Интервал спуска хвостовика</t>
  </si>
  <si>
    <t>Диаметр хвостовика</t>
  </si>
  <si>
    <t>Толщ.стенки хвостовика</t>
  </si>
  <si>
    <t>Способ эксплуатации</t>
  </si>
  <si>
    <t>Глубина 1 и.о.</t>
  </si>
  <si>
    <t>Давление запуска
1 и.о.</t>
  </si>
  <si>
    <t>Глубина 2 и.о.</t>
  </si>
  <si>
    <t>Давление запуска
2 и.о.</t>
  </si>
  <si>
    <t>Глубина 3 и.о.</t>
  </si>
  <si>
    <t>Давление запуска
3 и.о.</t>
  </si>
  <si>
    <t>Глубина 4 и.о.</t>
  </si>
  <si>
    <t>Давление запуска
4 и.о.</t>
  </si>
  <si>
    <t>Глубина 5 и.о.</t>
  </si>
  <si>
    <t>Давление запуска
5 и.о.</t>
  </si>
  <si>
    <t>Глубина 6 и.о.</t>
  </si>
  <si>
    <t>Давление запуска
6 и.о.</t>
  </si>
  <si>
    <t>Глубина НПЦК</t>
  </si>
  <si>
    <t>Состояние НПЦК</t>
  </si>
  <si>
    <t>Тип насоса</t>
  </si>
  <si>
    <t>Число ступеней</t>
  </si>
  <si>
    <t>Напор</t>
  </si>
  <si>
    <t>Частота</t>
  </si>
  <si>
    <t>ПЭД</t>
  </si>
  <si>
    <t>Qтеор</t>
  </si>
  <si>
    <t>Глубина спуска ПО</t>
  </si>
  <si>
    <t>Глубина спуска ПО (по верт.)</t>
  </si>
  <si>
    <t>Удлинение на гл спуска ПО</t>
  </si>
  <si>
    <t>Dнкт</t>
  </si>
  <si>
    <t>Толщина стенки НКТ</t>
  </si>
  <si>
    <t>Dшт</t>
  </si>
  <si>
    <t>Вид штуцера</t>
  </si>
  <si>
    <t>Режим работы</t>
  </si>
  <si>
    <t>Время работы</t>
  </si>
  <si>
    <t>Время
накопления</t>
  </si>
  <si>
    <t>Рбуф</t>
  </si>
  <si>
    <t>Рзатр</t>
  </si>
  <si>
    <t>Рлин</t>
  </si>
  <si>
    <t>Дата замера Рпл</t>
  </si>
  <si>
    <t>Рпл</t>
  </si>
  <si>
    <t>Рг/г</t>
  </si>
  <si>
    <t>Состояние АСУРГГ</t>
  </si>
  <si>
    <t>Модификация АСУРГГ</t>
  </si>
  <si>
    <t>Dшт линии подачи г/г</t>
  </si>
  <si>
    <t>Ндин (расчетный от Рпр)</t>
  </si>
  <si>
    <t>Р пр (расчетный от Нд)</t>
  </si>
  <si>
    <t>Ндин</t>
  </si>
  <si>
    <t>Р пр</t>
  </si>
  <si>
    <t>Рзаб</t>
  </si>
  <si>
    <t>Дебит нефти</t>
  </si>
  <si>
    <t>Дебит жидкости</t>
  </si>
  <si>
    <t>Обводненность</t>
  </si>
  <si>
    <t>Дебит газа</t>
  </si>
  <si>
    <t>Расход г/г</t>
  </si>
  <si>
    <t>Дебит ПНГ</t>
  </si>
  <si>
    <t>ГФ</t>
  </si>
  <si>
    <t>УРГГ</t>
  </si>
  <si>
    <t>Кпрод</t>
  </si>
  <si>
    <t>Коэфф. подачи</t>
  </si>
  <si>
    <t>Комментарии / примечания по фактическому режиму работы</t>
  </si>
  <si>
    <t>Примечания по намечаемому режиму на след. месяц</t>
  </si>
  <si>
    <t>Дата посл. остановки</t>
  </si>
  <si>
    <t>Дата запуска</t>
  </si>
  <si>
    <t>Текущий МРП</t>
  </si>
  <si>
    <t>Рабочий ток</t>
  </si>
  <si>
    <t>Загрузка</t>
  </si>
  <si>
    <t>Температура ПЭД</t>
  </si>
  <si>
    <t>Примечание по энергопотреблению</t>
  </si>
  <si>
    <t>Дата последнего ГТМ</t>
  </si>
  <si>
    <t>Наименование ГТМ</t>
  </si>
  <si>
    <t>Примечание по ГТМ</t>
  </si>
  <si>
    <t>ЦелевоеРзаб</t>
  </si>
  <si>
    <t>Дебит попутного газа</t>
  </si>
  <si>
    <t>Комментарии</t>
  </si>
  <si>
    <t>Шт</t>
  </si>
  <si>
    <t>% База</t>
  </si>
  <si>
    <t>ГФ ПНГ</t>
  </si>
  <si>
    <t>К прод</t>
  </si>
  <si>
    <t>Шифр изменений</t>
  </si>
  <si>
    <t>Комментарии, примечания, намеченные мероприятия</t>
  </si>
  <si>
    <t>Шифр изменений от (предыдущего месяца)</t>
  </si>
  <si>
    <t>Предыдущий комментарии</t>
  </si>
  <si>
    <t>Ответственные за фонд</t>
  </si>
  <si>
    <t>февраль</t>
  </si>
  <si>
    <t>январь</t>
  </si>
  <si>
    <t xml:space="preserve"> </t>
  </si>
  <si>
    <t>ат</t>
  </si>
  <si>
    <t>м3/м3</t>
  </si>
  <si>
    <t>сПз</t>
  </si>
  <si>
    <t>г/см3</t>
  </si>
  <si>
    <t>ͦС</t>
  </si>
  <si>
    <t>мм</t>
  </si>
  <si>
    <t>м</t>
  </si>
  <si>
    <t>шт</t>
  </si>
  <si>
    <t>Гц</t>
  </si>
  <si>
    <t>кВт</t>
  </si>
  <si>
    <t>м3/сут</t>
  </si>
  <si>
    <t>час</t>
  </si>
  <si>
    <t>0+</t>
  </si>
  <si>
    <t>т/сут</t>
  </si>
  <si>
    <t>%</t>
  </si>
  <si>
    <t>тыс.м3/сут</t>
  </si>
  <si>
    <t>м3/ч</t>
  </si>
  <si>
    <t>м3/т</t>
  </si>
  <si>
    <t>м3/(сут*ат)</t>
  </si>
  <si>
    <t>ГПНО</t>
  </si>
  <si>
    <t>ВУ ОНГКМ</t>
  </si>
  <si>
    <t>ЦДНГ-1</t>
  </si>
  <si>
    <t>ТЛ-4</t>
  </si>
  <si>
    <t>К-18</t>
  </si>
  <si>
    <t>1р</t>
  </si>
  <si>
    <t>Без куста</t>
  </si>
  <si>
    <t>Верт.</t>
  </si>
  <si>
    <t>P4+5+6_Block1_yug</t>
  </si>
  <si>
    <t>Действующий</t>
  </si>
  <si>
    <t>В работе</t>
  </si>
  <si>
    <t>закрытый</t>
  </si>
  <si>
    <t>1836-1839;   1844-1850;   1854-1858;
1861-1868; 1872-1876, 1894-1908,3; 1910-1975;1910-1947</t>
  </si>
  <si>
    <t>Газлифт</t>
  </si>
  <si>
    <t>ГП</t>
  </si>
  <si>
    <t>ГК 79 5/32</t>
  </si>
  <si>
    <t>-</t>
  </si>
  <si>
    <t>открыт</t>
  </si>
  <si>
    <t>штуцер</t>
  </si>
  <si>
    <t>Постоянный</t>
  </si>
  <si>
    <t xml:space="preserve">Сиант </t>
  </si>
  <si>
    <t/>
  </si>
  <si>
    <t>ОПЗ</t>
  </si>
  <si>
    <t>Технология</t>
  </si>
  <si>
    <t>Увеличение дебита на фоне снижения Рлин</t>
  </si>
  <si>
    <t>Возврат потерь предыдущего месяца</t>
  </si>
  <si>
    <t>Тайланова/Шилин</t>
  </si>
  <si>
    <t>ИПП ГТМ</t>
  </si>
  <si>
    <t>Уточнение</t>
  </si>
  <si>
    <t xml:space="preserve">Технология </t>
  </si>
  <si>
    <t>уточнение</t>
  </si>
  <si>
    <t>технология</t>
  </si>
  <si>
    <t>В работе (постоянный режим)</t>
  </si>
  <si>
    <t>ЗУ-9</t>
  </si>
  <si>
    <t>2р</t>
  </si>
  <si>
    <t>Slb</t>
  </si>
  <si>
    <t>КГРП 64м3 15% HCL</t>
  </si>
  <si>
    <t>177,8;139,7</t>
  </si>
  <si>
    <t>10,06; 7,72</t>
  </si>
  <si>
    <t>0-1555; 1555-1898</t>
  </si>
  <si>
    <t>1795-1822; 1831-1833; 1839-1851; 
1870-1873; 1875-1877; 1878-1880</t>
  </si>
  <si>
    <t>Угловик</t>
  </si>
  <si>
    <t>Периодический</t>
  </si>
  <si>
    <t>Приведение ТР к соответствию</t>
  </si>
  <si>
    <t xml:space="preserve"> Кошелев/Моисеев</t>
  </si>
  <si>
    <t>Довывод</t>
  </si>
  <si>
    <t>ИПП база</t>
  </si>
  <si>
    <t>ИПП База</t>
  </si>
  <si>
    <t>ТРС</t>
  </si>
  <si>
    <t>В работе (периодический режим)</t>
  </si>
  <si>
    <t>ТЛ-1</t>
  </si>
  <si>
    <t>ГЗУ-4</t>
  </si>
  <si>
    <t>2-2</t>
  </si>
  <si>
    <t>Куст скважины-2</t>
  </si>
  <si>
    <t>Гор.</t>
  </si>
  <si>
    <t>Р4+5_Block3</t>
  </si>
  <si>
    <t>открытый</t>
  </si>
  <si>
    <t xml:space="preserve">1935-2767 </t>
  </si>
  <si>
    <t>ШДР</t>
  </si>
  <si>
    <t>ГКС</t>
  </si>
  <si>
    <t xml:space="preserve">Увеличение дебита на фоне перевода скважины в постоянный режим работы. ТР выведен по замеру от 16.06. Рассмотреть увеличение расхода для поддержания необходимого значения Рзат. </t>
  </si>
  <si>
    <t>Скважина работает в стабильном режиме.</t>
  </si>
  <si>
    <t>Ложкина /Суюндуков</t>
  </si>
  <si>
    <t>ТКРС</t>
  </si>
  <si>
    <t>ИПП БАЗА</t>
  </si>
  <si>
    <t xml:space="preserve">Уточнение </t>
  </si>
  <si>
    <t>ГЗУ-3</t>
  </si>
  <si>
    <t>3-2</t>
  </si>
  <si>
    <t>Куст скважины-3</t>
  </si>
  <si>
    <t>Р4+5+6_Block2</t>
  </si>
  <si>
    <t>8,05; 7,72</t>
  </si>
  <si>
    <t>0-1818; 1818-2588</t>
  </si>
  <si>
    <t>1818-2588(фильтр хвостовик)</t>
  </si>
  <si>
    <t>1818-2588</t>
  </si>
  <si>
    <t>Фон.</t>
  </si>
  <si>
    <t>Скважина работает в стабильном режиме. Наблюдается снижение Рзаб и Рлин</t>
  </si>
  <si>
    <t>3-3</t>
  </si>
  <si>
    <t>139,7/102</t>
  </si>
  <si>
    <t>7,72/6,5</t>
  </si>
  <si>
    <t>1919-2550</t>
  </si>
  <si>
    <t>1470-1919</t>
  </si>
  <si>
    <t>Снижение Рзаб связано с отбором воды из скважины. Планируется перевести в периодику 72/72</t>
  </si>
  <si>
    <t>Снижение дебита на фоне увеличения Рзаб. После проведения работ ПРГС, сошли некорректные замеры по газу. Скважина переведена в периодический режим,  необходим  отбор пробы на процент и плотность воды, в дальнейшем мониторинг работы скважины</t>
  </si>
  <si>
    <t>% БАЗА</t>
  </si>
  <si>
    <t>Вывод из п/з фонда</t>
  </si>
  <si>
    <t>4-2</t>
  </si>
  <si>
    <t>Куст скважины-4</t>
  </si>
  <si>
    <t>0-1879</t>
  </si>
  <si>
    <t>1879-2429 (фильтр хвостовик)</t>
  </si>
  <si>
    <t>1879-2429</t>
  </si>
  <si>
    <t xml:space="preserve">Скважина работает в стабильном режиме. </t>
  </si>
  <si>
    <t>4-1</t>
  </si>
  <si>
    <t>Halli</t>
  </si>
  <si>
    <t>0-1976; 1976-2517</t>
  </si>
  <si>
    <t>2038-2493</t>
  </si>
  <si>
    <t>1976-2517</t>
  </si>
  <si>
    <t>Инком-систем</t>
  </si>
  <si>
    <t>Увеличение дебита на фоне снижения Рлин,уменьшения расхода г/г Возврат потерь предыдущего месяца</t>
  </si>
  <si>
    <t>Технология/% БАЗА</t>
  </si>
  <si>
    <t>ИПП База/Уточнение</t>
  </si>
  <si>
    <t>Прочие</t>
  </si>
  <si>
    <t>4-3</t>
  </si>
  <si>
    <t>177,8; 114</t>
  </si>
  <si>
    <t>1 ств:1640 (ЦМ)
2 ств:2605</t>
  </si>
  <si>
    <t>2031,9-2605</t>
  </si>
  <si>
    <t>1562-2031</t>
  </si>
  <si>
    <t>ЗБС</t>
  </si>
  <si>
    <t>Без изменений, т.о.</t>
  </si>
  <si>
    <t>Изменение ГФ связано с тем, что скважина была длительное время под реверсной закачкой</t>
  </si>
  <si>
    <t>ГЗУ-2</t>
  </si>
  <si>
    <t>5р</t>
  </si>
  <si>
    <t>139,7; 114</t>
  </si>
  <si>
    <t xml:space="preserve">2033-2170                                     </t>
  </si>
  <si>
    <t>1656,09-2033</t>
  </si>
  <si>
    <t>Без изменений, т.о. Необходимо подобрать оптимальный режим работы скважины, именно - отрегулировать расход г/г так, чтобы вернуть предыдущий режим в 9т</t>
  </si>
  <si>
    <t>Снижение дебита на фоне роста Рзаб. Необходим подбор оптимального режима работы скважины. Изменение ГФ связано с тем, что выведение ТР было по замеру от 13.05, скважина работала газом</t>
  </si>
  <si>
    <t>Остановлена</t>
  </si>
  <si>
    <t>5-2</t>
  </si>
  <si>
    <t>Куст скважины-5</t>
  </si>
  <si>
    <t xml:space="preserve">1 ств 2586
2 ств 2620 </t>
  </si>
  <si>
    <t>1875-2586; 1875-2620</t>
  </si>
  <si>
    <t>НСL-16% V-60м3 с растворителем 40м3</t>
  </si>
  <si>
    <t>Без изменений. Нет корретных замеров. Перезамер до конца месяца, подбор г/г.</t>
  </si>
  <si>
    <t>Снижение дебита на фоне роста Рзаб. Необходим подбор оптимального режима работы, расхода г/г скважины</t>
  </si>
  <si>
    <t>5-1</t>
  </si>
  <si>
    <t xml:space="preserve">1984-2500 </t>
  </si>
  <si>
    <t>Предыдущий ГТМ-2004г(ОПЗ)</t>
  </si>
  <si>
    <t>Увеличение дебита на фоне снижения Рлин и Рзаб</t>
  </si>
  <si>
    <t>Снижение дебита на фоне роста Рлин и Рзаб</t>
  </si>
  <si>
    <t>6р</t>
  </si>
  <si>
    <t>1862-1900; 1901-1944;(ЗПКС-80)</t>
  </si>
  <si>
    <t>Приведение ТР к соответствию по историческим данным</t>
  </si>
  <si>
    <t>БЗО</t>
  </si>
  <si>
    <t>10-1</t>
  </si>
  <si>
    <t>1970-2606</t>
  </si>
  <si>
    <t>1637-1970</t>
  </si>
  <si>
    <t>МСКО-60м3</t>
  </si>
  <si>
    <t>Без изменений, НУР после ВСП</t>
  </si>
  <si>
    <t>довывод</t>
  </si>
  <si>
    <t>ВСП</t>
  </si>
  <si>
    <t>ГЗУ-1</t>
  </si>
  <si>
    <t>12-1</t>
  </si>
  <si>
    <t>Куст скважины-12</t>
  </si>
  <si>
    <t>1921-2505</t>
  </si>
  <si>
    <t>ОПЗ (ОПЗ апр.13г.)</t>
  </si>
  <si>
    <t>Без изменений, некорректная работа замерной. Совместная работа по выявлению неработоспособности ГЗУ-1</t>
  </si>
  <si>
    <t>12-2</t>
  </si>
  <si>
    <t>1910-2500</t>
  </si>
  <si>
    <t>ВНС</t>
  </si>
  <si>
    <t>Увеличение дебита на фоне правильно подобранного режима работы скважины, расхода г/г. Скважина переведена в периодический режим</t>
  </si>
  <si>
    <t>Довывд</t>
  </si>
  <si>
    <t>13-3</t>
  </si>
  <si>
    <t>Окно 1650-1653м, ВПШ 1670м, КО 1650-1656м</t>
  </si>
  <si>
    <t>2204,76-2205,56; 2423,95-2424,75; 2543,67-2544,47; 2651,62-2652,52</t>
  </si>
  <si>
    <t>0.8,0.8,0.8,0.9</t>
  </si>
  <si>
    <t xml:space="preserve">Скважина работает в стабильном режиме.Увеличение процента обводненности, необходимо отобрать пробу на процент и плотность воды, после запуска в работу, возможно в скважине находится остаточная тех.жидкость.Скважина переведена в периодический режим </t>
  </si>
  <si>
    <t>14-1</t>
  </si>
  <si>
    <t>Куст скважины-14</t>
  </si>
  <si>
    <t>2060-2790</t>
  </si>
  <si>
    <t>НСL-12% V-100м3</t>
  </si>
  <si>
    <t>Скважина работает в стабильном режиме</t>
  </si>
  <si>
    <t>Скважина работает в стабильном режиме. Изменение ГФ на фоне длительной статики</t>
  </si>
  <si>
    <t>15-1</t>
  </si>
  <si>
    <t>1 ств 1657
2 ств 2425 
3 ств 1974</t>
  </si>
  <si>
    <t>1 ств 2467
2 ств 2425 
3 ств 1974</t>
  </si>
  <si>
    <t>1917-2425; 1904,59-1905,39; 1960,38-1961,48; 1974-2341</t>
  </si>
  <si>
    <t xml:space="preserve">ГТМ </t>
  </si>
  <si>
    <t>19-1</t>
  </si>
  <si>
    <t>1 ств 2467
2 ств 2600 
3 ств 2610</t>
  </si>
  <si>
    <t>1978-2467; 2350-2600; 2460-2610</t>
  </si>
  <si>
    <t>07.08.2018</t>
  </si>
  <si>
    <t xml:space="preserve">ТР выведен по замерам от конца мая, начала июня. </t>
  </si>
  <si>
    <t>Без изменений, нет замеров</t>
  </si>
  <si>
    <t>% ГТМ</t>
  </si>
  <si>
    <t>20-1</t>
  </si>
  <si>
    <t>Куст скважины-20</t>
  </si>
  <si>
    <t>2 ств.1868</t>
  </si>
  <si>
    <t>1559,75-1868</t>
  </si>
  <si>
    <t>Без изменений. На данный момент Рлин=18ат, при данном показателе был замер в конце мая</t>
  </si>
  <si>
    <t>20-2</t>
  </si>
  <si>
    <t>177,8;
139,7</t>
  </si>
  <si>
    <t>8,05;
7,72</t>
  </si>
  <si>
    <t>0-1851;
1851-2396</t>
  </si>
  <si>
    <t>1902-2384(фильтр хвостовик)</t>
  </si>
  <si>
    <t>1902-2384
фильтр-"хвостовик"</t>
  </si>
  <si>
    <t>Снижение энергетики пласта что подтверждается дебитом и изменением Рзаб</t>
  </si>
  <si>
    <t>Сниженный замер связан с ростом Рлин</t>
  </si>
  <si>
    <t xml:space="preserve">Довывод </t>
  </si>
  <si>
    <t>21-1</t>
  </si>
  <si>
    <t>177,8;114,3</t>
  </si>
  <si>
    <t>9,19; 7,72</t>
  </si>
  <si>
    <t>0-1905;
1812-2367</t>
  </si>
  <si>
    <t>1 ств 2358;
2 ств 2367;</t>
  </si>
  <si>
    <t>откр.ствол / закрытый</t>
  </si>
  <si>
    <t>1911-2358; 1812-2367</t>
  </si>
  <si>
    <t>45,43;138,6</t>
  </si>
  <si>
    <t>1812-2367</t>
  </si>
  <si>
    <t>Предыдущий ГТМ-29.04.2002г(СКО)</t>
  </si>
  <si>
    <t>ИПП БАЗА/Уточнение</t>
  </si>
  <si>
    <t>Снижение энергетики пласта что подтверждается дебитом и изменением Рзаб(ИППБАЗА -1тн/сут). ТР выведен по замерам от конца мая, июня. Подбор оптимального режима работы скважины.</t>
  </si>
  <si>
    <t>23-2</t>
  </si>
  <si>
    <t>Куст скважины-23</t>
  </si>
  <si>
    <t xml:space="preserve">1933-2350 </t>
  </si>
  <si>
    <t>Увеличение дебита на фоне снижения Рлин и Рзаб, а также увеличения расхода</t>
  </si>
  <si>
    <t>Снижение дебита на фоне роста Рлин и Рзаб, снижения расхода г/г</t>
  </si>
  <si>
    <t>ГЗУ-9</t>
  </si>
  <si>
    <t>28-1</t>
  </si>
  <si>
    <t>Куст скважины-28</t>
  </si>
  <si>
    <t>9,19;
6,4;</t>
  </si>
  <si>
    <t>2039; 1860;</t>
  </si>
  <si>
    <t>1860-2550</t>
  </si>
  <si>
    <t>Без изменений. Нет корректных замеров</t>
  </si>
  <si>
    <t>29-2</t>
  </si>
  <si>
    <t>Куст скважины-29</t>
  </si>
  <si>
    <t>1917; 2838;</t>
  </si>
  <si>
    <t>1 ств. 2850; 2 ств. 2744</t>
  </si>
  <si>
    <t>1917-2850; 1761-2744</t>
  </si>
  <si>
    <t xml:space="preserve"> Снижение дебита на фоне снижения Рзаб и увеличение % обводненности. ЗБС май 2023, проведение доосвоения скважины. </t>
  </si>
  <si>
    <t>БД</t>
  </si>
  <si>
    <t>29-1</t>
  </si>
  <si>
    <t xml:space="preserve"> Halli</t>
  </si>
  <si>
    <t>1853-2280(фильтр-хвостовик)</t>
  </si>
  <si>
    <t>Предыдущий ГТМ-2000г(ОПЗ с раствор)</t>
  </si>
  <si>
    <t>Довывод/ИПП База</t>
  </si>
  <si>
    <t>Снижение эффекта от проведения ТО - довывод - 1,6 т.   ИПП База - 2,2 т. Снижение энергетики пласта что подтверждается дебитом и изменением Рзаб</t>
  </si>
  <si>
    <t>Увеличение дебита после проведения ТО, после статики</t>
  </si>
  <si>
    <t>30-2</t>
  </si>
  <si>
    <t>Куст скважины-30</t>
  </si>
  <si>
    <t>1888-2690</t>
  </si>
  <si>
    <t>Бесп. ОПЗ</t>
  </si>
  <si>
    <t>Предыдущий ГТМ-31.10.2011г(СКО)</t>
  </si>
  <si>
    <t>Скважина работает в стабильном режиме. Наблюдается рост Рлин и Рзаб</t>
  </si>
  <si>
    <t>ТЛ-2</t>
  </si>
  <si>
    <t>К-61</t>
  </si>
  <si>
    <t>35-1</t>
  </si>
  <si>
    <t>1 ств 2549
2 ств 2410</t>
  </si>
  <si>
    <t>1888-2549; 1891-2410;</t>
  </si>
  <si>
    <t>1 ств 56,5
2 ств 10,2</t>
  </si>
  <si>
    <t>ОПЗ (ЗБС от фев.13г.)</t>
  </si>
  <si>
    <t>Снижение дебита на фоне роста Рлин</t>
  </si>
  <si>
    <t xml:space="preserve"> Миниярова/Ахватов</t>
  </si>
  <si>
    <t>ГЗУ-7</t>
  </si>
  <si>
    <t>40-1</t>
  </si>
  <si>
    <t>1814-2680</t>
  </si>
  <si>
    <t>Без изменений, не раздельных замеров</t>
  </si>
  <si>
    <t>ТЛ-3</t>
  </si>
  <si>
    <t>ЗУ-6</t>
  </si>
  <si>
    <t>41р</t>
  </si>
  <si>
    <t>ЕВС</t>
  </si>
  <si>
    <t>15,5т</t>
  </si>
  <si>
    <t>1863-1897; 1914-1945</t>
  </si>
  <si>
    <t>ТР без изменений ,скв. на ВСП</t>
  </si>
  <si>
    <t>41-1</t>
  </si>
  <si>
    <t>1 ств 2400
2 ств 2475 
3 ств 2493</t>
  </si>
  <si>
    <t>1 ств 2400
2 ств 2475
3 ств 2493</t>
  </si>
  <si>
    <t xml:space="preserve"> 1820-2400
 1890-2475
 2020-2493 </t>
  </si>
  <si>
    <t xml:space="preserve">Наблюдается снижение Рлин </t>
  </si>
  <si>
    <t xml:space="preserve">ИПП ГТМ </t>
  </si>
  <si>
    <t xml:space="preserve"> ГТМ</t>
  </si>
  <si>
    <t>ИПП ГТМ/Технология</t>
  </si>
  <si>
    <t>43р</t>
  </si>
  <si>
    <t>ФилОрАм</t>
  </si>
  <si>
    <t>1897-2637</t>
  </si>
  <si>
    <t>1665-1887</t>
  </si>
  <si>
    <t>44р</t>
  </si>
  <si>
    <t>1 ств 2275
2 ств 2600</t>
  </si>
  <si>
    <t>1ств 2275
2ств 2600</t>
  </si>
  <si>
    <t>2006-2275; 2050-2600</t>
  </si>
  <si>
    <t>Снижение дебита на фоне роста Рлин и Рзаб. Неоптимальная работа скважины. Вывели по замерам в конце апреля</t>
  </si>
  <si>
    <t>45р</t>
  </si>
  <si>
    <t>45,5т</t>
  </si>
  <si>
    <t>1848,48-1849,91; 1945,82-1947,25; 1995,86-1997,29; 2034,13-2035,56; 2118,97-2120,2</t>
  </si>
  <si>
    <t>1ств 49,92  2ств 80,87  3ств 110,7</t>
  </si>
  <si>
    <t>ОПЗ+РПВР</t>
  </si>
  <si>
    <t>Изменение средства измерения. Со стационарной ГЗУ на ГСК</t>
  </si>
  <si>
    <t>47р</t>
  </si>
  <si>
    <t>1838-2464</t>
  </si>
  <si>
    <t>Замер сошел на скв 152. Замер завышенный после ВСП, без изменений</t>
  </si>
  <si>
    <t>Увеличение дебита после длительной статики. Нур после ВСП</t>
  </si>
  <si>
    <t>В бездействии текущего года</t>
  </si>
  <si>
    <t>СРГ-1</t>
  </si>
  <si>
    <t>62-2</t>
  </si>
  <si>
    <t>Куст скважины-62</t>
  </si>
  <si>
    <t xml:space="preserve">1906-2500 </t>
  </si>
  <si>
    <t>Необходимо подобрать режим скважины, набить затруб, дальнейший мониторинг</t>
  </si>
  <si>
    <t>62-1</t>
  </si>
  <si>
    <t>1918-2500</t>
  </si>
  <si>
    <t>Без изменений, НУР после ВСП. Необходим замер дебита после стабилизации режима работы скважины</t>
  </si>
  <si>
    <t>62-3</t>
  </si>
  <si>
    <t>Р4+5_Block3, P5i</t>
  </si>
  <si>
    <t>1954-2500</t>
  </si>
  <si>
    <t>1504-1954</t>
  </si>
  <si>
    <t>ОПЗ (ЗБС в мар.15г.)</t>
  </si>
  <si>
    <t>69р</t>
  </si>
  <si>
    <t>1787-1791; 1865-1870; 1831-1840; 
1845-1850; 1860-1879; 1885-1890</t>
  </si>
  <si>
    <t>70-2</t>
  </si>
  <si>
    <t>Куст скважины-70</t>
  </si>
  <si>
    <t>2380;2489</t>
  </si>
  <si>
    <t>1956-2380; 1956-2489</t>
  </si>
  <si>
    <t>1600-1952</t>
  </si>
  <si>
    <t>вывод из б.д.</t>
  </si>
  <si>
    <t>70-1</t>
  </si>
  <si>
    <t>1916-2344</t>
  </si>
  <si>
    <t>1646,2-1915,8</t>
  </si>
  <si>
    <t>Без изменений, в показных потерях</t>
  </si>
  <si>
    <t>К-14</t>
  </si>
  <si>
    <t>1893-1900; 1878-1886; 1864-1872; 1850-1860; 1836-1840; 1832-1845; 1780-1800; 1812-1818; 1774-1778; 1802-1806;1810-1822;1826-1828;1832-1846;1857-1832;1864-1887;1893-1902.</t>
  </si>
  <si>
    <t>95-2</t>
  </si>
  <si>
    <t>Куст скважины-95</t>
  </si>
  <si>
    <t>0-1919; 1919-2596</t>
  </si>
  <si>
    <t>1919-2596</t>
  </si>
  <si>
    <t>Увеличение дебита на фоне снижения Рлин, увеличеня расхода г/г</t>
  </si>
  <si>
    <t>ИПП База / Довывод</t>
  </si>
  <si>
    <t>95-1</t>
  </si>
  <si>
    <t>1901-2479</t>
  </si>
  <si>
    <t>Предыдущий ГТМ-2000г(СКО)</t>
  </si>
  <si>
    <t>Снижение дебита на фоне регулировки расхода г/г., мониторинг скважины</t>
  </si>
  <si>
    <t>Увеличение дебита на фоне снижения расхода г/г</t>
  </si>
  <si>
    <t>105-1Д</t>
  </si>
  <si>
    <t>Куст скважины-105</t>
  </si>
  <si>
    <t>2631 фильтр 
1877,3-2174,7, 2208,4-2631</t>
  </si>
  <si>
    <t>1641-2739; 1700-2691</t>
  </si>
  <si>
    <t>105-2</t>
  </si>
  <si>
    <t>1853-2631 (фильтр-хвостовик)</t>
  </si>
  <si>
    <t>Скважина работает в стабильном режиме. Наблюдается снижение Рзаб</t>
  </si>
  <si>
    <t>106-1</t>
  </si>
  <si>
    <t>2063-2620; 2121-2500</t>
  </si>
  <si>
    <t>1890-1940; 1960-1997</t>
  </si>
  <si>
    <t>Рост Рлин</t>
  </si>
  <si>
    <t>1753-2350</t>
  </si>
  <si>
    <t>Без изменений, нет раздельных замеров</t>
  </si>
  <si>
    <t>Без изменений, не раздельных замеров. По совместным замерам снижения дебита не наблюдается</t>
  </si>
  <si>
    <t>Уточнение/Технология</t>
  </si>
  <si>
    <t>2110-2487</t>
  </si>
  <si>
    <t>1625-2110</t>
  </si>
  <si>
    <t>Скважина работает в стабильном режиме. Наблюдается снижение Рлин</t>
  </si>
  <si>
    <t>Скважина работает в стабильном режиме. Изменение по газовому фактору значительное, необходим перезамер</t>
  </si>
  <si>
    <t>157тг</t>
  </si>
  <si>
    <t>1909,6-2205</t>
  </si>
  <si>
    <t>Осложнения, обводнение 100%, РИР</t>
  </si>
  <si>
    <t>Без изменений, т.о. Наблюдается снижение Рзаб</t>
  </si>
  <si>
    <t>Необходим подбор оптимального периодического режима работы, замер Рзаб, расход накладным счетчиком</t>
  </si>
  <si>
    <t>177,8;
114,3</t>
  </si>
  <si>
    <t>2025-2400</t>
  </si>
  <si>
    <t>1497-2025</t>
  </si>
  <si>
    <t>Увеличение дебита после проведения ОПЗ, проведеннного в текущем месяце.</t>
  </si>
  <si>
    <t>запуск</t>
  </si>
  <si>
    <t>1806-2350</t>
  </si>
  <si>
    <t>Осложнение при извлечении ПО, доп.работы по разбуриванию пакера.</t>
  </si>
  <si>
    <t>Снижение дебита на фоне неоптимальной работы скважины. Планируется проведение ПРГС</t>
  </si>
  <si>
    <t>629а</t>
  </si>
  <si>
    <t>1845-1873; 1892-1906</t>
  </si>
  <si>
    <t>Без изменений, нет корректных замеров. Необходим 24 ч замер дебита</t>
  </si>
  <si>
    <t>ИПП БАЗА/уточнение</t>
  </si>
  <si>
    <t>2002-2420</t>
  </si>
  <si>
    <t>1511-1925 (изолирован)</t>
  </si>
  <si>
    <t>06.07.2019</t>
  </si>
  <si>
    <t>НУР после ВСП</t>
  </si>
  <si>
    <t xml:space="preserve">ИПП База </t>
  </si>
  <si>
    <t>29,5т</t>
  </si>
  <si>
    <t>1891-1899, 1900-1903, 1922-1930, 1933-1937, 1942-1946</t>
  </si>
  <si>
    <t>Увеличение дебита на фоне снижения Рлин. Изменение средств измерения</t>
  </si>
  <si>
    <t>ЗУ-1</t>
  </si>
  <si>
    <t>Куст скважины-1001</t>
  </si>
  <si>
    <t>1851 - 2400</t>
  </si>
  <si>
    <t>ТР без изменений.НУР после длительного простоя</t>
  </si>
  <si>
    <t>1001-2</t>
  </si>
  <si>
    <t>1577,5-2514,8</t>
  </si>
  <si>
    <t>ИПП ГТМ / Технология</t>
  </si>
  <si>
    <t>Куст скважины-1002</t>
  </si>
  <si>
    <t>1873-2500</t>
  </si>
  <si>
    <t>БОПЗ</t>
  </si>
  <si>
    <t>ТР без изменений-нет актуальных замеров</t>
  </si>
  <si>
    <t>1002-1</t>
  </si>
  <si>
    <t xml:space="preserve">1873-2500 </t>
  </si>
  <si>
    <t>Предыдущий ГТМ-2009г(ОПЗ)</t>
  </si>
  <si>
    <t>1004-2</t>
  </si>
  <si>
    <t>2090 - 2572</t>
  </si>
  <si>
    <t>Перевод на периодический режим-запланирован замер в новом режиме работы</t>
  </si>
  <si>
    <t xml:space="preserve">уточнение </t>
  </si>
  <si>
    <t>1004-1</t>
  </si>
  <si>
    <t>1 ств. 2500
2 ств. 2730</t>
  </si>
  <si>
    <t>1979 - 2500; 2280-2730</t>
  </si>
  <si>
    <t>ТР без изменений ввиду отсутствия замеров на актуальное Рлин</t>
  </si>
  <si>
    <t>ЗУ-10</t>
  </si>
  <si>
    <t>Куст скважины-1007</t>
  </si>
  <si>
    <t xml:space="preserve">1929-2730 </t>
  </si>
  <si>
    <t>1007-1</t>
  </si>
  <si>
    <t>177,8/114</t>
  </si>
  <si>
    <t>1985-2650</t>
  </si>
  <si>
    <t>1718-1985</t>
  </si>
  <si>
    <t>ЗУ-7</t>
  </si>
  <si>
    <t>1009-2</t>
  </si>
  <si>
    <t>Куст скважины-1009</t>
  </si>
  <si>
    <t>2060-2634</t>
  </si>
  <si>
    <t>Куст скважины-1010</t>
  </si>
  <si>
    <t>1941-2541,8</t>
  </si>
  <si>
    <t>1796-1941</t>
  </si>
  <si>
    <t>ТР без изменений ввиду отсутствия корректных замеров при актуальном Рлин</t>
  </si>
  <si>
    <t>Регулировка г/г</t>
  </si>
  <si>
    <t>1010-1</t>
  </si>
  <si>
    <t xml:space="preserve">1928-2500 </t>
  </si>
  <si>
    <t>1012-2</t>
  </si>
  <si>
    <t>Куст скважины-1012</t>
  </si>
  <si>
    <t xml:space="preserve">1922-2500 </t>
  </si>
  <si>
    <t>ТР без изменений,нет актуальных замеров</t>
  </si>
  <si>
    <t>В бездействии прошлых лет</t>
  </si>
  <si>
    <t>1014-2</t>
  </si>
  <si>
    <t>2080-2970</t>
  </si>
  <si>
    <t>ТР без изменений,скв. запущена с тех.ограничений-неустановившийся  режим работы</t>
  </si>
  <si>
    <t>К-11</t>
  </si>
  <si>
    <t>К-16</t>
  </si>
  <si>
    <t>2107-2960</t>
  </si>
  <si>
    <t>Бесподходное ОПЗ</t>
  </si>
  <si>
    <t>Увеличение дебита после длительной статики. Дебит  имеет тенденцию на снижение, вероятно, выйдет на предыдущий режим, с этим и связано и измение ГФ</t>
  </si>
  <si>
    <t>1015-1</t>
  </si>
  <si>
    <t>Куст скважины-1015-1</t>
  </si>
  <si>
    <t>1 ств 2650
2 ств 2700</t>
  </si>
  <si>
    <t xml:space="preserve"> 2118-2650; 2118-2700</t>
  </si>
  <si>
    <t>32,27;32,44</t>
  </si>
  <si>
    <t>Перевод с периодического режима на постоянный</t>
  </si>
  <si>
    <t>К-4</t>
  </si>
  <si>
    <t>1 ств 2304
2 ств 2423</t>
  </si>
  <si>
    <t xml:space="preserve">2048,6-2304; 2048,6-2423 </t>
  </si>
  <si>
    <t xml:space="preserve">технология </t>
  </si>
  <si>
    <t>К-29</t>
  </si>
  <si>
    <t>1017-2</t>
  </si>
  <si>
    <t>2117,5-2969</t>
  </si>
  <si>
    <t>Куст скважины-1018</t>
  </si>
  <si>
    <t>1916-2431</t>
  </si>
  <si>
    <t>ТР без изменений ввиду отсутсвия корректых замеров,перезамер</t>
  </si>
  <si>
    <t>1018-1</t>
  </si>
  <si>
    <t>Пьезометрический</t>
  </si>
  <si>
    <t>1 ств 2496
2 ств 2224</t>
  </si>
  <si>
    <t xml:space="preserve"> 2150-2496; 2048-2224</t>
  </si>
  <si>
    <t>1890-2025</t>
  </si>
  <si>
    <t>Длительная "периодика" (24/720) обусловлена высоким ГФ (отрицательное влияние на давление в системе сбора)</t>
  </si>
  <si>
    <t>Прием в пьезометрический фонд.</t>
  </si>
  <si>
    <t>1018-2</t>
  </si>
  <si>
    <t>1 ств 3020 
2 ств 2872</t>
  </si>
  <si>
    <t xml:space="preserve"> 2290-3020; 2290-2872</t>
  </si>
  <si>
    <t>Отсутствие корректных замеров  в текущем месяце</t>
  </si>
  <si>
    <t>1019-1</t>
  </si>
  <si>
    <t>Куст скважины-1019</t>
  </si>
  <si>
    <t xml:space="preserve">1937-2500  </t>
  </si>
  <si>
    <t>Увеличение дебита обусловлено снижение Рлин,режим выведен по замеру от 08.06</t>
  </si>
  <si>
    <t>Вывод из б/д</t>
  </si>
  <si>
    <t>1019-2</t>
  </si>
  <si>
    <t>1965-2500</t>
  </si>
  <si>
    <t>Куст скважины-1020</t>
  </si>
  <si>
    <t>1956-2579</t>
  </si>
  <si>
    <t>ТР без изменений ввиду отсутствия замеров</t>
  </si>
  <si>
    <t>Запуск</t>
  </si>
  <si>
    <t>1020-2</t>
  </si>
  <si>
    <t>1937-2595</t>
  </si>
  <si>
    <t>ТР без изменений, замер дебита и Рзаб</t>
  </si>
  <si>
    <t>ЗУ-3</t>
  </si>
  <si>
    <t>1021-2</t>
  </si>
  <si>
    <t>К-103</t>
  </si>
  <si>
    <t>150м3 15% HCL 
 47м3 WF130</t>
  </si>
  <si>
    <t>2338,38-2339,63; 2444-2445,27; 2549,69-2550,96; 2718,03-2719,3; 2893,73-2894,79</t>
  </si>
  <si>
    <t>2127-2906</t>
  </si>
  <si>
    <t>1021-1</t>
  </si>
  <si>
    <t>К-2</t>
  </si>
  <si>
    <t>2030-2648</t>
  </si>
  <si>
    <t>ТР без изменений, смена ПО с 25.04.23</t>
  </si>
  <si>
    <t>ТР без изменений,скв. остановлена-смена ПО</t>
  </si>
  <si>
    <t>ППР</t>
  </si>
  <si>
    <t>Технология/Уточнение</t>
  </si>
  <si>
    <t>Куст скважины-1022</t>
  </si>
  <si>
    <t xml:space="preserve">1886-2745 </t>
  </si>
  <si>
    <t>ТР без изменений-НУР после АБУ</t>
  </si>
  <si>
    <t>1022-2</t>
  </si>
  <si>
    <t xml:space="preserve">1944-2695 </t>
  </si>
  <si>
    <t>1022-1</t>
  </si>
  <si>
    <t xml:space="preserve">1889-2500 </t>
  </si>
  <si>
    <t>ТР без изменений,ВСП</t>
  </si>
  <si>
    <t>Куст скважины-1027</t>
  </si>
  <si>
    <t>2050-2400</t>
  </si>
  <si>
    <t>1027-2</t>
  </si>
  <si>
    <t>1 ств 2446
2 ств 2401</t>
  </si>
  <si>
    <t>1790-1802; 1806-1811; 1813-1816; 1817-1821; 1823-1826; 1842-1852; 1854-1862; 1866-1874; 1878-1885 (газовая шапка);
 2290-3020; 2290-2872</t>
  </si>
  <si>
    <t>Без изменений, нет корректных замеров. К след. Режиму произвести корректный раздельный замер</t>
  </si>
  <si>
    <t>1027-1</t>
  </si>
  <si>
    <t>1919-2500</t>
  </si>
  <si>
    <t>1028-2</t>
  </si>
  <si>
    <t>2012-2953,5</t>
  </si>
  <si>
    <t>К-35</t>
  </si>
  <si>
    <t>1029-2</t>
  </si>
  <si>
    <t>1846-2773</t>
  </si>
  <si>
    <t>24.08.2018</t>
  </si>
  <si>
    <t>1029-1</t>
  </si>
  <si>
    <t xml:space="preserve">2019-2490 </t>
  </si>
  <si>
    <t>1030-2</t>
  </si>
  <si>
    <t>Куст скважины-1030</t>
  </si>
  <si>
    <t>1889-2509</t>
  </si>
  <si>
    <t>Куст скважины-1033</t>
  </si>
  <si>
    <t>1931-2401</t>
  </si>
  <si>
    <t>Уточнение/ИПП База</t>
  </si>
  <si>
    <t>1033-2</t>
  </si>
  <si>
    <t>1803,8-1807,8; 1809,8-1813,8; 1815,8-1817,8; 1820,8-1823,8; 1825,8-1831,8; 1834,8-1865,8; 1869,8-1871,8; 1875,8-1881,8; 1887,8-1890,8; 1895,8-1898,8; 1900,8-1902,8; 1905,8-1925,8</t>
  </si>
  <si>
    <t>1033-1</t>
  </si>
  <si>
    <t>139,7;
102</t>
  </si>
  <si>
    <t>7,72;
6,5</t>
  </si>
  <si>
    <t>1937;
1886,5</t>
  </si>
  <si>
    <t>1886,5-2481</t>
  </si>
  <si>
    <t>1565,9-1886,5</t>
  </si>
  <si>
    <t>ТР без изменнений,повторный замер Рзаб и дебита</t>
  </si>
  <si>
    <t>ЗУ-2</t>
  </si>
  <si>
    <t>1034-2</t>
  </si>
  <si>
    <t>Куст скважины-1034</t>
  </si>
  <si>
    <t>1753-1761; 1763-1768; 1771-1785; 1793-1802 (газовая шапка); 1854-1862; 1866-1868; 1871-1875; 1882-1887; 1893-1895</t>
  </si>
  <si>
    <t>Интенсификация</t>
  </si>
  <si>
    <t>1034-1</t>
  </si>
  <si>
    <t xml:space="preserve">1947-2400 </t>
  </si>
  <si>
    <t>ОПЗ с КРС</t>
  </si>
  <si>
    <t>Ипп База</t>
  </si>
  <si>
    <t>1034-3</t>
  </si>
  <si>
    <t>1905-2500</t>
  </si>
  <si>
    <t>Отбор конрольной пробы на подтверждение обводненности</t>
  </si>
  <si>
    <t>1036-2</t>
  </si>
  <si>
    <t>1 ств 2640
2 ств 2623</t>
  </si>
  <si>
    <t xml:space="preserve">  2060-2640;
  2099-2623 </t>
  </si>
  <si>
    <t>Без изменений, на ВСП по причине высокого влияния на инфраструктуру.</t>
  </si>
  <si>
    <t>1036-1</t>
  </si>
  <si>
    <t>А4</t>
  </si>
  <si>
    <t>Пьезометрическая</t>
  </si>
  <si>
    <t>1978-2770</t>
  </si>
  <si>
    <t>Перевод в пьезометр от 6.05.</t>
  </si>
  <si>
    <t>Перевод в б/д</t>
  </si>
  <si>
    <t>1040-1</t>
  </si>
  <si>
    <t>Куст скважины-1040</t>
  </si>
  <si>
    <t>1924-2690</t>
  </si>
  <si>
    <t>1645-1924</t>
  </si>
  <si>
    <t>Корректировка предыдущего режима</t>
  </si>
  <si>
    <t>1040-2</t>
  </si>
  <si>
    <t>1950,6-2400</t>
  </si>
  <si>
    <t>ОПЗ с КРС + реПВР</t>
  </si>
  <si>
    <t>Перевод скважины на постоянный режим работы</t>
  </si>
  <si>
    <t>ТР без изменений в связи с отсутствием кондиционных замеров</t>
  </si>
  <si>
    <t>Куст скважины-1044</t>
  </si>
  <si>
    <t>1880-2500</t>
  </si>
  <si>
    <t>ТР без изменений,замер после регулировки г/г</t>
  </si>
  <si>
    <t>ИПП ГТМ/Довывод</t>
  </si>
  <si>
    <t>1044-2</t>
  </si>
  <si>
    <t>1899-2400</t>
  </si>
  <si>
    <t>ТР без изменений ЗБС 22.05.23</t>
  </si>
  <si>
    <t>1044-1</t>
  </si>
  <si>
    <t>1880-2285</t>
  </si>
  <si>
    <t>Остановка скв. по фонду . ЗБС</t>
  </si>
  <si>
    <t>Куст скважины-1045</t>
  </si>
  <si>
    <t>1920-2630</t>
  </si>
  <si>
    <t>1617-1920</t>
  </si>
  <si>
    <t>21.05.2020</t>
  </si>
  <si>
    <t>1045-1</t>
  </si>
  <si>
    <t>1898.5-2426</t>
  </si>
  <si>
    <t>РВП</t>
  </si>
  <si>
    <t>К-1</t>
  </si>
  <si>
    <t>1046-2</t>
  </si>
  <si>
    <t>КГРП: HCl 15%-96м3, 
WF-40м3, KCl 2%-29,3м3</t>
  </si>
  <si>
    <t>2110-2126; 2133-2162; 2166-2182; 2186-2198; 2214-2780</t>
  </si>
  <si>
    <t>1046-1</t>
  </si>
  <si>
    <t>Куст скважины-1046</t>
  </si>
  <si>
    <t>1944-2500</t>
  </si>
  <si>
    <t>Куст скважины-1049</t>
  </si>
  <si>
    <t>2010-2520</t>
  </si>
  <si>
    <t>1049-2</t>
  </si>
  <si>
    <t xml:space="preserve">1932-2303 </t>
  </si>
  <si>
    <t>Без изменений. Нет корретных замеров</t>
  </si>
  <si>
    <t>Изменение средства измерения. Со стационарной ГЗУ на ГСК. Необходимо подобрать расход г/г</t>
  </si>
  <si>
    <t>Куст скважины-1050</t>
  </si>
  <si>
    <t>МеКаМиНефть</t>
  </si>
  <si>
    <t>64м3 HCl 15%+МО-25</t>
  </si>
  <si>
    <t>1887-1901; 1908-1914; 1920-1924; 1928-1930; 1933-1939; 1954-1957; 1961-1963; 1967-1978; 1986-2009</t>
  </si>
  <si>
    <t>09.05.2018</t>
  </si>
  <si>
    <t>% БАЗА / Технология</t>
  </si>
  <si>
    <t>1050-1</t>
  </si>
  <si>
    <t xml:space="preserve">1924-2500 </t>
  </si>
  <si>
    <t>1050-2</t>
  </si>
  <si>
    <t>1 ств 2440;
2 ств 2538</t>
  </si>
  <si>
    <t xml:space="preserve">  1943,11-2440; 1943,11-2538 </t>
  </si>
  <si>
    <t>86,46;95,61</t>
  </si>
  <si>
    <t>1654-1943</t>
  </si>
  <si>
    <t>ТР без изменений,скв.остановлена</t>
  </si>
  <si>
    <t>ЗУ-8</t>
  </si>
  <si>
    <t>Куст скважины-1051</t>
  </si>
  <si>
    <t>64м3 15% HCL 
34м3 WF130</t>
  </si>
  <si>
    <t>1892-1912; 1916-1918; 1920-1923; 1925-1928; 1931-1937; 1940-1943</t>
  </si>
  <si>
    <t xml:space="preserve"> Дебит снижается после НУР. Наблюдается снижение Рлин.  Изменение средства измерения</t>
  </si>
  <si>
    <t>Увеличение дебита после длительной статики.  Вероятно, выйдет на предыдущий режим, с этим и связано и измение ГФ</t>
  </si>
  <si>
    <t>1051-1</t>
  </si>
  <si>
    <t>Уточнение райбером</t>
  </si>
  <si>
    <t>2055.15-2055.98, 2152.61-2153.41, 2263.1-2263.9, 2397.91-2398.71, 2471.71-2472.86</t>
  </si>
  <si>
    <t>1883.74-2497</t>
  </si>
  <si>
    <t>Селективное ОПЗ</t>
  </si>
  <si>
    <t xml:space="preserve">Увеличение дебита на фоне снижения Рзаб и перевода в постоянный режим </t>
  </si>
  <si>
    <t>Куст скважины-1052</t>
  </si>
  <si>
    <t>1977-2469</t>
  </si>
  <si>
    <t>Неоптимальная работа ПО, планируется проведение  работ ПРГС-переоснащение. Дальнейший мониторинг. 12.05 перевод в пост. Режим по причине роста Рзаб</t>
  </si>
  <si>
    <t>1052-1</t>
  </si>
  <si>
    <t>1942-2498</t>
  </si>
  <si>
    <t>1055-1</t>
  </si>
  <si>
    <t>2053-2749</t>
  </si>
  <si>
    <t>02.01.2020</t>
  </si>
  <si>
    <t>НУР после длительного простоя</t>
  </si>
  <si>
    <t>Куст скважины-1056</t>
  </si>
  <si>
    <t xml:space="preserve">1942-2500 </t>
  </si>
  <si>
    <t>1056-2</t>
  </si>
  <si>
    <t xml:space="preserve">2070-2500 </t>
  </si>
  <si>
    <t>"-1,5т" по шифру "довывод",т.к. апреле по данному шифру было принято +2 т (НУР после ВСП)</t>
  </si>
  <si>
    <t>ТР без изменений нет актуальных замеров</t>
  </si>
  <si>
    <t>1056-1</t>
  </si>
  <si>
    <t>1970-2500</t>
  </si>
  <si>
    <t>Изменение  средств измерений с МЗУ на ГСК</t>
  </si>
  <si>
    <t>Скв.после ОПЗ 04.2023, после отработки тех.воды отмечается увеличение дебита</t>
  </si>
  <si>
    <t>Куст скважины-1057</t>
  </si>
  <si>
    <t>1965-2464</t>
  </si>
  <si>
    <t>04.08.2018</t>
  </si>
  <si>
    <t>ПНГ</t>
  </si>
  <si>
    <t>1057-1</t>
  </si>
  <si>
    <t xml:space="preserve">1985-2500 </t>
  </si>
  <si>
    <t>ТР без изменений,после АБУ</t>
  </si>
  <si>
    <t>1057-2</t>
  </si>
  <si>
    <t>1786-1792; 1796-1806 ; 1846-1906; 1916-1927;  1940-2100;</t>
  </si>
  <si>
    <t>Вывод из контр фонда</t>
  </si>
  <si>
    <t>1058-2</t>
  </si>
  <si>
    <t>Куст скважины-1058</t>
  </si>
  <si>
    <t xml:space="preserve">1956-2310 </t>
  </si>
  <si>
    <t>ТР без ихменений,скв. остановлена</t>
  </si>
  <si>
    <t>1058-1</t>
  </si>
  <si>
    <t>1 ств 2400
2 ств 2661</t>
  </si>
  <si>
    <t xml:space="preserve">1970-2400; 2205-2661 </t>
  </si>
  <si>
    <t>42,98;19,71</t>
  </si>
  <si>
    <t>ОПЗ (пено кислотная)</t>
  </si>
  <si>
    <t>ТР без изменений ввиду отсутствия замеров при актуальном Рлин и после регулировки г/г</t>
  </si>
  <si>
    <t>"-5т" по шифру "довывод",т.к. в прошлом месяце по данному шифру было принято +5 т(НУР после ВСП)/-4,2 т связано с ростом Р лин на 8 атм.</t>
  </si>
  <si>
    <t>1059-1</t>
  </si>
  <si>
    <t>Куст скважины-1059</t>
  </si>
  <si>
    <t>1962,5-2620</t>
  </si>
  <si>
    <t>1509-1962,5</t>
  </si>
  <si>
    <t>1059-2</t>
  </si>
  <si>
    <t>1832-1837; 1844-1850 ; 1864-1868; 1878-1882; 1888-1892; 1894-1898; 1906-1912</t>
  </si>
  <si>
    <t>Нур после длительного ВСП</t>
  </si>
  <si>
    <t>Куст скважины-1060</t>
  </si>
  <si>
    <t>1 ствол 2474
2 ствол 2398
3 ствол 1989 (отсечен)</t>
  </si>
  <si>
    <t>1636-1639, 1654-1955</t>
  </si>
  <si>
    <t>1060-2</t>
  </si>
  <si>
    <t xml:space="preserve">1906-2439 </t>
  </si>
  <si>
    <t>подходходное ОПЗ</t>
  </si>
  <si>
    <t>Скважина работает в стабильном режиме. Без изменений</t>
  </si>
  <si>
    <t>Куст скважины-1061</t>
  </si>
  <si>
    <t>1866-1922; 1927-1961</t>
  </si>
  <si>
    <t>1061-1</t>
  </si>
  <si>
    <t xml:space="preserve">1929-2500 </t>
  </si>
  <si>
    <t xml:space="preserve">Увеличение дебита на фоне снижения Рлин. </t>
  </si>
  <si>
    <t>Вывод из БД</t>
  </si>
  <si>
    <t>1061-2</t>
  </si>
  <si>
    <t xml:space="preserve">1973-2500 </t>
  </si>
  <si>
    <t>Без изменений, НУР после ВСП.  Наблюдается рост Рлин с 20 ат до 24 ат</t>
  </si>
  <si>
    <t>1061-3</t>
  </si>
  <si>
    <t xml:space="preserve">2024-2380 </t>
  </si>
  <si>
    <t>1063-2</t>
  </si>
  <si>
    <t>К-9</t>
  </si>
  <si>
    <t>1 ств 2493
2 ств 2882</t>
  </si>
  <si>
    <t xml:space="preserve"> 2108-2493; 2123-2882</t>
  </si>
  <si>
    <t>Скважина работает в стабильном режиме. Без изменений. Режимный замер в коцне мая</t>
  </si>
  <si>
    <t xml:space="preserve">2074-2647 </t>
  </si>
  <si>
    <t>1065-2</t>
  </si>
  <si>
    <t>2139-2960</t>
  </si>
  <si>
    <t>Куст скважины-1068</t>
  </si>
  <si>
    <t xml:space="preserve">1945-2400 </t>
  </si>
  <si>
    <t>ОПЗ (ВТ ОПЗ в сен.13г.)</t>
  </si>
  <si>
    <t>Изменение режима работы с периодического на постоянный</t>
  </si>
  <si>
    <t>1068-1</t>
  </si>
  <si>
    <t xml:space="preserve">1953-2450 </t>
  </si>
  <si>
    <t>30.08.2018</t>
  </si>
  <si>
    <t>Куст скважины-1069</t>
  </si>
  <si>
    <t xml:space="preserve">1966-2500 </t>
  </si>
  <si>
    <t>1069-2</t>
  </si>
  <si>
    <t>Бездействующий</t>
  </si>
  <si>
    <t>1 ств 2480
2 ств 2647
3 ств 2270</t>
  </si>
  <si>
    <t xml:space="preserve"> 1925-2480; 1925-2647; 1925-2270</t>
  </si>
  <si>
    <t>ТР без изменений.Скв. остановлена(ЗБС)</t>
  </si>
  <si>
    <t>1070-2</t>
  </si>
  <si>
    <t>Куст скважины-1070</t>
  </si>
  <si>
    <t>1827-1833; 1837-1839; 1845-1847; 1850-1858; 1864-1867; 1869-1885; 1887-1902; 1906-1917 (газ. шапка);
1920-2400 откр.ствол</t>
  </si>
  <si>
    <t xml:space="preserve"> Без изменений. НУР после ВСП</t>
  </si>
  <si>
    <t>1070-1</t>
  </si>
  <si>
    <t xml:space="preserve">1940-2500 </t>
  </si>
  <si>
    <t>Без изменений, ВСП</t>
  </si>
  <si>
    <t>Куст скважины-1071</t>
  </si>
  <si>
    <t xml:space="preserve">1 ств 2400
2 ств 2756 </t>
  </si>
  <si>
    <t xml:space="preserve">2002-2400; 2002-2756 </t>
  </si>
  <si>
    <t>35,18;12,31</t>
  </si>
  <si>
    <t>ТР без изменений, скв. запущена с тех.огр,нет актуальных замеров.</t>
  </si>
  <si>
    <t>1071-1</t>
  </si>
  <si>
    <t xml:space="preserve">1 ств 2500;
2 ств 2780 </t>
  </si>
  <si>
    <t xml:space="preserve"> 1961-2500;
 2490-2780 </t>
  </si>
  <si>
    <t>35,17;27,40</t>
  </si>
  <si>
    <t>1961;
2490</t>
  </si>
  <si>
    <t>79;
87</t>
  </si>
  <si>
    <t>Куст скважины-1073</t>
  </si>
  <si>
    <t>2100-2843</t>
  </si>
  <si>
    <t>1073-2</t>
  </si>
  <si>
    <t>1960-2500; 1930-2515; 1930-2655; 1587-2508</t>
  </si>
  <si>
    <t>К-15</t>
  </si>
  <si>
    <t>2049-2559</t>
  </si>
  <si>
    <t>ЭЦН</t>
  </si>
  <si>
    <t>Отказ ТМС</t>
  </si>
  <si>
    <t>Отмечается устойчивая динамика увеличения обводненности продукции с 92 до 95%, что подтверждается результатами лаб. Пробs ХАЛ и данными массомера.</t>
  </si>
  <si>
    <t>Дисбаланс</t>
  </si>
  <si>
    <t>б/д</t>
  </si>
  <si>
    <t>ЗУ-4</t>
  </si>
  <si>
    <t>1077-1</t>
  </si>
  <si>
    <t>Куст скважины-1077</t>
  </si>
  <si>
    <t xml:space="preserve">1933-2400 </t>
  </si>
  <si>
    <t>1077-2</t>
  </si>
  <si>
    <t>1078-1</t>
  </si>
  <si>
    <t>Куст скважины-1078</t>
  </si>
  <si>
    <t>1927-2504</t>
  </si>
  <si>
    <t>ТР без изменений,нет корректных замеров</t>
  </si>
  <si>
    <t>ИПП ГТМ/Уточнение</t>
  </si>
  <si>
    <t>Куст скважины-1080</t>
  </si>
  <si>
    <t xml:space="preserve">1927-2400 </t>
  </si>
  <si>
    <t>НСL-12% V-50м3</t>
  </si>
  <si>
    <t>1080-2</t>
  </si>
  <si>
    <t>1921-2498</t>
  </si>
  <si>
    <t>1080-1</t>
  </si>
  <si>
    <t>1 ств 2500
2 ств 2856 3 ств 2631</t>
  </si>
  <si>
    <t xml:space="preserve"> 1944-2500;
 2450-2856; 1992-2631</t>
  </si>
  <si>
    <t>556,406,387</t>
  </si>
  <si>
    <t>1909,64-2069,9</t>
  </si>
  <si>
    <t xml:space="preserve"> ЗБС 03.2023 Снижение энергетики пласта что подтверждается дебитом и изменением Рзаб</t>
  </si>
  <si>
    <t>Скв. после ЗБС 03.2023-отмечается устойчивая динамика снижения дебита жидкости и Рзаб.Режим выведен по наиболее длительному замеру от  13.05.23</t>
  </si>
  <si>
    <t>Куст скважины-1081</t>
  </si>
  <si>
    <t>1942-1948; 1952-1986 ; 1992-2379</t>
  </si>
  <si>
    <t>1081-2</t>
  </si>
  <si>
    <t>1 ств 2500
2 ств 2125
3 ств 2174</t>
  </si>
  <si>
    <t xml:space="preserve"> 2032-2500;
 2045-2125;
 2075-2174</t>
  </si>
  <si>
    <t>39,50;8,37;18,59</t>
  </si>
  <si>
    <t>"-5т" по  одному замеру за 06.06,запланирован повторный замер</t>
  </si>
  <si>
    <t>1081-1</t>
  </si>
  <si>
    <t>1 ств 2400
2 ств 2650</t>
  </si>
  <si>
    <t xml:space="preserve"> 1932-2400;
 2340-2650</t>
  </si>
  <si>
    <t>23,54;12,68</t>
  </si>
  <si>
    <t>ЗУ-5</t>
  </si>
  <si>
    <t>Куст скважины-1084</t>
  </si>
  <si>
    <t xml:space="preserve">1917-2600 </t>
  </si>
  <si>
    <t>1660-1917</t>
  </si>
  <si>
    <t>Текущие замеры со статики</t>
  </si>
  <si>
    <t>ИПП База/ Технология</t>
  </si>
  <si>
    <t>Куст скважины-1085</t>
  </si>
  <si>
    <t xml:space="preserve">1962-2500 </t>
  </si>
  <si>
    <t>Увеличение дебита обусловлено увеличением расхода г/г</t>
  </si>
  <si>
    <t>Снижение дебита на фоне снижения расхода г/г</t>
  </si>
  <si>
    <t>1085-2</t>
  </si>
  <si>
    <t xml:space="preserve">1987-2500 </t>
  </si>
  <si>
    <t>ИПП База/Технология</t>
  </si>
  <si>
    <t>1085-1</t>
  </si>
  <si>
    <t>1 ств 2500
2 ств 2370</t>
  </si>
  <si>
    <t xml:space="preserve"> 1999-2500;
 2008-2370 </t>
  </si>
  <si>
    <t>58,17;31,82</t>
  </si>
  <si>
    <t>Запланировать замер после мероприятий от 12.06</t>
  </si>
  <si>
    <t>К-23</t>
  </si>
  <si>
    <t>2063-3181</t>
  </si>
  <si>
    <t>1092-1</t>
  </si>
  <si>
    <t>1 ств 2905,
2 ств 3020</t>
  </si>
  <si>
    <t>2192-2905; 2235-3020</t>
  </si>
  <si>
    <t>34,76;20,5</t>
  </si>
  <si>
    <t>Скважина работает в стабильном режиме. Снижение Рзаб после переоснащения</t>
  </si>
  <si>
    <t>1092-2</t>
  </si>
  <si>
    <t>160м3 15% HCL 
 64м3 WF130</t>
  </si>
  <si>
    <t>2080-2698</t>
  </si>
  <si>
    <t>1987-2698</t>
  </si>
  <si>
    <t>Скважина работает в стабильном режиме. Наблюдается снижение Рзаб и рост Рлин</t>
  </si>
  <si>
    <t>Куст скважины-1093</t>
  </si>
  <si>
    <t xml:space="preserve">1918-2433 </t>
  </si>
  <si>
    <t>1093-2</t>
  </si>
  <si>
    <t>1914-2500</t>
  </si>
  <si>
    <t>Отсутствие объективных факторов, подтверждающих корректность замеров текущего месяца( завышенные замеры)</t>
  </si>
  <si>
    <t>1093-1</t>
  </si>
  <si>
    <t>1 ств 2318, 2 ств 2318</t>
  </si>
  <si>
    <t>ВПШ на гл. 1725м, КО 1690-1696м. Окно 1693-1696м. Ликв 1904-2500</t>
  </si>
  <si>
    <t>1686-2318; 1952-2306</t>
  </si>
  <si>
    <t>Снижение дебита на фоне снижения Рзаб - скважина ГТМ (ЗБС) предыдущего месяца.</t>
  </si>
  <si>
    <t>Куст скважины-1094</t>
  </si>
  <si>
    <t>1953-2400</t>
  </si>
  <si>
    <t>Не в работе</t>
  </si>
  <si>
    <t>Необходим контрольный замер дебита</t>
  </si>
  <si>
    <t>ИПП База/ Довывод</t>
  </si>
  <si>
    <t>1094-2</t>
  </si>
  <si>
    <t>1663-2472</t>
  </si>
  <si>
    <t>1099-1</t>
  </si>
  <si>
    <t>Куст скважины-1099</t>
  </si>
  <si>
    <t>1808-2500</t>
  </si>
  <si>
    <t>ИПП ГТМ/технология</t>
  </si>
  <si>
    <t>1100-1</t>
  </si>
  <si>
    <t>2371-2957</t>
  </si>
  <si>
    <t>1100-2</t>
  </si>
  <si>
    <t>К-40</t>
  </si>
  <si>
    <t>180м3 15% HCL 
 46м3 WF130</t>
  </si>
  <si>
    <t>2211-2212; 2350-2351; 2503-2504; 2621-2622</t>
  </si>
  <si>
    <t>2006-2780</t>
  </si>
  <si>
    <t>04.07.2018</t>
  </si>
  <si>
    <t>Увеличение дебита на фоне увеличением расхода г/г</t>
  </si>
  <si>
    <t>Снижение дебита обусловлено ростом Рлин,Р заб</t>
  </si>
  <si>
    <t>200м3 15% HCL 
 80м3 WF130</t>
  </si>
  <si>
    <t>9,19; 7,4</t>
  </si>
  <si>
    <t>0-2195; 2098-2677</t>
  </si>
  <si>
    <t>Закрытый</t>
  </si>
  <si>
    <t>2241-2240; 2334-2335; 2436-2437; 2538-2539; 2644-2645</t>
  </si>
  <si>
    <t>1101-2</t>
  </si>
  <si>
    <t>280м3 15% HCL 
 112м3 WF130</t>
  </si>
  <si>
    <t>1970-2687</t>
  </si>
  <si>
    <t>1101-1</t>
  </si>
  <si>
    <t>1 ств 2600
2 ств 2550
3 ств 2500</t>
  </si>
  <si>
    <t xml:space="preserve"> 2094,8-2600;
2235,5-2550;
 2094,8-2500</t>
  </si>
  <si>
    <t>"-6т" по шифру "довывод",т.к. в прошлом месяце по данному шифру было принято "+6 т"</t>
  </si>
  <si>
    <t>К-10</t>
  </si>
  <si>
    <t>160м3 15% HCL 
+ 80м3 WF130</t>
  </si>
  <si>
    <t>1915-2745</t>
  </si>
  <si>
    <t>1103-2</t>
  </si>
  <si>
    <t>2092-2676</t>
  </si>
  <si>
    <t>1105-2</t>
  </si>
  <si>
    <t>К-5</t>
  </si>
  <si>
    <t xml:space="preserve">1932-2496 </t>
  </si>
  <si>
    <t>Дисбаланс/Уточнение</t>
  </si>
  <si>
    <t xml:space="preserve">ТРС </t>
  </si>
  <si>
    <t>1105-1</t>
  </si>
  <si>
    <t>2013-2550</t>
  </si>
  <si>
    <t>Рост процента обводненности</t>
  </si>
  <si>
    <t>% База/Технология</t>
  </si>
  <si>
    <t>% БАЗА/ Технология</t>
  </si>
  <si>
    <t>КРС</t>
  </si>
  <si>
    <t>К-12</t>
  </si>
  <si>
    <t>К-13</t>
  </si>
  <si>
    <t>2114-2749</t>
  </si>
  <si>
    <t>1106-2</t>
  </si>
  <si>
    <t>К-1106-1</t>
  </si>
  <si>
    <t>2243,6-2245,4; 2374,4-2376,1; 2502,1-2503,8; 2655,2-2656,9; 2933,8-2934,8</t>
  </si>
  <si>
    <t>2137--2957</t>
  </si>
  <si>
    <t>1106-1</t>
  </si>
  <si>
    <t>По спущенной компановке</t>
  </si>
  <si>
    <t>2052-2660</t>
  </si>
  <si>
    <t>НУР после ТКРС и  длительного простоя</t>
  </si>
  <si>
    <t xml:space="preserve">2176-2288 ; 2320-2820 </t>
  </si>
  <si>
    <t>D2400N</t>
  </si>
  <si>
    <t>ОПЗ (ОПЗ в июне 13г.)</t>
  </si>
  <si>
    <t>Увеличение F-60 Гц</t>
  </si>
  <si>
    <t>Запуск по фонду после смены ПО</t>
  </si>
  <si>
    <t>Довывод?</t>
  </si>
  <si>
    <t>1108-2</t>
  </si>
  <si>
    <t>2236-2970</t>
  </si>
  <si>
    <t>1110-1</t>
  </si>
  <si>
    <t>2011-2700</t>
  </si>
  <si>
    <t>К-3</t>
  </si>
  <si>
    <t>1996-2870</t>
  </si>
  <si>
    <t>07.03.2017</t>
  </si>
  <si>
    <t>Скважина запущена после продолжительного простоя</t>
  </si>
  <si>
    <t>К-33</t>
  </si>
  <si>
    <t>1111-2</t>
  </si>
  <si>
    <t>2183-2839</t>
  </si>
  <si>
    <t>1111-1</t>
  </si>
  <si>
    <t>2043-2939</t>
  </si>
  <si>
    <t>Куст скважины-1112</t>
  </si>
  <si>
    <t>Интенсификация (КСБ в окт.13г.)</t>
  </si>
  <si>
    <t>1112-2</t>
  </si>
  <si>
    <t xml:space="preserve">1945-2500 </t>
  </si>
  <si>
    <t>Технология/Довывод</t>
  </si>
  <si>
    <t>1112-1</t>
  </si>
  <si>
    <t>1953-2450; 1953-2261</t>
  </si>
  <si>
    <t>2199-2817</t>
  </si>
  <si>
    <t>% БАЗА/технология</t>
  </si>
  <si>
    <t>1113-1</t>
  </si>
  <si>
    <t>0-2152 
1969-2722</t>
  </si>
  <si>
    <t>2207-2860</t>
  </si>
  <si>
    <t>2472-3237</t>
  </si>
  <si>
    <t>90м3 15% HCL + 30м3 WF125</t>
  </si>
  <si>
    <t>1811-1813;1975-1977;2147-2149;2354-2356;2531-2532</t>
  </si>
  <si>
    <t>1646,9-2543,34</t>
  </si>
  <si>
    <t>1117-1</t>
  </si>
  <si>
    <t>2088-2760</t>
  </si>
  <si>
    <t>1117-2</t>
  </si>
  <si>
    <t>2041-2740</t>
  </si>
  <si>
    <t>Увеличние дебита на фоне регулировки г/г</t>
  </si>
  <si>
    <t>К-7</t>
  </si>
  <si>
    <t>К-8</t>
  </si>
  <si>
    <t>32,5т</t>
  </si>
  <si>
    <t>2115,95-2117,2; 2404,18-2405,43; 2682,66-2683,71</t>
  </si>
  <si>
    <t>ИПП База/Довывод</t>
  </si>
  <si>
    <t>К-19</t>
  </si>
  <si>
    <t>2037-2661</t>
  </si>
  <si>
    <t>Довывод/Технология</t>
  </si>
  <si>
    <t>2036-2700</t>
  </si>
  <si>
    <t>Куст скважины-1123</t>
  </si>
  <si>
    <t>1839-2400</t>
  </si>
  <si>
    <t xml:space="preserve">Запланирован  замер </t>
  </si>
  <si>
    <t>1123-1</t>
  </si>
  <si>
    <t xml:space="preserve">1840-2450 </t>
  </si>
  <si>
    <t>В 2022 г проведено РВП. С момента запуска снижение энергетики пласта что подтверждается дебитом и изменением Рзаб</t>
  </si>
  <si>
    <t>1123-2</t>
  </si>
  <si>
    <t>В консервации</t>
  </si>
  <si>
    <t xml:space="preserve">1910-2500 </t>
  </si>
  <si>
    <t>% База/Уточнение</t>
  </si>
  <si>
    <t>К-55</t>
  </si>
  <si>
    <t>200м3 15% HCL 
 50м3 WF130</t>
  </si>
  <si>
    <t>2114;
2032-2826</t>
  </si>
  <si>
    <t>2303-2304; 2431-2432; 2558-2559; 2675-2676; 2800-2801</t>
  </si>
  <si>
    <t>1124-1</t>
  </si>
  <si>
    <t>2105-2841</t>
  </si>
  <si>
    <t>1124-2</t>
  </si>
  <si>
    <t>2104-2970</t>
  </si>
  <si>
    <t>ЗБС скв от 10.05.2023, отмечается выход на режимные пар-ры после проведения ЗБС.</t>
  </si>
  <si>
    <t>Запуск после ЗБС в текущем месяце.</t>
  </si>
  <si>
    <t>К-6</t>
  </si>
  <si>
    <t xml:space="preserve">1957-2247 </t>
  </si>
  <si>
    <t>13.07.2018</t>
  </si>
  <si>
    <t>Снижение дебита на фоне роста Рлин.</t>
  </si>
  <si>
    <t>1129-2</t>
  </si>
  <si>
    <t>2014-2850</t>
  </si>
  <si>
    <t>15.05.2018</t>
  </si>
  <si>
    <t>1129-1</t>
  </si>
  <si>
    <t>2176-2980</t>
  </si>
  <si>
    <t>Снижение дебита на фоне роста Рлин и снижения расхода г/г.</t>
  </si>
  <si>
    <t>2779-3670</t>
  </si>
  <si>
    <t>Бесп. ОПЗ с растворителем</t>
  </si>
  <si>
    <t>ЗБС скв.21.01.2022-отмечается снижение дебита на фоне  снижения Рзаб в динамике.</t>
  </si>
  <si>
    <t>Прочее</t>
  </si>
  <si>
    <t>1130-2</t>
  </si>
  <si>
    <t>1 ств 2577
2 ств 2824
3 ств 3100</t>
  </si>
  <si>
    <t xml:space="preserve"> 2146-2577; 2146-2824; 2195-3100</t>
  </si>
  <si>
    <t>12,76;27,55</t>
  </si>
  <si>
    <t>Возврат потерь предыдущих периодов</t>
  </si>
  <si>
    <t>1130-1</t>
  </si>
  <si>
    <t>2503;
2350-3269</t>
  </si>
  <si>
    <t>2622-2623; 2804-2805; 2945-2946; 3077-3078; 3219-3220</t>
  </si>
  <si>
    <t>Работа с высого уровня после длительного простоя</t>
  </si>
  <si>
    <t>1131-1</t>
  </si>
  <si>
    <t>2114-2900</t>
  </si>
  <si>
    <t>1131-2</t>
  </si>
  <si>
    <t xml:space="preserve">2064-2072; 2100-2108; 2130-2140; 2152-2172 ; 2219-2805 </t>
  </si>
  <si>
    <t>Снижение процента обводненности</t>
  </si>
  <si>
    <t>2255-2880</t>
  </si>
  <si>
    <t>1 ств 2750
1 ств 2700</t>
  </si>
  <si>
    <t>2150-2182
2192-2220</t>
  </si>
  <si>
    <t>ОПЗ 2022г. Снижение энергетики пласта что подтверждается дебитом и изменением Рзаб</t>
  </si>
  <si>
    <t>1135-2</t>
  </si>
  <si>
    <t>9,19; 6,14</t>
  </si>
  <si>
    <t>2020;
2045,34</t>
  </si>
  <si>
    <t>2045,3-2812</t>
  </si>
  <si>
    <t>Отсутствует</t>
  </si>
  <si>
    <t>Возврат потерь предыдущего периода</t>
  </si>
  <si>
    <t>Снижение дебита на фоне снижения Рзатр. Вероятно "продувка" через верхние клапана. Планируется замер Рзаб, по рез-там решение.</t>
  </si>
  <si>
    <t xml:space="preserve">2199,14-2199,89; 2272,44-2273,19; 2355,99-2356,74; 2474,77-2475,52; 2523,11-2524,21; </t>
  </si>
  <si>
    <t>2018-2548</t>
  </si>
  <si>
    <t>Не работает</t>
  </si>
  <si>
    <t>К-41</t>
  </si>
  <si>
    <t>К-66</t>
  </si>
  <si>
    <t>КГРП 7ст.
450м3 15% HCl</t>
  </si>
  <si>
    <t xml:space="preserve">2373,1-2374,5; 2457,77-2459,17; 2532,47-2533,87; 2618,68-2620,08; 2704,84-2706,24; 2779,51-2780,91; 2872,38-2873,78; 2962,53-2963,93; 3035,59-3036,81 </t>
  </si>
  <si>
    <t>2109-3058</t>
  </si>
  <si>
    <t>К-14/2</t>
  </si>
  <si>
    <t>1136-2</t>
  </si>
  <si>
    <t>2266,24-2267,44; 2338,80-2340; 2446,34-2447,54; 2552,68-2553,88; 2679,56-2680,76;</t>
  </si>
  <si>
    <t>2650-2275</t>
  </si>
  <si>
    <t>2202-2998</t>
  </si>
  <si>
    <t>ГК 74  1/8</t>
  </si>
  <si>
    <t>ГК 73 1/8</t>
  </si>
  <si>
    <t>ГК 72 1/8</t>
  </si>
  <si>
    <t>ГК 71 5/32</t>
  </si>
  <si>
    <t>ЦКсОК 5/16</t>
  </si>
  <si>
    <t>Запускные параметры. Запуск по фонду 13.06.23 Перевод на газлифт</t>
  </si>
  <si>
    <t>работа бр. ТКРС - перевод на газлифт.</t>
  </si>
  <si>
    <t>1145-2</t>
  </si>
  <si>
    <t>1145-1</t>
  </si>
  <si>
    <t>2001-2665</t>
  </si>
  <si>
    <t>15.08.2018</t>
  </si>
  <si>
    <t>К-21</t>
  </si>
  <si>
    <t>К-26</t>
  </si>
  <si>
    <t>2104-2593</t>
  </si>
  <si>
    <t>Снижение дебита на фоне увеличения расхода г/г. Неободимо вернуть расход</t>
  </si>
  <si>
    <t>2905-2930</t>
  </si>
  <si>
    <t>1995,6-2905</t>
  </si>
  <si>
    <t>ГТМ скв. 25.04.2022-отмечается динамика снижения дебита на фоне снижения Рзаб</t>
  </si>
  <si>
    <t>2080-3780</t>
  </si>
  <si>
    <t>1158-1</t>
  </si>
  <si>
    <t xml:space="preserve">1916-2590  </t>
  </si>
  <si>
    <t>19.08.2018</t>
  </si>
  <si>
    <t>1910-2683; 2800-2900; 2766-2866; 2693-2793; 2656-2737; 2509-2575.5; 2458-2505;2495-2558; 2373-2473; 2345-2465; 2301-2392.8</t>
  </si>
  <si>
    <t>Увеличения  расхода г/г на 50 м3/ч</t>
  </si>
  <si>
    <t>1162-1</t>
  </si>
  <si>
    <t>1 ств 2830 
2 ств 3136</t>
  </si>
  <si>
    <t xml:space="preserve">  2116-2830;
  2140-3136</t>
  </si>
  <si>
    <t>Без изменений, некорректная работа замерной К-21</t>
  </si>
  <si>
    <t>2015-2360</t>
  </si>
  <si>
    <t>Снижение дебита нефти на фоне роста обводненности</t>
  </si>
  <si>
    <t>Снижение дебита на фоне роста процента обводненности</t>
  </si>
  <si>
    <t>Технология/% База</t>
  </si>
  <si>
    <t>1200-1</t>
  </si>
  <si>
    <t>2128-2696</t>
  </si>
  <si>
    <t>В результате анализа отмечается устойчивая динамика снижения дебита на фоне снижения Рзаб.</t>
  </si>
  <si>
    <t>2450-3160</t>
  </si>
  <si>
    <t>Возврат предыдущих геол. потерь. Приведение ТР к соответствию</t>
  </si>
  <si>
    <t>% БАЗА/ технология</t>
  </si>
  <si>
    <t>2161,82-2930</t>
  </si>
  <si>
    <t>ТР без изменений ввиду отсутствия корректных замеров</t>
  </si>
  <si>
    <t>1202-2</t>
  </si>
  <si>
    <t xml:space="preserve">2034-2900 </t>
  </si>
  <si>
    <t>1202-1</t>
  </si>
  <si>
    <t xml:space="preserve">2516-2995 </t>
  </si>
  <si>
    <t>Отсутствие незавышенных замеров, перезамер по результату корректировка ТР</t>
  </si>
  <si>
    <t>Снижение дебита жидкости в связи нехваткой газа</t>
  </si>
  <si>
    <t xml:space="preserve">1891-2592 </t>
  </si>
  <si>
    <t>Увеличение дебита на фоне регулировки расхода г/г</t>
  </si>
  <si>
    <t>1209-2</t>
  </si>
  <si>
    <t>2190-3080</t>
  </si>
  <si>
    <t>ТР без изменений,завышенный замеры после статики</t>
  </si>
  <si>
    <t>1209-1</t>
  </si>
  <si>
    <t xml:space="preserve">1916-2644  </t>
  </si>
  <si>
    <t>РИР</t>
  </si>
  <si>
    <t>100м3 15% HCL</t>
  </si>
  <si>
    <t>2379,08-2380,35; 2497,52-2498,79; 2623,79-2625,06; 2720,28-2721,55; 2824,12-2825,17</t>
  </si>
  <si>
    <t>ГТМ (ОПЗ) ЗПФ с 16.06.23 г</t>
  </si>
  <si>
    <t>1210-1</t>
  </si>
  <si>
    <t>К-17</t>
  </si>
  <si>
    <t>2417,77-2418,4; 2509,26-2509,89; 2590,96-2591,59; 2844,32-2844,95; 3027,41-3028,46</t>
  </si>
  <si>
    <t>2279-3138</t>
  </si>
  <si>
    <t>МБСНУ</t>
  </si>
  <si>
    <t>К-56</t>
  </si>
  <si>
    <t>1 ств 2900
2 ств 2970</t>
  </si>
  <si>
    <t>2572-2900;
2572-2970</t>
  </si>
  <si>
    <t>61,34;84,2</t>
  </si>
  <si>
    <t>Высокое Рзаб - недоосвоена после ТРС (смена ПО).</t>
  </si>
  <si>
    <t>1 ств 2355
2 ств 2850</t>
  </si>
  <si>
    <t>2100-2101; 2341-2342; 2597-2598; 2769-2770; 2868-2869</t>
  </si>
  <si>
    <t>42,7;64,31</t>
  </si>
  <si>
    <t>2197;2237</t>
  </si>
  <si>
    <t>03.08.2018</t>
  </si>
  <si>
    <t xml:space="preserve"> Дебит снижается после НУР</t>
  </si>
  <si>
    <t>Увеличение дебита после статики. Дебит, вероятно, выйдет на предыдущий режим, с этим и связано и измение ГФ</t>
  </si>
  <si>
    <t>1 ств 2676
2 ств 2971</t>
  </si>
  <si>
    <t xml:space="preserve"> 2214-2676;
 2270-2971</t>
  </si>
  <si>
    <t>10,17;23,21</t>
  </si>
  <si>
    <t>2214;2270</t>
  </si>
  <si>
    <t>Предыдущий ГТМ-2000г(ОПЗ)</t>
  </si>
  <si>
    <t>Скважина работает в стабильном режиме. Наблюдается рост Рлин и Рзаб, неоптимальная работа ПО. Необходим подбор расхода г/г</t>
  </si>
  <si>
    <t>2068-2713</t>
  </si>
  <si>
    <t xml:space="preserve">1 ств 2393
2 ств 2780 </t>
  </si>
  <si>
    <t xml:space="preserve"> 2180-2393;
 2210-2780 </t>
  </si>
  <si>
    <t>44,4;11</t>
  </si>
  <si>
    <t>2180;2210</t>
  </si>
  <si>
    <t>Без изменений, некорректная работа замерной К-21. Снижение дебита на фоне неоптимальной работы ПО. Провели работы ПРГС, снизили расход. Необходим мониторинг</t>
  </si>
  <si>
    <t>К-54</t>
  </si>
  <si>
    <t>P5i</t>
  </si>
  <si>
    <t>2050-2671</t>
  </si>
  <si>
    <t>Увеличение дебита на фоне снижения Рлин, регулировки расхода г/г</t>
  </si>
  <si>
    <t xml:space="preserve">Снижение дебита на фоне роста Рлин и Рзаб.  В текущем месяце был увеличен расход г/г. В следующем месяце необходим мониторинг </t>
  </si>
  <si>
    <t>% ГТМ/Технология</t>
  </si>
  <si>
    <t>2135-2774</t>
  </si>
  <si>
    <t xml:space="preserve">РВП скважины 28.11.2022 наблюдается устойчивая динамика снижения дебита на фоне снижения  Рзаб. </t>
  </si>
  <si>
    <t>К-102</t>
  </si>
  <si>
    <t>2220-2810</t>
  </si>
  <si>
    <t>НСL-15% V-100м3</t>
  </si>
  <si>
    <t>ТР без изменений,завышенный замер после статики</t>
  </si>
  <si>
    <t>К-1015-1</t>
  </si>
  <si>
    <t>2439-3296</t>
  </si>
  <si>
    <t>2365-2882</t>
  </si>
  <si>
    <t>ИПП ГТМ/Технология/Довывод</t>
  </si>
  <si>
    <t>1 ств 2373
2 ств 2737
3 ств 2737</t>
  </si>
  <si>
    <t xml:space="preserve"> 2091-2373;
 2091-2737;
 2091-2737</t>
  </si>
  <si>
    <t>ОПЗ 05.2023. Снижение энергетики пласта что подтверждается дебитом и изменением Рзаб</t>
  </si>
  <si>
    <t>Скважина остановлена по причине-ОПЗ</t>
  </si>
  <si>
    <t>гтм</t>
  </si>
  <si>
    <t>К-30</t>
  </si>
  <si>
    <t>2190-2216; 2226-2250; 2271-2990</t>
  </si>
  <si>
    <t>На ВНР после бесп. ОПЗ.</t>
  </si>
  <si>
    <t>К-31/1</t>
  </si>
  <si>
    <t>2330-3095</t>
  </si>
  <si>
    <t>По результатам анализа отмечается устойчивое снижение дебита на фоне снижения Рзаб</t>
  </si>
  <si>
    <t>1 ств 3052
2 ств 2700</t>
  </si>
  <si>
    <t>2700-3052</t>
  </si>
  <si>
    <t>Снижение дебита на фоне роста Рзаб в результате снижения расхода г/г.</t>
  </si>
  <si>
    <t>К-1249</t>
  </si>
  <si>
    <t>2307,04-2937</t>
  </si>
  <si>
    <t>2338-3035</t>
  </si>
  <si>
    <t>Снижение дебита обусловлено снижением расхода г/г( тренд на рост  Рзаб)</t>
  </si>
  <si>
    <t>1252-1</t>
  </si>
  <si>
    <t>К-40-1</t>
  </si>
  <si>
    <t xml:space="preserve">2091-2706 </t>
  </si>
  <si>
    <t>1 ств 2851;
2 ств 3018</t>
  </si>
  <si>
    <t xml:space="preserve"> 2123-2851;
 2206-3018</t>
  </si>
  <si>
    <t>12,78;45,13</t>
  </si>
  <si>
    <t>2123;
2206</t>
  </si>
  <si>
    <t>09.05.2020</t>
  </si>
  <si>
    <t>К-28</t>
  </si>
  <si>
    <t>2057-2758</t>
  </si>
  <si>
    <t xml:space="preserve">Скважина работает в стабильном режиме. Наблюдается снижение Рзаб. </t>
  </si>
  <si>
    <t>2129-2862</t>
  </si>
  <si>
    <t>Снижение дебита на фоне роста Рлин и неоптимальной работы ПО</t>
  </si>
  <si>
    <t>2276,8-2868</t>
  </si>
  <si>
    <t>К-52</t>
  </si>
  <si>
    <t>0-2034; 1879-2990</t>
  </si>
  <si>
    <t>2179-2180; 2316-2317; 2475-2476; 
2625-2626; 2808-2809</t>
  </si>
  <si>
    <t>К-60</t>
  </si>
  <si>
    <t>2129 - 2751</t>
  </si>
  <si>
    <t>Снижение дебита на фоне роста Рлин(предыдущий режим был выведен после проведения ТО-по завышенному замеру)</t>
  </si>
  <si>
    <t>1 ств 2418
2 ств 2597</t>
  </si>
  <si>
    <t>-2160-2418,
-1800-2597</t>
  </si>
  <si>
    <t>87,46;22,46</t>
  </si>
  <si>
    <t>Запуск 06.06.23 г после ПРГС (лов.работы)</t>
  </si>
  <si>
    <t>К-32</t>
  </si>
  <si>
    <t>2266-2982</t>
  </si>
  <si>
    <t>2324-3025</t>
  </si>
  <si>
    <t>К-22</t>
  </si>
  <si>
    <t>7 портов 350м3</t>
  </si>
  <si>
    <t>2183,75-2182,5; 2302-2300,8;2409,91-2408,71;2576,56-2575,36;2672,21-2671,01;2844,7-2843,5</t>
  </si>
  <si>
    <t>2086,2-2959,45</t>
  </si>
  <si>
    <t>К-65</t>
  </si>
  <si>
    <t>КГРП 7ст.
350м3 15% HCl</t>
  </si>
  <si>
    <t>2516-2517; 2655-2656; 2721-2722; 2798-2799; 2875-2876; 2972-2973; 3082-3083</t>
  </si>
  <si>
    <t>2426,08-3278</t>
  </si>
  <si>
    <t>Скопление воды тех воды на забое. Необходима отработка на СУ.</t>
  </si>
  <si>
    <t>ИПП БАЗА/Технология</t>
  </si>
  <si>
    <t>К-105</t>
  </si>
  <si>
    <t xml:space="preserve">2210,09-2211,52; 2298,44-2299,87; 2366,25-2367,68;  2518,48-2519,91; 2617,59-2619,02; 2906,87-2908,3; 2974,63-2975,86 </t>
  </si>
  <si>
    <t>2043,12-3009</t>
  </si>
  <si>
    <t xml:space="preserve">2230,51-2231,71; 2407,71-2408,91; 2515,31-2516,51; 2612,6- 2613,8; 2718,62-2719,82; 2802,85-2804,05; 2897,4-2898,6 </t>
  </si>
  <si>
    <t>2215-19</t>
  </si>
  <si>
    <t>К-44-2</t>
  </si>
  <si>
    <t>К-42</t>
  </si>
  <si>
    <t>2349,27-2350,7;2510,35-2511,78;2650,36-2651,79;2782,38-2783,81;2850,45-2851,88;2965,48-2966,91;3070,13-3071,36</t>
  </si>
  <si>
    <t>2260,25-3166</t>
  </si>
  <si>
    <t>К-36</t>
  </si>
  <si>
    <t>1797-1798; 2087-2088; 2274-2275; 2459-2460; 2601-2602</t>
  </si>
  <si>
    <t>ИПП БАЗА/довывод</t>
  </si>
  <si>
    <t>К-39</t>
  </si>
  <si>
    <t>2118-2119; 2218-2219; 2285-2287; 2513-2514; 2581-2582; 2691-2692; 2887-2888; 2119-2662</t>
  </si>
  <si>
    <t>2037-2954</t>
  </si>
  <si>
    <t xml:space="preserve">БЗО </t>
  </si>
  <si>
    <t>2063-2678</t>
  </si>
  <si>
    <t>2324,47-2325,9; 2413,62-2415,05; 2524-2525,43; 2634,61-2636,04; 2771,92-2773,35; 2887,04-2888,47; 3017,5-3018,73</t>
  </si>
  <si>
    <t>2221-3051</t>
  </si>
  <si>
    <t>ЗАО "СП "МеКаМинефть"</t>
  </si>
  <si>
    <t xml:space="preserve">2242,22-2243,42; 2367,69-2368,89; 2475,22-2476,42; 2572,88-2574,08; 2700,03-2701,23; 2793,9-2795,1; 2866,82-2868,02 </t>
  </si>
  <si>
    <t>2146-2940</t>
  </si>
  <si>
    <t xml:space="preserve">2152,16-2153,59; 2259,05-2260,48; 2309,21-2310,64; 2371,72-2373,15; 2563,97-2565,4; 2729,82-2731,25; 2781,34-2782,57 </t>
  </si>
  <si>
    <t>2048-2805</t>
  </si>
  <si>
    <t>К-127</t>
  </si>
  <si>
    <t>2138-2722</t>
  </si>
  <si>
    <t>После проведения ТО АГЗУ-103 наблюдается рост дебита газа,дебита нефти</t>
  </si>
  <si>
    <t>К-48</t>
  </si>
  <si>
    <t>2220-2230; 2320-2330; 2420-2430; 2540-2550; 2694-2701; 2790-2800; 2900-2910</t>
  </si>
  <si>
    <t>2088-3108</t>
  </si>
  <si>
    <t>Отмечается снижение дебита на фоне работы скв. с низким Рзаб</t>
  </si>
  <si>
    <t>К-1526</t>
  </si>
  <si>
    <t>1314-1</t>
  </si>
  <si>
    <t xml:space="preserve">2566,46-2567,89; 2666,80-2668,23; 2778,39-2779,82; 2891,6-2893,03; 2992,14-2993,57; 3128,64-3130,07; 3302,67-3303,9 </t>
  </si>
  <si>
    <t>2353-3317</t>
  </si>
  <si>
    <t>К-44</t>
  </si>
  <si>
    <t xml:space="preserve">2515,07-2516,47; 2690,6-2692; 2865,65-2867,05; 2985,88-2987,28; 3114,94-3116,34; 3278,72-3280,12; 3383,9-3385,13 </t>
  </si>
  <si>
    <t>2355,87-3431</t>
  </si>
  <si>
    <t xml:space="preserve">2458,81-2460,24; 2583,44-2584,87; 2685,79-2687,22; 2781,09-2782,52; 2863,46-2864,89; 2957,43-2958,86; 3053,72-3054,25 </t>
  </si>
  <si>
    <t>2103,59-3078</t>
  </si>
  <si>
    <t>К-1526-2</t>
  </si>
  <si>
    <t>2352,92-2353,78; 2439,7-2440,56; 2647,85-2648,71; 2794,1-2794,84; 2902,22-2902,96</t>
  </si>
  <si>
    <t>2253-3096,9</t>
  </si>
  <si>
    <t>Снижение энергетики пласта</t>
  </si>
  <si>
    <t>2324,99-2326,19; 2391,85-2393,05; 2512,94-2514,14</t>
  </si>
  <si>
    <t>2234-3030</t>
  </si>
  <si>
    <t xml:space="preserve">2363,84-2365,27; 2468,34-2469,74; 2601,76-2603,16; 2702,36-2703,79; 2806,04-2807,47; 2891,66-2893,09; 2987,67-2988,27 </t>
  </si>
  <si>
    <t>2024,53-2999,5</t>
  </si>
  <si>
    <t>2172,43-2173,03; 2267,9-2268,47; 2353,2-2353,8; 2500,44-2501,04; 2658-2658,8</t>
  </si>
  <si>
    <t>2494,81-2495,96; 2558,63-2559,78; 2665,15-2666,3; 2828,99-2830,14; 2981,11-2982,26; 3090,11-3091,26; 3208,77-3209,92</t>
  </si>
  <si>
    <t>2407,38-3221</t>
  </si>
  <si>
    <t>Рост Рлин,Рзаб</t>
  </si>
  <si>
    <t>2404,97-2405,78; 2489,48-2490,29; 2575,58-2576,39; 2706,55-2707,36; 2859,9-2860,5</t>
  </si>
  <si>
    <t>2289-2935,17</t>
  </si>
  <si>
    <t>2416-2882</t>
  </si>
  <si>
    <t>Отработка на СУ только в случае постановки СУ на соседнюю скважину (одновременная отработка)</t>
  </si>
  <si>
    <t>2528,87-2530,07; 2603,42-2604,62; 2726,49-2727,69; 2850,39-2851,59; 2937,25-2938,45</t>
  </si>
  <si>
    <t>2308,6-2951</t>
  </si>
  <si>
    <t xml:space="preserve">2050,9-2052,33; 2144,72-2146,15; 2239,15-2240,58; 2368,07-2369,5; 2515,28-2516,71; 2609,78-2611,21; 2776,92-2778,15 </t>
  </si>
  <si>
    <t>1977,26-2984</t>
  </si>
  <si>
    <t>Снижение дебита на фоне снижения Рзаб после ЗБС 31.10.2023</t>
  </si>
  <si>
    <t xml:space="preserve">2587,08-2588,28;  2663,67-2664,87; 2729,52-2730,72; 2838,81-2840,01; 2916,71-2917,91; 3005,98-3007,18; 3123,3-3124,5    </t>
  </si>
  <si>
    <t>240,35-3145,8</t>
  </si>
  <si>
    <t>К-34</t>
  </si>
  <si>
    <t xml:space="preserve">2341,35-2342,78; 2462,75-2464,18; 2594,27-2595,7; 2714,54-2715,97; 2856,96-2858,39; 2956,7-2958,13; 3066,69-3067,92м  </t>
  </si>
  <si>
    <t>2295,85-3088,87</t>
  </si>
  <si>
    <t>К-1324</t>
  </si>
  <si>
    <t>2451,07-2452,27; 2551,7-2552,9; 2651,48-2652,68; 2756,89-2852,09; 2959,65-2960,85; 3056,98-3058,18.</t>
  </si>
  <si>
    <t>К-1609</t>
  </si>
  <si>
    <t>P4+5+6_Block1_sever</t>
  </si>
  <si>
    <t>2043-2837</t>
  </si>
  <si>
    <t>К-104</t>
  </si>
  <si>
    <t>2065-2552</t>
  </si>
  <si>
    <t>постоянный</t>
  </si>
  <si>
    <t xml:space="preserve">1 ст - 2421 
2 ст - 2621 </t>
  </si>
  <si>
    <t>2202,78-2421
2202,78-2621</t>
  </si>
  <si>
    <t>Низкопродуктивная скважина после проведения ТРС по смене ПО с аварийным оборудрованием ПРГС (авария полученя при ВНР из бурения). Скопление воды ниже нижнего ГК. Необходима отработка на амбар или на сепарационную установку с целью отработки воды с забоя и вывода на ожидаемый дебит.</t>
  </si>
  <si>
    <t>ИПП База / Уточнение</t>
  </si>
  <si>
    <t>К-1570</t>
  </si>
  <si>
    <t>2202-2584</t>
  </si>
  <si>
    <t>2298-2876</t>
  </si>
  <si>
    <t>Высокое забойное давление, недостаточная депрессия на пласт. Необходима оптимизация путем ПМД или временной постановки сепарационной установки</t>
  </si>
  <si>
    <t xml:space="preserve">% База </t>
  </si>
  <si>
    <t>Оптимизация</t>
  </si>
  <si>
    <t>2314-2924</t>
  </si>
  <si>
    <t>В текущий момент НУР после ВСП. Мониторинг до следующего ТР. Завышенные замеры Рзаб и дебита</t>
  </si>
  <si>
    <t>К-1368</t>
  </si>
  <si>
    <t>В бездействии прошлых лет.</t>
  </si>
  <si>
    <t>1 ст - 2944
2 ст - 2795</t>
  </si>
  <si>
    <t>2372-2944;
2538-2795</t>
  </si>
  <si>
    <t>1 ств 2656
2 ств 2965</t>
  </si>
  <si>
    <t>2342-2656; 2334-2965</t>
  </si>
  <si>
    <t>20.04.2020</t>
  </si>
  <si>
    <t>2248-2654</t>
  </si>
  <si>
    <t>К-49</t>
  </si>
  <si>
    <t>К-1512</t>
  </si>
  <si>
    <t>2268,67-2269,87; 2446,7-2447,9; 2589,17-2590,37; 2659,79-2660,99; 2767,88-2769,08; 2874,6-2875,8; 3002,59-3003,79</t>
  </si>
  <si>
    <t>Неоптимальная работа ПО</t>
  </si>
  <si>
    <t>Технология/ИПП База</t>
  </si>
  <si>
    <t>2104,77-2717</t>
  </si>
  <si>
    <t>К-1599</t>
  </si>
  <si>
    <t>1981,24-2875</t>
  </si>
  <si>
    <t>1954,26-2892,86</t>
  </si>
  <si>
    <t>2221-2821</t>
  </si>
  <si>
    <t>К-97</t>
  </si>
  <si>
    <t>2305-2859</t>
  </si>
  <si>
    <t xml:space="preserve">Скв РВП от авг 22 г. С момента запуска отмечается устойчивая динамика снижения дебита и Рзаб </t>
  </si>
  <si>
    <t>К-1362</t>
  </si>
  <si>
    <t>2373-3024</t>
  </si>
  <si>
    <t>16.07.2019</t>
  </si>
  <si>
    <t>Без изменений. Некорректная работа замерной</t>
  </si>
  <si>
    <t>МЗУ</t>
  </si>
  <si>
    <t>К-1602</t>
  </si>
  <si>
    <t xml:space="preserve">открытый </t>
  </si>
  <si>
    <t>2227-3109</t>
  </si>
  <si>
    <t>В текущем месяце замеров нет</t>
  </si>
  <si>
    <t>2138-2729</t>
  </si>
  <si>
    <t>2348-3040</t>
  </si>
  <si>
    <t>К-1363</t>
  </si>
  <si>
    <t>2087-2752</t>
  </si>
  <si>
    <t>Режим выведен по данным апр 23 по Рлин  21 атм. С мая 23 г есть подозрение на перетоки между отводами АГЗУ, необходимо реализовать мероприятия по проверке работоспособности АГЗУ, по рез-м провести контрольный замер и скорректировать ТР. Дебит газа на устье больше дебита подачи г/г.</t>
  </si>
  <si>
    <t>2339-3091</t>
  </si>
  <si>
    <t>15.05.2020</t>
  </si>
  <si>
    <t>2123-2883</t>
  </si>
  <si>
    <t>2121-2875</t>
  </si>
  <si>
    <t>Без изменений. Замеры от 6,7.06 2х и 3х часовые, с завышенной обводенностью</t>
  </si>
  <si>
    <t xml:space="preserve">В предыдущем месяце был выведен тех.режим по 1 замеру, произведенному на неисправной замерной. В феврале было проведено ОПЗ  </t>
  </si>
  <si>
    <t xml:space="preserve">2318-2330, 2338-2410 </t>
  </si>
  <si>
    <t>2713-2781</t>
  </si>
  <si>
    <t xml:space="preserve">Увеличение дебита на фоне снижения Рпр и Рзаб </t>
  </si>
  <si>
    <t>Снижение дебита на фоне роста Рлин и Рзаб, неоптимальная работа ПО</t>
  </si>
  <si>
    <t>1 ств 2632
2 ств 2641</t>
  </si>
  <si>
    <t>2344-2632; 2415-2641</t>
  </si>
  <si>
    <t>Скважина с момента запуска обводненность перевели на ХАЛ. Снижение дебита на фоне роста Рлин и Рзаб, неоптимальная работа ПО</t>
  </si>
  <si>
    <t>К-21-1</t>
  </si>
  <si>
    <t xml:space="preserve">2533,8-2534,8; 2596,4-2597,4; 2682,4-2683,4; 2780,6-2781,6; 2878,3-2879,4 </t>
  </si>
  <si>
    <t>2291-2728</t>
  </si>
  <si>
    <t>2247,2-2248,3; 2418,61-2419,71; 2517,77-2518,87; 2628,21-2629,31; 2775,92-2777,02</t>
  </si>
  <si>
    <t>2198-2977</t>
  </si>
  <si>
    <t>К-91</t>
  </si>
  <si>
    <t xml:space="preserve">2190,79-2192,22; 2275,53-2276,96; 2441,32-2442,75; 2555,74-2557,17; 2701,36-2702,79; 2826,3-2827,73; 2900,58-2901,81 </t>
  </si>
  <si>
    <t>1869,05-2923</t>
  </si>
  <si>
    <t>К-121</t>
  </si>
  <si>
    <t>2152-2797</t>
  </si>
  <si>
    <t>Режим выведен по данным апр 23 по Рлин  22 атм. С мая 23 г есть подозрение на перетоки между отводами АГЗУ, необходимо реализовать мероприятия по проверке работоспособности АГЗУ, по рез-м провести контрольный замер и скорректировать ТР. Дебит газа на устье больше дебита подачи г/г.</t>
  </si>
  <si>
    <t>К-32-1</t>
  </si>
  <si>
    <t xml:space="preserve">2278 - 2294;  2297 -2306; 2312 – 2319 ; 
2347-3065 </t>
  </si>
  <si>
    <t>2271-2800</t>
  </si>
  <si>
    <t>Скважина работает в стабильном режиме. Необходим мониторинг после перерасхода г/г</t>
  </si>
  <si>
    <t>К-62</t>
  </si>
  <si>
    <t>1 ствол 2840
2 ствол 2768
3 ствол 2872</t>
  </si>
  <si>
    <t>2140-2722</t>
  </si>
  <si>
    <t>НУР после тех.ограничений</t>
  </si>
  <si>
    <t>НУР после техограничений</t>
  </si>
  <si>
    <t>2558 - 3280</t>
  </si>
  <si>
    <t>Вывод на режим после ПРГС</t>
  </si>
  <si>
    <t>ТР без изменений, скв.на ВСП</t>
  </si>
  <si>
    <t>К-124</t>
  </si>
  <si>
    <t>КГРП 5ст.
1113м3 15% HCl</t>
  </si>
  <si>
    <t>2566,83 - 2567,58; 2653,72 - 2654,47; 2800,73 - 2801,48; 2898,39 - 2899,14; 2996,67 - 2998,07</t>
  </si>
  <si>
    <t>2181-3023</t>
  </si>
  <si>
    <t>Рост Рзаб. Неоптимальная работа ПО.</t>
  </si>
  <si>
    <t>К-130</t>
  </si>
  <si>
    <t>2288-2471</t>
  </si>
  <si>
    <t>2267,45-2471</t>
  </si>
  <si>
    <t>ОПФ 15.06.23  порыв коллектора</t>
  </si>
  <si>
    <t>КГРП 6ст.
1075м3 15% HCl</t>
  </si>
  <si>
    <t>2233,65 - 2234,85; 2332,81 - 2334,01; 2441,38 - 2442,58; 2527,06 - 2528,26; 2623,77 - 2624,97; 2720,77 - 2721,97</t>
  </si>
  <si>
    <t>2170-2734</t>
  </si>
  <si>
    <t>2205-2933</t>
  </si>
  <si>
    <t>2174-2949</t>
  </si>
  <si>
    <t>2292-2929</t>
  </si>
  <si>
    <t>2405,64-3007</t>
  </si>
  <si>
    <t>2084-3069</t>
  </si>
  <si>
    <t>2024-3069</t>
  </si>
  <si>
    <t>К-1401</t>
  </si>
  <si>
    <t>2348-2945</t>
  </si>
  <si>
    <t>ОПЗ март 22г. Снижение энергетики пласта что подтверждается дебитом и изменением Рзаб</t>
  </si>
  <si>
    <t>2293-3018</t>
  </si>
  <si>
    <t>Приведение ТР к соответствию. В предыдущем месяце ТР принят  + 3 т/сут по аналогичному шифру.</t>
  </si>
  <si>
    <t>2415-3018</t>
  </si>
  <si>
    <t>2015-2760</t>
  </si>
  <si>
    <t>Необходим перезамер дебита в текущем месяце</t>
  </si>
  <si>
    <t>ТР без изменений ,в связи с отсутствием корректных замеров . Необходимо проведение ТО АГЗУ</t>
  </si>
  <si>
    <t>2302-2770</t>
  </si>
  <si>
    <t>2393-3002</t>
  </si>
  <si>
    <t>откр.ствол / хвостовик</t>
  </si>
  <si>
    <t>2526-2527; 2625-2626; 2723-2724; 2821-2822; 2930-2931; 3029-3030; 3127-3218;</t>
  </si>
  <si>
    <t>Снижение эффекта после запуска с высокого уровня</t>
  </si>
  <si>
    <t>2340-2925</t>
  </si>
  <si>
    <t>К-1412</t>
  </si>
  <si>
    <t>2252-2969</t>
  </si>
  <si>
    <t>Скважина работает в стабильном режиме. Наблюдается снижение Рзаб. (ИПП)</t>
  </si>
  <si>
    <t>ТР выведен по средним замерам с конца апреля</t>
  </si>
  <si>
    <t>2986,28-2985,08; 3090,11-3088,91; 3185,04-3183,84; 3281,52-3280,32; 3389,51-3388,31;3484,4-3483,2;3590,76-3589,56</t>
  </si>
  <si>
    <t>2777-3639</t>
  </si>
  <si>
    <t>К-53</t>
  </si>
  <si>
    <t>177,8/114,3</t>
  </si>
  <si>
    <t>2094,23-2785</t>
  </si>
  <si>
    <t>1787,61-2094,23</t>
  </si>
  <si>
    <t>ВНР</t>
  </si>
  <si>
    <t>2209-2951</t>
  </si>
  <si>
    <t>Приведение ТР к соответсвие</t>
  </si>
  <si>
    <t>ТР без изменений, нет корректных замеров</t>
  </si>
  <si>
    <t>2498-3513</t>
  </si>
  <si>
    <t>Увеличение дебита на фоне снижения Рзаб после проведения ТО</t>
  </si>
  <si>
    <t>Без изменений, нет корректных замеров</t>
  </si>
  <si>
    <t>ПГ</t>
  </si>
  <si>
    <t>2380-3086</t>
  </si>
  <si>
    <t>2082-2380</t>
  </si>
  <si>
    <t>Без изменений, т.о. по ПГ</t>
  </si>
  <si>
    <t>К-1420</t>
  </si>
  <si>
    <t>2247-3020</t>
  </si>
  <si>
    <t>Неоптимальная работа ПО,рост Рлин</t>
  </si>
  <si>
    <t>2381,81-2382,78; 2476,78-2477,75; 2617,81-2618,78; 2784,51-2785,48; 2915,31-2916,45;</t>
  </si>
  <si>
    <t>2228-2940</t>
  </si>
  <si>
    <t>К-1587</t>
  </si>
  <si>
    <t>2329,01-2329,98; 2512,53-2513,5; 2671,48-2672,45; 2758,2-2759,17; 2869,07-2870,21</t>
  </si>
  <si>
    <t>2216,37-2883</t>
  </si>
  <si>
    <t>К-1601</t>
  </si>
  <si>
    <t>2419,03-2420,23; 2529,87-2531,07; 2688,77-2689,97; 2799,38-2800,58; 2908,49-2909,69; 3041,36-3042,56;</t>
  </si>
  <si>
    <t>2294,24-3055</t>
  </si>
  <si>
    <t>К-77</t>
  </si>
  <si>
    <t>К-1509</t>
  </si>
  <si>
    <t>2347,18-2347,93; 2420,45-2421,2; 2528,13-2528,88;2729,75-2730,5;2838,45-2839,2;2934,87-2935,97</t>
  </si>
  <si>
    <t>2071,7-2960</t>
  </si>
  <si>
    <t>1988-2002, 2027-2038, 2055-2060, 2095-2100, 2104-2112; 2120-2770</t>
  </si>
  <si>
    <t>В мае 23 г проведено Бп ОПЗ, отмечаетс снижение эффекта от ОПЗ, снижение Рзаб, дебита жидкости.</t>
  </si>
  <si>
    <t>ИПП ГТМ/уточнение</t>
  </si>
  <si>
    <t>2249-2858</t>
  </si>
  <si>
    <t>Замеры в текущем месяце со статики</t>
  </si>
  <si>
    <t>2209-2834</t>
  </si>
  <si>
    <t>Отсутствие корректных замеров в текущем месяце.</t>
  </si>
  <si>
    <t>К-122</t>
  </si>
  <si>
    <t>2049-2755</t>
  </si>
  <si>
    <t>2192-2821</t>
  </si>
  <si>
    <t>2110-2720</t>
  </si>
  <si>
    <t>Возврат потерь от предыщего месяца</t>
  </si>
  <si>
    <t>1 ств 2554
2 ств 2442</t>
  </si>
  <si>
    <t xml:space="preserve">2022-2034, 2042-2052; 2082-2554, 2092-2442 </t>
  </si>
  <si>
    <t>27.04.2020</t>
  </si>
  <si>
    <t>Изменение режима работы УЭЦН - увеличение времени работы, снижение времени накопления.</t>
  </si>
  <si>
    <t>2139-2945</t>
  </si>
  <si>
    <t>23.06.2020</t>
  </si>
  <si>
    <t>2290,11-2291,26; 2411,08-2412,23; 2590,76-2591,91; 2699,79-2700,94; 2807,44-2808,64</t>
  </si>
  <si>
    <t>К-1410</t>
  </si>
  <si>
    <t>2262,28-2958</t>
  </si>
  <si>
    <t>К-98</t>
  </si>
  <si>
    <t>2304-2965</t>
  </si>
  <si>
    <t>15,,92</t>
  </si>
  <si>
    <t>2119-2662</t>
  </si>
  <si>
    <t>D800N</t>
  </si>
  <si>
    <t>2075-2669,5</t>
  </si>
  <si>
    <t>2305,75-2925,7</t>
  </si>
  <si>
    <t>% база</t>
  </si>
  <si>
    <t>Отмечается динамика увеличения обводненности проукции, что подтверждается показаниями обв. по массомеру.</t>
  </si>
  <si>
    <t>% База / Технология</t>
  </si>
  <si>
    <t>К-96</t>
  </si>
  <si>
    <t>Окно 2035-2038м</t>
  </si>
  <si>
    <t>2035-2404</t>
  </si>
  <si>
    <t>ЗБС скв. 31.03.2023-отмечается устойчивая динамика снижения дебита на фоне снижения Рзаб</t>
  </si>
  <si>
    <t>2140,3-2748</t>
  </si>
  <si>
    <t>2313-2700</t>
  </si>
  <si>
    <t>2103,21-2870</t>
  </si>
  <si>
    <t xml:space="preserve">2295,54-2296,94; 2471,84-2473,24; 2605,94-2607,34; 2801,96-2803,36; 2935,1-2936,5; 3058,22-3059,62; 3190,41-3191,63 </t>
  </si>
  <si>
    <t>2174,85-3299</t>
  </si>
  <si>
    <t>2672,04-2672,89; 2795,19-2796,04; 2894,44-2895,29; 2980,93-2981,78; 3103,79-3104,64; 3215,03-3215,88; 3301,73-3302,58; 3400,94-3401,79; 3523,03-3524,13</t>
  </si>
  <si>
    <t>ГСК</t>
  </si>
  <si>
    <t xml:space="preserve">2352,78-2354,21; 2599,19-2600,62; 2688,14-2689,57; 2809,38-2810,81; 2941,41-2942,84; 3052,03-3053,46; 3098,53-3099,76 </t>
  </si>
  <si>
    <t>2188,53-3122</t>
  </si>
  <si>
    <t xml:space="preserve">2352,84-2354,27; 2451,5-2452,93; 2560,65-2562,08; 2639,52-2640,95;  2707,94-2709,37; 2796,53-2797,96; 2905,88-2907,11  </t>
  </si>
  <si>
    <t>2287,45-2918,7</t>
  </si>
  <si>
    <t xml:space="preserve">2238,79-2240,22; 2348,86-2350,29; 2476,86-2478,29; 2572,28-2573,71; 2677,38-2678,81; 2771,84-2773,27; 2876,94-2878,17 </t>
  </si>
  <si>
    <t>2195,78-2897,18</t>
  </si>
  <si>
    <t>ИПП БАза</t>
  </si>
  <si>
    <t>1ствол 2821-3300; 2 ствол 2810,36-2811,26;3038,97-3039,97;3172,94-3173,84</t>
  </si>
  <si>
    <t>2805,66-3497</t>
  </si>
  <si>
    <t>ЗБС февраля 2023г Снижение энергетики пласта что подтверждается дебитом и изменением Рзаб</t>
  </si>
  <si>
    <t>ЗБС скважины 10.02.2023-снижение дебита на фоне снижения Рзаб.</t>
  </si>
  <si>
    <t>2212-2707;2227,2-2228,05;2300,62-2301,47;2397,16-2398,01;2551,43-2552,28;2751,39-2752,49</t>
  </si>
  <si>
    <t>2071-2753</t>
  </si>
  <si>
    <t>ВНС с КГРП</t>
  </si>
  <si>
    <t>К-88</t>
  </si>
  <si>
    <t>1476-1</t>
  </si>
  <si>
    <t>2378,07 - 2379,27; 2497,13 - 2498,33; 2613,18 - 2614,38; 2707,65 - 2708,85; 2865,68  - 2866,88; 2951,40 - 2952,60; 3088,95 - 3090,15</t>
  </si>
  <si>
    <t>2346,78-3118,42</t>
  </si>
  <si>
    <t xml:space="preserve">2406,36 - 2407,56, 2492,69-2493,89, 2625,56-2626,76,2744,84-2746,04, 2865,71-2866,91, 2989,94-2991,14, 3104,9-3106,1 </t>
  </si>
  <si>
    <t>2386,45-3178,98</t>
  </si>
  <si>
    <t>К-35-2</t>
  </si>
  <si>
    <t>К-116</t>
  </si>
  <si>
    <t>2323,96-2324,71; 2410,39-2411,14;2509,1-2509,85;2631,64-2632,39;2779,54-2780,29; 2902,6-2903,35;3026,03-3027,13</t>
  </si>
  <si>
    <t>2493,71-2494,46,2651,42-2652,17,2749,05-2749,8,2810,16-2811,46,2946,83-2947,93</t>
  </si>
  <si>
    <t>2493,71-2947,93</t>
  </si>
  <si>
    <t>1480-1</t>
  </si>
  <si>
    <t>2320-3005</t>
  </si>
  <si>
    <t>Скв.переведена в пьезометр</t>
  </si>
  <si>
    <t>2495,31-2496,51; 2621,3--2622,5; 2756,03-2757,23; 2886,42-2887,62;3012,09-3013,29;3147,81-3149,01;3277,10-3278,30</t>
  </si>
  <si>
    <t>2354,54-3288,45</t>
  </si>
  <si>
    <t>2289,81-2290,78;2412,52-2413,49;2509,97-2510,94;2643,75-2644,72;2730,37-2731,34;2840,86-2841,83;2927,58-2928,72</t>
  </si>
  <si>
    <t>1 ств 2635 2 ств 2889</t>
  </si>
  <si>
    <t>ВПШ на гл. 1953; окно 1920-1923</t>
  </si>
  <si>
    <t>2165-2635; 2199,59-2200,49; 2359,01-2359,91;2649,9-2651,14</t>
  </si>
  <si>
    <t>1893,97-2700</t>
  </si>
  <si>
    <t>ЗБС-31.03.2023. Снижение энергетики пласта что подтверждается дебитом и изменением Рзаб</t>
  </si>
  <si>
    <t>ЗБС скважины-31.03.2023.Снижение дебита на фоне снижения Рзаб.</t>
  </si>
  <si>
    <t xml:space="preserve">2499,05-2500,25; 2662,15-2663,35; 2750,1-2751,3; 2902,37-2903,57; 3001-3002,2; 3120,38-3121,58; 3271,07-3272,3 </t>
  </si>
  <si>
    <t xml:space="preserve">2397,76 - 3348
</t>
  </si>
  <si>
    <t>К-118</t>
  </si>
  <si>
    <t xml:space="preserve">2313-2314,43; 2456,31-2457,74; 2599,52-2600,95; 2708,35-2709,78; 2805,09-2806,52; 2914,6-2916,03; 3059,5-3060,73 </t>
  </si>
  <si>
    <t>2200,38-3108</t>
  </si>
  <si>
    <t>Запуск сккв. по фонду после обрыва</t>
  </si>
  <si>
    <t>Неоптимальнаяч работа ПО</t>
  </si>
  <si>
    <t>2474,06 -2475,49 , 2552,52  - 2553,95, 2620,18  - 2621,61 , 2666,24 - 2667,67,  2723,12 - 2724,55,  2811,93 - 2813,36,  2879,63 - 2880,86</t>
  </si>
  <si>
    <t>2305-2903</t>
  </si>
  <si>
    <t>КПГРП 7ст.
350м3 15% HCl           Vпр=200тн</t>
  </si>
  <si>
    <t xml:space="preserve">2155,2-2156,7; 2250,5-2252; 2336,55-2338,05; 2423,8-2425,3; 2511,7-2513,2; 2609,89-2611,4; 2687,3-2687,9 </t>
  </si>
  <si>
    <t>1873,54-2720</t>
  </si>
  <si>
    <t>К-68</t>
  </si>
  <si>
    <t xml:space="preserve">2091-2093, 2226-2227, 2325-2327, 2389-2390, 2488-2489, 2550-2552, 2625-2627, 2688-2690, 2759-2760, 2833-2834  </t>
  </si>
  <si>
    <t>2042,78-2839,12</t>
  </si>
  <si>
    <t>2361,42-2362,85; 2455,63-2457,06;2561,33-2562,76;2679,93-2681,36;2809,29-2810,72;2926,71-2928,14;3034,47-3035,7</t>
  </si>
  <si>
    <t>2217-3060</t>
  </si>
  <si>
    <t xml:space="preserve">2261,82-2263,25; 2418,86-2420,29; 2524,61-2526,04; 2724,18-2725,61; 2820,3-2821,73; 2936,59-2938,02; 3042,5-3043,73 </t>
  </si>
  <si>
    <t>2049,17-3065</t>
  </si>
  <si>
    <t xml:space="preserve">2146,23 – 2147,63м.  2303 – 2304,4м.  2439,73 – 2441,13м.  2545,46 – 2546,86м.  2681,73 – 2683,13м.  2784,68 – 2786,08м, 2956,42 - 2957,65м </t>
  </si>
  <si>
    <t>2037,2-2970</t>
  </si>
  <si>
    <t>2358,94-2359,99; 2506,55-2507,6; 2607,16-2608,21; 2703,83-2704,88; 2816-2817,05</t>
  </si>
  <si>
    <t>2077-2572</t>
  </si>
  <si>
    <t xml:space="preserve">2318,35-2319,78 ; 2402,02-2403,45 ; 2559,46-2560,89 ; 2642,73-2644,16 ; 2724,76-2726,19 ; 2818,79-2819,32 </t>
  </si>
  <si>
    <t>1795,64-2850,5</t>
  </si>
  <si>
    <t>Заланирован замер Рзаб</t>
  </si>
  <si>
    <t xml:space="preserve">2219,87-2221,27; 2332,86-2334,26; 2429,48-2430,88; 2526-2527,41; 2674,05-2675,45; 2801,1-2802,49; 2947,81-2949,04 </t>
  </si>
  <si>
    <t>2154,26-3073,64</t>
  </si>
  <si>
    <t xml:space="preserve">2241,48-2242,68; 2390,7-2391,9; 2520,9-2522,1; 2667,89-2669,09; 2809,38-2810,58; 2940,56-2941,76; 3049,28-3050,48м </t>
  </si>
  <si>
    <t>21167,23-3080,72</t>
  </si>
  <si>
    <t>Снижение дебита на фоне роста Рзаб,Рлин</t>
  </si>
  <si>
    <t>долото</t>
  </si>
  <si>
    <t>2194-3033</t>
  </si>
  <si>
    <t>2120-3017</t>
  </si>
  <si>
    <t>2169,29-2170,49; 2268,59-2269,79; 2355,96-2357,16; 2492,07-2493,27; 2615,2-2616,4</t>
  </si>
  <si>
    <t>Возврат потерь с предыдущего месяца, за счет снижения Рлин. С 24 до 22 атм</t>
  </si>
  <si>
    <t xml:space="preserve"> 2916,44-2917,64; 3023,92-3025,12; 3089,21-3090,41; 3175,88-3177,08; 3241,63-3242,83; 3318,61-3319,81 </t>
  </si>
  <si>
    <t>2559,98-3417,11</t>
  </si>
  <si>
    <t>2427,43-2428,48; 2580,32-2581,37; 2812,57-2813,62; 2937,68-2938,73; 3030,66-3031,71</t>
  </si>
  <si>
    <t>2390,8-3056</t>
  </si>
  <si>
    <t xml:space="preserve">2153,16-2154,59; 2273,14-2274,57; 2404,83-2406,26; 2525,18-2526,61; 2665,88-2667,11 </t>
  </si>
  <si>
    <t>1995-2714</t>
  </si>
  <si>
    <t>24.04.2020</t>
  </si>
  <si>
    <t>2423-2920</t>
  </si>
  <si>
    <t>1931,-2423</t>
  </si>
  <si>
    <t>Прекращение фонтанирования в связи со снижением Рзаб</t>
  </si>
  <si>
    <t>2488,25-3160</t>
  </si>
  <si>
    <t>Несоблюдение периодического режима</t>
  </si>
  <si>
    <t xml:space="preserve">2395,55-2396,75; 2513,52-2514,72; 2664,55-2665,75; 2734,92-2736,12; 2807,95-2809,15; 3010,77-3011,97; 3082,88-3084,08 </t>
  </si>
  <si>
    <t>2264,66-3096</t>
  </si>
  <si>
    <t>1512-1</t>
  </si>
  <si>
    <t xml:space="preserve">2601,9-2602,06; 2759,36-2760,33; 2889,82-2890,79; 3021,78-3022,75; 3106,37-3107,51 </t>
  </si>
  <si>
    <t>2428,04-3003</t>
  </si>
  <si>
    <t>2431,85-2432,6; 2528,8-2529,55; 2625-2625,75; 2774,92-2775,67; 2875,09-2875,67; 2985,98-2986,73;3078,85-3079,95</t>
  </si>
  <si>
    <t>2336-3104</t>
  </si>
  <si>
    <t>2315-2316,2; 2434,6-2435,8; 2541-2541,2; 2693,8-2695; 2765,9-2767,1; 2765,9-2767,1; 2884,4-2885,6; 2991,7-2992,9</t>
  </si>
  <si>
    <t xml:space="preserve"> 2137-3048</t>
  </si>
  <si>
    <t xml:space="preserve">7 портов 350м3 </t>
  </si>
  <si>
    <t>2222-2222,7; 2389,2-2389,9; 2530,7-2531,5; 2651,2-2651,90; 2747,2-2748; 2877,90-2878,65; 2997-2998,1;</t>
  </si>
  <si>
    <t>2565,53-2657,28; 2857,1-2857,85; 2951-2951,75; 3080,16-3080,91; 3210,44-3211,15; 3352,86-3353,61; 3437,4-3438,5</t>
  </si>
  <si>
    <t>2440,75-3462,69</t>
  </si>
  <si>
    <t>1136-1</t>
  </si>
  <si>
    <t>190м3 15% HCL 
 48м3 WF130</t>
  </si>
  <si>
    <t>2067;
1983,6-2764</t>
  </si>
  <si>
    <t>2158-2159; 2392-2393; 2509-2510; 2617-2618; 2730-2731</t>
  </si>
  <si>
    <t>Снижение дебита на фоне роста Рлин, перевод скв. в периодический режим</t>
  </si>
  <si>
    <t>2377,31-2378,51; 2472,13-2473,33; 2626,22-2627,42; 2787,54-2788,74; 2904,35-2905,55; 3018,07-3019,27; 3114,44-3115,64;</t>
  </si>
  <si>
    <t>2213,46-3128</t>
  </si>
  <si>
    <t>2607,97-2608,82; 2694,96-2695,81; 2840,37-2841,22; 2998,76-2999,61; 3121,94-3122,79; 3220,33-3221,18; 3331,08-3331,93; 3451,46-3452,31; 3573,05-3574,15</t>
  </si>
  <si>
    <t>2334,4-3587</t>
  </si>
  <si>
    <t>Выход на режим</t>
  </si>
  <si>
    <t>Запуск скв.18.05 ОПЗ база</t>
  </si>
  <si>
    <t xml:space="preserve">ИПП ГТМ/Технология </t>
  </si>
  <si>
    <t>2317,49-2318,46; 2514,35-2515,32;2644,07-2645,04;2763,72-2764,69;2860,45-2861,42;2981,26-2982,23;3125,17-3126,31</t>
  </si>
  <si>
    <t>2143-3088</t>
  </si>
  <si>
    <t>67т проппанта + 366м3 15% HCl (7стадий)</t>
  </si>
  <si>
    <t xml:space="preserve">2218,67-2220,1; 2315,53-2316,96; 2422,71-2424,14; 2580,81-2582,24; 2697,99-2699,42; 2815,27-2816,7; 2932,79-2933,09 </t>
  </si>
  <si>
    <t>1918,62-2975</t>
  </si>
  <si>
    <t xml:space="preserve">2274,46-2275,66; 2371,34-2372,54; 2477,98-2479,18;2068,33-2609,53; 2746,17-2798,05;2819,63-2820,83; 2885,45-2886,65 </t>
  </si>
  <si>
    <t>2237,19-2886,65</t>
  </si>
  <si>
    <t xml:space="preserve">2511,94-2513,34;  2638,05-2639,45; 2764,01-2765,41; 2879,96-2881,36; 3057,45-3058,85; 3184-3185,4; 3289,86-3291,09 </t>
  </si>
  <si>
    <t>2331,46-3343</t>
  </si>
  <si>
    <t>Отмечается снижение дебита в связи с устойчивой динамикой снижения Р заб</t>
  </si>
  <si>
    <t>прочие</t>
  </si>
  <si>
    <t>2271,75-2272,72; 2388,57-2389,54; 2507,75-2508,75; 2647,98-2648,95; 2814,38-2815,35; 2943,84-2944,81; 3003,22-3004,83</t>
  </si>
  <si>
    <t>2136-3053</t>
  </si>
  <si>
    <t>Рассмотреть ПРГС/регулировку расхода г/г</t>
  </si>
  <si>
    <t xml:space="preserve">Снижение дебита на фоне регулировки расхода г/г. </t>
  </si>
  <si>
    <t>2185,49-2186,69; 2296,02-2297,22; 2394,92-2396,2; 2480,43-2481,63; 2589,86-2591,06; 2687,62-2688,82; 2774,1-2774,</t>
  </si>
  <si>
    <t>1999-2964</t>
  </si>
  <si>
    <t>2469-2968; 2471,57-2472,42;2543,86-2544,71; 2616,66-2617,51;2711,79-2712,64;2818,98-2819,83;2976,2-2977,3</t>
  </si>
  <si>
    <t>2199-3013</t>
  </si>
  <si>
    <t>2454,15-2454,9; 2548,44-2549,19; 2666,07-2666,82; 2760,31-2761,06; 2866,12-2866,87; 2984,14-2984,89; 3056,21-3057,31;</t>
  </si>
  <si>
    <t>2344,8-3069,7</t>
  </si>
  <si>
    <t>Снижение энергетики пласта что подтверждаеться дебитом и изменением Рзаб</t>
  </si>
  <si>
    <t>2392,7-2394,49; 2538,88-2540,67;2697,5-2698,93;2874,67-2876,1;2970,24-2971,67;3077,42-3078,65;3099,14-3099,57</t>
  </si>
  <si>
    <t>2245,61-3014,37</t>
  </si>
  <si>
    <t xml:space="preserve">2554,16-2555,59; 2714,52-2715,95;  2781,52-2782,95; 2901,83-2903,26;3038,23-3039,46 </t>
  </si>
  <si>
    <t>2346,37-3074</t>
  </si>
  <si>
    <t>Выход скв. на режим</t>
  </si>
  <si>
    <t>Запланирова замер дебита и Рзаб</t>
  </si>
  <si>
    <t>К-112</t>
  </si>
  <si>
    <t xml:space="preserve">2158,49-2159,93; 2263,6-2265,04; 2349,9-2351,34; 2445,31-2446,06; 2402,9-2403,51; 2648,22-2649,66; 2848,6-2849,85 </t>
  </si>
  <si>
    <t>1954,33-2913</t>
  </si>
  <si>
    <t xml:space="preserve">2565,5-2566,9;2695,3- 2696,5; 2801,4;-2802,6; 2897,7- 2898,9; 3122- 3123,2;3242,4- 3243,6; 3362,2- 3363,4 </t>
  </si>
  <si>
    <t>2565-3399</t>
  </si>
  <si>
    <t>2746,31-2747,74; 2902,67-2904,1; 3011,51-3012,94; 3096,37-3097,8; 3169,9-3171,33; 3300,53-3301,96; 3408,07-3409,3</t>
  </si>
  <si>
    <t>2555-3677</t>
  </si>
  <si>
    <t>Установившийся режим после запуска с длительного простоя</t>
  </si>
  <si>
    <t>2480,94-2482,37, 2577,1-2578,53, 2693,77-2695,2, 2801,07-2802,5, 2919,56-2920,99, 3051,24-3052,67, 3166,79-3168,02, 3199,14-3199,57</t>
  </si>
  <si>
    <t>2360-3295</t>
  </si>
  <si>
    <t xml:space="preserve">2430-2431,44; 2516,27-2517,71; 2612,02-2613,46; 2707,77-2709,2; 2803,05-2804,48; 2971,74-2973,18; 3202,45-3203,7 </t>
  </si>
  <si>
    <t>2175,06-3246</t>
  </si>
  <si>
    <t>К-82</t>
  </si>
  <si>
    <t>КГРП 7стадий
350 м3 15% HCl</t>
  </si>
  <si>
    <t xml:space="preserve">2270,53-2271,93; 2342-2343,43; 2443,1-2444,5; 2548,9-2550,3; 2688,65-2690,05; 2818,71-2819,94 </t>
  </si>
  <si>
    <t>2152,75-2867</t>
  </si>
  <si>
    <t xml:space="preserve">2264,89-2266,32; 2350,51-2351,94; 2466,99-2468,42; 2676,51-2677,94; 2792,9-2794,33; 2899,17-2899,7 </t>
  </si>
  <si>
    <t>1919,11-3014</t>
  </si>
  <si>
    <t xml:space="preserve">2198-2199; 2295-2297; 2403-2405; 2509-2510; 2607-2609; 2706-2707; 2825,1-2826,3 </t>
  </si>
  <si>
    <t>2087-2924</t>
  </si>
  <si>
    <t>2261,76- 2262,96; 2348,19-2349,39; 2477,18-2478,38; 2755,61-2756,81; 2833,73-2834,93; 2976,03-2977,23; 3042,11-3043,31</t>
  </si>
  <si>
    <t>2204,73-3247</t>
  </si>
  <si>
    <t>Запланирован замер дебита и Рзаб</t>
  </si>
  <si>
    <t xml:space="preserve">2388,46-2389,89; 2467,89-2469,32; 2563,64-2565,07; 2659,19-2660,62; 2754,93-2756,36; 2942,98-2944,41; 3090,17-3091,4 </t>
  </si>
  <si>
    <t>2209-2-3113</t>
  </si>
  <si>
    <t>1545-1</t>
  </si>
  <si>
    <t xml:space="preserve">2239-2241, 2324-2325, 2388-2390, 2483-2484, 2598-2599, 2713-2714, 2889-2890 </t>
  </si>
  <si>
    <t>2130-3030</t>
  </si>
  <si>
    <t xml:space="preserve">2296,9-2298,37; 2429,8-2431,2; 2538,6-2540; 2655,9-2657,3; 2722-2723,4; 2825,8-2827,2; 2923-2924,3 </t>
  </si>
  <si>
    <t>2221-3121</t>
  </si>
  <si>
    <t>2395,66-2396,86; 2510,8-2512; 2595,25-2596,45; 2863,71-2864,91; 2989,04-2990,24; 3062,94-3064,14; 3177,92-3179,12</t>
  </si>
  <si>
    <t>2196-3262</t>
  </si>
  <si>
    <t xml:space="preserve">2206,98-2208,18; 2322,09-2323,29; 2467,82-2469,02; 2593,13-2594,33; 2687,56-2688,76; 2771,86-2773,06; 2846-2847,2 </t>
  </si>
  <si>
    <t>2120,31-3022</t>
  </si>
  <si>
    <t>Снижение дебита на фоне роста Рлин и неоптимальная  работа ПО</t>
  </si>
  <si>
    <t>2270,98-2271,78; 2469,16-2469,96; 2564-2564,8; 2800,49-2801,29; 2955,14-2956,24</t>
  </si>
  <si>
    <t>2104,5-2968</t>
  </si>
  <si>
    <t>2505,58-2506,48; 2713,7-2714,6; 2885,6-2886,5; 3008,51-3009,51; 3156,82-3157,97</t>
  </si>
  <si>
    <t>0.9,0.9,0.9,0.9,1.5</t>
  </si>
  <si>
    <t>2436,03-3116</t>
  </si>
  <si>
    <t>КГРП 7ст.
350м3 15% HCl           Vпр=200тн</t>
  </si>
  <si>
    <t xml:space="preserve">2313,41-2313,91; 2427,43-2428,93; 2563,83-2565,33; 2734,73-2736,23; 2843,08-2844,58; 2958,44-2959,95; 3063,02-3063,62 </t>
  </si>
  <si>
    <t>1966,67-3095</t>
  </si>
  <si>
    <t xml:space="preserve">2252,3-2253,73; 2334,73-2336,16; 2448,59-2450,02; 2613,11-2614,54; 2714,2-2715,63; 2814,85-2816,28; 2909,03-2909,56 </t>
  </si>
  <si>
    <t>1926,1-2941</t>
  </si>
  <si>
    <t xml:space="preserve">2313,2-2314,4; 2487,35-2488,55; 2574,32-2575,52; 2640,51-2641,71; 2780,34-2781,54; 2877,59-2878,79; 2996,07-2997,27м </t>
  </si>
  <si>
    <t>2182,89-3040</t>
  </si>
  <si>
    <t xml:space="preserve">2522-2524, 2606-2608, 2688-2689, 2795-2796, 2856-2857, 2926-2927, 3021-3022 </t>
  </si>
  <si>
    <t>2348-3392</t>
  </si>
  <si>
    <t xml:space="preserve">2172,49-2173,92, 2279,05-2280,48, 2397,54-2398,97, 2504,18-2505,61, 2599,44-2600,78, 2717,77-2719,2, 2812,11-2813,34, 2836,54-2836,97 </t>
  </si>
  <si>
    <t>2097-2857</t>
  </si>
  <si>
    <t>остановлена</t>
  </si>
  <si>
    <t>2022,12-2023,32; 2186,18-2187,38;2280,1-2281,3; 2419,78-2420,98;2527,91-2529,11; 2621,52-2622,72; 2728-2729,2</t>
  </si>
  <si>
    <t>1913,3-2776</t>
  </si>
  <si>
    <t>К-1565</t>
  </si>
  <si>
    <t>2161-2800, 2227-2720</t>
  </si>
  <si>
    <t>2158-2766</t>
  </si>
  <si>
    <t>Снижение дебита на фоне Роста Рлин</t>
  </si>
  <si>
    <t>2316-3153, 2449-3163</t>
  </si>
  <si>
    <t>2315-2870</t>
  </si>
  <si>
    <t>2503,5-3124</t>
  </si>
  <si>
    <t>2151-2800</t>
  </si>
  <si>
    <t>По данному шифру было принято"-6,7 т"  в 02.23</t>
  </si>
  <si>
    <t>2302-2908</t>
  </si>
  <si>
    <t>1 ств 2746
2 ств 2844
3 ств 2793
4 ств 2700</t>
  </si>
  <si>
    <t xml:space="preserve"> 2205-2746;2300-2844; 2399-2793;2455-2700;</t>
  </si>
  <si>
    <t>66,24;64.84;51,08;36,44</t>
  </si>
  <si>
    <t>2205;2300 2399;2455</t>
  </si>
  <si>
    <t>1 ств 2947 2 ств 2820 3 ств 2730 4 ств 2934</t>
  </si>
  <si>
    <t>2440-2820; 2390-2730; 2350-2934; 2311-2947</t>
  </si>
  <si>
    <t>380;340;584;636</t>
  </si>
  <si>
    <t>ЗБС 03.2023 Снижение энергетики пласта что подтверждается дебитом и изменением Рзаб</t>
  </si>
  <si>
    <t>2075,9-2712</t>
  </si>
  <si>
    <t>Увеличение дебита обусловлено снижением Рлин</t>
  </si>
  <si>
    <t>2126-2765,6</t>
  </si>
  <si>
    <t>2596,2-3297</t>
  </si>
  <si>
    <t>Скважина работает в стабильном режиме. Наблюдается снижение Рзаб и Рлин. ТР выведен по замеру МЗУ ГСК</t>
  </si>
  <si>
    <t>2143,02-2890</t>
  </si>
  <si>
    <t>Увеличение дебита после ПРГС 05.06,увеличения расхода г/г</t>
  </si>
  <si>
    <t>Неоптимальная работа ПО-запланированы мероприятия(переоснащение)</t>
  </si>
  <si>
    <t>2368-2850</t>
  </si>
  <si>
    <t>2210-2953,19</t>
  </si>
  <si>
    <t>2136-2849</t>
  </si>
  <si>
    <t>2155-2755</t>
  </si>
  <si>
    <t>2425,7-3250</t>
  </si>
  <si>
    <t>2412-2955</t>
  </si>
  <si>
    <t>26.04.2020</t>
  </si>
  <si>
    <t>2251-2840</t>
  </si>
  <si>
    <t>ЦМ</t>
  </si>
  <si>
    <t>2061-2474</t>
  </si>
  <si>
    <t>перевод нa ЭЦН</t>
  </si>
  <si>
    <t>03.06.23 г КРС консервация</t>
  </si>
  <si>
    <t>К-1610</t>
  </si>
  <si>
    <t>2041-2868</t>
  </si>
  <si>
    <t>Скважина переведена в пьезометр</t>
  </si>
  <si>
    <t>2067-2584</t>
  </si>
  <si>
    <t>12.07.2020</t>
  </si>
  <si>
    <t>Снижение дебита на фоне Роста Рлин( режим выведен с учетом всех замеров в текущем месяце)</t>
  </si>
  <si>
    <t>2263-2933;2437-2865; 2447-3128;</t>
  </si>
  <si>
    <t>ТР без изменений,в связи отсутствием кондиционных замеров в текущем месяце. Также наблюдается рост Рзаб,Р лин (4 атм),ожидание ПРГС</t>
  </si>
  <si>
    <t>2319-2907</t>
  </si>
  <si>
    <t>Увеличение дебита обусловлено проведением ПРГС преоснащение</t>
  </si>
  <si>
    <t>Неоптимальная работа ПО, проведение переоснащения</t>
  </si>
  <si>
    <t>2392-2864</t>
  </si>
  <si>
    <t>2145,38-2146,58; 2276,07-2277,27; 2370,75-2371,95; 2478,2-2479,4; 2608,73-2609,93</t>
  </si>
  <si>
    <t>К-0</t>
  </si>
  <si>
    <t>9б2</t>
  </si>
  <si>
    <t>2455-3372</t>
  </si>
  <si>
    <t>D1150N</t>
  </si>
  <si>
    <t>Оптимизация - запуск после перевода на УЭЦН.</t>
  </si>
  <si>
    <t>2603,04-2603,89; 2702,4-2703,25; 2801,77-2802,62; 2910,81-2911,66; 2996,34-2997,44</t>
  </si>
  <si>
    <t>2319,17-3010</t>
  </si>
  <si>
    <t>К-3409</t>
  </si>
  <si>
    <t>2074-2922</t>
  </si>
  <si>
    <t>2089-2846</t>
  </si>
  <si>
    <t>ОПЗ 05.06.23: наблюдается снижение дебита на фоне сниженния Взаб</t>
  </si>
  <si>
    <t>Скв. запущена 19.05 после проведения ОПЗ,предыдущий режим выведен в 03.23</t>
  </si>
  <si>
    <t>К-3400</t>
  </si>
  <si>
    <t>2422,45-3078</t>
  </si>
  <si>
    <t xml:space="preserve"> 2055-2895; 2270-2630</t>
  </si>
  <si>
    <t>1609-1</t>
  </si>
  <si>
    <t>2347-3226; 2437-2657</t>
  </si>
  <si>
    <t>Возврат предыдущих потерь (12 т/сут)</t>
  </si>
  <si>
    <t>1609-2</t>
  </si>
  <si>
    <t>2452-3700; 2897-3620</t>
  </si>
  <si>
    <t>Режим без изменений, в связи с проведением в текущем месяце промывки скважины.</t>
  </si>
  <si>
    <t>2178,1-3078</t>
  </si>
  <si>
    <t>2359,6-2361,06;2487,31-2488,51;2581,76-2582,96;2676,16-2677,36;2806,74-2807,94</t>
  </si>
  <si>
    <t>2169,32-2835</t>
  </si>
  <si>
    <t>1909-2861; 2155-2760</t>
  </si>
  <si>
    <t>2102,87-2104,07; 2238,38-2239,58; 2336,01-2337,21; 2435,28-2436,48; 2533,79-2534,99; 2632,98-2634,18</t>
  </si>
  <si>
    <t>1991,4-2660</t>
  </si>
  <si>
    <t>Снижение дебита на фоне снижения эффекта от проведенного в 24.03.23 ОПЗ.</t>
  </si>
  <si>
    <t>178-114</t>
  </si>
  <si>
    <t>2207-3086</t>
  </si>
  <si>
    <t>КГРП 7стадий
600,8 м3 15% HCl</t>
  </si>
  <si>
    <t>2490,47 - 2491,32; 2565,03 - 2565,88; 2638,91 - 2639,76; 2713,5 - 2714,35; 2787,96 - 2788,81; 2898,15 - 2899; 3057,6 - 3058,7</t>
  </si>
  <si>
    <t>2025,02-3072</t>
  </si>
  <si>
    <t>КГРП 5стадий
825 м3 15% HCl</t>
  </si>
  <si>
    <t>2240,25 - 2241,1; 2339,39 - 2340,24; 2449,1 - 2449,95; 2582,13 - 2582,98; 2704 - 2705,4</t>
  </si>
  <si>
    <t>2125-2718</t>
  </si>
  <si>
    <t>Режим без изменений в связи с отсуствием замеров в текущем месяце.</t>
  </si>
  <si>
    <t>КГРП 7стадий
250 м3 15% HCl</t>
  </si>
  <si>
    <t xml:space="preserve">2194,39-2195,59; 2271,55-2272,75; 2360,24-2361,44; 2426,05-2427,25; 2523,97-2525,17; 2632,47-2633,67; 2741,62-2742,82 </t>
  </si>
  <si>
    <t>2114,45-2871</t>
  </si>
  <si>
    <t>1886,4-1891,4; 1894-1900; 1904-1906; 1908-1914</t>
  </si>
  <si>
    <t>2150-2848</t>
  </si>
  <si>
    <t>ГТМ ЗБС 30.12.2022 отмечается динамика снижения дебита на фоне снижения Рзаб.</t>
  </si>
  <si>
    <t xml:space="preserve">1 ств 2870
2 ств 2500 </t>
  </si>
  <si>
    <t xml:space="preserve"> 2154-2870; 2154-2500 </t>
  </si>
  <si>
    <t>28,63;11,2</t>
  </si>
  <si>
    <t>%  ГТМ</t>
  </si>
  <si>
    <t>2188-2810</t>
  </si>
  <si>
    <t>Скважина работает в стабильном режиме. Планируется переоснащение по причине роста Рзаб</t>
  </si>
  <si>
    <t>2033-2755</t>
  </si>
  <si>
    <t>2041,5-2770</t>
  </si>
  <si>
    <t>Актуализация режима работы скважины по замеру 04.2023</t>
  </si>
  <si>
    <t>ТР без изменений-нет кондиционных замеров</t>
  </si>
  <si>
    <t>2108-2714</t>
  </si>
  <si>
    <t>К-11-1</t>
  </si>
  <si>
    <t>2378-3092</t>
  </si>
  <si>
    <t>В предыдущем месяце ТР был выведен по некорректным замерам. Приведение ТР к соответсвию</t>
  </si>
  <si>
    <t>По АГЗУ резкое снижение процента обводненности. Планируется проверка АГЗУ, контрольный отбор проб и контрольный замер дебита.</t>
  </si>
  <si>
    <t>2181-2798,85</t>
  </si>
  <si>
    <t>1 ств 2558
2 ств 2699</t>
  </si>
  <si>
    <t xml:space="preserve"> 2069-2558; 2098-2699</t>
  </si>
  <si>
    <t>2069;2098</t>
  </si>
  <si>
    <t>683,7/706,5</t>
  </si>
  <si>
    <t>25.06.2020</t>
  </si>
  <si>
    <t>Нет корректных замеров после ПРГС</t>
  </si>
  <si>
    <t>На ВНР после смены ПО</t>
  </si>
  <si>
    <t>2602-3356</t>
  </si>
  <si>
    <t>02.07.2019</t>
  </si>
  <si>
    <t>2391-2959</t>
  </si>
  <si>
    <t xml:space="preserve">2884-2885,4, 2979,3-2980,7, 3087,3-3088,8, 3207-3208,4, 3348-3349,3, 3468,3-3469,8, 3563,9-3585,1 </t>
  </si>
  <si>
    <t>2680,8-3638</t>
  </si>
  <si>
    <t>2104-2800</t>
  </si>
  <si>
    <t>1926-2200</t>
  </si>
  <si>
    <t>2164-2775</t>
  </si>
  <si>
    <t>Снижение дебита после остановки подачи г/г.</t>
  </si>
  <si>
    <t>2382,7-2960; 2445,2-2960; 2594-2798</t>
  </si>
  <si>
    <t>Снижение дебита на фоне Роста Рлин, Рзаб</t>
  </si>
  <si>
    <t>2475-3185</t>
  </si>
  <si>
    <t>Ост. По фонду 15.06.23 порыв коллектора</t>
  </si>
  <si>
    <t>Порыв ГИП.</t>
  </si>
  <si>
    <t>1 ствол-2380;2 ствол-2550;3 ствол-2480</t>
  </si>
  <si>
    <t xml:space="preserve"> 1945,8-1946;  2070-2070,2; 2194,5-2194,7; </t>
  </si>
  <si>
    <t>1865-2547</t>
  </si>
  <si>
    <t>ЗБС 06.06.2023</t>
  </si>
  <si>
    <t>2584-3174</t>
  </si>
  <si>
    <t>14.08.2018</t>
  </si>
  <si>
    <t>2175-3080</t>
  </si>
  <si>
    <t>Всего кислоты 180м3, жидкость 342.9м3</t>
  </si>
  <si>
    <t>2677-3100</t>
  </si>
  <si>
    <t>Увеличение расхода г/г с 9,6-17 тыс. м3/сут</t>
  </si>
  <si>
    <t>2626-3173</t>
  </si>
  <si>
    <t>Увеличение дебита на фоне увеличения расхода г/г</t>
  </si>
  <si>
    <t>2062-2651</t>
  </si>
  <si>
    <t>2163-2875</t>
  </si>
  <si>
    <t>Скважина работает в стабильном режиме.  Увеличение расхода, необходим мониторинг</t>
  </si>
  <si>
    <t xml:space="preserve">2204-2846
2360-3005
</t>
  </si>
  <si>
    <t>Скважина работает в стабильном режиме.  Увеличение обводненности, необходим мониторинг. Производилась закачка г/г для освоения после ЗБС</t>
  </si>
  <si>
    <t>Увеличение процента обводненности за счет перевода в постоянный режим</t>
  </si>
  <si>
    <t>2193,8-2252,8; 2303,7-2342; 2411,9-2462,4; 2514,3-2565; 2616,6-2617</t>
  </si>
  <si>
    <t>1935-2657</t>
  </si>
  <si>
    <t>2140-2728</t>
  </si>
  <si>
    <t>2239,83-2241,03; 2411,62-2412,82; 2534,6-2535,8; 2644,83-2646,03; 2731,12-2732,32; 2829,08-2830,28</t>
  </si>
  <si>
    <t>Неоптимальная работа ПО. Необходим подбор режима работы скважины (перевод в постоянный режим, подбор расхода г/г)</t>
  </si>
  <si>
    <t>ИПП ГТМ/ Технология</t>
  </si>
  <si>
    <t>2269-2962</t>
  </si>
  <si>
    <t>К-20</t>
  </si>
  <si>
    <t xml:space="preserve">2220,86-2222,19; 2285,79-2287,12; 2399,18-2400,51; 2463,67-2465 </t>
  </si>
  <si>
    <t>2070-2750</t>
  </si>
  <si>
    <t>Бесп ОПЗ</t>
  </si>
  <si>
    <t>Скважина работает в стабильном режиме.  Наблюдается рост Рзаб</t>
  </si>
  <si>
    <t>2323-3060</t>
  </si>
  <si>
    <t>Открытый</t>
  </si>
  <si>
    <t>2199,17-2199,79; 2369,21-2369,83; 2548,95-2549,57; 2750,25-2750,87; 2956,98-2958,61</t>
  </si>
  <si>
    <t>0.62,0.62,0.62,0.62,1.63</t>
  </si>
  <si>
    <t>1960-2999,37</t>
  </si>
  <si>
    <t>2215-2216; 2309-2310; 2454-2456; 2578-2579; 2713-2714</t>
  </si>
  <si>
    <t>1971-2775</t>
  </si>
  <si>
    <t>13.02.2019</t>
  </si>
  <si>
    <t>3284-1</t>
  </si>
  <si>
    <t>2253,55-2254,75; 2383,36-2384,56; 2492,85-2494,05; 2613,29- 2614,49; 2689,47-2690,67; 2765,94-2767,14; 2854-2855,2</t>
  </si>
  <si>
    <t>2012-2973</t>
  </si>
  <si>
    <t>2521,44-2522,54;2449,22-2450,07;2294,71-2295,56;2198,18-2199,03;2137,68-2138,53</t>
  </si>
  <si>
    <t>2001-2520</t>
  </si>
  <si>
    <t>Увеличение дебита после ПРГС</t>
  </si>
  <si>
    <t>1 ств 2900
2 ств 2950</t>
  </si>
  <si>
    <t>2296-2900; 2326-2950</t>
  </si>
  <si>
    <t xml:space="preserve">2198,97-2200,47; 2326,01-2327,51; 2465,89-2467,39; 2584,77-2586,27; 2703,51-2705,01; 2819,1-2820,61; 2946,45-2947,05 </t>
  </si>
  <si>
    <t>1735,79-2999</t>
  </si>
  <si>
    <t>3288-1</t>
  </si>
  <si>
    <t>2285,55-2286,98, 2418,92-2420,35, 2517,18-2518,61, 2673,23-2674,66, 2805,97-2807,4, 2925,26-2926,69, 3045,99-3047,22, 3094,14-3094,57</t>
  </si>
  <si>
    <t>2207-3100</t>
  </si>
  <si>
    <t>Запуск скв.15.06 ОПЗ ГТМ</t>
  </si>
  <si>
    <t>2299,17-2300,52; 2434,67-2436,02; 2582,02-2583,37; 2657,61-2658,96; 2805,45-2806,8; 2940,02-2941,37; 3051,02-3052,37; 3199,48-3200,83; 3322,62-3323,97; 3445,21-3446,56; 3589,42-3590,77; 3722,55-3723,9; 3844,61-3845,96; 3967,55-3958,9; 4067,17-4068,52; 4190,72-4192,07</t>
  </si>
  <si>
    <t>2606,39-2607,29; 2838,52-2839,42; 3050,92- 3052,07</t>
  </si>
  <si>
    <t>0.9,0.9,1.15</t>
  </si>
  <si>
    <t>1894-2700</t>
  </si>
  <si>
    <t>Снижение дебита на фоне снижения Рзаб. ЗБС ГТМ апреля 2023г</t>
  </si>
  <si>
    <t>2120-2830</t>
  </si>
  <si>
    <t>2144-2944</t>
  </si>
  <si>
    <t>3296-1</t>
  </si>
  <si>
    <t>2490,7-3170</t>
  </si>
  <si>
    <t>1795,1 - 2691 (2060,54-2061,39; 2192,89-2193,74; 2409,55-2410,4; 2542,61-2543,46; 2664,6-2665,7</t>
  </si>
  <si>
    <t>2093-3160</t>
  </si>
  <si>
    <t>2248-2852</t>
  </si>
  <si>
    <t>1 ств 2840
2 ств 2520
3 ств 2690
4 ств 2253</t>
  </si>
  <si>
    <t>2008-2840; 2008-2520; 2008-2690; 2200-2253;</t>
  </si>
  <si>
    <t>113,91;14,76;17,10;40,30</t>
  </si>
  <si>
    <t>Снижение дебита на фоне регулировки г/г</t>
  </si>
  <si>
    <t>2506,96-2508,39;2607,27-2608,7;2707,47-2708,9;2807,43-2808,86;2907,2-2908,45;3007,93-3009,36;3100,18-3101,61;3212,55-3213,98;3324,86-3326,09</t>
  </si>
  <si>
    <t>К-47</t>
  </si>
  <si>
    <t>2200,79-2201,64; 2311,38-2312,23; 2409,93-2410,78; 2519,6-2520,45; 2700,42-2701,27; 2797,36-2798,21; 2895,19-2896,04; 3090,82-3091,92.</t>
  </si>
  <si>
    <t>Снижение дебита на фоне роста Рзаб</t>
  </si>
  <si>
    <t>2382,11-2384,31; 2492,97-2497,17; 2627,9-2629,1; 2750,22-2751,42; 2873,75-2874,95; 2960,64-2961,84; 3084,09-3085,29</t>
  </si>
  <si>
    <t>2282,1-3098</t>
  </si>
  <si>
    <t>2353,37-2354,52; 2462,34-2463,19; 2595,43-2596,28; 2704,03-2704,88; 2825,1-2825-95; 2933,55-2934,4; 3031,39-3032,24; 3200,92-3201,77.</t>
  </si>
  <si>
    <t>2353,37-3201,77</t>
  </si>
  <si>
    <t>Приведение ТР в соответствие</t>
  </si>
  <si>
    <t xml:space="preserve">2237,59-2239,02; 2356,36-2357,79; 2522,65-2524,08; 2653,63-2655,06; 2739,65-2741,08; 2871,7-2873,13; 3047,52-3048,75 </t>
  </si>
  <si>
    <t>1991-3155</t>
  </si>
  <si>
    <t>2293-2294, 2370-2371, 2437-2438, 2545-2546, 2655-2656, 2754-2755, 2875-2876</t>
  </si>
  <si>
    <t>2245,78-2898,14</t>
  </si>
  <si>
    <t xml:space="preserve">Неоптимальная работа ПО </t>
  </si>
  <si>
    <t xml:space="preserve">2538,16-2539,36; 2673,15-2674,35; 2830,74-2831,94; 2963,44-2964,64; 3012,89-3014,09; 3100,39-3101,59; 3236-3237,2 </t>
  </si>
  <si>
    <t>2460,8-3250</t>
  </si>
  <si>
    <t>2308-2309, 2418-2420, 2548-2549, 2647-2648, 2768-2769, 2899-2900, 2966-2967</t>
  </si>
  <si>
    <t>2108-2979</t>
  </si>
  <si>
    <t>2286-2681</t>
  </si>
  <si>
    <t>1941-2716</t>
  </si>
  <si>
    <t xml:space="preserve">2130,23-2131,04; 2214,6-2215,41; 2348,39-2349,2; 2467,62-2468,43; 2648,61-2650,84 </t>
  </si>
  <si>
    <t>1920,8-2700</t>
  </si>
  <si>
    <t>2339,62-2340,77; 2437,90-2439,05; 2499,65-2500,80; 2596,60-2597,75; 2680,97-2682,12; 2754,24-2755,93; 2838,26-2839,41.</t>
  </si>
  <si>
    <t>6 портов 300м3</t>
  </si>
  <si>
    <t xml:space="preserve">3056,02 - 3057,25; 2958,43 - 2959,86 ; 2849,64 - 2851,07; 2754,02 - 2755,45; 2658,06 - 2659,49; 2549,56 - 2550,99 </t>
  </si>
  <si>
    <t>2355-3070</t>
  </si>
  <si>
    <t>КГРП 10ст.
500м3 15% HCl</t>
  </si>
  <si>
    <t xml:space="preserve">2361,19-2362,39; 2486,54-2487,74; 2570,5-2571,7; 2654,37-2655,57; 2779,39-2780,59; 2853,23-2854,43; 3008,59-3009,79; 3113,34-3114,54; 3259,34-3260,54; 3374,29-3375,49  </t>
  </si>
  <si>
    <t>2151,82-3417</t>
  </si>
  <si>
    <t>360 м3(кис)</t>
  </si>
  <si>
    <t xml:space="preserve">2468,73-2469,43; 2587,81-2589,01; 2707,44-2708,64; 2780,41-2781,61; 2881,34-2882,54; 2986,85-2988,05;3092,81-3094,07;   </t>
  </si>
  <si>
    <t>2276,88-3106</t>
  </si>
  <si>
    <t>НУР после длительного</t>
  </si>
  <si>
    <t xml:space="preserve">2239,17-2240,37; 2326,87-2328,07; 2468,77-2469,97; 2578,53- 2579,73; 2717,79-2718,99; 2815,83-2817,03; 2944,77- 2945,97    </t>
  </si>
  <si>
    <t>2090-3010</t>
  </si>
  <si>
    <t>Вывод скв. на тех.режим</t>
  </si>
  <si>
    <t xml:space="preserve">2387,01-2387,86; 2473,11-2473,96;2570,53-2571,38;2740,9-2741,75; 2838,21-2839,06;2936,71-2937,56; 3173,63-3174,73 </t>
  </si>
  <si>
    <t>2250,06-3188</t>
  </si>
  <si>
    <t>Башмак хвостовиа</t>
  </si>
  <si>
    <t xml:space="preserve">2447,49-2448,69; 2557,22-2558,42; 2654,58-2655,78; 2750,41; 2867,76-2868,96; 2953,24-2954,44; 3050,35-3051,55  </t>
  </si>
  <si>
    <t>2221,99-3064,45</t>
  </si>
  <si>
    <t>2254-2915</t>
  </si>
  <si>
    <t>5 портов 430,4м3</t>
  </si>
  <si>
    <t>2614,71-2615,56; 2700,16-2701,01; 2832,8-2833,65; 2931,18-2932,03; 3125,62-3126,72</t>
  </si>
  <si>
    <t>2145-3140</t>
  </si>
  <si>
    <t>2450-3155</t>
  </si>
  <si>
    <t>К-64</t>
  </si>
  <si>
    <t>2089,85-2090,7; 2283,28-2282,43;2509,49-2508,64; 2756,24-2755,14</t>
  </si>
  <si>
    <t>177,8-114</t>
  </si>
  <si>
    <t>2132,24-2930</t>
  </si>
  <si>
    <t>2459,63; 2616,72; 2716,51; 2934,42; 3069,45</t>
  </si>
  <si>
    <t>Снижение дебита на фоне роста Рлин, в  связи с запуском фонтанов 1609;1333</t>
  </si>
  <si>
    <t>Потенциал</t>
  </si>
  <si>
    <t>2120-2984</t>
  </si>
  <si>
    <t>Возврат потерь предыдущего месяца.</t>
  </si>
  <si>
    <t>1921-2816</t>
  </si>
  <si>
    <t>Уточнение / % База</t>
  </si>
  <si>
    <t>2018,35-2850</t>
  </si>
  <si>
    <t>3409-1</t>
  </si>
  <si>
    <t>2258-3212</t>
  </si>
  <si>
    <t>2043-2905</t>
  </si>
  <si>
    <t>Возврат потерь предыдущих периодов (штуцирование при ограничениях поставки газа).</t>
  </si>
  <si>
    <t>К-129</t>
  </si>
  <si>
    <t>1 ств 2509
2 ств 2838</t>
  </si>
  <si>
    <t>2198-2509; 2232-2838</t>
  </si>
  <si>
    <t>111,2;8</t>
  </si>
  <si>
    <t>13.08.2018</t>
  </si>
  <si>
    <t>2999; 2684</t>
  </si>
  <si>
    <t>2411-2999; 2327-2684</t>
  </si>
  <si>
    <t>22.06.2020</t>
  </si>
  <si>
    <t>Технология / Уточнение</t>
  </si>
  <si>
    <t>ГИС</t>
  </si>
  <si>
    <t>1990-2002; 2008-2020; 2028-2032; 2036-2046;</t>
  </si>
  <si>
    <t>Нет корректных замеров</t>
  </si>
  <si>
    <t>Длительная "периодика"</t>
  </si>
  <si>
    <t>2243-2773</t>
  </si>
  <si>
    <t>2430-3101</t>
  </si>
  <si>
    <t>Увеличение дебита на фоне снижения Рлин и Рзаб, увеличении расхода</t>
  </si>
  <si>
    <t>2278,95-2890</t>
  </si>
  <si>
    <t>2281-2983</t>
  </si>
  <si>
    <t>Корректировка режима работы УЭЦН.</t>
  </si>
  <si>
    <t>2466,8-3285</t>
  </si>
  <si>
    <t>Уточнение по результатам замеров дебита</t>
  </si>
  <si>
    <t>КГРП 5стадий
210м3 15% HCl</t>
  </si>
  <si>
    <t>2180,82-2181,43; 2278-2278,75; 2404,33-2404,94; 2521,27-2521,88; 2649,21-2649,82</t>
  </si>
  <si>
    <t>1934-2733</t>
  </si>
  <si>
    <t>2571-3080</t>
  </si>
  <si>
    <t>Высокое забойное давление, недостаточная депрессия на пласт. С газлифтным газом скважина не работает. Необходима оптимизация путем ПМД.</t>
  </si>
  <si>
    <t xml:space="preserve">Снижение энергетики пласта отмечается динамика снижения время работы с 10,3 до 9,6 ч/сут. </t>
  </si>
  <si>
    <t>2218-2816</t>
  </si>
  <si>
    <t>ТР без изменений ввиду отсутствия замеров,скв. стояла</t>
  </si>
  <si>
    <t>К-6277</t>
  </si>
  <si>
    <t>2230-3158</t>
  </si>
  <si>
    <t>Запуск скважины по фонду ВНС-12.07.2022, в результате анализа отмечается динамика снижения дебита и Рзаб</t>
  </si>
  <si>
    <t>2202-3024</t>
  </si>
  <si>
    <t>ВНС от 22 г, отмечается динамика снижения Рзаб и дебита жидкости.</t>
  </si>
  <si>
    <t>% бАЗА</t>
  </si>
  <si>
    <t>2653-2654; 2774-2775; 2871-2872; 3194-3195; 3352-3353</t>
  </si>
  <si>
    <t>2326-3365</t>
  </si>
  <si>
    <t>Освоение текущего года</t>
  </si>
  <si>
    <t>К-5125</t>
  </si>
  <si>
    <t>2152-2763</t>
  </si>
  <si>
    <t>ГТМ ОПЗ</t>
  </si>
  <si>
    <t>ИПП ГТМ/ Уточнение</t>
  </si>
  <si>
    <t>К-5193</t>
  </si>
  <si>
    <t>2024,5-2933</t>
  </si>
  <si>
    <t>Ост по фонду 22.05.23 г по нерентабельности</t>
  </si>
  <si>
    <t>Длительная "периодика" - ож. КРС (консервация).</t>
  </si>
  <si>
    <t>2542,13-2542,98,  2698,62-2699,47,  2852,92-2853,77, 2995,54-2996,39, 3102,6-3103,45</t>
  </si>
  <si>
    <t>2320-3117</t>
  </si>
  <si>
    <t>Ввод ГС-29.08.2022-отмечается снижение дебита на фоне снижения Рзаб.</t>
  </si>
  <si>
    <t>2044,5-2635</t>
  </si>
  <si>
    <t>2051-2782</t>
  </si>
  <si>
    <t>2422-3035</t>
  </si>
  <si>
    <t>Снижаеться энергетика пласта что подтверждаеться Рзаб, ЭЦН работает  в периодике, ТР выведен по замеру от 14.06.23 г.</t>
  </si>
  <si>
    <t>2205-3434</t>
  </si>
  <si>
    <t>2153,32-2734</t>
  </si>
  <si>
    <t>2321-2875</t>
  </si>
  <si>
    <t>D1050N</t>
  </si>
  <si>
    <t>ТРС смена СЭ. Запуск по фонду 2.06.23</t>
  </si>
  <si>
    <t>Работа бр. ТКРС - оптимизация (перевод на УЭЦН).</t>
  </si>
  <si>
    <t>2055-2637</t>
  </si>
  <si>
    <t>2164-2811</t>
  </si>
  <si>
    <t>К-5914</t>
  </si>
  <si>
    <t>2054-3223</t>
  </si>
  <si>
    <t>1964,7-2900</t>
  </si>
  <si>
    <t>2405,5-3350</t>
  </si>
  <si>
    <t>2367-2949; 2367-2795</t>
  </si>
  <si>
    <t>Возврат потерь предыдущего периода.</t>
  </si>
  <si>
    <t>Технология/ Уточнение</t>
  </si>
  <si>
    <t>2300-3100</t>
  </si>
  <si>
    <t>Возврат потерь предыдущего периода за счет проведения переоснащения</t>
  </si>
  <si>
    <t>Снижение дебита на фоне роста Рлин, а также по причине недостаточного давления газлифтного газа.</t>
  </si>
  <si>
    <t>2120,6-2831</t>
  </si>
  <si>
    <t>Снижение дебита на фоне тренда снижения Рзаб - ВНС предыдущего месяца.</t>
  </si>
  <si>
    <t>2120-2835</t>
  </si>
  <si>
    <t>На ВНР (ввод новой)</t>
  </si>
  <si>
    <t>Снижение дебита на фоне снижения Рзаб</t>
  </si>
  <si>
    <t>Запуск 31 апреля (ВНС).</t>
  </si>
  <si>
    <t>К-6370</t>
  </si>
  <si>
    <t>2992,59-2991,44; 2844,47-2843,57; 2684,11-2683,21; 2523,88-2522,98; 2376,11-2375,21</t>
  </si>
  <si>
    <t>0.9,0.9,0.9,0.9,0.9</t>
  </si>
  <si>
    <t>2269-3111</t>
  </si>
  <si>
    <t>ВНС скважины 30.04.2023-отмечается динамика снежения дебита,на фоне снижения Рзаб.</t>
  </si>
  <si>
    <t>2642,99-2643,89; 2812,84-2813,74; 2875,54-2876,44; 2950,42-2951,32; 3012,94-3013,84; 3123,64-3124,54; 3198-3199,15.</t>
  </si>
  <si>
    <t>0.9,0.9,0.9,0.9,0.9,0.9,1,15</t>
  </si>
  <si>
    <t>2425-3211</t>
  </si>
  <si>
    <t>ВНС скважины от 23.04.2023, отмечается устойчивая динамика снижения дебита на фоне снижения Рзаб.</t>
  </si>
  <si>
    <t>2293,19-2292,34; 2462,10-2461,25; 2985,41-2984,56; 3118,25-3117,15</t>
  </si>
  <si>
    <t>0.85,0.85,0.85,1.1</t>
  </si>
  <si>
    <t>2131,3-3131</t>
  </si>
  <si>
    <t>ИПП ГТМ /Довывод</t>
  </si>
  <si>
    <t>Снижение энергетики пласта что подтверждается дебитом и изменением Рзаб (-8,8тн). Выход скв. на режим (-18тн)</t>
  </si>
  <si>
    <t>2299,38-2300,23;2384,92-2385,77;2578,16-2579,01;2711,01-2711,864;2867,69-2868,54;3001,58-30002,43;3135,68-3136,78</t>
  </si>
  <si>
    <t>0.85,0.85,0.85,0.85,0.85,0.85,1.1</t>
  </si>
  <si>
    <t>2198,4-3150</t>
  </si>
  <si>
    <t>Увеличение дебита на фоне регулировки гг</t>
  </si>
  <si>
    <t>2772,12-2772,97;2905,19-2906,04;3049,09-3049,94;3168,82-3169,67;3633,31-3634,41</t>
  </si>
  <si>
    <t>0.85,0.85,0.85,0.85,1.1</t>
  </si>
  <si>
    <t>2323-3117</t>
  </si>
  <si>
    <t>2240-3017</t>
  </si>
  <si>
    <t>К-6909</t>
  </si>
  <si>
    <t>3186,51-3187,61; 2933,78-2934,63; 2836,68-2837,53; 2572,62-2573,47; 2416,16-2417,01</t>
  </si>
  <si>
    <t>2245,2-3200</t>
  </si>
  <si>
    <t>2298.36-2299.21; 2497.37-2498.22; 2649.96-2650.81; 2803.41-2804.26; 2900.15-2901.00; 3100.5-3101.66</t>
  </si>
  <si>
    <t>2180.69-3114</t>
  </si>
  <si>
    <t>2209.29-2210.19; 2339.52-2340.37; 2646.69-2647.54; 2800.78-2801.63; 3200.57-3201.73</t>
  </si>
  <si>
    <t>2028.8-3213</t>
  </si>
  <si>
    <t>ООО "Ветеран"</t>
  </si>
  <si>
    <t>Кислотный ГРП</t>
  </si>
  <si>
    <t>2723,14-2723,99; 2947,7-2948,55; 3126,25-3127,35</t>
  </si>
  <si>
    <t>2020,04-3140</t>
  </si>
  <si>
    <t>2058-2059; 2106-2107; 2290-2291; 2473-2474; 2661-2662; 2862-2863; 3040-3041</t>
  </si>
  <si>
    <t>1982,5-3054</t>
  </si>
  <si>
    <t>2278-2279; 2598-2599; 2779-2780; 2947-2948; 3102-3104</t>
  </si>
  <si>
    <t>2145,6-3140</t>
  </si>
  <si>
    <t>К-6912</t>
  </si>
  <si>
    <t>В освоении текущего года</t>
  </si>
  <si>
    <t>2900-2901,2; 2621,4-2622,4; 2279,5-2280,4</t>
  </si>
  <si>
    <t>Проведение ГРП после бурения</t>
  </si>
  <si>
    <t xml:space="preserve"> 2297-2681; 2332-3320</t>
  </si>
  <si>
    <t>Без изменений</t>
  </si>
  <si>
    <t>Итого</t>
  </si>
  <si>
    <t>Руководитель кластера "Восток"</t>
  </si>
  <si>
    <t>Е.В. Волошин</t>
  </si>
  <si>
    <t>Руководитель направления  по геологии</t>
  </si>
  <si>
    <t>М.В. Гнездилов</t>
  </si>
  <si>
    <t>Руководитель направления по геологии</t>
  </si>
  <si>
    <t>Е.А. Миронов</t>
  </si>
  <si>
    <t>Руководитель направления по технологии</t>
  </si>
  <si>
    <t>Р.И. Королев</t>
  </si>
  <si>
    <t>"_____"_________________2023 г.</t>
  </si>
  <si>
    <t>Руководитель программы по поддержке и управлению изменениями</t>
  </si>
  <si>
    <t>бизнес-кейсов по новым опциям и достижению потенциала</t>
  </si>
  <si>
    <t>ПРОТОКОЛ</t>
  </si>
  <si>
    <t>от 23.06.2023 г.</t>
  </si>
  <si>
    <t>Защита технологических режимов нефтяных скважин по ВУ ОНГКМ (Кластер "Восток")</t>
  </si>
  <si>
    <t>Добыча по тех. режимам за_________ 20__г составила:</t>
  </si>
  <si>
    <t>Истощение за (отчетный месяц) составило:</t>
  </si>
  <si>
    <t>План</t>
  </si>
  <si>
    <t>Факт</t>
  </si>
  <si>
    <t>Отклонение</t>
  </si>
  <si>
    <t>Qн,
(т/сут)</t>
  </si>
  <si>
    <t>Qж,
(м3/сут)</t>
  </si>
  <si>
    <t>Общее истощение:</t>
  </si>
  <si>
    <t>Истощение по базовому фонду:</t>
  </si>
  <si>
    <t>Истощение по фонду ГТМ:</t>
  </si>
  <si>
    <t>в том числе истощение по базовому фонду:</t>
  </si>
  <si>
    <t>от изменения продуктивности пласта (ИПП)</t>
  </si>
  <si>
    <t>от изменения обводненности</t>
  </si>
  <si>
    <t>в том числе истощение по фонду ГТМ:</t>
  </si>
  <si>
    <t>от изменения продуктивности пласта (ИПП) после ГТМ</t>
  </si>
  <si>
    <t>от изменения обводненности по скважинам после ГТМ</t>
  </si>
  <si>
    <t>от изменения продуктивности пласта (ИПП) по новым скважинам</t>
  </si>
  <si>
    <t>от изменения обводненности по новым скважинам</t>
  </si>
  <si>
    <t>Изменение режима работы (не входящее в геологическое истощение)</t>
  </si>
  <si>
    <t>в том числе за счет уточнения режима работы скважин:</t>
  </si>
  <si>
    <t>в том числе за счет изменений по технологическим причинам:</t>
  </si>
  <si>
    <t>Изменение технологических режимов нефтяных скважин ВУ ОНГКМ за июнь 2023 г.</t>
  </si>
  <si>
    <t>БАЗА</t>
  </si>
  <si>
    <t>Режим за май 2023 г.</t>
  </si>
  <si>
    <t>Режим за июнь 2023 г.</t>
  </si>
  <si>
    <t>Изменение режима</t>
  </si>
  <si>
    <t>ШИФР</t>
  </si>
  <si>
    <t>Примечания по отклонениям</t>
  </si>
  <si>
    <t>Намечаемый режим</t>
  </si>
  <si>
    <t>№ п\п</t>
  </si>
  <si>
    <t>№ скв</t>
  </si>
  <si>
    <t>Куст</t>
  </si>
  <si>
    <t>СЭ</t>
  </si>
  <si>
    <t>Шт,
мм</t>
  </si>
  <si>
    <t>Рбуф,
ат</t>
  </si>
  <si>
    <t>Рзатр,
ат</t>
  </si>
  <si>
    <t>Рлин,
ат</t>
  </si>
  <si>
    <t>Время работы,
час</t>
  </si>
  <si>
    <t>Время накопления,
час</t>
  </si>
  <si>
    <t>Qн,
т/сут</t>
  </si>
  <si>
    <t>Qж,
м3/сут</t>
  </si>
  <si>
    <t>% воды</t>
  </si>
  <si>
    <t>Qпнг,
тыс.м3/сут</t>
  </si>
  <si>
    <t>ГФ ПНГ,
м3/тн</t>
  </si>
  <si>
    <t>Рзаб,
ат</t>
  </si>
  <si>
    <t>Кпрод,
м3/ат</t>
  </si>
  <si>
    <t>Дата</t>
  </si>
  <si>
    <t>Намечаемые мероприятия</t>
  </si>
  <si>
    <t>Изменение продуктивности пласта (База)</t>
  </si>
  <si>
    <t>Изменение обводненности (База)</t>
  </si>
  <si>
    <t>Изменение продуктивности пласта (ГТМ)</t>
  </si>
  <si>
    <t>Изменение по новым скважинам</t>
  </si>
  <si>
    <t>Изменение по скважинам после ГТМ</t>
  </si>
  <si>
    <t>Режим за ноябрь 2022 г.</t>
  </si>
  <si>
    <t>Режим за декабрь 2022 г.</t>
  </si>
  <si>
    <t>Изменение обводненности (ГТМ)</t>
  </si>
  <si>
    <t>Изменение обводненности по новым скважинам</t>
  </si>
  <si>
    <t>Изменение обводненности по скважинам после ГТМ</t>
  </si>
  <si>
    <t>ИТОГО</t>
  </si>
  <si>
    <t>Истощение БАЗА:</t>
  </si>
  <si>
    <t>ИПП</t>
  </si>
  <si>
    <t>Изм-е обв-ти</t>
  </si>
  <si>
    <t>Истощение ГТМ:</t>
  </si>
  <si>
    <t>Истощение БАЗА+ГТМ:</t>
  </si>
  <si>
    <t>Изменение режима по технологическим причинам</t>
  </si>
  <si>
    <t>Отрицательная "технология"</t>
  </si>
  <si>
    <t>Регулировка РГГ до 350 м3/ч, сличение показаний расходомера  с помощью накладного расходомера</t>
  </si>
  <si>
    <t>Если технология возвратная, то намечаемый режим должен быть с учетом возврата, как в протоколе, так и в ТР.</t>
  </si>
  <si>
    <t>Постановка ПРГС, переоснащение</t>
  </si>
  <si>
    <t>Регулировка РГГ до 400 м3/ч, сличение показаний расходомера  с помощью накладного расходомера</t>
  </si>
  <si>
    <t>Регулировка РГГ до 350 м3/ч, сличение показаний ТРГ с помощью накладного расходомера</t>
  </si>
  <si>
    <t>Приведение режима в соответствие, постановка ПРГС, переоснащение</t>
  </si>
  <si>
    <t>Регулировка РГГ до 200 м3/ч, сличение показаний расходомера  с помощью накладного расходомера</t>
  </si>
  <si>
    <t>Положительная "технология"</t>
  </si>
  <si>
    <t>Увеличение дебита на фоне регулировки г/г</t>
  </si>
  <si>
    <t>Уточнение технологического режима</t>
  </si>
  <si>
    <t>Руководитель сектора ОУ</t>
  </si>
  <si>
    <t>___________________</t>
  </si>
  <si>
    <t>Половинко Е.В.</t>
  </si>
  <si>
    <t>Руководитель кластера «Восток»</t>
  </si>
  <si>
    <t>Волошин Е.В.</t>
  </si>
  <si>
    <t>Сироткин А.А.</t>
  </si>
  <si>
    <t>Руководитель направления по сопровождению пласта</t>
  </si>
  <si>
    <t>Тайланов А.С.</t>
  </si>
  <si>
    <t>Руководитель направления по пласту</t>
  </si>
  <si>
    <t>Давыдов Д.А.</t>
  </si>
  <si>
    <t>Руководитель проектов по ПиУИБК-ГТМ</t>
  </si>
  <si>
    <t>Елизаров С.С.</t>
  </si>
  <si>
    <t>Руководитель проекта по поддержке и управлению изменениями бизнес-кейсов по новым опциям и достижению потенциала</t>
  </si>
  <si>
    <t>Петров Д.М.</t>
  </si>
  <si>
    <t>Мясоедов А.Н.</t>
  </si>
  <si>
    <t>Шнурко А.А.</t>
  </si>
  <si>
    <t>Руководитель направления по технологии кластера "Восток"</t>
  </si>
  <si>
    <t>Королев Р.И.</t>
  </si>
  <si>
    <t>Руководитель направления по сопровождению моделей скважин</t>
  </si>
  <si>
    <t>Гареев Р.А.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</si>
</sst>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dd/mm/yy;@"/>
    <numFmt numFmtId="165" formatCode="0.0"/>
    <numFmt numFmtId="166" formatCode="0.000"/>
    <numFmt numFmtId="167" formatCode="[$-419]mmmm;@"/>
    <numFmt numFmtId="168" formatCode="0.0%"/>
    <numFmt numFmtId="169" formatCode="[$-F800]dddd\,\ mmmm\ dd\,\ yyyy"/>
  </numFmts>
  <fonts count="8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color indexed="8"/>
      <name val="Calibri"/>
      <family val="2"/>
      <charset val="204"/>
      <scheme val="minor"/>
    </font>
    <font>
      <b/>
      <sz val="12"/>
      <color indexed="8"/>
      <name val="Calibri"/>
      <family val="2"/>
      <charset val="204"/>
      <scheme val="minor"/>
    </font>
    <font>
      <b/>
      <sz val="12"/>
      <color theme="9" tint="-0.49998474074526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color rgb="FF0070C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6"/>
      <color indexed="8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b/>
      <sz val="16"/>
      <color rgb="FFFF0000"/>
      <name val="Calibri"/>
      <family val="2"/>
      <charset val="204"/>
      <scheme val="minor"/>
    </font>
    <font>
      <sz val="16"/>
      <color indexed="8"/>
      <name val="Calibri"/>
      <family val="2"/>
      <charset val="204"/>
      <scheme val="minor"/>
    </font>
    <font>
      <b/>
      <sz val="12"/>
      <color rgb="FF0070C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9" tint="-0.499984740745262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10"/>
      <color rgb="FF0070C0"/>
      <name val="Calibri"/>
      <family val="2"/>
      <charset val="204"/>
      <scheme val="minor"/>
    </font>
    <font>
      <b/>
      <sz val="10"/>
      <color rgb="FF0000FF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b/>
      <sz val="8"/>
      <color theme="9" tint="-0.499984740745262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b/>
      <sz val="8"/>
      <color rgb="FF0070C0"/>
      <name val="Calibri"/>
      <family val="2"/>
      <charset val="204"/>
      <scheme val="minor"/>
    </font>
    <font>
      <b/>
      <sz val="8"/>
      <color rgb="FF0000FF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8"/>
      <color rgb="FF0070C0"/>
      <name val="Calibri"/>
      <family val="2"/>
      <charset val="204"/>
      <scheme val="minor"/>
    </font>
    <font>
      <sz val="8"/>
      <color rgb="FF0000FF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color indexed="8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rgb="FF800000"/>
      <name val="Calibri"/>
      <family val="2"/>
      <charset val="204"/>
      <scheme val="minor"/>
    </font>
    <font>
      <sz val="8"/>
      <color theme="9" tint="-0.499984740745262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8"/>
      <color theme="4"/>
      <name val="Calibri"/>
      <family val="2"/>
      <charset val="204"/>
      <scheme val="minor"/>
    </font>
    <font>
      <sz val="10"/>
      <name val="Arial Cyr"/>
      <charset val="204"/>
    </font>
    <font>
      <sz val="8"/>
      <color theme="0"/>
      <name val="Calibri"/>
      <family val="2"/>
      <charset val="204"/>
      <scheme val="minor"/>
    </font>
    <font>
      <b/>
      <sz val="8"/>
      <color indexed="8"/>
      <name val="Calibri"/>
      <family val="2"/>
      <charset val="204"/>
      <scheme val="minor"/>
    </font>
    <font>
      <b/>
      <sz val="14"/>
      <color indexed="8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20"/>
      <name val="Calibri"/>
      <family val="2"/>
      <charset val="204"/>
      <scheme val="minor"/>
    </font>
    <font>
      <sz val="24"/>
      <name val="Calibri"/>
      <family val="2"/>
      <charset val="204"/>
      <scheme val="minor"/>
    </font>
    <font>
      <b/>
      <sz val="24"/>
      <name val="Calibri"/>
      <family val="2"/>
      <charset val="204"/>
      <scheme val="minor"/>
    </font>
    <font>
      <sz val="26"/>
      <name val="Calibri"/>
      <family val="2"/>
      <charset val="204"/>
      <scheme val="minor"/>
    </font>
    <font>
      <b/>
      <sz val="26"/>
      <name val="Calibri"/>
      <family val="2"/>
      <charset val="204"/>
      <scheme val="minor"/>
    </font>
    <font>
      <b/>
      <sz val="36"/>
      <color indexed="8"/>
      <name val="Arial"/>
      <family val="2"/>
      <charset val="204"/>
    </font>
    <font>
      <sz val="24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b/>
      <sz val="36"/>
      <name val="Arial"/>
      <family val="2"/>
      <charset val="204"/>
    </font>
    <font>
      <sz val="16"/>
      <name val="Calibri"/>
      <family val="2"/>
      <charset val="204"/>
      <scheme val="minor"/>
    </font>
    <font>
      <b/>
      <sz val="16"/>
      <name val="Arial"/>
      <family val="2"/>
      <charset val="204"/>
    </font>
    <font>
      <sz val="16"/>
      <name val="Arial"/>
      <family val="2"/>
      <charset val="204"/>
    </font>
    <font>
      <sz val="16"/>
      <color theme="5" tint="-0.249977111117893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b/>
      <sz val="16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18"/>
      <name val="Calibri"/>
      <family val="2"/>
      <charset val="204"/>
      <scheme val="minor"/>
    </font>
    <font>
      <b/>
      <sz val="18"/>
      <color theme="0"/>
      <name val="Calibri"/>
      <family val="2"/>
      <charset val="204"/>
      <scheme val="minor"/>
    </font>
    <font>
      <sz val="18"/>
      <color indexed="8"/>
      <name val="Calibri"/>
      <family val="2"/>
      <charset val="204"/>
      <scheme val="minor"/>
    </font>
    <font>
      <b/>
      <sz val="18"/>
      <name val="Calibri"/>
      <family val="2"/>
      <charset val="204"/>
      <scheme val="minor"/>
    </font>
    <font>
      <sz val="18"/>
      <color theme="5" tint="-0.249977111117893"/>
      <name val="Calibri"/>
      <family val="2"/>
      <charset val="204"/>
      <scheme val="minor"/>
    </font>
    <font>
      <sz val="18"/>
      <color rgb="FFFF0000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8"/>
      <color rgb="FF800000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b/>
      <sz val="18"/>
      <color rgb="FF000099"/>
      <name val="Calibri"/>
      <family val="2"/>
      <charset val="204"/>
      <scheme val="minor"/>
    </font>
    <font>
      <b/>
      <sz val="18"/>
      <color theme="5" tint="-0.249977111117893"/>
      <name val="Calibri"/>
      <family val="2"/>
      <charset val="204"/>
      <scheme val="minor"/>
    </font>
    <font>
      <b/>
      <sz val="16"/>
      <color rgb="FF800000"/>
      <name val="Calibri"/>
      <family val="2"/>
      <charset val="204"/>
      <scheme val="minor"/>
    </font>
    <font>
      <b/>
      <sz val="16"/>
      <color rgb="FF000099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8"/>
      <name val="Arial"/>
      <family val="2"/>
      <charset val="204"/>
    </font>
    <font>
      <b/>
      <sz val="18"/>
      <color theme="9" tint="-0.499984740745262"/>
      <name val="Calibri"/>
      <family val="2"/>
      <charset val="204"/>
      <scheme val="minor"/>
    </font>
    <font>
      <sz val="16"/>
      <color rgb="FF000099"/>
      <name val="Calibri"/>
      <family val="2"/>
      <charset val="204"/>
      <scheme val="minor"/>
    </font>
    <font>
      <sz val="24"/>
      <color theme="5" tint="-0.249977111117893"/>
      <name val="Calibri"/>
      <family val="2"/>
      <charset val="204"/>
      <scheme val="minor"/>
    </font>
    <font>
      <sz val="24"/>
      <color rgb="FFFF0000"/>
      <name val="Calibri"/>
      <family val="2"/>
      <charset val="204"/>
      <scheme val="minor"/>
    </font>
    <font>
      <b/>
      <sz val="28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249977111117893"/>
        <bgColor indexed="64"/>
      </patternFill>
    </fill>
  </fills>
  <borders count="7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4" fillId="0" borderId="0"/>
    <xf numFmtId="0" fontId="18" fillId="0" borderId="0"/>
    <xf numFmtId="0" fontId="2" fillId="0" borderId="0"/>
    <xf numFmtId="0" fontId="14" fillId="0" borderId="0"/>
    <xf numFmtId="0" fontId="45" fillId="0" borderId="0"/>
    <xf numFmtId="0" fontId="14" fillId="0" borderId="0"/>
    <xf numFmtId="0" fontId="18" fillId="0" borderId="0"/>
    <xf numFmtId="0" fontId="1" fillId="0" borderId="0"/>
    <xf numFmtId="0" fontId="1" fillId="0" borderId="0"/>
  </cellStyleXfs>
  <cellXfs count="1163">
    <xf numFmtId="0" fontId="0" fillId="0" borderId="0" xfId="0"/>
    <xf numFmtId="0" fontId="12" fillId="0" borderId="0" xfId="2" applyFont="1" applyFill="1" applyAlignment="1" applyProtection="1">
      <alignment horizontal="left" vertical="center"/>
    </xf>
    <xf numFmtId="0" fontId="13" fillId="0" borderId="0" xfId="2" applyFont="1" applyFill="1" applyAlignment="1">
      <alignment horizontal="left" vertical="center"/>
    </xf>
    <xf numFmtId="0" fontId="12" fillId="0" borderId="0" xfId="2" applyFont="1" applyFill="1" applyAlignment="1">
      <alignment horizontal="right" vertical="center"/>
    </xf>
    <xf numFmtId="0" fontId="13" fillId="0" borderId="0" xfId="2" applyFont="1" applyFill="1" applyAlignment="1">
      <alignment horizontal="right" vertical="center"/>
    </xf>
    <xf numFmtId="164" fontId="12" fillId="0" borderId="0" xfId="3" applyNumberFormat="1" applyFont="1" applyFill="1" applyAlignment="1">
      <alignment horizontal="left" vertical="center"/>
    </xf>
    <xf numFmtId="0" fontId="13" fillId="0" borderId="0" xfId="3" applyFont="1" applyFill="1" applyBorder="1" applyAlignment="1">
      <alignment horizontal="left" vertical="center"/>
    </xf>
    <xf numFmtId="0" fontId="12" fillId="0" borderId="0" xfId="2" applyFont="1" applyFill="1" applyAlignment="1" applyProtection="1">
      <alignment horizontal="center" vertical="center" wrapText="1"/>
    </xf>
    <xf numFmtId="164" fontId="12" fillId="0" borderId="0" xfId="3" applyNumberFormat="1" applyFont="1" applyFill="1" applyAlignment="1">
      <alignment horizontal="center" vertical="center" wrapText="1"/>
    </xf>
    <xf numFmtId="0" fontId="13" fillId="0" borderId="0" xfId="3" applyFont="1" applyFill="1" applyBorder="1" applyAlignment="1">
      <alignment horizontal="center" vertical="center" wrapText="1"/>
    </xf>
    <xf numFmtId="0" fontId="13" fillId="0" borderId="0" xfId="2" applyFont="1" applyFill="1" applyAlignment="1" applyProtection="1">
      <alignment horizontal="left" vertical="center"/>
    </xf>
    <xf numFmtId="0" fontId="13" fillId="0" borderId="0" xfId="2" applyFont="1" applyFill="1" applyAlignment="1" applyProtection="1">
      <alignment horizontal="center" vertical="center" wrapText="1"/>
    </xf>
    <xf numFmtId="0" fontId="5" fillId="0" borderId="7" xfId="2" applyFont="1" applyFill="1" applyBorder="1" applyAlignment="1">
      <alignment horizontal="center" vertical="center" wrapText="1"/>
    </xf>
    <xf numFmtId="0" fontId="5" fillId="0" borderId="8" xfId="2" applyFont="1" applyFill="1" applyBorder="1" applyAlignment="1">
      <alignment horizontal="center" vertical="center" wrapText="1"/>
    </xf>
    <xf numFmtId="0" fontId="13" fillId="0" borderId="8" xfId="5" applyFont="1" applyFill="1" applyBorder="1" applyAlignment="1">
      <alignment horizontal="center" vertical="center" wrapText="1"/>
    </xf>
    <xf numFmtId="0" fontId="13" fillId="0" borderId="8" xfId="2" applyFont="1" applyFill="1" applyBorder="1" applyAlignment="1">
      <alignment horizontal="center" vertical="center" wrapText="1"/>
    </xf>
    <xf numFmtId="0" fontId="5" fillId="0" borderId="8" xfId="2" applyFont="1" applyFill="1" applyBorder="1" applyAlignment="1" applyProtection="1">
      <alignment horizontal="center" vertical="center" wrapText="1"/>
    </xf>
    <xf numFmtId="0" fontId="5" fillId="0" borderId="9" xfId="2" applyFont="1" applyFill="1" applyBorder="1" applyAlignment="1" applyProtection="1">
      <alignment horizontal="center" vertical="center" wrapText="1"/>
    </xf>
    <xf numFmtId="0" fontId="22" fillId="0" borderId="0" xfId="2" applyFont="1" applyFill="1" applyAlignment="1" applyProtection="1">
      <alignment horizontal="center" vertical="center" wrapText="1"/>
    </xf>
    <xf numFmtId="0" fontId="22" fillId="0" borderId="11" xfId="2" applyFont="1" applyFill="1" applyBorder="1" applyAlignment="1" applyProtection="1">
      <alignment horizontal="center" vertical="center" wrapText="1"/>
    </xf>
    <xf numFmtId="0" fontId="22" fillId="0" borderId="12" xfId="2" applyFont="1" applyFill="1" applyBorder="1" applyAlignment="1" applyProtection="1">
      <alignment horizontal="center" vertical="center" wrapText="1"/>
    </xf>
    <xf numFmtId="0" fontId="22" fillId="0" borderId="13" xfId="2" applyFont="1" applyFill="1" applyBorder="1" applyAlignment="1" applyProtection="1">
      <alignment horizontal="center" vertical="center" wrapText="1"/>
    </xf>
    <xf numFmtId="0" fontId="22" fillId="0" borderId="14" xfId="2" applyFont="1" applyFill="1" applyBorder="1" applyAlignment="1" applyProtection="1">
      <alignment horizontal="center" vertical="center" wrapText="1"/>
    </xf>
    <xf numFmtId="0" fontId="22" fillId="0" borderId="15" xfId="2" applyFont="1" applyFill="1" applyBorder="1" applyAlignment="1" applyProtection="1">
      <alignment horizontal="center" vertical="center" wrapText="1"/>
    </xf>
    <xf numFmtId="0" fontId="22" fillId="0" borderId="16" xfId="2" applyFont="1" applyFill="1" applyBorder="1" applyAlignment="1" applyProtection="1">
      <alignment horizontal="center" vertical="center" wrapText="1"/>
    </xf>
    <xf numFmtId="0" fontId="22" fillId="0" borderId="17" xfId="2" applyFont="1" applyFill="1" applyBorder="1" applyAlignment="1" applyProtection="1">
      <alignment horizontal="center" vertical="center" wrapText="1"/>
    </xf>
    <xf numFmtId="0" fontId="22" fillId="0" borderId="18" xfId="2" applyFont="1" applyFill="1" applyBorder="1" applyAlignment="1" applyProtection="1">
      <alignment horizontal="center" vertical="center" wrapText="1"/>
    </xf>
    <xf numFmtId="0" fontId="22" fillId="2" borderId="12" xfId="2" applyFont="1" applyFill="1" applyBorder="1" applyAlignment="1" applyProtection="1">
      <alignment horizontal="center" vertical="center" wrapText="1"/>
    </xf>
    <xf numFmtId="0" fontId="23" fillId="2" borderId="11" xfId="2" applyFont="1" applyFill="1" applyBorder="1" applyAlignment="1" applyProtection="1">
      <alignment horizontal="center" vertical="center" wrapText="1"/>
    </xf>
    <xf numFmtId="0" fontId="24" fillId="2" borderId="13" xfId="2" applyFont="1" applyFill="1" applyBorder="1" applyAlignment="1" applyProtection="1">
      <alignment horizontal="center" vertical="center" wrapText="1"/>
    </xf>
    <xf numFmtId="0" fontId="25" fillId="2" borderId="13" xfId="2" applyFont="1" applyFill="1" applyBorder="1" applyAlignment="1" applyProtection="1">
      <alignment horizontal="center" vertical="center" wrapText="1"/>
    </xf>
    <xf numFmtId="0" fontId="22" fillId="2" borderId="13" xfId="2" applyFont="1" applyFill="1" applyBorder="1" applyAlignment="1" applyProtection="1">
      <alignment horizontal="center" vertical="center" wrapText="1"/>
    </xf>
    <xf numFmtId="0" fontId="23" fillId="0" borderId="17" xfId="2" applyFont="1" applyFill="1" applyBorder="1" applyAlignment="1" applyProtection="1">
      <alignment horizontal="center" vertical="center" wrapText="1"/>
    </xf>
    <xf numFmtId="0" fontId="24" fillId="0" borderId="13" xfId="2" applyFont="1" applyFill="1" applyBorder="1" applyAlignment="1" applyProtection="1">
      <alignment horizontal="center" vertical="center" wrapText="1"/>
    </xf>
    <xf numFmtId="0" fontId="26" fillId="0" borderId="13" xfId="2" applyFont="1" applyFill="1" applyBorder="1" applyAlignment="1" applyProtection="1">
      <alignment horizontal="center" vertical="center" wrapText="1"/>
    </xf>
    <xf numFmtId="0" fontId="27" fillId="0" borderId="7" xfId="2" applyFont="1" applyFill="1" applyBorder="1" applyAlignment="1" applyProtection="1">
      <alignment horizontal="center" vertical="center" wrapText="1"/>
    </xf>
    <xf numFmtId="0" fontId="27" fillId="0" borderId="8" xfId="2" applyFont="1" applyFill="1" applyBorder="1" applyAlignment="1" applyProtection="1">
      <alignment horizontal="center" vertical="center" wrapText="1"/>
    </xf>
    <xf numFmtId="0" fontId="27" fillId="0" borderId="9" xfId="2" applyFont="1" applyFill="1" applyBorder="1" applyAlignment="1" applyProtection="1">
      <alignment horizontal="center" vertical="center" wrapText="1"/>
    </xf>
    <xf numFmtId="0" fontId="27" fillId="0" borderId="14" xfId="2" applyFont="1" applyFill="1" applyBorder="1" applyAlignment="1" applyProtection="1">
      <alignment horizontal="center" vertical="center" wrapText="1"/>
    </xf>
    <xf numFmtId="0" fontId="27" fillId="0" borderId="15" xfId="2" applyFont="1" applyFill="1" applyBorder="1" applyAlignment="1" applyProtection="1">
      <alignment horizontal="center" vertical="center" wrapText="1"/>
    </xf>
    <xf numFmtId="0" fontId="27" fillId="2" borderId="15" xfId="2" applyFont="1" applyFill="1" applyBorder="1" applyAlignment="1" applyProtection="1">
      <alignment horizontal="center" vertical="center" wrapText="1"/>
    </xf>
    <xf numFmtId="0" fontId="27" fillId="0" borderId="16" xfId="2" applyFont="1" applyFill="1" applyBorder="1" applyAlignment="1" applyProtection="1">
      <alignment horizontal="center" vertical="center" wrapText="1"/>
    </xf>
    <xf numFmtId="0" fontId="27" fillId="0" borderId="11" xfId="2" applyFont="1" applyFill="1" applyBorder="1" applyAlignment="1" applyProtection="1">
      <alignment horizontal="center" vertical="center" wrapText="1"/>
    </xf>
    <xf numFmtId="0" fontId="27" fillId="0" borderId="12" xfId="2" applyFont="1" applyFill="1" applyBorder="1" applyAlignment="1" applyProtection="1">
      <alignment horizontal="center" vertical="center" wrapText="1"/>
    </xf>
    <xf numFmtId="17" fontId="27" fillId="0" borderId="11" xfId="2" applyNumberFormat="1" applyFont="1" applyFill="1" applyBorder="1" applyAlignment="1" applyProtection="1">
      <alignment horizontal="center" vertical="center" wrapText="1"/>
    </xf>
    <xf numFmtId="17" fontId="27" fillId="0" borderId="13" xfId="2" applyNumberFormat="1" applyFont="1" applyFill="1" applyBorder="1" applyAlignment="1" applyProtection="1">
      <alignment horizontal="center" vertical="center" wrapText="1"/>
    </xf>
    <xf numFmtId="1" fontId="27" fillId="0" borderId="13" xfId="2" applyNumberFormat="1" applyFont="1" applyFill="1" applyBorder="1" applyAlignment="1" applyProtection="1">
      <alignment horizontal="center" vertical="center" wrapText="1"/>
    </xf>
    <xf numFmtId="0" fontId="27" fillId="0" borderId="13" xfId="2" applyFont="1" applyFill="1" applyBorder="1" applyAlignment="1" applyProtection="1">
      <alignment horizontal="center" vertical="center" wrapText="1"/>
    </xf>
    <xf numFmtId="0" fontId="29" fillId="0" borderId="23" xfId="2" applyNumberFormat="1" applyFont="1" applyFill="1" applyBorder="1" applyAlignment="1" applyProtection="1">
      <alignment horizontal="center" vertical="center" wrapText="1"/>
    </xf>
    <xf numFmtId="0" fontId="29" fillId="0" borderId="24" xfId="2" applyNumberFormat="1" applyFont="1" applyFill="1" applyBorder="1" applyAlignment="1" applyProtection="1">
      <alignment horizontal="center" vertical="center" wrapText="1"/>
    </xf>
    <xf numFmtId="0" fontId="29" fillId="0" borderId="8" xfId="2" applyNumberFormat="1" applyFont="1" applyFill="1" applyBorder="1" applyAlignment="1" applyProtection="1">
      <alignment horizontal="center" vertical="center" wrapText="1"/>
    </xf>
    <xf numFmtId="0" fontId="29" fillId="0" borderId="7" xfId="2" applyNumberFormat="1" applyFont="1" applyFill="1" applyBorder="1" applyAlignment="1" applyProtection="1">
      <alignment horizontal="center" vertical="center" wrapText="1"/>
    </xf>
    <xf numFmtId="0" fontId="29" fillId="0" borderId="9" xfId="2" applyNumberFormat="1" applyFont="1" applyFill="1" applyBorder="1" applyAlignment="1" applyProtection="1">
      <alignment horizontal="center" vertical="center" wrapText="1"/>
    </xf>
    <xf numFmtId="0" fontId="29" fillId="2" borderId="24" xfId="2" applyNumberFormat="1" applyFont="1" applyFill="1" applyBorder="1" applyAlignment="1" applyProtection="1">
      <alignment horizontal="center" vertical="center" wrapText="1"/>
    </xf>
    <xf numFmtId="0" fontId="30" fillId="2" borderId="23" xfId="2" applyNumberFormat="1" applyFont="1" applyFill="1" applyBorder="1" applyAlignment="1" applyProtection="1">
      <alignment horizontal="center" vertical="center" wrapText="1"/>
    </xf>
    <xf numFmtId="0" fontId="31" fillId="2" borderId="8" xfId="2" applyNumberFormat="1" applyFont="1" applyFill="1" applyBorder="1" applyAlignment="1" applyProtection="1">
      <alignment horizontal="center" vertical="center" wrapText="1"/>
    </xf>
    <xf numFmtId="0" fontId="32" fillId="2" borderId="8" xfId="2" applyNumberFormat="1" applyFont="1" applyFill="1" applyBorder="1" applyAlignment="1" applyProtection="1">
      <alignment horizontal="center" vertical="center" wrapText="1"/>
    </xf>
    <xf numFmtId="0" fontId="29" fillId="2" borderId="8" xfId="2" applyNumberFormat="1" applyFont="1" applyFill="1" applyBorder="1" applyAlignment="1" applyProtection="1">
      <alignment horizontal="center" vertical="center" wrapText="1"/>
    </xf>
    <xf numFmtId="0" fontId="30" fillId="0" borderId="7" xfId="2" applyNumberFormat="1" applyFont="1" applyFill="1" applyBorder="1" applyAlignment="1" applyProtection="1">
      <alignment horizontal="center" vertical="center" wrapText="1"/>
    </xf>
    <xf numFmtId="0" fontId="31" fillId="0" borderId="8" xfId="2" applyNumberFormat="1" applyFont="1" applyFill="1" applyBorder="1" applyAlignment="1" applyProtection="1">
      <alignment horizontal="center" vertical="center" wrapText="1"/>
    </xf>
    <xf numFmtId="0" fontId="33" fillId="0" borderId="8" xfId="2" applyNumberFormat="1" applyFont="1" applyFill="1" applyBorder="1" applyAlignment="1" applyProtection="1">
      <alignment horizontal="center" vertical="center" wrapText="1"/>
    </xf>
    <xf numFmtId="0" fontId="29" fillId="0" borderId="7" xfId="2" applyNumberFormat="1" applyFont="1" applyFill="1" applyBorder="1" applyAlignment="1">
      <alignment horizontal="center" vertical="center" wrapText="1"/>
    </xf>
    <xf numFmtId="0" fontId="29" fillId="0" borderId="8" xfId="2" applyNumberFormat="1" applyFont="1" applyFill="1" applyBorder="1" applyAlignment="1">
      <alignment horizontal="center" vertical="center" wrapText="1"/>
    </xf>
    <xf numFmtId="0" fontId="29" fillId="0" borderId="11" xfId="2" applyNumberFormat="1" applyFont="1" applyFill="1" applyBorder="1" applyAlignment="1" applyProtection="1">
      <alignment horizontal="center" vertical="center" wrapText="1"/>
    </xf>
    <xf numFmtId="0" fontId="29" fillId="0" borderId="12" xfId="2" applyNumberFormat="1" applyFont="1" applyFill="1" applyBorder="1" applyAlignment="1" applyProtection="1">
      <alignment horizontal="center" vertical="center" wrapText="1"/>
    </xf>
    <xf numFmtId="0" fontId="34" fillId="0" borderId="28" xfId="2" applyNumberFormat="1" applyFont="1" applyFill="1" applyBorder="1" applyAlignment="1" applyProtection="1">
      <alignment horizontal="center" vertical="center" wrapText="1"/>
    </xf>
    <xf numFmtId="0" fontId="34" fillId="0" borderId="29" xfId="2" applyNumberFormat="1" applyFont="1" applyFill="1" applyBorder="1" applyAlignment="1" applyProtection="1">
      <alignment horizontal="center" vertical="center" wrapText="1"/>
    </xf>
    <xf numFmtId="0" fontId="34" fillId="0" borderId="30" xfId="2" applyNumberFormat="1" applyFont="1" applyFill="1" applyBorder="1" applyAlignment="1" applyProtection="1">
      <alignment horizontal="center" vertical="center" wrapText="1"/>
    </xf>
    <xf numFmtId="0" fontId="34" fillId="0" borderId="31" xfId="2" applyNumberFormat="1" applyFont="1" applyFill="1" applyBorder="1" applyAlignment="1" applyProtection="1">
      <alignment horizontal="center" vertical="center" wrapText="1"/>
    </xf>
    <xf numFmtId="0" fontId="34" fillId="0" borderId="32" xfId="2" applyNumberFormat="1" applyFont="1" applyFill="1" applyBorder="1" applyAlignment="1" applyProtection="1">
      <alignment horizontal="center" vertical="center" wrapText="1"/>
    </xf>
    <xf numFmtId="0" fontId="34" fillId="2" borderId="29" xfId="2" applyNumberFormat="1" applyFont="1" applyFill="1" applyBorder="1" applyAlignment="1" applyProtection="1">
      <alignment horizontal="center" vertical="center" wrapText="1"/>
    </xf>
    <xf numFmtId="0" fontId="30" fillId="2" borderId="28" xfId="2" applyNumberFormat="1" applyFont="1" applyFill="1" applyBorder="1" applyAlignment="1" applyProtection="1">
      <alignment horizontal="center" vertical="center" wrapText="1"/>
    </xf>
    <xf numFmtId="0" fontId="35" fillId="2" borderId="30" xfId="2" applyNumberFormat="1" applyFont="1" applyFill="1" applyBorder="1" applyAlignment="1" applyProtection="1">
      <alignment horizontal="center" vertical="center" wrapText="1"/>
    </xf>
    <xf numFmtId="0" fontId="36" fillId="2" borderId="30" xfId="2" applyNumberFormat="1" applyFont="1" applyFill="1" applyBorder="1" applyAlignment="1" applyProtection="1">
      <alignment horizontal="center" vertical="center" wrapText="1"/>
    </xf>
    <xf numFmtId="0" fontId="34" fillId="2" borderId="30" xfId="2" applyNumberFormat="1" applyFont="1" applyFill="1" applyBorder="1" applyAlignment="1" applyProtection="1">
      <alignment horizontal="center" vertical="center" wrapText="1"/>
    </xf>
    <xf numFmtId="0" fontId="30" fillId="0" borderId="31" xfId="2" applyNumberFormat="1" applyFont="1" applyFill="1" applyBorder="1" applyAlignment="1" applyProtection="1">
      <alignment horizontal="center" vertical="center" wrapText="1"/>
    </xf>
    <xf numFmtId="0" fontId="35" fillId="0" borderId="30" xfId="2" applyNumberFormat="1" applyFont="1" applyFill="1" applyBorder="1" applyAlignment="1" applyProtection="1">
      <alignment horizontal="center" vertical="center" wrapText="1"/>
    </xf>
    <xf numFmtId="0" fontId="37" fillId="0" borderId="30" xfId="2" applyNumberFormat="1" applyFont="1" applyFill="1" applyBorder="1" applyAlignment="1" applyProtection="1">
      <alignment horizontal="center" vertical="center" wrapText="1"/>
    </xf>
    <xf numFmtId="0" fontId="34" fillId="0" borderId="7" xfId="2" applyNumberFormat="1" applyFont="1" applyFill="1" applyBorder="1" applyAlignment="1">
      <alignment horizontal="center" vertical="center" wrapText="1"/>
    </xf>
    <xf numFmtId="0" fontId="34" fillId="0" borderId="8" xfId="2" applyNumberFormat="1" applyFont="1" applyFill="1" applyBorder="1" applyAlignment="1">
      <alignment horizontal="center" vertical="center" wrapText="1"/>
    </xf>
    <xf numFmtId="0" fontId="34" fillId="0" borderId="8" xfId="2" applyNumberFormat="1" applyFont="1" applyFill="1" applyBorder="1" applyAlignment="1" applyProtection="1">
      <alignment horizontal="center" vertical="center" wrapText="1"/>
    </xf>
    <xf numFmtId="0" fontId="34" fillId="0" borderId="9" xfId="2" applyNumberFormat="1" applyFont="1" applyFill="1" applyBorder="1" applyAlignment="1" applyProtection="1">
      <alignment horizontal="center" vertical="center" wrapText="1"/>
    </xf>
    <xf numFmtId="0" fontId="34" fillId="0" borderId="14" xfId="2" applyFont="1" applyFill="1" applyBorder="1" applyAlignment="1" applyProtection="1">
      <alignment horizontal="center" vertical="center" wrapText="1"/>
    </xf>
    <xf numFmtId="14" fontId="34" fillId="0" borderId="16" xfId="2" applyNumberFormat="1" applyFont="1" applyFill="1" applyBorder="1" applyAlignment="1" applyProtection="1">
      <alignment horizontal="center" vertical="center" wrapText="1"/>
    </xf>
    <xf numFmtId="0" fontId="34" fillId="0" borderId="11" xfId="2" applyFont="1" applyFill="1" applyBorder="1" applyAlignment="1" applyProtection="1">
      <alignment horizontal="center" vertical="center" wrapText="1"/>
    </xf>
    <xf numFmtId="0" fontId="34" fillId="0" borderId="13" xfId="2" applyFont="1" applyFill="1" applyBorder="1" applyAlignment="1" applyProtection="1">
      <alignment horizontal="center" vertical="center" wrapText="1"/>
    </xf>
    <xf numFmtId="0" fontId="39" fillId="0" borderId="13" xfId="2" applyFont="1" applyFill="1" applyBorder="1" applyAlignment="1" applyProtection="1">
      <alignment horizontal="center" vertical="center" wrapText="1"/>
    </xf>
    <xf numFmtId="0" fontId="40" fillId="0" borderId="13" xfId="2" applyFont="1" applyFill="1" applyBorder="1" applyAlignment="1" applyProtection="1">
      <alignment horizontal="center" vertical="center" wrapText="1"/>
    </xf>
    <xf numFmtId="14" fontId="34" fillId="0" borderId="13" xfId="2" applyNumberFormat="1" applyFont="1" applyFill="1" applyBorder="1" applyAlignment="1" applyProtection="1">
      <alignment horizontal="center" vertical="center" wrapText="1"/>
    </xf>
    <xf numFmtId="0" fontId="39" fillId="0" borderId="12" xfId="2" applyFont="1" applyFill="1" applyBorder="1" applyAlignment="1" applyProtection="1">
      <alignment horizontal="center" vertical="center" wrapText="1"/>
    </xf>
    <xf numFmtId="1" fontId="39" fillId="0" borderId="11" xfId="2" applyNumberFormat="1" applyFont="1" applyFill="1" applyBorder="1" applyAlignment="1" applyProtection="1">
      <alignment horizontal="center" vertical="center" wrapText="1"/>
    </xf>
    <xf numFmtId="165" fontId="39" fillId="0" borderId="13" xfId="2" applyNumberFormat="1" applyFont="1" applyFill="1" applyBorder="1" applyAlignment="1" applyProtection="1">
      <alignment horizontal="center" vertical="center" wrapText="1"/>
    </xf>
    <xf numFmtId="2" fontId="39" fillId="0" borderId="13" xfId="2" applyNumberFormat="1" applyFont="1" applyFill="1" applyBorder="1" applyAlignment="1" applyProtection="1">
      <alignment horizontal="center" vertical="center" wrapText="1"/>
    </xf>
    <xf numFmtId="166" fontId="39" fillId="0" borderId="13" xfId="2" applyNumberFormat="1" applyFont="1" applyFill="1" applyBorder="1" applyAlignment="1" applyProtection="1">
      <alignment horizontal="center" vertical="center" wrapText="1"/>
    </xf>
    <xf numFmtId="166" fontId="39" fillId="0" borderId="12" xfId="2" applyNumberFormat="1" applyFont="1" applyFill="1" applyBorder="1" applyAlignment="1" applyProtection="1">
      <alignment horizontal="center" vertical="center" wrapText="1"/>
    </xf>
    <xf numFmtId="14" fontId="39" fillId="0" borderId="13" xfId="2" applyNumberFormat="1" applyFont="1" applyFill="1" applyBorder="1" applyAlignment="1" applyProtection="1">
      <alignment horizontal="center" vertical="center" wrapText="1"/>
    </xf>
    <xf numFmtId="0" fontId="34" fillId="0" borderId="12" xfId="2" applyFont="1" applyFill="1" applyBorder="1" applyAlignment="1" applyProtection="1">
      <alignment horizontal="center" vertical="center" wrapText="1"/>
    </xf>
    <xf numFmtId="0" fontId="39" fillId="0" borderId="17" xfId="2" applyFont="1" applyFill="1" applyBorder="1" applyAlignment="1" applyProtection="1">
      <alignment horizontal="center" vertical="center" wrapText="1"/>
    </xf>
    <xf numFmtId="0" fontId="39" fillId="0" borderId="18" xfId="2" applyFont="1" applyFill="1" applyBorder="1" applyAlignment="1" applyProtection="1">
      <alignment horizontal="center" vertical="center" wrapText="1"/>
    </xf>
    <xf numFmtId="1" fontId="34" fillId="0" borderId="13" xfId="2" applyNumberFormat="1" applyFont="1" applyFill="1" applyBorder="1" applyAlignment="1" applyProtection="1">
      <alignment horizontal="center" vertical="center" wrapText="1"/>
    </xf>
    <xf numFmtId="1" fontId="39" fillId="0" borderId="13" xfId="2" applyNumberFormat="1" applyFont="1" applyFill="1" applyBorder="1" applyAlignment="1" applyProtection="1">
      <alignment horizontal="center" vertical="center" wrapText="1"/>
    </xf>
    <xf numFmtId="165" fontId="34" fillId="0" borderId="13" xfId="2" applyNumberFormat="1" applyFont="1" applyFill="1" applyBorder="1" applyAlignment="1" applyProtection="1">
      <alignment horizontal="center" vertical="center" wrapText="1"/>
    </xf>
    <xf numFmtId="1" fontId="34" fillId="2" borderId="12" xfId="2" applyNumberFormat="1" applyFont="1" applyFill="1" applyBorder="1" applyAlignment="1" applyProtection="1">
      <alignment horizontal="center" vertical="center" wrapText="1"/>
    </xf>
    <xf numFmtId="165" fontId="30" fillId="0" borderId="11" xfId="2" applyNumberFormat="1" applyFont="1" applyFill="1" applyBorder="1" applyAlignment="1" applyProtection="1">
      <alignment horizontal="center" vertical="center" wrapText="1"/>
    </xf>
    <xf numFmtId="1" fontId="35" fillId="0" borderId="13" xfId="2" applyNumberFormat="1" applyFont="1" applyFill="1" applyBorder="1" applyAlignment="1" applyProtection="1">
      <alignment horizontal="center" vertical="center" wrapText="1"/>
    </xf>
    <xf numFmtId="1" fontId="36" fillId="0" borderId="13" xfId="2" applyNumberFormat="1" applyFont="1" applyFill="1" applyBorder="1" applyAlignment="1" applyProtection="1">
      <alignment horizontal="center" vertical="center" wrapText="1"/>
    </xf>
    <xf numFmtId="165" fontId="39" fillId="0" borderId="12" xfId="2" applyNumberFormat="1" applyFont="1" applyFill="1" applyBorder="1" applyAlignment="1" applyProtection="1">
      <alignment horizontal="center" vertical="center" wrapText="1"/>
    </xf>
    <xf numFmtId="0" fontId="39" fillId="0" borderId="11" xfId="2" applyFont="1" applyFill="1" applyBorder="1" applyAlignment="1" applyProtection="1">
      <alignment horizontal="center" vertical="center" wrapText="1"/>
    </xf>
    <xf numFmtId="165" fontId="30" fillId="0" borderId="13" xfId="2" applyNumberFormat="1" applyFont="1" applyFill="1" applyBorder="1" applyAlignment="1" applyProtection="1">
      <alignment horizontal="center" vertical="center" wrapText="1"/>
    </xf>
    <xf numFmtId="1" fontId="37" fillId="0" borderId="13" xfId="2" applyNumberFormat="1" applyFont="1" applyFill="1" applyBorder="1" applyAlignment="1" applyProtection="1">
      <alignment horizontal="center" vertical="center" wrapText="1"/>
    </xf>
    <xf numFmtId="2" fontId="39" fillId="0" borderId="12" xfId="2" applyNumberFormat="1" applyFont="1" applyFill="1" applyBorder="1" applyAlignment="1" applyProtection="1">
      <alignment horizontal="center" vertical="center" wrapText="1"/>
    </xf>
    <xf numFmtId="14" fontId="39" fillId="0" borderId="7" xfId="2" applyNumberFormat="1" applyFont="1" applyFill="1" applyBorder="1" applyAlignment="1">
      <alignment horizontal="center" vertical="center" wrapText="1"/>
    </xf>
    <xf numFmtId="14" fontId="39" fillId="0" borderId="8" xfId="2" applyNumberFormat="1" applyFont="1" applyFill="1" applyBorder="1" applyAlignment="1">
      <alignment horizontal="center" vertical="center" wrapText="1"/>
    </xf>
    <xf numFmtId="1" fontId="39" fillId="0" borderId="8" xfId="2" applyNumberFormat="1" applyFont="1" applyFill="1" applyBorder="1" applyAlignment="1">
      <alignment horizontal="center" vertical="center" wrapText="1"/>
    </xf>
    <xf numFmtId="0" fontId="39" fillId="0" borderId="8" xfId="2" applyFont="1" applyFill="1" applyBorder="1" applyAlignment="1">
      <alignment horizontal="center" vertical="center" wrapText="1"/>
    </xf>
    <xf numFmtId="1" fontId="39" fillId="0" borderId="8" xfId="2" applyNumberFormat="1" applyFont="1" applyFill="1" applyBorder="1" applyAlignment="1" applyProtection="1">
      <alignment horizontal="center" vertical="center" wrapText="1"/>
    </xf>
    <xf numFmtId="2" fontId="39" fillId="0" borderId="8" xfId="2" applyNumberFormat="1" applyFont="1" applyFill="1" applyBorder="1" applyAlignment="1" applyProtection="1">
      <alignment horizontal="center" vertical="center" wrapText="1"/>
    </xf>
    <xf numFmtId="165" fontId="35" fillId="0" borderId="8" xfId="2" applyNumberFormat="1" applyFont="1" applyFill="1" applyBorder="1" applyAlignment="1" applyProtection="1">
      <alignment horizontal="center" vertical="center" wrapText="1"/>
    </xf>
    <xf numFmtId="1" fontId="41" fillId="0" borderId="8" xfId="2" applyNumberFormat="1" applyFont="1" applyFill="1" applyBorder="1" applyAlignment="1" applyProtection="1">
      <alignment horizontal="center" vertical="center" wrapText="1"/>
    </xf>
    <xf numFmtId="1" fontId="37" fillId="0" borderId="8" xfId="2" applyNumberFormat="1" applyFont="1" applyFill="1" applyBorder="1" applyAlignment="1" applyProtection="1">
      <alignment horizontal="center" vertical="center" wrapText="1"/>
    </xf>
    <xf numFmtId="165" fontId="41" fillId="0" borderId="8" xfId="2" applyNumberFormat="1" applyFont="1" applyFill="1" applyBorder="1" applyAlignment="1" applyProtection="1">
      <alignment horizontal="center" vertical="center" wrapText="1"/>
    </xf>
    <xf numFmtId="165" fontId="39" fillId="0" borderId="8" xfId="2" applyNumberFormat="1" applyFont="1" applyFill="1" applyBorder="1" applyAlignment="1" applyProtection="1">
      <alignment horizontal="center" vertical="center" wrapText="1"/>
    </xf>
    <xf numFmtId="0" fontId="39" fillId="0" borderId="9" xfId="2" applyFont="1" applyFill="1" applyBorder="1" applyAlignment="1" applyProtection="1">
      <alignment horizontal="center" vertical="center" wrapText="1"/>
    </xf>
    <xf numFmtId="165" fontId="42" fillId="0" borderId="13" xfId="2" applyNumberFormat="1" applyFont="1" applyFill="1" applyBorder="1" applyAlignment="1" applyProtection="1">
      <alignment horizontal="center" vertical="center" wrapText="1"/>
    </xf>
    <xf numFmtId="0" fontId="34" fillId="0" borderId="23" xfId="2" applyFont="1" applyFill="1" applyBorder="1" applyAlignment="1" applyProtection="1">
      <alignment horizontal="center" vertical="center" wrapText="1"/>
    </xf>
    <xf numFmtId="0" fontId="38" fillId="0" borderId="12" xfId="2" applyFont="1" applyFill="1" applyBorder="1" applyAlignment="1" applyProtection="1">
      <alignment horizontal="center" vertical="center" wrapText="1"/>
    </xf>
    <xf numFmtId="14" fontId="34" fillId="0" borderId="12" xfId="2" applyNumberFormat="1" applyFont="1" applyFill="1" applyBorder="1" applyAlignment="1" applyProtection="1">
      <alignment horizontal="center" vertical="center" wrapText="1"/>
    </xf>
    <xf numFmtId="0" fontId="34" fillId="0" borderId="8" xfId="2" applyFont="1" applyFill="1" applyBorder="1" applyAlignment="1" applyProtection="1">
      <alignment horizontal="center" vertical="center" wrapText="1"/>
    </xf>
    <xf numFmtId="0" fontId="39" fillId="0" borderId="8" xfId="2" applyFont="1" applyFill="1" applyBorder="1" applyAlignment="1" applyProtection="1">
      <alignment horizontal="center" vertical="center" wrapText="1"/>
    </xf>
    <xf numFmtId="0" fontId="29" fillId="0" borderId="8" xfId="2" applyFont="1" applyFill="1" applyBorder="1" applyAlignment="1" applyProtection="1">
      <alignment horizontal="center" vertical="center" wrapText="1"/>
    </xf>
    <xf numFmtId="14" fontId="34" fillId="0" borderId="8" xfId="2" applyNumberFormat="1" applyFont="1" applyFill="1" applyBorder="1" applyAlignment="1" applyProtection="1">
      <alignment horizontal="center" vertical="center" wrapText="1"/>
    </xf>
    <xf numFmtId="0" fontId="39" fillId="0" borderId="24" xfId="2" applyFont="1" applyFill="1" applyBorder="1" applyAlignment="1" applyProtection="1">
      <alignment horizontal="center" vertical="center" wrapText="1"/>
    </xf>
    <xf numFmtId="1" fontId="39" fillId="0" borderId="23" xfId="2" applyNumberFormat="1" applyFont="1" applyFill="1" applyBorder="1" applyAlignment="1" applyProtection="1">
      <alignment horizontal="center" vertical="center" wrapText="1"/>
    </xf>
    <xf numFmtId="166" fontId="39" fillId="0" borderId="8" xfId="2" applyNumberFormat="1" applyFont="1" applyFill="1" applyBorder="1" applyAlignment="1" applyProtection="1">
      <alignment horizontal="center" vertical="center" wrapText="1"/>
    </xf>
    <xf numFmtId="166" fontId="39" fillId="0" borderId="24" xfId="2" applyNumberFormat="1" applyFont="1" applyFill="1" applyBorder="1" applyAlignment="1" applyProtection="1">
      <alignment horizontal="center" vertical="center" wrapText="1"/>
    </xf>
    <xf numFmtId="14" fontId="39" fillId="0" borderId="8" xfId="2" applyNumberFormat="1" applyFont="1" applyFill="1" applyBorder="1" applyAlignment="1" applyProtection="1">
      <alignment horizontal="center" vertical="center" wrapText="1"/>
    </xf>
    <xf numFmtId="0" fontId="34" fillId="0" borderId="24" xfId="2" applyFont="1" applyFill="1" applyBorder="1" applyAlignment="1" applyProtection="1">
      <alignment horizontal="center" vertical="center" wrapText="1"/>
    </xf>
    <xf numFmtId="0" fontId="39" fillId="0" borderId="7" xfId="2" applyFont="1" applyFill="1" applyBorder="1" applyAlignment="1" applyProtection="1">
      <alignment horizontal="center" vertical="center" wrapText="1"/>
    </xf>
    <xf numFmtId="1" fontId="34" fillId="0" borderId="8" xfId="2" applyNumberFormat="1" applyFont="1" applyFill="1" applyBorder="1" applyAlignment="1" applyProtection="1">
      <alignment horizontal="center" vertical="center" wrapText="1"/>
    </xf>
    <xf numFmtId="165" fontId="34" fillId="0" borderId="8" xfId="2" applyNumberFormat="1" applyFont="1" applyFill="1" applyBorder="1" applyAlignment="1" applyProtection="1">
      <alignment horizontal="center" vertical="center" wrapText="1"/>
    </xf>
    <xf numFmtId="1" fontId="34" fillId="2" borderId="24" xfId="2" applyNumberFormat="1" applyFont="1" applyFill="1" applyBorder="1" applyAlignment="1" applyProtection="1">
      <alignment horizontal="center" vertical="center" wrapText="1"/>
    </xf>
    <xf numFmtId="165" fontId="30" fillId="0" borderId="23" xfId="2" applyNumberFormat="1" applyFont="1" applyFill="1" applyBorder="1" applyAlignment="1" applyProtection="1">
      <alignment horizontal="center" vertical="center" wrapText="1"/>
    </xf>
    <xf numFmtId="1" fontId="35" fillId="0" borderId="8" xfId="2" applyNumberFormat="1" applyFont="1" applyFill="1" applyBorder="1" applyAlignment="1" applyProtection="1">
      <alignment horizontal="center" vertical="center" wrapText="1"/>
    </xf>
    <xf numFmtId="1" fontId="36" fillId="0" borderId="8" xfId="2" applyNumberFormat="1" applyFont="1" applyFill="1" applyBorder="1" applyAlignment="1" applyProtection="1">
      <alignment horizontal="center" vertical="center" wrapText="1"/>
    </xf>
    <xf numFmtId="165" fontId="39" fillId="0" borderId="24" xfId="2" applyNumberFormat="1" applyFont="1" applyFill="1" applyBorder="1" applyAlignment="1" applyProtection="1">
      <alignment horizontal="center" vertical="center" wrapText="1"/>
    </xf>
    <xf numFmtId="0" fontId="39" fillId="0" borderId="23" xfId="2" applyFont="1" applyFill="1" applyBorder="1" applyAlignment="1" applyProtection="1">
      <alignment horizontal="center" vertical="center" wrapText="1"/>
    </xf>
    <xf numFmtId="165" fontId="30" fillId="0" borderId="8" xfId="2" applyNumberFormat="1" applyFont="1" applyFill="1" applyBorder="1" applyAlignment="1" applyProtection="1">
      <alignment horizontal="center" vertical="center" wrapText="1"/>
    </xf>
    <xf numFmtId="2" fontId="39" fillId="0" borderId="24" xfId="2" applyNumberFormat="1" applyFont="1" applyFill="1" applyBorder="1" applyAlignment="1" applyProtection="1">
      <alignment horizontal="center" vertical="center" wrapText="1"/>
    </xf>
    <xf numFmtId="0" fontId="39" fillId="0" borderId="8" xfId="2" applyNumberFormat="1" applyFont="1" applyFill="1" applyBorder="1" applyAlignment="1" applyProtection="1">
      <alignment horizontal="center" vertical="center" wrapText="1"/>
    </xf>
    <xf numFmtId="165" fontId="42" fillId="0" borderId="8" xfId="2" applyNumberFormat="1" applyFont="1" applyFill="1" applyBorder="1" applyAlignment="1" applyProtection="1">
      <alignment horizontal="center" vertical="center" wrapText="1"/>
    </xf>
    <xf numFmtId="1" fontId="39" fillId="0" borderId="24" xfId="2" applyNumberFormat="1" applyFont="1" applyFill="1" applyBorder="1" applyAlignment="1" applyProtection="1">
      <alignment horizontal="center" vertical="center" wrapText="1"/>
    </xf>
    <xf numFmtId="0" fontId="38" fillId="0" borderId="24" xfId="2" applyFont="1" applyFill="1" applyBorder="1" applyAlignment="1" applyProtection="1">
      <alignment horizontal="center" vertical="center" wrapText="1"/>
    </xf>
    <xf numFmtId="0" fontId="40" fillId="0" borderId="8" xfId="2" applyFont="1" applyFill="1" applyBorder="1" applyAlignment="1" applyProtection="1">
      <alignment horizontal="center" vertical="center" wrapText="1"/>
    </xf>
    <xf numFmtId="49" fontId="40" fillId="0" borderId="8" xfId="2" applyNumberFormat="1" applyFont="1" applyFill="1" applyBorder="1" applyAlignment="1" applyProtection="1">
      <alignment horizontal="center" vertical="center" wrapText="1"/>
    </xf>
    <xf numFmtId="1" fontId="34" fillId="0" borderId="24" xfId="2" applyNumberFormat="1" applyFont="1" applyFill="1" applyBorder="1" applyAlignment="1" applyProtection="1">
      <alignment horizontal="center" vertical="center" wrapText="1"/>
    </xf>
    <xf numFmtId="0" fontId="34" fillId="0" borderId="9" xfId="2" applyFont="1" applyFill="1" applyBorder="1" applyAlignment="1" applyProtection="1">
      <alignment horizontal="center" vertical="center" wrapText="1"/>
    </xf>
    <xf numFmtId="1" fontId="39" fillId="2" borderId="24" xfId="2" applyNumberFormat="1" applyFont="1" applyFill="1" applyBorder="1" applyAlignment="1" applyProtection="1">
      <alignment horizontal="center" vertical="center" wrapText="1"/>
    </xf>
    <xf numFmtId="49" fontId="34" fillId="0" borderId="8" xfId="2" applyNumberFormat="1" applyFont="1" applyFill="1" applyBorder="1" applyAlignment="1" applyProtection="1">
      <alignment horizontal="center" vertical="center" wrapText="1"/>
    </xf>
    <xf numFmtId="16" fontId="40" fillId="0" borderId="8" xfId="2" applyNumberFormat="1" applyFont="1" applyFill="1" applyBorder="1" applyAlignment="1" applyProtection="1">
      <alignment horizontal="center" vertical="center" wrapText="1"/>
    </xf>
    <xf numFmtId="165" fontId="30" fillId="2" borderId="23" xfId="2" applyNumberFormat="1" applyFont="1" applyFill="1" applyBorder="1" applyAlignment="1" applyProtection="1">
      <alignment horizontal="center" vertical="center" wrapText="1"/>
    </xf>
    <xf numFmtId="1" fontId="31" fillId="0" borderId="8" xfId="2" applyNumberFormat="1" applyFont="1" applyFill="1" applyBorder="1" applyAlignment="1" applyProtection="1">
      <alignment horizontal="center" vertical="center" wrapText="1"/>
    </xf>
    <xf numFmtId="1" fontId="32" fillId="0" borderId="8" xfId="2" applyNumberFormat="1" applyFont="1" applyFill="1" applyBorder="1" applyAlignment="1" applyProtection="1">
      <alignment horizontal="center" vertical="center" wrapText="1"/>
    </xf>
    <xf numFmtId="165" fontId="42" fillId="2" borderId="8" xfId="2" applyNumberFormat="1" applyFont="1" applyFill="1" applyBorder="1" applyAlignment="1" applyProtection="1">
      <alignment horizontal="center" vertical="center" wrapText="1"/>
    </xf>
    <xf numFmtId="0" fontId="38" fillId="0" borderId="24" xfId="2" applyNumberFormat="1" applyFont="1" applyFill="1" applyBorder="1" applyAlignment="1" applyProtection="1">
      <alignment horizontal="center" vertical="center" wrapText="1"/>
    </xf>
    <xf numFmtId="166" fontId="34" fillId="0" borderId="8" xfId="2" applyNumberFormat="1" applyFont="1" applyFill="1" applyBorder="1" applyAlignment="1" applyProtection="1">
      <alignment horizontal="center" vertical="center" wrapText="1"/>
    </xf>
    <xf numFmtId="2" fontId="34" fillId="0" borderId="8" xfId="2" applyNumberFormat="1" applyFont="1" applyFill="1" applyBorder="1" applyAlignment="1" applyProtection="1">
      <alignment horizontal="center" vertical="center" wrapText="1"/>
    </xf>
    <xf numFmtId="165" fontId="29" fillId="0" borderId="8" xfId="2" applyNumberFormat="1" applyFont="1" applyFill="1" applyBorder="1" applyAlignment="1" applyProtection="1">
      <alignment horizontal="center" vertical="center" wrapText="1"/>
    </xf>
    <xf numFmtId="2" fontId="34" fillId="0" borderId="24" xfId="2" applyNumberFormat="1" applyFont="1" applyFill="1" applyBorder="1" applyAlignment="1" applyProtection="1">
      <alignment horizontal="center" vertical="center" wrapText="1"/>
    </xf>
    <xf numFmtId="165" fontId="34" fillId="0" borderId="24" xfId="2" applyNumberFormat="1" applyFont="1" applyFill="1" applyBorder="1" applyAlignment="1" applyProtection="1">
      <alignment horizontal="center" vertical="center" wrapText="1"/>
    </xf>
    <xf numFmtId="1" fontId="34" fillId="0" borderId="23" xfId="2" applyNumberFormat="1" applyFont="1" applyFill="1" applyBorder="1" applyAlignment="1" applyProtection="1">
      <alignment horizontal="center" vertical="center" wrapText="1"/>
    </xf>
    <xf numFmtId="0" fontId="39" fillId="0" borderId="24" xfId="2" applyNumberFormat="1" applyFont="1" applyFill="1" applyBorder="1" applyAlignment="1" applyProtection="1">
      <alignment horizontal="center" vertical="center" wrapText="1"/>
    </xf>
    <xf numFmtId="2" fontId="42" fillId="0" borderId="8" xfId="2" applyNumberFormat="1" applyFont="1" applyFill="1" applyBorder="1" applyAlignment="1" applyProtection="1">
      <alignment horizontal="center" vertical="center" wrapText="1"/>
    </xf>
    <xf numFmtId="2" fontId="35" fillId="0" borderId="8" xfId="2" applyNumberFormat="1" applyFont="1" applyFill="1" applyBorder="1" applyAlignment="1" applyProtection="1">
      <alignment horizontal="center" vertical="center" wrapText="1"/>
    </xf>
    <xf numFmtId="1" fontId="34" fillId="2" borderId="8" xfId="2" applyNumberFormat="1" applyFont="1" applyFill="1" applyBorder="1" applyAlignment="1" applyProtection="1">
      <alignment horizontal="center" vertical="center" wrapText="1"/>
    </xf>
    <xf numFmtId="16" fontId="39" fillId="0" borderId="24" xfId="2" applyNumberFormat="1" applyFont="1" applyFill="1" applyBorder="1" applyAlignment="1" applyProtection="1">
      <alignment horizontal="center" vertical="center" wrapText="1"/>
    </xf>
    <xf numFmtId="165" fontId="31" fillId="0" borderId="8" xfId="2" applyNumberFormat="1" applyFont="1" applyFill="1" applyBorder="1" applyAlignment="1" applyProtection="1">
      <alignment horizontal="center" vertical="center" wrapText="1"/>
    </xf>
    <xf numFmtId="165" fontId="34" fillId="2" borderId="8" xfId="2" applyNumberFormat="1" applyFont="1" applyFill="1" applyBorder="1" applyAlignment="1" applyProtection="1">
      <alignment horizontal="center" vertical="center" wrapText="1"/>
    </xf>
    <xf numFmtId="0" fontId="38" fillId="0" borderId="23" xfId="2" applyFont="1" applyFill="1" applyBorder="1" applyAlignment="1" applyProtection="1">
      <alignment horizontal="center" vertical="center" wrapText="1"/>
    </xf>
    <xf numFmtId="0" fontId="38" fillId="0" borderId="8" xfId="2" applyFont="1" applyFill="1" applyBorder="1" applyAlignment="1" applyProtection="1">
      <alignment horizontal="center" vertical="center" wrapText="1"/>
    </xf>
    <xf numFmtId="14" fontId="38" fillId="0" borderId="8" xfId="2" applyNumberFormat="1" applyFont="1" applyFill="1" applyBorder="1" applyAlignment="1" applyProtection="1">
      <alignment horizontal="center" vertical="center" wrapText="1"/>
    </xf>
    <xf numFmtId="165" fontId="38" fillId="0" borderId="8" xfId="2" applyNumberFormat="1" applyFont="1" applyFill="1" applyBorder="1" applyAlignment="1" applyProtection="1">
      <alignment horizontal="center" vertical="center" wrapText="1"/>
    </xf>
    <xf numFmtId="1" fontId="38" fillId="0" borderId="8" xfId="2" applyNumberFormat="1" applyFont="1" applyFill="1" applyBorder="1" applyAlignment="1" applyProtection="1">
      <alignment horizontal="center" vertical="center" wrapText="1"/>
    </xf>
    <xf numFmtId="1" fontId="38" fillId="0" borderId="24" xfId="2" applyNumberFormat="1" applyFont="1" applyFill="1" applyBorder="1" applyAlignment="1" applyProtection="1">
      <alignment horizontal="center" vertical="center" wrapText="1"/>
    </xf>
    <xf numFmtId="166" fontId="38" fillId="0" borderId="8" xfId="2" applyNumberFormat="1" applyFont="1" applyFill="1" applyBorder="1" applyAlignment="1" applyProtection="1">
      <alignment horizontal="center" vertical="center" wrapText="1"/>
    </xf>
    <xf numFmtId="2" fontId="38" fillId="0" borderId="8" xfId="2" applyNumberFormat="1" applyFont="1" applyFill="1" applyBorder="1" applyAlignment="1" applyProtection="1">
      <alignment horizontal="center" vertical="center" wrapText="1"/>
    </xf>
    <xf numFmtId="165" fontId="40" fillId="0" borderId="8" xfId="2" applyNumberFormat="1" applyFont="1" applyFill="1" applyBorder="1" applyAlignment="1" applyProtection="1">
      <alignment horizontal="center" vertical="center" wrapText="1"/>
    </xf>
    <xf numFmtId="2" fontId="38" fillId="0" borderId="24" xfId="2" applyNumberFormat="1" applyFont="1" applyFill="1" applyBorder="1" applyAlignment="1" applyProtection="1">
      <alignment horizontal="center" vertical="center" wrapText="1"/>
    </xf>
    <xf numFmtId="165" fontId="38" fillId="2" borderId="8" xfId="2" applyNumberFormat="1" applyFont="1" applyFill="1" applyBorder="1" applyAlignment="1" applyProtection="1">
      <alignment horizontal="center" vertical="center" wrapText="1"/>
    </xf>
    <xf numFmtId="165" fontId="38" fillId="0" borderId="24" xfId="2" applyNumberFormat="1" applyFont="1" applyFill="1" applyBorder="1" applyAlignment="1" applyProtection="1">
      <alignment horizontal="center" vertical="center" wrapText="1"/>
    </xf>
    <xf numFmtId="1" fontId="38" fillId="0" borderId="23" xfId="2" applyNumberFormat="1" applyFont="1" applyFill="1" applyBorder="1" applyAlignment="1" applyProtection="1">
      <alignment horizontal="center" vertical="center" wrapText="1"/>
    </xf>
    <xf numFmtId="0" fontId="31" fillId="0" borderId="8" xfId="2" applyFont="1" applyFill="1" applyBorder="1" applyAlignment="1" applyProtection="1">
      <alignment horizontal="center" vertical="center" wrapText="1"/>
    </xf>
    <xf numFmtId="0" fontId="39" fillId="0" borderId="7" xfId="2" applyNumberFormat="1" applyFont="1" applyFill="1" applyBorder="1" applyAlignment="1">
      <alignment horizontal="center" vertical="center" wrapText="1"/>
    </xf>
    <xf numFmtId="0" fontId="39" fillId="0" borderId="8" xfId="2" applyNumberFormat="1" applyFont="1" applyFill="1" applyBorder="1" applyAlignment="1">
      <alignment horizontal="center" vertical="center" wrapText="1"/>
    </xf>
    <xf numFmtId="166" fontId="34" fillId="0" borderId="24" xfId="2" applyNumberFormat="1" applyFont="1" applyFill="1" applyBorder="1" applyAlignment="1" applyProtection="1">
      <alignment horizontal="center" vertical="center" wrapText="1"/>
    </xf>
    <xf numFmtId="0" fontId="34" fillId="0" borderId="7" xfId="2" applyFont="1" applyFill="1" applyBorder="1" applyAlignment="1" applyProtection="1">
      <alignment horizontal="center" vertical="center" wrapText="1"/>
    </xf>
    <xf numFmtId="14" fontId="34" fillId="0" borderId="7" xfId="2" applyNumberFormat="1" applyFont="1" applyFill="1" applyBorder="1" applyAlignment="1">
      <alignment horizontal="center" vertical="center" wrapText="1"/>
    </xf>
    <xf numFmtId="14" fontId="34" fillId="0" borderId="8" xfId="2" applyNumberFormat="1" applyFont="1" applyFill="1" applyBorder="1" applyAlignment="1">
      <alignment horizontal="center" vertical="center" wrapText="1"/>
    </xf>
    <xf numFmtId="1" fontId="34" fillId="0" borderId="8" xfId="2" applyNumberFormat="1" applyFont="1" applyFill="1" applyBorder="1" applyAlignment="1">
      <alignment horizontal="center" vertical="center" wrapText="1"/>
    </xf>
    <xf numFmtId="0" fontId="34" fillId="0" borderId="8" xfId="2" applyFont="1" applyFill="1" applyBorder="1" applyAlignment="1">
      <alignment horizontal="center" vertical="center" wrapText="1"/>
    </xf>
    <xf numFmtId="14" fontId="35" fillId="0" borderId="8" xfId="2" applyNumberFormat="1" applyFont="1" applyFill="1" applyBorder="1" applyAlignment="1" applyProtection="1">
      <alignment horizontal="center" vertical="center" wrapText="1"/>
    </xf>
    <xf numFmtId="0" fontId="35" fillId="0" borderId="8" xfId="2" applyFont="1" applyFill="1" applyBorder="1" applyAlignment="1" applyProtection="1">
      <alignment horizontal="center" vertical="center" wrapText="1"/>
    </xf>
    <xf numFmtId="0" fontId="35" fillId="0" borderId="24" xfId="2" applyFont="1" applyFill="1" applyBorder="1" applyAlignment="1" applyProtection="1">
      <alignment horizontal="center" vertical="center" wrapText="1"/>
    </xf>
    <xf numFmtId="1" fontId="34" fillId="2" borderId="13" xfId="2" applyNumberFormat="1" applyFont="1" applyFill="1" applyBorder="1" applyAlignment="1" applyProtection="1">
      <alignment horizontal="center" vertical="center" wrapText="1"/>
    </xf>
    <xf numFmtId="0" fontId="38" fillId="0" borderId="23" xfId="2" applyNumberFormat="1" applyFont="1" applyFill="1" applyBorder="1" applyAlignment="1" applyProtection="1">
      <alignment horizontal="center" vertical="center" wrapText="1"/>
    </xf>
    <xf numFmtId="1" fontId="39" fillId="2" borderId="8" xfId="2" applyNumberFormat="1" applyFont="1" applyFill="1" applyBorder="1" applyAlignment="1" applyProtection="1">
      <alignment horizontal="center" vertical="center" wrapText="1"/>
    </xf>
    <xf numFmtId="1" fontId="44" fillId="2" borderId="8" xfId="2" applyNumberFormat="1" applyFont="1" applyFill="1" applyBorder="1" applyAlignment="1" applyProtection="1">
      <alignment horizontal="center" vertical="center" wrapText="1"/>
    </xf>
    <xf numFmtId="0" fontId="34" fillId="2" borderId="24" xfId="2" applyFont="1" applyFill="1" applyBorder="1" applyAlignment="1" applyProtection="1">
      <alignment horizontal="center" vertical="center" wrapText="1"/>
    </xf>
    <xf numFmtId="165" fontId="37" fillId="0" borderId="8" xfId="2" applyNumberFormat="1" applyFont="1" applyFill="1" applyBorder="1" applyAlignment="1" applyProtection="1">
      <alignment horizontal="center" vertical="center" wrapText="1"/>
    </xf>
    <xf numFmtId="1" fontId="34" fillId="0" borderId="8" xfId="2" quotePrefix="1" applyNumberFormat="1" applyFont="1" applyFill="1" applyBorder="1" applyAlignment="1" applyProtection="1">
      <alignment horizontal="center" vertical="center" wrapText="1"/>
    </xf>
    <xf numFmtId="165" fontId="30" fillId="2" borderId="8" xfId="2" applyNumberFormat="1" applyFont="1" applyFill="1" applyBorder="1" applyAlignment="1" applyProtection="1">
      <alignment horizontal="center" vertical="center" wrapText="1"/>
    </xf>
    <xf numFmtId="165" fontId="34" fillId="0" borderId="8" xfId="2" quotePrefix="1" applyNumberFormat="1" applyFont="1" applyFill="1" applyBorder="1" applyAlignment="1" applyProtection="1">
      <alignment horizontal="center" vertical="center" wrapText="1"/>
    </xf>
    <xf numFmtId="0" fontId="39" fillId="2" borderId="23" xfId="2" applyFont="1" applyFill="1" applyBorder="1" applyAlignment="1" applyProtection="1">
      <alignment horizontal="center" vertical="center" wrapText="1"/>
    </xf>
    <xf numFmtId="165" fontId="39" fillId="3" borderId="24" xfId="2" applyNumberFormat="1" applyFont="1" applyFill="1" applyBorder="1" applyAlignment="1" applyProtection="1">
      <alignment horizontal="center" vertical="center" wrapText="1"/>
    </xf>
    <xf numFmtId="1" fontId="35" fillId="2" borderId="8" xfId="2" applyNumberFormat="1" applyFont="1" applyFill="1" applyBorder="1" applyAlignment="1" applyProtection="1">
      <alignment horizontal="center" vertical="center" wrapText="1"/>
    </xf>
    <xf numFmtId="0" fontId="35" fillId="0" borderId="23" xfId="2" applyFont="1" applyFill="1" applyBorder="1" applyAlignment="1" applyProtection="1">
      <alignment horizontal="center" vertical="center" wrapText="1"/>
    </xf>
    <xf numFmtId="0" fontId="40" fillId="0" borderId="8" xfId="2" applyNumberFormat="1" applyFont="1" applyFill="1" applyBorder="1" applyAlignment="1" applyProtection="1">
      <alignment horizontal="center" vertical="center" wrapText="1"/>
    </xf>
    <xf numFmtId="2" fontId="34" fillId="0" borderId="24" xfId="6" applyNumberFormat="1" applyFont="1" applyFill="1" applyBorder="1" applyAlignment="1">
      <alignment horizontal="center" vertical="center" wrapText="1"/>
    </xf>
    <xf numFmtId="16" fontId="34" fillId="0" borderId="8" xfId="2" applyNumberFormat="1" applyFont="1" applyFill="1" applyBorder="1" applyAlignment="1" applyProtection="1">
      <alignment horizontal="center" vertical="center" wrapText="1"/>
    </xf>
    <xf numFmtId="1" fontId="34" fillId="4" borderId="8" xfId="2" applyNumberFormat="1" applyFont="1" applyFill="1" applyBorder="1" applyAlignment="1" applyProtection="1">
      <alignment horizontal="center" vertical="center" wrapText="1"/>
    </xf>
    <xf numFmtId="1" fontId="42" fillId="0" borderId="8" xfId="2" applyNumberFormat="1" applyFont="1" applyFill="1" applyBorder="1" applyAlignment="1" applyProtection="1">
      <alignment horizontal="center" vertical="center" wrapText="1"/>
    </xf>
    <xf numFmtId="1" fontId="40" fillId="0" borderId="8" xfId="2" applyNumberFormat="1" applyFont="1" applyFill="1" applyBorder="1" applyAlignment="1" applyProtection="1">
      <alignment horizontal="center" vertical="center" wrapText="1"/>
    </xf>
    <xf numFmtId="1" fontId="46" fillId="0" borderId="8" xfId="2" applyNumberFormat="1" applyFont="1" applyFill="1" applyBorder="1" applyAlignment="1" applyProtection="1">
      <alignment horizontal="center" vertical="center" wrapText="1"/>
    </xf>
    <xf numFmtId="167" fontId="38" fillId="0" borderId="23" xfId="2" applyNumberFormat="1" applyFont="1" applyFill="1" applyBorder="1" applyAlignment="1" applyProtection="1">
      <alignment horizontal="center" vertical="center" wrapText="1"/>
    </xf>
    <xf numFmtId="0" fontId="39" fillId="5" borderId="23" xfId="2" applyFont="1" applyFill="1" applyBorder="1" applyAlignment="1" applyProtection="1">
      <alignment horizontal="center" vertical="center" wrapText="1"/>
    </xf>
    <xf numFmtId="1" fontId="38" fillId="2" borderId="24" xfId="2" applyNumberFormat="1" applyFont="1" applyFill="1" applyBorder="1" applyAlignment="1" applyProtection="1">
      <alignment horizontal="center" vertical="center" wrapText="1"/>
    </xf>
    <xf numFmtId="0" fontId="34" fillId="4" borderId="23" xfId="2" applyFont="1" applyFill="1" applyBorder="1" applyAlignment="1" applyProtection="1">
      <alignment horizontal="center" vertical="center" wrapText="1"/>
    </xf>
    <xf numFmtId="0" fontId="34" fillId="4" borderId="8" xfId="2" applyFont="1" applyFill="1" applyBorder="1" applyAlignment="1" applyProtection="1">
      <alignment horizontal="center" vertical="center" wrapText="1"/>
    </xf>
    <xf numFmtId="165" fontId="36" fillId="0" borderId="8" xfId="2" applyNumberFormat="1" applyFont="1" applyFill="1" applyBorder="1" applyAlignment="1" applyProtection="1">
      <alignment horizontal="center" vertical="center" wrapText="1"/>
    </xf>
    <xf numFmtId="0" fontId="39" fillId="0" borderId="38" xfId="2" applyFont="1" applyFill="1" applyBorder="1" applyAlignment="1" applyProtection="1">
      <alignment horizontal="center" vertical="center" wrapText="1"/>
    </xf>
    <xf numFmtId="0" fontId="39" fillId="4" borderId="24" xfId="2" applyFont="1" applyFill="1" applyBorder="1" applyAlignment="1" applyProtection="1">
      <alignment horizontal="center" vertical="center" wrapText="1"/>
    </xf>
    <xf numFmtId="1" fontId="39" fillId="2" borderId="23" xfId="2" applyNumberFormat="1" applyFont="1" applyFill="1" applyBorder="1" applyAlignment="1" applyProtection="1">
      <alignment horizontal="center" vertical="center" wrapText="1"/>
    </xf>
    <xf numFmtId="165" fontId="39" fillId="2" borderId="8" xfId="2" applyNumberFormat="1" applyFont="1" applyFill="1" applyBorder="1" applyAlignment="1" applyProtection="1">
      <alignment horizontal="center" vertical="center" wrapText="1"/>
    </xf>
    <xf numFmtId="2" fontId="39" fillId="2" borderId="8" xfId="2" applyNumberFormat="1" applyFont="1" applyFill="1" applyBorder="1" applyAlignment="1" applyProtection="1">
      <alignment horizontal="center" vertical="center" wrapText="1"/>
    </xf>
    <xf numFmtId="166" fontId="39" fillId="2" borderId="8" xfId="2" applyNumberFormat="1" applyFont="1" applyFill="1" applyBorder="1" applyAlignment="1" applyProtection="1">
      <alignment horizontal="center" vertical="center" wrapText="1"/>
    </xf>
    <xf numFmtId="166" fontId="39" fillId="2" borderId="24" xfId="2" applyNumberFormat="1" applyFont="1" applyFill="1" applyBorder="1" applyAlignment="1" applyProtection="1">
      <alignment horizontal="center" vertical="center" wrapText="1"/>
    </xf>
    <xf numFmtId="0" fontId="34" fillId="2" borderId="23" xfId="2" applyFont="1" applyFill="1" applyBorder="1" applyAlignment="1" applyProtection="1">
      <alignment horizontal="center" vertical="center" wrapText="1"/>
    </xf>
    <xf numFmtId="0" fontId="39" fillId="2" borderId="8" xfId="2" applyFont="1" applyFill="1" applyBorder="1" applyAlignment="1" applyProtection="1">
      <alignment horizontal="center" vertical="center" wrapText="1"/>
    </xf>
    <xf numFmtId="0" fontId="34" fillId="2" borderId="8" xfId="2" applyFont="1" applyFill="1" applyBorder="1" applyAlignment="1" applyProtection="1">
      <alignment horizontal="center" vertical="center" wrapText="1"/>
    </xf>
    <xf numFmtId="14" fontId="39" fillId="2" borderId="8" xfId="2" applyNumberFormat="1" applyFont="1" applyFill="1" applyBorder="1" applyAlignment="1" applyProtection="1">
      <alignment horizontal="center" vertical="center" wrapText="1"/>
    </xf>
    <xf numFmtId="0" fontId="39" fillId="2" borderId="24" xfId="2" applyFont="1" applyFill="1" applyBorder="1" applyAlignment="1" applyProtection="1">
      <alignment horizontal="center" vertical="center" wrapText="1"/>
    </xf>
    <xf numFmtId="0" fontId="34" fillId="0" borderId="39" xfId="2" applyFont="1" applyFill="1" applyBorder="1" applyAlignment="1" applyProtection="1">
      <alignment horizontal="center" vertical="center" wrapText="1"/>
    </xf>
    <xf numFmtId="0" fontId="29" fillId="0" borderId="38" xfId="2" applyFont="1" applyFill="1" applyBorder="1" applyAlignment="1" applyProtection="1">
      <alignment horizontal="center" vertical="center" wrapText="1"/>
    </xf>
    <xf numFmtId="14" fontId="34" fillId="0" borderId="38" xfId="2" applyNumberFormat="1" applyFont="1" applyFill="1" applyBorder="1" applyAlignment="1" applyProtection="1">
      <alignment horizontal="center" vertical="center" wrapText="1"/>
    </xf>
    <xf numFmtId="0" fontId="34" fillId="0" borderId="38" xfId="2" applyFont="1" applyFill="1" applyBorder="1" applyAlignment="1" applyProtection="1">
      <alignment horizontal="center" vertical="center" wrapText="1"/>
    </xf>
    <xf numFmtId="2" fontId="39" fillId="0" borderId="38" xfId="2" applyNumberFormat="1" applyFont="1" applyFill="1" applyBorder="1" applyAlignment="1" applyProtection="1">
      <alignment horizontal="center" vertical="center" wrapText="1"/>
    </xf>
    <xf numFmtId="166" fontId="39" fillId="0" borderId="38" xfId="2" applyNumberFormat="1" applyFont="1" applyFill="1" applyBorder="1" applyAlignment="1" applyProtection="1">
      <alignment horizontal="center" vertical="center" wrapText="1"/>
    </xf>
    <xf numFmtId="14" fontId="39" fillId="0" borderId="38" xfId="2" applyNumberFormat="1" applyFont="1" applyFill="1" applyBorder="1" applyAlignment="1" applyProtection="1">
      <alignment horizontal="center" vertical="center" wrapText="1"/>
    </xf>
    <xf numFmtId="0" fontId="39" fillId="0" borderId="40" xfId="2" applyFont="1" applyFill="1" applyBorder="1" applyAlignment="1" applyProtection="1">
      <alignment horizontal="center" vertical="center" wrapText="1"/>
    </xf>
    <xf numFmtId="0" fontId="34" fillId="0" borderId="40" xfId="2" applyFont="1" applyFill="1" applyBorder="1" applyAlignment="1" applyProtection="1">
      <alignment horizontal="center" vertical="center" wrapText="1"/>
    </xf>
    <xf numFmtId="0" fontId="39" fillId="0" borderId="41" xfId="2" applyFont="1" applyFill="1" applyBorder="1" applyAlignment="1" applyProtection="1">
      <alignment horizontal="center" vertical="center" wrapText="1"/>
    </xf>
    <xf numFmtId="0" fontId="39" fillId="0" borderId="42" xfId="2" applyFont="1" applyFill="1" applyBorder="1" applyAlignment="1" applyProtection="1">
      <alignment horizontal="center" vertical="center" wrapText="1"/>
    </xf>
    <xf numFmtId="1" fontId="39" fillId="0" borderId="38" xfId="2" applyNumberFormat="1" applyFont="1" applyFill="1" applyBorder="1" applyAlignment="1" applyProtection="1">
      <alignment horizontal="center" vertical="center" wrapText="1"/>
    </xf>
    <xf numFmtId="1" fontId="34" fillId="0" borderId="38" xfId="2" applyNumberFormat="1" applyFont="1" applyFill="1" applyBorder="1" applyAlignment="1" applyProtection="1">
      <alignment horizontal="center" vertical="center" wrapText="1"/>
    </xf>
    <xf numFmtId="165" fontId="34" fillId="0" borderId="38" xfId="2" applyNumberFormat="1" applyFont="1" applyFill="1" applyBorder="1" applyAlignment="1" applyProtection="1">
      <alignment horizontal="center" vertical="center" wrapText="1"/>
    </xf>
    <xf numFmtId="1" fontId="34" fillId="0" borderId="40" xfId="2" applyNumberFormat="1" applyFont="1" applyFill="1" applyBorder="1" applyAlignment="1" applyProtection="1">
      <alignment horizontal="center" vertical="center" wrapText="1"/>
    </xf>
    <xf numFmtId="165" fontId="30" fillId="0" borderId="39" xfId="2" applyNumberFormat="1" applyFont="1" applyFill="1" applyBorder="1" applyAlignment="1" applyProtection="1">
      <alignment horizontal="center" vertical="center" wrapText="1"/>
    </xf>
    <xf numFmtId="1" fontId="35" fillId="0" borderId="38" xfId="2" applyNumberFormat="1" applyFont="1" applyFill="1" applyBorder="1" applyAlignment="1" applyProtection="1">
      <alignment horizontal="center" vertical="center" wrapText="1"/>
    </xf>
    <xf numFmtId="1" fontId="36" fillId="0" borderId="38" xfId="2" applyNumberFormat="1" applyFont="1" applyFill="1" applyBorder="1" applyAlignment="1" applyProtection="1">
      <alignment horizontal="center" vertical="center" wrapText="1"/>
    </xf>
    <xf numFmtId="165" fontId="30" fillId="0" borderId="38" xfId="2" applyNumberFormat="1" applyFont="1" applyFill="1" applyBorder="1" applyAlignment="1" applyProtection="1">
      <alignment horizontal="center" vertical="center" wrapText="1"/>
    </xf>
    <xf numFmtId="1" fontId="37" fillId="0" borderId="38" xfId="2" applyNumberFormat="1" applyFont="1" applyFill="1" applyBorder="1" applyAlignment="1" applyProtection="1">
      <alignment horizontal="center" vertical="center" wrapText="1"/>
    </xf>
    <xf numFmtId="165" fontId="39" fillId="0" borderId="38" xfId="2" applyNumberFormat="1" applyFont="1" applyFill="1" applyBorder="1" applyAlignment="1" applyProtection="1">
      <alignment horizontal="center" vertical="center" wrapText="1"/>
    </xf>
    <xf numFmtId="2" fontId="39" fillId="0" borderId="40" xfId="2" applyNumberFormat="1" applyFont="1" applyFill="1" applyBorder="1" applyAlignment="1" applyProtection="1">
      <alignment horizontal="center" vertical="center" wrapText="1"/>
    </xf>
    <xf numFmtId="0" fontId="34" fillId="0" borderId="28" xfId="2" applyFont="1" applyFill="1" applyBorder="1" applyAlignment="1" applyProtection="1">
      <alignment horizontal="center" vertical="center" wrapText="1"/>
    </xf>
    <xf numFmtId="0" fontId="34" fillId="0" borderId="30" xfId="2" applyFont="1" applyFill="1" applyBorder="1" applyAlignment="1" applyProtection="1">
      <alignment horizontal="center" vertical="center" wrapText="1"/>
    </xf>
    <xf numFmtId="0" fontId="39" fillId="0" borderId="30" xfId="2" applyFont="1" applyFill="1" applyBorder="1" applyAlignment="1" applyProtection="1">
      <alignment horizontal="center" vertical="center" wrapText="1"/>
    </xf>
    <xf numFmtId="0" fontId="40" fillId="0" borderId="30" xfId="2" applyFont="1" applyFill="1" applyBorder="1" applyAlignment="1" applyProtection="1">
      <alignment horizontal="center" vertical="center" wrapText="1"/>
    </xf>
    <xf numFmtId="14" fontId="34" fillId="0" borderId="30" xfId="2" applyNumberFormat="1" applyFont="1" applyFill="1" applyBorder="1" applyAlignment="1" applyProtection="1">
      <alignment horizontal="center" vertical="center" wrapText="1"/>
    </xf>
    <xf numFmtId="1" fontId="34" fillId="0" borderId="30" xfId="2" applyNumberFormat="1" applyFont="1" applyFill="1" applyBorder="1" applyAlignment="1" applyProtection="1">
      <alignment horizontal="center" vertical="center" wrapText="1"/>
    </xf>
    <xf numFmtId="0" fontId="34" fillId="0" borderId="23" xfId="2" applyNumberFormat="1" applyFont="1" applyFill="1" applyBorder="1" applyAlignment="1" applyProtection="1">
      <alignment horizontal="center" vertical="center" wrapText="1"/>
    </xf>
    <xf numFmtId="1" fontId="39" fillId="0" borderId="30" xfId="2" applyNumberFormat="1" applyFont="1" applyFill="1" applyBorder="1" applyAlignment="1" applyProtection="1">
      <alignment horizontal="center" vertical="center" wrapText="1"/>
    </xf>
    <xf numFmtId="2" fontId="39" fillId="0" borderId="30" xfId="2" applyNumberFormat="1" applyFont="1" applyFill="1" applyBorder="1" applyAlignment="1" applyProtection="1">
      <alignment horizontal="center" vertical="center" wrapText="1"/>
    </xf>
    <xf numFmtId="0" fontId="39" fillId="0" borderId="29" xfId="2" applyFont="1" applyFill="1" applyBorder="1" applyAlignment="1" applyProtection="1">
      <alignment horizontal="center" vertical="center" wrapText="1"/>
    </xf>
    <xf numFmtId="0" fontId="34" fillId="0" borderId="29" xfId="2" applyFont="1" applyFill="1" applyBorder="1" applyAlignment="1" applyProtection="1">
      <alignment horizontal="center" vertical="center" wrapText="1"/>
    </xf>
    <xf numFmtId="0" fontId="39" fillId="0" borderId="31" xfId="2" applyFont="1" applyFill="1" applyBorder="1" applyAlignment="1" applyProtection="1">
      <alignment horizontal="center" vertical="center" wrapText="1"/>
    </xf>
    <xf numFmtId="0" fontId="39" fillId="0" borderId="32" xfId="2" applyFont="1" applyFill="1" applyBorder="1" applyAlignment="1" applyProtection="1">
      <alignment horizontal="center" vertical="center" wrapText="1"/>
    </xf>
    <xf numFmtId="165" fontId="34" fillId="0" borderId="30" xfId="2" applyNumberFormat="1" applyFont="1" applyFill="1" applyBorder="1" applyAlignment="1" applyProtection="1">
      <alignment horizontal="center" vertical="center" wrapText="1"/>
    </xf>
    <xf numFmtId="14" fontId="39" fillId="0" borderId="30" xfId="2" applyNumberFormat="1" applyFont="1" applyFill="1" applyBorder="1" applyAlignment="1" applyProtection="1">
      <alignment horizontal="center" vertical="center" wrapText="1"/>
    </xf>
    <xf numFmtId="1" fontId="34" fillId="2" borderId="29" xfId="2" applyNumberFormat="1" applyFont="1" applyFill="1" applyBorder="1" applyAlignment="1" applyProtection="1">
      <alignment horizontal="center" vertical="center" wrapText="1"/>
    </xf>
    <xf numFmtId="165" fontId="30" fillId="0" borderId="28" xfId="2" applyNumberFormat="1" applyFont="1" applyFill="1" applyBorder="1" applyAlignment="1" applyProtection="1">
      <alignment horizontal="center" vertical="center" wrapText="1"/>
    </xf>
    <xf numFmtId="1" fontId="35" fillId="0" borderId="30" xfId="2" applyNumberFormat="1" applyFont="1" applyFill="1" applyBorder="1" applyAlignment="1" applyProtection="1">
      <alignment horizontal="center" vertical="center" wrapText="1"/>
    </xf>
    <xf numFmtId="1" fontId="36" fillId="0" borderId="30" xfId="2" applyNumberFormat="1" applyFont="1" applyFill="1" applyBorder="1" applyAlignment="1" applyProtection="1">
      <alignment horizontal="center" vertical="center" wrapText="1"/>
    </xf>
    <xf numFmtId="166" fontId="39" fillId="0" borderId="30" xfId="2" applyNumberFormat="1" applyFont="1" applyFill="1" applyBorder="1" applyAlignment="1" applyProtection="1">
      <alignment horizontal="center" vertical="center" wrapText="1"/>
    </xf>
    <xf numFmtId="0" fontId="39" fillId="0" borderId="28" xfId="2" applyFont="1" applyFill="1" applyBorder="1" applyAlignment="1" applyProtection="1">
      <alignment horizontal="center" vertical="center" wrapText="1"/>
    </xf>
    <xf numFmtId="165" fontId="30" fillId="0" borderId="30" xfId="2" applyNumberFormat="1" applyFont="1" applyFill="1" applyBorder="1" applyAlignment="1" applyProtection="1">
      <alignment horizontal="center" vertical="center" wrapText="1"/>
    </xf>
    <xf numFmtId="1" fontId="37" fillId="0" borderId="30" xfId="2" applyNumberFormat="1" applyFont="1" applyFill="1" applyBorder="1" applyAlignment="1" applyProtection="1">
      <alignment horizontal="center" vertical="center" wrapText="1"/>
    </xf>
    <xf numFmtId="165" fontId="39" fillId="0" borderId="30" xfId="2" applyNumberFormat="1" applyFont="1" applyFill="1" applyBorder="1" applyAlignment="1" applyProtection="1">
      <alignment horizontal="center" vertical="center" wrapText="1"/>
    </xf>
    <xf numFmtId="2" fontId="39" fillId="0" borderId="29" xfId="2" applyNumberFormat="1" applyFont="1" applyFill="1" applyBorder="1" applyAlignment="1" applyProtection="1">
      <alignment horizontal="center" vertical="center" wrapText="1"/>
    </xf>
    <xf numFmtId="164" fontId="51" fillId="2" borderId="0" xfId="3" applyNumberFormat="1" applyFont="1" applyFill="1" applyAlignment="1">
      <alignment horizontal="center" vertical="center" wrapText="1"/>
    </xf>
    <xf numFmtId="0" fontId="52" fillId="2" borderId="0" xfId="3" applyFont="1" applyFill="1" applyAlignment="1">
      <alignment horizontal="center" vertical="center" wrapText="1"/>
    </xf>
    <xf numFmtId="0" fontId="53" fillId="2" borderId="0" xfId="3" applyFont="1" applyFill="1" applyAlignment="1">
      <alignment horizontal="center" vertical="center" wrapText="1"/>
    </xf>
    <xf numFmtId="0" fontId="54" fillId="2" borderId="0" xfId="3" applyFont="1" applyFill="1" applyAlignment="1">
      <alignment horizontal="center" vertical="center" wrapText="1"/>
    </xf>
    <xf numFmtId="0" fontId="56" fillId="2" borderId="0" xfId="2" applyFont="1" applyFill="1" applyAlignment="1" applyProtection="1">
      <alignment horizontal="right" vertical="center"/>
    </xf>
    <xf numFmtId="0" fontId="54" fillId="2" borderId="0" xfId="3" applyFont="1" applyFill="1" applyAlignment="1">
      <alignment horizontal="center" vertical="center"/>
    </xf>
    <xf numFmtId="0" fontId="59" fillId="2" borderId="0" xfId="2" applyFont="1" applyFill="1" applyAlignment="1" applyProtection="1">
      <alignment horizontal="right" vertical="center"/>
    </xf>
    <xf numFmtId="0" fontId="59" fillId="2" borderId="0" xfId="2" applyFont="1" applyFill="1" applyAlignment="1">
      <alignment horizontal="right" vertical="center"/>
    </xf>
    <xf numFmtId="0" fontId="55" fillId="2" borderId="0" xfId="3" applyFont="1" applyFill="1" applyBorder="1" applyAlignment="1">
      <alignment horizontal="center" vertical="center"/>
    </xf>
    <xf numFmtId="0" fontId="52" fillId="2" borderId="0" xfId="3" applyFont="1" applyFill="1" applyBorder="1" applyAlignment="1">
      <alignment horizontal="center" vertical="center" wrapText="1"/>
    </xf>
    <xf numFmtId="0" fontId="55" fillId="2" borderId="0" xfId="2" applyFont="1" applyFill="1" applyAlignment="1">
      <alignment horizontal="center" vertical="center"/>
    </xf>
    <xf numFmtId="169" fontId="53" fillId="2" borderId="0" xfId="3" applyNumberFormat="1" applyFont="1" applyFill="1" applyBorder="1" applyAlignment="1">
      <alignment horizontal="center" vertical="center" wrapText="1"/>
    </xf>
    <xf numFmtId="14" fontId="53" fillId="2" borderId="0" xfId="3" applyNumberFormat="1" applyFont="1" applyFill="1" applyBorder="1" applyAlignment="1">
      <alignment horizontal="center" vertical="center" wrapText="1"/>
    </xf>
    <xf numFmtId="0" fontId="51" fillId="2" borderId="0" xfId="3" applyFont="1" applyFill="1" applyAlignment="1">
      <alignment horizontal="center" vertical="center" wrapText="1"/>
    </xf>
    <xf numFmtId="0" fontId="60" fillId="2" borderId="0" xfId="3" applyFont="1" applyFill="1" applyAlignment="1">
      <alignment horizontal="center" vertical="center" wrapText="1"/>
    </xf>
    <xf numFmtId="0" fontId="12" fillId="2" borderId="0" xfId="3" applyFont="1" applyFill="1" applyBorder="1" applyAlignment="1">
      <alignment horizontal="center" vertical="center" wrapText="1"/>
    </xf>
    <xf numFmtId="0" fontId="61" fillId="2" borderId="3" xfId="3" applyFont="1" applyFill="1" applyBorder="1" applyAlignment="1">
      <alignment horizontal="center" vertical="center"/>
    </xf>
    <xf numFmtId="0" fontId="62" fillId="2" borderId="4" xfId="3" applyFont="1" applyFill="1" applyBorder="1" applyAlignment="1">
      <alignment horizontal="center" vertical="center"/>
    </xf>
    <xf numFmtId="1" fontId="61" fillId="2" borderId="4" xfId="3" applyNumberFormat="1" applyFont="1" applyFill="1" applyBorder="1" applyAlignment="1">
      <alignment horizontal="center" vertical="center"/>
    </xf>
    <xf numFmtId="0" fontId="61" fillId="2" borderId="5" xfId="3" applyFont="1" applyFill="1" applyBorder="1" applyAlignment="1">
      <alignment horizontal="center" vertical="center"/>
    </xf>
    <xf numFmtId="0" fontId="17" fillId="2" borderId="0" xfId="3" applyFont="1" applyFill="1" applyAlignment="1">
      <alignment horizontal="center" vertical="center" wrapText="1"/>
    </xf>
    <xf numFmtId="165" fontId="60" fillId="2" borderId="0" xfId="3" applyNumberFormat="1" applyFont="1" applyFill="1" applyAlignment="1">
      <alignment horizontal="center" vertical="center" wrapText="1"/>
    </xf>
    <xf numFmtId="0" fontId="63" fillId="2" borderId="0" xfId="3" applyFont="1" applyFill="1" applyAlignment="1">
      <alignment horizontal="center" vertical="center" wrapText="1"/>
    </xf>
    <xf numFmtId="0" fontId="64" fillId="2" borderId="0" xfId="3" applyFont="1" applyFill="1" applyAlignment="1">
      <alignment horizontal="center" vertical="center" wrapText="1"/>
    </xf>
    <xf numFmtId="0" fontId="61" fillId="2" borderId="0" xfId="3" applyFont="1" applyFill="1" applyBorder="1" applyAlignment="1">
      <alignment horizontal="center" vertical="center"/>
    </xf>
    <xf numFmtId="2" fontId="17" fillId="2" borderId="0" xfId="3" applyNumberFormat="1" applyFont="1" applyFill="1" applyAlignment="1">
      <alignment horizontal="center" vertical="center" wrapText="1"/>
    </xf>
    <xf numFmtId="0" fontId="61" fillId="2" borderId="28" xfId="3" applyFont="1" applyFill="1" applyBorder="1" applyAlignment="1">
      <alignment horizontal="center" vertical="center" wrapText="1"/>
    </xf>
    <xf numFmtId="0" fontId="61" fillId="2" borderId="30" xfId="3" applyFont="1" applyFill="1" applyBorder="1" applyAlignment="1">
      <alignment horizontal="center" vertical="center" wrapText="1"/>
    </xf>
    <xf numFmtId="0" fontId="61" fillId="2" borderId="31" xfId="3" applyFont="1" applyFill="1" applyBorder="1" applyAlignment="1">
      <alignment horizontal="center" vertical="center" wrapText="1"/>
    </xf>
    <xf numFmtId="0" fontId="61" fillId="2" borderId="29" xfId="3" applyFont="1" applyFill="1" applyBorder="1" applyAlignment="1">
      <alignment horizontal="center" vertical="center" wrapText="1"/>
    </xf>
    <xf numFmtId="2" fontId="60" fillId="2" borderId="0" xfId="3" applyNumberFormat="1" applyFont="1" applyFill="1" applyAlignment="1">
      <alignment horizontal="center" vertical="center" wrapText="1"/>
    </xf>
    <xf numFmtId="0" fontId="60" fillId="2" borderId="0" xfId="3" applyFont="1" applyFill="1" applyAlignment="1">
      <alignment horizontal="center" vertical="center"/>
    </xf>
    <xf numFmtId="165" fontId="65" fillId="2" borderId="48" xfId="3" applyNumberFormat="1" applyFont="1" applyFill="1" applyBorder="1" applyAlignment="1">
      <alignment horizontal="center" vertical="center"/>
    </xf>
    <xf numFmtId="165" fontId="65" fillId="2" borderId="58" xfId="3" applyNumberFormat="1" applyFont="1" applyFill="1" applyBorder="1" applyAlignment="1">
      <alignment horizontal="center" vertical="center"/>
    </xf>
    <xf numFmtId="165" fontId="65" fillId="2" borderId="49" xfId="3" applyNumberFormat="1" applyFont="1" applyFill="1" applyBorder="1" applyAlignment="1">
      <alignment horizontal="center" vertical="center"/>
    </xf>
    <xf numFmtId="1" fontId="65" fillId="2" borderId="58" xfId="3" applyNumberFormat="1" applyFont="1" applyFill="1" applyBorder="1" applyAlignment="1">
      <alignment horizontal="center" vertical="center"/>
    </xf>
    <xf numFmtId="1" fontId="65" fillId="2" borderId="57" xfId="3" applyNumberFormat="1" applyFont="1" applyFill="1" applyBorder="1" applyAlignment="1">
      <alignment horizontal="center" vertical="center"/>
    </xf>
    <xf numFmtId="165" fontId="66" fillId="2" borderId="22" xfId="3" applyNumberFormat="1" applyFont="1" applyFill="1" applyBorder="1" applyAlignment="1">
      <alignment horizontal="center" vertical="center"/>
    </xf>
    <xf numFmtId="165" fontId="66" fillId="2" borderId="60" xfId="3" applyNumberFormat="1" applyFont="1" applyFill="1" applyBorder="1" applyAlignment="1">
      <alignment horizontal="center" vertical="center"/>
    </xf>
    <xf numFmtId="165" fontId="66" fillId="2" borderId="61" xfId="3" applyNumberFormat="1" applyFont="1" applyFill="1" applyBorder="1" applyAlignment="1">
      <alignment horizontal="center" vertical="center"/>
    </xf>
    <xf numFmtId="1" fontId="66" fillId="2" borderId="60" xfId="3" applyNumberFormat="1" applyFont="1" applyFill="1" applyBorder="1" applyAlignment="1">
      <alignment horizontal="center" vertical="center"/>
    </xf>
    <xf numFmtId="1" fontId="66" fillId="2" borderId="59" xfId="3" applyNumberFormat="1" applyFont="1" applyFill="1" applyBorder="1" applyAlignment="1">
      <alignment horizontal="center" vertical="center"/>
    </xf>
    <xf numFmtId="165" fontId="66" fillId="2" borderId="55" xfId="3" applyNumberFormat="1" applyFont="1" applyFill="1" applyBorder="1" applyAlignment="1">
      <alignment horizontal="center" vertical="center"/>
    </xf>
    <xf numFmtId="165" fontId="66" fillId="2" borderId="44" xfId="3" applyNumberFormat="1" applyFont="1" applyFill="1" applyBorder="1" applyAlignment="1">
      <alignment horizontal="center" vertical="center"/>
    </xf>
    <xf numFmtId="165" fontId="66" fillId="2" borderId="63" xfId="3" applyNumberFormat="1" applyFont="1" applyFill="1" applyBorder="1" applyAlignment="1">
      <alignment horizontal="center" vertical="center"/>
    </xf>
    <xf numFmtId="1" fontId="66" fillId="2" borderId="44" xfId="3" applyNumberFormat="1" applyFont="1" applyFill="1" applyBorder="1" applyAlignment="1">
      <alignment horizontal="center" vertical="center"/>
    </xf>
    <xf numFmtId="1" fontId="66" fillId="2" borderId="62" xfId="3" applyNumberFormat="1" applyFont="1" applyFill="1" applyBorder="1" applyAlignment="1">
      <alignment horizontal="center" vertical="center"/>
    </xf>
    <xf numFmtId="0" fontId="12" fillId="2" borderId="0" xfId="3" applyFont="1" applyFill="1" applyBorder="1" applyAlignment="1">
      <alignment horizontal="center" vertical="center"/>
    </xf>
    <xf numFmtId="0" fontId="66" fillId="2" borderId="48" xfId="3" applyFont="1" applyFill="1" applyBorder="1" applyAlignment="1">
      <alignment horizontal="center" vertical="center"/>
    </xf>
    <xf numFmtId="0" fontId="66" fillId="2" borderId="58" xfId="3" applyFont="1" applyFill="1" applyBorder="1" applyAlignment="1">
      <alignment horizontal="center" vertical="center"/>
    </xf>
    <xf numFmtId="0" fontId="66" fillId="2" borderId="64" xfId="3" applyFont="1" applyFill="1" applyBorder="1" applyAlignment="1">
      <alignment horizontal="center" vertical="center"/>
    </xf>
    <xf numFmtId="0" fontId="66" fillId="2" borderId="49" xfId="3" applyFont="1" applyFill="1" applyBorder="1" applyAlignment="1">
      <alignment horizontal="center" vertical="center"/>
    </xf>
    <xf numFmtId="0" fontId="66" fillId="2" borderId="57" xfId="3" applyFont="1" applyFill="1" applyBorder="1" applyAlignment="1">
      <alignment horizontal="center" vertical="center"/>
    </xf>
    <xf numFmtId="0" fontId="66" fillId="2" borderId="22" xfId="3" applyFont="1" applyFill="1" applyBorder="1" applyAlignment="1">
      <alignment horizontal="center" vertical="center"/>
    </xf>
    <xf numFmtId="0" fontId="66" fillId="2" borderId="60" xfId="3" applyFont="1" applyFill="1" applyBorder="1" applyAlignment="1">
      <alignment horizontal="center" vertical="center"/>
    </xf>
    <xf numFmtId="0" fontId="66" fillId="2" borderId="0" xfId="3" applyFont="1" applyFill="1" applyBorder="1" applyAlignment="1">
      <alignment horizontal="center" vertical="center"/>
    </xf>
    <xf numFmtId="0" fontId="66" fillId="2" borderId="59" xfId="3" applyFont="1" applyFill="1" applyBorder="1" applyAlignment="1">
      <alignment horizontal="center" vertical="center"/>
    </xf>
    <xf numFmtId="0" fontId="66" fillId="2" borderId="55" xfId="3" applyFont="1" applyFill="1" applyBorder="1" applyAlignment="1">
      <alignment horizontal="center" vertical="center"/>
    </xf>
    <xf numFmtId="0" fontId="66" fillId="2" borderId="44" xfId="3" applyFont="1" applyFill="1" applyBorder="1" applyAlignment="1">
      <alignment horizontal="center" vertical="center"/>
    </xf>
    <xf numFmtId="0" fontId="66" fillId="2" borderId="56" xfId="3" applyFont="1" applyFill="1" applyBorder="1" applyAlignment="1">
      <alignment horizontal="center" vertical="center"/>
    </xf>
    <xf numFmtId="0" fontId="66" fillId="2" borderId="62" xfId="3" applyFont="1" applyFill="1" applyBorder="1" applyAlignment="1">
      <alignment horizontal="center" vertical="center"/>
    </xf>
    <xf numFmtId="165" fontId="66" fillId="2" borderId="64" xfId="3" applyNumberFormat="1" applyFont="1" applyFill="1" applyBorder="1" applyAlignment="1">
      <alignment horizontal="center" vertical="center"/>
    </xf>
    <xf numFmtId="0" fontId="12" fillId="2" borderId="0" xfId="2" applyFont="1" applyFill="1" applyAlignment="1">
      <alignment horizontal="center" vertical="center"/>
    </xf>
    <xf numFmtId="0" fontId="66" fillId="2" borderId="63" xfId="3" applyFont="1" applyFill="1" applyBorder="1" applyAlignment="1">
      <alignment horizontal="center" vertical="center"/>
    </xf>
    <xf numFmtId="0" fontId="66" fillId="2" borderId="3" xfId="3" applyFont="1" applyFill="1" applyBorder="1" applyAlignment="1">
      <alignment horizontal="center" vertical="center"/>
    </xf>
    <xf numFmtId="0" fontId="66" fillId="2" borderId="65" xfId="3" applyFont="1" applyFill="1" applyBorder="1" applyAlignment="1">
      <alignment horizontal="center" vertical="center"/>
    </xf>
    <xf numFmtId="0" fontId="66" fillId="2" borderId="66" xfId="3" applyFont="1" applyFill="1" applyBorder="1" applyAlignment="1">
      <alignment horizontal="center" vertical="center"/>
    </xf>
    <xf numFmtId="0" fontId="66" fillId="2" borderId="4" xfId="3" applyFont="1" applyFill="1" applyBorder="1" applyAlignment="1">
      <alignment horizontal="center" vertical="center"/>
    </xf>
    <xf numFmtId="0" fontId="66" fillId="2" borderId="5" xfId="3" applyFont="1" applyFill="1" applyBorder="1" applyAlignment="1">
      <alignment horizontal="center" vertical="center"/>
    </xf>
    <xf numFmtId="0" fontId="12" fillId="2" borderId="0" xfId="6" applyNumberFormat="1" applyFont="1" applyFill="1" applyAlignment="1">
      <alignment horizontal="center" vertical="center" wrapText="1"/>
    </xf>
    <xf numFmtId="0" fontId="67" fillId="2" borderId="0" xfId="3" applyFont="1" applyFill="1" applyAlignment="1">
      <alignment horizontal="center" vertical="center" wrapText="1"/>
    </xf>
    <xf numFmtId="0" fontId="69" fillId="2" borderId="0" xfId="7" applyFont="1" applyFill="1" applyAlignment="1">
      <alignment horizontal="center" vertical="center" wrapText="1"/>
    </xf>
    <xf numFmtId="0" fontId="67" fillId="2" borderId="0" xfId="6" applyNumberFormat="1" applyFont="1" applyFill="1" applyAlignment="1">
      <alignment horizontal="center" vertical="center" wrapText="1"/>
    </xf>
    <xf numFmtId="0" fontId="70" fillId="2" borderId="0" xfId="6" applyNumberFormat="1" applyFont="1" applyFill="1" applyAlignment="1">
      <alignment horizontal="center" vertical="center" wrapText="1"/>
    </xf>
    <xf numFmtId="165" fontId="67" fillId="2" borderId="0" xfId="6" applyNumberFormat="1" applyFont="1" applyFill="1" applyAlignment="1">
      <alignment horizontal="center" vertical="center" wrapText="1"/>
    </xf>
    <xf numFmtId="0" fontId="71" fillId="2" borderId="0" xfId="6" applyNumberFormat="1" applyFont="1" applyFill="1" applyAlignment="1">
      <alignment horizontal="center" vertical="center" wrapText="1"/>
    </xf>
    <xf numFmtId="0" fontId="72" fillId="2" borderId="0" xfId="3" applyFont="1" applyFill="1" applyAlignment="1">
      <alignment horizontal="center" vertical="center" wrapText="1"/>
    </xf>
    <xf numFmtId="164" fontId="67" fillId="2" borderId="0" xfId="3" applyNumberFormat="1" applyFont="1" applyFill="1" applyAlignment="1">
      <alignment horizontal="center" vertical="center" wrapText="1"/>
    </xf>
    <xf numFmtId="0" fontId="70" fillId="2" borderId="0" xfId="3" applyFont="1" applyFill="1" applyAlignment="1">
      <alignment horizontal="center" vertical="center" wrapText="1"/>
    </xf>
    <xf numFmtId="0" fontId="70" fillId="2" borderId="30" xfId="6" applyNumberFormat="1" applyFont="1" applyFill="1" applyBorder="1" applyAlignment="1">
      <alignment horizontal="center" vertical="center" wrapText="1"/>
    </xf>
    <xf numFmtId="0" fontId="70" fillId="2" borderId="32" xfId="6" applyNumberFormat="1" applyFont="1" applyFill="1" applyBorder="1" applyAlignment="1">
      <alignment horizontal="center" vertical="center" wrapText="1"/>
    </xf>
    <xf numFmtId="0" fontId="75" fillId="2" borderId="30" xfId="6" applyNumberFormat="1" applyFont="1" applyFill="1" applyBorder="1" applyAlignment="1">
      <alignment horizontal="center" vertical="center" wrapText="1"/>
    </xf>
    <xf numFmtId="0" fontId="76" fillId="2" borderId="30" xfId="6" applyNumberFormat="1" applyFont="1" applyFill="1" applyBorder="1" applyAlignment="1">
      <alignment horizontal="center" vertical="center" wrapText="1"/>
    </xf>
    <xf numFmtId="0" fontId="77" fillId="2" borderId="30" xfId="6" applyNumberFormat="1" applyFont="1" applyFill="1" applyBorder="1" applyAlignment="1">
      <alignment horizontal="center" vertical="center" wrapText="1"/>
    </xf>
    <xf numFmtId="0" fontId="70" fillId="2" borderId="29" xfId="6" applyNumberFormat="1" applyFont="1" applyFill="1" applyBorder="1" applyAlignment="1">
      <alignment horizontal="center" vertical="center" wrapText="1"/>
    </xf>
    <xf numFmtId="0" fontId="78" fillId="2" borderId="31" xfId="6" applyNumberFormat="1" applyFont="1" applyFill="1" applyBorder="1" applyAlignment="1">
      <alignment horizontal="center" vertical="center" wrapText="1"/>
    </xf>
    <xf numFmtId="0" fontId="60" fillId="2" borderId="0" xfId="6" applyNumberFormat="1" applyFont="1" applyFill="1" applyBorder="1" applyAlignment="1">
      <alignment horizontal="center" vertical="center" wrapText="1"/>
    </xf>
    <xf numFmtId="0" fontId="60" fillId="2" borderId="14" xfId="6" applyNumberFormat="1" applyFont="1" applyFill="1" applyBorder="1" applyAlignment="1">
      <alignment horizontal="center" vertical="center" wrapText="1"/>
    </xf>
    <xf numFmtId="0" fontId="12" fillId="0" borderId="15" xfId="2" applyFont="1" applyFill="1" applyBorder="1" applyAlignment="1" applyProtection="1">
      <alignment horizontal="center" vertical="center" wrapText="1"/>
    </xf>
    <xf numFmtId="0" fontId="60" fillId="2" borderId="15" xfId="8" applyNumberFormat="1" applyFont="1" applyFill="1" applyBorder="1" applyAlignment="1">
      <alignment horizontal="center" vertical="center" wrapText="1"/>
    </xf>
    <xf numFmtId="0" fontId="60" fillId="2" borderId="16" xfId="8" applyNumberFormat="1" applyFont="1" applyFill="1" applyBorder="1" applyAlignment="1">
      <alignment horizontal="center" vertical="center" wrapText="1"/>
    </xf>
    <xf numFmtId="0" fontId="60" fillId="2" borderId="15" xfId="6" applyNumberFormat="1" applyFont="1" applyFill="1" applyBorder="1" applyAlignment="1">
      <alignment horizontal="center" vertical="center" wrapText="1"/>
    </xf>
    <xf numFmtId="1" fontId="60" fillId="2" borderId="15" xfId="6" applyNumberFormat="1" applyFont="1" applyFill="1" applyBorder="1" applyAlignment="1">
      <alignment horizontal="center" vertical="center" wrapText="1"/>
    </xf>
    <xf numFmtId="165" fontId="79" fillId="2" borderId="15" xfId="6" applyNumberFormat="1" applyFont="1" applyFill="1" applyBorder="1" applyAlignment="1">
      <alignment horizontal="center" vertical="center" wrapText="1"/>
    </xf>
    <xf numFmtId="1" fontId="19" fillId="2" borderId="15" xfId="6" applyNumberFormat="1" applyFont="1" applyFill="1" applyBorder="1" applyAlignment="1">
      <alignment horizontal="center" vertical="center" wrapText="1"/>
    </xf>
    <xf numFmtId="1" fontId="80" fillId="2" borderId="15" xfId="6" applyNumberFormat="1" applyFont="1" applyFill="1" applyBorder="1" applyAlignment="1">
      <alignment horizontal="center" vertical="center" wrapText="1"/>
    </xf>
    <xf numFmtId="165" fontId="60" fillId="0" borderId="16" xfId="6" applyNumberFormat="1" applyFont="1" applyFill="1" applyBorder="1" applyAlignment="1">
      <alignment horizontal="center" vertical="center" wrapText="1"/>
    </xf>
    <xf numFmtId="2" fontId="60" fillId="2" borderId="14" xfId="6" applyNumberFormat="1" applyFont="1" applyFill="1" applyBorder="1" applyAlignment="1">
      <alignment horizontal="center" vertical="center" wrapText="1"/>
    </xf>
    <xf numFmtId="2" fontId="60" fillId="2" borderId="16" xfId="6" applyNumberFormat="1" applyFont="1" applyFill="1" applyBorder="1" applyAlignment="1">
      <alignment horizontal="center" vertical="center" wrapText="1"/>
    </xf>
    <xf numFmtId="1" fontId="60" fillId="2" borderId="14" xfId="6" applyNumberFormat="1" applyFont="1" applyFill="1" applyBorder="1" applyAlignment="1">
      <alignment horizontal="center" vertical="center" wrapText="1"/>
    </xf>
    <xf numFmtId="165" fontId="60" fillId="2" borderId="16" xfId="6" applyNumberFormat="1" applyFont="1" applyFill="1" applyBorder="1" applyAlignment="1">
      <alignment horizontal="center" vertical="center" wrapText="1"/>
    </xf>
    <xf numFmtId="165" fontId="63" fillId="2" borderId="14" xfId="6" applyNumberFormat="1" applyFont="1" applyFill="1" applyBorder="1" applyAlignment="1">
      <alignment horizontal="center" vertical="center" wrapText="1"/>
    </xf>
    <xf numFmtId="1" fontId="64" fillId="2" borderId="15" xfId="6" applyNumberFormat="1" applyFont="1" applyFill="1" applyBorder="1" applyAlignment="1">
      <alignment horizontal="center" vertical="center" wrapText="1"/>
    </xf>
    <xf numFmtId="14" fontId="60" fillId="2" borderId="15" xfId="6" applyNumberFormat="1" applyFont="1" applyFill="1" applyBorder="1" applyAlignment="1">
      <alignment horizontal="center" vertical="center" wrapText="1"/>
    </xf>
    <xf numFmtId="1" fontId="60" fillId="0" borderId="16" xfId="6" applyNumberFormat="1" applyFont="1" applyFill="1" applyBorder="1" applyAlignment="1">
      <alignment horizontal="center" vertical="center" wrapText="1"/>
    </xf>
    <xf numFmtId="0" fontId="60" fillId="2" borderId="23" xfId="6" applyNumberFormat="1" applyFont="1" applyFill="1" applyBorder="1" applyAlignment="1">
      <alignment horizontal="center" vertical="center" wrapText="1"/>
    </xf>
    <xf numFmtId="0" fontId="12" fillId="0" borderId="8" xfId="2" applyFont="1" applyFill="1" applyBorder="1" applyAlignment="1" applyProtection="1">
      <alignment horizontal="center" vertical="center" wrapText="1"/>
    </xf>
    <xf numFmtId="0" fontId="60" fillId="2" borderId="8" xfId="8" applyNumberFormat="1" applyFont="1" applyFill="1" applyBorder="1" applyAlignment="1">
      <alignment horizontal="center" vertical="center" wrapText="1"/>
    </xf>
    <xf numFmtId="0" fontId="60" fillId="2" borderId="24" xfId="8" applyNumberFormat="1" applyFont="1" applyFill="1" applyBorder="1" applyAlignment="1">
      <alignment horizontal="center" vertical="center" wrapText="1"/>
    </xf>
    <xf numFmtId="0" fontId="60" fillId="2" borderId="8" xfId="6" applyNumberFormat="1" applyFont="1" applyFill="1" applyBorder="1" applyAlignment="1">
      <alignment horizontal="center" vertical="center" wrapText="1"/>
    </xf>
    <xf numFmtId="1" fontId="60" fillId="2" borderId="8" xfId="6" applyNumberFormat="1" applyFont="1" applyFill="1" applyBorder="1" applyAlignment="1">
      <alignment horizontal="center" vertical="center" wrapText="1"/>
    </xf>
    <xf numFmtId="165" fontId="79" fillId="2" borderId="8" xfId="6" applyNumberFormat="1" applyFont="1" applyFill="1" applyBorder="1" applyAlignment="1">
      <alignment horizontal="center" vertical="center" wrapText="1"/>
    </xf>
    <xf numFmtId="1" fontId="19" fillId="2" borderId="8" xfId="6" applyNumberFormat="1" applyFont="1" applyFill="1" applyBorder="1" applyAlignment="1">
      <alignment horizontal="center" vertical="center" wrapText="1"/>
    </xf>
    <xf numFmtId="1" fontId="80" fillId="2" borderId="8" xfId="6" applyNumberFormat="1" applyFont="1" applyFill="1" applyBorder="1" applyAlignment="1">
      <alignment horizontal="center" vertical="center" wrapText="1"/>
    </xf>
    <xf numFmtId="165" fontId="60" fillId="0" borderId="24" xfId="6" applyNumberFormat="1" applyFont="1" applyFill="1" applyBorder="1" applyAlignment="1">
      <alignment horizontal="center" vertical="center" wrapText="1"/>
    </xf>
    <xf numFmtId="2" fontId="60" fillId="2" borderId="23" xfId="6" applyNumberFormat="1" applyFont="1" applyFill="1" applyBorder="1" applyAlignment="1">
      <alignment horizontal="center" vertical="center" wrapText="1"/>
    </xf>
    <xf numFmtId="2" fontId="60" fillId="2" borderId="24" xfId="6" applyNumberFormat="1" applyFont="1" applyFill="1" applyBorder="1" applyAlignment="1">
      <alignment horizontal="center" vertical="center" wrapText="1"/>
    </xf>
    <xf numFmtId="1" fontId="60" fillId="2" borderId="23" xfId="6" applyNumberFormat="1" applyFont="1" applyFill="1" applyBorder="1" applyAlignment="1">
      <alignment horizontal="center" vertical="center" wrapText="1"/>
    </xf>
    <xf numFmtId="165" fontId="79" fillId="0" borderId="8" xfId="6" applyNumberFormat="1" applyFont="1" applyFill="1" applyBorder="1" applyAlignment="1">
      <alignment horizontal="center" vertical="center" wrapText="1"/>
    </xf>
    <xf numFmtId="165" fontId="60" fillId="2" borderId="24" xfId="6" applyNumberFormat="1" applyFont="1" applyFill="1" applyBorder="1" applyAlignment="1">
      <alignment horizontal="center" vertical="center" wrapText="1"/>
    </xf>
    <xf numFmtId="165" fontId="63" fillId="2" borderId="23" xfId="6" applyNumberFormat="1" applyFont="1" applyFill="1" applyBorder="1" applyAlignment="1">
      <alignment horizontal="center" vertical="center" wrapText="1"/>
    </xf>
    <xf numFmtId="1" fontId="64" fillId="2" borderId="8" xfId="6" applyNumberFormat="1" applyFont="1" applyFill="1" applyBorder="1" applyAlignment="1">
      <alignment horizontal="center" vertical="center" wrapText="1"/>
    </xf>
    <xf numFmtId="14" fontId="60" fillId="2" borderId="8" xfId="6" applyNumberFormat="1" applyFont="1" applyFill="1" applyBorder="1" applyAlignment="1">
      <alignment horizontal="center" vertical="center" wrapText="1"/>
    </xf>
    <xf numFmtId="1" fontId="60" fillId="2" borderId="24" xfId="6" applyNumberFormat="1" applyFont="1" applyFill="1" applyBorder="1" applyAlignment="1">
      <alignment horizontal="center" vertical="center" wrapText="1"/>
    </xf>
    <xf numFmtId="0" fontId="60" fillId="0" borderId="0" xfId="6" applyNumberFormat="1" applyFont="1" applyFill="1" applyBorder="1" applyAlignment="1">
      <alignment horizontal="center" vertical="center" wrapText="1"/>
    </xf>
    <xf numFmtId="0" fontId="60" fillId="0" borderId="8" xfId="8" applyNumberFormat="1" applyFont="1" applyFill="1" applyBorder="1" applyAlignment="1">
      <alignment horizontal="center" vertical="center" wrapText="1"/>
    </xf>
    <xf numFmtId="0" fontId="60" fillId="0" borderId="24" xfId="8" applyNumberFormat="1" applyFont="1" applyFill="1" applyBorder="1" applyAlignment="1">
      <alignment horizontal="center" vertical="center" wrapText="1"/>
    </xf>
    <xf numFmtId="1" fontId="60" fillId="0" borderId="23" xfId="6" applyNumberFormat="1" applyFont="1" applyFill="1" applyBorder="1" applyAlignment="1">
      <alignment horizontal="center" vertical="center" wrapText="1"/>
    </xf>
    <xf numFmtId="1" fontId="60" fillId="0" borderId="8" xfId="6" applyNumberFormat="1" applyFont="1" applyFill="1" applyBorder="1" applyAlignment="1">
      <alignment horizontal="center" vertical="center" wrapText="1"/>
    </xf>
    <xf numFmtId="1" fontId="19" fillId="0" borderId="8" xfId="6" applyNumberFormat="1" applyFont="1" applyFill="1" applyBorder="1" applyAlignment="1">
      <alignment horizontal="center" vertical="center" wrapText="1"/>
    </xf>
    <xf numFmtId="1" fontId="80" fillId="0" borderId="8" xfId="6" applyNumberFormat="1" applyFont="1" applyFill="1" applyBorder="1" applyAlignment="1">
      <alignment horizontal="center" vertical="center" wrapText="1"/>
    </xf>
    <xf numFmtId="1" fontId="17" fillId="0" borderId="8" xfId="6" applyNumberFormat="1" applyFont="1" applyFill="1" applyBorder="1" applyAlignment="1">
      <alignment horizontal="center" vertical="center" wrapText="1"/>
    </xf>
    <xf numFmtId="165" fontId="63" fillId="0" borderId="23" xfId="6" applyNumberFormat="1" applyFont="1" applyFill="1" applyBorder="1" applyAlignment="1">
      <alignment horizontal="center" vertical="center" wrapText="1"/>
    </xf>
    <xf numFmtId="1" fontId="64" fillId="0" borderId="8" xfId="6" applyNumberFormat="1" applyFont="1" applyFill="1" applyBorder="1" applyAlignment="1">
      <alignment horizontal="center" vertical="center" wrapText="1"/>
    </xf>
    <xf numFmtId="14" fontId="60" fillId="0" borderId="8" xfId="6" applyNumberFormat="1" applyFont="1" applyFill="1" applyBorder="1" applyAlignment="1">
      <alignment horizontal="center" vertical="center" wrapText="1"/>
    </xf>
    <xf numFmtId="1" fontId="19" fillId="0" borderId="24" xfId="6" applyNumberFormat="1" applyFont="1" applyFill="1" applyBorder="1" applyAlignment="1">
      <alignment horizontal="center" vertical="center" wrapText="1"/>
    </xf>
    <xf numFmtId="0" fontId="81" fillId="0" borderId="8" xfId="2" applyFont="1" applyFill="1" applyBorder="1" applyAlignment="1" applyProtection="1">
      <alignment horizontal="center" vertical="center" wrapText="1"/>
    </xf>
    <xf numFmtId="0" fontId="60" fillId="2" borderId="28" xfId="6" applyNumberFormat="1" applyFont="1" applyFill="1" applyBorder="1" applyAlignment="1">
      <alignment horizontal="center" vertical="center" wrapText="1"/>
    </xf>
    <xf numFmtId="0" fontId="81" fillId="0" borderId="30" xfId="2" applyFont="1" applyFill="1" applyBorder="1" applyAlignment="1" applyProtection="1">
      <alignment horizontal="center" vertical="center" wrapText="1"/>
    </xf>
    <xf numFmtId="0" fontId="60" fillId="2" borderId="30" xfId="8" applyNumberFormat="1" applyFont="1" applyFill="1" applyBorder="1" applyAlignment="1">
      <alignment horizontal="center" vertical="center" wrapText="1"/>
    </xf>
    <xf numFmtId="0" fontId="60" fillId="2" borderId="29" xfId="8" applyNumberFormat="1" applyFont="1" applyFill="1" applyBorder="1" applyAlignment="1">
      <alignment horizontal="center" vertical="center" wrapText="1"/>
    </xf>
    <xf numFmtId="0" fontId="60" fillId="2" borderId="30" xfId="6" applyNumberFormat="1" applyFont="1" applyFill="1" applyBorder="1" applyAlignment="1">
      <alignment horizontal="center" vertical="center" wrapText="1"/>
    </xf>
    <xf numFmtId="1" fontId="60" fillId="2" borderId="30" xfId="6" applyNumberFormat="1" applyFont="1" applyFill="1" applyBorder="1" applyAlignment="1">
      <alignment horizontal="center" vertical="center" wrapText="1"/>
    </xf>
    <xf numFmtId="165" fontId="79" fillId="2" borderId="30" xfId="6" applyNumberFormat="1" applyFont="1" applyFill="1" applyBorder="1" applyAlignment="1">
      <alignment horizontal="center" vertical="center" wrapText="1"/>
    </xf>
    <xf numFmtId="1" fontId="19" fillId="2" borderId="30" xfId="6" applyNumberFormat="1" applyFont="1" applyFill="1" applyBorder="1" applyAlignment="1">
      <alignment horizontal="center" vertical="center" wrapText="1"/>
    </xf>
    <xf numFmtId="1" fontId="80" fillId="2" borderId="30" xfId="6" applyNumberFormat="1" applyFont="1" applyFill="1" applyBorder="1" applyAlignment="1">
      <alignment horizontal="center" vertical="center" wrapText="1"/>
    </xf>
    <xf numFmtId="165" fontId="60" fillId="0" borderId="29" xfId="6" applyNumberFormat="1" applyFont="1" applyFill="1" applyBorder="1" applyAlignment="1">
      <alignment horizontal="center" vertical="center" wrapText="1"/>
    </xf>
    <xf numFmtId="2" fontId="60" fillId="2" borderId="28" xfId="6" applyNumberFormat="1" applyFont="1" applyFill="1" applyBorder="1" applyAlignment="1">
      <alignment horizontal="center" vertical="center" wrapText="1"/>
    </xf>
    <xf numFmtId="2" fontId="60" fillId="2" borderId="29" xfId="6" applyNumberFormat="1" applyFont="1" applyFill="1" applyBorder="1" applyAlignment="1">
      <alignment horizontal="center" vertical="center" wrapText="1"/>
    </xf>
    <xf numFmtId="1" fontId="60" fillId="2" borderId="28" xfId="6" applyNumberFormat="1" applyFont="1" applyFill="1" applyBorder="1" applyAlignment="1">
      <alignment horizontal="center" vertical="center" wrapText="1"/>
    </xf>
    <xf numFmtId="165" fontId="79" fillId="0" borderId="30" xfId="6" applyNumberFormat="1" applyFont="1" applyFill="1" applyBorder="1" applyAlignment="1">
      <alignment horizontal="center" vertical="center" wrapText="1"/>
    </xf>
    <xf numFmtId="1" fontId="19" fillId="0" borderId="30" xfId="6" applyNumberFormat="1" applyFont="1" applyFill="1" applyBorder="1" applyAlignment="1">
      <alignment horizontal="center" vertical="center" wrapText="1"/>
    </xf>
    <xf numFmtId="165" fontId="60" fillId="2" borderId="29" xfId="6" applyNumberFormat="1" applyFont="1" applyFill="1" applyBorder="1" applyAlignment="1">
      <alignment horizontal="center" vertical="center" wrapText="1"/>
    </xf>
    <xf numFmtId="165" fontId="63" fillId="2" borderId="28" xfId="6" applyNumberFormat="1" applyFont="1" applyFill="1" applyBorder="1" applyAlignment="1">
      <alignment horizontal="center" vertical="center" wrapText="1"/>
    </xf>
    <xf numFmtId="1" fontId="64" fillId="2" borderId="30" xfId="6" applyNumberFormat="1" applyFont="1" applyFill="1" applyBorder="1" applyAlignment="1">
      <alignment horizontal="center" vertical="center" wrapText="1"/>
    </xf>
    <xf numFmtId="14" fontId="60" fillId="2" borderId="30" xfId="6" applyNumberFormat="1" applyFont="1" applyFill="1" applyBorder="1" applyAlignment="1">
      <alignment horizontal="center" vertical="center" wrapText="1"/>
    </xf>
    <xf numFmtId="1" fontId="60" fillId="2" borderId="29" xfId="6" applyNumberFormat="1" applyFont="1" applyFill="1" applyBorder="1" applyAlignment="1">
      <alignment horizontal="center" vertical="center" wrapText="1"/>
    </xf>
    <xf numFmtId="0" fontId="60" fillId="2" borderId="11" xfId="6" applyNumberFormat="1" applyFont="1" applyFill="1" applyBorder="1" applyAlignment="1">
      <alignment horizontal="center" vertical="center" wrapText="1"/>
    </xf>
    <xf numFmtId="0" fontId="81" fillId="0" borderId="13" xfId="2" applyFont="1" applyFill="1" applyBorder="1" applyAlignment="1" applyProtection="1">
      <alignment horizontal="center" vertical="center" wrapText="1"/>
    </xf>
    <xf numFmtId="0" fontId="60" fillId="2" borderId="13" xfId="8" applyNumberFormat="1" applyFont="1" applyFill="1" applyBorder="1" applyAlignment="1">
      <alignment horizontal="center" vertical="center" wrapText="1"/>
    </xf>
    <xf numFmtId="0" fontId="60" fillId="2" borderId="18" xfId="8" applyNumberFormat="1" applyFont="1" applyFill="1" applyBorder="1" applyAlignment="1">
      <alignment horizontal="center" vertical="center" wrapText="1"/>
    </xf>
    <xf numFmtId="0" fontId="60" fillId="2" borderId="13" xfId="6" applyNumberFormat="1" applyFont="1" applyFill="1" applyBorder="1" applyAlignment="1">
      <alignment horizontal="center" vertical="center" wrapText="1"/>
    </xf>
    <xf numFmtId="1" fontId="60" fillId="2" borderId="13" xfId="6" applyNumberFormat="1" applyFont="1" applyFill="1" applyBorder="1" applyAlignment="1">
      <alignment horizontal="center" vertical="center" wrapText="1"/>
    </xf>
    <xf numFmtId="165" fontId="79" fillId="2" borderId="13" xfId="6" applyNumberFormat="1" applyFont="1" applyFill="1" applyBorder="1" applyAlignment="1">
      <alignment horizontal="center" vertical="center" wrapText="1"/>
    </xf>
    <xf numFmtId="1" fontId="19" fillId="2" borderId="13" xfId="6" applyNumberFormat="1" applyFont="1" applyFill="1" applyBorder="1" applyAlignment="1">
      <alignment horizontal="center" vertical="center" wrapText="1"/>
    </xf>
    <xf numFmtId="1" fontId="80" fillId="2" borderId="13" xfId="6" applyNumberFormat="1" applyFont="1" applyFill="1" applyBorder="1" applyAlignment="1">
      <alignment horizontal="center" vertical="center" wrapText="1"/>
    </xf>
    <xf numFmtId="165" fontId="60" fillId="0" borderId="12" xfId="6" applyNumberFormat="1" applyFont="1" applyFill="1" applyBorder="1" applyAlignment="1">
      <alignment horizontal="center" vertical="center" wrapText="1"/>
    </xf>
    <xf numFmtId="2" fontId="60" fillId="2" borderId="11" xfId="6" applyNumberFormat="1" applyFont="1" applyFill="1" applyBorder="1" applyAlignment="1">
      <alignment horizontal="center" vertical="center" wrapText="1"/>
    </xf>
    <xf numFmtId="2" fontId="60" fillId="2" borderId="12" xfId="6" applyNumberFormat="1" applyFont="1" applyFill="1" applyBorder="1" applyAlignment="1">
      <alignment horizontal="center" vertical="center" wrapText="1"/>
    </xf>
    <xf numFmtId="1" fontId="60" fillId="2" borderId="11" xfId="6" applyNumberFormat="1" applyFont="1" applyFill="1" applyBorder="1" applyAlignment="1">
      <alignment horizontal="center" vertical="center" wrapText="1"/>
    </xf>
    <xf numFmtId="165" fontId="60" fillId="2" borderId="12" xfId="6" applyNumberFormat="1" applyFont="1" applyFill="1" applyBorder="1" applyAlignment="1">
      <alignment horizontal="center" vertical="center" wrapText="1"/>
    </xf>
    <xf numFmtId="165" fontId="63" fillId="2" borderId="17" xfId="6" applyNumberFormat="1" applyFont="1" applyFill="1" applyBorder="1" applyAlignment="1">
      <alignment horizontal="center" vertical="center" wrapText="1"/>
    </xf>
    <xf numFmtId="1" fontId="64" fillId="2" borderId="13" xfId="6" applyNumberFormat="1" applyFont="1" applyFill="1" applyBorder="1" applyAlignment="1">
      <alignment horizontal="center" vertical="center" wrapText="1"/>
    </xf>
    <xf numFmtId="14" fontId="60" fillId="2" borderId="13" xfId="6" applyNumberFormat="1" applyFont="1" applyFill="1" applyBorder="1" applyAlignment="1">
      <alignment horizontal="center" vertical="center" wrapText="1"/>
    </xf>
    <xf numFmtId="1" fontId="60" fillId="2" borderId="12" xfId="6" applyNumberFormat="1" applyFont="1" applyFill="1" applyBorder="1" applyAlignment="1">
      <alignment horizontal="center" vertical="center" wrapText="1"/>
    </xf>
    <xf numFmtId="0" fontId="60" fillId="2" borderId="9" xfId="8" applyNumberFormat="1" applyFont="1" applyFill="1" applyBorder="1" applyAlignment="1">
      <alignment horizontal="center" vertical="center" wrapText="1"/>
    </xf>
    <xf numFmtId="165" fontId="63" fillId="2" borderId="7" xfId="6" applyNumberFormat="1" applyFont="1" applyFill="1" applyBorder="1" applyAlignment="1">
      <alignment horizontal="center" vertical="center" wrapText="1"/>
    </xf>
    <xf numFmtId="0" fontId="12" fillId="0" borderId="30" xfId="2" applyFont="1" applyFill="1" applyBorder="1" applyAlignment="1" applyProtection="1">
      <alignment horizontal="center" vertical="center" wrapText="1"/>
    </xf>
    <xf numFmtId="0" fontId="60" fillId="2" borderId="32" xfId="8" applyNumberFormat="1" applyFont="1" applyFill="1" applyBorder="1" applyAlignment="1">
      <alignment horizontal="center" vertical="center" wrapText="1"/>
    </xf>
    <xf numFmtId="165" fontId="63" fillId="2" borderId="31" xfId="6" applyNumberFormat="1" applyFont="1" applyFill="1" applyBorder="1" applyAlignment="1">
      <alignment horizontal="center" vertical="center" wrapText="1"/>
    </xf>
    <xf numFmtId="0" fontId="60" fillId="2" borderId="47" xfId="6" applyNumberFormat="1" applyFont="1" applyFill="1" applyBorder="1" applyAlignment="1">
      <alignment horizontal="center" vertical="center" wrapText="1"/>
    </xf>
    <xf numFmtId="0" fontId="12" fillId="0" borderId="45" xfId="2" applyFont="1" applyFill="1" applyBorder="1" applyAlignment="1" applyProtection="1">
      <alignment horizontal="center" vertical="center" wrapText="1"/>
    </xf>
    <xf numFmtId="0" fontId="60" fillId="2" borderId="45" xfId="8" applyNumberFormat="1" applyFont="1" applyFill="1" applyBorder="1" applyAlignment="1">
      <alignment horizontal="center" vertical="center" wrapText="1"/>
    </xf>
    <xf numFmtId="0" fontId="60" fillId="2" borderId="63" xfId="8" applyNumberFormat="1" applyFont="1" applyFill="1" applyBorder="1" applyAlignment="1">
      <alignment horizontal="center" vertical="center" wrapText="1"/>
    </xf>
    <xf numFmtId="0" fontId="60" fillId="2" borderId="45" xfId="6" applyNumberFormat="1" applyFont="1" applyFill="1" applyBorder="1" applyAlignment="1">
      <alignment horizontal="center" vertical="center" wrapText="1"/>
    </xf>
    <xf numFmtId="1" fontId="60" fillId="2" borderId="45" xfId="6" applyNumberFormat="1" applyFont="1" applyFill="1" applyBorder="1" applyAlignment="1">
      <alignment horizontal="center" vertical="center" wrapText="1"/>
    </xf>
    <xf numFmtId="165" fontId="79" fillId="2" borderId="45" xfId="6" applyNumberFormat="1" applyFont="1" applyFill="1" applyBorder="1" applyAlignment="1">
      <alignment horizontal="center" vertical="center" wrapText="1"/>
    </xf>
    <xf numFmtId="1" fontId="19" fillId="2" borderId="45" xfId="6" applyNumberFormat="1" applyFont="1" applyFill="1" applyBorder="1" applyAlignment="1">
      <alignment horizontal="center" vertical="center" wrapText="1"/>
    </xf>
    <xf numFmtId="1" fontId="80" fillId="2" borderId="45" xfId="6" applyNumberFormat="1" applyFont="1" applyFill="1" applyBorder="1" applyAlignment="1">
      <alignment horizontal="center" vertical="center" wrapText="1"/>
    </xf>
    <xf numFmtId="165" fontId="60" fillId="0" borderId="46" xfId="6" applyNumberFormat="1" applyFont="1" applyFill="1" applyBorder="1" applyAlignment="1">
      <alignment horizontal="center" vertical="center" wrapText="1"/>
    </xf>
    <xf numFmtId="2" fontId="60" fillId="2" borderId="47" xfId="6" applyNumberFormat="1" applyFont="1" applyFill="1" applyBorder="1" applyAlignment="1">
      <alignment horizontal="center" vertical="center" wrapText="1"/>
    </xf>
    <xf numFmtId="2" fontId="60" fillId="2" borderId="46" xfId="6" applyNumberFormat="1" applyFont="1" applyFill="1" applyBorder="1" applyAlignment="1">
      <alignment horizontal="center" vertical="center" wrapText="1"/>
    </xf>
    <xf numFmtId="1" fontId="60" fillId="2" borderId="47" xfId="6" applyNumberFormat="1" applyFont="1" applyFill="1" applyBorder="1" applyAlignment="1">
      <alignment horizontal="center" vertical="center" wrapText="1"/>
    </xf>
    <xf numFmtId="165" fontId="60" fillId="2" borderId="46" xfId="6" applyNumberFormat="1" applyFont="1" applyFill="1" applyBorder="1" applyAlignment="1">
      <alignment horizontal="center" vertical="center" wrapText="1"/>
    </xf>
    <xf numFmtId="165" fontId="63" fillId="2" borderId="44" xfId="6" applyNumberFormat="1" applyFont="1" applyFill="1" applyBorder="1" applyAlignment="1">
      <alignment horizontal="center" vertical="center" wrapText="1"/>
    </xf>
    <xf numFmtId="1" fontId="64" fillId="2" borderId="45" xfId="6" applyNumberFormat="1" applyFont="1" applyFill="1" applyBorder="1" applyAlignment="1">
      <alignment horizontal="center" vertical="center" wrapText="1"/>
    </xf>
    <xf numFmtId="14" fontId="60" fillId="2" borderId="45" xfId="6" applyNumberFormat="1" applyFont="1" applyFill="1" applyBorder="1" applyAlignment="1">
      <alignment horizontal="center" vertical="center" wrapText="1"/>
    </xf>
    <xf numFmtId="1" fontId="60" fillId="2" borderId="46" xfId="6" applyNumberFormat="1" applyFont="1" applyFill="1" applyBorder="1" applyAlignment="1">
      <alignment horizontal="center" vertical="center" wrapText="1"/>
    </xf>
    <xf numFmtId="0" fontId="12" fillId="0" borderId="13" xfId="2" applyFont="1" applyFill="1" applyBorder="1" applyAlignment="1" applyProtection="1">
      <alignment horizontal="center" vertical="center" wrapText="1"/>
    </xf>
    <xf numFmtId="165" fontId="60" fillId="0" borderId="13" xfId="6" applyNumberFormat="1" applyFont="1" applyFill="1" applyBorder="1" applyAlignment="1">
      <alignment horizontal="center" vertical="center" wrapText="1"/>
    </xf>
    <xf numFmtId="2" fontId="60" fillId="2" borderId="13" xfId="6" applyNumberFormat="1" applyFont="1" applyFill="1" applyBorder="1" applyAlignment="1">
      <alignment horizontal="center" vertical="center" wrapText="1"/>
    </xf>
    <xf numFmtId="165" fontId="60" fillId="2" borderId="13" xfId="6" applyNumberFormat="1" applyFont="1" applyFill="1" applyBorder="1" applyAlignment="1">
      <alignment horizontal="center" vertical="center" wrapText="1"/>
    </xf>
    <xf numFmtId="165" fontId="63" fillId="2" borderId="13" xfId="6" applyNumberFormat="1" applyFont="1" applyFill="1" applyBorder="1" applyAlignment="1">
      <alignment horizontal="center" vertical="center" wrapText="1"/>
    </xf>
    <xf numFmtId="0" fontId="12" fillId="2" borderId="8" xfId="2" applyFont="1" applyFill="1" applyBorder="1" applyAlignment="1" applyProtection="1">
      <alignment horizontal="center" vertical="center" wrapText="1"/>
    </xf>
    <xf numFmtId="165" fontId="60" fillId="0" borderId="8" xfId="6" applyNumberFormat="1" applyFont="1" applyFill="1" applyBorder="1" applyAlignment="1">
      <alignment horizontal="center" vertical="center" wrapText="1"/>
    </xf>
    <xf numFmtId="2" fontId="60" fillId="2" borderId="8" xfId="6" applyNumberFormat="1" applyFont="1" applyFill="1" applyBorder="1" applyAlignment="1">
      <alignment horizontal="center" vertical="center" wrapText="1"/>
    </xf>
    <xf numFmtId="165" fontId="60" fillId="2" borderId="8" xfId="6" applyNumberFormat="1" applyFont="1" applyFill="1" applyBorder="1" applyAlignment="1">
      <alignment horizontal="center" vertical="center" wrapText="1"/>
    </xf>
    <xf numFmtId="165" fontId="63" fillId="2" borderId="8" xfId="6" applyNumberFormat="1" applyFont="1" applyFill="1" applyBorder="1" applyAlignment="1">
      <alignment horizontal="center" vertical="center" wrapText="1"/>
    </xf>
    <xf numFmtId="0" fontId="12" fillId="2" borderId="30" xfId="2" applyFont="1" applyFill="1" applyBorder="1" applyAlignment="1" applyProtection="1">
      <alignment horizontal="center" vertical="center" wrapText="1"/>
    </xf>
    <xf numFmtId="165" fontId="60" fillId="0" borderId="30" xfId="6" applyNumberFormat="1" applyFont="1" applyFill="1" applyBorder="1" applyAlignment="1">
      <alignment horizontal="center" vertical="center" wrapText="1"/>
    </xf>
    <xf numFmtId="2" fontId="60" fillId="2" borderId="30" xfId="6" applyNumberFormat="1" applyFont="1" applyFill="1" applyBorder="1" applyAlignment="1">
      <alignment horizontal="center" vertical="center" wrapText="1"/>
    </xf>
    <xf numFmtId="165" fontId="60" fillId="2" borderId="30" xfId="6" applyNumberFormat="1" applyFont="1" applyFill="1" applyBorder="1" applyAlignment="1">
      <alignment horizontal="center" vertical="center" wrapText="1"/>
    </xf>
    <xf numFmtId="165" fontId="63" fillId="2" borderId="30" xfId="6" applyNumberFormat="1" applyFont="1" applyFill="1" applyBorder="1" applyAlignment="1">
      <alignment horizontal="center" vertical="center" wrapText="1"/>
    </xf>
    <xf numFmtId="0" fontId="70" fillId="2" borderId="0" xfId="6" applyNumberFormat="1" applyFont="1" applyFill="1" applyBorder="1" applyAlignment="1">
      <alignment horizontal="center" vertical="center" wrapText="1"/>
    </xf>
    <xf numFmtId="165" fontId="67" fillId="2" borderId="0" xfId="6" applyNumberFormat="1" applyFont="1" applyFill="1" applyBorder="1" applyAlignment="1">
      <alignment horizontal="center" vertical="center" wrapText="1"/>
    </xf>
    <xf numFmtId="1" fontId="75" fillId="2" borderId="47" xfId="6" applyNumberFormat="1" applyFont="1" applyFill="1" applyBorder="1" applyAlignment="1">
      <alignment horizontal="center" vertical="center" wrapText="1"/>
    </xf>
    <xf numFmtId="1" fontId="76" fillId="2" borderId="62" xfId="6" applyNumberFormat="1" applyFont="1" applyFill="1" applyBorder="1" applyAlignment="1">
      <alignment horizontal="center" vertical="center" wrapText="1"/>
    </xf>
    <xf numFmtId="2" fontId="75" fillId="2" borderId="47" xfId="6" applyNumberFormat="1" applyFont="1" applyFill="1" applyBorder="1" applyAlignment="1">
      <alignment horizontal="center" vertical="center" wrapText="1"/>
    </xf>
    <xf numFmtId="165" fontId="70" fillId="2" borderId="0" xfId="6" applyNumberFormat="1" applyFont="1" applyFill="1" applyBorder="1" applyAlignment="1">
      <alignment horizontal="center" vertical="center" wrapText="1"/>
    </xf>
    <xf numFmtId="1" fontId="67" fillId="2" borderId="0" xfId="6" applyNumberFormat="1" applyFont="1" applyFill="1" applyBorder="1" applyAlignment="1">
      <alignment horizontal="center" vertical="center" wrapText="1"/>
    </xf>
    <xf numFmtId="0" fontId="62" fillId="2" borderId="0" xfId="6" applyNumberFormat="1" applyFont="1" applyFill="1" applyBorder="1" applyAlignment="1">
      <alignment horizontal="center" vertical="center" wrapText="1"/>
    </xf>
    <xf numFmtId="0" fontId="61" fillId="2" borderId="0" xfId="6" applyNumberFormat="1" applyFont="1" applyFill="1" applyBorder="1" applyAlignment="1">
      <alignment horizontal="center" vertical="center" wrapText="1"/>
    </xf>
    <xf numFmtId="165" fontId="62" fillId="2" borderId="0" xfId="6" applyNumberFormat="1" applyFont="1" applyFill="1" applyBorder="1" applyAlignment="1">
      <alignment horizontal="center" vertical="center" wrapText="1"/>
    </xf>
    <xf numFmtId="165" fontId="61" fillId="2" borderId="0" xfId="6" applyNumberFormat="1" applyFont="1" applyFill="1" applyBorder="1" applyAlignment="1">
      <alignment horizontal="center" vertical="center" wrapText="1"/>
    </xf>
    <xf numFmtId="1" fontId="62" fillId="2" borderId="0" xfId="6" applyNumberFormat="1" applyFont="1" applyFill="1" applyBorder="1" applyAlignment="1">
      <alignment horizontal="center" vertical="center" wrapText="1"/>
    </xf>
    <xf numFmtId="1" fontId="60" fillId="0" borderId="24" xfId="6" applyNumberFormat="1" applyFont="1" applyFill="1" applyBorder="1" applyAlignment="1">
      <alignment horizontal="center" vertical="center" wrapText="1"/>
    </xf>
    <xf numFmtId="1" fontId="60" fillId="0" borderId="29" xfId="6" applyNumberFormat="1" applyFont="1" applyFill="1" applyBorder="1" applyAlignment="1">
      <alignment horizontal="center" vertical="center" wrapText="1"/>
    </xf>
    <xf numFmtId="0" fontId="60" fillId="2" borderId="12" xfId="8" applyNumberFormat="1" applyFont="1" applyFill="1" applyBorder="1" applyAlignment="1">
      <alignment horizontal="center" vertical="center" wrapText="1"/>
    </xf>
    <xf numFmtId="2" fontId="60" fillId="2" borderId="17" xfId="6" applyNumberFormat="1" applyFont="1" applyFill="1" applyBorder="1" applyAlignment="1">
      <alignment horizontal="center" vertical="center" wrapText="1"/>
    </xf>
    <xf numFmtId="0" fontId="12" fillId="2" borderId="13" xfId="2" applyFont="1" applyFill="1" applyBorder="1" applyAlignment="1" applyProtection="1">
      <alignment horizontal="center" vertical="center" wrapText="1"/>
    </xf>
    <xf numFmtId="2" fontId="60" fillId="2" borderId="31" xfId="6" applyNumberFormat="1" applyFont="1" applyFill="1" applyBorder="1" applyAlignment="1">
      <alignment horizontal="center" vertical="center" wrapText="1"/>
    </xf>
    <xf numFmtId="0" fontId="12" fillId="2" borderId="45" xfId="2" applyFont="1" applyFill="1" applyBorder="1" applyAlignment="1" applyProtection="1">
      <alignment horizontal="center" vertical="center" wrapText="1"/>
    </xf>
    <xf numFmtId="0" fontId="60" fillId="2" borderId="46" xfId="8" applyNumberFormat="1" applyFont="1" applyFill="1" applyBorder="1" applyAlignment="1">
      <alignment horizontal="center" vertical="center" wrapText="1"/>
    </xf>
    <xf numFmtId="2" fontId="60" fillId="2" borderId="44" xfId="6" applyNumberFormat="1" applyFont="1" applyFill="1" applyBorder="1" applyAlignment="1">
      <alignment horizontal="center" vertical="center" wrapText="1"/>
    </xf>
    <xf numFmtId="165" fontId="60" fillId="2" borderId="63" xfId="6" applyNumberFormat="1" applyFont="1" applyFill="1" applyBorder="1" applyAlignment="1">
      <alignment horizontal="center" vertical="center" wrapText="1"/>
    </xf>
    <xf numFmtId="165" fontId="60" fillId="2" borderId="45" xfId="6" applyNumberFormat="1" applyFont="1" applyFill="1" applyBorder="1" applyAlignment="1">
      <alignment horizontal="center" vertical="center" wrapText="1"/>
    </xf>
    <xf numFmtId="165" fontId="60" fillId="2" borderId="18" xfId="6" applyNumberFormat="1" applyFont="1" applyFill="1" applyBorder="1" applyAlignment="1">
      <alignment horizontal="center" vertical="center" wrapText="1"/>
    </xf>
    <xf numFmtId="2" fontId="60" fillId="2" borderId="7" xfId="6" applyNumberFormat="1" applyFont="1" applyFill="1" applyBorder="1" applyAlignment="1">
      <alignment horizontal="center" vertical="center" wrapText="1"/>
    </xf>
    <xf numFmtId="165" fontId="60" fillId="2" borderId="9" xfId="6" applyNumberFormat="1" applyFont="1" applyFill="1" applyBorder="1" applyAlignment="1">
      <alignment horizontal="center" vertical="center" wrapText="1"/>
    </xf>
    <xf numFmtId="0" fontId="60" fillId="2" borderId="6" xfId="6" applyNumberFormat="1" applyFont="1" applyFill="1" applyBorder="1" applyAlignment="1">
      <alignment horizontal="center" vertical="center" wrapText="1"/>
    </xf>
    <xf numFmtId="1" fontId="60" fillId="2" borderId="6" xfId="6" applyNumberFormat="1" applyFont="1" applyFill="1" applyBorder="1" applyAlignment="1">
      <alignment horizontal="center" vertical="center" wrapText="1"/>
    </xf>
    <xf numFmtId="165" fontId="79" fillId="2" borderId="6" xfId="6" applyNumberFormat="1" applyFont="1" applyFill="1" applyBorder="1" applyAlignment="1">
      <alignment horizontal="center" vertical="center" wrapText="1"/>
    </xf>
    <xf numFmtId="1" fontId="19" fillId="2" borderId="6" xfId="6" applyNumberFormat="1" applyFont="1" applyFill="1" applyBorder="1" applyAlignment="1">
      <alignment horizontal="center" vertical="center" wrapText="1"/>
    </xf>
    <xf numFmtId="1" fontId="80" fillId="2" borderId="6" xfId="6" applyNumberFormat="1" applyFont="1" applyFill="1" applyBorder="1" applyAlignment="1">
      <alignment horizontal="center" vertical="center" wrapText="1"/>
    </xf>
    <xf numFmtId="165" fontId="60" fillId="0" borderId="2" xfId="6" applyNumberFormat="1" applyFont="1" applyFill="1" applyBorder="1" applyAlignment="1">
      <alignment horizontal="center" vertical="center" wrapText="1"/>
    </xf>
    <xf numFmtId="0" fontId="60" fillId="2" borderId="33" xfId="6" applyNumberFormat="1" applyFont="1" applyFill="1" applyBorder="1" applyAlignment="1">
      <alignment horizontal="center" vertical="center" wrapText="1"/>
    </xf>
    <xf numFmtId="165" fontId="60" fillId="2" borderId="33" xfId="6" applyNumberFormat="1" applyFont="1" applyFill="1" applyBorder="1" applyAlignment="1">
      <alignment horizontal="center" vertical="center" wrapText="1"/>
    </xf>
    <xf numFmtId="165" fontId="75" fillId="2" borderId="47" xfId="6" applyNumberFormat="1" applyFont="1" applyFill="1" applyBorder="1" applyAlignment="1">
      <alignment horizontal="center" vertical="center" wrapText="1"/>
    </xf>
    <xf numFmtId="1" fontId="76" fillId="2" borderId="46" xfId="6" applyNumberFormat="1" applyFont="1" applyFill="1" applyBorder="1" applyAlignment="1">
      <alignment horizontal="center" vertical="center" wrapText="1"/>
    </xf>
    <xf numFmtId="165" fontId="75" fillId="2" borderId="43" xfId="6" applyNumberFormat="1" applyFont="1" applyFill="1" applyBorder="1" applyAlignment="1">
      <alignment horizontal="center" vertical="center" wrapText="1"/>
    </xf>
    <xf numFmtId="2" fontId="75" fillId="2" borderId="1" xfId="6" applyNumberFormat="1" applyFont="1" applyFill="1" applyBorder="1" applyAlignment="1">
      <alignment horizontal="center" vertical="center" wrapText="1"/>
    </xf>
    <xf numFmtId="1" fontId="75" fillId="2" borderId="43" xfId="6" applyNumberFormat="1" applyFont="1" applyFill="1" applyBorder="1" applyAlignment="1">
      <alignment horizontal="center" vertical="center" wrapText="1"/>
    </xf>
    <xf numFmtId="1" fontId="76" fillId="2" borderId="43" xfId="6" applyNumberFormat="1" applyFont="1" applyFill="1" applyBorder="1" applyAlignment="1">
      <alignment horizontal="center" vertical="center" wrapText="1"/>
    </xf>
    <xf numFmtId="0" fontId="82" fillId="2" borderId="0" xfId="6" applyNumberFormat="1" applyFont="1" applyFill="1" applyBorder="1" applyAlignment="1">
      <alignment horizontal="center" vertical="center" wrapText="1"/>
    </xf>
    <xf numFmtId="0" fontId="70" fillId="2" borderId="47" xfId="6" applyNumberFormat="1" applyFont="1" applyFill="1" applyBorder="1" applyAlignment="1">
      <alignment horizontal="center" vertical="center" wrapText="1"/>
    </xf>
    <xf numFmtId="0" fontId="70" fillId="2" borderId="45" xfId="6" applyNumberFormat="1" applyFont="1" applyFill="1" applyBorder="1" applyAlignment="1">
      <alignment horizontal="center" vertical="center" wrapText="1"/>
    </xf>
    <xf numFmtId="0" fontId="70" fillId="2" borderId="46" xfId="6" applyNumberFormat="1" applyFont="1" applyFill="1" applyBorder="1" applyAlignment="1">
      <alignment horizontal="center" vertical="center" wrapText="1"/>
    </xf>
    <xf numFmtId="0" fontId="75" fillId="2" borderId="45" xfId="6" applyNumberFormat="1" applyFont="1" applyFill="1" applyBorder="1" applyAlignment="1">
      <alignment horizontal="center" vertical="center" wrapText="1"/>
    </xf>
    <xf numFmtId="0" fontId="76" fillId="2" borderId="45" xfId="6" applyNumberFormat="1" applyFont="1" applyFill="1" applyBorder="1" applyAlignment="1">
      <alignment horizontal="center" vertical="center" wrapText="1"/>
    </xf>
    <xf numFmtId="0" fontId="77" fillId="2" borderId="45" xfId="6" applyNumberFormat="1" applyFont="1" applyFill="1" applyBorder="1" applyAlignment="1">
      <alignment horizontal="center" vertical="center" wrapText="1"/>
    </xf>
    <xf numFmtId="0" fontId="78" fillId="2" borderId="47" xfId="6" applyNumberFormat="1" applyFont="1" applyFill="1" applyBorder="1" applyAlignment="1">
      <alignment horizontal="center" vertical="center" wrapText="1"/>
    </xf>
    <xf numFmtId="0" fontId="70" fillId="2" borderId="46" xfId="3" applyFont="1" applyFill="1" applyBorder="1" applyAlignment="1">
      <alignment horizontal="center" vertical="center" wrapText="1"/>
    </xf>
    <xf numFmtId="0" fontId="67" fillId="2" borderId="14" xfId="6" applyNumberFormat="1" applyFont="1" applyFill="1" applyBorder="1" applyAlignment="1">
      <alignment horizontal="center" vertical="center" wrapText="1"/>
    </xf>
    <xf numFmtId="0" fontId="70" fillId="0" borderId="15" xfId="2" applyFont="1" applyFill="1" applyBorder="1" applyAlignment="1" applyProtection="1">
      <alignment horizontal="center" vertical="center" wrapText="1"/>
    </xf>
    <xf numFmtId="0" fontId="67" fillId="2" borderId="15" xfId="8" applyNumberFormat="1" applyFont="1" applyFill="1" applyBorder="1" applyAlignment="1">
      <alignment horizontal="center" vertical="center" wrapText="1"/>
    </xf>
    <xf numFmtId="0" fontId="67" fillId="2" borderId="16" xfId="8" applyNumberFormat="1" applyFont="1" applyFill="1" applyBorder="1" applyAlignment="1">
      <alignment horizontal="center" vertical="center" wrapText="1"/>
    </xf>
    <xf numFmtId="0" fontId="67" fillId="2" borderId="15" xfId="6" applyNumberFormat="1" applyFont="1" applyFill="1" applyBorder="1" applyAlignment="1">
      <alignment horizontal="center" vertical="center" wrapText="1"/>
    </xf>
    <xf numFmtId="1" fontId="67" fillId="2" borderId="15" xfId="6" applyNumberFormat="1" applyFont="1" applyFill="1" applyBorder="1" applyAlignment="1">
      <alignment horizontal="center" vertical="center" wrapText="1"/>
    </xf>
    <xf numFmtId="165" fontId="75" fillId="2" borderId="15" xfId="6" applyNumberFormat="1" applyFont="1" applyFill="1" applyBorder="1" applyAlignment="1">
      <alignment horizontal="center" vertical="center" wrapText="1"/>
    </xf>
    <xf numFmtId="1" fontId="76" fillId="2" borderId="15" xfId="6" applyNumberFormat="1" applyFont="1" applyFill="1" applyBorder="1" applyAlignment="1">
      <alignment horizontal="center" vertical="center" wrapText="1"/>
    </xf>
    <xf numFmtId="1" fontId="77" fillId="2" borderId="15" xfId="6" applyNumberFormat="1" applyFont="1" applyFill="1" applyBorder="1" applyAlignment="1">
      <alignment horizontal="center" vertical="center" wrapText="1"/>
    </xf>
    <xf numFmtId="165" fontId="67" fillId="0" borderId="16" xfId="6" applyNumberFormat="1" applyFont="1" applyFill="1" applyBorder="1" applyAlignment="1">
      <alignment horizontal="center" vertical="center" wrapText="1"/>
    </xf>
    <xf numFmtId="2" fontId="67" fillId="2" borderId="14" xfId="6" applyNumberFormat="1" applyFont="1" applyFill="1" applyBorder="1" applyAlignment="1">
      <alignment horizontal="center" vertical="center" wrapText="1"/>
    </xf>
    <xf numFmtId="2" fontId="67" fillId="2" borderId="16" xfId="6" applyNumberFormat="1" applyFont="1" applyFill="1" applyBorder="1" applyAlignment="1">
      <alignment horizontal="center" vertical="center" wrapText="1"/>
    </xf>
    <xf numFmtId="1" fontId="67" fillId="2" borderId="14" xfId="6" applyNumberFormat="1" applyFont="1" applyFill="1" applyBorder="1" applyAlignment="1">
      <alignment horizontal="center" vertical="center" wrapText="1"/>
    </xf>
    <xf numFmtId="165" fontId="67" fillId="2" borderId="16" xfId="6" applyNumberFormat="1" applyFont="1" applyFill="1" applyBorder="1" applyAlignment="1">
      <alignment horizontal="center" vertical="center" wrapText="1"/>
    </xf>
    <xf numFmtId="0" fontId="67" fillId="2" borderId="73" xfId="6" applyNumberFormat="1" applyFont="1" applyFill="1" applyBorder="1" applyAlignment="1">
      <alignment horizontal="center" vertical="center" wrapText="1"/>
    </xf>
    <xf numFmtId="165" fontId="67" fillId="2" borderId="50" xfId="6" applyNumberFormat="1" applyFont="1" applyFill="1" applyBorder="1" applyAlignment="1">
      <alignment horizontal="center" vertical="center" wrapText="1"/>
    </xf>
    <xf numFmtId="165" fontId="71" fillId="2" borderId="14" xfId="6" applyNumberFormat="1" applyFont="1" applyFill="1" applyBorder="1" applyAlignment="1">
      <alignment horizontal="center" vertical="center" wrapText="1"/>
    </xf>
    <xf numFmtId="1" fontId="72" fillId="2" borderId="15" xfId="6" applyNumberFormat="1" applyFont="1" applyFill="1" applyBorder="1" applyAlignment="1">
      <alignment horizontal="center" vertical="center" wrapText="1"/>
    </xf>
    <xf numFmtId="14" fontId="67" fillId="2" borderId="15" xfId="6" applyNumberFormat="1" applyFont="1" applyFill="1" applyBorder="1" applyAlignment="1">
      <alignment horizontal="center" vertical="center" wrapText="1"/>
    </xf>
    <xf numFmtId="1" fontId="67" fillId="0" borderId="16" xfId="6" applyNumberFormat="1" applyFont="1" applyFill="1" applyBorder="1" applyAlignment="1">
      <alignment horizontal="center" vertical="center" wrapText="1"/>
    </xf>
    <xf numFmtId="0" fontId="67" fillId="2" borderId="23" xfId="6" applyNumberFormat="1" applyFont="1" applyFill="1" applyBorder="1" applyAlignment="1">
      <alignment horizontal="center" vertical="center" wrapText="1"/>
    </xf>
    <xf numFmtId="0" fontId="74" fillId="0" borderId="8" xfId="2" applyFont="1" applyFill="1" applyBorder="1" applyAlignment="1" applyProtection="1">
      <alignment horizontal="center" vertical="center" wrapText="1"/>
    </xf>
    <xf numFmtId="0" fontId="67" fillId="2" borderId="8" xfId="8" applyNumberFormat="1" applyFont="1" applyFill="1" applyBorder="1" applyAlignment="1">
      <alignment horizontal="center" vertical="center" wrapText="1"/>
    </xf>
    <xf numFmtId="0" fontId="67" fillId="2" borderId="24" xfId="8" applyNumberFormat="1" applyFont="1" applyFill="1" applyBorder="1" applyAlignment="1">
      <alignment horizontal="center" vertical="center" wrapText="1"/>
    </xf>
    <xf numFmtId="0" fontId="67" fillId="2" borderId="8" xfId="6" applyNumberFormat="1" applyFont="1" applyFill="1" applyBorder="1" applyAlignment="1">
      <alignment horizontal="center" vertical="center" wrapText="1"/>
    </xf>
    <xf numFmtId="1" fontId="67" fillId="2" borderId="8" xfId="6" applyNumberFormat="1" applyFont="1" applyFill="1" applyBorder="1" applyAlignment="1">
      <alignment horizontal="center" vertical="center" wrapText="1"/>
    </xf>
    <xf numFmtId="165" fontId="75" fillId="2" borderId="8" xfId="6" applyNumberFormat="1" applyFont="1" applyFill="1" applyBorder="1" applyAlignment="1">
      <alignment horizontal="center" vertical="center" wrapText="1"/>
    </xf>
    <xf numFmtId="1" fontId="76" fillId="2" borderId="8" xfId="6" applyNumberFormat="1" applyFont="1" applyFill="1" applyBorder="1" applyAlignment="1">
      <alignment horizontal="center" vertical="center" wrapText="1"/>
    </xf>
    <xf numFmtId="1" fontId="77" fillId="2" borderId="8" xfId="6" applyNumberFormat="1" applyFont="1" applyFill="1" applyBorder="1" applyAlignment="1">
      <alignment horizontal="center" vertical="center" wrapText="1"/>
    </xf>
    <xf numFmtId="165" fontId="67" fillId="0" borderId="24" xfId="6" applyNumberFormat="1" applyFont="1" applyFill="1" applyBorder="1" applyAlignment="1">
      <alignment horizontal="center" vertical="center" wrapText="1"/>
    </xf>
    <xf numFmtId="2" fontId="67" fillId="2" borderId="23" xfId="6" applyNumberFormat="1" applyFont="1" applyFill="1" applyBorder="1" applyAlignment="1">
      <alignment horizontal="center" vertical="center" wrapText="1"/>
    </xf>
    <xf numFmtId="2" fontId="67" fillId="2" borderId="24" xfId="6" applyNumberFormat="1" applyFont="1" applyFill="1" applyBorder="1" applyAlignment="1">
      <alignment horizontal="center" vertical="center" wrapText="1"/>
    </xf>
    <xf numFmtId="1" fontId="67" fillId="2" borderId="23" xfId="6" applyNumberFormat="1" applyFont="1" applyFill="1" applyBorder="1" applyAlignment="1">
      <alignment horizontal="center" vertical="center" wrapText="1"/>
    </xf>
    <xf numFmtId="165" fontId="67" fillId="2" borderId="24" xfId="6" applyNumberFormat="1" applyFont="1" applyFill="1" applyBorder="1" applyAlignment="1">
      <alignment horizontal="center" vertical="center" wrapText="1"/>
    </xf>
    <xf numFmtId="0" fontId="67" fillId="2" borderId="25" xfId="6" applyNumberFormat="1" applyFont="1" applyFill="1" applyBorder="1" applyAlignment="1">
      <alignment horizontal="center" vertical="center" wrapText="1"/>
    </xf>
    <xf numFmtId="165" fontId="67" fillId="2" borderId="26" xfId="6" applyNumberFormat="1" applyFont="1" applyFill="1" applyBorder="1" applyAlignment="1">
      <alignment horizontal="center" vertical="center" wrapText="1"/>
    </xf>
    <xf numFmtId="165" fontId="71" fillId="2" borderId="23" xfId="6" applyNumberFormat="1" applyFont="1" applyFill="1" applyBorder="1" applyAlignment="1">
      <alignment horizontal="center" vertical="center" wrapText="1"/>
    </xf>
    <xf numFmtId="1" fontId="72" fillId="2" borderId="8" xfId="6" applyNumberFormat="1" applyFont="1" applyFill="1" applyBorder="1" applyAlignment="1">
      <alignment horizontal="center" vertical="center" wrapText="1"/>
    </xf>
    <xf numFmtId="14" fontId="67" fillId="2" borderId="8" xfId="6" applyNumberFormat="1" applyFont="1" applyFill="1" applyBorder="1" applyAlignment="1">
      <alignment horizontal="center" vertical="center" wrapText="1"/>
    </xf>
    <xf numFmtId="1" fontId="67" fillId="2" borderId="24" xfId="6" applyNumberFormat="1" applyFont="1" applyFill="1" applyBorder="1" applyAlignment="1">
      <alignment horizontal="center" vertical="center" wrapText="1"/>
    </xf>
    <xf numFmtId="0" fontId="70" fillId="0" borderId="8" xfId="2" applyFont="1" applyFill="1" applyBorder="1" applyAlignment="1" applyProtection="1">
      <alignment horizontal="center" vertical="center" wrapText="1"/>
    </xf>
    <xf numFmtId="1" fontId="67" fillId="0" borderId="8" xfId="6" applyNumberFormat="1" applyFont="1" applyFill="1" applyBorder="1" applyAlignment="1">
      <alignment horizontal="center" vertical="center" wrapText="1"/>
    </xf>
    <xf numFmtId="1" fontId="76" fillId="0" borderId="24" xfId="6" applyNumberFormat="1" applyFont="1" applyFill="1" applyBorder="1" applyAlignment="1">
      <alignment horizontal="center" vertical="center" wrapText="1"/>
    </xf>
    <xf numFmtId="0" fontId="67" fillId="2" borderId="9" xfId="8" applyNumberFormat="1" applyFont="1" applyFill="1" applyBorder="1" applyAlignment="1">
      <alignment horizontal="center" vertical="center" wrapText="1"/>
    </xf>
    <xf numFmtId="165" fontId="67" fillId="2" borderId="25" xfId="6" applyNumberFormat="1" applyFont="1" applyFill="1" applyBorder="1" applyAlignment="1">
      <alignment horizontal="center" vertical="center" wrapText="1"/>
    </xf>
    <xf numFmtId="0" fontId="67" fillId="2" borderId="28" xfId="6" applyNumberFormat="1" applyFont="1" applyFill="1" applyBorder="1" applyAlignment="1">
      <alignment horizontal="center" vertical="center" wrapText="1"/>
    </xf>
    <xf numFmtId="0" fontId="70" fillId="0" borderId="30" xfId="2" applyFont="1" applyFill="1" applyBorder="1" applyAlignment="1" applyProtection="1">
      <alignment horizontal="center" vertical="center" wrapText="1"/>
    </xf>
    <xf numFmtId="0" fontId="67" fillId="2" borderId="30" xfId="8" applyNumberFormat="1" applyFont="1" applyFill="1" applyBorder="1" applyAlignment="1">
      <alignment horizontal="center" vertical="center" wrapText="1"/>
    </xf>
    <xf numFmtId="0" fontId="67" fillId="2" borderId="32" xfId="8" applyNumberFormat="1" applyFont="1" applyFill="1" applyBorder="1" applyAlignment="1">
      <alignment horizontal="center" vertical="center" wrapText="1"/>
    </xf>
    <xf numFmtId="0" fontId="67" fillId="2" borderId="30" xfId="6" applyNumberFormat="1" applyFont="1" applyFill="1" applyBorder="1" applyAlignment="1">
      <alignment horizontal="center" vertical="center" wrapText="1"/>
    </xf>
    <xf numFmtId="1" fontId="67" fillId="2" borderId="30" xfId="6" applyNumberFormat="1" applyFont="1" applyFill="1" applyBorder="1" applyAlignment="1">
      <alignment horizontal="center" vertical="center" wrapText="1"/>
    </xf>
    <xf numFmtId="165" fontId="75" fillId="2" borderId="30" xfId="6" applyNumberFormat="1" applyFont="1" applyFill="1" applyBorder="1" applyAlignment="1">
      <alignment horizontal="center" vertical="center" wrapText="1"/>
    </xf>
    <xf numFmtId="1" fontId="76" fillId="2" borderId="30" xfId="6" applyNumberFormat="1" applyFont="1" applyFill="1" applyBorder="1" applyAlignment="1">
      <alignment horizontal="center" vertical="center" wrapText="1"/>
    </xf>
    <xf numFmtId="1" fontId="77" fillId="2" borderId="30" xfId="6" applyNumberFormat="1" applyFont="1" applyFill="1" applyBorder="1" applyAlignment="1">
      <alignment horizontal="center" vertical="center" wrapText="1"/>
    </xf>
    <xf numFmtId="2" fontId="67" fillId="2" borderId="29" xfId="6" applyNumberFormat="1" applyFont="1" applyFill="1" applyBorder="1" applyAlignment="1">
      <alignment horizontal="center" vertical="center" wrapText="1"/>
    </xf>
    <xf numFmtId="2" fontId="67" fillId="2" borderId="28" xfId="6" applyNumberFormat="1" applyFont="1" applyFill="1" applyBorder="1" applyAlignment="1">
      <alignment horizontal="center" vertical="center" wrapText="1"/>
    </xf>
    <xf numFmtId="1" fontId="67" fillId="2" borderId="28" xfId="6" applyNumberFormat="1" applyFont="1" applyFill="1" applyBorder="1" applyAlignment="1">
      <alignment horizontal="center" vertical="center" wrapText="1"/>
    </xf>
    <xf numFmtId="165" fontId="67" fillId="2" borderId="29" xfId="6" applyNumberFormat="1" applyFont="1" applyFill="1" applyBorder="1" applyAlignment="1">
      <alignment horizontal="center" vertical="center" wrapText="1"/>
    </xf>
    <xf numFmtId="0" fontId="67" fillId="2" borderId="33" xfId="6" applyNumberFormat="1" applyFont="1" applyFill="1" applyBorder="1" applyAlignment="1">
      <alignment horizontal="center" vertical="center" wrapText="1"/>
    </xf>
    <xf numFmtId="165" fontId="67" fillId="2" borderId="33" xfId="6" applyNumberFormat="1" applyFont="1" applyFill="1" applyBorder="1" applyAlignment="1">
      <alignment horizontal="center" vertical="center" wrapText="1"/>
    </xf>
    <xf numFmtId="165" fontId="71" fillId="2" borderId="28" xfId="6" applyNumberFormat="1" applyFont="1" applyFill="1" applyBorder="1" applyAlignment="1">
      <alignment horizontal="center" vertical="center" wrapText="1"/>
    </xf>
    <xf numFmtId="1" fontId="72" fillId="2" borderId="30" xfId="6" applyNumberFormat="1" applyFont="1" applyFill="1" applyBorder="1" applyAlignment="1">
      <alignment horizontal="center" vertical="center" wrapText="1"/>
    </xf>
    <xf numFmtId="14" fontId="67" fillId="2" borderId="30" xfId="6" applyNumberFormat="1" applyFont="1" applyFill="1" applyBorder="1" applyAlignment="1">
      <alignment horizontal="center" vertical="center" wrapText="1"/>
    </xf>
    <xf numFmtId="1" fontId="67" fillId="2" borderId="29" xfId="6" applyNumberFormat="1" applyFont="1" applyFill="1" applyBorder="1" applyAlignment="1">
      <alignment horizontal="center" vertical="center" wrapText="1"/>
    </xf>
    <xf numFmtId="1" fontId="75" fillId="2" borderId="1" xfId="6" applyNumberFormat="1" applyFont="1" applyFill="1" applyBorder="1" applyAlignment="1">
      <alignment horizontal="center" vertical="center" wrapText="1"/>
    </xf>
    <xf numFmtId="1" fontId="76" fillId="2" borderId="2" xfId="6" applyNumberFormat="1" applyFont="1" applyFill="1" applyBorder="1" applyAlignment="1">
      <alignment horizontal="center" vertical="center" wrapText="1"/>
    </xf>
    <xf numFmtId="2" fontId="76" fillId="2" borderId="2" xfId="6" applyNumberFormat="1" applyFont="1" applyFill="1" applyBorder="1" applyAlignment="1">
      <alignment horizontal="center" vertical="center" wrapText="1"/>
    </xf>
    <xf numFmtId="1" fontId="75" fillId="2" borderId="10" xfId="6" applyNumberFormat="1" applyFont="1" applyFill="1" applyBorder="1" applyAlignment="1">
      <alignment horizontal="center" vertical="center" wrapText="1"/>
    </xf>
    <xf numFmtId="1" fontId="76" fillId="2" borderId="5" xfId="6" applyNumberFormat="1" applyFont="1" applyFill="1" applyBorder="1" applyAlignment="1">
      <alignment horizontal="center" vertical="center" wrapText="1"/>
    </xf>
    <xf numFmtId="0" fontId="71" fillId="2" borderId="0" xfId="6" applyNumberFormat="1" applyFont="1" applyFill="1" applyBorder="1" applyAlignment="1">
      <alignment horizontal="center" vertical="center" wrapText="1"/>
    </xf>
    <xf numFmtId="0" fontId="72" fillId="2" borderId="0" xfId="6" applyNumberFormat="1" applyFont="1" applyFill="1" applyBorder="1" applyAlignment="1">
      <alignment horizontal="center" vertical="center" wrapText="1"/>
    </xf>
    <xf numFmtId="49" fontId="81" fillId="0" borderId="15" xfId="2" applyNumberFormat="1" applyFont="1" applyFill="1" applyBorder="1" applyAlignment="1" applyProtection="1">
      <alignment horizontal="center" vertical="center" wrapText="1"/>
    </xf>
    <xf numFmtId="49" fontId="81" fillId="0" borderId="8" xfId="2" applyNumberFormat="1" applyFont="1" applyFill="1" applyBorder="1" applyAlignment="1" applyProtection="1">
      <alignment horizontal="center" vertical="center" wrapText="1"/>
    </xf>
    <xf numFmtId="0" fontId="81" fillId="0" borderId="8" xfId="2" applyNumberFormat="1" applyFont="1" applyFill="1" applyBorder="1" applyAlignment="1" applyProtection="1">
      <alignment horizontal="center" vertical="center" wrapText="1"/>
    </xf>
    <xf numFmtId="0" fontId="60" fillId="2" borderId="0" xfId="6" applyNumberFormat="1" applyFont="1" applyFill="1" applyAlignment="1">
      <alignment horizontal="center" vertical="center" wrapText="1"/>
    </xf>
    <xf numFmtId="0" fontId="12" fillId="2" borderId="0" xfId="6" applyNumberFormat="1" applyFont="1" applyFill="1" applyBorder="1" applyAlignment="1">
      <alignment horizontal="center" vertical="center" wrapText="1"/>
    </xf>
    <xf numFmtId="165" fontId="60" fillId="2" borderId="0" xfId="6" applyNumberFormat="1" applyFont="1" applyFill="1" applyBorder="1" applyAlignment="1">
      <alignment horizontal="center" vertical="center" wrapText="1"/>
    </xf>
    <xf numFmtId="165" fontId="12" fillId="2" borderId="0" xfId="6" applyNumberFormat="1" applyFont="1" applyFill="1" applyBorder="1" applyAlignment="1">
      <alignment horizontal="center" vertical="center" wrapText="1"/>
    </xf>
    <xf numFmtId="1" fontId="60" fillId="2" borderId="0" xfId="6" applyNumberFormat="1" applyFont="1" applyFill="1" applyBorder="1" applyAlignment="1">
      <alignment horizontal="center" vertical="center" wrapText="1"/>
    </xf>
    <xf numFmtId="0" fontId="63" fillId="2" borderId="0" xfId="6" applyNumberFormat="1" applyFont="1" applyFill="1" applyBorder="1" applyAlignment="1">
      <alignment horizontal="center" vertical="center" wrapText="1"/>
    </xf>
    <xf numFmtId="0" fontId="64" fillId="2" borderId="0" xfId="6" applyNumberFormat="1" applyFont="1" applyFill="1" applyBorder="1" applyAlignment="1">
      <alignment horizontal="center" vertical="center" wrapText="1"/>
    </xf>
    <xf numFmtId="0" fontId="60" fillId="2" borderId="73" xfId="6" applyNumberFormat="1" applyFont="1" applyFill="1" applyBorder="1" applyAlignment="1">
      <alignment horizontal="center" vertical="center" wrapText="1"/>
    </xf>
    <xf numFmtId="165" fontId="60" fillId="2" borderId="73" xfId="6" applyNumberFormat="1" applyFont="1" applyFill="1" applyBorder="1" applyAlignment="1">
      <alignment horizontal="center" vertical="center" wrapText="1"/>
    </xf>
    <xf numFmtId="0" fontId="60" fillId="2" borderId="25" xfId="6" applyNumberFormat="1" applyFont="1" applyFill="1" applyBorder="1" applyAlignment="1">
      <alignment horizontal="center" vertical="center" wrapText="1"/>
    </xf>
    <xf numFmtId="165" fontId="60" fillId="2" borderId="25" xfId="6" applyNumberFormat="1" applyFont="1" applyFill="1" applyBorder="1" applyAlignment="1">
      <alignment horizontal="center" vertical="center" wrapText="1"/>
    </xf>
    <xf numFmtId="0" fontId="60" fillId="2" borderId="19" xfId="6" applyNumberFormat="1" applyFont="1" applyFill="1" applyBorder="1" applyAlignment="1">
      <alignment horizontal="center" vertical="center" wrapText="1"/>
    </xf>
    <xf numFmtId="165" fontId="60" fillId="2" borderId="19" xfId="6" applyNumberFormat="1" applyFont="1" applyFill="1" applyBorder="1" applyAlignment="1">
      <alignment horizontal="center" vertical="center" wrapText="1"/>
    </xf>
    <xf numFmtId="165" fontId="63" fillId="2" borderId="11" xfId="6" applyNumberFormat="1" applyFont="1" applyFill="1" applyBorder="1" applyAlignment="1">
      <alignment horizontal="center" vertical="center" wrapText="1"/>
    </xf>
    <xf numFmtId="0" fontId="60" fillId="2" borderId="0" xfId="8" applyNumberFormat="1" applyFont="1" applyFill="1" applyBorder="1" applyAlignment="1">
      <alignment horizontal="center" vertical="center" wrapText="1"/>
    </xf>
    <xf numFmtId="165" fontId="79" fillId="2" borderId="0" xfId="6" applyNumberFormat="1" applyFont="1" applyFill="1" applyBorder="1" applyAlignment="1">
      <alignment horizontal="center" vertical="center" wrapText="1"/>
    </xf>
    <xf numFmtId="1" fontId="19" fillId="2" borderId="0" xfId="6" applyNumberFormat="1" applyFont="1" applyFill="1" applyBorder="1" applyAlignment="1">
      <alignment horizontal="center" vertical="center" wrapText="1"/>
    </xf>
    <xf numFmtId="1" fontId="80" fillId="2" borderId="0" xfId="6" applyNumberFormat="1" applyFont="1" applyFill="1" applyBorder="1" applyAlignment="1">
      <alignment horizontal="center" vertical="center" wrapText="1"/>
    </xf>
    <xf numFmtId="2" fontId="60" fillId="2" borderId="0" xfId="6" applyNumberFormat="1" applyFont="1" applyFill="1" applyBorder="1" applyAlignment="1">
      <alignment horizontal="center" vertical="center" wrapText="1"/>
    </xf>
    <xf numFmtId="165" fontId="63" fillId="2" borderId="0" xfId="6" applyNumberFormat="1" applyFont="1" applyFill="1" applyBorder="1" applyAlignment="1">
      <alignment horizontal="center" vertical="center" wrapText="1"/>
    </xf>
    <xf numFmtId="1" fontId="64" fillId="2" borderId="0" xfId="6" applyNumberFormat="1" applyFont="1" applyFill="1" applyBorder="1" applyAlignment="1">
      <alignment horizontal="center" vertical="center" wrapText="1"/>
    </xf>
    <xf numFmtId="14" fontId="60" fillId="2" borderId="0" xfId="6" applyNumberFormat="1" applyFont="1" applyFill="1" applyBorder="1" applyAlignment="1">
      <alignment horizontal="center" vertical="center" wrapText="1"/>
    </xf>
    <xf numFmtId="0" fontId="60" fillId="2" borderId="52" xfId="8" applyNumberFormat="1" applyFont="1" applyFill="1" applyBorder="1" applyAlignment="1">
      <alignment horizontal="center" vertical="center" wrapText="1"/>
    </xf>
    <xf numFmtId="0" fontId="60" fillId="2" borderId="53" xfId="6" applyNumberFormat="1" applyFont="1" applyFill="1" applyBorder="1" applyAlignment="1">
      <alignment horizontal="center" vertical="center" wrapText="1"/>
    </xf>
    <xf numFmtId="0" fontId="60" fillId="2" borderId="74" xfId="6" applyNumberFormat="1" applyFont="1" applyFill="1" applyBorder="1" applyAlignment="1">
      <alignment horizontal="center" vertical="center" wrapText="1"/>
    </xf>
    <xf numFmtId="0" fontId="60" fillId="2" borderId="75" xfId="6" applyNumberFormat="1" applyFont="1" applyFill="1" applyBorder="1" applyAlignment="1">
      <alignment horizontal="center" vertical="center" wrapText="1"/>
    </xf>
    <xf numFmtId="1" fontId="79" fillId="2" borderId="1" xfId="6" applyNumberFormat="1" applyFont="1" applyFill="1" applyBorder="1" applyAlignment="1">
      <alignment horizontal="center" vertical="center" wrapText="1"/>
    </xf>
    <xf numFmtId="1" fontId="19" fillId="2" borderId="46" xfId="6" applyNumberFormat="1" applyFont="1" applyFill="1" applyBorder="1" applyAlignment="1">
      <alignment horizontal="center" vertical="center" wrapText="1"/>
    </xf>
    <xf numFmtId="1" fontId="79" fillId="2" borderId="43" xfId="6" applyNumberFormat="1" applyFont="1" applyFill="1" applyBorder="1" applyAlignment="1">
      <alignment horizontal="center" vertical="center" wrapText="1"/>
    </xf>
    <xf numFmtId="1" fontId="19" fillId="2" borderId="62" xfId="6" applyNumberFormat="1" applyFont="1" applyFill="1" applyBorder="1" applyAlignment="1">
      <alignment horizontal="center" vertical="center" wrapText="1"/>
    </xf>
    <xf numFmtId="0" fontId="77" fillId="2" borderId="0" xfId="6" applyNumberFormat="1" applyFont="1" applyFill="1" applyBorder="1" applyAlignment="1">
      <alignment horizontal="center" vertical="center" wrapText="1"/>
    </xf>
    <xf numFmtId="0" fontId="75" fillId="2" borderId="0" xfId="6" applyNumberFormat="1" applyFont="1" applyFill="1" applyBorder="1" applyAlignment="1">
      <alignment horizontal="center" vertical="center" wrapText="1"/>
    </xf>
    <xf numFmtId="0" fontId="76" fillId="2" borderId="0" xfId="6" applyNumberFormat="1" applyFont="1" applyFill="1" applyBorder="1" applyAlignment="1">
      <alignment horizontal="center" vertical="center" wrapText="1"/>
    </xf>
    <xf numFmtId="0" fontId="76" fillId="2" borderId="49" xfId="6" applyNumberFormat="1" applyFont="1" applyFill="1" applyBorder="1" applyAlignment="1">
      <alignment horizontal="center" vertical="center" wrapText="1"/>
    </xf>
    <xf numFmtId="165" fontId="83" fillId="2" borderId="49" xfId="6" applyNumberFormat="1" applyFont="1" applyFill="1" applyBorder="1" applyAlignment="1">
      <alignment horizontal="center" vertical="center" wrapText="1"/>
    </xf>
    <xf numFmtId="1" fontId="76" fillId="2" borderId="57" xfId="6" applyNumberFormat="1" applyFont="1" applyFill="1" applyBorder="1" applyAlignment="1">
      <alignment horizontal="center" vertical="center" wrapText="1"/>
    </xf>
    <xf numFmtId="165" fontId="77" fillId="2" borderId="0" xfId="6" applyNumberFormat="1" applyFont="1" applyFill="1" applyBorder="1" applyAlignment="1">
      <alignment horizontal="center" vertical="center" wrapText="1"/>
    </xf>
    <xf numFmtId="165" fontId="83" fillId="2" borderId="0" xfId="6" applyNumberFormat="1" applyFont="1" applyFill="1" applyBorder="1" applyAlignment="1">
      <alignment horizontal="center" vertical="center" wrapText="1"/>
    </xf>
    <xf numFmtId="1" fontId="76" fillId="2" borderId="59" xfId="6" applyNumberFormat="1" applyFont="1" applyFill="1" applyBorder="1" applyAlignment="1">
      <alignment horizontal="center" vertical="center" wrapText="1"/>
    </xf>
    <xf numFmtId="0" fontId="76" fillId="2" borderId="56" xfId="6" applyNumberFormat="1" applyFont="1" applyFill="1" applyBorder="1" applyAlignment="1">
      <alignment horizontal="center" vertical="center" wrapText="1"/>
    </xf>
    <xf numFmtId="165" fontId="83" fillId="2" borderId="56" xfId="6" applyNumberFormat="1" applyFont="1" applyFill="1" applyBorder="1" applyAlignment="1">
      <alignment horizontal="center" vertical="center" wrapText="1"/>
    </xf>
    <xf numFmtId="0" fontId="81" fillId="2" borderId="15" xfId="2" applyNumberFormat="1" applyFont="1" applyFill="1" applyBorder="1" applyAlignment="1" applyProtection="1">
      <alignment horizontal="center" vertical="center" wrapText="1"/>
    </xf>
    <xf numFmtId="165" fontId="60" fillId="2" borderId="52" xfId="6" applyNumberFormat="1" applyFont="1" applyFill="1" applyBorder="1" applyAlignment="1">
      <alignment horizontal="center" vertical="center" wrapText="1"/>
    </xf>
    <xf numFmtId="165" fontId="63" fillId="2" borderId="51" xfId="6" applyNumberFormat="1" applyFont="1" applyFill="1" applyBorder="1" applyAlignment="1">
      <alignment horizontal="center" vertical="center" wrapText="1"/>
    </xf>
    <xf numFmtId="1" fontId="84" fillId="2" borderId="15" xfId="6" applyNumberFormat="1" applyFont="1" applyFill="1" applyBorder="1" applyAlignment="1">
      <alignment horizontal="center" vertical="center" wrapText="1"/>
    </xf>
    <xf numFmtId="0" fontId="81" fillId="2" borderId="8" xfId="2" applyFont="1" applyFill="1" applyBorder="1" applyAlignment="1" applyProtection="1">
      <alignment horizontal="center" vertical="center" wrapText="1"/>
    </xf>
    <xf numFmtId="1" fontId="84" fillId="2" borderId="8" xfId="6" applyNumberFormat="1" applyFont="1" applyFill="1" applyBorder="1" applyAlignment="1">
      <alignment horizontal="center" vertical="center" wrapText="1"/>
    </xf>
    <xf numFmtId="0" fontId="81" fillId="2" borderId="30" xfId="2" applyFont="1" applyFill="1" applyBorder="1" applyAlignment="1" applyProtection="1">
      <alignment horizontal="center" vertical="center" wrapText="1"/>
    </xf>
    <xf numFmtId="165" fontId="60" fillId="2" borderId="32" xfId="6" applyNumberFormat="1" applyFont="1" applyFill="1" applyBorder="1" applyAlignment="1">
      <alignment horizontal="center" vertical="center" wrapText="1"/>
    </xf>
    <xf numFmtId="1" fontId="84" fillId="2" borderId="30" xfId="6" applyNumberFormat="1" applyFont="1" applyFill="1" applyBorder="1" applyAlignment="1">
      <alignment horizontal="center" vertical="center" wrapText="1"/>
    </xf>
    <xf numFmtId="0" fontId="81" fillId="2" borderId="13" xfId="2" applyFont="1" applyFill="1" applyBorder="1" applyAlignment="1" applyProtection="1">
      <alignment horizontal="center" vertical="center" wrapText="1"/>
    </xf>
    <xf numFmtId="1" fontId="84" fillId="2" borderId="13" xfId="6" applyNumberFormat="1" applyFont="1" applyFill="1" applyBorder="1" applyAlignment="1">
      <alignment horizontal="center" vertical="center" wrapText="1"/>
    </xf>
    <xf numFmtId="0" fontId="79" fillId="2" borderId="0" xfId="6" applyNumberFormat="1" applyFont="1" applyFill="1" applyBorder="1" applyAlignment="1">
      <alignment horizontal="center" vertical="center" wrapText="1"/>
    </xf>
    <xf numFmtId="0" fontId="19" fillId="2" borderId="0" xfId="6" applyNumberFormat="1" applyFont="1" applyFill="1" applyBorder="1" applyAlignment="1">
      <alignment horizontal="center" vertical="center" wrapText="1"/>
    </xf>
    <xf numFmtId="0" fontId="80" fillId="2" borderId="0" xfId="6" applyNumberFormat="1" applyFont="1" applyFill="1" applyBorder="1" applyAlignment="1">
      <alignment horizontal="center" vertical="center" wrapText="1"/>
    </xf>
    <xf numFmtId="165" fontId="19" fillId="2" borderId="0" xfId="6" applyNumberFormat="1" applyFont="1" applyFill="1" applyBorder="1" applyAlignment="1">
      <alignment horizontal="center" vertical="center" wrapText="1"/>
    </xf>
    <xf numFmtId="165" fontId="80" fillId="2" borderId="0" xfId="6" applyNumberFormat="1" applyFont="1" applyFill="1" applyBorder="1" applyAlignment="1">
      <alignment horizontal="center" vertical="center" wrapText="1"/>
    </xf>
    <xf numFmtId="0" fontId="78" fillId="2" borderId="28" xfId="6" applyNumberFormat="1" applyFont="1" applyFill="1" applyBorder="1" applyAlignment="1">
      <alignment horizontal="center" vertical="center" wrapText="1"/>
    </xf>
    <xf numFmtId="0" fontId="60" fillId="2" borderId="39" xfId="6" applyNumberFormat="1" applyFont="1" applyFill="1" applyBorder="1" applyAlignment="1">
      <alignment horizontal="center" vertical="center" wrapText="1"/>
    </xf>
    <xf numFmtId="0" fontId="81" fillId="0" borderId="38" xfId="2" applyFont="1" applyFill="1" applyBorder="1" applyAlignment="1" applyProtection="1">
      <alignment horizontal="center" vertical="center" wrapText="1"/>
    </xf>
    <xf numFmtId="0" fontId="60" fillId="2" borderId="38" xfId="8" applyNumberFormat="1" applyFont="1" applyFill="1" applyBorder="1" applyAlignment="1">
      <alignment horizontal="center" vertical="center" wrapText="1"/>
    </xf>
    <xf numFmtId="0" fontId="60" fillId="2" borderId="38" xfId="6" applyNumberFormat="1" applyFont="1" applyFill="1" applyBorder="1" applyAlignment="1">
      <alignment horizontal="center" vertical="center" wrapText="1"/>
    </xf>
    <xf numFmtId="1" fontId="60" fillId="2" borderId="38" xfId="6" applyNumberFormat="1" applyFont="1" applyFill="1" applyBorder="1" applyAlignment="1">
      <alignment horizontal="center" vertical="center" wrapText="1"/>
    </xf>
    <xf numFmtId="165" fontId="79" fillId="2" borderId="38" xfId="6" applyNumberFormat="1" applyFont="1" applyFill="1" applyBorder="1" applyAlignment="1">
      <alignment horizontal="center" vertical="center" wrapText="1"/>
    </xf>
    <xf numFmtId="1" fontId="19" fillId="2" borderId="38" xfId="6" applyNumberFormat="1" applyFont="1" applyFill="1" applyBorder="1" applyAlignment="1">
      <alignment horizontal="center" vertical="center" wrapText="1"/>
    </xf>
    <xf numFmtId="1" fontId="80" fillId="2" borderId="38" xfId="6" applyNumberFormat="1" applyFont="1" applyFill="1" applyBorder="1" applyAlignment="1">
      <alignment horizontal="center" vertical="center" wrapText="1"/>
    </xf>
    <xf numFmtId="2" fontId="60" fillId="2" borderId="38" xfId="6" applyNumberFormat="1" applyFont="1" applyFill="1" applyBorder="1" applyAlignment="1">
      <alignment horizontal="center" vertical="center" wrapText="1"/>
    </xf>
    <xf numFmtId="165" fontId="60" fillId="2" borderId="38" xfId="6" applyNumberFormat="1" applyFont="1" applyFill="1" applyBorder="1" applyAlignment="1">
      <alignment horizontal="center" vertical="center" wrapText="1"/>
    </xf>
    <xf numFmtId="165" fontId="60" fillId="2" borderId="42" xfId="6" applyNumberFormat="1" applyFont="1" applyFill="1" applyBorder="1" applyAlignment="1">
      <alignment horizontal="center" vertical="center" wrapText="1"/>
    </xf>
    <xf numFmtId="165" fontId="63" fillId="2" borderId="38" xfId="6" applyNumberFormat="1" applyFont="1" applyFill="1" applyBorder="1" applyAlignment="1">
      <alignment horizontal="center" vertical="center" wrapText="1"/>
    </xf>
    <xf numFmtId="1" fontId="64" fillId="2" borderId="38" xfId="6" applyNumberFormat="1" applyFont="1" applyFill="1" applyBorder="1" applyAlignment="1">
      <alignment horizontal="center" vertical="center" wrapText="1"/>
    </xf>
    <xf numFmtId="14" fontId="60" fillId="2" borderId="38" xfId="6" applyNumberFormat="1" applyFont="1" applyFill="1" applyBorder="1" applyAlignment="1">
      <alignment horizontal="center" vertical="center" wrapText="1"/>
    </xf>
    <xf numFmtId="0" fontId="60" fillId="0" borderId="40" xfId="6" applyNumberFormat="1" applyFont="1" applyFill="1" applyBorder="1" applyAlignment="1">
      <alignment horizontal="center" vertical="center" wrapText="1"/>
    </xf>
    <xf numFmtId="0" fontId="12" fillId="2" borderId="15" xfId="2" applyFont="1" applyFill="1" applyBorder="1" applyAlignment="1" applyProtection="1">
      <alignment horizontal="center" vertical="center" wrapText="1"/>
    </xf>
    <xf numFmtId="1" fontId="60" fillId="2" borderId="16" xfId="6" applyNumberFormat="1" applyFont="1" applyFill="1" applyBorder="1" applyAlignment="1">
      <alignment horizontal="center" vertical="center" wrapText="1"/>
    </xf>
    <xf numFmtId="14" fontId="17" fillId="0" borderId="8" xfId="6" applyNumberFormat="1" applyFont="1" applyFill="1" applyBorder="1" applyAlignment="1">
      <alignment horizontal="center" vertical="center" wrapText="1"/>
    </xf>
    <xf numFmtId="1" fontId="17" fillId="0" borderId="24" xfId="6" applyNumberFormat="1" applyFont="1" applyFill="1" applyBorder="1" applyAlignment="1">
      <alignment horizontal="center" vertical="center" wrapText="1"/>
    </xf>
    <xf numFmtId="14" fontId="17" fillId="0" borderId="30" xfId="6" applyNumberFormat="1" applyFont="1" applyFill="1" applyBorder="1" applyAlignment="1">
      <alignment horizontal="center" vertical="center" wrapText="1"/>
    </xf>
    <xf numFmtId="1" fontId="17" fillId="0" borderId="29" xfId="6" applyNumberFormat="1" applyFont="1" applyFill="1" applyBorder="1" applyAlignment="1">
      <alignment horizontal="center" vertical="center" wrapText="1"/>
    </xf>
    <xf numFmtId="0" fontId="60" fillId="2" borderId="0" xfId="3" applyFont="1" applyFill="1" applyBorder="1" applyAlignment="1">
      <alignment horizontal="center" vertical="center" wrapText="1"/>
    </xf>
    <xf numFmtId="165" fontId="19" fillId="2" borderId="15" xfId="6" applyNumberFormat="1" applyFont="1" applyFill="1" applyBorder="1" applyAlignment="1">
      <alignment horizontal="center" vertical="center" wrapText="1"/>
    </xf>
    <xf numFmtId="165" fontId="19" fillId="2" borderId="8" xfId="6" applyNumberFormat="1" applyFont="1" applyFill="1" applyBorder="1" applyAlignment="1">
      <alignment horizontal="center" vertical="center" wrapText="1"/>
    </xf>
    <xf numFmtId="165" fontId="19" fillId="2" borderId="30" xfId="6" applyNumberFormat="1" applyFont="1" applyFill="1" applyBorder="1" applyAlignment="1">
      <alignment horizontal="center" vertical="center" wrapText="1"/>
    </xf>
    <xf numFmtId="1" fontId="60" fillId="2" borderId="17" xfId="6" applyNumberFormat="1" applyFont="1" applyFill="1" applyBorder="1" applyAlignment="1">
      <alignment horizontal="center" vertical="center" wrapText="1"/>
    </xf>
    <xf numFmtId="165" fontId="19" fillId="2" borderId="13" xfId="6" applyNumberFormat="1" applyFont="1" applyFill="1" applyBorder="1" applyAlignment="1">
      <alignment horizontal="center" vertical="center" wrapText="1"/>
    </xf>
    <xf numFmtId="1" fontId="60" fillId="0" borderId="21" xfId="6" applyNumberFormat="1" applyFont="1" applyFill="1" applyBorder="1" applyAlignment="1">
      <alignment horizontal="center" vertical="center" wrapText="1"/>
    </xf>
    <xf numFmtId="1" fontId="60" fillId="2" borderId="7" xfId="6" applyNumberFormat="1" applyFont="1" applyFill="1" applyBorder="1" applyAlignment="1">
      <alignment horizontal="center" vertical="center" wrapText="1"/>
    </xf>
    <xf numFmtId="1" fontId="60" fillId="0" borderId="27" xfId="6" applyNumberFormat="1" applyFont="1" applyFill="1" applyBorder="1" applyAlignment="1">
      <alignment horizontal="center" vertical="center" wrapText="1"/>
    </xf>
    <xf numFmtId="1" fontId="60" fillId="2" borderId="31" xfId="6" applyNumberFormat="1" applyFont="1" applyFill="1" applyBorder="1" applyAlignment="1">
      <alignment horizontal="center" vertical="center" wrapText="1"/>
    </xf>
    <xf numFmtId="1" fontId="60" fillId="0" borderId="35" xfId="6" applyNumberFormat="1" applyFont="1" applyFill="1" applyBorder="1" applyAlignment="1">
      <alignment horizontal="center" vertical="center" wrapText="1"/>
    </xf>
    <xf numFmtId="0" fontId="12" fillId="2" borderId="13" xfId="2" applyFont="1" applyFill="1" applyBorder="1" applyAlignment="1">
      <alignment horizontal="center" vertical="center" wrapText="1"/>
    </xf>
    <xf numFmtId="1" fontId="60" fillId="2" borderId="9" xfId="6" applyNumberFormat="1" applyFont="1" applyFill="1" applyBorder="1" applyAlignment="1">
      <alignment horizontal="center" vertical="center" wrapText="1"/>
    </xf>
    <xf numFmtId="165" fontId="60" fillId="2" borderId="21" xfId="6" applyNumberFormat="1" applyFont="1" applyFill="1" applyBorder="1" applyAlignment="1">
      <alignment horizontal="center" vertical="center" wrapText="1"/>
    </xf>
    <xf numFmtId="14" fontId="60" fillId="2" borderId="12" xfId="6" applyNumberFormat="1" applyFont="1" applyFill="1" applyBorder="1" applyAlignment="1">
      <alignment horizontal="center" vertical="center" wrapText="1"/>
    </xf>
    <xf numFmtId="0" fontId="81" fillId="2" borderId="8" xfId="2" applyFont="1" applyFill="1" applyBorder="1" applyAlignment="1">
      <alignment horizontal="center" vertical="center" wrapText="1"/>
    </xf>
    <xf numFmtId="165" fontId="60" fillId="2" borderId="27" xfId="6" applyNumberFormat="1" applyFont="1" applyFill="1" applyBorder="1" applyAlignment="1">
      <alignment horizontal="center" vertical="center" wrapText="1"/>
    </xf>
    <xf numFmtId="14" fontId="60" fillId="2" borderId="24" xfId="6" applyNumberFormat="1" applyFont="1" applyFill="1" applyBorder="1" applyAlignment="1">
      <alignment horizontal="center" vertical="center" wrapText="1"/>
    </xf>
    <xf numFmtId="0" fontId="81" fillId="2" borderId="45" xfId="2" applyFont="1" applyFill="1" applyBorder="1" applyAlignment="1">
      <alignment horizontal="center" vertical="center" wrapText="1"/>
    </xf>
    <xf numFmtId="1" fontId="60" fillId="2" borderId="18" xfId="6" applyNumberFormat="1" applyFont="1" applyFill="1" applyBorder="1" applyAlignment="1">
      <alignment horizontal="center" vertical="center" wrapText="1"/>
    </xf>
    <xf numFmtId="165" fontId="79" fillId="2" borderId="68" xfId="6" applyNumberFormat="1" applyFont="1" applyFill="1" applyBorder="1" applyAlignment="1">
      <alignment horizontal="center" vertical="center" wrapText="1"/>
    </xf>
    <xf numFmtId="1" fontId="19" fillId="2" borderId="68" xfId="6" applyNumberFormat="1" applyFont="1" applyFill="1" applyBorder="1" applyAlignment="1">
      <alignment horizontal="center" vertical="center" wrapText="1"/>
    </xf>
    <xf numFmtId="0" fontId="60" fillId="2" borderId="43" xfId="6" applyNumberFormat="1" applyFont="1" applyFill="1" applyBorder="1" applyAlignment="1">
      <alignment horizontal="center" vertical="center" wrapText="1"/>
    </xf>
    <xf numFmtId="165" fontId="63" fillId="2" borderId="47" xfId="6" applyNumberFormat="1" applyFont="1" applyFill="1" applyBorder="1" applyAlignment="1">
      <alignment horizontal="center" vertical="center" wrapText="1"/>
    </xf>
    <xf numFmtId="14" fontId="60" fillId="2" borderId="46" xfId="6" applyNumberFormat="1" applyFont="1" applyFill="1" applyBorder="1" applyAlignment="1">
      <alignment horizontal="center" vertical="center" wrapText="1"/>
    </xf>
    <xf numFmtId="1" fontId="60" fillId="0" borderId="62" xfId="6" applyNumberFormat="1" applyFont="1" applyFill="1" applyBorder="1" applyAlignment="1">
      <alignment horizontal="center" vertical="center" wrapText="1"/>
    </xf>
    <xf numFmtId="0" fontId="67" fillId="2" borderId="0" xfId="3" applyFont="1" applyFill="1" applyBorder="1" applyAlignment="1">
      <alignment horizontal="center" vertical="center" wrapText="1"/>
    </xf>
    <xf numFmtId="0" fontId="70" fillId="2" borderId="0" xfId="3" applyFont="1" applyFill="1" applyBorder="1" applyAlignment="1">
      <alignment horizontal="center" vertical="center" wrapText="1"/>
    </xf>
    <xf numFmtId="1" fontId="67" fillId="2" borderId="0" xfId="3" applyNumberFormat="1" applyFont="1" applyFill="1" applyBorder="1" applyAlignment="1">
      <alignment horizontal="center" vertical="center" wrapText="1"/>
    </xf>
    <xf numFmtId="165" fontId="67" fillId="2" borderId="0" xfId="3" applyNumberFormat="1" applyFont="1" applyFill="1" applyBorder="1" applyAlignment="1">
      <alignment horizontal="center" vertical="center" wrapText="1"/>
    </xf>
    <xf numFmtId="1" fontId="79" fillId="2" borderId="0" xfId="6" applyNumberFormat="1" applyFont="1" applyFill="1" applyBorder="1" applyAlignment="1">
      <alignment horizontal="center" vertical="center" wrapText="1"/>
    </xf>
    <xf numFmtId="1" fontId="60" fillId="2" borderId="0" xfId="3" applyNumberFormat="1" applyFont="1" applyFill="1" applyBorder="1" applyAlignment="1">
      <alignment horizontal="center" vertical="center" wrapText="1"/>
    </xf>
    <xf numFmtId="165" fontId="60" fillId="2" borderId="0" xfId="3" applyNumberFormat="1" applyFont="1" applyFill="1" applyBorder="1" applyAlignment="1">
      <alignment horizontal="center" vertical="center" wrapText="1"/>
    </xf>
    <xf numFmtId="0" fontId="52" fillId="2" borderId="0" xfId="3" applyFont="1" applyFill="1" applyAlignment="1">
      <alignment horizontal="left" vertical="center"/>
    </xf>
    <xf numFmtId="0" fontId="52" fillId="2" borderId="0" xfId="3" applyFont="1" applyFill="1" applyBorder="1" applyAlignment="1">
      <alignment horizontal="left" vertical="center"/>
    </xf>
    <xf numFmtId="165" fontId="52" fillId="2" borderId="0" xfId="3" applyNumberFormat="1" applyFont="1" applyFill="1" applyAlignment="1">
      <alignment horizontal="left" vertical="center"/>
    </xf>
    <xf numFmtId="0" fontId="85" fillId="2" borderId="0" xfId="3" applyFont="1" applyFill="1" applyAlignment="1">
      <alignment horizontal="left" vertical="center"/>
    </xf>
    <xf numFmtId="0" fontId="86" fillId="2" borderId="0" xfId="3" applyFont="1" applyFill="1" applyAlignment="1">
      <alignment horizontal="left" vertical="center"/>
    </xf>
    <xf numFmtId="0" fontId="87" fillId="2" borderId="0" xfId="3" applyFont="1" applyFill="1" applyAlignment="1">
      <alignment horizontal="left"/>
    </xf>
    <xf numFmtId="0" fontId="52" fillId="2" borderId="0" xfId="3" applyFont="1" applyFill="1" applyAlignment="1">
      <alignment horizontal="left"/>
    </xf>
    <xf numFmtId="0" fontId="53" fillId="2" borderId="0" xfId="3" applyFont="1" applyFill="1" applyAlignment="1">
      <alignment horizontal="left"/>
    </xf>
    <xf numFmtId="165" fontId="52" fillId="2" borderId="0" xfId="3" applyNumberFormat="1" applyFont="1" applyFill="1" applyAlignment="1">
      <alignment horizontal="left"/>
    </xf>
    <xf numFmtId="0" fontId="86" fillId="2" borderId="0" xfId="3" applyFont="1" applyFill="1" applyAlignment="1">
      <alignment horizontal="left"/>
    </xf>
    <xf numFmtId="164" fontId="52" fillId="2" borderId="0" xfId="3" applyNumberFormat="1" applyFont="1" applyFill="1" applyAlignment="1">
      <alignment horizontal="left"/>
    </xf>
    <xf numFmtId="164" fontId="52" fillId="2" borderId="0" xfId="3" applyNumberFormat="1" applyFont="1" applyFill="1" applyAlignment="1">
      <alignment horizontal="left" wrapText="1"/>
    </xf>
    <xf numFmtId="0" fontId="52" fillId="2" borderId="0" xfId="3" applyFont="1" applyFill="1" applyAlignment="1">
      <alignment horizontal="left" wrapText="1"/>
    </xf>
    <xf numFmtId="0" fontId="52" fillId="2" borderId="0" xfId="3" applyFont="1" applyFill="1" applyAlignment="1">
      <alignment horizontal="left" vertical="center" wrapText="1"/>
    </xf>
    <xf numFmtId="165" fontId="52" fillId="2" borderId="0" xfId="3" applyNumberFormat="1" applyFont="1" applyFill="1" applyAlignment="1">
      <alignment horizontal="left" wrapText="1"/>
    </xf>
    <xf numFmtId="0" fontId="86" fillId="2" borderId="0" xfId="3" applyFont="1" applyFill="1" applyAlignment="1">
      <alignment horizontal="left" wrapText="1"/>
    </xf>
    <xf numFmtId="164" fontId="52" fillId="2" borderId="0" xfId="3" applyNumberFormat="1" applyFont="1" applyFill="1" applyAlignment="1">
      <alignment horizontal="left" vertical="center" wrapText="1"/>
    </xf>
    <xf numFmtId="165" fontId="52" fillId="2" borderId="0" xfId="3" applyNumberFormat="1" applyFont="1" applyFill="1" applyAlignment="1">
      <alignment horizontal="left" vertical="center" wrapText="1"/>
    </xf>
    <xf numFmtId="0" fontId="86" fillId="2" borderId="0" xfId="3" applyFont="1" applyFill="1" applyAlignment="1">
      <alignment horizontal="left" vertical="center" wrapText="1"/>
    </xf>
    <xf numFmtId="0" fontId="60" fillId="2" borderId="0" xfId="3" applyFont="1" applyFill="1" applyAlignment="1">
      <alignment horizontal="left" vertical="center" wrapText="1"/>
    </xf>
    <xf numFmtId="0" fontId="70" fillId="2" borderId="28" xfId="6" applyNumberFormat="1" applyFont="1" applyFill="1" applyBorder="1" applyAlignment="1">
      <alignment horizontal="center" vertical="center" wrapText="1"/>
    </xf>
    <xf numFmtId="0" fontId="70" fillId="2" borderId="29" xfId="3" applyFont="1" applyFill="1" applyBorder="1" applyAlignment="1">
      <alignment horizontal="center" vertical="center" wrapText="1"/>
    </xf>
    <xf numFmtId="0" fontId="70" fillId="2" borderId="31" xfId="6" applyNumberFormat="1" applyFont="1" applyFill="1" applyBorder="1" applyAlignment="1">
      <alignment horizontal="center" vertical="center" wrapText="1"/>
    </xf>
    <xf numFmtId="0" fontId="67" fillId="2" borderId="0" xfId="6" applyNumberFormat="1" applyFont="1" applyFill="1" applyBorder="1" applyAlignment="1">
      <alignment horizontal="center" vertical="center" wrapText="1"/>
    </xf>
    <xf numFmtId="0" fontId="53" fillId="2" borderId="0" xfId="3" applyFont="1" applyFill="1" applyBorder="1" applyAlignment="1">
      <alignment horizontal="center" vertical="center" wrapText="1"/>
    </xf>
    <xf numFmtId="0" fontId="13" fillId="0" borderId="1" xfId="2" applyFont="1" applyFill="1" applyBorder="1" applyAlignment="1" applyProtection="1">
      <alignment horizontal="center" vertical="center" wrapText="1"/>
    </xf>
    <xf numFmtId="0" fontId="13" fillId="0" borderId="6" xfId="2" applyFont="1" applyFill="1" applyBorder="1" applyAlignment="1" applyProtection="1">
      <alignment horizontal="center" vertical="center" wrapText="1"/>
    </xf>
    <xf numFmtId="0" fontId="13" fillId="2" borderId="6" xfId="2" applyFont="1" applyFill="1" applyBorder="1" applyAlignment="1" applyProtection="1">
      <alignment horizontal="center" vertical="center" wrapText="1"/>
    </xf>
    <xf numFmtId="0" fontId="13" fillId="0" borderId="2" xfId="2" applyFont="1" applyFill="1" applyBorder="1" applyAlignment="1" applyProtection="1">
      <alignment horizontal="center" vertical="center" wrapText="1"/>
    </xf>
    <xf numFmtId="0" fontId="13" fillId="0" borderId="3" xfId="2" applyFont="1" applyFill="1" applyBorder="1" applyAlignment="1" applyProtection="1">
      <alignment horizontal="center" vertical="center" wrapText="1"/>
    </xf>
    <xf numFmtId="0" fontId="13" fillId="0" borderId="4" xfId="2" applyFont="1" applyFill="1" applyBorder="1" applyAlignment="1" applyProtection="1">
      <alignment horizontal="center" vertical="center" wrapText="1"/>
    </xf>
    <xf numFmtId="0" fontId="13" fillId="2" borderId="4" xfId="2" applyFont="1" applyFill="1" applyBorder="1" applyAlignment="1" applyProtection="1">
      <alignment horizontal="center" vertical="center" wrapText="1"/>
    </xf>
    <xf numFmtId="0" fontId="13" fillId="0" borderId="5" xfId="2" applyFont="1" applyFill="1" applyBorder="1" applyAlignment="1" applyProtection="1">
      <alignment horizontal="center" vertical="center" wrapText="1"/>
    </xf>
    <xf numFmtId="14" fontId="13" fillId="0" borderId="1" xfId="2" applyNumberFormat="1" applyFont="1" applyFill="1" applyBorder="1" applyAlignment="1" applyProtection="1">
      <alignment horizontal="center" vertical="center" wrapText="1"/>
    </xf>
    <xf numFmtId="14" fontId="13" fillId="0" borderId="6" xfId="2" applyNumberFormat="1" applyFont="1" applyFill="1" applyBorder="1" applyAlignment="1" applyProtection="1">
      <alignment horizontal="center" vertical="center" wrapText="1"/>
    </xf>
    <xf numFmtId="14" fontId="13" fillId="0" borderId="2" xfId="2" applyNumberFormat="1" applyFont="1" applyFill="1" applyBorder="1" applyAlignment="1" applyProtection="1">
      <alignment horizontal="center" vertical="center" wrapText="1"/>
    </xf>
    <xf numFmtId="0" fontId="13" fillId="2" borderId="2" xfId="2" applyFont="1" applyFill="1" applyBorder="1" applyAlignment="1" applyProtection="1">
      <alignment horizontal="center" vertical="center" wrapText="1"/>
    </xf>
    <xf numFmtId="0" fontId="53" fillId="2" borderId="0" xfId="3" applyFont="1" applyFill="1" applyBorder="1" applyAlignment="1">
      <alignment horizontal="center" vertical="center" wrapText="1"/>
    </xf>
    <xf numFmtId="0" fontId="61" fillId="2" borderId="48" xfId="3" applyFont="1" applyFill="1" applyBorder="1" applyAlignment="1">
      <alignment horizontal="center" vertical="center" wrapText="1"/>
    </xf>
    <xf numFmtId="0" fontId="61" fillId="2" borderId="49" xfId="3" applyFont="1" applyFill="1" applyBorder="1" applyAlignment="1">
      <alignment horizontal="center" vertical="center" wrapText="1"/>
    </xf>
    <xf numFmtId="0" fontId="61" fillId="2" borderId="55" xfId="3" applyFont="1" applyFill="1" applyBorder="1" applyAlignment="1">
      <alignment horizontal="center" vertical="center" wrapText="1"/>
    </xf>
    <xf numFmtId="0" fontId="61" fillId="2" borderId="56" xfId="3" applyFont="1" applyFill="1" applyBorder="1" applyAlignment="1">
      <alignment horizontal="center" vertical="center" wrapText="1"/>
    </xf>
    <xf numFmtId="0" fontId="61" fillId="2" borderId="50" xfId="3" applyFont="1" applyFill="1" applyBorder="1" applyAlignment="1">
      <alignment horizontal="center" vertical="center" wrapText="1"/>
    </xf>
    <xf numFmtId="0" fontId="61" fillId="2" borderId="51" xfId="3" applyFont="1" applyFill="1" applyBorder="1" applyAlignment="1">
      <alignment horizontal="center" vertical="center" wrapText="1"/>
    </xf>
    <xf numFmtId="0" fontId="61" fillId="2" borderId="52" xfId="3" applyFont="1" applyFill="1" applyBorder="1" applyAlignment="1">
      <alignment horizontal="center" vertical="center" wrapText="1"/>
    </xf>
    <xf numFmtId="0" fontId="61" fillId="2" borderId="53" xfId="3" applyFont="1" applyFill="1" applyBorder="1" applyAlignment="1">
      <alignment horizontal="center" vertical="center" wrapText="1"/>
    </xf>
    <xf numFmtId="0" fontId="61" fillId="2" borderId="54" xfId="3" applyFont="1" applyFill="1" applyBorder="1" applyAlignment="1">
      <alignment horizontal="center" vertical="center" wrapText="1"/>
    </xf>
    <xf numFmtId="0" fontId="66" fillId="2" borderId="3" xfId="3" applyFont="1" applyFill="1" applyBorder="1" applyAlignment="1">
      <alignment horizontal="center" vertical="center" wrapText="1"/>
    </xf>
    <xf numFmtId="0" fontId="66" fillId="2" borderId="4" xfId="3" applyFont="1" applyFill="1" applyBorder="1" applyAlignment="1">
      <alignment horizontal="center" vertical="center" wrapText="1"/>
    </xf>
    <xf numFmtId="0" fontId="66" fillId="2" borderId="5" xfId="3" applyFont="1" applyFill="1" applyBorder="1" applyAlignment="1">
      <alignment horizontal="center" vertical="center" wrapText="1"/>
    </xf>
    <xf numFmtId="0" fontId="65" fillId="2" borderId="48" xfId="3" applyFont="1" applyFill="1" applyBorder="1" applyAlignment="1">
      <alignment horizontal="center" vertical="center" wrapText="1"/>
    </xf>
    <xf numFmtId="0" fontId="65" fillId="2" borderId="49" xfId="3" applyFont="1" applyFill="1" applyBorder="1" applyAlignment="1">
      <alignment horizontal="center" vertical="center" wrapText="1"/>
    </xf>
    <xf numFmtId="0" fontId="65" fillId="2" borderId="57" xfId="3" applyFont="1" applyFill="1" applyBorder="1" applyAlignment="1">
      <alignment horizontal="center" vertical="center" wrapText="1"/>
    </xf>
    <xf numFmtId="0" fontId="66" fillId="2" borderId="22" xfId="3" applyFont="1" applyFill="1" applyBorder="1" applyAlignment="1">
      <alignment horizontal="center" vertical="center" wrapText="1"/>
    </xf>
    <xf numFmtId="0" fontId="66" fillId="2" borderId="0" xfId="3" applyFont="1" applyFill="1" applyBorder="1" applyAlignment="1">
      <alignment horizontal="center" vertical="center" wrapText="1"/>
    </xf>
    <xf numFmtId="0" fontId="66" fillId="2" borderId="59" xfId="3" applyFont="1" applyFill="1" applyBorder="1" applyAlignment="1">
      <alignment horizontal="center" vertical="center" wrapText="1"/>
    </xf>
    <xf numFmtId="0" fontId="66" fillId="2" borderId="55" xfId="3" applyFont="1" applyFill="1" applyBorder="1" applyAlignment="1">
      <alignment horizontal="center" vertical="center" wrapText="1"/>
    </xf>
    <xf numFmtId="0" fontId="66" fillId="2" borderId="56" xfId="3" applyFont="1" applyFill="1" applyBorder="1" applyAlignment="1">
      <alignment horizontal="center" vertical="center" wrapText="1"/>
    </xf>
    <xf numFmtId="0" fontId="66" fillId="2" borderId="62" xfId="3" applyFont="1" applyFill="1" applyBorder="1" applyAlignment="1">
      <alignment horizontal="center" vertical="center" wrapText="1"/>
    </xf>
    <xf numFmtId="0" fontId="66" fillId="2" borderId="48" xfId="3" applyFont="1" applyFill="1" applyBorder="1" applyAlignment="1">
      <alignment horizontal="center" vertical="center" wrapText="1"/>
    </xf>
    <xf numFmtId="0" fontId="66" fillId="2" borderId="49" xfId="3" applyFont="1" applyFill="1" applyBorder="1" applyAlignment="1">
      <alignment horizontal="center" vertical="center" wrapText="1"/>
    </xf>
    <xf numFmtId="0" fontId="66" fillId="2" borderId="57" xfId="3" applyFont="1" applyFill="1" applyBorder="1" applyAlignment="1">
      <alignment horizontal="center" vertical="center" wrapText="1"/>
    </xf>
    <xf numFmtId="0" fontId="53" fillId="2" borderId="0" xfId="6" applyNumberFormat="1" applyFont="1" applyFill="1" applyAlignment="1">
      <alignment horizontal="center" vertical="center" wrapText="1"/>
    </xf>
    <xf numFmtId="0" fontId="68" fillId="6" borderId="1" xfId="6" applyNumberFormat="1" applyFont="1" applyFill="1" applyBorder="1" applyAlignment="1">
      <alignment horizontal="center" vertical="center" wrapText="1"/>
    </xf>
    <xf numFmtId="0" fontId="68" fillId="6" borderId="2" xfId="6" applyNumberFormat="1" applyFont="1" applyFill="1" applyBorder="1" applyAlignment="1">
      <alignment horizontal="center" vertical="center" wrapText="1"/>
    </xf>
    <xf numFmtId="0" fontId="70" fillId="2" borderId="14" xfId="6" applyNumberFormat="1" applyFont="1" applyFill="1" applyBorder="1" applyAlignment="1">
      <alignment horizontal="center" vertical="center" wrapText="1"/>
    </xf>
    <xf numFmtId="0" fontId="70" fillId="2" borderId="15" xfId="6" applyNumberFormat="1" applyFont="1" applyFill="1" applyBorder="1" applyAlignment="1">
      <alignment horizontal="center" vertical="center" wrapText="1"/>
    </xf>
    <xf numFmtId="0" fontId="70" fillId="2" borderId="52" xfId="6" applyNumberFormat="1" applyFont="1" applyFill="1" applyBorder="1" applyAlignment="1">
      <alignment horizontal="center" vertical="center" wrapText="1"/>
    </xf>
    <xf numFmtId="0" fontId="70" fillId="2" borderId="28" xfId="6" applyNumberFormat="1" applyFont="1" applyFill="1" applyBorder="1" applyAlignment="1">
      <alignment horizontal="center" vertical="center" wrapText="1"/>
    </xf>
    <xf numFmtId="0" fontId="70" fillId="2" borderId="16" xfId="3" applyFont="1" applyFill="1" applyBorder="1" applyAlignment="1">
      <alignment horizontal="center" vertical="center" wrapText="1"/>
    </xf>
    <xf numFmtId="0" fontId="70" fillId="2" borderId="29" xfId="3" applyFont="1" applyFill="1" applyBorder="1" applyAlignment="1">
      <alignment horizontal="center" vertical="center" wrapText="1"/>
    </xf>
    <xf numFmtId="0" fontId="70" fillId="2" borderId="51" xfId="3" applyFont="1" applyFill="1" applyBorder="1" applyAlignment="1">
      <alignment horizontal="center" vertical="center" wrapText="1"/>
    </xf>
    <xf numFmtId="0" fontId="70" fillId="2" borderId="15" xfId="3" applyFont="1" applyFill="1" applyBorder="1" applyAlignment="1">
      <alignment horizontal="center" vertical="center" wrapText="1"/>
    </xf>
    <xf numFmtId="0" fontId="70" fillId="2" borderId="67" xfId="6" applyFont="1" applyFill="1" applyBorder="1" applyAlignment="1">
      <alignment horizontal="center" vertical="center" wrapText="1"/>
    </xf>
    <xf numFmtId="0" fontId="70" fillId="2" borderId="68" xfId="6" applyFont="1" applyFill="1" applyBorder="1" applyAlignment="1">
      <alignment horizontal="center" vertical="center" wrapText="1"/>
    </xf>
    <xf numFmtId="0" fontId="70" fillId="2" borderId="69" xfId="6" applyFont="1" applyFill="1" applyBorder="1" applyAlignment="1">
      <alignment horizontal="center" vertical="center" wrapText="1"/>
    </xf>
    <xf numFmtId="0" fontId="68" fillId="6" borderId="3" xfId="6" applyNumberFormat="1" applyFont="1" applyFill="1" applyBorder="1" applyAlignment="1">
      <alignment horizontal="center" vertical="center" wrapText="1"/>
    </xf>
    <xf numFmtId="0" fontId="68" fillId="6" borderId="5" xfId="6" applyNumberFormat="1" applyFont="1" applyFill="1" applyBorder="1" applyAlignment="1">
      <alignment horizontal="center" vertical="center" wrapText="1"/>
    </xf>
    <xf numFmtId="0" fontId="70" fillId="2" borderId="50" xfId="6" applyNumberFormat="1" applyFont="1" applyFill="1" applyBorder="1" applyAlignment="1">
      <alignment horizontal="center" vertical="center" wrapText="1"/>
    </xf>
    <xf numFmtId="0" fontId="70" fillId="2" borderId="53" xfId="6" applyNumberFormat="1" applyFont="1" applyFill="1" applyBorder="1" applyAlignment="1">
      <alignment horizontal="center" vertical="center" wrapText="1"/>
    </xf>
    <xf numFmtId="0" fontId="70" fillId="2" borderId="54" xfId="6" applyNumberFormat="1" applyFont="1" applyFill="1" applyBorder="1" applyAlignment="1">
      <alignment horizontal="center" vertical="center" wrapText="1"/>
    </xf>
    <xf numFmtId="0" fontId="70" fillId="2" borderId="57" xfId="3" applyFont="1" applyFill="1" applyBorder="1" applyAlignment="1">
      <alignment horizontal="center" vertical="center" wrapText="1"/>
    </xf>
    <xf numFmtId="0" fontId="70" fillId="2" borderId="62" xfId="3" applyFont="1" applyFill="1" applyBorder="1" applyAlignment="1">
      <alignment horizontal="center" vertical="center" wrapText="1"/>
    </xf>
    <xf numFmtId="0" fontId="70" fillId="2" borderId="14" xfId="3" applyFont="1" applyFill="1" applyBorder="1" applyAlignment="1">
      <alignment horizontal="center" vertical="center" wrapText="1"/>
    </xf>
    <xf numFmtId="0" fontId="70" fillId="2" borderId="48" xfId="6" applyNumberFormat="1" applyFont="1" applyFill="1" applyBorder="1" applyAlignment="1">
      <alignment horizontal="center" vertical="center" wrapText="1"/>
    </xf>
    <xf numFmtId="0" fontId="70" fillId="2" borderId="49" xfId="6" applyNumberFormat="1" applyFont="1" applyFill="1" applyBorder="1" applyAlignment="1">
      <alignment horizontal="center" vertical="center" wrapText="1"/>
    </xf>
    <xf numFmtId="0" fontId="70" fillId="2" borderId="70" xfId="6" applyFont="1" applyFill="1" applyBorder="1" applyAlignment="1">
      <alignment horizontal="center" vertical="center" wrapText="1"/>
    </xf>
    <xf numFmtId="0" fontId="70" fillId="2" borderId="71" xfId="6" applyFont="1" applyFill="1" applyBorder="1" applyAlignment="1">
      <alignment horizontal="center" vertical="center" wrapText="1"/>
    </xf>
    <xf numFmtId="0" fontId="70" fillId="2" borderId="72" xfId="6" applyFont="1" applyFill="1" applyBorder="1" applyAlignment="1">
      <alignment horizontal="center" vertical="center" wrapText="1"/>
    </xf>
    <xf numFmtId="0" fontId="82" fillId="2" borderId="48" xfId="6" applyFont="1" applyFill="1" applyBorder="1" applyAlignment="1">
      <alignment horizontal="center" vertical="center" wrapText="1"/>
    </xf>
    <xf numFmtId="0" fontId="82" fillId="2" borderId="49" xfId="6" applyFont="1" applyFill="1" applyBorder="1" applyAlignment="1">
      <alignment horizontal="center" vertical="center" wrapText="1"/>
    </xf>
    <xf numFmtId="0" fontId="82" fillId="2" borderId="57" xfId="6" applyFont="1" applyFill="1" applyBorder="1" applyAlignment="1">
      <alignment horizontal="center" vertical="center" wrapText="1"/>
    </xf>
    <xf numFmtId="0" fontId="70" fillId="2" borderId="16" xfId="6" applyNumberFormat="1" applyFont="1" applyFill="1" applyBorder="1" applyAlignment="1">
      <alignment horizontal="center" vertical="center" wrapText="1"/>
    </xf>
    <xf numFmtId="0" fontId="70" fillId="2" borderId="73" xfId="6" applyNumberFormat="1" applyFont="1" applyFill="1" applyBorder="1" applyAlignment="1">
      <alignment horizontal="center" vertical="center" wrapText="1"/>
    </xf>
    <xf numFmtId="0" fontId="70" fillId="2" borderId="33" xfId="6" applyNumberFormat="1" applyFont="1" applyFill="1" applyBorder="1" applyAlignment="1">
      <alignment horizontal="center" vertical="center" wrapText="1"/>
    </xf>
    <xf numFmtId="0" fontId="70" fillId="2" borderId="73" xfId="3" applyFont="1" applyFill="1" applyBorder="1" applyAlignment="1">
      <alignment horizontal="center" vertical="center" wrapText="1"/>
    </xf>
    <xf numFmtId="0" fontId="70" fillId="2" borderId="33" xfId="3" applyFont="1" applyFill="1" applyBorder="1" applyAlignment="1">
      <alignment horizontal="center" vertical="center" wrapText="1"/>
    </xf>
    <xf numFmtId="0" fontId="70" fillId="2" borderId="11" xfId="6" applyFont="1" applyFill="1" applyBorder="1" applyAlignment="1">
      <alignment horizontal="center" vertical="center" wrapText="1"/>
    </xf>
    <xf numFmtId="0" fontId="70" fillId="2" borderId="13" xfId="6" applyFont="1" applyFill="1" applyBorder="1" applyAlignment="1">
      <alignment horizontal="center" vertical="center" wrapText="1"/>
    </xf>
    <xf numFmtId="0" fontId="70" fillId="2" borderId="12" xfId="6" applyFont="1" applyFill="1" applyBorder="1" applyAlignment="1">
      <alignment horizontal="center" vertical="center" wrapText="1"/>
    </xf>
    <xf numFmtId="0" fontId="82" fillId="2" borderId="28" xfId="6" applyFont="1" applyFill="1" applyBorder="1" applyAlignment="1">
      <alignment horizontal="center" vertical="center" wrapText="1"/>
    </xf>
    <xf numFmtId="0" fontId="82" fillId="2" borderId="30" xfId="6" applyFont="1" applyFill="1" applyBorder="1" applyAlignment="1">
      <alignment horizontal="center" vertical="center" wrapText="1"/>
    </xf>
    <xf numFmtId="0" fontId="82" fillId="2" borderId="29" xfId="6" applyFont="1" applyFill="1" applyBorder="1" applyAlignment="1">
      <alignment horizontal="center" vertical="center" wrapText="1"/>
    </xf>
    <xf numFmtId="0" fontId="61" fillId="2" borderId="3" xfId="6" applyFont="1" applyFill="1" applyBorder="1" applyAlignment="1">
      <alignment horizontal="center" vertical="center" wrapText="1"/>
    </xf>
    <xf numFmtId="0" fontId="61" fillId="2" borderId="4" xfId="6" applyFont="1" applyFill="1" applyBorder="1" applyAlignment="1">
      <alignment horizontal="center" vertical="center" wrapText="1"/>
    </xf>
    <xf numFmtId="0" fontId="61" fillId="2" borderId="5" xfId="6" applyFont="1" applyFill="1" applyBorder="1" applyAlignment="1">
      <alignment horizontal="center" vertical="center" wrapText="1"/>
    </xf>
    <xf numFmtId="0" fontId="68" fillId="2" borderId="0" xfId="6" applyNumberFormat="1" applyFont="1" applyFill="1" applyBorder="1" applyAlignment="1">
      <alignment horizontal="center" vertical="center" wrapText="1"/>
    </xf>
    <xf numFmtId="0" fontId="67" fillId="2" borderId="22" xfId="6" applyNumberFormat="1" applyFont="1" applyFill="1" applyBorder="1" applyAlignment="1">
      <alignment horizontal="center" vertical="center" wrapText="1"/>
    </xf>
    <xf numFmtId="0" fontId="67" fillId="2" borderId="0" xfId="6" applyNumberFormat="1" applyFont="1" applyFill="1" applyBorder="1" applyAlignment="1">
      <alignment horizontal="center" vertical="center" wrapText="1"/>
    </xf>
    <xf numFmtId="0" fontId="67" fillId="2" borderId="55" xfId="6" applyNumberFormat="1" applyFont="1" applyFill="1" applyBorder="1" applyAlignment="1">
      <alignment horizontal="center" vertical="center" wrapText="1"/>
    </xf>
    <xf numFmtId="0" fontId="67" fillId="2" borderId="56" xfId="6" applyNumberFormat="1" applyFont="1" applyFill="1" applyBorder="1" applyAlignment="1">
      <alignment horizontal="center" vertical="center" wrapText="1"/>
    </xf>
    <xf numFmtId="0" fontId="70" fillId="2" borderId="3" xfId="6" applyNumberFormat="1" applyFont="1" applyFill="1" applyBorder="1" applyAlignment="1">
      <alignment horizontal="center" vertical="center" wrapText="1"/>
    </xf>
    <xf numFmtId="0" fontId="70" fillId="2" borderId="4" xfId="6" applyNumberFormat="1" applyFont="1" applyFill="1" applyBorder="1" applyAlignment="1">
      <alignment horizontal="center" vertical="center" wrapText="1"/>
    </xf>
    <xf numFmtId="0" fontId="67" fillId="2" borderId="55" xfId="6" applyNumberFormat="1" applyFont="1" applyFill="1" applyBorder="1" applyAlignment="1">
      <alignment horizontal="left" vertical="center" wrapText="1"/>
    </xf>
    <xf numFmtId="0" fontId="67" fillId="2" borderId="56" xfId="6" applyNumberFormat="1" applyFont="1" applyFill="1" applyBorder="1" applyAlignment="1">
      <alignment horizontal="left" vertical="center" wrapText="1"/>
    </xf>
    <xf numFmtId="0" fontId="70" fillId="2" borderId="14" xfId="6" applyFont="1" applyFill="1" applyBorder="1" applyAlignment="1">
      <alignment horizontal="center" vertical="center" wrapText="1"/>
    </xf>
    <xf numFmtId="0" fontId="70" fillId="2" borderId="15" xfId="6" applyFont="1" applyFill="1" applyBorder="1" applyAlignment="1">
      <alignment horizontal="center" vertical="center" wrapText="1"/>
    </xf>
    <xf numFmtId="0" fontId="70" fillId="2" borderId="16" xfId="6" applyFont="1" applyFill="1" applyBorder="1" applyAlignment="1">
      <alignment horizontal="center" vertical="center" wrapText="1"/>
    </xf>
    <xf numFmtId="0" fontId="70" fillId="2" borderId="51" xfId="6" applyNumberFormat="1" applyFont="1" applyFill="1" applyBorder="1" applyAlignment="1">
      <alignment horizontal="center" vertical="center" wrapText="1"/>
    </xf>
    <xf numFmtId="0" fontId="70" fillId="2" borderId="31" xfId="6" applyNumberFormat="1" applyFont="1" applyFill="1" applyBorder="1" applyAlignment="1">
      <alignment horizontal="center" vertical="center" wrapText="1"/>
    </xf>
    <xf numFmtId="0" fontId="70" fillId="2" borderId="52" xfId="3" applyFont="1" applyFill="1" applyBorder="1" applyAlignment="1">
      <alignment horizontal="center" vertical="center" wrapText="1"/>
    </xf>
    <xf numFmtId="0" fontId="70" fillId="2" borderId="32" xfId="3" applyFont="1" applyFill="1" applyBorder="1" applyAlignment="1">
      <alignment horizontal="center" vertical="center" wrapText="1"/>
    </xf>
    <xf numFmtId="0" fontId="70" fillId="2" borderId="47" xfId="6" applyFont="1" applyFill="1" applyBorder="1" applyAlignment="1">
      <alignment horizontal="center" vertical="center" wrapText="1"/>
    </xf>
    <xf numFmtId="0" fontId="70" fillId="2" borderId="45" xfId="6" applyFont="1" applyFill="1" applyBorder="1" applyAlignment="1">
      <alignment horizontal="center" vertical="center" wrapText="1"/>
    </xf>
    <xf numFmtId="0" fontId="70" fillId="2" borderId="46" xfId="6" applyFont="1" applyFill="1" applyBorder="1" applyAlignment="1">
      <alignment horizontal="center" vertical="center" wrapText="1"/>
    </xf>
    <xf numFmtId="0" fontId="68" fillId="6" borderId="48" xfId="6" applyNumberFormat="1" applyFont="1" applyFill="1" applyBorder="1" applyAlignment="1">
      <alignment horizontal="center" vertical="center" wrapText="1"/>
    </xf>
    <xf numFmtId="0" fontId="68" fillId="6" borderId="57" xfId="6" applyNumberFormat="1" applyFont="1" applyFill="1" applyBorder="1" applyAlignment="1">
      <alignment horizontal="center" vertical="center" wrapText="1"/>
    </xf>
    <xf numFmtId="0" fontId="70" fillId="2" borderId="48" xfId="6" applyNumberFormat="1" applyFont="1" applyFill="1" applyBorder="1" applyAlignment="1">
      <alignment horizontal="left" vertical="center" wrapText="1"/>
    </xf>
    <xf numFmtId="0" fontId="70" fillId="2" borderId="49" xfId="6" applyNumberFormat="1" applyFont="1" applyFill="1" applyBorder="1" applyAlignment="1">
      <alignment horizontal="left" vertical="center" wrapText="1"/>
    </xf>
    <xf numFmtId="0" fontId="67" fillId="2" borderId="22" xfId="6" applyNumberFormat="1" applyFont="1" applyFill="1" applyBorder="1" applyAlignment="1">
      <alignment horizontal="left" vertical="center" wrapText="1"/>
    </xf>
    <xf numFmtId="0" fontId="67" fillId="2" borderId="0" xfId="6" applyNumberFormat="1" applyFont="1" applyFill="1" applyBorder="1" applyAlignment="1">
      <alignment horizontal="left" vertical="center" wrapText="1"/>
    </xf>
    <xf numFmtId="0" fontId="70" fillId="2" borderId="48" xfId="6" applyFont="1" applyFill="1" applyBorder="1" applyAlignment="1">
      <alignment horizontal="center" vertical="center" wrapText="1"/>
    </xf>
    <xf numFmtId="0" fontId="70" fillId="2" borderId="49" xfId="6" applyFont="1" applyFill="1" applyBorder="1" applyAlignment="1">
      <alignment horizontal="center" vertical="center" wrapText="1"/>
    </xf>
    <xf numFmtId="0" fontId="70" fillId="2" borderId="57" xfId="6" applyFont="1" applyFill="1" applyBorder="1" applyAlignment="1">
      <alignment horizontal="center" vertical="center" wrapText="1"/>
    </xf>
    <xf numFmtId="0" fontId="60" fillId="2" borderId="56" xfId="6" applyFont="1" applyFill="1" applyBorder="1" applyAlignment="1">
      <alignment horizontal="center" vertical="center" wrapText="1"/>
    </xf>
    <xf numFmtId="0" fontId="4" fillId="0" borderId="0" xfId="9" applyFont="1" applyFill="1" applyAlignment="1">
      <alignment horizontal="center" vertical="center" wrapText="1"/>
    </xf>
    <xf numFmtId="0" fontId="5" fillId="0" borderId="0" xfId="9" applyFont="1" applyFill="1" applyBorder="1" applyAlignment="1">
      <alignment horizontal="center" vertical="center" wrapText="1"/>
    </xf>
    <xf numFmtId="0" fontId="4" fillId="2" borderId="0" xfId="9" applyFont="1" applyFill="1" applyAlignment="1">
      <alignment horizontal="center" vertical="center" wrapText="1"/>
    </xf>
    <xf numFmtId="0" fontId="6" fillId="2" borderId="0" xfId="9" applyFont="1" applyFill="1" applyAlignment="1">
      <alignment horizontal="center" vertical="center" wrapText="1"/>
    </xf>
    <xf numFmtId="0" fontId="7" fillId="0" borderId="0" xfId="9" applyFont="1" applyFill="1" applyAlignment="1">
      <alignment horizontal="center" vertical="center" wrapText="1"/>
    </xf>
    <xf numFmtId="0" fontId="8" fillId="0" borderId="0" xfId="9" applyFont="1" applyFill="1" applyAlignment="1">
      <alignment horizontal="center" vertical="center" wrapText="1"/>
    </xf>
    <xf numFmtId="0" fontId="5" fillId="0" borderId="0" xfId="9" applyFont="1" applyFill="1" applyAlignment="1">
      <alignment horizontal="center" vertical="center" wrapText="1"/>
    </xf>
    <xf numFmtId="0" fontId="9" fillId="0" borderId="0" xfId="9" applyFont="1" applyFill="1" applyAlignment="1">
      <alignment horizontal="center" vertical="center" wrapText="1"/>
    </xf>
    <xf numFmtId="0" fontId="1" fillId="0" borderId="0" xfId="9" applyFill="1"/>
    <xf numFmtId="0" fontId="4" fillId="0" borderId="0" xfId="9" applyFont="1" applyFill="1" applyAlignment="1">
      <alignment horizontal="left" vertical="center"/>
    </xf>
    <xf numFmtId="0" fontId="10" fillId="0" borderId="0" xfId="9" applyFont="1" applyFill="1" applyAlignment="1">
      <alignment horizontal="left" vertical="center"/>
    </xf>
    <xf numFmtId="0" fontId="5" fillId="0" borderId="0" xfId="9" applyFont="1" applyFill="1" applyAlignment="1">
      <alignment horizontal="left" vertical="center"/>
    </xf>
    <xf numFmtId="0" fontId="5" fillId="0" borderId="0" xfId="9" applyFont="1" applyFill="1" applyBorder="1" applyAlignment="1">
      <alignment horizontal="left" vertical="center"/>
    </xf>
    <xf numFmtId="0" fontId="4" fillId="0" borderId="0" xfId="9" applyFont="1" applyFill="1" applyAlignment="1">
      <alignment horizontal="left" vertical="center" wrapText="1"/>
    </xf>
    <xf numFmtId="0" fontId="4" fillId="2" borderId="0" xfId="9" applyFont="1" applyFill="1" applyAlignment="1">
      <alignment horizontal="left" vertical="center"/>
    </xf>
    <xf numFmtId="0" fontId="6" fillId="2" borderId="0" xfId="9" applyFont="1" applyFill="1" applyAlignment="1">
      <alignment horizontal="left" vertical="center"/>
    </xf>
    <xf numFmtId="0" fontId="7" fillId="0" borderId="0" xfId="9" applyFont="1" applyFill="1" applyAlignment="1">
      <alignment horizontal="left" vertical="center"/>
    </xf>
    <xf numFmtId="0" fontId="8" fillId="0" borderId="0" xfId="9" applyFont="1" applyFill="1" applyAlignment="1">
      <alignment horizontal="left" vertical="center"/>
    </xf>
    <xf numFmtId="0" fontId="11" fillId="0" borderId="0" xfId="9" applyFont="1" applyFill="1" applyAlignment="1">
      <alignment horizontal="left" vertical="center"/>
    </xf>
    <xf numFmtId="0" fontId="10" fillId="0" borderId="0" xfId="9" applyFont="1" applyFill="1" applyAlignment="1">
      <alignment horizontal="right" vertical="center"/>
    </xf>
    <xf numFmtId="0" fontId="5" fillId="0" borderId="0" xfId="9" applyFont="1" applyFill="1" applyAlignment="1">
      <alignment horizontal="right" vertical="center"/>
    </xf>
    <xf numFmtId="0" fontId="9" fillId="0" borderId="0" xfId="9" applyFont="1" applyFill="1" applyAlignment="1">
      <alignment horizontal="left" vertical="center"/>
    </xf>
    <xf numFmtId="0" fontId="12" fillId="0" borderId="0" xfId="9" applyFont="1" applyFill="1" applyAlignment="1">
      <alignment horizontal="left" vertical="center"/>
    </xf>
    <xf numFmtId="0" fontId="13" fillId="0" borderId="0" xfId="9" applyFont="1" applyFill="1" applyAlignment="1">
      <alignment horizontal="left" vertical="center"/>
    </xf>
    <xf numFmtId="0" fontId="12" fillId="0" borderId="0" xfId="9" applyFont="1" applyFill="1" applyAlignment="1">
      <alignment horizontal="right" vertical="center"/>
    </xf>
    <xf numFmtId="0" fontId="13" fillId="0" borderId="0" xfId="9" applyFont="1" applyFill="1" applyAlignment="1">
      <alignment horizontal="right" vertical="center"/>
    </xf>
    <xf numFmtId="0" fontId="5" fillId="0" borderId="0" xfId="9" applyFont="1" applyFill="1" applyAlignment="1">
      <alignment horizontal="left" vertical="center" wrapText="1"/>
    </xf>
    <xf numFmtId="0" fontId="15" fillId="0" borderId="0" xfId="9" applyFont="1" applyFill="1" applyAlignment="1" applyProtection="1">
      <alignment horizontal="left" vertical="center"/>
    </xf>
    <xf numFmtId="0" fontId="16" fillId="0" borderId="0" xfId="9" applyFont="1" applyFill="1" applyAlignment="1" applyProtection="1">
      <alignment horizontal="left" vertical="center"/>
    </xf>
    <xf numFmtId="0" fontId="11" fillId="0" borderId="0" xfId="9" applyFont="1" applyFill="1" applyAlignment="1" applyProtection="1">
      <alignment horizontal="left" vertical="center"/>
    </xf>
    <xf numFmtId="0" fontId="5" fillId="2" borderId="0" xfId="9" applyFont="1" applyFill="1" applyAlignment="1">
      <alignment horizontal="left" vertical="center"/>
    </xf>
    <xf numFmtId="0" fontId="13" fillId="0" borderId="0" xfId="9" applyFont="1" applyFill="1" applyBorder="1" applyAlignment="1">
      <alignment horizontal="left" vertical="center"/>
    </xf>
    <xf numFmtId="0" fontId="13" fillId="0" borderId="0" xfId="9" applyFont="1" applyFill="1" applyAlignment="1">
      <alignment vertical="center"/>
    </xf>
    <xf numFmtId="0" fontId="11" fillId="0" borderId="0" xfId="9" applyFont="1" applyFill="1" applyAlignment="1">
      <alignment vertical="center"/>
    </xf>
    <xf numFmtId="0" fontId="17" fillId="0" borderId="0" xfId="9" applyFont="1" applyFill="1" applyAlignment="1" applyProtection="1">
      <alignment horizontal="right" vertical="center"/>
    </xf>
    <xf numFmtId="0" fontId="15" fillId="0" borderId="0" xfId="9" applyFont="1" applyFill="1" applyAlignment="1" applyProtection="1">
      <alignment horizontal="right" vertical="center"/>
    </xf>
    <xf numFmtId="0" fontId="12" fillId="0" borderId="0" xfId="9" applyFont="1" applyFill="1" applyAlignment="1">
      <alignment vertical="center"/>
    </xf>
    <xf numFmtId="0" fontId="13" fillId="0" borderId="0" xfId="9" applyFont="1" applyFill="1" applyAlignment="1">
      <alignment vertical="center" wrapText="1"/>
    </xf>
    <xf numFmtId="0" fontId="13" fillId="0" borderId="0" xfId="10" applyFont="1" applyFill="1" applyAlignment="1">
      <alignment horizontal="left" vertical="center"/>
    </xf>
    <xf numFmtId="0" fontId="5" fillId="0" borderId="0" xfId="9" applyFont="1" applyFill="1" applyAlignment="1">
      <alignment vertical="center"/>
    </xf>
    <xf numFmtId="0" fontId="13" fillId="0" borderId="0" xfId="9" applyFont="1" applyFill="1" applyAlignment="1">
      <alignment horizontal="center" vertical="center" wrapText="1"/>
    </xf>
    <xf numFmtId="0" fontId="13" fillId="0" borderId="0" xfId="10" applyFont="1" applyFill="1" applyAlignment="1">
      <alignment horizontal="center" vertical="center" wrapText="1"/>
    </xf>
    <xf numFmtId="0" fontId="11" fillId="0" borderId="0" xfId="9" applyFont="1" applyFill="1" applyAlignment="1">
      <alignment vertical="center" wrapText="1"/>
    </xf>
    <xf numFmtId="0" fontId="4" fillId="0" borderId="0" xfId="9" applyFont="1" applyFill="1" applyAlignment="1">
      <alignment horizontal="right" vertical="center" wrapText="1"/>
    </xf>
    <xf numFmtId="0" fontId="19" fillId="0" borderId="0" xfId="9" applyFont="1" applyFill="1" applyAlignment="1">
      <alignment horizontal="center" vertical="center" wrapText="1"/>
    </xf>
    <xf numFmtId="0" fontId="12" fillId="0" borderId="0" xfId="9" applyFont="1" applyFill="1" applyAlignment="1">
      <alignment horizontal="center" vertical="center" wrapText="1"/>
    </xf>
    <xf numFmtId="0" fontId="20" fillId="0" borderId="0" xfId="9" applyFont="1" applyFill="1" applyAlignment="1">
      <alignment horizontal="center" vertical="center" wrapText="1"/>
    </xf>
    <xf numFmtId="0" fontId="5" fillId="0" borderId="0" xfId="9" applyFont="1" applyFill="1" applyAlignment="1">
      <alignment vertical="center" wrapText="1"/>
    </xf>
    <xf numFmtId="0" fontId="9" fillId="0" borderId="0" xfId="9" applyFont="1" applyFill="1" applyAlignment="1">
      <alignment vertical="center" wrapText="1"/>
    </xf>
    <xf numFmtId="0" fontId="7" fillId="0" borderId="0" xfId="9" applyFont="1" applyFill="1" applyAlignment="1">
      <alignment vertical="center" wrapText="1"/>
    </xf>
    <xf numFmtId="0" fontId="5" fillId="0" borderId="0" xfId="9" applyFont="1" applyFill="1" applyAlignment="1">
      <alignment horizontal="center" vertical="center" wrapText="1"/>
    </xf>
    <xf numFmtId="0" fontId="5" fillId="2" borderId="0" xfId="9" applyFont="1" applyFill="1" applyAlignment="1">
      <alignment horizontal="center" vertical="center" wrapText="1"/>
    </xf>
    <xf numFmtId="0" fontId="6" fillId="2" borderId="0" xfId="9" applyFont="1" applyFill="1" applyAlignment="1">
      <alignment horizontal="center" vertical="center" wrapText="1"/>
    </xf>
    <xf numFmtId="0" fontId="13" fillId="0" borderId="0" xfId="9" applyFont="1" applyFill="1" applyAlignment="1">
      <alignment horizontal="center" vertical="center" wrapText="1"/>
    </xf>
    <xf numFmtId="0" fontId="21" fillId="0" borderId="0" xfId="9" applyFont="1" applyFill="1" applyAlignment="1">
      <alignment horizontal="center" vertical="center" wrapText="1"/>
    </xf>
    <xf numFmtId="0" fontId="7" fillId="2" borderId="0" xfId="9" applyFont="1" applyFill="1" applyAlignment="1">
      <alignment horizontal="center" vertical="center" wrapText="1"/>
    </xf>
    <xf numFmtId="0" fontId="8" fillId="2" borderId="0" xfId="9" applyFont="1" applyFill="1" applyAlignment="1">
      <alignment horizontal="center" vertical="center" wrapText="1"/>
    </xf>
    <xf numFmtId="0" fontId="4" fillId="0" borderId="1" xfId="9" applyFont="1" applyFill="1" applyBorder="1" applyAlignment="1">
      <alignment horizontal="center" vertical="center" wrapText="1"/>
    </xf>
    <xf numFmtId="0" fontId="4" fillId="0" borderId="2" xfId="9" applyFont="1" applyFill="1" applyBorder="1" applyAlignment="1">
      <alignment horizontal="center" vertical="center" wrapText="1"/>
    </xf>
    <xf numFmtId="0" fontId="6" fillId="2" borderId="1" xfId="9" applyFont="1" applyFill="1" applyBorder="1" applyAlignment="1" applyProtection="1">
      <alignment horizontal="center" vertical="center" wrapText="1"/>
    </xf>
    <xf numFmtId="0" fontId="13" fillId="2" borderId="6" xfId="9" applyFont="1" applyFill="1" applyBorder="1" applyAlignment="1" applyProtection="1">
      <alignment horizontal="center" vertical="center" wrapText="1"/>
    </xf>
    <xf numFmtId="0" fontId="21" fillId="2" borderId="6" xfId="9" applyFont="1" applyFill="1" applyBorder="1" applyAlignment="1" applyProtection="1">
      <alignment horizontal="center" vertical="center" wrapText="1"/>
    </xf>
    <xf numFmtId="0" fontId="13" fillId="0" borderId="6" xfId="9" applyFont="1" applyFill="1" applyBorder="1" applyAlignment="1" applyProtection="1">
      <alignment horizontal="center" vertical="center" wrapText="1"/>
    </xf>
    <xf numFmtId="0" fontId="13" fillId="2" borderId="2" xfId="9" applyFont="1" applyFill="1" applyBorder="1" applyAlignment="1" applyProtection="1">
      <alignment horizontal="center" vertical="center" wrapText="1"/>
    </xf>
    <xf numFmtId="0" fontId="16" fillId="0" borderId="1" xfId="9" applyFont="1" applyFill="1" applyBorder="1" applyAlignment="1" applyProtection="1">
      <alignment horizontal="center" vertical="center" wrapText="1"/>
    </xf>
    <xf numFmtId="0" fontId="16" fillId="0" borderId="6" xfId="9" applyFont="1" applyFill="1" applyBorder="1" applyAlignment="1" applyProtection="1">
      <alignment horizontal="center" vertical="center" wrapText="1"/>
    </xf>
    <xf numFmtId="0" fontId="16" fillId="0" borderId="2" xfId="9" applyFont="1" applyFill="1" applyBorder="1" applyAlignment="1" applyProtection="1">
      <alignment horizontal="center" vertical="center" wrapText="1"/>
    </xf>
    <xf numFmtId="0" fontId="16" fillId="0" borderId="8" xfId="9" applyFont="1" applyFill="1" applyBorder="1" applyAlignment="1" applyProtection="1">
      <alignment horizontal="center" vertical="center" wrapText="1"/>
    </xf>
    <xf numFmtId="0" fontId="16" fillId="0" borderId="1" xfId="9" applyFont="1" applyFill="1" applyBorder="1" applyAlignment="1" applyProtection="1">
      <alignment horizontal="center" vertical="center" wrapText="1"/>
    </xf>
    <xf numFmtId="0" fontId="16" fillId="0" borderId="2" xfId="9" applyFont="1" applyFill="1" applyBorder="1" applyAlignment="1" applyProtection="1">
      <alignment horizontal="center" vertical="center" wrapText="1"/>
    </xf>
    <xf numFmtId="0" fontId="16" fillId="0" borderId="10" xfId="9" applyFont="1" applyFill="1" applyBorder="1" applyAlignment="1">
      <alignment horizontal="center" vertical="center" wrapText="1"/>
    </xf>
    <xf numFmtId="0" fontId="16" fillId="0" borderId="3" xfId="9" applyFont="1" applyFill="1" applyBorder="1" applyAlignment="1">
      <alignment horizontal="center" vertical="center" wrapText="1"/>
    </xf>
    <xf numFmtId="165" fontId="16" fillId="0" borderId="6" xfId="9" applyNumberFormat="1" applyFont="1" applyFill="1" applyBorder="1" applyAlignment="1" applyProtection="1">
      <alignment horizontal="center" vertical="center" wrapText="1"/>
    </xf>
    <xf numFmtId="0" fontId="16" fillId="0" borderId="6" xfId="9" applyFont="1" applyFill="1" applyBorder="1" applyAlignment="1" applyProtection="1">
      <alignment horizontal="center" vertical="center" wrapText="1"/>
    </xf>
    <xf numFmtId="1" fontId="16" fillId="0" borderId="6" xfId="9" applyNumberFormat="1" applyFont="1" applyFill="1" applyBorder="1" applyAlignment="1" applyProtection="1">
      <alignment horizontal="center" vertical="center" wrapText="1"/>
    </xf>
    <xf numFmtId="0" fontId="16" fillId="0" borderId="6" xfId="9" applyNumberFormat="1" applyFont="1" applyFill="1" applyBorder="1" applyAlignment="1" applyProtection="1">
      <alignment horizontal="center" vertical="center" wrapText="1"/>
    </xf>
    <xf numFmtId="0" fontId="13" fillId="0" borderId="6" xfId="9" applyFont="1" applyFill="1" applyBorder="1" applyAlignment="1">
      <alignment horizontal="center" vertical="center" wrapText="1"/>
    </xf>
    <xf numFmtId="49" fontId="16" fillId="0" borderId="6" xfId="9" applyNumberFormat="1" applyFont="1" applyFill="1" applyBorder="1" applyAlignment="1" applyProtection="1">
      <alignment horizontal="center" vertical="center" wrapText="1"/>
    </xf>
    <xf numFmtId="49" fontId="16" fillId="0" borderId="2" xfId="9" applyNumberFormat="1" applyFont="1" applyFill="1" applyBorder="1" applyAlignment="1" applyProtection="1">
      <alignment horizontal="center" vertical="center" wrapText="1"/>
    </xf>
    <xf numFmtId="0" fontId="16" fillId="0" borderId="7" xfId="9" applyFont="1" applyFill="1" applyBorder="1" applyAlignment="1">
      <alignment horizontal="center" vertical="center" wrapText="1"/>
    </xf>
    <xf numFmtId="0" fontId="16" fillId="0" borderId="8" xfId="9" applyFont="1" applyFill="1" applyBorder="1" applyAlignment="1">
      <alignment horizontal="center" vertical="center" wrapText="1"/>
    </xf>
    <xf numFmtId="0" fontId="16" fillId="0" borderId="0" xfId="9" applyFont="1" applyFill="1" applyAlignment="1">
      <alignment horizontal="center" vertical="center" wrapText="1"/>
    </xf>
    <xf numFmtId="0" fontId="22" fillId="0" borderId="13" xfId="9" applyFont="1" applyFill="1" applyBorder="1" applyAlignment="1">
      <alignment horizontal="center" vertical="center" wrapText="1"/>
    </xf>
    <xf numFmtId="0" fontId="28" fillId="0" borderId="19" xfId="9" applyFont="1" applyFill="1" applyBorder="1" applyAlignment="1">
      <alignment horizontal="center" vertical="center" wrapText="1"/>
    </xf>
    <xf numFmtId="17" fontId="28" fillId="0" borderId="20" xfId="9" applyNumberFormat="1" applyFont="1" applyFill="1" applyBorder="1" applyAlignment="1">
      <alignment horizontal="center" vertical="center" wrapText="1"/>
    </xf>
    <xf numFmtId="0" fontId="28" fillId="0" borderId="20" xfId="9" applyFont="1" applyFill="1" applyBorder="1" applyAlignment="1">
      <alignment horizontal="center" vertical="center" wrapText="1"/>
    </xf>
    <xf numFmtId="165" fontId="28" fillId="0" borderId="13" xfId="9" applyNumberFormat="1" applyFont="1" applyFill="1" applyBorder="1" applyAlignment="1" applyProtection="1">
      <alignment horizontal="center" vertical="center" wrapText="1"/>
    </xf>
    <xf numFmtId="49" fontId="28" fillId="0" borderId="13" xfId="9" applyNumberFormat="1" applyFont="1" applyFill="1" applyBorder="1" applyAlignment="1" applyProtection="1">
      <alignment horizontal="center" vertical="center" wrapText="1"/>
    </xf>
    <xf numFmtId="49" fontId="28" fillId="0" borderId="21" xfId="9" applyNumberFormat="1" applyFont="1" applyFill="1" applyBorder="1" applyAlignment="1" applyProtection="1">
      <alignment horizontal="center" vertical="center" wrapText="1"/>
    </xf>
    <xf numFmtId="0" fontId="28" fillId="0" borderId="7" xfId="9" applyFont="1" applyFill="1" applyBorder="1" applyAlignment="1">
      <alignment horizontal="center" vertical="center" wrapText="1"/>
    </xf>
    <xf numFmtId="0" fontId="28" fillId="0" borderId="8" xfId="9" applyFont="1" applyFill="1" applyBorder="1" applyAlignment="1">
      <alignment horizontal="center" vertical="center" wrapText="1"/>
    </xf>
    <xf numFmtId="0" fontId="28" fillId="0" borderId="0" xfId="9" applyFont="1" applyFill="1" applyAlignment="1">
      <alignment horizontal="center" vertical="center" wrapText="1"/>
    </xf>
    <xf numFmtId="0" fontId="29" fillId="0" borderId="22" xfId="9" applyNumberFormat="1" applyFont="1" applyFill="1" applyBorder="1" applyAlignment="1" applyProtection="1">
      <alignment horizontal="center" vertical="center" wrapText="1"/>
    </xf>
    <xf numFmtId="0" fontId="29" fillId="0" borderId="8" xfId="9" applyNumberFormat="1" applyFont="1" applyFill="1" applyBorder="1" applyAlignment="1">
      <alignment horizontal="center" vertical="center" wrapText="1"/>
    </xf>
    <xf numFmtId="0" fontId="29" fillId="0" borderId="8" xfId="9" applyFont="1" applyFill="1" applyBorder="1" applyAlignment="1">
      <alignment horizontal="center" vertical="center" wrapText="1"/>
    </xf>
    <xf numFmtId="0" fontId="29" fillId="0" borderId="25" xfId="9" applyNumberFormat="1" applyFont="1" applyFill="1" applyBorder="1" applyAlignment="1" applyProtection="1">
      <alignment horizontal="center" vertical="center" wrapText="1"/>
    </xf>
    <xf numFmtId="0" fontId="29" fillId="0" borderId="26" xfId="9" applyNumberFormat="1" applyFont="1" applyFill="1" applyBorder="1" applyAlignment="1" applyProtection="1">
      <alignment horizontal="center" vertical="center" wrapText="1"/>
    </xf>
    <xf numFmtId="0" fontId="29" fillId="0" borderId="23" xfId="9" applyNumberFormat="1" applyFont="1" applyFill="1" applyBorder="1" applyAlignment="1" applyProtection="1">
      <alignment horizontal="center" vertical="center" wrapText="1"/>
    </xf>
    <xf numFmtId="0" fontId="29" fillId="0" borderId="8" xfId="9" applyNumberFormat="1" applyFont="1" applyFill="1" applyBorder="1" applyAlignment="1" applyProtection="1">
      <alignment horizontal="center" vertical="center" wrapText="1"/>
    </xf>
    <xf numFmtId="0" fontId="29" fillId="0" borderId="27" xfId="9" applyNumberFormat="1" applyFont="1" applyFill="1" applyBorder="1" applyAlignment="1" applyProtection="1">
      <alignment horizontal="center" vertical="center" wrapText="1"/>
    </xf>
    <xf numFmtId="0" fontId="29" fillId="0" borderId="7" xfId="9" applyNumberFormat="1" applyFont="1" applyFill="1" applyBorder="1" applyAlignment="1" applyProtection="1">
      <alignment horizontal="center" vertical="center" wrapText="1"/>
    </xf>
    <xf numFmtId="0" fontId="29" fillId="0" borderId="0" xfId="9" applyNumberFormat="1" applyFont="1" applyFill="1" applyAlignment="1">
      <alignment horizontal="center" vertical="center" wrapText="1"/>
    </xf>
    <xf numFmtId="0" fontId="34" fillId="0" borderId="22" xfId="9" applyNumberFormat="1" applyFont="1" applyFill="1" applyBorder="1" applyAlignment="1" applyProtection="1">
      <alignment horizontal="center" vertical="center" wrapText="1"/>
    </xf>
    <xf numFmtId="0" fontId="34" fillId="0" borderId="30" xfId="9" applyNumberFormat="1" applyFont="1" applyFill="1" applyBorder="1" applyAlignment="1">
      <alignment horizontal="center" vertical="center" wrapText="1"/>
    </xf>
    <xf numFmtId="0" fontId="34" fillId="0" borderId="33" xfId="9" applyNumberFormat="1" applyFont="1" applyFill="1" applyBorder="1" applyAlignment="1" applyProtection="1">
      <alignment horizontal="center" vertical="center" wrapText="1"/>
    </xf>
    <xf numFmtId="0" fontId="34" fillId="0" borderId="34" xfId="9" applyNumberFormat="1" applyFont="1" applyFill="1" applyBorder="1" applyAlignment="1" applyProtection="1">
      <alignment horizontal="center" vertical="center" wrapText="1"/>
    </xf>
    <xf numFmtId="0" fontId="34" fillId="0" borderId="28" xfId="9" applyNumberFormat="1" applyFont="1" applyFill="1" applyBorder="1" applyAlignment="1" applyProtection="1">
      <alignment horizontal="center" vertical="center" wrapText="1"/>
    </xf>
    <xf numFmtId="0" fontId="34" fillId="0" borderId="30" xfId="9" applyNumberFormat="1" applyFont="1" applyFill="1" applyBorder="1" applyAlignment="1" applyProtection="1">
      <alignment horizontal="center" vertical="center" wrapText="1"/>
    </xf>
    <xf numFmtId="0" fontId="34" fillId="0" borderId="35" xfId="9" applyNumberFormat="1" applyFont="1" applyFill="1" applyBorder="1" applyAlignment="1" applyProtection="1">
      <alignment horizontal="center" vertical="center" wrapText="1"/>
    </xf>
    <xf numFmtId="0" fontId="34" fillId="0" borderId="7" xfId="9" applyNumberFormat="1" applyFont="1" applyFill="1" applyBorder="1" applyAlignment="1" applyProtection="1">
      <alignment horizontal="center" vertical="center" wrapText="1"/>
    </xf>
    <xf numFmtId="0" fontId="34" fillId="0" borderId="8" xfId="9" applyNumberFormat="1" applyFont="1" applyFill="1" applyBorder="1" applyAlignment="1" applyProtection="1">
      <alignment horizontal="center" vertical="center" wrapText="1"/>
    </xf>
    <xf numFmtId="0" fontId="34" fillId="0" borderId="0" xfId="9" applyNumberFormat="1" applyFont="1" applyFill="1" applyAlignment="1">
      <alignment horizontal="center" vertical="center" wrapText="1"/>
    </xf>
    <xf numFmtId="0" fontId="38" fillId="0" borderId="22" xfId="9" applyFont="1" applyFill="1" applyBorder="1" applyAlignment="1" applyProtection="1">
      <alignment horizontal="center" vertical="center" wrapText="1"/>
    </xf>
    <xf numFmtId="0" fontId="38" fillId="0" borderId="13" xfId="9" applyFont="1" applyFill="1" applyBorder="1" applyAlignment="1">
      <alignment horizontal="center" vertical="center" wrapText="1"/>
    </xf>
    <xf numFmtId="1" fontId="38" fillId="0" borderId="13" xfId="9" applyNumberFormat="1" applyFont="1" applyFill="1" applyBorder="1" applyAlignment="1" applyProtection="1">
      <alignment horizontal="center" vertical="center" wrapText="1"/>
    </xf>
    <xf numFmtId="1" fontId="38" fillId="0" borderId="17" xfId="9" applyNumberFormat="1" applyFont="1" applyFill="1" applyBorder="1" applyAlignment="1" applyProtection="1">
      <alignment horizontal="center" vertical="center" wrapText="1"/>
    </xf>
    <xf numFmtId="165" fontId="38" fillId="0" borderId="13" xfId="9" applyNumberFormat="1" applyFont="1" applyFill="1" applyBorder="1" applyAlignment="1" applyProtection="1">
      <alignment horizontal="center" vertical="center" wrapText="1"/>
    </xf>
    <xf numFmtId="167" fontId="38" fillId="0" borderId="11" xfId="9" applyNumberFormat="1" applyFont="1" applyFill="1" applyBorder="1" applyAlignment="1" applyProtection="1">
      <alignment horizontal="center" vertical="center" wrapText="1"/>
    </xf>
    <xf numFmtId="167" fontId="38" fillId="0" borderId="13" xfId="9" applyNumberFormat="1" applyFont="1" applyFill="1" applyBorder="1" applyAlignment="1" applyProtection="1">
      <alignment horizontal="center" vertical="center" wrapText="1"/>
    </xf>
    <xf numFmtId="165" fontId="39" fillId="0" borderId="13" xfId="9" applyNumberFormat="1" applyFont="1" applyFill="1" applyBorder="1" applyAlignment="1">
      <alignment horizontal="center" vertical="center" wrapText="1"/>
    </xf>
    <xf numFmtId="0" fontId="39" fillId="0" borderId="13" xfId="9" applyFont="1" applyFill="1" applyBorder="1" applyAlignment="1">
      <alignment horizontal="center" vertical="center" wrapText="1"/>
    </xf>
    <xf numFmtId="0" fontId="34" fillId="0" borderId="13" xfId="9" applyFont="1" applyFill="1" applyBorder="1" applyAlignment="1" applyProtection="1">
      <alignment horizontal="center" vertical="center" wrapText="1"/>
    </xf>
    <xf numFmtId="0" fontId="38" fillId="0" borderId="13" xfId="9" applyNumberFormat="1" applyFont="1" applyFill="1" applyBorder="1" applyAlignment="1" applyProtection="1">
      <alignment horizontal="center" vertical="center" wrapText="1"/>
    </xf>
    <xf numFmtId="0" fontId="38" fillId="0" borderId="13" xfId="9" applyFont="1" applyFill="1" applyBorder="1" applyAlignment="1" applyProtection="1">
      <alignment horizontal="center" vertical="center" wrapText="1"/>
    </xf>
    <xf numFmtId="0" fontId="38" fillId="0" borderId="12" xfId="9" applyFont="1" applyFill="1" applyBorder="1" applyAlignment="1" applyProtection="1">
      <alignment horizontal="center" vertical="center" wrapText="1"/>
    </xf>
    <xf numFmtId="165" fontId="38" fillId="0" borderId="7" xfId="9" applyNumberFormat="1" applyFont="1" applyFill="1" applyBorder="1" applyAlignment="1" applyProtection="1">
      <alignment horizontal="center" vertical="center" wrapText="1"/>
    </xf>
    <xf numFmtId="165" fontId="38" fillId="0" borderId="8" xfId="9" applyNumberFormat="1" applyFont="1" applyFill="1" applyBorder="1" applyAlignment="1" applyProtection="1">
      <alignment horizontal="center" vertical="center" wrapText="1"/>
    </xf>
    <xf numFmtId="1" fontId="38" fillId="0" borderId="8" xfId="9" applyNumberFormat="1" applyFont="1" applyFill="1" applyBorder="1" applyAlignment="1" applyProtection="1">
      <alignment horizontal="center" vertical="center" wrapText="1"/>
    </xf>
    <xf numFmtId="1" fontId="1" fillId="0" borderId="0" xfId="9" applyNumberFormat="1" applyFill="1"/>
    <xf numFmtId="0" fontId="38" fillId="0" borderId="0" xfId="9" applyFont="1" applyFill="1" applyAlignment="1">
      <alignment horizontal="center" vertical="center" wrapText="1"/>
    </xf>
    <xf numFmtId="1" fontId="38" fillId="0" borderId="0" xfId="9" applyNumberFormat="1" applyFont="1" applyFill="1" applyAlignment="1">
      <alignment horizontal="center" vertical="center" wrapText="1"/>
    </xf>
    <xf numFmtId="2" fontId="38" fillId="0" borderId="0" xfId="9" applyNumberFormat="1" applyFont="1" applyFill="1" applyAlignment="1">
      <alignment horizontal="center" vertical="center" wrapText="1"/>
    </xf>
    <xf numFmtId="166" fontId="38" fillId="0" borderId="0" xfId="9" applyNumberFormat="1" applyFont="1" applyFill="1" applyAlignment="1">
      <alignment horizontal="center" vertical="center" wrapText="1"/>
    </xf>
    <xf numFmtId="165" fontId="38" fillId="0" borderId="0" xfId="9" applyNumberFormat="1" applyFont="1" applyFill="1" applyAlignment="1">
      <alignment horizontal="center" vertical="center" wrapText="1"/>
    </xf>
    <xf numFmtId="1" fontId="38" fillId="0" borderId="7" xfId="9" applyNumberFormat="1" applyFont="1" applyFill="1" applyBorder="1" applyAlignment="1" applyProtection="1">
      <alignment horizontal="center" vertical="center" wrapText="1"/>
    </xf>
    <xf numFmtId="167" fontId="38" fillId="0" borderId="23" xfId="9" applyNumberFormat="1" applyFont="1" applyFill="1" applyBorder="1" applyAlignment="1" applyProtection="1">
      <alignment horizontal="center" vertical="center" wrapText="1"/>
    </xf>
    <xf numFmtId="167" fontId="38" fillId="0" borderId="8" xfId="9" applyNumberFormat="1" applyFont="1" applyFill="1" applyBorder="1" applyAlignment="1" applyProtection="1">
      <alignment horizontal="center" vertical="center" wrapText="1"/>
    </xf>
    <xf numFmtId="165" fontId="39" fillId="0" borderId="8" xfId="9" applyNumberFormat="1" applyFont="1" applyFill="1" applyBorder="1" applyAlignment="1">
      <alignment horizontal="center" vertical="center" wrapText="1"/>
    </xf>
    <xf numFmtId="0" fontId="39" fillId="0" borderId="8" xfId="9" applyFont="1" applyFill="1" applyBorder="1" applyAlignment="1">
      <alignment horizontal="center" vertical="center" wrapText="1"/>
    </xf>
    <xf numFmtId="0" fontId="34" fillId="0" borderId="8" xfId="9" applyFont="1" applyFill="1" applyBorder="1" applyAlignment="1" applyProtection="1">
      <alignment horizontal="center" vertical="center" wrapText="1"/>
    </xf>
    <xf numFmtId="0" fontId="38" fillId="0" borderId="8" xfId="9" applyNumberFormat="1" applyFont="1" applyFill="1" applyBorder="1" applyAlignment="1" applyProtection="1">
      <alignment horizontal="center" vertical="center" wrapText="1"/>
    </xf>
    <xf numFmtId="0" fontId="38" fillId="0" borderId="8" xfId="9" applyFont="1" applyFill="1" applyBorder="1" applyAlignment="1" applyProtection="1">
      <alignment horizontal="center" vertical="center" wrapText="1"/>
    </xf>
    <xf numFmtId="0" fontId="38" fillId="0" borderId="24" xfId="9" applyFont="1" applyFill="1" applyBorder="1" applyAlignment="1" applyProtection="1">
      <alignment horizontal="center" vertical="center" wrapText="1"/>
    </xf>
    <xf numFmtId="167" fontId="34" fillId="0" borderId="23" xfId="9" applyNumberFormat="1" applyFont="1" applyFill="1" applyBorder="1" applyAlignment="1" applyProtection="1">
      <alignment horizontal="center" vertical="center" wrapText="1"/>
    </xf>
    <xf numFmtId="167" fontId="34" fillId="0" borderId="8" xfId="9" applyNumberFormat="1" applyFont="1" applyFill="1" applyBorder="1" applyAlignment="1" applyProtection="1">
      <alignment horizontal="center" vertical="center" wrapText="1"/>
    </xf>
    <xf numFmtId="165" fontId="34" fillId="0" borderId="8" xfId="9" applyNumberFormat="1" applyFont="1" applyFill="1" applyBorder="1" applyAlignment="1" applyProtection="1">
      <alignment horizontal="center" vertical="center" wrapText="1"/>
    </xf>
    <xf numFmtId="168" fontId="38" fillId="0" borderId="0" xfId="9" applyNumberFormat="1" applyFont="1" applyFill="1" applyAlignment="1">
      <alignment horizontal="center" vertical="center" wrapText="1"/>
    </xf>
    <xf numFmtId="0" fontId="34" fillId="0" borderId="22" xfId="9" applyFont="1" applyFill="1" applyBorder="1" applyAlignment="1" applyProtection="1">
      <alignment horizontal="center" vertical="center" wrapText="1"/>
    </xf>
    <xf numFmtId="1" fontId="34" fillId="0" borderId="8" xfId="9" applyNumberFormat="1" applyFont="1" applyFill="1" applyBorder="1" applyAlignment="1" applyProtection="1">
      <alignment horizontal="center" vertical="center" wrapText="1"/>
    </xf>
    <xf numFmtId="1" fontId="34" fillId="0" borderId="7" xfId="9" applyNumberFormat="1" applyFont="1" applyFill="1" applyBorder="1" applyAlignment="1" applyProtection="1">
      <alignment horizontal="center" vertical="center" wrapText="1"/>
    </xf>
    <xf numFmtId="165" fontId="34" fillId="0" borderId="8" xfId="9" applyNumberFormat="1" applyFont="1" applyFill="1" applyBorder="1" applyAlignment="1">
      <alignment horizontal="center" vertical="center" wrapText="1"/>
    </xf>
    <xf numFmtId="0" fontId="34" fillId="0" borderId="8" xfId="9" applyFont="1" applyFill="1" applyBorder="1" applyAlignment="1">
      <alignment horizontal="center" vertical="center" wrapText="1"/>
    </xf>
    <xf numFmtId="0" fontId="34" fillId="0" borderId="24" xfId="9" applyFont="1" applyFill="1" applyBorder="1" applyAlignment="1" applyProtection="1">
      <alignment horizontal="center" vertical="center" wrapText="1"/>
    </xf>
    <xf numFmtId="0" fontId="34" fillId="0" borderId="0" xfId="9" applyFont="1" applyFill="1" applyAlignment="1">
      <alignment horizontal="center" vertical="center" wrapText="1"/>
    </xf>
    <xf numFmtId="0" fontId="38" fillId="0" borderId="24" xfId="9" applyFont="1" applyFill="1" applyBorder="1" applyAlignment="1">
      <alignment horizontal="center" vertical="center" wrapText="1"/>
    </xf>
    <xf numFmtId="2" fontId="38" fillId="0" borderId="8" xfId="9" applyNumberFormat="1" applyFont="1" applyFill="1" applyBorder="1" applyAlignment="1" applyProtection="1">
      <alignment horizontal="center" vertical="center" wrapText="1"/>
    </xf>
    <xf numFmtId="0" fontId="38" fillId="0" borderId="36" xfId="9" applyFont="1" applyFill="1" applyBorder="1" applyAlignment="1">
      <alignment horizontal="center" vertical="center" wrapText="1"/>
    </xf>
    <xf numFmtId="1" fontId="38" fillId="0" borderId="0" xfId="9" applyNumberFormat="1" applyFont="1" applyFill="1" applyBorder="1" applyAlignment="1">
      <alignment horizontal="center" vertical="center" wrapText="1"/>
    </xf>
    <xf numFmtId="2" fontId="38" fillId="0" borderId="0" xfId="9" applyNumberFormat="1" applyFont="1" applyFill="1" applyBorder="1" applyAlignment="1">
      <alignment horizontal="center" vertical="center" wrapText="1"/>
    </xf>
    <xf numFmtId="0" fontId="38" fillId="0" borderId="0" xfId="9" applyFont="1" applyFill="1" applyBorder="1" applyAlignment="1">
      <alignment horizontal="center" vertical="center" wrapText="1"/>
    </xf>
    <xf numFmtId="166" fontId="38" fillId="0" borderId="0" xfId="9" applyNumberFormat="1" applyFont="1" applyFill="1" applyBorder="1" applyAlignment="1">
      <alignment horizontal="center" vertical="center" wrapText="1"/>
    </xf>
    <xf numFmtId="165" fontId="38" fillId="0" borderId="0" xfId="9" applyNumberFormat="1" applyFont="1" applyFill="1" applyBorder="1" applyAlignment="1">
      <alignment horizontal="center" vertical="center" wrapText="1"/>
    </xf>
    <xf numFmtId="0" fontId="38" fillId="0" borderId="37" xfId="9" applyFont="1" applyFill="1" applyBorder="1" applyAlignment="1">
      <alignment horizontal="center" vertical="center" wrapText="1"/>
    </xf>
    <xf numFmtId="0" fontId="38" fillId="0" borderId="24" xfId="9" applyNumberFormat="1" applyFont="1" applyFill="1" applyBorder="1" applyAlignment="1" applyProtection="1">
      <alignment horizontal="center" vertical="center" wrapText="1"/>
    </xf>
    <xf numFmtId="0" fontId="38" fillId="0" borderId="24" xfId="9" applyFont="1" applyBorder="1" applyAlignment="1">
      <alignment horizontal="center" vertical="center" wrapText="1"/>
    </xf>
    <xf numFmtId="165" fontId="38" fillId="0" borderId="8" xfId="9" applyNumberFormat="1" applyFont="1" applyFill="1" applyBorder="1" applyAlignment="1">
      <alignment horizontal="center" vertical="center" wrapText="1"/>
    </xf>
    <xf numFmtId="0" fontId="38" fillId="0" borderId="8" xfId="9" applyFont="1" applyFill="1" applyBorder="1" applyAlignment="1">
      <alignment horizontal="center" vertical="center" wrapText="1"/>
    </xf>
    <xf numFmtId="0" fontId="1" fillId="0" borderId="0" xfId="9"/>
    <xf numFmtId="2" fontId="38" fillId="0" borderId="24" xfId="9" applyNumberFormat="1" applyFont="1" applyFill="1" applyBorder="1" applyAlignment="1">
      <alignment horizontal="center" vertical="center" wrapText="1"/>
    </xf>
    <xf numFmtId="0" fontId="39" fillId="0" borderId="24" xfId="9" applyFont="1" applyFill="1" applyBorder="1" applyAlignment="1">
      <alignment horizontal="center" vertical="center" wrapText="1"/>
    </xf>
    <xf numFmtId="0" fontId="34" fillId="0" borderId="24" xfId="9" applyFont="1" applyFill="1" applyBorder="1" applyAlignment="1">
      <alignment horizontal="center" vertical="center" wrapText="1"/>
    </xf>
    <xf numFmtId="165" fontId="34" fillId="0" borderId="7" xfId="9" applyNumberFormat="1" applyFont="1" applyFill="1" applyBorder="1" applyAlignment="1" applyProtection="1">
      <alignment horizontal="center" vertical="center" wrapText="1"/>
    </xf>
    <xf numFmtId="1" fontId="43" fillId="0" borderId="0" xfId="9" applyNumberFormat="1" applyFont="1" applyFill="1"/>
    <xf numFmtId="0" fontId="43" fillId="0" borderId="0" xfId="9" applyFont="1" applyFill="1"/>
    <xf numFmtId="1" fontId="34" fillId="0" borderId="0" xfId="9" applyNumberFormat="1" applyFont="1" applyFill="1" applyAlignment="1">
      <alignment horizontal="center" vertical="center" wrapText="1"/>
    </xf>
    <xf numFmtId="2" fontId="34" fillId="0" borderId="0" xfId="9" applyNumberFormat="1" applyFont="1" applyFill="1" applyAlignment="1">
      <alignment horizontal="center" vertical="center" wrapText="1"/>
    </xf>
    <xf numFmtId="166" fontId="34" fillId="0" borderId="0" xfId="9" applyNumberFormat="1" applyFont="1" applyFill="1" applyAlignment="1">
      <alignment horizontal="center" vertical="center" wrapText="1"/>
    </xf>
    <xf numFmtId="165" fontId="34" fillId="0" borderId="0" xfId="9" applyNumberFormat="1" applyFont="1" applyFill="1" applyAlignment="1">
      <alignment horizontal="center" vertical="center" wrapText="1"/>
    </xf>
    <xf numFmtId="0" fontId="3" fillId="0" borderId="0" xfId="9" applyFont="1" applyFill="1"/>
    <xf numFmtId="1" fontId="38" fillId="0" borderId="8" xfId="9" applyNumberFormat="1" applyFont="1" applyFill="1" applyBorder="1" applyAlignment="1">
      <alignment horizontal="center" vertical="center" wrapText="1"/>
    </xf>
    <xf numFmtId="1" fontId="39" fillId="0" borderId="8" xfId="9" applyNumberFormat="1" applyFont="1" applyFill="1" applyBorder="1" applyAlignment="1" applyProtection="1">
      <alignment horizontal="center" vertical="center" wrapText="1"/>
    </xf>
    <xf numFmtId="168" fontId="38" fillId="0" borderId="0" xfId="9" applyNumberFormat="1" applyFont="1" applyFill="1" applyBorder="1" applyAlignment="1">
      <alignment horizontal="center" vertical="center" wrapText="1"/>
    </xf>
    <xf numFmtId="0" fontId="39" fillId="0" borderId="23" xfId="9" applyFont="1" applyFill="1" applyBorder="1" applyAlignment="1">
      <alignment horizontal="center" vertical="center" wrapText="1"/>
    </xf>
    <xf numFmtId="0" fontId="38" fillId="0" borderId="0" xfId="9" applyFont="1" applyFill="1" applyAlignment="1">
      <alignment horizontal="center" vertical="center"/>
    </xf>
    <xf numFmtId="1" fontId="34" fillId="0" borderId="8" xfId="9" applyNumberFormat="1" applyFont="1" applyFill="1" applyBorder="1" applyAlignment="1">
      <alignment horizontal="center" vertical="center" wrapText="1"/>
    </xf>
    <xf numFmtId="0" fontId="38" fillId="0" borderId="0" xfId="9" applyFont="1" applyAlignment="1">
      <alignment horizontal="center" vertical="center"/>
    </xf>
    <xf numFmtId="0" fontId="38" fillId="0" borderId="9" xfId="9" applyFont="1" applyFill="1" applyBorder="1" applyAlignment="1">
      <alignment horizontal="center" vertical="center" wrapText="1"/>
    </xf>
    <xf numFmtId="167" fontId="38" fillId="0" borderId="23" xfId="9" applyNumberFormat="1" applyFont="1" applyFill="1" applyBorder="1" applyAlignment="1">
      <alignment horizontal="center" vertical="center" wrapText="1"/>
    </xf>
    <xf numFmtId="167" fontId="38" fillId="0" borderId="8" xfId="9" applyNumberFormat="1" applyFont="1" applyFill="1" applyBorder="1" applyAlignment="1">
      <alignment horizontal="center" vertical="center" wrapText="1"/>
    </xf>
    <xf numFmtId="1" fontId="31" fillId="0" borderId="8" xfId="9" applyNumberFormat="1" applyFont="1" applyFill="1" applyBorder="1" applyAlignment="1" applyProtection="1">
      <alignment horizontal="center" vertical="center" wrapText="1"/>
    </xf>
    <xf numFmtId="1" fontId="35" fillId="0" borderId="8" xfId="9" applyNumberFormat="1" applyFont="1" applyFill="1" applyBorder="1" applyAlignment="1" applyProtection="1">
      <alignment horizontal="center" vertical="center" wrapText="1"/>
    </xf>
    <xf numFmtId="1" fontId="38" fillId="0" borderId="0" xfId="9" applyNumberFormat="1" applyFont="1" applyFill="1" applyBorder="1" applyAlignment="1" applyProtection="1">
      <alignment horizontal="center" vertical="center" wrapText="1"/>
    </xf>
    <xf numFmtId="0" fontId="39" fillId="0" borderId="24" xfId="9" applyNumberFormat="1" applyFont="1" applyFill="1" applyBorder="1" applyAlignment="1" applyProtection="1">
      <alignment horizontal="center" vertical="center" wrapText="1"/>
    </xf>
    <xf numFmtId="165" fontId="42" fillId="0" borderId="8" xfId="9" applyNumberFormat="1" applyFont="1" applyFill="1" applyBorder="1" applyAlignment="1">
      <alignment horizontal="center" vertical="center" wrapText="1"/>
    </xf>
    <xf numFmtId="1" fontId="35" fillId="0" borderId="8" xfId="9" applyNumberFormat="1" applyFont="1" applyFill="1" applyBorder="1" applyAlignment="1">
      <alignment horizontal="center" vertical="center" wrapText="1"/>
    </xf>
    <xf numFmtId="1" fontId="37" fillId="0" borderId="8" xfId="9" applyNumberFormat="1" applyFont="1" applyFill="1" applyBorder="1" applyAlignment="1">
      <alignment horizontal="center" vertical="center" wrapText="1"/>
    </xf>
    <xf numFmtId="1" fontId="38" fillId="0" borderId="24" xfId="9" applyNumberFormat="1" applyFont="1" applyFill="1" applyBorder="1" applyAlignment="1">
      <alignment horizontal="center" vertical="center" wrapText="1"/>
    </xf>
    <xf numFmtId="1" fontId="39" fillId="0" borderId="8" xfId="9" applyNumberFormat="1" applyFont="1" applyFill="1" applyBorder="1" applyAlignment="1">
      <alignment horizontal="center" vertical="center" wrapText="1"/>
    </xf>
    <xf numFmtId="0" fontId="39" fillId="0" borderId="0" xfId="9" applyFont="1" applyFill="1" applyAlignment="1">
      <alignment horizontal="center" vertical="center" wrapText="1"/>
    </xf>
    <xf numFmtId="0" fontId="47" fillId="0" borderId="0" xfId="9" applyFont="1" applyFill="1" applyBorder="1" applyAlignment="1">
      <alignment horizontal="center" vertical="center" wrapText="1"/>
    </xf>
    <xf numFmtId="0" fontId="29" fillId="2" borderId="43" xfId="9" applyFont="1" applyFill="1" applyBorder="1" applyAlignment="1">
      <alignment horizontal="center" vertical="center" wrapText="1"/>
    </xf>
    <xf numFmtId="1" fontId="30" fillId="2" borderId="44" xfId="9" applyNumberFormat="1" applyFont="1" applyFill="1" applyBorder="1" applyAlignment="1">
      <alignment horizontal="center" vertical="center" wrapText="1"/>
    </xf>
    <xf numFmtId="1" fontId="31" fillId="0" borderId="45" xfId="9" applyNumberFormat="1" applyFont="1" applyFill="1" applyBorder="1" applyAlignment="1">
      <alignment horizontal="center" vertical="center" wrapText="1"/>
    </xf>
    <xf numFmtId="1" fontId="32" fillId="0" borderId="45" xfId="9" applyNumberFormat="1" applyFont="1" applyFill="1" applyBorder="1" applyAlignment="1">
      <alignment horizontal="center" vertical="center" wrapText="1"/>
    </xf>
    <xf numFmtId="1" fontId="29" fillId="0" borderId="45" xfId="9" applyNumberFormat="1" applyFont="1" applyFill="1" applyBorder="1" applyAlignment="1">
      <alignment horizontal="center" vertical="center" wrapText="1"/>
    </xf>
    <xf numFmtId="1" fontId="29" fillId="0" borderId="46" xfId="9" applyNumberFormat="1" applyFont="1" applyFill="1" applyBorder="1" applyAlignment="1">
      <alignment horizontal="center" vertical="center" wrapText="1"/>
    </xf>
    <xf numFmtId="0" fontId="29" fillId="0" borderId="43" xfId="9" applyFont="1" applyFill="1" applyBorder="1" applyAlignment="1">
      <alignment horizontal="center" vertical="center" wrapText="1"/>
    </xf>
    <xf numFmtId="1" fontId="30" fillId="0" borderId="44" xfId="9" applyNumberFormat="1" applyFont="1" applyFill="1" applyBorder="1" applyAlignment="1">
      <alignment horizontal="center" vertical="center" wrapText="1"/>
    </xf>
    <xf numFmtId="1" fontId="33" fillId="0" borderId="45" xfId="9" applyNumberFormat="1" applyFont="1" applyFill="1" applyBorder="1" applyAlignment="1">
      <alignment horizontal="center" vertical="center" wrapText="1"/>
    </xf>
    <xf numFmtId="0" fontId="38" fillId="0" borderId="0" xfId="9" applyFont="1" applyFill="1" applyAlignment="1" applyProtection="1">
      <alignment horizontal="center" vertical="center" wrapText="1"/>
    </xf>
    <xf numFmtId="0" fontId="35" fillId="0" borderId="0" xfId="9" applyFont="1" applyFill="1" applyAlignment="1">
      <alignment horizontal="center" vertical="center" wrapText="1"/>
    </xf>
    <xf numFmtId="0" fontId="41" fillId="0" borderId="0" xfId="9" applyFont="1" applyFill="1" applyAlignment="1">
      <alignment horizontal="center" vertical="center" wrapText="1"/>
    </xf>
    <xf numFmtId="0" fontId="37" fillId="0" borderId="0" xfId="9" applyFont="1" applyFill="1" applyAlignment="1">
      <alignment horizontal="center" vertical="center" wrapText="1"/>
    </xf>
    <xf numFmtId="1" fontId="29" fillId="2" borderId="47" xfId="9" applyNumberFormat="1" applyFont="1" applyFill="1" applyBorder="1" applyAlignment="1">
      <alignment horizontal="center" vertical="center" wrapText="1"/>
    </xf>
    <xf numFmtId="0" fontId="38" fillId="0" borderId="45" xfId="9" applyFont="1" applyFill="1" applyBorder="1" applyAlignment="1">
      <alignment horizontal="center" vertical="center" wrapText="1"/>
    </xf>
    <xf numFmtId="1" fontId="29" fillId="0" borderId="47" xfId="9" applyNumberFormat="1" applyFont="1" applyFill="1" applyBorder="1" applyAlignment="1">
      <alignment horizontal="center" vertical="center" wrapText="1"/>
    </xf>
    <xf numFmtId="2" fontId="29" fillId="0" borderId="47" xfId="9" applyNumberFormat="1" applyFont="1" applyFill="1" applyBorder="1" applyAlignment="1">
      <alignment horizontal="center" vertical="center" wrapText="1"/>
    </xf>
    <xf numFmtId="165" fontId="29" fillId="0" borderId="45" xfId="9" applyNumberFormat="1" applyFont="1" applyFill="1" applyBorder="1" applyAlignment="1">
      <alignment horizontal="center" vertical="center" wrapText="1"/>
    </xf>
    <xf numFmtId="0" fontId="38" fillId="0" borderId="0" xfId="9" applyNumberFormat="1" applyFont="1" applyFill="1" applyAlignment="1">
      <alignment horizontal="center" vertical="center" wrapText="1"/>
    </xf>
    <xf numFmtId="0" fontId="34" fillId="0" borderId="0" xfId="9" applyFont="1" applyFill="1" applyBorder="1" applyAlignment="1">
      <alignment horizontal="center" vertical="center" wrapText="1"/>
    </xf>
    <xf numFmtId="0" fontId="29" fillId="0" borderId="0" xfId="9" applyFont="1" applyFill="1" applyBorder="1" applyAlignment="1">
      <alignment horizontal="center" vertical="center" wrapText="1"/>
    </xf>
    <xf numFmtId="0" fontId="34" fillId="2" borderId="0" xfId="9" applyFont="1" applyFill="1" applyAlignment="1">
      <alignment horizontal="center" vertical="center" wrapText="1"/>
    </xf>
    <xf numFmtId="0" fontId="30" fillId="2" borderId="0" xfId="9" applyFont="1" applyFill="1" applyAlignment="1">
      <alignment horizontal="center" vertical="center" wrapText="1"/>
    </xf>
    <xf numFmtId="0" fontId="36" fillId="0" borderId="0" xfId="9" applyFont="1" applyFill="1" applyAlignment="1">
      <alignment horizontal="center" vertical="center" wrapText="1"/>
    </xf>
    <xf numFmtId="0" fontId="29" fillId="0" borderId="0" xfId="9" applyFont="1" applyFill="1" applyAlignment="1">
      <alignment horizontal="center" vertical="center" wrapText="1"/>
    </xf>
    <xf numFmtId="165" fontId="34" fillId="0" borderId="0" xfId="9" applyNumberFormat="1" applyFont="1" applyFill="1" applyBorder="1" applyAlignment="1">
      <alignment horizontal="center" vertical="center" wrapText="1"/>
    </xf>
    <xf numFmtId="1" fontId="34" fillId="0" borderId="0" xfId="9" applyNumberFormat="1" applyFont="1" applyFill="1" applyBorder="1" applyAlignment="1">
      <alignment horizontal="center" vertical="center" wrapText="1"/>
    </xf>
    <xf numFmtId="0" fontId="48" fillId="0" borderId="0" xfId="9" applyFont="1" applyFill="1" applyAlignment="1">
      <alignment horizontal="left" vertical="center"/>
    </xf>
    <xf numFmtId="0" fontId="47" fillId="0" borderId="0" xfId="9" applyFont="1" applyFill="1" applyAlignment="1">
      <alignment horizontal="center" vertical="center" wrapText="1"/>
    </xf>
    <xf numFmtId="0" fontId="29" fillId="0" borderId="0" xfId="9" applyFont="1" applyFill="1" applyAlignment="1">
      <alignment horizontal="center" vertical="center" wrapText="1"/>
    </xf>
    <xf numFmtId="0" fontId="49" fillId="2" borderId="0" xfId="9" applyFont="1" applyFill="1" applyAlignment="1">
      <alignment horizontal="left" vertical="center"/>
    </xf>
    <xf numFmtId="0" fontId="39" fillId="2" borderId="0" xfId="9" applyFont="1" applyFill="1" applyAlignment="1">
      <alignment horizontal="center" vertical="center" wrapText="1"/>
    </xf>
    <xf numFmtId="1" fontId="39" fillId="0" borderId="0" xfId="9" applyNumberFormat="1" applyFont="1" applyFill="1" applyAlignment="1">
      <alignment horizontal="center" vertical="center" wrapText="1"/>
    </xf>
    <xf numFmtId="0" fontId="49" fillId="0" borderId="0" xfId="9" applyFont="1" applyFill="1" applyAlignment="1">
      <alignment horizontal="left" vertical="center"/>
    </xf>
    <xf numFmtId="0" fontId="6" fillId="0" borderId="0" xfId="9" applyFont="1" applyFill="1" applyAlignment="1">
      <alignment horizontal="center" vertical="center" wrapText="1"/>
    </xf>
    <xf numFmtId="0" fontId="34" fillId="0" borderId="0" xfId="9" applyFont="1" applyFill="1" applyAlignment="1" applyProtection="1">
      <alignment horizontal="center" vertical="center" wrapText="1"/>
    </xf>
    <xf numFmtId="0" fontId="29" fillId="0" borderId="0" xfId="9" applyFont="1" applyFill="1" applyBorder="1" applyAlignment="1" applyProtection="1">
      <alignment horizontal="center" vertical="center" wrapText="1"/>
    </xf>
    <xf numFmtId="0" fontId="50" fillId="0" borderId="0" xfId="9" applyFont="1" applyFill="1" applyAlignment="1" applyProtection="1">
      <alignment horizontal="center" vertical="center" wrapText="1"/>
    </xf>
    <xf numFmtId="0" fontId="50" fillId="2" borderId="0" xfId="9" applyFont="1" applyFill="1" applyAlignment="1" applyProtection="1">
      <alignment horizontal="center" vertical="center" wrapText="1"/>
    </xf>
    <xf numFmtId="0" fontId="30" fillId="2" borderId="0" xfId="9" applyFont="1" applyFill="1" applyAlignment="1" applyProtection="1">
      <alignment horizontal="center" vertical="center" wrapText="1"/>
    </xf>
    <xf numFmtId="0" fontId="35" fillId="0" borderId="0" xfId="9" applyFont="1" applyFill="1" applyAlignment="1" applyProtection="1">
      <alignment horizontal="center" vertical="center" wrapText="1"/>
    </xf>
    <xf numFmtId="0" fontId="36" fillId="0" borderId="0" xfId="9" applyFont="1" applyFill="1" applyAlignment="1" applyProtection="1">
      <alignment horizontal="center" vertical="center" wrapText="1"/>
    </xf>
    <xf numFmtId="0" fontId="40" fillId="0" borderId="0" xfId="9" applyFont="1" applyFill="1" applyAlignment="1" applyProtection="1">
      <alignment horizontal="center" vertical="center" wrapText="1"/>
    </xf>
    <xf numFmtId="0" fontId="35" fillId="2" borderId="0" xfId="9" applyFont="1" applyFill="1" applyAlignment="1">
      <alignment horizontal="center" vertical="center" wrapText="1"/>
    </xf>
    <xf numFmtId="0" fontId="1" fillId="2" borderId="0" xfId="9" applyFill="1"/>
    <xf numFmtId="0" fontId="55" fillId="2" borderId="0" xfId="10" applyFont="1" applyFill="1" applyAlignment="1">
      <alignment horizontal="center" vertical="center"/>
    </xf>
    <xf numFmtId="0" fontId="57" fillId="2" borderId="0" xfId="10" applyFont="1" applyFill="1" applyAlignment="1">
      <alignment horizontal="center" vertical="center" wrapText="1"/>
    </xf>
    <xf numFmtId="0" fontId="58" fillId="0" borderId="0" xfId="10" applyFont="1" applyAlignment="1">
      <alignment horizontal="center" vertical="center" wrapText="1"/>
    </xf>
    <xf numFmtId="0" fontId="53" fillId="2" borderId="0" xfId="10" applyFont="1" applyFill="1" applyBorder="1" applyAlignment="1">
      <alignment horizontal="center" vertical="center" wrapText="1"/>
    </xf>
    <xf numFmtId="0" fontId="53" fillId="2" borderId="0" xfId="10" applyFont="1" applyFill="1" applyAlignment="1">
      <alignment horizontal="center" vertical="center" wrapText="1"/>
    </xf>
    <xf numFmtId="0" fontId="55" fillId="2" borderId="0" xfId="10" applyFont="1" applyFill="1" applyBorder="1" applyAlignment="1">
      <alignment horizontal="center" vertical="center"/>
    </xf>
    <xf numFmtId="0" fontId="17" fillId="2" borderId="0" xfId="10" applyFont="1" applyFill="1" applyAlignment="1">
      <alignment horizontal="center" vertical="center" wrapText="1"/>
    </xf>
    <xf numFmtId="0" fontId="17" fillId="0" borderId="0" xfId="10" applyFont="1" applyAlignment="1">
      <alignment horizontal="center" vertical="center" wrapText="1"/>
    </xf>
    <xf numFmtId="0" fontId="12" fillId="2" borderId="0" xfId="10" applyFont="1" applyFill="1" applyAlignment="1">
      <alignment horizontal="center" vertical="center"/>
    </xf>
    <xf numFmtId="0" fontId="12" fillId="2" borderId="0" xfId="10" applyFont="1" applyFill="1" applyBorder="1" applyAlignment="1">
      <alignment horizontal="center" vertical="center" wrapText="1"/>
    </xf>
    <xf numFmtId="0" fontId="12" fillId="2" borderId="0" xfId="10" applyFont="1" applyFill="1" applyAlignment="1">
      <alignment horizontal="center" vertical="center" wrapText="1"/>
    </xf>
    <xf numFmtId="0" fontId="12" fillId="2" borderId="0" xfId="10" applyFont="1" applyFill="1" applyBorder="1" applyAlignment="1">
      <alignment horizontal="center" vertical="center"/>
    </xf>
    <xf numFmtId="0" fontId="17" fillId="0" borderId="0" xfId="10" applyFont="1" applyAlignment="1">
      <alignment horizontal="center" vertical="center"/>
    </xf>
    <xf numFmtId="0" fontId="73" fillId="2" borderId="0" xfId="10" applyFont="1" applyFill="1" applyAlignment="1">
      <alignment horizontal="center" vertical="center" wrapText="1"/>
    </xf>
    <xf numFmtId="0" fontId="70" fillId="2" borderId="14" xfId="10" applyFont="1" applyFill="1" applyBorder="1" applyAlignment="1">
      <alignment horizontal="center" vertical="center" wrapText="1"/>
    </xf>
    <xf numFmtId="0" fontId="70" fillId="2" borderId="15" xfId="10" applyFont="1" applyFill="1" applyBorder="1" applyAlignment="1">
      <alignment horizontal="center" vertical="center" wrapText="1"/>
    </xf>
    <xf numFmtId="0" fontId="70" fillId="2" borderId="16" xfId="10" applyFont="1" applyFill="1" applyBorder="1" applyAlignment="1">
      <alignment horizontal="center" vertical="center" wrapText="1"/>
    </xf>
    <xf numFmtId="0" fontId="70" fillId="2" borderId="51" xfId="10" applyFont="1" applyFill="1" applyBorder="1" applyAlignment="1">
      <alignment horizontal="center" vertical="center" wrapText="1"/>
    </xf>
    <xf numFmtId="169" fontId="70" fillId="2" borderId="14" xfId="10" applyNumberFormat="1" applyFont="1" applyFill="1" applyBorder="1" applyAlignment="1">
      <alignment horizontal="center" vertical="center" wrapText="1"/>
    </xf>
    <xf numFmtId="169" fontId="70" fillId="2" borderId="15" xfId="10" applyNumberFormat="1" applyFont="1" applyFill="1" applyBorder="1" applyAlignment="1">
      <alignment horizontal="center" vertical="center" wrapText="1"/>
    </xf>
    <xf numFmtId="169" fontId="70" fillId="2" borderId="16" xfId="10" applyNumberFormat="1" applyFont="1" applyFill="1" applyBorder="1" applyAlignment="1">
      <alignment horizontal="center" vertical="center" wrapText="1"/>
    </xf>
    <xf numFmtId="0" fontId="74" fillId="2" borderId="0" xfId="10" applyFont="1" applyFill="1" applyAlignment="1">
      <alignment horizontal="center" vertical="center" wrapText="1"/>
    </xf>
    <xf numFmtId="0" fontId="17" fillId="4" borderId="0" xfId="10" applyFont="1" applyFill="1" applyAlignment="1">
      <alignment horizontal="center" vertical="center" wrapText="1"/>
    </xf>
    <xf numFmtId="0" fontId="66" fillId="0" borderId="0" xfId="10" applyFont="1" applyAlignment="1">
      <alignment horizontal="center" vertical="center" wrapText="1"/>
    </xf>
    <xf numFmtId="0" fontId="17" fillId="2" borderId="36" xfId="10" applyFont="1" applyFill="1" applyBorder="1" applyAlignment="1">
      <alignment horizontal="center" vertical="center" wrapText="1"/>
    </xf>
    <xf numFmtId="0" fontId="74" fillId="0" borderId="0" xfId="10" applyFont="1" applyAlignment="1">
      <alignment horizontal="center" vertical="center" wrapText="1"/>
    </xf>
    <xf numFmtId="0" fontId="70" fillId="2" borderId="0" xfId="10" applyFont="1" applyFill="1" applyBorder="1" applyAlignment="1">
      <alignment horizontal="center" vertical="center" wrapText="1"/>
    </xf>
    <xf numFmtId="0" fontId="81" fillId="0" borderId="0" xfId="10" applyFont="1" applyAlignment="1">
      <alignment horizontal="center" vertical="center" wrapText="1"/>
    </xf>
    <xf numFmtId="0" fontId="64" fillId="2" borderId="0" xfId="10" applyFont="1" applyFill="1" applyAlignment="1">
      <alignment horizontal="center" vertical="center" wrapText="1"/>
    </xf>
    <xf numFmtId="0" fontId="17" fillId="2" borderId="0" xfId="10" applyFont="1" applyFill="1" applyBorder="1" applyAlignment="1">
      <alignment horizontal="center" vertical="center" wrapText="1"/>
    </xf>
    <xf numFmtId="0" fontId="53" fillId="2" borderId="0" xfId="10" applyFont="1" applyFill="1" applyAlignment="1">
      <alignment horizontal="left" vertical="center"/>
    </xf>
    <xf numFmtId="0" fontId="55" fillId="2" borderId="0" xfId="10" applyFont="1" applyFill="1" applyAlignment="1">
      <alignment horizontal="left" vertical="center"/>
    </xf>
    <xf numFmtId="0" fontId="57" fillId="2" borderId="0" xfId="10" applyFont="1" applyFill="1" applyAlignment="1">
      <alignment horizontal="left" vertical="center"/>
    </xf>
    <xf numFmtId="0" fontId="87" fillId="2" borderId="0" xfId="10" applyFont="1" applyFill="1" applyAlignment="1">
      <alignment horizontal="left"/>
    </xf>
    <xf numFmtId="0" fontId="57" fillId="2" borderId="0" xfId="10" applyFont="1" applyFill="1" applyAlignment="1">
      <alignment horizontal="left"/>
    </xf>
    <xf numFmtId="0" fontId="52" fillId="2" borderId="0" xfId="10" applyFont="1" applyFill="1" applyAlignment="1">
      <alignment horizontal="left" vertical="center"/>
    </xf>
    <xf numFmtId="0" fontId="52" fillId="2" borderId="0" xfId="10" applyFont="1" applyFill="1" applyAlignment="1">
      <alignment horizontal="left"/>
    </xf>
    <xf numFmtId="0" fontId="57" fillId="2" borderId="0" xfId="10" applyFont="1" applyFill="1" applyAlignment="1">
      <alignment horizontal="left" wrapText="1"/>
    </xf>
    <xf numFmtId="0" fontId="57" fillId="2" borderId="0" xfId="10" applyFont="1" applyFill="1" applyAlignment="1">
      <alignment horizontal="left" vertical="center" wrapText="1"/>
    </xf>
    <xf numFmtId="0" fontId="52" fillId="2" borderId="0" xfId="10" applyFont="1" applyFill="1" applyAlignment="1">
      <alignment horizontal="left" wrapText="1"/>
    </xf>
    <xf numFmtId="0" fontId="52" fillId="2" borderId="0" xfId="10" applyFont="1" applyFill="1" applyAlignment="1">
      <alignment horizontal="left" vertical="center" wrapText="1"/>
    </xf>
    <xf numFmtId="0" fontId="17" fillId="2" borderId="0" xfId="10" applyFont="1" applyFill="1" applyAlignment="1">
      <alignment horizontal="left" vertical="center" wrapText="1"/>
    </xf>
    <xf numFmtId="165" fontId="17" fillId="2" borderId="0" xfId="10" applyNumberFormat="1" applyFont="1" applyFill="1" applyAlignment="1">
      <alignment horizontal="left" vertical="center" wrapText="1"/>
    </xf>
    <xf numFmtId="0" fontId="60" fillId="2" borderId="0" xfId="10" applyFont="1" applyFill="1" applyAlignment="1">
      <alignment horizontal="left" vertical="center" wrapText="1"/>
    </xf>
    <xf numFmtId="0" fontId="64" fillId="2" borderId="0" xfId="10" applyFont="1" applyFill="1" applyAlignment="1">
      <alignment horizontal="left" vertical="center" wrapText="1"/>
    </xf>
    <xf numFmtId="0" fontId="63" fillId="2" borderId="0" xfId="10" applyFont="1" applyFill="1" applyAlignment="1">
      <alignment horizontal="left" vertical="center" wrapText="1"/>
    </xf>
    <xf numFmtId="165" fontId="17" fillId="2" borderId="0" xfId="10" applyNumberFormat="1" applyFont="1" applyFill="1" applyAlignment="1">
      <alignment horizontal="center" vertical="center" wrapText="1"/>
    </xf>
    <xf numFmtId="0" fontId="63" fillId="2" borderId="0" xfId="10" applyFont="1" applyFill="1" applyAlignment="1">
      <alignment horizontal="center" vertical="center" wrapText="1"/>
    </xf>
  </cellXfs>
  <cellStyles count="11">
    <cellStyle name="Обычный" xfId="0" builtinId="0"/>
    <cellStyle name="Обычный 2" xfId="1"/>
    <cellStyle name="Обычный 2 10 5" xfId="4"/>
    <cellStyle name="Обычный 2 10 5 2" xfId="10"/>
    <cellStyle name="Обычный 2 2 8" xfId="6"/>
    <cellStyle name="Обычный 2 9" xfId="2"/>
    <cellStyle name="Обычный 3" xfId="9"/>
    <cellStyle name="Обычный 4" xfId="5"/>
    <cellStyle name="Обычный 4 10 4" xfId="7"/>
    <cellStyle name="Обычный_июнь" xfId="8"/>
    <cellStyle name="Обычный_Протокол тех режим ЦДНГ-3 июнь" xfId="3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63" Type="http://schemas.openxmlformats.org/officeDocument/2006/relationships/externalLink" Target="externalLinks/externalLink60.xml"/><Relationship Id="rId68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styles" Target="style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TECHNOLOG\C\prjdlph\ARGUS\insec\&#1057;&#1091;&#1090;&#1086;&#1095;&#1085;&#1099;&#1081;\&#1057;&#1091;&#1090;&#1086;&#1095;&#1085;&#1099;&#1081;\&#1052;&#1086;&#1080;%20&#1076;&#1086;&#1082;&#1091;&#1084;&#1077;&#1085;&#1090;&#1099;\&#1057;&#1091;&#1090;&#1086;&#1095;&#1085;&#1099;&#1081;\&#1057;&#1091;&#1090;&#1086;&#1095;&#1085;&#1099;&#1081;\&#1057;&#1091;&#1090;&#1086;&#1095;&#1085;&#1099;&#1081;\&#1057;&#1091;&#1090;&#1086;&#1095;&#1085;&#1099;&#1081;\WINDOWS\&#1052;&#1086;&#1080;%20&#1076;&#1086;&#1082;&#1091;&#1084;&#1077;&#1085;&#1090;&#1099;\CDNG\REGN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CHNOLOG\C\prjdlph\ARGUS\insec\&#1057;&#1091;&#1090;&#1086;&#1095;&#1085;&#1099;&#1081;\&#1057;&#1091;&#1090;&#1086;&#1095;&#1085;&#1099;&#1081;\&#1052;&#1086;&#1080;%20&#1076;&#1086;&#1082;&#1091;&#1084;&#1077;&#1085;&#1090;&#1099;\&#1057;&#1091;&#1090;&#1086;&#1095;&#1085;&#1099;&#1081;\&#1057;&#1091;&#1090;&#1086;&#1095;&#1085;&#1099;&#1081;\&#1057;&#1091;&#1090;&#1086;&#1095;&#1085;&#1099;&#1081;\&#1057;&#1091;&#1090;&#1086;&#1095;&#1085;&#1099;&#1081;\WINDOWS\&#1052;&#1086;&#1080;%20&#1076;&#1086;&#1082;&#1091;&#1084;&#1077;&#1085;&#1090;&#1099;\CDNG\REGN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Geolog\&#1062;&#1044;&#1053;&#1043;-1\&#1055;&#1086;&#1076;&#1075;&#1086;&#1090;&#1086;&#1074;&#1082;&#1072;%20&#1082;%20&#1079;&#1072;&#1097;&#1080;&#1090;&#1077;%20&#1043;&#1058;&#1052;\2006&#1075;&#1086;&#1076;\ARHIV\26\Ustay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R\Documents%20and%20Settings\omdementeva\Local%20Settings\Temporary%20Internet%20Files\OLK70\Geolog\&#1062;&#1044;&#1053;&#1043;-1\&#1055;&#1086;&#1076;&#1075;&#1086;&#1090;&#1086;&#1074;&#1082;&#1072;%20&#1082;%20&#1079;&#1072;&#1097;&#1080;&#1090;&#1077;%20&#1043;&#1058;&#1052;\2006&#1075;&#1086;&#1076;\ARHIV\26\Ustay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R\Documents%20and%20Settings\omdementeva\Local%20Settings\Temporary%20Internet%20Files\OLK70\Documents%20and%20Settings\LVGulamshaeva\&#1052;&#1086;&#1080;%20&#1076;&#1086;&#1082;&#1091;&#1084;&#1077;&#1085;&#1090;&#1099;\0303gt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LVGulamshaeva\&#1052;&#1086;&#1080;%20&#1076;&#1086;&#1082;&#1091;&#1084;&#1077;&#1085;&#1090;&#1099;\0303gtm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Tehn\c\&#1052;&#1086;&#1080;%20&#1076;&#1086;&#1082;&#1091;&#1084;&#1077;&#1085;&#1090;&#1099;\&#1055;&#1083;&#1072;&#1085;%20&#1088;&#1072;&#1073;&#1086;&#1090;\&#1041;&#1091;&#1084;&#1072;&#1078;&#1085;&#1072;&#1103;%20&#1072;&#1074;&#1090;&#1086;&#1084;&#1072;&#1090;&#1080;&#1082;&#107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\c\&#1052;&#1086;&#1080;%20&#1076;&#1086;&#1082;&#1091;&#1084;&#1077;&#1085;&#1090;&#1099;\&#1055;&#1083;&#1072;&#1085;%20&#1088;&#1072;&#1073;&#1086;&#1090;\&#1041;&#1091;&#1084;&#1072;&#1078;&#1085;&#1072;&#1103;%20&#1072;&#1074;&#1090;&#1086;&#1084;&#1072;&#1090;&#1080;&#1082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057;&#1091;&#1090;&#1086;&#1095;&#1085;&#1099;&#1077;%20&#1062;&#1044;&#1053;&#1043;1\&#1089;&#1074;&#1086;&#1076;&#1085;&#1099;&#1081;%20&#1086;&#1090;&#1095;&#1077;&#1090;%20&#1090;&#1077;&#1093;&#1085;&#1086;&#1083;&#1086;&#1075;&#1072;%2024.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Tehn\c\&#1052;&#1086;&#1080;%20&#1076;&#1086;&#1082;&#1091;&#1084;&#1077;&#1085;&#1090;&#1099;\&#1043;&#1088;&#1072;&#1092;&#1080;&#1082;%20&#1055;&#1056;&#1057;%20&#1082;&#1088;&#1072;&#1089;&#1085;&#1086;&#1083;&#1077;&#1085;&#1080;&#1085;&#1089;&#1082;&#1086;&#1075;&#1086;%20&#1087;&#1088;&#1086;&#1077;&#1082;&#1090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\c\&#1052;&#1086;&#1080;%20&#1076;&#1086;&#1082;&#1091;&#1084;&#1077;&#1085;&#1090;&#1099;\&#1043;&#1088;&#1072;&#1092;&#1080;&#1082;%20&#1055;&#1056;&#1057;%20&#1082;&#1088;&#1072;&#1089;&#1085;&#1086;&#1083;&#1077;&#1085;&#1080;&#1085;&#1089;&#1082;&#1086;&#1075;&#1086;%20&#1087;&#1088;&#1086;&#1077;&#1082;&#1090;&#1072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4-fs01\&#1089;&#1074;&#1086;&#1076;&#1082;&#1072;\&#1072;&#1087;&#1088;&#1077;&#1083;&#1100;\&#1044;&#1086;&#1073;&#1099;&#1095;&#1072;%20&#1085;&#1077;&#1092;&#1090;&#1080;%2029.04.03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ivanov.aiv\AppData\Local\Microsoft\Windows\Temporary%20Internet%20Files\Content.Outlook\RKIK7X0Z\&#1089;&#1074;&#1086;&#1076;&#1082;&#1072;\&#1072;&#1087;&#1088;&#1077;&#1083;&#1100;\&#1044;&#1086;&#1073;&#1099;&#1095;&#1072;%20&#1085;&#1077;&#1092;&#1090;&#1080;%2029.04.0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Hqcl\operate\neftedobycha\otchet\Dobycha_SRP051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neftedobycha\otchet\Dobycha_SRP051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Hqcl\operate\DOCUME~1\KRAKHM~1\LOCALS~1\TEMP\&#1044;&#1080;&#1085;&#1072;&#1084;&#1080;&#1082;&#1072;%20&#1089;&#1091;&#1090;&#1086;&#1095;&#1085;&#1086;&#1081;%20&#1076;&#1086;&#1073;&#1099;&#1095;&#1080;%20&#1085;&#1077;&#1092;&#1090;&#108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44;&#1080;&#1085;&#1072;&#1084;&#1080;&#1082;&#1072;%20&#1089;&#1091;&#1090;&#1086;&#1095;&#1085;&#1086;&#1081;%20&#1076;&#1086;&#1073;&#1099;&#1095;&#1080;%20&#1085;&#1077;&#1092;&#1090;&#108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T\&#1054;&#1090;&#1076;&#1077;&#1083;%20&#1075;&#1077;&#1086;&#1083;&#1086;&#1075;&#1080;&#1080;\&#1042;&#1085;&#1091;&#1090;&#1088;&#1077;&#1085;&#1085;&#1080;&#1077;\1.%20&#1056;&#1077;&#1078;&#1080;&#1084;&#1099;%20&#1062;&#1044;&#1053;&#1043;%20-%203\05%2008_tr%20&#1062;&#1044;&#1053;&#1043;-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1054;&#1090;&#1076;&#1077;&#1083;%20&#1075;&#1077;&#1086;&#1083;&#1086;&#1075;&#1080;&#1080;\&#1042;&#1085;&#1091;&#1090;&#1088;&#1077;&#1085;&#1085;&#1080;&#1077;\1.%20&#1056;&#1077;&#1078;&#1080;&#1084;&#1099;%20&#1062;&#1044;&#1053;&#1043;%20-%203\05%2008_tr%20&#1062;&#1044;&#1053;&#1043;-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Marchenkova\c\GEOLOG\BAZA\PLANKRS7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chenkova\c\GEOLOG\BAZA\PLANKRS7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Documents%20and%20Settings\LVGulamshaeva\&#1052;&#1086;&#1080;%20&#1076;&#1086;&#1082;&#1091;&#1084;&#1077;&#1085;&#1090;&#1099;\0303gtm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W\&#1054;&#1090;&#1076;&#1077;&#1083;%20&#1087;&#1086;&#1074;&#1099;&#1096;&#1077;&#1085;&#1080;&#1103;%20&#1085;&#1077;&#1092;&#1090;&#1077;&#1086;&#1090;&#1076;&#1072;&#1095;&#1080;%20&#1087;&#1083;&#1072;&#1089;&#1090;&#1086;&#1074;\&#1054;&#1073;&#1097;&#1080;&#1077;\&#1043;&#1072;&#1083;&#1083;&#1103;&#1084;&#1086;&#1074;\&#1062;&#1044;&#1053;&#1043;%203\&#1055;&#1086;&#1089;&#1083;&#1077;&#1076;&#1085;&#1077;&#1077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054;&#1090;&#1076;&#1077;&#1083;%20&#1087;&#1086;&#1074;&#1099;&#1096;&#1077;&#1085;&#1080;&#1103;%20&#1085;&#1077;&#1092;&#1090;&#1077;&#1086;&#1090;&#1076;&#1072;&#1095;&#1080;%20&#1087;&#1083;&#1072;&#1089;&#1090;&#1086;&#1074;\&#1054;&#1073;&#1097;&#1080;&#1077;\&#1043;&#1072;&#1083;&#1083;&#1103;&#1084;&#1086;&#1074;\&#1062;&#1044;&#1053;&#1043;%203\&#1055;&#1086;&#1089;&#1083;&#1077;&#1076;&#1085;&#1077;&#1077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TEHNOLOG2\C\&#1052;&#1086;&#1080;%20&#1076;&#1086;&#1082;&#1091;&#1084;&#1077;&#1085;&#1090;&#1099;\&#1056;&#1072;&#1089;&#1095;&#1077;&#1090;&#1099;\WINDOWS\TEMP\WINNT\Profiles\Malyshev\&#1056;&#1072;&#1073;&#1086;&#1095;&#1080;&#1081;%20&#1089;&#1090;&#1086;&#1083;\&#1084;&#1086;&#1080;%20&#1087;&#1088;&#1086;&#1075;&#1088;&#1072;&#1084;&#1084;&#1099;\&#1088;&#1072;&#1089;&#1095;&#1077;&#1090;&#1099;\WINNT\Profiles\Malyshev\&#1056;&#1072;&#1073;&#1086;&#1095;&#1080;&#1081;%20&#1089;&#1090;&#1086;&#1083;\&#1056;&#1072;&#1089;&#1095;&#1077;&#1090;%20&#1052;&#1055;&#1044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OLOG2\C\&#1052;&#1086;&#1080;%20&#1076;&#1086;&#1082;&#1091;&#1084;&#1077;&#1085;&#1090;&#1099;\&#1056;&#1072;&#1089;&#1095;&#1077;&#1090;&#1099;\WINDOWS\TEMP\WINNT\Profiles\Malyshev\&#1056;&#1072;&#1073;&#1086;&#1095;&#1080;&#1081;%20&#1089;&#1090;&#1086;&#1083;\&#1084;&#1086;&#1080;%20&#1087;&#1088;&#1086;&#1075;&#1088;&#1072;&#1084;&#1084;&#1099;\&#1088;&#1072;&#1089;&#1095;&#1077;&#1090;&#1099;\WINNT\Profiles\Malyshev\&#1056;&#1072;&#1073;&#1086;&#1095;&#1080;&#1081;%20&#1089;&#1090;&#1086;&#1083;\&#1056;&#1072;&#1089;&#1095;&#1077;&#1090;%20&#1052;&#1055;&#1044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HNOLOG2\C\&#1052;&#1086;&#1080;%20&#1076;&#1086;&#1082;&#1091;&#1084;&#1077;&#1085;&#1090;&#1099;\&#1056;&#1072;&#1089;&#1095;&#1077;&#1090;&#1099;\WINDOWS\TEMP\WINNT\Profiles\Malyshev\&#1056;&#1072;&#1073;&#1086;&#1095;&#1080;&#1081;%20&#1089;&#1090;&#1086;&#1083;\&#1084;&#1086;&#1080;%20&#1087;&#1088;&#1086;&#1075;&#1088;&#1072;&#1084;&#1084;&#1099;\&#1088;&#1072;&#1089;&#1095;&#1077;&#1090;&#1099;\WINNT\Profiles\Malyshev\&#1056;&#1072;&#1073;&#1086;&#1095;&#1080;&#1081;%20&#1089;&#1090;&#1086;&#1083;\&#1086;&#1095;&#1077;&#1090;&#1099;\&#1056;&#1072;&#1089;&#1095;&#1077;&#1090;&#1099;,&#1052;&#1056;&#1055;\&#1079;&#1072;&#1073;&#1086;&#1081;&#1085;&#1086;&#1077;\&#1056;&#1079;&#1072;&#1073;_&#1053;&#1076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4-fs01\Users\ilalov.tsh\AppData\Local\Microsoft\Windows\Temporary%20Internet%20Files\Content.Outlook\QCO2TJ44\&#1054;&#1090;&#1076;&#1077;&#1083;%20&#1075;&#1077;&#1086;&#1083;&#1086;&#1075;&#1080;&#1080;\&#1042;&#1085;&#1091;&#1090;&#1088;&#1077;&#1085;&#1085;&#1080;&#1077;\1.%20&#1056;&#1077;&#1078;&#1080;&#1084;&#1099;%20&#1062;&#1044;&#1053;&#1043;%20-%203\07%2009_tr%20&#1062;&#1044;&#1053;&#1043;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7%2009_tr%20&#1062;&#1044;&#1053;&#1043;-3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04\uh$\khomyakovanf\Desktop\&#1053;&#1086;&#1074;&#1072;&#1103;%20&#1089;&#1074;&#1086;&#1076;&#1082;&#1072;\&#1092;&#1086;&#1088;&#1084;&#1072;%20&#1089;&#1074;&#1086;&#1076;&#1082;&#1080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92;&#1086;&#1088;&#1084;&#1072;%20&#1089;&#1074;&#1086;&#1076;&#1082;&#1080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&#1056;&#1072;&#1073;&#1086;&#1095;&#1080;&#1081;%20&#1089;&#1090;&#1086;&#1083;\Documents%20and%20Settings\omdementeva\Local%20Settings\Temporary%20Internet%20Files\OLK70\Geolog\&#1062;&#1044;&#1053;&#1043;-1\&#1055;&#1086;&#1076;&#1075;&#1086;&#1090;&#1086;&#1074;&#1082;&#1072;%20&#1082;%20&#1079;&#1072;&#1097;&#1080;&#1090;&#1077;%20&#1043;&#1058;&#1052;\2006&#1075;&#1086;&#1076;\ARHIV\26\Ustayn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nts%20and%20Settings\All%20Users\&#1056;&#1072;&#1073;&#1086;&#1095;&#1080;&#1081;%20&#1089;&#1090;&#1086;&#1083;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11%2009_tr%20&#1062;&#1044;&#1053;&#1043;-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4-fs01\Users\ilalov.tsh\AppData\Local\Microsoft\Windows\Temporary%20Internet%20Files\Content.Outlook\QCO2TJ44\&#1058;&#1091;&#1090;&#1091;&#1073;&#1072;&#1083;&#1080;&#1085;&#1072;\&#1043;&#1058;&#1052;\&#1043;&#1058;&#1052;%20-%202009%20&#1075;&#1086;&#1076;\&#1043;&#1058;&#1052;%20-%2011&#1085;&#1086;&#1103;&#1073;&#1088;&#1100;\&#1043;&#1058;&#1052;-&#1062;&#1044;&#1053;&#1043;\&#1062;&#1044;&#1053;&#1043;-3\05%2009_tr%20&#1062;&#1044;&#1053;&#1043;-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8;&#1091;&#1090;&#1091;&#1073;&#1072;&#1083;&#1080;&#1085;&#1072;\&#1043;&#1058;&#1052;\&#1043;&#1058;&#1052;%20-%202009%20&#1075;&#1086;&#1076;\&#1043;&#1058;&#1052;%20-%2011&#1085;&#1086;&#1103;&#1073;&#1088;&#1100;\&#1043;&#1058;&#1052;-&#1062;&#1044;&#1053;&#1043;\&#1062;&#1044;&#1053;&#1043;-3\05%2009_tr%20&#1062;&#1044;&#1053;&#1043;-3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4-fs01\Users\ilalov.tsh\AppData\Local\Microsoft\Windows\Temporary%20Internet%20Files\Content.Outlook\QCO2TJ44\&#1054;&#1090;&#1076;&#1077;&#1083;%20&#1075;&#1077;&#1086;&#1083;&#1086;&#1075;&#1080;&#1080;\&#1042;&#1085;&#1091;&#1090;&#1088;&#1077;&#1085;&#1085;&#1080;&#1077;\1.%20&#1056;&#1077;&#1078;&#1080;&#1084;&#1099;%20&#1062;&#1044;&#1053;&#1043;%20-%203\03%2009_tr%20&#1062;&#1044;&#1053;&#1043;-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3%2009_tr%20&#1062;&#1044;&#1053;&#1043;-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Vuistomin\c\&#1052;&#1086;&#1080;%20&#1076;&#1086;&#1082;&#1091;&#1084;&#1077;&#1085;&#1090;&#1099;\&#1043;&#1090;&#1084;\&#1043;&#1058;&#1052;%20&#1080;&#1089;&#1087;&#1088;\1002_1t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istomin\c\&#1052;&#1086;&#1080;%20&#1076;&#1086;&#1082;&#1091;&#1084;&#1077;&#1085;&#1090;&#1099;\&#1043;&#1090;&#1084;\&#1043;&#1058;&#1052;%20&#1080;&#1089;&#1087;&#1088;\1002_1t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R\Documents%20and%20Settings\omdementeva\Local%20Settings\Temporary%20Internet%20Files\OLK70\&#1058;&#1091;&#1090;&#1091;&#1073;&#1072;&#1083;&#1080;&#1085;&#1072;\&#1052;&#1086;&#1080;%20&#1076;&#1086;&#1082;&#1091;&#1084;&#1077;&#1085;&#1090;&#1099;\&#1043;%20&#1058;%20&#1052;\&#1043;&#1058;&#1052;%20-%202006%20&#1075;&#1086;&#1076;\&#1043;&#1058;&#1052;%20-%20&#1080;&#1102;&#1083;&#1100;\&#1060;&#1054;&#1056;&#1052;&#1040;&#1058;%20&#1057;&#1059;&#1058;&#1054;&#1063;&#1053;&#1054;&#1043;&#1054;%20&#1056;&#1040;&#1055;&#1054;&#1056;&#1058;&#1040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omdementeva\Local%20Settings\Temporary%20Internet%20Files\OLK70\&#1058;&#1091;&#1090;&#1091;&#1073;&#1072;&#1083;&#1080;&#1085;&#1072;\&#1052;&#1086;&#1080;%20&#1076;&#1086;&#1082;&#1091;&#1084;&#1077;&#1085;&#1090;&#1099;\&#1043;%20&#1058;%20&#1052;\&#1043;&#1058;&#1052;%20-%202006%20&#1075;&#1086;&#1076;\&#1043;&#1058;&#1052;%20-%20&#1080;&#1102;&#1083;&#1100;\&#1060;&#1054;&#1056;&#1052;&#1040;&#1058;%20&#1057;&#1059;&#1058;&#1054;&#1063;&#1053;&#1054;&#1043;&#1054;%20&#1056;&#1040;&#1055;&#1054;&#1056;&#1058;&#1040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GEOL\C\WINDOWS\&#1056;&#1072;&#1073;&#1086;&#1095;&#1080;&#1081;%20&#1089;&#1090;&#1086;&#1083;\&#1056;&#1077;&#1078;&#1080;&#1084;\01.2002-&#1045;&#1084;-tr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OL\C\WINDOWS\&#1056;&#1072;&#1073;&#1086;&#1095;&#1080;&#1081;%20&#1089;&#1090;&#1086;&#1083;\&#1056;&#1077;&#1078;&#1080;&#1084;\01.2002-&#1045;&#1084;-tr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4-fs01\Users\ilalov.tsh\AppData\Local\Microsoft\Windows\Temporary%20Internet%20Files\Content.Outlook\QCO2TJ44\&#1054;&#1090;&#1076;&#1077;&#1083;%20&#1075;&#1077;&#1086;&#1083;&#1086;&#1075;&#1080;&#1080;\&#1042;&#1085;&#1091;&#1090;&#1088;&#1077;&#1085;&#1085;&#1080;&#1077;\1.%20&#1056;&#1077;&#1078;&#1080;&#1084;&#1099;%20&#1062;&#1044;&#1053;&#1043;%20-%203\02.2010-&#1062;&#1044;&#1053;&#1043;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FS02\Shared_Folders_4\Users\d_kiselgof\AppData\Local\Microsoft\Windows\Temporary%20Internet%20Files\Content.Outlook\1QA89FC2\&#1054;&#1090;&#1076;&#1077;&#1083;%20&#1075;&#1077;&#1086;&#1083;&#1086;&#1075;&#1080;&#1080;\&#1042;&#1085;&#1091;&#1090;&#1088;&#1077;&#1085;&#1085;&#1080;&#1077;\1.%20&#1056;&#1077;&#1078;&#1080;&#1084;&#1099;%20&#1062;&#1044;&#1053;&#1043;%20-%203\02.2010-&#1062;&#1044;&#1053;&#1043;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10.16.65.13\Docs\&#1054;&#1090;&#1076;&#1077;&#1083;%20&#1075;&#1077;&#1086;&#1083;&#1086;&#1075;&#1080;&#1080;\&#1054;&#1073;&#1097;&#1080;&#1077;\&#1088;&#1077;&#1078;&#1080;&#1084;&#1099;%20&#1076;&#1086;&#1073;\&#1056;&#1077;&#1078;&#1080;&#1084;&#1099;%202008\4.%20&#1040;&#1087;&#1088;&#1077;&#1083;&#1100;%2008\04.2008-Em-tr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65.13\Docs\&#1054;&#1090;&#1076;&#1077;&#1083;%20&#1075;&#1077;&#1086;&#1083;&#1086;&#1075;&#1080;&#1080;\&#1054;&#1073;&#1097;&#1080;&#1077;\&#1088;&#1077;&#1078;&#1080;&#1084;&#1099;%20&#1076;&#1086;&#1073;\&#1056;&#1077;&#1078;&#1080;&#1084;&#1099;%202008\4.%20&#1040;&#1087;&#1088;&#1077;&#1083;&#1100;%2008\04.2008-Em-tr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Soi\c\New_2000\O_ANALIZ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i\c\New_2000\O_ANALIZ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4-fs01\Users\ilalov.tsh\AppData\Local\Microsoft\Windows\Temporary%20Internet%20Files\Content.Outlook\QCO2TJ44\SV_EXL\&#1055;&#1056;&#1057;_0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SV_EXL\&#1055;&#1056;&#1057;_0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GEOL\C\WINDOWS\&#1056;&#1072;&#1073;&#1086;&#1095;&#1080;&#1081;%20&#1089;&#1090;&#1086;&#1083;\&#1056;&#1077;&#1078;&#1080;&#1084;\02.2002-&#1045;&#1084;-tr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OL\C\WINDOWS\&#1056;&#1072;&#1073;&#1086;&#1095;&#1080;&#1081;%20&#1089;&#1090;&#1086;&#1083;\&#1056;&#1077;&#1078;&#1080;&#1084;\02.2002-&#1045;&#1084;-tr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T\&#1054;&#1090;&#1076;&#1077;&#1083;%20&#1075;&#1077;&#1086;&#1083;&#1086;&#1075;&#1080;&#1080;\&#1054;&#1073;&#1097;&#1080;&#1077;\&#1043;&#1058;&#1052;\2008\06-08\&#1055;&#1088;&#1086;&#1080;&#1079;&#1074;&#1086;&#1076;&#1089;&#1090;&#1074;&#1077;&#1085;&#1085;&#1086;-&#1090;&#1077;&#1093;&#1085;&#1086;&#1083;&#1086;&#1075;&#1080;&#1095;&#1077;&#1089;&#1082;&#1080;&#1081;%20&#1086;&#1090;&#1076;&#1077;&#1083;%20&#1044;&#1053;&#1043;\&#1054;&#1073;&#1097;&#1080;&#1077;\&#1043;&#1045;&#1054;&#1051;&#1054;&#1043;&#1054;-&#1058;&#1045;&#1061;&#1053;&#1048;&#1063;&#1045;&#1057;&#1050;&#1048;&#1045;%20&#1052;&#1045;&#1056;&#1054;&#1055;&#1056;&#1048;&#1071;&#1058;&#1048;&#1071;\&#1043;&#1058;&#1052;%20-%20&#1103;&#1085;&#1074;&#1072;&#1088;&#1100;%202007&#1075;\&#1043;&#1058;&#1052;-&#1062;&#1044;&#1053;&#1043;\ARHI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1054;&#1090;&#1076;&#1077;&#1083;%20&#1075;&#1077;&#1086;&#1083;&#1086;&#1075;&#1080;&#1080;\&#1054;&#1073;&#1097;&#1080;&#1077;\&#1043;&#1058;&#1052;\2008\06-08\&#1055;&#1088;&#1086;&#1080;&#1079;&#1074;&#1086;&#1076;&#1089;&#1090;&#1074;&#1077;&#1085;&#1085;&#1086;-&#1090;&#1077;&#1093;&#1085;&#1086;&#1083;&#1086;&#1075;&#1080;&#1095;&#1077;&#1089;&#1082;&#1080;&#1081;%20&#1086;&#1090;&#1076;&#1077;&#1083;%20&#1044;&#1053;&#1043;\&#1054;&#1073;&#1097;&#1080;&#1077;\&#1043;&#1045;&#1054;&#1051;&#1054;&#1043;&#1054;-&#1058;&#1045;&#1061;&#1053;&#1048;&#1063;&#1045;&#1057;&#1050;&#1048;&#1045;%20&#1052;&#1045;&#1056;&#1054;&#1055;&#1056;&#1048;&#1071;&#1058;&#1048;&#1071;\&#1043;&#1058;&#1052;%20-%20&#1103;&#1085;&#1074;&#1072;&#1088;&#1100;%202007&#1075;\&#1043;&#1058;&#1052;-&#1062;&#1044;&#1053;&#1043;\ARHI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Cl1f.ad.nyagan.tnk\docs-tnk\&#1054;&#1090;&#1076;&#1077;&#1083;%20&#1075;&#1077;&#1086;&#1083;&#1086;&#1075;&#1080;&#1080;\&#1054;&#1073;&#1097;&#1080;&#1077;\&#1088;&#1077;&#1078;&#1080;&#1084;&#1099;%20&#1076;&#1086;&#1073;\01.2006-Em-tr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1f.ad.nyagan.tnk\docs-tnk\&#1054;&#1090;&#1076;&#1077;&#1083;%20&#1075;&#1077;&#1086;&#1083;&#1086;&#1075;&#1080;&#1080;\&#1054;&#1073;&#1097;&#1080;&#1077;\&#1088;&#1077;&#1078;&#1080;&#1084;&#1099;%20&#1076;&#1086;&#1073;\01.2006-Em-tr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b01-aux\Volumes\HDD\&#1056;&#1040;&#1041;&#1054;&#1058;&#1040;\&#1043;&#1055;&#1053;&#1054;\&#1079;&#1072;&#1082;&#1088;&#1099;&#1090;&#1080;&#1077;%20&#1062;&#1053;&#1058;\2014\&#1080;&#1102;&#1085;&#1100;\Hqcl\operate\DOCUME~1\KRAKHM~1\LOCALS~1\TEMP\&#1092;&#1086;&#1088;&#1084;&#1072;%20&#1089;&#1074;&#1086;&#1076;&#1082;&#1080;28.1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operate\DOCUME~1\KRAKHM~1\LOCALS~1\TEMP\&#1092;&#1086;&#1088;&#1084;&#1072;%20&#1089;&#1074;&#1086;&#1076;&#1082;&#1080;28.1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4;&#1090;&#1076;&#1077;&#1083;%20&#1075;&#1077;&#1086;&#1083;&#1086;&#1075;&#1080;&#1080;\&#1054;&#1073;&#1097;&#1080;&#1077;\&#1043;&#1077;&#1086;&#1083;&#1086;&#1075;&#1080;&#1095;&#1077;&#1089;&#1082;&#1080;&#1081;_&#1086;&#1090;&#1076;&#1077;&#1083;\&#1054;&#1082;&#1090;&#1103;&#1073;&#1088;&#1100;-2003\1003gtm.%20&#1050;&#1056;&#1059;&#1053;&#1055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orolev.ri\Desktop\04_&#1062;1_&#1058;&#1056;_&#1053;&#1045;&#1060;&#1058;&#1071;&#1053;&#1067;&#1061;_&#1053;&#1040;_&#1040;&#1055;&#1056;&#1045;&#1051;&#1068;_2023&#1075;%20&#1073;&#1077;&#1079;%20&#1087;&#1072;&#1088;&#1086;&#1083;&#1103;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07_&#1062;1_&#1058;&#1056;_&#1053;&#1045;&#1060;&#1058;&#1071;&#1053;&#1067;&#1061;_&#1053;&#1040;_&#1048;&#1070;&#1051;&#1068;_2023&#107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101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N1011"/>
      <sheetName val="План работ"/>
      <sheetName val="Лист1"/>
      <sheetName val="Списки"/>
      <sheetName val="План_работ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словарь"/>
      <sheetName val="доп.потери"/>
      <sheetName val="извл и нерентаб."/>
      <sheetName val="база"/>
      <sheetName val="время"/>
      <sheetName val="февраль"/>
      <sheetName val="база-п "/>
      <sheetName val="Краснолен."/>
      <sheetName val="Фонд с"/>
      <sheetName val="Движение фонда расчет"/>
      <sheetName val="Лист1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</v>
          </cell>
          <cell r="W2" t="str">
            <v>ВЦ КОПС,рев.НВ-44</v>
          </cell>
          <cell r="AD2">
            <v>37569</v>
          </cell>
          <cell r="AE2">
            <v>37582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  <cell r="AD3">
            <v>37571</v>
          </cell>
          <cell r="AE3">
            <v>37590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  <cell r="AD4">
            <v>37571</v>
          </cell>
          <cell r="AE4">
            <v>37585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T5">
            <v>37601</v>
          </cell>
          <cell r="U5" t="str">
            <v>ВВ</v>
          </cell>
          <cell r="W5" t="str">
            <v>ВЦ,ВЗ,ДП ЮК-10</v>
          </cell>
          <cell r="AD5">
            <v>37558</v>
          </cell>
          <cell r="AE5">
            <v>37594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  <cell r="AD6">
            <v>37554</v>
          </cell>
          <cell r="AE6">
            <v>37583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  <cell r="AD7">
            <v>37595</v>
          </cell>
          <cell r="AE7">
            <v>37609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  <cell r="AD8">
            <v>37585</v>
          </cell>
          <cell r="AE8">
            <v>37605</v>
          </cell>
        </row>
        <row r="9">
          <cell r="B9">
            <v>2753</v>
          </cell>
          <cell r="C9">
            <v>145</v>
          </cell>
          <cell r="F9" t="str">
            <v>БлУНП</v>
          </cell>
          <cell r="G9">
            <v>280</v>
          </cell>
          <cell r="H9" t="str">
            <v>ЭЦН</v>
          </cell>
          <cell r="I9" t="str">
            <v>бд</v>
          </cell>
          <cell r="J9">
            <v>33056</v>
          </cell>
          <cell r="K9">
            <v>0</v>
          </cell>
          <cell r="L9">
            <v>0</v>
          </cell>
          <cell r="M9">
            <v>0</v>
          </cell>
          <cell r="N9">
            <v>80</v>
          </cell>
          <cell r="O9">
            <v>6.5</v>
          </cell>
          <cell r="P9">
            <v>90</v>
          </cell>
          <cell r="Q9">
            <v>80</v>
          </cell>
          <cell r="R9">
            <v>6.5</v>
          </cell>
          <cell r="S9">
            <v>90</v>
          </cell>
          <cell r="T9">
            <v>37628</v>
          </cell>
          <cell r="U9" t="str">
            <v>ЛА</v>
          </cell>
          <cell r="W9" t="str">
            <v>ВЦ, ВЗ(Г/Ж)</v>
          </cell>
          <cell r="AD9">
            <v>37602</v>
          </cell>
          <cell r="AE9">
            <v>37621</v>
          </cell>
        </row>
        <row r="10">
          <cell r="B10">
            <v>2917</v>
          </cell>
          <cell r="C10">
            <v>43</v>
          </cell>
          <cell r="F10" t="str">
            <v>БлУНП</v>
          </cell>
          <cell r="G10">
            <v>275</v>
          </cell>
          <cell r="H10" t="str">
            <v>ЭЦН</v>
          </cell>
          <cell r="I10" t="str">
            <v>конс.</v>
          </cell>
          <cell r="J10">
            <v>34029</v>
          </cell>
          <cell r="K10">
            <v>0</v>
          </cell>
          <cell r="L10">
            <v>0</v>
          </cell>
          <cell r="M10">
            <v>0</v>
          </cell>
          <cell r="N10">
            <v>30</v>
          </cell>
          <cell r="O10">
            <v>9.8000000000000007</v>
          </cell>
          <cell r="P10">
            <v>60</v>
          </cell>
          <cell r="Q10">
            <v>30</v>
          </cell>
          <cell r="R10">
            <v>9.8000000000000007</v>
          </cell>
          <cell r="S10">
            <v>59.7</v>
          </cell>
          <cell r="T10">
            <v>37608</v>
          </cell>
          <cell r="U10" t="str">
            <v>ВЦ</v>
          </cell>
          <cell r="W10" t="str">
            <v>ВЦ,ВЗ ГЖ,пм Н-57/Э-30</v>
          </cell>
          <cell r="AD10">
            <v>37584</v>
          </cell>
          <cell r="AE10">
            <v>37601</v>
          </cell>
        </row>
        <row r="11">
          <cell r="B11">
            <v>2880</v>
          </cell>
          <cell r="C11">
            <v>127</v>
          </cell>
          <cell r="F11" t="str">
            <v>УПНП</v>
          </cell>
          <cell r="G11">
            <v>260</v>
          </cell>
          <cell r="H11" t="str">
            <v>ЭЦН</v>
          </cell>
          <cell r="I11" t="str">
            <v>бд</v>
          </cell>
          <cell r="J11">
            <v>36019</v>
          </cell>
          <cell r="K11">
            <v>0</v>
          </cell>
          <cell r="L11">
            <v>0</v>
          </cell>
          <cell r="M11">
            <v>0</v>
          </cell>
          <cell r="N11">
            <v>80</v>
          </cell>
          <cell r="O11">
            <v>16.3</v>
          </cell>
          <cell r="P11">
            <v>75</v>
          </cell>
          <cell r="Q11">
            <v>80</v>
          </cell>
          <cell r="R11">
            <v>16.3</v>
          </cell>
          <cell r="S11">
            <v>74.8</v>
          </cell>
          <cell r="T11">
            <v>37592</v>
          </cell>
          <cell r="U11" t="str">
            <v>ЛА</v>
          </cell>
          <cell r="W11" t="str">
            <v xml:space="preserve">ЛА,ОТСК,ПП,сп.Э-80 </v>
          </cell>
          <cell r="AD11">
            <v>37572</v>
          </cell>
          <cell r="AE11">
            <v>37585</v>
          </cell>
        </row>
        <row r="12">
          <cell r="B12">
            <v>2863</v>
          </cell>
          <cell r="C12">
            <v>131</v>
          </cell>
          <cell r="F12" t="str">
            <v>УПНП</v>
          </cell>
          <cell r="G12">
            <v>265</v>
          </cell>
          <cell r="H12" t="str">
            <v>ЭЦН</v>
          </cell>
          <cell r="I12" t="str">
            <v>бд</v>
          </cell>
          <cell r="J12">
            <v>33635</v>
          </cell>
          <cell r="K12">
            <v>0</v>
          </cell>
          <cell r="L12">
            <v>0</v>
          </cell>
          <cell r="M12">
            <v>0</v>
          </cell>
          <cell r="N12">
            <v>50</v>
          </cell>
          <cell r="O12">
            <v>12.2</v>
          </cell>
          <cell r="P12">
            <v>70</v>
          </cell>
          <cell r="Q12">
            <v>50</v>
          </cell>
          <cell r="R12">
            <v>12.2</v>
          </cell>
          <cell r="S12">
            <v>69.900000000000006</v>
          </cell>
          <cell r="T12">
            <v>37613</v>
          </cell>
          <cell r="U12" t="str">
            <v>ЛА</v>
          </cell>
          <cell r="W12" t="str">
            <v>ЛА. ПП, ОПЗ</v>
          </cell>
          <cell r="AD12">
            <v>37586</v>
          </cell>
          <cell r="AE12">
            <v>37606</v>
          </cell>
        </row>
        <row r="13">
          <cell r="B13">
            <v>5650</v>
          </cell>
          <cell r="C13">
            <v>124</v>
          </cell>
          <cell r="F13" t="str">
            <v>УПНП</v>
          </cell>
          <cell r="G13">
            <v>260</v>
          </cell>
          <cell r="H13" t="str">
            <v>ЭЦН</v>
          </cell>
          <cell r="I13" t="str">
            <v>конс.</v>
          </cell>
          <cell r="J13">
            <v>35433</v>
          </cell>
          <cell r="K13">
            <v>0</v>
          </cell>
          <cell r="L13">
            <v>0</v>
          </cell>
          <cell r="M13">
            <v>0</v>
          </cell>
          <cell r="N13">
            <v>80</v>
          </cell>
          <cell r="O13">
            <v>6.5</v>
          </cell>
          <cell r="P13">
            <v>90</v>
          </cell>
          <cell r="Q13">
            <v>80</v>
          </cell>
          <cell r="R13">
            <v>6.5</v>
          </cell>
          <cell r="S13">
            <v>90</v>
          </cell>
          <cell r="T13">
            <v>37607</v>
          </cell>
          <cell r="U13" t="str">
            <v>ВВ</v>
          </cell>
          <cell r="W13" t="str">
            <v>ВЦ,ПП,ДП,ОПЗ,сп.Э-80</v>
          </cell>
          <cell r="AD13">
            <v>37591</v>
          </cell>
          <cell r="AE13">
            <v>37600</v>
          </cell>
        </row>
        <row r="14">
          <cell r="B14">
            <v>5596</v>
          </cell>
          <cell r="C14">
            <v>120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33583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8.1999999999999993</v>
          </cell>
          <cell r="P14">
            <v>80</v>
          </cell>
          <cell r="Q14">
            <v>50</v>
          </cell>
          <cell r="R14">
            <v>8.1999999999999993</v>
          </cell>
          <cell r="S14">
            <v>79.8</v>
          </cell>
          <cell r="T14">
            <v>37611</v>
          </cell>
          <cell r="U14" t="str">
            <v>ВЦ</v>
          </cell>
          <cell r="W14" t="str">
            <v>ВЦ,ПП ЮК-10,сп Э-50</v>
          </cell>
          <cell r="AD14">
            <v>37584</v>
          </cell>
          <cell r="AE14">
            <v>37604</v>
          </cell>
        </row>
        <row r="15">
          <cell r="B15">
            <v>5848</v>
          </cell>
          <cell r="C15">
            <v>168</v>
          </cell>
          <cell r="F15" t="str">
            <v>УПНП</v>
          </cell>
          <cell r="G15">
            <v>280</v>
          </cell>
          <cell r="H15" t="str">
            <v>ЭЦН</v>
          </cell>
          <cell r="I15" t="str">
            <v>бд</v>
          </cell>
          <cell r="J15">
            <v>35733</v>
          </cell>
          <cell r="K15">
            <v>0</v>
          </cell>
          <cell r="L15">
            <v>0</v>
          </cell>
          <cell r="M15">
            <v>0</v>
          </cell>
          <cell r="N15">
            <v>24</v>
          </cell>
          <cell r="O15">
            <v>12.1</v>
          </cell>
          <cell r="P15">
            <v>38</v>
          </cell>
          <cell r="Q15">
            <v>24</v>
          </cell>
          <cell r="R15">
            <v>12.1</v>
          </cell>
          <cell r="S15">
            <v>37.799999999999997</v>
          </cell>
          <cell r="T15">
            <v>37596</v>
          </cell>
          <cell r="U15" t="str">
            <v>ВЦ</v>
          </cell>
          <cell r="W15" t="str">
            <v>ВЦ, ПП, ОПЗ сп Э-30</v>
          </cell>
          <cell r="AD15">
            <v>37570</v>
          </cell>
          <cell r="AE15">
            <v>37589</v>
          </cell>
        </row>
        <row r="16">
          <cell r="B16">
            <v>2693</v>
          </cell>
          <cell r="C16">
            <v>161</v>
          </cell>
          <cell r="F16" t="str">
            <v>УПНП</v>
          </cell>
          <cell r="G16">
            <v>250</v>
          </cell>
          <cell r="H16" t="str">
            <v>ЭЦН</v>
          </cell>
          <cell r="I16" t="str">
            <v>конс.</v>
          </cell>
          <cell r="J16">
            <v>34274</v>
          </cell>
          <cell r="K16">
            <v>0</v>
          </cell>
          <cell r="L16">
            <v>0</v>
          </cell>
          <cell r="M16">
            <v>0</v>
          </cell>
          <cell r="N16">
            <v>30</v>
          </cell>
          <cell r="O16">
            <v>12.2</v>
          </cell>
          <cell r="P16">
            <v>50</v>
          </cell>
          <cell r="Q16">
            <v>30</v>
          </cell>
          <cell r="R16">
            <v>12.2</v>
          </cell>
          <cell r="S16">
            <v>49.8</v>
          </cell>
          <cell r="T16">
            <v>37627</v>
          </cell>
          <cell r="U16" t="str">
            <v>ВВ</v>
          </cell>
          <cell r="W16" t="str">
            <v>ВЦ, ВЗ, ДП сп Э-30</v>
          </cell>
          <cell r="AD16">
            <v>37590</v>
          </cell>
          <cell r="AE16">
            <v>37620</v>
          </cell>
        </row>
        <row r="17">
          <cell r="B17">
            <v>5825</v>
          </cell>
          <cell r="C17">
            <v>142</v>
          </cell>
          <cell r="F17" t="str">
            <v>УПНП</v>
          </cell>
          <cell r="G17">
            <v>275</v>
          </cell>
          <cell r="H17" t="str">
            <v>ШГН</v>
          </cell>
          <cell r="I17" t="str">
            <v>конс.</v>
          </cell>
          <cell r="J17">
            <v>33420</v>
          </cell>
          <cell r="K17">
            <v>0</v>
          </cell>
          <cell r="L17">
            <v>0</v>
          </cell>
          <cell r="M17">
            <v>0</v>
          </cell>
          <cell r="N17">
            <v>15</v>
          </cell>
          <cell r="O17">
            <v>7.9</v>
          </cell>
          <cell r="P17">
            <v>35</v>
          </cell>
          <cell r="Q17">
            <v>15</v>
          </cell>
          <cell r="R17">
            <v>7.9</v>
          </cell>
          <cell r="S17">
            <v>35</v>
          </cell>
          <cell r="T17">
            <v>37621</v>
          </cell>
          <cell r="U17" t="str">
            <v>ВЦ</v>
          </cell>
          <cell r="W17" t="str">
            <v>ВЦ.ВЗ,ПП</v>
          </cell>
          <cell r="AD17">
            <v>37594</v>
          </cell>
          <cell r="AE17">
            <v>37614</v>
          </cell>
        </row>
        <row r="18">
          <cell r="B18">
            <v>5435</v>
          </cell>
          <cell r="C18">
            <v>106</v>
          </cell>
          <cell r="F18" t="str">
            <v>УПНП</v>
          </cell>
          <cell r="G18">
            <v>275</v>
          </cell>
          <cell r="H18" t="str">
            <v>ЭЦН</v>
          </cell>
          <cell r="I18" t="str">
            <v>бд</v>
          </cell>
          <cell r="J18">
            <v>34790</v>
          </cell>
          <cell r="K18">
            <v>0</v>
          </cell>
          <cell r="L18">
            <v>0</v>
          </cell>
          <cell r="M18">
            <v>0</v>
          </cell>
          <cell r="N18">
            <v>30</v>
          </cell>
          <cell r="O18">
            <v>12.2</v>
          </cell>
          <cell r="P18">
            <v>50</v>
          </cell>
          <cell r="Q18">
            <v>30</v>
          </cell>
          <cell r="R18">
            <v>12.2</v>
          </cell>
          <cell r="S18">
            <v>49.8</v>
          </cell>
          <cell r="T18">
            <v>37601</v>
          </cell>
          <cell r="U18" t="str">
            <v>ЛА</v>
          </cell>
          <cell r="W18" t="str">
            <v>ЛА(извл.НКТ),ВЗ,ПП,ГДИ,сп.Э-30</v>
          </cell>
          <cell r="AD18">
            <v>37574</v>
          </cell>
          <cell r="AE18">
            <v>37594</v>
          </cell>
        </row>
        <row r="19">
          <cell r="B19">
            <v>2787</v>
          </cell>
          <cell r="C19">
            <v>145</v>
          </cell>
          <cell r="F19" t="str">
            <v>УПНП</v>
          </cell>
          <cell r="G19">
            <v>275</v>
          </cell>
          <cell r="H19" t="str">
            <v>ШГН</v>
          </cell>
          <cell r="I19" t="str">
            <v>действ.</v>
          </cell>
          <cell r="J19">
            <v>37561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  <cell r="U19" t="str">
            <v>ВЦ</v>
          </cell>
          <cell r="W19" t="str">
            <v>ВЦ</v>
          </cell>
        </row>
        <row r="20">
          <cell r="B20">
            <v>3447</v>
          </cell>
          <cell r="C20">
            <v>92</v>
          </cell>
          <cell r="F20" t="str">
            <v>УПНП</v>
          </cell>
          <cell r="G20">
            <v>240</v>
          </cell>
          <cell r="H20" t="str">
            <v>фон</v>
          </cell>
          <cell r="I20" t="str">
            <v>конс.</v>
          </cell>
          <cell r="J20">
            <v>34060</v>
          </cell>
          <cell r="K20">
            <v>0</v>
          </cell>
          <cell r="L20">
            <v>0</v>
          </cell>
          <cell r="M20">
            <v>0</v>
          </cell>
          <cell r="N20">
            <v>12</v>
          </cell>
          <cell r="O20">
            <v>7.9</v>
          </cell>
          <cell r="P20">
            <v>18.899999999999999</v>
          </cell>
          <cell r="Q20">
            <v>12</v>
          </cell>
          <cell r="R20">
            <v>7.9</v>
          </cell>
          <cell r="S20">
            <v>18.7</v>
          </cell>
          <cell r="T20">
            <v>7</v>
          </cell>
        </row>
        <row r="21">
          <cell r="B21">
            <v>5291</v>
          </cell>
          <cell r="C21">
            <v>134</v>
          </cell>
          <cell r="F21" t="str">
            <v>УПНП</v>
          </cell>
          <cell r="G21">
            <v>220</v>
          </cell>
          <cell r="H21" t="str">
            <v>ЭЦН</v>
          </cell>
          <cell r="I21" t="str">
            <v>действ.</v>
          </cell>
          <cell r="J21">
            <v>37561</v>
          </cell>
          <cell r="K21">
            <v>0</v>
          </cell>
          <cell r="L21">
            <v>0</v>
          </cell>
          <cell r="M21">
            <v>0</v>
          </cell>
          <cell r="N21">
            <v>15</v>
          </cell>
          <cell r="O21">
            <v>9.3000000000000007</v>
          </cell>
          <cell r="P21">
            <v>24</v>
          </cell>
          <cell r="Q21">
            <v>15</v>
          </cell>
          <cell r="R21">
            <v>9.3000000000000007</v>
          </cell>
          <cell r="S21">
            <v>23.5</v>
          </cell>
          <cell r="T21">
            <v>37635</v>
          </cell>
          <cell r="U21" t="str">
            <v>ЛА</v>
          </cell>
          <cell r="W21" t="str">
            <v>ЛА. См.Э-60/Н-44</v>
          </cell>
          <cell r="AD21">
            <v>37628</v>
          </cell>
          <cell r="AE21">
            <v>37628</v>
          </cell>
        </row>
        <row r="22">
          <cell r="B22">
            <v>5710</v>
          </cell>
          <cell r="C22">
            <v>124</v>
          </cell>
          <cell r="F22" t="str">
            <v>Э-прогрев</v>
          </cell>
          <cell r="G22">
            <v>250</v>
          </cell>
          <cell r="H22" t="str">
            <v>ЭЦН</v>
          </cell>
          <cell r="I22" t="str">
            <v>конс.</v>
          </cell>
          <cell r="J22">
            <v>34213</v>
          </cell>
          <cell r="K22">
            <v>0</v>
          </cell>
          <cell r="L22">
            <v>0</v>
          </cell>
          <cell r="M22">
            <v>0</v>
          </cell>
          <cell r="N22">
            <v>50</v>
          </cell>
          <cell r="O22">
            <v>6.1</v>
          </cell>
          <cell r="P22">
            <v>85</v>
          </cell>
          <cell r="Q22">
            <v>50</v>
          </cell>
          <cell r="R22">
            <v>6.1</v>
          </cell>
          <cell r="S22">
            <v>84.9</v>
          </cell>
          <cell r="T22">
            <v>37634</v>
          </cell>
          <cell r="U22" t="str">
            <v>ВЦД</v>
          </cell>
          <cell r="W22" t="str">
            <v>ВЦ</v>
          </cell>
          <cell r="AE22">
            <v>37627</v>
          </cell>
        </row>
        <row r="28">
          <cell r="B28">
            <v>5819</v>
          </cell>
          <cell r="C28">
            <v>142</v>
          </cell>
          <cell r="F28" t="str">
            <v>УПНПиКРС</v>
          </cell>
          <cell r="G28">
            <v>285</v>
          </cell>
          <cell r="H28" t="str">
            <v>нагнет.</v>
          </cell>
          <cell r="I28" t="str">
            <v>бд</v>
          </cell>
          <cell r="J28">
            <v>37084</v>
          </cell>
          <cell r="N28">
            <v>150</v>
          </cell>
          <cell r="Q28">
            <v>150</v>
          </cell>
          <cell r="T28">
            <v>37596</v>
          </cell>
          <cell r="U28" t="str">
            <v>нг</v>
          </cell>
          <cell r="W28" t="str">
            <v>Ревизия пакера</v>
          </cell>
          <cell r="AD28">
            <v>37586</v>
          </cell>
          <cell r="AE28">
            <v>37593</v>
          </cell>
        </row>
        <row r="29">
          <cell r="B29">
            <v>5821</v>
          </cell>
          <cell r="C29">
            <v>167</v>
          </cell>
          <cell r="F29" t="str">
            <v>БлКРС</v>
          </cell>
          <cell r="G29">
            <v>300</v>
          </cell>
          <cell r="H29" t="str">
            <v>нагнет.</v>
          </cell>
          <cell r="I29" t="str">
            <v>бд</v>
          </cell>
          <cell r="J29">
            <v>37453</v>
          </cell>
          <cell r="N29">
            <v>190</v>
          </cell>
          <cell r="Q29">
            <v>190</v>
          </cell>
          <cell r="T29" t="e">
            <v>#REF!</v>
          </cell>
          <cell r="U29" t="str">
            <v>нг</v>
          </cell>
          <cell r="W29" t="str">
            <v>ОТСК, ревизия пакера</v>
          </cell>
          <cell r="Z29" t="str">
            <v>2765(24)</v>
          </cell>
          <cell r="AA29">
            <v>73</v>
          </cell>
          <cell r="AB29">
            <v>36008</v>
          </cell>
          <cell r="AD29" t="e">
            <v>#REF!</v>
          </cell>
          <cell r="AE29" t="e">
            <v>#REF!</v>
          </cell>
          <cell r="AF29">
            <v>9</v>
          </cell>
        </row>
        <row r="30">
          <cell r="B30">
            <v>5807</v>
          </cell>
          <cell r="C30" t="str">
            <v>166б</v>
          </cell>
          <cell r="F30" t="str">
            <v>БлКРС</v>
          </cell>
          <cell r="G30">
            <v>290</v>
          </cell>
          <cell r="H30" t="str">
            <v>нагнет.</v>
          </cell>
          <cell r="I30" t="str">
            <v>бд</v>
          </cell>
          <cell r="J30">
            <v>37474</v>
          </cell>
          <cell r="N30">
            <v>150</v>
          </cell>
          <cell r="Q30">
            <v>150</v>
          </cell>
          <cell r="T30" t="e">
            <v>#REF!</v>
          </cell>
          <cell r="U30" t="str">
            <v>нг</v>
          </cell>
          <cell r="W30" t="str">
            <v>Ревизия пакера</v>
          </cell>
          <cell r="Z30" t="str">
            <v>2732(0,5)</v>
          </cell>
          <cell r="AA30">
            <v>73</v>
          </cell>
          <cell r="AB30">
            <v>37226</v>
          </cell>
          <cell r="AD30" t="e">
            <v>#REF!</v>
          </cell>
          <cell r="AE30" t="e">
            <v>#REF!</v>
          </cell>
          <cell r="AF30">
            <v>6</v>
          </cell>
        </row>
        <row r="31">
          <cell r="B31">
            <v>5800</v>
          </cell>
          <cell r="C31">
            <v>141</v>
          </cell>
          <cell r="F31" t="str">
            <v>БлКРС</v>
          </cell>
          <cell r="G31">
            <v>295</v>
          </cell>
          <cell r="H31" t="str">
            <v>нагнет.</v>
          </cell>
          <cell r="I31" t="str">
            <v>бд</v>
          </cell>
          <cell r="J31">
            <v>37474</v>
          </cell>
          <cell r="N31">
            <v>190</v>
          </cell>
          <cell r="Q31">
            <v>190</v>
          </cell>
          <cell r="T31" t="e">
            <v>#REF!</v>
          </cell>
          <cell r="U31" t="str">
            <v>нг</v>
          </cell>
          <cell r="W31" t="str">
            <v>Ревизия пакера</v>
          </cell>
          <cell r="Z31" t="str">
            <v>3003(42)</v>
          </cell>
          <cell r="AA31">
            <v>73</v>
          </cell>
          <cell r="AB31">
            <v>37347</v>
          </cell>
          <cell r="AD31" t="e">
            <v>#REF!</v>
          </cell>
          <cell r="AE31" t="e">
            <v>#REF!</v>
          </cell>
          <cell r="AF31">
            <v>6</v>
          </cell>
        </row>
        <row r="32">
          <cell r="B32">
            <v>5221</v>
          </cell>
          <cell r="C32">
            <v>126</v>
          </cell>
          <cell r="F32" t="str">
            <v>БлКРС</v>
          </cell>
          <cell r="G32">
            <v>245</v>
          </cell>
          <cell r="H32" t="str">
            <v>ШГН</v>
          </cell>
          <cell r="I32" t="str">
            <v>действ.</v>
          </cell>
          <cell r="K32">
            <v>4</v>
          </cell>
          <cell r="L32">
            <v>2.9</v>
          </cell>
          <cell r="M32">
            <v>12</v>
          </cell>
          <cell r="N32">
            <v>150</v>
          </cell>
          <cell r="Q32">
            <v>150</v>
          </cell>
          <cell r="T32" t="str">
            <v>перех.</v>
          </cell>
          <cell r="U32" t="str">
            <v>нг</v>
          </cell>
          <cell r="W32" t="str">
            <v>Перевод под нагнетание ЮК-10</v>
          </cell>
          <cell r="X32" t="str">
            <v>Строительство водовода</v>
          </cell>
          <cell r="Z32" t="str">
            <v>2880(7)</v>
          </cell>
          <cell r="AA32">
            <v>73</v>
          </cell>
          <cell r="AB32">
            <v>37165</v>
          </cell>
        </row>
        <row r="33">
          <cell r="B33">
            <v>5242</v>
          </cell>
          <cell r="C33">
            <v>134</v>
          </cell>
          <cell r="F33" t="str">
            <v>БлКРС</v>
          </cell>
          <cell r="G33">
            <v>230</v>
          </cell>
          <cell r="H33" t="str">
            <v>ЭЦН</v>
          </cell>
          <cell r="I33" t="str">
            <v>действ.</v>
          </cell>
          <cell r="K33">
            <v>22</v>
          </cell>
          <cell r="L33">
            <v>15.2</v>
          </cell>
          <cell r="M33">
            <v>15</v>
          </cell>
          <cell r="N33">
            <v>150</v>
          </cell>
          <cell r="Q33">
            <v>150</v>
          </cell>
          <cell r="T33">
            <v>37617</v>
          </cell>
          <cell r="U33" t="str">
            <v>нг</v>
          </cell>
          <cell r="W33" t="str">
            <v>Перевод под нагнетание ЮК 2-3</v>
          </cell>
          <cell r="X33" t="str">
            <v>Строительство водовода</v>
          </cell>
          <cell r="Z33" t="str">
            <v>2603(37)</v>
          </cell>
          <cell r="AA33">
            <v>73</v>
          </cell>
          <cell r="AB33">
            <v>37377</v>
          </cell>
        </row>
        <row r="35">
          <cell r="B35">
            <v>2897</v>
          </cell>
          <cell r="C35">
            <v>42</v>
          </cell>
          <cell r="F35" t="str">
            <v>УПНПиКРС</v>
          </cell>
          <cell r="G35">
            <v>295</v>
          </cell>
          <cell r="H35" t="str">
            <v>нагнет.</v>
          </cell>
          <cell r="I35" t="str">
            <v>бд</v>
          </cell>
          <cell r="J35">
            <v>37463</v>
          </cell>
          <cell r="N35">
            <v>150</v>
          </cell>
          <cell r="Q35">
            <v>150</v>
          </cell>
          <cell r="U35" t="str">
            <v>нг</v>
          </cell>
          <cell r="W35" t="str">
            <v>ОТСК, ревизия пакера</v>
          </cell>
          <cell r="Z35" t="str">
            <v>2855(28)</v>
          </cell>
          <cell r="AA35">
            <v>73</v>
          </cell>
          <cell r="AB35">
            <v>33390</v>
          </cell>
        </row>
        <row r="36">
          <cell r="B36">
            <v>2898</v>
          </cell>
          <cell r="C36">
            <v>42</v>
          </cell>
          <cell r="F36" t="str">
            <v>УПНПиКРС</v>
          </cell>
          <cell r="G36">
            <v>295</v>
          </cell>
          <cell r="H36" t="str">
            <v>нагнет.</v>
          </cell>
          <cell r="I36" t="str">
            <v>под закачкой</v>
          </cell>
          <cell r="K36">
            <v>180</v>
          </cell>
          <cell r="N36">
            <v>180</v>
          </cell>
          <cell r="Q36">
            <v>0</v>
          </cell>
          <cell r="U36" t="str">
            <v>нг</v>
          </cell>
          <cell r="W36" t="str">
            <v>ОТСК</v>
          </cell>
          <cell r="Z36" t="str">
            <v>2886(29)</v>
          </cell>
          <cell r="AA36">
            <v>73</v>
          </cell>
          <cell r="AB36">
            <v>32356</v>
          </cell>
        </row>
        <row r="37">
          <cell r="B37">
            <v>5380</v>
          </cell>
          <cell r="C37">
            <v>105</v>
          </cell>
          <cell r="F37" t="str">
            <v>УПНПиКРС</v>
          </cell>
          <cell r="G37">
            <v>300</v>
          </cell>
          <cell r="H37" t="str">
            <v>нагнет.</v>
          </cell>
          <cell r="I37" t="str">
            <v>под закачкой</v>
          </cell>
          <cell r="K37">
            <v>280</v>
          </cell>
          <cell r="N37">
            <v>280</v>
          </cell>
          <cell r="Q37">
            <v>0</v>
          </cell>
          <cell r="U37" t="str">
            <v>нг</v>
          </cell>
          <cell r="W37" t="str">
            <v>ОТСК</v>
          </cell>
          <cell r="Z37" t="str">
            <v>не опред.</v>
          </cell>
          <cell r="AA37">
            <v>73</v>
          </cell>
          <cell r="AB37">
            <v>31352</v>
          </cell>
        </row>
        <row r="38">
          <cell r="B38">
            <v>5740</v>
          </cell>
          <cell r="C38">
            <v>127</v>
          </cell>
          <cell r="F38" t="str">
            <v>УПНПиКРС</v>
          </cell>
          <cell r="G38">
            <v>290</v>
          </cell>
          <cell r="H38" t="str">
            <v>нагнет.</v>
          </cell>
          <cell r="I38" t="str">
            <v>под закачкой</v>
          </cell>
          <cell r="K38">
            <v>190</v>
          </cell>
          <cell r="N38">
            <v>190</v>
          </cell>
          <cell r="Q38">
            <v>0</v>
          </cell>
          <cell r="U38" t="str">
            <v>нг</v>
          </cell>
          <cell r="W38" t="str">
            <v>ОТСК</v>
          </cell>
          <cell r="Z38" t="str">
            <v>2962(35)</v>
          </cell>
          <cell r="AA38">
            <v>73</v>
          </cell>
          <cell r="AB38">
            <v>34090</v>
          </cell>
        </row>
        <row r="40">
          <cell r="B40">
            <v>5858</v>
          </cell>
          <cell r="C40">
            <v>169</v>
          </cell>
          <cell r="F40" t="str">
            <v>УПНПиКРС</v>
          </cell>
          <cell r="G40">
            <v>270</v>
          </cell>
          <cell r="H40" t="str">
            <v>фон</v>
          </cell>
          <cell r="I40" t="str">
            <v>бд</v>
          </cell>
          <cell r="J40">
            <v>36649</v>
          </cell>
          <cell r="K40">
            <v>7</v>
          </cell>
          <cell r="L40">
            <v>1</v>
          </cell>
          <cell r="M40">
            <v>82</v>
          </cell>
          <cell r="N40">
            <v>30</v>
          </cell>
          <cell r="O40">
            <v>12</v>
          </cell>
          <cell r="P40">
            <v>51</v>
          </cell>
          <cell r="Q40">
            <v>30</v>
          </cell>
          <cell r="R40">
            <v>12</v>
          </cell>
          <cell r="S40">
            <v>50.6</v>
          </cell>
          <cell r="T40">
            <v>7</v>
          </cell>
          <cell r="U40" t="str">
            <v>ГРП</v>
          </cell>
          <cell r="W40" t="str">
            <v xml:space="preserve">инт.ЮК-5  2613-2628м,РИР ЮК-10,ГРП </v>
          </cell>
        </row>
        <row r="41">
          <cell r="B41">
            <v>5853</v>
          </cell>
          <cell r="C41">
            <v>169</v>
          </cell>
          <cell r="F41" t="str">
            <v>УПНПиКРС</v>
          </cell>
          <cell r="G41">
            <v>270</v>
          </cell>
          <cell r="H41" t="str">
            <v>фон</v>
          </cell>
          <cell r="I41" t="str">
            <v>конс.</v>
          </cell>
          <cell r="J41">
            <v>35401</v>
          </cell>
          <cell r="K41">
            <v>1</v>
          </cell>
          <cell r="L41">
            <v>0.8</v>
          </cell>
          <cell r="M41">
            <v>0</v>
          </cell>
          <cell r="N41">
            <v>30</v>
          </cell>
          <cell r="O41">
            <v>12</v>
          </cell>
          <cell r="P41">
            <v>51</v>
          </cell>
          <cell r="Q41">
            <v>30</v>
          </cell>
          <cell r="R41">
            <v>12</v>
          </cell>
          <cell r="S41">
            <v>50.6</v>
          </cell>
          <cell r="T41">
            <v>7</v>
          </cell>
          <cell r="U41" t="str">
            <v>ГРП</v>
          </cell>
          <cell r="W41" t="str">
            <v xml:space="preserve">инт.ЮК-5  2601-2619м,РИР ЮК-10,ГРП </v>
          </cell>
        </row>
        <row r="42">
          <cell r="B42">
            <v>2608</v>
          </cell>
          <cell r="C42" t="str">
            <v>168б</v>
          </cell>
          <cell r="F42" t="str">
            <v>УПНПиКРС</v>
          </cell>
          <cell r="G42">
            <v>240</v>
          </cell>
          <cell r="H42" t="str">
            <v>ШГН</v>
          </cell>
          <cell r="I42" t="str">
            <v>действ.</v>
          </cell>
          <cell r="K42">
            <v>3</v>
          </cell>
          <cell r="L42">
            <v>2.2999999999999998</v>
          </cell>
          <cell r="M42">
            <v>5</v>
          </cell>
          <cell r="N42">
            <v>30</v>
          </cell>
          <cell r="O42">
            <v>14.3</v>
          </cell>
          <cell r="P42">
            <v>41.4</v>
          </cell>
          <cell r="Q42">
            <v>27</v>
          </cell>
          <cell r="R42">
            <v>12</v>
          </cell>
          <cell r="S42">
            <v>45.1</v>
          </cell>
          <cell r="T42">
            <v>37367</v>
          </cell>
          <cell r="U42" t="str">
            <v>ГРП</v>
          </cell>
          <cell r="V42">
            <v>2</v>
          </cell>
          <cell r="W42" t="str">
            <v>инт.ЮК 4-5 2569-2578, 2582-2592м,ГРП</v>
          </cell>
          <cell r="AD42">
            <v>37320</v>
          </cell>
          <cell r="AE42">
            <v>37360</v>
          </cell>
          <cell r="AF42">
            <v>40</v>
          </cell>
        </row>
        <row r="43">
          <cell r="B43">
            <v>2604</v>
          </cell>
          <cell r="C43">
            <v>167</v>
          </cell>
          <cell r="F43" t="str">
            <v>УПНПиКРС</v>
          </cell>
          <cell r="G43">
            <v>235</v>
          </cell>
          <cell r="H43" t="str">
            <v>ШГН</v>
          </cell>
          <cell r="I43" t="str">
            <v>конс.</v>
          </cell>
          <cell r="J43">
            <v>34243</v>
          </cell>
          <cell r="K43">
            <v>2</v>
          </cell>
          <cell r="L43">
            <v>1.6</v>
          </cell>
          <cell r="M43">
            <v>5</v>
          </cell>
          <cell r="N43">
            <v>30</v>
          </cell>
          <cell r="O43">
            <v>14.3</v>
          </cell>
          <cell r="P43">
            <v>41.4</v>
          </cell>
          <cell r="Q43">
            <v>30</v>
          </cell>
          <cell r="R43">
            <v>14.3</v>
          </cell>
          <cell r="S43">
            <v>41.2</v>
          </cell>
          <cell r="U43" t="str">
            <v>ГРП</v>
          </cell>
          <cell r="W43" t="str">
            <v>инт.ЮК 4-5 2598-2624м,ВЦ,ПП,ОПЗ</v>
          </cell>
          <cell r="Y43" t="str">
            <v>ОЦ</v>
          </cell>
        </row>
        <row r="44">
          <cell r="B44">
            <v>5587</v>
          </cell>
          <cell r="C44">
            <v>118</v>
          </cell>
          <cell r="F44" t="str">
            <v>УПНПиКРС</v>
          </cell>
          <cell r="G44">
            <v>250</v>
          </cell>
          <cell r="H44" t="str">
            <v>Ф/ЭЦН</v>
          </cell>
          <cell r="I44" t="str">
            <v>бд</v>
          </cell>
          <cell r="J44">
            <v>34883</v>
          </cell>
          <cell r="K44">
            <v>17</v>
          </cell>
          <cell r="L44">
            <v>1</v>
          </cell>
          <cell r="M44">
            <v>93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10</v>
          </cell>
          <cell r="U44" t="str">
            <v>ГРП</v>
          </cell>
          <cell r="W44" t="str">
            <v>ВЗ,ПП,ОПЗ,сп Э-50 интер.ЮК 3-4 2693-2716м</v>
          </cell>
        </row>
        <row r="45">
          <cell r="B45">
            <v>5455</v>
          </cell>
          <cell r="C45">
            <v>102</v>
          </cell>
          <cell r="F45" t="str">
            <v>УПНПиКРС</v>
          </cell>
          <cell r="H45" t="str">
            <v>ШГН</v>
          </cell>
          <cell r="I45" t="str">
            <v>конс.</v>
          </cell>
          <cell r="N45">
            <v>50</v>
          </cell>
          <cell r="O45">
            <v>30</v>
          </cell>
          <cell r="P45">
            <v>26.5</v>
          </cell>
          <cell r="Q45">
            <v>50</v>
          </cell>
          <cell r="R45">
            <v>30</v>
          </cell>
          <cell r="S45">
            <v>25.9</v>
          </cell>
          <cell r="U45" t="str">
            <v>ГРП</v>
          </cell>
          <cell r="W45" t="str">
            <v>Л.А.ВЦ, РИР ЮК-10, ПР к ГРП, ГРП ЮК-2, осв.</v>
          </cell>
          <cell r="Y45" t="str">
            <v>Н/пр-444м, по печати пост.предмет</v>
          </cell>
          <cell r="AF45">
            <v>38</v>
          </cell>
        </row>
        <row r="46">
          <cell r="B46">
            <v>5263</v>
          </cell>
          <cell r="C46">
            <v>133</v>
          </cell>
          <cell r="F46" t="str">
            <v>УПНПиКРС</v>
          </cell>
          <cell r="G46">
            <v>255</v>
          </cell>
          <cell r="H46" t="str">
            <v>ЭЦН</v>
          </cell>
          <cell r="I46" t="str">
            <v>бд</v>
          </cell>
          <cell r="J46">
            <v>33725</v>
          </cell>
          <cell r="K46">
            <v>10</v>
          </cell>
          <cell r="L46">
            <v>1.6</v>
          </cell>
          <cell r="M46">
            <v>80</v>
          </cell>
          <cell r="N46">
            <v>30</v>
          </cell>
          <cell r="O46">
            <v>12</v>
          </cell>
          <cell r="P46">
            <v>51</v>
          </cell>
          <cell r="Q46">
            <v>30</v>
          </cell>
          <cell r="R46">
            <v>12</v>
          </cell>
          <cell r="S46">
            <v>50.6</v>
          </cell>
          <cell r="T46">
            <v>13</v>
          </cell>
          <cell r="U46" t="str">
            <v>ГРП</v>
          </cell>
          <cell r="W46" t="str">
            <v>ЛА ( с НКТ ),инт.ЮК-4 2454-2462,ЮК-5 2408-2493м,при невозм.ЛА-ЗБС 2-го ( двустволка ),ЮК-10-2т,ЮК-4-12 т</v>
          </cell>
          <cell r="Y46" t="str">
            <v>На Нз 6штанг (по печати). Брошена КРС</v>
          </cell>
        </row>
        <row r="48">
          <cell r="B48">
            <v>3054</v>
          </cell>
          <cell r="C48">
            <v>51</v>
          </cell>
          <cell r="F48" t="str">
            <v>УПНПиКРС</v>
          </cell>
          <cell r="G48">
            <v>300</v>
          </cell>
          <cell r="H48" t="str">
            <v>нагнет.</v>
          </cell>
          <cell r="I48" t="str">
            <v>бд</v>
          </cell>
          <cell r="J48">
            <v>37016</v>
          </cell>
          <cell r="K48">
            <v>950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U48" t="str">
            <v>ГРП</v>
          </cell>
          <cell r="W48" t="str">
            <v>Инт. 2676-2688</v>
          </cell>
          <cell r="Y48" t="str">
            <v>ЗКЦ от 2840 до 2710, ГИС от 22.05.89</v>
          </cell>
        </row>
        <row r="49">
          <cell r="B49">
            <v>2974</v>
          </cell>
          <cell r="C49">
            <v>46</v>
          </cell>
          <cell r="F49" t="str">
            <v>УПНПиКРС</v>
          </cell>
          <cell r="G49">
            <v>295</v>
          </cell>
          <cell r="H49" t="str">
            <v>нагнет.</v>
          </cell>
          <cell r="I49" t="str">
            <v>бд</v>
          </cell>
          <cell r="J49">
            <v>36210</v>
          </cell>
          <cell r="K49">
            <v>360</v>
          </cell>
          <cell r="L49">
            <v>0</v>
          </cell>
          <cell r="N49">
            <v>30</v>
          </cell>
          <cell r="O49">
            <v>12</v>
          </cell>
          <cell r="P49">
            <v>51</v>
          </cell>
          <cell r="Q49">
            <v>30</v>
          </cell>
          <cell r="R49">
            <v>12</v>
          </cell>
          <cell r="S49">
            <v>50.6</v>
          </cell>
          <cell r="U49" t="str">
            <v>ГРП</v>
          </cell>
          <cell r="W49" t="str">
            <v>РИР Э/К, ГИС (и.о.) интерп2556-2580</v>
          </cell>
          <cell r="Y49" t="str">
            <v>При ГИС-2 от 12.12.92 негерметичность на гл.2520-2560</v>
          </cell>
        </row>
        <row r="50">
          <cell r="B50">
            <v>2956</v>
          </cell>
          <cell r="C50">
            <v>46</v>
          </cell>
          <cell r="F50" t="str">
            <v>УПНПиКРС</v>
          </cell>
          <cell r="G50">
            <v>265</v>
          </cell>
          <cell r="H50" t="str">
            <v>фон</v>
          </cell>
          <cell r="I50" t="str">
            <v>бд</v>
          </cell>
          <cell r="J50">
            <v>34851</v>
          </cell>
          <cell r="K50">
            <v>3</v>
          </cell>
          <cell r="L50">
            <v>2.2999999999999998</v>
          </cell>
          <cell r="N50">
            <v>30</v>
          </cell>
          <cell r="O50">
            <v>12</v>
          </cell>
          <cell r="P50">
            <v>51</v>
          </cell>
          <cell r="Q50">
            <v>30</v>
          </cell>
          <cell r="R50">
            <v>12</v>
          </cell>
          <cell r="S50">
            <v>50.6</v>
          </cell>
          <cell r="U50" t="str">
            <v>ГРП</v>
          </cell>
          <cell r="W50" t="str">
            <v>РИР ЮК-11,перевод на ЮК-10 ,сп Н-57,интер.ЮК-3 2500-2520м</v>
          </cell>
          <cell r="Y50" t="str">
            <v>Отсутствие забоя+ МСУ-100+2300 пров.</v>
          </cell>
        </row>
        <row r="52">
          <cell r="B52">
            <v>2836</v>
          </cell>
          <cell r="C52">
            <v>125</v>
          </cell>
          <cell r="F52" t="str">
            <v>УПНПиКРС</v>
          </cell>
          <cell r="G52">
            <v>240</v>
          </cell>
          <cell r="H52" t="str">
            <v>ШГН</v>
          </cell>
          <cell r="I52" t="str">
            <v>конс.</v>
          </cell>
          <cell r="J52">
            <v>35684</v>
          </cell>
          <cell r="K52">
            <v>4</v>
          </cell>
          <cell r="L52">
            <v>1.1000000000000001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U52" t="str">
            <v>ГРП</v>
          </cell>
          <cell r="W52" t="str">
            <v>ГИС-2,при отс.перетоков-опытно-пром.работы,ГРП п.А</v>
          </cell>
          <cell r="Y52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53">
          <cell r="B53">
            <v>2725</v>
          </cell>
          <cell r="C53">
            <v>146</v>
          </cell>
          <cell r="F53" t="str">
            <v>УПНПиКРС</v>
          </cell>
          <cell r="G53">
            <v>350</v>
          </cell>
          <cell r="H53" t="str">
            <v>нагнет.</v>
          </cell>
          <cell r="I53" t="str">
            <v>бд</v>
          </cell>
          <cell r="J53">
            <v>36627</v>
          </cell>
          <cell r="K53">
            <v>134</v>
          </cell>
          <cell r="L53">
            <v>0</v>
          </cell>
          <cell r="N53">
            <v>30</v>
          </cell>
          <cell r="O53">
            <v>12</v>
          </cell>
          <cell r="P53">
            <v>51</v>
          </cell>
          <cell r="Q53">
            <v>30</v>
          </cell>
          <cell r="R53">
            <v>12</v>
          </cell>
          <cell r="S53">
            <v>50.6</v>
          </cell>
          <cell r="U53" t="str">
            <v>ГРП</v>
          </cell>
          <cell r="W53" t="str">
            <v>ИР ЮК-10,ДП 2593-2602,2620-2630 ГРП</v>
          </cell>
        </row>
        <row r="54">
          <cell r="B54">
            <v>5318</v>
          </cell>
          <cell r="C54">
            <v>134</v>
          </cell>
          <cell r="F54" t="str">
            <v>УПНПиКРС</v>
          </cell>
          <cell r="G54">
            <v>242</v>
          </cell>
          <cell r="H54" t="str">
            <v>нагнет.</v>
          </cell>
          <cell r="I54" t="str">
            <v>бд</v>
          </cell>
          <cell r="J54">
            <v>36799</v>
          </cell>
          <cell r="K54">
            <v>120</v>
          </cell>
          <cell r="N54">
            <v>150</v>
          </cell>
          <cell r="Q54">
            <v>150</v>
          </cell>
          <cell r="R54">
            <v>0</v>
          </cell>
          <cell r="U54" t="str">
            <v>нг</v>
          </cell>
          <cell r="W54" t="str">
            <v>Спуск и привязка пакера, Запуск в ППД</v>
          </cell>
          <cell r="Y54" t="str">
            <v>Реагирует: 134/5292,5319,5317,5291 с Qн=7т/сут, доп.добыча состави 10т/сут</v>
          </cell>
          <cell r="AD54" t="e">
            <v>#REF!</v>
          </cell>
          <cell r="AE54" t="e">
            <v>#REF!</v>
          </cell>
          <cell r="AF54">
            <v>15</v>
          </cell>
        </row>
        <row r="55">
          <cell r="B55">
            <v>5338</v>
          </cell>
          <cell r="C55">
            <v>141</v>
          </cell>
          <cell r="F55" t="str">
            <v>УПНПиКРС</v>
          </cell>
          <cell r="G55">
            <v>275</v>
          </cell>
          <cell r="H55" t="str">
            <v>нагнет.</v>
          </cell>
          <cell r="I55" t="str">
            <v>бд</v>
          </cell>
          <cell r="J55">
            <v>36711</v>
          </cell>
          <cell r="K55">
            <v>230</v>
          </cell>
          <cell r="N55">
            <v>230</v>
          </cell>
          <cell r="Q55">
            <v>230</v>
          </cell>
          <cell r="U55" t="str">
            <v>нг</v>
          </cell>
          <cell r="W55" t="str">
            <v>Ревизия пакера</v>
          </cell>
          <cell r="Y55" t="str">
            <v>реагирует: 140/5311;141/5312;109/5364,5365, сQн=8т/с, доп. Дбыча =8т/сут</v>
          </cell>
        </row>
        <row r="56">
          <cell r="B56">
            <v>5840</v>
          </cell>
          <cell r="C56">
            <v>109</v>
          </cell>
          <cell r="F56" t="str">
            <v>УПНПиКРС</v>
          </cell>
          <cell r="G56">
            <v>285</v>
          </cell>
          <cell r="H56" t="str">
            <v>нагнет.</v>
          </cell>
          <cell r="I56" t="str">
            <v>конс.</v>
          </cell>
          <cell r="J56">
            <v>35333</v>
          </cell>
          <cell r="K56">
            <v>30</v>
          </cell>
          <cell r="Q56">
            <v>0</v>
          </cell>
          <cell r="U56" t="str">
            <v>нг</v>
          </cell>
          <cell r="W56" t="str">
            <v>Прмывка забоя, пуск под закачку</v>
          </cell>
        </row>
        <row r="57">
          <cell r="B57">
            <v>5371</v>
          </cell>
          <cell r="C57">
            <v>102</v>
          </cell>
          <cell r="F57" t="str">
            <v>УПНПиКРС</v>
          </cell>
          <cell r="G57">
            <v>255</v>
          </cell>
          <cell r="H57" t="str">
            <v>нагнет.</v>
          </cell>
          <cell r="I57" t="str">
            <v>бд</v>
          </cell>
          <cell r="J57">
            <v>35779</v>
          </cell>
          <cell r="K57">
            <v>240</v>
          </cell>
          <cell r="L57">
            <v>0</v>
          </cell>
          <cell r="Q57">
            <v>0</v>
          </cell>
          <cell r="U57" t="str">
            <v>нг</v>
          </cell>
          <cell r="W57" t="str">
            <v>Прмывка забоя, пуск под закачку</v>
          </cell>
        </row>
        <row r="58">
          <cell r="B58">
            <v>5372</v>
          </cell>
          <cell r="C58">
            <v>102</v>
          </cell>
          <cell r="F58" t="str">
            <v>УПНПиКРС</v>
          </cell>
          <cell r="G58">
            <v>250</v>
          </cell>
          <cell r="H58" t="str">
            <v>нагнет.</v>
          </cell>
          <cell r="I58" t="str">
            <v>бд</v>
          </cell>
          <cell r="J58">
            <v>32843</v>
          </cell>
          <cell r="K58">
            <v>130</v>
          </cell>
          <cell r="L58">
            <v>0</v>
          </cell>
          <cell r="Q58">
            <v>0</v>
          </cell>
          <cell r="U58" t="str">
            <v>нг</v>
          </cell>
          <cell r="W58" t="str">
            <v>Л,А. Прмывка забоя, пуск под закачку</v>
          </cell>
          <cell r="Y58" t="str">
            <v>Полет НКТ. Нз - 102 м</v>
          </cell>
        </row>
        <row r="59">
          <cell r="B59">
            <v>5373</v>
          </cell>
          <cell r="C59">
            <v>103</v>
          </cell>
          <cell r="F59" t="str">
            <v>УПНПиКРС</v>
          </cell>
          <cell r="G59">
            <v>239</v>
          </cell>
          <cell r="H59" t="str">
            <v>нагнет.</v>
          </cell>
          <cell r="I59" t="str">
            <v>конс.</v>
          </cell>
          <cell r="J59">
            <v>34474</v>
          </cell>
          <cell r="K59">
            <v>375</v>
          </cell>
          <cell r="L59">
            <v>0</v>
          </cell>
          <cell r="Q59">
            <v>0</v>
          </cell>
          <cell r="U59" t="str">
            <v>нг</v>
          </cell>
          <cell r="W59" t="str">
            <v>Прмывка забоя, пуск под закачку</v>
          </cell>
        </row>
        <row r="60">
          <cell r="B60">
            <v>5374</v>
          </cell>
          <cell r="C60">
            <v>103</v>
          </cell>
          <cell r="F60" t="str">
            <v>УПНПиКРС</v>
          </cell>
          <cell r="G60">
            <v>241</v>
          </cell>
          <cell r="H60" t="str">
            <v>нагнет.</v>
          </cell>
          <cell r="I60" t="str">
            <v>конс.</v>
          </cell>
          <cell r="J60">
            <v>34474</v>
          </cell>
          <cell r="K60">
            <v>180</v>
          </cell>
          <cell r="L60">
            <v>0</v>
          </cell>
          <cell r="Q60">
            <v>0</v>
          </cell>
          <cell r="U60" t="str">
            <v>нг</v>
          </cell>
          <cell r="W60" t="str">
            <v>Прмывка забоя, пуск под закачку</v>
          </cell>
        </row>
        <row r="61">
          <cell r="B61">
            <v>5626</v>
          </cell>
          <cell r="C61">
            <v>119</v>
          </cell>
          <cell r="G61">
            <v>252</v>
          </cell>
          <cell r="H61" t="str">
            <v>нагнет.</v>
          </cell>
          <cell r="I61" t="str">
            <v>бд</v>
          </cell>
          <cell r="N61">
            <v>150</v>
          </cell>
          <cell r="Q61">
            <v>150</v>
          </cell>
          <cell r="T61">
            <v>37391</v>
          </cell>
          <cell r="U61" t="str">
            <v>нг</v>
          </cell>
          <cell r="W61" t="str">
            <v>Прмывка забоя, пуск под закачку</v>
          </cell>
        </row>
        <row r="62">
          <cell r="B62">
            <v>5629</v>
          </cell>
          <cell r="C62">
            <v>120</v>
          </cell>
          <cell r="G62">
            <v>255</v>
          </cell>
          <cell r="H62" t="str">
            <v>нагнет.</v>
          </cell>
          <cell r="I62" t="str">
            <v>бд</v>
          </cell>
          <cell r="N62">
            <v>150</v>
          </cell>
          <cell r="Q62">
            <v>150</v>
          </cell>
          <cell r="T62">
            <v>37386</v>
          </cell>
          <cell r="U62" t="str">
            <v>нг</v>
          </cell>
          <cell r="W62" t="str">
            <v>Прмывка забоя, пуск под закачку</v>
          </cell>
        </row>
        <row r="63">
          <cell r="B63">
            <v>5631</v>
          </cell>
          <cell r="C63">
            <v>120</v>
          </cell>
          <cell r="G63">
            <v>261</v>
          </cell>
          <cell r="H63" t="str">
            <v>нагнет.</v>
          </cell>
          <cell r="I63" t="str">
            <v>бд</v>
          </cell>
          <cell r="N63">
            <v>150</v>
          </cell>
          <cell r="Q63">
            <v>150</v>
          </cell>
          <cell r="T63">
            <v>37386</v>
          </cell>
          <cell r="U63" t="str">
            <v>нг</v>
          </cell>
          <cell r="W63" t="str">
            <v>Прмывка забоя, пуск под закачку</v>
          </cell>
        </row>
        <row r="69">
          <cell r="B69" t="str">
            <v>Начальник ГО Красноленинского УНП</v>
          </cell>
          <cell r="W69" t="str">
            <v>И.Н.Авсянко</v>
          </cell>
        </row>
        <row r="71">
          <cell r="B71">
            <v>1</v>
          </cell>
          <cell r="C71">
            <v>2</v>
          </cell>
          <cell r="D71">
            <v>3</v>
          </cell>
          <cell r="E71">
            <v>4</v>
          </cell>
          <cell r="F71">
            <v>5</v>
          </cell>
          <cell r="G71">
            <v>6</v>
          </cell>
          <cell r="H71">
            <v>7</v>
          </cell>
          <cell r="I71">
            <v>8</v>
          </cell>
          <cell r="J71">
            <v>9</v>
          </cell>
          <cell r="K71">
            <v>10</v>
          </cell>
          <cell r="L71">
            <v>11</v>
          </cell>
          <cell r="M71">
            <v>12</v>
          </cell>
          <cell r="N71">
            <v>13</v>
          </cell>
          <cell r="O71">
            <v>14</v>
          </cell>
          <cell r="P71">
            <v>15</v>
          </cell>
          <cell r="Q71">
            <v>16</v>
          </cell>
          <cell r="R71">
            <v>17</v>
          </cell>
          <cell r="S71">
            <v>18</v>
          </cell>
          <cell r="T71">
            <v>19</v>
          </cell>
          <cell r="U71">
            <v>20</v>
          </cell>
          <cell r="W71">
            <v>22</v>
          </cell>
          <cell r="X71">
            <v>23</v>
          </cell>
          <cell r="Y71">
            <v>24</v>
          </cell>
          <cell r="Z71">
            <v>25</v>
          </cell>
          <cell r="AA71">
            <v>26</v>
          </cell>
          <cell r="AB71">
            <v>27</v>
          </cell>
          <cell r="AC71">
            <v>29</v>
          </cell>
          <cell r="AD71">
            <v>30</v>
          </cell>
          <cell r="AE71">
            <v>31</v>
          </cell>
          <cell r="AF71">
            <v>32</v>
          </cell>
          <cell r="AG71">
            <v>33</v>
          </cell>
          <cell r="AH71">
            <v>34</v>
          </cell>
        </row>
        <row r="73">
          <cell r="W73" t="str">
            <v>ПРС</v>
          </cell>
        </row>
        <row r="74">
          <cell r="B74">
            <v>5565</v>
          </cell>
          <cell r="C74">
            <v>120</v>
          </cell>
          <cell r="F74" t="str">
            <v>ПРС</v>
          </cell>
          <cell r="H74" t="str">
            <v>ЭЦН</v>
          </cell>
          <cell r="I74" t="str">
            <v>бд</v>
          </cell>
          <cell r="K74">
            <v>0</v>
          </cell>
          <cell r="L74">
            <v>0</v>
          </cell>
          <cell r="M74">
            <v>0</v>
          </cell>
          <cell r="N74">
            <v>32</v>
          </cell>
          <cell r="O74">
            <v>3.1</v>
          </cell>
          <cell r="P74">
            <v>88</v>
          </cell>
          <cell r="Q74">
            <v>32</v>
          </cell>
          <cell r="R74">
            <v>3.1</v>
          </cell>
          <cell r="S74">
            <v>88</v>
          </cell>
          <cell r="T74">
            <v>37671</v>
          </cell>
          <cell r="U74" t="str">
            <v>бдп</v>
          </cell>
          <cell r="W74" t="str">
            <v>Смена Э50/Э-30</v>
          </cell>
          <cell r="AD74">
            <v>37631</v>
          </cell>
          <cell r="AE74">
            <v>37664</v>
          </cell>
        </row>
        <row r="75">
          <cell r="B75">
            <v>4262</v>
          </cell>
          <cell r="C75">
            <v>200</v>
          </cell>
          <cell r="F75" t="str">
            <v>ПРС</v>
          </cell>
          <cell r="H75" t="str">
            <v>ЭЦН</v>
          </cell>
          <cell r="I75" t="str">
            <v>действ.</v>
          </cell>
          <cell r="K75">
            <v>268</v>
          </cell>
          <cell r="L75">
            <v>15.3</v>
          </cell>
          <cell r="M75">
            <v>93</v>
          </cell>
          <cell r="N75">
            <v>398</v>
          </cell>
          <cell r="O75">
            <v>22.7</v>
          </cell>
          <cell r="P75">
            <v>93</v>
          </cell>
          <cell r="Q75">
            <v>130</v>
          </cell>
          <cell r="R75">
            <v>7.3999999999999986</v>
          </cell>
          <cell r="S75">
            <v>93</v>
          </cell>
          <cell r="T75">
            <v>37695</v>
          </cell>
          <cell r="U75" t="str">
            <v>опт</v>
          </cell>
          <cell r="W75" t="str">
            <v>Смена Э-250/400</v>
          </cell>
        </row>
        <row r="76">
          <cell r="B76">
            <v>3666</v>
          </cell>
          <cell r="C76">
            <v>301</v>
          </cell>
          <cell r="F76" t="str">
            <v>ПРС</v>
          </cell>
          <cell r="H76" t="str">
            <v>ЭЦН</v>
          </cell>
          <cell r="I76" t="str">
            <v>действ.</v>
          </cell>
          <cell r="K76">
            <v>85</v>
          </cell>
          <cell r="L76">
            <v>4.2</v>
          </cell>
          <cell r="M76">
            <v>94</v>
          </cell>
          <cell r="N76">
            <v>237</v>
          </cell>
          <cell r="O76">
            <v>11.7</v>
          </cell>
          <cell r="P76">
            <v>93.95</v>
          </cell>
          <cell r="Q76">
            <v>152</v>
          </cell>
          <cell r="R76">
            <v>7.4999999999999991</v>
          </cell>
          <cell r="S76">
            <v>93.9</v>
          </cell>
          <cell r="T76">
            <v>37686</v>
          </cell>
          <cell r="U76" t="str">
            <v>опт</v>
          </cell>
          <cell r="W76" t="str">
            <v>Смена Э-125/250</v>
          </cell>
        </row>
        <row r="77">
          <cell r="B77">
            <v>3815</v>
          </cell>
          <cell r="C77">
            <v>87</v>
          </cell>
          <cell r="F77" t="str">
            <v>ПРС</v>
          </cell>
          <cell r="H77" t="str">
            <v>фон</v>
          </cell>
          <cell r="I77" t="str">
            <v>бд</v>
          </cell>
          <cell r="K77">
            <v>0</v>
          </cell>
          <cell r="L77">
            <v>0</v>
          </cell>
          <cell r="M77">
            <v>0</v>
          </cell>
          <cell r="N77">
            <v>125</v>
          </cell>
          <cell r="O77">
            <v>7.1</v>
          </cell>
          <cell r="P77">
            <v>93</v>
          </cell>
          <cell r="Q77">
            <v>125</v>
          </cell>
          <cell r="R77">
            <v>7.1</v>
          </cell>
          <cell r="S77">
            <v>93</v>
          </cell>
          <cell r="T77">
            <v>37699</v>
          </cell>
          <cell r="U77" t="str">
            <v>ВЦД</v>
          </cell>
        </row>
        <row r="78">
          <cell r="B78">
            <v>3659</v>
          </cell>
          <cell r="C78" t="str">
            <v>76б</v>
          </cell>
          <cell r="F78" t="str">
            <v>ПРС</v>
          </cell>
          <cell r="H78" t="str">
            <v>ЭЦН</v>
          </cell>
          <cell r="I78" t="str">
            <v>бд</v>
          </cell>
          <cell r="K78">
            <v>0</v>
          </cell>
          <cell r="L78">
            <v>0</v>
          </cell>
          <cell r="M78">
            <v>0</v>
          </cell>
          <cell r="N78">
            <v>50</v>
          </cell>
          <cell r="O78">
            <v>5.3</v>
          </cell>
          <cell r="P78">
            <v>87</v>
          </cell>
          <cell r="Q78">
            <v>50</v>
          </cell>
          <cell r="R78">
            <v>5.3</v>
          </cell>
          <cell r="S78">
            <v>86.9</v>
          </cell>
          <cell r="T78">
            <v>37709</v>
          </cell>
          <cell r="U78" t="str">
            <v>ВЦД</v>
          </cell>
        </row>
        <row r="79">
          <cell r="B79">
            <v>5240</v>
          </cell>
          <cell r="C79">
            <v>134</v>
          </cell>
          <cell r="F79" t="str">
            <v>ПРС</v>
          </cell>
          <cell r="H79" t="str">
            <v>ШГН</v>
          </cell>
          <cell r="I79" t="str">
            <v>бдт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6.6</v>
          </cell>
          <cell r="P79">
            <v>10</v>
          </cell>
          <cell r="Q79">
            <v>9</v>
          </cell>
          <cell r="R79">
            <v>6.6</v>
          </cell>
          <cell r="S79">
            <v>9.5</v>
          </cell>
          <cell r="T79">
            <v>37679</v>
          </cell>
          <cell r="U79" t="str">
            <v>бдт</v>
          </cell>
          <cell r="W79" t="str">
            <v>Смена вор/Н-44</v>
          </cell>
        </row>
        <row r="80">
          <cell r="B80">
            <v>5644</v>
          </cell>
          <cell r="C80">
            <v>126</v>
          </cell>
          <cell r="F80" t="str">
            <v>КРС</v>
          </cell>
          <cell r="H80" t="str">
            <v>ЭЦН</v>
          </cell>
          <cell r="I80" t="str">
            <v>действ.</v>
          </cell>
          <cell r="K80">
            <v>18</v>
          </cell>
          <cell r="L80">
            <v>12.8</v>
          </cell>
          <cell r="M80">
            <v>13</v>
          </cell>
          <cell r="N80">
            <v>25</v>
          </cell>
          <cell r="O80">
            <v>17.7</v>
          </cell>
          <cell r="P80">
            <v>13</v>
          </cell>
          <cell r="Q80">
            <v>7</v>
          </cell>
          <cell r="R80">
            <v>4.8999999999999986</v>
          </cell>
          <cell r="S80">
            <v>13.6</v>
          </cell>
          <cell r="T80">
            <v>37650</v>
          </cell>
          <cell r="U80" t="str">
            <v>ОПЗД</v>
          </cell>
          <cell r="AD80">
            <v>37631</v>
          </cell>
          <cell r="AE80">
            <v>37643</v>
          </cell>
        </row>
        <row r="81">
          <cell r="B81">
            <v>2695</v>
          </cell>
          <cell r="C81">
            <v>163</v>
          </cell>
          <cell r="F81" t="str">
            <v>ПРС</v>
          </cell>
          <cell r="H81" t="str">
            <v>фон</v>
          </cell>
          <cell r="I81" t="str">
            <v>конс.</v>
          </cell>
          <cell r="J81">
            <v>33725</v>
          </cell>
          <cell r="K81">
            <v>0</v>
          </cell>
          <cell r="L81">
            <v>0</v>
          </cell>
          <cell r="M81">
            <v>0</v>
          </cell>
          <cell r="N81">
            <v>15</v>
          </cell>
          <cell r="O81">
            <v>8.6</v>
          </cell>
          <cell r="P81">
            <v>30</v>
          </cell>
          <cell r="Q81">
            <v>15</v>
          </cell>
          <cell r="R81">
            <v>8.6</v>
          </cell>
          <cell r="S81">
            <v>29.2</v>
          </cell>
          <cell r="T81">
            <v>37650</v>
          </cell>
          <cell r="U81" t="str">
            <v>опт</v>
          </cell>
          <cell r="W81" t="str">
            <v>смена Н-57/Э-30</v>
          </cell>
          <cell r="AE81">
            <v>37657</v>
          </cell>
        </row>
        <row r="82">
          <cell r="B82">
            <v>3626</v>
          </cell>
          <cell r="C82">
            <v>301</v>
          </cell>
          <cell r="F82" t="str">
            <v>ПРС</v>
          </cell>
          <cell r="G82">
            <v>240</v>
          </cell>
          <cell r="H82" t="str">
            <v>ЭЦН</v>
          </cell>
          <cell r="I82" t="str">
            <v>бд</v>
          </cell>
          <cell r="J82">
            <v>34121</v>
          </cell>
          <cell r="K82">
            <v>0</v>
          </cell>
          <cell r="L82">
            <v>0</v>
          </cell>
          <cell r="M82">
            <v>0</v>
          </cell>
          <cell r="N82">
            <v>125</v>
          </cell>
          <cell r="O82">
            <v>5.0999999999999996</v>
          </cell>
          <cell r="P82">
            <v>95</v>
          </cell>
          <cell r="Q82">
            <v>125</v>
          </cell>
          <cell r="R82">
            <v>5.0999999999999996</v>
          </cell>
          <cell r="S82">
            <v>95</v>
          </cell>
          <cell r="T82">
            <v>37664</v>
          </cell>
          <cell r="U82" t="str">
            <v>бдп</v>
          </cell>
          <cell r="AE82">
            <v>37663</v>
          </cell>
        </row>
        <row r="83">
          <cell r="B83">
            <v>5611</v>
          </cell>
          <cell r="C83">
            <v>115</v>
          </cell>
          <cell r="F83" t="str">
            <v>ПРС</v>
          </cell>
          <cell r="H83" t="str">
            <v>ШГН</v>
          </cell>
          <cell r="I83" t="str">
            <v>действ.</v>
          </cell>
          <cell r="J83">
            <v>37640</v>
          </cell>
          <cell r="K83">
            <v>18</v>
          </cell>
          <cell r="L83">
            <v>8.1999999999999993</v>
          </cell>
          <cell r="M83">
            <v>44</v>
          </cell>
          <cell r="N83">
            <v>29</v>
          </cell>
          <cell r="O83">
            <v>13.2</v>
          </cell>
          <cell r="P83">
            <v>44</v>
          </cell>
          <cell r="Q83">
            <v>11</v>
          </cell>
          <cell r="R83">
            <v>5</v>
          </cell>
          <cell r="S83">
            <v>43.9</v>
          </cell>
          <cell r="T83">
            <v>37670</v>
          </cell>
          <cell r="U83" t="str">
            <v>опт</v>
          </cell>
          <cell r="AD83">
            <v>37645</v>
          </cell>
          <cell r="AE83">
            <v>37650</v>
          </cell>
        </row>
        <row r="84">
          <cell r="B84">
            <v>3424</v>
          </cell>
          <cell r="C84">
            <v>68</v>
          </cell>
          <cell r="F84" t="str">
            <v>Э-прогрев</v>
          </cell>
          <cell r="G84">
            <v>240</v>
          </cell>
          <cell r="H84" t="str">
            <v>ЭЦН</v>
          </cell>
          <cell r="I84" t="str">
            <v>конс.</v>
          </cell>
          <cell r="J84">
            <v>33939</v>
          </cell>
          <cell r="K84">
            <v>0</v>
          </cell>
          <cell r="L84">
            <v>0</v>
          </cell>
          <cell r="M84">
            <v>0</v>
          </cell>
          <cell r="N84">
            <v>125</v>
          </cell>
          <cell r="O84">
            <v>5.0999999999999996</v>
          </cell>
          <cell r="P84">
            <v>95</v>
          </cell>
          <cell r="Q84">
            <v>125</v>
          </cell>
          <cell r="R84">
            <v>5.0999999999999996</v>
          </cell>
          <cell r="S84">
            <v>95</v>
          </cell>
          <cell r="T84">
            <v>37657</v>
          </cell>
          <cell r="U84" t="str">
            <v>ВЦД</v>
          </cell>
          <cell r="W84" t="str">
            <v>ВЦ</v>
          </cell>
          <cell r="AD84">
            <v>37645</v>
          </cell>
          <cell r="AE84">
            <v>37666</v>
          </cell>
        </row>
        <row r="85">
          <cell r="B85">
            <v>5714</v>
          </cell>
          <cell r="C85">
            <v>128</v>
          </cell>
          <cell r="F85" t="str">
            <v>Э-прогрев</v>
          </cell>
          <cell r="G85">
            <v>280</v>
          </cell>
          <cell r="H85" t="str">
            <v>ЭЦН</v>
          </cell>
          <cell r="I85" t="str">
            <v>бд</v>
          </cell>
          <cell r="J85">
            <v>35753</v>
          </cell>
          <cell r="K85">
            <v>0</v>
          </cell>
          <cell r="L85">
            <v>0</v>
          </cell>
          <cell r="M85">
            <v>0</v>
          </cell>
          <cell r="N85">
            <v>50</v>
          </cell>
          <cell r="O85">
            <v>6.1</v>
          </cell>
          <cell r="P85">
            <v>85</v>
          </cell>
          <cell r="Q85">
            <v>50</v>
          </cell>
          <cell r="R85">
            <v>6.1</v>
          </cell>
          <cell r="S85">
            <v>84.9</v>
          </cell>
          <cell r="T85">
            <v>37673</v>
          </cell>
          <cell r="U85" t="str">
            <v>ВЦД</v>
          </cell>
          <cell r="W85" t="str">
            <v>ВЦ</v>
          </cell>
        </row>
        <row r="86">
          <cell r="B86">
            <v>5856</v>
          </cell>
          <cell r="C86">
            <v>169</v>
          </cell>
          <cell r="F86" t="str">
            <v>ПРС</v>
          </cell>
          <cell r="H86" t="str">
            <v>фон.</v>
          </cell>
          <cell r="I86" t="str">
            <v>бд</v>
          </cell>
          <cell r="J86">
            <v>36585</v>
          </cell>
          <cell r="K86">
            <v>0</v>
          </cell>
          <cell r="L86">
            <v>0</v>
          </cell>
          <cell r="M86">
            <v>0</v>
          </cell>
          <cell r="N86">
            <v>30</v>
          </cell>
          <cell r="O86">
            <v>3.7</v>
          </cell>
          <cell r="P86">
            <v>85</v>
          </cell>
          <cell r="Q86">
            <v>30</v>
          </cell>
          <cell r="R86">
            <v>3.7</v>
          </cell>
          <cell r="S86">
            <v>84.8</v>
          </cell>
          <cell r="T86">
            <v>37636</v>
          </cell>
          <cell r="U86" t="str">
            <v>бдп</v>
          </cell>
          <cell r="W86" t="str">
            <v>Смена вор./Э-30</v>
          </cell>
          <cell r="AD86">
            <v>37608</v>
          </cell>
          <cell r="AE86">
            <v>37642</v>
          </cell>
        </row>
        <row r="87">
          <cell r="B87">
            <v>3888</v>
          </cell>
          <cell r="C87">
            <v>99</v>
          </cell>
          <cell r="F87" t="str">
            <v>Э-прогрев</v>
          </cell>
          <cell r="G87">
            <v>240</v>
          </cell>
          <cell r="H87" t="str">
            <v>ЭЦН</v>
          </cell>
          <cell r="I87" t="str">
            <v>конс.</v>
          </cell>
          <cell r="J87">
            <v>34274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4.0999999999999996</v>
          </cell>
          <cell r="P87">
            <v>90</v>
          </cell>
          <cell r="Q87">
            <v>50</v>
          </cell>
          <cell r="R87">
            <v>4.0999999999999996</v>
          </cell>
          <cell r="S87">
            <v>89.9</v>
          </cell>
          <cell r="T87">
            <v>37685</v>
          </cell>
          <cell r="U87" t="str">
            <v>ВЦД</v>
          </cell>
          <cell r="W87" t="str">
            <v>ВЦ</v>
          </cell>
        </row>
        <row r="88">
          <cell r="B88">
            <v>5855</v>
          </cell>
          <cell r="C88">
            <v>169</v>
          </cell>
          <cell r="F88" t="str">
            <v>ПРС</v>
          </cell>
          <cell r="H88" t="str">
            <v>фон</v>
          </cell>
          <cell r="I88" t="str">
            <v>конс.</v>
          </cell>
          <cell r="J88">
            <v>35401</v>
          </cell>
          <cell r="K88">
            <v>0</v>
          </cell>
          <cell r="L88">
            <v>0</v>
          </cell>
          <cell r="M88">
            <v>0</v>
          </cell>
          <cell r="N88">
            <v>30</v>
          </cell>
          <cell r="O88">
            <v>12.2</v>
          </cell>
          <cell r="P88">
            <v>50</v>
          </cell>
          <cell r="Q88">
            <v>30</v>
          </cell>
          <cell r="R88">
            <v>12.2</v>
          </cell>
          <cell r="S88">
            <v>49.8</v>
          </cell>
          <cell r="T88">
            <v>37593</v>
          </cell>
          <cell r="U88" t="str">
            <v>вцд</v>
          </cell>
          <cell r="W88" t="str">
            <v>Смена вор./Э-30</v>
          </cell>
        </row>
        <row r="89">
          <cell r="B89">
            <v>5851</v>
          </cell>
          <cell r="C89">
            <v>169</v>
          </cell>
          <cell r="F89" t="str">
            <v>ПРС</v>
          </cell>
          <cell r="H89" t="str">
            <v>фон</v>
          </cell>
          <cell r="I89" t="str">
            <v>бд</v>
          </cell>
          <cell r="J89">
            <v>36840</v>
          </cell>
          <cell r="K89">
            <v>0</v>
          </cell>
          <cell r="L89">
            <v>0</v>
          </cell>
          <cell r="M89">
            <v>0</v>
          </cell>
          <cell r="N89">
            <v>80</v>
          </cell>
          <cell r="O89">
            <v>3.3</v>
          </cell>
          <cell r="P89">
            <v>95</v>
          </cell>
          <cell r="Q89">
            <v>80</v>
          </cell>
          <cell r="R89">
            <v>3.3</v>
          </cell>
          <cell r="S89">
            <v>94.9</v>
          </cell>
          <cell r="T89">
            <v>37607</v>
          </cell>
          <cell r="U89" t="str">
            <v>бдп</v>
          </cell>
          <cell r="W89" t="str">
            <v>Смена вор./Э-80</v>
          </cell>
        </row>
        <row r="90">
          <cell r="B90">
            <v>5715</v>
          </cell>
          <cell r="C90">
            <v>128</v>
          </cell>
          <cell r="F90" t="str">
            <v>ПРС</v>
          </cell>
          <cell r="H90" t="str">
            <v>фон</v>
          </cell>
          <cell r="I90" t="str">
            <v>бд</v>
          </cell>
          <cell r="J90">
            <v>32006</v>
          </cell>
          <cell r="K90">
            <v>0</v>
          </cell>
          <cell r="L90">
            <v>0</v>
          </cell>
          <cell r="M90">
            <v>0</v>
          </cell>
          <cell r="N90">
            <v>50</v>
          </cell>
          <cell r="O90">
            <v>8.1999999999999993</v>
          </cell>
          <cell r="P90">
            <v>80</v>
          </cell>
          <cell r="Q90">
            <v>50</v>
          </cell>
          <cell r="R90">
            <v>8.1999999999999993</v>
          </cell>
          <cell r="S90">
            <v>79.8</v>
          </cell>
          <cell r="T90">
            <v>37593</v>
          </cell>
          <cell r="U90" t="str">
            <v>вцд</v>
          </cell>
          <cell r="W90" t="str">
            <v>Смена вор./Э-50</v>
          </cell>
        </row>
        <row r="91">
          <cell r="B91">
            <v>2991</v>
          </cell>
          <cell r="C91">
            <v>48</v>
          </cell>
          <cell r="F91" t="str">
            <v>ПРС</v>
          </cell>
          <cell r="G91">
            <v>255</v>
          </cell>
          <cell r="H91" t="str">
            <v>ЭЦН</v>
          </cell>
          <cell r="I91" t="str">
            <v>действ.</v>
          </cell>
          <cell r="K91">
            <v>82</v>
          </cell>
          <cell r="L91">
            <v>10.7</v>
          </cell>
          <cell r="M91">
            <v>84</v>
          </cell>
          <cell r="N91">
            <v>118</v>
          </cell>
          <cell r="O91">
            <v>15.4</v>
          </cell>
          <cell r="P91">
            <v>84</v>
          </cell>
          <cell r="Q91">
            <v>36</v>
          </cell>
          <cell r="R91">
            <v>4.7000000000000011</v>
          </cell>
          <cell r="S91">
            <v>83.9</v>
          </cell>
          <cell r="T91">
            <v>37601</v>
          </cell>
          <cell r="U91" t="str">
            <v>опт</v>
          </cell>
          <cell r="W91" t="str">
            <v>Смена Э-80/Э-125</v>
          </cell>
        </row>
        <row r="92">
          <cell r="B92">
            <v>2921</v>
          </cell>
          <cell r="C92" t="str">
            <v>43б</v>
          </cell>
          <cell r="F92" t="str">
            <v>ПРС</v>
          </cell>
          <cell r="H92" t="str">
            <v>ШГН</v>
          </cell>
          <cell r="I92" t="str">
            <v>действ.</v>
          </cell>
          <cell r="K92">
            <v>26</v>
          </cell>
          <cell r="L92">
            <v>13.8</v>
          </cell>
          <cell r="M92">
            <v>35</v>
          </cell>
          <cell r="N92">
            <v>37</v>
          </cell>
          <cell r="O92">
            <v>19.8</v>
          </cell>
          <cell r="P92">
            <v>35</v>
          </cell>
          <cell r="Q92">
            <v>11</v>
          </cell>
          <cell r="R92">
            <v>6</v>
          </cell>
          <cell r="S92">
            <v>32.700000000000003</v>
          </cell>
          <cell r="T92">
            <v>37605</v>
          </cell>
          <cell r="U92" t="str">
            <v>опт</v>
          </cell>
          <cell r="W92" t="str">
            <v>Смена Н-44/Э-30</v>
          </cell>
          <cell r="Y92" t="str">
            <v>Нет СУ</v>
          </cell>
        </row>
        <row r="93">
          <cell r="B93">
            <v>5553</v>
          </cell>
          <cell r="C93">
            <v>117</v>
          </cell>
          <cell r="F93" t="str">
            <v>ПРС</v>
          </cell>
          <cell r="H93" t="str">
            <v>ШГН</v>
          </cell>
          <cell r="I93" t="str">
            <v>конс.</v>
          </cell>
          <cell r="J93">
            <v>33178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4.9000000000000004</v>
          </cell>
          <cell r="P93">
            <v>88</v>
          </cell>
          <cell r="Q93">
            <v>50</v>
          </cell>
          <cell r="R93">
            <v>4.9000000000000004</v>
          </cell>
          <cell r="S93">
            <v>87.9</v>
          </cell>
          <cell r="T93">
            <v>37551</v>
          </cell>
          <cell r="W93" t="str">
            <v>в.ц.,в.з.(г/ж),НН-57/Э-50</v>
          </cell>
          <cell r="X93" t="str">
            <v>непроход</v>
          </cell>
          <cell r="Z93" t="str">
            <v>?</v>
          </cell>
        </row>
        <row r="94">
          <cell r="B94">
            <v>2817</v>
          </cell>
          <cell r="C94">
            <v>145</v>
          </cell>
          <cell r="F94" t="str">
            <v>ПРС</v>
          </cell>
          <cell r="H94" t="str">
            <v>Ф/Э</v>
          </cell>
          <cell r="I94" t="str">
            <v>бд</v>
          </cell>
          <cell r="J94">
            <v>34282</v>
          </cell>
          <cell r="K94">
            <v>0</v>
          </cell>
          <cell r="L94">
            <v>0</v>
          </cell>
          <cell r="M94">
            <v>0</v>
          </cell>
          <cell r="N94">
            <v>50</v>
          </cell>
          <cell r="O94">
            <v>4.0999999999999996</v>
          </cell>
          <cell r="P94">
            <v>90</v>
          </cell>
          <cell r="Q94">
            <v>50</v>
          </cell>
          <cell r="R94">
            <v>4.0999999999999996</v>
          </cell>
          <cell r="S94">
            <v>89.9</v>
          </cell>
          <cell r="T94">
            <v>37585</v>
          </cell>
          <cell r="U94" t="str">
            <v>ВЦД</v>
          </cell>
          <cell r="W94" t="str">
            <v>в.ц.,в.з.(г/ж),рев.ЭЦН-50</v>
          </cell>
          <cell r="X94" t="str">
            <v>Прихват ЭЦН</v>
          </cell>
          <cell r="Y94" t="str">
            <v>комплект</v>
          </cell>
          <cell r="Z94" t="str">
            <v>?</v>
          </cell>
        </row>
        <row r="95">
          <cell r="B95">
            <v>2816</v>
          </cell>
          <cell r="C95">
            <v>145</v>
          </cell>
          <cell r="F95" t="str">
            <v>ПРС</v>
          </cell>
          <cell r="H95" t="str">
            <v>Ф/Э</v>
          </cell>
          <cell r="I95" t="str">
            <v>конс.</v>
          </cell>
          <cell r="J95">
            <v>34060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4.0999999999999996</v>
          </cell>
          <cell r="P95">
            <v>90</v>
          </cell>
          <cell r="Q95">
            <v>50</v>
          </cell>
          <cell r="R95">
            <v>4.0999999999999996</v>
          </cell>
          <cell r="S95">
            <v>89.9</v>
          </cell>
          <cell r="W95" t="str">
            <v>в.ц.,в.з.(г/ж),рев.ЭЦН-50</v>
          </cell>
          <cell r="Y95" t="str">
            <v>комплект</v>
          </cell>
        </row>
        <row r="96">
          <cell r="B96">
            <v>3034</v>
          </cell>
          <cell r="C96">
            <v>51</v>
          </cell>
          <cell r="F96" t="str">
            <v>ПРС</v>
          </cell>
          <cell r="H96" t="str">
            <v>ШГН</v>
          </cell>
          <cell r="I96" t="str">
            <v>конс.</v>
          </cell>
          <cell r="J96">
            <v>32933</v>
          </cell>
          <cell r="K96">
            <v>0</v>
          </cell>
          <cell r="L96">
            <v>0</v>
          </cell>
          <cell r="M96">
            <v>0</v>
          </cell>
          <cell r="N96">
            <v>30</v>
          </cell>
          <cell r="O96">
            <v>9.8000000000000007</v>
          </cell>
          <cell r="P96">
            <v>60</v>
          </cell>
          <cell r="Q96">
            <v>30</v>
          </cell>
          <cell r="R96">
            <v>9.8000000000000007</v>
          </cell>
          <cell r="S96">
            <v>59.7</v>
          </cell>
          <cell r="T96">
            <v>37581</v>
          </cell>
          <cell r="U96" t="str">
            <v>ВЦД</v>
          </cell>
          <cell r="W96" t="str">
            <v>в.ц.,в.з.(г/ж),рев.ЭЦН-30</v>
          </cell>
          <cell r="X96" t="str">
            <v>непроход</v>
          </cell>
          <cell r="Y96" t="str">
            <v>комплект</v>
          </cell>
          <cell r="Z96">
            <v>2</v>
          </cell>
        </row>
        <row r="97">
          <cell r="B97">
            <v>5704</v>
          </cell>
          <cell r="C97">
            <v>126</v>
          </cell>
          <cell r="F97" t="str">
            <v>ПРС</v>
          </cell>
          <cell r="H97" t="str">
            <v>ШГН</v>
          </cell>
          <cell r="I97" t="str">
            <v>бд</v>
          </cell>
          <cell r="J97">
            <v>37174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8.1999999999999993</v>
          </cell>
          <cell r="P97">
            <v>0</v>
          </cell>
          <cell r="Q97">
            <v>10</v>
          </cell>
          <cell r="R97">
            <v>8.1999999999999993</v>
          </cell>
          <cell r="S97">
            <v>-1.2</v>
          </cell>
          <cell r="W97" t="str">
            <v>ВЦ КОПС,ВЗ(ГЖ)рев.НВ-44</v>
          </cell>
          <cell r="Y97" t="str">
            <v>комплект</v>
          </cell>
        </row>
        <row r="98">
          <cell r="B98">
            <v>5339</v>
          </cell>
          <cell r="C98">
            <v>141</v>
          </cell>
          <cell r="F98" t="str">
            <v>ПРС</v>
          </cell>
          <cell r="H98" t="str">
            <v>ШГН</v>
          </cell>
          <cell r="I98" t="str">
            <v>бд</v>
          </cell>
          <cell r="J98">
            <v>36126</v>
          </cell>
          <cell r="K98">
            <v>0</v>
          </cell>
          <cell r="L98">
            <v>0</v>
          </cell>
          <cell r="M98">
            <v>0</v>
          </cell>
          <cell r="N98">
            <v>10</v>
          </cell>
          <cell r="O98">
            <v>6.1</v>
          </cell>
          <cell r="P98">
            <v>25</v>
          </cell>
          <cell r="Q98">
            <v>10</v>
          </cell>
          <cell r="R98">
            <v>6.1</v>
          </cell>
          <cell r="S98">
            <v>24.7</v>
          </cell>
          <cell r="W98" t="str">
            <v>в.ц.,в.з.(г/ж),рев.НВ-44</v>
          </cell>
          <cell r="Z98">
            <v>78</v>
          </cell>
        </row>
        <row r="99">
          <cell r="B99">
            <v>5545</v>
          </cell>
          <cell r="C99">
            <v>115</v>
          </cell>
          <cell r="F99" t="str">
            <v>ПРС</v>
          </cell>
          <cell r="H99" t="str">
            <v>ЭЦН</v>
          </cell>
          <cell r="I99" t="str">
            <v>бд</v>
          </cell>
          <cell r="J99">
            <v>34484</v>
          </cell>
          <cell r="K99">
            <v>0</v>
          </cell>
          <cell r="L99">
            <v>0</v>
          </cell>
          <cell r="M99">
            <v>0</v>
          </cell>
          <cell r="N99">
            <v>250</v>
          </cell>
          <cell r="O99">
            <v>6.1</v>
          </cell>
          <cell r="P99">
            <v>97</v>
          </cell>
          <cell r="Q99">
            <v>250</v>
          </cell>
          <cell r="R99">
            <v>6.1</v>
          </cell>
          <cell r="S99">
            <v>97</v>
          </cell>
          <cell r="W99" t="str">
            <v>ВЗ(ГЖ),шабл.Э/К,см.Э-125/Э-250</v>
          </cell>
          <cell r="Y99" t="str">
            <v>комплект</v>
          </cell>
          <cell r="Z99">
            <v>72</v>
          </cell>
        </row>
        <row r="100">
          <cell r="B100">
            <v>5642</v>
          </cell>
          <cell r="C100">
            <v>126</v>
          </cell>
          <cell r="F100" t="str">
            <v>ПРС</v>
          </cell>
          <cell r="H100" t="str">
            <v>ШГН</v>
          </cell>
          <cell r="I100" t="str">
            <v>бд</v>
          </cell>
          <cell r="J100">
            <v>36997</v>
          </cell>
          <cell r="K100">
            <v>0</v>
          </cell>
          <cell r="L100">
            <v>0</v>
          </cell>
          <cell r="M100">
            <v>0</v>
          </cell>
          <cell r="N100">
            <v>12</v>
          </cell>
          <cell r="O100">
            <v>5.9</v>
          </cell>
          <cell r="P100">
            <v>40</v>
          </cell>
          <cell r="Q100">
            <v>12</v>
          </cell>
          <cell r="R100">
            <v>5.9</v>
          </cell>
          <cell r="S100">
            <v>39.299999999999997</v>
          </cell>
          <cell r="W100" t="str">
            <v>ВЦ КОПС,ВЗ(ГЖ)рев.НВ-44</v>
          </cell>
          <cell r="Z100">
            <v>7</v>
          </cell>
        </row>
        <row r="101">
          <cell r="B101">
            <v>5219</v>
          </cell>
          <cell r="C101">
            <v>135</v>
          </cell>
          <cell r="F101" t="str">
            <v>ПРС</v>
          </cell>
          <cell r="H101" t="str">
            <v>ЭЦН</v>
          </cell>
          <cell r="I101" t="str">
            <v>конс.</v>
          </cell>
          <cell r="J101">
            <v>34366</v>
          </cell>
          <cell r="K101">
            <v>0</v>
          </cell>
          <cell r="L101">
            <v>0</v>
          </cell>
          <cell r="M101">
            <v>0</v>
          </cell>
          <cell r="N101">
            <v>80</v>
          </cell>
          <cell r="O101">
            <v>5.2</v>
          </cell>
          <cell r="P101">
            <v>92</v>
          </cell>
          <cell r="Q101">
            <v>80</v>
          </cell>
          <cell r="R101">
            <v>5.2</v>
          </cell>
          <cell r="S101">
            <v>92</v>
          </cell>
          <cell r="W101" t="str">
            <v>в.ц.,в.з.(г/ж),Э-50/Э-80</v>
          </cell>
          <cell r="Z101" t="str">
            <v>?</v>
          </cell>
        </row>
        <row r="102">
          <cell r="B102">
            <v>5591</v>
          </cell>
          <cell r="C102">
            <v>118</v>
          </cell>
          <cell r="F102" t="str">
            <v>ПРС</v>
          </cell>
          <cell r="H102" t="str">
            <v>ШГН</v>
          </cell>
          <cell r="I102" t="str">
            <v>конс.</v>
          </cell>
          <cell r="J102">
            <v>34153</v>
          </cell>
          <cell r="K102">
            <v>0</v>
          </cell>
          <cell r="L102">
            <v>0</v>
          </cell>
          <cell r="M102">
            <v>0</v>
          </cell>
          <cell r="N102">
            <v>125</v>
          </cell>
          <cell r="O102">
            <v>5.0999999999999996</v>
          </cell>
          <cell r="P102">
            <v>95</v>
          </cell>
          <cell r="Q102">
            <v>125</v>
          </cell>
          <cell r="R102">
            <v>5.0999999999999996</v>
          </cell>
          <cell r="S102">
            <v>95</v>
          </cell>
          <cell r="W102" t="str">
            <v>в.ц.,рев.Э-125</v>
          </cell>
          <cell r="Z102">
            <v>4</v>
          </cell>
        </row>
        <row r="103">
          <cell r="B103">
            <v>5589</v>
          </cell>
          <cell r="C103">
            <v>118</v>
          </cell>
          <cell r="F103" t="str">
            <v>ПРС</v>
          </cell>
          <cell r="H103" t="str">
            <v>Ф/Э</v>
          </cell>
          <cell r="I103" t="str">
            <v>конс.</v>
          </cell>
          <cell r="J103">
            <v>32843</v>
          </cell>
          <cell r="K103">
            <v>0</v>
          </cell>
          <cell r="L103">
            <v>0</v>
          </cell>
          <cell r="M103">
            <v>0</v>
          </cell>
          <cell r="N103">
            <v>125</v>
          </cell>
          <cell r="O103">
            <v>5.0999999999999996</v>
          </cell>
          <cell r="P103">
            <v>95</v>
          </cell>
          <cell r="Q103">
            <v>125</v>
          </cell>
          <cell r="R103">
            <v>5.0999999999999996</v>
          </cell>
          <cell r="S103">
            <v>95</v>
          </cell>
          <cell r="W103" t="str">
            <v>в.ц.,в.з.(г/ж),рев.ЭЦН-125</v>
          </cell>
          <cell r="Y103" t="str">
            <v>комплект</v>
          </cell>
          <cell r="Z103">
            <v>25</v>
          </cell>
        </row>
        <row r="104">
          <cell r="B104">
            <v>5675</v>
          </cell>
          <cell r="C104">
            <v>126</v>
          </cell>
          <cell r="F104" t="str">
            <v>ПРС</v>
          </cell>
          <cell r="H104" t="str">
            <v>ШГН</v>
          </cell>
          <cell r="I104" t="str">
            <v>конс.</v>
          </cell>
          <cell r="J104">
            <v>35585</v>
          </cell>
          <cell r="K104">
            <v>0</v>
          </cell>
          <cell r="L104">
            <v>0</v>
          </cell>
          <cell r="M104">
            <v>0</v>
          </cell>
          <cell r="N104">
            <v>10</v>
          </cell>
          <cell r="O104">
            <v>4.9000000000000004</v>
          </cell>
          <cell r="P104">
            <v>40</v>
          </cell>
          <cell r="Q104">
            <v>10</v>
          </cell>
          <cell r="R104">
            <v>4.9000000000000004</v>
          </cell>
          <cell r="S104">
            <v>39.5</v>
          </cell>
          <cell r="W104" t="str">
            <v>в.ц.,в.з.(г/ж),рев.НВ-44</v>
          </cell>
          <cell r="Y104" t="str">
            <v>комплект</v>
          </cell>
          <cell r="Z104" t="str">
            <v>?</v>
          </cell>
        </row>
        <row r="105">
          <cell r="B105">
            <v>5493</v>
          </cell>
          <cell r="C105">
            <v>106</v>
          </cell>
          <cell r="F105" t="str">
            <v>ПРС</v>
          </cell>
          <cell r="H105" t="str">
            <v>ШГН</v>
          </cell>
          <cell r="I105" t="str">
            <v>конс.</v>
          </cell>
          <cell r="J105">
            <v>35247</v>
          </cell>
          <cell r="K105">
            <v>0</v>
          </cell>
          <cell r="L105">
            <v>0</v>
          </cell>
          <cell r="M105">
            <v>0</v>
          </cell>
          <cell r="N105">
            <v>12</v>
          </cell>
          <cell r="O105">
            <v>4.9000000000000004</v>
          </cell>
          <cell r="P105">
            <v>50</v>
          </cell>
          <cell r="Q105">
            <v>12</v>
          </cell>
          <cell r="R105">
            <v>4.9000000000000004</v>
          </cell>
          <cell r="S105">
            <v>49.6</v>
          </cell>
          <cell r="W105" t="str">
            <v>в.ц.,рев.НВ-44</v>
          </cell>
        </row>
        <row r="106">
          <cell r="B106">
            <v>5587</v>
          </cell>
          <cell r="C106">
            <v>118</v>
          </cell>
          <cell r="F106" t="str">
            <v>ПРС</v>
          </cell>
          <cell r="H106" t="str">
            <v>Ф/Э</v>
          </cell>
          <cell r="I106" t="str">
            <v>бд</v>
          </cell>
          <cell r="J106">
            <v>34883</v>
          </cell>
          <cell r="K106">
            <v>0</v>
          </cell>
          <cell r="L106">
            <v>0</v>
          </cell>
          <cell r="M106">
            <v>0</v>
          </cell>
          <cell r="N106">
            <v>50</v>
          </cell>
          <cell r="O106">
            <v>4.9000000000000004</v>
          </cell>
          <cell r="P106">
            <v>88</v>
          </cell>
          <cell r="Q106">
            <v>50</v>
          </cell>
          <cell r="R106">
            <v>4.9000000000000004</v>
          </cell>
          <cell r="S106">
            <v>87.9</v>
          </cell>
          <cell r="W106" t="str">
            <v>в.ц.,в.з.(г/ж),вор./Э-50</v>
          </cell>
        </row>
        <row r="107">
          <cell r="B107">
            <v>5495</v>
          </cell>
          <cell r="C107">
            <v>106</v>
          </cell>
          <cell r="F107" t="str">
            <v>ПРС</v>
          </cell>
          <cell r="H107" t="str">
            <v>ЭЦН</v>
          </cell>
          <cell r="I107" t="str">
            <v>бд</v>
          </cell>
          <cell r="J107">
            <v>33755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4.9000000000000004</v>
          </cell>
          <cell r="P107">
            <v>88</v>
          </cell>
          <cell r="Q107">
            <v>50</v>
          </cell>
          <cell r="R107">
            <v>4.9000000000000004</v>
          </cell>
          <cell r="S107">
            <v>87.9</v>
          </cell>
          <cell r="T107">
            <v>37583</v>
          </cell>
          <cell r="U107" t="str">
            <v>ВЦД</v>
          </cell>
          <cell r="W107" t="str">
            <v>в.ц.,в.з.(г/ж),рев.ЭЦН-50</v>
          </cell>
          <cell r="X107" t="str">
            <v>Низкий приток</v>
          </cell>
          <cell r="Y107" t="str">
            <v>комплект</v>
          </cell>
          <cell r="Z107" t="str">
            <v>?</v>
          </cell>
        </row>
        <row r="108">
          <cell r="B108">
            <v>5553</v>
          </cell>
          <cell r="C108">
            <v>117</v>
          </cell>
          <cell r="F108" t="str">
            <v>ПРС</v>
          </cell>
          <cell r="H108" t="str">
            <v>ШГН</v>
          </cell>
          <cell r="I108" t="str">
            <v>конс.</v>
          </cell>
          <cell r="J108">
            <v>33178</v>
          </cell>
          <cell r="K108">
            <v>0</v>
          </cell>
          <cell r="L108">
            <v>0</v>
          </cell>
          <cell r="M108">
            <v>0</v>
          </cell>
          <cell r="N108">
            <v>50</v>
          </cell>
          <cell r="O108">
            <v>4.9000000000000004</v>
          </cell>
          <cell r="P108">
            <v>88</v>
          </cell>
          <cell r="Q108">
            <v>50</v>
          </cell>
          <cell r="R108">
            <v>4.9000000000000004</v>
          </cell>
          <cell r="S108">
            <v>87.9</v>
          </cell>
          <cell r="W108" t="str">
            <v>в.ц.,в.з.(г/ж),НН-57/Э-50</v>
          </cell>
          <cell r="Z108" t="str">
            <v>?</v>
          </cell>
        </row>
        <row r="109">
          <cell r="B109">
            <v>5462</v>
          </cell>
          <cell r="C109">
            <v>104</v>
          </cell>
          <cell r="F109" t="str">
            <v>ПРС</v>
          </cell>
          <cell r="H109" t="str">
            <v>ЭЦН</v>
          </cell>
          <cell r="I109" t="str">
            <v>бд</v>
          </cell>
          <cell r="J109">
            <v>34851</v>
          </cell>
          <cell r="K109">
            <v>0</v>
          </cell>
          <cell r="L109">
            <v>0</v>
          </cell>
          <cell r="M109">
            <v>0</v>
          </cell>
          <cell r="N109">
            <v>80</v>
          </cell>
          <cell r="O109">
            <v>4.5999999999999996</v>
          </cell>
          <cell r="P109">
            <v>93</v>
          </cell>
          <cell r="Q109">
            <v>80</v>
          </cell>
          <cell r="R109">
            <v>4.5999999999999996</v>
          </cell>
          <cell r="S109">
            <v>92.9</v>
          </cell>
          <cell r="W109" t="str">
            <v>в.ц.,в.з.(г/ж),рев.ЭЦН-80</v>
          </cell>
        </row>
        <row r="110">
          <cell r="B110" t="str">
            <v>5411б</v>
          </cell>
          <cell r="C110">
            <v>107</v>
          </cell>
          <cell r="F110" t="str">
            <v>ПРС</v>
          </cell>
          <cell r="H110" t="str">
            <v>ШГН</v>
          </cell>
          <cell r="I110" t="str">
            <v>бд</v>
          </cell>
          <cell r="J110">
            <v>35992</v>
          </cell>
          <cell r="K110">
            <v>0</v>
          </cell>
          <cell r="L110">
            <v>0</v>
          </cell>
          <cell r="M110">
            <v>0</v>
          </cell>
          <cell r="N110">
            <v>6</v>
          </cell>
          <cell r="O110">
            <v>4.4000000000000004</v>
          </cell>
          <cell r="P110">
            <v>10</v>
          </cell>
          <cell r="Q110">
            <v>6</v>
          </cell>
          <cell r="R110">
            <v>4.4000000000000004</v>
          </cell>
          <cell r="S110">
            <v>9.5</v>
          </cell>
          <cell r="W110" t="str">
            <v>в.ц.,рев.НВ-32</v>
          </cell>
          <cell r="Y110" t="str">
            <v>комплект(нет центра)</v>
          </cell>
          <cell r="Z110" t="str">
            <v>26</v>
          </cell>
        </row>
        <row r="111">
          <cell r="B111">
            <v>2862</v>
          </cell>
          <cell r="C111">
            <v>127</v>
          </cell>
          <cell r="F111" t="str">
            <v>ПРС</v>
          </cell>
          <cell r="H111" t="str">
            <v>ШГН</v>
          </cell>
          <cell r="I111" t="str">
            <v>бд</v>
          </cell>
          <cell r="J111">
            <v>37142</v>
          </cell>
          <cell r="K111">
            <v>0</v>
          </cell>
          <cell r="L111">
            <v>0</v>
          </cell>
          <cell r="M111">
            <v>0</v>
          </cell>
          <cell r="N111">
            <v>50</v>
          </cell>
          <cell r="O111">
            <v>4.0999999999999996</v>
          </cell>
          <cell r="P111">
            <v>90</v>
          </cell>
          <cell r="Q111">
            <v>50</v>
          </cell>
          <cell r="R111">
            <v>4.0999999999999996</v>
          </cell>
          <cell r="S111">
            <v>89.9</v>
          </cell>
          <cell r="W111" t="str">
            <v>в.ц.,НН-57/Э-50</v>
          </cell>
          <cell r="Y111" t="str">
            <v>Нет ЭД, СУ.</v>
          </cell>
          <cell r="Z111" t="str">
            <v>?</v>
          </cell>
        </row>
        <row r="112">
          <cell r="B112">
            <v>2861</v>
          </cell>
          <cell r="C112">
            <v>127</v>
          </cell>
          <cell r="F112" t="str">
            <v>ПРС</v>
          </cell>
          <cell r="H112" t="str">
            <v>ШГН</v>
          </cell>
          <cell r="I112" t="str">
            <v>бд</v>
          </cell>
          <cell r="J112">
            <v>35455</v>
          </cell>
          <cell r="K112">
            <v>0</v>
          </cell>
          <cell r="L112">
            <v>0</v>
          </cell>
          <cell r="M112">
            <v>0</v>
          </cell>
          <cell r="N112">
            <v>50</v>
          </cell>
          <cell r="O112">
            <v>4.0999999999999996</v>
          </cell>
          <cell r="P112">
            <v>90</v>
          </cell>
          <cell r="Q112">
            <v>50</v>
          </cell>
          <cell r="R112">
            <v>4.0999999999999996</v>
          </cell>
          <cell r="S112">
            <v>89.9</v>
          </cell>
          <cell r="W112" t="str">
            <v>в.ц.,в.з.(г/ж),НН-57/Э-50</v>
          </cell>
          <cell r="Z112">
            <v>19.82</v>
          </cell>
        </row>
        <row r="113">
          <cell r="B113">
            <v>5224</v>
          </cell>
          <cell r="C113">
            <v>145</v>
          </cell>
          <cell r="F113" t="str">
            <v>ПРС</v>
          </cell>
          <cell r="H113" t="str">
            <v>Ф/Э</v>
          </cell>
          <cell r="I113" t="str">
            <v>конс.</v>
          </cell>
          <cell r="J113">
            <v>34883</v>
          </cell>
          <cell r="K113">
            <v>0</v>
          </cell>
          <cell r="L113">
            <v>0</v>
          </cell>
          <cell r="M113">
            <v>0</v>
          </cell>
          <cell r="N113">
            <v>50</v>
          </cell>
          <cell r="O113">
            <v>4.0999999999999996</v>
          </cell>
          <cell r="P113">
            <v>90</v>
          </cell>
          <cell r="Q113">
            <v>50</v>
          </cell>
          <cell r="R113">
            <v>4.0999999999999996</v>
          </cell>
          <cell r="S113">
            <v>89.9</v>
          </cell>
          <cell r="W113" t="str">
            <v>рев.Э-50</v>
          </cell>
          <cell r="Z113">
            <v>15</v>
          </cell>
        </row>
        <row r="114">
          <cell r="B114">
            <v>5583</v>
          </cell>
          <cell r="C114">
            <v>116</v>
          </cell>
          <cell r="F114" t="str">
            <v>ПРС</v>
          </cell>
          <cell r="H114" t="str">
            <v>Ф/Э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4.0999999999999996</v>
          </cell>
          <cell r="P114">
            <v>90</v>
          </cell>
          <cell r="Q114">
            <v>50</v>
          </cell>
          <cell r="R114">
            <v>4.0999999999999996</v>
          </cell>
          <cell r="S114">
            <v>89.9</v>
          </cell>
          <cell r="W114" t="str">
            <v>в.ц.,в.з.(г/ж),рев.ЭЦН-50</v>
          </cell>
          <cell r="Z114">
            <v>1</v>
          </cell>
        </row>
        <row r="115">
          <cell r="B115">
            <v>5461</v>
          </cell>
          <cell r="C115">
            <v>104</v>
          </cell>
          <cell r="F115" t="str">
            <v>ПРС</v>
          </cell>
          <cell r="H115" t="str">
            <v>ЭЦН</v>
          </cell>
          <cell r="I115" t="str">
            <v>конс.</v>
          </cell>
          <cell r="J115">
            <v>34851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4.0999999999999996</v>
          </cell>
          <cell r="P115">
            <v>90</v>
          </cell>
          <cell r="Q115">
            <v>50</v>
          </cell>
          <cell r="R115">
            <v>4.0999999999999996</v>
          </cell>
          <cell r="S115">
            <v>89.9</v>
          </cell>
          <cell r="W115" t="str">
            <v>в.ц.,в.з.(г/ж),ЭЦН-80/Э-50</v>
          </cell>
          <cell r="Y115" t="str">
            <v xml:space="preserve">КОПС </v>
          </cell>
          <cell r="Z115">
            <v>362</v>
          </cell>
        </row>
        <row r="116">
          <cell r="B116">
            <v>5352</v>
          </cell>
          <cell r="C116">
            <v>104</v>
          </cell>
          <cell r="F116" t="str">
            <v>ПРС</v>
          </cell>
          <cell r="H116" t="str">
            <v>ЭЦН</v>
          </cell>
          <cell r="I116" t="str">
            <v>бд</v>
          </cell>
          <cell r="J116">
            <v>34001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4.0999999999999996</v>
          </cell>
          <cell r="P116">
            <v>90</v>
          </cell>
          <cell r="Q116">
            <v>50</v>
          </cell>
          <cell r="R116">
            <v>4.0999999999999996</v>
          </cell>
          <cell r="S116">
            <v>89.9</v>
          </cell>
          <cell r="W116" t="str">
            <v>в.ц.,в.з.(г/ж),ЭЦН-80/Э-50</v>
          </cell>
          <cell r="Y116" t="str">
            <v>комплект</v>
          </cell>
        </row>
        <row r="117">
          <cell r="B117">
            <v>5309</v>
          </cell>
          <cell r="C117">
            <v>140</v>
          </cell>
          <cell r="F117" t="str">
            <v>ПРС</v>
          </cell>
          <cell r="H117" t="str">
            <v>ШГН</v>
          </cell>
          <cell r="I117" t="str">
            <v>бд</v>
          </cell>
          <cell r="J117">
            <v>35443</v>
          </cell>
          <cell r="K117">
            <v>0</v>
          </cell>
          <cell r="L117">
            <v>0</v>
          </cell>
          <cell r="M117">
            <v>0</v>
          </cell>
          <cell r="N117">
            <v>5</v>
          </cell>
          <cell r="O117">
            <v>3.7</v>
          </cell>
          <cell r="P117">
            <v>10</v>
          </cell>
          <cell r="Q117">
            <v>5</v>
          </cell>
          <cell r="R117">
            <v>3.7</v>
          </cell>
          <cell r="S117">
            <v>8.6</v>
          </cell>
          <cell r="W117" t="str">
            <v>в.ц.,в.з.(г/ж),вор./НВ-32</v>
          </cell>
        </row>
        <row r="118">
          <cell r="B118">
            <v>5454</v>
          </cell>
          <cell r="C118">
            <v>102</v>
          </cell>
          <cell r="F118" t="str">
            <v>ПРС</v>
          </cell>
          <cell r="H118" t="str">
            <v>Ф/Э</v>
          </cell>
          <cell r="I118" t="str">
            <v>бд</v>
          </cell>
          <cell r="J118">
            <v>34771</v>
          </cell>
          <cell r="K118">
            <v>0</v>
          </cell>
          <cell r="L118">
            <v>0</v>
          </cell>
          <cell r="M118">
            <v>0</v>
          </cell>
          <cell r="N118">
            <v>80</v>
          </cell>
          <cell r="O118">
            <v>3.3</v>
          </cell>
          <cell r="P118">
            <v>95</v>
          </cell>
          <cell r="Q118">
            <v>80</v>
          </cell>
          <cell r="R118">
            <v>3.3</v>
          </cell>
          <cell r="S118">
            <v>94.9</v>
          </cell>
          <cell r="W118" t="str">
            <v>отб.заб.,при (-)в.з.(г/ж), Э-80/Э-80</v>
          </cell>
          <cell r="Y118" t="str">
            <v>Нет ЭД,СУ.</v>
          </cell>
          <cell r="Z118">
            <v>-16</v>
          </cell>
        </row>
        <row r="119">
          <cell r="B119">
            <v>2758</v>
          </cell>
          <cell r="C119">
            <v>144</v>
          </cell>
          <cell r="F119" t="str">
            <v>ПРС</v>
          </cell>
          <cell r="H119" t="str">
            <v>ШГН</v>
          </cell>
          <cell r="I119" t="str">
            <v>конс.</v>
          </cell>
          <cell r="J119">
            <v>34425</v>
          </cell>
          <cell r="K119">
            <v>0</v>
          </cell>
          <cell r="L119">
            <v>0</v>
          </cell>
          <cell r="M119">
            <v>0</v>
          </cell>
          <cell r="N119">
            <v>12</v>
          </cell>
          <cell r="O119">
            <v>2.9</v>
          </cell>
          <cell r="P119">
            <v>70</v>
          </cell>
          <cell r="Q119">
            <v>12</v>
          </cell>
          <cell r="R119">
            <v>2.9</v>
          </cell>
          <cell r="S119">
            <v>70.2</v>
          </cell>
          <cell r="W119" t="str">
            <v>в.з.(г/ж), вор/НВ-44</v>
          </cell>
        </row>
        <row r="120">
          <cell r="B120">
            <v>5397</v>
          </cell>
          <cell r="C120">
            <v>102</v>
          </cell>
          <cell r="F120" t="str">
            <v>ПРС</v>
          </cell>
          <cell r="H120" t="str">
            <v>Ф/Э</v>
          </cell>
          <cell r="I120" t="str">
            <v>бд</v>
          </cell>
          <cell r="J120">
            <v>33967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2.9</v>
          </cell>
          <cell r="P120">
            <v>93</v>
          </cell>
          <cell r="Q120">
            <v>50</v>
          </cell>
          <cell r="R120">
            <v>2.9</v>
          </cell>
          <cell r="S120">
            <v>92.8</v>
          </cell>
          <cell r="W120" t="str">
            <v>в.з.(г/ж), Э-80/Э-50</v>
          </cell>
        </row>
        <row r="121">
          <cell r="B121">
            <v>3567</v>
          </cell>
          <cell r="C121">
            <v>93</v>
          </cell>
          <cell r="F121" t="str">
            <v>ПРС</v>
          </cell>
          <cell r="H121" t="str">
            <v>ЭЦН</v>
          </cell>
          <cell r="I121" t="str">
            <v>действ.</v>
          </cell>
          <cell r="K121">
            <v>112</v>
          </cell>
          <cell r="L121">
            <v>5.5</v>
          </cell>
          <cell r="M121">
            <v>94</v>
          </cell>
          <cell r="N121">
            <v>233</v>
          </cell>
          <cell r="O121">
            <v>11.4</v>
          </cell>
          <cell r="P121">
            <v>94</v>
          </cell>
          <cell r="Q121">
            <v>121</v>
          </cell>
          <cell r="R121">
            <v>5.9</v>
          </cell>
          <cell r="S121">
            <v>94</v>
          </cell>
          <cell r="U121" t="str">
            <v>опт</v>
          </cell>
          <cell r="W121" t="str">
            <v>Оптимизация Э-125/Э-250</v>
          </cell>
        </row>
        <row r="122">
          <cell r="B122">
            <v>2681</v>
          </cell>
          <cell r="C122" t="str">
            <v>145б</v>
          </cell>
          <cell r="F122" t="str">
            <v>ПРС</v>
          </cell>
          <cell r="H122" t="str">
            <v>ШГН</v>
          </cell>
          <cell r="I122" t="str">
            <v>простой</v>
          </cell>
          <cell r="N122">
            <v>7</v>
          </cell>
          <cell r="O122">
            <v>5.5</v>
          </cell>
          <cell r="P122">
            <v>3</v>
          </cell>
          <cell r="Q122">
            <v>7</v>
          </cell>
          <cell r="R122">
            <v>5.5</v>
          </cell>
          <cell r="S122">
            <v>3</v>
          </cell>
          <cell r="U122" t="str">
            <v>ВЦД</v>
          </cell>
          <cell r="W122" t="str">
            <v>Электропрогрев</v>
          </cell>
        </row>
        <row r="123">
          <cell r="B123" t="str">
            <v>2821б</v>
          </cell>
          <cell r="C123">
            <v>144</v>
          </cell>
          <cell r="F123" t="str">
            <v>ПРС</v>
          </cell>
          <cell r="H123" t="str">
            <v>ШГН</v>
          </cell>
          <cell r="I123" t="str">
            <v>действ.</v>
          </cell>
          <cell r="K123">
            <v>20</v>
          </cell>
          <cell r="L123">
            <v>13.5</v>
          </cell>
          <cell r="M123">
            <v>17</v>
          </cell>
          <cell r="N123">
            <v>27.8</v>
          </cell>
          <cell r="O123">
            <v>18.8</v>
          </cell>
          <cell r="P123">
            <v>17</v>
          </cell>
          <cell r="Q123">
            <v>7.8000000000000007</v>
          </cell>
          <cell r="R123">
            <v>5.3000000000000007</v>
          </cell>
          <cell r="S123">
            <v>16.100000000000001</v>
          </cell>
          <cell r="T123">
            <v>37525</v>
          </cell>
          <cell r="U123" t="str">
            <v>опт</v>
          </cell>
          <cell r="W123" t="str">
            <v>Оптимизация Н-57/Э-30</v>
          </cell>
        </row>
        <row r="124">
          <cell r="B124" t="str">
            <v>136р</v>
          </cell>
          <cell r="F124" t="str">
            <v>ДНГ</v>
          </cell>
          <cell r="H124" t="str">
            <v>ФОН</v>
          </cell>
          <cell r="I124" t="str">
            <v>бд</v>
          </cell>
          <cell r="K124">
            <v>0</v>
          </cell>
          <cell r="L124">
            <v>0</v>
          </cell>
          <cell r="M124">
            <v>0</v>
          </cell>
          <cell r="N124">
            <v>27</v>
          </cell>
          <cell r="O124">
            <v>20.5</v>
          </cell>
          <cell r="P124">
            <v>7</v>
          </cell>
          <cell r="Q124">
            <v>27</v>
          </cell>
          <cell r="R124">
            <v>20.5</v>
          </cell>
          <cell r="S124">
            <v>6.3</v>
          </cell>
          <cell r="T124">
            <v>37518</v>
          </cell>
          <cell r="U124" t="str">
            <v>БДД</v>
          </cell>
          <cell r="W124" t="str">
            <v>На ёмкость</v>
          </cell>
        </row>
        <row r="125">
          <cell r="B125" t="str">
            <v>104р</v>
          </cell>
          <cell r="F125" t="str">
            <v>ДНГ</v>
          </cell>
          <cell r="H125" t="str">
            <v>ФОН</v>
          </cell>
          <cell r="I125" t="str">
            <v>бд</v>
          </cell>
          <cell r="K125">
            <v>0</v>
          </cell>
          <cell r="L125">
            <v>0</v>
          </cell>
          <cell r="M125">
            <v>0</v>
          </cell>
          <cell r="N125">
            <v>3</v>
          </cell>
          <cell r="O125">
            <v>2.4</v>
          </cell>
          <cell r="P125">
            <v>2</v>
          </cell>
          <cell r="Q125">
            <v>3</v>
          </cell>
          <cell r="R125">
            <v>2.4</v>
          </cell>
          <cell r="S125">
            <v>1.2</v>
          </cell>
          <cell r="T125">
            <v>37522</v>
          </cell>
          <cell r="U125" t="str">
            <v>БДД</v>
          </cell>
          <cell r="W125" t="str">
            <v>На ёмкость</v>
          </cell>
        </row>
        <row r="126">
          <cell r="B126">
            <v>5644</v>
          </cell>
          <cell r="C126">
            <v>126</v>
          </cell>
          <cell r="F126" t="str">
            <v>КРС</v>
          </cell>
          <cell r="H126" t="str">
            <v>ЭЦН</v>
          </cell>
          <cell r="I126" t="str">
            <v>бд</v>
          </cell>
          <cell r="K126">
            <v>0</v>
          </cell>
          <cell r="L126">
            <v>0</v>
          </cell>
          <cell r="M126">
            <v>0</v>
          </cell>
          <cell r="N126">
            <v>27</v>
          </cell>
          <cell r="O126">
            <v>19.8</v>
          </cell>
          <cell r="P126">
            <v>10</v>
          </cell>
          <cell r="Q126">
            <v>27</v>
          </cell>
          <cell r="R126">
            <v>19.8</v>
          </cell>
          <cell r="S126">
            <v>9.5</v>
          </cell>
          <cell r="T126">
            <v>37529</v>
          </cell>
          <cell r="U126" t="str">
            <v>ЗБС</v>
          </cell>
          <cell r="W126" t="str">
            <v>ЗБГС</v>
          </cell>
        </row>
        <row r="127">
          <cell r="B127">
            <v>5659</v>
          </cell>
          <cell r="C127" t="str">
            <v>122б</v>
          </cell>
          <cell r="F127" t="str">
            <v>ПРС</v>
          </cell>
          <cell r="H127" t="str">
            <v>ЭЦН</v>
          </cell>
          <cell r="I127" t="str">
            <v>бд</v>
          </cell>
          <cell r="J127">
            <v>37465</v>
          </cell>
          <cell r="K127">
            <v>0</v>
          </cell>
          <cell r="L127">
            <v>0</v>
          </cell>
          <cell r="M127">
            <v>0</v>
          </cell>
          <cell r="N127">
            <v>30</v>
          </cell>
          <cell r="O127">
            <v>22</v>
          </cell>
          <cell r="P127">
            <v>10</v>
          </cell>
          <cell r="Q127">
            <v>30</v>
          </cell>
          <cell r="R127">
            <v>22</v>
          </cell>
          <cell r="S127">
            <v>9.5</v>
          </cell>
          <cell r="T127">
            <v>37559</v>
          </cell>
          <cell r="U127" t="str">
            <v>БДт</v>
          </cell>
          <cell r="W127" t="str">
            <v>Подъем вор.,ОПЗ СКО (V-30м3), сп.Э-30</v>
          </cell>
        </row>
        <row r="128">
          <cell r="B128">
            <v>5451</v>
          </cell>
          <cell r="C128">
            <v>101</v>
          </cell>
          <cell r="F128" t="str">
            <v>ПРС</v>
          </cell>
          <cell r="H128" t="str">
            <v>ШГН</v>
          </cell>
          <cell r="I128" t="str">
            <v>бд</v>
          </cell>
          <cell r="J128">
            <v>35708</v>
          </cell>
          <cell r="K128">
            <v>0</v>
          </cell>
          <cell r="L128">
            <v>0</v>
          </cell>
          <cell r="M128">
            <v>0</v>
          </cell>
          <cell r="N128">
            <v>10</v>
          </cell>
          <cell r="O128">
            <v>7.6</v>
          </cell>
          <cell r="P128">
            <v>7.1</v>
          </cell>
          <cell r="Q128">
            <v>10</v>
          </cell>
          <cell r="R128">
            <v>7.6</v>
          </cell>
          <cell r="S128">
            <v>6.2</v>
          </cell>
          <cell r="T128">
            <v>37559</v>
          </cell>
          <cell r="U128" t="str">
            <v>БДП</v>
          </cell>
          <cell r="W128" t="str">
            <v>Смена Н-44</v>
          </cell>
        </row>
        <row r="129">
          <cell r="B129">
            <v>2923</v>
          </cell>
          <cell r="C129">
            <v>132</v>
          </cell>
          <cell r="F129" t="str">
            <v>ПРС</v>
          </cell>
          <cell r="H129" t="str">
            <v>ШГН</v>
          </cell>
          <cell r="I129" t="str">
            <v>действ.</v>
          </cell>
          <cell r="K129">
            <v>20</v>
          </cell>
          <cell r="L129">
            <v>7.2</v>
          </cell>
          <cell r="M129">
            <v>56</v>
          </cell>
          <cell r="N129">
            <v>33</v>
          </cell>
          <cell r="O129">
            <v>11.8</v>
          </cell>
          <cell r="P129">
            <v>56</v>
          </cell>
          <cell r="Q129">
            <v>13</v>
          </cell>
          <cell r="R129">
            <v>4.6000000000000005</v>
          </cell>
          <cell r="S129">
            <v>56.3</v>
          </cell>
          <cell r="T129">
            <v>37590</v>
          </cell>
          <cell r="U129" t="str">
            <v>опт</v>
          </cell>
          <cell r="W129" t="str">
            <v>Смена Н-44/Э-30</v>
          </cell>
        </row>
        <row r="130">
          <cell r="B130">
            <v>3099</v>
          </cell>
          <cell r="C130">
            <v>52</v>
          </cell>
          <cell r="F130" t="str">
            <v>ПРС</v>
          </cell>
          <cell r="H130" t="str">
            <v>ШГН</v>
          </cell>
          <cell r="I130" t="str">
            <v>бдт</v>
          </cell>
          <cell r="J130">
            <v>37352</v>
          </cell>
          <cell r="K130">
            <v>0</v>
          </cell>
          <cell r="L130">
            <v>0</v>
          </cell>
          <cell r="M130">
            <v>0</v>
          </cell>
          <cell r="N130">
            <v>50</v>
          </cell>
          <cell r="O130">
            <v>4.0999999999999996</v>
          </cell>
          <cell r="P130">
            <v>90</v>
          </cell>
          <cell r="Q130">
            <v>50</v>
          </cell>
          <cell r="R130">
            <v>4.0999999999999996</v>
          </cell>
          <cell r="S130">
            <v>89.9</v>
          </cell>
          <cell r="T130">
            <v>37593</v>
          </cell>
          <cell r="U130" t="str">
            <v>бдп</v>
          </cell>
          <cell r="W130" t="str">
            <v>См.Н-57/Э-50</v>
          </cell>
        </row>
        <row r="131">
          <cell r="B131">
            <v>5399</v>
          </cell>
          <cell r="C131">
            <v>102</v>
          </cell>
          <cell r="F131" t="str">
            <v>ПРС</v>
          </cell>
          <cell r="H131" t="str">
            <v>ЭЦН</v>
          </cell>
          <cell r="I131" t="str">
            <v>бд</v>
          </cell>
          <cell r="J131">
            <v>34243</v>
          </cell>
          <cell r="K131">
            <v>0</v>
          </cell>
          <cell r="L131">
            <v>0</v>
          </cell>
          <cell r="M131">
            <v>0</v>
          </cell>
          <cell r="N131">
            <v>50</v>
          </cell>
          <cell r="O131">
            <v>4.0999999999999996</v>
          </cell>
          <cell r="P131">
            <v>90</v>
          </cell>
          <cell r="Q131">
            <v>50</v>
          </cell>
          <cell r="R131">
            <v>4.0999999999999996</v>
          </cell>
          <cell r="S131">
            <v>89.9</v>
          </cell>
          <cell r="T131">
            <v>37601</v>
          </cell>
          <cell r="U131" t="str">
            <v>бдп</v>
          </cell>
          <cell r="W131" t="str">
            <v>Подъем вор.,сп.Э-30</v>
          </cell>
        </row>
        <row r="132">
          <cell r="B132">
            <v>3859</v>
          </cell>
          <cell r="C132" t="str">
            <v>306б</v>
          </cell>
          <cell r="F132" t="str">
            <v>ПРС</v>
          </cell>
          <cell r="H132" t="str">
            <v>ЭЦН</v>
          </cell>
          <cell r="I132" t="str">
            <v>бдт</v>
          </cell>
          <cell r="J132">
            <v>37501</v>
          </cell>
          <cell r="K132">
            <v>0</v>
          </cell>
          <cell r="L132">
            <v>0</v>
          </cell>
          <cell r="M132">
            <v>0</v>
          </cell>
          <cell r="N132">
            <v>31</v>
          </cell>
          <cell r="O132">
            <v>3</v>
          </cell>
          <cell r="P132">
            <v>88</v>
          </cell>
          <cell r="Q132">
            <v>31</v>
          </cell>
          <cell r="R132">
            <v>3</v>
          </cell>
          <cell r="S132">
            <v>88.1</v>
          </cell>
          <cell r="T132">
            <v>37583</v>
          </cell>
          <cell r="U132" t="str">
            <v>бдп</v>
          </cell>
          <cell r="W132" t="str">
            <v>Ревизия Э-50</v>
          </cell>
          <cell r="AD132">
            <v>37585</v>
          </cell>
          <cell r="AE132">
            <v>37591</v>
          </cell>
        </row>
        <row r="133">
          <cell r="B133">
            <v>5463</v>
          </cell>
          <cell r="C133">
            <v>106</v>
          </cell>
          <cell r="F133" t="str">
            <v>ПРС</v>
          </cell>
          <cell r="G133">
            <v>270</v>
          </cell>
          <cell r="H133" t="str">
            <v>ЭЦН</v>
          </cell>
          <cell r="I133" t="str">
            <v>конс.</v>
          </cell>
          <cell r="J133">
            <v>33878</v>
          </cell>
          <cell r="K133">
            <v>0</v>
          </cell>
          <cell r="L133">
            <v>0</v>
          </cell>
          <cell r="M133">
            <v>0</v>
          </cell>
          <cell r="N133">
            <v>35</v>
          </cell>
          <cell r="O133">
            <v>10</v>
          </cell>
          <cell r="P133">
            <v>65</v>
          </cell>
          <cell r="Q133">
            <v>35</v>
          </cell>
          <cell r="R133">
            <v>10</v>
          </cell>
          <cell r="S133">
            <v>64.7</v>
          </cell>
          <cell r="T133">
            <v>37593</v>
          </cell>
          <cell r="U133" t="str">
            <v>вцд</v>
          </cell>
          <cell r="W133" t="str">
            <v>ВЦ,смена Э-50/30</v>
          </cell>
        </row>
        <row r="134">
          <cell r="B134">
            <v>5481</v>
          </cell>
          <cell r="C134">
            <v>114</v>
          </cell>
          <cell r="F134" t="str">
            <v>ПРС</v>
          </cell>
          <cell r="H134" t="str">
            <v>ШГН</v>
          </cell>
          <cell r="I134" t="str">
            <v>действ.</v>
          </cell>
          <cell r="K134">
            <v>25</v>
          </cell>
          <cell r="L134">
            <v>6.1</v>
          </cell>
          <cell r="M134">
            <v>70</v>
          </cell>
          <cell r="N134">
            <v>44</v>
          </cell>
          <cell r="O134">
            <v>10.8</v>
          </cell>
          <cell r="P134">
            <v>70</v>
          </cell>
          <cell r="Q134">
            <v>19</v>
          </cell>
          <cell r="R134">
            <v>4.5</v>
          </cell>
          <cell r="S134">
            <v>70.8</v>
          </cell>
          <cell r="T134">
            <v>37610</v>
          </cell>
          <cell r="U134" t="str">
            <v>опт</v>
          </cell>
          <cell r="W134" t="str">
            <v>Смена Н-57/Э-50</v>
          </cell>
          <cell r="AH134">
            <v>0</v>
          </cell>
        </row>
        <row r="135">
          <cell r="W135" t="str">
            <v>Выполненые ГТМ</v>
          </cell>
        </row>
        <row r="136">
          <cell r="W136" t="str">
            <v>ПРС</v>
          </cell>
          <cell r="AG136">
            <v>-386240</v>
          </cell>
          <cell r="AH136">
            <v>-5924842</v>
          </cell>
        </row>
        <row r="137">
          <cell r="B137">
            <v>3632</v>
          </cell>
          <cell r="C137">
            <v>93</v>
          </cell>
          <cell r="F137" t="str">
            <v>ПРС</v>
          </cell>
          <cell r="H137" t="str">
            <v>ЭЦН</v>
          </cell>
          <cell r="I137" t="str">
            <v>действ.</v>
          </cell>
          <cell r="K137">
            <v>227</v>
          </cell>
          <cell r="L137">
            <v>14.8</v>
          </cell>
          <cell r="M137">
            <v>92</v>
          </cell>
          <cell r="N137">
            <v>385</v>
          </cell>
          <cell r="O137">
            <v>25.1</v>
          </cell>
          <cell r="P137">
            <v>92</v>
          </cell>
          <cell r="Q137">
            <v>158</v>
          </cell>
          <cell r="R137">
            <v>10.3</v>
          </cell>
          <cell r="S137">
            <v>92</v>
          </cell>
          <cell r="T137">
            <v>37499</v>
          </cell>
          <cell r="U137" t="str">
            <v>опт</v>
          </cell>
          <cell r="W137" t="str">
            <v>Оптимизация Э-250/Э-400</v>
          </cell>
        </row>
        <row r="138">
          <cell r="B138">
            <v>2682</v>
          </cell>
          <cell r="C138" t="str">
            <v>145б</v>
          </cell>
          <cell r="F138" t="str">
            <v>ПРС</v>
          </cell>
          <cell r="H138" t="str">
            <v>ЭЦН</v>
          </cell>
          <cell r="I138" t="str">
            <v>бд</v>
          </cell>
          <cell r="J138">
            <v>37424</v>
          </cell>
          <cell r="K138">
            <v>0</v>
          </cell>
          <cell r="L138">
            <v>0</v>
          </cell>
          <cell r="M138">
            <v>0</v>
          </cell>
          <cell r="N138">
            <v>10</v>
          </cell>
          <cell r="O138">
            <v>6.9</v>
          </cell>
          <cell r="P138">
            <v>15</v>
          </cell>
          <cell r="Q138">
            <v>10</v>
          </cell>
          <cell r="R138">
            <v>6.9</v>
          </cell>
          <cell r="S138">
            <v>14.8</v>
          </cell>
          <cell r="T138">
            <v>37559</v>
          </cell>
          <cell r="U138" t="str">
            <v>БДт</v>
          </cell>
          <cell r="W138" t="str">
            <v>Смена вор./Н-44</v>
          </cell>
        </row>
        <row r="139">
          <cell r="B139">
            <v>2932</v>
          </cell>
          <cell r="C139">
            <v>44</v>
          </cell>
          <cell r="F139" t="str">
            <v>ПРС</v>
          </cell>
          <cell r="H139" t="str">
            <v>ШГН</v>
          </cell>
          <cell r="I139" t="str">
            <v>действ.</v>
          </cell>
          <cell r="K139">
            <v>17</v>
          </cell>
          <cell r="L139">
            <v>6.2</v>
          </cell>
          <cell r="M139">
            <v>55</v>
          </cell>
          <cell r="N139">
            <v>36.460183709538867</v>
          </cell>
          <cell r="O139">
            <v>13.4</v>
          </cell>
          <cell r="P139">
            <v>55</v>
          </cell>
          <cell r="Q139">
            <v>19.460183709538867</v>
          </cell>
          <cell r="R139">
            <v>7.2</v>
          </cell>
          <cell r="S139">
            <v>54.3</v>
          </cell>
          <cell r="T139">
            <v>37496</v>
          </cell>
          <cell r="U139" t="str">
            <v>опт</v>
          </cell>
          <cell r="W139" t="str">
            <v>Оптимизация Н-57/Э-30</v>
          </cell>
        </row>
        <row r="140">
          <cell r="B140">
            <v>3011</v>
          </cell>
          <cell r="C140">
            <v>51</v>
          </cell>
          <cell r="F140" t="str">
            <v>ПРС</v>
          </cell>
          <cell r="H140" t="str">
            <v>ЭЦН</v>
          </cell>
          <cell r="I140" t="str">
            <v>конс.</v>
          </cell>
          <cell r="N140">
            <v>50</v>
          </cell>
          <cell r="O140">
            <v>5.0999999999999996</v>
          </cell>
          <cell r="P140">
            <v>87.6</v>
          </cell>
          <cell r="Q140">
            <v>50</v>
          </cell>
          <cell r="R140">
            <v>5.0999999999999996</v>
          </cell>
          <cell r="S140">
            <v>87.4</v>
          </cell>
          <cell r="T140">
            <v>37493</v>
          </cell>
          <cell r="U140" t="str">
            <v>ВЦД</v>
          </cell>
          <cell r="W140" t="str">
            <v>ВЦ ревизия</v>
          </cell>
          <cell r="AG140">
            <v>-142443</v>
          </cell>
          <cell r="AH140">
            <v>-3748500</v>
          </cell>
        </row>
        <row r="141">
          <cell r="B141">
            <v>11003</v>
          </cell>
          <cell r="C141" t="str">
            <v>123б</v>
          </cell>
          <cell r="F141" t="str">
            <v>ПРС</v>
          </cell>
          <cell r="H141" t="str">
            <v>ЭЦН</v>
          </cell>
          <cell r="I141" t="str">
            <v>действ.</v>
          </cell>
          <cell r="K141">
            <v>130</v>
          </cell>
          <cell r="L141">
            <v>7.4</v>
          </cell>
          <cell r="M141">
            <v>93</v>
          </cell>
          <cell r="N141">
            <v>230</v>
          </cell>
          <cell r="O141">
            <v>11.2</v>
          </cell>
          <cell r="P141">
            <v>94</v>
          </cell>
          <cell r="Q141">
            <v>100</v>
          </cell>
          <cell r="R141">
            <v>3.8</v>
          </cell>
          <cell r="S141">
            <v>95.3</v>
          </cell>
          <cell r="T141">
            <v>37485</v>
          </cell>
          <cell r="U141" t="str">
            <v>опт</v>
          </cell>
          <cell r="W141" t="str">
            <v>Оптимизация Э-125/Э-250</v>
          </cell>
        </row>
        <row r="142">
          <cell r="B142">
            <v>5702</v>
          </cell>
          <cell r="C142">
            <v>126</v>
          </cell>
          <cell r="F142" t="str">
            <v>ПРС</v>
          </cell>
          <cell r="H142" t="str">
            <v>ШГН</v>
          </cell>
          <cell r="I142" t="str">
            <v>действ.</v>
          </cell>
          <cell r="K142">
            <v>17</v>
          </cell>
          <cell r="L142">
            <v>10.1</v>
          </cell>
          <cell r="M142">
            <v>27</v>
          </cell>
          <cell r="N142">
            <v>50</v>
          </cell>
          <cell r="O142">
            <v>28.5</v>
          </cell>
          <cell r="P142">
            <v>30</v>
          </cell>
          <cell r="Q142">
            <v>33</v>
          </cell>
          <cell r="R142">
            <v>18.399999999999999</v>
          </cell>
          <cell r="S142">
            <v>31.2</v>
          </cell>
          <cell r="T142">
            <v>37482</v>
          </cell>
          <cell r="U142" t="str">
            <v>опт</v>
          </cell>
          <cell r="W142" t="str">
            <v>Оптимизация Н-44/Э-30</v>
          </cell>
        </row>
        <row r="143">
          <cell r="B143">
            <v>5221</v>
          </cell>
          <cell r="C143">
            <v>126</v>
          </cell>
          <cell r="F143" t="str">
            <v>ПРС</v>
          </cell>
          <cell r="H143" t="str">
            <v>ШГН</v>
          </cell>
          <cell r="I143" t="str">
            <v>бд</v>
          </cell>
          <cell r="N143">
            <v>4</v>
          </cell>
          <cell r="O143">
            <v>2.8</v>
          </cell>
          <cell r="P143">
            <v>13</v>
          </cell>
          <cell r="Q143">
            <v>4</v>
          </cell>
          <cell r="R143">
            <v>2.8</v>
          </cell>
          <cell r="S143">
            <v>13.6</v>
          </cell>
          <cell r="T143">
            <v>37482</v>
          </cell>
          <cell r="U143" t="str">
            <v>БДП</v>
          </cell>
          <cell r="W143" t="str">
            <v>ГО</v>
          </cell>
        </row>
        <row r="144">
          <cell r="B144">
            <v>5592</v>
          </cell>
          <cell r="C144" t="str">
            <v>119б</v>
          </cell>
          <cell r="F144" t="str">
            <v>ПРС</v>
          </cell>
          <cell r="H144" t="str">
            <v>ЭЦН</v>
          </cell>
          <cell r="I144" t="str">
            <v>действ.</v>
          </cell>
          <cell r="K144">
            <v>30</v>
          </cell>
          <cell r="L144">
            <v>16.100000000000001</v>
          </cell>
          <cell r="M144">
            <v>34</v>
          </cell>
          <cell r="N144">
            <v>43</v>
          </cell>
          <cell r="O144">
            <v>22.8</v>
          </cell>
          <cell r="P144">
            <v>35</v>
          </cell>
          <cell r="Q144">
            <v>13</v>
          </cell>
          <cell r="R144">
            <v>6.6999999999999993</v>
          </cell>
          <cell r="S144">
            <v>36.4</v>
          </cell>
          <cell r="T144">
            <v>37481</v>
          </cell>
          <cell r="U144" t="str">
            <v>опт</v>
          </cell>
          <cell r="W144" t="str">
            <v>Оптимизация Э-30/Э-50</v>
          </cell>
        </row>
        <row r="145">
          <cell r="B145">
            <v>5592</v>
          </cell>
          <cell r="C145" t="str">
            <v>119б</v>
          </cell>
          <cell r="F145" t="str">
            <v>ПРС</v>
          </cell>
          <cell r="H145" t="str">
            <v>ЭЦН</v>
          </cell>
          <cell r="I145" t="str">
            <v>действ.</v>
          </cell>
          <cell r="K145">
            <v>30</v>
          </cell>
          <cell r="L145">
            <v>16.100000000000001</v>
          </cell>
          <cell r="M145">
            <v>34</v>
          </cell>
          <cell r="N145">
            <v>40</v>
          </cell>
          <cell r="O145">
            <v>26.1</v>
          </cell>
          <cell r="P145">
            <v>20</v>
          </cell>
          <cell r="Q145">
            <v>10</v>
          </cell>
          <cell r="R145">
            <v>10</v>
          </cell>
          <cell r="S145">
            <v>-23.5</v>
          </cell>
          <cell r="T145">
            <v>37481</v>
          </cell>
          <cell r="U145" t="str">
            <v>опт</v>
          </cell>
          <cell r="W145" t="str">
            <v>Оптимизация Э-30/Э-50</v>
          </cell>
          <cell r="AG145">
            <v>-74926</v>
          </cell>
          <cell r="AH145">
            <v>-1873150</v>
          </cell>
        </row>
        <row r="146">
          <cell r="B146">
            <v>4272</v>
          </cell>
          <cell r="C146">
            <v>218</v>
          </cell>
          <cell r="F146" t="str">
            <v>ПРС</v>
          </cell>
          <cell r="H146" t="str">
            <v>ЭЦН</v>
          </cell>
          <cell r="I146" t="str">
            <v>бд</v>
          </cell>
          <cell r="N146">
            <v>50</v>
          </cell>
          <cell r="O146">
            <v>2</v>
          </cell>
          <cell r="P146">
            <v>95</v>
          </cell>
          <cell r="Q146">
            <v>50</v>
          </cell>
          <cell r="R146">
            <v>2</v>
          </cell>
          <cell r="S146">
            <v>95.1</v>
          </cell>
          <cell r="T146">
            <v>37463</v>
          </cell>
          <cell r="U146" t="str">
            <v>БДП</v>
          </cell>
          <cell r="W146" t="str">
            <v>См.вор./э-50</v>
          </cell>
        </row>
        <row r="147">
          <cell r="B147">
            <v>4123</v>
          </cell>
          <cell r="C147">
            <v>314</v>
          </cell>
          <cell r="F147" t="str">
            <v>ПРС</v>
          </cell>
          <cell r="H147" t="str">
            <v>ШГН</v>
          </cell>
          <cell r="I147" t="str">
            <v>бд</v>
          </cell>
          <cell r="N147">
            <v>4</v>
          </cell>
          <cell r="O147">
            <v>3</v>
          </cell>
          <cell r="P147">
            <v>7.9754601226993849</v>
          </cell>
          <cell r="Q147">
            <v>4</v>
          </cell>
          <cell r="R147">
            <v>3</v>
          </cell>
          <cell r="S147">
            <v>7.4</v>
          </cell>
          <cell r="T147">
            <v>37458</v>
          </cell>
          <cell r="U147" t="str">
            <v>БДП</v>
          </cell>
          <cell r="W147" t="str">
            <v>Ревизия</v>
          </cell>
        </row>
        <row r="148">
          <cell r="B148" t="str">
            <v>5484б</v>
          </cell>
          <cell r="C148">
            <v>115</v>
          </cell>
          <cell r="F148" t="str">
            <v>КРС</v>
          </cell>
          <cell r="H148" t="str">
            <v>ШГН</v>
          </cell>
          <cell r="I148" t="str">
            <v>бд</v>
          </cell>
          <cell r="N148">
            <v>4</v>
          </cell>
          <cell r="O148">
            <v>3</v>
          </cell>
          <cell r="P148">
            <v>9</v>
          </cell>
          <cell r="Q148">
            <v>4</v>
          </cell>
          <cell r="R148">
            <v>3</v>
          </cell>
          <cell r="S148">
            <v>7.4</v>
          </cell>
          <cell r="T148">
            <v>37456</v>
          </cell>
          <cell r="U148" t="str">
            <v>БДП</v>
          </cell>
        </row>
        <row r="149">
          <cell r="B149">
            <v>3530</v>
          </cell>
          <cell r="C149" t="str">
            <v>98б</v>
          </cell>
          <cell r="F149" t="str">
            <v>ПРС</v>
          </cell>
          <cell r="H149" t="str">
            <v>ЭЦН</v>
          </cell>
          <cell r="I149" t="str">
            <v>действ.</v>
          </cell>
          <cell r="K149">
            <v>27</v>
          </cell>
          <cell r="L149">
            <v>11.4</v>
          </cell>
          <cell r="M149">
            <v>48</v>
          </cell>
          <cell r="N149">
            <v>42</v>
          </cell>
          <cell r="O149">
            <v>16.100000000000001</v>
          </cell>
          <cell r="P149">
            <v>53</v>
          </cell>
          <cell r="Q149">
            <v>15</v>
          </cell>
          <cell r="R149">
            <v>4.7000000000000011</v>
          </cell>
          <cell r="S149">
            <v>61.3</v>
          </cell>
          <cell r="T149">
            <v>37453</v>
          </cell>
          <cell r="U149" t="str">
            <v>опт</v>
          </cell>
          <cell r="W149" t="str">
            <v>Оптимизация Э-30/Э-50</v>
          </cell>
          <cell r="AG149">
            <v>-119818</v>
          </cell>
          <cell r="AH149">
            <v>-973518</v>
          </cell>
        </row>
        <row r="150">
          <cell r="B150">
            <v>3982</v>
          </cell>
          <cell r="C150" t="str">
            <v>196б</v>
          </cell>
          <cell r="F150" t="str">
            <v>ПРС</v>
          </cell>
          <cell r="H150" t="str">
            <v>ЭЦН</v>
          </cell>
          <cell r="I150" t="str">
            <v>действ.</v>
          </cell>
          <cell r="K150">
            <v>91</v>
          </cell>
          <cell r="L150">
            <v>17.8</v>
          </cell>
          <cell r="M150">
            <v>76</v>
          </cell>
          <cell r="N150">
            <v>117</v>
          </cell>
          <cell r="O150">
            <v>21</v>
          </cell>
          <cell r="P150">
            <v>78</v>
          </cell>
          <cell r="Q150">
            <v>26</v>
          </cell>
          <cell r="R150">
            <v>3.1999999999999993</v>
          </cell>
          <cell r="S150">
            <v>84.8</v>
          </cell>
          <cell r="T150">
            <v>37443</v>
          </cell>
          <cell r="U150" t="str">
            <v>опт</v>
          </cell>
          <cell r="W150" t="str">
            <v>Оптимизация Э-80/125</v>
          </cell>
        </row>
        <row r="151">
          <cell r="B151">
            <v>5491</v>
          </cell>
          <cell r="C151">
            <v>117</v>
          </cell>
          <cell r="F151" t="str">
            <v>ПРС</v>
          </cell>
          <cell r="H151" t="str">
            <v>ЭЦН</v>
          </cell>
          <cell r="I151" t="str">
            <v>конс.</v>
          </cell>
          <cell r="N151">
            <v>16</v>
          </cell>
          <cell r="O151">
            <v>7.4</v>
          </cell>
          <cell r="P151">
            <v>43</v>
          </cell>
          <cell r="Q151">
            <v>16</v>
          </cell>
          <cell r="R151">
            <v>7.4</v>
          </cell>
          <cell r="S151">
            <v>42.9</v>
          </cell>
          <cell r="T151">
            <v>37441</v>
          </cell>
          <cell r="U151" t="str">
            <v>ВЦД</v>
          </cell>
          <cell r="W151" t="str">
            <v>ВЦ, См.вор./э-50</v>
          </cell>
        </row>
        <row r="152">
          <cell r="B152">
            <v>2629</v>
          </cell>
          <cell r="C152" t="str">
            <v>157б</v>
          </cell>
          <cell r="F152" t="str">
            <v>ПРС</v>
          </cell>
          <cell r="H152" t="str">
            <v>ШГН</v>
          </cell>
          <cell r="I152" t="str">
            <v>бд</v>
          </cell>
          <cell r="N152">
            <v>5</v>
          </cell>
          <cell r="O152">
            <v>3.6</v>
          </cell>
          <cell r="P152">
            <v>12</v>
          </cell>
          <cell r="Q152">
            <v>5</v>
          </cell>
          <cell r="R152">
            <v>3.6</v>
          </cell>
          <cell r="S152">
            <v>11.1</v>
          </cell>
          <cell r="T152">
            <v>37440</v>
          </cell>
          <cell r="U152" t="str">
            <v>БДП</v>
          </cell>
          <cell r="W152" t="str">
            <v>Ревизия</v>
          </cell>
          <cell r="AG152">
            <v>-280755</v>
          </cell>
          <cell r="AH152">
            <v>-935850</v>
          </cell>
        </row>
        <row r="153">
          <cell r="B153">
            <v>5464</v>
          </cell>
          <cell r="C153">
            <v>106</v>
          </cell>
          <cell r="F153" t="str">
            <v>ПРС</v>
          </cell>
          <cell r="G153">
            <v>265</v>
          </cell>
          <cell r="H153" t="str">
            <v>ЭЦН</v>
          </cell>
          <cell r="I153" t="str">
            <v>действ.</v>
          </cell>
          <cell r="K153">
            <v>55</v>
          </cell>
          <cell r="L153">
            <v>25.1</v>
          </cell>
          <cell r="M153">
            <v>44</v>
          </cell>
          <cell r="N153">
            <v>80</v>
          </cell>
          <cell r="O153">
            <v>32.6</v>
          </cell>
          <cell r="P153">
            <v>50</v>
          </cell>
          <cell r="Q153">
            <v>25</v>
          </cell>
          <cell r="R153">
            <v>7.5</v>
          </cell>
          <cell r="S153">
            <v>63</v>
          </cell>
          <cell r="T153">
            <v>37434</v>
          </cell>
          <cell r="U153" t="str">
            <v>опт</v>
          </cell>
          <cell r="W153" t="str">
            <v>Оптимизация Э-50/Э-80</v>
          </cell>
        </row>
        <row r="154">
          <cell r="B154">
            <v>4022</v>
          </cell>
          <cell r="C154">
            <v>314</v>
          </cell>
          <cell r="F154" t="str">
            <v>ПРС</v>
          </cell>
          <cell r="G154">
            <v>255</v>
          </cell>
          <cell r="H154" t="str">
            <v>ШГН</v>
          </cell>
          <cell r="I154" t="str">
            <v>действ.</v>
          </cell>
          <cell r="K154">
            <v>15</v>
          </cell>
          <cell r="L154">
            <v>0.2</v>
          </cell>
          <cell r="M154">
            <v>98</v>
          </cell>
          <cell r="N154">
            <v>45</v>
          </cell>
          <cell r="O154">
            <v>2.2000000000000002</v>
          </cell>
          <cell r="P154">
            <v>94</v>
          </cell>
          <cell r="Q154">
            <v>30</v>
          </cell>
          <cell r="R154">
            <v>2</v>
          </cell>
          <cell r="S154">
            <v>91.8</v>
          </cell>
          <cell r="T154">
            <v>37428</v>
          </cell>
          <cell r="U154" t="str">
            <v>опт</v>
          </cell>
          <cell r="W154" t="str">
            <v>Оптимизация Н-57/Э-50</v>
          </cell>
          <cell r="AG154">
            <v>-280695</v>
          </cell>
          <cell r="AH154">
            <v>-561390</v>
          </cell>
        </row>
        <row r="155">
          <cell r="B155" t="str">
            <v>5593б</v>
          </cell>
          <cell r="C155">
            <v>141</v>
          </cell>
          <cell r="F155" t="str">
            <v>ПРС</v>
          </cell>
          <cell r="G155">
            <v>260</v>
          </cell>
          <cell r="H155" t="str">
            <v>ЭЦН</v>
          </cell>
          <cell r="I155" t="str">
            <v>действ.</v>
          </cell>
          <cell r="K155">
            <v>25</v>
          </cell>
          <cell r="L155">
            <v>14.7</v>
          </cell>
          <cell r="M155">
            <v>28</v>
          </cell>
          <cell r="N155">
            <v>40</v>
          </cell>
          <cell r="O155">
            <v>22.2</v>
          </cell>
          <cell r="P155">
            <v>32</v>
          </cell>
          <cell r="Q155">
            <v>15</v>
          </cell>
          <cell r="R155">
            <v>7.5</v>
          </cell>
          <cell r="S155">
            <v>38.299999999999997</v>
          </cell>
          <cell r="T155">
            <v>37426</v>
          </cell>
          <cell r="U155" t="str">
            <v>опт</v>
          </cell>
          <cell r="W155" t="str">
            <v>Оптимизация Э-30/Э-50</v>
          </cell>
        </row>
        <row r="156">
          <cell r="B156">
            <v>3494</v>
          </cell>
          <cell r="C156">
            <v>92</v>
          </cell>
          <cell r="F156" t="str">
            <v>ПРС</v>
          </cell>
          <cell r="G156">
            <v>245</v>
          </cell>
          <cell r="H156" t="str">
            <v>ЭЦН</v>
          </cell>
          <cell r="I156" t="str">
            <v>действ.</v>
          </cell>
          <cell r="K156">
            <v>150</v>
          </cell>
          <cell r="L156">
            <v>11</v>
          </cell>
          <cell r="M156">
            <v>91</v>
          </cell>
          <cell r="N156">
            <v>275</v>
          </cell>
          <cell r="O156">
            <v>24.7</v>
          </cell>
          <cell r="P156">
            <v>89</v>
          </cell>
          <cell r="Q156">
            <v>125</v>
          </cell>
          <cell r="R156">
            <v>13.7</v>
          </cell>
          <cell r="S156">
            <v>86.5</v>
          </cell>
          <cell r="T156">
            <v>37421</v>
          </cell>
          <cell r="U156" t="str">
            <v>опт</v>
          </cell>
          <cell r="W156" t="str">
            <v>Оптимизация Э-125/Э-250</v>
          </cell>
          <cell r="AG156">
            <v>-220749</v>
          </cell>
          <cell r="AH156">
            <v>-897960</v>
          </cell>
        </row>
        <row r="157">
          <cell r="B157">
            <v>5437</v>
          </cell>
          <cell r="C157">
            <v>106</v>
          </cell>
          <cell r="F157" t="str">
            <v>ПРС</v>
          </cell>
          <cell r="G157">
            <v>275</v>
          </cell>
          <cell r="H157" t="str">
            <v>ЭЦН</v>
          </cell>
          <cell r="I157" t="str">
            <v>конс.</v>
          </cell>
          <cell r="K157">
            <v>0</v>
          </cell>
          <cell r="L157">
            <v>0</v>
          </cell>
          <cell r="M157">
            <v>0</v>
          </cell>
          <cell r="N157">
            <v>24</v>
          </cell>
          <cell r="O157">
            <v>5.9</v>
          </cell>
          <cell r="P157">
            <v>70</v>
          </cell>
          <cell r="Q157">
            <v>24</v>
          </cell>
          <cell r="R157">
            <v>5.9</v>
          </cell>
          <cell r="S157">
            <v>69.7</v>
          </cell>
          <cell r="T157">
            <v>37415</v>
          </cell>
          <cell r="U157" t="str">
            <v>ВЦД</v>
          </cell>
          <cell r="W157" t="str">
            <v>ВЦ, ГДИ, сп.ЭЦН</v>
          </cell>
          <cell r="AG157">
            <v>-56121</v>
          </cell>
          <cell r="AH157">
            <v>-112242</v>
          </cell>
        </row>
        <row r="158">
          <cell r="B158">
            <v>2850</v>
          </cell>
          <cell r="C158">
            <v>129</v>
          </cell>
          <cell r="F158" t="str">
            <v>ПРС</v>
          </cell>
          <cell r="G158">
            <v>260</v>
          </cell>
          <cell r="H158" t="str">
            <v>ШГН</v>
          </cell>
          <cell r="I158" t="str">
            <v>бд</v>
          </cell>
          <cell r="K158">
            <v>0</v>
          </cell>
          <cell r="L158">
            <v>0</v>
          </cell>
          <cell r="M158">
            <v>0</v>
          </cell>
          <cell r="N158">
            <v>3</v>
          </cell>
          <cell r="O158">
            <v>1.5</v>
          </cell>
          <cell r="P158">
            <v>39</v>
          </cell>
          <cell r="Q158">
            <v>3</v>
          </cell>
          <cell r="R158">
            <v>1.5</v>
          </cell>
          <cell r="S158">
            <v>38.299999999999997</v>
          </cell>
          <cell r="T158">
            <v>37414</v>
          </cell>
          <cell r="U158" t="str">
            <v>БДП</v>
          </cell>
          <cell r="W158" t="str">
            <v>ПРС, ост.на зиму</v>
          </cell>
          <cell r="AG158">
            <v>-164604</v>
          </cell>
          <cell r="AH158">
            <v>-224460</v>
          </cell>
        </row>
        <row r="159">
          <cell r="B159">
            <v>5404</v>
          </cell>
          <cell r="C159">
            <v>104</v>
          </cell>
          <cell r="F159" t="str">
            <v>ПРС</v>
          </cell>
          <cell r="G159">
            <v>250</v>
          </cell>
          <cell r="H159" t="str">
            <v>ШГН</v>
          </cell>
          <cell r="I159" t="str">
            <v>бд</v>
          </cell>
          <cell r="K159">
            <v>0</v>
          </cell>
          <cell r="L159">
            <v>0</v>
          </cell>
          <cell r="M159">
            <v>0</v>
          </cell>
          <cell r="N159">
            <v>6</v>
          </cell>
          <cell r="O159">
            <v>4.4000000000000004</v>
          </cell>
          <cell r="P159">
            <v>10</v>
          </cell>
          <cell r="Q159">
            <v>6</v>
          </cell>
          <cell r="R159">
            <v>4.4000000000000004</v>
          </cell>
          <cell r="S159">
            <v>9.5</v>
          </cell>
          <cell r="T159">
            <v>37410</v>
          </cell>
          <cell r="U159" t="str">
            <v>БДП</v>
          </cell>
          <cell r="W159" t="str">
            <v>ПРС</v>
          </cell>
          <cell r="AG159">
            <v>-374020</v>
          </cell>
          <cell r="AH159">
            <v>-1720492</v>
          </cell>
        </row>
        <row r="160">
          <cell r="B160">
            <v>3100</v>
          </cell>
          <cell r="C160">
            <v>52</v>
          </cell>
          <cell r="F160" t="str">
            <v>ПРС</v>
          </cell>
          <cell r="G160">
            <v>297</v>
          </cell>
          <cell r="H160" t="str">
            <v>ШГН</v>
          </cell>
          <cell r="I160" t="str">
            <v>действ.</v>
          </cell>
          <cell r="K160">
            <v>26</v>
          </cell>
          <cell r="L160">
            <v>6.4</v>
          </cell>
          <cell r="M160">
            <v>70</v>
          </cell>
          <cell r="N160">
            <v>72</v>
          </cell>
          <cell r="O160">
            <v>16.399999999999999</v>
          </cell>
          <cell r="P160">
            <v>72</v>
          </cell>
          <cell r="Q160">
            <v>46</v>
          </cell>
          <cell r="R160">
            <v>9.9999999999999982</v>
          </cell>
          <cell r="S160">
            <v>73.2</v>
          </cell>
          <cell r="T160">
            <v>37402</v>
          </cell>
          <cell r="U160" t="str">
            <v>опт</v>
          </cell>
          <cell r="W160" t="str">
            <v>Оптимизация Н-57/Э-50</v>
          </cell>
          <cell r="AG160">
            <v>-93493</v>
          </cell>
          <cell r="AH160">
            <v>-2281217</v>
          </cell>
        </row>
        <row r="161">
          <cell r="B161">
            <v>5551</v>
          </cell>
          <cell r="C161">
            <v>117</v>
          </cell>
          <cell r="F161" t="str">
            <v>ПРС</v>
          </cell>
          <cell r="G161">
            <v>247</v>
          </cell>
          <cell r="H161" t="str">
            <v>ЭЦН</v>
          </cell>
          <cell r="I161" t="str">
            <v>бд</v>
          </cell>
          <cell r="K161" t="e">
            <v>#N/A</v>
          </cell>
          <cell r="L161" t="e">
            <v>#N/A</v>
          </cell>
          <cell r="M161" t="e">
            <v>#N/A</v>
          </cell>
          <cell r="N161">
            <v>61</v>
          </cell>
          <cell r="O161">
            <v>2.5</v>
          </cell>
          <cell r="P161">
            <v>95</v>
          </cell>
          <cell r="Q161">
            <v>61</v>
          </cell>
          <cell r="R161">
            <v>2.5</v>
          </cell>
          <cell r="S161">
            <v>94.9</v>
          </cell>
          <cell r="T161">
            <v>37397</v>
          </cell>
          <cell r="U161" t="str">
            <v>БДП</v>
          </cell>
          <cell r="W161" t="str">
            <v>Из ост.на зиму</v>
          </cell>
          <cell r="AG161">
            <v>-175761</v>
          </cell>
          <cell r="AH161">
            <v>-224376</v>
          </cell>
        </row>
        <row r="162">
          <cell r="B162">
            <v>4074</v>
          </cell>
          <cell r="C162">
            <v>314</v>
          </cell>
          <cell r="F162" t="str">
            <v>ПРС</v>
          </cell>
          <cell r="G162">
            <v>245</v>
          </cell>
          <cell r="H162" t="str">
            <v>ШГН</v>
          </cell>
          <cell r="I162" t="str">
            <v>бд</v>
          </cell>
          <cell r="K162">
            <v>0</v>
          </cell>
          <cell r="L162">
            <v>0</v>
          </cell>
          <cell r="M162">
            <v>0</v>
          </cell>
          <cell r="N162">
            <v>6</v>
          </cell>
          <cell r="O162">
            <v>4.7</v>
          </cell>
          <cell r="P162">
            <v>3</v>
          </cell>
          <cell r="Q162">
            <v>6</v>
          </cell>
          <cell r="R162">
            <v>4.7</v>
          </cell>
          <cell r="S162">
            <v>3.3</v>
          </cell>
          <cell r="T162">
            <v>37396</v>
          </cell>
          <cell r="U162" t="str">
            <v>ВЦД</v>
          </cell>
          <cell r="W162" t="str">
            <v>ВЦ, ревизия Н-44</v>
          </cell>
          <cell r="AG162">
            <v>-172022</v>
          </cell>
          <cell r="AH162">
            <v>-299168</v>
          </cell>
        </row>
        <row r="163">
          <cell r="B163" t="str">
            <v>5367б</v>
          </cell>
          <cell r="C163">
            <v>101</v>
          </cell>
          <cell r="F163" t="str">
            <v>ПРС</v>
          </cell>
          <cell r="G163">
            <v>252</v>
          </cell>
          <cell r="H163" t="str">
            <v>ЭЦН</v>
          </cell>
          <cell r="I163" t="str">
            <v>бд</v>
          </cell>
          <cell r="K163">
            <v>8</v>
          </cell>
          <cell r="L163">
            <v>4.3</v>
          </cell>
          <cell r="M163">
            <v>34</v>
          </cell>
          <cell r="N163">
            <v>8</v>
          </cell>
          <cell r="O163">
            <v>4.5999999999999996</v>
          </cell>
          <cell r="P163">
            <v>29</v>
          </cell>
          <cell r="Q163">
            <v>8</v>
          </cell>
          <cell r="R163">
            <v>4.5999999999999996</v>
          </cell>
          <cell r="S163">
            <v>29</v>
          </cell>
          <cell r="T163">
            <v>37396</v>
          </cell>
          <cell r="U163" t="str">
            <v>ВЦД</v>
          </cell>
          <cell r="W163" t="str">
            <v>Восст.цирк</v>
          </cell>
          <cell r="AG163">
            <v>-82262</v>
          </cell>
          <cell r="AH163">
            <v>-1383504</v>
          </cell>
        </row>
        <row r="164">
          <cell r="B164">
            <v>2991</v>
          </cell>
          <cell r="C164">
            <v>48</v>
          </cell>
          <cell r="F164" t="str">
            <v>ПРС</v>
          </cell>
          <cell r="G164">
            <v>255</v>
          </cell>
          <cell r="H164" t="str">
            <v>ЭЦН</v>
          </cell>
          <cell r="I164" t="str">
            <v>действ.</v>
          </cell>
          <cell r="K164">
            <v>53</v>
          </cell>
          <cell r="L164">
            <v>7.3</v>
          </cell>
          <cell r="M164">
            <v>83</v>
          </cell>
          <cell r="N164">
            <v>90</v>
          </cell>
          <cell r="O164">
            <v>9.5</v>
          </cell>
          <cell r="P164">
            <v>87</v>
          </cell>
          <cell r="Q164">
            <v>37</v>
          </cell>
          <cell r="R164">
            <v>2.2000000000000002</v>
          </cell>
          <cell r="S164">
            <v>92.7</v>
          </cell>
          <cell r="T164">
            <v>37392</v>
          </cell>
          <cell r="W164" t="str">
            <v>Ревизия Э-80 с углублением до 2200м</v>
          </cell>
          <cell r="AG164">
            <v>-44870</v>
          </cell>
          <cell r="AH164">
            <v>-2841792</v>
          </cell>
        </row>
        <row r="165">
          <cell r="B165">
            <v>4212</v>
          </cell>
          <cell r="C165">
            <v>311</v>
          </cell>
          <cell r="F165" t="str">
            <v>ПРС</v>
          </cell>
          <cell r="G165">
            <v>251</v>
          </cell>
          <cell r="H165" t="str">
            <v>ЭЦН</v>
          </cell>
          <cell r="I165" t="str">
            <v>действ.</v>
          </cell>
          <cell r="K165">
            <v>84</v>
          </cell>
          <cell r="L165">
            <v>2.7</v>
          </cell>
          <cell r="M165">
            <v>96</v>
          </cell>
          <cell r="N165">
            <v>160</v>
          </cell>
          <cell r="O165">
            <v>3.9</v>
          </cell>
          <cell r="P165">
            <v>97</v>
          </cell>
          <cell r="Q165">
            <v>76</v>
          </cell>
          <cell r="R165">
            <v>1.1999999999999997</v>
          </cell>
          <cell r="S165">
            <v>98.1</v>
          </cell>
          <cell r="T165">
            <v>37392</v>
          </cell>
          <cell r="U165" t="str">
            <v>опт</v>
          </cell>
          <cell r="W165" t="str">
            <v>Оптимизация Э-80/125</v>
          </cell>
          <cell r="AG165">
            <v>-26172</v>
          </cell>
          <cell r="AH165">
            <v>-747780</v>
          </cell>
        </row>
        <row r="166">
          <cell r="B166">
            <v>2905</v>
          </cell>
          <cell r="C166">
            <v>132</v>
          </cell>
          <cell r="F166" t="str">
            <v>ПРС</v>
          </cell>
          <cell r="G166">
            <v>250</v>
          </cell>
          <cell r="H166" t="str">
            <v>ЭЦН</v>
          </cell>
          <cell r="I166" t="str">
            <v>действ.</v>
          </cell>
          <cell r="K166">
            <v>65</v>
          </cell>
          <cell r="L166">
            <v>2.1</v>
          </cell>
          <cell r="M166">
            <v>96</v>
          </cell>
          <cell r="N166">
            <v>85</v>
          </cell>
          <cell r="O166">
            <v>2.8</v>
          </cell>
          <cell r="P166">
            <v>96</v>
          </cell>
          <cell r="Q166">
            <v>20</v>
          </cell>
          <cell r="R166">
            <v>0.69999999999999973</v>
          </cell>
          <cell r="S166">
            <v>95.7</v>
          </cell>
          <cell r="T166">
            <v>37389</v>
          </cell>
          <cell r="U166" t="str">
            <v>опт</v>
          </cell>
          <cell r="W166" t="str">
            <v>Оптимизация Э-80</v>
          </cell>
        </row>
        <row r="167">
          <cell r="B167">
            <v>4263</v>
          </cell>
          <cell r="C167">
            <v>200</v>
          </cell>
          <cell r="F167" t="str">
            <v>ПРС</v>
          </cell>
          <cell r="G167">
            <v>224</v>
          </cell>
          <cell r="H167" t="str">
            <v>ЭЦН</v>
          </cell>
          <cell r="I167" t="str">
            <v>действ.</v>
          </cell>
          <cell r="K167">
            <v>68</v>
          </cell>
          <cell r="L167">
            <v>2.2000000000000002</v>
          </cell>
          <cell r="M167">
            <v>96</v>
          </cell>
          <cell r="N167">
            <v>160</v>
          </cell>
          <cell r="O167">
            <v>3.9</v>
          </cell>
          <cell r="P167">
            <v>97</v>
          </cell>
          <cell r="Q167">
            <v>92</v>
          </cell>
          <cell r="R167">
            <v>1.6999999999999997</v>
          </cell>
          <cell r="S167">
            <v>97.7</v>
          </cell>
          <cell r="T167">
            <v>37384</v>
          </cell>
          <cell r="U167" t="str">
            <v>опт</v>
          </cell>
          <cell r="W167" t="str">
            <v>Оптимизация Э-50/Э-125 УОПР-800, из ППД</v>
          </cell>
        </row>
        <row r="168">
          <cell r="B168">
            <v>5319</v>
          </cell>
          <cell r="C168">
            <v>134</v>
          </cell>
          <cell r="F168" t="str">
            <v>ПРС</v>
          </cell>
          <cell r="G168">
            <v>249</v>
          </cell>
          <cell r="H168" t="str">
            <v>ЭЦН</v>
          </cell>
          <cell r="I168" t="str">
            <v>действ.</v>
          </cell>
          <cell r="K168">
            <v>45</v>
          </cell>
          <cell r="L168">
            <v>1.5</v>
          </cell>
          <cell r="M168">
            <v>96</v>
          </cell>
          <cell r="N168">
            <v>80</v>
          </cell>
          <cell r="O168">
            <v>3.3</v>
          </cell>
          <cell r="P168">
            <v>95</v>
          </cell>
          <cell r="Q168">
            <v>35</v>
          </cell>
          <cell r="R168">
            <v>1.7999999999999998</v>
          </cell>
          <cell r="S168">
            <v>93.7</v>
          </cell>
          <cell r="T168">
            <v>37384</v>
          </cell>
          <cell r="U168" t="str">
            <v>опт</v>
          </cell>
          <cell r="W168" t="str">
            <v>Оптимизация Э-50/Э-80</v>
          </cell>
        </row>
        <row r="169">
          <cell r="B169">
            <v>2819</v>
          </cell>
          <cell r="C169">
            <v>144</v>
          </cell>
          <cell r="F169" t="str">
            <v>ПРС</v>
          </cell>
          <cell r="G169">
            <v>248</v>
          </cell>
          <cell r="H169" t="str">
            <v>ЭЦН</v>
          </cell>
          <cell r="I169" t="str">
            <v>действ.</v>
          </cell>
          <cell r="K169">
            <v>20</v>
          </cell>
          <cell r="L169">
            <v>1.6</v>
          </cell>
          <cell r="M169">
            <v>90</v>
          </cell>
          <cell r="N169">
            <v>50</v>
          </cell>
          <cell r="O169">
            <v>2.9</v>
          </cell>
          <cell r="P169">
            <v>93</v>
          </cell>
          <cell r="Q169">
            <v>30</v>
          </cell>
          <cell r="R169">
            <v>1.2999999999999998</v>
          </cell>
          <cell r="S169">
            <v>94.7</v>
          </cell>
          <cell r="T169">
            <v>37383</v>
          </cell>
          <cell r="U169" t="str">
            <v>опт</v>
          </cell>
          <cell r="W169" t="str">
            <v>Оптимизация Н-57/Э-50</v>
          </cell>
        </row>
        <row r="170">
          <cell r="B170">
            <v>2757</v>
          </cell>
          <cell r="C170">
            <v>144</v>
          </cell>
          <cell r="F170" t="str">
            <v>ПРС</v>
          </cell>
          <cell r="G170">
            <v>270</v>
          </cell>
          <cell r="H170" t="str">
            <v>ФОН</v>
          </cell>
          <cell r="I170" t="str">
            <v>действ.</v>
          </cell>
          <cell r="K170">
            <v>19</v>
          </cell>
          <cell r="L170">
            <v>4.5</v>
          </cell>
          <cell r="M170">
            <v>71</v>
          </cell>
          <cell r="N170">
            <v>52</v>
          </cell>
          <cell r="O170">
            <v>8.9</v>
          </cell>
          <cell r="P170">
            <v>79</v>
          </cell>
          <cell r="Q170">
            <v>33</v>
          </cell>
          <cell r="R170">
            <v>4.4000000000000004</v>
          </cell>
          <cell r="S170">
            <v>83.5</v>
          </cell>
          <cell r="T170">
            <v>37378</v>
          </cell>
          <cell r="U170" t="str">
            <v>опт</v>
          </cell>
          <cell r="V170">
            <v>2</v>
          </cell>
          <cell r="W170" t="str">
            <v>Оптимизация Н-57/Э-50</v>
          </cell>
        </row>
        <row r="171">
          <cell r="B171">
            <v>3632</v>
          </cell>
          <cell r="C171">
            <v>93</v>
          </cell>
          <cell r="F171" t="str">
            <v>ПРС</v>
          </cell>
          <cell r="G171">
            <v>265</v>
          </cell>
          <cell r="H171" t="str">
            <v>ЭЦН</v>
          </cell>
          <cell r="I171" t="str">
            <v>действ.</v>
          </cell>
          <cell r="K171">
            <v>180</v>
          </cell>
          <cell r="L171">
            <v>10.3</v>
          </cell>
          <cell r="M171">
            <v>93</v>
          </cell>
          <cell r="N171">
            <v>250</v>
          </cell>
          <cell r="O171">
            <v>19.600000000000001</v>
          </cell>
          <cell r="P171">
            <v>90.4</v>
          </cell>
          <cell r="Q171">
            <v>70</v>
          </cell>
          <cell r="R171">
            <v>9.3000000000000007</v>
          </cell>
          <cell r="S171">
            <v>83.6</v>
          </cell>
          <cell r="T171">
            <v>37377</v>
          </cell>
          <cell r="U171" t="str">
            <v>опт</v>
          </cell>
          <cell r="V171">
            <v>2</v>
          </cell>
          <cell r="W171" t="str">
            <v>Ревизия Э-250</v>
          </cell>
        </row>
        <row r="172">
          <cell r="B172">
            <v>2933</v>
          </cell>
          <cell r="C172">
            <v>44</v>
          </cell>
          <cell r="F172" t="str">
            <v>ПРС</v>
          </cell>
          <cell r="G172">
            <v>265</v>
          </cell>
          <cell r="H172" t="str">
            <v>ШГН</v>
          </cell>
          <cell r="I172" t="str">
            <v>бд</v>
          </cell>
          <cell r="L172">
            <v>0</v>
          </cell>
          <cell r="N172">
            <v>12</v>
          </cell>
          <cell r="O172">
            <v>7</v>
          </cell>
          <cell r="P172">
            <v>28</v>
          </cell>
          <cell r="Q172">
            <v>12</v>
          </cell>
          <cell r="R172">
            <v>7</v>
          </cell>
          <cell r="S172">
            <v>28</v>
          </cell>
          <cell r="T172">
            <v>37373</v>
          </cell>
          <cell r="U172" t="str">
            <v>ВЦД</v>
          </cell>
          <cell r="V172">
            <v>1</v>
          </cell>
          <cell r="W172" t="str">
            <v>Ревизия НН-57</v>
          </cell>
        </row>
        <row r="173">
          <cell r="B173">
            <v>5284</v>
          </cell>
          <cell r="C173">
            <v>140</v>
          </cell>
          <cell r="F173" t="str">
            <v>ПРС</v>
          </cell>
          <cell r="H173" t="str">
            <v>ШГН</v>
          </cell>
          <cell r="I173" t="str">
            <v>действ.</v>
          </cell>
          <cell r="K173">
            <v>20</v>
          </cell>
          <cell r="L173">
            <v>14</v>
          </cell>
          <cell r="M173">
            <v>14</v>
          </cell>
          <cell r="N173">
            <v>53</v>
          </cell>
          <cell r="O173">
            <v>16</v>
          </cell>
          <cell r="P173">
            <v>63</v>
          </cell>
          <cell r="Q173">
            <v>33</v>
          </cell>
          <cell r="R173">
            <v>2</v>
          </cell>
          <cell r="S173">
            <v>92.5</v>
          </cell>
          <cell r="T173">
            <v>37365</v>
          </cell>
          <cell r="U173" t="str">
            <v>опт</v>
          </cell>
          <cell r="V173">
            <v>1</v>
          </cell>
          <cell r="W173" t="str">
            <v>Опт.Н-44/Э-30</v>
          </cell>
        </row>
        <row r="174">
          <cell r="B174">
            <v>5609</v>
          </cell>
          <cell r="C174">
            <v>114</v>
          </cell>
          <cell r="F174" t="str">
            <v>ПРС</v>
          </cell>
          <cell r="G174">
            <v>230</v>
          </cell>
          <cell r="H174" t="str">
            <v>ШГН</v>
          </cell>
          <cell r="I174" t="str">
            <v>бд</v>
          </cell>
          <cell r="J174">
            <v>37064</v>
          </cell>
          <cell r="K174">
            <v>2</v>
          </cell>
          <cell r="L174">
            <v>1.6</v>
          </cell>
          <cell r="M174">
            <v>0</v>
          </cell>
          <cell r="N174">
            <v>4</v>
          </cell>
          <cell r="O174">
            <v>2.1</v>
          </cell>
          <cell r="P174">
            <v>35</v>
          </cell>
          <cell r="Q174">
            <v>4</v>
          </cell>
          <cell r="R174">
            <v>2.1</v>
          </cell>
          <cell r="S174">
            <v>35.200000000000003</v>
          </cell>
          <cell r="T174">
            <v>37360</v>
          </cell>
          <cell r="U174" t="str">
            <v>БДП</v>
          </cell>
          <cell r="V174">
            <v>1</v>
          </cell>
          <cell r="W174" t="str">
            <v>ВЦ,ревизия НВ-32</v>
          </cell>
        </row>
        <row r="175">
          <cell r="B175">
            <v>3712</v>
          </cell>
          <cell r="C175">
            <v>303</v>
          </cell>
          <cell r="F175" t="str">
            <v>ПРС</v>
          </cell>
          <cell r="H175" t="str">
            <v>ШГН</v>
          </cell>
          <cell r="I175" t="str">
            <v>действ.</v>
          </cell>
          <cell r="K175">
            <v>150</v>
          </cell>
          <cell r="L175">
            <v>6.1</v>
          </cell>
          <cell r="M175">
            <v>95</v>
          </cell>
          <cell r="N175">
            <v>175</v>
          </cell>
          <cell r="O175">
            <v>8.1</v>
          </cell>
          <cell r="P175">
            <v>94.3</v>
          </cell>
          <cell r="Q175">
            <v>25</v>
          </cell>
          <cell r="R175">
            <v>2</v>
          </cell>
          <cell r="S175">
            <v>90.1</v>
          </cell>
          <cell r="T175">
            <v>37360</v>
          </cell>
          <cell r="U175" t="str">
            <v>опт</v>
          </cell>
          <cell r="V175">
            <v>1</v>
          </cell>
          <cell r="W175" t="str">
            <v>Опт.Э-160/Э-200</v>
          </cell>
        </row>
        <row r="176">
          <cell r="B176">
            <v>3094</v>
          </cell>
          <cell r="C176" t="str">
            <v>44б</v>
          </cell>
          <cell r="F176" t="str">
            <v>ПРС</v>
          </cell>
          <cell r="G176">
            <v>265</v>
          </cell>
          <cell r="H176" t="str">
            <v>ШГН</v>
          </cell>
          <cell r="I176" t="str">
            <v>бд</v>
          </cell>
          <cell r="L176">
            <v>0</v>
          </cell>
          <cell r="N176">
            <v>7</v>
          </cell>
          <cell r="O176">
            <v>5.0999999999999996</v>
          </cell>
          <cell r="P176">
            <v>10</v>
          </cell>
          <cell r="Q176">
            <v>7</v>
          </cell>
          <cell r="R176">
            <v>5.0999999999999996</v>
          </cell>
          <cell r="S176">
            <v>10.1</v>
          </cell>
          <cell r="T176">
            <v>37356</v>
          </cell>
          <cell r="U176" t="str">
            <v>БДП</v>
          </cell>
          <cell r="V176">
            <v>1</v>
          </cell>
          <cell r="W176" t="str">
            <v>Ревизия НН-57</v>
          </cell>
        </row>
        <row r="177">
          <cell r="B177">
            <v>5528</v>
          </cell>
          <cell r="C177" t="str">
            <v>119б</v>
          </cell>
          <cell r="F177" t="str">
            <v>ПРС</v>
          </cell>
          <cell r="G177">
            <v>250</v>
          </cell>
          <cell r="H177" t="str">
            <v>ШГН</v>
          </cell>
          <cell r="I177" t="str">
            <v>бд</v>
          </cell>
          <cell r="L177">
            <v>0</v>
          </cell>
          <cell r="N177">
            <v>8</v>
          </cell>
          <cell r="O177">
            <v>5.5</v>
          </cell>
          <cell r="P177">
            <v>15</v>
          </cell>
          <cell r="Q177">
            <v>8</v>
          </cell>
          <cell r="R177">
            <v>5.5</v>
          </cell>
          <cell r="S177">
            <v>15.1</v>
          </cell>
          <cell r="T177">
            <v>37356</v>
          </cell>
          <cell r="U177" t="str">
            <v>БДП</v>
          </cell>
          <cell r="V177">
            <v>1</v>
          </cell>
        </row>
        <row r="178">
          <cell r="B178">
            <v>2721</v>
          </cell>
          <cell r="C178">
            <v>166</v>
          </cell>
          <cell r="F178" t="str">
            <v>ПРС</v>
          </cell>
          <cell r="G178">
            <v>265</v>
          </cell>
          <cell r="H178" t="str">
            <v>ШГН</v>
          </cell>
          <cell r="I178" t="str">
            <v>бд</v>
          </cell>
          <cell r="L178">
            <v>0</v>
          </cell>
          <cell r="N178">
            <v>4</v>
          </cell>
          <cell r="O178">
            <v>2.6</v>
          </cell>
          <cell r="P178">
            <v>20</v>
          </cell>
          <cell r="Q178">
            <v>4</v>
          </cell>
          <cell r="R178">
            <v>2.6</v>
          </cell>
          <cell r="S178">
            <v>19.8</v>
          </cell>
          <cell r="T178">
            <v>37333</v>
          </cell>
          <cell r="U178" t="str">
            <v>БДП</v>
          </cell>
          <cell r="W178" t="str">
            <v>Ревизия НН-44</v>
          </cell>
        </row>
        <row r="179">
          <cell r="B179">
            <v>2681</v>
          </cell>
          <cell r="C179" t="str">
            <v>145б</v>
          </cell>
          <cell r="F179" t="str">
            <v>ПРС</v>
          </cell>
          <cell r="G179">
            <v>265</v>
          </cell>
          <cell r="H179" t="str">
            <v>ШГН</v>
          </cell>
          <cell r="I179" t="str">
            <v>бд</v>
          </cell>
          <cell r="L179">
            <v>0</v>
          </cell>
          <cell r="N179">
            <v>5</v>
          </cell>
          <cell r="O179">
            <v>4</v>
          </cell>
          <cell r="P179">
            <v>3</v>
          </cell>
          <cell r="Q179">
            <v>5</v>
          </cell>
          <cell r="R179">
            <v>4</v>
          </cell>
          <cell r="S179">
            <v>1.2</v>
          </cell>
          <cell r="T179">
            <v>37311</v>
          </cell>
          <cell r="U179" t="str">
            <v>ВЦД</v>
          </cell>
          <cell r="W179" t="str">
            <v>Ревизия НН-44</v>
          </cell>
        </row>
        <row r="180">
          <cell r="B180" t="str">
            <v>136р</v>
          </cell>
          <cell r="G180">
            <v>250</v>
          </cell>
          <cell r="H180" t="str">
            <v>фон</v>
          </cell>
          <cell r="I180" t="str">
            <v>конс.</v>
          </cell>
          <cell r="L180">
            <v>0</v>
          </cell>
          <cell r="N180">
            <v>14</v>
          </cell>
          <cell r="O180">
            <v>10.8</v>
          </cell>
          <cell r="P180">
            <v>5</v>
          </cell>
          <cell r="Q180">
            <v>14</v>
          </cell>
          <cell r="R180">
            <v>10.8</v>
          </cell>
          <cell r="S180">
            <v>4.8</v>
          </cell>
          <cell r="T180">
            <v>37306</v>
          </cell>
          <cell r="U180" t="str">
            <v>БДД</v>
          </cell>
          <cell r="W180" t="str">
            <v>Пуск в работу</v>
          </cell>
        </row>
        <row r="181">
          <cell r="B181">
            <v>2710</v>
          </cell>
          <cell r="C181">
            <v>161</v>
          </cell>
          <cell r="F181" t="str">
            <v>ПРС</v>
          </cell>
          <cell r="H181" t="str">
            <v>ШГН</v>
          </cell>
          <cell r="I181" t="str">
            <v>действ.</v>
          </cell>
          <cell r="K181">
            <v>13</v>
          </cell>
          <cell r="L181">
            <v>6.3</v>
          </cell>
          <cell r="M181">
            <v>41</v>
          </cell>
          <cell r="N181">
            <v>37</v>
          </cell>
          <cell r="O181">
            <v>16</v>
          </cell>
          <cell r="P181">
            <v>47</v>
          </cell>
          <cell r="Q181">
            <v>24</v>
          </cell>
          <cell r="R181">
            <v>9.6999999999999993</v>
          </cell>
          <cell r="S181">
            <v>50.1</v>
          </cell>
          <cell r="T181">
            <v>37533</v>
          </cell>
          <cell r="U181" t="str">
            <v>опт</v>
          </cell>
          <cell r="W181" t="str">
            <v>Оптимизация Н-57/Э-30</v>
          </cell>
        </row>
        <row r="182">
          <cell r="B182">
            <v>2938</v>
          </cell>
          <cell r="C182" t="str">
            <v>43б</v>
          </cell>
          <cell r="F182" t="str">
            <v>ПРС</v>
          </cell>
          <cell r="H182" t="str">
            <v>ШГН</v>
          </cell>
          <cell r="I182" t="str">
            <v>действ.</v>
          </cell>
          <cell r="K182">
            <v>13</v>
          </cell>
          <cell r="L182">
            <v>7.5</v>
          </cell>
          <cell r="M182">
            <v>29</v>
          </cell>
          <cell r="N182">
            <v>20</v>
          </cell>
          <cell r="O182">
            <v>13.7</v>
          </cell>
          <cell r="P182">
            <v>16</v>
          </cell>
          <cell r="Q182">
            <v>7</v>
          </cell>
          <cell r="R182">
            <v>6.1999999999999993</v>
          </cell>
          <cell r="S182">
            <v>-9.3000000000000007</v>
          </cell>
          <cell r="T182">
            <v>37544</v>
          </cell>
          <cell r="U182" t="str">
            <v>опт</v>
          </cell>
          <cell r="W182" t="str">
            <v>Оптимизация Н-44/Э-30</v>
          </cell>
        </row>
        <row r="183">
          <cell r="B183">
            <v>2566</v>
          </cell>
          <cell r="C183">
            <v>167</v>
          </cell>
          <cell r="F183" t="str">
            <v>ПРС</v>
          </cell>
          <cell r="H183" t="str">
            <v>фон</v>
          </cell>
          <cell r="I183" t="str">
            <v>бд</v>
          </cell>
          <cell r="J183">
            <v>37389</v>
          </cell>
          <cell r="K183">
            <v>0</v>
          </cell>
          <cell r="L183">
            <v>0</v>
          </cell>
          <cell r="M183">
            <v>0</v>
          </cell>
          <cell r="N183">
            <v>33</v>
          </cell>
          <cell r="O183">
            <v>4.5999999999999996</v>
          </cell>
          <cell r="P183">
            <v>83</v>
          </cell>
          <cell r="Q183">
            <v>33</v>
          </cell>
          <cell r="R183">
            <v>4.5999999999999996</v>
          </cell>
          <cell r="S183">
            <v>82.8</v>
          </cell>
          <cell r="T183">
            <v>37550</v>
          </cell>
          <cell r="U183" t="str">
            <v>ВЦД</v>
          </cell>
          <cell r="W183" t="str">
            <v>ВЦ,ВЗ(ГЖ)сп.Э-80</v>
          </cell>
        </row>
        <row r="184">
          <cell r="B184">
            <v>2755</v>
          </cell>
          <cell r="C184">
            <v>145</v>
          </cell>
          <cell r="F184" t="str">
            <v>ПРС</v>
          </cell>
          <cell r="H184" t="str">
            <v>ЭЦН</v>
          </cell>
          <cell r="I184" t="str">
            <v>бд</v>
          </cell>
          <cell r="J184">
            <v>33968</v>
          </cell>
          <cell r="K184">
            <v>0</v>
          </cell>
          <cell r="L184">
            <v>0</v>
          </cell>
          <cell r="M184">
            <v>0</v>
          </cell>
          <cell r="N184">
            <v>30</v>
          </cell>
          <cell r="O184">
            <v>10.3</v>
          </cell>
          <cell r="P184">
            <v>58</v>
          </cell>
          <cell r="Q184">
            <v>30</v>
          </cell>
          <cell r="R184">
            <v>10.3</v>
          </cell>
          <cell r="S184">
            <v>57.6</v>
          </cell>
          <cell r="T184">
            <v>37551</v>
          </cell>
          <cell r="U184" t="str">
            <v>ВЦД</v>
          </cell>
          <cell r="W184" t="str">
            <v>в.ц.,в.з.(г/ж),Э-60</v>
          </cell>
        </row>
        <row r="185">
          <cell r="B185">
            <v>5585</v>
          </cell>
          <cell r="C185">
            <v>117</v>
          </cell>
          <cell r="F185" t="str">
            <v>ПРС</v>
          </cell>
          <cell r="H185" t="str">
            <v>ЭЦН</v>
          </cell>
          <cell r="I185" t="str">
            <v>бд</v>
          </cell>
          <cell r="J185">
            <v>35610</v>
          </cell>
          <cell r="K185">
            <v>0</v>
          </cell>
          <cell r="L185">
            <v>0</v>
          </cell>
          <cell r="M185">
            <v>0</v>
          </cell>
          <cell r="N185">
            <v>80</v>
          </cell>
          <cell r="O185">
            <v>2</v>
          </cell>
          <cell r="P185">
            <v>97</v>
          </cell>
          <cell r="Q185">
            <v>80</v>
          </cell>
          <cell r="R185">
            <v>2</v>
          </cell>
          <cell r="S185">
            <v>96.9</v>
          </cell>
          <cell r="T185">
            <v>37537</v>
          </cell>
          <cell r="U185" t="str">
            <v>БДП</v>
          </cell>
          <cell r="W185" t="str">
            <v>ВЗ(ГЖ)см.вор./Э-80</v>
          </cell>
        </row>
        <row r="186">
          <cell r="B186">
            <v>5586</v>
          </cell>
          <cell r="C186">
            <v>117</v>
          </cell>
          <cell r="F186" t="str">
            <v>ПРС</v>
          </cell>
          <cell r="H186" t="str">
            <v>ЭЦН</v>
          </cell>
          <cell r="I186" t="str">
            <v>бд</v>
          </cell>
          <cell r="J186">
            <v>35378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T186">
            <v>37544</v>
          </cell>
          <cell r="U186" t="str">
            <v>БДП</v>
          </cell>
          <cell r="W186" t="str">
            <v>в.з.(г/ж), рев.Э-125</v>
          </cell>
        </row>
        <row r="187">
          <cell r="B187">
            <v>5516</v>
          </cell>
          <cell r="C187">
            <v>115</v>
          </cell>
          <cell r="F187" t="str">
            <v>ПРС</v>
          </cell>
          <cell r="H187" t="str">
            <v>ЭЦН</v>
          </cell>
          <cell r="I187" t="str">
            <v>бд</v>
          </cell>
          <cell r="J187">
            <v>37081</v>
          </cell>
          <cell r="K187">
            <v>0</v>
          </cell>
          <cell r="L187">
            <v>0</v>
          </cell>
          <cell r="M187">
            <v>0</v>
          </cell>
          <cell r="N187">
            <v>125</v>
          </cell>
          <cell r="O187">
            <v>4.0999999999999996</v>
          </cell>
          <cell r="P187">
            <v>96</v>
          </cell>
          <cell r="Q187">
            <v>125</v>
          </cell>
          <cell r="R187">
            <v>4.0999999999999996</v>
          </cell>
          <cell r="S187">
            <v>96</v>
          </cell>
          <cell r="T187">
            <v>37550</v>
          </cell>
          <cell r="U187" t="str">
            <v>БДП</v>
          </cell>
          <cell r="W187" t="str">
            <v>в.з.(г/ж), Э-125</v>
          </cell>
        </row>
        <row r="188">
          <cell r="B188">
            <v>2877</v>
          </cell>
          <cell r="C188">
            <v>42</v>
          </cell>
          <cell r="F188" t="str">
            <v>ПРС</v>
          </cell>
          <cell r="H188" t="str">
            <v>ШГН</v>
          </cell>
          <cell r="I188" t="str">
            <v>бд</v>
          </cell>
          <cell r="J188">
            <v>36895</v>
          </cell>
          <cell r="K188">
            <v>0</v>
          </cell>
          <cell r="L188">
            <v>0</v>
          </cell>
          <cell r="M188">
            <v>0</v>
          </cell>
          <cell r="N188">
            <v>11</v>
          </cell>
          <cell r="O188">
            <v>0.7</v>
          </cell>
          <cell r="P188">
            <v>92</v>
          </cell>
          <cell r="Q188">
            <v>11</v>
          </cell>
          <cell r="R188">
            <v>0.7</v>
          </cell>
          <cell r="S188">
            <v>92.1</v>
          </cell>
          <cell r="T188">
            <v>37538</v>
          </cell>
          <cell r="U188" t="str">
            <v>БДП</v>
          </cell>
          <cell r="W188" t="str">
            <v>См.НВ-32/НВ-44, ВЗ(ГЖ)</v>
          </cell>
        </row>
        <row r="189">
          <cell r="B189" t="str">
            <v>5402б</v>
          </cell>
          <cell r="C189">
            <v>103</v>
          </cell>
          <cell r="F189" t="str">
            <v>ПРС</v>
          </cell>
          <cell r="H189" t="str">
            <v>ЭЦН</v>
          </cell>
          <cell r="I189" t="str">
            <v>конс.</v>
          </cell>
          <cell r="J189">
            <v>34099</v>
          </cell>
          <cell r="K189">
            <v>0</v>
          </cell>
          <cell r="L189">
            <v>0</v>
          </cell>
          <cell r="M189">
            <v>0</v>
          </cell>
          <cell r="N189">
            <v>29</v>
          </cell>
          <cell r="O189">
            <v>3.8</v>
          </cell>
          <cell r="P189">
            <v>84</v>
          </cell>
          <cell r="Q189">
            <v>29</v>
          </cell>
          <cell r="R189">
            <v>3.8</v>
          </cell>
          <cell r="S189">
            <v>83.8</v>
          </cell>
          <cell r="T189">
            <v>37550</v>
          </cell>
          <cell r="U189" t="str">
            <v>ВЦД</v>
          </cell>
          <cell r="W189" t="str">
            <v>ВЦ,ВЗ(ГЖ)сп.Э-80</v>
          </cell>
        </row>
        <row r="190">
          <cell r="B190">
            <v>5718</v>
          </cell>
          <cell r="C190" t="str">
            <v>122б</v>
          </cell>
          <cell r="F190" t="str">
            <v>ПРС</v>
          </cell>
          <cell r="H190" t="str">
            <v>ЭЦН</v>
          </cell>
          <cell r="I190" t="str">
            <v>действ.</v>
          </cell>
          <cell r="K190">
            <v>141</v>
          </cell>
          <cell r="L190">
            <v>10.3</v>
          </cell>
          <cell r="M190">
            <v>91</v>
          </cell>
          <cell r="N190">
            <v>200</v>
          </cell>
          <cell r="O190">
            <v>16.3</v>
          </cell>
          <cell r="P190">
            <v>90</v>
          </cell>
          <cell r="Q190">
            <v>59</v>
          </cell>
          <cell r="R190">
            <v>6</v>
          </cell>
          <cell r="S190">
            <v>87.4</v>
          </cell>
          <cell r="T190">
            <v>37574</v>
          </cell>
          <cell r="U190" t="str">
            <v>опт</v>
          </cell>
          <cell r="W190" t="str">
            <v>Смена Э-125/Э-200</v>
          </cell>
        </row>
        <row r="191">
          <cell r="B191">
            <v>5641</v>
          </cell>
          <cell r="C191">
            <v>126</v>
          </cell>
          <cell r="F191" t="str">
            <v>ПРС</v>
          </cell>
          <cell r="H191" t="str">
            <v>ЭЦН</v>
          </cell>
          <cell r="I191" t="str">
            <v>действ.</v>
          </cell>
          <cell r="K191">
            <v>96</v>
          </cell>
          <cell r="L191">
            <v>45.4</v>
          </cell>
          <cell r="M191">
            <v>42</v>
          </cell>
          <cell r="N191">
            <v>120</v>
          </cell>
          <cell r="O191">
            <v>54.8</v>
          </cell>
          <cell r="P191">
            <v>44</v>
          </cell>
          <cell r="Q191">
            <v>24</v>
          </cell>
          <cell r="R191">
            <v>9.3999999999999986</v>
          </cell>
          <cell r="S191">
            <v>51.6</v>
          </cell>
          <cell r="T191">
            <v>37573</v>
          </cell>
          <cell r="U191" t="str">
            <v>опт</v>
          </cell>
          <cell r="W191" t="str">
            <v>Смена Э-80/Э-125</v>
          </cell>
        </row>
        <row r="192">
          <cell r="B192">
            <v>5826</v>
          </cell>
          <cell r="C192">
            <v>167</v>
          </cell>
          <cell r="F192" t="str">
            <v>ПРС</v>
          </cell>
          <cell r="H192" t="str">
            <v>ШГН</v>
          </cell>
          <cell r="I192" t="str">
            <v>действ.</v>
          </cell>
          <cell r="K192">
            <v>22</v>
          </cell>
          <cell r="L192">
            <v>13.4</v>
          </cell>
          <cell r="M192">
            <v>25</v>
          </cell>
          <cell r="N192">
            <v>34</v>
          </cell>
          <cell r="O192">
            <v>20.8</v>
          </cell>
          <cell r="P192">
            <v>25</v>
          </cell>
          <cell r="Q192">
            <v>12</v>
          </cell>
          <cell r="R192">
            <v>7.4</v>
          </cell>
          <cell r="S192">
            <v>23.9</v>
          </cell>
          <cell r="T192">
            <v>37583</v>
          </cell>
          <cell r="U192" t="str">
            <v>опт</v>
          </cell>
          <cell r="W192" t="str">
            <v>Оптимизация Н-44/Э-30</v>
          </cell>
        </row>
        <row r="193">
          <cell r="B193">
            <v>5690</v>
          </cell>
          <cell r="C193" t="str">
            <v>122б</v>
          </cell>
          <cell r="F193" t="str">
            <v>ПРС</v>
          </cell>
          <cell r="H193" t="str">
            <v>ЭЦН</v>
          </cell>
          <cell r="I193" t="str">
            <v>бдт</v>
          </cell>
          <cell r="J193">
            <v>37523</v>
          </cell>
          <cell r="K193">
            <v>0</v>
          </cell>
          <cell r="L193">
            <v>0</v>
          </cell>
          <cell r="M193">
            <v>0</v>
          </cell>
          <cell r="N193">
            <v>30</v>
          </cell>
          <cell r="O193">
            <v>5.0999999999999996</v>
          </cell>
          <cell r="P193">
            <v>79</v>
          </cell>
          <cell r="Q193">
            <v>30</v>
          </cell>
          <cell r="R193">
            <v>5.0999999999999996</v>
          </cell>
          <cell r="S193">
            <v>79</v>
          </cell>
          <cell r="T193">
            <v>37577</v>
          </cell>
          <cell r="U193" t="str">
            <v>бдп</v>
          </cell>
          <cell r="W193" t="str">
            <v>См.Э-50/Э-30</v>
          </cell>
        </row>
        <row r="194">
          <cell r="B194">
            <v>5253</v>
          </cell>
          <cell r="C194">
            <v>138</v>
          </cell>
          <cell r="F194" t="str">
            <v>ПРС</v>
          </cell>
          <cell r="H194" t="str">
            <v>ЭЦН</v>
          </cell>
          <cell r="I194" t="str">
            <v>конс.</v>
          </cell>
          <cell r="J194">
            <v>34881</v>
          </cell>
          <cell r="K194">
            <v>0</v>
          </cell>
          <cell r="L194">
            <v>0</v>
          </cell>
          <cell r="M194">
            <v>0</v>
          </cell>
          <cell r="N194">
            <v>48</v>
          </cell>
          <cell r="O194">
            <v>6.2</v>
          </cell>
          <cell r="P194">
            <v>84.2</v>
          </cell>
          <cell r="Q194">
            <v>48</v>
          </cell>
          <cell r="R194">
            <v>6.2</v>
          </cell>
          <cell r="S194">
            <v>84.1</v>
          </cell>
          <cell r="T194">
            <v>37584</v>
          </cell>
          <cell r="U194" t="str">
            <v>бдп</v>
          </cell>
          <cell r="W194" t="str">
            <v>Смена вор./Э-50</v>
          </cell>
          <cell r="AE194">
            <v>37673</v>
          </cell>
        </row>
        <row r="195">
          <cell r="B195" t="str">
            <v>11024б</v>
          </cell>
          <cell r="C195" t="str">
            <v>97б</v>
          </cell>
          <cell r="F195" t="str">
            <v>ПРС</v>
          </cell>
          <cell r="H195" t="str">
            <v>ЭЦН</v>
          </cell>
          <cell r="I195" t="str">
            <v>бд</v>
          </cell>
          <cell r="J195">
            <v>35121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90</v>
          </cell>
          <cell r="T195">
            <v>37706</v>
          </cell>
          <cell r="U195" t="str">
            <v>ВЦД</v>
          </cell>
          <cell r="W195" t="str">
            <v>ВЦ,ВЗ ГЖ,сп Э-50</v>
          </cell>
        </row>
        <row r="197">
          <cell r="W197" t="str">
            <v>КРС</v>
          </cell>
        </row>
        <row r="199">
          <cell r="AD199">
            <v>37553</v>
          </cell>
          <cell r="AE199">
            <v>37572</v>
          </cell>
        </row>
        <row r="200">
          <cell r="B200">
            <v>2881</v>
          </cell>
          <cell r="C200">
            <v>127</v>
          </cell>
          <cell r="F200" t="str">
            <v>УПНП</v>
          </cell>
          <cell r="G200">
            <v>280</v>
          </cell>
          <cell r="H200" t="str">
            <v>ЭЦН</v>
          </cell>
          <cell r="I200" t="str">
            <v>конс.</v>
          </cell>
          <cell r="J200">
            <v>35677</v>
          </cell>
          <cell r="K200">
            <v>0</v>
          </cell>
          <cell r="L200">
            <v>0</v>
          </cell>
          <cell r="M200">
            <v>0</v>
          </cell>
          <cell r="N200">
            <v>52</v>
          </cell>
          <cell r="O200">
            <v>8.1</v>
          </cell>
          <cell r="P200">
            <v>81</v>
          </cell>
          <cell r="Q200">
            <v>52</v>
          </cell>
          <cell r="R200">
            <v>8.1</v>
          </cell>
          <cell r="S200">
            <v>80.8</v>
          </cell>
          <cell r="T200">
            <v>37578</v>
          </cell>
          <cell r="U200" t="str">
            <v>ОВП</v>
          </cell>
          <cell r="W200" t="str">
            <v>ОТСК,РИР ЮК-10,ПП,ДП</v>
          </cell>
          <cell r="AD200">
            <v>37554</v>
          </cell>
          <cell r="AE200">
            <v>37571</v>
          </cell>
        </row>
        <row r="201">
          <cell r="B201">
            <v>5651</v>
          </cell>
          <cell r="C201">
            <v>124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конс.</v>
          </cell>
          <cell r="J201">
            <v>35433</v>
          </cell>
          <cell r="K201">
            <v>0</v>
          </cell>
          <cell r="L201">
            <v>0</v>
          </cell>
          <cell r="M201">
            <v>0</v>
          </cell>
          <cell r="N201">
            <v>65</v>
          </cell>
          <cell r="O201">
            <v>23.3</v>
          </cell>
          <cell r="P201">
            <v>56</v>
          </cell>
          <cell r="Q201">
            <v>65</v>
          </cell>
          <cell r="R201">
            <v>23.3</v>
          </cell>
          <cell r="S201">
            <v>55.7</v>
          </cell>
          <cell r="T201">
            <v>37572</v>
          </cell>
          <cell r="U201" t="str">
            <v>ОВП</v>
          </cell>
          <cell r="W201" t="str">
            <v>ВЦ,ГИС,РИР (ЗКЦ ЮК-11),ПП</v>
          </cell>
        </row>
        <row r="202">
          <cell r="B202">
            <v>2696</v>
          </cell>
          <cell r="C202">
            <v>163</v>
          </cell>
          <cell r="F202" t="str">
            <v>ПРС,КРС</v>
          </cell>
          <cell r="H202" t="str">
            <v>ШГН</v>
          </cell>
          <cell r="I202" t="str">
            <v>конс.</v>
          </cell>
          <cell r="J202">
            <v>36070</v>
          </cell>
          <cell r="K202">
            <v>0</v>
          </cell>
          <cell r="L202">
            <v>0</v>
          </cell>
          <cell r="M202">
            <v>0</v>
          </cell>
          <cell r="N202">
            <v>32</v>
          </cell>
          <cell r="O202">
            <v>24</v>
          </cell>
          <cell r="P202">
            <v>8</v>
          </cell>
          <cell r="Q202">
            <v>32</v>
          </cell>
          <cell r="R202">
            <v>24</v>
          </cell>
          <cell r="S202">
            <v>7.4</v>
          </cell>
          <cell r="T202">
            <v>37573</v>
          </cell>
          <cell r="U202" t="str">
            <v>бдп</v>
          </cell>
          <cell r="W202" t="str">
            <v>Подъем вор.,сп.Э-30</v>
          </cell>
          <cell r="X202" t="str">
            <v>ВЗ,ГДИ,сп.Э-50</v>
          </cell>
          <cell r="Y202" t="str">
            <v xml:space="preserve">на забое ЭЦН-50/1550+103шт.60мм НКТ+кабель </v>
          </cell>
          <cell r="AD202">
            <v>37413</v>
          </cell>
          <cell r="AE202">
            <v>37427</v>
          </cell>
          <cell r="AF202">
            <v>14</v>
          </cell>
        </row>
        <row r="203">
          <cell r="B203">
            <v>5241</v>
          </cell>
          <cell r="C203">
            <v>134</v>
          </cell>
          <cell r="D203">
            <v>6</v>
          </cell>
          <cell r="E203">
            <v>60</v>
          </cell>
          <cell r="F203" t="str">
            <v>УПНПиКРС</v>
          </cell>
          <cell r="G203">
            <v>258</v>
          </cell>
          <cell r="H203" t="str">
            <v>ЭЦН</v>
          </cell>
          <cell r="I203" t="str">
            <v>бд</v>
          </cell>
          <cell r="J203">
            <v>34547</v>
          </cell>
          <cell r="K203">
            <v>21</v>
          </cell>
          <cell r="L203">
            <v>0.2</v>
          </cell>
          <cell r="M203">
            <v>99</v>
          </cell>
          <cell r="N203">
            <v>50</v>
          </cell>
          <cell r="O203">
            <v>30</v>
          </cell>
          <cell r="P203">
            <v>26.5</v>
          </cell>
          <cell r="Q203">
            <v>50</v>
          </cell>
          <cell r="R203">
            <v>30</v>
          </cell>
          <cell r="S203">
            <v>25.9</v>
          </cell>
          <cell r="T203">
            <v>37465</v>
          </cell>
          <cell r="U203" t="str">
            <v>ГРП</v>
          </cell>
          <cell r="V203">
            <v>2</v>
          </cell>
          <cell r="W203" t="str">
            <v xml:space="preserve">ВЦ, ГИС-2 ( источ. обвод.), при подтверждении воды и герм. э/колонны  </v>
          </cell>
          <cell r="X203" t="str">
            <v>ЭП выполнен, ЭЦН с КРБК на забое</v>
          </cell>
          <cell r="Y203" t="str">
            <v xml:space="preserve">на забое ЭЦН-50/1550+103шт.60мм НКТ+кабель </v>
          </cell>
          <cell r="AD203">
            <v>37413</v>
          </cell>
          <cell r="AE203">
            <v>37461</v>
          </cell>
          <cell r="AF203">
            <v>48</v>
          </cell>
        </row>
        <row r="204">
          <cell r="B204">
            <v>5241</v>
          </cell>
          <cell r="C204">
            <v>134</v>
          </cell>
          <cell r="D204">
            <v>6</v>
          </cell>
          <cell r="E204">
            <v>60</v>
          </cell>
          <cell r="F204" t="str">
            <v>УПНПиКРС</v>
          </cell>
          <cell r="G204">
            <v>258</v>
          </cell>
          <cell r="H204" t="str">
            <v>ЭЦН</v>
          </cell>
          <cell r="I204" t="str">
            <v>бд</v>
          </cell>
          <cell r="J204">
            <v>34547</v>
          </cell>
          <cell r="K204">
            <v>21</v>
          </cell>
          <cell r="L204">
            <v>0.2</v>
          </cell>
          <cell r="M204">
            <v>99</v>
          </cell>
          <cell r="N204">
            <v>30</v>
          </cell>
          <cell r="O204">
            <v>12</v>
          </cell>
          <cell r="P204">
            <v>51</v>
          </cell>
          <cell r="Q204">
            <v>30</v>
          </cell>
          <cell r="R204">
            <v>12</v>
          </cell>
          <cell r="S204">
            <v>50.6</v>
          </cell>
          <cell r="T204">
            <v>37465</v>
          </cell>
          <cell r="U204" t="str">
            <v>ГРП</v>
          </cell>
          <cell r="V204">
            <v>2</v>
          </cell>
          <cell r="W204" t="str">
            <v>СО-каротаж, ПР к ГРП, ГРП ЮК-2, осв.</v>
          </cell>
          <cell r="X204" t="str">
            <v>ЭП выполнен, ЭЦН с КРБК на забое</v>
          </cell>
          <cell r="AD204" t="e">
            <v>#REF!</v>
          </cell>
          <cell r="AE204" t="e">
            <v>#REF!</v>
          </cell>
          <cell r="AF204">
            <v>12</v>
          </cell>
        </row>
        <row r="205">
          <cell r="B205">
            <v>2790</v>
          </cell>
          <cell r="C205">
            <v>144</v>
          </cell>
          <cell r="D205">
            <v>3</v>
          </cell>
          <cell r="E205">
            <v>30</v>
          </cell>
          <cell r="F205" t="str">
            <v>УПНПиКРС</v>
          </cell>
          <cell r="G205">
            <v>270</v>
          </cell>
          <cell r="H205" t="str">
            <v>нагнет.</v>
          </cell>
          <cell r="I205" t="str">
            <v>действ.</v>
          </cell>
          <cell r="J205">
            <v>37421</v>
          </cell>
          <cell r="K205">
            <v>150</v>
          </cell>
          <cell r="N205">
            <v>150</v>
          </cell>
          <cell r="Q205">
            <v>150</v>
          </cell>
          <cell r="T205">
            <v>37463</v>
          </cell>
          <cell r="U205" t="str">
            <v>нг</v>
          </cell>
          <cell r="W205" t="str">
            <v>Ревизия пакера</v>
          </cell>
          <cell r="AD205">
            <v>37417</v>
          </cell>
          <cell r="AE205">
            <v>37441</v>
          </cell>
          <cell r="AF205">
            <v>24</v>
          </cell>
          <cell r="AG205">
            <v>-1389581</v>
          </cell>
          <cell r="AH205">
            <v>-2434575</v>
          </cell>
        </row>
        <row r="206">
          <cell r="B206">
            <v>5290</v>
          </cell>
          <cell r="C206">
            <v>133</v>
          </cell>
          <cell r="D206">
            <v>4</v>
          </cell>
          <cell r="E206">
            <v>40</v>
          </cell>
          <cell r="F206" t="str">
            <v>УПНПиКРС</v>
          </cell>
          <cell r="H206" t="str">
            <v>ШГН</v>
          </cell>
          <cell r="I206" t="str">
            <v>бд</v>
          </cell>
          <cell r="N206">
            <v>65</v>
          </cell>
          <cell r="O206">
            <v>37.1</v>
          </cell>
          <cell r="P206">
            <v>30</v>
          </cell>
          <cell r="Q206">
            <v>65</v>
          </cell>
          <cell r="R206">
            <v>37.1</v>
          </cell>
          <cell r="S206">
            <v>29.5</v>
          </cell>
          <cell r="T206">
            <v>37455</v>
          </cell>
          <cell r="U206" t="str">
            <v>ГРП</v>
          </cell>
          <cell r="W206" t="str">
            <v>ВЦ, РИР ЮК-10, ПР к ГРП, ГРП ЮК-2, осв.</v>
          </cell>
          <cell r="Y206" t="str">
            <v>ОЦ5.10.99</v>
          </cell>
          <cell r="AC206" t="str">
            <v/>
          </cell>
          <cell r="AD206">
            <v>37413</v>
          </cell>
          <cell r="AE206">
            <v>37447</v>
          </cell>
          <cell r="AF206">
            <v>34</v>
          </cell>
          <cell r="AG206">
            <v>4814</v>
          </cell>
          <cell r="AH206">
            <v>6372</v>
          </cell>
        </row>
        <row r="207">
          <cell r="B207">
            <v>5483</v>
          </cell>
          <cell r="C207">
            <v>115</v>
          </cell>
          <cell r="D207">
            <v>4</v>
          </cell>
          <cell r="E207">
            <v>41</v>
          </cell>
          <cell r="F207" t="str">
            <v>УПНПиКРС</v>
          </cell>
          <cell r="G207">
            <v>250</v>
          </cell>
          <cell r="H207" t="str">
            <v>ЭЦН</v>
          </cell>
          <cell r="I207" t="str">
            <v>действ.</v>
          </cell>
          <cell r="J207">
            <v>34274</v>
          </cell>
          <cell r="K207">
            <v>20</v>
          </cell>
          <cell r="L207">
            <v>13.3</v>
          </cell>
          <cell r="M207">
            <v>18.2</v>
          </cell>
          <cell r="N207">
            <v>47</v>
          </cell>
          <cell r="O207">
            <v>33.700000000000003</v>
          </cell>
          <cell r="P207">
            <v>12</v>
          </cell>
          <cell r="Q207">
            <v>27</v>
          </cell>
          <cell r="R207">
            <v>20.400000000000002</v>
          </cell>
          <cell r="S207">
            <v>6.7</v>
          </cell>
          <cell r="T207">
            <v>37445</v>
          </cell>
          <cell r="U207" t="str">
            <v>опт</v>
          </cell>
          <cell r="V207">
            <v>3</v>
          </cell>
          <cell r="W207" t="str">
            <v>Подъём пакера , осв.после ГРП, сп.Э-50</v>
          </cell>
          <cell r="AD207">
            <v>37423</v>
          </cell>
          <cell r="AE207">
            <v>37437</v>
          </cell>
          <cell r="AF207">
            <v>14</v>
          </cell>
          <cell r="AG207">
            <v>3925</v>
          </cell>
          <cell r="AH207">
            <v>8440</v>
          </cell>
        </row>
        <row r="208">
          <cell r="B208">
            <v>2979</v>
          </cell>
          <cell r="C208">
            <v>50</v>
          </cell>
          <cell r="D208">
            <v>3</v>
          </cell>
          <cell r="E208">
            <v>30</v>
          </cell>
          <cell r="F208" t="str">
            <v>УПНПиКРС</v>
          </cell>
          <cell r="G208">
            <v>240</v>
          </cell>
          <cell r="H208" t="str">
            <v>ЭЦН</v>
          </cell>
          <cell r="I208" t="str">
            <v>бд</v>
          </cell>
          <cell r="J208">
            <v>37421</v>
          </cell>
          <cell r="K208">
            <v>44</v>
          </cell>
          <cell r="L208">
            <v>24.7</v>
          </cell>
          <cell r="M208">
            <v>31</v>
          </cell>
          <cell r="N208">
            <v>40</v>
          </cell>
          <cell r="O208">
            <v>18.600000000000001</v>
          </cell>
          <cell r="P208">
            <v>43</v>
          </cell>
          <cell r="Q208">
            <v>40</v>
          </cell>
          <cell r="R208">
            <v>18.600000000000001</v>
          </cell>
          <cell r="S208">
            <v>42.6</v>
          </cell>
          <cell r="T208">
            <v>37439</v>
          </cell>
          <cell r="U208" t="str">
            <v>ЛА</v>
          </cell>
          <cell r="V208">
            <v>2</v>
          </cell>
          <cell r="W208" t="str">
            <v>ЛА</v>
          </cell>
          <cell r="AD208">
            <v>37409</v>
          </cell>
          <cell r="AE208">
            <v>37431</v>
          </cell>
          <cell r="AF208">
            <v>22</v>
          </cell>
        </row>
        <row r="209">
          <cell r="B209">
            <v>5266</v>
          </cell>
          <cell r="C209">
            <v>134</v>
          </cell>
          <cell r="D209">
            <v>21</v>
          </cell>
          <cell r="E209">
            <v>210</v>
          </cell>
          <cell r="F209" t="str">
            <v>УПНПиКРС</v>
          </cell>
          <cell r="H209" t="str">
            <v>нагнет.</v>
          </cell>
          <cell r="I209" t="str">
            <v>бд</v>
          </cell>
          <cell r="N209">
            <v>50</v>
          </cell>
          <cell r="O209">
            <v>30</v>
          </cell>
          <cell r="P209">
            <v>26.5</v>
          </cell>
          <cell r="Q209">
            <v>50</v>
          </cell>
          <cell r="R209">
            <v>30</v>
          </cell>
          <cell r="S209">
            <v>25.9</v>
          </cell>
          <cell r="T209">
            <v>37436</v>
          </cell>
          <cell r="U209" t="str">
            <v>ГРП</v>
          </cell>
          <cell r="W209" t="str">
            <v>ОТСК, РИР ЮК-10, ПР к ГРП, ГРП ЮК-2, осв.</v>
          </cell>
          <cell r="AD209">
            <v>37409</v>
          </cell>
          <cell r="AE209">
            <v>37431</v>
          </cell>
          <cell r="AF209">
            <v>22</v>
          </cell>
          <cell r="AG209">
            <v>-1123080</v>
          </cell>
          <cell r="AH209">
            <v>-1871800</v>
          </cell>
        </row>
        <row r="210">
          <cell r="B210">
            <v>5266</v>
          </cell>
          <cell r="C210">
            <v>134</v>
          </cell>
          <cell r="D210">
            <v>21</v>
          </cell>
          <cell r="E210">
            <v>210</v>
          </cell>
          <cell r="F210" t="str">
            <v>УПНПиКРС</v>
          </cell>
          <cell r="H210" t="str">
            <v>нагнет.</v>
          </cell>
          <cell r="I210" t="str">
            <v>бд</v>
          </cell>
          <cell r="N210">
            <v>50</v>
          </cell>
          <cell r="O210">
            <v>30</v>
          </cell>
          <cell r="P210">
            <v>26.5</v>
          </cell>
          <cell r="Q210">
            <v>50</v>
          </cell>
          <cell r="R210">
            <v>30</v>
          </cell>
          <cell r="S210">
            <v>25.9</v>
          </cell>
          <cell r="T210">
            <v>37436</v>
          </cell>
          <cell r="U210" t="str">
            <v>ГРП</v>
          </cell>
          <cell r="W210" t="str">
            <v>ОТСК, РИР ЮК-10, ПР к ГРП, ГРП ЮК-2, осв.</v>
          </cell>
          <cell r="AD210">
            <v>37392</v>
          </cell>
          <cell r="AE210">
            <v>37412</v>
          </cell>
          <cell r="AF210">
            <v>20</v>
          </cell>
          <cell r="AG210">
            <v>851</v>
          </cell>
          <cell r="AH210">
            <v>1344</v>
          </cell>
        </row>
        <row r="211">
          <cell r="B211">
            <v>5515</v>
          </cell>
          <cell r="C211">
            <v>115</v>
          </cell>
          <cell r="D211">
            <v>3</v>
          </cell>
          <cell r="E211">
            <v>30</v>
          </cell>
          <cell r="F211" t="str">
            <v>УПНПиКРС</v>
          </cell>
          <cell r="G211">
            <v>240</v>
          </cell>
          <cell r="H211" t="str">
            <v>ЭЦН</v>
          </cell>
          <cell r="I211" t="str">
            <v>действ.</v>
          </cell>
          <cell r="J211">
            <v>37370</v>
          </cell>
          <cell r="K211">
            <v>34</v>
          </cell>
          <cell r="L211">
            <v>25.5</v>
          </cell>
          <cell r="M211">
            <v>8</v>
          </cell>
          <cell r="N211">
            <v>40</v>
          </cell>
          <cell r="O211">
            <v>29.3</v>
          </cell>
          <cell r="P211">
            <v>10</v>
          </cell>
          <cell r="Q211">
            <v>6</v>
          </cell>
          <cell r="R211">
            <v>3.8000000000000007</v>
          </cell>
          <cell r="S211">
            <v>21.8</v>
          </cell>
          <cell r="T211">
            <v>37426</v>
          </cell>
          <cell r="U211" t="str">
            <v>опт</v>
          </cell>
          <cell r="V211">
            <v>2</v>
          </cell>
          <cell r="W211" t="str">
            <v>Подъём пакера , осв.после ГРП, сп.Э-50</v>
          </cell>
          <cell r="AD211">
            <v>37413</v>
          </cell>
          <cell r="AE211">
            <v>37445</v>
          </cell>
          <cell r="AF211">
            <v>32</v>
          </cell>
        </row>
        <row r="212">
          <cell r="B212">
            <v>5739</v>
          </cell>
          <cell r="C212">
            <v>127</v>
          </cell>
          <cell r="D212">
            <v>3</v>
          </cell>
          <cell r="E212">
            <v>31</v>
          </cell>
          <cell r="F212" t="str">
            <v>УПНПиКРС</v>
          </cell>
          <cell r="G212">
            <v>280</v>
          </cell>
          <cell r="H212" t="str">
            <v>нагнет.</v>
          </cell>
          <cell r="I212" t="str">
            <v>бд</v>
          </cell>
          <cell r="N212">
            <v>50</v>
          </cell>
          <cell r="O212">
            <v>11.4</v>
          </cell>
          <cell r="P212">
            <v>72</v>
          </cell>
          <cell r="Q212">
            <v>50</v>
          </cell>
          <cell r="R212">
            <v>11.4</v>
          </cell>
          <cell r="S212">
            <v>71.900000000000006</v>
          </cell>
          <cell r="T212">
            <v>37424</v>
          </cell>
          <cell r="U212" t="str">
            <v>ГРП</v>
          </cell>
          <cell r="AD212">
            <v>37387</v>
          </cell>
          <cell r="AE212">
            <v>37411</v>
          </cell>
          <cell r="AF212">
            <v>24</v>
          </cell>
        </row>
        <row r="213">
          <cell r="B213">
            <v>3055</v>
          </cell>
          <cell r="C213">
            <v>51</v>
          </cell>
          <cell r="D213">
            <v>19</v>
          </cell>
          <cell r="E213">
            <v>190</v>
          </cell>
          <cell r="F213" t="str">
            <v>УПНПиКРС</v>
          </cell>
          <cell r="H213" t="str">
            <v>нагнет.</v>
          </cell>
          <cell r="I213" t="str">
            <v>бд</v>
          </cell>
          <cell r="N213">
            <v>20</v>
          </cell>
          <cell r="O213">
            <v>12.2</v>
          </cell>
          <cell r="P213">
            <v>25</v>
          </cell>
          <cell r="Q213">
            <v>20</v>
          </cell>
          <cell r="R213">
            <v>12.2</v>
          </cell>
          <cell r="S213">
            <v>24.7</v>
          </cell>
          <cell r="T213">
            <v>37422</v>
          </cell>
          <cell r="U213" t="str">
            <v>ГРП</v>
          </cell>
          <cell r="W213" t="str">
            <v>ВЗ ИР ЮК-11, ПР к ГРП и ГРП ЮК-3</v>
          </cell>
        </row>
        <row r="214">
          <cell r="B214">
            <v>2963</v>
          </cell>
          <cell r="C214">
            <v>20</v>
          </cell>
          <cell r="D214">
            <v>4</v>
          </cell>
          <cell r="E214">
            <v>40</v>
          </cell>
          <cell r="F214" t="str">
            <v>УПНПиКРС</v>
          </cell>
          <cell r="G214">
            <v>291</v>
          </cell>
          <cell r="H214" t="str">
            <v>нагнет.</v>
          </cell>
          <cell r="I214" t="str">
            <v>конс.</v>
          </cell>
          <cell r="N214">
            <v>49</v>
          </cell>
          <cell r="O214">
            <v>37.9</v>
          </cell>
          <cell r="P214">
            <v>5</v>
          </cell>
          <cell r="Q214">
            <v>49</v>
          </cell>
          <cell r="R214">
            <v>37.9</v>
          </cell>
          <cell r="S214">
            <v>4.5</v>
          </cell>
          <cell r="T214">
            <v>37417</v>
          </cell>
          <cell r="U214" t="str">
            <v>ГРП</v>
          </cell>
          <cell r="W214" t="str">
            <v xml:space="preserve"> РИР ЮК-10, ПР к ГРП, ГРП ЮК-2, осв.</v>
          </cell>
          <cell r="AD214">
            <v>37384</v>
          </cell>
          <cell r="AE214">
            <v>37401</v>
          </cell>
          <cell r="AF214">
            <v>17</v>
          </cell>
        </row>
        <row r="215">
          <cell r="B215">
            <v>2820</v>
          </cell>
          <cell r="C215">
            <v>144</v>
          </cell>
          <cell r="D215">
            <v>9</v>
          </cell>
          <cell r="E215">
            <v>90</v>
          </cell>
          <cell r="F215" t="str">
            <v>УПНПиКРС</v>
          </cell>
          <cell r="H215" t="str">
            <v>ФОН</v>
          </cell>
          <cell r="I215" t="str">
            <v>действ.</v>
          </cell>
          <cell r="K215">
            <v>32</v>
          </cell>
          <cell r="L215">
            <v>21.4</v>
          </cell>
          <cell r="M215">
            <v>18</v>
          </cell>
          <cell r="N215">
            <v>40</v>
          </cell>
          <cell r="O215">
            <v>28.4</v>
          </cell>
          <cell r="P215">
            <v>13</v>
          </cell>
          <cell r="Q215">
            <v>8</v>
          </cell>
          <cell r="R215">
            <v>7</v>
          </cell>
          <cell r="S215">
            <v>-8</v>
          </cell>
          <cell r="T215">
            <v>37415</v>
          </cell>
          <cell r="U215" t="str">
            <v>опт</v>
          </cell>
          <cell r="W215" t="str">
            <v>Подъём пакера , осв.после ГРП, сп.Э-50</v>
          </cell>
          <cell r="AD215">
            <v>37384</v>
          </cell>
          <cell r="AE215">
            <v>37408</v>
          </cell>
          <cell r="AF215">
            <v>24</v>
          </cell>
          <cell r="AG215">
            <v>7640</v>
          </cell>
          <cell r="AH215">
            <v>10760</v>
          </cell>
        </row>
        <row r="216">
          <cell r="B216">
            <v>5242</v>
          </cell>
          <cell r="C216">
            <v>134</v>
          </cell>
          <cell r="D216">
            <v>21</v>
          </cell>
          <cell r="E216">
            <v>210</v>
          </cell>
          <cell r="F216" t="str">
            <v>УПНПиКРС</v>
          </cell>
          <cell r="H216" t="str">
            <v>ШГН</v>
          </cell>
          <cell r="I216" t="str">
            <v>конс.</v>
          </cell>
          <cell r="N216">
            <v>40</v>
          </cell>
          <cell r="O216">
            <v>28.4</v>
          </cell>
          <cell r="P216">
            <v>13</v>
          </cell>
          <cell r="Q216">
            <v>40</v>
          </cell>
          <cell r="R216">
            <v>28.4</v>
          </cell>
          <cell r="S216">
            <v>12.3</v>
          </cell>
          <cell r="T216">
            <v>37412</v>
          </cell>
          <cell r="V216">
            <v>3</v>
          </cell>
          <cell r="W216" t="str">
            <v>ВЦ, РИР ЮК-10, ПР к ГРП, ГРП ЮК-2, осв.</v>
          </cell>
          <cell r="Y216" t="str">
            <v>ВУК(-)</v>
          </cell>
          <cell r="AD216">
            <v>37329</v>
          </cell>
          <cell r="AE216">
            <v>37382</v>
          </cell>
          <cell r="AF216">
            <v>53</v>
          </cell>
          <cell r="AG216">
            <v>1470</v>
          </cell>
          <cell r="AH216">
            <v>2450</v>
          </cell>
        </row>
        <row r="217">
          <cell r="B217">
            <v>5218</v>
          </cell>
          <cell r="C217">
            <v>134</v>
          </cell>
          <cell r="D217">
            <v>21</v>
          </cell>
          <cell r="E217">
            <v>210</v>
          </cell>
          <cell r="F217" t="str">
            <v>УПНПиКРС</v>
          </cell>
          <cell r="G217">
            <v>245</v>
          </cell>
          <cell r="H217" t="str">
            <v>ШГН</v>
          </cell>
          <cell r="I217" t="str">
            <v>конс.</v>
          </cell>
          <cell r="J217">
            <v>32843</v>
          </cell>
          <cell r="N217">
            <v>50</v>
          </cell>
          <cell r="O217">
            <v>30</v>
          </cell>
          <cell r="P217">
            <v>26.5</v>
          </cell>
          <cell r="Q217">
            <v>50</v>
          </cell>
          <cell r="R217">
            <v>30</v>
          </cell>
          <cell r="S217">
            <v>25.9</v>
          </cell>
          <cell r="T217">
            <v>37407</v>
          </cell>
          <cell r="U217" t="str">
            <v>ГРП</v>
          </cell>
          <cell r="V217">
            <v>2</v>
          </cell>
          <cell r="W217" t="str">
            <v>ВЦ, ИР ЮК-10, ПР к ГРП и ГРП ЮК-2-3</v>
          </cell>
          <cell r="Y217" t="str">
            <v>Обрыв МСУ-400+ 1485м. Проволки ВЦ сделал э/пр.(февр.02), цирк.(+)</v>
          </cell>
          <cell r="AD217">
            <v>37362</v>
          </cell>
          <cell r="AE217">
            <v>37384</v>
          </cell>
          <cell r="AF217">
            <v>22</v>
          </cell>
          <cell r="AG217">
            <v>940</v>
          </cell>
          <cell r="AH217">
            <v>-456</v>
          </cell>
        </row>
        <row r="218">
          <cell r="B218">
            <v>2682</v>
          </cell>
          <cell r="C218" t="str">
            <v>145б</v>
          </cell>
          <cell r="D218">
            <v>9</v>
          </cell>
          <cell r="E218">
            <v>90</v>
          </cell>
          <cell r="F218" t="str">
            <v>УПНПиКРС</v>
          </cell>
          <cell r="G218">
            <v>260</v>
          </cell>
          <cell r="H218" t="str">
            <v>ЭЦН</v>
          </cell>
          <cell r="I218" t="str">
            <v>конс.</v>
          </cell>
          <cell r="J218">
            <v>34304</v>
          </cell>
          <cell r="K218">
            <v>0</v>
          </cell>
          <cell r="M218">
            <v>0</v>
          </cell>
          <cell r="N218">
            <v>50</v>
          </cell>
          <cell r="O218">
            <v>30</v>
          </cell>
          <cell r="P218">
            <v>26.5</v>
          </cell>
          <cell r="Q218">
            <v>50</v>
          </cell>
          <cell r="R218">
            <v>30</v>
          </cell>
          <cell r="S218">
            <v>25.9</v>
          </cell>
          <cell r="T218">
            <v>37406</v>
          </cell>
          <cell r="U218" t="str">
            <v>ГРП</v>
          </cell>
          <cell r="V218">
            <v>2</v>
          </cell>
          <cell r="W218" t="str">
            <v>ГИС-2(и.о.) ,при герм.Э/К и отс. ЗКЦ ДП 2554-2562, РИР ЮК-10, ГРП ЮК 3-4 V=30т</v>
          </cell>
          <cell r="X218" t="str">
            <v>Необходима СК?</v>
          </cell>
          <cell r="Y218" t="str">
            <v>ОЦ5.10.99</v>
          </cell>
          <cell r="AC218" t="str">
            <v/>
          </cell>
          <cell r="AD218">
            <v>37377</v>
          </cell>
          <cell r="AE218">
            <v>37393</v>
          </cell>
          <cell r="AF218">
            <v>16</v>
          </cell>
          <cell r="AG218">
            <v>6365</v>
          </cell>
          <cell r="AH218">
            <v>8640</v>
          </cell>
        </row>
        <row r="219">
          <cell r="B219">
            <v>5483</v>
          </cell>
          <cell r="C219">
            <v>115</v>
          </cell>
          <cell r="D219">
            <v>3</v>
          </cell>
          <cell r="E219">
            <v>31</v>
          </cell>
          <cell r="F219" t="str">
            <v>УПНПиКРС</v>
          </cell>
          <cell r="G219">
            <v>250</v>
          </cell>
          <cell r="H219" t="str">
            <v>ЭЦН</v>
          </cell>
          <cell r="I219" t="str">
            <v>конс.</v>
          </cell>
          <cell r="J219">
            <v>34274</v>
          </cell>
          <cell r="K219">
            <v>30</v>
          </cell>
          <cell r="L219">
            <v>23.5</v>
          </cell>
          <cell r="M219">
            <v>4</v>
          </cell>
          <cell r="N219">
            <v>30</v>
          </cell>
          <cell r="O219">
            <v>22.1</v>
          </cell>
          <cell r="P219">
            <v>9.5</v>
          </cell>
          <cell r="Q219">
            <v>30</v>
          </cell>
          <cell r="R219">
            <v>22.1</v>
          </cell>
          <cell r="S219">
            <v>9.1</v>
          </cell>
          <cell r="T219">
            <v>37393</v>
          </cell>
          <cell r="U219" t="str">
            <v>ГРП</v>
          </cell>
          <cell r="V219">
            <v>3</v>
          </cell>
          <cell r="W219" t="str">
            <v xml:space="preserve"> пр к ГРП, ГРП</v>
          </cell>
          <cell r="AD219">
            <v>37355</v>
          </cell>
          <cell r="AE219">
            <v>37376</v>
          </cell>
          <cell r="AF219">
            <v>21</v>
          </cell>
          <cell r="AG219">
            <v>120</v>
          </cell>
          <cell r="AH219">
            <v>456</v>
          </cell>
        </row>
        <row r="220">
          <cell r="B220">
            <v>5425</v>
          </cell>
          <cell r="C220">
            <v>102</v>
          </cell>
          <cell r="D220">
            <v>3</v>
          </cell>
          <cell r="E220">
            <v>30</v>
          </cell>
          <cell r="F220" t="str">
            <v>УПНПиКРС</v>
          </cell>
          <cell r="G220">
            <v>230</v>
          </cell>
          <cell r="H220" t="str">
            <v>ЭЦН</v>
          </cell>
          <cell r="I220" t="str">
            <v>действ.</v>
          </cell>
          <cell r="J220">
            <v>37355</v>
          </cell>
          <cell r="K220">
            <v>21</v>
          </cell>
          <cell r="L220">
            <v>15.6</v>
          </cell>
          <cell r="M220">
            <v>9</v>
          </cell>
          <cell r="N220">
            <v>35</v>
          </cell>
          <cell r="O220">
            <v>27.1</v>
          </cell>
          <cell r="P220">
            <v>5</v>
          </cell>
          <cell r="Q220">
            <v>14</v>
          </cell>
          <cell r="R220">
            <v>11.500000000000002</v>
          </cell>
          <cell r="S220">
            <v>-1.4</v>
          </cell>
          <cell r="T220">
            <v>37390</v>
          </cell>
          <cell r="U220" t="str">
            <v>опт</v>
          </cell>
          <cell r="V220">
            <v>2</v>
          </cell>
          <cell r="W220" t="str">
            <v>Подъём пакера , осв.после ГРП, сп.Э-50</v>
          </cell>
          <cell r="AD220">
            <v>37365</v>
          </cell>
          <cell r="AE220">
            <v>37379</v>
          </cell>
          <cell r="AF220">
            <v>14</v>
          </cell>
          <cell r="AG220">
            <v>1560</v>
          </cell>
          <cell r="AH220">
            <v>2600</v>
          </cell>
        </row>
        <row r="221">
          <cell r="B221" t="str">
            <v>5321б</v>
          </cell>
          <cell r="C221">
            <v>135</v>
          </cell>
          <cell r="D221">
            <v>4</v>
          </cell>
          <cell r="E221">
            <v>40</v>
          </cell>
          <cell r="F221" t="str">
            <v>УПНПиКРС</v>
          </cell>
          <cell r="G221">
            <v>245</v>
          </cell>
          <cell r="H221" t="str">
            <v>ФОН</v>
          </cell>
          <cell r="I221" t="str">
            <v>конс.</v>
          </cell>
          <cell r="J221">
            <v>34669</v>
          </cell>
          <cell r="K221">
            <v>50</v>
          </cell>
          <cell r="L221">
            <v>4.0999999999999996</v>
          </cell>
          <cell r="M221">
            <v>90</v>
          </cell>
          <cell r="N221">
            <v>30</v>
          </cell>
          <cell r="O221">
            <v>21</v>
          </cell>
          <cell r="P221">
            <v>14</v>
          </cell>
          <cell r="Q221">
            <v>30</v>
          </cell>
          <cell r="R221">
            <v>21</v>
          </cell>
          <cell r="S221">
            <v>13.6</v>
          </cell>
          <cell r="T221">
            <v>37387</v>
          </cell>
          <cell r="U221" t="str">
            <v>ГРП</v>
          </cell>
          <cell r="V221">
            <v>2</v>
          </cell>
          <cell r="W221" t="str">
            <v>ГРП ЮК 2-3</v>
          </cell>
          <cell r="AD221">
            <v>37352</v>
          </cell>
          <cell r="AE221">
            <v>37363</v>
          </cell>
          <cell r="AF221">
            <v>11</v>
          </cell>
        </row>
        <row r="222">
          <cell r="B222">
            <v>5800</v>
          </cell>
          <cell r="C222">
            <v>141</v>
          </cell>
          <cell r="D222">
            <v>21</v>
          </cell>
          <cell r="E222">
            <v>211</v>
          </cell>
          <cell r="F222" t="str">
            <v>УПНПиКРС</v>
          </cell>
          <cell r="G222">
            <v>287</v>
          </cell>
          <cell r="H222" t="str">
            <v>нагнет.</v>
          </cell>
          <cell r="I222" t="str">
            <v>бд</v>
          </cell>
          <cell r="J222">
            <v>36641</v>
          </cell>
          <cell r="K222">
            <v>150</v>
          </cell>
          <cell r="N222">
            <v>150</v>
          </cell>
          <cell r="Q222">
            <v>150</v>
          </cell>
          <cell r="T222">
            <v>37366</v>
          </cell>
          <cell r="V222">
            <v>2</v>
          </cell>
          <cell r="W222" t="str">
            <v>Ревизия пакера</v>
          </cell>
          <cell r="AD222">
            <v>37194</v>
          </cell>
          <cell r="AE222">
            <v>37345</v>
          </cell>
          <cell r="AF222">
            <v>151</v>
          </cell>
          <cell r="AG222">
            <v>2293</v>
          </cell>
          <cell r="AH222">
            <v>9408</v>
          </cell>
        </row>
        <row r="223">
          <cell r="B223">
            <v>5418</v>
          </cell>
          <cell r="C223">
            <v>109</v>
          </cell>
          <cell r="D223">
            <v>3</v>
          </cell>
          <cell r="E223">
            <v>30</v>
          </cell>
          <cell r="F223" t="str">
            <v>УПНПиКРС</v>
          </cell>
          <cell r="G223">
            <v>275</v>
          </cell>
          <cell r="H223" t="str">
            <v>ЭЦН</v>
          </cell>
          <cell r="I223" t="str">
            <v>бд</v>
          </cell>
          <cell r="J223">
            <v>35823</v>
          </cell>
          <cell r="K223">
            <v>30</v>
          </cell>
          <cell r="L223">
            <v>4.2</v>
          </cell>
          <cell r="M223">
            <v>83</v>
          </cell>
          <cell r="N223">
            <v>32</v>
          </cell>
          <cell r="O223">
            <v>7.8</v>
          </cell>
          <cell r="P223">
            <v>70</v>
          </cell>
          <cell r="Q223">
            <v>32</v>
          </cell>
          <cell r="R223">
            <v>7.8</v>
          </cell>
          <cell r="S223">
            <v>69.900000000000006</v>
          </cell>
          <cell r="T223">
            <v>37356</v>
          </cell>
          <cell r="U223" t="str">
            <v>ГРП</v>
          </cell>
          <cell r="V223">
            <v>2</v>
          </cell>
          <cell r="W223" t="str">
            <v>ВЦ. РИР ЮК-11. ПП ЮК-10. ГРП</v>
          </cell>
          <cell r="AD223">
            <v>37285</v>
          </cell>
          <cell r="AE223">
            <v>37343</v>
          </cell>
          <cell r="AF223">
            <v>58</v>
          </cell>
          <cell r="AG223">
            <v>8850</v>
          </cell>
          <cell r="AH223">
            <v>16445</v>
          </cell>
        </row>
        <row r="224">
          <cell r="B224">
            <v>2533</v>
          </cell>
          <cell r="C224">
            <v>150</v>
          </cell>
          <cell r="D224">
            <v>4</v>
          </cell>
          <cell r="E224">
            <v>40</v>
          </cell>
          <cell r="F224" t="str">
            <v>УПНПиКРС</v>
          </cell>
          <cell r="G224">
            <v>250</v>
          </cell>
          <cell r="H224" t="str">
            <v>ШГН</v>
          </cell>
          <cell r="I224" t="str">
            <v>бд</v>
          </cell>
          <cell r="K224">
            <v>6</v>
          </cell>
          <cell r="L224">
            <v>0.5</v>
          </cell>
          <cell r="M224">
            <v>90</v>
          </cell>
          <cell r="N224">
            <v>55</v>
          </cell>
          <cell r="O224">
            <v>29.6</v>
          </cell>
          <cell r="P224">
            <v>34</v>
          </cell>
          <cell r="Q224">
            <v>55</v>
          </cell>
          <cell r="R224">
            <v>29.6</v>
          </cell>
          <cell r="S224">
            <v>33.6</v>
          </cell>
          <cell r="T224">
            <v>37351</v>
          </cell>
          <cell r="U224" t="str">
            <v>ГРП</v>
          </cell>
          <cell r="V224">
            <v>2</v>
          </cell>
          <cell r="W224" t="str">
            <v>ИР ЮК-11. ПП ЮК-10. ГРП</v>
          </cell>
          <cell r="X224" t="str">
            <v>нет СК и карточки?</v>
          </cell>
          <cell r="AD224">
            <v>37323</v>
          </cell>
          <cell r="AE224">
            <v>37351</v>
          </cell>
          <cell r="AF224">
            <v>28</v>
          </cell>
          <cell r="AG224">
            <v>8010</v>
          </cell>
          <cell r="AH224">
            <v>10800</v>
          </cell>
        </row>
        <row r="225">
          <cell r="B225">
            <v>2993</v>
          </cell>
          <cell r="C225">
            <v>42</v>
          </cell>
          <cell r="D225">
            <v>7</v>
          </cell>
          <cell r="E225">
            <v>70</v>
          </cell>
          <cell r="F225" t="str">
            <v>УПНПиКРС</v>
          </cell>
          <cell r="G225">
            <v>250</v>
          </cell>
          <cell r="H225" t="str">
            <v>ШГН</v>
          </cell>
          <cell r="I225" t="str">
            <v>бд</v>
          </cell>
          <cell r="J225">
            <v>35217</v>
          </cell>
          <cell r="K225">
            <v>2</v>
          </cell>
          <cell r="L225">
            <v>0.2</v>
          </cell>
          <cell r="M225">
            <v>86</v>
          </cell>
          <cell r="N225">
            <v>36</v>
          </cell>
          <cell r="O225">
            <v>26.7</v>
          </cell>
          <cell r="P225">
            <v>9</v>
          </cell>
          <cell r="Q225">
            <v>36</v>
          </cell>
          <cell r="R225">
            <v>26.7</v>
          </cell>
          <cell r="S225">
            <v>8.4</v>
          </cell>
          <cell r="T225">
            <v>37350</v>
          </cell>
          <cell r="U225" t="str">
            <v>ГРП</v>
          </cell>
          <cell r="V225">
            <v>2</v>
          </cell>
          <cell r="W225" t="str">
            <v>ВЗ. РИР ЮК-10. ГИС-2. ГРП ЮК-4-5</v>
          </cell>
          <cell r="X225" t="str">
            <v>отсутствие аварийного инструмента</v>
          </cell>
          <cell r="AD225">
            <v>37302</v>
          </cell>
          <cell r="AE225">
            <v>37334</v>
          </cell>
          <cell r="AF225">
            <v>32</v>
          </cell>
          <cell r="AG225">
            <v>24</v>
          </cell>
          <cell r="AH225">
            <v>338598</v>
          </cell>
        </row>
        <row r="226">
          <cell r="B226">
            <v>2787</v>
          </cell>
          <cell r="C226">
            <v>145</v>
          </cell>
          <cell r="D226">
            <v>11</v>
          </cell>
          <cell r="E226">
            <v>110</v>
          </cell>
          <cell r="F226" t="str">
            <v>УПНПиКРС</v>
          </cell>
          <cell r="G226">
            <v>250</v>
          </cell>
          <cell r="H226" t="str">
            <v>ЭЦН</v>
          </cell>
          <cell r="I226" t="str">
            <v>действ.</v>
          </cell>
          <cell r="J226">
            <v>33786</v>
          </cell>
          <cell r="K226">
            <v>16</v>
          </cell>
          <cell r="L226">
            <v>12.4</v>
          </cell>
          <cell r="M226">
            <v>5</v>
          </cell>
          <cell r="N226">
            <v>25</v>
          </cell>
          <cell r="O226">
            <v>14.3</v>
          </cell>
          <cell r="P226">
            <v>30</v>
          </cell>
          <cell r="Q226">
            <v>9</v>
          </cell>
          <cell r="R226">
            <v>1.9000000000000004</v>
          </cell>
          <cell r="S226">
            <v>73.900000000000006</v>
          </cell>
          <cell r="V226">
            <v>1</v>
          </cell>
          <cell r="W226" t="str">
            <v>Срыв пакера, ГДИ, сп.ЭЦН</v>
          </cell>
          <cell r="AD226">
            <v>37276</v>
          </cell>
          <cell r="AE226">
            <v>37292</v>
          </cell>
          <cell r="AF226">
            <v>16</v>
          </cell>
          <cell r="AG226">
            <v>192</v>
          </cell>
          <cell r="AH226">
            <v>640</v>
          </cell>
        </row>
        <row r="227">
          <cell r="B227" t="str">
            <v>5845б</v>
          </cell>
          <cell r="C227" t="str">
            <v>168б</v>
          </cell>
          <cell r="D227">
            <v>11</v>
          </cell>
          <cell r="E227">
            <v>110</v>
          </cell>
          <cell r="F227" t="str">
            <v>УПНПиКРС</v>
          </cell>
          <cell r="G227">
            <v>253</v>
          </cell>
          <cell r="H227" t="str">
            <v>ЭЦН</v>
          </cell>
          <cell r="I227" t="str">
            <v>действ.</v>
          </cell>
          <cell r="K227">
            <v>63</v>
          </cell>
          <cell r="L227">
            <v>4.5999999999999996</v>
          </cell>
          <cell r="M227">
            <v>91</v>
          </cell>
          <cell r="N227">
            <v>93</v>
          </cell>
          <cell r="O227">
            <v>7.6</v>
          </cell>
          <cell r="P227">
            <v>90</v>
          </cell>
          <cell r="Q227">
            <v>30</v>
          </cell>
          <cell r="R227">
            <v>3</v>
          </cell>
          <cell r="S227">
            <v>87.7</v>
          </cell>
          <cell r="T227">
            <v>37338</v>
          </cell>
          <cell r="U227" t="str">
            <v>опт</v>
          </cell>
          <cell r="V227">
            <v>2</v>
          </cell>
          <cell r="AG227">
            <v>-59715</v>
          </cell>
          <cell r="AH227">
            <v>-149288</v>
          </cell>
        </row>
        <row r="228">
          <cell r="B228">
            <v>5525</v>
          </cell>
          <cell r="C228">
            <v>118</v>
          </cell>
          <cell r="D228">
            <v>21</v>
          </cell>
          <cell r="E228">
            <v>212</v>
          </cell>
          <cell r="G228">
            <v>270</v>
          </cell>
          <cell r="H228" t="str">
            <v>ШГН</v>
          </cell>
          <cell r="I228" t="str">
            <v>конс.</v>
          </cell>
          <cell r="J228">
            <v>33208</v>
          </cell>
          <cell r="K228">
            <v>5</v>
          </cell>
          <cell r="L228">
            <v>0.2</v>
          </cell>
          <cell r="M228">
            <v>96</v>
          </cell>
          <cell r="N228">
            <v>4</v>
          </cell>
          <cell r="O228">
            <v>1.6</v>
          </cell>
          <cell r="P228">
            <v>50</v>
          </cell>
          <cell r="Q228">
            <v>4</v>
          </cell>
          <cell r="R228">
            <v>1.6</v>
          </cell>
          <cell r="S228">
            <v>50.6</v>
          </cell>
          <cell r="T228">
            <v>37322</v>
          </cell>
          <cell r="U228" t="str">
            <v>ОПЗ</v>
          </cell>
          <cell r="W228" t="str">
            <v>ПП ДН п."б". ОПЗ (НТПН). ГДИ</v>
          </cell>
          <cell r="X228" t="str">
            <v>Необходима СК</v>
          </cell>
          <cell r="AG228">
            <v>-225630</v>
          </cell>
          <cell r="AH228">
            <v>-413655</v>
          </cell>
        </row>
        <row r="229">
          <cell r="AD229">
            <v>37276</v>
          </cell>
          <cell r="AE229">
            <v>37292</v>
          </cell>
          <cell r="AF229">
            <v>16</v>
          </cell>
          <cell r="AG229">
            <v>192</v>
          </cell>
          <cell r="AH229">
            <v>640</v>
          </cell>
        </row>
        <row r="230">
          <cell r="B230" t="str">
            <v>5845б</v>
          </cell>
          <cell r="C230" t="str">
            <v>168б</v>
          </cell>
          <cell r="D230">
            <v>11</v>
          </cell>
          <cell r="E230">
            <v>110</v>
          </cell>
          <cell r="F230" t="str">
            <v>УПНПиКРС</v>
          </cell>
          <cell r="G230">
            <v>253</v>
          </cell>
          <cell r="H230" t="str">
            <v>ЭЦН</v>
          </cell>
          <cell r="I230" t="str">
            <v>конс.</v>
          </cell>
          <cell r="J230">
            <v>35401</v>
          </cell>
          <cell r="N230">
            <v>93</v>
          </cell>
          <cell r="O230">
            <v>10.6</v>
          </cell>
          <cell r="P230">
            <v>86</v>
          </cell>
          <cell r="Q230">
            <v>93</v>
          </cell>
          <cell r="R230">
            <v>10.6</v>
          </cell>
          <cell r="S230">
            <v>85.9</v>
          </cell>
          <cell r="T230">
            <v>37317</v>
          </cell>
          <cell r="U230" t="str">
            <v>ГРП</v>
          </cell>
          <cell r="V230">
            <v>2</v>
          </cell>
          <cell r="AD230">
            <v>37254</v>
          </cell>
          <cell r="AE230">
            <v>37294</v>
          </cell>
          <cell r="AF230">
            <v>40</v>
          </cell>
          <cell r="AG230">
            <v>144</v>
          </cell>
          <cell r="AH230">
            <v>-456</v>
          </cell>
        </row>
        <row r="231">
          <cell r="B231">
            <v>5425</v>
          </cell>
          <cell r="C231">
            <v>102</v>
          </cell>
          <cell r="D231">
            <v>9</v>
          </cell>
          <cell r="E231">
            <v>90</v>
          </cell>
          <cell r="F231" t="str">
            <v>УПНПиКРС</v>
          </cell>
          <cell r="G231">
            <v>230</v>
          </cell>
          <cell r="H231" t="str">
            <v>ЭЦН</v>
          </cell>
          <cell r="I231" t="str">
            <v>бд</v>
          </cell>
          <cell r="K231">
            <v>73</v>
          </cell>
          <cell r="L231">
            <v>1.8</v>
          </cell>
          <cell r="M231">
            <v>97</v>
          </cell>
          <cell r="N231">
            <v>25</v>
          </cell>
          <cell r="O231">
            <v>19.399999999999999</v>
          </cell>
          <cell r="P231">
            <v>5</v>
          </cell>
          <cell r="Q231">
            <v>25</v>
          </cell>
          <cell r="R231">
            <v>19.399999999999999</v>
          </cell>
          <cell r="S231">
            <v>4.2</v>
          </cell>
          <cell r="T231">
            <v>37296</v>
          </cell>
          <cell r="U231" t="str">
            <v>ГРП</v>
          </cell>
          <cell r="V231">
            <v>2</v>
          </cell>
          <cell r="W231" t="str">
            <v xml:space="preserve"> ИР ЮК-10, ПР к ГРП и ГРП ЮК-2-3 </v>
          </cell>
          <cell r="AD231">
            <v>37190</v>
          </cell>
          <cell r="AE231">
            <v>37254</v>
          </cell>
          <cell r="AF231">
            <v>64</v>
          </cell>
          <cell r="AG231">
            <v>605</v>
          </cell>
          <cell r="AH231">
            <v>4984</v>
          </cell>
        </row>
        <row r="232">
          <cell r="B232">
            <v>2720</v>
          </cell>
          <cell r="C232">
            <v>166</v>
          </cell>
          <cell r="D232">
            <v>80</v>
          </cell>
          <cell r="E232">
            <v>801</v>
          </cell>
          <cell r="F232" t="str">
            <v>ЗАО "УПКРС"</v>
          </cell>
          <cell r="G232">
            <v>265</v>
          </cell>
          <cell r="H232" t="str">
            <v>ШГН</v>
          </cell>
          <cell r="I232" t="str">
            <v>действ.</v>
          </cell>
          <cell r="K232">
            <v>16</v>
          </cell>
          <cell r="L232">
            <v>12</v>
          </cell>
          <cell r="M232">
            <v>8</v>
          </cell>
          <cell r="N232">
            <v>30</v>
          </cell>
          <cell r="O232">
            <v>13.7</v>
          </cell>
          <cell r="P232">
            <v>44</v>
          </cell>
          <cell r="Q232">
            <v>14</v>
          </cell>
          <cell r="R232">
            <v>1.6999999999999993</v>
          </cell>
          <cell r="S232">
            <v>85</v>
          </cell>
          <cell r="T232">
            <v>37294</v>
          </cell>
          <cell r="U232" t="str">
            <v>опт</v>
          </cell>
          <cell r="V232">
            <v>2</v>
          </cell>
          <cell r="W232" t="str">
            <v>Опт.Н-44/Э-30</v>
          </cell>
          <cell r="AD232">
            <v>37275</v>
          </cell>
          <cell r="AE232">
            <v>37294</v>
          </cell>
          <cell r="AF232">
            <v>19</v>
          </cell>
          <cell r="AG232">
            <v>144</v>
          </cell>
          <cell r="AH232">
            <v>360</v>
          </cell>
        </row>
        <row r="233">
          <cell r="B233">
            <v>5515</v>
          </cell>
          <cell r="C233">
            <v>115</v>
          </cell>
          <cell r="D233">
            <v>21</v>
          </cell>
          <cell r="E233">
            <v>211</v>
          </cell>
          <cell r="F233" t="str">
            <v>УПНПиКРС</v>
          </cell>
          <cell r="G233">
            <v>240</v>
          </cell>
          <cell r="H233" t="str">
            <v>ЭЦН</v>
          </cell>
          <cell r="I233" t="str">
            <v>конс.</v>
          </cell>
          <cell r="J233">
            <v>33910</v>
          </cell>
          <cell r="N233">
            <v>36</v>
          </cell>
          <cell r="O233">
            <v>25.8</v>
          </cell>
          <cell r="P233">
            <v>12</v>
          </cell>
          <cell r="Q233">
            <v>36</v>
          </cell>
          <cell r="R233">
            <v>25.8</v>
          </cell>
          <cell r="S233">
            <v>11.5</v>
          </cell>
          <cell r="T233">
            <v>37291</v>
          </cell>
          <cell r="U233" t="str">
            <v>ГРП</v>
          </cell>
          <cell r="V233">
            <v>2</v>
          </cell>
          <cell r="W233" t="str">
            <v>ВЦ, ИР ЮК-10, ПР к ГРП и ГРП ЮК-2-3 Сваб</v>
          </cell>
          <cell r="AG233">
            <v>-372850</v>
          </cell>
          <cell r="AH233">
            <v>-559275</v>
          </cell>
        </row>
        <row r="234">
          <cell r="B234">
            <v>5315</v>
          </cell>
          <cell r="C234">
            <v>133</v>
          </cell>
          <cell r="H234" t="str">
            <v>ШГН</v>
          </cell>
          <cell r="I234" t="str">
            <v>бд</v>
          </cell>
          <cell r="N234">
            <v>15</v>
          </cell>
          <cell r="O234">
            <v>10</v>
          </cell>
          <cell r="P234">
            <v>18</v>
          </cell>
          <cell r="Q234">
            <v>15</v>
          </cell>
          <cell r="R234">
            <v>10</v>
          </cell>
          <cell r="S234">
            <v>17.7</v>
          </cell>
          <cell r="T234">
            <v>37285</v>
          </cell>
          <cell r="U234" t="str">
            <v>ВЦД</v>
          </cell>
          <cell r="W234" t="str">
            <v>ВЦ</v>
          </cell>
          <cell r="AG234">
            <v>-74566</v>
          </cell>
          <cell r="AH234">
            <v>-745660</v>
          </cell>
        </row>
        <row r="235">
          <cell r="B235">
            <v>5311</v>
          </cell>
          <cell r="C235">
            <v>140</v>
          </cell>
          <cell r="F235" t="str">
            <v>ПРС</v>
          </cell>
          <cell r="G235">
            <v>260</v>
          </cell>
          <cell r="H235" t="str">
            <v>ШГН</v>
          </cell>
          <cell r="I235" t="str">
            <v>бд</v>
          </cell>
          <cell r="N235">
            <v>20</v>
          </cell>
          <cell r="O235">
            <v>2</v>
          </cell>
          <cell r="P235">
            <v>88</v>
          </cell>
          <cell r="Q235">
            <v>20</v>
          </cell>
          <cell r="R235">
            <v>2</v>
          </cell>
          <cell r="S235">
            <v>87.7</v>
          </cell>
          <cell r="T235">
            <v>37283</v>
          </cell>
          <cell r="U235" t="str">
            <v>БДД</v>
          </cell>
          <cell r="AD235">
            <v>37278</v>
          </cell>
          <cell r="AE235">
            <v>37314</v>
          </cell>
          <cell r="AF235">
            <v>36</v>
          </cell>
          <cell r="AG235">
            <v>-294512</v>
          </cell>
          <cell r="AH235">
            <v>-447360</v>
          </cell>
        </row>
        <row r="236">
          <cell r="B236">
            <v>5702</v>
          </cell>
          <cell r="C236">
            <v>126</v>
          </cell>
          <cell r="D236">
            <v>21</v>
          </cell>
          <cell r="E236">
            <v>213</v>
          </cell>
          <cell r="F236" t="str">
            <v>УПНПиКРС</v>
          </cell>
          <cell r="G236">
            <v>230</v>
          </cell>
          <cell r="H236" t="str">
            <v>ШГН</v>
          </cell>
          <cell r="I236" t="str">
            <v>действ.</v>
          </cell>
          <cell r="N236">
            <v>12</v>
          </cell>
          <cell r="O236">
            <v>7.9</v>
          </cell>
          <cell r="P236">
            <v>19</v>
          </cell>
          <cell r="Q236">
            <v>12</v>
          </cell>
          <cell r="R236">
            <v>7.9</v>
          </cell>
          <cell r="S236">
            <v>18.7</v>
          </cell>
          <cell r="T236">
            <v>37280</v>
          </cell>
          <cell r="U236" t="str">
            <v>БДП</v>
          </cell>
          <cell r="W236" t="str">
            <v>ВЦ, ревизия Н-57</v>
          </cell>
          <cell r="X236" t="str">
            <v>Перестрел верха</v>
          </cell>
          <cell r="AD236">
            <v>37225</v>
          </cell>
          <cell r="AE236">
            <v>37266</v>
          </cell>
          <cell r="AF236">
            <v>41</v>
          </cell>
          <cell r="AG236">
            <v>-74556</v>
          </cell>
          <cell r="AH236">
            <v>-447336</v>
          </cell>
        </row>
        <row r="237">
          <cell r="B237">
            <v>5560</v>
          </cell>
          <cell r="C237" t="str">
            <v>119б</v>
          </cell>
          <cell r="D237">
            <v>4</v>
          </cell>
          <cell r="E237">
            <v>42</v>
          </cell>
          <cell r="F237" t="str">
            <v>УПНПиКРС</v>
          </cell>
          <cell r="G237">
            <v>265</v>
          </cell>
          <cell r="H237" t="str">
            <v>ШГН</v>
          </cell>
          <cell r="I237" t="str">
            <v>бд</v>
          </cell>
          <cell r="J237">
            <v>36544</v>
          </cell>
          <cell r="K237">
            <v>2</v>
          </cell>
          <cell r="L237">
            <v>1</v>
          </cell>
          <cell r="M237">
            <v>40</v>
          </cell>
          <cell r="N237">
            <v>12</v>
          </cell>
          <cell r="O237">
            <v>2</v>
          </cell>
          <cell r="P237">
            <v>80</v>
          </cell>
          <cell r="Q237">
            <v>12</v>
          </cell>
          <cell r="R237">
            <v>2</v>
          </cell>
          <cell r="S237">
            <v>79.400000000000006</v>
          </cell>
          <cell r="T237">
            <v>37278</v>
          </cell>
          <cell r="U237" t="str">
            <v>ОПЗ</v>
          </cell>
          <cell r="W237" t="str">
            <v>ВЦ ПП. ОПЗ НТПН. ГДИ</v>
          </cell>
          <cell r="X237" t="str">
            <v>ВЦ субподрядом</v>
          </cell>
          <cell r="AG237">
            <v>-164019</v>
          </cell>
          <cell r="AH237">
            <v>-484601</v>
          </cell>
        </row>
        <row r="238">
          <cell r="B238">
            <v>2979</v>
          </cell>
          <cell r="C238">
            <v>50</v>
          </cell>
          <cell r="H238" t="str">
            <v>ШГН</v>
          </cell>
          <cell r="I238" t="str">
            <v>действ.</v>
          </cell>
          <cell r="K238">
            <v>20</v>
          </cell>
          <cell r="L238">
            <v>10.6</v>
          </cell>
          <cell r="M238">
            <v>35</v>
          </cell>
          <cell r="N238">
            <v>33</v>
          </cell>
          <cell r="O238">
            <v>15</v>
          </cell>
          <cell r="P238">
            <v>44.3</v>
          </cell>
          <cell r="Q238">
            <v>13</v>
          </cell>
          <cell r="R238">
            <v>4.4000000000000004</v>
          </cell>
          <cell r="S238">
            <v>58.2</v>
          </cell>
          <cell r="T238">
            <v>37277</v>
          </cell>
          <cell r="U238" t="str">
            <v>опт</v>
          </cell>
          <cell r="W238" t="str">
            <v>опт.Н-57/Э-45</v>
          </cell>
          <cell r="AD238">
            <v>37242</v>
          </cell>
          <cell r="AE238">
            <v>37254</v>
          </cell>
          <cell r="AF238">
            <v>12</v>
          </cell>
        </row>
        <row r="239">
          <cell r="B239">
            <v>5643</v>
          </cell>
          <cell r="C239">
            <v>126</v>
          </cell>
          <cell r="D239">
            <v>9</v>
          </cell>
          <cell r="E239">
            <v>90</v>
          </cell>
          <cell r="F239" t="str">
            <v>УПНПиКРС</v>
          </cell>
          <cell r="G239">
            <v>230</v>
          </cell>
          <cell r="H239" t="str">
            <v>ШГН</v>
          </cell>
          <cell r="O239">
            <v>0</v>
          </cell>
          <cell r="Q239">
            <v>0</v>
          </cell>
          <cell r="R239">
            <v>0</v>
          </cell>
          <cell r="T239">
            <v>37277</v>
          </cell>
          <cell r="U239" t="str">
            <v>ЗБС</v>
          </cell>
          <cell r="W239" t="str">
            <v>ПР К ЗБС</v>
          </cell>
          <cell r="AG239">
            <v>-55916</v>
          </cell>
          <cell r="AH239">
            <v>-745540</v>
          </cell>
        </row>
        <row r="240">
          <cell r="B240">
            <v>4212</v>
          </cell>
          <cell r="C240">
            <v>311</v>
          </cell>
          <cell r="H240" t="str">
            <v>ЭЦН</v>
          </cell>
          <cell r="I240" t="str">
            <v>действ.</v>
          </cell>
          <cell r="K240">
            <v>60</v>
          </cell>
          <cell r="L240">
            <v>0.5</v>
          </cell>
          <cell r="M240">
            <v>99</v>
          </cell>
          <cell r="N240">
            <v>80</v>
          </cell>
          <cell r="O240">
            <v>2</v>
          </cell>
          <cell r="P240">
            <v>97</v>
          </cell>
          <cell r="Q240">
            <v>20</v>
          </cell>
          <cell r="R240">
            <v>1.5</v>
          </cell>
          <cell r="S240">
            <v>90.7</v>
          </cell>
          <cell r="T240">
            <v>37277</v>
          </cell>
          <cell r="U240" t="str">
            <v>опт</v>
          </cell>
          <cell r="W240" t="str">
            <v>Опт.Э-50/Э-80</v>
          </cell>
          <cell r="Y240" t="str">
            <v>Полёт НКТ и НГН-44</v>
          </cell>
          <cell r="AD240">
            <v>37190</v>
          </cell>
          <cell r="AE240">
            <v>37254</v>
          </cell>
          <cell r="AF240">
            <v>64</v>
          </cell>
          <cell r="AG240">
            <v>-447216</v>
          </cell>
          <cell r="AH240">
            <v>-633556</v>
          </cell>
        </row>
        <row r="241">
          <cell r="B241">
            <v>2720</v>
          </cell>
          <cell r="C241">
            <v>166</v>
          </cell>
          <cell r="D241">
            <v>80</v>
          </cell>
          <cell r="E241">
            <v>801</v>
          </cell>
          <cell r="F241" t="str">
            <v>ЗАО "УПКРС"</v>
          </cell>
          <cell r="G241">
            <v>265</v>
          </cell>
          <cell r="H241" t="str">
            <v>ШГН</v>
          </cell>
          <cell r="I241" t="str">
            <v>бд</v>
          </cell>
          <cell r="J241">
            <v>35746</v>
          </cell>
          <cell r="N241">
            <v>17</v>
          </cell>
          <cell r="O241">
            <v>12</v>
          </cell>
          <cell r="P241">
            <v>13.5</v>
          </cell>
          <cell r="Q241">
            <v>17</v>
          </cell>
          <cell r="R241">
            <v>12</v>
          </cell>
          <cell r="S241">
            <v>12.9</v>
          </cell>
          <cell r="T241">
            <v>37268</v>
          </cell>
          <cell r="U241" t="str">
            <v>ГРП</v>
          </cell>
          <cell r="W241" t="str">
            <v>ВЦ. Извлечение НКТ с НГН-44. ГРП ЮК-10</v>
          </cell>
          <cell r="AG241">
            <v>-175141</v>
          </cell>
          <cell r="AH241">
            <v>-223584</v>
          </cell>
        </row>
        <row r="242">
          <cell r="B242">
            <v>2722</v>
          </cell>
          <cell r="C242">
            <v>166</v>
          </cell>
          <cell r="F242" t="str">
            <v>ПРС</v>
          </cell>
          <cell r="G242">
            <v>260</v>
          </cell>
          <cell r="H242" t="str">
            <v>ШГН</v>
          </cell>
          <cell r="I242" t="str">
            <v>бд</v>
          </cell>
          <cell r="L242">
            <v>0</v>
          </cell>
          <cell r="N242">
            <v>6</v>
          </cell>
          <cell r="O242">
            <v>4.7</v>
          </cell>
          <cell r="P242">
            <v>4</v>
          </cell>
          <cell r="Q242">
            <v>6</v>
          </cell>
          <cell r="R242">
            <v>4.7</v>
          </cell>
          <cell r="S242">
            <v>3.3</v>
          </cell>
          <cell r="T242">
            <v>37264</v>
          </cell>
          <cell r="U242" t="str">
            <v>БДД</v>
          </cell>
          <cell r="AG242">
            <v>724</v>
          </cell>
          <cell r="AH242">
            <v>1810</v>
          </cell>
        </row>
        <row r="243">
          <cell r="B243">
            <v>4123</v>
          </cell>
          <cell r="C243">
            <v>314</v>
          </cell>
          <cell r="H243" t="str">
            <v>ШГН</v>
          </cell>
          <cell r="I243" t="str">
            <v>конс.</v>
          </cell>
          <cell r="N243">
            <v>5</v>
          </cell>
          <cell r="O243">
            <v>2</v>
          </cell>
          <cell r="P243">
            <v>49.8</v>
          </cell>
          <cell r="Q243">
            <v>5</v>
          </cell>
          <cell r="R243">
            <v>2</v>
          </cell>
          <cell r="S243">
            <v>50.6</v>
          </cell>
          <cell r="T243">
            <v>37260</v>
          </cell>
          <cell r="U243" t="str">
            <v>ОВП</v>
          </cell>
          <cell r="V243">
            <v>1</v>
          </cell>
          <cell r="AD243">
            <v>37163</v>
          </cell>
          <cell r="AE243">
            <v>37246</v>
          </cell>
          <cell r="AF243">
            <v>83</v>
          </cell>
        </row>
        <row r="244">
          <cell r="B244">
            <v>5336</v>
          </cell>
          <cell r="C244">
            <v>140</v>
          </cell>
          <cell r="D244">
            <v>9</v>
          </cell>
          <cell r="E244">
            <v>91</v>
          </cell>
          <cell r="F244" t="str">
            <v>УПНПиКРС</v>
          </cell>
          <cell r="G244">
            <v>270</v>
          </cell>
          <cell r="H244" t="str">
            <v>ШГН</v>
          </cell>
          <cell r="I244" t="str">
            <v>бд</v>
          </cell>
          <cell r="J244">
            <v>34366</v>
          </cell>
          <cell r="K244">
            <v>3.5</v>
          </cell>
          <cell r="L244">
            <v>2.7</v>
          </cell>
          <cell r="M244">
            <v>5</v>
          </cell>
          <cell r="N244">
            <v>6</v>
          </cell>
          <cell r="O244">
            <v>2.9</v>
          </cell>
          <cell r="P244">
            <v>40</v>
          </cell>
          <cell r="Q244">
            <v>6</v>
          </cell>
          <cell r="R244">
            <v>2.9</v>
          </cell>
          <cell r="S244">
            <v>40.299999999999997</v>
          </cell>
          <cell r="T244">
            <v>37255</v>
          </cell>
          <cell r="U244" t="str">
            <v>ОПЗ</v>
          </cell>
          <cell r="W244" t="str">
            <v xml:space="preserve">Ликв.негерм.ЭК. ИР ЮК-11. ГИС. ПП п."б". </v>
          </cell>
          <cell r="X244" t="str">
            <v>СК есть</v>
          </cell>
        </row>
        <row r="245">
          <cell r="B245">
            <v>11007</v>
          </cell>
          <cell r="C245" t="str">
            <v>123б</v>
          </cell>
          <cell r="H245" t="str">
            <v>ЭЦН</v>
          </cell>
          <cell r="N245">
            <v>50</v>
          </cell>
          <cell r="O245">
            <v>2</v>
          </cell>
          <cell r="P245">
            <v>95</v>
          </cell>
          <cell r="Q245">
            <v>50</v>
          </cell>
          <cell r="R245">
            <v>2</v>
          </cell>
          <cell r="S245">
            <v>95.1</v>
          </cell>
          <cell r="T245">
            <v>37254</v>
          </cell>
          <cell r="U245" t="str">
            <v>ВЦД</v>
          </cell>
          <cell r="W245" t="str">
            <v>ВЦ Электропрогрев</v>
          </cell>
          <cell r="AG245">
            <v>-78225</v>
          </cell>
          <cell r="AH245">
            <v>-223500</v>
          </cell>
        </row>
        <row r="246">
          <cell r="B246">
            <v>4015</v>
          </cell>
          <cell r="C246">
            <v>310</v>
          </cell>
          <cell r="H246" t="str">
            <v>ШГН</v>
          </cell>
          <cell r="I246" t="str">
            <v>конс.</v>
          </cell>
          <cell r="J246">
            <v>34274</v>
          </cell>
          <cell r="N246">
            <v>6</v>
          </cell>
          <cell r="O246">
            <v>2.1</v>
          </cell>
          <cell r="P246">
            <v>58</v>
          </cell>
          <cell r="Q246">
            <v>6</v>
          </cell>
          <cell r="R246">
            <v>2.1</v>
          </cell>
          <cell r="S246">
            <v>56.8</v>
          </cell>
          <cell r="T246">
            <v>37250</v>
          </cell>
          <cell r="U246" t="str">
            <v>ОВП</v>
          </cell>
          <cell r="X246" t="str">
            <v>УОПР-800, после обустройства</v>
          </cell>
        </row>
        <row r="247">
          <cell r="B247">
            <v>5543</v>
          </cell>
          <cell r="C247">
            <v>114</v>
          </cell>
          <cell r="H247" t="str">
            <v>ШГН</v>
          </cell>
          <cell r="N247">
            <v>3</v>
          </cell>
          <cell r="O247">
            <v>1.7</v>
          </cell>
          <cell r="P247">
            <v>29</v>
          </cell>
          <cell r="Q247">
            <v>3</v>
          </cell>
          <cell r="R247">
            <v>1.7</v>
          </cell>
          <cell r="S247">
            <v>30</v>
          </cell>
          <cell r="T247">
            <v>37249</v>
          </cell>
          <cell r="U247" t="str">
            <v>ОПЗ</v>
          </cell>
          <cell r="W247" t="str">
            <v>ВЗ,ОПЗ КСПЭО, ГДИ</v>
          </cell>
          <cell r="AD247">
            <v>37216</v>
          </cell>
          <cell r="AE247">
            <v>37246</v>
          </cell>
          <cell r="AF247">
            <v>30</v>
          </cell>
        </row>
        <row r="248">
          <cell r="B248">
            <v>2878</v>
          </cell>
          <cell r="C248">
            <v>42</v>
          </cell>
          <cell r="D248">
            <v>3</v>
          </cell>
          <cell r="E248">
            <v>32</v>
          </cell>
          <cell r="F248" t="str">
            <v>ЗАО "УПКРС"</v>
          </cell>
          <cell r="G248">
            <v>260</v>
          </cell>
          <cell r="H248" t="str">
            <v>ШГН</v>
          </cell>
          <cell r="I248" t="str">
            <v>бдт</v>
          </cell>
          <cell r="N248">
            <v>12</v>
          </cell>
          <cell r="O248">
            <v>2.2999999999999998</v>
          </cell>
          <cell r="P248">
            <v>76</v>
          </cell>
          <cell r="Q248">
            <v>12</v>
          </cell>
          <cell r="R248">
            <v>2.2999999999999998</v>
          </cell>
          <cell r="S248">
            <v>76.3</v>
          </cell>
          <cell r="T248">
            <v>37247</v>
          </cell>
          <cell r="U248" t="str">
            <v>бдп</v>
          </cell>
        </row>
        <row r="249">
          <cell r="B249">
            <v>2675</v>
          </cell>
          <cell r="C249">
            <v>161</v>
          </cell>
          <cell r="H249" t="str">
            <v>ШГН</v>
          </cell>
          <cell r="I249" t="str">
            <v>бдт</v>
          </cell>
          <cell r="N249">
            <v>12</v>
          </cell>
          <cell r="O249">
            <v>1</v>
          </cell>
          <cell r="P249">
            <v>90</v>
          </cell>
          <cell r="Q249">
            <v>12</v>
          </cell>
          <cell r="R249">
            <v>1</v>
          </cell>
          <cell r="S249">
            <v>89.7</v>
          </cell>
          <cell r="T249">
            <v>37247</v>
          </cell>
          <cell r="U249" t="str">
            <v>бдп</v>
          </cell>
          <cell r="AG249">
            <v>-44694</v>
          </cell>
          <cell r="AH249">
            <v>-1080105</v>
          </cell>
        </row>
        <row r="250">
          <cell r="B250">
            <v>4022</v>
          </cell>
          <cell r="C250">
            <v>313</v>
          </cell>
          <cell r="H250" t="str">
            <v>ШГН</v>
          </cell>
          <cell r="I250" t="str">
            <v>конс.</v>
          </cell>
          <cell r="J250">
            <v>33848</v>
          </cell>
          <cell r="N250">
            <v>29</v>
          </cell>
          <cell r="O250">
            <v>1.2</v>
          </cell>
          <cell r="P250">
            <v>95</v>
          </cell>
          <cell r="Q250">
            <v>29</v>
          </cell>
          <cell r="R250">
            <v>1.2</v>
          </cell>
          <cell r="S250">
            <v>94.9</v>
          </cell>
          <cell r="T250">
            <v>37245</v>
          </cell>
          <cell r="U250" t="str">
            <v>ОВП</v>
          </cell>
          <cell r="X250" t="str">
            <v>УОПР-800, после обустройства</v>
          </cell>
          <cell r="AD250">
            <v>37097</v>
          </cell>
          <cell r="AE250">
            <v>37223</v>
          </cell>
          <cell r="AF250">
            <v>126</v>
          </cell>
          <cell r="AG250">
            <v>0</v>
          </cell>
          <cell r="AH250">
            <v>0</v>
          </cell>
        </row>
        <row r="251">
          <cell r="B251">
            <v>2787</v>
          </cell>
          <cell r="C251">
            <v>145</v>
          </cell>
          <cell r="D251">
            <v>4</v>
          </cell>
          <cell r="E251">
            <v>40</v>
          </cell>
          <cell r="G251">
            <v>275</v>
          </cell>
          <cell r="H251" t="str">
            <v>ЭЦН</v>
          </cell>
          <cell r="I251" t="str">
            <v>конс.</v>
          </cell>
          <cell r="J251">
            <v>33848</v>
          </cell>
          <cell r="K251">
            <v>60</v>
          </cell>
          <cell r="L251">
            <v>8.3000000000000007</v>
          </cell>
          <cell r="M251">
            <v>83</v>
          </cell>
          <cell r="N251">
            <v>16</v>
          </cell>
          <cell r="O251">
            <v>12.5</v>
          </cell>
          <cell r="P251">
            <v>4</v>
          </cell>
          <cell r="Q251">
            <v>16</v>
          </cell>
          <cell r="R251">
            <v>12.5</v>
          </cell>
          <cell r="S251">
            <v>3.5</v>
          </cell>
          <cell r="W251" t="str">
            <v>ВЦ. ИР ЮК-11. ГИС-2. ГРП ЮК-10. Спуск ЭЦН</v>
          </cell>
        </row>
        <row r="252">
          <cell r="B252">
            <v>2857</v>
          </cell>
          <cell r="C252">
            <v>42</v>
          </cell>
          <cell r="H252" t="str">
            <v>ШГН</v>
          </cell>
          <cell r="I252" t="str">
            <v>бдт</v>
          </cell>
          <cell r="N252">
            <v>11</v>
          </cell>
          <cell r="O252">
            <v>7.2</v>
          </cell>
          <cell r="P252">
            <v>20</v>
          </cell>
          <cell r="Q252">
            <v>11</v>
          </cell>
          <cell r="R252">
            <v>7.2</v>
          </cell>
          <cell r="S252">
            <v>19.2</v>
          </cell>
          <cell r="T252">
            <v>37233</v>
          </cell>
          <cell r="U252" t="str">
            <v>ВЦД</v>
          </cell>
        </row>
        <row r="253">
          <cell r="B253">
            <v>4168</v>
          </cell>
          <cell r="C253">
            <v>314</v>
          </cell>
          <cell r="H253" t="str">
            <v>ЭЦН</v>
          </cell>
          <cell r="I253" t="str">
            <v>бдт</v>
          </cell>
          <cell r="N253">
            <v>60</v>
          </cell>
          <cell r="O253">
            <v>1</v>
          </cell>
          <cell r="P253">
            <v>98</v>
          </cell>
          <cell r="Q253">
            <v>60</v>
          </cell>
          <cell r="R253">
            <v>1</v>
          </cell>
          <cell r="S253">
            <v>97.9</v>
          </cell>
          <cell r="T253">
            <v>37231</v>
          </cell>
          <cell r="U253" t="str">
            <v>бдп</v>
          </cell>
        </row>
        <row r="254">
          <cell r="B254">
            <v>5349</v>
          </cell>
          <cell r="C254">
            <v>103</v>
          </cell>
          <cell r="H254" t="str">
            <v>ЭЦН</v>
          </cell>
          <cell r="I254" t="str">
            <v>бдт</v>
          </cell>
          <cell r="N254">
            <v>46</v>
          </cell>
          <cell r="O254">
            <v>1.1000000000000001</v>
          </cell>
          <cell r="P254">
            <v>97</v>
          </cell>
          <cell r="Q254">
            <v>46</v>
          </cell>
          <cell r="R254">
            <v>1.1000000000000001</v>
          </cell>
          <cell r="S254">
            <v>97</v>
          </cell>
          <cell r="T254">
            <v>37229</v>
          </cell>
          <cell r="U254" t="str">
            <v>бдп</v>
          </cell>
          <cell r="AG254">
            <v>-111672</v>
          </cell>
          <cell r="AH254">
            <v>-186120</v>
          </cell>
        </row>
        <row r="255">
          <cell r="B255">
            <v>5344</v>
          </cell>
          <cell r="C255">
            <v>102</v>
          </cell>
          <cell r="H255" t="str">
            <v>ЭДН</v>
          </cell>
          <cell r="I255" t="str">
            <v>бдт</v>
          </cell>
          <cell r="J255">
            <v>37124</v>
          </cell>
          <cell r="N255">
            <v>5</v>
          </cell>
          <cell r="O255">
            <v>3</v>
          </cell>
          <cell r="P255">
            <v>27</v>
          </cell>
          <cell r="Q255">
            <v>5</v>
          </cell>
          <cell r="R255">
            <v>3</v>
          </cell>
          <cell r="S255">
            <v>25.9</v>
          </cell>
          <cell r="T255">
            <v>37224</v>
          </cell>
          <cell r="U255" t="str">
            <v>бдп</v>
          </cell>
          <cell r="AG255">
            <v>-74448</v>
          </cell>
          <cell r="AH255">
            <v>-744480</v>
          </cell>
        </row>
        <row r="256">
          <cell r="B256">
            <v>5365</v>
          </cell>
          <cell r="C256">
            <v>109</v>
          </cell>
          <cell r="D256">
            <v>23</v>
          </cell>
          <cell r="G256">
            <v>275</v>
          </cell>
          <cell r="H256" t="str">
            <v>ШГН</v>
          </cell>
          <cell r="I256" t="str">
            <v>конс.</v>
          </cell>
          <cell r="J256">
            <v>33178</v>
          </cell>
          <cell r="N256">
            <v>20</v>
          </cell>
          <cell r="O256">
            <v>2</v>
          </cell>
          <cell r="P256">
            <v>88</v>
          </cell>
          <cell r="Q256">
            <v>20</v>
          </cell>
          <cell r="R256">
            <v>2</v>
          </cell>
          <cell r="S256">
            <v>87.7</v>
          </cell>
          <cell r="T256">
            <v>37224</v>
          </cell>
          <cell r="U256" t="str">
            <v>ОПЗ</v>
          </cell>
          <cell r="W256" t="str">
            <v>ВЦ. РИР ЮК-11. ПП УГИС. ГДИ</v>
          </cell>
        </row>
        <row r="257">
          <cell r="B257">
            <v>11047</v>
          </cell>
          <cell r="C257" t="str">
            <v>302б</v>
          </cell>
          <cell r="H257" t="str">
            <v>ШГН</v>
          </cell>
          <cell r="I257" t="str">
            <v>бдт</v>
          </cell>
          <cell r="N257">
            <v>3</v>
          </cell>
          <cell r="O257">
            <v>1.5</v>
          </cell>
          <cell r="P257">
            <v>40</v>
          </cell>
          <cell r="Q257">
            <v>3</v>
          </cell>
          <cell r="R257">
            <v>1.5</v>
          </cell>
          <cell r="S257">
            <v>38.299999999999997</v>
          </cell>
          <cell r="T257">
            <v>37215</v>
          </cell>
          <cell r="U257" t="str">
            <v>бдп</v>
          </cell>
        </row>
        <row r="258">
          <cell r="B258">
            <v>2762</v>
          </cell>
          <cell r="C258">
            <v>143</v>
          </cell>
          <cell r="H258" t="str">
            <v>ШГН</v>
          </cell>
          <cell r="I258" t="str">
            <v>бдт</v>
          </cell>
          <cell r="N258">
            <v>12</v>
          </cell>
          <cell r="O258">
            <v>3</v>
          </cell>
          <cell r="P258">
            <v>69</v>
          </cell>
          <cell r="Q258">
            <v>12</v>
          </cell>
          <cell r="R258">
            <v>3</v>
          </cell>
          <cell r="S258">
            <v>69.099999999999994</v>
          </cell>
          <cell r="T258">
            <v>37208</v>
          </cell>
          <cell r="U258" t="str">
            <v>бдп</v>
          </cell>
          <cell r="Y258" t="str">
            <v>На забое ЭЦН и 180 НКТ</v>
          </cell>
          <cell r="AD258">
            <v>37114</v>
          </cell>
          <cell r="AE258">
            <v>37178</v>
          </cell>
          <cell r="AF258">
            <v>64</v>
          </cell>
          <cell r="AG258">
            <v>-186035</v>
          </cell>
          <cell r="AH258">
            <v>-558105</v>
          </cell>
        </row>
        <row r="259">
          <cell r="B259">
            <v>5513</v>
          </cell>
          <cell r="C259">
            <v>114</v>
          </cell>
          <cell r="D259">
            <v>36</v>
          </cell>
          <cell r="E259">
            <v>351</v>
          </cell>
          <cell r="G259">
            <v>250</v>
          </cell>
          <cell r="H259" t="str">
            <v>ЭЦН</v>
          </cell>
          <cell r="I259" t="str">
            <v>бд</v>
          </cell>
          <cell r="J259">
            <v>35073</v>
          </cell>
          <cell r="N259">
            <v>15</v>
          </cell>
          <cell r="O259">
            <v>5</v>
          </cell>
          <cell r="P259">
            <v>59</v>
          </cell>
          <cell r="Q259">
            <v>15</v>
          </cell>
          <cell r="R259">
            <v>5</v>
          </cell>
          <cell r="S259">
            <v>58.8</v>
          </cell>
          <cell r="T259">
            <v>37207</v>
          </cell>
          <cell r="U259" t="str">
            <v>ОПЗ</v>
          </cell>
          <cell r="W259" t="str">
            <v>ЛА (ЭЦН и НКТ). ИР ЮК10. ГИС-2. ГРП ЮК 4-5</v>
          </cell>
          <cell r="X259" t="str">
            <v>Ликвидация аварии (ЭЦН+НКТ)</v>
          </cell>
          <cell r="AG259">
            <v>-55811</v>
          </cell>
          <cell r="AH259">
            <v>-632519</v>
          </cell>
        </row>
        <row r="260">
          <cell r="B260">
            <v>5820</v>
          </cell>
          <cell r="C260">
            <v>167</v>
          </cell>
          <cell r="H260" t="str">
            <v>ШГН</v>
          </cell>
          <cell r="I260" t="str">
            <v>бд</v>
          </cell>
          <cell r="N260">
            <v>17</v>
          </cell>
          <cell r="O260">
            <v>1.5</v>
          </cell>
          <cell r="P260">
            <v>89</v>
          </cell>
          <cell r="Q260">
            <v>17</v>
          </cell>
          <cell r="R260">
            <v>1.5</v>
          </cell>
          <cell r="S260">
            <v>89.1</v>
          </cell>
          <cell r="T260">
            <v>37207</v>
          </cell>
          <cell r="U260" t="str">
            <v>ВЦД</v>
          </cell>
          <cell r="AG260">
            <v>-74414</v>
          </cell>
          <cell r="AH260">
            <v>-1860350</v>
          </cell>
        </row>
        <row r="261">
          <cell r="B261">
            <v>4212</v>
          </cell>
          <cell r="C261">
            <v>311</v>
          </cell>
          <cell r="H261" t="str">
            <v>ЭЦН</v>
          </cell>
          <cell r="N261">
            <v>50</v>
          </cell>
          <cell r="O261">
            <v>2</v>
          </cell>
          <cell r="P261">
            <v>95</v>
          </cell>
          <cell r="Q261">
            <v>50</v>
          </cell>
          <cell r="R261">
            <v>2</v>
          </cell>
          <cell r="S261">
            <v>95.1</v>
          </cell>
          <cell r="T261">
            <v>37207</v>
          </cell>
          <cell r="U261" t="str">
            <v>ВЦ</v>
          </cell>
          <cell r="W261" t="str">
            <v>ВЦ ПРС промывка забоя</v>
          </cell>
          <cell r="AG261">
            <v>-37203</v>
          </cell>
          <cell r="AH261">
            <v>-372030</v>
          </cell>
        </row>
        <row r="262">
          <cell r="B262">
            <v>2818</v>
          </cell>
          <cell r="C262">
            <v>144</v>
          </cell>
          <cell r="H262" t="str">
            <v>ШГН</v>
          </cell>
          <cell r="I262" t="str">
            <v>конс.</v>
          </cell>
          <cell r="J262">
            <v>33239</v>
          </cell>
          <cell r="N262">
            <v>10</v>
          </cell>
          <cell r="O262">
            <v>1</v>
          </cell>
          <cell r="P262">
            <v>88</v>
          </cell>
          <cell r="Q262">
            <v>10</v>
          </cell>
          <cell r="R262">
            <v>1</v>
          </cell>
          <cell r="S262">
            <v>87.7</v>
          </cell>
          <cell r="T262">
            <v>37203</v>
          </cell>
          <cell r="U262" t="str">
            <v>ВЦД</v>
          </cell>
        </row>
        <row r="263">
          <cell r="B263" t="str">
            <v>5519б</v>
          </cell>
          <cell r="C263">
            <v>116</v>
          </cell>
          <cell r="H263" t="str">
            <v>ЭЦН</v>
          </cell>
          <cell r="I263" t="str">
            <v>бдт</v>
          </cell>
          <cell r="N263">
            <v>54</v>
          </cell>
          <cell r="O263">
            <v>5</v>
          </cell>
          <cell r="P263">
            <v>88.6</v>
          </cell>
          <cell r="Q263">
            <v>54</v>
          </cell>
          <cell r="R263">
            <v>5</v>
          </cell>
          <cell r="S263">
            <v>88.6</v>
          </cell>
          <cell r="T263">
            <v>37203</v>
          </cell>
          <cell r="U263" t="str">
            <v>бдп</v>
          </cell>
        </row>
        <row r="264">
          <cell r="B264">
            <v>2739</v>
          </cell>
          <cell r="C264">
            <v>163</v>
          </cell>
          <cell r="H264" t="str">
            <v>ШГН</v>
          </cell>
          <cell r="I264" t="str">
            <v>бдт</v>
          </cell>
          <cell r="N264">
            <v>11</v>
          </cell>
          <cell r="O264">
            <v>1</v>
          </cell>
          <cell r="P264">
            <v>89</v>
          </cell>
          <cell r="Q264">
            <v>11</v>
          </cell>
          <cell r="R264">
            <v>1</v>
          </cell>
          <cell r="S264">
            <v>88.8</v>
          </cell>
          <cell r="T264">
            <v>37200</v>
          </cell>
          <cell r="U264" t="str">
            <v>бдп</v>
          </cell>
          <cell r="AG264">
            <v>-223200</v>
          </cell>
          <cell r="AH264">
            <v>-818400</v>
          </cell>
        </row>
        <row r="265">
          <cell r="B265">
            <v>3859</v>
          </cell>
          <cell r="C265" t="str">
            <v>306б</v>
          </cell>
          <cell r="H265" t="str">
            <v>ЭЦН</v>
          </cell>
          <cell r="I265" t="str">
            <v>бд</v>
          </cell>
          <cell r="J265">
            <v>35859</v>
          </cell>
          <cell r="N265">
            <v>22</v>
          </cell>
          <cell r="O265">
            <v>6</v>
          </cell>
          <cell r="P265">
            <v>66.3</v>
          </cell>
          <cell r="Q265">
            <v>22</v>
          </cell>
          <cell r="R265">
            <v>6</v>
          </cell>
          <cell r="S265">
            <v>66.3</v>
          </cell>
          <cell r="T265">
            <v>37200</v>
          </cell>
          <cell r="U265" t="str">
            <v>ВЦД</v>
          </cell>
          <cell r="AD265">
            <v>37151</v>
          </cell>
          <cell r="AE265">
            <v>37192</v>
          </cell>
          <cell r="AF265">
            <v>41</v>
          </cell>
          <cell r="AG265">
            <v>-37199</v>
          </cell>
          <cell r="AH265">
            <v>-148796</v>
          </cell>
        </row>
        <row r="266">
          <cell r="B266">
            <v>5221</v>
          </cell>
          <cell r="C266">
            <v>126</v>
          </cell>
          <cell r="D266">
            <v>21</v>
          </cell>
          <cell r="E266">
            <v>211</v>
          </cell>
          <cell r="G266">
            <v>240</v>
          </cell>
          <cell r="H266" t="str">
            <v>ШГН</v>
          </cell>
          <cell r="I266" t="str">
            <v>бд</v>
          </cell>
          <cell r="J266">
            <v>35706</v>
          </cell>
          <cell r="K266">
            <v>8</v>
          </cell>
          <cell r="L266">
            <v>6.1</v>
          </cell>
          <cell r="M266">
            <v>6</v>
          </cell>
          <cell r="N266">
            <v>4</v>
          </cell>
          <cell r="O266">
            <v>1</v>
          </cell>
          <cell r="P266">
            <v>68</v>
          </cell>
          <cell r="Q266">
            <v>4</v>
          </cell>
          <cell r="R266">
            <v>1</v>
          </cell>
          <cell r="S266">
            <v>69.099999999999994</v>
          </cell>
          <cell r="T266">
            <v>37199</v>
          </cell>
          <cell r="U266" t="str">
            <v>ГРП</v>
          </cell>
          <cell r="W266" t="str">
            <v>ПП. ОПЗ НТПН. УГИС. ГРП</v>
          </cell>
          <cell r="AG266">
            <v>-48351</v>
          </cell>
          <cell r="AH266">
            <v>-1673685</v>
          </cell>
        </row>
        <row r="267">
          <cell r="B267">
            <v>5350</v>
          </cell>
          <cell r="C267">
            <v>104</v>
          </cell>
          <cell r="H267" t="str">
            <v>ЭЦН</v>
          </cell>
          <cell r="I267" t="str">
            <v>действ.</v>
          </cell>
          <cell r="K267">
            <v>105</v>
          </cell>
          <cell r="L267">
            <v>7.7</v>
          </cell>
          <cell r="M267">
            <v>91</v>
          </cell>
          <cell r="N267">
            <v>150</v>
          </cell>
          <cell r="O267">
            <v>9</v>
          </cell>
          <cell r="P267">
            <v>92.6</v>
          </cell>
          <cell r="Q267">
            <v>45</v>
          </cell>
          <cell r="R267">
            <v>1.2999999999999998</v>
          </cell>
          <cell r="S267">
            <v>0</v>
          </cell>
          <cell r="T267">
            <v>37193</v>
          </cell>
          <cell r="U267" t="str">
            <v>опт</v>
          </cell>
          <cell r="AD267" t="e">
            <v>#REF!</v>
          </cell>
          <cell r="AE267" t="e">
            <v>#REF!</v>
          </cell>
          <cell r="AF267">
            <v>14</v>
          </cell>
          <cell r="AG267">
            <v>-59499</v>
          </cell>
          <cell r="AH267">
            <v>-855301</v>
          </cell>
        </row>
        <row r="268">
          <cell r="B268">
            <v>2922</v>
          </cell>
          <cell r="C268" t="str">
            <v>43б</v>
          </cell>
          <cell r="H268" t="str">
            <v>ЭЦН</v>
          </cell>
          <cell r="I268" t="str">
            <v>действ.</v>
          </cell>
          <cell r="K268">
            <v>10</v>
          </cell>
          <cell r="L268">
            <v>6.4</v>
          </cell>
          <cell r="M268">
            <v>21</v>
          </cell>
          <cell r="N268">
            <v>33</v>
          </cell>
          <cell r="O268">
            <v>8</v>
          </cell>
          <cell r="P268">
            <v>70.2</v>
          </cell>
          <cell r="Q268">
            <v>23</v>
          </cell>
          <cell r="R268">
            <v>1.5999999999999996</v>
          </cell>
          <cell r="T268">
            <v>37187</v>
          </cell>
          <cell r="U268" t="str">
            <v>опт</v>
          </cell>
          <cell r="AD268" t="e">
            <v>#REF!</v>
          </cell>
          <cell r="AE268" t="e">
            <v>#REF!</v>
          </cell>
          <cell r="AF268">
            <v>39</v>
          </cell>
          <cell r="AG268">
            <v>-446196</v>
          </cell>
          <cell r="AH268">
            <v>-1301405</v>
          </cell>
        </row>
        <row r="269">
          <cell r="B269">
            <v>2932</v>
          </cell>
          <cell r="C269">
            <v>44</v>
          </cell>
          <cell r="D269">
            <v>0</v>
          </cell>
          <cell r="G269">
            <v>265</v>
          </cell>
          <cell r="H269" t="str">
            <v>ШГН</v>
          </cell>
          <cell r="I269" t="str">
            <v>бдт</v>
          </cell>
          <cell r="J269">
            <v>37045</v>
          </cell>
          <cell r="K269">
            <v>15</v>
          </cell>
          <cell r="L269">
            <v>10.3</v>
          </cell>
          <cell r="M269">
            <v>16</v>
          </cell>
          <cell r="N269">
            <v>35</v>
          </cell>
          <cell r="O269">
            <v>12</v>
          </cell>
          <cell r="P269">
            <v>57.8</v>
          </cell>
          <cell r="Q269">
            <v>35</v>
          </cell>
          <cell r="R269">
            <v>12</v>
          </cell>
          <cell r="S269">
            <v>57.7</v>
          </cell>
          <cell r="T269">
            <v>37183</v>
          </cell>
          <cell r="U269" t="str">
            <v>ОПЗ</v>
          </cell>
          <cell r="W269" t="str">
            <v>ВЦ. ПП ДН. ОПЗ НТПН</v>
          </cell>
          <cell r="AG269">
            <v>-7436</v>
          </cell>
          <cell r="AH269">
            <v>-148724</v>
          </cell>
        </row>
        <row r="270">
          <cell r="B270">
            <v>4077</v>
          </cell>
          <cell r="C270">
            <v>315</v>
          </cell>
          <cell r="H270" t="str">
            <v>ШГН</v>
          </cell>
          <cell r="I270" t="str">
            <v>бд</v>
          </cell>
          <cell r="J270">
            <v>36091</v>
          </cell>
          <cell r="N270">
            <v>4</v>
          </cell>
          <cell r="O270">
            <v>0.2</v>
          </cell>
          <cell r="P270">
            <v>93.5</v>
          </cell>
          <cell r="Q270">
            <v>4</v>
          </cell>
          <cell r="R270">
            <v>0.2</v>
          </cell>
          <cell r="S270">
            <v>93.8</v>
          </cell>
          <cell r="T270">
            <v>37181</v>
          </cell>
          <cell r="U270" t="str">
            <v>ОВП</v>
          </cell>
          <cell r="X270" t="str">
            <v>УОПР-800, после обустройства</v>
          </cell>
          <cell r="AG270">
            <v>-223074</v>
          </cell>
          <cell r="AH270">
            <v>-446148</v>
          </cell>
        </row>
        <row r="271">
          <cell r="B271">
            <v>5835</v>
          </cell>
          <cell r="C271">
            <v>168</v>
          </cell>
          <cell r="H271" t="str">
            <v>ШГН</v>
          </cell>
          <cell r="I271" t="str">
            <v>бдт</v>
          </cell>
          <cell r="J271">
            <v>37122</v>
          </cell>
          <cell r="N271">
            <v>12</v>
          </cell>
          <cell r="O271">
            <v>6</v>
          </cell>
          <cell r="P271">
            <v>39</v>
          </cell>
          <cell r="Q271">
            <v>12</v>
          </cell>
          <cell r="R271">
            <v>6</v>
          </cell>
          <cell r="S271">
            <v>38.299999999999997</v>
          </cell>
          <cell r="T271">
            <v>37179</v>
          </cell>
          <cell r="U271" t="str">
            <v>бдп</v>
          </cell>
          <cell r="AG271">
            <v>-37177</v>
          </cell>
          <cell r="AH271">
            <v>-594832</v>
          </cell>
        </row>
        <row r="272">
          <cell r="B272">
            <v>5310</v>
          </cell>
          <cell r="C272">
            <v>140</v>
          </cell>
          <cell r="D272">
            <v>9</v>
          </cell>
          <cell r="G272">
            <v>240</v>
          </cell>
          <cell r="H272" t="str">
            <v>ШГН</v>
          </cell>
          <cell r="I272" t="str">
            <v>бд</v>
          </cell>
          <cell r="J272">
            <v>34274</v>
          </cell>
          <cell r="N272">
            <v>16</v>
          </cell>
          <cell r="O272">
            <v>1</v>
          </cell>
          <cell r="P272">
            <v>92</v>
          </cell>
          <cell r="Q272">
            <v>16</v>
          </cell>
          <cell r="R272">
            <v>1</v>
          </cell>
          <cell r="S272">
            <v>92.3</v>
          </cell>
          <cell r="T272">
            <v>37177</v>
          </cell>
          <cell r="U272" t="str">
            <v>ВЗ</v>
          </cell>
          <cell r="W272" t="str">
            <v>ВЦ. ГИС. ИР ЮК-11. ГИС. ПП ЮК-10. ГРП</v>
          </cell>
          <cell r="AG272">
            <v>-408925</v>
          </cell>
          <cell r="AH272">
            <v>-743500</v>
          </cell>
        </row>
        <row r="273">
          <cell r="B273">
            <v>2791</v>
          </cell>
          <cell r="C273">
            <v>144</v>
          </cell>
          <cell r="D273">
            <v>4</v>
          </cell>
          <cell r="G273">
            <v>280</v>
          </cell>
          <cell r="H273" t="str">
            <v>ШГН</v>
          </cell>
          <cell r="I273" t="str">
            <v>бдт</v>
          </cell>
          <cell r="J273">
            <v>37124</v>
          </cell>
          <cell r="K273">
            <v>9</v>
          </cell>
          <cell r="L273">
            <v>5.2</v>
          </cell>
          <cell r="M273">
            <v>29</v>
          </cell>
          <cell r="N273">
            <v>20</v>
          </cell>
          <cell r="O273">
            <v>11</v>
          </cell>
          <cell r="P273">
            <v>32.299999999999997</v>
          </cell>
          <cell r="Q273">
            <v>20</v>
          </cell>
          <cell r="R273">
            <v>11</v>
          </cell>
          <cell r="S273">
            <v>32.1</v>
          </cell>
          <cell r="T273">
            <v>37175</v>
          </cell>
          <cell r="U273" t="str">
            <v>ГРП</v>
          </cell>
          <cell r="W273" t="str">
            <v>ПР ГРП. ГРП</v>
          </cell>
          <cell r="AG273">
            <v>-334566</v>
          </cell>
          <cell r="AH273">
            <v>-520436</v>
          </cell>
        </row>
        <row r="274">
          <cell r="B274">
            <v>4074</v>
          </cell>
          <cell r="C274">
            <v>314</v>
          </cell>
          <cell r="H274" t="str">
            <v>ШГН</v>
          </cell>
          <cell r="I274" t="str">
            <v>бдт</v>
          </cell>
          <cell r="N274">
            <v>14</v>
          </cell>
          <cell r="O274">
            <v>9</v>
          </cell>
          <cell r="P274">
            <v>21</v>
          </cell>
          <cell r="Q274">
            <v>14</v>
          </cell>
          <cell r="R274">
            <v>9</v>
          </cell>
          <cell r="S274">
            <v>20.6</v>
          </cell>
          <cell r="T274">
            <v>37174</v>
          </cell>
          <cell r="U274" t="str">
            <v>бдп</v>
          </cell>
          <cell r="X274" t="str">
            <v>Запуск ШГН</v>
          </cell>
          <cell r="AG274">
            <v>-74348</v>
          </cell>
          <cell r="AH274">
            <v>-2044570</v>
          </cell>
        </row>
        <row r="275">
          <cell r="B275">
            <v>5476</v>
          </cell>
          <cell r="C275">
            <v>110</v>
          </cell>
          <cell r="H275" t="str">
            <v>ЭЦН</v>
          </cell>
          <cell r="I275" t="str">
            <v>бдт</v>
          </cell>
          <cell r="J275">
            <v>37123</v>
          </cell>
          <cell r="N275">
            <v>55</v>
          </cell>
          <cell r="O275">
            <v>2</v>
          </cell>
          <cell r="P275">
            <v>95.5</v>
          </cell>
          <cell r="Q275">
            <v>55</v>
          </cell>
          <cell r="R275">
            <v>2</v>
          </cell>
          <cell r="S275">
            <v>95.5</v>
          </cell>
          <cell r="T275">
            <v>37174</v>
          </cell>
          <cell r="U275" t="str">
            <v>бдп</v>
          </cell>
          <cell r="AG275">
            <v>-297344</v>
          </cell>
          <cell r="AH275">
            <v>-371680</v>
          </cell>
        </row>
        <row r="276">
          <cell r="B276">
            <v>5341</v>
          </cell>
          <cell r="C276">
            <v>101</v>
          </cell>
          <cell r="H276" t="str">
            <v>ШГН</v>
          </cell>
          <cell r="I276" t="str">
            <v>бд</v>
          </cell>
          <cell r="J276">
            <v>35653</v>
          </cell>
          <cell r="N276">
            <v>10</v>
          </cell>
          <cell r="O276">
            <v>8</v>
          </cell>
          <cell r="P276">
            <v>2</v>
          </cell>
          <cell r="Q276">
            <v>10</v>
          </cell>
          <cell r="R276">
            <v>8</v>
          </cell>
          <cell r="S276">
            <v>1.2</v>
          </cell>
          <cell r="T276">
            <v>37168</v>
          </cell>
          <cell r="U276" t="str">
            <v>бдп</v>
          </cell>
          <cell r="AG276">
            <v>-152381</v>
          </cell>
          <cell r="AH276">
            <v>-3753766</v>
          </cell>
        </row>
        <row r="277">
          <cell r="B277">
            <v>11003</v>
          </cell>
          <cell r="C277" t="str">
            <v>123б</v>
          </cell>
          <cell r="H277" t="str">
            <v>ЭЦН</v>
          </cell>
          <cell r="I277" t="str">
            <v>действ.</v>
          </cell>
          <cell r="K277">
            <v>60</v>
          </cell>
          <cell r="L277">
            <v>5.9</v>
          </cell>
          <cell r="M277">
            <v>88</v>
          </cell>
          <cell r="N277">
            <v>161</v>
          </cell>
          <cell r="O277">
            <v>10</v>
          </cell>
          <cell r="P277">
            <v>92.4</v>
          </cell>
          <cell r="Q277">
            <v>101</v>
          </cell>
          <cell r="R277">
            <v>4.0999999999999996</v>
          </cell>
          <cell r="S277">
            <v>0</v>
          </cell>
          <cell r="T277">
            <v>37166</v>
          </cell>
          <cell r="U277" t="str">
            <v>опт</v>
          </cell>
          <cell r="AD277">
            <v>37109</v>
          </cell>
          <cell r="AE277">
            <v>37129</v>
          </cell>
          <cell r="AF277">
            <v>20</v>
          </cell>
          <cell r="AG277">
            <v>-159775</v>
          </cell>
          <cell r="AH277">
            <v>-185785</v>
          </cell>
        </row>
        <row r="278">
          <cell r="B278">
            <v>2942</v>
          </cell>
          <cell r="C278">
            <v>47</v>
          </cell>
          <cell r="D278">
            <v>35</v>
          </cell>
          <cell r="G278">
            <v>250</v>
          </cell>
          <cell r="H278" t="str">
            <v>ШГН</v>
          </cell>
          <cell r="I278" t="str">
            <v>действ.</v>
          </cell>
          <cell r="J278">
            <v>37116</v>
          </cell>
          <cell r="K278">
            <v>5</v>
          </cell>
          <cell r="L278">
            <v>3.7</v>
          </cell>
          <cell r="M278">
            <v>8</v>
          </cell>
          <cell r="N278">
            <v>10</v>
          </cell>
          <cell r="O278">
            <v>8</v>
          </cell>
          <cell r="P278">
            <v>2</v>
          </cell>
          <cell r="Q278">
            <v>5</v>
          </cell>
          <cell r="R278">
            <v>4.3</v>
          </cell>
          <cell r="T278">
            <v>37157</v>
          </cell>
          <cell r="U278" t="str">
            <v>ОПЗ</v>
          </cell>
          <cell r="W278" t="str">
            <v>УГИС. ОПЗ НТПН. ГДИ</v>
          </cell>
          <cell r="AG278">
            <v>-111468</v>
          </cell>
          <cell r="AH278">
            <v>-1486240</v>
          </cell>
        </row>
        <row r="279">
          <cell r="B279">
            <v>2757</v>
          </cell>
          <cell r="C279">
            <v>144</v>
          </cell>
          <cell r="I279" t="str">
            <v>бд</v>
          </cell>
          <cell r="N279">
            <v>40</v>
          </cell>
          <cell r="O279">
            <v>3</v>
          </cell>
          <cell r="P279">
            <v>90.7</v>
          </cell>
          <cell r="Q279">
            <v>40</v>
          </cell>
          <cell r="R279">
            <v>3</v>
          </cell>
          <cell r="S279">
            <v>90.7</v>
          </cell>
          <cell r="T279">
            <v>37156</v>
          </cell>
          <cell r="U279" t="str">
            <v>ВЦ</v>
          </cell>
          <cell r="AG279">
            <v>-130029</v>
          </cell>
          <cell r="AH279">
            <v>-2154758</v>
          </cell>
        </row>
        <row r="280">
          <cell r="B280">
            <v>4126</v>
          </cell>
          <cell r="C280">
            <v>315</v>
          </cell>
          <cell r="I280" t="str">
            <v>бдт</v>
          </cell>
          <cell r="N280">
            <v>58</v>
          </cell>
          <cell r="O280">
            <v>3.5</v>
          </cell>
          <cell r="P280">
            <v>92.5</v>
          </cell>
          <cell r="Q280">
            <v>58</v>
          </cell>
          <cell r="R280">
            <v>3.5</v>
          </cell>
          <cell r="S280">
            <v>92.6</v>
          </cell>
          <cell r="T280">
            <v>37151</v>
          </cell>
          <cell r="U280" t="str">
            <v>бдп</v>
          </cell>
          <cell r="AG280">
            <v>0</v>
          </cell>
          <cell r="AH280">
            <v>-5572050</v>
          </cell>
        </row>
        <row r="281">
          <cell r="B281">
            <v>5807</v>
          </cell>
          <cell r="C281" t="str">
            <v>166б</v>
          </cell>
          <cell r="I281" t="str">
            <v>бд</v>
          </cell>
          <cell r="N281">
            <v>150</v>
          </cell>
          <cell r="Q281">
            <v>150</v>
          </cell>
          <cell r="R281">
            <v>0</v>
          </cell>
          <cell r="S281">
            <v>100</v>
          </cell>
          <cell r="T281">
            <v>37147</v>
          </cell>
          <cell r="U281" t="str">
            <v>нг</v>
          </cell>
          <cell r="AG281">
            <v>-222846</v>
          </cell>
          <cell r="AH281">
            <v>-1782768</v>
          </cell>
        </row>
        <row r="282">
          <cell r="B282">
            <v>2865</v>
          </cell>
          <cell r="C282">
            <v>131</v>
          </cell>
          <cell r="I282" t="str">
            <v>действ.</v>
          </cell>
          <cell r="K282">
            <v>15</v>
          </cell>
          <cell r="L282">
            <v>5.5</v>
          </cell>
          <cell r="M282">
            <v>55</v>
          </cell>
          <cell r="N282">
            <v>63</v>
          </cell>
          <cell r="O282">
            <v>11.5</v>
          </cell>
          <cell r="P282">
            <v>77.599999999999994</v>
          </cell>
          <cell r="Q282">
            <v>48</v>
          </cell>
          <cell r="R282">
            <v>6</v>
          </cell>
          <cell r="T282">
            <v>37141</v>
          </cell>
          <cell r="U282" t="str">
            <v>опт</v>
          </cell>
          <cell r="AG282">
            <v>-148552</v>
          </cell>
          <cell r="AH282">
            <v>-259966</v>
          </cell>
        </row>
        <row r="283">
          <cell r="B283" t="str">
            <v>5484б</v>
          </cell>
          <cell r="C283">
            <v>115</v>
          </cell>
          <cell r="H283" t="str">
            <v>ШГН</v>
          </cell>
          <cell r="I283" t="str">
            <v>конс.</v>
          </cell>
          <cell r="N283">
            <v>7</v>
          </cell>
          <cell r="O283">
            <v>4</v>
          </cell>
          <cell r="P283">
            <v>30</v>
          </cell>
          <cell r="Q283">
            <v>7</v>
          </cell>
          <cell r="R283">
            <v>4</v>
          </cell>
          <cell r="S283">
            <v>29.5</v>
          </cell>
          <cell r="T283">
            <v>37138</v>
          </cell>
          <cell r="U283" t="str">
            <v>ГРП</v>
          </cell>
          <cell r="Y283" t="str">
            <v>ЗКЦ до гл.2480</v>
          </cell>
          <cell r="AD283">
            <v>37378</v>
          </cell>
          <cell r="AE283">
            <v>37399</v>
          </cell>
          <cell r="AF283">
            <v>21</v>
          </cell>
          <cell r="AG283">
            <v>0</v>
          </cell>
          <cell r="AH283">
            <v>0</v>
          </cell>
        </row>
        <row r="284">
          <cell r="B284">
            <v>5391</v>
          </cell>
          <cell r="C284">
            <v>109</v>
          </cell>
          <cell r="D284">
            <v>4</v>
          </cell>
          <cell r="E284">
            <v>40</v>
          </cell>
          <cell r="F284" t="str">
            <v>УПНПиКРС</v>
          </cell>
          <cell r="G284">
            <v>291</v>
          </cell>
          <cell r="H284" t="str">
            <v>нагнет.</v>
          </cell>
          <cell r="I284" t="str">
            <v>бд</v>
          </cell>
          <cell r="J284">
            <v>34426</v>
          </cell>
          <cell r="O284">
            <v>0</v>
          </cell>
          <cell r="U284" t="str">
            <v>нг</v>
          </cell>
          <cell r="W284" t="str">
            <v>ИР ЮК-11, ПП ЮК-10 пуск под закачку</v>
          </cell>
          <cell r="Y284" t="str">
            <v>Негермитичгость Э/К</v>
          </cell>
          <cell r="AD284">
            <v>37294</v>
          </cell>
          <cell r="AE284">
            <v>37351</v>
          </cell>
          <cell r="AF284">
            <v>57</v>
          </cell>
          <cell r="AG284">
            <v>451800</v>
          </cell>
          <cell r="AH284">
            <v>1129500</v>
          </cell>
        </row>
        <row r="285">
          <cell r="B285">
            <v>5398</v>
          </cell>
          <cell r="C285">
            <v>102</v>
          </cell>
          <cell r="D285">
            <v>9</v>
          </cell>
          <cell r="E285">
            <v>90</v>
          </cell>
          <cell r="F285" t="str">
            <v>УПНПиКРС</v>
          </cell>
          <cell r="G285">
            <v>240</v>
          </cell>
          <cell r="H285" t="str">
            <v>ФОН</v>
          </cell>
          <cell r="I285" t="str">
            <v>бд</v>
          </cell>
          <cell r="J285">
            <v>33572</v>
          </cell>
          <cell r="K285">
            <v>15</v>
          </cell>
          <cell r="L285">
            <v>1.2</v>
          </cell>
          <cell r="M285">
            <v>90</v>
          </cell>
          <cell r="N285">
            <v>30</v>
          </cell>
          <cell r="O285">
            <v>12</v>
          </cell>
          <cell r="P285">
            <v>51</v>
          </cell>
          <cell r="Q285">
            <v>30</v>
          </cell>
          <cell r="R285">
            <v>12</v>
          </cell>
          <cell r="S285">
            <v>50.6</v>
          </cell>
          <cell r="U285" t="str">
            <v>ГРП</v>
          </cell>
          <cell r="V285">
            <v>2</v>
          </cell>
          <cell r="W285" t="str">
            <v>ЛА,ИР ЮК-10,ПП ЮК-2-3 пр к ГРП</v>
          </cell>
          <cell r="AG285">
            <v>0</v>
          </cell>
          <cell r="AH285">
            <v>0</v>
          </cell>
        </row>
        <row r="286">
          <cell r="B286">
            <v>2701</v>
          </cell>
          <cell r="C286" t="str">
            <v>145б</v>
          </cell>
          <cell r="H286" t="str">
            <v>ЭЦН</v>
          </cell>
          <cell r="I286" t="str">
            <v>конс.</v>
          </cell>
          <cell r="N286">
            <v>45</v>
          </cell>
          <cell r="O286">
            <v>3</v>
          </cell>
          <cell r="P286">
            <v>91.9</v>
          </cell>
          <cell r="Q286">
            <v>45</v>
          </cell>
          <cell r="R286">
            <v>3</v>
          </cell>
          <cell r="S286">
            <v>91.8</v>
          </cell>
          <cell r="U286" t="str">
            <v>ВЦ</v>
          </cell>
          <cell r="AG286">
            <v>0</v>
          </cell>
          <cell r="AH286">
            <v>0</v>
          </cell>
        </row>
        <row r="287">
          <cell r="B287">
            <v>5290</v>
          </cell>
          <cell r="C287">
            <v>133</v>
          </cell>
          <cell r="H287" t="str">
            <v>ШГН</v>
          </cell>
          <cell r="I287" t="str">
            <v>бдт</v>
          </cell>
          <cell r="J287">
            <v>37111</v>
          </cell>
          <cell r="N287">
            <v>8</v>
          </cell>
          <cell r="O287">
            <v>4.5</v>
          </cell>
          <cell r="P287">
            <v>31</v>
          </cell>
          <cell r="Q287">
            <v>8</v>
          </cell>
          <cell r="R287">
            <v>4.5</v>
          </cell>
          <cell r="S287">
            <v>30.6</v>
          </cell>
          <cell r="U287" t="str">
            <v>бдп</v>
          </cell>
          <cell r="AG287">
            <v>0</v>
          </cell>
          <cell r="AH287">
            <v>0</v>
          </cell>
        </row>
        <row r="288">
          <cell r="B288">
            <v>5528</v>
          </cell>
          <cell r="C288" t="str">
            <v>119б</v>
          </cell>
          <cell r="H288" t="str">
            <v>ШГН</v>
          </cell>
          <cell r="I288" t="str">
            <v>бдт</v>
          </cell>
          <cell r="N288">
            <v>6</v>
          </cell>
          <cell r="O288">
            <v>3</v>
          </cell>
          <cell r="P288">
            <v>38</v>
          </cell>
          <cell r="Q288">
            <v>6</v>
          </cell>
          <cell r="R288">
            <v>3</v>
          </cell>
          <cell r="S288">
            <v>38.299999999999997</v>
          </cell>
          <cell r="U288" t="str">
            <v>ВЦД</v>
          </cell>
          <cell r="AD288">
            <v>37263</v>
          </cell>
          <cell r="AE288">
            <v>37281</v>
          </cell>
          <cell r="AF288">
            <v>18</v>
          </cell>
          <cell r="AG288">
            <v>360</v>
          </cell>
          <cell r="AH288">
            <v>464</v>
          </cell>
        </row>
        <row r="289">
          <cell r="B289">
            <v>2787</v>
          </cell>
          <cell r="C289">
            <v>145</v>
          </cell>
          <cell r="D289">
            <v>4</v>
          </cell>
          <cell r="E289">
            <v>40</v>
          </cell>
          <cell r="F289" t="str">
            <v>УПНПиКРС</v>
          </cell>
          <cell r="G289">
            <v>270</v>
          </cell>
          <cell r="H289" t="str">
            <v>ШГН</v>
          </cell>
          <cell r="I289" t="str">
            <v>действ.</v>
          </cell>
          <cell r="K289">
            <v>17</v>
          </cell>
          <cell r="L289">
            <v>13.2</v>
          </cell>
          <cell r="M289">
            <v>5</v>
          </cell>
          <cell r="N289">
            <v>25</v>
          </cell>
          <cell r="O289">
            <v>19.399999999999999</v>
          </cell>
          <cell r="P289">
            <v>5</v>
          </cell>
          <cell r="Q289">
            <v>8</v>
          </cell>
          <cell r="R289">
            <v>6.1999999999999993</v>
          </cell>
          <cell r="S289">
            <v>4.3</v>
          </cell>
          <cell r="U289" t="str">
            <v>ГРП</v>
          </cell>
          <cell r="V289">
            <v>3</v>
          </cell>
          <cell r="W289" t="str">
            <v>Вымыв пропанта, освоение после ГРП</v>
          </cell>
          <cell r="AD289">
            <v>37242</v>
          </cell>
          <cell r="AE289">
            <v>37277</v>
          </cell>
          <cell r="AF289">
            <v>35</v>
          </cell>
          <cell r="AG289">
            <v>0</v>
          </cell>
          <cell r="AH289">
            <v>0</v>
          </cell>
        </row>
        <row r="290">
          <cell r="B290">
            <v>5644</v>
          </cell>
          <cell r="C290">
            <v>126</v>
          </cell>
          <cell r="D290">
            <v>21</v>
          </cell>
          <cell r="E290">
            <v>210</v>
          </cell>
          <cell r="F290" t="str">
            <v>УПНПиКРС</v>
          </cell>
          <cell r="G290">
            <v>230</v>
          </cell>
          <cell r="H290" t="str">
            <v>ШГН</v>
          </cell>
          <cell r="I290" t="str">
            <v>бд</v>
          </cell>
          <cell r="J290">
            <v>35340</v>
          </cell>
          <cell r="N290">
            <v>30</v>
          </cell>
          <cell r="O290">
            <v>15</v>
          </cell>
          <cell r="P290">
            <v>38.799999999999997</v>
          </cell>
          <cell r="Q290">
            <v>30</v>
          </cell>
          <cell r="R290">
            <v>15</v>
          </cell>
          <cell r="S290">
            <v>38.299999999999997</v>
          </cell>
          <cell r="T290">
            <v>37521</v>
          </cell>
          <cell r="U290" t="str">
            <v>ЗБС</v>
          </cell>
          <cell r="W290" t="str">
            <v>ПР К ЗБС</v>
          </cell>
          <cell r="AD290">
            <v>37447</v>
          </cell>
          <cell r="AE290">
            <v>37456</v>
          </cell>
          <cell r="AF290">
            <v>9</v>
          </cell>
        </row>
        <row r="291">
          <cell r="B291">
            <v>2576</v>
          </cell>
          <cell r="C291">
            <v>150</v>
          </cell>
          <cell r="D291">
            <v>3</v>
          </cell>
          <cell r="E291">
            <v>1</v>
          </cell>
          <cell r="F291" t="str">
            <v>УПНПиКРС</v>
          </cell>
          <cell r="H291" t="str">
            <v>нагнет.</v>
          </cell>
          <cell r="I291" t="str">
            <v>бд</v>
          </cell>
          <cell r="N291">
            <v>150</v>
          </cell>
          <cell r="Q291">
            <v>150</v>
          </cell>
          <cell r="T291">
            <v>37459</v>
          </cell>
          <cell r="U291" t="str">
            <v>нг</v>
          </cell>
          <cell r="W291" t="str">
            <v>Ревизия пакера</v>
          </cell>
          <cell r="AD291">
            <v>37413</v>
          </cell>
          <cell r="AE291">
            <v>37461</v>
          </cell>
          <cell r="AF291">
            <v>48</v>
          </cell>
        </row>
        <row r="292">
          <cell r="B292">
            <v>5241</v>
          </cell>
          <cell r="C292">
            <v>134</v>
          </cell>
          <cell r="D292">
            <v>6</v>
          </cell>
          <cell r="E292">
            <v>60</v>
          </cell>
          <cell r="F292" t="str">
            <v>УПНПиКРС</v>
          </cell>
          <cell r="G292">
            <v>258</v>
          </cell>
          <cell r="H292" t="str">
            <v>ЭЦН</v>
          </cell>
          <cell r="I292" t="str">
            <v>бд</v>
          </cell>
          <cell r="J292">
            <v>34547</v>
          </cell>
          <cell r="K292">
            <v>21</v>
          </cell>
          <cell r="L292">
            <v>0.2</v>
          </cell>
          <cell r="M292">
            <v>99</v>
          </cell>
          <cell r="N292">
            <v>30</v>
          </cell>
          <cell r="O292">
            <v>12</v>
          </cell>
          <cell r="P292">
            <v>51</v>
          </cell>
          <cell r="Q292">
            <v>30</v>
          </cell>
          <cell r="R292">
            <v>12</v>
          </cell>
          <cell r="S292">
            <v>50.6</v>
          </cell>
          <cell r="T292">
            <v>37467</v>
          </cell>
          <cell r="U292" t="str">
            <v>ГРП</v>
          </cell>
          <cell r="V292">
            <v>2</v>
          </cell>
          <cell r="W292" t="str">
            <v>СО-каротаж, ПР к ГРП, ГРП ЮК-4, осв.</v>
          </cell>
          <cell r="X292" t="str">
            <v>ЭП выполнен, ЭЦН с КРБК на забое</v>
          </cell>
          <cell r="AD292">
            <v>37431</v>
          </cell>
          <cell r="AE292">
            <v>37459</v>
          </cell>
          <cell r="AF292">
            <v>28</v>
          </cell>
        </row>
        <row r="293">
          <cell r="B293">
            <v>5267</v>
          </cell>
          <cell r="C293">
            <v>134</v>
          </cell>
          <cell r="D293">
            <v>21</v>
          </cell>
          <cell r="E293">
            <v>210</v>
          </cell>
          <cell r="F293" t="str">
            <v>УПНПиКРС</v>
          </cell>
          <cell r="H293" t="str">
            <v>ЭЦН</v>
          </cell>
          <cell r="I293" t="str">
            <v>конс.</v>
          </cell>
          <cell r="N293">
            <v>50</v>
          </cell>
          <cell r="O293">
            <v>30</v>
          </cell>
          <cell r="P293">
            <v>26.5</v>
          </cell>
          <cell r="Q293">
            <v>50</v>
          </cell>
          <cell r="R293">
            <v>30</v>
          </cell>
          <cell r="S293">
            <v>25.9</v>
          </cell>
          <cell r="T293">
            <v>37466</v>
          </cell>
          <cell r="U293" t="str">
            <v>ГРП</v>
          </cell>
          <cell r="W293" t="str">
            <v>ВЦ, РИР ЮК-10, ПР к ГРП, ГРП ЮК-2, осв.</v>
          </cell>
          <cell r="Y293" t="str">
            <v xml:space="preserve">на забое ЭЦН-50/1550+103шт.60мм НКТ+кабель </v>
          </cell>
          <cell r="AD293">
            <v>37413</v>
          </cell>
          <cell r="AE293">
            <v>37427</v>
          </cell>
          <cell r="AF293">
            <v>14</v>
          </cell>
        </row>
        <row r="294">
          <cell r="B294">
            <v>5241</v>
          </cell>
          <cell r="C294">
            <v>134</v>
          </cell>
          <cell r="D294">
            <v>6</v>
          </cell>
          <cell r="E294">
            <v>60</v>
          </cell>
          <cell r="F294" t="str">
            <v>УПНПиКРС</v>
          </cell>
          <cell r="G294">
            <v>258</v>
          </cell>
          <cell r="H294" t="str">
            <v>ЭЦН</v>
          </cell>
          <cell r="I294" t="str">
            <v>бд</v>
          </cell>
          <cell r="J294">
            <v>34547</v>
          </cell>
          <cell r="K294">
            <v>21</v>
          </cell>
          <cell r="L294">
            <v>0.2</v>
          </cell>
          <cell r="M294">
            <v>99</v>
          </cell>
          <cell r="N294">
            <v>50</v>
          </cell>
          <cell r="O294">
            <v>30</v>
          </cell>
          <cell r="P294">
            <v>26.5</v>
          </cell>
          <cell r="Q294">
            <v>50</v>
          </cell>
          <cell r="R294">
            <v>30</v>
          </cell>
          <cell r="S294">
            <v>25.9</v>
          </cell>
          <cell r="T294">
            <v>37465</v>
          </cell>
          <cell r="U294" t="str">
            <v>ГРП</v>
          </cell>
          <cell r="V294">
            <v>2</v>
          </cell>
          <cell r="W294" t="str">
            <v xml:space="preserve">ВЦ, ГИС-2 ( источ. обвод.), при подтверждении воды и герм. э/колонны  </v>
          </cell>
          <cell r="X294" t="str">
            <v>ЭП выполнен, ЭЦН с КРБК на забое</v>
          </cell>
        </row>
        <row r="295">
          <cell r="AD295">
            <v>37468</v>
          </cell>
          <cell r="AE295">
            <v>37509</v>
          </cell>
          <cell r="AF295">
            <v>41</v>
          </cell>
        </row>
        <row r="296">
          <cell r="B296">
            <v>11029</v>
          </cell>
          <cell r="C296" t="str">
            <v>97б</v>
          </cell>
          <cell r="D296">
            <v>3</v>
          </cell>
          <cell r="F296" t="str">
            <v>УПНПиКРС</v>
          </cell>
          <cell r="H296" t="str">
            <v>ЭЦН</v>
          </cell>
          <cell r="I296" t="str">
            <v>бд</v>
          </cell>
          <cell r="N296">
            <v>45</v>
          </cell>
          <cell r="O296">
            <v>5.9</v>
          </cell>
          <cell r="P296">
            <v>84</v>
          </cell>
          <cell r="Q296">
            <v>45</v>
          </cell>
          <cell r="R296">
            <v>5.9</v>
          </cell>
          <cell r="S296">
            <v>83.8</v>
          </cell>
          <cell r="T296">
            <v>37522</v>
          </cell>
          <cell r="U296" t="str">
            <v>ЛА</v>
          </cell>
          <cell r="W296" t="str">
            <v>ЛА, сп.воронки (ГДИ-ЦДНГ)</v>
          </cell>
          <cell r="AD296">
            <v>37461</v>
          </cell>
          <cell r="AE296">
            <v>37517</v>
          </cell>
          <cell r="AF296">
            <v>56</v>
          </cell>
        </row>
        <row r="297">
          <cell r="B297">
            <v>5240</v>
          </cell>
          <cell r="C297">
            <v>134</v>
          </cell>
          <cell r="D297">
            <v>21</v>
          </cell>
          <cell r="F297" t="str">
            <v>УПНПиКРС</v>
          </cell>
          <cell r="H297" t="str">
            <v>ЭЦН</v>
          </cell>
          <cell r="I297" t="str">
            <v>конс.</v>
          </cell>
          <cell r="N297">
            <v>34</v>
          </cell>
          <cell r="O297">
            <v>15.5</v>
          </cell>
          <cell r="P297">
            <v>44</v>
          </cell>
          <cell r="Q297">
            <v>34</v>
          </cell>
          <cell r="R297">
            <v>15.5</v>
          </cell>
          <cell r="S297">
            <v>43.7</v>
          </cell>
          <cell r="T297">
            <v>37516</v>
          </cell>
          <cell r="U297" t="str">
            <v>ГРП</v>
          </cell>
          <cell r="W297" t="str">
            <v>ВЦ, РИР ЮК-10, ПР к ГРП, ГРП ЮК-2, осв.</v>
          </cell>
        </row>
        <row r="298">
          <cell r="B298">
            <v>5614</v>
          </cell>
          <cell r="C298">
            <v>116</v>
          </cell>
          <cell r="D298">
            <v>4</v>
          </cell>
          <cell r="F298" t="str">
            <v>УПНПиКРС</v>
          </cell>
          <cell r="H298" t="str">
            <v>нагнет.</v>
          </cell>
          <cell r="I298" t="str">
            <v>бд</v>
          </cell>
          <cell r="N298">
            <v>120</v>
          </cell>
          <cell r="Q298">
            <v>120</v>
          </cell>
          <cell r="T298" t="e">
            <v>#REF!</v>
          </cell>
          <cell r="U298" t="str">
            <v>ЛА</v>
          </cell>
          <cell r="W298" t="str">
            <v>ЛА, пуск под закачку</v>
          </cell>
        </row>
        <row r="303">
          <cell r="W303" t="str">
            <v>Отложенные:</v>
          </cell>
          <cell r="Y303" t="str">
            <v>Полёт НКТ и НГН-44</v>
          </cell>
          <cell r="AF303">
            <v>30</v>
          </cell>
          <cell r="AG303">
            <v>-51</v>
          </cell>
          <cell r="AH303">
            <v>-70</v>
          </cell>
        </row>
        <row r="304">
          <cell r="B304">
            <v>2612</v>
          </cell>
          <cell r="C304" t="str">
            <v>157б</v>
          </cell>
          <cell r="F304" t="str">
            <v>УПНПиКРС</v>
          </cell>
          <cell r="G304">
            <v>260</v>
          </cell>
          <cell r="H304" t="str">
            <v>ШГН</v>
          </cell>
          <cell r="I304" t="str">
            <v>бд</v>
          </cell>
          <cell r="J304">
            <v>36112</v>
          </cell>
          <cell r="K304">
            <v>3</v>
          </cell>
          <cell r="L304">
            <v>2.2999999999999998</v>
          </cell>
          <cell r="M304">
            <v>5</v>
          </cell>
          <cell r="N304">
            <v>10</v>
          </cell>
          <cell r="O304">
            <v>7.3</v>
          </cell>
          <cell r="P304">
            <v>10</v>
          </cell>
          <cell r="Q304">
            <v>10</v>
          </cell>
          <cell r="R304">
            <v>7.3</v>
          </cell>
          <cell r="S304">
            <v>9.9</v>
          </cell>
          <cell r="T304">
            <v>7</v>
          </cell>
          <cell r="U304" t="str">
            <v>ОПЗ</v>
          </cell>
          <cell r="W304" t="str">
            <v>Л.А. УГИС. ОПЗ НТПН.( ГРП 2631,2611) ГДИ</v>
          </cell>
          <cell r="Y304" t="str">
            <v>ОЦ</v>
          </cell>
        </row>
        <row r="305">
          <cell r="B305">
            <v>2669</v>
          </cell>
          <cell r="C305">
            <v>160</v>
          </cell>
          <cell r="H305" t="str">
            <v>ШГН</v>
          </cell>
          <cell r="I305" t="str">
            <v>бд</v>
          </cell>
          <cell r="J305">
            <v>33020</v>
          </cell>
          <cell r="N305">
            <v>15</v>
          </cell>
          <cell r="O305">
            <v>10</v>
          </cell>
          <cell r="P305">
            <v>18</v>
          </cell>
          <cell r="Q305">
            <v>15</v>
          </cell>
          <cell r="R305">
            <v>10</v>
          </cell>
          <cell r="S305">
            <v>17.7</v>
          </cell>
          <cell r="U305" t="str">
            <v>ГРП</v>
          </cell>
          <cell r="W305" t="str">
            <v>ВЦ. ИР ЮК-11, ДП ЮК-10 ГРП</v>
          </cell>
          <cell r="Y305" t="str">
            <v>Высокая обводненность</v>
          </cell>
        </row>
        <row r="306">
          <cell r="B306">
            <v>2670</v>
          </cell>
          <cell r="C306">
            <v>160</v>
          </cell>
          <cell r="H306" t="str">
            <v>ШГН</v>
          </cell>
          <cell r="I306" t="str">
            <v>конс.</v>
          </cell>
          <cell r="J306">
            <v>34274</v>
          </cell>
          <cell r="N306">
            <v>15</v>
          </cell>
          <cell r="O306">
            <v>4</v>
          </cell>
          <cell r="P306">
            <v>67</v>
          </cell>
          <cell r="Q306">
            <v>15</v>
          </cell>
          <cell r="R306">
            <v>4</v>
          </cell>
          <cell r="S306">
            <v>67.099999999999994</v>
          </cell>
          <cell r="U306" t="str">
            <v>ОПЗ</v>
          </cell>
          <cell r="W306" t="str">
            <v>ВЦ. ОПЗ НТПН ГДИ</v>
          </cell>
          <cell r="Y306" t="str">
            <v>ОЦ</v>
          </cell>
        </row>
        <row r="307">
          <cell r="B307">
            <v>2671</v>
          </cell>
          <cell r="C307">
            <v>160</v>
          </cell>
          <cell r="H307" t="str">
            <v>ШГН</v>
          </cell>
          <cell r="I307" t="str">
            <v>конс.</v>
          </cell>
          <cell r="J307">
            <v>33178</v>
          </cell>
          <cell r="N307">
            <v>10</v>
          </cell>
          <cell r="O307">
            <v>4</v>
          </cell>
          <cell r="P307">
            <v>51</v>
          </cell>
          <cell r="Q307">
            <v>10</v>
          </cell>
          <cell r="R307">
            <v>4</v>
          </cell>
          <cell r="S307">
            <v>50.6</v>
          </cell>
          <cell r="U307" t="str">
            <v>ОПЗ</v>
          </cell>
          <cell r="W307" t="str">
            <v>ВЦ. ОПЗ НТПН ГДИ</v>
          </cell>
          <cell r="Y307" t="str">
            <v>Клин</v>
          </cell>
        </row>
        <row r="308">
          <cell r="B308">
            <v>2672</v>
          </cell>
          <cell r="C308">
            <v>160</v>
          </cell>
          <cell r="H308" t="str">
            <v>ШГН</v>
          </cell>
          <cell r="I308" t="str">
            <v>бд</v>
          </cell>
          <cell r="J308">
            <v>36659</v>
          </cell>
          <cell r="N308">
            <v>5</v>
          </cell>
          <cell r="O308">
            <v>2</v>
          </cell>
          <cell r="P308">
            <v>50</v>
          </cell>
          <cell r="Q308">
            <v>5</v>
          </cell>
          <cell r="R308">
            <v>2</v>
          </cell>
          <cell r="S308">
            <v>50.6</v>
          </cell>
          <cell r="U308" t="str">
            <v>ВЦ</v>
          </cell>
          <cell r="W308" t="str">
            <v>ВЦ. ГДИ. Ревизия НН</v>
          </cell>
          <cell r="Y308" t="str">
            <v>+4</v>
          </cell>
          <cell r="Z308">
            <v>2801</v>
          </cell>
          <cell r="AA308">
            <v>73</v>
          </cell>
          <cell r="AB308">
            <v>36789</v>
          </cell>
          <cell r="AF308">
            <v>25</v>
          </cell>
        </row>
        <row r="309">
          <cell r="B309">
            <v>2681</v>
          </cell>
          <cell r="C309" t="str">
            <v>145б</v>
          </cell>
          <cell r="F309" t="str">
            <v>УПНПиКРС</v>
          </cell>
          <cell r="G309">
            <v>255</v>
          </cell>
          <cell r="H309" t="str">
            <v>ШГН</v>
          </cell>
          <cell r="I309" t="str">
            <v>бд</v>
          </cell>
          <cell r="K309">
            <v>6</v>
          </cell>
          <cell r="L309">
            <v>4</v>
          </cell>
          <cell r="M309">
            <v>18</v>
          </cell>
          <cell r="N309">
            <v>8</v>
          </cell>
          <cell r="O309">
            <v>6</v>
          </cell>
          <cell r="P309">
            <v>8</v>
          </cell>
          <cell r="Q309">
            <v>8</v>
          </cell>
          <cell r="R309">
            <v>6</v>
          </cell>
          <cell r="S309">
            <v>7.4</v>
          </cell>
          <cell r="U309" t="str">
            <v>ВВ</v>
          </cell>
          <cell r="W309" t="str">
            <v>ВЦ. ПП ДН. Ревизия ШГН</v>
          </cell>
          <cell r="Y309" t="str">
            <v>Полет НКТ</v>
          </cell>
        </row>
        <row r="310">
          <cell r="B310">
            <v>2687</v>
          </cell>
          <cell r="C310">
            <v>160</v>
          </cell>
          <cell r="H310" t="str">
            <v>фон</v>
          </cell>
          <cell r="I310" t="str">
            <v>бд</v>
          </cell>
          <cell r="J310">
            <v>32843</v>
          </cell>
          <cell r="N310">
            <v>15</v>
          </cell>
          <cell r="O310">
            <v>10</v>
          </cell>
          <cell r="P310">
            <v>18</v>
          </cell>
          <cell r="Q310">
            <v>15</v>
          </cell>
          <cell r="R310">
            <v>10</v>
          </cell>
          <cell r="S310">
            <v>17.7</v>
          </cell>
          <cell r="U310" t="str">
            <v>ГРП</v>
          </cell>
          <cell r="W310" t="str">
            <v>ЛА. ГРП</v>
          </cell>
          <cell r="Y310" t="str">
            <v>ОЦ</v>
          </cell>
        </row>
        <row r="311">
          <cell r="B311">
            <v>2689</v>
          </cell>
          <cell r="C311">
            <v>160</v>
          </cell>
          <cell r="H311" t="str">
            <v>ШГН</v>
          </cell>
          <cell r="I311" t="str">
            <v>конс.</v>
          </cell>
          <cell r="J311">
            <v>33239</v>
          </cell>
          <cell r="N311">
            <v>10</v>
          </cell>
          <cell r="O311">
            <v>3</v>
          </cell>
          <cell r="P311">
            <v>63</v>
          </cell>
          <cell r="Q311">
            <v>10</v>
          </cell>
          <cell r="R311">
            <v>3</v>
          </cell>
          <cell r="S311">
            <v>63</v>
          </cell>
          <cell r="U311" t="str">
            <v>ОПЗ</v>
          </cell>
          <cell r="W311" t="str">
            <v>ВЦ. ОПЗ НТПН УГИС. ГДИ</v>
          </cell>
          <cell r="Y311" t="str">
            <v>Полет НКТ</v>
          </cell>
        </row>
        <row r="312">
          <cell r="B312">
            <v>2690</v>
          </cell>
          <cell r="C312">
            <v>160</v>
          </cell>
          <cell r="H312" t="str">
            <v>ШГН</v>
          </cell>
          <cell r="I312" t="str">
            <v>бд</v>
          </cell>
          <cell r="J312">
            <v>32825</v>
          </cell>
          <cell r="N312">
            <v>12</v>
          </cell>
          <cell r="O312">
            <v>7</v>
          </cell>
          <cell r="P312">
            <v>28</v>
          </cell>
          <cell r="Q312">
            <v>12</v>
          </cell>
          <cell r="R312">
            <v>7</v>
          </cell>
          <cell r="S312">
            <v>28</v>
          </cell>
          <cell r="U312" t="str">
            <v>ЛА</v>
          </cell>
          <cell r="W312" t="str">
            <v>ЛА. ИДН.сп.НН</v>
          </cell>
          <cell r="Y312" t="str">
            <v>+35</v>
          </cell>
          <cell r="Z312">
            <v>2832</v>
          </cell>
          <cell r="AA312">
            <v>73</v>
          </cell>
          <cell r="AB312">
            <v>34194</v>
          </cell>
          <cell r="AF312">
            <v>25</v>
          </cell>
        </row>
        <row r="313">
          <cell r="B313">
            <v>2702</v>
          </cell>
          <cell r="C313" t="str">
            <v>145б</v>
          </cell>
          <cell r="F313" t="str">
            <v>УПНПиКРС</v>
          </cell>
          <cell r="G313">
            <v>275</v>
          </cell>
          <cell r="H313" t="str">
            <v>ЭЦН</v>
          </cell>
          <cell r="I313" t="str">
            <v>бд</v>
          </cell>
          <cell r="K313">
            <v>45</v>
          </cell>
          <cell r="L313">
            <v>2.2000000000000002</v>
          </cell>
          <cell r="M313">
            <v>94</v>
          </cell>
          <cell r="N313">
            <v>50</v>
          </cell>
          <cell r="O313">
            <v>4</v>
          </cell>
          <cell r="P313">
            <v>90.1</v>
          </cell>
          <cell r="Q313">
            <v>50</v>
          </cell>
          <cell r="R313">
            <v>4</v>
          </cell>
          <cell r="S313">
            <v>90.1</v>
          </cell>
          <cell r="U313" t="str">
            <v>ВЦ</v>
          </cell>
          <cell r="W313" t="str">
            <v>ВЦ. ГДИ. УГИС. Спуск ЭЦН</v>
          </cell>
          <cell r="Y313" t="str">
            <v>ОЦ. Клин</v>
          </cell>
        </row>
        <row r="314">
          <cell r="B314">
            <v>2706</v>
          </cell>
          <cell r="C314">
            <v>160</v>
          </cell>
          <cell r="H314" t="str">
            <v>ШГН</v>
          </cell>
          <cell r="I314" t="str">
            <v>бд</v>
          </cell>
          <cell r="J314">
            <v>36869</v>
          </cell>
          <cell r="N314">
            <v>6</v>
          </cell>
          <cell r="O314">
            <v>4</v>
          </cell>
          <cell r="P314">
            <v>19</v>
          </cell>
          <cell r="Q314">
            <v>6</v>
          </cell>
          <cell r="R314">
            <v>4</v>
          </cell>
          <cell r="S314">
            <v>17.7</v>
          </cell>
          <cell r="U314" t="str">
            <v>ВЦ</v>
          </cell>
          <cell r="W314" t="str">
            <v>ВЦ. Рев.НН</v>
          </cell>
          <cell r="Y314" t="str">
            <v>ОЦ</v>
          </cell>
        </row>
        <row r="315">
          <cell r="B315">
            <v>2707</v>
          </cell>
          <cell r="C315">
            <v>160</v>
          </cell>
          <cell r="H315" t="str">
            <v>ШГН</v>
          </cell>
          <cell r="I315" t="str">
            <v>конс.</v>
          </cell>
          <cell r="J315">
            <v>32843</v>
          </cell>
          <cell r="N315">
            <v>15</v>
          </cell>
          <cell r="O315">
            <v>4</v>
          </cell>
          <cell r="P315">
            <v>67</v>
          </cell>
          <cell r="Q315">
            <v>15</v>
          </cell>
          <cell r="R315">
            <v>4</v>
          </cell>
          <cell r="S315">
            <v>67.099999999999994</v>
          </cell>
          <cell r="U315" t="str">
            <v>ОПЗ</v>
          </cell>
          <cell r="W315" t="str">
            <v>ВЦ. ОПЗ НТПН ГДИ</v>
          </cell>
          <cell r="Y315" t="str">
            <v>ОЦ. Нет подачи</v>
          </cell>
        </row>
        <row r="316">
          <cell r="B316">
            <v>2708</v>
          </cell>
          <cell r="C316">
            <v>160</v>
          </cell>
          <cell r="H316" t="str">
            <v>ШГН</v>
          </cell>
          <cell r="I316" t="str">
            <v>бд</v>
          </cell>
          <cell r="J316">
            <v>36856</v>
          </cell>
          <cell r="N316">
            <v>6</v>
          </cell>
          <cell r="O316">
            <v>4</v>
          </cell>
          <cell r="P316">
            <v>18</v>
          </cell>
          <cell r="Q316">
            <v>6</v>
          </cell>
          <cell r="R316">
            <v>4</v>
          </cell>
          <cell r="S316">
            <v>17.7</v>
          </cell>
          <cell r="U316" t="str">
            <v>ОПЗ</v>
          </cell>
          <cell r="W316" t="str">
            <v>ВЦ. ИДН. НН</v>
          </cell>
          <cell r="AF316">
            <v>21</v>
          </cell>
        </row>
        <row r="317">
          <cell r="B317">
            <v>2729</v>
          </cell>
          <cell r="C317">
            <v>144</v>
          </cell>
          <cell r="E317">
            <v>1</v>
          </cell>
          <cell r="F317" t="str">
            <v>УПНПиКРС</v>
          </cell>
          <cell r="G317">
            <v>295</v>
          </cell>
          <cell r="H317" t="str">
            <v>нагнет.</v>
          </cell>
          <cell r="I317" t="str">
            <v>конс.</v>
          </cell>
          <cell r="J317">
            <v>33879</v>
          </cell>
          <cell r="N317">
            <v>100</v>
          </cell>
          <cell r="Q317">
            <v>100</v>
          </cell>
          <cell r="T317">
            <v>3</v>
          </cell>
          <cell r="U317" t="str">
            <v>нг</v>
          </cell>
          <cell r="W317" t="str">
            <v>Увеличение приём. спуск пакера</v>
          </cell>
          <cell r="Y317" t="str">
            <v>+22</v>
          </cell>
          <cell r="Z317">
            <v>2998</v>
          </cell>
          <cell r="AA317">
            <v>73</v>
          </cell>
          <cell r="AB317">
            <v>33878</v>
          </cell>
          <cell r="AF317">
            <v>21</v>
          </cell>
          <cell r="AG317">
            <v>-42</v>
          </cell>
          <cell r="AH317">
            <v>-99</v>
          </cell>
        </row>
        <row r="318">
          <cell r="B318">
            <v>2757</v>
          </cell>
          <cell r="C318">
            <v>144</v>
          </cell>
          <cell r="E318">
            <v>58</v>
          </cell>
          <cell r="F318" t="str">
            <v>УПНПиКРС</v>
          </cell>
          <cell r="G318">
            <v>270</v>
          </cell>
          <cell r="H318" t="str">
            <v>ШГН</v>
          </cell>
          <cell r="I318" t="str">
            <v>действ.</v>
          </cell>
          <cell r="K318">
            <v>0.8</v>
          </cell>
          <cell r="L318">
            <v>0.1</v>
          </cell>
          <cell r="M318">
            <v>91</v>
          </cell>
          <cell r="N318">
            <v>15</v>
          </cell>
          <cell r="O318">
            <v>6.1</v>
          </cell>
          <cell r="P318">
            <v>50.5</v>
          </cell>
          <cell r="Q318">
            <v>14.2</v>
          </cell>
          <cell r="R318">
            <v>6</v>
          </cell>
          <cell r="S318">
            <v>47.8</v>
          </cell>
          <cell r="T318">
            <v>7</v>
          </cell>
          <cell r="U318" t="str">
            <v>ОПЗ</v>
          </cell>
          <cell r="W318" t="str">
            <v>ГДИ. ПП (п."а"). ОПЗ КСПЭО. ГДИ</v>
          </cell>
          <cell r="X318" t="str">
            <v>Пока отложить</v>
          </cell>
          <cell r="Y318" t="str">
            <v>перкрыт ИП-16м, откр.- 8 м</v>
          </cell>
          <cell r="Z318">
            <v>2830</v>
          </cell>
          <cell r="AA318">
            <v>73</v>
          </cell>
          <cell r="AF318">
            <v>22</v>
          </cell>
          <cell r="AG318">
            <v>-69</v>
          </cell>
          <cell r="AH318">
            <v>-140</v>
          </cell>
        </row>
        <row r="319">
          <cell r="B319">
            <v>2758</v>
          </cell>
          <cell r="C319">
            <v>144</v>
          </cell>
          <cell r="E319">
            <v>55</v>
          </cell>
          <cell r="F319" t="str">
            <v>УПНПиКРС</v>
          </cell>
          <cell r="G319">
            <v>270</v>
          </cell>
          <cell r="H319" t="str">
            <v>ШГН</v>
          </cell>
          <cell r="I319" t="str">
            <v>конс.</v>
          </cell>
          <cell r="J319">
            <v>34425</v>
          </cell>
          <cell r="K319">
            <v>11</v>
          </cell>
          <cell r="L319">
            <v>0.7</v>
          </cell>
          <cell r="M319">
            <v>92</v>
          </cell>
          <cell r="N319">
            <v>20</v>
          </cell>
          <cell r="O319">
            <v>9.8000000000000007</v>
          </cell>
          <cell r="P319">
            <v>40</v>
          </cell>
          <cell r="Q319">
            <v>20</v>
          </cell>
          <cell r="R319">
            <v>9.8000000000000007</v>
          </cell>
          <cell r="S319">
            <v>39.5</v>
          </cell>
          <cell r="T319">
            <v>7</v>
          </cell>
          <cell r="U319" t="str">
            <v>ГРП</v>
          </cell>
          <cell r="W319" t="str">
            <v>РИР низа ЮК-10. ГРП</v>
          </cell>
          <cell r="X319" t="str">
            <v>Необходима СК</v>
          </cell>
          <cell r="Y319" t="str">
            <v>На забое НКТ (КРС-97 и 00)</v>
          </cell>
          <cell r="AF319">
            <v>38</v>
          </cell>
          <cell r="AG319">
            <v>-70</v>
          </cell>
          <cell r="AH319">
            <v>-126</v>
          </cell>
        </row>
        <row r="320">
          <cell r="B320">
            <v>2788</v>
          </cell>
          <cell r="C320">
            <v>144</v>
          </cell>
          <cell r="E320">
            <v>57</v>
          </cell>
          <cell r="F320" t="str">
            <v>УПНПиКРС</v>
          </cell>
          <cell r="G320">
            <v>270</v>
          </cell>
          <cell r="H320" t="str">
            <v>ШГН</v>
          </cell>
          <cell r="I320" t="str">
            <v>бд</v>
          </cell>
          <cell r="J320">
            <v>36630</v>
          </cell>
          <cell r="K320">
            <v>2</v>
          </cell>
          <cell r="L320">
            <v>1.4</v>
          </cell>
          <cell r="M320">
            <v>15</v>
          </cell>
          <cell r="N320">
            <v>18</v>
          </cell>
          <cell r="O320">
            <v>10</v>
          </cell>
          <cell r="P320">
            <v>31.5</v>
          </cell>
          <cell r="Q320">
            <v>18</v>
          </cell>
          <cell r="R320">
            <v>10</v>
          </cell>
          <cell r="S320">
            <v>31.4</v>
          </cell>
          <cell r="T320">
            <v>7</v>
          </cell>
          <cell r="W320" t="str">
            <v>ЛА. ПР ГРП. ГРП</v>
          </cell>
          <cell r="X320" t="str">
            <v>КРС-2000 не завершен</v>
          </cell>
          <cell r="Y320" t="str">
            <v>Прихват печати (ПРС)</v>
          </cell>
          <cell r="AF320">
            <v>22</v>
          </cell>
          <cell r="AG320">
            <v>-32</v>
          </cell>
          <cell r="AH320">
            <v>-42</v>
          </cell>
        </row>
        <row r="321">
          <cell r="B321">
            <v>2789</v>
          </cell>
          <cell r="C321">
            <v>144</v>
          </cell>
          <cell r="E321">
            <v>58</v>
          </cell>
          <cell r="F321" t="str">
            <v>УПНПиКРС</v>
          </cell>
          <cell r="G321">
            <v>285</v>
          </cell>
          <cell r="H321" t="str">
            <v>ШГН</v>
          </cell>
          <cell r="I321" t="str">
            <v>бд</v>
          </cell>
          <cell r="J321">
            <v>34246</v>
          </cell>
          <cell r="N321">
            <v>6</v>
          </cell>
          <cell r="O321">
            <v>4.5</v>
          </cell>
          <cell r="P321">
            <v>8</v>
          </cell>
          <cell r="Q321">
            <v>6</v>
          </cell>
          <cell r="R321">
            <v>4.5</v>
          </cell>
          <cell r="S321">
            <v>7.4</v>
          </cell>
          <cell r="T321">
            <v>7</v>
          </cell>
          <cell r="U321" t="str">
            <v>ЛА</v>
          </cell>
          <cell r="W321" t="str">
            <v>Ликв.прихвата. ПП на депресии</v>
          </cell>
          <cell r="Y321" t="str">
            <v>+44</v>
          </cell>
          <cell r="Z321">
            <v>2860</v>
          </cell>
          <cell r="AA321">
            <v>73</v>
          </cell>
          <cell r="AF321">
            <v>17</v>
          </cell>
        </row>
        <row r="322">
          <cell r="B322">
            <v>2790</v>
          </cell>
          <cell r="C322">
            <v>144</v>
          </cell>
          <cell r="F322" t="str">
            <v>УПНПиКРС</v>
          </cell>
          <cell r="G322">
            <v>295</v>
          </cell>
          <cell r="H322" t="str">
            <v>нагнет.</v>
          </cell>
          <cell r="I322" t="str">
            <v>действ.</v>
          </cell>
          <cell r="N322">
            <v>150</v>
          </cell>
          <cell r="Q322">
            <v>150</v>
          </cell>
          <cell r="U322" t="str">
            <v>нг</v>
          </cell>
          <cell r="W322" t="str">
            <v>ГИС-3. ВПП ГАЛКА</v>
          </cell>
          <cell r="X322" t="str">
            <v>ГИС-3 уточнить отдельно</v>
          </cell>
          <cell r="Y322" t="str">
            <v>Прихват печати (ПРС)</v>
          </cell>
          <cell r="AF322">
            <v>26</v>
          </cell>
          <cell r="AG322">
            <v>-119</v>
          </cell>
          <cell r="AH322">
            <v>-182</v>
          </cell>
        </row>
        <row r="323">
          <cell r="B323">
            <v>2792</v>
          </cell>
          <cell r="C323">
            <v>144</v>
          </cell>
          <cell r="E323">
            <v>1</v>
          </cell>
          <cell r="F323" t="str">
            <v>УПНПиКРС</v>
          </cell>
          <cell r="G323">
            <v>285</v>
          </cell>
          <cell r="H323" t="str">
            <v>ШГН</v>
          </cell>
          <cell r="I323" t="str">
            <v>действ.</v>
          </cell>
          <cell r="J323">
            <v>0</v>
          </cell>
          <cell r="K323">
            <v>14</v>
          </cell>
          <cell r="L323">
            <v>9.1</v>
          </cell>
          <cell r="M323">
            <v>20</v>
          </cell>
          <cell r="N323">
            <v>40</v>
          </cell>
          <cell r="O323">
            <v>26.1</v>
          </cell>
          <cell r="P323">
            <v>20</v>
          </cell>
          <cell r="Q323">
            <v>26</v>
          </cell>
          <cell r="R323">
            <v>17</v>
          </cell>
          <cell r="S323">
            <v>19.3</v>
          </cell>
          <cell r="T323">
            <v>7</v>
          </cell>
          <cell r="U323" t="str">
            <v>ГРП</v>
          </cell>
          <cell r="W323" t="str">
            <v>ПР ГРП. ГРП ЮК-10</v>
          </cell>
          <cell r="X323" t="str">
            <v>ГРП повторный</v>
          </cell>
          <cell r="AF323">
            <v>10</v>
          </cell>
        </row>
        <row r="324">
          <cell r="B324">
            <v>2802</v>
          </cell>
          <cell r="C324" t="str">
            <v>166б</v>
          </cell>
          <cell r="E324">
            <v>71</v>
          </cell>
          <cell r="F324" t="str">
            <v>ЗАО "УПКРС"</v>
          </cell>
          <cell r="G324">
            <v>290</v>
          </cell>
          <cell r="H324" t="str">
            <v>нагнет.</v>
          </cell>
          <cell r="I324" t="str">
            <v>бд</v>
          </cell>
          <cell r="J324">
            <v>36725</v>
          </cell>
          <cell r="N324">
            <v>100</v>
          </cell>
          <cell r="Q324">
            <v>100</v>
          </cell>
          <cell r="T324">
            <v>3</v>
          </cell>
          <cell r="U324" t="str">
            <v>нг</v>
          </cell>
          <cell r="V324">
            <v>1</v>
          </cell>
          <cell r="W324" t="str">
            <v>Ревизия и привязка пакера, каверномер.</v>
          </cell>
          <cell r="Y324" t="str">
            <v>+18</v>
          </cell>
          <cell r="Z324">
            <v>3010</v>
          </cell>
          <cell r="AA324">
            <v>73</v>
          </cell>
          <cell r="AB324">
            <v>34820</v>
          </cell>
          <cell r="AF324">
            <v>27</v>
          </cell>
          <cell r="AG324">
            <v>0</v>
          </cell>
          <cell r="AH324">
            <v>0</v>
          </cell>
        </row>
        <row r="325">
          <cell r="B325">
            <v>2818</v>
          </cell>
          <cell r="C325">
            <v>144</v>
          </cell>
          <cell r="E325">
            <v>56</v>
          </cell>
          <cell r="F325" t="str">
            <v>УПНПиКРС</v>
          </cell>
          <cell r="G325">
            <v>255</v>
          </cell>
          <cell r="H325" t="str">
            <v>ШГН</v>
          </cell>
          <cell r="I325" t="str">
            <v>конс.</v>
          </cell>
          <cell r="J325">
            <v>33239</v>
          </cell>
          <cell r="N325">
            <v>8</v>
          </cell>
          <cell r="O325">
            <v>4</v>
          </cell>
          <cell r="P325">
            <v>39</v>
          </cell>
          <cell r="Q325">
            <v>8</v>
          </cell>
          <cell r="R325">
            <v>4</v>
          </cell>
          <cell r="S325">
            <v>38.299999999999997</v>
          </cell>
          <cell r="U325" t="str">
            <v>ОПЗ</v>
          </cell>
          <cell r="W325" t="str">
            <v>ВЦ. ГИС-2. ПП. ОПЗ. КСПЭО</v>
          </cell>
          <cell r="X325" t="str">
            <v>Возможна РИР ЗКЦ</v>
          </cell>
          <cell r="Y325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325">
            <v>37</v>
          </cell>
        </row>
        <row r="326">
          <cell r="B326">
            <v>2836</v>
          </cell>
          <cell r="C326">
            <v>125</v>
          </cell>
          <cell r="H326" t="str">
            <v>ШГН</v>
          </cell>
          <cell r="I326" t="str">
            <v>конс.</v>
          </cell>
          <cell r="J326">
            <v>35684</v>
          </cell>
          <cell r="K326">
            <v>4</v>
          </cell>
          <cell r="L326">
            <v>1.1000000000000001</v>
          </cell>
          <cell r="M326">
            <v>66</v>
          </cell>
          <cell r="N326">
            <v>20</v>
          </cell>
          <cell r="O326">
            <v>8.1999999999999993</v>
          </cell>
          <cell r="P326">
            <v>50</v>
          </cell>
          <cell r="Q326">
            <v>20</v>
          </cell>
          <cell r="R326">
            <v>8.1999999999999993</v>
          </cell>
          <cell r="S326">
            <v>49.4</v>
          </cell>
          <cell r="T326">
            <v>37270</v>
          </cell>
          <cell r="U326" t="str">
            <v>ГРП</v>
          </cell>
          <cell r="W326" t="str">
            <v>Ликвидация аварии, ИР ЮК-10, пр и ГРП ЮК-2-5</v>
          </cell>
          <cell r="AF326">
            <v>25</v>
          </cell>
        </row>
        <row r="327">
          <cell r="B327">
            <v>2848</v>
          </cell>
          <cell r="C327">
            <v>129</v>
          </cell>
          <cell r="E327">
            <v>1</v>
          </cell>
          <cell r="F327" t="str">
            <v>ЗАО "УПКРС"</v>
          </cell>
          <cell r="G327">
            <v>260</v>
          </cell>
          <cell r="H327" t="str">
            <v>ЭЦН</v>
          </cell>
          <cell r="K327">
            <v>29</v>
          </cell>
          <cell r="L327">
            <v>0.2</v>
          </cell>
          <cell r="M327">
            <v>99</v>
          </cell>
          <cell r="N327">
            <v>30</v>
          </cell>
          <cell r="O327">
            <v>3.5</v>
          </cell>
          <cell r="P327">
            <v>85.5</v>
          </cell>
          <cell r="Q327">
            <v>30</v>
          </cell>
          <cell r="R327">
            <v>3.5</v>
          </cell>
          <cell r="S327">
            <v>85.6</v>
          </cell>
          <cell r="T327">
            <v>7</v>
          </cell>
          <cell r="U327" t="str">
            <v>ОПЗ</v>
          </cell>
          <cell r="W327" t="str">
            <v>ВЦ. ПП (ОПЗ УГИС)</v>
          </cell>
          <cell r="AF327">
            <v>36</v>
          </cell>
          <cell r="AG327">
            <v>452448</v>
          </cell>
          <cell r="AH327">
            <v>1508160</v>
          </cell>
        </row>
        <row r="328">
          <cell r="B328">
            <v>2849</v>
          </cell>
          <cell r="C328">
            <v>129</v>
          </cell>
          <cell r="E328">
            <v>2</v>
          </cell>
          <cell r="F328" t="str">
            <v>ЗАО "УПКРС"</v>
          </cell>
          <cell r="G328">
            <v>255</v>
          </cell>
          <cell r="H328" t="str">
            <v>ШГН</v>
          </cell>
          <cell r="I328" t="str">
            <v>конс.</v>
          </cell>
          <cell r="J328">
            <v>35705</v>
          </cell>
          <cell r="N328">
            <v>40</v>
          </cell>
          <cell r="O328">
            <v>12</v>
          </cell>
          <cell r="P328">
            <v>63.2</v>
          </cell>
          <cell r="Q328">
            <v>40</v>
          </cell>
          <cell r="R328">
            <v>12</v>
          </cell>
          <cell r="S328">
            <v>63</v>
          </cell>
          <cell r="T328">
            <v>7</v>
          </cell>
          <cell r="U328" t="str">
            <v>ГРП</v>
          </cell>
          <cell r="V328">
            <v>4</v>
          </cell>
          <cell r="W328" t="str">
            <v>ВЦ. ВЗ. ПП ГРП ЮК-10. ГДИ</v>
          </cell>
          <cell r="AF328">
            <v>13</v>
          </cell>
          <cell r="AG328">
            <v>-81</v>
          </cell>
          <cell r="AH328">
            <v>-259</v>
          </cell>
        </row>
        <row r="329">
          <cell r="B329">
            <v>2850</v>
          </cell>
          <cell r="C329">
            <v>129</v>
          </cell>
          <cell r="E329">
            <v>3</v>
          </cell>
          <cell r="F329" t="str">
            <v>ЗАО "УПКРС"</v>
          </cell>
          <cell r="G329">
            <v>230</v>
          </cell>
          <cell r="H329" t="str">
            <v>ШГН</v>
          </cell>
          <cell r="I329" t="str">
            <v>действ.</v>
          </cell>
          <cell r="J329">
            <v>0</v>
          </cell>
          <cell r="K329">
            <v>3</v>
          </cell>
          <cell r="L329">
            <v>1.5</v>
          </cell>
          <cell r="M329">
            <v>40</v>
          </cell>
          <cell r="N329">
            <v>40</v>
          </cell>
          <cell r="O329">
            <v>13</v>
          </cell>
          <cell r="P329">
            <v>60</v>
          </cell>
          <cell r="Q329">
            <v>37</v>
          </cell>
          <cell r="R329">
            <v>11.5</v>
          </cell>
          <cell r="S329">
            <v>61.6</v>
          </cell>
          <cell r="T329">
            <v>7</v>
          </cell>
          <cell r="U329" t="str">
            <v>ГРП</v>
          </cell>
          <cell r="W329" t="str">
            <v>ПР ГРП. ГРП. ЮК-10 ЭЦН-50</v>
          </cell>
          <cell r="X329" t="str">
            <v>Дважды перфорирована</v>
          </cell>
          <cell r="AF329">
            <v>32</v>
          </cell>
        </row>
        <row r="330">
          <cell r="B330">
            <v>2858</v>
          </cell>
          <cell r="C330">
            <v>42</v>
          </cell>
          <cell r="F330" t="str">
            <v>ЗАО "УПКРС"</v>
          </cell>
          <cell r="G330">
            <v>240</v>
          </cell>
          <cell r="H330" t="str">
            <v>ШГН</v>
          </cell>
          <cell r="I330" t="str">
            <v>бд</v>
          </cell>
          <cell r="J330">
            <v>35455</v>
          </cell>
          <cell r="N330">
            <v>12</v>
          </cell>
          <cell r="O330">
            <v>4.9000000000000004</v>
          </cell>
          <cell r="P330">
            <v>50</v>
          </cell>
          <cell r="Q330">
            <v>12</v>
          </cell>
          <cell r="R330">
            <v>4.9000000000000004</v>
          </cell>
          <cell r="S330">
            <v>49.6</v>
          </cell>
          <cell r="T330">
            <v>7</v>
          </cell>
          <cell r="U330" t="str">
            <v>ОПЗ</v>
          </cell>
          <cell r="W330" t="str">
            <v>ВЦ, ПП, ОПЗ НТПН, УГИС</v>
          </cell>
          <cell r="AF330">
            <v>35</v>
          </cell>
          <cell r="AG330">
            <v>-163684</v>
          </cell>
        </row>
        <row r="331">
          <cell r="B331">
            <v>2861</v>
          </cell>
          <cell r="C331">
            <v>127</v>
          </cell>
          <cell r="H331" t="str">
            <v>ШГН</v>
          </cell>
          <cell r="I331" t="str">
            <v>бд</v>
          </cell>
          <cell r="J331">
            <v>37018</v>
          </cell>
          <cell r="K331">
            <v>0</v>
          </cell>
          <cell r="L331">
            <v>0</v>
          </cell>
          <cell r="M331">
            <v>0</v>
          </cell>
          <cell r="N331">
            <v>40</v>
          </cell>
          <cell r="O331">
            <v>6.5</v>
          </cell>
          <cell r="P331">
            <v>80</v>
          </cell>
          <cell r="Q331">
            <v>40</v>
          </cell>
          <cell r="R331">
            <v>6.5</v>
          </cell>
          <cell r="S331">
            <v>79.900000000000006</v>
          </cell>
          <cell r="T331">
            <v>37268</v>
          </cell>
          <cell r="U331" t="str">
            <v>ОПЗ</v>
          </cell>
          <cell r="W331" t="str">
            <v>ВЦ, ГИС(ЗКЦ). Ликв.ЗКЦ ПП через УГИС в кислотной среде</v>
          </cell>
          <cell r="AD331">
            <v>37551</v>
          </cell>
          <cell r="AE331">
            <v>37572</v>
          </cell>
        </row>
        <row r="332">
          <cell r="B332">
            <v>3079</v>
          </cell>
          <cell r="C332">
            <v>51</v>
          </cell>
          <cell r="F332" t="str">
            <v>УПНП</v>
          </cell>
          <cell r="G332">
            <v>265</v>
          </cell>
          <cell r="H332" t="str">
            <v>ЭЦН</v>
          </cell>
          <cell r="I332" t="str">
            <v>конс.</v>
          </cell>
          <cell r="J332">
            <v>33635</v>
          </cell>
          <cell r="K332">
            <v>0</v>
          </cell>
          <cell r="L332">
            <v>0</v>
          </cell>
          <cell r="M332">
            <v>0</v>
          </cell>
          <cell r="N332">
            <v>50</v>
          </cell>
          <cell r="O332">
            <v>11</v>
          </cell>
          <cell r="P332">
            <v>73</v>
          </cell>
          <cell r="Q332">
            <v>50</v>
          </cell>
          <cell r="R332">
            <v>11</v>
          </cell>
          <cell r="S332">
            <v>72.8</v>
          </cell>
          <cell r="U332" t="str">
            <v>ВВ</v>
          </cell>
          <cell r="W332" t="str">
            <v>ВЦ,ВЗ,ДП ЮК-10</v>
          </cell>
          <cell r="AF332">
            <v>21</v>
          </cell>
        </row>
        <row r="333">
          <cell r="AF333">
            <v>29</v>
          </cell>
          <cell r="AG333">
            <v>-18</v>
          </cell>
          <cell r="AH333">
            <v>-112</v>
          </cell>
        </row>
        <row r="334">
          <cell r="B334">
            <v>2866</v>
          </cell>
          <cell r="C334">
            <v>131</v>
          </cell>
          <cell r="E334" t="e">
            <v>#REF!</v>
          </cell>
          <cell r="F334" t="str">
            <v>ЗАО "УПКРС"</v>
          </cell>
          <cell r="G334">
            <v>250</v>
          </cell>
          <cell r="H334" t="str">
            <v>ЭЦН</v>
          </cell>
          <cell r="I334" t="str">
            <v>конс.</v>
          </cell>
          <cell r="J334">
            <v>34883</v>
          </cell>
          <cell r="N334">
            <v>16</v>
          </cell>
          <cell r="O334">
            <v>2.5</v>
          </cell>
          <cell r="P334">
            <v>81</v>
          </cell>
          <cell r="Q334">
            <v>16</v>
          </cell>
          <cell r="R334">
            <v>2.5</v>
          </cell>
          <cell r="S334">
            <v>80.7</v>
          </cell>
          <cell r="T334">
            <v>7</v>
          </cell>
          <cell r="U334" t="str">
            <v>ЛА</v>
          </cell>
          <cell r="W334" t="str">
            <v>ЛА. РИР ЮК-11. ПП. Сваб (УГИС)</v>
          </cell>
          <cell r="AF334">
            <v>50</v>
          </cell>
          <cell r="AG334">
            <v>452088</v>
          </cell>
          <cell r="AH334">
            <v>1506960</v>
          </cell>
        </row>
        <row r="335">
          <cell r="B335">
            <v>2869</v>
          </cell>
          <cell r="C335">
            <v>129</v>
          </cell>
          <cell r="E335" t="e">
            <v>#REF!</v>
          </cell>
          <cell r="F335" t="str">
            <v>ЗАО "УПКРС"</v>
          </cell>
          <cell r="G335">
            <v>255</v>
          </cell>
          <cell r="H335" t="str">
            <v>ЭЦН</v>
          </cell>
          <cell r="I335" t="str">
            <v>конс.</v>
          </cell>
          <cell r="J335">
            <v>34912</v>
          </cell>
          <cell r="N335">
            <v>40</v>
          </cell>
          <cell r="O335">
            <v>12</v>
          </cell>
          <cell r="P335">
            <v>63.3</v>
          </cell>
          <cell r="Q335">
            <v>40</v>
          </cell>
          <cell r="R335">
            <v>12</v>
          </cell>
          <cell r="S335">
            <v>63</v>
          </cell>
          <cell r="T335">
            <v>7</v>
          </cell>
          <cell r="U335" t="str">
            <v>ГРП</v>
          </cell>
          <cell r="V335">
            <v>3</v>
          </cell>
          <cell r="W335" t="str">
            <v>ЛА. РИР ЮК-11. ПП.ГРП</v>
          </cell>
          <cell r="AF335">
            <v>25</v>
          </cell>
        </row>
        <row r="336">
          <cell r="B336">
            <v>2877</v>
          </cell>
          <cell r="C336">
            <v>42</v>
          </cell>
          <cell r="F336" t="str">
            <v>ЗАО "УПКРС"</v>
          </cell>
          <cell r="G336">
            <v>250</v>
          </cell>
          <cell r="H336" t="str">
            <v>ШГН</v>
          </cell>
          <cell r="I336" t="str">
            <v>бд</v>
          </cell>
          <cell r="J336">
            <v>36895</v>
          </cell>
          <cell r="N336">
            <v>30</v>
          </cell>
          <cell r="O336">
            <v>10</v>
          </cell>
          <cell r="P336">
            <v>59</v>
          </cell>
          <cell r="Q336">
            <v>30</v>
          </cell>
          <cell r="R336">
            <v>10</v>
          </cell>
          <cell r="S336">
            <v>58.8</v>
          </cell>
          <cell r="T336">
            <v>7</v>
          </cell>
          <cell r="U336" t="str">
            <v>ГРП</v>
          </cell>
          <cell r="W336" t="str">
            <v>ПР к ГРП, ГРП</v>
          </cell>
          <cell r="AF336">
            <v>30</v>
          </cell>
        </row>
        <row r="337">
          <cell r="B337">
            <v>2878</v>
          </cell>
          <cell r="C337">
            <v>42</v>
          </cell>
          <cell r="F337" t="str">
            <v>ЗАО "УПКРС"</v>
          </cell>
          <cell r="G337">
            <v>260</v>
          </cell>
          <cell r="H337" t="str">
            <v>ШГН</v>
          </cell>
          <cell r="I337" t="str">
            <v>действ.</v>
          </cell>
          <cell r="K337">
            <v>5</v>
          </cell>
          <cell r="L337">
            <v>1.1000000000000001</v>
          </cell>
          <cell r="M337">
            <v>73</v>
          </cell>
          <cell r="N337">
            <v>30</v>
          </cell>
          <cell r="O337">
            <v>10</v>
          </cell>
          <cell r="P337">
            <v>59</v>
          </cell>
          <cell r="Q337">
            <v>25</v>
          </cell>
          <cell r="R337">
            <v>8.9</v>
          </cell>
          <cell r="S337">
            <v>56</v>
          </cell>
          <cell r="T337">
            <v>7</v>
          </cell>
          <cell r="U337" t="str">
            <v>ГРП</v>
          </cell>
          <cell r="W337" t="str">
            <v>ПР к ГРП, ГРП(повторное) (ОПЗ НТПН)</v>
          </cell>
        </row>
        <row r="340">
          <cell r="B340">
            <v>2884</v>
          </cell>
          <cell r="C340">
            <v>131</v>
          </cell>
          <cell r="F340" t="str">
            <v>УПНПиКРС</v>
          </cell>
          <cell r="G340">
            <v>280</v>
          </cell>
          <cell r="H340" t="str">
            <v>ЭЦН</v>
          </cell>
          <cell r="I340" t="str">
            <v>действ.</v>
          </cell>
          <cell r="K340">
            <v>40</v>
          </cell>
          <cell r="L340">
            <v>3.9</v>
          </cell>
          <cell r="M340">
            <v>88</v>
          </cell>
          <cell r="N340">
            <v>50</v>
          </cell>
          <cell r="O340">
            <v>5.9</v>
          </cell>
          <cell r="P340">
            <v>85.5</v>
          </cell>
          <cell r="Q340">
            <v>10</v>
          </cell>
          <cell r="R340">
            <v>2.0000000000000004</v>
          </cell>
          <cell r="S340">
            <v>75.3</v>
          </cell>
          <cell r="U340" t="str">
            <v>ОВП</v>
          </cell>
          <cell r="W340" t="str">
            <v>ГИС-2. ОВП МЕТКА</v>
          </cell>
          <cell r="X340" t="str">
            <v>ИХН АН</v>
          </cell>
          <cell r="AF340">
            <v>21</v>
          </cell>
        </row>
        <row r="341">
          <cell r="B341">
            <v>2884</v>
          </cell>
          <cell r="C341">
            <v>131</v>
          </cell>
          <cell r="E341">
            <v>1</v>
          </cell>
          <cell r="F341" t="str">
            <v>ЗАО "УПКРС"</v>
          </cell>
          <cell r="G341">
            <v>260</v>
          </cell>
          <cell r="H341" t="str">
            <v>ЭЦН</v>
          </cell>
          <cell r="I341" t="str">
            <v>действ.</v>
          </cell>
          <cell r="K341">
            <v>30</v>
          </cell>
          <cell r="L341">
            <v>1.5</v>
          </cell>
          <cell r="M341">
            <v>94</v>
          </cell>
          <cell r="N341">
            <v>50</v>
          </cell>
          <cell r="O341">
            <v>4.5</v>
          </cell>
          <cell r="P341">
            <v>89</v>
          </cell>
          <cell r="Q341">
            <v>20</v>
          </cell>
          <cell r="R341">
            <v>3</v>
          </cell>
          <cell r="S341">
            <v>81.5</v>
          </cell>
          <cell r="T341">
            <v>7</v>
          </cell>
          <cell r="U341" t="str">
            <v>ОПЗ</v>
          </cell>
          <cell r="W341" t="str">
            <v>ГИС-2. УГИС (ОПЗ)</v>
          </cell>
          <cell r="AF341">
            <v>21</v>
          </cell>
        </row>
        <row r="342">
          <cell r="B342">
            <v>2886</v>
          </cell>
          <cell r="C342">
            <v>131</v>
          </cell>
          <cell r="E342">
            <v>2</v>
          </cell>
          <cell r="F342" t="str">
            <v>ЗАО "УПКРС"</v>
          </cell>
          <cell r="G342">
            <v>255</v>
          </cell>
          <cell r="H342" t="str">
            <v>ШГН</v>
          </cell>
          <cell r="K342">
            <v>24</v>
          </cell>
          <cell r="L342">
            <v>0.2</v>
          </cell>
          <cell r="M342">
            <v>99</v>
          </cell>
          <cell r="N342">
            <v>50</v>
          </cell>
          <cell r="O342">
            <v>4</v>
          </cell>
          <cell r="P342">
            <v>90.3</v>
          </cell>
          <cell r="Q342">
            <v>50</v>
          </cell>
          <cell r="R342">
            <v>4</v>
          </cell>
          <cell r="S342">
            <v>90.1</v>
          </cell>
          <cell r="T342">
            <v>7</v>
          </cell>
          <cell r="U342" t="str">
            <v>ОПЗ</v>
          </cell>
          <cell r="W342" t="str">
            <v>ГИС-2. УГИС (ОПЗ)</v>
          </cell>
        </row>
        <row r="343">
          <cell r="B343">
            <v>2904</v>
          </cell>
          <cell r="C343">
            <v>131</v>
          </cell>
          <cell r="F343" t="str">
            <v>УПНПиКРС</v>
          </cell>
          <cell r="G343">
            <v>295</v>
          </cell>
          <cell r="H343" t="str">
            <v>нагнет.</v>
          </cell>
          <cell r="I343" t="str">
            <v>действ.</v>
          </cell>
          <cell r="K343">
            <v>330</v>
          </cell>
          <cell r="N343">
            <v>250</v>
          </cell>
          <cell r="Q343">
            <v>250</v>
          </cell>
          <cell r="R343">
            <v>0</v>
          </cell>
          <cell r="U343" t="str">
            <v>ВВП</v>
          </cell>
          <cell r="W343" t="str">
            <v>ГИС-3. ВПП ГАЛКА</v>
          </cell>
          <cell r="X343" t="str">
            <v>ИХН АН</v>
          </cell>
        </row>
        <row r="344">
          <cell r="B344">
            <v>2905</v>
          </cell>
          <cell r="C344">
            <v>132</v>
          </cell>
          <cell r="F344" t="str">
            <v>УПНПиКРС</v>
          </cell>
          <cell r="G344">
            <v>290</v>
          </cell>
          <cell r="H344" t="str">
            <v>ЭЦН</v>
          </cell>
          <cell r="I344" t="str">
            <v>действ.</v>
          </cell>
          <cell r="K344">
            <v>50</v>
          </cell>
          <cell r="L344">
            <v>5.3</v>
          </cell>
          <cell r="M344">
            <v>87</v>
          </cell>
          <cell r="N344">
            <v>50</v>
          </cell>
          <cell r="O344">
            <v>8.1999999999999993</v>
          </cell>
          <cell r="P344">
            <v>80</v>
          </cell>
          <cell r="Q344">
            <v>0</v>
          </cell>
          <cell r="R344">
            <v>2.8999999999999995</v>
          </cell>
          <cell r="U344" t="str">
            <v>ОВП</v>
          </cell>
          <cell r="W344" t="str">
            <v>ГИС-2. ОВП МЕТКА.</v>
          </cell>
          <cell r="X344" t="str">
            <v>ИХН АН</v>
          </cell>
          <cell r="AF344">
            <v>53</v>
          </cell>
          <cell r="AG344">
            <v>188190</v>
          </cell>
          <cell r="AH344">
            <v>376380</v>
          </cell>
        </row>
        <row r="345">
          <cell r="B345">
            <v>2933</v>
          </cell>
          <cell r="C345">
            <v>44</v>
          </cell>
          <cell r="E345">
            <v>60</v>
          </cell>
          <cell r="F345" t="str">
            <v>ЗАО "УПКРС"</v>
          </cell>
          <cell r="G345">
            <v>265</v>
          </cell>
          <cell r="H345" t="str">
            <v>ШГН</v>
          </cell>
          <cell r="I345" t="str">
            <v>бд</v>
          </cell>
          <cell r="J345">
            <v>36935</v>
          </cell>
          <cell r="K345">
            <v>10</v>
          </cell>
          <cell r="L345">
            <v>5.0999999999999996</v>
          </cell>
          <cell r="M345">
            <v>37</v>
          </cell>
          <cell r="N345">
            <v>10</v>
          </cell>
          <cell r="O345">
            <v>5</v>
          </cell>
          <cell r="P345">
            <v>38.5</v>
          </cell>
          <cell r="Q345">
            <v>10</v>
          </cell>
          <cell r="R345">
            <v>5</v>
          </cell>
          <cell r="S345">
            <v>38.299999999999997</v>
          </cell>
          <cell r="T345">
            <v>12</v>
          </cell>
          <cell r="U345" t="str">
            <v>ВЦ</v>
          </cell>
          <cell r="V345">
            <v>2</v>
          </cell>
          <cell r="W345" t="str">
            <v xml:space="preserve">ВЦ, Ликв.грифона </v>
          </cell>
          <cell r="Y345" t="str">
            <v>ОЦ 20.09.97</v>
          </cell>
        </row>
        <row r="346">
          <cell r="B346">
            <v>3002</v>
          </cell>
          <cell r="C346">
            <v>50</v>
          </cell>
          <cell r="H346" t="str">
            <v>ШГН</v>
          </cell>
          <cell r="I346" t="str">
            <v>конс.</v>
          </cell>
          <cell r="J346">
            <v>34514</v>
          </cell>
          <cell r="K346">
            <v>5</v>
          </cell>
          <cell r="L346">
            <v>0.5</v>
          </cell>
          <cell r="M346">
            <v>88</v>
          </cell>
          <cell r="N346">
            <v>5</v>
          </cell>
          <cell r="O346">
            <v>0.5</v>
          </cell>
          <cell r="P346">
            <v>88</v>
          </cell>
          <cell r="Q346">
            <v>5</v>
          </cell>
          <cell r="R346">
            <v>0.5</v>
          </cell>
          <cell r="S346">
            <v>87.7</v>
          </cell>
          <cell r="W346" t="str">
            <v>ВЦ, ПП, ОПЗ НТПН, ГДИ, сп.НН</v>
          </cell>
          <cell r="Y346">
            <v>0</v>
          </cell>
        </row>
        <row r="347">
          <cell r="B347">
            <v>3003</v>
          </cell>
          <cell r="C347">
            <v>50</v>
          </cell>
          <cell r="H347" t="str">
            <v>нагн</v>
          </cell>
          <cell r="I347" t="str">
            <v>конс.</v>
          </cell>
          <cell r="J347">
            <v>32903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e">
            <v>#DIV/0!</v>
          </cell>
          <cell r="U347" t="str">
            <v>ГРП</v>
          </cell>
          <cell r="W347" t="str">
            <v>ВЦ, ПП, ГРП (ОПЗ НТПН), ГДИ, сп.НН</v>
          </cell>
          <cell r="Y347" t="str">
            <v>ОЦ</v>
          </cell>
        </row>
        <row r="348">
          <cell r="B348">
            <v>3026</v>
          </cell>
          <cell r="C348">
            <v>53</v>
          </cell>
          <cell r="H348" t="str">
            <v>ШГН</v>
          </cell>
          <cell r="I348" t="str">
            <v>конс.</v>
          </cell>
          <cell r="J348">
            <v>34493</v>
          </cell>
          <cell r="K348">
            <v>13</v>
          </cell>
          <cell r="L348">
            <v>10.6</v>
          </cell>
          <cell r="M348">
            <v>0</v>
          </cell>
          <cell r="N348">
            <v>13</v>
          </cell>
          <cell r="O348">
            <v>10.6</v>
          </cell>
          <cell r="P348">
            <v>0</v>
          </cell>
          <cell r="Q348">
            <v>13</v>
          </cell>
          <cell r="R348">
            <v>10.6</v>
          </cell>
          <cell r="S348">
            <v>-0.7</v>
          </cell>
          <cell r="U348" t="str">
            <v>ГРП</v>
          </cell>
          <cell r="W348" t="str">
            <v>ВЦ, ПП, ОПЗ НТПН, ГДИ, сп.НН</v>
          </cell>
          <cell r="Y348" t="str">
            <v>ПРС май 98: Нз-1926,по печати-разорванное тело 73 мм НКТ.Авария 92-93г.Актов нет.</v>
          </cell>
        </row>
        <row r="349">
          <cell r="B349">
            <v>3027</v>
          </cell>
          <cell r="C349">
            <v>52</v>
          </cell>
          <cell r="H349" t="str">
            <v>ШГН</v>
          </cell>
          <cell r="I349" t="str">
            <v>бд</v>
          </cell>
          <cell r="J349">
            <v>36971</v>
          </cell>
          <cell r="K349">
            <v>10</v>
          </cell>
          <cell r="L349">
            <v>2.2000000000000002</v>
          </cell>
          <cell r="M349">
            <v>73</v>
          </cell>
          <cell r="N349">
            <v>20</v>
          </cell>
          <cell r="O349">
            <v>6.5</v>
          </cell>
          <cell r="P349">
            <v>60</v>
          </cell>
          <cell r="Q349">
            <v>20</v>
          </cell>
          <cell r="R349">
            <v>6.5</v>
          </cell>
          <cell r="S349">
            <v>59.9</v>
          </cell>
          <cell r="W349" t="str">
            <v>ВЦ, ЛА, ПП, ОПЗ НТПН, УГИС</v>
          </cell>
          <cell r="Y349" t="str">
            <v>ОЦ</v>
          </cell>
        </row>
        <row r="350">
          <cell r="B350">
            <v>3029</v>
          </cell>
          <cell r="C350">
            <v>52</v>
          </cell>
          <cell r="H350" t="str">
            <v>ЭЦН</v>
          </cell>
          <cell r="I350" t="str">
            <v>бд</v>
          </cell>
          <cell r="J350">
            <v>36795</v>
          </cell>
          <cell r="K350">
            <v>4</v>
          </cell>
          <cell r="L350">
            <v>1.9</v>
          </cell>
          <cell r="M350">
            <v>41</v>
          </cell>
          <cell r="N350">
            <v>4</v>
          </cell>
          <cell r="O350">
            <v>1.9</v>
          </cell>
          <cell r="P350">
            <v>41</v>
          </cell>
          <cell r="Q350">
            <v>4</v>
          </cell>
          <cell r="R350">
            <v>1.9</v>
          </cell>
          <cell r="S350">
            <v>41.4</v>
          </cell>
          <cell r="W350" t="str">
            <v>ВЦ, ПП, ОПЗ НТПН, ГДИ, сп.НН</v>
          </cell>
          <cell r="Y350" t="str">
            <v>Ц.Е  5.08.97</v>
          </cell>
        </row>
        <row r="351">
          <cell r="B351">
            <v>3072</v>
          </cell>
          <cell r="C351">
            <v>53</v>
          </cell>
          <cell r="H351" t="str">
            <v>ШГН</v>
          </cell>
          <cell r="I351" t="str">
            <v>конс.</v>
          </cell>
          <cell r="J351">
            <v>33848</v>
          </cell>
          <cell r="K351">
            <v>2</v>
          </cell>
          <cell r="L351">
            <v>1.6</v>
          </cell>
          <cell r="M351">
            <v>0</v>
          </cell>
          <cell r="N351">
            <v>2</v>
          </cell>
          <cell r="O351">
            <v>1.6</v>
          </cell>
          <cell r="P351">
            <v>0</v>
          </cell>
          <cell r="Q351">
            <v>2</v>
          </cell>
          <cell r="R351">
            <v>1.6</v>
          </cell>
          <cell r="S351">
            <v>1.2</v>
          </cell>
          <cell r="W351" t="str">
            <v>ВЦ, ПП, ОПЗ НТПН, ГДИ, сп.НН</v>
          </cell>
          <cell r="Y351" t="str">
            <v>Отсутствие забоя( предположительно полёт хвостовика при ПРС, акиов нет)</v>
          </cell>
        </row>
        <row r="352">
          <cell r="B352">
            <v>3073</v>
          </cell>
          <cell r="C352">
            <v>53</v>
          </cell>
          <cell r="H352" t="str">
            <v>ШГН</v>
          </cell>
          <cell r="I352" t="str">
            <v>бд</v>
          </cell>
          <cell r="J352">
            <v>36834</v>
          </cell>
          <cell r="K352">
            <v>3</v>
          </cell>
          <cell r="L352">
            <v>0.9</v>
          </cell>
          <cell r="M352">
            <v>65</v>
          </cell>
          <cell r="N352">
            <v>3</v>
          </cell>
          <cell r="O352">
            <v>0.9</v>
          </cell>
          <cell r="P352">
            <v>65</v>
          </cell>
          <cell r="Q352">
            <v>3</v>
          </cell>
          <cell r="R352">
            <v>0.9</v>
          </cell>
          <cell r="S352">
            <v>63</v>
          </cell>
          <cell r="W352" t="str">
            <v>ВЦ, ПП, ОПЗ НТПН, ГДИ, сп.НН</v>
          </cell>
          <cell r="Y352" t="str">
            <v>ЗБС с 22.11.95 по 21.04.96, ОЦ</v>
          </cell>
        </row>
        <row r="353">
          <cell r="B353">
            <v>3096</v>
          </cell>
          <cell r="C353">
            <v>53</v>
          </cell>
          <cell r="H353" t="str">
            <v>ШГН</v>
          </cell>
          <cell r="I353" t="str">
            <v>бд</v>
          </cell>
          <cell r="J353">
            <v>36246</v>
          </cell>
          <cell r="K353">
            <v>6</v>
          </cell>
          <cell r="L353">
            <v>3.3</v>
          </cell>
          <cell r="M353">
            <v>33</v>
          </cell>
          <cell r="N353">
            <v>6</v>
          </cell>
          <cell r="O353">
            <v>3.3</v>
          </cell>
          <cell r="P353">
            <v>33</v>
          </cell>
          <cell r="Q353">
            <v>6</v>
          </cell>
          <cell r="R353">
            <v>3.3</v>
          </cell>
          <cell r="S353">
            <v>32.1</v>
          </cell>
          <cell r="W353" t="str">
            <v>ВЦ, ПП, ОПЗ НТПН, ГДИ, сп.НН</v>
          </cell>
          <cell r="Y353" t="str">
            <v>ОЦ</v>
          </cell>
        </row>
        <row r="354">
          <cell r="B354">
            <v>3097</v>
          </cell>
          <cell r="C354">
            <v>53</v>
          </cell>
          <cell r="H354" t="str">
            <v>ШГН</v>
          </cell>
          <cell r="I354" t="str">
            <v>бд</v>
          </cell>
          <cell r="J354">
            <v>36244</v>
          </cell>
          <cell r="K354">
            <v>6</v>
          </cell>
          <cell r="L354">
            <v>3.6</v>
          </cell>
          <cell r="M354">
            <v>26</v>
          </cell>
          <cell r="N354">
            <v>6</v>
          </cell>
          <cell r="O354">
            <v>3.6</v>
          </cell>
          <cell r="P354">
            <v>26</v>
          </cell>
          <cell r="Q354">
            <v>6</v>
          </cell>
          <cell r="R354">
            <v>3.6</v>
          </cell>
          <cell r="S354">
            <v>25.9</v>
          </cell>
          <cell r="W354" t="str">
            <v>ВЦ, ПП, ОПЗ НТПН, ГДИ, сп.НН</v>
          </cell>
        </row>
        <row r="355">
          <cell r="B355">
            <v>3952</v>
          </cell>
          <cell r="C355">
            <v>308</v>
          </cell>
          <cell r="G355">
            <v>245</v>
          </cell>
          <cell r="H355" t="str">
            <v>нагнет.</v>
          </cell>
          <cell r="I355" t="str">
            <v>бд</v>
          </cell>
          <cell r="N355">
            <v>250</v>
          </cell>
          <cell r="Q355">
            <v>250</v>
          </cell>
          <cell r="R355">
            <v>0</v>
          </cell>
          <cell r="W355" t="str">
            <v>Спуск пакера, определение прием.ЮК11</v>
          </cell>
          <cell r="X355" t="str">
            <v>утилизация</v>
          </cell>
        </row>
        <row r="356">
          <cell r="B356">
            <v>3959</v>
          </cell>
          <cell r="C356">
            <v>198</v>
          </cell>
          <cell r="G356">
            <v>226</v>
          </cell>
          <cell r="H356" t="str">
            <v>нагнет.</v>
          </cell>
          <cell r="I356" t="str">
            <v>конс.</v>
          </cell>
          <cell r="N356">
            <v>250</v>
          </cell>
          <cell r="Q356">
            <v>250</v>
          </cell>
          <cell r="R356">
            <v>0</v>
          </cell>
          <cell r="W356" t="str">
            <v>Спуск пакера, определение прием.ЮК11</v>
          </cell>
          <cell r="X356" t="str">
            <v>утилизация</v>
          </cell>
          <cell r="Y356" t="str">
            <v>ВЦ УЭС 1500 12.97: непроход 368 м (печать не спускали)</v>
          </cell>
          <cell r="AF356">
            <v>27</v>
          </cell>
          <cell r="AG356">
            <v>-7</v>
          </cell>
          <cell r="AH356">
            <v>-210</v>
          </cell>
        </row>
        <row r="357">
          <cell r="B357">
            <v>4018</v>
          </cell>
          <cell r="C357">
            <v>314</v>
          </cell>
          <cell r="F357" t="str">
            <v>УПНПиКРС</v>
          </cell>
          <cell r="G357">
            <v>250</v>
          </cell>
          <cell r="H357" t="str">
            <v>Ф/ЭЦН</v>
          </cell>
          <cell r="I357" t="str">
            <v>конс.</v>
          </cell>
          <cell r="J357">
            <v>34335</v>
          </cell>
          <cell r="L357">
            <v>0</v>
          </cell>
          <cell r="N357">
            <v>30</v>
          </cell>
          <cell r="O357">
            <v>1</v>
          </cell>
          <cell r="P357">
            <v>96</v>
          </cell>
          <cell r="Q357">
            <v>30</v>
          </cell>
          <cell r="R357">
            <v>1</v>
          </cell>
          <cell r="S357">
            <v>95.9</v>
          </cell>
          <cell r="T357">
            <v>7</v>
          </cell>
          <cell r="U357" t="str">
            <v>ЛА</v>
          </cell>
          <cell r="W357" t="str">
            <v>ВЦ. ЛА. ГИС-2. УГИС</v>
          </cell>
          <cell r="X357" t="str">
            <v>УОПР-800</v>
          </cell>
          <cell r="Y357" t="str">
            <v>13.04.93 ОТСК (негерм.ЭК: 1078.4-1079.4)</v>
          </cell>
          <cell r="AF357">
            <v>31</v>
          </cell>
          <cell r="AG357">
            <v>-14</v>
          </cell>
          <cell r="AH357">
            <v>-350</v>
          </cell>
        </row>
        <row r="358">
          <cell r="B358">
            <v>4020</v>
          </cell>
          <cell r="C358">
            <v>314</v>
          </cell>
          <cell r="F358" t="str">
            <v>УПНПиКРС</v>
          </cell>
          <cell r="G358">
            <v>220</v>
          </cell>
          <cell r="H358" t="str">
            <v>фон</v>
          </cell>
          <cell r="I358" t="str">
            <v>конс.</v>
          </cell>
          <cell r="J358">
            <v>34486</v>
          </cell>
          <cell r="L358">
            <v>0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7</v>
          </cell>
          <cell r="U358" t="str">
            <v>ЛН</v>
          </cell>
          <cell r="W358" t="str">
            <v>РИР (негерм. ЭК -1078-79 м). ГИС-2. ИДН</v>
          </cell>
          <cell r="X358" t="str">
            <v>УОПР-800</v>
          </cell>
          <cell r="Y358" t="str">
            <v>УЭС 1500 (01.98) непроход на 103 м (печать не спускали). Обрыв проволоки с МГН-2)</v>
          </cell>
          <cell r="AF358">
            <v>31</v>
          </cell>
          <cell r="AG358">
            <v>-7</v>
          </cell>
          <cell r="AH358">
            <v>-140</v>
          </cell>
        </row>
        <row r="359">
          <cell r="B359">
            <v>4021</v>
          </cell>
          <cell r="C359">
            <v>314</v>
          </cell>
          <cell r="F359" t="str">
            <v>УПНПиКРС</v>
          </cell>
          <cell r="G359">
            <v>220</v>
          </cell>
          <cell r="H359" t="str">
            <v>фон</v>
          </cell>
          <cell r="I359" t="str">
            <v>конс.</v>
          </cell>
          <cell r="J359">
            <v>34425</v>
          </cell>
          <cell r="L359">
            <v>0</v>
          </cell>
          <cell r="N359">
            <v>20</v>
          </cell>
          <cell r="O359">
            <v>1</v>
          </cell>
          <cell r="P359">
            <v>94</v>
          </cell>
          <cell r="Q359">
            <v>20</v>
          </cell>
          <cell r="R359">
            <v>1</v>
          </cell>
          <cell r="S359">
            <v>93.8</v>
          </cell>
          <cell r="T359">
            <v>7</v>
          </cell>
          <cell r="U359" t="str">
            <v>ЛА</v>
          </cell>
          <cell r="W359" t="str">
            <v>ВЦ. ЛА. ГИС-2. РИР (ЗКЦ). УГИС</v>
          </cell>
          <cell r="X359" t="str">
            <v>УОПР-800</v>
          </cell>
          <cell r="AF359">
            <v>64</v>
          </cell>
          <cell r="AG359">
            <v>92</v>
          </cell>
          <cell r="AH359">
            <v>920</v>
          </cell>
        </row>
        <row r="360">
          <cell r="B360">
            <v>4122</v>
          </cell>
          <cell r="C360">
            <v>314</v>
          </cell>
          <cell r="F360" t="str">
            <v>УПНПиКРС</v>
          </cell>
          <cell r="G360">
            <v>250</v>
          </cell>
          <cell r="H360" t="str">
            <v>Ф/ЭЦН</v>
          </cell>
          <cell r="I360" t="str">
            <v>бд</v>
          </cell>
          <cell r="J360">
            <v>34485</v>
          </cell>
          <cell r="L360">
            <v>0</v>
          </cell>
          <cell r="N360">
            <v>20</v>
          </cell>
          <cell r="O360">
            <v>2</v>
          </cell>
          <cell r="P360">
            <v>88</v>
          </cell>
          <cell r="Q360">
            <v>20</v>
          </cell>
          <cell r="R360">
            <v>2</v>
          </cell>
          <cell r="S360">
            <v>87.7</v>
          </cell>
          <cell r="T360">
            <v>37242</v>
          </cell>
          <cell r="U360" t="str">
            <v>ОПЗ</v>
          </cell>
          <cell r="W360" t="str">
            <v>ГИС-2. ПП. УГИС</v>
          </cell>
          <cell r="X360" t="str">
            <v>УОПР-800</v>
          </cell>
          <cell r="Y360" t="str">
            <v>Полет ЭЦН и НКТ 31 шт.</v>
          </cell>
          <cell r="AF360">
            <v>38</v>
          </cell>
          <cell r="AG360">
            <v>-7</v>
          </cell>
          <cell r="AH360">
            <v>-140</v>
          </cell>
        </row>
        <row r="361">
          <cell r="B361">
            <v>4125</v>
          </cell>
          <cell r="C361">
            <v>315</v>
          </cell>
          <cell r="F361" t="str">
            <v>УПНПиКРС</v>
          </cell>
          <cell r="G361">
            <v>250</v>
          </cell>
          <cell r="H361" t="str">
            <v>Ф/ЭЦН</v>
          </cell>
          <cell r="I361" t="str">
            <v>бд</v>
          </cell>
          <cell r="J361">
            <v>33147</v>
          </cell>
          <cell r="L361">
            <v>0</v>
          </cell>
          <cell r="N361">
            <v>20</v>
          </cell>
          <cell r="O361">
            <v>1</v>
          </cell>
          <cell r="P361">
            <v>93.6</v>
          </cell>
          <cell r="Q361">
            <v>20</v>
          </cell>
          <cell r="R361">
            <v>1</v>
          </cell>
          <cell r="S361">
            <v>93.8</v>
          </cell>
          <cell r="T361">
            <v>7</v>
          </cell>
          <cell r="U361" t="str">
            <v>ОВП</v>
          </cell>
          <cell r="W361" t="str">
            <v>ЛА (Полет ЭЦН). ГИС-2. ИР</v>
          </cell>
          <cell r="X361" t="str">
            <v>ИР нижнего интервала?</v>
          </cell>
          <cell r="Y361" t="str">
            <v>Прихват ЭЦН</v>
          </cell>
          <cell r="AF361">
            <v>38</v>
          </cell>
          <cell r="AG361">
            <v>-7</v>
          </cell>
          <cell r="AH361">
            <v>-119</v>
          </cell>
        </row>
        <row r="362">
          <cell r="B362">
            <v>4127</v>
          </cell>
          <cell r="C362">
            <v>315</v>
          </cell>
          <cell r="F362" t="str">
            <v>УПНПиКРС</v>
          </cell>
          <cell r="G362">
            <v>245</v>
          </cell>
          <cell r="H362" t="str">
            <v>ЭЦН</v>
          </cell>
          <cell r="I362" t="str">
            <v>бд</v>
          </cell>
          <cell r="J362">
            <v>35432</v>
          </cell>
          <cell r="L362">
            <v>0</v>
          </cell>
          <cell r="N362">
            <v>17</v>
          </cell>
          <cell r="O362">
            <v>1</v>
          </cell>
          <cell r="P362">
            <v>93</v>
          </cell>
          <cell r="Q362">
            <v>17</v>
          </cell>
          <cell r="R362">
            <v>1</v>
          </cell>
          <cell r="S362">
            <v>92.7</v>
          </cell>
          <cell r="T362">
            <v>7</v>
          </cell>
          <cell r="U362" t="str">
            <v>ОВП</v>
          </cell>
          <cell r="W362" t="str">
            <v>ЛА (прихват ЭЦН). СИ. ПП. ГИС-2. ШГН</v>
          </cell>
          <cell r="X362" t="str">
            <v>СИ (ниже 2728). ПП 2720-24</v>
          </cell>
        </row>
        <row r="363">
          <cell r="B363">
            <v>4128</v>
          </cell>
          <cell r="C363">
            <v>315</v>
          </cell>
          <cell r="G363">
            <v>250</v>
          </cell>
          <cell r="H363" t="str">
            <v>ЭЦН</v>
          </cell>
          <cell r="I363" t="str">
            <v>действ.</v>
          </cell>
          <cell r="K363">
            <v>44</v>
          </cell>
          <cell r="L363">
            <v>0.9</v>
          </cell>
          <cell r="M363">
            <v>97.5</v>
          </cell>
          <cell r="N363">
            <v>60</v>
          </cell>
          <cell r="O363">
            <v>2.9</v>
          </cell>
          <cell r="P363">
            <v>94</v>
          </cell>
          <cell r="Q363">
            <v>16</v>
          </cell>
          <cell r="R363">
            <v>2</v>
          </cell>
          <cell r="W363" t="str">
            <v>ГИС-2. ОВП МЕТКА.</v>
          </cell>
          <cell r="X363" t="str">
            <v>ИХН АН</v>
          </cell>
        </row>
        <row r="364">
          <cell r="B364">
            <v>4155</v>
          </cell>
          <cell r="C364">
            <v>172</v>
          </cell>
          <cell r="G364">
            <v>250</v>
          </cell>
          <cell r="H364" t="str">
            <v>нагнет.</v>
          </cell>
          <cell r="I364" t="str">
            <v>конс.</v>
          </cell>
          <cell r="N364">
            <v>250</v>
          </cell>
          <cell r="Q364">
            <v>250</v>
          </cell>
          <cell r="R364">
            <v>0</v>
          </cell>
          <cell r="W364" t="str">
            <v>ОТСК, дострел ЮК11</v>
          </cell>
          <cell r="X364" t="str">
            <v>утилизация</v>
          </cell>
        </row>
        <row r="365">
          <cell r="B365">
            <v>4156</v>
          </cell>
          <cell r="C365">
            <v>172</v>
          </cell>
          <cell r="G365">
            <v>250</v>
          </cell>
          <cell r="H365" t="str">
            <v>нагнет.</v>
          </cell>
          <cell r="I365" t="str">
            <v>конс.</v>
          </cell>
          <cell r="Q365">
            <v>0</v>
          </cell>
          <cell r="W365" t="str">
            <v>ОТСК, дострел ЮК11</v>
          </cell>
          <cell r="Y365" t="str">
            <v>СИ 2810 и ниже</v>
          </cell>
          <cell r="AF365">
            <v>21</v>
          </cell>
          <cell r="AG365">
            <v>-37378</v>
          </cell>
          <cell r="AH365">
            <v>-1121340</v>
          </cell>
        </row>
        <row r="366">
          <cell r="B366">
            <v>4215</v>
          </cell>
          <cell r="C366" t="str">
            <v>314б</v>
          </cell>
          <cell r="G366">
            <v>255</v>
          </cell>
          <cell r="H366" t="str">
            <v>фон</v>
          </cell>
          <cell r="I366" t="str">
            <v>бд</v>
          </cell>
          <cell r="J366">
            <v>35716</v>
          </cell>
          <cell r="L366">
            <v>0</v>
          </cell>
          <cell r="N366">
            <v>30</v>
          </cell>
          <cell r="O366">
            <v>1</v>
          </cell>
          <cell r="P366">
            <v>95.8</v>
          </cell>
          <cell r="Q366">
            <v>30</v>
          </cell>
          <cell r="R366">
            <v>1</v>
          </cell>
          <cell r="S366">
            <v>95.9</v>
          </cell>
          <cell r="T366">
            <v>37378</v>
          </cell>
          <cell r="U366" t="str">
            <v>ОВП</v>
          </cell>
          <cell r="W366" t="str">
            <v>СИ 2810 и ниже</v>
          </cell>
          <cell r="X366" t="str">
            <v>УОПР-800</v>
          </cell>
          <cell r="AF366">
            <v>10</v>
          </cell>
          <cell r="AG366">
            <v>44</v>
          </cell>
          <cell r="AH366">
            <v>2200</v>
          </cell>
        </row>
        <row r="367">
          <cell r="B367">
            <v>4216</v>
          </cell>
          <cell r="C367" t="str">
            <v>314б</v>
          </cell>
          <cell r="G367">
            <v>255</v>
          </cell>
          <cell r="H367" t="str">
            <v>ЭЦН</v>
          </cell>
          <cell r="I367" t="str">
            <v>конс.</v>
          </cell>
          <cell r="J367">
            <v>35716</v>
          </cell>
          <cell r="L367">
            <v>0</v>
          </cell>
          <cell r="N367">
            <v>50</v>
          </cell>
          <cell r="O367">
            <v>1</v>
          </cell>
          <cell r="P367">
            <v>97.6</v>
          </cell>
          <cell r="Q367">
            <v>50</v>
          </cell>
          <cell r="R367">
            <v>1</v>
          </cell>
          <cell r="S367">
            <v>97.5</v>
          </cell>
          <cell r="T367">
            <v>37213</v>
          </cell>
          <cell r="U367" t="str">
            <v>бдк</v>
          </cell>
          <cell r="W367" t="str">
            <v>ГИС-2</v>
          </cell>
          <cell r="X367" t="str">
            <v>УОПР-800</v>
          </cell>
          <cell r="AF367">
            <v>9</v>
          </cell>
          <cell r="AG367">
            <v>58</v>
          </cell>
          <cell r="AH367">
            <v>3480</v>
          </cell>
        </row>
        <row r="368">
          <cell r="B368">
            <v>4217</v>
          </cell>
          <cell r="C368" t="str">
            <v>314б</v>
          </cell>
          <cell r="G368">
            <v>255</v>
          </cell>
          <cell r="H368" t="str">
            <v>ЭЦН</v>
          </cell>
          <cell r="I368" t="str">
            <v>конс.</v>
          </cell>
          <cell r="J368">
            <v>34304</v>
          </cell>
          <cell r="L368">
            <v>0</v>
          </cell>
          <cell r="N368">
            <v>60</v>
          </cell>
          <cell r="O368">
            <v>1</v>
          </cell>
          <cell r="P368">
            <v>97.892720306513411</v>
          </cell>
          <cell r="Q368">
            <v>60</v>
          </cell>
          <cell r="R368">
            <v>1</v>
          </cell>
          <cell r="S368">
            <v>97.9</v>
          </cell>
          <cell r="T368">
            <v>37230</v>
          </cell>
          <cell r="U368" t="str">
            <v>бдк</v>
          </cell>
          <cell r="W368" t="str">
            <v>УГИС. ЭЦН</v>
          </cell>
          <cell r="X368" t="str">
            <v>УОПР-800</v>
          </cell>
          <cell r="AF368">
            <v>21</v>
          </cell>
          <cell r="AG368">
            <v>-37356</v>
          </cell>
          <cell r="AH368">
            <v>-1867800</v>
          </cell>
        </row>
        <row r="369">
          <cell r="B369">
            <v>4218</v>
          </cell>
          <cell r="C369" t="str">
            <v>314б</v>
          </cell>
          <cell r="G369">
            <v>255</v>
          </cell>
          <cell r="H369" t="str">
            <v>ЭЦН</v>
          </cell>
          <cell r="I369" t="str">
            <v>конс.</v>
          </cell>
          <cell r="J369">
            <v>35716</v>
          </cell>
          <cell r="L369">
            <v>0</v>
          </cell>
          <cell r="N369">
            <v>50</v>
          </cell>
          <cell r="O369">
            <v>1</v>
          </cell>
          <cell r="P369">
            <v>97.47126436781609</v>
          </cell>
          <cell r="Q369">
            <v>50</v>
          </cell>
          <cell r="R369">
            <v>1</v>
          </cell>
          <cell r="S369">
            <v>97.5</v>
          </cell>
          <cell r="T369">
            <v>37356</v>
          </cell>
          <cell r="U369" t="str">
            <v>бдк</v>
          </cell>
          <cell r="W369" t="str">
            <v>ГДИ ЦНИПР. УГИС</v>
          </cell>
          <cell r="X369" t="str">
            <v>УОПР-800</v>
          </cell>
          <cell r="Y369" t="str">
            <v>На забое ЭЦН</v>
          </cell>
          <cell r="AF369">
            <v>32</v>
          </cell>
          <cell r="AG369">
            <v>-55926</v>
          </cell>
          <cell r="AH369">
            <v>-559260</v>
          </cell>
        </row>
        <row r="370">
          <cell r="B370">
            <v>4266</v>
          </cell>
          <cell r="C370">
            <v>219</v>
          </cell>
          <cell r="G370">
            <v>255</v>
          </cell>
          <cell r="H370" t="str">
            <v>ЭЦН</v>
          </cell>
          <cell r="I370" t="str">
            <v>бд</v>
          </cell>
          <cell r="J370">
            <v>35158</v>
          </cell>
          <cell r="L370">
            <v>0</v>
          </cell>
          <cell r="N370">
            <v>15</v>
          </cell>
          <cell r="O370">
            <v>1.5</v>
          </cell>
          <cell r="P370">
            <v>88</v>
          </cell>
          <cell r="Q370">
            <v>15</v>
          </cell>
          <cell r="R370">
            <v>1.5</v>
          </cell>
          <cell r="S370">
            <v>87.7</v>
          </cell>
          <cell r="T370">
            <v>37284</v>
          </cell>
          <cell r="U370" t="str">
            <v>ЛА</v>
          </cell>
          <cell r="W370" t="str">
            <v>ВЦ. ЛА (на забое ЭЦН). СИ низа. ПП. ОПЗ</v>
          </cell>
          <cell r="X370" t="str">
            <v>Освоение УГИС. УОПР-800</v>
          </cell>
          <cell r="Y370" t="str">
            <v>Предпол. отсутствие забоя 2752 м</v>
          </cell>
          <cell r="AF370">
            <v>21</v>
          </cell>
          <cell r="AG370">
            <v>-56001</v>
          </cell>
          <cell r="AH370">
            <v>-1493360</v>
          </cell>
        </row>
        <row r="371">
          <cell r="B371">
            <v>4268</v>
          </cell>
          <cell r="C371">
            <v>219</v>
          </cell>
          <cell r="G371">
            <v>250</v>
          </cell>
          <cell r="H371" t="str">
            <v>Ф/ЭЦН</v>
          </cell>
          <cell r="I371" t="str">
            <v>конс.</v>
          </cell>
          <cell r="J371">
            <v>35596</v>
          </cell>
          <cell r="L371">
            <v>0</v>
          </cell>
          <cell r="N371">
            <v>40</v>
          </cell>
          <cell r="O371">
            <v>1.5</v>
          </cell>
          <cell r="P371">
            <v>95.3</v>
          </cell>
          <cell r="Q371">
            <v>40</v>
          </cell>
          <cell r="R371">
            <v>1.5</v>
          </cell>
          <cell r="S371">
            <v>95.4</v>
          </cell>
          <cell r="T371">
            <v>37334</v>
          </cell>
          <cell r="U371" t="str">
            <v>ОВП</v>
          </cell>
          <cell r="W371" t="str">
            <v>ВЗ. СИ низа. ПП 2743-48, УГИС, ГИС-2</v>
          </cell>
          <cell r="X371" t="str">
            <v>УОПР-800</v>
          </cell>
          <cell r="Y371" t="str">
            <v>предпол. о смещении ЭК</v>
          </cell>
          <cell r="AF371">
            <v>27</v>
          </cell>
          <cell r="AG371">
            <v>-37312</v>
          </cell>
          <cell r="AH371">
            <v>-746240</v>
          </cell>
        </row>
        <row r="372">
          <cell r="B372">
            <v>4319</v>
          </cell>
          <cell r="C372">
            <v>219</v>
          </cell>
          <cell r="G372">
            <v>255</v>
          </cell>
          <cell r="H372" t="str">
            <v>ЭЦН</v>
          </cell>
          <cell r="I372" t="str">
            <v>бд</v>
          </cell>
          <cell r="J372">
            <v>34850</v>
          </cell>
          <cell r="L372">
            <v>0</v>
          </cell>
          <cell r="N372">
            <v>20</v>
          </cell>
          <cell r="O372">
            <v>1</v>
          </cell>
          <cell r="P372">
            <v>94</v>
          </cell>
          <cell r="Q372">
            <v>20</v>
          </cell>
          <cell r="R372">
            <v>1</v>
          </cell>
          <cell r="S372">
            <v>93.8</v>
          </cell>
          <cell r="T372">
            <v>37312</v>
          </cell>
          <cell r="U372" t="str">
            <v>ОВП</v>
          </cell>
          <cell r="W372" t="str">
            <v>ГИС-2. СИ. ПП ДН. ГДИ</v>
          </cell>
          <cell r="X372" t="str">
            <v>УОПР-800</v>
          </cell>
          <cell r="AF372">
            <v>27</v>
          </cell>
          <cell r="AG372">
            <v>-55877</v>
          </cell>
          <cell r="AH372">
            <v>-1117530</v>
          </cell>
        </row>
        <row r="373">
          <cell r="B373">
            <v>4321</v>
          </cell>
          <cell r="C373">
            <v>219</v>
          </cell>
          <cell r="G373">
            <v>240</v>
          </cell>
          <cell r="H373" t="str">
            <v>ЭЦН</v>
          </cell>
          <cell r="I373" t="str">
            <v>конс.</v>
          </cell>
          <cell r="J373">
            <v>33970</v>
          </cell>
          <cell r="L373">
            <v>0</v>
          </cell>
          <cell r="N373">
            <v>30</v>
          </cell>
          <cell r="O373">
            <v>1.5</v>
          </cell>
          <cell r="P373">
            <v>93.8</v>
          </cell>
          <cell r="Q373">
            <v>30</v>
          </cell>
          <cell r="R373">
            <v>1.5</v>
          </cell>
          <cell r="S373">
            <v>93.8</v>
          </cell>
          <cell r="T373">
            <v>37251</v>
          </cell>
          <cell r="U373" t="str">
            <v>ОВП</v>
          </cell>
          <cell r="W373" t="str">
            <v>ВЦ. СИ 2676 и ниже, УГИС</v>
          </cell>
          <cell r="X373" t="str">
            <v>УОПР-800</v>
          </cell>
        </row>
        <row r="374">
          <cell r="B374">
            <v>4323</v>
          </cell>
          <cell r="C374">
            <v>218</v>
          </cell>
          <cell r="G374">
            <v>250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1</v>
          </cell>
          <cell r="M374">
            <v>98</v>
          </cell>
          <cell r="N374">
            <v>125</v>
          </cell>
          <cell r="O374">
            <v>5.0999999999999996</v>
          </cell>
          <cell r="P374">
            <v>95</v>
          </cell>
          <cell r="Q374">
            <v>65</v>
          </cell>
          <cell r="R374">
            <v>4.0999999999999996</v>
          </cell>
          <cell r="W374" t="str">
            <v>ГИС-2. ОВП МЕТКА.</v>
          </cell>
          <cell r="X374" t="str">
            <v>ИХН АН</v>
          </cell>
        </row>
        <row r="375">
          <cell r="B375">
            <v>5218</v>
          </cell>
          <cell r="C375">
            <v>134</v>
          </cell>
          <cell r="F375" t="str">
            <v>УПНПиКРС</v>
          </cell>
          <cell r="G375">
            <v>245</v>
          </cell>
          <cell r="H375" t="str">
            <v>ШГН</v>
          </cell>
          <cell r="I375" t="str">
            <v>конс.</v>
          </cell>
          <cell r="K375">
            <v>21</v>
          </cell>
          <cell r="L375">
            <v>0.9</v>
          </cell>
          <cell r="M375">
            <v>95</v>
          </cell>
          <cell r="N375">
            <v>20</v>
          </cell>
          <cell r="O375">
            <v>3</v>
          </cell>
          <cell r="P375">
            <v>81.5</v>
          </cell>
          <cell r="Q375">
            <v>20</v>
          </cell>
          <cell r="R375">
            <v>3</v>
          </cell>
          <cell r="S375">
            <v>81.5</v>
          </cell>
          <cell r="U375" t="str">
            <v>ОПЗ</v>
          </cell>
          <cell r="W375" t="str">
            <v>ВЦ. ГИС-2. ИДН</v>
          </cell>
          <cell r="X375" t="str">
            <v>Возм.перевод на выш.пласт</v>
          </cell>
          <cell r="Y375" t="str">
            <v>+30</v>
          </cell>
          <cell r="Z375">
            <v>2930</v>
          </cell>
          <cell r="AA375">
            <v>73</v>
          </cell>
          <cell r="AB375" t="str">
            <v>06/98</v>
          </cell>
          <cell r="AF375">
            <v>18</v>
          </cell>
        </row>
        <row r="376">
          <cell r="B376">
            <v>5234</v>
          </cell>
          <cell r="C376">
            <v>140</v>
          </cell>
          <cell r="F376" t="str">
            <v>УПНПиКРС</v>
          </cell>
          <cell r="G376">
            <v>290</v>
          </cell>
          <cell r="H376" t="str">
            <v>нагнет.</v>
          </cell>
          <cell r="I376" t="str">
            <v>действ.</v>
          </cell>
          <cell r="K376">
            <v>340</v>
          </cell>
          <cell r="N376">
            <v>250</v>
          </cell>
          <cell r="Q376">
            <v>250</v>
          </cell>
          <cell r="R376">
            <v>0</v>
          </cell>
          <cell r="U376" t="str">
            <v>ВВП</v>
          </cell>
          <cell r="W376" t="str">
            <v>ГИС-3. ВПП ГАЛКА. ГИС-3</v>
          </cell>
          <cell r="X376" t="str">
            <v>крайний срок - 20 октября</v>
          </cell>
        </row>
        <row r="377">
          <cell r="B377">
            <v>5240</v>
          </cell>
          <cell r="C377">
            <v>134</v>
          </cell>
          <cell r="F377" t="str">
            <v>УПНПиКРС</v>
          </cell>
          <cell r="G377">
            <v>255</v>
          </cell>
          <cell r="H377" t="str">
            <v>ЭЦН</v>
          </cell>
          <cell r="I377" t="str">
            <v>конс.</v>
          </cell>
          <cell r="K377">
            <v>69</v>
          </cell>
          <cell r="L377">
            <v>1.7</v>
          </cell>
          <cell r="M377">
            <v>97</v>
          </cell>
          <cell r="N377">
            <v>80</v>
          </cell>
          <cell r="O377">
            <v>3.1</v>
          </cell>
          <cell r="P377">
            <v>95.3</v>
          </cell>
          <cell r="Q377">
            <v>80</v>
          </cell>
          <cell r="R377">
            <v>3.1</v>
          </cell>
          <cell r="S377">
            <v>95.2</v>
          </cell>
          <cell r="U377" t="str">
            <v>ВЦ</v>
          </cell>
          <cell r="W377" t="str">
            <v>ВЦ. ГИС-2. Спуск ЭЦН</v>
          </cell>
          <cell r="X377" t="str">
            <v>Электропрогрев выполнен (лом -620)</v>
          </cell>
        </row>
        <row r="378">
          <cell r="B378">
            <v>5241</v>
          </cell>
          <cell r="C378">
            <v>134</v>
          </cell>
          <cell r="F378" t="str">
            <v>УПНПиКРС</v>
          </cell>
          <cell r="G378">
            <v>255</v>
          </cell>
          <cell r="H378" t="str">
            <v>ЭЦН</v>
          </cell>
          <cell r="I378" t="str">
            <v>конс.</v>
          </cell>
          <cell r="K378">
            <v>41</v>
          </cell>
          <cell r="L378">
            <v>1.7</v>
          </cell>
          <cell r="M378">
            <v>95</v>
          </cell>
          <cell r="N378">
            <v>50</v>
          </cell>
          <cell r="O378">
            <v>4</v>
          </cell>
          <cell r="P378">
            <v>90.2</v>
          </cell>
          <cell r="Q378">
            <v>50</v>
          </cell>
          <cell r="R378">
            <v>4</v>
          </cell>
          <cell r="S378">
            <v>90.1</v>
          </cell>
          <cell r="U378" t="str">
            <v>ВЦ</v>
          </cell>
          <cell r="W378" t="str">
            <v>ВЦ. ГИС-2. Спуск ЭЦН</v>
          </cell>
          <cell r="X378" t="str">
            <v>ЭП выполнен, ЭЦН с КРБК на забое</v>
          </cell>
          <cell r="Y378" t="str">
            <v>Хвостовик на забое. Предположительно сужение колонны.</v>
          </cell>
          <cell r="Z378">
            <v>2362</v>
          </cell>
        </row>
        <row r="379">
          <cell r="B379">
            <v>5281</v>
          </cell>
          <cell r="C379">
            <v>139</v>
          </cell>
          <cell r="F379" t="str">
            <v>УПНПиКРС</v>
          </cell>
          <cell r="G379">
            <v>280</v>
          </cell>
          <cell r="H379" t="str">
            <v>ШГН</v>
          </cell>
          <cell r="I379" t="str">
            <v>конс.</v>
          </cell>
          <cell r="K379">
            <v>5</v>
          </cell>
          <cell r="L379">
            <v>4</v>
          </cell>
          <cell r="M379">
            <v>1</v>
          </cell>
          <cell r="N379">
            <v>7</v>
          </cell>
          <cell r="O379">
            <v>5</v>
          </cell>
          <cell r="P379">
            <v>12</v>
          </cell>
          <cell r="Q379">
            <v>7</v>
          </cell>
          <cell r="R379">
            <v>5</v>
          </cell>
          <cell r="S379">
            <v>11.8</v>
          </cell>
          <cell r="U379" t="str">
            <v>ОПЗ</v>
          </cell>
          <cell r="W379" t="str">
            <v>ЛА. ИДН. УГИС</v>
          </cell>
          <cell r="X379" t="str">
            <v>Полет НКТ (был КРС), сужение колонны?</v>
          </cell>
          <cell r="AF379">
            <v>30</v>
          </cell>
        </row>
        <row r="380">
          <cell r="B380">
            <v>5285</v>
          </cell>
          <cell r="C380">
            <v>140</v>
          </cell>
          <cell r="F380" t="str">
            <v>УПНПиКРС</v>
          </cell>
          <cell r="G380">
            <v>235</v>
          </cell>
          <cell r="H380" t="str">
            <v>ЭЦН</v>
          </cell>
          <cell r="I380" t="str">
            <v>бд</v>
          </cell>
          <cell r="N380">
            <v>80</v>
          </cell>
          <cell r="O380">
            <v>19.600000000000001</v>
          </cell>
          <cell r="P380">
            <v>70</v>
          </cell>
          <cell r="Q380">
            <v>80</v>
          </cell>
          <cell r="R380">
            <v>19.600000000000001</v>
          </cell>
          <cell r="S380">
            <v>69.8</v>
          </cell>
          <cell r="W380" t="str">
            <v>ПР ЗБС</v>
          </cell>
        </row>
        <row r="381">
          <cell r="B381">
            <v>5287</v>
          </cell>
          <cell r="C381">
            <v>141</v>
          </cell>
          <cell r="F381" t="str">
            <v>УПНПиКРС</v>
          </cell>
          <cell r="G381">
            <v>270</v>
          </cell>
          <cell r="H381" t="str">
            <v>ЭЦН</v>
          </cell>
          <cell r="I381" t="str">
            <v>бд</v>
          </cell>
          <cell r="N381">
            <v>50</v>
          </cell>
          <cell r="O381">
            <v>20.399999999999999</v>
          </cell>
          <cell r="P381">
            <v>50</v>
          </cell>
          <cell r="Q381">
            <v>50</v>
          </cell>
          <cell r="R381">
            <v>20.399999999999999</v>
          </cell>
          <cell r="S381">
            <v>49.6</v>
          </cell>
          <cell r="U381" t="str">
            <v>збс</v>
          </cell>
          <cell r="W381" t="str">
            <v>ПР ЗБС,ЗБС</v>
          </cell>
          <cell r="Y381" t="str">
            <v xml:space="preserve">Полет 112 НКТ+хв.60м </v>
          </cell>
          <cell r="AA381">
            <v>73</v>
          </cell>
          <cell r="AB381" t="str">
            <v>июн 93</v>
          </cell>
        </row>
        <row r="382">
          <cell r="B382">
            <v>5289</v>
          </cell>
          <cell r="C382">
            <v>133</v>
          </cell>
          <cell r="F382" t="str">
            <v>УПНПиКРС</v>
          </cell>
          <cell r="G382">
            <v>245</v>
          </cell>
          <cell r="H382" t="str">
            <v>ШГН</v>
          </cell>
          <cell r="I382" t="str">
            <v>конс.</v>
          </cell>
          <cell r="K382">
            <v>2</v>
          </cell>
          <cell r="L382">
            <v>1.6</v>
          </cell>
          <cell r="M382">
            <v>0</v>
          </cell>
          <cell r="N382">
            <v>10</v>
          </cell>
          <cell r="O382">
            <v>5.0999999999999996</v>
          </cell>
          <cell r="P382">
            <v>38</v>
          </cell>
          <cell r="Q382">
            <v>10</v>
          </cell>
          <cell r="R382">
            <v>5.0999999999999996</v>
          </cell>
          <cell r="S382">
            <v>37</v>
          </cell>
          <cell r="U382" t="str">
            <v>ЛА</v>
          </cell>
          <cell r="W382" t="str">
            <v>ЛА. ГИС-2. ПП. УГИС. (Либо, возврат ЮК-2-9)</v>
          </cell>
          <cell r="X382" t="str">
            <v>Извлечение НКТ</v>
          </cell>
        </row>
        <row r="383">
          <cell r="B383">
            <v>5291</v>
          </cell>
          <cell r="C383">
            <v>134</v>
          </cell>
          <cell r="F383" t="str">
            <v>УПНПиКРС</v>
          </cell>
          <cell r="G383">
            <v>220</v>
          </cell>
          <cell r="H383" t="str">
            <v>ЭЦН</v>
          </cell>
          <cell r="I383" t="str">
            <v>действ.</v>
          </cell>
          <cell r="K383">
            <v>15</v>
          </cell>
          <cell r="L383">
            <v>9.3000000000000007</v>
          </cell>
          <cell r="M383">
            <v>24</v>
          </cell>
          <cell r="N383">
            <v>15</v>
          </cell>
          <cell r="O383">
            <v>9.3000000000000007</v>
          </cell>
          <cell r="P383">
            <v>24</v>
          </cell>
          <cell r="Q383">
            <v>0</v>
          </cell>
          <cell r="R383">
            <v>0</v>
          </cell>
          <cell r="S383" t="e">
            <v>#DIV/0!</v>
          </cell>
          <cell r="U383" t="str">
            <v>ЛА</v>
          </cell>
          <cell r="W383" t="str">
            <v>ЛА.сп. НН-44</v>
          </cell>
        </row>
        <row r="384">
          <cell r="B384">
            <v>5292</v>
          </cell>
          <cell r="C384">
            <v>134</v>
          </cell>
          <cell r="F384" t="str">
            <v>УПНПиКРС</v>
          </cell>
          <cell r="G384">
            <v>270</v>
          </cell>
          <cell r="H384" t="str">
            <v>ЭЦН</v>
          </cell>
          <cell r="I384" t="str">
            <v>действ.</v>
          </cell>
          <cell r="K384">
            <v>155</v>
          </cell>
          <cell r="L384">
            <v>3.8</v>
          </cell>
          <cell r="M384">
            <v>97</v>
          </cell>
          <cell r="N384">
            <v>155</v>
          </cell>
          <cell r="O384">
            <v>7.6</v>
          </cell>
          <cell r="P384">
            <v>94</v>
          </cell>
          <cell r="Q384">
            <v>0</v>
          </cell>
          <cell r="R384">
            <v>3.8</v>
          </cell>
          <cell r="U384" t="str">
            <v>ОВП</v>
          </cell>
          <cell r="W384" t="str">
            <v>ГИС-2. ОВП (ЭМКО)</v>
          </cell>
          <cell r="X384" t="str">
            <v>ПермНИПИ</v>
          </cell>
        </row>
        <row r="385">
          <cell r="B385">
            <v>5293</v>
          </cell>
          <cell r="C385">
            <v>134</v>
          </cell>
          <cell r="F385" t="str">
            <v>УПНПиКРС</v>
          </cell>
          <cell r="G385">
            <v>270</v>
          </cell>
          <cell r="H385" t="str">
            <v>ЭЦН</v>
          </cell>
          <cell r="I385" t="str">
            <v>конс.</v>
          </cell>
          <cell r="K385">
            <v>53</v>
          </cell>
          <cell r="L385">
            <v>0.9</v>
          </cell>
          <cell r="M385">
            <v>98</v>
          </cell>
          <cell r="N385">
            <v>50</v>
          </cell>
          <cell r="O385">
            <v>3.1</v>
          </cell>
          <cell r="P385">
            <v>92.5</v>
          </cell>
          <cell r="Q385">
            <v>50</v>
          </cell>
          <cell r="R385">
            <v>3.1</v>
          </cell>
          <cell r="S385">
            <v>92.3</v>
          </cell>
          <cell r="U385" t="str">
            <v>ОВП</v>
          </cell>
          <cell r="W385" t="str">
            <v>ВЦ. ГИС-2. ОВП (МЕТКА). ГИС-2</v>
          </cell>
          <cell r="X385" t="str">
            <v>Электропрогрев выполнен</v>
          </cell>
          <cell r="Y385" t="str">
            <v>+17</v>
          </cell>
          <cell r="Z385">
            <v>2905</v>
          </cell>
          <cell r="AA385">
            <v>73</v>
          </cell>
          <cell r="AB385">
            <v>34973</v>
          </cell>
          <cell r="AF385">
            <v>39</v>
          </cell>
          <cell r="AG385">
            <v>-35</v>
          </cell>
          <cell r="AH385">
            <v>-56</v>
          </cell>
        </row>
        <row r="386">
          <cell r="B386">
            <v>5309</v>
          </cell>
          <cell r="C386">
            <v>140</v>
          </cell>
          <cell r="F386" t="str">
            <v>УПНПиКРС</v>
          </cell>
          <cell r="G386">
            <v>275</v>
          </cell>
          <cell r="H386" t="str">
            <v>ШГН</v>
          </cell>
          <cell r="I386" t="str">
            <v>бд</v>
          </cell>
          <cell r="J386">
            <v>35443</v>
          </cell>
          <cell r="K386">
            <v>1.5</v>
          </cell>
          <cell r="L386">
            <v>0.9</v>
          </cell>
          <cell r="M386">
            <v>26.5</v>
          </cell>
          <cell r="N386">
            <v>8</v>
          </cell>
          <cell r="O386">
            <v>5</v>
          </cell>
          <cell r="P386">
            <v>24</v>
          </cell>
          <cell r="Q386">
            <v>8</v>
          </cell>
          <cell r="R386">
            <v>5</v>
          </cell>
          <cell r="S386">
            <v>22.8</v>
          </cell>
          <cell r="T386">
            <v>7</v>
          </cell>
          <cell r="U386" t="str">
            <v>ОПЗ</v>
          </cell>
          <cell r="W386" t="str">
            <v>ВЦ. ГИС-2. ИР ЮК-11. ПП. ОПЗ КСПЭО</v>
          </cell>
          <cell r="X386" t="str">
            <v>Почему не обводнен ЮК-11?</v>
          </cell>
        </row>
        <row r="387">
          <cell r="B387">
            <v>5313</v>
          </cell>
          <cell r="C387">
            <v>141</v>
          </cell>
          <cell r="F387" t="str">
            <v>УПНПиКРС</v>
          </cell>
          <cell r="G387">
            <v>270</v>
          </cell>
          <cell r="H387" t="str">
            <v>ЭЦН</v>
          </cell>
          <cell r="I387" t="str">
            <v>бд</v>
          </cell>
          <cell r="N387">
            <v>50</v>
          </cell>
          <cell r="O387">
            <v>20.399999999999999</v>
          </cell>
          <cell r="P387">
            <v>50</v>
          </cell>
          <cell r="Q387">
            <v>50</v>
          </cell>
          <cell r="R387">
            <v>20.399999999999999</v>
          </cell>
          <cell r="S387">
            <v>49.6</v>
          </cell>
          <cell r="U387" t="str">
            <v>збс</v>
          </cell>
          <cell r="W387" t="str">
            <v>ПР ЗБС,ЗБС</v>
          </cell>
        </row>
        <row r="388">
          <cell r="B388">
            <v>5318</v>
          </cell>
          <cell r="C388">
            <v>134</v>
          </cell>
          <cell r="G388">
            <v>232.4</v>
          </cell>
          <cell r="H388" t="str">
            <v>нагнет.</v>
          </cell>
          <cell r="I388" t="str">
            <v>бд</v>
          </cell>
          <cell r="N388">
            <v>300</v>
          </cell>
          <cell r="Q388">
            <v>300</v>
          </cell>
          <cell r="R388">
            <v>0</v>
          </cell>
          <cell r="U388" t="str">
            <v>нг</v>
          </cell>
          <cell r="W388" t="str">
            <v>Спуск и привязка пакера, Запуск в ППД</v>
          </cell>
          <cell r="X388" t="str">
            <v>Уменьшить штуцер через 3 мес.</v>
          </cell>
        </row>
        <row r="389">
          <cell r="B389">
            <v>5331</v>
          </cell>
          <cell r="C389">
            <v>139</v>
          </cell>
          <cell r="H389" t="str">
            <v>ШГН</v>
          </cell>
          <cell r="I389" t="str">
            <v>действ.</v>
          </cell>
          <cell r="K389">
            <v>13</v>
          </cell>
          <cell r="L389">
            <v>9.9</v>
          </cell>
          <cell r="M389">
            <v>7</v>
          </cell>
          <cell r="N389">
            <v>30</v>
          </cell>
          <cell r="O389">
            <v>19</v>
          </cell>
          <cell r="P389">
            <v>22.2</v>
          </cell>
          <cell r="Q389">
            <v>17</v>
          </cell>
          <cell r="R389">
            <v>9.1</v>
          </cell>
          <cell r="S389">
            <v>33.9</v>
          </cell>
          <cell r="U389" t="str">
            <v>ГРП</v>
          </cell>
          <cell r="W389" t="str">
            <v>ГРП</v>
          </cell>
        </row>
        <row r="390">
          <cell r="B390">
            <v>5333</v>
          </cell>
          <cell r="C390">
            <v>139</v>
          </cell>
          <cell r="H390" t="str">
            <v>ШГН</v>
          </cell>
          <cell r="I390" t="str">
            <v>бд</v>
          </cell>
          <cell r="J390">
            <v>37119</v>
          </cell>
          <cell r="K390">
            <v>1</v>
          </cell>
          <cell r="L390">
            <v>0.7</v>
          </cell>
          <cell r="M390">
            <v>10</v>
          </cell>
          <cell r="N390">
            <v>30</v>
          </cell>
          <cell r="O390">
            <v>13</v>
          </cell>
          <cell r="P390">
            <v>47</v>
          </cell>
          <cell r="Q390">
            <v>30</v>
          </cell>
          <cell r="R390">
            <v>13</v>
          </cell>
          <cell r="S390">
            <v>46.5</v>
          </cell>
          <cell r="U390" t="str">
            <v>ГРП</v>
          </cell>
          <cell r="W390" t="str">
            <v>ГРП</v>
          </cell>
          <cell r="AF390">
            <v>27</v>
          </cell>
          <cell r="AG390">
            <v>-35</v>
          </cell>
          <cell r="AH390">
            <v>-126</v>
          </cell>
        </row>
        <row r="391">
          <cell r="B391">
            <v>5335</v>
          </cell>
          <cell r="C391">
            <v>140</v>
          </cell>
          <cell r="F391" t="str">
            <v>УПНПиКРС</v>
          </cell>
          <cell r="G391">
            <v>270</v>
          </cell>
          <cell r="H391" t="str">
            <v>ШГН</v>
          </cell>
          <cell r="I391" t="str">
            <v>конс.</v>
          </cell>
          <cell r="J391">
            <v>34943</v>
          </cell>
          <cell r="K391">
            <v>5</v>
          </cell>
          <cell r="L391">
            <v>2.4</v>
          </cell>
          <cell r="M391">
            <v>40</v>
          </cell>
          <cell r="N391">
            <v>18</v>
          </cell>
          <cell r="O391">
            <v>5</v>
          </cell>
          <cell r="P391">
            <v>66</v>
          </cell>
          <cell r="Q391">
            <v>18</v>
          </cell>
          <cell r="R391">
            <v>5</v>
          </cell>
          <cell r="S391">
            <v>65.7</v>
          </cell>
          <cell r="T391">
            <v>7</v>
          </cell>
          <cell r="U391" t="str">
            <v>ОПЗ</v>
          </cell>
          <cell r="W391" t="str">
            <v>ВЗ. ГИС. ПП ЮК11. УГИС</v>
          </cell>
          <cell r="X391" t="str">
            <v>Проверить циркуляцию</v>
          </cell>
          <cell r="AF391">
            <v>11</v>
          </cell>
        </row>
        <row r="392">
          <cell r="B392">
            <v>5338</v>
          </cell>
          <cell r="C392">
            <v>141</v>
          </cell>
          <cell r="F392" t="str">
            <v>УПНПиКРС</v>
          </cell>
          <cell r="G392">
            <v>281</v>
          </cell>
          <cell r="H392" t="str">
            <v>нагнет.</v>
          </cell>
          <cell r="I392" t="str">
            <v>бд</v>
          </cell>
          <cell r="J392">
            <v>36711</v>
          </cell>
          <cell r="N392">
            <v>100</v>
          </cell>
          <cell r="Q392">
            <v>100</v>
          </cell>
          <cell r="T392">
            <v>3</v>
          </cell>
          <cell r="U392" t="str">
            <v>нг</v>
          </cell>
          <cell r="W392" t="str">
            <v>Ревизия и привязка пакера</v>
          </cell>
          <cell r="Y392" t="str">
            <v>Возможно была авария</v>
          </cell>
          <cell r="AF392">
            <v>21</v>
          </cell>
        </row>
        <row r="393">
          <cell r="B393">
            <v>5339</v>
          </cell>
          <cell r="C393">
            <v>141</v>
          </cell>
          <cell r="F393" t="str">
            <v>УПНПиКРС</v>
          </cell>
          <cell r="G393">
            <v>265</v>
          </cell>
          <cell r="H393" t="str">
            <v>ШГН</v>
          </cell>
          <cell r="I393" t="str">
            <v>бд</v>
          </cell>
          <cell r="J393">
            <v>36126</v>
          </cell>
          <cell r="K393">
            <v>9</v>
          </cell>
          <cell r="L393">
            <v>4</v>
          </cell>
          <cell r="M393">
            <v>45</v>
          </cell>
          <cell r="N393">
            <v>8</v>
          </cell>
          <cell r="O393">
            <v>4.5</v>
          </cell>
          <cell r="P393">
            <v>31</v>
          </cell>
          <cell r="Q393">
            <v>8</v>
          </cell>
          <cell r="R393">
            <v>4.5</v>
          </cell>
          <cell r="S393">
            <v>30.6</v>
          </cell>
          <cell r="T393">
            <v>7</v>
          </cell>
          <cell r="U393" t="str">
            <v>ОПЗ</v>
          </cell>
          <cell r="W393" t="str">
            <v>ВЦ. ИР ЮК11. ОПЗ КСПЭО. ГДИ</v>
          </cell>
          <cell r="Y393">
            <v>0</v>
          </cell>
          <cell r="AF393">
            <v>30</v>
          </cell>
        </row>
        <row r="394">
          <cell r="B394">
            <v>5345</v>
          </cell>
          <cell r="C394">
            <v>102</v>
          </cell>
          <cell r="H394" t="str">
            <v>ЭЦН</v>
          </cell>
          <cell r="I394" t="str">
            <v>простой</v>
          </cell>
          <cell r="J394">
            <v>37209</v>
          </cell>
          <cell r="K394">
            <v>14</v>
          </cell>
          <cell r="L394">
            <v>0.5</v>
          </cell>
          <cell r="M394">
            <v>96</v>
          </cell>
          <cell r="N394">
            <v>20</v>
          </cell>
          <cell r="O394">
            <v>8.1999999999999993</v>
          </cell>
          <cell r="P394">
            <v>50</v>
          </cell>
          <cell r="Q394">
            <v>20</v>
          </cell>
          <cell r="R394">
            <v>8.1999999999999993</v>
          </cell>
          <cell r="S394">
            <v>49.4</v>
          </cell>
          <cell r="U394" t="str">
            <v>ГРП</v>
          </cell>
          <cell r="W394" t="str">
            <v>ИР ЮК-10, ПР и ГРП ЮК-2</v>
          </cell>
          <cell r="AF394">
            <v>25</v>
          </cell>
        </row>
        <row r="395">
          <cell r="B395">
            <v>5362</v>
          </cell>
          <cell r="C395">
            <v>109</v>
          </cell>
          <cell r="F395" t="str">
            <v>УПНПиКРС</v>
          </cell>
          <cell r="G395">
            <v>275</v>
          </cell>
          <cell r="H395" t="str">
            <v>ШГН</v>
          </cell>
          <cell r="I395" t="str">
            <v>конс.</v>
          </cell>
          <cell r="K395">
            <v>9</v>
          </cell>
          <cell r="L395">
            <v>0.3</v>
          </cell>
          <cell r="M395">
            <v>96</v>
          </cell>
          <cell r="N395">
            <v>30</v>
          </cell>
          <cell r="O395">
            <v>5</v>
          </cell>
          <cell r="P395">
            <v>79.5</v>
          </cell>
          <cell r="Q395">
            <v>30</v>
          </cell>
          <cell r="R395">
            <v>5</v>
          </cell>
          <cell r="S395">
            <v>79.400000000000006</v>
          </cell>
          <cell r="T395">
            <v>7</v>
          </cell>
          <cell r="U395" t="str">
            <v>ОВП</v>
          </cell>
          <cell r="W395" t="str">
            <v>ИРЮК11. ГИС-2. ПП (УГИС)</v>
          </cell>
          <cell r="AF395">
            <v>24</v>
          </cell>
          <cell r="AG395">
            <v>-33</v>
          </cell>
          <cell r="AH395">
            <v>-63</v>
          </cell>
        </row>
        <row r="396">
          <cell r="B396">
            <v>5364</v>
          </cell>
          <cell r="C396">
            <v>109</v>
          </cell>
          <cell r="F396" t="str">
            <v>УПНПиКРС</v>
          </cell>
          <cell r="G396">
            <v>275</v>
          </cell>
          <cell r="H396" t="str">
            <v>ШГН</v>
          </cell>
          <cell r="I396" t="str">
            <v>действ.</v>
          </cell>
          <cell r="J396">
            <v>0</v>
          </cell>
          <cell r="K396">
            <v>3</v>
          </cell>
          <cell r="L396">
            <v>2.1</v>
          </cell>
          <cell r="M396">
            <v>15</v>
          </cell>
          <cell r="N396">
            <v>12</v>
          </cell>
          <cell r="O396">
            <v>6.8</v>
          </cell>
          <cell r="P396">
            <v>30</v>
          </cell>
          <cell r="Q396">
            <v>9</v>
          </cell>
          <cell r="R396">
            <v>4.6999999999999993</v>
          </cell>
          <cell r="S396">
            <v>35.5</v>
          </cell>
          <cell r="T396">
            <v>7</v>
          </cell>
          <cell r="U396" t="str">
            <v>ОПЗ</v>
          </cell>
          <cell r="W396" t="str">
            <v>ГИС-2. ИР ЮК-11. ПП. ОПЗ КСПЭО. УГИС</v>
          </cell>
          <cell r="Y396" t="str">
            <v>-</v>
          </cell>
          <cell r="Z396" t="str">
            <v>-</v>
          </cell>
          <cell r="AA396">
            <v>73</v>
          </cell>
          <cell r="AF396">
            <v>17</v>
          </cell>
          <cell r="AG396">
            <v>0</v>
          </cell>
          <cell r="AH396">
            <v>4524960</v>
          </cell>
        </row>
        <row r="397">
          <cell r="B397">
            <v>5371</v>
          </cell>
          <cell r="C397">
            <v>102</v>
          </cell>
          <cell r="F397" t="str">
            <v>ЗАО "УПКРС"</v>
          </cell>
          <cell r="G397">
            <v>250</v>
          </cell>
          <cell r="H397" t="str">
            <v>нагнет.</v>
          </cell>
          <cell r="I397" t="str">
            <v>бд</v>
          </cell>
          <cell r="J397">
            <v>35779</v>
          </cell>
          <cell r="N397">
            <v>120</v>
          </cell>
          <cell r="Q397">
            <v>120</v>
          </cell>
          <cell r="R397">
            <v>0</v>
          </cell>
          <cell r="T397">
            <v>3</v>
          </cell>
          <cell r="U397" t="str">
            <v>нг</v>
          </cell>
          <cell r="V397">
            <v>4</v>
          </cell>
          <cell r="W397" t="str">
            <v>ОТСК. Запуск ППД</v>
          </cell>
          <cell r="Y397" t="str">
            <v>Полет НКТ</v>
          </cell>
          <cell r="Z397">
            <v>120</v>
          </cell>
          <cell r="AF397">
            <v>26</v>
          </cell>
          <cell r="AG397">
            <v>0</v>
          </cell>
          <cell r="AH397">
            <v>-960</v>
          </cell>
        </row>
        <row r="398">
          <cell r="B398">
            <v>5372</v>
          </cell>
          <cell r="C398">
            <v>102</v>
          </cell>
          <cell r="F398" t="str">
            <v>ЗАО "УПКРС"</v>
          </cell>
          <cell r="G398">
            <v>250</v>
          </cell>
          <cell r="H398" t="str">
            <v>нагнет.</v>
          </cell>
          <cell r="I398" t="str">
            <v>конс.</v>
          </cell>
          <cell r="J398">
            <v>32843</v>
          </cell>
          <cell r="N398">
            <v>120</v>
          </cell>
          <cell r="Q398">
            <v>120</v>
          </cell>
          <cell r="R398">
            <v>0</v>
          </cell>
          <cell r="T398">
            <v>8</v>
          </cell>
          <cell r="U398" t="str">
            <v>нг</v>
          </cell>
          <cell r="W398" t="str">
            <v>ЛА (извлечение НКТ). ОТСК. Запуск ППД</v>
          </cell>
          <cell r="X398" t="str">
            <v>Забой - 120 м</v>
          </cell>
          <cell r="Y398" t="str">
            <v>зумпф-1м (нижн. интерв.изолир.)</v>
          </cell>
          <cell r="Z398">
            <v>2733.6</v>
          </cell>
          <cell r="AA398">
            <v>73</v>
          </cell>
          <cell r="AB398">
            <v>39541</v>
          </cell>
          <cell r="AC398">
            <v>223.1</v>
          </cell>
          <cell r="AF398">
            <v>36</v>
          </cell>
          <cell r="AG398">
            <v>0</v>
          </cell>
          <cell r="AH398">
            <v>-360</v>
          </cell>
        </row>
        <row r="399">
          <cell r="B399">
            <v>5373</v>
          </cell>
          <cell r="C399">
            <v>103</v>
          </cell>
          <cell r="F399" t="str">
            <v>ЗАО "УПКРС"</v>
          </cell>
          <cell r="G399">
            <v>233</v>
          </cell>
          <cell r="H399" t="str">
            <v>нагнет.</v>
          </cell>
          <cell r="I399" t="str">
            <v>конс.</v>
          </cell>
          <cell r="J399">
            <v>34474</v>
          </cell>
          <cell r="N399">
            <v>120</v>
          </cell>
          <cell r="Q399">
            <v>120</v>
          </cell>
          <cell r="R399">
            <v>0</v>
          </cell>
          <cell r="T399">
            <v>3</v>
          </cell>
          <cell r="U399" t="str">
            <v>нг</v>
          </cell>
          <cell r="W399" t="str">
            <v>ОТСК. ГИС-3. Ликвидация ЗКЦ?</v>
          </cell>
          <cell r="Y399" t="str">
            <v>+19</v>
          </cell>
          <cell r="Z399">
            <v>2767</v>
          </cell>
          <cell r="AC399">
            <v>224.5</v>
          </cell>
          <cell r="AF399">
            <v>35</v>
          </cell>
          <cell r="AG399">
            <v>0</v>
          </cell>
          <cell r="AH399">
            <v>-360</v>
          </cell>
        </row>
        <row r="400">
          <cell r="B400">
            <v>5374</v>
          </cell>
          <cell r="C400">
            <v>103</v>
          </cell>
          <cell r="F400" t="str">
            <v>ЗАО "УПКРС"</v>
          </cell>
          <cell r="G400">
            <v>234</v>
          </cell>
          <cell r="H400" t="str">
            <v>нагнет.</v>
          </cell>
          <cell r="I400" t="str">
            <v>бд</v>
          </cell>
          <cell r="J400">
            <v>34474</v>
          </cell>
          <cell r="N400">
            <v>120</v>
          </cell>
          <cell r="Q400">
            <v>120</v>
          </cell>
          <cell r="R400">
            <v>0</v>
          </cell>
          <cell r="T400">
            <v>3</v>
          </cell>
          <cell r="U400" t="str">
            <v>нг</v>
          </cell>
          <cell r="W400" t="str">
            <v>ВЗ. ОТСК</v>
          </cell>
          <cell r="AF400">
            <v>11</v>
          </cell>
          <cell r="AG400">
            <v>0</v>
          </cell>
          <cell r="AH400">
            <v>-300</v>
          </cell>
        </row>
        <row r="401">
          <cell r="B401">
            <v>5389</v>
          </cell>
          <cell r="C401">
            <v>109</v>
          </cell>
          <cell r="F401" t="str">
            <v>УПНПиКРС</v>
          </cell>
          <cell r="G401">
            <v>280</v>
          </cell>
          <cell r="H401" t="str">
            <v>нагнет.</v>
          </cell>
          <cell r="I401" t="str">
            <v>бд</v>
          </cell>
          <cell r="J401">
            <v>36458</v>
          </cell>
          <cell r="N401">
            <v>100</v>
          </cell>
          <cell r="Q401">
            <v>100</v>
          </cell>
          <cell r="T401">
            <v>3</v>
          </cell>
          <cell r="U401" t="str">
            <v>нг</v>
          </cell>
          <cell r="W401" t="str">
            <v xml:space="preserve">ОПЗ </v>
          </cell>
          <cell r="X401" t="str">
            <v>Закачка от КНС-1</v>
          </cell>
          <cell r="AF401">
            <v>24</v>
          </cell>
          <cell r="AG401">
            <v>0</v>
          </cell>
          <cell r="AH401">
            <v>-300</v>
          </cell>
        </row>
        <row r="402">
          <cell r="B402">
            <v>5391</v>
          </cell>
          <cell r="C402">
            <v>109</v>
          </cell>
          <cell r="F402" t="str">
            <v>УПНПиКРС</v>
          </cell>
          <cell r="G402">
            <v>285</v>
          </cell>
          <cell r="H402" t="str">
            <v>нагнет.</v>
          </cell>
          <cell r="I402" t="str">
            <v>бд</v>
          </cell>
          <cell r="J402">
            <v>34426</v>
          </cell>
          <cell r="N402">
            <v>100</v>
          </cell>
          <cell r="Q402">
            <v>100</v>
          </cell>
          <cell r="T402">
            <v>3</v>
          </cell>
          <cell r="U402" t="str">
            <v>нг</v>
          </cell>
          <cell r="W402" t="str">
            <v>ИР ЮК-11. ОПЗ. Пуск под закачку</v>
          </cell>
          <cell r="X402" t="str">
            <v>Закачка от КНС-1</v>
          </cell>
          <cell r="AF402">
            <v>32</v>
          </cell>
        </row>
        <row r="403">
          <cell r="B403">
            <v>5394</v>
          </cell>
          <cell r="C403">
            <v>101</v>
          </cell>
          <cell r="F403" t="str">
            <v>УПНПиКРС</v>
          </cell>
          <cell r="G403">
            <v>250</v>
          </cell>
          <cell r="H403" t="str">
            <v>фон</v>
          </cell>
          <cell r="I403" t="str">
            <v>бд</v>
          </cell>
          <cell r="J403">
            <v>34881</v>
          </cell>
          <cell r="K403">
            <v>5</v>
          </cell>
          <cell r="L403">
            <v>4.0999999999999996</v>
          </cell>
          <cell r="M403">
            <v>0</v>
          </cell>
          <cell r="N403">
            <v>7</v>
          </cell>
          <cell r="O403">
            <v>4</v>
          </cell>
          <cell r="P403">
            <v>30</v>
          </cell>
          <cell r="Q403">
            <v>7</v>
          </cell>
          <cell r="R403">
            <v>4</v>
          </cell>
          <cell r="S403">
            <v>29.5</v>
          </cell>
          <cell r="U403" t="str">
            <v>ОПЗ</v>
          </cell>
          <cell r="W403" t="str">
            <v>ЛА. ПП. ОПЗ КСПЭО. ГДИ</v>
          </cell>
          <cell r="AF403">
            <v>39</v>
          </cell>
          <cell r="AG403">
            <v>-42</v>
          </cell>
          <cell r="AH403">
            <v>-350</v>
          </cell>
        </row>
        <row r="404">
          <cell r="B404">
            <v>5415</v>
          </cell>
          <cell r="C404">
            <v>109</v>
          </cell>
          <cell r="F404" t="str">
            <v>УПНПиКРС</v>
          </cell>
          <cell r="G404">
            <v>275</v>
          </cell>
          <cell r="H404" t="str">
            <v>ЭЦН</v>
          </cell>
          <cell r="I404" t="str">
            <v>конс.</v>
          </cell>
          <cell r="J404">
            <v>32964</v>
          </cell>
          <cell r="K404">
            <v>30</v>
          </cell>
          <cell r="L404">
            <v>4.9000000000000004</v>
          </cell>
          <cell r="M404">
            <v>80</v>
          </cell>
          <cell r="N404">
            <v>50</v>
          </cell>
          <cell r="O404">
            <v>6</v>
          </cell>
          <cell r="P404">
            <v>85.3</v>
          </cell>
          <cell r="Q404">
            <v>50</v>
          </cell>
          <cell r="R404">
            <v>6</v>
          </cell>
          <cell r="S404">
            <v>85.2</v>
          </cell>
          <cell r="T404">
            <v>7</v>
          </cell>
          <cell r="U404" t="str">
            <v>ВЦ</v>
          </cell>
          <cell r="W404" t="str">
            <v>ВЦ. ВЗ. УГИС</v>
          </cell>
          <cell r="AF404">
            <v>29</v>
          </cell>
        </row>
        <row r="405">
          <cell r="B405">
            <v>5416</v>
          </cell>
          <cell r="C405">
            <v>109</v>
          </cell>
          <cell r="F405" t="str">
            <v>ЗАО "УПКРС"</v>
          </cell>
          <cell r="G405">
            <v>270</v>
          </cell>
          <cell r="H405" t="str">
            <v>ЭЦН</v>
          </cell>
          <cell r="I405" t="str">
            <v>бд</v>
          </cell>
          <cell r="J405">
            <v>32964</v>
          </cell>
          <cell r="N405">
            <v>50</v>
          </cell>
          <cell r="O405">
            <v>6</v>
          </cell>
          <cell r="P405">
            <v>85.3</v>
          </cell>
          <cell r="Q405">
            <v>50</v>
          </cell>
          <cell r="R405">
            <v>6</v>
          </cell>
          <cell r="S405">
            <v>85.2</v>
          </cell>
          <cell r="T405">
            <v>37440</v>
          </cell>
          <cell r="U405" t="str">
            <v>ОПЗ</v>
          </cell>
          <cell r="W405" t="str">
            <v>ВЦ. ИР ЮК11. ГИС-2. ПП ЮК10. ОПЗ</v>
          </cell>
          <cell r="Y405" t="str">
            <v>Отс.Нз, (Нз.т.=2595, ЮК-2-3(2496,6-2520)</v>
          </cell>
          <cell r="AF405">
            <v>45</v>
          </cell>
        </row>
        <row r="406">
          <cell r="B406">
            <v>5423</v>
          </cell>
          <cell r="C406">
            <v>101</v>
          </cell>
          <cell r="H406" t="str">
            <v>ФОН</v>
          </cell>
          <cell r="I406" t="str">
            <v>бд</v>
          </cell>
          <cell r="J406">
            <v>33605</v>
          </cell>
          <cell r="N406">
            <v>20</v>
          </cell>
          <cell r="O406">
            <v>8.1999999999999993</v>
          </cell>
          <cell r="P406">
            <v>50</v>
          </cell>
          <cell r="Q406">
            <v>20</v>
          </cell>
          <cell r="R406">
            <v>8.1999999999999993</v>
          </cell>
          <cell r="S406">
            <v>49.4</v>
          </cell>
          <cell r="U406" t="str">
            <v>ГРП</v>
          </cell>
          <cell r="W406" t="str">
            <v>ИР ЮК-10, ПР и ГРП ЮК-2</v>
          </cell>
          <cell r="Y406" t="str">
            <v>ОЦ. 5.10.99</v>
          </cell>
        </row>
        <row r="407">
          <cell r="B407">
            <v>5428</v>
          </cell>
          <cell r="C407">
            <v>103</v>
          </cell>
          <cell r="H407" t="str">
            <v>ШГН</v>
          </cell>
          <cell r="I407" t="str">
            <v>конс.</v>
          </cell>
          <cell r="J407">
            <v>32843</v>
          </cell>
          <cell r="Q407">
            <v>0</v>
          </cell>
          <cell r="R407">
            <v>0</v>
          </cell>
          <cell r="U407" t="str">
            <v>ГРП</v>
          </cell>
          <cell r="W407" t="str">
            <v>ВЦ, ГИС-2(ОТСК), ИР ЮК-10, ПР к ГРП и ГРП</v>
          </cell>
          <cell r="AF407">
            <v>30</v>
          </cell>
        </row>
        <row r="408">
          <cell r="B408">
            <v>5440</v>
          </cell>
          <cell r="C408">
            <v>108</v>
          </cell>
          <cell r="H408" t="str">
            <v>ЭЦН</v>
          </cell>
          <cell r="I408" t="str">
            <v>бд</v>
          </cell>
          <cell r="J408">
            <v>34365</v>
          </cell>
          <cell r="N408">
            <v>30</v>
          </cell>
          <cell r="O408">
            <v>10</v>
          </cell>
          <cell r="P408">
            <v>59</v>
          </cell>
          <cell r="Q408">
            <v>30</v>
          </cell>
          <cell r="R408">
            <v>10</v>
          </cell>
          <cell r="S408">
            <v>58.8</v>
          </cell>
          <cell r="U408" t="str">
            <v>ГРП</v>
          </cell>
          <cell r="W408" t="str">
            <v xml:space="preserve"> ВЦ ИР ЮК-11,ГРП</v>
          </cell>
          <cell r="Y408" t="str">
            <v>На забое 2 прибора ЦНИПР, по печати боковые задиры. КРС лов.работы не производил.</v>
          </cell>
          <cell r="AF408">
            <v>30</v>
          </cell>
        </row>
        <row r="409">
          <cell r="B409">
            <v>5441</v>
          </cell>
          <cell r="C409">
            <v>108</v>
          </cell>
          <cell r="H409" t="str">
            <v>ШГН</v>
          </cell>
          <cell r="I409" t="str">
            <v>бд</v>
          </cell>
          <cell r="J409">
            <v>34834</v>
          </cell>
          <cell r="N409">
            <v>30</v>
          </cell>
          <cell r="O409">
            <v>12</v>
          </cell>
          <cell r="P409">
            <v>51</v>
          </cell>
          <cell r="Q409">
            <v>30</v>
          </cell>
          <cell r="R409">
            <v>12</v>
          </cell>
          <cell r="S409">
            <v>50.6</v>
          </cell>
          <cell r="U409" t="str">
            <v>ГРП</v>
          </cell>
          <cell r="W409" t="str">
            <v>ВЦ, ЛА, ВЗ, ИР ЮК-11, ГРП</v>
          </cell>
          <cell r="AF409">
            <v>30</v>
          </cell>
        </row>
        <row r="410">
          <cell r="B410">
            <v>5443</v>
          </cell>
          <cell r="C410">
            <v>108</v>
          </cell>
          <cell r="H410" t="str">
            <v>ШГН</v>
          </cell>
          <cell r="I410" t="str">
            <v>бд</v>
          </cell>
          <cell r="J410">
            <v>35097</v>
          </cell>
          <cell r="N410">
            <v>30</v>
          </cell>
          <cell r="O410">
            <v>10</v>
          </cell>
          <cell r="P410">
            <v>59</v>
          </cell>
          <cell r="Q410">
            <v>30</v>
          </cell>
          <cell r="R410">
            <v>10</v>
          </cell>
          <cell r="S410">
            <v>58.8</v>
          </cell>
          <cell r="U410" t="str">
            <v>ГРП</v>
          </cell>
          <cell r="W410" t="str">
            <v>ВЦ, ВЗ, ИР ЮК-11, ГРП</v>
          </cell>
          <cell r="AF410">
            <v>29</v>
          </cell>
          <cell r="AG410">
            <v>-732</v>
          </cell>
          <cell r="AH410">
            <v>-1830</v>
          </cell>
        </row>
        <row r="411">
          <cell r="B411">
            <v>5444</v>
          </cell>
          <cell r="C411">
            <v>109</v>
          </cell>
          <cell r="F411" t="str">
            <v>ЗАО "УПКРС"</v>
          </cell>
          <cell r="G411">
            <v>270</v>
          </cell>
          <cell r="H411" t="str">
            <v>ЭЦН</v>
          </cell>
          <cell r="I411" t="str">
            <v>бд</v>
          </cell>
          <cell r="J411">
            <v>33784</v>
          </cell>
          <cell r="N411">
            <v>15</v>
          </cell>
          <cell r="O411">
            <v>6</v>
          </cell>
          <cell r="P411">
            <v>51</v>
          </cell>
          <cell r="Q411">
            <v>15</v>
          </cell>
          <cell r="R411">
            <v>6</v>
          </cell>
          <cell r="S411">
            <v>50.6</v>
          </cell>
          <cell r="T411">
            <v>37410</v>
          </cell>
          <cell r="U411" t="str">
            <v>ОПЗ</v>
          </cell>
          <cell r="W411" t="str">
            <v>ВЗ. ИР ЮК11. ГИС-2. ПП ЮК10. ОПЗ</v>
          </cell>
          <cell r="AF411">
            <v>32</v>
          </cell>
        </row>
        <row r="412">
          <cell r="B412">
            <v>5451</v>
          </cell>
          <cell r="C412">
            <v>101</v>
          </cell>
          <cell r="F412" t="str">
            <v>УПНПиКРС</v>
          </cell>
          <cell r="G412">
            <v>250</v>
          </cell>
          <cell r="H412" t="str">
            <v>ШГН</v>
          </cell>
          <cell r="I412" t="str">
            <v>бд</v>
          </cell>
          <cell r="J412">
            <v>35648</v>
          </cell>
          <cell r="N412">
            <v>21</v>
          </cell>
          <cell r="O412">
            <v>5.0999999999999996</v>
          </cell>
          <cell r="P412">
            <v>70</v>
          </cell>
          <cell r="Q412">
            <v>21</v>
          </cell>
          <cell r="R412">
            <v>5.0999999999999996</v>
          </cell>
          <cell r="S412">
            <v>70</v>
          </cell>
          <cell r="U412" t="str">
            <v>ОПЗ</v>
          </cell>
          <cell r="W412" t="str">
            <v>ВЦ,ВЗ ДП УГИС. ОПЗ НТПН. ГДИ</v>
          </cell>
          <cell r="X412" t="str">
            <v>Необходима СК</v>
          </cell>
          <cell r="Y412" t="str">
            <v>+40м</v>
          </cell>
          <cell r="Z412">
            <v>2924</v>
          </cell>
          <cell r="AA412" t="str">
            <v>73+60</v>
          </cell>
          <cell r="AF412">
            <v>25</v>
          </cell>
        </row>
        <row r="413">
          <cell r="B413">
            <v>5454</v>
          </cell>
          <cell r="C413">
            <v>102</v>
          </cell>
          <cell r="F413" t="str">
            <v>УПНПиКРС</v>
          </cell>
          <cell r="G413">
            <v>250</v>
          </cell>
          <cell r="H413" t="str">
            <v>ЭЦН</v>
          </cell>
          <cell r="I413" t="str">
            <v>конс.</v>
          </cell>
          <cell r="K413">
            <v>17</v>
          </cell>
          <cell r="L413">
            <v>0.1</v>
          </cell>
          <cell r="M413">
            <v>99</v>
          </cell>
          <cell r="N413">
            <v>30</v>
          </cell>
          <cell r="O413">
            <v>2</v>
          </cell>
          <cell r="P413">
            <v>91.8</v>
          </cell>
          <cell r="Q413">
            <v>30</v>
          </cell>
          <cell r="R413">
            <v>2</v>
          </cell>
          <cell r="S413">
            <v>91.8</v>
          </cell>
          <cell r="U413" t="str">
            <v>ОПЗ</v>
          </cell>
          <cell r="W413" t="str">
            <v>ВЦ. ГИС-2. Освоение УГИС</v>
          </cell>
          <cell r="X413" t="str">
            <v>в НКТ - на 170 м металл</v>
          </cell>
          <cell r="Y413" t="str">
            <v>аварийн.НКТ - 7м ИП открыто</v>
          </cell>
          <cell r="Z413">
            <v>2934</v>
          </cell>
          <cell r="AA413">
            <v>73</v>
          </cell>
          <cell r="AB413" t="str">
            <v>-</v>
          </cell>
          <cell r="AG413">
            <v>0</v>
          </cell>
          <cell r="AH413">
            <v>0</v>
          </cell>
        </row>
        <row r="414">
          <cell r="B414">
            <v>5455</v>
          </cell>
          <cell r="C414">
            <v>102</v>
          </cell>
          <cell r="G414">
            <v>240</v>
          </cell>
          <cell r="H414" t="str">
            <v>ШГН</v>
          </cell>
          <cell r="I414" t="str">
            <v>конс.</v>
          </cell>
          <cell r="J414">
            <v>32843</v>
          </cell>
          <cell r="K414">
            <v>7</v>
          </cell>
          <cell r="L414">
            <v>5</v>
          </cell>
          <cell r="M414">
            <v>12</v>
          </cell>
          <cell r="N414">
            <v>18</v>
          </cell>
          <cell r="O414">
            <v>10</v>
          </cell>
          <cell r="P414">
            <v>31.5</v>
          </cell>
          <cell r="Q414">
            <v>18</v>
          </cell>
          <cell r="R414">
            <v>10</v>
          </cell>
          <cell r="S414">
            <v>31.4</v>
          </cell>
          <cell r="W414" t="str">
            <v>ВЦ. ИР ЮК-10. ГДИ. ПП ДН. ГРП ЮК 2-3</v>
          </cell>
          <cell r="Y414" t="str">
            <v>+53</v>
          </cell>
          <cell r="Z414">
            <v>3033</v>
          </cell>
          <cell r="AG414">
            <v>0</v>
          </cell>
          <cell r="AH414">
            <v>0</v>
          </cell>
        </row>
        <row r="415">
          <cell r="B415">
            <v>5460</v>
          </cell>
          <cell r="C415">
            <v>104</v>
          </cell>
          <cell r="G415">
            <v>275</v>
          </cell>
          <cell r="H415" t="str">
            <v>ЭЦН</v>
          </cell>
          <cell r="I415" t="str">
            <v>бд</v>
          </cell>
          <cell r="J415">
            <v>34138</v>
          </cell>
          <cell r="K415">
            <v>28</v>
          </cell>
          <cell r="L415">
            <v>5.9</v>
          </cell>
          <cell r="M415">
            <v>74</v>
          </cell>
          <cell r="N415">
            <v>10</v>
          </cell>
          <cell r="O415">
            <v>0.5</v>
          </cell>
          <cell r="P415">
            <v>94</v>
          </cell>
          <cell r="Q415">
            <v>10</v>
          </cell>
          <cell r="R415">
            <v>0.5</v>
          </cell>
          <cell r="S415">
            <v>93.8</v>
          </cell>
          <cell r="U415" t="str">
            <v>ОВП</v>
          </cell>
          <cell r="W415" t="str">
            <v>ВЦ. ОТСК. Ликв.грифона. ГИС-2. ОВП. ГИС-2</v>
          </cell>
          <cell r="X415" t="str">
            <v>ВЦ субподрядом. МЕТКА</v>
          </cell>
          <cell r="Y415" t="str">
            <v>перекрыт ИП - 10 м</v>
          </cell>
        </row>
        <row r="416">
          <cell r="B416">
            <v>5461</v>
          </cell>
          <cell r="C416">
            <v>104</v>
          </cell>
          <cell r="F416" t="str">
            <v>УПНПиКРС</v>
          </cell>
          <cell r="G416">
            <v>280</v>
          </cell>
          <cell r="H416" t="str">
            <v>ЭЦН</v>
          </cell>
          <cell r="I416" t="str">
            <v>конс.</v>
          </cell>
          <cell r="K416">
            <v>14</v>
          </cell>
          <cell r="L416">
            <v>0.6</v>
          </cell>
          <cell r="M416">
            <v>95</v>
          </cell>
          <cell r="N416">
            <v>50</v>
          </cell>
          <cell r="O416">
            <v>3.1</v>
          </cell>
          <cell r="P416">
            <v>92.5</v>
          </cell>
          <cell r="Q416">
            <v>50</v>
          </cell>
          <cell r="R416">
            <v>3.1</v>
          </cell>
          <cell r="S416">
            <v>92.3</v>
          </cell>
          <cell r="W416" t="str">
            <v>ВЦ. ВЗ. ГИС-2. Спуск ЭЦН</v>
          </cell>
          <cell r="X416" t="str">
            <v>ОВП по результатам эксплуатации</v>
          </cell>
          <cell r="AF416">
            <v>30</v>
          </cell>
        </row>
        <row r="417">
          <cell r="B417">
            <v>5473</v>
          </cell>
          <cell r="C417">
            <v>110</v>
          </cell>
          <cell r="H417" t="str">
            <v>ЭЦН</v>
          </cell>
          <cell r="I417" t="str">
            <v>конс.</v>
          </cell>
          <cell r="J417">
            <v>36014</v>
          </cell>
          <cell r="N417">
            <v>20</v>
          </cell>
          <cell r="O417">
            <v>10</v>
          </cell>
          <cell r="P417">
            <v>38.5</v>
          </cell>
          <cell r="Q417">
            <v>20</v>
          </cell>
          <cell r="R417">
            <v>10</v>
          </cell>
          <cell r="S417">
            <v>38.299999999999997</v>
          </cell>
          <cell r="U417" t="str">
            <v>ГРП</v>
          </cell>
          <cell r="W417" t="str">
            <v>ВЦ, ГИС, ИР ЮК-11, ГРП верх ЮК-10</v>
          </cell>
          <cell r="AF417">
            <v>30</v>
          </cell>
        </row>
        <row r="418">
          <cell r="B418">
            <v>5475</v>
          </cell>
          <cell r="C418">
            <v>110</v>
          </cell>
          <cell r="H418" t="str">
            <v>нагн</v>
          </cell>
          <cell r="I418" t="str">
            <v>конс.</v>
          </cell>
          <cell r="J418">
            <v>33603</v>
          </cell>
          <cell r="N418">
            <v>40</v>
          </cell>
          <cell r="O418">
            <v>16</v>
          </cell>
          <cell r="P418">
            <v>51</v>
          </cell>
          <cell r="Q418">
            <v>40</v>
          </cell>
          <cell r="R418">
            <v>16</v>
          </cell>
          <cell r="S418">
            <v>50.6</v>
          </cell>
          <cell r="U418" t="str">
            <v>ГРП</v>
          </cell>
          <cell r="W418" t="str">
            <v>ВЦ, ГИС, ГРП  ЮК-10( ЗБГС в напр.5474)</v>
          </cell>
          <cell r="Y418" t="str">
            <v>+11</v>
          </cell>
          <cell r="Z418">
            <v>2876</v>
          </cell>
          <cell r="AA418">
            <v>73</v>
          </cell>
          <cell r="AB418" t="str">
            <v>апр,май 01</v>
          </cell>
        </row>
        <row r="419">
          <cell r="B419">
            <v>5482</v>
          </cell>
          <cell r="C419">
            <v>114</v>
          </cell>
          <cell r="F419" t="str">
            <v>УПНПиКРС</v>
          </cell>
          <cell r="G419">
            <v>216</v>
          </cell>
          <cell r="H419" t="str">
            <v>ШГН</v>
          </cell>
          <cell r="I419" t="str">
            <v>конс.</v>
          </cell>
          <cell r="L419">
            <v>0</v>
          </cell>
          <cell r="N419">
            <v>18</v>
          </cell>
          <cell r="O419">
            <v>10</v>
          </cell>
          <cell r="P419">
            <v>31.5</v>
          </cell>
          <cell r="Q419">
            <v>18</v>
          </cell>
          <cell r="R419">
            <v>10</v>
          </cell>
          <cell r="S419">
            <v>31.4</v>
          </cell>
          <cell r="U419" t="str">
            <v>ВВ</v>
          </cell>
          <cell r="W419" t="str">
            <v>ИР ЮК10. ДП(ДН), ГРП ЮК-2-6</v>
          </cell>
          <cell r="X419" t="str">
            <v>Отложена</v>
          </cell>
          <cell r="Y419" t="str">
            <v>ОЦ5.10.99</v>
          </cell>
          <cell r="AF419">
            <v>25</v>
          </cell>
        </row>
        <row r="420">
          <cell r="B420">
            <v>5483</v>
          </cell>
          <cell r="C420">
            <v>115</v>
          </cell>
          <cell r="H420" t="str">
            <v>ЭЦН</v>
          </cell>
          <cell r="I420" t="str">
            <v>конс.</v>
          </cell>
          <cell r="J420">
            <v>34274</v>
          </cell>
          <cell r="N420">
            <v>20</v>
          </cell>
          <cell r="O420">
            <v>8.1999999999999993</v>
          </cell>
          <cell r="P420">
            <v>50</v>
          </cell>
          <cell r="Q420">
            <v>20</v>
          </cell>
          <cell r="R420">
            <v>8.1999999999999993</v>
          </cell>
          <cell r="S420">
            <v>49.4</v>
          </cell>
          <cell r="U420" t="str">
            <v>ГРП</v>
          </cell>
          <cell r="W420" t="str">
            <v>ВЦ, ГИС-2(ОТСК), ИР ЮК-10, ПР к ГРП и ГРП</v>
          </cell>
          <cell r="AF420">
            <v>14</v>
          </cell>
          <cell r="AG420">
            <v>0</v>
          </cell>
          <cell r="AH420">
            <v>0</v>
          </cell>
        </row>
        <row r="421">
          <cell r="B421">
            <v>5511</v>
          </cell>
          <cell r="C421">
            <v>114</v>
          </cell>
          <cell r="F421" t="str">
            <v>ЗАО "УПКРС"</v>
          </cell>
          <cell r="G421">
            <v>245</v>
          </cell>
          <cell r="H421" t="str">
            <v>ШГН</v>
          </cell>
          <cell r="I421" t="str">
            <v>действ.</v>
          </cell>
          <cell r="K421">
            <v>4</v>
          </cell>
          <cell r="L421">
            <v>1.7</v>
          </cell>
          <cell r="M421">
            <v>47</v>
          </cell>
          <cell r="N421">
            <v>10</v>
          </cell>
          <cell r="O421">
            <v>4.3</v>
          </cell>
          <cell r="P421">
            <v>47</v>
          </cell>
          <cell r="Q421">
            <v>6</v>
          </cell>
          <cell r="R421">
            <v>2.5999999999999996</v>
          </cell>
          <cell r="S421">
            <v>46.5</v>
          </cell>
          <cell r="U421" t="str">
            <v>ОПЗ</v>
          </cell>
          <cell r="W421" t="str">
            <v>УГИС. ОПЗ НТПН. ГДИ</v>
          </cell>
          <cell r="Y421" t="str">
            <v>+41</v>
          </cell>
          <cell r="Z421">
            <v>2725</v>
          </cell>
          <cell r="AA421">
            <v>73</v>
          </cell>
          <cell r="AB421">
            <v>32695</v>
          </cell>
          <cell r="AF421">
            <v>30</v>
          </cell>
        </row>
        <row r="422">
          <cell r="B422">
            <v>5546</v>
          </cell>
          <cell r="C422">
            <v>115</v>
          </cell>
          <cell r="F422" t="str">
            <v>УПНПиКРС</v>
          </cell>
          <cell r="G422">
            <v>245</v>
          </cell>
          <cell r="H422" t="str">
            <v>нагнет.</v>
          </cell>
          <cell r="I422" t="str">
            <v>бд</v>
          </cell>
          <cell r="J422">
            <v>34261</v>
          </cell>
          <cell r="N422">
            <v>100</v>
          </cell>
          <cell r="Q422">
            <v>100</v>
          </cell>
          <cell r="R422">
            <v>0</v>
          </cell>
          <cell r="U422" t="str">
            <v>нг</v>
          </cell>
          <cell r="W422" t="str">
            <v>ВЗ. ОТСК. Запуск ППД</v>
          </cell>
          <cell r="X422" t="str">
            <v>В скв. НКТ с пакером</v>
          </cell>
          <cell r="AF422">
            <v>14</v>
          </cell>
          <cell r="AG422">
            <v>89</v>
          </cell>
          <cell r="AH422">
            <v>550</v>
          </cell>
        </row>
        <row r="423">
          <cell r="B423">
            <v>5561</v>
          </cell>
          <cell r="C423">
            <v>119</v>
          </cell>
          <cell r="F423" t="str">
            <v>УПНПиКРС</v>
          </cell>
          <cell r="G423">
            <v>235</v>
          </cell>
          <cell r="H423" t="str">
            <v>ШГН</v>
          </cell>
          <cell r="I423" t="str">
            <v>бд</v>
          </cell>
          <cell r="J423">
            <v>37123</v>
          </cell>
          <cell r="K423">
            <v>8</v>
          </cell>
          <cell r="L423">
            <v>1.6</v>
          </cell>
          <cell r="M423">
            <v>75</v>
          </cell>
          <cell r="N423">
            <v>50</v>
          </cell>
          <cell r="O423">
            <v>8.1</v>
          </cell>
          <cell r="P423">
            <v>80</v>
          </cell>
          <cell r="Q423">
            <v>50</v>
          </cell>
          <cell r="R423">
            <v>8.1</v>
          </cell>
          <cell r="T423">
            <v>37277</v>
          </cell>
          <cell r="U423" t="str">
            <v>ОПЗ</v>
          </cell>
          <cell r="V423">
            <v>2</v>
          </cell>
          <cell r="W423" t="str">
            <v>ОПЗ КСПЭО. УГИС</v>
          </cell>
          <cell r="X423" t="str">
            <v>ЮК-10 перф-н многократно</v>
          </cell>
          <cell r="AF423">
            <v>30</v>
          </cell>
        </row>
        <row r="424">
          <cell r="B424">
            <v>5562</v>
          </cell>
          <cell r="C424">
            <v>119</v>
          </cell>
          <cell r="F424" t="str">
            <v>УПНПиКРС</v>
          </cell>
          <cell r="G424">
            <v>255</v>
          </cell>
          <cell r="H424" t="str">
            <v>ШГН</v>
          </cell>
          <cell r="I424" t="str">
            <v>бд</v>
          </cell>
          <cell r="J424">
            <v>36896</v>
          </cell>
          <cell r="K424">
            <v>14</v>
          </cell>
          <cell r="L424">
            <v>4.0999999999999996</v>
          </cell>
          <cell r="M424">
            <v>64</v>
          </cell>
          <cell r="N424">
            <v>16</v>
          </cell>
          <cell r="O424">
            <v>4</v>
          </cell>
          <cell r="P424">
            <v>69</v>
          </cell>
          <cell r="Q424">
            <v>16</v>
          </cell>
          <cell r="R424">
            <v>4</v>
          </cell>
          <cell r="S424">
            <v>69.099999999999994</v>
          </cell>
          <cell r="T424">
            <v>37342</v>
          </cell>
          <cell r="U424" t="str">
            <v>ОПЗ</v>
          </cell>
          <cell r="V424">
            <v>4</v>
          </cell>
          <cell r="W424" t="str">
            <v>ВЦ РИР ЮК-11 ПП. ОПЗ НТПН. ГДИ</v>
          </cell>
          <cell r="X424" t="str">
            <v>РИР 2770</v>
          </cell>
          <cell r="Y424" t="str">
            <v>ниж.секция Э-50 - 1976 м</v>
          </cell>
          <cell r="AF424">
            <v>33</v>
          </cell>
          <cell r="AG424">
            <v>32</v>
          </cell>
          <cell r="AH424">
            <v>200</v>
          </cell>
        </row>
        <row r="425">
          <cell r="B425">
            <v>5563</v>
          </cell>
          <cell r="C425">
            <v>119</v>
          </cell>
          <cell r="F425" t="str">
            <v>УПНПиКРС</v>
          </cell>
          <cell r="G425">
            <v>255</v>
          </cell>
          <cell r="H425" t="str">
            <v>ЭЦН</v>
          </cell>
          <cell r="I425" t="str">
            <v>бд</v>
          </cell>
          <cell r="J425">
            <v>36418</v>
          </cell>
          <cell r="K425">
            <v>40</v>
          </cell>
          <cell r="L425">
            <v>6.5</v>
          </cell>
          <cell r="M425">
            <v>80</v>
          </cell>
          <cell r="N425">
            <v>50</v>
          </cell>
          <cell r="O425">
            <v>8</v>
          </cell>
          <cell r="P425">
            <v>80.400000000000006</v>
          </cell>
          <cell r="Q425">
            <v>50</v>
          </cell>
          <cell r="R425">
            <v>8</v>
          </cell>
          <cell r="S425">
            <v>80.2</v>
          </cell>
          <cell r="T425">
            <v>37311</v>
          </cell>
          <cell r="U425" t="str">
            <v>ОПЗ</v>
          </cell>
          <cell r="V425">
            <v>3</v>
          </cell>
          <cell r="W425" t="str">
            <v>ЛА. ПП. УГИС</v>
          </cell>
          <cell r="AF425">
            <v>26</v>
          </cell>
          <cell r="AG425">
            <v>-28</v>
          </cell>
          <cell r="AH425">
            <v>-350</v>
          </cell>
        </row>
        <row r="426">
          <cell r="B426">
            <v>5578</v>
          </cell>
          <cell r="C426">
            <v>115</v>
          </cell>
          <cell r="F426" t="str">
            <v>УПНПиКРС</v>
          </cell>
          <cell r="G426">
            <v>245</v>
          </cell>
          <cell r="H426" t="str">
            <v>ЭЦН</v>
          </cell>
          <cell r="I426" t="str">
            <v>бд</v>
          </cell>
          <cell r="J426">
            <v>36473</v>
          </cell>
          <cell r="K426">
            <v>50</v>
          </cell>
          <cell r="L426">
            <v>0.4</v>
          </cell>
          <cell r="M426">
            <v>99</v>
          </cell>
          <cell r="N426">
            <v>50</v>
          </cell>
          <cell r="O426">
            <v>4</v>
          </cell>
          <cell r="P426">
            <v>90.2</v>
          </cell>
          <cell r="Q426">
            <v>50</v>
          </cell>
          <cell r="R426">
            <v>4</v>
          </cell>
          <cell r="S426">
            <v>90.1</v>
          </cell>
          <cell r="T426">
            <v>7</v>
          </cell>
          <cell r="U426" t="str">
            <v>ОПЗ</v>
          </cell>
          <cell r="W426" t="str">
            <v>ГИС-2. ПП ДН. УГИС</v>
          </cell>
          <cell r="Y426" t="str">
            <v>открыто 8 м ИП</v>
          </cell>
          <cell r="Z426">
            <v>2725</v>
          </cell>
          <cell r="AA426">
            <v>73</v>
          </cell>
          <cell r="AB426">
            <v>32695</v>
          </cell>
          <cell r="AF426">
            <v>30</v>
          </cell>
          <cell r="AG426">
            <v>-28</v>
          </cell>
          <cell r="AH426">
            <v>-350</v>
          </cell>
        </row>
        <row r="427">
          <cell r="B427">
            <v>5579</v>
          </cell>
          <cell r="C427">
            <v>115</v>
          </cell>
          <cell r="F427" t="str">
            <v>УПНПиКРС</v>
          </cell>
          <cell r="G427">
            <v>245</v>
          </cell>
          <cell r="H427" t="str">
            <v>ЭЦН</v>
          </cell>
          <cell r="I427" t="str">
            <v>конс.</v>
          </cell>
          <cell r="J427">
            <v>34883</v>
          </cell>
          <cell r="K427">
            <v>46</v>
          </cell>
          <cell r="L427">
            <v>1.9</v>
          </cell>
          <cell r="M427">
            <v>95</v>
          </cell>
          <cell r="N427">
            <v>50</v>
          </cell>
          <cell r="O427">
            <v>4</v>
          </cell>
          <cell r="P427">
            <v>90.2</v>
          </cell>
          <cell r="Q427">
            <v>50</v>
          </cell>
          <cell r="R427">
            <v>4</v>
          </cell>
          <cell r="S427">
            <v>90.1</v>
          </cell>
          <cell r="T427">
            <v>7</v>
          </cell>
          <cell r="U427" t="str">
            <v>ВЦ</v>
          </cell>
          <cell r="W427" t="str">
            <v>ВЦ. ВЗ. ГИС-2. УГИС. ЭЦН</v>
          </cell>
          <cell r="X427" t="str">
            <v>нет СК и карточки?</v>
          </cell>
          <cell r="AF427">
            <v>26</v>
          </cell>
        </row>
        <row r="428">
          <cell r="B428">
            <v>5583</v>
          </cell>
          <cell r="C428">
            <v>116</v>
          </cell>
          <cell r="F428" t="str">
            <v>УПНПиКРС</v>
          </cell>
          <cell r="G428">
            <v>250</v>
          </cell>
          <cell r="H428" t="str">
            <v>ЭЦН</v>
          </cell>
          <cell r="I428" t="str">
            <v>конс.</v>
          </cell>
          <cell r="K428">
            <v>50</v>
          </cell>
          <cell r="L428">
            <v>1.6</v>
          </cell>
          <cell r="M428">
            <v>96</v>
          </cell>
          <cell r="N428">
            <v>30</v>
          </cell>
          <cell r="O428">
            <v>4</v>
          </cell>
          <cell r="P428">
            <v>83.5</v>
          </cell>
          <cell r="Q428">
            <v>30</v>
          </cell>
          <cell r="R428">
            <v>4</v>
          </cell>
          <cell r="S428">
            <v>83.5</v>
          </cell>
          <cell r="T428">
            <v>7</v>
          </cell>
          <cell r="U428" t="str">
            <v>ОПЗ</v>
          </cell>
          <cell r="W428" t="str">
            <v>ВЦ. ОПЗ КСПЭО. ГДИ</v>
          </cell>
          <cell r="Y428" t="str">
            <v>Прихват НКТ</v>
          </cell>
          <cell r="AF428">
            <v>30</v>
          </cell>
        </row>
        <row r="429">
          <cell r="B429">
            <v>5612</v>
          </cell>
          <cell r="C429">
            <v>115</v>
          </cell>
          <cell r="F429" t="str">
            <v>УПНПиКРС</v>
          </cell>
          <cell r="G429">
            <v>255</v>
          </cell>
          <cell r="H429" t="str">
            <v>нагнет.</v>
          </cell>
          <cell r="I429" t="str">
            <v>бд</v>
          </cell>
          <cell r="J429">
            <v>33876</v>
          </cell>
          <cell r="Q429">
            <v>80</v>
          </cell>
          <cell r="T429">
            <v>3</v>
          </cell>
          <cell r="U429" t="str">
            <v>нг</v>
          </cell>
          <cell r="W429" t="str">
            <v>ВЗ. ОТСК. ОПЗ ИХН. Ввод в ППД</v>
          </cell>
          <cell r="AF429">
            <v>30</v>
          </cell>
        </row>
        <row r="430">
          <cell r="B430">
            <v>5613</v>
          </cell>
          <cell r="C430">
            <v>115</v>
          </cell>
          <cell r="F430" t="str">
            <v>УПНПиКРС</v>
          </cell>
          <cell r="G430">
            <v>240</v>
          </cell>
          <cell r="H430" t="str">
            <v>ЭЦН</v>
          </cell>
          <cell r="I430" t="str">
            <v>конс.</v>
          </cell>
          <cell r="J430">
            <v>34883</v>
          </cell>
          <cell r="K430">
            <v>52</v>
          </cell>
          <cell r="L430">
            <v>1.7</v>
          </cell>
          <cell r="M430">
            <v>96</v>
          </cell>
          <cell r="N430">
            <v>50</v>
          </cell>
          <cell r="O430">
            <v>4</v>
          </cell>
          <cell r="P430">
            <v>90.2</v>
          </cell>
          <cell r="Q430">
            <v>50</v>
          </cell>
          <cell r="R430">
            <v>4</v>
          </cell>
          <cell r="S430">
            <v>90.1</v>
          </cell>
          <cell r="T430">
            <v>7</v>
          </cell>
          <cell r="U430" t="str">
            <v>ОВП</v>
          </cell>
          <cell r="W430" t="str">
            <v>ВЗ. ГИС-2 (ЗКЦ). ИР. ПП. ОПЗ</v>
          </cell>
          <cell r="X430" t="str">
            <v>Что на забое?</v>
          </cell>
          <cell r="Y430" t="str">
            <v>+69</v>
          </cell>
          <cell r="Z430">
            <v>2924</v>
          </cell>
          <cell r="AA430">
            <v>73</v>
          </cell>
          <cell r="AB430">
            <v>36861</v>
          </cell>
          <cell r="AF430">
            <v>20</v>
          </cell>
        </row>
        <row r="431">
          <cell r="B431">
            <v>5642</v>
          </cell>
          <cell r="C431">
            <v>126</v>
          </cell>
          <cell r="F431" t="str">
            <v>УПНПиКРС</v>
          </cell>
          <cell r="G431">
            <v>230</v>
          </cell>
          <cell r="H431" t="str">
            <v>ШГН</v>
          </cell>
          <cell r="I431" t="str">
            <v>действ.</v>
          </cell>
          <cell r="K431">
            <v>7</v>
          </cell>
          <cell r="L431">
            <v>3.1</v>
          </cell>
          <cell r="M431">
            <v>45</v>
          </cell>
          <cell r="N431">
            <v>18</v>
          </cell>
          <cell r="O431">
            <v>10</v>
          </cell>
          <cell r="P431">
            <v>31.5</v>
          </cell>
          <cell r="Q431">
            <v>11</v>
          </cell>
          <cell r="R431">
            <v>6.9</v>
          </cell>
          <cell r="S431">
            <v>22.6</v>
          </cell>
          <cell r="U431" t="str">
            <v>ВВ</v>
          </cell>
          <cell r="W431" t="str">
            <v>ИР ЮК10-11, ДП(ДН), ГРП ЮК-4-5</v>
          </cell>
          <cell r="X431" t="str">
            <v>Целесообразность?</v>
          </cell>
          <cell r="AF431">
            <v>31</v>
          </cell>
          <cell r="AG431">
            <v>-149268</v>
          </cell>
          <cell r="AH431">
            <v>-298536</v>
          </cell>
        </row>
        <row r="432">
          <cell r="B432">
            <v>5642</v>
          </cell>
          <cell r="C432">
            <v>126</v>
          </cell>
          <cell r="F432" t="str">
            <v>УПНПиКРС</v>
          </cell>
          <cell r="G432">
            <v>230</v>
          </cell>
          <cell r="H432" t="str">
            <v>ШГН</v>
          </cell>
          <cell r="I432" t="str">
            <v>бд</v>
          </cell>
          <cell r="J432">
            <v>36997</v>
          </cell>
          <cell r="N432">
            <v>8</v>
          </cell>
          <cell r="O432">
            <v>4</v>
          </cell>
          <cell r="P432">
            <v>38</v>
          </cell>
          <cell r="Q432">
            <v>8</v>
          </cell>
          <cell r="R432">
            <v>4</v>
          </cell>
          <cell r="S432">
            <v>38.299999999999997</v>
          </cell>
          <cell r="T432">
            <v>37317</v>
          </cell>
          <cell r="U432" t="str">
            <v>ОПЗ</v>
          </cell>
          <cell r="W432" t="str">
            <v>ВЦ. ОПЗ НТПН. УГИС</v>
          </cell>
          <cell r="AF432">
            <v>44</v>
          </cell>
          <cell r="AG432">
            <v>-55</v>
          </cell>
          <cell r="AH432">
            <v>-330</v>
          </cell>
        </row>
        <row r="433">
          <cell r="B433">
            <v>5645</v>
          </cell>
          <cell r="C433">
            <v>126</v>
          </cell>
          <cell r="F433" t="str">
            <v>УПНПиКРС</v>
          </cell>
          <cell r="G433">
            <v>230</v>
          </cell>
          <cell r="H433" t="str">
            <v>ШГН</v>
          </cell>
          <cell r="I433" t="str">
            <v>конс.</v>
          </cell>
          <cell r="J433">
            <v>35435</v>
          </cell>
          <cell r="N433">
            <v>30</v>
          </cell>
          <cell r="O433">
            <v>5</v>
          </cell>
          <cell r="P433">
            <v>79.5</v>
          </cell>
          <cell r="Q433">
            <v>30</v>
          </cell>
          <cell r="R433">
            <v>5</v>
          </cell>
          <cell r="S433">
            <v>79.400000000000006</v>
          </cell>
          <cell r="T433">
            <v>11</v>
          </cell>
          <cell r="U433" t="str">
            <v>ОПЗ</v>
          </cell>
          <cell r="W433" t="str">
            <v>ВЦ. ПП (перфосреда). ЭЦН</v>
          </cell>
          <cell r="AF433">
            <v>29</v>
          </cell>
          <cell r="AG433">
            <v>-186735</v>
          </cell>
          <cell r="AH433">
            <v>-298776</v>
          </cell>
        </row>
        <row r="434">
          <cell r="B434">
            <v>5646</v>
          </cell>
          <cell r="C434">
            <v>125</v>
          </cell>
          <cell r="F434" t="str">
            <v>УПНПиКРС</v>
          </cell>
          <cell r="G434">
            <v>255</v>
          </cell>
          <cell r="H434" t="str">
            <v>ШГН</v>
          </cell>
          <cell r="I434" t="str">
            <v>бд</v>
          </cell>
          <cell r="J434">
            <v>36933</v>
          </cell>
          <cell r="K434">
            <v>6</v>
          </cell>
          <cell r="L434">
            <v>4.5999999999999996</v>
          </cell>
          <cell r="M434">
            <v>6</v>
          </cell>
          <cell r="N434">
            <v>8</v>
          </cell>
          <cell r="O434">
            <v>5</v>
          </cell>
          <cell r="P434">
            <v>24</v>
          </cell>
          <cell r="Q434">
            <v>8</v>
          </cell>
          <cell r="R434">
            <v>5</v>
          </cell>
          <cell r="S434">
            <v>22.8</v>
          </cell>
          <cell r="T434">
            <v>37347</v>
          </cell>
          <cell r="U434" t="str">
            <v>ОПЗ</v>
          </cell>
          <cell r="W434" t="str">
            <v>ВЦ. ПП (перфосреда). ОПЗ НТПН</v>
          </cell>
          <cell r="Y434" t="str">
            <v>Полет БТ</v>
          </cell>
          <cell r="AF434">
            <v>24</v>
          </cell>
        </row>
        <row r="435">
          <cell r="B435">
            <v>5647</v>
          </cell>
          <cell r="C435">
            <v>125</v>
          </cell>
          <cell r="F435" t="str">
            <v>УПНПиКРС</v>
          </cell>
          <cell r="G435">
            <v>230</v>
          </cell>
          <cell r="H435" t="str">
            <v>ШГН</v>
          </cell>
          <cell r="I435" t="str">
            <v>бд</v>
          </cell>
          <cell r="N435">
            <v>12</v>
          </cell>
          <cell r="O435">
            <v>2.9</v>
          </cell>
          <cell r="P435">
            <v>70</v>
          </cell>
          <cell r="Q435">
            <v>12</v>
          </cell>
          <cell r="R435">
            <v>2.9</v>
          </cell>
          <cell r="S435">
            <v>70.2</v>
          </cell>
          <cell r="U435" t="str">
            <v>ОПЗ</v>
          </cell>
          <cell r="W435" t="str">
            <v>ВЦ. ПП (перфосреда) ОПЗ НТПН</v>
          </cell>
          <cell r="X435" t="str">
            <v>в эксп.не была</v>
          </cell>
          <cell r="AF435">
            <v>15</v>
          </cell>
          <cell r="AG435" t="e">
            <v>#REF!</v>
          </cell>
          <cell r="AH435" t="e">
            <v>#REF!</v>
          </cell>
        </row>
        <row r="436">
          <cell r="B436">
            <v>5704</v>
          </cell>
          <cell r="C436">
            <v>126</v>
          </cell>
          <cell r="F436" t="str">
            <v>УПНПиКРС</v>
          </cell>
          <cell r="G436">
            <v>230</v>
          </cell>
          <cell r="H436" t="str">
            <v>ШГН</v>
          </cell>
          <cell r="I436" t="str">
            <v>действ.</v>
          </cell>
          <cell r="K436">
            <v>3</v>
          </cell>
          <cell r="L436">
            <v>2.1</v>
          </cell>
          <cell r="M436">
            <v>16</v>
          </cell>
          <cell r="N436">
            <v>10</v>
          </cell>
          <cell r="O436">
            <v>6.6</v>
          </cell>
          <cell r="P436">
            <v>19</v>
          </cell>
          <cell r="Q436">
            <v>7</v>
          </cell>
          <cell r="R436">
            <v>4.5</v>
          </cell>
          <cell r="S436">
            <v>20.6</v>
          </cell>
          <cell r="T436" t="e">
            <v>#REF!</v>
          </cell>
          <cell r="U436" t="str">
            <v>ОПЗ</v>
          </cell>
          <cell r="W436" t="str">
            <v>ПП. ОПЗ КСПЭО. ГДИ</v>
          </cell>
          <cell r="X436" t="str">
            <v>Перестрел верха</v>
          </cell>
          <cell r="AF436">
            <v>35</v>
          </cell>
        </row>
        <row r="437">
          <cell r="B437">
            <v>5706</v>
          </cell>
          <cell r="C437">
            <v>125</v>
          </cell>
          <cell r="F437" t="str">
            <v>УПНПиКРС</v>
          </cell>
          <cell r="G437">
            <v>250</v>
          </cell>
          <cell r="H437" t="str">
            <v>ШГН</v>
          </cell>
          <cell r="K437">
            <v>1.5</v>
          </cell>
          <cell r="L437">
            <v>1.2</v>
          </cell>
          <cell r="M437">
            <v>0</v>
          </cell>
          <cell r="N437">
            <v>10</v>
          </cell>
          <cell r="O437">
            <v>4.5</v>
          </cell>
          <cell r="P437">
            <v>45</v>
          </cell>
          <cell r="Q437">
            <v>10</v>
          </cell>
          <cell r="R437">
            <v>4.5</v>
          </cell>
          <cell r="S437">
            <v>44.4</v>
          </cell>
          <cell r="T437">
            <v>37412</v>
          </cell>
          <cell r="U437" t="str">
            <v>ОПЗ</v>
          </cell>
          <cell r="W437" t="str">
            <v>ВЦ. УГИС (ПП)</v>
          </cell>
          <cell r="AF437">
            <v>28</v>
          </cell>
        </row>
        <row r="438">
          <cell r="B438">
            <v>5707</v>
          </cell>
          <cell r="C438">
            <v>125</v>
          </cell>
          <cell r="F438" t="str">
            <v>УПНПиКРС</v>
          </cell>
          <cell r="G438">
            <v>250</v>
          </cell>
          <cell r="H438" t="str">
            <v>ШГН</v>
          </cell>
          <cell r="K438">
            <v>24</v>
          </cell>
          <cell r="L438">
            <v>9.8000000000000007</v>
          </cell>
          <cell r="M438">
            <v>50</v>
          </cell>
          <cell r="N438">
            <v>50</v>
          </cell>
          <cell r="O438">
            <v>6.5</v>
          </cell>
          <cell r="P438">
            <v>84</v>
          </cell>
          <cell r="Q438">
            <v>50</v>
          </cell>
          <cell r="R438">
            <v>6.5</v>
          </cell>
          <cell r="S438">
            <v>84</v>
          </cell>
          <cell r="T438">
            <v>37376</v>
          </cell>
          <cell r="U438" t="str">
            <v>ЛА</v>
          </cell>
          <cell r="W438" t="str">
            <v>ЛА. ИДН (УГИС). ЭЦН</v>
          </cell>
        </row>
        <row r="439">
          <cell r="B439">
            <v>5713</v>
          </cell>
          <cell r="C439">
            <v>127</v>
          </cell>
          <cell r="H439" t="str">
            <v>ЭЦН</v>
          </cell>
          <cell r="I439" t="str">
            <v>конс.</v>
          </cell>
          <cell r="J439">
            <v>35457</v>
          </cell>
          <cell r="N439">
            <v>50</v>
          </cell>
          <cell r="O439">
            <v>6.1</v>
          </cell>
          <cell r="P439">
            <v>85</v>
          </cell>
          <cell r="Q439">
            <v>50</v>
          </cell>
          <cell r="R439">
            <v>6.1</v>
          </cell>
          <cell r="S439">
            <v>84.9</v>
          </cell>
          <cell r="U439" t="str">
            <v>ОПЗ</v>
          </cell>
          <cell r="W439" t="str">
            <v>ВЦ, ОПЗ НТПН, УГИС</v>
          </cell>
          <cell r="AF439">
            <v>25</v>
          </cell>
        </row>
        <row r="440">
          <cell r="B440">
            <v>5742</v>
          </cell>
          <cell r="C440">
            <v>128</v>
          </cell>
          <cell r="F440" t="str">
            <v>ЗАО "УПКРС"</v>
          </cell>
          <cell r="G440">
            <v>265</v>
          </cell>
          <cell r="H440" t="str">
            <v>ЭЦН</v>
          </cell>
          <cell r="K440">
            <v>20</v>
          </cell>
          <cell r="L440">
            <v>1</v>
          </cell>
          <cell r="M440">
            <v>94</v>
          </cell>
          <cell r="N440">
            <v>30</v>
          </cell>
          <cell r="O440">
            <v>4</v>
          </cell>
          <cell r="P440">
            <v>83.5</v>
          </cell>
          <cell r="Q440">
            <v>30</v>
          </cell>
          <cell r="R440">
            <v>4</v>
          </cell>
          <cell r="S440">
            <v>83.5</v>
          </cell>
          <cell r="T440">
            <v>7</v>
          </cell>
          <cell r="U440" t="str">
            <v>ОВП</v>
          </cell>
          <cell r="W440" t="str">
            <v>ИР ЮК11. ГИС-2. ПП ЮК10 (УГИС)</v>
          </cell>
          <cell r="Y440" t="str">
            <v>+37</v>
          </cell>
          <cell r="Z440">
            <v>2898</v>
          </cell>
          <cell r="AA440">
            <v>73</v>
          </cell>
          <cell r="AB440">
            <v>36717</v>
          </cell>
          <cell r="AC440">
            <v>281</v>
          </cell>
          <cell r="AF440">
            <v>12</v>
          </cell>
          <cell r="AG440">
            <v>0</v>
          </cell>
          <cell r="AH440">
            <v>5646300</v>
          </cell>
        </row>
        <row r="441">
          <cell r="B441">
            <v>5800</v>
          </cell>
          <cell r="C441">
            <v>141</v>
          </cell>
          <cell r="F441" t="str">
            <v>ЗАО "УПКРС"</v>
          </cell>
          <cell r="G441">
            <v>281</v>
          </cell>
          <cell r="H441" t="str">
            <v>нагнет.</v>
          </cell>
          <cell r="I441" t="str">
            <v>бд</v>
          </cell>
          <cell r="J441">
            <v>36641</v>
          </cell>
          <cell r="N441">
            <v>150</v>
          </cell>
          <cell r="Q441">
            <v>150</v>
          </cell>
          <cell r="T441">
            <v>8</v>
          </cell>
          <cell r="U441" t="str">
            <v>нг</v>
          </cell>
          <cell r="V441">
            <v>2</v>
          </cell>
          <cell r="W441" t="str">
            <v>Ревизия и привязка пакера, каверномер.</v>
          </cell>
          <cell r="AF441">
            <v>9</v>
          </cell>
        </row>
        <row r="442">
          <cell r="B442">
            <v>5807</v>
          </cell>
          <cell r="C442" t="str">
            <v>166б</v>
          </cell>
          <cell r="F442" t="str">
            <v>ЗАО "УПКРС"</v>
          </cell>
          <cell r="G442">
            <v>290</v>
          </cell>
          <cell r="H442" t="str">
            <v>нагнет.</v>
          </cell>
          <cell r="I442" t="str">
            <v>простой</v>
          </cell>
          <cell r="J442">
            <v>37166</v>
          </cell>
          <cell r="N442">
            <v>200</v>
          </cell>
          <cell r="Q442">
            <v>200</v>
          </cell>
          <cell r="T442">
            <v>11</v>
          </cell>
          <cell r="U442" t="str">
            <v>нг</v>
          </cell>
          <cell r="V442">
            <v>2</v>
          </cell>
          <cell r="W442" t="str">
            <v>Ревизия и привязка пакера, каверномер.</v>
          </cell>
          <cell r="Y442" t="str">
            <v>Негерметичность ЭК (2000г.)</v>
          </cell>
          <cell r="AF442">
            <v>21</v>
          </cell>
        </row>
        <row r="443">
          <cell r="B443">
            <v>5808</v>
          </cell>
          <cell r="C443">
            <v>141</v>
          </cell>
          <cell r="F443" t="str">
            <v>УПНПиКРС</v>
          </cell>
          <cell r="G443">
            <v>260</v>
          </cell>
          <cell r="H443" t="str">
            <v>ШГН</v>
          </cell>
          <cell r="I443" t="str">
            <v>бд</v>
          </cell>
          <cell r="J443">
            <v>33755</v>
          </cell>
          <cell r="K443">
            <v>3</v>
          </cell>
          <cell r="L443">
            <v>2.1</v>
          </cell>
          <cell r="M443">
            <v>15</v>
          </cell>
          <cell r="N443">
            <v>24</v>
          </cell>
          <cell r="O443">
            <v>10.5</v>
          </cell>
          <cell r="P443">
            <v>46.5</v>
          </cell>
          <cell r="Q443">
            <v>24</v>
          </cell>
          <cell r="R443">
            <v>10.5</v>
          </cell>
          <cell r="S443">
            <v>46</v>
          </cell>
          <cell r="T443">
            <v>15</v>
          </cell>
          <cell r="U443" t="str">
            <v>ГРП</v>
          </cell>
          <cell r="W443" t="str">
            <v>ЛН. ПР ГРП. ГРП ЮК-10</v>
          </cell>
          <cell r="Y443" t="str">
            <v>+20</v>
          </cell>
          <cell r="Z443">
            <v>2905</v>
          </cell>
          <cell r="AA443">
            <v>73</v>
          </cell>
          <cell r="AB443" t="str">
            <v>янв 97</v>
          </cell>
          <cell r="AF443">
            <v>18</v>
          </cell>
          <cell r="AG443">
            <v>-105</v>
          </cell>
          <cell r="AH443">
            <v>-150</v>
          </cell>
        </row>
        <row r="444">
          <cell r="B444">
            <v>5822</v>
          </cell>
          <cell r="C444">
            <v>141</v>
          </cell>
          <cell r="F444" t="str">
            <v>УПНПиКРС</v>
          </cell>
          <cell r="G444">
            <v>245</v>
          </cell>
          <cell r="H444" t="str">
            <v>ШГН</v>
          </cell>
          <cell r="I444" t="str">
            <v>бд</v>
          </cell>
          <cell r="J444">
            <v>36854</v>
          </cell>
          <cell r="K444">
            <v>12</v>
          </cell>
          <cell r="L444">
            <v>9.1</v>
          </cell>
          <cell r="M444">
            <v>7</v>
          </cell>
          <cell r="N444">
            <v>10</v>
          </cell>
          <cell r="O444">
            <v>7</v>
          </cell>
          <cell r="P444">
            <v>13.6</v>
          </cell>
          <cell r="Q444">
            <v>10</v>
          </cell>
          <cell r="R444">
            <v>7</v>
          </cell>
          <cell r="S444">
            <v>13.6</v>
          </cell>
          <cell r="T444">
            <v>15</v>
          </cell>
          <cell r="U444" t="str">
            <v>ОПЗ</v>
          </cell>
          <cell r="W444" t="str">
            <v>ВЦ. ПП. ОПЗ КСПЭО</v>
          </cell>
          <cell r="AF444">
            <v>54</v>
          </cell>
          <cell r="AG444">
            <v>150664</v>
          </cell>
          <cell r="AH444">
            <v>1318310</v>
          </cell>
        </row>
        <row r="445">
          <cell r="B445" t="str">
            <v>2868б</v>
          </cell>
          <cell r="C445">
            <v>129</v>
          </cell>
          <cell r="F445" t="str">
            <v>ЗАО "УПКРС"</v>
          </cell>
          <cell r="G445">
            <v>255</v>
          </cell>
          <cell r="H445" t="str">
            <v>ШГН</v>
          </cell>
          <cell r="I445" t="str">
            <v>конс.</v>
          </cell>
          <cell r="J445">
            <v>34029</v>
          </cell>
          <cell r="N445">
            <v>35</v>
          </cell>
          <cell r="O445">
            <v>4</v>
          </cell>
          <cell r="P445">
            <v>86</v>
          </cell>
          <cell r="Q445">
            <v>35</v>
          </cell>
          <cell r="R445">
            <v>4</v>
          </cell>
          <cell r="S445">
            <v>85.9</v>
          </cell>
          <cell r="T445">
            <v>15</v>
          </cell>
          <cell r="U445" t="str">
            <v>ОПЗ</v>
          </cell>
          <cell r="V445">
            <v>3</v>
          </cell>
          <cell r="W445" t="str">
            <v>ВЦ. ГИС (гироскоп). ПП. ОПЗ(ГРП). УГИС</v>
          </cell>
          <cell r="AD445">
            <v>37326</v>
          </cell>
          <cell r="AE445">
            <v>37348</v>
          </cell>
          <cell r="AF445">
            <v>22</v>
          </cell>
          <cell r="AG445">
            <v>264</v>
          </cell>
          <cell r="AH445">
            <v>660</v>
          </cell>
        </row>
        <row r="446">
          <cell r="B446">
            <v>2614</v>
          </cell>
          <cell r="C446">
            <v>157</v>
          </cell>
          <cell r="D446">
            <v>11</v>
          </cell>
          <cell r="E446">
            <v>111</v>
          </cell>
          <cell r="F446" t="str">
            <v>УПНПиКРС</v>
          </cell>
          <cell r="G446">
            <v>230</v>
          </cell>
          <cell r="H446" t="str">
            <v>ШГН</v>
          </cell>
          <cell r="I446" t="str">
            <v>конс.</v>
          </cell>
          <cell r="J446">
            <v>33786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37363</v>
          </cell>
          <cell r="U446" t="str">
            <v>ГРП</v>
          </cell>
          <cell r="V446">
            <v>2</v>
          </cell>
          <cell r="W446" t="str">
            <v>ВЦ,ПП, ГРП</v>
          </cell>
        </row>
        <row r="447">
          <cell r="B447">
            <v>2684</v>
          </cell>
          <cell r="C447" t="str">
            <v>145б</v>
          </cell>
          <cell r="D447">
            <v>1</v>
          </cell>
          <cell r="I447" t="str">
            <v>бд</v>
          </cell>
          <cell r="J447">
            <v>34243</v>
          </cell>
          <cell r="K447">
            <v>3.3</v>
          </cell>
          <cell r="L447">
            <v>2.7</v>
          </cell>
          <cell r="M447">
            <v>0</v>
          </cell>
          <cell r="N447">
            <v>30</v>
          </cell>
          <cell r="O447">
            <v>12</v>
          </cell>
          <cell r="P447">
            <v>51</v>
          </cell>
          <cell r="Q447">
            <v>30</v>
          </cell>
          <cell r="R447">
            <v>12</v>
          </cell>
          <cell r="S447">
            <v>50.6</v>
          </cell>
          <cell r="U447" t="str">
            <v>ГРП</v>
          </cell>
          <cell r="W447" t="str">
            <v>ОТСК, РИР не герм.Э/К, ГРП(переинтерпритация 2572-2584, 2604-2612 + ab)</v>
          </cell>
        </row>
        <row r="448">
          <cell r="B448">
            <v>5575</v>
          </cell>
          <cell r="C448">
            <v>114</v>
          </cell>
          <cell r="D448">
            <v>1</v>
          </cell>
          <cell r="H448" t="str">
            <v>ШГН</v>
          </cell>
          <cell r="I448" t="str">
            <v>конс.</v>
          </cell>
          <cell r="J448">
            <v>35034</v>
          </cell>
          <cell r="K448">
            <v>1</v>
          </cell>
          <cell r="L448">
            <v>0</v>
          </cell>
          <cell r="M448">
            <v>99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U448" t="str">
            <v>ГРП</v>
          </cell>
          <cell r="W448" t="str">
            <v>РИР э/к,ГИС-2,ОТСК,ГРП.Переинт.2574-258м по гл.2364м,при наличии воды по ЮК-10 -ГРП ЮК-2</v>
          </cell>
        </row>
        <row r="449">
          <cell r="B449">
            <v>5579</v>
          </cell>
          <cell r="C449">
            <v>115</v>
          </cell>
          <cell r="D449">
            <v>1</v>
          </cell>
          <cell r="I449" t="str">
            <v>конс.</v>
          </cell>
          <cell r="J449">
            <v>34883</v>
          </cell>
          <cell r="K449">
            <v>17</v>
          </cell>
          <cell r="L449">
            <v>1</v>
          </cell>
          <cell r="M449">
            <v>93</v>
          </cell>
          <cell r="O449">
            <v>0</v>
          </cell>
          <cell r="Q449">
            <v>0</v>
          </cell>
          <cell r="R449">
            <v>0</v>
          </cell>
          <cell r="S449" t="e">
            <v>#DIV/0!</v>
          </cell>
          <cell r="W449" t="str">
            <v>ВЦ,ВЗ,при наличии Нз-сп Э-50 (ГИС-2),при невозм.ВЗ-переинт.ЮК-2- 2490-2498м-ГРП</v>
          </cell>
          <cell r="AG449">
            <v>0</v>
          </cell>
          <cell r="AH449">
            <v>0</v>
          </cell>
        </row>
        <row r="450">
          <cell r="B450">
            <v>5513</v>
          </cell>
          <cell r="C450">
            <v>114</v>
          </cell>
          <cell r="D450">
            <v>2</v>
          </cell>
          <cell r="G450">
            <v>250</v>
          </cell>
          <cell r="H450" t="str">
            <v>ЭЦН</v>
          </cell>
          <cell r="I450" t="str">
            <v>действ.</v>
          </cell>
          <cell r="J450">
            <v>0</v>
          </cell>
          <cell r="K450">
            <v>17</v>
          </cell>
          <cell r="L450">
            <v>4</v>
          </cell>
          <cell r="M450">
            <v>71</v>
          </cell>
          <cell r="N450">
            <v>35</v>
          </cell>
          <cell r="O450">
            <v>15.1</v>
          </cell>
          <cell r="P450">
            <v>47</v>
          </cell>
          <cell r="Q450">
            <v>18</v>
          </cell>
          <cell r="R450">
            <v>11.1</v>
          </cell>
          <cell r="S450">
            <v>23.9</v>
          </cell>
          <cell r="U450" t="str">
            <v>ГРП</v>
          </cell>
          <cell r="W450" t="str">
            <v>опытно-пром,работы,ГРП,по обв,скважины ( ГРП 40т проп.)</v>
          </cell>
          <cell r="X450" t="str">
            <v>Ликвидация аварии (ЭЦН+НКТ)</v>
          </cell>
        </row>
        <row r="453">
          <cell r="B453">
            <v>5671</v>
          </cell>
          <cell r="C453">
            <v>126</v>
          </cell>
          <cell r="D453">
            <v>2</v>
          </cell>
          <cell r="H453" t="str">
            <v>ШГН</v>
          </cell>
          <cell r="I453" t="str">
            <v>конс.</v>
          </cell>
          <cell r="J453">
            <v>35648</v>
          </cell>
          <cell r="K453">
            <v>3</v>
          </cell>
          <cell r="L453">
            <v>2.4</v>
          </cell>
          <cell r="M453">
            <v>2</v>
          </cell>
          <cell r="N453">
            <v>30</v>
          </cell>
          <cell r="O453">
            <v>12</v>
          </cell>
          <cell r="P453">
            <v>51</v>
          </cell>
          <cell r="Q453">
            <v>30</v>
          </cell>
          <cell r="R453">
            <v>12</v>
          </cell>
          <cell r="S453">
            <v>50.6</v>
          </cell>
          <cell r="U453" t="str">
            <v>ГРП</v>
          </cell>
          <cell r="W453" t="str">
            <v>ВЦ,ГРП (+12 т ),интер.ЮК-4 2746-2752м</v>
          </cell>
        </row>
        <row r="454">
          <cell r="B454">
            <v>2754</v>
          </cell>
          <cell r="C454">
            <v>145</v>
          </cell>
          <cell r="D454">
            <v>3</v>
          </cell>
          <cell r="I454" t="str">
            <v>конс.</v>
          </cell>
          <cell r="J454">
            <v>32843</v>
          </cell>
          <cell r="K454">
            <v>6</v>
          </cell>
          <cell r="L454">
            <v>0.5</v>
          </cell>
          <cell r="M454">
            <v>90</v>
          </cell>
          <cell r="N454">
            <v>30</v>
          </cell>
          <cell r="O454">
            <v>12</v>
          </cell>
          <cell r="P454">
            <v>51</v>
          </cell>
          <cell r="Q454">
            <v>30</v>
          </cell>
          <cell r="R454">
            <v>12</v>
          </cell>
          <cell r="S454">
            <v>50.6</v>
          </cell>
          <cell r="U454" t="str">
            <v>ГРП</v>
          </cell>
          <cell r="W454" t="str">
            <v>ГРП, возможно приобщение ЮК-11</v>
          </cell>
        </row>
        <row r="455">
          <cell r="B455">
            <v>2755</v>
          </cell>
          <cell r="C455">
            <v>145</v>
          </cell>
          <cell r="D455">
            <v>3</v>
          </cell>
          <cell r="I455" t="str">
            <v>бд</v>
          </cell>
          <cell r="J455">
            <v>33968</v>
          </cell>
          <cell r="K455">
            <v>40</v>
          </cell>
          <cell r="L455">
            <v>1.6</v>
          </cell>
          <cell r="M455">
            <v>95</v>
          </cell>
          <cell r="N455">
            <v>30</v>
          </cell>
          <cell r="O455">
            <v>12</v>
          </cell>
          <cell r="P455">
            <v>51</v>
          </cell>
          <cell r="Q455">
            <v>30</v>
          </cell>
          <cell r="R455">
            <v>12</v>
          </cell>
          <cell r="S455">
            <v>50.6</v>
          </cell>
          <cell r="U455" t="str">
            <v>ГРП</v>
          </cell>
          <cell r="W455" t="str">
            <v>ГИС-2(и.о.) РИР ЮК-11, ГРП с отсыпкой низа ЮК-10</v>
          </cell>
        </row>
        <row r="456">
          <cell r="B456">
            <v>2756</v>
          </cell>
          <cell r="C456">
            <v>145</v>
          </cell>
          <cell r="D456">
            <v>3</v>
          </cell>
          <cell r="I456" t="str">
            <v>бд</v>
          </cell>
          <cell r="J456">
            <v>35786</v>
          </cell>
          <cell r="K456">
            <v>70</v>
          </cell>
          <cell r="L456">
            <v>10.8</v>
          </cell>
          <cell r="M456">
            <v>81</v>
          </cell>
          <cell r="N456">
            <v>50</v>
          </cell>
          <cell r="O456">
            <v>10</v>
          </cell>
          <cell r="P456">
            <v>75.400000000000006</v>
          </cell>
          <cell r="Q456">
            <v>50</v>
          </cell>
          <cell r="R456">
            <v>10</v>
          </cell>
          <cell r="S456">
            <v>75.3</v>
          </cell>
          <cell r="U456" t="str">
            <v>РИР</v>
          </cell>
          <cell r="W456" t="str">
            <v>РИР Э/К 2562-2673, ПП-ЮК-10 с ОПЗ</v>
          </cell>
        </row>
        <row r="457">
          <cell r="B457">
            <v>2686</v>
          </cell>
          <cell r="C457" t="str">
            <v>160б</v>
          </cell>
          <cell r="I457" t="str">
            <v>конс.</v>
          </cell>
          <cell r="J457">
            <v>34060</v>
          </cell>
          <cell r="K457">
            <v>1</v>
          </cell>
          <cell r="L457">
            <v>0.8</v>
          </cell>
          <cell r="M457">
            <v>0</v>
          </cell>
          <cell r="N457">
            <v>30</v>
          </cell>
          <cell r="O457">
            <v>12</v>
          </cell>
          <cell r="P457">
            <v>51</v>
          </cell>
          <cell r="Q457">
            <v>30</v>
          </cell>
          <cell r="R457">
            <v>12</v>
          </cell>
          <cell r="S457">
            <v>50.6</v>
          </cell>
          <cell r="U457" t="str">
            <v>ГРП</v>
          </cell>
          <cell r="W457" t="str">
            <v>ВЦ, РИР ЮК-11, ГРП юк-10, инт. 2528-2545,2552-2562.При наличии нефти в ЮК-2-5, перевод на ЮК-2-5</v>
          </cell>
        </row>
        <row r="458">
          <cell r="B458">
            <v>2836</v>
          </cell>
          <cell r="C458">
            <v>125</v>
          </cell>
          <cell r="I458" t="str">
            <v>конс.</v>
          </cell>
          <cell r="J458">
            <v>35684</v>
          </cell>
          <cell r="K458">
            <v>4</v>
          </cell>
          <cell r="L458">
            <v>1.1000000000000001</v>
          </cell>
          <cell r="M458">
            <v>66</v>
          </cell>
          <cell r="O458">
            <v>0</v>
          </cell>
          <cell r="Q458">
            <v>0</v>
          </cell>
          <cell r="R458">
            <v>0</v>
          </cell>
          <cell r="S458" t="e">
            <v>#DIV/0!</v>
          </cell>
          <cell r="W458" t="str">
            <v>ГИС-2,при отс.перетоков-опытно-пром.работы,ГРП п.А</v>
          </cell>
        </row>
        <row r="459">
          <cell r="B459">
            <v>5239</v>
          </cell>
          <cell r="C459">
            <v>133</v>
          </cell>
          <cell r="H459" t="str">
            <v>ШГН</v>
          </cell>
          <cell r="I459" t="str">
            <v>действ.</v>
          </cell>
          <cell r="J459">
            <v>0</v>
          </cell>
          <cell r="K459">
            <v>5</v>
          </cell>
          <cell r="L459">
            <v>3.6</v>
          </cell>
          <cell r="M459">
            <v>11</v>
          </cell>
          <cell r="N459">
            <v>30</v>
          </cell>
          <cell r="O459">
            <v>19.600000000000001</v>
          </cell>
          <cell r="P459">
            <v>20</v>
          </cell>
          <cell r="Q459">
            <v>25</v>
          </cell>
          <cell r="R459">
            <v>16</v>
          </cell>
          <cell r="S459">
            <v>21</v>
          </cell>
          <cell r="U459" t="str">
            <v>ГРП</v>
          </cell>
          <cell r="W459" t="str">
            <v>интерпр.ЮК-4 2496-258м,повтор.ГРП ( в график КРС )</v>
          </cell>
        </row>
        <row r="460">
          <cell r="B460">
            <v>5394</v>
          </cell>
          <cell r="C460">
            <v>102</v>
          </cell>
          <cell r="I460" t="str">
            <v>бд</v>
          </cell>
          <cell r="J460">
            <v>34881</v>
          </cell>
          <cell r="K460">
            <v>50</v>
          </cell>
          <cell r="L460">
            <v>0.4</v>
          </cell>
          <cell r="M460">
            <v>99</v>
          </cell>
          <cell r="N460">
            <v>30</v>
          </cell>
          <cell r="O460">
            <v>12</v>
          </cell>
          <cell r="P460">
            <v>51</v>
          </cell>
          <cell r="Q460">
            <v>30</v>
          </cell>
          <cell r="R460">
            <v>12</v>
          </cell>
          <cell r="S460">
            <v>50.6</v>
          </cell>
          <cell r="U460" t="str">
            <v>ГРП</v>
          </cell>
          <cell r="W460" t="str">
            <v>ЛА( полет НКТ ),ПП,при Q меньше 10м3/с-ГРП-+15т</v>
          </cell>
        </row>
        <row r="461">
          <cell r="B461">
            <v>5410</v>
          </cell>
          <cell r="C461">
            <v>105</v>
          </cell>
          <cell r="I461" t="str">
            <v>бд</v>
          </cell>
          <cell r="J461">
            <v>35361</v>
          </cell>
          <cell r="K461">
            <v>10</v>
          </cell>
          <cell r="L461">
            <v>6.5</v>
          </cell>
          <cell r="M461">
            <v>20</v>
          </cell>
          <cell r="O461">
            <v>0</v>
          </cell>
          <cell r="Q461">
            <v>0</v>
          </cell>
          <cell r="R461">
            <v>0</v>
          </cell>
          <cell r="S461" t="e">
            <v>#DIV/0!</v>
          </cell>
          <cell r="W461" t="str">
            <v>ВЦ,ГРП п.А</v>
          </cell>
        </row>
        <row r="462">
          <cell r="B462">
            <v>5577</v>
          </cell>
          <cell r="C462">
            <v>114</v>
          </cell>
          <cell r="D462">
            <v>1</v>
          </cell>
          <cell r="I462" t="str">
            <v>конс.</v>
          </cell>
          <cell r="J462">
            <v>33848</v>
          </cell>
          <cell r="K462">
            <v>3</v>
          </cell>
          <cell r="L462">
            <v>2.4</v>
          </cell>
          <cell r="M462">
            <v>0</v>
          </cell>
          <cell r="N462">
            <v>8</v>
          </cell>
          <cell r="O462">
            <v>6.2</v>
          </cell>
          <cell r="P462">
            <v>5</v>
          </cell>
          <cell r="Q462">
            <v>8</v>
          </cell>
          <cell r="R462">
            <v>6.2</v>
          </cell>
          <cell r="S462">
            <v>4.3</v>
          </cell>
          <cell r="W462" t="str">
            <v>ВЦ,сп Э-50,переинт.ЮК-2 2618-2624м,при наличии воды-перевод без ГРП,по гл.2350м</v>
          </cell>
        </row>
        <row r="463">
          <cell r="B463">
            <v>5578</v>
          </cell>
          <cell r="C463">
            <v>115</v>
          </cell>
          <cell r="I463" t="str">
            <v>бд</v>
          </cell>
          <cell r="J463">
            <v>36473</v>
          </cell>
          <cell r="K463">
            <v>52</v>
          </cell>
          <cell r="L463">
            <v>0.8</v>
          </cell>
          <cell r="M463">
            <v>98</v>
          </cell>
          <cell r="O463">
            <v>0</v>
          </cell>
          <cell r="Q463">
            <v>0</v>
          </cell>
          <cell r="R463">
            <v>0</v>
          </cell>
          <cell r="S463" t="e">
            <v>#DIV/0!</v>
          </cell>
          <cell r="W463" t="str">
            <v>РИР,негерм.э/к,инт.2576-2582м,ГРП</v>
          </cell>
        </row>
        <row r="464">
          <cell r="B464">
            <v>5647</v>
          </cell>
          <cell r="C464">
            <v>125</v>
          </cell>
          <cell r="I464" t="str">
            <v>бд</v>
          </cell>
          <cell r="J464">
            <v>35401</v>
          </cell>
          <cell r="K464">
            <v>5</v>
          </cell>
          <cell r="L464">
            <v>0</v>
          </cell>
          <cell r="M464">
            <v>99</v>
          </cell>
          <cell r="O464">
            <v>0</v>
          </cell>
          <cell r="Q464">
            <v>0</v>
          </cell>
          <cell r="R464">
            <v>0</v>
          </cell>
          <cell r="S464" t="e">
            <v>#DIV/0!</v>
          </cell>
          <cell r="W464" t="str">
            <v>ЛА ( полет БТ ),РИР ниж.п.ЮК-10,перф.п.А,ГРП</v>
          </cell>
        </row>
        <row r="465">
          <cell r="B465">
            <v>5648</v>
          </cell>
          <cell r="C465">
            <v>125</v>
          </cell>
          <cell r="I465" t="str">
            <v>конс.</v>
          </cell>
          <cell r="J465">
            <v>33786</v>
          </cell>
          <cell r="K465">
            <v>10</v>
          </cell>
          <cell r="L465">
            <v>0.1</v>
          </cell>
          <cell r="M465">
            <v>99</v>
          </cell>
          <cell r="O465">
            <v>0</v>
          </cell>
          <cell r="Q465">
            <v>0</v>
          </cell>
          <cell r="R465">
            <v>0</v>
          </cell>
          <cell r="S465" t="e">
            <v>#DIV/0!</v>
          </cell>
          <cell r="W465" t="str">
            <v>ЛА (НГН со шт.),опытно-пром.работы,ПП п.А,отсыпка нижней пачки,ГРП,сп Э-80</v>
          </cell>
        </row>
        <row r="466">
          <cell r="B466">
            <v>5677</v>
          </cell>
          <cell r="C466">
            <v>125</v>
          </cell>
          <cell r="I466" t="str">
            <v>бд</v>
          </cell>
          <cell r="J466">
            <v>35170</v>
          </cell>
          <cell r="K466">
            <v>60</v>
          </cell>
          <cell r="L466">
            <v>0.5</v>
          </cell>
          <cell r="M466">
            <v>99</v>
          </cell>
          <cell r="O466">
            <v>0</v>
          </cell>
          <cell r="Q466">
            <v>0</v>
          </cell>
          <cell r="R466">
            <v>0</v>
          </cell>
          <cell r="S466" t="e">
            <v>#DIV/0!</v>
          </cell>
          <cell r="W466" t="str">
            <v xml:space="preserve">ЛА ( НН со штангами ),ГИС-2,РИР п.В,ПП п.А,ГРП,при невозм.ЛА ЗБГС </v>
          </cell>
          <cell r="AD466" t="e">
            <v>#REF!</v>
          </cell>
          <cell r="AE466" t="e">
            <v>#REF!</v>
          </cell>
          <cell r="AF466">
            <v>15</v>
          </cell>
          <cell r="AG466" t="e">
            <v>#REF!</v>
          </cell>
          <cell r="AH466" t="e">
            <v>#REF!</v>
          </cell>
        </row>
        <row r="467">
          <cell r="B467">
            <v>5704</v>
          </cell>
          <cell r="C467">
            <v>126</v>
          </cell>
          <cell r="G467">
            <v>230</v>
          </cell>
          <cell r="H467" t="str">
            <v>ШГН</v>
          </cell>
          <cell r="I467" t="str">
            <v>бд</v>
          </cell>
          <cell r="J467">
            <v>37174</v>
          </cell>
          <cell r="K467">
            <v>2</v>
          </cell>
          <cell r="L467">
            <v>1.5</v>
          </cell>
          <cell r="M467">
            <v>5</v>
          </cell>
          <cell r="N467">
            <v>30</v>
          </cell>
          <cell r="O467">
            <v>12</v>
          </cell>
          <cell r="P467">
            <v>51</v>
          </cell>
          <cell r="Q467">
            <v>30</v>
          </cell>
          <cell r="R467">
            <v>12</v>
          </cell>
          <cell r="S467">
            <v>50.6</v>
          </cell>
          <cell r="U467" t="str">
            <v>ГРП</v>
          </cell>
          <cell r="W467" t="str">
            <v>ГРП п.А</v>
          </cell>
          <cell r="X467" t="str">
            <v>Перестрел верха</v>
          </cell>
        </row>
        <row r="468">
          <cell r="B468">
            <v>5815</v>
          </cell>
          <cell r="C468">
            <v>141</v>
          </cell>
          <cell r="H468" t="str">
            <v>ШГН</v>
          </cell>
          <cell r="I468" t="str">
            <v>действ.</v>
          </cell>
          <cell r="J468">
            <v>0</v>
          </cell>
          <cell r="K468">
            <v>11</v>
          </cell>
          <cell r="L468">
            <v>8.3000000000000007</v>
          </cell>
          <cell r="M468">
            <v>7</v>
          </cell>
          <cell r="N468">
            <v>30</v>
          </cell>
          <cell r="O468">
            <v>20.3</v>
          </cell>
          <cell r="P468">
            <v>17</v>
          </cell>
          <cell r="Q468">
            <v>19</v>
          </cell>
          <cell r="R468">
            <v>12</v>
          </cell>
          <cell r="S468">
            <v>22</v>
          </cell>
          <cell r="U468" t="str">
            <v>ГРП</v>
          </cell>
          <cell r="W468" t="str">
            <v xml:space="preserve">РИР (отсыпка)ЮК-11,ПП ЮК-10, ГРП </v>
          </cell>
          <cell r="Y468" t="str">
            <v>ОЦ5.10.99</v>
          </cell>
          <cell r="AD468">
            <v>37290</v>
          </cell>
          <cell r="AE468">
            <v>37336</v>
          </cell>
          <cell r="AF468">
            <v>46</v>
          </cell>
        </row>
        <row r="469">
          <cell r="B469">
            <v>5483</v>
          </cell>
          <cell r="C469">
            <v>115</v>
          </cell>
          <cell r="D469">
            <v>21</v>
          </cell>
          <cell r="E469">
            <v>210</v>
          </cell>
          <cell r="F469" t="str">
            <v>УПНПиКРС</v>
          </cell>
          <cell r="G469">
            <v>250</v>
          </cell>
          <cell r="H469" t="str">
            <v>ЭЦН</v>
          </cell>
          <cell r="I469" t="str">
            <v>конс.</v>
          </cell>
          <cell r="J469">
            <v>34274</v>
          </cell>
          <cell r="N469">
            <v>30</v>
          </cell>
          <cell r="O469">
            <v>18.3</v>
          </cell>
          <cell r="P469">
            <v>25</v>
          </cell>
          <cell r="Q469">
            <v>30</v>
          </cell>
          <cell r="R469">
            <v>18.3</v>
          </cell>
          <cell r="S469">
            <v>24.7</v>
          </cell>
          <cell r="U469" t="str">
            <v>ГРП</v>
          </cell>
          <cell r="V469">
            <v>1</v>
          </cell>
          <cell r="W469" t="str">
            <v>ВЦ, ГИС-2(ОТСК), ИР ЮК-10, ПР к ГРП,ГРП(ПГРП сделано,ГРП отменили)</v>
          </cell>
        </row>
        <row r="470">
          <cell r="Y470" t="str">
            <v>-</v>
          </cell>
          <cell r="Z470" t="str">
            <v>-</v>
          </cell>
          <cell r="AA470">
            <v>73</v>
          </cell>
          <cell r="AF470">
            <v>17</v>
          </cell>
          <cell r="AG470">
            <v>0</v>
          </cell>
          <cell r="AH470">
            <v>4525320</v>
          </cell>
        </row>
        <row r="471">
          <cell r="B471">
            <v>5371</v>
          </cell>
          <cell r="C471">
            <v>102</v>
          </cell>
          <cell r="G471">
            <v>250</v>
          </cell>
          <cell r="H471" t="str">
            <v>нагнет.</v>
          </cell>
          <cell r="I471" t="str">
            <v>бд</v>
          </cell>
          <cell r="J471">
            <v>35779</v>
          </cell>
          <cell r="K471">
            <v>240</v>
          </cell>
          <cell r="N471">
            <v>120</v>
          </cell>
          <cell r="Q471">
            <v>120</v>
          </cell>
          <cell r="R471">
            <v>0</v>
          </cell>
          <cell r="U471" t="str">
            <v>нг</v>
          </cell>
          <cell r="V471">
            <v>4</v>
          </cell>
          <cell r="W471" t="str">
            <v>ОТСК. Запуск ППД</v>
          </cell>
          <cell r="Y471" t="str">
            <v>Полет НКТ</v>
          </cell>
          <cell r="Z471">
            <v>120</v>
          </cell>
          <cell r="AF471">
            <v>26</v>
          </cell>
          <cell r="AG471">
            <v>0</v>
          </cell>
          <cell r="AH471">
            <v>0</v>
          </cell>
        </row>
        <row r="472">
          <cell r="B472">
            <v>5372</v>
          </cell>
          <cell r="C472">
            <v>102</v>
          </cell>
          <cell r="G472">
            <v>250</v>
          </cell>
          <cell r="H472" t="str">
            <v>нагнет.</v>
          </cell>
          <cell r="I472" t="str">
            <v>бд</v>
          </cell>
          <cell r="J472">
            <v>32843</v>
          </cell>
          <cell r="K472">
            <v>130</v>
          </cell>
          <cell r="N472">
            <v>120</v>
          </cell>
          <cell r="Q472">
            <v>120</v>
          </cell>
          <cell r="R472">
            <v>0</v>
          </cell>
          <cell r="U472" t="str">
            <v>нг</v>
          </cell>
          <cell r="W472" t="str">
            <v>ЛА (извлечение НКТ). ОТСК. Запуск ППД</v>
          </cell>
          <cell r="X472" t="str">
            <v>Забой - 120 м</v>
          </cell>
          <cell r="Y472" t="str">
            <v>зумпф-1м (нижн. интерв.изолир.)</v>
          </cell>
          <cell r="Z472">
            <v>2733.6</v>
          </cell>
          <cell r="AA472">
            <v>73</v>
          </cell>
          <cell r="AB472">
            <v>39541</v>
          </cell>
          <cell r="AC472">
            <v>223.1</v>
          </cell>
          <cell r="AF472">
            <v>36</v>
          </cell>
          <cell r="AG472">
            <v>0</v>
          </cell>
          <cell r="AH472">
            <v>0</v>
          </cell>
        </row>
        <row r="473">
          <cell r="B473">
            <v>5373</v>
          </cell>
          <cell r="C473">
            <v>103</v>
          </cell>
          <cell r="G473">
            <v>233</v>
          </cell>
          <cell r="H473" t="str">
            <v>нагнет.</v>
          </cell>
          <cell r="I473" t="str">
            <v>конс.</v>
          </cell>
          <cell r="J473">
            <v>34474</v>
          </cell>
          <cell r="K473">
            <v>375</v>
          </cell>
          <cell r="N473">
            <v>120</v>
          </cell>
          <cell r="Q473">
            <v>120</v>
          </cell>
          <cell r="R473">
            <v>0</v>
          </cell>
          <cell r="U473" t="str">
            <v>нг</v>
          </cell>
          <cell r="W473" t="str">
            <v>ОТСК. ГИС-3. Ликвидация ЗКЦ?</v>
          </cell>
          <cell r="Y473" t="str">
            <v>+19</v>
          </cell>
          <cell r="Z473">
            <v>2767</v>
          </cell>
          <cell r="AC473">
            <v>224.5</v>
          </cell>
          <cell r="AF473">
            <v>35</v>
          </cell>
          <cell r="AG473">
            <v>0</v>
          </cell>
          <cell r="AH473">
            <v>0</v>
          </cell>
        </row>
        <row r="474">
          <cell r="B474">
            <v>5374</v>
          </cell>
          <cell r="C474">
            <v>103</v>
          </cell>
          <cell r="G474">
            <v>234</v>
          </cell>
          <cell r="H474" t="str">
            <v>нагнет.</v>
          </cell>
          <cell r="I474" t="str">
            <v>конс.</v>
          </cell>
          <cell r="J474">
            <v>34474</v>
          </cell>
          <cell r="K474">
            <v>180</v>
          </cell>
          <cell r="N474">
            <v>120</v>
          </cell>
          <cell r="Q474">
            <v>120</v>
          </cell>
          <cell r="R474">
            <v>0</v>
          </cell>
          <cell r="U474" t="str">
            <v>нг</v>
          </cell>
          <cell r="W474" t="str">
            <v>ВЗ. ОТСК</v>
          </cell>
          <cell r="AF474">
            <v>11</v>
          </cell>
          <cell r="AG474">
            <v>0</v>
          </cell>
          <cell r="AH474">
            <v>0</v>
          </cell>
        </row>
        <row r="475">
          <cell r="B475">
            <v>5389</v>
          </cell>
          <cell r="C475">
            <v>109</v>
          </cell>
          <cell r="G475">
            <v>280</v>
          </cell>
          <cell r="H475" t="str">
            <v>нагнет.</v>
          </cell>
          <cell r="I475" t="str">
            <v>бд</v>
          </cell>
          <cell r="J475">
            <v>36458</v>
          </cell>
          <cell r="K475">
            <v>175</v>
          </cell>
          <cell r="N475">
            <v>100</v>
          </cell>
          <cell r="Q475">
            <v>100</v>
          </cell>
          <cell r="U475" t="str">
            <v>нг</v>
          </cell>
          <cell r="W475" t="str">
            <v xml:space="preserve">ОПЗ </v>
          </cell>
          <cell r="X475" t="str">
            <v>Закачка от КНС-1</v>
          </cell>
          <cell r="AF475">
            <v>24</v>
          </cell>
          <cell r="AG475">
            <v>0</v>
          </cell>
          <cell r="AH475">
            <v>0</v>
          </cell>
        </row>
        <row r="476">
          <cell r="B476">
            <v>5391</v>
          </cell>
          <cell r="C476">
            <v>109</v>
          </cell>
          <cell r="G476">
            <v>285</v>
          </cell>
          <cell r="H476" t="str">
            <v>нагнет.</v>
          </cell>
          <cell r="I476" t="str">
            <v>бд</v>
          </cell>
          <cell r="J476">
            <v>34426</v>
          </cell>
          <cell r="K476">
            <v>240</v>
          </cell>
          <cell r="N476">
            <v>100</v>
          </cell>
          <cell r="Q476">
            <v>100</v>
          </cell>
          <cell r="U476" t="str">
            <v>нг</v>
          </cell>
          <cell r="W476" t="str">
            <v>ИР ЮК-11. ОПЗ. Пуск под закачку</v>
          </cell>
          <cell r="X476" t="str">
            <v>Закачка от КНС-1</v>
          </cell>
          <cell r="Y476" t="str">
            <v>Напушение Э/К</v>
          </cell>
          <cell r="AD476">
            <v>37428</v>
          </cell>
          <cell r="AE476">
            <v>37457</v>
          </cell>
          <cell r="AF476">
            <v>29</v>
          </cell>
        </row>
        <row r="477">
          <cell r="B477">
            <v>5216</v>
          </cell>
          <cell r="C477">
            <v>134</v>
          </cell>
          <cell r="D477">
            <v>6</v>
          </cell>
          <cell r="E477">
            <v>61</v>
          </cell>
          <cell r="F477" t="str">
            <v>УПНПиКРС</v>
          </cell>
          <cell r="H477" t="str">
            <v>ШГН</v>
          </cell>
          <cell r="I477" t="str">
            <v>конс.</v>
          </cell>
          <cell r="N477">
            <v>50</v>
          </cell>
          <cell r="O477">
            <v>30</v>
          </cell>
          <cell r="P477">
            <v>26.5</v>
          </cell>
          <cell r="Q477">
            <v>50</v>
          </cell>
          <cell r="R477">
            <v>30</v>
          </cell>
          <cell r="S477">
            <v>25.9</v>
          </cell>
          <cell r="U477" t="str">
            <v>ГРП</v>
          </cell>
          <cell r="W477" t="str">
            <v>ВЦ, РИР ЮК-10, СО-каротаж ПР к ГРП, ГРП ЮК-2, осв.</v>
          </cell>
          <cell r="AD477">
            <v>37410</v>
          </cell>
          <cell r="AE477">
            <v>37445</v>
          </cell>
          <cell r="AF477">
            <v>35</v>
          </cell>
        </row>
        <row r="478">
          <cell r="B478">
            <v>2958</v>
          </cell>
          <cell r="C478">
            <v>46</v>
          </cell>
          <cell r="D478">
            <v>7</v>
          </cell>
          <cell r="E478">
            <v>70</v>
          </cell>
          <cell r="F478" t="str">
            <v>УПНПиКРС</v>
          </cell>
          <cell r="H478" t="str">
            <v>ШГН</v>
          </cell>
          <cell r="I478" t="str">
            <v>бд</v>
          </cell>
          <cell r="N478">
            <v>50</v>
          </cell>
          <cell r="O478">
            <v>30</v>
          </cell>
          <cell r="P478">
            <v>26.5</v>
          </cell>
          <cell r="Q478">
            <v>50</v>
          </cell>
          <cell r="R478">
            <v>30</v>
          </cell>
          <cell r="S478">
            <v>25.9</v>
          </cell>
          <cell r="T478">
            <v>37450</v>
          </cell>
          <cell r="U478" t="str">
            <v>ГРП</v>
          </cell>
          <cell r="W478" t="str">
            <v xml:space="preserve"> РИР ЮК-10, ПР к ГРП, ГРП ЮК-2, осв.</v>
          </cell>
          <cell r="AD478">
            <v>37390</v>
          </cell>
          <cell r="AE478">
            <v>37428</v>
          </cell>
          <cell r="AF478">
            <v>38</v>
          </cell>
        </row>
        <row r="479">
          <cell r="B479">
            <v>5368</v>
          </cell>
          <cell r="C479">
            <v>101</v>
          </cell>
          <cell r="D479">
            <v>0</v>
          </cell>
          <cell r="E479">
            <v>0</v>
          </cell>
          <cell r="F479" t="str">
            <v>УПНПиКРС</v>
          </cell>
          <cell r="H479" t="str">
            <v>нагнет.</v>
          </cell>
          <cell r="I479" t="str">
            <v>конс.</v>
          </cell>
          <cell r="N479">
            <v>50</v>
          </cell>
          <cell r="O479">
            <v>20</v>
          </cell>
          <cell r="P479">
            <v>51</v>
          </cell>
          <cell r="Q479">
            <v>50</v>
          </cell>
          <cell r="R479">
            <v>20</v>
          </cell>
          <cell r="S479">
            <v>50.6</v>
          </cell>
          <cell r="T479">
            <v>37435</v>
          </cell>
          <cell r="U479" t="str">
            <v>ГРП</v>
          </cell>
          <cell r="W479" t="str">
            <v>Извл.НКТ, РИР ЮК-10, ПР к ГРП, ГРП ЮК-2, осв.</v>
          </cell>
          <cell r="Y479" t="str">
            <v>Негерм. Э/к</v>
          </cell>
          <cell r="AD479">
            <v>37429</v>
          </cell>
          <cell r="AE479">
            <v>37463</v>
          </cell>
          <cell r="AF479">
            <v>34</v>
          </cell>
        </row>
        <row r="480">
          <cell r="B480">
            <v>5264</v>
          </cell>
          <cell r="C480">
            <v>133</v>
          </cell>
          <cell r="D480">
            <v>0</v>
          </cell>
          <cell r="E480">
            <v>0</v>
          </cell>
          <cell r="F480" t="str">
            <v>УПНПиКРС</v>
          </cell>
          <cell r="H480" t="str">
            <v>нагнет.</v>
          </cell>
          <cell r="I480" t="str">
            <v>конс.</v>
          </cell>
          <cell r="N480">
            <v>50</v>
          </cell>
          <cell r="O480">
            <v>20</v>
          </cell>
          <cell r="P480">
            <v>51</v>
          </cell>
          <cell r="Q480">
            <v>50</v>
          </cell>
          <cell r="R480">
            <v>20</v>
          </cell>
          <cell r="S480">
            <v>50.6</v>
          </cell>
          <cell r="T480">
            <v>37466</v>
          </cell>
          <cell r="U480" t="str">
            <v>ГРП</v>
          </cell>
          <cell r="W480" t="str">
            <v>ВЦ, РИР ЮК-10, ПР к ГРП, ГРП ЮК-2, осв.</v>
          </cell>
          <cell r="AD480">
            <v>37388</v>
          </cell>
          <cell r="AE480">
            <v>37423</v>
          </cell>
          <cell r="AF480">
            <v>35</v>
          </cell>
        </row>
        <row r="481">
          <cell r="B481">
            <v>3060</v>
          </cell>
          <cell r="C481">
            <v>67</v>
          </cell>
          <cell r="D481">
            <v>0</v>
          </cell>
          <cell r="E481">
            <v>0</v>
          </cell>
          <cell r="F481" t="str">
            <v>УПНПиКРС</v>
          </cell>
          <cell r="H481" t="str">
            <v>нагнет.</v>
          </cell>
          <cell r="I481" t="str">
            <v>конс.</v>
          </cell>
          <cell r="N481">
            <v>50</v>
          </cell>
          <cell r="O481">
            <v>30</v>
          </cell>
          <cell r="P481">
            <v>26.5</v>
          </cell>
          <cell r="Q481">
            <v>50</v>
          </cell>
          <cell r="R481">
            <v>30</v>
          </cell>
          <cell r="S481">
            <v>25.9</v>
          </cell>
          <cell r="T481">
            <v>37389</v>
          </cell>
          <cell r="U481" t="str">
            <v>ГРП</v>
          </cell>
          <cell r="W481" t="str">
            <v>РИР ЮК-11, ПР к ГРП и ГРП ЮК-2</v>
          </cell>
          <cell r="Y481" t="str">
            <v>Негерм. Э/к</v>
          </cell>
          <cell r="AD481">
            <v>37461</v>
          </cell>
          <cell r="AE481">
            <v>37503</v>
          </cell>
          <cell r="AF481">
            <v>42</v>
          </cell>
        </row>
        <row r="482">
          <cell r="B482">
            <v>4366</v>
          </cell>
          <cell r="C482">
            <v>200</v>
          </cell>
          <cell r="D482">
            <v>4</v>
          </cell>
          <cell r="E482">
            <v>40</v>
          </cell>
          <cell r="F482" t="str">
            <v>УПНПиКРС</v>
          </cell>
          <cell r="H482" t="str">
            <v>нагнет.</v>
          </cell>
          <cell r="I482" t="str">
            <v>бд</v>
          </cell>
          <cell r="N482">
            <v>50</v>
          </cell>
          <cell r="O482">
            <v>30</v>
          </cell>
          <cell r="P482">
            <v>26.5</v>
          </cell>
          <cell r="Q482">
            <v>50</v>
          </cell>
          <cell r="R482">
            <v>30</v>
          </cell>
          <cell r="S482">
            <v>25.9</v>
          </cell>
          <cell r="T482">
            <v>37506</v>
          </cell>
          <cell r="U482" t="str">
            <v>нг</v>
          </cell>
          <cell r="W482" t="str">
            <v>Извл.НКТ, РИР ЮК-10, ПР к ГРП, ГРП ЮК-2, осв.</v>
          </cell>
          <cell r="AD482">
            <v>37457</v>
          </cell>
          <cell r="AE482">
            <v>37491</v>
          </cell>
          <cell r="AF482">
            <v>34</v>
          </cell>
        </row>
        <row r="483">
          <cell r="B483">
            <v>2725</v>
          </cell>
          <cell r="C483">
            <v>146</v>
          </cell>
          <cell r="D483">
            <v>3</v>
          </cell>
          <cell r="E483">
            <v>2</v>
          </cell>
          <cell r="F483" t="str">
            <v>УПНПиКРС</v>
          </cell>
          <cell r="H483" t="str">
            <v>нагнет.</v>
          </cell>
          <cell r="I483" t="str">
            <v>бд</v>
          </cell>
          <cell r="N483">
            <v>50</v>
          </cell>
          <cell r="O483">
            <v>30</v>
          </cell>
          <cell r="P483">
            <v>26.5</v>
          </cell>
          <cell r="Q483">
            <v>50</v>
          </cell>
          <cell r="R483">
            <v>30</v>
          </cell>
          <cell r="S483">
            <v>25.9</v>
          </cell>
          <cell r="T483">
            <v>37497</v>
          </cell>
          <cell r="U483" t="str">
            <v>ГРП</v>
          </cell>
          <cell r="W483" t="str">
            <v>ОТСК, РИР ЮК-10, ПР к ГРП, ГРП ЮК-2, осв.</v>
          </cell>
        </row>
        <row r="487">
          <cell r="W487" t="str">
            <v>Нерасмотренные:</v>
          </cell>
          <cell r="AD487">
            <v>37043</v>
          </cell>
          <cell r="AE487">
            <v>37043</v>
          </cell>
        </row>
        <row r="488">
          <cell r="B488">
            <v>3187</v>
          </cell>
          <cell r="C488">
            <v>70</v>
          </cell>
          <cell r="H488" t="str">
            <v>ШГН</v>
          </cell>
          <cell r="I488" t="str">
            <v>конс.</v>
          </cell>
          <cell r="Q488">
            <v>0</v>
          </cell>
          <cell r="R488">
            <v>0</v>
          </cell>
          <cell r="S488" t="e">
            <v>#DIV/0!</v>
          </cell>
          <cell r="T488">
            <v>37050</v>
          </cell>
          <cell r="U488" t="str">
            <v>ОПЗ</v>
          </cell>
          <cell r="W488" t="str">
            <v>ВЦ. ИДН. УГИС</v>
          </cell>
          <cell r="AD488">
            <v>37044</v>
          </cell>
          <cell r="AE488">
            <v>37044</v>
          </cell>
        </row>
        <row r="489">
          <cell r="B489">
            <v>3228</v>
          </cell>
          <cell r="C489">
            <v>70</v>
          </cell>
          <cell r="H489" t="str">
            <v>нагнет.</v>
          </cell>
          <cell r="I489" t="str">
            <v>конс.</v>
          </cell>
          <cell r="Q489">
            <v>0</v>
          </cell>
          <cell r="R489">
            <v>0</v>
          </cell>
          <cell r="T489">
            <v>37047</v>
          </cell>
          <cell r="U489" t="str">
            <v>нг</v>
          </cell>
          <cell r="W489" t="str">
            <v>ВЦ, ОТСК, достр.ЮК-11</v>
          </cell>
          <cell r="X489" t="str">
            <v>утилизация</v>
          </cell>
          <cell r="AD489">
            <v>37043</v>
          </cell>
          <cell r="AE489">
            <v>37043</v>
          </cell>
        </row>
        <row r="490">
          <cell r="B490" t="str">
            <v>5402б</v>
          </cell>
          <cell r="C490">
            <v>103</v>
          </cell>
          <cell r="H490" t="str">
            <v>ЭЦН</v>
          </cell>
          <cell r="I490" t="str">
            <v>конс.</v>
          </cell>
          <cell r="K490">
            <v>84</v>
          </cell>
          <cell r="L490">
            <v>2.7</v>
          </cell>
          <cell r="M490">
            <v>96</v>
          </cell>
          <cell r="N490">
            <v>80</v>
          </cell>
          <cell r="O490">
            <v>3</v>
          </cell>
          <cell r="P490">
            <v>95.4</v>
          </cell>
          <cell r="Q490">
            <v>80</v>
          </cell>
          <cell r="R490">
            <v>3</v>
          </cell>
          <cell r="S490">
            <v>95.4</v>
          </cell>
          <cell r="T490">
            <v>37050</v>
          </cell>
          <cell r="U490" t="str">
            <v>ВЦ</v>
          </cell>
          <cell r="W490" t="str">
            <v>ВЦ. ГИС-2</v>
          </cell>
          <cell r="X490" t="str">
            <v>ВЦ ООО "Электропрогрев"</v>
          </cell>
          <cell r="AD490">
            <v>37044</v>
          </cell>
          <cell r="AE490">
            <v>37044</v>
          </cell>
        </row>
        <row r="491">
          <cell r="B491">
            <v>5401</v>
          </cell>
          <cell r="C491">
            <v>103</v>
          </cell>
          <cell r="H491" t="str">
            <v>ШГН</v>
          </cell>
          <cell r="I491" t="str">
            <v>конс.</v>
          </cell>
          <cell r="O491">
            <v>0</v>
          </cell>
          <cell r="Q491">
            <v>0</v>
          </cell>
          <cell r="R491">
            <v>0</v>
          </cell>
          <cell r="S491" t="e">
            <v>#DIV/0!</v>
          </cell>
          <cell r="T491">
            <v>37051</v>
          </cell>
          <cell r="U491" t="str">
            <v>ВЦ</v>
          </cell>
          <cell r="W491" t="str">
            <v>ВЦ. ГИС-2</v>
          </cell>
          <cell r="AD491">
            <v>37045</v>
          </cell>
          <cell r="AE491">
            <v>37045</v>
          </cell>
        </row>
        <row r="492">
          <cell r="B492">
            <v>5428</v>
          </cell>
          <cell r="C492">
            <v>103</v>
          </cell>
          <cell r="H492" t="str">
            <v>ШГН</v>
          </cell>
          <cell r="I492" t="str">
            <v>конс.</v>
          </cell>
          <cell r="O492">
            <v>0</v>
          </cell>
          <cell r="Q492">
            <v>0</v>
          </cell>
          <cell r="R492">
            <v>0</v>
          </cell>
          <cell r="S492" t="e">
            <v>#DIV/0!</v>
          </cell>
          <cell r="T492">
            <v>37052</v>
          </cell>
          <cell r="U492" t="str">
            <v>ОПЗ</v>
          </cell>
          <cell r="W492" t="str">
            <v>ВЦ. ГИС-2. ИДН</v>
          </cell>
          <cell r="AD492">
            <v>36951</v>
          </cell>
          <cell r="AE492">
            <v>36951</v>
          </cell>
        </row>
        <row r="493">
          <cell r="B493" t="str">
            <v>5321б</v>
          </cell>
          <cell r="C493">
            <v>135</v>
          </cell>
          <cell r="H493" t="str">
            <v>ЭЦН</v>
          </cell>
          <cell r="I493" t="str">
            <v>конс.</v>
          </cell>
          <cell r="L493">
            <v>0</v>
          </cell>
          <cell r="N493">
            <v>50</v>
          </cell>
          <cell r="O493">
            <v>4</v>
          </cell>
          <cell r="P493">
            <v>90.1</v>
          </cell>
          <cell r="Q493">
            <v>50</v>
          </cell>
          <cell r="R493">
            <v>4</v>
          </cell>
          <cell r="T493">
            <v>36966</v>
          </cell>
          <cell r="W493" t="str">
            <v>ВЦ. Ревизия ЭЦН</v>
          </cell>
          <cell r="X493" t="str">
            <v>ВЦ ООО "Электропрогрев"</v>
          </cell>
          <cell r="AD493">
            <v>36952</v>
          </cell>
          <cell r="AE493">
            <v>36952</v>
          </cell>
        </row>
        <row r="494">
          <cell r="B494">
            <v>5219</v>
          </cell>
          <cell r="C494">
            <v>135</v>
          </cell>
          <cell r="H494" t="str">
            <v>ЭЦН</v>
          </cell>
          <cell r="I494" t="str">
            <v>конс.</v>
          </cell>
          <cell r="L494">
            <v>0</v>
          </cell>
          <cell r="N494">
            <v>40</v>
          </cell>
          <cell r="O494">
            <v>2.1</v>
          </cell>
          <cell r="P494">
            <v>93.7</v>
          </cell>
          <cell r="Q494">
            <v>40</v>
          </cell>
          <cell r="R494">
            <v>2.1</v>
          </cell>
          <cell r="T494">
            <v>36967</v>
          </cell>
          <cell r="W494" t="str">
            <v>ВЦ. Ревизия ЭЦН</v>
          </cell>
          <cell r="X494" t="str">
            <v>ВЦ ООО "Электропрогрев"</v>
          </cell>
          <cell r="AD494">
            <v>36953</v>
          </cell>
          <cell r="AE494">
            <v>36953</v>
          </cell>
        </row>
        <row r="495">
          <cell r="B495">
            <v>5269</v>
          </cell>
          <cell r="C495">
            <v>135</v>
          </cell>
          <cell r="H495" t="str">
            <v>ЭЦН</v>
          </cell>
          <cell r="I495" t="str">
            <v>конс.</v>
          </cell>
          <cell r="L495">
            <v>0</v>
          </cell>
          <cell r="N495">
            <v>45</v>
          </cell>
          <cell r="O495">
            <v>3</v>
          </cell>
          <cell r="P495">
            <v>91.7</v>
          </cell>
          <cell r="Q495">
            <v>45</v>
          </cell>
          <cell r="R495">
            <v>3</v>
          </cell>
          <cell r="T495">
            <v>36968</v>
          </cell>
          <cell r="W495" t="str">
            <v>ВЦ. Ревизия ЭЦН</v>
          </cell>
          <cell r="X495" t="str">
            <v>ВЦ ООО "Электропрогрев"</v>
          </cell>
          <cell r="Z495" t="str">
            <v>на 5218</v>
          </cell>
          <cell r="AD495">
            <v>36954</v>
          </cell>
          <cell r="AE495">
            <v>36954</v>
          </cell>
        </row>
        <row r="496">
          <cell r="B496">
            <v>5295</v>
          </cell>
          <cell r="C496">
            <v>135</v>
          </cell>
          <cell r="H496" t="str">
            <v>ЭЦН</v>
          </cell>
          <cell r="I496" t="str">
            <v>конс.</v>
          </cell>
          <cell r="L496">
            <v>0</v>
          </cell>
          <cell r="N496">
            <v>50</v>
          </cell>
          <cell r="O496">
            <v>2</v>
          </cell>
          <cell r="P496">
            <v>95.1</v>
          </cell>
          <cell r="Q496">
            <v>50</v>
          </cell>
          <cell r="R496">
            <v>2</v>
          </cell>
          <cell r="T496">
            <v>36969</v>
          </cell>
          <cell r="W496" t="str">
            <v>ВЦ. Ревизия ЭЦН</v>
          </cell>
          <cell r="X496" t="str">
            <v>ВЦ ООО "Электропрогрев"</v>
          </cell>
        </row>
        <row r="497">
          <cell r="B497">
            <v>5318</v>
          </cell>
          <cell r="C497">
            <v>134</v>
          </cell>
          <cell r="H497" t="str">
            <v>нагнет.</v>
          </cell>
          <cell r="I497" t="str">
            <v>бд</v>
          </cell>
          <cell r="N497">
            <v>300</v>
          </cell>
          <cell r="Q497">
            <v>300</v>
          </cell>
          <cell r="W497" t="str">
            <v>Спуск и привязка пакера, Запуск в ППД</v>
          </cell>
          <cell r="X497" t="str">
            <v>Уменьшить штуцер через 3 мес.</v>
          </cell>
          <cell r="AD497">
            <v>36955</v>
          </cell>
          <cell r="AE497">
            <v>36955</v>
          </cell>
        </row>
        <row r="498">
          <cell r="B498">
            <v>2895</v>
          </cell>
          <cell r="C498">
            <v>42</v>
          </cell>
          <cell r="G498">
            <v>285</v>
          </cell>
          <cell r="H498" t="str">
            <v>нагнет.</v>
          </cell>
          <cell r="I498" t="str">
            <v>бд</v>
          </cell>
          <cell r="K498">
            <v>50</v>
          </cell>
          <cell r="N498">
            <v>150</v>
          </cell>
          <cell r="Q498">
            <v>150</v>
          </cell>
          <cell r="T498">
            <v>36958</v>
          </cell>
          <cell r="W498" t="str">
            <v>Интенсификация прием. НТПН</v>
          </cell>
          <cell r="X498" t="str">
            <v>НТПН</v>
          </cell>
          <cell r="AD498">
            <v>36956</v>
          </cell>
          <cell r="AE498">
            <v>36956</v>
          </cell>
        </row>
        <row r="499">
          <cell r="B499">
            <v>2897</v>
          </cell>
          <cell r="C499">
            <v>42</v>
          </cell>
          <cell r="G499">
            <v>290</v>
          </cell>
          <cell r="H499" t="str">
            <v>нагнет.</v>
          </cell>
          <cell r="I499" t="str">
            <v>действ.</v>
          </cell>
          <cell r="K499">
            <v>100</v>
          </cell>
          <cell r="N499">
            <v>200</v>
          </cell>
          <cell r="Q499">
            <v>200</v>
          </cell>
          <cell r="T499">
            <v>36959</v>
          </cell>
          <cell r="W499" t="str">
            <v>Интенсификация прием. НТПН</v>
          </cell>
          <cell r="X499" t="str">
            <v>НТПН</v>
          </cell>
          <cell r="AD499">
            <v>36957</v>
          </cell>
          <cell r="AE499">
            <v>36957</v>
          </cell>
        </row>
        <row r="500">
          <cell r="B500">
            <v>2993</v>
          </cell>
          <cell r="C500">
            <v>42</v>
          </cell>
          <cell r="G500">
            <v>310</v>
          </cell>
          <cell r="H500" t="str">
            <v>ШГН</v>
          </cell>
          <cell r="I500" t="str">
            <v>конс.</v>
          </cell>
          <cell r="K500">
            <v>7</v>
          </cell>
          <cell r="L500">
            <v>5.0999999999999996</v>
          </cell>
          <cell r="M500">
            <v>10</v>
          </cell>
          <cell r="N500">
            <v>7</v>
          </cell>
          <cell r="O500">
            <v>4.8</v>
          </cell>
          <cell r="P500">
            <v>15</v>
          </cell>
          <cell r="Q500">
            <v>7</v>
          </cell>
          <cell r="R500">
            <v>4.8</v>
          </cell>
          <cell r="T500">
            <v>36962</v>
          </cell>
          <cell r="W500" t="str">
            <v>ВЦ. ПП и ОПЗ. УГИС. Спуск ШГН</v>
          </cell>
          <cell r="AD500">
            <v>36958</v>
          </cell>
          <cell r="AE500">
            <v>36958</v>
          </cell>
        </row>
        <row r="501">
          <cell r="B501">
            <v>5440</v>
          </cell>
          <cell r="C501">
            <v>108</v>
          </cell>
          <cell r="G501">
            <v>275</v>
          </cell>
          <cell r="H501" t="str">
            <v>ЭЦН</v>
          </cell>
          <cell r="I501" t="str">
            <v>бд</v>
          </cell>
          <cell r="K501">
            <v>21</v>
          </cell>
          <cell r="L501">
            <v>13</v>
          </cell>
          <cell r="M501">
            <v>24</v>
          </cell>
          <cell r="N501">
            <v>20</v>
          </cell>
          <cell r="O501">
            <v>3</v>
          </cell>
          <cell r="P501">
            <v>81.5</v>
          </cell>
          <cell r="Q501">
            <v>20</v>
          </cell>
          <cell r="R501">
            <v>3</v>
          </cell>
          <cell r="T501">
            <v>36963</v>
          </cell>
          <cell r="W501" t="str">
            <v>ВЦ. ГИС-2. ОВП (НТПН). ГИС-2. Спуск ЭЦН</v>
          </cell>
          <cell r="X501" t="str">
            <v>НТПН-2000</v>
          </cell>
          <cell r="AD501">
            <v>36959</v>
          </cell>
          <cell r="AE501">
            <v>36959</v>
          </cell>
        </row>
        <row r="502">
          <cell r="B502">
            <v>5470</v>
          </cell>
          <cell r="C502">
            <v>108</v>
          </cell>
          <cell r="G502">
            <v>275</v>
          </cell>
          <cell r="H502" t="str">
            <v>ЭЦН</v>
          </cell>
          <cell r="I502" t="str">
            <v>конс.</v>
          </cell>
          <cell r="K502">
            <v>41</v>
          </cell>
          <cell r="L502">
            <v>3.7</v>
          </cell>
          <cell r="M502">
            <v>89</v>
          </cell>
          <cell r="N502">
            <v>20</v>
          </cell>
          <cell r="O502">
            <v>3</v>
          </cell>
          <cell r="P502">
            <v>81.5</v>
          </cell>
          <cell r="Q502">
            <v>20</v>
          </cell>
          <cell r="R502">
            <v>3</v>
          </cell>
          <cell r="T502">
            <v>36964</v>
          </cell>
          <cell r="W502" t="str">
            <v>ВЦ. ГИС-2. ОВП (НТПН). ГИС-2. Спуск ЭЦН</v>
          </cell>
          <cell r="X502" t="str">
            <v>НТПН-2000</v>
          </cell>
          <cell r="AG502">
            <v>0</v>
          </cell>
        </row>
        <row r="503">
          <cell r="B503">
            <v>5451</v>
          </cell>
          <cell r="C503">
            <v>101</v>
          </cell>
          <cell r="H503" t="str">
            <v>ШГН</v>
          </cell>
          <cell r="I503" t="str">
            <v>бд</v>
          </cell>
          <cell r="U503" t="str">
            <v>ОПЗ</v>
          </cell>
          <cell r="W503" t="str">
            <v>ВЦ,ДП УГИС. ОПЗ НТПН. ГДИ</v>
          </cell>
          <cell r="AG503">
            <v>0</v>
          </cell>
        </row>
        <row r="504">
          <cell r="B504">
            <v>5453</v>
          </cell>
          <cell r="C504">
            <v>101</v>
          </cell>
          <cell r="H504" t="str">
            <v>ШГН</v>
          </cell>
          <cell r="U504" t="str">
            <v>ОПЗ</v>
          </cell>
          <cell r="W504" t="str">
            <v>ВЦ,ПП УГИС.  ГДИ</v>
          </cell>
          <cell r="AB504" t="str">
            <v>есть СК</v>
          </cell>
          <cell r="AF504">
            <v>105</v>
          </cell>
          <cell r="AG504">
            <v>0</v>
          </cell>
        </row>
        <row r="505">
          <cell r="B505">
            <v>5456</v>
          </cell>
          <cell r="C505">
            <v>102</v>
          </cell>
          <cell r="H505" t="str">
            <v>ШГН</v>
          </cell>
          <cell r="U505" t="str">
            <v>ЛА</v>
          </cell>
          <cell r="W505" t="str">
            <v>Восст.Нз,УГИС ГДИ сп.ЭЦН</v>
          </cell>
          <cell r="Y505" t="str">
            <v>Брошена КРС Отс.лов.инструмента,на Нз 59нкт".</v>
          </cell>
          <cell r="AB505" t="str">
            <v>есть СК</v>
          </cell>
          <cell r="AF505">
            <v>5</v>
          </cell>
        </row>
        <row r="506">
          <cell r="B506">
            <v>5370</v>
          </cell>
          <cell r="C506">
            <v>102</v>
          </cell>
          <cell r="U506" t="str">
            <v>ЛА</v>
          </cell>
          <cell r="W506" t="str">
            <v>Извл.аварийных НКТ</v>
          </cell>
          <cell r="Y506" t="str">
            <v>При ПРС полёт Э-80 без лов.головки</v>
          </cell>
        </row>
        <row r="507">
          <cell r="B507">
            <v>5400</v>
          </cell>
          <cell r="C507">
            <v>103</v>
          </cell>
          <cell r="U507" t="str">
            <v>ЛА</v>
          </cell>
          <cell r="W507" t="str">
            <v>Извл.ЭЦН-80,Восст.Нз ГЖ,ГДИ сп.ЭЦН.</v>
          </cell>
          <cell r="Y507" t="str">
            <v>В скважине низ пакера+хвоставик из НКТ 3"</v>
          </cell>
        </row>
        <row r="508">
          <cell r="B508">
            <v>5428</v>
          </cell>
          <cell r="C508">
            <v>103</v>
          </cell>
          <cell r="W508" t="str">
            <v>ВЦ,ВЗ,(извл.НКТ 3")ПП УГИС.  ГДИ</v>
          </cell>
          <cell r="X508" t="str">
            <v>В ППД с 6.83 по 09.84г.</v>
          </cell>
        </row>
        <row r="509">
          <cell r="B509">
            <v>5347</v>
          </cell>
          <cell r="C509">
            <v>103</v>
          </cell>
          <cell r="U509" t="str">
            <v>ЛА</v>
          </cell>
          <cell r="W509" t="str">
            <v>Извл.проволки,восст.Нз ГЖ,ГДИ сп.ЭЦН.</v>
          </cell>
        </row>
        <row r="510">
          <cell r="B510">
            <v>5429</v>
          </cell>
          <cell r="C510">
            <v>103</v>
          </cell>
          <cell r="U510" t="str">
            <v>ЛА</v>
          </cell>
          <cell r="W510" t="str">
            <v>Извл.проволки,ЭЦН-50,Восст.Нз ГЖ,ГДИ сп.ЭЦН.</v>
          </cell>
          <cell r="X510" t="str">
            <v>Полёт ЭЦН+проволка ЦНИПР и шаблон</v>
          </cell>
        </row>
        <row r="511">
          <cell r="B511" t="str">
            <v>5402б</v>
          </cell>
          <cell r="C511">
            <v>103</v>
          </cell>
          <cell r="U511" t="str">
            <v>ВЦ</v>
          </cell>
          <cell r="W511" t="str">
            <v>ВЦ ПРС промывка забоя</v>
          </cell>
        </row>
        <row r="512">
          <cell r="B512">
            <v>4119</v>
          </cell>
          <cell r="C512">
            <v>311</v>
          </cell>
          <cell r="U512" t="str">
            <v>ВЦ</v>
          </cell>
          <cell r="W512" t="str">
            <v>ВЦ ПРС промывка забоя</v>
          </cell>
        </row>
        <row r="513">
          <cell r="B513">
            <v>4120</v>
          </cell>
          <cell r="C513">
            <v>311</v>
          </cell>
          <cell r="U513" t="str">
            <v>ВЦ</v>
          </cell>
          <cell r="W513" t="str">
            <v>ВЦ ПРС промывка забоя</v>
          </cell>
        </row>
        <row r="514">
          <cell r="B514">
            <v>4212</v>
          </cell>
          <cell r="C514">
            <v>311</v>
          </cell>
          <cell r="U514" t="str">
            <v>ВЦ</v>
          </cell>
          <cell r="W514" t="str">
            <v>ВЦ ПРС промывка забоя</v>
          </cell>
          <cell r="AD514">
            <v>1</v>
          </cell>
          <cell r="AE514">
            <v>23</v>
          </cell>
          <cell r="AF514">
            <v>22</v>
          </cell>
          <cell r="AG514">
            <v>0</v>
          </cell>
          <cell r="AH514">
            <v>-3900</v>
          </cell>
        </row>
        <row r="515">
          <cell r="B515">
            <v>2895</v>
          </cell>
          <cell r="C515">
            <v>42</v>
          </cell>
          <cell r="D515">
            <v>0</v>
          </cell>
          <cell r="E515">
            <v>1</v>
          </cell>
          <cell r="G515">
            <v>280</v>
          </cell>
          <cell r="H515" t="str">
            <v>нагнет.</v>
          </cell>
          <cell r="I515" t="str">
            <v>бд</v>
          </cell>
          <cell r="N515">
            <v>150</v>
          </cell>
          <cell r="Q515">
            <v>150</v>
          </cell>
          <cell r="T515">
            <v>26</v>
          </cell>
          <cell r="U515" t="str">
            <v>ОПЗ</v>
          </cell>
          <cell r="W515" t="str">
            <v>ВЗ УГИС,ОПЗ ИХН, ГИС-3 пуск под закачку</v>
          </cell>
          <cell r="AD515">
            <v>24</v>
          </cell>
          <cell r="AE515">
            <v>35</v>
          </cell>
          <cell r="AF515">
            <v>11</v>
          </cell>
          <cell r="AG515">
            <v>0</v>
          </cell>
          <cell r="AH515">
            <v>-5700</v>
          </cell>
        </row>
        <row r="516">
          <cell r="B516">
            <v>2897</v>
          </cell>
          <cell r="C516">
            <v>42</v>
          </cell>
          <cell r="D516">
            <v>0</v>
          </cell>
          <cell r="E516">
            <v>2</v>
          </cell>
          <cell r="G516">
            <v>295</v>
          </cell>
          <cell r="H516" t="str">
            <v>нагнет.</v>
          </cell>
          <cell r="I516" t="str">
            <v>бд</v>
          </cell>
          <cell r="N516">
            <v>150</v>
          </cell>
          <cell r="Q516">
            <v>150</v>
          </cell>
          <cell r="T516">
            <v>38</v>
          </cell>
          <cell r="U516" t="str">
            <v>нг</v>
          </cell>
          <cell r="W516" t="str">
            <v>Ревизия лифта,промывка Нз,ГИС-3</v>
          </cell>
          <cell r="AD516">
            <v>36</v>
          </cell>
          <cell r="AE516">
            <v>47</v>
          </cell>
          <cell r="AF516">
            <v>11</v>
          </cell>
        </row>
        <row r="517">
          <cell r="B517">
            <v>2974</v>
          </cell>
          <cell r="C517">
            <v>46</v>
          </cell>
          <cell r="D517">
            <v>0</v>
          </cell>
          <cell r="E517">
            <v>3</v>
          </cell>
          <cell r="G517">
            <v>280</v>
          </cell>
          <cell r="H517" t="str">
            <v>нагнет.</v>
          </cell>
          <cell r="I517" t="str">
            <v>бд</v>
          </cell>
          <cell r="N517">
            <v>150</v>
          </cell>
          <cell r="Q517">
            <v>150</v>
          </cell>
          <cell r="T517">
            <v>50</v>
          </cell>
          <cell r="U517" t="str">
            <v>нг</v>
          </cell>
          <cell r="W517" t="str">
            <v>Ревизия лифта,промывка Нз</v>
          </cell>
          <cell r="AD517">
            <v>48</v>
          </cell>
          <cell r="AE517">
            <v>60</v>
          </cell>
          <cell r="AF517">
            <v>12</v>
          </cell>
          <cell r="AG517">
            <v>0</v>
          </cell>
          <cell r="AH517">
            <v>-7560</v>
          </cell>
        </row>
        <row r="518">
          <cell r="B518">
            <v>5731</v>
          </cell>
          <cell r="C518">
            <v>125</v>
          </cell>
          <cell r="D518">
            <v>21</v>
          </cell>
          <cell r="E518">
            <v>4</v>
          </cell>
          <cell r="G518">
            <v>245</v>
          </cell>
          <cell r="H518" t="str">
            <v>нагнет.</v>
          </cell>
          <cell r="I518" t="str">
            <v>конс.</v>
          </cell>
          <cell r="N518">
            <v>120</v>
          </cell>
          <cell r="Q518">
            <v>120</v>
          </cell>
          <cell r="T518">
            <v>63</v>
          </cell>
          <cell r="U518" t="str">
            <v>нг</v>
          </cell>
          <cell r="W518" t="str">
            <v>Ревизия лифта,ВЗГИС-3,пуск под закачку</v>
          </cell>
          <cell r="AD518">
            <v>61</v>
          </cell>
          <cell r="AE518">
            <v>73</v>
          </cell>
          <cell r="AF518">
            <v>12</v>
          </cell>
        </row>
        <row r="519">
          <cell r="B519">
            <v>5732</v>
          </cell>
          <cell r="C519">
            <v>125</v>
          </cell>
          <cell r="D519">
            <v>21</v>
          </cell>
          <cell r="E519">
            <v>5</v>
          </cell>
          <cell r="G519">
            <v>245</v>
          </cell>
          <cell r="H519" t="str">
            <v>нагнет.</v>
          </cell>
          <cell r="I519" t="str">
            <v>конс.</v>
          </cell>
          <cell r="Q519">
            <v>0</v>
          </cell>
          <cell r="T519">
            <v>76</v>
          </cell>
          <cell r="U519" t="str">
            <v>нг</v>
          </cell>
          <cell r="W519" t="str">
            <v>Ревизия лифта,ВЗГИС-3,пуск под закачку</v>
          </cell>
          <cell r="AD519">
            <v>74</v>
          </cell>
          <cell r="AE519">
            <v>86</v>
          </cell>
          <cell r="AF519">
            <v>12</v>
          </cell>
        </row>
        <row r="520">
          <cell r="B520">
            <v>5733</v>
          </cell>
          <cell r="C520">
            <v>125</v>
          </cell>
          <cell r="D520">
            <v>21</v>
          </cell>
          <cell r="E520">
            <v>6</v>
          </cell>
          <cell r="G520">
            <v>245</v>
          </cell>
          <cell r="H520" t="str">
            <v>нагнет.</v>
          </cell>
          <cell r="I520" t="str">
            <v>конс.</v>
          </cell>
          <cell r="Q520">
            <v>0</v>
          </cell>
          <cell r="T520">
            <v>89</v>
          </cell>
          <cell r="U520" t="str">
            <v>нг</v>
          </cell>
          <cell r="W520" t="str">
            <v>Ревизия лифта,ВЗГИС-3,пуск под закачку</v>
          </cell>
          <cell r="Y520" t="str">
            <v>-</v>
          </cell>
          <cell r="Z520" t="str">
            <v>-</v>
          </cell>
          <cell r="AA520">
            <v>73</v>
          </cell>
          <cell r="AD520">
            <v>87</v>
          </cell>
          <cell r="AE520">
            <v>104</v>
          </cell>
          <cell r="AF520">
            <v>17</v>
          </cell>
          <cell r="AG520">
            <v>0</v>
          </cell>
          <cell r="AH520">
            <v>-12840</v>
          </cell>
        </row>
        <row r="521">
          <cell r="B521">
            <v>5371</v>
          </cell>
          <cell r="C521">
            <v>102</v>
          </cell>
          <cell r="D521">
            <v>21</v>
          </cell>
          <cell r="E521">
            <v>7</v>
          </cell>
          <cell r="G521">
            <v>255</v>
          </cell>
          <cell r="H521" t="str">
            <v>нагнет.</v>
          </cell>
          <cell r="I521" t="str">
            <v>бд</v>
          </cell>
          <cell r="N521">
            <v>120</v>
          </cell>
          <cell r="Q521">
            <v>120</v>
          </cell>
          <cell r="R521">
            <v>0</v>
          </cell>
          <cell r="T521">
            <v>107</v>
          </cell>
          <cell r="U521" t="str">
            <v>нг</v>
          </cell>
          <cell r="W521" t="str">
            <v>ОТСК. Запуск ППД</v>
          </cell>
          <cell r="Y521" t="str">
            <v>Полет НКТ</v>
          </cell>
          <cell r="Z521">
            <v>120</v>
          </cell>
          <cell r="AD521">
            <v>105</v>
          </cell>
          <cell r="AE521">
            <v>131</v>
          </cell>
          <cell r="AF521">
            <v>26</v>
          </cell>
          <cell r="AG521">
            <v>0</v>
          </cell>
          <cell r="AH521">
            <v>-16080</v>
          </cell>
        </row>
        <row r="522">
          <cell r="B522">
            <v>5372</v>
          </cell>
          <cell r="C522">
            <v>102</v>
          </cell>
          <cell r="D522">
            <v>21</v>
          </cell>
          <cell r="E522">
            <v>8</v>
          </cell>
          <cell r="G522">
            <v>250</v>
          </cell>
          <cell r="H522" t="str">
            <v>нагнет.</v>
          </cell>
          <cell r="I522" t="str">
            <v>конс.</v>
          </cell>
          <cell r="N522">
            <v>120</v>
          </cell>
          <cell r="Q522">
            <v>120</v>
          </cell>
          <cell r="R522">
            <v>0</v>
          </cell>
          <cell r="T522">
            <v>134</v>
          </cell>
          <cell r="U522" t="str">
            <v>нг</v>
          </cell>
          <cell r="W522" t="str">
            <v>ЛА (извлечение НКТ). ОТСК. Запуск ППД</v>
          </cell>
          <cell r="X522" t="str">
            <v>Забой - 120 м</v>
          </cell>
          <cell r="AB522" t="str">
            <v>есть СК</v>
          </cell>
          <cell r="AD522">
            <v>132</v>
          </cell>
          <cell r="AE522">
            <v>154</v>
          </cell>
          <cell r="AF522">
            <v>22</v>
          </cell>
          <cell r="AG522">
            <v>-531</v>
          </cell>
          <cell r="AH522">
            <v>-8050</v>
          </cell>
        </row>
        <row r="523">
          <cell r="B523">
            <v>5456</v>
          </cell>
          <cell r="C523">
            <v>102</v>
          </cell>
          <cell r="D523">
            <v>21</v>
          </cell>
          <cell r="E523">
            <v>9</v>
          </cell>
          <cell r="G523">
            <v>235</v>
          </cell>
          <cell r="H523" t="str">
            <v>ШГН</v>
          </cell>
          <cell r="I523" t="str">
            <v>бд</v>
          </cell>
          <cell r="N523">
            <v>50</v>
          </cell>
          <cell r="O523">
            <v>3.3</v>
          </cell>
          <cell r="P523">
            <v>92</v>
          </cell>
          <cell r="Q523">
            <v>50</v>
          </cell>
          <cell r="R523">
            <v>3.3</v>
          </cell>
          <cell r="S523">
            <v>91.9</v>
          </cell>
          <cell r="T523">
            <v>161</v>
          </cell>
          <cell r="U523" t="str">
            <v>ЛА</v>
          </cell>
          <cell r="W523" t="str">
            <v>Восст.Нз,УГИС ГДИ сп.ЭЦН</v>
          </cell>
          <cell r="Y523" t="str">
            <v>Брошена КРС Отс.лов.инструмента,на Нз 59нкт".Нз.т.-2315м.</v>
          </cell>
          <cell r="AB523" t="str">
            <v>есть СК</v>
          </cell>
          <cell r="AD523">
            <v>155</v>
          </cell>
          <cell r="AE523">
            <v>191</v>
          </cell>
          <cell r="AF523">
            <v>36</v>
          </cell>
        </row>
        <row r="524">
          <cell r="B524">
            <v>5370</v>
          </cell>
          <cell r="C524">
            <v>102</v>
          </cell>
          <cell r="D524">
            <v>21</v>
          </cell>
          <cell r="E524">
            <v>10</v>
          </cell>
          <cell r="G524">
            <v>255</v>
          </cell>
          <cell r="H524" t="str">
            <v>ШГН</v>
          </cell>
          <cell r="I524" t="str">
            <v>бд</v>
          </cell>
          <cell r="N524">
            <v>50</v>
          </cell>
          <cell r="O524">
            <v>4.0999999999999996</v>
          </cell>
          <cell r="P524">
            <v>90</v>
          </cell>
          <cell r="Q524">
            <v>50</v>
          </cell>
          <cell r="R524">
            <v>4.0999999999999996</v>
          </cell>
          <cell r="S524">
            <v>89.9</v>
          </cell>
          <cell r="T524">
            <v>198</v>
          </cell>
          <cell r="U524" t="str">
            <v>ЛА</v>
          </cell>
          <cell r="W524" t="str">
            <v>Извл.аварийных НКТ</v>
          </cell>
          <cell r="X524" t="str">
            <v>Брошена КРС Отс.лов.инструмента,на Нз 59нкт".Нз.т.-2315м.</v>
          </cell>
        </row>
        <row r="525">
          <cell r="B525">
            <v>5318</v>
          </cell>
          <cell r="C525">
            <v>134</v>
          </cell>
          <cell r="D525">
            <v>21</v>
          </cell>
          <cell r="E525">
            <v>11</v>
          </cell>
          <cell r="G525">
            <v>260</v>
          </cell>
          <cell r="H525" t="str">
            <v>нагнет.</v>
          </cell>
          <cell r="I525" t="str">
            <v>бд</v>
          </cell>
          <cell r="N525">
            <v>150</v>
          </cell>
          <cell r="Q525">
            <v>150</v>
          </cell>
          <cell r="U525" t="str">
            <v>нг</v>
          </cell>
          <cell r="W525" t="str">
            <v>Спуск пакера ,пуск под закачку.</v>
          </cell>
          <cell r="X525" t="str">
            <v>После РИР</v>
          </cell>
          <cell r="AD525">
            <v>0</v>
          </cell>
          <cell r="AE525">
            <v>14</v>
          </cell>
          <cell r="AF525">
            <v>14</v>
          </cell>
          <cell r="AG525">
            <v>-105</v>
          </cell>
          <cell r="AH525">
            <v>-147</v>
          </cell>
        </row>
        <row r="526">
          <cell r="B526">
            <v>2649</v>
          </cell>
          <cell r="C526" t="str">
            <v>157б</v>
          </cell>
          <cell r="D526">
            <v>21</v>
          </cell>
          <cell r="E526">
            <v>11</v>
          </cell>
          <cell r="G526">
            <v>235</v>
          </cell>
          <cell r="H526" t="str">
            <v>ШГН</v>
          </cell>
          <cell r="I526" t="str">
            <v>действ.</v>
          </cell>
          <cell r="K526">
            <v>3</v>
          </cell>
          <cell r="L526">
            <v>2.2999999999999998</v>
          </cell>
          <cell r="M526">
            <v>5</v>
          </cell>
          <cell r="N526">
            <v>10</v>
          </cell>
          <cell r="O526">
            <v>7.3</v>
          </cell>
          <cell r="P526">
            <v>10</v>
          </cell>
          <cell r="Q526">
            <v>7</v>
          </cell>
          <cell r="R526">
            <v>5</v>
          </cell>
          <cell r="S526">
            <v>11.8</v>
          </cell>
          <cell r="T526">
            <v>21</v>
          </cell>
          <cell r="U526" t="str">
            <v>ОПЗ</v>
          </cell>
          <cell r="W526" t="str">
            <v>УГИС. ОПЗ НТПН. ГДИ</v>
          </cell>
          <cell r="AD526">
            <v>14</v>
          </cell>
          <cell r="AE526">
            <v>28</v>
          </cell>
          <cell r="AF526">
            <v>14</v>
          </cell>
          <cell r="AG526">
            <v>-70</v>
          </cell>
          <cell r="AH526">
            <v>-105</v>
          </cell>
        </row>
        <row r="527">
          <cell r="B527">
            <v>2713</v>
          </cell>
          <cell r="C527">
            <v>163</v>
          </cell>
          <cell r="D527">
            <v>21</v>
          </cell>
          <cell r="E527">
            <v>12</v>
          </cell>
          <cell r="G527">
            <v>270</v>
          </cell>
          <cell r="H527" t="str">
            <v>ШГН</v>
          </cell>
          <cell r="I527" t="str">
            <v>действ.</v>
          </cell>
          <cell r="K527">
            <v>3</v>
          </cell>
          <cell r="L527">
            <v>2.4</v>
          </cell>
          <cell r="M527">
            <v>2</v>
          </cell>
          <cell r="N527">
            <v>6</v>
          </cell>
          <cell r="O527">
            <v>4.4000000000000004</v>
          </cell>
          <cell r="P527">
            <v>10</v>
          </cell>
          <cell r="Q527">
            <v>3</v>
          </cell>
          <cell r="R527">
            <v>2.0000000000000004</v>
          </cell>
          <cell r="S527">
            <v>17.7</v>
          </cell>
          <cell r="T527">
            <v>35</v>
          </cell>
          <cell r="U527" t="str">
            <v>ОПЗ</v>
          </cell>
          <cell r="W527" t="str">
            <v>УГИС. ОПЗ НТПН. ГДИ</v>
          </cell>
          <cell r="AD527">
            <v>28</v>
          </cell>
          <cell r="AE527">
            <v>37</v>
          </cell>
          <cell r="AF527">
            <v>9</v>
          </cell>
          <cell r="AG527">
            <v>-88</v>
          </cell>
          <cell r="AH527">
            <v>-220</v>
          </cell>
        </row>
        <row r="528">
          <cell r="B528">
            <v>2768</v>
          </cell>
          <cell r="C528">
            <v>164</v>
          </cell>
          <cell r="D528">
            <v>21</v>
          </cell>
          <cell r="E528">
            <v>13</v>
          </cell>
          <cell r="G528">
            <v>275</v>
          </cell>
          <cell r="H528" t="str">
            <v>ШГН</v>
          </cell>
          <cell r="I528" t="str">
            <v>действ.</v>
          </cell>
          <cell r="K528">
            <v>5</v>
          </cell>
          <cell r="L528">
            <v>2.4</v>
          </cell>
          <cell r="M528">
            <v>42</v>
          </cell>
          <cell r="N528">
            <v>10</v>
          </cell>
          <cell r="O528">
            <v>4.4000000000000004</v>
          </cell>
          <cell r="P528">
            <v>46.5</v>
          </cell>
          <cell r="Q528">
            <v>5</v>
          </cell>
          <cell r="R528">
            <v>2.0000000000000004</v>
          </cell>
          <cell r="S528">
            <v>50.6</v>
          </cell>
          <cell r="T528">
            <v>44</v>
          </cell>
          <cell r="U528" t="str">
            <v>ОПЗ</v>
          </cell>
          <cell r="W528" t="str">
            <v>УГИС. ОПЗ НТПН. ГДИ</v>
          </cell>
          <cell r="AD528">
            <v>38</v>
          </cell>
          <cell r="AE528">
            <v>52</v>
          </cell>
          <cell r="AF528">
            <v>14</v>
          </cell>
          <cell r="AG528">
            <v>-142</v>
          </cell>
          <cell r="AH528">
            <v>-236</v>
          </cell>
        </row>
        <row r="529">
          <cell r="B529">
            <v>3004</v>
          </cell>
          <cell r="C529">
            <v>50</v>
          </cell>
          <cell r="D529">
            <v>21</v>
          </cell>
          <cell r="E529">
            <v>14</v>
          </cell>
          <cell r="G529">
            <v>265</v>
          </cell>
          <cell r="H529" t="str">
            <v>ШГН</v>
          </cell>
          <cell r="I529" t="str">
            <v>действ.</v>
          </cell>
          <cell r="K529">
            <v>3</v>
          </cell>
          <cell r="L529">
            <v>2</v>
          </cell>
          <cell r="M529">
            <v>20</v>
          </cell>
          <cell r="N529">
            <v>7</v>
          </cell>
          <cell r="O529">
            <v>4.4000000000000004</v>
          </cell>
          <cell r="P529">
            <v>22</v>
          </cell>
          <cell r="Q529">
            <v>4</v>
          </cell>
          <cell r="R529">
            <v>2.4000000000000004</v>
          </cell>
          <cell r="S529">
            <v>25.9</v>
          </cell>
          <cell r="T529">
            <v>59</v>
          </cell>
          <cell r="U529" t="str">
            <v>ОПЗ</v>
          </cell>
          <cell r="W529" t="str">
            <v>УГИС. ОПЗ НТПН. ГДИ</v>
          </cell>
          <cell r="AD529">
            <v>53</v>
          </cell>
          <cell r="AE529">
            <v>67</v>
          </cell>
          <cell r="AF529">
            <v>14</v>
          </cell>
          <cell r="AG529">
            <v>-148</v>
          </cell>
          <cell r="AH529">
            <v>-296</v>
          </cell>
        </row>
        <row r="530">
          <cell r="B530">
            <v>3014</v>
          </cell>
          <cell r="C530">
            <v>48</v>
          </cell>
          <cell r="D530">
            <v>21</v>
          </cell>
          <cell r="E530">
            <v>15</v>
          </cell>
          <cell r="G530">
            <v>260</v>
          </cell>
          <cell r="H530" t="str">
            <v>ШГН</v>
          </cell>
          <cell r="I530" t="str">
            <v>действ.</v>
          </cell>
          <cell r="K530">
            <v>3</v>
          </cell>
          <cell r="L530">
            <v>1.7</v>
          </cell>
          <cell r="M530">
            <v>32</v>
          </cell>
          <cell r="N530">
            <v>7</v>
          </cell>
          <cell r="O530">
            <v>3.7</v>
          </cell>
          <cell r="P530">
            <v>35</v>
          </cell>
          <cell r="Q530">
            <v>4</v>
          </cell>
          <cell r="R530">
            <v>2</v>
          </cell>
          <cell r="S530">
            <v>38.299999999999997</v>
          </cell>
          <cell r="T530">
            <v>74</v>
          </cell>
          <cell r="U530" t="str">
            <v>ОПЗ</v>
          </cell>
          <cell r="W530" t="str">
            <v>УГИС. ОПЗ НТПН. ГДИ</v>
          </cell>
          <cell r="AD530">
            <v>37119</v>
          </cell>
          <cell r="AE530">
            <v>37133</v>
          </cell>
          <cell r="AF530">
            <v>14</v>
          </cell>
          <cell r="AG530">
            <v>-129990</v>
          </cell>
          <cell r="AH530">
            <v>-185700</v>
          </cell>
        </row>
        <row r="531">
          <cell r="B531">
            <v>11047</v>
          </cell>
          <cell r="C531" t="str">
            <v>302б</v>
          </cell>
          <cell r="D531">
            <v>40</v>
          </cell>
          <cell r="E531">
            <v>402</v>
          </cell>
          <cell r="G531">
            <v>235</v>
          </cell>
          <cell r="H531" t="str">
            <v>ШГН</v>
          </cell>
          <cell r="I531" t="str">
            <v>действ.</v>
          </cell>
          <cell r="K531">
            <v>1</v>
          </cell>
          <cell r="L531">
            <v>0.7</v>
          </cell>
          <cell r="M531">
            <v>8</v>
          </cell>
          <cell r="N531">
            <v>6</v>
          </cell>
          <cell r="O531">
            <v>4.2</v>
          </cell>
          <cell r="P531">
            <v>14</v>
          </cell>
          <cell r="Q531">
            <v>5</v>
          </cell>
          <cell r="R531">
            <v>3.5</v>
          </cell>
          <cell r="S531">
            <v>13.6</v>
          </cell>
          <cell r="T531">
            <v>37140</v>
          </cell>
          <cell r="U531" t="str">
            <v>ОПЗ</v>
          </cell>
          <cell r="W531" t="str">
            <v>УГИС. ОПЗ НТПН. ГДИ</v>
          </cell>
          <cell r="AD531">
            <v>37134</v>
          </cell>
          <cell r="AE531">
            <v>37148</v>
          </cell>
          <cell r="AF531">
            <v>14</v>
          </cell>
          <cell r="AG531">
            <v>-111465</v>
          </cell>
          <cell r="AH531">
            <v>-148620</v>
          </cell>
        </row>
        <row r="532">
          <cell r="B532">
            <v>11040</v>
          </cell>
          <cell r="C532" t="str">
            <v>302б</v>
          </cell>
          <cell r="D532">
            <v>40</v>
          </cell>
          <cell r="E532">
            <v>403</v>
          </cell>
          <cell r="G532">
            <v>250</v>
          </cell>
          <cell r="H532" t="str">
            <v>ШГН</v>
          </cell>
          <cell r="I532" t="str">
            <v>действ.</v>
          </cell>
          <cell r="K532">
            <v>2</v>
          </cell>
          <cell r="L532">
            <v>1.5</v>
          </cell>
          <cell r="M532">
            <v>7</v>
          </cell>
          <cell r="N532">
            <v>6</v>
          </cell>
          <cell r="O532">
            <v>4.5</v>
          </cell>
          <cell r="P532">
            <v>8</v>
          </cell>
          <cell r="Q532">
            <v>4</v>
          </cell>
          <cell r="R532">
            <v>3</v>
          </cell>
          <cell r="S532">
            <v>7.4</v>
          </cell>
          <cell r="T532">
            <v>37155</v>
          </cell>
          <cell r="U532" t="str">
            <v>ОПЗ</v>
          </cell>
          <cell r="W532" t="str">
            <v>УГИС. ОПЗ НТПН. ГДИ</v>
          </cell>
          <cell r="AD532">
            <v>37149</v>
          </cell>
          <cell r="AE532">
            <v>37163</v>
          </cell>
          <cell r="AF532">
            <v>14</v>
          </cell>
          <cell r="AG532">
            <v>-92925</v>
          </cell>
          <cell r="AH532">
            <v>-148680</v>
          </cell>
        </row>
        <row r="533">
          <cell r="B533">
            <v>11043</v>
          </cell>
          <cell r="C533" t="str">
            <v>302б</v>
          </cell>
          <cell r="D533">
            <v>40</v>
          </cell>
          <cell r="E533">
            <v>404</v>
          </cell>
          <cell r="G533">
            <v>230</v>
          </cell>
          <cell r="H533" t="str">
            <v>ШГН</v>
          </cell>
          <cell r="I533" t="str">
            <v>действ.</v>
          </cell>
          <cell r="K533">
            <v>3</v>
          </cell>
          <cell r="L533">
            <v>2</v>
          </cell>
          <cell r="M533">
            <v>19</v>
          </cell>
          <cell r="N533">
            <v>7</v>
          </cell>
          <cell r="O533">
            <v>4.5</v>
          </cell>
          <cell r="P533">
            <v>21</v>
          </cell>
          <cell r="Q533">
            <v>4</v>
          </cell>
          <cell r="R533">
            <v>2.5</v>
          </cell>
          <cell r="S533">
            <v>22.8</v>
          </cell>
          <cell r="T533">
            <v>37170</v>
          </cell>
          <cell r="U533" t="str">
            <v>ОПЗ</v>
          </cell>
          <cell r="W533" t="str">
            <v>УГИС. ОПЗ НТПН. ГДИ</v>
          </cell>
          <cell r="AD533">
            <v>37164</v>
          </cell>
          <cell r="AE533">
            <v>37189</v>
          </cell>
          <cell r="AF533">
            <v>25</v>
          </cell>
          <cell r="AG533">
            <v>-371960</v>
          </cell>
          <cell r="AH533">
            <v>-557940</v>
          </cell>
        </row>
        <row r="534">
          <cell r="B534">
            <v>4974</v>
          </cell>
          <cell r="C534" t="str">
            <v>205б</v>
          </cell>
          <cell r="D534">
            <v>40</v>
          </cell>
          <cell r="E534">
            <v>401</v>
          </cell>
          <cell r="G534">
            <v>220</v>
          </cell>
          <cell r="H534" t="str">
            <v>ШГН</v>
          </cell>
          <cell r="I534" t="str">
            <v>бд</v>
          </cell>
          <cell r="K534">
            <v>6</v>
          </cell>
          <cell r="L534">
            <v>4.5999999999999996</v>
          </cell>
          <cell r="M534">
            <v>6</v>
          </cell>
          <cell r="N534">
            <v>15</v>
          </cell>
          <cell r="O534">
            <v>10</v>
          </cell>
          <cell r="P534">
            <v>18</v>
          </cell>
          <cell r="Q534">
            <v>15</v>
          </cell>
          <cell r="R534">
            <v>10</v>
          </cell>
          <cell r="S534">
            <v>17.7</v>
          </cell>
          <cell r="T534">
            <v>37196</v>
          </cell>
          <cell r="U534" t="str">
            <v>ГРП</v>
          </cell>
          <cell r="W534" t="str">
            <v>ГРП (ОПЗ КСПЭО.) Спуск ЭЦН-30</v>
          </cell>
          <cell r="Y534" t="str">
            <v>зумпф-1м (нижн. интерв.изолир.)</v>
          </cell>
          <cell r="Z534">
            <v>2733.6</v>
          </cell>
          <cell r="AA534">
            <v>73</v>
          </cell>
          <cell r="AB534">
            <v>39541</v>
          </cell>
          <cell r="AC534">
            <v>223.1</v>
          </cell>
          <cell r="AD534">
            <v>37118</v>
          </cell>
          <cell r="AE534">
            <v>37154</v>
          </cell>
          <cell r="AF534">
            <v>36</v>
          </cell>
          <cell r="AG534">
            <v>0</v>
          </cell>
          <cell r="AH534">
            <v>-4458840</v>
          </cell>
        </row>
        <row r="535">
          <cell r="B535">
            <v>5373</v>
          </cell>
          <cell r="C535">
            <v>103</v>
          </cell>
          <cell r="D535">
            <v>50</v>
          </cell>
          <cell r="E535">
            <v>501</v>
          </cell>
          <cell r="G535">
            <v>223.1</v>
          </cell>
          <cell r="H535" t="str">
            <v>нагнет.</v>
          </cell>
          <cell r="I535" t="str">
            <v>конс.</v>
          </cell>
          <cell r="N535">
            <v>120</v>
          </cell>
          <cell r="Q535">
            <v>120</v>
          </cell>
          <cell r="R535">
            <v>0</v>
          </cell>
          <cell r="T535">
            <v>37157</v>
          </cell>
          <cell r="U535" t="str">
            <v>нг</v>
          </cell>
          <cell r="W535" t="str">
            <v>ОТСК. ГИС-3. Ликвидация ЗКЦ?</v>
          </cell>
          <cell r="Y535" t="str">
            <v>+19</v>
          </cell>
          <cell r="Z535">
            <v>2767</v>
          </cell>
          <cell r="AC535">
            <v>224.5</v>
          </cell>
          <cell r="AD535">
            <v>37155</v>
          </cell>
          <cell r="AE535">
            <v>37190</v>
          </cell>
          <cell r="AF535">
            <v>35</v>
          </cell>
          <cell r="AG535">
            <v>0</v>
          </cell>
          <cell r="AH535">
            <v>-4463160</v>
          </cell>
        </row>
        <row r="536">
          <cell r="B536">
            <v>5374</v>
          </cell>
          <cell r="C536">
            <v>103</v>
          </cell>
          <cell r="D536">
            <v>50</v>
          </cell>
          <cell r="E536">
            <v>502</v>
          </cell>
          <cell r="G536">
            <v>224.5</v>
          </cell>
          <cell r="H536" t="str">
            <v>нагнет.</v>
          </cell>
          <cell r="I536" t="str">
            <v>бд</v>
          </cell>
          <cell r="N536">
            <v>120</v>
          </cell>
          <cell r="Q536">
            <v>120</v>
          </cell>
          <cell r="R536">
            <v>0</v>
          </cell>
          <cell r="T536">
            <v>37193</v>
          </cell>
          <cell r="U536" t="str">
            <v>нг</v>
          </cell>
          <cell r="W536" t="str">
            <v>ВЗ. ОТСК</v>
          </cell>
          <cell r="Y536" t="str">
            <v>При ПРС полёт Э-80 без лов.головки</v>
          </cell>
          <cell r="AD536">
            <v>37191</v>
          </cell>
          <cell r="AE536">
            <v>37221</v>
          </cell>
          <cell r="AF536">
            <v>30</v>
          </cell>
        </row>
        <row r="537">
          <cell r="B537">
            <v>5400</v>
          </cell>
          <cell r="C537">
            <v>103</v>
          </cell>
          <cell r="D537">
            <v>50</v>
          </cell>
          <cell r="E537">
            <v>502</v>
          </cell>
          <cell r="G537">
            <v>240</v>
          </cell>
          <cell r="H537" t="str">
            <v>ЭЦН</v>
          </cell>
          <cell r="I537" t="str">
            <v>бд</v>
          </cell>
          <cell r="N537">
            <v>100</v>
          </cell>
          <cell r="O537">
            <v>1.6</v>
          </cell>
          <cell r="P537">
            <v>98</v>
          </cell>
          <cell r="Q537">
            <v>100</v>
          </cell>
          <cell r="R537">
            <v>1.6</v>
          </cell>
          <cell r="S537">
            <v>98</v>
          </cell>
          <cell r="T537">
            <v>37228</v>
          </cell>
          <cell r="U537" t="str">
            <v>ЛА</v>
          </cell>
          <cell r="W537" t="str">
            <v>Извл.ЭЦН-80,Восст.Нз ГЖ,ГДИ сп.ЭЦН.</v>
          </cell>
          <cell r="AD537">
            <v>37222</v>
          </cell>
          <cell r="AE537">
            <v>37252</v>
          </cell>
          <cell r="AF537">
            <v>30</v>
          </cell>
        </row>
        <row r="538">
          <cell r="B538" t="str">
            <v>5402б</v>
          </cell>
          <cell r="C538">
            <v>103</v>
          </cell>
          <cell r="D538">
            <v>50</v>
          </cell>
          <cell r="E538">
            <v>502</v>
          </cell>
          <cell r="G538">
            <v>255</v>
          </cell>
          <cell r="H538" t="str">
            <v>ЭЦН</v>
          </cell>
          <cell r="I538" t="str">
            <v>бд</v>
          </cell>
          <cell r="N538">
            <v>50</v>
          </cell>
          <cell r="O538">
            <v>4.0999999999999996</v>
          </cell>
          <cell r="P538">
            <v>90</v>
          </cell>
          <cell r="Q538">
            <v>50</v>
          </cell>
          <cell r="R538">
            <v>4.0999999999999996</v>
          </cell>
          <cell r="S538">
            <v>89.9</v>
          </cell>
          <cell r="W538" t="str">
            <v>ВЦ,ВЗ УГИС ,ГДИ</v>
          </cell>
          <cell r="Y538" t="str">
            <v>В скважине низ пакера+хвоставик из НКТ 3"</v>
          </cell>
          <cell r="AD538">
            <v>37253</v>
          </cell>
          <cell r="AE538">
            <v>37283</v>
          </cell>
          <cell r="AF538">
            <v>30</v>
          </cell>
        </row>
        <row r="539">
          <cell r="B539">
            <v>5428</v>
          </cell>
          <cell r="C539">
            <v>103</v>
          </cell>
          <cell r="D539">
            <v>50</v>
          </cell>
          <cell r="E539">
            <v>502</v>
          </cell>
          <cell r="G539">
            <v>235</v>
          </cell>
          <cell r="H539" t="str">
            <v>ЭЦН</v>
          </cell>
          <cell r="I539" t="str">
            <v>бд</v>
          </cell>
          <cell r="N539">
            <v>80</v>
          </cell>
          <cell r="O539">
            <v>3.3</v>
          </cell>
          <cell r="P539">
            <v>95</v>
          </cell>
          <cell r="Q539">
            <v>80</v>
          </cell>
          <cell r="R539">
            <v>3.3</v>
          </cell>
          <cell r="S539">
            <v>94.9</v>
          </cell>
          <cell r="W539" t="str">
            <v>ВЦ,ВЗ,(извл.НКТ 3")ПП УГИС.  ГДИ</v>
          </cell>
          <cell r="X539" t="str">
            <v>В ППД с 6.83 по 09.84г.</v>
          </cell>
        </row>
        <row r="540">
          <cell r="B540">
            <v>5347</v>
          </cell>
          <cell r="C540">
            <v>103</v>
          </cell>
          <cell r="D540">
            <v>50</v>
          </cell>
          <cell r="E540">
            <v>502</v>
          </cell>
          <cell r="G540">
            <v>270</v>
          </cell>
          <cell r="H540" t="str">
            <v>ЭЦН</v>
          </cell>
          <cell r="I540" t="str">
            <v>бд</v>
          </cell>
          <cell r="N540">
            <v>80</v>
          </cell>
          <cell r="O540">
            <v>3.3</v>
          </cell>
          <cell r="P540">
            <v>95</v>
          </cell>
          <cell r="Q540">
            <v>80</v>
          </cell>
          <cell r="R540">
            <v>3.3</v>
          </cell>
          <cell r="S540">
            <v>94.9</v>
          </cell>
          <cell r="U540" t="str">
            <v>ЛА</v>
          </cell>
          <cell r="W540" t="str">
            <v>Извл.проволки,восст.Нз ГЖ,ГДИ сп.ЭЦН.</v>
          </cell>
        </row>
        <row r="541">
          <cell r="B541">
            <v>5838</v>
          </cell>
          <cell r="C541" t="str">
            <v>168б</v>
          </cell>
          <cell r="H541" t="str">
            <v>фон</v>
          </cell>
          <cell r="U541" t="str">
            <v>ОПЗ</v>
          </cell>
          <cell r="W541" t="str">
            <v>ЛА ПП,УГИС,ОПЗ ИХН ГДИ (ГРП)</v>
          </cell>
          <cell r="X541" t="str">
            <v>В скажине МСУ-400+2720 проволки</v>
          </cell>
        </row>
        <row r="542">
          <cell r="B542" t="str">
            <v>5845б</v>
          </cell>
          <cell r="C542" t="str">
            <v>168б</v>
          </cell>
          <cell r="H542" t="str">
            <v>фон</v>
          </cell>
          <cell r="U542" t="str">
            <v>ОПЗ</v>
          </cell>
          <cell r="W542" t="str">
            <v>УГИС,ОПЗ НТПН, ГДИ</v>
          </cell>
        </row>
        <row r="543">
          <cell r="B543">
            <v>5849</v>
          </cell>
          <cell r="C543" t="str">
            <v>168б</v>
          </cell>
          <cell r="H543" t="str">
            <v>фон</v>
          </cell>
          <cell r="U543" t="str">
            <v>ОПЗ</v>
          </cell>
          <cell r="W543" t="str">
            <v>ВЦ,(ПП) УГИС ОПЗ ИХН,ГДИ</v>
          </cell>
        </row>
        <row r="544">
          <cell r="B544">
            <v>4120</v>
          </cell>
          <cell r="C544">
            <v>311</v>
          </cell>
          <cell r="H544" t="str">
            <v>эцн</v>
          </cell>
          <cell r="U544" t="str">
            <v>ЛА</v>
          </cell>
          <cell r="W544" t="str">
            <v>ВЦ.ВЗ.УГИС ГДИ</v>
          </cell>
        </row>
        <row r="545">
          <cell r="B545">
            <v>4119</v>
          </cell>
          <cell r="C545">
            <v>311</v>
          </cell>
          <cell r="H545" t="str">
            <v>эцн</v>
          </cell>
          <cell r="U545" t="str">
            <v>ЛА</v>
          </cell>
          <cell r="W545" t="str">
            <v>ВЦ.ВЗ.УГИС ГДИ</v>
          </cell>
        </row>
        <row r="546">
          <cell r="B546">
            <v>5589</v>
          </cell>
          <cell r="C546">
            <v>118</v>
          </cell>
          <cell r="H546" t="str">
            <v>эцн</v>
          </cell>
          <cell r="U546" t="str">
            <v>ЛА</v>
          </cell>
          <cell r="W546" t="str">
            <v>ВЦ?.ВЗ.УГИС ГДИ</v>
          </cell>
        </row>
        <row r="547">
          <cell r="B547">
            <v>5591</v>
          </cell>
          <cell r="C547">
            <v>118</v>
          </cell>
          <cell r="H547" t="str">
            <v>шгн</v>
          </cell>
          <cell r="U547" t="str">
            <v>ЛА</v>
          </cell>
          <cell r="W547" t="str">
            <v>ВЦ.ВЗ.УГИС ГДИ</v>
          </cell>
        </row>
        <row r="548">
          <cell r="B548">
            <v>5388</v>
          </cell>
          <cell r="C548">
            <v>107</v>
          </cell>
          <cell r="H548" t="str">
            <v>нагнет.</v>
          </cell>
          <cell r="U548" t="str">
            <v>нг</v>
          </cell>
          <cell r="W548" t="str">
            <v>Изоляция ЮК-11,ОПЗ ЮК-10 пуск под зак.</v>
          </cell>
        </row>
        <row r="549">
          <cell r="B549">
            <v>5386</v>
          </cell>
          <cell r="C549">
            <v>107</v>
          </cell>
          <cell r="H549" t="str">
            <v>нагнет.</v>
          </cell>
          <cell r="U549" t="str">
            <v>нг</v>
          </cell>
          <cell r="W549" t="str">
            <v>Изоляция ЮК-11,ОПЗ ЮК-10 пуск под зак.</v>
          </cell>
        </row>
        <row r="550">
          <cell r="B550">
            <v>5384</v>
          </cell>
          <cell r="C550">
            <v>107</v>
          </cell>
          <cell r="H550" t="str">
            <v>нагнет.</v>
          </cell>
          <cell r="U550" t="str">
            <v>нг</v>
          </cell>
          <cell r="W550" t="str">
            <v>УГИС, ГИС-3 пуск под закачку</v>
          </cell>
          <cell r="Z550">
            <v>2810</v>
          </cell>
          <cell r="AA550">
            <v>73</v>
          </cell>
          <cell r="AB550">
            <v>36810</v>
          </cell>
          <cell r="AD550">
            <v>37171</v>
          </cell>
          <cell r="AE550">
            <v>37182</v>
          </cell>
          <cell r="AF550">
            <v>11</v>
          </cell>
          <cell r="AG550">
            <v>0</v>
          </cell>
          <cell r="AH550">
            <v>-9296250</v>
          </cell>
        </row>
        <row r="551">
          <cell r="B551">
            <v>3282</v>
          </cell>
          <cell r="C551" t="str">
            <v>70б</v>
          </cell>
          <cell r="D551">
            <v>10</v>
          </cell>
          <cell r="E551">
            <v>106</v>
          </cell>
          <cell r="G551">
            <v>275</v>
          </cell>
          <cell r="H551" t="str">
            <v>нагнет.</v>
          </cell>
          <cell r="I551" t="str">
            <v>конс.</v>
          </cell>
          <cell r="N551">
            <v>250</v>
          </cell>
          <cell r="Q551">
            <v>250</v>
          </cell>
          <cell r="R551">
            <v>0</v>
          </cell>
          <cell r="T551">
            <v>37185</v>
          </cell>
          <cell r="U551" t="str">
            <v>нг</v>
          </cell>
          <cell r="W551" t="str">
            <v>Спуск и привязка пакера, опред. прием.ЮК11</v>
          </cell>
          <cell r="X551" t="str">
            <v>Утилизация</v>
          </cell>
          <cell r="Y551" t="str">
            <v>+14</v>
          </cell>
          <cell r="Z551">
            <v>2888</v>
          </cell>
          <cell r="AA551">
            <v>73</v>
          </cell>
          <cell r="AB551">
            <v>36763</v>
          </cell>
          <cell r="AD551">
            <v>37183</v>
          </cell>
          <cell r="AE551">
            <v>37194</v>
          </cell>
          <cell r="AF551">
            <v>11</v>
          </cell>
          <cell r="AG551">
            <v>0</v>
          </cell>
          <cell r="AH551">
            <v>-13018950</v>
          </cell>
        </row>
        <row r="552">
          <cell r="B552">
            <v>3301</v>
          </cell>
          <cell r="C552" t="str">
            <v>70б</v>
          </cell>
          <cell r="D552">
            <v>10</v>
          </cell>
          <cell r="E552">
            <v>107</v>
          </cell>
          <cell r="G552">
            <v>290</v>
          </cell>
          <cell r="H552" t="str">
            <v>нагнет.</v>
          </cell>
          <cell r="I552" t="str">
            <v>действ.</v>
          </cell>
          <cell r="K552">
            <v>580</v>
          </cell>
          <cell r="N552">
            <v>350</v>
          </cell>
          <cell r="Q552">
            <v>350</v>
          </cell>
          <cell r="R552">
            <v>0</v>
          </cell>
          <cell r="T552">
            <v>37197</v>
          </cell>
          <cell r="U552" t="str">
            <v>нг</v>
          </cell>
          <cell r="W552" t="str">
            <v>Ревизия и привязка пакера</v>
          </cell>
          <cell r="X552" t="str">
            <v>Утилизация</v>
          </cell>
          <cell r="Y552" t="str">
            <v>На забое "перо" с шаблоном 73мм + шламоуловитель(сверху)</v>
          </cell>
          <cell r="AD552">
            <v>37195</v>
          </cell>
          <cell r="AE552">
            <v>37195</v>
          </cell>
        </row>
        <row r="553">
          <cell r="B553">
            <v>2613</v>
          </cell>
          <cell r="C553">
            <v>157</v>
          </cell>
          <cell r="D553">
            <v>10</v>
          </cell>
          <cell r="E553">
            <v>108</v>
          </cell>
          <cell r="G553">
            <v>240</v>
          </cell>
          <cell r="H553" t="str">
            <v>ШГН</v>
          </cell>
          <cell r="I553" t="str">
            <v>бд</v>
          </cell>
          <cell r="J553">
            <v>34180</v>
          </cell>
          <cell r="N553">
            <v>24</v>
          </cell>
          <cell r="O553">
            <v>14</v>
          </cell>
          <cell r="P553">
            <v>28.5</v>
          </cell>
          <cell r="Q553">
            <v>24</v>
          </cell>
          <cell r="R553">
            <v>14</v>
          </cell>
          <cell r="S553">
            <v>28</v>
          </cell>
          <cell r="T553">
            <v>37202</v>
          </cell>
          <cell r="U553" t="str">
            <v>ГРП</v>
          </cell>
          <cell r="W553" t="str">
            <v>ЛА (НКТ). СО-каротаж. Дострел п."б".ГРП</v>
          </cell>
          <cell r="AD553">
            <v>37196</v>
          </cell>
          <cell r="AE553">
            <v>37196</v>
          </cell>
        </row>
        <row r="554">
          <cell r="B554">
            <v>2595</v>
          </cell>
          <cell r="C554">
            <v>157</v>
          </cell>
          <cell r="D554">
            <v>10</v>
          </cell>
          <cell r="E554">
            <v>109</v>
          </cell>
          <cell r="G554">
            <v>240</v>
          </cell>
          <cell r="H554" t="str">
            <v>Ф/ШГН</v>
          </cell>
          <cell r="N554">
            <v>12</v>
          </cell>
          <cell r="O554">
            <v>4.5</v>
          </cell>
          <cell r="P554">
            <v>54</v>
          </cell>
          <cell r="Q554">
            <v>12</v>
          </cell>
          <cell r="R554">
            <v>4.5</v>
          </cell>
          <cell r="S554">
            <v>53.7</v>
          </cell>
          <cell r="T554">
            <v>37203</v>
          </cell>
          <cell r="U554" t="str">
            <v>ОПЗ</v>
          </cell>
          <cell r="W554" t="str">
            <v>ЛА (НКТ). ОПЗ (НТПН)</v>
          </cell>
          <cell r="X554" t="str">
            <v>Прихват НКТ</v>
          </cell>
          <cell r="AD554">
            <v>37226</v>
          </cell>
          <cell r="AE554">
            <v>37263</v>
          </cell>
          <cell r="AF554">
            <v>37</v>
          </cell>
        </row>
        <row r="555">
          <cell r="B555">
            <v>2533</v>
          </cell>
          <cell r="C555">
            <v>150</v>
          </cell>
          <cell r="D555">
            <v>17</v>
          </cell>
          <cell r="H555" t="str">
            <v>ШГН</v>
          </cell>
          <cell r="I555" t="str">
            <v>действ.</v>
          </cell>
          <cell r="K555">
            <v>11</v>
          </cell>
          <cell r="L555">
            <v>5.2</v>
          </cell>
          <cell r="M555">
            <v>42</v>
          </cell>
          <cell r="N555">
            <v>40</v>
          </cell>
          <cell r="O555">
            <v>13</v>
          </cell>
          <cell r="P555">
            <v>60</v>
          </cell>
          <cell r="Q555">
            <v>29</v>
          </cell>
          <cell r="R555">
            <v>7.8</v>
          </cell>
          <cell r="S555">
            <v>66.8</v>
          </cell>
          <cell r="T555">
            <v>37270</v>
          </cell>
          <cell r="U555" t="str">
            <v>ГРП</v>
          </cell>
          <cell r="W555" t="str">
            <v>ИР ЮК-11. ПП ЮК-10. ГРП</v>
          </cell>
          <cell r="Y555" t="str">
            <v>Прихват НКТ</v>
          </cell>
          <cell r="AD555">
            <v>37263</v>
          </cell>
          <cell r="AE555">
            <v>37293</v>
          </cell>
          <cell r="AF555">
            <v>30</v>
          </cell>
        </row>
        <row r="556">
          <cell r="B556">
            <v>2595</v>
          </cell>
          <cell r="C556">
            <v>157</v>
          </cell>
          <cell r="D556">
            <v>17</v>
          </cell>
          <cell r="H556" t="str">
            <v>ШГН</v>
          </cell>
          <cell r="I556" t="str">
            <v>бд</v>
          </cell>
          <cell r="J556">
            <v>33710</v>
          </cell>
          <cell r="N556">
            <v>20</v>
          </cell>
          <cell r="O556">
            <v>13</v>
          </cell>
          <cell r="P556">
            <v>20</v>
          </cell>
          <cell r="Q556">
            <v>20</v>
          </cell>
          <cell r="R556">
            <v>13</v>
          </cell>
          <cell r="S556">
            <v>19.8</v>
          </cell>
          <cell r="U556" t="str">
            <v>ГРП</v>
          </cell>
          <cell r="W556" t="str">
            <v>ЛА, ГИС(ЗКЦ), ликв.ЗКЦ, ГРП</v>
          </cell>
          <cell r="Y556" t="str">
            <v>Сложная авария</v>
          </cell>
          <cell r="AD556">
            <v>37293</v>
          </cell>
          <cell r="AE556">
            <v>37338</v>
          </cell>
          <cell r="AF556">
            <v>45</v>
          </cell>
        </row>
        <row r="557">
          <cell r="B557">
            <v>2613</v>
          </cell>
          <cell r="C557">
            <v>157</v>
          </cell>
          <cell r="D557">
            <v>17</v>
          </cell>
          <cell r="H557" t="str">
            <v>ШГН</v>
          </cell>
          <cell r="I557" t="str">
            <v>бд</v>
          </cell>
          <cell r="J557">
            <v>34180</v>
          </cell>
          <cell r="N557">
            <v>20</v>
          </cell>
          <cell r="O557">
            <v>10</v>
          </cell>
          <cell r="P557">
            <v>38.5</v>
          </cell>
          <cell r="Q557">
            <v>20</v>
          </cell>
          <cell r="R557">
            <v>10</v>
          </cell>
          <cell r="S557">
            <v>38.299999999999997</v>
          </cell>
          <cell r="U557" t="str">
            <v>ГРП</v>
          </cell>
          <cell r="W557" t="str">
            <v>ЛА(ВЗ), ГРП</v>
          </cell>
        </row>
        <row r="558">
          <cell r="B558">
            <v>2716</v>
          </cell>
          <cell r="C558">
            <v>165</v>
          </cell>
          <cell r="D558">
            <v>17</v>
          </cell>
          <cell r="H558" t="str">
            <v>ШГН</v>
          </cell>
          <cell r="I558" t="str">
            <v>действ.</v>
          </cell>
          <cell r="K558">
            <v>2</v>
          </cell>
          <cell r="L558">
            <v>0.1</v>
          </cell>
          <cell r="M558">
            <v>96</v>
          </cell>
          <cell r="N558">
            <v>20</v>
          </cell>
          <cell r="O558">
            <v>10.1</v>
          </cell>
          <cell r="P558">
            <v>38</v>
          </cell>
          <cell r="Q558">
            <v>18</v>
          </cell>
          <cell r="R558">
            <v>10</v>
          </cell>
          <cell r="S558">
            <v>31.4</v>
          </cell>
          <cell r="U558" t="str">
            <v>ГРП</v>
          </cell>
          <cell r="W558" t="str">
            <v>ГИС(ЗКЦ), ИР низ ЮК-10, ГРП  пачки А3</v>
          </cell>
          <cell r="AD558">
            <v>37338</v>
          </cell>
          <cell r="AE558">
            <v>37363</v>
          </cell>
          <cell r="AF558">
            <v>25</v>
          </cell>
        </row>
        <row r="559">
          <cell r="B559">
            <v>5850</v>
          </cell>
          <cell r="C559">
            <v>169</v>
          </cell>
          <cell r="D559">
            <v>17</v>
          </cell>
          <cell r="H559" t="str">
            <v>ФОН</v>
          </cell>
          <cell r="I559" t="str">
            <v>конс.</v>
          </cell>
          <cell r="J559">
            <v>34151</v>
          </cell>
          <cell r="N559">
            <v>50</v>
          </cell>
          <cell r="O559">
            <v>4</v>
          </cell>
          <cell r="P559">
            <v>90.1</v>
          </cell>
          <cell r="Q559">
            <v>50</v>
          </cell>
          <cell r="R559">
            <v>4</v>
          </cell>
          <cell r="S559">
            <v>90.1</v>
          </cell>
          <cell r="U559" t="str">
            <v>ОПЗ</v>
          </cell>
          <cell r="W559" t="str">
            <v>ВЦ, УГИС, ПП через УГИС в кислотной среде</v>
          </cell>
        </row>
        <row r="567">
          <cell r="W567" t="str">
            <v>Резерв</v>
          </cell>
        </row>
        <row r="568">
          <cell r="B568">
            <v>2631</v>
          </cell>
          <cell r="C568" t="str">
            <v>157б</v>
          </cell>
          <cell r="R568">
            <v>10</v>
          </cell>
          <cell r="W568" t="str">
            <v>ЛА, ВЗ, ПП ЮК-11 DN, сп.ЭЦН-50</v>
          </cell>
        </row>
        <row r="569">
          <cell r="B569">
            <v>2649</v>
          </cell>
          <cell r="C569" t="str">
            <v>157б</v>
          </cell>
          <cell r="R569">
            <v>5</v>
          </cell>
          <cell r="W569" t="str">
            <v xml:space="preserve"> ДП ЮК-10 2797-2802, ПП ЮК-10 сп. НН. Инт.2654-2662, при наличии нефти  в ЮК-2 и воды в ЮК-10 ГРП</v>
          </cell>
        </row>
        <row r="570">
          <cell r="B570">
            <v>2685</v>
          </cell>
          <cell r="C570" t="str">
            <v>160б</v>
          </cell>
          <cell r="R570">
            <v>5</v>
          </cell>
          <cell r="W570" t="str">
            <v>ПП, ЮК-10, м-ж СКН, сп.НН</v>
          </cell>
        </row>
        <row r="571">
          <cell r="B571">
            <v>2704</v>
          </cell>
          <cell r="C571" t="str">
            <v>160б</v>
          </cell>
          <cell r="D571">
            <v>4</v>
          </cell>
          <cell r="E571">
            <v>43</v>
          </cell>
          <cell r="F571" t="str">
            <v>УПНПиКРС</v>
          </cell>
          <cell r="R571">
            <v>12</v>
          </cell>
          <cell r="W571" t="str">
            <v>ЛА, РИР, ПП ЮК-10 ГРП</v>
          </cell>
        </row>
        <row r="572">
          <cell r="B572">
            <v>2705</v>
          </cell>
          <cell r="C572" t="str">
            <v>160б</v>
          </cell>
          <cell r="D572">
            <v>4</v>
          </cell>
          <cell r="E572">
            <v>44</v>
          </cell>
          <cell r="F572" t="str">
            <v>УПНПиКРС</v>
          </cell>
          <cell r="R572">
            <v>7</v>
          </cell>
          <cell r="W572" t="str">
            <v>ВЦ, ПП, п.А, 2767-2772, ОПЗ, сп.Э-50</v>
          </cell>
        </row>
        <row r="573">
          <cell r="B573">
            <v>2750</v>
          </cell>
          <cell r="C573">
            <v>146</v>
          </cell>
          <cell r="R573">
            <v>5.5</v>
          </cell>
          <cell r="W573" t="str">
            <v>ПП, спЭ-45, L-2100м</v>
          </cell>
        </row>
        <row r="574">
          <cell r="B574">
            <v>2751</v>
          </cell>
          <cell r="C574">
            <v>146</v>
          </cell>
          <cell r="R574">
            <v>4.5</v>
          </cell>
          <cell r="W574" t="str">
            <v>ВЗ, ПП, ЮК-10-11, сп.Э-50</v>
          </cell>
        </row>
        <row r="575">
          <cell r="B575">
            <v>2754</v>
          </cell>
          <cell r="C575">
            <v>145</v>
          </cell>
          <cell r="D575">
            <v>3</v>
          </cell>
          <cell r="I575" t="str">
            <v>конс.</v>
          </cell>
          <cell r="J575">
            <v>32843</v>
          </cell>
          <cell r="K575">
            <v>6</v>
          </cell>
          <cell r="L575">
            <v>0.5</v>
          </cell>
          <cell r="M575">
            <v>90</v>
          </cell>
          <cell r="N575">
            <v>30</v>
          </cell>
          <cell r="O575">
            <v>12</v>
          </cell>
          <cell r="P575">
            <v>51</v>
          </cell>
          <cell r="Q575">
            <v>30</v>
          </cell>
          <cell r="R575">
            <v>12</v>
          </cell>
          <cell r="S575">
            <v>50.6</v>
          </cell>
          <cell r="U575" t="str">
            <v>ГРП</v>
          </cell>
          <cell r="W575" t="str">
            <v>ГРП, возможно приобщение ЮК-11</v>
          </cell>
        </row>
        <row r="576">
          <cell r="B576">
            <v>2755</v>
          </cell>
          <cell r="C576">
            <v>145</v>
          </cell>
          <cell r="D576">
            <v>3</v>
          </cell>
          <cell r="I576" t="str">
            <v>бд</v>
          </cell>
          <cell r="J576">
            <v>33968</v>
          </cell>
          <cell r="K576">
            <v>40</v>
          </cell>
          <cell r="L576">
            <v>1.6</v>
          </cell>
          <cell r="M576">
            <v>95</v>
          </cell>
          <cell r="N576">
            <v>30</v>
          </cell>
          <cell r="O576">
            <v>12</v>
          </cell>
          <cell r="P576">
            <v>51</v>
          </cell>
          <cell r="Q576">
            <v>30</v>
          </cell>
          <cell r="R576">
            <v>12</v>
          </cell>
          <cell r="S576">
            <v>50.6</v>
          </cell>
          <cell r="U576" t="str">
            <v>ГРП</v>
          </cell>
          <cell r="W576" t="str">
            <v>ГИС-2(и.о.) РИР ЮК-11, ГРП с отсыпкой низа ЮК-10</v>
          </cell>
        </row>
        <row r="577">
          <cell r="B577">
            <v>2756</v>
          </cell>
          <cell r="C577">
            <v>145</v>
          </cell>
          <cell r="D577">
            <v>3</v>
          </cell>
          <cell r="I577" t="str">
            <v>бд</v>
          </cell>
          <cell r="J577">
            <v>35786</v>
          </cell>
          <cell r="K577">
            <v>70</v>
          </cell>
          <cell r="L577">
            <v>10.8</v>
          </cell>
          <cell r="M577">
            <v>81</v>
          </cell>
          <cell r="N577">
            <v>50</v>
          </cell>
          <cell r="O577">
            <v>10</v>
          </cell>
          <cell r="P577">
            <v>75.400000000000006</v>
          </cell>
          <cell r="Q577">
            <v>50</v>
          </cell>
          <cell r="R577">
            <v>10</v>
          </cell>
          <cell r="S577">
            <v>75.3</v>
          </cell>
          <cell r="U577" t="str">
            <v>РИР</v>
          </cell>
          <cell r="W577" t="str">
            <v>РИР Э/К 2562-2673, ПП-ЮК-10 с ОПЗ</v>
          </cell>
        </row>
        <row r="578">
          <cell r="B578">
            <v>2784</v>
          </cell>
          <cell r="C578">
            <v>145</v>
          </cell>
          <cell r="R578">
            <v>5</v>
          </cell>
          <cell r="W578" t="str">
            <v>ЛА, ГИС-2(и.о.)при отс.ЗКЦ с ЮК-11 ПП п.А с ОПЗ, сп.ЭЦН, при наличии ЗКЦ в консервацию</v>
          </cell>
        </row>
        <row r="579">
          <cell r="B579">
            <v>2920</v>
          </cell>
          <cell r="C579">
            <v>43</v>
          </cell>
          <cell r="R579">
            <v>10</v>
          </cell>
          <cell r="W579" t="str">
            <v>ВЦ,дострел 2812-2816м,2820-2825м,ГРП</v>
          </cell>
        </row>
        <row r="580">
          <cell r="B580">
            <v>2940</v>
          </cell>
          <cell r="C580">
            <v>46</v>
          </cell>
          <cell r="R580">
            <v>6</v>
          </cell>
          <cell r="W580" t="str">
            <v>ВЦ,ПП ЮК-11,сп Э-50</v>
          </cell>
        </row>
        <row r="581">
          <cell r="B581">
            <v>2941</v>
          </cell>
          <cell r="C581">
            <v>46</v>
          </cell>
          <cell r="R581">
            <v>5</v>
          </cell>
          <cell r="W581" t="str">
            <v>ВЦ,ОТСК,ГИС-2,сп Э-50</v>
          </cell>
        </row>
        <row r="582">
          <cell r="B582">
            <v>2956</v>
          </cell>
          <cell r="C582">
            <v>46</v>
          </cell>
          <cell r="R582">
            <v>4</v>
          </cell>
          <cell r="W582" t="str">
            <v>РИР ЮК-11,перевод на ЮК-10 ,сп Н-57,интер.ЮК-3 2500-2520м</v>
          </cell>
        </row>
        <row r="583">
          <cell r="B583">
            <v>2982</v>
          </cell>
          <cell r="C583">
            <v>50</v>
          </cell>
          <cell r="R583">
            <v>5</v>
          </cell>
          <cell r="W583" t="str">
            <v>ПП,ОПЗ,сп Н-57</v>
          </cell>
        </row>
        <row r="584">
          <cell r="B584">
            <v>3034</v>
          </cell>
          <cell r="C584">
            <v>51</v>
          </cell>
          <cell r="H584" t="str">
            <v>ШГН</v>
          </cell>
          <cell r="I584" t="str">
            <v>конс.</v>
          </cell>
          <cell r="N584">
            <v>50</v>
          </cell>
          <cell r="O584">
            <v>5</v>
          </cell>
          <cell r="P584">
            <v>87.7</v>
          </cell>
          <cell r="Q584">
            <v>50</v>
          </cell>
          <cell r="R584">
            <v>5</v>
          </cell>
          <cell r="S584">
            <v>87.7</v>
          </cell>
          <cell r="W584" t="str">
            <v>ВЦ,ПП ЮК-11,сп Э-50</v>
          </cell>
        </row>
        <row r="585">
          <cell r="B585">
            <v>5341</v>
          </cell>
          <cell r="C585">
            <v>101</v>
          </cell>
          <cell r="R585">
            <v>6</v>
          </cell>
          <cell r="W585" t="str">
            <v>приобщение ЮК-11 (3016-3018м,3019-3023м)</v>
          </cell>
        </row>
        <row r="586">
          <cell r="B586">
            <v>5342</v>
          </cell>
          <cell r="C586">
            <v>101</v>
          </cell>
          <cell r="R586">
            <v>6</v>
          </cell>
          <cell r="W586" t="str">
            <v>ВЗ,ОТСК,ВЦ,ДП 2942-2950м,ПП,ОПЗ</v>
          </cell>
        </row>
        <row r="587">
          <cell r="B587">
            <v>5412</v>
          </cell>
          <cell r="C587">
            <v>107</v>
          </cell>
          <cell r="R587">
            <v>4.5</v>
          </cell>
          <cell r="W587" t="str">
            <v>РИР ЮК-11,ПП с ОПЗ,сп Н-57</v>
          </cell>
        </row>
        <row r="588">
          <cell r="B588">
            <v>5435</v>
          </cell>
          <cell r="C588">
            <v>106</v>
          </cell>
          <cell r="R588">
            <v>6</v>
          </cell>
          <cell r="W588" t="str">
            <v>ЛА ( НКТ ),ПП, сп Э-50</v>
          </cell>
        </row>
        <row r="589">
          <cell r="B589">
            <v>5615</v>
          </cell>
          <cell r="C589">
            <v>116</v>
          </cell>
          <cell r="R589">
            <v>5</v>
          </cell>
          <cell r="W589" t="str">
            <v>ВЦ,ПП,ОПЗ,сп Э-50</v>
          </cell>
        </row>
        <row r="590">
          <cell r="B590">
            <v>5583</v>
          </cell>
          <cell r="C590">
            <v>116</v>
          </cell>
          <cell r="H590" t="str">
            <v>ЭЦН</v>
          </cell>
          <cell r="I590" t="str">
            <v>конс.</v>
          </cell>
          <cell r="N590">
            <v>50</v>
          </cell>
          <cell r="O590">
            <v>5</v>
          </cell>
          <cell r="P590">
            <v>87.7</v>
          </cell>
          <cell r="Q590">
            <v>50</v>
          </cell>
          <cell r="R590">
            <v>5</v>
          </cell>
          <cell r="S590">
            <v>87.7</v>
          </cell>
          <cell r="W590" t="str">
            <v>ВЦ,ПП, сп Э-50 ( ООО прогр.)</v>
          </cell>
        </row>
        <row r="591">
          <cell r="B591" t="str">
            <v>5402б</v>
          </cell>
          <cell r="C591">
            <v>103</v>
          </cell>
          <cell r="H591" t="str">
            <v>ЭЦН</v>
          </cell>
          <cell r="I591" t="str">
            <v>конс.</v>
          </cell>
          <cell r="N591">
            <v>80</v>
          </cell>
          <cell r="O591">
            <v>5</v>
          </cell>
          <cell r="P591">
            <v>92.3</v>
          </cell>
          <cell r="Q591">
            <v>80</v>
          </cell>
          <cell r="R591">
            <v>5</v>
          </cell>
          <cell r="S591">
            <v>92.3</v>
          </cell>
          <cell r="W591" t="str">
            <v>ВЦ,ПП с ОПЗ сп Э-80 ( ООО э/прогрев )</v>
          </cell>
        </row>
        <row r="592">
          <cell r="B592" t="str">
            <v>5491б</v>
          </cell>
          <cell r="C592">
            <v>117</v>
          </cell>
          <cell r="R592">
            <v>5</v>
          </cell>
          <cell r="W592" t="str">
            <v>ВЦ,ПП,ОПЗ,ГИС-2,ОТСК,сп Э-50</v>
          </cell>
        </row>
        <row r="593">
          <cell r="B593">
            <v>5338</v>
          </cell>
          <cell r="C593">
            <v>141</v>
          </cell>
          <cell r="D593" t="e">
            <v>#REF!</v>
          </cell>
          <cell r="E593" t="e">
            <v>#REF!</v>
          </cell>
          <cell r="F593" t="str">
            <v>УПНПиКРС</v>
          </cell>
          <cell r="G593">
            <v>280</v>
          </cell>
          <cell r="H593" t="str">
            <v>нагнет.</v>
          </cell>
          <cell r="I593" t="str">
            <v>бд</v>
          </cell>
          <cell r="J593">
            <v>36711</v>
          </cell>
          <cell r="K593">
            <v>230</v>
          </cell>
          <cell r="N593">
            <v>230</v>
          </cell>
          <cell r="Q593">
            <v>230</v>
          </cell>
          <cell r="V593">
            <v>3</v>
          </cell>
          <cell r="W593" t="str">
            <v>Ревизия пакера</v>
          </cell>
          <cell r="AD593">
            <v>37320</v>
          </cell>
          <cell r="AE593">
            <v>37360</v>
          </cell>
          <cell r="AF593">
            <v>40</v>
          </cell>
        </row>
        <row r="594">
          <cell r="B594">
            <v>2608</v>
          </cell>
          <cell r="C594" t="str">
            <v>168б</v>
          </cell>
          <cell r="D594">
            <v>5</v>
          </cell>
          <cell r="E594">
            <v>50</v>
          </cell>
          <cell r="F594" t="str">
            <v>УПНПиКРС</v>
          </cell>
          <cell r="G594">
            <v>240</v>
          </cell>
          <cell r="H594" t="str">
            <v>ШГН</v>
          </cell>
          <cell r="I594" t="str">
            <v>действ.</v>
          </cell>
          <cell r="K594">
            <v>3</v>
          </cell>
          <cell r="L594">
            <v>2.2999999999999998</v>
          </cell>
          <cell r="M594">
            <v>5</v>
          </cell>
          <cell r="N594">
            <v>30</v>
          </cell>
          <cell r="O594">
            <v>14.3</v>
          </cell>
          <cell r="P594">
            <v>41.4</v>
          </cell>
          <cell r="Q594">
            <v>27</v>
          </cell>
          <cell r="R594">
            <v>12</v>
          </cell>
          <cell r="S594">
            <v>45.1</v>
          </cell>
          <cell r="T594">
            <v>37367</v>
          </cell>
          <cell r="U594" t="str">
            <v>ГРП</v>
          </cell>
          <cell r="V594">
            <v>2</v>
          </cell>
          <cell r="W594" t="str">
            <v>инт.ЮК 4-5 2569-2578, 2582-2592м,ГРП</v>
          </cell>
          <cell r="AD594" t="e">
            <v>#REF!</v>
          </cell>
          <cell r="AE594" t="e">
            <v>#REF!</v>
          </cell>
          <cell r="AF594">
            <v>33</v>
          </cell>
          <cell r="AG594" t="e">
            <v>#REF!</v>
          </cell>
          <cell r="AH594" t="e">
            <v>#REF!</v>
          </cell>
        </row>
        <row r="595">
          <cell r="B595">
            <v>2596</v>
          </cell>
          <cell r="C595">
            <v>150</v>
          </cell>
          <cell r="D595" t="e">
            <v>#REF!</v>
          </cell>
          <cell r="E595" t="e">
            <v>#REF!</v>
          </cell>
          <cell r="F595" t="str">
            <v>УПНПиКРС</v>
          </cell>
          <cell r="G595">
            <v>250</v>
          </cell>
          <cell r="H595" t="str">
            <v>ШГН</v>
          </cell>
          <cell r="I595" t="str">
            <v>конс.</v>
          </cell>
          <cell r="J595">
            <v>34304</v>
          </cell>
          <cell r="K595">
            <v>3</v>
          </cell>
          <cell r="L595">
            <v>1</v>
          </cell>
          <cell r="M595">
            <v>60</v>
          </cell>
          <cell r="N595">
            <v>30</v>
          </cell>
          <cell r="O595">
            <v>12</v>
          </cell>
          <cell r="P595">
            <v>50.8</v>
          </cell>
          <cell r="Q595">
            <v>30</v>
          </cell>
          <cell r="R595">
            <v>12</v>
          </cell>
          <cell r="S595">
            <v>50.6</v>
          </cell>
          <cell r="T595" t="e">
            <v>#REF!</v>
          </cell>
          <cell r="U595" t="str">
            <v>ГРП</v>
          </cell>
          <cell r="V595">
            <v>2</v>
          </cell>
          <cell r="W595" t="str">
            <v>ВЦ, ИР ЮК-10, ПР к ГРП и ГРП ЮК-2-3</v>
          </cell>
          <cell r="AD595" t="e">
            <v>#REF!</v>
          </cell>
          <cell r="AE595" t="e">
            <v>#REF!</v>
          </cell>
          <cell r="AF595">
            <v>45</v>
          </cell>
          <cell r="AG595">
            <v>28</v>
          </cell>
          <cell r="AH595">
            <v>60</v>
          </cell>
        </row>
        <row r="596">
          <cell r="B596">
            <v>2668</v>
          </cell>
          <cell r="C596" t="str">
            <v>160б</v>
          </cell>
          <cell r="D596" t="e">
            <v>#REF!</v>
          </cell>
          <cell r="E596" t="e">
            <v>#REF!</v>
          </cell>
          <cell r="F596" t="str">
            <v>УПНПиКРС</v>
          </cell>
          <cell r="G596">
            <v>250</v>
          </cell>
          <cell r="H596" t="str">
            <v>ШГН</v>
          </cell>
          <cell r="I596" t="str">
            <v>конс.</v>
          </cell>
          <cell r="J596">
            <v>34243</v>
          </cell>
          <cell r="K596">
            <v>0.7</v>
          </cell>
          <cell r="L596">
            <v>0.6</v>
          </cell>
          <cell r="M596">
            <v>0</v>
          </cell>
          <cell r="N596">
            <v>30</v>
          </cell>
          <cell r="O596">
            <v>14</v>
          </cell>
          <cell r="P596">
            <v>42.8</v>
          </cell>
          <cell r="Q596">
            <v>30</v>
          </cell>
          <cell r="R596">
            <v>14</v>
          </cell>
          <cell r="S596">
            <v>42.4</v>
          </cell>
          <cell r="T596" t="e">
            <v>#REF!</v>
          </cell>
          <cell r="U596" t="str">
            <v>ГРП</v>
          </cell>
          <cell r="V596">
            <v>4</v>
          </cell>
          <cell r="W596" t="str">
            <v>ВЦ,ПП, ГРП ЮК-10</v>
          </cell>
          <cell r="Y596" t="str">
            <v>Полёт нкт, МСУ+проволка+ловитель</v>
          </cell>
          <cell r="AD596" t="e">
            <v>#REF!</v>
          </cell>
          <cell r="AE596" t="e">
            <v>#REF!</v>
          </cell>
          <cell r="AF596">
            <v>45</v>
          </cell>
        </row>
        <row r="597">
          <cell r="B597">
            <v>2704</v>
          </cell>
          <cell r="C597" t="str">
            <v>160б</v>
          </cell>
          <cell r="D597" t="e">
            <v>#REF!</v>
          </cell>
          <cell r="E597" t="e">
            <v>#REF!</v>
          </cell>
          <cell r="F597" t="str">
            <v>УПНПиКРС</v>
          </cell>
          <cell r="G597">
            <v>270</v>
          </cell>
          <cell r="H597" t="str">
            <v>ФОН</v>
          </cell>
          <cell r="I597" t="str">
            <v>конс.</v>
          </cell>
          <cell r="J597">
            <v>34364</v>
          </cell>
          <cell r="K597">
            <v>29</v>
          </cell>
          <cell r="L597">
            <v>1.2</v>
          </cell>
          <cell r="M597">
            <v>95</v>
          </cell>
          <cell r="N597">
            <v>30</v>
          </cell>
          <cell r="O597">
            <v>12</v>
          </cell>
          <cell r="P597">
            <v>51</v>
          </cell>
          <cell r="Q597">
            <v>30</v>
          </cell>
          <cell r="R597">
            <v>12</v>
          </cell>
          <cell r="S597">
            <v>50.6</v>
          </cell>
          <cell r="T597" t="e">
            <v>#REF!</v>
          </cell>
          <cell r="U597" t="str">
            <v>ГРП</v>
          </cell>
          <cell r="V597">
            <v>5</v>
          </cell>
          <cell r="W597" t="str">
            <v>ЛА,ИР ЮК-11,ПП ЮК-10 ГРП</v>
          </cell>
          <cell r="Y597" t="str">
            <v>КВ есть</v>
          </cell>
          <cell r="AD597" t="e">
            <v>#REF!</v>
          </cell>
          <cell r="AE597" t="e">
            <v>#REF!</v>
          </cell>
          <cell r="AF597">
            <v>40</v>
          </cell>
        </row>
        <row r="598">
          <cell r="B598">
            <v>2705</v>
          </cell>
          <cell r="C598" t="str">
            <v>160б</v>
          </cell>
          <cell r="D598" t="e">
            <v>#REF!</v>
          </cell>
          <cell r="E598" t="e">
            <v>#REF!</v>
          </cell>
          <cell r="F598" t="str">
            <v>УПНПиКРС</v>
          </cell>
          <cell r="G598">
            <v>260</v>
          </cell>
          <cell r="H598" t="str">
            <v>ШГН</v>
          </cell>
          <cell r="I598" t="str">
            <v>бд</v>
          </cell>
          <cell r="J598">
            <v>36332</v>
          </cell>
          <cell r="K598">
            <v>2</v>
          </cell>
          <cell r="L598">
            <v>1.6</v>
          </cell>
          <cell r="M598">
            <v>3</v>
          </cell>
          <cell r="N598">
            <v>40</v>
          </cell>
          <cell r="O598">
            <v>7</v>
          </cell>
          <cell r="P598">
            <v>78.5</v>
          </cell>
          <cell r="Q598">
            <v>40</v>
          </cell>
          <cell r="R598">
            <v>7</v>
          </cell>
          <cell r="S598">
            <v>78.400000000000006</v>
          </cell>
          <cell r="T598" t="e">
            <v>#REF!</v>
          </cell>
          <cell r="U598" t="str">
            <v>ОПЗ</v>
          </cell>
          <cell r="V598">
            <v>6</v>
          </cell>
          <cell r="W598" t="str">
            <v xml:space="preserve">ВЦ,ПП п.А, ОПЗ,ГДИ </v>
          </cell>
          <cell r="AD598" t="e">
            <v>#REF!</v>
          </cell>
          <cell r="AE598" t="e">
            <v>#REF!</v>
          </cell>
          <cell r="AF598">
            <v>40</v>
          </cell>
        </row>
        <row r="599">
          <cell r="B599">
            <v>2651</v>
          </cell>
          <cell r="C599" t="str">
            <v>157б</v>
          </cell>
          <cell r="D599" t="e">
            <v>#REF!</v>
          </cell>
          <cell r="E599">
            <v>72</v>
          </cell>
          <cell r="F599" t="str">
            <v>УПНПиКРС</v>
          </cell>
          <cell r="G599">
            <v>270</v>
          </cell>
          <cell r="H599" t="str">
            <v>ШГН</v>
          </cell>
          <cell r="I599" t="str">
            <v>конс.</v>
          </cell>
          <cell r="J599">
            <v>35073</v>
          </cell>
          <cell r="K599">
            <v>29</v>
          </cell>
          <cell r="L599">
            <v>3.5</v>
          </cell>
          <cell r="M599">
            <v>85</v>
          </cell>
          <cell r="N599">
            <v>30</v>
          </cell>
          <cell r="O599">
            <v>12</v>
          </cell>
          <cell r="P599">
            <v>51</v>
          </cell>
          <cell r="Q599">
            <v>30</v>
          </cell>
          <cell r="R599">
            <v>12</v>
          </cell>
          <cell r="S599">
            <v>50.6</v>
          </cell>
          <cell r="T599" t="e">
            <v>#REF!</v>
          </cell>
          <cell r="U599" t="str">
            <v>ГРП</v>
          </cell>
          <cell r="V599">
            <v>3</v>
          </cell>
          <cell r="W599" t="str">
            <v>ВЦ,РИР ЮК-11, ПП ЮК-10, ГРП</v>
          </cell>
        </row>
        <row r="600">
          <cell r="B600">
            <v>5858</v>
          </cell>
          <cell r="C600">
            <v>169</v>
          </cell>
          <cell r="D600">
            <v>7</v>
          </cell>
          <cell r="E600">
            <v>72</v>
          </cell>
          <cell r="F600" t="str">
            <v>УПНПиКРС</v>
          </cell>
          <cell r="G600">
            <v>270</v>
          </cell>
          <cell r="H600" t="str">
            <v>ФОН</v>
          </cell>
          <cell r="I600" t="str">
            <v>бд</v>
          </cell>
          <cell r="J600">
            <v>36649</v>
          </cell>
          <cell r="K600">
            <v>7</v>
          </cell>
          <cell r="L600">
            <v>1</v>
          </cell>
          <cell r="M600">
            <v>82</v>
          </cell>
          <cell r="N600">
            <v>30</v>
          </cell>
          <cell r="O600">
            <v>12</v>
          </cell>
          <cell r="P600">
            <v>51</v>
          </cell>
          <cell r="Q600">
            <v>30</v>
          </cell>
          <cell r="R600">
            <v>12</v>
          </cell>
          <cell r="S600">
            <v>50.6</v>
          </cell>
          <cell r="T600">
            <v>7</v>
          </cell>
          <cell r="U600" t="str">
            <v>ГРП</v>
          </cell>
          <cell r="V600">
            <v>4</v>
          </cell>
          <cell r="W600" t="str">
            <v xml:space="preserve">инт.ЮК-5  2613-2628м,РИР ЮК-10,ГРП </v>
          </cell>
          <cell r="AD600" t="e">
            <v>#REF!</v>
          </cell>
          <cell r="AE600" t="e">
            <v>#REF!</v>
          </cell>
          <cell r="AF600">
            <v>40</v>
          </cell>
        </row>
        <row r="601">
          <cell r="B601">
            <v>5345</v>
          </cell>
          <cell r="C601">
            <v>102</v>
          </cell>
          <cell r="D601" t="e">
            <v>#REF!</v>
          </cell>
          <cell r="E601" t="e">
            <v>#REF!</v>
          </cell>
          <cell r="F601" t="str">
            <v>УПНПиКРС</v>
          </cell>
          <cell r="G601">
            <v>250</v>
          </cell>
          <cell r="H601" t="str">
            <v>ШГН</v>
          </cell>
          <cell r="I601" t="str">
            <v>бд</v>
          </cell>
          <cell r="J601">
            <v>37216</v>
          </cell>
          <cell r="K601">
            <v>14</v>
          </cell>
          <cell r="L601">
            <v>0.5</v>
          </cell>
          <cell r="M601">
            <v>96</v>
          </cell>
          <cell r="N601">
            <v>30</v>
          </cell>
          <cell r="O601">
            <v>12</v>
          </cell>
          <cell r="P601">
            <v>51</v>
          </cell>
          <cell r="Q601">
            <v>30</v>
          </cell>
          <cell r="R601">
            <v>12</v>
          </cell>
          <cell r="S601">
            <v>50.6</v>
          </cell>
          <cell r="T601" t="e">
            <v>#REF!</v>
          </cell>
          <cell r="U601" t="str">
            <v>ГРП</v>
          </cell>
          <cell r="V601">
            <v>2</v>
          </cell>
          <cell r="W601" t="str">
            <v>ИР ЮК-10, ДП 2629-2632,2633-2640ГРП ЮК-2-3</v>
          </cell>
          <cell r="Y601" t="str">
            <v>Н/пр-444м, по печати пост.предмет</v>
          </cell>
          <cell r="AA601">
            <v>73</v>
          </cell>
          <cell r="AB601" t="str">
            <v>-</v>
          </cell>
          <cell r="AD601" t="e">
            <v>#REF!</v>
          </cell>
          <cell r="AE601" t="e">
            <v>#REF!</v>
          </cell>
          <cell r="AF601">
            <v>35</v>
          </cell>
          <cell r="AG601" t="e">
            <v>#REF!</v>
          </cell>
          <cell r="AH601" t="e">
            <v>#REF!</v>
          </cell>
        </row>
        <row r="602">
          <cell r="B602">
            <v>5455</v>
          </cell>
          <cell r="C602">
            <v>102</v>
          </cell>
          <cell r="F602" t="str">
            <v>УПНПиКРС</v>
          </cell>
          <cell r="G602">
            <v>240</v>
          </cell>
          <cell r="H602" t="str">
            <v>ШГН</v>
          </cell>
          <cell r="I602" t="str">
            <v>конс.</v>
          </cell>
          <cell r="J602">
            <v>32843</v>
          </cell>
          <cell r="K602">
            <v>7</v>
          </cell>
          <cell r="L602">
            <v>5</v>
          </cell>
          <cell r="M602">
            <v>12</v>
          </cell>
          <cell r="N602">
            <v>21</v>
          </cell>
          <cell r="O602">
            <v>12</v>
          </cell>
          <cell r="P602">
            <v>30</v>
          </cell>
          <cell r="Q602">
            <v>21</v>
          </cell>
          <cell r="R602">
            <v>12</v>
          </cell>
          <cell r="S602">
            <v>29.5</v>
          </cell>
          <cell r="T602" t="e">
            <v>#REF!</v>
          </cell>
          <cell r="U602" t="str">
            <v>ГРП</v>
          </cell>
          <cell r="V602">
            <v>3</v>
          </cell>
          <cell r="W602" t="str">
            <v>ВЦ. ИР ЮК-10. ГДИ. ПП ДН. ГРП ЮК 2-3</v>
          </cell>
        </row>
        <row r="603">
          <cell r="B603">
            <v>5656</v>
          </cell>
          <cell r="C603">
            <v>123</v>
          </cell>
          <cell r="D603">
            <v>0</v>
          </cell>
          <cell r="E603">
            <v>1</v>
          </cell>
          <cell r="F603" t="str">
            <v>УПНПиКРС</v>
          </cell>
          <cell r="G603">
            <v>265</v>
          </cell>
          <cell r="H603" t="str">
            <v>ФОН</v>
          </cell>
          <cell r="I603" t="str">
            <v>конс.</v>
          </cell>
          <cell r="J603">
            <v>35096</v>
          </cell>
          <cell r="K603">
            <v>10</v>
          </cell>
          <cell r="L603">
            <v>0.1</v>
          </cell>
          <cell r="M603">
            <v>99</v>
          </cell>
          <cell r="N603">
            <v>25</v>
          </cell>
          <cell r="O603">
            <v>12</v>
          </cell>
          <cell r="P603">
            <v>41</v>
          </cell>
          <cell r="Q603">
            <v>25</v>
          </cell>
          <cell r="R603">
            <v>12</v>
          </cell>
          <cell r="S603">
            <v>40.700000000000003</v>
          </cell>
          <cell r="T603">
            <v>7</v>
          </cell>
          <cell r="U603" t="str">
            <v>ГРП</v>
          </cell>
          <cell r="V603">
            <v>4</v>
          </cell>
          <cell r="W603" t="str">
            <v>ИР ЮК-10 инт.2618-2636 ГРП ЮК 2-3</v>
          </cell>
          <cell r="Y603" t="str">
            <v>Отс.Нз, шаблон встал жестко на гл.1275м</v>
          </cell>
          <cell r="AD603" t="e">
            <v>#REF!</v>
          </cell>
          <cell r="AE603" t="e">
            <v>#REF!</v>
          </cell>
          <cell r="AF603">
            <v>50</v>
          </cell>
        </row>
        <row r="604">
          <cell r="B604" t="str">
            <v>5243б</v>
          </cell>
          <cell r="C604">
            <v>135</v>
          </cell>
          <cell r="D604">
            <v>10</v>
          </cell>
          <cell r="E604" t="e">
            <v>#REF!</v>
          </cell>
          <cell r="F604" t="str">
            <v>УПНПиКРС</v>
          </cell>
          <cell r="G604">
            <v>290</v>
          </cell>
          <cell r="H604" t="str">
            <v>ЭЦН</v>
          </cell>
          <cell r="I604" t="str">
            <v>конс.</v>
          </cell>
          <cell r="J604">
            <v>34669</v>
          </cell>
          <cell r="K604">
            <v>3</v>
          </cell>
          <cell r="L604">
            <v>0.7</v>
          </cell>
          <cell r="M604">
            <v>73</v>
          </cell>
          <cell r="N604">
            <v>30</v>
          </cell>
          <cell r="O604">
            <v>12</v>
          </cell>
          <cell r="P604">
            <v>51</v>
          </cell>
          <cell r="Q604">
            <v>30</v>
          </cell>
          <cell r="R604">
            <v>12</v>
          </cell>
          <cell r="S604">
            <v>50.6</v>
          </cell>
          <cell r="T604" t="e">
            <v>#REF!</v>
          </cell>
          <cell r="U604" t="str">
            <v>ГРП</v>
          </cell>
          <cell r="V604">
            <v>2</v>
          </cell>
          <cell r="W604" t="str">
            <v>ВЗ, РИР ЮК-10ДП ЮК 2-3-2558-2569м,ГРП</v>
          </cell>
          <cell r="Y604" t="str">
            <v>Нет КВ</v>
          </cell>
          <cell r="AD604" t="e">
            <v>#REF!</v>
          </cell>
          <cell r="AE604" t="e">
            <v>#REF!</v>
          </cell>
          <cell r="AF604">
            <v>35</v>
          </cell>
        </row>
        <row r="605">
          <cell r="B605">
            <v>2918</v>
          </cell>
          <cell r="C605">
            <v>43</v>
          </cell>
          <cell r="D605">
            <v>10</v>
          </cell>
          <cell r="E605" t="e">
            <v>#REF!</v>
          </cell>
          <cell r="F605" t="str">
            <v>УПНПиКРС</v>
          </cell>
          <cell r="G605">
            <v>270</v>
          </cell>
          <cell r="H605" t="str">
            <v>ШГН</v>
          </cell>
          <cell r="I605" t="str">
            <v>бд</v>
          </cell>
          <cell r="J605">
            <v>37010</v>
          </cell>
          <cell r="K605">
            <v>12</v>
          </cell>
          <cell r="L605">
            <v>6.8</v>
          </cell>
          <cell r="M605">
            <v>30</v>
          </cell>
          <cell r="N605">
            <v>30</v>
          </cell>
          <cell r="O605">
            <v>12</v>
          </cell>
          <cell r="P605">
            <v>51</v>
          </cell>
          <cell r="Q605">
            <v>30</v>
          </cell>
          <cell r="R605">
            <v>12</v>
          </cell>
          <cell r="S605">
            <v>50.6</v>
          </cell>
          <cell r="T605" t="e">
            <v>#REF!</v>
          </cell>
          <cell r="U605" t="str">
            <v>ГРП</v>
          </cell>
          <cell r="V605">
            <v>3</v>
          </cell>
          <cell r="W605" t="str">
            <v>ВЦ,ГРП п.А ( в график 2002года )</v>
          </cell>
          <cell r="Y605" t="str">
            <v>Нз.т-1775 ЛС-6, перо-2541м, 99г., ОЗ с 93г. Циркуляция есть(17.03.02)</v>
          </cell>
          <cell r="AD605" t="e">
            <v>#REF!</v>
          </cell>
          <cell r="AE605" t="e">
            <v>#REF!</v>
          </cell>
          <cell r="AF605">
            <v>35</v>
          </cell>
        </row>
        <row r="606">
          <cell r="B606">
            <v>2958</v>
          </cell>
          <cell r="C606">
            <v>46</v>
          </cell>
          <cell r="D606">
            <v>11</v>
          </cell>
          <cell r="E606" t="e">
            <v>#REF!</v>
          </cell>
          <cell r="F606" t="str">
            <v>УПНПиКРС</v>
          </cell>
          <cell r="G606">
            <v>250</v>
          </cell>
          <cell r="I606" t="str">
            <v>бд</v>
          </cell>
          <cell r="J606">
            <v>35749</v>
          </cell>
          <cell r="K606">
            <v>3</v>
          </cell>
          <cell r="L606">
            <v>2.4</v>
          </cell>
          <cell r="M606">
            <v>3</v>
          </cell>
          <cell r="N606">
            <v>30</v>
          </cell>
          <cell r="O606">
            <v>12</v>
          </cell>
          <cell r="P606">
            <v>51</v>
          </cell>
          <cell r="Q606">
            <v>30</v>
          </cell>
          <cell r="R606">
            <v>12</v>
          </cell>
          <cell r="S606">
            <v>50.6</v>
          </cell>
          <cell r="T606" t="e">
            <v>#REF!</v>
          </cell>
          <cell r="U606" t="str">
            <v>ГРП</v>
          </cell>
          <cell r="V606">
            <v>2</v>
          </cell>
          <cell r="W606" t="str">
            <v xml:space="preserve">РИР ЮК-10,ДП ЮК-3 2596-2618м,ГРП </v>
          </cell>
        </row>
        <row r="607">
          <cell r="B607">
            <v>5609</v>
          </cell>
          <cell r="C607">
            <v>114</v>
          </cell>
          <cell r="D607">
            <v>11</v>
          </cell>
          <cell r="E607" t="e">
            <v>#REF!</v>
          </cell>
          <cell r="F607" t="str">
            <v>УПНПиКРС</v>
          </cell>
          <cell r="G607">
            <v>230</v>
          </cell>
          <cell r="H607" t="str">
            <v>ШГН</v>
          </cell>
          <cell r="I607" t="str">
            <v>бд</v>
          </cell>
          <cell r="J607">
            <v>37064</v>
          </cell>
          <cell r="K607">
            <v>2</v>
          </cell>
          <cell r="L607">
            <v>1.6</v>
          </cell>
          <cell r="M607">
            <v>0</v>
          </cell>
          <cell r="N607">
            <v>4</v>
          </cell>
          <cell r="O607">
            <v>2.9</v>
          </cell>
          <cell r="P607">
            <v>10</v>
          </cell>
          <cell r="Q607">
            <v>4</v>
          </cell>
          <cell r="R607">
            <v>2.9</v>
          </cell>
          <cell r="S607">
            <v>10.5</v>
          </cell>
          <cell r="T607">
            <v>37372</v>
          </cell>
          <cell r="U607" t="str">
            <v>БДП</v>
          </cell>
          <cell r="V607">
            <v>3</v>
          </cell>
          <cell r="W607" t="str">
            <v>ВЦ,ревизия НВ-32</v>
          </cell>
        </row>
        <row r="608">
          <cell r="B608">
            <v>5543</v>
          </cell>
          <cell r="C608">
            <v>114</v>
          </cell>
          <cell r="D608">
            <v>11</v>
          </cell>
          <cell r="E608" t="e">
            <v>#REF!</v>
          </cell>
          <cell r="H608" t="str">
            <v>ШГН</v>
          </cell>
          <cell r="I608" t="str">
            <v>бд</v>
          </cell>
          <cell r="J608">
            <v>37258</v>
          </cell>
          <cell r="K608">
            <v>3</v>
          </cell>
          <cell r="L608">
            <v>1.7</v>
          </cell>
          <cell r="M608">
            <v>29</v>
          </cell>
          <cell r="N608">
            <v>24</v>
          </cell>
          <cell r="O608">
            <v>13.7</v>
          </cell>
          <cell r="P608">
            <v>30</v>
          </cell>
          <cell r="Q608">
            <v>24</v>
          </cell>
          <cell r="R608">
            <v>13.7</v>
          </cell>
          <cell r="S608">
            <v>29.5</v>
          </cell>
          <cell r="U608" t="str">
            <v>ГРП</v>
          </cell>
          <cell r="V608">
            <v>4</v>
          </cell>
          <cell r="W608" t="str">
            <v>повт.ГРП ( до 30т проп.)</v>
          </cell>
          <cell r="AD608" t="e">
            <v>#REF!</v>
          </cell>
          <cell r="AE608" t="e">
            <v>#REF!</v>
          </cell>
        </row>
        <row r="609">
          <cell r="B609">
            <v>2649</v>
          </cell>
          <cell r="C609" t="str">
            <v>157б</v>
          </cell>
          <cell r="D609">
            <v>11</v>
          </cell>
          <cell r="E609" t="e">
            <v>#REF!</v>
          </cell>
          <cell r="F609" t="str">
            <v>УПНПиКРС</v>
          </cell>
          <cell r="G609">
            <v>235</v>
          </cell>
          <cell r="H609" t="str">
            <v>ШГН</v>
          </cell>
          <cell r="I609" t="str">
            <v>действ.</v>
          </cell>
          <cell r="K609">
            <v>4</v>
          </cell>
          <cell r="L609">
            <v>3.1</v>
          </cell>
          <cell r="M609">
            <v>6</v>
          </cell>
          <cell r="N609">
            <v>12</v>
          </cell>
          <cell r="O609">
            <v>8.1</v>
          </cell>
          <cell r="P609">
            <v>17</v>
          </cell>
          <cell r="Q609">
            <v>8</v>
          </cell>
          <cell r="R609">
            <v>5</v>
          </cell>
          <cell r="S609">
            <v>22.8</v>
          </cell>
          <cell r="T609" t="e">
            <v>#REF!</v>
          </cell>
          <cell r="U609" t="str">
            <v>ОПЗ</v>
          </cell>
          <cell r="V609">
            <v>5</v>
          </cell>
          <cell r="W609" t="str">
            <v>ДП ЮК-100,ПП, ЮК-10,ОПЗ,ГДИ</v>
          </cell>
          <cell r="Y609" t="str">
            <v xml:space="preserve">на забое ЭЦН-50/1550+103шт.60мм НКТ+кабель </v>
          </cell>
          <cell r="AD609" t="e">
            <v>#REF!</v>
          </cell>
          <cell r="AE609" t="e">
            <v>#REF!</v>
          </cell>
          <cell r="AF609">
            <v>45</v>
          </cell>
        </row>
        <row r="610">
          <cell r="B610">
            <v>5241</v>
          </cell>
          <cell r="C610">
            <v>134</v>
          </cell>
          <cell r="D610" t="e">
            <v>#REF!</v>
          </cell>
          <cell r="E610" t="e">
            <v>#REF!</v>
          </cell>
          <cell r="F610" t="str">
            <v>УПНПиКРС</v>
          </cell>
          <cell r="G610">
            <v>255</v>
          </cell>
          <cell r="H610" t="str">
            <v>ЭЦН</v>
          </cell>
          <cell r="I610" t="str">
            <v>бд</v>
          </cell>
          <cell r="J610">
            <v>34547</v>
          </cell>
          <cell r="K610">
            <v>21</v>
          </cell>
          <cell r="L610">
            <v>0.2</v>
          </cell>
          <cell r="M610">
            <v>99</v>
          </cell>
          <cell r="N610">
            <v>30</v>
          </cell>
          <cell r="O610">
            <v>12</v>
          </cell>
          <cell r="P610">
            <v>51</v>
          </cell>
          <cell r="Q610">
            <v>30</v>
          </cell>
          <cell r="R610">
            <v>12</v>
          </cell>
          <cell r="S610">
            <v>50.6</v>
          </cell>
          <cell r="T610" t="e">
            <v>#REF!</v>
          </cell>
          <cell r="U610" t="str">
            <v>ГРП</v>
          </cell>
          <cell r="V610">
            <v>2</v>
          </cell>
          <cell r="W610" t="str">
            <v xml:space="preserve">ВЦ, ГИС-2 ( источ. обвод.), при подтверждении воды и герм. э/колонны -ДП. ЮК-2 2478-2488м, РИР ЮК-10, ГРП ЮК-2 </v>
          </cell>
          <cell r="X610" t="str">
            <v>ЭП выполнен, ЭЦН с КРБК на забое</v>
          </cell>
          <cell r="Y610" t="str">
            <v>ПРС май 95г., Реагирует:42/2857,2877,44б/3094 Qн=10т/сут</v>
          </cell>
        </row>
        <row r="611">
          <cell r="B611">
            <v>2895</v>
          </cell>
          <cell r="C611">
            <v>42</v>
          </cell>
          <cell r="G611">
            <v>290</v>
          </cell>
          <cell r="H611" t="str">
            <v>нагнет.</v>
          </cell>
          <cell r="I611" t="str">
            <v>бд</v>
          </cell>
          <cell r="J611">
            <v>36418</v>
          </cell>
          <cell r="K611">
            <v>50</v>
          </cell>
          <cell r="N611">
            <v>100</v>
          </cell>
          <cell r="Q611">
            <v>100</v>
          </cell>
          <cell r="U611" t="str">
            <v>нг</v>
          </cell>
          <cell r="W611" t="str">
            <v>Извл.воронки, ВЗ, реизия Ф/А пуск под закачку</v>
          </cell>
          <cell r="Y611" t="str">
            <v>КРС июнь 91г.</v>
          </cell>
        </row>
        <row r="612">
          <cell r="B612">
            <v>2897</v>
          </cell>
          <cell r="C612">
            <v>42</v>
          </cell>
          <cell r="G612">
            <v>300</v>
          </cell>
          <cell r="H612" t="str">
            <v>нагнет.</v>
          </cell>
          <cell r="I612" t="str">
            <v>действ.</v>
          </cell>
          <cell r="K612">
            <v>150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Извл.воронки, ВЗ, реизия Ф/А пуск под закачку</v>
          </cell>
          <cell r="Y612" t="str">
            <v>КРС август 88г.</v>
          </cell>
        </row>
        <row r="613">
          <cell r="B613">
            <v>2898</v>
          </cell>
          <cell r="C613">
            <v>42</v>
          </cell>
          <cell r="G613">
            <v>300</v>
          </cell>
          <cell r="H613" t="str">
            <v>нагнет.</v>
          </cell>
          <cell r="I613" t="str">
            <v>действ.</v>
          </cell>
          <cell r="K613">
            <v>150</v>
          </cell>
          <cell r="N613">
            <v>150</v>
          </cell>
          <cell r="Q613">
            <v>150</v>
          </cell>
          <cell r="U613" t="str">
            <v>нг</v>
          </cell>
          <cell r="W613" t="str">
            <v>Извл.воронки, ВЗ, реизия Ф/А пуск под закачку</v>
          </cell>
          <cell r="Y613" t="str">
            <v>Бурение 2-го ствола (3.01.95-24.09.95).Пoлет ЭЦН, При ликвидации аварии обнаружено нарушение Э/К на гл.1562-1573м(6.08-7.09.98)</v>
          </cell>
        </row>
        <row r="614">
          <cell r="B614">
            <v>2756</v>
          </cell>
          <cell r="C614">
            <v>145</v>
          </cell>
          <cell r="I614" t="str">
            <v>бд</v>
          </cell>
          <cell r="J614">
            <v>35786</v>
          </cell>
          <cell r="K614">
            <v>70</v>
          </cell>
          <cell r="L614">
            <v>10.8</v>
          </cell>
          <cell r="M614">
            <v>81</v>
          </cell>
          <cell r="N614">
            <v>50</v>
          </cell>
          <cell r="O614">
            <v>10</v>
          </cell>
          <cell r="P614">
            <v>75.400000000000006</v>
          </cell>
          <cell r="Q614">
            <v>50</v>
          </cell>
          <cell r="R614">
            <v>10</v>
          </cell>
          <cell r="S614">
            <v>75.3</v>
          </cell>
          <cell r="U614" t="str">
            <v>РИР</v>
          </cell>
          <cell r="W614" t="str">
            <v>РИР Э/К 2562-2673, ПП-ЮК-10 с ОПЗ</v>
          </cell>
          <cell r="Y614" t="str">
            <v xml:space="preserve">При ПРС (ГЖ) пересыпает забой, Восстановить не смогли. Предположительно нарушение Э/К </v>
          </cell>
        </row>
        <row r="615">
          <cell r="B615">
            <v>2700</v>
          </cell>
          <cell r="C615" t="str">
            <v>145б</v>
          </cell>
          <cell r="K615">
            <v>16</v>
          </cell>
          <cell r="L615">
            <v>10.199999999999999</v>
          </cell>
          <cell r="M615">
            <v>22</v>
          </cell>
          <cell r="N615">
            <v>16</v>
          </cell>
          <cell r="O615">
            <v>10.199999999999999</v>
          </cell>
          <cell r="P615">
            <v>22</v>
          </cell>
          <cell r="Q615">
            <v>16</v>
          </cell>
          <cell r="R615">
            <v>10.199999999999999</v>
          </cell>
          <cell r="S615">
            <v>21.3</v>
          </cell>
          <cell r="U615" t="str">
            <v>РИР</v>
          </cell>
          <cell r="W615" t="str">
            <v>ОТСК,РИР, ПП, сп.Н-57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словарь"/>
      <sheetName val="доп.потери"/>
      <sheetName val="извл и нерентаб."/>
      <sheetName val="база"/>
      <sheetName val="время"/>
      <sheetName val="февраль"/>
      <sheetName val="база-п "/>
      <sheetName val="Краснолен."/>
      <sheetName val="Фонд с"/>
      <sheetName val="Движение фонда расчет"/>
      <sheetName val="Лист1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</v>
          </cell>
          <cell r="W2" t="str">
            <v>ВЦ КОПС,рев.НВ-44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T5">
            <v>37601</v>
          </cell>
          <cell r="U5" t="str">
            <v>ВВ</v>
          </cell>
          <cell r="W5" t="str">
            <v>ВЦ,ВЗ,ДП ЮК-10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</row>
        <row r="9">
          <cell r="B9">
            <v>2753</v>
          </cell>
          <cell r="C9">
            <v>145</v>
          </cell>
          <cell r="F9" t="str">
            <v>БлУНП</v>
          </cell>
          <cell r="G9">
            <v>280</v>
          </cell>
          <cell r="H9" t="str">
            <v>ЭЦН</v>
          </cell>
          <cell r="I9" t="str">
            <v>бд</v>
          </cell>
          <cell r="J9">
            <v>33056</v>
          </cell>
          <cell r="K9">
            <v>0</v>
          </cell>
          <cell r="L9">
            <v>0</v>
          </cell>
          <cell r="M9">
            <v>0</v>
          </cell>
          <cell r="N9">
            <v>80</v>
          </cell>
          <cell r="O9">
            <v>6.5</v>
          </cell>
          <cell r="P9">
            <v>90</v>
          </cell>
          <cell r="Q9">
            <v>80</v>
          </cell>
          <cell r="R9">
            <v>6.5</v>
          </cell>
          <cell r="S9">
            <v>90</v>
          </cell>
          <cell r="T9">
            <v>37628</v>
          </cell>
          <cell r="U9" t="str">
            <v>ЛА</v>
          </cell>
          <cell r="W9" t="str">
            <v>ВЦ, ВЗ(Г/Ж)</v>
          </cell>
        </row>
        <row r="10">
          <cell r="B10">
            <v>2917</v>
          </cell>
          <cell r="C10">
            <v>43</v>
          </cell>
          <cell r="F10" t="str">
            <v>БлУНП</v>
          </cell>
          <cell r="G10">
            <v>275</v>
          </cell>
          <cell r="H10" t="str">
            <v>ЭЦН</v>
          </cell>
          <cell r="I10" t="str">
            <v>конс.</v>
          </cell>
          <cell r="J10">
            <v>34029</v>
          </cell>
          <cell r="K10">
            <v>0</v>
          </cell>
          <cell r="L10">
            <v>0</v>
          </cell>
          <cell r="M10">
            <v>0</v>
          </cell>
          <cell r="N10">
            <v>30</v>
          </cell>
          <cell r="O10">
            <v>9.8000000000000007</v>
          </cell>
          <cell r="P10">
            <v>60</v>
          </cell>
          <cell r="Q10">
            <v>30</v>
          </cell>
          <cell r="R10">
            <v>9.8000000000000007</v>
          </cell>
          <cell r="S10">
            <v>59.7</v>
          </cell>
          <cell r="T10">
            <v>37608</v>
          </cell>
          <cell r="U10" t="str">
            <v>ВЦ</v>
          </cell>
          <cell r="W10" t="str">
            <v>ВЦ,ВЗ ГЖ,пм Н-57/Э-30</v>
          </cell>
        </row>
        <row r="11">
          <cell r="B11">
            <v>2880</v>
          </cell>
          <cell r="C11">
            <v>127</v>
          </cell>
          <cell r="F11" t="str">
            <v>УПНП</v>
          </cell>
          <cell r="G11">
            <v>260</v>
          </cell>
          <cell r="H11" t="str">
            <v>ЭЦН</v>
          </cell>
          <cell r="I11" t="str">
            <v>бд</v>
          </cell>
          <cell r="J11">
            <v>36019</v>
          </cell>
          <cell r="K11">
            <v>0</v>
          </cell>
          <cell r="L11">
            <v>0</v>
          </cell>
          <cell r="M11">
            <v>0</v>
          </cell>
          <cell r="N11">
            <v>80</v>
          </cell>
          <cell r="O11">
            <v>16.3</v>
          </cell>
          <cell r="P11">
            <v>75</v>
          </cell>
          <cell r="Q11">
            <v>80</v>
          </cell>
          <cell r="R11">
            <v>16.3</v>
          </cell>
          <cell r="S11">
            <v>74.8</v>
          </cell>
          <cell r="T11">
            <v>37592</v>
          </cell>
          <cell r="U11" t="str">
            <v>ЛА</v>
          </cell>
          <cell r="W11" t="str">
            <v xml:space="preserve">ЛА,ОТСК,ПП,сп.Э-80 </v>
          </cell>
        </row>
        <row r="12">
          <cell r="B12">
            <v>2863</v>
          </cell>
          <cell r="C12">
            <v>131</v>
          </cell>
          <cell r="F12" t="str">
            <v>УПНП</v>
          </cell>
          <cell r="G12">
            <v>265</v>
          </cell>
          <cell r="H12" t="str">
            <v>ЭЦН</v>
          </cell>
          <cell r="I12" t="str">
            <v>бд</v>
          </cell>
          <cell r="J12">
            <v>33635</v>
          </cell>
          <cell r="K12">
            <v>0</v>
          </cell>
          <cell r="L12">
            <v>0</v>
          </cell>
          <cell r="M12">
            <v>0</v>
          </cell>
          <cell r="N12">
            <v>50</v>
          </cell>
          <cell r="O12">
            <v>12.2</v>
          </cell>
          <cell r="P12">
            <v>70</v>
          </cell>
          <cell r="Q12">
            <v>50</v>
          </cell>
          <cell r="R12">
            <v>12.2</v>
          </cell>
          <cell r="S12">
            <v>69.900000000000006</v>
          </cell>
          <cell r="T12">
            <v>37613</v>
          </cell>
          <cell r="U12" t="str">
            <v>ЛА</v>
          </cell>
          <cell r="W12" t="str">
            <v>ЛА. ПП, ОПЗ</v>
          </cell>
        </row>
        <row r="13">
          <cell r="B13">
            <v>5650</v>
          </cell>
          <cell r="C13">
            <v>124</v>
          </cell>
          <cell r="F13" t="str">
            <v>УПНП</v>
          </cell>
          <cell r="G13">
            <v>260</v>
          </cell>
          <cell r="H13" t="str">
            <v>ЭЦН</v>
          </cell>
          <cell r="I13" t="str">
            <v>конс.</v>
          </cell>
          <cell r="J13">
            <v>35433</v>
          </cell>
          <cell r="K13">
            <v>0</v>
          </cell>
          <cell r="L13">
            <v>0</v>
          </cell>
          <cell r="M13">
            <v>0</v>
          </cell>
          <cell r="N13">
            <v>80</v>
          </cell>
          <cell r="O13">
            <v>6.5</v>
          </cell>
          <cell r="P13">
            <v>90</v>
          </cell>
          <cell r="Q13">
            <v>80</v>
          </cell>
          <cell r="R13">
            <v>6.5</v>
          </cell>
          <cell r="S13">
            <v>90</v>
          </cell>
          <cell r="T13">
            <v>37607</v>
          </cell>
          <cell r="U13" t="str">
            <v>ВВ</v>
          </cell>
          <cell r="W13" t="str">
            <v>ВЦ,ПП,ДП,ОПЗ,сп.Э-80</v>
          </cell>
        </row>
        <row r="14">
          <cell r="B14">
            <v>5596</v>
          </cell>
          <cell r="C14">
            <v>120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33583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8.1999999999999993</v>
          </cell>
          <cell r="P14">
            <v>80</v>
          </cell>
          <cell r="Q14">
            <v>50</v>
          </cell>
          <cell r="R14">
            <v>8.1999999999999993</v>
          </cell>
          <cell r="S14">
            <v>79.8</v>
          </cell>
          <cell r="T14">
            <v>37611</v>
          </cell>
          <cell r="U14" t="str">
            <v>ВЦ</v>
          </cell>
          <cell r="W14" t="str">
            <v>ВЦ,ПП ЮК-10,сп Э-50</v>
          </cell>
        </row>
        <row r="15">
          <cell r="B15">
            <v>5848</v>
          </cell>
          <cell r="C15">
            <v>168</v>
          </cell>
          <cell r="F15" t="str">
            <v>УПНП</v>
          </cell>
          <cell r="G15">
            <v>280</v>
          </cell>
          <cell r="H15" t="str">
            <v>ЭЦН</v>
          </cell>
          <cell r="I15" t="str">
            <v>бд</v>
          </cell>
          <cell r="J15">
            <v>35733</v>
          </cell>
          <cell r="K15">
            <v>0</v>
          </cell>
          <cell r="L15">
            <v>0</v>
          </cell>
          <cell r="M15">
            <v>0</v>
          </cell>
          <cell r="N15">
            <v>24</v>
          </cell>
          <cell r="O15">
            <v>12.1</v>
          </cell>
          <cell r="P15">
            <v>38</v>
          </cell>
          <cell r="Q15">
            <v>24</v>
          </cell>
          <cell r="R15">
            <v>12.1</v>
          </cell>
          <cell r="S15">
            <v>37.799999999999997</v>
          </cell>
          <cell r="T15">
            <v>37596</v>
          </cell>
          <cell r="U15" t="str">
            <v>ВЦ</v>
          </cell>
          <cell r="W15" t="str">
            <v>ВЦ, ПП, ОПЗ сп Э-30</v>
          </cell>
        </row>
        <row r="16">
          <cell r="B16">
            <v>2693</v>
          </cell>
          <cell r="C16">
            <v>161</v>
          </cell>
          <cell r="F16" t="str">
            <v>УПНП</v>
          </cell>
          <cell r="G16">
            <v>250</v>
          </cell>
          <cell r="H16" t="str">
            <v>ЭЦН</v>
          </cell>
          <cell r="I16" t="str">
            <v>конс.</v>
          </cell>
          <cell r="J16">
            <v>34274</v>
          </cell>
          <cell r="K16">
            <v>0</v>
          </cell>
          <cell r="L16">
            <v>0</v>
          </cell>
          <cell r="M16">
            <v>0</v>
          </cell>
          <cell r="N16">
            <v>30</v>
          </cell>
          <cell r="O16">
            <v>12.2</v>
          </cell>
          <cell r="P16">
            <v>50</v>
          </cell>
          <cell r="Q16">
            <v>30</v>
          </cell>
          <cell r="R16">
            <v>12.2</v>
          </cell>
          <cell r="S16">
            <v>49.8</v>
          </cell>
          <cell r="T16">
            <v>37627</v>
          </cell>
          <cell r="U16" t="str">
            <v>ВВ</v>
          </cell>
          <cell r="W16" t="str">
            <v>ВЦ, ВЗ, ДП сп Э-30</v>
          </cell>
        </row>
        <row r="17">
          <cell r="B17">
            <v>5825</v>
          </cell>
          <cell r="C17">
            <v>142</v>
          </cell>
          <cell r="F17" t="str">
            <v>УПНП</v>
          </cell>
          <cell r="G17">
            <v>275</v>
          </cell>
          <cell r="H17" t="str">
            <v>ШГН</v>
          </cell>
          <cell r="I17" t="str">
            <v>конс.</v>
          </cell>
          <cell r="J17">
            <v>33420</v>
          </cell>
          <cell r="K17">
            <v>0</v>
          </cell>
          <cell r="L17">
            <v>0</v>
          </cell>
          <cell r="M17">
            <v>0</v>
          </cell>
          <cell r="N17">
            <v>15</v>
          </cell>
          <cell r="O17">
            <v>7.9</v>
          </cell>
          <cell r="P17">
            <v>35</v>
          </cell>
          <cell r="Q17">
            <v>15</v>
          </cell>
          <cell r="R17">
            <v>7.9</v>
          </cell>
          <cell r="S17">
            <v>35</v>
          </cell>
          <cell r="T17">
            <v>37621</v>
          </cell>
          <cell r="U17" t="str">
            <v>ВЦ</v>
          </cell>
          <cell r="W17" t="str">
            <v>ВЦ.ВЗ,ПП</v>
          </cell>
        </row>
        <row r="18">
          <cell r="B18">
            <v>5435</v>
          </cell>
          <cell r="C18">
            <v>106</v>
          </cell>
          <cell r="F18" t="str">
            <v>УПНП</v>
          </cell>
          <cell r="G18">
            <v>275</v>
          </cell>
          <cell r="H18" t="str">
            <v>ЭЦН</v>
          </cell>
          <cell r="I18" t="str">
            <v>бд</v>
          </cell>
          <cell r="J18">
            <v>34790</v>
          </cell>
          <cell r="K18">
            <v>0</v>
          </cell>
          <cell r="L18">
            <v>0</v>
          </cell>
          <cell r="M18">
            <v>0</v>
          </cell>
          <cell r="N18">
            <v>30</v>
          </cell>
          <cell r="O18">
            <v>12.2</v>
          </cell>
          <cell r="P18">
            <v>50</v>
          </cell>
          <cell r="Q18">
            <v>30</v>
          </cell>
          <cell r="R18">
            <v>12.2</v>
          </cell>
          <cell r="S18">
            <v>49.8</v>
          </cell>
          <cell r="T18">
            <v>37601</v>
          </cell>
          <cell r="U18" t="str">
            <v>ЛА</v>
          </cell>
          <cell r="W18" t="str">
            <v>ЛА(извл.НКТ),ВЗ,ПП,ГДИ,сп.Э-30</v>
          </cell>
        </row>
        <row r="19">
          <cell r="B19">
            <v>2787</v>
          </cell>
          <cell r="C19">
            <v>145</v>
          </cell>
          <cell r="F19" t="str">
            <v>УПНП</v>
          </cell>
          <cell r="G19">
            <v>275</v>
          </cell>
          <cell r="H19" t="str">
            <v>ШГН</v>
          </cell>
          <cell r="I19" t="str">
            <v>действ.</v>
          </cell>
          <cell r="J19">
            <v>37561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  <cell r="U19" t="str">
            <v>ВЦ</v>
          </cell>
          <cell r="W19" t="str">
            <v>ВЦ</v>
          </cell>
        </row>
        <row r="20">
          <cell r="B20">
            <v>3447</v>
          </cell>
          <cell r="C20">
            <v>92</v>
          </cell>
          <cell r="F20" t="str">
            <v>УПНП</v>
          </cell>
          <cell r="G20">
            <v>240</v>
          </cell>
          <cell r="H20" t="str">
            <v>фон</v>
          </cell>
          <cell r="I20" t="str">
            <v>конс.</v>
          </cell>
          <cell r="J20">
            <v>34060</v>
          </cell>
          <cell r="K20">
            <v>0</v>
          </cell>
          <cell r="L20">
            <v>0</v>
          </cell>
          <cell r="M20">
            <v>0</v>
          </cell>
          <cell r="N20">
            <v>12</v>
          </cell>
          <cell r="O20">
            <v>7.9</v>
          </cell>
          <cell r="P20">
            <v>18.899999999999999</v>
          </cell>
          <cell r="Q20">
            <v>12</v>
          </cell>
          <cell r="R20">
            <v>7.9</v>
          </cell>
          <cell r="S20">
            <v>18.7</v>
          </cell>
          <cell r="T20">
            <v>7</v>
          </cell>
        </row>
        <row r="21">
          <cell r="B21">
            <v>5291</v>
          </cell>
          <cell r="C21">
            <v>134</v>
          </cell>
          <cell r="F21" t="str">
            <v>УПНП</v>
          </cell>
          <cell r="G21">
            <v>220</v>
          </cell>
          <cell r="H21" t="str">
            <v>ЭЦН</v>
          </cell>
          <cell r="I21" t="str">
            <v>действ.</v>
          </cell>
          <cell r="J21">
            <v>37561</v>
          </cell>
          <cell r="K21">
            <v>0</v>
          </cell>
          <cell r="L21">
            <v>0</v>
          </cell>
          <cell r="M21">
            <v>0</v>
          </cell>
          <cell r="N21">
            <v>15</v>
          </cell>
          <cell r="O21">
            <v>9.3000000000000007</v>
          </cell>
          <cell r="P21">
            <v>24</v>
          </cell>
          <cell r="Q21">
            <v>15</v>
          </cell>
          <cell r="R21">
            <v>9.3000000000000007</v>
          </cell>
          <cell r="S21">
            <v>23.5</v>
          </cell>
          <cell r="T21">
            <v>37635</v>
          </cell>
          <cell r="U21" t="str">
            <v>ЛА</v>
          </cell>
          <cell r="W21" t="str">
            <v>ЛА. См.Э-60/Н-44</v>
          </cell>
        </row>
        <row r="22">
          <cell r="B22">
            <v>5710</v>
          </cell>
          <cell r="C22">
            <v>124</v>
          </cell>
          <cell r="F22" t="str">
            <v>Э-прогрев</v>
          </cell>
          <cell r="G22">
            <v>250</v>
          </cell>
          <cell r="H22" t="str">
            <v>ЭЦН</v>
          </cell>
          <cell r="I22" t="str">
            <v>конс.</v>
          </cell>
          <cell r="J22">
            <v>34213</v>
          </cell>
          <cell r="K22">
            <v>0</v>
          </cell>
          <cell r="L22">
            <v>0</v>
          </cell>
          <cell r="M22">
            <v>0</v>
          </cell>
          <cell r="N22">
            <v>50</v>
          </cell>
          <cell r="O22">
            <v>6.1</v>
          </cell>
          <cell r="P22">
            <v>85</v>
          </cell>
          <cell r="Q22">
            <v>50</v>
          </cell>
          <cell r="R22">
            <v>6.1</v>
          </cell>
          <cell r="S22">
            <v>84.9</v>
          </cell>
          <cell r="T22">
            <v>37634</v>
          </cell>
          <cell r="U22" t="str">
            <v>ВЦД</v>
          </cell>
          <cell r="W22" t="str">
            <v>ВЦ</v>
          </cell>
        </row>
        <row r="28">
          <cell r="B28">
            <v>5819</v>
          </cell>
          <cell r="C28">
            <v>142</v>
          </cell>
          <cell r="F28" t="str">
            <v>УПНПиКРС</v>
          </cell>
          <cell r="G28">
            <v>285</v>
          </cell>
          <cell r="H28" t="str">
            <v>нагнет.</v>
          </cell>
          <cell r="I28" t="str">
            <v>бд</v>
          </cell>
          <cell r="J28">
            <v>37084</v>
          </cell>
          <cell r="N28">
            <v>150</v>
          </cell>
          <cell r="Q28">
            <v>150</v>
          </cell>
          <cell r="T28">
            <v>37596</v>
          </cell>
          <cell r="U28" t="str">
            <v>нг</v>
          </cell>
          <cell r="W28" t="str">
            <v>Ревизия пакера</v>
          </cell>
        </row>
        <row r="29">
          <cell r="B29">
            <v>5821</v>
          </cell>
          <cell r="C29">
            <v>167</v>
          </cell>
          <cell r="F29" t="str">
            <v>БлКРС</v>
          </cell>
          <cell r="G29">
            <v>300</v>
          </cell>
          <cell r="H29" t="str">
            <v>нагнет.</v>
          </cell>
          <cell r="I29" t="str">
            <v>бд</v>
          </cell>
          <cell r="J29">
            <v>37453</v>
          </cell>
          <cell r="N29">
            <v>190</v>
          </cell>
          <cell r="Q29">
            <v>190</v>
          </cell>
          <cell r="T29" t="e">
            <v>#REF!</v>
          </cell>
          <cell r="U29" t="str">
            <v>нг</v>
          </cell>
          <cell r="W29" t="str">
            <v>ОТСК, ревизия пакера</v>
          </cell>
        </row>
        <row r="30">
          <cell r="B30">
            <v>5807</v>
          </cell>
          <cell r="C30" t="str">
            <v>166б</v>
          </cell>
          <cell r="F30" t="str">
            <v>БлКРС</v>
          </cell>
          <cell r="G30">
            <v>290</v>
          </cell>
          <cell r="H30" t="str">
            <v>нагнет.</v>
          </cell>
          <cell r="I30" t="str">
            <v>бд</v>
          </cell>
          <cell r="J30">
            <v>37474</v>
          </cell>
          <cell r="N30">
            <v>150</v>
          </cell>
          <cell r="Q30">
            <v>150</v>
          </cell>
          <cell r="T30" t="e">
            <v>#REF!</v>
          </cell>
          <cell r="U30" t="str">
            <v>нг</v>
          </cell>
          <cell r="W30" t="str">
            <v>Ревизия пакера</v>
          </cell>
        </row>
        <row r="31">
          <cell r="B31">
            <v>5800</v>
          </cell>
          <cell r="C31">
            <v>141</v>
          </cell>
          <cell r="F31" t="str">
            <v>БлКРС</v>
          </cell>
          <cell r="G31">
            <v>295</v>
          </cell>
          <cell r="H31" t="str">
            <v>нагнет.</v>
          </cell>
          <cell r="I31" t="str">
            <v>бд</v>
          </cell>
          <cell r="J31">
            <v>37474</v>
          </cell>
          <cell r="N31">
            <v>190</v>
          </cell>
          <cell r="Q31">
            <v>190</v>
          </cell>
          <cell r="T31" t="e">
            <v>#REF!</v>
          </cell>
          <cell r="U31" t="str">
            <v>нг</v>
          </cell>
          <cell r="W31" t="str">
            <v>Ревизия пакера</v>
          </cell>
        </row>
        <row r="32">
          <cell r="B32">
            <v>5221</v>
          </cell>
          <cell r="C32">
            <v>126</v>
          </cell>
          <cell r="F32" t="str">
            <v>БлКРС</v>
          </cell>
          <cell r="G32">
            <v>245</v>
          </cell>
          <cell r="H32" t="str">
            <v>ШГН</v>
          </cell>
          <cell r="I32" t="str">
            <v>действ.</v>
          </cell>
          <cell r="K32">
            <v>4</v>
          </cell>
          <cell r="L32">
            <v>2.9</v>
          </cell>
          <cell r="M32">
            <v>12</v>
          </cell>
          <cell r="N32">
            <v>150</v>
          </cell>
          <cell r="Q32">
            <v>150</v>
          </cell>
          <cell r="T32" t="str">
            <v>перех.</v>
          </cell>
          <cell r="U32" t="str">
            <v>нг</v>
          </cell>
          <cell r="W32" t="str">
            <v>Перевод под нагнетание ЮК-10</v>
          </cell>
        </row>
        <row r="33">
          <cell r="B33">
            <v>5242</v>
          </cell>
          <cell r="C33">
            <v>134</v>
          </cell>
          <cell r="F33" t="str">
            <v>БлКРС</v>
          </cell>
          <cell r="G33">
            <v>230</v>
          </cell>
          <cell r="H33" t="str">
            <v>ЭЦН</v>
          </cell>
          <cell r="I33" t="str">
            <v>действ.</v>
          </cell>
          <cell r="K33">
            <v>22</v>
          </cell>
          <cell r="L33">
            <v>15.2</v>
          </cell>
          <cell r="M33">
            <v>15</v>
          </cell>
          <cell r="N33">
            <v>150</v>
          </cell>
          <cell r="Q33">
            <v>150</v>
          </cell>
          <cell r="T33">
            <v>37617</v>
          </cell>
          <cell r="U33" t="str">
            <v>нг</v>
          </cell>
          <cell r="W33" t="str">
            <v>Перевод под нагнетание ЮК 2-3</v>
          </cell>
        </row>
        <row r="35">
          <cell r="B35">
            <v>2897</v>
          </cell>
          <cell r="C35">
            <v>42</v>
          </cell>
          <cell r="F35" t="str">
            <v>УПНПиКРС</v>
          </cell>
          <cell r="G35">
            <v>295</v>
          </cell>
          <cell r="H35" t="str">
            <v>нагнет.</v>
          </cell>
          <cell r="I35" t="str">
            <v>бд</v>
          </cell>
          <cell r="J35">
            <v>37463</v>
          </cell>
          <cell r="N35">
            <v>150</v>
          </cell>
          <cell r="Q35">
            <v>150</v>
          </cell>
          <cell r="U35" t="str">
            <v>нг</v>
          </cell>
          <cell r="W35" t="str">
            <v>ОТСК, ревизия пакера</v>
          </cell>
        </row>
        <row r="36">
          <cell r="B36">
            <v>2898</v>
          </cell>
          <cell r="C36">
            <v>42</v>
          </cell>
          <cell r="F36" t="str">
            <v>УПНПиКРС</v>
          </cell>
          <cell r="G36">
            <v>295</v>
          </cell>
          <cell r="H36" t="str">
            <v>нагнет.</v>
          </cell>
          <cell r="I36" t="str">
            <v>под закачкой</v>
          </cell>
          <cell r="K36">
            <v>180</v>
          </cell>
          <cell r="N36">
            <v>180</v>
          </cell>
          <cell r="Q36">
            <v>0</v>
          </cell>
          <cell r="U36" t="str">
            <v>нг</v>
          </cell>
          <cell r="W36" t="str">
            <v>ОТСК</v>
          </cell>
        </row>
        <row r="37">
          <cell r="B37">
            <v>5380</v>
          </cell>
          <cell r="C37">
            <v>105</v>
          </cell>
          <cell r="F37" t="str">
            <v>УПНПиКРС</v>
          </cell>
          <cell r="G37">
            <v>300</v>
          </cell>
          <cell r="H37" t="str">
            <v>нагнет.</v>
          </cell>
          <cell r="I37" t="str">
            <v>под закачкой</v>
          </cell>
          <cell r="K37">
            <v>280</v>
          </cell>
          <cell r="N37">
            <v>280</v>
          </cell>
          <cell r="Q37">
            <v>0</v>
          </cell>
          <cell r="U37" t="str">
            <v>нг</v>
          </cell>
          <cell r="W37" t="str">
            <v>ОТСК</v>
          </cell>
        </row>
        <row r="38">
          <cell r="B38">
            <v>5740</v>
          </cell>
          <cell r="C38">
            <v>127</v>
          </cell>
          <cell r="F38" t="str">
            <v>УПНПиКРС</v>
          </cell>
          <cell r="G38">
            <v>290</v>
          </cell>
          <cell r="H38" t="str">
            <v>нагнет.</v>
          </cell>
          <cell r="I38" t="str">
            <v>под закачкой</v>
          </cell>
          <cell r="K38">
            <v>190</v>
          </cell>
          <cell r="N38">
            <v>190</v>
          </cell>
          <cell r="Q38">
            <v>0</v>
          </cell>
          <cell r="U38" t="str">
            <v>нг</v>
          </cell>
          <cell r="W38" t="str">
            <v>ОТСК</v>
          </cell>
        </row>
        <row r="40">
          <cell r="B40">
            <v>5858</v>
          </cell>
          <cell r="C40">
            <v>169</v>
          </cell>
          <cell r="F40" t="str">
            <v>УПНПиКРС</v>
          </cell>
          <cell r="G40">
            <v>270</v>
          </cell>
          <cell r="H40" t="str">
            <v>фон</v>
          </cell>
          <cell r="I40" t="str">
            <v>бд</v>
          </cell>
          <cell r="J40">
            <v>36649</v>
          </cell>
          <cell r="K40">
            <v>7</v>
          </cell>
          <cell r="L40">
            <v>1</v>
          </cell>
          <cell r="M40">
            <v>82</v>
          </cell>
          <cell r="N40">
            <v>30</v>
          </cell>
          <cell r="O40">
            <v>12</v>
          </cell>
          <cell r="P40">
            <v>51</v>
          </cell>
          <cell r="Q40">
            <v>30</v>
          </cell>
          <cell r="R40">
            <v>12</v>
          </cell>
          <cell r="S40">
            <v>50.6</v>
          </cell>
          <cell r="T40">
            <v>7</v>
          </cell>
          <cell r="U40" t="str">
            <v>ГРП</v>
          </cell>
          <cell r="W40" t="str">
            <v xml:space="preserve">инт.ЮК-5  2613-2628м,РИР ЮК-10,ГРП </v>
          </cell>
        </row>
        <row r="41">
          <cell r="B41">
            <v>5853</v>
          </cell>
          <cell r="C41">
            <v>169</v>
          </cell>
          <cell r="F41" t="str">
            <v>УПНПиКРС</v>
          </cell>
          <cell r="G41">
            <v>270</v>
          </cell>
          <cell r="H41" t="str">
            <v>фон</v>
          </cell>
          <cell r="I41" t="str">
            <v>конс.</v>
          </cell>
          <cell r="J41">
            <v>35401</v>
          </cell>
          <cell r="K41">
            <v>1</v>
          </cell>
          <cell r="L41">
            <v>0.8</v>
          </cell>
          <cell r="M41">
            <v>0</v>
          </cell>
          <cell r="N41">
            <v>30</v>
          </cell>
          <cell r="O41">
            <v>12</v>
          </cell>
          <cell r="P41">
            <v>51</v>
          </cell>
          <cell r="Q41">
            <v>30</v>
          </cell>
          <cell r="R41">
            <v>12</v>
          </cell>
          <cell r="S41">
            <v>50.6</v>
          </cell>
          <cell r="T41">
            <v>7</v>
          </cell>
          <cell r="U41" t="str">
            <v>ГРП</v>
          </cell>
          <cell r="W41" t="str">
            <v xml:space="preserve">инт.ЮК-5  2601-2619м,РИР ЮК-10,ГРП </v>
          </cell>
        </row>
        <row r="42">
          <cell r="B42">
            <v>2608</v>
          </cell>
          <cell r="C42" t="str">
            <v>168б</v>
          </cell>
          <cell r="F42" t="str">
            <v>УПНПиКРС</v>
          </cell>
          <cell r="G42">
            <v>240</v>
          </cell>
          <cell r="H42" t="str">
            <v>ШГН</v>
          </cell>
          <cell r="I42" t="str">
            <v>действ.</v>
          </cell>
          <cell r="K42">
            <v>3</v>
          </cell>
          <cell r="L42">
            <v>2.2999999999999998</v>
          </cell>
          <cell r="M42">
            <v>5</v>
          </cell>
          <cell r="N42">
            <v>30</v>
          </cell>
          <cell r="O42">
            <v>14.3</v>
          </cell>
          <cell r="P42">
            <v>41.4</v>
          </cell>
          <cell r="Q42">
            <v>27</v>
          </cell>
          <cell r="R42">
            <v>12</v>
          </cell>
          <cell r="S42">
            <v>45.1</v>
          </cell>
          <cell r="T42">
            <v>37367</v>
          </cell>
          <cell r="U42" t="str">
            <v>ГРП</v>
          </cell>
          <cell r="V42">
            <v>2</v>
          </cell>
          <cell r="W42" t="str">
            <v>инт.ЮК 4-5 2569-2578, 2582-2592м,ГРП</v>
          </cell>
        </row>
        <row r="43">
          <cell r="B43">
            <v>2604</v>
          </cell>
          <cell r="C43">
            <v>167</v>
          </cell>
          <cell r="F43" t="str">
            <v>УПНПиКРС</v>
          </cell>
          <cell r="G43">
            <v>235</v>
          </cell>
          <cell r="H43" t="str">
            <v>ШГН</v>
          </cell>
          <cell r="I43" t="str">
            <v>конс.</v>
          </cell>
          <cell r="J43">
            <v>34243</v>
          </cell>
          <cell r="K43">
            <v>2</v>
          </cell>
          <cell r="L43">
            <v>1.6</v>
          </cell>
          <cell r="M43">
            <v>5</v>
          </cell>
          <cell r="N43">
            <v>30</v>
          </cell>
          <cell r="O43">
            <v>14.3</v>
          </cell>
          <cell r="P43">
            <v>41.4</v>
          </cell>
          <cell r="Q43">
            <v>30</v>
          </cell>
          <cell r="R43">
            <v>14.3</v>
          </cell>
          <cell r="S43">
            <v>41.2</v>
          </cell>
          <cell r="U43" t="str">
            <v>ГРП</v>
          </cell>
          <cell r="W43" t="str">
            <v>инт.ЮК 4-5 2598-2624м,ВЦ,ПП,ОПЗ</v>
          </cell>
        </row>
        <row r="44">
          <cell r="B44">
            <v>5587</v>
          </cell>
          <cell r="C44">
            <v>118</v>
          </cell>
          <cell r="F44" t="str">
            <v>УПНПиКРС</v>
          </cell>
          <cell r="G44">
            <v>250</v>
          </cell>
          <cell r="H44" t="str">
            <v>Ф/ЭЦН</v>
          </cell>
          <cell r="I44" t="str">
            <v>бд</v>
          </cell>
          <cell r="J44">
            <v>34883</v>
          </cell>
          <cell r="K44">
            <v>17</v>
          </cell>
          <cell r="L44">
            <v>1</v>
          </cell>
          <cell r="M44">
            <v>93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10</v>
          </cell>
          <cell r="U44" t="str">
            <v>ГРП</v>
          </cell>
          <cell r="W44" t="str">
            <v>ВЗ,ПП,ОПЗ,сп Э-50 интер.ЮК 3-4 2693-2716м</v>
          </cell>
        </row>
        <row r="45">
          <cell r="B45">
            <v>5455</v>
          </cell>
          <cell r="C45">
            <v>102</v>
          </cell>
          <cell r="F45" t="str">
            <v>УПНПиКРС</v>
          </cell>
          <cell r="H45" t="str">
            <v>ШГН</v>
          </cell>
          <cell r="I45" t="str">
            <v>конс.</v>
          </cell>
          <cell r="N45">
            <v>50</v>
          </cell>
          <cell r="O45">
            <v>30</v>
          </cell>
          <cell r="P45">
            <v>26.5</v>
          </cell>
          <cell r="Q45">
            <v>50</v>
          </cell>
          <cell r="R45">
            <v>30</v>
          </cell>
          <cell r="S45">
            <v>25.9</v>
          </cell>
          <cell r="U45" t="str">
            <v>ГРП</v>
          </cell>
          <cell r="W45" t="str">
            <v>Л.А.ВЦ, РИР ЮК-10, ПР к ГРП, ГРП ЮК-2, осв.</v>
          </cell>
        </row>
        <row r="46">
          <cell r="B46">
            <v>5263</v>
          </cell>
          <cell r="C46">
            <v>133</v>
          </cell>
          <cell r="F46" t="str">
            <v>УПНПиКРС</v>
          </cell>
          <cell r="G46">
            <v>255</v>
          </cell>
          <cell r="H46" t="str">
            <v>ЭЦН</v>
          </cell>
          <cell r="I46" t="str">
            <v>бд</v>
          </cell>
          <cell r="J46">
            <v>33725</v>
          </cell>
          <cell r="K46">
            <v>10</v>
          </cell>
          <cell r="L46">
            <v>1.6</v>
          </cell>
          <cell r="M46">
            <v>80</v>
          </cell>
          <cell r="N46">
            <v>30</v>
          </cell>
          <cell r="O46">
            <v>12</v>
          </cell>
          <cell r="P46">
            <v>51</v>
          </cell>
          <cell r="Q46">
            <v>30</v>
          </cell>
          <cell r="R46">
            <v>12</v>
          </cell>
          <cell r="S46">
            <v>50.6</v>
          </cell>
          <cell r="T46">
            <v>13</v>
          </cell>
          <cell r="U46" t="str">
            <v>ГРП</v>
          </cell>
          <cell r="W46" t="str">
            <v>ЛА ( с НКТ ),инт.ЮК-4 2454-2462,ЮК-5 2408-2493м,при невозм.ЛА-ЗБС 2-го ( двустволка ),ЮК-10-2т,ЮК-4-12 т</v>
          </cell>
        </row>
        <row r="48">
          <cell r="B48">
            <v>3054</v>
          </cell>
          <cell r="C48">
            <v>51</v>
          </cell>
          <cell r="F48" t="str">
            <v>УПНПиКРС</v>
          </cell>
          <cell r="G48">
            <v>300</v>
          </cell>
          <cell r="H48" t="str">
            <v>нагнет.</v>
          </cell>
          <cell r="I48" t="str">
            <v>бд</v>
          </cell>
          <cell r="J48">
            <v>37016</v>
          </cell>
          <cell r="K48">
            <v>950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U48" t="str">
            <v>ГРП</v>
          </cell>
          <cell r="W48" t="str">
            <v>Инт. 2676-2688</v>
          </cell>
        </row>
        <row r="49">
          <cell r="B49">
            <v>2974</v>
          </cell>
          <cell r="C49">
            <v>46</v>
          </cell>
          <cell r="F49" t="str">
            <v>УПНПиКРС</v>
          </cell>
          <cell r="G49">
            <v>295</v>
          </cell>
          <cell r="H49" t="str">
            <v>нагнет.</v>
          </cell>
          <cell r="I49" t="str">
            <v>бд</v>
          </cell>
          <cell r="J49">
            <v>36210</v>
          </cell>
          <cell r="K49">
            <v>360</v>
          </cell>
          <cell r="L49">
            <v>0</v>
          </cell>
          <cell r="N49">
            <v>30</v>
          </cell>
          <cell r="O49">
            <v>12</v>
          </cell>
          <cell r="P49">
            <v>51</v>
          </cell>
          <cell r="Q49">
            <v>30</v>
          </cell>
          <cell r="R49">
            <v>12</v>
          </cell>
          <cell r="S49">
            <v>50.6</v>
          </cell>
          <cell r="U49" t="str">
            <v>ГРП</v>
          </cell>
          <cell r="W49" t="str">
            <v>РИР Э/К, ГИС (и.о.) интерп2556-2580</v>
          </cell>
        </row>
        <row r="50">
          <cell r="B50">
            <v>2956</v>
          </cell>
          <cell r="C50">
            <v>46</v>
          </cell>
          <cell r="F50" t="str">
            <v>УПНПиКРС</v>
          </cell>
          <cell r="G50">
            <v>265</v>
          </cell>
          <cell r="H50" t="str">
            <v>фон</v>
          </cell>
          <cell r="I50" t="str">
            <v>бд</v>
          </cell>
          <cell r="J50">
            <v>34851</v>
          </cell>
          <cell r="K50">
            <v>3</v>
          </cell>
          <cell r="L50">
            <v>2.2999999999999998</v>
          </cell>
          <cell r="N50">
            <v>30</v>
          </cell>
          <cell r="O50">
            <v>12</v>
          </cell>
          <cell r="P50">
            <v>51</v>
          </cell>
          <cell r="Q50">
            <v>30</v>
          </cell>
          <cell r="R50">
            <v>12</v>
          </cell>
          <cell r="S50">
            <v>50.6</v>
          </cell>
          <cell r="U50" t="str">
            <v>ГРП</v>
          </cell>
          <cell r="W50" t="str">
            <v>РИР ЮК-11,перевод на ЮК-10 ,сп Н-57,интер.ЮК-3 2500-2520м</v>
          </cell>
        </row>
        <row r="52">
          <cell r="B52">
            <v>2836</v>
          </cell>
          <cell r="C52">
            <v>125</v>
          </cell>
          <cell r="F52" t="str">
            <v>УПНПиКРС</v>
          </cell>
          <cell r="G52">
            <v>240</v>
          </cell>
          <cell r="H52" t="str">
            <v>ШГН</v>
          </cell>
          <cell r="I52" t="str">
            <v>конс.</v>
          </cell>
          <cell r="J52">
            <v>35684</v>
          </cell>
          <cell r="K52">
            <v>4</v>
          </cell>
          <cell r="L52">
            <v>1.1000000000000001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U52" t="str">
            <v>ГРП</v>
          </cell>
          <cell r="W52" t="str">
            <v>ГИС-2,при отс.перетоков-опытно-пром.работы,ГРП п.А</v>
          </cell>
        </row>
        <row r="53">
          <cell r="B53">
            <v>2725</v>
          </cell>
          <cell r="C53">
            <v>146</v>
          </cell>
          <cell r="F53" t="str">
            <v>УПНПиКРС</v>
          </cell>
          <cell r="G53">
            <v>350</v>
          </cell>
          <cell r="H53" t="str">
            <v>нагнет.</v>
          </cell>
          <cell r="I53" t="str">
            <v>бд</v>
          </cell>
          <cell r="J53">
            <v>36627</v>
          </cell>
          <cell r="K53">
            <v>134</v>
          </cell>
          <cell r="L53">
            <v>0</v>
          </cell>
          <cell r="N53">
            <v>30</v>
          </cell>
          <cell r="O53">
            <v>12</v>
          </cell>
          <cell r="P53">
            <v>51</v>
          </cell>
          <cell r="Q53">
            <v>30</v>
          </cell>
          <cell r="R53">
            <v>12</v>
          </cell>
          <cell r="S53">
            <v>50.6</v>
          </cell>
          <cell r="U53" t="str">
            <v>ГРП</v>
          </cell>
          <cell r="W53" t="str">
            <v>ИР ЮК-10,ДП 2593-2602,2620-2630 ГРП</v>
          </cell>
        </row>
        <row r="54">
          <cell r="B54">
            <v>5318</v>
          </cell>
          <cell r="C54">
            <v>134</v>
          </cell>
          <cell r="F54" t="str">
            <v>УПНПиКРС</v>
          </cell>
          <cell r="G54">
            <v>242</v>
          </cell>
          <cell r="H54" t="str">
            <v>нагнет.</v>
          </cell>
          <cell r="I54" t="str">
            <v>бд</v>
          </cell>
          <cell r="J54">
            <v>36799</v>
          </cell>
          <cell r="K54">
            <v>120</v>
          </cell>
          <cell r="N54">
            <v>150</v>
          </cell>
          <cell r="Q54">
            <v>150</v>
          </cell>
          <cell r="R54">
            <v>0</v>
          </cell>
          <cell r="U54" t="str">
            <v>нг</v>
          </cell>
          <cell r="W54" t="str">
            <v>Спуск и привязка пакера, Запуск в ППД</v>
          </cell>
        </row>
        <row r="55">
          <cell r="B55">
            <v>5338</v>
          </cell>
          <cell r="C55">
            <v>141</v>
          </cell>
          <cell r="F55" t="str">
            <v>УПНПиКРС</v>
          </cell>
          <cell r="G55">
            <v>275</v>
          </cell>
          <cell r="H55" t="str">
            <v>нагнет.</v>
          </cell>
          <cell r="I55" t="str">
            <v>бд</v>
          </cell>
          <cell r="J55">
            <v>36711</v>
          </cell>
          <cell r="K55">
            <v>230</v>
          </cell>
          <cell r="N55">
            <v>230</v>
          </cell>
          <cell r="Q55">
            <v>230</v>
          </cell>
          <cell r="U55" t="str">
            <v>нг</v>
          </cell>
          <cell r="W55" t="str">
            <v>Ревизия пакера</v>
          </cell>
        </row>
        <row r="56">
          <cell r="B56">
            <v>5840</v>
          </cell>
          <cell r="C56">
            <v>109</v>
          </cell>
          <cell r="F56" t="str">
            <v>УПНПиКРС</v>
          </cell>
          <cell r="G56">
            <v>285</v>
          </cell>
          <cell r="H56" t="str">
            <v>нагнет.</v>
          </cell>
          <cell r="I56" t="str">
            <v>конс.</v>
          </cell>
          <cell r="J56">
            <v>35333</v>
          </cell>
          <cell r="K56">
            <v>30</v>
          </cell>
          <cell r="Q56">
            <v>0</v>
          </cell>
          <cell r="U56" t="str">
            <v>нг</v>
          </cell>
          <cell r="W56" t="str">
            <v>Прмывка забоя, пуск под закачку</v>
          </cell>
        </row>
        <row r="57">
          <cell r="B57">
            <v>5371</v>
          </cell>
          <cell r="C57">
            <v>102</v>
          </cell>
          <cell r="F57" t="str">
            <v>УПНПиКРС</v>
          </cell>
          <cell r="G57">
            <v>255</v>
          </cell>
          <cell r="H57" t="str">
            <v>нагнет.</v>
          </cell>
          <cell r="I57" t="str">
            <v>бд</v>
          </cell>
          <cell r="J57">
            <v>35779</v>
          </cell>
          <cell r="K57">
            <v>240</v>
          </cell>
          <cell r="L57">
            <v>0</v>
          </cell>
          <cell r="Q57">
            <v>0</v>
          </cell>
          <cell r="U57" t="str">
            <v>нг</v>
          </cell>
          <cell r="W57" t="str">
            <v>Прмывка забоя, пуск под закачку</v>
          </cell>
        </row>
        <row r="58">
          <cell r="B58">
            <v>5372</v>
          </cell>
          <cell r="C58">
            <v>102</v>
          </cell>
          <cell r="F58" t="str">
            <v>УПНПиКРС</v>
          </cell>
          <cell r="G58">
            <v>250</v>
          </cell>
          <cell r="H58" t="str">
            <v>нагнет.</v>
          </cell>
          <cell r="I58" t="str">
            <v>бд</v>
          </cell>
          <cell r="J58">
            <v>32843</v>
          </cell>
          <cell r="K58">
            <v>130</v>
          </cell>
          <cell r="L58">
            <v>0</v>
          </cell>
          <cell r="Q58">
            <v>0</v>
          </cell>
          <cell r="U58" t="str">
            <v>нг</v>
          </cell>
          <cell r="W58" t="str">
            <v>Л,А. Прмывка забоя, пуск под закачку</v>
          </cell>
        </row>
        <row r="59">
          <cell r="B59">
            <v>5373</v>
          </cell>
          <cell r="C59">
            <v>103</v>
          </cell>
          <cell r="F59" t="str">
            <v>УПНПиКРС</v>
          </cell>
          <cell r="G59">
            <v>239</v>
          </cell>
          <cell r="H59" t="str">
            <v>нагнет.</v>
          </cell>
          <cell r="I59" t="str">
            <v>конс.</v>
          </cell>
          <cell r="J59">
            <v>34474</v>
          </cell>
          <cell r="K59">
            <v>375</v>
          </cell>
          <cell r="L59">
            <v>0</v>
          </cell>
          <cell r="Q59">
            <v>0</v>
          </cell>
          <cell r="U59" t="str">
            <v>нг</v>
          </cell>
          <cell r="W59" t="str">
            <v>Прмывка забоя, пуск под закачку</v>
          </cell>
        </row>
        <row r="60">
          <cell r="B60">
            <v>5374</v>
          </cell>
          <cell r="C60">
            <v>103</v>
          </cell>
          <cell r="F60" t="str">
            <v>УПНПиКРС</v>
          </cell>
          <cell r="G60">
            <v>241</v>
          </cell>
          <cell r="H60" t="str">
            <v>нагнет.</v>
          </cell>
          <cell r="I60" t="str">
            <v>конс.</v>
          </cell>
          <cell r="J60">
            <v>34474</v>
          </cell>
          <cell r="K60">
            <v>180</v>
          </cell>
          <cell r="L60">
            <v>0</v>
          </cell>
          <cell r="Q60">
            <v>0</v>
          </cell>
          <cell r="U60" t="str">
            <v>нг</v>
          </cell>
          <cell r="W60" t="str">
            <v>Прмывка забоя, пуск под закачку</v>
          </cell>
        </row>
        <row r="61">
          <cell r="B61">
            <v>5626</v>
          </cell>
          <cell r="C61">
            <v>119</v>
          </cell>
          <cell r="G61">
            <v>252</v>
          </cell>
          <cell r="H61" t="str">
            <v>нагнет.</v>
          </cell>
          <cell r="I61" t="str">
            <v>бд</v>
          </cell>
          <cell r="N61">
            <v>150</v>
          </cell>
          <cell r="Q61">
            <v>150</v>
          </cell>
          <cell r="T61">
            <v>37391</v>
          </cell>
          <cell r="U61" t="str">
            <v>нг</v>
          </cell>
          <cell r="W61" t="str">
            <v>Прмывка забоя, пуск под закачку</v>
          </cell>
        </row>
        <row r="62">
          <cell r="B62">
            <v>5629</v>
          </cell>
          <cell r="C62">
            <v>120</v>
          </cell>
          <cell r="G62">
            <v>255</v>
          </cell>
          <cell r="H62" t="str">
            <v>нагнет.</v>
          </cell>
          <cell r="I62" t="str">
            <v>бд</v>
          </cell>
          <cell r="N62">
            <v>150</v>
          </cell>
          <cell r="Q62">
            <v>150</v>
          </cell>
          <cell r="T62">
            <v>37386</v>
          </cell>
          <cell r="U62" t="str">
            <v>нг</v>
          </cell>
          <cell r="W62" t="str">
            <v>Прмывка забоя, пуск под закачку</v>
          </cell>
        </row>
        <row r="63">
          <cell r="B63">
            <v>5631</v>
          </cell>
          <cell r="C63">
            <v>120</v>
          </cell>
          <cell r="G63">
            <v>261</v>
          </cell>
          <cell r="H63" t="str">
            <v>нагнет.</v>
          </cell>
          <cell r="I63" t="str">
            <v>бд</v>
          </cell>
          <cell r="N63">
            <v>150</v>
          </cell>
          <cell r="Q63">
            <v>150</v>
          </cell>
          <cell r="T63">
            <v>37386</v>
          </cell>
          <cell r="U63" t="str">
            <v>нг</v>
          </cell>
          <cell r="W63" t="str">
            <v>Прмывка забоя, пуск под закачку</v>
          </cell>
        </row>
        <row r="69">
          <cell r="B69" t="str">
            <v>Начальник ГО Красноленинского УНП</v>
          </cell>
          <cell r="W69" t="str">
            <v>И.Н.Авсянко</v>
          </cell>
        </row>
        <row r="71">
          <cell r="B71">
            <v>1</v>
          </cell>
          <cell r="C71">
            <v>2</v>
          </cell>
          <cell r="D71">
            <v>3</v>
          </cell>
          <cell r="E71">
            <v>4</v>
          </cell>
          <cell r="F71">
            <v>5</v>
          </cell>
          <cell r="G71">
            <v>6</v>
          </cell>
          <cell r="H71">
            <v>7</v>
          </cell>
          <cell r="I71">
            <v>8</v>
          </cell>
          <cell r="J71">
            <v>9</v>
          </cell>
          <cell r="K71">
            <v>10</v>
          </cell>
          <cell r="L71">
            <v>11</v>
          </cell>
          <cell r="M71">
            <v>12</v>
          </cell>
          <cell r="N71">
            <v>13</v>
          </cell>
          <cell r="O71">
            <v>14</v>
          </cell>
          <cell r="P71">
            <v>15</v>
          </cell>
          <cell r="Q71">
            <v>16</v>
          </cell>
          <cell r="R71">
            <v>17</v>
          </cell>
          <cell r="S71">
            <v>18</v>
          </cell>
          <cell r="T71">
            <v>19</v>
          </cell>
          <cell r="U71">
            <v>20</v>
          </cell>
          <cell r="W71">
            <v>22</v>
          </cell>
        </row>
        <row r="73">
          <cell r="W73" t="str">
            <v>ПРС</v>
          </cell>
        </row>
        <row r="74">
          <cell r="B74">
            <v>5565</v>
          </cell>
          <cell r="C74">
            <v>120</v>
          </cell>
          <cell r="F74" t="str">
            <v>ПРС</v>
          </cell>
          <cell r="H74" t="str">
            <v>ЭЦН</v>
          </cell>
          <cell r="I74" t="str">
            <v>бд</v>
          </cell>
          <cell r="K74">
            <v>0</v>
          </cell>
          <cell r="L74">
            <v>0</v>
          </cell>
          <cell r="M74">
            <v>0</v>
          </cell>
          <cell r="N74">
            <v>32</v>
          </cell>
          <cell r="O74">
            <v>3.1</v>
          </cell>
          <cell r="P74">
            <v>88</v>
          </cell>
          <cell r="Q74">
            <v>32</v>
          </cell>
          <cell r="R74">
            <v>3.1</v>
          </cell>
          <cell r="S74">
            <v>88</v>
          </cell>
          <cell r="T74">
            <v>37671</v>
          </cell>
          <cell r="U74" t="str">
            <v>бдп</v>
          </cell>
          <cell r="W74" t="str">
            <v>Смена Э50/Э-30</v>
          </cell>
        </row>
        <row r="75">
          <cell r="B75">
            <v>4262</v>
          </cell>
          <cell r="C75">
            <v>200</v>
          </cell>
          <cell r="F75" t="str">
            <v>ПРС</v>
          </cell>
          <cell r="H75" t="str">
            <v>ЭЦН</v>
          </cell>
          <cell r="I75" t="str">
            <v>действ.</v>
          </cell>
          <cell r="K75">
            <v>268</v>
          </cell>
          <cell r="L75">
            <v>15.3</v>
          </cell>
          <cell r="M75">
            <v>93</v>
          </cell>
          <cell r="N75">
            <v>398</v>
          </cell>
          <cell r="O75">
            <v>22.7</v>
          </cell>
          <cell r="P75">
            <v>93</v>
          </cell>
          <cell r="Q75">
            <v>130</v>
          </cell>
          <cell r="R75">
            <v>7.3999999999999986</v>
          </cell>
          <cell r="S75">
            <v>93</v>
          </cell>
          <cell r="T75">
            <v>37695</v>
          </cell>
          <cell r="U75" t="str">
            <v>опт</v>
          </cell>
          <cell r="W75" t="str">
            <v>Смена Э-250/400</v>
          </cell>
        </row>
        <row r="76">
          <cell r="B76">
            <v>3666</v>
          </cell>
          <cell r="C76">
            <v>301</v>
          </cell>
          <cell r="F76" t="str">
            <v>ПРС</v>
          </cell>
          <cell r="H76" t="str">
            <v>ЭЦН</v>
          </cell>
          <cell r="I76" t="str">
            <v>действ.</v>
          </cell>
          <cell r="K76">
            <v>85</v>
          </cell>
          <cell r="L76">
            <v>4.2</v>
          </cell>
          <cell r="M76">
            <v>94</v>
          </cell>
          <cell r="N76">
            <v>237</v>
          </cell>
          <cell r="O76">
            <v>11.7</v>
          </cell>
          <cell r="P76">
            <v>93.95</v>
          </cell>
          <cell r="Q76">
            <v>152</v>
          </cell>
          <cell r="R76">
            <v>7.4999999999999991</v>
          </cell>
          <cell r="S76">
            <v>93.9</v>
          </cell>
          <cell r="T76">
            <v>37686</v>
          </cell>
          <cell r="U76" t="str">
            <v>опт</v>
          </cell>
          <cell r="W76" t="str">
            <v>Смена Э-125/250</v>
          </cell>
        </row>
        <row r="77">
          <cell r="B77">
            <v>3815</v>
          </cell>
          <cell r="C77">
            <v>87</v>
          </cell>
          <cell r="F77" t="str">
            <v>ПРС</v>
          </cell>
          <cell r="H77" t="str">
            <v>фон</v>
          </cell>
          <cell r="I77" t="str">
            <v>бд</v>
          </cell>
          <cell r="K77">
            <v>0</v>
          </cell>
          <cell r="L77">
            <v>0</v>
          </cell>
          <cell r="M77">
            <v>0</v>
          </cell>
          <cell r="N77">
            <v>125</v>
          </cell>
          <cell r="O77">
            <v>7.1</v>
          </cell>
          <cell r="P77">
            <v>93</v>
          </cell>
          <cell r="Q77">
            <v>125</v>
          </cell>
          <cell r="R77">
            <v>7.1</v>
          </cell>
          <cell r="S77">
            <v>93</v>
          </cell>
          <cell r="T77">
            <v>37699</v>
          </cell>
          <cell r="U77" t="str">
            <v>ВЦД</v>
          </cell>
        </row>
        <row r="78">
          <cell r="B78">
            <v>3659</v>
          </cell>
          <cell r="C78" t="str">
            <v>76б</v>
          </cell>
          <cell r="F78" t="str">
            <v>ПРС</v>
          </cell>
          <cell r="H78" t="str">
            <v>ЭЦН</v>
          </cell>
          <cell r="I78" t="str">
            <v>бд</v>
          </cell>
          <cell r="K78">
            <v>0</v>
          </cell>
          <cell r="L78">
            <v>0</v>
          </cell>
          <cell r="M78">
            <v>0</v>
          </cell>
          <cell r="N78">
            <v>50</v>
          </cell>
          <cell r="O78">
            <v>5.3</v>
          </cell>
          <cell r="P78">
            <v>87</v>
          </cell>
          <cell r="Q78">
            <v>50</v>
          </cell>
          <cell r="R78">
            <v>5.3</v>
          </cell>
          <cell r="S78">
            <v>86.9</v>
          </cell>
          <cell r="T78">
            <v>37709</v>
          </cell>
          <cell r="U78" t="str">
            <v>ВЦД</v>
          </cell>
        </row>
        <row r="79">
          <cell r="B79">
            <v>5240</v>
          </cell>
          <cell r="C79">
            <v>134</v>
          </cell>
          <cell r="F79" t="str">
            <v>ПРС</v>
          </cell>
          <cell r="H79" t="str">
            <v>ШГН</v>
          </cell>
          <cell r="I79" t="str">
            <v>бдт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6.6</v>
          </cell>
          <cell r="P79">
            <v>10</v>
          </cell>
          <cell r="Q79">
            <v>9</v>
          </cell>
          <cell r="R79">
            <v>6.6</v>
          </cell>
          <cell r="S79">
            <v>9.5</v>
          </cell>
          <cell r="T79">
            <v>37679</v>
          </cell>
          <cell r="U79" t="str">
            <v>бдт</v>
          </cell>
          <cell r="W79" t="str">
            <v>Смена вор/Н-44</v>
          </cell>
        </row>
        <row r="80">
          <cell r="B80">
            <v>5644</v>
          </cell>
          <cell r="C80">
            <v>126</v>
          </cell>
          <cell r="F80" t="str">
            <v>КРС</v>
          </cell>
          <cell r="H80" t="str">
            <v>ЭЦН</v>
          </cell>
          <cell r="I80" t="str">
            <v>действ.</v>
          </cell>
          <cell r="K80">
            <v>18</v>
          </cell>
          <cell r="L80">
            <v>12.8</v>
          </cell>
          <cell r="M80">
            <v>13</v>
          </cell>
          <cell r="N80">
            <v>25</v>
          </cell>
          <cell r="O80">
            <v>17.7</v>
          </cell>
          <cell r="P80">
            <v>13</v>
          </cell>
          <cell r="Q80">
            <v>7</v>
          </cell>
          <cell r="R80">
            <v>4.8999999999999986</v>
          </cell>
          <cell r="S80">
            <v>13.6</v>
          </cell>
          <cell r="T80">
            <v>37650</v>
          </cell>
          <cell r="U80" t="str">
            <v>ОПЗД</v>
          </cell>
        </row>
        <row r="81">
          <cell r="B81">
            <v>2695</v>
          </cell>
          <cell r="C81">
            <v>163</v>
          </cell>
          <cell r="F81" t="str">
            <v>ПРС</v>
          </cell>
          <cell r="H81" t="str">
            <v>фон</v>
          </cell>
          <cell r="I81" t="str">
            <v>конс.</v>
          </cell>
          <cell r="J81">
            <v>33725</v>
          </cell>
          <cell r="K81">
            <v>0</v>
          </cell>
          <cell r="L81">
            <v>0</v>
          </cell>
          <cell r="M81">
            <v>0</v>
          </cell>
          <cell r="N81">
            <v>15</v>
          </cell>
          <cell r="O81">
            <v>8.6</v>
          </cell>
          <cell r="P81">
            <v>30</v>
          </cell>
          <cell r="Q81">
            <v>15</v>
          </cell>
          <cell r="R81">
            <v>8.6</v>
          </cell>
          <cell r="S81">
            <v>29.2</v>
          </cell>
          <cell r="T81">
            <v>37650</v>
          </cell>
          <cell r="U81" t="str">
            <v>опт</v>
          </cell>
          <cell r="W81" t="str">
            <v>смена Н-57/Э-30</v>
          </cell>
        </row>
        <row r="82">
          <cell r="B82">
            <v>3626</v>
          </cell>
          <cell r="C82">
            <v>301</v>
          </cell>
          <cell r="F82" t="str">
            <v>ПРС</v>
          </cell>
          <cell r="G82">
            <v>240</v>
          </cell>
          <cell r="H82" t="str">
            <v>ЭЦН</v>
          </cell>
          <cell r="I82" t="str">
            <v>бд</v>
          </cell>
          <cell r="J82">
            <v>34121</v>
          </cell>
          <cell r="K82">
            <v>0</v>
          </cell>
          <cell r="L82">
            <v>0</v>
          </cell>
          <cell r="M82">
            <v>0</v>
          </cell>
          <cell r="N82">
            <v>125</v>
          </cell>
          <cell r="O82">
            <v>5.0999999999999996</v>
          </cell>
          <cell r="P82">
            <v>95</v>
          </cell>
          <cell r="Q82">
            <v>125</v>
          </cell>
          <cell r="R82">
            <v>5.0999999999999996</v>
          </cell>
          <cell r="S82">
            <v>95</v>
          </cell>
          <cell r="T82">
            <v>37664</v>
          </cell>
          <cell r="U82" t="str">
            <v>бдп</v>
          </cell>
        </row>
        <row r="83">
          <cell r="B83">
            <v>5611</v>
          </cell>
          <cell r="C83">
            <v>115</v>
          </cell>
          <cell r="F83" t="str">
            <v>ПРС</v>
          </cell>
          <cell r="H83" t="str">
            <v>ШГН</v>
          </cell>
          <cell r="I83" t="str">
            <v>действ.</v>
          </cell>
          <cell r="J83">
            <v>37640</v>
          </cell>
          <cell r="K83">
            <v>18</v>
          </cell>
          <cell r="L83">
            <v>8.1999999999999993</v>
          </cell>
          <cell r="M83">
            <v>44</v>
          </cell>
          <cell r="N83">
            <v>29</v>
          </cell>
          <cell r="O83">
            <v>13.2</v>
          </cell>
          <cell r="P83">
            <v>44</v>
          </cell>
          <cell r="Q83">
            <v>11</v>
          </cell>
          <cell r="R83">
            <v>5</v>
          </cell>
          <cell r="S83">
            <v>43.9</v>
          </cell>
          <cell r="T83">
            <v>37670</v>
          </cell>
          <cell r="U83" t="str">
            <v>опт</v>
          </cell>
        </row>
        <row r="84">
          <cell r="B84">
            <v>3424</v>
          </cell>
          <cell r="C84">
            <v>68</v>
          </cell>
          <cell r="F84" t="str">
            <v>Э-прогрев</v>
          </cell>
          <cell r="G84">
            <v>240</v>
          </cell>
          <cell r="H84" t="str">
            <v>ЭЦН</v>
          </cell>
          <cell r="I84" t="str">
            <v>конс.</v>
          </cell>
          <cell r="J84">
            <v>33939</v>
          </cell>
          <cell r="K84">
            <v>0</v>
          </cell>
          <cell r="L84">
            <v>0</v>
          </cell>
          <cell r="M84">
            <v>0</v>
          </cell>
          <cell r="N84">
            <v>125</v>
          </cell>
          <cell r="O84">
            <v>5.0999999999999996</v>
          </cell>
          <cell r="P84">
            <v>95</v>
          </cell>
          <cell r="Q84">
            <v>125</v>
          </cell>
          <cell r="R84">
            <v>5.0999999999999996</v>
          </cell>
          <cell r="S84">
            <v>95</v>
          </cell>
          <cell r="T84">
            <v>37657</v>
          </cell>
          <cell r="U84" t="str">
            <v>ВЦД</v>
          </cell>
          <cell r="W84" t="str">
            <v>ВЦ</v>
          </cell>
        </row>
        <row r="85">
          <cell r="B85">
            <v>5714</v>
          </cell>
          <cell r="C85">
            <v>128</v>
          </cell>
          <cell r="F85" t="str">
            <v>Э-прогрев</v>
          </cell>
          <cell r="G85">
            <v>280</v>
          </cell>
          <cell r="H85" t="str">
            <v>ЭЦН</v>
          </cell>
          <cell r="I85" t="str">
            <v>бд</v>
          </cell>
          <cell r="J85">
            <v>35753</v>
          </cell>
          <cell r="K85">
            <v>0</v>
          </cell>
          <cell r="L85">
            <v>0</v>
          </cell>
          <cell r="M85">
            <v>0</v>
          </cell>
          <cell r="N85">
            <v>50</v>
          </cell>
          <cell r="O85">
            <v>6.1</v>
          </cell>
          <cell r="P85">
            <v>85</v>
          </cell>
          <cell r="Q85">
            <v>50</v>
          </cell>
          <cell r="R85">
            <v>6.1</v>
          </cell>
          <cell r="S85">
            <v>84.9</v>
          </cell>
          <cell r="T85">
            <v>37673</v>
          </cell>
          <cell r="U85" t="str">
            <v>ВЦД</v>
          </cell>
          <cell r="W85" t="str">
            <v>ВЦ</v>
          </cell>
        </row>
        <row r="86">
          <cell r="B86">
            <v>5856</v>
          </cell>
          <cell r="C86">
            <v>169</v>
          </cell>
          <cell r="F86" t="str">
            <v>ПРС</v>
          </cell>
          <cell r="H86" t="str">
            <v>фон.</v>
          </cell>
          <cell r="I86" t="str">
            <v>бд</v>
          </cell>
          <cell r="J86">
            <v>36585</v>
          </cell>
          <cell r="K86">
            <v>0</v>
          </cell>
          <cell r="L86">
            <v>0</v>
          </cell>
          <cell r="M86">
            <v>0</v>
          </cell>
          <cell r="N86">
            <v>30</v>
          </cell>
          <cell r="O86">
            <v>3.7</v>
          </cell>
          <cell r="P86">
            <v>85</v>
          </cell>
          <cell r="Q86">
            <v>30</v>
          </cell>
          <cell r="R86">
            <v>3.7</v>
          </cell>
          <cell r="S86">
            <v>84.8</v>
          </cell>
          <cell r="T86">
            <v>37636</v>
          </cell>
          <cell r="U86" t="str">
            <v>бдп</v>
          </cell>
          <cell r="W86" t="str">
            <v>Смена вор./Э-30</v>
          </cell>
        </row>
        <row r="87">
          <cell r="B87">
            <v>3888</v>
          </cell>
          <cell r="C87">
            <v>99</v>
          </cell>
          <cell r="F87" t="str">
            <v>Э-прогрев</v>
          </cell>
          <cell r="G87">
            <v>240</v>
          </cell>
          <cell r="H87" t="str">
            <v>ЭЦН</v>
          </cell>
          <cell r="I87" t="str">
            <v>конс.</v>
          </cell>
          <cell r="J87">
            <v>34274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4.0999999999999996</v>
          </cell>
          <cell r="P87">
            <v>90</v>
          </cell>
          <cell r="Q87">
            <v>50</v>
          </cell>
          <cell r="R87">
            <v>4.0999999999999996</v>
          </cell>
          <cell r="S87">
            <v>89.9</v>
          </cell>
          <cell r="T87">
            <v>37685</v>
          </cell>
          <cell r="U87" t="str">
            <v>ВЦД</v>
          </cell>
          <cell r="W87" t="str">
            <v>ВЦ</v>
          </cell>
        </row>
        <row r="88">
          <cell r="B88">
            <v>5855</v>
          </cell>
          <cell r="C88">
            <v>169</v>
          </cell>
          <cell r="F88" t="str">
            <v>ПРС</v>
          </cell>
          <cell r="H88" t="str">
            <v>фон</v>
          </cell>
          <cell r="I88" t="str">
            <v>конс.</v>
          </cell>
          <cell r="J88">
            <v>35401</v>
          </cell>
          <cell r="K88">
            <v>0</v>
          </cell>
          <cell r="L88">
            <v>0</v>
          </cell>
          <cell r="M88">
            <v>0</v>
          </cell>
          <cell r="N88">
            <v>30</v>
          </cell>
          <cell r="O88">
            <v>12.2</v>
          </cell>
          <cell r="P88">
            <v>50</v>
          </cell>
          <cell r="Q88">
            <v>30</v>
          </cell>
          <cell r="R88">
            <v>12.2</v>
          </cell>
          <cell r="S88">
            <v>49.8</v>
          </cell>
          <cell r="T88">
            <v>37593</v>
          </cell>
          <cell r="U88" t="str">
            <v>вцд</v>
          </cell>
          <cell r="W88" t="str">
            <v>Смена вор./Э-30</v>
          </cell>
        </row>
        <row r="89">
          <cell r="B89">
            <v>5851</v>
          </cell>
          <cell r="C89">
            <v>169</v>
          </cell>
          <cell r="F89" t="str">
            <v>ПРС</v>
          </cell>
          <cell r="H89" t="str">
            <v>фон</v>
          </cell>
          <cell r="I89" t="str">
            <v>бд</v>
          </cell>
          <cell r="J89">
            <v>36840</v>
          </cell>
          <cell r="K89">
            <v>0</v>
          </cell>
          <cell r="L89">
            <v>0</v>
          </cell>
          <cell r="M89">
            <v>0</v>
          </cell>
          <cell r="N89">
            <v>80</v>
          </cell>
          <cell r="O89">
            <v>3.3</v>
          </cell>
          <cell r="P89">
            <v>95</v>
          </cell>
          <cell r="Q89">
            <v>80</v>
          </cell>
          <cell r="R89">
            <v>3.3</v>
          </cell>
          <cell r="S89">
            <v>94.9</v>
          </cell>
          <cell r="T89">
            <v>37607</v>
          </cell>
          <cell r="U89" t="str">
            <v>бдп</v>
          </cell>
          <cell r="W89" t="str">
            <v>Смена вор./Э-80</v>
          </cell>
        </row>
        <row r="90">
          <cell r="B90">
            <v>5715</v>
          </cell>
          <cell r="C90">
            <v>128</v>
          </cell>
          <cell r="F90" t="str">
            <v>ПРС</v>
          </cell>
          <cell r="H90" t="str">
            <v>фон</v>
          </cell>
          <cell r="I90" t="str">
            <v>бд</v>
          </cell>
          <cell r="J90">
            <v>32006</v>
          </cell>
          <cell r="K90">
            <v>0</v>
          </cell>
          <cell r="L90">
            <v>0</v>
          </cell>
          <cell r="M90">
            <v>0</v>
          </cell>
          <cell r="N90">
            <v>50</v>
          </cell>
          <cell r="O90">
            <v>8.1999999999999993</v>
          </cell>
          <cell r="P90">
            <v>80</v>
          </cell>
          <cell r="Q90">
            <v>50</v>
          </cell>
          <cell r="R90">
            <v>8.1999999999999993</v>
          </cell>
          <cell r="S90">
            <v>79.8</v>
          </cell>
          <cell r="T90">
            <v>37593</v>
          </cell>
          <cell r="U90" t="str">
            <v>вцд</v>
          </cell>
          <cell r="W90" t="str">
            <v>Смена вор./Э-50</v>
          </cell>
        </row>
        <row r="91">
          <cell r="B91">
            <v>2991</v>
          </cell>
          <cell r="C91">
            <v>48</v>
          </cell>
          <cell r="F91" t="str">
            <v>ПРС</v>
          </cell>
          <cell r="G91">
            <v>255</v>
          </cell>
          <cell r="H91" t="str">
            <v>ЭЦН</v>
          </cell>
          <cell r="I91" t="str">
            <v>действ.</v>
          </cell>
          <cell r="K91">
            <v>82</v>
          </cell>
          <cell r="L91">
            <v>10.7</v>
          </cell>
          <cell r="M91">
            <v>84</v>
          </cell>
          <cell r="N91">
            <v>118</v>
          </cell>
          <cell r="O91">
            <v>15.4</v>
          </cell>
          <cell r="P91">
            <v>84</v>
          </cell>
          <cell r="Q91">
            <v>36</v>
          </cell>
          <cell r="R91">
            <v>4.7000000000000011</v>
          </cell>
          <cell r="S91">
            <v>83.9</v>
          </cell>
          <cell r="T91">
            <v>37601</v>
          </cell>
          <cell r="U91" t="str">
            <v>опт</v>
          </cell>
          <cell r="W91" t="str">
            <v>Смена Э-80/Э-125</v>
          </cell>
        </row>
        <row r="92">
          <cell r="B92">
            <v>2921</v>
          </cell>
          <cell r="C92" t="str">
            <v>43б</v>
          </cell>
          <cell r="F92" t="str">
            <v>ПРС</v>
          </cell>
          <cell r="H92" t="str">
            <v>ШГН</v>
          </cell>
          <cell r="I92" t="str">
            <v>действ.</v>
          </cell>
          <cell r="K92">
            <v>26</v>
          </cell>
          <cell r="L92">
            <v>13.8</v>
          </cell>
          <cell r="M92">
            <v>35</v>
          </cell>
          <cell r="N92">
            <v>37</v>
          </cell>
          <cell r="O92">
            <v>19.8</v>
          </cell>
          <cell r="P92">
            <v>35</v>
          </cell>
          <cell r="Q92">
            <v>11</v>
          </cell>
          <cell r="R92">
            <v>6</v>
          </cell>
          <cell r="S92">
            <v>32.700000000000003</v>
          </cell>
          <cell r="T92">
            <v>37605</v>
          </cell>
          <cell r="U92" t="str">
            <v>опт</v>
          </cell>
          <cell r="W92" t="str">
            <v>Смена Н-44/Э-30</v>
          </cell>
        </row>
        <row r="93">
          <cell r="B93">
            <v>5553</v>
          </cell>
          <cell r="C93">
            <v>117</v>
          </cell>
          <cell r="F93" t="str">
            <v>ПРС</v>
          </cell>
          <cell r="H93" t="str">
            <v>ШГН</v>
          </cell>
          <cell r="I93" t="str">
            <v>конс.</v>
          </cell>
          <cell r="J93">
            <v>33178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4.9000000000000004</v>
          </cell>
          <cell r="P93">
            <v>88</v>
          </cell>
          <cell r="Q93">
            <v>50</v>
          </cell>
          <cell r="R93">
            <v>4.9000000000000004</v>
          </cell>
          <cell r="S93">
            <v>87.9</v>
          </cell>
          <cell r="T93">
            <v>37551</v>
          </cell>
          <cell r="W93" t="str">
            <v>в.ц.,в.з.(г/ж),НН-57/Э-50</v>
          </cell>
        </row>
        <row r="94">
          <cell r="B94">
            <v>2817</v>
          </cell>
          <cell r="C94">
            <v>145</v>
          </cell>
          <cell r="F94" t="str">
            <v>ПРС</v>
          </cell>
          <cell r="H94" t="str">
            <v>Ф/Э</v>
          </cell>
          <cell r="I94" t="str">
            <v>бд</v>
          </cell>
          <cell r="J94">
            <v>34282</v>
          </cell>
          <cell r="K94">
            <v>0</v>
          </cell>
          <cell r="L94">
            <v>0</v>
          </cell>
          <cell r="M94">
            <v>0</v>
          </cell>
          <cell r="N94">
            <v>50</v>
          </cell>
          <cell r="O94">
            <v>4.0999999999999996</v>
          </cell>
          <cell r="P94">
            <v>90</v>
          </cell>
          <cell r="Q94">
            <v>50</v>
          </cell>
          <cell r="R94">
            <v>4.0999999999999996</v>
          </cell>
          <cell r="S94">
            <v>89.9</v>
          </cell>
          <cell r="T94">
            <v>37585</v>
          </cell>
          <cell r="U94" t="str">
            <v>ВЦД</v>
          </cell>
          <cell r="W94" t="str">
            <v>в.ц.,в.з.(г/ж),рев.ЭЦН-50</v>
          </cell>
        </row>
        <row r="95">
          <cell r="B95">
            <v>2816</v>
          </cell>
          <cell r="C95">
            <v>145</v>
          </cell>
          <cell r="F95" t="str">
            <v>ПРС</v>
          </cell>
          <cell r="H95" t="str">
            <v>Ф/Э</v>
          </cell>
          <cell r="I95" t="str">
            <v>конс.</v>
          </cell>
          <cell r="J95">
            <v>34060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4.0999999999999996</v>
          </cell>
          <cell r="P95">
            <v>90</v>
          </cell>
          <cell r="Q95">
            <v>50</v>
          </cell>
          <cell r="R95">
            <v>4.0999999999999996</v>
          </cell>
          <cell r="S95">
            <v>89.9</v>
          </cell>
          <cell r="W95" t="str">
            <v>в.ц.,в.з.(г/ж),рев.ЭЦН-50</v>
          </cell>
        </row>
        <row r="96">
          <cell r="B96">
            <v>3034</v>
          </cell>
          <cell r="C96">
            <v>51</v>
          </cell>
          <cell r="F96" t="str">
            <v>ПРС</v>
          </cell>
          <cell r="H96" t="str">
            <v>ШГН</v>
          </cell>
          <cell r="I96" t="str">
            <v>конс.</v>
          </cell>
          <cell r="J96">
            <v>32933</v>
          </cell>
          <cell r="K96">
            <v>0</v>
          </cell>
          <cell r="L96">
            <v>0</v>
          </cell>
          <cell r="M96">
            <v>0</v>
          </cell>
          <cell r="N96">
            <v>30</v>
          </cell>
          <cell r="O96">
            <v>9.8000000000000007</v>
          </cell>
          <cell r="P96">
            <v>60</v>
          </cell>
          <cell r="Q96">
            <v>30</v>
          </cell>
          <cell r="R96">
            <v>9.8000000000000007</v>
          </cell>
          <cell r="S96">
            <v>59.7</v>
          </cell>
          <cell r="T96">
            <v>37581</v>
          </cell>
          <cell r="U96" t="str">
            <v>ВЦД</v>
          </cell>
          <cell r="W96" t="str">
            <v>в.ц.,в.з.(г/ж),рев.ЭЦН-30</v>
          </cell>
        </row>
        <row r="97">
          <cell r="B97">
            <v>5704</v>
          </cell>
          <cell r="C97">
            <v>126</v>
          </cell>
          <cell r="F97" t="str">
            <v>ПРС</v>
          </cell>
          <cell r="H97" t="str">
            <v>ШГН</v>
          </cell>
          <cell r="I97" t="str">
            <v>бд</v>
          </cell>
          <cell r="J97">
            <v>37174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8.1999999999999993</v>
          </cell>
          <cell r="P97">
            <v>0</v>
          </cell>
          <cell r="Q97">
            <v>10</v>
          </cell>
          <cell r="R97">
            <v>8.1999999999999993</v>
          </cell>
          <cell r="S97">
            <v>-1.2</v>
          </cell>
          <cell r="W97" t="str">
            <v>ВЦ КОПС,ВЗ(ГЖ)рев.НВ-44</v>
          </cell>
        </row>
        <row r="98">
          <cell r="B98">
            <v>5339</v>
          </cell>
          <cell r="C98">
            <v>141</v>
          </cell>
          <cell r="F98" t="str">
            <v>ПРС</v>
          </cell>
          <cell r="H98" t="str">
            <v>ШГН</v>
          </cell>
          <cell r="I98" t="str">
            <v>бд</v>
          </cell>
          <cell r="J98">
            <v>36126</v>
          </cell>
          <cell r="K98">
            <v>0</v>
          </cell>
          <cell r="L98">
            <v>0</v>
          </cell>
          <cell r="M98">
            <v>0</v>
          </cell>
          <cell r="N98">
            <v>10</v>
          </cell>
          <cell r="O98">
            <v>6.1</v>
          </cell>
          <cell r="P98">
            <v>25</v>
          </cell>
          <cell r="Q98">
            <v>10</v>
          </cell>
          <cell r="R98">
            <v>6.1</v>
          </cell>
          <cell r="S98">
            <v>24.7</v>
          </cell>
          <cell r="W98" t="str">
            <v>в.ц.,в.з.(г/ж),рев.НВ-44</v>
          </cell>
        </row>
        <row r="99">
          <cell r="B99">
            <v>5545</v>
          </cell>
          <cell r="C99">
            <v>115</v>
          </cell>
          <cell r="F99" t="str">
            <v>ПРС</v>
          </cell>
          <cell r="H99" t="str">
            <v>ЭЦН</v>
          </cell>
          <cell r="I99" t="str">
            <v>бд</v>
          </cell>
          <cell r="J99">
            <v>34484</v>
          </cell>
          <cell r="K99">
            <v>0</v>
          </cell>
          <cell r="L99">
            <v>0</v>
          </cell>
          <cell r="M99">
            <v>0</v>
          </cell>
          <cell r="N99">
            <v>250</v>
          </cell>
          <cell r="O99">
            <v>6.1</v>
          </cell>
          <cell r="P99">
            <v>97</v>
          </cell>
          <cell r="Q99">
            <v>250</v>
          </cell>
          <cell r="R99">
            <v>6.1</v>
          </cell>
          <cell r="S99">
            <v>97</v>
          </cell>
          <cell r="W99" t="str">
            <v>ВЗ(ГЖ),шабл.Э/К,см.Э-125/Э-250</v>
          </cell>
        </row>
        <row r="100">
          <cell r="B100">
            <v>5642</v>
          </cell>
          <cell r="C100">
            <v>126</v>
          </cell>
          <cell r="F100" t="str">
            <v>ПРС</v>
          </cell>
          <cell r="H100" t="str">
            <v>ШГН</v>
          </cell>
          <cell r="I100" t="str">
            <v>бд</v>
          </cell>
          <cell r="J100">
            <v>36997</v>
          </cell>
          <cell r="K100">
            <v>0</v>
          </cell>
          <cell r="L100">
            <v>0</v>
          </cell>
          <cell r="M100">
            <v>0</v>
          </cell>
          <cell r="N100">
            <v>12</v>
          </cell>
          <cell r="O100">
            <v>5.9</v>
          </cell>
          <cell r="P100">
            <v>40</v>
          </cell>
          <cell r="Q100">
            <v>12</v>
          </cell>
          <cell r="R100">
            <v>5.9</v>
          </cell>
          <cell r="S100">
            <v>39.299999999999997</v>
          </cell>
          <cell r="W100" t="str">
            <v>ВЦ КОПС,ВЗ(ГЖ)рев.НВ-44</v>
          </cell>
        </row>
        <row r="101">
          <cell r="B101">
            <v>5219</v>
          </cell>
          <cell r="C101">
            <v>135</v>
          </cell>
          <cell r="F101" t="str">
            <v>ПРС</v>
          </cell>
          <cell r="H101" t="str">
            <v>ЭЦН</v>
          </cell>
          <cell r="I101" t="str">
            <v>конс.</v>
          </cell>
          <cell r="J101">
            <v>34366</v>
          </cell>
          <cell r="K101">
            <v>0</v>
          </cell>
          <cell r="L101">
            <v>0</v>
          </cell>
          <cell r="M101">
            <v>0</v>
          </cell>
          <cell r="N101">
            <v>80</v>
          </cell>
          <cell r="O101">
            <v>5.2</v>
          </cell>
          <cell r="P101">
            <v>92</v>
          </cell>
          <cell r="Q101">
            <v>80</v>
          </cell>
          <cell r="R101">
            <v>5.2</v>
          </cell>
          <cell r="S101">
            <v>92</v>
          </cell>
          <cell r="W101" t="str">
            <v>в.ц.,в.з.(г/ж),Э-50/Э-80</v>
          </cell>
        </row>
        <row r="102">
          <cell r="B102">
            <v>5591</v>
          </cell>
          <cell r="C102">
            <v>118</v>
          </cell>
          <cell r="F102" t="str">
            <v>ПРС</v>
          </cell>
          <cell r="H102" t="str">
            <v>ШГН</v>
          </cell>
          <cell r="I102" t="str">
            <v>конс.</v>
          </cell>
          <cell r="J102">
            <v>34153</v>
          </cell>
          <cell r="K102">
            <v>0</v>
          </cell>
          <cell r="L102">
            <v>0</v>
          </cell>
          <cell r="M102">
            <v>0</v>
          </cell>
          <cell r="N102">
            <v>125</v>
          </cell>
          <cell r="O102">
            <v>5.0999999999999996</v>
          </cell>
          <cell r="P102">
            <v>95</v>
          </cell>
          <cell r="Q102">
            <v>125</v>
          </cell>
          <cell r="R102">
            <v>5.0999999999999996</v>
          </cell>
          <cell r="S102">
            <v>95</v>
          </cell>
          <cell r="W102" t="str">
            <v>в.ц.,рев.Э-125</v>
          </cell>
        </row>
        <row r="103">
          <cell r="B103">
            <v>5589</v>
          </cell>
          <cell r="C103">
            <v>118</v>
          </cell>
          <cell r="F103" t="str">
            <v>ПРС</v>
          </cell>
          <cell r="H103" t="str">
            <v>Ф/Э</v>
          </cell>
          <cell r="I103" t="str">
            <v>конс.</v>
          </cell>
          <cell r="J103">
            <v>32843</v>
          </cell>
          <cell r="K103">
            <v>0</v>
          </cell>
          <cell r="L103">
            <v>0</v>
          </cell>
          <cell r="M103">
            <v>0</v>
          </cell>
          <cell r="N103">
            <v>125</v>
          </cell>
          <cell r="O103">
            <v>5.0999999999999996</v>
          </cell>
          <cell r="P103">
            <v>95</v>
          </cell>
          <cell r="Q103">
            <v>125</v>
          </cell>
          <cell r="R103">
            <v>5.0999999999999996</v>
          </cell>
          <cell r="S103">
            <v>95</v>
          </cell>
          <cell r="W103" t="str">
            <v>в.ц.,в.з.(г/ж),рев.ЭЦН-125</v>
          </cell>
        </row>
        <row r="104">
          <cell r="B104">
            <v>5675</v>
          </cell>
          <cell r="C104">
            <v>126</v>
          </cell>
          <cell r="F104" t="str">
            <v>ПРС</v>
          </cell>
          <cell r="H104" t="str">
            <v>ШГН</v>
          </cell>
          <cell r="I104" t="str">
            <v>конс.</v>
          </cell>
          <cell r="J104">
            <v>35585</v>
          </cell>
          <cell r="K104">
            <v>0</v>
          </cell>
          <cell r="L104">
            <v>0</v>
          </cell>
          <cell r="M104">
            <v>0</v>
          </cell>
          <cell r="N104">
            <v>10</v>
          </cell>
          <cell r="O104">
            <v>4.9000000000000004</v>
          </cell>
          <cell r="P104">
            <v>40</v>
          </cell>
          <cell r="Q104">
            <v>10</v>
          </cell>
          <cell r="R104">
            <v>4.9000000000000004</v>
          </cell>
          <cell r="S104">
            <v>39.5</v>
          </cell>
          <cell r="W104" t="str">
            <v>в.ц.,в.з.(г/ж),рев.НВ-44</v>
          </cell>
        </row>
        <row r="105">
          <cell r="B105">
            <v>5493</v>
          </cell>
          <cell r="C105">
            <v>106</v>
          </cell>
          <cell r="F105" t="str">
            <v>ПРС</v>
          </cell>
          <cell r="H105" t="str">
            <v>ШГН</v>
          </cell>
          <cell r="I105" t="str">
            <v>конс.</v>
          </cell>
          <cell r="J105">
            <v>35247</v>
          </cell>
          <cell r="K105">
            <v>0</v>
          </cell>
          <cell r="L105">
            <v>0</v>
          </cell>
          <cell r="M105">
            <v>0</v>
          </cell>
          <cell r="N105">
            <v>12</v>
          </cell>
          <cell r="O105">
            <v>4.9000000000000004</v>
          </cell>
          <cell r="P105">
            <v>50</v>
          </cell>
          <cell r="Q105">
            <v>12</v>
          </cell>
          <cell r="R105">
            <v>4.9000000000000004</v>
          </cell>
          <cell r="S105">
            <v>49.6</v>
          </cell>
          <cell r="W105" t="str">
            <v>в.ц.,рев.НВ-44</v>
          </cell>
        </row>
        <row r="106">
          <cell r="B106">
            <v>5587</v>
          </cell>
          <cell r="C106">
            <v>118</v>
          </cell>
          <cell r="F106" t="str">
            <v>ПРС</v>
          </cell>
          <cell r="H106" t="str">
            <v>Ф/Э</v>
          </cell>
          <cell r="I106" t="str">
            <v>бд</v>
          </cell>
          <cell r="J106">
            <v>34883</v>
          </cell>
          <cell r="K106">
            <v>0</v>
          </cell>
          <cell r="L106">
            <v>0</v>
          </cell>
          <cell r="M106">
            <v>0</v>
          </cell>
          <cell r="N106">
            <v>50</v>
          </cell>
          <cell r="O106">
            <v>4.9000000000000004</v>
          </cell>
          <cell r="P106">
            <v>88</v>
          </cell>
          <cell r="Q106">
            <v>50</v>
          </cell>
          <cell r="R106">
            <v>4.9000000000000004</v>
          </cell>
          <cell r="S106">
            <v>87.9</v>
          </cell>
          <cell r="W106" t="str">
            <v>в.ц.,в.з.(г/ж),вор./Э-50</v>
          </cell>
        </row>
        <row r="107">
          <cell r="B107">
            <v>5495</v>
          </cell>
          <cell r="C107">
            <v>106</v>
          </cell>
          <cell r="F107" t="str">
            <v>ПРС</v>
          </cell>
          <cell r="H107" t="str">
            <v>ЭЦН</v>
          </cell>
          <cell r="I107" t="str">
            <v>бд</v>
          </cell>
          <cell r="J107">
            <v>33755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4.9000000000000004</v>
          </cell>
          <cell r="P107">
            <v>88</v>
          </cell>
          <cell r="Q107">
            <v>50</v>
          </cell>
          <cell r="R107">
            <v>4.9000000000000004</v>
          </cell>
          <cell r="S107">
            <v>87.9</v>
          </cell>
          <cell r="T107">
            <v>37583</v>
          </cell>
          <cell r="U107" t="str">
            <v>ВЦД</v>
          </cell>
          <cell r="W107" t="str">
            <v>в.ц.,в.з.(г/ж),рев.ЭЦН-50</v>
          </cell>
        </row>
        <row r="108">
          <cell r="B108">
            <v>5553</v>
          </cell>
          <cell r="C108">
            <v>117</v>
          </cell>
          <cell r="F108" t="str">
            <v>ПРС</v>
          </cell>
          <cell r="H108" t="str">
            <v>ШГН</v>
          </cell>
          <cell r="I108" t="str">
            <v>конс.</v>
          </cell>
          <cell r="J108">
            <v>33178</v>
          </cell>
          <cell r="K108">
            <v>0</v>
          </cell>
          <cell r="L108">
            <v>0</v>
          </cell>
          <cell r="M108">
            <v>0</v>
          </cell>
          <cell r="N108">
            <v>50</v>
          </cell>
          <cell r="O108">
            <v>4.9000000000000004</v>
          </cell>
          <cell r="P108">
            <v>88</v>
          </cell>
          <cell r="Q108">
            <v>50</v>
          </cell>
          <cell r="R108">
            <v>4.9000000000000004</v>
          </cell>
          <cell r="S108">
            <v>87.9</v>
          </cell>
          <cell r="W108" t="str">
            <v>в.ц.,в.з.(г/ж),НН-57/Э-50</v>
          </cell>
        </row>
        <row r="109">
          <cell r="B109">
            <v>5462</v>
          </cell>
          <cell r="C109">
            <v>104</v>
          </cell>
          <cell r="F109" t="str">
            <v>ПРС</v>
          </cell>
          <cell r="H109" t="str">
            <v>ЭЦН</v>
          </cell>
          <cell r="I109" t="str">
            <v>бд</v>
          </cell>
          <cell r="J109">
            <v>34851</v>
          </cell>
          <cell r="K109">
            <v>0</v>
          </cell>
          <cell r="L109">
            <v>0</v>
          </cell>
          <cell r="M109">
            <v>0</v>
          </cell>
          <cell r="N109">
            <v>80</v>
          </cell>
          <cell r="O109">
            <v>4.5999999999999996</v>
          </cell>
          <cell r="P109">
            <v>93</v>
          </cell>
          <cell r="Q109">
            <v>80</v>
          </cell>
          <cell r="R109">
            <v>4.5999999999999996</v>
          </cell>
          <cell r="S109">
            <v>92.9</v>
          </cell>
          <cell r="W109" t="str">
            <v>в.ц.,в.з.(г/ж),рев.ЭЦН-80</v>
          </cell>
        </row>
        <row r="110">
          <cell r="B110" t="str">
            <v>5411б</v>
          </cell>
          <cell r="C110">
            <v>107</v>
          </cell>
          <cell r="F110" t="str">
            <v>ПРС</v>
          </cell>
          <cell r="H110" t="str">
            <v>ШГН</v>
          </cell>
          <cell r="I110" t="str">
            <v>бд</v>
          </cell>
          <cell r="J110">
            <v>35992</v>
          </cell>
          <cell r="K110">
            <v>0</v>
          </cell>
          <cell r="L110">
            <v>0</v>
          </cell>
          <cell r="M110">
            <v>0</v>
          </cell>
          <cell r="N110">
            <v>6</v>
          </cell>
          <cell r="O110">
            <v>4.4000000000000004</v>
          </cell>
          <cell r="P110">
            <v>10</v>
          </cell>
          <cell r="Q110">
            <v>6</v>
          </cell>
          <cell r="R110">
            <v>4.4000000000000004</v>
          </cell>
          <cell r="S110">
            <v>9.5</v>
          </cell>
          <cell r="W110" t="str">
            <v>в.ц.,рев.НВ-32</v>
          </cell>
        </row>
        <row r="111">
          <cell r="B111">
            <v>2862</v>
          </cell>
          <cell r="C111">
            <v>127</v>
          </cell>
          <cell r="F111" t="str">
            <v>ПРС</v>
          </cell>
          <cell r="H111" t="str">
            <v>ШГН</v>
          </cell>
          <cell r="I111" t="str">
            <v>бд</v>
          </cell>
          <cell r="J111">
            <v>37142</v>
          </cell>
          <cell r="K111">
            <v>0</v>
          </cell>
          <cell r="L111">
            <v>0</v>
          </cell>
          <cell r="M111">
            <v>0</v>
          </cell>
          <cell r="N111">
            <v>50</v>
          </cell>
          <cell r="O111">
            <v>4.0999999999999996</v>
          </cell>
          <cell r="P111">
            <v>90</v>
          </cell>
          <cell r="Q111">
            <v>50</v>
          </cell>
          <cell r="R111">
            <v>4.0999999999999996</v>
          </cell>
          <cell r="S111">
            <v>89.9</v>
          </cell>
          <cell r="W111" t="str">
            <v>в.ц.,НН-57/Э-50</v>
          </cell>
        </row>
        <row r="112">
          <cell r="B112">
            <v>2861</v>
          </cell>
          <cell r="C112">
            <v>127</v>
          </cell>
          <cell r="F112" t="str">
            <v>ПРС</v>
          </cell>
          <cell r="H112" t="str">
            <v>ШГН</v>
          </cell>
          <cell r="I112" t="str">
            <v>бд</v>
          </cell>
          <cell r="J112">
            <v>35455</v>
          </cell>
          <cell r="K112">
            <v>0</v>
          </cell>
          <cell r="L112">
            <v>0</v>
          </cell>
          <cell r="M112">
            <v>0</v>
          </cell>
          <cell r="N112">
            <v>50</v>
          </cell>
          <cell r="O112">
            <v>4.0999999999999996</v>
          </cell>
          <cell r="P112">
            <v>90</v>
          </cell>
          <cell r="Q112">
            <v>50</v>
          </cell>
          <cell r="R112">
            <v>4.0999999999999996</v>
          </cell>
          <cell r="S112">
            <v>89.9</v>
          </cell>
          <cell r="W112" t="str">
            <v>в.ц.,в.з.(г/ж),НН-57/Э-50</v>
          </cell>
        </row>
        <row r="113">
          <cell r="B113">
            <v>5224</v>
          </cell>
          <cell r="C113">
            <v>145</v>
          </cell>
          <cell r="F113" t="str">
            <v>ПРС</v>
          </cell>
          <cell r="H113" t="str">
            <v>Ф/Э</v>
          </cell>
          <cell r="I113" t="str">
            <v>конс.</v>
          </cell>
          <cell r="J113">
            <v>34883</v>
          </cell>
          <cell r="K113">
            <v>0</v>
          </cell>
          <cell r="L113">
            <v>0</v>
          </cell>
          <cell r="M113">
            <v>0</v>
          </cell>
          <cell r="N113">
            <v>50</v>
          </cell>
          <cell r="O113">
            <v>4.0999999999999996</v>
          </cell>
          <cell r="P113">
            <v>90</v>
          </cell>
          <cell r="Q113">
            <v>50</v>
          </cell>
          <cell r="R113">
            <v>4.0999999999999996</v>
          </cell>
          <cell r="S113">
            <v>89.9</v>
          </cell>
          <cell r="W113" t="str">
            <v>рев.Э-50</v>
          </cell>
        </row>
        <row r="114">
          <cell r="B114">
            <v>5583</v>
          </cell>
          <cell r="C114">
            <v>116</v>
          </cell>
          <cell r="F114" t="str">
            <v>ПРС</v>
          </cell>
          <cell r="H114" t="str">
            <v>Ф/Э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4.0999999999999996</v>
          </cell>
          <cell r="P114">
            <v>90</v>
          </cell>
          <cell r="Q114">
            <v>50</v>
          </cell>
          <cell r="R114">
            <v>4.0999999999999996</v>
          </cell>
          <cell r="S114">
            <v>89.9</v>
          </cell>
          <cell r="W114" t="str">
            <v>в.ц.,в.з.(г/ж),рев.ЭЦН-50</v>
          </cell>
        </row>
        <row r="115">
          <cell r="B115">
            <v>5461</v>
          </cell>
          <cell r="C115">
            <v>104</v>
          </cell>
          <cell r="F115" t="str">
            <v>ПРС</v>
          </cell>
          <cell r="H115" t="str">
            <v>ЭЦН</v>
          </cell>
          <cell r="I115" t="str">
            <v>конс.</v>
          </cell>
          <cell r="J115">
            <v>34851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4.0999999999999996</v>
          </cell>
          <cell r="P115">
            <v>90</v>
          </cell>
          <cell r="Q115">
            <v>50</v>
          </cell>
          <cell r="R115">
            <v>4.0999999999999996</v>
          </cell>
          <cell r="S115">
            <v>89.9</v>
          </cell>
          <cell r="W115" t="str">
            <v>в.ц.,в.з.(г/ж),ЭЦН-80/Э-50</v>
          </cell>
        </row>
        <row r="116">
          <cell r="B116">
            <v>5352</v>
          </cell>
          <cell r="C116">
            <v>104</v>
          </cell>
          <cell r="F116" t="str">
            <v>ПРС</v>
          </cell>
          <cell r="H116" t="str">
            <v>ЭЦН</v>
          </cell>
          <cell r="I116" t="str">
            <v>бд</v>
          </cell>
          <cell r="J116">
            <v>34001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4.0999999999999996</v>
          </cell>
          <cell r="P116">
            <v>90</v>
          </cell>
          <cell r="Q116">
            <v>50</v>
          </cell>
          <cell r="R116">
            <v>4.0999999999999996</v>
          </cell>
          <cell r="S116">
            <v>89.9</v>
          </cell>
          <cell r="W116" t="str">
            <v>в.ц.,в.з.(г/ж),ЭЦН-80/Э-50</v>
          </cell>
        </row>
        <row r="117">
          <cell r="B117">
            <v>5309</v>
          </cell>
          <cell r="C117">
            <v>140</v>
          </cell>
          <cell r="F117" t="str">
            <v>ПРС</v>
          </cell>
          <cell r="H117" t="str">
            <v>ШГН</v>
          </cell>
          <cell r="I117" t="str">
            <v>бд</v>
          </cell>
          <cell r="J117">
            <v>35443</v>
          </cell>
          <cell r="K117">
            <v>0</v>
          </cell>
          <cell r="L117">
            <v>0</v>
          </cell>
          <cell r="M117">
            <v>0</v>
          </cell>
          <cell r="N117">
            <v>5</v>
          </cell>
          <cell r="O117">
            <v>3.7</v>
          </cell>
          <cell r="P117">
            <v>10</v>
          </cell>
          <cell r="Q117">
            <v>5</v>
          </cell>
          <cell r="R117">
            <v>3.7</v>
          </cell>
          <cell r="S117">
            <v>8.6</v>
          </cell>
          <cell r="W117" t="str">
            <v>в.ц.,в.з.(г/ж),вор./НВ-32</v>
          </cell>
        </row>
        <row r="118">
          <cell r="B118">
            <v>5454</v>
          </cell>
          <cell r="C118">
            <v>102</v>
          </cell>
          <cell r="F118" t="str">
            <v>ПРС</v>
          </cell>
          <cell r="H118" t="str">
            <v>Ф/Э</v>
          </cell>
          <cell r="I118" t="str">
            <v>бд</v>
          </cell>
          <cell r="J118">
            <v>34771</v>
          </cell>
          <cell r="K118">
            <v>0</v>
          </cell>
          <cell r="L118">
            <v>0</v>
          </cell>
          <cell r="M118">
            <v>0</v>
          </cell>
          <cell r="N118">
            <v>80</v>
          </cell>
          <cell r="O118">
            <v>3.3</v>
          </cell>
          <cell r="P118">
            <v>95</v>
          </cell>
          <cell r="Q118">
            <v>80</v>
          </cell>
          <cell r="R118">
            <v>3.3</v>
          </cell>
          <cell r="S118">
            <v>94.9</v>
          </cell>
          <cell r="W118" t="str">
            <v>отб.заб.,при (-)в.з.(г/ж), Э-80/Э-80</v>
          </cell>
        </row>
        <row r="119">
          <cell r="B119">
            <v>2758</v>
          </cell>
          <cell r="C119">
            <v>144</v>
          </cell>
          <cell r="F119" t="str">
            <v>ПРС</v>
          </cell>
          <cell r="H119" t="str">
            <v>ШГН</v>
          </cell>
          <cell r="I119" t="str">
            <v>конс.</v>
          </cell>
          <cell r="J119">
            <v>34425</v>
          </cell>
          <cell r="K119">
            <v>0</v>
          </cell>
          <cell r="L119">
            <v>0</v>
          </cell>
          <cell r="M119">
            <v>0</v>
          </cell>
          <cell r="N119">
            <v>12</v>
          </cell>
          <cell r="O119">
            <v>2.9</v>
          </cell>
          <cell r="P119">
            <v>70</v>
          </cell>
          <cell r="Q119">
            <v>12</v>
          </cell>
          <cell r="R119">
            <v>2.9</v>
          </cell>
          <cell r="S119">
            <v>70.2</v>
          </cell>
          <cell r="W119" t="str">
            <v>в.з.(г/ж), вор/НВ-44</v>
          </cell>
        </row>
        <row r="120">
          <cell r="B120">
            <v>5397</v>
          </cell>
          <cell r="C120">
            <v>102</v>
          </cell>
          <cell r="F120" t="str">
            <v>ПРС</v>
          </cell>
          <cell r="H120" t="str">
            <v>Ф/Э</v>
          </cell>
          <cell r="I120" t="str">
            <v>бд</v>
          </cell>
          <cell r="J120">
            <v>33967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2.9</v>
          </cell>
          <cell r="P120">
            <v>93</v>
          </cell>
          <cell r="Q120">
            <v>50</v>
          </cell>
          <cell r="R120">
            <v>2.9</v>
          </cell>
          <cell r="S120">
            <v>92.8</v>
          </cell>
          <cell r="W120" t="str">
            <v>в.з.(г/ж), Э-80/Э-50</v>
          </cell>
        </row>
        <row r="121">
          <cell r="B121">
            <v>3567</v>
          </cell>
          <cell r="C121">
            <v>93</v>
          </cell>
          <cell r="F121" t="str">
            <v>ПРС</v>
          </cell>
          <cell r="H121" t="str">
            <v>ЭЦН</v>
          </cell>
          <cell r="I121" t="str">
            <v>действ.</v>
          </cell>
          <cell r="K121">
            <v>112</v>
          </cell>
          <cell r="L121">
            <v>5.5</v>
          </cell>
          <cell r="M121">
            <v>94</v>
          </cell>
          <cell r="N121">
            <v>233</v>
          </cell>
          <cell r="O121">
            <v>11.4</v>
          </cell>
          <cell r="P121">
            <v>94</v>
          </cell>
          <cell r="Q121">
            <v>121</v>
          </cell>
          <cell r="R121">
            <v>5.9</v>
          </cell>
          <cell r="S121">
            <v>94</v>
          </cell>
          <cell r="U121" t="str">
            <v>опт</v>
          </cell>
          <cell r="W121" t="str">
            <v>Оптимизация Э-125/Э-250</v>
          </cell>
        </row>
        <row r="122">
          <cell r="B122">
            <v>2681</v>
          </cell>
          <cell r="C122" t="str">
            <v>145б</v>
          </cell>
          <cell r="F122" t="str">
            <v>ПРС</v>
          </cell>
          <cell r="H122" t="str">
            <v>ШГН</v>
          </cell>
          <cell r="I122" t="str">
            <v>простой</v>
          </cell>
          <cell r="N122">
            <v>7</v>
          </cell>
          <cell r="O122">
            <v>5.5</v>
          </cell>
          <cell r="P122">
            <v>3</v>
          </cell>
          <cell r="Q122">
            <v>7</v>
          </cell>
          <cell r="R122">
            <v>5.5</v>
          </cell>
          <cell r="S122">
            <v>3</v>
          </cell>
          <cell r="U122" t="str">
            <v>ВЦД</v>
          </cell>
          <cell r="W122" t="str">
            <v>Электропрогрев</v>
          </cell>
        </row>
        <row r="123">
          <cell r="B123" t="str">
            <v>2821б</v>
          </cell>
          <cell r="C123">
            <v>144</v>
          </cell>
          <cell r="F123" t="str">
            <v>ПРС</v>
          </cell>
          <cell r="H123" t="str">
            <v>ШГН</v>
          </cell>
          <cell r="I123" t="str">
            <v>действ.</v>
          </cell>
          <cell r="K123">
            <v>20</v>
          </cell>
          <cell r="L123">
            <v>13.5</v>
          </cell>
          <cell r="M123">
            <v>17</v>
          </cell>
          <cell r="N123">
            <v>27.8</v>
          </cell>
          <cell r="O123">
            <v>18.8</v>
          </cell>
          <cell r="P123">
            <v>17</v>
          </cell>
          <cell r="Q123">
            <v>7.8000000000000007</v>
          </cell>
          <cell r="R123">
            <v>5.3000000000000007</v>
          </cell>
          <cell r="S123">
            <v>16.100000000000001</v>
          </cell>
          <cell r="T123">
            <v>37525</v>
          </cell>
          <cell r="U123" t="str">
            <v>опт</v>
          </cell>
          <cell r="W123" t="str">
            <v>Оптимизация Н-57/Э-30</v>
          </cell>
        </row>
        <row r="124">
          <cell r="B124" t="str">
            <v>136р</v>
          </cell>
          <cell r="F124" t="str">
            <v>ДНГ</v>
          </cell>
          <cell r="H124" t="str">
            <v>ФОН</v>
          </cell>
          <cell r="I124" t="str">
            <v>бд</v>
          </cell>
          <cell r="K124">
            <v>0</v>
          </cell>
          <cell r="L124">
            <v>0</v>
          </cell>
          <cell r="M124">
            <v>0</v>
          </cell>
          <cell r="N124">
            <v>27</v>
          </cell>
          <cell r="O124">
            <v>20.5</v>
          </cell>
          <cell r="P124">
            <v>7</v>
          </cell>
          <cell r="Q124">
            <v>27</v>
          </cell>
          <cell r="R124">
            <v>20.5</v>
          </cell>
          <cell r="S124">
            <v>6.3</v>
          </cell>
          <cell r="T124">
            <v>37518</v>
          </cell>
          <cell r="U124" t="str">
            <v>БДД</v>
          </cell>
          <cell r="W124" t="str">
            <v>На ёмкость</v>
          </cell>
        </row>
        <row r="125">
          <cell r="B125" t="str">
            <v>104р</v>
          </cell>
          <cell r="F125" t="str">
            <v>ДНГ</v>
          </cell>
          <cell r="H125" t="str">
            <v>ФОН</v>
          </cell>
          <cell r="I125" t="str">
            <v>бд</v>
          </cell>
          <cell r="K125">
            <v>0</v>
          </cell>
          <cell r="L125">
            <v>0</v>
          </cell>
          <cell r="M125">
            <v>0</v>
          </cell>
          <cell r="N125">
            <v>3</v>
          </cell>
          <cell r="O125">
            <v>2.4</v>
          </cell>
          <cell r="P125">
            <v>2</v>
          </cell>
          <cell r="Q125">
            <v>3</v>
          </cell>
          <cell r="R125">
            <v>2.4</v>
          </cell>
          <cell r="S125">
            <v>1.2</v>
          </cell>
          <cell r="T125">
            <v>37522</v>
          </cell>
          <cell r="U125" t="str">
            <v>БДД</v>
          </cell>
          <cell r="W125" t="str">
            <v>На ёмкость</v>
          </cell>
        </row>
        <row r="126">
          <cell r="B126">
            <v>5644</v>
          </cell>
          <cell r="C126">
            <v>126</v>
          </cell>
          <cell r="F126" t="str">
            <v>КРС</v>
          </cell>
          <cell r="H126" t="str">
            <v>ЭЦН</v>
          </cell>
          <cell r="I126" t="str">
            <v>бд</v>
          </cell>
          <cell r="K126">
            <v>0</v>
          </cell>
          <cell r="L126">
            <v>0</v>
          </cell>
          <cell r="M126">
            <v>0</v>
          </cell>
          <cell r="N126">
            <v>27</v>
          </cell>
          <cell r="O126">
            <v>19.8</v>
          </cell>
          <cell r="P126">
            <v>10</v>
          </cell>
          <cell r="Q126">
            <v>27</v>
          </cell>
          <cell r="R126">
            <v>19.8</v>
          </cell>
          <cell r="S126">
            <v>9.5</v>
          </cell>
          <cell r="T126">
            <v>37529</v>
          </cell>
          <cell r="U126" t="str">
            <v>ЗБС</v>
          </cell>
          <cell r="W126" t="str">
            <v>ЗБГС</v>
          </cell>
        </row>
        <row r="127">
          <cell r="B127">
            <v>5659</v>
          </cell>
          <cell r="C127" t="str">
            <v>122б</v>
          </cell>
          <cell r="F127" t="str">
            <v>ПРС</v>
          </cell>
          <cell r="H127" t="str">
            <v>ЭЦН</v>
          </cell>
          <cell r="I127" t="str">
            <v>бд</v>
          </cell>
          <cell r="J127">
            <v>37465</v>
          </cell>
          <cell r="K127">
            <v>0</v>
          </cell>
          <cell r="L127">
            <v>0</v>
          </cell>
          <cell r="M127">
            <v>0</v>
          </cell>
          <cell r="N127">
            <v>30</v>
          </cell>
          <cell r="O127">
            <v>22</v>
          </cell>
          <cell r="P127">
            <v>10</v>
          </cell>
          <cell r="Q127">
            <v>30</v>
          </cell>
          <cell r="R127">
            <v>22</v>
          </cell>
          <cell r="S127">
            <v>9.5</v>
          </cell>
          <cell r="T127">
            <v>37559</v>
          </cell>
          <cell r="U127" t="str">
            <v>БДт</v>
          </cell>
          <cell r="W127" t="str">
            <v>Подъем вор.,ОПЗ СКО (V-30м3), сп.Э-30</v>
          </cell>
        </row>
        <row r="128">
          <cell r="B128">
            <v>5451</v>
          </cell>
          <cell r="C128">
            <v>101</v>
          </cell>
          <cell r="F128" t="str">
            <v>ПРС</v>
          </cell>
          <cell r="H128" t="str">
            <v>ШГН</v>
          </cell>
          <cell r="I128" t="str">
            <v>бд</v>
          </cell>
          <cell r="J128">
            <v>35708</v>
          </cell>
          <cell r="K128">
            <v>0</v>
          </cell>
          <cell r="L128">
            <v>0</v>
          </cell>
          <cell r="M128">
            <v>0</v>
          </cell>
          <cell r="N128">
            <v>10</v>
          </cell>
          <cell r="O128">
            <v>7.6</v>
          </cell>
          <cell r="P128">
            <v>7.1</v>
          </cell>
          <cell r="Q128">
            <v>10</v>
          </cell>
          <cell r="R128">
            <v>7.6</v>
          </cell>
          <cell r="S128">
            <v>6.2</v>
          </cell>
          <cell r="T128">
            <v>37559</v>
          </cell>
          <cell r="U128" t="str">
            <v>БДП</v>
          </cell>
          <cell r="W128" t="str">
            <v>Смена Н-44</v>
          </cell>
        </row>
        <row r="129">
          <cell r="B129">
            <v>2923</v>
          </cell>
          <cell r="C129">
            <v>132</v>
          </cell>
          <cell r="F129" t="str">
            <v>ПРС</v>
          </cell>
          <cell r="H129" t="str">
            <v>ШГН</v>
          </cell>
          <cell r="I129" t="str">
            <v>действ.</v>
          </cell>
          <cell r="K129">
            <v>20</v>
          </cell>
          <cell r="L129">
            <v>7.2</v>
          </cell>
          <cell r="M129">
            <v>56</v>
          </cell>
          <cell r="N129">
            <v>33</v>
          </cell>
          <cell r="O129">
            <v>11.8</v>
          </cell>
          <cell r="P129">
            <v>56</v>
          </cell>
          <cell r="Q129">
            <v>13</v>
          </cell>
          <cell r="R129">
            <v>4.6000000000000005</v>
          </cell>
          <cell r="S129">
            <v>56.3</v>
          </cell>
          <cell r="T129">
            <v>37590</v>
          </cell>
          <cell r="U129" t="str">
            <v>опт</v>
          </cell>
          <cell r="W129" t="str">
            <v>Смена Н-44/Э-30</v>
          </cell>
        </row>
        <row r="130">
          <cell r="B130">
            <v>3099</v>
          </cell>
          <cell r="C130">
            <v>52</v>
          </cell>
          <cell r="F130" t="str">
            <v>ПРС</v>
          </cell>
          <cell r="H130" t="str">
            <v>ШГН</v>
          </cell>
          <cell r="I130" t="str">
            <v>бдт</v>
          </cell>
          <cell r="J130">
            <v>37352</v>
          </cell>
          <cell r="K130">
            <v>0</v>
          </cell>
          <cell r="L130">
            <v>0</v>
          </cell>
          <cell r="M130">
            <v>0</v>
          </cell>
          <cell r="N130">
            <v>50</v>
          </cell>
          <cell r="O130">
            <v>4.0999999999999996</v>
          </cell>
          <cell r="P130">
            <v>90</v>
          </cell>
          <cell r="Q130">
            <v>50</v>
          </cell>
          <cell r="R130">
            <v>4.0999999999999996</v>
          </cell>
          <cell r="S130">
            <v>89.9</v>
          </cell>
          <cell r="T130">
            <v>37593</v>
          </cell>
          <cell r="U130" t="str">
            <v>бдп</v>
          </cell>
          <cell r="W130" t="str">
            <v>См.Н-57/Э-50</v>
          </cell>
        </row>
        <row r="131">
          <cell r="B131">
            <v>5399</v>
          </cell>
          <cell r="C131">
            <v>102</v>
          </cell>
          <cell r="F131" t="str">
            <v>ПРС</v>
          </cell>
          <cell r="H131" t="str">
            <v>ЭЦН</v>
          </cell>
          <cell r="I131" t="str">
            <v>бд</v>
          </cell>
          <cell r="J131">
            <v>34243</v>
          </cell>
          <cell r="K131">
            <v>0</v>
          </cell>
          <cell r="L131">
            <v>0</v>
          </cell>
          <cell r="M131">
            <v>0</v>
          </cell>
          <cell r="N131">
            <v>50</v>
          </cell>
          <cell r="O131">
            <v>4.0999999999999996</v>
          </cell>
          <cell r="P131">
            <v>90</v>
          </cell>
          <cell r="Q131">
            <v>50</v>
          </cell>
          <cell r="R131">
            <v>4.0999999999999996</v>
          </cell>
          <cell r="S131">
            <v>89.9</v>
          </cell>
          <cell r="T131">
            <v>37601</v>
          </cell>
          <cell r="U131" t="str">
            <v>бдп</v>
          </cell>
          <cell r="W131" t="str">
            <v>Подъем вор.,сп.Э-30</v>
          </cell>
        </row>
        <row r="132">
          <cell r="B132">
            <v>3859</v>
          </cell>
          <cell r="C132" t="str">
            <v>306б</v>
          </cell>
          <cell r="F132" t="str">
            <v>ПРС</v>
          </cell>
          <cell r="H132" t="str">
            <v>ЭЦН</v>
          </cell>
          <cell r="I132" t="str">
            <v>бдт</v>
          </cell>
          <cell r="J132">
            <v>37501</v>
          </cell>
          <cell r="K132">
            <v>0</v>
          </cell>
          <cell r="L132">
            <v>0</v>
          </cell>
          <cell r="M132">
            <v>0</v>
          </cell>
          <cell r="N132">
            <v>31</v>
          </cell>
          <cell r="O132">
            <v>3</v>
          </cell>
          <cell r="P132">
            <v>88</v>
          </cell>
          <cell r="Q132">
            <v>31</v>
          </cell>
          <cell r="R132">
            <v>3</v>
          </cell>
          <cell r="S132">
            <v>88.1</v>
          </cell>
          <cell r="T132">
            <v>37583</v>
          </cell>
          <cell r="U132" t="str">
            <v>бдп</v>
          </cell>
          <cell r="W132" t="str">
            <v>Ревизия Э-50</v>
          </cell>
        </row>
        <row r="133">
          <cell r="B133">
            <v>5463</v>
          </cell>
          <cell r="C133">
            <v>106</v>
          </cell>
          <cell r="F133" t="str">
            <v>ПРС</v>
          </cell>
          <cell r="G133">
            <v>270</v>
          </cell>
          <cell r="H133" t="str">
            <v>ЭЦН</v>
          </cell>
          <cell r="I133" t="str">
            <v>конс.</v>
          </cell>
          <cell r="J133">
            <v>33878</v>
          </cell>
          <cell r="K133">
            <v>0</v>
          </cell>
          <cell r="L133">
            <v>0</v>
          </cell>
          <cell r="M133">
            <v>0</v>
          </cell>
          <cell r="N133">
            <v>35</v>
          </cell>
          <cell r="O133">
            <v>10</v>
          </cell>
          <cell r="P133">
            <v>65</v>
          </cell>
          <cell r="Q133">
            <v>35</v>
          </cell>
          <cell r="R133">
            <v>10</v>
          </cell>
          <cell r="S133">
            <v>64.7</v>
          </cell>
          <cell r="T133">
            <v>37593</v>
          </cell>
          <cell r="U133" t="str">
            <v>вцд</v>
          </cell>
          <cell r="W133" t="str">
            <v>ВЦ,смена Э-50/30</v>
          </cell>
        </row>
        <row r="134">
          <cell r="B134">
            <v>5481</v>
          </cell>
          <cell r="C134">
            <v>114</v>
          </cell>
          <cell r="F134" t="str">
            <v>ПРС</v>
          </cell>
          <cell r="H134" t="str">
            <v>ШГН</v>
          </cell>
          <cell r="I134" t="str">
            <v>действ.</v>
          </cell>
          <cell r="K134">
            <v>25</v>
          </cell>
          <cell r="L134">
            <v>6.1</v>
          </cell>
          <cell r="M134">
            <v>70</v>
          </cell>
          <cell r="N134">
            <v>44</v>
          </cell>
          <cell r="O134">
            <v>10.8</v>
          </cell>
          <cell r="P134">
            <v>70</v>
          </cell>
          <cell r="Q134">
            <v>19</v>
          </cell>
          <cell r="R134">
            <v>4.5</v>
          </cell>
          <cell r="S134">
            <v>70.8</v>
          </cell>
          <cell r="T134">
            <v>37610</v>
          </cell>
          <cell r="U134" t="str">
            <v>опт</v>
          </cell>
          <cell r="W134" t="str">
            <v>Смена Н-57/Э-50</v>
          </cell>
        </row>
        <row r="135">
          <cell r="W135" t="str">
            <v>Выполненые ГТМ</v>
          </cell>
        </row>
        <row r="136">
          <cell r="W136" t="str">
            <v>ПРС</v>
          </cell>
        </row>
        <row r="137">
          <cell r="B137">
            <v>3632</v>
          </cell>
          <cell r="C137">
            <v>93</v>
          </cell>
          <cell r="F137" t="str">
            <v>ПРС</v>
          </cell>
          <cell r="H137" t="str">
            <v>ЭЦН</v>
          </cell>
          <cell r="I137" t="str">
            <v>действ.</v>
          </cell>
          <cell r="K137">
            <v>227</v>
          </cell>
          <cell r="L137">
            <v>14.8</v>
          </cell>
          <cell r="M137">
            <v>92</v>
          </cell>
          <cell r="N137">
            <v>385</v>
          </cell>
          <cell r="O137">
            <v>25.1</v>
          </cell>
          <cell r="P137">
            <v>92</v>
          </cell>
          <cell r="Q137">
            <v>158</v>
          </cell>
          <cell r="R137">
            <v>10.3</v>
          </cell>
          <cell r="S137">
            <v>92</v>
          </cell>
          <cell r="T137">
            <v>37499</v>
          </cell>
          <cell r="U137" t="str">
            <v>опт</v>
          </cell>
          <cell r="W137" t="str">
            <v>Оптимизация Э-250/Э-400</v>
          </cell>
        </row>
        <row r="138">
          <cell r="B138">
            <v>2682</v>
          </cell>
          <cell r="C138" t="str">
            <v>145б</v>
          </cell>
          <cell r="F138" t="str">
            <v>ПРС</v>
          </cell>
          <cell r="H138" t="str">
            <v>ЭЦН</v>
          </cell>
          <cell r="I138" t="str">
            <v>бд</v>
          </cell>
          <cell r="J138">
            <v>37424</v>
          </cell>
          <cell r="K138">
            <v>0</v>
          </cell>
          <cell r="L138">
            <v>0</v>
          </cell>
          <cell r="M138">
            <v>0</v>
          </cell>
          <cell r="N138">
            <v>10</v>
          </cell>
          <cell r="O138">
            <v>6.9</v>
          </cell>
          <cell r="P138">
            <v>15</v>
          </cell>
          <cell r="Q138">
            <v>10</v>
          </cell>
          <cell r="R138">
            <v>6.9</v>
          </cell>
          <cell r="S138">
            <v>14.8</v>
          </cell>
          <cell r="T138">
            <v>37559</v>
          </cell>
          <cell r="U138" t="str">
            <v>БДт</v>
          </cell>
          <cell r="W138" t="str">
            <v>Смена вор./Н-44</v>
          </cell>
        </row>
        <row r="139">
          <cell r="B139">
            <v>2932</v>
          </cell>
          <cell r="C139">
            <v>44</v>
          </cell>
          <cell r="F139" t="str">
            <v>ПРС</v>
          </cell>
          <cell r="H139" t="str">
            <v>ШГН</v>
          </cell>
          <cell r="I139" t="str">
            <v>действ.</v>
          </cell>
          <cell r="K139">
            <v>17</v>
          </cell>
          <cell r="L139">
            <v>6.2</v>
          </cell>
          <cell r="M139">
            <v>55</v>
          </cell>
          <cell r="N139">
            <v>36.460183709538867</v>
          </cell>
          <cell r="O139">
            <v>13.4</v>
          </cell>
          <cell r="P139">
            <v>55</v>
          </cell>
          <cell r="Q139">
            <v>19.460183709538867</v>
          </cell>
          <cell r="R139">
            <v>7.2</v>
          </cell>
          <cell r="S139">
            <v>54.3</v>
          </cell>
          <cell r="T139">
            <v>37496</v>
          </cell>
          <cell r="U139" t="str">
            <v>опт</v>
          </cell>
          <cell r="W139" t="str">
            <v>Оптимизация Н-57/Э-30</v>
          </cell>
        </row>
        <row r="140">
          <cell r="B140">
            <v>3011</v>
          </cell>
          <cell r="C140">
            <v>51</v>
          </cell>
          <cell r="F140" t="str">
            <v>ПРС</v>
          </cell>
          <cell r="H140" t="str">
            <v>ЭЦН</v>
          </cell>
          <cell r="I140" t="str">
            <v>конс.</v>
          </cell>
          <cell r="N140">
            <v>50</v>
          </cell>
          <cell r="O140">
            <v>5.0999999999999996</v>
          </cell>
          <cell r="P140">
            <v>87.6</v>
          </cell>
          <cell r="Q140">
            <v>50</v>
          </cell>
          <cell r="R140">
            <v>5.0999999999999996</v>
          </cell>
          <cell r="S140">
            <v>87.4</v>
          </cell>
          <cell r="T140">
            <v>37493</v>
          </cell>
          <cell r="U140" t="str">
            <v>ВЦД</v>
          </cell>
          <cell r="W140" t="str">
            <v>ВЦ ревизия</v>
          </cell>
        </row>
        <row r="141">
          <cell r="B141">
            <v>11003</v>
          </cell>
          <cell r="C141" t="str">
            <v>123б</v>
          </cell>
          <cell r="F141" t="str">
            <v>ПРС</v>
          </cell>
          <cell r="H141" t="str">
            <v>ЭЦН</v>
          </cell>
          <cell r="I141" t="str">
            <v>действ.</v>
          </cell>
          <cell r="K141">
            <v>130</v>
          </cell>
          <cell r="L141">
            <v>7.4</v>
          </cell>
          <cell r="M141">
            <v>93</v>
          </cell>
          <cell r="N141">
            <v>230</v>
          </cell>
          <cell r="O141">
            <v>11.2</v>
          </cell>
          <cell r="P141">
            <v>94</v>
          </cell>
          <cell r="Q141">
            <v>100</v>
          </cell>
          <cell r="R141">
            <v>3.8</v>
          </cell>
          <cell r="S141">
            <v>95.3</v>
          </cell>
          <cell r="T141">
            <v>37485</v>
          </cell>
          <cell r="U141" t="str">
            <v>опт</v>
          </cell>
          <cell r="W141" t="str">
            <v>Оптимизация Э-125/Э-250</v>
          </cell>
        </row>
        <row r="142">
          <cell r="B142">
            <v>5702</v>
          </cell>
          <cell r="C142">
            <v>126</v>
          </cell>
          <cell r="F142" t="str">
            <v>ПРС</v>
          </cell>
          <cell r="H142" t="str">
            <v>ШГН</v>
          </cell>
          <cell r="I142" t="str">
            <v>действ.</v>
          </cell>
          <cell r="K142">
            <v>17</v>
          </cell>
          <cell r="L142">
            <v>10.1</v>
          </cell>
          <cell r="M142">
            <v>27</v>
          </cell>
          <cell r="N142">
            <v>50</v>
          </cell>
          <cell r="O142">
            <v>28.5</v>
          </cell>
          <cell r="P142">
            <v>30</v>
          </cell>
          <cell r="Q142">
            <v>33</v>
          </cell>
          <cell r="R142">
            <v>18.399999999999999</v>
          </cell>
          <cell r="S142">
            <v>31.2</v>
          </cell>
          <cell r="T142">
            <v>37482</v>
          </cell>
          <cell r="U142" t="str">
            <v>опт</v>
          </cell>
          <cell r="W142" t="str">
            <v>Оптимизация Н-44/Э-30</v>
          </cell>
        </row>
        <row r="143">
          <cell r="B143">
            <v>5221</v>
          </cell>
          <cell r="C143">
            <v>126</v>
          </cell>
          <cell r="F143" t="str">
            <v>ПРС</v>
          </cell>
          <cell r="H143" t="str">
            <v>ШГН</v>
          </cell>
          <cell r="I143" t="str">
            <v>бд</v>
          </cell>
          <cell r="N143">
            <v>4</v>
          </cell>
          <cell r="O143">
            <v>2.8</v>
          </cell>
          <cell r="P143">
            <v>13</v>
          </cell>
          <cell r="Q143">
            <v>4</v>
          </cell>
          <cell r="R143">
            <v>2.8</v>
          </cell>
          <cell r="S143">
            <v>13.6</v>
          </cell>
          <cell r="T143">
            <v>37482</v>
          </cell>
          <cell r="U143" t="str">
            <v>БДП</v>
          </cell>
          <cell r="W143" t="str">
            <v>ГО</v>
          </cell>
        </row>
        <row r="144">
          <cell r="B144">
            <v>5592</v>
          </cell>
          <cell r="C144" t="str">
            <v>119б</v>
          </cell>
          <cell r="F144" t="str">
            <v>ПРС</v>
          </cell>
          <cell r="H144" t="str">
            <v>ЭЦН</v>
          </cell>
          <cell r="I144" t="str">
            <v>действ.</v>
          </cell>
          <cell r="K144">
            <v>30</v>
          </cell>
          <cell r="L144">
            <v>16.100000000000001</v>
          </cell>
          <cell r="M144">
            <v>34</v>
          </cell>
          <cell r="N144">
            <v>43</v>
          </cell>
          <cell r="O144">
            <v>22.8</v>
          </cell>
          <cell r="P144">
            <v>35</v>
          </cell>
          <cell r="Q144">
            <v>13</v>
          </cell>
          <cell r="R144">
            <v>6.6999999999999993</v>
          </cell>
          <cell r="S144">
            <v>36.4</v>
          </cell>
          <cell r="T144">
            <v>37481</v>
          </cell>
          <cell r="U144" t="str">
            <v>опт</v>
          </cell>
          <cell r="W144" t="str">
            <v>Оптимизация Э-30/Э-50</v>
          </cell>
        </row>
        <row r="145">
          <cell r="B145">
            <v>5592</v>
          </cell>
          <cell r="C145" t="str">
            <v>119б</v>
          </cell>
          <cell r="F145" t="str">
            <v>ПРС</v>
          </cell>
          <cell r="H145" t="str">
            <v>ЭЦН</v>
          </cell>
          <cell r="I145" t="str">
            <v>действ.</v>
          </cell>
          <cell r="K145">
            <v>30</v>
          </cell>
          <cell r="L145">
            <v>16.100000000000001</v>
          </cell>
          <cell r="M145">
            <v>34</v>
          </cell>
          <cell r="N145">
            <v>40</v>
          </cell>
          <cell r="O145">
            <v>26.1</v>
          </cell>
          <cell r="P145">
            <v>20</v>
          </cell>
          <cell r="Q145">
            <v>10</v>
          </cell>
          <cell r="R145">
            <v>10</v>
          </cell>
          <cell r="S145">
            <v>-23.5</v>
          </cell>
          <cell r="T145">
            <v>37481</v>
          </cell>
          <cell r="U145" t="str">
            <v>опт</v>
          </cell>
          <cell r="W145" t="str">
            <v>Оптимизация Э-30/Э-50</v>
          </cell>
        </row>
        <row r="146">
          <cell r="B146">
            <v>4272</v>
          </cell>
          <cell r="C146">
            <v>218</v>
          </cell>
          <cell r="F146" t="str">
            <v>ПРС</v>
          </cell>
          <cell r="H146" t="str">
            <v>ЭЦН</v>
          </cell>
          <cell r="I146" t="str">
            <v>бд</v>
          </cell>
          <cell r="N146">
            <v>50</v>
          </cell>
          <cell r="O146">
            <v>2</v>
          </cell>
          <cell r="P146">
            <v>95</v>
          </cell>
          <cell r="Q146">
            <v>50</v>
          </cell>
          <cell r="R146">
            <v>2</v>
          </cell>
          <cell r="S146">
            <v>95.1</v>
          </cell>
          <cell r="T146">
            <v>37463</v>
          </cell>
          <cell r="U146" t="str">
            <v>БДП</v>
          </cell>
          <cell r="W146" t="str">
            <v>См.вор./э-50</v>
          </cell>
        </row>
        <row r="147">
          <cell r="B147">
            <v>4123</v>
          </cell>
          <cell r="C147">
            <v>314</v>
          </cell>
          <cell r="F147" t="str">
            <v>ПРС</v>
          </cell>
          <cell r="H147" t="str">
            <v>ШГН</v>
          </cell>
          <cell r="I147" t="str">
            <v>бд</v>
          </cell>
          <cell r="N147">
            <v>4</v>
          </cell>
          <cell r="O147">
            <v>3</v>
          </cell>
          <cell r="P147">
            <v>7.9754601226993849</v>
          </cell>
          <cell r="Q147">
            <v>4</v>
          </cell>
          <cell r="R147">
            <v>3</v>
          </cell>
          <cell r="S147">
            <v>7.4</v>
          </cell>
          <cell r="T147">
            <v>37458</v>
          </cell>
          <cell r="U147" t="str">
            <v>БДП</v>
          </cell>
          <cell r="W147" t="str">
            <v>Ревизия</v>
          </cell>
        </row>
        <row r="148">
          <cell r="B148" t="str">
            <v>5484б</v>
          </cell>
          <cell r="C148">
            <v>115</v>
          </cell>
          <cell r="F148" t="str">
            <v>КРС</v>
          </cell>
          <cell r="H148" t="str">
            <v>ШГН</v>
          </cell>
          <cell r="I148" t="str">
            <v>бд</v>
          </cell>
          <cell r="N148">
            <v>4</v>
          </cell>
          <cell r="O148">
            <v>3</v>
          </cell>
          <cell r="P148">
            <v>9</v>
          </cell>
          <cell r="Q148">
            <v>4</v>
          </cell>
          <cell r="R148">
            <v>3</v>
          </cell>
          <cell r="S148">
            <v>7.4</v>
          </cell>
          <cell r="T148">
            <v>37456</v>
          </cell>
          <cell r="U148" t="str">
            <v>БДП</v>
          </cell>
        </row>
        <row r="149">
          <cell r="B149">
            <v>3530</v>
          </cell>
          <cell r="C149" t="str">
            <v>98б</v>
          </cell>
          <cell r="F149" t="str">
            <v>ПРС</v>
          </cell>
          <cell r="H149" t="str">
            <v>ЭЦН</v>
          </cell>
          <cell r="I149" t="str">
            <v>действ.</v>
          </cell>
          <cell r="K149">
            <v>27</v>
          </cell>
          <cell r="L149">
            <v>11.4</v>
          </cell>
          <cell r="M149">
            <v>48</v>
          </cell>
          <cell r="N149">
            <v>42</v>
          </cell>
          <cell r="O149">
            <v>16.100000000000001</v>
          </cell>
          <cell r="P149">
            <v>53</v>
          </cell>
          <cell r="Q149">
            <v>15</v>
          </cell>
          <cell r="R149">
            <v>4.7000000000000011</v>
          </cell>
          <cell r="S149">
            <v>61.3</v>
          </cell>
          <cell r="T149">
            <v>37453</v>
          </cell>
          <cell r="U149" t="str">
            <v>опт</v>
          </cell>
          <cell r="W149" t="str">
            <v>Оптимизация Э-30/Э-50</v>
          </cell>
        </row>
        <row r="150">
          <cell r="B150">
            <v>3982</v>
          </cell>
          <cell r="C150" t="str">
            <v>196б</v>
          </cell>
          <cell r="F150" t="str">
            <v>ПРС</v>
          </cell>
          <cell r="H150" t="str">
            <v>ЭЦН</v>
          </cell>
          <cell r="I150" t="str">
            <v>действ.</v>
          </cell>
          <cell r="K150">
            <v>91</v>
          </cell>
          <cell r="L150">
            <v>17.8</v>
          </cell>
          <cell r="M150">
            <v>76</v>
          </cell>
          <cell r="N150">
            <v>117</v>
          </cell>
          <cell r="O150">
            <v>21</v>
          </cell>
          <cell r="P150">
            <v>78</v>
          </cell>
          <cell r="Q150">
            <v>26</v>
          </cell>
          <cell r="R150">
            <v>3.1999999999999993</v>
          </cell>
          <cell r="S150">
            <v>84.8</v>
          </cell>
          <cell r="T150">
            <v>37443</v>
          </cell>
          <cell r="U150" t="str">
            <v>опт</v>
          </cell>
          <cell r="W150" t="str">
            <v>Оптимизация Э-80/125</v>
          </cell>
        </row>
        <row r="151">
          <cell r="B151">
            <v>5491</v>
          </cell>
          <cell r="C151">
            <v>117</v>
          </cell>
          <cell r="F151" t="str">
            <v>ПРС</v>
          </cell>
          <cell r="H151" t="str">
            <v>ЭЦН</v>
          </cell>
          <cell r="I151" t="str">
            <v>конс.</v>
          </cell>
          <cell r="N151">
            <v>16</v>
          </cell>
          <cell r="O151">
            <v>7.4</v>
          </cell>
          <cell r="P151">
            <v>43</v>
          </cell>
          <cell r="Q151">
            <v>16</v>
          </cell>
          <cell r="R151">
            <v>7.4</v>
          </cell>
          <cell r="S151">
            <v>42.9</v>
          </cell>
          <cell r="T151">
            <v>37441</v>
          </cell>
          <cell r="U151" t="str">
            <v>ВЦД</v>
          </cell>
          <cell r="W151" t="str">
            <v>ВЦ, См.вор./э-50</v>
          </cell>
        </row>
        <row r="152">
          <cell r="B152">
            <v>2629</v>
          </cell>
          <cell r="C152" t="str">
            <v>157б</v>
          </cell>
          <cell r="F152" t="str">
            <v>ПРС</v>
          </cell>
          <cell r="H152" t="str">
            <v>ШГН</v>
          </cell>
          <cell r="I152" t="str">
            <v>бд</v>
          </cell>
          <cell r="N152">
            <v>5</v>
          </cell>
          <cell r="O152">
            <v>3.6</v>
          </cell>
          <cell r="P152">
            <v>12</v>
          </cell>
          <cell r="Q152">
            <v>5</v>
          </cell>
          <cell r="R152">
            <v>3.6</v>
          </cell>
          <cell r="S152">
            <v>11.1</v>
          </cell>
          <cell r="T152">
            <v>37440</v>
          </cell>
          <cell r="U152" t="str">
            <v>БДП</v>
          </cell>
          <cell r="W152" t="str">
            <v>Ревизия</v>
          </cell>
        </row>
        <row r="153">
          <cell r="B153">
            <v>5464</v>
          </cell>
          <cell r="C153">
            <v>106</v>
          </cell>
          <cell r="F153" t="str">
            <v>ПРС</v>
          </cell>
          <cell r="G153">
            <v>265</v>
          </cell>
          <cell r="H153" t="str">
            <v>ЭЦН</v>
          </cell>
          <cell r="I153" t="str">
            <v>действ.</v>
          </cell>
          <cell r="K153">
            <v>55</v>
          </cell>
          <cell r="L153">
            <v>25.1</v>
          </cell>
          <cell r="M153">
            <v>44</v>
          </cell>
          <cell r="N153">
            <v>80</v>
          </cell>
          <cell r="O153">
            <v>32.6</v>
          </cell>
          <cell r="P153">
            <v>50</v>
          </cell>
          <cell r="Q153">
            <v>25</v>
          </cell>
          <cell r="R153">
            <v>7.5</v>
          </cell>
          <cell r="S153">
            <v>63</v>
          </cell>
          <cell r="T153">
            <v>37434</v>
          </cell>
          <cell r="U153" t="str">
            <v>опт</v>
          </cell>
          <cell r="W153" t="str">
            <v>Оптимизация Э-50/Э-80</v>
          </cell>
        </row>
        <row r="154">
          <cell r="B154">
            <v>4022</v>
          </cell>
          <cell r="C154">
            <v>314</v>
          </cell>
          <cell r="F154" t="str">
            <v>ПРС</v>
          </cell>
          <cell r="G154">
            <v>255</v>
          </cell>
          <cell r="H154" t="str">
            <v>ШГН</v>
          </cell>
          <cell r="I154" t="str">
            <v>действ.</v>
          </cell>
          <cell r="K154">
            <v>15</v>
          </cell>
          <cell r="L154">
            <v>0.2</v>
          </cell>
          <cell r="M154">
            <v>98</v>
          </cell>
          <cell r="N154">
            <v>45</v>
          </cell>
          <cell r="O154">
            <v>2.2000000000000002</v>
          </cell>
          <cell r="P154">
            <v>94</v>
          </cell>
          <cell r="Q154">
            <v>30</v>
          </cell>
          <cell r="R154">
            <v>2</v>
          </cell>
          <cell r="S154">
            <v>91.8</v>
          </cell>
          <cell r="T154">
            <v>37428</v>
          </cell>
          <cell r="U154" t="str">
            <v>опт</v>
          </cell>
          <cell r="W154" t="str">
            <v>Оптимизация Н-57/Э-50</v>
          </cell>
        </row>
        <row r="155">
          <cell r="B155" t="str">
            <v>5593б</v>
          </cell>
          <cell r="C155">
            <v>141</v>
          </cell>
          <cell r="F155" t="str">
            <v>ПРС</v>
          </cell>
          <cell r="G155">
            <v>260</v>
          </cell>
          <cell r="H155" t="str">
            <v>ЭЦН</v>
          </cell>
          <cell r="I155" t="str">
            <v>действ.</v>
          </cell>
          <cell r="K155">
            <v>25</v>
          </cell>
          <cell r="L155">
            <v>14.7</v>
          </cell>
          <cell r="M155">
            <v>28</v>
          </cell>
          <cell r="N155">
            <v>40</v>
          </cell>
          <cell r="O155">
            <v>22.2</v>
          </cell>
          <cell r="P155">
            <v>32</v>
          </cell>
          <cell r="Q155">
            <v>15</v>
          </cell>
          <cell r="R155">
            <v>7.5</v>
          </cell>
          <cell r="S155">
            <v>38.299999999999997</v>
          </cell>
          <cell r="T155">
            <v>37426</v>
          </cell>
          <cell r="U155" t="str">
            <v>опт</v>
          </cell>
          <cell r="W155" t="str">
            <v>Оптимизация Э-30/Э-50</v>
          </cell>
        </row>
        <row r="156">
          <cell r="B156">
            <v>3494</v>
          </cell>
          <cell r="C156">
            <v>92</v>
          </cell>
          <cell r="F156" t="str">
            <v>ПРС</v>
          </cell>
          <cell r="G156">
            <v>245</v>
          </cell>
          <cell r="H156" t="str">
            <v>ЭЦН</v>
          </cell>
          <cell r="I156" t="str">
            <v>действ.</v>
          </cell>
          <cell r="K156">
            <v>150</v>
          </cell>
          <cell r="L156">
            <v>11</v>
          </cell>
          <cell r="M156">
            <v>91</v>
          </cell>
          <cell r="N156">
            <v>275</v>
          </cell>
          <cell r="O156">
            <v>24.7</v>
          </cell>
          <cell r="P156">
            <v>89</v>
          </cell>
          <cell r="Q156">
            <v>125</v>
          </cell>
          <cell r="R156">
            <v>13.7</v>
          </cell>
          <cell r="S156">
            <v>86.5</v>
          </cell>
          <cell r="T156">
            <v>37421</v>
          </cell>
          <cell r="U156" t="str">
            <v>опт</v>
          </cell>
          <cell r="W156" t="str">
            <v>Оптимизация Э-125/Э-250</v>
          </cell>
        </row>
        <row r="157">
          <cell r="B157">
            <v>5437</v>
          </cell>
          <cell r="C157">
            <v>106</v>
          </cell>
          <cell r="F157" t="str">
            <v>ПРС</v>
          </cell>
          <cell r="G157">
            <v>275</v>
          </cell>
          <cell r="H157" t="str">
            <v>ЭЦН</v>
          </cell>
          <cell r="I157" t="str">
            <v>конс.</v>
          </cell>
          <cell r="K157">
            <v>0</v>
          </cell>
          <cell r="L157">
            <v>0</v>
          </cell>
          <cell r="M157">
            <v>0</v>
          </cell>
          <cell r="N157">
            <v>24</v>
          </cell>
          <cell r="O157">
            <v>5.9</v>
          </cell>
          <cell r="P157">
            <v>70</v>
          </cell>
          <cell r="Q157">
            <v>24</v>
          </cell>
          <cell r="R157">
            <v>5.9</v>
          </cell>
          <cell r="S157">
            <v>69.7</v>
          </cell>
          <cell r="T157">
            <v>37415</v>
          </cell>
          <cell r="U157" t="str">
            <v>ВЦД</v>
          </cell>
          <cell r="W157" t="str">
            <v>ВЦ, ГДИ, сп.ЭЦН</v>
          </cell>
        </row>
        <row r="158">
          <cell r="B158">
            <v>2850</v>
          </cell>
          <cell r="C158">
            <v>129</v>
          </cell>
          <cell r="F158" t="str">
            <v>ПРС</v>
          </cell>
          <cell r="G158">
            <v>260</v>
          </cell>
          <cell r="H158" t="str">
            <v>ШГН</v>
          </cell>
          <cell r="I158" t="str">
            <v>бд</v>
          </cell>
          <cell r="K158">
            <v>0</v>
          </cell>
          <cell r="L158">
            <v>0</v>
          </cell>
          <cell r="M158">
            <v>0</v>
          </cell>
          <cell r="N158">
            <v>3</v>
          </cell>
          <cell r="O158">
            <v>1.5</v>
          </cell>
          <cell r="P158">
            <v>39</v>
          </cell>
          <cell r="Q158">
            <v>3</v>
          </cell>
          <cell r="R158">
            <v>1.5</v>
          </cell>
          <cell r="S158">
            <v>38.299999999999997</v>
          </cell>
          <cell r="T158">
            <v>37414</v>
          </cell>
          <cell r="U158" t="str">
            <v>БДП</v>
          </cell>
          <cell r="W158" t="str">
            <v>ПРС, ост.на зиму</v>
          </cell>
        </row>
        <row r="159">
          <cell r="B159">
            <v>5404</v>
          </cell>
          <cell r="C159">
            <v>104</v>
          </cell>
          <cell r="F159" t="str">
            <v>ПРС</v>
          </cell>
          <cell r="G159">
            <v>250</v>
          </cell>
          <cell r="H159" t="str">
            <v>ШГН</v>
          </cell>
          <cell r="I159" t="str">
            <v>бд</v>
          </cell>
          <cell r="K159">
            <v>0</v>
          </cell>
          <cell r="L159">
            <v>0</v>
          </cell>
          <cell r="M159">
            <v>0</v>
          </cell>
          <cell r="N159">
            <v>6</v>
          </cell>
          <cell r="O159">
            <v>4.4000000000000004</v>
          </cell>
          <cell r="P159">
            <v>10</v>
          </cell>
          <cell r="Q159">
            <v>6</v>
          </cell>
          <cell r="R159">
            <v>4.4000000000000004</v>
          </cell>
          <cell r="S159">
            <v>9.5</v>
          </cell>
          <cell r="T159">
            <v>37410</v>
          </cell>
          <cell r="U159" t="str">
            <v>БДП</v>
          </cell>
          <cell r="W159" t="str">
            <v>ПРС</v>
          </cell>
        </row>
        <row r="160">
          <cell r="B160">
            <v>3100</v>
          </cell>
          <cell r="C160">
            <v>52</v>
          </cell>
          <cell r="F160" t="str">
            <v>ПРС</v>
          </cell>
          <cell r="G160">
            <v>297</v>
          </cell>
          <cell r="H160" t="str">
            <v>ШГН</v>
          </cell>
          <cell r="I160" t="str">
            <v>действ.</v>
          </cell>
          <cell r="K160">
            <v>26</v>
          </cell>
          <cell r="L160">
            <v>6.4</v>
          </cell>
          <cell r="M160">
            <v>70</v>
          </cell>
          <cell r="N160">
            <v>72</v>
          </cell>
          <cell r="O160">
            <v>16.399999999999999</v>
          </cell>
          <cell r="P160">
            <v>72</v>
          </cell>
          <cell r="Q160">
            <v>46</v>
          </cell>
          <cell r="R160">
            <v>9.9999999999999982</v>
          </cell>
          <cell r="S160">
            <v>73.2</v>
          </cell>
          <cell r="T160">
            <v>37402</v>
          </cell>
          <cell r="U160" t="str">
            <v>опт</v>
          </cell>
          <cell r="W160" t="str">
            <v>Оптимизация Н-57/Э-50</v>
          </cell>
        </row>
        <row r="161">
          <cell r="B161">
            <v>5551</v>
          </cell>
          <cell r="C161">
            <v>117</v>
          </cell>
          <cell r="F161" t="str">
            <v>ПРС</v>
          </cell>
          <cell r="G161">
            <v>247</v>
          </cell>
          <cell r="H161" t="str">
            <v>ЭЦН</v>
          </cell>
          <cell r="I161" t="str">
            <v>бд</v>
          </cell>
          <cell r="K161" t="e">
            <v>#N/A</v>
          </cell>
          <cell r="L161" t="e">
            <v>#N/A</v>
          </cell>
          <cell r="M161" t="e">
            <v>#N/A</v>
          </cell>
          <cell r="N161">
            <v>61</v>
          </cell>
          <cell r="O161">
            <v>2.5</v>
          </cell>
          <cell r="P161">
            <v>95</v>
          </cell>
          <cell r="Q161">
            <v>61</v>
          </cell>
          <cell r="R161">
            <v>2.5</v>
          </cell>
          <cell r="S161">
            <v>94.9</v>
          </cell>
          <cell r="T161">
            <v>37397</v>
          </cell>
          <cell r="U161" t="str">
            <v>БДП</v>
          </cell>
          <cell r="W161" t="str">
            <v>Из ост.на зиму</v>
          </cell>
        </row>
        <row r="162">
          <cell r="B162">
            <v>4074</v>
          </cell>
          <cell r="C162">
            <v>314</v>
          </cell>
          <cell r="F162" t="str">
            <v>ПРС</v>
          </cell>
          <cell r="G162">
            <v>245</v>
          </cell>
          <cell r="H162" t="str">
            <v>ШГН</v>
          </cell>
          <cell r="I162" t="str">
            <v>бд</v>
          </cell>
          <cell r="K162">
            <v>0</v>
          </cell>
          <cell r="L162">
            <v>0</v>
          </cell>
          <cell r="M162">
            <v>0</v>
          </cell>
          <cell r="N162">
            <v>6</v>
          </cell>
          <cell r="O162">
            <v>4.7</v>
          </cell>
          <cell r="P162">
            <v>3</v>
          </cell>
          <cell r="Q162">
            <v>6</v>
          </cell>
          <cell r="R162">
            <v>4.7</v>
          </cell>
          <cell r="S162">
            <v>3.3</v>
          </cell>
          <cell r="T162">
            <v>37396</v>
          </cell>
          <cell r="U162" t="str">
            <v>ВЦД</v>
          </cell>
          <cell r="W162" t="str">
            <v>ВЦ, ревизия Н-44</v>
          </cell>
        </row>
        <row r="163">
          <cell r="B163" t="str">
            <v>5367б</v>
          </cell>
          <cell r="C163">
            <v>101</v>
          </cell>
          <cell r="F163" t="str">
            <v>ПРС</v>
          </cell>
          <cell r="G163">
            <v>252</v>
          </cell>
          <cell r="H163" t="str">
            <v>ЭЦН</v>
          </cell>
          <cell r="I163" t="str">
            <v>бд</v>
          </cell>
          <cell r="K163">
            <v>8</v>
          </cell>
          <cell r="L163">
            <v>4.3</v>
          </cell>
          <cell r="M163">
            <v>34</v>
          </cell>
          <cell r="N163">
            <v>8</v>
          </cell>
          <cell r="O163">
            <v>4.5999999999999996</v>
          </cell>
          <cell r="P163">
            <v>29</v>
          </cell>
          <cell r="Q163">
            <v>8</v>
          </cell>
          <cell r="R163">
            <v>4.5999999999999996</v>
          </cell>
          <cell r="S163">
            <v>29</v>
          </cell>
          <cell r="T163">
            <v>37396</v>
          </cell>
          <cell r="U163" t="str">
            <v>ВЦД</v>
          </cell>
          <cell r="W163" t="str">
            <v>Восст.цирк</v>
          </cell>
        </row>
        <row r="164">
          <cell r="B164">
            <v>2991</v>
          </cell>
          <cell r="C164">
            <v>48</v>
          </cell>
          <cell r="F164" t="str">
            <v>ПРС</v>
          </cell>
          <cell r="G164">
            <v>255</v>
          </cell>
          <cell r="H164" t="str">
            <v>ЭЦН</v>
          </cell>
          <cell r="I164" t="str">
            <v>действ.</v>
          </cell>
          <cell r="K164">
            <v>53</v>
          </cell>
          <cell r="L164">
            <v>7.3</v>
          </cell>
          <cell r="M164">
            <v>83</v>
          </cell>
          <cell r="N164">
            <v>90</v>
          </cell>
          <cell r="O164">
            <v>9.5</v>
          </cell>
          <cell r="P164">
            <v>87</v>
          </cell>
          <cell r="Q164">
            <v>37</v>
          </cell>
          <cell r="R164">
            <v>2.2000000000000002</v>
          </cell>
          <cell r="S164">
            <v>92.7</v>
          </cell>
          <cell r="T164">
            <v>37392</v>
          </cell>
          <cell r="W164" t="str">
            <v>Ревизия Э-80 с углублением до 2200м</v>
          </cell>
        </row>
        <row r="165">
          <cell r="B165">
            <v>4212</v>
          </cell>
          <cell r="C165">
            <v>311</v>
          </cell>
          <cell r="F165" t="str">
            <v>ПРС</v>
          </cell>
          <cell r="G165">
            <v>251</v>
          </cell>
          <cell r="H165" t="str">
            <v>ЭЦН</v>
          </cell>
          <cell r="I165" t="str">
            <v>действ.</v>
          </cell>
          <cell r="K165">
            <v>84</v>
          </cell>
          <cell r="L165">
            <v>2.7</v>
          </cell>
          <cell r="M165">
            <v>96</v>
          </cell>
          <cell r="N165">
            <v>160</v>
          </cell>
          <cell r="O165">
            <v>3.9</v>
          </cell>
          <cell r="P165">
            <v>97</v>
          </cell>
          <cell r="Q165">
            <v>76</v>
          </cell>
          <cell r="R165">
            <v>1.1999999999999997</v>
          </cell>
          <cell r="S165">
            <v>98.1</v>
          </cell>
          <cell r="T165">
            <v>37392</v>
          </cell>
          <cell r="U165" t="str">
            <v>опт</v>
          </cell>
          <cell r="W165" t="str">
            <v>Оптимизация Э-80/125</v>
          </cell>
        </row>
        <row r="166">
          <cell r="B166">
            <v>2905</v>
          </cell>
          <cell r="C166">
            <v>132</v>
          </cell>
          <cell r="F166" t="str">
            <v>ПРС</v>
          </cell>
          <cell r="G166">
            <v>250</v>
          </cell>
          <cell r="H166" t="str">
            <v>ЭЦН</v>
          </cell>
          <cell r="I166" t="str">
            <v>действ.</v>
          </cell>
          <cell r="K166">
            <v>65</v>
          </cell>
          <cell r="L166">
            <v>2.1</v>
          </cell>
          <cell r="M166">
            <v>96</v>
          </cell>
          <cell r="N166">
            <v>85</v>
          </cell>
          <cell r="O166">
            <v>2.8</v>
          </cell>
          <cell r="P166">
            <v>96</v>
          </cell>
          <cell r="Q166">
            <v>20</v>
          </cell>
          <cell r="R166">
            <v>0.69999999999999973</v>
          </cell>
          <cell r="S166">
            <v>95.7</v>
          </cell>
          <cell r="T166">
            <v>37389</v>
          </cell>
          <cell r="U166" t="str">
            <v>опт</v>
          </cell>
          <cell r="W166" t="str">
            <v>Оптимизация Э-80</v>
          </cell>
        </row>
        <row r="167">
          <cell r="B167">
            <v>4263</v>
          </cell>
          <cell r="C167">
            <v>200</v>
          </cell>
          <cell r="F167" t="str">
            <v>ПРС</v>
          </cell>
          <cell r="G167">
            <v>224</v>
          </cell>
          <cell r="H167" t="str">
            <v>ЭЦН</v>
          </cell>
          <cell r="I167" t="str">
            <v>действ.</v>
          </cell>
          <cell r="K167">
            <v>68</v>
          </cell>
          <cell r="L167">
            <v>2.2000000000000002</v>
          </cell>
          <cell r="M167">
            <v>96</v>
          </cell>
          <cell r="N167">
            <v>160</v>
          </cell>
          <cell r="O167">
            <v>3.9</v>
          </cell>
          <cell r="P167">
            <v>97</v>
          </cell>
          <cell r="Q167">
            <v>92</v>
          </cell>
          <cell r="R167">
            <v>1.6999999999999997</v>
          </cell>
          <cell r="S167">
            <v>97.7</v>
          </cell>
          <cell r="T167">
            <v>37384</v>
          </cell>
          <cell r="U167" t="str">
            <v>опт</v>
          </cell>
          <cell r="W167" t="str">
            <v>Оптимизация Э-50/Э-125 УОПР-800, из ППД</v>
          </cell>
        </row>
        <row r="168">
          <cell r="B168">
            <v>5319</v>
          </cell>
          <cell r="C168">
            <v>134</v>
          </cell>
          <cell r="F168" t="str">
            <v>ПРС</v>
          </cell>
          <cell r="G168">
            <v>249</v>
          </cell>
          <cell r="H168" t="str">
            <v>ЭЦН</v>
          </cell>
          <cell r="I168" t="str">
            <v>действ.</v>
          </cell>
          <cell r="K168">
            <v>45</v>
          </cell>
          <cell r="L168">
            <v>1.5</v>
          </cell>
          <cell r="M168">
            <v>96</v>
          </cell>
          <cell r="N168">
            <v>80</v>
          </cell>
          <cell r="O168">
            <v>3.3</v>
          </cell>
          <cell r="P168">
            <v>95</v>
          </cell>
          <cell r="Q168">
            <v>35</v>
          </cell>
          <cell r="R168">
            <v>1.7999999999999998</v>
          </cell>
          <cell r="S168">
            <v>93.7</v>
          </cell>
          <cell r="T168">
            <v>37384</v>
          </cell>
          <cell r="U168" t="str">
            <v>опт</v>
          </cell>
          <cell r="W168" t="str">
            <v>Оптимизация Э-50/Э-80</v>
          </cell>
        </row>
        <row r="169">
          <cell r="B169">
            <v>2819</v>
          </cell>
          <cell r="C169">
            <v>144</v>
          </cell>
          <cell r="F169" t="str">
            <v>ПРС</v>
          </cell>
          <cell r="G169">
            <v>248</v>
          </cell>
          <cell r="H169" t="str">
            <v>ЭЦН</v>
          </cell>
          <cell r="I169" t="str">
            <v>действ.</v>
          </cell>
          <cell r="K169">
            <v>20</v>
          </cell>
          <cell r="L169">
            <v>1.6</v>
          </cell>
          <cell r="M169">
            <v>90</v>
          </cell>
          <cell r="N169">
            <v>50</v>
          </cell>
          <cell r="O169">
            <v>2.9</v>
          </cell>
          <cell r="P169">
            <v>93</v>
          </cell>
          <cell r="Q169">
            <v>30</v>
          </cell>
          <cell r="R169">
            <v>1.2999999999999998</v>
          </cell>
          <cell r="S169">
            <v>94.7</v>
          </cell>
          <cell r="T169">
            <v>37383</v>
          </cell>
          <cell r="U169" t="str">
            <v>опт</v>
          </cell>
          <cell r="W169" t="str">
            <v>Оптимизация Н-57/Э-50</v>
          </cell>
        </row>
        <row r="170">
          <cell r="B170">
            <v>2757</v>
          </cell>
          <cell r="C170">
            <v>144</v>
          </cell>
          <cell r="F170" t="str">
            <v>ПРС</v>
          </cell>
          <cell r="G170">
            <v>270</v>
          </cell>
          <cell r="H170" t="str">
            <v>ФОН</v>
          </cell>
          <cell r="I170" t="str">
            <v>действ.</v>
          </cell>
          <cell r="K170">
            <v>19</v>
          </cell>
          <cell r="L170">
            <v>4.5</v>
          </cell>
          <cell r="M170">
            <v>71</v>
          </cell>
          <cell r="N170">
            <v>52</v>
          </cell>
          <cell r="O170">
            <v>8.9</v>
          </cell>
          <cell r="P170">
            <v>79</v>
          </cell>
          <cell r="Q170">
            <v>33</v>
          </cell>
          <cell r="R170">
            <v>4.4000000000000004</v>
          </cell>
          <cell r="S170">
            <v>83.5</v>
          </cell>
          <cell r="T170">
            <v>37378</v>
          </cell>
          <cell r="U170" t="str">
            <v>опт</v>
          </cell>
          <cell r="V170">
            <v>2</v>
          </cell>
          <cell r="W170" t="str">
            <v>Оптимизация Н-57/Э-50</v>
          </cell>
        </row>
        <row r="171">
          <cell r="B171">
            <v>3632</v>
          </cell>
          <cell r="C171">
            <v>93</v>
          </cell>
          <cell r="F171" t="str">
            <v>ПРС</v>
          </cell>
          <cell r="G171">
            <v>265</v>
          </cell>
          <cell r="H171" t="str">
            <v>ЭЦН</v>
          </cell>
          <cell r="I171" t="str">
            <v>действ.</v>
          </cell>
          <cell r="K171">
            <v>180</v>
          </cell>
          <cell r="L171">
            <v>10.3</v>
          </cell>
          <cell r="M171">
            <v>93</v>
          </cell>
          <cell r="N171">
            <v>250</v>
          </cell>
          <cell r="O171">
            <v>19.600000000000001</v>
          </cell>
          <cell r="P171">
            <v>90.4</v>
          </cell>
          <cell r="Q171">
            <v>70</v>
          </cell>
          <cell r="R171">
            <v>9.3000000000000007</v>
          </cell>
          <cell r="S171">
            <v>83.6</v>
          </cell>
          <cell r="T171">
            <v>37377</v>
          </cell>
          <cell r="U171" t="str">
            <v>опт</v>
          </cell>
          <cell r="V171">
            <v>2</v>
          </cell>
          <cell r="W171" t="str">
            <v>Ревизия Э-250</v>
          </cell>
        </row>
        <row r="172">
          <cell r="B172">
            <v>2933</v>
          </cell>
          <cell r="C172">
            <v>44</v>
          </cell>
          <cell r="F172" t="str">
            <v>ПРС</v>
          </cell>
          <cell r="G172">
            <v>265</v>
          </cell>
          <cell r="H172" t="str">
            <v>ШГН</v>
          </cell>
          <cell r="I172" t="str">
            <v>бд</v>
          </cell>
          <cell r="L172">
            <v>0</v>
          </cell>
          <cell r="N172">
            <v>12</v>
          </cell>
          <cell r="O172">
            <v>7</v>
          </cell>
          <cell r="P172">
            <v>28</v>
          </cell>
          <cell r="Q172">
            <v>12</v>
          </cell>
          <cell r="R172">
            <v>7</v>
          </cell>
          <cell r="S172">
            <v>28</v>
          </cell>
          <cell r="T172">
            <v>37373</v>
          </cell>
          <cell r="U172" t="str">
            <v>ВЦД</v>
          </cell>
          <cell r="V172">
            <v>1</v>
          </cell>
          <cell r="W172" t="str">
            <v>Ревизия НН-57</v>
          </cell>
        </row>
        <row r="173">
          <cell r="B173">
            <v>5284</v>
          </cell>
          <cell r="C173">
            <v>140</v>
          </cell>
          <cell r="F173" t="str">
            <v>ПРС</v>
          </cell>
          <cell r="H173" t="str">
            <v>ШГН</v>
          </cell>
          <cell r="I173" t="str">
            <v>действ.</v>
          </cell>
          <cell r="K173">
            <v>20</v>
          </cell>
          <cell r="L173">
            <v>14</v>
          </cell>
          <cell r="M173">
            <v>14</v>
          </cell>
          <cell r="N173">
            <v>53</v>
          </cell>
          <cell r="O173">
            <v>16</v>
          </cell>
          <cell r="P173">
            <v>63</v>
          </cell>
          <cell r="Q173">
            <v>33</v>
          </cell>
          <cell r="R173">
            <v>2</v>
          </cell>
          <cell r="S173">
            <v>92.5</v>
          </cell>
          <cell r="T173">
            <v>37365</v>
          </cell>
          <cell r="U173" t="str">
            <v>опт</v>
          </cell>
          <cell r="V173">
            <v>1</v>
          </cell>
          <cell r="W173" t="str">
            <v>Опт.Н-44/Э-30</v>
          </cell>
        </row>
        <row r="174">
          <cell r="B174">
            <v>5609</v>
          </cell>
          <cell r="C174">
            <v>114</v>
          </cell>
          <cell r="F174" t="str">
            <v>ПРС</v>
          </cell>
          <cell r="G174">
            <v>230</v>
          </cell>
          <cell r="H174" t="str">
            <v>ШГН</v>
          </cell>
          <cell r="I174" t="str">
            <v>бд</v>
          </cell>
          <cell r="J174">
            <v>37064</v>
          </cell>
          <cell r="K174">
            <v>2</v>
          </cell>
          <cell r="L174">
            <v>1.6</v>
          </cell>
          <cell r="M174">
            <v>0</v>
          </cell>
          <cell r="N174">
            <v>4</v>
          </cell>
          <cell r="O174">
            <v>2.1</v>
          </cell>
          <cell r="P174">
            <v>35</v>
          </cell>
          <cell r="Q174">
            <v>4</v>
          </cell>
          <cell r="R174">
            <v>2.1</v>
          </cell>
          <cell r="S174">
            <v>35.200000000000003</v>
          </cell>
          <cell r="T174">
            <v>37360</v>
          </cell>
          <cell r="U174" t="str">
            <v>БДП</v>
          </cell>
          <cell r="V174">
            <v>1</v>
          </cell>
          <cell r="W174" t="str">
            <v>ВЦ,ревизия НВ-32</v>
          </cell>
        </row>
        <row r="175">
          <cell r="B175">
            <v>3712</v>
          </cell>
          <cell r="C175">
            <v>303</v>
          </cell>
          <cell r="F175" t="str">
            <v>ПРС</v>
          </cell>
          <cell r="H175" t="str">
            <v>ШГН</v>
          </cell>
          <cell r="I175" t="str">
            <v>действ.</v>
          </cell>
          <cell r="K175">
            <v>150</v>
          </cell>
          <cell r="L175">
            <v>6.1</v>
          </cell>
          <cell r="M175">
            <v>95</v>
          </cell>
          <cell r="N175">
            <v>175</v>
          </cell>
          <cell r="O175">
            <v>8.1</v>
          </cell>
          <cell r="P175">
            <v>94.3</v>
          </cell>
          <cell r="Q175">
            <v>25</v>
          </cell>
          <cell r="R175">
            <v>2</v>
          </cell>
          <cell r="S175">
            <v>90.1</v>
          </cell>
          <cell r="T175">
            <v>37360</v>
          </cell>
          <cell r="U175" t="str">
            <v>опт</v>
          </cell>
          <cell r="V175">
            <v>1</v>
          </cell>
          <cell r="W175" t="str">
            <v>Опт.Э-160/Э-200</v>
          </cell>
        </row>
        <row r="176">
          <cell r="B176">
            <v>3094</v>
          </cell>
          <cell r="C176" t="str">
            <v>44б</v>
          </cell>
          <cell r="F176" t="str">
            <v>ПРС</v>
          </cell>
          <cell r="G176">
            <v>265</v>
          </cell>
          <cell r="H176" t="str">
            <v>ШГН</v>
          </cell>
          <cell r="I176" t="str">
            <v>бд</v>
          </cell>
          <cell r="L176">
            <v>0</v>
          </cell>
          <cell r="N176">
            <v>7</v>
          </cell>
          <cell r="O176">
            <v>5.0999999999999996</v>
          </cell>
          <cell r="P176">
            <v>10</v>
          </cell>
          <cell r="Q176">
            <v>7</v>
          </cell>
          <cell r="R176">
            <v>5.0999999999999996</v>
          </cell>
          <cell r="S176">
            <v>10.1</v>
          </cell>
          <cell r="T176">
            <v>37356</v>
          </cell>
          <cell r="U176" t="str">
            <v>БДП</v>
          </cell>
          <cell r="V176">
            <v>1</v>
          </cell>
          <cell r="W176" t="str">
            <v>Ревизия НН-57</v>
          </cell>
        </row>
        <row r="177">
          <cell r="B177">
            <v>5528</v>
          </cell>
          <cell r="C177" t="str">
            <v>119б</v>
          </cell>
          <cell r="F177" t="str">
            <v>ПРС</v>
          </cell>
          <cell r="G177">
            <v>250</v>
          </cell>
          <cell r="H177" t="str">
            <v>ШГН</v>
          </cell>
          <cell r="I177" t="str">
            <v>бд</v>
          </cell>
          <cell r="L177">
            <v>0</v>
          </cell>
          <cell r="N177">
            <v>8</v>
          </cell>
          <cell r="O177">
            <v>5.5</v>
          </cell>
          <cell r="P177">
            <v>15</v>
          </cell>
          <cell r="Q177">
            <v>8</v>
          </cell>
          <cell r="R177">
            <v>5.5</v>
          </cell>
          <cell r="S177">
            <v>15.1</v>
          </cell>
          <cell r="T177">
            <v>37356</v>
          </cell>
          <cell r="U177" t="str">
            <v>БДП</v>
          </cell>
          <cell r="V177">
            <v>1</v>
          </cell>
        </row>
        <row r="178">
          <cell r="B178">
            <v>2721</v>
          </cell>
          <cell r="C178">
            <v>166</v>
          </cell>
          <cell r="F178" t="str">
            <v>ПРС</v>
          </cell>
          <cell r="G178">
            <v>265</v>
          </cell>
          <cell r="H178" t="str">
            <v>ШГН</v>
          </cell>
          <cell r="I178" t="str">
            <v>бд</v>
          </cell>
          <cell r="L178">
            <v>0</v>
          </cell>
          <cell r="N178">
            <v>4</v>
          </cell>
          <cell r="O178">
            <v>2.6</v>
          </cell>
          <cell r="P178">
            <v>20</v>
          </cell>
          <cell r="Q178">
            <v>4</v>
          </cell>
          <cell r="R178">
            <v>2.6</v>
          </cell>
          <cell r="S178">
            <v>19.8</v>
          </cell>
          <cell r="T178">
            <v>37333</v>
          </cell>
          <cell r="U178" t="str">
            <v>БДП</v>
          </cell>
          <cell r="W178" t="str">
            <v>Ревизия НН-44</v>
          </cell>
        </row>
        <row r="179">
          <cell r="B179">
            <v>2681</v>
          </cell>
          <cell r="C179" t="str">
            <v>145б</v>
          </cell>
          <cell r="F179" t="str">
            <v>ПРС</v>
          </cell>
          <cell r="G179">
            <v>265</v>
          </cell>
          <cell r="H179" t="str">
            <v>ШГН</v>
          </cell>
          <cell r="I179" t="str">
            <v>бд</v>
          </cell>
          <cell r="L179">
            <v>0</v>
          </cell>
          <cell r="N179">
            <v>5</v>
          </cell>
          <cell r="O179">
            <v>4</v>
          </cell>
          <cell r="P179">
            <v>3</v>
          </cell>
          <cell r="Q179">
            <v>5</v>
          </cell>
          <cell r="R179">
            <v>4</v>
          </cell>
          <cell r="S179">
            <v>1.2</v>
          </cell>
          <cell r="T179">
            <v>37311</v>
          </cell>
          <cell r="U179" t="str">
            <v>ВЦД</v>
          </cell>
          <cell r="W179" t="str">
            <v>Ревизия НН-44</v>
          </cell>
        </row>
        <row r="180">
          <cell r="B180" t="str">
            <v>136р</v>
          </cell>
          <cell r="G180">
            <v>250</v>
          </cell>
          <cell r="H180" t="str">
            <v>фон</v>
          </cell>
          <cell r="I180" t="str">
            <v>конс.</v>
          </cell>
          <cell r="L180">
            <v>0</v>
          </cell>
          <cell r="N180">
            <v>14</v>
          </cell>
          <cell r="O180">
            <v>10.8</v>
          </cell>
          <cell r="P180">
            <v>5</v>
          </cell>
          <cell r="Q180">
            <v>14</v>
          </cell>
          <cell r="R180">
            <v>10.8</v>
          </cell>
          <cell r="S180">
            <v>4.8</v>
          </cell>
          <cell r="T180">
            <v>37306</v>
          </cell>
          <cell r="U180" t="str">
            <v>БДД</v>
          </cell>
          <cell r="W180" t="str">
            <v>Пуск в работу</v>
          </cell>
        </row>
        <row r="181">
          <cell r="B181">
            <v>2710</v>
          </cell>
          <cell r="C181">
            <v>161</v>
          </cell>
          <cell r="F181" t="str">
            <v>ПРС</v>
          </cell>
          <cell r="H181" t="str">
            <v>ШГН</v>
          </cell>
          <cell r="I181" t="str">
            <v>действ.</v>
          </cell>
          <cell r="K181">
            <v>13</v>
          </cell>
          <cell r="L181">
            <v>6.3</v>
          </cell>
          <cell r="M181">
            <v>41</v>
          </cell>
          <cell r="N181">
            <v>37</v>
          </cell>
          <cell r="O181">
            <v>16</v>
          </cell>
          <cell r="P181">
            <v>47</v>
          </cell>
          <cell r="Q181">
            <v>24</v>
          </cell>
          <cell r="R181">
            <v>9.6999999999999993</v>
          </cell>
          <cell r="S181">
            <v>50.1</v>
          </cell>
          <cell r="T181">
            <v>37533</v>
          </cell>
          <cell r="U181" t="str">
            <v>опт</v>
          </cell>
          <cell r="W181" t="str">
            <v>Оптимизация Н-57/Э-30</v>
          </cell>
        </row>
        <row r="182">
          <cell r="B182">
            <v>2938</v>
          </cell>
          <cell r="C182" t="str">
            <v>43б</v>
          </cell>
          <cell r="F182" t="str">
            <v>ПРС</v>
          </cell>
          <cell r="H182" t="str">
            <v>ШГН</v>
          </cell>
          <cell r="I182" t="str">
            <v>действ.</v>
          </cell>
          <cell r="K182">
            <v>13</v>
          </cell>
          <cell r="L182">
            <v>7.5</v>
          </cell>
          <cell r="M182">
            <v>29</v>
          </cell>
          <cell r="N182">
            <v>20</v>
          </cell>
          <cell r="O182">
            <v>13.7</v>
          </cell>
          <cell r="P182">
            <v>16</v>
          </cell>
          <cell r="Q182">
            <v>7</v>
          </cell>
          <cell r="R182">
            <v>6.1999999999999993</v>
          </cell>
          <cell r="S182">
            <v>-9.3000000000000007</v>
          </cell>
          <cell r="T182">
            <v>37544</v>
          </cell>
          <cell r="U182" t="str">
            <v>опт</v>
          </cell>
          <cell r="W182" t="str">
            <v>Оптимизация Н-44/Э-30</v>
          </cell>
        </row>
        <row r="183">
          <cell r="B183">
            <v>2566</v>
          </cell>
          <cell r="C183">
            <v>167</v>
          </cell>
          <cell r="F183" t="str">
            <v>ПРС</v>
          </cell>
          <cell r="H183" t="str">
            <v>фон</v>
          </cell>
          <cell r="I183" t="str">
            <v>бд</v>
          </cell>
          <cell r="J183">
            <v>37389</v>
          </cell>
          <cell r="K183">
            <v>0</v>
          </cell>
          <cell r="L183">
            <v>0</v>
          </cell>
          <cell r="M183">
            <v>0</v>
          </cell>
          <cell r="N183">
            <v>33</v>
          </cell>
          <cell r="O183">
            <v>4.5999999999999996</v>
          </cell>
          <cell r="P183">
            <v>83</v>
          </cell>
          <cell r="Q183">
            <v>33</v>
          </cell>
          <cell r="R183">
            <v>4.5999999999999996</v>
          </cell>
          <cell r="S183">
            <v>82.8</v>
          </cell>
          <cell r="T183">
            <v>37550</v>
          </cell>
          <cell r="U183" t="str">
            <v>ВЦД</v>
          </cell>
          <cell r="W183" t="str">
            <v>ВЦ,ВЗ(ГЖ)сп.Э-80</v>
          </cell>
        </row>
        <row r="184">
          <cell r="B184">
            <v>2755</v>
          </cell>
          <cell r="C184">
            <v>145</v>
          </cell>
          <cell r="F184" t="str">
            <v>ПРС</v>
          </cell>
          <cell r="H184" t="str">
            <v>ЭЦН</v>
          </cell>
          <cell r="I184" t="str">
            <v>бд</v>
          </cell>
          <cell r="J184">
            <v>33968</v>
          </cell>
          <cell r="K184">
            <v>0</v>
          </cell>
          <cell r="L184">
            <v>0</v>
          </cell>
          <cell r="M184">
            <v>0</v>
          </cell>
          <cell r="N184">
            <v>30</v>
          </cell>
          <cell r="O184">
            <v>10.3</v>
          </cell>
          <cell r="P184">
            <v>58</v>
          </cell>
          <cell r="Q184">
            <v>30</v>
          </cell>
          <cell r="R184">
            <v>10.3</v>
          </cell>
          <cell r="S184">
            <v>57.6</v>
          </cell>
          <cell r="T184">
            <v>37551</v>
          </cell>
          <cell r="U184" t="str">
            <v>ВЦД</v>
          </cell>
          <cell r="W184" t="str">
            <v>в.ц.,в.з.(г/ж),Э-60</v>
          </cell>
        </row>
        <row r="185">
          <cell r="B185">
            <v>5585</v>
          </cell>
          <cell r="C185">
            <v>117</v>
          </cell>
          <cell r="F185" t="str">
            <v>ПРС</v>
          </cell>
          <cell r="H185" t="str">
            <v>ЭЦН</v>
          </cell>
          <cell r="I185" t="str">
            <v>бд</v>
          </cell>
          <cell r="J185">
            <v>35610</v>
          </cell>
          <cell r="K185">
            <v>0</v>
          </cell>
          <cell r="L185">
            <v>0</v>
          </cell>
          <cell r="M185">
            <v>0</v>
          </cell>
          <cell r="N185">
            <v>80</v>
          </cell>
          <cell r="O185">
            <v>2</v>
          </cell>
          <cell r="P185">
            <v>97</v>
          </cell>
          <cell r="Q185">
            <v>80</v>
          </cell>
          <cell r="R185">
            <v>2</v>
          </cell>
          <cell r="S185">
            <v>96.9</v>
          </cell>
          <cell r="T185">
            <v>37537</v>
          </cell>
          <cell r="U185" t="str">
            <v>БДП</v>
          </cell>
          <cell r="W185" t="str">
            <v>ВЗ(ГЖ)см.вор./Э-80</v>
          </cell>
        </row>
        <row r="186">
          <cell r="B186">
            <v>5586</v>
          </cell>
          <cell r="C186">
            <v>117</v>
          </cell>
          <cell r="F186" t="str">
            <v>ПРС</v>
          </cell>
          <cell r="H186" t="str">
            <v>ЭЦН</v>
          </cell>
          <cell r="I186" t="str">
            <v>бд</v>
          </cell>
          <cell r="J186">
            <v>35378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T186">
            <v>37544</v>
          </cell>
          <cell r="U186" t="str">
            <v>БДП</v>
          </cell>
          <cell r="W186" t="str">
            <v>в.з.(г/ж), рев.Э-125</v>
          </cell>
        </row>
        <row r="187">
          <cell r="B187">
            <v>5516</v>
          </cell>
          <cell r="C187">
            <v>115</v>
          </cell>
          <cell r="F187" t="str">
            <v>ПРС</v>
          </cell>
          <cell r="H187" t="str">
            <v>ЭЦН</v>
          </cell>
          <cell r="I187" t="str">
            <v>бд</v>
          </cell>
          <cell r="J187">
            <v>37081</v>
          </cell>
          <cell r="K187">
            <v>0</v>
          </cell>
          <cell r="L187">
            <v>0</v>
          </cell>
          <cell r="M187">
            <v>0</v>
          </cell>
          <cell r="N187">
            <v>125</v>
          </cell>
          <cell r="O187">
            <v>4.0999999999999996</v>
          </cell>
          <cell r="P187">
            <v>96</v>
          </cell>
          <cell r="Q187">
            <v>125</v>
          </cell>
          <cell r="R187">
            <v>4.0999999999999996</v>
          </cell>
          <cell r="S187">
            <v>96</v>
          </cell>
          <cell r="T187">
            <v>37550</v>
          </cell>
          <cell r="U187" t="str">
            <v>БДП</v>
          </cell>
          <cell r="W187" t="str">
            <v>в.з.(г/ж), Э-125</v>
          </cell>
        </row>
        <row r="188">
          <cell r="B188">
            <v>2877</v>
          </cell>
          <cell r="C188">
            <v>42</v>
          </cell>
          <cell r="F188" t="str">
            <v>ПРС</v>
          </cell>
          <cell r="H188" t="str">
            <v>ШГН</v>
          </cell>
          <cell r="I188" t="str">
            <v>бд</v>
          </cell>
          <cell r="J188">
            <v>36895</v>
          </cell>
          <cell r="K188">
            <v>0</v>
          </cell>
          <cell r="L188">
            <v>0</v>
          </cell>
          <cell r="M188">
            <v>0</v>
          </cell>
          <cell r="N188">
            <v>11</v>
          </cell>
          <cell r="O188">
            <v>0.7</v>
          </cell>
          <cell r="P188">
            <v>92</v>
          </cell>
          <cell r="Q188">
            <v>11</v>
          </cell>
          <cell r="R188">
            <v>0.7</v>
          </cell>
          <cell r="S188">
            <v>92.1</v>
          </cell>
          <cell r="T188">
            <v>37538</v>
          </cell>
          <cell r="U188" t="str">
            <v>БДП</v>
          </cell>
          <cell r="W188" t="str">
            <v>См.НВ-32/НВ-44, ВЗ(ГЖ)</v>
          </cell>
        </row>
        <row r="189">
          <cell r="B189" t="str">
            <v>5402б</v>
          </cell>
          <cell r="C189">
            <v>103</v>
          </cell>
          <cell r="F189" t="str">
            <v>ПРС</v>
          </cell>
          <cell r="H189" t="str">
            <v>ЭЦН</v>
          </cell>
          <cell r="I189" t="str">
            <v>конс.</v>
          </cell>
          <cell r="J189">
            <v>34099</v>
          </cell>
          <cell r="K189">
            <v>0</v>
          </cell>
          <cell r="L189">
            <v>0</v>
          </cell>
          <cell r="M189">
            <v>0</v>
          </cell>
          <cell r="N189">
            <v>29</v>
          </cell>
          <cell r="O189">
            <v>3.8</v>
          </cell>
          <cell r="P189">
            <v>84</v>
          </cell>
          <cell r="Q189">
            <v>29</v>
          </cell>
          <cell r="R189">
            <v>3.8</v>
          </cell>
          <cell r="S189">
            <v>83.8</v>
          </cell>
          <cell r="T189">
            <v>37550</v>
          </cell>
          <cell r="U189" t="str">
            <v>ВЦД</v>
          </cell>
          <cell r="W189" t="str">
            <v>ВЦ,ВЗ(ГЖ)сп.Э-80</v>
          </cell>
        </row>
        <row r="190">
          <cell r="B190">
            <v>5718</v>
          </cell>
          <cell r="C190" t="str">
            <v>122б</v>
          </cell>
          <cell r="F190" t="str">
            <v>ПРС</v>
          </cell>
          <cell r="H190" t="str">
            <v>ЭЦН</v>
          </cell>
          <cell r="I190" t="str">
            <v>действ.</v>
          </cell>
          <cell r="K190">
            <v>141</v>
          </cell>
          <cell r="L190">
            <v>10.3</v>
          </cell>
          <cell r="M190">
            <v>91</v>
          </cell>
          <cell r="N190">
            <v>200</v>
          </cell>
          <cell r="O190">
            <v>16.3</v>
          </cell>
          <cell r="P190">
            <v>90</v>
          </cell>
          <cell r="Q190">
            <v>59</v>
          </cell>
          <cell r="R190">
            <v>6</v>
          </cell>
          <cell r="S190">
            <v>87.4</v>
          </cell>
          <cell r="T190">
            <v>37574</v>
          </cell>
          <cell r="U190" t="str">
            <v>опт</v>
          </cell>
          <cell r="W190" t="str">
            <v>Смена Э-125/Э-200</v>
          </cell>
        </row>
        <row r="191">
          <cell r="B191">
            <v>5641</v>
          </cell>
          <cell r="C191">
            <v>126</v>
          </cell>
          <cell r="F191" t="str">
            <v>ПРС</v>
          </cell>
          <cell r="H191" t="str">
            <v>ЭЦН</v>
          </cell>
          <cell r="I191" t="str">
            <v>действ.</v>
          </cell>
          <cell r="K191">
            <v>96</v>
          </cell>
          <cell r="L191">
            <v>45.4</v>
          </cell>
          <cell r="M191">
            <v>42</v>
          </cell>
          <cell r="N191">
            <v>120</v>
          </cell>
          <cell r="O191">
            <v>54.8</v>
          </cell>
          <cell r="P191">
            <v>44</v>
          </cell>
          <cell r="Q191">
            <v>24</v>
          </cell>
          <cell r="R191">
            <v>9.3999999999999986</v>
          </cell>
          <cell r="S191">
            <v>51.6</v>
          </cell>
          <cell r="T191">
            <v>37573</v>
          </cell>
          <cell r="U191" t="str">
            <v>опт</v>
          </cell>
          <cell r="W191" t="str">
            <v>Смена Э-80/Э-125</v>
          </cell>
        </row>
        <row r="192">
          <cell r="B192">
            <v>5826</v>
          </cell>
          <cell r="C192">
            <v>167</v>
          </cell>
          <cell r="F192" t="str">
            <v>ПРС</v>
          </cell>
          <cell r="H192" t="str">
            <v>ШГН</v>
          </cell>
          <cell r="I192" t="str">
            <v>действ.</v>
          </cell>
          <cell r="K192">
            <v>22</v>
          </cell>
          <cell r="L192">
            <v>13.4</v>
          </cell>
          <cell r="M192">
            <v>25</v>
          </cell>
          <cell r="N192">
            <v>34</v>
          </cell>
          <cell r="O192">
            <v>20.8</v>
          </cell>
          <cell r="P192">
            <v>25</v>
          </cell>
          <cell r="Q192">
            <v>12</v>
          </cell>
          <cell r="R192">
            <v>7.4</v>
          </cell>
          <cell r="S192">
            <v>23.9</v>
          </cell>
          <cell r="T192">
            <v>37583</v>
          </cell>
          <cell r="U192" t="str">
            <v>опт</v>
          </cell>
          <cell r="W192" t="str">
            <v>Оптимизация Н-44/Э-30</v>
          </cell>
        </row>
        <row r="193">
          <cell r="B193">
            <v>5690</v>
          </cell>
          <cell r="C193" t="str">
            <v>122б</v>
          </cell>
          <cell r="F193" t="str">
            <v>ПРС</v>
          </cell>
          <cell r="H193" t="str">
            <v>ЭЦН</v>
          </cell>
          <cell r="I193" t="str">
            <v>бдт</v>
          </cell>
          <cell r="J193">
            <v>37523</v>
          </cell>
          <cell r="K193">
            <v>0</v>
          </cell>
          <cell r="L193">
            <v>0</v>
          </cell>
          <cell r="M193">
            <v>0</v>
          </cell>
          <cell r="N193">
            <v>30</v>
          </cell>
          <cell r="O193">
            <v>5.0999999999999996</v>
          </cell>
          <cell r="P193">
            <v>79</v>
          </cell>
          <cell r="Q193">
            <v>30</v>
          </cell>
          <cell r="R193">
            <v>5.0999999999999996</v>
          </cell>
          <cell r="S193">
            <v>79</v>
          </cell>
          <cell r="T193">
            <v>37577</v>
          </cell>
          <cell r="U193" t="str">
            <v>бдп</v>
          </cell>
          <cell r="W193" t="str">
            <v>См.Э-50/Э-30</v>
          </cell>
        </row>
        <row r="194">
          <cell r="B194">
            <v>5253</v>
          </cell>
          <cell r="C194">
            <v>138</v>
          </cell>
          <cell r="F194" t="str">
            <v>ПРС</v>
          </cell>
          <cell r="H194" t="str">
            <v>ЭЦН</v>
          </cell>
          <cell r="I194" t="str">
            <v>конс.</v>
          </cell>
          <cell r="J194">
            <v>34881</v>
          </cell>
          <cell r="K194">
            <v>0</v>
          </cell>
          <cell r="L194">
            <v>0</v>
          </cell>
          <cell r="M194">
            <v>0</v>
          </cell>
          <cell r="N194">
            <v>48</v>
          </cell>
          <cell r="O194">
            <v>6.2</v>
          </cell>
          <cell r="P194">
            <v>84.2</v>
          </cell>
          <cell r="Q194">
            <v>48</v>
          </cell>
          <cell r="R194">
            <v>6.2</v>
          </cell>
          <cell r="S194">
            <v>84.1</v>
          </cell>
          <cell r="T194">
            <v>37584</v>
          </cell>
          <cell r="U194" t="str">
            <v>бдп</v>
          </cell>
          <cell r="W194" t="str">
            <v>Смена вор./Э-50</v>
          </cell>
        </row>
        <row r="195">
          <cell r="B195" t="str">
            <v>11024б</v>
          </cell>
          <cell r="C195" t="str">
            <v>97б</v>
          </cell>
          <cell r="F195" t="str">
            <v>ПРС</v>
          </cell>
          <cell r="H195" t="str">
            <v>ЭЦН</v>
          </cell>
          <cell r="I195" t="str">
            <v>бд</v>
          </cell>
          <cell r="J195">
            <v>35121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90</v>
          </cell>
          <cell r="T195">
            <v>37706</v>
          </cell>
          <cell r="U195" t="str">
            <v>ВЦД</v>
          </cell>
          <cell r="W195" t="str">
            <v>ВЦ,ВЗ ГЖ,сп Э-50</v>
          </cell>
        </row>
        <row r="197">
          <cell r="W197" t="str">
            <v>КРС</v>
          </cell>
        </row>
        <row r="200">
          <cell r="B200">
            <v>2881</v>
          </cell>
          <cell r="C200">
            <v>127</v>
          </cell>
          <cell r="F200" t="str">
            <v>УПНП</v>
          </cell>
          <cell r="G200">
            <v>280</v>
          </cell>
          <cell r="H200" t="str">
            <v>ЭЦН</v>
          </cell>
          <cell r="I200" t="str">
            <v>конс.</v>
          </cell>
          <cell r="J200">
            <v>35677</v>
          </cell>
          <cell r="K200">
            <v>0</v>
          </cell>
          <cell r="L200">
            <v>0</v>
          </cell>
          <cell r="M200">
            <v>0</v>
          </cell>
          <cell r="N200">
            <v>52</v>
          </cell>
          <cell r="O200">
            <v>8.1</v>
          </cell>
          <cell r="P200">
            <v>81</v>
          </cell>
          <cell r="Q200">
            <v>52</v>
          </cell>
          <cell r="R200">
            <v>8.1</v>
          </cell>
          <cell r="S200">
            <v>80.8</v>
          </cell>
          <cell r="T200">
            <v>37578</v>
          </cell>
          <cell r="U200" t="str">
            <v>ОВП</v>
          </cell>
          <cell r="W200" t="str">
            <v>ОТСК,РИР ЮК-10,ПП,ДП</v>
          </cell>
        </row>
        <row r="201">
          <cell r="B201">
            <v>5651</v>
          </cell>
          <cell r="C201">
            <v>124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конс.</v>
          </cell>
          <cell r="J201">
            <v>35433</v>
          </cell>
          <cell r="K201">
            <v>0</v>
          </cell>
          <cell r="L201">
            <v>0</v>
          </cell>
          <cell r="M201">
            <v>0</v>
          </cell>
          <cell r="N201">
            <v>65</v>
          </cell>
          <cell r="O201">
            <v>23.3</v>
          </cell>
          <cell r="P201">
            <v>56</v>
          </cell>
          <cell r="Q201">
            <v>65</v>
          </cell>
          <cell r="R201">
            <v>23.3</v>
          </cell>
          <cell r="S201">
            <v>55.7</v>
          </cell>
          <cell r="T201">
            <v>37572</v>
          </cell>
          <cell r="U201" t="str">
            <v>ОВП</v>
          </cell>
          <cell r="W201" t="str">
            <v>ВЦ,ГИС,РИР (ЗКЦ ЮК-11),ПП</v>
          </cell>
        </row>
        <row r="202">
          <cell r="B202">
            <v>2696</v>
          </cell>
          <cell r="C202">
            <v>163</v>
          </cell>
          <cell r="F202" t="str">
            <v>ПРС,КРС</v>
          </cell>
          <cell r="H202" t="str">
            <v>ШГН</v>
          </cell>
          <cell r="I202" t="str">
            <v>конс.</v>
          </cell>
          <cell r="J202">
            <v>36070</v>
          </cell>
          <cell r="K202">
            <v>0</v>
          </cell>
          <cell r="L202">
            <v>0</v>
          </cell>
          <cell r="M202">
            <v>0</v>
          </cell>
          <cell r="N202">
            <v>32</v>
          </cell>
          <cell r="O202">
            <v>24</v>
          </cell>
          <cell r="P202">
            <v>8</v>
          </cell>
          <cell r="Q202">
            <v>32</v>
          </cell>
          <cell r="R202">
            <v>24</v>
          </cell>
          <cell r="S202">
            <v>7.4</v>
          </cell>
          <cell r="T202">
            <v>37573</v>
          </cell>
          <cell r="U202" t="str">
            <v>бдп</v>
          </cell>
          <cell r="W202" t="str">
            <v>Подъем вор.,сп.Э-30</v>
          </cell>
        </row>
        <row r="203">
          <cell r="B203">
            <v>5241</v>
          </cell>
          <cell r="C203">
            <v>134</v>
          </cell>
          <cell r="D203">
            <v>6</v>
          </cell>
          <cell r="E203">
            <v>60</v>
          </cell>
          <cell r="F203" t="str">
            <v>УПНПиКРС</v>
          </cell>
          <cell r="G203">
            <v>258</v>
          </cell>
          <cell r="H203" t="str">
            <v>ЭЦН</v>
          </cell>
          <cell r="I203" t="str">
            <v>бд</v>
          </cell>
          <cell r="J203">
            <v>34547</v>
          </cell>
          <cell r="K203">
            <v>21</v>
          </cell>
          <cell r="L203">
            <v>0.2</v>
          </cell>
          <cell r="M203">
            <v>99</v>
          </cell>
          <cell r="N203">
            <v>50</v>
          </cell>
          <cell r="O203">
            <v>30</v>
          </cell>
          <cell r="P203">
            <v>26.5</v>
          </cell>
          <cell r="Q203">
            <v>50</v>
          </cell>
          <cell r="R203">
            <v>30</v>
          </cell>
          <cell r="S203">
            <v>25.9</v>
          </cell>
          <cell r="T203">
            <v>37465</v>
          </cell>
          <cell r="U203" t="str">
            <v>ГРП</v>
          </cell>
          <cell r="V203">
            <v>2</v>
          </cell>
          <cell r="W203" t="str">
            <v xml:space="preserve">ВЦ, ГИС-2 ( источ. обвод.), при подтверждении воды и герм. э/колонны  </v>
          </cell>
        </row>
        <row r="204">
          <cell r="B204">
            <v>5241</v>
          </cell>
          <cell r="C204">
            <v>134</v>
          </cell>
          <cell r="D204">
            <v>6</v>
          </cell>
          <cell r="E204">
            <v>60</v>
          </cell>
          <cell r="F204" t="str">
            <v>УПНПиКРС</v>
          </cell>
          <cell r="G204">
            <v>258</v>
          </cell>
          <cell r="H204" t="str">
            <v>ЭЦН</v>
          </cell>
          <cell r="I204" t="str">
            <v>бд</v>
          </cell>
          <cell r="J204">
            <v>34547</v>
          </cell>
          <cell r="K204">
            <v>21</v>
          </cell>
          <cell r="L204">
            <v>0.2</v>
          </cell>
          <cell r="M204">
            <v>99</v>
          </cell>
          <cell r="N204">
            <v>30</v>
          </cell>
          <cell r="O204">
            <v>12</v>
          </cell>
          <cell r="P204">
            <v>51</v>
          </cell>
          <cell r="Q204">
            <v>30</v>
          </cell>
          <cell r="R204">
            <v>12</v>
          </cell>
          <cell r="S204">
            <v>50.6</v>
          </cell>
          <cell r="T204">
            <v>37465</v>
          </cell>
          <cell r="U204" t="str">
            <v>ГРП</v>
          </cell>
          <cell r="V204">
            <v>2</v>
          </cell>
          <cell r="W204" t="str">
            <v>СО-каротаж, ПР к ГРП, ГРП ЮК-2, осв.</v>
          </cell>
        </row>
        <row r="205">
          <cell r="B205">
            <v>2790</v>
          </cell>
          <cell r="C205">
            <v>144</v>
          </cell>
          <cell r="D205">
            <v>3</v>
          </cell>
          <cell r="E205">
            <v>30</v>
          </cell>
          <cell r="F205" t="str">
            <v>УПНПиКРС</v>
          </cell>
          <cell r="G205">
            <v>270</v>
          </cell>
          <cell r="H205" t="str">
            <v>нагнет.</v>
          </cell>
          <cell r="I205" t="str">
            <v>действ.</v>
          </cell>
          <cell r="J205">
            <v>37421</v>
          </cell>
          <cell r="K205">
            <v>150</v>
          </cell>
          <cell r="N205">
            <v>150</v>
          </cell>
          <cell r="Q205">
            <v>150</v>
          </cell>
          <cell r="T205">
            <v>37463</v>
          </cell>
          <cell r="U205" t="str">
            <v>нг</v>
          </cell>
          <cell r="W205" t="str">
            <v>Ревизия пакера</v>
          </cell>
        </row>
        <row r="206">
          <cell r="B206">
            <v>5290</v>
          </cell>
          <cell r="C206">
            <v>133</v>
          </cell>
          <cell r="D206">
            <v>4</v>
          </cell>
          <cell r="E206">
            <v>40</v>
          </cell>
          <cell r="F206" t="str">
            <v>УПНПиКРС</v>
          </cell>
          <cell r="H206" t="str">
            <v>ШГН</v>
          </cell>
          <cell r="I206" t="str">
            <v>бд</v>
          </cell>
          <cell r="N206">
            <v>65</v>
          </cell>
          <cell r="O206">
            <v>37.1</v>
          </cell>
          <cell r="P206">
            <v>30</v>
          </cell>
          <cell r="Q206">
            <v>65</v>
          </cell>
          <cell r="R206">
            <v>37.1</v>
          </cell>
          <cell r="S206">
            <v>29.5</v>
          </cell>
          <cell r="T206">
            <v>37455</v>
          </cell>
          <cell r="U206" t="str">
            <v>ГРП</v>
          </cell>
          <cell r="W206" t="str">
            <v>ВЦ, РИР ЮК-10, ПР к ГРП, ГРП ЮК-2, осв.</v>
          </cell>
        </row>
        <row r="207">
          <cell r="B207">
            <v>5483</v>
          </cell>
          <cell r="C207">
            <v>115</v>
          </cell>
          <cell r="D207">
            <v>4</v>
          </cell>
          <cell r="E207">
            <v>41</v>
          </cell>
          <cell r="F207" t="str">
            <v>УПНПиКРС</v>
          </cell>
          <cell r="G207">
            <v>250</v>
          </cell>
          <cell r="H207" t="str">
            <v>ЭЦН</v>
          </cell>
          <cell r="I207" t="str">
            <v>действ.</v>
          </cell>
          <cell r="J207">
            <v>34274</v>
          </cell>
          <cell r="K207">
            <v>20</v>
          </cell>
          <cell r="L207">
            <v>13.3</v>
          </cell>
          <cell r="M207">
            <v>18.2</v>
          </cell>
          <cell r="N207">
            <v>47</v>
          </cell>
          <cell r="O207">
            <v>33.700000000000003</v>
          </cell>
          <cell r="P207">
            <v>12</v>
          </cell>
          <cell r="Q207">
            <v>27</v>
          </cell>
          <cell r="R207">
            <v>20.400000000000002</v>
          </cell>
          <cell r="S207">
            <v>6.7</v>
          </cell>
          <cell r="T207">
            <v>37445</v>
          </cell>
          <cell r="U207" t="str">
            <v>опт</v>
          </cell>
          <cell r="V207">
            <v>3</v>
          </cell>
          <cell r="W207" t="str">
            <v>Подъём пакера , осв.после ГРП, сп.Э-50</v>
          </cell>
        </row>
        <row r="208">
          <cell r="B208">
            <v>2979</v>
          </cell>
          <cell r="C208">
            <v>50</v>
          </cell>
          <cell r="D208">
            <v>3</v>
          </cell>
          <cell r="E208">
            <v>30</v>
          </cell>
          <cell r="F208" t="str">
            <v>УПНПиКРС</v>
          </cell>
          <cell r="G208">
            <v>240</v>
          </cell>
          <cell r="H208" t="str">
            <v>ЭЦН</v>
          </cell>
          <cell r="I208" t="str">
            <v>бд</v>
          </cell>
          <cell r="J208">
            <v>37421</v>
          </cell>
          <cell r="K208">
            <v>44</v>
          </cell>
          <cell r="L208">
            <v>24.7</v>
          </cell>
          <cell r="M208">
            <v>31</v>
          </cell>
          <cell r="N208">
            <v>40</v>
          </cell>
          <cell r="O208">
            <v>18.600000000000001</v>
          </cell>
          <cell r="P208">
            <v>43</v>
          </cell>
          <cell r="Q208">
            <v>40</v>
          </cell>
          <cell r="R208">
            <v>18.600000000000001</v>
          </cell>
          <cell r="S208">
            <v>42.6</v>
          </cell>
          <cell r="T208">
            <v>37439</v>
          </cell>
          <cell r="U208" t="str">
            <v>ЛА</v>
          </cell>
          <cell r="V208">
            <v>2</v>
          </cell>
          <cell r="W208" t="str">
            <v>ЛА</v>
          </cell>
        </row>
        <row r="209">
          <cell r="B209">
            <v>5266</v>
          </cell>
          <cell r="C209">
            <v>134</v>
          </cell>
          <cell r="D209">
            <v>21</v>
          </cell>
          <cell r="E209">
            <v>210</v>
          </cell>
          <cell r="F209" t="str">
            <v>УПНПиКРС</v>
          </cell>
          <cell r="H209" t="str">
            <v>нагнет.</v>
          </cell>
          <cell r="I209" t="str">
            <v>бд</v>
          </cell>
          <cell r="N209">
            <v>50</v>
          </cell>
          <cell r="O209">
            <v>30</v>
          </cell>
          <cell r="P209">
            <v>26.5</v>
          </cell>
          <cell r="Q209">
            <v>50</v>
          </cell>
          <cell r="R209">
            <v>30</v>
          </cell>
          <cell r="S209">
            <v>25.9</v>
          </cell>
          <cell r="T209">
            <v>37436</v>
          </cell>
          <cell r="U209" t="str">
            <v>ГРП</v>
          </cell>
          <cell r="W209" t="str">
            <v>ОТСК, РИР ЮК-10, ПР к ГРП, ГРП ЮК-2, осв.</v>
          </cell>
        </row>
        <row r="210">
          <cell r="B210">
            <v>5266</v>
          </cell>
          <cell r="C210">
            <v>134</v>
          </cell>
          <cell r="D210">
            <v>21</v>
          </cell>
          <cell r="E210">
            <v>210</v>
          </cell>
          <cell r="F210" t="str">
            <v>УПНПиКРС</v>
          </cell>
          <cell r="H210" t="str">
            <v>нагнет.</v>
          </cell>
          <cell r="I210" t="str">
            <v>бд</v>
          </cell>
          <cell r="N210">
            <v>50</v>
          </cell>
          <cell r="O210">
            <v>30</v>
          </cell>
          <cell r="P210">
            <v>26.5</v>
          </cell>
          <cell r="Q210">
            <v>50</v>
          </cell>
          <cell r="R210">
            <v>30</v>
          </cell>
          <cell r="S210">
            <v>25.9</v>
          </cell>
          <cell r="T210">
            <v>37436</v>
          </cell>
          <cell r="U210" t="str">
            <v>ГРП</v>
          </cell>
          <cell r="W210" t="str">
            <v>ОТСК, РИР ЮК-10, ПР к ГРП, ГРП ЮК-2, осв.</v>
          </cell>
        </row>
        <row r="211">
          <cell r="B211">
            <v>5515</v>
          </cell>
          <cell r="C211">
            <v>115</v>
          </cell>
          <cell r="D211">
            <v>3</v>
          </cell>
          <cell r="E211">
            <v>30</v>
          </cell>
          <cell r="F211" t="str">
            <v>УПНПиКРС</v>
          </cell>
          <cell r="G211">
            <v>240</v>
          </cell>
          <cell r="H211" t="str">
            <v>ЭЦН</v>
          </cell>
          <cell r="I211" t="str">
            <v>действ.</v>
          </cell>
          <cell r="J211">
            <v>37370</v>
          </cell>
          <cell r="K211">
            <v>34</v>
          </cell>
          <cell r="L211">
            <v>25.5</v>
          </cell>
          <cell r="M211">
            <v>8</v>
          </cell>
          <cell r="N211">
            <v>40</v>
          </cell>
          <cell r="O211">
            <v>29.3</v>
          </cell>
          <cell r="P211">
            <v>10</v>
          </cell>
          <cell r="Q211">
            <v>6</v>
          </cell>
          <cell r="R211">
            <v>3.8000000000000007</v>
          </cell>
          <cell r="S211">
            <v>21.8</v>
          </cell>
          <cell r="T211">
            <v>37426</v>
          </cell>
          <cell r="U211" t="str">
            <v>опт</v>
          </cell>
          <cell r="V211">
            <v>2</v>
          </cell>
          <cell r="W211" t="str">
            <v>Подъём пакера , осв.после ГРП, сп.Э-50</v>
          </cell>
        </row>
        <row r="212">
          <cell r="B212">
            <v>5739</v>
          </cell>
          <cell r="C212">
            <v>127</v>
          </cell>
          <cell r="D212">
            <v>3</v>
          </cell>
          <cell r="E212">
            <v>31</v>
          </cell>
          <cell r="F212" t="str">
            <v>УПНПиКРС</v>
          </cell>
          <cell r="G212">
            <v>280</v>
          </cell>
          <cell r="H212" t="str">
            <v>нагнет.</v>
          </cell>
          <cell r="I212" t="str">
            <v>бд</v>
          </cell>
          <cell r="N212">
            <v>50</v>
          </cell>
          <cell r="O212">
            <v>11.4</v>
          </cell>
          <cell r="P212">
            <v>72</v>
          </cell>
          <cell r="Q212">
            <v>50</v>
          </cell>
          <cell r="R212">
            <v>11.4</v>
          </cell>
          <cell r="S212">
            <v>71.900000000000006</v>
          </cell>
          <cell r="T212">
            <v>37424</v>
          </cell>
          <cell r="U212" t="str">
            <v>ГРП</v>
          </cell>
        </row>
        <row r="213">
          <cell r="B213">
            <v>3055</v>
          </cell>
          <cell r="C213">
            <v>51</v>
          </cell>
          <cell r="D213">
            <v>19</v>
          </cell>
          <cell r="E213">
            <v>190</v>
          </cell>
          <cell r="F213" t="str">
            <v>УПНПиКРС</v>
          </cell>
          <cell r="H213" t="str">
            <v>нагнет.</v>
          </cell>
          <cell r="I213" t="str">
            <v>бд</v>
          </cell>
          <cell r="N213">
            <v>20</v>
          </cell>
          <cell r="O213">
            <v>12.2</v>
          </cell>
          <cell r="P213">
            <v>25</v>
          </cell>
          <cell r="Q213">
            <v>20</v>
          </cell>
          <cell r="R213">
            <v>12.2</v>
          </cell>
          <cell r="S213">
            <v>24.7</v>
          </cell>
          <cell r="T213">
            <v>37422</v>
          </cell>
          <cell r="U213" t="str">
            <v>ГРП</v>
          </cell>
          <cell r="W213" t="str">
            <v>ВЗ ИР ЮК-11, ПР к ГРП и ГРП ЮК-3</v>
          </cell>
        </row>
        <row r="214">
          <cell r="B214">
            <v>2963</v>
          </cell>
          <cell r="C214">
            <v>20</v>
          </cell>
          <cell r="D214">
            <v>4</v>
          </cell>
          <cell r="E214">
            <v>40</v>
          </cell>
          <cell r="F214" t="str">
            <v>УПНПиКРС</v>
          </cell>
          <cell r="G214">
            <v>291</v>
          </cell>
          <cell r="H214" t="str">
            <v>нагнет.</v>
          </cell>
          <cell r="I214" t="str">
            <v>конс.</v>
          </cell>
          <cell r="N214">
            <v>49</v>
          </cell>
          <cell r="O214">
            <v>37.9</v>
          </cell>
          <cell r="P214">
            <v>5</v>
          </cell>
          <cell r="Q214">
            <v>49</v>
          </cell>
          <cell r="R214">
            <v>37.9</v>
          </cell>
          <cell r="S214">
            <v>4.5</v>
          </cell>
          <cell r="T214">
            <v>37417</v>
          </cell>
          <cell r="U214" t="str">
            <v>ГРП</v>
          </cell>
          <cell r="W214" t="str">
            <v xml:space="preserve"> РИР ЮК-10, ПР к ГРП, ГРП ЮК-2, осв.</v>
          </cell>
        </row>
        <row r="215">
          <cell r="B215">
            <v>2820</v>
          </cell>
          <cell r="C215">
            <v>144</v>
          </cell>
          <cell r="D215">
            <v>9</v>
          </cell>
          <cell r="E215">
            <v>90</v>
          </cell>
          <cell r="F215" t="str">
            <v>УПНПиКРС</v>
          </cell>
          <cell r="H215" t="str">
            <v>ФОН</v>
          </cell>
          <cell r="I215" t="str">
            <v>действ.</v>
          </cell>
          <cell r="K215">
            <v>32</v>
          </cell>
          <cell r="L215">
            <v>21.4</v>
          </cell>
          <cell r="M215">
            <v>18</v>
          </cell>
          <cell r="N215">
            <v>40</v>
          </cell>
          <cell r="O215">
            <v>28.4</v>
          </cell>
          <cell r="P215">
            <v>13</v>
          </cell>
          <cell r="Q215">
            <v>8</v>
          </cell>
          <cell r="R215">
            <v>7</v>
          </cell>
          <cell r="S215">
            <v>-8</v>
          </cell>
          <cell r="T215">
            <v>37415</v>
          </cell>
          <cell r="U215" t="str">
            <v>опт</v>
          </cell>
          <cell r="W215" t="str">
            <v>Подъём пакера , осв.после ГРП, сп.Э-50</v>
          </cell>
        </row>
        <row r="216">
          <cell r="B216">
            <v>5242</v>
          </cell>
          <cell r="C216">
            <v>134</v>
          </cell>
          <cell r="D216">
            <v>21</v>
          </cell>
          <cell r="E216">
            <v>210</v>
          </cell>
          <cell r="F216" t="str">
            <v>УПНПиКРС</v>
          </cell>
          <cell r="H216" t="str">
            <v>ШГН</v>
          </cell>
          <cell r="I216" t="str">
            <v>конс.</v>
          </cell>
          <cell r="N216">
            <v>40</v>
          </cell>
          <cell r="O216">
            <v>28.4</v>
          </cell>
          <cell r="P216">
            <v>13</v>
          </cell>
          <cell r="Q216">
            <v>40</v>
          </cell>
          <cell r="R216">
            <v>28.4</v>
          </cell>
          <cell r="S216">
            <v>12.3</v>
          </cell>
          <cell r="T216">
            <v>37412</v>
          </cell>
          <cell r="V216">
            <v>3</v>
          </cell>
          <cell r="W216" t="str">
            <v>ВЦ, РИР ЮК-10, ПР к ГРП, ГРП ЮК-2, осв.</v>
          </cell>
        </row>
        <row r="217">
          <cell r="B217">
            <v>5218</v>
          </cell>
          <cell r="C217">
            <v>134</v>
          </cell>
          <cell r="D217">
            <v>21</v>
          </cell>
          <cell r="E217">
            <v>210</v>
          </cell>
          <cell r="F217" t="str">
            <v>УПНПиКРС</v>
          </cell>
          <cell r="G217">
            <v>245</v>
          </cell>
          <cell r="H217" t="str">
            <v>ШГН</v>
          </cell>
          <cell r="I217" t="str">
            <v>конс.</v>
          </cell>
          <cell r="J217">
            <v>32843</v>
          </cell>
          <cell r="N217">
            <v>50</v>
          </cell>
          <cell r="O217">
            <v>30</v>
          </cell>
          <cell r="P217">
            <v>26.5</v>
          </cell>
          <cell r="Q217">
            <v>50</v>
          </cell>
          <cell r="R217">
            <v>30</v>
          </cell>
          <cell r="S217">
            <v>25.9</v>
          </cell>
          <cell r="T217">
            <v>37407</v>
          </cell>
          <cell r="U217" t="str">
            <v>ГРП</v>
          </cell>
          <cell r="V217">
            <v>2</v>
          </cell>
          <cell r="W217" t="str">
            <v>ВЦ, ИР ЮК-10, ПР к ГРП и ГРП ЮК-2-3</v>
          </cell>
        </row>
        <row r="218">
          <cell r="B218">
            <v>2682</v>
          </cell>
          <cell r="C218" t="str">
            <v>145б</v>
          </cell>
          <cell r="D218">
            <v>9</v>
          </cell>
          <cell r="E218">
            <v>90</v>
          </cell>
          <cell r="F218" t="str">
            <v>УПНПиКРС</v>
          </cell>
          <cell r="G218">
            <v>260</v>
          </cell>
          <cell r="H218" t="str">
            <v>ЭЦН</v>
          </cell>
          <cell r="I218" t="str">
            <v>конс.</v>
          </cell>
          <cell r="J218">
            <v>34304</v>
          </cell>
          <cell r="K218">
            <v>0</v>
          </cell>
          <cell r="M218">
            <v>0</v>
          </cell>
          <cell r="N218">
            <v>50</v>
          </cell>
          <cell r="O218">
            <v>30</v>
          </cell>
          <cell r="P218">
            <v>26.5</v>
          </cell>
          <cell r="Q218">
            <v>50</v>
          </cell>
          <cell r="R218">
            <v>30</v>
          </cell>
          <cell r="S218">
            <v>25.9</v>
          </cell>
          <cell r="T218">
            <v>37406</v>
          </cell>
          <cell r="U218" t="str">
            <v>ГРП</v>
          </cell>
          <cell r="V218">
            <v>2</v>
          </cell>
          <cell r="W218" t="str">
            <v>ГИС-2(и.о.) ,при герм.Э/К и отс. ЗКЦ ДП 2554-2562, РИР ЮК-10, ГРП ЮК 3-4 V=30т</v>
          </cell>
        </row>
        <row r="219">
          <cell r="B219">
            <v>5483</v>
          </cell>
          <cell r="C219">
            <v>115</v>
          </cell>
          <cell r="D219">
            <v>3</v>
          </cell>
          <cell r="E219">
            <v>31</v>
          </cell>
          <cell r="F219" t="str">
            <v>УПНПиКРС</v>
          </cell>
          <cell r="G219">
            <v>250</v>
          </cell>
          <cell r="H219" t="str">
            <v>ЭЦН</v>
          </cell>
          <cell r="I219" t="str">
            <v>конс.</v>
          </cell>
          <cell r="J219">
            <v>34274</v>
          </cell>
          <cell r="K219">
            <v>30</v>
          </cell>
          <cell r="L219">
            <v>23.5</v>
          </cell>
          <cell r="M219">
            <v>4</v>
          </cell>
          <cell r="N219">
            <v>30</v>
          </cell>
          <cell r="O219">
            <v>22.1</v>
          </cell>
          <cell r="P219">
            <v>9.5</v>
          </cell>
          <cell r="Q219">
            <v>30</v>
          </cell>
          <cell r="R219">
            <v>22.1</v>
          </cell>
          <cell r="S219">
            <v>9.1</v>
          </cell>
          <cell r="T219">
            <v>37393</v>
          </cell>
          <cell r="U219" t="str">
            <v>ГРП</v>
          </cell>
          <cell r="V219">
            <v>3</v>
          </cell>
          <cell r="W219" t="str">
            <v xml:space="preserve"> пр к ГРП, ГРП</v>
          </cell>
        </row>
        <row r="220">
          <cell r="B220">
            <v>5425</v>
          </cell>
          <cell r="C220">
            <v>102</v>
          </cell>
          <cell r="D220">
            <v>3</v>
          </cell>
          <cell r="E220">
            <v>30</v>
          </cell>
          <cell r="F220" t="str">
            <v>УПНПиКРС</v>
          </cell>
          <cell r="G220">
            <v>230</v>
          </cell>
          <cell r="H220" t="str">
            <v>ЭЦН</v>
          </cell>
          <cell r="I220" t="str">
            <v>действ.</v>
          </cell>
          <cell r="J220">
            <v>37355</v>
          </cell>
          <cell r="K220">
            <v>21</v>
          </cell>
          <cell r="L220">
            <v>15.6</v>
          </cell>
          <cell r="M220">
            <v>9</v>
          </cell>
          <cell r="N220">
            <v>35</v>
          </cell>
          <cell r="O220">
            <v>27.1</v>
          </cell>
          <cell r="P220">
            <v>5</v>
          </cell>
          <cell r="Q220">
            <v>14</v>
          </cell>
          <cell r="R220">
            <v>11.500000000000002</v>
          </cell>
          <cell r="S220">
            <v>-1.4</v>
          </cell>
          <cell r="T220">
            <v>37390</v>
          </cell>
          <cell r="U220" t="str">
            <v>опт</v>
          </cell>
          <cell r="V220">
            <v>2</v>
          </cell>
          <cell r="W220" t="str">
            <v>Подъём пакера , осв.после ГРП, сп.Э-50</v>
          </cell>
        </row>
        <row r="221">
          <cell r="B221" t="str">
            <v>5321б</v>
          </cell>
          <cell r="C221">
            <v>135</v>
          </cell>
          <cell r="D221">
            <v>4</v>
          </cell>
          <cell r="E221">
            <v>40</v>
          </cell>
          <cell r="F221" t="str">
            <v>УПНПиКРС</v>
          </cell>
          <cell r="G221">
            <v>245</v>
          </cell>
          <cell r="H221" t="str">
            <v>ФОН</v>
          </cell>
          <cell r="I221" t="str">
            <v>конс.</v>
          </cell>
          <cell r="J221">
            <v>34669</v>
          </cell>
          <cell r="K221">
            <v>50</v>
          </cell>
          <cell r="L221">
            <v>4.0999999999999996</v>
          </cell>
          <cell r="M221">
            <v>90</v>
          </cell>
          <cell r="N221">
            <v>30</v>
          </cell>
          <cell r="O221">
            <v>21</v>
          </cell>
          <cell r="P221">
            <v>14</v>
          </cell>
          <cell r="Q221">
            <v>30</v>
          </cell>
          <cell r="R221">
            <v>21</v>
          </cell>
          <cell r="S221">
            <v>13.6</v>
          </cell>
          <cell r="T221">
            <v>37387</v>
          </cell>
          <cell r="U221" t="str">
            <v>ГРП</v>
          </cell>
          <cell r="V221">
            <v>2</v>
          </cell>
          <cell r="W221" t="str">
            <v>ГРП ЮК 2-3</v>
          </cell>
        </row>
        <row r="222">
          <cell r="B222">
            <v>5800</v>
          </cell>
          <cell r="C222">
            <v>141</v>
          </cell>
          <cell r="D222">
            <v>21</v>
          </cell>
          <cell r="E222">
            <v>211</v>
          </cell>
          <cell r="F222" t="str">
            <v>УПНПиКРС</v>
          </cell>
          <cell r="G222">
            <v>287</v>
          </cell>
          <cell r="H222" t="str">
            <v>нагнет.</v>
          </cell>
          <cell r="I222" t="str">
            <v>бд</v>
          </cell>
          <cell r="J222">
            <v>36641</v>
          </cell>
          <cell r="K222">
            <v>150</v>
          </cell>
          <cell r="N222">
            <v>150</v>
          </cell>
          <cell r="Q222">
            <v>150</v>
          </cell>
          <cell r="T222">
            <v>37366</v>
          </cell>
          <cell r="V222">
            <v>2</v>
          </cell>
          <cell r="W222" t="str">
            <v>Ревизия пакера</v>
          </cell>
        </row>
        <row r="223">
          <cell r="B223">
            <v>5418</v>
          </cell>
          <cell r="C223">
            <v>109</v>
          </cell>
          <cell r="D223">
            <v>3</v>
          </cell>
          <cell r="E223">
            <v>30</v>
          </cell>
          <cell r="F223" t="str">
            <v>УПНПиКРС</v>
          </cell>
          <cell r="G223">
            <v>275</v>
          </cell>
          <cell r="H223" t="str">
            <v>ЭЦН</v>
          </cell>
          <cell r="I223" t="str">
            <v>бд</v>
          </cell>
          <cell r="J223">
            <v>35823</v>
          </cell>
          <cell r="K223">
            <v>30</v>
          </cell>
          <cell r="L223">
            <v>4.2</v>
          </cell>
          <cell r="M223">
            <v>83</v>
          </cell>
          <cell r="N223">
            <v>32</v>
          </cell>
          <cell r="O223">
            <v>7.8</v>
          </cell>
          <cell r="P223">
            <v>70</v>
          </cell>
          <cell r="Q223">
            <v>32</v>
          </cell>
          <cell r="R223">
            <v>7.8</v>
          </cell>
          <cell r="S223">
            <v>69.900000000000006</v>
          </cell>
          <cell r="T223">
            <v>37356</v>
          </cell>
          <cell r="U223" t="str">
            <v>ГРП</v>
          </cell>
          <cell r="V223">
            <v>2</v>
          </cell>
          <cell r="W223" t="str">
            <v>ВЦ. РИР ЮК-11. ПП ЮК-10. ГРП</v>
          </cell>
        </row>
        <row r="224">
          <cell r="B224">
            <v>2533</v>
          </cell>
          <cell r="C224">
            <v>150</v>
          </cell>
          <cell r="D224">
            <v>4</v>
          </cell>
          <cell r="E224">
            <v>40</v>
          </cell>
          <cell r="F224" t="str">
            <v>УПНПиКРС</v>
          </cell>
          <cell r="G224">
            <v>250</v>
          </cell>
          <cell r="H224" t="str">
            <v>ШГН</v>
          </cell>
          <cell r="I224" t="str">
            <v>бд</v>
          </cell>
          <cell r="K224">
            <v>6</v>
          </cell>
          <cell r="L224">
            <v>0.5</v>
          </cell>
          <cell r="M224">
            <v>90</v>
          </cell>
          <cell r="N224">
            <v>55</v>
          </cell>
          <cell r="O224">
            <v>29.6</v>
          </cell>
          <cell r="P224">
            <v>34</v>
          </cell>
          <cell r="Q224">
            <v>55</v>
          </cell>
          <cell r="R224">
            <v>29.6</v>
          </cell>
          <cell r="S224">
            <v>33.6</v>
          </cell>
          <cell r="T224">
            <v>37351</v>
          </cell>
          <cell r="U224" t="str">
            <v>ГРП</v>
          </cell>
          <cell r="V224">
            <v>2</v>
          </cell>
          <cell r="W224" t="str">
            <v>ИР ЮК-11. ПП ЮК-10. ГРП</v>
          </cell>
        </row>
        <row r="225">
          <cell r="B225">
            <v>2993</v>
          </cell>
          <cell r="C225">
            <v>42</v>
          </cell>
          <cell r="D225">
            <v>7</v>
          </cell>
          <cell r="E225">
            <v>70</v>
          </cell>
          <cell r="F225" t="str">
            <v>УПНПиКРС</v>
          </cell>
          <cell r="G225">
            <v>250</v>
          </cell>
          <cell r="H225" t="str">
            <v>ШГН</v>
          </cell>
          <cell r="I225" t="str">
            <v>бд</v>
          </cell>
          <cell r="J225">
            <v>35217</v>
          </cell>
          <cell r="K225">
            <v>2</v>
          </cell>
          <cell r="L225">
            <v>0.2</v>
          </cell>
          <cell r="M225">
            <v>86</v>
          </cell>
          <cell r="N225">
            <v>36</v>
          </cell>
          <cell r="O225">
            <v>26.7</v>
          </cell>
          <cell r="P225">
            <v>9</v>
          </cell>
          <cell r="Q225">
            <v>36</v>
          </cell>
          <cell r="R225">
            <v>26.7</v>
          </cell>
          <cell r="S225">
            <v>8.4</v>
          </cell>
          <cell r="T225">
            <v>37350</v>
          </cell>
          <cell r="U225" t="str">
            <v>ГРП</v>
          </cell>
          <cell r="V225">
            <v>2</v>
          </cell>
          <cell r="W225" t="str">
            <v>ВЗ. РИР ЮК-10. ГИС-2. ГРП ЮК-4-5</v>
          </cell>
        </row>
        <row r="226">
          <cell r="B226">
            <v>2787</v>
          </cell>
          <cell r="C226">
            <v>145</v>
          </cell>
          <cell r="D226">
            <v>11</v>
          </cell>
          <cell r="E226">
            <v>110</v>
          </cell>
          <cell r="F226" t="str">
            <v>УПНПиКРС</v>
          </cell>
          <cell r="G226">
            <v>250</v>
          </cell>
          <cell r="H226" t="str">
            <v>ЭЦН</v>
          </cell>
          <cell r="I226" t="str">
            <v>действ.</v>
          </cell>
          <cell r="J226">
            <v>33786</v>
          </cell>
          <cell r="K226">
            <v>16</v>
          </cell>
          <cell r="L226">
            <v>12.4</v>
          </cell>
          <cell r="M226">
            <v>5</v>
          </cell>
          <cell r="N226">
            <v>25</v>
          </cell>
          <cell r="O226">
            <v>14.3</v>
          </cell>
          <cell r="P226">
            <v>30</v>
          </cell>
          <cell r="Q226">
            <v>9</v>
          </cell>
          <cell r="R226">
            <v>1.9000000000000004</v>
          </cell>
          <cell r="S226">
            <v>73.900000000000006</v>
          </cell>
          <cell r="V226">
            <v>1</v>
          </cell>
          <cell r="W226" t="str">
            <v>Срыв пакера, ГДИ, сп.ЭЦН</v>
          </cell>
        </row>
        <row r="227">
          <cell r="B227" t="str">
            <v>5845б</v>
          </cell>
          <cell r="C227" t="str">
            <v>168б</v>
          </cell>
          <cell r="D227">
            <v>11</v>
          </cell>
          <cell r="E227">
            <v>110</v>
          </cell>
          <cell r="F227" t="str">
            <v>УПНПиКРС</v>
          </cell>
          <cell r="G227">
            <v>253</v>
          </cell>
          <cell r="H227" t="str">
            <v>ЭЦН</v>
          </cell>
          <cell r="I227" t="str">
            <v>действ.</v>
          </cell>
          <cell r="K227">
            <v>63</v>
          </cell>
          <cell r="L227">
            <v>4.5999999999999996</v>
          </cell>
          <cell r="M227">
            <v>91</v>
          </cell>
          <cell r="N227">
            <v>93</v>
          </cell>
          <cell r="O227">
            <v>7.6</v>
          </cell>
          <cell r="P227">
            <v>90</v>
          </cell>
          <cell r="Q227">
            <v>30</v>
          </cell>
          <cell r="R227">
            <v>3</v>
          </cell>
          <cell r="S227">
            <v>87.7</v>
          </cell>
          <cell r="T227">
            <v>37338</v>
          </cell>
          <cell r="U227" t="str">
            <v>опт</v>
          </cell>
          <cell r="V227">
            <v>2</v>
          </cell>
        </row>
        <row r="228">
          <cell r="B228">
            <v>5525</v>
          </cell>
          <cell r="C228">
            <v>118</v>
          </cell>
          <cell r="D228">
            <v>21</v>
          </cell>
          <cell r="E228">
            <v>212</v>
          </cell>
          <cell r="G228">
            <v>270</v>
          </cell>
          <cell r="H228" t="str">
            <v>ШГН</v>
          </cell>
          <cell r="I228" t="str">
            <v>конс.</v>
          </cell>
          <cell r="J228">
            <v>33208</v>
          </cell>
          <cell r="K228">
            <v>5</v>
          </cell>
          <cell r="L228">
            <v>0.2</v>
          </cell>
          <cell r="M228">
            <v>96</v>
          </cell>
          <cell r="N228">
            <v>4</v>
          </cell>
          <cell r="O228">
            <v>1.6</v>
          </cell>
          <cell r="P228">
            <v>50</v>
          </cell>
          <cell r="Q228">
            <v>4</v>
          </cell>
          <cell r="R228">
            <v>1.6</v>
          </cell>
          <cell r="S228">
            <v>50.6</v>
          </cell>
          <cell r="T228">
            <v>37322</v>
          </cell>
          <cell r="U228" t="str">
            <v>ОПЗ</v>
          </cell>
          <cell r="W228" t="str">
            <v>ПП ДН п."б". ОПЗ (НТПН). ГДИ</v>
          </cell>
        </row>
        <row r="230">
          <cell r="B230" t="str">
            <v>5845б</v>
          </cell>
          <cell r="C230" t="str">
            <v>168б</v>
          </cell>
          <cell r="D230">
            <v>11</v>
          </cell>
          <cell r="E230">
            <v>110</v>
          </cell>
          <cell r="F230" t="str">
            <v>УПНПиКРС</v>
          </cell>
          <cell r="G230">
            <v>253</v>
          </cell>
          <cell r="H230" t="str">
            <v>ЭЦН</v>
          </cell>
          <cell r="I230" t="str">
            <v>конс.</v>
          </cell>
          <cell r="J230">
            <v>35401</v>
          </cell>
          <cell r="N230">
            <v>93</v>
          </cell>
          <cell r="O230">
            <v>10.6</v>
          </cell>
          <cell r="P230">
            <v>86</v>
          </cell>
          <cell r="Q230">
            <v>93</v>
          </cell>
          <cell r="R230">
            <v>10.6</v>
          </cell>
          <cell r="S230">
            <v>85.9</v>
          </cell>
          <cell r="T230">
            <v>37317</v>
          </cell>
          <cell r="U230" t="str">
            <v>ГРП</v>
          </cell>
          <cell r="V230">
            <v>2</v>
          </cell>
        </row>
        <row r="231">
          <cell r="B231">
            <v>5425</v>
          </cell>
          <cell r="C231">
            <v>102</v>
          </cell>
          <cell r="D231">
            <v>9</v>
          </cell>
          <cell r="E231">
            <v>90</v>
          </cell>
          <cell r="F231" t="str">
            <v>УПНПиКРС</v>
          </cell>
          <cell r="G231">
            <v>230</v>
          </cell>
          <cell r="H231" t="str">
            <v>ЭЦН</v>
          </cell>
          <cell r="I231" t="str">
            <v>бд</v>
          </cell>
          <cell r="K231">
            <v>73</v>
          </cell>
          <cell r="L231">
            <v>1.8</v>
          </cell>
          <cell r="M231">
            <v>97</v>
          </cell>
          <cell r="N231">
            <v>25</v>
          </cell>
          <cell r="O231">
            <v>19.399999999999999</v>
          </cell>
          <cell r="P231">
            <v>5</v>
          </cell>
          <cell r="Q231">
            <v>25</v>
          </cell>
          <cell r="R231">
            <v>19.399999999999999</v>
          </cell>
          <cell r="S231">
            <v>4.2</v>
          </cell>
          <cell r="T231">
            <v>37296</v>
          </cell>
          <cell r="U231" t="str">
            <v>ГРП</v>
          </cell>
          <cell r="V231">
            <v>2</v>
          </cell>
          <cell r="W231" t="str">
            <v xml:space="preserve"> ИР ЮК-10, ПР к ГРП и ГРП ЮК-2-3 </v>
          </cell>
        </row>
        <row r="232">
          <cell r="B232">
            <v>2720</v>
          </cell>
          <cell r="C232">
            <v>166</v>
          </cell>
          <cell r="D232">
            <v>80</v>
          </cell>
          <cell r="E232">
            <v>801</v>
          </cell>
          <cell r="F232" t="str">
            <v>ЗАО "УПКРС"</v>
          </cell>
          <cell r="G232">
            <v>265</v>
          </cell>
          <cell r="H232" t="str">
            <v>ШГН</v>
          </cell>
          <cell r="I232" t="str">
            <v>действ.</v>
          </cell>
          <cell r="K232">
            <v>16</v>
          </cell>
          <cell r="L232">
            <v>12</v>
          </cell>
          <cell r="M232">
            <v>8</v>
          </cell>
          <cell r="N232">
            <v>30</v>
          </cell>
          <cell r="O232">
            <v>13.7</v>
          </cell>
          <cell r="P232">
            <v>44</v>
          </cell>
          <cell r="Q232">
            <v>14</v>
          </cell>
          <cell r="R232">
            <v>1.6999999999999993</v>
          </cell>
          <cell r="S232">
            <v>85</v>
          </cell>
          <cell r="T232">
            <v>37294</v>
          </cell>
          <cell r="U232" t="str">
            <v>опт</v>
          </cell>
          <cell r="V232">
            <v>2</v>
          </cell>
          <cell r="W232" t="str">
            <v>Опт.Н-44/Э-30</v>
          </cell>
        </row>
        <row r="233">
          <cell r="B233">
            <v>5515</v>
          </cell>
          <cell r="C233">
            <v>115</v>
          </cell>
          <cell r="D233">
            <v>21</v>
          </cell>
          <cell r="E233">
            <v>211</v>
          </cell>
          <cell r="F233" t="str">
            <v>УПНПиКРС</v>
          </cell>
          <cell r="G233">
            <v>240</v>
          </cell>
          <cell r="H233" t="str">
            <v>ЭЦН</v>
          </cell>
          <cell r="I233" t="str">
            <v>конс.</v>
          </cell>
          <cell r="J233">
            <v>33910</v>
          </cell>
          <cell r="N233">
            <v>36</v>
          </cell>
          <cell r="O233">
            <v>25.8</v>
          </cell>
          <cell r="P233">
            <v>12</v>
          </cell>
          <cell r="Q233">
            <v>36</v>
          </cell>
          <cell r="R233">
            <v>25.8</v>
          </cell>
          <cell r="S233">
            <v>11.5</v>
          </cell>
          <cell r="T233">
            <v>37291</v>
          </cell>
          <cell r="U233" t="str">
            <v>ГРП</v>
          </cell>
          <cell r="V233">
            <v>2</v>
          </cell>
          <cell r="W233" t="str">
            <v>ВЦ, ИР ЮК-10, ПР к ГРП и ГРП ЮК-2-3 Сваб</v>
          </cell>
        </row>
        <row r="234">
          <cell r="B234">
            <v>5315</v>
          </cell>
          <cell r="C234">
            <v>133</v>
          </cell>
          <cell r="H234" t="str">
            <v>ШГН</v>
          </cell>
          <cell r="I234" t="str">
            <v>бд</v>
          </cell>
          <cell r="N234">
            <v>15</v>
          </cell>
          <cell r="O234">
            <v>10</v>
          </cell>
          <cell r="P234">
            <v>18</v>
          </cell>
          <cell r="Q234">
            <v>15</v>
          </cell>
          <cell r="R234">
            <v>10</v>
          </cell>
          <cell r="S234">
            <v>17.7</v>
          </cell>
          <cell r="T234">
            <v>37285</v>
          </cell>
          <cell r="U234" t="str">
            <v>ВЦД</v>
          </cell>
          <cell r="W234" t="str">
            <v>ВЦ</v>
          </cell>
        </row>
        <row r="235">
          <cell r="B235">
            <v>5311</v>
          </cell>
          <cell r="C235">
            <v>140</v>
          </cell>
          <cell r="F235" t="str">
            <v>ПРС</v>
          </cell>
          <cell r="G235">
            <v>260</v>
          </cell>
          <cell r="H235" t="str">
            <v>ШГН</v>
          </cell>
          <cell r="I235" t="str">
            <v>бд</v>
          </cell>
          <cell r="N235">
            <v>20</v>
          </cell>
          <cell r="O235">
            <v>2</v>
          </cell>
          <cell r="P235">
            <v>88</v>
          </cell>
          <cell r="Q235">
            <v>20</v>
          </cell>
          <cell r="R235">
            <v>2</v>
          </cell>
          <cell r="S235">
            <v>87.7</v>
          </cell>
          <cell r="T235">
            <v>37283</v>
          </cell>
          <cell r="U235" t="str">
            <v>БДД</v>
          </cell>
        </row>
        <row r="236">
          <cell r="B236">
            <v>5702</v>
          </cell>
          <cell r="C236">
            <v>126</v>
          </cell>
          <cell r="D236">
            <v>21</v>
          </cell>
          <cell r="E236">
            <v>213</v>
          </cell>
          <cell r="F236" t="str">
            <v>УПНПиКРС</v>
          </cell>
          <cell r="G236">
            <v>230</v>
          </cell>
          <cell r="H236" t="str">
            <v>ШГН</v>
          </cell>
          <cell r="I236" t="str">
            <v>действ.</v>
          </cell>
          <cell r="N236">
            <v>12</v>
          </cell>
          <cell r="O236">
            <v>7.9</v>
          </cell>
          <cell r="P236">
            <v>19</v>
          </cell>
          <cell r="Q236">
            <v>12</v>
          </cell>
          <cell r="R236">
            <v>7.9</v>
          </cell>
          <cell r="S236">
            <v>18.7</v>
          </cell>
          <cell r="T236">
            <v>37280</v>
          </cell>
          <cell r="U236" t="str">
            <v>БДП</v>
          </cell>
          <cell r="W236" t="str">
            <v>ВЦ, ревизия Н-57</v>
          </cell>
        </row>
        <row r="237">
          <cell r="B237">
            <v>5560</v>
          </cell>
          <cell r="C237" t="str">
            <v>119б</v>
          </cell>
          <cell r="D237">
            <v>4</v>
          </cell>
          <cell r="E237">
            <v>42</v>
          </cell>
          <cell r="F237" t="str">
            <v>УПНПиКРС</v>
          </cell>
          <cell r="G237">
            <v>265</v>
          </cell>
          <cell r="H237" t="str">
            <v>ШГН</v>
          </cell>
          <cell r="I237" t="str">
            <v>бд</v>
          </cell>
          <cell r="J237">
            <v>36544</v>
          </cell>
          <cell r="K237">
            <v>2</v>
          </cell>
          <cell r="L237">
            <v>1</v>
          </cell>
          <cell r="M237">
            <v>40</v>
          </cell>
          <cell r="N237">
            <v>12</v>
          </cell>
          <cell r="O237">
            <v>2</v>
          </cell>
          <cell r="P237">
            <v>80</v>
          </cell>
          <cell r="Q237">
            <v>12</v>
          </cell>
          <cell r="R237">
            <v>2</v>
          </cell>
          <cell r="S237">
            <v>79.400000000000006</v>
          </cell>
          <cell r="T237">
            <v>37278</v>
          </cell>
          <cell r="U237" t="str">
            <v>ОПЗ</v>
          </cell>
          <cell r="W237" t="str">
            <v>ВЦ ПП. ОПЗ НТПН. ГДИ</v>
          </cell>
        </row>
        <row r="238">
          <cell r="B238">
            <v>2979</v>
          </cell>
          <cell r="C238">
            <v>50</v>
          </cell>
          <cell r="H238" t="str">
            <v>ШГН</v>
          </cell>
          <cell r="I238" t="str">
            <v>действ.</v>
          </cell>
          <cell r="K238">
            <v>20</v>
          </cell>
          <cell r="L238">
            <v>10.6</v>
          </cell>
          <cell r="M238">
            <v>35</v>
          </cell>
          <cell r="N238">
            <v>33</v>
          </cell>
          <cell r="O238">
            <v>15</v>
          </cell>
          <cell r="P238">
            <v>44.3</v>
          </cell>
          <cell r="Q238">
            <v>13</v>
          </cell>
          <cell r="R238">
            <v>4.4000000000000004</v>
          </cell>
          <cell r="S238">
            <v>58.2</v>
          </cell>
          <cell r="T238">
            <v>37277</v>
          </cell>
          <cell r="U238" t="str">
            <v>опт</v>
          </cell>
          <cell r="W238" t="str">
            <v>опт.Н-57/Э-45</v>
          </cell>
        </row>
        <row r="239">
          <cell r="B239">
            <v>5643</v>
          </cell>
          <cell r="C239">
            <v>126</v>
          </cell>
          <cell r="D239">
            <v>9</v>
          </cell>
          <cell r="E239">
            <v>90</v>
          </cell>
          <cell r="F239" t="str">
            <v>УПНПиКРС</v>
          </cell>
          <cell r="G239">
            <v>230</v>
          </cell>
          <cell r="H239" t="str">
            <v>ШГН</v>
          </cell>
          <cell r="O239">
            <v>0</v>
          </cell>
          <cell r="Q239">
            <v>0</v>
          </cell>
          <cell r="R239">
            <v>0</v>
          </cell>
          <cell r="T239">
            <v>37277</v>
          </cell>
          <cell r="U239" t="str">
            <v>ЗБС</v>
          </cell>
          <cell r="W239" t="str">
            <v>ПР К ЗБС</v>
          </cell>
        </row>
        <row r="240">
          <cell r="B240">
            <v>4212</v>
          </cell>
          <cell r="C240">
            <v>311</v>
          </cell>
          <cell r="H240" t="str">
            <v>ЭЦН</v>
          </cell>
          <cell r="I240" t="str">
            <v>действ.</v>
          </cell>
          <cell r="K240">
            <v>60</v>
          </cell>
          <cell r="L240">
            <v>0.5</v>
          </cell>
          <cell r="M240">
            <v>99</v>
          </cell>
          <cell r="N240">
            <v>80</v>
          </cell>
          <cell r="O240">
            <v>2</v>
          </cell>
          <cell r="P240">
            <v>97</v>
          </cell>
          <cell r="Q240">
            <v>20</v>
          </cell>
          <cell r="R240">
            <v>1.5</v>
          </cell>
          <cell r="S240">
            <v>90.7</v>
          </cell>
          <cell r="T240">
            <v>37277</v>
          </cell>
          <cell r="U240" t="str">
            <v>опт</v>
          </cell>
          <cell r="W240" t="str">
            <v>Опт.Э-50/Э-80</v>
          </cell>
        </row>
        <row r="241">
          <cell r="B241">
            <v>2720</v>
          </cell>
          <cell r="C241">
            <v>166</v>
          </cell>
          <cell r="D241">
            <v>80</v>
          </cell>
          <cell r="E241">
            <v>801</v>
          </cell>
          <cell r="F241" t="str">
            <v>ЗАО "УПКРС"</v>
          </cell>
          <cell r="G241">
            <v>265</v>
          </cell>
          <cell r="H241" t="str">
            <v>ШГН</v>
          </cell>
          <cell r="I241" t="str">
            <v>бд</v>
          </cell>
          <cell r="J241">
            <v>35746</v>
          </cell>
          <cell r="N241">
            <v>17</v>
          </cell>
          <cell r="O241">
            <v>12</v>
          </cell>
          <cell r="P241">
            <v>13.5</v>
          </cell>
          <cell r="Q241">
            <v>17</v>
          </cell>
          <cell r="R241">
            <v>12</v>
          </cell>
          <cell r="S241">
            <v>12.9</v>
          </cell>
          <cell r="T241">
            <v>37268</v>
          </cell>
          <cell r="U241" t="str">
            <v>ГРП</v>
          </cell>
          <cell r="W241" t="str">
            <v>ВЦ. Извлечение НКТ с НГН-44. ГРП ЮК-10</v>
          </cell>
        </row>
        <row r="242">
          <cell r="B242">
            <v>2722</v>
          </cell>
          <cell r="C242">
            <v>166</v>
          </cell>
          <cell r="F242" t="str">
            <v>ПРС</v>
          </cell>
          <cell r="G242">
            <v>260</v>
          </cell>
          <cell r="H242" t="str">
            <v>ШГН</v>
          </cell>
          <cell r="I242" t="str">
            <v>бд</v>
          </cell>
          <cell r="L242">
            <v>0</v>
          </cell>
          <cell r="N242">
            <v>6</v>
          </cell>
          <cell r="O242">
            <v>4.7</v>
          </cell>
          <cell r="P242">
            <v>4</v>
          </cell>
          <cell r="Q242">
            <v>6</v>
          </cell>
          <cell r="R242">
            <v>4.7</v>
          </cell>
          <cell r="S242">
            <v>3.3</v>
          </cell>
          <cell r="T242">
            <v>37264</v>
          </cell>
          <cell r="U242" t="str">
            <v>БДД</v>
          </cell>
        </row>
        <row r="243">
          <cell r="B243">
            <v>4123</v>
          </cell>
          <cell r="C243">
            <v>314</v>
          </cell>
          <cell r="H243" t="str">
            <v>ШГН</v>
          </cell>
          <cell r="I243" t="str">
            <v>конс.</v>
          </cell>
          <cell r="N243">
            <v>5</v>
          </cell>
          <cell r="O243">
            <v>2</v>
          </cell>
          <cell r="P243">
            <v>49.8</v>
          </cell>
          <cell r="Q243">
            <v>5</v>
          </cell>
          <cell r="R243">
            <v>2</v>
          </cell>
          <cell r="S243">
            <v>50.6</v>
          </cell>
          <cell r="T243">
            <v>37260</v>
          </cell>
          <cell r="U243" t="str">
            <v>ОВП</v>
          </cell>
          <cell r="V243">
            <v>1</v>
          </cell>
        </row>
        <row r="244">
          <cell r="B244">
            <v>5336</v>
          </cell>
          <cell r="C244">
            <v>140</v>
          </cell>
          <cell r="D244">
            <v>9</v>
          </cell>
          <cell r="E244">
            <v>91</v>
          </cell>
          <cell r="F244" t="str">
            <v>УПНПиКРС</v>
          </cell>
          <cell r="G244">
            <v>270</v>
          </cell>
          <cell r="H244" t="str">
            <v>ШГН</v>
          </cell>
          <cell r="I244" t="str">
            <v>бд</v>
          </cell>
          <cell r="J244">
            <v>34366</v>
          </cell>
          <cell r="K244">
            <v>3.5</v>
          </cell>
          <cell r="L244">
            <v>2.7</v>
          </cell>
          <cell r="M244">
            <v>5</v>
          </cell>
          <cell r="N244">
            <v>6</v>
          </cell>
          <cell r="O244">
            <v>2.9</v>
          </cell>
          <cell r="P244">
            <v>40</v>
          </cell>
          <cell r="Q244">
            <v>6</v>
          </cell>
          <cell r="R244">
            <v>2.9</v>
          </cell>
          <cell r="S244">
            <v>40.299999999999997</v>
          </cell>
          <cell r="T244">
            <v>37255</v>
          </cell>
          <cell r="U244" t="str">
            <v>ОПЗ</v>
          </cell>
          <cell r="W244" t="str">
            <v xml:space="preserve">Ликв.негерм.ЭК. ИР ЮК-11. ГИС. ПП п."б". </v>
          </cell>
        </row>
        <row r="245">
          <cell r="B245">
            <v>11007</v>
          </cell>
          <cell r="C245" t="str">
            <v>123б</v>
          </cell>
          <cell r="H245" t="str">
            <v>ЭЦН</v>
          </cell>
          <cell r="N245">
            <v>50</v>
          </cell>
          <cell r="O245">
            <v>2</v>
          </cell>
          <cell r="P245">
            <v>95</v>
          </cell>
          <cell r="Q245">
            <v>50</v>
          </cell>
          <cell r="R245">
            <v>2</v>
          </cell>
          <cell r="S245">
            <v>95.1</v>
          </cell>
          <cell r="T245">
            <v>37254</v>
          </cell>
          <cell r="U245" t="str">
            <v>ВЦД</v>
          </cell>
          <cell r="W245" t="str">
            <v>ВЦ Электропрогрев</v>
          </cell>
        </row>
        <row r="246">
          <cell r="B246">
            <v>4015</v>
          </cell>
          <cell r="C246">
            <v>310</v>
          </cell>
          <cell r="H246" t="str">
            <v>ШГН</v>
          </cell>
          <cell r="I246" t="str">
            <v>конс.</v>
          </cell>
          <cell r="J246">
            <v>34274</v>
          </cell>
          <cell r="N246">
            <v>6</v>
          </cell>
          <cell r="O246">
            <v>2.1</v>
          </cell>
          <cell r="P246">
            <v>58</v>
          </cell>
          <cell r="Q246">
            <v>6</v>
          </cell>
          <cell r="R246">
            <v>2.1</v>
          </cell>
          <cell r="S246">
            <v>56.8</v>
          </cell>
          <cell r="T246">
            <v>37250</v>
          </cell>
          <cell r="U246" t="str">
            <v>ОВП</v>
          </cell>
        </row>
        <row r="247">
          <cell r="B247">
            <v>5543</v>
          </cell>
          <cell r="C247">
            <v>114</v>
          </cell>
          <cell r="H247" t="str">
            <v>ШГН</v>
          </cell>
          <cell r="N247">
            <v>3</v>
          </cell>
          <cell r="O247">
            <v>1.7</v>
          </cell>
          <cell r="P247">
            <v>29</v>
          </cell>
          <cell r="Q247">
            <v>3</v>
          </cell>
          <cell r="R247">
            <v>1.7</v>
          </cell>
          <cell r="S247">
            <v>30</v>
          </cell>
          <cell r="T247">
            <v>37249</v>
          </cell>
          <cell r="U247" t="str">
            <v>ОПЗ</v>
          </cell>
          <cell r="W247" t="str">
            <v>ВЗ,ОПЗ КСПЭО, ГДИ</v>
          </cell>
        </row>
        <row r="248">
          <cell r="B248">
            <v>2878</v>
          </cell>
          <cell r="C248">
            <v>42</v>
          </cell>
          <cell r="D248">
            <v>3</v>
          </cell>
          <cell r="E248">
            <v>32</v>
          </cell>
          <cell r="F248" t="str">
            <v>ЗАО "УПКРС"</v>
          </cell>
          <cell r="G248">
            <v>260</v>
          </cell>
          <cell r="H248" t="str">
            <v>ШГН</v>
          </cell>
          <cell r="I248" t="str">
            <v>бдт</v>
          </cell>
          <cell r="N248">
            <v>12</v>
          </cell>
          <cell r="O248">
            <v>2.2999999999999998</v>
          </cell>
          <cell r="P248">
            <v>76</v>
          </cell>
          <cell r="Q248">
            <v>12</v>
          </cell>
          <cell r="R248">
            <v>2.2999999999999998</v>
          </cell>
          <cell r="S248">
            <v>76.3</v>
          </cell>
          <cell r="T248">
            <v>37247</v>
          </cell>
          <cell r="U248" t="str">
            <v>бдп</v>
          </cell>
        </row>
        <row r="249">
          <cell r="B249">
            <v>2675</v>
          </cell>
          <cell r="C249">
            <v>161</v>
          </cell>
          <cell r="H249" t="str">
            <v>ШГН</v>
          </cell>
          <cell r="I249" t="str">
            <v>бдт</v>
          </cell>
          <cell r="N249">
            <v>12</v>
          </cell>
          <cell r="O249">
            <v>1</v>
          </cell>
          <cell r="P249">
            <v>90</v>
          </cell>
          <cell r="Q249">
            <v>12</v>
          </cell>
          <cell r="R249">
            <v>1</v>
          </cell>
          <cell r="S249">
            <v>89.7</v>
          </cell>
          <cell r="T249">
            <v>37247</v>
          </cell>
          <cell r="U249" t="str">
            <v>бдп</v>
          </cell>
        </row>
        <row r="250">
          <cell r="B250">
            <v>4022</v>
          </cell>
          <cell r="C250">
            <v>313</v>
          </cell>
          <cell r="H250" t="str">
            <v>ШГН</v>
          </cell>
          <cell r="I250" t="str">
            <v>конс.</v>
          </cell>
          <cell r="J250">
            <v>33848</v>
          </cell>
          <cell r="N250">
            <v>29</v>
          </cell>
          <cell r="O250">
            <v>1.2</v>
          </cell>
          <cell r="P250">
            <v>95</v>
          </cell>
          <cell r="Q250">
            <v>29</v>
          </cell>
          <cell r="R250">
            <v>1.2</v>
          </cell>
          <cell r="S250">
            <v>94.9</v>
          </cell>
          <cell r="T250">
            <v>37245</v>
          </cell>
          <cell r="U250" t="str">
            <v>ОВП</v>
          </cell>
        </row>
        <row r="251">
          <cell r="B251">
            <v>2787</v>
          </cell>
          <cell r="C251">
            <v>145</v>
          </cell>
          <cell r="D251">
            <v>4</v>
          </cell>
          <cell r="E251">
            <v>40</v>
          </cell>
          <cell r="G251">
            <v>275</v>
          </cell>
          <cell r="H251" t="str">
            <v>ЭЦН</v>
          </cell>
          <cell r="I251" t="str">
            <v>конс.</v>
          </cell>
          <cell r="J251">
            <v>33848</v>
          </cell>
          <cell r="K251">
            <v>60</v>
          </cell>
          <cell r="L251">
            <v>8.3000000000000007</v>
          </cell>
          <cell r="M251">
            <v>83</v>
          </cell>
          <cell r="N251">
            <v>16</v>
          </cell>
          <cell r="O251">
            <v>12.5</v>
          </cell>
          <cell r="P251">
            <v>4</v>
          </cell>
          <cell r="Q251">
            <v>16</v>
          </cell>
          <cell r="R251">
            <v>12.5</v>
          </cell>
          <cell r="S251">
            <v>3.5</v>
          </cell>
          <cell r="W251" t="str">
            <v>ВЦ. ИР ЮК-11. ГИС-2. ГРП ЮК-10. Спуск ЭЦН</v>
          </cell>
        </row>
        <row r="252">
          <cell r="B252">
            <v>2857</v>
          </cell>
          <cell r="C252">
            <v>42</v>
          </cell>
          <cell r="H252" t="str">
            <v>ШГН</v>
          </cell>
          <cell r="I252" t="str">
            <v>бдт</v>
          </cell>
          <cell r="N252">
            <v>11</v>
          </cell>
          <cell r="O252">
            <v>7.2</v>
          </cell>
          <cell r="P252">
            <v>20</v>
          </cell>
          <cell r="Q252">
            <v>11</v>
          </cell>
          <cell r="R252">
            <v>7.2</v>
          </cell>
          <cell r="S252">
            <v>19.2</v>
          </cell>
          <cell r="T252">
            <v>37233</v>
          </cell>
          <cell r="U252" t="str">
            <v>ВЦД</v>
          </cell>
        </row>
        <row r="253">
          <cell r="B253">
            <v>4168</v>
          </cell>
          <cell r="C253">
            <v>314</v>
          </cell>
          <cell r="H253" t="str">
            <v>ЭЦН</v>
          </cell>
          <cell r="I253" t="str">
            <v>бдт</v>
          </cell>
          <cell r="N253">
            <v>60</v>
          </cell>
          <cell r="O253">
            <v>1</v>
          </cell>
          <cell r="P253">
            <v>98</v>
          </cell>
          <cell r="Q253">
            <v>60</v>
          </cell>
          <cell r="R253">
            <v>1</v>
          </cell>
          <cell r="S253">
            <v>97.9</v>
          </cell>
          <cell r="T253">
            <v>37231</v>
          </cell>
          <cell r="U253" t="str">
            <v>бдп</v>
          </cell>
        </row>
        <row r="254">
          <cell r="B254">
            <v>5349</v>
          </cell>
          <cell r="C254">
            <v>103</v>
          </cell>
          <cell r="H254" t="str">
            <v>ЭЦН</v>
          </cell>
          <cell r="I254" t="str">
            <v>бдт</v>
          </cell>
          <cell r="N254">
            <v>46</v>
          </cell>
          <cell r="O254">
            <v>1.1000000000000001</v>
          </cell>
          <cell r="P254">
            <v>97</v>
          </cell>
          <cell r="Q254">
            <v>46</v>
          </cell>
          <cell r="R254">
            <v>1.1000000000000001</v>
          </cell>
          <cell r="S254">
            <v>97</v>
          </cell>
          <cell r="T254">
            <v>37229</v>
          </cell>
          <cell r="U254" t="str">
            <v>бдп</v>
          </cell>
        </row>
        <row r="255">
          <cell r="B255">
            <v>5344</v>
          </cell>
          <cell r="C255">
            <v>102</v>
          </cell>
          <cell r="H255" t="str">
            <v>ЭДН</v>
          </cell>
          <cell r="I255" t="str">
            <v>бдт</v>
          </cell>
          <cell r="J255">
            <v>37124</v>
          </cell>
          <cell r="N255">
            <v>5</v>
          </cell>
          <cell r="O255">
            <v>3</v>
          </cell>
          <cell r="P255">
            <v>27</v>
          </cell>
          <cell r="Q255">
            <v>5</v>
          </cell>
          <cell r="R255">
            <v>3</v>
          </cell>
          <cell r="S255">
            <v>25.9</v>
          </cell>
          <cell r="T255">
            <v>37224</v>
          </cell>
          <cell r="U255" t="str">
            <v>бдп</v>
          </cell>
        </row>
        <row r="256">
          <cell r="B256">
            <v>5365</v>
          </cell>
          <cell r="C256">
            <v>109</v>
          </cell>
          <cell r="D256">
            <v>23</v>
          </cell>
          <cell r="G256">
            <v>275</v>
          </cell>
          <cell r="H256" t="str">
            <v>ШГН</v>
          </cell>
          <cell r="I256" t="str">
            <v>конс.</v>
          </cell>
          <cell r="J256">
            <v>33178</v>
          </cell>
          <cell r="N256">
            <v>20</v>
          </cell>
          <cell r="O256">
            <v>2</v>
          </cell>
          <cell r="P256">
            <v>88</v>
          </cell>
          <cell r="Q256">
            <v>20</v>
          </cell>
          <cell r="R256">
            <v>2</v>
          </cell>
          <cell r="S256">
            <v>87.7</v>
          </cell>
          <cell r="T256">
            <v>37224</v>
          </cell>
          <cell r="U256" t="str">
            <v>ОПЗ</v>
          </cell>
          <cell r="W256" t="str">
            <v>ВЦ. РИР ЮК-11. ПП УГИС. ГДИ</v>
          </cell>
        </row>
        <row r="257">
          <cell r="B257">
            <v>11047</v>
          </cell>
          <cell r="C257" t="str">
            <v>302б</v>
          </cell>
          <cell r="H257" t="str">
            <v>ШГН</v>
          </cell>
          <cell r="I257" t="str">
            <v>бдт</v>
          </cell>
          <cell r="N257">
            <v>3</v>
          </cell>
          <cell r="O257">
            <v>1.5</v>
          </cell>
          <cell r="P257">
            <v>40</v>
          </cell>
          <cell r="Q257">
            <v>3</v>
          </cell>
          <cell r="R257">
            <v>1.5</v>
          </cell>
          <cell r="S257">
            <v>38.299999999999997</v>
          </cell>
          <cell r="T257">
            <v>37215</v>
          </cell>
          <cell r="U257" t="str">
            <v>бдп</v>
          </cell>
        </row>
        <row r="258">
          <cell r="B258">
            <v>2762</v>
          </cell>
          <cell r="C258">
            <v>143</v>
          </cell>
          <cell r="H258" t="str">
            <v>ШГН</v>
          </cell>
          <cell r="I258" t="str">
            <v>бдт</v>
          </cell>
          <cell r="N258">
            <v>12</v>
          </cell>
          <cell r="O258">
            <v>3</v>
          </cell>
          <cell r="P258">
            <v>69</v>
          </cell>
          <cell r="Q258">
            <v>12</v>
          </cell>
          <cell r="R258">
            <v>3</v>
          </cell>
          <cell r="S258">
            <v>69.099999999999994</v>
          </cell>
          <cell r="T258">
            <v>37208</v>
          </cell>
          <cell r="U258" t="str">
            <v>бдп</v>
          </cell>
        </row>
        <row r="259">
          <cell r="B259">
            <v>5513</v>
          </cell>
          <cell r="C259">
            <v>114</v>
          </cell>
          <cell r="D259">
            <v>36</v>
          </cell>
          <cell r="E259">
            <v>351</v>
          </cell>
          <cell r="G259">
            <v>250</v>
          </cell>
          <cell r="H259" t="str">
            <v>ЭЦН</v>
          </cell>
          <cell r="I259" t="str">
            <v>бд</v>
          </cell>
          <cell r="J259">
            <v>35073</v>
          </cell>
          <cell r="N259">
            <v>15</v>
          </cell>
          <cell r="O259">
            <v>5</v>
          </cell>
          <cell r="P259">
            <v>59</v>
          </cell>
          <cell r="Q259">
            <v>15</v>
          </cell>
          <cell r="R259">
            <v>5</v>
          </cell>
          <cell r="S259">
            <v>58.8</v>
          </cell>
          <cell r="T259">
            <v>37207</v>
          </cell>
          <cell r="U259" t="str">
            <v>ОПЗ</v>
          </cell>
          <cell r="W259" t="str">
            <v>ЛА (ЭЦН и НКТ). ИР ЮК10. ГИС-2. ГРП ЮК 4-5</v>
          </cell>
        </row>
        <row r="260">
          <cell r="B260">
            <v>5820</v>
          </cell>
          <cell r="C260">
            <v>167</v>
          </cell>
          <cell r="H260" t="str">
            <v>ШГН</v>
          </cell>
          <cell r="I260" t="str">
            <v>бд</v>
          </cell>
          <cell r="N260">
            <v>17</v>
          </cell>
          <cell r="O260">
            <v>1.5</v>
          </cell>
          <cell r="P260">
            <v>89</v>
          </cell>
          <cell r="Q260">
            <v>17</v>
          </cell>
          <cell r="R260">
            <v>1.5</v>
          </cell>
          <cell r="S260">
            <v>89.1</v>
          </cell>
          <cell r="T260">
            <v>37207</v>
          </cell>
          <cell r="U260" t="str">
            <v>ВЦД</v>
          </cell>
        </row>
        <row r="261">
          <cell r="B261">
            <v>4212</v>
          </cell>
          <cell r="C261">
            <v>311</v>
          </cell>
          <cell r="H261" t="str">
            <v>ЭЦН</v>
          </cell>
          <cell r="N261">
            <v>50</v>
          </cell>
          <cell r="O261">
            <v>2</v>
          </cell>
          <cell r="P261">
            <v>95</v>
          </cell>
          <cell r="Q261">
            <v>50</v>
          </cell>
          <cell r="R261">
            <v>2</v>
          </cell>
          <cell r="S261">
            <v>95.1</v>
          </cell>
          <cell r="T261">
            <v>37207</v>
          </cell>
          <cell r="U261" t="str">
            <v>ВЦ</v>
          </cell>
          <cell r="W261" t="str">
            <v>ВЦ ПРС промывка забоя</v>
          </cell>
        </row>
        <row r="262">
          <cell r="B262">
            <v>2818</v>
          </cell>
          <cell r="C262">
            <v>144</v>
          </cell>
          <cell r="H262" t="str">
            <v>ШГН</v>
          </cell>
          <cell r="I262" t="str">
            <v>конс.</v>
          </cell>
          <cell r="J262">
            <v>33239</v>
          </cell>
          <cell r="N262">
            <v>10</v>
          </cell>
          <cell r="O262">
            <v>1</v>
          </cell>
          <cell r="P262">
            <v>88</v>
          </cell>
          <cell r="Q262">
            <v>10</v>
          </cell>
          <cell r="R262">
            <v>1</v>
          </cell>
          <cell r="S262">
            <v>87.7</v>
          </cell>
          <cell r="T262">
            <v>37203</v>
          </cell>
          <cell r="U262" t="str">
            <v>ВЦД</v>
          </cell>
        </row>
        <row r="263">
          <cell r="B263" t="str">
            <v>5519б</v>
          </cell>
          <cell r="C263">
            <v>116</v>
          </cell>
          <cell r="H263" t="str">
            <v>ЭЦН</v>
          </cell>
          <cell r="I263" t="str">
            <v>бдт</v>
          </cell>
          <cell r="N263">
            <v>54</v>
          </cell>
          <cell r="O263">
            <v>5</v>
          </cell>
          <cell r="P263">
            <v>88.6</v>
          </cell>
          <cell r="Q263">
            <v>54</v>
          </cell>
          <cell r="R263">
            <v>5</v>
          </cell>
          <cell r="S263">
            <v>88.6</v>
          </cell>
          <cell r="T263">
            <v>37203</v>
          </cell>
          <cell r="U263" t="str">
            <v>бдп</v>
          </cell>
        </row>
        <row r="264">
          <cell r="B264">
            <v>2739</v>
          </cell>
          <cell r="C264">
            <v>163</v>
          </cell>
          <cell r="H264" t="str">
            <v>ШГН</v>
          </cell>
          <cell r="I264" t="str">
            <v>бдт</v>
          </cell>
          <cell r="N264">
            <v>11</v>
          </cell>
          <cell r="O264">
            <v>1</v>
          </cell>
          <cell r="P264">
            <v>89</v>
          </cell>
          <cell r="Q264">
            <v>11</v>
          </cell>
          <cell r="R264">
            <v>1</v>
          </cell>
          <cell r="S264">
            <v>88.8</v>
          </cell>
          <cell r="T264">
            <v>37200</v>
          </cell>
          <cell r="U264" t="str">
            <v>бдп</v>
          </cell>
        </row>
        <row r="265">
          <cell r="B265">
            <v>3859</v>
          </cell>
          <cell r="C265" t="str">
            <v>306б</v>
          </cell>
          <cell r="H265" t="str">
            <v>ЭЦН</v>
          </cell>
          <cell r="I265" t="str">
            <v>бд</v>
          </cell>
          <cell r="J265">
            <v>35859</v>
          </cell>
          <cell r="N265">
            <v>22</v>
          </cell>
          <cell r="O265">
            <v>6</v>
          </cell>
          <cell r="P265">
            <v>66.3</v>
          </cell>
          <cell r="Q265">
            <v>22</v>
          </cell>
          <cell r="R265">
            <v>6</v>
          </cell>
          <cell r="S265">
            <v>66.3</v>
          </cell>
          <cell r="T265">
            <v>37200</v>
          </cell>
          <cell r="U265" t="str">
            <v>ВЦД</v>
          </cell>
        </row>
        <row r="266">
          <cell r="B266">
            <v>5221</v>
          </cell>
          <cell r="C266">
            <v>126</v>
          </cell>
          <cell r="D266">
            <v>21</v>
          </cell>
          <cell r="E266">
            <v>211</v>
          </cell>
          <cell r="G266">
            <v>240</v>
          </cell>
          <cell r="H266" t="str">
            <v>ШГН</v>
          </cell>
          <cell r="I266" t="str">
            <v>бд</v>
          </cell>
          <cell r="J266">
            <v>35706</v>
          </cell>
          <cell r="K266">
            <v>8</v>
          </cell>
          <cell r="L266">
            <v>6.1</v>
          </cell>
          <cell r="M266">
            <v>6</v>
          </cell>
          <cell r="N266">
            <v>4</v>
          </cell>
          <cell r="O266">
            <v>1</v>
          </cell>
          <cell r="P266">
            <v>68</v>
          </cell>
          <cell r="Q266">
            <v>4</v>
          </cell>
          <cell r="R266">
            <v>1</v>
          </cell>
          <cell r="S266">
            <v>69.099999999999994</v>
          </cell>
          <cell r="T266">
            <v>37199</v>
          </cell>
          <cell r="U266" t="str">
            <v>ГРП</v>
          </cell>
          <cell r="W266" t="str">
            <v>ПП. ОПЗ НТПН. УГИС. ГРП</v>
          </cell>
        </row>
        <row r="267">
          <cell r="B267">
            <v>5350</v>
          </cell>
          <cell r="C267">
            <v>104</v>
          </cell>
          <cell r="H267" t="str">
            <v>ЭЦН</v>
          </cell>
          <cell r="I267" t="str">
            <v>действ.</v>
          </cell>
          <cell r="K267">
            <v>105</v>
          </cell>
          <cell r="L267">
            <v>7.7</v>
          </cell>
          <cell r="M267">
            <v>91</v>
          </cell>
          <cell r="N267">
            <v>150</v>
          </cell>
          <cell r="O267">
            <v>9</v>
          </cell>
          <cell r="P267">
            <v>92.6</v>
          </cell>
          <cell r="Q267">
            <v>45</v>
          </cell>
          <cell r="R267">
            <v>1.2999999999999998</v>
          </cell>
          <cell r="S267">
            <v>0</v>
          </cell>
          <cell r="T267">
            <v>37193</v>
          </cell>
          <cell r="U267" t="str">
            <v>опт</v>
          </cell>
        </row>
        <row r="268">
          <cell r="B268">
            <v>2922</v>
          </cell>
          <cell r="C268" t="str">
            <v>43б</v>
          </cell>
          <cell r="H268" t="str">
            <v>ЭЦН</v>
          </cell>
          <cell r="I268" t="str">
            <v>действ.</v>
          </cell>
          <cell r="K268">
            <v>10</v>
          </cell>
          <cell r="L268">
            <v>6.4</v>
          </cell>
          <cell r="M268">
            <v>21</v>
          </cell>
          <cell r="N268">
            <v>33</v>
          </cell>
          <cell r="O268">
            <v>8</v>
          </cell>
          <cell r="P268">
            <v>70.2</v>
          </cell>
          <cell r="Q268">
            <v>23</v>
          </cell>
          <cell r="R268">
            <v>1.5999999999999996</v>
          </cell>
          <cell r="T268">
            <v>37187</v>
          </cell>
          <cell r="U268" t="str">
            <v>опт</v>
          </cell>
        </row>
        <row r="269">
          <cell r="B269">
            <v>2932</v>
          </cell>
          <cell r="C269">
            <v>44</v>
          </cell>
          <cell r="D269">
            <v>0</v>
          </cell>
          <cell r="G269">
            <v>265</v>
          </cell>
          <cell r="H269" t="str">
            <v>ШГН</v>
          </cell>
          <cell r="I269" t="str">
            <v>бдт</v>
          </cell>
          <cell r="J269">
            <v>37045</v>
          </cell>
          <cell r="K269">
            <v>15</v>
          </cell>
          <cell r="L269">
            <v>10.3</v>
          </cell>
          <cell r="M269">
            <v>16</v>
          </cell>
          <cell r="N269">
            <v>35</v>
          </cell>
          <cell r="O269">
            <v>12</v>
          </cell>
          <cell r="P269">
            <v>57.8</v>
          </cell>
          <cell r="Q269">
            <v>35</v>
          </cell>
          <cell r="R269">
            <v>12</v>
          </cell>
          <cell r="S269">
            <v>57.7</v>
          </cell>
          <cell r="T269">
            <v>37183</v>
          </cell>
          <cell r="U269" t="str">
            <v>ОПЗ</v>
          </cell>
          <cell r="W269" t="str">
            <v>ВЦ. ПП ДН. ОПЗ НТПН</v>
          </cell>
        </row>
        <row r="270">
          <cell r="B270">
            <v>4077</v>
          </cell>
          <cell r="C270">
            <v>315</v>
          </cell>
          <cell r="H270" t="str">
            <v>ШГН</v>
          </cell>
          <cell r="I270" t="str">
            <v>бд</v>
          </cell>
          <cell r="J270">
            <v>36091</v>
          </cell>
          <cell r="N270">
            <v>4</v>
          </cell>
          <cell r="O270">
            <v>0.2</v>
          </cell>
          <cell r="P270">
            <v>93.5</v>
          </cell>
          <cell r="Q270">
            <v>4</v>
          </cell>
          <cell r="R270">
            <v>0.2</v>
          </cell>
          <cell r="S270">
            <v>93.8</v>
          </cell>
          <cell r="T270">
            <v>37181</v>
          </cell>
          <cell r="U270" t="str">
            <v>ОВП</v>
          </cell>
        </row>
        <row r="271">
          <cell r="B271">
            <v>5835</v>
          </cell>
          <cell r="C271">
            <v>168</v>
          </cell>
          <cell r="H271" t="str">
            <v>ШГН</v>
          </cell>
          <cell r="I271" t="str">
            <v>бдт</v>
          </cell>
          <cell r="J271">
            <v>37122</v>
          </cell>
          <cell r="N271">
            <v>12</v>
          </cell>
          <cell r="O271">
            <v>6</v>
          </cell>
          <cell r="P271">
            <v>39</v>
          </cell>
          <cell r="Q271">
            <v>12</v>
          </cell>
          <cell r="R271">
            <v>6</v>
          </cell>
          <cell r="S271">
            <v>38.299999999999997</v>
          </cell>
          <cell r="T271">
            <v>37179</v>
          </cell>
          <cell r="U271" t="str">
            <v>бдп</v>
          </cell>
        </row>
        <row r="272">
          <cell r="B272">
            <v>5310</v>
          </cell>
          <cell r="C272">
            <v>140</v>
          </cell>
          <cell r="D272">
            <v>9</v>
          </cell>
          <cell r="G272">
            <v>240</v>
          </cell>
          <cell r="H272" t="str">
            <v>ШГН</v>
          </cell>
          <cell r="I272" t="str">
            <v>бд</v>
          </cell>
          <cell r="J272">
            <v>34274</v>
          </cell>
          <cell r="N272">
            <v>16</v>
          </cell>
          <cell r="O272">
            <v>1</v>
          </cell>
          <cell r="P272">
            <v>92</v>
          </cell>
          <cell r="Q272">
            <v>16</v>
          </cell>
          <cell r="R272">
            <v>1</v>
          </cell>
          <cell r="S272">
            <v>92.3</v>
          </cell>
          <cell r="T272">
            <v>37177</v>
          </cell>
          <cell r="U272" t="str">
            <v>ВЗ</v>
          </cell>
          <cell r="W272" t="str">
            <v>ВЦ. ГИС. ИР ЮК-11. ГИС. ПП ЮК-10. ГРП</v>
          </cell>
        </row>
        <row r="273">
          <cell r="B273">
            <v>2791</v>
          </cell>
          <cell r="C273">
            <v>144</v>
          </cell>
          <cell r="D273">
            <v>4</v>
          </cell>
          <cell r="G273">
            <v>280</v>
          </cell>
          <cell r="H273" t="str">
            <v>ШГН</v>
          </cell>
          <cell r="I273" t="str">
            <v>бдт</v>
          </cell>
          <cell r="J273">
            <v>37124</v>
          </cell>
          <cell r="K273">
            <v>9</v>
          </cell>
          <cell r="L273">
            <v>5.2</v>
          </cell>
          <cell r="M273">
            <v>29</v>
          </cell>
          <cell r="N273">
            <v>20</v>
          </cell>
          <cell r="O273">
            <v>11</v>
          </cell>
          <cell r="P273">
            <v>32.299999999999997</v>
          </cell>
          <cell r="Q273">
            <v>20</v>
          </cell>
          <cell r="R273">
            <v>11</v>
          </cell>
          <cell r="S273">
            <v>32.1</v>
          </cell>
          <cell r="T273">
            <v>37175</v>
          </cell>
          <cell r="U273" t="str">
            <v>ГРП</v>
          </cell>
          <cell r="W273" t="str">
            <v>ПР ГРП. ГРП</v>
          </cell>
        </row>
        <row r="274">
          <cell r="B274">
            <v>4074</v>
          </cell>
          <cell r="C274">
            <v>314</v>
          </cell>
          <cell r="H274" t="str">
            <v>ШГН</v>
          </cell>
          <cell r="I274" t="str">
            <v>бдт</v>
          </cell>
          <cell r="N274">
            <v>14</v>
          </cell>
          <cell r="O274">
            <v>9</v>
          </cell>
          <cell r="P274">
            <v>21</v>
          </cell>
          <cell r="Q274">
            <v>14</v>
          </cell>
          <cell r="R274">
            <v>9</v>
          </cell>
          <cell r="S274">
            <v>20.6</v>
          </cell>
          <cell r="T274">
            <v>37174</v>
          </cell>
          <cell r="U274" t="str">
            <v>бдп</v>
          </cell>
        </row>
        <row r="275">
          <cell r="B275">
            <v>5476</v>
          </cell>
          <cell r="C275">
            <v>110</v>
          </cell>
          <cell r="H275" t="str">
            <v>ЭЦН</v>
          </cell>
          <cell r="I275" t="str">
            <v>бдт</v>
          </cell>
          <cell r="J275">
            <v>37123</v>
          </cell>
          <cell r="N275">
            <v>55</v>
          </cell>
          <cell r="O275">
            <v>2</v>
          </cell>
          <cell r="P275">
            <v>95.5</v>
          </cell>
          <cell r="Q275">
            <v>55</v>
          </cell>
          <cell r="R275">
            <v>2</v>
          </cell>
          <cell r="S275">
            <v>95.5</v>
          </cell>
          <cell r="T275">
            <v>37174</v>
          </cell>
          <cell r="U275" t="str">
            <v>бдп</v>
          </cell>
        </row>
        <row r="276">
          <cell r="B276">
            <v>5341</v>
          </cell>
          <cell r="C276">
            <v>101</v>
          </cell>
          <cell r="H276" t="str">
            <v>ШГН</v>
          </cell>
          <cell r="I276" t="str">
            <v>бд</v>
          </cell>
          <cell r="J276">
            <v>35653</v>
          </cell>
          <cell r="N276">
            <v>10</v>
          </cell>
          <cell r="O276">
            <v>8</v>
          </cell>
          <cell r="P276">
            <v>2</v>
          </cell>
          <cell r="Q276">
            <v>10</v>
          </cell>
          <cell r="R276">
            <v>8</v>
          </cell>
          <cell r="S276">
            <v>1.2</v>
          </cell>
          <cell r="T276">
            <v>37168</v>
          </cell>
          <cell r="U276" t="str">
            <v>бдп</v>
          </cell>
        </row>
        <row r="277">
          <cell r="B277">
            <v>11003</v>
          </cell>
          <cell r="C277" t="str">
            <v>123б</v>
          </cell>
          <cell r="H277" t="str">
            <v>ЭЦН</v>
          </cell>
          <cell r="I277" t="str">
            <v>действ.</v>
          </cell>
          <cell r="K277">
            <v>60</v>
          </cell>
          <cell r="L277">
            <v>5.9</v>
          </cell>
          <cell r="M277">
            <v>88</v>
          </cell>
          <cell r="N277">
            <v>161</v>
          </cell>
          <cell r="O277">
            <v>10</v>
          </cell>
          <cell r="P277">
            <v>92.4</v>
          </cell>
          <cell r="Q277">
            <v>101</v>
          </cell>
          <cell r="R277">
            <v>4.0999999999999996</v>
          </cell>
          <cell r="S277">
            <v>0</v>
          </cell>
          <cell r="T277">
            <v>37166</v>
          </cell>
          <cell r="U277" t="str">
            <v>опт</v>
          </cell>
        </row>
        <row r="278">
          <cell r="B278">
            <v>2942</v>
          </cell>
          <cell r="C278">
            <v>47</v>
          </cell>
          <cell r="D278">
            <v>35</v>
          </cell>
          <cell r="G278">
            <v>250</v>
          </cell>
          <cell r="H278" t="str">
            <v>ШГН</v>
          </cell>
          <cell r="I278" t="str">
            <v>действ.</v>
          </cell>
          <cell r="J278">
            <v>37116</v>
          </cell>
          <cell r="K278">
            <v>5</v>
          </cell>
          <cell r="L278">
            <v>3.7</v>
          </cell>
          <cell r="M278">
            <v>8</v>
          </cell>
          <cell r="N278">
            <v>10</v>
          </cell>
          <cell r="O278">
            <v>8</v>
          </cell>
          <cell r="P278">
            <v>2</v>
          </cell>
          <cell r="Q278">
            <v>5</v>
          </cell>
          <cell r="R278">
            <v>4.3</v>
          </cell>
          <cell r="T278">
            <v>37157</v>
          </cell>
          <cell r="U278" t="str">
            <v>ОПЗ</v>
          </cell>
          <cell r="W278" t="str">
            <v>УГИС. ОПЗ НТПН. ГДИ</v>
          </cell>
        </row>
        <row r="279">
          <cell r="B279">
            <v>2757</v>
          </cell>
          <cell r="C279">
            <v>144</v>
          </cell>
          <cell r="I279" t="str">
            <v>бд</v>
          </cell>
          <cell r="N279">
            <v>40</v>
          </cell>
          <cell r="O279">
            <v>3</v>
          </cell>
          <cell r="P279">
            <v>90.7</v>
          </cell>
          <cell r="Q279">
            <v>40</v>
          </cell>
          <cell r="R279">
            <v>3</v>
          </cell>
          <cell r="S279">
            <v>90.7</v>
          </cell>
          <cell r="T279">
            <v>37156</v>
          </cell>
          <cell r="U279" t="str">
            <v>ВЦ</v>
          </cell>
        </row>
        <row r="280">
          <cell r="B280">
            <v>4126</v>
          </cell>
          <cell r="C280">
            <v>315</v>
          </cell>
          <cell r="I280" t="str">
            <v>бдт</v>
          </cell>
          <cell r="N280">
            <v>58</v>
          </cell>
          <cell r="O280">
            <v>3.5</v>
          </cell>
          <cell r="P280">
            <v>92.5</v>
          </cell>
          <cell r="Q280">
            <v>58</v>
          </cell>
          <cell r="R280">
            <v>3.5</v>
          </cell>
          <cell r="S280">
            <v>92.6</v>
          </cell>
          <cell r="T280">
            <v>37151</v>
          </cell>
          <cell r="U280" t="str">
            <v>бдп</v>
          </cell>
        </row>
        <row r="281">
          <cell r="B281">
            <v>5807</v>
          </cell>
          <cell r="C281" t="str">
            <v>166б</v>
          </cell>
          <cell r="I281" t="str">
            <v>бд</v>
          </cell>
          <cell r="N281">
            <v>150</v>
          </cell>
          <cell r="Q281">
            <v>150</v>
          </cell>
          <cell r="R281">
            <v>0</v>
          </cell>
          <cell r="S281">
            <v>100</v>
          </cell>
          <cell r="T281">
            <v>37147</v>
          </cell>
          <cell r="U281" t="str">
            <v>нг</v>
          </cell>
        </row>
        <row r="282">
          <cell r="B282">
            <v>2865</v>
          </cell>
          <cell r="C282">
            <v>131</v>
          </cell>
          <cell r="I282" t="str">
            <v>действ.</v>
          </cell>
          <cell r="K282">
            <v>15</v>
          </cell>
          <cell r="L282">
            <v>5.5</v>
          </cell>
          <cell r="M282">
            <v>55</v>
          </cell>
          <cell r="N282">
            <v>63</v>
          </cell>
          <cell r="O282">
            <v>11.5</v>
          </cell>
          <cell r="P282">
            <v>77.599999999999994</v>
          </cell>
          <cell r="Q282">
            <v>48</v>
          </cell>
          <cell r="R282">
            <v>6</v>
          </cell>
          <cell r="T282">
            <v>37141</v>
          </cell>
          <cell r="U282" t="str">
            <v>опт</v>
          </cell>
        </row>
        <row r="283">
          <cell r="B283" t="str">
            <v>5484б</v>
          </cell>
          <cell r="C283">
            <v>115</v>
          </cell>
          <cell r="H283" t="str">
            <v>ШГН</v>
          </cell>
          <cell r="I283" t="str">
            <v>конс.</v>
          </cell>
          <cell r="N283">
            <v>7</v>
          </cell>
          <cell r="O283">
            <v>4</v>
          </cell>
          <cell r="P283">
            <v>30</v>
          </cell>
          <cell r="Q283">
            <v>7</v>
          </cell>
          <cell r="R283">
            <v>4</v>
          </cell>
          <cell r="S283">
            <v>29.5</v>
          </cell>
          <cell r="T283">
            <v>37138</v>
          </cell>
          <cell r="U283" t="str">
            <v>ГРП</v>
          </cell>
        </row>
        <row r="284">
          <cell r="B284">
            <v>5391</v>
          </cell>
          <cell r="C284">
            <v>109</v>
          </cell>
          <cell r="D284">
            <v>4</v>
          </cell>
          <cell r="E284">
            <v>40</v>
          </cell>
          <cell r="F284" t="str">
            <v>УПНПиКРС</v>
          </cell>
          <cell r="G284">
            <v>291</v>
          </cell>
          <cell r="H284" t="str">
            <v>нагнет.</v>
          </cell>
          <cell r="I284" t="str">
            <v>бд</v>
          </cell>
          <cell r="J284">
            <v>34426</v>
          </cell>
          <cell r="O284">
            <v>0</v>
          </cell>
          <cell r="U284" t="str">
            <v>нг</v>
          </cell>
          <cell r="W284" t="str">
            <v>ИР ЮК-11, ПП ЮК-10 пуск под закачку</v>
          </cell>
        </row>
        <row r="285">
          <cell r="B285">
            <v>5398</v>
          </cell>
          <cell r="C285">
            <v>102</v>
          </cell>
          <cell r="D285">
            <v>9</v>
          </cell>
          <cell r="E285">
            <v>90</v>
          </cell>
          <cell r="F285" t="str">
            <v>УПНПиКРС</v>
          </cell>
          <cell r="G285">
            <v>240</v>
          </cell>
          <cell r="H285" t="str">
            <v>ФОН</v>
          </cell>
          <cell r="I285" t="str">
            <v>бд</v>
          </cell>
          <cell r="J285">
            <v>33572</v>
          </cell>
          <cell r="K285">
            <v>15</v>
          </cell>
          <cell r="L285">
            <v>1.2</v>
          </cell>
          <cell r="M285">
            <v>90</v>
          </cell>
          <cell r="N285">
            <v>30</v>
          </cell>
          <cell r="O285">
            <v>12</v>
          </cell>
          <cell r="P285">
            <v>51</v>
          </cell>
          <cell r="Q285">
            <v>30</v>
          </cell>
          <cell r="R285">
            <v>12</v>
          </cell>
          <cell r="S285">
            <v>50.6</v>
          </cell>
          <cell r="U285" t="str">
            <v>ГРП</v>
          </cell>
          <cell r="V285">
            <v>2</v>
          </cell>
          <cell r="W285" t="str">
            <v>ЛА,ИР ЮК-10,ПП ЮК-2-3 пр к ГРП</v>
          </cell>
        </row>
        <row r="286">
          <cell r="B286">
            <v>2701</v>
          </cell>
          <cell r="C286" t="str">
            <v>145б</v>
          </cell>
          <cell r="H286" t="str">
            <v>ЭЦН</v>
          </cell>
          <cell r="I286" t="str">
            <v>конс.</v>
          </cell>
          <cell r="N286">
            <v>45</v>
          </cell>
          <cell r="O286">
            <v>3</v>
          </cell>
          <cell r="P286">
            <v>91.9</v>
          </cell>
          <cell r="Q286">
            <v>45</v>
          </cell>
          <cell r="R286">
            <v>3</v>
          </cell>
          <cell r="S286">
            <v>91.8</v>
          </cell>
          <cell r="U286" t="str">
            <v>ВЦ</v>
          </cell>
        </row>
        <row r="287">
          <cell r="B287">
            <v>5290</v>
          </cell>
          <cell r="C287">
            <v>133</v>
          </cell>
          <cell r="H287" t="str">
            <v>ШГН</v>
          </cell>
          <cell r="I287" t="str">
            <v>бдт</v>
          </cell>
          <cell r="J287">
            <v>37111</v>
          </cell>
          <cell r="N287">
            <v>8</v>
          </cell>
          <cell r="O287">
            <v>4.5</v>
          </cell>
          <cell r="P287">
            <v>31</v>
          </cell>
          <cell r="Q287">
            <v>8</v>
          </cell>
          <cell r="R287">
            <v>4.5</v>
          </cell>
          <cell r="S287">
            <v>30.6</v>
          </cell>
          <cell r="U287" t="str">
            <v>бдп</v>
          </cell>
        </row>
        <row r="288">
          <cell r="B288">
            <v>5528</v>
          </cell>
          <cell r="C288" t="str">
            <v>119б</v>
          </cell>
          <cell r="H288" t="str">
            <v>ШГН</v>
          </cell>
          <cell r="I288" t="str">
            <v>бдт</v>
          </cell>
          <cell r="N288">
            <v>6</v>
          </cell>
          <cell r="O288">
            <v>3</v>
          </cell>
          <cell r="P288">
            <v>38</v>
          </cell>
          <cell r="Q288">
            <v>6</v>
          </cell>
          <cell r="R288">
            <v>3</v>
          </cell>
          <cell r="S288">
            <v>38.299999999999997</v>
          </cell>
          <cell r="U288" t="str">
            <v>ВЦД</v>
          </cell>
        </row>
        <row r="289">
          <cell r="B289">
            <v>2787</v>
          </cell>
          <cell r="C289">
            <v>145</v>
          </cell>
          <cell r="D289">
            <v>4</v>
          </cell>
          <cell r="E289">
            <v>40</v>
          </cell>
          <cell r="F289" t="str">
            <v>УПНПиКРС</v>
          </cell>
          <cell r="G289">
            <v>270</v>
          </cell>
          <cell r="H289" t="str">
            <v>ШГН</v>
          </cell>
          <cell r="I289" t="str">
            <v>действ.</v>
          </cell>
          <cell r="K289">
            <v>17</v>
          </cell>
          <cell r="L289">
            <v>13.2</v>
          </cell>
          <cell r="M289">
            <v>5</v>
          </cell>
          <cell r="N289">
            <v>25</v>
          </cell>
          <cell r="O289">
            <v>19.399999999999999</v>
          </cell>
          <cell r="P289">
            <v>5</v>
          </cell>
          <cell r="Q289">
            <v>8</v>
          </cell>
          <cell r="R289">
            <v>6.1999999999999993</v>
          </cell>
          <cell r="S289">
            <v>4.3</v>
          </cell>
          <cell r="U289" t="str">
            <v>ГРП</v>
          </cell>
          <cell r="V289">
            <v>3</v>
          </cell>
          <cell r="W289" t="str">
            <v>Вымыв пропанта, освоение после ГРП</v>
          </cell>
        </row>
        <row r="290">
          <cell r="B290">
            <v>5644</v>
          </cell>
          <cell r="C290">
            <v>126</v>
          </cell>
          <cell r="D290">
            <v>21</v>
          </cell>
          <cell r="E290">
            <v>210</v>
          </cell>
          <cell r="F290" t="str">
            <v>УПНПиКРС</v>
          </cell>
          <cell r="G290">
            <v>230</v>
          </cell>
          <cell r="H290" t="str">
            <v>ШГН</v>
          </cell>
          <cell r="I290" t="str">
            <v>бд</v>
          </cell>
          <cell r="J290">
            <v>35340</v>
          </cell>
          <cell r="N290">
            <v>30</v>
          </cell>
          <cell r="O290">
            <v>15</v>
          </cell>
          <cell r="P290">
            <v>38.799999999999997</v>
          </cell>
          <cell r="Q290">
            <v>30</v>
          </cell>
          <cell r="R290">
            <v>15</v>
          </cell>
          <cell r="S290">
            <v>38.299999999999997</v>
          </cell>
          <cell r="T290">
            <v>37521</v>
          </cell>
          <cell r="U290" t="str">
            <v>ЗБС</v>
          </cell>
          <cell r="W290" t="str">
            <v>ПР К ЗБС</v>
          </cell>
        </row>
        <row r="291">
          <cell r="B291">
            <v>2576</v>
          </cell>
          <cell r="C291">
            <v>150</v>
          </cell>
          <cell r="D291">
            <v>3</v>
          </cell>
          <cell r="E291">
            <v>1</v>
          </cell>
          <cell r="F291" t="str">
            <v>УПНПиКРС</v>
          </cell>
          <cell r="H291" t="str">
            <v>нагнет.</v>
          </cell>
          <cell r="I291" t="str">
            <v>бд</v>
          </cell>
          <cell r="N291">
            <v>150</v>
          </cell>
          <cell r="Q291">
            <v>150</v>
          </cell>
          <cell r="T291">
            <v>37459</v>
          </cell>
          <cell r="U291" t="str">
            <v>нг</v>
          </cell>
          <cell r="W291" t="str">
            <v>Ревизия пакера</v>
          </cell>
        </row>
        <row r="292">
          <cell r="B292">
            <v>5241</v>
          </cell>
          <cell r="C292">
            <v>134</v>
          </cell>
          <cell r="D292">
            <v>6</v>
          </cell>
          <cell r="E292">
            <v>60</v>
          </cell>
          <cell r="F292" t="str">
            <v>УПНПиКРС</v>
          </cell>
          <cell r="G292">
            <v>258</v>
          </cell>
          <cell r="H292" t="str">
            <v>ЭЦН</v>
          </cell>
          <cell r="I292" t="str">
            <v>бд</v>
          </cell>
          <cell r="J292">
            <v>34547</v>
          </cell>
          <cell r="K292">
            <v>21</v>
          </cell>
          <cell r="L292">
            <v>0.2</v>
          </cell>
          <cell r="M292">
            <v>99</v>
          </cell>
          <cell r="N292">
            <v>30</v>
          </cell>
          <cell r="O292">
            <v>12</v>
          </cell>
          <cell r="P292">
            <v>51</v>
          </cell>
          <cell r="Q292">
            <v>30</v>
          </cell>
          <cell r="R292">
            <v>12</v>
          </cell>
          <cell r="S292">
            <v>50.6</v>
          </cell>
          <cell r="T292">
            <v>37467</v>
          </cell>
          <cell r="U292" t="str">
            <v>ГРП</v>
          </cell>
          <cell r="V292">
            <v>2</v>
          </cell>
          <cell r="W292" t="str">
            <v>СО-каротаж, ПР к ГРП, ГРП ЮК-4, осв.</v>
          </cell>
        </row>
        <row r="293">
          <cell r="B293">
            <v>5267</v>
          </cell>
          <cell r="C293">
            <v>134</v>
          </cell>
          <cell r="D293">
            <v>21</v>
          </cell>
          <cell r="E293">
            <v>210</v>
          </cell>
          <cell r="F293" t="str">
            <v>УПНПиКРС</v>
          </cell>
          <cell r="H293" t="str">
            <v>ЭЦН</v>
          </cell>
          <cell r="I293" t="str">
            <v>конс.</v>
          </cell>
          <cell r="N293">
            <v>50</v>
          </cell>
          <cell r="O293">
            <v>30</v>
          </cell>
          <cell r="P293">
            <v>26.5</v>
          </cell>
          <cell r="Q293">
            <v>50</v>
          </cell>
          <cell r="R293">
            <v>30</v>
          </cell>
          <cell r="S293">
            <v>25.9</v>
          </cell>
          <cell r="T293">
            <v>37466</v>
          </cell>
          <cell r="U293" t="str">
            <v>ГРП</v>
          </cell>
          <cell r="W293" t="str">
            <v>ВЦ, РИР ЮК-10, ПР к ГРП, ГРП ЮК-2, осв.</v>
          </cell>
        </row>
        <row r="294">
          <cell r="B294">
            <v>5241</v>
          </cell>
          <cell r="C294">
            <v>134</v>
          </cell>
          <cell r="D294">
            <v>6</v>
          </cell>
          <cell r="E294">
            <v>60</v>
          </cell>
          <cell r="F294" t="str">
            <v>УПНПиКРС</v>
          </cell>
          <cell r="G294">
            <v>258</v>
          </cell>
          <cell r="H294" t="str">
            <v>ЭЦН</v>
          </cell>
          <cell r="I294" t="str">
            <v>бд</v>
          </cell>
          <cell r="J294">
            <v>34547</v>
          </cell>
          <cell r="K294">
            <v>21</v>
          </cell>
          <cell r="L294">
            <v>0.2</v>
          </cell>
          <cell r="M294">
            <v>99</v>
          </cell>
          <cell r="N294">
            <v>50</v>
          </cell>
          <cell r="O294">
            <v>30</v>
          </cell>
          <cell r="P294">
            <v>26.5</v>
          </cell>
          <cell r="Q294">
            <v>50</v>
          </cell>
          <cell r="R294">
            <v>30</v>
          </cell>
          <cell r="S294">
            <v>25.9</v>
          </cell>
          <cell r="T294">
            <v>37465</v>
          </cell>
          <cell r="U294" t="str">
            <v>ГРП</v>
          </cell>
          <cell r="V294">
            <v>2</v>
          </cell>
          <cell r="W294" t="str">
            <v xml:space="preserve">ВЦ, ГИС-2 ( источ. обвод.), при подтверждении воды и герм. э/колонны  </v>
          </cell>
        </row>
        <row r="296">
          <cell r="B296">
            <v>11029</v>
          </cell>
          <cell r="C296" t="str">
            <v>97б</v>
          </cell>
          <cell r="D296">
            <v>3</v>
          </cell>
          <cell r="F296" t="str">
            <v>УПНПиКРС</v>
          </cell>
          <cell r="H296" t="str">
            <v>ЭЦН</v>
          </cell>
          <cell r="I296" t="str">
            <v>бд</v>
          </cell>
          <cell r="N296">
            <v>45</v>
          </cell>
          <cell r="O296">
            <v>5.9</v>
          </cell>
          <cell r="P296">
            <v>84</v>
          </cell>
          <cell r="Q296">
            <v>45</v>
          </cell>
          <cell r="R296">
            <v>5.9</v>
          </cell>
          <cell r="S296">
            <v>83.8</v>
          </cell>
          <cell r="T296">
            <v>37522</v>
          </cell>
          <cell r="U296" t="str">
            <v>ЛА</v>
          </cell>
          <cell r="W296" t="str">
            <v>ЛА, сп.воронки (ГДИ-ЦДНГ)</v>
          </cell>
        </row>
        <row r="297">
          <cell r="B297">
            <v>5240</v>
          </cell>
          <cell r="C297">
            <v>134</v>
          </cell>
          <cell r="D297">
            <v>21</v>
          </cell>
          <cell r="F297" t="str">
            <v>УПНПиКРС</v>
          </cell>
          <cell r="H297" t="str">
            <v>ЭЦН</v>
          </cell>
          <cell r="I297" t="str">
            <v>конс.</v>
          </cell>
          <cell r="N297">
            <v>34</v>
          </cell>
          <cell r="O297">
            <v>15.5</v>
          </cell>
          <cell r="P297">
            <v>44</v>
          </cell>
          <cell r="Q297">
            <v>34</v>
          </cell>
          <cell r="R297">
            <v>15.5</v>
          </cell>
          <cell r="S297">
            <v>43.7</v>
          </cell>
          <cell r="T297">
            <v>37516</v>
          </cell>
          <cell r="U297" t="str">
            <v>ГРП</v>
          </cell>
          <cell r="W297" t="str">
            <v>ВЦ, РИР ЮК-10, ПР к ГРП, ГРП ЮК-2, осв.</v>
          </cell>
        </row>
        <row r="298">
          <cell r="B298">
            <v>5614</v>
          </cell>
          <cell r="C298">
            <v>116</v>
          </cell>
          <cell r="D298">
            <v>4</v>
          </cell>
          <cell r="F298" t="str">
            <v>УПНПиКРС</v>
          </cell>
          <cell r="H298" t="str">
            <v>нагнет.</v>
          </cell>
          <cell r="I298" t="str">
            <v>бд</v>
          </cell>
          <cell r="N298">
            <v>120</v>
          </cell>
          <cell r="Q298">
            <v>120</v>
          </cell>
          <cell r="T298" t="e">
            <v>#REF!</v>
          </cell>
          <cell r="U298" t="str">
            <v>ЛА</v>
          </cell>
          <cell r="W298" t="str">
            <v>ЛА, пуск под закачку</v>
          </cell>
        </row>
        <row r="303">
          <cell r="W303" t="str">
            <v>Отложенные:</v>
          </cell>
        </row>
        <row r="304">
          <cell r="B304">
            <v>2612</v>
          </cell>
          <cell r="C304" t="str">
            <v>157б</v>
          </cell>
          <cell r="F304" t="str">
            <v>УПНПиКРС</v>
          </cell>
          <cell r="G304">
            <v>260</v>
          </cell>
          <cell r="H304" t="str">
            <v>ШГН</v>
          </cell>
          <cell r="I304" t="str">
            <v>бд</v>
          </cell>
          <cell r="J304">
            <v>36112</v>
          </cell>
          <cell r="K304">
            <v>3</v>
          </cell>
          <cell r="L304">
            <v>2.2999999999999998</v>
          </cell>
          <cell r="M304">
            <v>5</v>
          </cell>
          <cell r="N304">
            <v>10</v>
          </cell>
          <cell r="O304">
            <v>7.3</v>
          </cell>
          <cell r="P304">
            <v>10</v>
          </cell>
          <cell r="Q304">
            <v>10</v>
          </cell>
          <cell r="R304">
            <v>7.3</v>
          </cell>
          <cell r="S304">
            <v>9.9</v>
          </cell>
          <cell r="T304">
            <v>7</v>
          </cell>
          <cell r="U304" t="str">
            <v>ОПЗ</v>
          </cell>
          <cell r="W304" t="str">
            <v>Л.А. УГИС. ОПЗ НТПН.( ГРП 2631,2611) ГДИ</v>
          </cell>
        </row>
        <row r="305">
          <cell r="B305">
            <v>2669</v>
          </cell>
          <cell r="C305">
            <v>160</v>
          </cell>
          <cell r="H305" t="str">
            <v>ШГН</v>
          </cell>
          <cell r="I305" t="str">
            <v>бд</v>
          </cell>
          <cell r="J305">
            <v>33020</v>
          </cell>
          <cell r="N305">
            <v>15</v>
          </cell>
          <cell r="O305">
            <v>10</v>
          </cell>
          <cell r="P305">
            <v>18</v>
          </cell>
          <cell r="Q305">
            <v>15</v>
          </cell>
          <cell r="R305">
            <v>10</v>
          </cell>
          <cell r="S305">
            <v>17.7</v>
          </cell>
          <cell r="U305" t="str">
            <v>ГРП</v>
          </cell>
          <cell r="W305" t="str">
            <v>ВЦ. ИР ЮК-11, ДП ЮК-10 ГРП</v>
          </cell>
        </row>
        <row r="306">
          <cell r="B306">
            <v>2670</v>
          </cell>
          <cell r="C306">
            <v>160</v>
          </cell>
          <cell r="H306" t="str">
            <v>ШГН</v>
          </cell>
          <cell r="I306" t="str">
            <v>конс.</v>
          </cell>
          <cell r="J306">
            <v>34274</v>
          </cell>
          <cell r="N306">
            <v>15</v>
          </cell>
          <cell r="O306">
            <v>4</v>
          </cell>
          <cell r="P306">
            <v>67</v>
          </cell>
          <cell r="Q306">
            <v>15</v>
          </cell>
          <cell r="R306">
            <v>4</v>
          </cell>
          <cell r="S306">
            <v>67.099999999999994</v>
          </cell>
          <cell r="U306" t="str">
            <v>ОПЗ</v>
          </cell>
          <cell r="W306" t="str">
            <v>ВЦ. ОПЗ НТПН ГДИ</v>
          </cell>
        </row>
        <row r="307">
          <cell r="B307">
            <v>2671</v>
          </cell>
          <cell r="C307">
            <v>160</v>
          </cell>
          <cell r="H307" t="str">
            <v>ШГН</v>
          </cell>
          <cell r="I307" t="str">
            <v>конс.</v>
          </cell>
          <cell r="J307">
            <v>33178</v>
          </cell>
          <cell r="N307">
            <v>10</v>
          </cell>
          <cell r="O307">
            <v>4</v>
          </cell>
          <cell r="P307">
            <v>51</v>
          </cell>
          <cell r="Q307">
            <v>10</v>
          </cell>
          <cell r="R307">
            <v>4</v>
          </cell>
          <cell r="S307">
            <v>50.6</v>
          </cell>
          <cell r="U307" t="str">
            <v>ОПЗ</v>
          </cell>
          <cell r="W307" t="str">
            <v>ВЦ. ОПЗ НТПН ГДИ</v>
          </cell>
        </row>
        <row r="308">
          <cell r="B308">
            <v>2672</v>
          </cell>
          <cell r="C308">
            <v>160</v>
          </cell>
          <cell r="H308" t="str">
            <v>ШГН</v>
          </cell>
          <cell r="I308" t="str">
            <v>бд</v>
          </cell>
          <cell r="J308">
            <v>36659</v>
          </cell>
          <cell r="N308">
            <v>5</v>
          </cell>
          <cell r="O308">
            <v>2</v>
          </cell>
          <cell r="P308">
            <v>50</v>
          </cell>
          <cell r="Q308">
            <v>5</v>
          </cell>
          <cell r="R308">
            <v>2</v>
          </cell>
          <cell r="S308">
            <v>50.6</v>
          </cell>
          <cell r="U308" t="str">
            <v>ВЦ</v>
          </cell>
          <cell r="W308" t="str">
            <v>ВЦ. ГДИ. Ревизия НН</v>
          </cell>
        </row>
        <row r="309">
          <cell r="B309">
            <v>2681</v>
          </cell>
          <cell r="C309" t="str">
            <v>145б</v>
          </cell>
          <cell r="F309" t="str">
            <v>УПНПиКРС</v>
          </cell>
          <cell r="G309">
            <v>255</v>
          </cell>
          <cell r="H309" t="str">
            <v>ШГН</v>
          </cell>
          <cell r="I309" t="str">
            <v>бд</v>
          </cell>
          <cell r="K309">
            <v>6</v>
          </cell>
          <cell r="L309">
            <v>4</v>
          </cell>
          <cell r="M309">
            <v>18</v>
          </cell>
          <cell r="N309">
            <v>8</v>
          </cell>
          <cell r="O309">
            <v>6</v>
          </cell>
          <cell r="P309">
            <v>8</v>
          </cell>
          <cell r="Q309">
            <v>8</v>
          </cell>
          <cell r="R309">
            <v>6</v>
          </cell>
          <cell r="S309">
            <v>7.4</v>
          </cell>
          <cell r="U309" t="str">
            <v>ВВ</v>
          </cell>
          <cell r="W309" t="str">
            <v>ВЦ. ПП ДН. Ревизия ШГН</v>
          </cell>
        </row>
        <row r="310">
          <cell r="B310">
            <v>2687</v>
          </cell>
          <cell r="C310">
            <v>160</v>
          </cell>
          <cell r="H310" t="str">
            <v>фон</v>
          </cell>
          <cell r="I310" t="str">
            <v>бд</v>
          </cell>
          <cell r="J310">
            <v>32843</v>
          </cell>
          <cell r="N310">
            <v>15</v>
          </cell>
          <cell r="O310">
            <v>10</v>
          </cell>
          <cell r="P310">
            <v>18</v>
          </cell>
          <cell r="Q310">
            <v>15</v>
          </cell>
          <cell r="R310">
            <v>10</v>
          </cell>
          <cell r="S310">
            <v>17.7</v>
          </cell>
          <cell r="U310" t="str">
            <v>ГРП</v>
          </cell>
          <cell r="W310" t="str">
            <v>ЛА. ГРП</v>
          </cell>
        </row>
        <row r="311">
          <cell r="B311">
            <v>2689</v>
          </cell>
          <cell r="C311">
            <v>160</v>
          </cell>
          <cell r="H311" t="str">
            <v>ШГН</v>
          </cell>
          <cell r="I311" t="str">
            <v>конс.</v>
          </cell>
          <cell r="J311">
            <v>33239</v>
          </cell>
          <cell r="N311">
            <v>10</v>
          </cell>
          <cell r="O311">
            <v>3</v>
          </cell>
          <cell r="P311">
            <v>63</v>
          </cell>
          <cell r="Q311">
            <v>10</v>
          </cell>
          <cell r="R311">
            <v>3</v>
          </cell>
          <cell r="S311">
            <v>63</v>
          </cell>
          <cell r="U311" t="str">
            <v>ОПЗ</v>
          </cell>
          <cell r="W311" t="str">
            <v>ВЦ. ОПЗ НТПН УГИС. ГДИ</v>
          </cell>
        </row>
        <row r="312">
          <cell r="B312">
            <v>2690</v>
          </cell>
          <cell r="C312">
            <v>160</v>
          </cell>
          <cell r="H312" t="str">
            <v>ШГН</v>
          </cell>
          <cell r="I312" t="str">
            <v>бд</v>
          </cell>
          <cell r="J312">
            <v>32825</v>
          </cell>
          <cell r="N312">
            <v>12</v>
          </cell>
          <cell r="O312">
            <v>7</v>
          </cell>
          <cell r="P312">
            <v>28</v>
          </cell>
          <cell r="Q312">
            <v>12</v>
          </cell>
          <cell r="R312">
            <v>7</v>
          </cell>
          <cell r="S312">
            <v>28</v>
          </cell>
          <cell r="U312" t="str">
            <v>ЛА</v>
          </cell>
          <cell r="W312" t="str">
            <v>ЛА. ИДН.сп.НН</v>
          </cell>
        </row>
        <row r="313">
          <cell r="B313">
            <v>2702</v>
          </cell>
          <cell r="C313" t="str">
            <v>145б</v>
          </cell>
          <cell r="F313" t="str">
            <v>УПНПиКРС</v>
          </cell>
          <cell r="G313">
            <v>275</v>
          </cell>
          <cell r="H313" t="str">
            <v>ЭЦН</v>
          </cell>
          <cell r="I313" t="str">
            <v>бд</v>
          </cell>
          <cell r="K313">
            <v>45</v>
          </cell>
          <cell r="L313">
            <v>2.2000000000000002</v>
          </cell>
          <cell r="M313">
            <v>94</v>
          </cell>
          <cell r="N313">
            <v>50</v>
          </cell>
          <cell r="O313">
            <v>4</v>
          </cell>
          <cell r="P313">
            <v>90.1</v>
          </cell>
          <cell r="Q313">
            <v>50</v>
          </cell>
          <cell r="R313">
            <v>4</v>
          </cell>
          <cell r="S313">
            <v>90.1</v>
          </cell>
          <cell r="U313" t="str">
            <v>ВЦ</v>
          </cell>
          <cell r="W313" t="str">
            <v>ВЦ. ГДИ. УГИС. Спуск ЭЦН</v>
          </cell>
        </row>
        <row r="314">
          <cell r="B314">
            <v>2706</v>
          </cell>
          <cell r="C314">
            <v>160</v>
          </cell>
          <cell r="H314" t="str">
            <v>ШГН</v>
          </cell>
          <cell r="I314" t="str">
            <v>бд</v>
          </cell>
          <cell r="J314">
            <v>36869</v>
          </cell>
          <cell r="N314">
            <v>6</v>
          </cell>
          <cell r="O314">
            <v>4</v>
          </cell>
          <cell r="P314">
            <v>19</v>
          </cell>
          <cell r="Q314">
            <v>6</v>
          </cell>
          <cell r="R314">
            <v>4</v>
          </cell>
          <cell r="S314">
            <v>17.7</v>
          </cell>
          <cell r="U314" t="str">
            <v>ВЦ</v>
          </cell>
          <cell r="W314" t="str">
            <v>ВЦ. Рев.НН</v>
          </cell>
        </row>
        <row r="315">
          <cell r="B315">
            <v>2707</v>
          </cell>
          <cell r="C315">
            <v>160</v>
          </cell>
          <cell r="H315" t="str">
            <v>ШГН</v>
          </cell>
          <cell r="I315" t="str">
            <v>конс.</v>
          </cell>
          <cell r="J315">
            <v>32843</v>
          </cell>
          <cell r="N315">
            <v>15</v>
          </cell>
          <cell r="O315">
            <v>4</v>
          </cell>
          <cell r="P315">
            <v>67</v>
          </cell>
          <cell r="Q315">
            <v>15</v>
          </cell>
          <cell r="R315">
            <v>4</v>
          </cell>
          <cell r="S315">
            <v>67.099999999999994</v>
          </cell>
          <cell r="U315" t="str">
            <v>ОПЗ</v>
          </cell>
          <cell r="W315" t="str">
            <v>ВЦ. ОПЗ НТПН ГДИ</v>
          </cell>
        </row>
        <row r="316">
          <cell r="B316">
            <v>2708</v>
          </cell>
          <cell r="C316">
            <v>160</v>
          </cell>
          <cell r="H316" t="str">
            <v>ШГН</v>
          </cell>
          <cell r="I316" t="str">
            <v>бд</v>
          </cell>
          <cell r="J316">
            <v>36856</v>
          </cell>
          <cell r="N316">
            <v>6</v>
          </cell>
          <cell r="O316">
            <v>4</v>
          </cell>
          <cell r="P316">
            <v>18</v>
          </cell>
          <cell r="Q316">
            <v>6</v>
          </cell>
          <cell r="R316">
            <v>4</v>
          </cell>
          <cell r="S316">
            <v>17.7</v>
          </cell>
          <cell r="U316" t="str">
            <v>ОПЗ</v>
          </cell>
          <cell r="W316" t="str">
            <v>ВЦ. ИДН. НН</v>
          </cell>
        </row>
        <row r="317">
          <cell r="B317">
            <v>2729</v>
          </cell>
          <cell r="C317">
            <v>144</v>
          </cell>
          <cell r="E317">
            <v>1</v>
          </cell>
          <cell r="F317" t="str">
            <v>УПНПиКРС</v>
          </cell>
          <cell r="G317">
            <v>295</v>
          </cell>
          <cell r="H317" t="str">
            <v>нагнет.</v>
          </cell>
          <cell r="I317" t="str">
            <v>конс.</v>
          </cell>
          <cell r="J317">
            <v>33879</v>
          </cell>
          <cell r="N317">
            <v>100</v>
          </cell>
          <cell r="Q317">
            <v>100</v>
          </cell>
          <cell r="T317">
            <v>3</v>
          </cell>
          <cell r="U317" t="str">
            <v>нг</v>
          </cell>
          <cell r="W317" t="str">
            <v>Увеличение приём. спуск пакера</v>
          </cell>
        </row>
        <row r="318">
          <cell r="B318">
            <v>2757</v>
          </cell>
          <cell r="C318">
            <v>144</v>
          </cell>
          <cell r="E318">
            <v>58</v>
          </cell>
          <cell r="F318" t="str">
            <v>УПНПиКРС</v>
          </cell>
          <cell r="G318">
            <v>270</v>
          </cell>
          <cell r="H318" t="str">
            <v>ШГН</v>
          </cell>
          <cell r="I318" t="str">
            <v>действ.</v>
          </cell>
          <cell r="K318">
            <v>0.8</v>
          </cell>
          <cell r="L318">
            <v>0.1</v>
          </cell>
          <cell r="M318">
            <v>91</v>
          </cell>
          <cell r="N318">
            <v>15</v>
          </cell>
          <cell r="O318">
            <v>6.1</v>
          </cell>
          <cell r="P318">
            <v>50.5</v>
          </cell>
          <cell r="Q318">
            <v>14.2</v>
          </cell>
          <cell r="R318">
            <v>6</v>
          </cell>
          <cell r="S318">
            <v>47.8</v>
          </cell>
          <cell r="T318">
            <v>7</v>
          </cell>
          <cell r="U318" t="str">
            <v>ОПЗ</v>
          </cell>
          <cell r="W318" t="str">
            <v>ГДИ. ПП (п."а"). ОПЗ КСПЭО. ГДИ</v>
          </cell>
        </row>
        <row r="319">
          <cell r="B319">
            <v>2758</v>
          </cell>
          <cell r="C319">
            <v>144</v>
          </cell>
          <cell r="E319">
            <v>55</v>
          </cell>
          <cell r="F319" t="str">
            <v>УПНПиКРС</v>
          </cell>
          <cell r="G319">
            <v>270</v>
          </cell>
          <cell r="H319" t="str">
            <v>ШГН</v>
          </cell>
          <cell r="I319" t="str">
            <v>конс.</v>
          </cell>
          <cell r="J319">
            <v>34425</v>
          </cell>
          <cell r="K319">
            <v>11</v>
          </cell>
          <cell r="L319">
            <v>0.7</v>
          </cell>
          <cell r="M319">
            <v>92</v>
          </cell>
          <cell r="N319">
            <v>20</v>
          </cell>
          <cell r="O319">
            <v>9.8000000000000007</v>
          </cell>
          <cell r="P319">
            <v>40</v>
          </cell>
          <cell r="Q319">
            <v>20</v>
          </cell>
          <cell r="R319">
            <v>9.8000000000000007</v>
          </cell>
          <cell r="S319">
            <v>39.5</v>
          </cell>
          <cell r="T319">
            <v>7</v>
          </cell>
          <cell r="U319" t="str">
            <v>ГРП</v>
          </cell>
          <cell r="W319" t="str">
            <v>РИР низа ЮК-10. ГРП</v>
          </cell>
        </row>
        <row r="320">
          <cell r="B320">
            <v>2788</v>
          </cell>
          <cell r="C320">
            <v>144</v>
          </cell>
          <cell r="E320">
            <v>57</v>
          </cell>
          <cell r="F320" t="str">
            <v>УПНПиКРС</v>
          </cell>
          <cell r="G320">
            <v>270</v>
          </cell>
          <cell r="H320" t="str">
            <v>ШГН</v>
          </cell>
          <cell r="I320" t="str">
            <v>бд</v>
          </cell>
          <cell r="J320">
            <v>36630</v>
          </cell>
          <cell r="K320">
            <v>2</v>
          </cell>
          <cell r="L320">
            <v>1.4</v>
          </cell>
          <cell r="M320">
            <v>15</v>
          </cell>
          <cell r="N320">
            <v>18</v>
          </cell>
          <cell r="O320">
            <v>10</v>
          </cell>
          <cell r="P320">
            <v>31.5</v>
          </cell>
          <cell r="Q320">
            <v>18</v>
          </cell>
          <cell r="R320">
            <v>10</v>
          </cell>
          <cell r="S320">
            <v>31.4</v>
          </cell>
          <cell r="T320">
            <v>7</v>
          </cell>
          <cell r="W320" t="str">
            <v>ЛА. ПР ГРП. ГРП</v>
          </cell>
        </row>
        <row r="321">
          <cell r="B321">
            <v>2789</v>
          </cell>
          <cell r="C321">
            <v>144</v>
          </cell>
          <cell r="E321">
            <v>58</v>
          </cell>
          <cell r="F321" t="str">
            <v>УПНПиКРС</v>
          </cell>
          <cell r="G321">
            <v>285</v>
          </cell>
          <cell r="H321" t="str">
            <v>ШГН</v>
          </cell>
          <cell r="I321" t="str">
            <v>бд</v>
          </cell>
          <cell r="J321">
            <v>34246</v>
          </cell>
          <cell r="N321">
            <v>6</v>
          </cell>
          <cell r="O321">
            <v>4.5</v>
          </cell>
          <cell r="P321">
            <v>8</v>
          </cell>
          <cell r="Q321">
            <v>6</v>
          </cell>
          <cell r="R321">
            <v>4.5</v>
          </cell>
          <cell r="S321">
            <v>7.4</v>
          </cell>
          <cell r="T321">
            <v>7</v>
          </cell>
          <cell r="U321" t="str">
            <v>ЛА</v>
          </cell>
          <cell r="W321" t="str">
            <v>Ликв.прихвата. ПП на депресии</v>
          </cell>
        </row>
        <row r="322">
          <cell r="B322">
            <v>2790</v>
          </cell>
          <cell r="C322">
            <v>144</v>
          </cell>
          <cell r="F322" t="str">
            <v>УПНПиКРС</v>
          </cell>
          <cell r="G322">
            <v>295</v>
          </cell>
          <cell r="H322" t="str">
            <v>нагнет.</v>
          </cell>
          <cell r="I322" t="str">
            <v>действ.</v>
          </cell>
          <cell r="N322">
            <v>150</v>
          </cell>
          <cell r="Q322">
            <v>150</v>
          </cell>
          <cell r="U322" t="str">
            <v>нг</v>
          </cell>
          <cell r="W322" t="str">
            <v>ГИС-3. ВПП ГАЛКА</v>
          </cell>
        </row>
        <row r="323">
          <cell r="B323">
            <v>2792</v>
          </cell>
          <cell r="C323">
            <v>144</v>
          </cell>
          <cell r="E323">
            <v>1</v>
          </cell>
          <cell r="F323" t="str">
            <v>УПНПиКРС</v>
          </cell>
          <cell r="G323">
            <v>285</v>
          </cell>
          <cell r="H323" t="str">
            <v>ШГН</v>
          </cell>
          <cell r="I323" t="str">
            <v>действ.</v>
          </cell>
          <cell r="J323">
            <v>0</v>
          </cell>
          <cell r="K323">
            <v>14</v>
          </cell>
          <cell r="L323">
            <v>9.1</v>
          </cell>
          <cell r="M323">
            <v>20</v>
          </cell>
          <cell r="N323">
            <v>40</v>
          </cell>
          <cell r="O323">
            <v>26.1</v>
          </cell>
          <cell r="P323">
            <v>20</v>
          </cell>
          <cell r="Q323">
            <v>26</v>
          </cell>
          <cell r="R323">
            <v>17</v>
          </cell>
          <cell r="S323">
            <v>19.3</v>
          </cell>
          <cell r="T323">
            <v>7</v>
          </cell>
          <cell r="U323" t="str">
            <v>ГРП</v>
          </cell>
          <cell r="W323" t="str">
            <v>ПР ГРП. ГРП ЮК-10</v>
          </cell>
        </row>
        <row r="324">
          <cell r="B324">
            <v>2802</v>
          </cell>
          <cell r="C324" t="str">
            <v>166б</v>
          </cell>
          <cell r="E324">
            <v>71</v>
          </cell>
          <cell r="F324" t="str">
            <v>ЗАО "УПКРС"</v>
          </cell>
          <cell r="G324">
            <v>290</v>
          </cell>
          <cell r="H324" t="str">
            <v>нагнет.</v>
          </cell>
          <cell r="I324" t="str">
            <v>бд</v>
          </cell>
          <cell r="J324">
            <v>36725</v>
          </cell>
          <cell r="N324">
            <v>100</v>
          </cell>
          <cell r="Q324">
            <v>100</v>
          </cell>
          <cell r="T324">
            <v>3</v>
          </cell>
          <cell r="U324" t="str">
            <v>нг</v>
          </cell>
          <cell r="V324">
            <v>1</v>
          </cell>
          <cell r="W324" t="str">
            <v>Ревизия и привязка пакера, каверномер.</v>
          </cell>
        </row>
        <row r="325">
          <cell r="B325">
            <v>2818</v>
          </cell>
          <cell r="C325">
            <v>144</v>
          </cell>
          <cell r="E325">
            <v>56</v>
          </cell>
          <cell r="F325" t="str">
            <v>УПНПиКРС</v>
          </cell>
          <cell r="G325">
            <v>255</v>
          </cell>
          <cell r="H325" t="str">
            <v>ШГН</v>
          </cell>
          <cell r="I325" t="str">
            <v>конс.</v>
          </cell>
          <cell r="J325">
            <v>33239</v>
          </cell>
          <cell r="N325">
            <v>8</v>
          </cell>
          <cell r="O325">
            <v>4</v>
          </cell>
          <cell r="P325">
            <v>39</v>
          </cell>
          <cell r="Q325">
            <v>8</v>
          </cell>
          <cell r="R325">
            <v>4</v>
          </cell>
          <cell r="S325">
            <v>38.299999999999997</v>
          </cell>
          <cell r="U325" t="str">
            <v>ОПЗ</v>
          </cell>
          <cell r="W325" t="str">
            <v>ВЦ. ГИС-2. ПП. ОПЗ. КСПЭО</v>
          </cell>
        </row>
        <row r="326">
          <cell r="B326">
            <v>2836</v>
          </cell>
          <cell r="C326">
            <v>125</v>
          </cell>
          <cell r="H326" t="str">
            <v>ШГН</v>
          </cell>
          <cell r="I326" t="str">
            <v>конс.</v>
          </cell>
          <cell r="J326">
            <v>35684</v>
          </cell>
          <cell r="K326">
            <v>4</v>
          </cell>
          <cell r="L326">
            <v>1.1000000000000001</v>
          </cell>
          <cell r="M326">
            <v>66</v>
          </cell>
          <cell r="N326">
            <v>20</v>
          </cell>
          <cell r="O326">
            <v>8.1999999999999993</v>
          </cell>
          <cell r="P326">
            <v>50</v>
          </cell>
          <cell r="Q326">
            <v>20</v>
          </cell>
          <cell r="R326">
            <v>8.1999999999999993</v>
          </cell>
          <cell r="S326">
            <v>49.4</v>
          </cell>
          <cell r="T326">
            <v>37270</v>
          </cell>
          <cell r="U326" t="str">
            <v>ГРП</v>
          </cell>
          <cell r="W326" t="str">
            <v>Ликвидация аварии, ИР ЮК-10, пр и ГРП ЮК-2-5</v>
          </cell>
        </row>
        <row r="327">
          <cell r="B327">
            <v>2848</v>
          </cell>
          <cell r="C327">
            <v>129</v>
          </cell>
          <cell r="E327">
            <v>1</v>
          </cell>
          <cell r="F327" t="str">
            <v>ЗАО "УПКРС"</v>
          </cell>
          <cell r="G327">
            <v>260</v>
          </cell>
          <cell r="H327" t="str">
            <v>ЭЦН</v>
          </cell>
          <cell r="K327">
            <v>29</v>
          </cell>
          <cell r="L327">
            <v>0.2</v>
          </cell>
          <cell r="M327">
            <v>99</v>
          </cell>
          <cell r="N327">
            <v>30</v>
          </cell>
          <cell r="O327">
            <v>3.5</v>
          </cell>
          <cell r="P327">
            <v>85.5</v>
          </cell>
          <cell r="Q327">
            <v>30</v>
          </cell>
          <cell r="R327">
            <v>3.5</v>
          </cell>
          <cell r="S327">
            <v>85.6</v>
          </cell>
          <cell r="T327">
            <v>7</v>
          </cell>
          <cell r="U327" t="str">
            <v>ОПЗ</v>
          </cell>
          <cell r="W327" t="str">
            <v>ВЦ. ПП (ОПЗ УГИС)</v>
          </cell>
        </row>
        <row r="328">
          <cell r="B328">
            <v>2849</v>
          </cell>
          <cell r="C328">
            <v>129</v>
          </cell>
          <cell r="E328">
            <v>2</v>
          </cell>
          <cell r="F328" t="str">
            <v>ЗАО "УПКРС"</v>
          </cell>
          <cell r="G328">
            <v>255</v>
          </cell>
          <cell r="H328" t="str">
            <v>ШГН</v>
          </cell>
          <cell r="I328" t="str">
            <v>конс.</v>
          </cell>
          <cell r="J328">
            <v>35705</v>
          </cell>
          <cell r="N328">
            <v>40</v>
          </cell>
          <cell r="O328">
            <v>12</v>
          </cell>
          <cell r="P328">
            <v>63.2</v>
          </cell>
          <cell r="Q328">
            <v>40</v>
          </cell>
          <cell r="R328">
            <v>12</v>
          </cell>
          <cell r="S328">
            <v>63</v>
          </cell>
          <cell r="T328">
            <v>7</v>
          </cell>
          <cell r="U328" t="str">
            <v>ГРП</v>
          </cell>
          <cell r="V328">
            <v>4</v>
          </cell>
          <cell r="W328" t="str">
            <v>ВЦ. ВЗ. ПП ГРП ЮК-10. ГДИ</v>
          </cell>
        </row>
        <row r="329">
          <cell r="B329">
            <v>2850</v>
          </cell>
          <cell r="C329">
            <v>129</v>
          </cell>
          <cell r="E329">
            <v>3</v>
          </cell>
          <cell r="F329" t="str">
            <v>ЗАО "УПКРС"</v>
          </cell>
          <cell r="G329">
            <v>230</v>
          </cell>
          <cell r="H329" t="str">
            <v>ШГН</v>
          </cell>
          <cell r="I329" t="str">
            <v>действ.</v>
          </cell>
          <cell r="J329">
            <v>0</v>
          </cell>
          <cell r="K329">
            <v>3</v>
          </cell>
          <cell r="L329">
            <v>1.5</v>
          </cell>
          <cell r="M329">
            <v>40</v>
          </cell>
          <cell r="N329">
            <v>40</v>
          </cell>
          <cell r="O329">
            <v>13</v>
          </cell>
          <cell r="P329">
            <v>60</v>
          </cell>
          <cell r="Q329">
            <v>37</v>
          </cell>
          <cell r="R329">
            <v>11.5</v>
          </cell>
          <cell r="S329">
            <v>61.6</v>
          </cell>
          <cell r="T329">
            <v>7</v>
          </cell>
          <cell r="U329" t="str">
            <v>ГРП</v>
          </cell>
          <cell r="W329" t="str">
            <v>ПР ГРП. ГРП. ЮК-10 ЭЦН-50</v>
          </cell>
        </row>
        <row r="330">
          <cell r="B330">
            <v>2858</v>
          </cell>
          <cell r="C330">
            <v>42</v>
          </cell>
          <cell r="F330" t="str">
            <v>ЗАО "УПКРС"</v>
          </cell>
          <cell r="G330">
            <v>240</v>
          </cell>
          <cell r="H330" t="str">
            <v>ШГН</v>
          </cell>
          <cell r="I330" t="str">
            <v>бд</v>
          </cell>
          <cell r="J330">
            <v>35455</v>
          </cell>
          <cell r="N330">
            <v>12</v>
          </cell>
          <cell r="O330">
            <v>4.9000000000000004</v>
          </cell>
          <cell r="P330">
            <v>50</v>
          </cell>
          <cell r="Q330">
            <v>12</v>
          </cell>
          <cell r="R330">
            <v>4.9000000000000004</v>
          </cell>
          <cell r="S330">
            <v>49.6</v>
          </cell>
          <cell r="T330">
            <v>7</v>
          </cell>
          <cell r="U330" t="str">
            <v>ОПЗ</v>
          </cell>
          <cell r="W330" t="str">
            <v>ВЦ, ПП, ОПЗ НТПН, УГИС</v>
          </cell>
        </row>
        <row r="331">
          <cell r="B331">
            <v>2861</v>
          </cell>
          <cell r="C331">
            <v>127</v>
          </cell>
          <cell r="H331" t="str">
            <v>ШГН</v>
          </cell>
          <cell r="I331" t="str">
            <v>бд</v>
          </cell>
          <cell r="J331">
            <v>37018</v>
          </cell>
          <cell r="K331">
            <v>0</v>
          </cell>
          <cell r="L331">
            <v>0</v>
          </cell>
          <cell r="M331">
            <v>0</v>
          </cell>
          <cell r="N331">
            <v>40</v>
          </cell>
          <cell r="O331">
            <v>6.5</v>
          </cell>
          <cell r="P331">
            <v>80</v>
          </cell>
          <cell r="Q331">
            <v>40</v>
          </cell>
          <cell r="R331">
            <v>6.5</v>
          </cell>
          <cell r="S331">
            <v>79.900000000000006</v>
          </cell>
          <cell r="T331">
            <v>37268</v>
          </cell>
          <cell r="U331" t="str">
            <v>ОПЗ</v>
          </cell>
          <cell r="W331" t="str">
            <v>ВЦ, ГИС(ЗКЦ). Ликв.ЗКЦ ПП через УГИС в кислотной среде</v>
          </cell>
        </row>
        <row r="332">
          <cell r="B332">
            <v>3079</v>
          </cell>
          <cell r="C332">
            <v>51</v>
          </cell>
          <cell r="F332" t="str">
            <v>УПНП</v>
          </cell>
          <cell r="G332">
            <v>265</v>
          </cell>
          <cell r="H332" t="str">
            <v>ЭЦН</v>
          </cell>
          <cell r="I332" t="str">
            <v>конс.</v>
          </cell>
          <cell r="J332">
            <v>33635</v>
          </cell>
          <cell r="K332">
            <v>0</v>
          </cell>
          <cell r="L332">
            <v>0</v>
          </cell>
          <cell r="M332">
            <v>0</v>
          </cell>
          <cell r="N332">
            <v>50</v>
          </cell>
          <cell r="O332">
            <v>11</v>
          </cell>
          <cell r="P332">
            <v>73</v>
          </cell>
          <cell r="Q332">
            <v>50</v>
          </cell>
          <cell r="R332">
            <v>11</v>
          </cell>
          <cell r="S332">
            <v>72.8</v>
          </cell>
          <cell r="U332" t="str">
            <v>ВВ</v>
          </cell>
          <cell r="W332" t="str">
            <v>ВЦ,ВЗ,ДП ЮК-10</v>
          </cell>
        </row>
        <row r="334">
          <cell r="B334">
            <v>2866</v>
          </cell>
          <cell r="C334">
            <v>131</v>
          </cell>
          <cell r="E334" t="e">
            <v>#REF!</v>
          </cell>
          <cell r="F334" t="str">
            <v>ЗАО "УПКРС"</v>
          </cell>
          <cell r="G334">
            <v>250</v>
          </cell>
          <cell r="H334" t="str">
            <v>ЭЦН</v>
          </cell>
          <cell r="I334" t="str">
            <v>конс.</v>
          </cell>
          <cell r="J334">
            <v>34883</v>
          </cell>
          <cell r="N334">
            <v>16</v>
          </cell>
          <cell r="O334">
            <v>2.5</v>
          </cell>
          <cell r="P334">
            <v>81</v>
          </cell>
          <cell r="Q334">
            <v>16</v>
          </cell>
          <cell r="R334">
            <v>2.5</v>
          </cell>
          <cell r="S334">
            <v>80.7</v>
          </cell>
          <cell r="T334">
            <v>7</v>
          </cell>
          <cell r="U334" t="str">
            <v>ЛА</v>
          </cell>
          <cell r="W334" t="str">
            <v>ЛА. РИР ЮК-11. ПП. Сваб (УГИС)</v>
          </cell>
        </row>
        <row r="335">
          <cell r="B335">
            <v>2869</v>
          </cell>
          <cell r="C335">
            <v>129</v>
          </cell>
          <cell r="E335" t="e">
            <v>#REF!</v>
          </cell>
          <cell r="F335" t="str">
            <v>ЗАО "УПКРС"</v>
          </cell>
          <cell r="G335">
            <v>255</v>
          </cell>
          <cell r="H335" t="str">
            <v>ЭЦН</v>
          </cell>
          <cell r="I335" t="str">
            <v>конс.</v>
          </cell>
          <cell r="J335">
            <v>34912</v>
          </cell>
          <cell r="N335">
            <v>40</v>
          </cell>
          <cell r="O335">
            <v>12</v>
          </cell>
          <cell r="P335">
            <v>63.3</v>
          </cell>
          <cell r="Q335">
            <v>40</v>
          </cell>
          <cell r="R335">
            <v>12</v>
          </cell>
          <cell r="S335">
            <v>63</v>
          </cell>
          <cell r="T335">
            <v>7</v>
          </cell>
          <cell r="U335" t="str">
            <v>ГРП</v>
          </cell>
          <cell r="V335">
            <v>3</v>
          </cell>
          <cell r="W335" t="str">
            <v>ЛА. РИР ЮК-11. ПП.ГРП</v>
          </cell>
        </row>
        <row r="336">
          <cell r="B336">
            <v>2877</v>
          </cell>
          <cell r="C336">
            <v>42</v>
          </cell>
          <cell r="F336" t="str">
            <v>ЗАО "УПКРС"</v>
          </cell>
          <cell r="G336">
            <v>250</v>
          </cell>
          <cell r="H336" t="str">
            <v>ШГН</v>
          </cell>
          <cell r="I336" t="str">
            <v>бд</v>
          </cell>
          <cell r="J336">
            <v>36895</v>
          </cell>
          <cell r="N336">
            <v>30</v>
          </cell>
          <cell r="O336">
            <v>10</v>
          </cell>
          <cell r="P336">
            <v>59</v>
          </cell>
          <cell r="Q336">
            <v>30</v>
          </cell>
          <cell r="R336">
            <v>10</v>
          </cell>
          <cell r="S336">
            <v>58.8</v>
          </cell>
          <cell r="T336">
            <v>7</v>
          </cell>
          <cell r="U336" t="str">
            <v>ГРП</v>
          </cell>
          <cell r="W336" t="str">
            <v>ПР к ГРП, ГРП</v>
          </cell>
        </row>
        <row r="337">
          <cell r="B337">
            <v>2878</v>
          </cell>
          <cell r="C337">
            <v>42</v>
          </cell>
          <cell r="F337" t="str">
            <v>ЗАО "УПКРС"</v>
          </cell>
          <cell r="G337">
            <v>260</v>
          </cell>
          <cell r="H337" t="str">
            <v>ШГН</v>
          </cell>
          <cell r="I337" t="str">
            <v>действ.</v>
          </cell>
          <cell r="K337">
            <v>5</v>
          </cell>
          <cell r="L337">
            <v>1.1000000000000001</v>
          </cell>
          <cell r="M337">
            <v>73</v>
          </cell>
          <cell r="N337">
            <v>30</v>
          </cell>
          <cell r="O337">
            <v>10</v>
          </cell>
          <cell r="P337">
            <v>59</v>
          </cell>
          <cell r="Q337">
            <v>25</v>
          </cell>
          <cell r="R337">
            <v>8.9</v>
          </cell>
          <cell r="S337">
            <v>56</v>
          </cell>
          <cell r="T337">
            <v>7</v>
          </cell>
          <cell r="U337" t="str">
            <v>ГРП</v>
          </cell>
          <cell r="W337" t="str">
            <v>ПР к ГРП, ГРП(повторное) (ОПЗ НТПН)</v>
          </cell>
        </row>
        <row r="340">
          <cell r="B340">
            <v>2884</v>
          </cell>
          <cell r="C340">
            <v>131</v>
          </cell>
          <cell r="F340" t="str">
            <v>УПНПиКРС</v>
          </cell>
          <cell r="G340">
            <v>280</v>
          </cell>
          <cell r="H340" t="str">
            <v>ЭЦН</v>
          </cell>
          <cell r="I340" t="str">
            <v>действ.</v>
          </cell>
          <cell r="K340">
            <v>40</v>
          </cell>
          <cell r="L340">
            <v>3.9</v>
          </cell>
          <cell r="M340">
            <v>88</v>
          </cell>
          <cell r="N340">
            <v>50</v>
          </cell>
          <cell r="O340">
            <v>5.9</v>
          </cell>
          <cell r="P340">
            <v>85.5</v>
          </cell>
          <cell r="Q340">
            <v>10</v>
          </cell>
          <cell r="R340">
            <v>2.0000000000000004</v>
          </cell>
          <cell r="S340">
            <v>75.3</v>
          </cell>
          <cell r="U340" t="str">
            <v>ОВП</v>
          </cell>
          <cell r="W340" t="str">
            <v>ГИС-2. ОВП МЕТКА</v>
          </cell>
        </row>
        <row r="341">
          <cell r="B341">
            <v>2884</v>
          </cell>
          <cell r="C341">
            <v>131</v>
          </cell>
          <cell r="E341">
            <v>1</v>
          </cell>
          <cell r="F341" t="str">
            <v>ЗАО "УПКРС"</v>
          </cell>
          <cell r="G341">
            <v>260</v>
          </cell>
          <cell r="H341" t="str">
            <v>ЭЦН</v>
          </cell>
          <cell r="I341" t="str">
            <v>действ.</v>
          </cell>
          <cell r="K341">
            <v>30</v>
          </cell>
          <cell r="L341">
            <v>1.5</v>
          </cell>
          <cell r="M341">
            <v>94</v>
          </cell>
          <cell r="N341">
            <v>50</v>
          </cell>
          <cell r="O341">
            <v>4.5</v>
          </cell>
          <cell r="P341">
            <v>89</v>
          </cell>
          <cell r="Q341">
            <v>20</v>
          </cell>
          <cell r="R341">
            <v>3</v>
          </cell>
          <cell r="S341">
            <v>81.5</v>
          </cell>
          <cell r="T341">
            <v>7</v>
          </cell>
          <cell r="U341" t="str">
            <v>ОПЗ</v>
          </cell>
          <cell r="W341" t="str">
            <v>ГИС-2. УГИС (ОПЗ)</v>
          </cell>
        </row>
        <row r="342">
          <cell r="B342">
            <v>2886</v>
          </cell>
          <cell r="C342">
            <v>131</v>
          </cell>
          <cell r="E342">
            <v>2</v>
          </cell>
          <cell r="F342" t="str">
            <v>ЗАО "УПКРС"</v>
          </cell>
          <cell r="G342">
            <v>255</v>
          </cell>
          <cell r="H342" t="str">
            <v>ШГН</v>
          </cell>
          <cell r="K342">
            <v>24</v>
          </cell>
          <cell r="L342">
            <v>0.2</v>
          </cell>
          <cell r="M342">
            <v>99</v>
          </cell>
          <cell r="N342">
            <v>50</v>
          </cell>
          <cell r="O342">
            <v>4</v>
          </cell>
          <cell r="P342">
            <v>90.3</v>
          </cell>
          <cell r="Q342">
            <v>50</v>
          </cell>
          <cell r="R342">
            <v>4</v>
          </cell>
          <cell r="S342">
            <v>90.1</v>
          </cell>
          <cell r="T342">
            <v>7</v>
          </cell>
          <cell r="U342" t="str">
            <v>ОПЗ</v>
          </cell>
          <cell r="W342" t="str">
            <v>ГИС-2. УГИС (ОПЗ)</v>
          </cell>
        </row>
        <row r="343">
          <cell r="B343">
            <v>2904</v>
          </cell>
          <cell r="C343">
            <v>131</v>
          </cell>
          <cell r="F343" t="str">
            <v>УПНПиКРС</v>
          </cell>
          <cell r="G343">
            <v>295</v>
          </cell>
          <cell r="H343" t="str">
            <v>нагнет.</v>
          </cell>
          <cell r="I343" t="str">
            <v>действ.</v>
          </cell>
          <cell r="K343">
            <v>330</v>
          </cell>
          <cell r="N343">
            <v>250</v>
          </cell>
          <cell r="Q343">
            <v>250</v>
          </cell>
          <cell r="R343">
            <v>0</v>
          </cell>
          <cell r="U343" t="str">
            <v>ВВП</v>
          </cell>
          <cell r="W343" t="str">
            <v>ГИС-3. ВПП ГАЛКА</v>
          </cell>
        </row>
        <row r="344">
          <cell r="B344">
            <v>2905</v>
          </cell>
          <cell r="C344">
            <v>132</v>
          </cell>
          <cell r="F344" t="str">
            <v>УПНПиКРС</v>
          </cell>
          <cell r="G344">
            <v>290</v>
          </cell>
          <cell r="H344" t="str">
            <v>ЭЦН</v>
          </cell>
          <cell r="I344" t="str">
            <v>действ.</v>
          </cell>
          <cell r="K344">
            <v>50</v>
          </cell>
          <cell r="L344">
            <v>5.3</v>
          </cell>
          <cell r="M344">
            <v>87</v>
          </cell>
          <cell r="N344">
            <v>50</v>
          </cell>
          <cell r="O344">
            <v>8.1999999999999993</v>
          </cell>
          <cell r="P344">
            <v>80</v>
          </cell>
          <cell r="Q344">
            <v>0</v>
          </cell>
          <cell r="R344">
            <v>2.8999999999999995</v>
          </cell>
          <cell r="U344" t="str">
            <v>ОВП</v>
          </cell>
          <cell r="W344" t="str">
            <v>ГИС-2. ОВП МЕТКА.</v>
          </cell>
        </row>
        <row r="345">
          <cell r="B345">
            <v>2933</v>
          </cell>
          <cell r="C345">
            <v>44</v>
          </cell>
          <cell r="E345">
            <v>60</v>
          </cell>
          <cell r="F345" t="str">
            <v>ЗАО "УПКРС"</v>
          </cell>
          <cell r="G345">
            <v>265</v>
          </cell>
          <cell r="H345" t="str">
            <v>ШГН</v>
          </cell>
          <cell r="I345" t="str">
            <v>бд</v>
          </cell>
          <cell r="J345">
            <v>36935</v>
          </cell>
          <cell r="K345">
            <v>10</v>
          </cell>
          <cell r="L345">
            <v>5.0999999999999996</v>
          </cell>
          <cell r="M345">
            <v>37</v>
          </cell>
          <cell r="N345">
            <v>10</v>
          </cell>
          <cell r="O345">
            <v>5</v>
          </cell>
          <cell r="P345">
            <v>38.5</v>
          </cell>
          <cell r="Q345">
            <v>10</v>
          </cell>
          <cell r="R345">
            <v>5</v>
          </cell>
          <cell r="S345">
            <v>38.299999999999997</v>
          </cell>
          <cell r="T345">
            <v>12</v>
          </cell>
          <cell r="U345" t="str">
            <v>ВЦ</v>
          </cell>
          <cell r="V345">
            <v>2</v>
          </cell>
          <cell r="W345" t="str">
            <v xml:space="preserve">ВЦ, Ликв.грифона </v>
          </cell>
        </row>
        <row r="346">
          <cell r="B346">
            <v>3002</v>
          </cell>
          <cell r="C346">
            <v>50</v>
          </cell>
          <cell r="H346" t="str">
            <v>ШГН</v>
          </cell>
          <cell r="I346" t="str">
            <v>конс.</v>
          </cell>
          <cell r="J346">
            <v>34514</v>
          </cell>
          <cell r="K346">
            <v>5</v>
          </cell>
          <cell r="L346">
            <v>0.5</v>
          </cell>
          <cell r="M346">
            <v>88</v>
          </cell>
          <cell r="N346">
            <v>5</v>
          </cell>
          <cell r="O346">
            <v>0.5</v>
          </cell>
          <cell r="P346">
            <v>88</v>
          </cell>
          <cell r="Q346">
            <v>5</v>
          </cell>
          <cell r="R346">
            <v>0.5</v>
          </cell>
          <cell r="S346">
            <v>87.7</v>
          </cell>
          <cell r="W346" t="str">
            <v>ВЦ, ПП, ОПЗ НТПН, ГДИ, сп.НН</v>
          </cell>
        </row>
        <row r="347">
          <cell r="B347">
            <v>3003</v>
          </cell>
          <cell r="C347">
            <v>50</v>
          </cell>
          <cell r="H347" t="str">
            <v>нагн</v>
          </cell>
          <cell r="I347" t="str">
            <v>конс.</v>
          </cell>
          <cell r="J347">
            <v>32903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e">
            <v>#DIV/0!</v>
          </cell>
          <cell r="U347" t="str">
            <v>ГРП</v>
          </cell>
          <cell r="W347" t="str">
            <v>ВЦ, ПП, ГРП (ОПЗ НТПН), ГДИ, сп.НН</v>
          </cell>
        </row>
        <row r="348">
          <cell r="B348">
            <v>3026</v>
          </cell>
          <cell r="C348">
            <v>53</v>
          </cell>
          <cell r="H348" t="str">
            <v>ШГН</v>
          </cell>
          <cell r="I348" t="str">
            <v>конс.</v>
          </cell>
          <cell r="J348">
            <v>34493</v>
          </cell>
          <cell r="K348">
            <v>13</v>
          </cell>
          <cell r="L348">
            <v>10.6</v>
          </cell>
          <cell r="M348">
            <v>0</v>
          </cell>
          <cell r="N348">
            <v>13</v>
          </cell>
          <cell r="O348">
            <v>10.6</v>
          </cell>
          <cell r="P348">
            <v>0</v>
          </cell>
          <cell r="Q348">
            <v>13</v>
          </cell>
          <cell r="R348">
            <v>10.6</v>
          </cell>
          <cell r="S348">
            <v>-0.7</v>
          </cell>
          <cell r="U348" t="str">
            <v>ГРП</v>
          </cell>
          <cell r="W348" t="str">
            <v>ВЦ, ПП, ОПЗ НТПН, ГДИ, сп.НН</v>
          </cell>
        </row>
        <row r="349">
          <cell r="B349">
            <v>3027</v>
          </cell>
          <cell r="C349">
            <v>52</v>
          </cell>
          <cell r="H349" t="str">
            <v>ШГН</v>
          </cell>
          <cell r="I349" t="str">
            <v>бд</v>
          </cell>
          <cell r="J349">
            <v>36971</v>
          </cell>
          <cell r="K349">
            <v>10</v>
          </cell>
          <cell r="L349">
            <v>2.2000000000000002</v>
          </cell>
          <cell r="M349">
            <v>73</v>
          </cell>
          <cell r="N349">
            <v>20</v>
          </cell>
          <cell r="O349">
            <v>6.5</v>
          </cell>
          <cell r="P349">
            <v>60</v>
          </cell>
          <cell r="Q349">
            <v>20</v>
          </cell>
          <cell r="R349">
            <v>6.5</v>
          </cell>
          <cell r="S349">
            <v>59.9</v>
          </cell>
          <cell r="W349" t="str">
            <v>ВЦ, ЛА, ПП, ОПЗ НТПН, УГИС</v>
          </cell>
        </row>
        <row r="350">
          <cell r="B350">
            <v>3029</v>
          </cell>
          <cell r="C350">
            <v>52</v>
          </cell>
          <cell r="H350" t="str">
            <v>ЭЦН</v>
          </cell>
          <cell r="I350" t="str">
            <v>бд</v>
          </cell>
          <cell r="J350">
            <v>36795</v>
          </cell>
          <cell r="K350">
            <v>4</v>
          </cell>
          <cell r="L350">
            <v>1.9</v>
          </cell>
          <cell r="M350">
            <v>41</v>
          </cell>
          <cell r="N350">
            <v>4</v>
          </cell>
          <cell r="O350">
            <v>1.9</v>
          </cell>
          <cell r="P350">
            <v>41</v>
          </cell>
          <cell r="Q350">
            <v>4</v>
          </cell>
          <cell r="R350">
            <v>1.9</v>
          </cell>
          <cell r="S350">
            <v>41.4</v>
          </cell>
          <cell r="W350" t="str">
            <v>ВЦ, ПП, ОПЗ НТПН, ГДИ, сп.НН</v>
          </cell>
        </row>
        <row r="351">
          <cell r="B351">
            <v>3072</v>
          </cell>
          <cell r="C351">
            <v>53</v>
          </cell>
          <cell r="H351" t="str">
            <v>ШГН</v>
          </cell>
          <cell r="I351" t="str">
            <v>конс.</v>
          </cell>
          <cell r="J351">
            <v>33848</v>
          </cell>
          <cell r="K351">
            <v>2</v>
          </cell>
          <cell r="L351">
            <v>1.6</v>
          </cell>
          <cell r="M351">
            <v>0</v>
          </cell>
          <cell r="N351">
            <v>2</v>
          </cell>
          <cell r="O351">
            <v>1.6</v>
          </cell>
          <cell r="P351">
            <v>0</v>
          </cell>
          <cell r="Q351">
            <v>2</v>
          </cell>
          <cell r="R351">
            <v>1.6</v>
          </cell>
          <cell r="S351">
            <v>1.2</v>
          </cell>
          <cell r="W351" t="str">
            <v>ВЦ, ПП, ОПЗ НТПН, ГДИ, сп.НН</v>
          </cell>
        </row>
        <row r="352">
          <cell r="B352">
            <v>3073</v>
          </cell>
          <cell r="C352">
            <v>53</v>
          </cell>
          <cell r="H352" t="str">
            <v>ШГН</v>
          </cell>
          <cell r="I352" t="str">
            <v>бд</v>
          </cell>
          <cell r="J352">
            <v>36834</v>
          </cell>
          <cell r="K352">
            <v>3</v>
          </cell>
          <cell r="L352">
            <v>0.9</v>
          </cell>
          <cell r="M352">
            <v>65</v>
          </cell>
          <cell r="N352">
            <v>3</v>
          </cell>
          <cell r="O352">
            <v>0.9</v>
          </cell>
          <cell r="P352">
            <v>65</v>
          </cell>
          <cell r="Q352">
            <v>3</v>
          </cell>
          <cell r="R352">
            <v>0.9</v>
          </cell>
          <cell r="S352">
            <v>63</v>
          </cell>
          <cell r="W352" t="str">
            <v>ВЦ, ПП, ОПЗ НТПН, ГДИ, сп.НН</v>
          </cell>
        </row>
        <row r="353">
          <cell r="B353">
            <v>3096</v>
          </cell>
          <cell r="C353">
            <v>53</v>
          </cell>
          <cell r="H353" t="str">
            <v>ШГН</v>
          </cell>
          <cell r="I353" t="str">
            <v>бд</v>
          </cell>
          <cell r="J353">
            <v>36246</v>
          </cell>
          <cell r="K353">
            <v>6</v>
          </cell>
          <cell r="L353">
            <v>3.3</v>
          </cell>
          <cell r="M353">
            <v>33</v>
          </cell>
          <cell r="N353">
            <v>6</v>
          </cell>
          <cell r="O353">
            <v>3.3</v>
          </cell>
          <cell r="P353">
            <v>33</v>
          </cell>
          <cell r="Q353">
            <v>6</v>
          </cell>
          <cell r="R353">
            <v>3.3</v>
          </cell>
          <cell r="S353">
            <v>32.1</v>
          </cell>
          <cell r="W353" t="str">
            <v>ВЦ, ПП, ОПЗ НТПН, ГДИ, сп.НН</v>
          </cell>
        </row>
        <row r="354">
          <cell r="B354">
            <v>3097</v>
          </cell>
          <cell r="C354">
            <v>53</v>
          </cell>
          <cell r="H354" t="str">
            <v>ШГН</v>
          </cell>
          <cell r="I354" t="str">
            <v>бд</v>
          </cell>
          <cell r="J354">
            <v>36244</v>
          </cell>
          <cell r="K354">
            <v>6</v>
          </cell>
          <cell r="L354">
            <v>3.6</v>
          </cell>
          <cell r="M354">
            <v>26</v>
          </cell>
          <cell r="N354">
            <v>6</v>
          </cell>
          <cell r="O354">
            <v>3.6</v>
          </cell>
          <cell r="P354">
            <v>26</v>
          </cell>
          <cell r="Q354">
            <v>6</v>
          </cell>
          <cell r="R354">
            <v>3.6</v>
          </cell>
          <cell r="S354">
            <v>25.9</v>
          </cell>
          <cell r="W354" t="str">
            <v>ВЦ, ПП, ОПЗ НТПН, ГДИ, сп.НН</v>
          </cell>
        </row>
        <row r="355">
          <cell r="B355">
            <v>3952</v>
          </cell>
          <cell r="C355">
            <v>308</v>
          </cell>
          <cell r="G355">
            <v>245</v>
          </cell>
          <cell r="H355" t="str">
            <v>нагнет.</v>
          </cell>
          <cell r="I355" t="str">
            <v>бд</v>
          </cell>
          <cell r="N355">
            <v>250</v>
          </cell>
          <cell r="Q355">
            <v>250</v>
          </cell>
          <cell r="R355">
            <v>0</v>
          </cell>
          <cell r="W355" t="str">
            <v>Спуск пакера, определение прием.ЮК11</v>
          </cell>
        </row>
        <row r="356">
          <cell r="B356">
            <v>3959</v>
          </cell>
          <cell r="C356">
            <v>198</v>
          </cell>
          <cell r="G356">
            <v>226</v>
          </cell>
          <cell r="H356" t="str">
            <v>нагнет.</v>
          </cell>
          <cell r="I356" t="str">
            <v>конс.</v>
          </cell>
          <cell r="N356">
            <v>250</v>
          </cell>
          <cell r="Q356">
            <v>250</v>
          </cell>
          <cell r="R356">
            <v>0</v>
          </cell>
          <cell r="W356" t="str">
            <v>Спуск пакера, определение прием.ЮК11</v>
          </cell>
        </row>
        <row r="357">
          <cell r="B357">
            <v>4018</v>
          </cell>
          <cell r="C357">
            <v>314</v>
          </cell>
          <cell r="F357" t="str">
            <v>УПНПиКРС</v>
          </cell>
          <cell r="G357">
            <v>250</v>
          </cell>
          <cell r="H357" t="str">
            <v>Ф/ЭЦН</v>
          </cell>
          <cell r="I357" t="str">
            <v>конс.</v>
          </cell>
          <cell r="J357">
            <v>34335</v>
          </cell>
          <cell r="L357">
            <v>0</v>
          </cell>
          <cell r="N357">
            <v>30</v>
          </cell>
          <cell r="O357">
            <v>1</v>
          </cell>
          <cell r="P357">
            <v>96</v>
          </cell>
          <cell r="Q357">
            <v>30</v>
          </cell>
          <cell r="R357">
            <v>1</v>
          </cell>
          <cell r="S357">
            <v>95.9</v>
          </cell>
          <cell r="T357">
            <v>7</v>
          </cell>
          <cell r="U357" t="str">
            <v>ЛА</v>
          </cell>
          <cell r="W357" t="str">
            <v>ВЦ. ЛА. ГИС-2. УГИС</v>
          </cell>
        </row>
        <row r="358">
          <cell r="B358">
            <v>4020</v>
          </cell>
          <cell r="C358">
            <v>314</v>
          </cell>
          <cell r="F358" t="str">
            <v>УПНПиКРС</v>
          </cell>
          <cell r="G358">
            <v>220</v>
          </cell>
          <cell r="H358" t="str">
            <v>фон</v>
          </cell>
          <cell r="I358" t="str">
            <v>конс.</v>
          </cell>
          <cell r="J358">
            <v>34486</v>
          </cell>
          <cell r="L358">
            <v>0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7</v>
          </cell>
          <cell r="U358" t="str">
            <v>ЛН</v>
          </cell>
          <cell r="W358" t="str">
            <v>РИР (негерм. ЭК -1078-79 м). ГИС-2. ИДН</v>
          </cell>
        </row>
        <row r="359">
          <cell r="B359">
            <v>4021</v>
          </cell>
          <cell r="C359">
            <v>314</v>
          </cell>
          <cell r="F359" t="str">
            <v>УПНПиКРС</v>
          </cell>
          <cell r="G359">
            <v>220</v>
          </cell>
          <cell r="H359" t="str">
            <v>фон</v>
          </cell>
          <cell r="I359" t="str">
            <v>конс.</v>
          </cell>
          <cell r="J359">
            <v>34425</v>
          </cell>
          <cell r="L359">
            <v>0</v>
          </cell>
          <cell r="N359">
            <v>20</v>
          </cell>
          <cell r="O359">
            <v>1</v>
          </cell>
          <cell r="P359">
            <v>94</v>
          </cell>
          <cell r="Q359">
            <v>20</v>
          </cell>
          <cell r="R359">
            <v>1</v>
          </cell>
          <cell r="S359">
            <v>93.8</v>
          </cell>
          <cell r="T359">
            <v>7</v>
          </cell>
          <cell r="U359" t="str">
            <v>ЛА</v>
          </cell>
          <cell r="W359" t="str">
            <v>ВЦ. ЛА. ГИС-2. РИР (ЗКЦ). УГИС</v>
          </cell>
        </row>
        <row r="360">
          <cell r="B360">
            <v>4122</v>
          </cell>
          <cell r="C360">
            <v>314</v>
          </cell>
          <cell r="F360" t="str">
            <v>УПНПиКРС</v>
          </cell>
          <cell r="G360">
            <v>250</v>
          </cell>
          <cell r="H360" t="str">
            <v>Ф/ЭЦН</v>
          </cell>
          <cell r="I360" t="str">
            <v>бд</v>
          </cell>
          <cell r="J360">
            <v>34485</v>
          </cell>
          <cell r="L360">
            <v>0</v>
          </cell>
          <cell r="N360">
            <v>20</v>
          </cell>
          <cell r="O360">
            <v>2</v>
          </cell>
          <cell r="P360">
            <v>88</v>
          </cell>
          <cell r="Q360">
            <v>20</v>
          </cell>
          <cell r="R360">
            <v>2</v>
          </cell>
          <cell r="S360">
            <v>87.7</v>
          </cell>
          <cell r="T360">
            <v>37242</v>
          </cell>
          <cell r="U360" t="str">
            <v>ОПЗ</v>
          </cell>
          <cell r="W360" t="str">
            <v>ГИС-2. ПП. УГИС</v>
          </cell>
        </row>
        <row r="361">
          <cell r="B361">
            <v>4125</v>
          </cell>
          <cell r="C361">
            <v>315</v>
          </cell>
          <cell r="F361" t="str">
            <v>УПНПиКРС</v>
          </cell>
          <cell r="G361">
            <v>250</v>
          </cell>
          <cell r="H361" t="str">
            <v>Ф/ЭЦН</v>
          </cell>
          <cell r="I361" t="str">
            <v>бд</v>
          </cell>
          <cell r="J361">
            <v>33147</v>
          </cell>
          <cell r="L361">
            <v>0</v>
          </cell>
          <cell r="N361">
            <v>20</v>
          </cell>
          <cell r="O361">
            <v>1</v>
          </cell>
          <cell r="P361">
            <v>93.6</v>
          </cell>
          <cell r="Q361">
            <v>20</v>
          </cell>
          <cell r="R361">
            <v>1</v>
          </cell>
          <cell r="S361">
            <v>93.8</v>
          </cell>
          <cell r="T361">
            <v>7</v>
          </cell>
          <cell r="U361" t="str">
            <v>ОВП</v>
          </cell>
          <cell r="W361" t="str">
            <v>ЛА (Полет ЭЦН). ГИС-2. ИР</v>
          </cell>
        </row>
        <row r="362">
          <cell r="B362">
            <v>4127</v>
          </cell>
          <cell r="C362">
            <v>315</v>
          </cell>
          <cell r="F362" t="str">
            <v>УПНПиКРС</v>
          </cell>
          <cell r="G362">
            <v>245</v>
          </cell>
          <cell r="H362" t="str">
            <v>ЭЦН</v>
          </cell>
          <cell r="I362" t="str">
            <v>бд</v>
          </cell>
          <cell r="J362">
            <v>35432</v>
          </cell>
          <cell r="L362">
            <v>0</v>
          </cell>
          <cell r="N362">
            <v>17</v>
          </cell>
          <cell r="O362">
            <v>1</v>
          </cell>
          <cell r="P362">
            <v>93</v>
          </cell>
          <cell r="Q362">
            <v>17</v>
          </cell>
          <cell r="R362">
            <v>1</v>
          </cell>
          <cell r="S362">
            <v>92.7</v>
          </cell>
          <cell r="T362">
            <v>7</v>
          </cell>
          <cell r="U362" t="str">
            <v>ОВП</v>
          </cell>
          <cell r="W362" t="str">
            <v>ЛА (прихват ЭЦН). СИ. ПП. ГИС-2. ШГН</v>
          </cell>
        </row>
        <row r="363">
          <cell r="B363">
            <v>4128</v>
          </cell>
          <cell r="C363">
            <v>315</v>
          </cell>
          <cell r="G363">
            <v>250</v>
          </cell>
          <cell r="H363" t="str">
            <v>ЭЦН</v>
          </cell>
          <cell r="I363" t="str">
            <v>действ.</v>
          </cell>
          <cell r="K363">
            <v>44</v>
          </cell>
          <cell r="L363">
            <v>0.9</v>
          </cell>
          <cell r="M363">
            <v>97.5</v>
          </cell>
          <cell r="N363">
            <v>60</v>
          </cell>
          <cell r="O363">
            <v>2.9</v>
          </cell>
          <cell r="P363">
            <v>94</v>
          </cell>
          <cell r="Q363">
            <v>16</v>
          </cell>
          <cell r="R363">
            <v>2</v>
          </cell>
          <cell r="W363" t="str">
            <v>ГИС-2. ОВП МЕТКА.</v>
          </cell>
        </row>
        <row r="364">
          <cell r="B364">
            <v>4155</v>
          </cell>
          <cell r="C364">
            <v>172</v>
          </cell>
          <cell r="G364">
            <v>250</v>
          </cell>
          <cell r="H364" t="str">
            <v>нагнет.</v>
          </cell>
          <cell r="I364" t="str">
            <v>конс.</v>
          </cell>
          <cell r="N364">
            <v>250</v>
          </cell>
          <cell r="Q364">
            <v>250</v>
          </cell>
          <cell r="R364">
            <v>0</v>
          </cell>
          <cell r="W364" t="str">
            <v>ОТСК, дострел ЮК11</v>
          </cell>
        </row>
        <row r="365">
          <cell r="B365">
            <v>4156</v>
          </cell>
          <cell r="C365">
            <v>172</v>
          </cell>
          <cell r="G365">
            <v>250</v>
          </cell>
          <cell r="H365" t="str">
            <v>нагнет.</v>
          </cell>
          <cell r="I365" t="str">
            <v>конс.</v>
          </cell>
          <cell r="Q365">
            <v>0</v>
          </cell>
          <cell r="W365" t="str">
            <v>ОТСК, дострел ЮК11</v>
          </cell>
        </row>
        <row r="366">
          <cell r="B366">
            <v>4215</v>
          </cell>
          <cell r="C366" t="str">
            <v>314б</v>
          </cell>
          <cell r="G366">
            <v>255</v>
          </cell>
          <cell r="H366" t="str">
            <v>фон</v>
          </cell>
          <cell r="I366" t="str">
            <v>бд</v>
          </cell>
          <cell r="J366">
            <v>35716</v>
          </cell>
          <cell r="L366">
            <v>0</v>
          </cell>
          <cell r="N366">
            <v>30</v>
          </cell>
          <cell r="O366">
            <v>1</v>
          </cell>
          <cell r="P366">
            <v>95.8</v>
          </cell>
          <cell r="Q366">
            <v>30</v>
          </cell>
          <cell r="R366">
            <v>1</v>
          </cell>
          <cell r="S366">
            <v>95.9</v>
          </cell>
          <cell r="T366">
            <v>37378</v>
          </cell>
          <cell r="U366" t="str">
            <v>ОВП</v>
          </cell>
          <cell r="W366" t="str">
            <v>СИ 2810 и ниже</v>
          </cell>
        </row>
        <row r="367">
          <cell r="B367">
            <v>4216</v>
          </cell>
          <cell r="C367" t="str">
            <v>314б</v>
          </cell>
          <cell r="G367">
            <v>255</v>
          </cell>
          <cell r="H367" t="str">
            <v>ЭЦН</v>
          </cell>
          <cell r="I367" t="str">
            <v>конс.</v>
          </cell>
          <cell r="J367">
            <v>35716</v>
          </cell>
          <cell r="L367">
            <v>0</v>
          </cell>
          <cell r="N367">
            <v>50</v>
          </cell>
          <cell r="O367">
            <v>1</v>
          </cell>
          <cell r="P367">
            <v>97.6</v>
          </cell>
          <cell r="Q367">
            <v>50</v>
          </cell>
          <cell r="R367">
            <v>1</v>
          </cell>
          <cell r="S367">
            <v>97.5</v>
          </cell>
          <cell r="T367">
            <v>37213</v>
          </cell>
          <cell r="U367" t="str">
            <v>бдк</v>
          </cell>
          <cell r="W367" t="str">
            <v>ГИС-2</v>
          </cell>
        </row>
        <row r="368">
          <cell r="B368">
            <v>4217</v>
          </cell>
          <cell r="C368" t="str">
            <v>314б</v>
          </cell>
          <cell r="G368">
            <v>255</v>
          </cell>
          <cell r="H368" t="str">
            <v>ЭЦН</v>
          </cell>
          <cell r="I368" t="str">
            <v>конс.</v>
          </cell>
          <cell r="J368">
            <v>34304</v>
          </cell>
          <cell r="L368">
            <v>0</v>
          </cell>
          <cell r="N368">
            <v>60</v>
          </cell>
          <cell r="O368">
            <v>1</v>
          </cell>
          <cell r="P368">
            <v>97.892720306513411</v>
          </cell>
          <cell r="Q368">
            <v>60</v>
          </cell>
          <cell r="R368">
            <v>1</v>
          </cell>
          <cell r="S368">
            <v>97.9</v>
          </cell>
          <cell r="T368">
            <v>37230</v>
          </cell>
          <cell r="U368" t="str">
            <v>бдк</v>
          </cell>
          <cell r="W368" t="str">
            <v>УГИС. ЭЦН</v>
          </cell>
        </row>
        <row r="369">
          <cell r="B369">
            <v>4218</v>
          </cell>
          <cell r="C369" t="str">
            <v>314б</v>
          </cell>
          <cell r="G369">
            <v>255</v>
          </cell>
          <cell r="H369" t="str">
            <v>ЭЦН</v>
          </cell>
          <cell r="I369" t="str">
            <v>конс.</v>
          </cell>
          <cell r="J369">
            <v>35716</v>
          </cell>
          <cell r="L369">
            <v>0</v>
          </cell>
          <cell r="N369">
            <v>50</v>
          </cell>
          <cell r="O369">
            <v>1</v>
          </cell>
          <cell r="P369">
            <v>97.47126436781609</v>
          </cell>
          <cell r="Q369">
            <v>50</v>
          </cell>
          <cell r="R369">
            <v>1</v>
          </cell>
          <cell r="S369">
            <v>97.5</v>
          </cell>
          <cell r="T369">
            <v>37356</v>
          </cell>
          <cell r="U369" t="str">
            <v>бдк</v>
          </cell>
          <cell r="W369" t="str">
            <v>ГДИ ЦНИПР. УГИС</v>
          </cell>
        </row>
        <row r="370">
          <cell r="B370">
            <v>4266</v>
          </cell>
          <cell r="C370">
            <v>219</v>
          </cell>
          <cell r="G370">
            <v>255</v>
          </cell>
          <cell r="H370" t="str">
            <v>ЭЦН</v>
          </cell>
          <cell r="I370" t="str">
            <v>бд</v>
          </cell>
          <cell r="J370">
            <v>35158</v>
          </cell>
          <cell r="L370">
            <v>0</v>
          </cell>
          <cell r="N370">
            <v>15</v>
          </cell>
          <cell r="O370">
            <v>1.5</v>
          </cell>
          <cell r="P370">
            <v>88</v>
          </cell>
          <cell r="Q370">
            <v>15</v>
          </cell>
          <cell r="R370">
            <v>1.5</v>
          </cell>
          <cell r="S370">
            <v>87.7</v>
          </cell>
          <cell r="T370">
            <v>37284</v>
          </cell>
          <cell r="U370" t="str">
            <v>ЛА</v>
          </cell>
          <cell r="W370" t="str">
            <v>ВЦ. ЛА (на забое ЭЦН). СИ низа. ПП. ОПЗ</v>
          </cell>
        </row>
        <row r="371">
          <cell r="B371">
            <v>4268</v>
          </cell>
          <cell r="C371">
            <v>219</v>
          </cell>
          <cell r="G371">
            <v>250</v>
          </cell>
          <cell r="H371" t="str">
            <v>Ф/ЭЦН</v>
          </cell>
          <cell r="I371" t="str">
            <v>конс.</v>
          </cell>
          <cell r="J371">
            <v>35596</v>
          </cell>
          <cell r="L371">
            <v>0</v>
          </cell>
          <cell r="N371">
            <v>40</v>
          </cell>
          <cell r="O371">
            <v>1.5</v>
          </cell>
          <cell r="P371">
            <v>95.3</v>
          </cell>
          <cell r="Q371">
            <v>40</v>
          </cell>
          <cell r="R371">
            <v>1.5</v>
          </cell>
          <cell r="S371">
            <v>95.4</v>
          </cell>
          <cell r="T371">
            <v>37334</v>
          </cell>
          <cell r="U371" t="str">
            <v>ОВП</v>
          </cell>
          <cell r="W371" t="str">
            <v>ВЗ. СИ низа. ПП 2743-48, УГИС, ГИС-2</v>
          </cell>
        </row>
        <row r="372">
          <cell r="B372">
            <v>4319</v>
          </cell>
          <cell r="C372">
            <v>219</v>
          </cell>
          <cell r="G372">
            <v>255</v>
          </cell>
          <cell r="H372" t="str">
            <v>ЭЦН</v>
          </cell>
          <cell r="I372" t="str">
            <v>бд</v>
          </cell>
          <cell r="J372">
            <v>34850</v>
          </cell>
          <cell r="L372">
            <v>0</v>
          </cell>
          <cell r="N372">
            <v>20</v>
          </cell>
          <cell r="O372">
            <v>1</v>
          </cell>
          <cell r="P372">
            <v>94</v>
          </cell>
          <cell r="Q372">
            <v>20</v>
          </cell>
          <cell r="R372">
            <v>1</v>
          </cell>
          <cell r="S372">
            <v>93.8</v>
          </cell>
          <cell r="T372">
            <v>37312</v>
          </cell>
          <cell r="U372" t="str">
            <v>ОВП</v>
          </cell>
          <cell r="W372" t="str">
            <v>ГИС-2. СИ. ПП ДН. ГДИ</v>
          </cell>
        </row>
        <row r="373">
          <cell r="B373">
            <v>4321</v>
          </cell>
          <cell r="C373">
            <v>219</v>
          </cell>
          <cell r="G373">
            <v>240</v>
          </cell>
          <cell r="H373" t="str">
            <v>ЭЦН</v>
          </cell>
          <cell r="I373" t="str">
            <v>конс.</v>
          </cell>
          <cell r="J373">
            <v>33970</v>
          </cell>
          <cell r="L373">
            <v>0</v>
          </cell>
          <cell r="N373">
            <v>30</v>
          </cell>
          <cell r="O373">
            <v>1.5</v>
          </cell>
          <cell r="P373">
            <v>93.8</v>
          </cell>
          <cell r="Q373">
            <v>30</v>
          </cell>
          <cell r="R373">
            <v>1.5</v>
          </cell>
          <cell r="S373">
            <v>93.8</v>
          </cell>
          <cell r="T373">
            <v>37251</v>
          </cell>
          <cell r="U373" t="str">
            <v>ОВП</v>
          </cell>
          <cell r="W373" t="str">
            <v>ВЦ. СИ 2676 и ниже, УГИС</v>
          </cell>
        </row>
        <row r="374">
          <cell r="B374">
            <v>4323</v>
          </cell>
          <cell r="C374">
            <v>218</v>
          </cell>
          <cell r="G374">
            <v>250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1</v>
          </cell>
          <cell r="M374">
            <v>98</v>
          </cell>
          <cell r="N374">
            <v>125</v>
          </cell>
          <cell r="O374">
            <v>5.0999999999999996</v>
          </cell>
          <cell r="P374">
            <v>95</v>
          </cell>
          <cell r="Q374">
            <v>65</v>
          </cell>
          <cell r="R374">
            <v>4.0999999999999996</v>
          </cell>
          <cell r="W374" t="str">
            <v>ГИС-2. ОВП МЕТКА.</v>
          </cell>
        </row>
        <row r="375">
          <cell r="B375">
            <v>5218</v>
          </cell>
          <cell r="C375">
            <v>134</v>
          </cell>
          <cell r="F375" t="str">
            <v>УПНПиКРС</v>
          </cell>
          <cell r="G375">
            <v>245</v>
          </cell>
          <cell r="H375" t="str">
            <v>ШГН</v>
          </cell>
          <cell r="I375" t="str">
            <v>конс.</v>
          </cell>
          <cell r="K375">
            <v>21</v>
          </cell>
          <cell r="L375">
            <v>0.9</v>
          </cell>
          <cell r="M375">
            <v>95</v>
          </cell>
          <cell r="N375">
            <v>20</v>
          </cell>
          <cell r="O375">
            <v>3</v>
          </cell>
          <cell r="P375">
            <v>81.5</v>
          </cell>
          <cell r="Q375">
            <v>20</v>
          </cell>
          <cell r="R375">
            <v>3</v>
          </cell>
          <cell r="S375">
            <v>81.5</v>
          </cell>
          <cell r="U375" t="str">
            <v>ОПЗ</v>
          </cell>
          <cell r="W375" t="str">
            <v>ВЦ. ГИС-2. ИДН</v>
          </cell>
        </row>
        <row r="376">
          <cell r="B376">
            <v>5234</v>
          </cell>
          <cell r="C376">
            <v>140</v>
          </cell>
          <cell r="F376" t="str">
            <v>УПНПиКРС</v>
          </cell>
          <cell r="G376">
            <v>290</v>
          </cell>
          <cell r="H376" t="str">
            <v>нагнет.</v>
          </cell>
          <cell r="I376" t="str">
            <v>действ.</v>
          </cell>
          <cell r="K376">
            <v>340</v>
          </cell>
          <cell r="N376">
            <v>250</v>
          </cell>
          <cell r="Q376">
            <v>250</v>
          </cell>
          <cell r="R376">
            <v>0</v>
          </cell>
          <cell r="U376" t="str">
            <v>ВВП</v>
          </cell>
          <cell r="W376" t="str">
            <v>ГИС-3. ВПП ГАЛКА. ГИС-3</v>
          </cell>
        </row>
        <row r="377">
          <cell r="B377">
            <v>5240</v>
          </cell>
          <cell r="C377">
            <v>134</v>
          </cell>
          <cell r="F377" t="str">
            <v>УПНПиКРС</v>
          </cell>
          <cell r="G377">
            <v>255</v>
          </cell>
          <cell r="H377" t="str">
            <v>ЭЦН</v>
          </cell>
          <cell r="I377" t="str">
            <v>конс.</v>
          </cell>
          <cell r="K377">
            <v>69</v>
          </cell>
          <cell r="L377">
            <v>1.7</v>
          </cell>
          <cell r="M377">
            <v>97</v>
          </cell>
          <cell r="N377">
            <v>80</v>
          </cell>
          <cell r="O377">
            <v>3.1</v>
          </cell>
          <cell r="P377">
            <v>95.3</v>
          </cell>
          <cell r="Q377">
            <v>80</v>
          </cell>
          <cell r="R377">
            <v>3.1</v>
          </cell>
          <cell r="S377">
            <v>95.2</v>
          </cell>
          <cell r="U377" t="str">
            <v>ВЦ</v>
          </cell>
          <cell r="W377" t="str">
            <v>ВЦ. ГИС-2. Спуск ЭЦН</v>
          </cell>
        </row>
        <row r="378">
          <cell r="B378">
            <v>5241</v>
          </cell>
          <cell r="C378">
            <v>134</v>
          </cell>
          <cell r="F378" t="str">
            <v>УПНПиКРС</v>
          </cell>
          <cell r="G378">
            <v>255</v>
          </cell>
          <cell r="H378" t="str">
            <v>ЭЦН</v>
          </cell>
          <cell r="I378" t="str">
            <v>конс.</v>
          </cell>
          <cell r="K378">
            <v>41</v>
          </cell>
          <cell r="L378">
            <v>1.7</v>
          </cell>
          <cell r="M378">
            <v>95</v>
          </cell>
          <cell r="N378">
            <v>50</v>
          </cell>
          <cell r="O378">
            <v>4</v>
          </cell>
          <cell r="P378">
            <v>90.2</v>
          </cell>
          <cell r="Q378">
            <v>50</v>
          </cell>
          <cell r="R378">
            <v>4</v>
          </cell>
          <cell r="S378">
            <v>90.1</v>
          </cell>
          <cell r="U378" t="str">
            <v>ВЦ</v>
          </cell>
          <cell r="W378" t="str">
            <v>ВЦ. ГИС-2. Спуск ЭЦН</v>
          </cell>
        </row>
        <row r="379">
          <cell r="B379">
            <v>5281</v>
          </cell>
          <cell r="C379">
            <v>139</v>
          </cell>
          <cell r="F379" t="str">
            <v>УПНПиКРС</v>
          </cell>
          <cell r="G379">
            <v>280</v>
          </cell>
          <cell r="H379" t="str">
            <v>ШГН</v>
          </cell>
          <cell r="I379" t="str">
            <v>конс.</v>
          </cell>
          <cell r="K379">
            <v>5</v>
          </cell>
          <cell r="L379">
            <v>4</v>
          </cell>
          <cell r="M379">
            <v>1</v>
          </cell>
          <cell r="N379">
            <v>7</v>
          </cell>
          <cell r="O379">
            <v>5</v>
          </cell>
          <cell r="P379">
            <v>12</v>
          </cell>
          <cell r="Q379">
            <v>7</v>
          </cell>
          <cell r="R379">
            <v>5</v>
          </cell>
          <cell r="S379">
            <v>11.8</v>
          </cell>
          <cell r="U379" t="str">
            <v>ОПЗ</v>
          </cell>
          <cell r="W379" t="str">
            <v>ЛА. ИДН. УГИС</v>
          </cell>
        </row>
        <row r="380">
          <cell r="B380">
            <v>5285</v>
          </cell>
          <cell r="C380">
            <v>140</v>
          </cell>
          <cell r="F380" t="str">
            <v>УПНПиКРС</v>
          </cell>
          <cell r="G380">
            <v>235</v>
          </cell>
          <cell r="H380" t="str">
            <v>ЭЦН</v>
          </cell>
          <cell r="I380" t="str">
            <v>бд</v>
          </cell>
          <cell r="N380">
            <v>80</v>
          </cell>
          <cell r="O380">
            <v>19.600000000000001</v>
          </cell>
          <cell r="P380">
            <v>70</v>
          </cell>
          <cell r="Q380">
            <v>80</v>
          </cell>
          <cell r="R380">
            <v>19.600000000000001</v>
          </cell>
          <cell r="S380">
            <v>69.8</v>
          </cell>
          <cell r="W380" t="str">
            <v>ПР ЗБС</v>
          </cell>
        </row>
        <row r="381">
          <cell r="B381">
            <v>5287</v>
          </cell>
          <cell r="C381">
            <v>141</v>
          </cell>
          <cell r="F381" t="str">
            <v>УПНПиКРС</v>
          </cell>
          <cell r="G381">
            <v>270</v>
          </cell>
          <cell r="H381" t="str">
            <v>ЭЦН</v>
          </cell>
          <cell r="I381" t="str">
            <v>бд</v>
          </cell>
          <cell r="N381">
            <v>50</v>
          </cell>
          <cell r="O381">
            <v>20.399999999999999</v>
          </cell>
          <cell r="P381">
            <v>50</v>
          </cell>
          <cell r="Q381">
            <v>50</v>
          </cell>
          <cell r="R381">
            <v>20.399999999999999</v>
          </cell>
          <cell r="S381">
            <v>49.6</v>
          </cell>
          <cell r="U381" t="str">
            <v>збс</v>
          </cell>
          <cell r="W381" t="str">
            <v>ПР ЗБС,ЗБС</v>
          </cell>
        </row>
        <row r="382">
          <cell r="B382">
            <v>5289</v>
          </cell>
          <cell r="C382">
            <v>133</v>
          </cell>
          <cell r="F382" t="str">
            <v>УПНПиКРС</v>
          </cell>
          <cell r="G382">
            <v>245</v>
          </cell>
          <cell r="H382" t="str">
            <v>ШГН</v>
          </cell>
          <cell r="I382" t="str">
            <v>конс.</v>
          </cell>
          <cell r="K382">
            <v>2</v>
          </cell>
          <cell r="L382">
            <v>1.6</v>
          </cell>
          <cell r="M382">
            <v>0</v>
          </cell>
          <cell r="N382">
            <v>10</v>
          </cell>
          <cell r="O382">
            <v>5.0999999999999996</v>
          </cell>
          <cell r="P382">
            <v>38</v>
          </cell>
          <cell r="Q382">
            <v>10</v>
          </cell>
          <cell r="R382">
            <v>5.0999999999999996</v>
          </cell>
          <cell r="S382">
            <v>37</v>
          </cell>
          <cell r="U382" t="str">
            <v>ЛА</v>
          </cell>
          <cell r="W382" t="str">
            <v>ЛА. ГИС-2. ПП. УГИС. (Либо, возврат ЮК-2-9)</v>
          </cell>
        </row>
        <row r="383">
          <cell r="B383">
            <v>5291</v>
          </cell>
          <cell r="C383">
            <v>134</v>
          </cell>
          <cell r="F383" t="str">
            <v>УПНПиКРС</v>
          </cell>
          <cell r="G383">
            <v>220</v>
          </cell>
          <cell r="H383" t="str">
            <v>ЭЦН</v>
          </cell>
          <cell r="I383" t="str">
            <v>действ.</v>
          </cell>
          <cell r="K383">
            <v>15</v>
          </cell>
          <cell r="L383">
            <v>9.3000000000000007</v>
          </cell>
          <cell r="M383">
            <v>24</v>
          </cell>
          <cell r="N383">
            <v>15</v>
          </cell>
          <cell r="O383">
            <v>9.3000000000000007</v>
          </cell>
          <cell r="P383">
            <v>24</v>
          </cell>
          <cell r="Q383">
            <v>0</v>
          </cell>
          <cell r="R383">
            <v>0</v>
          </cell>
          <cell r="S383" t="e">
            <v>#DIV/0!</v>
          </cell>
          <cell r="U383" t="str">
            <v>ЛА</v>
          </cell>
          <cell r="W383" t="str">
            <v>ЛА.сп. НН-44</v>
          </cell>
        </row>
        <row r="384">
          <cell r="B384">
            <v>5292</v>
          </cell>
          <cell r="C384">
            <v>134</v>
          </cell>
          <cell r="F384" t="str">
            <v>УПНПиКРС</v>
          </cell>
          <cell r="G384">
            <v>270</v>
          </cell>
          <cell r="H384" t="str">
            <v>ЭЦН</v>
          </cell>
          <cell r="I384" t="str">
            <v>действ.</v>
          </cell>
          <cell r="K384">
            <v>155</v>
          </cell>
          <cell r="L384">
            <v>3.8</v>
          </cell>
          <cell r="M384">
            <v>97</v>
          </cell>
          <cell r="N384">
            <v>155</v>
          </cell>
          <cell r="O384">
            <v>7.6</v>
          </cell>
          <cell r="P384">
            <v>94</v>
          </cell>
          <cell r="Q384">
            <v>0</v>
          </cell>
          <cell r="R384">
            <v>3.8</v>
          </cell>
          <cell r="U384" t="str">
            <v>ОВП</v>
          </cell>
          <cell r="W384" t="str">
            <v>ГИС-2. ОВП (ЭМКО)</v>
          </cell>
        </row>
        <row r="385">
          <cell r="B385">
            <v>5293</v>
          </cell>
          <cell r="C385">
            <v>134</v>
          </cell>
          <cell r="F385" t="str">
            <v>УПНПиКРС</v>
          </cell>
          <cell r="G385">
            <v>270</v>
          </cell>
          <cell r="H385" t="str">
            <v>ЭЦН</v>
          </cell>
          <cell r="I385" t="str">
            <v>конс.</v>
          </cell>
          <cell r="K385">
            <v>53</v>
          </cell>
          <cell r="L385">
            <v>0.9</v>
          </cell>
          <cell r="M385">
            <v>98</v>
          </cell>
          <cell r="N385">
            <v>50</v>
          </cell>
          <cell r="O385">
            <v>3.1</v>
          </cell>
          <cell r="P385">
            <v>92.5</v>
          </cell>
          <cell r="Q385">
            <v>50</v>
          </cell>
          <cell r="R385">
            <v>3.1</v>
          </cell>
          <cell r="S385">
            <v>92.3</v>
          </cell>
          <cell r="U385" t="str">
            <v>ОВП</v>
          </cell>
          <cell r="W385" t="str">
            <v>ВЦ. ГИС-2. ОВП (МЕТКА). ГИС-2</v>
          </cell>
        </row>
        <row r="386">
          <cell r="B386">
            <v>5309</v>
          </cell>
          <cell r="C386">
            <v>140</v>
          </cell>
          <cell r="F386" t="str">
            <v>УПНПиКРС</v>
          </cell>
          <cell r="G386">
            <v>275</v>
          </cell>
          <cell r="H386" t="str">
            <v>ШГН</v>
          </cell>
          <cell r="I386" t="str">
            <v>бд</v>
          </cell>
          <cell r="J386">
            <v>35443</v>
          </cell>
          <cell r="K386">
            <v>1.5</v>
          </cell>
          <cell r="L386">
            <v>0.9</v>
          </cell>
          <cell r="M386">
            <v>26.5</v>
          </cell>
          <cell r="N386">
            <v>8</v>
          </cell>
          <cell r="O386">
            <v>5</v>
          </cell>
          <cell r="P386">
            <v>24</v>
          </cell>
          <cell r="Q386">
            <v>8</v>
          </cell>
          <cell r="R386">
            <v>5</v>
          </cell>
          <cell r="S386">
            <v>22.8</v>
          </cell>
          <cell r="T386">
            <v>7</v>
          </cell>
          <cell r="U386" t="str">
            <v>ОПЗ</v>
          </cell>
          <cell r="W386" t="str">
            <v>ВЦ. ГИС-2. ИР ЮК-11. ПП. ОПЗ КСПЭО</v>
          </cell>
        </row>
        <row r="387">
          <cell r="B387">
            <v>5313</v>
          </cell>
          <cell r="C387">
            <v>141</v>
          </cell>
          <cell r="F387" t="str">
            <v>УПНПиКРС</v>
          </cell>
          <cell r="G387">
            <v>270</v>
          </cell>
          <cell r="H387" t="str">
            <v>ЭЦН</v>
          </cell>
          <cell r="I387" t="str">
            <v>бд</v>
          </cell>
          <cell r="N387">
            <v>50</v>
          </cell>
          <cell r="O387">
            <v>20.399999999999999</v>
          </cell>
          <cell r="P387">
            <v>50</v>
          </cell>
          <cell r="Q387">
            <v>50</v>
          </cell>
          <cell r="R387">
            <v>20.399999999999999</v>
          </cell>
          <cell r="S387">
            <v>49.6</v>
          </cell>
          <cell r="U387" t="str">
            <v>збс</v>
          </cell>
          <cell r="W387" t="str">
            <v>ПР ЗБС,ЗБС</v>
          </cell>
        </row>
        <row r="388">
          <cell r="B388">
            <v>5318</v>
          </cell>
          <cell r="C388">
            <v>134</v>
          </cell>
          <cell r="G388">
            <v>232.4</v>
          </cell>
          <cell r="H388" t="str">
            <v>нагнет.</v>
          </cell>
          <cell r="I388" t="str">
            <v>бд</v>
          </cell>
          <cell r="N388">
            <v>300</v>
          </cell>
          <cell r="Q388">
            <v>300</v>
          </cell>
          <cell r="R388">
            <v>0</v>
          </cell>
          <cell r="U388" t="str">
            <v>нг</v>
          </cell>
          <cell r="W388" t="str">
            <v>Спуск и привязка пакера, Запуск в ППД</v>
          </cell>
        </row>
        <row r="389">
          <cell r="B389">
            <v>5331</v>
          </cell>
          <cell r="C389">
            <v>139</v>
          </cell>
          <cell r="H389" t="str">
            <v>ШГН</v>
          </cell>
          <cell r="I389" t="str">
            <v>действ.</v>
          </cell>
          <cell r="K389">
            <v>13</v>
          </cell>
          <cell r="L389">
            <v>9.9</v>
          </cell>
          <cell r="M389">
            <v>7</v>
          </cell>
          <cell r="N389">
            <v>30</v>
          </cell>
          <cell r="O389">
            <v>19</v>
          </cell>
          <cell r="P389">
            <v>22.2</v>
          </cell>
          <cell r="Q389">
            <v>17</v>
          </cell>
          <cell r="R389">
            <v>9.1</v>
          </cell>
          <cell r="S389">
            <v>33.9</v>
          </cell>
          <cell r="U389" t="str">
            <v>ГРП</v>
          </cell>
          <cell r="W389" t="str">
            <v>ГРП</v>
          </cell>
        </row>
        <row r="390">
          <cell r="B390">
            <v>5333</v>
          </cell>
          <cell r="C390">
            <v>139</v>
          </cell>
          <cell r="H390" t="str">
            <v>ШГН</v>
          </cell>
          <cell r="I390" t="str">
            <v>бд</v>
          </cell>
          <cell r="J390">
            <v>37119</v>
          </cell>
          <cell r="K390">
            <v>1</v>
          </cell>
          <cell r="L390">
            <v>0.7</v>
          </cell>
          <cell r="M390">
            <v>10</v>
          </cell>
          <cell r="N390">
            <v>30</v>
          </cell>
          <cell r="O390">
            <v>13</v>
          </cell>
          <cell r="P390">
            <v>47</v>
          </cell>
          <cell r="Q390">
            <v>30</v>
          </cell>
          <cell r="R390">
            <v>13</v>
          </cell>
          <cell r="S390">
            <v>46.5</v>
          </cell>
          <cell r="U390" t="str">
            <v>ГРП</v>
          </cell>
          <cell r="W390" t="str">
            <v>ГРП</v>
          </cell>
        </row>
        <row r="391">
          <cell r="B391">
            <v>5335</v>
          </cell>
          <cell r="C391">
            <v>140</v>
          </cell>
          <cell r="F391" t="str">
            <v>УПНПиКРС</v>
          </cell>
          <cell r="G391">
            <v>270</v>
          </cell>
          <cell r="H391" t="str">
            <v>ШГН</v>
          </cell>
          <cell r="I391" t="str">
            <v>конс.</v>
          </cell>
          <cell r="J391">
            <v>34943</v>
          </cell>
          <cell r="K391">
            <v>5</v>
          </cell>
          <cell r="L391">
            <v>2.4</v>
          </cell>
          <cell r="M391">
            <v>40</v>
          </cell>
          <cell r="N391">
            <v>18</v>
          </cell>
          <cell r="O391">
            <v>5</v>
          </cell>
          <cell r="P391">
            <v>66</v>
          </cell>
          <cell r="Q391">
            <v>18</v>
          </cell>
          <cell r="R391">
            <v>5</v>
          </cell>
          <cell r="S391">
            <v>65.7</v>
          </cell>
          <cell r="T391">
            <v>7</v>
          </cell>
          <cell r="U391" t="str">
            <v>ОПЗ</v>
          </cell>
          <cell r="W391" t="str">
            <v>ВЗ. ГИС. ПП ЮК11. УГИС</v>
          </cell>
        </row>
        <row r="392">
          <cell r="B392">
            <v>5338</v>
          </cell>
          <cell r="C392">
            <v>141</v>
          </cell>
          <cell r="F392" t="str">
            <v>УПНПиКРС</v>
          </cell>
          <cell r="G392">
            <v>281</v>
          </cell>
          <cell r="H392" t="str">
            <v>нагнет.</v>
          </cell>
          <cell r="I392" t="str">
            <v>бд</v>
          </cell>
          <cell r="J392">
            <v>36711</v>
          </cell>
          <cell r="N392">
            <v>100</v>
          </cell>
          <cell r="Q392">
            <v>100</v>
          </cell>
          <cell r="T392">
            <v>3</v>
          </cell>
          <cell r="U392" t="str">
            <v>нг</v>
          </cell>
          <cell r="W392" t="str">
            <v>Ревизия и привязка пакера</v>
          </cell>
        </row>
        <row r="393">
          <cell r="B393">
            <v>5339</v>
          </cell>
          <cell r="C393">
            <v>141</v>
          </cell>
          <cell r="F393" t="str">
            <v>УПНПиКРС</v>
          </cell>
          <cell r="G393">
            <v>265</v>
          </cell>
          <cell r="H393" t="str">
            <v>ШГН</v>
          </cell>
          <cell r="I393" t="str">
            <v>бд</v>
          </cell>
          <cell r="J393">
            <v>36126</v>
          </cell>
          <cell r="K393">
            <v>9</v>
          </cell>
          <cell r="L393">
            <v>4</v>
          </cell>
          <cell r="M393">
            <v>45</v>
          </cell>
          <cell r="N393">
            <v>8</v>
          </cell>
          <cell r="O393">
            <v>4.5</v>
          </cell>
          <cell r="P393">
            <v>31</v>
          </cell>
          <cell r="Q393">
            <v>8</v>
          </cell>
          <cell r="R393">
            <v>4.5</v>
          </cell>
          <cell r="S393">
            <v>30.6</v>
          </cell>
          <cell r="T393">
            <v>7</v>
          </cell>
          <cell r="U393" t="str">
            <v>ОПЗ</v>
          </cell>
          <cell r="W393" t="str">
            <v>ВЦ. ИР ЮК11. ОПЗ КСПЭО. ГДИ</v>
          </cell>
        </row>
        <row r="394">
          <cell r="B394">
            <v>5345</v>
          </cell>
          <cell r="C394">
            <v>102</v>
          </cell>
          <cell r="H394" t="str">
            <v>ЭЦН</v>
          </cell>
          <cell r="I394" t="str">
            <v>простой</v>
          </cell>
          <cell r="J394">
            <v>37209</v>
          </cell>
          <cell r="K394">
            <v>14</v>
          </cell>
          <cell r="L394">
            <v>0.5</v>
          </cell>
          <cell r="M394">
            <v>96</v>
          </cell>
          <cell r="N394">
            <v>20</v>
          </cell>
          <cell r="O394">
            <v>8.1999999999999993</v>
          </cell>
          <cell r="P394">
            <v>50</v>
          </cell>
          <cell r="Q394">
            <v>20</v>
          </cell>
          <cell r="R394">
            <v>8.1999999999999993</v>
          </cell>
          <cell r="S394">
            <v>49.4</v>
          </cell>
          <cell r="U394" t="str">
            <v>ГРП</v>
          </cell>
          <cell r="W394" t="str">
            <v>ИР ЮК-10, ПР и ГРП ЮК-2</v>
          </cell>
        </row>
        <row r="395">
          <cell r="B395">
            <v>5362</v>
          </cell>
          <cell r="C395">
            <v>109</v>
          </cell>
          <cell r="F395" t="str">
            <v>УПНПиКРС</v>
          </cell>
          <cell r="G395">
            <v>275</v>
          </cell>
          <cell r="H395" t="str">
            <v>ШГН</v>
          </cell>
          <cell r="I395" t="str">
            <v>конс.</v>
          </cell>
          <cell r="K395">
            <v>9</v>
          </cell>
          <cell r="L395">
            <v>0.3</v>
          </cell>
          <cell r="M395">
            <v>96</v>
          </cell>
          <cell r="N395">
            <v>30</v>
          </cell>
          <cell r="O395">
            <v>5</v>
          </cell>
          <cell r="P395">
            <v>79.5</v>
          </cell>
          <cell r="Q395">
            <v>30</v>
          </cell>
          <cell r="R395">
            <v>5</v>
          </cell>
          <cell r="S395">
            <v>79.400000000000006</v>
          </cell>
          <cell r="T395">
            <v>7</v>
          </cell>
          <cell r="U395" t="str">
            <v>ОВП</v>
          </cell>
          <cell r="W395" t="str">
            <v>ИРЮК11. ГИС-2. ПП (УГИС)</v>
          </cell>
        </row>
        <row r="396">
          <cell r="B396">
            <v>5364</v>
          </cell>
          <cell r="C396">
            <v>109</v>
          </cell>
          <cell r="F396" t="str">
            <v>УПНПиКРС</v>
          </cell>
          <cell r="G396">
            <v>275</v>
          </cell>
          <cell r="H396" t="str">
            <v>ШГН</v>
          </cell>
          <cell r="I396" t="str">
            <v>действ.</v>
          </cell>
          <cell r="J396">
            <v>0</v>
          </cell>
          <cell r="K396">
            <v>3</v>
          </cell>
          <cell r="L396">
            <v>2.1</v>
          </cell>
          <cell r="M396">
            <v>15</v>
          </cell>
          <cell r="N396">
            <v>12</v>
          </cell>
          <cell r="O396">
            <v>6.8</v>
          </cell>
          <cell r="P396">
            <v>30</v>
          </cell>
          <cell r="Q396">
            <v>9</v>
          </cell>
          <cell r="R396">
            <v>4.6999999999999993</v>
          </cell>
          <cell r="S396">
            <v>35.5</v>
          </cell>
          <cell r="T396">
            <v>7</v>
          </cell>
          <cell r="U396" t="str">
            <v>ОПЗ</v>
          </cell>
          <cell r="W396" t="str">
            <v>ГИС-2. ИР ЮК-11. ПП. ОПЗ КСПЭО. УГИС</v>
          </cell>
        </row>
        <row r="397">
          <cell r="B397">
            <v>5371</v>
          </cell>
          <cell r="C397">
            <v>102</v>
          </cell>
          <cell r="F397" t="str">
            <v>ЗАО "УПКРС"</v>
          </cell>
          <cell r="G397">
            <v>250</v>
          </cell>
          <cell r="H397" t="str">
            <v>нагнет.</v>
          </cell>
          <cell r="I397" t="str">
            <v>бд</v>
          </cell>
          <cell r="J397">
            <v>35779</v>
          </cell>
          <cell r="N397">
            <v>120</v>
          </cell>
          <cell r="Q397">
            <v>120</v>
          </cell>
          <cell r="R397">
            <v>0</v>
          </cell>
          <cell r="T397">
            <v>3</v>
          </cell>
          <cell r="U397" t="str">
            <v>нг</v>
          </cell>
          <cell r="V397">
            <v>4</v>
          </cell>
          <cell r="W397" t="str">
            <v>ОТСК. Запуск ППД</v>
          </cell>
        </row>
        <row r="398">
          <cell r="B398">
            <v>5372</v>
          </cell>
          <cell r="C398">
            <v>102</v>
          </cell>
          <cell r="F398" t="str">
            <v>ЗАО "УПКРС"</v>
          </cell>
          <cell r="G398">
            <v>250</v>
          </cell>
          <cell r="H398" t="str">
            <v>нагнет.</v>
          </cell>
          <cell r="I398" t="str">
            <v>конс.</v>
          </cell>
          <cell r="J398">
            <v>32843</v>
          </cell>
          <cell r="N398">
            <v>120</v>
          </cell>
          <cell r="Q398">
            <v>120</v>
          </cell>
          <cell r="R398">
            <v>0</v>
          </cell>
          <cell r="T398">
            <v>8</v>
          </cell>
          <cell r="U398" t="str">
            <v>нг</v>
          </cell>
          <cell r="W398" t="str">
            <v>ЛА (извлечение НКТ). ОТСК. Запуск ППД</v>
          </cell>
        </row>
        <row r="399">
          <cell r="B399">
            <v>5373</v>
          </cell>
          <cell r="C399">
            <v>103</v>
          </cell>
          <cell r="F399" t="str">
            <v>ЗАО "УПКРС"</v>
          </cell>
          <cell r="G399">
            <v>233</v>
          </cell>
          <cell r="H399" t="str">
            <v>нагнет.</v>
          </cell>
          <cell r="I399" t="str">
            <v>конс.</v>
          </cell>
          <cell r="J399">
            <v>34474</v>
          </cell>
          <cell r="N399">
            <v>120</v>
          </cell>
          <cell r="Q399">
            <v>120</v>
          </cell>
          <cell r="R399">
            <v>0</v>
          </cell>
          <cell r="T399">
            <v>3</v>
          </cell>
          <cell r="U399" t="str">
            <v>нг</v>
          </cell>
          <cell r="W399" t="str">
            <v>ОТСК. ГИС-3. Ликвидация ЗКЦ?</v>
          </cell>
        </row>
        <row r="400">
          <cell r="B400">
            <v>5374</v>
          </cell>
          <cell r="C400">
            <v>103</v>
          </cell>
          <cell r="F400" t="str">
            <v>ЗАО "УПКРС"</v>
          </cell>
          <cell r="G400">
            <v>234</v>
          </cell>
          <cell r="H400" t="str">
            <v>нагнет.</v>
          </cell>
          <cell r="I400" t="str">
            <v>бд</v>
          </cell>
          <cell r="J400">
            <v>34474</v>
          </cell>
          <cell r="N400">
            <v>120</v>
          </cell>
          <cell r="Q400">
            <v>120</v>
          </cell>
          <cell r="R400">
            <v>0</v>
          </cell>
          <cell r="T400">
            <v>3</v>
          </cell>
          <cell r="U400" t="str">
            <v>нг</v>
          </cell>
          <cell r="W400" t="str">
            <v>ВЗ. ОТСК</v>
          </cell>
        </row>
        <row r="401">
          <cell r="B401">
            <v>5389</v>
          </cell>
          <cell r="C401">
            <v>109</v>
          </cell>
          <cell r="F401" t="str">
            <v>УПНПиКРС</v>
          </cell>
          <cell r="G401">
            <v>280</v>
          </cell>
          <cell r="H401" t="str">
            <v>нагнет.</v>
          </cell>
          <cell r="I401" t="str">
            <v>бд</v>
          </cell>
          <cell r="J401">
            <v>36458</v>
          </cell>
          <cell r="N401">
            <v>100</v>
          </cell>
          <cell r="Q401">
            <v>100</v>
          </cell>
          <cell r="T401">
            <v>3</v>
          </cell>
          <cell r="U401" t="str">
            <v>нг</v>
          </cell>
          <cell r="W401" t="str">
            <v xml:space="preserve">ОПЗ </v>
          </cell>
        </row>
        <row r="402">
          <cell r="B402">
            <v>5391</v>
          </cell>
          <cell r="C402">
            <v>109</v>
          </cell>
          <cell r="F402" t="str">
            <v>УПНПиКРС</v>
          </cell>
          <cell r="G402">
            <v>285</v>
          </cell>
          <cell r="H402" t="str">
            <v>нагнет.</v>
          </cell>
          <cell r="I402" t="str">
            <v>бд</v>
          </cell>
          <cell r="J402">
            <v>34426</v>
          </cell>
          <cell r="N402">
            <v>100</v>
          </cell>
          <cell r="Q402">
            <v>100</v>
          </cell>
          <cell r="T402">
            <v>3</v>
          </cell>
          <cell r="U402" t="str">
            <v>нг</v>
          </cell>
          <cell r="W402" t="str">
            <v>ИР ЮК-11. ОПЗ. Пуск под закачку</v>
          </cell>
        </row>
        <row r="403">
          <cell r="B403">
            <v>5394</v>
          </cell>
          <cell r="C403">
            <v>101</v>
          </cell>
          <cell r="F403" t="str">
            <v>УПНПиКРС</v>
          </cell>
          <cell r="G403">
            <v>250</v>
          </cell>
          <cell r="H403" t="str">
            <v>фон</v>
          </cell>
          <cell r="I403" t="str">
            <v>бд</v>
          </cell>
          <cell r="J403">
            <v>34881</v>
          </cell>
          <cell r="K403">
            <v>5</v>
          </cell>
          <cell r="L403">
            <v>4.0999999999999996</v>
          </cell>
          <cell r="M403">
            <v>0</v>
          </cell>
          <cell r="N403">
            <v>7</v>
          </cell>
          <cell r="O403">
            <v>4</v>
          </cell>
          <cell r="P403">
            <v>30</v>
          </cell>
          <cell r="Q403">
            <v>7</v>
          </cell>
          <cell r="R403">
            <v>4</v>
          </cell>
          <cell r="S403">
            <v>29.5</v>
          </cell>
          <cell r="U403" t="str">
            <v>ОПЗ</v>
          </cell>
          <cell r="W403" t="str">
            <v>ЛА. ПП. ОПЗ КСПЭО. ГДИ</v>
          </cell>
        </row>
        <row r="404">
          <cell r="B404">
            <v>5415</v>
          </cell>
          <cell r="C404">
            <v>109</v>
          </cell>
          <cell r="F404" t="str">
            <v>УПНПиКРС</v>
          </cell>
          <cell r="G404">
            <v>275</v>
          </cell>
          <cell r="H404" t="str">
            <v>ЭЦН</v>
          </cell>
          <cell r="I404" t="str">
            <v>конс.</v>
          </cell>
          <cell r="J404">
            <v>32964</v>
          </cell>
          <cell r="K404">
            <v>30</v>
          </cell>
          <cell r="L404">
            <v>4.9000000000000004</v>
          </cell>
          <cell r="M404">
            <v>80</v>
          </cell>
          <cell r="N404">
            <v>50</v>
          </cell>
          <cell r="O404">
            <v>6</v>
          </cell>
          <cell r="P404">
            <v>85.3</v>
          </cell>
          <cell r="Q404">
            <v>50</v>
          </cell>
          <cell r="R404">
            <v>6</v>
          </cell>
          <cell r="S404">
            <v>85.2</v>
          </cell>
          <cell r="T404">
            <v>7</v>
          </cell>
          <cell r="U404" t="str">
            <v>ВЦ</v>
          </cell>
          <cell r="W404" t="str">
            <v>ВЦ. ВЗ. УГИС</v>
          </cell>
        </row>
        <row r="405">
          <cell r="B405">
            <v>5416</v>
          </cell>
          <cell r="C405">
            <v>109</v>
          </cell>
          <cell r="F405" t="str">
            <v>ЗАО "УПКРС"</v>
          </cell>
          <cell r="G405">
            <v>270</v>
          </cell>
          <cell r="H405" t="str">
            <v>ЭЦН</v>
          </cell>
          <cell r="I405" t="str">
            <v>бд</v>
          </cell>
          <cell r="J405">
            <v>32964</v>
          </cell>
          <cell r="N405">
            <v>50</v>
          </cell>
          <cell r="O405">
            <v>6</v>
          </cell>
          <cell r="P405">
            <v>85.3</v>
          </cell>
          <cell r="Q405">
            <v>50</v>
          </cell>
          <cell r="R405">
            <v>6</v>
          </cell>
          <cell r="S405">
            <v>85.2</v>
          </cell>
          <cell r="T405">
            <v>37440</v>
          </cell>
          <cell r="U405" t="str">
            <v>ОПЗ</v>
          </cell>
          <cell r="W405" t="str">
            <v>ВЦ. ИР ЮК11. ГИС-2. ПП ЮК10. ОПЗ</v>
          </cell>
        </row>
        <row r="406">
          <cell r="B406">
            <v>5423</v>
          </cell>
          <cell r="C406">
            <v>101</v>
          </cell>
          <cell r="H406" t="str">
            <v>ФОН</v>
          </cell>
          <cell r="I406" t="str">
            <v>бд</v>
          </cell>
          <cell r="J406">
            <v>33605</v>
          </cell>
          <cell r="N406">
            <v>20</v>
          </cell>
          <cell r="O406">
            <v>8.1999999999999993</v>
          </cell>
          <cell r="P406">
            <v>50</v>
          </cell>
          <cell r="Q406">
            <v>20</v>
          </cell>
          <cell r="R406">
            <v>8.1999999999999993</v>
          </cell>
          <cell r="S406">
            <v>49.4</v>
          </cell>
          <cell r="U406" t="str">
            <v>ГРП</v>
          </cell>
          <cell r="W406" t="str">
            <v>ИР ЮК-10, ПР и ГРП ЮК-2</v>
          </cell>
        </row>
        <row r="407">
          <cell r="B407">
            <v>5428</v>
          </cell>
          <cell r="C407">
            <v>103</v>
          </cell>
          <cell r="H407" t="str">
            <v>ШГН</v>
          </cell>
          <cell r="I407" t="str">
            <v>конс.</v>
          </cell>
          <cell r="J407">
            <v>32843</v>
          </cell>
          <cell r="Q407">
            <v>0</v>
          </cell>
          <cell r="R407">
            <v>0</v>
          </cell>
          <cell r="U407" t="str">
            <v>ГРП</v>
          </cell>
          <cell r="W407" t="str">
            <v>ВЦ, ГИС-2(ОТСК), ИР ЮК-10, ПР к ГРП и ГРП</v>
          </cell>
        </row>
        <row r="408">
          <cell r="B408">
            <v>5440</v>
          </cell>
          <cell r="C408">
            <v>108</v>
          </cell>
          <cell r="H408" t="str">
            <v>ЭЦН</v>
          </cell>
          <cell r="I408" t="str">
            <v>бд</v>
          </cell>
          <cell r="J408">
            <v>34365</v>
          </cell>
          <cell r="N408">
            <v>30</v>
          </cell>
          <cell r="O408">
            <v>10</v>
          </cell>
          <cell r="P408">
            <v>59</v>
          </cell>
          <cell r="Q408">
            <v>30</v>
          </cell>
          <cell r="R408">
            <v>10</v>
          </cell>
          <cell r="S408">
            <v>58.8</v>
          </cell>
          <cell r="U408" t="str">
            <v>ГРП</v>
          </cell>
          <cell r="W408" t="str">
            <v xml:space="preserve"> ВЦ ИР ЮК-11,ГРП</v>
          </cell>
        </row>
        <row r="409">
          <cell r="B409">
            <v>5441</v>
          </cell>
          <cell r="C409">
            <v>108</v>
          </cell>
          <cell r="H409" t="str">
            <v>ШГН</v>
          </cell>
          <cell r="I409" t="str">
            <v>бд</v>
          </cell>
          <cell r="J409">
            <v>34834</v>
          </cell>
          <cell r="N409">
            <v>30</v>
          </cell>
          <cell r="O409">
            <v>12</v>
          </cell>
          <cell r="P409">
            <v>51</v>
          </cell>
          <cell r="Q409">
            <v>30</v>
          </cell>
          <cell r="R409">
            <v>12</v>
          </cell>
          <cell r="S409">
            <v>50.6</v>
          </cell>
          <cell r="U409" t="str">
            <v>ГРП</v>
          </cell>
          <cell r="W409" t="str">
            <v>ВЦ, ЛА, ВЗ, ИР ЮК-11, ГРП</v>
          </cell>
        </row>
        <row r="410">
          <cell r="B410">
            <v>5443</v>
          </cell>
          <cell r="C410">
            <v>108</v>
          </cell>
          <cell r="H410" t="str">
            <v>ШГН</v>
          </cell>
          <cell r="I410" t="str">
            <v>бд</v>
          </cell>
          <cell r="J410">
            <v>35097</v>
          </cell>
          <cell r="N410">
            <v>30</v>
          </cell>
          <cell r="O410">
            <v>10</v>
          </cell>
          <cell r="P410">
            <v>59</v>
          </cell>
          <cell r="Q410">
            <v>30</v>
          </cell>
          <cell r="R410">
            <v>10</v>
          </cell>
          <cell r="S410">
            <v>58.8</v>
          </cell>
          <cell r="U410" t="str">
            <v>ГРП</v>
          </cell>
          <cell r="W410" t="str">
            <v>ВЦ, ВЗ, ИР ЮК-11, ГРП</v>
          </cell>
        </row>
        <row r="411">
          <cell r="B411">
            <v>5444</v>
          </cell>
          <cell r="C411">
            <v>109</v>
          </cell>
          <cell r="F411" t="str">
            <v>ЗАО "УПКРС"</v>
          </cell>
          <cell r="G411">
            <v>270</v>
          </cell>
          <cell r="H411" t="str">
            <v>ЭЦН</v>
          </cell>
          <cell r="I411" t="str">
            <v>бд</v>
          </cell>
          <cell r="J411">
            <v>33784</v>
          </cell>
          <cell r="N411">
            <v>15</v>
          </cell>
          <cell r="O411">
            <v>6</v>
          </cell>
          <cell r="P411">
            <v>51</v>
          </cell>
          <cell r="Q411">
            <v>15</v>
          </cell>
          <cell r="R411">
            <v>6</v>
          </cell>
          <cell r="S411">
            <v>50.6</v>
          </cell>
          <cell r="T411">
            <v>37410</v>
          </cell>
          <cell r="U411" t="str">
            <v>ОПЗ</v>
          </cell>
          <cell r="W411" t="str">
            <v>ВЗ. ИР ЮК11. ГИС-2. ПП ЮК10. ОПЗ</v>
          </cell>
        </row>
        <row r="412">
          <cell r="B412">
            <v>5451</v>
          </cell>
          <cell r="C412">
            <v>101</v>
          </cell>
          <cell r="F412" t="str">
            <v>УПНПиКРС</v>
          </cell>
          <cell r="G412">
            <v>250</v>
          </cell>
          <cell r="H412" t="str">
            <v>ШГН</v>
          </cell>
          <cell r="I412" t="str">
            <v>бд</v>
          </cell>
          <cell r="J412">
            <v>35648</v>
          </cell>
          <cell r="N412">
            <v>21</v>
          </cell>
          <cell r="O412">
            <v>5.0999999999999996</v>
          </cell>
          <cell r="P412">
            <v>70</v>
          </cell>
          <cell r="Q412">
            <v>21</v>
          </cell>
          <cell r="R412">
            <v>5.0999999999999996</v>
          </cell>
          <cell r="S412">
            <v>70</v>
          </cell>
          <cell r="U412" t="str">
            <v>ОПЗ</v>
          </cell>
          <cell r="W412" t="str">
            <v>ВЦ,ВЗ ДП УГИС. ОПЗ НТПН. ГДИ</v>
          </cell>
        </row>
        <row r="413">
          <cell r="B413">
            <v>5454</v>
          </cell>
          <cell r="C413">
            <v>102</v>
          </cell>
          <cell r="F413" t="str">
            <v>УПНПиКРС</v>
          </cell>
          <cell r="G413">
            <v>250</v>
          </cell>
          <cell r="H413" t="str">
            <v>ЭЦН</v>
          </cell>
          <cell r="I413" t="str">
            <v>конс.</v>
          </cell>
          <cell r="K413">
            <v>17</v>
          </cell>
          <cell r="L413">
            <v>0.1</v>
          </cell>
          <cell r="M413">
            <v>99</v>
          </cell>
          <cell r="N413">
            <v>30</v>
          </cell>
          <cell r="O413">
            <v>2</v>
          </cell>
          <cell r="P413">
            <v>91.8</v>
          </cell>
          <cell r="Q413">
            <v>30</v>
          </cell>
          <cell r="R413">
            <v>2</v>
          </cell>
          <cell r="S413">
            <v>91.8</v>
          </cell>
          <cell r="U413" t="str">
            <v>ОПЗ</v>
          </cell>
          <cell r="W413" t="str">
            <v>ВЦ. ГИС-2. Освоение УГИС</v>
          </cell>
        </row>
        <row r="414">
          <cell r="B414">
            <v>5455</v>
          </cell>
          <cell r="C414">
            <v>102</v>
          </cell>
          <cell r="G414">
            <v>240</v>
          </cell>
          <cell r="H414" t="str">
            <v>ШГН</v>
          </cell>
          <cell r="I414" t="str">
            <v>конс.</v>
          </cell>
          <cell r="J414">
            <v>32843</v>
          </cell>
          <cell r="K414">
            <v>7</v>
          </cell>
          <cell r="L414">
            <v>5</v>
          </cell>
          <cell r="M414">
            <v>12</v>
          </cell>
          <cell r="N414">
            <v>18</v>
          </cell>
          <cell r="O414">
            <v>10</v>
          </cell>
          <cell r="P414">
            <v>31.5</v>
          </cell>
          <cell r="Q414">
            <v>18</v>
          </cell>
          <cell r="R414">
            <v>10</v>
          </cell>
          <cell r="S414">
            <v>31.4</v>
          </cell>
          <cell r="W414" t="str">
            <v>ВЦ. ИР ЮК-10. ГДИ. ПП ДН. ГРП ЮК 2-3</v>
          </cell>
        </row>
        <row r="415">
          <cell r="B415">
            <v>5460</v>
          </cell>
          <cell r="C415">
            <v>104</v>
          </cell>
          <cell r="G415">
            <v>275</v>
          </cell>
          <cell r="H415" t="str">
            <v>ЭЦН</v>
          </cell>
          <cell r="I415" t="str">
            <v>бд</v>
          </cell>
          <cell r="J415">
            <v>34138</v>
          </cell>
          <cell r="K415">
            <v>28</v>
          </cell>
          <cell r="L415">
            <v>5.9</v>
          </cell>
          <cell r="M415">
            <v>74</v>
          </cell>
          <cell r="N415">
            <v>10</v>
          </cell>
          <cell r="O415">
            <v>0.5</v>
          </cell>
          <cell r="P415">
            <v>94</v>
          </cell>
          <cell r="Q415">
            <v>10</v>
          </cell>
          <cell r="R415">
            <v>0.5</v>
          </cell>
          <cell r="S415">
            <v>93.8</v>
          </cell>
          <cell r="U415" t="str">
            <v>ОВП</v>
          </cell>
          <cell r="W415" t="str">
            <v>ВЦ. ОТСК. Ликв.грифона. ГИС-2. ОВП. ГИС-2</v>
          </cell>
        </row>
        <row r="416">
          <cell r="B416">
            <v>5461</v>
          </cell>
          <cell r="C416">
            <v>104</v>
          </cell>
          <cell r="F416" t="str">
            <v>УПНПиКРС</v>
          </cell>
          <cell r="G416">
            <v>280</v>
          </cell>
          <cell r="H416" t="str">
            <v>ЭЦН</v>
          </cell>
          <cell r="I416" t="str">
            <v>конс.</v>
          </cell>
          <cell r="K416">
            <v>14</v>
          </cell>
          <cell r="L416">
            <v>0.6</v>
          </cell>
          <cell r="M416">
            <v>95</v>
          </cell>
          <cell r="N416">
            <v>50</v>
          </cell>
          <cell r="O416">
            <v>3.1</v>
          </cell>
          <cell r="P416">
            <v>92.5</v>
          </cell>
          <cell r="Q416">
            <v>50</v>
          </cell>
          <cell r="R416">
            <v>3.1</v>
          </cell>
          <cell r="S416">
            <v>92.3</v>
          </cell>
          <cell r="W416" t="str">
            <v>ВЦ. ВЗ. ГИС-2. Спуск ЭЦН</v>
          </cell>
        </row>
        <row r="417">
          <cell r="B417">
            <v>5473</v>
          </cell>
          <cell r="C417">
            <v>110</v>
          </cell>
          <cell r="H417" t="str">
            <v>ЭЦН</v>
          </cell>
          <cell r="I417" t="str">
            <v>конс.</v>
          </cell>
          <cell r="J417">
            <v>36014</v>
          </cell>
          <cell r="N417">
            <v>20</v>
          </cell>
          <cell r="O417">
            <v>10</v>
          </cell>
          <cell r="P417">
            <v>38.5</v>
          </cell>
          <cell r="Q417">
            <v>20</v>
          </cell>
          <cell r="R417">
            <v>10</v>
          </cell>
          <cell r="S417">
            <v>38.299999999999997</v>
          </cell>
          <cell r="U417" t="str">
            <v>ГРП</v>
          </cell>
          <cell r="W417" t="str">
            <v>ВЦ, ГИС, ИР ЮК-11, ГРП верх ЮК-10</v>
          </cell>
        </row>
        <row r="418">
          <cell r="B418">
            <v>5475</v>
          </cell>
          <cell r="C418">
            <v>110</v>
          </cell>
          <cell r="H418" t="str">
            <v>нагн</v>
          </cell>
          <cell r="I418" t="str">
            <v>конс.</v>
          </cell>
          <cell r="J418">
            <v>33603</v>
          </cell>
          <cell r="N418">
            <v>40</v>
          </cell>
          <cell r="O418">
            <v>16</v>
          </cell>
          <cell r="P418">
            <v>51</v>
          </cell>
          <cell r="Q418">
            <v>40</v>
          </cell>
          <cell r="R418">
            <v>16</v>
          </cell>
          <cell r="S418">
            <v>50.6</v>
          </cell>
          <cell r="U418" t="str">
            <v>ГРП</v>
          </cell>
          <cell r="W418" t="str">
            <v>ВЦ, ГИС, ГРП  ЮК-10( ЗБГС в напр.5474)</v>
          </cell>
        </row>
        <row r="419">
          <cell r="B419">
            <v>5482</v>
          </cell>
          <cell r="C419">
            <v>114</v>
          </cell>
          <cell r="F419" t="str">
            <v>УПНПиКРС</v>
          </cell>
          <cell r="G419">
            <v>216</v>
          </cell>
          <cell r="H419" t="str">
            <v>ШГН</v>
          </cell>
          <cell r="I419" t="str">
            <v>конс.</v>
          </cell>
          <cell r="L419">
            <v>0</v>
          </cell>
          <cell r="N419">
            <v>18</v>
          </cell>
          <cell r="O419">
            <v>10</v>
          </cell>
          <cell r="P419">
            <v>31.5</v>
          </cell>
          <cell r="Q419">
            <v>18</v>
          </cell>
          <cell r="R419">
            <v>10</v>
          </cell>
          <cell r="S419">
            <v>31.4</v>
          </cell>
          <cell r="U419" t="str">
            <v>ВВ</v>
          </cell>
          <cell r="W419" t="str">
            <v>ИР ЮК10. ДП(ДН), ГРП ЮК-2-6</v>
          </cell>
        </row>
        <row r="420">
          <cell r="B420">
            <v>5483</v>
          </cell>
          <cell r="C420">
            <v>115</v>
          </cell>
          <cell r="H420" t="str">
            <v>ЭЦН</v>
          </cell>
          <cell r="I420" t="str">
            <v>конс.</v>
          </cell>
          <cell r="J420">
            <v>34274</v>
          </cell>
          <cell r="N420">
            <v>20</v>
          </cell>
          <cell r="O420">
            <v>8.1999999999999993</v>
          </cell>
          <cell r="P420">
            <v>50</v>
          </cell>
          <cell r="Q420">
            <v>20</v>
          </cell>
          <cell r="R420">
            <v>8.1999999999999993</v>
          </cell>
          <cell r="S420">
            <v>49.4</v>
          </cell>
          <cell r="U420" t="str">
            <v>ГРП</v>
          </cell>
          <cell r="W420" t="str">
            <v>ВЦ, ГИС-2(ОТСК), ИР ЮК-10, ПР к ГРП и ГРП</v>
          </cell>
        </row>
        <row r="421">
          <cell r="B421">
            <v>5511</v>
          </cell>
          <cell r="C421">
            <v>114</v>
          </cell>
          <cell r="F421" t="str">
            <v>ЗАО "УПКРС"</v>
          </cell>
          <cell r="G421">
            <v>245</v>
          </cell>
          <cell r="H421" t="str">
            <v>ШГН</v>
          </cell>
          <cell r="I421" t="str">
            <v>действ.</v>
          </cell>
          <cell r="K421">
            <v>4</v>
          </cell>
          <cell r="L421">
            <v>1.7</v>
          </cell>
          <cell r="M421">
            <v>47</v>
          </cell>
          <cell r="N421">
            <v>10</v>
          </cell>
          <cell r="O421">
            <v>4.3</v>
          </cell>
          <cell r="P421">
            <v>47</v>
          </cell>
          <cell r="Q421">
            <v>6</v>
          </cell>
          <cell r="R421">
            <v>2.5999999999999996</v>
          </cell>
          <cell r="S421">
            <v>46.5</v>
          </cell>
          <cell r="U421" t="str">
            <v>ОПЗ</v>
          </cell>
          <cell r="W421" t="str">
            <v>УГИС. ОПЗ НТПН. ГДИ</v>
          </cell>
        </row>
        <row r="422">
          <cell r="B422">
            <v>5546</v>
          </cell>
          <cell r="C422">
            <v>115</v>
          </cell>
          <cell r="F422" t="str">
            <v>УПНПиКРС</v>
          </cell>
          <cell r="G422">
            <v>245</v>
          </cell>
          <cell r="H422" t="str">
            <v>нагнет.</v>
          </cell>
          <cell r="I422" t="str">
            <v>бд</v>
          </cell>
          <cell r="J422">
            <v>34261</v>
          </cell>
          <cell r="N422">
            <v>100</v>
          </cell>
          <cell r="Q422">
            <v>100</v>
          </cell>
          <cell r="R422">
            <v>0</v>
          </cell>
          <cell r="U422" t="str">
            <v>нг</v>
          </cell>
          <cell r="W422" t="str">
            <v>ВЗ. ОТСК. Запуск ППД</v>
          </cell>
        </row>
        <row r="423">
          <cell r="B423">
            <v>5561</v>
          </cell>
          <cell r="C423">
            <v>119</v>
          </cell>
          <cell r="F423" t="str">
            <v>УПНПиКРС</v>
          </cell>
          <cell r="G423">
            <v>235</v>
          </cell>
          <cell r="H423" t="str">
            <v>ШГН</v>
          </cell>
          <cell r="I423" t="str">
            <v>бд</v>
          </cell>
          <cell r="J423">
            <v>37123</v>
          </cell>
          <cell r="K423">
            <v>8</v>
          </cell>
          <cell r="L423">
            <v>1.6</v>
          </cell>
          <cell r="M423">
            <v>75</v>
          </cell>
          <cell r="N423">
            <v>50</v>
          </cell>
          <cell r="O423">
            <v>8.1</v>
          </cell>
          <cell r="P423">
            <v>80</v>
          </cell>
          <cell r="Q423">
            <v>50</v>
          </cell>
          <cell r="R423">
            <v>8.1</v>
          </cell>
          <cell r="T423">
            <v>37277</v>
          </cell>
          <cell r="U423" t="str">
            <v>ОПЗ</v>
          </cell>
          <cell r="V423">
            <v>2</v>
          </cell>
          <cell r="W423" t="str">
            <v>ОПЗ КСПЭО. УГИС</v>
          </cell>
        </row>
        <row r="424">
          <cell r="B424">
            <v>5562</v>
          </cell>
          <cell r="C424">
            <v>119</v>
          </cell>
          <cell r="F424" t="str">
            <v>УПНПиКРС</v>
          </cell>
          <cell r="G424">
            <v>255</v>
          </cell>
          <cell r="H424" t="str">
            <v>ШГН</v>
          </cell>
          <cell r="I424" t="str">
            <v>бд</v>
          </cell>
          <cell r="J424">
            <v>36896</v>
          </cell>
          <cell r="K424">
            <v>14</v>
          </cell>
          <cell r="L424">
            <v>4.0999999999999996</v>
          </cell>
          <cell r="M424">
            <v>64</v>
          </cell>
          <cell r="N424">
            <v>16</v>
          </cell>
          <cell r="O424">
            <v>4</v>
          </cell>
          <cell r="P424">
            <v>69</v>
          </cell>
          <cell r="Q424">
            <v>16</v>
          </cell>
          <cell r="R424">
            <v>4</v>
          </cell>
          <cell r="S424">
            <v>69.099999999999994</v>
          </cell>
          <cell r="T424">
            <v>37342</v>
          </cell>
          <cell r="U424" t="str">
            <v>ОПЗ</v>
          </cell>
          <cell r="V424">
            <v>4</v>
          </cell>
          <cell r="W424" t="str">
            <v>ВЦ РИР ЮК-11 ПП. ОПЗ НТПН. ГДИ</v>
          </cell>
        </row>
        <row r="425">
          <cell r="B425">
            <v>5563</v>
          </cell>
          <cell r="C425">
            <v>119</v>
          </cell>
          <cell r="F425" t="str">
            <v>УПНПиКРС</v>
          </cell>
          <cell r="G425">
            <v>255</v>
          </cell>
          <cell r="H425" t="str">
            <v>ЭЦН</v>
          </cell>
          <cell r="I425" t="str">
            <v>бд</v>
          </cell>
          <cell r="J425">
            <v>36418</v>
          </cell>
          <cell r="K425">
            <v>40</v>
          </cell>
          <cell r="L425">
            <v>6.5</v>
          </cell>
          <cell r="M425">
            <v>80</v>
          </cell>
          <cell r="N425">
            <v>50</v>
          </cell>
          <cell r="O425">
            <v>8</v>
          </cell>
          <cell r="P425">
            <v>80.400000000000006</v>
          </cell>
          <cell r="Q425">
            <v>50</v>
          </cell>
          <cell r="R425">
            <v>8</v>
          </cell>
          <cell r="S425">
            <v>80.2</v>
          </cell>
          <cell r="T425">
            <v>37311</v>
          </cell>
          <cell r="U425" t="str">
            <v>ОПЗ</v>
          </cell>
          <cell r="V425">
            <v>3</v>
          </cell>
          <cell r="W425" t="str">
            <v>ЛА. ПП. УГИС</v>
          </cell>
        </row>
        <row r="426">
          <cell r="B426">
            <v>5578</v>
          </cell>
          <cell r="C426">
            <v>115</v>
          </cell>
          <cell r="F426" t="str">
            <v>УПНПиКРС</v>
          </cell>
          <cell r="G426">
            <v>245</v>
          </cell>
          <cell r="H426" t="str">
            <v>ЭЦН</v>
          </cell>
          <cell r="I426" t="str">
            <v>бд</v>
          </cell>
          <cell r="J426">
            <v>36473</v>
          </cell>
          <cell r="K426">
            <v>50</v>
          </cell>
          <cell r="L426">
            <v>0.4</v>
          </cell>
          <cell r="M426">
            <v>99</v>
          </cell>
          <cell r="N426">
            <v>50</v>
          </cell>
          <cell r="O426">
            <v>4</v>
          </cell>
          <cell r="P426">
            <v>90.2</v>
          </cell>
          <cell r="Q426">
            <v>50</v>
          </cell>
          <cell r="R426">
            <v>4</v>
          </cell>
          <cell r="S426">
            <v>90.1</v>
          </cell>
          <cell r="T426">
            <v>7</v>
          </cell>
          <cell r="U426" t="str">
            <v>ОПЗ</v>
          </cell>
          <cell r="W426" t="str">
            <v>ГИС-2. ПП ДН. УГИС</v>
          </cell>
        </row>
        <row r="427">
          <cell r="B427">
            <v>5579</v>
          </cell>
          <cell r="C427">
            <v>115</v>
          </cell>
          <cell r="F427" t="str">
            <v>УПНПиКРС</v>
          </cell>
          <cell r="G427">
            <v>245</v>
          </cell>
          <cell r="H427" t="str">
            <v>ЭЦН</v>
          </cell>
          <cell r="I427" t="str">
            <v>конс.</v>
          </cell>
          <cell r="J427">
            <v>34883</v>
          </cell>
          <cell r="K427">
            <v>46</v>
          </cell>
          <cell r="L427">
            <v>1.9</v>
          </cell>
          <cell r="M427">
            <v>95</v>
          </cell>
          <cell r="N427">
            <v>50</v>
          </cell>
          <cell r="O427">
            <v>4</v>
          </cell>
          <cell r="P427">
            <v>90.2</v>
          </cell>
          <cell r="Q427">
            <v>50</v>
          </cell>
          <cell r="R427">
            <v>4</v>
          </cell>
          <cell r="S427">
            <v>90.1</v>
          </cell>
          <cell r="T427">
            <v>7</v>
          </cell>
          <cell r="U427" t="str">
            <v>ВЦ</v>
          </cell>
          <cell r="W427" t="str">
            <v>ВЦ. ВЗ. ГИС-2. УГИС. ЭЦН</v>
          </cell>
        </row>
        <row r="428">
          <cell r="B428">
            <v>5583</v>
          </cell>
          <cell r="C428">
            <v>116</v>
          </cell>
          <cell r="F428" t="str">
            <v>УПНПиКРС</v>
          </cell>
          <cell r="G428">
            <v>250</v>
          </cell>
          <cell r="H428" t="str">
            <v>ЭЦН</v>
          </cell>
          <cell r="I428" t="str">
            <v>конс.</v>
          </cell>
          <cell r="K428">
            <v>50</v>
          </cell>
          <cell r="L428">
            <v>1.6</v>
          </cell>
          <cell r="M428">
            <v>96</v>
          </cell>
          <cell r="N428">
            <v>30</v>
          </cell>
          <cell r="O428">
            <v>4</v>
          </cell>
          <cell r="P428">
            <v>83.5</v>
          </cell>
          <cell r="Q428">
            <v>30</v>
          </cell>
          <cell r="R428">
            <v>4</v>
          </cell>
          <cell r="S428">
            <v>83.5</v>
          </cell>
          <cell r="T428">
            <v>7</v>
          </cell>
          <cell r="U428" t="str">
            <v>ОПЗ</v>
          </cell>
          <cell r="W428" t="str">
            <v>ВЦ. ОПЗ КСПЭО. ГДИ</v>
          </cell>
        </row>
        <row r="429">
          <cell r="B429">
            <v>5612</v>
          </cell>
          <cell r="C429">
            <v>115</v>
          </cell>
          <cell r="F429" t="str">
            <v>УПНПиКРС</v>
          </cell>
          <cell r="G429">
            <v>255</v>
          </cell>
          <cell r="H429" t="str">
            <v>нагнет.</v>
          </cell>
          <cell r="I429" t="str">
            <v>бд</v>
          </cell>
          <cell r="J429">
            <v>33876</v>
          </cell>
          <cell r="Q429">
            <v>80</v>
          </cell>
          <cell r="T429">
            <v>3</v>
          </cell>
          <cell r="U429" t="str">
            <v>нг</v>
          </cell>
          <cell r="W429" t="str">
            <v>ВЗ. ОТСК. ОПЗ ИХН. Ввод в ППД</v>
          </cell>
        </row>
        <row r="430">
          <cell r="B430">
            <v>5613</v>
          </cell>
          <cell r="C430">
            <v>115</v>
          </cell>
          <cell r="F430" t="str">
            <v>УПНПиКРС</v>
          </cell>
          <cell r="G430">
            <v>240</v>
          </cell>
          <cell r="H430" t="str">
            <v>ЭЦН</v>
          </cell>
          <cell r="I430" t="str">
            <v>конс.</v>
          </cell>
          <cell r="J430">
            <v>34883</v>
          </cell>
          <cell r="K430">
            <v>52</v>
          </cell>
          <cell r="L430">
            <v>1.7</v>
          </cell>
          <cell r="M430">
            <v>96</v>
          </cell>
          <cell r="N430">
            <v>50</v>
          </cell>
          <cell r="O430">
            <v>4</v>
          </cell>
          <cell r="P430">
            <v>90.2</v>
          </cell>
          <cell r="Q430">
            <v>50</v>
          </cell>
          <cell r="R430">
            <v>4</v>
          </cell>
          <cell r="S430">
            <v>90.1</v>
          </cell>
          <cell r="T430">
            <v>7</v>
          </cell>
          <cell r="U430" t="str">
            <v>ОВП</v>
          </cell>
          <cell r="W430" t="str">
            <v>ВЗ. ГИС-2 (ЗКЦ). ИР. ПП. ОПЗ</v>
          </cell>
        </row>
        <row r="431">
          <cell r="B431">
            <v>5642</v>
          </cell>
          <cell r="C431">
            <v>126</v>
          </cell>
          <cell r="F431" t="str">
            <v>УПНПиКРС</v>
          </cell>
          <cell r="G431">
            <v>230</v>
          </cell>
          <cell r="H431" t="str">
            <v>ШГН</v>
          </cell>
          <cell r="I431" t="str">
            <v>действ.</v>
          </cell>
          <cell r="K431">
            <v>7</v>
          </cell>
          <cell r="L431">
            <v>3.1</v>
          </cell>
          <cell r="M431">
            <v>45</v>
          </cell>
          <cell r="N431">
            <v>18</v>
          </cell>
          <cell r="O431">
            <v>10</v>
          </cell>
          <cell r="P431">
            <v>31.5</v>
          </cell>
          <cell r="Q431">
            <v>11</v>
          </cell>
          <cell r="R431">
            <v>6.9</v>
          </cell>
          <cell r="S431">
            <v>22.6</v>
          </cell>
          <cell r="U431" t="str">
            <v>ВВ</v>
          </cell>
          <cell r="W431" t="str">
            <v>ИР ЮК10-11, ДП(ДН), ГРП ЮК-4-5</v>
          </cell>
        </row>
        <row r="432">
          <cell r="B432">
            <v>5642</v>
          </cell>
          <cell r="C432">
            <v>126</v>
          </cell>
          <cell r="F432" t="str">
            <v>УПНПиКРС</v>
          </cell>
          <cell r="G432">
            <v>230</v>
          </cell>
          <cell r="H432" t="str">
            <v>ШГН</v>
          </cell>
          <cell r="I432" t="str">
            <v>бд</v>
          </cell>
          <cell r="J432">
            <v>36997</v>
          </cell>
          <cell r="N432">
            <v>8</v>
          </cell>
          <cell r="O432">
            <v>4</v>
          </cell>
          <cell r="P432">
            <v>38</v>
          </cell>
          <cell r="Q432">
            <v>8</v>
          </cell>
          <cell r="R432">
            <v>4</v>
          </cell>
          <cell r="S432">
            <v>38.299999999999997</v>
          </cell>
          <cell r="T432">
            <v>37317</v>
          </cell>
          <cell r="U432" t="str">
            <v>ОПЗ</v>
          </cell>
          <cell r="W432" t="str">
            <v>ВЦ. ОПЗ НТПН. УГИС</v>
          </cell>
        </row>
        <row r="433">
          <cell r="B433">
            <v>5645</v>
          </cell>
          <cell r="C433">
            <v>126</v>
          </cell>
          <cell r="F433" t="str">
            <v>УПНПиКРС</v>
          </cell>
          <cell r="G433">
            <v>230</v>
          </cell>
          <cell r="H433" t="str">
            <v>ШГН</v>
          </cell>
          <cell r="I433" t="str">
            <v>конс.</v>
          </cell>
          <cell r="J433">
            <v>35435</v>
          </cell>
          <cell r="N433">
            <v>30</v>
          </cell>
          <cell r="O433">
            <v>5</v>
          </cell>
          <cell r="P433">
            <v>79.5</v>
          </cell>
          <cell r="Q433">
            <v>30</v>
          </cell>
          <cell r="R433">
            <v>5</v>
          </cell>
          <cell r="S433">
            <v>79.400000000000006</v>
          </cell>
          <cell r="T433">
            <v>11</v>
          </cell>
          <cell r="U433" t="str">
            <v>ОПЗ</v>
          </cell>
          <cell r="W433" t="str">
            <v>ВЦ. ПП (перфосреда). ЭЦН</v>
          </cell>
        </row>
        <row r="434">
          <cell r="B434">
            <v>5646</v>
          </cell>
          <cell r="C434">
            <v>125</v>
          </cell>
          <cell r="F434" t="str">
            <v>УПНПиКРС</v>
          </cell>
          <cell r="G434">
            <v>255</v>
          </cell>
          <cell r="H434" t="str">
            <v>ШГН</v>
          </cell>
          <cell r="I434" t="str">
            <v>бд</v>
          </cell>
          <cell r="J434">
            <v>36933</v>
          </cell>
          <cell r="K434">
            <v>6</v>
          </cell>
          <cell r="L434">
            <v>4.5999999999999996</v>
          </cell>
          <cell r="M434">
            <v>6</v>
          </cell>
          <cell r="N434">
            <v>8</v>
          </cell>
          <cell r="O434">
            <v>5</v>
          </cell>
          <cell r="P434">
            <v>24</v>
          </cell>
          <cell r="Q434">
            <v>8</v>
          </cell>
          <cell r="R434">
            <v>5</v>
          </cell>
          <cell r="S434">
            <v>22.8</v>
          </cell>
          <cell r="T434">
            <v>37347</v>
          </cell>
          <cell r="U434" t="str">
            <v>ОПЗ</v>
          </cell>
          <cell r="W434" t="str">
            <v>ВЦ. ПП (перфосреда). ОПЗ НТПН</v>
          </cell>
        </row>
        <row r="435">
          <cell r="B435">
            <v>5647</v>
          </cell>
          <cell r="C435">
            <v>125</v>
          </cell>
          <cell r="F435" t="str">
            <v>УПНПиКРС</v>
          </cell>
          <cell r="G435">
            <v>230</v>
          </cell>
          <cell r="H435" t="str">
            <v>ШГН</v>
          </cell>
          <cell r="I435" t="str">
            <v>бд</v>
          </cell>
          <cell r="N435">
            <v>12</v>
          </cell>
          <cell r="O435">
            <v>2.9</v>
          </cell>
          <cell r="P435">
            <v>70</v>
          </cell>
          <cell r="Q435">
            <v>12</v>
          </cell>
          <cell r="R435">
            <v>2.9</v>
          </cell>
          <cell r="S435">
            <v>70.2</v>
          </cell>
          <cell r="U435" t="str">
            <v>ОПЗ</v>
          </cell>
          <cell r="W435" t="str">
            <v>ВЦ. ПП (перфосреда) ОПЗ НТПН</v>
          </cell>
        </row>
        <row r="436">
          <cell r="B436">
            <v>5704</v>
          </cell>
          <cell r="C436">
            <v>126</v>
          </cell>
          <cell r="F436" t="str">
            <v>УПНПиКРС</v>
          </cell>
          <cell r="G436">
            <v>230</v>
          </cell>
          <cell r="H436" t="str">
            <v>ШГН</v>
          </cell>
          <cell r="I436" t="str">
            <v>действ.</v>
          </cell>
          <cell r="K436">
            <v>3</v>
          </cell>
          <cell r="L436">
            <v>2.1</v>
          </cell>
          <cell r="M436">
            <v>16</v>
          </cell>
          <cell r="N436">
            <v>10</v>
          </cell>
          <cell r="O436">
            <v>6.6</v>
          </cell>
          <cell r="P436">
            <v>19</v>
          </cell>
          <cell r="Q436">
            <v>7</v>
          </cell>
          <cell r="R436">
            <v>4.5</v>
          </cell>
          <cell r="S436">
            <v>20.6</v>
          </cell>
          <cell r="T436" t="e">
            <v>#REF!</v>
          </cell>
          <cell r="U436" t="str">
            <v>ОПЗ</v>
          </cell>
          <cell r="W436" t="str">
            <v>ПП. ОПЗ КСПЭО. ГДИ</v>
          </cell>
        </row>
        <row r="437">
          <cell r="B437">
            <v>5706</v>
          </cell>
          <cell r="C437">
            <v>125</v>
          </cell>
          <cell r="F437" t="str">
            <v>УПНПиКРС</v>
          </cell>
          <cell r="G437">
            <v>250</v>
          </cell>
          <cell r="H437" t="str">
            <v>ШГН</v>
          </cell>
          <cell r="K437">
            <v>1.5</v>
          </cell>
          <cell r="L437">
            <v>1.2</v>
          </cell>
          <cell r="M437">
            <v>0</v>
          </cell>
          <cell r="N437">
            <v>10</v>
          </cell>
          <cell r="O437">
            <v>4.5</v>
          </cell>
          <cell r="P437">
            <v>45</v>
          </cell>
          <cell r="Q437">
            <v>10</v>
          </cell>
          <cell r="R437">
            <v>4.5</v>
          </cell>
          <cell r="S437">
            <v>44.4</v>
          </cell>
          <cell r="T437">
            <v>37412</v>
          </cell>
          <cell r="U437" t="str">
            <v>ОПЗ</v>
          </cell>
          <cell r="W437" t="str">
            <v>ВЦ. УГИС (ПП)</v>
          </cell>
        </row>
        <row r="438">
          <cell r="B438">
            <v>5707</v>
          </cell>
          <cell r="C438">
            <v>125</v>
          </cell>
          <cell r="F438" t="str">
            <v>УПНПиКРС</v>
          </cell>
          <cell r="G438">
            <v>250</v>
          </cell>
          <cell r="H438" t="str">
            <v>ШГН</v>
          </cell>
          <cell r="K438">
            <v>24</v>
          </cell>
          <cell r="L438">
            <v>9.8000000000000007</v>
          </cell>
          <cell r="M438">
            <v>50</v>
          </cell>
          <cell r="N438">
            <v>50</v>
          </cell>
          <cell r="O438">
            <v>6.5</v>
          </cell>
          <cell r="P438">
            <v>84</v>
          </cell>
          <cell r="Q438">
            <v>50</v>
          </cell>
          <cell r="R438">
            <v>6.5</v>
          </cell>
          <cell r="S438">
            <v>84</v>
          </cell>
          <cell r="T438">
            <v>37376</v>
          </cell>
          <cell r="U438" t="str">
            <v>ЛА</v>
          </cell>
          <cell r="W438" t="str">
            <v>ЛА. ИДН (УГИС). ЭЦН</v>
          </cell>
        </row>
        <row r="439">
          <cell r="B439">
            <v>5713</v>
          </cell>
          <cell r="C439">
            <v>127</v>
          </cell>
          <cell r="H439" t="str">
            <v>ЭЦН</v>
          </cell>
          <cell r="I439" t="str">
            <v>конс.</v>
          </cell>
          <cell r="J439">
            <v>35457</v>
          </cell>
          <cell r="N439">
            <v>50</v>
          </cell>
          <cell r="O439">
            <v>6.1</v>
          </cell>
          <cell r="P439">
            <v>85</v>
          </cell>
          <cell r="Q439">
            <v>50</v>
          </cell>
          <cell r="R439">
            <v>6.1</v>
          </cell>
          <cell r="S439">
            <v>84.9</v>
          </cell>
          <cell r="U439" t="str">
            <v>ОПЗ</v>
          </cell>
          <cell r="W439" t="str">
            <v>ВЦ, ОПЗ НТПН, УГИС</v>
          </cell>
        </row>
        <row r="440">
          <cell r="B440">
            <v>5742</v>
          </cell>
          <cell r="C440">
            <v>128</v>
          </cell>
          <cell r="F440" t="str">
            <v>ЗАО "УПКРС"</v>
          </cell>
          <cell r="G440">
            <v>265</v>
          </cell>
          <cell r="H440" t="str">
            <v>ЭЦН</v>
          </cell>
          <cell r="K440">
            <v>20</v>
          </cell>
          <cell r="L440">
            <v>1</v>
          </cell>
          <cell r="M440">
            <v>94</v>
          </cell>
          <cell r="N440">
            <v>30</v>
          </cell>
          <cell r="O440">
            <v>4</v>
          </cell>
          <cell r="P440">
            <v>83.5</v>
          </cell>
          <cell r="Q440">
            <v>30</v>
          </cell>
          <cell r="R440">
            <v>4</v>
          </cell>
          <cell r="S440">
            <v>83.5</v>
          </cell>
          <cell r="T440">
            <v>7</v>
          </cell>
          <cell r="U440" t="str">
            <v>ОВП</v>
          </cell>
          <cell r="W440" t="str">
            <v>ИР ЮК11. ГИС-2. ПП ЮК10 (УГИС)</v>
          </cell>
        </row>
        <row r="441">
          <cell r="B441">
            <v>5800</v>
          </cell>
          <cell r="C441">
            <v>141</v>
          </cell>
          <cell r="F441" t="str">
            <v>ЗАО "УПКРС"</v>
          </cell>
          <cell r="G441">
            <v>281</v>
          </cell>
          <cell r="H441" t="str">
            <v>нагнет.</v>
          </cell>
          <cell r="I441" t="str">
            <v>бд</v>
          </cell>
          <cell r="J441">
            <v>36641</v>
          </cell>
          <cell r="N441">
            <v>150</v>
          </cell>
          <cell r="Q441">
            <v>150</v>
          </cell>
          <cell r="T441">
            <v>8</v>
          </cell>
          <cell r="U441" t="str">
            <v>нг</v>
          </cell>
          <cell r="V441">
            <v>2</v>
          </cell>
          <cell r="W441" t="str">
            <v>Ревизия и привязка пакера, каверномер.</v>
          </cell>
        </row>
        <row r="442">
          <cell r="B442">
            <v>5807</v>
          </cell>
          <cell r="C442" t="str">
            <v>166б</v>
          </cell>
          <cell r="F442" t="str">
            <v>ЗАО "УПКРС"</v>
          </cell>
          <cell r="G442">
            <v>290</v>
          </cell>
          <cell r="H442" t="str">
            <v>нагнет.</v>
          </cell>
          <cell r="I442" t="str">
            <v>простой</v>
          </cell>
          <cell r="J442">
            <v>37166</v>
          </cell>
          <cell r="N442">
            <v>200</v>
          </cell>
          <cell r="Q442">
            <v>200</v>
          </cell>
          <cell r="T442">
            <v>11</v>
          </cell>
          <cell r="U442" t="str">
            <v>нг</v>
          </cell>
          <cell r="V442">
            <v>2</v>
          </cell>
          <cell r="W442" t="str">
            <v>Ревизия и привязка пакера, каверномер.</v>
          </cell>
        </row>
        <row r="443">
          <cell r="B443">
            <v>5808</v>
          </cell>
          <cell r="C443">
            <v>141</v>
          </cell>
          <cell r="F443" t="str">
            <v>УПНПиКРС</v>
          </cell>
          <cell r="G443">
            <v>260</v>
          </cell>
          <cell r="H443" t="str">
            <v>ШГН</v>
          </cell>
          <cell r="I443" t="str">
            <v>бд</v>
          </cell>
          <cell r="J443">
            <v>33755</v>
          </cell>
          <cell r="K443">
            <v>3</v>
          </cell>
          <cell r="L443">
            <v>2.1</v>
          </cell>
          <cell r="M443">
            <v>15</v>
          </cell>
          <cell r="N443">
            <v>24</v>
          </cell>
          <cell r="O443">
            <v>10.5</v>
          </cell>
          <cell r="P443">
            <v>46.5</v>
          </cell>
          <cell r="Q443">
            <v>24</v>
          </cell>
          <cell r="R443">
            <v>10.5</v>
          </cell>
          <cell r="S443">
            <v>46</v>
          </cell>
          <cell r="T443">
            <v>15</v>
          </cell>
          <cell r="U443" t="str">
            <v>ГРП</v>
          </cell>
          <cell r="W443" t="str">
            <v>ЛН. ПР ГРП. ГРП ЮК-10</v>
          </cell>
        </row>
        <row r="444">
          <cell r="B444">
            <v>5822</v>
          </cell>
          <cell r="C444">
            <v>141</v>
          </cell>
          <cell r="F444" t="str">
            <v>УПНПиКРС</v>
          </cell>
          <cell r="G444">
            <v>245</v>
          </cell>
          <cell r="H444" t="str">
            <v>ШГН</v>
          </cell>
          <cell r="I444" t="str">
            <v>бд</v>
          </cell>
          <cell r="J444">
            <v>36854</v>
          </cell>
          <cell r="K444">
            <v>12</v>
          </cell>
          <cell r="L444">
            <v>9.1</v>
          </cell>
          <cell r="M444">
            <v>7</v>
          </cell>
          <cell r="N444">
            <v>10</v>
          </cell>
          <cell r="O444">
            <v>7</v>
          </cell>
          <cell r="P444">
            <v>13.6</v>
          </cell>
          <cell r="Q444">
            <v>10</v>
          </cell>
          <cell r="R444">
            <v>7</v>
          </cell>
          <cell r="S444">
            <v>13.6</v>
          </cell>
          <cell r="T444">
            <v>15</v>
          </cell>
          <cell r="U444" t="str">
            <v>ОПЗ</v>
          </cell>
          <cell r="W444" t="str">
            <v>ВЦ. ПП. ОПЗ КСПЭО</v>
          </cell>
        </row>
        <row r="445">
          <cell r="B445" t="str">
            <v>2868б</v>
          </cell>
          <cell r="C445">
            <v>129</v>
          </cell>
          <cell r="F445" t="str">
            <v>ЗАО "УПКРС"</v>
          </cell>
          <cell r="G445">
            <v>255</v>
          </cell>
          <cell r="H445" t="str">
            <v>ШГН</v>
          </cell>
          <cell r="I445" t="str">
            <v>конс.</v>
          </cell>
          <cell r="J445">
            <v>34029</v>
          </cell>
          <cell r="N445">
            <v>35</v>
          </cell>
          <cell r="O445">
            <v>4</v>
          </cell>
          <cell r="P445">
            <v>86</v>
          </cell>
          <cell r="Q445">
            <v>35</v>
          </cell>
          <cell r="R445">
            <v>4</v>
          </cell>
          <cell r="S445">
            <v>85.9</v>
          </cell>
          <cell r="T445">
            <v>15</v>
          </cell>
          <cell r="U445" t="str">
            <v>ОПЗ</v>
          </cell>
          <cell r="V445">
            <v>3</v>
          </cell>
          <cell r="W445" t="str">
            <v>ВЦ. ГИС (гироскоп). ПП. ОПЗ(ГРП). УГИС</v>
          </cell>
        </row>
        <row r="446">
          <cell r="B446">
            <v>2614</v>
          </cell>
          <cell r="C446">
            <v>157</v>
          </cell>
          <cell r="D446">
            <v>11</v>
          </cell>
          <cell r="E446">
            <v>111</v>
          </cell>
          <cell r="F446" t="str">
            <v>УПНПиКРС</v>
          </cell>
          <cell r="G446">
            <v>230</v>
          </cell>
          <cell r="H446" t="str">
            <v>ШГН</v>
          </cell>
          <cell r="I446" t="str">
            <v>конс.</v>
          </cell>
          <cell r="J446">
            <v>33786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37363</v>
          </cell>
          <cell r="U446" t="str">
            <v>ГРП</v>
          </cell>
          <cell r="V446">
            <v>2</v>
          </cell>
          <cell r="W446" t="str">
            <v>ВЦ,ПП, ГРП</v>
          </cell>
        </row>
        <row r="447">
          <cell r="B447">
            <v>2684</v>
          </cell>
          <cell r="C447" t="str">
            <v>145б</v>
          </cell>
          <cell r="D447">
            <v>1</v>
          </cell>
          <cell r="I447" t="str">
            <v>бд</v>
          </cell>
          <cell r="J447">
            <v>34243</v>
          </cell>
          <cell r="K447">
            <v>3.3</v>
          </cell>
          <cell r="L447">
            <v>2.7</v>
          </cell>
          <cell r="M447">
            <v>0</v>
          </cell>
          <cell r="N447">
            <v>30</v>
          </cell>
          <cell r="O447">
            <v>12</v>
          </cell>
          <cell r="P447">
            <v>51</v>
          </cell>
          <cell r="Q447">
            <v>30</v>
          </cell>
          <cell r="R447">
            <v>12</v>
          </cell>
          <cell r="S447">
            <v>50.6</v>
          </cell>
          <cell r="U447" t="str">
            <v>ГРП</v>
          </cell>
          <cell r="W447" t="str">
            <v>ОТСК, РИР не герм.Э/К, ГРП(переинтерпритация 2572-2584, 2604-2612 + ab)</v>
          </cell>
        </row>
        <row r="448">
          <cell r="B448">
            <v>5575</v>
          </cell>
          <cell r="C448">
            <v>114</v>
          </cell>
          <cell r="D448">
            <v>1</v>
          </cell>
          <cell r="H448" t="str">
            <v>ШГН</v>
          </cell>
          <cell r="I448" t="str">
            <v>конс.</v>
          </cell>
          <cell r="J448">
            <v>35034</v>
          </cell>
          <cell r="K448">
            <v>1</v>
          </cell>
          <cell r="L448">
            <v>0</v>
          </cell>
          <cell r="M448">
            <v>99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U448" t="str">
            <v>ГРП</v>
          </cell>
          <cell r="W448" t="str">
            <v>РИР э/к,ГИС-2,ОТСК,ГРП.Переинт.2574-258м по гл.2364м,при наличии воды по ЮК-10 -ГРП ЮК-2</v>
          </cell>
        </row>
        <row r="449">
          <cell r="B449">
            <v>5579</v>
          </cell>
          <cell r="C449">
            <v>115</v>
          </cell>
          <cell r="D449">
            <v>1</v>
          </cell>
          <cell r="I449" t="str">
            <v>конс.</v>
          </cell>
          <cell r="J449">
            <v>34883</v>
          </cell>
          <cell r="K449">
            <v>17</v>
          </cell>
          <cell r="L449">
            <v>1</v>
          </cell>
          <cell r="M449">
            <v>93</v>
          </cell>
          <cell r="O449">
            <v>0</v>
          </cell>
          <cell r="Q449">
            <v>0</v>
          </cell>
          <cell r="R449">
            <v>0</v>
          </cell>
          <cell r="S449" t="e">
            <v>#DIV/0!</v>
          </cell>
          <cell r="W449" t="str">
            <v>ВЦ,ВЗ,при наличии Нз-сп Э-50 (ГИС-2),при невозм.ВЗ-переинт.ЮК-2- 2490-2498м-ГРП</v>
          </cell>
        </row>
        <row r="450">
          <cell r="B450">
            <v>5513</v>
          </cell>
          <cell r="C450">
            <v>114</v>
          </cell>
          <cell r="D450">
            <v>2</v>
          </cell>
          <cell r="G450">
            <v>250</v>
          </cell>
          <cell r="H450" t="str">
            <v>ЭЦН</v>
          </cell>
          <cell r="I450" t="str">
            <v>действ.</v>
          </cell>
          <cell r="J450">
            <v>0</v>
          </cell>
          <cell r="K450">
            <v>17</v>
          </cell>
          <cell r="L450">
            <v>4</v>
          </cell>
          <cell r="M450">
            <v>71</v>
          </cell>
          <cell r="N450">
            <v>35</v>
          </cell>
          <cell r="O450">
            <v>15.1</v>
          </cell>
          <cell r="P450">
            <v>47</v>
          </cell>
          <cell r="Q450">
            <v>18</v>
          </cell>
          <cell r="R450">
            <v>11.1</v>
          </cell>
          <cell r="S450">
            <v>23.9</v>
          </cell>
          <cell r="U450" t="str">
            <v>ГРП</v>
          </cell>
          <cell r="W450" t="str">
            <v>опытно-пром,работы,ГРП,по обв,скважины ( ГРП 40т проп.)</v>
          </cell>
        </row>
        <row r="453">
          <cell r="B453">
            <v>5671</v>
          </cell>
          <cell r="C453">
            <v>126</v>
          </cell>
          <cell r="D453">
            <v>2</v>
          </cell>
          <cell r="H453" t="str">
            <v>ШГН</v>
          </cell>
          <cell r="I453" t="str">
            <v>конс.</v>
          </cell>
          <cell r="J453">
            <v>35648</v>
          </cell>
          <cell r="K453">
            <v>3</v>
          </cell>
          <cell r="L453">
            <v>2.4</v>
          </cell>
          <cell r="M453">
            <v>2</v>
          </cell>
          <cell r="N453">
            <v>30</v>
          </cell>
          <cell r="O453">
            <v>12</v>
          </cell>
          <cell r="P453">
            <v>51</v>
          </cell>
          <cell r="Q453">
            <v>30</v>
          </cell>
          <cell r="R453">
            <v>12</v>
          </cell>
          <cell r="S453">
            <v>50.6</v>
          </cell>
          <cell r="U453" t="str">
            <v>ГРП</v>
          </cell>
          <cell r="W453" t="str">
            <v>ВЦ,ГРП (+12 т ),интер.ЮК-4 2746-2752м</v>
          </cell>
        </row>
        <row r="454">
          <cell r="B454">
            <v>2754</v>
          </cell>
          <cell r="C454">
            <v>145</v>
          </cell>
          <cell r="D454">
            <v>3</v>
          </cell>
          <cell r="I454" t="str">
            <v>конс.</v>
          </cell>
          <cell r="J454">
            <v>32843</v>
          </cell>
          <cell r="K454">
            <v>6</v>
          </cell>
          <cell r="L454">
            <v>0.5</v>
          </cell>
          <cell r="M454">
            <v>90</v>
          </cell>
          <cell r="N454">
            <v>30</v>
          </cell>
          <cell r="O454">
            <v>12</v>
          </cell>
          <cell r="P454">
            <v>51</v>
          </cell>
          <cell r="Q454">
            <v>30</v>
          </cell>
          <cell r="R454">
            <v>12</v>
          </cell>
          <cell r="S454">
            <v>50.6</v>
          </cell>
          <cell r="U454" t="str">
            <v>ГРП</v>
          </cell>
          <cell r="W454" t="str">
            <v>ГРП, возможно приобщение ЮК-11</v>
          </cell>
        </row>
        <row r="455">
          <cell r="B455">
            <v>2755</v>
          </cell>
          <cell r="C455">
            <v>145</v>
          </cell>
          <cell r="D455">
            <v>3</v>
          </cell>
          <cell r="I455" t="str">
            <v>бд</v>
          </cell>
          <cell r="J455">
            <v>33968</v>
          </cell>
          <cell r="K455">
            <v>40</v>
          </cell>
          <cell r="L455">
            <v>1.6</v>
          </cell>
          <cell r="M455">
            <v>95</v>
          </cell>
          <cell r="N455">
            <v>30</v>
          </cell>
          <cell r="O455">
            <v>12</v>
          </cell>
          <cell r="P455">
            <v>51</v>
          </cell>
          <cell r="Q455">
            <v>30</v>
          </cell>
          <cell r="R455">
            <v>12</v>
          </cell>
          <cell r="S455">
            <v>50.6</v>
          </cell>
          <cell r="U455" t="str">
            <v>ГРП</v>
          </cell>
          <cell r="W455" t="str">
            <v>ГИС-2(и.о.) РИР ЮК-11, ГРП с отсыпкой низа ЮК-10</v>
          </cell>
        </row>
        <row r="456">
          <cell r="B456">
            <v>2756</v>
          </cell>
          <cell r="C456">
            <v>145</v>
          </cell>
          <cell r="D456">
            <v>3</v>
          </cell>
          <cell r="I456" t="str">
            <v>бд</v>
          </cell>
          <cell r="J456">
            <v>35786</v>
          </cell>
          <cell r="K456">
            <v>70</v>
          </cell>
          <cell r="L456">
            <v>10.8</v>
          </cell>
          <cell r="M456">
            <v>81</v>
          </cell>
          <cell r="N456">
            <v>50</v>
          </cell>
          <cell r="O456">
            <v>10</v>
          </cell>
          <cell r="P456">
            <v>75.400000000000006</v>
          </cell>
          <cell r="Q456">
            <v>50</v>
          </cell>
          <cell r="R456">
            <v>10</v>
          </cell>
          <cell r="S456">
            <v>75.3</v>
          </cell>
          <cell r="U456" t="str">
            <v>РИР</v>
          </cell>
          <cell r="W456" t="str">
            <v>РИР Э/К 2562-2673, ПП-ЮК-10 с ОПЗ</v>
          </cell>
        </row>
        <row r="457">
          <cell r="B457">
            <v>2686</v>
          </cell>
          <cell r="C457" t="str">
            <v>160б</v>
          </cell>
          <cell r="I457" t="str">
            <v>конс.</v>
          </cell>
          <cell r="J457">
            <v>34060</v>
          </cell>
          <cell r="K457">
            <v>1</v>
          </cell>
          <cell r="L457">
            <v>0.8</v>
          </cell>
          <cell r="M457">
            <v>0</v>
          </cell>
          <cell r="N457">
            <v>30</v>
          </cell>
          <cell r="O457">
            <v>12</v>
          </cell>
          <cell r="P457">
            <v>51</v>
          </cell>
          <cell r="Q457">
            <v>30</v>
          </cell>
          <cell r="R457">
            <v>12</v>
          </cell>
          <cell r="S457">
            <v>50.6</v>
          </cell>
          <cell r="U457" t="str">
            <v>ГРП</v>
          </cell>
          <cell r="W457" t="str">
            <v>ВЦ, РИР ЮК-11, ГРП юк-10, инт. 2528-2545,2552-2562.При наличии нефти в ЮК-2-5, перевод на ЮК-2-5</v>
          </cell>
        </row>
        <row r="458">
          <cell r="B458">
            <v>2836</v>
          </cell>
          <cell r="C458">
            <v>125</v>
          </cell>
          <cell r="I458" t="str">
            <v>конс.</v>
          </cell>
          <cell r="J458">
            <v>35684</v>
          </cell>
          <cell r="K458">
            <v>4</v>
          </cell>
          <cell r="L458">
            <v>1.1000000000000001</v>
          </cell>
          <cell r="M458">
            <v>66</v>
          </cell>
          <cell r="O458">
            <v>0</v>
          </cell>
          <cell r="Q458">
            <v>0</v>
          </cell>
          <cell r="R458">
            <v>0</v>
          </cell>
          <cell r="S458" t="e">
            <v>#DIV/0!</v>
          </cell>
          <cell r="W458" t="str">
            <v>ГИС-2,при отс.перетоков-опытно-пром.работы,ГРП п.А</v>
          </cell>
        </row>
        <row r="459">
          <cell r="B459">
            <v>5239</v>
          </cell>
          <cell r="C459">
            <v>133</v>
          </cell>
          <cell r="H459" t="str">
            <v>ШГН</v>
          </cell>
          <cell r="I459" t="str">
            <v>действ.</v>
          </cell>
          <cell r="J459">
            <v>0</v>
          </cell>
          <cell r="K459">
            <v>5</v>
          </cell>
          <cell r="L459">
            <v>3.6</v>
          </cell>
          <cell r="M459">
            <v>11</v>
          </cell>
          <cell r="N459">
            <v>30</v>
          </cell>
          <cell r="O459">
            <v>19.600000000000001</v>
          </cell>
          <cell r="P459">
            <v>20</v>
          </cell>
          <cell r="Q459">
            <v>25</v>
          </cell>
          <cell r="R459">
            <v>16</v>
          </cell>
          <cell r="S459">
            <v>21</v>
          </cell>
          <cell r="U459" t="str">
            <v>ГРП</v>
          </cell>
          <cell r="W459" t="str">
            <v>интерпр.ЮК-4 2496-258м,повтор.ГРП ( в график КРС )</v>
          </cell>
        </row>
        <row r="460">
          <cell r="B460">
            <v>5394</v>
          </cell>
          <cell r="C460">
            <v>102</v>
          </cell>
          <cell r="I460" t="str">
            <v>бд</v>
          </cell>
          <cell r="J460">
            <v>34881</v>
          </cell>
          <cell r="K460">
            <v>50</v>
          </cell>
          <cell r="L460">
            <v>0.4</v>
          </cell>
          <cell r="M460">
            <v>99</v>
          </cell>
          <cell r="N460">
            <v>30</v>
          </cell>
          <cell r="O460">
            <v>12</v>
          </cell>
          <cell r="P460">
            <v>51</v>
          </cell>
          <cell r="Q460">
            <v>30</v>
          </cell>
          <cell r="R460">
            <v>12</v>
          </cell>
          <cell r="S460">
            <v>50.6</v>
          </cell>
          <cell r="U460" t="str">
            <v>ГРП</v>
          </cell>
          <cell r="W460" t="str">
            <v>ЛА( полет НКТ ),ПП,при Q меньше 10м3/с-ГРП-+15т</v>
          </cell>
        </row>
        <row r="461">
          <cell r="B461">
            <v>5410</v>
          </cell>
          <cell r="C461">
            <v>105</v>
          </cell>
          <cell r="I461" t="str">
            <v>бд</v>
          </cell>
          <cell r="J461">
            <v>35361</v>
          </cell>
          <cell r="K461">
            <v>10</v>
          </cell>
          <cell r="L461">
            <v>6.5</v>
          </cell>
          <cell r="M461">
            <v>20</v>
          </cell>
          <cell r="O461">
            <v>0</v>
          </cell>
          <cell r="Q461">
            <v>0</v>
          </cell>
          <cell r="R461">
            <v>0</v>
          </cell>
          <cell r="S461" t="e">
            <v>#DIV/0!</v>
          </cell>
          <cell r="W461" t="str">
            <v>ВЦ,ГРП п.А</v>
          </cell>
        </row>
        <row r="462">
          <cell r="B462">
            <v>5577</v>
          </cell>
          <cell r="C462">
            <v>114</v>
          </cell>
          <cell r="D462">
            <v>1</v>
          </cell>
          <cell r="I462" t="str">
            <v>конс.</v>
          </cell>
          <cell r="J462">
            <v>33848</v>
          </cell>
          <cell r="K462">
            <v>3</v>
          </cell>
          <cell r="L462">
            <v>2.4</v>
          </cell>
          <cell r="M462">
            <v>0</v>
          </cell>
          <cell r="N462">
            <v>8</v>
          </cell>
          <cell r="O462">
            <v>6.2</v>
          </cell>
          <cell r="P462">
            <v>5</v>
          </cell>
          <cell r="Q462">
            <v>8</v>
          </cell>
          <cell r="R462">
            <v>6.2</v>
          </cell>
          <cell r="S462">
            <v>4.3</v>
          </cell>
          <cell r="W462" t="str">
            <v>ВЦ,сп Э-50,переинт.ЮК-2 2618-2624м,при наличии воды-перевод без ГРП,по гл.2350м</v>
          </cell>
        </row>
        <row r="463">
          <cell r="B463">
            <v>5578</v>
          </cell>
          <cell r="C463">
            <v>115</v>
          </cell>
          <cell r="I463" t="str">
            <v>бд</v>
          </cell>
          <cell r="J463">
            <v>36473</v>
          </cell>
          <cell r="K463">
            <v>52</v>
          </cell>
          <cell r="L463">
            <v>0.8</v>
          </cell>
          <cell r="M463">
            <v>98</v>
          </cell>
          <cell r="O463">
            <v>0</v>
          </cell>
          <cell r="Q463">
            <v>0</v>
          </cell>
          <cell r="R463">
            <v>0</v>
          </cell>
          <cell r="S463" t="e">
            <v>#DIV/0!</v>
          </cell>
          <cell r="W463" t="str">
            <v>РИР,негерм.э/к,инт.2576-2582м,ГРП</v>
          </cell>
        </row>
        <row r="464">
          <cell r="B464">
            <v>5647</v>
          </cell>
          <cell r="C464">
            <v>125</v>
          </cell>
          <cell r="I464" t="str">
            <v>бд</v>
          </cell>
          <cell r="J464">
            <v>35401</v>
          </cell>
          <cell r="K464">
            <v>5</v>
          </cell>
          <cell r="L464">
            <v>0</v>
          </cell>
          <cell r="M464">
            <v>99</v>
          </cell>
          <cell r="O464">
            <v>0</v>
          </cell>
          <cell r="Q464">
            <v>0</v>
          </cell>
          <cell r="R464">
            <v>0</v>
          </cell>
          <cell r="S464" t="e">
            <v>#DIV/0!</v>
          </cell>
          <cell r="W464" t="str">
            <v>ЛА ( полет БТ ),РИР ниж.п.ЮК-10,перф.п.А,ГРП</v>
          </cell>
        </row>
        <row r="465">
          <cell r="B465">
            <v>5648</v>
          </cell>
          <cell r="C465">
            <v>125</v>
          </cell>
          <cell r="I465" t="str">
            <v>конс.</v>
          </cell>
          <cell r="J465">
            <v>33786</v>
          </cell>
          <cell r="K465">
            <v>10</v>
          </cell>
          <cell r="L465">
            <v>0.1</v>
          </cell>
          <cell r="M465">
            <v>99</v>
          </cell>
          <cell r="O465">
            <v>0</v>
          </cell>
          <cell r="Q465">
            <v>0</v>
          </cell>
          <cell r="R465">
            <v>0</v>
          </cell>
          <cell r="S465" t="e">
            <v>#DIV/0!</v>
          </cell>
          <cell r="W465" t="str">
            <v>ЛА (НГН со шт.),опытно-пром.работы,ПП п.А,отсыпка нижней пачки,ГРП,сп Э-80</v>
          </cell>
        </row>
        <row r="466">
          <cell r="B466">
            <v>5677</v>
          </cell>
          <cell r="C466">
            <v>125</v>
          </cell>
          <cell r="I466" t="str">
            <v>бд</v>
          </cell>
          <cell r="J466">
            <v>35170</v>
          </cell>
          <cell r="K466">
            <v>60</v>
          </cell>
          <cell r="L466">
            <v>0.5</v>
          </cell>
          <cell r="M466">
            <v>99</v>
          </cell>
          <cell r="O466">
            <v>0</v>
          </cell>
          <cell r="Q466">
            <v>0</v>
          </cell>
          <cell r="R466">
            <v>0</v>
          </cell>
          <cell r="S466" t="e">
            <v>#DIV/0!</v>
          </cell>
          <cell r="W466" t="str">
            <v xml:space="preserve">ЛА ( НН со штангами ),ГИС-2,РИР п.В,ПП п.А,ГРП,при невозм.ЛА ЗБГС </v>
          </cell>
        </row>
        <row r="467">
          <cell r="B467">
            <v>5704</v>
          </cell>
          <cell r="C467">
            <v>126</v>
          </cell>
          <cell r="G467">
            <v>230</v>
          </cell>
          <cell r="H467" t="str">
            <v>ШГН</v>
          </cell>
          <cell r="I467" t="str">
            <v>бд</v>
          </cell>
          <cell r="J467">
            <v>37174</v>
          </cell>
          <cell r="K467">
            <v>2</v>
          </cell>
          <cell r="L467">
            <v>1.5</v>
          </cell>
          <cell r="M467">
            <v>5</v>
          </cell>
          <cell r="N467">
            <v>30</v>
          </cell>
          <cell r="O467">
            <v>12</v>
          </cell>
          <cell r="P467">
            <v>51</v>
          </cell>
          <cell r="Q467">
            <v>30</v>
          </cell>
          <cell r="R467">
            <v>12</v>
          </cell>
          <cell r="S467">
            <v>50.6</v>
          </cell>
          <cell r="U467" t="str">
            <v>ГРП</v>
          </cell>
          <cell r="W467" t="str">
            <v>ГРП п.А</v>
          </cell>
        </row>
        <row r="468">
          <cell r="B468">
            <v>5815</v>
          </cell>
          <cell r="C468">
            <v>141</v>
          </cell>
          <cell r="H468" t="str">
            <v>ШГН</v>
          </cell>
          <cell r="I468" t="str">
            <v>действ.</v>
          </cell>
          <cell r="J468">
            <v>0</v>
          </cell>
          <cell r="K468">
            <v>11</v>
          </cell>
          <cell r="L468">
            <v>8.3000000000000007</v>
          </cell>
          <cell r="M468">
            <v>7</v>
          </cell>
          <cell r="N468">
            <v>30</v>
          </cell>
          <cell r="O468">
            <v>20.3</v>
          </cell>
          <cell r="P468">
            <v>17</v>
          </cell>
          <cell r="Q468">
            <v>19</v>
          </cell>
          <cell r="R468">
            <v>12</v>
          </cell>
          <cell r="S468">
            <v>22</v>
          </cell>
          <cell r="U468" t="str">
            <v>ГРП</v>
          </cell>
          <cell r="W468" t="str">
            <v xml:space="preserve">РИР (отсыпка)ЮК-11,ПП ЮК-10, ГРП </v>
          </cell>
        </row>
        <row r="469">
          <cell r="B469">
            <v>5483</v>
          </cell>
          <cell r="C469">
            <v>115</v>
          </cell>
          <cell r="D469">
            <v>21</v>
          </cell>
          <cell r="E469">
            <v>210</v>
          </cell>
          <cell r="F469" t="str">
            <v>УПНПиКРС</v>
          </cell>
          <cell r="G469">
            <v>250</v>
          </cell>
          <cell r="H469" t="str">
            <v>ЭЦН</v>
          </cell>
          <cell r="I469" t="str">
            <v>конс.</v>
          </cell>
          <cell r="J469">
            <v>34274</v>
          </cell>
          <cell r="N469">
            <v>30</v>
          </cell>
          <cell r="O469">
            <v>18.3</v>
          </cell>
          <cell r="P469">
            <v>25</v>
          </cell>
          <cell r="Q469">
            <v>30</v>
          </cell>
          <cell r="R469">
            <v>18.3</v>
          </cell>
          <cell r="S469">
            <v>24.7</v>
          </cell>
          <cell r="U469" t="str">
            <v>ГРП</v>
          </cell>
          <cell r="V469">
            <v>1</v>
          </cell>
          <cell r="W469" t="str">
            <v>ВЦ, ГИС-2(ОТСК), ИР ЮК-10, ПР к ГРП,ГРП(ПГРП сделано,ГРП отменили)</v>
          </cell>
        </row>
        <row r="471">
          <cell r="B471">
            <v>5371</v>
          </cell>
          <cell r="C471">
            <v>102</v>
          </cell>
          <cell r="G471">
            <v>250</v>
          </cell>
          <cell r="H471" t="str">
            <v>нагнет.</v>
          </cell>
          <cell r="I471" t="str">
            <v>бд</v>
          </cell>
          <cell r="J471">
            <v>35779</v>
          </cell>
          <cell r="K471">
            <v>240</v>
          </cell>
          <cell r="N471">
            <v>120</v>
          </cell>
          <cell r="Q471">
            <v>120</v>
          </cell>
          <cell r="R471">
            <v>0</v>
          </cell>
          <cell r="U471" t="str">
            <v>нг</v>
          </cell>
          <cell r="V471">
            <v>4</v>
          </cell>
          <cell r="W471" t="str">
            <v>ОТСК. Запуск ППД</v>
          </cell>
        </row>
        <row r="472">
          <cell r="B472">
            <v>5372</v>
          </cell>
          <cell r="C472">
            <v>102</v>
          </cell>
          <cell r="G472">
            <v>250</v>
          </cell>
          <cell r="H472" t="str">
            <v>нагнет.</v>
          </cell>
          <cell r="I472" t="str">
            <v>бд</v>
          </cell>
          <cell r="J472">
            <v>32843</v>
          </cell>
          <cell r="K472">
            <v>130</v>
          </cell>
          <cell r="N472">
            <v>120</v>
          </cell>
          <cell r="Q472">
            <v>120</v>
          </cell>
          <cell r="R472">
            <v>0</v>
          </cell>
          <cell r="U472" t="str">
            <v>нг</v>
          </cell>
          <cell r="W472" t="str">
            <v>ЛА (извлечение НКТ). ОТСК. Запуск ППД</v>
          </cell>
        </row>
        <row r="473">
          <cell r="B473">
            <v>5373</v>
          </cell>
          <cell r="C473">
            <v>103</v>
          </cell>
          <cell r="G473">
            <v>233</v>
          </cell>
          <cell r="H473" t="str">
            <v>нагнет.</v>
          </cell>
          <cell r="I473" t="str">
            <v>конс.</v>
          </cell>
          <cell r="J473">
            <v>34474</v>
          </cell>
          <cell r="K473">
            <v>375</v>
          </cell>
          <cell r="N473">
            <v>120</v>
          </cell>
          <cell r="Q473">
            <v>120</v>
          </cell>
          <cell r="R473">
            <v>0</v>
          </cell>
          <cell r="U473" t="str">
            <v>нг</v>
          </cell>
          <cell r="W473" t="str">
            <v>ОТСК. ГИС-3. Ликвидация ЗКЦ?</v>
          </cell>
        </row>
        <row r="474">
          <cell r="B474">
            <v>5374</v>
          </cell>
          <cell r="C474">
            <v>103</v>
          </cell>
          <cell r="G474">
            <v>234</v>
          </cell>
          <cell r="H474" t="str">
            <v>нагнет.</v>
          </cell>
          <cell r="I474" t="str">
            <v>конс.</v>
          </cell>
          <cell r="J474">
            <v>34474</v>
          </cell>
          <cell r="K474">
            <v>180</v>
          </cell>
          <cell r="N474">
            <v>120</v>
          </cell>
          <cell r="Q474">
            <v>120</v>
          </cell>
          <cell r="R474">
            <v>0</v>
          </cell>
          <cell r="U474" t="str">
            <v>нг</v>
          </cell>
          <cell r="W474" t="str">
            <v>ВЗ. ОТСК</v>
          </cell>
        </row>
        <row r="475">
          <cell r="B475">
            <v>5389</v>
          </cell>
          <cell r="C475">
            <v>109</v>
          </cell>
          <cell r="G475">
            <v>280</v>
          </cell>
          <cell r="H475" t="str">
            <v>нагнет.</v>
          </cell>
          <cell r="I475" t="str">
            <v>бд</v>
          </cell>
          <cell r="J475">
            <v>36458</v>
          </cell>
          <cell r="K475">
            <v>175</v>
          </cell>
          <cell r="N475">
            <v>100</v>
          </cell>
          <cell r="Q475">
            <v>100</v>
          </cell>
          <cell r="U475" t="str">
            <v>нг</v>
          </cell>
          <cell r="W475" t="str">
            <v xml:space="preserve">ОПЗ </v>
          </cell>
        </row>
        <row r="476">
          <cell r="B476">
            <v>5391</v>
          </cell>
          <cell r="C476">
            <v>109</v>
          </cell>
          <cell r="G476">
            <v>285</v>
          </cell>
          <cell r="H476" t="str">
            <v>нагнет.</v>
          </cell>
          <cell r="I476" t="str">
            <v>бд</v>
          </cell>
          <cell r="J476">
            <v>34426</v>
          </cell>
          <cell r="K476">
            <v>240</v>
          </cell>
          <cell r="N476">
            <v>100</v>
          </cell>
          <cell r="Q476">
            <v>100</v>
          </cell>
          <cell r="U476" t="str">
            <v>нг</v>
          </cell>
          <cell r="W476" t="str">
            <v>ИР ЮК-11. ОПЗ. Пуск под закачку</v>
          </cell>
        </row>
        <row r="477">
          <cell r="B477">
            <v>5216</v>
          </cell>
          <cell r="C477">
            <v>134</v>
          </cell>
          <cell r="D477">
            <v>6</v>
          </cell>
          <cell r="E477">
            <v>61</v>
          </cell>
          <cell r="F477" t="str">
            <v>УПНПиКРС</v>
          </cell>
          <cell r="H477" t="str">
            <v>ШГН</v>
          </cell>
          <cell r="I477" t="str">
            <v>конс.</v>
          </cell>
          <cell r="N477">
            <v>50</v>
          </cell>
          <cell r="O477">
            <v>30</v>
          </cell>
          <cell r="P477">
            <v>26.5</v>
          </cell>
          <cell r="Q477">
            <v>50</v>
          </cell>
          <cell r="R477">
            <v>30</v>
          </cell>
          <cell r="S477">
            <v>25.9</v>
          </cell>
          <cell r="U477" t="str">
            <v>ГРП</v>
          </cell>
          <cell r="W477" t="str">
            <v>ВЦ, РИР ЮК-10, СО-каротаж ПР к ГРП, ГРП ЮК-2, осв.</v>
          </cell>
        </row>
        <row r="478">
          <cell r="B478">
            <v>2958</v>
          </cell>
          <cell r="C478">
            <v>46</v>
          </cell>
          <cell r="D478">
            <v>7</v>
          </cell>
          <cell r="E478">
            <v>70</v>
          </cell>
          <cell r="F478" t="str">
            <v>УПНПиКРС</v>
          </cell>
          <cell r="H478" t="str">
            <v>ШГН</v>
          </cell>
          <cell r="I478" t="str">
            <v>бд</v>
          </cell>
          <cell r="N478">
            <v>50</v>
          </cell>
          <cell r="O478">
            <v>30</v>
          </cell>
          <cell r="P478">
            <v>26.5</v>
          </cell>
          <cell r="Q478">
            <v>50</v>
          </cell>
          <cell r="R478">
            <v>30</v>
          </cell>
          <cell r="S478">
            <v>25.9</v>
          </cell>
          <cell r="T478">
            <v>37450</v>
          </cell>
          <cell r="U478" t="str">
            <v>ГРП</v>
          </cell>
          <cell r="W478" t="str">
            <v xml:space="preserve"> РИР ЮК-10, ПР к ГРП, ГРП ЮК-2, осв.</v>
          </cell>
        </row>
        <row r="479">
          <cell r="B479">
            <v>5368</v>
          </cell>
          <cell r="C479">
            <v>101</v>
          </cell>
          <cell r="D479">
            <v>0</v>
          </cell>
          <cell r="E479">
            <v>0</v>
          </cell>
          <cell r="F479" t="str">
            <v>УПНПиКРС</v>
          </cell>
          <cell r="H479" t="str">
            <v>нагнет.</v>
          </cell>
          <cell r="I479" t="str">
            <v>конс.</v>
          </cell>
          <cell r="N479">
            <v>50</v>
          </cell>
          <cell r="O479">
            <v>20</v>
          </cell>
          <cell r="P479">
            <v>51</v>
          </cell>
          <cell r="Q479">
            <v>50</v>
          </cell>
          <cell r="R479">
            <v>20</v>
          </cell>
          <cell r="S479">
            <v>50.6</v>
          </cell>
          <cell r="T479">
            <v>37435</v>
          </cell>
          <cell r="U479" t="str">
            <v>ГРП</v>
          </cell>
          <cell r="W479" t="str">
            <v>Извл.НКТ, РИР ЮК-10, ПР к ГРП, ГРП ЮК-2, осв.</v>
          </cell>
        </row>
        <row r="480">
          <cell r="B480">
            <v>5264</v>
          </cell>
          <cell r="C480">
            <v>133</v>
          </cell>
          <cell r="D480">
            <v>0</v>
          </cell>
          <cell r="E480">
            <v>0</v>
          </cell>
          <cell r="F480" t="str">
            <v>УПНПиКРС</v>
          </cell>
          <cell r="H480" t="str">
            <v>нагнет.</v>
          </cell>
          <cell r="I480" t="str">
            <v>конс.</v>
          </cell>
          <cell r="N480">
            <v>50</v>
          </cell>
          <cell r="O480">
            <v>20</v>
          </cell>
          <cell r="P480">
            <v>51</v>
          </cell>
          <cell r="Q480">
            <v>50</v>
          </cell>
          <cell r="R480">
            <v>20</v>
          </cell>
          <cell r="S480">
            <v>50.6</v>
          </cell>
          <cell r="T480">
            <v>37466</v>
          </cell>
          <cell r="U480" t="str">
            <v>ГРП</v>
          </cell>
          <cell r="W480" t="str">
            <v>ВЦ, РИР ЮК-10, ПР к ГРП, ГРП ЮК-2, осв.</v>
          </cell>
        </row>
        <row r="481">
          <cell r="B481">
            <v>3060</v>
          </cell>
          <cell r="C481">
            <v>67</v>
          </cell>
          <cell r="D481">
            <v>0</v>
          </cell>
          <cell r="E481">
            <v>0</v>
          </cell>
          <cell r="F481" t="str">
            <v>УПНПиКРС</v>
          </cell>
          <cell r="H481" t="str">
            <v>нагнет.</v>
          </cell>
          <cell r="I481" t="str">
            <v>конс.</v>
          </cell>
          <cell r="N481">
            <v>50</v>
          </cell>
          <cell r="O481">
            <v>30</v>
          </cell>
          <cell r="P481">
            <v>26.5</v>
          </cell>
          <cell r="Q481">
            <v>50</v>
          </cell>
          <cell r="R481">
            <v>30</v>
          </cell>
          <cell r="S481">
            <v>25.9</v>
          </cell>
          <cell r="T481">
            <v>37389</v>
          </cell>
          <cell r="U481" t="str">
            <v>ГРП</v>
          </cell>
          <cell r="W481" t="str">
            <v>РИР ЮК-11, ПР к ГРП и ГРП ЮК-2</v>
          </cell>
        </row>
        <row r="482">
          <cell r="B482">
            <v>4366</v>
          </cell>
          <cell r="C482">
            <v>200</v>
          </cell>
          <cell r="D482">
            <v>4</v>
          </cell>
          <cell r="E482">
            <v>40</v>
          </cell>
          <cell r="F482" t="str">
            <v>УПНПиКРС</v>
          </cell>
          <cell r="H482" t="str">
            <v>нагнет.</v>
          </cell>
          <cell r="I482" t="str">
            <v>бд</v>
          </cell>
          <cell r="N482">
            <v>50</v>
          </cell>
          <cell r="O482">
            <v>30</v>
          </cell>
          <cell r="P482">
            <v>26.5</v>
          </cell>
          <cell r="Q482">
            <v>50</v>
          </cell>
          <cell r="R482">
            <v>30</v>
          </cell>
          <cell r="S482">
            <v>25.9</v>
          </cell>
          <cell r="T482">
            <v>37506</v>
          </cell>
          <cell r="U482" t="str">
            <v>нг</v>
          </cell>
          <cell r="W482" t="str">
            <v>Извл.НКТ, РИР ЮК-10, ПР к ГРП, ГРП ЮК-2, осв.</v>
          </cell>
        </row>
        <row r="483">
          <cell r="B483">
            <v>2725</v>
          </cell>
          <cell r="C483">
            <v>146</v>
          </cell>
          <cell r="D483">
            <v>3</v>
          </cell>
          <cell r="E483">
            <v>2</v>
          </cell>
          <cell r="F483" t="str">
            <v>УПНПиКРС</v>
          </cell>
          <cell r="H483" t="str">
            <v>нагнет.</v>
          </cell>
          <cell r="I483" t="str">
            <v>бд</v>
          </cell>
          <cell r="N483">
            <v>50</v>
          </cell>
          <cell r="O483">
            <v>30</v>
          </cell>
          <cell r="P483">
            <v>26.5</v>
          </cell>
          <cell r="Q483">
            <v>50</v>
          </cell>
          <cell r="R483">
            <v>30</v>
          </cell>
          <cell r="S483">
            <v>25.9</v>
          </cell>
          <cell r="T483">
            <v>37497</v>
          </cell>
          <cell r="U483" t="str">
            <v>ГРП</v>
          </cell>
          <cell r="W483" t="str">
            <v>ОТСК, РИР ЮК-10, ПР к ГРП, ГРП ЮК-2, осв.</v>
          </cell>
        </row>
        <row r="487">
          <cell r="W487" t="str">
            <v>Нерасмотренные:</v>
          </cell>
        </row>
        <row r="488">
          <cell r="B488">
            <v>3187</v>
          </cell>
          <cell r="C488">
            <v>70</v>
          </cell>
          <cell r="H488" t="str">
            <v>ШГН</v>
          </cell>
          <cell r="I488" t="str">
            <v>конс.</v>
          </cell>
          <cell r="Q488">
            <v>0</v>
          </cell>
          <cell r="R488">
            <v>0</v>
          </cell>
          <cell r="S488" t="e">
            <v>#DIV/0!</v>
          </cell>
          <cell r="T488">
            <v>37050</v>
          </cell>
          <cell r="U488" t="str">
            <v>ОПЗ</v>
          </cell>
          <cell r="W488" t="str">
            <v>ВЦ. ИДН. УГИС</v>
          </cell>
        </row>
        <row r="489">
          <cell r="B489">
            <v>3228</v>
          </cell>
          <cell r="C489">
            <v>70</v>
          </cell>
          <cell r="H489" t="str">
            <v>нагнет.</v>
          </cell>
          <cell r="I489" t="str">
            <v>конс.</v>
          </cell>
          <cell r="Q489">
            <v>0</v>
          </cell>
          <cell r="R489">
            <v>0</v>
          </cell>
          <cell r="T489">
            <v>37047</v>
          </cell>
          <cell r="U489" t="str">
            <v>нг</v>
          </cell>
          <cell r="W489" t="str">
            <v>ВЦ, ОТСК, достр.ЮК-11</v>
          </cell>
        </row>
        <row r="490">
          <cell r="B490" t="str">
            <v>5402б</v>
          </cell>
          <cell r="C490">
            <v>103</v>
          </cell>
          <cell r="H490" t="str">
            <v>ЭЦН</v>
          </cell>
          <cell r="I490" t="str">
            <v>конс.</v>
          </cell>
          <cell r="K490">
            <v>84</v>
          </cell>
          <cell r="L490">
            <v>2.7</v>
          </cell>
          <cell r="M490">
            <v>96</v>
          </cell>
          <cell r="N490">
            <v>80</v>
          </cell>
          <cell r="O490">
            <v>3</v>
          </cell>
          <cell r="P490">
            <v>95.4</v>
          </cell>
          <cell r="Q490">
            <v>80</v>
          </cell>
          <cell r="R490">
            <v>3</v>
          </cell>
          <cell r="S490">
            <v>95.4</v>
          </cell>
          <cell r="T490">
            <v>37050</v>
          </cell>
          <cell r="U490" t="str">
            <v>ВЦ</v>
          </cell>
          <cell r="W490" t="str">
            <v>ВЦ. ГИС-2</v>
          </cell>
        </row>
        <row r="491">
          <cell r="B491">
            <v>5401</v>
          </cell>
          <cell r="C491">
            <v>103</v>
          </cell>
          <cell r="H491" t="str">
            <v>ШГН</v>
          </cell>
          <cell r="I491" t="str">
            <v>конс.</v>
          </cell>
          <cell r="O491">
            <v>0</v>
          </cell>
          <cell r="Q491">
            <v>0</v>
          </cell>
          <cell r="R491">
            <v>0</v>
          </cell>
          <cell r="S491" t="e">
            <v>#DIV/0!</v>
          </cell>
          <cell r="T491">
            <v>37051</v>
          </cell>
          <cell r="U491" t="str">
            <v>ВЦ</v>
          </cell>
          <cell r="W491" t="str">
            <v>ВЦ. ГИС-2</v>
          </cell>
        </row>
        <row r="492">
          <cell r="B492">
            <v>5428</v>
          </cell>
          <cell r="C492">
            <v>103</v>
          </cell>
          <cell r="H492" t="str">
            <v>ШГН</v>
          </cell>
          <cell r="I492" t="str">
            <v>конс.</v>
          </cell>
          <cell r="O492">
            <v>0</v>
          </cell>
          <cell r="Q492">
            <v>0</v>
          </cell>
          <cell r="R492">
            <v>0</v>
          </cell>
          <cell r="S492" t="e">
            <v>#DIV/0!</v>
          </cell>
          <cell r="T492">
            <v>37052</v>
          </cell>
          <cell r="U492" t="str">
            <v>ОПЗ</v>
          </cell>
          <cell r="W492" t="str">
            <v>ВЦ. ГИС-2. ИДН</v>
          </cell>
        </row>
        <row r="493">
          <cell r="B493" t="str">
            <v>5321б</v>
          </cell>
          <cell r="C493">
            <v>135</v>
          </cell>
          <cell r="H493" t="str">
            <v>ЭЦН</v>
          </cell>
          <cell r="I493" t="str">
            <v>конс.</v>
          </cell>
          <cell r="L493">
            <v>0</v>
          </cell>
          <cell r="N493">
            <v>50</v>
          </cell>
          <cell r="O493">
            <v>4</v>
          </cell>
          <cell r="P493">
            <v>90.1</v>
          </cell>
          <cell r="Q493">
            <v>50</v>
          </cell>
          <cell r="R493">
            <v>4</v>
          </cell>
          <cell r="T493">
            <v>36966</v>
          </cell>
          <cell r="W493" t="str">
            <v>ВЦ. Ревизия ЭЦН</v>
          </cell>
        </row>
        <row r="494">
          <cell r="B494">
            <v>5219</v>
          </cell>
          <cell r="C494">
            <v>135</v>
          </cell>
          <cell r="H494" t="str">
            <v>ЭЦН</v>
          </cell>
          <cell r="I494" t="str">
            <v>конс.</v>
          </cell>
          <cell r="L494">
            <v>0</v>
          </cell>
          <cell r="N494">
            <v>40</v>
          </cell>
          <cell r="O494">
            <v>2.1</v>
          </cell>
          <cell r="P494">
            <v>93.7</v>
          </cell>
          <cell r="Q494">
            <v>40</v>
          </cell>
          <cell r="R494">
            <v>2.1</v>
          </cell>
          <cell r="T494">
            <v>36967</v>
          </cell>
          <cell r="W494" t="str">
            <v>ВЦ. Ревизия ЭЦН</v>
          </cell>
        </row>
        <row r="495">
          <cell r="B495">
            <v>5269</v>
          </cell>
          <cell r="C495">
            <v>135</v>
          </cell>
          <cell r="H495" t="str">
            <v>ЭЦН</v>
          </cell>
          <cell r="I495" t="str">
            <v>конс.</v>
          </cell>
          <cell r="L495">
            <v>0</v>
          </cell>
          <cell r="N495">
            <v>45</v>
          </cell>
          <cell r="O495">
            <v>3</v>
          </cell>
          <cell r="P495">
            <v>91.7</v>
          </cell>
          <cell r="Q495">
            <v>45</v>
          </cell>
          <cell r="R495">
            <v>3</v>
          </cell>
          <cell r="T495">
            <v>36968</v>
          </cell>
          <cell r="W495" t="str">
            <v>ВЦ. Ревизия ЭЦН</v>
          </cell>
        </row>
        <row r="496">
          <cell r="B496">
            <v>5295</v>
          </cell>
          <cell r="C496">
            <v>135</v>
          </cell>
          <cell r="H496" t="str">
            <v>ЭЦН</v>
          </cell>
          <cell r="I496" t="str">
            <v>конс.</v>
          </cell>
          <cell r="L496">
            <v>0</v>
          </cell>
          <cell r="N496">
            <v>50</v>
          </cell>
          <cell r="O496">
            <v>2</v>
          </cell>
          <cell r="P496">
            <v>95.1</v>
          </cell>
          <cell r="Q496">
            <v>50</v>
          </cell>
          <cell r="R496">
            <v>2</v>
          </cell>
          <cell r="T496">
            <v>36969</v>
          </cell>
          <cell r="W496" t="str">
            <v>ВЦ. Ревизия ЭЦН</v>
          </cell>
        </row>
        <row r="497">
          <cell r="B497">
            <v>5318</v>
          </cell>
          <cell r="C497">
            <v>134</v>
          </cell>
          <cell r="H497" t="str">
            <v>нагнет.</v>
          </cell>
          <cell r="I497" t="str">
            <v>бд</v>
          </cell>
          <cell r="N497">
            <v>300</v>
          </cell>
          <cell r="Q497">
            <v>300</v>
          </cell>
          <cell r="W497" t="str">
            <v>Спуск и привязка пакера, Запуск в ППД</v>
          </cell>
        </row>
        <row r="498">
          <cell r="B498">
            <v>2895</v>
          </cell>
          <cell r="C498">
            <v>42</v>
          </cell>
          <cell r="G498">
            <v>285</v>
          </cell>
          <cell r="H498" t="str">
            <v>нагнет.</v>
          </cell>
          <cell r="I498" t="str">
            <v>бд</v>
          </cell>
          <cell r="K498">
            <v>50</v>
          </cell>
          <cell r="N498">
            <v>150</v>
          </cell>
          <cell r="Q498">
            <v>150</v>
          </cell>
          <cell r="T498">
            <v>36958</v>
          </cell>
          <cell r="W498" t="str">
            <v>Интенсификация прием. НТПН</v>
          </cell>
        </row>
        <row r="499">
          <cell r="B499">
            <v>2897</v>
          </cell>
          <cell r="C499">
            <v>42</v>
          </cell>
          <cell r="G499">
            <v>290</v>
          </cell>
          <cell r="H499" t="str">
            <v>нагнет.</v>
          </cell>
          <cell r="I499" t="str">
            <v>действ.</v>
          </cell>
          <cell r="K499">
            <v>100</v>
          </cell>
          <cell r="N499">
            <v>200</v>
          </cell>
          <cell r="Q499">
            <v>200</v>
          </cell>
          <cell r="T499">
            <v>36959</v>
          </cell>
          <cell r="W499" t="str">
            <v>Интенсификация прием. НТПН</v>
          </cell>
        </row>
        <row r="500">
          <cell r="B500">
            <v>2993</v>
          </cell>
          <cell r="C500">
            <v>42</v>
          </cell>
          <cell r="G500">
            <v>310</v>
          </cell>
          <cell r="H500" t="str">
            <v>ШГН</v>
          </cell>
          <cell r="I500" t="str">
            <v>конс.</v>
          </cell>
          <cell r="K500">
            <v>7</v>
          </cell>
          <cell r="L500">
            <v>5.0999999999999996</v>
          </cell>
          <cell r="M500">
            <v>10</v>
          </cell>
          <cell r="N500">
            <v>7</v>
          </cell>
          <cell r="O500">
            <v>4.8</v>
          </cell>
          <cell r="P500">
            <v>15</v>
          </cell>
          <cell r="Q500">
            <v>7</v>
          </cell>
          <cell r="R500">
            <v>4.8</v>
          </cell>
          <cell r="T500">
            <v>36962</v>
          </cell>
          <cell r="W500" t="str">
            <v>ВЦ. ПП и ОПЗ. УГИС. Спуск ШГН</v>
          </cell>
        </row>
        <row r="501">
          <cell r="B501">
            <v>5440</v>
          </cell>
          <cell r="C501">
            <v>108</v>
          </cell>
          <cell r="G501">
            <v>275</v>
          </cell>
          <cell r="H501" t="str">
            <v>ЭЦН</v>
          </cell>
          <cell r="I501" t="str">
            <v>бд</v>
          </cell>
          <cell r="K501">
            <v>21</v>
          </cell>
          <cell r="L501">
            <v>13</v>
          </cell>
          <cell r="M501">
            <v>24</v>
          </cell>
          <cell r="N501">
            <v>20</v>
          </cell>
          <cell r="O501">
            <v>3</v>
          </cell>
          <cell r="P501">
            <v>81.5</v>
          </cell>
          <cell r="Q501">
            <v>20</v>
          </cell>
          <cell r="R501">
            <v>3</v>
          </cell>
          <cell r="T501">
            <v>36963</v>
          </cell>
          <cell r="W501" t="str">
            <v>ВЦ. ГИС-2. ОВП (НТПН). ГИС-2. Спуск ЭЦН</v>
          </cell>
        </row>
        <row r="502">
          <cell r="B502">
            <v>5470</v>
          </cell>
          <cell r="C502">
            <v>108</v>
          </cell>
          <cell r="G502">
            <v>275</v>
          </cell>
          <cell r="H502" t="str">
            <v>ЭЦН</v>
          </cell>
          <cell r="I502" t="str">
            <v>конс.</v>
          </cell>
          <cell r="K502">
            <v>41</v>
          </cell>
          <cell r="L502">
            <v>3.7</v>
          </cell>
          <cell r="M502">
            <v>89</v>
          </cell>
          <cell r="N502">
            <v>20</v>
          </cell>
          <cell r="O502">
            <v>3</v>
          </cell>
          <cell r="P502">
            <v>81.5</v>
          </cell>
          <cell r="Q502">
            <v>20</v>
          </cell>
          <cell r="R502">
            <v>3</v>
          </cell>
          <cell r="T502">
            <v>36964</v>
          </cell>
          <cell r="W502" t="str">
            <v>ВЦ. ГИС-2. ОВП (НТПН). ГИС-2. Спуск ЭЦН</v>
          </cell>
        </row>
        <row r="503">
          <cell r="B503">
            <v>5451</v>
          </cell>
          <cell r="C503">
            <v>101</v>
          </cell>
          <cell r="H503" t="str">
            <v>ШГН</v>
          </cell>
          <cell r="I503" t="str">
            <v>бд</v>
          </cell>
          <cell r="U503" t="str">
            <v>ОПЗ</v>
          </cell>
          <cell r="W503" t="str">
            <v>ВЦ,ДП УГИС. ОПЗ НТПН. ГДИ</v>
          </cell>
        </row>
        <row r="504">
          <cell r="B504">
            <v>5453</v>
          </cell>
          <cell r="C504">
            <v>101</v>
          </cell>
          <cell r="H504" t="str">
            <v>ШГН</v>
          </cell>
          <cell r="U504" t="str">
            <v>ОПЗ</v>
          </cell>
          <cell r="W504" t="str">
            <v>ВЦ,ПП УГИС.  ГДИ</v>
          </cell>
        </row>
        <row r="505">
          <cell r="B505">
            <v>5456</v>
          </cell>
          <cell r="C505">
            <v>102</v>
          </cell>
          <cell r="H505" t="str">
            <v>ШГН</v>
          </cell>
          <cell r="U505" t="str">
            <v>ЛА</v>
          </cell>
          <cell r="W505" t="str">
            <v>Восст.Нз,УГИС ГДИ сп.ЭЦН</v>
          </cell>
        </row>
        <row r="506">
          <cell r="B506">
            <v>5370</v>
          </cell>
          <cell r="C506">
            <v>102</v>
          </cell>
          <cell r="U506" t="str">
            <v>ЛА</v>
          </cell>
          <cell r="W506" t="str">
            <v>Извл.аварийных НКТ</v>
          </cell>
        </row>
        <row r="507">
          <cell r="B507">
            <v>5400</v>
          </cell>
          <cell r="C507">
            <v>103</v>
          </cell>
          <cell r="U507" t="str">
            <v>ЛА</v>
          </cell>
          <cell r="W507" t="str">
            <v>Извл.ЭЦН-80,Восст.Нз ГЖ,ГДИ сп.ЭЦН.</v>
          </cell>
        </row>
        <row r="508">
          <cell r="B508">
            <v>5428</v>
          </cell>
          <cell r="C508">
            <v>103</v>
          </cell>
          <cell r="W508" t="str">
            <v>ВЦ,ВЗ,(извл.НКТ 3")ПП УГИС.  ГДИ</v>
          </cell>
        </row>
        <row r="509">
          <cell r="B509">
            <v>5347</v>
          </cell>
          <cell r="C509">
            <v>103</v>
          </cell>
          <cell r="U509" t="str">
            <v>ЛА</v>
          </cell>
          <cell r="W509" t="str">
            <v>Извл.проволки,восст.Нз ГЖ,ГДИ сп.ЭЦН.</v>
          </cell>
        </row>
        <row r="510">
          <cell r="B510">
            <v>5429</v>
          </cell>
          <cell r="C510">
            <v>103</v>
          </cell>
          <cell r="U510" t="str">
            <v>ЛА</v>
          </cell>
          <cell r="W510" t="str">
            <v>Извл.проволки,ЭЦН-50,Восст.Нз ГЖ,ГДИ сп.ЭЦН.</v>
          </cell>
        </row>
        <row r="511">
          <cell r="B511" t="str">
            <v>5402б</v>
          </cell>
          <cell r="C511">
            <v>103</v>
          </cell>
          <cell r="U511" t="str">
            <v>ВЦ</v>
          </cell>
          <cell r="W511" t="str">
            <v>ВЦ ПРС промывка забоя</v>
          </cell>
        </row>
        <row r="512">
          <cell r="B512">
            <v>4119</v>
          </cell>
          <cell r="C512">
            <v>311</v>
          </cell>
          <cell r="U512" t="str">
            <v>ВЦ</v>
          </cell>
          <cell r="W512" t="str">
            <v>ВЦ ПРС промывка забоя</v>
          </cell>
        </row>
        <row r="513">
          <cell r="B513">
            <v>4120</v>
          </cell>
          <cell r="C513">
            <v>311</v>
          </cell>
          <cell r="U513" t="str">
            <v>ВЦ</v>
          </cell>
          <cell r="W513" t="str">
            <v>ВЦ ПРС промывка забоя</v>
          </cell>
        </row>
        <row r="514">
          <cell r="B514">
            <v>4212</v>
          </cell>
          <cell r="C514">
            <v>311</v>
          </cell>
          <cell r="U514" t="str">
            <v>ВЦ</v>
          </cell>
          <cell r="W514" t="str">
            <v>ВЦ ПРС промывка забоя</v>
          </cell>
        </row>
        <row r="515">
          <cell r="B515">
            <v>2895</v>
          </cell>
          <cell r="C515">
            <v>42</v>
          </cell>
          <cell r="D515">
            <v>0</v>
          </cell>
          <cell r="E515">
            <v>1</v>
          </cell>
          <cell r="G515">
            <v>280</v>
          </cell>
          <cell r="H515" t="str">
            <v>нагнет.</v>
          </cell>
          <cell r="I515" t="str">
            <v>бд</v>
          </cell>
          <cell r="N515">
            <v>150</v>
          </cell>
          <cell r="Q515">
            <v>150</v>
          </cell>
          <cell r="T515">
            <v>26</v>
          </cell>
          <cell r="U515" t="str">
            <v>ОПЗ</v>
          </cell>
          <cell r="W515" t="str">
            <v>ВЗ УГИС,ОПЗ ИХН, ГИС-3 пуск под закачку</v>
          </cell>
        </row>
        <row r="516">
          <cell r="B516">
            <v>2897</v>
          </cell>
          <cell r="C516">
            <v>42</v>
          </cell>
          <cell r="D516">
            <v>0</v>
          </cell>
          <cell r="E516">
            <v>2</v>
          </cell>
          <cell r="G516">
            <v>295</v>
          </cell>
          <cell r="H516" t="str">
            <v>нагнет.</v>
          </cell>
          <cell r="I516" t="str">
            <v>бд</v>
          </cell>
          <cell r="N516">
            <v>150</v>
          </cell>
          <cell r="Q516">
            <v>150</v>
          </cell>
          <cell r="T516">
            <v>38</v>
          </cell>
          <cell r="U516" t="str">
            <v>нг</v>
          </cell>
          <cell r="W516" t="str">
            <v>Ревизия лифта,промывка Нз,ГИС-3</v>
          </cell>
        </row>
        <row r="517">
          <cell r="B517">
            <v>2974</v>
          </cell>
          <cell r="C517">
            <v>46</v>
          </cell>
          <cell r="D517">
            <v>0</v>
          </cell>
          <cell r="E517">
            <v>3</v>
          </cell>
          <cell r="G517">
            <v>280</v>
          </cell>
          <cell r="H517" t="str">
            <v>нагнет.</v>
          </cell>
          <cell r="I517" t="str">
            <v>бд</v>
          </cell>
          <cell r="N517">
            <v>150</v>
          </cell>
          <cell r="Q517">
            <v>150</v>
          </cell>
          <cell r="T517">
            <v>50</v>
          </cell>
          <cell r="U517" t="str">
            <v>нг</v>
          </cell>
          <cell r="W517" t="str">
            <v>Ревизия лифта,промывка Нз</v>
          </cell>
        </row>
        <row r="518">
          <cell r="B518">
            <v>5731</v>
          </cell>
          <cell r="C518">
            <v>125</v>
          </cell>
          <cell r="D518">
            <v>21</v>
          </cell>
          <cell r="E518">
            <v>4</v>
          </cell>
          <cell r="G518">
            <v>245</v>
          </cell>
          <cell r="H518" t="str">
            <v>нагнет.</v>
          </cell>
          <cell r="I518" t="str">
            <v>конс.</v>
          </cell>
          <cell r="N518">
            <v>120</v>
          </cell>
          <cell r="Q518">
            <v>120</v>
          </cell>
          <cell r="T518">
            <v>63</v>
          </cell>
          <cell r="U518" t="str">
            <v>нг</v>
          </cell>
          <cell r="W518" t="str">
            <v>Ревизия лифта,ВЗГИС-3,пуск под закачку</v>
          </cell>
        </row>
        <row r="519">
          <cell r="B519">
            <v>5732</v>
          </cell>
          <cell r="C519">
            <v>125</v>
          </cell>
          <cell r="D519">
            <v>21</v>
          </cell>
          <cell r="E519">
            <v>5</v>
          </cell>
          <cell r="G519">
            <v>245</v>
          </cell>
          <cell r="H519" t="str">
            <v>нагнет.</v>
          </cell>
          <cell r="I519" t="str">
            <v>конс.</v>
          </cell>
          <cell r="Q519">
            <v>0</v>
          </cell>
          <cell r="T519">
            <v>76</v>
          </cell>
          <cell r="U519" t="str">
            <v>нг</v>
          </cell>
          <cell r="W519" t="str">
            <v>Ревизия лифта,ВЗГИС-3,пуск под закачку</v>
          </cell>
        </row>
        <row r="520">
          <cell r="B520">
            <v>5733</v>
          </cell>
          <cell r="C520">
            <v>125</v>
          </cell>
          <cell r="D520">
            <v>21</v>
          </cell>
          <cell r="E520">
            <v>6</v>
          </cell>
          <cell r="G520">
            <v>245</v>
          </cell>
          <cell r="H520" t="str">
            <v>нагнет.</v>
          </cell>
          <cell r="I520" t="str">
            <v>конс.</v>
          </cell>
          <cell r="Q520">
            <v>0</v>
          </cell>
          <cell r="T520">
            <v>89</v>
          </cell>
          <cell r="U520" t="str">
            <v>нг</v>
          </cell>
          <cell r="W520" t="str">
            <v>Ревизия лифта,ВЗГИС-3,пуск под закачку</v>
          </cell>
        </row>
        <row r="521">
          <cell r="B521">
            <v>5371</v>
          </cell>
          <cell r="C521">
            <v>102</v>
          </cell>
          <cell r="D521">
            <v>21</v>
          </cell>
          <cell r="E521">
            <v>7</v>
          </cell>
          <cell r="G521">
            <v>255</v>
          </cell>
          <cell r="H521" t="str">
            <v>нагнет.</v>
          </cell>
          <cell r="I521" t="str">
            <v>бд</v>
          </cell>
          <cell r="N521">
            <v>120</v>
          </cell>
          <cell r="Q521">
            <v>120</v>
          </cell>
          <cell r="R521">
            <v>0</v>
          </cell>
          <cell r="T521">
            <v>107</v>
          </cell>
          <cell r="U521" t="str">
            <v>нг</v>
          </cell>
          <cell r="W521" t="str">
            <v>ОТСК. Запуск ППД</v>
          </cell>
        </row>
        <row r="522">
          <cell r="B522">
            <v>5372</v>
          </cell>
          <cell r="C522">
            <v>102</v>
          </cell>
          <cell r="D522">
            <v>21</v>
          </cell>
          <cell r="E522">
            <v>8</v>
          </cell>
          <cell r="G522">
            <v>250</v>
          </cell>
          <cell r="H522" t="str">
            <v>нагнет.</v>
          </cell>
          <cell r="I522" t="str">
            <v>конс.</v>
          </cell>
          <cell r="N522">
            <v>120</v>
          </cell>
          <cell r="Q522">
            <v>120</v>
          </cell>
          <cell r="R522">
            <v>0</v>
          </cell>
          <cell r="T522">
            <v>134</v>
          </cell>
          <cell r="U522" t="str">
            <v>нг</v>
          </cell>
          <cell r="W522" t="str">
            <v>ЛА (извлечение НКТ). ОТСК. Запуск ППД</v>
          </cell>
        </row>
        <row r="523">
          <cell r="B523">
            <v>5456</v>
          </cell>
          <cell r="C523">
            <v>102</v>
          </cell>
          <cell r="D523">
            <v>21</v>
          </cell>
          <cell r="E523">
            <v>9</v>
          </cell>
          <cell r="G523">
            <v>235</v>
          </cell>
          <cell r="H523" t="str">
            <v>ШГН</v>
          </cell>
          <cell r="I523" t="str">
            <v>бд</v>
          </cell>
          <cell r="N523">
            <v>50</v>
          </cell>
          <cell r="O523">
            <v>3.3</v>
          </cell>
          <cell r="P523">
            <v>92</v>
          </cell>
          <cell r="Q523">
            <v>50</v>
          </cell>
          <cell r="R523">
            <v>3.3</v>
          </cell>
          <cell r="S523">
            <v>91.9</v>
          </cell>
          <cell r="T523">
            <v>161</v>
          </cell>
          <cell r="U523" t="str">
            <v>ЛА</v>
          </cell>
          <cell r="W523" t="str">
            <v>Восст.Нз,УГИС ГДИ сп.ЭЦН</v>
          </cell>
        </row>
        <row r="524">
          <cell r="B524">
            <v>5370</v>
          </cell>
          <cell r="C524">
            <v>102</v>
          </cell>
          <cell r="D524">
            <v>21</v>
          </cell>
          <cell r="E524">
            <v>10</v>
          </cell>
          <cell r="G524">
            <v>255</v>
          </cell>
          <cell r="H524" t="str">
            <v>ШГН</v>
          </cell>
          <cell r="I524" t="str">
            <v>бд</v>
          </cell>
          <cell r="N524">
            <v>50</v>
          </cell>
          <cell r="O524">
            <v>4.0999999999999996</v>
          </cell>
          <cell r="P524">
            <v>90</v>
          </cell>
          <cell r="Q524">
            <v>50</v>
          </cell>
          <cell r="R524">
            <v>4.0999999999999996</v>
          </cell>
          <cell r="S524">
            <v>89.9</v>
          </cell>
          <cell r="T524">
            <v>198</v>
          </cell>
          <cell r="U524" t="str">
            <v>ЛА</v>
          </cell>
          <cell r="W524" t="str">
            <v>Извл.аварийных НКТ</v>
          </cell>
        </row>
        <row r="525">
          <cell r="B525">
            <v>5318</v>
          </cell>
          <cell r="C525">
            <v>134</v>
          </cell>
          <cell r="D525">
            <v>21</v>
          </cell>
          <cell r="E525">
            <v>11</v>
          </cell>
          <cell r="G525">
            <v>260</v>
          </cell>
          <cell r="H525" t="str">
            <v>нагнет.</v>
          </cell>
          <cell r="I525" t="str">
            <v>бд</v>
          </cell>
          <cell r="N525">
            <v>150</v>
          </cell>
          <cell r="Q525">
            <v>150</v>
          </cell>
          <cell r="U525" t="str">
            <v>нг</v>
          </cell>
          <cell r="W525" t="str">
            <v>Спуск пакера ,пуск под закачку.</v>
          </cell>
        </row>
        <row r="526">
          <cell r="B526">
            <v>2649</v>
          </cell>
          <cell r="C526" t="str">
            <v>157б</v>
          </cell>
          <cell r="D526">
            <v>21</v>
          </cell>
          <cell r="E526">
            <v>11</v>
          </cell>
          <cell r="G526">
            <v>235</v>
          </cell>
          <cell r="H526" t="str">
            <v>ШГН</v>
          </cell>
          <cell r="I526" t="str">
            <v>действ.</v>
          </cell>
          <cell r="K526">
            <v>3</v>
          </cell>
          <cell r="L526">
            <v>2.2999999999999998</v>
          </cell>
          <cell r="M526">
            <v>5</v>
          </cell>
          <cell r="N526">
            <v>10</v>
          </cell>
          <cell r="O526">
            <v>7.3</v>
          </cell>
          <cell r="P526">
            <v>10</v>
          </cell>
          <cell r="Q526">
            <v>7</v>
          </cell>
          <cell r="R526">
            <v>5</v>
          </cell>
          <cell r="S526">
            <v>11.8</v>
          </cell>
          <cell r="T526">
            <v>21</v>
          </cell>
          <cell r="U526" t="str">
            <v>ОПЗ</v>
          </cell>
          <cell r="W526" t="str">
            <v>УГИС. ОПЗ НТПН. ГДИ</v>
          </cell>
        </row>
        <row r="527">
          <cell r="B527">
            <v>2713</v>
          </cell>
          <cell r="C527">
            <v>163</v>
          </cell>
          <cell r="D527">
            <v>21</v>
          </cell>
          <cell r="E527">
            <v>12</v>
          </cell>
          <cell r="G527">
            <v>270</v>
          </cell>
          <cell r="H527" t="str">
            <v>ШГН</v>
          </cell>
          <cell r="I527" t="str">
            <v>действ.</v>
          </cell>
          <cell r="K527">
            <v>3</v>
          </cell>
          <cell r="L527">
            <v>2.4</v>
          </cell>
          <cell r="M527">
            <v>2</v>
          </cell>
          <cell r="N527">
            <v>6</v>
          </cell>
          <cell r="O527">
            <v>4.4000000000000004</v>
          </cell>
          <cell r="P527">
            <v>10</v>
          </cell>
          <cell r="Q527">
            <v>3</v>
          </cell>
          <cell r="R527">
            <v>2.0000000000000004</v>
          </cell>
          <cell r="S527">
            <v>17.7</v>
          </cell>
          <cell r="T527">
            <v>35</v>
          </cell>
          <cell r="U527" t="str">
            <v>ОПЗ</v>
          </cell>
          <cell r="W527" t="str">
            <v>УГИС. ОПЗ НТПН. ГДИ</v>
          </cell>
        </row>
        <row r="528">
          <cell r="B528">
            <v>2768</v>
          </cell>
          <cell r="C528">
            <v>164</v>
          </cell>
          <cell r="D528">
            <v>21</v>
          </cell>
          <cell r="E528">
            <v>13</v>
          </cell>
          <cell r="G528">
            <v>275</v>
          </cell>
          <cell r="H528" t="str">
            <v>ШГН</v>
          </cell>
          <cell r="I528" t="str">
            <v>действ.</v>
          </cell>
          <cell r="K528">
            <v>5</v>
          </cell>
          <cell r="L528">
            <v>2.4</v>
          </cell>
          <cell r="M528">
            <v>42</v>
          </cell>
          <cell r="N528">
            <v>10</v>
          </cell>
          <cell r="O528">
            <v>4.4000000000000004</v>
          </cell>
          <cell r="P528">
            <v>46.5</v>
          </cell>
          <cell r="Q528">
            <v>5</v>
          </cell>
          <cell r="R528">
            <v>2.0000000000000004</v>
          </cell>
          <cell r="S528">
            <v>50.6</v>
          </cell>
          <cell r="T528">
            <v>44</v>
          </cell>
          <cell r="U528" t="str">
            <v>ОПЗ</v>
          </cell>
          <cell r="W528" t="str">
            <v>УГИС. ОПЗ НТПН. ГДИ</v>
          </cell>
        </row>
        <row r="529">
          <cell r="B529">
            <v>3004</v>
          </cell>
          <cell r="C529">
            <v>50</v>
          </cell>
          <cell r="D529">
            <v>21</v>
          </cell>
          <cell r="E529">
            <v>14</v>
          </cell>
          <cell r="G529">
            <v>265</v>
          </cell>
          <cell r="H529" t="str">
            <v>ШГН</v>
          </cell>
          <cell r="I529" t="str">
            <v>действ.</v>
          </cell>
          <cell r="K529">
            <v>3</v>
          </cell>
          <cell r="L529">
            <v>2</v>
          </cell>
          <cell r="M529">
            <v>20</v>
          </cell>
          <cell r="N529">
            <v>7</v>
          </cell>
          <cell r="O529">
            <v>4.4000000000000004</v>
          </cell>
          <cell r="P529">
            <v>22</v>
          </cell>
          <cell r="Q529">
            <v>4</v>
          </cell>
          <cell r="R529">
            <v>2.4000000000000004</v>
          </cell>
          <cell r="S529">
            <v>25.9</v>
          </cell>
          <cell r="T529">
            <v>59</v>
          </cell>
          <cell r="U529" t="str">
            <v>ОПЗ</v>
          </cell>
          <cell r="W529" t="str">
            <v>УГИС. ОПЗ НТПН. ГДИ</v>
          </cell>
        </row>
        <row r="530">
          <cell r="B530">
            <v>3014</v>
          </cell>
          <cell r="C530">
            <v>48</v>
          </cell>
          <cell r="D530">
            <v>21</v>
          </cell>
          <cell r="E530">
            <v>15</v>
          </cell>
          <cell r="G530">
            <v>260</v>
          </cell>
          <cell r="H530" t="str">
            <v>ШГН</v>
          </cell>
          <cell r="I530" t="str">
            <v>действ.</v>
          </cell>
          <cell r="K530">
            <v>3</v>
          </cell>
          <cell r="L530">
            <v>1.7</v>
          </cell>
          <cell r="M530">
            <v>32</v>
          </cell>
          <cell r="N530">
            <v>7</v>
          </cell>
          <cell r="O530">
            <v>3.7</v>
          </cell>
          <cell r="P530">
            <v>35</v>
          </cell>
          <cell r="Q530">
            <v>4</v>
          </cell>
          <cell r="R530">
            <v>2</v>
          </cell>
          <cell r="S530">
            <v>38.299999999999997</v>
          </cell>
          <cell r="T530">
            <v>74</v>
          </cell>
          <cell r="U530" t="str">
            <v>ОПЗ</v>
          </cell>
          <cell r="W530" t="str">
            <v>УГИС. ОПЗ НТПН. ГДИ</v>
          </cell>
        </row>
        <row r="531">
          <cell r="B531">
            <v>11047</v>
          </cell>
          <cell r="C531" t="str">
            <v>302б</v>
          </cell>
          <cell r="D531">
            <v>40</v>
          </cell>
          <cell r="E531">
            <v>402</v>
          </cell>
          <cell r="G531">
            <v>235</v>
          </cell>
          <cell r="H531" t="str">
            <v>ШГН</v>
          </cell>
          <cell r="I531" t="str">
            <v>действ.</v>
          </cell>
          <cell r="K531">
            <v>1</v>
          </cell>
          <cell r="L531">
            <v>0.7</v>
          </cell>
          <cell r="M531">
            <v>8</v>
          </cell>
          <cell r="N531">
            <v>6</v>
          </cell>
          <cell r="O531">
            <v>4.2</v>
          </cell>
          <cell r="P531">
            <v>14</v>
          </cell>
          <cell r="Q531">
            <v>5</v>
          </cell>
          <cell r="R531">
            <v>3.5</v>
          </cell>
          <cell r="S531">
            <v>13.6</v>
          </cell>
          <cell r="T531">
            <v>37140</v>
          </cell>
          <cell r="U531" t="str">
            <v>ОПЗ</v>
          </cell>
          <cell r="W531" t="str">
            <v>УГИС. ОПЗ НТПН. ГДИ</v>
          </cell>
        </row>
        <row r="532">
          <cell r="B532">
            <v>11040</v>
          </cell>
          <cell r="C532" t="str">
            <v>302б</v>
          </cell>
          <cell r="D532">
            <v>40</v>
          </cell>
          <cell r="E532">
            <v>403</v>
          </cell>
          <cell r="G532">
            <v>250</v>
          </cell>
          <cell r="H532" t="str">
            <v>ШГН</v>
          </cell>
          <cell r="I532" t="str">
            <v>действ.</v>
          </cell>
          <cell r="K532">
            <v>2</v>
          </cell>
          <cell r="L532">
            <v>1.5</v>
          </cell>
          <cell r="M532">
            <v>7</v>
          </cell>
          <cell r="N532">
            <v>6</v>
          </cell>
          <cell r="O532">
            <v>4.5</v>
          </cell>
          <cell r="P532">
            <v>8</v>
          </cell>
          <cell r="Q532">
            <v>4</v>
          </cell>
          <cell r="R532">
            <v>3</v>
          </cell>
          <cell r="S532">
            <v>7.4</v>
          </cell>
          <cell r="T532">
            <v>37155</v>
          </cell>
          <cell r="U532" t="str">
            <v>ОПЗ</v>
          </cell>
          <cell r="W532" t="str">
            <v>УГИС. ОПЗ НТПН. ГДИ</v>
          </cell>
        </row>
        <row r="533">
          <cell r="B533">
            <v>11043</v>
          </cell>
          <cell r="C533" t="str">
            <v>302б</v>
          </cell>
          <cell r="D533">
            <v>40</v>
          </cell>
          <cell r="E533">
            <v>404</v>
          </cell>
          <cell r="G533">
            <v>230</v>
          </cell>
          <cell r="H533" t="str">
            <v>ШГН</v>
          </cell>
          <cell r="I533" t="str">
            <v>действ.</v>
          </cell>
          <cell r="K533">
            <v>3</v>
          </cell>
          <cell r="L533">
            <v>2</v>
          </cell>
          <cell r="M533">
            <v>19</v>
          </cell>
          <cell r="N533">
            <v>7</v>
          </cell>
          <cell r="O533">
            <v>4.5</v>
          </cell>
          <cell r="P533">
            <v>21</v>
          </cell>
          <cell r="Q533">
            <v>4</v>
          </cell>
          <cell r="R533">
            <v>2.5</v>
          </cell>
          <cell r="S533">
            <v>22.8</v>
          </cell>
          <cell r="T533">
            <v>37170</v>
          </cell>
          <cell r="U533" t="str">
            <v>ОПЗ</v>
          </cell>
          <cell r="W533" t="str">
            <v>УГИС. ОПЗ НТПН. ГДИ</v>
          </cell>
        </row>
        <row r="534">
          <cell r="B534">
            <v>4974</v>
          </cell>
          <cell r="C534" t="str">
            <v>205б</v>
          </cell>
          <cell r="D534">
            <v>40</v>
          </cell>
          <cell r="E534">
            <v>401</v>
          </cell>
          <cell r="G534">
            <v>220</v>
          </cell>
          <cell r="H534" t="str">
            <v>ШГН</v>
          </cell>
          <cell r="I534" t="str">
            <v>бд</v>
          </cell>
          <cell r="K534">
            <v>6</v>
          </cell>
          <cell r="L534">
            <v>4.5999999999999996</v>
          </cell>
          <cell r="M534">
            <v>6</v>
          </cell>
          <cell r="N534">
            <v>15</v>
          </cell>
          <cell r="O534">
            <v>10</v>
          </cell>
          <cell r="P534">
            <v>18</v>
          </cell>
          <cell r="Q534">
            <v>15</v>
          </cell>
          <cell r="R534">
            <v>10</v>
          </cell>
          <cell r="S534">
            <v>17.7</v>
          </cell>
          <cell r="T534">
            <v>37196</v>
          </cell>
          <cell r="U534" t="str">
            <v>ГРП</v>
          </cell>
          <cell r="W534" t="str">
            <v>ГРП (ОПЗ КСПЭО.) Спуск ЭЦН-30</v>
          </cell>
        </row>
        <row r="535">
          <cell r="B535">
            <v>5373</v>
          </cell>
          <cell r="C535">
            <v>103</v>
          </cell>
          <cell r="D535">
            <v>50</v>
          </cell>
          <cell r="E535">
            <v>501</v>
          </cell>
          <cell r="G535">
            <v>223.1</v>
          </cell>
          <cell r="H535" t="str">
            <v>нагнет.</v>
          </cell>
          <cell r="I535" t="str">
            <v>конс.</v>
          </cell>
          <cell r="N535">
            <v>120</v>
          </cell>
          <cell r="Q535">
            <v>120</v>
          </cell>
          <cell r="R535">
            <v>0</v>
          </cell>
          <cell r="T535">
            <v>37157</v>
          </cell>
          <cell r="U535" t="str">
            <v>нг</v>
          </cell>
          <cell r="W535" t="str">
            <v>ОТСК. ГИС-3. Ликвидация ЗКЦ?</v>
          </cell>
        </row>
        <row r="536">
          <cell r="B536">
            <v>5374</v>
          </cell>
          <cell r="C536">
            <v>103</v>
          </cell>
          <cell r="D536">
            <v>50</v>
          </cell>
          <cell r="E536">
            <v>502</v>
          </cell>
          <cell r="G536">
            <v>224.5</v>
          </cell>
          <cell r="H536" t="str">
            <v>нагнет.</v>
          </cell>
          <cell r="I536" t="str">
            <v>бд</v>
          </cell>
          <cell r="N536">
            <v>120</v>
          </cell>
          <cell r="Q536">
            <v>120</v>
          </cell>
          <cell r="R536">
            <v>0</v>
          </cell>
          <cell r="T536">
            <v>37193</v>
          </cell>
          <cell r="U536" t="str">
            <v>нг</v>
          </cell>
          <cell r="W536" t="str">
            <v>ВЗ. ОТСК</v>
          </cell>
        </row>
        <row r="537">
          <cell r="B537">
            <v>5400</v>
          </cell>
          <cell r="C537">
            <v>103</v>
          </cell>
          <cell r="D537">
            <v>50</v>
          </cell>
          <cell r="E537">
            <v>502</v>
          </cell>
          <cell r="G537">
            <v>240</v>
          </cell>
          <cell r="H537" t="str">
            <v>ЭЦН</v>
          </cell>
          <cell r="I537" t="str">
            <v>бд</v>
          </cell>
          <cell r="N537">
            <v>100</v>
          </cell>
          <cell r="O537">
            <v>1.6</v>
          </cell>
          <cell r="P537">
            <v>98</v>
          </cell>
          <cell r="Q537">
            <v>100</v>
          </cell>
          <cell r="R537">
            <v>1.6</v>
          </cell>
          <cell r="S537">
            <v>98</v>
          </cell>
          <cell r="T537">
            <v>37228</v>
          </cell>
          <cell r="U537" t="str">
            <v>ЛА</v>
          </cell>
          <cell r="W537" t="str">
            <v>Извл.ЭЦН-80,Восст.Нз ГЖ,ГДИ сп.ЭЦН.</v>
          </cell>
        </row>
        <row r="538">
          <cell r="B538" t="str">
            <v>5402б</v>
          </cell>
          <cell r="C538">
            <v>103</v>
          </cell>
          <cell r="D538">
            <v>50</v>
          </cell>
          <cell r="E538">
            <v>502</v>
          </cell>
          <cell r="G538">
            <v>255</v>
          </cell>
          <cell r="H538" t="str">
            <v>ЭЦН</v>
          </cell>
          <cell r="I538" t="str">
            <v>бд</v>
          </cell>
          <cell r="N538">
            <v>50</v>
          </cell>
          <cell r="O538">
            <v>4.0999999999999996</v>
          </cell>
          <cell r="P538">
            <v>90</v>
          </cell>
          <cell r="Q538">
            <v>50</v>
          </cell>
          <cell r="R538">
            <v>4.0999999999999996</v>
          </cell>
          <cell r="S538">
            <v>89.9</v>
          </cell>
          <cell r="W538" t="str">
            <v>ВЦ,ВЗ УГИС ,ГДИ</v>
          </cell>
        </row>
        <row r="539">
          <cell r="B539">
            <v>5428</v>
          </cell>
          <cell r="C539">
            <v>103</v>
          </cell>
          <cell r="D539">
            <v>50</v>
          </cell>
          <cell r="E539">
            <v>502</v>
          </cell>
          <cell r="G539">
            <v>235</v>
          </cell>
          <cell r="H539" t="str">
            <v>ЭЦН</v>
          </cell>
          <cell r="I539" t="str">
            <v>бд</v>
          </cell>
          <cell r="N539">
            <v>80</v>
          </cell>
          <cell r="O539">
            <v>3.3</v>
          </cell>
          <cell r="P539">
            <v>95</v>
          </cell>
          <cell r="Q539">
            <v>80</v>
          </cell>
          <cell r="R539">
            <v>3.3</v>
          </cell>
          <cell r="S539">
            <v>94.9</v>
          </cell>
          <cell r="W539" t="str">
            <v>ВЦ,ВЗ,(извл.НКТ 3")ПП УГИС.  ГДИ</v>
          </cell>
        </row>
        <row r="540">
          <cell r="B540">
            <v>5347</v>
          </cell>
          <cell r="C540">
            <v>103</v>
          </cell>
          <cell r="D540">
            <v>50</v>
          </cell>
          <cell r="E540">
            <v>502</v>
          </cell>
          <cell r="G540">
            <v>270</v>
          </cell>
          <cell r="H540" t="str">
            <v>ЭЦН</v>
          </cell>
          <cell r="I540" t="str">
            <v>бд</v>
          </cell>
          <cell r="N540">
            <v>80</v>
          </cell>
          <cell r="O540">
            <v>3.3</v>
          </cell>
          <cell r="P540">
            <v>95</v>
          </cell>
          <cell r="Q540">
            <v>80</v>
          </cell>
          <cell r="R540">
            <v>3.3</v>
          </cell>
          <cell r="S540">
            <v>94.9</v>
          </cell>
          <cell r="U540" t="str">
            <v>ЛА</v>
          </cell>
          <cell r="W540" t="str">
            <v>Извл.проволки,восст.Нз ГЖ,ГДИ сп.ЭЦН.</v>
          </cell>
        </row>
        <row r="541">
          <cell r="B541">
            <v>5838</v>
          </cell>
          <cell r="C541" t="str">
            <v>168б</v>
          </cell>
          <cell r="H541" t="str">
            <v>фон</v>
          </cell>
          <cell r="U541" t="str">
            <v>ОПЗ</v>
          </cell>
          <cell r="W541" t="str">
            <v>ЛА ПП,УГИС,ОПЗ ИХН ГДИ (ГРП)</v>
          </cell>
        </row>
        <row r="542">
          <cell r="B542" t="str">
            <v>5845б</v>
          </cell>
          <cell r="C542" t="str">
            <v>168б</v>
          </cell>
          <cell r="H542" t="str">
            <v>фон</v>
          </cell>
          <cell r="U542" t="str">
            <v>ОПЗ</v>
          </cell>
          <cell r="W542" t="str">
            <v>УГИС,ОПЗ НТПН, ГДИ</v>
          </cell>
        </row>
        <row r="543">
          <cell r="B543">
            <v>5849</v>
          </cell>
          <cell r="C543" t="str">
            <v>168б</v>
          </cell>
          <cell r="H543" t="str">
            <v>фон</v>
          </cell>
          <cell r="U543" t="str">
            <v>ОПЗ</v>
          </cell>
          <cell r="W543" t="str">
            <v>ВЦ,(ПП) УГИС ОПЗ ИХН,ГДИ</v>
          </cell>
        </row>
        <row r="544">
          <cell r="B544">
            <v>4120</v>
          </cell>
          <cell r="C544">
            <v>311</v>
          </cell>
          <cell r="H544" t="str">
            <v>эцн</v>
          </cell>
          <cell r="U544" t="str">
            <v>ЛА</v>
          </cell>
          <cell r="W544" t="str">
            <v>ВЦ.ВЗ.УГИС ГДИ</v>
          </cell>
        </row>
        <row r="545">
          <cell r="B545">
            <v>4119</v>
          </cell>
          <cell r="C545">
            <v>311</v>
          </cell>
          <cell r="H545" t="str">
            <v>эцн</v>
          </cell>
          <cell r="U545" t="str">
            <v>ЛА</v>
          </cell>
          <cell r="W545" t="str">
            <v>ВЦ.ВЗ.УГИС ГДИ</v>
          </cell>
        </row>
        <row r="546">
          <cell r="B546">
            <v>5589</v>
          </cell>
          <cell r="C546">
            <v>118</v>
          </cell>
          <cell r="H546" t="str">
            <v>эцн</v>
          </cell>
          <cell r="U546" t="str">
            <v>ЛА</v>
          </cell>
          <cell r="W546" t="str">
            <v>ВЦ?.ВЗ.УГИС ГДИ</v>
          </cell>
        </row>
        <row r="547">
          <cell r="B547">
            <v>5591</v>
          </cell>
          <cell r="C547">
            <v>118</v>
          </cell>
          <cell r="H547" t="str">
            <v>шгн</v>
          </cell>
          <cell r="U547" t="str">
            <v>ЛА</v>
          </cell>
          <cell r="W547" t="str">
            <v>ВЦ.ВЗ.УГИС ГДИ</v>
          </cell>
        </row>
        <row r="548">
          <cell r="B548">
            <v>5388</v>
          </cell>
          <cell r="C548">
            <v>107</v>
          </cell>
          <cell r="H548" t="str">
            <v>нагнет.</v>
          </cell>
          <cell r="U548" t="str">
            <v>нг</v>
          </cell>
          <cell r="W548" t="str">
            <v>Изоляция ЮК-11,ОПЗ ЮК-10 пуск под зак.</v>
          </cell>
        </row>
        <row r="549">
          <cell r="B549">
            <v>5386</v>
          </cell>
          <cell r="C549">
            <v>107</v>
          </cell>
          <cell r="H549" t="str">
            <v>нагнет.</v>
          </cell>
          <cell r="U549" t="str">
            <v>нг</v>
          </cell>
          <cell r="W549" t="str">
            <v>Изоляция ЮК-11,ОПЗ ЮК-10 пуск под зак.</v>
          </cell>
        </row>
        <row r="550">
          <cell r="B550">
            <v>5384</v>
          </cell>
          <cell r="C550">
            <v>107</v>
          </cell>
          <cell r="H550" t="str">
            <v>нагнет.</v>
          </cell>
          <cell r="U550" t="str">
            <v>нг</v>
          </cell>
          <cell r="W550" t="str">
            <v>УГИС, ГИС-3 пуск под закачку</v>
          </cell>
        </row>
        <row r="551">
          <cell r="B551">
            <v>3282</v>
          </cell>
          <cell r="C551" t="str">
            <v>70б</v>
          </cell>
          <cell r="D551">
            <v>10</v>
          </cell>
          <cell r="E551">
            <v>106</v>
          </cell>
          <cell r="G551">
            <v>275</v>
          </cell>
          <cell r="H551" t="str">
            <v>нагнет.</v>
          </cell>
          <cell r="I551" t="str">
            <v>конс.</v>
          </cell>
          <cell r="N551">
            <v>250</v>
          </cell>
          <cell r="Q551">
            <v>250</v>
          </cell>
          <cell r="R551">
            <v>0</v>
          </cell>
          <cell r="T551">
            <v>37185</v>
          </cell>
          <cell r="U551" t="str">
            <v>нг</v>
          </cell>
          <cell r="W551" t="str">
            <v>Спуск и привязка пакера, опред. прием.ЮК11</v>
          </cell>
        </row>
        <row r="552">
          <cell r="B552">
            <v>3301</v>
          </cell>
          <cell r="C552" t="str">
            <v>70б</v>
          </cell>
          <cell r="D552">
            <v>10</v>
          </cell>
          <cell r="E552">
            <v>107</v>
          </cell>
          <cell r="G552">
            <v>290</v>
          </cell>
          <cell r="H552" t="str">
            <v>нагнет.</v>
          </cell>
          <cell r="I552" t="str">
            <v>действ.</v>
          </cell>
          <cell r="K552">
            <v>580</v>
          </cell>
          <cell r="N552">
            <v>350</v>
          </cell>
          <cell r="Q552">
            <v>350</v>
          </cell>
          <cell r="R552">
            <v>0</v>
          </cell>
          <cell r="T552">
            <v>37197</v>
          </cell>
          <cell r="U552" t="str">
            <v>нг</v>
          </cell>
          <cell r="W552" t="str">
            <v>Ревизия и привязка пакера</v>
          </cell>
        </row>
        <row r="553">
          <cell r="B553">
            <v>2613</v>
          </cell>
          <cell r="C553">
            <v>157</v>
          </cell>
          <cell r="D553">
            <v>10</v>
          </cell>
          <cell r="E553">
            <v>108</v>
          </cell>
          <cell r="G553">
            <v>240</v>
          </cell>
          <cell r="H553" t="str">
            <v>ШГН</v>
          </cell>
          <cell r="I553" t="str">
            <v>бд</v>
          </cell>
          <cell r="J553">
            <v>34180</v>
          </cell>
          <cell r="N553">
            <v>24</v>
          </cell>
          <cell r="O553">
            <v>14</v>
          </cell>
          <cell r="P553">
            <v>28.5</v>
          </cell>
          <cell r="Q553">
            <v>24</v>
          </cell>
          <cell r="R553">
            <v>14</v>
          </cell>
          <cell r="S553">
            <v>28</v>
          </cell>
          <cell r="T553">
            <v>37202</v>
          </cell>
          <cell r="U553" t="str">
            <v>ГРП</v>
          </cell>
          <cell r="W553" t="str">
            <v>ЛА (НКТ). СО-каротаж. Дострел п."б".ГРП</v>
          </cell>
        </row>
        <row r="554">
          <cell r="B554">
            <v>2595</v>
          </cell>
          <cell r="C554">
            <v>157</v>
          </cell>
          <cell r="D554">
            <v>10</v>
          </cell>
          <cell r="E554">
            <v>109</v>
          </cell>
          <cell r="G554">
            <v>240</v>
          </cell>
          <cell r="H554" t="str">
            <v>Ф/ШГН</v>
          </cell>
          <cell r="N554">
            <v>12</v>
          </cell>
          <cell r="O554">
            <v>4.5</v>
          </cell>
          <cell r="P554">
            <v>54</v>
          </cell>
          <cell r="Q554">
            <v>12</v>
          </cell>
          <cell r="R554">
            <v>4.5</v>
          </cell>
          <cell r="S554">
            <v>53.7</v>
          </cell>
          <cell r="T554">
            <v>37203</v>
          </cell>
          <cell r="U554" t="str">
            <v>ОПЗ</v>
          </cell>
          <cell r="W554" t="str">
            <v>ЛА (НКТ). ОПЗ (НТПН)</v>
          </cell>
        </row>
        <row r="555">
          <cell r="B555">
            <v>2533</v>
          </cell>
          <cell r="C555">
            <v>150</v>
          </cell>
          <cell r="D555">
            <v>17</v>
          </cell>
          <cell r="H555" t="str">
            <v>ШГН</v>
          </cell>
          <cell r="I555" t="str">
            <v>действ.</v>
          </cell>
          <cell r="K555">
            <v>11</v>
          </cell>
          <cell r="L555">
            <v>5.2</v>
          </cell>
          <cell r="M555">
            <v>42</v>
          </cell>
          <cell r="N555">
            <v>40</v>
          </cell>
          <cell r="O555">
            <v>13</v>
          </cell>
          <cell r="P555">
            <v>60</v>
          </cell>
          <cell r="Q555">
            <v>29</v>
          </cell>
          <cell r="R555">
            <v>7.8</v>
          </cell>
          <cell r="S555">
            <v>66.8</v>
          </cell>
          <cell r="T555">
            <v>37270</v>
          </cell>
          <cell r="U555" t="str">
            <v>ГРП</v>
          </cell>
          <cell r="W555" t="str">
            <v>ИР ЮК-11. ПП ЮК-10. ГРП</v>
          </cell>
        </row>
        <row r="556">
          <cell r="B556">
            <v>2595</v>
          </cell>
          <cell r="C556">
            <v>157</v>
          </cell>
          <cell r="D556">
            <v>17</v>
          </cell>
          <cell r="H556" t="str">
            <v>ШГН</v>
          </cell>
          <cell r="I556" t="str">
            <v>бд</v>
          </cell>
          <cell r="J556">
            <v>33710</v>
          </cell>
          <cell r="N556">
            <v>20</v>
          </cell>
          <cell r="O556">
            <v>13</v>
          </cell>
          <cell r="P556">
            <v>20</v>
          </cell>
          <cell r="Q556">
            <v>20</v>
          </cell>
          <cell r="R556">
            <v>13</v>
          </cell>
          <cell r="S556">
            <v>19.8</v>
          </cell>
          <cell r="U556" t="str">
            <v>ГРП</v>
          </cell>
          <cell r="W556" t="str">
            <v>ЛА, ГИС(ЗКЦ), ликв.ЗКЦ, ГРП</v>
          </cell>
        </row>
        <row r="557">
          <cell r="B557">
            <v>2613</v>
          </cell>
          <cell r="C557">
            <v>157</v>
          </cell>
          <cell r="D557">
            <v>17</v>
          </cell>
          <cell r="H557" t="str">
            <v>ШГН</v>
          </cell>
          <cell r="I557" t="str">
            <v>бд</v>
          </cell>
          <cell r="J557">
            <v>34180</v>
          </cell>
          <cell r="N557">
            <v>20</v>
          </cell>
          <cell r="O557">
            <v>10</v>
          </cell>
          <cell r="P557">
            <v>38.5</v>
          </cell>
          <cell r="Q557">
            <v>20</v>
          </cell>
          <cell r="R557">
            <v>10</v>
          </cell>
          <cell r="S557">
            <v>38.299999999999997</v>
          </cell>
          <cell r="U557" t="str">
            <v>ГРП</v>
          </cell>
          <cell r="W557" t="str">
            <v>ЛА(ВЗ), ГРП</v>
          </cell>
        </row>
        <row r="558">
          <cell r="B558">
            <v>2716</v>
          </cell>
          <cell r="C558">
            <v>165</v>
          </cell>
          <cell r="D558">
            <v>17</v>
          </cell>
          <cell r="H558" t="str">
            <v>ШГН</v>
          </cell>
          <cell r="I558" t="str">
            <v>действ.</v>
          </cell>
          <cell r="K558">
            <v>2</v>
          </cell>
          <cell r="L558">
            <v>0.1</v>
          </cell>
          <cell r="M558">
            <v>96</v>
          </cell>
          <cell r="N558">
            <v>20</v>
          </cell>
          <cell r="O558">
            <v>10.1</v>
          </cell>
          <cell r="P558">
            <v>38</v>
          </cell>
          <cell r="Q558">
            <v>18</v>
          </cell>
          <cell r="R558">
            <v>10</v>
          </cell>
          <cell r="S558">
            <v>31.4</v>
          </cell>
          <cell r="U558" t="str">
            <v>ГРП</v>
          </cell>
          <cell r="W558" t="str">
            <v>ГИС(ЗКЦ), ИР низ ЮК-10, ГРП  пачки А3</v>
          </cell>
        </row>
        <row r="559">
          <cell r="B559">
            <v>5850</v>
          </cell>
          <cell r="C559">
            <v>169</v>
          </cell>
          <cell r="D559">
            <v>17</v>
          </cell>
          <cell r="H559" t="str">
            <v>ФОН</v>
          </cell>
          <cell r="I559" t="str">
            <v>конс.</v>
          </cell>
          <cell r="J559">
            <v>34151</v>
          </cell>
          <cell r="N559">
            <v>50</v>
          </cell>
          <cell r="O559">
            <v>4</v>
          </cell>
          <cell r="P559">
            <v>90.1</v>
          </cell>
          <cell r="Q559">
            <v>50</v>
          </cell>
          <cell r="R559">
            <v>4</v>
          </cell>
          <cell r="S559">
            <v>90.1</v>
          </cell>
          <cell r="U559" t="str">
            <v>ОПЗ</v>
          </cell>
          <cell r="W559" t="str">
            <v>ВЦ, УГИС, ПП через УГИС в кислотной среде</v>
          </cell>
        </row>
        <row r="567">
          <cell r="W567" t="str">
            <v>Резерв</v>
          </cell>
        </row>
        <row r="568">
          <cell r="B568">
            <v>2631</v>
          </cell>
          <cell r="C568" t="str">
            <v>157б</v>
          </cell>
          <cell r="R568">
            <v>10</v>
          </cell>
          <cell r="W568" t="str">
            <v>ЛА, ВЗ, ПП ЮК-11 DN, сп.ЭЦН-50</v>
          </cell>
        </row>
        <row r="569">
          <cell r="B569">
            <v>2649</v>
          </cell>
          <cell r="C569" t="str">
            <v>157б</v>
          </cell>
          <cell r="R569">
            <v>5</v>
          </cell>
          <cell r="W569" t="str">
            <v xml:space="preserve"> ДП ЮК-10 2797-2802, ПП ЮК-10 сп. НН. Инт.2654-2662, при наличии нефти  в ЮК-2 и воды в ЮК-10 ГРП</v>
          </cell>
        </row>
        <row r="570">
          <cell r="B570">
            <v>2685</v>
          </cell>
          <cell r="C570" t="str">
            <v>160б</v>
          </cell>
          <cell r="R570">
            <v>5</v>
          </cell>
          <cell r="W570" t="str">
            <v>ПП, ЮК-10, м-ж СКН, сп.НН</v>
          </cell>
        </row>
        <row r="571">
          <cell r="B571">
            <v>2704</v>
          </cell>
          <cell r="C571" t="str">
            <v>160б</v>
          </cell>
          <cell r="D571">
            <v>4</v>
          </cell>
          <cell r="E571">
            <v>43</v>
          </cell>
          <cell r="F571" t="str">
            <v>УПНПиКРС</v>
          </cell>
          <cell r="R571">
            <v>12</v>
          </cell>
          <cell r="W571" t="str">
            <v>ЛА, РИР, ПП ЮК-10 ГРП</v>
          </cell>
        </row>
        <row r="572">
          <cell r="B572">
            <v>2705</v>
          </cell>
          <cell r="C572" t="str">
            <v>160б</v>
          </cell>
          <cell r="D572">
            <v>4</v>
          </cell>
          <cell r="E572">
            <v>44</v>
          </cell>
          <cell r="F572" t="str">
            <v>УПНПиКРС</v>
          </cell>
          <cell r="R572">
            <v>7</v>
          </cell>
          <cell r="W572" t="str">
            <v>ВЦ, ПП, п.А, 2767-2772, ОПЗ, сп.Э-50</v>
          </cell>
        </row>
        <row r="573">
          <cell r="B573">
            <v>2750</v>
          </cell>
          <cell r="C573">
            <v>146</v>
          </cell>
          <cell r="R573">
            <v>5.5</v>
          </cell>
          <cell r="W573" t="str">
            <v>ПП, спЭ-45, L-2100м</v>
          </cell>
        </row>
        <row r="574">
          <cell r="B574">
            <v>2751</v>
          </cell>
          <cell r="C574">
            <v>146</v>
          </cell>
          <cell r="R574">
            <v>4.5</v>
          </cell>
          <cell r="W574" t="str">
            <v>ВЗ, ПП, ЮК-10-11, сп.Э-50</v>
          </cell>
        </row>
        <row r="575">
          <cell r="B575">
            <v>2754</v>
          </cell>
          <cell r="C575">
            <v>145</v>
          </cell>
          <cell r="D575">
            <v>3</v>
          </cell>
          <cell r="I575" t="str">
            <v>конс.</v>
          </cell>
          <cell r="J575">
            <v>32843</v>
          </cell>
          <cell r="K575">
            <v>6</v>
          </cell>
          <cell r="L575">
            <v>0.5</v>
          </cell>
          <cell r="M575">
            <v>90</v>
          </cell>
          <cell r="N575">
            <v>30</v>
          </cell>
          <cell r="O575">
            <v>12</v>
          </cell>
          <cell r="P575">
            <v>51</v>
          </cell>
          <cell r="Q575">
            <v>30</v>
          </cell>
          <cell r="R575">
            <v>12</v>
          </cell>
          <cell r="S575">
            <v>50.6</v>
          </cell>
          <cell r="U575" t="str">
            <v>ГРП</v>
          </cell>
          <cell r="W575" t="str">
            <v>ГРП, возможно приобщение ЮК-11</v>
          </cell>
        </row>
        <row r="576">
          <cell r="B576">
            <v>2755</v>
          </cell>
          <cell r="C576">
            <v>145</v>
          </cell>
          <cell r="D576">
            <v>3</v>
          </cell>
          <cell r="I576" t="str">
            <v>бд</v>
          </cell>
          <cell r="J576">
            <v>33968</v>
          </cell>
          <cell r="K576">
            <v>40</v>
          </cell>
          <cell r="L576">
            <v>1.6</v>
          </cell>
          <cell r="M576">
            <v>95</v>
          </cell>
          <cell r="N576">
            <v>30</v>
          </cell>
          <cell r="O576">
            <v>12</v>
          </cell>
          <cell r="P576">
            <v>51</v>
          </cell>
          <cell r="Q576">
            <v>30</v>
          </cell>
          <cell r="R576">
            <v>12</v>
          </cell>
          <cell r="S576">
            <v>50.6</v>
          </cell>
          <cell r="U576" t="str">
            <v>ГРП</v>
          </cell>
          <cell r="W576" t="str">
            <v>ГИС-2(и.о.) РИР ЮК-11, ГРП с отсыпкой низа ЮК-10</v>
          </cell>
        </row>
        <row r="577">
          <cell r="B577">
            <v>2756</v>
          </cell>
          <cell r="C577">
            <v>145</v>
          </cell>
          <cell r="D577">
            <v>3</v>
          </cell>
          <cell r="I577" t="str">
            <v>бд</v>
          </cell>
          <cell r="J577">
            <v>35786</v>
          </cell>
          <cell r="K577">
            <v>70</v>
          </cell>
          <cell r="L577">
            <v>10.8</v>
          </cell>
          <cell r="M577">
            <v>81</v>
          </cell>
          <cell r="N577">
            <v>50</v>
          </cell>
          <cell r="O577">
            <v>10</v>
          </cell>
          <cell r="P577">
            <v>75.400000000000006</v>
          </cell>
          <cell r="Q577">
            <v>50</v>
          </cell>
          <cell r="R577">
            <v>10</v>
          </cell>
          <cell r="S577">
            <v>75.3</v>
          </cell>
          <cell r="U577" t="str">
            <v>РИР</v>
          </cell>
          <cell r="W577" t="str">
            <v>РИР Э/К 2562-2673, ПП-ЮК-10 с ОПЗ</v>
          </cell>
        </row>
        <row r="578">
          <cell r="B578">
            <v>2784</v>
          </cell>
          <cell r="C578">
            <v>145</v>
          </cell>
          <cell r="R578">
            <v>5</v>
          </cell>
          <cell r="W578" t="str">
            <v>ЛА, ГИС-2(и.о.)при отс.ЗКЦ с ЮК-11 ПП п.А с ОПЗ, сп.ЭЦН, при наличии ЗКЦ в консервацию</v>
          </cell>
        </row>
        <row r="579">
          <cell r="B579">
            <v>2920</v>
          </cell>
          <cell r="C579">
            <v>43</v>
          </cell>
          <cell r="R579">
            <v>10</v>
          </cell>
          <cell r="W579" t="str">
            <v>ВЦ,дострел 2812-2816м,2820-2825м,ГРП</v>
          </cell>
        </row>
        <row r="580">
          <cell r="B580">
            <v>2940</v>
          </cell>
          <cell r="C580">
            <v>46</v>
          </cell>
          <cell r="R580">
            <v>6</v>
          </cell>
          <cell r="W580" t="str">
            <v>ВЦ,ПП ЮК-11,сп Э-50</v>
          </cell>
        </row>
        <row r="581">
          <cell r="B581">
            <v>2941</v>
          </cell>
          <cell r="C581">
            <v>46</v>
          </cell>
          <cell r="R581">
            <v>5</v>
          </cell>
          <cell r="W581" t="str">
            <v>ВЦ,ОТСК,ГИС-2,сп Э-50</v>
          </cell>
        </row>
        <row r="582">
          <cell r="B582">
            <v>2956</v>
          </cell>
          <cell r="C582">
            <v>46</v>
          </cell>
          <cell r="R582">
            <v>4</v>
          </cell>
          <cell r="W582" t="str">
            <v>РИР ЮК-11,перевод на ЮК-10 ,сп Н-57,интер.ЮК-3 2500-2520м</v>
          </cell>
        </row>
        <row r="583">
          <cell r="B583">
            <v>2982</v>
          </cell>
          <cell r="C583">
            <v>50</v>
          </cell>
          <cell r="R583">
            <v>5</v>
          </cell>
          <cell r="W583" t="str">
            <v>ПП,ОПЗ,сп Н-57</v>
          </cell>
        </row>
        <row r="584">
          <cell r="B584">
            <v>3034</v>
          </cell>
          <cell r="C584">
            <v>51</v>
          </cell>
          <cell r="H584" t="str">
            <v>ШГН</v>
          </cell>
          <cell r="I584" t="str">
            <v>конс.</v>
          </cell>
          <cell r="N584">
            <v>50</v>
          </cell>
          <cell r="O584">
            <v>5</v>
          </cell>
          <cell r="P584">
            <v>87.7</v>
          </cell>
          <cell r="Q584">
            <v>50</v>
          </cell>
          <cell r="R584">
            <v>5</v>
          </cell>
          <cell r="S584">
            <v>87.7</v>
          </cell>
          <cell r="W584" t="str">
            <v>ВЦ,ПП ЮК-11,сп Э-50</v>
          </cell>
        </row>
        <row r="585">
          <cell r="B585">
            <v>5341</v>
          </cell>
          <cell r="C585">
            <v>101</v>
          </cell>
          <cell r="R585">
            <v>6</v>
          </cell>
          <cell r="W585" t="str">
            <v>приобщение ЮК-11 (3016-3018м,3019-3023м)</v>
          </cell>
        </row>
        <row r="586">
          <cell r="B586">
            <v>5342</v>
          </cell>
          <cell r="C586">
            <v>101</v>
          </cell>
          <cell r="R586">
            <v>6</v>
          </cell>
          <cell r="W586" t="str">
            <v>ВЗ,ОТСК,ВЦ,ДП 2942-2950м,ПП,ОПЗ</v>
          </cell>
        </row>
        <row r="587">
          <cell r="B587">
            <v>5412</v>
          </cell>
          <cell r="C587">
            <v>107</v>
          </cell>
          <cell r="R587">
            <v>4.5</v>
          </cell>
          <cell r="W587" t="str">
            <v>РИР ЮК-11,ПП с ОПЗ,сп Н-57</v>
          </cell>
        </row>
        <row r="588">
          <cell r="B588">
            <v>5435</v>
          </cell>
          <cell r="C588">
            <v>106</v>
          </cell>
          <cell r="R588">
            <v>6</v>
          </cell>
          <cell r="W588" t="str">
            <v>ЛА ( НКТ ),ПП, сп Э-50</v>
          </cell>
        </row>
        <row r="589">
          <cell r="B589">
            <v>5615</v>
          </cell>
          <cell r="C589">
            <v>116</v>
          </cell>
          <cell r="R589">
            <v>5</v>
          </cell>
          <cell r="W589" t="str">
            <v>ВЦ,ПП,ОПЗ,сп Э-50</v>
          </cell>
        </row>
        <row r="590">
          <cell r="B590">
            <v>5583</v>
          </cell>
          <cell r="C590">
            <v>116</v>
          </cell>
          <cell r="H590" t="str">
            <v>ЭЦН</v>
          </cell>
          <cell r="I590" t="str">
            <v>конс.</v>
          </cell>
          <cell r="N590">
            <v>50</v>
          </cell>
          <cell r="O590">
            <v>5</v>
          </cell>
          <cell r="P590">
            <v>87.7</v>
          </cell>
          <cell r="Q590">
            <v>50</v>
          </cell>
          <cell r="R590">
            <v>5</v>
          </cell>
          <cell r="S590">
            <v>87.7</v>
          </cell>
          <cell r="W590" t="str">
            <v>ВЦ,ПП, сп Э-50 ( ООО прогр.)</v>
          </cell>
        </row>
        <row r="591">
          <cell r="B591" t="str">
            <v>5402б</v>
          </cell>
          <cell r="C591">
            <v>103</v>
          </cell>
          <cell r="H591" t="str">
            <v>ЭЦН</v>
          </cell>
          <cell r="I591" t="str">
            <v>конс.</v>
          </cell>
          <cell r="N591">
            <v>80</v>
          </cell>
          <cell r="O591">
            <v>5</v>
          </cell>
          <cell r="P591">
            <v>92.3</v>
          </cell>
          <cell r="Q591">
            <v>80</v>
          </cell>
          <cell r="R591">
            <v>5</v>
          </cell>
          <cell r="S591">
            <v>92.3</v>
          </cell>
          <cell r="W591" t="str">
            <v>ВЦ,ПП с ОПЗ сп Э-80 ( ООО э/прогрев )</v>
          </cell>
        </row>
        <row r="592">
          <cell r="B592" t="str">
            <v>5491б</v>
          </cell>
          <cell r="C592">
            <v>117</v>
          </cell>
          <cell r="R592">
            <v>5</v>
          </cell>
          <cell r="W592" t="str">
            <v>ВЦ,ПП,ОПЗ,ГИС-2,ОТСК,сп Э-50</v>
          </cell>
        </row>
        <row r="593">
          <cell r="B593">
            <v>5338</v>
          </cell>
          <cell r="C593">
            <v>141</v>
          </cell>
          <cell r="D593" t="e">
            <v>#REF!</v>
          </cell>
          <cell r="E593" t="e">
            <v>#REF!</v>
          </cell>
          <cell r="F593" t="str">
            <v>УПНПиКРС</v>
          </cell>
          <cell r="G593">
            <v>280</v>
          </cell>
          <cell r="H593" t="str">
            <v>нагнет.</v>
          </cell>
          <cell r="I593" t="str">
            <v>бд</v>
          </cell>
          <cell r="J593">
            <v>36711</v>
          </cell>
          <cell r="K593">
            <v>230</v>
          </cell>
          <cell r="N593">
            <v>230</v>
          </cell>
          <cell r="Q593">
            <v>230</v>
          </cell>
          <cell r="V593">
            <v>3</v>
          </cell>
          <cell r="W593" t="str">
            <v>Ревизия пакера</v>
          </cell>
        </row>
        <row r="594">
          <cell r="B594">
            <v>2608</v>
          </cell>
          <cell r="C594" t="str">
            <v>168б</v>
          </cell>
          <cell r="D594">
            <v>5</v>
          </cell>
          <cell r="E594">
            <v>50</v>
          </cell>
          <cell r="F594" t="str">
            <v>УПНПиКРС</v>
          </cell>
          <cell r="G594">
            <v>240</v>
          </cell>
          <cell r="H594" t="str">
            <v>ШГН</v>
          </cell>
          <cell r="I594" t="str">
            <v>действ.</v>
          </cell>
          <cell r="K594">
            <v>3</v>
          </cell>
          <cell r="L594">
            <v>2.2999999999999998</v>
          </cell>
          <cell r="M594">
            <v>5</v>
          </cell>
          <cell r="N594">
            <v>30</v>
          </cell>
          <cell r="O594">
            <v>14.3</v>
          </cell>
          <cell r="P594">
            <v>41.4</v>
          </cell>
          <cell r="Q594">
            <v>27</v>
          </cell>
          <cell r="R594">
            <v>12</v>
          </cell>
          <cell r="S594">
            <v>45.1</v>
          </cell>
          <cell r="T594">
            <v>37367</v>
          </cell>
          <cell r="U594" t="str">
            <v>ГРП</v>
          </cell>
          <cell r="V594">
            <v>2</v>
          </cell>
          <cell r="W594" t="str">
            <v>инт.ЮК 4-5 2569-2578, 2582-2592м,ГРП</v>
          </cell>
        </row>
        <row r="595">
          <cell r="B595">
            <v>2596</v>
          </cell>
          <cell r="C595">
            <v>150</v>
          </cell>
          <cell r="D595" t="e">
            <v>#REF!</v>
          </cell>
          <cell r="E595" t="e">
            <v>#REF!</v>
          </cell>
          <cell r="F595" t="str">
            <v>УПНПиКРС</v>
          </cell>
          <cell r="G595">
            <v>250</v>
          </cell>
          <cell r="H595" t="str">
            <v>ШГН</v>
          </cell>
          <cell r="I595" t="str">
            <v>конс.</v>
          </cell>
          <cell r="J595">
            <v>34304</v>
          </cell>
          <cell r="K595">
            <v>3</v>
          </cell>
          <cell r="L595">
            <v>1</v>
          </cell>
          <cell r="M595">
            <v>60</v>
          </cell>
          <cell r="N595">
            <v>30</v>
          </cell>
          <cell r="O595">
            <v>12</v>
          </cell>
          <cell r="P595">
            <v>50.8</v>
          </cell>
          <cell r="Q595">
            <v>30</v>
          </cell>
          <cell r="R595">
            <v>12</v>
          </cell>
          <cell r="S595">
            <v>50.6</v>
          </cell>
          <cell r="T595" t="e">
            <v>#REF!</v>
          </cell>
          <cell r="U595" t="str">
            <v>ГРП</v>
          </cell>
          <cell r="V595">
            <v>2</v>
          </cell>
          <cell r="W595" t="str">
            <v>ВЦ, ИР ЮК-10, ПР к ГРП и ГРП ЮК-2-3</v>
          </cell>
        </row>
        <row r="596">
          <cell r="B596">
            <v>2668</v>
          </cell>
          <cell r="C596" t="str">
            <v>160б</v>
          </cell>
          <cell r="D596" t="e">
            <v>#REF!</v>
          </cell>
          <cell r="E596" t="e">
            <v>#REF!</v>
          </cell>
          <cell r="F596" t="str">
            <v>УПНПиКРС</v>
          </cell>
          <cell r="G596">
            <v>250</v>
          </cell>
          <cell r="H596" t="str">
            <v>ШГН</v>
          </cell>
          <cell r="I596" t="str">
            <v>конс.</v>
          </cell>
          <cell r="J596">
            <v>34243</v>
          </cell>
          <cell r="K596">
            <v>0.7</v>
          </cell>
          <cell r="L596">
            <v>0.6</v>
          </cell>
          <cell r="M596">
            <v>0</v>
          </cell>
          <cell r="N596">
            <v>30</v>
          </cell>
          <cell r="O596">
            <v>14</v>
          </cell>
          <cell r="P596">
            <v>42.8</v>
          </cell>
          <cell r="Q596">
            <v>30</v>
          </cell>
          <cell r="R596">
            <v>14</v>
          </cell>
          <cell r="S596">
            <v>42.4</v>
          </cell>
          <cell r="T596" t="e">
            <v>#REF!</v>
          </cell>
          <cell r="U596" t="str">
            <v>ГРП</v>
          </cell>
          <cell r="V596">
            <v>4</v>
          </cell>
          <cell r="W596" t="str">
            <v>ВЦ,ПП, ГРП ЮК-10</v>
          </cell>
        </row>
        <row r="597">
          <cell r="B597">
            <v>2704</v>
          </cell>
          <cell r="C597" t="str">
            <v>160б</v>
          </cell>
          <cell r="D597" t="e">
            <v>#REF!</v>
          </cell>
          <cell r="E597" t="e">
            <v>#REF!</v>
          </cell>
          <cell r="F597" t="str">
            <v>УПНПиКРС</v>
          </cell>
          <cell r="G597">
            <v>270</v>
          </cell>
          <cell r="H597" t="str">
            <v>ФОН</v>
          </cell>
          <cell r="I597" t="str">
            <v>конс.</v>
          </cell>
          <cell r="J597">
            <v>34364</v>
          </cell>
          <cell r="K597">
            <v>29</v>
          </cell>
          <cell r="L597">
            <v>1.2</v>
          </cell>
          <cell r="M597">
            <v>95</v>
          </cell>
          <cell r="N597">
            <v>30</v>
          </cell>
          <cell r="O597">
            <v>12</v>
          </cell>
          <cell r="P597">
            <v>51</v>
          </cell>
          <cell r="Q597">
            <v>30</v>
          </cell>
          <cell r="R597">
            <v>12</v>
          </cell>
          <cell r="S597">
            <v>50.6</v>
          </cell>
          <cell r="T597" t="e">
            <v>#REF!</v>
          </cell>
          <cell r="U597" t="str">
            <v>ГРП</v>
          </cell>
          <cell r="V597">
            <v>5</v>
          </cell>
          <cell r="W597" t="str">
            <v>ЛА,ИР ЮК-11,ПП ЮК-10 ГРП</v>
          </cell>
        </row>
        <row r="598">
          <cell r="B598">
            <v>2705</v>
          </cell>
          <cell r="C598" t="str">
            <v>160б</v>
          </cell>
          <cell r="D598" t="e">
            <v>#REF!</v>
          </cell>
          <cell r="E598" t="e">
            <v>#REF!</v>
          </cell>
          <cell r="F598" t="str">
            <v>УПНПиКРС</v>
          </cell>
          <cell r="G598">
            <v>260</v>
          </cell>
          <cell r="H598" t="str">
            <v>ШГН</v>
          </cell>
          <cell r="I598" t="str">
            <v>бд</v>
          </cell>
          <cell r="J598">
            <v>36332</v>
          </cell>
          <cell r="K598">
            <v>2</v>
          </cell>
          <cell r="L598">
            <v>1.6</v>
          </cell>
          <cell r="M598">
            <v>3</v>
          </cell>
          <cell r="N598">
            <v>40</v>
          </cell>
          <cell r="O598">
            <v>7</v>
          </cell>
          <cell r="P598">
            <v>78.5</v>
          </cell>
          <cell r="Q598">
            <v>40</v>
          </cell>
          <cell r="R598">
            <v>7</v>
          </cell>
          <cell r="S598">
            <v>78.400000000000006</v>
          </cell>
          <cell r="T598" t="e">
            <v>#REF!</v>
          </cell>
          <cell r="U598" t="str">
            <v>ОПЗ</v>
          </cell>
          <cell r="V598">
            <v>6</v>
          </cell>
          <cell r="W598" t="str">
            <v xml:space="preserve">ВЦ,ПП п.А, ОПЗ,ГДИ </v>
          </cell>
        </row>
        <row r="599">
          <cell r="B599">
            <v>2651</v>
          </cell>
          <cell r="C599" t="str">
            <v>157б</v>
          </cell>
          <cell r="D599" t="e">
            <v>#REF!</v>
          </cell>
          <cell r="E599">
            <v>72</v>
          </cell>
          <cell r="F599" t="str">
            <v>УПНПиКРС</v>
          </cell>
          <cell r="G599">
            <v>270</v>
          </cell>
          <cell r="H599" t="str">
            <v>ШГН</v>
          </cell>
          <cell r="I599" t="str">
            <v>конс.</v>
          </cell>
          <cell r="J599">
            <v>35073</v>
          </cell>
          <cell r="K599">
            <v>29</v>
          </cell>
          <cell r="L599">
            <v>3.5</v>
          </cell>
          <cell r="M599">
            <v>85</v>
          </cell>
          <cell r="N599">
            <v>30</v>
          </cell>
          <cell r="O599">
            <v>12</v>
          </cell>
          <cell r="P599">
            <v>51</v>
          </cell>
          <cell r="Q599">
            <v>30</v>
          </cell>
          <cell r="R599">
            <v>12</v>
          </cell>
          <cell r="S599">
            <v>50.6</v>
          </cell>
          <cell r="T599" t="e">
            <v>#REF!</v>
          </cell>
          <cell r="U599" t="str">
            <v>ГРП</v>
          </cell>
          <cell r="V599">
            <v>3</v>
          </cell>
          <cell r="W599" t="str">
            <v>ВЦ,РИР ЮК-11, ПП ЮК-10, ГРП</v>
          </cell>
        </row>
        <row r="600">
          <cell r="B600">
            <v>5858</v>
          </cell>
          <cell r="C600">
            <v>169</v>
          </cell>
          <cell r="D600">
            <v>7</v>
          </cell>
          <cell r="E600">
            <v>72</v>
          </cell>
          <cell r="F600" t="str">
            <v>УПНПиКРС</v>
          </cell>
          <cell r="G600">
            <v>270</v>
          </cell>
          <cell r="H600" t="str">
            <v>ФОН</v>
          </cell>
          <cell r="I600" t="str">
            <v>бд</v>
          </cell>
          <cell r="J600">
            <v>36649</v>
          </cell>
          <cell r="K600">
            <v>7</v>
          </cell>
          <cell r="L600">
            <v>1</v>
          </cell>
          <cell r="M600">
            <v>82</v>
          </cell>
          <cell r="N600">
            <v>30</v>
          </cell>
          <cell r="O600">
            <v>12</v>
          </cell>
          <cell r="P600">
            <v>51</v>
          </cell>
          <cell r="Q600">
            <v>30</v>
          </cell>
          <cell r="R600">
            <v>12</v>
          </cell>
          <cell r="S600">
            <v>50.6</v>
          </cell>
          <cell r="T600">
            <v>7</v>
          </cell>
          <cell r="U600" t="str">
            <v>ГРП</v>
          </cell>
          <cell r="V600">
            <v>4</v>
          </cell>
          <cell r="W600" t="str">
            <v xml:space="preserve">инт.ЮК-5  2613-2628м,РИР ЮК-10,ГРП </v>
          </cell>
        </row>
        <row r="601">
          <cell r="B601">
            <v>5345</v>
          </cell>
          <cell r="C601">
            <v>102</v>
          </cell>
          <cell r="D601" t="e">
            <v>#REF!</v>
          </cell>
          <cell r="E601" t="e">
            <v>#REF!</v>
          </cell>
          <cell r="F601" t="str">
            <v>УПНПиКРС</v>
          </cell>
          <cell r="G601">
            <v>250</v>
          </cell>
          <cell r="H601" t="str">
            <v>ШГН</v>
          </cell>
          <cell r="I601" t="str">
            <v>бд</v>
          </cell>
          <cell r="J601">
            <v>37216</v>
          </cell>
          <cell r="K601">
            <v>14</v>
          </cell>
          <cell r="L601">
            <v>0.5</v>
          </cell>
          <cell r="M601">
            <v>96</v>
          </cell>
          <cell r="N601">
            <v>30</v>
          </cell>
          <cell r="O601">
            <v>12</v>
          </cell>
          <cell r="P601">
            <v>51</v>
          </cell>
          <cell r="Q601">
            <v>30</v>
          </cell>
          <cell r="R601">
            <v>12</v>
          </cell>
          <cell r="S601">
            <v>50.6</v>
          </cell>
          <cell r="T601" t="e">
            <v>#REF!</v>
          </cell>
          <cell r="U601" t="str">
            <v>ГРП</v>
          </cell>
          <cell r="V601">
            <v>2</v>
          </cell>
          <cell r="W601" t="str">
            <v>ИР ЮК-10, ДП 2629-2632,2633-2640ГРП ЮК-2-3</v>
          </cell>
        </row>
        <row r="602">
          <cell r="B602">
            <v>5455</v>
          </cell>
          <cell r="C602">
            <v>102</v>
          </cell>
          <cell r="F602" t="str">
            <v>УПНПиКРС</v>
          </cell>
          <cell r="G602">
            <v>240</v>
          </cell>
          <cell r="H602" t="str">
            <v>ШГН</v>
          </cell>
          <cell r="I602" t="str">
            <v>конс.</v>
          </cell>
          <cell r="J602">
            <v>32843</v>
          </cell>
          <cell r="K602">
            <v>7</v>
          </cell>
          <cell r="L602">
            <v>5</v>
          </cell>
          <cell r="M602">
            <v>12</v>
          </cell>
          <cell r="N602">
            <v>21</v>
          </cell>
          <cell r="O602">
            <v>12</v>
          </cell>
          <cell r="P602">
            <v>30</v>
          </cell>
          <cell r="Q602">
            <v>21</v>
          </cell>
          <cell r="R602">
            <v>12</v>
          </cell>
          <cell r="S602">
            <v>29.5</v>
          </cell>
          <cell r="T602" t="e">
            <v>#REF!</v>
          </cell>
          <cell r="U602" t="str">
            <v>ГРП</v>
          </cell>
          <cell r="V602">
            <v>3</v>
          </cell>
          <cell r="W602" t="str">
            <v>ВЦ. ИР ЮК-10. ГДИ. ПП ДН. ГРП ЮК 2-3</v>
          </cell>
        </row>
        <row r="603">
          <cell r="B603">
            <v>5656</v>
          </cell>
          <cell r="C603">
            <v>123</v>
          </cell>
          <cell r="D603">
            <v>0</v>
          </cell>
          <cell r="E603">
            <v>1</v>
          </cell>
          <cell r="F603" t="str">
            <v>УПНПиКРС</v>
          </cell>
          <cell r="G603">
            <v>265</v>
          </cell>
          <cell r="H603" t="str">
            <v>ФОН</v>
          </cell>
          <cell r="I603" t="str">
            <v>конс.</v>
          </cell>
          <cell r="J603">
            <v>35096</v>
          </cell>
          <cell r="K603">
            <v>10</v>
          </cell>
          <cell r="L603">
            <v>0.1</v>
          </cell>
          <cell r="M603">
            <v>99</v>
          </cell>
          <cell r="N603">
            <v>25</v>
          </cell>
          <cell r="O603">
            <v>12</v>
          </cell>
          <cell r="P603">
            <v>41</v>
          </cell>
          <cell r="Q603">
            <v>25</v>
          </cell>
          <cell r="R603">
            <v>12</v>
          </cell>
          <cell r="S603">
            <v>40.700000000000003</v>
          </cell>
          <cell r="T603">
            <v>7</v>
          </cell>
          <cell r="U603" t="str">
            <v>ГРП</v>
          </cell>
          <cell r="V603">
            <v>4</v>
          </cell>
          <cell r="W603" t="str">
            <v>ИР ЮК-10 инт.2618-2636 ГРП ЮК 2-3</v>
          </cell>
        </row>
        <row r="604">
          <cell r="B604" t="str">
            <v>5243б</v>
          </cell>
          <cell r="C604">
            <v>135</v>
          </cell>
          <cell r="D604">
            <v>10</v>
          </cell>
          <cell r="E604" t="e">
            <v>#REF!</v>
          </cell>
          <cell r="F604" t="str">
            <v>УПНПиКРС</v>
          </cell>
          <cell r="G604">
            <v>290</v>
          </cell>
          <cell r="H604" t="str">
            <v>ЭЦН</v>
          </cell>
          <cell r="I604" t="str">
            <v>конс.</v>
          </cell>
          <cell r="J604">
            <v>34669</v>
          </cell>
          <cell r="K604">
            <v>3</v>
          </cell>
          <cell r="L604">
            <v>0.7</v>
          </cell>
          <cell r="M604">
            <v>73</v>
          </cell>
          <cell r="N604">
            <v>30</v>
          </cell>
          <cell r="O604">
            <v>12</v>
          </cell>
          <cell r="P604">
            <v>51</v>
          </cell>
          <cell r="Q604">
            <v>30</v>
          </cell>
          <cell r="R604">
            <v>12</v>
          </cell>
          <cell r="S604">
            <v>50.6</v>
          </cell>
          <cell r="T604" t="e">
            <v>#REF!</v>
          </cell>
          <cell r="U604" t="str">
            <v>ГРП</v>
          </cell>
          <cell r="V604">
            <v>2</v>
          </cell>
          <cell r="W604" t="str">
            <v>ВЗ, РИР ЮК-10ДП ЮК 2-3-2558-2569м,ГРП</v>
          </cell>
        </row>
        <row r="605">
          <cell r="B605">
            <v>2918</v>
          </cell>
          <cell r="C605">
            <v>43</v>
          </cell>
          <cell r="D605">
            <v>10</v>
          </cell>
          <cell r="E605" t="e">
            <v>#REF!</v>
          </cell>
          <cell r="F605" t="str">
            <v>УПНПиКРС</v>
          </cell>
          <cell r="G605">
            <v>270</v>
          </cell>
          <cell r="H605" t="str">
            <v>ШГН</v>
          </cell>
          <cell r="I605" t="str">
            <v>бд</v>
          </cell>
          <cell r="J605">
            <v>37010</v>
          </cell>
          <cell r="K605">
            <v>12</v>
          </cell>
          <cell r="L605">
            <v>6.8</v>
          </cell>
          <cell r="M605">
            <v>30</v>
          </cell>
          <cell r="N605">
            <v>30</v>
          </cell>
          <cell r="O605">
            <v>12</v>
          </cell>
          <cell r="P605">
            <v>51</v>
          </cell>
          <cell r="Q605">
            <v>30</v>
          </cell>
          <cell r="R605">
            <v>12</v>
          </cell>
          <cell r="S605">
            <v>50.6</v>
          </cell>
          <cell r="T605" t="e">
            <v>#REF!</v>
          </cell>
          <cell r="U605" t="str">
            <v>ГРП</v>
          </cell>
          <cell r="V605">
            <v>3</v>
          </cell>
          <cell r="W605" t="str">
            <v>ВЦ,ГРП п.А ( в график 2002года )</v>
          </cell>
        </row>
        <row r="606">
          <cell r="B606">
            <v>2958</v>
          </cell>
          <cell r="C606">
            <v>46</v>
          </cell>
          <cell r="D606">
            <v>11</v>
          </cell>
          <cell r="E606" t="e">
            <v>#REF!</v>
          </cell>
          <cell r="F606" t="str">
            <v>УПНПиКРС</v>
          </cell>
          <cell r="G606">
            <v>250</v>
          </cell>
          <cell r="I606" t="str">
            <v>бд</v>
          </cell>
          <cell r="J606">
            <v>35749</v>
          </cell>
          <cell r="K606">
            <v>3</v>
          </cell>
          <cell r="L606">
            <v>2.4</v>
          </cell>
          <cell r="M606">
            <v>3</v>
          </cell>
          <cell r="N606">
            <v>30</v>
          </cell>
          <cell r="O606">
            <v>12</v>
          </cell>
          <cell r="P606">
            <v>51</v>
          </cell>
          <cell r="Q606">
            <v>30</v>
          </cell>
          <cell r="R606">
            <v>12</v>
          </cell>
          <cell r="S606">
            <v>50.6</v>
          </cell>
          <cell r="T606" t="e">
            <v>#REF!</v>
          </cell>
          <cell r="U606" t="str">
            <v>ГРП</v>
          </cell>
          <cell r="V606">
            <v>2</v>
          </cell>
          <cell r="W606" t="str">
            <v xml:space="preserve">РИР ЮК-10,ДП ЮК-3 2596-2618м,ГРП </v>
          </cell>
        </row>
        <row r="607">
          <cell r="B607">
            <v>5609</v>
          </cell>
          <cell r="C607">
            <v>114</v>
          </cell>
          <cell r="D607">
            <v>11</v>
          </cell>
          <cell r="E607" t="e">
            <v>#REF!</v>
          </cell>
          <cell r="F607" t="str">
            <v>УПНПиКРС</v>
          </cell>
          <cell r="G607">
            <v>230</v>
          </cell>
          <cell r="H607" t="str">
            <v>ШГН</v>
          </cell>
          <cell r="I607" t="str">
            <v>бд</v>
          </cell>
          <cell r="J607">
            <v>37064</v>
          </cell>
          <cell r="K607">
            <v>2</v>
          </cell>
          <cell r="L607">
            <v>1.6</v>
          </cell>
          <cell r="M607">
            <v>0</v>
          </cell>
          <cell r="N607">
            <v>4</v>
          </cell>
          <cell r="O607">
            <v>2.9</v>
          </cell>
          <cell r="P607">
            <v>10</v>
          </cell>
          <cell r="Q607">
            <v>4</v>
          </cell>
          <cell r="R607">
            <v>2.9</v>
          </cell>
          <cell r="S607">
            <v>10.5</v>
          </cell>
          <cell r="T607">
            <v>37372</v>
          </cell>
          <cell r="U607" t="str">
            <v>БДП</v>
          </cell>
          <cell r="V607">
            <v>3</v>
          </cell>
          <cell r="W607" t="str">
            <v>ВЦ,ревизия НВ-32</v>
          </cell>
        </row>
        <row r="608">
          <cell r="B608">
            <v>5543</v>
          </cell>
          <cell r="C608">
            <v>114</v>
          </cell>
          <cell r="D608">
            <v>11</v>
          </cell>
          <cell r="E608" t="e">
            <v>#REF!</v>
          </cell>
          <cell r="H608" t="str">
            <v>ШГН</v>
          </cell>
          <cell r="I608" t="str">
            <v>бд</v>
          </cell>
          <cell r="J608">
            <v>37258</v>
          </cell>
          <cell r="K608">
            <v>3</v>
          </cell>
          <cell r="L608">
            <v>1.7</v>
          </cell>
          <cell r="M608">
            <v>29</v>
          </cell>
          <cell r="N608">
            <v>24</v>
          </cell>
          <cell r="O608">
            <v>13.7</v>
          </cell>
          <cell r="P608">
            <v>30</v>
          </cell>
          <cell r="Q608">
            <v>24</v>
          </cell>
          <cell r="R608">
            <v>13.7</v>
          </cell>
          <cell r="S608">
            <v>29.5</v>
          </cell>
          <cell r="U608" t="str">
            <v>ГРП</v>
          </cell>
          <cell r="V608">
            <v>4</v>
          </cell>
          <cell r="W608" t="str">
            <v>повт.ГРП ( до 30т проп.)</v>
          </cell>
        </row>
        <row r="609">
          <cell r="B609">
            <v>2649</v>
          </cell>
          <cell r="C609" t="str">
            <v>157б</v>
          </cell>
          <cell r="D609">
            <v>11</v>
          </cell>
          <cell r="E609" t="e">
            <v>#REF!</v>
          </cell>
          <cell r="F609" t="str">
            <v>УПНПиКРС</v>
          </cell>
          <cell r="G609">
            <v>235</v>
          </cell>
          <cell r="H609" t="str">
            <v>ШГН</v>
          </cell>
          <cell r="I609" t="str">
            <v>действ.</v>
          </cell>
          <cell r="K609">
            <v>4</v>
          </cell>
          <cell r="L609">
            <v>3.1</v>
          </cell>
          <cell r="M609">
            <v>6</v>
          </cell>
          <cell r="N609">
            <v>12</v>
          </cell>
          <cell r="O609">
            <v>8.1</v>
          </cell>
          <cell r="P609">
            <v>17</v>
          </cell>
          <cell r="Q609">
            <v>8</v>
          </cell>
          <cell r="R609">
            <v>5</v>
          </cell>
          <cell r="S609">
            <v>22.8</v>
          </cell>
          <cell r="T609" t="e">
            <v>#REF!</v>
          </cell>
          <cell r="U609" t="str">
            <v>ОПЗ</v>
          </cell>
          <cell r="V609">
            <v>5</v>
          </cell>
          <cell r="W609" t="str">
            <v>ДП ЮК-100,ПП, ЮК-10,ОПЗ,ГДИ</v>
          </cell>
        </row>
        <row r="610">
          <cell r="B610">
            <v>5241</v>
          </cell>
          <cell r="C610">
            <v>134</v>
          </cell>
          <cell r="D610" t="e">
            <v>#REF!</v>
          </cell>
          <cell r="E610" t="e">
            <v>#REF!</v>
          </cell>
          <cell r="F610" t="str">
            <v>УПНПиКРС</v>
          </cell>
          <cell r="G610">
            <v>255</v>
          </cell>
          <cell r="H610" t="str">
            <v>ЭЦН</v>
          </cell>
          <cell r="I610" t="str">
            <v>бд</v>
          </cell>
          <cell r="J610">
            <v>34547</v>
          </cell>
          <cell r="K610">
            <v>21</v>
          </cell>
          <cell r="L610">
            <v>0.2</v>
          </cell>
          <cell r="M610">
            <v>99</v>
          </cell>
          <cell r="N610">
            <v>30</v>
          </cell>
          <cell r="O610">
            <v>12</v>
          </cell>
          <cell r="P610">
            <v>51</v>
          </cell>
          <cell r="Q610">
            <v>30</v>
          </cell>
          <cell r="R610">
            <v>12</v>
          </cell>
          <cell r="S610">
            <v>50.6</v>
          </cell>
          <cell r="T610" t="e">
            <v>#REF!</v>
          </cell>
          <cell r="U610" t="str">
            <v>ГРП</v>
          </cell>
          <cell r="V610">
            <v>2</v>
          </cell>
          <cell r="W610" t="str">
            <v xml:space="preserve">ВЦ, ГИС-2 ( источ. обвод.), при подтверждении воды и герм. э/колонны -ДП. ЮК-2 2478-2488м, РИР ЮК-10, ГРП ЮК-2 </v>
          </cell>
        </row>
        <row r="611">
          <cell r="B611">
            <v>2895</v>
          </cell>
          <cell r="C611">
            <v>42</v>
          </cell>
          <cell r="G611">
            <v>290</v>
          </cell>
          <cell r="H611" t="str">
            <v>нагнет.</v>
          </cell>
          <cell r="I611" t="str">
            <v>бд</v>
          </cell>
          <cell r="J611">
            <v>36418</v>
          </cell>
          <cell r="K611">
            <v>50</v>
          </cell>
          <cell r="N611">
            <v>100</v>
          </cell>
          <cell r="Q611">
            <v>100</v>
          </cell>
          <cell r="U611" t="str">
            <v>нг</v>
          </cell>
          <cell r="W611" t="str">
            <v>Извл.воронки, ВЗ, реизия Ф/А пуск под закачку</v>
          </cell>
        </row>
        <row r="612">
          <cell r="B612">
            <v>2897</v>
          </cell>
          <cell r="C612">
            <v>42</v>
          </cell>
          <cell r="G612">
            <v>300</v>
          </cell>
          <cell r="H612" t="str">
            <v>нагнет.</v>
          </cell>
          <cell r="I612" t="str">
            <v>действ.</v>
          </cell>
          <cell r="K612">
            <v>150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Извл.воронки, ВЗ, реизия Ф/А пуск под закачку</v>
          </cell>
        </row>
        <row r="613">
          <cell r="B613">
            <v>2898</v>
          </cell>
          <cell r="C613">
            <v>42</v>
          </cell>
          <cell r="G613">
            <v>300</v>
          </cell>
          <cell r="H613" t="str">
            <v>нагнет.</v>
          </cell>
          <cell r="I613" t="str">
            <v>действ.</v>
          </cell>
          <cell r="K613">
            <v>150</v>
          </cell>
          <cell r="N613">
            <v>150</v>
          </cell>
          <cell r="Q613">
            <v>150</v>
          </cell>
          <cell r="U613" t="str">
            <v>нг</v>
          </cell>
          <cell r="W613" t="str">
            <v>Извл.воронки, ВЗ, реизия Ф/А пуск под закачку</v>
          </cell>
        </row>
        <row r="614">
          <cell r="B614">
            <v>2756</v>
          </cell>
          <cell r="C614">
            <v>145</v>
          </cell>
          <cell r="I614" t="str">
            <v>бд</v>
          </cell>
          <cell r="J614">
            <v>35786</v>
          </cell>
          <cell r="K614">
            <v>70</v>
          </cell>
          <cell r="L614">
            <v>10.8</v>
          </cell>
          <cell r="M614">
            <v>81</v>
          </cell>
          <cell r="N614">
            <v>50</v>
          </cell>
          <cell r="O614">
            <v>10</v>
          </cell>
          <cell r="P614">
            <v>75.400000000000006</v>
          </cell>
          <cell r="Q614">
            <v>50</v>
          </cell>
          <cell r="R614">
            <v>10</v>
          </cell>
          <cell r="S614">
            <v>75.3</v>
          </cell>
          <cell r="U614" t="str">
            <v>РИР</v>
          </cell>
          <cell r="W614" t="str">
            <v>РИР Э/К 2562-2673, ПП-ЮК-10 с ОПЗ</v>
          </cell>
        </row>
        <row r="615">
          <cell r="B615">
            <v>2700</v>
          </cell>
          <cell r="C615" t="str">
            <v>145б</v>
          </cell>
          <cell r="K615">
            <v>16</v>
          </cell>
          <cell r="L615">
            <v>10.199999999999999</v>
          </cell>
          <cell r="M615">
            <v>22</v>
          </cell>
          <cell r="N615">
            <v>16</v>
          </cell>
          <cell r="O615">
            <v>10.199999999999999</v>
          </cell>
          <cell r="P615">
            <v>22</v>
          </cell>
          <cell r="Q615">
            <v>16</v>
          </cell>
          <cell r="R615">
            <v>10.199999999999999</v>
          </cell>
          <cell r="S615">
            <v>21.3</v>
          </cell>
          <cell r="U615" t="str">
            <v>РИР</v>
          </cell>
          <cell r="W615" t="str">
            <v>ОТСК,РИР, ПП, сп.Н-57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ШГН"/>
      <sheetName val="График ПРС"/>
      <sheetName val="Быстр.расч.глуш."/>
      <sheetName val="Режим"/>
      <sheetName val="Динамика"/>
      <sheetName val="Лист1"/>
      <sheetName val="Каталог"/>
      <sheetName val="План работ"/>
      <sheetName val="Пластовое давление"/>
      <sheetName val="Расчет ШГН"/>
      <sheetName val="Расчет ЭЦН"/>
      <sheetName val="Нагнетательная"/>
    </sheetNames>
    <sheetDataSet>
      <sheetData sheetId="0" refreshError="1">
        <row r="30">
          <cell r="BH30">
            <v>0</v>
          </cell>
        </row>
      </sheetData>
      <sheetData sheetId="1" refreshError="1">
        <row r="30">
          <cell r="BH3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рафик ПРС"/>
      <sheetName val="Быстр.расч.глуш."/>
      <sheetName val="Режим"/>
      <sheetName val="Динамика"/>
      <sheetName val="Лист1"/>
      <sheetName val="Каталог"/>
      <sheetName val="План работ"/>
      <sheetName val="Пластовое давление"/>
      <sheetName val="ШГН"/>
      <sheetName val="Расчет ШГН"/>
      <sheetName val="ЭЦН"/>
      <sheetName val="Расчет ЭЦН"/>
      <sheetName val="Нагнетательная"/>
      <sheetName val="sumif_ремонт НПО"/>
      <sheetName val="График_ПРС"/>
      <sheetName val="Быстр_расч_глуш_"/>
      <sheetName val="План_работ"/>
      <sheetName val="Пластовое_давление"/>
      <sheetName val="Расчет_ШГН"/>
      <sheetName val="Расчет_ЭЦН"/>
      <sheetName val="sumif_ремонт_НП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30">
          <cell r="BH30">
            <v>0</v>
          </cell>
        </row>
      </sheetData>
      <sheetData sheetId="9"/>
      <sheetData sheetId="10" refreshError="1">
        <row r="30">
          <cell r="BH30">
            <v>0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g"/>
      <sheetName val="poriv"/>
      <sheetName val="otkluch"/>
      <sheetName val="Запуски-остановки(Бр1)"/>
      <sheetName val="Запуски-остановки(Бр2)"/>
      <sheetName val="Запуски-остановки(Бр3)"/>
      <sheetName val="Простои(Бр1)"/>
      <sheetName val="Простои(Бр2)"/>
      <sheetName val="Простои(Бр3)"/>
      <sheetName val="вывод"/>
      <sheetName val="режим"/>
      <sheetName val="Баланс проекта"/>
      <sheetName val="oxvat"/>
      <sheetName val="Суточный рапорт"/>
      <sheetName val="текущий простой с нач.мес."/>
      <sheetName val="Баланс_проекта"/>
      <sheetName val="Суточный_рапорт"/>
      <sheetName val="текущий_простой_с_нач_мес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 глушения"/>
      <sheetName val="Новый график"/>
      <sheetName val="график"/>
      <sheetName val="режим"/>
      <sheetName val="быстр.расч.глушен."/>
      <sheetName val="дин"/>
      <sheetName val="Фонд"/>
      <sheetName val="техкат"/>
      <sheetName val="Страница 1"/>
      <sheetName val="Лист1"/>
      <sheetName val="страница 2"/>
      <sheetName val="Расчет на ЭЦ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овый график"/>
      <sheetName val="график"/>
      <sheetName val="режим"/>
      <sheetName val="быстр.расч.глушен."/>
      <sheetName val="дин"/>
      <sheetName val="Фонд"/>
      <sheetName val="техкат"/>
      <sheetName val="Страница 1"/>
      <sheetName val="Лист1"/>
      <sheetName val="страница 2"/>
      <sheetName val="Расчет глушения"/>
      <sheetName val="Расчет на ЭЦН"/>
      <sheetName val="дебит"/>
      <sheetName val="Новый_график"/>
      <sheetName val="быстр_расч_глушен_"/>
      <sheetName val="Страница_1"/>
      <sheetName val="страница_2"/>
      <sheetName val="Расчет_глушения"/>
      <sheetName val="Расчет_на_ЭЦ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 руководству"/>
      <sheetName val="Сут. сводка за неделю"/>
      <sheetName val="база общ"/>
      <sheetName val="2003"/>
      <sheetName val="Суточная добыча за неделю"/>
    </sheetNames>
    <sheetDataSet>
      <sheetData sheetId="0" refreshError="1">
        <row r="1">
          <cell r="P1" t="b">
            <v>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 руководству"/>
      <sheetName val="Сут. сводка за неделю"/>
      <sheetName val="база общ"/>
      <sheetName val="2003"/>
      <sheetName val="Суточная добыча за неделю"/>
    </sheetNames>
    <sheetDataSet>
      <sheetData sheetId="0" refreshError="1">
        <row r="1">
          <cell r="P1" t="b">
            <v>1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нализ"/>
      <sheetName val="Газ"/>
      <sheetName val="ГРП, Оптимизация"/>
      <sheetName val="Итоги"/>
      <sheetName val="Простои"/>
      <sheetName val="Работа бригад ТКРС"/>
      <sheetName val="Рапорт"/>
      <sheetName val="Потери"/>
      <sheetName val="Бурение"/>
      <sheetName val="Daily report"/>
      <sheetName val="Дельта"/>
      <sheetName val="Фонд скважин"/>
      <sheetName val="Добыча"/>
      <sheetName val="База"/>
      <sheetName val="таблица руководству"/>
    </sheetNames>
    <sheetDataSet>
      <sheetData sheetId="0">
        <row r="21">
          <cell r="B21">
            <v>442586.16129032301</v>
          </cell>
          <cell r="D21">
            <v>449260</v>
          </cell>
          <cell r="E21">
            <v>446900</v>
          </cell>
          <cell r="F21">
            <v>447280</v>
          </cell>
        </row>
        <row r="22">
          <cell r="B22">
            <v>30089.552238806002</v>
          </cell>
          <cell r="D22">
            <v>29237</v>
          </cell>
          <cell r="E22">
            <v>29928</v>
          </cell>
          <cell r="F22">
            <v>29930</v>
          </cell>
        </row>
        <row r="23">
          <cell r="B23">
            <v>27730.616010854799</v>
          </cell>
          <cell r="D23">
            <v>25584.233</v>
          </cell>
          <cell r="E23">
            <v>26417.667000000001</v>
          </cell>
          <cell r="F23">
            <v>29055</v>
          </cell>
        </row>
        <row r="24">
          <cell r="B24">
            <v>409709.67741935502</v>
          </cell>
          <cell r="D24">
            <v>418116.67</v>
          </cell>
          <cell r="E24">
            <v>414780</v>
          </cell>
          <cell r="F24">
            <v>414940</v>
          </cell>
        </row>
        <row r="25">
          <cell r="B25">
            <v>3732.2903225806499</v>
          </cell>
          <cell r="D25">
            <v>3717.6</v>
          </cell>
          <cell r="E25">
            <v>3717.6</v>
          </cell>
          <cell r="F25">
            <v>4960.3999999999996</v>
          </cell>
        </row>
        <row r="28">
          <cell r="D28">
            <v>81</v>
          </cell>
          <cell r="E28">
            <v>-89.743000000000094</v>
          </cell>
        </row>
        <row r="29">
          <cell r="B29">
            <v>97.620645161290298</v>
          </cell>
          <cell r="E29">
            <v>133.6</v>
          </cell>
        </row>
        <row r="30">
          <cell r="B30">
            <v>10.008064516129</v>
          </cell>
          <cell r="E30">
            <v>6.7</v>
          </cell>
        </row>
        <row r="31">
          <cell r="B31">
            <v>7.58709677419355</v>
          </cell>
          <cell r="E31">
            <v>0</v>
          </cell>
        </row>
        <row r="35">
          <cell r="B35">
            <v>366885.48387096799</v>
          </cell>
          <cell r="D35">
            <v>385150</v>
          </cell>
          <cell r="E35">
            <v>368200</v>
          </cell>
          <cell r="F35">
            <v>373450</v>
          </cell>
        </row>
        <row r="36">
          <cell r="B36">
            <v>23222.002713704202</v>
          </cell>
          <cell r="D36">
            <v>24070</v>
          </cell>
          <cell r="E36">
            <v>23000</v>
          </cell>
          <cell r="F36">
            <v>23015</v>
          </cell>
        </row>
        <row r="37">
          <cell r="B37">
            <v>23028.016282225199</v>
          </cell>
          <cell r="D37">
            <v>23973.267</v>
          </cell>
          <cell r="E37">
            <v>22898.400000000001</v>
          </cell>
          <cell r="F37">
            <v>23156</v>
          </cell>
        </row>
        <row r="38">
          <cell r="B38">
            <v>339543.35483870999</v>
          </cell>
          <cell r="D38">
            <v>358511</v>
          </cell>
          <cell r="E38">
            <v>339573</v>
          </cell>
          <cell r="F38">
            <v>343986</v>
          </cell>
        </row>
        <row r="39">
          <cell r="B39">
            <v>2158.9354838709701</v>
          </cell>
          <cell r="D39">
            <v>2171.6</v>
          </cell>
          <cell r="E39">
            <v>2078.2339999999999</v>
          </cell>
          <cell r="F39">
            <v>2175.5940000000001</v>
          </cell>
        </row>
        <row r="42">
          <cell r="D42">
            <v>-67</v>
          </cell>
          <cell r="E42">
            <v>-9</v>
          </cell>
        </row>
        <row r="43">
          <cell r="B43">
            <v>135.841935483871</v>
          </cell>
          <cell r="E43">
            <v>181.4</v>
          </cell>
        </row>
        <row r="44">
          <cell r="B44">
            <v>21.054838709677401</v>
          </cell>
          <cell r="E44">
            <v>36.4</v>
          </cell>
        </row>
        <row r="45">
          <cell r="B45">
            <v>1.10967741935484</v>
          </cell>
          <cell r="E45">
            <v>0.4</v>
          </cell>
        </row>
        <row r="49">
          <cell r="B49">
            <v>58995.612903225803</v>
          </cell>
          <cell r="D49">
            <v>55196.667000000001</v>
          </cell>
          <cell r="E49">
            <v>59600</v>
          </cell>
          <cell r="F49">
            <v>59121</v>
          </cell>
        </row>
        <row r="50">
          <cell r="B50">
            <v>19860.635006784301</v>
          </cell>
          <cell r="D50">
            <v>18690</v>
          </cell>
          <cell r="E50">
            <v>19701</v>
          </cell>
          <cell r="F50">
            <v>19467</v>
          </cell>
        </row>
        <row r="51">
          <cell r="B51">
            <v>19833.964721845299</v>
          </cell>
          <cell r="D51">
            <v>18633.2</v>
          </cell>
          <cell r="E51">
            <v>19584.599999999999</v>
          </cell>
          <cell r="F51">
            <v>14932</v>
          </cell>
        </row>
        <row r="52">
          <cell r="B52">
            <v>64195.7419354839</v>
          </cell>
          <cell r="D52">
            <v>62116.667000000001</v>
          </cell>
          <cell r="E52">
            <v>65000</v>
          </cell>
          <cell r="F52">
            <v>63625</v>
          </cell>
        </row>
        <row r="53">
          <cell r="B53">
            <v>206.58064516128999</v>
          </cell>
          <cell r="D53">
            <v>201.934</v>
          </cell>
          <cell r="E53">
            <v>201.934</v>
          </cell>
          <cell r="F53">
            <v>203.1</v>
          </cell>
        </row>
        <row r="56">
          <cell r="D56">
            <v>-59</v>
          </cell>
          <cell r="E56">
            <v>-190.4</v>
          </cell>
        </row>
        <row r="57">
          <cell r="B57">
            <v>161.61612903225799</v>
          </cell>
          <cell r="E57">
            <v>386</v>
          </cell>
        </row>
        <row r="58">
          <cell r="B58">
            <v>21.522580645161302</v>
          </cell>
          <cell r="E58">
            <v>9</v>
          </cell>
        </row>
        <row r="59">
          <cell r="B59">
            <v>2.2677419354838699</v>
          </cell>
          <cell r="E59">
            <v>0</v>
          </cell>
        </row>
        <row r="63">
          <cell r="B63">
            <v>3766.2580645161302</v>
          </cell>
          <cell r="D63">
            <v>4066</v>
          </cell>
          <cell r="E63">
            <v>3943</v>
          </cell>
          <cell r="F63">
            <v>3946</v>
          </cell>
        </row>
        <row r="64">
          <cell r="B64">
            <v>2325.0366350067802</v>
          </cell>
          <cell r="D64">
            <v>2189</v>
          </cell>
          <cell r="E64">
            <v>2454</v>
          </cell>
          <cell r="F64">
            <v>2487</v>
          </cell>
        </row>
        <row r="65">
          <cell r="B65">
            <v>2307.1587516960699</v>
          </cell>
          <cell r="D65">
            <v>2172.6999999999998</v>
          </cell>
          <cell r="E65">
            <v>2482.3000000000002</v>
          </cell>
          <cell r="F65">
            <v>2632</v>
          </cell>
        </row>
        <row r="66">
          <cell r="B66">
            <v>5377.5806451612898</v>
          </cell>
          <cell r="D66">
            <v>5104.2332999999999</v>
          </cell>
          <cell r="E66">
            <v>5357.5666000000001</v>
          </cell>
          <cell r="F66">
            <v>5371</v>
          </cell>
        </row>
        <row r="67">
          <cell r="B67">
            <v>26.616129032258101</v>
          </cell>
          <cell r="D67">
            <v>25.53</v>
          </cell>
          <cell r="E67">
            <v>28.8</v>
          </cell>
          <cell r="F67">
            <v>28.8</v>
          </cell>
        </row>
        <row r="70">
          <cell r="D70">
            <v>14</v>
          </cell>
          <cell r="E70">
            <v>59</v>
          </cell>
        </row>
        <row r="71">
          <cell r="B71">
            <v>3.4774193548387098</v>
          </cell>
          <cell r="E71">
            <v>4.7</v>
          </cell>
        </row>
        <row r="72">
          <cell r="B72">
            <v>0</v>
          </cell>
          <cell r="E72">
            <v>0</v>
          </cell>
        </row>
        <row r="73">
          <cell r="B73">
            <v>0</v>
          </cell>
          <cell r="E73">
            <v>0</v>
          </cell>
        </row>
        <row r="77">
          <cell r="B77">
            <v>74539.096774193502</v>
          </cell>
          <cell r="D77">
            <v>63623</v>
          </cell>
          <cell r="E77">
            <v>75106</v>
          </cell>
          <cell r="F77">
            <v>78121</v>
          </cell>
        </row>
        <row r="78">
          <cell r="B78">
            <v>10736.4993215739</v>
          </cell>
          <cell r="D78">
            <v>8521</v>
          </cell>
          <cell r="E78">
            <v>10794</v>
          </cell>
          <cell r="F78">
            <v>10800</v>
          </cell>
        </row>
        <row r="79">
          <cell r="B79">
            <v>10258.6485753053</v>
          </cell>
          <cell r="D79">
            <v>7899</v>
          </cell>
          <cell r="E79">
            <v>10019</v>
          </cell>
          <cell r="F79">
            <v>10486</v>
          </cell>
        </row>
        <row r="80">
          <cell r="B80">
            <v>56426.419354838697</v>
          </cell>
          <cell r="D80">
            <v>54950</v>
          </cell>
          <cell r="E80">
            <v>56960</v>
          </cell>
          <cell r="F80">
            <v>60270</v>
          </cell>
        </row>
        <row r="81">
          <cell r="B81">
            <v>1577.3548387096801</v>
          </cell>
          <cell r="D81">
            <v>1166</v>
          </cell>
          <cell r="E81">
            <v>1504</v>
          </cell>
          <cell r="F81">
            <v>1557</v>
          </cell>
        </row>
        <row r="84">
          <cell r="D84">
            <v>-55.2</v>
          </cell>
          <cell r="E84">
            <v>83.898499999999999</v>
          </cell>
        </row>
        <row r="85">
          <cell r="B85">
            <v>102.723870967742</v>
          </cell>
          <cell r="E85">
            <v>101.44</v>
          </cell>
        </row>
        <row r="86">
          <cell r="B86">
            <v>12.2261290322581</v>
          </cell>
          <cell r="E86">
            <v>1.21</v>
          </cell>
        </row>
        <row r="87">
          <cell r="B87">
            <v>8.6238709677419401</v>
          </cell>
          <cell r="E87">
            <v>8.44</v>
          </cell>
        </row>
        <row r="91">
          <cell r="B91">
            <v>104569.774193548</v>
          </cell>
          <cell r="D91">
            <v>91158</v>
          </cell>
          <cell r="E91">
            <v>105315</v>
          </cell>
          <cell r="F91">
            <v>105315</v>
          </cell>
        </row>
        <row r="92">
          <cell r="B92">
            <v>34697.421981004103</v>
          </cell>
          <cell r="D92">
            <v>29990</v>
          </cell>
          <cell r="E92">
            <v>34374</v>
          </cell>
          <cell r="F92">
            <v>34374</v>
          </cell>
        </row>
        <row r="93">
          <cell r="B93">
            <v>34309.058344640398</v>
          </cell>
          <cell r="D93">
            <v>29491</v>
          </cell>
          <cell r="E93">
            <v>34670</v>
          </cell>
          <cell r="F93">
            <v>35808</v>
          </cell>
        </row>
        <row r="94">
          <cell r="B94">
            <v>85650.225806451606</v>
          </cell>
          <cell r="D94">
            <v>80220</v>
          </cell>
          <cell r="E94">
            <v>86272</v>
          </cell>
          <cell r="F94">
            <v>86061</v>
          </cell>
        </row>
        <row r="95">
          <cell r="B95">
            <v>5890.5161290322603</v>
          </cell>
          <cell r="D95">
            <v>5781</v>
          </cell>
          <cell r="E95">
            <v>5781</v>
          </cell>
          <cell r="F95">
            <v>5976</v>
          </cell>
        </row>
        <row r="98">
          <cell r="D98">
            <v>-147</v>
          </cell>
          <cell r="E98">
            <v>155</v>
          </cell>
        </row>
        <row r="99">
          <cell r="B99">
            <v>119.41935483871001</v>
          </cell>
          <cell r="E99">
            <v>111</v>
          </cell>
        </row>
        <row r="100">
          <cell r="B100">
            <v>43.548387096774199</v>
          </cell>
          <cell r="E100">
            <v>35</v>
          </cell>
        </row>
        <row r="101">
          <cell r="B101">
            <v>8.8709677419354804</v>
          </cell>
          <cell r="E101">
            <v>6</v>
          </cell>
        </row>
        <row r="105">
          <cell r="B105">
            <v>3334.83870967742</v>
          </cell>
          <cell r="D105">
            <v>2139</v>
          </cell>
          <cell r="E105">
            <v>2985</v>
          </cell>
          <cell r="F105">
            <v>3419</v>
          </cell>
        </row>
        <row r="106">
          <cell r="B106">
            <v>3220.65671641791</v>
          </cell>
          <cell r="D106">
            <v>1945</v>
          </cell>
          <cell r="E106">
            <v>2908</v>
          </cell>
          <cell r="F106">
            <v>3199</v>
          </cell>
        </row>
        <row r="107">
          <cell r="B107">
            <v>3048.4233378561698</v>
          </cell>
          <cell r="D107">
            <v>2072</v>
          </cell>
          <cell r="E107">
            <v>3177</v>
          </cell>
          <cell r="F107">
            <v>3174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B109">
            <v>137.928387096774</v>
          </cell>
          <cell r="D109">
            <v>109.5</v>
          </cell>
          <cell r="E109">
            <v>130.4</v>
          </cell>
          <cell r="F109">
            <v>130.4</v>
          </cell>
        </row>
        <row r="112">
          <cell r="D112">
            <v>20</v>
          </cell>
          <cell r="E112">
            <v>0</v>
          </cell>
        </row>
        <row r="113">
          <cell r="B113">
            <v>12.5612903225806</v>
          </cell>
          <cell r="E113">
            <v>8</v>
          </cell>
        </row>
        <row r="114">
          <cell r="B114">
            <v>7.7096774193548399</v>
          </cell>
          <cell r="E114">
            <v>0</v>
          </cell>
        </row>
        <row r="115">
          <cell r="B115">
            <v>0</v>
          </cell>
          <cell r="E115">
            <v>0</v>
          </cell>
        </row>
        <row r="119">
          <cell r="B119">
            <v>3321.4193548387102</v>
          </cell>
          <cell r="D119">
            <v>3185</v>
          </cell>
          <cell r="E119">
            <v>3297</v>
          </cell>
          <cell r="F119">
            <v>3309</v>
          </cell>
        </row>
        <row r="120">
          <cell r="B120">
            <v>1410.88738127544</v>
          </cell>
          <cell r="D120">
            <v>1041</v>
          </cell>
          <cell r="E120">
            <v>1386</v>
          </cell>
          <cell r="F120">
            <v>1388</v>
          </cell>
        </row>
        <row r="121">
          <cell r="B121">
            <v>1403.36499321574</v>
          </cell>
          <cell r="D121">
            <v>1029</v>
          </cell>
          <cell r="E121">
            <v>1371</v>
          </cell>
          <cell r="F121">
            <v>1394</v>
          </cell>
        </row>
        <row r="122">
          <cell r="B122">
            <v>3405.3225806451601</v>
          </cell>
          <cell r="D122">
            <v>3329</v>
          </cell>
          <cell r="E122">
            <v>3682</v>
          </cell>
          <cell r="F122">
            <v>3690</v>
          </cell>
        </row>
        <row r="123">
          <cell r="B123">
            <v>103.354838709677</v>
          </cell>
          <cell r="D123">
            <v>77.2</v>
          </cell>
          <cell r="E123">
            <v>102.7</v>
          </cell>
          <cell r="F123">
            <v>106.2</v>
          </cell>
        </row>
        <row r="126">
          <cell r="D126">
            <v>10.9</v>
          </cell>
          <cell r="E126">
            <v>-18</v>
          </cell>
        </row>
        <row r="127">
          <cell r="B127">
            <v>3.5354838709677399</v>
          </cell>
          <cell r="E127">
            <v>27.6</v>
          </cell>
        </row>
        <row r="128">
          <cell r="B128">
            <v>2.3838709677419399</v>
          </cell>
          <cell r="E128">
            <v>0</v>
          </cell>
        </row>
        <row r="129">
          <cell r="B129">
            <v>3.5483870967741901E-2</v>
          </cell>
          <cell r="E129">
            <v>0</v>
          </cell>
        </row>
      </sheetData>
      <sheetData sheetId="1">
        <row r="37">
          <cell r="I37">
            <v>109639</v>
          </cell>
          <cell r="J37">
            <v>112174</v>
          </cell>
          <cell r="K37">
            <v>112180</v>
          </cell>
          <cell r="N37">
            <v>8554820</v>
          </cell>
          <cell r="O37">
            <v>8604170</v>
          </cell>
          <cell r="P37">
            <v>8612180</v>
          </cell>
        </row>
        <row r="38">
          <cell r="I38">
            <v>15490</v>
          </cell>
          <cell r="J38">
            <v>15490</v>
          </cell>
          <cell r="K38">
            <v>18342</v>
          </cell>
          <cell r="N38">
            <v>1164782.99</v>
          </cell>
          <cell r="O38">
            <v>1164782.99</v>
          </cell>
          <cell r="P38">
            <v>1258083</v>
          </cell>
        </row>
        <row r="39">
          <cell r="I39">
            <v>15490</v>
          </cell>
          <cell r="J39">
            <v>15490</v>
          </cell>
          <cell r="K39">
            <v>18342</v>
          </cell>
          <cell r="N39">
            <v>1164782.99</v>
          </cell>
          <cell r="O39">
            <v>1164782.99</v>
          </cell>
          <cell r="P39">
            <v>1258083</v>
          </cell>
        </row>
        <row r="40">
          <cell r="I40">
            <v>0</v>
          </cell>
          <cell r="J40">
            <v>0</v>
          </cell>
          <cell r="K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I41">
            <v>14870.4</v>
          </cell>
          <cell r="J41">
            <v>14870.4</v>
          </cell>
          <cell r="K41">
            <v>17896.311000000002</v>
          </cell>
          <cell r="N41">
            <v>1115780.5850000002</v>
          </cell>
          <cell r="O41">
            <v>1115780.5850000002</v>
          </cell>
          <cell r="P41">
            <v>1223589.3060000001</v>
          </cell>
        </row>
        <row r="42">
          <cell r="I42">
            <v>14870.4</v>
          </cell>
          <cell r="J42">
            <v>14870.4</v>
          </cell>
          <cell r="K42">
            <v>17896.311000000002</v>
          </cell>
          <cell r="N42">
            <v>1115780.5850000002</v>
          </cell>
          <cell r="O42">
            <v>1115780.5850000002</v>
          </cell>
          <cell r="P42">
            <v>1223589.3060000001</v>
          </cell>
        </row>
        <row r="43">
          <cell r="I43">
            <v>0</v>
          </cell>
          <cell r="J43">
            <v>0</v>
          </cell>
          <cell r="K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I44">
            <v>600.13199999999995</v>
          </cell>
          <cell r="J44">
            <v>600.13199999999995</v>
          </cell>
          <cell r="K44">
            <v>600.13199999999995</v>
          </cell>
          <cell r="N44">
            <v>45123.107000000004</v>
          </cell>
          <cell r="O44">
            <v>45123.107000000004</v>
          </cell>
          <cell r="P44">
            <v>48628.101000000002</v>
          </cell>
        </row>
        <row r="45">
          <cell r="I45">
            <v>600.13199999999995</v>
          </cell>
          <cell r="J45">
            <v>600.13199999999995</v>
          </cell>
          <cell r="K45">
            <v>600.13199999999995</v>
          </cell>
          <cell r="N45">
            <v>45123.107000000004</v>
          </cell>
          <cell r="O45">
            <v>45123.107000000004</v>
          </cell>
          <cell r="P45">
            <v>48628.101000000002</v>
          </cell>
        </row>
        <row r="46">
          <cell r="I46">
            <v>0</v>
          </cell>
          <cell r="J46">
            <v>0</v>
          </cell>
          <cell r="K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I47">
            <v>208</v>
          </cell>
          <cell r="J47">
            <v>208</v>
          </cell>
          <cell r="K47">
            <v>208</v>
          </cell>
          <cell r="N47">
            <v>15261.022000000001</v>
          </cell>
          <cell r="O47">
            <v>15261.022000000001</v>
          </cell>
          <cell r="P47">
            <v>15261</v>
          </cell>
        </row>
        <row r="48">
          <cell r="I48">
            <v>208</v>
          </cell>
          <cell r="J48">
            <v>208</v>
          </cell>
          <cell r="K48">
            <v>208</v>
          </cell>
          <cell r="N48">
            <v>15261.022000000001</v>
          </cell>
          <cell r="O48">
            <v>15261.022000000001</v>
          </cell>
          <cell r="P48">
            <v>15261</v>
          </cell>
        </row>
        <row r="49">
          <cell r="I49">
            <v>0</v>
          </cell>
          <cell r="J49">
            <v>0</v>
          </cell>
          <cell r="K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I50">
            <v>723.46799999999996</v>
          </cell>
          <cell r="J50">
            <v>723.46799999999996</v>
          </cell>
          <cell r="K50">
            <v>458.43399999999997</v>
          </cell>
          <cell r="N50">
            <v>40951.46</v>
          </cell>
          <cell r="O50">
            <v>40951.46</v>
          </cell>
          <cell r="P50">
            <v>30077.433999999997</v>
          </cell>
        </row>
        <row r="51">
          <cell r="I51">
            <v>723.46799999999996</v>
          </cell>
          <cell r="J51">
            <v>723.46799999999996</v>
          </cell>
          <cell r="K51">
            <v>458.43399999999997</v>
          </cell>
          <cell r="N51">
            <v>40951.46</v>
          </cell>
          <cell r="O51">
            <v>40951.46</v>
          </cell>
          <cell r="P51">
            <v>30077.433999999997</v>
          </cell>
        </row>
        <row r="52">
          <cell r="I52">
            <v>0</v>
          </cell>
          <cell r="J52">
            <v>0</v>
          </cell>
          <cell r="K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I53">
            <v>52</v>
          </cell>
          <cell r="J53">
            <v>52</v>
          </cell>
          <cell r="K53">
            <v>224.745</v>
          </cell>
          <cell r="N53">
            <v>4512.0259999999998</v>
          </cell>
          <cell r="O53">
            <v>4512.0259999999998</v>
          </cell>
          <cell r="P53">
            <v>4454.7449999999999</v>
          </cell>
        </row>
        <row r="54">
          <cell r="I54">
            <v>52</v>
          </cell>
          <cell r="J54">
            <v>52</v>
          </cell>
          <cell r="K54">
            <v>224.745</v>
          </cell>
          <cell r="N54">
            <v>4512.0259999999998</v>
          </cell>
          <cell r="O54">
            <v>4512.0259999999998</v>
          </cell>
          <cell r="P54">
            <v>4454.7449999999999</v>
          </cell>
        </row>
        <row r="55">
          <cell r="I55">
            <v>0</v>
          </cell>
          <cell r="J55">
            <v>0</v>
          </cell>
          <cell r="K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I56">
            <v>13286.8</v>
          </cell>
          <cell r="J56">
            <v>13286.8</v>
          </cell>
          <cell r="K56">
            <v>16405</v>
          </cell>
          <cell r="N56">
            <v>1009932.426</v>
          </cell>
          <cell r="O56">
            <v>1009932.426</v>
          </cell>
          <cell r="P56">
            <v>1125168</v>
          </cell>
        </row>
        <row r="57">
          <cell r="I57">
            <v>13286.8</v>
          </cell>
          <cell r="J57">
            <v>13286.8</v>
          </cell>
          <cell r="K57">
            <v>16405</v>
          </cell>
          <cell r="N57">
            <v>1009932.426</v>
          </cell>
          <cell r="O57">
            <v>1009932.426</v>
          </cell>
          <cell r="P57">
            <v>1125168</v>
          </cell>
        </row>
        <row r="58">
          <cell r="I58">
            <v>0</v>
          </cell>
          <cell r="J58">
            <v>0</v>
          </cell>
          <cell r="K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I59">
            <v>619.6</v>
          </cell>
          <cell r="J59">
            <v>619.6</v>
          </cell>
          <cell r="K59">
            <v>445.68900000000008</v>
          </cell>
          <cell r="N59">
            <v>49002.145000000004</v>
          </cell>
          <cell r="O59">
            <v>49002.145000000004</v>
          </cell>
          <cell r="P59">
            <v>34493.924999999996</v>
          </cell>
        </row>
        <row r="60">
          <cell r="I60">
            <v>619.6</v>
          </cell>
          <cell r="J60">
            <v>619.6</v>
          </cell>
          <cell r="K60">
            <v>445.68900000000008</v>
          </cell>
          <cell r="N60">
            <v>49002.145000000004</v>
          </cell>
          <cell r="O60">
            <v>49002.145000000004</v>
          </cell>
          <cell r="P60">
            <v>34493.924999999996</v>
          </cell>
        </row>
        <row r="61">
          <cell r="I61">
            <v>0</v>
          </cell>
          <cell r="J61">
            <v>0</v>
          </cell>
          <cell r="K61">
            <v>0</v>
          </cell>
          <cell r="N61">
            <v>0</v>
          </cell>
          <cell r="O61">
            <v>0</v>
          </cell>
          <cell r="P61">
            <v>0</v>
          </cell>
        </row>
        <row r="66">
          <cell r="I66">
            <v>90235</v>
          </cell>
          <cell r="J66">
            <v>86625</v>
          </cell>
          <cell r="K66">
            <v>86519</v>
          </cell>
          <cell r="N66">
            <v>6920975</v>
          </cell>
          <cell r="O66">
            <v>6713953</v>
          </cell>
          <cell r="P66">
            <v>6697241</v>
          </cell>
        </row>
        <row r="67">
          <cell r="I67">
            <v>8973.6</v>
          </cell>
          <cell r="J67">
            <v>8587.732</v>
          </cell>
          <cell r="K67">
            <v>8673</v>
          </cell>
          <cell r="N67">
            <v>653869.58000000007</v>
          </cell>
          <cell r="O67">
            <v>639086.28099999996</v>
          </cell>
          <cell r="P67">
            <v>640342</v>
          </cell>
        </row>
        <row r="68">
          <cell r="I68">
            <v>8973.6</v>
          </cell>
          <cell r="J68">
            <v>8587.732</v>
          </cell>
          <cell r="K68">
            <v>8673</v>
          </cell>
          <cell r="N68">
            <v>653869.58000000007</v>
          </cell>
          <cell r="O68">
            <v>639086.28099999996</v>
          </cell>
          <cell r="P68">
            <v>640342</v>
          </cell>
        </row>
        <row r="69">
          <cell r="I69">
            <v>0</v>
          </cell>
          <cell r="J69">
            <v>0</v>
          </cell>
          <cell r="K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I70">
            <v>8686.4</v>
          </cell>
          <cell r="J70">
            <v>8312.9359999999997</v>
          </cell>
          <cell r="K70">
            <v>8652.8869999999988</v>
          </cell>
          <cell r="N70">
            <v>626896.36199999996</v>
          </cell>
          <cell r="O70">
            <v>612777.68500000006</v>
          </cell>
          <cell r="P70">
            <v>625883.02</v>
          </cell>
        </row>
        <row r="71">
          <cell r="I71">
            <v>8686.4</v>
          </cell>
          <cell r="J71">
            <v>8312.9359999999997</v>
          </cell>
          <cell r="K71">
            <v>8652.8869999999988</v>
          </cell>
          <cell r="N71">
            <v>626896.36199999996</v>
          </cell>
          <cell r="O71">
            <v>612777.68500000006</v>
          </cell>
          <cell r="P71">
            <v>625883.02</v>
          </cell>
        </row>
        <row r="72">
          <cell r="I72">
            <v>0</v>
          </cell>
          <cell r="J72">
            <v>0</v>
          </cell>
          <cell r="K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I73">
            <v>347.6</v>
          </cell>
          <cell r="J73">
            <v>332.66800000000001</v>
          </cell>
          <cell r="K73">
            <v>347.6</v>
          </cell>
          <cell r="N73">
            <v>25330.592000000001</v>
          </cell>
          <cell r="O73">
            <v>24756.272000000001</v>
          </cell>
          <cell r="P73">
            <v>24819.151000000002</v>
          </cell>
        </row>
        <row r="74">
          <cell r="I74">
            <v>347.6</v>
          </cell>
          <cell r="J74">
            <v>332.66800000000001</v>
          </cell>
          <cell r="K74">
            <v>347.6</v>
          </cell>
          <cell r="N74">
            <v>25330.592000000001</v>
          </cell>
          <cell r="O74">
            <v>24756.272000000001</v>
          </cell>
          <cell r="P74">
            <v>24819.151000000002</v>
          </cell>
        </row>
        <row r="75">
          <cell r="I75">
            <v>0</v>
          </cell>
          <cell r="J75">
            <v>0</v>
          </cell>
          <cell r="K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I76">
            <v>236</v>
          </cell>
          <cell r="J76">
            <v>236</v>
          </cell>
          <cell r="K76">
            <v>236</v>
          </cell>
          <cell r="N76">
            <v>12999.978999999999</v>
          </cell>
          <cell r="O76">
            <v>12999.978999999999</v>
          </cell>
          <cell r="P76">
            <v>9537</v>
          </cell>
        </row>
        <row r="77">
          <cell r="I77">
            <v>236</v>
          </cell>
          <cell r="J77">
            <v>236</v>
          </cell>
          <cell r="K77">
            <v>236</v>
          </cell>
          <cell r="N77">
            <v>12999.978999999999</v>
          </cell>
          <cell r="O77">
            <v>12999.978999999999</v>
          </cell>
          <cell r="P77">
            <v>9537</v>
          </cell>
        </row>
        <row r="78">
          <cell r="I78">
            <v>0</v>
          </cell>
          <cell r="J78">
            <v>0</v>
          </cell>
          <cell r="K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I79">
            <v>308.66800000000001</v>
          </cell>
          <cell r="J79">
            <v>308.66800000000001</v>
          </cell>
          <cell r="K79">
            <v>315.28699999999998</v>
          </cell>
          <cell r="N79">
            <v>13318.671</v>
          </cell>
          <cell r="O79">
            <v>13318.671</v>
          </cell>
          <cell r="P79">
            <v>12837.287</v>
          </cell>
        </row>
        <row r="80">
          <cell r="I80">
            <v>308.66800000000001</v>
          </cell>
          <cell r="J80">
            <v>308.66800000000001</v>
          </cell>
          <cell r="K80">
            <v>315.28699999999998</v>
          </cell>
          <cell r="N80">
            <v>13318.671</v>
          </cell>
          <cell r="O80">
            <v>13318.671</v>
          </cell>
          <cell r="P80">
            <v>12837.287</v>
          </cell>
        </row>
        <row r="81">
          <cell r="I81">
            <v>0</v>
          </cell>
          <cell r="J81">
            <v>0</v>
          </cell>
          <cell r="K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I85">
            <v>7794.1319999999996</v>
          </cell>
          <cell r="J85">
            <v>7435.6</v>
          </cell>
          <cell r="K85">
            <v>7754</v>
          </cell>
          <cell r="N85">
            <v>575247.12000000011</v>
          </cell>
          <cell r="O85">
            <v>561702.76300000004</v>
          </cell>
          <cell r="P85">
            <v>578691</v>
          </cell>
        </row>
        <row r="86">
          <cell r="I86">
            <v>7794.1319999999996</v>
          </cell>
          <cell r="J86">
            <v>7435.6</v>
          </cell>
          <cell r="K86">
            <v>7754</v>
          </cell>
          <cell r="N86">
            <v>575247.12000000011</v>
          </cell>
          <cell r="O86">
            <v>561702.76300000004</v>
          </cell>
          <cell r="P86">
            <v>578691</v>
          </cell>
        </row>
        <row r="87">
          <cell r="I87">
            <v>0</v>
          </cell>
          <cell r="J87">
            <v>0</v>
          </cell>
          <cell r="K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I88">
            <v>287.20000000000016</v>
          </cell>
          <cell r="J88">
            <v>274.79600000000005</v>
          </cell>
          <cell r="K88">
            <v>20.112999999999897</v>
          </cell>
          <cell r="N88">
            <v>26973.218000000001</v>
          </cell>
          <cell r="O88">
            <v>26308.596000000001</v>
          </cell>
          <cell r="P88">
            <v>14458.126</v>
          </cell>
        </row>
        <row r="89">
          <cell r="I89">
            <v>287.20000000000016</v>
          </cell>
          <cell r="J89">
            <v>274.79600000000005</v>
          </cell>
          <cell r="K89">
            <v>20.112999999999897</v>
          </cell>
          <cell r="N89">
            <v>26973.218000000001</v>
          </cell>
          <cell r="O89">
            <v>26308.596000000001</v>
          </cell>
          <cell r="P89">
            <v>14458.126</v>
          </cell>
        </row>
        <row r="90">
          <cell r="I90">
            <v>0</v>
          </cell>
          <cell r="J90">
            <v>0</v>
          </cell>
          <cell r="K90">
            <v>0</v>
          </cell>
          <cell r="N90">
            <v>0</v>
          </cell>
          <cell r="O90">
            <v>0</v>
          </cell>
          <cell r="P90">
            <v>0</v>
          </cell>
        </row>
        <row r="106">
          <cell r="I106">
            <v>57487</v>
          </cell>
          <cell r="J106">
            <v>62091</v>
          </cell>
          <cell r="K106">
            <v>61355</v>
          </cell>
          <cell r="N106">
            <v>4752563.8499999996</v>
          </cell>
          <cell r="O106">
            <v>4930474</v>
          </cell>
          <cell r="P106">
            <v>4919883</v>
          </cell>
        </row>
        <row r="107">
          <cell r="I107">
            <v>4140.4040000000005</v>
          </cell>
          <cell r="J107">
            <v>4140.4040000000005</v>
          </cell>
          <cell r="K107">
            <v>4247.3999999999996</v>
          </cell>
          <cell r="N107">
            <v>322221.49400000001</v>
          </cell>
          <cell r="O107">
            <v>323108.48300000001</v>
          </cell>
          <cell r="P107">
            <v>332292.40000000002</v>
          </cell>
        </row>
        <row r="108">
          <cell r="I108">
            <v>616.13599999999997</v>
          </cell>
          <cell r="J108">
            <v>616.13599999999997</v>
          </cell>
          <cell r="K108">
            <v>619.1</v>
          </cell>
          <cell r="N108">
            <v>44418.603000000003</v>
          </cell>
          <cell r="O108">
            <v>43967.222000000002</v>
          </cell>
          <cell r="P108">
            <v>48394.700000000004</v>
          </cell>
        </row>
        <row r="109">
          <cell r="I109">
            <v>0</v>
          </cell>
          <cell r="J109">
            <v>0</v>
          </cell>
          <cell r="K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I110">
            <v>136.136</v>
          </cell>
          <cell r="J110">
            <v>136.136</v>
          </cell>
          <cell r="K110">
            <v>140.69999999999999</v>
          </cell>
          <cell r="N110">
            <v>10676.540999999999</v>
          </cell>
          <cell r="O110">
            <v>10697.431999999999</v>
          </cell>
          <cell r="P110">
            <v>11017.099999999999</v>
          </cell>
        </row>
        <row r="111">
          <cell r="I111">
            <v>273.33199999999999</v>
          </cell>
          <cell r="J111">
            <v>273.33199999999999</v>
          </cell>
          <cell r="K111">
            <v>264.8</v>
          </cell>
          <cell r="N111">
            <v>18338.374</v>
          </cell>
          <cell r="O111">
            <v>17923.361999999997</v>
          </cell>
          <cell r="P111">
            <v>19809.8</v>
          </cell>
        </row>
        <row r="112">
          <cell r="I112">
            <v>80</v>
          </cell>
          <cell r="J112">
            <v>80</v>
          </cell>
          <cell r="K112">
            <v>83.6</v>
          </cell>
          <cell r="N112">
            <v>3826.9389999999999</v>
          </cell>
          <cell r="O112">
            <v>3890.0940000000001</v>
          </cell>
          <cell r="P112">
            <v>3736.8</v>
          </cell>
        </row>
        <row r="113">
          <cell r="I113">
            <v>0</v>
          </cell>
          <cell r="J113">
            <v>0</v>
          </cell>
          <cell r="K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I114">
            <v>126.66800000000001</v>
          </cell>
          <cell r="J114">
            <v>126.66800000000001</v>
          </cell>
          <cell r="K114">
            <v>130</v>
          </cell>
          <cell r="N114">
            <v>11576.725999999999</v>
          </cell>
          <cell r="O114">
            <v>11456.884</v>
          </cell>
          <cell r="P114">
            <v>13830</v>
          </cell>
        </row>
        <row r="115">
          <cell r="I115">
            <v>3524.268</v>
          </cell>
          <cell r="J115">
            <v>3524.268</v>
          </cell>
          <cell r="K115">
            <v>3628.3</v>
          </cell>
          <cell r="N115">
            <v>277802.91399999999</v>
          </cell>
          <cell r="O115">
            <v>279141.33999999997</v>
          </cell>
          <cell r="P115">
            <v>283898.7</v>
          </cell>
        </row>
        <row r="118">
          <cell r="I118">
            <v>12985</v>
          </cell>
          <cell r="J118">
            <v>12024</v>
          </cell>
          <cell r="K118">
            <v>12165</v>
          </cell>
          <cell r="N118">
            <v>1047160.039</v>
          </cell>
          <cell r="O118">
            <v>1008281</v>
          </cell>
          <cell r="P118">
            <v>1001696</v>
          </cell>
        </row>
        <row r="119">
          <cell r="I119">
            <v>597.20000000000005</v>
          </cell>
          <cell r="J119">
            <v>597.20000000000005</v>
          </cell>
          <cell r="K119">
            <v>525.6</v>
          </cell>
          <cell r="N119">
            <v>45200.711000000003</v>
          </cell>
          <cell r="O119">
            <v>45439.192000000003</v>
          </cell>
          <cell r="P119">
            <v>42902.799999999996</v>
          </cell>
        </row>
        <row r="120">
          <cell r="I120">
            <v>191.6</v>
          </cell>
          <cell r="J120">
            <v>191.6</v>
          </cell>
          <cell r="K120">
            <v>190.5</v>
          </cell>
          <cell r="N120">
            <v>11755.471</v>
          </cell>
          <cell r="O120">
            <v>11674.628999999999</v>
          </cell>
          <cell r="P120">
            <v>11772.099999999999</v>
          </cell>
        </row>
        <row r="121">
          <cell r="I121">
            <v>0</v>
          </cell>
          <cell r="J121">
            <v>0</v>
          </cell>
          <cell r="K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I122">
            <v>27.6</v>
          </cell>
          <cell r="J122">
            <v>27.6</v>
          </cell>
          <cell r="K122">
            <v>24.5</v>
          </cell>
          <cell r="N122">
            <v>2084.77</v>
          </cell>
          <cell r="O122">
            <v>2030.6110000000001</v>
          </cell>
          <cell r="P122">
            <v>1981.8999999999999</v>
          </cell>
        </row>
        <row r="123">
          <cell r="I123">
            <v>120</v>
          </cell>
          <cell r="J123">
            <v>120</v>
          </cell>
          <cell r="K123">
            <v>121</v>
          </cell>
          <cell r="N123">
            <v>7770.0029999999997</v>
          </cell>
          <cell r="O123">
            <v>7719.9939999999997</v>
          </cell>
          <cell r="P123">
            <v>7897</v>
          </cell>
        </row>
        <row r="124">
          <cell r="I124">
            <v>44</v>
          </cell>
          <cell r="J124">
            <v>44</v>
          </cell>
          <cell r="K124">
            <v>45</v>
          </cell>
          <cell r="N124">
            <v>1901.018</v>
          </cell>
          <cell r="O124">
            <v>1924.0239999999999</v>
          </cell>
          <cell r="P124">
            <v>1894.1</v>
          </cell>
        </row>
        <row r="125">
          <cell r="I125">
            <v>0</v>
          </cell>
          <cell r="J125">
            <v>0</v>
          </cell>
          <cell r="K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I127">
            <v>405.6</v>
          </cell>
          <cell r="J127">
            <v>405.6</v>
          </cell>
          <cell r="K127">
            <v>335.1</v>
          </cell>
          <cell r="N127">
            <v>33445.919999999998</v>
          </cell>
          <cell r="O127">
            <v>33764.563000000002</v>
          </cell>
          <cell r="P127">
            <v>31130.7</v>
          </cell>
        </row>
        <row r="130">
          <cell r="I130">
            <v>8229</v>
          </cell>
          <cell r="J130">
            <v>9204</v>
          </cell>
          <cell r="K130">
            <v>9240</v>
          </cell>
          <cell r="N130">
            <v>724461</v>
          </cell>
          <cell r="O130">
            <v>749125</v>
          </cell>
          <cell r="P130">
            <v>750514</v>
          </cell>
        </row>
        <row r="131">
          <cell r="I131">
            <v>371.12790000000001</v>
          </cell>
          <cell r="J131">
            <v>415.10040000000004</v>
          </cell>
          <cell r="K131">
            <v>416.72399999999999</v>
          </cell>
          <cell r="N131">
            <v>32695.862810000002</v>
          </cell>
          <cell r="O131">
            <v>33804.764349999998</v>
          </cell>
          <cell r="P131">
            <v>33857.714199999995</v>
          </cell>
        </row>
        <row r="132">
          <cell r="I132">
            <v>95.79</v>
          </cell>
          <cell r="J132">
            <v>108.3</v>
          </cell>
          <cell r="K132">
            <v>108.3</v>
          </cell>
          <cell r="N132">
            <v>8038.8589000000002</v>
          </cell>
          <cell r="O132">
            <v>8324.2741499999993</v>
          </cell>
          <cell r="P132">
            <v>8357.4</v>
          </cell>
        </row>
        <row r="133">
          <cell r="I133">
            <v>0</v>
          </cell>
          <cell r="J133">
            <v>0</v>
          </cell>
          <cell r="K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I134">
            <v>4.3459077090000005</v>
          </cell>
          <cell r="J134">
            <v>4.8608256839999999</v>
          </cell>
          <cell r="K134">
            <v>4.8798380400000001</v>
          </cell>
          <cell r="N134">
            <v>383.12905868510001</v>
          </cell>
          <cell r="O134">
            <v>396.13473178609996</v>
          </cell>
          <cell r="P134">
            <v>396.785417198</v>
          </cell>
        </row>
        <row r="135">
          <cell r="I135">
            <v>91.444092291000004</v>
          </cell>
          <cell r="J135">
            <v>103.43917431599999</v>
          </cell>
          <cell r="K135">
            <v>103.42016196</v>
          </cell>
          <cell r="N135">
            <v>7656.7298413148992</v>
          </cell>
          <cell r="O135">
            <v>7927.1394182139002</v>
          </cell>
          <cell r="P135">
            <v>7960.8144408990001</v>
          </cell>
        </row>
        <row r="136">
          <cell r="I136">
            <v>0</v>
          </cell>
          <cell r="J136">
            <v>0</v>
          </cell>
          <cell r="K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I139">
            <v>275.33789999999999</v>
          </cell>
          <cell r="J139">
            <v>306.80040000000002</v>
          </cell>
          <cell r="K139">
            <v>308.42399999999998</v>
          </cell>
          <cell r="N139">
            <v>24657.003909999999</v>
          </cell>
          <cell r="O139">
            <v>25481.919160000001</v>
          </cell>
          <cell r="P139">
            <v>25501.283100000001</v>
          </cell>
        </row>
        <row r="142">
          <cell r="I142">
            <v>31973</v>
          </cell>
          <cell r="J142">
            <v>40508</v>
          </cell>
          <cell r="K142">
            <v>40519</v>
          </cell>
          <cell r="N142">
            <v>2807573</v>
          </cell>
          <cell r="O142">
            <v>3005608</v>
          </cell>
          <cell r="P142">
            <v>3023118.6</v>
          </cell>
        </row>
        <row r="143">
          <cell r="I143">
            <v>4511</v>
          </cell>
          <cell r="J143">
            <v>5805</v>
          </cell>
          <cell r="K143">
            <v>6237</v>
          </cell>
          <cell r="N143">
            <v>417781</v>
          </cell>
          <cell r="O143">
            <v>452965</v>
          </cell>
          <cell r="P143">
            <v>455007</v>
          </cell>
        </row>
        <row r="144">
          <cell r="I144">
            <v>4178</v>
          </cell>
          <cell r="J144">
            <v>5391</v>
          </cell>
          <cell r="K144">
            <v>5986.86</v>
          </cell>
          <cell r="N144">
            <v>386828</v>
          </cell>
          <cell r="O144">
            <v>419711</v>
          </cell>
          <cell r="P144">
            <v>430236.15999999997</v>
          </cell>
        </row>
        <row r="145">
          <cell r="I145">
            <v>0</v>
          </cell>
          <cell r="J145">
            <v>0</v>
          </cell>
          <cell r="K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I146">
            <v>115</v>
          </cell>
          <cell r="J146">
            <v>152</v>
          </cell>
          <cell r="K146">
            <v>152</v>
          </cell>
          <cell r="N146">
            <v>10855</v>
          </cell>
          <cell r="O146">
            <v>11852</v>
          </cell>
          <cell r="P146">
            <v>11892</v>
          </cell>
        </row>
        <row r="147">
          <cell r="I147">
            <v>75</v>
          </cell>
          <cell r="J147">
            <v>137</v>
          </cell>
          <cell r="K147">
            <v>75</v>
          </cell>
          <cell r="N147">
            <v>6375</v>
          </cell>
          <cell r="O147">
            <v>6897</v>
          </cell>
          <cell r="P147">
            <v>6840</v>
          </cell>
        </row>
        <row r="148">
          <cell r="I148">
            <v>258</v>
          </cell>
          <cell r="J148">
            <v>75</v>
          </cell>
          <cell r="K148">
            <v>75</v>
          </cell>
          <cell r="N148">
            <v>12578</v>
          </cell>
          <cell r="O148">
            <v>10025</v>
          </cell>
          <cell r="P148">
            <v>8815</v>
          </cell>
        </row>
        <row r="149">
          <cell r="I149">
            <v>175</v>
          </cell>
          <cell r="J149">
            <v>175</v>
          </cell>
          <cell r="K149">
            <v>175</v>
          </cell>
          <cell r="N149">
            <v>9745</v>
          </cell>
          <cell r="O149">
            <v>9745</v>
          </cell>
          <cell r="P149">
            <v>7762</v>
          </cell>
        </row>
        <row r="150">
          <cell r="I150">
            <v>3555</v>
          </cell>
          <cell r="J150">
            <v>4852</v>
          </cell>
          <cell r="K150">
            <v>5509.86</v>
          </cell>
          <cell r="N150">
            <v>347275</v>
          </cell>
          <cell r="O150">
            <v>381192</v>
          </cell>
          <cell r="P150">
            <v>394927.16</v>
          </cell>
        </row>
        <row r="151">
          <cell r="I151">
            <v>333</v>
          </cell>
          <cell r="J151">
            <v>414</v>
          </cell>
          <cell r="K151">
            <v>250.14</v>
          </cell>
          <cell r="N151">
            <v>30952</v>
          </cell>
          <cell r="O151">
            <v>33254</v>
          </cell>
          <cell r="P151">
            <v>24770.84</v>
          </cell>
        </row>
        <row r="174">
          <cell r="I174">
            <v>32678</v>
          </cell>
          <cell r="J174">
            <v>42089</v>
          </cell>
          <cell r="K174">
            <v>41989</v>
          </cell>
          <cell r="N174">
            <v>2790878</v>
          </cell>
          <cell r="O174">
            <v>3261384</v>
          </cell>
          <cell r="P174">
            <v>3261284</v>
          </cell>
        </row>
        <row r="175">
          <cell r="I175">
            <v>1868</v>
          </cell>
          <cell r="J175">
            <v>1868</v>
          </cell>
          <cell r="K175">
            <v>2144</v>
          </cell>
          <cell r="N175">
            <v>151476</v>
          </cell>
          <cell r="O175">
            <v>170836</v>
          </cell>
          <cell r="P175">
            <v>175016</v>
          </cell>
        </row>
        <row r="176">
          <cell r="I176">
            <v>1780</v>
          </cell>
          <cell r="J176">
            <v>1780</v>
          </cell>
          <cell r="K176">
            <v>2056</v>
          </cell>
          <cell r="N176">
            <v>143468</v>
          </cell>
          <cell r="O176">
            <v>162828</v>
          </cell>
          <cell r="P176">
            <v>167008</v>
          </cell>
        </row>
        <row r="177">
          <cell r="I177">
            <v>88</v>
          </cell>
          <cell r="J177">
            <v>88</v>
          </cell>
          <cell r="K177">
            <v>88</v>
          </cell>
          <cell r="N177">
            <v>8008</v>
          </cell>
          <cell r="O177">
            <v>8008</v>
          </cell>
          <cell r="P177">
            <v>8008</v>
          </cell>
        </row>
        <row r="178">
          <cell r="I178">
            <v>1600</v>
          </cell>
          <cell r="J178">
            <v>1600</v>
          </cell>
          <cell r="K178">
            <v>1876</v>
          </cell>
          <cell r="N178">
            <v>125236</v>
          </cell>
          <cell r="O178">
            <v>142766</v>
          </cell>
          <cell r="P178">
            <v>146851</v>
          </cell>
        </row>
        <row r="179">
          <cell r="I179">
            <v>1512</v>
          </cell>
          <cell r="J179">
            <v>1512</v>
          </cell>
          <cell r="K179">
            <v>1788</v>
          </cell>
          <cell r="N179">
            <v>117228</v>
          </cell>
          <cell r="O179">
            <v>134758</v>
          </cell>
          <cell r="P179">
            <v>138843</v>
          </cell>
        </row>
        <row r="180">
          <cell r="I180">
            <v>88</v>
          </cell>
          <cell r="J180">
            <v>88</v>
          </cell>
          <cell r="K180">
            <v>88</v>
          </cell>
          <cell r="N180">
            <v>8008</v>
          </cell>
          <cell r="O180">
            <v>8008</v>
          </cell>
          <cell r="P180">
            <v>8008</v>
          </cell>
        </row>
        <row r="181">
          <cell r="I181">
            <v>48</v>
          </cell>
          <cell r="J181">
            <v>48</v>
          </cell>
          <cell r="K181">
            <v>52</v>
          </cell>
          <cell r="N181">
            <v>3858</v>
          </cell>
          <cell r="O181">
            <v>4079</v>
          </cell>
          <cell r="P181">
            <v>4109</v>
          </cell>
        </row>
        <row r="182">
          <cell r="I182">
            <v>48</v>
          </cell>
          <cell r="J182">
            <v>48</v>
          </cell>
          <cell r="K182">
            <v>48</v>
          </cell>
          <cell r="N182">
            <v>3721</v>
          </cell>
          <cell r="O182">
            <v>3942</v>
          </cell>
          <cell r="P182">
            <v>3968</v>
          </cell>
        </row>
        <row r="183">
          <cell r="I183">
            <v>0</v>
          </cell>
          <cell r="J183">
            <v>0</v>
          </cell>
          <cell r="K183">
            <v>4</v>
          </cell>
          <cell r="N183">
            <v>137</v>
          </cell>
          <cell r="O183">
            <v>137</v>
          </cell>
          <cell r="P183">
            <v>141</v>
          </cell>
        </row>
        <row r="184">
          <cell r="I184">
            <v>744</v>
          </cell>
          <cell r="J184">
            <v>744</v>
          </cell>
          <cell r="K184">
            <v>768</v>
          </cell>
          <cell r="N184">
            <v>48638</v>
          </cell>
          <cell r="O184">
            <v>60230</v>
          </cell>
          <cell r="P184">
            <v>61785</v>
          </cell>
        </row>
        <row r="185">
          <cell r="I185">
            <v>656</v>
          </cell>
          <cell r="J185">
            <v>656</v>
          </cell>
          <cell r="K185">
            <v>684</v>
          </cell>
          <cell r="N185">
            <v>40767</v>
          </cell>
          <cell r="O185">
            <v>52359</v>
          </cell>
          <cell r="P185">
            <v>53918</v>
          </cell>
        </row>
        <row r="186">
          <cell r="I186">
            <v>88</v>
          </cell>
          <cell r="J186">
            <v>88</v>
          </cell>
          <cell r="K186">
            <v>84</v>
          </cell>
          <cell r="N186">
            <v>7871</v>
          </cell>
          <cell r="O186">
            <v>7871</v>
          </cell>
          <cell r="P186">
            <v>7867</v>
          </cell>
        </row>
        <row r="187">
          <cell r="I187">
            <v>0</v>
          </cell>
          <cell r="J187">
            <v>0</v>
          </cell>
          <cell r="K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I188">
            <v>0</v>
          </cell>
          <cell r="J188">
            <v>0</v>
          </cell>
          <cell r="K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I189">
            <v>0</v>
          </cell>
          <cell r="J189">
            <v>0</v>
          </cell>
          <cell r="K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I190">
            <v>96</v>
          </cell>
          <cell r="J190">
            <v>96</v>
          </cell>
          <cell r="K190">
            <v>96</v>
          </cell>
          <cell r="N190">
            <v>7516</v>
          </cell>
          <cell r="O190">
            <v>7251</v>
          </cell>
          <cell r="P190">
            <v>7251</v>
          </cell>
        </row>
        <row r="191">
          <cell r="I191">
            <v>96</v>
          </cell>
          <cell r="J191">
            <v>96</v>
          </cell>
          <cell r="K191">
            <v>96</v>
          </cell>
          <cell r="N191">
            <v>7516</v>
          </cell>
          <cell r="O191">
            <v>7251</v>
          </cell>
          <cell r="P191">
            <v>7251</v>
          </cell>
        </row>
        <row r="192">
          <cell r="I192">
            <v>0</v>
          </cell>
          <cell r="J192">
            <v>0</v>
          </cell>
          <cell r="K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I193">
            <v>712</v>
          </cell>
          <cell r="J193">
            <v>712</v>
          </cell>
          <cell r="K193">
            <v>960</v>
          </cell>
          <cell r="N193">
            <v>65224</v>
          </cell>
          <cell r="O193">
            <v>71206</v>
          </cell>
          <cell r="P193">
            <v>73706</v>
          </cell>
        </row>
        <row r="194">
          <cell r="I194">
            <v>712</v>
          </cell>
          <cell r="J194">
            <v>712</v>
          </cell>
          <cell r="K194">
            <v>960</v>
          </cell>
          <cell r="N194">
            <v>65224</v>
          </cell>
          <cell r="O194">
            <v>71206</v>
          </cell>
          <cell r="P194">
            <v>73706</v>
          </cell>
        </row>
        <row r="195">
          <cell r="I195">
            <v>0</v>
          </cell>
          <cell r="J195">
            <v>0</v>
          </cell>
          <cell r="K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I196">
            <v>496</v>
          </cell>
          <cell r="J196">
            <v>496</v>
          </cell>
          <cell r="K196">
            <v>720</v>
          </cell>
          <cell r="N196">
            <v>46178</v>
          </cell>
          <cell r="O196">
            <v>53401</v>
          </cell>
          <cell r="P196">
            <v>55449</v>
          </cell>
        </row>
        <row r="197">
          <cell r="I197">
            <v>216</v>
          </cell>
          <cell r="J197">
            <v>216</v>
          </cell>
          <cell r="K197">
            <v>240</v>
          </cell>
          <cell r="N197">
            <v>19046</v>
          </cell>
          <cell r="O197">
            <v>17805</v>
          </cell>
          <cell r="P197">
            <v>18257</v>
          </cell>
        </row>
        <row r="198">
          <cell r="I198">
            <v>0</v>
          </cell>
          <cell r="J198">
            <v>0</v>
          </cell>
          <cell r="K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I199">
            <v>268</v>
          </cell>
          <cell r="J199">
            <v>268</v>
          </cell>
          <cell r="K199">
            <v>268</v>
          </cell>
          <cell r="N199">
            <v>26240</v>
          </cell>
          <cell r="O199">
            <v>28070</v>
          </cell>
          <cell r="P199">
            <v>28165</v>
          </cell>
        </row>
        <row r="200">
          <cell r="I200">
            <v>268</v>
          </cell>
          <cell r="J200">
            <v>268</v>
          </cell>
          <cell r="K200">
            <v>268</v>
          </cell>
          <cell r="N200">
            <v>26240</v>
          </cell>
          <cell r="O200">
            <v>28070</v>
          </cell>
          <cell r="P200">
            <v>28165</v>
          </cell>
        </row>
        <row r="201">
          <cell r="I201">
            <v>0</v>
          </cell>
          <cell r="J201">
            <v>0</v>
          </cell>
          <cell r="K201">
            <v>0</v>
          </cell>
          <cell r="N201">
            <v>0</v>
          </cell>
          <cell r="O201">
            <v>0</v>
          </cell>
          <cell r="P201">
            <v>0</v>
          </cell>
        </row>
        <row r="206">
          <cell r="I206">
            <v>23775</v>
          </cell>
          <cell r="J206">
            <v>26052</v>
          </cell>
          <cell r="K206">
            <v>26152</v>
          </cell>
          <cell r="N206">
            <v>1895975</v>
          </cell>
          <cell r="O206">
            <v>2041222</v>
          </cell>
          <cell r="P206">
            <v>2043822</v>
          </cell>
        </row>
        <row r="207">
          <cell r="I207">
            <v>904</v>
          </cell>
          <cell r="J207">
            <v>904</v>
          </cell>
          <cell r="K207">
            <v>904</v>
          </cell>
          <cell r="N207">
            <v>67714</v>
          </cell>
          <cell r="O207">
            <v>66762</v>
          </cell>
          <cell r="P207">
            <v>66485</v>
          </cell>
        </row>
        <row r="208">
          <cell r="I208">
            <v>896</v>
          </cell>
          <cell r="J208">
            <v>896</v>
          </cell>
          <cell r="K208">
            <v>896</v>
          </cell>
          <cell r="N208">
            <v>67444</v>
          </cell>
          <cell r="O208">
            <v>66492</v>
          </cell>
          <cell r="P208">
            <v>66215</v>
          </cell>
        </row>
        <row r="209">
          <cell r="I209">
            <v>8</v>
          </cell>
          <cell r="J209">
            <v>8</v>
          </cell>
          <cell r="K209">
            <v>8</v>
          </cell>
          <cell r="N209">
            <v>270</v>
          </cell>
          <cell r="O209">
            <v>270</v>
          </cell>
          <cell r="P209">
            <v>270</v>
          </cell>
        </row>
        <row r="210">
          <cell r="I210">
            <v>224</v>
          </cell>
          <cell r="J210">
            <v>224</v>
          </cell>
          <cell r="K210">
            <v>224</v>
          </cell>
          <cell r="N210">
            <v>13803</v>
          </cell>
          <cell r="O210">
            <v>13908</v>
          </cell>
          <cell r="P210">
            <v>14008</v>
          </cell>
        </row>
        <row r="211">
          <cell r="I211">
            <v>216</v>
          </cell>
          <cell r="J211">
            <v>216</v>
          </cell>
          <cell r="K211">
            <v>216</v>
          </cell>
          <cell r="N211">
            <v>13533</v>
          </cell>
          <cell r="O211">
            <v>13638</v>
          </cell>
          <cell r="P211">
            <v>13738</v>
          </cell>
        </row>
        <row r="212">
          <cell r="I212">
            <v>8</v>
          </cell>
          <cell r="J212">
            <v>8</v>
          </cell>
          <cell r="K212">
            <v>8</v>
          </cell>
          <cell r="N212">
            <v>270</v>
          </cell>
          <cell r="O212">
            <v>270</v>
          </cell>
          <cell r="P212">
            <v>270</v>
          </cell>
        </row>
        <row r="213">
          <cell r="I213">
            <v>12</v>
          </cell>
          <cell r="J213">
            <v>12</v>
          </cell>
          <cell r="K213">
            <v>12</v>
          </cell>
          <cell r="N213">
            <v>768</v>
          </cell>
          <cell r="O213">
            <v>773</v>
          </cell>
          <cell r="P213">
            <v>778</v>
          </cell>
        </row>
        <row r="214">
          <cell r="I214">
            <v>12</v>
          </cell>
          <cell r="J214">
            <v>12</v>
          </cell>
          <cell r="K214">
            <v>12</v>
          </cell>
          <cell r="N214">
            <v>760</v>
          </cell>
          <cell r="O214">
            <v>765</v>
          </cell>
          <cell r="P214">
            <v>770</v>
          </cell>
        </row>
        <row r="215">
          <cell r="I215">
            <v>0</v>
          </cell>
          <cell r="J215">
            <v>0</v>
          </cell>
          <cell r="K215">
            <v>0</v>
          </cell>
          <cell r="N215">
            <v>8</v>
          </cell>
          <cell r="O215">
            <v>8</v>
          </cell>
          <cell r="P215">
            <v>8</v>
          </cell>
        </row>
        <row r="216">
          <cell r="I216">
            <v>104</v>
          </cell>
          <cell r="J216">
            <v>104</v>
          </cell>
          <cell r="K216">
            <v>104</v>
          </cell>
          <cell r="N216">
            <v>7000</v>
          </cell>
          <cell r="O216">
            <v>7000</v>
          </cell>
          <cell r="P216">
            <v>7000</v>
          </cell>
        </row>
        <row r="217">
          <cell r="I217">
            <v>104</v>
          </cell>
          <cell r="J217">
            <v>104</v>
          </cell>
          <cell r="K217">
            <v>104</v>
          </cell>
          <cell r="N217">
            <v>7000</v>
          </cell>
          <cell r="O217">
            <v>7000</v>
          </cell>
          <cell r="P217">
            <v>7000</v>
          </cell>
        </row>
        <row r="218">
          <cell r="I218">
            <v>0</v>
          </cell>
          <cell r="J218">
            <v>0</v>
          </cell>
          <cell r="K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I219">
            <v>0</v>
          </cell>
          <cell r="J219">
            <v>0</v>
          </cell>
          <cell r="K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I220">
            <v>0</v>
          </cell>
          <cell r="J220">
            <v>0</v>
          </cell>
          <cell r="K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I221">
            <v>0</v>
          </cell>
          <cell r="J221">
            <v>0</v>
          </cell>
          <cell r="K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I222">
            <v>108</v>
          </cell>
          <cell r="J222">
            <v>108</v>
          </cell>
          <cell r="K222">
            <v>108</v>
          </cell>
          <cell r="N222">
            <v>6035</v>
          </cell>
          <cell r="O222">
            <v>6135</v>
          </cell>
          <cell r="P222">
            <v>6230</v>
          </cell>
        </row>
        <row r="223">
          <cell r="I223">
            <v>100</v>
          </cell>
          <cell r="J223">
            <v>100</v>
          </cell>
          <cell r="K223">
            <v>100</v>
          </cell>
          <cell r="N223">
            <v>5773</v>
          </cell>
          <cell r="O223">
            <v>5873</v>
          </cell>
          <cell r="P223">
            <v>5968</v>
          </cell>
        </row>
        <row r="224">
          <cell r="I224">
            <v>8</v>
          </cell>
          <cell r="J224">
            <v>8</v>
          </cell>
          <cell r="K224">
            <v>8</v>
          </cell>
          <cell r="N224">
            <v>262</v>
          </cell>
          <cell r="O224">
            <v>262</v>
          </cell>
          <cell r="P224">
            <v>262</v>
          </cell>
        </row>
        <row r="225">
          <cell r="I225">
            <v>0</v>
          </cell>
          <cell r="J225">
            <v>0</v>
          </cell>
          <cell r="K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I226">
            <v>0</v>
          </cell>
          <cell r="J226">
            <v>0</v>
          </cell>
          <cell r="K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I227">
            <v>0</v>
          </cell>
          <cell r="J227">
            <v>0</v>
          </cell>
          <cell r="K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I228">
            <v>680</v>
          </cell>
          <cell r="J228">
            <v>680</v>
          </cell>
          <cell r="K228">
            <v>680</v>
          </cell>
          <cell r="N228">
            <v>53911</v>
          </cell>
          <cell r="O228">
            <v>52854</v>
          </cell>
          <cell r="P228">
            <v>52477</v>
          </cell>
        </row>
        <row r="229">
          <cell r="I229">
            <v>680</v>
          </cell>
          <cell r="J229">
            <v>680</v>
          </cell>
          <cell r="K229">
            <v>680</v>
          </cell>
          <cell r="N229">
            <v>53911</v>
          </cell>
          <cell r="O229">
            <v>52854</v>
          </cell>
          <cell r="P229">
            <v>52477</v>
          </cell>
        </row>
        <row r="230">
          <cell r="I230">
            <v>0</v>
          </cell>
          <cell r="J230">
            <v>0</v>
          </cell>
          <cell r="K230">
            <v>0</v>
          </cell>
          <cell r="N230">
            <v>0</v>
          </cell>
          <cell r="O230">
            <v>0</v>
          </cell>
          <cell r="P230">
            <v>0</v>
          </cell>
        </row>
        <row r="235">
          <cell r="I235">
            <v>32063</v>
          </cell>
          <cell r="J235">
            <v>37879</v>
          </cell>
          <cell r="K235">
            <v>37879</v>
          </cell>
          <cell r="N235">
            <v>2660463</v>
          </cell>
          <cell r="O235">
            <v>2925886</v>
          </cell>
          <cell r="P235">
            <v>2926386</v>
          </cell>
        </row>
        <row r="236">
          <cell r="I236">
            <v>3941</v>
          </cell>
          <cell r="J236">
            <v>3941</v>
          </cell>
          <cell r="K236">
            <v>4045</v>
          </cell>
          <cell r="N236">
            <v>302315</v>
          </cell>
          <cell r="O236">
            <v>302482</v>
          </cell>
          <cell r="P236">
            <v>303352</v>
          </cell>
        </row>
        <row r="237">
          <cell r="I237">
            <v>3941</v>
          </cell>
          <cell r="J237">
            <v>3941</v>
          </cell>
          <cell r="K237">
            <v>4045</v>
          </cell>
          <cell r="N237">
            <v>302000</v>
          </cell>
          <cell r="O237">
            <v>302167</v>
          </cell>
          <cell r="P237">
            <v>303037</v>
          </cell>
        </row>
        <row r="238">
          <cell r="I238">
            <v>0</v>
          </cell>
          <cell r="J238">
            <v>0</v>
          </cell>
          <cell r="K238">
            <v>0</v>
          </cell>
          <cell r="N238">
            <v>315</v>
          </cell>
          <cell r="O238">
            <v>315</v>
          </cell>
          <cell r="P238">
            <v>315</v>
          </cell>
        </row>
        <row r="239">
          <cell r="I239">
            <v>1768</v>
          </cell>
          <cell r="J239">
            <v>1768</v>
          </cell>
          <cell r="K239">
            <v>1948</v>
          </cell>
          <cell r="N239">
            <v>126505</v>
          </cell>
          <cell r="O239">
            <v>130570</v>
          </cell>
          <cell r="P239">
            <v>131910</v>
          </cell>
        </row>
        <row r="240">
          <cell r="I240">
            <v>1768</v>
          </cell>
          <cell r="J240">
            <v>1768</v>
          </cell>
          <cell r="K240">
            <v>1948</v>
          </cell>
          <cell r="N240">
            <v>126190</v>
          </cell>
          <cell r="O240">
            <v>130255</v>
          </cell>
          <cell r="P240">
            <v>131595</v>
          </cell>
        </row>
        <row r="241">
          <cell r="I241">
            <v>0</v>
          </cell>
          <cell r="J241">
            <v>0</v>
          </cell>
          <cell r="K241">
            <v>0</v>
          </cell>
          <cell r="N241">
            <v>315</v>
          </cell>
          <cell r="O241">
            <v>315</v>
          </cell>
          <cell r="P241">
            <v>315</v>
          </cell>
        </row>
        <row r="242">
          <cell r="I242">
            <v>44</v>
          </cell>
          <cell r="J242">
            <v>44</v>
          </cell>
          <cell r="K242">
            <v>47</v>
          </cell>
          <cell r="N242">
            <v>3521</v>
          </cell>
          <cell r="O242">
            <v>3578</v>
          </cell>
          <cell r="P242">
            <v>3596</v>
          </cell>
        </row>
        <row r="243">
          <cell r="I243">
            <v>44</v>
          </cell>
          <cell r="J243">
            <v>44</v>
          </cell>
          <cell r="K243">
            <v>47</v>
          </cell>
          <cell r="N243">
            <v>3518</v>
          </cell>
          <cell r="O243">
            <v>3575</v>
          </cell>
          <cell r="P243">
            <v>3593</v>
          </cell>
        </row>
        <row r="244">
          <cell r="I244">
            <v>0</v>
          </cell>
          <cell r="J244">
            <v>0</v>
          </cell>
          <cell r="K244">
            <v>0</v>
          </cell>
          <cell r="N244">
            <v>3</v>
          </cell>
          <cell r="O244">
            <v>3</v>
          </cell>
          <cell r="P244">
            <v>3</v>
          </cell>
        </row>
        <row r="245">
          <cell r="I245">
            <v>148</v>
          </cell>
          <cell r="J245">
            <v>148</v>
          </cell>
          <cell r="K245">
            <v>148</v>
          </cell>
          <cell r="N245">
            <v>11310</v>
          </cell>
          <cell r="O245">
            <v>11310</v>
          </cell>
          <cell r="P245">
            <v>11310</v>
          </cell>
        </row>
        <row r="246">
          <cell r="I246">
            <v>148</v>
          </cell>
          <cell r="J246">
            <v>148</v>
          </cell>
          <cell r="K246">
            <v>148</v>
          </cell>
          <cell r="N246">
            <v>10998</v>
          </cell>
          <cell r="O246">
            <v>10998</v>
          </cell>
          <cell r="P246">
            <v>10998</v>
          </cell>
        </row>
        <row r="247">
          <cell r="I247">
            <v>0</v>
          </cell>
          <cell r="J247">
            <v>0</v>
          </cell>
          <cell r="K247">
            <v>0</v>
          </cell>
          <cell r="N247">
            <v>312</v>
          </cell>
          <cell r="O247">
            <v>312</v>
          </cell>
          <cell r="P247">
            <v>312</v>
          </cell>
        </row>
        <row r="248">
          <cell r="I248">
            <v>0</v>
          </cell>
          <cell r="J248">
            <v>0</v>
          </cell>
          <cell r="K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I249">
            <v>0</v>
          </cell>
          <cell r="J249">
            <v>0</v>
          </cell>
          <cell r="K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I250">
            <v>0</v>
          </cell>
          <cell r="J250">
            <v>0</v>
          </cell>
          <cell r="K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I251">
            <v>208</v>
          </cell>
          <cell r="J251">
            <v>208</v>
          </cell>
          <cell r="K251">
            <v>134</v>
          </cell>
          <cell r="N251">
            <v>9890</v>
          </cell>
          <cell r="O251">
            <v>8691</v>
          </cell>
          <cell r="P251">
            <v>8407</v>
          </cell>
        </row>
        <row r="252">
          <cell r="I252">
            <v>208</v>
          </cell>
          <cell r="J252">
            <v>208</v>
          </cell>
          <cell r="K252">
            <v>134</v>
          </cell>
          <cell r="N252">
            <v>9890</v>
          </cell>
          <cell r="O252">
            <v>8691</v>
          </cell>
          <cell r="P252">
            <v>8407</v>
          </cell>
        </row>
        <row r="253">
          <cell r="I253">
            <v>0</v>
          </cell>
          <cell r="J253">
            <v>0</v>
          </cell>
          <cell r="K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I254">
            <v>1368</v>
          </cell>
          <cell r="J254">
            <v>1368</v>
          </cell>
          <cell r="K254">
            <v>1619</v>
          </cell>
          <cell r="N254">
            <v>101784</v>
          </cell>
          <cell r="O254">
            <v>106991</v>
          </cell>
          <cell r="P254">
            <v>108597</v>
          </cell>
        </row>
        <row r="255">
          <cell r="I255">
            <v>1368</v>
          </cell>
          <cell r="J255">
            <v>1368</v>
          </cell>
          <cell r="K255">
            <v>1619</v>
          </cell>
          <cell r="N255">
            <v>101784</v>
          </cell>
          <cell r="O255">
            <v>106991</v>
          </cell>
          <cell r="P255">
            <v>108597</v>
          </cell>
        </row>
        <row r="256">
          <cell r="I256">
            <v>0</v>
          </cell>
          <cell r="J256">
            <v>0</v>
          </cell>
          <cell r="K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I257">
            <v>2173</v>
          </cell>
          <cell r="J257">
            <v>2173</v>
          </cell>
          <cell r="K257">
            <v>2097</v>
          </cell>
          <cell r="N257">
            <v>175810</v>
          </cell>
          <cell r="O257">
            <v>171912</v>
          </cell>
          <cell r="P257">
            <v>171442</v>
          </cell>
        </row>
        <row r="258">
          <cell r="I258">
            <v>2173</v>
          </cell>
          <cell r="J258">
            <v>2173</v>
          </cell>
          <cell r="K258">
            <v>2097</v>
          </cell>
          <cell r="N258">
            <v>175810</v>
          </cell>
          <cell r="O258">
            <v>171912</v>
          </cell>
          <cell r="P258">
            <v>171442</v>
          </cell>
        </row>
        <row r="259">
          <cell r="I259">
            <v>0</v>
          </cell>
          <cell r="J259">
            <v>0</v>
          </cell>
          <cell r="K259">
            <v>0</v>
          </cell>
          <cell r="N259">
            <v>0</v>
          </cell>
          <cell r="O259">
            <v>0</v>
          </cell>
          <cell r="P259">
            <v>0</v>
          </cell>
        </row>
        <row r="264">
          <cell r="I264">
            <v>23885</v>
          </cell>
          <cell r="J264">
            <v>23852</v>
          </cell>
          <cell r="K264">
            <v>23852</v>
          </cell>
          <cell r="N264">
            <v>1856485</v>
          </cell>
          <cell r="O264">
            <v>1832930</v>
          </cell>
          <cell r="P264">
            <v>1833630</v>
          </cell>
        </row>
        <row r="265">
          <cell r="I265">
            <v>22076</v>
          </cell>
          <cell r="J265">
            <v>22076</v>
          </cell>
          <cell r="K265">
            <v>22114</v>
          </cell>
          <cell r="N265">
            <v>1570304</v>
          </cell>
          <cell r="O265">
            <v>1592219</v>
          </cell>
          <cell r="P265">
            <v>1603536</v>
          </cell>
        </row>
        <row r="266">
          <cell r="I266">
            <v>22076</v>
          </cell>
          <cell r="J266">
            <v>22076</v>
          </cell>
          <cell r="K266">
            <v>22114</v>
          </cell>
          <cell r="N266">
            <v>1570304</v>
          </cell>
          <cell r="O266">
            <v>1592219</v>
          </cell>
          <cell r="P266">
            <v>1603536</v>
          </cell>
        </row>
        <row r="267">
          <cell r="I267">
            <v>0</v>
          </cell>
          <cell r="J267">
            <v>0</v>
          </cell>
          <cell r="K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I268">
            <v>19532</v>
          </cell>
          <cell r="J268">
            <v>19532</v>
          </cell>
          <cell r="K268">
            <v>20009</v>
          </cell>
          <cell r="N268">
            <v>1361586</v>
          </cell>
          <cell r="O268">
            <v>1436053</v>
          </cell>
          <cell r="P268">
            <v>1439896</v>
          </cell>
        </row>
        <row r="269">
          <cell r="I269">
            <v>19532</v>
          </cell>
          <cell r="J269">
            <v>19532</v>
          </cell>
          <cell r="K269">
            <v>20009</v>
          </cell>
          <cell r="N269">
            <v>1361586</v>
          </cell>
          <cell r="O269">
            <v>1436053</v>
          </cell>
          <cell r="P269">
            <v>1439896</v>
          </cell>
        </row>
        <row r="270">
          <cell r="I270">
            <v>0</v>
          </cell>
          <cell r="J270">
            <v>0</v>
          </cell>
          <cell r="K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I271">
            <v>312</v>
          </cell>
          <cell r="J271">
            <v>312</v>
          </cell>
          <cell r="K271">
            <v>312</v>
          </cell>
          <cell r="N271">
            <v>21997</v>
          </cell>
          <cell r="O271">
            <v>21844</v>
          </cell>
          <cell r="P271">
            <v>21654</v>
          </cell>
        </row>
        <row r="272">
          <cell r="I272">
            <v>312</v>
          </cell>
          <cell r="J272">
            <v>312</v>
          </cell>
          <cell r="K272">
            <v>312</v>
          </cell>
          <cell r="N272">
            <v>21997</v>
          </cell>
          <cell r="O272">
            <v>21844</v>
          </cell>
          <cell r="P272">
            <v>21654</v>
          </cell>
        </row>
        <row r="273">
          <cell r="I273">
            <v>0</v>
          </cell>
          <cell r="J273">
            <v>0</v>
          </cell>
          <cell r="K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I274">
            <v>336</v>
          </cell>
          <cell r="J274">
            <v>336</v>
          </cell>
          <cell r="K274">
            <v>332</v>
          </cell>
          <cell r="N274">
            <v>23736</v>
          </cell>
          <cell r="O274">
            <v>23736</v>
          </cell>
          <cell r="P274">
            <v>23632</v>
          </cell>
        </row>
        <row r="275">
          <cell r="I275">
            <v>336</v>
          </cell>
          <cell r="J275">
            <v>336</v>
          </cell>
          <cell r="K275">
            <v>332</v>
          </cell>
          <cell r="N275">
            <v>23736</v>
          </cell>
          <cell r="O275">
            <v>23736</v>
          </cell>
          <cell r="P275">
            <v>23632</v>
          </cell>
        </row>
        <row r="276">
          <cell r="I276">
            <v>0</v>
          </cell>
          <cell r="J276">
            <v>0</v>
          </cell>
          <cell r="K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I277">
            <v>12</v>
          </cell>
          <cell r="J277">
            <v>12</v>
          </cell>
          <cell r="K277">
            <v>12</v>
          </cell>
          <cell r="N277">
            <v>1650</v>
          </cell>
          <cell r="O277">
            <v>1484</v>
          </cell>
          <cell r="P277">
            <v>1413</v>
          </cell>
        </row>
        <row r="278">
          <cell r="I278">
            <v>12</v>
          </cell>
          <cell r="J278">
            <v>12</v>
          </cell>
          <cell r="K278">
            <v>12</v>
          </cell>
          <cell r="N278">
            <v>1650</v>
          </cell>
          <cell r="O278">
            <v>1484</v>
          </cell>
          <cell r="P278">
            <v>1413</v>
          </cell>
        </row>
        <row r="279">
          <cell r="I279">
            <v>0</v>
          </cell>
          <cell r="J279">
            <v>0</v>
          </cell>
          <cell r="K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I280">
            <v>752</v>
          </cell>
          <cell r="J280">
            <v>752</v>
          </cell>
          <cell r="K280">
            <v>344</v>
          </cell>
          <cell r="N280">
            <v>38023</v>
          </cell>
          <cell r="O280">
            <v>27451</v>
          </cell>
          <cell r="P280">
            <v>24574</v>
          </cell>
        </row>
        <row r="281">
          <cell r="I281">
            <v>752</v>
          </cell>
          <cell r="J281">
            <v>752</v>
          </cell>
          <cell r="K281">
            <v>344</v>
          </cell>
          <cell r="N281">
            <v>38023</v>
          </cell>
          <cell r="O281">
            <v>27451</v>
          </cell>
          <cell r="P281">
            <v>24574</v>
          </cell>
        </row>
        <row r="282">
          <cell r="I282">
            <v>0</v>
          </cell>
          <cell r="J282">
            <v>0</v>
          </cell>
          <cell r="K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I283">
            <v>16344</v>
          </cell>
          <cell r="J283">
            <v>16344</v>
          </cell>
          <cell r="K283">
            <v>17155</v>
          </cell>
          <cell r="N283">
            <v>1175419</v>
          </cell>
          <cell r="O283">
            <v>1251693</v>
          </cell>
          <cell r="P283">
            <v>1260771</v>
          </cell>
        </row>
        <row r="284">
          <cell r="I284">
            <v>0</v>
          </cell>
          <cell r="J284">
            <v>0</v>
          </cell>
          <cell r="K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I285">
            <v>1240</v>
          </cell>
          <cell r="J285">
            <v>1240</v>
          </cell>
          <cell r="K285">
            <v>1496</v>
          </cell>
          <cell r="N285">
            <v>92840</v>
          </cell>
          <cell r="O285">
            <v>104588</v>
          </cell>
          <cell r="P285">
            <v>106596</v>
          </cell>
        </row>
        <row r="286">
          <cell r="I286">
            <v>15104</v>
          </cell>
          <cell r="J286">
            <v>15104</v>
          </cell>
          <cell r="K286">
            <v>15659</v>
          </cell>
          <cell r="N286">
            <v>1082579</v>
          </cell>
          <cell r="O286">
            <v>1147105</v>
          </cell>
          <cell r="P286">
            <v>1154175</v>
          </cell>
        </row>
        <row r="287">
          <cell r="I287">
            <v>0</v>
          </cell>
          <cell r="J287">
            <v>0</v>
          </cell>
          <cell r="K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I288">
            <v>2544</v>
          </cell>
          <cell r="J288">
            <v>2544</v>
          </cell>
          <cell r="K288">
            <v>2105</v>
          </cell>
          <cell r="N288">
            <v>208718</v>
          </cell>
          <cell r="O288">
            <v>156166</v>
          </cell>
          <cell r="P288">
            <v>163640</v>
          </cell>
        </row>
        <row r="289">
          <cell r="I289">
            <v>2544</v>
          </cell>
          <cell r="J289">
            <v>2544</v>
          </cell>
          <cell r="K289">
            <v>2105</v>
          </cell>
          <cell r="N289">
            <v>208718</v>
          </cell>
          <cell r="O289">
            <v>156166</v>
          </cell>
          <cell r="P289">
            <v>163640</v>
          </cell>
        </row>
        <row r="290">
          <cell r="I290">
            <v>0</v>
          </cell>
          <cell r="J290">
            <v>0</v>
          </cell>
          <cell r="K290">
            <v>0</v>
          </cell>
          <cell r="N290">
            <v>0</v>
          </cell>
          <cell r="O290">
            <v>0</v>
          </cell>
          <cell r="P290">
            <v>0</v>
          </cell>
        </row>
        <row r="295">
          <cell r="I295">
            <v>7589</v>
          </cell>
          <cell r="J295">
            <v>10721</v>
          </cell>
          <cell r="K295">
            <v>11947</v>
          </cell>
          <cell r="N295">
            <v>599954</v>
          </cell>
          <cell r="O295">
            <v>755807</v>
          </cell>
          <cell r="P295">
            <v>771757</v>
          </cell>
        </row>
        <row r="296">
          <cell r="I296">
            <v>2164.5230000000001</v>
          </cell>
          <cell r="J296">
            <v>2904.6800000000003</v>
          </cell>
          <cell r="K296">
            <v>2728.8213000000001</v>
          </cell>
          <cell r="N296">
            <v>151090.27300000002</v>
          </cell>
          <cell r="O296">
            <v>176864.51</v>
          </cell>
          <cell r="P296">
            <v>188771.82459999999</v>
          </cell>
        </row>
        <row r="297">
          <cell r="I297">
            <v>438</v>
          </cell>
          <cell r="J297">
            <v>521.6</v>
          </cell>
          <cell r="K297">
            <v>531.29</v>
          </cell>
          <cell r="N297">
            <v>34218.870000000003</v>
          </cell>
          <cell r="O297">
            <v>36459.522000000004</v>
          </cell>
          <cell r="P297">
            <v>38735.329999999994</v>
          </cell>
        </row>
        <row r="298">
          <cell r="I298">
            <v>0</v>
          </cell>
          <cell r="J298">
            <v>0</v>
          </cell>
          <cell r="K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I299">
            <v>4.38</v>
          </cell>
          <cell r="J299">
            <v>11.078783999999999</v>
          </cell>
          <cell r="K299">
            <v>11.2845996</v>
          </cell>
          <cell r="N299">
            <v>341.15870000000001</v>
          </cell>
          <cell r="O299">
            <v>773.99184728</v>
          </cell>
          <cell r="P299">
            <v>822.664444</v>
          </cell>
        </row>
        <row r="300">
          <cell r="I300">
            <v>0</v>
          </cell>
          <cell r="J300">
            <v>0</v>
          </cell>
          <cell r="K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I301">
            <v>0</v>
          </cell>
          <cell r="J301">
            <v>0</v>
          </cell>
          <cell r="K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I302">
            <v>0</v>
          </cell>
          <cell r="J302">
            <v>0</v>
          </cell>
          <cell r="K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I303">
            <v>433.62</v>
          </cell>
          <cell r="J303">
            <v>510.52121600000004</v>
          </cell>
          <cell r="K303">
            <v>520.00540039999998</v>
          </cell>
          <cell r="N303">
            <v>33878.472300000001</v>
          </cell>
          <cell r="O303">
            <v>35684.964601920001</v>
          </cell>
          <cell r="P303">
            <v>37912.615556000004</v>
          </cell>
        </row>
        <row r="304">
          <cell r="I304">
            <v>1726.5230000000001</v>
          </cell>
          <cell r="J304">
            <v>2383.08</v>
          </cell>
          <cell r="K304">
            <v>2197.5312999999996</v>
          </cell>
          <cell r="N304">
            <v>116871.303</v>
          </cell>
          <cell r="O304">
            <v>140404.31</v>
          </cell>
          <cell r="P304">
            <v>150036.22460000002</v>
          </cell>
        </row>
        <row r="307">
          <cell r="I307">
            <v>3908</v>
          </cell>
          <cell r="J307">
            <v>5200</v>
          </cell>
          <cell r="K307">
            <v>5247</v>
          </cell>
          <cell r="N307">
            <v>342163</v>
          </cell>
          <cell r="O307">
            <v>420668</v>
          </cell>
          <cell r="P307">
            <v>424661</v>
          </cell>
        </row>
        <row r="308">
          <cell r="I308">
            <v>297</v>
          </cell>
          <cell r="J308">
            <v>395.1</v>
          </cell>
          <cell r="K308">
            <v>398.8</v>
          </cell>
          <cell r="N308">
            <v>26004</v>
          </cell>
          <cell r="O308">
            <v>31971.1</v>
          </cell>
          <cell r="P308">
            <v>32307.8</v>
          </cell>
        </row>
        <row r="309">
          <cell r="I309">
            <v>289.5</v>
          </cell>
          <cell r="J309">
            <v>385.3</v>
          </cell>
          <cell r="K309">
            <v>371.79999999999995</v>
          </cell>
          <cell r="N309">
            <v>25119.5</v>
          </cell>
          <cell r="O309">
            <v>31172</v>
          </cell>
          <cell r="P309">
            <v>31496.799999999999</v>
          </cell>
        </row>
        <row r="310">
          <cell r="I310">
            <v>0</v>
          </cell>
          <cell r="J310">
            <v>0</v>
          </cell>
          <cell r="K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I311">
            <v>10.100000000000001</v>
          </cell>
          <cell r="J311">
            <v>13.2</v>
          </cell>
          <cell r="K311">
            <v>13.4</v>
          </cell>
          <cell r="N311">
            <v>874.1</v>
          </cell>
          <cell r="O311">
            <v>1075.2</v>
          </cell>
          <cell r="P311">
            <v>1081.4000000000001</v>
          </cell>
        </row>
        <row r="312">
          <cell r="I312">
            <v>5.2</v>
          </cell>
          <cell r="J312">
            <v>5.2</v>
          </cell>
          <cell r="K312">
            <v>5.2</v>
          </cell>
          <cell r="N312">
            <v>288.2</v>
          </cell>
          <cell r="O312">
            <v>288.2</v>
          </cell>
          <cell r="P312">
            <v>292.2</v>
          </cell>
        </row>
        <row r="313">
          <cell r="I313">
            <v>5.2</v>
          </cell>
          <cell r="J313">
            <v>5.2</v>
          </cell>
          <cell r="K313">
            <v>5.2</v>
          </cell>
          <cell r="N313">
            <v>307.2</v>
          </cell>
          <cell r="O313">
            <v>307.2</v>
          </cell>
          <cell r="P313">
            <v>275.2</v>
          </cell>
        </row>
        <row r="314">
          <cell r="I314">
            <v>0</v>
          </cell>
          <cell r="J314">
            <v>0</v>
          </cell>
          <cell r="K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I315">
            <v>269</v>
          </cell>
          <cell r="J315">
            <v>361.70000000000005</v>
          </cell>
          <cell r="K315">
            <v>348</v>
          </cell>
          <cell r="N315">
            <v>23650</v>
          </cell>
          <cell r="O315">
            <v>29499.699999999997</v>
          </cell>
          <cell r="P315">
            <v>29848</v>
          </cell>
        </row>
        <row r="316">
          <cell r="I316">
            <v>7.5</v>
          </cell>
          <cell r="J316">
            <v>9.7999999999999936</v>
          </cell>
          <cell r="K316">
            <v>27.000000000000007</v>
          </cell>
          <cell r="N316">
            <v>884.5</v>
          </cell>
          <cell r="O316">
            <v>798.80000000000007</v>
          </cell>
          <cell r="P316">
            <v>811</v>
          </cell>
        </row>
        <row r="320">
          <cell r="I320">
            <v>29937.599999999999</v>
          </cell>
          <cell r="J320">
            <v>42204.533333333231</v>
          </cell>
          <cell r="K320">
            <v>19616</v>
          </cell>
          <cell r="N320">
            <v>1560529.5999999999</v>
          </cell>
          <cell r="O320">
            <v>1490005.4999999932</v>
          </cell>
          <cell r="P320">
            <v>1181452</v>
          </cell>
        </row>
        <row r="321">
          <cell r="I321">
            <v>29558.133333333331</v>
          </cell>
          <cell r="J321">
            <v>41813.066666666768</v>
          </cell>
          <cell r="K321">
            <v>19616</v>
          </cell>
          <cell r="N321">
            <v>1542442.1333333235</v>
          </cell>
          <cell r="O321">
            <v>1476515.0666666767</v>
          </cell>
          <cell r="P321">
            <v>1171929</v>
          </cell>
        </row>
        <row r="322">
          <cell r="I322">
            <v>29558.133333333331</v>
          </cell>
          <cell r="J322">
            <v>29558.133333333331</v>
          </cell>
          <cell r="K322">
            <v>19615.680775000001</v>
          </cell>
          <cell r="N322">
            <v>1282892.3947132535</v>
          </cell>
          <cell r="O322">
            <v>1327359.0559139533</v>
          </cell>
          <cell r="P322">
            <v>1105886.8106750001</v>
          </cell>
        </row>
        <row r="323">
          <cell r="I323">
            <v>0</v>
          </cell>
          <cell r="J323">
            <v>4315.2</v>
          </cell>
          <cell r="K323">
            <v>1317</v>
          </cell>
          <cell r="N323">
            <v>0</v>
          </cell>
          <cell r="O323">
            <v>249309.19999999998</v>
          </cell>
          <cell r="P323">
            <v>112547</v>
          </cell>
        </row>
        <row r="324">
          <cell r="I324">
            <v>0</v>
          </cell>
          <cell r="J324">
            <v>237.06666666666666</v>
          </cell>
          <cell r="K324">
            <v>114</v>
          </cell>
          <cell r="N324">
            <v>0</v>
          </cell>
          <cell r="O324">
            <v>9613.0666666666766</v>
          </cell>
          <cell r="P324">
            <v>7378</v>
          </cell>
        </row>
        <row r="325">
          <cell r="I325">
            <v>0</v>
          </cell>
          <cell r="J325">
            <v>0</v>
          </cell>
          <cell r="K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I326">
            <v>0</v>
          </cell>
          <cell r="J326">
            <v>0</v>
          </cell>
          <cell r="K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I327">
            <v>29558.133333333331</v>
          </cell>
          <cell r="J327">
            <v>37260.800000000003</v>
          </cell>
          <cell r="K327">
            <v>18184.391</v>
          </cell>
          <cell r="N327">
            <v>1542442.1333333235</v>
          </cell>
          <cell r="O327">
            <v>1217592.8</v>
          </cell>
          <cell r="P327">
            <v>1052004.3910000001</v>
          </cell>
        </row>
        <row r="328">
          <cell r="I328">
            <v>379.4666666666667</v>
          </cell>
          <cell r="J328">
            <v>391.4666666666667</v>
          </cell>
          <cell r="K328">
            <v>0</v>
          </cell>
          <cell r="N328">
            <v>18087.466666666765</v>
          </cell>
          <cell r="O328">
            <v>13489.466666666767</v>
          </cell>
          <cell r="P328">
            <v>9523</v>
          </cell>
        </row>
      </sheetData>
      <sheetData sheetId="2">
        <row r="34">
          <cell r="B34">
            <v>0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</row>
        <row r="73">
          <cell r="B73">
            <v>0</v>
          </cell>
          <cell r="C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B75">
            <v>0</v>
          </cell>
          <cell r="C75">
            <v>0</v>
          </cell>
          <cell r="E75">
            <v>0</v>
          </cell>
          <cell r="F75">
            <v>0</v>
          </cell>
          <cell r="H75">
            <v>0</v>
          </cell>
          <cell r="I75">
            <v>0</v>
          </cell>
          <cell r="J75">
            <v>0</v>
          </cell>
        </row>
        <row r="87">
          <cell r="C87">
            <v>225</v>
          </cell>
          <cell r="D87">
            <v>227</v>
          </cell>
          <cell r="F87">
            <v>5993</v>
          </cell>
          <cell r="G87">
            <v>9063.2029999999995</v>
          </cell>
          <cell r="I87">
            <v>3082.6</v>
          </cell>
          <cell r="J87">
            <v>3220.1419999999998</v>
          </cell>
        </row>
        <row r="90">
          <cell r="C90">
            <v>321</v>
          </cell>
          <cell r="D90">
            <v>333</v>
          </cell>
          <cell r="F90">
            <v>10645.5</v>
          </cell>
          <cell r="G90">
            <v>10475.6</v>
          </cell>
          <cell r="I90">
            <v>4093.5</v>
          </cell>
          <cell r="J90">
            <v>4041.85</v>
          </cell>
        </row>
        <row r="93">
          <cell r="C93">
            <v>114</v>
          </cell>
          <cell r="D93">
            <v>122</v>
          </cell>
          <cell r="F93">
            <v>9740.1</v>
          </cell>
          <cell r="G93">
            <v>8565</v>
          </cell>
          <cell r="I93">
            <v>2551.1999999999998</v>
          </cell>
          <cell r="J93">
            <v>2557</v>
          </cell>
        </row>
        <row r="96">
          <cell r="C96">
            <v>5</v>
          </cell>
          <cell r="D96">
            <v>12</v>
          </cell>
          <cell r="F96">
            <v>216</v>
          </cell>
          <cell r="G96">
            <v>448.1</v>
          </cell>
          <cell r="I96">
            <v>83</v>
          </cell>
          <cell r="J96">
            <v>202.8</v>
          </cell>
        </row>
        <row r="99">
          <cell r="C99">
            <v>101</v>
          </cell>
          <cell r="D99">
            <v>128</v>
          </cell>
          <cell r="F99">
            <v>1886</v>
          </cell>
          <cell r="G99">
            <v>2305</v>
          </cell>
          <cell r="I99">
            <v>722</v>
          </cell>
          <cell r="J99">
            <v>863.4</v>
          </cell>
        </row>
        <row r="102">
          <cell r="C102">
            <v>197</v>
          </cell>
          <cell r="D102">
            <v>240</v>
          </cell>
          <cell r="F102">
            <v>8296.7000000000007</v>
          </cell>
          <cell r="G102">
            <v>9631</v>
          </cell>
          <cell r="I102">
            <v>3218.2323000000001</v>
          </cell>
          <cell r="J102">
            <v>4879</v>
          </cell>
        </row>
        <row r="105">
          <cell r="C105">
            <v>4</v>
          </cell>
          <cell r="D105">
            <v>9</v>
          </cell>
          <cell r="F105">
            <v>277</v>
          </cell>
          <cell r="G105">
            <v>502</v>
          </cell>
          <cell r="I105">
            <v>82</v>
          </cell>
          <cell r="J105">
            <v>154</v>
          </cell>
        </row>
        <row r="108">
          <cell r="C108">
            <v>6</v>
          </cell>
          <cell r="D108">
            <v>6</v>
          </cell>
          <cell r="F108">
            <v>410.7</v>
          </cell>
          <cell r="G108">
            <v>403.78696192000001</v>
          </cell>
          <cell r="I108">
            <v>134.69999999999999</v>
          </cell>
          <cell r="J108">
            <v>129.22696192000001</v>
          </cell>
        </row>
      </sheetData>
      <sheetData sheetId="3">
        <row r="51">
          <cell r="C51">
            <v>0</v>
          </cell>
          <cell r="D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X51">
            <v>23</v>
          </cell>
          <cell r="Y51">
            <v>22</v>
          </cell>
          <cell r="AA51">
            <v>4</v>
          </cell>
          <cell r="AB51">
            <v>9</v>
          </cell>
        </row>
        <row r="52">
          <cell r="C52">
            <v>0</v>
          </cell>
          <cell r="D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X52">
            <v>137</v>
          </cell>
          <cell r="Y52">
            <v>336.90500000000003</v>
          </cell>
          <cell r="AA52">
            <v>22</v>
          </cell>
          <cell r="AB52">
            <v>130.99299999999999</v>
          </cell>
        </row>
        <row r="53">
          <cell r="C53">
            <v>0</v>
          </cell>
          <cell r="D53">
            <v>0</v>
          </cell>
          <cell r="L53">
            <v>1</v>
          </cell>
          <cell r="M53">
            <v>3</v>
          </cell>
          <cell r="O53">
            <v>0</v>
          </cell>
          <cell r="P53">
            <v>1</v>
          </cell>
          <cell r="X53">
            <v>51</v>
          </cell>
          <cell r="Y53">
            <v>41</v>
          </cell>
          <cell r="AA53">
            <v>9</v>
          </cell>
          <cell r="AB53">
            <v>7</v>
          </cell>
        </row>
        <row r="54">
          <cell r="C54">
            <v>0</v>
          </cell>
          <cell r="D54">
            <v>0</v>
          </cell>
          <cell r="L54">
            <v>5</v>
          </cell>
          <cell r="M54">
            <v>5</v>
          </cell>
          <cell r="O54">
            <v>0</v>
          </cell>
          <cell r="P54">
            <v>4</v>
          </cell>
          <cell r="X54">
            <v>631.5</v>
          </cell>
          <cell r="Y54">
            <v>418</v>
          </cell>
          <cell r="AA54">
            <v>119.69999999999999</v>
          </cell>
          <cell r="AB54">
            <v>33</v>
          </cell>
        </row>
        <row r="55">
          <cell r="C55">
            <v>0</v>
          </cell>
          <cell r="D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X55">
            <v>29</v>
          </cell>
          <cell r="Y55">
            <v>35</v>
          </cell>
          <cell r="AA55">
            <v>7</v>
          </cell>
          <cell r="AB55">
            <v>6</v>
          </cell>
        </row>
        <row r="56">
          <cell r="C56">
            <v>0</v>
          </cell>
          <cell r="D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X56">
            <v>469</v>
          </cell>
          <cell r="Y56">
            <v>865.4</v>
          </cell>
          <cell r="AA56">
            <v>352</v>
          </cell>
          <cell r="AB56">
            <v>131</v>
          </cell>
        </row>
        <row r="57">
          <cell r="C57">
            <v>0</v>
          </cell>
          <cell r="D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X57">
            <v>2</v>
          </cell>
          <cell r="Y57">
            <v>1</v>
          </cell>
          <cell r="AA57">
            <v>0</v>
          </cell>
          <cell r="AB57">
            <v>0</v>
          </cell>
        </row>
        <row r="58">
          <cell r="C58">
            <v>0</v>
          </cell>
          <cell r="D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X58">
            <v>45</v>
          </cell>
          <cell r="Y58">
            <v>34</v>
          </cell>
          <cell r="AA58">
            <v>0</v>
          </cell>
          <cell r="AB58">
            <v>0</v>
          </cell>
        </row>
        <row r="59">
          <cell r="C59">
            <v>0</v>
          </cell>
          <cell r="D59">
            <v>0</v>
          </cell>
          <cell r="L59">
            <v>0</v>
          </cell>
          <cell r="M59">
            <v>0</v>
          </cell>
          <cell r="O59">
            <v>0</v>
          </cell>
          <cell r="P59">
            <v>2</v>
          </cell>
          <cell r="X59">
            <v>17</v>
          </cell>
          <cell r="Y59">
            <v>30</v>
          </cell>
          <cell r="AA59">
            <v>12</v>
          </cell>
          <cell r="AB59">
            <v>7</v>
          </cell>
        </row>
        <row r="60">
          <cell r="C60">
            <v>0</v>
          </cell>
          <cell r="D60">
            <v>0</v>
          </cell>
          <cell r="L60">
            <v>0</v>
          </cell>
          <cell r="M60">
            <v>0</v>
          </cell>
          <cell r="O60">
            <v>0</v>
          </cell>
          <cell r="P60">
            <v>15.95</v>
          </cell>
          <cell r="X60">
            <v>156.70000000000002</v>
          </cell>
          <cell r="Y60">
            <v>238.63</v>
          </cell>
          <cell r="AA60">
            <v>129.5</v>
          </cell>
          <cell r="AB60">
            <v>50.9</v>
          </cell>
        </row>
        <row r="61">
          <cell r="C61">
            <v>0</v>
          </cell>
          <cell r="D61">
            <v>1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X61">
            <v>20</v>
          </cell>
          <cell r="Y61">
            <v>17</v>
          </cell>
          <cell r="AA61">
            <v>11</v>
          </cell>
          <cell r="AB61">
            <v>8</v>
          </cell>
        </row>
        <row r="62">
          <cell r="C62">
            <v>0</v>
          </cell>
          <cell r="D62">
            <v>37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X62">
            <v>412.20000000000073</v>
          </cell>
          <cell r="Y62">
            <v>323</v>
          </cell>
          <cell r="AA62">
            <v>113</v>
          </cell>
          <cell r="AB62">
            <v>128</v>
          </cell>
        </row>
        <row r="63">
          <cell r="C63">
            <v>0</v>
          </cell>
          <cell r="D63">
            <v>0</v>
          </cell>
          <cell r="L63">
            <v>0</v>
          </cell>
          <cell r="M63">
            <v>0</v>
          </cell>
          <cell r="O63">
            <v>1</v>
          </cell>
          <cell r="P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</row>
        <row r="64">
          <cell r="C64">
            <v>0</v>
          </cell>
          <cell r="D64">
            <v>0</v>
          </cell>
          <cell r="L64">
            <v>0</v>
          </cell>
          <cell r="M64">
            <v>0</v>
          </cell>
          <cell r="O64">
            <v>130</v>
          </cell>
          <cell r="P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</row>
        <row r="65">
          <cell r="C65">
            <v>0</v>
          </cell>
          <cell r="D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X65">
            <v>2</v>
          </cell>
          <cell r="Y65">
            <v>4</v>
          </cell>
          <cell r="AA65">
            <v>0</v>
          </cell>
          <cell r="AB65">
            <v>1</v>
          </cell>
        </row>
        <row r="66">
          <cell r="C66">
            <v>0</v>
          </cell>
          <cell r="D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X66">
            <v>11.2</v>
          </cell>
          <cell r="Y66">
            <v>38.900000000000006</v>
          </cell>
          <cell r="AA66">
            <v>0</v>
          </cell>
          <cell r="AB66">
            <v>30.4</v>
          </cell>
        </row>
        <row r="69">
          <cell r="C69">
            <v>1</v>
          </cell>
          <cell r="D69">
            <v>1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X69">
            <v>0</v>
          </cell>
          <cell r="Y69">
            <v>0</v>
          </cell>
          <cell r="AA69">
            <v>1</v>
          </cell>
          <cell r="AB69">
            <v>1</v>
          </cell>
        </row>
        <row r="70">
          <cell r="C70">
            <v>81.2</v>
          </cell>
          <cell r="D70">
            <v>73.5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X70">
            <v>0</v>
          </cell>
          <cell r="Y70">
            <v>0</v>
          </cell>
          <cell r="AA70">
            <v>26.39</v>
          </cell>
          <cell r="AB70">
            <v>36.54</v>
          </cell>
        </row>
        <row r="71">
          <cell r="C71">
            <v>400</v>
          </cell>
          <cell r="D71">
            <v>350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X71">
            <v>0</v>
          </cell>
          <cell r="Y71">
            <v>0</v>
          </cell>
          <cell r="AA71">
            <v>130</v>
          </cell>
          <cell r="AB71">
            <v>180</v>
          </cell>
        </row>
      </sheetData>
      <sheetData sheetId="4">
        <row r="7">
          <cell r="F7">
            <v>65</v>
          </cell>
          <cell r="H7">
            <v>48</v>
          </cell>
          <cell r="J7">
            <v>0</v>
          </cell>
          <cell r="L7">
            <v>0</v>
          </cell>
          <cell r="N7">
            <v>42</v>
          </cell>
          <cell r="P7">
            <v>42</v>
          </cell>
          <cell r="R7">
            <v>0</v>
          </cell>
          <cell r="T7">
            <v>0</v>
          </cell>
          <cell r="V7">
            <v>0</v>
          </cell>
          <cell r="X7">
            <v>6</v>
          </cell>
          <cell r="Z7">
            <v>0</v>
          </cell>
          <cell r="AB7">
            <v>0</v>
          </cell>
          <cell r="AD7">
            <v>0</v>
          </cell>
          <cell r="AF7">
            <v>17</v>
          </cell>
          <cell r="AH7">
            <v>4</v>
          </cell>
          <cell r="AJ7">
            <v>0</v>
          </cell>
          <cell r="AL7">
            <v>4</v>
          </cell>
          <cell r="AN7">
            <v>0</v>
          </cell>
          <cell r="AP7">
            <v>0</v>
          </cell>
          <cell r="AR7">
            <v>0</v>
          </cell>
          <cell r="AT7">
            <v>13</v>
          </cell>
          <cell r="AV7">
            <v>0</v>
          </cell>
          <cell r="AX7">
            <v>13</v>
          </cell>
          <cell r="AZ7">
            <v>0</v>
          </cell>
          <cell r="BB7">
            <v>0</v>
          </cell>
          <cell r="BD7">
            <v>0</v>
          </cell>
          <cell r="BF7">
            <v>0</v>
          </cell>
          <cell r="BH7">
            <v>0</v>
          </cell>
          <cell r="BJ7">
            <v>0</v>
          </cell>
          <cell r="BL7">
            <v>0</v>
          </cell>
          <cell r="BN7">
            <v>0</v>
          </cell>
          <cell r="BP7">
            <v>0</v>
          </cell>
        </row>
        <row r="8">
          <cell r="F8">
            <v>8</v>
          </cell>
          <cell r="H8">
            <v>8</v>
          </cell>
          <cell r="J8">
            <v>0</v>
          </cell>
          <cell r="L8">
            <v>0</v>
          </cell>
          <cell r="N8">
            <v>8</v>
          </cell>
          <cell r="P8">
            <v>8</v>
          </cell>
          <cell r="R8">
            <v>0</v>
          </cell>
          <cell r="T8">
            <v>0</v>
          </cell>
          <cell r="V8">
            <v>0</v>
          </cell>
          <cell r="X8">
            <v>0</v>
          </cell>
          <cell r="Z8">
            <v>0</v>
          </cell>
          <cell r="AB8">
            <v>0</v>
          </cell>
          <cell r="AD8">
            <v>0</v>
          </cell>
          <cell r="AF8">
            <v>0</v>
          </cell>
          <cell r="AH8">
            <v>0</v>
          </cell>
          <cell r="AJ8">
            <v>0</v>
          </cell>
          <cell r="AL8">
            <v>0</v>
          </cell>
          <cell r="AN8">
            <v>0</v>
          </cell>
          <cell r="AP8">
            <v>0</v>
          </cell>
          <cell r="AR8">
            <v>0</v>
          </cell>
          <cell r="AT8">
            <v>0</v>
          </cell>
          <cell r="AV8">
            <v>0</v>
          </cell>
          <cell r="AX8">
            <v>0</v>
          </cell>
          <cell r="AZ8">
            <v>0</v>
          </cell>
          <cell r="BB8">
            <v>0</v>
          </cell>
          <cell r="BD8">
            <v>0</v>
          </cell>
          <cell r="BF8">
            <v>0</v>
          </cell>
          <cell r="BH8">
            <v>0</v>
          </cell>
          <cell r="BJ8">
            <v>0</v>
          </cell>
          <cell r="BL8">
            <v>0</v>
          </cell>
          <cell r="BN8">
            <v>0</v>
          </cell>
          <cell r="BP8">
            <v>0</v>
          </cell>
        </row>
        <row r="9">
          <cell r="F9">
            <v>57</v>
          </cell>
          <cell r="H9">
            <v>40</v>
          </cell>
          <cell r="J9">
            <v>0</v>
          </cell>
          <cell r="L9">
            <v>0</v>
          </cell>
          <cell r="N9">
            <v>34</v>
          </cell>
          <cell r="P9">
            <v>34</v>
          </cell>
          <cell r="R9">
            <v>0</v>
          </cell>
          <cell r="T9">
            <v>0</v>
          </cell>
          <cell r="V9">
            <v>0</v>
          </cell>
          <cell r="X9">
            <v>6</v>
          </cell>
          <cell r="Z9">
            <v>0</v>
          </cell>
          <cell r="AB9">
            <v>0</v>
          </cell>
          <cell r="AD9">
            <v>0</v>
          </cell>
          <cell r="AF9">
            <v>17</v>
          </cell>
          <cell r="AH9">
            <v>4</v>
          </cell>
          <cell r="AJ9">
            <v>0</v>
          </cell>
          <cell r="AL9">
            <v>4</v>
          </cell>
          <cell r="AN9">
            <v>0</v>
          </cell>
          <cell r="AP9">
            <v>0</v>
          </cell>
          <cell r="AR9">
            <v>0</v>
          </cell>
          <cell r="AT9">
            <v>13</v>
          </cell>
          <cell r="AV9">
            <v>0</v>
          </cell>
          <cell r="AX9">
            <v>13</v>
          </cell>
          <cell r="AZ9">
            <v>0</v>
          </cell>
          <cell r="BB9">
            <v>0</v>
          </cell>
          <cell r="BD9">
            <v>0</v>
          </cell>
          <cell r="BF9">
            <v>0</v>
          </cell>
          <cell r="BH9">
            <v>0</v>
          </cell>
          <cell r="BJ9">
            <v>0</v>
          </cell>
          <cell r="BL9">
            <v>0</v>
          </cell>
          <cell r="BN9">
            <v>0</v>
          </cell>
          <cell r="BP9">
            <v>0</v>
          </cell>
        </row>
        <row r="10">
          <cell r="F10">
            <v>85</v>
          </cell>
          <cell r="H10">
            <v>34.5</v>
          </cell>
          <cell r="J10">
            <v>0</v>
          </cell>
          <cell r="L10">
            <v>0</v>
          </cell>
          <cell r="N10">
            <v>0</v>
          </cell>
          <cell r="P10">
            <v>0</v>
          </cell>
          <cell r="R10">
            <v>0</v>
          </cell>
          <cell r="T10">
            <v>0</v>
          </cell>
          <cell r="V10">
            <v>34.5</v>
          </cell>
          <cell r="X10">
            <v>0</v>
          </cell>
          <cell r="Z10">
            <v>0</v>
          </cell>
          <cell r="AB10">
            <v>0</v>
          </cell>
          <cell r="AD10">
            <v>0</v>
          </cell>
          <cell r="AF10">
            <v>42.5</v>
          </cell>
          <cell r="AH10">
            <v>0</v>
          </cell>
          <cell r="AJ10">
            <v>0</v>
          </cell>
          <cell r="AL10">
            <v>0</v>
          </cell>
          <cell r="AN10">
            <v>0</v>
          </cell>
          <cell r="AP10">
            <v>0</v>
          </cell>
          <cell r="AR10">
            <v>0</v>
          </cell>
          <cell r="AT10">
            <v>31.5</v>
          </cell>
          <cell r="AV10">
            <v>0</v>
          </cell>
          <cell r="AX10">
            <v>31.5</v>
          </cell>
          <cell r="AZ10">
            <v>0</v>
          </cell>
          <cell r="BB10">
            <v>0</v>
          </cell>
          <cell r="BD10">
            <v>11</v>
          </cell>
          <cell r="BF10">
            <v>0</v>
          </cell>
          <cell r="BH10">
            <v>0</v>
          </cell>
          <cell r="BJ10">
            <v>8</v>
          </cell>
          <cell r="BL10">
            <v>0</v>
          </cell>
          <cell r="BN10">
            <v>0</v>
          </cell>
          <cell r="BP10">
            <v>0</v>
          </cell>
        </row>
        <row r="11">
          <cell r="F11">
            <v>0</v>
          </cell>
          <cell r="H11">
            <v>0</v>
          </cell>
          <cell r="J11">
            <v>0</v>
          </cell>
          <cell r="L11">
            <v>0</v>
          </cell>
          <cell r="N11">
            <v>0</v>
          </cell>
          <cell r="P11">
            <v>0</v>
          </cell>
          <cell r="R11">
            <v>0</v>
          </cell>
          <cell r="T11">
            <v>0</v>
          </cell>
          <cell r="V11">
            <v>0</v>
          </cell>
          <cell r="X11">
            <v>0</v>
          </cell>
          <cell r="Z11">
            <v>0</v>
          </cell>
          <cell r="AB11">
            <v>0</v>
          </cell>
          <cell r="AD11">
            <v>0</v>
          </cell>
          <cell r="AF11">
            <v>0</v>
          </cell>
          <cell r="AH11">
            <v>0</v>
          </cell>
          <cell r="AJ11">
            <v>0</v>
          </cell>
          <cell r="AL11">
            <v>0</v>
          </cell>
          <cell r="AN11">
            <v>0</v>
          </cell>
          <cell r="AP11">
            <v>0</v>
          </cell>
          <cell r="AR11">
            <v>0</v>
          </cell>
          <cell r="AT11">
            <v>0</v>
          </cell>
          <cell r="AV11">
            <v>0</v>
          </cell>
          <cell r="AX11">
            <v>0</v>
          </cell>
          <cell r="AZ11">
            <v>0</v>
          </cell>
          <cell r="BB11">
            <v>0</v>
          </cell>
          <cell r="BD11">
            <v>0</v>
          </cell>
          <cell r="BF11">
            <v>0</v>
          </cell>
          <cell r="BH11">
            <v>0</v>
          </cell>
          <cell r="BJ11">
            <v>0</v>
          </cell>
          <cell r="BL11">
            <v>0</v>
          </cell>
          <cell r="BN11">
            <v>0</v>
          </cell>
          <cell r="BP11">
            <v>0</v>
          </cell>
        </row>
        <row r="12">
          <cell r="F12">
            <v>57</v>
          </cell>
          <cell r="H12">
            <v>15</v>
          </cell>
          <cell r="J12">
            <v>0</v>
          </cell>
          <cell r="L12">
            <v>9</v>
          </cell>
          <cell r="N12">
            <v>0</v>
          </cell>
          <cell r="P12">
            <v>0</v>
          </cell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6</v>
          </cell>
          <cell r="AF12">
            <v>36</v>
          </cell>
          <cell r="AH12">
            <v>18</v>
          </cell>
          <cell r="AJ12">
            <v>0</v>
          </cell>
          <cell r="AL12">
            <v>18</v>
          </cell>
          <cell r="AN12">
            <v>18</v>
          </cell>
          <cell r="AP12">
            <v>0</v>
          </cell>
          <cell r="AR12">
            <v>18</v>
          </cell>
          <cell r="AT12">
            <v>0</v>
          </cell>
          <cell r="AV12">
            <v>0</v>
          </cell>
          <cell r="AX12">
            <v>0</v>
          </cell>
          <cell r="AZ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6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</row>
        <row r="13">
          <cell r="F13">
            <v>29</v>
          </cell>
          <cell r="H13">
            <v>0</v>
          </cell>
          <cell r="J13">
            <v>0</v>
          </cell>
          <cell r="L13">
            <v>0</v>
          </cell>
          <cell r="N13">
            <v>0</v>
          </cell>
          <cell r="P13">
            <v>0</v>
          </cell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12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12</v>
          </cell>
          <cell r="AV13">
            <v>12</v>
          </cell>
          <cell r="AX13">
            <v>0</v>
          </cell>
          <cell r="AZ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17</v>
          </cell>
          <cell r="BL13">
            <v>0</v>
          </cell>
          <cell r="BN13">
            <v>0</v>
          </cell>
          <cell r="BP13">
            <v>0</v>
          </cell>
        </row>
        <row r="14">
          <cell r="F14">
            <v>17</v>
          </cell>
          <cell r="H14">
            <v>0</v>
          </cell>
          <cell r="J14">
            <v>0</v>
          </cell>
          <cell r="L14">
            <v>0</v>
          </cell>
          <cell r="N14">
            <v>0</v>
          </cell>
          <cell r="P14">
            <v>0</v>
          </cell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12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12</v>
          </cell>
          <cell r="AV14">
            <v>12</v>
          </cell>
          <cell r="AX14">
            <v>0</v>
          </cell>
          <cell r="AZ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5</v>
          </cell>
          <cell r="BL14">
            <v>0</v>
          </cell>
          <cell r="BN14">
            <v>0</v>
          </cell>
          <cell r="BP14">
            <v>0</v>
          </cell>
        </row>
        <row r="15">
          <cell r="F15">
            <v>0</v>
          </cell>
          <cell r="H15">
            <v>0</v>
          </cell>
          <cell r="J15">
            <v>0</v>
          </cell>
          <cell r="L15">
            <v>0</v>
          </cell>
          <cell r="N15">
            <v>0</v>
          </cell>
          <cell r="P15">
            <v>0</v>
          </cell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AV15">
            <v>0</v>
          </cell>
          <cell r="AX15">
            <v>0</v>
          </cell>
          <cell r="AZ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</row>
        <row r="16">
          <cell r="F16">
            <v>0</v>
          </cell>
          <cell r="H16">
            <v>0</v>
          </cell>
          <cell r="J16">
            <v>0</v>
          </cell>
          <cell r="L16">
            <v>0</v>
          </cell>
          <cell r="N16">
            <v>0</v>
          </cell>
          <cell r="P16">
            <v>0</v>
          </cell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AV16">
            <v>0</v>
          </cell>
          <cell r="AX16">
            <v>0</v>
          </cell>
          <cell r="AZ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</row>
        <row r="17">
          <cell r="F17">
            <v>12</v>
          </cell>
          <cell r="H17">
            <v>0</v>
          </cell>
          <cell r="J17">
            <v>0</v>
          </cell>
          <cell r="L17">
            <v>0</v>
          </cell>
          <cell r="N17">
            <v>0</v>
          </cell>
          <cell r="P17">
            <v>0</v>
          </cell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AV17">
            <v>0</v>
          </cell>
          <cell r="AX17">
            <v>0</v>
          </cell>
          <cell r="AZ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12</v>
          </cell>
          <cell r="BL17">
            <v>0</v>
          </cell>
          <cell r="BN17">
            <v>0</v>
          </cell>
          <cell r="BP17">
            <v>0</v>
          </cell>
        </row>
        <row r="18">
          <cell r="F18">
            <v>0</v>
          </cell>
          <cell r="H18">
            <v>0</v>
          </cell>
          <cell r="J18">
            <v>0</v>
          </cell>
          <cell r="L18">
            <v>0</v>
          </cell>
          <cell r="N18">
            <v>0</v>
          </cell>
          <cell r="P18">
            <v>0</v>
          </cell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AV18">
            <v>0</v>
          </cell>
          <cell r="AX18">
            <v>0</v>
          </cell>
          <cell r="AZ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</row>
        <row r="19">
          <cell r="F19">
            <v>0</v>
          </cell>
          <cell r="H19">
            <v>0</v>
          </cell>
          <cell r="J19">
            <v>0</v>
          </cell>
          <cell r="L19">
            <v>0</v>
          </cell>
          <cell r="N19">
            <v>0</v>
          </cell>
          <cell r="P19">
            <v>0</v>
          </cell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AV19">
            <v>0</v>
          </cell>
          <cell r="AX19">
            <v>0</v>
          </cell>
          <cell r="AZ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</row>
        <row r="31">
          <cell r="F31">
            <v>67</v>
          </cell>
          <cell r="H31">
            <v>0</v>
          </cell>
          <cell r="J31">
            <v>0</v>
          </cell>
          <cell r="L31">
            <v>0</v>
          </cell>
          <cell r="N31">
            <v>0</v>
          </cell>
          <cell r="P31">
            <v>0</v>
          </cell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55</v>
          </cell>
          <cell r="AH31">
            <v>0</v>
          </cell>
          <cell r="AJ31">
            <v>0</v>
          </cell>
          <cell r="AL31">
            <v>0</v>
          </cell>
          <cell r="AN31">
            <v>13</v>
          </cell>
          <cell r="AP31">
            <v>6</v>
          </cell>
          <cell r="AR31">
            <v>7</v>
          </cell>
          <cell r="AT31">
            <v>0</v>
          </cell>
          <cell r="AV31">
            <v>0</v>
          </cell>
          <cell r="AX31">
            <v>0</v>
          </cell>
          <cell r="AZ31">
            <v>0</v>
          </cell>
          <cell r="BB31">
            <v>0</v>
          </cell>
          <cell r="BD31">
            <v>42</v>
          </cell>
          <cell r="BF31">
            <v>0</v>
          </cell>
          <cell r="BH31">
            <v>12</v>
          </cell>
          <cell r="BJ31">
            <v>0</v>
          </cell>
          <cell r="BL31">
            <v>0</v>
          </cell>
          <cell r="BN31">
            <v>0</v>
          </cell>
          <cell r="BP31">
            <v>0</v>
          </cell>
        </row>
        <row r="32">
          <cell r="F32">
            <v>0</v>
          </cell>
          <cell r="H32">
            <v>0</v>
          </cell>
          <cell r="J32">
            <v>0</v>
          </cell>
          <cell r="L32">
            <v>0</v>
          </cell>
          <cell r="N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  <cell r="AV32">
            <v>0</v>
          </cell>
          <cell r="AX32">
            <v>0</v>
          </cell>
          <cell r="AZ32">
            <v>0</v>
          </cell>
          <cell r="BB32">
            <v>0</v>
          </cell>
          <cell r="BD32">
            <v>0</v>
          </cell>
          <cell r="BF32">
            <v>0</v>
          </cell>
          <cell r="BH32">
            <v>0</v>
          </cell>
          <cell r="BJ32">
            <v>0</v>
          </cell>
          <cell r="BL32">
            <v>0</v>
          </cell>
          <cell r="BN32">
            <v>0</v>
          </cell>
          <cell r="BP32">
            <v>0</v>
          </cell>
        </row>
        <row r="33">
          <cell r="F33">
            <v>67</v>
          </cell>
          <cell r="H33">
            <v>0</v>
          </cell>
          <cell r="J33">
            <v>0</v>
          </cell>
          <cell r="L33">
            <v>0</v>
          </cell>
          <cell r="N33">
            <v>0</v>
          </cell>
          <cell r="P33">
            <v>0</v>
          </cell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55</v>
          </cell>
          <cell r="AH33">
            <v>0</v>
          </cell>
          <cell r="AJ33">
            <v>0</v>
          </cell>
          <cell r="AL33">
            <v>0</v>
          </cell>
          <cell r="AN33">
            <v>13</v>
          </cell>
          <cell r="AP33">
            <v>6</v>
          </cell>
          <cell r="AR33">
            <v>7</v>
          </cell>
          <cell r="AT33">
            <v>0</v>
          </cell>
          <cell r="AV33">
            <v>0</v>
          </cell>
          <cell r="AX33">
            <v>0</v>
          </cell>
          <cell r="AZ33">
            <v>0</v>
          </cell>
          <cell r="BB33">
            <v>0</v>
          </cell>
          <cell r="BD33">
            <v>42</v>
          </cell>
          <cell r="BF33">
            <v>0</v>
          </cell>
          <cell r="BH33">
            <v>12</v>
          </cell>
          <cell r="BJ33">
            <v>0</v>
          </cell>
          <cell r="BL33">
            <v>0</v>
          </cell>
          <cell r="BN33">
            <v>0</v>
          </cell>
          <cell r="BP33">
            <v>0</v>
          </cell>
        </row>
        <row r="34">
          <cell r="F34">
            <v>95</v>
          </cell>
          <cell r="H34">
            <v>50</v>
          </cell>
          <cell r="J34">
            <v>0</v>
          </cell>
          <cell r="L34">
            <v>0</v>
          </cell>
          <cell r="N34">
            <v>8</v>
          </cell>
          <cell r="P34">
            <v>8</v>
          </cell>
          <cell r="R34">
            <v>0</v>
          </cell>
          <cell r="T34">
            <v>0</v>
          </cell>
          <cell r="V34">
            <v>37</v>
          </cell>
          <cell r="X34">
            <v>0</v>
          </cell>
          <cell r="Z34">
            <v>5</v>
          </cell>
          <cell r="AB34">
            <v>0</v>
          </cell>
          <cell r="AD34">
            <v>0</v>
          </cell>
          <cell r="AF34">
            <v>45</v>
          </cell>
          <cell r="AH34">
            <v>0</v>
          </cell>
          <cell r="AJ34">
            <v>0</v>
          </cell>
          <cell r="AL34">
            <v>0</v>
          </cell>
          <cell r="AN34">
            <v>35</v>
          </cell>
          <cell r="AP34">
            <v>0</v>
          </cell>
          <cell r="AR34">
            <v>35</v>
          </cell>
          <cell r="AT34">
            <v>10</v>
          </cell>
          <cell r="AV34">
            <v>10</v>
          </cell>
          <cell r="AX34">
            <v>0</v>
          </cell>
          <cell r="AZ34">
            <v>0</v>
          </cell>
          <cell r="BB34">
            <v>0</v>
          </cell>
          <cell r="BD34">
            <v>0</v>
          </cell>
          <cell r="BF34">
            <v>0</v>
          </cell>
          <cell r="BH34">
            <v>0</v>
          </cell>
          <cell r="BJ34">
            <v>0</v>
          </cell>
          <cell r="BL34">
            <v>0</v>
          </cell>
          <cell r="BN34">
            <v>0</v>
          </cell>
          <cell r="BP34">
            <v>0</v>
          </cell>
        </row>
        <row r="35">
          <cell r="F35">
            <v>0</v>
          </cell>
          <cell r="H35">
            <v>0</v>
          </cell>
          <cell r="J35">
            <v>0</v>
          </cell>
          <cell r="L35">
            <v>0</v>
          </cell>
          <cell r="N35">
            <v>0</v>
          </cell>
          <cell r="P35">
            <v>0</v>
          </cell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  <cell r="AV35">
            <v>0</v>
          </cell>
          <cell r="AX35">
            <v>0</v>
          </cell>
          <cell r="AZ35">
            <v>0</v>
          </cell>
          <cell r="BB35">
            <v>0</v>
          </cell>
          <cell r="BD35">
            <v>0</v>
          </cell>
          <cell r="BF35">
            <v>0</v>
          </cell>
          <cell r="BH35">
            <v>0</v>
          </cell>
          <cell r="BJ35">
            <v>0</v>
          </cell>
          <cell r="BL35">
            <v>0</v>
          </cell>
          <cell r="BN35">
            <v>0</v>
          </cell>
          <cell r="BP35">
            <v>0</v>
          </cell>
        </row>
        <row r="36">
          <cell r="F36">
            <v>121</v>
          </cell>
          <cell r="H36">
            <v>18</v>
          </cell>
          <cell r="J36">
            <v>0</v>
          </cell>
          <cell r="L36">
            <v>0</v>
          </cell>
          <cell r="N36">
            <v>0</v>
          </cell>
          <cell r="P36">
            <v>0</v>
          </cell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18</v>
          </cell>
          <cell r="AF36">
            <v>97</v>
          </cell>
          <cell r="AH36">
            <v>12</v>
          </cell>
          <cell r="AJ36">
            <v>0</v>
          </cell>
          <cell r="AL36">
            <v>12</v>
          </cell>
          <cell r="AN36">
            <v>49</v>
          </cell>
          <cell r="AP36">
            <v>43</v>
          </cell>
          <cell r="AR36">
            <v>6</v>
          </cell>
          <cell r="AT36">
            <v>21</v>
          </cell>
          <cell r="AV36">
            <v>21</v>
          </cell>
          <cell r="AX36">
            <v>0</v>
          </cell>
          <cell r="AZ36">
            <v>0</v>
          </cell>
          <cell r="BB36">
            <v>0</v>
          </cell>
          <cell r="BD36">
            <v>15</v>
          </cell>
          <cell r="BF36">
            <v>0</v>
          </cell>
          <cell r="BH36">
            <v>0</v>
          </cell>
          <cell r="BJ36">
            <v>6</v>
          </cell>
          <cell r="BL36">
            <v>0</v>
          </cell>
          <cell r="BN36">
            <v>0</v>
          </cell>
          <cell r="BP36">
            <v>0</v>
          </cell>
        </row>
        <row r="37">
          <cell r="F37">
            <v>289</v>
          </cell>
          <cell r="H37">
            <v>0</v>
          </cell>
          <cell r="J37">
            <v>0</v>
          </cell>
          <cell r="L37">
            <v>0</v>
          </cell>
          <cell r="N37">
            <v>0</v>
          </cell>
          <cell r="P37">
            <v>0</v>
          </cell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285</v>
          </cell>
          <cell r="AH37">
            <v>8</v>
          </cell>
          <cell r="AJ37">
            <v>8</v>
          </cell>
          <cell r="AL37">
            <v>0</v>
          </cell>
          <cell r="AN37">
            <v>147</v>
          </cell>
          <cell r="AP37">
            <v>86</v>
          </cell>
          <cell r="AR37">
            <v>61</v>
          </cell>
          <cell r="AT37">
            <v>12</v>
          </cell>
          <cell r="AV37">
            <v>12</v>
          </cell>
          <cell r="AX37">
            <v>0</v>
          </cell>
          <cell r="AZ37">
            <v>106</v>
          </cell>
          <cell r="BB37">
            <v>0</v>
          </cell>
          <cell r="BD37">
            <v>12</v>
          </cell>
          <cell r="BF37">
            <v>0</v>
          </cell>
          <cell r="BH37">
            <v>4</v>
          </cell>
          <cell r="BJ37">
            <v>0</v>
          </cell>
          <cell r="BL37">
            <v>0</v>
          </cell>
          <cell r="BN37">
            <v>0</v>
          </cell>
          <cell r="BP37">
            <v>0</v>
          </cell>
        </row>
        <row r="38">
          <cell r="F38">
            <v>71</v>
          </cell>
          <cell r="H38">
            <v>0</v>
          </cell>
          <cell r="J38">
            <v>0</v>
          </cell>
          <cell r="L38">
            <v>0</v>
          </cell>
          <cell r="N38">
            <v>0</v>
          </cell>
          <cell r="P38">
            <v>0</v>
          </cell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67</v>
          </cell>
          <cell r="AH38">
            <v>0</v>
          </cell>
          <cell r="AJ38">
            <v>0</v>
          </cell>
          <cell r="AL38">
            <v>0</v>
          </cell>
          <cell r="AN38">
            <v>61</v>
          </cell>
          <cell r="AP38">
            <v>0</v>
          </cell>
          <cell r="AR38">
            <v>61</v>
          </cell>
          <cell r="AT38">
            <v>0</v>
          </cell>
          <cell r="AV38">
            <v>0</v>
          </cell>
          <cell r="AX38">
            <v>0</v>
          </cell>
          <cell r="AZ38">
            <v>6</v>
          </cell>
          <cell r="BB38">
            <v>0</v>
          </cell>
          <cell r="BD38">
            <v>0</v>
          </cell>
          <cell r="BF38">
            <v>0</v>
          </cell>
          <cell r="BH38">
            <v>4</v>
          </cell>
          <cell r="BJ38">
            <v>0</v>
          </cell>
          <cell r="BL38">
            <v>0</v>
          </cell>
          <cell r="BN38">
            <v>0</v>
          </cell>
          <cell r="BP38">
            <v>0</v>
          </cell>
        </row>
        <row r="39">
          <cell r="F39">
            <v>196</v>
          </cell>
          <cell r="H39">
            <v>0</v>
          </cell>
          <cell r="J39">
            <v>0</v>
          </cell>
          <cell r="L39">
            <v>0</v>
          </cell>
          <cell r="N39">
            <v>0</v>
          </cell>
          <cell r="P39">
            <v>0</v>
          </cell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196</v>
          </cell>
          <cell r="AH39">
            <v>8</v>
          </cell>
          <cell r="AJ39">
            <v>8</v>
          </cell>
          <cell r="AL39">
            <v>0</v>
          </cell>
          <cell r="AN39">
            <v>86</v>
          </cell>
          <cell r="AP39">
            <v>86</v>
          </cell>
          <cell r="AR39">
            <v>0</v>
          </cell>
          <cell r="AT39">
            <v>0</v>
          </cell>
          <cell r="AV39">
            <v>0</v>
          </cell>
          <cell r="AX39">
            <v>0</v>
          </cell>
          <cell r="AZ39">
            <v>93</v>
          </cell>
          <cell r="BB39">
            <v>0</v>
          </cell>
          <cell r="BD39">
            <v>9</v>
          </cell>
          <cell r="BF39">
            <v>0</v>
          </cell>
          <cell r="BH39">
            <v>0</v>
          </cell>
          <cell r="BJ39">
            <v>0</v>
          </cell>
          <cell r="BL39">
            <v>0</v>
          </cell>
          <cell r="BN39">
            <v>0</v>
          </cell>
          <cell r="BP39">
            <v>0</v>
          </cell>
        </row>
        <row r="40">
          <cell r="F40">
            <v>7</v>
          </cell>
          <cell r="H40">
            <v>0</v>
          </cell>
          <cell r="J40">
            <v>0</v>
          </cell>
          <cell r="L40">
            <v>0</v>
          </cell>
          <cell r="N40">
            <v>0</v>
          </cell>
          <cell r="P40">
            <v>0</v>
          </cell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7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  <cell r="AV40">
            <v>0</v>
          </cell>
          <cell r="AX40">
            <v>0</v>
          </cell>
          <cell r="AZ40">
            <v>7</v>
          </cell>
          <cell r="BB40">
            <v>0</v>
          </cell>
          <cell r="BD40">
            <v>0</v>
          </cell>
          <cell r="BF40">
            <v>0</v>
          </cell>
          <cell r="BH40">
            <v>0</v>
          </cell>
          <cell r="BJ40">
            <v>0</v>
          </cell>
          <cell r="BL40">
            <v>0</v>
          </cell>
          <cell r="BN40">
            <v>0</v>
          </cell>
          <cell r="BP40">
            <v>0</v>
          </cell>
        </row>
        <row r="41">
          <cell r="F41">
            <v>15</v>
          </cell>
          <cell r="H41">
            <v>0</v>
          </cell>
          <cell r="J41">
            <v>0</v>
          </cell>
          <cell r="L41">
            <v>0</v>
          </cell>
          <cell r="N41">
            <v>0</v>
          </cell>
          <cell r="P41">
            <v>0</v>
          </cell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15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12</v>
          </cell>
          <cell r="AV41">
            <v>12</v>
          </cell>
          <cell r="AX41">
            <v>0</v>
          </cell>
          <cell r="AZ41">
            <v>0</v>
          </cell>
          <cell r="BB41">
            <v>0</v>
          </cell>
          <cell r="BD41">
            <v>3</v>
          </cell>
          <cell r="BF41">
            <v>0</v>
          </cell>
          <cell r="BH41">
            <v>0</v>
          </cell>
          <cell r="BJ41">
            <v>0</v>
          </cell>
          <cell r="BL41">
            <v>0</v>
          </cell>
          <cell r="BN41">
            <v>0</v>
          </cell>
          <cell r="BP41">
            <v>0</v>
          </cell>
        </row>
        <row r="42">
          <cell r="F42">
            <v>82</v>
          </cell>
          <cell r="H42">
            <v>34</v>
          </cell>
          <cell r="J42">
            <v>0</v>
          </cell>
          <cell r="L42">
            <v>0</v>
          </cell>
          <cell r="N42">
            <v>34</v>
          </cell>
          <cell r="P42">
            <v>0</v>
          </cell>
          <cell r="R42">
            <v>0</v>
          </cell>
          <cell r="T42">
            <v>34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42</v>
          </cell>
          <cell r="AH42">
            <v>0</v>
          </cell>
          <cell r="AJ42">
            <v>0</v>
          </cell>
          <cell r="AL42">
            <v>0</v>
          </cell>
          <cell r="AN42">
            <v>13</v>
          </cell>
          <cell r="AP42">
            <v>0</v>
          </cell>
          <cell r="AR42">
            <v>13</v>
          </cell>
          <cell r="AT42">
            <v>29</v>
          </cell>
          <cell r="AV42">
            <v>29</v>
          </cell>
          <cell r="AZ42">
            <v>0</v>
          </cell>
          <cell r="BB42">
            <v>0</v>
          </cell>
          <cell r="BD42">
            <v>0</v>
          </cell>
          <cell r="BF42">
            <v>0</v>
          </cell>
          <cell r="BH42">
            <v>0</v>
          </cell>
          <cell r="BJ42">
            <v>0</v>
          </cell>
          <cell r="BL42">
            <v>0</v>
          </cell>
          <cell r="BN42">
            <v>0</v>
          </cell>
          <cell r="BP42">
            <v>6</v>
          </cell>
        </row>
        <row r="43">
          <cell r="F43">
            <v>0</v>
          </cell>
          <cell r="H43">
            <v>0</v>
          </cell>
          <cell r="J43">
            <v>0</v>
          </cell>
          <cell r="L43">
            <v>0</v>
          </cell>
          <cell r="N43">
            <v>0</v>
          </cell>
          <cell r="P43">
            <v>0</v>
          </cell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  <cell r="AV43">
            <v>0</v>
          </cell>
          <cell r="AX43">
            <v>0</v>
          </cell>
          <cell r="AZ43">
            <v>0</v>
          </cell>
          <cell r="BB43">
            <v>0</v>
          </cell>
          <cell r="BD43">
            <v>0</v>
          </cell>
          <cell r="BF43">
            <v>0</v>
          </cell>
          <cell r="BH43">
            <v>0</v>
          </cell>
          <cell r="BJ43">
            <v>0</v>
          </cell>
          <cell r="BL43">
            <v>0</v>
          </cell>
          <cell r="BN43">
            <v>0</v>
          </cell>
          <cell r="BP43">
            <v>0</v>
          </cell>
        </row>
      </sheetData>
      <sheetData sheetId="5">
        <row r="6">
          <cell r="F6">
            <v>78</v>
          </cell>
          <cell r="G6">
            <v>104</v>
          </cell>
          <cell r="J6">
            <v>71</v>
          </cell>
          <cell r="K6">
            <v>95</v>
          </cell>
          <cell r="N6">
            <v>0</v>
          </cell>
          <cell r="O6">
            <v>0</v>
          </cell>
          <cell r="R6">
            <v>7</v>
          </cell>
          <cell r="S6">
            <v>6</v>
          </cell>
          <cell r="V6">
            <v>0</v>
          </cell>
          <cell r="W6">
            <v>3</v>
          </cell>
          <cell r="Z6">
            <v>0</v>
          </cell>
          <cell r="AA6">
            <v>0</v>
          </cell>
          <cell r="AD6">
            <v>71</v>
          </cell>
          <cell r="AE6">
            <v>71</v>
          </cell>
          <cell r="AH6">
            <v>0</v>
          </cell>
          <cell r="AI6">
            <v>11</v>
          </cell>
          <cell r="AL6">
            <v>71</v>
          </cell>
          <cell r="AM6">
            <v>60</v>
          </cell>
          <cell r="AV6">
            <v>880.2</v>
          </cell>
          <cell r="AW6">
            <v>825.25499999999988</v>
          </cell>
        </row>
        <row r="7">
          <cell r="F7">
            <v>30</v>
          </cell>
          <cell r="G7">
            <v>49</v>
          </cell>
          <cell r="J7">
            <v>25</v>
          </cell>
          <cell r="K7">
            <v>44</v>
          </cell>
          <cell r="N7">
            <v>0</v>
          </cell>
          <cell r="O7">
            <v>0</v>
          </cell>
          <cell r="R7">
            <v>5</v>
          </cell>
          <cell r="S7">
            <v>3</v>
          </cell>
          <cell r="V7">
            <v>0</v>
          </cell>
          <cell r="W7">
            <v>2</v>
          </cell>
          <cell r="Z7">
            <v>0</v>
          </cell>
          <cell r="AA7">
            <v>0</v>
          </cell>
          <cell r="AD7">
            <v>25</v>
          </cell>
          <cell r="AE7">
            <v>29</v>
          </cell>
          <cell r="AH7">
            <v>0</v>
          </cell>
          <cell r="AI7">
            <v>0</v>
          </cell>
          <cell r="AL7">
            <v>25</v>
          </cell>
          <cell r="AM7">
            <v>29</v>
          </cell>
          <cell r="AV7">
            <v>274</v>
          </cell>
          <cell r="AW7">
            <v>392.255</v>
          </cell>
        </row>
        <row r="8">
          <cell r="F8">
            <v>48</v>
          </cell>
          <cell r="G8">
            <v>55</v>
          </cell>
          <cell r="J8">
            <v>46</v>
          </cell>
          <cell r="K8">
            <v>51</v>
          </cell>
          <cell r="N8">
            <v>0</v>
          </cell>
          <cell r="O8">
            <v>0</v>
          </cell>
          <cell r="R8">
            <v>2</v>
          </cell>
          <cell r="S8">
            <v>3</v>
          </cell>
          <cell r="V8">
            <v>0</v>
          </cell>
          <cell r="W8">
            <v>1</v>
          </cell>
          <cell r="Z8">
            <v>0</v>
          </cell>
          <cell r="AA8">
            <v>0</v>
          </cell>
          <cell r="AD8">
            <v>46</v>
          </cell>
          <cell r="AE8">
            <v>42</v>
          </cell>
          <cell r="AH8">
            <v>0</v>
          </cell>
          <cell r="AI8">
            <v>11</v>
          </cell>
          <cell r="AL8">
            <v>46</v>
          </cell>
          <cell r="AM8">
            <v>31</v>
          </cell>
          <cell r="AV8">
            <v>606.20000000000005</v>
          </cell>
          <cell r="AW8">
            <v>433</v>
          </cell>
        </row>
        <row r="9">
          <cell r="F9">
            <v>38</v>
          </cell>
          <cell r="G9">
            <v>39</v>
          </cell>
          <cell r="J9">
            <v>33</v>
          </cell>
          <cell r="K9">
            <v>30</v>
          </cell>
          <cell r="N9">
            <v>0</v>
          </cell>
          <cell r="O9">
            <v>0</v>
          </cell>
          <cell r="R9">
            <v>5</v>
          </cell>
          <cell r="S9">
            <v>9</v>
          </cell>
          <cell r="V9">
            <v>0</v>
          </cell>
          <cell r="W9">
            <v>0</v>
          </cell>
          <cell r="Z9">
            <v>0</v>
          </cell>
          <cell r="AA9">
            <v>0</v>
          </cell>
          <cell r="AD9">
            <v>33</v>
          </cell>
          <cell r="AE9">
            <v>35</v>
          </cell>
          <cell r="AH9">
            <v>0</v>
          </cell>
          <cell r="AI9">
            <v>17</v>
          </cell>
          <cell r="AL9">
            <v>33</v>
          </cell>
          <cell r="AM9">
            <v>18</v>
          </cell>
          <cell r="AV9">
            <v>683</v>
          </cell>
          <cell r="AW9">
            <v>672</v>
          </cell>
        </row>
        <row r="10">
          <cell r="F10">
            <v>24</v>
          </cell>
          <cell r="G10">
            <v>21</v>
          </cell>
          <cell r="J10">
            <v>20</v>
          </cell>
          <cell r="K10">
            <v>17</v>
          </cell>
          <cell r="N10">
            <v>0</v>
          </cell>
          <cell r="O10">
            <v>0</v>
          </cell>
          <cell r="R10">
            <v>4</v>
          </cell>
          <cell r="S10">
            <v>4</v>
          </cell>
          <cell r="V10">
            <v>0</v>
          </cell>
          <cell r="W10">
            <v>0</v>
          </cell>
          <cell r="Z10">
            <v>0</v>
          </cell>
          <cell r="AA10">
            <v>0</v>
          </cell>
          <cell r="AD10">
            <v>20</v>
          </cell>
          <cell r="AE10">
            <v>20</v>
          </cell>
          <cell r="AH10">
            <v>0</v>
          </cell>
          <cell r="AI10">
            <v>10</v>
          </cell>
          <cell r="AL10">
            <v>20</v>
          </cell>
          <cell r="AM10">
            <v>10</v>
          </cell>
          <cell r="AV10">
            <v>596</v>
          </cell>
          <cell r="AW10">
            <v>593</v>
          </cell>
        </row>
        <row r="11">
          <cell r="F11">
            <v>6</v>
          </cell>
          <cell r="G11">
            <v>9</v>
          </cell>
          <cell r="J11">
            <v>5</v>
          </cell>
          <cell r="K11">
            <v>5</v>
          </cell>
          <cell r="N11">
            <v>0</v>
          </cell>
          <cell r="O11">
            <v>0</v>
          </cell>
          <cell r="R11">
            <v>1</v>
          </cell>
          <cell r="S11">
            <v>4</v>
          </cell>
          <cell r="V11">
            <v>0</v>
          </cell>
          <cell r="W11">
            <v>0</v>
          </cell>
          <cell r="Z11">
            <v>0</v>
          </cell>
          <cell r="AA11">
            <v>0</v>
          </cell>
          <cell r="AD11">
            <v>5</v>
          </cell>
          <cell r="AE11">
            <v>7</v>
          </cell>
          <cell r="AH11">
            <v>0</v>
          </cell>
          <cell r="AI11">
            <v>5</v>
          </cell>
          <cell r="AL11">
            <v>5</v>
          </cell>
          <cell r="AM11">
            <v>2</v>
          </cell>
          <cell r="AV11">
            <v>27</v>
          </cell>
          <cell r="AW11">
            <v>32</v>
          </cell>
        </row>
        <row r="12">
          <cell r="F12">
            <v>8</v>
          </cell>
          <cell r="G12">
            <v>9</v>
          </cell>
          <cell r="J12">
            <v>8</v>
          </cell>
          <cell r="K12">
            <v>8</v>
          </cell>
          <cell r="N12">
            <v>0</v>
          </cell>
          <cell r="O12">
            <v>0</v>
          </cell>
          <cell r="R12">
            <v>0</v>
          </cell>
          <cell r="S12">
            <v>1</v>
          </cell>
          <cell r="V12">
            <v>0</v>
          </cell>
          <cell r="W12">
            <v>0</v>
          </cell>
          <cell r="Z12">
            <v>0</v>
          </cell>
          <cell r="AA12">
            <v>0</v>
          </cell>
          <cell r="AD12">
            <v>8</v>
          </cell>
          <cell r="AE12">
            <v>8</v>
          </cell>
          <cell r="AH12">
            <v>0</v>
          </cell>
          <cell r="AI12">
            <v>2</v>
          </cell>
          <cell r="AL12">
            <v>8</v>
          </cell>
          <cell r="AM12">
            <v>6</v>
          </cell>
          <cell r="AV12">
            <v>60</v>
          </cell>
          <cell r="AW12">
            <v>47</v>
          </cell>
        </row>
        <row r="13">
          <cell r="F13">
            <v>2</v>
          </cell>
          <cell r="G13">
            <v>1</v>
          </cell>
          <cell r="J13">
            <v>2</v>
          </cell>
          <cell r="K13">
            <v>1</v>
          </cell>
          <cell r="N13">
            <v>0</v>
          </cell>
          <cell r="O13">
            <v>0</v>
          </cell>
          <cell r="R13">
            <v>0</v>
          </cell>
          <cell r="S13">
            <v>0</v>
          </cell>
          <cell r="V13">
            <v>0</v>
          </cell>
          <cell r="W13">
            <v>0</v>
          </cell>
          <cell r="Z13">
            <v>0</v>
          </cell>
          <cell r="AA13">
            <v>0</v>
          </cell>
          <cell r="AD13">
            <v>2</v>
          </cell>
          <cell r="AE13">
            <v>1</v>
          </cell>
          <cell r="AH13">
            <v>0</v>
          </cell>
          <cell r="AI13">
            <v>1</v>
          </cell>
          <cell r="AL13">
            <v>2</v>
          </cell>
          <cell r="AM13">
            <v>0</v>
          </cell>
          <cell r="AV13">
            <v>69</v>
          </cell>
          <cell r="AW13">
            <v>68</v>
          </cell>
        </row>
        <row r="14">
          <cell r="F14">
            <v>33</v>
          </cell>
          <cell r="G14">
            <v>24</v>
          </cell>
          <cell r="J14">
            <v>27</v>
          </cell>
          <cell r="K14">
            <v>21</v>
          </cell>
          <cell r="N14">
            <v>0</v>
          </cell>
          <cell r="O14">
            <v>0</v>
          </cell>
          <cell r="R14">
            <v>6</v>
          </cell>
          <cell r="S14">
            <v>3</v>
          </cell>
          <cell r="V14">
            <v>0</v>
          </cell>
          <cell r="W14">
            <v>0</v>
          </cell>
          <cell r="Z14">
            <v>0</v>
          </cell>
          <cell r="AA14">
            <v>0</v>
          </cell>
          <cell r="AD14">
            <v>23</v>
          </cell>
          <cell r="AE14">
            <v>21</v>
          </cell>
          <cell r="AH14">
            <v>0</v>
          </cell>
          <cell r="AI14">
            <v>5</v>
          </cell>
          <cell r="AL14">
            <v>23</v>
          </cell>
          <cell r="AM14">
            <v>16</v>
          </cell>
          <cell r="AV14">
            <v>190.2</v>
          </cell>
          <cell r="AW14">
            <v>251.00475</v>
          </cell>
        </row>
        <row r="15">
          <cell r="F15">
            <v>17</v>
          </cell>
          <cell r="G15">
            <v>23</v>
          </cell>
          <cell r="J15">
            <v>16</v>
          </cell>
          <cell r="K15">
            <v>22</v>
          </cell>
          <cell r="N15">
            <v>0</v>
          </cell>
          <cell r="O15">
            <v>0</v>
          </cell>
          <cell r="R15">
            <v>1</v>
          </cell>
          <cell r="S15">
            <v>1</v>
          </cell>
          <cell r="V15">
            <v>0</v>
          </cell>
          <cell r="W15">
            <v>0</v>
          </cell>
          <cell r="Z15">
            <v>0</v>
          </cell>
          <cell r="AA15">
            <v>0</v>
          </cell>
          <cell r="AD15">
            <v>16</v>
          </cell>
          <cell r="AE15">
            <v>19</v>
          </cell>
          <cell r="AH15">
            <v>4</v>
          </cell>
          <cell r="AI15">
            <v>8</v>
          </cell>
          <cell r="AL15">
            <v>12</v>
          </cell>
          <cell r="AM15">
            <v>11</v>
          </cell>
          <cell r="AV15">
            <v>467</v>
          </cell>
          <cell r="AW15">
            <v>501</v>
          </cell>
        </row>
        <row r="16">
          <cell r="F16">
            <v>5</v>
          </cell>
          <cell r="G16">
            <v>7</v>
          </cell>
          <cell r="J16">
            <v>5</v>
          </cell>
          <cell r="K16">
            <v>7</v>
          </cell>
          <cell r="N16">
            <v>0</v>
          </cell>
          <cell r="O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Z16">
            <v>0</v>
          </cell>
          <cell r="AA16">
            <v>0</v>
          </cell>
          <cell r="AD16">
            <v>5</v>
          </cell>
          <cell r="AE16">
            <v>9</v>
          </cell>
          <cell r="AH16">
            <v>0</v>
          </cell>
          <cell r="AI16">
            <v>4</v>
          </cell>
          <cell r="AL16">
            <v>5</v>
          </cell>
          <cell r="AM16">
            <v>5</v>
          </cell>
          <cell r="AV16">
            <v>105</v>
          </cell>
          <cell r="AW16">
            <v>194</v>
          </cell>
        </row>
        <row r="17">
          <cell r="F17">
            <v>9</v>
          </cell>
          <cell r="G17">
            <v>10</v>
          </cell>
          <cell r="J17">
            <v>9</v>
          </cell>
          <cell r="K17">
            <v>10</v>
          </cell>
          <cell r="N17">
            <v>0</v>
          </cell>
          <cell r="O17">
            <v>0</v>
          </cell>
          <cell r="R17">
            <v>0</v>
          </cell>
          <cell r="S17">
            <v>0</v>
          </cell>
          <cell r="V17">
            <v>0</v>
          </cell>
          <cell r="W17">
            <v>0</v>
          </cell>
          <cell r="Z17">
            <v>0</v>
          </cell>
          <cell r="AA17">
            <v>0</v>
          </cell>
          <cell r="AD17">
            <v>9</v>
          </cell>
          <cell r="AE17">
            <v>7</v>
          </cell>
          <cell r="AH17">
            <v>2</v>
          </cell>
          <cell r="AI17">
            <v>2</v>
          </cell>
          <cell r="AL17">
            <v>7</v>
          </cell>
          <cell r="AM17">
            <v>5</v>
          </cell>
          <cell r="AV17">
            <v>312</v>
          </cell>
          <cell r="AW17">
            <v>279</v>
          </cell>
        </row>
        <row r="18">
          <cell r="F18">
            <v>0</v>
          </cell>
          <cell r="G18">
            <v>0</v>
          </cell>
          <cell r="J18">
            <v>0</v>
          </cell>
          <cell r="K18">
            <v>0</v>
          </cell>
          <cell r="N18">
            <v>0</v>
          </cell>
          <cell r="O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Z18">
            <v>0</v>
          </cell>
          <cell r="AA18">
            <v>0</v>
          </cell>
          <cell r="AD18">
            <v>0</v>
          </cell>
          <cell r="AE18">
            <v>0</v>
          </cell>
          <cell r="AH18">
            <v>0</v>
          </cell>
          <cell r="AI18">
            <v>0</v>
          </cell>
          <cell r="AL18">
            <v>0</v>
          </cell>
          <cell r="AM18">
            <v>0</v>
          </cell>
          <cell r="AV18">
            <v>0</v>
          </cell>
          <cell r="AW18">
            <v>0</v>
          </cell>
        </row>
        <row r="19">
          <cell r="F19">
            <v>3</v>
          </cell>
          <cell r="G19">
            <v>6</v>
          </cell>
          <cell r="J19">
            <v>2</v>
          </cell>
          <cell r="K19">
            <v>5</v>
          </cell>
          <cell r="N19">
            <v>0</v>
          </cell>
          <cell r="O19">
            <v>0</v>
          </cell>
          <cell r="R19">
            <v>1</v>
          </cell>
          <cell r="S19">
            <v>1</v>
          </cell>
          <cell r="V19">
            <v>0</v>
          </cell>
          <cell r="W19">
            <v>0</v>
          </cell>
          <cell r="Z19">
            <v>0</v>
          </cell>
          <cell r="AA19">
            <v>0</v>
          </cell>
          <cell r="AD19">
            <v>2</v>
          </cell>
          <cell r="AE19">
            <v>3</v>
          </cell>
          <cell r="AH19">
            <v>2</v>
          </cell>
          <cell r="AI19">
            <v>2</v>
          </cell>
          <cell r="AL19">
            <v>0</v>
          </cell>
          <cell r="AM19">
            <v>1</v>
          </cell>
          <cell r="AV19">
            <v>50</v>
          </cell>
          <cell r="AW19">
            <v>28</v>
          </cell>
        </row>
        <row r="20">
          <cell r="F20">
            <v>0</v>
          </cell>
          <cell r="G20">
            <v>0</v>
          </cell>
          <cell r="J20">
            <v>0</v>
          </cell>
          <cell r="K20">
            <v>0</v>
          </cell>
          <cell r="N20">
            <v>0</v>
          </cell>
          <cell r="O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Z20">
            <v>0</v>
          </cell>
          <cell r="AA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L20">
            <v>0</v>
          </cell>
          <cell r="AM20">
            <v>0</v>
          </cell>
          <cell r="AV20">
            <v>0</v>
          </cell>
          <cell r="AW20">
            <v>0</v>
          </cell>
        </row>
        <row r="21">
          <cell r="F21">
            <v>2</v>
          </cell>
          <cell r="G21">
            <v>2</v>
          </cell>
          <cell r="J21">
            <v>2</v>
          </cell>
          <cell r="K21">
            <v>1</v>
          </cell>
          <cell r="N21">
            <v>0</v>
          </cell>
          <cell r="O21">
            <v>0</v>
          </cell>
          <cell r="R21">
            <v>0</v>
          </cell>
          <cell r="S21">
            <v>1</v>
          </cell>
          <cell r="V21">
            <v>0</v>
          </cell>
          <cell r="W21">
            <v>0</v>
          </cell>
          <cell r="Z21">
            <v>0</v>
          </cell>
          <cell r="AA21">
            <v>0</v>
          </cell>
          <cell r="AD21">
            <v>2</v>
          </cell>
          <cell r="AE21">
            <v>1</v>
          </cell>
          <cell r="AH21">
            <v>0</v>
          </cell>
          <cell r="AI21">
            <v>0</v>
          </cell>
          <cell r="AL21">
            <v>2</v>
          </cell>
          <cell r="AM21">
            <v>1</v>
          </cell>
          <cell r="AV21">
            <v>16.5</v>
          </cell>
          <cell r="AW21">
            <v>3.6</v>
          </cell>
        </row>
        <row r="33">
          <cell r="F33">
            <v>3</v>
          </cell>
          <cell r="G33">
            <v>8</v>
          </cell>
          <cell r="J33">
            <v>1</v>
          </cell>
          <cell r="K33">
            <v>1</v>
          </cell>
          <cell r="N33">
            <v>2</v>
          </cell>
          <cell r="O33">
            <v>4</v>
          </cell>
          <cell r="R33">
            <v>0</v>
          </cell>
          <cell r="S33">
            <v>3</v>
          </cell>
          <cell r="AD33">
            <v>35</v>
          </cell>
          <cell r="AE33">
            <v>12.311</v>
          </cell>
        </row>
        <row r="34">
          <cell r="F34">
            <v>2</v>
          </cell>
          <cell r="G34">
            <v>6</v>
          </cell>
          <cell r="J34">
            <v>0</v>
          </cell>
          <cell r="K34">
            <v>1</v>
          </cell>
          <cell r="N34">
            <v>2</v>
          </cell>
          <cell r="O34">
            <v>4</v>
          </cell>
          <cell r="R34">
            <v>0</v>
          </cell>
          <cell r="S34">
            <v>1</v>
          </cell>
          <cell r="AD34">
            <v>0</v>
          </cell>
          <cell r="AE34">
            <v>12.311</v>
          </cell>
        </row>
        <row r="35">
          <cell r="F35">
            <v>1</v>
          </cell>
          <cell r="G35">
            <v>2</v>
          </cell>
          <cell r="J35">
            <v>1</v>
          </cell>
          <cell r="K35">
            <v>0</v>
          </cell>
          <cell r="N35">
            <v>0</v>
          </cell>
          <cell r="O35">
            <v>0</v>
          </cell>
          <cell r="R35">
            <v>0</v>
          </cell>
          <cell r="S35">
            <v>2</v>
          </cell>
          <cell r="AD35">
            <v>35</v>
          </cell>
          <cell r="AE35">
            <v>0</v>
          </cell>
        </row>
        <row r="36">
          <cell r="F36">
            <v>0</v>
          </cell>
          <cell r="G36">
            <v>5</v>
          </cell>
          <cell r="J36">
            <v>0</v>
          </cell>
          <cell r="K36">
            <v>3</v>
          </cell>
          <cell r="N36">
            <v>0</v>
          </cell>
          <cell r="O36">
            <v>1</v>
          </cell>
          <cell r="R36">
            <v>0</v>
          </cell>
          <cell r="S36">
            <v>1</v>
          </cell>
          <cell r="AD36">
            <v>0</v>
          </cell>
          <cell r="AE36">
            <v>40</v>
          </cell>
        </row>
        <row r="37">
          <cell r="F37">
            <v>1</v>
          </cell>
          <cell r="G37">
            <v>1</v>
          </cell>
          <cell r="J37">
            <v>1</v>
          </cell>
          <cell r="K37">
            <v>1</v>
          </cell>
          <cell r="N37">
            <v>0</v>
          </cell>
          <cell r="O37">
            <v>0</v>
          </cell>
          <cell r="R37">
            <v>0</v>
          </cell>
          <cell r="S37">
            <v>0</v>
          </cell>
          <cell r="AD37">
            <v>25</v>
          </cell>
          <cell r="AE37">
            <v>25</v>
          </cell>
        </row>
        <row r="38">
          <cell r="F38">
            <v>2</v>
          </cell>
          <cell r="G38">
            <v>8</v>
          </cell>
          <cell r="J38">
            <v>1</v>
          </cell>
          <cell r="K38">
            <v>6</v>
          </cell>
          <cell r="N38">
            <v>1</v>
          </cell>
          <cell r="O38">
            <v>2</v>
          </cell>
          <cell r="R38">
            <v>0</v>
          </cell>
          <cell r="S38">
            <v>0</v>
          </cell>
          <cell r="AD38">
            <v>8.1999999999999993</v>
          </cell>
          <cell r="AE38">
            <v>63.2</v>
          </cell>
        </row>
        <row r="39">
          <cell r="F39">
            <v>3</v>
          </cell>
          <cell r="G39">
            <v>4</v>
          </cell>
          <cell r="J39">
            <v>2</v>
          </cell>
          <cell r="K39">
            <v>2</v>
          </cell>
          <cell r="N39">
            <v>1</v>
          </cell>
          <cell r="O39">
            <v>0</v>
          </cell>
          <cell r="R39">
            <v>0</v>
          </cell>
          <cell r="S39">
            <v>2</v>
          </cell>
          <cell r="AD39">
            <v>67</v>
          </cell>
          <cell r="AE39">
            <v>112</v>
          </cell>
        </row>
        <row r="40">
          <cell r="F40">
            <v>2</v>
          </cell>
          <cell r="G40">
            <v>1</v>
          </cell>
          <cell r="J40">
            <v>1</v>
          </cell>
          <cell r="K40">
            <v>0</v>
          </cell>
          <cell r="N40">
            <v>1</v>
          </cell>
          <cell r="O40">
            <v>0</v>
          </cell>
          <cell r="R40">
            <v>0</v>
          </cell>
          <cell r="S40">
            <v>1</v>
          </cell>
          <cell r="AD40">
            <v>27</v>
          </cell>
          <cell r="AE40">
            <v>0</v>
          </cell>
        </row>
        <row r="41">
          <cell r="F41">
            <v>0</v>
          </cell>
          <cell r="G41">
            <v>1</v>
          </cell>
          <cell r="J41">
            <v>0</v>
          </cell>
          <cell r="K41">
            <v>1</v>
          </cell>
          <cell r="N41">
            <v>0</v>
          </cell>
          <cell r="O41">
            <v>0</v>
          </cell>
          <cell r="R41">
            <v>0</v>
          </cell>
          <cell r="S41">
            <v>0</v>
          </cell>
          <cell r="AD41">
            <v>0</v>
          </cell>
          <cell r="AE41">
            <v>71</v>
          </cell>
        </row>
        <row r="42">
          <cell r="F42">
            <v>0</v>
          </cell>
          <cell r="G42">
            <v>0</v>
          </cell>
          <cell r="J42">
            <v>0</v>
          </cell>
          <cell r="K42">
            <v>0</v>
          </cell>
          <cell r="N42">
            <v>0</v>
          </cell>
          <cell r="O42">
            <v>0</v>
          </cell>
          <cell r="R42">
            <v>0</v>
          </cell>
          <cell r="S42">
            <v>0</v>
          </cell>
          <cell r="AD42">
            <v>0</v>
          </cell>
          <cell r="AE42">
            <v>0</v>
          </cell>
        </row>
        <row r="43">
          <cell r="F43">
            <v>1</v>
          </cell>
          <cell r="G43">
            <v>2</v>
          </cell>
          <cell r="J43">
            <v>1</v>
          </cell>
          <cell r="K43">
            <v>1</v>
          </cell>
          <cell r="N43">
            <v>0</v>
          </cell>
          <cell r="O43">
            <v>0</v>
          </cell>
          <cell r="R43">
            <v>0</v>
          </cell>
          <cell r="S43">
            <v>1</v>
          </cell>
          <cell r="AD43">
            <v>40</v>
          </cell>
          <cell r="AE43">
            <v>41</v>
          </cell>
        </row>
        <row r="44">
          <cell r="F44">
            <v>1</v>
          </cell>
          <cell r="G44">
            <v>0</v>
          </cell>
          <cell r="J44">
            <v>1</v>
          </cell>
          <cell r="K44">
            <v>0</v>
          </cell>
          <cell r="N44">
            <v>0</v>
          </cell>
          <cell r="O44">
            <v>0</v>
          </cell>
          <cell r="R44">
            <v>0</v>
          </cell>
          <cell r="S44">
            <v>0</v>
          </cell>
          <cell r="AD44">
            <v>20</v>
          </cell>
          <cell r="AE44">
            <v>0</v>
          </cell>
        </row>
        <row r="45">
          <cell r="F45">
            <v>0</v>
          </cell>
          <cell r="G45">
            <v>0</v>
          </cell>
          <cell r="J45">
            <v>0</v>
          </cell>
          <cell r="K45">
            <v>0</v>
          </cell>
          <cell r="N45">
            <v>0</v>
          </cell>
          <cell r="O45">
            <v>0</v>
          </cell>
          <cell r="R45">
            <v>0</v>
          </cell>
          <cell r="S45">
            <v>0</v>
          </cell>
          <cell r="AD45">
            <v>0</v>
          </cell>
          <cell r="AE45">
            <v>0</v>
          </cell>
        </row>
      </sheetData>
      <sheetData sheetId="6">
        <row r="64">
          <cell r="M64">
            <v>3917</v>
          </cell>
          <cell r="R64">
            <v>3976</v>
          </cell>
          <cell r="W64">
            <v>2091</v>
          </cell>
        </row>
        <row r="65">
          <cell r="M65">
            <v>2321</v>
          </cell>
          <cell r="R65">
            <v>2483</v>
          </cell>
          <cell r="W65">
            <v>1151</v>
          </cell>
        </row>
        <row r="66">
          <cell r="M66">
            <v>1596</v>
          </cell>
          <cell r="R66">
            <v>1493</v>
          </cell>
          <cell r="W66">
            <v>940</v>
          </cell>
        </row>
        <row r="67">
          <cell r="M67">
            <v>1361</v>
          </cell>
          <cell r="R67">
            <v>1198</v>
          </cell>
          <cell r="W67">
            <v>809</v>
          </cell>
        </row>
        <row r="68">
          <cell r="M68">
            <v>835</v>
          </cell>
          <cell r="R68">
            <v>770</v>
          </cell>
          <cell r="W68">
            <v>431</v>
          </cell>
        </row>
        <row r="69">
          <cell r="M69">
            <v>526</v>
          </cell>
          <cell r="R69">
            <v>428</v>
          </cell>
          <cell r="W69">
            <v>378</v>
          </cell>
        </row>
        <row r="72">
          <cell r="C72">
            <v>113</v>
          </cell>
          <cell r="H72">
            <v>3156</v>
          </cell>
          <cell r="M72">
            <v>2821</v>
          </cell>
          <cell r="R72">
            <v>58</v>
          </cell>
          <cell r="W72">
            <v>226</v>
          </cell>
          <cell r="AB72">
            <v>29</v>
          </cell>
        </row>
        <row r="73">
          <cell r="C73">
            <v>106</v>
          </cell>
          <cell r="H73">
            <v>1382</v>
          </cell>
          <cell r="M73">
            <v>1968</v>
          </cell>
          <cell r="R73">
            <v>51</v>
          </cell>
          <cell r="W73">
            <v>109</v>
          </cell>
          <cell r="AB73">
            <v>22</v>
          </cell>
        </row>
        <row r="74">
          <cell r="C74">
            <v>7</v>
          </cell>
          <cell r="H74">
            <v>1774</v>
          </cell>
          <cell r="M74">
            <v>853</v>
          </cell>
          <cell r="R74">
            <v>7</v>
          </cell>
          <cell r="W74">
            <v>117</v>
          </cell>
          <cell r="AB74">
            <v>7</v>
          </cell>
        </row>
        <row r="75">
          <cell r="C75">
            <v>35</v>
          </cell>
          <cell r="H75">
            <v>717</v>
          </cell>
          <cell r="M75">
            <v>852</v>
          </cell>
          <cell r="R75">
            <v>0</v>
          </cell>
          <cell r="W75">
            <v>69</v>
          </cell>
          <cell r="AB75">
            <v>0</v>
          </cell>
        </row>
        <row r="76">
          <cell r="C76">
            <v>35</v>
          </cell>
          <cell r="H76">
            <v>335</v>
          </cell>
          <cell r="M76">
            <v>574</v>
          </cell>
          <cell r="R76">
            <v>0</v>
          </cell>
          <cell r="W76">
            <v>30</v>
          </cell>
          <cell r="AB76">
            <v>0</v>
          </cell>
        </row>
        <row r="77">
          <cell r="C77">
            <v>0</v>
          </cell>
          <cell r="H77">
            <v>382</v>
          </cell>
          <cell r="M77">
            <v>278</v>
          </cell>
          <cell r="R77">
            <v>0</v>
          </cell>
          <cell r="W77">
            <v>39</v>
          </cell>
          <cell r="AB77">
            <v>0</v>
          </cell>
        </row>
        <row r="100">
          <cell r="I100">
            <v>0</v>
          </cell>
          <cell r="J100">
            <v>19</v>
          </cell>
          <cell r="L100">
            <v>0</v>
          </cell>
          <cell r="M100">
            <v>40</v>
          </cell>
          <cell r="O100">
            <v>0</v>
          </cell>
          <cell r="P100">
            <v>16</v>
          </cell>
          <cell r="R100">
            <v>0</v>
          </cell>
          <cell r="S100">
            <v>0</v>
          </cell>
          <cell r="U100">
            <v>0</v>
          </cell>
          <cell r="V100">
            <v>4</v>
          </cell>
          <cell r="X100">
            <v>0</v>
          </cell>
          <cell r="Y100">
            <v>17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</row>
      </sheetData>
      <sheetData sheetId="7"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O80">
            <v>0</v>
          </cell>
          <cell r="P80">
            <v>0</v>
          </cell>
          <cell r="R80">
            <v>6</v>
          </cell>
          <cell r="T80">
            <v>7</v>
          </cell>
          <cell r="U80">
            <v>6</v>
          </cell>
          <cell r="V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0</v>
          </cell>
          <cell r="AM80">
            <v>0</v>
          </cell>
        </row>
        <row r="81">
          <cell r="C81">
            <v>17</v>
          </cell>
          <cell r="D81">
            <v>7</v>
          </cell>
          <cell r="E81">
            <v>5</v>
          </cell>
          <cell r="F81">
            <v>1</v>
          </cell>
          <cell r="G81">
            <v>0</v>
          </cell>
          <cell r="H81">
            <v>1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O81">
            <v>0</v>
          </cell>
          <cell r="P81">
            <v>0</v>
          </cell>
          <cell r="R81">
            <v>27</v>
          </cell>
          <cell r="T81">
            <v>11</v>
          </cell>
          <cell r="U81">
            <v>3</v>
          </cell>
          <cell r="V81">
            <v>0</v>
          </cell>
          <cell r="Y81">
            <v>11</v>
          </cell>
          <cell r="Z81">
            <v>25</v>
          </cell>
          <cell r="AA81">
            <v>15</v>
          </cell>
          <cell r="AB81">
            <v>0</v>
          </cell>
          <cell r="AC81">
            <v>0</v>
          </cell>
          <cell r="AD81">
            <v>1</v>
          </cell>
          <cell r="AE81">
            <v>5</v>
          </cell>
          <cell r="AF81">
            <v>33</v>
          </cell>
          <cell r="AG81">
            <v>7</v>
          </cell>
          <cell r="AH81">
            <v>14</v>
          </cell>
          <cell r="AI81">
            <v>1</v>
          </cell>
          <cell r="AK81">
            <v>0</v>
          </cell>
          <cell r="AM81">
            <v>0</v>
          </cell>
        </row>
        <row r="82">
          <cell r="C82">
            <v>316.44499999999999</v>
          </cell>
          <cell r="D82">
            <v>106.661</v>
          </cell>
          <cell r="E82">
            <v>20.46</v>
          </cell>
          <cell r="F82">
            <v>2.1080000000000001</v>
          </cell>
          <cell r="G82">
            <v>0</v>
          </cell>
          <cell r="H82">
            <v>22.224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O82">
            <v>0</v>
          </cell>
          <cell r="P82">
            <v>0</v>
          </cell>
          <cell r="R82">
            <v>20.799999999999997</v>
          </cell>
          <cell r="T82">
            <v>15.2</v>
          </cell>
          <cell r="U82">
            <v>4.7</v>
          </cell>
          <cell r="V82">
            <v>0</v>
          </cell>
          <cell r="Y82">
            <v>190.79999999999998</v>
          </cell>
          <cell r="Z82">
            <v>80.2</v>
          </cell>
          <cell r="AA82">
            <v>29.3</v>
          </cell>
          <cell r="AB82">
            <v>0</v>
          </cell>
          <cell r="AC82">
            <v>0</v>
          </cell>
          <cell r="AD82">
            <v>4</v>
          </cell>
          <cell r="AE82">
            <v>21.4</v>
          </cell>
          <cell r="AF82">
            <v>80.599999999999994</v>
          </cell>
          <cell r="AG82">
            <v>2.2999999999999998</v>
          </cell>
          <cell r="AH82">
            <v>23.1</v>
          </cell>
          <cell r="AI82">
            <v>7.8</v>
          </cell>
          <cell r="AK82">
            <v>0</v>
          </cell>
          <cell r="AM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O83">
            <v>0</v>
          </cell>
          <cell r="P83">
            <v>0</v>
          </cell>
          <cell r="R83">
            <v>17</v>
          </cell>
          <cell r="T83">
            <v>4</v>
          </cell>
          <cell r="U83">
            <v>7</v>
          </cell>
          <cell r="V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K83">
            <v>0</v>
          </cell>
          <cell r="AM83">
            <v>0</v>
          </cell>
        </row>
        <row r="84">
          <cell r="C84">
            <v>29</v>
          </cell>
          <cell r="D84">
            <v>2</v>
          </cell>
          <cell r="E84">
            <v>12</v>
          </cell>
          <cell r="F84">
            <v>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O84">
            <v>0</v>
          </cell>
          <cell r="P84">
            <v>0</v>
          </cell>
          <cell r="R84">
            <v>64</v>
          </cell>
          <cell r="T84">
            <v>4</v>
          </cell>
          <cell r="U84">
            <v>0</v>
          </cell>
          <cell r="V84">
            <v>0</v>
          </cell>
          <cell r="Y84">
            <v>39</v>
          </cell>
          <cell r="Z84">
            <v>71</v>
          </cell>
          <cell r="AA84">
            <v>39</v>
          </cell>
          <cell r="AB84">
            <v>0</v>
          </cell>
          <cell r="AC84">
            <v>0</v>
          </cell>
          <cell r="AD84">
            <v>0</v>
          </cell>
          <cell r="AE84">
            <v>12</v>
          </cell>
          <cell r="AF84">
            <v>30</v>
          </cell>
          <cell r="AG84">
            <v>0</v>
          </cell>
          <cell r="AH84">
            <v>6</v>
          </cell>
          <cell r="AI84">
            <v>27</v>
          </cell>
          <cell r="AK84">
            <v>0</v>
          </cell>
          <cell r="AM84">
            <v>0</v>
          </cell>
        </row>
        <row r="85">
          <cell r="C85">
            <v>371</v>
          </cell>
          <cell r="D85">
            <v>14</v>
          </cell>
          <cell r="E85">
            <v>47</v>
          </cell>
          <cell r="F85">
            <v>19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O85">
            <v>0</v>
          </cell>
          <cell r="P85">
            <v>0</v>
          </cell>
          <cell r="R85">
            <v>72.400000000000006</v>
          </cell>
          <cell r="T85">
            <v>3.4</v>
          </cell>
          <cell r="U85">
            <v>0</v>
          </cell>
          <cell r="V85">
            <v>0</v>
          </cell>
          <cell r="Y85">
            <v>175.7</v>
          </cell>
          <cell r="Z85">
            <v>232.3</v>
          </cell>
          <cell r="AA85">
            <v>105.80000000000001</v>
          </cell>
          <cell r="AB85">
            <v>0</v>
          </cell>
          <cell r="AC85">
            <v>0</v>
          </cell>
          <cell r="AD85">
            <v>0</v>
          </cell>
          <cell r="AE85">
            <v>45.3</v>
          </cell>
          <cell r="AF85">
            <v>36.400000000000006</v>
          </cell>
          <cell r="AG85">
            <v>0</v>
          </cell>
          <cell r="AH85">
            <v>25.6</v>
          </cell>
          <cell r="AI85">
            <v>133.9</v>
          </cell>
          <cell r="AK85">
            <v>0</v>
          </cell>
          <cell r="AM85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O89">
            <v>0</v>
          </cell>
          <cell r="P89">
            <v>1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0</v>
          </cell>
          <cell r="AM89">
            <v>0</v>
          </cell>
        </row>
        <row r="90">
          <cell r="C90">
            <v>18</v>
          </cell>
          <cell r="D90">
            <v>4</v>
          </cell>
          <cell r="E90">
            <v>3</v>
          </cell>
          <cell r="F90">
            <v>1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O90">
            <v>0</v>
          </cell>
          <cell r="P90">
            <v>198</v>
          </cell>
          <cell r="R90">
            <v>0</v>
          </cell>
          <cell r="T90">
            <v>0</v>
          </cell>
          <cell r="U90">
            <v>0</v>
          </cell>
          <cell r="V90">
            <v>0</v>
          </cell>
          <cell r="Y90">
            <v>40</v>
          </cell>
          <cell r="Z90">
            <v>80</v>
          </cell>
          <cell r="AA90">
            <v>173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11</v>
          </cell>
          <cell r="AG90">
            <v>0</v>
          </cell>
          <cell r="AH90">
            <v>2</v>
          </cell>
          <cell r="AI90">
            <v>0</v>
          </cell>
          <cell r="AK90">
            <v>0</v>
          </cell>
          <cell r="AM90">
            <v>0</v>
          </cell>
        </row>
        <row r="91">
          <cell r="C91">
            <v>708</v>
          </cell>
          <cell r="D91">
            <v>120</v>
          </cell>
          <cell r="E91">
            <v>14</v>
          </cell>
          <cell r="F91">
            <v>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O91">
            <v>0</v>
          </cell>
          <cell r="P91">
            <v>9</v>
          </cell>
          <cell r="R91">
            <v>0</v>
          </cell>
          <cell r="T91">
            <v>0</v>
          </cell>
          <cell r="U91">
            <v>0</v>
          </cell>
          <cell r="V91">
            <v>0</v>
          </cell>
          <cell r="Y91">
            <v>401.5</v>
          </cell>
          <cell r="Z91">
            <v>263.2</v>
          </cell>
          <cell r="AA91">
            <v>569.19999999999993</v>
          </cell>
          <cell r="AB91">
            <v>0</v>
          </cell>
          <cell r="AC91">
            <v>0</v>
          </cell>
          <cell r="AD91">
            <v>0</v>
          </cell>
          <cell r="AE91">
            <v>7</v>
          </cell>
          <cell r="AF91">
            <v>7</v>
          </cell>
          <cell r="AG91">
            <v>0</v>
          </cell>
          <cell r="AH91">
            <v>8.4</v>
          </cell>
          <cell r="AI91">
            <v>0</v>
          </cell>
          <cell r="AK91">
            <v>0</v>
          </cell>
          <cell r="AM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O92">
            <v>0</v>
          </cell>
          <cell r="P92">
            <v>0</v>
          </cell>
          <cell r="R92">
            <v>0</v>
          </cell>
          <cell r="T92">
            <v>0</v>
          </cell>
          <cell r="U92">
            <v>0</v>
          </cell>
          <cell r="V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0</v>
          </cell>
          <cell r="AM92">
            <v>0</v>
          </cell>
        </row>
        <row r="93">
          <cell r="C93">
            <v>3</v>
          </cell>
          <cell r="D93">
            <v>0</v>
          </cell>
          <cell r="E93">
            <v>0</v>
          </cell>
          <cell r="F93">
            <v>1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O93">
            <v>0</v>
          </cell>
          <cell r="P93">
            <v>0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Y93">
            <v>5</v>
          </cell>
          <cell r="Z93">
            <v>0</v>
          </cell>
          <cell r="AA93">
            <v>5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4</v>
          </cell>
          <cell r="AI93">
            <v>0</v>
          </cell>
          <cell r="AK93">
            <v>0</v>
          </cell>
          <cell r="AM93">
            <v>0</v>
          </cell>
        </row>
        <row r="94">
          <cell r="C94">
            <v>14.4</v>
          </cell>
          <cell r="D94">
            <v>0</v>
          </cell>
          <cell r="E94">
            <v>0</v>
          </cell>
          <cell r="F94">
            <v>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O94">
            <v>0</v>
          </cell>
          <cell r="P94">
            <v>0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Y94">
            <v>11.6</v>
          </cell>
          <cell r="Z94">
            <v>0</v>
          </cell>
          <cell r="AA94">
            <v>5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20.100000000000001</v>
          </cell>
          <cell r="AI94">
            <v>0</v>
          </cell>
          <cell r="AK94">
            <v>0</v>
          </cell>
          <cell r="AM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O95">
            <v>0</v>
          </cell>
          <cell r="P95">
            <v>0</v>
          </cell>
          <cell r="R95">
            <v>0</v>
          </cell>
          <cell r="T95">
            <v>1</v>
          </cell>
          <cell r="U95">
            <v>2</v>
          </cell>
          <cell r="V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K95">
            <v>0</v>
          </cell>
          <cell r="AM95">
            <v>0</v>
          </cell>
        </row>
        <row r="96">
          <cell r="C96">
            <v>9</v>
          </cell>
          <cell r="D96">
            <v>0</v>
          </cell>
          <cell r="E96">
            <v>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O96">
            <v>0</v>
          </cell>
          <cell r="P96">
            <v>0</v>
          </cell>
          <cell r="R96">
            <v>0</v>
          </cell>
          <cell r="T96">
            <v>1</v>
          </cell>
          <cell r="U96">
            <v>0</v>
          </cell>
          <cell r="V96">
            <v>0</v>
          </cell>
          <cell r="Y96">
            <v>20</v>
          </cell>
          <cell r="Z96">
            <v>33</v>
          </cell>
          <cell r="AA96">
            <v>15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1</v>
          </cell>
          <cell r="AH96">
            <v>0</v>
          </cell>
          <cell r="AI96">
            <v>0</v>
          </cell>
          <cell r="AK96">
            <v>0</v>
          </cell>
          <cell r="AM96">
            <v>0</v>
          </cell>
        </row>
        <row r="97">
          <cell r="C97">
            <v>119</v>
          </cell>
          <cell r="D97">
            <v>0</v>
          </cell>
          <cell r="E97">
            <v>10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O97">
            <v>0</v>
          </cell>
          <cell r="P97">
            <v>0</v>
          </cell>
          <cell r="R97">
            <v>0</v>
          </cell>
          <cell r="T97">
            <v>0.5</v>
          </cell>
          <cell r="U97">
            <v>0</v>
          </cell>
          <cell r="V97">
            <v>0</v>
          </cell>
          <cell r="Y97">
            <v>150.5</v>
          </cell>
          <cell r="Z97">
            <v>41.5</v>
          </cell>
          <cell r="AA97">
            <v>12.5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0.9</v>
          </cell>
          <cell r="AH97">
            <v>0</v>
          </cell>
          <cell r="AI97">
            <v>0</v>
          </cell>
          <cell r="AK97">
            <v>0</v>
          </cell>
          <cell r="AM97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O101">
            <v>0</v>
          </cell>
          <cell r="P101">
            <v>0</v>
          </cell>
          <cell r="R101">
            <v>0</v>
          </cell>
          <cell r="T101">
            <v>0</v>
          </cell>
          <cell r="U101">
            <v>0</v>
          </cell>
          <cell r="V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K101">
            <v>0</v>
          </cell>
          <cell r="AM101">
            <v>0</v>
          </cell>
        </row>
        <row r="102">
          <cell r="C102">
            <v>1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O102">
            <v>0</v>
          </cell>
          <cell r="P102">
            <v>0</v>
          </cell>
          <cell r="R102">
            <v>0</v>
          </cell>
          <cell r="T102">
            <v>0</v>
          </cell>
          <cell r="U102">
            <v>0</v>
          </cell>
          <cell r="V102">
            <v>0</v>
          </cell>
          <cell r="Y102">
            <v>0</v>
          </cell>
          <cell r="Z102">
            <v>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K102">
            <v>0</v>
          </cell>
          <cell r="AM102">
            <v>0</v>
          </cell>
        </row>
        <row r="103">
          <cell r="C103">
            <v>34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O103">
            <v>0</v>
          </cell>
          <cell r="P103">
            <v>0</v>
          </cell>
          <cell r="R103">
            <v>0</v>
          </cell>
          <cell r="T103">
            <v>0</v>
          </cell>
          <cell r="U103">
            <v>0</v>
          </cell>
          <cell r="V103">
            <v>0</v>
          </cell>
          <cell r="Y103">
            <v>0</v>
          </cell>
          <cell r="Z103">
            <v>20.5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K103">
            <v>0</v>
          </cell>
          <cell r="AM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O104">
            <v>0</v>
          </cell>
          <cell r="P104">
            <v>0</v>
          </cell>
          <cell r="R104">
            <v>4</v>
          </cell>
          <cell r="T104">
            <v>2</v>
          </cell>
          <cell r="U104">
            <v>7</v>
          </cell>
          <cell r="V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0</v>
          </cell>
          <cell r="AM104">
            <v>0</v>
          </cell>
        </row>
        <row r="105">
          <cell r="C105">
            <v>2</v>
          </cell>
          <cell r="D105">
            <v>3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O105">
            <v>0</v>
          </cell>
          <cell r="P105">
            <v>0</v>
          </cell>
          <cell r="R105">
            <v>11</v>
          </cell>
          <cell r="T105">
            <v>2</v>
          </cell>
          <cell r="U105">
            <v>8</v>
          </cell>
          <cell r="V105">
            <v>0</v>
          </cell>
          <cell r="Y105">
            <v>3</v>
          </cell>
          <cell r="Z105">
            <v>15</v>
          </cell>
          <cell r="AA105">
            <v>3</v>
          </cell>
          <cell r="AB105">
            <v>0</v>
          </cell>
          <cell r="AC105">
            <v>2</v>
          </cell>
          <cell r="AD105">
            <v>0</v>
          </cell>
          <cell r="AE105">
            <v>0</v>
          </cell>
          <cell r="AF105">
            <v>0</v>
          </cell>
          <cell r="AG105">
            <v>10</v>
          </cell>
          <cell r="AH105">
            <v>1</v>
          </cell>
          <cell r="AI105">
            <v>13</v>
          </cell>
          <cell r="AK105">
            <v>0</v>
          </cell>
          <cell r="AM105">
            <v>0</v>
          </cell>
        </row>
        <row r="106">
          <cell r="C106">
            <v>17.3</v>
          </cell>
          <cell r="D106">
            <v>31.2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O106">
            <v>0</v>
          </cell>
          <cell r="P106">
            <v>0</v>
          </cell>
          <cell r="R106">
            <v>5.2399999999999993</v>
          </cell>
          <cell r="T106">
            <v>0.75</v>
          </cell>
          <cell r="U106">
            <v>2.94</v>
          </cell>
          <cell r="V106">
            <v>0</v>
          </cell>
          <cell r="Y106">
            <v>33.46</v>
          </cell>
          <cell r="Z106">
            <v>25.75</v>
          </cell>
          <cell r="AA106">
            <v>3.03</v>
          </cell>
          <cell r="AB106">
            <v>0</v>
          </cell>
          <cell r="AC106">
            <v>2.52</v>
          </cell>
          <cell r="AD106">
            <v>0</v>
          </cell>
          <cell r="AE106">
            <v>0</v>
          </cell>
          <cell r="AF106">
            <v>0</v>
          </cell>
          <cell r="AG106">
            <v>4.08</v>
          </cell>
          <cell r="AH106">
            <v>0.2</v>
          </cell>
          <cell r="AI106">
            <v>81.08</v>
          </cell>
          <cell r="AK106">
            <v>0</v>
          </cell>
          <cell r="AM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O107">
            <v>0</v>
          </cell>
          <cell r="P107">
            <v>0</v>
          </cell>
          <cell r="R107">
            <v>3</v>
          </cell>
          <cell r="T107">
            <v>0</v>
          </cell>
          <cell r="U107">
            <v>2</v>
          </cell>
          <cell r="V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K107">
            <v>0</v>
          </cell>
          <cell r="AM107">
            <v>0</v>
          </cell>
        </row>
        <row r="108">
          <cell r="C108">
            <v>5</v>
          </cell>
          <cell r="D108">
            <v>0</v>
          </cell>
          <cell r="E108">
            <v>8</v>
          </cell>
          <cell r="F108">
            <v>2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O108">
            <v>0</v>
          </cell>
          <cell r="P108">
            <v>0</v>
          </cell>
          <cell r="R108">
            <v>17</v>
          </cell>
          <cell r="T108">
            <v>0</v>
          </cell>
          <cell r="U108">
            <v>2</v>
          </cell>
          <cell r="V108">
            <v>0</v>
          </cell>
          <cell r="Y108">
            <v>12</v>
          </cell>
          <cell r="Z108">
            <v>20</v>
          </cell>
          <cell r="AA108">
            <v>8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6</v>
          </cell>
          <cell r="AH108">
            <v>5</v>
          </cell>
          <cell r="AI108">
            <v>1</v>
          </cell>
          <cell r="AK108">
            <v>0</v>
          </cell>
          <cell r="AM108">
            <v>0</v>
          </cell>
        </row>
        <row r="109">
          <cell r="C109">
            <v>90.3232</v>
          </cell>
          <cell r="D109">
            <v>0</v>
          </cell>
          <cell r="E109">
            <v>51.805819999999997</v>
          </cell>
          <cell r="F109">
            <v>19.200000000000003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O109">
            <v>0</v>
          </cell>
          <cell r="P109">
            <v>0</v>
          </cell>
          <cell r="R109">
            <v>5.52</v>
          </cell>
          <cell r="T109">
            <v>0</v>
          </cell>
          <cell r="U109">
            <v>3.01</v>
          </cell>
          <cell r="V109">
            <v>0</v>
          </cell>
          <cell r="Y109">
            <v>70.72</v>
          </cell>
          <cell r="Z109">
            <v>59.79</v>
          </cell>
          <cell r="AA109">
            <v>22.060000000000002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5.83</v>
          </cell>
          <cell r="AH109">
            <v>3.54</v>
          </cell>
          <cell r="AI109">
            <v>10.4</v>
          </cell>
          <cell r="AK109">
            <v>0</v>
          </cell>
          <cell r="AM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O110">
            <v>0</v>
          </cell>
          <cell r="P110">
            <v>0</v>
          </cell>
          <cell r="R110">
            <v>3</v>
          </cell>
          <cell r="T110">
            <v>5</v>
          </cell>
          <cell r="U110">
            <v>0</v>
          </cell>
          <cell r="V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K110">
            <v>0</v>
          </cell>
          <cell r="AM110">
            <v>0</v>
          </cell>
        </row>
        <row r="111">
          <cell r="C111">
            <v>12</v>
          </cell>
          <cell r="D111">
            <v>0</v>
          </cell>
          <cell r="E111">
            <v>3</v>
          </cell>
          <cell r="F111">
            <v>2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7</v>
          </cell>
          <cell r="T111">
            <v>6</v>
          </cell>
          <cell r="U111">
            <v>0</v>
          </cell>
          <cell r="V111">
            <v>0</v>
          </cell>
          <cell r="Y111">
            <v>33</v>
          </cell>
          <cell r="Z111">
            <v>82</v>
          </cell>
          <cell r="AA111">
            <v>18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24</v>
          </cell>
          <cell r="AH111">
            <v>9</v>
          </cell>
          <cell r="AI111">
            <v>0</v>
          </cell>
          <cell r="AK111">
            <v>0</v>
          </cell>
          <cell r="AM111">
            <v>0</v>
          </cell>
        </row>
        <row r="112">
          <cell r="C112">
            <v>69.63</v>
          </cell>
          <cell r="D112">
            <v>0</v>
          </cell>
          <cell r="E112">
            <v>9.9</v>
          </cell>
          <cell r="F112">
            <v>0.5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O112">
            <v>0</v>
          </cell>
          <cell r="P112">
            <v>0</v>
          </cell>
          <cell r="R112">
            <v>1.59</v>
          </cell>
          <cell r="T112">
            <v>7.78</v>
          </cell>
          <cell r="U112">
            <v>0</v>
          </cell>
          <cell r="V112">
            <v>0</v>
          </cell>
          <cell r="Y112">
            <v>80.33</v>
          </cell>
          <cell r="Z112">
            <v>102.76</v>
          </cell>
          <cell r="AA112">
            <v>10.47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6.2</v>
          </cell>
          <cell r="AH112">
            <v>17.850000000000001</v>
          </cell>
          <cell r="AI112">
            <v>0</v>
          </cell>
          <cell r="AK112">
            <v>0</v>
          </cell>
          <cell r="AM112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O116">
            <v>1</v>
          </cell>
          <cell r="P116">
            <v>0</v>
          </cell>
          <cell r="R116">
            <v>3</v>
          </cell>
          <cell r="T116">
            <v>0</v>
          </cell>
          <cell r="U116">
            <v>20</v>
          </cell>
          <cell r="V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  <cell r="AM116">
            <v>0</v>
          </cell>
        </row>
        <row r="117">
          <cell r="C117">
            <v>6</v>
          </cell>
          <cell r="D117">
            <v>2</v>
          </cell>
          <cell r="E117">
            <v>0</v>
          </cell>
          <cell r="F117">
            <v>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O117">
            <v>852</v>
          </cell>
          <cell r="P117">
            <v>0</v>
          </cell>
          <cell r="R117">
            <v>116</v>
          </cell>
          <cell r="T117">
            <v>0</v>
          </cell>
          <cell r="U117">
            <v>27</v>
          </cell>
          <cell r="V117">
            <v>0</v>
          </cell>
          <cell r="Y117">
            <v>7</v>
          </cell>
          <cell r="Z117">
            <v>6</v>
          </cell>
          <cell r="AA117">
            <v>13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3</v>
          </cell>
          <cell r="AK117">
            <v>0</v>
          </cell>
          <cell r="AM117">
            <v>0</v>
          </cell>
        </row>
        <row r="118">
          <cell r="C118">
            <v>262</v>
          </cell>
          <cell r="D118">
            <v>64</v>
          </cell>
          <cell r="E118">
            <v>0</v>
          </cell>
          <cell r="F118">
            <v>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O118">
            <v>238</v>
          </cell>
          <cell r="P118">
            <v>0</v>
          </cell>
          <cell r="R118">
            <v>351</v>
          </cell>
          <cell r="T118">
            <v>0</v>
          </cell>
          <cell r="U118">
            <v>34</v>
          </cell>
          <cell r="V118">
            <v>0</v>
          </cell>
          <cell r="Y118">
            <v>32</v>
          </cell>
          <cell r="Z118">
            <v>13</v>
          </cell>
          <cell r="AA118">
            <v>35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9</v>
          </cell>
          <cell r="AK118">
            <v>0</v>
          </cell>
          <cell r="AM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O119">
            <v>2</v>
          </cell>
          <cell r="P119">
            <v>0</v>
          </cell>
          <cell r="R119">
            <v>0</v>
          </cell>
          <cell r="T119">
            <v>0</v>
          </cell>
          <cell r="U119">
            <v>2</v>
          </cell>
          <cell r="V119">
            <v>4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K119">
            <v>0</v>
          </cell>
          <cell r="AM119">
            <v>0</v>
          </cell>
        </row>
        <row r="120">
          <cell r="C120">
            <v>1</v>
          </cell>
          <cell r="D120">
            <v>0</v>
          </cell>
          <cell r="E120">
            <v>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O120">
            <v>143</v>
          </cell>
          <cell r="P120">
            <v>0</v>
          </cell>
          <cell r="R120">
            <v>0</v>
          </cell>
          <cell r="T120">
            <v>0</v>
          </cell>
          <cell r="U120">
            <v>5</v>
          </cell>
          <cell r="V120">
            <v>23</v>
          </cell>
          <cell r="Y120">
            <v>22</v>
          </cell>
          <cell r="Z120">
            <v>19</v>
          </cell>
          <cell r="AA120">
            <v>37</v>
          </cell>
          <cell r="AB120">
            <v>0</v>
          </cell>
          <cell r="AC120">
            <v>0</v>
          </cell>
          <cell r="AD120">
            <v>4</v>
          </cell>
          <cell r="AE120">
            <v>4</v>
          </cell>
          <cell r="AF120">
            <v>0</v>
          </cell>
          <cell r="AG120">
            <v>3</v>
          </cell>
          <cell r="AH120">
            <v>0</v>
          </cell>
          <cell r="AI120">
            <v>9</v>
          </cell>
          <cell r="AK120">
            <v>0</v>
          </cell>
          <cell r="AM120">
            <v>0</v>
          </cell>
        </row>
        <row r="121">
          <cell r="C121">
            <v>7</v>
          </cell>
          <cell r="D121">
            <v>0</v>
          </cell>
          <cell r="E121">
            <v>22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O121">
            <v>24</v>
          </cell>
          <cell r="P121">
            <v>0</v>
          </cell>
          <cell r="R121">
            <v>0</v>
          </cell>
          <cell r="T121">
            <v>0</v>
          </cell>
          <cell r="U121">
            <v>17</v>
          </cell>
          <cell r="V121">
            <v>0</v>
          </cell>
          <cell r="Y121">
            <v>40</v>
          </cell>
          <cell r="Z121">
            <v>91</v>
          </cell>
          <cell r="AA121">
            <v>36</v>
          </cell>
          <cell r="AB121">
            <v>0</v>
          </cell>
          <cell r="AC121">
            <v>0</v>
          </cell>
          <cell r="AD121">
            <v>8</v>
          </cell>
          <cell r="AE121">
            <v>23</v>
          </cell>
          <cell r="AF121">
            <v>0</v>
          </cell>
          <cell r="AG121">
            <v>3</v>
          </cell>
          <cell r="AH121">
            <v>0</v>
          </cell>
          <cell r="AI121">
            <v>42</v>
          </cell>
          <cell r="AK121">
            <v>0</v>
          </cell>
          <cell r="AM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O122">
            <v>1</v>
          </cell>
          <cell r="P122">
            <v>0</v>
          </cell>
          <cell r="R122">
            <v>2</v>
          </cell>
          <cell r="T122">
            <v>0</v>
          </cell>
          <cell r="U122">
            <v>0</v>
          </cell>
          <cell r="V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K122">
            <v>0</v>
          </cell>
          <cell r="AM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O123">
            <v>7</v>
          </cell>
          <cell r="P123">
            <v>0</v>
          </cell>
          <cell r="R123">
            <v>5</v>
          </cell>
          <cell r="T123">
            <v>0</v>
          </cell>
          <cell r="U123">
            <v>0</v>
          </cell>
          <cell r="V123">
            <v>0</v>
          </cell>
          <cell r="Y123">
            <v>0</v>
          </cell>
          <cell r="Z123">
            <v>2</v>
          </cell>
          <cell r="AA123">
            <v>0</v>
          </cell>
          <cell r="AB123">
            <v>0</v>
          </cell>
          <cell r="AC123">
            <v>15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K123">
            <v>0</v>
          </cell>
          <cell r="AM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O124">
            <v>3</v>
          </cell>
          <cell r="P124">
            <v>0</v>
          </cell>
          <cell r="R124">
            <v>21</v>
          </cell>
          <cell r="T124">
            <v>0</v>
          </cell>
          <cell r="U124">
            <v>0</v>
          </cell>
          <cell r="V124">
            <v>0</v>
          </cell>
          <cell r="Y124">
            <v>0</v>
          </cell>
          <cell r="Z124">
            <v>57</v>
          </cell>
          <cell r="AA124">
            <v>0</v>
          </cell>
          <cell r="AB124">
            <v>0</v>
          </cell>
          <cell r="AC124">
            <v>120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K124">
            <v>0</v>
          </cell>
          <cell r="AM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O125">
            <v>1</v>
          </cell>
          <cell r="P125">
            <v>0</v>
          </cell>
          <cell r="R125">
            <v>1</v>
          </cell>
          <cell r="T125">
            <v>0</v>
          </cell>
          <cell r="U125">
            <v>2</v>
          </cell>
          <cell r="V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K125">
            <v>0</v>
          </cell>
          <cell r="AM125">
            <v>0</v>
          </cell>
        </row>
        <row r="126">
          <cell r="C126">
            <v>2</v>
          </cell>
          <cell r="D126">
            <v>4</v>
          </cell>
          <cell r="E126">
            <v>1</v>
          </cell>
          <cell r="F126">
            <v>1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O126">
            <v>141</v>
          </cell>
          <cell r="P126">
            <v>0</v>
          </cell>
          <cell r="R126">
            <v>19</v>
          </cell>
          <cell r="T126">
            <v>0</v>
          </cell>
          <cell r="U126">
            <v>2</v>
          </cell>
          <cell r="V126">
            <v>0</v>
          </cell>
          <cell r="Y126">
            <v>1</v>
          </cell>
          <cell r="Z126">
            <v>11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K126">
            <v>0</v>
          </cell>
          <cell r="AM126">
            <v>0</v>
          </cell>
        </row>
        <row r="127">
          <cell r="C127">
            <v>31</v>
          </cell>
          <cell r="D127">
            <v>56</v>
          </cell>
          <cell r="E127">
            <v>1</v>
          </cell>
          <cell r="F127">
            <v>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O127">
            <v>50</v>
          </cell>
          <cell r="P127">
            <v>0</v>
          </cell>
          <cell r="R127">
            <v>71</v>
          </cell>
          <cell r="T127">
            <v>0</v>
          </cell>
          <cell r="U127">
            <v>2</v>
          </cell>
          <cell r="V127">
            <v>0</v>
          </cell>
          <cell r="Y127">
            <v>4</v>
          </cell>
          <cell r="Z127">
            <v>27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0</v>
          </cell>
          <cell r="AM127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O131">
            <v>0</v>
          </cell>
          <cell r="P131">
            <v>0</v>
          </cell>
          <cell r="R131">
            <v>0</v>
          </cell>
          <cell r="T131">
            <v>0</v>
          </cell>
          <cell r="U131">
            <v>0</v>
          </cell>
          <cell r="V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K131">
            <v>0</v>
          </cell>
          <cell r="AM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O132">
            <v>0</v>
          </cell>
          <cell r="P132">
            <v>0</v>
          </cell>
          <cell r="R132">
            <v>0</v>
          </cell>
          <cell r="T132">
            <v>0</v>
          </cell>
          <cell r="U132">
            <v>0</v>
          </cell>
          <cell r="V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27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K132">
            <v>0</v>
          </cell>
          <cell r="AM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O133">
            <v>0</v>
          </cell>
          <cell r="P133">
            <v>0</v>
          </cell>
          <cell r="R133">
            <v>0</v>
          </cell>
          <cell r="T133">
            <v>0</v>
          </cell>
          <cell r="U133">
            <v>0</v>
          </cell>
          <cell r="V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K133">
            <v>0</v>
          </cell>
          <cell r="AM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O134">
            <v>0</v>
          </cell>
          <cell r="P134">
            <v>0</v>
          </cell>
          <cell r="R134">
            <v>0</v>
          </cell>
          <cell r="T134">
            <v>0</v>
          </cell>
          <cell r="U134">
            <v>0</v>
          </cell>
          <cell r="V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K134">
            <v>0</v>
          </cell>
          <cell r="AM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O135">
            <v>0</v>
          </cell>
          <cell r="P135">
            <v>0</v>
          </cell>
          <cell r="R135">
            <v>11</v>
          </cell>
          <cell r="T135">
            <v>0</v>
          </cell>
          <cell r="U135">
            <v>0</v>
          </cell>
          <cell r="V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15</v>
          </cell>
          <cell r="AK135">
            <v>0</v>
          </cell>
          <cell r="AM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O136">
            <v>0</v>
          </cell>
          <cell r="P136">
            <v>0</v>
          </cell>
          <cell r="R136">
            <v>53</v>
          </cell>
          <cell r="T136">
            <v>0</v>
          </cell>
          <cell r="U136">
            <v>0</v>
          </cell>
          <cell r="V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15</v>
          </cell>
          <cell r="AK136">
            <v>0</v>
          </cell>
          <cell r="AM136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O140">
            <v>0</v>
          </cell>
          <cell r="P140">
            <v>0</v>
          </cell>
          <cell r="R140">
            <v>1</v>
          </cell>
          <cell r="T140">
            <v>0</v>
          </cell>
          <cell r="U140">
            <v>0</v>
          </cell>
          <cell r="V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0</v>
          </cell>
          <cell r="AM140">
            <v>0</v>
          </cell>
        </row>
        <row r="141">
          <cell r="C141">
            <v>1</v>
          </cell>
          <cell r="D141">
            <v>1</v>
          </cell>
          <cell r="E141">
            <v>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O141">
            <v>0</v>
          </cell>
          <cell r="P141">
            <v>0</v>
          </cell>
          <cell r="R141">
            <v>12</v>
          </cell>
          <cell r="T141">
            <v>0</v>
          </cell>
          <cell r="U141">
            <v>0</v>
          </cell>
          <cell r="V141">
            <v>0</v>
          </cell>
          <cell r="Y141">
            <v>0</v>
          </cell>
          <cell r="Z141">
            <v>4</v>
          </cell>
          <cell r="AA141">
            <v>1</v>
          </cell>
          <cell r="AB141">
            <v>0</v>
          </cell>
          <cell r="AC141">
            <v>0</v>
          </cell>
          <cell r="AD141">
            <v>0</v>
          </cell>
          <cell r="AE141">
            <v>1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0</v>
          </cell>
          <cell r="AM141">
            <v>0</v>
          </cell>
        </row>
        <row r="142">
          <cell r="C142">
            <v>17.3</v>
          </cell>
          <cell r="D142">
            <v>30.4</v>
          </cell>
          <cell r="E142">
            <v>21.6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O142">
            <v>0</v>
          </cell>
          <cell r="P142">
            <v>0</v>
          </cell>
          <cell r="R142">
            <v>18.8</v>
          </cell>
          <cell r="T142">
            <v>0</v>
          </cell>
          <cell r="U142">
            <v>0</v>
          </cell>
          <cell r="V142">
            <v>0</v>
          </cell>
          <cell r="Y142">
            <v>0</v>
          </cell>
          <cell r="Z142">
            <v>40.299999999999997</v>
          </cell>
          <cell r="AA142">
            <v>6.3</v>
          </cell>
          <cell r="AB142">
            <v>0</v>
          </cell>
          <cell r="AC142">
            <v>0</v>
          </cell>
          <cell r="AD142">
            <v>0</v>
          </cell>
          <cell r="AE142">
            <v>8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K142">
            <v>0</v>
          </cell>
          <cell r="AM142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O152">
            <v>14</v>
          </cell>
          <cell r="P152">
            <v>87</v>
          </cell>
          <cell r="R152">
            <v>397</v>
          </cell>
          <cell r="T152">
            <v>84</v>
          </cell>
          <cell r="U152">
            <v>289</v>
          </cell>
          <cell r="V152">
            <v>2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M152">
            <v>0</v>
          </cell>
        </row>
        <row r="153">
          <cell r="C153">
            <v>1153</v>
          </cell>
          <cell r="D153">
            <v>454</v>
          </cell>
          <cell r="E153">
            <v>440</v>
          </cell>
          <cell r="F153">
            <v>146</v>
          </cell>
          <cell r="G153">
            <v>125</v>
          </cell>
          <cell r="H153">
            <v>111</v>
          </cell>
          <cell r="I153">
            <v>6</v>
          </cell>
          <cell r="J153">
            <v>1</v>
          </cell>
          <cell r="K153">
            <v>2</v>
          </cell>
          <cell r="L153">
            <v>8</v>
          </cell>
          <cell r="O153">
            <v>460</v>
          </cell>
          <cell r="P153">
            <v>915</v>
          </cell>
          <cell r="R153">
            <v>2148</v>
          </cell>
          <cell r="T153">
            <v>99</v>
          </cell>
          <cell r="U153">
            <v>593</v>
          </cell>
          <cell r="V153">
            <v>0</v>
          </cell>
          <cell r="Y153">
            <v>314</v>
          </cell>
          <cell r="Z153">
            <v>928</v>
          </cell>
          <cell r="AA153">
            <v>1813</v>
          </cell>
          <cell r="AB153">
            <v>67</v>
          </cell>
          <cell r="AC153">
            <v>10</v>
          </cell>
          <cell r="AD153">
            <v>237</v>
          </cell>
          <cell r="AE153">
            <v>364</v>
          </cell>
          <cell r="AF153">
            <v>1891</v>
          </cell>
          <cell r="AG153">
            <v>593</v>
          </cell>
          <cell r="AH153">
            <v>746</v>
          </cell>
          <cell r="AI153">
            <v>1164</v>
          </cell>
          <cell r="AK153">
            <v>0</v>
          </cell>
          <cell r="AM153">
            <v>0</v>
          </cell>
        </row>
        <row r="154">
          <cell r="C154">
            <v>18793.66</v>
          </cell>
          <cell r="D154">
            <v>8731.2569999999996</v>
          </cell>
          <cell r="E154">
            <v>1791.845</v>
          </cell>
          <cell r="F154">
            <v>472.43700000000001</v>
          </cell>
          <cell r="G154">
            <v>1270.7080000000001</v>
          </cell>
          <cell r="H154">
            <v>981.875</v>
          </cell>
          <cell r="I154">
            <v>31.18</v>
          </cell>
          <cell r="J154">
            <v>8.1820000000000004</v>
          </cell>
          <cell r="K154">
            <v>71.531000000000006</v>
          </cell>
          <cell r="L154">
            <v>55.764000000000003</v>
          </cell>
          <cell r="O154">
            <v>233.3</v>
          </cell>
          <cell r="P154">
            <v>962.1</v>
          </cell>
          <cell r="R154">
            <v>2459.75</v>
          </cell>
          <cell r="T154">
            <v>226.89999999999998</v>
          </cell>
          <cell r="U154">
            <v>967.2</v>
          </cell>
          <cell r="V154">
            <v>0</v>
          </cell>
          <cell r="Y154">
            <v>3468.6000000000004</v>
          </cell>
          <cell r="Z154">
            <v>4734.3</v>
          </cell>
          <cell r="AA154">
            <v>3617.8300000000004</v>
          </cell>
          <cell r="AB154">
            <v>130.5</v>
          </cell>
          <cell r="AC154">
            <v>37.799999999999997</v>
          </cell>
          <cell r="AD154">
            <v>1076.5999999999999</v>
          </cell>
          <cell r="AE154">
            <v>1956.94</v>
          </cell>
          <cell r="AF154">
            <v>3209.17</v>
          </cell>
          <cell r="AG154">
            <v>520.09999999999991</v>
          </cell>
          <cell r="AH154">
            <v>3053.1</v>
          </cell>
          <cell r="AI154">
            <v>5135.2</v>
          </cell>
          <cell r="AK154">
            <v>0</v>
          </cell>
          <cell r="AM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O155">
            <v>9</v>
          </cell>
          <cell r="P155">
            <v>85</v>
          </cell>
          <cell r="R155">
            <v>587</v>
          </cell>
          <cell r="T155">
            <v>221</v>
          </cell>
          <cell r="U155">
            <v>414</v>
          </cell>
          <cell r="V155">
            <v>4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0</v>
          </cell>
          <cell r="AM155">
            <v>0</v>
          </cell>
        </row>
        <row r="156">
          <cell r="C156">
            <v>1806</v>
          </cell>
          <cell r="D156">
            <v>347</v>
          </cell>
          <cell r="E156">
            <v>970</v>
          </cell>
          <cell r="F156">
            <v>141</v>
          </cell>
          <cell r="G156">
            <v>39</v>
          </cell>
          <cell r="H156">
            <v>44</v>
          </cell>
          <cell r="I156">
            <v>1</v>
          </cell>
          <cell r="J156">
            <v>2</v>
          </cell>
          <cell r="K156">
            <v>24</v>
          </cell>
          <cell r="L156">
            <v>2</v>
          </cell>
          <cell r="O156">
            <v>593</v>
          </cell>
          <cell r="P156">
            <v>789</v>
          </cell>
          <cell r="R156">
            <v>2874</v>
          </cell>
          <cell r="T156">
            <v>219</v>
          </cell>
          <cell r="U156">
            <v>1373</v>
          </cell>
          <cell r="V156">
            <v>0</v>
          </cell>
          <cell r="Y156">
            <v>3415</v>
          </cell>
          <cell r="Z156">
            <v>2311</v>
          </cell>
          <cell r="AA156">
            <v>2452</v>
          </cell>
          <cell r="AB156">
            <v>60</v>
          </cell>
          <cell r="AC156">
            <v>66</v>
          </cell>
          <cell r="AD156">
            <v>166</v>
          </cell>
          <cell r="AE156">
            <v>826</v>
          </cell>
          <cell r="AF156">
            <v>1531</v>
          </cell>
          <cell r="AG156">
            <v>28</v>
          </cell>
          <cell r="AH156">
            <v>821</v>
          </cell>
          <cell r="AI156">
            <v>1109</v>
          </cell>
          <cell r="AK156">
            <v>0</v>
          </cell>
          <cell r="AM156">
            <v>0</v>
          </cell>
        </row>
        <row r="157">
          <cell r="C157">
            <v>30393</v>
          </cell>
          <cell r="D157">
            <v>6261</v>
          </cell>
          <cell r="E157">
            <v>4350</v>
          </cell>
          <cell r="F157">
            <v>553</v>
          </cell>
          <cell r="G157">
            <v>365</v>
          </cell>
          <cell r="H157">
            <v>454</v>
          </cell>
          <cell r="I157">
            <v>5</v>
          </cell>
          <cell r="J157">
            <v>12</v>
          </cell>
          <cell r="K157">
            <v>110</v>
          </cell>
          <cell r="L157">
            <v>9</v>
          </cell>
          <cell r="O157">
            <v>426.1</v>
          </cell>
          <cell r="P157">
            <v>715.7</v>
          </cell>
          <cell r="R157">
            <v>4406.7999999999993</v>
          </cell>
          <cell r="T157">
            <v>312.2</v>
          </cell>
          <cell r="U157">
            <v>2128.4</v>
          </cell>
          <cell r="V157">
            <v>0</v>
          </cell>
          <cell r="Y157">
            <v>17432.600000000002</v>
          </cell>
          <cell r="Z157">
            <v>9328.9</v>
          </cell>
          <cell r="AA157">
            <v>6208.2</v>
          </cell>
          <cell r="AB157">
            <v>157.9</v>
          </cell>
          <cell r="AC157">
            <v>234.3</v>
          </cell>
          <cell r="AD157">
            <v>538.5</v>
          </cell>
          <cell r="AE157">
            <v>2987.4</v>
          </cell>
          <cell r="AF157">
            <v>2315.2000000000003</v>
          </cell>
          <cell r="AG157">
            <v>90.1</v>
          </cell>
          <cell r="AH157">
            <v>3167.1</v>
          </cell>
          <cell r="AI157">
            <v>4689.8999999999996</v>
          </cell>
          <cell r="AK157">
            <v>0</v>
          </cell>
          <cell r="AM157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O161">
            <v>10</v>
          </cell>
          <cell r="P161">
            <v>30</v>
          </cell>
          <cell r="R161">
            <v>147</v>
          </cell>
          <cell r="T161">
            <v>12</v>
          </cell>
          <cell r="U161">
            <v>92</v>
          </cell>
          <cell r="V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0</v>
          </cell>
          <cell r="AM161">
            <v>0</v>
          </cell>
        </row>
        <row r="162">
          <cell r="C162">
            <v>780</v>
          </cell>
          <cell r="D162">
            <v>120</v>
          </cell>
          <cell r="E162">
            <v>128</v>
          </cell>
          <cell r="F162">
            <v>39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11</v>
          </cell>
          <cell r="L162">
            <v>2</v>
          </cell>
          <cell r="O162">
            <v>482</v>
          </cell>
          <cell r="P162">
            <v>637</v>
          </cell>
          <cell r="R162">
            <v>839</v>
          </cell>
          <cell r="T162">
            <v>12</v>
          </cell>
          <cell r="U162">
            <v>157</v>
          </cell>
          <cell r="V162">
            <v>0</v>
          </cell>
          <cell r="Y162">
            <v>1241</v>
          </cell>
          <cell r="Z162">
            <v>2797</v>
          </cell>
          <cell r="AA162">
            <v>4863</v>
          </cell>
          <cell r="AB162">
            <v>0</v>
          </cell>
          <cell r="AC162">
            <v>86</v>
          </cell>
          <cell r="AD162">
            <v>1</v>
          </cell>
          <cell r="AE162">
            <v>247</v>
          </cell>
          <cell r="AF162">
            <v>533</v>
          </cell>
          <cell r="AG162">
            <v>203</v>
          </cell>
          <cell r="AH162">
            <v>164</v>
          </cell>
          <cell r="AI162">
            <v>145</v>
          </cell>
          <cell r="AK162">
            <v>0</v>
          </cell>
          <cell r="AM162">
            <v>0</v>
          </cell>
        </row>
        <row r="163">
          <cell r="C163">
            <v>23463.200000000001</v>
          </cell>
          <cell r="D163">
            <v>5069.8999999999996</v>
          </cell>
          <cell r="E163">
            <v>581.6</v>
          </cell>
          <cell r="F163">
            <v>90.76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95</v>
          </cell>
          <cell r="L163">
            <v>18</v>
          </cell>
          <cell r="O163">
            <v>716.5</v>
          </cell>
          <cell r="P163">
            <v>803.86</v>
          </cell>
          <cell r="R163">
            <v>2345.09</v>
          </cell>
          <cell r="T163">
            <v>87.8</v>
          </cell>
          <cell r="U163">
            <v>839.2</v>
          </cell>
          <cell r="V163">
            <v>0</v>
          </cell>
          <cell r="Y163">
            <v>9626.7999999999993</v>
          </cell>
          <cell r="Z163">
            <v>11792.7</v>
          </cell>
          <cell r="AA163">
            <v>15268</v>
          </cell>
          <cell r="AB163">
            <v>0</v>
          </cell>
          <cell r="AC163">
            <v>620.79999999999995</v>
          </cell>
          <cell r="AD163">
            <v>11.8</v>
          </cell>
          <cell r="AE163">
            <v>2399.4</v>
          </cell>
          <cell r="AF163">
            <v>504.7</v>
          </cell>
          <cell r="AG163">
            <v>224.3</v>
          </cell>
          <cell r="AH163">
            <v>1236</v>
          </cell>
          <cell r="AI163">
            <v>1606</v>
          </cell>
          <cell r="AK163">
            <v>0</v>
          </cell>
          <cell r="AM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O164">
            <v>2</v>
          </cell>
          <cell r="P164">
            <v>14</v>
          </cell>
          <cell r="R164">
            <v>50</v>
          </cell>
          <cell r="T164">
            <v>7</v>
          </cell>
          <cell r="U164">
            <v>54</v>
          </cell>
          <cell r="V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0</v>
          </cell>
          <cell r="AM164">
            <v>0</v>
          </cell>
        </row>
        <row r="165">
          <cell r="C165">
            <v>193</v>
          </cell>
          <cell r="D165">
            <v>4</v>
          </cell>
          <cell r="E165">
            <v>75</v>
          </cell>
          <cell r="F165">
            <v>8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O165">
            <v>69</v>
          </cell>
          <cell r="P165">
            <v>241</v>
          </cell>
          <cell r="R165">
            <v>212</v>
          </cell>
          <cell r="T165">
            <v>6</v>
          </cell>
          <cell r="U165">
            <v>110</v>
          </cell>
          <cell r="V165">
            <v>0</v>
          </cell>
          <cell r="Y165">
            <v>327</v>
          </cell>
          <cell r="Z165">
            <v>85</v>
          </cell>
          <cell r="AA165">
            <v>239</v>
          </cell>
          <cell r="AB165">
            <v>0</v>
          </cell>
          <cell r="AC165">
            <v>0</v>
          </cell>
          <cell r="AD165">
            <v>0</v>
          </cell>
          <cell r="AE165">
            <v>1</v>
          </cell>
          <cell r="AF165">
            <v>0</v>
          </cell>
          <cell r="AG165">
            <v>4</v>
          </cell>
          <cell r="AH165">
            <v>72</v>
          </cell>
          <cell r="AI165">
            <v>39</v>
          </cell>
          <cell r="AK165">
            <v>0</v>
          </cell>
          <cell r="AM165">
            <v>0</v>
          </cell>
        </row>
        <row r="166">
          <cell r="C166">
            <v>1471.5</v>
          </cell>
          <cell r="D166">
            <v>4.5999999999999996</v>
          </cell>
          <cell r="E166">
            <v>151.22</v>
          </cell>
          <cell r="F166">
            <v>31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O166">
            <v>12.4</v>
          </cell>
          <cell r="P166">
            <v>79.3</v>
          </cell>
          <cell r="R166">
            <v>85.2</v>
          </cell>
          <cell r="T166">
            <v>9.1</v>
          </cell>
          <cell r="U166">
            <v>50.1</v>
          </cell>
          <cell r="V166">
            <v>0</v>
          </cell>
          <cell r="Y166">
            <v>672.80000000000007</v>
          </cell>
          <cell r="Z166">
            <v>141.55000000000001</v>
          </cell>
          <cell r="AA166">
            <v>299.39999999999998</v>
          </cell>
          <cell r="AB166">
            <v>0</v>
          </cell>
          <cell r="AC166">
            <v>0</v>
          </cell>
          <cell r="AD166">
            <v>0</v>
          </cell>
          <cell r="AE166">
            <v>1</v>
          </cell>
          <cell r="AF166">
            <v>0</v>
          </cell>
          <cell r="AG166">
            <v>5.6</v>
          </cell>
          <cell r="AH166">
            <v>177.5</v>
          </cell>
          <cell r="AI166">
            <v>108.2</v>
          </cell>
          <cell r="AK166">
            <v>0</v>
          </cell>
          <cell r="AM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O167">
            <v>7</v>
          </cell>
          <cell r="P167">
            <v>10</v>
          </cell>
          <cell r="R167">
            <v>50</v>
          </cell>
          <cell r="T167">
            <v>23</v>
          </cell>
          <cell r="U167">
            <v>41</v>
          </cell>
          <cell r="V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0</v>
          </cell>
          <cell r="AM167">
            <v>0</v>
          </cell>
        </row>
        <row r="168">
          <cell r="C168">
            <v>348</v>
          </cell>
          <cell r="D168">
            <v>30</v>
          </cell>
          <cell r="E168">
            <v>213</v>
          </cell>
          <cell r="F168">
            <v>19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O168">
            <v>972</v>
          </cell>
          <cell r="P168">
            <v>428</v>
          </cell>
          <cell r="R168">
            <v>259</v>
          </cell>
          <cell r="T168">
            <v>58</v>
          </cell>
          <cell r="U168">
            <v>246</v>
          </cell>
          <cell r="V168">
            <v>0</v>
          </cell>
          <cell r="Y168">
            <v>740</v>
          </cell>
          <cell r="Z168">
            <v>936.8</v>
          </cell>
          <cell r="AA168">
            <v>965</v>
          </cell>
          <cell r="AB168">
            <v>0</v>
          </cell>
          <cell r="AC168">
            <v>31</v>
          </cell>
          <cell r="AD168">
            <v>0</v>
          </cell>
          <cell r="AE168">
            <v>17</v>
          </cell>
          <cell r="AF168">
            <v>0</v>
          </cell>
          <cell r="AG168">
            <v>117</v>
          </cell>
          <cell r="AH168">
            <v>44</v>
          </cell>
          <cell r="AI168">
            <v>77</v>
          </cell>
          <cell r="AK168">
            <v>0</v>
          </cell>
          <cell r="AM168">
            <v>0</v>
          </cell>
        </row>
        <row r="169">
          <cell r="C169">
            <v>3986.4</v>
          </cell>
          <cell r="D169">
            <v>439</v>
          </cell>
          <cell r="E169">
            <v>802.21</v>
          </cell>
          <cell r="F169">
            <v>105.13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O169">
            <v>238.9</v>
          </cell>
          <cell r="P169">
            <v>92.1</v>
          </cell>
          <cell r="R169">
            <v>189.8</v>
          </cell>
          <cell r="T169">
            <v>71.2</v>
          </cell>
          <cell r="U169">
            <v>212.6</v>
          </cell>
          <cell r="V169">
            <v>0</v>
          </cell>
          <cell r="Y169">
            <v>2489.9</v>
          </cell>
          <cell r="Z169">
            <v>1444.39</v>
          </cell>
          <cell r="AA169">
            <v>1104.42</v>
          </cell>
          <cell r="AB169">
            <v>0</v>
          </cell>
          <cell r="AC169">
            <v>116.2</v>
          </cell>
          <cell r="AD169">
            <v>0</v>
          </cell>
          <cell r="AE169">
            <v>46.7</v>
          </cell>
          <cell r="AF169">
            <v>0</v>
          </cell>
          <cell r="AG169">
            <v>31.9</v>
          </cell>
          <cell r="AH169">
            <v>122.5</v>
          </cell>
          <cell r="AI169">
            <v>371.6</v>
          </cell>
          <cell r="AK169">
            <v>0</v>
          </cell>
          <cell r="AM169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O173">
            <v>2</v>
          </cell>
          <cell r="P173">
            <v>2</v>
          </cell>
          <cell r="R173">
            <v>0</v>
          </cell>
          <cell r="T173">
            <v>0</v>
          </cell>
          <cell r="U173">
            <v>0</v>
          </cell>
          <cell r="V173">
            <v>1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0</v>
          </cell>
          <cell r="AM173">
            <v>0</v>
          </cell>
        </row>
        <row r="174">
          <cell r="C174">
            <v>70</v>
          </cell>
          <cell r="D174">
            <v>22</v>
          </cell>
          <cell r="E174">
            <v>34</v>
          </cell>
          <cell r="F174">
            <v>11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O174">
            <v>83</v>
          </cell>
          <cell r="P174">
            <v>50</v>
          </cell>
          <cell r="R174">
            <v>0</v>
          </cell>
          <cell r="T174">
            <v>0</v>
          </cell>
          <cell r="U174">
            <v>0</v>
          </cell>
          <cell r="V174">
            <v>0</v>
          </cell>
          <cell r="Y174">
            <v>7</v>
          </cell>
          <cell r="Z174">
            <v>203</v>
          </cell>
          <cell r="AA174">
            <v>58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81</v>
          </cell>
          <cell r="AH174">
            <v>0</v>
          </cell>
          <cell r="AI174">
            <v>11</v>
          </cell>
          <cell r="AK174">
            <v>0</v>
          </cell>
          <cell r="AM174">
            <v>0</v>
          </cell>
        </row>
        <row r="175">
          <cell r="C175">
            <v>2262.6</v>
          </cell>
          <cell r="D175">
            <v>593.20000000000005</v>
          </cell>
          <cell r="E175">
            <v>121.4</v>
          </cell>
          <cell r="F175">
            <v>29.6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O175">
            <v>118.9</v>
          </cell>
          <cell r="P175">
            <v>36</v>
          </cell>
          <cell r="R175">
            <v>0</v>
          </cell>
          <cell r="T175">
            <v>0</v>
          </cell>
          <cell r="U175">
            <v>0</v>
          </cell>
          <cell r="V175">
            <v>0</v>
          </cell>
          <cell r="Y175">
            <v>78.2</v>
          </cell>
          <cell r="Z175">
            <v>818</v>
          </cell>
          <cell r="AA175">
            <v>104.8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35</v>
          </cell>
          <cell r="AH175">
            <v>0</v>
          </cell>
          <cell r="AI175">
            <v>13.8</v>
          </cell>
          <cell r="AK175">
            <v>0</v>
          </cell>
          <cell r="AM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O176">
            <v>4</v>
          </cell>
          <cell r="P176">
            <v>61</v>
          </cell>
          <cell r="R176">
            <v>136</v>
          </cell>
          <cell r="T176">
            <v>86</v>
          </cell>
          <cell r="U176">
            <v>221</v>
          </cell>
          <cell r="V176">
            <v>10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0</v>
          </cell>
          <cell r="AM176">
            <v>0</v>
          </cell>
        </row>
        <row r="177">
          <cell r="C177">
            <v>192</v>
          </cell>
          <cell r="D177">
            <v>47</v>
          </cell>
          <cell r="E177">
            <v>79</v>
          </cell>
          <cell r="F177">
            <v>43</v>
          </cell>
          <cell r="G177">
            <v>0</v>
          </cell>
          <cell r="H177">
            <v>0</v>
          </cell>
          <cell r="I177">
            <v>0</v>
          </cell>
          <cell r="J177">
            <v>4</v>
          </cell>
          <cell r="K177">
            <v>0</v>
          </cell>
          <cell r="L177">
            <v>0</v>
          </cell>
          <cell r="O177">
            <v>35</v>
          </cell>
          <cell r="P177">
            <v>521</v>
          </cell>
          <cell r="R177">
            <v>377</v>
          </cell>
          <cell r="T177">
            <v>82</v>
          </cell>
          <cell r="U177">
            <v>444</v>
          </cell>
          <cell r="V177">
            <v>0</v>
          </cell>
          <cell r="Y177">
            <v>350</v>
          </cell>
          <cell r="Z177">
            <v>758</v>
          </cell>
          <cell r="AA177">
            <v>221</v>
          </cell>
          <cell r="AB177">
            <v>0</v>
          </cell>
          <cell r="AC177">
            <v>19</v>
          </cell>
          <cell r="AD177">
            <v>1</v>
          </cell>
          <cell r="AE177">
            <v>28</v>
          </cell>
          <cell r="AF177">
            <v>2</v>
          </cell>
          <cell r="AG177">
            <v>123</v>
          </cell>
          <cell r="AH177">
            <v>21</v>
          </cell>
          <cell r="AI177">
            <v>631</v>
          </cell>
          <cell r="AK177">
            <v>0</v>
          </cell>
          <cell r="AM177">
            <v>0</v>
          </cell>
        </row>
        <row r="178">
          <cell r="C178">
            <v>1874.3</v>
          </cell>
          <cell r="D178">
            <v>478.7</v>
          </cell>
          <cell r="E178">
            <v>395</v>
          </cell>
          <cell r="F178">
            <v>202</v>
          </cell>
          <cell r="G178">
            <v>0</v>
          </cell>
          <cell r="H178">
            <v>0</v>
          </cell>
          <cell r="I178">
            <v>0</v>
          </cell>
          <cell r="J178">
            <v>46.2</v>
          </cell>
          <cell r="K178">
            <v>0</v>
          </cell>
          <cell r="L178">
            <v>0</v>
          </cell>
          <cell r="O178">
            <v>14.7</v>
          </cell>
          <cell r="P178">
            <v>340.89</v>
          </cell>
          <cell r="R178">
            <v>241.39000000000001</v>
          </cell>
          <cell r="T178">
            <v>109.18</v>
          </cell>
          <cell r="U178">
            <v>708.69</v>
          </cell>
          <cell r="V178">
            <v>0</v>
          </cell>
          <cell r="Y178">
            <v>1214.32</v>
          </cell>
          <cell r="Z178">
            <v>1148.94</v>
          </cell>
          <cell r="AA178">
            <v>319.89</v>
          </cell>
          <cell r="AB178">
            <v>0</v>
          </cell>
          <cell r="AC178">
            <v>63.440000000000005</v>
          </cell>
          <cell r="AD178">
            <v>1.51</v>
          </cell>
          <cell r="AE178">
            <v>180.68</v>
          </cell>
          <cell r="AF178">
            <v>1.21</v>
          </cell>
          <cell r="AG178">
            <v>73.47</v>
          </cell>
          <cell r="AH178">
            <v>26.77</v>
          </cell>
          <cell r="AI178">
            <v>2448.9299999999998</v>
          </cell>
          <cell r="AK178">
            <v>0</v>
          </cell>
          <cell r="AM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O179">
            <v>2</v>
          </cell>
          <cell r="P179">
            <v>60</v>
          </cell>
          <cell r="R179">
            <v>232</v>
          </cell>
          <cell r="T179">
            <v>26</v>
          </cell>
          <cell r="U179">
            <v>109</v>
          </cell>
          <cell r="V179">
            <v>12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0</v>
          </cell>
          <cell r="AM179">
            <v>0</v>
          </cell>
        </row>
        <row r="180">
          <cell r="C180">
            <v>158</v>
          </cell>
          <cell r="D180">
            <v>70</v>
          </cell>
          <cell r="E180">
            <v>481</v>
          </cell>
          <cell r="F180">
            <v>187</v>
          </cell>
          <cell r="G180">
            <v>0</v>
          </cell>
          <cell r="H180">
            <v>0</v>
          </cell>
          <cell r="I180">
            <v>0</v>
          </cell>
          <cell r="J180">
            <v>7</v>
          </cell>
          <cell r="K180">
            <v>0</v>
          </cell>
          <cell r="L180">
            <v>0</v>
          </cell>
          <cell r="O180">
            <v>25</v>
          </cell>
          <cell r="P180">
            <v>1360</v>
          </cell>
          <cell r="R180">
            <v>1176</v>
          </cell>
          <cell r="T180">
            <v>60</v>
          </cell>
          <cell r="U180">
            <v>409</v>
          </cell>
          <cell r="V180">
            <v>118</v>
          </cell>
          <cell r="Y180">
            <v>788</v>
          </cell>
          <cell r="Z180">
            <v>1081</v>
          </cell>
          <cell r="AA180">
            <v>674</v>
          </cell>
          <cell r="AB180">
            <v>0</v>
          </cell>
          <cell r="AC180">
            <v>2</v>
          </cell>
          <cell r="AD180">
            <v>1</v>
          </cell>
          <cell r="AE180">
            <v>11</v>
          </cell>
          <cell r="AF180">
            <v>1</v>
          </cell>
          <cell r="AG180">
            <v>618</v>
          </cell>
          <cell r="AH180">
            <v>162</v>
          </cell>
          <cell r="AI180">
            <v>826</v>
          </cell>
          <cell r="AK180">
            <v>0</v>
          </cell>
          <cell r="AM180">
            <v>0</v>
          </cell>
        </row>
        <row r="181">
          <cell r="C181">
            <v>3113.0902199999996</v>
          </cell>
          <cell r="D181">
            <v>1081.53334</v>
          </cell>
          <cell r="E181">
            <v>3367.0397400000002</v>
          </cell>
          <cell r="F181">
            <v>1165.29592</v>
          </cell>
          <cell r="G181">
            <v>0</v>
          </cell>
          <cell r="H181">
            <v>0</v>
          </cell>
          <cell r="I181">
            <v>0</v>
          </cell>
          <cell r="J181">
            <v>97.7</v>
          </cell>
          <cell r="K181">
            <v>0</v>
          </cell>
          <cell r="L181">
            <v>0</v>
          </cell>
          <cell r="O181">
            <v>3.56</v>
          </cell>
          <cell r="P181">
            <v>1114.98</v>
          </cell>
          <cell r="R181">
            <v>874.94999999999993</v>
          </cell>
          <cell r="T181">
            <v>103.29</v>
          </cell>
          <cell r="U181">
            <v>897.14</v>
          </cell>
          <cell r="V181">
            <v>582.78</v>
          </cell>
          <cell r="Y181">
            <v>3571.1099999999997</v>
          </cell>
          <cell r="Z181">
            <v>3881.32</v>
          </cell>
          <cell r="AA181">
            <v>1393.1699999999998</v>
          </cell>
          <cell r="AB181">
            <v>0</v>
          </cell>
          <cell r="AC181">
            <v>1.24</v>
          </cell>
          <cell r="AD181">
            <v>1.05</v>
          </cell>
          <cell r="AE181">
            <v>21.77</v>
          </cell>
          <cell r="AF181">
            <v>0.36</v>
          </cell>
          <cell r="AG181">
            <v>510.78999999999996</v>
          </cell>
          <cell r="AH181">
            <v>190.45999999999998</v>
          </cell>
          <cell r="AI181">
            <v>4479.1399999999994</v>
          </cell>
          <cell r="AK181">
            <v>0</v>
          </cell>
          <cell r="AM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O182">
            <v>7</v>
          </cell>
          <cell r="P182">
            <v>178</v>
          </cell>
          <cell r="R182">
            <v>331</v>
          </cell>
          <cell r="T182">
            <v>227</v>
          </cell>
          <cell r="U182">
            <v>287</v>
          </cell>
          <cell r="V182">
            <v>9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0</v>
          </cell>
          <cell r="AM182">
            <v>0</v>
          </cell>
        </row>
        <row r="183">
          <cell r="C183">
            <v>514</v>
          </cell>
          <cell r="D183">
            <v>152</v>
          </cell>
          <cell r="E183">
            <v>242</v>
          </cell>
          <cell r="F183">
            <v>75</v>
          </cell>
          <cell r="G183">
            <v>0</v>
          </cell>
          <cell r="H183">
            <v>0</v>
          </cell>
          <cell r="I183">
            <v>0</v>
          </cell>
          <cell r="J183">
            <v>15</v>
          </cell>
          <cell r="K183">
            <v>0</v>
          </cell>
          <cell r="L183">
            <v>0</v>
          </cell>
          <cell r="O183">
            <v>1018</v>
          </cell>
          <cell r="P183">
            <v>3378</v>
          </cell>
          <cell r="R183">
            <v>1328</v>
          </cell>
          <cell r="T183">
            <v>344</v>
          </cell>
          <cell r="U183">
            <v>1683</v>
          </cell>
          <cell r="V183">
            <v>44</v>
          </cell>
          <cell r="Y183">
            <v>365</v>
          </cell>
          <cell r="Z183">
            <v>3356</v>
          </cell>
          <cell r="AA183">
            <v>1018</v>
          </cell>
          <cell r="AB183">
            <v>5</v>
          </cell>
          <cell r="AC183">
            <v>8</v>
          </cell>
          <cell r="AD183">
            <v>18</v>
          </cell>
          <cell r="AE183">
            <v>174</v>
          </cell>
          <cell r="AF183">
            <v>6</v>
          </cell>
          <cell r="AG183">
            <v>359</v>
          </cell>
          <cell r="AH183">
            <v>277</v>
          </cell>
          <cell r="AI183">
            <v>2527</v>
          </cell>
          <cell r="AK183">
            <v>0</v>
          </cell>
          <cell r="AM183">
            <v>0</v>
          </cell>
        </row>
        <row r="184">
          <cell r="C184">
            <v>4562.2713249999997</v>
          </cell>
          <cell r="D184">
            <v>1376.9649999999999</v>
          </cell>
          <cell r="E184">
            <v>606.43129999999996</v>
          </cell>
          <cell r="F184">
            <v>206.77250000000001</v>
          </cell>
          <cell r="G184">
            <v>0</v>
          </cell>
          <cell r="H184">
            <v>0</v>
          </cell>
          <cell r="I184">
            <v>0</v>
          </cell>
          <cell r="J184">
            <v>147</v>
          </cell>
          <cell r="K184">
            <v>0</v>
          </cell>
          <cell r="L184">
            <v>0</v>
          </cell>
          <cell r="O184">
            <v>288.69</v>
          </cell>
          <cell r="P184">
            <v>1323.2</v>
          </cell>
          <cell r="R184">
            <v>901.79000000000008</v>
          </cell>
          <cell r="T184">
            <v>439.10999999999996</v>
          </cell>
          <cell r="U184">
            <v>2511.9299999999998</v>
          </cell>
          <cell r="V184">
            <v>52.8</v>
          </cell>
          <cell r="Y184">
            <v>1301.5999999999999</v>
          </cell>
          <cell r="Z184">
            <v>5219.68</v>
          </cell>
          <cell r="AA184">
            <v>652.77</v>
          </cell>
          <cell r="AB184">
            <v>2.82</v>
          </cell>
          <cell r="AC184">
            <v>9.4700000000000006</v>
          </cell>
          <cell r="AD184">
            <v>21.02</v>
          </cell>
          <cell r="AE184">
            <v>483.87</v>
          </cell>
          <cell r="AF184">
            <v>5.34</v>
          </cell>
          <cell r="AG184">
            <v>84.460000000000008</v>
          </cell>
          <cell r="AH184">
            <v>702.95</v>
          </cell>
          <cell r="AI184">
            <v>5732.22</v>
          </cell>
          <cell r="AK184">
            <v>0</v>
          </cell>
          <cell r="AM184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O188">
            <v>79</v>
          </cell>
          <cell r="P188">
            <v>141</v>
          </cell>
          <cell r="R188">
            <v>124</v>
          </cell>
          <cell r="T188">
            <v>0</v>
          </cell>
          <cell r="U188">
            <v>927</v>
          </cell>
          <cell r="V188">
            <v>26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0</v>
          </cell>
          <cell r="AM188">
            <v>0</v>
          </cell>
        </row>
        <row r="189">
          <cell r="C189">
            <v>328</v>
          </cell>
          <cell r="D189">
            <v>121</v>
          </cell>
          <cell r="E189">
            <v>212</v>
          </cell>
          <cell r="F189">
            <v>90</v>
          </cell>
          <cell r="G189">
            <v>0</v>
          </cell>
          <cell r="H189">
            <v>0</v>
          </cell>
          <cell r="I189">
            <v>0</v>
          </cell>
          <cell r="J189">
            <v>3</v>
          </cell>
          <cell r="K189">
            <v>0</v>
          </cell>
          <cell r="L189">
            <v>1</v>
          </cell>
          <cell r="O189">
            <v>5004</v>
          </cell>
          <cell r="P189">
            <v>3395</v>
          </cell>
          <cell r="R189">
            <v>1375</v>
          </cell>
          <cell r="T189">
            <v>0</v>
          </cell>
          <cell r="U189">
            <v>835</v>
          </cell>
          <cell r="V189">
            <v>6</v>
          </cell>
          <cell r="Y189">
            <v>454</v>
          </cell>
          <cell r="Z189">
            <v>524</v>
          </cell>
          <cell r="AA189">
            <v>601</v>
          </cell>
          <cell r="AB189">
            <v>1</v>
          </cell>
          <cell r="AC189">
            <v>0</v>
          </cell>
          <cell r="AD189">
            <v>3</v>
          </cell>
          <cell r="AE189">
            <v>589</v>
          </cell>
          <cell r="AF189">
            <v>0</v>
          </cell>
          <cell r="AG189">
            <v>15</v>
          </cell>
          <cell r="AH189">
            <v>37</v>
          </cell>
          <cell r="AI189">
            <v>233</v>
          </cell>
          <cell r="AK189">
            <v>0</v>
          </cell>
          <cell r="AM189">
            <v>0</v>
          </cell>
        </row>
        <row r="190">
          <cell r="C190">
            <v>7604</v>
          </cell>
          <cell r="D190">
            <v>2994</v>
          </cell>
          <cell r="E190">
            <v>949</v>
          </cell>
          <cell r="F190">
            <v>390</v>
          </cell>
          <cell r="G190">
            <v>0</v>
          </cell>
          <cell r="H190">
            <v>0</v>
          </cell>
          <cell r="I190">
            <v>0</v>
          </cell>
          <cell r="J190">
            <v>19</v>
          </cell>
          <cell r="K190">
            <v>0</v>
          </cell>
          <cell r="L190">
            <v>2</v>
          </cell>
          <cell r="O190">
            <v>2132</v>
          </cell>
          <cell r="P190">
            <v>2507</v>
          </cell>
          <cell r="R190">
            <v>2090</v>
          </cell>
          <cell r="T190">
            <v>0</v>
          </cell>
          <cell r="U190">
            <v>1620</v>
          </cell>
          <cell r="V190">
            <v>33</v>
          </cell>
          <cell r="Y190">
            <v>3095</v>
          </cell>
          <cell r="Z190">
            <v>1665</v>
          </cell>
          <cell r="AA190">
            <v>1486</v>
          </cell>
          <cell r="AB190">
            <v>1</v>
          </cell>
          <cell r="AC190">
            <v>0</v>
          </cell>
          <cell r="AD190">
            <v>23</v>
          </cell>
          <cell r="AE190">
            <v>1930</v>
          </cell>
          <cell r="AF190">
            <v>0</v>
          </cell>
          <cell r="AG190">
            <v>20</v>
          </cell>
          <cell r="AH190">
            <v>353</v>
          </cell>
          <cell r="AI190">
            <v>1356</v>
          </cell>
          <cell r="AK190">
            <v>0</v>
          </cell>
          <cell r="AM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O191">
            <v>184</v>
          </cell>
          <cell r="P191">
            <v>168</v>
          </cell>
          <cell r="R191">
            <v>71</v>
          </cell>
          <cell r="T191">
            <v>2</v>
          </cell>
          <cell r="U191">
            <v>404</v>
          </cell>
          <cell r="V191">
            <v>106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K191">
            <v>0</v>
          </cell>
          <cell r="AM191">
            <v>0</v>
          </cell>
        </row>
        <row r="192">
          <cell r="C192">
            <v>238</v>
          </cell>
          <cell r="D192">
            <v>99</v>
          </cell>
          <cell r="E192">
            <v>269</v>
          </cell>
          <cell r="F192">
            <v>116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O192">
            <v>8390</v>
          </cell>
          <cell r="P192">
            <v>2193</v>
          </cell>
          <cell r="R192">
            <v>784</v>
          </cell>
          <cell r="T192">
            <v>16</v>
          </cell>
          <cell r="U192">
            <v>634</v>
          </cell>
          <cell r="V192">
            <v>565</v>
          </cell>
          <cell r="Y192">
            <v>157</v>
          </cell>
          <cell r="Z192">
            <v>1391</v>
          </cell>
          <cell r="AA192">
            <v>350</v>
          </cell>
          <cell r="AB192">
            <v>1</v>
          </cell>
          <cell r="AC192">
            <v>0</v>
          </cell>
          <cell r="AD192">
            <v>14</v>
          </cell>
          <cell r="AE192">
            <v>14</v>
          </cell>
          <cell r="AF192">
            <v>0</v>
          </cell>
          <cell r="AG192">
            <v>8</v>
          </cell>
          <cell r="AH192">
            <v>30</v>
          </cell>
          <cell r="AI192">
            <v>161</v>
          </cell>
          <cell r="AK192">
            <v>0</v>
          </cell>
          <cell r="AM192">
            <v>0</v>
          </cell>
        </row>
        <row r="193">
          <cell r="C193">
            <v>7125</v>
          </cell>
          <cell r="D193">
            <v>2646</v>
          </cell>
          <cell r="E193">
            <v>1181</v>
          </cell>
          <cell r="F193">
            <v>642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O193">
            <v>4698</v>
          </cell>
          <cell r="P193">
            <v>2485</v>
          </cell>
          <cell r="R193">
            <v>1342</v>
          </cell>
          <cell r="T193">
            <v>17</v>
          </cell>
          <cell r="U193">
            <v>1524</v>
          </cell>
          <cell r="V193">
            <v>227</v>
          </cell>
          <cell r="Y193">
            <v>1740</v>
          </cell>
          <cell r="Z193">
            <v>8164.6</v>
          </cell>
          <cell r="AA193">
            <v>1777</v>
          </cell>
          <cell r="AB193">
            <v>11</v>
          </cell>
          <cell r="AC193">
            <v>0</v>
          </cell>
          <cell r="AD193">
            <v>39</v>
          </cell>
          <cell r="AE193">
            <v>72</v>
          </cell>
          <cell r="AF193">
            <v>0</v>
          </cell>
          <cell r="AG193">
            <v>16</v>
          </cell>
          <cell r="AH193">
            <v>163</v>
          </cell>
          <cell r="AI193">
            <v>1770</v>
          </cell>
          <cell r="AK193">
            <v>0</v>
          </cell>
          <cell r="AM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O194">
            <v>2</v>
          </cell>
          <cell r="P194">
            <v>5</v>
          </cell>
          <cell r="R194">
            <v>10</v>
          </cell>
          <cell r="T194">
            <v>0</v>
          </cell>
          <cell r="U194">
            <v>3</v>
          </cell>
          <cell r="V194">
            <v>10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0</v>
          </cell>
          <cell r="AM194">
            <v>0</v>
          </cell>
        </row>
        <row r="195">
          <cell r="C195">
            <v>7</v>
          </cell>
          <cell r="D195">
            <v>4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4</v>
          </cell>
          <cell r="J195">
            <v>22</v>
          </cell>
          <cell r="K195">
            <v>0</v>
          </cell>
          <cell r="L195">
            <v>0</v>
          </cell>
          <cell r="O195">
            <v>31</v>
          </cell>
          <cell r="P195">
            <v>11</v>
          </cell>
          <cell r="R195">
            <v>8</v>
          </cell>
          <cell r="T195">
            <v>0</v>
          </cell>
          <cell r="U195">
            <v>9</v>
          </cell>
          <cell r="V195">
            <v>3</v>
          </cell>
          <cell r="Y195">
            <v>0</v>
          </cell>
          <cell r="Z195">
            <v>4</v>
          </cell>
          <cell r="AA195">
            <v>12</v>
          </cell>
          <cell r="AB195">
            <v>1</v>
          </cell>
          <cell r="AC195">
            <v>957</v>
          </cell>
          <cell r="AD195">
            <v>0</v>
          </cell>
          <cell r="AE195">
            <v>90</v>
          </cell>
          <cell r="AF195">
            <v>0</v>
          </cell>
          <cell r="AG195">
            <v>0</v>
          </cell>
          <cell r="AH195">
            <v>3</v>
          </cell>
          <cell r="AI195">
            <v>11</v>
          </cell>
          <cell r="AK195">
            <v>0</v>
          </cell>
          <cell r="AM195">
            <v>0</v>
          </cell>
        </row>
        <row r="196">
          <cell r="C196">
            <v>39</v>
          </cell>
          <cell r="D196">
            <v>69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105</v>
          </cell>
          <cell r="J196">
            <v>597</v>
          </cell>
          <cell r="K196">
            <v>0</v>
          </cell>
          <cell r="L196">
            <v>0</v>
          </cell>
          <cell r="O196">
            <v>66</v>
          </cell>
          <cell r="P196">
            <v>10</v>
          </cell>
          <cell r="R196">
            <v>31</v>
          </cell>
          <cell r="T196">
            <v>0</v>
          </cell>
          <cell r="U196">
            <v>137</v>
          </cell>
          <cell r="V196">
            <v>33</v>
          </cell>
          <cell r="Y196">
            <v>0</v>
          </cell>
          <cell r="Z196">
            <v>70</v>
          </cell>
          <cell r="AA196">
            <v>195</v>
          </cell>
          <cell r="AB196">
            <v>12</v>
          </cell>
          <cell r="AC196">
            <v>7083</v>
          </cell>
          <cell r="AD196">
            <v>0</v>
          </cell>
          <cell r="AE196">
            <v>2597</v>
          </cell>
          <cell r="AF196">
            <v>0</v>
          </cell>
          <cell r="AG196">
            <v>0</v>
          </cell>
          <cell r="AH196">
            <v>80</v>
          </cell>
          <cell r="AI196">
            <v>268</v>
          </cell>
          <cell r="AK196">
            <v>0</v>
          </cell>
          <cell r="AM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O197">
            <v>83</v>
          </cell>
          <cell r="P197">
            <v>66</v>
          </cell>
          <cell r="R197">
            <v>85</v>
          </cell>
          <cell r="T197">
            <v>0</v>
          </cell>
          <cell r="U197">
            <v>82</v>
          </cell>
          <cell r="V197">
            <v>3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0</v>
          </cell>
          <cell r="AM197">
            <v>0</v>
          </cell>
        </row>
        <row r="198">
          <cell r="C198">
            <v>169</v>
          </cell>
          <cell r="D198">
            <v>115</v>
          </cell>
          <cell r="E198">
            <v>85</v>
          </cell>
          <cell r="F198">
            <v>74</v>
          </cell>
          <cell r="G198">
            <v>0</v>
          </cell>
          <cell r="H198">
            <v>0</v>
          </cell>
          <cell r="I198">
            <v>2</v>
          </cell>
          <cell r="J198">
            <v>10</v>
          </cell>
          <cell r="K198">
            <v>0</v>
          </cell>
          <cell r="L198">
            <v>0</v>
          </cell>
          <cell r="O198">
            <v>4834</v>
          </cell>
          <cell r="P198">
            <v>1680</v>
          </cell>
          <cell r="R198">
            <v>1414</v>
          </cell>
          <cell r="T198">
            <v>0</v>
          </cell>
          <cell r="U198">
            <v>345</v>
          </cell>
          <cell r="V198">
            <v>136</v>
          </cell>
          <cell r="Y198">
            <v>86</v>
          </cell>
          <cell r="Z198">
            <v>704</v>
          </cell>
          <cell r="AA198">
            <v>127</v>
          </cell>
          <cell r="AB198">
            <v>1</v>
          </cell>
          <cell r="AC198">
            <v>1</v>
          </cell>
          <cell r="AD198">
            <v>0</v>
          </cell>
          <cell r="AE198">
            <v>43</v>
          </cell>
          <cell r="AF198">
            <v>0</v>
          </cell>
          <cell r="AG198">
            <v>65</v>
          </cell>
          <cell r="AH198">
            <v>5</v>
          </cell>
          <cell r="AI198">
            <v>39</v>
          </cell>
          <cell r="AK198">
            <v>0</v>
          </cell>
          <cell r="AM198">
            <v>0</v>
          </cell>
        </row>
        <row r="199">
          <cell r="C199">
            <v>4382</v>
          </cell>
          <cell r="D199">
            <v>3462</v>
          </cell>
          <cell r="E199">
            <v>399</v>
          </cell>
          <cell r="F199">
            <v>239</v>
          </cell>
          <cell r="G199">
            <v>0</v>
          </cell>
          <cell r="H199">
            <v>0</v>
          </cell>
          <cell r="I199">
            <v>81</v>
          </cell>
          <cell r="J199">
            <v>98</v>
          </cell>
          <cell r="K199">
            <v>0</v>
          </cell>
          <cell r="L199">
            <v>0</v>
          </cell>
          <cell r="O199">
            <v>1607</v>
          </cell>
          <cell r="P199">
            <v>2217</v>
          </cell>
          <cell r="R199">
            <v>2281</v>
          </cell>
          <cell r="T199">
            <v>0</v>
          </cell>
          <cell r="U199">
            <v>457</v>
          </cell>
          <cell r="V199">
            <v>300</v>
          </cell>
          <cell r="Y199">
            <v>1169</v>
          </cell>
          <cell r="Z199">
            <v>2192</v>
          </cell>
          <cell r="AA199">
            <v>663</v>
          </cell>
          <cell r="AB199">
            <v>8</v>
          </cell>
          <cell r="AC199">
            <v>4</v>
          </cell>
          <cell r="AD199">
            <v>0</v>
          </cell>
          <cell r="AE199">
            <v>1246</v>
          </cell>
          <cell r="AF199">
            <v>0</v>
          </cell>
          <cell r="AG199">
            <v>117</v>
          </cell>
          <cell r="AH199">
            <v>24</v>
          </cell>
          <cell r="AI199">
            <v>904</v>
          </cell>
          <cell r="AK199">
            <v>0</v>
          </cell>
          <cell r="AM199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O203">
            <v>1</v>
          </cell>
          <cell r="P203">
            <v>0</v>
          </cell>
          <cell r="R203">
            <v>0</v>
          </cell>
          <cell r="T203">
            <v>0</v>
          </cell>
          <cell r="U203">
            <v>0</v>
          </cell>
          <cell r="V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0</v>
          </cell>
          <cell r="AM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2</v>
          </cell>
          <cell r="K204">
            <v>0</v>
          </cell>
          <cell r="L204">
            <v>0</v>
          </cell>
          <cell r="O204">
            <v>1</v>
          </cell>
          <cell r="P204">
            <v>0</v>
          </cell>
          <cell r="R204">
            <v>0</v>
          </cell>
          <cell r="T204">
            <v>0</v>
          </cell>
          <cell r="U204">
            <v>0</v>
          </cell>
          <cell r="V204">
            <v>0</v>
          </cell>
          <cell r="Y204">
            <v>0</v>
          </cell>
          <cell r="Z204">
            <v>0</v>
          </cell>
          <cell r="AA204">
            <v>1</v>
          </cell>
          <cell r="AB204">
            <v>0</v>
          </cell>
          <cell r="AC204">
            <v>2</v>
          </cell>
          <cell r="AD204">
            <v>942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</v>
          </cell>
          <cell r="AK204">
            <v>0</v>
          </cell>
          <cell r="AM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47</v>
          </cell>
          <cell r="K205">
            <v>0</v>
          </cell>
          <cell r="L205">
            <v>0</v>
          </cell>
          <cell r="O205">
            <v>8</v>
          </cell>
          <cell r="P205">
            <v>0</v>
          </cell>
          <cell r="R205">
            <v>0</v>
          </cell>
          <cell r="T205">
            <v>0</v>
          </cell>
          <cell r="U205">
            <v>0</v>
          </cell>
          <cell r="V205">
            <v>0</v>
          </cell>
          <cell r="Y205">
            <v>0</v>
          </cell>
          <cell r="Z205">
            <v>0</v>
          </cell>
          <cell r="AA205">
            <v>18</v>
          </cell>
          <cell r="AB205">
            <v>0</v>
          </cell>
          <cell r="AC205">
            <v>2</v>
          </cell>
          <cell r="AD205">
            <v>1083.5999999999999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223.1</v>
          </cell>
          <cell r="AK205">
            <v>0</v>
          </cell>
          <cell r="AM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O206">
            <v>0</v>
          </cell>
          <cell r="P206">
            <v>0</v>
          </cell>
          <cell r="R206">
            <v>0</v>
          </cell>
          <cell r="T206">
            <v>0</v>
          </cell>
          <cell r="U206">
            <v>0</v>
          </cell>
          <cell r="V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0</v>
          </cell>
          <cell r="AM206">
            <v>0</v>
          </cell>
        </row>
        <row r="207">
          <cell r="C207">
            <v>6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30</v>
          </cell>
          <cell r="K207">
            <v>0</v>
          </cell>
          <cell r="L207">
            <v>0</v>
          </cell>
          <cell r="O207">
            <v>6</v>
          </cell>
          <cell r="P207">
            <v>0</v>
          </cell>
          <cell r="R207">
            <v>15</v>
          </cell>
          <cell r="T207">
            <v>0</v>
          </cell>
          <cell r="U207">
            <v>0</v>
          </cell>
          <cell r="V207">
            <v>0</v>
          </cell>
          <cell r="Y207">
            <v>0</v>
          </cell>
          <cell r="Z207">
            <v>2</v>
          </cell>
          <cell r="AA207">
            <v>0</v>
          </cell>
          <cell r="AB207">
            <v>23</v>
          </cell>
          <cell r="AC207">
            <v>0</v>
          </cell>
          <cell r="AD207">
            <v>498</v>
          </cell>
          <cell r="AE207">
            <v>4</v>
          </cell>
          <cell r="AF207">
            <v>0</v>
          </cell>
          <cell r="AG207">
            <v>3</v>
          </cell>
          <cell r="AH207">
            <v>2</v>
          </cell>
          <cell r="AI207">
            <v>310</v>
          </cell>
          <cell r="AK207">
            <v>0</v>
          </cell>
          <cell r="AM207">
            <v>0</v>
          </cell>
        </row>
        <row r="208">
          <cell r="C208">
            <v>282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1069</v>
          </cell>
          <cell r="K208">
            <v>0</v>
          </cell>
          <cell r="L208">
            <v>0</v>
          </cell>
          <cell r="O208">
            <v>100</v>
          </cell>
          <cell r="P208">
            <v>0</v>
          </cell>
          <cell r="R208">
            <v>197</v>
          </cell>
          <cell r="T208">
            <v>0</v>
          </cell>
          <cell r="U208">
            <v>0</v>
          </cell>
          <cell r="V208">
            <v>0</v>
          </cell>
          <cell r="Y208">
            <v>0</v>
          </cell>
          <cell r="Z208">
            <v>26</v>
          </cell>
          <cell r="AA208">
            <v>0</v>
          </cell>
          <cell r="AB208">
            <v>369</v>
          </cell>
          <cell r="AC208">
            <v>0</v>
          </cell>
          <cell r="AD208">
            <v>611</v>
          </cell>
          <cell r="AE208">
            <v>35</v>
          </cell>
          <cell r="AF208">
            <v>0</v>
          </cell>
          <cell r="AG208">
            <v>165</v>
          </cell>
          <cell r="AH208">
            <v>21</v>
          </cell>
          <cell r="AI208">
            <v>457</v>
          </cell>
          <cell r="AK208">
            <v>0</v>
          </cell>
          <cell r="AM208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O212">
            <v>3</v>
          </cell>
          <cell r="P212">
            <v>3</v>
          </cell>
          <cell r="R212">
            <v>26</v>
          </cell>
          <cell r="T212">
            <v>5</v>
          </cell>
          <cell r="U212">
            <v>6</v>
          </cell>
          <cell r="V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0</v>
          </cell>
          <cell r="AM212">
            <v>0</v>
          </cell>
        </row>
        <row r="213">
          <cell r="C213">
            <v>32</v>
          </cell>
          <cell r="D213">
            <v>11</v>
          </cell>
          <cell r="E213">
            <v>86</v>
          </cell>
          <cell r="F213">
            <v>23</v>
          </cell>
          <cell r="G213">
            <v>0</v>
          </cell>
          <cell r="H213">
            <v>0</v>
          </cell>
          <cell r="I213">
            <v>0</v>
          </cell>
          <cell r="J213">
            <v>1</v>
          </cell>
          <cell r="K213">
            <v>0</v>
          </cell>
          <cell r="L213">
            <v>0</v>
          </cell>
          <cell r="O213">
            <v>35</v>
          </cell>
          <cell r="P213">
            <v>50</v>
          </cell>
          <cell r="R213">
            <v>272</v>
          </cell>
          <cell r="T213">
            <v>6</v>
          </cell>
          <cell r="U213">
            <v>18</v>
          </cell>
          <cell r="V213">
            <v>0</v>
          </cell>
          <cell r="Y213">
            <v>3</v>
          </cell>
          <cell r="Z213">
            <v>74</v>
          </cell>
          <cell r="AA213">
            <v>113</v>
          </cell>
          <cell r="AB213">
            <v>0</v>
          </cell>
          <cell r="AC213">
            <v>0</v>
          </cell>
          <cell r="AD213">
            <v>0</v>
          </cell>
          <cell r="AE213">
            <v>6</v>
          </cell>
          <cell r="AF213">
            <v>0</v>
          </cell>
          <cell r="AG213">
            <v>28</v>
          </cell>
          <cell r="AH213">
            <v>38</v>
          </cell>
          <cell r="AI213">
            <v>51</v>
          </cell>
          <cell r="AK213">
            <v>0</v>
          </cell>
          <cell r="AM213">
            <v>0</v>
          </cell>
        </row>
        <row r="214">
          <cell r="C214">
            <v>980.5</v>
          </cell>
          <cell r="D214">
            <v>327</v>
          </cell>
          <cell r="E214">
            <v>481.20000000000005</v>
          </cell>
          <cell r="F214">
            <v>96.7</v>
          </cell>
          <cell r="G214">
            <v>0</v>
          </cell>
          <cell r="H214">
            <v>0</v>
          </cell>
          <cell r="I214">
            <v>0</v>
          </cell>
          <cell r="J214">
            <v>87.8</v>
          </cell>
          <cell r="K214">
            <v>0</v>
          </cell>
          <cell r="L214">
            <v>0</v>
          </cell>
          <cell r="O214">
            <v>13.1</v>
          </cell>
          <cell r="P214">
            <v>45</v>
          </cell>
          <cell r="R214">
            <v>475</v>
          </cell>
          <cell r="T214">
            <v>11.4</v>
          </cell>
          <cell r="U214">
            <v>47.9</v>
          </cell>
          <cell r="V214">
            <v>0</v>
          </cell>
          <cell r="Y214">
            <v>31.1</v>
          </cell>
          <cell r="Z214">
            <v>433.6</v>
          </cell>
          <cell r="AA214">
            <v>397.40000000000003</v>
          </cell>
          <cell r="AB214">
            <v>0</v>
          </cell>
          <cell r="AC214">
            <v>0</v>
          </cell>
          <cell r="AD214">
            <v>0</v>
          </cell>
          <cell r="AE214">
            <v>67</v>
          </cell>
          <cell r="AF214">
            <v>0</v>
          </cell>
          <cell r="AG214">
            <v>37.200000000000003</v>
          </cell>
          <cell r="AH214">
            <v>93.8</v>
          </cell>
          <cell r="AI214">
            <v>165.2</v>
          </cell>
          <cell r="AK214">
            <v>0</v>
          </cell>
          <cell r="AM214">
            <v>0</v>
          </cell>
        </row>
      </sheetData>
      <sheetData sheetId="8">
        <row r="51">
          <cell r="G51">
            <v>333.5</v>
          </cell>
        </row>
        <row r="233">
          <cell r="E233">
            <v>39</v>
          </cell>
          <cell r="F233">
            <v>42</v>
          </cell>
          <cell r="K233">
            <v>34</v>
          </cell>
          <cell r="L233">
            <v>39</v>
          </cell>
        </row>
        <row r="234">
          <cell r="E234">
            <v>22</v>
          </cell>
          <cell r="F234">
            <v>23</v>
          </cell>
          <cell r="K234">
            <v>21</v>
          </cell>
          <cell r="L234">
            <v>23</v>
          </cell>
        </row>
        <row r="235">
          <cell r="E235">
            <v>16</v>
          </cell>
          <cell r="F235">
            <v>19</v>
          </cell>
          <cell r="K235">
            <v>18</v>
          </cell>
          <cell r="L235">
            <v>19</v>
          </cell>
        </row>
        <row r="236">
          <cell r="E236">
            <v>5</v>
          </cell>
          <cell r="F236">
            <v>5</v>
          </cell>
          <cell r="K236">
            <v>1</v>
          </cell>
          <cell r="L236">
            <v>3</v>
          </cell>
        </row>
        <row r="237">
          <cell r="E237">
            <v>0</v>
          </cell>
          <cell r="F237">
            <v>0</v>
          </cell>
          <cell r="K237">
            <v>6</v>
          </cell>
          <cell r="L237">
            <v>8</v>
          </cell>
        </row>
        <row r="238">
          <cell r="E238">
            <v>35</v>
          </cell>
          <cell r="F238">
            <v>25</v>
          </cell>
          <cell r="K238">
            <v>37</v>
          </cell>
          <cell r="L238">
            <v>27</v>
          </cell>
        </row>
        <row r="239">
          <cell r="E239">
            <v>10</v>
          </cell>
          <cell r="F239">
            <v>8</v>
          </cell>
          <cell r="K239">
            <v>9</v>
          </cell>
          <cell r="L239">
            <v>8</v>
          </cell>
        </row>
        <row r="240">
          <cell r="E240">
            <v>0</v>
          </cell>
          <cell r="F240">
            <v>0</v>
          </cell>
          <cell r="K240">
            <v>0</v>
          </cell>
          <cell r="L240">
            <v>0</v>
          </cell>
        </row>
        <row r="241">
          <cell r="E241">
            <v>6</v>
          </cell>
          <cell r="F241">
            <v>3</v>
          </cell>
          <cell r="K241">
            <v>7</v>
          </cell>
          <cell r="L241">
            <v>3</v>
          </cell>
        </row>
      </sheetData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report"/>
      <sheetName val="Рапорт"/>
      <sheetName val="Итоги"/>
      <sheetName val="Дельта"/>
      <sheetName val="Фонд скважин"/>
      <sheetName val="Работа бригад ТКРС"/>
      <sheetName val="Простои"/>
      <sheetName val="Потери"/>
      <sheetName val="Анализ"/>
      <sheetName val="Добыча"/>
      <sheetName val="Газ"/>
      <sheetName val="Бурение"/>
      <sheetName val="ГРП, Оптимизация"/>
      <sheetName val="База"/>
      <sheetName val="таблица руководству"/>
    </sheetNames>
    <sheetDataSet>
      <sheetData sheetId="0"/>
      <sheetData sheetId="1" refreshError="1">
        <row r="64">
          <cell r="M64">
            <v>3917</v>
          </cell>
          <cell r="R64">
            <v>3976</v>
          </cell>
          <cell r="W64">
            <v>2091</v>
          </cell>
        </row>
        <row r="65">
          <cell r="M65">
            <v>2321</v>
          </cell>
          <cell r="R65">
            <v>2483</v>
          </cell>
          <cell r="W65">
            <v>1151</v>
          </cell>
        </row>
        <row r="66">
          <cell r="M66">
            <v>1596</v>
          </cell>
          <cell r="R66">
            <v>1493</v>
          </cell>
          <cell r="W66">
            <v>940</v>
          </cell>
        </row>
        <row r="67">
          <cell r="M67">
            <v>1361</v>
          </cell>
          <cell r="R67">
            <v>1198</v>
          </cell>
          <cell r="W67">
            <v>809</v>
          </cell>
        </row>
        <row r="68">
          <cell r="M68">
            <v>835</v>
          </cell>
          <cell r="R68">
            <v>770</v>
          </cell>
          <cell r="W68">
            <v>431</v>
          </cell>
        </row>
        <row r="69">
          <cell r="M69">
            <v>526</v>
          </cell>
          <cell r="R69">
            <v>428</v>
          </cell>
          <cell r="W69">
            <v>378</v>
          </cell>
        </row>
        <row r="72">
          <cell r="C72">
            <v>113</v>
          </cell>
          <cell r="H72">
            <v>3156</v>
          </cell>
          <cell r="M72">
            <v>2821</v>
          </cell>
          <cell r="R72">
            <v>58</v>
          </cell>
          <cell r="W72">
            <v>226</v>
          </cell>
          <cell r="AB72">
            <v>29</v>
          </cell>
        </row>
        <row r="73">
          <cell r="C73">
            <v>106</v>
          </cell>
          <cell r="H73">
            <v>1382</v>
          </cell>
          <cell r="M73">
            <v>1968</v>
          </cell>
          <cell r="R73">
            <v>51</v>
          </cell>
          <cell r="W73">
            <v>109</v>
          </cell>
          <cell r="AB73">
            <v>22</v>
          </cell>
        </row>
        <row r="74">
          <cell r="C74">
            <v>7</v>
          </cell>
          <cell r="H74">
            <v>1774</v>
          </cell>
          <cell r="M74">
            <v>853</v>
          </cell>
          <cell r="R74">
            <v>7</v>
          </cell>
          <cell r="W74">
            <v>117</v>
          </cell>
          <cell r="AB74">
            <v>7</v>
          </cell>
        </row>
        <row r="75">
          <cell r="C75">
            <v>35</v>
          </cell>
          <cell r="H75">
            <v>717</v>
          </cell>
          <cell r="M75">
            <v>852</v>
          </cell>
          <cell r="R75">
            <v>0</v>
          </cell>
          <cell r="W75">
            <v>69</v>
          </cell>
          <cell r="AB75">
            <v>0</v>
          </cell>
        </row>
        <row r="76">
          <cell r="C76">
            <v>35</v>
          </cell>
          <cell r="H76">
            <v>335</v>
          </cell>
          <cell r="M76">
            <v>574</v>
          </cell>
          <cell r="R76">
            <v>0</v>
          </cell>
          <cell r="W76">
            <v>30</v>
          </cell>
          <cell r="AB76">
            <v>0</v>
          </cell>
        </row>
        <row r="77">
          <cell r="C77">
            <v>0</v>
          </cell>
          <cell r="H77">
            <v>382</v>
          </cell>
          <cell r="M77">
            <v>278</v>
          </cell>
          <cell r="R77">
            <v>0</v>
          </cell>
          <cell r="W77">
            <v>39</v>
          </cell>
          <cell r="AB77">
            <v>0</v>
          </cell>
        </row>
        <row r="100">
          <cell r="I100">
            <v>0</v>
          </cell>
          <cell r="J100">
            <v>19</v>
          </cell>
          <cell r="L100">
            <v>0</v>
          </cell>
          <cell r="M100">
            <v>40</v>
          </cell>
          <cell r="O100">
            <v>0</v>
          </cell>
          <cell r="P100">
            <v>16</v>
          </cell>
          <cell r="R100">
            <v>0</v>
          </cell>
          <cell r="S100">
            <v>0</v>
          </cell>
          <cell r="U100">
            <v>0</v>
          </cell>
          <cell r="V100">
            <v>4</v>
          </cell>
          <cell r="X100">
            <v>0</v>
          </cell>
          <cell r="Y100">
            <v>17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</row>
      </sheetData>
      <sheetData sheetId="2" refreshError="1">
        <row r="51">
          <cell r="C51">
            <v>0</v>
          </cell>
          <cell r="D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X51">
            <v>23</v>
          </cell>
          <cell r="Y51">
            <v>22</v>
          </cell>
          <cell r="AA51">
            <v>4</v>
          </cell>
          <cell r="AB51">
            <v>9</v>
          </cell>
        </row>
        <row r="52">
          <cell r="C52">
            <v>0</v>
          </cell>
          <cell r="D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X52">
            <v>137</v>
          </cell>
          <cell r="Y52">
            <v>336.90500000000003</v>
          </cell>
          <cell r="AA52">
            <v>22</v>
          </cell>
          <cell r="AB52">
            <v>130.99299999999999</v>
          </cell>
        </row>
        <row r="53">
          <cell r="C53">
            <v>0</v>
          </cell>
          <cell r="D53">
            <v>0</v>
          </cell>
          <cell r="L53">
            <v>1</v>
          </cell>
          <cell r="M53">
            <v>3</v>
          </cell>
          <cell r="O53">
            <v>0</v>
          </cell>
          <cell r="P53">
            <v>1</v>
          </cell>
          <cell r="X53">
            <v>51</v>
          </cell>
          <cell r="Y53">
            <v>41</v>
          </cell>
          <cell r="AA53">
            <v>9</v>
          </cell>
          <cell r="AB53">
            <v>7</v>
          </cell>
        </row>
        <row r="54">
          <cell r="C54">
            <v>0</v>
          </cell>
          <cell r="D54">
            <v>0</v>
          </cell>
          <cell r="L54">
            <v>5</v>
          </cell>
          <cell r="M54">
            <v>5</v>
          </cell>
          <cell r="O54">
            <v>0</v>
          </cell>
          <cell r="P54">
            <v>4</v>
          </cell>
          <cell r="X54">
            <v>631.5</v>
          </cell>
          <cell r="Y54">
            <v>418</v>
          </cell>
          <cell r="AA54">
            <v>119.69999999999999</v>
          </cell>
          <cell r="AB54">
            <v>33</v>
          </cell>
        </row>
        <row r="55">
          <cell r="C55">
            <v>0</v>
          </cell>
          <cell r="D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X55">
            <v>29</v>
          </cell>
          <cell r="Y55">
            <v>35</v>
          </cell>
          <cell r="AA55">
            <v>7</v>
          </cell>
          <cell r="AB55">
            <v>6</v>
          </cell>
        </row>
        <row r="56">
          <cell r="C56">
            <v>0</v>
          </cell>
          <cell r="D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X56">
            <v>469</v>
          </cell>
          <cell r="Y56">
            <v>865.4</v>
          </cell>
          <cell r="AA56">
            <v>352</v>
          </cell>
          <cell r="AB56">
            <v>131</v>
          </cell>
        </row>
        <row r="57">
          <cell r="C57">
            <v>0</v>
          </cell>
          <cell r="D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X57">
            <v>2</v>
          </cell>
          <cell r="Y57">
            <v>1</v>
          </cell>
          <cell r="AA57">
            <v>0</v>
          </cell>
          <cell r="AB57">
            <v>0</v>
          </cell>
        </row>
        <row r="58">
          <cell r="C58">
            <v>0</v>
          </cell>
          <cell r="D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X58">
            <v>45</v>
          </cell>
          <cell r="Y58">
            <v>34</v>
          </cell>
          <cell r="AA58">
            <v>0</v>
          </cell>
          <cell r="AB58">
            <v>0</v>
          </cell>
        </row>
        <row r="59">
          <cell r="C59">
            <v>0</v>
          </cell>
          <cell r="D59">
            <v>0</v>
          </cell>
          <cell r="L59">
            <v>0</v>
          </cell>
          <cell r="M59">
            <v>0</v>
          </cell>
          <cell r="O59">
            <v>0</v>
          </cell>
          <cell r="P59">
            <v>2</v>
          </cell>
          <cell r="X59">
            <v>17</v>
          </cell>
          <cell r="Y59">
            <v>30</v>
          </cell>
          <cell r="AA59">
            <v>12</v>
          </cell>
          <cell r="AB59">
            <v>7</v>
          </cell>
        </row>
        <row r="60">
          <cell r="C60">
            <v>0</v>
          </cell>
          <cell r="D60">
            <v>0</v>
          </cell>
          <cell r="L60">
            <v>0</v>
          </cell>
          <cell r="M60">
            <v>0</v>
          </cell>
          <cell r="O60">
            <v>0</v>
          </cell>
          <cell r="P60">
            <v>15.95</v>
          </cell>
          <cell r="X60">
            <v>156.70000000000002</v>
          </cell>
          <cell r="Y60">
            <v>238.63</v>
          </cell>
          <cell r="AA60">
            <v>129.5</v>
          </cell>
          <cell r="AB60">
            <v>50.9</v>
          </cell>
        </row>
        <row r="61">
          <cell r="C61">
            <v>0</v>
          </cell>
          <cell r="D61">
            <v>1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X61">
            <v>20</v>
          </cell>
          <cell r="Y61">
            <v>17</v>
          </cell>
          <cell r="AA61">
            <v>11</v>
          </cell>
          <cell r="AB61">
            <v>8</v>
          </cell>
        </row>
        <row r="62">
          <cell r="C62">
            <v>0</v>
          </cell>
          <cell r="D62">
            <v>37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X62">
            <v>412.20000000000073</v>
          </cell>
          <cell r="Y62">
            <v>323</v>
          </cell>
          <cell r="AA62">
            <v>113</v>
          </cell>
          <cell r="AB62">
            <v>128</v>
          </cell>
        </row>
        <row r="63">
          <cell r="C63">
            <v>0</v>
          </cell>
          <cell r="D63">
            <v>0</v>
          </cell>
          <cell r="L63">
            <v>0</v>
          </cell>
          <cell r="M63">
            <v>0</v>
          </cell>
          <cell r="O63">
            <v>1</v>
          </cell>
          <cell r="P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</row>
        <row r="64">
          <cell r="C64">
            <v>0</v>
          </cell>
          <cell r="D64">
            <v>0</v>
          </cell>
          <cell r="L64">
            <v>0</v>
          </cell>
          <cell r="M64">
            <v>0</v>
          </cell>
          <cell r="O64">
            <v>130</v>
          </cell>
          <cell r="P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</row>
        <row r="65">
          <cell r="C65">
            <v>0</v>
          </cell>
          <cell r="D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X65">
            <v>2</v>
          </cell>
          <cell r="Y65">
            <v>4</v>
          </cell>
          <cell r="AA65">
            <v>0</v>
          </cell>
          <cell r="AB65">
            <v>1</v>
          </cell>
        </row>
        <row r="66">
          <cell r="C66">
            <v>0</v>
          </cell>
          <cell r="D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X66">
            <v>11.2</v>
          </cell>
          <cell r="Y66">
            <v>38.900000000000006</v>
          </cell>
          <cell r="AA66">
            <v>0</v>
          </cell>
          <cell r="AB66">
            <v>30.4</v>
          </cell>
        </row>
        <row r="69">
          <cell r="C69">
            <v>1</v>
          </cell>
          <cell r="D69">
            <v>1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X69">
            <v>0</v>
          </cell>
          <cell r="Y69">
            <v>0</v>
          </cell>
          <cell r="AA69">
            <v>1</v>
          </cell>
          <cell r="AB69">
            <v>1</v>
          </cell>
        </row>
        <row r="70">
          <cell r="C70">
            <v>81.2</v>
          </cell>
          <cell r="D70">
            <v>73.5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X70">
            <v>0</v>
          </cell>
          <cell r="Y70">
            <v>0</v>
          </cell>
          <cell r="AA70">
            <v>26.39</v>
          </cell>
          <cell r="AB70">
            <v>36.54</v>
          </cell>
        </row>
        <row r="71">
          <cell r="C71">
            <v>400</v>
          </cell>
          <cell r="D71">
            <v>350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X71">
            <v>0</v>
          </cell>
          <cell r="Y71">
            <v>0</v>
          </cell>
          <cell r="AA71">
            <v>130</v>
          </cell>
          <cell r="AB71">
            <v>180</v>
          </cell>
        </row>
      </sheetData>
      <sheetData sheetId="3"/>
      <sheetData sheetId="4"/>
      <sheetData sheetId="5" refreshError="1">
        <row r="6">
          <cell r="F6">
            <v>78</v>
          </cell>
          <cell r="G6">
            <v>104</v>
          </cell>
          <cell r="J6">
            <v>71</v>
          </cell>
          <cell r="K6">
            <v>95</v>
          </cell>
          <cell r="N6">
            <v>0</v>
          </cell>
          <cell r="O6">
            <v>0</v>
          </cell>
          <cell r="R6">
            <v>7</v>
          </cell>
          <cell r="S6">
            <v>6</v>
          </cell>
          <cell r="V6">
            <v>0</v>
          </cell>
          <cell r="W6">
            <v>3</v>
          </cell>
          <cell r="Z6">
            <v>0</v>
          </cell>
          <cell r="AA6">
            <v>0</v>
          </cell>
          <cell r="AD6">
            <v>71</v>
          </cell>
          <cell r="AE6">
            <v>71</v>
          </cell>
          <cell r="AH6">
            <v>0</v>
          </cell>
          <cell r="AI6">
            <v>11</v>
          </cell>
          <cell r="AL6">
            <v>71</v>
          </cell>
          <cell r="AM6">
            <v>60</v>
          </cell>
          <cell r="AV6">
            <v>880.2</v>
          </cell>
          <cell r="AW6">
            <v>825.25499999999988</v>
          </cell>
        </row>
        <row r="7">
          <cell r="F7">
            <v>30</v>
          </cell>
          <cell r="G7">
            <v>49</v>
          </cell>
          <cell r="J7">
            <v>25</v>
          </cell>
          <cell r="K7">
            <v>44</v>
          </cell>
          <cell r="N7">
            <v>0</v>
          </cell>
          <cell r="O7">
            <v>0</v>
          </cell>
          <cell r="R7">
            <v>5</v>
          </cell>
          <cell r="S7">
            <v>3</v>
          </cell>
          <cell r="V7">
            <v>0</v>
          </cell>
          <cell r="W7">
            <v>2</v>
          </cell>
          <cell r="Z7">
            <v>0</v>
          </cell>
          <cell r="AA7">
            <v>0</v>
          </cell>
          <cell r="AD7">
            <v>25</v>
          </cell>
          <cell r="AE7">
            <v>29</v>
          </cell>
          <cell r="AH7">
            <v>0</v>
          </cell>
          <cell r="AI7">
            <v>0</v>
          </cell>
          <cell r="AL7">
            <v>25</v>
          </cell>
          <cell r="AM7">
            <v>29</v>
          </cell>
          <cell r="AV7">
            <v>274</v>
          </cell>
          <cell r="AW7">
            <v>392.255</v>
          </cell>
        </row>
        <row r="8">
          <cell r="F8">
            <v>48</v>
          </cell>
          <cell r="G8">
            <v>55</v>
          </cell>
          <cell r="J8">
            <v>46</v>
          </cell>
          <cell r="K8">
            <v>51</v>
          </cell>
          <cell r="N8">
            <v>0</v>
          </cell>
          <cell r="O8">
            <v>0</v>
          </cell>
          <cell r="R8">
            <v>2</v>
          </cell>
          <cell r="S8">
            <v>3</v>
          </cell>
          <cell r="V8">
            <v>0</v>
          </cell>
          <cell r="W8">
            <v>1</v>
          </cell>
          <cell r="Z8">
            <v>0</v>
          </cell>
          <cell r="AA8">
            <v>0</v>
          </cell>
          <cell r="AD8">
            <v>46</v>
          </cell>
          <cell r="AE8">
            <v>42</v>
          </cell>
          <cell r="AH8">
            <v>0</v>
          </cell>
          <cell r="AI8">
            <v>11</v>
          </cell>
          <cell r="AL8">
            <v>46</v>
          </cell>
          <cell r="AM8">
            <v>31</v>
          </cell>
          <cell r="AV8">
            <v>606.20000000000005</v>
          </cell>
          <cell r="AW8">
            <v>433</v>
          </cell>
        </row>
        <row r="9">
          <cell r="F9">
            <v>38</v>
          </cell>
          <cell r="G9">
            <v>39</v>
          </cell>
          <cell r="J9">
            <v>33</v>
          </cell>
          <cell r="K9">
            <v>30</v>
          </cell>
          <cell r="N9">
            <v>0</v>
          </cell>
          <cell r="O9">
            <v>0</v>
          </cell>
          <cell r="R9">
            <v>5</v>
          </cell>
          <cell r="S9">
            <v>9</v>
          </cell>
          <cell r="V9">
            <v>0</v>
          </cell>
          <cell r="W9">
            <v>0</v>
          </cell>
          <cell r="Z9">
            <v>0</v>
          </cell>
          <cell r="AA9">
            <v>0</v>
          </cell>
          <cell r="AD9">
            <v>33</v>
          </cell>
          <cell r="AE9">
            <v>35</v>
          </cell>
          <cell r="AH9">
            <v>0</v>
          </cell>
          <cell r="AI9">
            <v>17</v>
          </cell>
          <cell r="AL9">
            <v>33</v>
          </cell>
          <cell r="AM9">
            <v>18</v>
          </cell>
          <cell r="AV9">
            <v>683</v>
          </cell>
          <cell r="AW9">
            <v>672</v>
          </cell>
        </row>
        <row r="10">
          <cell r="F10">
            <v>24</v>
          </cell>
          <cell r="G10">
            <v>21</v>
          </cell>
          <cell r="J10">
            <v>20</v>
          </cell>
          <cell r="K10">
            <v>17</v>
          </cell>
          <cell r="N10">
            <v>0</v>
          </cell>
          <cell r="O10">
            <v>0</v>
          </cell>
          <cell r="R10">
            <v>4</v>
          </cell>
          <cell r="S10">
            <v>4</v>
          </cell>
          <cell r="V10">
            <v>0</v>
          </cell>
          <cell r="W10">
            <v>0</v>
          </cell>
          <cell r="Z10">
            <v>0</v>
          </cell>
          <cell r="AA10">
            <v>0</v>
          </cell>
          <cell r="AD10">
            <v>20</v>
          </cell>
          <cell r="AE10">
            <v>20</v>
          </cell>
          <cell r="AH10">
            <v>0</v>
          </cell>
          <cell r="AI10">
            <v>10</v>
          </cell>
          <cell r="AL10">
            <v>20</v>
          </cell>
          <cell r="AM10">
            <v>10</v>
          </cell>
          <cell r="AV10">
            <v>596</v>
          </cell>
          <cell r="AW10">
            <v>593</v>
          </cell>
        </row>
        <row r="11">
          <cell r="F11">
            <v>6</v>
          </cell>
          <cell r="G11">
            <v>9</v>
          </cell>
          <cell r="J11">
            <v>5</v>
          </cell>
          <cell r="K11">
            <v>5</v>
          </cell>
          <cell r="N11">
            <v>0</v>
          </cell>
          <cell r="O11">
            <v>0</v>
          </cell>
          <cell r="R11">
            <v>1</v>
          </cell>
          <cell r="S11">
            <v>4</v>
          </cell>
          <cell r="V11">
            <v>0</v>
          </cell>
          <cell r="W11">
            <v>0</v>
          </cell>
          <cell r="Z11">
            <v>0</v>
          </cell>
          <cell r="AA11">
            <v>0</v>
          </cell>
          <cell r="AD11">
            <v>5</v>
          </cell>
          <cell r="AE11">
            <v>7</v>
          </cell>
          <cell r="AH11">
            <v>0</v>
          </cell>
          <cell r="AI11">
            <v>5</v>
          </cell>
          <cell r="AL11">
            <v>5</v>
          </cell>
          <cell r="AM11">
            <v>2</v>
          </cell>
          <cell r="AV11">
            <v>27</v>
          </cell>
          <cell r="AW11">
            <v>32</v>
          </cell>
        </row>
        <row r="12">
          <cell r="F12">
            <v>8</v>
          </cell>
          <cell r="G12">
            <v>9</v>
          </cell>
          <cell r="J12">
            <v>8</v>
          </cell>
          <cell r="K12">
            <v>8</v>
          </cell>
          <cell r="N12">
            <v>0</v>
          </cell>
          <cell r="O12">
            <v>0</v>
          </cell>
          <cell r="R12">
            <v>0</v>
          </cell>
          <cell r="S12">
            <v>1</v>
          </cell>
          <cell r="V12">
            <v>0</v>
          </cell>
          <cell r="W12">
            <v>0</v>
          </cell>
          <cell r="Z12">
            <v>0</v>
          </cell>
          <cell r="AA12">
            <v>0</v>
          </cell>
          <cell r="AD12">
            <v>8</v>
          </cell>
          <cell r="AE12">
            <v>8</v>
          </cell>
          <cell r="AH12">
            <v>0</v>
          </cell>
          <cell r="AI12">
            <v>2</v>
          </cell>
          <cell r="AL12">
            <v>8</v>
          </cell>
          <cell r="AM12">
            <v>6</v>
          </cell>
          <cell r="AV12">
            <v>60</v>
          </cell>
          <cell r="AW12">
            <v>47</v>
          </cell>
        </row>
        <row r="13">
          <cell r="F13">
            <v>2</v>
          </cell>
          <cell r="G13">
            <v>1</v>
          </cell>
          <cell r="J13">
            <v>2</v>
          </cell>
          <cell r="K13">
            <v>1</v>
          </cell>
          <cell r="N13">
            <v>0</v>
          </cell>
          <cell r="O13">
            <v>0</v>
          </cell>
          <cell r="R13">
            <v>0</v>
          </cell>
          <cell r="S13">
            <v>0</v>
          </cell>
          <cell r="V13">
            <v>0</v>
          </cell>
          <cell r="W13">
            <v>0</v>
          </cell>
          <cell r="Z13">
            <v>0</v>
          </cell>
          <cell r="AA13">
            <v>0</v>
          </cell>
          <cell r="AD13">
            <v>2</v>
          </cell>
          <cell r="AE13">
            <v>1</v>
          </cell>
          <cell r="AH13">
            <v>0</v>
          </cell>
          <cell r="AI13">
            <v>1</v>
          </cell>
          <cell r="AL13">
            <v>2</v>
          </cell>
          <cell r="AM13">
            <v>0</v>
          </cell>
          <cell r="AV13">
            <v>69</v>
          </cell>
          <cell r="AW13">
            <v>68</v>
          </cell>
        </row>
        <row r="14">
          <cell r="F14">
            <v>33</v>
          </cell>
          <cell r="G14">
            <v>24</v>
          </cell>
          <cell r="J14">
            <v>27</v>
          </cell>
          <cell r="K14">
            <v>21</v>
          </cell>
          <cell r="N14">
            <v>0</v>
          </cell>
          <cell r="O14">
            <v>0</v>
          </cell>
          <cell r="R14">
            <v>6</v>
          </cell>
          <cell r="S14">
            <v>3</v>
          </cell>
          <cell r="V14">
            <v>0</v>
          </cell>
          <cell r="W14">
            <v>0</v>
          </cell>
          <cell r="Z14">
            <v>0</v>
          </cell>
          <cell r="AA14">
            <v>0</v>
          </cell>
          <cell r="AD14">
            <v>23</v>
          </cell>
          <cell r="AE14">
            <v>21</v>
          </cell>
          <cell r="AH14">
            <v>0</v>
          </cell>
          <cell r="AI14">
            <v>5</v>
          </cell>
          <cell r="AL14">
            <v>23</v>
          </cell>
          <cell r="AM14">
            <v>16</v>
          </cell>
          <cell r="AV14">
            <v>190.2</v>
          </cell>
          <cell r="AW14">
            <v>251.00475</v>
          </cell>
        </row>
        <row r="15">
          <cell r="F15">
            <v>17</v>
          </cell>
          <cell r="G15">
            <v>23</v>
          </cell>
          <cell r="J15">
            <v>16</v>
          </cell>
          <cell r="K15">
            <v>22</v>
          </cell>
          <cell r="N15">
            <v>0</v>
          </cell>
          <cell r="O15">
            <v>0</v>
          </cell>
          <cell r="R15">
            <v>1</v>
          </cell>
          <cell r="S15">
            <v>1</v>
          </cell>
          <cell r="V15">
            <v>0</v>
          </cell>
          <cell r="W15">
            <v>0</v>
          </cell>
          <cell r="Z15">
            <v>0</v>
          </cell>
          <cell r="AA15">
            <v>0</v>
          </cell>
          <cell r="AD15">
            <v>16</v>
          </cell>
          <cell r="AE15">
            <v>19</v>
          </cell>
          <cell r="AH15">
            <v>4</v>
          </cell>
          <cell r="AI15">
            <v>8</v>
          </cell>
          <cell r="AL15">
            <v>12</v>
          </cell>
          <cell r="AM15">
            <v>11</v>
          </cell>
          <cell r="AV15">
            <v>467</v>
          </cell>
          <cell r="AW15">
            <v>501</v>
          </cell>
        </row>
        <row r="16">
          <cell r="F16">
            <v>5</v>
          </cell>
          <cell r="G16">
            <v>7</v>
          </cell>
          <cell r="J16">
            <v>5</v>
          </cell>
          <cell r="K16">
            <v>7</v>
          </cell>
          <cell r="N16">
            <v>0</v>
          </cell>
          <cell r="O16">
            <v>0</v>
          </cell>
          <cell r="R16">
            <v>0</v>
          </cell>
          <cell r="S16">
            <v>0</v>
          </cell>
          <cell r="V16">
            <v>0</v>
          </cell>
          <cell r="W16">
            <v>0</v>
          </cell>
          <cell r="Z16">
            <v>0</v>
          </cell>
          <cell r="AA16">
            <v>0</v>
          </cell>
          <cell r="AD16">
            <v>5</v>
          </cell>
          <cell r="AE16">
            <v>9</v>
          </cell>
          <cell r="AH16">
            <v>0</v>
          </cell>
          <cell r="AI16">
            <v>4</v>
          </cell>
          <cell r="AL16">
            <v>5</v>
          </cell>
          <cell r="AM16">
            <v>5</v>
          </cell>
          <cell r="AV16">
            <v>105</v>
          </cell>
          <cell r="AW16">
            <v>194</v>
          </cell>
        </row>
        <row r="17">
          <cell r="F17">
            <v>9</v>
          </cell>
          <cell r="G17">
            <v>10</v>
          </cell>
          <cell r="J17">
            <v>9</v>
          </cell>
          <cell r="K17">
            <v>10</v>
          </cell>
          <cell r="N17">
            <v>0</v>
          </cell>
          <cell r="O17">
            <v>0</v>
          </cell>
          <cell r="R17">
            <v>0</v>
          </cell>
          <cell r="S17">
            <v>0</v>
          </cell>
          <cell r="V17">
            <v>0</v>
          </cell>
          <cell r="W17">
            <v>0</v>
          </cell>
          <cell r="Z17">
            <v>0</v>
          </cell>
          <cell r="AA17">
            <v>0</v>
          </cell>
          <cell r="AD17">
            <v>9</v>
          </cell>
          <cell r="AE17">
            <v>7</v>
          </cell>
          <cell r="AH17">
            <v>2</v>
          </cell>
          <cell r="AI17">
            <v>2</v>
          </cell>
          <cell r="AL17">
            <v>7</v>
          </cell>
          <cell r="AM17">
            <v>5</v>
          </cell>
          <cell r="AV17">
            <v>312</v>
          </cell>
          <cell r="AW17">
            <v>279</v>
          </cell>
        </row>
        <row r="18">
          <cell r="F18">
            <v>0</v>
          </cell>
          <cell r="G18">
            <v>0</v>
          </cell>
          <cell r="J18">
            <v>0</v>
          </cell>
          <cell r="K18">
            <v>0</v>
          </cell>
          <cell r="N18">
            <v>0</v>
          </cell>
          <cell r="O18">
            <v>0</v>
          </cell>
          <cell r="R18">
            <v>0</v>
          </cell>
          <cell r="S18">
            <v>0</v>
          </cell>
          <cell r="V18">
            <v>0</v>
          </cell>
          <cell r="W18">
            <v>0</v>
          </cell>
          <cell r="Z18">
            <v>0</v>
          </cell>
          <cell r="AA18">
            <v>0</v>
          </cell>
          <cell r="AD18">
            <v>0</v>
          </cell>
          <cell r="AE18">
            <v>0</v>
          </cell>
          <cell r="AH18">
            <v>0</v>
          </cell>
          <cell r="AI18">
            <v>0</v>
          </cell>
          <cell r="AL18">
            <v>0</v>
          </cell>
          <cell r="AM18">
            <v>0</v>
          </cell>
          <cell r="AV18">
            <v>0</v>
          </cell>
          <cell r="AW18">
            <v>0</v>
          </cell>
        </row>
        <row r="19">
          <cell r="F19">
            <v>3</v>
          </cell>
          <cell r="G19">
            <v>6</v>
          </cell>
          <cell r="J19">
            <v>2</v>
          </cell>
          <cell r="K19">
            <v>5</v>
          </cell>
          <cell r="N19">
            <v>0</v>
          </cell>
          <cell r="O19">
            <v>0</v>
          </cell>
          <cell r="R19">
            <v>1</v>
          </cell>
          <cell r="S19">
            <v>1</v>
          </cell>
          <cell r="V19">
            <v>0</v>
          </cell>
          <cell r="W19">
            <v>0</v>
          </cell>
          <cell r="Z19">
            <v>0</v>
          </cell>
          <cell r="AA19">
            <v>0</v>
          </cell>
          <cell r="AD19">
            <v>2</v>
          </cell>
          <cell r="AE19">
            <v>3</v>
          </cell>
          <cell r="AH19">
            <v>2</v>
          </cell>
          <cell r="AI19">
            <v>2</v>
          </cell>
          <cell r="AL19">
            <v>0</v>
          </cell>
          <cell r="AM19">
            <v>1</v>
          </cell>
          <cell r="AV19">
            <v>50</v>
          </cell>
          <cell r="AW19">
            <v>28</v>
          </cell>
        </row>
        <row r="20">
          <cell r="F20">
            <v>0</v>
          </cell>
          <cell r="G20">
            <v>0</v>
          </cell>
          <cell r="J20">
            <v>0</v>
          </cell>
          <cell r="K20">
            <v>0</v>
          </cell>
          <cell r="N20">
            <v>0</v>
          </cell>
          <cell r="O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Z20">
            <v>0</v>
          </cell>
          <cell r="AA20">
            <v>0</v>
          </cell>
          <cell r="AD20">
            <v>0</v>
          </cell>
          <cell r="AE20">
            <v>0</v>
          </cell>
          <cell r="AH20">
            <v>0</v>
          </cell>
          <cell r="AI20">
            <v>0</v>
          </cell>
          <cell r="AL20">
            <v>0</v>
          </cell>
          <cell r="AM20">
            <v>0</v>
          </cell>
          <cell r="AV20">
            <v>0</v>
          </cell>
          <cell r="AW20">
            <v>0</v>
          </cell>
        </row>
        <row r="21">
          <cell r="F21">
            <v>2</v>
          </cell>
          <cell r="G21">
            <v>2</v>
          </cell>
          <cell r="J21">
            <v>2</v>
          </cell>
          <cell r="K21">
            <v>1</v>
          </cell>
          <cell r="N21">
            <v>0</v>
          </cell>
          <cell r="O21">
            <v>0</v>
          </cell>
          <cell r="R21">
            <v>0</v>
          </cell>
          <cell r="S21">
            <v>1</v>
          </cell>
          <cell r="V21">
            <v>0</v>
          </cell>
          <cell r="W21">
            <v>0</v>
          </cell>
          <cell r="Z21">
            <v>0</v>
          </cell>
          <cell r="AA21">
            <v>0</v>
          </cell>
          <cell r="AD21">
            <v>2</v>
          </cell>
          <cell r="AE21">
            <v>1</v>
          </cell>
          <cell r="AH21">
            <v>0</v>
          </cell>
          <cell r="AI21">
            <v>0</v>
          </cell>
          <cell r="AL21">
            <v>2</v>
          </cell>
          <cell r="AM21">
            <v>1</v>
          </cell>
          <cell r="AV21">
            <v>16.5</v>
          </cell>
          <cell r="AW21">
            <v>3.6</v>
          </cell>
        </row>
        <row r="33">
          <cell r="F33">
            <v>3</v>
          </cell>
          <cell r="G33">
            <v>8</v>
          </cell>
          <cell r="J33">
            <v>1</v>
          </cell>
          <cell r="K33">
            <v>1</v>
          </cell>
          <cell r="N33">
            <v>2</v>
          </cell>
          <cell r="O33">
            <v>4</v>
          </cell>
          <cell r="R33">
            <v>0</v>
          </cell>
          <cell r="S33">
            <v>3</v>
          </cell>
          <cell r="AD33">
            <v>35</v>
          </cell>
          <cell r="AE33">
            <v>12.311</v>
          </cell>
        </row>
        <row r="34">
          <cell r="F34">
            <v>2</v>
          </cell>
          <cell r="G34">
            <v>6</v>
          </cell>
          <cell r="J34">
            <v>0</v>
          </cell>
          <cell r="K34">
            <v>1</v>
          </cell>
          <cell r="N34">
            <v>2</v>
          </cell>
          <cell r="O34">
            <v>4</v>
          </cell>
          <cell r="R34">
            <v>0</v>
          </cell>
          <cell r="S34">
            <v>1</v>
          </cell>
          <cell r="AD34">
            <v>0</v>
          </cell>
          <cell r="AE34">
            <v>12.311</v>
          </cell>
        </row>
        <row r="35">
          <cell r="F35">
            <v>1</v>
          </cell>
          <cell r="G35">
            <v>2</v>
          </cell>
          <cell r="J35">
            <v>1</v>
          </cell>
          <cell r="K35">
            <v>0</v>
          </cell>
          <cell r="N35">
            <v>0</v>
          </cell>
          <cell r="O35">
            <v>0</v>
          </cell>
          <cell r="R35">
            <v>0</v>
          </cell>
          <cell r="S35">
            <v>2</v>
          </cell>
          <cell r="AD35">
            <v>35</v>
          </cell>
          <cell r="AE35">
            <v>0</v>
          </cell>
        </row>
        <row r="36">
          <cell r="F36">
            <v>0</v>
          </cell>
          <cell r="G36">
            <v>5</v>
          </cell>
          <cell r="J36">
            <v>0</v>
          </cell>
          <cell r="K36">
            <v>3</v>
          </cell>
          <cell r="N36">
            <v>0</v>
          </cell>
          <cell r="O36">
            <v>1</v>
          </cell>
          <cell r="R36">
            <v>0</v>
          </cell>
          <cell r="S36">
            <v>1</v>
          </cell>
          <cell r="AD36">
            <v>0</v>
          </cell>
          <cell r="AE36">
            <v>40</v>
          </cell>
        </row>
        <row r="37">
          <cell r="F37">
            <v>1</v>
          </cell>
          <cell r="G37">
            <v>1</v>
          </cell>
          <cell r="J37">
            <v>1</v>
          </cell>
          <cell r="K37">
            <v>1</v>
          </cell>
          <cell r="N37">
            <v>0</v>
          </cell>
          <cell r="O37">
            <v>0</v>
          </cell>
          <cell r="R37">
            <v>0</v>
          </cell>
          <cell r="S37">
            <v>0</v>
          </cell>
          <cell r="AD37">
            <v>25</v>
          </cell>
          <cell r="AE37">
            <v>25</v>
          </cell>
        </row>
        <row r="38">
          <cell r="F38">
            <v>2</v>
          </cell>
          <cell r="G38">
            <v>8</v>
          </cell>
          <cell r="J38">
            <v>1</v>
          </cell>
          <cell r="K38">
            <v>6</v>
          </cell>
          <cell r="N38">
            <v>1</v>
          </cell>
          <cell r="O38">
            <v>2</v>
          </cell>
          <cell r="R38">
            <v>0</v>
          </cell>
          <cell r="S38">
            <v>0</v>
          </cell>
          <cell r="AD38">
            <v>8.1999999999999993</v>
          </cell>
          <cell r="AE38">
            <v>63.2</v>
          </cell>
        </row>
        <row r="39">
          <cell r="F39">
            <v>3</v>
          </cell>
          <cell r="G39">
            <v>4</v>
          </cell>
          <cell r="J39">
            <v>2</v>
          </cell>
          <cell r="K39">
            <v>2</v>
          </cell>
          <cell r="N39">
            <v>1</v>
          </cell>
          <cell r="O39">
            <v>0</v>
          </cell>
          <cell r="R39">
            <v>0</v>
          </cell>
          <cell r="S39">
            <v>2</v>
          </cell>
          <cell r="AD39">
            <v>67</v>
          </cell>
          <cell r="AE39">
            <v>112</v>
          </cell>
        </row>
        <row r="40">
          <cell r="F40">
            <v>2</v>
          </cell>
          <cell r="G40">
            <v>1</v>
          </cell>
          <cell r="J40">
            <v>1</v>
          </cell>
          <cell r="K40">
            <v>0</v>
          </cell>
          <cell r="N40">
            <v>1</v>
          </cell>
          <cell r="O40">
            <v>0</v>
          </cell>
          <cell r="R40">
            <v>0</v>
          </cell>
          <cell r="S40">
            <v>1</v>
          </cell>
          <cell r="AD40">
            <v>27</v>
          </cell>
          <cell r="AE40">
            <v>0</v>
          </cell>
        </row>
        <row r="41">
          <cell r="F41">
            <v>0</v>
          </cell>
          <cell r="G41">
            <v>1</v>
          </cell>
          <cell r="J41">
            <v>0</v>
          </cell>
          <cell r="K41">
            <v>1</v>
          </cell>
          <cell r="N41">
            <v>0</v>
          </cell>
          <cell r="O41">
            <v>0</v>
          </cell>
          <cell r="R41">
            <v>0</v>
          </cell>
          <cell r="S41">
            <v>0</v>
          </cell>
          <cell r="AD41">
            <v>0</v>
          </cell>
          <cell r="AE41">
            <v>71</v>
          </cell>
        </row>
        <row r="42">
          <cell r="F42">
            <v>0</v>
          </cell>
          <cell r="G42">
            <v>0</v>
          </cell>
          <cell r="J42">
            <v>0</v>
          </cell>
          <cell r="K42">
            <v>0</v>
          </cell>
          <cell r="N42">
            <v>0</v>
          </cell>
          <cell r="O42">
            <v>0</v>
          </cell>
          <cell r="R42">
            <v>0</v>
          </cell>
          <cell r="S42">
            <v>0</v>
          </cell>
          <cell r="AD42">
            <v>0</v>
          </cell>
          <cell r="AE42">
            <v>0</v>
          </cell>
        </row>
        <row r="43">
          <cell r="F43">
            <v>1</v>
          </cell>
          <cell r="G43">
            <v>2</v>
          </cell>
          <cell r="J43">
            <v>1</v>
          </cell>
          <cell r="K43">
            <v>1</v>
          </cell>
          <cell r="N43">
            <v>0</v>
          </cell>
          <cell r="O43">
            <v>0</v>
          </cell>
          <cell r="R43">
            <v>0</v>
          </cell>
          <cell r="S43">
            <v>1</v>
          </cell>
          <cell r="AD43">
            <v>40</v>
          </cell>
          <cell r="AE43">
            <v>41</v>
          </cell>
        </row>
        <row r="44">
          <cell r="F44">
            <v>1</v>
          </cell>
          <cell r="G44">
            <v>0</v>
          </cell>
          <cell r="J44">
            <v>1</v>
          </cell>
          <cell r="K44">
            <v>0</v>
          </cell>
          <cell r="N44">
            <v>0</v>
          </cell>
          <cell r="O44">
            <v>0</v>
          </cell>
          <cell r="R44">
            <v>0</v>
          </cell>
          <cell r="S44">
            <v>0</v>
          </cell>
          <cell r="AD44">
            <v>20</v>
          </cell>
          <cell r="AE44">
            <v>0</v>
          </cell>
        </row>
        <row r="45">
          <cell r="F45">
            <v>0</v>
          </cell>
          <cell r="G45">
            <v>0</v>
          </cell>
          <cell r="J45">
            <v>0</v>
          </cell>
          <cell r="K45">
            <v>0</v>
          </cell>
          <cell r="N45">
            <v>0</v>
          </cell>
          <cell r="O45">
            <v>0</v>
          </cell>
          <cell r="R45">
            <v>0</v>
          </cell>
          <cell r="S45">
            <v>0</v>
          </cell>
          <cell r="AD45">
            <v>0</v>
          </cell>
          <cell r="AE45">
            <v>0</v>
          </cell>
        </row>
      </sheetData>
      <sheetData sheetId="6" refreshError="1">
        <row r="7">
          <cell r="F7">
            <v>65</v>
          </cell>
          <cell r="H7">
            <v>48</v>
          </cell>
          <cell r="J7">
            <v>0</v>
          </cell>
          <cell r="L7">
            <v>0</v>
          </cell>
          <cell r="N7">
            <v>42</v>
          </cell>
          <cell r="P7">
            <v>42</v>
          </cell>
          <cell r="R7">
            <v>0</v>
          </cell>
          <cell r="T7">
            <v>0</v>
          </cell>
          <cell r="V7">
            <v>0</v>
          </cell>
          <cell r="X7">
            <v>6</v>
          </cell>
          <cell r="Z7">
            <v>0</v>
          </cell>
          <cell r="AB7">
            <v>0</v>
          </cell>
          <cell r="AD7">
            <v>0</v>
          </cell>
          <cell r="AF7">
            <v>17</v>
          </cell>
          <cell r="AH7">
            <v>4</v>
          </cell>
          <cell r="AJ7">
            <v>0</v>
          </cell>
          <cell r="AL7">
            <v>4</v>
          </cell>
          <cell r="AN7">
            <v>0</v>
          </cell>
          <cell r="AP7">
            <v>0</v>
          </cell>
          <cell r="AR7">
            <v>0</v>
          </cell>
          <cell r="AT7">
            <v>13</v>
          </cell>
          <cell r="AV7">
            <v>0</v>
          </cell>
          <cell r="AX7">
            <v>13</v>
          </cell>
          <cell r="AZ7">
            <v>0</v>
          </cell>
          <cell r="BB7">
            <v>0</v>
          </cell>
          <cell r="BD7">
            <v>0</v>
          </cell>
          <cell r="BF7">
            <v>0</v>
          </cell>
          <cell r="BH7">
            <v>0</v>
          </cell>
          <cell r="BJ7">
            <v>0</v>
          </cell>
          <cell r="BL7">
            <v>0</v>
          </cell>
          <cell r="BN7">
            <v>0</v>
          </cell>
          <cell r="BP7">
            <v>0</v>
          </cell>
        </row>
        <row r="8">
          <cell r="F8">
            <v>8</v>
          </cell>
          <cell r="H8">
            <v>8</v>
          </cell>
          <cell r="J8">
            <v>0</v>
          </cell>
          <cell r="L8">
            <v>0</v>
          </cell>
          <cell r="N8">
            <v>8</v>
          </cell>
          <cell r="P8">
            <v>8</v>
          </cell>
          <cell r="R8">
            <v>0</v>
          </cell>
          <cell r="T8">
            <v>0</v>
          </cell>
          <cell r="V8">
            <v>0</v>
          </cell>
          <cell r="X8">
            <v>0</v>
          </cell>
          <cell r="Z8">
            <v>0</v>
          </cell>
          <cell r="AB8">
            <v>0</v>
          </cell>
          <cell r="AD8">
            <v>0</v>
          </cell>
          <cell r="AF8">
            <v>0</v>
          </cell>
          <cell r="AH8">
            <v>0</v>
          </cell>
          <cell r="AJ8">
            <v>0</v>
          </cell>
          <cell r="AL8">
            <v>0</v>
          </cell>
          <cell r="AN8">
            <v>0</v>
          </cell>
          <cell r="AP8">
            <v>0</v>
          </cell>
          <cell r="AR8">
            <v>0</v>
          </cell>
          <cell r="AT8">
            <v>0</v>
          </cell>
          <cell r="AV8">
            <v>0</v>
          </cell>
          <cell r="AX8">
            <v>0</v>
          </cell>
          <cell r="AZ8">
            <v>0</v>
          </cell>
          <cell r="BB8">
            <v>0</v>
          </cell>
          <cell r="BD8">
            <v>0</v>
          </cell>
          <cell r="BF8">
            <v>0</v>
          </cell>
          <cell r="BH8">
            <v>0</v>
          </cell>
          <cell r="BJ8">
            <v>0</v>
          </cell>
          <cell r="BL8">
            <v>0</v>
          </cell>
          <cell r="BN8">
            <v>0</v>
          </cell>
          <cell r="BP8">
            <v>0</v>
          </cell>
        </row>
        <row r="9">
          <cell r="F9">
            <v>57</v>
          </cell>
          <cell r="H9">
            <v>40</v>
          </cell>
          <cell r="J9">
            <v>0</v>
          </cell>
          <cell r="L9">
            <v>0</v>
          </cell>
          <cell r="N9">
            <v>34</v>
          </cell>
          <cell r="P9">
            <v>34</v>
          </cell>
          <cell r="R9">
            <v>0</v>
          </cell>
          <cell r="T9">
            <v>0</v>
          </cell>
          <cell r="V9">
            <v>0</v>
          </cell>
          <cell r="X9">
            <v>6</v>
          </cell>
          <cell r="Z9">
            <v>0</v>
          </cell>
          <cell r="AB9">
            <v>0</v>
          </cell>
          <cell r="AD9">
            <v>0</v>
          </cell>
          <cell r="AF9">
            <v>17</v>
          </cell>
          <cell r="AH9">
            <v>4</v>
          </cell>
          <cell r="AJ9">
            <v>0</v>
          </cell>
          <cell r="AL9">
            <v>4</v>
          </cell>
          <cell r="AN9">
            <v>0</v>
          </cell>
          <cell r="AP9">
            <v>0</v>
          </cell>
          <cell r="AR9">
            <v>0</v>
          </cell>
          <cell r="AT9">
            <v>13</v>
          </cell>
          <cell r="AV9">
            <v>0</v>
          </cell>
          <cell r="AX9">
            <v>13</v>
          </cell>
          <cell r="AZ9">
            <v>0</v>
          </cell>
          <cell r="BB9">
            <v>0</v>
          </cell>
          <cell r="BD9">
            <v>0</v>
          </cell>
          <cell r="BF9">
            <v>0</v>
          </cell>
          <cell r="BH9">
            <v>0</v>
          </cell>
          <cell r="BJ9">
            <v>0</v>
          </cell>
          <cell r="BL9">
            <v>0</v>
          </cell>
          <cell r="BN9">
            <v>0</v>
          </cell>
          <cell r="BP9">
            <v>0</v>
          </cell>
        </row>
        <row r="10">
          <cell r="F10">
            <v>85</v>
          </cell>
          <cell r="H10">
            <v>34.5</v>
          </cell>
          <cell r="J10">
            <v>0</v>
          </cell>
          <cell r="L10">
            <v>0</v>
          </cell>
          <cell r="N10">
            <v>0</v>
          </cell>
          <cell r="P10">
            <v>0</v>
          </cell>
          <cell r="R10">
            <v>0</v>
          </cell>
          <cell r="T10">
            <v>0</v>
          </cell>
          <cell r="V10">
            <v>34.5</v>
          </cell>
          <cell r="X10">
            <v>0</v>
          </cell>
          <cell r="Z10">
            <v>0</v>
          </cell>
          <cell r="AB10">
            <v>0</v>
          </cell>
          <cell r="AD10">
            <v>0</v>
          </cell>
          <cell r="AF10">
            <v>42.5</v>
          </cell>
          <cell r="AH10">
            <v>0</v>
          </cell>
          <cell r="AJ10">
            <v>0</v>
          </cell>
          <cell r="AL10">
            <v>0</v>
          </cell>
          <cell r="AN10">
            <v>0</v>
          </cell>
          <cell r="AP10">
            <v>0</v>
          </cell>
          <cell r="AR10">
            <v>0</v>
          </cell>
          <cell r="AT10">
            <v>31.5</v>
          </cell>
          <cell r="AV10">
            <v>0</v>
          </cell>
          <cell r="AX10">
            <v>31.5</v>
          </cell>
          <cell r="AZ10">
            <v>0</v>
          </cell>
          <cell r="BB10">
            <v>0</v>
          </cell>
          <cell r="BD10">
            <v>11</v>
          </cell>
          <cell r="BF10">
            <v>0</v>
          </cell>
          <cell r="BH10">
            <v>0</v>
          </cell>
          <cell r="BJ10">
            <v>8</v>
          </cell>
          <cell r="BL10">
            <v>0</v>
          </cell>
          <cell r="BN10">
            <v>0</v>
          </cell>
          <cell r="BP10">
            <v>0</v>
          </cell>
        </row>
        <row r="11">
          <cell r="F11">
            <v>0</v>
          </cell>
          <cell r="H11">
            <v>0</v>
          </cell>
          <cell r="J11">
            <v>0</v>
          </cell>
          <cell r="L11">
            <v>0</v>
          </cell>
          <cell r="N11">
            <v>0</v>
          </cell>
          <cell r="P11">
            <v>0</v>
          </cell>
          <cell r="R11">
            <v>0</v>
          </cell>
          <cell r="T11">
            <v>0</v>
          </cell>
          <cell r="V11">
            <v>0</v>
          </cell>
          <cell r="X11">
            <v>0</v>
          </cell>
          <cell r="Z11">
            <v>0</v>
          </cell>
          <cell r="AB11">
            <v>0</v>
          </cell>
          <cell r="AD11">
            <v>0</v>
          </cell>
          <cell r="AF11">
            <v>0</v>
          </cell>
          <cell r="AH11">
            <v>0</v>
          </cell>
          <cell r="AJ11">
            <v>0</v>
          </cell>
          <cell r="AL11">
            <v>0</v>
          </cell>
          <cell r="AN11">
            <v>0</v>
          </cell>
          <cell r="AP11">
            <v>0</v>
          </cell>
          <cell r="AR11">
            <v>0</v>
          </cell>
          <cell r="AT11">
            <v>0</v>
          </cell>
          <cell r="AV11">
            <v>0</v>
          </cell>
          <cell r="AX11">
            <v>0</v>
          </cell>
          <cell r="AZ11">
            <v>0</v>
          </cell>
          <cell r="BB11">
            <v>0</v>
          </cell>
          <cell r="BD11">
            <v>0</v>
          </cell>
          <cell r="BF11">
            <v>0</v>
          </cell>
          <cell r="BH11">
            <v>0</v>
          </cell>
          <cell r="BJ11">
            <v>0</v>
          </cell>
          <cell r="BL11">
            <v>0</v>
          </cell>
          <cell r="BN11">
            <v>0</v>
          </cell>
          <cell r="BP11">
            <v>0</v>
          </cell>
        </row>
        <row r="12">
          <cell r="F12">
            <v>57</v>
          </cell>
          <cell r="H12">
            <v>15</v>
          </cell>
          <cell r="J12">
            <v>0</v>
          </cell>
          <cell r="L12">
            <v>9</v>
          </cell>
          <cell r="N12">
            <v>0</v>
          </cell>
          <cell r="P12">
            <v>0</v>
          </cell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6</v>
          </cell>
          <cell r="AF12">
            <v>36</v>
          </cell>
          <cell r="AH12">
            <v>18</v>
          </cell>
          <cell r="AJ12">
            <v>0</v>
          </cell>
          <cell r="AL12">
            <v>18</v>
          </cell>
          <cell r="AN12">
            <v>18</v>
          </cell>
          <cell r="AP12">
            <v>0</v>
          </cell>
          <cell r="AR12">
            <v>18</v>
          </cell>
          <cell r="AT12">
            <v>0</v>
          </cell>
          <cell r="AV12">
            <v>0</v>
          </cell>
          <cell r="AX12">
            <v>0</v>
          </cell>
          <cell r="AZ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6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</row>
        <row r="13">
          <cell r="F13">
            <v>29</v>
          </cell>
          <cell r="H13">
            <v>0</v>
          </cell>
          <cell r="J13">
            <v>0</v>
          </cell>
          <cell r="L13">
            <v>0</v>
          </cell>
          <cell r="N13">
            <v>0</v>
          </cell>
          <cell r="P13">
            <v>0</v>
          </cell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12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12</v>
          </cell>
          <cell r="AV13">
            <v>12</v>
          </cell>
          <cell r="AX13">
            <v>0</v>
          </cell>
          <cell r="AZ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17</v>
          </cell>
          <cell r="BL13">
            <v>0</v>
          </cell>
          <cell r="BN13">
            <v>0</v>
          </cell>
          <cell r="BP13">
            <v>0</v>
          </cell>
        </row>
        <row r="14">
          <cell r="F14">
            <v>17</v>
          </cell>
          <cell r="H14">
            <v>0</v>
          </cell>
          <cell r="J14">
            <v>0</v>
          </cell>
          <cell r="L14">
            <v>0</v>
          </cell>
          <cell r="N14">
            <v>0</v>
          </cell>
          <cell r="P14">
            <v>0</v>
          </cell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12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12</v>
          </cell>
          <cell r="AV14">
            <v>12</v>
          </cell>
          <cell r="AX14">
            <v>0</v>
          </cell>
          <cell r="AZ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5</v>
          </cell>
          <cell r="BL14">
            <v>0</v>
          </cell>
          <cell r="BN14">
            <v>0</v>
          </cell>
          <cell r="BP14">
            <v>0</v>
          </cell>
        </row>
        <row r="15">
          <cell r="F15">
            <v>0</v>
          </cell>
          <cell r="H15">
            <v>0</v>
          </cell>
          <cell r="J15">
            <v>0</v>
          </cell>
          <cell r="L15">
            <v>0</v>
          </cell>
          <cell r="N15">
            <v>0</v>
          </cell>
          <cell r="P15">
            <v>0</v>
          </cell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AV15">
            <v>0</v>
          </cell>
          <cell r="AX15">
            <v>0</v>
          </cell>
          <cell r="AZ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</row>
        <row r="16">
          <cell r="F16">
            <v>0</v>
          </cell>
          <cell r="H16">
            <v>0</v>
          </cell>
          <cell r="J16">
            <v>0</v>
          </cell>
          <cell r="L16">
            <v>0</v>
          </cell>
          <cell r="N16">
            <v>0</v>
          </cell>
          <cell r="P16">
            <v>0</v>
          </cell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AV16">
            <v>0</v>
          </cell>
          <cell r="AX16">
            <v>0</v>
          </cell>
          <cell r="AZ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</row>
        <row r="17">
          <cell r="F17">
            <v>12</v>
          </cell>
          <cell r="H17">
            <v>0</v>
          </cell>
          <cell r="J17">
            <v>0</v>
          </cell>
          <cell r="L17">
            <v>0</v>
          </cell>
          <cell r="N17">
            <v>0</v>
          </cell>
          <cell r="P17">
            <v>0</v>
          </cell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AV17">
            <v>0</v>
          </cell>
          <cell r="AX17">
            <v>0</v>
          </cell>
          <cell r="AZ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12</v>
          </cell>
          <cell r="BL17">
            <v>0</v>
          </cell>
          <cell r="BN17">
            <v>0</v>
          </cell>
          <cell r="BP17">
            <v>0</v>
          </cell>
        </row>
        <row r="18">
          <cell r="F18">
            <v>0</v>
          </cell>
          <cell r="H18">
            <v>0</v>
          </cell>
          <cell r="J18">
            <v>0</v>
          </cell>
          <cell r="L18">
            <v>0</v>
          </cell>
          <cell r="N18">
            <v>0</v>
          </cell>
          <cell r="P18">
            <v>0</v>
          </cell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AV18">
            <v>0</v>
          </cell>
          <cell r="AX18">
            <v>0</v>
          </cell>
          <cell r="AZ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</row>
        <row r="19">
          <cell r="F19">
            <v>0</v>
          </cell>
          <cell r="H19">
            <v>0</v>
          </cell>
          <cell r="J19">
            <v>0</v>
          </cell>
          <cell r="L19">
            <v>0</v>
          </cell>
          <cell r="N19">
            <v>0</v>
          </cell>
          <cell r="P19">
            <v>0</v>
          </cell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AV19">
            <v>0</v>
          </cell>
          <cell r="AX19">
            <v>0</v>
          </cell>
          <cell r="AZ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</row>
        <row r="31">
          <cell r="F31">
            <v>67</v>
          </cell>
          <cell r="H31">
            <v>0</v>
          </cell>
          <cell r="J31">
            <v>0</v>
          </cell>
          <cell r="L31">
            <v>0</v>
          </cell>
          <cell r="N31">
            <v>0</v>
          </cell>
          <cell r="P31">
            <v>0</v>
          </cell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55</v>
          </cell>
          <cell r="AH31">
            <v>0</v>
          </cell>
          <cell r="AJ31">
            <v>0</v>
          </cell>
          <cell r="AL31">
            <v>0</v>
          </cell>
          <cell r="AN31">
            <v>13</v>
          </cell>
          <cell r="AP31">
            <v>6</v>
          </cell>
          <cell r="AR31">
            <v>7</v>
          </cell>
          <cell r="AT31">
            <v>0</v>
          </cell>
          <cell r="AV31">
            <v>0</v>
          </cell>
          <cell r="AX31">
            <v>0</v>
          </cell>
          <cell r="AZ31">
            <v>0</v>
          </cell>
          <cell r="BB31">
            <v>0</v>
          </cell>
          <cell r="BD31">
            <v>42</v>
          </cell>
          <cell r="BF31">
            <v>0</v>
          </cell>
          <cell r="BH31">
            <v>12</v>
          </cell>
          <cell r="BJ31">
            <v>0</v>
          </cell>
          <cell r="BL31">
            <v>0</v>
          </cell>
          <cell r="BN31">
            <v>0</v>
          </cell>
          <cell r="BP31">
            <v>0</v>
          </cell>
        </row>
        <row r="32">
          <cell r="F32">
            <v>0</v>
          </cell>
          <cell r="H32">
            <v>0</v>
          </cell>
          <cell r="J32">
            <v>0</v>
          </cell>
          <cell r="L32">
            <v>0</v>
          </cell>
          <cell r="N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  <cell r="AV32">
            <v>0</v>
          </cell>
          <cell r="AX32">
            <v>0</v>
          </cell>
          <cell r="AZ32">
            <v>0</v>
          </cell>
          <cell r="BB32">
            <v>0</v>
          </cell>
          <cell r="BD32">
            <v>0</v>
          </cell>
          <cell r="BF32">
            <v>0</v>
          </cell>
          <cell r="BH32">
            <v>0</v>
          </cell>
          <cell r="BJ32">
            <v>0</v>
          </cell>
          <cell r="BL32">
            <v>0</v>
          </cell>
          <cell r="BN32">
            <v>0</v>
          </cell>
          <cell r="BP32">
            <v>0</v>
          </cell>
        </row>
        <row r="33">
          <cell r="F33">
            <v>67</v>
          </cell>
          <cell r="H33">
            <v>0</v>
          </cell>
          <cell r="J33">
            <v>0</v>
          </cell>
          <cell r="L33">
            <v>0</v>
          </cell>
          <cell r="N33">
            <v>0</v>
          </cell>
          <cell r="P33">
            <v>0</v>
          </cell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55</v>
          </cell>
          <cell r="AH33">
            <v>0</v>
          </cell>
          <cell r="AJ33">
            <v>0</v>
          </cell>
          <cell r="AL33">
            <v>0</v>
          </cell>
          <cell r="AN33">
            <v>13</v>
          </cell>
          <cell r="AP33">
            <v>6</v>
          </cell>
          <cell r="AR33">
            <v>7</v>
          </cell>
          <cell r="AT33">
            <v>0</v>
          </cell>
          <cell r="AV33">
            <v>0</v>
          </cell>
          <cell r="AX33">
            <v>0</v>
          </cell>
          <cell r="AZ33">
            <v>0</v>
          </cell>
          <cell r="BB33">
            <v>0</v>
          </cell>
          <cell r="BD33">
            <v>42</v>
          </cell>
          <cell r="BF33">
            <v>0</v>
          </cell>
          <cell r="BH33">
            <v>12</v>
          </cell>
          <cell r="BJ33">
            <v>0</v>
          </cell>
          <cell r="BL33">
            <v>0</v>
          </cell>
          <cell r="BN33">
            <v>0</v>
          </cell>
          <cell r="BP33">
            <v>0</v>
          </cell>
        </row>
        <row r="34">
          <cell r="F34">
            <v>95</v>
          </cell>
          <cell r="H34">
            <v>50</v>
          </cell>
          <cell r="J34">
            <v>0</v>
          </cell>
          <cell r="L34">
            <v>0</v>
          </cell>
          <cell r="N34">
            <v>8</v>
          </cell>
          <cell r="P34">
            <v>8</v>
          </cell>
          <cell r="R34">
            <v>0</v>
          </cell>
          <cell r="T34">
            <v>0</v>
          </cell>
          <cell r="V34">
            <v>37</v>
          </cell>
          <cell r="X34">
            <v>0</v>
          </cell>
          <cell r="Z34">
            <v>5</v>
          </cell>
          <cell r="AB34">
            <v>0</v>
          </cell>
          <cell r="AD34">
            <v>0</v>
          </cell>
          <cell r="AF34">
            <v>45</v>
          </cell>
          <cell r="AH34">
            <v>0</v>
          </cell>
          <cell r="AJ34">
            <v>0</v>
          </cell>
          <cell r="AL34">
            <v>0</v>
          </cell>
          <cell r="AN34">
            <v>35</v>
          </cell>
          <cell r="AP34">
            <v>0</v>
          </cell>
          <cell r="AR34">
            <v>35</v>
          </cell>
          <cell r="AT34">
            <v>10</v>
          </cell>
          <cell r="AV34">
            <v>10</v>
          </cell>
          <cell r="AX34">
            <v>0</v>
          </cell>
          <cell r="AZ34">
            <v>0</v>
          </cell>
          <cell r="BB34">
            <v>0</v>
          </cell>
          <cell r="BD34">
            <v>0</v>
          </cell>
          <cell r="BF34">
            <v>0</v>
          </cell>
          <cell r="BH34">
            <v>0</v>
          </cell>
          <cell r="BJ34">
            <v>0</v>
          </cell>
          <cell r="BL34">
            <v>0</v>
          </cell>
          <cell r="BN34">
            <v>0</v>
          </cell>
          <cell r="BP34">
            <v>0</v>
          </cell>
        </row>
        <row r="35">
          <cell r="F35">
            <v>0</v>
          </cell>
          <cell r="H35">
            <v>0</v>
          </cell>
          <cell r="J35">
            <v>0</v>
          </cell>
          <cell r="L35">
            <v>0</v>
          </cell>
          <cell r="N35">
            <v>0</v>
          </cell>
          <cell r="P35">
            <v>0</v>
          </cell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  <cell r="AV35">
            <v>0</v>
          </cell>
          <cell r="AX35">
            <v>0</v>
          </cell>
          <cell r="AZ35">
            <v>0</v>
          </cell>
          <cell r="BB35">
            <v>0</v>
          </cell>
          <cell r="BD35">
            <v>0</v>
          </cell>
          <cell r="BF35">
            <v>0</v>
          </cell>
          <cell r="BH35">
            <v>0</v>
          </cell>
          <cell r="BJ35">
            <v>0</v>
          </cell>
          <cell r="BL35">
            <v>0</v>
          </cell>
          <cell r="BN35">
            <v>0</v>
          </cell>
          <cell r="BP35">
            <v>0</v>
          </cell>
        </row>
        <row r="36">
          <cell r="F36">
            <v>121</v>
          </cell>
          <cell r="H36">
            <v>18</v>
          </cell>
          <cell r="J36">
            <v>0</v>
          </cell>
          <cell r="L36">
            <v>0</v>
          </cell>
          <cell r="N36">
            <v>0</v>
          </cell>
          <cell r="P36">
            <v>0</v>
          </cell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18</v>
          </cell>
          <cell r="AF36">
            <v>97</v>
          </cell>
          <cell r="AH36">
            <v>12</v>
          </cell>
          <cell r="AJ36">
            <v>0</v>
          </cell>
          <cell r="AL36">
            <v>12</v>
          </cell>
          <cell r="AN36">
            <v>49</v>
          </cell>
          <cell r="AP36">
            <v>43</v>
          </cell>
          <cell r="AR36">
            <v>6</v>
          </cell>
          <cell r="AT36">
            <v>21</v>
          </cell>
          <cell r="AV36">
            <v>21</v>
          </cell>
          <cell r="AX36">
            <v>0</v>
          </cell>
          <cell r="AZ36">
            <v>0</v>
          </cell>
          <cell r="BB36">
            <v>0</v>
          </cell>
          <cell r="BD36">
            <v>15</v>
          </cell>
          <cell r="BF36">
            <v>0</v>
          </cell>
          <cell r="BH36">
            <v>0</v>
          </cell>
          <cell r="BJ36">
            <v>6</v>
          </cell>
          <cell r="BL36">
            <v>0</v>
          </cell>
          <cell r="BN36">
            <v>0</v>
          </cell>
          <cell r="BP36">
            <v>0</v>
          </cell>
        </row>
        <row r="37">
          <cell r="F37">
            <v>289</v>
          </cell>
          <cell r="H37">
            <v>0</v>
          </cell>
          <cell r="J37">
            <v>0</v>
          </cell>
          <cell r="L37">
            <v>0</v>
          </cell>
          <cell r="N37">
            <v>0</v>
          </cell>
          <cell r="P37">
            <v>0</v>
          </cell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285</v>
          </cell>
          <cell r="AH37">
            <v>8</v>
          </cell>
          <cell r="AJ37">
            <v>8</v>
          </cell>
          <cell r="AL37">
            <v>0</v>
          </cell>
          <cell r="AN37">
            <v>147</v>
          </cell>
          <cell r="AP37">
            <v>86</v>
          </cell>
          <cell r="AR37">
            <v>61</v>
          </cell>
          <cell r="AT37">
            <v>12</v>
          </cell>
          <cell r="AV37">
            <v>12</v>
          </cell>
          <cell r="AX37">
            <v>0</v>
          </cell>
          <cell r="AZ37">
            <v>106</v>
          </cell>
          <cell r="BB37">
            <v>0</v>
          </cell>
          <cell r="BD37">
            <v>12</v>
          </cell>
          <cell r="BF37">
            <v>0</v>
          </cell>
          <cell r="BH37">
            <v>4</v>
          </cell>
          <cell r="BJ37">
            <v>0</v>
          </cell>
          <cell r="BL37">
            <v>0</v>
          </cell>
          <cell r="BN37">
            <v>0</v>
          </cell>
          <cell r="BP37">
            <v>0</v>
          </cell>
        </row>
        <row r="38">
          <cell r="F38">
            <v>71</v>
          </cell>
          <cell r="H38">
            <v>0</v>
          </cell>
          <cell r="J38">
            <v>0</v>
          </cell>
          <cell r="L38">
            <v>0</v>
          </cell>
          <cell r="N38">
            <v>0</v>
          </cell>
          <cell r="P38">
            <v>0</v>
          </cell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67</v>
          </cell>
          <cell r="AH38">
            <v>0</v>
          </cell>
          <cell r="AJ38">
            <v>0</v>
          </cell>
          <cell r="AL38">
            <v>0</v>
          </cell>
          <cell r="AN38">
            <v>61</v>
          </cell>
          <cell r="AP38">
            <v>0</v>
          </cell>
          <cell r="AR38">
            <v>61</v>
          </cell>
          <cell r="AT38">
            <v>0</v>
          </cell>
          <cell r="AV38">
            <v>0</v>
          </cell>
          <cell r="AX38">
            <v>0</v>
          </cell>
          <cell r="AZ38">
            <v>6</v>
          </cell>
          <cell r="BB38">
            <v>0</v>
          </cell>
          <cell r="BD38">
            <v>0</v>
          </cell>
          <cell r="BF38">
            <v>0</v>
          </cell>
          <cell r="BH38">
            <v>4</v>
          </cell>
          <cell r="BJ38">
            <v>0</v>
          </cell>
          <cell r="BL38">
            <v>0</v>
          </cell>
          <cell r="BN38">
            <v>0</v>
          </cell>
          <cell r="BP38">
            <v>0</v>
          </cell>
        </row>
        <row r="39">
          <cell r="F39">
            <v>196</v>
          </cell>
          <cell r="H39">
            <v>0</v>
          </cell>
          <cell r="J39">
            <v>0</v>
          </cell>
          <cell r="L39">
            <v>0</v>
          </cell>
          <cell r="N39">
            <v>0</v>
          </cell>
          <cell r="P39">
            <v>0</v>
          </cell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196</v>
          </cell>
          <cell r="AH39">
            <v>8</v>
          </cell>
          <cell r="AJ39">
            <v>8</v>
          </cell>
          <cell r="AL39">
            <v>0</v>
          </cell>
          <cell r="AN39">
            <v>86</v>
          </cell>
          <cell r="AP39">
            <v>86</v>
          </cell>
          <cell r="AR39">
            <v>0</v>
          </cell>
          <cell r="AT39">
            <v>0</v>
          </cell>
          <cell r="AV39">
            <v>0</v>
          </cell>
          <cell r="AX39">
            <v>0</v>
          </cell>
          <cell r="AZ39">
            <v>93</v>
          </cell>
          <cell r="BB39">
            <v>0</v>
          </cell>
          <cell r="BD39">
            <v>9</v>
          </cell>
          <cell r="BF39">
            <v>0</v>
          </cell>
          <cell r="BH39">
            <v>0</v>
          </cell>
          <cell r="BJ39">
            <v>0</v>
          </cell>
          <cell r="BL39">
            <v>0</v>
          </cell>
          <cell r="BN39">
            <v>0</v>
          </cell>
          <cell r="BP39">
            <v>0</v>
          </cell>
        </row>
        <row r="40">
          <cell r="F40">
            <v>7</v>
          </cell>
          <cell r="H40">
            <v>0</v>
          </cell>
          <cell r="J40">
            <v>0</v>
          </cell>
          <cell r="L40">
            <v>0</v>
          </cell>
          <cell r="N40">
            <v>0</v>
          </cell>
          <cell r="P40">
            <v>0</v>
          </cell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7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  <cell r="AV40">
            <v>0</v>
          </cell>
          <cell r="AX40">
            <v>0</v>
          </cell>
          <cell r="AZ40">
            <v>7</v>
          </cell>
          <cell r="BB40">
            <v>0</v>
          </cell>
          <cell r="BD40">
            <v>0</v>
          </cell>
          <cell r="BF40">
            <v>0</v>
          </cell>
          <cell r="BH40">
            <v>0</v>
          </cell>
          <cell r="BJ40">
            <v>0</v>
          </cell>
          <cell r="BL40">
            <v>0</v>
          </cell>
          <cell r="BN40">
            <v>0</v>
          </cell>
          <cell r="BP40">
            <v>0</v>
          </cell>
        </row>
        <row r="41">
          <cell r="F41">
            <v>15</v>
          </cell>
          <cell r="H41">
            <v>0</v>
          </cell>
          <cell r="J41">
            <v>0</v>
          </cell>
          <cell r="L41">
            <v>0</v>
          </cell>
          <cell r="N41">
            <v>0</v>
          </cell>
          <cell r="P41">
            <v>0</v>
          </cell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15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12</v>
          </cell>
          <cell r="AV41">
            <v>12</v>
          </cell>
          <cell r="AX41">
            <v>0</v>
          </cell>
          <cell r="AZ41">
            <v>0</v>
          </cell>
          <cell r="BB41">
            <v>0</v>
          </cell>
          <cell r="BD41">
            <v>3</v>
          </cell>
          <cell r="BF41">
            <v>0</v>
          </cell>
          <cell r="BH41">
            <v>0</v>
          </cell>
          <cell r="BJ41">
            <v>0</v>
          </cell>
          <cell r="BL41">
            <v>0</v>
          </cell>
          <cell r="BN41">
            <v>0</v>
          </cell>
          <cell r="BP41">
            <v>0</v>
          </cell>
        </row>
        <row r="42">
          <cell r="F42">
            <v>82</v>
          </cell>
          <cell r="H42">
            <v>34</v>
          </cell>
          <cell r="J42">
            <v>0</v>
          </cell>
          <cell r="L42">
            <v>0</v>
          </cell>
          <cell r="N42">
            <v>34</v>
          </cell>
          <cell r="P42">
            <v>0</v>
          </cell>
          <cell r="R42">
            <v>0</v>
          </cell>
          <cell r="T42">
            <v>34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42</v>
          </cell>
          <cell r="AH42">
            <v>0</v>
          </cell>
          <cell r="AJ42">
            <v>0</v>
          </cell>
          <cell r="AL42">
            <v>0</v>
          </cell>
          <cell r="AN42">
            <v>13</v>
          </cell>
          <cell r="AP42">
            <v>0</v>
          </cell>
          <cell r="AR42">
            <v>13</v>
          </cell>
          <cell r="AT42">
            <v>29</v>
          </cell>
          <cell r="AV42">
            <v>29</v>
          </cell>
          <cell r="AZ42">
            <v>0</v>
          </cell>
          <cell r="BB42">
            <v>0</v>
          </cell>
          <cell r="BD42">
            <v>0</v>
          </cell>
          <cell r="BF42">
            <v>0</v>
          </cell>
          <cell r="BH42">
            <v>0</v>
          </cell>
          <cell r="BJ42">
            <v>0</v>
          </cell>
          <cell r="BL42">
            <v>0</v>
          </cell>
          <cell r="BN42">
            <v>0</v>
          </cell>
          <cell r="BP42">
            <v>6</v>
          </cell>
        </row>
        <row r="43">
          <cell r="F43">
            <v>0</v>
          </cell>
          <cell r="H43">
            <v>0</v>
          </cell>
          <cell r="J43">
            <v>0</v>
          </cell>
          <cell r="L43">
            <v>0</v>
          </cell>
          <cell r="N43">
            <v>0</v>
          </cell>
          <cell r="P43">
            <v>0</v>
          </cell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  <cell r="AV43">
            <v>0</v>
          </cell>
          <cell r="AX43">
            <v>0</v>
          </cell>
          <cell r="AZ43">
            <v>0</v>
          </cell>
          <cell r="BB43">
            <v>0</v>
          </cell>
          <cell r="BD43">
            <v>0</v>
          </cell>
          <cell r="BF43">
            <v>0</v>
          </cell>
          <cell r="BH43">
            <v>0</v>
          </cell>
          <cell r="BJ43">
            <v>0</v>
          </cell>
          <cell r="BL43">
            <v>0</v>
          </cell>
          <cell r="BN43">
            <v>0</v>
          </cell>
          <cell r="BP43">
            <v>0</v>
          </cell>
        </row>
      </sheetData>
      <sheetData sheetId="7" refreshError="1"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O80">
            <v>0</v>
          </cell>
          <cell r="P80">
            <v>0</v>
          </cell>
          <cell r="R80">
            <v>6</v>
          </cell>
          <cell r="T80">
            <v>7</v>
          </cell>
          <cell r="U80">
            <v>6</v>
          </cell>
          <cell r="V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K80">
            <v>0</v>
          </cell>
          <cell r="AM80">
            <v>0</v>
          </cell>
        </row>
        <row r="81">
          <cell r="C81">
            <v>17</v>
          </cell>
          <cell r="D81">
            <v>7</v>
          </cell>
          <cell r="E81">
            <v>5</v>
          </cell>
          <cell r="F81">
            <v>1</v>
          </cell>
          <cell r="G81">
            <v>0</v>
          </cell>
          <cell r="H81">
            <v>1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O81">
            <v>0</v>
          </cell>
          <cell r="P81">
            <v>0</v>
          </cell>
          <cell r="R81">
            <v>27</v>
          </cell>
          <cell r="T81">
            <v>11</v>
          </cell>
          <cell r="U81">
            <v>3</v>
          </cell>
          <cell r="V81">
            <v>0</v>
          </cell>
          <cell r="Y81">
            <v>11</v>
          </cell>
          <cell r="Z81">
            <v>25</v>
          </cell>
          <cell r="AA81">
            <v>15</v>
          </cell>
          <cell r="AB81">
            <v>0</v>
          </cell>
          <cell r="AC81">
            <v>0</v>
          </cell>
          <cell r="AD81">
            <v>1</v>
          </cell>
          <cell r="AE81">
            <v>5</v>
          </cell>
          <cell r="AF81">
            <v>33</v>
          </cell>
          <cell r="AG81">
            <v>7</v>
          </cell>
          <cell r="AH81">
            <v>14</v>
          </cell>
          <cell r="AI81">
            <v>1</v>
          </cell>
          <cell r="AK81">
            <v>0</v>
          </cell>
          <cell r="AM81">
            <v>0</v>
          </cell>
        </row>
        <row r="82">
          <cell r="C82">
            <v>316.44499999999999</v>
          </cell>
          <cell r="D82">
            <v>106.661</v>
          </cell>
          <cell r="E82">
            <v>20.46</v>
          </cell>
          <cell r="F82">
            <v>2.1080000000000001</v>
          </cell>
          <cell r="G82">
            <v>0</v>
          </cell>
          <cell r="H82">
            <v>22.224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O82">
            <v>0</v>
          </cell>
          <cell r="P82">
            <v>0</v>
          </cell>
          <cell r="R82">
            <v>20.799999999999997</v>
          </cell>
          <cell r="T82">
            <v>15.2</v>
          </cell>
          <cell r="U82">
            <v>4.7</v>
          </cell>
          <cell r="V82">
            <v>0</v>
          </cell>
          <cell r="Y82">
            <v>190.79999999999998</v>
          </cell>
          <cell r="Z82">
            <v>80.2</v>
          </cell>
          <cell r="AA82">
            <v>29.3</v>
          </cell>
          <cell r="AB82">
            <v>0</v>
          </cell>
          <cell r="AC82">
            <v>0</v>
          </cell>
          <cell r="AD82">
            <v>4</v>
          </cell>
          <cell r="AE82">
            <v>21.4</v>
          </cell>
          <cell r="AF82">
            <v>80.599999999999994</v>
          </cell>
          <cell r="AG82">
            <v>2.2999999999999998</v>
          </cell>
          <cell r="AH82">
            <v>23.1</v>
          </cell>
          <cell r="AI82">
            <v>7.8</v>
          </cell>
          <cell r="AK82">
            <v>0</v>
          </cell>
          <cell r="AM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O83">
            <v>0</v>
          </cell>
          <cell r="P83">
            <v>0</v>
          </cell>
          <cell r="R83">
            <v>17</v>
          </cell>
          <cell r="T83">
            <v>4</v>
          </cell>
          <cell r="U83">
            <v>7</v>
          </cell>
          <cell r="V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K83">
            <v>0</v>
          </cell>
          <cell r="AM83">
            <v>0</v>
          </cell>
        </row>
        <row r="84">
          <cell r="C84">
            <v>29</v>
          </cell>
          <cell r="D84">
            <v>2</v>
          </cell>
          <cell r="E84">
            <v>12</v>
          </cell>
          <cell r="F84">
            <v>5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O84">
            <v>0</v>
          </cell>
          <cell r="P84">
            <v>0</v>
          </cell>
          <cell r="R84">
            <v>64</v>
          </cell>
          <cell r="T84">
            <v>4</v>
          </cell>
          <cell r="U84">
            <v>0</v>
          </cell>
          <cell r="V84">
            <v>0</v>
          </cell>
          <cell r="Y84">
            <v>39</v>
          </cell>
          <cell r="Z84">
            <v>71</v>
          </cell>
          <cell r="AA84">
            <v>39</v>
          </cell>
          <cell r="AB84">
            <v>0</v>
          </cell>
          <cell r="AC84">
            <v>0</v>
          </cell>
          <cell r="AD84">
            <v>0</v>
          </cell>
          <cell r="AE84">
            <v>12</v>
          </cell>
          <cell r="AF84">
            <v>30</v>
          </cell>
          <cell r="AG84">
            <v>0</v>
          </cell>
          <cell r="AH84">
            <v>6</v>
          </cell>
          <cell r="AI84">
            <v>27</v>
          </cell>
          <cell r="AK84">
            <v>0</v>
          </cell>
          <cell r="AM84">
            <v>0</v>
          </cell>
        </row>
        <row r="85">
          <cell r="C85">
            <v>371</v>
          </cell>
          <cell r="D85">
            <v>14</v>
          </cell>
          <cell r="E85">
            <v>47</v>
          </cell>
          <cell r="F85">
            <v>19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O85">
            <v>0</v>
          </cell>
          <cell r="P85">
            <v>0</v>
          </cell>
          <cell r="R85">
            <v>72.400000000000006</v>
          </cell>
          <cell r="T85">
            <v>3.4</v>
          </cell>
          <cell r="U85">
            <v>0</v>
          </cell>
          <cell r="V85">
            <v>0</v>
          </cell>
          <cell r="Y85">
            <v>175.7</v>
          </cell>
          <cell r="Z85">
            <v>232.3</v>
          </cell>
          <cell r="AA85">
            <v>105.80000000000001</v>
          </cell>
          <cell r="AB85">
            <v>0</v>
          </cell>
          <cell r="AC85">
            <v>0</v>
          </cell>
          <cell r="AD85">
            <v>0</v>
          </cell>
          <cell r="AE85">
            <v>45.3</v>
          </cell>
          <cell r="AF85">
            <v>36.400000000000006</v>
          </cell>
          <cell r="AG85">
            <v>0</v>
          </cell>
          <cell r="AH85">
            <v>25.6</v>
          </cell>
          <cell r="AI85">
            <v>133.9</v>
          </cell>
          <cell r="AK85">
            <v>0</v>
          </cell>
          <cell r="AM85">
            <v>0</v>
          </cell>
        </row>
        <row r="89"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O89">
            <v>0</v>
          </cell>
          <cell r="P89">
            <v>1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K89">
            <v>0</v>
          </cell>
          <cell r="AM89">
            <v>0</v>
          </cell>
        </row>
        <row r="90">
          <cell r="C90">
            <v>18</v>
          </cell>
          <cell r="D90">
            <v>4</v>
          </cell>
          <cell r="E90">
            <v>3</v>
          </cell>
          <cell r="F90">
            <v>1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O90">
            <v>0</v>
          </cell>
          <cell r="P90">
            <v>198</v>
          </cell>
          <cell r="R90">
            <v>0</v>
          </cell>
          <cell r="T90">
            <v>0</v>
          </cell>
          <cell r="U90">
            <v>0</v>
          </cell>
          <cell r="V90">
            <v>0</v>
          </cell>
          <cell r="Y90">
            <v>40</v>
          </cell>
          <cell r="Z90">
            <v>80</v>
          </cell>
          <cell r="AA90">
            <v>173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11</v>
          </cell>
          <cell r="AG90">
            <v>0</v>
          </cell>
          <cell r="AH90">
            <v>2</v>
          </cell>
          <cell r="AI90">
            <v>0</v>
          </cell>
          <cell r="AK90">
            <v>0</v>
          </cell>
          <cell r="AM90">
            <v>0</v>
          </cell>
        </row>
        <row r="91">
          <cell r="C91">
            <v>708</v>
          </cell>
          <cell r="D91">
            <v>120</v>
          </cell>
          <cell r="E91">
            <v>14</v>
          </cell>
          <cell r="F91">
            <v>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O91">
            <v>0</v>
          </cell>
          <cell r="P91">
            <v>9</v>
          </cell>
          <cell r="R91">
            <v>0</v>
          </cell>
          <cell r="T91">
            <v>0</v>
          </cell>
          <cell r="U91">
            <v>0</v>
          </cell>
          <cell r="V91">
            <v>0</v>
          </cell>
          <cell r="Y91">
            <v>401.5</v>
          </cell>
          <cell r="Z91">
            <v>263.2</v>
          </cell>
          <cell r="AA91">
            <v>569.19999999999993</v>
          </cell>
          <cell r="AB91">
            <v>0</v>
          </cell>
          <cell r="AC91">
            <v>0</v>
          </cell>
          <cell r="AD91">
            <v>0</v>
          </cell>
          <cell r="AE91">
            <v>7</v>
          </cell>
          <cell r="AF91">
            <v>7</v>
          </cell>
          <cell r="AG91">
            <v>0</v>
          </cell>
          <cell r="AH91">
            <v>8.4</v>
          </cell>
          <cell r="AI91">
            <v>0</v>
          </cell>
          <cell r="AK91">
            <v>0</v>
          </cell>
          <cell r="AM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O92">
            <v>0</v>
          </cell>
          <cell r="P92">
            <v>0</v>
          </cell>
          <cell r="R92">
            <v>0</v>
          </cell>
          <cell r="T92">
            <v>0</v>
          </cell>
          <cell r="U92">
            <v>0</v>
          </cell>
          <cell r="V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K92">
            <v>0</v>
          </cell>
          <cell r="AM92">
            <v>0</v>
          </cell>
        </row>
        <row r="93">
          <cell r="C93">
            <v>3</v>
          </cell>
          <cell r="D93">
            <v>0</v>
          </cell>
          <cell r="E93">
            <v>0</v>
          </cell>
          <cell r="F93">
            <v>1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O93">
            <v>0</v>
          </cell>
          <cell r="P93">
            <v>0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Y93">
            <v>5</v>
          </cell>
          <cell r="Z93">
            <v>0</v>
          </cell>
          <cell r="AA93">
            <v>5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4</v>
          </cell>
          <cell r="AI93">
            <v>0</v>
          </cell>
          <cell r="AK93">
            <v>0</v>
          </cell>
          <cell r="AM93">
            <v>0</v>
          </cell>
        </row>
        <row r="94">
          <cell r="C94">
            <v>14.4</v>
          </cell>
          <cell r="D94">
            <v>0</v>
          </cell>
          <cell r="E94">
            <v>0</v>
          </cell>
          <cell r="F94">
            <v>9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O94">
            <v>0</v>
          </cell>
          <cell r="P94">
            <v>0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Y94">
            <v>11.6</v>
          </cell>
          <cell r="Z94">
            <v>0</v>
          </cell>
          <cell r="AA94">
            <v>5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20.100000000000001</v>
          </cell>
          <cell r="AI94">
            <v>0</v>
          </cell>
          <cell r="AK94">
            <v>0</v>
          </cell>
          <cell r="AM94">
            <v>0</v>
          </cell>
        </row>
        <row r="95"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O95">
            <v>0</v>
          </cell>
          <cell r="P95">
            <v>0</v>
          </cell>
          <cell r="R95">
            <v>0</v>
          </cell>
          <cell r="T95">
            <v>1</v>
          </cell>
          <cell r="U95">
            <v>2</v>
          </cell>
          <cell r="V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K95">
            <v>0</v>
          </cell>
          <cell r="AM95">
            <v>0</v>
          </cell>
        </row>
        <row r="96">
          <cell r="C96">
            <v>9</v>
          </cell>
          <cell r="D96">
            <v>0</v>
          </cell>
          <cell r="E96">
            <v>2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O96">
            <v>0</v>
          </cell>
          <cell r="P96">
            <v>0</v>
          </cell>
          <cell r="R96">
            <v>0</v>
          </cell>
          <cell r="T96">
            <v>1</v>
          </cell>
          <cell r="U96">
            <v>0</v>
          </cell>
          <cell r="V96">
            <v>0</v>
          </cell>
          <cell r="Y96">
            <v>20</v>
          </cell>
          <cell r="Z96">
            <v>33</v>
          </cell>
          <cell r="AA96">
            <v>15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1</v>
          </cell>
          <cell r="AH96">
            <v>0</v>
          </cell>
          <cell r="AI96">
            <v>0</v>
          </cell>
          <cell r="AK96">
            <v>0</v>
          </cell>
          <cell r="AM96">
            <v>0</v>
          </cell>
        </row>
        <row r="97">
          <cell r="C97">
            <v>119</v>
          </cell>
          <cell r="D97">
            <v>0</v>
          </cell>
          <cell r="E97">
            <v>10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O97">
            <v>0</v>
          </cell>
          <cell r="P97">
            <v>0</v>
          </cell>
          <cell r="R97">
            <v>0</v>
          </cell>
          <cell r="T97">
            <v>0.5</v>
          </cell>
          <cell r="U97">
            <v>0</v>
          </cell>
          <cell r="V97">
            <v>0</v>
          </cell>
          <cell r="Y97">
            <v>150.5</v>
          </cell>
          <cell r="Z97">
            <v>41.5</v>
          </cell>
          <cell r="AA97">
            <v>12.5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0.9</v>
          </cell>
          <cell r="AH97">
            <v>0</v>
          </cell>
          <cell r="AI97">
            <v>0</v>
          </cell>
          <cell r="AK97">
            <v>0</v>
          </cell>
          <cell r="AM97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O101">
            <v>0</v>
          </cell>
          <cell r="P101">
            <v>0</v>
          </cell>
          <cell r="R101">
            <v>0</v>
          </cell>
          <cell r="T101">
            <v>0</v>
          </cell>
          <cell r="U101">
            <v>0</v>
          </cell>
          <cell r="V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K101">
            <v>0</v>
          </cell>
          <cell r="AM101">
            <v>0</v>
          </cell>
        </row>
        <row r="102">
          <cell r="C102">
            <v>1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O102">
            <v>0</v>
          </cell>
          <cell r="P102">
            <v>0</v>
          </cell>
          <cell r="R102">
            <v>0</v>
          </cell>
          <cell r="T102">
            <v>0</v>
          </cell>
          <cell r="U102">
            <v>0</v>
          </cell>
          <cell r="V102">
            <v>0</v>
          </cell>
          <cell r="Y102">
            <v>0</v>
          </cell>
          <cell r="Z102">
            <v>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K102">
            <v>0</v>
          </cell>
          <cell r="AM102">
            <v>0</v>
          </cell>
        </row>
        <row r="103">
          <cell r="C103">
            <v>34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O103">
            <v>0</v>
          </cell>
          <cell r="P103">
            <v>0</v>
          </cell>
          <cell r="R103">
            <v>0</v>
          </cell>
          <cell r="T103">
            <v>0</v>
          </cell>
          <cell r="U103">
            <v>0</v>
          </cell>
          <cell r="V103">
            <v>0</v>
          </cell>
          <cell r="Y103">
            <v>0</v>
          </cell>
          <cell r="Z103">
            <v>20.5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K103">
            <v>0</v>
          </cell>
          <cell r="AM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O104">
            <v>0</v>
          </cell>
          <cell r="P104">
            <v>0</v>
          </cell>
          <cell r="R104">
            <v>4</v>
          </cell>
          <cell r="T104">
            <v>2</v>
          </cell>
          <cell r="U104">
            <v>7</v>
          </cell>
          <cell r="V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K104">
            <v>0</v>
          </cell>
          <cell r="AM104">
            <v>0</v>
          </cell>
        </row>
        <row r="105">
          <cell r="C105">
            <v>2</v>
          </cell>
          <cell r="D105">
            <v>3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O105">
            <v>0</v>
          </cell>
          <cell r="P105">
            <v>0</v>
          </cell>
          <cell r="R105">
            <v>11</v>
          </cell>
          <cell r="T105">
            <v>2</v>
          </cell>
          <cell r="U105">
            <v>8</v>
          </cell>
          <cell r="V105">
            <v>0</v>
          </cell>
          <cell r="Y105">
            <v>3</v>
          </cell>
          <cell r="Z105">
            <v>15</v>
          </cell>
          <cell r="AA105">
            <v>3</v>
          </cell>
          <cell r="AB105">
            <v>0</v>
          </cell>
          <cell r="AC105">
            <v>2</v>
          </cell>
          <cell r="AD105">
            <v>0</v>
          </cell>
          <cell r="AE105">
            <v>0</v>
          </cell>
          <cell r="AF105">
            <v>0</v>
          </cell>
          <cell r="AG105">
            <v>10</v>
          </cell>
          <cell r="AH105">
            <v>1</v>
          </cell>
          <cell r="AI105">
            <v>13</v>
          </cell>
          <cell r="AK105">
            <v>0</v>
          </cell>
          <cell r="AM105">
            <v>0</v>
          </cell>
        </row>
        <row r="106">
          <cell r="C106">
            <v>17.3</v>
          </cell>
          <cell r="D106">
            <v>31.2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O106">
            <v>0</v>
          </cell>
          <cell r="P106">
            <v>0</v>
          </cell>
          <cell r="R106">
            <v>5.2399999999999993</v>
          </cell>
          <cell r="T106">
            <v>0.75</v>
          </cell>
          <cell r="U106">
            <v>2.94</v>
          </cell>
          <cell r="V106">
            <v>0</v>
          </cell>
          <cell r="Y106">
            <v>33.46</v>
          </cell>
          <cell r="Z106">
            <v>25.75</v>
          </cell>
          <cell r="AA106">
            <v>3.03</v>
          </cell>
          <cell r="AB106">
            <v>0</v>
          </cell>
          <cell r="AC106">
            <v>2.52</v>
          </cell>
          <cell r="AD106">
            <v>0</v>
          </cell>
          <cell r="AE106">
            <v>0</v>
          </cell>
          <cell r="AF106">
            <v>0</v>
          </cell>
          <cell r="AG106">
            <v>4.08</v>
          </cell>
          <cell r="AH106">
            <v>0.2</v>
          </cell>
          <cell r="AI106">
            <v>81.08</v>
          </cell>
          <cell r="AK106">
            <v>0</v>
          </cell>
          <cell r="AM106">
            <v>0</v>
          </cell>
        </row>
        <row r="107"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O107">
            <v>0</v>
          </cell>
          <cell r="P107">
            <v>0</v>
          </cell>
          <cell r="R107">
            <v>3</v>
          </cell>
          <cell r="T107">
            <v>0</v>
          </cell>
          <cell r="U107">
            <v>2</v>
          </cell>
          <cell r="V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K107">
            <v>0</v>
          </cell>
          <cell r="AM107">
            <v>0</v>
          </cell>
        </row>
        <row r="108">
          <cell r="C108">
            <v>5</v>
          </cell>
          <cell r="D108">
            <v>0</v>
          </cell>
          <cell r="E108">
            <v>8</v>
          </cell>
          <cell r="F108">
            <v>2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O108">
            <v>0</v>
          </cell>
          <cell r="P108">
            <v>0</v>
          </cell>
          <cell r="R108">
            <v>17</v>
          </cell>
          <cell r="T108">
            <v>0</v>
          </cell>
          <cell r="U108">
            <v>2</v>
          </cell>
          <cell r="V108">
            <v>0</v>
          </cell>
          <cell r="Y108">
            <v>12</v>
          </cell>
          <cell r="Z108">
            <v>20</v>
          </cell>
          <cell r="AA108">
            <v>8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6</v>
          </cell>
          <cell r="AH108">
            <v>5</v>
          </cell>
          <cell r="AI108">
            <v>1</v>
          </cell>
          <cell r="AK108">
            <v>0</v>
          </cell>
          <cell r="AM108">
            <v>0</v>
          </cell>
        </row>
        <row r="109">
          <cell r="C109">
            <v>90.3232</v>
          </cell>
          <cell r="D109">
            <v>0</v>
          </cell>
          <cell r="E109">
            <v>51.805819999999997</v>
          </cell>
          <cell r="F109">
            <v>19.200000000000003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O109">
            <v>0</v>
          </cell>
          <cell r="P109">
            <v>0</v>
          </cell>
          <cell r="R109">
            <v>5.52</v>
          </cell>
          <cell r="T109">
            <v>0</v>
          </cell>
          <cell r="U109">
            <v>3.01</v>
          </cell>
          <cell r="V109">
            <v>0</v>
          </cell>
          <cell r="Y109">
            <v>70.72</v>
          </cell>
          <cell r="Z109">
            <v>59.79</v>
          </cell>
          <cell r="AA109">
            <v>22.060000000000002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5.83</v>
          </cell>
          <cell r="AH109">
            <v>3.54</v>
          </cell>
          <cell r="AI109">
            <v>10.4</v>
          </cell>
          <cell r="AK109">
            <v>0</v>
          </cell>
          <cell r="AM109">
            <v>0</v>
          </cell>
        </row>
        <row r="110"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O110">
            <v>0</v>
          </cell>
          <cell r="P110">
            <v>0</v>
          </cell>
          <cell r="R110">
            <v>3</v>
          </cell>
          <cell r="T110">
            <v>5</v>
          </cell>
          <cell r="U110">
            <v>0</v>
          </cell>
          <cell r="V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K110">
            <v>0</v>
          </cell>
          <cell r="AM110">
            <v>0</v>
          </cell>
        </row>
        <row r="111">
          <cell r="C111">
            <v>12</v>
          </cell>
          <cell r="D111">
            <v>0</v>
          </cell>
          <cell r="E111">
            <v>3</v>
          </cell>
          <cell r="F111">
            <v>2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7</v>
          </cell>
          <cell r="T111">
            <v>6</v>
          </cell>
          <cell r="U111">
            <v>0</v>
          </cell>
          <cell r="V111">
            <v>0</v>
          </cell>
          <cell r="Y111">
            <v>33</v>
          </cell>
          <cell r="Z111">
            <v>82</v>
          </cell>
          <cell r="AA111">
            <v>18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24</v>
          </cell>
          <cell r="AH111">
            <v>9</v>
          </cell>
          <cell r="AI111">
            <v>0</v>
          </cell>
          <cell r="AK111">
            <v>0</v>
          </cell>
          <cell r="AM111">
            <v>0</v>
          </cell>
        </row>
        <row r="112">
          <cell r="C112">
            <v>69.63</v>
          </cell>
          <cell r="D112">
            <v>0</v>
          </cell>
          <cell r="E112">
            <v>9.9</v>
          </cell>
          <cell r="F112">
            <v>0.5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O112">
            <v>0</v>
          </cell>
          <cell r="P112">
            <v>0</v>
          </cell>
          <cell r="R112">
            <v>1.59</v>
          </cell>
          <cell r="T112">
            <v>7.78</v>
          </cell>
          <cell r="U112">
            <v>0</v>
          </cell>
          <cell r="V112">
            <v>0</v>
          </cell>
          <cell r="Y112">
            <v>80.33</v>
          </cell>
          <cell r="Z112">
            <v>102.76</v>
          </cell>
          <cell r="AA112">
            <v>10.47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6.2</v>
          </cell>
          <cell r="AH112">
            <v>17.850000000000001</v>
          </cell>
          <cell r="AI112">
            <v>0</v>
          </cell>
          <cell r="AK112">
            <v>0</v>
          </cell>
          <cell r="AM112">
            <v>0</v>
          </cell>
        </row>
        <row r="116"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O116">
            <v>1</v>
          </cell>
          <cell r="P116">
            <v>0</v>
          </cell>
          <cell r="R116">
            <v>3</v>
          </cell>
          <cell r="T116">
            <v>0</v>
          </cell>
          <cell r="U116">
            <v>20</v>
          </cell>
          <cell r="V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K116">
            <v>0</v>
          </cell>
          <cell r="AM116">
            <v>0</v>
          </cell>
        </row>
        <row r="117">
          <cell r="C117">
            <v>6</v>
          </cell>
          <cell r="D117">
            <v>2</v>
          </cell>
          <cell r="E117">
            <v>0</v>
          </cell>
          <cell r="F117">
            <v>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O117">
            <v>852</v>
          </cell>
          <cell r="P117">
            <v>0</v>
          </cell>
          <cell r="R117">
            <v>116</v>
          </cell>
          <cell r="T117">
            <v>0</v>
          </cell>
          <cell r="U117">
            <v>27</v>
          </cell>
          <cell r="V117">
            <v>0</v>
          </cell>
          <cell r="Y117">
            <v>7</v>
          </cell>
          <cell r="Z117">
            <v>6</v>
          </cell>
          <cell r="AA117">
            <v>13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3</v>
          </cell>
          <cell r="AK117">
            <v>0</v>
          </cell>
          <cell r="AM117">
            <v>0</v>
          </cell>
        </row>
        <row r="118">
          <cell r="C118">
            <v>262</v>
          </cell>
          <cell r="D118">
            <v>64</v>
          </cell>
          <cell r="E118">
            <v>0</v>
          </cell>
          <cell r="F118">
            <v>6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O118">
            <v>238</v>
          </cell>
          <cell r="P118">
            <v>0</v>
          </cell>
          <cell r="R118">
            <v>351</v>
          </cell>
          <cell r="T118">
            <v>0</v>
          </cell>
          <cell r="U118">
            <v>34</v>
          </cell>
          <cell r="V118">
            <v>0</v>
          </cell>
          <cell r="Y118">
            <v>32</v>
          </cell>
          <cell r="Z118">
            <v>13</v>
          </cell>
          <cell r="AA118">
            <v>35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9</v>
          </cell>
          <cell r="AK118">
            <v>0</v>
          </cell>
          <cell r="AM118">
            <v>0</v>
          </cell>
        </row>
        <row r="119"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O119">
            <v>2</v>
          </cell>
          <cell r="P119">
            <v>0</v>
          </cell>
          <cell r="R119">
            <v>0</v>
          </cell>
          <cell r="T119">
            <v>0</v>
          </cell>
          <cell r="U119">
            <v>2</v>
          </cell>
          <cell r="V119">
            <v>4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K119">
            <v>0</v>
          </cell>
          <cell r="AM119">
            <v>0</v>
          </cell>
        </row>
        <row r="120">
          <cell r="C120">
            <v>1</v>
          </cell>
          <cell r="D120">
            <v>0</v>
          </cell>
          <cell r="E120">
            <v>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O120">
            <v>143</v>
          </cell>
          <cell r="P120">
            <v>0</v>
          </cell>
          <cell r="R120">
            <v>0</v>
          </cell>
          <cell r="T120">
            <v>0</v>
          </cell>
          <cell r="U120">
            <v>5</v>
          </cell>
          <cell r="V120">
            <v>23</v>
          </cell>
          <cell r="Y120">
            <v>22</v>
          </cell>
          <cell r="Z120">
            <v>19</v>
          </cell>
          <cell r="AA120">
            <v>37</v>
          </cell>
          <cell r="AB120">
            <v>0</v>
          </cell>
          <cell r="AC120">
            <v>0</v>
          </cell>
          <cell r="AD120">
            <v>4</v>
          </cell>
          <cell r="AE120">
            <v>4</v>
          </cell>
          <cell r="AF120">
            <v>0</v>
          </cell>
          <cell r="AG120">
            <v>3</v>
          </cell>
          <cell r="AH120">
            <v>0</v>
          </cell>
          <cell r="AI120">
            <v>9</v>
          </cell>
          <cell r="AK120">
            <v>0</v>
          </cell>
          <cell r="AM120">
            <v>0</v>
          </cell>
        </row>
        <row r="121">
          <cell r="C121">
            <v>7</v>
          </cell>
          <cell r="D121">
            <v>0</v>
          </cell>
          <cell r="E121">
            <v>22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O121">
            <v>24</v>
          </cell>
          <cell r="P121">
            <v>0</v>
          </cell>
          <cell r="R121">
            <v>0</v>
          </cell>
          <cell r="T121">
            <v>0</v>
          </cell>
          <cell r="U121">
            <v>17</v>
          </cell>
          <cell r="V121">
            <v>0</v>
          </cell>
          <cell r="Y121">
            <v>40</v>
          </cell>
          <cell r="Z121">
            <v>91</v>
          </cell>
          <cell r="AA121">
            <v>36</v>
          </cell>
          <cell r="AB121">
            <v>0</v>
          </cell>
          <cell r="AC121">
            <v>0</v>
          </cell>
          <cell r="AD121">
            <v>8</v>
          </cell>
          <cell r="AE121">
            <v>23</v>
          </cell>
          <cell r="AF121">
            <v>0</v>
          </cell>
          <cell r="AG121">
            <v>3</v>
          </cell>
          <cell r="AH121">
            <v>0</v>
          </cell>
          <cell r="AI121">
            <v>42</v>
          </cell>
          <cell r="AK121">
            <v>0</v>
          </cell>
          <cell r="AM121">
            <v>0</v>
          </cell>
        </row>
        <row r="122"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O122">
            <v>1</v>
          </cell>
          <cell r="P122">
            <v>0</v>
          </cell>
          <cell r="R122">
            <v>2</v>
          </cell>
          <cell r="T122">
            <v>0</v>
          </cell>
          <cell r="U122">
            <v>0</v>
          </cell>
          <cell r="V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K122">
            <v>0</v>
          </cell>
          <cell r="AM122">
            <v>0</v>
          </cell>
        </row>
        <row r="123"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O123">
            <v>7</v>
          </cell>
          <cell r="P123">
            <v>0</v>
          </cell>
          <cell r="R123">
            <v>5</v>
          </cell>
          <cell r="T123">
            <v>0</v>
          </cell>
          <cell r="U123">
            <v>0</v>
          </cell>
          <cell r="V123">
            <v>0</v>
          </cell>
          <cell r="Y123">
            <v>0</v>
          </cell>
          <cell r="Z123">
            <v>2</v>
          </cell>
          <cell r="AA123">
            <v>0</v>
          </cell>
          <cell r="AB123">
            <v>0</v>
          </cell>
          <cell r="AC123">
            <v>15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K123">
            <v>0</v>
          </cell>
          <cell r="AM123">
            <v>0</v>
          </cell>
        </row>
        <row r="124"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O124">
            <v>3</v>
          </cell>
          <cell r="P124">
            <v>0</v>
          </cell>
          <cell r="R124">
            <v>21</v>
          </cell>
          <cell r="T124">
            <v>0</v>
          </cell>
          <cell r="U124">
            <v>0</v>
          </cell>
          <cell r="V124">
            <v>0</v>
          </cell>
          <cell r="Y124">
            <v>0</v>
          </cell>
          <cell r="Z124">
            <v>57</v>
          </cell>
          <cell r="AA124">
            <v>0</v>
          </cell>
          <cell r="AB124">
            <v>0</v>
          </cell>
          <cell r="AC124">
            <v>120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K124">
            <v>0</v>
          </cell>
          <cell r="AM124">
            <v>0</v>
          </cell>
        </row>
        <row r="125"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O125">
            <v>1</v>
          </cell>
          <cell r="P125">
            <v>0</v>
          </cell>
          <cell r="R125">
            <v>1</v>
          </cell>
          <cell r="T125">
            <v>0</v>
          </cell>
          <cell r="U125">
            <v>2</v>
          </cell>
          <cell r="V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K125">
            <v>0</v>
          </cell>
          <cell r="AM125">
            <v>0</v>
          </cell>
        </row>
        <row r="126">
          <cell r="C126">
            <v>2</v>
          </cell>
          <cell r="D126">
            <v>4</v>
          </cell>
          <cell r="E126">
            <v>1</v>
          </cell>
          <cell r="F126">
            <v>1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O126">
            <v>141</v>
          </cell>
          <cell r="P126">
            <v>0</v>
          </cell>
          <cell r="R126">
            <v>19</v>
          </cell>
          <cell r="T126">
            <v>0</v>
          </cell>
          <cell r="U126">
            <v>2</v>
          </cell>
          <cell r="V126">
            <v>0</v>
          </cell>
          <cell r="Y126">
            <v>1</v>
          </cell>
          <cell r="Z126">
            <v>11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K126">
            <v>0</v>
          </cell>
          <cell r="AM126">
            <v>0</v>
          </cell>
        </row>
        <row r="127">
          <cell r="C127">
            <v>31</v>
          </cell>
          <cell r="D127">
            <v>56</v>
          </cell>
          <cell r="E127">
            <v>1</v>
          </cell>
          <cell r="F127">
            <v>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O127">
            <v>50</v>
          </cell>
          <cell r="P127">
            <v>0</v>
          </cell>
          <cell r="R127">
            <v>71</v>
          </cell>
          <cell r="T127">
            <v>0</v>
          </cell>
          <cell r="U127">
            <v>2</v>
          </cell>
          <cell r="V127">
            <v>0</v>
          </cell>
          <cell r="Y127">
            <v>4</v>
          </cell>
          <cell r="Z127">
            <v>27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K127">
            <v>0</v>
          </cell>
          <cell r="AM127">
            <v>0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O131">
            <v>0</v>
          </cell>
          <cell r="P131">
            <v>0</v>
          </cell>
          <cell r="R131">
            <v>0</v>
          </cell>
          <cell r="T131">
            <v>0</v>
          </cell>
          <cell r="U131">
            <v>0</v>
          </cell>
          <cell r="V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K131">
            <v>0</v>
          </cell>
          <cell r="AM131">
            <v>0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O132">
            <v>0</v>
          </cell>
          <cell r="P132">
            <v>0</v>
          </cell>
          <cell r="R132">
            <v>0</v>
          </cell>
          <cell r="T132">
            <v>0</v>
          </cell>
          <cell r="U132">
            <v>0</v>
          </cell>
          <cell r="V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27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K132">
            <v>0</v>
          </cell>
          <cell r="AM132">
            <v>0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O133">
            <v>0</v>
          </cell>
          <cell r="P133">
            <v>0</v>
          </cell>
          <cell r="R133">
            <v>0</v>
          </cell>
          <cell r="T133">
            <v>0</v>
          </cell>
          <cell r="U133">
            <v>0</v>
          </cell>
          <cell r="V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K133">
            <v>0</v>
          </cell>
          <cell r="AM133">
            <v>0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O134">
            <v>0</v>
          </cell>
          <cell r="P134">
            <v>0</v>
          </cell>
          <cell r="R134">
            <v>0</v>
          </cell>
          <cell r="T134">
            <v>0</v>
          </cell>
          <cell r="U134">
            <v>0</v>
          </cell>
          <cell r="V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K134">
            <v>0</v>
          </cell>
          <cell r="AM134">
            <v>0</v>
          </cell>
        </row>
        <row r="135"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O135">
            <v>0</v>
          </cell>
          <cell r="P135">
            <v>0</v>
          </cell>
          <cell r="R135">
            <v>11</v>
          </cell>
          <cell r="T135">
            <v>0</v>
          </cell>
          <cell r="U135">
            <v>0</v>
          </cell>
          <cell r="V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15</v>
          </cell>
          <cell r="AK135">
            <v>0</v>
          </cell>
          <cell r="AM135">
            <v>0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O136">
            <v>0</v>
          </cell>
          <cell r="P136">
            <v>0</v>
          </cell>
          <cell r="R136">
            <v>53</v>
          </cell>
          <cell r="T136">
            <v>0</v>
          </cell>
          <cell r="U136">
            <v>0</v>
          </cell>
          <cell r="V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15</v>
          </cell>
          <cell r="AK136">
            <v>0</v>
          </cell>
          <cell r="AM136">
            <v>0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O140">
            <v>0</v>
          </cell>
          <cell r="P140">
            <v>0</v>
          </cell>
          <cell r="R140">
            <v>1</v>
          </cell>
          <cell r="T140">
            <v>0</v>
          </cell>
          <cell r="U140">
            <v>0</v>
          </cell>
          <cell r="V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K140">
            <v>0</v>
          </cell>
          <cell r="AM140">
            <v>0</v>
          </cell>
        </row>
        <row r="141">
          <cell r="C141">
            <v>1</v>
          </cell>
          <cell r="D141">
            <v>1</v>
          </cell>
          <cell r="E141">
            <v>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O141">
            <v>0</v>
          </cell>
          <cell r="P141">
            <v>0</v>
          </cell>
          <cell r="R141">
            <v>12</v>
          </cell>
          <cell r="T141">
            <v>0</v>
          </cell>
          <cell r="U141">
            <v>0</v>
          </cell>
          <cell r="V141">
            <v>0</v>
          </cell>
          <cell r="Y141">
            <v>0</v>
          </cell>
          <cell r="Z141">
            <v>4</v>
          </cell>
          <cell r="AA141">
            <v>1</v>
          </cell>
          <cell r="AB141">
            <v>0</v>
          </cell>
          <cell r="AC141">
            <v>0</v>
          </cell>
          <cell r="AD141">
            <v>0</v>
          </cell>
          <cell r="AE141">
            <v>1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K141">
            <v>0</v>
          </cell>
          <cell r="AM141">
            <v>0</v>
          </cell>
        </row>
        <row r="142">
          <cell r="C142">
            <v>17.3</v>
          </cell>
          <cell r="D142">
            <v>30.4</v>
          </cell>
          <cell r="E142">
            <v>21.6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O142">
            <v>0</v>
          </cell>
          <cell r="P142">
            <v>0</v>
          </cell>
          <cell r="R142">
            <v>18.8</v>
          </cell>
          <cell r="T142">
            <v>0</v>
          </cell>
          <cell r="U142">
            <v>0</v>
          </cell>
          <cell r="V142">
            <v>0</v>
          </cell>
          <cell r="Y142">
            <v>0</v>
          </cell>
          <cell r="Z142">
            <v>40.299999999999997</v>
          </cell>
          <cell r="AA142">
            <v>6.3</v>
          </cell>
          <cell r="AB142">
            <v>0</v>
          </cell>
          <cell r="AC142">
            <v>0</v>
          </cell>
          <cell r="AD142">
            <v>0</v>
          </cell>
          <cell r="AE142">
            <v>8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K142">
            <v>0</v>
          </cell>
          <cell r="AM142">
            <v>0</v>
          </cell>
        </row>
        <row r="152"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O152">
            <v>14</v>
          </cell>
          <cell r="P152">
            <v>87</v>
          </cell>
          <cell r="R152">
            <v>397</v>
          </cell>
          <cell r="T152">
            <v>84</v>
          </cell>
          <cell r="U152">
            <v>289</v>
          </cell>
          <cell r="V152">
            <v>2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K152">
            <v>0</v>
          </cell>
          <cell r="AM152">
            <v>0</v>
          </cell>
        </row>
        <row r="153">
          <cell r="C153">
            <v>1153</v>
          </cell>
          <cell r="D153">
            <v>454</v>
          </cell>
          <cell r="E153">
            <v>440</v>
          </cell>
          <cell r="F153">
            <v>146</v>
          </cell>
          <cell r="G153">
            <v>125</v>
          </cell>
          <cell r="H153">
            <v>111</v>
          </cell>
          <cell r="I153">
            <v>6</v>
          </cell>
          <cell r="J153">
            <v>1</v>
          </cell>
          <cell r="K153">
            <v>2</v>
          </cell>
          <cell r="L153">
            <v>8</v>
          </cell>
          <cell r="O153">
            <v>460</v>
          </cell>
          <cell r="P153">
            <v>915</v>
          </cell>
          <cell r="R153">
            <v>2148</v>
          </cell>
          <cell r="T153">
            <v>99</v>
          </cell>
          <cell r="U153">
            <v>593</v>
          </cell>
          <cell r="V153">
            <v>0</v>
          </cell>
          <cell r="Y153">
            <v>314</v>
          </cell>
          <cell r="Z153">
            <v>928</v>
          </cell>
          <cell r="AA153">
            <v>1813</v>
          </cell>
          <cell r="AB153">
            <v>67</v>
          </cell>
          <cell r="AC153">
            <v>10</v>
          </cell>
          <cell r="AD153">
            <v>237</v>
          </cell>
          <cell r="AE153">
            <v>364</v>
          </cell>
          <cell r="AF153">
            <v>1891</v>
          </cell>
          <cell r="AG153">
            <v>593</v>
          </cell>
          <cell r="AH153">
            <v>746</v>
          </cell>
          <cell r="AI153">
            <v>1164</v>
          </cell>
          <cell r="AK153">
            <v>0</v>
          </cell>
          <cell r="AM153">
            <v>0</v>
          </cell>
        </row>
        <row r="154">
          <cell r="C154">
            <v>18793.66</v>
          </cell>
          <cell r="D154">
            <v>8731.2569999999996</v>
          </cell>
          <cell r="E154">
            <v>1791.845</v>
          </cell>
          <cell r="F154">
            <v>472.43700000000001</v>
          </cell>
          <cell r="G154">
            <v>1270.7080000000001</v>
          </cell>
          <cell r="H154">
            <v>981.875</v>
          </cell>
          <cell r="I154">
            <v>31.18</v>
          </cell>
          <cell r="J154">
            <v>8.1820000000000004</v>
          </cell>
          <cell r="K154">
            <v>71.531000000000006</v>
          </cell>
          <cell r="L154">
            <v>55.764000000000003</v>
          </cell>
          <cell r="O154">
            <v>233.3</v>
          </cell>
          <cell r="P154">
            <v>962.1</v>
          </cell>
          <cell r="R154">
            <v>2459.75</v>
          </cell>
          <cell r="T154">
            <v>226.89999999999998</v>
          </cell>
          <cell r="U154">
            <v>967.2</v>
          </cell>
          <cell r="V154">
            <v>0</v>
          </cell>
          <cell r="Y154">
            <v>3468.6000000000004</v>
          </cell>
          <cell r="Z154">
            <v>4734.3</v>
          </cell>
          <cell r="AA154">
            <v>3617.8300000000004</v>
          </cell>
          <cell r="AB154">
            <v>130.5</v>
          </cell>
          <cell r="AC154">
            <v>37.799999999999997</v>
          </cell>
          <cell r="AD154">
            <v>1076.5999999999999</v>
          </cell>
          <cell r="AE154">
            <v>1956.94</v>
          </cell>
          <cell r="AF154">
            <v>3209.17</v>
          </cell>
          <cell r="AG154">
            <v>520.09999999999991</v>
          </cell>
          <cell r="AH154">
            <v>3053.1</v>
          </cell>
          <cell r="AI154">
            <v>5135.2</v>
          </cell>
          <cell r="AK154">
            <v>0</v>
          </cell>
          <cell r="AM154">
            <v>0</v>
          </cell>
        </row>
        <row r="155"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O155">
            <v>9</v>
          </cell>
          <cell r="P155">
            <v>85</v>
          </cell>
          <cell r="R155">
            <v>587</v>
          </cell>
          <cell r="T155">
            <v>221</v>
          </cell>
          <cell r="U155">
            <v>414</v>
          </cell>
          <cell r="V155">
            <v>4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K155">
            <v>0</v>
          </cell>
          <cell r="AM155">
            <v>0</v>
          </cell>
        </row>
        <row r="156">
          <cell r="C156">
            <v>1806</v>
          </cell>
          <cell r="D156">
            <v>347</v>
          </cell>
          <cell r="E156">
            <v>970</v>
          </cell>
          <cell r="F156">
            <v>141</v>
          </cell>
          <cell r="G156">
            <v>39</v>
          </cell>
          <cell r="H156">
            <v>44</v>
          </cell>
          <cell r="I156">
            <v>1</v>
          </cell>
          <cell r="J156">
            <v>2</v>
          </cell>
          <cell r="K156">
            <v>24</v>
          </cell>
          <cell r="L156">
            <v>2</v>
          </cell>
          <cell r="O156">
            <v>593</v>
          </cell>
          <cell r="P156">
            <v>789</v>
          </cell>
          <cell r="R156">
            <v>2874</v>
          </cell>
          <cell r="T156">
            <v>219</v>
          </cell>
          <cell r="U156">
            <v>1373</v>
          </cell>
          <cell r="V156">
            <v>0</v>
          </cell>
          <cell r="Y156">
            <v>3415</v>
          </cell>
          <cell r="Z156">
            <v>2311</v>
          </cell>
          <cell r="AA156">
            <v>2452</v>
          </cell>
          <cell r="AB156">
            <v>60</v>
          </cell>
          <cell r="AC156">
            <v>66</v>
          </cell>
          <cell r="AD156">
            <v>166</v>
          </cell>
          <cell r="AE156">
            <v>826</v>
          </cell>
          <cell r="AF156">
            <v>1531</v>
          </cell>
          <cell r="AG156">
            <v>28</v>
          </cell>
          <cell r="AH156">
            <v>821</v>
          </cell>
          <cell r="AI156">
            <v>1109</v>
          </cell>
          <cell r="AK156">
            <v>0</v>
          </cell>
          <cell r="AM156">
            <v>0</v>
          </cell>
        </row>
        <row r="157">
          <cell r="C157">
            <v>30393</v>
          </cell>
          <cell r="D157">
            <v>6261</v>
          </cell>
          <cell r="E157">
            <v>4350</v>
          </cell>
          <cell r="F157">
            <v>553</v>
          </cell>
          <cell r="G157">
            <v>365</v>
          </cell>
          <cell r="H157">
            <v>454</v>
          </cell>
          <cell r="I157">
            <v>5</v>
          </cell>
          <cell r="J157">
            <v>12</v>
          </cell>
          <cell r="K157">
            <v>110</v>
          </cell>
          <cell r="L157">
            <v>9</v>
          </cell>
          <cell r="O157">
            <v>426.1</v>
          </cell>
          <cell r="P157">
            <v>715.7</v>
          </cell>
          <cell r="R157">
            <v>4406.7999999999993</v>
          </cell>
          <cell r="T157">
            <v>312.2</v>
          </cell>
          <cell r="U157">
            <v>2128.4</v>
          </cell>
          <cell r="V157">
            <v>0</v>
          </cell>
          <cell r="Y157">
            <v>17432.600000000002</v>
          </cell>
          <cell r="Z157">
            <v>9328.9</v>
          </cell>
          <cell r="AA157">
            <v>6208.2</v>
          </cell>
          <cell r="AB157">
            <v>157.9</v>
          </cell>
          <cell r="AC157">
            <v>234.3</v>
          </cell>
          <cell r="AD157">
            <v>538.5</v>
          </cell>
          <cell r="AE157">
            <v>2987.4</v>
          </cell>
          <cell r="AF157">
            <v>2315.2000000000003</v>
          </cell>
          <cell r="AG157">
            <v>90.1</v>
          </cell>
          <cell r="AH157">
            <v>3167.1</v>
          </cell>
          <cell r="AI157">
            <v>4689.8999999999996</v>
          </cell>
          <cell r="AK157">
            <v>0</v>
          </cell>
          <cell r="AM157">
            <v>0</v>
          </cell>
        </row>
        <row r="161"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O161">
            <v>10</v>
          </cell>
          <cell r="P161">
            <v>30</v>
          </cell>
          <cell r="R161">
            <v>147</v>
          </cell>
          <cell r="T161">
            <v>12</v>
          </cell>
          <cell r="U161">
            <v>92</v>
          </cell>
          <cell r="V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K161">
            <v>0</v>
          </cell>
          <cell r="AM161">
            <v>0</v>
          </cell>
        </row>
        <row r="162">
          <cell r="C162">
            <v>780</v>
          </cell>
          <cell r="D162">
            <v>120</v>
          </cell>
          <cell r="E162">
            <v>128</v>
          </cell>
          <cell r="F162">
            <v>39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11</v>
          </cell>
          <cell r="L162">
            <v>2</v>
          </cell>
          <cell r="O162">
            <v>482</v>
          </cell>
          <cell r="P162">
            <v>637</v>
          </cell>
          <cell r="R162">
            <v>839</v>
          </cell>
          <cell r="T162">
            <v>12</v>
          </cell>
          <cell r="U162">
            <v>157</v>
          </cell>
          <cell r="V162">
            <v>0</v>
          </cell>
          <cell r="Y162">
            <v>1241</v>
          </cell>
          <cell r="Z162">
            <v>2797</v>
          </cell>
          <cell r="AA162">
            <v>4863</v>
          </cell>
          <cell r="AB162">
            <v>0</v>
          </cell>
          <cell r="AC162">
            <v>86</v>
          </cell>
          <cell r="AD162">
            <v>1</v>
          </cell>
          <cell r="AE162">
            <v>247</v>
          </cell>
          <cell r="AF162">
            <v>533</v>
          </cell>
          <cell r="AG162">
            <v>203</v>
          </cell>
          <cell r="AH162">
            <v>164</v>
          </cell>
          <cell r="AI162">
            <v>145</v>
          </cell>
          <cell r="AK162">
            <v>0</v>
          </cell>
          <cell r="AM162">
            <v>0</v>
          </cell>
        </row>
        <row r="163">
          <cell r="C163">
            <v>23463.200000000001</v>
          </cell>
          <cell r="D163">
            <v>5069.8999999999996</v>
          </cell>
          <cell r="E163">
            <v>581.6</v>
          </cell>
          <cell r="F163">
            <v>90.76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95</v>
          </cell>
          <cell r="L163">
            <v>18</v>
          </cell>
          <cell r="O163">
            <v>716.5</v>
          </cell>
          <cell r="P163">
            <v>803.86</v>
          </cell>
          <cell r="R163">
            <v>2345.09</v>
          </cell>
          <cell r="T163">
            <v>87.8</v>
          </cell>
          <cell r="U163">
            <v>839.2</v>
          </cell>
          <cell r="V163">
            <v>0</v>
          </cell>
          <cell r="Y163">
            <v>9626.7999999999993</v>
          </cell>
          <cell r="Z163">
            <v>11792.7</v>
          </cell>
          <cell r="AA163">
            <v>15268</v>
          </cell>
          <cell r="AB163">
            <v>0</v>
          </cell>
          <cell r="AC163">
            <v>620.79999999999995</v>
          </cell>
          <cell r="AD163">
            <v>11.8</v>
          </cell>
          <cell r="AE163">
            <v>2399.4</v>
          </cell>
          <cell r="AF163">
            <v>504.7</v>
          </cell>
          <cell r="AG163">
            <v>224.3</v>
          </cell>
          <cell r="AH163">
            <v>1236</v>
          </cell>
          <cell r="AI163">
            <v>1606</v>
          </cell>
          <cell r="AK163">
            <v>0</v>
          </cell>
          <cell r="AM163">
            <v>0</v>
          </cell>
        </row>
        <row r="164"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O164">
            <v>2</v>
          </cell>
          <cell r="P164">
            <v>14</v>
          </cell>
          <cell r="R164">
            <v>50</v>
          </cell>
          <cell r="T164">
            <v>7</v>
          </cell>
          <cell r="U164">
            <v>54</v>
          </cell>
          <cell r="V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K164">
            <v>0</v>
          </cell>
          <cell r="AM164">
            <v>0</v>
          </cell>
        </row>
        <row r="165">
          <cell r="C165">
            <v>193</v>
          </cell>
          <cell r="D165">
            <v>4</v>
          </cell>
          <cell r="E165">
            <v>75</v>
          </cell>
          <cell r="F165">
            <v>8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O165">
            <v>69</v>
          </cell>
          <cell r="P165">
            <v>241</v>
          </cell>
          <cell r="R165">
            <v>212</v>
          </cell>
          <cell r="T165">
            <v>6</v>
          </cell>
          <cell r="U165">
            <v>110</v>
          </cell>
          <cell r="V165">
            <v>0</v>
          </cell>
          <cell r="Y165">
            <v>327</v>
          </cell>
          <cell r="Z165">
            <v>85</v>
          </cell>
          <cell r="AA165">
            <v>239</v>
          </cell>
          <cell r="AB165">
            <v>0</v>
          </cell>
          <cell r="AC165">
            <v>0</v>
          </cell>
          <cell r="AD165">
            <v>0</v>
          </cell>
          <cell r="AE165">
            <v>1</v>
          </cell>
          <cell r="AF165">
            <v>0</v>
          </cell>
          <cell r="AG165">
            <v>4</v>
          </cell>
          <cell r="AH165">
            <v>72</v>
          </cell>
          <cell r="AI165">
            <v>39</v>
          </cell>
          <cell r="AK165">
            <v>0</v>
          </cell>
          <cell r="AM165">
            <v>0</v>
          </cell>
        </row>
        <row r="166">
          <cell r="C166">
            <v>1471.5</v>
          </cell>
          <cell r="D166">
            <v>4.5999999999999996</v>
          </cell>
          <cell r="E166">
            <v>151.22</v>
          </cell>
          <cell r="F166">
            <v>31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O166">
            <v>12.4</v>
          </cell>
          <cell r="P166">
            <v>79.3</v>
          </cell>
          <cell r="R166">
            <v>85.2</v>
          </cell>
          <cell r="T166">
            <v>9.1</v>
          </cell>
          <cell r="U166">
            <v>50.1</v>
          </cell>
          <cell r="V166">
            <v>0</v>
          </cell>
          <cell r="Y166">
            <v>672.80000000000007</v>
          </cell>
          <cell r="Z166">
            <v>141.55000000000001</v>
          </cell>
          <cell r="AA166">
            <v>299.39999999999998</v>
          </cell>
          <cell r="AB166">
            <v>0</v>
          </cell>
          <cell r="AC166">
            <v>0</v>
          </cell>
          <cell r="AD166">
            <v>0</v>
          </cell>
          <cell r="AE166">
            <v>1</v>
          </cell>
          <cell r="AF166">
            <v>0</v>
          </cell>
          <cell r="AG166">
            <v>5.6</v>
          </cell>
          <cell r="AH166">
            <v>177.5</v>
          </cell>
          <cell r="AI166">
            <v>108.2</v>
          </cell>
          <cell r="AK166">
            <v>0</v>
          </cell>
          <cell r="AM166">
            <v>0</v>
          </cell>
        </row>
        <row r="167"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O167">
            <v>7</v>
          </cell>
          <cell r="P167">
            <v>10</v>
          </cell>
          <cell r="R167">
            <v>50</v>
          </cell>
          <cell r="T167">
            <v>23</v>
          </cell>
          <cell r="U167">
            <v>41</v>
          </cell>
          <cell r="V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K167">
            <v>0</v>
          </cell>
          <cell r="AM167">
            <v>0</v>
          </cell>
        </row>
        <row r="168">
          <cell r="C168">
            <v>348</v>
          </cell>
          <cell r="D168">
            <v>30</v>
          </cell>
          <cell r="E168">
            <v>213</v>
          </cell>
          <cell r="F168">
            <v>19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O168">
            <v>972</v>
          </cell>
          <cell r="P168">
            <v>428</v>
          </cell>
          <cell r="R168">
            <v>259</v>
          </cell>
          <cell r="T168">
            <v>58</v>
          </cell>
          <cell r="U168">
            <v>246</v>
          </cell>
          <cell r="V168">
            <v>0</v>
          </cell>
          <cell r="Y168">
            <v>740</v>
          </cell>
          <cell r="Z168">
            <v>936.8</v>
          </cell>
          <cell r="AA168">
            <v>965</v>
          </cell>
          <cell r="AB168">
            <v>0</v>
          </cell>
          <cell r="AC168">
            <v>31</v>
          </cell>
          <cell r="AD168">
            <v>0</v>
          </cell>
          <cell r="AE168">
            <v>17</v>
          </cell>
          <cell r="AF168">
            <v>0</v>
          </cell>
          <cell r="AG168">
            <v>117</v>
          </cell>
          <cell r="AH168">
            <v>44</v>
          </cell>
          <cell r="AI168">
            <v>77</v>
          </cell>
          <cell r="AK168">
            <v>0</v>
          </cell>
          <cell r="AM168">
            <v>0</v>
          </cell>
        </row>
        <row r="169">
          <cell r="C169">
            <v>3986.4</v>
          </cell>
          <cell r="D169">
            <v>439</v>
          </cell>
          <cell r="E169">
            <v>802.21</v>
          </cell>
          <cell r="F169">
            <v>105.13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O169">
            <v>238.9</v>
          </cell>
          <cell r="P169">
            <v>92.1</v>
          </cell>
          <cell r="R169">
            <v>189.8</v>
          </cell>
          <cell r="T169">
            <v>71.2</v>
          </cell>
          <cell r="U169">
            <v>212.6</v>
          </cell>
          <cell r="V169">
            <v>0</v>
          </cell>
          <cell r="Y169">
            <v>2489.9</v>
          </cell>
          <cell r="Z169">
            <v>1444.39</v>
          </cell>
          <cell r="AA169">
            <v>1104.42</v>
          </cell>
          <cell r="AB169">
            <v>0</v>
          </cell>
          <cell r="AC169">
            <v>116.2</v>
          </cell>
          <cell r="AD169">
            <v>0</v>
          </cell>
          <cell r="AE169">
            <v>46.7</v>
          </cell>
          <cell r="AF169">
            <v>0</v>
          </cell>
          <cell r="AG169">
            <v>31.9</v>
          </cell>
          <cell r="AH169">
            <v>122.5</v>
          </cell>
          <cell r="AI169">
            <v>371.6</v>
          </cell>
          <cell r="AK169">
            <v>0</v>
          </cell>
          <cell r="AM169">
            <v>0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O173">
            <v>2</v>
          </cell>
          <cell r="P173">
            <v>2</v>
          </cell>
          <cell r="R173">
            <v>0</v>
          </cell>
          <cell r="T173">
            <v>0</v>
          </cell>
          <cell r="U173">
            <v>0</v>
          </cell>
          <cell r="V173">
            <v>1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K173">
            <v>0</v>
          </cell>
          <cell r="AM173">
            <v>0</v>
          </cell>
        </row>
        <row r="174">
          <cell r="C174">
            <v>70</v>
          </cell>
          <cell r="D174">
            <v>22</v>
          </cell>
          <cell r="E174">
            <v>34</v>
          </cell>
          <cell r="F174">
            <v>11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O174">
            <v>83</v>
          </cell>
          <cell r="P174">
            <v>50</v>
          </cell>
          <cell r="R174">
            <v>0</v>
          </cell>
          <cell r="T174">
            <v>0</v>
          </cell>
          <cell r="U174">
            <v>0</v>
          </cell>
          <cell r="V174">
            <v>0</v>
          </cell>
          <cell r="Y174">
            <v>7</v>
          </cell>
          <cell r="Z174">
            <v>203</v>
          </cell>
          <cell r="AA174">
            <v>58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81</v>
          </cell>
          <cell r="AH174">
            <v>0</v>
          </cell>
          <cell r="AI174">
            <v>11</v>
          </cell>
          <cell r="AK174">
            <v>0</v>
          </cell>
          <cell r="AM174">
            <v>0</v>
          </cell>
        </row>
        <row r="175">
          <cell r="C175">
            <v>2262.6</v>
          </cell>
          <cell r="D175">
            <v>593.20000000000005</v>
          </cell>
          <cell r="E175">
            <v>121.4</v>
          </cell>
          <cell r="F175">
            <v>29.6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O175">
            <v>118.9</v>
          </cell>
          <cell r="P175">
            <v>36</v>
          </cell>
          <cell r="R175">
            <v>0</v>
          </cell>
          <cell r="T175">
            <v>0</v>
          </cell>
          <cell r="U175">
            <v>0</v>
          </cell>
          <cell r="V175">
            <v>0</v>
          </cell>
          <cell r="Y175">
            <v>78.2</v>
          </cell>
          <cell r="Z175">
            <v>818</v>
          </cell>
          <cell r="AA175">
            <v>104.8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35</v>
          </cell>
          <cell r="AH175">
            <v>0</v>
          </cell>
          <cell r="AI175">
            <v>13.8</v>
          </cell>
          <cell r="AK175">
            <v>0</v>
          </cell>
          <cell r="AM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O176">
            <v>4</v>
          </cell>
          <cell r="P176">
            <v>61</v>
          </cell>
          <cell r="R176">
            <v>136</v>
          </cell>
          <cell r="T176">
            <v>86</v>
          </cell>
          <cell r="U176">
            <v>221</v>
          </cell>
          <cell r="V176">
            <v>10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K176">
            <v>0</v>
          </cell>
          <cell r="AM176">
            <v>0</v>
          </cell>
        </row>
        <row r="177">
          <cell r="C177">
            <v>192</v>
          </cell>
          <cell r="D177">
            <v>47</v>
          </cell>
          <cell r="E177">
            <v>79</v>
          </cell>
          <cell r="F177">
            <v>43</v>
          </cell>
          <cell r="G177">
            <v>0</v>
          </cell>
          <cell r="H177">
            <v>0</v>
          </cell>
          <cell r="I177">
            <v>0</v>
          </cell>
          <cell r="J177">
            <v>4</v>
          </cell>
          <cell r="K177">
            <v>0</v>
          </cell>
          <cell r="L177">
            <v>0</v>
          </cell>
          <cell r="O177">
            <v>35</v>
          </cell>
          <cell r="P177">
            <v>521</v>
          </cell>
          <cell r="R177">
            <v>377</v>
          </cell>
          <cell r="T177">
            <v>82</v>
          </cell>
          <cell r="U177">
            <v>444</v>
          </cell>
          <cell r="V177">
            <v>0</v>
          </cell>
          <cell r="Y177">
            <v>350</v>
          </cell>
          <cell r="Z177">
            <v>758</v>
          </cell>
          <cell r="AA177">
            <v>221</v>
          </cell>
          <cell r="AB177">
            <v>0</v>
          </cell>
          <cell r="AC177">
            <v>19</v>
          </cell>
          <cell r="AD177">
            <v>1</v>
          </cell>
          <cell r="AE177">
            <v>28</v>
          </cell>
          <cell r="AF177">
            <v>2</v>
          </cell>
          <cell r="AG177">
            <v>123</v>
          </cell>
          <cell r="AH177">
            <v>21</v>
          </cell>
          <cell r="AI177">
            <v>631</v>
          </cell>
          <cell r="AK177">
            <v>0</v>
          </cell>
          <cell r="AM177">
            <v>0</v>
          </cell>
        </row>
        <row r="178">
          <cell r="C178">
            <v>1874.3</v>
          </cell>
          <cell r="D178">
            <v>478.7</v>
          </cell>
          <cell r="E178">
            <v>395</v>
          </cell>
          <cell r="F178">
            <v>202</v>
          </cell>
          <cell r="G178">
            <v>0</v>
          </cell>
          <cell r="H178">
            <v>0</v>
          </cell>
          <cell r="I178">
            <v>0</v>
          </cell>
          <cell r="J178">
            <v>46.2</v>
          </cell>
          <cell r="K178">
            <v>0</v>
          </cell>
          <cell r="L178">
            <v>0</v>
          </cell>
          <cell r="O178">
            <v>14.7</v>
          </cell>
          <cell r="P178">
            <v>340.89</v>
          </cell>
          <cell r="R178">
            <v>241.39000000000001</v>
          </cell>
          <cell r="T178">
            <v>109.18</v>
          </cell>
          <cell r="U178">
            <v>708.69</v>
          </cell>
          <cell r="V178">
            <v>0</v>
          </cell>
          <cell r="Y178">
            <v>1214.32</v>
          </cell>
          <cell r="Z178">
            <v>1148.94</v>
          </cell>
          <cell r="AA178">
            <v>319.89</v>
          </cell>
          <cell r="AB178">
            <v>0</v>
          </cell>
          <cell r="AC178">
            <v>63.440000000000005</v>
          </cell>
          <cell r="AD178">
            <v>1.51</v>
          </cell>
          <cell r="AE178">
            <v>180.68</v>
          </cell>
          <cell r="AF178">
            <v>1.21</v>
          </cell>
          <cell r="AG178">
            <v>73.47</v>
          </cell>
          <cell r="AH178">
            <v>26.77</v>
          </cell>
          <cell r="AI178">
            <v>2448.9299999999998</v>
          </cell>
          <cell r="AK178">
            <v>0</v>
          </cell>
          <cell r="AM178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O179">
            <v>2</v>
          </cell>
          <cell r="P179">
            <v>60</v>
          </cell>
          <cell r="R179">
            <v>232</v>
          </cell>
          <cell r="T179">
            <v>26</v>
          </cell>
          <cell r="U179">
            <v>109</v>
          </cell>
          <cell r="V179">
            <v>12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K179">
            <v>0</v>
          </cell>
          <cell r="AM179">
            <v>0</v>
          </cell>
        </row>
        <row r="180">
          <cell r="C180">
            <v>158</v>
          </cell>
          <cell r="D180">
            <v>70</v>
          </cell>
          <cell r="E180">
            <v>481</v>
          </cell>
          <cell r="F180">
            <v>187</v>
          </cell>
          <cell r="G180">
            <v>0</v>
          </cell>
          <cell r="H180">
            <v>0</v>
          </cell>
          <cell r="I180">
            <v>0</v>
          </cell>
          <cell r="J180">
            <v>7</v>
          </cell>
          <cell r="K180">
            <v>0</v>
          </cell>
          <cell r="L180">
            <v>0</v>
          </cell>
          <cell r="O180">
            <v>25</v>
          </cell>
          <cell r="P180">
            <v>1360</v>
          </cell>
          <cell r="R180">
            <v>1176</v>
          </cell>
          <cell r="T180">
            <v>60</v>
          </cell>
          <cell r="U180">
            <v>409</v>
          </cell>
          <cell r="V180">
            <v>118</v>
          </cell>
          <cell r="Y180">
            <v>788</v>
          </cell>
          <cell r="Z180">
            <v>1081</v>
          </cell>
          <cell r="AA180">
            <v>674</v>
          </cell>
          <cell r="AB180">
            <v>0</v>
          </cell>
          <cell r="AC180">
            <v>2</v>
          </cell>
          <cell r="AD180">
            <v>1</v>
          </cell>
          <cell r="AE180">
            <v>11</v>
          </cell>
          <cell r="AF180">
            <v>1</v>
          </cell>
          <cell r="AG180">
            <v>618</v>
          </cell>
          <cell r="AH180">
            <v>162</v>
          </cell>
          <cell r="AI180">
            <v>826</v>
          </cell>
          <cell r="AK180">
            <v>0</v>
          </cell>
          <cell r="AM180">
            <v>0</v>
          </cell>
        </row>
        <row r="181">
          <cell r="C181">
            <v>3113.0902199999996</v>
          </cell>
          <cell r="D181">
            <v>1081.53334</v>
          </cell>
          <cell r="E181">
            <v>3367.0397400000002</v>
          </cell>
          <cell r="F181">
            <v>1165.29592</v>
          </cell>
          <cell r="G181">
            <v>0</v>
          </cell>
          <cell r="H181">
            <v>0</v>
          </cell>
          <cell r="I181">
            <v>0</v>
          </cell>
          <cell r="J181">
            <v>97.7</v>
          </cell>
          <cell r="K181">
            <v>0</v>
          </cell>
          <cell r="L181">
            <v>0</v>
          </cell>
          <cell r="O181">
            <v>3.56</v>
          </cell>
          <cell r="P181">
            <v>1114.98</v>
          </cell>
          <cell r="R181">
            <v>874.94999999999993</v>
          </cell>
          <cell r="T181">
            <v>103.29</v>
          </cell>
          <cell r="U181">
            <v>897.14</v>
          </cell>
          <cell r="V181">
            <v>582.78</v>
          </cell>
          <cell r="Y181">
            <v>3571.1099999999997</v>
          </cell>
          <cell r="Z181">
            <v>3881.32</v>
          </cell>
          <cell r="AA181">
            <v>1393.1699999999998</v>
          </cell>
          <cell r="AB181">
            <v>0</v>
          </cell>
          <cell r="AC181">
            <v>1.24</v>
          </cell>
          <cell r="AD181">
            <v>1.05</v>
          </cell>
          <cell r="AE181">
            <v>21.77</v>
          </cell>
          <cell r="AF181">
            <v>0.36</v>
          </cell>
          <cell r="AG181">
            <v>510.78999999999996</v>
          </cell>
          <cell r="AH181">
            <v>190.45999999999998</v>
          </cell>
          <cell r="AI181">
            <v>4479.1399999999994</v>
          </cell>
          <cell r="AK181">
            <v>0</v>
          </cell>
          <cell r="AM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O182">
            <v>7</v>
          </cell>
          <cell r="P182">
            <v>178</v>
          </cell>
          <cell r="R182">
            <v>331</v>
          </cell>
          <cell r="T182">
            <v>227</v>
          </cell>
          <cell r="U182">
            <v>287</v>
          </cell>
          <cell r="V182">
            <v>9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K182">
            <v>0</v>
          </cell>
          <cell r="AM182">
            <v>0</v>
          </cell>
        </row>
        <row r="183">
          <cell r="C183">
            <v>514</v>
          </cell>
          <cell r="D183">
            <v>152</v>
          </cell>
          <cell r="E183">
            <v>242</v>
          </cell>
          <cell r="F183">
            <v>75</v>
          </cell>
          <cell r="G183">
            <v>0</v>
          </cell>
          <cell r="H183">
            <v>0</v>
          </cell>
          <cell r="I183">
            <v>0</v>
          </cell>
          <cell r="J183">
            <v>15</v>
          </cell>
          <cell r="K183">
            <v>0</v>
          </cell>
          <cell r="L183">
            <v>0</v>
          </cell>
          <cell r="O183">
            <v>1018</v>
          </cell>
          <cell r="P183">
            <v>3378</v>
          </cell>
          <cell r="R183">
            <v>1328</v>
          </cell>
          <cell r="T183">
            <v>344</v>
          </cell>
          <cell r="U183">
            <v>1683</v>
          </cell>
          <cell r="V183">
            <v>44</v>
          </cell>
          <cell r="Y183">
            <v>365</v>
          </cell>
          <cell r="Z183">
            <v>3356</v>
          </cell>
          <cell r="AA183">
            <v>1018</v>
          </cell>
          <cell r="AB183">
            <v>5</v>
          </cell>
          <cell r="AC183">
            <v>8</v>
          </cell>
          <cell r="AD183">
            <v>18</v>
          </cell>
          <cell r="AE183">
            <v>174</v>
          </cell>
          <cell r="AF183">
            <v>6</v>
          </cell>
          <cell r="AG183">
            <v>359</v>
          </cell>
          <cell r="AH183">
            <v>277</v>
          </cell>
          <cell r="AI183">
            <v>2527</v>
          </cell>
          <cell r="AK183">
            <v>0</v>
          </cell>
          <cell r="AM183">
            <v>0</v>
          </cell>
        </row>
        <row r="184">
          <cell r="C184">
            <v>4562.2713249999997</v>
          </cell>
          <cell r="D184">
            <v>1376.9649999999999</v>
          </cell>
          <cell r="E184">
            <v>606.43129999999996</v>
          </cell>
          <cell r="F184">
            <v>206.77250000000001</v>
          </cell>
          <cell r="G184">
            <v>0</v>
          </cell>
          <cell r="H184">
            <v>0</v>
          </cell>
          <cell r="I184">
            <v>0</v>
          </cell>
          <cell r="J184">
            <v>147</v>
          </cell>
          <cell r="K184">
            <v>0</v>
          </cell>
          <cell r="L184">
            <v>0</v>
          </cell>
          <cell r="O184">
            <v>288.69</v>
          </cell>
          <cell r="P184">
            <v>1323.2</v>
          </cell>
          <cell r="R184">
            <v>901.79000000000008</v>
          </cell>
          <cell r="T184">
            <v>439.10999999999996</v>
          </cell>
          <cell r="U184">
            <v>2511.9299999999998</v>
          </cell>
          <cell r="V184">
            <v>52.8</v>
          </cell>
          <cell r="Y184">
            <v>1301.5999999999999</v>
          </cell>
          <cell r="Z184">
            <v>5219.68</v>
          </cell>
          <cell r="AA184">
            <v>652.77</v>
          </cell>
          <cell r="AB184">
            <v>2.82</v>
          </cell>
          <cell r="AC184">
            <v>9.4700000000000006</v>
          </cell>
          <cell r="AD184">
            <v>21.02</v>
          </cell>
          <cell r="AE184">
            <v>483.87</v>
          </cell>
          <cell r="AF184">
            <v>5.34</v>
          </cell>
          <cell r="AG184">
            <v>84.460000000000008</v>
          </cell>
          <cell r="AH184">
            <v>702.95</v>
          </cell>
          <cell r="AI184">
            <v>5732.22</v>
          </cell>
          <cell r="AK184">
            <v>0</v>
          </cell>
          <cell r="AM184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O188">
            <v>79</v>
          </cell>
          <cell r="P188">
            <v>141</v>
          </cell>
          <cell r="R188">
            <v>124</v>
          </cell>
          <cell r="T188">
            <v>0</v>
          </cell>
          <cell r="U188">
            <v>927</v>
          </cell>
          <cell r="V188">
            <v>26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K188">
            <v>0</v>
          </cell>
          <cell r="AM188">
            <v>0</v>
          </cell>
        </row>
        <row r="189">
          <cell r="C189">
            <v>328</v>
          </cell>
          <cell r="D189">
            <v>121</v>
          </cell>
          <cell r="E189">
            <v>212</v>
          </cell>
          <cell r="F189">
            <v>90</v>
          </cell>
          <cell r="G189">
            <v>0</v>
          </cell>
          <cell r="H189">
            <v>0</v>
          </cell>
          <cell r="I189">
            <v>0</v>
          </cell>
          <cell r="J189">
            <v>3</v>
          </cell>
          <cell r="K189">
            <v>0</v>
          </cell>
          <cell r="L189">
            <v>1</v>
          </cell>
          <cell r="O189">
            <v>5004</v>
          </cell>
          <cell r="P189">
            <v>3395</v>
          </cell>
          <cell r="R189">
            <v>1375</v>
          </cell>
          <cell r="T189">
            <v>0</v>
          </cell>
          <cell r="U189">
            <v>835</v>
          </cell>
          <cell r="V189">
            <v>6</v>
          </cell>
          <cell r="Y189">
            <v>454</v>
          </cell>
          <cell r="Z189">
            <v>524</v>
          </cell>
          <cell r="AA189">
            <v>601</v>
          </cell>
          <cell r="AB189">
            <v>1</v>
          </cell>
          <cell r="AC189">
            <v>0</v>
          </cell>
          <cell r="AD189">
            <v>3</v>
          </cell>
          <cell r="AE189">
            <v>589</v>
          </cell>
          <cell r="AF189">
            <v>0</v>
          </cell>
          <cell r="AG189">
            <v>15</v>
          </cell>
          <cell r="AH189">
            <v>37</v>
          </cell>
          <cell r="AI189">
            <v>233</v>
          </cell>
          <cell r="AK189">
            <v>0</v>
          </cell>
          <cell r="AM189">
            <v>0</v>
          </cell>
        </row>
        <row r="190">
          <cell r="C190">
            <v>7604</v>
          </cell>
          <cell r="D190">
            <v>2994</v>
          </cell>
          <cell r="E190">
            <v>949</v>
          </cell>
          <cell r="F190">
            <v>390</v>
          </cell>
          <cell r="G190">
            <v>0</v>
          </cell>
          <cell r="H190">
            <v>0</v>
          </cell>
          <cell r="I190">
            <v>0</v>
          </cell>
          <cell r="J190">
            <v>19</v>
          </cell>
          <cell r="K190">
            <v>0</v>
          </cell>
          <cell r="L190">
            <v>2</v>
          </cell>
          <cell r="O190">
            <v>2132</v>
          </cell>
          <cell r="P190">
            <v>2507</v>
          </cell>
          <cell r="R190">
            <v>2090</v>
          </cell>
          <cell r="T190">
            <v>0</v>
          </cell>
          <cell r="U190">
            <v>1620</v>
          </cell>
          <cell r="V190">
            <v>33</v>
          </cell>
          <cell r="Y190">
            <v>3095</v>
          </cell>
          <cell r="Z190">
            <v>1665</v>
          </cell>
          <cell r="AA190">
            <v>1486</v>
          </cell>
          <cell r="AB190">
            <v>1</v>
          </cell>
          <cell r="AC190">
            <v>0</v>
          </cell>
          <cell r="AD190">
            <v>23</v>
          </cell>
          <cell r="AE190">
            <v>1930</v>
          </cell>
          <cell r="AF190">
            <v>0</v>
          </cell>
          <cell r="AG190">
            <v>20</v>
          </cell>
          <cell r="AH190">
            <v>353</v>
          </cell>
          <cell r="AI190">
            <v>1356</v>
          </cell>
          <cell r="AK190">
            <v>0</v>
          </cell>
          <cell r="AM190">
            <v>0</v>
          </cell>
        </row>
        <row r="191"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O191">
            <v>184</v>
          </cell>
          <cell r="P191">
            <v>168</v>
          </cell>
          <cell r="R191">
            <v>71</v>
          </cell>
          <cell r="T191">
            <v>2</v>
          </cell>
          <cell r="U191">
            <v>404</v>
          </cell>
          <cell r="V191">
            <v>106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K191">
            <v>0</v>
          </cell>
          <cell r="AM191">
            <v>0</v>
          </cell>
        </row>
        <row r="192">
          <cell r="C192">
            <v>238</v>
          </cell>
          <cell r="D192">
            <v>99</v>
          </cell>
          <cell r="E192">
            <v>269</v>
          </cell>
          <cell r="F192">
            <v>116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O192">
            <v>8390</v>
          </cell>
          <cell r="P192">
            <v>2193</v>
          </cell>
          <cell r="R192">
            <v>784</v>
          </cell>
          <cell r="T192">
            <v>16</v>
          </cell>
          <cell r="U192">
            <v>634</v>
          </cell>
          <cell r="V192">
            <v>565</v>
          </cell>
          <cell r="Y192">
            <v>157</v>
          </cell>
          <cell r="Z192">
            <v>1391</v>
          </cell>
          <cell r="AA192">
            <v>350</v>
          </cell>
          <cell r="AB192">
            <v>1</v>
          </cell>
          <cell r="AC192">
            <v>0</v>
          </cell>
          <cell r="AD192">
            <v>14</v>
          </cell>
          <cell r="AE192">
            <v>14</v>
          </cell>
          <cell r="AF192">
            <v>0</v>
          </cell>
          <cell r="AG192">
            <v>8</v>
          </cell>
          <cell r="AH192">
            <v>30</v>
          </cell>
          <cell r="AI192">
            <v>161</v>
          </cell>
          <cell r="AK192">
            <v>0</v>
          </cell>
          <cell r="AM192">
            <v>0</v>
          </cell>
        </row>
        <row r="193">
          <cell r="C193">
            <v>7125</v>
          </cell>
          <cell r="D193">
            <v>2646</v>
          </cell>
          <cell r="E193">
            <v>1181</v>
          </cell>
          <cell r="F193">
            <v>642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O193">
            <v>4698</v>
          </cell>
          <cell r="P193">
            <v>2485</v>
          </cell>
          <cell r="R193">
            <v>1342</v>
          </cell>
          <cell r="T193">
            <v>17</v>
          </cell>
          <cell r="U193">
            <v>1524</v>
          </cell>
          <cell r="V193">
            <v>227</v>
          </cell>
          <cell r="Y193">
            <v>1740</v>
          </cell>
          <cell r="Z193">
            <v>8164.6</v>
          </cell>
          <cell r="AA193">
            <v>1777</v>
          </cell>
          <cell r="AB193">
            <v>11</v>
          </cell>
          <cell r="AC193">
            <v>0</v>
          </cell>
          <cell r="AD193">
            <v>39</v>
          </cell>
          <cell r="AE193">
            <v>72</v>
          </cell>
          <cell r="AF193">
            <v>0</v>
          </cell>
          <cell r="AG193">
            <v>16</v>
          </cell>
          <cell r="AH193">
            <v>163</v>
          </cell>
          <cell r="AI193">
            <v>1770</v>
          </cell>
          <cell r="AK193">
            <v>0</v>
          </cell>
          <cell r="AM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O194">
            <v>2</v>
          </cell>
          <cell r="P194">
            <v>5</v>
          </cell>
          <cell r="R194">
            <v>10</v>
          </cell>
          <cell r="T194">
            <v>0</v>
          </cell>
          <cell r="U194">
            <v>3</v>
          </cell>
          <cell r="V194">
            <v>10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K194">
            <v>0</v>
          </cell>
          <cell r="AM194">
            <v>0</v>
          </cell>
        </row>
        <row r="195">
          <cell r="C195">
            <v>7</v>
          </cell>
          <cell r="D195">
            <v>4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4</v>
          </cell>
          <cell r="J195">
            <v>22</v>
          </cell>
          <cell r="K195">
            <v>0</v>
          </cell>
          <cell r="L195">
            <v>0</v>
          </cell>
          <cell r="O195">
            <v>31</v>
          </cell>
          <cell r="P195">
            <v>11</v>
          </cell>
          <cell r="R195">
            <v>8</v>
          </cell>
          <cell r="T195">
            <v>0</v>
          </cell>
          <cell r="U195">
            <v>9</v>
          </cell>
          <cell r="V195">
            <v>3</v>
          </cell>
          <cell r="Y195">
            <v>0</v>
          </cell>
          <cell r="Z195">
            <v>4</v>
          </cell>
          <cell r="AA195">
            <v>12</v>
          </cell>
          <cell r="AB195">
            <v>1</v>
          </cell>
          <cell r="AC195">
            <v>957</v>
          </cell>
          <cell r="AD195">
            <v>0</v>
          </cell>
          <cell r="AE195">
            <v>90</v>
          </cell>
          <cell r="AF195">
            <v>0</v>
          </cell>
          <cell r="AG195">
            <v>0</v>
          </cell>
          <cell r="AH195">
            <v>3</v>
          </cell>
          <cell r="AI195">
            <v>11</v>
          </cell>
          <cell r="AK195">
            <v>0</v>
          </cell>
          <cell r="AM195">
            <v>0</v>
          </cell>
        </row>
        <row r="196">
          <cell r="C196">
            <v>39</v>
          </cell>
          <cell r="D196">
            <v>69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105</v>
          </cell>
          <cell r="J196">
            <v>597</v>
          </cell>
          <cell r="K196">
            <v>0</v>
          </cell>
          <cell r="L196">
            <v>0</v>
          </cell>
          <cell r="O196">
            <v>66</v>
          </cell>
          <cell r="P196">
            <v>10</v>
          </cell>
          <cell r="R196">
            <v>31</v>
          </cell>
          <cell r="T196">
            <v>0</v>
          </cell>
          <cell r="U196">
            <v>137</v>
          </cell>
          <cell r="V196">
            <v>33</v>
          </cell>
          <cell r="Y196">
            <v>0</v>
          </cell>
          <cell r="Z196">
            <v>70</v>
          </cell>
          <cell r="AA196">
            <v>195</v>
          </cell>
          <cell r="AB196">
            <v>12</v>
          </cell>
          <cell r="AC196">
            <v>7083</v>
          </cell>
          <cell r="AD196">
            <v>0</v>
          </cell>
          <cell r="AE196">
            <v>2597</v>
          </cell>
          <cell r="AF196">
            <v>0</v>
          </cell>
          <cell r="AG196">
            <v>0</v>
          </cell>
          <cell r="AH196">
            <v>80</v>
          </cell>
          <cell r="AI196">
            <v>268</v>
          </cell>
          <cell r="AK196">
            <v>0</v>
          </cell>
          <cell r="AM196">
            <v>0</v>
          </cell>
        </row>
        <row r="197"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O197">
            <v>83</v>
          </cell>
          <cell r="P197">
            <v>66</v>
          </cell>
          <cell r="R197">
            <v>85</v>
          </cell>
          <cell r="T197">
            <v>0</v>
          </cell>
          <cell r="U197">
            <v>82</v>
          </cell>
          <cell r="V197">
            <v>3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K197">
            <v>0</v>
          </cell>
          <cell r="AM197">
            <v>0</v>
          </cell>
        </row>
        <row r="198">
          <cell r="C198">
            <v>169</v>
          </cell>
          <cell r="D198">
            <v>115</v>
          </cell>
          <cell r="E198">
            <v>85</v>
          </cell>
          <cell r="F198">
            <v>74</v>
          </cell>
          <cell r="G198">
            <v>0</v>
          </cell>
          <cell r="H198">
            <v>0</v>
          </cell>
          <cell r="I198">
            <v>2</v>
          </cell>
          <cell r="J198">
            <v>10</v>
          </cell>
          <cell r="K198">
            <v>0</v>
          </cell>
          <cell r="L198">
            <v>0</v>
          </cell>
          <cell r="O198">
            <v>4834</v>
          </cell>
          <cell r="P198">
            <v>1680</v>
          </cell>
          <cell r="R198">
            <v>1414</v>
          </cell>
          <cell r="T198">
            <v>0</v>
          </cell>
          <cell r="U198">
            <v>345</v>
          </cell>
          <cell r="V198">
            <v>136</v>
          </cell>
          <cell r="Y198">
            <v>86</v>
          </cell>
          <cell r="Z198">
            <v>704</v>
          </cell>
          <cell r="AA198">
            <v>127</v>
          </cell>
          <cell r="AB198">
            <v>1</v>
          </cell>
          <cell r="AC198">
            <v>1</v>
          </cell>
          <cell r="AD198">
            <v>0</v>
          </cell>
          <cell r="AE198">
            <v>43</v>
          </cell>
          <cell r="AF198">
            <v>0</v>
          </cell>
          <cell r="AG198">
            <v>65</v>
          </cell>
          <cell r="AH198">
            <v>5</v>
          </cell>
          <cell r="AI198">
            <v>39</v>
          </cell>
          <cell r="AK198">
            <v>0</v>
          </cell>
          <cell r="AM198">
            <v>0</v>
          </cell>
        </row>
        <row r="199">
          <cell r="C199">
            <v>4382</v>
          </cell>
          <cell r="D199">
            <v>3462</v>
          </cell>
          <cell r="E199">
            <v>399</v>
          </cell>
          <cell r="F199">
            <v>239</v>
          </cell>
          <cell r="G199">
            <v>0</v>
          </cell>
          <cell r="H199">
            <v>0</v>
          </cell>
          <cell r="I199">
            <v>81</v>
          </cell>
          <cell r="J199">
            <v>98</v>
          </cell>
          <cell r="K199">
            <v>0</v>
          </cell>
          <cell r="L199">
            <v>0</v>
          </cell>
          <cell r="O199">
            <v>1607</v>
          </cell>
          <cell r="P199">
            <v>2217</v>
          </cell>
          <cell r="R199">
            <v>2281</v>
          </cell>
          <cell r="T199">
            <v>0</v>
          </cell>
          <cell r="U199">
            <v>457</v>
          </cell>
          <cell r="V199">
            <v>300</v>
          </cell>
          <cell r="Y199">
            <v>1169</v>
          </cell>
          <cell r="Z199">
            <v>2192</v>
          </cell>
          <cell r="AA199">
            <v>663</v>
          </cell>
          <cell r="AB199">
            <v>8</v>
          </cell>
          <cell r="AC199">
            <v>4</v>
          </cell>
          <cell r="AD199">
            <v>0</v>
          </cell>
          <cell r="AE199">
            <v>1246</v>
          </cell>
          <cell r="AF199">
            <v>0</v>
          </cell>
          <cell r="AG199">
            <v>117</v>
          </cell>
          <cell r="AH199">
            <v>24</v>
          </cell>
          <cell r="AI199">
            <v>904</v>
          </cell>
          <cell r="AK199">
            <v>0</v>
          </cell>
          <cell r="AM199">
            <v>0</v>
          </cell>
        </row>
        <row r="203"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O203">
            <v>1</v>
          </cell>
          <cell r="P203">
            <v>0</v>
          </cell>
          <cell r="R203">
            <v>0</v>
          </cell>
          <cell r="T203">
            <v>0</v>
          </cell>
          <cell r="U203">
            <v>0</v>
          </cell>
          <cell r="V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K203">
            <v>0</v>
          </cell>
          <cell r="AM203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2</v>
          </cell>
          <cell r="K204">
            <v>0</v>
          </cell>
          <cell r="L204">
            <v>0</v>
          </cell>
          <cell r="O204">
            <v>1</v>
          </cell>
          <cell r="P204">
            <v>0</v>
          </cell>
          <cell r="R204">
            <v>0</v>
          </cell>
          <cell r="T204">
            <v>0</v>
          </cell>
          <cell r="U204">
            <v>0</v>
          </cell>
          <cell r="V204">
            <v>0</v>
          </cell>
          <cell r="Y204">
            <v>0</v>
          </cell>
          <cell r="Z204">
            <v>0</v>
          </cell>
          <cell r="AA204">
            <v>1</v>
          </cell>
          <cell r="AB204">
            <v>0</v>
          </cell>
          <cell r="AC204">
            <v>2</v>
          </cell>
          <cell r="AD204">
            <v>942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</v>
          </cell>
          <cell r="AK204">
            <v>0</v>
          </cell>
          <cell r="AM204">
            <v>0</v>
          </cell>
        </row>
        <row r="205"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47</v>
          </cell>
          <cell r="K205">
            <v>0</v>
          </cell>
          <cell r="L205">
            <v>0</v>
          </cell>
          <cell r="O205">
            <v>8</v>
          </cell>
          <cell r="P205">
            <v>0</v>
          </cell>
          <cell r="R205">
            <v>0</v>
          </cell>
          <cell r="T205">
            <v>0</v>
          </cell>
          <cell r="U205">
            <v>0</v>
          </cell>
          <cell r="V205">
            <v>0</v>
          </cell>
          <cell r="Y205">
            <v>0</v>
          </cell>
          <cell r="Z205">
            <v>0</v>
          </cell>
          <cell r="AA205">
            <v>18</v>
          </cell>
          <cell r="AB205">
            <v>0</v>
          </cell>
          <cell r="AC205">
            <v>2</v>
          </cell>
          <cell r="AD205">
            <v>1083.5999999999999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223.1</v>
          </cell>
          <cell r="AK205">
            <v>0</v>
          </cell>
          <cell r="AM205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O206">
            <v>0</v>
          </cell>
          <cell r="P206">
            <v>0</v>
          </cell>
          <cell r="R206">
            <v>0</v>
          </cell>
          <cell r="T206">
            <v>0</v>
          </cell>
          <cell r="U206">
            <v>0</v>
          </cell>
          <cell r="V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K206">
            <v>0</v>
          </cell>
          <cell r="AM206">
            <v>0</v>
          </cell>
        </row>
        <row r="207">
          <cell r="C207">
            <v>6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30</v>
          </cell>
          <cell r="K207">
            <v>0</v>
          </cell>
          <cell r="L207">
            <v>0</v>
          </cell>
          <cell r="O207">
            <v>6</v>
          </cell>
          <cell r="P207">
            <v>0</v>
          </cell>
          <cell r="R207">
            <v>15</v>
          </cell>
          <cell r="T207">
            <v>0</v>
          </cell>
          <cell r="U207">
            <v>0</v>
          </cell>
          <cell r="V207">
            <v>0</v>
          </cell>
          <cell r="Y207">
            <v>0</v>
          </cell>
          <cell r="Z207">
            <v>2</v>
          </cell>
          <cell r="AA207">
            <v>0</v>
          </cell>
          <cell r="AB207">
            <v>23</v>
          </cell>
          <cell r="AC207">
            <v>0</v>
          </cell>
          <cell r="AD207">
            <v>498</v>
          </cell>
          <cell r="AE207">
            <v>4</v>
          </cell>
          <cell r="AF207">
            <v>0</v>
          </cell>
          <cell r="AG207">
            <v>3</v>
          </cell>
          <cell r="AH207">
            <v>2</v>
          </cell>
          <cell r="AI207">
            <v>310</v>
          </cell>
          <cell r="AK207">
            <v>0</v>
          </cell>
          <cell r="AM207">
            <v>0</v>
          </cell>
        </row>
        <row r="208">
          <cell r="C208">
            <v>282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1069</v>
          </cell>
          <cell r="K208">
            <v>0</v>
          </cell>
          <cell r="L208">
            <v>0</v>
          </cell>
          <cell r="O208">
            <v>100</v>
          </cell>
          <cell r="P208">
            <v>0</v>
          </cell>
          <cell r="R208">
            <v>197</v>
          </cell>
          <cell r="T208">
            <v>0</v>
          </cell>
          <cell r="U208">
            <v>0</v>
          </cell>
          <cell r="V208">
            <v>0</v>
          </cell>
          <cell r="Y208">
            <v>0</v>
          </cell>
          <cell r="Z208">
            <v>26</v>
          </cell>
          <cell r="AA208">
            <v>0</v>
          </cell>
          <cell r="AB208">
            <v>369</v>
          </cell>
          <cell r="AC208">
            <v>0</v>
          </cell>
          <cell r="AD208">
            <v>611</v>
          </cell>
          <cell r="AE208">
            <v>35</v>
          </cell>
          <cell r="AF208">
            <v>0</v>
          </cell>
          <cell r="AG208">
            <v>165</v>
          </cell>
          <cell r="AH208">
            <v>21</v>
          </cell>
          <cell r="AI208">
            <v>457</v>
          </cell>
          <cell r="AK208">
            <v>0</v>
          </cell>
          <cell r="AM208">
            <v>0</v>
          </cell>
        </row>
        <row r="212"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O212">
            <v>3</v>
          </cell>
          <cell r="P212">
            <v>3</v>
          </cell>
          <cell r="R212">
            <v>26</v>
          </cell>
          <cell r="T212">
            <v>5</v>
          </cell>
          <cell r="U212">
            <v>6</v>
          </cell>
          <cell r="V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K212">
            <v>0</v>
          </cell>
          <cell r="AM212">
            <v>0</v>
          </cell>
        </row>
        <row r="213">
          <cell r="C213">
            <v>32</v>
          </cell>
          <cell r="D213">
            <v>11</v>
          </cell>
          <cell r="E213">
            <v>86</v>
          </cell>
          <cell r="F213">
            <v>23</v>
          </cell>
          <cell r="G213">
            <v>0</v>
          </cell>
          <cell r="H213">
            <v>0</v>
          </cell>
          <cell r="I213">
            <v>0</v>
          </cell>
          <cell r="J213">
            <v>1</v>
          </cell>
          <cell r="K213">
            <v>0</v>
          </cell>
          <cell r="L213">
            <v>0</v>
          </cell>
          <cell r="O213">
            <v>35</v>
          </cell>
          <cell r="P213">
            <v>50</v>
          </cell>
          <cell r="R213">
            <v>272</v>
          </cell>
          <cell r="T213">
            <v>6</v>
          </cell>
          <cell r="U213">
            <v>18</v>
          </cell>
          <cell r="V213">
            <v>0</v>
          </cell>
          <cell r="Y213">
            <v>3</v>
          </cell>
          <cell r="Z213">
            <v>74</v>
          </cell>
          <cell r="AA213">
            <v>113</v>
          </cell>
          <cell r="AB213">
            <v>0</v>
          </cell>
          <cell r="AC213">
            <v>0</v>
          </cell>
          <cell r="AD213">
            <v>0</v>
          </cell>
          <cell r="AE213">
            <v>6</v>
          </cell>
          <cell r="AF213">
            <v>0</v>
          </cell>
          <cell r="AG213">
            <v>28</v>
          </cell>
          <cell r="AH213">
            <v>38</v>
          </cell>
          <cell r="AI213">
            <v>51</v>
          </cell>
          <cell r="AK213">
            <v>0</v>
          </cell>
          <cell r="AM213">
            <v>0</v>
          </cell>
        </row>
        <row r="214">
          <cell r="C214">
            <v>980.5</v>
          </cell>
          <cell r="D214">
            <v>327</v>
          </cell>
          <cell r="E214">
            <v>481.20000000000005</v>
          </cell>
          <cell r="F214">
            <v>96.7</v>
          </cell>
          <cell r="G214">
            <v>0</v>
          </cell>
          <cell r="H214">
            <v>0</v>
          </cell>
          <cell r="I214">
            <v>0</v>
          </cell>
          <cell r="J214">
            <v>87.8</v>
          </cell>
          <cell r="K214">
            <v>0</v>
          </cell>
          <cell r="L214">
            <v>0</v>
          </cell>
          <cell r="O214">
            <v>13.1</v>
          </cell>
          <cell r="P214">
            <v>45</v>
          </cell>
          <cell r="R214">
            <v>475</v>
          </cell>
          <cell r="T214">
            <v>11.4</v>
          </cell>
          <cell r="U214">
            <v>47.9</v>
          </cell>
          <cell r="V214">
            <v>0</v>
          </cell>
          <cell r="Y214">
            <v>31.1</v>
          </cell>
          <cell r="Z214">
            <v>433.6</v>
          </cell>
          <cell r="AA214">
            <v>397.40000000000003</v>
          </cell>
          <cell r="AB214">
            <v>0</v>
          </cell>
          <cell r="AC214">
            <v>0</v>
          </cell>
          <cell r="AD214">
            <v>0</v>
          </cell>
          <cell r="AE214">
            <v>67</v>
          </cell>
          <cell r="AF214">
            <v>0</v>
          </cell>
          <cell r="AG214">
            <v>37.200000000000003</v>
          </cell>
          <cell r="AH214">
            <v>93.8</v>
          </cell>
          <cell r="AI214">
            <v>165.2</v>
          </cell>
          <cell r="AK214">
            <v>0</v>
          </cell>
          <cell r="AM214">
            <v>0</v>
          </cell>
        </row>
      </sheetData>
      <sheetData sheetId="8" refreshError="1">
        <row r="21">
          <cell r="B21">
            <v>442586.16129032301</v>
          </cell>
          <cell r="D21">
            <v>449260</v>
          </cell>
          <cell r="E21">
            <v>446900</v>
          </cell>
          <cell r="F21">
            <v>447280</v>
          </cell>
        </row>
        <row r="22">
          <cell r="B22">
            <v>30089.552238806002</v>
          </cell>
          <cell r="D22">
            <v>29237</v>
          </cell>
          <cell r="E22">
            <v>29928</v>
          </cell>
          <cell r="F22">
            <v>29930</v>
          </cell>
        </row>
        <row r="23">
          <cell r="B23">
            <v>27730.616010854799</v>
          </cell>
          <cell r="D23">
            <v>25584.233</v>
          </cell>
          <cell r="E23">
            <v>26417.667000000001</v>
          </cell>
          <cell r="F23">
            <v>29055</v>
          </cell>
        </row>
        <row r="24">
          <cell r="B24">
            <v>409709.67741935502</v>
          </cell>
          <cell r="D24">
            <v>418116.67</v>
          </cell>
          <cell r="E24">
            <v>414780</v>
          </cell>
          <cell r="F24">
            <v>414940</v>
          </cell>
        </row>
        <row r="25">
          <cell r="B25">
            <v>3732.2903225806499</v>
          </cell>
          <cell r="D25">
            <v>3717.6</v>
          </cell>
          <cell r="E25">
            <v>3717.6</v>
          </cell>
          <cell r="F25">
            <v>4960.3999999999996</v>
          </cell>
        </row>
        <row r="28">
          <cell r="D28">
            <v>81</v>
          </cell>
          <cell r="E28">
            <v>-89.743000000000094</v>
          </cell>
        </row>
        <row r="29">
          <cell r="B29">
            <v>97.620645161290298</v>
          </cell>
          <cell r="E29">
            <v>133.6</v>
          </cell>
        </row>
        <row r="30">
          <cell r="B30">
            <v>10.008064516129</v>
          </cell>
          <cell r="E30">
            <v>6.7</v>
          </cell>
        </row>
        <row r="31">
          <cell r="B31">
            <v>7.58709677419355</v>
          </cell>
          <cell r="E31">
            <v>0</v>
          </cell>
        </row>
        <row r="35">
          <cell r="B35">
            <v>366885.48387096799</v>
          </cell>
          <cell r="D35">
            <v>385150</v>
          </cell>
          <cell r="E35">
            <v>368200</v>
          </cell>
          <cell r="F35">
            <v>373450</v>
          </cell>
        </row>
        <row r="36">
          <cell r="B36">
            <v>23222.002713704202</v>
          </cell>
          <cell r="D36">
            <v>24070</v>
          </cell>
          <cell r="E36">
            <v>23000</v>
          </cell>
          <cell r="F36">
            <v>23015</v>
          </cell>
        </row>
        <row r="37">
          <cell r="B37">
            <v>23028.016282225199</v>
          </cell>
          <cell r="D37">
            <v>23973.267</v>
          </cell>
          <cell r="E37">
            <v>22898.400000000001</v>
          </cell>
          <cell r="F37">
            <v>23156</v>
          </cell>
        </row>
        <row r="38">
          <cell r="B38">
            <v>339543.35483870999</v>
          </cell>
          <cell r="D38">
            <v>358511</v>
          </cell>
          <cell r="E38">
            <v>339573</v>
          </cell>
          <cell r="F38">
            <v>343986</v>
          </cell>
        </row>
        <row r="39">
          <cell r="B39">
            <v>2158.9354838709701</v>
          </cell>
          <cell r="D39">
            <v>2171.6</v>
          </cell>
          <cell r="E39">
            <v>2078.2339999999999</v>
          </cell>
          <cell r="F39">
            <v>2175.5940000000001</v>
          </cell>
        </row>
        <row r="42">
          <cell r="D42">
            <v>-67</v>
          </cell>
          <cell r="E42">
            <v>-9</v>
          </cell>
        </row>
        <row r="43">
          <cell r="B43">
            <v>135.841935483871</v>
          </cell>
          <cell r="E43">
            <v>181.4</v>
          </cell>
        </row>
        <row r="44">
          <cell r="B44">
            <v>21.054838709677401</v>
          </cell>
          <cell r="E44">
            <v>36.4</v>
          </cell>
        </row>
        <row r="45">
          <cell r="B45">
            <v>1.10967741935484</v>
          </cell>
          <cell r="E45">
            <v>0.4</v>
          </cell>
        </row>
        <row r="49">
          <cell r="B49">
            <v>58995.612903225803</v>
          </cell>
          <cell r="D49">
            <v>55196.667000000001</v>
          </cell>
          <cell r="E49">
            <v>59600</v>
          </cell>
          <cell r="F49">
            <v>59121</v>
          </cell>
        </row>
        <row r="50">
          <cell r="B50">
            <v>19860.635006784301</v>
          </cell>
          <cell r="D50">
            <v>18690</v>
          </cell>
          <cell r="E50">
            <v>19701</v>
          </cell>
          <cell r="F50">
            <v>19467</v>
          </cell>
        </row>
        <row r="51">
          <cell r="B51">
            <v>19833.964721845299</v>
          </cell>
          <cell r="D51">
            <v>18633.2</v>
          </cell>
          <cell r="E51">
            <v>19584.599999999999</v>
          </cell>
          <cell r="F51">
            <v>14932</v>
          </cell>
        </row>
        <row r="52">
          <cell r="B52">
            <v>64195.7419354839</v>
          </cell>
          <cell r="D52">
            <v>62116.667000000001</v>
          </cell>
          <cell r="E52">
            <v>65000</v>
          </cell>
          <cell r="F52">
            <v>63625</v>
          </cell>
        </row>
        <row r="53">
          <cell r="B53">
            <v>206.58064516128999</v>
          </cell>
          <cell r="D53">
            <v>201.934</v>
          </cell>
          <cell r="E53">
            <v>201.934</v>
          </cell>
          <cell r="F53">
            <v>203.1</v>
          </cell>
        </row>
        <row r="56">
          <cell r="D56">
            <v>-59</v>
          </cell>
          <cell r="E56">
            <v>-190.4</v>
          </cell>
        </row>
        <row r="57">
          <cell r="B57">
            <v>161.61612903225799</v>
          </cell>
          <cell r="E57">
            <v>386</v>
          </cell>
        </row>
        <row r="58">
          <cell r="B58">
            <v>21.522580645161302</v>
          </cell>
          <cell r="E58">
            <v>9</v>
          </cell>
        </row>
        <row r="59">
          <cell r="B59">
            <v>2.2677419354838699</v>
          </cell>
          <cell r="E59">
            <v>0</v>
          </cell>
        </row>
        <row r="63">
          <cell r="B63">
            <v>3766.2580645161302</v>
          </cell>
          <cell r="D63">
            <v>4066</v>
          </cell>
          <cell r="E63">
            <v>3943</v>
          </cell>
          <cell r="F63">
            <v>3946</v>
          </cell>
        </row>
        <row r="64">
          <cell r="B64">
            <v>2325.0366350067802</v>
          </cell>
          <cell r="D64">
            <v>2189</v>
          </cell>
          <cell r="E64">
            <v>2454</v>
          </cell>
          <cell r="F64">
            <v>2487</v>
          </cell>
        </row>
        <row r="65">
          <cell r="B65">
            <v>2307.1587516960699</v>
          </cell>
          <cell r="D65">
            <v>2172.6999999999998</v>
          </cell>
          <cell r="E65">
            <v>2482.3000000000002</v>
          </cell>
          <cell r="F65">
            <v>2632</v>
          </cell>
        </row>
        <row r="66">
          <cell r="B66">
            <v>5377.5806451612898</v>
          </cell>
          <cell r="D66">
            <v>5104.2332999999999</v>
          </cell>
          <cell r="E66">
            <v>5357.5666000000001</v>
          </cell>
          <cell r="F66">
            <v>5371</v>
          </cell>
        </row>
        <row r="67">
          <cell r="B67">
            <v>26.616129032258101</v>
          </cell>
          <cell r="D67">
            <v>25.53</v>
          </cell>
          <cell r="E67">
            <v>28.8</v>
          </cell>
          <cell r="F67">
            <v>28.8</v>
          </cell>
        </row>
        <row r="70">
          <cell r="D70">
            <v>14</v>
          </cell>
          <cell r="E70">
            <v>59</v>
          </cell>
        </row>
        <row r="71">
          <cell r="B71">
            <v>3.4774193548387098</v>
          </cell>
          <cell r="E71">
            <v>4.7</v>
          </cell>
        </row>
        <row r="72">
          <cell r="B72">
            <v>0</v>
          </cell>
          <cell r="E72">
            <v>0</v>
          </cell>
        </row>
        <row r="73">
          <cell r="B73">
            <v>0</v>
          </cell>
          <cell r="E73">
            <v>0</v>
          </cell>
        </row>
        <row r="77">
          <cell r="B77">
            <v>74539.096774193502</v>
          </cell>
          <cell r="D77">
            <v>63623</v>
          </cell>
          <cell r="E77">
            <v>75106</v>
          </cell>
          <cell r="F77">
            <v>78121</v>
          </cell>
        </row>
        <row r="78">
          <cell r="B78">
            <v>10736.4993215739</v>
          </cell>
          <cell r="D78">
            <v>8521</v>
          </cell>
          <cell r="E78">
            <v>10794</v>
          </cell>
          <cell r="F78">
            <v>10800</v>
          </cell>
        </row>
        <row r="79">
          <cell r="B79">
            <v>10258.6485753053</v>
          </cell>
          <cell r="D79">
            <v>7899</v>
          </cell>
          <cell r="E79">
            <v>10019</v>
          </cell>
          <cell r="F79">
            <v>10486</v>
          </cell>
        </row>
        <row r="80">
          <cell r="B80">
            <v>56426.419354838697</v>
          </cell>
          <cell r="D80">
            <v>54950</v>
          </cell>
          <cell r="E80">
            <v>56960</v>
          </cell>
          <cell r="F80">
            <v>60270</v>
          </cell>
        </row>
        <row r="81">
          <cell r="B81">
            <v>1577.3548387096801</v>
          </cell>
          <cell r="D81">
            <v>1166</v>
          </cell>
          <cell r="E81">
            <v>1504</v>
          </cell>
          <cell r="F81">
            <v>1557</v>
          </cell>
        </row>
        <row r="84">
          <cell r="D84">
            <v>-55.2</v>
          </cell>
          <cell r="E84">
            <v>83.898499999999999</v>
          </cell>
        </row>
        <row r="85">
          <cell r="B85">
            <v>102.723870967742</v>
          </cell>
          <cell r="E85">
            <v>101.44</v>
          </cell>
        </row>
        <row r="86">
          <cell r="B86">
            <v>12.2261290322581</v>
          </cell>
          <cell r="E86">
            <v>1.21</v>
          </cell>
        </row>
        <row r="87">
          <cell r="B87">
            <v>8.6238709677419401</v>
          </cell>
          <cell r="E87">
            <v>8.44</v>
          </cell>
        </row>
        <row r="91">
          <cell r="B91">
            <v>104569.774193548</v>
          </cell>
          <cell r="D91">
            <v>91158</v>
          </cell>
          <cell r="E91">
            <v>105315</v>
          </cell>
          <cell r="F91">
            <v>105315</v>
          </cell>
        </row>
        <row r="92">
          <cell r="B92">
            <v>34697.421981004103</v>
          </cell>
          <cell r="D92">
            <v>29990</v>
          </cell>
          <cell r="E92">
            <v>34374</v>
          </cell>
          <cell r="F92">
            <v>34374</v>
          </cell>
        </row>
        <row r="93">
          <cell r="B93">
            <v>34309.058344640398</v>
          </cell>
          <cell r="D93">
            <v>29491</v>
          </cell>
          <cell r="E93">
            <v>34670</v>
          </cell>
          <cell r="F93">
            <v>35808</v>
          </cell>
        </row>
        <row r="94">
          <cell r="B94">
            <v>85650.225806451606</v>
          </cell>
          <cell r="D94">
            <v>80220</v>
          </cell>
          <cell r="E94">
            <v>86272</v>
          </cell>
          <cell r="F94">
            <v>86061</v>
          </cell>
        </row>
        <row r="95">
          <cell r="B95">
            <v>5890.5161290322603</v>
          </cell>
          <cell r="D95">
            <v>5781</v>
          </cell>
          <cell r="E95">
            <v>5781</v>
          </cell>
          <cell r="F95">
            <v>5976</v>
          </cell>
        </row>
        <row r="98">
          <cell r="D98">
            <v>-147</v>
          </cell>
          <cell r="E98">
            <v>155</v>
          </cell>
        </row>
        <row r="99">
          <cell r="B99">
            <v>119.41935483871001</v>
          </cell>
          <cell r="E99">
            <v>111</v>
          </cell>
        </row>
        <row r="100">
          <cell r="B100">
            <v>43.548387096774199</v>
          </cell>
          <cell r="E100">
            <v>35</v>
          </cell>
        </row>
        <row r="101">
          <cell r="B101">
            <v>8.8709677419354804</v>
          </cell>
          <cell r="E101">
            <v>6</v>
          </cell>
        </row>
        <row r="105">
          <cell r="B105">
            <v>3334.83870967742</v>
          </cell>
          <cell r="D105">
            <v>2139</v>
          </cell>
          <cell r="E105">
            <v>2985</v>
          </cell>
          <cell r="F105">
            <v>3419</v>
          </cell>
        </row>
        <row r="106">
          <cell r="B106">
            <v>3220.65671641791</v>
          </cell>
          <cell r="D106">
            <v>1945</v>
          </cell>
          <cell r="E106">
            <v>2908</v>
          </cell>
          <cell r="F106">
            <v>3199</v>
          </cell>
        </row>
        <row r="107">
          <cell r="B107">
            <v>3048.4233378561698</v>
          </cell>
          <cell r="D107">
            <v>2072</v>
          </cell>
          <cell r="E107">
            <v>3177</v>
          </cell>
          <cell r="F107">
            <v>3174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</row>
        <row r="109">
          <cell r="B109">
            <v>137.928387096774</v>
          </cell>
          <cell r="D109">
            <v>109.5</v>
          </cell>
          <cell r="E109">
            <v>130.4</v>
          </cell>
          <cell r="F109">
            <v>130.4</v>
          </cell>
        </row>
        <row r="112">
          <cell r="D112">
            <v>20</v>
          </cell>
          <cell r="E112">
            <v>0</v>
          </cell>
        </row>
        <row r="113">
          <cell r="B113">
            <v>12.5612903225806</v>
          </cell>
          <cell r="E113">
            <v>8</v>
          </cell>
        </row>
        <row r="114">
          <cell r="B114">
            <v>7.7096774193548399</v>
          </cell>
          <cell r="E114">
            <v>0</v>
          </cell>
        </row>
        <row r="115">
          <cell r="B115">
            <v>0</v>
          </cell>
          <cell r="E115">
            <v>0</v>
          </cell>
        </row>
        <row r="119">
          <cell r="B119">
            <v>3321.4193548387102</v>
          </cell>
          <cell r="D119">
            <v>3185</v>
          </cell>
          <cell r="E119">
            <v>3297</v>
          </cell>
          <cell r="F119">
            <v>3309</v>
          </cell>
        </row>
        <row r="120">
          <cell r="B120">
            <v>1410.88738127544</v>
          </cell>
          <cell r="D120">
            <v>1041</v>
          </cell>
          <cell r="E120">
            <v>1386</v>
          </cell>
          <cell r="F120">
            <v>1388</v>
          </cell>
        </row>
        <row r="121">
          <cell r="B121">
            <v>1403.36499321574</v>
          </cell>
          <cell r="D121">
            <v>1029</v>
          </cell>
          <cell r="E121">
            <v>1371</v>
          </cell>
          <cell r="F121">
            <v>1394</v>
          </cell>
        </row>
        <row r="122">
          <cell r="B122">
            <v>3405.3225806451601</v>
          </cell>
          <cell r="D122">
            <v>3329</v>
          </cell>
          <cell r="E122">
            <v>3682</v>
          </cell>
          <cell r="F122">
            <v>3690</v>
          </cell>
        </row>
        <row r="123">
          <cell r="B123">
            <v>103.354838709677</v>
          </cell>
          <cell r="D123">
            <v>77.2</v>
          </cell>
          <cell r="E123">
            <v>102.7</v>
          </cell>
          <cell r="F123">
            <v>106.2</v>
          </cell>
        </row>
        <row r="126">
          <cell r="D126">
            <v>10.9</v>
          </cell>
          <cell r="E126">
            <v>-18</v>
          </cell>
        </row>
        <row r="127">
          <cell r="B127">
            <v>3.5354838709677399</v>
          </cell>
          <cell r="E127">
            <v>27.6</v>
          </cell>
        </row>
        <row r="128">
          <cell r="B128">
            <v>2.3838709677419399</v>
          </cell>
          <cell r="E128">
            <v>0</v>
          </cell>
        </row>
        <row r="129">
          <cell r="B129">
            <v>3.5483870967741901E-2</v>
          </cell>
          <cell r="E129">
            <v>0</v>
          </cell>
        </row>
      </sheetData>
      <sheetData sheetId="9"/>
      <sheetData sheetId="10" refreshError="1">
        <row r="37">
          <cell r="I37">
            <v>109639</v>
          </cell>
          <cell r="J37">
            <v>112174</v>
          </cell>
          <cell r="K37">
            <v>112180</v>
          </cell>
          <cell r="N37">
            <v>8554820</v>
          </cell>
          <cell r="O37">
            <v>8604170</v>
          </cell>
          <cell r="P37">
            <v>8612180</v>
          </cell>
        </row>
        <row r="38">
          <cell r="I38">
            <v>15490</v>
          </cell>
          <cell r="J38">
            <v>15490</v>
          </cell>
          <cell r="K38">
            <v>18342</v>
          </cell>
          <cell r="N38">
            <v>1164782.99</v>
          </cell>
          <cell r="O38">
            <v>1164782.99</v>
          </cell>
          <cell r="P38">
            <v>1258083</v>
          </cell>
        </row>
        <row r="39">
          <cell r="I39">
            <v>15490</v>
          </cell>
          <cell r="J39">
            <v>15490</v>
          </cell>
          <cell r="K39">
            <v>18342</v>
          </cell>
          <cell r="N39">
            <v>1164782.99</v>
          </cell>
          <cell r="O39">
            <v>1164782.99</v>
          </cell>
          <cell r="P39">
            <v>1258083</v>
          </cell>
        </row>
        <row r="40">
          <cell r="I40">
            <v>0</v>
          </cell>
          <cell r="J40">
            <v>0</v>
          </cell>
          <cell r="K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I41">
            <v>14870.4</v>
          </cell>
          <cell r="J41">
            <v>14870.4</v>
          </cell>
          <cell r="K41">
            <v>17896.311000000002</v>
          </cell>
          <cell r="N41">
            <v>1115780.5850000002</v>
          </cell>
          <cell r="O41">
            <v>1115780.5850000002</v>
          </cell>
          <cell r="P41">
            <v>1223589.3060000001</v>
          </cell>
        </row>
        <row r="42">
          <cell r="I42">
            <v>14870.4</v>
          </cell>
          <cell r="J42">
            <v>14870.4</v>
          </cell>
          <cell r="K42">
            <v>17896.311000000002</v>
          </cell>
          <cell r="N42">
            <v>1115780.5850000002</v>
          </cell>
          <cell r="O42">
            <v>1115780.5850000002</v>
          </cell>
          <cell r="P42">
            <v>1223589.3060000001</v>
          </cell>
        </row>
        <row r="43">
          <cell r="I43">
            <v>0</v>
          </cell>
          <cell r="J43">
            <v>0</v>
          </cell>
          <cell r="K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I44">
            <v>600.13199999999995</v>
          </cell>
          <cell r="J44">
            <v>600.13199999999995</v>
          </cell>
          <cell r="K44">
            <v>600.13199999999995</v>
          </cell>
          <cell r="N44">
            <v>45123.107000000004</v>
          </cell>
          <cell r="O44">
            <v>45123.107000000004</v>
          </cell>
          <cell r="P44">
            <v>48628.101000000002</v>
          </cell>
        </row>
        <row r="45">
          <cell r="I45">
            <v>600.13199999999995</v>
          </cell>
          <cell r="J45">
            <v>600.13199999999995</v>
          </cell>
          <cell r="K45">
            <v>600.13199999999995</v>
          </cell>
          <cell r="N45">
            <v>45123.107000000004</v>
          </cell>
          <cell r="O45">
            <v>45123.107000000004</v>
          </cell>
          <cell r="P45">
            <v>48628.101000000002</v>
          </cell>
        </row>
        <row r="46">
          <cell r="I46">
            <v>0</v>
          </cell>
          <cell r="J46">
            <v>0</v>
          </cell>
          <cell r="K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I47">
            <v>208</v>
          </cell>
          <cell r="J47">
            <v>208</v>
          </cell>
          <cell r="K47">
            <v>208</v>
          </cell>
          <cell r="N47">
            <v>15261.022000000001</v>
          </cell>
          <cell r="O47">
            <v>15261.022000000001</v>
          </cell>
          <cell r="P47">
            <v>15261</v>
          </cell>
        </row>
        <row r="48">
          <cell r="I48">
            <v>208</v>
          </cell>
          <cell r="J48">
            <v>208</v>
          </cell>
          <cell r="K48">
            <v>208</v>
          </cell>
          <cell r="N48">
            <v>15261.022000000001</v>
          </cell>
          <cell r="O48">
            <v>15261.022000000001</v>
          </cell>
          <cell r="P48">
            <v>15261</v>
          </cell>
        </row>
        <row r="49">
          <cell r="I49">
            <v>0</v>
          </cell>
          <cell r="J49">
            <v>0</v>
          </cell>
          <cell r="K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I50">
            <v>723.46799999999996</v>
          </cell>
          <cell r="J50">
            <v>723.46799999999996</v>
          </cell>
          <cell r="K50">
            <v>458.43399999999997</v>
          </cell>
          <cell r="N50">
            <v>40951.46</v>
          </cell>
          <cell r="O50">
            <v>40951.46</v>
          </cell>
          <cell r="P50">
            <v>30077.433999999997</v>
          </cell>
        </row>
        <row r="51">
          <cell r="I51">
            <v>723.46799999999996</v>
          </cell>
          <cell r="J51">
            <v>723.46799999999996</v>
          </cell>
          <cell r="K51">
            <v>458.43399999999997</v>
          </cell>
          <cell r="N51">
            <v>40951.46</v>
          </cell>
          <cell r="O51">
            <v>40951.46</v>
          </cell>
          <cell r="P51">
            <v>30077.433999999997</v>
          </cell>
        </row>
        <row r="52">
          <cell r="I52">
            <v>0</v>
          </cell>
          <cell r="J52">
            <v>0</v>
          </cell>
          <cell r="K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I53">
            <v>52</v>
          </cell>
          <cell r="J53">
            <v>52</v>
          </cell>
          <cell r="K53">
            <v>224.745</v>
          </cell>
          <cell r="N53">
            <v>4512.0259999999998</v>
          </cell>
          <cell r="O53">
            <v>4512.0259999999998</v>
          </cell>
          <cell r="P53">
            <v>4454.7449999999999</v>
          </cell>
        </row>
        <row r="54">
          <cell r="I54">
            <v>52</v>
          </cell>
          <cell r="J54">
            <v>52</v>
          </cell>
          <cell r="K54">
            <v>224.745</v>
          </cell>
          <cell r="N54">
            <v>4512.0259999999998</v>
          </cell>
          <cell r="O54">
            <v>4512.0259999999998</v>
          </cell>
          <cell r="P54">
            <v>4454.7449999999999</v>
          </cell>
        </row>
        <row r="55">
          <cell r="I55">
            <v>0</v>
          </cell>
          <cell r="J55">
            <v>0</v>
          </cell>
          <cell r="K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I56">
            <v>13286.8</v>
          </cell>
          <cell r="J56">
            <v>13286.8</v>
          </cell>
          <cell r="K56">
            <v>16405</v>
          </cell>
          <cell r="N56">
            <v>1009932.426</v>
          </cell>
          <cell r="O56">
            <v>1009932.426</v>
          </cell>
          <cell r="P56">
            <v>1125168</v>
          </cell>
        </row>
        <row r="57">
          <cell r="I57">
            <v>13286.8</v>
          </cell>
          <cell r="J57">
            <v>13286.8</v>
          </cell>
          <cell r="K57">
            <v>16405</v>
          </cell>
          <cell r="N57">
            <v>1009932.426</v>
          </cell>
          <cell r="O57">
            <v>1009932.426</v>
          </cell>
          <cell r="P57">
            <v>1125168</v>
          </cell>
        </row>
        <row r="58">
          <cell r="I58">
            <v>0</v>
          </cell>
          <cell r="J58">
            <v>0</v>
          </cell>
          <cell r="K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I59">
            <v>619.6</v>
          </cell>
          <cell r="J59">
            <v>619.6</v>
          </cell>
          <cell r="K59">
            <v>445.68900000000008</v>
          </cell>
          <cell r="N59">
            <v>49002.145000000004</v>
          </cell>
          <cell r="O59">
            <v>49002.145000000004</v>
          </cell>
          <cell r="P59">
            <v>34493.924999999996</v>
          </cell>
        </row>
        <row r="60">
          <cell r="I60">
            <v>619.6</v>
          </cell>
          <cell r="J60">
            <v>619.6</v>
          </cell>
          <cell r="K60">
            <v>445.68900000000008</v>
          </cell>
          <cell r="N60">
            <v>49002.145000000004</v>
          </cell>
          <cell r="O60">
            <v>49002.145000000004</v>
          </cell>
          <cell r="P60">
            <v>34493.924999999996</v>
          </cell>
        </row>
        <row r="61">
          <cell r="I61">
            <v>0</v>
          </cell>
          <cell r="J61">
            <v>0</v>
          </cell>
          <cell r="K61">
            <v>0</v>
          </cell>
          <cell r="N61">
            <v>0</v>
          </cell>
          <cell r="O61">
            <v>0</v>
          </cell>
          <cell r="P61">
            <v>0</v>
          </cell>
        </row>
        <row r="66">
          <cell r="I66">
            <v>90235</v>
          </cell>
          <cell r="J66">
            <v>86625</v>
          </cell>
          <cell r="K66">
            <v>86519</v>
          </cell>
          <cell r="N66">
            <v>6920975</v>
          </cell>
          <cell r="O66">
            <v>6713953</v>
          </cell>
          <cell r="P66">
            <v>6697241</v>
          </cell>
        </row>
        <row r="67">
          <cell r="I67">
            <v>8973.6</v>
          </cell>
          <cell r="J67">
            <v>8587.732</v>
          </cell>
          <cell r="K67">
            <v>8673</v>
          </cell>
          <cell r="N67">
            <v>653869.58000000007</v>
          </cell>
          <cell r="O67">
            <v>639086.28099999996</v>
          </cell>
          <cell r="P67">
            <v>640342</v>
          </cell>
        </row>
        <row r="68">
          <cell r="I68">
            <v>8973.6</v>
          </cell>
          <cell r="J68">
            <v>8587.732</v>
          </cell>
          <cell r="K68">
            <v>8673</v>
          </cell>
          <cell r="N68">
            <v>653869.58000000007</v>
          </cell>
          <cell r="O68">
            <v>639086.28099999996</v>
          </cell>
          <cell r="P68">
            <v>640342</v>
          </cell>
        </row>
        <row r="69">
          <cell r="I69">
            <v>0</v>
          </cell>
          <cell r="J69">
            <v>0</v>
          </cell>
          <cell r="K69">
            <v>0</v>
          </cell>
          <cell r="N69">
            <v>0</v>
          </cell>
          <cell r="O69">
            <v>0</v>
          </cell>
          <cell r="P69">
            <v>0</v>
          </cell>
        </row>
        <row r="70">
          <cell r="I70">
            <v>8686.4</v>
          </cell>
          <cell r="J70">
            <v>8312.9359999999997</v>
          </cell>
          <cell r="K70">
            <v>8652.8869999999988</v>
          </cell>
          <cell r="N70">
            <v>626896.36199999996</v>
          </cell>
          <cell r="O70">
            <v>612777.68500000006</v>
          </cell>
          <cell r="P70">
            <v>625883.02</v>
          </cell>
        </row>
        <row r="71">
          <cell r="I71">
            <v>8686.4</v>
          </cell>
          <cell r="J71">
            <v>8312.9359999999997</v>
          </cell>
          <cell r="K71">
            <v>8652.8869999999988</v>
          </cell>
          <cell r="N71">
            <v>626896.36199999996</v>
          </cell>
          <cell r="O71">
            <v>612777.68500000006</v>
          </cell>
          <cell r="P71">
            <v>625883.02</v>
          </cell>
        </row>
        <row r="72">
          <cell r="I72">
            <v>0</v>
          </cell>
          <cell r="J72">
            <v>0</v>
          </cell>
          <cell r="K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I73">
            <v>347.6</v>
          </cell>
          <cell r="J73">
            <v>332.66800000000001</v>
          </cell>
          <cell r="K73">
            <v>347.6</v>
          </cell>
          <cell r="N73">
            <v>25330.592000000001</v>
          </cell>
          <cell r="O73">
            <v>24756.272000000001</v>
          </cell>
          <cell r="P73">
            <v>24819.151000000002</v>
          </cell>
        </row>
        <row r="74">
          <cell r="I74">
            <v>347.6</v>
          </cell>
          <cell r="J74">
            <v>332.66800000000001</v>
          </cell>
          <cell r="K74">
            <v>347.6</v>
          </cell>
          <cell r="N74">
            <v>25330.592000000001</v>
          </cell>
          <cell r="O74">
            <v>24756.272000000001</v>
          </cell>
          <cell r="P74">
            <v>24819.151000000002</v>
          </cell>
        </row>
        <row r="75">
          <cell r="I75">
            <v>0</v>
          </cell>
          <cell r="J75">
            <v>0</v>
          </cell>
          <cell r="K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I76">
            <v>236</v>
          </cell>
          <cell r="J76">
            <v>236</v>
          </cell>
          <cell r="K76">
            <v>236</v>
          </cell>
          <cell r="N76">
            <v>12999.978999999999</v>
          </cell>
          <cell r="O76">
            <v>12999.978999999999</v>
          </cell>
          <cell r="P76">
            <v>9537</v>
          </cell>
        </row>
        <row r="77">
          <cell r="I77">
            <v>236</v>
          </cell>
          <cell r="J77">
            <v>236</v>
          </cell>
          <cell r="K77">
            <v>236</v>
          </cell>
          <cell r="N77">
            <v>12999.978999999999</v>
          </cell>
          <cell r="O77">
            <v>12999.978999999999</v>
          </cell>
          <cell r="P77">
            <v>9537</v>
          </cell>
        </row>
        <row r="78">
          <cell r="I78">
            <v>0</v>
          </cell>
          <cell r="J78">
            <v>0</v>
          </cell>
          <cell r="K78">
            <v>0</v>
          </cell>
          <cell r="N78">
            <v>0</v>
          </cell>
          <cell r="O78">
            <v>0</v>
          </cell>
          <cell r="P78">
            <v>0</v>
          </cell>
        </row>
        <row r="79">
          <cell r="I79">
            <v>308.66800000000001</v>
          </cell>
          <cell r="J79">
            <v>308.66800000000001</v>
          </cell>
          <cell r="K79">
            <v>315.28699999999998</v>
          </cell>
          <cell r="N79">
            <v>13318.671</v>
          </cell>
          <cell r="O79">
            <v>13318.671</v>
          </cell>
          <cell r="P79">
            <v>12837.287</v>
          </cell>
        </row>
        <row r="80">
          <cell r="I80">
            <v>308.66800000000001</v>
          </cell>
          <cell r="J80">
            <v>308.66800000000001</v>
          </cell>
          <cell r="K80">
            <v>315.28699999999998</v>
          </cell>
          <cell r="N80">
            <v>13318.671</v>
          </cell>
          <cell r="O80">
            <v>13318.671</v>
          </cell>
          <cell r="P80">
            <v>12837.287</v>
          </cell>
        </row>
        <row r="81">
          <cell r="I81">
            <v>0</v>
          </cell>
          <cell r="J81">
            <v>0</v>
          </cell>
          <cell r="K81">
            <v>0</v>
          </cell>
          <cell r="N81">
            <v>0</v>
          </cell>
          <cell r="O81">
            <v>0</v>
          </cell>
          <cell r="P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I85">
            <v>7794.1319999999996</v>
          </cell>
          <cell r="J85">
            <v>7435.6</v>
          </cell>
          <cell r="K85">
            <v>7754</v>
          </cell>
          <cell r="N85">
            <v>575247.12000000011</v>
          </cell>
          <cell r="O85">
            <v>561702.76300000004</v>
          </cell>
          <cell r="P85">
            <v>578691</v>
          </cell>
        </row>
        <row r="86">
          <cell r="I86">
            <v>7794.1319999999996</v>
          </cell>
          <cell r="J86">
            <v>7435.6</v>
          </cell>
          <cell r="K86">
            <v>7754</v>
          </cell>
          <cell r="N86">
            <v>575247.12000000011</v>
          </cell>
          <cell r="O86">
            <v>561702.76300000004</v>
          </cell>
          <cell r="P86">
            <v>578691</v>
          </cell>
        </row>
        <row r="87">
          <cell r="I87">
            <v>0</v>
          </cell>
          <cell r="J87">
            <v>0</v>
          </cell>
          <cell r="K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I88">
            <v>287.20000000000016</v>
          </cell>
          <cell r="J88">
            <v>274.79600000000005</v>
          </cell>
          <cell r="K88">
            <v>20.112999999999897</v>
          </cell>
          <cell r="N88">
            <v>26973.218000000001</v>
          </cell>
          <cell r="O88">
            <v>26308.596000000001</v>
          </cell>
          <cell r="P88">
            <v>14458.126</v>
          </cell>
        </row>
        <row r="89">
          <cell r="I89">
            <v>287.20000000000016</v>
          </cell>
          <cell r="J89">
            <v>274.79600000000005</v>
          </cell>
          <cell r="K89">
            <v>20.112999999999897</v>
          </cell>
          <cell r="N89">
            <v>26973.218000000001</v>
          </cell>
          <cell r="O89">
            <v>26308.596000000001</v>
          </cell>
          <cell r="P89">
            <v>14458.126</v>
          </cell>
        </row>
        <row r="90">
          <cell r="I90">
            <v>0</v>
          </cell>
          <cell r="J90">
            <v>0</v>
          </cell>
          <cell r="K90">
            <v>0</v>
          </cell>
          <cell r="N90">
            <v>0</v>
          </cell>
          <cell r="O90">
            <v>0</v>
          </cell>
          <cell r="P90">
            <v>0</v>
          </cell>
        </row>
        <row r="106">
          <cell r="I106">
            <v>57487</v>
          </cell>
          <cell r="J106">
            <v>62091</v>
          </cell>
          <cell r="K106">
            <v>61355</v>
          </cell>
          <cell r="N106">
            <v>4752563.8499999996</v>
          </cell>
          <cell r="O106">
            <v>4930474</v>
          </cell>
          <cell r="P106">
            <v>4919883</v>
          </cell>
        </row>
        <row r="107">
          <cell r="I107">
            <v>4140.4040000000005</v>
          </cell>
          <cell r="J107">
            <v>4140.4040000000005</v>
          </cell>
          <cell r="K107">
            <v>4247.3999999999996</v>
          </cell>
          <cell r="N107">
            <v>322221.49400000001</v>
          </cell>
          <cell r="O107">
            <v>323108.48300000001</v>
          </cell>
          <cell r="P107">
            <v>332292.40000000002</v>
          </cell>
        </row>
        <row r="108">
          <cell r="I108">
            <v>616.13599999999997</v>
          </cell>
          <cell r="J108">
            <v>616.13599999999997</v>
          </cell>
          <cell r="K108">
            <v>619.1</v>
          </cell>
          <cell r="N108">
            <v>44418.603000000003</v>
          </cell>
          <cell r="O108">
            <v>43967.222000000002</v>
          </cell>
          <cell r="P108">
            <v>48394.700000000004</v>
          </cell>
        </row>
        <row r="109">
          <cell r="I109">
            <v>0</v>
          </cell>
          <cell r="J109">
            <v>0</v>
          </cell>
          <cell r="K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I110">
            <v>136.136</v>
          </cell>
          <cell r="J110">
            <v>136.136</v>
          </cell>
          <cell r="K110">
            <v>140.69999999999999</v>
          </cell>
          <cell r="N110">
            <v>10676.540999999999</v>
          </cell>
          <cell r="O110">
            <v>10697.431999999999</v>
          </cell>
          <cell r="P110">
            <v>11017.099999999999</v>
          </cell>
        </row>
        <row r="111">
          <cell r="I111">
            <v>273.33199999999999</v>
          </cell>
          <cell r="J111">
            <v>273.33199999999999</v>
          </cell>
          <cell r="K111">
            <v>264.8</v>
          </cell>
          <cell r="N111">
            <v>18338.374</v>
          </cell>
          <cell r="O111">
            <v>17923.361999999997</v>
          </cell>
          <cell r="P111">
            <v>19809.8</v>
          </cell>
        </row>
        <row r="112">
          <cell r="I112">
            <v>80</v>
          </cell>
          <cell r="J112">
            <v>80</v>
          </cell>
          <cell r="K112">
            <v>83.6</v>
          </cell>
          <cell r="N112">
            <v>3826.9389999999999</v>
          </cell>
          <cell r="O112">
            <v>3890.0940000000001</v>
          </cell>
          <cell r="P112">
            <v>3736.8</v>
          </cell>
        </row>
        <row r="113">
          <cell r="I113">
            <v>0</v>
          </cell>
          <cell r="J113">
            <v>0</v>
          </cell>
          <cell r="K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I114">
            <v>126.66800000000001</v>
          </cell>
          <cell r="J114">
            <v>126.66800000000001</v>
          </cell>
          <cell r="K114">
            <v>130</v>
          </cell>
          <cell r="N114">
            <v>11576.725999999999</v>
          </cell>
          <cell r="O114">
            <v>11456.884</v>
          </cell>
          <cell r="P114">
            <v>13830</v>
          </cell>
        </row>
        <row r="115">
          <cell r="I115">
            <v>3524.268</v>
          </cell>
          <cell r="J115">
            <v>3524.268</v>
          </cell>
          <cell r="K115">
            <v>3628.3</v>
          </cell>
          <cell r="N115">
            <v>277802.91399999999</v>
          </cell>
          <cell r="O115">
            <v>279141.33999999997</v>
          </cell>
          <cell r="P115">
            <v>283898.7</v>
          </cell>
        </row>
        <row r="118">
          <cell r="I118">
            <v>12985</v>
          </cell>
          <cell r="J118">
            <v>12024</v>
          </cell>
          <cell r="K118">
            <v>12165</v>
          </cell>
          <cell r="N118">
            <v>1047160.039</v>
          </cell>
          <cell r="O118">
            <v>1008281</v>
          </cell>
          <cell r="P118">
            <v>1001696</v>
          </cell>
        </row>
        <row r="119">
          <cell r="I119">
            <v>597.20000000000005</v>
          </cell>
          <cell r="J119">
            <v>597.20000000000005</v>
          </cell>
          <cell r="K119">
            <v>525.6</v>
          </cell>
          <cell r="N119">
            <v>45200.711000000003</v>
          </cell>
          <cell r="O119">
            <v>45439.192000000003</v>
          </cell>
          <cell r="P119">
            <v>42902.799999999996</v>
          </cell>
        </row>
        <row r="120">
          <cell r="I120">
            <v>191.6</v>
          </cell>
          <cell r="J120">
            <v>191.6</v>
          </cell>
          <cell r="K120">
            <v>190.5</v>
          </cell>
          <cell r="N120">
            <v>11755.471</v>
          </cell>
          <cell r="O120">
            <v>11674.628999999999</v>
          </cell>
          <cell r="P120">
            <v>11772.099999999999</v>
          </cell>
        </row>
        <row r="121">
          <cell r="I121">
            <v>0</v>
          </cell>
          <cell r="J121">
            <v>0</v>
          </cell>
          <cell r="K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I122">
            <v>27.6</v>
          </cell>
          <cell r="J122">
            <v>27.6</v>
          </cell>
          <cell r="K122">
            <v>24.5</v>
          </cell>
          <cell r="N122">
            <v>2084.77</v>
          </cell>
          <cell r="O122">
            <v>2030.6110000000001</v>
          </cell>
          <cell r="P122">
            <v>1981.8999999999999</v>
          </cell>
        </row>
        <row r="123">
          <cell r="I123">
            <v>120</v>
          </cell>
          <cell r="J123">
            <v>120</v>
          </cell>
          <cell r="K123">
            <v>121</v>
          </cell>
          <cell r="N123">
            <v>7770.0029999999997</v>
          </cell>
          <cell r="O123">
            <v>7719.9939999999997</v>
          </cell>
          <cell r="P123">
            <v>7897</v>
          </cell>
        </row>
        <row r="124">
          <cell r="I124">
            <v>44</v>
          </cell>
          <cell r="J124">
            <v>44</v>
          </cell>
          <cell r="K124">
            <v>45</v>
          </cell>
          <cell r="N124">
            <v>1901.018</v>
          </cell>
          <cell r="O124">
            <v>1924.0239999999999</v>
          </cell>
          <cell r="P124">
            <v>1894.1</v>
          </cell>
        </row>
        <row r="125">
          <cell r="I125">
            <v>0</v>
          </cell>
          <cell r="J125">
            <v>0</v>
          </cell>
          <cell r="K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I126">
            <v>0</v>
          </cell>
          <cell r="J126">
            <v>0</v>
          </cell>
          <cell r="K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I127">
            <v>405.6</v>
          </cell>
          <cell r="J127">
            <v>405.6</v>
          </cell>
          <cell r="K127">
            <v>335.1</v>
          </cell>
          <cell r="N127">
            <v>33445.919999999998</v>
          </cell>
          <cell r="O127">
            <v>33764.563000000002</v>
          </cell>
          <cell r="P127">
            <v>31130.7</v>
          </cell>
        </row>
        <row r="130">
          <cell r="I130">
            <v>8229</v>
          </cell>
          <cell r="J130">
            <v>9204</v>
          </cell>
          <cell r="K130">
            <v>9240</v>
          </cell>
          <cell r="N130">
            <v>724461</v>
          </cell>
          <cell r="O130">
            <v>749125</v>
          </cell>
          <cell r="P130">
            <v>750514</v>
          </cell>
        </row>
        <row r="131">
          <cell r="I131">
            <v>371.12790000000001</v>
          </cell>
          <cell r="J131">
            <v>415.10040000000004</v>
          </cell>
          <cell r="K131">
            <v>416.72399999999999</v>
          </cell>
          <cell r="N131">
            <v>32695.862810000002</v>
          </cell>
          <cell r="O131">
            <v>33804.764349999998</v>
          </cell>
          <cell r="P131">
            <v>33857.714199999995</v>
          </cell>
        </row>
        <row r="132">
          <cell r="I132">
            <v>95.79</v>
          </cell>
          <cell r="J132">
            <v>108.3</v>
          </cell>
          <cell r="K132">
            <v>108.3</v>
          </cell>
          <cell r="N132">
            <v>8038.8589000000002</v>
          </cell>
          <cell r="O132">
            <v>8324.2741499999993</v>
          </cell>
          <cell r="P132">
            <v>8357.4</v>
          </cell>
        </row>
        <row r="133">
          <cell r="I133">
            <v>0</v>
          </cell>
          <cell r="J133">
            <v>0</v>
          </cell>
          <cell r="K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I134">
            <v>4.3459077090000005</v>
          </cell>
          <cell r="J134">
            <v>4.8608256839999999</v>
          </cell>
          <cell r="K134">
            <v>4.8798380400000001</v>
          </cell>
          <cell r="N134">
            <v>383.12905868510001</v>
          </cell>
          <cell r="O134">
            <v>396.13473178609996</v>
          </cell>
          <cell r="P134">
            <v>396.785417198</v>
          </cell>
        </row>
        <row r="135">
          <cell r="I135">
            <v>91.444092291000004</v>
          </cell>
          <cell r="J135">
            <v>103.43917431599999</v>
          </cell>
          <cell r="K135">
            <v>103.42016196</v>
          </cell>
          <cell r="N135">
            <v>7656.7298413148992</v>
          </cell>
          <cell r="O135">
            <v>7927.1394182139002</v>
          </cell>
          <cell r="P135">
            <v>7960.8144408990001</v>
          </cell>
        </row>
        <row r="136">
          <cell r="I136">
            <v>0</v>
          </cell>
          <cell r="J136">
            <v>0</v>
          </cell>
          <cell r="K136">
            <v>0</v>
          </cell>
          <cell r="N136">
            <v>0</v>
          </cell>
          <cell r="O136">
            <v>0</v>
          </cell>
          <cell r="P136">
            <v>0</v>
          </cell>
        </row>
        <row r="137">
          <cell r="I137">
            <v>0</v>
          </cell>
          <cell r="J137">
            <v>0</v>
          </cell>
          <cell r="K137">
            <v>0</v>
          </cell>
          <cell r="N137">
            <v>0</v>
          </cell>
          <cell r="O137">
            <v>0</v>
          </cell>
          <cell r="P137">
            <v>0</v>
          </cell>
        </row>
        <row r="138">
          <cell r="I138">
            <v>0</v>
          </cell>
          <cell r="J138">
            <v>0</v>
          </cell>
          <cell r="K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I139">
            <v>275.33789999999999</v>
          </cell>
          <cell r="J139">
            <v>306.80040000000002</v>
          </cell>
          <cell r="K139">
            <v>308.42399999999998</v>
          </cell>
          <cell r="N139">
            <v>24657.003909999999</v>
          </cell>
          <cell r="O139">
            <v>25481.919160000001</v>
          </cell>
          <cell r="P139">
            <v>25501.283100000001</v>
          </cell>
        </row>
        <row r="142">
          <cell r="I142">
            <v>31973</v>
          </cell>
          <cell r="J142">
            <v>40508</v>
          </cell>
          <cell r="K142">
            <v>40519</v>
          </cell>
          <cell r="N142">
            <v>2807573</v>
          </cell>
          <cell r="O142">
            <v>3005608</v>
          </cell>
          <cell r="P142">
            <v>3023118.6</v>
          </cell>
        </row>
        <row r="143">
          <cell r="I143">
            <v>4511</v>
          </cell>
          <cell r="J143">
            <v>5805</v>
          </cell>
          <cell r="K143">
            <v>6237</v>
          </cell>
          <cell r="N143">
            <v>417781</v>
          </cell>
          <cell r="O143">
            <v>452965</v>
          </cell>
          <cell r="P143">
            <v>455007</v>
          </cell>
        </row>
        <row r="144">
          <cell r="I144">
            <v>4178</v>
          </cell>
          <cell r="J144">
            <v>5391</v>
          </cell>
          <cell r="K144">
            <v>5986.86</v>
          </cell>
          <cell r="N144">
            <v>386828</v>
          </cell>
          <cell r="O144">
            <v>419711</v>
          </cell>
          <cell r="P144">
            <v>430236.15999999997</v>
          </cell>
        </row>
        <row r="145">
          <cell r="I145">
            <v>0</v>
          </cell>
          <cell r="J145">
            <v>0</v>
          </cell>
          <cell r="K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I146">
            <v>115</v>
          </cell>
          <cell r="J146">
            <v>152</v>
          </cell>
          <cell r="K146">
            <v>152</v>
          </cell>
          <cell r="N146">
            <v>10855</v>
          </cell>
          <cell r="O146">
            <v>11852</v>
          </cell>
          <cell r="P146">
            <v>11892</v>
          </cell>
        </row>
        <row r="147">
          <cell r="I147">
            <v>75</v>
          </cell>
          <cell r="J147">
            <v>137</v>
          </cell>
          <cell r="K147">
            <v>75</v>
          </cell>
          <cell r="N147">
            <v>6375</v>
          </cell>
          <cell r="O147">
            <v>6897</v>
          </cell>
          <cell r="P147">
            <v>6840</v>
          </cell>
        </row>
        <row r="148">
          <cell r="I148">
            <v>258</v>
          </cell>
          <cell r="J148">
            <v>75</v>
          </cell>
          <cell r="K148">
            <v>75</v>
          </cell>
          <cell r="N148">
            <v>12578</v>
          </cell>
          <cell r="O148">
            <v>10025</v>
          </cell>
          <cell r="P148">
            <v>8815</v>
          </cell>
        </row>
        <row r="149">
          <cell r="I149">
            <v>175</v>
          </cell>
          <cell r="J149">
            <v>175</v>
          </cell>
          <cell r="K149">
            <v>175</v>
          </cell>
          <cell r="N149">
            <v>9745</v>
          </cell>
          <cell r="O149">
            <v>9745</v>
          </cell>
          <cell r="P149">
            <v>7762</v>
          </cell>
        </row>
        <row r="150">
          <cell r="I150">
            <v>3555</v>
          </cell>
          <cell r="J150">
            <v>4852</v>
          </cell>
          <cell r="K150">
            <v>5509.86</v>
          </cell>
          <cell r="N150">
            <v>347275</v>
          </cell>
          <cell r="O150">
            <v>381192</v>
          </cell>
          <cell r="P150">
            <v>394927.16</v>
          </cell>
        </row>
        <row r="151">
          <cell r="I151">
            <v>333</v>
          </cell>
          <cell r="J151">
            <v>414</v>
          </cell>
          <cell r="K151">
            <v>250.14</v>
          </cell>
          <cell r="N151">
            <v>30952</v>
          </cell>
          <cell r="O151">
            <v>33254</v>
          </cell>
          <cell r="P151">
            <v>24770.84</v>
          </cell>
        </row>
        <row r="174">
          <cell r="I174">
            <v>32678</v>
          </cell>
          <cell r="J174">
            <v>42089</v>
          </cell>
          <cell r="K174">
            <v>41989</v>
          </cell>
          <cell r="N174">
            <v>2790878</v>
          </cell>
          <cell r="O174">
            <v>3261384</v>
          </cell>
          <cell r="P174">
            <v>3261284</v>
          </cell>
        </row>
        <row r="175">
          <cell r="I175">
            <v>1868</v>
          </cell>
          <cell r="J175">
            <v>1868</v>
          </cell>
          <cell r="K175">
            <v>2144</v>
          </cell>
          <cell r="N175">
            <v>151476</v>
          </cell>
          <cell r="O175">
            <v>170836</v>
          </cell>
          <cell r="P175">
            <v>175016</v>
          </cell>
        </row>
        <row r="176">
          <cell r="I176">
            <v>1780</v>
          </cell>
          <cell r="J176">
            <v>1780</v>
          </cell>
          <cell r="K176">
            <v>2056</v>
          </cell>
          <cell r="N176">
            <v>143468</v>
          </cell>
          <cell r="O176">
            <v>162828</v>
          </cell>
          <cell r="P176">
            <v>167008</v>
          </cell>
        </row>
        <row r="177">
          <cell r="I177">
            <v>88</v>
          </cell>
          <cell r="J177">
            <v>88</v>
          </cell>
          <cell r="K177">
            <v>88</v>
          </cell>
          <cell r="N177">
            <v>8008</v>
          </cell>
          <cell r="O177">
            <v>8008</v>
          </cell>
          <cell r="P177">
            <v>8008</v>
          </cell>
        </row>
        <row r="178">
          <cell r="I178">
            <v>1600</v>
          </cell>
          <cell r="J178">
            <v>1600</v>
          </cell>
          <cell r="K178">
            <v>1876</v>
          </cell>
          <cell r="N178">
            <v>125236</v>
          </cell>
          <cell r="O178">
            <v>142766</v>
          </cell>
          <cell r="P178">
            <v>146851</v>
          </cell>
        </row>
        <row r="179">
          <cell r="I179">
            <v>1512</v>
          </cell>
          <cell r="J179">
            <v>1512</v>
          </cell>
          <cell r="K179">
            <v>1788</v>
          </cell>
          <cell r="N179">
            <v>117228</v>
          </cell>
          <cell r="O179">
            <v>134758</v>
          </cell>
          <cell r="P179">
            <v>138843</v>
          </cell>
        </row>
        <row r="180">
          <cell r="I180">
            <v>88</v>
          </cell>
          <cell r="J180">
            <v>88</v>
          </cell>
          <cell r="K180">
            <v>88</v>
          </cell>
          <cell r="N180">
            <v>8008</v>
          </cell>
          <cell r="O180">
            <v>8008</v>
          </cell>
          <cell r="P180">
            <v>8008</v>
          </cell>
        </row>
        <row r="181">
          <cell r="I181">
            <v>48</v>
          </cell>
          <cell r="J181">
            <v>48</v>
          </cell>
          <cell r="K181">
            <v>52</v>
          </cell>
          <cell r="N181">
            <v>3858</v>
          </cell>
          <cell r="O181">
            <v>4079</v>
          </cell>
          <cell r="P181">
            <v>4109</v>
          </cell>
        </row>
        <row r="182">
          <cell r="I182">
            <v>48</v>
          </cell>
          <cell r="J182">
            <v>48</v>
          </cell>
          <cell r="K182">
            <v>48</v>
          </cell>
          <cell r="N182">
            <v>3721</v>
          </cell>
          <cell r="O182">
            <v>3942</v>
          </cell>
          <cell r="P182">
            <v>3968</v>
          </cell>
        </row>
        <row r="183">
          <cell r="I183">
            <v>0</v>
          </cell>
          <cell r="J183">
            <v>0</v>
          </cell>
          <cell r="K183">
            <v>4</v>
          </cell>
          <cell r="N183">
            <v>137</v>
          </cell>
          <cell r="O183">
            <v>137</v>
          </cell>
          <cell r="P183">
            <v>141</v>
          </cell>
        </row>
        <row r="184">
          <cell r="I184">
            <v>744</v>
          </cell>
          <cell r="J184">
            <v>744</v>
          </cell>
          <cell r="K184">
            <v>768</v>
          </cell>
          <cell r="N184">
            <v>48638</v>
          </cell>
          <cell r="O184">
            <v>60230</v>
          </cell>
          <cell r="P184">
            <v>61785</v>
          </cell>
        </row>
        <row r="185">
          <cell r="I185">
            <v>656</v>
          </cell>
          <cell r="J185">
            <v>656</v>
          </cell>
          <cell r="K185">
            <v>684</v>
          </cell>
          <cell r="N185">
            <v>40767</v>
          </cell>
          <cell r="O185">
            <v>52359</v>
          </cell>
          <cell r="P185">
            <v>53918</v>
          </cell>
        </row>
        <row r="186">
          <cell r="I186">
            <v>88</v>
          </cell>
          <cell r="J186">
            <v>88</v>
          </cell>
          <cell r="K186">
            <v>84</v>
          </cell>
          <cell r="N186">
            <v>7871</v>
          </cell>
          <cell r="O186">
            <v>7871</v>
          </cell>
          <cell r="P186">
            <v>7867</v>
          </cell>
        </row>
        <row r="187">
          <cell r="I187">
            <v>0</v>
          </cell>
          <cell r="J187">
            <v>0</v>
          </cell>
          <cell r="K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I188">
            <v>0</v>
          </cell>
          <cell r="J188">
            <v>0</v>
          </cell>
          <cell r="K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I189">
            <v>0</v>
          </cell>
          <cell r="J189">
            <v>0</v>
          </cell>
          <cell r="K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I190">
            <v>96</v>
          </cell>
          <cell r="J190">
            <v>96</v>
          </cell>
          <cell r="K190">
            <v>96</v>
          </cell>
          <cell r="N190">
            <v>7516</v>
          </cell>
          <cell r="O190">
            <v>7251</v>
          </cell>
          <cell r="P190">
            <v>7251</v>
          </cell>
        </row>
        <row r="191">
          <cell r="I191">
            <v>96</v>
          </cell>
          <cell r="J191">
            <v>96</v>
          </cell>
          <cell r="K191">
            <v>96</v>
          </cell>
          <cell r="N191">
            <v>7516</v>
          </cell>
          <cell r="O191">
            <v>7251</v>
          </cell>
          <cell r="P191">
            <v>7251</v>
          </cell>
        </row>
        <row r="192">
          <cell r="I192">
            <v>0</v>
          </cell>
          <cell r="J192">
            <v>0</v>
          </cell>
          <cell r="K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I193">
            <v>712</v>
          </cell>
          <cell r="J193">
            <v>712</v>
          </cell>
          <cell r="K193">
            <v>960</v>
          </cell>
          <cell r="N193">
            <v>65224</v>
          </cell>
          <cell r="O193">
            <v>71206</v>
          </cell>
          <cell r="P193">
            <v>73706</v>
          </cell>
        </row>
        <row r="194">
          <cell r="I194">
            <v>712</v>
          </cell>
          <cell r="J194">
            <v>712</v>
          </cell>
          <cell r="K194">
            <v>960</v>
          </cell>
          <cell r="N194">
            <v>65224</v>
          </cell>
          <cell r="O194">
            <v>71206</v>
          </cell>
          <cell r="P194">
            <v>73706</v>
          </cell>
        </row>
        <row r="195">
          <cell r="I195">
            <v>0</v>
          </cell>
          <cell r="J195">
            <v>0</v>
          </cell>
          <cell r="K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I196">
            <v>496</v>
          </cell>
          <cell r="J196">
            <v>496</v>
          </cell>
          <cell r="K196">
            <v>720</v>
          </cell>
          <cell r="N196">
            <v>46178</v>
          </cell>
          <cell r="O196">
            <v>53401</v>
          </cell>
          <cell r="P196">
            <v>55449</v>
          </cell>
        </row>
        <row r="197">
          <cell r="I197">
            <v>216</v>
          </cell>
          <cell r="J197">
            <v>216</v>
          </cell>
          <cell r="K197">
            <v>240</v>
          </cell>
          <cell r="N197">
            <v>19046</v>
          </cell>
          <cell r="O197">
            <v>17805</v>
          </cell>
          <cell r="P197">
            <v>18257</v>
          </cell>
        </row>
        <row r="198">
          <cell r="I198">
            <v>0</v>
          </cell>
          <cell r="J198">
            <v>0</v>
          </cell>
          <cell r="K198">
            <v>0</v>
          </cell>
          <cell r="N198">
            <v>0</v>
          </cell>
          <cell r="O198">
            <v>0</v>
          </cell>
          <cell r="P198">
            <v>0</v>
          </cell>
        </row>
        <row r="199">
          <cell r="I199">
            <v>268</v>
          </cell>
          <cell r="J199">
            <v>268</v>
          </cell>
          <cell r="K199">
            <v>268</v>
          </cell>
          <cell r="N199">
            <v>26240</v>
          </cell>
          <cell r="O199">
            <v>28070</v>
          </cell>
          <cell r="P199">
            <v>28165</v>
          </cell>
        </row>
        <row r="200">
          <cell r="I200">
            <v>268</v>
          </cell>
          <cell r="J200">
            <v>268</v>
          </cell>
          <cell r="K200">
            <v>268</v>
          </cell>
          <cell r="N200">
            <v>26240</v>
          </cell>
          <cell r="O200">
            <v>28070</v>
          </cell>
          <cell r="P200">
            <v>28165</v>
          </cell>
        </row>
        <row r="201">
          <cell r="I201">
            <v>0</v>
          </cell>
          <cell r="J201">
            <v>0</v>
          </cell>
          <cell r="K201">
            <v>0</v>
          </cell>
          <cell r="N201">
            <v>0</v>
          </cell>
          <cell r="O201">
            <v>0</v>
          </cell>
          <cell r="P201">
            <v>0</v>
          </cell>
        </row>
        <row r="206">
          <cell r="I206">
            <v>23775</v>
          </cell>
          <cell r="J206">
            <v>26052</v>
          </cell>
          <cell r="K206">
            <v>26152</v>
          </cell>
          <cell r="N206">
            <v>1895975</v>
          </cell>
          <cell r="O206">
            <v>2041222</v>
          </cell>
          <cell r="P206">
            <v>2043822</v>
          </cell>
        </row>
        <row r="207">
          <cell r="I207">
            <v>904</v>
          </cell>
          <cell r="J207">
            <v>904</v>
          </cell>
          <cell r="K207">
            <v>904</v>
          </cell>
          <cell r="N207">
            <v>67714</v>
          </cell>
          <cell r="O207">
            <v>66762</v>
          </cell>
          <cell r="P207">
            <v>66485</v>
          </cell>
        </row>
        <row r="208">
          <cell r="I208">
            <v>896</v>
          </cell>
          <cell r="J208">
            <v>896</v>
          </cell>
          <cell r="K208">
            <v>896</v>
          </cell>
          <cell r="N208">
            <v>67444</v>
          </cell>
          <cell r="O208">
            <v>66492</v>
          </cell>
          <cell r="P208">
            <v>66215</v>
          </cell>
        </row>
        <row r="209">
          <cell r="I209">
            <v>8</v>
          </cell>
          <cell r="J209">
            <v>8</v>
          </cell>
          <cell r="K209">
            <v>8</v>
          </cell>
          <cell r="N209">
            <v>270</v>
          </cell>
          <cell r="O209">
            <v>270</v>
          </cell>
          <cell r="P209">
            <v>270</v>
          </cell>
        </row>
        <row r="210">
          <cell r="I210">
            <v>224</v>
          </cell>
          <cell r="J210">
            <v>224</v>
          </cell>
          <cell r="K210">
            <v>224</v>
          </cell>
          <cell r="N210">
            <v>13803</v>
          </cell>
          <cell r="O210">
            <v>13908</v>
          </cell>
          <cell r="P210">
            <v>14008</v>
          </cell>
        </row>
        <row r="211">
          <cell r="I211">
            <v>216</v>
          </cell>
          <cell r="J211">
            <v>216</v>
          </cell>
          <cell r="K211">
            <v>216</v>
          </cell>
          <cell r="N211">
            <v>13533</v>
          </cell>
          <cell r="O211">
            <v>13638</v>
          </cell>
          <cell r="P211">
            <v>13738</v>
          </cell>
        </row>
        <row r="212">
          <cell r="I212">
            <v>8</v>
          </cell>
          <cell r="J212">
            <v>8</v>
          </cell>
          <cell r="K212">
            <v>8</v>
          </cell>
          <cell r="N212">
            <v>270</v>
          </cell>
          <cell r="O212">
            <v>270</v>
          </cell>
          <cell r="P212">
            <v>270</v>
          </cell>
        </row>
        <row r="213">
          <cell r="I213">
            <v>12</v>
          </cell>
          <cell r="J213">
            <v>12</v>
          </cell>
          <cell r="K213">
            <v>12</v>
          </cell>
          <cell r="N213">
            <v>768</v>
          </cell>
          <cell r="O213">
            <v>773</v>
          </cell>
          <cell r="P213">
            <v>778</v>
          </cell>
        </row>
        <row r="214">
          <cell r="I214">
            <v>12</v>
          </cell>
          <cell r="J214">
            <v>12</v>
          </cell>
          <cell r="K214">
            <v>12</v>
          </cell>
          <cell r="N214">
            <v>760</v>
          </cell>
          <cell r="O214">
            <v>765</v>
          </cell>
          <cell r="P214">
            <v>770</v>
          </cell>
        </row>
        <row r="215">
          <cell r="I215">
            <v>0</v>
          </cell>
          <cell r="J215">
            <v>0</v>
          </cell>
          <cell r="K215">
            <v>0</v>
          </cell>
          <cell r="N215">
            <v>8</v>
          </cell>
          <cell r="O215">
            <v>8</v>
          </cell>
          <cell r="P215">
            <v>8</v>
          </cell>
        </row>
        <row r="216">
          <cell r="I216">
            <v>104</v>
          </cell>
          <cell r="J216">
            <v>104</v>
          </cell>
          <cell r="K216">
            <v>104</v>
          </cell>
          <cell r="N216">
            <v>7000</v>
          </cell>
          <cell r="O216">
            <v>7000</v>
          </cell>
          <cell r="P216">
            <v>7000</v>
          </cell>
        </row>
        <row r="217">
          <cell r="I217">
            <v>104</v>
          </cell>
          <cell r="J217">
            <v>104</v>
          </cell>
          <cell r="K217">
            <v>104</v>
          </cell>
          <cell r="N217">
            <v>7000</v>
          </cell>
          <cell r="O217">
            <v>7000</v>
          </cell>
          <cell r="P217">
            <v>7000</v>
          </cell>
        </row>
        <row r="218">
          <cell r="I218">
            <v>0</v>
          </cell>
          <cell r="J218">
            <v>0</v>
          </cell>
          <cell r="K218">
            <v>0</v>
          </cell>
          <cell r="N218">
            <v>0</v>
          </cell>
          <cell r="O218">
            <v>0</v>
          </cell>
          <cell r="P218">
            <v>0</v>
          </cell>
        </row>
        <row r="219">
          <cell r="I219">
            <v>0</v>
          </cell>
          <cell r="J219">
            <v>0</v>
          </cell>
          <cell r="K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I220">
            <v>0</v>
          </cell>
          <cell r="J220">
            <v>0</v>
          </cell>
          <cell r="K220">
            <v>0</v>
          </cell>
          <cell r="N220">
            <v>0</v>
          </cell>
          <cell r="O220">
            <v>0</v>
          </cell>
          <cell r="P220">
            <v>0</v>
          </cell>
        </row>
        <row r="221">
          <cell r="I221">
            <v>0</v>
          </cell>
          <cell r="J221">
            <v>0</v>
          </cell>
          <cell r="K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I222">
            <v>108</v>
          </cell>
          <cell r="J222">
            <v>108</v>
          </cell>
          <cell r="K222">
            <v>108</v>
          </cell>
          <cell r="N222">
            <v>6035</v>
          </cell>
          <cell r="O222">
            <v>6135</v>
          </cell>
          <cell r="P222">
            <v>6230</v>
          </cell>
        </row>
        <row r="223">
          <cell r="I223">
            <v>100</v>
          </cell>
          <cell r="J223">
            <v>100</v>
          </cell>
          <cell r="K223">
            <v>100</v>
          </cell>
          <cell r="N223">
            <v>5773</v>
          </cell>
          <cell r="O223">
            <v>5873</v>
          </cell>
          <cell r="P223">
            <v>5968</v>
          </cell>
        </row>
        <row r="224">
          <cell r="I224">
            <v>8</v>
          </cell>
          <cell r="J224">
            <v>8</v>
          </cell>
          <cell r="K224">
            <v>8</v>
          </cell>
          <cell r="N224">
            <v>262</v>
          </cell>
          <cell r="O224">
            <v>262</v>
          </cell>
          <cell r="P224">
            <v>262</v>
          </cell>
        </row>
        <row r="225">
          <cell r="I225">
            <v>0</v>
          </cell>
          <cell r="J225">
            <v>0</v>
          </cell>
          <cell r="K225">
            <v>0</v>
          </cell>
          <cell r="N225">
            <v>0</v>
          </cell>
          <cell r="O225">
            <v>0</v>
          </cell>
          <cell r="P225">
            <v>0</v>
          </cell>
        </row>
        <row r="226">
          <cell r="I226">
            <v>0</v>
          </cell>
          <cell r="J226">
            <v>0</v>
          </cell>
          <cell r="K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I227">
            <v>0</v>
          </cell>
          <cell r="J227">
            <v>0</v>
          </cell>
          <cell r="K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I228">
            <v>680</v>
          </cell>
          <cell r="J228">
            <v>680</v>
          </cell>
          <cell r="K228">
            <v>680</v>
          </cell>
          <cell r="N228">
            <v>53911</v>
          </cell>
          <cell r="O228">
            <v>52854</v>
          </cell>
          <cell r="P228">
            <v>52477</v>
          </cell>
        </row>
        <row r="229">
          <cell r="I229">
            <v>680</v>
          </cell>
          <cell r="J229">
            <v>680</v>
          </cell>
          <cell r="K229">
            <v>680</v>
          </cell>
          <cell r="N229">
            <v>53911</v>
          </cell>
          <cell r="O229">
            <v>52854</v>
          </cell>
          <cell r="P229">
            <v>52477</v>
          </cell>
        </row>
        <row r="230">
          <cell r="I230">
            <v>0</v>
          </cell>
          <cell r="J230">
            <v>0</v>
          </cell>
          <cell r="K230">
            <v>0</v>
          </cell>
          <cell r="N230">
            <v>0</v>
          </cell>
          <cell r="O230">
            <v>0</v>
          </cell>
          <cell r="P230">
            <v>0</v>
          </cell>
        </row>
        <row r="235">
          <cell r="I235">
            <v>32063</v>
          </cell>
          <cell r="J235">
            <v>37879</v>
          </cell>
          <cell r="K235">
            <v>37879</v>
          </cell>
          <cell r="N235">
            <v>2660463</v>
          </cell>
          <cell r="O235">
            <v>2925886</v>
          </cell>
          <cell r="P235">
            <v>2926386</v>
          </cell>
        </row>
        <row r="236">
          <cell r="I236">
            <v>3941</v>
          </cell>
          <cell r="J236">
            <v>3941</v>
          </cell>
          <cell r="K236">
            <v>4045</v>
          </cell>
          <cell r="N236">
            <v>302315</v>
          </cell>
          <cell r="O236">
            <v>302482</v>
          </cell>
          <cell r="P236">
            <v>303352</v>
          </cell>
        </row>
        <row r="237">
          <cell r="I237">
            <v>3941</v>
          </cell>
          <cell r="J237">
            <v>3941</v>
          </cell>
          <cell r="K237">
            <v>4045</v>
          </cell>
          <cell r="N237">
            <v>302000</v>
          </cell>
          <cell r="O237">
            <v>302167</v>
          </cell>
          <cell r="P237">
            <v>303037</v>
          </cell>
        </row>
        <row r="238">
          <cell r="I238">
            <v>0</v>
          </cell>
          <cell r="J238">
            <v>0</v>
          </cell>
          <cell r="K238">
            <v>0</v>
          </cell>
          <cell r="N238">
            <v>315</v>
          </cell>
          <cell r="O238">
            <v>315</v>
          </cell>
          <cell r="P238">
            <v>315</v>
          </cell>
        </row>
        <row r="239">
          <cell r="I239">
            <v>1768</v>
          </cell>
          <cell r="J239">
            <v>1768</v>
          </cell>
          <cell r="K239">
            <v>1948</v>
          </cell>
          <cell r="N239">
            <v>126505</v>
          </cell>
          <cell r="O239">
            <v>130570</v>
          </cell>
          <cell r="P239">
            <v>131910</v>
          </cell>
        </row>
        <row r="240">
          <cell r="I240">
            <v>1768</v>
          </cell>
          <cell r="J240">
            <v>1768</v>
          </cell>
          <cell r="K240">
            <v>1948</v>
          </cell>
          <cell r="N240">
            <v>126190</v>
          </cell>
          <cell r="O240">
            <v>130255</v>
          </cell>
          <cell r="P240">
            <v>131595</v>
          </cell>
        </row>
        <row r="241">
          <cell r="I241">
            <v>0</v>
          </cell>
          <cell r="J241">
            <v>0</v>
          </cell>
          <cell r="K241">
            <v>0</v>
          </cell>
          <cell r="N241">
            <v>315</v>
          </cell>
          <cell r="O241">
            <v>315</v>
          </cell>
          <cell r="P241">
            <v>315</v>
          </cell>
        </row>
        <row r="242">
          <cell r="I242">
            <v>44</v>
          </cell>
          <cell r="J242">
            <v>44</v>
          </cell>
          <cell r="K242">
            <v>47</v>
          </cell>
          <cell r="N242">
            <v>3521</v>
          </cell>
          <cell r="O242">
            <v>3578</v>
          </cell>
          <cell r="P242">
            <v>3596</v>
          </cell>
        </row>
        <row r="243">
          <cell r="I243">
            <v>44</v>
          </cell>
          <cell r="J243">
            <v>44</v>
          </cell>
          <cell r="K243">
            <v>47</v>
          </cell>
          <cell r="N243">
            <v>3518</v>
          </cell>
          <cell r="O243">
            <v>3575</v>
          </cell>
          <cell r="P243">
            <v>3593</v>
          </cell>
        </row>
        <row r="244">
          <cell r="I244">
            <v>0</v>
          </cell>
          <cell r="J244">
            <v>0</v>
          </cell>
          <cell r="K244">
            <v>0</v>
          </cell>
          <cell r="N244">
            <v>3</v>
          </cell>
          <cell r="O244">
            <v>3</v>
          </cell>
          <cell r="P244">
            <v>3</v>
          </cell>
        </row>
        <row r="245">
          <cell r="I245">
            <v>148</v>
          </cell>
          <cell r="J245">
            <v>148</v>
          </cell>
          <cell r="K245">
            <v>148</v>
          </cell>
          <cell r="N245">
            <v>11310</v>
          </cell>
          <cell r="O245">
            <v>11310</v>
          </cell>
          <cell r="P245">
            <v>11310</v>
          </cell>
        </row>
        <row r="246">
          <cell r="I246">
            <v>148</v>
          </cell>
          <cell r="J246">
            <v>148</v>
          </cell>
          <cell r="K246">
            <v>148</v>
          </cell>
          <cell r="N246">
            <v>10998</v>
          </cell>
          <cell r="O246">
            <v>10998</v>
          </cell>
          <cell r="P246">
            <v>10998</v>
          </cell>
        </row>
        <row r="247">
          <cell r="I247">
            <v>0</v>
          </cell>
          <cell r="J247">
            <v>0</v>
          </cell>
          <cell r="K247">
            <v>0</v>
          </cell>
          <cell r="N247">
            <v>312</v>
          </cell>
          <cell r="O247">
            <v>312</v>
          </cell>
          <cell r="P247">
            <v>312</v>
          </cell>
        </row>
        <row r="248">
          <cell r="I248">
            <v>0</v>
          </cell>
          <cell r="J248">
            <v>0</v>
          </cell>
          <cell r="K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I249">
            <v>0</v>
          </cell>
          <cell r="J249">
            <v>0</v>
          </cell>
          <cell r="K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I250">
            <v>0</v>
          </cell>
          <cell r="J250">
            <v>0</v>
          </cell>
          <cell r="K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I251">
            <v>208</v>
          </cell>
          <cell r="J251">
            <v>208</v>
          </cell>
          <cell r="K251">
            <v>134</v>
          </cell>
          <cell r="N251">
            <v>9890</v>
          </cell>
          <cell r="O251">
            <v>8691</v>
          </cell>
          <cell r="P251">
            <v>8407</v>
          </cell>
        </row>
        <row r="252">
          <cell r="I252">
            <v>208</v>
          </cell>
          <cell r="J252">
            <v>208</v>
          </cell>
          <cell r="K252">
            <v>134</v>
          </cell>
          <cell r="N252">
            <v>9890</v>
          </cell>
          <cell r="O252">
            <v>8691</v>
          </cell>
          <cell r="P252">
            <v>8407</v>
          </cell>
        </row>
        <row r="253">
          <cell r="I253">
            <v>0</v>
          </cell>
          <cell r="J253">
            <v>0</v>
          </cell>
          <cell r="K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I254">
            <v>1368</v>
          </cell>
          <cell r="J254">
            <v>1368</v>
          </cell>
          <cell r="K254">
            <v>1619</v>
          </cell>
          <cell r="N254">
            <v>101784</v>
          </cell>
          <cell r="O254">
            <v>106991</v>
          </cell>
          <cell r="P254">
            <v>108597</v>
          </cell>
        </row>
        <row r="255">
          <cell r="I255">
            <v>1368</v>
          </cell>
          <cell r="J255">
            <v>1368</v>
          </cell>
          <cell r="K255">
            <v>1619</v>
          </cell>
          <cell r="N255">
            <v>101784</v>
          </cell>
          <cell r="O255">
            <v>106991</v>
          </cell>
          <cell r="P255">
            <v>108597</v>
          </cell>
        </row>
        <row r="256">
          <cell r="I256">
            <v>0</v>
          </cell>
          <cell r="J256">
            <v>0</v>
          </cell>
          <cell r="K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I257">
            <v>2173</v>
          </cell>
          <cell r="J257">
            <v>2173</v>
          </cell>
          <cell r="K257">
            <v>2097</v>
          </cell>
          <cell r="N257">
            <v>175810</v>
          </cell>
          <cell r="O257">
            <v>171912</v>
          </cell>
          <cell r="P257">
            <v>171442</v>
          </cell>
        </row>
        <row r="258">
          <cell r="I258">
            <v>2173</v>
          </cell>
          <cell r="J258">
            <v>2173</v>
          </cell>
          <cell r="K258">
            <v>2097</v>
          </cell>
          <cell r="N258">
            <v>175810</v>
          </cell>
          <cell r="O258">
            <v>171912</v>
          </cell>
          <cell r="P258">
            <v>171442</v>
          </cell>
        </row>
        <row r="259">
          <cell r="I259">
            <v>0</v>
          </cell>
          <cell r="J259">
            <v>0</v>
          </cell>
          <cell r="K259">
            <v>0</v>
          </cell>
          <cell r="N259">
            <v>0</v>
          </cell>
          <cell r="O259">
            <v>0</v>
          </cell>
          <cell r="P259">
            <v>0</v>
          </cell>
        </row>
        <row r="264">
          <cell r="I264">
            <v>23885</v>
          </cell>
          <cell r="J264">
            <v>23852</v>
          </cell>
          <cell r="K264">
            <v>23852</v>
          </cell>
          <cell r="N264">
            <v>1856485</v>
          </cell>
          <cell r="O264">
            <v>1832930</v>
          </cell>
          <cell r="P264">
            <v>1833630</v>
          </cell>
        </row>
        <row r="265">
          <cell r="I265">
            <v>22076</v>
          </cell>
          <cell r="J265">
            <v>22076</v>
          </cell>
          <cell r="K265">
            <v>22114</v>
          </cell>
          <cell r="N265">
            <v>1570304</v>
          </cell>
          <cell r="O265">
            <v>1592219</v>
          </cell>
          <cell r="P265">
            <v>1603536</v>
          </cell>
        </row>
        <row r="266">
          <cell r="I266">
            <v>22076</v>
          </cell>
          <cell r="J266">
            <v>22076</v>
          </cell>
          <cell r="K266">
            <v>22114</v>
          </cell>
          <cell r="N266">
            <v>1570304</v>
          </cell>
          <cell r="O266">
            <v>1592219</v>
          </cell>
          <cell r="P266">
            <v>1603536</v>
          </cell>
        </row>
        <row r="267">
          <cell r="I267">
            <v>0</v>
          </cell>
          <cell r="J267">
            <v>0</v>
          </cell>
          <cell r="K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I268">
            <v>19532</v>
          </cell>
          <cell r="J268">
            <v>19532</v>
          </cell>
          <cell r="K268">
            <v>20009</v>
          </cell>
          <cell r="N268">
            <v>1361586</v>
          </cell>
          <cell r="O268">
            <v>1436053</v>
          </cell>
          <cell r="P268">
            <v>1439896</v>
          </cell>
        </row>
        <row r="269">
          <cell r="I269">
            <v>19532</v>
          </cell>
          <cell r="J269">
            <v>19532</v>
          </cell>
          <cell r="K269">
            <v>20009</v>
          </cell>
          <cell r="N269">
            <v>1361586</v>
          </cell>
          <cell r="O269">
            <v>1436053</v>
          </cell>
          <cell r="P269">
            <v>1439896</v>
          </cell>
        </row>
        <row r="270">
          <cell r="I270">
            <v>0</v>
          </cell>
          <cell r="J270">
            <v>0</v>
          </cell>
          <cell r="K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I271">
            <v>312</v>
          </cell>
          <cell r="J271">
            <v>312</v>
          </cell>
          <cell r="K271">
            <v>312</v>
          </cell>
          <cell r="N271">
            <v>21997</v>
          </cell>
          <cell r="O271">
            <v>21844</v>
          </cell>
          <cell r="P271">
            <v>21654</v>
          </cell>
        </row>
        <row r="272">
          <cell r="I272">
            <v>312</v>
          </cell>
          <cell r="J272">
            <v>312</v>
          </cell>
          <cell r="K272">
            <v>312</v>
          </cell>
          <cell r="N272">
            <v>21997</v>
          </cell>
          <cell r="O272">
            <v>21844</v>
          </cell>
          <cell r="P272">
            <v>21654</v>
          </cell>
        </row>
        <row r="273">
          <cell r="I273">
            <v>0</v>
          </cell>
          <cell r="J273">
            <v>0</v>
          </cell>
          <cell r="K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I274">
            <v>336</v>
          </cell>
          <cell r="J274">
            <v>336</v>
          </cell>
          <cell r="K274">
            <v>332</v>
          </cell>
          <cell r="N274">
            <v>23736</v>
          </cell>
          <cell r="O274">
            <v>23736</v>
          </cell>
          <cell r="P274">
            <v>23632</v>
          </cell>
        </row>
        <row r="275">
          <cell r="I275">
            <v>336</v>
          </cell>
          <cell r="J275">
            <v>336</v>
          </cell>
          <cell r="K275">
            <v>332</v>
          </cell>
          <cell r="N275">
            <v>23736</v>
          </cell>
          <cell r="O275">
            <v>23736</v>
          </cell>
          <cell r="P275">
            <v>23632</v>
          </cell>
        </row>
        <row r="276">
          <cell r="I276">
            <v>0</v>
          </cell>
          <cell r="J276">
            <v>0</v>
          </cell>
          <cell r="K276">
            <v>0</v>
          </cell>
          <cell r="N276">
            <v>0</v>
          </cell>
          <cell r="O276">
            <v>0</v>
          </cell>
          <cell r="P276">
            <v>0</v>
          </cell>
        </row>
        <row r="277">
          <cell r="I277">
            <v>12</v>
          </cell>
          <cell r="J277">
            <v>12</v>
          </cell>
          <cell r="K277">
            <v>12</v>
          </cell>
          <cell r="N277">
            <v>1650</v>
          </cell>
          <cell r="O277">
            <v>1484</v>
          </cell>
          <cell r="P277">
            <v>1413</v>
          </cell>
        </row>
        <row r="278">
          <cell r="I278">
            <v>12</v>
          </cell>
          <cell r="J278">
            <v>12</v>
          </cell>
          <cell r="K278">
            <v>12</v>
          </cell>
          <cell r="N278">
            <v>1650</v>
          </cell>
          <cell r="O278">
            <v>1484</v>
          </cell>
          <cell r="P278">
            <v>1413</v>
          </cell>
        </row>
        <row r="279">
          <cell r="I279">
            <v>0</v>
          </cell>
          <cell r="J279">
            <v>0</v>
          </cell>
          <cell r="K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I280">
            <v>752</v>
          </cell>
          <cell r="J280">
            <v>752</v>
          </cell>
          <cell r="K280">
            <v>344</v>
          </cell>
          <cell r="N280">
            <v>38023</v>
          </cell>
          <cell r="O280">
            <v>27451</v>
          </cell>
          <cell r="P280">
            <v>24574</v>
          </cell>
        </row>
        <row r="281">
          <cell r="I281">
            <v>752</v>
          </cell>
          <cell r="J281">
            <v>752</v>
          </cell>
          <cell r="K281">
            <v>344</v>
          </cell>
          <cell r="N281">
            <v>38023</v>
          </cell>
          <cell r="O281">
            <v>27451</v>
          </cell>
          <cell r="P281">
            <v>24574</v>
          </cell>
        </row>
        <row r="282">
          <cell r="I282">
            <v>0</v>
          </cell>
          <cell r="J282">
            <v>0</v>
          </cell>
          <cell r="K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I283">
            <v>16344</v>
          </cell>
          <cell r="J283">
            <v>16344</v>
          </cell>
          <cell r="K283">
            <v>17155</v>
          </cell>
          <cell r="N283">
            <v>1175419</v>
          </cell>
          <cell r="O283">
            <v>1251693</v>
          </cell>
          <cell r="P283">
            <v>1260771</v>
          </cell>
        </row>
        <row r="284">
          <cell r="I284">
            <v>0</v>
          </cell>
          <cell r="J284">
            <v>0</v>
          </cell>
          <cell r="K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I285">
            <v>1240</v>
          </cell>
          <cell r="J285">
            <v>1240</v>
          </cell>
          <cell r="K285">
            <v>1496</v>
          </cell>
          <cell r="N285">
            <v>92840</v>
          </cell>
          <cell r="O285">
            <v>104588</v>
          </cell>
          <cell r="P285">
            <v>106596</v>
          </cell>
        </row>
        <row r="286">
          <cell r="I286">
            <v>15104</v>
          </cell>
          <cell r="J286">
            <v>15104</v>
          </cell>
          <cell r="K286">
            <v>15659</v>
          </cell>
          <cell r="N286">
            <v>1082579</v>
          </cell>
          <cell r="O286">
            <v>1147105</v>
          </cell>
          <cell r="P286">
            <v>1154175</v>
          </cell>
        </row>
        <row r="287">
          <cell r="I287">
            <v>0</v>
          </cell>
          <cell r="J287">
            <v>0</v>
          </cell>
          <cell r="K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I288">
            <v>2544</v>
          </cell>
          <cell r="J288">
            <v>2544</v>
          </cell>
          <cell r="K288">
            <v>2105</v>
          </cell>
          <cell r="N288">
            <v>208718</v>
          </cell>
          <cell r="O288">
            <v>156166</v>
          </cell>
          <cell r="P288">
            <v>163640</v>
          </cell>
        </row>
        <row r="289">
          <cell r="I289">
            <v>2544</v>
          </cell>
          <cell r="J289">
            <v>2544</v>
          </cell>
          <cell r="K289">
            <v>2105</v>
          </cell>
          <cell r="N289">
            <v>208718</v>
          </cell>
          <cell r="O289">
            <v>156166</v>
          </cell>
          <cell r="P289">
            <v>163640</v>
          </cell>
        </row>
        <row r="290">
          <cell r="I290">
            <v>0</v>
          </cell>
          <cell r="J290">
            <v>0</v>
          </cell>
          <cell r="K290">
            <v>0</v>
          </cell>
          <cell r="N290">
            <v>0</v>
          </cell>
          <cell r="O290">
            <v>0</v>
          </cell>
          <cell r="P290">
            <v>0</v>
          </cell>
        </row>
        <row r="295">
          <cell r="I295">
            <v>7589</v>
          </cell>
          <cell r="J295">
            <v>10721</v>
          </cell>
          <cell r="K295">
            <v>11947</v>
          </cell>
          <cell r="N295">
            <v>599954</v>
          </cell>
          <cell r="O295">
            <v>755807</v>
          </cell>
          <cell r="P295">
            <v>771757</v>
          </cell>
        </row>
        <row r="296">
          <cell r="I296">
            <v>2164.5230000000001</v>
          </cell>
          <cell r="J296">
            <v>2904.6800000000003</v>
          </cell>
          <cell r="K296">
            <v>2728.8213000000001</v>
          </cell>
          <cell r="N296">
            <v>151090.27300000002</v>
          </cell>
          <cell r="O296">
            <v>176864.51</v>
          </cell>
          <cell r="P296">
            <v>188771.82459999999</v>
          </cell>
        </row>
        <row r="297">
          <cell r="I297">
            <v>438</v>
          </cell>
          <cell r="J297">
            <v>521.6</v>
          </cell>
          <cell r="K297">
            <v>531.29</v>
          </cell>
          <cell r="N297">
            <v>34218.870000000003</v>
          </cell>
          <cell r="O297">
            <v>36459.522000000004</v>
          </cell>
          <cell r="P297">
            <v>38735.329999999994</v>
          </cell>
        </row>
        <row r="298">
          <cell r="I298">
            <v>0</v>
          </cell>
          <cell r="J298">
            <v>0</v>
          </cell>
          <cell r="K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I299">
            <v>4.38</v>
          </cell>
          <cell r="J299">
            <v>11.078783999999999</v>
          </cell>
          <cell r="K299">
            <v>11.2845996</v>
          </cell>
          <cell r="N299">
            <v>341.15870000000001</v>
          </cell>
          <cell r="O299">
            <v>773.99184728</v>
          </cell>
          <cell r="P299">
            <v>822.664444</v>
          </cell>
        </row>
        <row r="300">
          <cell r="I300">
            <v>0</v>
          </cell>
          <cell r="J300">
            <v>0</v>
          </cell>
          <cell r="K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I301">
            <v>0</v>
          </cell>
          <cell r="J301">
            <v>0</v>
          </cell>
          <cell r="K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I302">
            <v>0</v>
          </cell>
          <cell r="J302">
            <v>0</v>
          </cell>
          <cell r="K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I303">
            <v>433.62</v>
          </cell>
          <cell r="J303">
            <v>510.52121600000004</v>
          </cell>
          <cell r="K303">
            <v>520.00540039999998</v>
          </cell>
          <cell r="N303">
            <v>33878.472300000001</v>
          </cell>
          <cell r="O303">
            <v>35684.964601920001</v>
          </cell>
          <cell r="P303">
            <v>37912.615556000004</v>
          </cell>
        </row>
        <row r="304">
          <cell r="I304">
            <v>1726.5230000000001</v>
          </cell>
          <cell r="J304">
            <v>2383.08</v>
          </cell>
          <cell r="K304">
            <v>2197.5312999999996</v>
          </cell>
          <cell r="N304">
            <v>116871.303</v>
          </cell>
          <cell r="O304">
            <v>140404.31</v>
          </cell>
          <cell r="P304">
            <v>150036.22460000002</v>
          </cell>
        </row>
        <row r="307">
          <cell r="I307">
            <v>3908</v>
          </cell>
          <cell r="J307">
            <v>5200</v>
          </cell>
          <cell r="K307">
            <v>5247</v>
          </cell>
          <cell r="N307">
            <v>342163</v>
          </cell>
          <cell r="O307">
            <v>420668</v>
          </cell>
          <cell r="P307">
            <v>424661</v>
          </cell>
        </row>
        <row r="308">
          <cell r="I308">
            <v>297</v>
          </cell>
          <cell r="J308">
            <v>395.1</v>
          </cell>
          <cell r="K308">
            <v>398.8</v>
          </cell>
          <cell r="N308">
            <v>26004</v>
          </cell>
          <cell r="O308">
            <v>31971.1</v>
          </cell>
          <cell r="P308">
            <v>32307.8</v>
          </cell>
        </row>
        <row r="309">
          <cell r="I309">
            <v>289.5</v>
          </cell>
          <cell r="J309">
            <v>385.3</v>
          </cell>
          <cell r="K309">
            <v>371.79999999999995</v>
          </cell>
          <cell r="N309">
            <v>25119.5</v>
          </cell>
          <cell r="O309">
            <v>31172</v>
          </cell>
          <cell r="P309">
            <v>31496.799999999999</v>
          </cell>
        </row>
        <row r="310">
          <cell r="I310">
            <v>0</v>
          </cell>
          <cell r="J310">
            <v>0</v>
          </cell>
          <cell r="K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I311">
            <v>10.100000000000001</v>
          </cell>
          <cell r="J311">
            <v>13.2</v>
          </cell>
          <cell r="K311">
            <v>13.4</v>
          </cell>
          <cell r="N311">
            <v>874.1</v>
          </cell>
          <cell r="O311">
            <v>1075.2</v>
          </cell>
          <cell r="P311">
            <v>1081.4000000000001</v>
          </cell>
        </row>
        <row r="312">
          <cell r="I312">
            <v>5.2</v>
          </cell>
          <cell r="J312">
            <v>5.2</v>
          </cell>
          <cell r="K312">
            <v>5.2</v>
          </cell>
          <cell r="N312">
            <v>288.2</v>
          </cell>
          <cell r="O312">
            <v>288.2</v>
          </cell>
          <cell r="P312">
            <v>292.2</v>
          </cell>
        </row>
        <row r="313">
          <cell r="I313">
            <v>5.2</v>
          </cell>
          <cell r="J313">
            <v>5.2</v>
          </cell>
          <cell r="K313">
            <v>5.2</v>
          </cell>
          <cell r="N313">
            <v>307.2</v>
          </cell>
          <cell r="O313">
            <v>307.2</v>
          </cell>
          <cell r="P313">
            <v>275.2</v>
          </cell>
        </row>
        <row r="314">
          <cell r="I314">
            <v>0</v>
          </cell>
          <cell r="J314">
            <v>0</v>
          </cell>
          <cell r="K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I315">
            <v>269</v>
          </cell>
          <cell r="J315">
            <v>361.70000000000005</v>
          </cell>
          <cell r="K315">
            <v>348</v>
          </cell>
          <cell r="N315">
            <v>23650</v>
          </cell>
          <cell r="O315">
            <v>29499.699999999997</v>
          </cell>
          <cell r="P315">
            <v>29848</v>
          </cell>
        </row>
        <row r="316">
          <cell r="I316">
            <v>7.5</v>
          </cell>
          <cell r="J316">
            <v>9.7999999999999936</v>
          </cell>
          <cell r="K316">
            <v>27.000000000000007</v>
          </cell>
          <cell r="N316">
            <v>884.5</v>
          </cell>
          <cell r="O316">
            <v>798.80000000000007</v>
          </cell>
          <cell r="P316">
            <v>811</v>
          </cell>
        </row>
        <row r="320">
          <cell r="I320">
            <v>29937.599999999999</v>
          </cell>
          <cell r="J320">
            <v>42204.533333333231</v>
          </cell>
          <cell r="K320">
            <v>19616</v>
          </cell>
          <cell r="N320">
            <v>1560529.5999999999</v>
          </cell>
          <cell r="O320">
            <v>1490005.4999999932</v>
          </cell>
          <cell r="P320">
            <v>1181452</v>
          </cell>
        </row>
        <row r="321">
          <cell r="I321">
            <v>29558.133333333331</v>
          </cell>
          <cell r="J321">
            <v>41813.066666666768</v>
          </cell>
          <cell r="K321">
            <v>19616</v>
          </cell>
          <cell r="N321">
            <v>1542442.1333333235</v>
          </cell>
          <cell r="O321">
            <v>1476515.0666666767</v>
          </cell>
          <cell r="P321">
            <v>1171929</v>
          </cell>
        </row>
        <row r="322">
          <cell r="I322">
            <v>29558.133333333331</v>
          </cell>
          <cell r="J322">
            <v>29558.133333333331</v>
          </cell>
          <cell r="K322">
            <v>19615.680775000001</v>
          </cell>
          <cell r="N322">
            <v>1282892.3947132535</v>
          </cell>
          <cell r="O322">
            <v>1327359.0559139533</v>
          </cell>
          <cell r="P322">
            <v>1105886.8106750001</v>
          </cell>
        </row>
        <row r="323">
          <cell r="I323">
            <v>0</v>
          </cell>
          <cell r="J323">
            <v>4315.2</v>
          </cell>
          <cell r="K323">
            <v>1317</v>
          </cell>
          <cell r="N323">
            <v>0</v>
          </cell>
          <cell r="O323">
            <v>249309.19999999998</v>
          </cell>
          <cell r="P323">
            <v>112547</v>
          </cell>
        </row>
        <row r="324">
          <cell r="I324">
            <v>0</v>
          </cell>
          <cell r="J324">
            <v>237.06666666666666</v>
          </cell>
          <cell r="K324">
            <v>114</v>
          </cell>
          <cell r="N324">
            <v>0</v>
          </cell>
          <cell r="O324">
            <v>9613.0666666666766</v>
          </cell>
          <cell r="P324">
            <v>7378</v>
          </cell>
        </row>
        <row r="325">
          <cell r="I325">
            <v>0</v>
          </cell>
          <cell r="J325">
            <v>0</v>
          </cell>
          <cell r="K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I326">
            <v>0</v>
          </cell>
          <cell r="J326">
            <v>0</v>
          </cell>
          <cell r="K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I327">
            <v>29558.133333333331</v>
          </cell>
          <cell r="J327">
            <v>37260.800000000003</v>
          </cell>
          <cell r="K327">
            <v>18184.391</v>
          </cell>
          <cell r="N327">
            <v>1542442.1333333235</v>
          </cell>
          <cell r="O327">
            <v>1217592.8</v>
          </cell>
          <cell r="P327">
            <v>1052004.3910000001</v>
          </cell>
        </row>
        <row r="328">
          <cell r="I328">
            <v>379.4666666666667</v>
          </cell>
          <cell r="J328">
            <v>391.4666666666667</v>
          </cell>
          <cell r="K328">
            <v>0</v>
          </cell>
          <cell r="N328">
            <v>18087.466666666765</v>
          </cell>
          <cell r="O328">
            <v>13489.466666666767</v>
          </cell>
          <cell r="P328">
            <v>9523</v>
          </cell>
        </row>
      </sheetData>
      <sheetData sheetId="11" refreshError="1">
        <row r="51">
          <cell r="G51">
            <v>333.5</v>
          </cell>
        </row>
        <row r="233">
          <cell r="E233">
            <v>39</v>
          </cell>
          <cell r="F233">
            <v>42</v>
          </cell>
          <cell r="K233">
            <v>34</v>
          </cell>
          <cell r="L233">
            <v>39</v>
          </cell>
        </row>
        <row r="234">
          <cell r="E234">
            <v>22</v>
          </cell>
          <cell r="F234">
            <v>23</v>
          </cell>
          <cell r="K234">
            <v>21</v>
          </cell>
          <cell r="L234">
            <v>23</v>
          </cell>
        </row>
        <row r="235">
          <cell r="E235">
            <v>16</v>
          </cell>
          <cell r="F235">
            <v>19</v>
          </cell>
          <cell r="K235">
            <v>18</v>
          </cell>
          <cell r="L235">
            <v>19</v>
          </cell>
        </row>
        <row r="236">
          <cell r="E236">
            <v>5</v>
          </cell>
          <cell r="F236">
            <v>5</v>
          </cell>
          <cell r="K236">
            <v>1</v>
          </cell>
          <cell r="L236">
            <v>3</v>
          </cell>
        </row>
        <row r="237">
          <cell r="E237">
            <v>0</v>
          </cell>
          <cell r="F237">
            <v>0</v>
          </cell>
          <cell r="K237">
            <v>6</v>
          </cell>
          <cell r="L237">
            <v>8</v>
          </cell>
        </row>
        <row r="238">
          <cell r="E238">
            <v>35</v>
          </cell>
          <cell r="F238">
            <v>25</v>
          </cell>
          <cell r="K238">
            <v>37</v>
          </cell>
          <cell r="L238">
            <v>27</v>
          </cell>
        </row>
        <row r="239">
          <cell r="E239">
            <v>10</v>
          </cell>
          <cell r="F239">
            <v>8</v>
          </cell>
          <cell r="K239">
            <v>9</v>
          </cell>
          <cell r="L239">
            <v>8</v>
          </cell>
        </row>
        <row r="240">
          <cell r="E240">
            <v>0</v>
          </cell>
          <cell r="F240">
            <v>0</v>
          </cell>
          <cell r="K240">
            <v>0</v>
          </cell>
          <cell r="L240">
            <v>0</v>
          </cell>
        </row>
        <row r="241">
          <cell r="E241">
            <v>6</v>
          </cell>
          <cell r="F241">
            <v>3</v>
          </cell>
          <cell r="K241">
            <v>7</v>
          </cell>
          <cell r="L241">
            <v>3</v>
          </cell>
        </row>
      </sheetData>
      <sheetData sheetId="12" refreshError="1">
        <row r="34">
          <cell r="B34">
            <v>0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H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</row>
        <row r="73">
          <cell r="B73">
            <v>0</v>
          </cell>
          <cell r="C73">
            <v>0</v>
          </cell>
          <cell r="E73">
            <v>0</v>
          </cell>
          <cell r="F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B74">
            <v>0</v>
          </cell>
          <cell r="C74">
            <v>0</v>
          </cell>
          <cell r="E74">
            <v>0</v>
          </cell>
          <cell r="F74">
            <v>0</v>
          </cell>
          <cell r="H74">
            <v>0</v>
          </cell>
          <cell r="I74">
            <v>0</v>
          </cell>
          <cell r="J74">
            <v>0</v>
          </cell>
        </row>
        <row r="75">
          <cell r="B75">
            <v>0</v>
          </cell>
          <cell r="C75">
            <v>0</v>
          </cell>
          <cell r="E75">
            <v>0</v>
          </cell>
          <cell r="F75">
            <v>0</v>
          </cell>
          <cell r="H75">
            <v>0</v>
          </cell>
          <cell r="I75">
            <v>0</v>
          </cell>
          <cell r="J75">
            <v>0</v>
          </cell>
        </row>
        <row r="87">
          <cell r="C87">
            <v>225</v>
          </cell>
          <cell r="D87">
            <v>227</v>
          </cell>
          <cell r="F87">
            <v>5993</v>
          </cell>
          <cell r="G87">
            <v>9063.2029999999995</v>
          </cell>
          <cell r="I87">
            <v>3082.6</v>
          </cell>
          <cell r="J87">
            <v>3220.1419999999998</v>
          </cell>
        </row>
        <row r="90">
          <cell r="C90">
            <v>321</v>
          </cell>
          <cell r="D90">
            <v>333</v>
          </cell>
          <cell r="F90">
            <v>10645.5</v>
          </cell>
          <cell r="G90">
            <v>10475.6</v>
          </cell>
          <cell r="I90">
            <v>4093.5</v>
          </cell>
          <cell r="J90">
            <v>4041.85</v>
          </cell>
        </row>
        <row r="93">
          <cell r="C93">
            <v>114</v>
          </cell>
          <cell r="D93">
            <v>122</v>
          </cell>
          <cell r="F93">
            <v>9740.1</v>
          </cell>
          <cell r="G93">
            <v>8565</v>
          </cell>
          <cell r="I93">
            <v>2551.1999999999998</v>
          </cell>
          <cell r="J93">
            <v>2557</v>
          </cell>
        </row>
        <row r="96">
          <cell r="C96">
            <v>5</v>
          </cell>
          <cell r="D96">
            <v>12</v>
          </cell>
          <cell r="F96">
            <v>216</v>
          </cell>
          <cell r="G96">
            <v>448.1</v>
          </cell>
          <cell r="I96">
            <v>83</v>
          </cell>
          <cell r="J96">
            <v>202.8</v>
          </cell>
        </row>
        <row r="99">
          <cell r="C99">
            <v>101</v>
          </cell>
          <cell r="D99">
            <v>128</v>
          </cell>
          <cell r="F99">
            <v>1886</v>
          </cell>
          <cell r="G99">
            <v>2305</v>
          </cell>
          <cell r="I99">
            <v>722</v>
          </cell>
          <cell r="J99">
            <v>863.4</v>
          </cell>
        </row>
        <row r="102">
          <cell r="C102">
            <v>197</v>
          </cell>
          <cell r="D102">
            <v>240</v>
          </cell>
          <cell r="F102">
            <v>8296.7000000000007</v>
          </cell>
          <cell r="G102">
            <v>9631</v>
          </cell>
          <cell r="I102">
            <v>3218.2323000000001</v>
          </cell>
          <cell r="J102">
            <v>4879</v>
          </cell>
        </row>
        <row r="105">
          <cell r="C105">
            <v>4</v>
          </cell>
          <cell r="D105">
            <v>9</v>
          </cell>
          <cell r="F105">
            <v>277</v>
          </cell>
          <cell r="G105">
            <v>502</v>
          </cell>
          <cell r="I105">
            <v>82</v>
          </cell>
          <cell r="J105">
            <v>154</v>
          </cell>
        </row>
        <row r="108">
          <cell r="C108">
            <v>6</v>
          </cell>
          <cell r="D108">
            <v>6</v>
          </cell>
          <cell r="F108">
            <v>410.7</v>
          </cell>
          <cell r="G108">
            <v>403.78696192000001</v>
          </cell>
          <cell r="I108">
            <v>134.69999999999999</v>
          </cell>
          <cell r="J108">
            <v>129.22696192000001</v>
          </cell>
        </row>
      </sheetData>
      <sheetData sheetId="13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"/>
      <sheetName val="Лист1"/>
      <sheetName val="Сводка 2003"/>
      <sheetName val="2002"/>
      <sheetName val="Сводка2002"/>
      <sheetName val="Анализ"/>
      <sheetName val="Газ"/>
      <sheetName val="ГРП, Оптимизация"/>
      <sheetName val="Итоги"/>
      <sheetName val="Простои"/>
      <sheetName val="Работа бригад ТКРС"/>
      <sheetName val="Рапорт"/>
      <sheetName val="Потери"/>
      <sheetName val="Бурение"/>
      <sheetName val="таблица руководству"/>
    </sheetNames>
    <sheetDataSet>
      <sheetData sheetId="0">
        <row r="3">
          <cell r="Z3" t="str">
            <v>Forecast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003"/>
      <sheetName val="Сводка 2003"/>
      <sheetName val="2002"/>
      <sheetName val="Сводка2002"/>
      <sheetName val="Анализ"/>
      <sheetName val="Газ"/>
      <sheetName val="ГРП, Оптимизация"/>
      <sheetName val="Итоги"/>
      <sheetName val="Простои"/>
      <sheetName val="Работа бригад ТКРС"/>
      <sheetName val="Рапорт"/>
      <sheetName val="Потери"/>
      <sheetName val="Бурение"/>
      <sheetName val="таблица руководству"/>
    </sheetNames>
    <sheetDataSet>
      <sheetData sheetId="0" refreshError="1"/>
      <sheetData sheetId="1" refreshError="1">
        <row r="3">
          <cell r="Z3" t="str">
            <v>Forecast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3-04"/>
      <sheetName val="изм 03-04 (2)"/>
      <sheetName val="изм"/>
      <sheetName val="сброс"/>
      <sheetName val="совмесные замеры"/>
    </sheetNames>
    <sheetDataSet>
      <sheetData sheetId="0"/>
      <sheetData sheetId="1">
        <row r="5">
          <cell r="T5" t="str">
            <v>шифр</v>
          </cell>
        </row>
        <row r="7">
          <cell r="T7" t="str">
            <v>ипп</v>
          </cell>
        </row>
        <row r="8">
          <cell r="T8">
            <v>0</v>
          </cell>
        </row>
        <row r="9">
          <cell r="T9">
            <v>0</v>
          </cell>
        </row>
        <row r="10">
          <cell r="T10">
            <v>0</v>
          </cell>
        </row>
        <row r="11">
          <cell r="T11">
            <v>0</v>
          </cell>
        </row>
        <row r="12">
          <cell r="T12" t="str">
            <v>сн.прс</v>
          </cell>
        </row>
        <row r="13">
          <cell r="T13" t="str">
            <v>уточ.режима</v>
          </cell>
        </row>
        <row r="14">
          <cell r="T14">
            <v>0</v>
          </cell>
        </row>
        <row r="15">
          <cell r="T15">
            <v>0</v>
          </cell>
        </row>
        <row r="16">
          <cell r="T16" t="str">
            <v/>
          </cell>
        </row>
        <row r="17">
          <cell r="T17">
            <v>0</v>
          </cell>
        </row>
        <row r="18">
          <cell r="T18" t="str">
            <v>уточ.режима</v>
          </cell>
        </row>
        <row r="19">
          <cell r="T19">
            <v>0</v>
          </cell>
        </row>
        <row r="20">
          <cell r="T20" t="str">
            <v>вода</v>
          </cell>
        </row>
        <row r="21">
          <cell r="T21" t="str">
            <v>уточ.режима</v>
          </cell>
        </row>
        <row r="22">
          <cell r="T22" t="str">
            <v>уточ.режима</v>
          </cell>
        </row>
        <row r="23">
          <cell r="T23">
            <v>0</v>
          </cell>
        </row>
        <row r="24">
          <cell r="T24" t="str">
            <v>уточ.режима</v>
          </cell>
        </row>
        <row r="25">
          <cell r="T25">
            <v>0</v>
          </cell>
        </row>
        <row r="26">
          <cell r="T26">
            <v>0</v>
          </cell>
        </row>
        <row r="27">
          <cell r="T27" t="str">
            <v>уточ.режима</v>
          </cell>
        </row>
        <row r="28">
          <cell r="T28">
            <v>0</v>
          </cell>
        </row>
        <row r="29">
          <cell r="T29">
            <v>0</v>
          </cell>
        </row>
        <row r="30">
          <cell r="T30">
            <v>0</v>
          </cell>
        </row>
        <row r="31">
          <cell r="T31">
            <v>0</v>
          </cell>
        </row>
        <row r="32">
          <cell r="T32" t="str">
            <v>по</v>
          </cell>
        </row>
        <row r="33">
          <cell r="T33">
            <v>0</v>
          </cell>
        </row>
        <row r="34">
          <cell r="T34" t="str">
            <v>грп</v>
          </cell>
        </row>
        <row r="35">
          <cell r="T35">
            <v>0</v>
          </cell>
        </row>
        <row r="36">
          <cell r="T36">
            <v>0</v>
          </cell>
        </row>
        <row r="37">
          <cell r="T37" t="str">
            <v>вода</v>
          </cell>
        </row>
        <row r="38">
          <cell r="T38">
            <v>0</v>
          </cell>
        </row>
        <row r="39">
          <cell r="T39">
            <v>0</v>
          </cell>
        </row>
        <row r="40">
          <cell r="T40">
            <v>0</v>
          </cell>
        </row>
        <row r="41">
          <cell r="T41" t="str">
            <v>уточ.режима</v>
          </cell>
        </row>
        <row r="42">
          <cell r="T42">
            <v>0</v>
          </cell>
        </row>
        <row r="43">
          <cell r="T43">
            <v>0</v>
          </cell>
        </row>
        <row r="44">
          <cell r="T44" t="str">
            <v>уточ.режима</v>
          </cell>
        </row>
        <row r="45">
          <cell r="T45">
            <v>0</v>
          </cell>
        </row>
        <row r="46">
          <cell r="T46" t="str">
            <v>уточ.режима</v>
          </cell>
        </row>
        <row r="47">
          <cell r="T47">
            <v>0</v>
          </cell>
        </row>
        <row r="48">
          <cell r="T48">
            <v>0</v>
          </cell>
        </row>
        <row r="49">
          <cell r="T49" t="str">
            <v>вода</v>
          </cell>
        </row>
        <row r="50">
          <cell r="T50">
            <v>0</v>
          </cell>
        </row>
        <row r="51">
          <cell r="T51" t="str">
            <v>уточ.режима</v>
          </cell>
        </row>
        <row r="52">
          <cell r="T52">
            <v>0</v>
          </cell>
        </row>
        <row r="53">
          <cell r="T53">
            <v>0</v>
          </cell>
        </row>
        <row r="54">
          <cell r="T54">
            <v>0</v>
          </cell>
        </row>
        <row r="55">
          <cell r="T55">
            <v>0</v>
          </cell>
        </row>
        <row r="56">
          <cell r="T56" t="str">
            <v/>
          </cell>
        </row>
        <row r="57">
          <cell r="T57">
            <v>0</v>
          </cell>
        </row>
        <row r="58">
          <cell r="T58">
            <v>0</v>
          </cell>
        </row>
        <row r="59">
          <cell r="T59">
            <v>0</v>
          </cell>
        </row>
        <row r="60">
          <cell r="T60">
            <v>0</v>
          </cell>
        </row>
        <row r="61">
          <cell r="T61">
            <v>0</v>
          </cell>
        </row>
        <row r="62">
          <cell r="T62" t="str">
            <v>сн.прс</v>
          </cell>
        </row>
        <row r="63">
          <cell r="T63" t="str">
            <v>уточ.режима</v>
          </cell>
        </row>
        <row r="64">
          <cell r="T64">
            <v>0</v>
          </cell>
        </row>
        <row r="65">
          <cell r="T65">
            <v>0</v>
          </cell>
        </row>
        <row r="66">
          <cell r="T66">
            <v>0</v>
          </cell>
        </row>
        <row r="67">
          <cell r="T67">
            <v>0</v>
          </cell>
        </row>
        <row r="68">
          <cell r="T68">
            <v>0</v>
          </cell>
        </row>
        <row r="69">
          <cell r="T69">
            <v>0</v>
          </cell>
        </row>
        <row r="70">
          <cell r="T70" t="str">
            <v>уточ.режима</v>
          </cell>
        </row>
        <row r="71">
          <cell r="T71">
            <v>0</v>
          </cell>
        </row>
        <row r="72">
          <cell r="T72">
            <v>0</v>
          </cell>
        </row>
        <row r="73">
          <cell r="T73">
            <v>0</v>
          </cell>
        </row>
        <row r="74">
          <cell r="T74">
            <v>0</v>
          </cell>
        </row>
        <row r="75">
          <cell r="T75">
            <v>0</v>
          </cell>
        </row>
        <row r="76">
          <cell r="T76" t="str">
            <v>уточ.режима</v>
          </cell>
        </row>
        <row r="77">
          <cell r="T77" t="str">
            <v>по</v>
          </cell>
        </row>
        <row r="78">
          <cell r="T78">
            <v>0</v>
          </cell>
        </row>
        <row r="79">
          <cell r="T79">
            <v>0</v>
          </cell>
        </row>
        <row r="80">
          <cell r="T80">
            <v>0</v>
          </cell>
        </row>
        <row r="81">
          <cell r="T81" t="str">
            <v>уточ.режима</v>
          </cell>
        </row>
        <row r="82">
          <cell r="T82">
            <v>0</v>
          </cell>
        </row>
        <row r="83">
          <cell r="T83" t="str">
            <v>сн.грп</v>
          </cell>
        </row>
        <row r="84">
          <cell r="T84">
            <v>0</v>
          </cell>
        </row>
        <row r="85">
          <cell r="T85" t="str">
            <v>уточ.режима</v>
          </cell>
        </row>
        <row r="86">
          <cell r="T86" t="str">
            <v>уточ.режима</v>
          </cell>
        </row>
        <row r="87">
          <cell r="T87" t="e">
            <v>#N/A</v>
          </cell>
        </row>
        <row r="88">
          <cell r="T88">
            <v>0</v>
          </cell>
        </row>
        <row r="89">
          <cell r="T89" t="str">
            <v>уточ.режима</v>
          </cell>
        </row>
        <row r="90">
          <cell r="T90" t="str">
            <v>уточ.режима</v>
          </cell>
        </row>
        <row r="91">
          <cell r="T91" t="str">
            <v>уточ.режима</v>
          </cell>
        </row>
        <row r="92">
          <cell r="T92" t="str">
            <v>уточ.режима</v>
          </cell>
        </row>
        <row r="93">
          <cell r="T93">
            <v>0</v>
          </cell>
        </row>
        <row r="94">
          <cell r="T94">
            <v>0</v>
          </cell>
        </row>
        <row r="95">
          <cell r="T95" t="str">
            <v>сн.грп</v>
          </cell>
        </row>
        <row r="96">
          <cell r="T96" t="str">
            <v>вода</v>
          </cell>
        </row>
        <row r="97">
          <cell r="T97" t="str">
            <v>уточ.режима</v>
          </cell>
        </row>
        <row r="98">
          <cell r="T98" t="e">
            <v>#N/A</v>
          </cell>
        </row>
        <row r="99">
          <cell r="T99" t="str">
            <v>грп</v>
          </cell>
        </row>
        <row r="100">
          <cell r="T100" t="str">
            <v>уточ.режима</v>
          </cell>
        </row>
        <row r="101">
          <cell r="T101" t="str">
            <v>уточ.режима</v>
          </cell>
        </row>
        <row r="102">
          <cell r="T102" t="str">
            <v>уточ.режима</v>
          </cell>
        </row>
        <row r="103">
          <cell r="T103">
            <v>0</v>
          </cell>
        </row>
        <row r="104">
          <cell r="T104">
            <v>0</v>
          </cell>
        </row>
        <row r="105">
          <cell r="T105">
            <v>0</v>
          </cell>
        </row>
        <row r="106">
          <cell r="T106">
            <v>0</v>
          </cell>
        </row>
        <row r="107">
          <cell r="T107" t="str">
            <v/>
          </cell>
        </row>
        <row r="108">
          <cell r="T108">
            <v>0</v>
          </cell>
        </row>
        <row r="109">
          <cell r="T109" t="str">
            <v>уточ.режима</v>
          </cell>
        </row>
        <row r="110">
          <cell r="T110">
            <v>0</v>
          </cell>
        </row>
        <row r="111">
          <cell r="T111">
            <v>0</v>
          </cell>
        </row>
        <row r="112">
          <cell r="T112" t="str">
            <v>уточ.режима</v>
          </cell>
        </row>
        <row r="113">
          <cell r="T113">
            <v>0</v>
          </cell>
        </row>
        <row r="114">
          <cell r="T114" t="str">
            <v>вода</v>
          </cell>
        </row>
        <row r="115">
          <cell r="T115">
            <v>0</v>
          </cell>
        </row>
        <row r="116">
          <cell r="T116">
            <v>0</v>
          </cell>
        </row>
        <row r="117">
          <cell r="T117">
            <v>0</v>
          </cell>
        </row>
        <row r="118">
          <cell r="T118" t="str">
            <v>уточ.режима</v>
          </cell>
        </row>
        <row r="119">
          <cell r="T119" t="str">
            <v>уточ.режима</v>
          </cell>
        </row>
        <row r="120">
          <cell r="T120">
            <v>0</v>
          </cell>
        </row>
        <row r="121">
          <cell r="T121">
            <v>0</v>
          </cell>
        </row>
        <row r="122">
          <cell r="T122">
            <v>0</v>
          </cell>
        </row>
        <row r="123">
          <cell r="T123" t="str">
            <v>уточ.режима</v>
          </cell>
        </row>
        <row r="124">
          <cell r="T124" t="str">
            <v>уточ.режима</v>
          </cell>
        </row>
        <row r="125">
          <cell r="T125">
            <v>0</v>
          </cell>
        </row>
        <row r="126">
          <cell r="T126">
            <v>0</v>
          </cell>
        </row>
        <row r="127">
          <cell r="T127">
            <v>0</v>
          </cell>
        </row>
        <row r="128">
          <cell r="T128">
            <v>0</v>
          </cell>
        </row>
        <row r="129">
          <cell r="T129">
            <v>0</v>
          </cell>
        </row>
        <row r="130">
          <cell r="T130">
            <v>0</v>
          </cell>
        </row>
        <row r="131">
          <cell r="T131">
            <v>0</v>
          </cell>
        </row>
        <row r="132">
          <cell r="T132">
            <v>0</v>
          </cell>
        </row>
        <row r="133">
          <cell r="T133" t="str">
            <v>уточ.режима</v>
          </cell>
        </row>
        <row r="134">
          <cell r="T134">
            <v>0</v>
          </cell>
        </row>
        <row r="135">
          <cell r="T135">
            <v>0</v>
          </cell>
        </row>
        <row r="136">
          <cell r="T136">
            <v>0</v>
          </cell>
        </row>
        <row r="137">
          <cell r="T137" t="str">
            <v>прс</v>
          </cell>
        </row>
        <row r="138">
          <cell r="T138" t="str">
            <v>уточ.режима</v>
          </cell>
        </row>
        <row r="139">
          <cell r="T139">
            <v>0</v>
          </cell>
        </row>
        <row r="140">
          <cell r="T140" t="str">
            <v>бд</v>
          </cell>
        </row>
        <row r="141">
          <cell r="T141">
            <v>0</v>
          </cell>
        </row>
        <row r="142">
          <cell r="T142">
            <v>0</v>
          </cell>
        </row>
        <row r="143">
          <cell r="T143" t="str">
            <v>прс</v>
          </cell>
        </row>
        <row r="144">
          <cell r="T144" t="str">
            <v>прс</v>
          </cell>
        </row>
        <row r="145">
          <cell r="T145">
            <v>0</v>
          </cell>
        </row>
        <row r="146">
          <cell r="T146">
            <v>0</v>
          </cell>
        </row>
        <row r="147">
          <cell r="T147" t="str">
            <v>уточ.режима</v>
          </cell>
        </row>
        <row r="148">
          <cell r="T148" t="str">
            <v>уточ.режима</v>
          </cell>
        </row>
        <row r="149">
          <cell r="T149">
            <v>0</v>
          </cell>
        </row>
        <row r="150">
          <cell r="T150" t="e">
            <v>#N/A</v>
          </cell>
        </row>
        <row r="151">
          <cell r="T151">
            <v>0</v>
          </cell>
        </row>
        <row r="152">
          <cell r="T152">
            <v>0</v>
          </cell>
        </row>
        <row r="153">
          <cell r="T153">
            <v>0</v>
          </cell>
        </row>
        <row r="154">
          <cell r="T154">
            <v>0</v>
          </cell>
        </row>
        <row r="155">
          <cell r="T155">
            <v>0</v>
          </cell>
        </row>
        <row r="156">
          <cell r="T156">
            <v>0</v>
          </cell>
        </row>
        <row r="157">
          <cell r="T157">
            <v>0</v>
          </cell>
        </row>
        <row r="158">
          <cell r="T158">
            <v>0</v>
          </cell>
        </row>
        <row r="159">
          <cell r="T159">
            <v>0</v>
          </cell>
        </row>
        <row r="160">
          <cell r="T160">
            <v>0</v>
          </cell>
        </row>
        <row r="161">
          <cell r="T161">
            <v>0</v>
          </cell>
        </row>
        <row r="162">
          <cell r="T162">
            <v>0</v>
          </cell>
        </row>
        <row r="163">
          <cell r="T163">
            <v>0</v>
          </cell>
        </row>
        <row r="164">
          <cell r="T164" t="str">
            <v>уточ.режима</v>
          </cell>
        </row>
        <row r="165">
          <cell r="T165">
            <v>0</v>
          </cell>
        </row>
        <row r="166">
          <cell r="T166" t="str">
            <v>уточ.режима</v>
          </cell>
        </row>
        <row r="167">
          <cell r="T167">
            <v>0</v>
          </cell>
        </row>
        <row r="168">
          <cell r="T168">
            <v>0</v>
          </cell>
        </row>
        <row r="169">
          <cell r="T169" t="str">
            <v>прс</v>
          </cell>
        </row>
        <row r="170">
          <cell r="T170">
            <v>0</v>
          </cell>
        </row>
        <row r="171">
          <cell r="T171">
            <v>0</v>
          </cell>
        </row>
        <row r="172">
          <cell r="T172" t="str">
            <v>уточ.режима</v>
          </cell>
        </row>
        <row r="173">
          <cell r="T173">
            <v>0</v>
          </cell>
        </row>
        <row r="174">
          <cell r="T174">
            <v>0</v>
          </cell>
        </row>
        <row r="175">
          <cell r="T175" t="str">
            <v>уточ.режима</v>
          </cell>
        </row>
        <row r="176">
          <cell r="T176">
            <v>0</v>
          </cell>
        </row>
        <row r="177">
          <cell r="T177">
            <v>0</v>
          </cell>
        </row>
        <row r="178">
          <cell r="T178" t="str">
            <v>уточ.режима</v>
          </cell>
        </row>
        <row r="179">
          <cell r="T179" t="str">
            <v>уточ.режима</v>
          </cell>
        </row>
        <row r="180">
          <cell r="T180">
            <v>0</v>
          </cell>
        </row>
        <row r="181">
          <cell r="T181" t="str">
            <v>уточ.режима</v>
          </cell>
        </row>
        <row r="182">
          <cell r="T182">
            <v>0</v>
          </cell>
        </row>
        <row r="183">
          <cell r="T183">
            <v>0</v>
          </cell>
        </row>
        <row r="184">
          <cell r="T184">
            <v>0</v>
          </cell>
        </row>
        <row r="185">
          <cell r="T185">
            <v>0</v>
          </cell>
        </row>
        <row r="186">
          <cell r="T186" t="str">
            <v>уточ.режима</v>
          </cell>
        </row>
        <row r="187">
          <cell r="T187">
            <v>0</v>
          </cell>
        </row>
        <row r="188">
          <cell r="T188">
            <v>0</v>
          </cell>
        </row>
        <row r="189">
          <cell r="T189" t="str">
            <v>уточ.режима</v>
          </cell>
        </row>
        <row r="190">
          <cell r="T190" t="str">
            <v>уточ.режима</v>
          </cell>
        </row>
        <row r="191">
          <cell r="T191">
            <v>0</v>
          </cell>
        </row>
        <row r="192">
          <cell r="T192" t="str">
            <v>уточ.режима</v>
          </cell>
        </row>
        <row r="193">
          <cell r="T193" t="str">
            <v>уточ.режима</v>
          </cell>
        </row>
        <row r="194">
          <cell r="T194">
            <v>0</v>
          </cell>
        </row>
        <row r="195">
          <cell r="T195">
            <v>0</v>
          </cell>
        </row>
        <row r="196">
          <cell r="T196">
            <v>0</v>
          </cell>
        </row>
        <row r="197">
          <cell r="T197" t="str">
            <v>уточ.режима</v>
          </cell>
        </row>
        <row r="198">
          <cell r="T198" t="str">
            <v>уточ.режима</v>
          </cell>
        </row>
        <row r="199">
          <cell r="T199">
            <v>0</v>
          </cell>
        </row>
        <row r="200">
          <cell r="T200" t="str">
            <v>уточ.режима</v>
          </cell>
        </row>
        <row r="201">
          <cell r="T201">
            <v>0</v>
          </cell>
        </row>
        <row r="202">
          <cell r="T202">
            <v>0</v>
          </cell>
        </row>
        <row r="203">
          <cell r="T203" t="str">
            <v>вода грп</v>
          </cell>
        </row>
        <row r="204">
          <cell r="T204">
            <v>0</v>
          </cell>
        </row>
        <row r="205">
          <cell r="T205" t="str">
            <v>уточ.режима</v>
          </cell>
        </row>
        <row r="206">
          <cell r="T206">
            <v>0</v>
          </cell>
        </row>
        <row r="207">
          <cell r="T207" t="str">
            <v>сн.опт</v>
          </cell>
        </row>
        <row r="208">
          <cell r="T208">
            <v>0</v>
          </cell>
        </row>
        <row r="209">
          <cell r="T209" t="str">
            <v>вода</v>
          </cell>
        </row>
        <row r="210">
          <cell r="T210" t="str">
            <v>уточ.режима</v>
          </cell>
        </row>
        <row r="211">
          <cell r="T211">
            <v>0</v>
          </cell>
        </row>
        <row r="212">
          <cell r="T212">
            <v>0</v>
          </cell>
        </row>
        <row r="213">
          <cell r="T213" t="str">
            <v>уточ.режима</v>
          </cell>
        </row>
        <row r="214">
          <cell r="T214">
            <v>0</v>
          </cell>
        </row>
        <row r="215">
          <cell r="T215">
            <v>0</v>
          </cell>
        </row>
        <row r="216">
          <cell r="T216" t="str">
            <v>уточ.режима</v>
          </cell>
        </row>
        <row r="217">
          <cell r="T217">
            <v>0</v>
          </cell>
        </row>
        <row r="218">
          <cell r="T218">
            <v>0</v>
          </cell>
        </row>
        <row r="219">
          <cell r="T219">
            <v>0</v>
          </cell>
        </row>
        <row r="220">
          <cell r="T220">
            <v>0</v>
          </cell>
        </row>
        <row r="221">
          <cell r="T221">
            <v>0</v>
          </cell>
        </row>
        <row r="222">
          <cell r="T222">
            <v>0</v>
          </cell>
        </row>
        <row r="223">
          <cell r="T223" t="str">
            <v>прс</v>
          </cell>
        </row>
        <row r="224">
          <cell r="T224" t="str">
            <v>уточ.режима</v>
          </cell>
        </row>
        <row r="225">
          <cell r="T225" t="str">
            <v>уточ.режима</v>
          </cell>
        </row>
        <row r="226">
          <cell r="T226">
            <v>0</v>
          </cell>
        </row>
        <row r="227">
          <cell r="T227">
            <v>0</v>
          </cell>
        </row>
        <row r="228">
          <cell r="T228" t="str">
            <v>вода.опт</v>
          </cell>
        </row>
        <row r="229">
          <cell r="T229" t="str">
            <v>сн.бд</v>
          </cell>
        </row>
        <row r="230">
          <cell r="T230">
            <v>0</v>
          </cell>
        </row>
        <row r="231">
          <cell r="T231">
            <v>0</v>
          </cell>
        </row>
        <row r="232">
          <cell r="T232">
            <v>0</v>
          </cell>
        </row>
        <row r="233">
          <cell r="T233">
            <v>0</v>
          </cell>
        </row>
        <row r="234">
          <cell r="T234">
            <v>0</v>
          </cell>
        </row>
        <row r="235">
          <cell r="T235" t="str">
            <v>уточ.режима</v>
          </cell>
        </row>
        <row r="236">
          <cell r="T236" t="str">
            <v>уточ.режима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 t="str">
            <v>уточ.режима</v>
          </cell>
        </row>
        <row r="240">
          <cell r="T240">
            <v>0</v>
          </cell>
        </row>
        <row r="241">
          <cell r="T241" t="e">
            <v>#N/A</v>
          </cell>
        </row>
        <row r="242">
          <cell r="T242">
            <v>0</v>
          </cell>
        </row>
        <row r="243">
          <cell r="T243">
            <v>0</v>
          </cell>
        </row>
        <row r="244">
          <cell r="T244">
            <v>0</v>
          </cell>
        </row>
        <row r="245">
          <cell r="T245">
            <v>0</v>
          </cell>
        </row>
        <row r="246">
          <cell r="T246" t="str">
            <v>грп</v>
          </cell>
        </row>
        <row r="247">
          <cell r="T247">
            <v>0</v>
          </cell>
        </row>
        <row r="248">
          <cell r="T248">
            <v>0</v>
          </cell>
        </row>
        <row r="249">
          <cell r="T249" t="str">
            <v>уточ.режима</v>
          </cell>
        </row>
        <row r="250">
          <cell r="T250">
            <v>0</v>
          </cell>
        </row>
        <row r="251">
          <cell r="T251">
            <v>0</v>
          </cell>
        </row>
        <row r="252">
          <cell r="T252" t="str">
            <v>ипп</v>
          </cell>
        </row>
        <row r="253">
          <cell r="T253">
            <v>0</v>
          </cell>
        </row>
        <row r="254">
          <cell r="T254">
            <v>0</v>
          </cell>
        </row>
        <row r="255">
          <cell r="T255">
            <v>0</v>
          </cell>
        </row>
        <row r="256">
          <cell r="T256" t="str">
            <v>вода</v>
          </cell>
        </row>
        <row r="257">
          <cell r="T257">
            <v>0</v>
          </cell>
        </row>
        <row r="258">
          <cell r="T258">
            <v>0</v>
          </cell>
        </row>
        <row r="259">
          <cell r="T259">
            <v>0</v>
          </cell>
        </row>
        <row r="260">
          <cell r="T260">
            <v>0</v>
          </cell>
        </row>
        <row r="261">
          <cell r="T261" t="str">
            <v>уточ.режима</v>
          </cell>
        </row>
        <row r="262">
          <cell r="T262">
            <v>0</v>
          </cell>
        </row>
        <row r="263">
          <cell r="T263">
            <v>0</v>
          </cell>
        </row>
        <row r="264">
          <cell r="T264">
            <v>0</v>
          </cell>
        </row>
        <row r="265">
          <cell r="T265">
            <v>0</v>
          </cell>
        </row>
        <row r="266">
          <cell r="T266" t="str">
            <v>прс</v>
          </cell>
        </row>
        <row r="267">
          <cell r="T267">
            <v>0</v>
          </cell>
        </row>
        <row r="268">
          <cell r="T268" t="str">
            <v>уточ.режима</v>
          </cell>
        </row>
        <row r="269">
          <cell r="T269" t="str">
            <v>прс</v>
          </cell>
        </row>
        <row r="270">
          <cell r="T270">
            <v>0</v>
          </cell>
        </row>
        <row r="271">
          <cell r="T271">
            <v>0</v>
          </cell>
        </row>
        <row r="272">
          <cell r="T272">
            <v>0</v>
          </cell>
        </row>
        <row r="273">
          <cell r="T273">
            <v>0</v>
          </cell>
        </row>
        <row r="274">
          <cell r="T274">
            <v>0</v>
          </cell>
        </row>
        <row r="275">
          <cell r="T275" t="str">
            <v>грп</v>
          </cell>
        </row>
        <row r="276">
          <cell r="T276">
            <v>0</v>
          </cell>
        </row>
        <row r="277">
          <cell r="T277" t="str">
            <v>уточ.режима</v>
          </cell>
        </row>
        <row r="278">
          <cell r="T278" t="str">
            <v>уточ.режима</v>
          </cell>
        </row>
        <row r="279">
          <cell r="T279" t="str">
            <v>уточ.режима</v>
          </cell>
        </row>
        <row r="280">
          <cell r="T280">
            <v>0</v>
          </cell>
        </row>
        <row r="281">
          <cell r="T281">
            <v>0</v>
          </cell>
        </row>
        <row r="282">
          <cell r="T282">
            <v>0</v>
          </cell>
        </row>
        <row r="283">
          <cell r="T283">
            <v>0</v>
          </cell>
        </row>
        <row r="284">
          <cell r="T284">
            <v>0</v>
          </cell>
        </row>
        <row r="285">
          <cell r="T285" t="str">
            <v>уточ.режима</v>
          </cell>
        </row>
        <row r="286">
          <cell r="T286" t="str">
            <v>уточ.режима</v>
          </cell>
        </row>
        <row r="287">
          <cell r="T287">
            <v>0</v>
          </cell>
        </row>
        <row r="288">
          <cell r="T288">
            <v>0</v>
          </cell>
        </row>
        <row r="289">
          <cell r="T289" t="str">
            <v>уточ.режима</v>
          </cell>
        </row>
        <row r="290">
          <cell r="T290">
            <v>0</v>
          </cell>
        </row>
        <row r="291">
          <cell r="T291">
            <v>0</v>
          </cell>
        </row>
        <row r="292">
          <cell r="T292" t="str">
            <v>уточ.режима</v>
          </cell>
        </row>
        <row r="293">
          <cell r="T293" t="str">
            <v>прс</v>
          </cell>
        </row>
        <row r="294">
          <cell r="T294" t="str">
            <v>уточ.режима</v>
          </cell>
        </row>
        <row r="295">
          <cell r="T295">
            <v>0</v>
          </cell>
        </row>
        <row r="296">
          <cell r="T296">
            <v>0</v>
          </cell>
        </row>
        <row r="297">
          <cell r="T297" t="str">
            <v>вода</v>
          </cell>
        </row>
        <row r="298">
          <cell r="T298" t="str">
            <v>сн.прс</v>
          </cell>
        </row>
        <row r="299">
          <cell r="T299" t="str">
            <v>вода</v>
          </cell>
        </row>
        <row r="300">
          <cell r="T300">
            <v>0</v>
          </cell>
        </row>
        <row r="301">
          <cell r="T301">
            <v>0</v>
          </cell>
        </row>
        <row r="302">
          <cell r="T302">
            <v>0</v>
          </cell>
        </row>
        <row r="303">
          <cell r="T303" t="str">
            <v>грп</v>
          </cell>
        </row>
        <row r="304">
          <cell r="T304">
            <v>0</v>
          </cell>
        </row>
        <row r="305">
          <cell r="T305" t="str">
            <v>уточ.режима</v>
          </cell>
        </row>
        <row r="306">
          <cell r="T306">
            <v>0</v>
          </cell>
        </row>
        <row r="307">
          <cell r="T307" t="str">
            <v>сн.грп</v>
          </cell>
        </row>
        <row r="308">
          <cell r="T308" t="str">
            <v>уточ.режима</v>
          </cell>
        </row>
        <row r="309">
          <cell r="T309">
            <v>0</v>
          </cell>
        </row>
        <row r="310">
          <cell r="T310">
            <v>0</v>
          </cell>
        </row>
        <row r="311">
          <cell r="T311">
            <v>0</v>
          </cell>
        </row>
        <row r="312">
          <cell r="T312">
            <v>0</v>
          </cell>
        </row>
        <row r="313">
          <cell r="T313" t="str">
            <v>ипп</v>
          </cell>
        </row>
        <row r="314">
          <cell r="T314" t="str">
            <v>прс</v>
          </cell>
        </row>
        <row r="315">
          <cell r="T315" t="e">
            <v>#N/A</v>
          </cell>
        </row>
        <row r="316">
          <cell r="T316" t="str">
            <v>прс</v>
          </cell>
        </row>
        <row r="317">
          <cell r="T317" t="str">
            <v>уточ.режима</v>
          </cell>
        </row>
        <row r="318">
          <cell r="T318">
            <v>0</v>
          </cell>
        </row>
        <row r="319">
          <cell r="T319">
            <v>0</v>
          </cell>
        </row>
        <row r="320">
          <cell r="T320" t="str">
            <v>сн.прс</v>
          </cell>
        </row>
        <row r="321">
          <cell r="T321">
            <v>0</v>
          </cell>
        </row>
        <row r="322">
          <cell r="T322">
            <v>0</v>
          </cell>
        </row>
        <row r="323">
          <cell r="T323" t="str">
            <v>сн.грп</v>
          </cell>
        </row>
        <row r="324">
          <cell r="T324" t="e">
            <v>#N/A</v>
          </cell>
        </row>
        <row r="325">
          <cell r="T325">
            <v>0</v>
          </cell>
        </row>
        <row r="326">
          <cell r="T326">
            <v>0</v>
          </cell>
        </row>
        <row r="327">
          <cell r="T327" t="str">
            <v>сн.опт</v>
          </cell>
        </row>
        <row r="328">
          <cell r="T328" t="str">
            <v>уточ.режима</v>
          </cell>
        </row>
        <row r="329">
          <cell r="T329" t="str">
            <v>уточ.режима</v>
          </cell>
        </row>
        <row r="330">
          <cell r="T330" t="str">
            <v>уточ.режима</v>
          </cell>
        </row>
        <row r="331">
          <cell r="T331" t="str">
            <v>уточ.режима</v>
          </cell>
        </row>
        <row r="332">
          <cell r="T332">
            <v>0</v>
          </cell>
        </row>
        <row r="333">
          <cell r="T333">
            <v>0</v>
          </cell>
        </row>
        <row r="334">
          <cell r="T334" t="str">
            <v>прс</v>
          </cell>
        </row>
        <row r="335">
          <cell r="T335" t="str">
            <v>опт</v>
          </cell>
        </row>
        <row r="336">
          <cell r="T336" t="str">
            <v/>
          </cell>
        </row>
        <row r="337">
          <cell r="T337" t="str">
            <v>уточ.режима</v>
          </cell>
        </row>
        <row r="338">
          <cell r="T338">
            <v>0</v>
          </cell>
        </row>
        <row r="339">
          <cell r="T339">
            <v>0</v>
          </cell>
        </row>
        <row r="340">
          <cell r="T340">
            <v>0</v>
          </cell>
        </row>
        <row r="341">
          <cell r="T341" t="str">
            <v>уточ.режима</v>
          </cell>
        </row>
        <row r="342">
          <cell r="T342">
            <v>0</v>
          </cell>
        </row>
        <row r="343">
          <cell r="T343">
            <v>0</v>
          </cell>
        </row>
        <row r="344">
          <cell r="T344">
            <v>0</v>
          </cell>
        </row>
        <row r="345">
          <cell r="T345">
            <v>0</v>
          </cell>
        </row>
        <row r="346">
          <cell r="T346">
            <v>0</v>
          </cell>
        </row>
        <row r="347">
          <cell r="T347">
            <v>0</v>
          </cell>
        </row>
        <row r="348">
          <cell r="T348">
            <v>0</v>
          </cell>
        </row>
        <row r="349">
          <cell r="T349" t="str">
            <v>сн.прс</v>
          </cell>
        </row>
        <row r="350">
          <cell r="T350" t="str">
            <v>вода</v>
          </cell>
        </row>
        <row r="351">
          <cell r="T351" t="str">
            <v>уточ.режима</v>
          </cell>
        </row>
        <row r="352">
          <cell r="T352" t="str">
            <v>прс</v>
          </cell>
        </row>
        <row r="353">
          <cell r="T353" t="str">
            <v>уточ.режима</v>
          </cell>
        </row>
        <row r="354">
          <cell r="T354" t="str">
            <v>уточ.режима</v>
          </cell>
        </row>
        <row r="355">
          <cell r="T355">
            <v>0</v>
          </cell>
        </row>
        <row r="356">
          <cell r="T356" t="str">
            <v>уточ.режима</v>
          </cell>
        </row>
        <row r="357">
          <cell r="T357" t="str">
            <v>уточ.режима</v>
          </cell>
        </row>
        <row r="358">
          <cell r="T358">
            <v>0</v>
          </cell>
        </row>
        <row r="359">
          <cell r="T359">
            <v>0</v>
          </cell>
        </row>
        <row r="360">
          <cell r="T360">
            <v>0</v>
          </cell>
        </row>
        <row r="361">
          <cell r="T361" t="str">
            <v>прс</v>
          </cell>
        </row>
        <row r="362">
          <cell r="T362" t="str">
            <v>уточ.режима</v>
          </cell>
        </row>
        <row r="363">
          <cell r="T363">
            <v>0</v>
          </cell>
        </row>
        <row r="364">
          <cell r="T364">
            <v>0</v>
          </cell>
        </row>
        <row r="365">
          <cell r="T365">
            <v>0</v>
          </cell>
        </row>
        <row r="366">
          <cell r="T366" t="str">
            <v>прс</v>
          </cell>
        </row>
        <row r="367">
          <cell r="T367">
            <v>0</v>
          </cell>
        </row>
        <row r="368">
          <cell r="T368">
            <v>0</v>
          </cell>
        </row>
        <row r="369">
          <cell r="T369">
            <v>0</v>
          </cell>
        </row>
        <row r="370">
          <cell r="T370" t="str">
            <v>уточ.режима</v>
          </cell>
        </row>
        <row r="371">
          <cell r="T371" t="str">
            <v>уточ.режима</v>
          </cell>
        </row>
        <row r="372">
          <cell r="T372">
            <v>0</v>
          </cell>
        </row>
        <row r="373">
          <cell r="T373">
            <v>0</v>
          </cell>
        </row>
        <row r="374">
          <cell r="T374" t="str">
            <v>уточ.режима</v>
          </cell>
        </row>
        <row r="375">
          <cell r="T375">
            <v>0</v>
          </cell>
        </row>
        <row r="376">
          <cell r="T376" t="str">
            <v>уточ.режима</v>
          </cell>
        </row>
        <row r="377">
          <cell r="T377" t="str">
            <v>уточ.режима</v>
          </cell>
        </row>
        <row r="378">
          <cell r="T378" t="str">
            <v>вода</v>
          </cell>
        </row>
        <row r="379">
          <cell r="T379" t="str">
            <v>уточ.режима</v>
          </cell>
        </row>
        <row r="380">
          <cell r="T380" t="str">
            <v>прс</v>
          </cell>
        </row>
        <row r="381">
          <cell r="T381">
            <v>0</v>
          </cell>
        </row>
        <row r="382">
          <cell r="T382">
            <v>0</v>
          </cell>
        </row>
        <row r="383">
          <cell r="T383">
            <v>0</v>
          </cell>
        </row>
        <row r="384">
          <cell r="T384" t="str">
            <v>сн.опт</v>
          </cell>
        </row>
        <row r="385">
          <cell r="T385" t="str">
            <v>уточ.режима</v>
          </cell>
        </row>
        <row r="386">
          <cell r="T386" t="str">
            <v>сн.опт</v>
          </cell>
        </row>
        <row r="387">
          <cell r="T387">
            <v>0</v>
          </cell>
        </row>
        <row r="388">
          <cell r="T388">
            <v>0</v>
          </cell>
        </row>
        <row r="389">
          <cell r="T389">
            <v>0</v>
          </cell>
        </row>
        <row r="390">
          <cell r="T390">
            <v>0</v>
          </cell>
        </row>
        <row r="391">
          <cell r="T391">
            <v>0</v>
          </cell>
        </row>
        <row r="392">
          <cell r="T392">
            <v>0</v>
          </cell>
        </row>
        <row r="393">
          <cell r="T393" t="str">
            <v>уточ.режима</v>
          </cell>
        </row>
        <row r="394">
          <cell r="T394" t="e">
            <v>#N/A</v>
          </cell>
        </row>
        <row r="395">
          <cell r="T395" t="str">
            <v>уточ.режима</v>
          </cell>
        </row>
        <row r="396">
          <cell r="T396">
            <v>0</v>
          </cell>
        </row>
        <row r="397">
          <cell r="T397">
            <v>0</v>
          </cell>
        </row>
        <row r="398">
          <cell r="T398">
            <v>0</v>
          </cell>
        </row>
        <row r="399">
          <cell r="T399">
            <v>0</v>
          </cell>
        </row>
        <row r="400">
          <cell r="T400">
            <v>0</v>
          </cell>
        </row>
        <row r="401">
          <cell r="T401" t="str">
            <v>уточ.режима</v>
          </cell>
        </row>
        <row r="402">
          <cell r="T402" t="str">
            <v>уточ.режима</v>
          </cell>
        </row>
        <row r="403">
          <cell r="T403" t="str">
            <v>уточ.режима</v>
          </cell>
        </row>
        <row r="404">
          <cell r="T404" t="str">
            <v>уточ.режима</v>
          </cell>
        </row>
        <row r="405">
          <cell r="T405" t="str">
            <v>вода</v>
          </cell>
        </row>
        <row r="406">
          <cell r="T406">
            <v>0</v>
          </cell>
        </row>
        <row r="407">
          <cell r="T407" t="str">
            <v>по</v>
          </cell>
        </row>
        <row r="408">
          <cell r="T408">
            <v>0</v>
          </cell>
        </row>
        <row r="409">
          <cell r="T409" t="str">
            <v>уточ.режима</v>
          </cell>
        </row>
        <row r="410">
          <cell r="T410">
            <v>0</v>
          </cell>
        </row>
        <row r="411">
          <cell r="T411" t="str">
            <v>вода</v>
          </cell>
        </row>
        <row r="412">
          <cell r="T412">
            <v>0</v>
          </cell>
        </row>
        <row r="413">
          <cell r="T413">
            <v>0</v>
          </cell>
        </row>
        <row r="414">
          <cell r="T414">
            <v>0</v>
          </cell>
        </row>
        <row r="415">
          <cell r="T415">
            <v>0</v>
          </cell>
        </row>
        <row r="416">
          <cell r="T416" t="str">
            <v/>
          </cell>
        </row>
        <row r="417">
          <cell r="T417">
            <v>0</v>
          </cell>
        </row>
        <row r="418">
          <cell r="T418" t="str">
            <v>по</v>
          </cell>
        </row>
        <row r="419">
          <cell r="T419" t="str">
            <v>ипп</v>
          </cell>
        </row>
        <row r="420">
          <cell r="T420" t="str">
            <v>по</v>
          </cell>
        </row>
        <row r="421">
          <cell r="T421">
            <v>0</v>
          </cell>
        </row>
        <row r="422">
          <cell r="T422" t="str">
            <v>сн.бд</v>
          </cell>
        </row>
        <row r="423">
          <cell r="T423">
            <v>0</v>
          </cell>
        </row>
        <row r="424">
          <cell r="T424">
            <v>0</v>
          </cell>
        </row>
        <row r="425">
          <cell r="T425" t="str">
            <v>прс</v>
          </cell>
        </row>
        <row r="426">
          <cell r="T426">
            <v>0</v>
          </cell>
        </row>
        <row r="427">
          <cell r="T427" t="str">
            <v>уточ.режима</v>
          </cell>
        </row>
        <row r="428">
          <cell r="T428">
            <v>0</v>
          </cell>
        </row>
        <row r="429">
          <cell r="T429">
            <v>0</v>
          </cell>
        </row>
        <row r="430">
          <cell r="T430">
            <v>0</v>
          </cell>
        </row>
        <row r="431">
          <cell r="T431">
            <v>0</v>
          </cell>
        </row>
        <row r="432">
          <cell r="T432">
            <v>0</v>
          </cell>
        </row>
        <row r="433">
          <cell r="T433" t="str">
            <v>прс</v>
          </cell>
        </row>
        <row r="434">
          <cell r="T434" t="str">
            <v/>
          </cell>
        </row>
        <row r="435">
          <cell r="T435">
            <v>0</v>
          </cell>
        </row>
        <row r="436">
          <cell r="T436" t="str">
            <v>уточ.режима</v>
          </cell>
        </row>
        <row r="437">
          <cell r="T437">
            <v>0</v>
          </cell>
        </row>
        <row r="438">
          <cell r="T438">
            <v>0</v>
          </cell>
        </row>
        <row r="439">
          <cell r="T439" t="str">
            <v>уточ.режима</v>
          </cell>
        </row>
        <row r="440">
          <cell r="T440">
            <v>0</v>
          </cell>
        </row>
        <row r="441">
          <cell r="T441">
            <v>0</v>
          </cell>
        </row>
        <row r="442">
          <cell r="T442" t="str">
            <v>уточ.режима</v>
          </cell>
        </row>
        <row r="443">
          <cell r="T443" t="str">
            <v>вода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3-04"/>
      <sheetName val="изм 03-04 (2)"/>
      <sheetName val="изм"/>
      <sheetName val="сброс"/>
      <sheetName val="совмесные замеры"/>
    </sheetNames>
    <sheetDataSet>
      <sheetData sheetId="0"/>
      <sheetData sheetId="1">
        <row r="5">
          <cell r="T5" t="str">
            <v>шифр</v>
          </cell>
        </row>
        <row r="7">
          <cell r="T7" t="str">
            <v>ипп</v>
          </cell>
        </row>
        <row r="8">
          <cell r="T8">
            <v>0</v>
          </cell>
        </row>
        <row r="9">
          <cell r="T9">
            <v>0</v>
          </cell>
        </row>
        <row r="10">
          <cell r="T10">
            <v>0</v>
          </cell>
        </row>
        <row r="11">
          <cell r="T11">
            <v>0</v>
          </cell>
        </row>
        <row r="12">
          <cell r="T12" t="str">
            <v>сн.прс</v>
          </cell>
        </row>
        <row r="13">
          <cell r="T13" t="str">
            <v>уточ.режима</v>
          </cell>
        </row>
        <row r="14">
          <cell r="T14">
            <v>0</v>
          </cell>
        </row>
        <row r="15">
          <cell r="T15">
            <v>0</v>
          </cell>
        </row>
        <row r="16">
          <cell r="T16" t="str">
            <v/>
          </cell>
        </row>
        <row r="17">
          <cell r="T17">
            <v>0</v>
          </cell>
        </row>
        <row r="18">
          <cell r="T18" t="str">
            <v>уточ.режима</v>
          </cell>
        </row>
        <row r="19">
          <cell r="T19">
            <v>0</v>
          </cell>
        </row>
        <row r="20">
          <cell r="T20" t="str">
            <v>вода</v>
          </cell>
        </row>
        <row r="21">
          <cell r="T21" t="str">
            <v>уточ.режима</v>
          </cell>
        </row>
        <row r="22">
          <cell r="T22" t="str">
            <v>уточ.режима</v>
          </cell>
        </row>
        <row r="23">
          <cell r="T23">
            <v>0</v>
          </cell>
        </row>
        <row r="24">
          <cell r="T24" t="str">
            <v>уточ.режима</v>
          </cell>
        </row>
        <row r="25">
          <cell r="T25">
            <v>0</v>
          </cell>
        </row>
        <row r="26">
          <cell r="T26">
            <v>0</v>
          </cell>
        </row>
        <row r="27">
          <cell r="T27" t="str">
            <v>уточ.режима</v>
          </cell>
        </row>
        <row r="28">
          <cell r="T28">
            <v>0</v>
          </cell>
        </row>
        <row r="29">
          <cell r="T29">
            <v>0</v>
          </cell>
        </row>
        <row r="30">
          <cell r="T30">
            <v>0</v>
          </cell>
        </row>
        <row r="31">
          <cell r="T31">
            <v>0</v>
          </cell>
        </row>
        <row r="32">
          <cell r="T32" t="str">
            <v>по</v>
          </cell>
        </row>
        <row r="33">
          <cell r="T33">
            <v>0</v>
          </cell>
        </row>
        <row r="34">
          <cell r="T34" t="str">
            <v>грп</v>
          </cell>
        </row>
        <row r="35">
          <cell r="T35">
            <v>0</v>
          </cell>
        </row>
        <row r="36">
          <cell r="T36">
            <v>0</v>
          </cell>
        </row>
        <row r="37">
          <cell r="T37" t="str">
            <v>вода</v>
          </cell>
        </row>
        <row r="38">
          <cell r="T38">
            <v>0</v>
          </cell>
        </row>
        <row r="39">
          <cell r="T39">
            <v>0</v>
          </cell>
        </row>
        <row r="40">
          <cell r="T40">
            <v>0</v>
          </cell>
        </row>
        <row r="41">
          <cell r="T41" t="str">
            <v>уточ.режима</v>
          </cell>
        </row>
        <row r="42">
          <cell r="T42">
            <v>0</v>
          </cell>
        </row>
        <row r="43">
          <cell r="T43">
            <v>0</v>
          </cell>
        </row>
        <row r="44">
          <cell r="T44" t="str">
            <v>уточ.режима</v>
          </cell>
        </row>
        <row r="45">
          <cell r="T45">
            <v>0</v>
          </cell>
        </row>
        <row r="46">
          <cell r="T46" t="str">
            <v>уточ.режима</v>
          </cell>
        </row>
        <row r="47">
          <cell r="T47">
            <v>0</v>
          </cell>
        </row>
        <row r="48">
          <cell r="T48">
            <v>0</v>
          </cell>
        </row>
        <row r="49">
          <cell r="T49" t="str">
            <v>вода</v>
          </cell>
        </row>
        <row r="50">
          <cell r="T50">
            <v>0</v>
          </cell>
        </row>
        <row r="51">
          <cell r="T51" t="str">
            <v>уточ.режима</v>
          </cell>
        </row>
        <row r="52">
          <cell r="T52">
            <v>0</v>
          </cell>
        </row>
        <row r="53">
          <cell r="T53">
            <v>0</v>
          </cell>
        </row>
        <row r="54">
          <cell r="T54">
            <v>0</v>
          </cell>
        </row>
        <row r="55">
          <cell r="T55">
            <v>0</v>
          </cell>
        </row>
        <row r="56">
          <cell r="T56" t="str">
            <v/>
          </cell>
        </row>
        <row r="57">
          <cell r="T57">
            <v>0</v>
          </cell>
        </row>
        <row r="58">
          <cell r="T58">
            <v>0</v>
          </cell>
        </row>
        <row r="59">
          <cell r="T59">
            <v>0</v>
          </cell>
        </row>
        <row r="60">
          <cell r="T60">
            <v>0</v>
          </cell>
        </row>
        <row r="61">
          <cell r="T61">
            <v>0</v>
          </cell>
        </row>
        <row r="62">
          <cell r="T62" t="str">
            <v>сн.прс</v>
          </cell>
        </row>
        <row r="63">
          <cell r="T63" t="str">
            <v>уточ.режима</v>
          </cell>
        </row>
        <row r="64">
          <cell r="T64">
            <v>0</v>
          </cell>
        </row>
        <row r="65">
          <cell r="T65">
            <v>0</v>
          </cell>
        </row>
        <row r="66">
          <cell r="T66">
            <v>0</v>
          </cell>
        </row>
        <row r="67">
          <cell r="T67">
            <v>0</v>
          </cell>
        </row>
        <row r="68">
          <cell r="T68">
            <v>0</v>
          </cell>
        </row>
        <row r="69">
          <cell r="T69">
            <v>0</v>
          </cell>
        </row>
        <row r="70">
          <cell r="T70" t="str">
            <v>уточ.режима</v>
          </cell>
        </row>
        <row r="71">
          <cell r="T71">
            <v>0</v>
          </cell>
        </row>
        <row r="72">
          <cell r="T72">
            <v>0</v>
          </cell>
        </row>
        <row r="73">
          <cell r="T73">
            <v>0</v>
          </cell>
        </row>
        <row r="74">
          <cell r="T74">
            <v>0</v>
          </cell>
        </row>
        <row r="75">
          <cell r="T75">
            <v>0</v>
          </cell>
        </row>
        <row r="76">
          <cell r="T76" t="str">
            <v>уточ.режима</v>
          </cell>
        </row>
        <row r="77">
          <cell r="T77" t="str">
            <v>по</v>
          </cell>
        </row>
        <row r="78">
          <cell r="T78">
            <v>0</v>
          </cell>
        </row>
        <row r="79">
          <cell r="T79">
            <v>0</v>
          </cell>
        </row>
        <row r="80">
          <cell r="T80">
            <v>0</v>
          </cell>
        </row>
        <row r="81">
          <cell r="T81" t="str">
            <v>уточ.режима</v>
          </cell>
        </row>
        <row r="82">
          <cell r="T82">
            <v>0</v>
          </cell>
        </row>
        <row r="83">
          <cell r="T83" t="str">
            <v>сн.грп</v>
          </cell>
        </row>
        <row r="84">
          <cell r="T84">
            <v>0</v>
          </cell>
        </row>
        <row r="85">
          <cell r="T85" t="str">
            <v>уточ.режима</v>
          </cell>
        </row>
        <row r="86">
          <cell r="T86" t="str">
            <v>уточ.режима</v>
          </cell>
        </row>
        <row r="87">
          <cell r="T87" t="e">
            <v>#N/A</v>
          </cell>
        </row>
        <row r="88">
          <cell r="T88">
            <v>0</v>
          </cell>
        </row>
        <row r="89">
          <cell r="T89" t="str">
            <v>уточ.режима</v>
          </cell>
        </row>
        <row r="90">
          <cell r="T90" t="str">
            <v>уточ.режима</v>
          </cell>
        </row>
        <row r="91">
          <cell r="T91" t="str">
            <v>уточ.режима</v>
          </cell>
        </row>
        <row r="92">
          <cell r="T92" t="str">
            <v>уточ.режима</v>
          </cell>
        </row>
        <row r="93">
          <cell r="T93">
            <v>0</v>
          </cell>
        </row>
        <row r="94">
          <cell r="T94">
            <v>0</v>
          </cell>
        </row>
        <row r="95">
          <cell r="T95" t="str">
            <v>сн.грп</v>
          </cell>
        </row>
        <row r="96">
          <cell r="T96" t="str">
            <v>вода</v>
          </cell>
        </row>
        <row r="97">
          <cell r="T97" t="str">
            <v>уточ.режима</v>
          </cell>
        </row>
        <row r="98">
          <cell r="T98" t="e">
            <v>#N/A</v>
          </cell>
        </row>
        <row r="99">
          <cell r="T99" t="str">
            <v>грп</v>
          </cell>
        </row>
        <row r="100">
          <cell r="T100" t="str">
            <v>уточ.режима</v>
          </cell>
        </row>
        <row r="101">
          <cell r="T101" t="str">
            <v>уточ.режима</v>
          </cell>
        </row>
        <row r="102">
          <cell r="T102" t="str">
            <v>уточ.режима</v>
          </cell>
        </row>
        <row r="103">
          <cell r="T103">
            <v>0</v>
          </cell>
        </row>
        <row r="104">
          <cell r="T104">
            <v>0</v>
          </cell>
        </row>
        <row r="105">
          <cell r="T105">
            <v>0</v>
          </cell>
        </row>
        <row r="106">
          <cell r="T106">
            <v>0</v>
          </cell>
        </row>
        <row r="107">
          <cell r="T107" t="str">
            <v/>
          </cell>
        </row>
        <row r="108">
          <cell r="T108">
            <v>0</v>
          </cell>
        </row>
        <row r="109">
          <cell r="T109" t="str">
            <v>уточ.режима</v>
          </cell>
        </row>
        <row r="110">
          <cell r="T110">
            <v>0</v>
          </cell>
        </row>
        <row r="111">
          <cell r="T111">
            <v>0</v>
          </cell>
        </row>
        <row r="112">
          <cell r="T112" t="str">
            <v>уточ.режима</v>
          </cell>
        </row>
        <row r="113">
          <cell r="T113">
            <v>0</v>
          </cell>
        </row>
        <row r="114">
          <cell r="T114" t="str">
            <v>вода</v>
          </cell>
        </row>
        <row r="115">
          <cell r="T115">
            <v>0</v>
          </cell>
        </row>
        <row r="116">
          <cell r="T116">
            <v>0</v>
          </cell>
        </row>
        <row r="117">
          <cell r="T117">
            <v>0</v>
          </cell>
        </row>
        <row r="118">
          <cell r="T118" t="str">
            <v>уточ.режима</v>
          </cell>
        </row>
        <row r="119">
          <cell r="T119" t="str">
            <v>уточ.режима</v>
          </cell>
        </row>
        <row r="120">
          <cell r="T120">
            <v>0</v>
          </cell>
        </row>
        <row r="121">
          <cell r="T121">
            <v>0</v>
          </cell>
        </row>
        <row r="122">
          <cell r="T122">
            <v>0</v>
          </cell>
        </row>
        <row r="123">
          <cell r="T123" t="str">
            <v>уточ.режима</v>
          </cell>
        </row>
        <row r="124">
          <cell r="T124" t="str">
            <v>уточ.режима</v>
          </cell>
        </row>
        <row r="125">
          <cell r="T125">
            <v>0</v>
          </cell>
        </row>
        <row r="126">
          <cell r="T126">
            <v>0</v>
          </cell>
        </row>
        <row r="127">
          <cell r="T127">
            <v>0</v>
          </cell>
        </row>
        <row r="128">
          <cell r="T128">
            <v>0</v>
          </cell>
        </row>
        <row r="129">
          <cell r="T129">
            <v>0</v>
          </cell>
        </row>
        <row r="130">
          <cell r="T130">
            <v>0</v>
          </cell>
        </row>
        <row r="131">
          <cell r="T131">
            <v>0</v>
          </cell>
        </row>
        <row r="132">
          <cell r="T132">
            <v>0</v>
          </cell>
        </row>
        <row r="133">
          <cell r="T133" t="str">
            <v>уточ.режима</v>
          </cell>
        </row>
        <row r="134">
          <cell r="T134">
            <v>0</v>
          </cell>
        </row>
        <row r="135">
          <cell r="T135">
            <v>0</v>
          </cell>
        </row>
        <row r="136">
          <cell r="T136">
            <v>0</v>
          </cell>
        </row>
        <row r="137">
          <cell r="T137" t="str">
            <v>прс</v>
          </cell>
        </row>
        <row r="138">
          <cell r="T138" t="str">
            <v>уточ.режима</v>
          </cell>
        </row>
        <row r="139">
          <cell r="T139">
            <v>0</v>
          </cell>
        </row>
        <row r="140">
          <cell r="T140" t="str">
            <v>бд</v>
          </cell>
        </row>
        <row r="141">
          <cell r="T141">
            <v>0</v>
          </cell>
        </row>
        <row r="142">
          <cell r="T142">
            <v>0</v>
          </cell>
        </row>
        <row r="143">
          <cell r="T143" t="str">
            <v>прс</v>
          </cell>
        </row>
        <row r="144">
          <cell r="T144" t="str">
            <v>прс</v>
          </cell>
        </row>
        <row r="145">
          <cell r="T145">
            <v>0</v>
          </cell>
        </row>
        <row r="146">
          <cell r="T146">
            <v>0</v>
          </cell>
        </row>
        <row r="147">
          <cell r="T147" t="str">
            <v>уточ.режима</v>
          </cell>
        </row>
        <row r="148">
          <cell r="T148" t="str">
            <v>уточ.режима</v>
          </cell>
        </row>
        <row r="149">
          <cell r="T149">
            <v>0</v>
          </cell>
        </row>
        <row r="150">
          <cell r="T150" t="e">
            <v>#N/A</v>
          </cell>
        </row>
        <row r="151">
          <cell r="T151">
            <v>0</v>
          </cell>
        </row>
        <row r="152">
          <cell r="T152">
            <v>0</v>
          </cell>
        </row>
        <row r="153">
          <cell r="T153">
            <v>0</v>
          </cell>
        </row>
        <row r="154">
          <cell r="T154">
            <v>0</v>
          </cell>
        </row>
        <row r="155">
          <cell r="T155">
            <v>0</v>
          </cell>
        </row>
        <row r="156">
          <cell r="T156">
            <v>0</v>
          </cell>
        </row>
        <row r="157">
          <cell r="T157">
            <v>0</v>
          </cell>
        </row>
        <row r="158">
          <cell r="T158">
            <v>0</v>
          </cell>
        </row>
        <row r="159">
          <cell r="T159">
            <v>0</v>
          </cell>
        </row>
        <row r="160">
          <cell r="T160">
            <v>0</v>
          </cell>
        </row>
        <row r="161">
          <cell r="T161">
            <v>0</v>
          </cell>
        </row>
        <row r="162">
          <cell r="T162">
            <v>0</v>
          </cell>
        </row>
        <row r="163">
          <cell r="T163">
            <v>0</v>
          </cell>
        </row>
        <row r="164">
          <cell r="T164" t="str">
            <v>уточ.режима</v>
          </cell>
        </row>
        <row r="165">
          <cell r="T165">
            <v>0</v>
          </cell>
        </row>
        <row r="166">
          <cell r="T166" t="str">
            <v>уточ.режима</v>
          </cell>
        </row>
        <row r="167">
          <cell r="T167">
            <v>0</v>
          </cell>
        </row>
        <row r="168">
          <cell r="T168">
            <v>0</v>
          </cell>
        </row>
        <row r="169">
          <cell r="T169" t="str">
            <v>прс</v>
          </cell>
        </row>
        <row r="170">
          <cell r="T170">
            <v>0</v>
          </cell>
        </row>
        <row r="171">
          <cell r="T171">
            <v>0</v>
          </cell>
        </row>
        <row r="172">
          <cell r="T172" t="str">
            <v>уточ.режима</v>
          </cell>
        </row>
        <row r="173">
          <cell r="T173">
            <v>0</v>
          </cell>
        </row>
        <row r="174">
          <cell r="T174">
            <v>0</v>
          </cell>
        </row>
        <row r="175">
          <cell r="T175" t="str">
            <v>уточ.режима</v>
          </cell>
        </row>
        <row r="176">
          <cell r="T176">
            <v>0</v>
          </cell>
        </row>
        <row r="177">
          <cell r="T177">
            <v>0</v>
          </cell>
        </row>
        <row r="178">
          <cell r="T178" t="str">
            <v>уточ.режима</v>
          </cell>
        </row>
        <row r="179">
          <cell r="T179" t="str">
            <v>уточ.режима</v>
          </cell>
        </row>
        <row r="180">
          <cell r="T180">
            <v>0</v>
          </cell>
        </row>
        <row r="181">
          <cell r="T181" t="str">
            <v>уточ.режима</v>
          </cell>
        </row>
        <row r="182">
          <cell r="T182">
            <v>0</v>
          </cell>
        </row>
        <row r="183">
          <cell r="T183">
            <v>0</v>
          </cell>
        </row>
        <row r="184">
          <cell r="T184">
            <v>0</v>
          </cell>
        </row>
        <row r="185">
          <cell r="T185">
            <v>0</v>
          </cell>
        </row>
        <row r="186">
          <cell r="T186" t="str">
            <v>уточ.режима</v>
          </cell>
        </row>
        <row r="187">
          <cell r="T187">
            <v>0</v>
          </cell>
        </row>
        <row r="188">
          <cell r="T188">
            <v>0</v>
          </cell>
        </row>
        <row r="189">
          <cell r="T189" t="str">
            <v>уточ.режима</v>
          </cell>
        </row>
        <row r="190">
          <cell r="T190" t="str">
            <v>уточ.режима</v>
          </cell>
        </row>
        <row r="191">
          <cell r="T191">
            <v>0</v>
          </cell>
        </row>
        <row r="192">
          <cell r="T192" t="str">
            <v>уточ.режима</v>
          </cell>
        </row>
        <row r="193">
          <cell r="T193" t="str">
            <v>уточ.режима</v>
          </cell>
        </row>
        <row r="194">
          <cell r="T194">
            <v>0</v>
          </cell>
        </row>
        <row r="195">
          <cell r="T195">
            <v>0</v>
          </cell>
        </row>
        <row r="196">
          <cell r="T196">
            <v>0</v>
          </cell>
        </row>
        <row r="197">
          <cell r="T197" t="str">
            <v>уточ.режима</v>
          </cell>
        </row>
        <row r="198">
          <cell r="T198" t="str">
            <v>уточ.режима</v>
          </cell>
        </row>
        <row r="199">
          <cell r="T199">
            <v>0</v>
          </cell>
        </row>
        <row r="200">
          <cell r="T200" t="str">
            <v>уточ.режима</v>
          </cell>
        </row>
        <row r="201">
          <cell r="T201">
            <v>0</v>
          </cell>
        </row>
        <row r="202">
          <cell r="T202">
            <v>0</v>
          </cell>
        </row>
        <row r="203">
          <cell r="T203" t="str">
            <v>вода грп</v>
          </cell>
        </row>
        <row r="204">
          <cell r="T204">
            <v>0</v>
          </cell>
        </row>
        <row r="205">
          <cell r="T205" t="str">
            <v>уточ.режима</v>
          </cell>
        </row>
        <row r="206">
          <cell r="T206">
            <v>0</v>
          </cell>
        </row>
        <row r="207">
          <cell r="T207" t="str">
            <v>сн.опт</v>
          </cell>
        </row>
        <row r="208">
          <cell r="T208">
            <v>0</v>
          </cell>
        </row>
        <row r="209">
          <cell r="T209" t="str">
            <v>вода</v>
          </cell>
        </row>
        <row r="210">
          <cell r="T210" t="str">
            <v>уточ.режима</v>
          </cell>
        </row>
        <row r="211">
          <cell r="T211">
            <v>0</v>
          </cell>
        </row>
        <row r="212">
          <cell r="T212">
            <v>0</v>
          </cell>
        </row>
        <row r="213">
          <cell r="T213" t="str">
            <v>уточ.режима</v>
          </cell>
        </row>
        <row r="214">
          <cell r="T214">
            <v>0</v>
          </cell>
        </row>
        <row r="215">
          <cell r="T215">
            <v>0</v>
          </cell>
        </row>
        <row r="216">
          <cell r="T216" t="str">
            <v>уточ.режима</v>
          </cell>
        </row>
        <row r="217">
          <cell r="T217">
            <v>0</v>
          </cell>
        </row>
        <row r="218">
          <cell r="T218">
            <v>0</v>
          </cell>
        </row>
        <row r="219">
          <cell r="T219">
            <v>0</v>
          </cell>
        </row>
        <row r="220">
          <cell r="T220">
            <v>0</v>
          </cell>
        </row>
        <row r="221">
          <cell r="T221">
            <v>0</v>
          </cell>
        </row>
        <row r="222">
          <cell r="T222">
            <v>0</v>
          </cell>
        </row>
        <row r="223">
          <cell r="T223" t="str">
            <v>прс</v>
          </cell>
        </row>
        <row r="224">
          <cell r="T224" t="str">
            <v>уточ.режима</v>
          </cell>
        </row>
        <row r="225">
          <cell r="T225" t="str">
            <v>уточ.режима</v>
          </cell>
        </row>
        <row r="226">
          <cell r="T226">
            <v>0</v>
          </cell>
        </row>
        <row r="227">
          <cell r="T227">
            <v>0</v>
          </cell>
        </row>
        <row r="228">
          <cell r="T228" t="str">
            <v>вода.опт</v>
          </cell>
        </row>
        <row r="229">
          <cell r="T229" t="str">
            <v>сн.бд</v>
          </cell>
        </row>
        <row r="230">
          <cell r="T230">
            <v>0</v>
          </cell>
        </row>
        <row r="231">
          <cell r="T231">
            <v>0</v>
          </cell>
        </row>
        <row r="232">
          <cell r="T232">
            <v>0</v>
          </cell>
        </row>
        <row r="233">
          <cell r="T233">
            <v>0</v>
          </cell>
        </row>
        <row r="234">
          <cell r="T234">
            <v>0</v>
          </cell>
        </row>
        <row r="235">
          <cell r="T235" t="str">
            <v>уточ.режима</v>
          </cell>
        </row>
        <row r="236">
          <cell r="T236" t="str">
            <v>уточ.режима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 t="str">
            <v>уточ.режима</v>
          </cell>
        </row>
        <row r="240">
          <cell r="T240">
            <v>0</v>
          </cell>
        </row>
        <row r="241">
          <cell r="T241" t="e">
            <v>#N/A</v>
          </cell>
        </row>
        <row r="242">
          <cell r="T242">
            <v>0</v>
          </cell>
        </row>
        <row r="243">
          <cell r="T243">
            <v>0</v>
          </cell>
        </row>
        <row r="244">
          <cell r="T244">
            <v>0</v>
          </cell>
        </row>
        <row r="245">
          <cell r="T245">
            <v>0</v>
          </cell>
        </row>
        <row r="246">
          <cell r="T246" t="str">
            <v>грп</v>
          </cell>
        </row>
        <row r="247">
          <cell r="T247">
            <v>0</v>
          </cell>
        </row>
        <row r="248">
          <cell r="T248">
            <v>0</v>
          </cell>
        </row>
        <row r="249">
          <cell r="T249" t="str">
            <v>уточ.режима</v>
          </cell>
        </row>
        <row r="250">
          <cell r="T250">
            <v>0</v>
          </cell>
        </row>
        <row r="251">
          <cell r="T251">
            <v>0</v>
          </cell>
        </row>
        <row r="252">
          <cell r="T252" t="str">
            <v>ипп</v>
          </cell>
        </row>
        <row r="253">
          <cell r="T253">
            <v>0</v>
          </cell>
        </row>
        <row r="254">
          <cell r="T254">
            <v>0</v>
          </cell>
        </row>
        <row r="255">
          <cell r="T255">
            <v>0</v>
          </cell>
        </row>
        <row r="256">
          <cell r="T256" t="str">
            <v>вода</v>
          </cell>
        </row>
        <row r="257">
          <cell r="T257">
            <v>0</v>
          </cell>
        </row>
        <row r="258">
          <cell r="T258">
            <v>0</v>
          </cell>
        </row>
        <row r="259">
          <cell r="T259">
            <v>0</v>
          </cell>
        </row>
        <row r="260">
          <cell r="T260">
            <v>0</v>
          </cell>
        </row>
        <row r="261">
          <cell r="T261" t="str">
            <v>уточ.режима</v>
          </cell>
        </row>
        <row r="262">
          <cell r="T262">
            <v>0</v>
          </cell>
        </row>
        <row r="263">
          <cell r="T263">
            <v>0</v>
          </cell>
        </row>
        <row r="264">
          <cell r="T264">
            <v>0</v>
          </cell>
        </row>
        <row r="265">
          <cell r="T265">
            <v>0</v>
          </cell>
        </row>
        <row r="266">
          <cell r="T266" t="str">
            <v>прс</v>
          </cell>
        </row>
        <row r="267">
          <cell r="T267">
            <v>0</v>
          </cell>
        </row>
        <row r="268">
          <cell r="T268" t="str">
            <v>уточ.режима</v>
          </cell>
        </row>
        <row r="269">
          <cell r="T269" t="str">
            <v>прс</v>
          </cell>
        </row>
        <row r="270">
          <cell r="T270">
            <v>0</v>
          </cell>
        </row>
        <row r="271">
          <cell r="T271">
            <v>0</v>
          </cell>
        </row>
        <row r="272">
          <cell r="T272">
            <v>0</v>
          </cell>
        </row>
        <row r="273">
          <cell r="T273">
            <v>0</v>
          </cell>
        </row>
        <row r="274">
          <cell r="T274">
            <v>0</v>
          </cell>
        </row>
        <row r="275">
          <cell r="T275" t="str">
            <v>грп</v>
          </cell>
        </row>
        <row r="276">
          <cell r="T276">
            <v>0</v>
          </cell>
        </row>
        <row r="277">
          <cell r="T277" t="str">
            <v>уточ.режима</v>
          </cell>
        </row>
        <row r="278">
          <cell r="T278" t="str">
            <v>уточ.режима</v>
          </cell>
        </row>
        <row r="279">
          <cell r="T279" t="str">
            <v>уточ.режима</v>
          </cell>
        </row>
        <row r="280">
          <cell r="T280">
            <v>0</v>
          </cell>
        </row>
        <row r="281">
          <cell r="T281">
            <v>0</v>
          </cell>
        </row>
        <row r="282">
          <cell r="T282">
            <v>0</v>
          </cell>
        </row>
        <row r="283">
          <cell r="T283">
            <v>0</v>
          </cell>
        </row>
        <row r="284">
          <cell r="T284">
            <v>0</v>
          </cell>
        </row>
        <row r="285">
          <cell r="T285" t="str">
            <v>уточ.режима</v>
          </cell>
        </row>
        <row r="286">
          <cell r="T286" t="str">
            <v>уточ.режима</v>
          </cell>
        </row>
        <row r="287">
          <cell r="T287">
            <v>0</v>
          </cell>
        </row>
        <row r="288">
          <cell r="T288">
            <v>0</v>
          </cell>
        </row>
        <row r="289">
          <cell r="T289" t="str">
            <v>уточ.режима</v>
          </cell>
        </row>
        <row r="290">
          <cell r="T290">
            <v>0</v>
          </cell>
        </row>
        <row r="291">
          <cell r="T291">
            <v>0</v>
          </cell>
        </row>
        <row r="292">
          <cell r="T292" t="str">
            <v>уточ.режима</v>
          </cell>
        </row>
        <row r="293">
          <cell r="T293" t="str">
            <v>прс</v>
          </cell>
        </row>
        <row r="294">
          <cell r="T294" t="str">
            <v>уточ.режима</v>
          </cell>
        </row>
        <row r="295">
          <cell r="T295">
            <v>0</v>
          </cell>
        </row>
        <row r="296">
          <cell r="T296">
            <v>0</v>
          </cell>
        </row>
        <row r="297">
          <cell r="T297" t="str">
            <v>вода</v>
          </cell>
        </row>
        <row r="298">
          <cell r="T298" t="str">
            <v>сн.прс</v>
          </cell>
        </row>
        <row r="299">
          <cell r="T299" t="str">
            <v>вода</v>
          </cell>
        </row>
        <row r="300">
          <cell r="T300">
            <v>0</v>
          </cell>
        </row>
        <row r="301">
          <cell r="T301">
            <v>0</v>
          </cell>
        </row>
        <row r="302">
          <cell r="T302">
            <v>0</v>
          </cell>
        </row>
        <row r="303">
          <cell r="T303" t="str">
            <v>грп</v>
          </cell>
        </row>
        <row r="304">
          <cell r="T304">
            <v>0</v>
          </cell>
        </row>
        <row r="305">
          <cell r="T305" t="str">
            <v>уточ.режима</v>
          </cell>
        </row>
        <row r="306">
          <cell r="T306">
            <v>0</v>
          </cell>
        </row>
        <row r="307">
          <cell r="T307" t="str">
            <v>сн.грп</v>
          </cell>
        </row>
        <row r="308">
          <cell r="T308" t="str">
            <v>уточ.режима</v>
          </cell>
        </row>
        <row r="309">
          <cell r="T309">
            <v>0</v>
          </cell>
        </row>
        <row r="310">
          <cell r="T310">
            <v>0</v>
          </cell>
        </row>
        <row r="311">
          <cell r="T311">
            <v>0</v>
          </cell>
        </row>
        <row r="312">
          <cell r="T312">
            <v>0</v>
          </cell>
        </row>
        <row r="313">
          <cell r="T313" t="str">
            <v>ипп</v>
          </cell>
        </row>
        <row r="314">
          <cell r="T314" t="str">
            <v>прс</v>
          </cell>
        </row>
        <row r="315">
          <cell r="T315" t="e">
            <v>#N/A</v>
          </cell>
        </row>
        <row r="316">
          <cell r="T316" t="str">
            <v>прс</v>
          </cell>
        </row>
        <row r="317">
          <cell r="T317" t="str">
            <v>уточ.режима</v>
          </cell>
        </row>
        <row r="318">
          <cell r="T318">
            <v>0</v>
          </cell>
        </row>
        <row r="319">
          <cell r="T319">
            <v>0</v>
          </cell>
        </row>
        <row r="320">
          <cell r="T320" t="str">
            <v>сн.прс</v>
          </cell>
        </row>
        <row r="321">
          <cell r="T321">
            <v>0</v>
          </cell>
        </row>
        <row r="322">
          <cell r="T322">
            <v>0</v>
          </cell>
        </row>
        <row r="323">
          <cell r="T323" t="str">
            <v>сн.грп</v>
          </cell>
        </row>
        <row r="324">
          <cell r="T324" t="e">
            <v>#N/A</v>
          </cell>
        </row>
        <row r="325">
          <cell r="T325">
            <v>0</v>
          </cell>
        </row>
        <row r="326">
          <cell r="T326">
            <v>0</v>
          </cell>
        </row>
        <row r="327">
          <cell r="T327" t="str">
            <v>сн.опт</v>
          </cell>
        </row>
        <row r="328">
          <cell r="T328" t="str">
            <v>уточ.режима</v>
          </cell>
        </row>
        <row r="329">
          <cell r="T329" t="str">
            <v>уточ.режима</v>
          </cell>
        </row>
        <row r="330">
          <cell r="T330" t="str">
            <v>уточ.режима</v>
          </cell>
        </row>
        <row r="331">
          <cell r="T331" t="str">
            <v>уточ.режима</v>
          </cell>
        </row>
        <row r="332">
          <cell r="T332">
            <v>0</v>
          </cell>
        </row>
        <row r="333">
          <cell r="T333">
            <v>0</v>
          </cell>
        </row>
        <row r="334">
          <cell r="T334" t="str">
            <v>прс</v>
          </cell>
        </row>
        <row r="335">
          <cell r="T335" t="str">
            <v>опт</v>
          </cell>
        </row>
        <row r="336">
          <cell r="T336" t="str">
            <v/>
          </cell>
        </row>
        <row r="337">
          <cell r="T337" t="str">
            <v>уточ.режима</v>
          </cell>
        </row>
        <row r="338">
          <cell r="T338">
            <v>0</v>
          </cell>
        </row>
        <row r="339">
          <cell r="T339">
            <v>0</v>
          </cell>
        </row>
        <row r="340">
          <cell r="T340">
            <v>0</v>
          </cell>
        </row>
        <row r="341">
          <cell r="T341" t="str">
            <v>уточ.режима</v>
          </cell>
        </row>
        <row r="342">
          <cell r="T342">
            <v>0</v>
          </cell>
        </row>
        <row r="343">
          <cell r="T343">
            <v>0</v>
          </cell>
        </row>
        <row r="344">
          <cell r="T344">
            <v>0</v>
          </cell>
        </row>
        <row r="345">
          <cell r="T345">
            <v>0</v>
          </cell>
        </row>
        <row r="346">
          <cell r="T346">
            <v>0</v>
          </cell>
        </row>
        <row r="347">
          <cell r="T347">
            <v>0</v>
          </cell>
        </row>
        <row r="348">
          <cell r="T348">
            <v>0</v>
          </cell>
        </row>
        <row r="349">
          <cell r="T349" t="str">
            <v>сн.прс</v>
          </cell>
        </row>
        <row r="350">
          <cell r="T350" t="str">
            <v>вода</v>
          </cell>
        </row>
        <row r="351">
          <cell r="T351" t="str">
            <v>уточ.режима</v>
          </cell>
        </row>
        <row r="352">
          <cell r="T352" t="str">
            <v>прс</v>
          </cell>
        </row>
        <row r="353">
          <cell r="T353" t="str">
            <v>уточ.режима</v>
          </cell>
        </row>
        <row r="354">
          <cell r="T354" t="str">
            <v>уточ.режима</v>
          </cell>
        </row>
        <row r="355">
          <cell r="T355">
            <v>0</v>
          </cell>
        </row>
        <row r="356">
          <cell r="T356" t="str">
            <v>уточ.режима</v>
          </cell>
        </row>
        <row r="357">
          <cell r="T357" t="str">
            <v>уточ.режима</v>
          </cell>
        </row>
        <row r="358">
          <cell r="T358">
            <v>0</v>
          </cell>
        </row>
        <row r="359">
          <cell r="T359">
            <v>0</v>
          </cell>
        </row>
        <row r="360">
          <cell r="T360">
            <v>0</v>
          </cell>
        </row>
        <row r="361">
          <cell r="T361" t="str">
            <v>прс</v>
          </cell>
        </row>
        <row r="362">
          <cell r="T362" t="str">
            <v>уточ.режима</v>
          </cell>
        </row>
        <row r="363">
          <cell r="T363">
            <v>0</v>
          </cell>
        </row>
        <row r="364">
          <cell r="T364">
            <v>0</v>
          </cell>
        </row>
        <row r="365">
          <cell r="T365">
            <v>0</v>
          </cell>
        </row>
        <row r="366">
          <cell r="T366" t="str">
            <v>прс</v>
          </cell>
        </row>
        <row r="367">
          <cell r="T367">
            <v>0</v>
          </cell>
        </row>
        <row r="368">
          <cell r="T368">
            <v>0</v>
          </cell>
        </row>
        <row r="369">
          <cell r="T369">
            <v>0</v>
          </cell>
        </row>
        <row r="370">
          <cell r="T370" t="str">
            <v>уточ.режима</v>
          </cell>
        </row>
        <row r="371">
          <cell r="T371" t="str">
            <v>уточ.режима</v>
          </cell>
        </row>
        <row r="372">
          <cell r="T372">
            <v>0</v>
          </cell>
        </row>
        <row r="373">
          <cell r="T373">
            <v>0</v>
          </cell>
        </row>
        <row r="374">
          <cell r="T374" t="str">
            <v>уточ.режима</v>
          </cell>
        </row>
        <row r="375">
          <cell r="T375">
            <v>0</v>
          </cell>
        </row>
        <row r="376">
          <cell r="T376" t="str">
            <v>уточ.режима</v>
          </cell>
        </row>
        <row r="377">
          <cell r="T377" t="str">
            <v>уточ.режима</v>
          </cell>
        </row>
        <row r="378">
          <cell r="T378" t="str">
            <v>вода</v>
          </cell>
        </row>
        <row r="379">
          <cell r="T379" t="str">
            <v>уточ.режима</v>
          </cell>
        </row>
        <row r="380">
          <cell r="T380" t="str">
            <v>прс</v>
          </cell>
        </row>
        <row r="381">
          <cell r="T381">
            <v>0</v>
          </cell>
        </row>
        <row r="382">
          <cell r="T382">
            <v>0</v>
          </cell>
        </row>
        <row r="383">
          <cell r="T383">
            <v>0</v>
          </cell>
        </row>
        <row r="384">
          <cell r="T384" t="str">
            <v>сн.опт</v>
          </cell>
        </row>
        <row r="385">
          <cell r="T385" t="str">
            <v>уточ.режима</v>
          </cell>
        </row>
        <row r="386">
          <cell r="T386" t="str">
            <v>сн.опт</v>
          </cell>
        </row>
        <row r="387">
          <cell r="T387">
            <v>0</v>
          </cell>
        </row>
        <row r="388">
          <cell r="T388">
            <v>0</v>
          </cell>
        </row>
        <row r="389">
          <cell r="T389">
            <v>0</v>
          </cell>
        </row>
        <row r="390">
          <cell r="T390">
            <v>0</v>
          </cell>
        </row>
        <row r="391">
          <cell r="T391">
            <v>0</v>
          </cell>
        </row>
        <row r="392">
          <cell r="T392">
            <v>0</v>
          </cell>
        </row>
        <row r="393">
          <cell r="T393" t="str">
            <v>уточ.режима</v>
          </cell>
        </row>
        <row r="394">
          <cell r="T394" t="e">
            <v>#N/A</v>
          </cell>
        </row>
        <row r="395">
          <cell r="T395" t="str">
            <v>уточ.режима</v>
          </cell>
        </row>
        <row r="396">
          <cell r="T396">
            <v>0</v>
          </cell>
        </row>
        <row r="397">
          <cell r="T397">
            <v>0</v>
          </cell>
        </row>
        <row r="398">
          <cell r="T398">
            <v>0</v>
          </cell>
        </row>
        <row r="399">
          <cell r="T399">
            <v>0</v>
          </cell>
        </row>
        <row r="400">
          <cell r="T400">
            <v>0</v>
          </cell>
        </row>
        <row r="401">
          <cell r="T401" t="str">
            <v>уточ.режима</v>
          </cell>
        </row>
        <row r="402">
          <cell r="T402" t="str">
            <v>уточ.режима</v>
          </cell>
        </row>
        <row r="403">
          <cell r="T403" t="str">
            <v>уточ.режима</v>
          </cell>
        </row>
        <row r="404">
          <cell r="T404" t="str">
            <v>уточ.режима</v>
          </cell>
        </row>
        <row r="405">
          <cell r="T405" t="str">
            <v>вода</v>
          </cell>
        </row>
        <row r="406">
          <cell r="T406">
            <v>0</v>
          </cell>
        </row>
        <row r="407">
          <cell r="T407" t="str">
            <v>по</v>
          </cell>
        </row>
        <row r="408">
          <cell r="T408">
            <v>0</v>
          </cell>
        </row>
        <row r="409">
          <cell r="T409" t="str">
            <v>уточ.режима</v>
          </cell>
        </row>
        <row r="410">
          <cell r="T410">
            <v>0</v>
          </cell>
        </row>
        <row r="411">
          <cell r="T411" t="str">
            <v>вода</v>
          </cell>
        </row>
        <row r="412">
          <cell r="T412">
            <v>0</v>
          </cell>
        </row>
        <row r="413">
          <cell r="T413">
            <v>0</v>
          </cell>
        </row>
        <row r="414">
          <cell r="T414">
            <v>0</v>
          </cell>
        </row>
        <row r="415">
          <cell r="T415">
            <v>0</v>
          </cell>
        </row>
        <row r="416">
          <cell r="T416" t="str">
            <v/>
          </cell>
        </row>
        <row r="417">
          <cell r="T417">
            <v>0</v>
          </cell>
        </row>
        <row r="418">
          <cell r="T418" t="str">
            <v>по</v>
          </cell>
        </row>
        <row r="419">
          <cell r="T419" t="str">
            <v>ипп</v>
          </cell>
        </row>
        <row r="420">
          <cell r="T420" t="str">
            <v>по</v>
          </cell>
        </row>
        <row r="421">
          <cell r="T421">
            <v>0</v>
          </cell>
        </row>
        <row r="422">
          <cell r="T422" t="str">
            <v>сн.бд</v>
          </cell>
        </row>
        <row r="423">
          <cell r="T423">
            <v>0</v>
          </cell>
        </row>
        <row r="424">
          <cell r="T424">
            <v>0</v>
          </cell>
        </row>
        <row r="425">
          <cell r="T425" t="str">
            <v>прс</v>
          </cell>
        </row>
        <row r="426">
          <cell r="T426">
            <v>0</v>
          </cell>
        </row>
        <row r="427">
          <cell r="T427" t="str">
            <v>уточ.режима</v>
          </cell>
        </row>
        <row r="428">
          <cell r="T428">
            <v>0</v>
          </cell>
        </row>
        <row r="429">
          <cell r="T429">
            <v>0</v>
          </cell>
        </row>
        <row r="430">
          <cell r="T430">
            <v>0</v>
          </cell>
        </row>
        <row r="431">
          <cell r="T431">
            <v>0</v>
          </cell>
        </row>
        <row r="432">
          <cell r="T432">
            <v>0</v>
          </cell>
        </row>
        <row r="433">
          <cell r="T433" t="str">
            <v>прс</v>
          </cell>
        </row>
        <row r="434">
          <cell r="T434" t="str">
            <v/>
          </cell>
        </row>
        <row r="435">
          <cell r="T435">
            <v>0</v>
          </cell>
        </row>
        <row r="436">
          <cell r="T436" t="str">
            <v>уточ.режима</v>
          </cell>
        </row>
        <row r="437">
          <cell r="T437">
            <v>0</v>
          </cell>
        </row>
        <row r="438">
          <cell r="T438">
            <v>0</v>
          </cell>
        </row>
        <row r="439">
          <cell r="T439" t="str">
            <v>уточ.режима</v>
          </cell>
        </row>
        <row r="440">
          <cell r="T440">
            <v>0</v>
          </cell>
        </row>
        <row r="441">
          <cell r="T441">
            <v>0</v>
          </cell>
        </row>
        <row r="442">
          <cell r="T442" t="str">
            <v>уточ.режима</v>
          </cell>
        </row>
        <row r="443">
          <cell r="T443" t="str">
            <v>вода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ТИ"/>
      <sheetName val="ИМПОР"/>
      <sheetName val="дебит"/>
      <sheetName val="спр"/>
      <sheetName val="ОСН"/>
      <sheetName val="глуш"/>
      <sheetName val="Перфорация"/>
      <sheetName val="ГИС"/>
      <sheetName val="Гироскоп"/>
      <sheetName val="Накоп.ремонты"/>
      <sheetName val="ЭЦН"/>
      <sheetName val="ШГН"/>
      <sheetName val="План заказ КРС"/>
    </sheetNames>
    <sheetDataSet>
      <sheetData sheetId="0" refreshError="1">
        <row r="7">
          <cell r="A7">
            <v>171</v>
          </cell>
        </row>
        <row r="8">
          <cell r="A8">
            <v>186</v>
          </cell>
        </row>
        <row r="9">
          <cell r="A9">
            <v>193</v>
          </cell>
        </row>
        <row r="10">
          <cell r="A10">
            <v>197</v>
          </cell>
        </row>
        <row r="11">
          <cell r="A11">
            <v>199</v>
          </cell>
        </row>
        <row r="12">
          <cell r="A12">
            <v>200</v>
          </cell>
        </row>
        <row r="13">
          <cell r="A13">
            <v>201</v>
          </cell>
        </row>
        <row r="14">
          <cell r="A14">
            <v>202</v>
          </cell>
        </row>
        <row r="15">
          <cell r="A15">
            <v>203.2</v>
          </cell>
        </row>
        <row r="16">
          <cell r="A16">
            <v>206</v>
          </cell>
        </row>
        <row r="17">
          <cell r="A17">
            <v>232</v>
          </cell>
        </row>
        <row r="18">
          <cell r="A18">
            <v>233</v>
          </cell>
        </row>
        <row r="19">
          <cell r="A19">
            <v>234</v>
          </cell>
        </row>
        <row r="20">
          <cell r="A20">
            <v>235</v>
          </cell>
        </row>
        <row r="21">
          <cell r="A21">
            <v>236</v>
          </cell>
        </row>
        <row r="22">
          <cell r="A22">
            <v>237</v>
          </cell>
        </row>
        <row r="23">
          <cell r="A23">
            <v>238</v>
          </cell>
        </row>
        <row r="24">
          <cell r="A24">
            <v>239</v>
          </cell>
        </row>
        <row r="25">
          <cell r="A25">
            <v>259</v>
          </cell>
        </row>
        <row r="26">
          <cell r="A26">
            <v>273</v>
          </cell>
        </row>
        <row r="27">
          <cell r="A27">
            <v>274</v>
          </cell>
        </row>
        <row r="28">
          <cell r="A28">
            <v>275</v>
          </cell>
        </row>
        <row r="29">
          <cell r="A29">
            <v>276</v>
          </cell>
        </row>
        <row r="30">
          <cell r="A30">
            <v>277</v>
          </cell>
        </row>
        <row r="31">
          <cell r="A31">
            <v>278</v>
          </cell>
        </row>
        <row r="32">
          <cell r="A32">
            <v>279</v>
          </cell>
        </row>
        <row r="33">
          <cell r="A33">
            <v>280</v>
          </cell>
        </row>
        <row r="34">
          <cell r="A34">
            <v>281</v>
          </cell>
        </row>
        <row r="35">
          <cell r="A35">
            <v>282</v>
          </cell>
        </row>
        <row r="36">
          <cell r="A36">
            <v>283</v>
          </cell>
        </row>
        <row r="37">
          <cell r="A37">
            <v>284</v>
          </cell>
        </row>
        <row r="38">
          <cell r="A38">
            <v>285</v>
          </cell>
        </row>
        <row r="39">
          <cell r="A39">
            <v>286</v>
          </cell>
        </row>
        <row r="40">
          <cell r="A40">
            <v>287</v>
          </cell>
        </row>
        <row r="41">
          <cell r="A41">
            <v>288</v>
          </cell>
        </row>
        <row r="42">
          <cell r="A42">
            <v>289</v>
          </cell>
        </row>
        <row r="43">
          <cell r="A43">
            <v>290</v>
          </cell>
        </row>
        <row r="44">
          <cell r="A44">
            <v>291</v>
          </cell>
        </row>
        <row r="45">
          <cell r="A45">
            <v>292</v>
          </cell>
        </row>
        <row r="46">
          <cell r="A46">
            <v>293</v>
          </cell>
        </row>
        <row r="47">
          <cell r="A47">
            <v>294</v>
          </cell>
        </row>
        <row r="48">
          <cell r="A48">
            <v>295</v>
          </cell>
        </row>
        <row r="49">
          <cell r="A49">
            <v>296</v>
          </cell>
        </row>
        <row r="50">
          <cell r="A50">
            <v>297</v>
          </cell>
        </row>
        <row r="51">
          <cell r="A51">
            <v>298</v>
          </cell>
        </row>
        <row r="52">
          <cell r="A52">
            <v>299</v>
          </cell>
        </row>
        <row r="53">
          <cell r="A53">
            <v>300</v>
          </cell>
        </row>
        <row r="54">
          <cell r="A54">
            <v>301</v>
          </cell>
        </row>
        <row r="55">
          <cell r="A55">
            <v>314</v>
          </cell>
        </row>
        <row r="56">
          <cell r="A56">
            <v>315</v>
          </cell>
        </row>
        <row r="57">
          <cell r="A57">
            <v>316</v>
          </cell>
        </row>
        <row r="58">
          <cell r="A58">
            <v>317</v>
          </cell>
        </row>
        <row r="59">
          <cell r="A59">
            <v>318</v>
          </cell>
        </row>
        <row r="60">
          <cell r="A60">
            <v>319</v>
          </cell>
        </row>
        <row r="61">
          <cell r="A61">
            <v>320</v>
          </cell>
        </row>
        <row r="62">
          <cell r="A62">
            <v>321</v>
          </cell>
        </row>
        <row r="63">
          <cell r="A63">
            <v>322</v>
          </cell>
        </row>
        <row r="64">
          <cell r="A64">
            <v>323</v>
          </cell>
        </row>
        <row r="65">
          <cell r="A65">
            <v>324</v>
          </cell>
        </row>
        <row r="66">
          <cell r="A66">
            <v>325</v>
          </cell>
        </row>
        <row r="67">
          <cell r="A67">
            <v>326</v>
          </cell>
        </row>
        <row r="68">
          <cell r="A68">
            <v>327</v>
          </cell>
        </row>
        <row r="69">
          <cell r="A69">
            <v>328</v>
          </cell>
        </row>
        <row r="70">
          <cell r="A70">
            <v>328.2</v>
          </cell>
        </row>
        <row r="71">
          <cell r="A71">
            <v>337</v>
          </cell>
        </row>
        <row r="72">
          <cell r="A72">
            <v>345</v>
          </cell>
        </row>
        <row r="73">
          <cell r="A73">
            <v>357</v>
          </cell>
        </row>
        <row r="74">
          <cell r="A74">
            <v>358</v>
          </cell>
        </row>
        <row r="75">
          <cell r="A75">
            <v>359</v>
          </cell>
        </row>
        <row r="76">
          <cell r="A76">
            <v>360</v>
          </cell>
        </row>
        <row r="77">
          <cell r="A77">
            <v>361</v>
          </cell>
        </row>
        <row r="78">
          <cell r="A78">
            <v>362</v>
          </cell>
        </row>
        <row r="79">
          <cell r="A79">
            <v>363</v>
          </cell>
        </row>
        <row r="80">
          <cell r="A80">
            <v>364</v>
          </cell>
        </row>
        <row r="81">
          <cell r="A81">
            <v>365</v>
          </cell>
        </row>
        <row r="82">
          <cell r="A82">
            <v>366</v>
          </cell>
        </row>
        <row r="83">
          <cell r="A83">
            <v>367</v>
          </cell>
        </row>
        <row r="84">
          <cell r="A84">
            <v>368</v>
          </cell>
        </row>
        <row r="85">
          <cell r="A85">
            <v>369</v>
          </cell>
        </row>
        <row r="86">
          <cell r="A86">
            <v>370</v>
          </cell>
        </row>
        <row r="87">
          <cell r="A87">
            <v>371</v>
          </cell>
        </row>
        <row r="88">
          <cell r="A88">
            <v>372</v>
          </cell>
        </row>
        <row r="89">
          <cell r="A89">
            <v>373</v>
          </cell>
        </row>
        <row r="90">
          <cell r="A90">
            <v>374</v>
          </cell>
        </row>
        <row r="91">
          <cell r="A91">
            <v>375</v>
          </cell>
        </row>
        <row r="92">
          <cell r="A92">
            <v>376</v>
          </cell>
        </row>
        <row r="93">
          <cell r="A93">
            <v>377</v>
          </cell>
        </row>
        <row r="94">
          <cell r="A94">
            <v>387</v>
          </cell>
        </row>
        <row r="95">
          <cell r="A95">
            <v>388</v>
          </cell>
        </row>
        <row r="96">
          <cell r="A96">
            <v>389</v>
          </cell>
        </row>
        <row r="97">
          <cell r="A97">
            <v>390</v>
          </cell>
        </row>
        <row r="98">
          <cell r="A98">
            <v>391</v>
          </cell>
        </row>
        <row r="99">
          <cell r="A99">
            <v>393</v>
          </cell>
        </row>
        <row r="100">
          <cell r="A100">
            <v>394</v>
          </cell>
        </row>
        <row r="101">
          <cell r="A101">
            <v>400</v>
          </cell>
        </row>
        <row r="102">
          <cell r="A102">
            <v>401</v>
          </cell>
        </row>
        <row r="103">
          <cell r="A103">
            <v>402</v>
          </cell>
        </row>
        <row r="104">
          <cell r="A104">
            <v>403</v>
          </cell>
        </row>
        <row r="105">
          <cell r="A105">
            <v>404</v>
          </cell>
        </row>
        <row r="106">
          <cell r="A106">
            <v>405</v>
          </cell>
        </row>
        <row r="107">
          <cell r="A107">
            <v>406</v>
          </cell>
        </row>
        <row r="108">
          <cell r="A108">
            <v>407</v>
          </cell>
        </row>
        <row r="109">
          <cell r="A109">
            <v>408</v>
          </cell>
        </row>
        <row r="110">
          <cell r="A110">
            <v>409</v>
          </cell>
        </row>
        <row r="111">
          <cell r="A111">
            <v>410</v>
          </cell>
        </row>
        <row r="112">
          <cell r="A112">
            <v>411</v>
          </cell>
        </row>
        <row r="113">
          <cell r="A113">
            <v>415</v>
          </cell>
        </row>
        <row r="114">
          <cell r="A114">
            <v>416</v>
          </cell>
        </row>
        <row r="115">
          <cell r="A115">
            <v>417</v>
          </cell>
        </row>
        <row r="116">
          <cell r="A116">
            <v>420</v>
          </cell>
        </row>
        <row r="117">
          <cell r="A117">
            <v>431</v>
          </cell>
        </row>
        <row r="118">
          <cell r="A118">
            <v>432</v>
          </cell>
        </row>
        <row r="119">
          <cell r="A119">
            <v>433</v>
          </cell>
        </row>
        <row r="120">
          <cell r="A120">
            <v>434</v>
          </cell>
        </row>
        <row r="121">
          <cell r="A121">
            <v>435</v>
          </cell>
        </row>
        <row r="122">
          <cell r="A122">
            <v>436</v>
          </cell>
        </row>
        <row r="123">
          <cell r="A123">
            <v>439</v>
          </cell>
        </row>
        <row r="124">
          <cell r="A124">
            <v>440</v>
          </cell>
        </row>
        <row r="125">
          <cell r="A125">
            <v>441</v>
          </cell>
        </row>
        <row r="126">
          <cell r="A126">
            <v>442</v>
          </cell>
        </row>
        <row r="127">
          <cell r="A127">
            <v>443</v>
          </cell>
        </row>
        <row r="128">
          <cell r="A128">
            <v>444</v>
          </cell>
        </row>
        <row r="129">
          <cell r="A129">
            <v>445</v>
          </cell>
        </row>
        <row r="130">
          <cell r="A130">
            <v>446</v>
          </cell>
        </row>
        <row r="131">
          <cell r="A131">
            <v>447</v>
          </cell>
        </row>
        <row r="132">
          <cell r="A132">
            <v>448</v>
          </cell>
        </row>
        <row r="133">
          <cell r="A133">
            <v>449</v>
          </cell>
        </row>
        <row r="134">
          <cell r="A134">
            <v>450</v>
          </cell>
        </row>
        <row r="135">
          <cell r="A135">
            <v>451</v>
          </cell>
        </row>
        <row r="136">
          <cell r="A136">
            <v>452</v>
          </cell>
        </row>
        <row r="137">
          <cell r="A137">
            <v>453</v>
          </cell>
        </row>
        <row r="138">
          <cell r="A138">
            <v>454</v>
          </cell>
        </row>
        <row r="139">
          <cell r="A139">
            <v>455</v>
          </cell>
        </row>
        <row r="140">
          <cell r="A140">
            <v>456</v>
          </cell>
        </row>
        <row r="141">
          <cell r="A141">
            <v>457</v>
          </cell>
        </row>
        <row r="142">
          <cell r="A142">
            <v>465</v>
          </cell>
        </row>
        <row r="143">
          <cell r="A143">
            <v>466</v>
          </cell>
        </row>
        <row r="144">
          <cell r="A144">
            <v>467</v>
          </cell>
        </row>
        <row r="145">
          <cell r="A145">
            <v>468</v>
          </cell>
        </row>
        <row r="146">
          <cell r="A146">
            <v>469</v>
          </cell>
        </row>
        <row r="147">
          <cell r="A147">
            <v>470</v>
          </cell>
        </row>
        <row r="148">
          <cell r="A148">
            <v>471</v>
          </cell>
        </row>
        <row r="149">
          <cell r="A149">
            <v>472</v>
          </cell>
        </row>
        <row r="150">
          <cell r="A150">
            <v>473</v>
          </cell>
        </row>
        <row r="151">
          <cell r="A151">
            <v>474</v>
          </cell>
        </row>
        <row r="152">
          <cell r="A152">
            <v>475</v>
          </cell>
        </row>
        <row r="153">
          <cell r="A153">
            <v>476</v>
          </cell>
        </row>
        <row r="154">
          <cell r="A154">
            <v>478</v>
          </cell>
        </row>
        <row r="155">
          <cell r="A155">
            <v>479</v>
          </cell>
        </row>
        <row r="156">
          <cell r="A156">
            <v>495</v>
          </cell>
        </row>
        <row r="157">
          <cell r="A157">
            <v>802</v>
          </cell>
        </row>
        <row r="158">
          <cell r="A158">
            <v>805</v>
          </cell>
        </row>
        <row r="159">
          <cell r="A159">
            <v>826</v>
          </cell>
        </row>
        <row r="160">
          <cell r="A160">
            <v>956</v>
          </cell>
        </row>
        <row r="161">
          <cell r="A161">
            <v>959</v>
          </cell>
        </row>
        <row r="162">
          <cell r="A162">
            <v>967</v>
          </cell>
        </row>
        <row r="163">
          <cell r="A163">
            <v>968</v>
          </cell>
        </row>
        <row r="164">
          <cell r="A164">
            <v>971</v>
          </cell>
        </row>
        <row r="165">
          <cell r="A165">
            <v>973</v>
          </cell>
        </row>
        <row r="166">
          <cell r="A166">
            <v>997</v>
          </cell>
        </row>
        <row r="167">
          <cell r="A167">
            <v>998</v>
          </cell>
        </row>
        <row r="168">
          <cell r="A168">
            <v>999</v>
          </cell>
        </row>
        <row r="169">
          <cell r="A169">
            <v>1000</v>
          </cell>
        </row>
        <row r="170">
          <cell r="A170">
            <v>1001</v>
          </cell>
        </row>
        <row r="171">
          <cell r="A171">
            <v>1002</v>
          </cell>
        </row>
        <row r="172">
          <cell r="A172">
            <v>1003</v>
          </cell>
        </row>
        <row r="173">
          <cell r="A173">
            <v>1004</v>
          </cell>
        </row>
        <row r="174">
          <cell r="A174">
            <v>1009</v>
          </cell>
        </row>
        <row r="175">
          <cell r="A175">
            <v>1010</v>
          </cell>
        </row>
        <row r="176">
          <cell r="A176">
            <v>1011</v>
          </cell>
        </row>
        <row r="177">
          <cell r="A177">
            <v>1012</v>
          </cell>
        </row>
        <row r="178">
          <cell r="A178">
            <v>1013</v>
          </cell>
        </row>
        <row r="179">
          <cell r="A179">
            <v>1014</v>
          </cell>
        </row>
        <row r="180">
          <cell r="A180">
            <v>1015</v>
          </cell>
        </row>
        <row r="181">
          <cell r="A181">
            <v>1018</v>
          </cell>
        </row>
        <row r="182">
          <cell r="A182">
            <v>1019</v>
          </cell>
        </row>
        <row r="183">
          <cell r="A183">
            <v>1024</v>
          </cell>
        </row>
        <row r="184">
          <cell r="A184">
            <v>1025</v>
          </cell>
        </row>
        <row r="185">
          <cell r="A185">
            <v>1026</v>
          </cell>
        </row>
        <row r="186">
          <cell r="A186">
            <v>1027</v>
          </cell>
        </row>
        <row r="187">
          <cell r="A187">
            <v>1028</v>
          </cell>
        </row>
        <row r="188">
          <cell r="A188">
            <v>1029</v>
          </cell>
        </row>
        <row r="189">
          <cell r="A189">
            <v>1030</v>
          </cell>
        </row>
        <row r="190">
          <cell r="A190">
            <v>1031</v>
          </cell>
        </row>
        <row r="191">
          <cell r="A191">
            <v>1032</v>
          </cell>
        </row>
        <row r="192">
          <cell r="A192">
            <v>1033</v>
          </cell>
        </row>
        <row r="193">
          <cell r="A193">
            <v>1034</v>
          </cell>
        </row>
        <row r="194">
          <cell r="A194">
            <v>1036</v>
          </cell>
        </row>
        <row r="195">
          <cell r="A195">
            <v>1037</v>
          </cell>
        </row>
        <row r="196">
          <cell r="A196">
            <v>1039</v>
          </cell>
        </row>
        <row r="197">
          <cell r="A197">
            <v>1040</v>
          </cell>
        </row>
        <row r="198">
          <cell r="A198">
            <v>1048</v>
          </cell>
        </row>
        <row r="199">
          <cell r="A199">
            <v>1049</v>
          </cell>
        </row>
        <row r="200">
          <cell r="A200">
            <v>1050</v>
          </cell>
        </row>
        <row r="201">
          <cell r="A201">
            <v>1051</v>
          </cell>
        </row>
        <row r="202">
          <cell r="A202">
            <v>1052</v>
          </cell>
        </row>
        <row r="203">
          <cell r="A203">
            <v>1053</v>
          </cell>
        </row>
        <row r="204">
          <cell r="A204">
            <v>1054</v>
          </cell>
        </row>
        <row r="205">
          <cell r="A205">
            <v>1055</v>
          </cell>
        </row>
        <row r="206">
          <cell r="A206">
            <v>1056</v>
          </cell>
        </row>
        <row r="207">
          <cell r="A207">
            <v>1057</v>
          </cell>
        </row>
        <row r="208">
          <cell r="A208">
            <v>1058</v>
          </cell>
        </row>
        <row r="209">
          <cell r="A209">
            <v>1059</v>
          </cell>
        </row>
        <row r="210">
          <cell r="A210">
            <v>1060</v>
          </cell>
        </row>
        <row r="211">
          <cell r="A211">
            <v>1061</v>
          </cell>
        </row>
        <row r="212">
          <cell r="A212">
            <v>1064</v>
          </cell>
        </row>
        <row r="213">
          <cell r="A213">
            <v>1065</v>
          </cell>
        </row>
        <row r="214">
          <cell r="A214">
            <v>1066</v>
          </cell>
        </row>
        <row r="215">
          <cell r="A215">
            <v>1074</v>
          </cell>
        </row>
        <row r="216">
          <cell r="A216">
            <v>1075</v>
          </cell>
        </row>
        <row r="217">
          <cell r="A217">
            <v>1076</v>
          </cell>
        </row>
        <row r="218">
          <cell r="A218">
            <v>1077</v>
          </cell>
        </row>
        <row r="219">
          <cell r="A219">
            <v>1078</v>
          </cell>
        </row>
        <row r="220">
          <cell r="A220">
            <v>1079</v>
          </cell>
        </row>
        <row r="221">
          <cell r="A221">
            <v>1080</v>
          </cell>
        </row>
        <row r="222">
          <cell r="A222">
            <v>1081</v>
          </cell>
        </row>
        <row r="223">
          <cell r="A223">
            <v>1082</v>
          </cell>
        </row>
        <row r="224">
          <cell r="A224">
            <v>1083</v>
          </cell>
        </row>
        <row r="225">
          <cell r="A225">
            <v>1084</v>
          </cell>
        </row>
        <row r="226">
          <cell r="A226">
            <v>1085</v>
          </cell>
        </row>
        <row r="227">
          <cell r="A227">
            <v>1086</v>
          </cell>
        </row>
        <row r="228">
          <cell r="A228">
            <v>1087</v>
          </cell>
        </row>
        <row r="229">
          <cell r="A229">
            <v>1088</v>
          </cell>
        </row>
        <row r="230">
          <cell r="A230">
            <v>1089</v>
          </cell>
        </row>
        <row r="231">
          <cell r="A231">
            <v>1098</v>
          </cell>
        </row>
        <row r="232">
          <cell r="A232">
            <v>1099</v>
          </cell>
        </row>
        <row r="233">
          <cell r="A233">
            <v>1100</v>
          </cell>
        </row>
        <row r="234">
          <cell r="A234">
            <v>1101</v>
          </cell>
        </row>
        <row r="235">
          <cell r="A235">
            <v>1102</v>
          </cell>
        </row>
        <row r="236">
          <cell r="A236">
            <v>1103</v>
          </cell>
        </row>
        <row r="237">
          <cell r="A237">
            <v>1104</v>
          </cell>
        </row>
        <row r="238">
          <cell r="A238">
            <v>1105</v>
          </cell>
        </row>
        <row r="239">
          <cell r="A239">
            <v>1106</v>
          </cell>
        </row>
        <row r="240">
          <cell r="A240">
            <v>1107</v>
          </cell>
        </row>
        <row r="241">
          <cell r="A241">
            <v>1108</v>
          </cell>
        </row>
        <row r="242">
          <cell r="A242">
            <v>1109</v>
          </cell>
        </row>
        <row r="243">
          <cell r="A243">
            <v>1110</v>
          </cell>
        </row>
        <row r="244">
          <cell r="A244">
            <v>1111</v>
          </cell>
        </row>
        <row r="245">
          <cell r="A245">
            <v>1112</v>
          </cell>
        </row>
        <row r="246">
          <cell r="A246">
            <v>1113</v>
          </cell>
        </row>
        <row r="247">
          <cell r="A247">
            <v>1114</v>
          </cell>
        </row>
        <row r="248">
          <cell r="A248">
            <v>1126</v>
          </cell>
        </row>
        <row r="249">
          <cell r="A249">
            <v>1127</v>
          </cell>
        </row>
        <row r="250">
          <cell r="A250">
            <v>1128</v>
          </cell>
        </row>
        <row r="251">
          <cell r="A251">
            <v>1129</v>
          </cell>
        </row>
        <row r="252">
          <cell r="A252">
            <v>1130</v>
          </cell>
        </row>
        <row r="253">
          <cell r="A253">
            <v>1131</v>
          </cell>
        </row>
        <row r="254">
          <cell r="A254">
            <v>1132</v>
          </cell>
        </row>
        <row r="255">
          <cell r="A255">
            <v>1133</v>
          </cell>
        </row>
        <row r="256">
          <cell r="A256">
            <v>1134</v>
          </cell>
        </row>
        <row r="257">
          <cell r="A257">
            <v>1135</v>
          </cell>
        </row>
        <row r="258">
          <cell r="A258">
            <v>1136</v>
          </cell>
        </row>
        <row r="259">
          <cell r="A259">
            <v>1137</v>
          </cell>
        </row>
        <row r="260">
          <cell r="A260">
            <v>1138</v>
          </cell>
        </row>
        <row r="261">
          <cell r="A261">
            <v>1139</v>
          </cell>
        </row>
        <row r="262">
          <cell r="A262">
            <v>1140</v>
          </cell>
        </row>
        <row r="263">
          <cell r="A263">
            <v>1141</v>
          </cell>
        </row>
        <row r="264">
          <cell r="A264">
            <v>1142</v>
          </cell>
        </row>
        <row r="265">
          <cell r="A265">
            <v>1157</v>
          </cell>
        </row>
        <row r="266">
          <cell r="A266">
            <v>1158</v>
          </cell>
        </row>
        <row r="267">
          <cell r="A267">
            <v>1159</v>
          </cell>
        </row>
        <row r="268">
          <cell r="A268">
            <v>1160</v>
          </cell>
        </row>
        <row r="269">
          <cell r="A269">
            <v>1161</v>
          </cell>
        </row>
        <row r="270">
          <cell r="A270">
            <v>1162</v>
          </cell>
        </row>
        <row r="271">
          <cell r="A271">
            <v>1163</v>
          </cell>
        </row>
        <row r="272">
          <cell r="A272">
            <v>1164</v>
          </cell>
        </row>
        <row r="273">
          <cell r="A273">
            <v>1165</v>
          </cell>
        </row>
        <row r="274">
          <cell r="A274">
            <v>1166</v>
          </cell>
        </row>
        <row r="275">
          <cell r="A275">
            <v>1167</v>
          </cell>
        </row>
        <row r="276">
          <cell r="A276">
            <v>1168</v>
          </cell>
        </row>
        <row r="277">
          <cell r="A277">
            <v>1169</v>
          </cell>
        </row>
        <row r="278">
          <cell r="A278">
            <v>1170</v>
          </cell>
        </row>
        <row r="279">
          <cell r="A279">
            <v>1171</v>
          </cell>
        </row>
        <row r="280">
          <cell r="A280">
            <v>1172</v>
          </cell>
        </row>
        <row r="281">
          <cell r="A281">
            <v>1188</v>
          </cell>
        </row>
        <row r="282">
          <cell r="A282">
            <v>1189</v>
          </cell>
        </row>
        <row r="283">
          <cell r="A283">
            <v>1190</v>
          </cell>
        </row>
        <row r="284">
          <cell r="A284">
            <v>1191</v>
          </cell>
        </row>
        <row r="285">
          <cell r="A285">
            <v>1192</v>
          </cell>
        </row>
        <row r="286">
          <cell r="A286">
            <v>1193</v>
          </cell>
        </row>
        <row r="287">
          <cell r="A287">
            <v>1194</v>
          </cell>
        </row>
        <row r="288">
          <cell r="A288">
            <v>1195</v>
          </cell>
        </row>
        <row r="289">
          <cell r="A289">
            <v>1196</v>
          </cell>
        </row>
        <row r="290">
          <cell r="A290">
            <v>1197</v>
          </cell>
        </row>
        <row r="291">
          <cell r="A291">
            <v>1198</v>
          </cell>
        </row>
        <row r="292">
          <cell r="A292">
            <v>1199</v>
          </cell>
        </row>
        <row r="293">
          <cell r="A293">
            <v>1200</v>
          </cell>
        </row>
        <row r="294">
          <cell r="A294">
            <v>1201</v>
          </cell>
        </row>
        <row r="295">
          <cell r="A295">
            <v>1202</v>
          </cell>
        </row>
        <row r="296">
          <cell r="A296">
            <v>1203</v>
          </cell>
        </row>
        <row r="297">
          <cell r="A297">
            <v>1204</v>
          </cell>
        </row>
        <row r="298">
          <cell r="A298">
            <v>1207</v>
          </cell>
        </row>
        <row r="299">
          <cell r="A299">
            <v>1208</v>
          </cell>
        </row>
        <row r="300">
          <cell r="A300">
            <v>1209</v>
          </cell>
        </row>
        <row r="301">
          <cell r="A301">
            <v>1219</v>
          </cell>
        </row>
        <row r="302">
          <cell r="A302">
            <v>1220</v>
          </cell>
        </row>
        <row r="303">
          <cell r="A303">
            <v>1221</v>
          </cell>
        </row>
        <row r="304">
          <cell r="A304">
            <v>1222</v>
          </cell>
        </row>
        <row r="305">
          <cell r="A305">
            <v>1223</v>
          </cell>
        </row>
        <row r="306">
          <cell r="A306">
            <v>1224</v>
          </cell>
        </row>
        <row r="307">
          <cell r="A307">
            <v>1225</v>
          </cell>
        </row>
        <row r="308">
          <cell r="A308">
            <v>1226</v>
          </cell>
        </row>
        <row r="309">
          <cell r="A309">
            <v>1227</v>
          </cell>
        </row>
        <row r="310">
          <cell r="A310">
            <v>1228</v>
          </cell>
        </row>
        <row r="311">
          <cell r="A311">
            <v>1229</v>
          </cell>
        </row>
        <row r="312">
          <cell r="A312">
            <v>1230</v>
          </cell>
        </row>
        <row r="313">
          <cell r="A313">
            <v>1231</v>
          </cell>
        </row>
        <row r="314">
          <cell r="A314">
            <v>1232</v>
          </cell>
        </row>
        <row r="315">
          <cell r="A315">
            <v>1233</v>
          </cell>
        </row>
        <row r="316">
          <cell r="A316">
            <v>1234</v>
          </cell>
        </row>
        <row r="317">
          <cell r="A317">
            <v>1239</v>
          </cell>
        </row>
        <row r="318">
          <cell r="A318">
            <v>1259</v>
          </cell>
        </row>
        <row r="319">
          <cell r="A319">
            <v>1260</v>
          </cell>
        </row>
        <row r="320">
          <cell r="A320">
            <v>1261</v>
          </cell>
        </row>
        <row r="321">
          <cell r="A321">
            <v>1262</v>
          </cell>
        </row>
        <row r="322">
          <cell r="A322">
            <v>1263</v>
          </cell>
        </row>
        <row r="323">
          <cell r="A323">
            <v>1264</v>
          </cell>
        </row>
        <row r="324">
          <cell r="A324">
            <v>1265</v>
          </cell>
        </row>
        <row r="325">
          <cell r="A325">
            <v>1266</v>
          </cell>
        </row>
        <row r="326">
          <cell r="A326">
            <v>1267</v>
          </cell>
        </row>
        <row r="327">
          <cell r="A327">
            <v>1289</v>
          </cell>
        </row>
        <row r="328">
          <cell r="A328">
            <v>1290</v>
          </cell>
        </row>
        <row r="329">
          <cell r="A329">
            <v>1291</v>
          </cell>
        </row>
        <row r="330">
          <cell r="A330">
            <v>1292</v>
          </cell>
        </row>
        <row r="331">
          <cell r="A331">
            <v>1293</v>
          </cell>
        </row>
        <row r="332">
          <cell r="A332">
            <v>1294</v>
          </cell>
        </row>
        <row r="333">
          <cell r="A333">
            <v>1298</v>
          </cell>
        </row>
        <row r="334">
          <cell r="A334">
            <v>1299</v>
          </cell>
        </row>
        <row r="335">
          <cell r="A335">
            <v>1300</v>
          </cell>
        </row>
        <row r="336">
          <cell r="A336">
            <v>1301</v>
          </cell>
        </row>
        <row r="337">
          <cell r="A337">
            <v>1302</v>
          </cell>
        </row>
        <row r="338">
          <cell r="A338">
            <v>1303</v>
          </cell>
        </row>
        <row r="339">
          <cell r="A339">
            <v>1322</v>
          </cell>
        </row>
        <row r="340">
          <cell r="A340">
            <v>1323</v>
          </cell>
        </row>
        <row r="341">
          <cell r="A341">
            <v>1324</v>
          </cell>
        </row>
        <row r="342">
          <cell r="A342">
            <v>1325</v>
          </cell>
        </row>
        <row r="343">
          <cell r="A343">
            <v>1326</v>
          </cell>
        </row>
        <row r="344">
          <cell r="A344">
            <v>1327</v>
          </cell>
        </row>
        <row r="345">
          <cell r="A345">
            <v>1331</v>
          </cell>
        </row>
        <row r="346">
          <cell r="A346">
            <v>1332</v>
          </cell>
        </row>
        <row r="347">
          <cell r="A347">
            <v>1333</v>
          </cell>
        </row>
        <row r="348">
          <cell r="A348">
            <v>1334</v>
          </cell>
        </row>
        <row r="349">
          <cell r="A349">
            <v>1335</v>
          </cell>
        </row>
        <row r="350">
          <cell r="A350">
            <v>1336</v>
          </cell>
        </row>
        <row r="351">
          <cell r="A351">
            <v>1337</v>
          </cell>
        </row>
        <row r="352">
          <cell r="A352">
            <v>1351</v>
          </cell>
        </row>
        <row r="353">
          <cell r="A353">
            <v>1352</v>
          </cell>
        </row>
        <row r="354">
          <cell r="A354">
            <v>1353</v>
          </cell>
        </row>
        <row r="355">
          <cell r="A355">
            <v>1354</v>
          </cell>
        </row>
        <row r="356">
          <cell r="A356">
            <v>1355</v>
          </cell>
        </row>
        <row r="357">
          <cell r="A357">
            <v>1356</v>
          </cell>
        </row>
        <row r="358">
          <cell r="A358">
            <v>1357</v>
          </cell>
        </row>
        <row r="359">
          <cell r="A359">
            <v>1358</v>
          </cell>
        </row>
        <row r="360">
          <cell r="A360">
            <v>1359</v>
          </cell>
        </row>
        <row r="361">
          <cell r="A361">
            <v>1360</v>
          </cell>
        </row>
        <row r="362">
          <cell r="A362">
            <v>1364</v>
          </cell>
        </row>
        <row r="363">
          <cell r="A363">
            <v>1365</v>
          </cell>
        </row>
        <row r="364">
          <cell r="A364">
            <v>1366</v>
          </cell>
        </row>
        <row r="365">
          <cell r="A365">
            <v>1367</v>
          </cell>
        </row>
        <row r="366">
          <cell r="A366">
            <v>1368</v>
          </cell>
        </row>
        <row r="367">
          <cell r="A367">
            <v>1369</v>
          </cell>
        </row>
        <row r="368">
          <cell r="A368">
            <v>1370</v>
          </cell>
        </row>
        <row r="369">
          <cell r="A369">
            <v>1389</v>
          </cell>
        </row>
        <row r="370">
          <cell r="A370">
            <v>1390</v>
          </cell>
        </row>
        <row r="371">
          <cell r="A371">
            <v>1391</v>
          </cell>
        </row>
        <row r="372">
          <cell r="A372">
            <v>1392</v>
          </cell>
        </row>
        <row r="373">
          <cell r="A373">
            <v>1393</v>
          </cell>
        </row>
        <row r="374">
          <cell r="A374">
            <v>1394</v>
          </cell>
        </row>
        <row r="375">
          <cell r="A375">
            <v>1395</v>
          </cell>
        </row>
        <row r="376">
          <cell r="A376">
            <v>1398</v>
          </cell>
        </row>
        <row r="377">
          <cell r="A377">
            <v>1399</v>
          </cell>
        </row>
        <row r="378">
          <cell r="A378">
            <v>1400</v>
          </cell>
        </row>
        <row r="379">
          <cell r="A379">
            <v>1401</v>
          </cell>
        </row>
        <row r="380">
          <cell r="A380">
            <v>1402</v>
          </cell>
        </row>
        <row r="381">
          <cell r="A381">
            <v>1403</v>
          </cell>
        </row>
        <row r="382">
          <cell r="A382">
            <v>1404</v>
          </cell>
        </row>
        <row r="383">
          <cell r="A383">
            <v>1420</v>
          </cell>
        </row>
        <row r="384">
          <cell r="A384">
            <v>1421</v>
          </cell>
        </row>
        <row r="385">
          <cell r="A385">
            <v>1426</v>
          </cell>
        </row>
        <row r="386">
          <cell r="A386">
            <v>1427</v>
          </cell>
        </row>
        <row r="387">
          <cell r="A387">
            <v>1428</v>
          </cell>
        </row>
        <row r="388">
          <cell r="A388">
            <v>1429</v>
          </cell>
        </row>
        <row r="389">
          <cell r="A389">
            <v>1430</v>
          </cell>
        </row>
        <row r="390">
          <cell r="A390">
            <v>1431</v>
          </cell>
        </row>
        <row r="391">
          <cell r="A391">
            <v>1432</v>
          </cell>
        </row>
        <row r="392">
          <cell r="A392">
            <v>1433</v>
          </cell>
        </row>
        <row r="393">
          <cell r="A393">
            <v>1434</v>
          </cell>
        </row>
        <row r="394">
          <cell r="A394">
            <v>1435</v>
          </cell>
        </row>
        <row r="395">
          <cell r="A395">
            <v>1436</v>
          </cell>
        </row>
        <row r="396">
          <cell r="A396">
            <v>1437</v>
          </cell>
        </row>
        <row r="397">
          <cell r="A397">
            <v>1438</v>
          </cell>
        </row>
        <row r="398">
          <cell r="A398">
            <v>1439</v>
          </cell>
        </row>
        <row r="399">
          <cell r="A399">
            <v>1440</v>
          </cell>
        </row>
        <row r="400">
          <cell r="A400">
            <v>1460</v>
          </cell>
        </row>
        <row r="401">
          <cell r="A401">
            <v>1461</v>
          </cell>
        </row>
        <row r="402">
          <cell r="A402">
            <v>1462</v>
          </cell>
        </row>
        <row r="403">
          <cell r="A403">
            <v>1463</v>
          </cell>
        </row>
        <row r="404">
          <cell r="A404">
            <v>1464</v>
          </cell>
        </row>
        <row r="405">
          <cell r="A405">
            <v>1465</v>
          </cell>
        </row>
        <row r="406">
          <cell r="A406">
            <v>1466</v>
          </cell>
        </row>
        <row r="407">
          <cell r="A407">
            <v>1467</v>
          </cell>
        </row>
        <row r="408">
          <cell r="A408">
            <v>1468</v>
          </cell>
        </row>
        <row r="409">
          <cell r="A409">
            <v>1469</v>
          </cell>
        </row>
        <row r="410">
          <cell r="A410">
            <v>1470</v>
          </cell>
        </row>
        <row r="411">
          <cell r="A411">
            <v>1471</v>
          </cell>
        </row>
        <row r="412">
          <cell r="A412">
            <v>1472</v>
          </cell>
        </row>
        <row r="413">
          <cell r="A413">
            <v>1491</v>
          </cell>
        </row>
        <row r="414">
          <cell r="A414">
            <v>1492</v>
          </cell>
        </row>
        <row r="415">
          <cell r="A415">
            <v>1493</v>
          </cell>
        </row>
        <row r="416">
          <cell r="A416">
            <v>1494</v>
          </cell>
        </row>
        <row r="417">
          <cell r="A417">
            <v>1495</v>
          </cell>
        </row>
        <row r="418">
          <cell r="A418">
            <v>1496</v>
          </cell>
        </row>
        <row r="419">
          <cell r="A419">
            <v>1497</v>
          </cell>
        </row>
        <row r="420">
          <cell r="A420">
            <v>1498</v>
          </cell>
        </row>
        <row r="421">
          <cell r="A421">
            <v>1499</v>
          </cell>
        </row>
        <row r="422">
          <cell r="A422">
            <v>1500</v>
          </cell>
        </row>
        <row r="423">
          <cell r="A423">
            <v>1501</v>
          </cell>
        </row>
        <row r="424">
          <cell r="A424">
            <v>1502</v>
          </cell>
        </row>
        <row r="425">
          <cell r="A425">
            <v>1503</v>
          </cell>
        </row>
        <row r="426">
          <cell r="A426">
            <v>1504</v>
          </cell>
        </row>
        <row r="427">
          <cell r="A427">
            <v>1527</v>
          </cell>
        </row>
        <row r="428">
          <cell r="A428">
            <v>1528</v>
          </cell>
        </row>
        <row r="429">
          <cell r="A429">
            <v>1529</v>
          </cell>
        </row>
        <row r="430">
          <cell r="A430">
            <v>1530</v>
          </cell>
        </row>
        <row r="431">
          <cell r="A431">
            <v>1531</v>
          </cell>
        </row>
        <row r="432">
          <cell r="A432">
            <v>1532</v>
          </cell>
        </row>
        <row r="433">
          <cell r="A433">
            <v>1533</v>
          </cell>
        </row>
        <row r="434">
          <cell r="A434">
            <v>1534</v>
          </cell>
        </row>
        <row r="435">
          <cell r="A435">
            <v>1535</v>
          </cell>
        </row>
        <row r="436">
          <cell r="A436">
            <v>1536</v>
          </cell>
        </row>
        <row r="437">
          <cell r="A437">
            <v>1537</v>
          </cell>
        </row>
        <row r="438">
          <cell r="A438">
            <v>1562</v>
          </cell>
        </row>
        <row r="439">
          <cell r="A439">
            <v>1563</v>
          </cell>
        </row>
        <row r="440">
          <cell r="A440">
            <v>1564</v>
          </cell>
        </row>
        <row r="441">
          <cell r="A441">
            <v>1565</v>
          </cell>
        </row>
        <row r="442">
          <cell r="A442">
            <v>1566</v>
          </cell>
        </row>
        <row r="443">
          <cell r="A443">
            <v>1567</v>
          </cell>
        </row>
        <row r="444">
          <cell r="A444">
            <v>1568</v>
          </cell>
        </row>
        <row r="445">
          <cell r="A445">
            <v>1569</v>
          </cell>
        </row>
        <row r="446">
          <cell r="A446">
            <v>1570</v>
          </cell>
        </row>
        <row r="447">
          <cell r="A447">
            <v>1571</v>
          </cell>
        </row>
        <row r="448">
          <cell r="A448">
            <v>1572</v>
          </cell>
        </row>
        <row r="449">
          <cell r="A449">
            <v>1591</v>
          </cell>
        </row>
        <row r="450">
          <cell r="A450">
            <v>1592</v>
          </cell>
        </row>
        <row r="451">
          <cell r="A451">
            <v>1593</v>
          </cell>
        </row>
        <row r="452">
          <cell r="A452">
            <v>1594</v>
          </cell>
        </row>
        <row r="453">
          <cell r="A453">
            <v>1595</v>
          </cell>
        </row>
        <row r="454">
          <cell r="A454">
            <v>1596</v>
          </cell>
        </row>
        <row r="455">
          <cell r="A455">
            <v>1597</v>
          </cell>
        </row>
        <row r="456">
          <cell r="A456">
            <v>1598</v>
          </cell>
        </row>
        <row r="457">
          <cell r="A457">
            <v>1599</v>
          </cell>
        </row>
        <row r="458">
          <cell r="A458">
            <v>1600</v>
          </cell>
        </row>
        <row r="459">
          <cell r="A459">
            <v>1601</v>
          </cell>
        </row>
        <row r="460">
          <cell r="A460">
            <v>1602</v>
          </cell>
        </row>
        <row r="461">
          <cell r="A461">
            <v>1603</v>
          </cell>
        </row>
        <row r="462">
          <cell r="A462">
            <v>1604</v>
          </cell>
        </row>
        <row r="463">
          <cell r="A463">
            <v>1605</v>
          </cell>
        </row>
        <row r="464">
          <cell r="A464">
            <v>1606</v>
          </cell>
        </row>
        <row r="465">
          <cell r="A465">
            <v>1626</v>
          </cell>
        </row>
        <row r="466">
          <cell r="A466">
            <v>1627</v>
          </cell>
        </row>
        <row r="467">
          <cell r="A467">
            <v>1628</v>
          </cell>
        </row>
        <row r="468">
          <cell r="A468">
            <v>1629</v>
          </cell>
        </row>
        <row r="469">
          <cell r="A469">
            <v>1630</v>
          </cell>
        </row>
        <row r="470">
          <cell r="A470">
            <v>1631</v>
          </cell>
        </row>
        <row r="471">
          <cell r="A471">
            <v>1632</v>
          </cell>
        </row>
        <row r="472">
          <cell r="A472">
            <v>1633</v>
          </cell>
        </row>
        <row r="473">
          <cell r="A473">
            <v>1634</v>
          </cell>
        </row>
        <row r="474">
          <cell r="A474">
            <v>1635</v>
          </cell>
        </row>
        <row r="475">
          <cell r="A475">
            <v>1636</v>
          </cell>
        </row>
        <row r="476">
          <cell r="A476">
            <v>1637</v>
          </cell>
        </row>
        <row r="477">
          <cell r="A477">
            <v>1638</v>
          </cell>
        </row>
        <row r="478">
          <cell r="A478">
            <v>1649</v>
          </cell>
        </row>
        <row r="479">
          <cell r="A479">
            <v>1657</v>
          </cell>
        </row>
        <row r="480">
          <cell r="A480">
            <v>1658</v>
          </cell>
        </row>
        <row r="481">
          <cell r="A481">
            <v>1659</v>
          </cell>
        </row>
        <row r="482">
          <cell r="A482">
            <v>1660</v>
          </cell>
        </row>
        <row r="483">
          <cell r="A483">
            <v>1661</v>
          </cell>
        </row>
        <row r="484">
          <cell r="A484">
            <v>1662</v>
          </cell>
        </row>
        <row r="485">
          <cell r="A485">
            <v>1663</v>
          </cell>
        </row>
        <row r="486">
          <cell r="A486">
            <v>1664</v>
          </cell>
        </row>
        <row r="487">
          <cell r="A487">
            <v>1665</v>
          </cell>
        </row>
        <row r="488">
          <cell r="A488">
            <v>1666.2</v>
          </cell>
        </row>
        <row r="489">
          <cell r="A489">
            <v>1667</v>
          </cell>
        </row>
        <row r="490">
          <cell r="A490">
            <v>1668</v>
          </cell>
        </row>
        <row r="491">
          <cell r="A491">
            <v>1671</v>
          </cell>
        </row>
        <row r="492">
          <cell r="A492">
            <v>1672</v>
          </cell>
        </row>
        <row r="493">
          <cell r="A493">
            <v>1673</v>
          </cell>
        </row>
        <row r="494">
          <cell r="A494">
            <v>1677</v>
          </cell>
        </row>
        <row r="495">
          <cell r="A495">
            <v>1678</v>
          </cell>
        </row>
        <row r="496">
          <cell r="A496">
            <v>1679</v>
          </cell>
        </row>
        <row r="497">
          <cell r="A497">
            <v>1683</v>
          </cell>
        </row>
        <row r="498">
          <cell r="A498">
            <v>1684</v>
          </cell>
        </row>
        <row r="499">
          <cell r="A499">
            <v>1685</v>
          </cell>
        </row>
        <row r="500">
          <cell r="A500">
            <v>1686</v>
          </cell>
        </row>
        <row r="501">
          <cell r="A501">
            <v>1687</v>
          </cell>
        </row>
        <row r="502">
          <cell r="A502">
            <v>1688</v>
          </cell>
        </row>
        <row r="503">
          <cell r="A503">
            <v>1689</v>
          </cell>
        </row>
        <row r="504">
          <cell r="A504">
            <v>1690</v>
          </cell>
        </row>
        <row r="505">
          <cell r="A505">
            <v>1691</v>
          </cell>
        </row>
        <row r="506">
          <cell r="A506">
            <v>1692</v>
          </cell>
        </row>
        <row r="507">
          <cell r="A507">
            <v>1693</v>
          </cell>
        </row>
        <row r="508">
          <cell r="A508">
            <v>1694</v>
          </cell>
        </row>
        <row r="509">
          <cell r="A509">
            <v>1695</v>
          </cell>
        </row>
        <row r="510">
          <cell r="A510">
            <v>1696</v>
          </cell>
        </row>
        <row r="511">
          <cell r="A511">
            <v>1697</v>
          </cell>
        </row>
        <row r="512">
          <cell r="A512">
            <v>1698</v>
          </cell>
        </row>
        <row r="513">
          <cell r="A513">
            <v>1699</v>
          </cell>
        </row>
        <row r="514">
          <cell r="A514">
            <v>1700</v>
          </cell>
        </row>
        <row r="515">
          <cell r="A515">
            <v>1701</v>
          </cell>
        </row>
        <row r="516">
          <cell r="A516">
            <v>1706</v>
          </cell>
        </row>
        <row r="517">
          <cell r="A517">
            <v>1707</v>
          </cell>
        </row>
        <row r="518">
          <cell r="A518">
            <v>1708</v>
          </cell>
        </row>
        <row r="519">
          <cell r="A519">
            <v>1709</v>
          </cell>
        </row>
        <row r="520">
          <cell r="A520">
            <v>1710</v>
          </cell>
        </row>
        <row r="521">
          <cell r="A521">
            <v>1711</v>
          </cell>
        </row>
        <row r="522">
          <cell r="A522">
            <v>1712</v>
          </cell>
        </row>
        <row r="523">
          <cell r="A523">
            <v>1713</v>
          </cell>
        </row>
        <row r="524">
          <cell r="A524">
            <v>1714</v>
          </cell>
        </row>
        <row r="525">
          <cell r="A525">
            <v>1715</v>
          </cell>
        </row>
        <row r="526">
          <cell r="A526">
            <v>1716</v>
          </cell>
        </row>
        <row r="527">
          <cell r="A527">
            <v>1717</v>
          </cell>
        </row>
        <row r="528">
          <cell r="A528">
            <v>1718</v>
          </cell>
        </row>
        <row r="529">
          <cell r="A529">
            <v>1719</v>
          </cell>
        </row>
        <row r="530">
          <cell r="A530">
            <v>1720</v>
          </cell>
        </row>
        <row r="531">
          <cell r="A531">
            <v>1721</v>
          </cell>
        </row>
        <row r="532">
          <cell r="A532">
            <v>1722</v>
          </cell>
        </row>
        <row r="533">
          <cell r="A533">
            <v>1728</v>
          </cell>
        </row>
        <row r="534">
          <cell r="A534">
            <v>1729</v>
          </cell>
        </row>
        <row r="535">
          <cell r="A535">
            <v>1730</v>
          </cell>
        </row>
        <row r="536">
          <cell r="A536">
            <v>1731</v>
          </cell>
        </row>
        <row r="537">
          <cell r="A537">
            <v>1732</v>
          </cell>
        </row>
        <row r="538">
          <cell r="A538">
            <v>1733</v>
          </cell>
        </row>
        <row r="539">
          <cell r="A539">
            <v>1734</v>
          </cell>
        </row>
        <row r="540">
          <cell r="A540">
            <v>1735</v>
          </cell>
        </row>
        <row r="541">
          <cell r="A541">
            <v>1736</v>
          </cell>
        </row>
        <row r="542">
          <cell r="A542">
            <v>1737</v>
          </cell>
        </row>
        <row r="543">
          <cell r="A543">
            <v>1738</v>
          </cell>
        </row>
        <row r="544">
          <cell r="A544">
            <v>1739</v>
          </cell>
        </row>
        <row r="545">
          <cell r="A545">
            <v>1740</v>
          </cell>
        </row>
        <row r="546">
          <cell r="A546">
            <v>1742</v>
          </cell>
        </row>
        <row r="547">
          <cell r="A547">
            <v>1743</v>
          </cell>
        </row>
        <row r="548">
          <cell r="A548">
            <v>1744</v>
          </cell>
        </row>
        <row r="549">
          <cell r="A549">
            <v>1745</v>
          </cell>
        </row>
        <row r="550">
          <cell r="A550">
            <v>1746</v>
          </cell>
        </row>
        <row r="551">
          <cell r="A551">
            <v>1747</v>
          </cell>
        </row>
        <row r="552">
          <cell r="A552">
            <v>1748</v>
          </cell>
        </row>
        <row r="553">
          <cell r="A553">
            <v>1749</v>
          </cell>
        </row>
        <row r="554">
          <cell r="A554">
            <v>1750</v>
          </cell>
        </row>
        <row r="555">
          <cell r="A555">
            <v>1751</v>
          </cell>
        </row>
        <row r="556">
          <cell r="A556">
            <v>1752</v>
          </cell>
        </row>
        <row r="557">
          <cell r="A557">
            <v>1753</v>
          </cell>
        </row>
        <row r="558">
          <cell r="A558">
            <v>1754</v>
          </cell>
        </row>
        <row r="559">
          <cell r="A559">
            <v>1755</v>
          </cell>
        </row>
        <row r="560">
          <cell r="A560">
            <v>1756</v>
          </cell>
        </row>
        <row r="561">
          <cell r="A561">
            <v>1757</v>
          </cell>
        </row>
        <row r="562">
          <cell r="A562">
            <v>1758</v>
          </cell>
        </row>
        <row r="563">
          <cell r="A563">
            <v>1759</v>
          </cell>
        </row>
        <row r="564">
          <cell r="A564">
            <v>1761</v>
          </cell>
        </row>
        <row r="565">
          <cell r="A565">
            <v>1762</v>
          </cell>
        </row>
        <row r="566">
          <cell r="A566">
            <v>1763</v>
          </cell>
        </row>
        <row r="567">
          <cell r="A567">
            <v>1764</v>
          </cell>
        </row>
        <row r="568">
          <cell r="A568">
            <v>1765</v>
          </cell>
        </row>
        <row r="569">
          <cell r="A569">
            <v>1766</v>
          </cell>
        </row>
        <row r="570">
          <cell r="A570">
            <v>1767</v>
          </cell>
        </row>
        <row r="571">
          <cell r="A571">
            <v>1768</v>
          </cell>
        </row>
        <row r="572">
          <cell r="A572">
            <v>1769</v>
          </cell>
        </row>
        <row r="573">
          <cell r="A573">
            <v>1770</v>
          </cell>
        </row>
        <row r="574">
          <cell r="A574">
            <v>1771</v>
          </cell>
        </row>
        <row r="575">
          <cell r="A575">
            <v>1772</v>
          </cell>
        </row>
        <row r="576">
          <cell r="A576">
            <v>1773</v>
          </cell>
        </row>
        <row r="577">
          <cell r="A577">
            <v>1774</v>
          </cell>
        </row>
        <row r="578">
          <cell r="A578">
            <v>1775</v>
          </cell>
        </row>
        <row r="579">
          <cell r="A579">
            <v>1777</v>
          </cell>
        </row>
        <row r="580">
          <cell r="A580">
            <v>1778</v>
          </cell>
        </row>
        <row r="581">
          <cell r="A581">
            <v>1779</v>
          </cell>
        </row>
        <row r="582">
          <cell r="A582">
            <v>1780</v>
          </cell>
        </row>
        <row r="583">
          <cell r="A583">
            <v>1781</v>
          </cell>
        </row>
        <row r="584">
          <cell r="A584">
            <v>1782</v>
          </cell>
        </row>
        <row r="585">
          <cell r="A585">
            <v>1783</v>
          </cell>
        </row>
        <row r="586">
          <cell r="A586">
            <v>1784</v>
          </cell>
        </row>
        <row r="587">
          <cell r="A587">
            <v>1785</v>
          </cell>
        </row>
        <row r="588">
          <cell r="A588">
            <v>1786</v>
          </cell>
        </row>
        <row r="589">
          <cell r="A589">
            <v>1788</v>
          </cell>
        </row>
        <row r="590">
          <cell r="A590">
            <v>1789</v>
          </cell>
        </row>
        <row r="591">
          <cell r="A591">
            <v>1790</v>
          </cell>
        </row>
        <row r="592">
          <cell r="A592">
            <v>1791</v>
          </cell>
        </row>
        <row r="593">
          <cell r="A593">
            <v>1792</v>
          </cell>
        </row>
        <row r="594">
          <cell r="A594">
            <v>1793</v>
          </cell>
        </row>
        <row r="595">
          <cell r="A595">
            <v>1794</v>
          </cell>
        </row>
        <row r="596">
          <cell r="A596">
            <v>1795</v>
          </cell>
        </row>
        <row r="597">
          <cell r="A597">
            <v>1796</v>
          </cell>
        </row>
        <row r="598">
          <cell r="A598">
            <v>1797</v>
          </cell>
        </row>
        <row r="599">
          <cell r="A599">
            <v>1799</v>
          </cell>
        </row>
        <row r="600">
          <cell r="A600">
            <v>1800</v>
          </cell>
        </row>
        <row r="601">
          <cell r="A601">
            <v>1801</v>
          </cell>
        </row>
        <row r="602">
          <cell r="A602">
            <v>1802</v>
          </cell>
        </row>
        <row r="603">
          <cell r="A603">
            <v>1803</v>
          </cell>
        </row>
        <row r="604">
          <cell r="A604">
            <v>1804</v>
          </cell>
        </row>
        <row r="605">
          <cell r="A605">
            <v>1806</v>
          </cell>
        </row>
        <row r="606">
          <cell r="A606">
            <v>1807</v>
          </cell>
        </row>
        <row r="607">
          <cell r="A607">
            <v>1808</v>
          </cell>
        </row>
        <row r="608">
          <cell r="A608">
            <v>1809</v>
          </cell>
        </row>
        <row r="609">
          <cell r="A609">
            <v>1810</v>
          </cell>
        </row>
        <row r="610">
          <cell r="A610">
            <v>1811</v>
          </cell>
        </row>
        <row r="611">
          <cell r="A611">
            <v>1812</v>
          </cell>
        </row>
        <row r="612">
          <cell r="A612">
            <v>1813</v>
          </cell>
        </row>
        <row r="613">
          <cell r="A613">
            <v>1814</v>
          </cell>
        </row>
        <row r="614">
          <cell r="A614">
            <v>1815</v>
          </cell>
        </row>
        <row r="615">
          <cell r="A615">
            <v>1816</v>
          </cell>
        </row>
        <row r="616">
          <cell r="A616">
            <v>1817</v>
          </cell>
        </row>
        <row r="617">
          <cell r="A617">
            <v>1818</v>
          </cell>
        </row>
        <row r="618">
          <cell r="A618">
            <v>1819</v>
          </cell>
        </row>
        <row r="619">
          <cell r="A619">
            <v>1820</v>
          </cell>
        </row>
        <row r="620">
          <cell r="A620">
            <v>1821</v>
          </cell>
        </row>
        <row r="621">
          <cell r="A621">
            <v>1823</v>
          </cell>
        </row>
        <row r="622">
          <cell r="A622">
            <v>1824</v>
          </cell>
        </row>
        <row r="623">
          <cell r="A623">
            <v>1825</v>
          </cell>
        </row>
        <row r="624">
          <cell r="A624">
            <v>1826</v>
          </cell>
        </row>
        <row r="625">
          <cell r="A625">
            <v>1827</v>
          </cell>
        </row>
        <row r="626">
          <cell r="A626">
            <v>1828</v>
          </cell>
        </row>
        <row r="627">
          <cell r="A627">
            <v>1829</v>
          </cell>
        </row>
        <row r="628">
          <cell r="A628">
            <v>1830</v>
          </cell>
        </row>
        <row r="629">
          <cell r="A629">
            <v>1831</v>
          </cell>
        </row>
        <row r="630">
          <cell r="A630">
            <v>1832</v>
          </cell>
        </row>
        <row r="631">
          <cell r="A631">
            <v>1833</v>
          </cell>
        </row>
        <row r="632">
          <cell r="A632">
            <v>1834</v>
          </cell>
        </row>
        <row r="633">
          <cell r="A633">
            <v>1835</v>
          </cell>
        </row>
        <row r="634">
          <cell r="A634">
            <v>1836</v>
          </cell>
        </row>
        <row r="635">
          <cell r="A635">
            <v>1837</v>
          </cell>
        </row>
        <row r="636">
          <cell r="A636">
            <v>1838</v>
          </cell>
        </row>
        <row r="637">
          <cell r="A637">
            <v>1839</v>
          </cell>
        </row>
        <row r="638">
          <cell r="A638">
            <v>1840</v>
          </cell>
        </row>
        <row r="639">
          <cell r="A639">
            <v>1841</v>
          </cell>
        </row>
        <row r="640">
          <cell r="A640">
            <v>1842</v>
          </cell>
        </row>
        <row r="641">
          <cell r="A641">
            <v>1843</v>
          </cell>
        </row>
        <row r="642">
          <cell r="A642">
            <v>1844</v>
          </cell>
        </row>
        <row r="643">
          <cell r="A643">
            <v>1845</v>
          </cell>
        </row>
        <row r="644">
          <cell r="A644">
            <v>1846</v>
          </cell>
        </row>
        <row r="645">
          <cell r="A645">
            <v>1849</v>
          </cell>
        </row>
        <row r="646">
          <cell r="A646">
            <v>1850</v>
          </cell>
        </row>
        <row r="647">
          <cell r="A647">
            <v>1851</v>
          </cell>
        </row>
        <row r="648">
          <cell r="A648">
            <v>1852</v>
          </cell>
        </row>
        <row r="649">
          <cell r="A649">
            <v>1853</v>
          </cell>
        </row>
        <row r="650">
          <cell r="A650">
            <v>1854</v>
          </cell>
        </row>
        <row r="651">
          <cell r="A651">
            <v>1855</v>
          </cell>
        </row>
        <row r="652">
          <cell r="A652">
            <v>1856</v>
          </cell>
        </row>
        <row r="653">
          <cell r="A653">
            <v>1857</v>
          </cell>
        </row>
        <row r="654">
          <cell r="A654">
            <v>1858</v>
          </cell>
        </row>
        <row r="655">
          <cell r="A655">
            <v>1860</v>
          </cell>
        </row>
        <row r="656">
          <cell r="A656">
            <v>1861</v>
          </cell>
        </row>
        <row r="657">
          <cell r="A657">
            <v>1862</v>
          </cell>
        </row>
        <row r="658">
          <cell r="A658">
            <v>1863</v>
          </cell>
        </row>
        <row r="659">
          <cell r="A659">
            <v>1864</v>
          </cell>
        </row>
        <row r="660">
          <cell r="A660">
            <v>1865</v>
          </cell>
        </row>
        <row r="661">
          <cell r="A661">
            <v>1866</v>
          </cell>
        </row>
        <row r="662">
          <cell r="A662">
            <v>1867</v>
          </cell>
        </row>
        <row r="663">
          <cell r="A663">
            <v>1868</v>
          </cell>
        </row>
        <row r="664">
          <cell r="A664">
            <v>1869</v>
          </cell>
        </row>
        <row r="665">
          <cell r="A665">
            <v>1870</v>
          </cell>
        </row>
        <row r="666">
          <cell r="A666">
            <v>1872</v>
          </cell>
        </row>
        <row r="667">
          <cell r="A667">
            <v>1873</v>
          </cell>
        </row>
        <row r="668">
          <cell r="A668">
            <v>1874</v>
          </cell>
        </row>
        <row r="669">
          <cell r="A669">
            <v>1875</v>
          </cell>
        </row>
        <row r="670">
          <cell r="A670">
            <v>1876</v>
          </cell>
        </row>
        <row r="671">
          <cell r="A671">
            <v>1877</v>
          </cell>
        </row>
        <row r="672">
          <cell r="A672">
            <v>1878</v>
          </cell>
        </row>
        <row r="673">
          <cell r="A673">
            <v>1879</v>
          </cell>
        </row>
        <row r="674">
          <cell r="A674">
            <v>1880</v>
          </cell>
        </row>
        <row r="675">
          <cell r="A675">
            <v>1881</v>
          </cell>
        </row>
        <row r="676">
          <cell r="A676">
            <v>1882</v>
          </cell>
        </row>
        <row r="677">
          <cell r="A677">
            <v>1883</v>
          </cell>
        </row>
        <row r="678">
          <cell r="A678">
            <v>1884</v>
          </cell>
        </row>
        <row r="679">
          <cell r="A679">
            <v>1885</v>
          </cell>
        </row>
        <row r="680">
          <cell r="A680">
            <v>1886</v>
          </cell>
        </row>
        <row r="681">
          <cell r="A681">
            <v>1887</v>
          </cell>
        </row>
        <row r="682">
          <cell r="A682">
            <v>1888</v>
          </cell>
        </row>
        <row r="683">
          <cell r="A683">
            <v>1889</v>
          </cell>
        </row>
        <row r="684">
          <cell r="A684">
            <v>1890</v>
          </cell>
        </row>
        <row r="685">
          <cell r="A685">
            <v>1891</v>
          </cell>
        </row>
        <row r="686">
          <cell r="A686">
            <v>1892</v>
          </cell>
        </row>
        <row r="687">
          <cell r="A687">
            <v>1893</v>
          </cell>
        </row>
        <row r="688">
          <cell r="A688">
            <v>1894</v>
          </cell>
        </row>
        <row r="689">
          <cell r="A689">
            <v>1897</v>
          </cell>
        </row>
        <row r="690">
          <cell r="A690">
            <v>1898</v>
          </cell>
        </row>
        <row r="691">
          <cell r="A691">
            <v>1899</v>
          </cell>
        </row>
        <row r="692">
          <cell r="A692">
            <v>1900</v>
          </cell>
        </row>
        <row r="693">
          <cell r="A693">
            <v>1901</v>
          </cell>
        </row>
        <row r="694">
          <cell r="A694">
            <v>1902</v>
          </cell>
        </row>
        <row r="695">
          <cell r="A695">
            <v>1903</v>
          </cell>
        </row>
        <row r="696">
          <cell r="A696">
            <v>1904</v>
          </cell>
        </row>
        <row r="697">
          <cell r="A697">
            <v>1905</v>
          </cell>
        </row>
        <row r="698">
          <cell r="A698">
            <v>1906</v>
          </cell>
        </row>
        <row r="699">
          <cell r="A699">
            <v>1907</v>
          </cell>
        </row>
        <row r="700">
          <cell r="A700">
            <v>1908</v>
          </cell>
        </row>
        <row r="701">
          <cell r="A701">
            <v>1909</v>
          </cell>
        </row>
        <row r="702">
          <cell r="A702">
            <v>1910</v>
          </cell>
        </row>
        <row r="703">
          <cell r="A703">
            <v>1912</v>
          </cell>
        </row>
        <row r="704">
          <cell r="A704">
            <v>1913</v>
          </cell>
        </row>
        <row r="705">
          <cell r="A705">
            <v>1914</v>
          </cell>
        </row>
        <row r="706">
          <cell r="A706">
            <v>1915</v>
          </cell>
        </row>
        <row r="707">
          <cell r="A707">
            <v>1916</v>
          </cell>
        </row>
        <row r="708">
          <cell r="A708">
            <v>1917</v>
          </cell>
        </row>
        <row r="709">
          <cell r="A709">
            <v>1918</v>
          </cell>
        </row>
        <row r="710">
          <cell r="A710">
            <v>1919</v>
          </cell>
        </row>
        <row r="711">
          <cell r="A711">
            <v>1921</v>
          </cell>
        </row>
        <row r="712">
          <cell r="A712">
            <v>1922</v>
          </cell>
        </row>
        <row r="713">
          <cell r="A713">
            <v>1923</v>
          </cell>
        </row>
        <row r="714">
          <cell r="A714">
            <v>1924</v>
          </cell>
        </row>
        <row r="715">
          <cell r="A715">
            <v>1925</v>
          </cell>
        </row>
        <row r="716">
          <cell r="A716">
            <v>1926</v>
          </cell>
        </row>
        <row r="717">
          <cell r="A717">
            <v>1927</v>
          </cell>
        </row>
        <row r="718">
          <cell r="A718">
            <v>1928</v>
          </cell>
        </row>
        <row r="719">
          <cell r="A719">
            <v>1929</v>
          </cell>
        </row>
        <row r="720">
          <cell r="A720">
            <v>1930</v>
          </cell>
        </row>
        <row r="721">
          <cell r="A721">
            <v>1931</v>
          </cell>
        </row>
        <row r="722">
          <cell r="A722">
            <v>1932</v>
          </cell>
        </row>
        <row r="723">
          <cell r="A723">
            <v>1933</v>
          </cell>
        </row>
        <row r="724">
          <cell r="A724">
            <v>1934</v>
          </cell>
        </row>
        <row r="725">
          <cell r="A725">
            <v>1935</v>
          </cell>
        </row>
        <row r="726">
          <cell r="A726">
            <v>1936</v>
          </cell>
        </row>
        <row r="727">
          <cell r="A727">
            <v>1937</v>
          </cell>
        </row>
        <row r="728">
          <cell r="A728">
            <v>1938</v>
          </cell>
        </row>
        <row r="729">
          <cell r="A729">
            <v>1939</v>
          </cell>
        </row>
        <row r="730">
          <cell r="A730">
            <v>1940</v>
          </cell>
        </row>
        <row r="731">
          <cell r="A731">
            <v>1941</v>
          </cell>
        </row>
        <row r="732">
          <cell r="A732">
            <v>1942</v>
          </cell>
        </row>
        <row r="733">
          <cell r="A733">
            <v>1943</v>
          </cell>
        </row>
        <row r="734">
          <cell r="A734">
            <v>1944</v>
          </cell>
        </row>
        <row r="735">
          <cell r="A735">
            <v>1945</v>
          </cell>
        </row>
        <row r="736">
          <cell r="A736">
            <v>1946</v>
          </cell>
        </row>
        <row r="737">
          <cell r="A737">
            <v>1948</v>
          </cell>
        </row>
        <row r="738">
          <cell r="A738">
            <v>1949</v>
          </cell>
        </row>
        <row r="739">
          <cell r="A739">
            <v>1950</v>
          </cell>
        </row>
        <row r="740">
          <cell r="A740">
            <v>1951</v>
          </cell>
        </row>
        <row r="741">
          <cell r="A741">
            <v>1952</v>
          </cell>
        </row>
        <row r="742">
          <cell r="A742">
            <v>1953</v>
          </cell>
        </row>
        <row r="743">
          <cell r="A743">
            <v>1954</v>
          </cell>
        </row>
        <row r="744">
          <cell r="A744">
            <v>1955</v>
          </cell>
        </row>
        <row r="745">
          <cell r="A745">
            <v>1956</v>
          </cell>
        </row>
        <row r="746">
          <cell r="A746">
            <v>1957</v>
          </cell>
        </row>
        <row r="747">
          <cell r="A747">
            <v>1958</v>
          </cell>
        </row>
        <row r="748">
          <cell r="A748">
            <v>1959</v>
          </cell>
        </row>
        <row r="749">
          <cell r="A749">
            <v>1960</v>
          </cell>
        </row>
        <row r="750">
          <cell r="A750">
            <v>1961</v>
          </cell>
        </row>
        <row r="751">
          <cell r="A751">
            <v>1962</v>
          </cell>
        </row>
        <row r="752">
          <cell r="A752">
            <v>1963</v>
          </cell>
        </row>
        <row r="753">
          <cell r="A753">
            <v>1964</v>
          </cell>
        </row>
        <row r="754">
          <cell r="A754">
            <v>1965</v>
          </cell>
        </row>
        <row r="755">
          <cell r="A755">
            <v>1967</v>
          </cell>
        </row>
        <row r="756">
          <cell r="A756">
            <v>1968</v>
          </cell>
        </row>
        <row r="757">
          <cell r="A757">
            <v>1969</v>
          </cell>
        </row>
        <row r="758">
          <cell r="A758">
            <v>1970</v>
          </cell>
        </row>
        <row r="759">
          <cell r="A759">
            <v>1971</v>
          </cell>
        </row>
        <row r="760">
          <cell r="A760">
            <v>1972</v>
          </cell>
        </row>
        <row r="761">
          <cell r="A761">
            <v>1973</v>
          </cell>
        </row>
        <row r="762">
          <cell r="A762">
            <v>1974</v>
          </cell>
        </row>
        <row r="763">
          <cell r="A763">
            <v>1975</v>
          </cell>
        </row>
        <row r="764">
          <cell r="A764">
            <v>1976</v>
          </cell>
        </row>
        <row r="765">
          <cell r="A765">
            <v>1977</v>
          </cell>
        </row>
        <row r="766">
          <cell r="A766">
            <v>1978</v>
          </cell>
        </row>
        <row r="767">
          <cell r="A767">
            <v>1979</v>
          </cell>
        </row>
        <row r="768">
          <cell r="A768">
            <v>1980</v>
          </cell>
        </row>
        <row r="769">
          <cell r="A769">
            <v>1981</v>
          </cell>
        </row>
        <row r="770">
          <cell r="A770">
            <v>1982</v>
          </cell>
        </row>
        <row r="771">
          <cell r="A771">
            <v>1983</v>
          </cell>
        </row>
        <row r="772">
          <cell r="A772">
            <v>1984</v>
          </cell>
        </row>
        <row r="773">
          <cell r="A773">
            <v>1985</v>
          </cell>
        </row>
        <row r="774">
          <cell r="A774">
            <v>1986</v>
          </cell>
        </row>
        <row r="775">
          <cell r="A775">
            <v>1987</v>
          </cell>
        </row>
        <row r="776">
          <cell r="A776">
            <v>1988</v>
          </cell>
        </row>
        <row r="777">
          <cell r="A777">
            <v>1989</v>
          </cell>
        </row>
        <row r="778">
          <cell r="A778">
            <v>1990</v>
          </cell>
        </row>
        <row r="779">
          <cell r="A779">
            <v>1991</v>
          </cell>
        </row>
        <row r="780">
          <cell r="A780">
            <v>1992</v>
          </cell>
        </row>
        <row r="781">
          <cell r="A781">
            <v>1993</v>
          </cell>
        </row>
        <row r="782">
          <cell r="A782">
            <v>1994</v>
          </cell>
        </row>
        <row r="783">
          <cell r="A783">
            <v>1995</v>
          </cell>
        </row>
        <row r="784">
          <cell r="A784">
            <v>1996</v>
          </cell>
        </row>
        <row r="785">
          <cell r="A785">
            <v>1997</v>
          </cell>
        </row>
        <row r="786">
          <cell r="A786">
            <v>1998</v>
          </cell>
        </row>
        <row r="787">
          <cell r="A787">
            <v>1999</v>
          </cell>
        </row>
        <row r="788">
          <cell r="A788">
            <v>2000</v>
          </cell>
        </row>
        <row r="789">
          <cell r="A789">
            <v>2001</v>
          </cell>
        </row>
        <row r="790">
          <cell r="A790">
            <v>2002</v>
          </cell>
        </row>
        <row r="791">
          <cell r="A791">
            <v>2003</v>
          </cell>
        </row>
        <row r="792">
          <cell r="A792">
            <v>2004</v>
          </cell>
        </row>
        <row r="793">
          <cell r="A793">
            <v>2005</v>
          </cell>
        </row>
        <row r="794">
          <cell r="A794">
            <v>2006</v>
          </cell>
        </row>
        <row r="795">
          <cell r="A795">
            <v>2007</v>
          </cell>
        </row>
        <row r="796">
          <cell r="A796">
            <v>2008</v>
          </cell>
        </row>
        <row r="797">
          <cell r="A797">
            <v>2009</v>
          </cell>
        </row>
        <row r="798">
          <cell r="A798">
            <v>2010</v>
          </cell>
        </row>
        <row r="799">
          <cell r="A799">
            <v>2011</v>
          </cell>
        </row>
        <row r="800">
          <cell r="A800">
            <v>2012</v>
          </cell>
        </row>
        <row r="801">
          <cell r="A801">
            <v>2013</v>
          </cell>
        </row>
        <row r="802">
          <cell r="A802">
            <v>2014</v>
          </cell>
        </row>
        <row r="803">
          <cell r="A803">
            <v>2015</v>
          </cell>
        </row>
        <row r="804">
          <cell r="A804">
            <v>2016</v>
          </cell>
        </row>
        <row r="805">
          <cell r="A805">
            <v>2017</v>
          </cell>
        </row>
        <row r="806">
          <cell r="A806">
            <v>2018.2</v>
          </cell>
        </row>
        <row r="807">
          <cell r="A807">
            <v>2019</v>
          </cell>
        </row>
        <row r="808">
          <cell r="A808">
            <v>2020</v>
          </cell>
        </row>
        <row r="809">
          <cell r="A809">
            <v>2021</v>
          </cell>
        </row>
        <row r="810">
          <cell r="A810">
            <v>2022</v>
          </cell>
        </row>
        <row r="811">
          <cell r="A811">
            <v>2023</v>
          </cell>
        </row>
        <row r="812">
          <cell r="A812">
            <v>2024</v>
          </cell>
        </row>
        <row r="813">
          <cell r="A813">
            <v>2025</v>
          </cell>
        </row>
        <row r="814">
          <cell r="A814">
            <v>2029</v>
          </cell>
        </row>
        <row r="815">
          <cell r="A815">
            <v>2030</v>
          </cell>
        </row>
        <row r="816">
          <cell r="A816">
            <v>2031</v>
          </cell>
        </row>
        <row r="817">
          <cell r="A817">
            <v>2032</v>
          </cell>
        </row>
        <row r="818">
          <cell r="A818">
            <v>2033</v>
          </cell>
        </row>
        <row r="819">
          <cell r="A819">
            <v>2034</v>
          </cell>
        </row>
        <row r="820">
          <cell r="A820">
            <v>2035</v>
          </cell>
        </row>
        <row r="821">
          <cell r="A821">
            <v>2036</v>
          </cell>
        </row>
        <row r="822">
          <cell r="A822">
            <v>2037</v>
          </cell>
        </row>
        <row r="823">
          <cell r="A823">
            <v>2038</v>
          </cell>
        </row>
        <row r="824">
          <cell r="A824">
            <v>2039</v>
          </cell>
        </row>
        <row r="825">
          <cell r="A825">
            <v>2045</v>
          </cell>
        </row>
        <row r="826">
          <cell r="A826">
            <v>2046</v>
          </cell>
        </row>
        <row r="827">
          <cell r="A827">
            <v>2047</v>
          </cell>
        </row>
        <row r="828">
          <cell r="A828">
            <v>2048</v>
          </cell>
        </row>
        <row r="829">
          <cell r="A829">
            <v>2049</v>
          </cell>
        </row>
        <row r="830">
          <cell r="A830">
            <v>2050</v>
          </cell>
        </row>
        <row r="831">
          <cell r="A831">
            <v>2051</v>
          </cell>
        </row>
        <row r="832">
          <cell r="A832">
            <v>2053</v>
          </cell>
        </row>
        <row r="833">
          <cell r="A833">
            <v>2054</v>
          </cell>
        </row>
        <row r="834">
          <cell r="A834">
            <v>2055</v>
          </cell>
        </row>
        <row r="835">
          <cell r="A835">
            <v>2057</v>
          </cell>
        </row>
        <row r="836">
          <cell r="A836">
            <v>2058</v>
          </cell>
        </row>
        <row r="837">
          <cell r="A837">
            <v>2059</v>
          </cell>
        </row>
        <row r="838">
          <cell r="A838">
            <v>2060</v>
          </cell>
        </row>
        <row r="839">
          <cell r="A839">
            <v>2061</v>
          </cell>
        </row>
        <row r="840">
          <cell r="A840">
            <v>2062</v>
          </cell>
        </row>
        <row r="841">
          <cell r="A841">
            <v>2063</v>
          </cell>
        </row>
        <row r="842">
          <cell r="A842">
            <v>2064</v>
          </cell>
        </row>
        <row r="843">
          <cell r="A843">
            <v>2065</v>
          </cell>
        </row>
        <row r="844">
          <cell r="A844">
            <v>2066</v>
          </cell>
        </row>
        <row r="845">
          <cell r="A845">
            <v>2067</v>
          </cell>
        </row>
        <row r="846">
          <cell r="A846">
            <v>2071</v>
          </cell>
        </row>
        <row r="847">
          <cell r="A847">
            <v>2072</v>
          </cell>
        </row>
        <row r="848">
          <cell r="A848">
            <v>2073</v>
          </cell>
        </row>
        <row r="849">
          <cell r="A849">
            <v>2074</v>
          </cell>
        </row>
        <row r="850">
          <cell r="A850">
            <v>2075</v>
          </cell>
        </row>
        <row r="851">
          <cell r="A851">
            <v>2076</v>
          </cell>
        </row>
        <row r="852">
          <cell r="A852">
            <v>2082</v>
          </cell>
        </row>
        <row r="853">
          <cell r="A853">
            <v>2204</v>
          </cell>
        </row>
        <row r="854">
          <cell r="A854">
            <v>2205</v>
          </cell>
        </row>
        <row r="855">
          <cell r="A855">
            <v>2206</v>
          </cell>
        </row>
        <row r="856">
          <cell r="A856">
            <v>2207</v>
          </cell>
        </row>
        <row r="857">
          <cell r="A857">
            <v>2208</v>
          </cell>
        </row>
        <row r="858">
          <cell r="A858">
            <v>2209</v>
          </cell>
        </row>
        <row r="859">
          <cell r="A859">
            <v>2210</v>
          </cell>
        </row>
        <row r="860">
          <cell r="A860">
            <v>2211</v>
          </cell>
        </row>
        <row r="861">
          <cell r="A861">
            <v>2212</v>
          </cell>
        </row>
        <row r="862">
          <cell r="A862">
            <v>2213</v>
          </cell>
        </row>
        <row r="863">
          <cell r="A863">
            <v>2214</v>
          </cell>
        </row>
        <row r="864">
          <cell r="A864">
            <v>2215</v>
          </cell>
        </row>
        <row r="865">
          <cell r="A865">
            <v>2216</v>
          </cell>
        </row>
        <row r="866">
          <cell r="A866">
            <v>2219</v>
          </cell>
        </row>
        <row r="867">
          <cell r="A867">
            <v>2220</v>
          </cell>
        </row>
        <row r="868">
          <cell r="A868">
            <v>2221</v>
          </cell>
        </row>
        <row r="869">
          <cell r="A869">
            <v>2222</v>
          </cell>
        </row>
        <row r="870">
          <cell r="A870">
            <v>2223</v>
          </cell>
        </row>
        <row r="871">
          <cell r="A871">
            <v>2224</v>
          </cell>
        </row>
        <row r="872">
          <cell r="A872">
            <v>2232</v>
          </cell>
        </row>
        <row r="873">
          <cell r="A873">
            <v>2233</v>
          </cell>
        </row>
        <row r="874">
          <cell r="A874">
            <v>2234</v>
          </cell>
        </row>
        <row r="875">
          <cell r="A875">
            <v>2235</v>
          </cell>
        </row>
        <row r="876">
          <cell r="A876">
            <v>2236</v>
          </cell>
        </row>
        <row r="877">
          <cell r="A877">
            <v>2237</v>
          </cell>
        </row>
        <row r="878">
          <cell r="A878">
            <v>2238</v>
          </cell>
        </row>
        <row r="879">
          <cell r="A879">
            <v>2239</v>
          </cell>
        </row>
        <row r="880">
          <cell r="A880">
            <v>2240</v>
          </cell>
        </row>
        <row r="881">
          <cell r="A881">
            <v>2241</v>
          </cell>
        </row>
        <row r="882">
          <cell r="A882">
            <v>2242</v>
          </cell>
        </row>
        <row r="883">
          <cell r="A883">
            <v>2243</v>
          </cell>
        </row>
        <row r="884">
          <cell r="A884">
            <v>2244</v>
          </cell>
        </row>
        <row r="885">
          <cell r="A885">
            <v>4402</v>
          </cell>
        </row>
        <row r="886">
          <cell r="A886">
            <v>4403</v>
          </cell>
        </row>
        <row r="887">
          <cell r="A887">
            <v>4404</v>
          </cell>
        </row>
        <row r="888">
          <cell r="A888">
            <v>4429</v>
          </cell>
        </row>
        <row r="889">
          <cell r="A889">
            <v>4433</v>
          </cell>
        </row>
        <row r="890">
          <cell r="A890">
            <v>4437</v>
          </cell>
        </row>
        <row r="891">
          <cell r="A891">
            <v>4438</v>
          </cell>
        </row>
        <row r="892">
          <cell r="A892">
            <v>4439</v>
          </cell>
        </row>
        <row r="893">
          <cell r="A893">
            <v>4440</v>
          </cell>
        </row>
        <row r="894">
          <cell r="A894">
            <v>4441</v>
          </cell>
        </row>
        <row r="895">
          <cell r="A895">
            <v>4461</v>
          </cell>
        </row>
        <row r="896">
          <cell r="A896">
            <v>4462</v>
          </cell>
        </row>
        <row r="897">
          <cell r="A897">
            <v>4463</v>
          </cell>
        </row>
        <row r="898">
          <cell r="A898">
            <v>4464</v>
          </cell>
        </row>
        <row r="899">
          <cell r="A899">
            <v>4465</v>
          </cell>
        </row>
        <row r="900">
          <cell r="A900">
            <v>4466</v>
          </cell>
        </row>
        <row r="901">
          <cell r="A901">
            <v>4467</v>
          </cell>
        </row>
        <row r="902">
          <cell r="A902">
            <v>4468</v>
          </cell>
        </row>
        <row r="903">
          <cell r="A903">
            <v>4470</v>
          </cell>
        </row>
        <row r="904">
          <cell r="A904">
            <v>4471</v>
          </cell>
        </row>
        <row r="905">
          <cell r="A905">
            <v>4472</v>
          </cell>
        </row>
        <row r="906">
          <cell r="A906">
            <v>4473</v>
          </cell>
        </row>
        <row r="907">
          <cell r="A907">
            <v>4474</v>
          </cell>
        </row>
        <row r="908">
          <cell r="A908">
            <v>4494</v>
          </cell>
        </row>
        <row r="909">
          <cell r="A909">
            <v>4495</v>
          </cell>
        </row>
        <row r="910">
          <cell r="A910">
            <v>4496</v>
          </cell>
        </row>
        <row r="911">
          <cell r="A911">
            <v>4497</v>
          </cell>
        </row>
        <row r="912">
          <cell r="A912">
            <v>4498</v>
          </cell>
        </row>
        <row r="913">
          <cell r="A913">
            <v>4499</v>
          </cell>
        </row>
        <row r="914">
          <cell r="A914">
            <v>4500</v>
          </cell>
        </row>
        <row r="915">
          <cell r="A915">
            <v>4501</v>
          </cell>
        </row>
        <row r="916">
          <cell r="A916">
            <v>4502</v>
          </cell>
        </row>
        <row r="917">
          <cell r="A917">
            <v>4503</v>
          </cell>
        </row>
        <row r="918">
          <cell r="A918">
            <v>4504</v>
          </cell>
        </row>
        <row r="919">
          <cell r="A919">
            <v>4505</v>
          </cell>
        </row>
        <row r="920">
          <cell r="A920">
            <v>4506</v>
          </cell>
        </row>
        <row r="921">
          <cell r="A921">
            <v>4507</v>
          </cell>
        </row>
        <row r="922">
          <cell r="A922">
            <v>4508</v>
          </cell>
        </row>
        <row r="923">
          <cell r="A923">
            <v>4524</v>
          </cell>
        </row>
        <row r="924">
          <cell r="A924">
            <v>4525</v>
          </cell>
        </row>
        <row r="925">
          <cell r="A925">
            <v>4526</v>
          </cell>
        </row>
        <row r="926">
          <cell r="A926">
            <v>4527</v>
          </cell>
        </row>
        <row r="927">
          <cell r="A927">
            <v>4528</v>
          </cell>
        </row>
        <row r="928">
          <cell r="A928">
            <v>4529</v>
          </cell>
        </row>
        <row r="929">
          <cell r="A929">
            <v>4530</v>
          </cell>
        </row>
        <row r="930">
          <cell r="A930">
            <v>4531</v>
          </cell>
        </row>
        <row r="931">
          <cell r="A931">
            <v>4532</v>
          </cell>
        </row>
        <row r="932">
          <cell r="A932">
            <v>4533</v>
          </cell>
        </row>
        <row r="933">
          <cell r="A933">
            <v>4534</v>
          </cell>
        </row>
        <row r="934">
          <cell r="A934">
            <v>4535</v>
          </cell>
        </row>
        <row r="935">
          <cell r="A935">
            <v>4536</v>
          </cell>
        </row>
        <row r="936">
          <cell r="A936">
            <v>4537</v>
          </cell>
        </row>
        <row r="937">
          <cell r="A937">
            <v>4552</v>
          </cell>
        </row>
        <row r="938">
          <cell r="A938">
            <v>4553</v>
          </cell>
        </row>
        <row r="939">
          <cell r="A939">
            <v>4554</v>
          </cell>
        </row>
        <row r="940">
          <cell r="A940">
            <v>4555</v>
          </cell>
        </row>
        <row r="941">
          <cell r="A941">
            <v>4556</v>
          </cell>
        </row>
        <row r="942">
          <cell r="A942">
            <v>4557</v>
          </cell>
        </row>
        <row r="943">
          <cell r="A943">
            <v>4558</v>
          </cell>
        </row>
        <row r="944">
          <cell r="A944">
            <v>4559</v>
          </cell>
        </row>
        <row r="945">
          <cell r="A945">
            <v>4560</v>
          </cell>
        </row>
        <row r="946">
          <cell r="A946">
            <v>4561</v>
          </cell>
        </row>
        <row r="947">
          <cell r="A947">
            <v>4577</v>
          </cell>
        </row>
        <row r="948">
          <cell r="A948">
            <v>4578</v>
          </cell>
        </row>
        <row r="949">
          <cell r="A949">
            <v>4579</v>
          </cell>
        </row>
        <row r="950">
          <cell r="A950">
            <v>4580</v>
          </cell>
        </row>
        <row r="951">
          <cell r="A951">
            <v>4581</v>
          </cell>
        </row>
        <row r="952">
          <cell r="A952">
            <v>4582</v>
          </cell>
        </row>
        <row r="953">
          <cell r="A953">
            <v>4583</v>
          </cell>
        </row>
        <row r="954">
          <cell r="A954">
            <v>4584</v>
          </cell>
        </row>
        <row r="955">
          <cell r="A955">
            <v>4585</v>
          </cell>
        </row>
        <row r="956">
          <cell r="A956">
            <v>4586</v>
          </cell>
        </row>
        <row r="957">
          <cell r="A957">
            <v>4587</v>
          </cell>
        </row>
        <row r="958">
          <cell r="A958">
            <v>4588</v>
          </cell>
        </row>
        <row r="959">
          <cell r="A959">
            <v>4589</v>
          </cell>
        </row>
        <row r="960">
          <cell r="A960">
            <v>4590</v>
          </cell>
        </row>
        <row r="961">
          <cell r="A961">
            <v>4591</v>
          </cell>
        </row>
        <row r="962">
          <cell r="A962">
            <v>4601</v>
          </cell>
        </row>
        <row r="963">
          <cell r="A963">
            <v>4602</v>
          </cell>
        </row>
        <row r="964">
          <cell r="A964">
            <v>4603</v>
          </cell>
        </row>
        <row r="965">
          <cell r="A965">
            <v>4604</v>
          </cell>
        </row>
        <row r="966">
          <cell r="A966">
            <v>4605</v>
          </cell>
        </row>
        <row r="967">
          <cell r="A967">
            <v>4606</v>
          </cell>
        </row>
        <row r="968">
          <cell r="A968">
            <v>4607</v>
          </cell>
        </row>
        <row r="969">
          <cell r="A969">
            <v>4608</v>
          </cell>
        </row>
        <row r="970">
          <cell r="A970">
            <v>4610</v>
          </cell>
        </row>
        <row r="971">
          <cell r="A971">
            <v>4611</v>
          </cell>
        </row>
        <row r="972">
          <cell r="A972">
            <v>4612</v>
          </cell>
        </row>
        <row r="973">
          <cell r="A973">
            <v>4613</v>
          </cell>
        </row>
        <row r="974">
          <cell r="A974">
            <v>4614</v>
          </cell>
        </row>
        <row r="975">
          <cell r="A975">
            <v>4624</v>
          </cell>
        </row>
        <row r="976">
          <cell r="A976">
            <v>4625</v>
          </cell>
        </row>
        <row r="977">
          <cell r="A977">
            <v>4626</v>
          </cell>
        </row>
        <row r="978">
          <cell r="A978">
            <v>4627</v>
          </cell>
        </row>
        <row r="979">
          <cell r="A979">
            <v>4628</v>
          </cell>
        </row>
        <row r="980">
          <cell r="A980">
            <v>4629</v>
          </cell>
        </row>
        <row r="981">
          <cell r="A981">
            <v>4630</v>
          </cell>
        </row>
        <row r="982">
          <cell r="A982">
            <v>4636</v>
          </cell>
        </row>
        <row r="983">
          <cell r="A983">
            <v>4647</v>
          </cell>
        </row>
        <row r="984">
          <cell r="A984">
            <v>4648</v>
          </cell>
        </row>
        <row r="985">
          <cell r="A985">
            <v>4649</v>
          </cell>
        </row>
        <row r="986">
          <cell r="A986">
            <v>4651</v>
          </cell>
        </row>
        <row r="987">
          <cell r="A987">
            <v>4659</v>
          </cell>
        </row>
        <row r="988">
          <cell r="A988">
            <v>4662</v>
          </cell>
        </row>
        <row r="989">
          <cell r="A989">
            <v>4664</v>
          </cell>
        </row>
        <row r="990">
          <cell r="A990">
            <v>4666</v>
          </cell>
        </row>
        <row r="991">
          <cell r="A991">
            <v>4667</v>
          </cell>
        </row>
        <row r="992">
          <cell r="A992">
            <v>4668</v>
          </cell>
        </row>
        <row r="993">
          <cell r="A993">
            <v>4671</v>
          </cell>
        </row>
        <row r="994">
          <cell r="A994">
            <v>4677</v>
          </cell>
        </row>
        <row r="995">
          <cell r="A995">
            <v>4680</v>
          </cell>
        </row>
        <row r="996">
          <cell r="A996">
            <v>4681</v>
          </cell>
        </row>
        <row r="997">
          <cell r="A997">
            <v>4684</v>
          </cell>
        </row>
        <row r="998">
          <cell r="A998">
            <v>4685</v>
          </cell>
        </row>
        <row r="999">
          <cell r="A999">
            <v>4697</v>
          </cell>
        </row>
        <row r="1000">
          <cell r="A1000">
            <v>4700</v>
          </cell>
        </row>
        <row r="1001">
          <cell r="A1001">
            <v>4701</v>
          </cell>
        </row>
        <row r="1002">
          <cell r="A1002">
            <v>4702</v>
          </cell>
        </row>
        <row r="1003">
          <cell r="A1003">
            <v>4703</v>
          </cell>
        </row>
        <row r="1004">
          <cell r="A1004">
            <v>4704</v>
          </cell>
        </row>
        <row r="1005">
          <cell r="A1005">
            <v>4705</v>
          </cell>
        </row>
        <row r="1006">
          <cell r="A1006">
            <v>4732</v>
          </cell>
        </row>
        <row r="1007">
          <cell r="A1007">
            <v>4733</v>
          </cell>
        </row>
        <row r="1008">
          <cell r="A1008">
            <v>4734</v>
          </cell>
        </row>
        <row r="1009">
          <cell r="A1009">
            <v>4735</v>
          </cell>
        </row>
        <row r="1010">
          <cell r="A1010">
            <v>4736</v>
          </cell>
        </row>
        <row r="1011">
          <cell r="A1011">
            <v>4739</v>
          </cell>
        </row>
        <row r="1012">
          <cell r="A1012">
            <v>4758</v>
          </cell>
        </row>
        <row r="1013">
          <cell r="A1013">
            <v>4759</v>
          </cell>
        </row>
        <row r="1014">
          <cell r="A1014">
            <v>4760</v>
          </cell>
        </row>
        <row r="1015">
          <cell r="A1015">
            <v>4762</v>
          </cell>
        </row>
        <row r="1016">
          <cell r="A1016">
            <v>4763</v>
          </cell>
        </row>
        <row r="1017">
          <cell r="A1017">
            <v>4766</v>
          </cell>
        </row>
        <row r="1018">
          <cell r="A1018">
            <v>4767</v>
          </cell>
        </row>
        <row r="1019">
          <cell r="A1019">
            <v>4768</v>
          </cell>
        </row>
        <row r="1020">
          <cell r="A1020">
            <v>4769</v>
          </cell>
        </row>
        <row r="1021">
          <cell r="A1021">
            <v>4772</v>
          </cell>
        </row>
        <row r="1022">
          <cell r="A1022">
            <v>4774</v>
          </cell>
        </row>
        <row r="1023">
          <cell r="A1023">
            <v>4775</v>
          </cell>
        </row>
        <row r="1024">
          <cell r="A1024">
            <v>4788</v>
          </cell>
        </row>
        <row r="1025">
          <cell r="A1025">
            <v>4789</v>
          </cell>
        </row>
        <row r="1026">
          <cell r="A1026">
            <v>4790</v>
          </cell>
        </row>
        <row r="1027">
          <cell r="A1027">
            <v>4791</v>
          </cell>
        </row>
        <row r="1028">
          <cell r="A1028">
            <v>4794</v>
          </cell>
        </row>
        <row r="1029">
          <cell r="A1029">
            <v>4795</v>
          </cell>
        </row>
        <row r="1030">
          <cell r="A1030">
            <v>4796</v>
          </cell>
        </row>
        <row r="1031">
          <cell r="A1031">
            <v>4797</v>
          </cell>
        </row>
        <row r="1032">
          <cell r="A1032">
            <v>4798</v>
          </cell>
        </row>
        <row r="1033">
          <cell r="A1033">
            <v>4799</v>
          </cell>
        </row>
        <row r="1034">
          <cell r="A1034">
            <v>4800</v>
          </cell>
        </row>
        <row r="1035">
          <cell r="A1035">
            <v>4801</v>
          </cell>
        </row>
        <row r="1036">
          <cell r="A1036">
            <v>4802</v>
          </cell>
        </row>
        <row r="1037">
          <cell r="A1037">
            <v>4803</v>
          </cell>
        </row>
        <row r="1038">
          <cell r="A1038">
            <v>4804</v>
          </cell>
        </row>
        <row r="1039">
          <cell r="A1039">
            <v>4805</v>
          </cell>
        </row>
        <row r="1040">
          <cell r="A1040">
            <v>4806</v>
          </cell>
        </row>
        <row r="1041">
          <cell r="A1041">
            <v>4807</v>
          </cell>
        </row>
        <row r="1042">
          <cell r="A1042">
            <v>4808</v>
          </cell>
        </row>
        <row r="1043">
          <cell r="A1043">
            <v>4809</v>
          </cell>
        </row>
        <row r="1044">
          <cell r="A1044">
            <v>4810</v>
          </cell>
        </row>
        <row r="1045">
          <cell r="A1045">
            <v>4811</v>
          </cell>
        </row>
        <row r="1046">
          <cell r="A1046">
            <v>4812</v>
          </cell>
        </row>
        <row r="1047">
          <cell r="A1047">
            <v>4813</v>
          </cell>
        </row>
        <row r="1048">
          <cell r="A1048">
            <v>4814</v>
          </cell>
        </row>
        <row r="1049">
          <cell r="A1049">
            <v>4820</v>
          </cell>
        </row>
        <row r="1050">
          <cell r="A1050">
            <v>4823</v>
          </cell>
        </row>
        <row r="1051">
          <cell r="A1051">
            <v>4829</v>
          </cell>
        </row>
        <row r="1052">
          <cell r="A1052">
            <v>4832</v>
          </cell>
        </row>
        <row r="1053">
          <cell r="A1053">
            <v>4833</v>
          </cell>
        </row>
        <row r="1054">
          <cell r="A1054">
            <v>4834</v>
          </cell>
        </row>
        <row r="1055">
          <cell r="A1055">
            <v>4835</v>
          </cell>
        </row>
        <row r="1056">
          <cell r="A1056">
            <v>4836</v>
          </cell>
        </row>
        <row r="1057">
          <cell r="A1057">
            <v>4837</v>
          </cell>
        </row>
        <row r="1058">
          <cell r="A1058">
            <v>4838</v>
          </cell>
        </row>
        <row r="1059">
          <cell r="A1059">
            <v>4839</v>
          </cell>
        </row>
        <row r="1060">
          <cell r="A1060">
            <v>4840</v>
          </cell>
        </row>
        <row r="1061">
          <cell r="A1061">
            <v>4841</v>
          </cell>
        </row>
        <row r="1062">
          <cell r="A1062">
            <v>4842</v>
          </cell>
        </row>
        <row r="1063">
          <cell r="A1063">
            <v>4843</v>
          </cell>
        </row>
        <row r="1064">
          <cell r="A1064">
            <v>4844</v>
          </cell>
        </row>
        <row r="1065">
          <cell r="A1065">
            <v>4845</v>
          </cell>
        </row>
        <row r="1066">
          <cell r="A1066">
            <v>4846</v>
          </cell>
        </row>
        <row r="1067">
          <cell r="A1067">
            <v>4847</v>
          </cell>
        </row>
        <row r="1068">
          <cell r="A1068">
            <v>4848</v>
          </cell>
        </row>
        <row r="1069">
          <cell r="A1069">
            <v>4856</v>
          </cell>
        </row>
        <row r="1070">
          <cell r="A1070">
            <v>4857</v>
          </cell>
        </row>
        <row r="1071">
          <cell r="A1071">
            <v>4858</v>
          </cell>
        </row>
        <row r="1072">
          <cell r="A1072">
            <v>4863</v>
          </cell>
        </row>
        <row r="1073">
          <cell r="A1073">
            <v>4864</v>
          </cell>
        </row>
        <row r="1074">
          <cell r="A1074">
            <v>4865</v>
          </cell>
        </row>
        <row r="1075">
          <cell r="A1075">
            <v>4868</v>
          </cell>
        </row>
        <row r="1076">
          <cell r="A1076">
            <v>4869</v>
          </cell>
        </row>
        <row r="1077">
          <cell r="A1077">
            <v>4870</v>
          </cell>
        </row>
        <row r="1078">
          <cell r="A1078">
            <v>4871</v>
          </cell>
        </row>
        <row r="1079">
          <cell r="A1079">
            <v>4872</v>
          </cell>
        </row>
        <row r="1080">
          <cell r="A1080">
            <v>4873</v>
          </cell>
        </row>
        <row r="1081">
          <cell r="A1081">
            <v>4874</v>
          </cell>
        </row>
        <row r="1082">
          <cell r="A1082">
            <v>4875</v>
          </cell>
        </row>
        <row r="1083">
          <cell r="A1083">
            <v>4876</v>
          </cell>
        </row>
        <row r="1084">
          <cell r="A1084">
            <v>4877</v>
          </cell>
        </row>
        <row r="1085">
          <cell r="A1085">
            <v>4878</v>
          </cell>
        </row>
        <row r="1086">
          <cell r="A1086">
            <v>4879</v>
          </cell>
        </row>
        <row r="1087">
          <cell r="A1087">
            <v>4880</v>
          </cell>
        </row>
        <row r="1088">
          <cell r="A1088">
            <v>4881</v>
          </cell>
        </row>
        <row r="1089">
          <cell r="A1089">
            <v>4882</v>
          </cell>
        </row>
        <row r="1090">
          <cell r="A1090">
            <v>4883</v>
          </cell>
        </row>
        <row r="1091">
          <cell r="A1091">
            <v>4884</v>
          </cell>
        </row>
        <row r="1092">
          <cell r="A1092">
            <v>4885</v>
          </cell>
        </row>
        <row r="1093">
          <cell r="A1093">
            <v>4886</v>
          </cell>
        </row>
        <row r="1094">
          <cell r="A1094">
            <v>4893</v>
          </cell>
        </row>
        <row r="1095">
          <cell r="A1095">
            <v>4894</v>
          </cell>
        </row>
        <row r="1096">
          <cell r="A1096">
            <v>4895</v>
          </cell>
        </row>
        <row r="1097">
          <cell r="A1097">
            <v>4896</v>
          </cell>
        </row>
        <row r="1098">
          <cell r="A1098">
            <v>4897</v>
          </cell>
        </row>
        <row r="1099">
          <cell r="A1099">
            <v>4901</v>
          </cell>
        </row>
        <row r="1100">
          <cell r="A1100">
            <v>4902</v>
          </cell>
        </row>
        <row r="1101">
          <cell r="A1101">
            <v>4903</v>
          </cell>
        </row>
        <row r="1102">
          <cell r="A1102">
            <v>4904</v>
          </cell>
        </row>
        <row r="1103">
          <cell r="A1103">
            <v>4905</v>
          </cell>
        </row>
        <row r="1104">
          <cell r="A1104">
            <v>4906</v>
          </cell>
        </row>
        <row r="1105">
          <cell r="A1105">
            <v>4907</v>
          </cell>
        </row>
        <row r="1106">
          <cell r="A1106">
            <v>4908</v>
          </cell>
        </row>
        <row r="1107">
          <cell r="A1107">
            <v>4909</v>
          </cell>
        </row>
        <row r="1108">
          <cell r="A1108">
            <v>4910</v>
          </cell>
        </row>
        <row r="1109">
          <cell r="A1109">
            <v>4911</v>
          </cell>
        </row>
        <row r="1110">
          <cell r="A1110">
            <v>4912</v>
          </cell>
        </row>
        <row r="1111">
          <cell r="A1111">
            <v>4913</v>
          </cell>
        </row>
        <row r="1112">
          <cell r="A1112">
            <v>4914</v>
          </cell>
        </row>
        <row r="1113">
          <cell r="A1113">
            <v>4915</v>
          </cell>
        </row>
        <row r="1114">
          <cell r="A1114">
            <v>4916</v>
          </cell>
        </row>
        <row r="1115">
          <cell r="A1115">
            <v>4917</v>
          </cell>
        </row>
        <row r="1116">
          <cell r="A1116">
            <v>4918</v>
          </cell>
        </row>
        <row r="1117">
          <cell r="A1117">
            <v>4919</v>
          </cell>
        </row>
        <row r="1118">
          <cell r="A1118">
            <v>4920</v>
          </cell>
        </row>
        <row r="1119">
          <cell r="A1119">
            <v>4921</v>
          </cell>
        </row>
        <row r="1120">
          <cell r="A1120">
            <v>4922</v>
          </cell>
        </row>
        <row r="1121">
          <cell r="A1121">
            <v>4923</v>
          </cell>
        </row>
        <row r="1122">
          <cell r="A1122">
            <v>4929</v>
          </cell>
        </row>
        <row r="1123">
          <cell r="A1123">
            <v>4930</v>
          </cell>
        </row>
        <row r="1124">
          <cell r="A1124">
            <v>4931</v>
          </cell>
        </row>
        <row r="1125">
          <cell r="A1125">
            <v>4932</v>
          </cell>
        </row>
        <row r="1126">
          <cell r="A1126">
            <v>4942</v>
          </cell>
        </row>
        <row r="1127">
          <cell r="A1127">
            <v>4943</v>
          </cell>
        </row>
        <row r="1128">
          <cell r="A1128">
            <v>4944</v>
          </cell>
        </row>
        <row r="1129">
          <cell r="A1129">
            <v>4945</v>
          </cell>
        </row>
        <row r="1130">
          <cell r="A1130">
            <v>4946</v>
          </cell>
        </row>
        <row r="1131">
          <cell r="A1131">
            <v>4947</v>
          </cell>
        </row>
        <row r="1132">
          <cell r="A1132">
            <v>4948</v>
          </cell>
        </row>
        <row r="1133">
          <cell r="A1133">
            <v>4949</v>
          </cell>
        </row>
        <row r="1134">
          <cell r="A1134">
            <v>4950</v>
          </cell>
        </row>
        <row r="1135">
          <cell r="A1135">
            <v>4951</v>
          </cell>
        </row>
        <row r="1136">
          <cell r="A1136">
            <v>4952</v>
          </cell>
        </row>
        <row r="1137">
          <cell r="A1137">
            <v>4953</v>
          </cell>
        </row>
        <row r="1138">
          <cell r="A1138">
            <v>4954</v>
          </cell>
        </row>
        <row r="1139">
          <cell r="A1139">
            <v>4955</v>
          </cell>
        </row>
        <row r="1140">
          <cell r="A1140">
            <v>4956</v>
          </cell>
        </row>
        <row r="1141">
          <cell r="A1141">
            <v>4957</v>
          </cell>
        </row>
        <row r="1142">
          <cell r="A1142">
            <v>4958</v>
          </cell>
        </row>
        <row r="1143">
          <cell r="A1143">
            <v>4959</v>
          </cell>
        </row>
        <row r="1144">
          <cell r="A1144">
            <v>4960</v>
          </cell>
        </row>
        <row r="1145">
          <cell r="A1145">
            <v>4961</v>
          </cell>
        </row>
        <row r="1146">
          <cell r="A1146">
            <v>4962</v>
          </cell>
        </row>
        <row r="1147">
          <cell r="A1147">
            <v>4966</v>
          </cell>
        </row>
        <row r="1148">
          <cell r="A1148">
            <v>4980</v>
          </cell>
        </row>
        <row r="1149">
          <cell r="A1149">
            <v>4981</v>
          </cell>
        </row>
        <row r="1150">
          <cell r="A1150">
            <v>4982</v>
          </cell>
        </row>
        <row r="1151">
          <cell r="A1151">
            <v>4983.2</v>
          </cell>
        </row>
        <row r="1152">
          <cell r="A1152">
            <v>4984</v>
          </cell>
        </row>
        <row r="1153">
          <cell r="A1153">
            <v>4985</v>
          </cell>
        </row>
        <row r="1154">
          <cell r="A1154">
            <v>4986</v>
          </cell>
        </row>
        <row r="1155">
          <cell r="A1155">
            <v>4987</v>
          </cell>
        </row>
        <row r="1156">
          <cell r="A1156">
            <v>4988</v>
          </cell>
        </row>
        <row r="1157">
          <cell r="A1157">
            <v>4989</v>
          </cell>
        </row>
        <row r="1158">
          <cell r="A1158">
            <v>4990</v>
          </cell>
        </row>
        <row r="1159">
          <cell r="A1159">
            <v>4991</v>
          </cell>
        </row>
        <row r="1160">
          <cell r="A1160">
            <v>4992</v>
          </cell>
        </row>
        <row r="1161">
          <cell r="A1161">
            <v>4993</v>
          </cell>
        </row>
        <row r="1162">
          <cell r="A1162">
            <v>4994</v>
          </cell>
        </row>
        <row r="1163">
          <cell r="A1163">
            <v>4995</v>
          </cell>
        </row>
        <row r="1164">
          <cell r="A1164">
            <v>4996</v>
          </cell>
        </row>
        <row r="1165">
          <cell r="A1165">
            <v>4997</v>
          </cell>
        </row>
        <row r="1166">
          <cell r="A1166">
            <v>4998</v>
          </cell>
        </row>
        <row r="1167">
          <cell r="A1167">
            <v>4999</v>
          </cell>
        </row>
        <row r="1168">
          <cell r="A1168">
            <v>5000</v>
          </cell>
        </row>
        <row r="1169">
          <cell r="A1169">
            <v>5001</v>
          </cell>
        </row>
        <row r="1170">
          <cell r="A1170">
            <v>5002</v>
          </cell>
        </row>
        <row r="1171">
          <cell r="A1171">
            <v>5003</v>
          </cell>
        </row>
        <row r="1172">
          <cell r="A1172">
            <v>5004</v>
          </cell>
        </row>
        <row r="1173">
          <cell r="A1173">
            <v>5005</v>
          </cell>
        </row>
        <row r="1174">
          <cell r="A1174">
            <v>5006</v>
          </cell>
        </row>
        <row r="1175">
          <cell r="A1175">
            <v>5007</v>
          </cell>
        </row>
        <row r="1176">
          <cell r="A1176">
            <v>5008</v>
          </cell>
        </row>
        <row r="1177">
          <cell r="A1177">
            <v>5018</v>
          </cell>
        </row>
        <row r="1178">
          <cell r="A1178">
            <v>5019</v>
          </cell>
        </row>
        <row r="1179">
          <cell r="A1179">
            <v>5020</v>
          </cell>
        </row>
        <row r="1180">
          <cell r="A1180">
            <v>5021</v>
          </cell>
        </row>
        <row r="1181">
          <cell r="A1181">
            <v>5022</v>
          </cell>
        </row>
        <row r="1182">
          <cell r="A1182">
            <v>5023</v>
          </cell>
        </row>
        <row r="1183">
          <cell r="A1183">
            <v>5024</v>
          </cell>
        </row>
        <row r="1184">
          <cell r="A1184">
            <v>5025</v>
          </cell>
        </row>
        <row r="1185">
          <cell r="A1185">
            <v>5026</v>
          </cell>
        </row>
        <row r="1186">
          <cell r="A1186">
            <v>5027</v>
          </cell>
        </row>
        <row r="1187">
          <cell r="A1187">
            <v>5028</v>
          </cell>
        </row>
        <row r="1188">
          <cell r="A1188">
            <v>5029</v>
          </cell>
        </row>
        <row r="1189">
          <cell r="A1189">
            <v>5030</v>
          </cell>
        </row>
        <row r="1190">
          <cell r="A1190">
            <v>5031</v>
          </cell>
        </row>
        <row r="1191">
          <cell r="A1191">
            <v>5032</v>
          </cell>
        </row>
        <row r="1192">
          <cell r="A1192">
            <v>5033</v>
          </cell>
        </row>
        <row r="1193">
          <cell r="A1193">
            <v>5034</v>
          </cell>
        </row>
        <row r="1194">
          <cell r="A1194">
            <v>5035</v>
          </cell>
        </row>
        <row r="1195">
          <cell r="A1195">
            <v>5036</v>
          </cell>
        </row>
        <row r="1196">
          <cell r="A1196">
            <v>5037</v>
          </cell>
        </row>
        <row r="1197">
          <cell r="A1197">
            <v>5038</v>
          </cell>
        </row>
        <row r="1198">
          <cell r="A1198">
            <v>5039</v>
          </cell>
        </row>
        <row r="1199">
          <cell r="A1199">
            <v>5040</v>
          </cell>
        </row>
        <row r="1200">
          <cell r="A1200">
            <v>5041</v>
          </cell>
        </row>
        <row r="1201">
          <cell r="A1201">
            <v>5042</v>
          </cell>
        </row>
        <row r="1202">
          <cell r="A1202">
            <v>5043</v>
          </cell>
        </row>
        <row r="1203">
          <cell r="A1203">
            <v>5044</v>
          </cell>
        </row>
        <row r="1204">
          <cell r="A1204">
            <v>5045</v>
          </cell>
        </row>
        <row r="1205">
          <cell r="A1205">
            <v>5046</v>
          </cell>
        </row>
        <row r="1206">
          <cell r="A1206">
            <v>5047</v>
          </cell>
        </row>
        <row r="1207">
          <cell r="A1207">
            <v>5048</v>
          </cell>
        </row>
        <row r="1208">
          <cell r="A1208">
            <v>5057</v>
          </cell>
        </row>
        <row r="1209">
          <cell r="A1209">
            <v>5058</v>
          </cell>
        </row>
        <row r="1210">
          <cell r="A1210">
            <v>5059</v>
          </cell>
        </row>
        <row r="1211">
          <cell r="A1211">
            <v>5060</v>
          </cell>
        </row>
        <row r="1212">
          <cell r="A1212">
            <v>5061</v>
          </cell>
        </row>
        <row r="1213">
          <cell r="A1213">
            <v>5062</v>
          </cell>
        </row>
        <row r="1214">
          <cell r="A1214">
            <v>5063</v>
          </cell>
        </row>
        <row r="1215">
          <cell r="A1215">
            <v>5064</v>
          </cell>
        </row>
        <row r="1216">
          <cell r="A1216">
            <v>5065</v>
          </cell>
        </row>
        <row r="1217">
          <cell r="A1217">
            <v>5066</v>
          </cell>
        </row>
        <row r="1218">
          <cell r="A1218">
            <v>5067</v>
          </cell>
        </row>
        <row r="1219">
          <cell r="A1219">
            <v>5068</v>
          </cell>
        </row>
        <row r="1220">
          <cell r="A1220">
            <v>5069</v>
          </cell>
        </row>
        <row r="1221">
          <cell r="A1221">
            <v>5070</v>
          </cell>
        </row>
        <row r="1222">
          <cell r="A1222">
            <v>5071</v>
          </cell>
        </row>
        <row r="1223">
          <cell r="A1223">
            <v>5072</v>
          </cell>
        </row>
        <row r="1224">
          <cell r="A1224">
            <v>5073</v>
          </cell>
        </row>
        <row r="1225">
          <cell r="A1225">
            <v>5074</v>
          </cell>
        </row>
        <row r="1226">
          <cell r="A1226">
            <v>5075</v>
          </cell>
        </row>
        <row r="1227">
          <cell r="A1227">
            <v>5076</v>
          </cell>
        </row>
        <row r="1228">
          <cell r="A1228">
            <v>5077</v>
          </cell>
        </row>
        <row r="1229">
          <cell r="A1229">
            <v>5078</v>
          </cell>
        </row>
        <row r="1230">
          <cell r="A1230">
            <v>5079</v>
          </cell>
        </row>
        <row r="1231">
          <cell r="A1231">
            <v>5080</v>
          </cell>
        </row>
        <row r="1232">
          <cell r="A1232">
            <v>5081</v>
          </cell>
        </row>
        <row r="1233">
          <cell r="A1233">
            <v>5082</v>
          </cell>
        </row>
        <row r="1234">
          <cell r="A1234">
            <v>5083</v>
          </cell>
        </row>
        <row r="1235">
          <cell r="A1235">
            <v>5084</v>
          </cell>
        </row>
        <row r="1236">
          <cell r="A1236">
            <v>5085</v>
          </cell>
        </row>
        <row r="1237">
          <cell r="A1237">
            <v>5086</v>
          </cell>
        </row>
        <row r="1238">
          <cell r="A1238">
            <v>5087</v>
          </cell>
        </row>
        <row r="1239">
          <cell r="A1239">
            <v>5088</v>
          </cell>
        </row>
        <row r="1240">
          <cell r="A1240">
            <v>5089</v>
          </cell>
        </row>
        <row r="1241">
          <cell r="A1241">
            <v>5098</v>
          </cell>
        </row>
        <row r="1242">
          <cell r="A1242">
            <v>5099</v>
          </cell>
        </row>
        <row r="1243">
          <cell r="A1243">
            <v>5100</v>
          </cell>
        </row>
        <row r="1244">
          <cell r="A1244">
            <v>5101</v>
          </cell>
        </row>
        <row r="1245">
          <cell r="A1245">
            <v>5102</v>
          </cell>
        </row>
        <row r="1246">
          <cell r="A1246">
            <v>5103</v>
          </cell>
        </row>
        <row r="1247">
          <cell r="A1247">
            <v>5104</v>
          </cell>
        </row>
        <row r="1248">
          <cell r="A1248">
            <v>5105</v>
          </cell>
        </row>
        <row r="1249">
          <cell r="A1249">
            <v>5106</v>
          </cell>
        </row>
        <row r="1250">
          <cell r="A1250">
            <v>5107</v>
          </cell>
        </row>
        <row r="1251">
          <cell r="A1251">
            <v>5108</v>
          </cell>
        </row>
        <row r="1252">
          <cell r="A1252">
            <v>5109</v>
          </cell>
        </row>
        <row r="1253">
          <cell r="A1253">
            <v>5110</v>
          </cell>
        </row>
        <row r="1254">
          <cell r="A1254">
            <v>5111</v>
          </cell>
        </row>
        <row r="1255">
          <cell r="A1255">
            <v>5112</v>
          </cell>
        </row>
        <row r="1256">
          <cell r="A1256">
            <v>5113</v>
          </cell>
        </row>
        <row r="1257">
          <cell r="A1257">
            <v>5114</v>
          </cell>
        </row>
        <row r="1258">
          <cell r="A1258">
            <v>5115</v>
          </cell>
        </row>
        <row r="1259">
          <cell r="A1259">
            <v>5116</v>
          </cell>
        </row>
        <row r="1260">
          <cell r="A1260">
            <v>5117</v>
          </cell>
        </row>
        <row r="1261">
          <cell r="A1261">
            <v>5118</v>
          </cell>
        </row>
        <row r="1262">
          <cell r="A1262">
            <v>5119</v>
          </cell>
        </row>
        <row r="1263">
          <cell r="A1263">
            <v>5120</v>
          </cell>
        </row>
        <row r="1264">
          <cell r="A1264">
            <v>5121</v>
          </cell>
        </row>
        <row r="1265">
          <cell r="A1265">
            <v>5122</v>
          </cell>
        </row>
        <row r="1266">
          <cell r="A1266">
            <v>5123</v>
          </cell>
        </row>
        <row r="1267">
          <cell r="A1267">
            <v>5124</v>
          </cell>
        </row>
        <row r="1268">
          <cell r="A1268">
            <v>5125</v>
          </cell>
        </row>
        <row r="1269">
          <cell r="A1269">
            <v>5126</v>
          </cell>
        </row>
        <row r="1270">
          <cell r="A1270">
            <v>5127</v>
          </cell>
        </row>
        <row r="1271">
          <cell r="A1271">
            <v>5128</v>
          </cell>
        </row>
        <row r="1272">
          <cell r="A1272">
            <v>5129</v>
          </cell>
        </row>
        <row r="1273">
          <cell r="A1273">
            <v>5130</v>
          </cell>
        </row>
        <row r="1274">
          <cell r="A1274">
            <v>5138</v>
          </cell>
        </row>
        <row r="1275">
          <cell r="A1275">
            <v>5139</v>
          </cell>
        </row>
        <row r="1276">
          <cell r="A1276">
            <v>5140</v>
          </cell>
        </row>
        <row r="1277">
          <cell r="A1277">
            <v>5141</v>
          </cell>
        </row>
        <row r="1278">
          <cell r="A1278">
            <v>5142</v>
          </cell>
        </row>
        <row r="1279">
          <cell r="A1279">
            <v>5143</v>
          </cell>
        </row>
        <row r="1280">
          <cell r="A1280">
            <v>5144</v>
          </cell>
        </row>
        <row r="1281">
          <cell r="A1281">
            <v>5145</v>
          </cell>
        </row>
        <row r="1282">
          <cell r="A1282">
            <v>5146</v>
          </cell>
        </row>
        <row r="1283">
          <cell r="A1283">
            <v>5147</v>
          </cell>
        </row>
        <row r="1284">
          <cell r="A1284">
            <v>5148</v>
          </cell>
        </row>
        <row r="1285">
          <cell r="A1285">
            <v>5149</v>
          </cell>
        </row>
        <row r="1286">
          <cell r="A1286">
            <v>5150</v>
          </cell>
        </row>
        <row r="1287">
          <cell r="A1287">
            <v>5151</v>
          </cell>
        </row>
        <row r="1288">
          <cell r="A1288">
            <v>5152</v>
          </cell>
        </row>
        <row r="1289">
          <cell r="A1289">
            <v>5153</v>
          </cell>
        </row>
        <row r="1290">
          <cell r="A1290">
            <v>5154</v>
          </cell>
        </row>
        <row r="1291">
          <cell r="A1291">
            <v>5155</v>
          </cell>
        </row>
        <row r="1292">
          <cell r="A1292">
            <v>5156</v>
          </cell>
        </row>
        <row r="1293">
          <cell r="A1293">
            <v>5157</v>
          </cell>
        </row>
        <row r="1294">
          <cell r="A1294">
            <v>5158</v>
          </cell>
        </row>
        <row r="1295">
          <cell r="A1295">
            <v>5159</v>
          </cell>
        </row>
        <row r="1296">
          <cell r="A1296">
            <v>5160</v>
          </cell>
        </row>
        <row r="1297">
          <cell r="A1297">
            <v>5161</v>
          </cell>
        </row>
        <row r="1298">
          <cell r="A1298">
            <v>5162</v>
          </cell>
        </row>
        <row r="1299">
          <cell r="A1299">
            <v>5163</v>
          </cell>
        </row>
        <row r="1300">
          <cell r="A1300">
            <v>5164</v>
          </cell>
        </row>
        <row r="1301">
          <cell r="A1301">
            <v>5165</v>
          </cell>
        </row>
        <row r="1302">
          <cell r="A1302">
            <v>5166</v>
          </cell>
        </row>
        <row r="1303">
          <cell r="A1303">
            <v>5167</v>
          </cell>
        </row>
        <row r="1304">
          <cell r="A1304">
            <v>5168</v>
          </cell>
        </row>
        <row r="1305">
          <cell r="A1305">
            <v>5169</v>
          </cell>
        </row>
        <row r="1306">
          <cell r="A1306">
            <v>5170</v>
          </cell>
        </row>
        <row r="1307">
          <cell r="A1307">
            <v>5171</v>
          </cell>
        </row>
        <row r="1308">
          <cell r="A1308">
            <v>5185</v>
          </cell>
        </row>
        <row r="1309">
          <cell r="A1309">
            <v>5186</v>
          </cell>
        </row>
        <row r="1310">
          <cell r="A1310">
            <v>5187</v>
          </cell>
        </row>
        <row r="1311">
          <cell r="A1311">
            <v>5188</v>
          </cell>
        </row>
        <row r="1312">
          <cell r="A1312">
            <v>5189</v>
          </cell>
        </row>
        <row r="1313">
          <cell r="A1313">
            <v>5190</v>
          </cell>
        </row>
        <row r="1314">
          <cell r="A1314">
            <v>5191</v>
          </cell>
        </row>
        <row r="1315">
          <cell r="A1315">
            <v>5192</v>
          </cell>
        </row>
        <row r="1316">
          <cell r="A1316">
            <v>5193</v>
          </cell>
        </row>
        <row r="1317">
          <cell r="A1317">
            <v>5194</v>
          </cell>
        </row>
        <row r="1318">
          <cell r="A1318">
            <v>5195</v>
          </cell>
        </row>
        <row r="1319">
          <cell r="A1319">
            <v>5196</v>
          </cell>
        </row>
        <row r="1320">
          <cell r="A1320">
            <v>5197</v>
          </cell>
        </row>
        <row r="1321">
          <cell r="A1321">
            <v>5198</v>
          </cell>
        </row>
        <row r="1322">
          <cell r="A1322">
            <v>5199</v>
          </cell>
        </row>
        <row r="1323">
          <cell r="A1323">
            <v>5200</v>
          </cell>
        </row>
        <row r="1324">
          <cell r="A1324">
            <v>6001</v>
          </cell>
        </row>
        <row r="1325">
          <cell r="A1325">
            <v>6002</v>
          </cell>
        </row>
        <row r="1326">
          <cell r="A1326">
            <v>6003</v>
          </cell>
        </row>
        <row r="1327">
          <cell r="A1327">
            <v>6004</v>
          </cell>
        </row>
        <row r="1328">
          <cell r="A1328">
            <v>6005</v>
          </cell>
        </row>
        <row r="1329">
          <cell r="A1329">
            <v>6006</v>
          </cell>
        </row>
        <row r="1330">
          <cell r="A1330">
            <v>6007</v>
          </cell>
        </row>
        <row r="1331">
          <cell r="A1331">
            <v>6008</v>
          </cell>
        </row>
        <row r="1332">
          <cell r="A1332">
            <v>6009</v>
          </cell>
        </row>
        <row r="1333">
          <cell r="A1333">
            <v>6010</v>
          </cell>
        </row>
        <row r="1334">
          <cell r="A1334">
            <v>6011</v>
          </cell>
        </row>
        <row r="1335">
          <cell r="A1335">
            <v>6012</v>
          </cell>
        </row>
        <row r="1336">
          <cell r="A1336">
            <v>6013</v>
          </cell>
        </row>
        <row r="1337">
          <cell r="A1337">
            <v>6014</v>
          </cell>
        </row>
        <row r="1338">
          <cell r="A1338">
            <v>6015</v>
          </cell>
        </row>
        <row r="1339">
          <cell r="A1339">
            <v>6016</v>
          </cell>
        </row>
        <row r="1340">
          <cell r="A1340">
            <v>6017</v>
          </cell>
        </row>
        <row r="1341">
          <cell r="A1341">
            <v>6018</v>
          </cell>
        </row>
        <row r="1342">
          <cell r="A1342">
            <v>6019</v>
          </cell>
        </row>
        <row r="1343">
          <cell r="A1343">
            <v>6020</v>
          </cell>
        </row>
        <row r="1344">
          <cell r="A1344">
            <v>6022</v>
          </cell>
        </row>
        <row r="1345">
          <cell r="A1345">
            <v>6023</v>
          </cell>
        </row>
        <row r="1346">
          <cell r="A1346">
            <v>6024</v>
          </cell>
        </row>
        <row r="1347">
          <cell r="A1347">
            <v>6050</v>
          </cell>
        </row>
        <row r="1348">
          <cell r="A1348">
            <v>6051</v>
          </cell>
        </row>
        <row r="1349">
          <cell r="A1349">
            <v>6052</v>
          </cell>
        </row>
        <row r="1350">
          <cell r="A1350">
            <v>6053</v>
          </cell>
        </row>
        <row r="1351">
          <cell r="A1351">
            <v>6054</v>
          </cell>
        </row>
        <row r="1352">
          <cell r="A1352">
            <v>6055</v>
          </cell>
        </row>
        <row r="1353">
          <cell r="A1353">
            <v>6056</v>
          </cell>
        </row>
        <row r="1354">
          <cell r="A1354">
            <v>6057</v>
          </cell>
        </row>
        <row r="1355">
          <cell r="A1355">
            <v>6058</v>
          </cell>
        </row>
        <row r="1356">
          <cell r="A1356">
            <v>6059</v>
          </cell>
        </row>
        <row r="1357">
          <cell r="A1357">
            <v>6060</v>
          </cell>
        </row>
        <row r="1358">
          <cell r="A1358">
            <v>6061</v>
          </cell>
        </row>
        <row r="1359">
          <cell r="A1359">
            <v>6062</v>
          </cell>
        </row>
        <row r="1360">
          <cell r="A1360">
            <v>6063</v>
          </cell>
        </row>
        <row r="1361">
          <cell r="A1361">
            <v>6064</v>
          </cell>
        </row>
        <row r="1362">
          <cell r="A1362">
            <v>6065</v>
          </cell>
        </row>
        <row r="1363">
          <cell r="A1363">
            <v>6066</v>
          </cell>
        </row>
        <row r="1364">
          <cell r="A1364">
            <v>6067</v>
          </cell>
        </row>
        <row r="1365">
          <cell r="A1365">
            <v>6068</v>
          </cell>
        </row>
        <row r="1366">
          <cell r="A1366">
            <v>6069</v>
          </cell>
        </row>
        <row r="1367">
          <cell r="A1367">
            <v>6070</v>
          </cell>
        </row>
        <row r="1368">
          <cell r="A1368">
            <v>6071</v>
          </cell>
        </row>
        <row r="1369">
          <cell r="A1369">
            <v>6072</v>
          </cell>
        </row>
        <row r="1370">
          <cell r="A1370">
            <v>6073</v>
          </cell>
        </row>
        <row r="1371">
          <cell r="A1371">
            <v>6074</v>
          </cell>
        </row>
        <row r="1372">
          <cell r="A1372">
            <v>6075</v>
          </cell>
        </row>
        <row r="1373">
          <cell r="A1373">
            <v>6076</v>
          </cell>
        </row>
        <row r="1374">
          <cell r="A1374">
            <v>6077</v>
          </cell>
        </row>
        <row r="1375">
          <cell r="A1375">
            <v>6078</v>
          </cell>
        </row>
        <row r="1376">
          <cell r="A1376">
            <v>6079</v>
          </cell>
        </row>
        <row r="1377">
          <cell r="A1377">
            <v>6080</v>
          </cell>
        </row>
        <row r="1378">
          <cell r="A1378">
            <v>6081</v>
          </cell>
        </row>
        <row r="1379">
          <cell r="A1379">
            <v>6082</v>
          </cell>
        </row>
        <row r="1380">
          <cell r="A1380">
            <v>6083</v>
          </cell>
        </row>
        <row r="1381">
          <cell r="A1381">
            <v>6084</v>
          </cell>
        </row>
        <row r="1382">
          <cell r="A1382">
            <v>6085</v>
          </cell>
        </row>
        <row r="1383">
          <cell r="A1383">
            <v>6086</v>
          </cell>
        </row>
        <row r="1384">
          <cell r="A1384">
            <v>6087</v>
          </cell>
        </row>
        <row r="1385">
          <cell r="A1385">
            <v>6088</v>
          </cell>
        </row>
        <row r="1386">
          <cell r="A1386">
            <v>6089</v>
          </cell>
        </row>
        <row r="1387">
          <cell r="A1387">
            <v>6116</v>
          </cell>
        </row>
        <row r="1388">
          <cell r="A1388">
            <v>6117</v>
          </cell>
        </row>
        <row r="1389">
          <cell r="A1389">
            <v>6118</v>
          </cell>
        </row>
        <row r="1390">
          <cell r="A1390">
            <v>6119</v>
          </cell>
        </row>
        <row r="1391">
          <cell r="A1391">
            <v>6120</v>
          </cell>
        </row>
        <row r="1392">
          <cell r="A1392">
            <v>6121</v>
          </cell>
        </row>
        <row r="1393">
          <cell r="A1393">
            <v>6122</v>
          </cell>
        </row>
        <row r="1394">
          <cell r="A1394">
            <v>6123</v>
          </cell>
        </row>
        <row r="1395">
          <cell r="A1395">
            <v>6124</v>
          </cell>
        </row>
        <row r="1396">
          <cell r="A1396">
            <v>6125</v>
          </cell>
        </row>
        <row r="1397">
          <cell r="A1397">
            <v>6126</v>
          </cell>
        </row>
        <row r="1398">
          <cell r="A1398">
            <v>6127</v>
          </cell>
        </row>
        <row r="1399">
          <cell r="A1399">
            <v>6128</v>
          </cell>
        </row>
        <row r="1400">
          <cell r="A1400">
            <v>6129</v>
          </cell>
        </row>
        <row r="1401">
          <cell r="A1401">
            <v>6130</v>
          </cell>
        </row>
        <row r="1402">
          <cell r="A1402">
            <v>6131</v>
          </cell>
        </row>
        <row r="1403">
          <cell r="A1403">
            <v>6132</v>
          </cell>
        </row>
        <row r="1404">
          <cell r="A1404">
            <v>6133</v>
          </cell>
        </row>
        <row r="1405">
          <cell r="A1405">
            <v>6134</v>
          </cell>
        </row>
        <row r="1406">
          <cell r="A1406">
            <v>6135</v>
          </cell>
        </row>
        <row r="1407">
          <cell r="A1407">
            <v>6136</v>
          </cell>
        </row>
        <row r="1408">
          <cell r="A1408">
            <v>6137</v>
          </cell>
        </row>
        <row r="1409">
          <cell r="A1409">
            <v>6138</v>
          </cell>
        </row>
        <row r="1410">
          <cell r="A1410">
            <v>6139</v>
          </cell>
        </row>
        <row r="1411">
          <cell r="A1411">
            <v>6140</v>
          </cell>
        </row>
        <row r="1412">
          <cell r="A1412">
            <v>6141</v>
          </cell>
        </row>
        <row r="1413">
          <cell r="A1413">
            <v>6142</v>
          </cell>
        </row>
        <row r="1414">
          <cell r="A1414">
            <v>6143</v>
          </cell>
        </row>
        <row r="1415">
          <cell r="A1415">
            <v>6144</v>
          </cell>
        </row>
        <row r="1416">
          <cell r="A1416">
            <v>6145</v>
          </cell>
        </row>
        <row r="1417">
          <cell r="A1417">
            <v>6146</v>
          </cell>
        </row>
        <row r="1418">
          <cell r="A1418">
            <v>6147</v>
          </cell>
        </row>
        <row r="1419">
          <cell r="A1419">
            <v>6148</v>
          </cell>
        </row>
        <row r="1420">
          <cell r="A1420">
            <v>6149</v>
          </cell>
        </row>
        <row r="1421">
          <cell r="A1421">
            <v>6150</v>
          </cell>
        </row>
        <row r="1422">
          <cell r="A1422">
            <v>6151</v>
          </cell>
        </row>
        <row r="1423">
          <cell r="A1423">
            <v>6152</v>
          </cell>
        </row>
        <row r="1424">
          <cell r="A1424">
            <v>6153</v>
          </cell>
        </row>
        <row r="1425">
          <cell r="A1425">
            <v>6154</v>
          </cell>
        </row>
        <row r="1426">
          <cell r="A1426">
            <v>6155</v>
          </cell>
        </row>
        <row r="1427">
          <cell r="A1427">
            <v>6156</v>
          </cell>
        </row>
        <row r="1428">
          <cell r="A1428">
            <v>6186</v>
          </cell>
        </row>
        <row r="1429">
          <cell r="A1429">
            <v>6187</v>
          </cell>
        </row>
        <row r="1430">
          <cell r="A1430">
            <v>6188</v>
          </cell>
        </row>
        <row r="1431">
          <cell r="A1431">
            <v>6189</v>
          </cell>
        </row>
        <row r="1432">
          <cell r="A1432">
            <v>6190</v>
          </cell>
        </row>
        <row r="1433">
          <cell r="A1433">
            <v>6191</v>
          </cell>
        </row>
        <row r="1434">
          <cell r="A1434">
            <v>6192</v>
          </cell>
        </row>
        <row r="1435">
          <cell r="A1435">
            <v>6193</v>
          </cell>
        </row>
        <row r="1436">
          <cell r="A1436">
            <v>6194</v>
          </cell>
        </row>
        <row r="1437">
          <cell r="A1437">
            <v>6195</v>
          </cell>
        </row>
        <row r="1438">
          <cell r="A1438">
            <v>6196</v>
          </cell>
        </row>
        <row r="1439">
          <cell r="A1439">
            <v>6197</v>
          </cell>
        </row>
        <row r="1440">
          <cell r="A1440">
            <v>6198</v>
          </cell>
        </row>
        <row r="1441">
          <cell r="A1441">
            <v>6199</v>
          </cell>
        </row>
        <row r="1442">
          <cell r="A1442">
            <v>6200</v>
          </cell>
        </row>
        <row r="1443">
          <cell r="A1443">
            <v>6201</v>
          </cell>
        </row>
        <row r="1444">
          <cell r="A1444">
            <v>6202</v>
          </cell>
        </row>
        <row r="1445">
          <cell r="A1445">
            <v>6203</v>
          </cell>
        </row>
        <row r="1446">
          <cell r="A1446">
            <v>6204</v>
          </cell>
        </row>
        <row r="1447">
          <cell r="A1447">
            <v>6205</v>
          </cell>
        </row>
        <row r="1448">
          <cell r="A1448">
            <v>6206</v>
          </cell>
        </row>
        <row r="1449">
          <cell r="A1449">
            <v>6207</v>
          </cell>
        </row>
        <row r="1450">
          <cell r="A1450">
            <v>6208</v>
          </cell>
        </row>
        <row r="1451">
          <cell r="A1451">
            <v>6209</v>
          </cell>
        </row>
        <row r="1452">
          <cell r="A1452">
            <v>6210</v>
          </cell>
        </row>
        <row r="1453">
          <cell r="A1453">
            <v>6211</v>
          </cell>
        </row>
        <row r="1454">
          <cell r="A1454">
            <v>6212</v>
          </cell>
        </row>
        <row r="1455">
          <cell r="A1455">
            <v>6213</v>
          </cell>
        </row>
        <row r="1456">
          <cell r="A1456">
            <v>6214</v>
          </cell>
        </row>
        <row r="1457">
          <cell r="A1457">
            <v>6215</v>
          </cell>
        </row>
        <row r="1458">
          <cell r="A1458">
            <v>6216</v>
          </cell>
        </row>
        <row r="1459">
          <cell r="A1459">
            <v>6217</v>
          </cell>
        </row>
        <row r="1460">
          <cell r="A1460">
            <v>6218</v>
          </cell>
        </row>
        <row r="1461">
          <cell r="A1461">
            <v>6219</v>
          </cell>
        </row>
        <row r="1462">
          <cell r="A1462">
            <v>6220</v>
          </cell>
        </row>
        <row r="1463">
          <cell r="A1463">
            <v>6221</v>
          </cell>
        </row>
        <row r="1464">
          <cell r="A1464">
            <v>6222</v>
          </cell>
        </row>
        <row r="1465">
          <cell r="A1465">
            <v>6223</v>
          </cell>
        </row>
        <row r="1466">
          <cell r="A1466">
            <v>6224</v>
          </cell>
        </row>
        <row r="1467">
          <cell r="A1467">
            <v>6225</v>
          </cell>
        </row>
        <row r="1468">
          <cell r="A1468">
            <v>6226</v>
          </cell>
        </row>
        <row r="1469">
          <cell r="A1469">
            <v>6227</v>
          </cell>
        </row>
        <row r="1470">
          <cell r="A1470">
            <v>6228</v>
          </cell>
        </row>
        <row r="1471">
          <cell r="A1471">
            <v>6255</v>
          </cell>
        </row>
        <row r="1472">
          <cell r="A1472">
            <v>6256</v>
          </cell>
        </row>
        <row r="1473">
          <cell r="A1473">
            <v>6257</v>
          </cell>
        </row>
        <row r="1474">
          <cell r="A1474">
            <v>6258</v>
          </cell>
        </row>
        <row r="1475">
          <cell r="A1475">
            <v>6260</v>
          </cell>
        </row>
        <row r="1476">
          <cell r="A1476">
            <v>6261</v>
          </cell>
        </row>
        <row r="1477">
          <cell r="A1477">
            <v>6263</v>
          </cell>
        </row>
        <row r="1478">
          <cell r="A1478">
            <v>6264</v>
          </cell>
        </row>
        <row r="1479">
          <cell r="A1479">
            <v>6265</v>
          </cell>
        </row>
        <row r="1480">
          <cell r="A1480">
            <v>6266</v>
          </cell>
        </row>
        <row r="1481">
          <cell r="A1481">
            <v>6267</v>
          </cell>
        </row>
        <row r="1482">
          <cell r="A1482">
            <v>6268</v>
          </cell>
        </row>
        <row r="1483">
          <cell r="A1483">
            <v>6269</v>
          </cell>
        </row>
        <row r="1484">
          <cell r="A1484">
            <v>6270</v>
          </cell>
        </row>
        <row r="1485">
          <cell r="A1485">
            <v>6272</v>
          </cell>
        </row>
        <row r="1486">
          <cell r="A1486">
            <v>6273</v>
          </cell>
        </row>
        <row r="1487">
          <cell r="A1487">
            <v>6274</v>
          </cell>
        </row>
        <row r="1488">
          <cell r="A1488">
            <v>6275</v>
          </cell>
        </row>
        <row r="1489">
          <cell r="A1489">
            <v>6276</v>
          </cell>
        </row>
        <row r="1490">
          <cell r="A1490">
            <v>6277</v>
          </cell>
        </row>
        <row r="1491">
          <cell r="A1491">
            <v>6278</v>
          </cell>
        </row>
        <row r="1492">
          <cell r="A1492">
            <v>6279</v>
          </cell>
        </row>
        <row r="1493">
          <cell r="A1493">
            <v>6280</v>
          </cell>
        </row>
        <row r="1494">
          <cell r="A1494">
            <v>6281</v>
          </cell>
        </row>
        <row r="1495">
          <cell r="A1495">
            <v>6282</v>
          </cell>
        </row>
        <row r="1496">
          <cell r="A1496">
            <v>6283</v>
          </cell>
        </row>
        <row r="1497">
          <cell r="A1497">
            <v>6284</v>
          </cell>
        </row>
        <row r="1498">
          <cell r="A1498">
            <v>6285</v>
          </cell>
        </row>
        <row r="1499">
          <cell r="A1499">
            <v>6286</v>
          </cell>
        </row>
        <row r="1500">
          <cell r="A1500">
            <v>6287</v>
          </cell>
        </row>
        <row r="1501">
          <cell r="A1501">
            <v>6288</v>
          </cell>
        </row>
        <row r="1502">
          <cell r="A1502">
            <v>6289</v>
          </cell>
        </row>
        <row r="1503">
          <cell r="A1503">
            <v>6290</v>
          </cell>
        </row>
        <row r="1504">
          <cell r="A1504">
            <v>6291</v>
          </cell>
        </row>
        <row r="1505">
          <cell r="A1505">
            <v>6292</v>
          </cell>
        </row>
        <row r="1506">
          <cell r="A1506">
            <v>6293</v>
          </cell>
        </row>
        <row r="1507">
          <cell r="A1507">
            <v>6294</v>
          </cell>
        </row>
        <row r="1508">
          <cell r="A1508">
            <v>6295</v>
          </cell>
        </row>
        <row r="1509">
          <cell r="A1509">
            <v>6296</v>
          </cell>
        </row>
        <row r="1510">
          <cell r="A1510">
            <v>6297</v>
          </cell>
        </row>
        <row r="1511">
          <cell r="A1511">
            <v>6333</v>
          </cell>
        </row>
        <row r="1512">
          <cell r="A1512">
            <v>6334.2</v>
          </cell>
        </row>
        <row r="1513">
          <cell r="A1513">
            <v>6335</v>
          </cell>
        </row>
        <row r="1514">
          <cell r="A1514">
            <v>6336</v>
          </cell>
        </row>
        <row r="1515">
          <cell r="A1515">
            <v>6342</v>
          </cell>
        </row>
        <row r="1516">
          <cell r="A1516">
            <v>6343</v>
          </cell>
        </row>
        <row r="1517">
          <cell r="A1517">
            <v>6344</v>
          </cell>
        </row>
        <row r="1518">
          <cell r="A1518">
            <v>6345</v>
          </cell>
        </row>
        <row r="1519">
          <cell r="A1519">
            <v>6346</v>
          </cell>
        </row>
        <row r="1520">
          <cell r="A1520">
            <v>6347</v>
          </cell>
        </row>
        <row r="1521">
          <cell r="A1521">
            <v>6348</v>
          </cell>
        </row>
        <row r="1522">
          <cell r="A1522">
            <v>6349</v>
          </cell>
        </row>
        <row r="1523">
          <cell r="A1523">
            <v>6350</v>
          </cell>
        </row>
        <row r="1524">
          <cell r="A1524">
            <v>6351</v>
          </cell>
        </row>
        <row r="1525">
          <cell r="A1525">
            <v>6352</v>
          </cell>
        </row>
        <row r="1526">
          <cell r="A1526">
            <v>6353</v>
          </cell>
        </row>
        <row r="1527">
          <cell r="A1527">
            <v>6354</v>
          </cell>
        </row>
        <row r="1528">
          <cell r="A1528">
            <v>6355</v>
          </cell>
        </row>
        <row r="1529">
          <cell r="A1529">
            <v>6356</v>
          </cell>
        </row>
        <row r="1530">
          <cell r="A1530">
            <v>6357</v>
          </cell>
        </row>
        <row r="1531">
          <cell r="A1531">
            <v>6358</v>
          </cell>
        </row>
        <row r="1532">
          <cell r="A1532">
            <v>6359</v>
          </cell>
        </row>
        <row r="1533">
          <cell r="A1533">
            <v>6360</v>
          </cell>
        </row>
        <row r="1534">
          <cell r="A1534">
            <v>6361</v>
          </cell>
        </row>
        <row r="1535">
          <cell r="A1535">
            <v>6362</v>
          </cell>
        </row>
        <row r="1536">
          <cell r="A1536">
            <v>6363</v>
          </cell>
        </row>
        <row r="1537">
          <cell r="A1537">
            <v>6364</v>
          </cell>
        </row>
        <row r="1538">
          <cell r="A1538">
            <v>6365</v>
          </cell>
        </row>
        <row r="1539">
          <cell r="A1539">
            <v>6366</v>
          </cell>
        </row>
        <row r="1540">
          <cell r="A1540">
            <v>6367</v>
          </cell>
        </row>
        <row r="1541">
          <cell r="A1541">
            <v>6368</v>
          </cell>
        </row>
        <row r="1542">
          <cell r="A1542">
            <v>6412</v>
          </cell>
        </row>
        <row r="1543">
          <cell r="A1543">
            <v>6413</v>
          </cell>
        </row>
        <row r="1544">
          <cell r="A1544">
            <v>6414</v>
          </cell>
        </row>
        <row r="1545">
          <cell r="A1545">
            <v>6415</v>
          </cell>
        </row>
        <row r="1546">
          <cell r="A1546">
            <v>6416</v>
          </cell>
        </row>
        <row r="1547">
          <cell r="A1547">
            <v>6417</v>
          </cell>
        </row>
        <row r="1548">
          <cell r="A1548">
            <v>6418</v>
          </cell>
        </row>
        <row r="1549">
          <cell r="A1549">
            <v>6419</v>
          </cell>
        </row>
        <row r="1550">
          <cell r="A1550">
            <v>6420</v>
          </cell>
        </row>
        <row r="1551">
          <cell r="A1551">
            <v>6421</v>
          </cell>
        </row>
        <row r="1552">
          <cell r="A1552">
            <v>6422</v>
          </cell>
        </row>
        <row r="1553">
          <cell r="A1553">
            <v>6423</v>
          </cell>
        </row>
        <row r="1554">
          <cell r="A1554">
            <v>6424</v>
          </cell>
        </row>
        <row r="1555">
          <cell r="A1555">
            <v>6425</v>
          </cell>
        </row>
        <row r="1556">
          <cell r="A1556">
            <v>6426</v>
          </cell>
        </row>
        <row r="1557">
          <cell r="A1557">
            <v>6427</v>
          </cell>
        </row>
        <row r="1558">
          <cell r="A1558">
            <v>6428</v>
          </cell>
        </row>
        <row r="1559">
          <cell r="A1559">
            <v>6429</v>
          </cell>
        </row>
        <row r="1560">
          <cell r="A1560">
            <v>6430</v>
          </cell>
        </row>
        <row r="1561">
          <cell r="A1561">
            <v>6431</v>
          </cell>
        </row>
        <row r="1562">
          <cell r="A1562">
            <v>6432</v>
          </cell>
        </row>
        <row r="1563">
          <cell r="A1563">
            <v>6433</v>
          </cell>
        </row>
        <row r="1564">
          <cell r="A1564">
            <v>6434</v>
          </cell>
        </row>
        <row r="1565">
          <cell r="A1565">
            <v>6435</v>
          </cell>
        </row>
        <row r="1566">
          <cell r="A1566">
            <v>6436</v>
          </cell>
        </row>
        <row r="1567">
          <cell r="A1567">
            <v>6437</v>
          </cell>
        </row>
        <row r="1568">
          <cell r="A1568">
            <v>6438</v>
          </cell>
        </row>
        <row r="1569">
          <cell r="A1569">
            <v>6481</v>
          </cell>
        </row>
        <row r="1570">
          <cell r="A1570">
            <v>6482</v>
          </cell>
        </row>
        <row r="1571">
          <cell r="A1571">
            <v>6483</v>
          </cell>
        </row>
        <row r="1572">
          <cell r="A1572">
            <v>6484</v>
          </cell>
        </row>
        <row r="1573">
          <cell r="A1573">
            <v>6485</v>
          </cell>
        </row>
        <row r="1574">
          <cell r="A1574">
            <v>6486</v>
          </cell>
        </row>
        <row r="1575">
          <cell r="A1575">
            <v>6487</v>
          </cell>
        </row>
        <row r="1576">
          <cell r="A1576">
            <v>6488</v>
          </cell>
        </row>
        <row r="1577">
          <cell r="A1577">
            <v>6489</v>
          </cell>
        </row>
        <row r="1578">
          <cell r="A1578">
            <v>6490</v>
          </cell>
        </row>
        <row r="1579">
          <cell r="A1579">
            <v>6491</v>
          </cell>
        </row>
        <row r="1580">
          <cell r="A1580">
            <v>6492</v>
          </cell>
        </row>
        <row r="1581">
          <cell r="A1581">
            <v>6493</v>
          </cell>
        </row>
        <row r="1582">
          <cell r="A1582">
            <v>6494</v>
          </cell>
        </row>
        <row r="1583">
          <cell r="A1583">
            <v>6495</v>
          </cell>
        </row>
        <row r="1584">
          <cell r="A1584">
            <v>6496</v>
          </cell>
        </row>
        <row r="1585">
          <cell r="A1585">
            <v>6497</v>
          </cell>
        </row>
        <row r="1586">
          <cell r="A1586">
            <v>6498</v>
          </cell>
        </row>
        <row r="1587">
          <cell r="A1587">
            <v>6499</v>
          </cell>
        </row>
        <row r="1588">
          <cell r="A1588">
            <v>6500</v>
          </cell>
        </row>
        <row r="1589">
          <cell r="A1589">
            <v>6501</v>
          </cell>
        </row>
        <row r="1590">
          <cell r="A1590">
            <v>6502</v>
          </cell>
        </row>
        <row r="1591">
          <cell r="A1591">
            <v>6503</v>
          </cell>
        </row>
        <row r="1592">
          <cell r="A1592">
            <v>6504</v>
          </cell>
        </row>
        <row r="1593">
          <cell r="A1593">
            <v>6505</v>
          </cell>
        </row>
        <row r="1594">
          <cell r="A1594">
            <v>6506</v>
          </cell>
        </row>
        <row r="1595">
          <cell r="A1595">
            <v>6507</v>
          </cell>
        </row>
        <row r="1596">
          <cell r="A1596">
            <v>6508</v>
          </cell>
        </row>
        <row r="1597">
          <cell r="A1597">
            <v>6552</v>
          </cell>
        </row>
        <row r="1598">
          <cell r="A1598">
            <v>6553</v>
          </cell>
        </row>
        <row r="1599">
          <cell r="A1599">
            <v>6554</v>
          </cell>
        </row>
        <row r="1600">
          <cell r="A1600">
            <v>6555</v>
          </cell>
        </row>
        <row r="1601">
          <cell r="A1601">
            <v>6556</v>
          </cell>
        </row>
        <row r="1602">
          <cell r="A1602">
            <v>6557</v>
          </cell>
        </row>
        <row r="1603">
          <cell r="A1603">
            <v>6558</v>
          </cell>
        </row>
        <row r="1604">
          <cell r="A1604">
            <v>6559</v>
          </cell>
        </row>
        <row r="1605">
          <cell r="A1605">
            <v>6560</v>
          </cell>
        </row>
        <row r="1606">
          <cell r="A1606">
            <v>6561</v>
          </cell>
        </row>
        <row r="1607">
          <cell r="A1607">
            <v>6562</v>
          </cell>
        </row>
        <row r="1608">
          <cell r="A1608">
            <v>6563</v>
          </cell>
        </row>
        <row r="1609">
          <cell r="A1609">
            <v>6564</v>
          </cell>
        </row>
        <row r="1610">
          <cell r="A1610">
            <v>6565</v>
          </cell>
        </row>
        <row r="1611">
          <cell r="A1611">
            <v>6566</v>
          </cell>
        </row>
        <row r="1612">
          <cell r="A1612">
            <v>6567</v>
          </cell>
        </row>
        <row r="1613">
          <cell r="A1613">
            <v>6568</v>
          </cell>
        </row>
        <row r="1614">
          <cell r="A1614">
            <v>6569</v>
          </cell>
        </row>
        <row r="1615">
          <cell r="A1615">
            <v>6570</v>
          </cell>
        </row>
        <row r="1616">
          <cell r="A1616">
            <v>6571</v>
          </cell>
        </row>
        <row r="1617">
          <cell r="A1617">
            <v>6572</v>
          </cell>
        </row>
        <row r="1618">
          <cell r="A1618">
            <v>6573</v>
          </cell>
        </row>
        <row r="1619">
          <cell r="A1619">
            <v>6574</v>
          </cell>
        </row>
        <row r="1620">
          <cell r="A1620">
            <v>6575</v>
          </cell>
        </row>
        <row r="1621">
          <cell r="A1621">
            <v>6576</v>
          </cell>
        </row>
        <row r="1622">
          <cell r="A1622">
            <v>6577</v>
          </cell>
        </row>
        <row r="1623">
          <cell r="A1623">
            <v>6578</v>
          </cell>
        </row>
        <row r="1624">
          <cell r="A1624">
            <v>6579</v>
          </cell>
        </row>
        <row r="1625">
          <cell r="A1625">
            <v>6623</v>
          </cell>
        </row>
        <row r="1626">
          <cell r="A1626">
            <v>6624</v>
          </cell>
        </row>
        <row r="1627">
          <cell r="A1627">
            <v>6625</v>
          </cell>
        </row>
        <row r="1628">
          <cell r="A1628">
            <v>6626</v>
          </cell>
        </row>
        <row r="1629">
          <cell r="A1629">
            <v>6627</v>
          </cell>
        </row>
        <row r="1630">
          <cell r="A1630">
            <v>6628</v>
          </cell>
        </row>
        <row r="1631">
          <cell r="A1631">
            <v>6629</v>
          </cell>
        </row>
        <row r="1632">
          <cell r="A1632">
            <v>6630</v>
          </cell>
        </row>
        <row r="1633">
          <cell r="A1633">
            <v>6631</v>
          </cell>
        </row>
        <row r="1634">
          <cell r="A1634">
            <v>6632</v>
          </cell>
        </row>
        <row r="1635">
          <cell r="A1635">
            <v>6633</v>
          </cell>
        </row>
        <row r="1636">
          <cell r="A1636">
            <v>6634</v>
          </cell>
        </row>
        <row r="1637">
          <cell r="A1637">
            <v>6635</v>
          </cell>
        </row>
        <row r="1638">
          <cell r="A1638">
            <v>6636</v>
          </cell>
        </row>
        <row r="1639">
          <cell r="A1639">
            <v>6637</v>
          </cell>
        </row>
        <row r="1640">
          <cell r="A1640">
            <v>6638</v>
          </cell>
        </row>
        <row r="1641">
          <cell r="A1641">
            <v>6638.2</v>
          </cell>
        </row>
        <row r="1642">
          <cell r="A1642">
            <v>6639</v>
          </cell>
        </row>
        <row r="1643">
          <cell r="A1643">
            <v>6640</v>
          </cell>
        </row>
        <row r="1644">
          <cell r="A1644">
            <v>6641</v>
          </cell>
        </row>
        <row r="1645">
          <cell r="A1645">
            <v>6642</v>
          </cell>
        </row>
        <row r="1646">
          <cell r="A1646">
            <v>6643</v>
          </cell>
        </row>
        <row r="1647">
          <cell r="A1647">
            <v>6644</v>
          </cell>
        </row>
        <row r="1648">
          <cell r="A1648">
            <v>6645</v>
          </cell>
        </row>
        <row r="1649">
          <cell r="A1649">
            <v>6646</v>
          </cell>
        </row>
        <row r="1650">
          <cell r="A1650">
            <v>6647</v>
          </cell>
        </row>
        <row r="1651">
          <cell r="A1651">
            <v>6648</v>
          </cell>
        </row>
        <row r="1652">
          <cell r="A1652">
            <v>6649</v>
          </cell>
        </row>
        <row r="1653">
          <cell r="A1653">
            <v>6650</v>
          </cell>
        </row>
        <row r="1654">
          <cell r="A1654">
            <v>6651</v>
          </cell>
        </row>
        <row r="1655">
          <cell r="A1655">
            <v>6701</v>
          </cell>
        </row>
        <row r="1656">
          <cell r="A1656">
            <v>6702</v>
          </cell>
        </row>
        <row r="1657">
          <cell r="A1657">
            <v>6703</v>
          </cell>
        </row>
        <row r="1658">
          <cell r="A1658">
            <v>6704</v>
          </cell>
        </row>
        <row r="1659">
          <cell r="A1659">
            <v>6705</v>
          </cell>
        </row>
        <row r="1660">
          <cell r="A1660">
            <v>6706</v>
          </cell>
        </row>
        <row r="1661">
          <cell r="A1661">
            <v>6707</v>
          </cell>
        </row>
        <row r="1662">
          <cell r="A1662">
            <v>6708</v>
          </cell>
        </row>
        <row r="1663">
          <cell r="A1663">
            <v>6709</v>
          </cell>
        </row>
        <row r="1664">
          <cell r="A1664">
            <v>6710</v>
          </cell>
        </row>
        <row r="1665">
          <cell r="A1665">
            <v>6711</v>
          </cell>
        </row>
        <row r="1666">
          <cell r="A1666">
            <v>6712</v>
          </cell>
        </row>
        <row r="1667">
          <cell r="A1667">
            <v>6713</v>
          </cell>
        </row>
        <row r="1668">
          <cell r="A1668">
            <v>6714</v>
          </cell>
        </row>
        <row r="1669">
          <cell r="A1669">
            <v>6715</v>
          </cell>
        </row>
        <row r="1670">
          <cell r="A1670">
            <v>6716</v>
          </cell>
        </row>
        <row r="1671">
          <cell r="A1671">
            <v>6717</v>
          </cell>
        </row>
        <row r="1672">
          <cell r="A1672">
            <v>6718</v>
          </cell>
        </row>
        <row r="1673">
          <cell r="A1673">
            <v>6719</v>
          </cell>
        </row>
        <row r="1674">
          <cell r="A1674">
            <v>6720</v>
          </cell>
        </row>
        <row r="1675">
          <cell r="A1675">
            <v>6721</v>
          </cell>
        </row>
        <row r="1676">
          <cell r="A1676">
            <v>6722</v>
          </cell>
        </row>
        <row r="1677">
          <cell r="A1677">
            <v>6723</v>
          </cell>
        </row>
        <row r="1678">
          <cell r="A1678">
            <v>6724</v>
          </cell>
        </row>
        <row r="1679">
          <cell r="A1679">
            <v>6776</v>
          </cell>
        </row>
        <row r="1680">
          <cell r="A1680">
            <v>6777</v>
          </cell>
        </row>
        <row r="1681">
          <cell r="A1681">
            <v>6778</v>
          </cell>
        </row>
        <row r="1682">
          <cell r="A1682">
            <v>6779</v>
          </cell>
        </row>
        <row r="1683">
          <cell r="A1683">
            <v>6780</v>
          </cell>
        </row>
        <row r="1684">
          <cell r="A1684">
            <v>6781</v>
          </cell>
        </row>
        <row r="1685">
          <cell r="A1685">
            <v>6782</v>
          </cell>
        </row>
        <row r="1686">
          <cell r="A1686">
            <v>6783</v>
          </cell>
        </row>
        <row r="1687">
          <cell r="A1687">
            <v>6784</v>
          </cell>
        </row>
        <row r="1688">
          <cell r="A1688">
            <v>6785</v>
          </cell>
        </row>
        <row r="1689">
          <cell r="A1689">
            <v>6786</v>
          </cell>
        </row>
        <row r="1690">
          <cell r="A1690">
            <v>6787</v>
          </cell>
        </row>
        <row r="1691">
          <cell r="A1691">
            <v>6788</v>
          </cell>
        </row>
        <row r="1692">
          <cell r="A1692">
            <v>6789</v>
          </cell>
        </row>
        <row r="1693">
          <cell r="A1693">
            <v>6790</v>
          </cell>
        </row>
        <row r="1694">
          <cell r="A1694">
            <v>6791</v>
          </cell>
        </row>
        <row r="1695">
          <cell r="A1695">
            <v>6792</v>
          </cell>
        </row>
        <row r="1696">
          <cell r="A1696">
            <v>6793</v>
          </cell>
        </row>
        <row r="1697">
          <cell r="A1697">
            <v>6794</v>
          </cell>
        </row>
        <row r="1698">
          <cell r="A1698">
            <v>6795</v>
          </cell>
        </row>
        <row r="1699">
          <cell r="A1699">
            <v>6796</v>
          </cell>
        </row>
        <row r="1700">
          <cell r="A1700">
            <v>6797</v>
          </cell>
        </row>
        <row r="1701">
          <cell r="A1701">
            <v>6798</v>
          </cell>
        </row>
        <row r="1702">
          <cell r="A1702">
            <v>6799</v>
          </cell>
        </row>
        <row r="1703">
          <cell r="A1703">
            <v>6800</v>
          </cell>
        </row>
        <row r="1704">
          <cell r="A1704">
            <v>6801</v>
          </cell>
        </row>
        <row r="1705">
          <cell r="A1705">
            <v>6802</v>
          </cell>
        </row>
        <row r="1706">
          <cell r="A1706">
            <v>6803</v>
          </cell>
        </row>
        <row r="1707">
          <cell r="A1707">
            <v>6804</v>
          </cell>
        </row>
        <row r="1708">
          <cell r="A1708">
            <v>6857</v>
          </cell>
        </row>
        <row r="1709">
          <cell r="A1709">
            <v>6858</v>
          </cell>
        </row>
        <row r="1710">
          <cell r="A1710">
            <v>6859</v>
          </cell>
        </row>
        <row r="1711">
          <cell r="A1711">
            <v>6860</v>
          </cell>
        </row>
        <row r="1712">
          <cell r="A1712">
            <v>6861</v>
          </cell>
        </row>
        <row r="1713">
          <cell r="A1713">
            <v>6862</v>
          </cell>
        </row>
        <row r="1714">
          <cell r="A1714">
            <v>6863</v>
          </cell>
        </row>
        <row r="1715">
          <cell r="A1715">
            <v>6864</v>
          </cell>
        </row>
        <row r="1716">
          <cell r="A1716">
            <v>6865</v>
          </cell>
        </row>
        <row r="1717">
          <cell r="A1717">
            <v>6866</v>
          </cell>
        </row>
        <row r="1718">
          <cell r="A1718">
            <v>6867</v>
          </cell>
        </row>
        <row r="1719">
          <cell r="A1719">
            <v>6868</v>
          </cell>
        </row>
        <row r="1720">
          <cell r="A1720">
            <v>6869</v>
          </cell>
        </row>
        <row r="1721">
          <cell r="A1721">
            <v>6870</v>
          </cell>
        </row>
        <row r="1722">
          <cell r="A1722">
            <v>6871</v>
          </cell>
        </row>
        <row r="1723">
          <cell r="A1723">
            <v>6872</v>
          </cell>
        </row>
        <row r="1724">
          <cell r="A1724">
            <v>6873</v>
          </cell>
        </row>
        <row r="1725">
          <cell r="A1725">
            <v>6874</v>
          </cell>
        </row>
        <row r="1726">
          <cell r="A1726">
            <v>6875</v>
          </cell>
        </row>
        <row r="1727">
          <cell r="A1727">
            <v>6876</v>
          </cell>
        </row>
        <row r="1728">
          <cell r="A1728">
            <v>6877</v>
          </cell>
        </row>
        <row r="1729">
          <cell r="A1729">
            <v>6878</v>
          </cell>
        </row>
        <row r="1730">
          <cell r="A1730">
            <v>6879</v>
          </cell>
        </row>
        <row r="1731">
          <cell r="A1731">
            <v>6880</v>
          </cell>
        </row>
        <row r="1732">
          <cell r="A1732">
            <v>6881</v>
          </cell>
        </row>
        <row r="1733">
          <cell r="A1733">
            <v>6882</v>
          </cell>
        </row>
        <row r="1734">
          <cell r="A1734">
            <v>6883</v>
          </cell>
        </row>
        <row r="1735">
          <cell r="A1735">
            <v>6944</v>
          </cell>
        </row>
        <row r="1736">
          <cell r="A1736">
            <v>6946</v>
          </cell>
        </row>
        <row r="1737">
          <cell r="A1737">
            <v>6947</v>
          </cell>
        </row>
        <row r="1738">
          <cell r="A1738">
            <v>6948</v>
          </cell>
        </row>
        <row r="1739">
          <cell r="A1739">
            <v>6949</v>
          </cell>
        </row>
        <row r="1740">
          <cell r="A1740">
            <v>6950</v>
          </cell>
        </row>
        <row r="1741">
          <cell r="A1741">
            <v>6951</v>
          </cell>
        </row>
        <row r="1742">
          <cell r="A1742">
            <v>6952</v>
          </cell>
        </row>
        <row r="1743">
          <cell r="A1743">
            <v>6953</v>
          </cell>
        </row>
        <row r="1744">
          <cell r="A1744">
            <v>6954</v>
          </cell>
        </row>
        <row r="1745">
          <cell r="A1745">
            <v>6955</v>
          </cell>
        </row>
        <row r="1746">
          <cell r="A1746">
            <v>6956</v>
          </cell>
        </row>
        <row r="1747">
          <cell r="A1747">
            <v>6957</v>
          </cell>
        </row>
        <row r="1748">
          <cell r="A1748">
            <v>6958</v>
          </cell>
        </row>
        <row r="1749">
          <cell r="A1749">
            <v>6959</v>
          </cell>
        </row>
        <row r="1750">
          <cell r="A1750">
            <v>6960</v>
          </cell>
        </row>
        <row r="1751">
          <cell r="A1751">
            <v>6961</v>
          </cell>
        </row>
        <row r="1752">
          <cell r="A1752">
            <v>6962</v>
          </cell>
        </row>
        <row r="1753">
          <cell r="A1753">
            <v>6963</v>
          </cell>
        </row>
        <row r="1754">
          <cell r="A1754">
            <v>6964</v>
          </cell>
        </row>
        <row r="1755">
          <cell r="A1755">
            <v>6965</v>
          </cell>
        </row>
        <row r="1756">
          <cell r="A1756">
            <v>6966</v>
          </cell>
        </row>
        <row r="1757">
          <cell r="A1757">
            <v>6967</v>
          </cell>
        </row>
        <row r="1758">
          <cell r="A1758">
            <v>6968</v>
          </cell>
        </row>
        <row r="1759">
          <cell r="A1759">
            <v>6969</v>
          </cell>
        </row>
        <row r="1760">
          <cell r="A1760">
            <v>6970</v>
          </cell>
        </row>
        <row r="1761">
          <cell r="A1761">
            <v>6971</v>
          </cell>
        </row>
        <row r="1762">
          <cell r="A1762">
            <v>7035</v>
          </cell>
        </row>
        <row r="1763">
          <cell r="A1763">
            <v>7036</v>
          </cell>
        </row>
        <row r="1764">
          <cell r="A1764">
            <v>7037</v>
          </cell>
        </row>
        <row r="1765">
          <cell r="A1765">
            <v>7038</v>
          </cell>
        </row>
        <row r="1766">
          <cell r="A1766">
            <v>7039</v>
          </cell>
        </row>
        <row r="1767">
          <cell r="A1767">
            <v>7040</v>
          </cell>
        </row>
        <row r="1768">
          <cell r="A1768">
            <v>7041</v>
          </cell>
        </row>
        <row r="1769">
          <cell r="A1769">
            <v>7042</v>
          </cell>
        </row>
        <row r="1770">
          <cell r="A1770">
            <v>7043</v>
          </cell>
        </row>
        <row r="1771">
          <cell r="A1771">
            <v>7044</v>
          </cell>
        </row>
        <row r="1772">
          <cell r="A1772">
            <v>7045</v>
          </cell>
        </row>
        <row r="1773">
          <cell r="A1773">
            <v>7046</v>
          </cell>
        </row>
        <row r="1774">
          <cell r="A1774">
            <v>7047</v>
          </cell>
        </row>
        <row r="1775">
          <cell r="A1775">
            <v>7048</v>
          </cell>
        </row>
        <row r="1776">
          <cell r="A1776">
            <v>7049</v>
          </cell>
        </row>
        <row r="1777">
          <cell r="A1777">
            <v>7050</v>
          </cell>
        </row>
        <row r="1778">
          <cell r="A1778">
            <v>7051</v>
          </cell>
        </row>
        <row r="1779">
          <cell r="A1779">
            <v>7052</v>
          </cell>
        </row>
        <row r="1780">
          <cell r="A1780">
            <v>7053</v>
          </cell>
        </row>
        <row r="1781">
          <cell r="A1781">
            <v>7054</v>
          </cell>
        </row>
        <row r="1782">
          <cell r="A1782">
            <v>7055</v>
          </cell>
        </row>
        <row r="1783">
          <cell r="A1783">
            <v>7056</v>
          </cell>
        </row>
        <row r="1784">
          <cell r="A1784">
            <v>7057</v>
          </cell>
        </row>
        <row r="1785">
          <cell r="A1785">
            <v>7058</v>
          </cell>
        </row>
        <row r="1786">
          <cell r="A1786">
            <v>7059</v>
          </cell>
        </row>
        <row r="1787">
          <cell r="A1787">
            <v>7060</v>
          </cell>
        </row>
        <row r="1788">
          <cell r="A1788">
            <v>7061</v>
          </cell>
        </row>
        <row r="1789">
          <cell r="A1789">
            <v>7062</v>
          </cell>
        </row>
        <row r="1790">
          <cell r="A1790">
            <v>7125</v>
          </cell>
        </row>
        <row r="1791">
          <cell r="A1791">
            <v>7126</v>
          </cell>
        </row>
        <row r="1792">
          <cell r="A1792">
            <v>7129</v>
          </cell>
        </row>
        <row r="1793">
          <cell r="A1793">
            <v>7130</v>
          </cell>
        </row>
        <row r="1794">
          <cell r="A1794">
            <v>7131</v>
          </cell>
        </row>
        <row r="1795">
          <cell r="A1795">
            <v>7132</v>
          </cell>
        </row>
        <row r="1796">
          <cell r="A1796">
            <v>7133</v>
          </cell>
        </row>
        <row r="1797">
          <cell r="A1797">
            <v>7134</v>
          </cell>
        </row>
        <row r="1798">
          <cell r="A1798">
            <v>7135</v>
          </cell>
        </row>
        <row r="1799">
          <cell r="A1799">
            <v>7136</v>
          </cell>
        </row>
        <row r="1800">
          <cell r="A1800">
            <v>7137</v>
          </cell>
        </row>
        <row r="1801">
          <cell r="A1801">
            <v>7138</v>
          </cell>
        </row>
        <row r="1802">
          <cell r="A1802">
            <v>7139</v>
          </cell>
        </row>
        <row r="1803">
          <cell r="A1803">
            <v>7140</v>
          </cell>
        </row>
        <row r="1804">
          <cell r="A1804">
            <v>7141</v>
          </cell>
        </row>
        <row r="1805">
          <cell r="A1805">
            <v>7142</v>
          </cell>
        </row>
        <row r="1806">
          <cell r="A1806">
            <v>7143</v>
          </cell>
        </row>
        <row r="1807">
          <cell r="A1807">
            <v>7144</v>
          </cell>
        </row>
        <row r="1808">
          <cell r="A1808">
            <v>7145</v>
          </cell>
        </row>
        <row r="1809">
          <cell r="A1809">
            <v>7146</v>
          </cell>
        </row>
        <row r="1810">
          <cell r="A1810">
            <v>7147</v>
          </cell>
        </row>
        <row r="1811">
          <cell r="A1811">
            <v>7148</v>
          </cell>
        </row>
        <row r="1812">
          <cell r="A1812">
            <v>7149</v>
          </cell>
        </row>
        <row r="1813">
          <cell r="A1813">
            <v>7150</v>
          </cell>
        </row>
        <row r="1814">
          <cell r="A1814">
            <v>7151</v>
          </cell>
        </row>
        <row r="1815">
          <cell r="A1815">
            <v>7221</v>
          </cell>
        </row>
        <row r="1816">
          <cell r="A1816">
            <v>7222</v>
          </cell>
        </row>
        <row r="1817">
          <cell r="A1817">
            <v>7223</v>
          </cell>
        </row>
        <row r="1818">
          <cell r="A1818">
            <v>7224</v>
          </cell>
        </row>
        <row r="1819">
          <cell r="A1819">
            <v>7225</v>
          </cell>
        </row>
        <row r="1820">
          <cell r="A1820">
            <v>7226</v>
          </cell>
        </row>
        <row r="1821">
          <cell r="A1821">
            <v>7227</v>
          </cell>
        </row>
        <row r="1822">
          <cell r="A1822">
            <v>7228</v>
          </cell>
        </row>
        <row r="1823">
          <cell r="A1823">
            <v>7229</v>
          </cell>
        </row>
        <row r="1824">
          <cell r="A1824">
            <v>7230</v>
          </cell>
        </row>
        <row r="1825">
          <cell r="A1825">
            <v>7231</v>
          </cell>
        </row>
        <row r="1826">
          <cell r="A1826">
            <v>7232</v>
          </cell>
        </row>
        <row r="1827">
          <cell r="A1827">
            <v>7233</v>
          </cell>
        </row>
        <row r="1828">
          <cell r="A1828">
            <v>7234</v>
          </cell>
        </row>
        <row r="1829">
          <cell r="A1829">
            <v>7235</v>
          </cell>
        </row>
        <row r="1830">
          <cell r="A1830">
            <v>7236</v>
          </cell>
        </row>
        <row r="1831">
          <cell r="A1831">
            <v>7237</v>
          </cell>
        </row>
        <row r="1832">
          <cell r="A1832">
            <v>7238</v>
          </cell>
        </row>
        <row r="1833">
          <cell r="A1833">
            <v>7239</v>
          </cell>
        </row>
        <row r="1834">
          <cell r="A1834">
            <v>7240</v>
          </cell>
        </row>
        <row r="1835">
          <cell r="A1835">
            <v>7241</v>
          </cell>
        </row>
        <row r="1836">
          <cell r="A1836">
            <v>7242</v>
          </cell>
        </row>
        <row r="1837">
          <cell r="A1837">
            <v>7313</v>
          </cell>
        </row>
        <row r="1838">
          <cell r="A1838">
            <v>7314</v>
          </cell>
        </row>
        <row r="1839">
          <cell r="A1839">
            <v>7315</v>
          </cell>
        </row>
        <row r="1840">
          <cell r="A1840">
            <v>7316</v>
          </cell>
        </row>
        <row r="1841">
          <cell r="A1841">
            <v>7317</v>
          </cell>
        </row>
        <row r="1842">
          <cell r="A1842">
            <v>7318</v>
          </cell>
        </row>
        <row r="1843">
          <cell r="A1843">
            <v>7319</v>
          </cell>
        </row>
        <row r="1844">
          <cell r="A1844">
            <v>7320</v>
          </cell>
        </row>
        <row r="1845">
          <cell r="A1845">
            <v>7321</v>
          </cell>
        </row>
        <row r="1846">
          <cell r="A1846">
            <v>7322</v>
          </cell>
        </row>
        <row r="1847">
          <cell r="A1847">
            <v>7323</v>
          </cell>
        </row>
        <row r="1848">
          <cell r="A1848">
            <v>7324</v>
          </cell>
        </row>
        <row r="1849">
          <cell r="A1849">
            <v>7325</v>
          </cell>
        </row>
        <row r="1850">
          <cell r="A1850">
            <v>7326</v>
          </cell>
        </row>
        <row r="1851">
          <cell r="A1851">
            <v>7327</v>
          </cell>
        </row>
        <row r="1852">
          <cell r="A1852">
            <v>7328</v>
          </cell>
        </row>
        <row r="1853">
          <cell r="A1853">
            <v>7329</v>
          </cell>
        </row>
        <row r="1854">
          <cell r="A1854">
            <v>7330</v>
          </cell>
        </row>
        <row r="1855">
          <cell r="A1855">
            <v>7331</v>
          </cell>
        </row>
        <row r="1856">
          <cell r="A1856">
            <v>7332</v>
          </cell>
        </row>
        <row r="1857">
          <cell r="A1857">
            <v>7333</v>
          </cell>
        </row>
        <row r="1858">
          <cell r="A1858">
            <v>7334</v>
          </cell>
        </row>
        <row r="1859">
          <cell r="A1859">
            <v>7335</v>
          </cell>
        </row>
        <row r="1860">
          <cell r="A1860">
            <v>7336</v>
          </cell>
        </row>
        <row r="1861">
          <cell r="A1861">
            <v>7410</v>
          </cell>
        </row>
        <row r="1862">
          <cell r="A1862">
            <v>7411</v>
          </cell>
        </row>
        <row r="1863">
          <cell r="A1863">
            <v>7412</v>
          </cell>
        </row>
        <row r="1864">
          <cell r="A1864">
            <v>7413</v>
          </cell>
        </row>
        <row r="1865">
          <cell r="A1865">
            <v>7414</v>
          </cell>
        </row>
        <row r="1866">
          <cell r="A1866">
            <v>7415</v>
          </cell>
        </row>
        <row r="1867">
          <cell r="A1867">
            <v>7416</v>
          </cell>
        </row>
        <row r="1868">
          <cell r="A1868">
            <v>7417</v>
          </cell>
        </row>
        <row r="1869">
          <cell r="A1869">
            <v>7418</v>
          </cell>
        </row>
        <row r="1870">
          <cell r="A1870">
            <v>7419</v>
          </cell>
        </row>
        <row r="1871">
          <cell r="A1871">
            <v>7420</v>
          </cell>
        </row>
        <row r="1872">
          <cell r="A1872">
            <v>7421</v>
          </cell>
        </row>
        <row r="1873">
          <cell r="A1873">
            <v>7422</v>
          </cell>
        </row>
        <row r="1874">
          <cell r="A1874">
            <v>7423</v>
          </cell>
        </row>
        <row r="1875">
          <cell r="A1875">
            <v>7424</v>
          </cell>
        </row>
        <row r="1876">
          <cell r="A1876">
            <v>7425</v>
          </cell>
        </row>
        <row r="1877">
          <cell r="A1877">
            <v>7426</v>
          </cell>
        </row>
        <row r="1878">
          <cell r="A1878">
            <v>7427</v>
          </cell>
        </row>
        <row r="1879">
          <cell r="A1879">
            <v>7428</v>
          </cell>
        </row>
        <row r="1880">
          <cell r="A1880">
            <v>7429</v>
          </cell>
        </row>
        <row r="1881">
          <cell r="A1881">
            <v>7430</v>
          </cell>
        </row>
        <row r="1882">
          <cell r="A1882">
            <v>7431</v>
          </cell>
        </row>
        <row r="1883">
          <cell r="A1883">
            <v>7432</v>
          </cell>
        </row>
        <row r="1884">
          <cell r="A1884">
            <v>7433</v>
          </cell>
        </row>
        <row r="1885">
          <cell r="A1885">
            <v>7507</v>
          </cell>
        </row>
        <row r="1886">
          <cell r="A1886">
            <v>7508</v>
          </cell>
        </row>
        <row r="1887">
          <cell r="A1887">
            <v>7509</v>
          </cell>
        </row>
        <row r="1888">
          <cell r="A1888">
            <v>7510</v>
          </cell>
        </row>
        <row r="1889">
          <cell r="A1889">
            <v>7511</v>
          </cell>
        </row>
        <row r="1890">
          <cell r="A1890">
            <v>7512</v>
          </cell>
        </row>
        <row r="1891">
          <cell r="A1891">
            <v>7513</v>
          </cell>
        </row>
        <row r="1892">
          <cell r="A1892">
            <v>7514</v>
          </cell>
        </row>
        <row r="1893">
          <cell r="A1893">
            <v>7515</v>
          </cell>
        </row>
        <row r="1894">
          <cell r="A1894">
            <v>7516</v>
          </cell>
        </row>
        <row r="1895">
          <cell r="A1895">
            <v>7517</v>
          </cell>
        </row>
        <row r="1896">
          <cell r="A1896">
            <v>7518</v>
          </cell>
        </row>
        <row r="1897">
          <cell r="A1897">
            <v>7519</v>
          </cell>
        </row>
        <row r="1898">
          <cell r="A1898">
            <v>7520</v>
          </cell>
        </row>
        <row r="1899">
          <cell r="A1899">
            <v>7521</v>
          </cell>
        </row>
        <row r="1900">
          <cell r="A1900">
            <v>7522</v>
          </cell>
        </row>
        <row r="1901">
          <cell r="A1901">
            <v>7523</v>
          </cell>
        </row>
        <row r="1902">
          <cell r="A1902">
            <v>7524</v>
          </cell>
        </row>
        <row r="1903">
          <cell r="A1903">
            <v>7525</v>
          </cell>
        </row>
        <row r="1904">
          <cell r="A1904">
            <v>7526</v>
          </cell>
        </row>
        <row r="1905">
          <cell r="A1905">
            <v>7527</v>
          </cell>
        </row>
        <row r="1906">
          <cell r="A1906">
            <v>7528</v>
          </cell>
        </row>
        <row r="1907">
          <cell r="A1907">
            <v>7529</v>
          </cell>
        </row>
        <row r="1908">
          <cell r="A1908">
            <v>7601</v>
          </cell>
        </row>
        <row r="1909">
          <cell r="A1909">
            <v>7602</v>
          </cell>
        </row>
        <row r="1910">
          <cell r="A1910">
            <v>7603</v>
          </cell>
        </row>
        <row r="1911">
          <cell r="A1911">
            <v>7604</v>
          </cell>
        </row>
        <row r="1912">
          <cell r="A1912">
            <v>7605</v>
          </cell>
        </row>
        <row r="1913">
          <cell r="A1913">
            <v>7606</v>
          </cell>
        </row>
        <row r="1914">
          <cell r="A1914">
            <v>7607</v>
          </cell>
        </row>
        <row r="1915">
          <cell r="A1915">
            <v>7608</v>
          </cell>
        </row>
        <row r="1916">
          <cell r="A1916">
            <v>7609</v>
          </cell>
        </row>
        <row r="1917">
          <cell r="A1917">
            <v>7610</v>
          </cell>
        </row>
        <row r="1918">
          <cell r="A1918">
            <v>7611</v>
          </cell>
        </row>
        <row r="1919">
          <cell r="A1919">
            <v>7612</v>
          </cell>
        </row>
        <row r="1920">
          <cell r="A1920">
            <v>7613</v>
          </cell>
        </row>
        <row r="1921">
          <cell r="A1921">
            <v>7614</v>
          </cell>
        </row>
        <row r="1922">
          <cell r="A1922">
            <v>7615</v>
          </cell>
        </row>
        <row r="1923">
          <cell r="A1923">
            <v>7616</v>
          </cell>
        </row>
        <row r="1924">
          <cell r="A1924">
            <v>7617</v>
          </cell>
        </row>
        <row r="1925">
          <cell r="A1925">
            <v>7618</v>
          </cell>
        </row>
        <row r="1926">
          <cell r="A1926">
            <v>7619</v>
          </cell>
        </row>
        <row r="1927">
          <cell r="A1927">
            <v>7620</v>
          </cell>
        </row>
        <row r="1928">
          <cell r="A1928">
            <v>7621</v>
          </cell>
        </row>
        <row r="1929">
          <cell r="A1929">
            <v>7622</v>
          </cell>
        </row>
        <row r="1930">
          <cell r="A1930">
            <v>7623</v>
          </cell>
        </row>
        <row r="1931">
          <cell r="A1931">
            <v>7624</v>
          </cell>
        </row>
        <row r="1932">
          <cell r="A1932">
            <v>7625</v>
          </cell>
        </row>
        <row r="1933">
          <cell r="A1933">
            <v>7626</v>
          </cell>
        </row>
        <row r="1934">
          <cell r="A1934">
            <v>7689</v>
          </cell>
        </row>
        <row r="1935">
          <cell r="A1935">
            <v>7690</v>
          </cell>
        </row>
        <row r="1936">
          <cell r="A1936">
            <v>7691</v>
          </cell>
        </row>
        <row r="1937">
          <cell r="A1937">
            <v>7692</v>
          </cell>
        </row>
        <row r="1938">
          <cell r="A1938">
            <v>7693</v>
          </cell>
        </row>
        <row r="1939">
          <cell r="A1939">
            <v>7694</v>
          </cell>
        </row>
        <row r="1940">
          <cell r="A1940">
            <v>7695</v>
          </cell>
        </row>
        <row r="1941">
          <cell r="A1941">
            <v>7696</v>
          </cell>
        </row>
        <row r="1942">
          <cell r="A1942">
            <v>7697</v>
          </cell>
        </row>
        <row r="1943">
          <cell r="A1943">
            <v>7698</v>
          </cell>
        </row>
        <row r="1944">
          <cell r="A1944">
            <v>7699</v>
          </cell>
        </row>
        <row r="1945">
          <cell r="A1945">
            <v>7700</v>
          </cell>
        </row>
        <row r="1946">
          <cell r="A1946">
            <v>7701</v>
          </cell>
        </row>
        <row r="1947">
          <cell r="A1947">
            <v>7702</v>
          </cell>
        </row>
        <row r="1948">
          <cell r="A1948">
            <v>7703</v>
          </cell>
        </row>
        <row r="1949">
          <cell r="A1949">
            <v>7704</v>
          </cell>
        </row>
        <row r="1950">
          <cell r="A1950">
            <v>7705</v>
          </cell>
        </row>
        <row r="1951">
          <cell r="A1951">
            <v>7706</v>
          </cell>
        </row>
        <row r="1952">
          <cell r="A1952">
            <v>7707</v>
          </cell>
        </row>
        <row r="1953">
          <cell r="A1953">
            <v>7708</v>
          </cell>
        </row>
        <row r="1954">
          <cell r="A1954">
            <v>7709</v>
          </cell>
        </row>
        <row r="1955">
          <cell r="A1955">
            <v>7710</v>
          </cell>
        </row>
        <row r="1956">
          <cell r="A1956">
            <v>7769</v>
          </cell>
        </row>
        <row r="1957">
          <cell r="A1957">
            <v>7770</v>
          </cell>
        </row>
        <row r="1958">
          <cell r="A1958">
            <v>7771</v>
          </cell>
        </row>
        <row r="1959">
          <cell r="A1959">
            <v>7772</v>
          </cell>
        </row>
        <row r="1960">
          <cell r="A1960">
            <v>7773</v>
          </cell>
        </row>
        <row r="1961">
          <cell r="A1961">
            <v>7774</v>
          </cell>
        </row>
        <row r="1962">
          <cell r="A1962">
            <v>7775</v>
          </cell>
        </row>
        <row r="1963">
          <cell r="A1963">
            <v>7776</v>
          </cell>
        </row>
        <row r="1964">
          <cell r="A1964">
            <v>7777</v>
          </cell>
        </row>
        <row r="1965">
          <cell r="A1965">
            <v>7778</v>
          </cell>
        </row>
        <row r="1966">
          <cell r="A1966">
            <v>7779</v>
          </cell>
        </row>
        <row r="1967">
          <cell r="A1967">
            <v>7780</v>
          </cell>
        </row>
        <row r="1968">
          <cell r="A1968">
            <v>7781</v>
          </cell>
        </row>
        <row r="1969">
          <cell r="A1969">
            <v>7782</v>
          </cell>
        </row>
        <row r="1970">
          <cell r="A1970">
            <v>7783</v>
          </cell>
        </row>
        <row r="1971">
          <cell r="A1971">
            <v>7784</v>
          </cell>
        </row>
        <row r="1972">
          <cell r="A1972">
            <v>7785</v>
          </cell>
        </row>
        <row r="1973">
          <cell r="A1973">
            <v>7786</v>
          </cell>
        </row>
        <row r="1974">
          <cell r="A1974">
            <v>7787</v>
          </cell>
        </row>
        <row r="1975">
          <cell r="A1975">
            <v>7788</v>
          </cell>
        </row>
        <row r="1976">
          <cell r="A1976">
            <v>7844</v>
          </cell>
        </row>
        <row r="1977">
          <cell r="A1977">
            <v>7845</v>
          </cell>
        </row>
        <row r="1978">
          <cell r="A1978">
            <v>7846</v>
          </cell>
        </row>
        <row r="1979">
          <cell r="A1979">
            <v>7847</v>
          </cell>
        </row>
        <row r="1980">
          <cell r="A1980">
            <v>7848</v>
          </cell>
        </row>
        <row r="1981">
          <cell r="A1981">
            <v>7849</v>
          </cell>
        </row>
        <row r="1982">
          <cell r="A1982">
            <v>7850</v>
          </cell>
        </row>
        <row r="1983">
          <cell r="A1983">
            <v>7851</v>
          </cell>
        </row>
        <row r="1984">
          <cell r="A1984">
            <v>7852</v>
          </cell>
        </row>
        <row r="1985">
          <cell r="A1985">
            <v>7853</v>
          </cell>
        </row>
        <row r="1986">
          <cell r="A1986">
            <v>7854</v>
          </cell>
        </row>
        <row r="1987">
          <cell r="A1987">
            <v>7855</v>
          </cell>
        </row>
        <row r="1988">
          <cell r="A1988">
            <v>7856</v>
          </cell>
        </row>
        <row r="1989">
          <cell r="A1989">
            <v>7857</v>
          </cell>
        </row>
        <row r="1990">
          <cell r="A1990">
            <v>7858</v>
          </cell>
        </row>
        <row r="1991">
          <cell r="A1991">
            <v>7859</v>
          </cell>
        </row>
        <row r="1992">
          <cell r="A1992">
            <v>7860</v>
          </cell>
        </row>
        <row r="1993">
          <cell r="A1993">
            <v>7861</v>
          </cell>
        </row>
        <row r="1994">
          <cell r="A1994">
            <v>7862</v>
          </cell>
        </row>
        <row r="1995">
          <cell r="A1995">
            <v>7863</v>
          </cell>
        </row>
        <row r="1996">
          <cell r="A1996">
            <v>7864</v>
          </cell>
        </row>
        <row r="1997">
          <cell r="A1997">
            <v>7917</v>
          </cell>
        </row>
        <row r="1998">
          <cell r="A1998">
            <v>7918</v>
          </cell>
        </row>
        <row r="1999">
          <cell r="A1999">
            <v>7919</v>
          </cell>
        </row>
        <row r="2000">
          <cell r="A2000">
            <v>7920</v>
          </cell>
        </row>
        <row r="2001">
          <cell r="A2001">
            <v>7921</v>
          </cell>
        </row>
        <row r="2002">
          <cell r="A2002">
            <v>7922</v>
          </cell>
        </row>
        <row r="2003">
          <cell r="A2003">
            <v>7923</v>
          </cell>
        </row>
        <row r="2004">
          <cell r="A2004">
            <v>7924</v>
          </cell>
        </row>
        <row r="2005">
          <cell r="A2005">
            <v>7925</v>
          </cell>
        </row>
        <row r="2006">
          <cell r="A2006">
            <v>7926</v>
          </cell>
        </row>
        <row r="2007">
          <cell r="A2007">
            <v>7927</v>
          </cell>
        </row>
        <row r="2008">
          <cell r="A2008">
            <v>7928</v>
          </cell>
        </row>
        <row r="2009">
          <cell r="A2009">
            <v>7929</v>
          </cell>
        </row>
        <row r="2010">
          <cell r="A2010">
            <v>7930</v>
          </cell>
        </row>
        <row r="2011">
          <cell r="A2011">
            <v>7931</v>
          </cell>
        </row>
        <row r="2012">
          <cell r="A2012">
            <v>7932.2</v>
          </cell>
        </row>
        <row r="2013">
          <cell r="A2013">
            <v>7933</v>
          </cell>
        </row>
        <row r="2014">
          <cell r="A2014">
            <v>7934</v>
          </cell>
        </row>
        <row r="2015">
          <cell r="A2015">
            <v>7935</v>
          </cell>
        </row>
        <row r="2016">
          <cell r="A2016">
            <v>7936</v>
          </cell>
        </row>
        <row r="2017">
          <cell r="A2017">
            <v>7937</v>
          </cell>
        </row>
        <row r="2018">
          <cell r="A2018">
            <v>7938</v>
          </cell>
        </row>
        <row r="2019">
          <cell r="A2019">
            <v>7985</v>
          </cell>
        </row>
        <row r="2020">
          <cell r="A2020">
            <v>7986</v>
          </cell>
        </row>
        <row r="2021">
          <cell r="A2021">
            <v>7987</v>
          </cell>
        </row>
        <row r="2022">
          <cell r="A2022">
            <v>7988</v>
          </cell>
        </row>
        <row r="2023">
          <cell r="A2023">
            <v>7989</v>
          </cell>
        </row>
        <row r="2024">
          <cell r="A2024">
            <v>7990</v>
          </cell>
        </row>
        <row r="2025">
          <cell r="A2025">
            <v>7990.2</v>
          </cell>
        </row>
        <row r="2026">
          <cell r="A2026">
            <v>7991</v>
          </cell>
        </row>
        <row r="2027">
          <cell r="A2027">
            <v>7992</v>
          </cell>
        </row>
        <row r="2028">
          <cell r="A2028">
            <v>7993</v>
          </cell>
        </row>
        <row r="2029">
          <cell r="A2029">
            <v>7994</v>
          </cell>
        </row>
        <row r="2030">
          <cell r="A2030">
            <v>7995</v>
          </cell>
        </row>
        <row r="2031">
          <cell r="A2031">
            <v>7996</v>
          </cell>
        </row>
        <row r="2032">
          <cell r="A2032">
            <v>7997</v>
          </cell>
        </row>
        <row r="2033">
          <cell r="A2033">
            <v>7998</v>
          </cell>
        </row>
        <row r="2034">
          <cell r="A2034">
            <v>7999</v>
          </cell>
        </row>
        <row r="2035">
          <cell r="A2035">
            <v>8200</v>
          </cell>
        </row>
        <row r="2036">
          <cell r="A2036">
            <v>8201</v>
          </cell>
        </row>
        <row r="2037">
          <cell r="A2037">
            <v>8202</v>
          </cell>
        </row>
        <row r="2038">
          <cell r="A2038">
            <v>8203</v>
          </cell>
        </row>
        <row r="2039">
          <cell r="A2039">
            <v>8204</v>
          </cell>
        </row>
        <row r="2040">
          <cell r="A2040">
            <v>8205</v>
          </cell>
        </row>
        <row r="2041">
          <cell r="A2041">
            <v>8206</v>
          </cell>
        </row>
        <row r="2042">
          <cell r="A2042">
            <v>8252</v>
          </cell>
        </row>
        <row r="2043">
          <cell r="A2043">
            <v>8253</v>
          </cell>
        </row>
        <row r="2044">
          <cell r="A2044">
            <v>8254</v>
          </cell>
        </row>
        <row r="2045">
          <cell r="A2045">
            <v>8255</v>
          </cell>
        </row>
        <row r="2046">
          <cell r="A2046">
            <v>8256</v>
          </cell>
        </row>
        <row r="2047">
          <cell r="A2047">
            <v>8257</v>
          </cell>
        </row>
        <row r="2048">
          <cell r="A2048">
            <v>8258</v>
          </cell>
        </row>
        <row r="2049">
          <cell r="A2049">
            <v>8259</v>
          </cell>
        </row>
        <row r="2050">
          <cell r="A2050">
            <v>8260</v>
          </cell>
        </row>
        <row r="2051">
          <cell r="A2051">
            <v>8261</v>
          </cell>
        </row>
        <row r="2052">
          <cell r="A2052">
            <v>8262</v>
          </cell>
        </row>
        <row r="2053">
          <cell r="A2053">
            <v>8263</v>
          </cell>
        </row>
        <row r="2054">
          <cell r="A2054">
            <v>8264</v>
          </cell>
        </row>
        <row r="2055">
          <cell r="A2055">
            <v>8265</v>
          </cell>
        </row>
        <row r="2056">
          <cell r="A2056">
            <v>8266</v>
          </cell>
        </row>
        <row r="2057">
          <cell r="A2057">
            <v>8267</v>
          </cell>
        </row>
        <row r="2058">
          <cell r="A2058">
            <v>8268</v>
          </cell>
        </row>
        <row r="2059">
          <cell r="A2059">
            <v>8269</v>
          </cell>
        </row>
        <row r="2060">
          <cell r="A2060">
            <v>8270</v>
          </cell>
        </row>
        <row r="2061">
          <cell r="A2061">
            <v>8271</v>
          </cell>
        </row>
        <row r="2062">
          <cell r="A2062">
            <v>8313</v>
          </cell>
        </row>
        <row r="2063">
          <cell r="A2063">
            <v>8314</v>
          </cell>
        </row>
        <row r="2064">
          <cell r="A2064">
            <v>8315</v>
          </cell>
        </row>
        <row r="2065">
          <cell r="A2065">
            <v>8316</v>
          </cell>
        </row>
        <row r="2066">
          <cell r="A2066">
            <v>8317</v>
          </cell>
        </row>
        <row r="2067">
          <cell r="A2067">
            <v>8318</v>
          </cell>
        </row>
        <row r="2068">
          <cell r="A2068">
            <v>8319</v>
          </cell>
        </row>
        <row r="2069">
          <cell r="A2069">
            <v>8320</v>
          </cell>
        </row>
        <row r="2070">
          <cell r="A2070">
            <v>8321</v>
          </cell>
        </row>
        <row r="2071">
          <cell r="A2071">
            <v>8322</v>
          </cell>
        </row>
        <row r="2072">
          <cell r="A2072">
            <v>8323</v>
          </cell>
        </row>
        <row r="2073">
          <cell r="A2073">
            <v>8324</v>
          </cell>
        </row>
        <row r="2074">
          <cell r="A2074">
            <v>8325</v>
          </cell>
        </row>
        <row r="2075">
          <cell r="A2075">
            <v>8326</v>
          </cell>
        </row>
        <row r="2076">
          <cell r="A2076">
            <v>8327</v>
          </cell>
        </row>
        <row r="2077">
          <cell r="A2077">
            <v>8328</v>
          </cell>
        </row>
        <row r="2078">
          <cell r="A2078">
            <v>8329</v>
          </cell>
        </row>
        <row r="2079">
          <cell r="A2079">
            <v>8330</v>
          </cell>
        </row>
        <row r="2080">
          <cell r="A2080">
            <v>8331</v>
          </cell>
        </row>
        <row r="2081">
          <cell r="A2081">
            <v>8332</v>
          </cell>
        </row>
        <row r="2082">
          <cell r="A2082">
            <v>8333</v>
          </cell>
        </row>
        <row r="2083">
          <cell r="A2083">
            <v>8371</v>
          </cell>
        </row>
        <row r="2084">
          <cell r="A2084">
            <v>8372</v>
          </cell>
        </row>
        <row r="2085">
          <cell r="A2085">
            <v>8373</v>
          </cell>
        </row>
        <row r="2086">
          <cell r="A2086">
            <v>8374</v>
          </cell>
        </row>
        <row r="2087">
          <cell r="A2087">
            <v>8375</v>
          </cell>
        </row>
        <row r="2088">
          <cell r="A2088">
            <v>8376</v>
          </cell>
        </row>
        <row r="2089">
          <cell r="A2089">
            <v>8377</v>
          </cell>
        </row>
        <row r="2090">
          <cell r="A2090">
            <v>8378</v>
          </cell>
        </row>
        <row r="2091">
          <cell r="A2091">
            <v>8379</v>
          </cell>
        </row>
        <row r="2092">
          <cell r="A2092">
            <v>8380</v>
          </cell>
        </row>
        <row r="2093">
          <cell r="A2093">
            <v>8381</v>
          </cell>
        </row>
        <row r="2094">
          <cell r="A2094">
            <v>8382</v>
          </cell>
        </row>
        <row r="2095">
          <cell r="A2095">
            <v>8383</v>
          </cell>
        </row>
        <row r="2096">
          <cell r="A2096">
            <v>8384</v>
          </cell>
        </row>
        <row r="2097">
          <cell r="A2097">
            <v>8385</v>
          </cell>
        </row>
        <row r="2098">
          <cell r="A2098">
            <v>8386</v>
          </cell>
        </row>
        <row r="2099">
          <cell r="A2099">
            <v>8387</v>
          </cell>
        </row>
        <row r="2100">
          <cell r="A2100">
            <v>8388</v>
          </cell>
        </row>
        <row r="2101">
          <cell r="A2101">
            <v>8389</v>
          </cell>
        </row>
        <row r="2102">
          <cell r="A2102">
            <v>8390</v>
          </cell>
        </row>
        <row r="2103">
          <cell r="A2103">
            <v>8391</v>
          </cell>
        </row>
        <row r="2104">
          <cell r="A2104">
            <v>8392</v>
          </cell>
        </row>
        <row r="2105">
          <cell r="A2105">
            <v>8425</v>
          </cell>
        </row>
        <row r="2106">
          <cell r="A2106">
            <v>8426</v>
          </cell>
        </row>
        <row r="2107">
          <cell r="A2107">
            <v>8427</v>
          </cell>
        </row>
        <row r="2108">
          <cell r="A2108">
            <v>8428</v>
          </cell>
        </row>
        <row r="2109">
          <cell r="A2109">
            <v>8429</v>
          </cell>
        </row>
        <row r="2110">
          <cell r="A2110">
            <v>8430</v>
          </cell>
        </row>
        <row r="2111">
          <cell r="A2111">
            <v>8431</v>
          </cell>
        </row>
        <row r="2112">
          <cell r="A2112">
            <v>8432</v>
          </cell>
        </row>
        <row r="2113">
          <cell r="A2113">
            <v>8433</v>
          </cell>
        </row>
        <row r="2114">
          <cell r="A2114">
            <v>8434</v>
          </cell>
        </row>
        <row r="2115">
          <cell r="A2115">
            <v>8435</v>
          </cell>
        </row>
        <row r="2116">
          <cell r="A2116">
            <v>8436</v>
          </cell>
        </row>
        <row r="2117">
          <cell r="A2117">
            <v>8437</v>
          </cell>
        </row>
        <row r="2118">
          <cell r="A2118">
            <v>8438</v>
          </cell>
        </row>
        <row r="2119">
          <cell r="A2119">
            <v>8439</v>
          </cell>
        </row>
        <row r="2120">
          <cell r="A2120">
            <v>8440</v>
          </cell>
        </row>
        <row r="2121">
          <cell r="A2121">
            <v>8441</v>
          </cell>
        </row>
        <row r="2122">
          <cell r="A2122">
            <v>8442</v>
          </cell>
        </row>
        <row r="2123">
          <cell r="A2123">
            <v>8443</v>
          </cell>
        </row>
        <row r="2124">
          <cell r="A2124">
            <v>8444</v>
          </cell>
        </row>
        <row r="2125">
          <cell r="A2125">
            <v>8445</v>
          </cell>
        </row>
        <row r="2126">
          <cell r="A2126">
            <v>8446</v>
          </cell>
        </row>
        <row r="2127">
          <cell r="A2127">
            <v>8468</v>
          </cell>
        </row>
        <row r="2128">
          <cell r="A2128">
            <v>8469</v>
          </cell>
        </row>
        <row r="2129">
          <cell r="A2129">
            <v>8470</v>
          </cell>
        </row>
        <row r="2130">
          <cell r="A2130">
            <v>8471</v>
          </cell>
        </row>
        <row r="2131">
          <cell r="A2131">
            <v>8472</v>
          </cell>
        </row>
        <row r="2132">
          <cell r="A2132">
            <v>8473</v>
          </cell>
        </row>
        <row r="2133">
          <cell r="A2133">
            <v>8474</v>
          </cell>
        </row>
        <row r="2134">
          <cell r="A2134">
            <v>8475</v>
          </cell>
        </row>
        <row r="2135">
          <cell r="A2135">
            <v>8476</v>
          </cell>
        </row>
        <row r="2136">
          <cell r="A2136">
            <v>8477</v>
          </cell>
        </row>
        <row r="2137">
          <cell r="A2137">
            <v>8478</v>
          </cell>
        </row>
        <row r="2138">
          <cell r="A2138">
            <v>8479</v>
          </cell>
        </row>
        <row r="2139">
          <cell r="A2139">
            <v>8480</v>
          </cell>
        </row>
        <row r="2140">
          <cell r="A2140">
            <v>8481</v>
          </cell>
        </row>
        <row r="2141">
          <cell r="A2141">
            <v>8482</v>
          </cell>
        </row>
        <row r="2142">
          <cell r="A2142">
            <v>8483</v>
          </cell>
        </row>
        <row r="2143">
          <cell r="A2143">
            <v>8484</v>
          </cell>
        </row>
        <row r="2144">
          <cell r="A2144">
            <v>8485</v>
          </cell>
        </row>
        <row r="2145">
          <cell r="A2145">
            <v>8486</v>
          </cell>
        </row>
        <row r="2146">
          <cell r="A2146">
            <v>8487</v>
          </cell>
        </row>
        <row r="2147">
          <cell r="A2147">
            <v>8506</v>
          </cell>
        </row>
        <row r="2148">
          <cell r="A2148">
            <v>8507</v>
          </cell>
        </row>
        <row r="2149">
          <cell r="A2149">
            <v>8508</v>
          </cell>
        </row>
        <row r="2150">
          <cell r="A2150">
            <v>8509</v>
          </cell>
        </row>
        <row r="2151">
          <cell r="A2151">
            <v>8510</v>
          </cell>
        </row>
        <row r="2152">
          <cell r="A2152">
            <v>8511</v>
          </cell>
        </row>
        <row r="2153">
          <cell r="A2153">
            <v>8512</v>
          </cell>
        </row>
        <row r="2154">
          <cell r="A2154">
            <v>8513</v>
          </cell>
        </row>
        <row r="2155">
          <cell r="A2155">
            <v>8514</v>
          </cell>
        </row>
        <row r="2156">
          <cell r="A2156">
            <v>8515</v>
          </cell>
        </row>
        <row r="2157">
          <cell r="A2157">
            <v>8516</v>
          </cell>
        </row>
        <row r="2158">
          <cell r="A2158">
            <v>8517</v>
          </cell>
        </row>
        <row r="2159">
          <cell r="A2159">
            <v>8518</v>
          </cell>
        </row>
        <row r="2160">
          <cell r="A2160">
            <v>8519</v>
          </cell>
        </row>
        <row r="2161">
          <cell r="A2161">
            <v>8520</v>
          </cell>
        </row>
        <row r="2162">
          <cell r="A2162">
            <v>8521</v>
          </cell>
        </row>
        <row r="2163">
          <cell r="A2163">
            <v>8522</v>
          </cell>
        </row>
        <row r="2164">
          <cell r="A2164">
            <v>8523</v>
          </cell>
        </row>
        <row r="2165">
          <cell r="A2165">
            <v>8524</v>
          </cell>
        </row>
        <row r="2166">
          <cell r="A2166">
            <v>8525</v>
          </cell>
        </row>
        <row r="2167">
          <cell r="A2167">
            <v>8537</v>
          </cell>
        </row>
        <row r="2168">
          <cell r="A2168">
            <v>8538</v>
          </cell>
        </row>
        <row r="2169">
          <cell r="A2169">
            <v>8539</v>
          </cell>
        </row>
        <row r="2170">
          <cell r="A2170">
            <v>8540</v>
          </cell>
        </row>
        <row r="2171">
          <cell r="A2171">
            <v>8541</v>
          </cell>
        </row>
        <row r="2172">
          <cell r="A2172">
            <v>8542</v>
          </cell>
        </row>
        <row r="2173">
          <cell r="A2173">
            <v>8543</v>
          </cell>
        </row>
        <row r="2174">
          <cell r="A2174">
            <v>8544</v>
          </cell>
        </row>
        <row r="2175">
          <cell r="A2175">
            <v>8545</v>
          </cell>
        </row>
        <row r="2176">
          <cell r="A2176">
            <v>8546</v>
          </cell>
        </row>
        <row r="2177">
          <cell r="A2177">
            <v>8547</v>
          </cell>
        </row>
        <row r="2178">
          <cell r="A2178">
            <v>8548</v>
          </cell>
        </row>
        <row r="2179">
          <cell r="A2179">
            <v>8549</v>
          </cell>
        </row>
        <row r="2180">
          <cell r="A2180">
            <v>8550</v>
          </cell>
        </row>
        <row r="2181">
          <cell r="A2181">
            <v>8551</v>
          </cell>
        </row>
        <row r="2182">
          <cell r="A2182">
            <v>8552</v>
          </cell>
        </row>
        <row r="2183">
          <cell r="A2183">
            <v>8553</v>
          </cell>
        </row>
        <row r="2184">
          <cell r="A2184">
            <v>8554</v>
          </cell>
        </row>
        <row r="2185">
          <cell r="A2185">
            <v>8555</v>
          </cell>
        </row>
        <row r="2186">
          <cell r="A2186">
            <v>8556</v>
          </cell>
        </row>
        <row r="2187">
          <cell r="A2187">
            <v>8563</v>
          </cell>
        </row>
        <row r="2188">
          <cell r="A2188">
            <v>8564</v>
          </cell>
        </row>
        <row r="2189">
          <cell r="A2189">
            <v>8565</v>
          </cell>
        </row>
        <row r="2190">
          <cell r="A2190">
            <v>8566</v>
          </cell>
        </row>
        <row r="2191">
          <cell r="A2191">
            <v>8567</v>
          </cell>
        </row>
        <row r="2192">
          <cell r="A2192">
            <v>8568</v>
          </cell>
        </row>
        <row r="2193">
          <cell r="A2193">
            <v>8569</v>
          </cell>
        </row>
        <row r="2194">
          <cell r="A2194">
            <v>8570</v>
          </cell>
        </row>
        <row r="2195">
          <cell r="A2195">
            <v>8571</v>
          </cell>
        </row>
        <row r="2196">
          <cell r="A2196">
            <v>8572</v>
          </cell>
        </row>
        <row r="2197">
          <cell r="A2197">
            <v>8573</v>
          </cell>
        </row>
        <row r="2198">
          <cell r="A2198">
            <v>8574</v>
          </cell>
        </row>
        <row r="2199">
          <cell r="A2199">
            <v>8575</v>
          </cell>
        </row>
        <row r="2200">
          <cell r="A2200">
            <v>8576</v>
          </cell>
        </row>
        <row r="2201">
          <cell r="A2201">
            <v>8577</v>
          </cell>
        </row>
        <row r="2202">
          <cell r="A2202">
            <v>8578</v>
          </cell>
        </row>
        <row r="2203">
          <cell r="A2203">
            <v>8579</v>
          </cell>
        </row>
        <row r="2204">
          <cell r="A2204">
            <v>8580</v>
          </cell>
        </row>
        <row r="2205">
          <cell r="A2205">
            <v>8581</v>
          </cell>
        </row>
        <row r="2206">
          <cell r="A2206">
            <v>8583</v>
          </cell>
        </row>
        <row r="2207">
          <cell r="A2207">
            <v>8584</v>
          </cell>
        </row>
        <row r="2208">
          <cell r="A2208">
            <v>8585</v>
          </cell>
        </row>
        <row r="2209">
          <cell r="A2209">
            <v>8586</v>
          </cell>
        </row>
        <row r="2210">
          <cell r="A2210">
            <v>8587</v>
          </cell>
        </row>
        <row r="2211">
          <cell r="A2211">
            <v>8588</v>
          </cell>
        </row>
        <row r="2212">
          <cell r="A2212">
            <v>8589</v>
          </cell>
        </row>
        <row r="2213">
          <cell r="A2213">
            <v>8590</v>
          </cell>
        </row>
        <row r="2214">
          <cell r="A2214">
            <v>8591</v>
          </cell>
        </row>
        <row r="2215">
          <cell r="A2215">
            <v>8592</v>
          </cell>
        </row>
        <row r="2216">
          <cell r="A2216">
            <v>8593</v>
          </cell>
        </row>
        <row r="2217">
          <cell r="A2217">
            <v>8594</v>
          </cell>
        </row>
        <row r="2218">
          <cell r="A2218">
            <v>8595</v>
          </cell>
        </row>
        <row r="2219">
          <cell r="A2219">
            <v>8596</v>
          </cell>
        </row>
        <row r="2220">
          <cell r="A2220">
            <v>8597</v>
          </cell>
        </row>
        <row r="2221">
          <cell r="A2221">
            <v>8598</v>
          </cell>
        </row>
        <row r="2222">
          <cell r="A2222">
            <v>8599</v>
          </cell>
        </row>
        <row r="2223">
          <cell r="A2223">
            <v>8600</v>
          </cell>
        </row>
        <row r="2224">
          <cell r="A2224">
            <v>8601</v>
          </cell>
        </row>
        <row r="2225">
          <cell r="A2225">
            <v>8602</v>
          </cell>
        </row>
        <row r="2226">
          <cell r="A2226">
            <v>8603</v>
          </cell>
        </row>
        <row r="2227">
          <cell r="A2227">
            <v>8604</v>
          </cell>
        </row>
        <row r="2228">
          <cell r="A2228">
            <v>8605</v>
          </cell>
        </row>
        <row r="2229">
          <cell r="A2229">
            <v>8606</v>
          </cell>
        </row>
        <row r="2230">
          <cell r="A2230">
            <v>8607</v>
          </cell>
        </row>
        <row r="2231">
          <cell r="A2231">
            <v>8608</v>
          </cell>
        </row>
        <row r="2232">
          <cell r="A2232">
            <v>8609</v>
          </cell>
        </row>
        <row r="2233">
          <cell r="A2233">
            <v>8610</v>
          </cell>
        </row>
        <row r="2234">
          <cell r="A2234">
            <v>8611</v>
          </cell>
        </row>
        <row r="2235">
          <cell r="A2235">
            <v>8612</v>
          </cell>
        </row>
        <row r="2236">
          <cell r="A2236">
            <v>8613</v>
          </cell>
        </row>
        <row r="2237">
          <cell r="A2237">
            <v>8614</v>
          </cell>
        </row>
        <row r="2238">
          <cell r="A2238">
            <v>8615</v>
          </cell>
        </row>
        <row r="2239">
          <cell r="A2239">
            <v>8616</v>
          </cell>
        </row>
        <row r="2240">
          <cell r="A2240">
            <v>8617</v>
          </cell>
        </row>
        <row r="2241">
          <cell r="A2241">
            <v>8618</v>
          </cell>
        </row>
        <row r="2242">
          <cell r="A2242">
            <v>8619</v>
          </cell>
        </row>
        <row r="2243">
          <cell r="A2243">
            <v>8620</v>
          </cell>
        </row>
        <row r="2244">
          <cell r="A2244">
            <v>8621</v>
          </cell>
        </row>
        <row r="2245">
          <cell r="A2245">
            <v>8622</v>
          </cell>
        </row>
        <row r="2246">
          <cell r="A2246">
            <v>8623</v>
          </cell>
        </row>
        <row r="2247">
          <cell r="A2247">
            <v>8624</v>
          </cell>
        </row>
        <row r="2248">
          <cell r="A2248">
            <v>8625</v>
          </cell>
        </row>
        <row r="2249">
          <cell r="A2249">
            <v>8626</v>
          </cell>
        </row>
        <row r="2250">
          <cell r="A2250">
            <v>8627</v>
          </cell>
        </row>
        <row r="2251">
          <cell r="A2251">
            <v>8628</v>
          </cell>
        </row>
        <row r="2252">
          <cell r="A2252">
            <v>8629</v>
          </cell>
        </row>
        <row r="2253">
          <cell r="A2253">
            <v>8630</v>
          </cell>
        </row>
        <row r="2254">
          <cell r="A2254">
            <v>8631</v>
          </cell>
        </row>
        <row r="2255">
          <cell r="A2255">
            <v>8632</v>
          </cell>
        </row>
        <row r="2256">
          <cell r="A2256">
            <v>8633</v>
          </cell>
        </row>
        <row r="2257">
          <cell r="A2257">
            <v>8634</v>
          </cell>
        </row>
        <row r="2258">
          <cell r="A2258">
            <v>8635</v>
          </cell>
        </row>
        <row r="2259">
          <cell r="A2259">
            <v>8636</v>
          </cell>
        </row>
        <row r="2260">
          <cell r="A2260">
            <v>8637</v>
          </cell>
        </row>
        <row r="2261">
          <cell r="A2261">
            <v>8638</v>
          </cell>
        </row>
        <row r="2262">
          <cell r="A2262">
            <v>8639</v>
          </cell>
        </row>
        <row r="2263">
          <cell r="A2263">
            <v>8640</v>
          </cell>
        </row>
        <row r="2264">
          <cell r="A2264">
            <v>8641</v>
          </cell>
        </row>
        <row r="2265">
          <cell r="A2265">
            <v>8642</v>
          </cell>
        </row>
        <row r="2266">
          <cell r="A2266">
            <v>8643</v>
          </cell>
        </row>
        <row r="2267">
          <cell r="A2267">
            <v>8644</v>
          </cell>
        </row>
        <row r="2268">
          <cell r="A2268">
            <v>8645</v>
          </cell>
        </row>
        <row r="2269">
          <cell r="A2269">
            <v>8646</v>
          </cell>
        </row>
        <row r="2270">
          <cell r="A2270">
            <v>8647</v>
          </cell>
        </row>
        <row r="2271">
          <cell r="A2271">
            <v>8648</v>
          </cell>
        </row>
        <row r="2272">
          <cell r="A2272">
            <v>8649</v>
          </cell>
        </row>
        <row r="2273">
          <cell r="A2273">
            <v>8650</v>
          </cell>
        </row>
        <row r="2274">
          <cell r="A2274">
            <v>8651</v>
          </cell>
        </row>
        <row r="2275">
          <cell r="A2275">
            <v>8652</v>
          </cell>
        </row>
        <row r="2276">
          <cell r="A2276">
            <v>8653</v>
          </cell>
        </row>
        <row r="2277">
          <cell r="A2277">
            <v>8654</v>
          </cell>
        </row>
        <row r="2278">
          <cell r="A2278">
            <v>8655</v>
          </cell>
        </row>
        <row r="2279">
          <cell r="A2279">
            <v>8656</v>
          </cell>
        </row>
        <row r="2280">
          <cell r="A2280">
            <v>8657</v>
          </cell>
        </row>
        <row r="2281">
          <cell r="A2281">
            <v>8658</v>
          </cell>
        </row>
        <row r="2282">
          <cell r="A2282">
            <v>8659</v>
          </cell>
        </row>
        <row r="2283">
          <cell r="A2283">
            <v>8660</v>
          </cell>
        </row>
        <row r="2284">
          <cell r="A2284">
            <v>8661</v>
          </cell>
        </row>
        <row r="2285">
          <cell r="A2285">
            <v>8662</v>
          </cell>
        </row>
        <row r="2286">
          <cell r="A2286">
            <v>8663</v>
          </cell>
        </row>
        <row r="2287">
          <cell r="A2287">
            <v>8664</v>
          </cell>
        </row>
        <row r="2288">
          <cell r="A2288">
            <v>8665</v>
          </cell>
        </row>
        <row r="2289">
          <cell r="A2289">
            <v>8666</v>
          </cell>
        </row>
        <row r="2290">
          <cell r="A2290">
            <v>8667</v>
          </cell>
        </row>
        <row r="2291">
          <cell r="A2291">
            <v>8668</v>
          </cell>
        </row>
        <row r="2292">
          <cell r="A2292">
            <v>8669</v>
          </cell>
        </row>
        <row r="2293">
          <cell r="A2293">
            <v>8670</v>
          </cell>
        </row>
        <row r="2294">
          <cell r="A2294">
            <v>8671</v>
          </cell>
        </row>
        <row r="2295">
          <cell r="A2295">
            <v>8672</v>
          </cell>
        </row>
        <row r="2296">
          <cell r="A2296">
            <v>8673</v>
          </cell>
        </row>
        <row r="2297">
          <cell r="A2297">
            <v>8674</v>
          </cell>
        </row>
        <row r="2298">
          <cell r="A2298">
            <v>8675</v>
          </cell>
        </row>
        <row r="2299">
          <cell r="A2299">
            <v>8676</v>
          </cell>
        </row>
        <row r="2300">
          <cell r="A2300">
            <v>8677</v>
          </cell>
        </row>
        <row r="2301">
          <cell r="A2301">
            <v>8678</v>
          </cell>
        </row>
        <row r="2302">
          <cell r="A2302">
            <v>8679</v>
          </cell>
        </row>
        <row r="2303">
          <cell r="A2303">
            <v>8680</v>
          </cell>
        </row>
        <row r="2304">
          <cell r="A2304">
            <v>8681</v>
          </cell>
        </row>
        <row r="2305">
          <cell r="A2305">
            <v>8682</v>
          </cell>
        </row>
        <row r="2306">
          <cell r="A2306">
            <v>8683</v>
          </cell>
        </row>
        <row r="2307">
          <cell r="A2307">
            <v>8684</v>
          </cell>
        </row>
        <row r="2308">
          <cell r="A2308">
            <v>8685</v>
          </cell>
        </row>
        <row r="2309">
          <cell r="A2309">
            <v>8686</v>
          </cell>
        </row>
        <row r="2310">
          <cell r="A2310">
            <v>8691</v>
          </cell>
        </row>
        <row r="2311">
          <cell r="A2311">
            <v>8692</v>
          </cell>
        </row>
        <row r="2312">
          <cell r="A2312">
            <v>8693</v>
          </cell>
        </row>
        <row r="2313">
          <cell r="A2313">
            <v>8694</v>
          </cell>
        </row>
        <row r="2314">
          <cell r="A2314">
            <v>8695</v>
          </cell>
        </row>
        <row r="2315">
          <cell r="A2315">
            <v>8696</v>
          </cell>
        </row>
        <row r="2316">
          <cell r="A2316">
            <v>8697</v>
          </cell>
        </row>
        <row r="2317">
          <cell r="A2317">
            <v>8698</v>
          </cell>
        </row>
        <row r="2318">
          <cell r="A2318">
            <v>8699</v>
          </cell>
        </row>
        <row r="2319">
          <cell r="A2319">
            <v>8700</v>
          </cell>
        </row>
        <row r="2320">
          <cell r="A2320">
            <v>8701</v>
          </cell>
        </row>
        <row r="2321">
          <cell r="A2321">
            <v>8702</v>
          </cell>
        </row>
        <row r="2322">
          <cell r="A2322">
            <v>8703</v>
          </cell>
        </row>
        <row r="2323">
          <cell r="A2323">
            <v>8704</v>
          </cell>
        </row>
        <row r="2324">
          <cell r="A2324">
            <v>8705</v>
          </cell>
        </row>
        <row r="2325">
          <cell r="A2325">
            <v>8709</v>
          </cell>
        </row>
        <row r="2326">
          <cell r="A2326">
            <v>8710</v>
          </cell>
        </row>
        <row r="2327">
          <cell r="A2327">
            <v>8711</v>
          </cell>
        </row>
        <row r="2328">
          <cell r="A2328">
            <v>8712</v>
          </cell>
        </row>
        <row r="2329">
          <cell r="A2329">
            <v>8713</v>
          </cell>
        </row>
        <row r="2330">
          <cell r="A2330">
            <v>8714</v>
          </cell>
        </row>
        <row r="2331">
          <cell r="A2331">
            <v>8715</v>
          </cell>
        </row>
        <row r="2332">
          <cell r="A2332">
            <v>8716</v>
          </cell>
        </row>
        <row r="2333">
          <cell r="A2333">
            <v>8717</v>
          </cell>
        </row>
        <row r="2334">
          <cell r="A2334">
            <v>8718</v>
          </cell>
        </row>
        <row r="2335">
          <cell r="A2335">
            <v>8719</v>
          </cell>
        </row>
        <row r="2336">
          <cell r="A2336">
            <v>8720</v>
          </cell>
        </row>
        <row r="2337">
          <cell r="A2337">
            <v>8721</v>
          </cell>
        </row>
        <row r="2338">
          <cell r="A2338">
            <v>8722</v>
          </cell>
        </row>
        <row r="2339">
          <cell r="A2339">
            <v>8728</v>
          </cell>
        </row>
        <row r="2340">
          <cell r="A2340">
            <v>8729</v>
          </cell>
        </row>
        <row r="2341">
          <cell r="A2341">
            <v>8730</v>
          </cell>
        </row>
        <row r="2342">
          <cell r="A2342">
            <v>8731</v>
          </cell>
        </row>
        <row r="2343">
          <cell r="A2343">
            <v>8732</v>
          </cell>
        </row>
        <row r="2344">
          <cell r="A2344">
            <v>8733</v>
          </cell>
        </row>
        <row r="2345">
          <cell r="A2345">
            <v>8734</v>
          </cell>
        </row>
        <row r="2346">
          <cell r="A2346">
            <v>8735</v>
          </cell>
        </row>
        <row r="2347">
          <cell r="A2347">
            <v>8736</v>
          </cell>
        </row>
        <row r="2348">
          <cell r="A2348">
            <v>8737</v>
          </cell>
        </row>
        <row r="2349">
          <cell r="A2349">
            <v>8738</v>
          </cell>
        </row>
        <row r="2350">
          <cell r="A2350">
            <v>8739</v>
          </cell>
        </row>
        <row r="2351">
          <cell r="A2351">
            <v>8740</v>
          </cell>
        </row>
        <row r="2352">
          <cell r="A2352">
            <v>8741</v>
          </cell>
        </row>
        <row r="2353">
          <cell r="A2353">
            <v>8748</v>
          </cell>
        </row>
        <row r="2354">
          <cell r="A2354">
            <v>8749</v>
          </cell>
        </row>
        <row r="2355">
          <cell r="A2355">
            <v>8750</v>
          </cell>
        </row>
        <row r="2356">
          <cell r="A2356">
            <v>8751</v>
          </cell>
        </row>
        <row r="2357">
          <cell r="A2357">
            <v>8752</v>
          </cell>
        </row>
        <row r="2358">
          <cell r="A2358">
            <v>8753</v>
          </cell>
        </row>
        <row r="2359">
          <cell r="A2359">
            <v>8754</v>
          </cell>
        </row>
        <row r="2360">
          <cell r="A2360">
            <v>8755</v>
          </cell>
        </row>
        <row r="2361">
          <cell r="A2361">
            <v>8756</v>
          </cell>
        </row>
        <row r="2362">
          <cell r="A2362">
            <v>8757</v>
          </cell>
        </row>
        <row r="2363">
          <cell r="A2363">
            <v>8758</v>
          </cell>
        </row>
        <row r="2364">
          <cell r="A2364">
            <v>8759</v>
          </cell>
        </row>
        <row r="2365">
          <cell r="A2365">
            <v>8760.2199999999993</v>
          </cell>
        </row>
        <row r="2366">
          <cell r="A2366">
            <v>8761</v>
          </cell>
        </row>
        <row r="2367">
          <cell r="A2367">
            <v>8762</v>
          </cell>
        </row>
        <row r="2368">
          <cell r="A2368">
            <v>8769</v>
          </cell>
        </row>
        <row r="2369">
          <cell r="A2369">
            <v>8770</v>
          </cell>
        </row>
        <row r="2370">
          <cell r="A2370">
            <v>8771</v>
          </cell>
        </row>
        <row r="2371">
          <cell r="A2371">
            <v>8772</v>
          </cell>
        </row>
        <row r="2372">
          <cell r="A2372">
            <v>8773</v>
          </cell>
        </row>
        <row r="2373">
          <cell r="A2373">
            <v>8774</v>
          </cell>
        </row>
        <row r="2374">
          <cell r="A2374">
            <v>8775</v>
          </cell>
        </row>
        <row r="2375">
          <cell r="A2375">
            <v>8776</v>
          </cell>
        </row>
        <row r="2376">
          <cell r="A2376">
            <v>8777</v>
          </cell>
        </row>
        <row r="2377">
          <cell r="A2377">
            <v>8778</v>
          </cell>
        </row>
        <row r="2378">
          <cell r="A2378">
            <v>8779</v>
          </cell>
        </row>
        <row r="2379">
          <cell r="A2379">
            <v>8780</v>
          </cell>
        </row>
        <row r="2380">
          <cell r="A2380">
            <v>8781</v>
          </cell>
        </row>
        <row r="2381">
          <cell r="A2381">
            <v>8782</v>
          </cell>
        </row>
        <row r="2382">
          <cell r="A2382">
            <v>8787</v>
          </cell>
        </row>
        <row r="2383">
          <cell r="A2383">
            <v>8788</v>
          </cell>
        </row>
        <row r="2384">
          <cell r="A2384">
            <v>8789</v>
          </cell>
        </row>
        <row r="2385">
          <cell r="A2385">
            <v>8790</v>
          </cell>
        </row>
        <row r="2386">
          <cell r="A2386">
            <v>8791</v>
          </cell>
        </row>
        <row r="2387">
          <cell r="A2387">
            <v>8792</v>
          </cell>
        </row>
        <row r="2388">
          <cell r="A2388">
            <v>8793.2000000000007</v>
          </cell>
        </row>
        <row r="2389">
          <cell r="A2389">
            <v>8794</v>
          </cell>
        </row>
        <row r="2390">
          <cell r="A2390">
            <v>8795</v>
          </cell>
        </row>
        <row r="2391">
          <cell r="A2391">
            <v>8796</v>
          </cell>
        </row>
        <row r="2392">
          <cell r="A2392">
            <v>8797</v>
          </cell>
        </row>
        <row r="2393">
          <cell r="A2393">
            <v>8798</v>
          </cell>
        </row>
        <row r="2394">
          <cell r="A2394">
            <v>8799</v>
          </cell>
        </row>
        <row r="2395">
          <cell r="A2395">
            <v>8800</v>
          </cell>
        </row>
        <row r="2396">
          <cell r="A2396">
            <v>8801</v>
          </cell>
        </row>
        <row r="2397">
          <cell r="A2397">
            <v>8805</v>
          </cell>
        </row>
        <row r="2398">
          <cell r="A2398">
            <v>8806</v>
          </cell>
        </row>
        <row r="2399">
          <cell r="A2399">
            <v>8807</v>
          </cell>
        </row>
        <row r="2400">
          <cell r="A2400">
            <v>8808</v>
          </cell>
        </row>
        <row r="2401">
          <cell r="A2401">
            <v>8809</v>
          </cell>
        </row>
        <row r="2402">
          <cell r="A2402">
            <v>8810</v>
          </cell>
        </row>
        <row r="2403">
          <cell r="A2403">
            <v>8811</v>
          </cell>
        </row>
        <row r="2404">
          <cell r="A2404">
            <v>8812</v>
          </cell>
        </row>
        <row r="2405">
          <cell r="A2405">
            <v>8813</v>
          </cell>
        </row>
        <row r="2406">
          <cell r="A2406">
            <v>8814</v>
          </cell>
        </row>
        <row r="2407">
          <cell r="A2407">
            <v>8815</v>
          </cell>
        </row>
        <row r="2408">
          <cell r="A2408">
            <v>8816</v>
          </cell>
        </row>
        <row r="2409">
          <cell r="A2409">
            <v>8817</v>
          </cell>
        </row>
        <row r="2410">
          <cell r="A2410">
            <v>8818</v>
          </cell>
        </row>
        <row r="2411">
          <cell r="A2411">
            <v>8819</v>
          </cell>
        </row>
        <row r="2412">
          <cell r="A2412">
            <v>8826</v>
          </cell>
        </row>
        <row r="2413">
          <cell r="A2413">
            <v>8828</v>
          </cell>
        </row>
        <row r="2414">
          <cell r="A2414">
            <v>8829</v>
          </cell>
        </row>
        <row r="2415">
          <cell r="A2415">
            <v>8830</v>
          </cell>
        </row>
        <row r="2416">
          <cell r="A2416">
            <v>8831</v>
          </cell>
        </row>
        <row r="2417">
          <cell r="A2417">
            <v>8832</v>
          </cell>
        </row>
        <row r="2418">
          <cell r="A2418">
            <v>8833</v>
          </cell>
        </row>
        <row r="2419">
          <cell r="A2419">
            <v>8834</v>
          </cell>
        </row>
        <row r="2420">
          <cell r="A2420">
            <v>8835</v>
          </cell>
        </row>
        <row r="2421">
          <cell r="A2421">
            <v>8836</v>
          </cell>
        </row>
        <row r="2422">
          <cell r="A2422">
            <v>8837</v>
          </cell>
        </row>
        <row r="2423">
          <cell r="A2423">
            <v>8838</v>
          </cell>
        </row>
        <row r="2424">
          <cell r="A2424">
            <v>8845</v>
          </cell>
        </row>
        <row r="2425">
          <cell r="A2425">
            <v>8846</v>
          </cell>
        </row>
        <row r="2426">
          <cell r="A2426">
            <v>8847</v>
          </cell>
        </row>
        <row r="2427">
          <cell r="A2427">
            <v>8848</v>
          </cell>
        </row>
        <row r="2428">
          <cell r="A2428">
            <v>8849</v>
          </cell>
        </row>
        <row r="2429">
          <cell r="A2429">
            <v>8850</v>
          </cell>
        </row>
        <row r="2430">
          <cell r="A2430">
            <v>8851</v>
          </cell>
        </row>
        <row r="2431">
          <cell r="A2431">
            <v>8852</v>
          </cell>
        </row>
        <row r="2432">
          <cell r="A2432">
            <v>8853</v>
          </cell>
        </row>
        <row r="2433">
          <cell r="A2433">
            <v>8854</v>
          </cell>
        </row>
        <row r="2434">
          <cell r="A2434">
            <v>8855</v>
          </cell>
        </row>
        <row r="2435">
          <cell r="A2435">
            <v>8861</v>
          </cell>
        </row>
        <row r="2436">
          <cell r="A2436">
            <v>8862</v>
          </cell>
        </row>
        <row r="2437">
          <cell r="A2437">
            <v>8863</v>
          </cell>
        </row>
        <row r="2438">
          <cell r="A2438">
            <v>8864</v>
          </cell>
        </row>
        <row r="2439">
          <cell r="A2439">
            <v>8865</v>
          </cell>
        </row>
        <row r="2440">
          <cell r="A2440">
            <v>8866</v>
          </cell>
        </row>
        <row r="2441">
          <cell r="A2441">
            <v>8867</v>
          </cell>
        </row>
        <row r="2442">
          <cell r="A2442">
            <v>8872</v>
          </cell>
        </row>
        <row r="2443">
          <cell r="A2443">
            <v>8873</v>
          </cell>
        </row>
        <row r="2444">
          <cell r="A2444">
            <v>8874</v>
          </cell>
        </row>
        <row r="2445">
          <cell r="A2445">
            <v>8875</v>
          </cell>
        </row>
        <row r="2446">
          <cell r="A2446">
            <v>8876</v>
          </cell>
        </row>
        <row r="2447">
          <cell r="A2447">
            <v>8877</v>
          </cell>
        </row>
        <row r="2448">
          <cell r="A2448">
            <v>8878</v>
          </cell>
        </row>
        <row r="2449">
          <cell r="A2449">
            <v>8884</v>
          </cell>
        </row>
        <row r="2450">
          <cell r="A2450">
            <v>8885</v>
          </cell>
        </row>
        <row r="2451">
          <cell r="A2451">
            <v>8886</v>
          </cell>
        </row>
        <row r="2452">
          <cell r="A2452">
            <v>8887</v>
          </cell>
        </row>
        <row r="2453">
          <cell r="A2453">
            <v>8888</v>
          </cell>
        </row>
        <row r="2454">
          <cell r="A2454">
            <v>8889</v>
          </cell>
        </row>
        <row r="2455">
          <cell r="A2455">
            <v>8894</v>
          </cell>
        </row>
        <row r="2456">
          <cell r="A2456">
            <v>8895</v>
          </cell>
        </row>
        <row r="2457">
          <cell r="A2457">
            <v>8896</v>
          </cell>
        </row>
        <row r="2458">
          <cell r="A2458">
            <v>8897</v>
          </cell>
        </row>
        <row r="2459">
          <cell r="A2459">
            <v>8898</v>
          </cell>
        </row>
        <row r="2460">
          <cell r="A2460">
            <v>8905</v>
          </cell>
        </row>
        <row r="2461">
          <cell r="A2461">
            <v>8906</v>
          </cell>
        </row>
        <row r="2462">
          <cell r="A2462">
            <v>8907</v>
          </cell>
        </row>
        <row r="2463">
          <cell r="A2463">
            <v>8908</v>
          </cell>
        </row>
        <row r="2464">
          <cell r="A2464">
            <v>8909</v>
          </cell>
        </row>
        <row r="2465">
          <cell r="A2465">
            <v>8910</v>
          </cell>
        </row>
        <row r="2466">
          <cell r="A2466">
            <v>8911</v>
          </cell>
        </row>
        <row r="2467">
          <cell r="A2467">
            <v>8917</v>
          </cell>
        </row>
        <row r="2468">
          <cell r="A2468">
            <v>8918</v>
          </cell>
        </row>
        <row r="2469">
          <cell r="A2469">
            <v>8919</v>
          </cell>
        </row>
        <row r="2470">
          <cell r="A2470">
            <v>8920</v>
          </cell>
        </row>
        <row r="2471">
          <cell r="A2471">
            <v>8921</v>
          </cell>
        </row>
        <row r="2472">
          <cell r="A2472">
            <v>8922</v>
          </cell>
        </row>
        <row r="2473">
          <cell r="A2473">
            <v>8923</v>
          </cell>
        </row>
        <row r="2474">
          <cell r="A2474">
            <v>8924</v>
          </cell>
        </row>
        <row r="2475">
          <cell r="A2475">
            <v>8929</v>
          </cell>
        </row>
        <row r="2476">
          <cell r="A2476">
            <v>8930</v>
          </cell>
        </row>
        <row r="2477">
          <cell r="A2477">
            <v>8931</v>
          </cell>
        </row>
        <row r="2478">
          <cell r="A2478">
            <v>8932</v>
          </cell>
        </row>
        <row r="2479">
          <cell r="A2479">
            <v>8933</v>
          </cell>
        </row>
        <row r="2480">
          <cell r="A2480">
            <v>8934</v>
          </cell>
        </row>
        <row r="2481">
          <cell r="A2481">
            <v>8935</v>
          </cell>
        </row>
        <row r="2482">
          <cell r="A2482">
            <v>8936</v>
          </cell>
        </row>
        <row r="2483">
          <cell r="A2483">
            <v>8937</v>
          </cell>
        </row>
        <row r="2484">
          <cell r="A2484">
            <v>8938</v>
          </cell>
        </row>
        <row r="2485">
          <cell r="A2485">
            <v>8945</v>
          </cell>
        </row>
        <row r="2486">
          <cell r="A2486">
            <v>8946</v>
          </cell>
        </row>
        <row r="2487">
          <cell r="A2487">
            <v>8947</v>
          </cell>
        </row>
        <row r="2488">
          <cell r="A2488">
            <v>8948</v>
          </cell>
        </row>
        <row r="2489">
          <cell r="A2489">
            <v>8949</v>
          </cell>
        </row>
        <row r="2490">
          <cell r="A2490">
            <v>8950</v>
          </cell>
        </row>
        <row r="2491">
          <cell r="A2491">
            <v>8951</v>
          </cell>
        </row>
        <row r="2492">
          <cell r="A2492">
            <v>8952</v>
          </cell>
        </row>
        <row r="2493">
          <cell r="A2493">
            <v>8953</v>
          </cell>
        </row>
        <row r="2494">
          <cell r="A2494">
            <v>8954</v>
          </cell>
        </row>
        <row r="2495">
          <cell r="A2495">
            <v>8955</v>
          </cell>
        </row>
        <row r="2496">
          <cell r="A2496">
            <v>8956</v>
          </cell>
        </row>
        <row r="2497">
          <cell r="A2497">
            <v>8957</v>
          </cell>
        </row>
        <row r="2498">
          <cell r="A2498">
            <v>8958</v>
          </cell>
        </row>
        <row r="2499">
          <cell r="A2499">
            <v>8959</v>
          </cell>
        </row>
        <row r="2500">
          <cell r="A2500">
            <v>8960</v>
          </cell>
        </row>
        <row r="2501">
          <cell r="A2501">
            <v>8961</v>
          </cell>
        </row>
        <row r="2502">
          <cell r="A2502">
            <v>8966</v>
          </cell>
        </row>
        <row r="2503">
          <cell r="A2503">
            <v>8967</v>
          </cell>
        </row>
        <row r="2504">
          <cell r="A2504">
            <v>8968</v>
          </cell>
        </row>
        <row r="2505">
          <cell r="A2505">
            <v>8969</v>
          </cell>
        </row>
        <row r="2506">
          <cell r="A2506">
            <v>8970</v>
          </cell>
        </row>
        <row r="2507">
          <cell r="A2507">
            <v>8971</v>
          </cell>
        </row>
        <row r="2508">
          <cell r="A2508">
            <v>8972</v>
          </cell>
        </row>
        <row r="2509">
          <cell r="A2509">
            <v>8973</v>
          </cell>
        </row>
        <row r="2510">
          <cell r="A2510">
            <v>8974</v>
          </cell>
        </row>
        <row r="2511">
          <cell r="A2511">
            <v>8975</v>
          </cell>
        </row>
        <row r="2512">
          <cell r="A2512">
            <v>8976</v>
          </cell>
        </row>
        <row r="2513">
          <cell r="A2513">
            <v>8977</v>
          </cell>
        </row>
        <row r="2514">
          <cell r="A2514">
            <v>8978</v>
          </cell>
        </row>
        <row r="2515">
          <cell r="A2515">
            <v>8979</v>
          </cell>
        </row>
        <row r="2516">
          <cell r="A2516">
            <v>8980</v>
          </cell>
        </row>
        <row r="2517">
          <cell r="A2517">
            <v>8981</v>
          </cell>
        </row>
        <row r="2518">
          <cell r="A2518">
            <v>8982</v>
          </cell>
        </row>
        <row r="2519">
          <cell r="A2519">
            <v>8983</v>
          </cell>
        </row>
        <row r="2520">
          <cell r="A2520">
            <v>8989</v>
          </cell>
        </row>
        <row r="2521">
          <cell r="A2521">
            <v>8990</v>
          </cell>
        </row>
        <row r="2522">
          <cell r="A2522">
            <v>8991</v>
          </cell>
        </row>
        <row r="2523">
          <cell r="A2523">
            <v>8992</v>
          </cell>
        </row>
        <row r="2524">
          <cell r="A2524">
            <v>8993</v>
          </cell>
        </row>
        <row r="2525">
          <cell r="A2525">
            <v>8994</v>
          </cell>
        </row>
        <row r="2526">
          <cell r="A2526">
            <v>8995</v>
          </cell>
        </row>
        <row r="2527">
          <cell r="A2527">
            <v>8996</v>
          </cell>
        </row>
        <row r="2528">
          <cell r="A2528">
            <v>8997</v>
          </cell>
        </row>
        <row r="2529">
          <cell r="A2529">
            <v>8998</v>
          </cell>
        </row>
        <row r="2530">
          <cell r="A2530">
            <v>8999</v>
          </cell>
        </row>
        <row r="2531">
          <cell r="A2531">
            <v>9000</v>
          </cell>
        </row>
        <row r="2532">
          <cell r="A2532">
            <v>9001</v>
          </cell>
        </row>
        <row r="2533">
          <cell r="A2533">
            <v>9002</v>
          </cell>
        </row>
        <row r="2534">
          <cell r="A2534">
            <v>9003</v>
          </cell>
        </row>
        <row r="2535">
          <cell r="A2535">
            <v>9004</v>
          </cell>
        </row>
        <row r="2536">
          <cell r="A2536">
            <v>9005</v>
          </cell>
        </row>
        <row r="2537">
          <cell r="A2537">
            <v>9013</v>
          </cell>
        </row>
        <row r="2538">
          <cell r="A2538">
            <v>9014.2000000000007</v>
          </cell>
        </row>
        <row r="2539">
          <cell r="A2539">
            <v>9015</v>
          </cell>
        </row>
        <row r="2540">
          <cell r="A2540">
            <v>9016</v>
          </cell>
        </row>
        <row r="2541">
          <cell r="A2541">
            <v>9017</v>
          </cell>
        </row>
        <row r="2542">
          <cell r="A2542">
            <v>9018</v>
          </cell>
        </row>
        <row r="2543">
          <cell r="A2543">
            <v>9019</v>
          </cell>
        </row>
        <row r="2544">
          <cell r="A2544">
            <v>9020</v>
          </cell>
        </row>
        <row r="2545">
          <cell r="A2545">
            <v>9021</v>
          </cell>
        </row>
        <row r="2546">
          <cell r="A2546">
            <v>9022</v>
          </cell>
        </row>
        <row r="2547">
          <cell r="A2547">
            <v>9023</v>
          </cell>
        </row>
        <row r="2548">
          <cell r="A2548">
            <v>9024</v>
          </cell>
        </row>
        <row r="2549">
          <cell r="A2549">
            <v>9025</v>
          </cell>
        </row>
        <row r="2550">
          <cell r="A2550">
            <v>9026</v>
          </cell>
        </row>
        <row r="2551">
          <cell r="A2551">
            <v>9027</v>
          </cell>
        </row>
        <row r="2552">
          <cell r="A2552">
            <v>9034</v>
          </cell>
        </row>
        <row r="2553">
          <cell r="A2553">
            <v>9035</v>
          </cell>
        </row>
        <row r="2554">
          <cell r="A2554">
            <v>9036</v>
          </cell>
        </row>
        <row r="2555">
          <cell r="A2555">
            <v>9037</v>
          </cell>
        </row>
        <row r="2556">
          <cell r="A2556">
            <v>9038</v>
          </cell>
        </row>
        <row r="2557">
          <cell r="A2557">
            <v>9039</v>
          </cell>
        </row>
        <row r="2558">
          <cell r="A2558">
            <v>9040</v>
          </cell>
        </row>
        <row r="2559">
          <cell r="A2559">
            <v>9041</v>
          </cell>
        </row>
        <row r="2560">
          <cell r="A2560">
            <v>9042</v>
          </cell>
        </row>
        <row r="2561">
          <cell r="A2561">
            <v>9043</v>
          </cell>
        </row>
        <row r="2562">
          <cell r="A2562">
            <v>9044</v>
          </cell>
        </row>
        <row r="2563">
          <cell r="A2563">
            <v>9045</v>
          </cell>
        </row>
        <row r="2564">
          <cell r="A2564">
            <v>9046</v>
          </cell>
        </row>
        <row r="2565">
          <cell r="A2565">
            <v>9047</v>
          </cell>
        </row>
        <row r="2566">
          <cell r="A2566">
            <v>9057</v>
          </cell>
        </row>
        <row r="2567">
          <cell r="A2567">
            <v>9058</v>
          </cell>
        </row>
        <row r="2568">
          <cell r="A2568">
            <v>9059</v>
          </cell>
        </row>
        <row r="2569">
          <cell r="A2569">
            <v>9060</v>
          </cell>
        </row>
        <row r="2570">
          <cell r="A2570">
            <v>9061</v>
          </cell>
        </row>
        <row r="2571">
          <cell r="A2571">
            <v>9062</v>
          </cell>
        </row>
        <row r="2572">
          <cell r="A2572">
            <v>9063</v>
          </cell>
        </row>
        <row r="2573">
          <cell r="A2573">
            <v>9064</v>
          </cell>
        </row>
        <row r="2574">
          <cell r="A2574">
            <v>9065</v>
          </cell>
        </row>
        <row r="2575">
          <cell r="A2575">
            <v>9066</v>
          </cell>
        </row>
        <row r="2576">
          <cell r="A2576">
            <v>9067</v>
          </cell>
        </row>
        <row r="2577">
          <cell r="A2577">
            <v>9078</v>
          </cell>
        </row>
        <row r="2578">
          <cell r="A2578">
            <v>9079</v>
          </cell>
        </row>
        <row r="2579">
          <cell r="A2579">
            <v>9080</v>
          </cell>
        </row>
        <row r="2580">
          <cell r="A2580">
            <v>9081</v>
          </cell>
        </row>
        <row r="2581">
          <cell r="A2581">
            <v>9082</v>
          </cell>
        </row>
        <row r="2582">
          <cell r="A2582">
            <v>9083</v>
          </cell>
        </row>
        <row r="2583">
          <cell r="A2583">
            <v>9084</v>
          </cell>
        </row>
        <row r="2584">
          <cell r="A2584">
            <v>9085</v>
          </cell>
        </row>
        <row r="2585">
          <cell r="A2585">
            <v>9086</v>
          </cell>
        </row>
        <row r="2586">
          <cell r="A2586">
            <v>9089</v>
          </cell>
        </row>
        <row r="2587">
          <cell r="A2587">
            <v>9096</v>
          </cell>
        </row>
        <row r="2588">
          <cell r="A2588">
            <v>9097</v>
          </cell>
        </row>
        <row r="2589">
          <cell r="A2589">
            <v>9098</v>
          </cell>
        </row>
        <row r="2590">
          <cell r="A2590">
            <v>9099</v>
          </cell>
        </row>
        <row r="2591">
          <cell r="A2591">
            <v>9100</v>
          </cell>
        </row>
        <row r="2592">
          <cell r="A2592">
            <v>9101</v>
          </cell>
        </row>
        <row r="2593">
          <cell r="A2593">
            <v>9102</v>
          </cell>
        </row>
        <row r="2594">
          <cell r="A2594">
            <v>9103</v>
          </cell>
        </row>
        <row r="2595">
          <cell r="A2595">
            <v>9104</v>
          </cell>
        </row>
        <row r="2596">
          <cell r="A2596">
            <v>9107</v>
          </cell>
        </row>
        <row r="2597">
          <cell r="A2597">
            <v>9115</v>
          </cell>
        </row>
        <row r="2598">
          <cell r="A2598">
            <v>9116</v>
          </cell>
        </row>
        <row r="2599">
          <cell r="A2599">
            <v>9117</v>
          </cell>
        </row>
        <row r="2600">
          <cell r="A2600">
            <v>9118</v>
          </cell>
        </row>
        <row r="2601">
          <cell r="A2601">
            <v>9119</v>
          </cell>
        </row>
        <row r="2602">
          <cell r="A2602">
            <v>9121</v>
          </cell>
        </row>
        <row r="2603">
          <cell r="A2603">
            <v>9123</v>
          </cell>
        </row>
        <row r="2604">
          <cell r="A2604">
            <v>9124</v>
          </cell>
        </row>
        <row r="2605">
          <cell r="A2605">
            <v>9134</v>
          </cell>
        </row>
        <row r="2606">
          <cell r="A2606">
            <v>9135</v>
          </cell>
        </row>
        <row r="2607">
          <cell r="A2607">
            <v>9137</v>
          </cell>
        </row>
        <row r="2608">
          <cell r="A2608">
            <v>9138</v>
          </cell>
        </row>
        <row r="2609">
          <cell r="A2609">
            <v>9139</v>
          </cell>
        </row>
        <row r="2610">
          <cell r="A2610">
            <v>9140</v>
          </cell>
        </row>
        <row r="2611">
          <cell r="A2611">
            <v>9147</v>
          </cell>
        </row>
        <row r="2612">
          <cell r="A2612">
            <v>9148</v>
          </cell>
        </row>
        <row r="2613">
          <cell r="A2613">
            <v>9149</v>
          </cell>
        </row>
        <row r="2614">
          <cell r="A2614">
            <v>9150</v>
          </cell>
        </row>
        <row r="2615">
          <cell r="A2615">
            <v>9151</v>
          </cell>
        </row>
        <row r="2616">
          <cell r="A2616">
            <v>9152</v>
          </cell>
        </row>
        <row r="2617">
          <cell r="A2617">
            <v>9158</v>
          </cell>
        </row>
        <row r="2618">
          <cell r="A2618">
            <v>9159</v>
          </cell>
        </row>
        <row r="2619">
          <cell r="A2619">
            <v>9160</v>
          </cell>
        </row>
        <row r="2620">
          <cell r="A2620">
            <v>9161</v>
          </cell>
        </row>
        <row r="2621">
          <cell r="A2621">
            <v>9162</v>
          </cell>
        </row>
        <row r="2622">
          <cell r="A2622">
            <v>9194</v>
          </cell>
        </row>
        <row r="2623">
          <cell r="A2623">
            <v>9195</v>
          </cell>
        </row>
        <row r="2624">
          <cell r="A2624">
            <v>9200</v>
          </cell>
        </row>
        <row r="2625">
          <cell r="A2625">
            <v>9201</v>
          </cell>
        </row>
        <row r="2626">
          <cell r="A2626">
            <v>9202</v>
          </cell>
        </row>
        <row r="2627">
          <cell r="A2627">
            <v>9207</v>
          </cell>
        </row>
        <row r="2628">
          <cell r="A2628">
            <v>9208</v>
          </cell>
        </row>
        <row r="2629">
          <cell r="A2629">
            <v>9213</v>
          </cell>
        </row>
        <row r="2630">
          <cell r="A2630">
            <v>9214</v>
          </cell>
        </row>
        <row r="2631">
          <cell r="A2631">
            <v>9215</v>
          </cell>
        </row>
        <row r="2632">
          <cell r="A2632">
            <v>9216</v>
          </cell>
        </row>
        <row r="2633">
          <cell r="A2633">
            <v>9217</v>
          </cell>
        </row>
        <row r="2634">
          <cell r="A2634">
            <v>9221</v>
          </cell>
        </row>
        <row r="2635">
          <cell r="A2635">
            <v>9222</v>
          </cell>
        </row>
        <row r="2636">
          <cell r="A2636">
            <v>9223</v>
          </cell>
        </row>
        <row r="2637">
          <cell r="A2637">
            <v>9224</v>
          </cell>
        </row>
        <row r="2638">
          <cell r="A2638">
            <v>9225</v>
          </cell>
        </row>
        <row r="2639">
          <cell r="A2639">
            <v>9226</v>
          </cell>
        </row>
        <row r="2640">
          <cell r="A2640">
            <v>9230</v>
          </cell>
        </row>
        <row r="2641">
          <cell r="A2641">
            <v>9231</v>
          </cell>
        </row>
        <row r="2642">
          <cell r="A2642">
            <v>9232</v>
          </cell>
        </row>
        <row r="2643">
          <cell r="A2643">
            <v>9233</v>
          </cell>
        </row>
        <row r="2644">
          <cell r="A2644">
            <v>9234</v>
          </cell>
        </row>
        <row r="2645">
          <cell r="A2645">
            <v>9240</v>
          </cell>
        </row>
        <row r="2646">
          <cell r="A2646">
            <v>9242</v>
          </cell>
        </row>
        <row r="2647">
          <cell r="A2647">
            <v>9243</v>
          </cell>
        </row>
        <row r="2648">
          <cell r="A2648">
            <v>9251</v>
          </cell>
        </row>
        <row r="2649">
          <cell r="A2649">
            <v>9252</v>
          </cell>
        </row>
        <row r="2650">
          <cell r="A2650">
            <v>9253</v>
          </cell>
        </row>
        <row r="2651">
          <cell r="A2651">
            <v>9262</v>
          </cell>
        </row>
        <row r="2652">
          <cell r="A2652">
            <v>9263</v>
          </cell>
        </row>
        <row r="2653">
          <cell r="A2653">
            <v>9264</v>
          </cell>
        </row>
        <row r="2654">
          <cell r="A2654">
            <v>9265</v>
          </cell>
        </row>
        <row r="2655">
          <cell r="A2655">
            <v>10001</v>
          </cell>
        </row>
        <row r="2656">
          <cell r="A2656">
            <v>10002</v>
          </cell>
        </row>
        <row r="2657">
          <cell r="A2657">
            <v>10003</v>
          </cell>
        </row>
        <row r="2658">
          <cell r="A2658">
            <v>10004</v>
          </cell>
        </row>
        <row r="2659">
          <cell r="A2659">
            <v>10005</v>
          </cell>
        </row>
        <row r="2660">
          <cell r="A2660">
            <v>10006</v>
          </cell>
        </row>
        <row r="2661">
          <cell r="A2661">
            <v>10007</v>
          </cell>
        </row>
        <row r="2662">
          <cell r="A2662">
            <v>10008</v>
          </cell>
        </row>
        <row r="2663">
          <cell r="A2663">
            <v>10009</v>
          </cell>
        </row>
        <row r="2664">
          <cell r="A2664">
            <v>10010</v>
          </cell>
        </row>
        <row r="2665">
          <cell r="A2665">
            <v>10011</v>
          </cell>
        </row>
        <row r="2666">
          <cell r="A2666">
            <v>10012</v>
          </cell>
        </row>
        <row r="2667">
          <cell r="A2667">
            <v>10013</v>
          </cell>
        </row>
        <row r="2668">
          <cell r="A2668">
            <v>10014</v>
          </cell>
        </row>
        <row r="2669">
          <cell r="A2669">
            <v>10015</v>
          </cell>
        </row>
        <row r="2670">
          <cell r="A2670">
            <v>10017</v>
          </cell>
        </row>
        <row r="2671">
          <cell r="A2671">
            <v>10018</v>
          </cell>
        </row>
        <row r="2672">
          <cell r="A2672">
            <v>10019</v>
          </cell>
        </row>
        <row r="2673">
          <cell r="A2673">
            <v>10020</v>
          </cell>
        </row>
        <row r="2674">
          <cell r="A2674">
            <v>10021</v>
          </cell>
        </row>
        <row r="2675">
          <cell r="A2675">
            <v>10022</v>
          </cell>
        </row>
        <row r="2676">
          <cell r="A2676">
            <v>10023</v>
          </cell>
        </row>
        <row r="2677">
          <cell r="A2677">
            <v>10024</v>
          </cell>
        </row>
        <row r="2678">
          <cell r="A2678">
            <v>10025</v>
          </cell>
        </row>
        <row r="2679">
          <cell r="A2679">
            <v>10026</v>
          </cell>
        </row>
        <row r="2680">
          <cell r="A2680">
            <v>10027</v>
          </cell>
        </row>
        <row r="2681">
          <cell r="A2681">
            <v>10028</v>
          </cell>
        </row>
        <row r="2682">
          <cell r="A2682">
            <v>10029</v>
          </cell>
        </row>
        <row r="2683">
          <cell r="A2683">
            <v>10032</v>
          </cell>
        </row>
        <row r="2684">
          <cell r="A2684">
            <v>10033</v>
          </cell>
        </row>
        <row r="2685">
          <cell r="A2685">
            <v>10034</v>
          </cell>
        </row>
        <row r="2686">
          <cell r="A2686">
            <v>10035</v>
          </cell>
        </row>
        <row r="2687">
          <cell r="A2687">
            <v>10036</v>
          </cell>
        </row>
        <row r="2688">
          <cell r="A2688">
            <v>10037</v>
          </cell>
        </row>
        <row r="2689">
          <cell r="A2689">
            <v>10038</v>
          </cell>
        </row>
        <row r="2690">
          <cell r="A2690">
            <v>10039</v>
          </cell>
        </row>
        <row r="2691">
          <cell r="A2691">
            <v>10040</v>
          </cell>
        </row>
        <row r="2692">
          <cell r="A2692">
            <v>10041</v>
          </cell>
        </row>
        <row r="2693">
          <cell r="A2693">
            <v>10042</v>
          </cell>
        </row>
        <row r="2694">
          <cell r="A2694">
            <v>10043</v>
          </cell>
        </row>
        <row r="2695">
          <cell r="A2695">
            <v>10044</v>
          </cell>
        </row>
        <row r="2696">
          <cell r="A2696">
            <v>10047</v>
          </cell>
        </row>
        <row r="2697">
          <cell r="A2697">
            <v>10048</v>
          </cell>
        </row>
        <row r="2698">
          <cell r="A2698">
            <v>10049</v>
          </cell>
        </row>
        <row r="2699">
          <cell r="A2699">
            <v>10050</v>
          </cell>
        </row>
        <row r="2700">
          <cell r="A2700">
            <v>10051</v>
          </cell>
        </row>
        <row r="2701">
          <cell r="A2701">
            <v>10052</v>
          </cell>
        </row>
        <row r="2702">
          <cell r="A2702">
            <v>10053.219999999999</v>
          </cell>
        </row>
        <row r="2703">
          <cell r="A2703">
            <v>10054</v>
          </cell>
        </row>
        <row r="2704">
          <cell r="A2704">
            <v>10055</v>
          </cell>
        </row>
        <row r="2705">
          <cell r="A2705">
            <v>10056</v>
          </cell>
        </row>
        <row r="2706">
          <cell r="A2706">
            <v>10057</v>
          </cell>
        </row>
        <row r="2707">
          <cell r="A2707">
            <v>10058</v>
          </cell>
        </row>
        <row r="2708">
          <cell r="A2708">
            <v>10059</v>
          </cell>
        </row>
        <row r="2709">
          <cell r="A2709">
            <v>10062</v>
          </cell>
        </row>
        <row r="2710">
          <cell r="A2710">
            <v>10063</v>
          </cell>
        </row>
        <row r="2711">
          <cell r="A2711">
            <v>10064</v>
          </cell>
        </row>
        <row r="2712">
          <cell r="A2712">
            <v>10065</v>
          </cell>
        </row>
        <row r="2713">
          <cell r="A2713">
            <v>10066</v>
          </cell>
        </row>
        <row r="2714">
          <cell r="A2714">
            <v>10067</v>
          </cell>
        </row>
        <row r="2715">
          <cell r="A2715">
            <v>10068</v>
          </cell>
        </row>
        <row r="2716">
          <cell r="A2716">
            <v>10069</v>
          </cell>
        </row>
        <row r="2717">
          <cell r="A2717">
            <v>10073</v>
          </cell>
        </row>
        <row r="2718">
          <cell r="A2718">
            <v>10074</v>
          </cell>
        </row>
        <row r="2719">
          <cell r="A2719">
            <v>10075</v>
          </cell>
        </row>
        <row r="2720">
          <cell r="A2720">
            <v>10076</v>
          </cell>
        </row>
        <row r="2721">
          <cell r="A2721">
            <v>10077</v>
          </cell>
        </row>
        <row r="2722">
          <cell r="A2722">
            <v>10078</v>
          </cell>
        </row>
        <row r="2723">
          <cell r="A2723">
            <v>10079</v>
          </cell>
        </row>
        <row r="2724">
          <cell r="A2724">
            <v>10080</v>
          </cell>
        </row>
        <row r="2725">
          <cell r="A2725">
            <v>10081</v>
          </cell>
        </row>
        <row r="2726">
          <cell r="A2726">
            <v>10084</v>
          </cell>
        </row>
        <row r="2727">
          <cell r="A2727">
            <v>10085</v>
          </cell>
        </row>
        <row r="2728">
          <cell r="A2728">
            <v>10086</v>
          </cell>
        </row>
        <row r="2729">
          <cell r="A2729">
            <v>10087</v>
          </cell>
        </row>
        <row r="2730">
          <cell r="A2730">
            <v>10088</v>
          </cell>
        </row>
        <row r="2731">
          <cell r="A2731">
            <v>10089</v>
          </cell>
        </row>
        <row r="2732">
          <cell r="A2732">
            <v>10090</v>
          </cell>
        </row>
        <row r="2733">
          <cell r="A2733">
            <v>10091</v>
          </cell>
        </row>
        <row r="2734">
          <cell r="A2734">
            <v>10095</v>
          </cell>
        </row>
        <row r="2735">
          <cell r="A2735">
            <v>10096</v>
          </cell>
        </row>
        <row r="2736">
          <cell r="A2736">
            <v>10097</v>
          </cell>
        </row>
        <row r="2737">
          <cell r="A2737">
            <v>10098</v>
          </cell>
        </row>
        <row r="2738">
          <cell r="A2738">
            <v>10099</v>
          </cell>
        </row>
        <row r="2739">
          <cell r="A2739">
            <v>10100</v>
          </cell>
        </row>
        <row r="2740">
          <cell r="A2740">
            <v>10110</v>
          </cell>
        </row>
        <row r="2741">
          <cell r="A2741">
            <v>10111</v>
          </cell>
        </row>
        <row r="2742">
          <cell r="A2742">
            <v>10112</v>
          </cell>
        </row>
        <row r="2743">
          <cell r="A2743">
            <v>10113</v>
          </cell>
        </row>
        <row r="2744">
          <cell r="A2744">
            <v>10114</v>
          </cell>
        </row>
        <row r="2745">
          <cell r="A2745">
            <v>10115</v>
          </cell>
        </row>
        <row r="2746">
          <cell r="A2746">
            <v>10116</v>
          </cell>
        </row>
        <row r="2747">
          <cell r="A2747">
            <v>10117</v>
          </cell>
        </row>
        <row r="2748">
          <cell r="A2748">
            <v>10118</v>
          </cell>
        </row>
        <row r="2749">
          <cell r="A2749">
            <v>10119</v>
          </cell>
        </row>
        <row r="2750">
          <cell r="A2750">
            <v>10120</v>
          </cell>
        </row>
        <row r="2751">
          <cell r="A2751">
            <v>10121</v>
          </cell>
        </row>
        <row r="2752">
          <cell r="A2752">
            <v>10122</v>
          </cell>
        </row>
        <row r="2753">
          <cell r="A2753">
            <v>10123</v>
          </cell>
        </row>
        <row r="2754">
          <cell r="A2754">
            <v>10124</v>
          </cell>
        </row>
        <row r="2755">
          <cell r="A2755">
            <v>10125</v>
          </cell>
        </row>
        <row r="2756">
          <cell r="A2756">
            <v>10126</v>
          </cell>
        </row>
        <row r="2757">
          <cell r="A2757">
            <v>10134</v>
          </cell>
        </row>
        <row r="2758">
          <cell r="A2758">
            <v>10135</v>
          </cell>
        </row>
        <row r="2759">
          <cell r="A2759">
            <v>10136</v>
          </cell>
        </row>
        <row r="2760">
          <cell r="A2760">
            <v>10137</v>
          </cell>
        </row>
        <row r="2761">
          <cell r="A2761">
            <v>10138</v>
          </cell>
        </row>
        <row r="2762">
          <cell r="A2762">
            <v>10139</v>
          </cell>
        </row>
        <row r="2763">
          <cell r="A2763">
            <v>10140</v>
          </cell>
        </row>
        <row r="2764">
          <cell r="A2764">
            <v>10141</v>
          </cell>
        </row>
        <row r="2765">
          <cell r="A2765">
            <v>10142</v>
          </cell>
        </row>
        <row r="2766">
          <cell r="A2766">
            <v>10143</v>
          </cell>
        </row>
        <row r="2767">
          <cell r="A2767">
            <v>10144</v>
          </cell>
        </row>
        <row r="2768">
          <cell r="A2768">
            <v>10145</v>
          </cell>
        </row>
        <row r="2769">
          <cell r="A2769">
            <v>10146</v>
          </cell>
        </row>
        <row r="2770">
          <cell r="A2770">
            <v>10147</v>
          </cell>
        </row>
        <row r="2771">
          <cell r="A2771">
            <v>10148</v>
          </cell>
        </row>
        <row r="2772">
          <cell r="A2772">
            <v>10149</v>
          </cell>
        </row>
        <row r="2773">
          <cell r="A2773">
            <v>10150</v>
          </cell>
        </row>
        <row r="2774">
          <cell r="A2774">
            <v>10157</v>
          </cell>
        </row>
        <row r="2775">
          <cell r="A2775">
            <v>10158</v>
          </cell>
        </row>
        <row r="2776">
          <cell r="A2776">
            <v>10159</v>
          </cell>
        </row>
        <row r="2777">
          <cell r="A2777">
            <v>10160</v>
          </cell>
        </row>
        <row r="2778">
          <cell r="A2778">
            <v>10161</v>
          </cell>
        </row>
        <row r="2779">
          <cell r="A2779">
            <v>10162</v>
          </cell>
        </row>
        <row r="2780">
          <cell r="A2780">
            <v>10163.200000000001</v>
          </cell>
        </row>
        <row r="2781">
          <cell r="A2781">
            <v>10164</v>
          </cell>
        </row>
        <row r="2782">
          <cell r="A2782">
            <v>10165</v>
          </cell>
        </row>
        <row r="2783">
          <cell r="A2783">
            <v>10166</v>
          </cell>
        </row>
        <row r="2784">
          <cell r="A2784">
            <v>10167</v>
          </cell>
        </row>
        <row r="2785">
          <cell r="A2785">
            <v>10176</v>
          </cell>
        </row>
        <row r="2786">
          <cell r="A2786">
            <v>10177</v>
          </cell>
        </row>
        <row r="2787">
          <cell r="A2787">
            <v>10178</v>
          </cell>
        </row>
        <row r="2788">
          <cell r="A2788">
            <v>10179</v>
          </cell>
        </row>
        <row r="2789">
          <cell r="A2789">
            <v>10180</v>
          </cell>
        </row>
        <row r="2790">
          <cell r="A2790">
            <v>10181</v>
          </cell>
        </row>
        <row r="2791">
          <cell r="A2791">
            <v>10182</v>
          </cell>
        </row>
        <row r="2792">
          <cell r="A2792">
            <v>10183</v>
          </cell>
        </row>
        <row r="2793">
          <cell r="A2793">
            <v>10184</v>
          </cell>
        </row>
        <row r="2794">
          <cell r="A2794">
            <v>10185</v>
          </cell>
        </row>
        <row r="2795">
          <cell r="A2795">
            <v>10186</v>
          </cell>
        </row>
        <row r="2796">
          <cell r="A2796">
            <v>10187</v>
          </cell>
        </row>
        <row r="2797">
          <cell r="A2797">
            <v>10194</v>
          </cell>
        </row>
        <row r="2798">
          <cell r="A2798">
            <v>10501</v>
          </cell>
        </row>
        <row r="2799">
          <cell r="A2799">
            <v>10502</v>
          </cell>
        </row>
        <row r="2800">
          <cell r="A2800">
            <v>10503</v>
          </cell>
        </row>
        <row r="2801">
          <cell r="A2801">
            <v>10504</v>
          </cell>
        </row>
        <row r="2802">
          <cell r="A2802">
            <v>10505</v>
          </cell>
        </row>
        <row r="2803">
          <cell r="A2803">
            <v>10509</v>
          </cell>
        </row>
        <row r="2804">
          <cell r="A2804">
            <v>10510</v>
          </cell>
        </row>
        <row r="2805">
          <cell r="A2805">
            <v>10514</v>
          </cell>
        </row>
        <row r="2806">
          <cell r="A2806">
            <v>10515</v>
          </cell>
        </row>
        <row r="2807">
          <cell r="A2807">
            <v>10516</v>
          </cell>
        </row>
        <row r="2808">
          <cell r="A2808">
            <v>10517</v>
          </cell>
        </row>
        <row r="2809">
          <cell r="A2809">
            <v>10518</v>
          </cell>
        </row>
        <row r="2810">
          <cell r="A2810">
            <v>10522</v>
          </cell>
        </row>
        <row r="2811">
          <cell r="A2811">
            <v>10523</v>
          </cell>
        </row>
        <row r="2812">
          <cell r="A2812">
            <v>10524</v>
          </cell>
        </row>
        <row r="2813">
          <cell r="A2813">
            <v>10525</v>
          </cell>
        </row>
        <row r="2814">
          <cell r="A2814">
            <v>10530</v>
          </cell>
        </row>
        <row r="2815">
          <cell r="A2815">
            <v>10531</v>
          </cell>
        </row>
        <row r="2816">
          <cell r="A2816">
            <v>10532</v>
          </cell>
        </row>
        <row r="2817">
          <cell r="A2817">
            <v>10533</v>
          </cell>
        </row>
        <row r="2818">
          <cell r="A2818">
            <v>10534</v>
          </cell>
        </row>
        <row r="2819">
          <cell r="A2819">
            <v>10535</v>
          </cell>
        </row>
        <row r="2820">
          <cell r="A2820">
            <v>10539</v>
          </cell>
        </row>
        <row r="2821">
          <cell r="A2821">
            <v>10540</v>
          </cell>
        </row>
        <row r="2822">
          <cell r="A2822">
            <v>10541</v>
          </cell>
        </row>
        <row r="2823">
          <cell r="A2823">
            <v>10542</v>
          </cell>
        </row>
        <row r="2824">
          <cell r="A2824">
            <v>10546</v>
          </cell>
        </row>
        <row r="2825">
          <cell r="A2825">
            <v>10547</v>
          </cell>
        </row>
        <row r="2826">
          <cell r="A2826">
            <v>10548</v>
          </cell>
        </row>
        <row r="2827">
          <cell r="A2827">
            <v>10549</v>
          </cell>
        </row>
        <row r="2828">
          <cell r="A2828">
            <v>10550</v>
          </cell>
        </row>
        <row r="2829">
          <cell r="A2829">
            <v>10551</v>
          </cell>
        </row>
        <row r="2830">
          <cell r="A2830">
            <v>10552</v>
          </cell>
        </row>
        <row r="2831">
          <cell r="A2831">
            <v>10559</v>
          </cell>
        </row>
        <row r="2832">
          <cell r="A2832">
            <v>10560</v>
          </cell>
        </row>
        <row r="2833">
          <cell r="A2833">
            <v>10561</v>
          </cell>
        </row>
        <row r="2834">
          <cell r="A2834">
            <v>10571</v>
          </cell>
        </row>
        <row r="2835">
          <cell r="A2835">
            <v>10572</v>
          </cell>
        </row>
        <row r="2836">
          <cell r="A2836">
            <v>10573</v>
          </cell>
        </row>
        <row r="2837">
          <cell r="A2837">
            <v>10574</v>
          </cell>
        </row>
        <row r="2838">
          <cell r="A2838">
            <v>10575</v>
          </cell>
        </row>
        <row r="2839">
          <cell r="A2839">
            <v>10584</v>
          </cell>
        </row>
        <row r="2840">
          <cell r="A2840">
            <v>10585</v>
          </cell>
        </row>
        <row r="2841">
          <cell r="A2841">
            <v>10586</v>
          </cell>
        </row>
        <row r="2842">
          <cell r="A2842">
            <v>10596</v>
          </cell>
        </row>
        <row r="2843">
          <cell r="A2843">
            <v>10597</v>
          </cell>
        </row>
        <row r="2844">
          <cell r="A2844">
            <v>10598</v>
          </cell>
        </row>
        <row r="2845">
          <cell r="A2845">
            <v>10599</v>
          </cell>
        </row>
        <row r="2846">
          <cell r="A2846">
            <v>10613</v>
          </cell>
        </row>
        <row r="2847">
          <cell r="A2847">
            <v>10614</v>
          </cell>
        </row>
        <row r="2848">
          <cell r="A2848">
            <v>10709</v>
          </cell>
        </row>
        <row r="2849">
          <cell r="A2849">
            <v>10712</v>
          </cell>
        </row>
        <row r="2850">
          <cell r="A2850">
            <v>10720</v>
          </cell>
        </row>
        <row r="2851">
          <cell r="A2851">
            <v>10732</v>
          </cell>
        </row>
        <row r="2852">
          <cell r="A2852">
            <v>10737</v>
          </cell>
        </row>
        <row r="2853">
          <cell r="A2853">
            <v>10746</v>
          </cell>
        </row>
        <row r="2854">
          <cell r="A2854">
            <v>10747</v>
          </cell>
        </row>
        <row r="2855">
          <cell r="A2855">
            <v>10748</v>
          </cell>
        </row>
        <row r="2856">
          <cell r="A2856">
            <v>10749</v>
          </cell>
        </row>
        <row r="2857">
          <cell r="A2857">
            <v>10750</v>
          </cell>
        </row>
        <row r="2858">
          <cell r="A2858">
            <v>10756</v>
          </cell>
        </row>
        <row r="2859">
          <cell r="A2859">
            <v>10757</v>
          </cell>
        </row>
        <row r="2860">
          <cell r="A2860">
            <v>10758</v>
          </cell>
        </row>
        <row r="2861">
          <cell r="A2861">
            <v>10807</v>
          </cell>
        </row>
        <row r="2862">
          <cell r="A2862">
            <v>10808</v>
          </cell>
        </row>
        <row r="2863">
          <cell r="A2863">
            <v>10809</v>
          </cell>
        </row>
        <row r="2864">
          <cell r="A2864">
            <v>10872</v>
          </cell>
        </row>
        <row r="2865">
          <cell r="A2865">
            <v>11200</v>
          </cell>
        </row>
        <row r="2866">
          <cell r="A2866">
            <v>11201</v>
          </cell>
        </row>
        <row r="2867">
          <cell r="A2867">
            <v>11202</v>
          </cell>
        </row>
        <row r="2868">
          <cell r="A2868">
            <v>11205</v>
          </cell>
        </row>
        <row r="2869">
          <cell r="A2869">
            <v>11206</v>
          </cell>
        </row>
        <row r="2870">
          <cell r="A2870">
            <v>11207</v>
          </cell>
        </row>
        <row r="2871">
          <cell r="A2871">
            <v>11208</v>
          </cell>
        </row>
        <row r="2872">
          <cell r="A2872">
            <v>11209</v>
          </cell>
        </row>
        <row r="2873">
          <cell r="A2873">
            <v>11210</v>
          </cell>
        </row>
        <row r="2874">
          <cell r="A2874">
            <v>11213</v>
          </cell>
        </row>
        <row r="2875">
          <cell r="A2875">
            <v>11214</v>
          </cell>
        </row>
        <row r="2876">
          <cell r="A2876">
            <v>11234</v>
          </cell>
        </row>
        <row r="2877">
          <cell r="A2877">
            <v>11235</v>
          </cell>
        </row>
        <row r="2878">
          <cell r="A2878">
            <v>11236</v>
          </cell>
        </row>
        <row r="2879">
          <cell r="A2879">
            <v>11237</v>
          </cell>
        </row>
        <row r="2880">
          <cell r="A2880">
            <v>11238</v>
          </cell>
        </row>
        <row r="2881">
          <cell r="A2881">
            <v>11239</v>
          </cell>
        </row>
        <row r="2882">
          <cell r="A2882">
            <v>11240</v>
          </cell>
        </row>
        <row r="2883">
          <cell r="A2883">
            <v>11241</v>
          </cell>
        </row>
        <row r="2884">
          <cell r="A2884">
            <v>11242</v>
          </cell>
        </row>
        <row r="2885">
          <cell r="A2885">
            <v>11243</v>
          </cell>
        </row>
        <row r="2886">
          <cell r="A2886">
            <v>11244</v>
          </cell>
        </row>
        <row r="2887">
          <cell r="A2887">
            <v>11245</v>
          </cell>
        </row>
        <row r="2888">
          <cell r="A2888">
            <v>11246</v>
          </cell>
        </row>
        <row r="2889">
          <cell r="A2889">
            <v>11247</v>
          </cell>
        </row>
        <row r="2890">
          <cell r="A2890">
            <v>11248</v>
          </cell>
        </row>
        <row r="2891">
          <cell r="A2891">
            <v>11249</v>
          </cell>
        </row>
        <row r="2892">
          <cell r="A2892">
            <v>11250</v>
          </cell>
        </row>
        <row r="2893">
          <cell r="A2893">
            <v>11253</v>
          </cell>
        </row>
        <row r="2894">
          <cell r="A2894">
            <v>11254</v>
          </cell>
        </row>
        <row r="2895">
          <cell r="A2895">
            <v>11255</v>
          </cell>
        </row>
        <row r="2896">
          <cell r="A2896">
            <v>11256</v>
          </cell>
        </row>
        <row r="2897">
          <cell r="A2897">
            <v>11257</v>
          </cell>
        </row>
        <row r="2898">
          <cell r="A2898">
            <v>11258</v>
          </cell>
        </row>
        <row r="2899">
          <cell r="A2899">
            <v>11259</v>
          </cell>
        </row>
        <row r="2900">
          <cell r="A2900">
            <v>11260</v>
          </cell>
        </row>
        <row r="2901">
          <cell r="A2901">
            <v>11261</v>
          </cell>
        </row>
        <row r="2902">
          <cell r="A2902">
            <v>11264</v>
          </cell>
        </row>
        <row r="2903">
          <cell r="A2903">
            <v>11265</v>
          </cell>
        </row>
        <row r="2904">
          <cell r="A2904">
            <v>11266</v>
          </cell>
        </row>
        <row r="2905">
          <cell r="A2905">
            <v>11267</v>
          </cell>
        </row>
        <row r="2906">
          <cell r="A2906">
            <v>11268</v>
          </cell>
        </row>
        <row r="2907">
          <cell r="A2907">
            <v>11269</v>
          </cell>
        </row>
        <row r="2908">
          <cell r="A2908">
            <v>11270</v>
          </cell>
        </row>
        <row r="2909">
          <cell r="A2909">
            <v>11271</v>
          </cell>
        </row>
        <row r="2910">
          <cell r="A2910">
            <v>11272</v>
          </cell>
        </row>
        <row r="2911">
          <cell r="A2911">
            <v>11274</v>
          </cell>
        </row>
        <row r="2912">
          <cell r="A2912">
            <v>11275</v>
          </cell>
        </row>
        <row r="2913">
          <cell r="A2913">
            <v>11277</v>
          </cell>
        </row>
        <row r="2914">
          <cell r="A2914">
            <v>11278</v>
          </cell>
        </row>
        <row r="2915">
          <cell r="A2915">
            <v>11279</v>
          </cell>
        </row>
        <row r="2916">
          <cell r="A2916">
            <v>11280</v>
          </cell>
        </row>
        <row r="2917">
          <cell r="A2917">
            <v>11281</v>
          </cell>
        </row>
        <row r="2918">
          <cell r="A2918">
            <v>11282</v>
          </cell>
        </row>
        <row r="2919">
          <cell r="A2919">
            <v>11283</v>
          </cell>
        </row>
        <row r="2920">
          <cell r="A2920">
            <v>11284</v>
          </cell>
        </row>
        <row r="2921">
          <cell r="A2921">
            <v>11286</v>
          </cell>
        </row>
        <row r="2922">
          <cell r="A2922">
            <v>11287</v>
          </cell>
        </row>
        <row r="2923">
          <cell r="A2923">
            <v>11288</v>
          </cell>
        </row>
        <row r="2924">
          <cell r="A2924">
            <v>11289</v>
          </cell>
        </row>
        <row r="2925">
          <cell r="A2925">
            <v>11290</v>
          </cell>
        </row>
        <row r="2926">
          <cell r="A2926">
            <v>11291</v>
          </cell>
        </row>
        <row r="2927">
          <cell r="A2927">
            <v>11292</v>
          </cell>
        </row>
        <row r="2928">
          <cell r="A2928">
            <v>11293</v>
          </cell>
        </row>
        <row r="2929">
          <cell r="A2929">
            <v>11294</v>
          </cell>
        </row>
        <row r="2930">
          <cell r="A2930">
            <v>11295</v>
          </cell>
        </row>
        <row r="2931">
          <cell r="A2931">
            <v>11296</v>
          </cell>
        </row>
        <row r="2932">
          <cell r="A2932">
            <v>11297</v>
          </cell>
        </row>
        <row r="2933">
          <cell r="A2933">
            <v>11298</v>
          </cell>
        </row>
        <row r="2934">
          <cell r="A2934">
            <v>11299</v>
          </cell>
        </row>
        <row r="2935">
          <cell r="A2935">
            <v>11300</v>
          </cell>
        </row>
        <row r="2936">
          <cell r="A2936">
            <v>11301</v>
          </cell>
        </row>
        <row r="2937">
          <cell r="A2937">
            <v>11302</v>
          </cell>
        </row>
        <row r="2938">
          <cell r="A2938">
            <v>11303</v>
          </cell>
        </row>
        <row r="2939">
          <cell r="A2939">
            <v>11304</v>
          </cell>
        </row>
        <row r="2940">
          <cell r="A2940">
            <v>11305</v>
          </cell>
        </row>
        <row r="2941">
          <cell r="A2941">
            <v>11306</v>
          </cell>
        </row>
        <row r="2942">
          <cell r="A2942">
            <v>11307</v>
          </cell>
        </row>
        <row r="2943">
          <cell r="A2943">
            <v>11308</v>
          </cell>
        </row>
        <row r="2944">
          <cell r="A2944">
            <v>11309</v>
          </cell>
        </row>
        <row r="2945">
          <cell r="A2945">
            <v>11310</v>
          </cell>
        </row>
        <row r="2946">
          <cell r="A2946">
            <v>11311</v>
          </cell>
        </row>
        <row r="2947">
          <cell r="A2947">
            <v>11312</v>
          </cell>
        </row>
        <row r="2948">
          <cell r="A2948">
            <v>11313</v>
          </cell>
        </row>
        <row r="2949">
          <cell r="A2949">
            <v>11314</v>
          </cell>
        </row>
        <row r="2950">
          <cell r="A2950">
            <v>11315</v>
          </cell>
        </row>
        <row r="2951">
          <cell r="A2951">
            <v>11316</v>
          </cell>
        </row>
        <row r="2952">
          <cell r="A2952">
            <v>11317</v>
          </cell>
        </row>
        <row r="2953">
          <cell r="A2953">
            <v>11318</v>
          </cell>
        </row>
        <row r="2954">
          <cell r="A2954">
            <v>11319</v>
          </cell>
        </row>
        <row r="2955">
          <cell r="A2955">
            <v>11320</v>
          </cell>
        </row>
        <row r="2956">
          <cell r="A2956">
            <v>11321</v>
          </cell>
        </row>
        <row r="2957">
          <cell r="A2957">
            <v>11322</v>
          </cell>
        </row>
        <row r="2958">
          <cell r="A2958">
            <v>11324</v>
          </cell>
        </row>
        <row r="2959">
          <cell r="A2959">
            <v>11501</v>
          </cell>
        </row>
        <row r="2960">
          <cell r="A2960">
            <v>11504</v>
          </cell>
        </row>
        <row r="2961">
          <cell r="A2961">
            <v>11506</v>
          </cell>
        </row>
        <row r="2962">
          <cell r="A2962">
            <v>11507</v>
          </cell>
        </row>
        <row r="2963">
          <cell r="A2963">
            <v>11508</v>
          </cell>
        </row>
        <row r="2964">
          <cell r="A2964">
            <v>11509</v>
          </cell>
        </row>
        <row r="2965">
          <cell r="A2965">
            <v>11511</v>
          </cell>
        </row>
        <row r="2966">
          <cell r="A2966">
            <v>11512.2</v>
          </cell>
        </row>
        <row r="2967">
          <cell r="A2967">
            <v>11513</v>
          </cell>
        </row>
        <row r="2968">
          <cell r="A2968">
            <v>11515</v>
          </cell>
        </row>
        <row r="2969">
          <cell r="A2969">
            <v>11516</v>
          </cell>
        </row>
        <row r="2970">
          <cell r="A2970">
            <v>11517</v>
          </cell>
        </row>
        <row r="2971">
          <cell r="A2971">
            <v>11518</v>
          </cell>
        </row>
        <row r="2972">
          <cell r="A2972">
            <v>11519</v>
          </cell>
        </row>
        <row r="2973">
          <cell r="A2973">
            <v>11520</v>
          </cell>
        </row>
        <row r="2974">
          <cell r="A2974">
            <v>11521</v>
          </cell>
        </row>
        <row r="2975">
          <cell r="A2975">
            <v>11522</v>
          </cell>
        </row>
        <row r="2976">
          <cell r="A2976">
            <v>11523</v>
          </cell>
        </row>
        <row r="2977">
          <cell r="A2977">
            <v>11524</v>
          </cell>
        </row>
        <row r="2978">
          <cell r="A2978">
            <v>11525</v>
          </cell>
        </row>
        <row r="2979">
          <cell r="A2979">
            <v>11526</v>
          </cell>
        </row>
        <row r="2980">
          <cell r="A2980">
            <v>11527</v>
          </cell>
        </row>
        <row r="2981">
          <cell r="A2981">
            <v>11528</v>
          </cell>
        </row>
        <row r="2982">
          <cell r="A2982">
            <v>11529</v>
          </cell>
        </row>
        <row r="2983">
          <cell r="A2983">
            <v>11530</v>
          </cell>
        </row>
        <row r="2984">
          <cell r="A2984">
            <v>11531</v>
          </cell>
        </row>
        <row r="2985">
          <cell r="A2985">
            <v>11533</v>
          </cell>
        </row>
        <row r="2986">
          <cell r="A2986">
            <v>11534</v>
          </cell>
        </row>
        <row r="2987">
          <cell r="A2987">
            <v>11535</v>
          </cell>
        </row>
        <row r="2988">
          <cell r="A2988">
            <v>11536</v>
          </cell>
        </row>
        <row r="2989">
          <cell r="A2989">
            <v>11537</v>
          </cell>
        </row>
        <row r="2990">
          <cell r="A2990">
            <v>11538</v>
          </cell>
        </row>
        <row r="2991">
          <cell r="A2991">
            <v>11539</v>
          </cell>
        </row>
        <row r="2992">
          <cell r="A2992">
            <v>11540</v>
          </cell>
        </row>
        <row r="2993">
          <cell r="A2993">
            <v>11541</v>
          </cell>
        </row>
        <row r="2994">
          <cell r="A2994">
            <v>11542</v>
          </cell>
        </row>
        <row r="2995">
          <cell r="A2995">
            <v>11543</v>
          </cell>
        </row>
        <row r="2996">
          <cell r="A2996">
            <v>11545</v>
          </cell>
        </row>
        <row r="2997">
          <cell r="A2997">
            <v>11547</v>
          </cell>
        </row>
        <row r="2998">
          <cell r="A2998">
            <v>11549</v>
          </cell>
        </row>
        <row r="2999">
          <cell r="A2999">
            <v>11550</v>
          </cell>
        </row>
        <row r="3000">
          <cell r="A3000">
            <v>11551</v>
          </cell>
        </row>
        <row r="3001">
          <cell r="A3001">
            <v>11552</v>
          </cell>
        </row>
        <row r="3002">
          <cell r="A3002">
            <v>11553</v>
          </cell>
        </row>
        <row r="3003">
          <cell r="A3003">
            <v>20009</v>
          </cell>
        </row>
        <row r="3004">
          <cell r="A3004">
            <v>20021</v>
          </cell>
        </row>
        <row r="3005">
          <cell r="A3005">
            <v>20023</v>
          </cell>
        </row>
        <row r="3006">
          <cell r="A3006">
            <v>20029</v>
          </cell>
        </row>
        <row r="3007">
          <cell r="A3007">
            <v>20033</v>
          </cell>
        </row>
        <row r="3008">
          <cell r="A3008">
            <v>20037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МПОР"/>
      <sheetName val="дебит"/>
      <sheetName val="ГТИ"/>
      <sheetName val="спр"/>
      <sheetName val="ОСН"/>
      <sheetName val="глуш"/>
      <sheetName val="Перфорация"/>
      <sheetName val="ГИС"/>
      <sheetName val="Гироскоп"/>
      <sheetName val="Накоп.ремонты"/>
      <sheetName val="ЭЦН"/>
      <sheetName val="ШГН"/>
      <sheetName val="План заказ КРС"/>
    </sheetNames>
    <sheetDataSet>
      <sheetData sheetId="0" refreshError="1"/>
      <sheetData sheetId="1" refreshError="1"/>
      <sheetData sheetId="2" refreshError="1">
        <row r="7">
          <cell r="A7">
            <v>171</v>
          </cell>
        </row>
        <row r="8">
          <cell r="A8">
            <v>186</v>
          </cell>
        </row>
        <row r="9">
          <cell r="A9">
            <v>193</v>
          </cell>
        </row>
        <row r="10">
          <cell r="A10">
            <v>197</v>
          </cell>
        </row>
        <row r="11">
          <cell r="A11">
            <v>199</v>
          </cell>
        </row>
        <row r="12">
          <cell r="A12">
            <v>200</v>
          </cell>
        </row>
        <row r="13">
          <cell r="A13">
            <v>201</v>
          </cell>
        </row>
        <row r="14">
          <cell r="A14">
            <v>202</v>
          </cell>
        </row>
        <row r="15">
          <cell r="A15">
            <v>203.2</v>
          </cell>
        </row>
        <row r="16">
          <cell r="A16">
            <v>206</v>
          </cell>
        </row>
        <row r="17">
          <cell r="A17">
            <v>232</v>
          </cell>
        </row>
        <row r="18">
          <cell r="A18">
            <v>233</v>
          </cell>
        </row>
        <row r="19">
          <cell r="A19">
            <v>234</v>
          </cell>
        </row>
        <row r="20">
          <cell r="A20">
            <v>235</v>
          </cell>
        </row>
        <row r="21">
          <cell r="A21">
            <v>236</v>
          </cell>
        </row>
        <row r="22">
          <cell r="A22">
            <v>237</v>
          </cell>
        </row>
        <row r="23">
          <cell r="A23">
            <v>238</v>
          </cell>
        </row>
        <row r="24">
          <cell r="A24">
            <v>239</v>
          </cell>
        </row>
        <row r="25">
          <cell r="A25">
            <v>259</v>
          </cell>
        </row>
        <row r="26">
          <cell r="A26">
            <v>273</v>
          </cell>
        </row>
        <row r="27">
          <cell r="A27">
            <v>274</v>
          </cell>
        </row>
        <row r="28">
          <cell r="A28">
            <v>275</v>
          </cell>
        </row>
        <row r="29">
          <cell r="A29">
            <v>276</v>
          </cell>
        </row>
        <row r="30">
          <cell r="A30">
            <v>277</v>
          </cell>
        </row>
        <row r="31">
          <cell r="A31">
            <v>278</v>
          </cell>
        </row>
        <row r="32">
          <cell r="A32">
            <v>279</v>
          </cell>
        </row>
        <row r="33">
          <cell r="A33">
            <v>280</v>
          </cell>
        </row>
        <row r="34">
          <cell r="A34">
            <v>281</v>
          </cell>
        </row>
        <row r="35">
          <cell r="A35">
            <v>282</v>
          </cell>
        </row>
        <row r="36">
          <cell r="A36">
            <v>283</v>
          </cell>
        </row>
        <row r="37">
          <cell r="A37">
            <v>284</v>
          </cell>
        </row>
        <row r="38">
          <cell r="A38">
            <v>285</v>
          </cell>
        </row>
        <row r="39">
          <cell r="A39">
            <v>286</v>
          </cell>
        </row>
        <row r="40">
          <cell r="A40">
            <v>287</v>
          </cell>
        </row>
        <row r="41">
          <cell r="A41">
            <v>288</v>
          </cell>
        </row>
        <row r="42">
          <cell r="A42">
            <v>289</v>
          </cell>
        </row>
        <row r="43">
          <cell r="A43">
            <v>290</v>
          </cell>
        </row>
        <row r="44">
          <cell r="A44">
            <v>291</v>
          </cell>
        </row>
        <row r="45">
          <cell r="A45">
            <v>292</v>
          </cell>
        </row>
        <row r="46">
          <cell r="A46">
            <v>293</v>
          </cell>
        </row>
        <row r="47">
          <cell r="A47">
            <v>294</v>
          </cell>
        </row>
        <row r="48">
          <cell r="A48">
            <v>295</v>
          </cell>
        </row>
        <row r="49">
          <cell r="A49">
            <v>296</v>
          </cell>
        </row>
        <row r="50">
          <cell r="A50">
            <v>297</v>
          </cell>
        </row>
        <row r="51">
          <cell r="A51">
            <v>298</v>
          </cell>
        </row>
        <row r="52">
          <cell r="A52">
            <v>299</v>
          </cell>
        </row>
        <row r="53">
          <cell r="A53">
            <v>300</v>
          </cell>
        </row>
        <row r="54">
          <cell r="A54">
            <v>301</v>
          </cell>
        </row>
        <row r="55">
          <cell r="A55">
            <v>314</v>
          </cell>
        </row>
        <row r="56">
          <cell r="A56">
            <v>315</v>
          </cell>
        </row>
        <row r="57">
          <cell r="A57">
            <v>316</v>
          </cell>
        </row>
        <row r="58">
          <cell r="A58">
            <v>317</v>
          </cell>
        </row>
        <row r="59">
          <cell r="A59">
            <v>318</v>
          </cell>
        </row>
        <row r="60">
          <cell r="A60">
            <v>319</v>
          </cell>
        </row>
        <row r="61">
          <cell r="A61">
            <v>320</v>
          </cell>
        </row>
        <row r="62">
          <cell r="A62">
            <v>321</v>
          </cell>
        </row>
        <row r="63">
          <cell r="A63">
            <v>322</v>
          </cell>
        </row>
        <row r="64">
          <cell r="A64">
            <v>323</v>
          </cell>
        </row>
        <row r="65">
          <cell r="A65">
            <v>324</v>
          </cell>
        </row>
        <row r="66">
          <cell r="A66">
            <v>325</v>
          </cell>
        </row>
        <row r="67">
          <cell r="A67">
            <v>326</v>
          </cell>
        </row>
        <row r="68">
          <cell r="A68">
            <v>327</v>
          </cell>
        </row>
        <row r="69">
          <cell r="A69">
            <v>328</v>
          </cell>
        </row>
        <row r="70">
          <cell r="A70">
            <v>328.2</v>
          </cell>
        </row>
        <row r="71">
          <cell r="A71">
            <v>337</v>
          </cell>
        </row>
        <row r="72">
          <cell r="A72">
            <v>345</v>
          </cell>
        </row>
        <row r="73">
          <cell r="A73">
            <v>357</v>
          </cell>
        </row>
        <row r="74">
          <cell r="A74">
            <v>358</v>
          </cell>
        </row>
        <row r="75">
          <cell r="A75">
            <v>359</v>
          </cell>
        </row>
        <row r="76">
          <cell r="A76">
            <v>360</v>
          </cell>
        </row>
        <row r="77">
          <cell r="A77">
            <v>361</v>
          </cell>
        </row>
        <row r="78">
          <cell r="A78">
            <v>362</v>
          </cell>
        </row>
        <row r="79">
          <cell r="A79">
            <v>363</v>
          </cell>
        </row>
        <row r="80">
          <cell r="A80">
            <v>364</v>
          </cell>
        </row>
        <row r="81">
          <cell r="A81">
            <v>365</v>
          </cell>
        </row>
        <row r="82">
          <cell r="A82">
            <v>366</v>
          </cell>
        </row>
        <row r="83">
          <cell r="A83">
            <v>367</v>
          </cell>
        </row>
        <row r="84">
          <cell r="A84">
            <v>368</v>
          </cell>
        </row>
        <row r="85">
          <cell r="A85">
            <v>369</v>
          </cell>
        </row>
        <row r="86">
          <cell r="A86">
            <v>370</v>
          </cell>
        </row>
        <row r="87">
          <cell r="A87">
            <v>371</v>
          </cell>
        </row>
        <row r="88">
          <cell r="A88">
            <v>372</v>
          </cell>
        </row>
        <row r="89">
          <cell r="A89">
            <v>373</v>
          </cell>
        </row>
        <row r="90">
          <cell r="A90">
            <v>374</v>
          </cell>
        </row>
        <row r="91">
          <cell r="A91">
            <v>375</v>
          </cell>
        </row>
        <row r="92">
          <cell r="A92">
            <v>376</v>
          </cell>
        </row>
        <row r="93">
          <cell r="A93">
            <v>377</v>
          </cell>
        </row>
        <row r="94">
          <cell r="A94">
            <v>387</v>
          </cell>
        </row>
        <row r="95">
          <cell r="A95">
            <v>388</v>
          </cell>
        </row>
        <row r="96">
          <cell r="A96">
            <v>389</v>
          </cell>
        </row>
        <row r="97">
          <cell r="A97">
            <v>390</v>
          </cell>
        </row>
        <row r="98">
          <cell r="A98">
            <v>391</v>
          </cell>
        </row>
        <row r="99">
          <cell r="A99">
            <v>393</v>
          </cell>
        </row>
        <row r="100">
          <cell r="A100">
            <v>394</v>
          </cell>
        </row>
        <row r="101">
          <cell r="A101">
            <v>400</v>
          </cell>
        </row>
        <row r="102">
          <cell r="A102">
            <v>401</v>
          </cell>
        </row>
        <row r="103">
          <cell r="A103">
            <v>402</v>
          </cell>
        </row>
        <row r="104">
          <cell r="A104">
            <v>403</v>
          </cell>
        </row>
        <row r="105">
          <cell r="A105">
            <v>404</v>
          </cell>
        </row>
        <row r="106">
          <cell r="A106">
            <v>405</v>
          </cell>
        </row>
        <row r="107">
          <cell r="A107">
            <v>406</v>
          </cell>
        </row>
        <row r="108">
          <cell r="A108">
            <v>407</v>
          </cell>
        </row>
        <row r="109">
          <cell r="A109">
            <v>408</v>
          </cell>
        </row>
        <row r="110">
          <cell r="A110">
            <v>409</v>
          </cell>
        </row>
        <row r="111">
          <cell r="A111">
            <v>410</v>
          </cell>
        </row>
        <row r="112">
          <cell r="A112">
            <v>411</v>
          </cell>
        </row>
        <row r="113">
          <cell r="A113">
            <v>415</v>
          </cell>
        </row>
        <row r="114">
          <cell r="A114">
            <v>416</v>
          </cell>
        </row>
        <row r="115">
          <cell r="A115">
            <v>417</v>
          </cell>
        </row>
        <row r="116">
          <cell r="A116">
            <v>420</v>
          </cell>
        </row>
        <row r="117">
          <cell r="A117">
            <v>431</v>
          </cell>
        </row>
        <row r="118">
          <cell r="A118">
            <v>432</v>
          </cell>
        </row>
        <row r="119">
          <cell r="A119">
            <v>433</v>
          </cell>
        </row>
        <row r="120">
          <cell r="A120">
            <v>434</v>
          </cell>
        </row>
        <row r="121">
          <cell r="A121">
            <v>435</v>
          </cell>
        </row>
        <row r="122">
          <cell r="A122">
            <v>436</v>
          </cell>
        </row>
        <row r="123">
          <cell r="A123">
            <v>439</v>
          </cell>
        </row>
        <row r="124">
          <cell r="A124">
            <v>440</v>
          </cell>
        </row>
        <row r="125">
          <cell r="A125">
            <v>441</v>
          </cell>
        </row>
        <row r="126">
          <cell r="A126">
            <v>442</v>
          </cell>
        </row>
        <row r="127">
          <cell r="A127">
            <v>443</v>
          </cell>
        </row>
        <row r="128">
          <cell r="A128">
            <v>444</v>
          </cell>
        </row>
        <row r="129">
          <cell r="A129">
            <v>445</v>
          </cell>
        </row>
        <row r="130">
          <cell r="A130">
            <v>446</v>
          </cell>
        </row>
        <row r="131">
          <cell r="A131">
            <v>447</v>
          </cell>
        </row>
        <row r="132">
          <cell r="A132">
            <v>448</v>
          </cell>
        </row>
        <row r="133">
          <cell r="A133">
            <v>449</v>
          </cell>
        </row>
        <row r="134">
          <cell r="A134">
            <v>450</v>
          </cell>
        </row>
        <row r="135">
          <cell r="A135">
            <v>451</v>
          </cell>
        </row>
        <row r="136">
          <cell r="A136">
            <v>452</v>
          </cell>
        </row>
        <row r="137">
          <cell r="A137">
            <v>453</v>
          </cell>
        </row>
        <row r="138">
          <cell r="A138">
            <v>454</v>
          </cell>
        </row>
        <row r="139">
          <cell r="A139">
            <v>455</v>
          </cell>
        </row>
        <row r="140">
          <cell r="A140">
            <v>456</v>
          </cell>
        </row>
        <row r="141">
          <cell r="A141">
            <v>457</v>
          </cell>
        </row>
        <row r="142">
          <cell r="A142">
            <v>465</v>
          </cell>
        </row>
        <row r="143">
          <cell r="A143">
            <v>466</v>
          </cell>
        </row>
        <row r="144">
          <cell r="A144">
            <v>467</v>
          </cell>
        </row>
        <row r="145">
          <cell r="A145">
            <v>468</v>
          </cell>
        </row>
        <row r="146">
          <cell r="A146">
            <v>469</v>
          </cell>
        </row>
        <row r="147">
          <cell r="A147">
            <v>470</v>
          </cell>
        </row>
        <row r="148">
          <cell r="A148">
            <v>471</v>
          </cell>
        </row>
        <row r="149">
          <cell r="A149">
            <v>472</v>
          </cell>
        </row>
        <row r="150">
          <cell r="A150">
            <v>473</v>
          </cell>
        </row>
        <row r="151">
          <cell r="A151">
            <v>474</v>
          </cell>
        </row>
        <row r="152">
          <cell r="A152">
            <v>475</v>
          </cell>
        </row>
        <row r="153">
          <cell r="A153">
            <v>476</v>
          </cell>
        </row>
        <row r="154">
          <cell r="A154">
            <v>478</v>
          </cell>
        </row>
        <row r="155">
          <cell r="A155">
            <v>479</v>
          </cell>
        </row>
        <row r="156">
          <cell r="A156">
            <v>495</v>
          </cell>
        </row>
        <row r="157">
          <cell r="A157">
            <v>802</v>
          </cell>
        </row>
        <row r="158">
          <cell r="A158">
            <v>805</v>
          </cell>
        </row>
        <row r="159">
          <cell r="A159">
            <v>826</v>
          </cell>
        </row>
        <row r="160">
          <cell r="A160">
            <v>956</v>
          </cell>
        </row>
        <row r="161">
          <cell r="A161">
            <v>959</v>
          </cell>
        </row>
        <row r="162">
          <cell r="A162">
            <v>967</v>
          </cell>
        </row>
        <row r="163">
          <cell r="A163">
            <v>968</v>
          </cell>
        </row>
        <row r="164">
          <cell r="A164">
            <v>971</v>
          </cell>
        </row>
        <row r="165">
          <cell r="A165">
            <v>973</v>
          </cell>
        </row>
        <row r="166">
          <cell r="A166">
            <v>997</v>
          </cell>
        </row>
        <row r="167">
          <cell r="A167">
            <v>998</v>
          </cell>
        </row>
        <row r="168">
          <cell r="A168">
            <v>999</v>
          </cell>
        </row>
        <row r="169">
          <cell r="A169">
            <v>1000</v>
          </cell>
        </row>
        <row r="170">
          <cell r="A170">
            <v>1001</v>
          </cell>
        </row>
        <row r="171">
          <cell r="A171">
            <v>1002</v>
          </cell>
        </row>
        <row r="172">
          <cell r="A172">
            <v>1003</v>
          </cell>
        </row>
        <row r="173">
          <cell r="A173">
            <v>1004</v>
          </cell>
        </row>
        <row r="174">
          <cell r="A174">
            <v>1009</v>
          </cell>
        </row>
        <row r="175">
          <cell r="A175">
            <v>1010</v>
          </cell>
        </row>
        <row r="176">
          <cell r="A176">
            <v>1011</v>
          </cell>
        </row>
        <row r="177">
          <cell r="A177">
            <v>1012</v>
          </cell>
        </row>
        <row r="178">
          <cell r="A178">
            <v>1013</v>
          </cell>
        </row>
        <row r="179">
          <cell r="A179">
            <v>1014</v>
          </cell>
        </row>
        <row r="180">
          <cell r="A180">
            <v>1015</v>
          </cell>
        </row>
        <row r="181">
          <cell r="A181">
            <v>1018</v>
          </cell>
        </row>
        <row r="182">
          <cell r="A182">
            <v>1019</v>
          </cell>
        </row>
        <row r="183">
          <cell r="A183">
            <v>1024</v>
          </cell>
        </row>
        <row r="184">
          <cell r="A184">
            <v>1025</v>
          </cell>
        </row>
        <row r="185">
          <cell r="A185">
            <v>1026</v>
          </cell>
        </row>
        <row r="186">
          <cell r="A186">
            <v>1027</v>
          </cell>
        </row>
        <row r="187">
          <cell r="A187">
            <v>1028</v>
          </cell>
        </row>
        <row r="188">
          <cell r="A188">
            <v>1029</v>
          </cell>
        </row>
        <row r="189">
          <cell r="A189">
            <v>1030</v>
          </cell>
        </row>
        <row r="190">
          <cell r="A190">
            <v>1031</v>
          </cell>
        </row>
        <row r="191">
          <cell r="A191">
            <v>1032</v>
          </cell>
        </row>
        <row r="192">
          <cell r="A192">
            <v>1033</v>
          </cell>
        </row>
        <row r="193">
          <cell r="A193">
            <v>1034</v>
          </cell>
        </row>
        <row r="194">
          <cell r="A194">
            <v>1036</v>
          </cell>
        </row>
        <row r="195">
          <cell r="A195">
            <v>1037</v>
          </cell>
        </row>
        <row r="196">
          <cell r="A196">
            <v>1039</v>
          </cell>
        </row>
        <row r="197">
          <cell r="A197">
            <v>1040</v>
          </cell>
        </row>
        <row r="198">
          <cell r="A198">
            <v>1048</v>
          </cell>
        </row>
        <row r="199">
          <cell r="A199">
            <v>1049</v>
          </cell>
        </row>
        <row r="200">
          <cell r="A200">
            <v>1050</v>
          </cell>
        </row>
        <row r="201">
          <cell r="A201">
            <v>1051</v>
          </cell>
        </row>
        <row r="202">
          <cell r="A202">
            <v>1052</v>
          </cell>
        </row>
        <row r="203">
          <cell r="A203">
            <v>1053</v>
          </cell>
        </row>
        <row r="204">
          <cell r="A204">
            <v>1054</v>
          </cell>
        </row>
        <row r="205">
          <cell r="A205">
            <v>1055</v>
          </cell>
        </row>
        <row r="206">
          <cell r="A206">
            <v>1056</v>
          </cell>
        </row>
        <row r="207">
          <cell r="A207">
            <v>1057</v>
          </cell>
        </row>
        <row r="208">
          <cell r="A208">
            <v>1058</v>
          </cell>
        </row>
        <row r="209">
          <cell r="A209">
            <v>1059</v>
          </cell>
        </row>
        <row r="210">
          <cell r="A210">
            <v>1060</v>
          </cell>
        </row>
        <row r="211">
          <cell r="A211">
            <v>1061</v>
          </cell>
        </row>
        <row r="212">
          <cell r="A212">
            <v>1064</v>
          </cell>
        </row>
        <row r="213">
          <cell r="A213">
            <v>1065</v>
          </cell>
        </row>
        <row r="214">
          <cell r="A214">
            <v>1066</v>
          </cell>
        </row>
        <row r="215">
          <cell r="A215">
            <v>1074</v>
          </cell>
        </row>
        <row r="216">
          <cell r="A216">
            <v>1075</v>
          </cell>
        </row>
        <row r="217">
          <cell r="A217">
            <v>1076</v>
          </cell>
        </row>
        <row r="218">
          <cell r="A218">
            <v>1077</v>
          </cell>
        </row>
        <row r="219">
          <cell r="A219">
            <v>1078</v>
          </cell>
        </row>
        <row r="220">
          <cell r="A220">
            <v>1079</v>
          </cell>
        </row>
        <row r="221">
          <cell r="A221">
            <v>1080</v>
          </cell>
        </row>
        <row r="222">
          <cell r="A222">
            <v>1081</v>
          </cell>
        </row>
        <row r="223">
          <cell r="A223">
            <v>1082</v>
          </cell>
        </row>
        <row r="224">
          <cell r="A224">
            <v>1083</v>
          </cell>
        </row>
        <row r="225">
          <cell r="A225">
            <v>1084</v>
          </cell>
        </row>
        <row r="226">
          <cell r="A226">
            <v>1085</v>
          </cell>
        </row>
        <row r="227">
          <cell r="A227">
            <v>1086</v>
          </cell>
        </row>
        <row r="228">
          <cell r="A228">
            <v>1087</v>
          </cell>
        </row>
        <row r="229">
          <cell r="A229">
            <v>1088</v>
          </cell>
        </row>
        <row r="230">
          <cell r="A230">
            <v>1089</v>
          </cell>
        </row>
        <row r="231">
          <cell r="A231">
            <v>1098</v>
          </cell>
        </row>
        <row r="232">
          <cell r="A232">
            <v>1099</v>
          </cell>
        </row>
        <row r="233">
          <cell r="A233">
            <v>1100</v>
          </cell>
        </row>
        <row r="234">
          <cell r="A234">
            <v>1101</v>
          </cell>
        </row>
        <row r="235">
          <cell r="A235">
            <v>1102</v>
          </cell>
        </row>
        <row r="236">
          <cell r="A236">
            <v>1103</v>
          </cell>
        </row>
        <row r="237">
          <cell r="A237">
            <v>1104</v>
          </cell>
        </row>
        <row r="238">
          <cell r="A238">
            <v>1105</v>
          </cell>
        </row>
        <row r="239">
          <cell r="A239">
            <v>1106</v>
          </cell>
        </row>
        <row r="240">
          <cell r="A240">
            <v>1107</v>
          </cell>
        </row>
        <row r="241">
          <cell r="A241">
            <v>1108</v>
          </cell>
        </row>
        <row r="242">
          <cell r="A242">
            <v>1109</v>
          </cell>
        </row>
        <row r="243">
          <cell r="A243">
            <v>1110</v>
          </cell>
        </row>
        <row r="244">
          <cell r="A244">
            <v>1111</v>
          </cell>
        </row>
        <row r="245">
          <cell r="A245">
            <v>1112</v>
          </cell>
        </row>
        <row r="246">
          <cell r="A246">
            <v>1113</v>
          </cell>
        </row>
        <row r="247">
          <cell r="A247">
            <v>1114</v>
          </cell>
        </row>
        <row r="248">
          <cell r="A248">
            <v>1126</v>
          </cell>
        </row>
        <row r="249">
          <cell r="A249">
            <v>1127</v>
          </cell>
        </row>
        <row r="250">
          <cell r="A250">
            <v>1128</v>
          </cell>
        </row>
        <row r="251">
          <cell r="A251">
            <v>1129</v>
          </cell>
        </row>
        <row r="252">
          <cell r="A252">
            <v>1130</v>
          </cell>
        </row>
        <row r="253">
          <cell r="A253">
            <v>1131</v>
          </cell>
        </row>
        <row r="254">
          <cell r="A254">
            <v>1132</v>
          </cell>
        </row>
        <row r="255">
          <cell r="A255">
            <v>1133</v>
          </cell>
        </row>
        <row r="256">
          <cell r="A256">
            <v>1134</v>
          </cell>
        </row>
        <row r="257">
          <cell r="A257">
            <v>1135</v>
          </cell>
        </row>
        <row r="258">
          <cell r="A258">
            <v>1136</v>
          </cell>
        </row>
        <row r="259">
          <cell r="A259">
            <v>1137</v>
          </cell>
        </row>
        <row r="260">
          <cell r="A260">
            <v>1138</v>
          </cell>
        </row>
        <row r="261">
          <cell r="A261">
            <v>1139</v>
          </cell>
        </row>
        <row r="262">
          <cell r="A262">
            <v>1140</v>
          </cell>
        </row>
        <row r="263">
          <cell r="A263">
            <v>1141</v>
          </cell>
        </row>
        <row r="264">
          <cell r="A264">
            <v>1142</v>
          </cell>
        </row>
        <row r="265">
          <cell r="A265">
            <v>1157</v>
          </cell>
        </row>
        <row r="266">
          <cell r="A266">
            <v>1158</v>
          </cell>
        </row>
        <row r="267">
          <cell r="A267">
            <v>1159</v>
          </cell>
        </row>
        <row r="268">
          <cell r="A268">
            <v>1160</v>
          </cell>
        </row>
        <row r="269">
          <cell r="A269">
            <v>1161</v>
          </cell>
        </row>
        <row r="270">
          <cell r="A270">
            <v>1162</v>
          </cell>
        </row>
        <row r="271">
          <cell r="A271">
            <v>1163</v>
          </cell>
        </row>
        <row r="272">
          <cell r="A272">
            <v>1164</v>
          </cell>
        </row>
        <row r="273">
          <cell r="A273">
            <v>1165</v>
          </cell>
        </row>
        <row r="274">
          <cell r="A274">
            <v>1166</v>
          </cell>
        </row>
        <row r="275">
          <cell r="A275">
            <v>1167</v>
          </cell>
        </row>
        <row r="276">
          <cell r="A276">
            <v>1168</v>
          </cell>
        </row>
        <row r="277">
          <cell r="A277">
            <v>1169</v>
          </cell>
        </row>
        <row r="278">
          <cell r="A278">
            <v>1170</v>
          </cell>
        </row>
        <row r="279">
          <cell r="A279">
            <v>1171</v>
          </cell>
        </row>
        <row r="280">
          <cell r="A280">
            <v>1172</v>
          </cell>
        </row>
        <row r="281">
          <cell r="A281">
            <v>1188</v>
          </cell>
        </row>
        <row r="282">
          <cell r="A282">
            <v>1189</v>
          </cell>
        </row>
        <row r="283">
          <cell r="A283">
            <v>1190</v>
          </cell>
        </row>
        <row r="284">
          <cell r="A284">
            <v>1191</v>
          </cell>
        </row>
        <row r="285">
          <cell r="A285">
            <v>1192</v>
          </cell>
        </row>
        <row r="286">
          <cell r="A286">
            <v>1193</v>
          </cell>
        </row>
        <row r="287">
          <cell r="A287">
            <v>1194</v>
          </cell>
        </row>
        <row r="288">
          <cell r="A288">
            <v>1195</v>
          </cell>
        </row>
        <row r="289">
          <cell r="A289">
            <v>1196</v>
          </cell>
        </row>
        <row r="290">
          <cell r="A290">
            <v>1197</v>
          </cell>
        </row>
        <row r="291">
          <cell r="A291">
            <v>1198</v>
          </cell>
        </row>
        <row r="292">
          <cell r="A292">
            <v>1199</v>
          </cell>
        </row>
        <row r="293">
          <cell r="A293">
            <v>1200</v>
          </cell>
        </row>
        <row r="294">
          <cell r="A294">
            <v>1201</v>
          </cell>
        </row>
        <row r="295">
          <cell r="A295">
            <v>1202</v>
          </cell>
        </row>
        <row r="296">
          <cell r="A296">
            <v>1203</v>
          </cell>
        </row>
        <row r="297">
          <cell r="A297">
            <v>1204</v>
          </cell>
        </row>
        <row r="298">
          <cell r="A298">
            <v>1207</v>
          </cell>
        </row>
        <row r="299">
          <cell r="A299">
            <v>1208</v>
          </cell>
        </row>
        <row r="300">
          <cell r="A300">
            <v>1209</v>
          </cell>
        </row>
        <row r="301">
          <cell r="A301">
            <v>1219</v>
          </cell>
        </row>
        <row r="302">
          <cell r="A302">
            <v>1220</v>
          </cell>
        </row>
        <row r="303">
          <cell r="A303">
            <v>1221</v>
          </cell>
        </row>
        <row r="304">
          <cell r="A304">
            <v>1222</v>
          </cell>
        </row>
        <row r="305">
          <cell r="A305">
            <v>1223</v>
          </cell>
        </row>
        <row r="306">
          <cell r="A306">
            <v>1224</v>
          </cell>
        </row>
        <row r="307">
          <cell r="A307">
            <v>1225</v>
          </cell>
        </row>
        <row r="308">
          <cell r="A308">
            <v>1226</v>
          </cell>
        </row>
        <row r="309">
          <cell r="A309">
            <v>1227</v>
          </cell>
        </row>
        <row r="310">
          <cell r="A310">
            <v>1228</v>
          </cell>
        </row>
        <row r="311">
          <cell r="A311">
            <v>1229</v>
          </cell>
        </row>
        <row r="312">
          <cell r="A312">
            <v>1230</v>
          </cell>
        </row>
        <row r="313">
          <cell r="A313">
            <v>1231</v>
          </cell>
        </row>
        <row r="314">
          <cell r="A314">
            <v>1232</v>
          </cell>
        </row>
        <row r="315">
          <cell r="A315">
            <v>1233</v>
          </cell>
        </row>
        <row r="316">
          <cell r="A316">
            <v>1234</v>
          </cell>
        </row>
        <row r="317">
          <cell r="A317">
            <v>1239</v>
          </cell>
        </row>
        <row r="318">
          <cell r="A318">
            <v>1259</v>
          </cell>
        </row>
        <row r="319">
          <cell r="A319">
            <v>1260</v>
          </cell>
        </row>
        <row r="320">
          <cell r="A320">
            <v>1261</v>
          </cell>
        </row>
        <row r="321">
          <cell r="A321">
            <v>1262</v>
          </cell>
        </row>
        <row r="322">
          <cell r="A322">
            <v>1263</v>
          </cell>
        </row>
        <row r="323">
          <cell r="A323">
            <v>1264</v>
          </cell>
        </row>
        <row r="324">
          <cell r="A324">
            <v>1265</v>
          </cell>
        </row>
        <row r="325">
          <cell r="A325">
            <v>1266</v>
          </cell>
        </row>
        <row r="326">
          <cell r="A326">
            <v>1267</v>
          </cell>
        </row>
        <row r="327">
          <cell r="A327">
            <v>1289</v>
          </cell>
        </row>
        <row r="328">
          <cell r="A328">
            <v>1290</v>
          </cell>
        </row>
        <row r="329">
          <cell r="A329">
            <v>1291</v>
          </cell>
        </row>
        <row r="330">
          <cell r="A330">
            <v>1292</v>
          </cell>
        </row>
        <row r="331">
          <cell r="A331">
            <v>1293</v>
          </cell>
        </row>
        <row r="332">
          <cell r="A332">
            <v>1294</v>
          </cell>
        </row>
        <row r="333">
          <cell r="A333">
            <v>1298</v>
          </cell>
        </row>
        <row r="334">
          <cell r="A334">
            <v>1299</v>
          </cell>
        </row>
        <row r="335">
          <cell r="A335">
            <v>1300</v>
          </cell>
        </row>
        <row r="336">
          <cell r="A336">
            <v>1301</v>
          </cell>
        </row>
        <row r="337">
          <cell r="A337">
            <v>1302</v>
          </cell>
        </row>
        <row r="338">
          <cell r="A338">
            <v>1303</v>
          </cell>
        </row>
        <row r="339">
          <cell r="A339">
            <v>1322</v>
          </cell>
        </row>
        <row r="340">
          <cell r="A340">
            <v>1323</v>
          </cell>
        </row>
        <row r="341">
          <cell r="A341">
            <v>1324</v>
          </cell>
        </row>
        <row r="342">
          <cell r="A342">
            <v>1325</v>
          </cell>
        </row>
        <row r="343">
          <cell r="A343">
            <v>1326</v>
          </cell>
        </row>
        <row r="344">
          <cell r="A344">
            <v>1327</v>
          </cell>
        </row>
        <row r="345">
          <cell r="A345">
            <v>1331</v>
          </cell>
        </row>
        <row r="346">
          <cell r="A346">
            <v>1332</v>
          </cell>
        </row>
        <row r="347">
          <cell r="A347">
            <v>1333</v>
          </cell>
        </row>
        <row r="348">
          <cell r="A348">
            <v>1334</v>
          </cell>
        </row>
        <row r="349">
          <cell r="A349">
            <v>1335</v>
          </cell>
        </row>
        <row r="350">
          <cell r="A350">
            <v>1336</v>
          </cell>
        </row>
        <row r="351">
          <cell r="A351">
            <v>1337</v>
          </cell>
        </row>
        <row r="352">
          <cell r="A352">
            <v>1351</v>
          </cell>
        </row>
        <row r="353">
          <cell r="A353">
            <v>1352</v>
          </cell>
        </row>
        <row r="354">
          <cell r="A354">
            <v>1353</v>
          </cell>
        </row>
        <row r="355">
          <cell r="A355">
            <v>1354</v>
          </cell>
        </row>
        <row r="356">
          <cell r="A356">
            <v>1355</v>
          </cell>
        </row>
        <row r="357">
          <cell r="A357">
            <v>1356</v>
          </cell>
        </row>
        <row r="358">
          <cell r="A358">
            <v>1357</v>
          </cell>
        </row>
        <row r="359">
          <cell r="A359">
            <v>1358</v>
          </cell>
        </row>
        <row r="360">
          <cell r="A360">
            <v>1359</v>
          </cell>
        </row>
        <row r="361">
          <cell r="A361">
            <v>1360</v>
          </cell>
        </row>
        <row r="362">
          <cell r="A362">
            <v>1364</v>
          </cell>
        </row>
        <row r="363">
          <cell r="A363">
            <v>1365</v>
          </cell>
        </row>
        <row r="364">
          <cell r="A364">
            <v>1366</v>
          </cell>
        </row>
        <row r="365">
          <cell r="A365">
            <v>1367</v>
          </cell>
        </row>
        <row r="366">
          <cell r="A366">
            <v>1368</v>
          </cell>
        </row>
        <row r="367">
          <cell r="A367">
            <v>1369</v>
          </cell>
        </row>
        <row r="368">
          <cell r="A368">
            <v>1370</v>
          </cell>
        </row>
        <row r="369">
          <cell r="A369">
            <v>1389</v>
          </cell>
        </row>
        <row r="370">
          <cell r="A370">
            <v>1390</v>
          </cell>
        </row>
        <row r="371">
          <cell r="A371">
            <v>1391</v>
          </cell>
        </row>
        <row r="372">
          <cell r="A372">
            <v>1392</v>
          </cell>
        </row>
        <row r="373">
          <cell r="A373">
            <v>1393</v>
          </cell>
        </row>
        <row r="374">
          <cell r="A374">
            <v>1394</v>
          </cell>
        </row>
        <row r="375">
          <cell r="A375">
            <v>1395</v>
          </cell>
        </row>
        <row r="376">
          <cell r="A376">
            <v>1398</v>
          </cell>
        </row>
        <row r="377">
          <cell r="A377">
            <v>1399</v>
          </cell>
        </row>
        <row r="378">
          <cell r="A378">
            <v>1400</v>
          </cell>
        </row>
        <row r="379">
          <cell r="A379">
            <v>1401</v>
          </cell>
        </row>
        <row r="380">
          <cell r="A380">
            <v>1402</v>
          </cell>
        </row>
        <row r="381">
          <cell r="A381">
            <v>1403</v>
          </cell>
        </row>
        <row r="382">
          <cell r="A382">
            <v>1404</v>
          </cell>
        </row>
        <row r="383">
          <cell r="A383">
            <v>1420</v>
          </cell>
        </row>
        <row r="384">
          <cell r="A384">
            <v>1421</v>
          </cell>
        </row>
        <row r="385">
          <cell r="A385">
            <v>1426</v>
          </cell>
        </row>
        <row r="386">
          <cell r="A386">
            <v>1427</v>
          </cell>
        </row>
        <row r="387">
          <cell r="A387">
            <v>1428</v>
          </cell>
        </row>
        <row r="388">
          <cell r="A388">
            <v>1429</v>
          </cell>
        </row>
        <row r="389">
          <cell r="A389">
            <v>1430</v>
          </cell>
        </row>
        <row r="390">
          <cell r="A390">
            <v>1431</v>
          </cell>
        </row>
        <row r="391">
          <cell r="A391">
            <v>1432</v>
          </cell>
        </row>
        <row r="392">
          <cell r="A392">
            <v>1433</v>
          </cell>
        </row>
        <row r="393">
          <cell r="A393">
            <v>1434</v>
          </cell>
        </row>
        <row r="394">
          <cell r="A394">
            <v>1435</v>
          </cell>
        </row>
        <row r="395">
          <cell r="A395">
            <v>1436</v>
          </cell>
        </row>
        <row r="396">
          <cell r="A396">
            <v>1437</v>
          </cell>
        </row>
        <row r="397">
          <cell r="A397">
            <v>1438</v>
          </cell>
        </row>
        <row r="398">
          <cell r="A398">
            <v>1439</v>
          </cell>
        </row>
        <row r="399">
          <cell r="A399">
            <v>1440</v>
          </cell>
        </row>
        <row r="400">
          <cell r="A400">
            <v>1460</v>
          </cell>
        </row>
        <row r="401">
          <cell r="A401">
            <v>1461</v>
          </cell>
        </row>
        <row r="402">
          <cell r="A402">
            <v>1462</v>
          </cell>
        </row>
        <row r="403">
          <cell r="A403">
            <v>1463</v>
          </cell>
        </row>
        <row r="404">
          <cell r="A404">
            <v>1464</v>
          </cell>
        </row>
        <row r="405">
          <cell r="A405">
            <v>1465</v>
          </cell>
        </row>
        <row r="406">
          <cell r="A406">
            <v>1466</v>
          </cell>
        </row>
        <row r="407">
          <cell r="A407">
            <v>1467</v>
          </cell>
        </row>
        <row r="408">
          <cell r="A408">
            <v>1468</v>
          </cell>
        </row>
        <row r="409">
          <cell r="A409">
            <v>1469</v>
          </cell>
        </row>
        <row r="410">
          <cell r="A410">
            <v>1470</v>
          </cell>
        </row>
        <row r="411">
          <cell r="A411">
            <v>1471</v>
          </cell>
        </row>
        <row r="412">
          <cell r="A412">
            <v>1472</v>
          </cell>
        </row>
        <row r="413">
          <cell r="A413">
            <v>1491</v>
          </cell>
        </row>
        <row r="414">
          <cell r="A414">
            <v>1492</v>
          </cell>
        </row>
        <row r="415">
          <cell r="A415">
            <v>1493</v>
          </cell>
        </row>
        <row r="416">
          <cell r="A416">
            <v>1494</v>
          </cell>
        </row>
        <row r="417">
          <cell r="A417">
            <v>1495</v>
          </cell>
        </row>
        <row r="418">
          <cell r="A418">
            <v>1496</v>
          </cell>
        </row>
        <row r="419">
          <cell r="A419">
            <v>1497</v>
          </cell>
        </row>
        <row r="420">
          <cell r="A420">
            <v>1498</v>
          </cell>
        </row>
        <row r="421">
          <cell r="A421">
            <v>1499</v>
          </cell>
        </row>
        <row r="422">
          <cell r="A422">
            <v>1500</v>
          </cell>
        </row>
        <row r="423">
          <cell r="A423">
            <v>1501</v>
          </cell>
        </row>
        <row r="424">
          <cell r="A424">
            <v>1502</v>
          </cell>
        </row>
        <row r="425">
          <cell r="A425">
            <v>1503</v>
          </cell>
        </row>
        <row r="426">
          <cell r="A426">
            <v>1504</v>
          </cell>
        </row>
        <row r="427">
          <cell r="A427">
            <v>1527</v>
          </cell>
        </row>
        <row r="428">
          <cell r="A428">
            <v>1528</v>
          </cell>
        </row>
        <row r="429">
          <cell r="A429">
            <v>1529</v>
          </cell>
        </row>
        <row r="430">
          <cell r="A430">
            <v>1530</v>
          </cell>
        </row>
        <row r="431">
          <cell r="A431">
            <v>1531</v>
          </cell>
        </row>
        <row r="432">
          <cell r="A432">
            <v>1532</v>
          </cell>
        </row>
        <row r="433">
          <cell r="A433">
            <v>1533</v>
          </cell>
        </row>
        <row r="434">
          <cell r="A434">
            <v>1534</v>
          </cell>
        </row>
        <row r="435">
          <cell r="A435">
            <v>1535</v>
          </cell>
        </row>
        <row r="436">
          <cell r="A436">
            <v>1536</v>
          </cell>
        </row>
        <row r="437">
          <cell r="A437">
            <v>1537</v>
          </cell>
        </row>
        <row r="438">
          <cell r="A438">
            <v>1562</v>
          </cell>
        </row>
        <row r="439">
          <cell r="A439">
            <v>1563</v>
          </cell>
        </row>
        <row r="440">
          <cell r="A440">
            <v>1564</v>
          </cell>
        </row>
        <row r="441">
          <cell r="A441">
            <v>1565</v>
          </cell>
        </row>
        <row r="442">
          <cell r="A442">
            <v>1566</v>
          </cell>
        </row>
        <row r="443">
          <cell r="A443">
            <v>1567</v>
          </cell>
        </row>
        <row r="444">
          <cell r="A444">
            <v>1568</v>
          </cell>
        </row>
        <row r="445">
          <cell r="A445">
            <v>1569</v>
          </cell>
        </row>
        <row r="446">
          <cell r="A446">
            <v>1570</v>
          </cell>
        </row>
        <row r="447">
          <cell r="A447">
            <v>1571</v>
          </cell>
        </row>
        <row r="448">
          <cell r="A448">
            <v>1572</v>
          </cell>
        </row>
        <row r="449">
          <cell r="A449">
            <v>1591</v>
          </cell>
        </row>
        <row r="450">
          <cell r="A450">
            <v>1592</v>
          </cell>
        </row>
        <row r="451">
          <cell r="A451">
            <v>1593</v>
          </cell>
        </row>
        <row r="452">
          <cell r="A452">
            <v>1594</v>
          </cell>
        </row>
        <row r="453">
          <cell r="A453">
            <v>1595</v>
          </cell>
        </row>
        <row r="454">
          <cell r="A454">
            <v>1596</v>
          </cell>
        </row>
        <row r="455">
          <cell r="A455">
            <v>1597</v>
          </cell>
        </row>
        <row r="456">
          <cell r="A456">
            <v>1598</v>
          </cell>
        </row>
        <row r="457">
          <cell r="A457">
            <v>1599</v>
          </cell>
        </row>
        <row r="458">
          <cell r="A458">
            <v>1600</v>
          </cell>
        </row>
        <row r="459">
          <cell r="A459">
            <v>1601</v>
          </cell>
        </row>
        <row r="460">
          <cell r="A460">
            <v>1602</v>
          </cell>
        </row>
        <row r="461">
          <cell r="A461">
            <v>1603</v>
          </cell>
        </row>
        <row r="462">
          <cell r="A462">
            <v>1604</v>
          </cell>
        </row>
        <row r="463">
          <cell r="A463">
            <v>1605</v>
          </cell>
        </row>
        <row r="464">
          <cell r="A464">
            <v>1606</v>
          </cell>
        </row>
        <row r="465">
          <cell r="A465">
            <v>1626</v>
          </cell>
        </row>
        <row r="466">
          <cell r="A466">
            <v>1627</v>
          </cell>
        </row>
        <row r="467">
          <cell r="A467">
            <v>1628</v>
          </cell>
        </row>
        <row r="468">
          <cell r="A468">
            <v>1629</v>
          </cell>
        </row>
        <row r="469">
          <cell r="A469">
            <v>1630</v>
          </cell>
        </row>
        <row r="470">
          <cell r="A470">
            <v>1631</v>
          </cell>
        </row>
        <row r="471">
          <cell r="A471">
            <v>1632</v>
          </cell>
        </row>
        <row r="472">
          <cell r="A472">
            <v>1633</v>
          </cell>
        </row>
        <row r="473">
          <cell r="A473">
            <v>1634</v>
          </cell>
        </row>
        <row r="474">
          <cell r="A474">
            <v>1635</v>
          </cell>
        </row>
        <row r="475">
          <cell r="A475">
            <v>1636</v>
          </cell>
        </row>
        <row r="476">
          <cell r="A476">
            <v>1637</v>
          </cell>
        </row>
        <row r="477">
          <cell r="A477">
            <v>1638</v>
          </cell>
        </row>
        <row r="478">
          <cell r="A478">
            <v>1649</v>
          </cell>
        </row>
        <row r="479">
          <cell r="A479">
            <v>1657</v>
          </cell>
        </row>
        <row r="480">
          <cell r="A480">
            <v>1658</v>
          </cell>
        </row>
        <row r="481">
          <cell r="A481">
            <v>1659</v>
          </cell>
        </row>
        <row r="482">
          <cell r="A482">
            <v>1660</v>
          </cell>
        </row>
        <row r="483">
          <cell r="A483">
            <v>1661</v>
          </cell>
        </row>
        <row r="484">
          <cell r="A484">
            <v>1662</v>
          </cell>
        </row>
        <row r="485">
          <cell r="A485">
            <v>1663</v>
          </cell>
        </row>
        <row r="486">
          <cell r="A486">
            <v>1664</v>
          </cell>
        </row>
        <row r="487">
          <cell r="A487">
            <v>1665</v>
          </cell>
        </row>
        <row r="488">
          <cell r="A488">
            <v>1666.2</v>
          </cell>
        </row>
        <row r="489">
          <cell r="A489">
            <v>1667</v>
          </cell>
        </row>
        <row r="490">
          <cell r="A490">
            <v>1668</v>
          </cell>
        </row>
        <row r="491">
          <cell r="A491">
            <v>1671</v>
          </cell>
        </row>
        <row r="492">
          <cell r="A492">
            <v>1672</v>
          </cell>
        </row>
        <row r="493">
          <cell r="A493">
            <v>1673</v>
          </cell>
        </row>
        <row r="494">
          <cell r="A494">
            <v>1677</v>
          </cell>
        </row>
        <row r="495">
          <cell r="A495">
            <v>1678</v>
          </cell>
        </row>
        <row r="496">
          <cell r="A496">
            <v>1679</v>
          </cell>
        </row>
        <row r="497">
          <cell r="A497">
            <v>1683</v>
          </cell>
        </row>
        <row r="498">
          <cell r="A498">
            <v>1684</v>
          </cell>
        </row>
        <row r="499">
          <cell r="A499">
            <v>1685</v>
          </cell>
        </row>
        <row r="500">
          <cell r="A500">
            <v>1686</v>
          </cell>
        </row>
        <row r="501">
          <cell r="A501">
            <v>1687</v>
          </cell>
        </row>
        <row r="502">
          <cell r="A502">
            <v>1688</v>
          </cell>
        </row>
        <row r="503">
          <cell r="A503">
            <v>1689</v>
          </cell>
        </row>
        <row r="504">
          <cell r="A504">
            <v>1690</v>
          </cell>
        </row>
        <row r="505">
          <cell r="A505">
            <v>1691</v>
          </cell>
        </row>
        <row r="506">
          <cell r="A506">
            <v>1692</v>
          </cell>
        </row>
        <row r="507">
          <cell r="A507">
            <v>1693</v>
          </cell>
        </row>
        <row r="508">
          <cell r="A508">
            <v>1694</v>
          </cell>
        </row>
        <row r="509">
          <cell r="A509">
            <v>1695</v>
          </cell>
        </row>
        <row r="510">
          <cell r="A510">
            <v>1696</v>
          </cell>
        </row>
        <row r="511">
          <cell r="A511">
            <v>1697</v>
          </cell>
        </row>
        <row r="512">
          <cell r="A512">
            <v>1698</v>
          </cell>
        </row>
        <row r="513">
          <cell r="A513">
            <v>1699</v>
          </cell>
        </row>
        <row r="514">
          <cell r="A514">
            <v>1700</v>
          </cell>
        </row>
        <row r="515">
          <cell r="A515">
            <v>1701</v>
          </cell>
        </row>
        <row r="516">
          <cell r="A516">
            <v>1706</v>
          </cell>
        </row>
        <row r="517">
          <cell r="A517">
            <v>1707</v>
          </cell>
        </row>
        <row r="518">
          <cell r="A518">
            <v>1708</v>
          </cell>
        </row>
        <row r="519">
          <cell r="A519">
            <v>1709</v>
          </cell>
        </row>
        <row r="520">
          <cell r="A520">
            <v>1710</v>
          </cell>
        </row>
        <row r="521">
          <cell r="A521">
            <v>1711</v>
          </cell>
        </row>
        <row r="522">
          <cell r="A522">
            <v>1712</v>
          </cell>
        </row>
        <row r="523">
          <cell r="A523">
            <v>1713</v>
          </cell>
        </row>
        <row r="524">
          <cell r="A524">
            <v>1714</v>
          </cell>
        </row>
        <row r="525">
          <cell r="A525">
            <v>1715</v>
          </cell>
        </row>
        <row r="526">
          <cell r="A526">
            <v>1716</v>
          </cell>
        </row>
        <row r="527">
          <cell r="A527">
            <v>1717</v>
          </cell>
        </row>
        <row r="528">
          <cell r="A528">
            <v>1718</v>
          </cell>
        </row>
        <row r="529">
          <cell r="A529">
            <v>1719</v>
          </cell>
        </row>
        <row r="530">
          <cell r="A530">
            <v>1720</v>
          </cell>
        </row>
        <row r="531">
          <cell r="A531">
            <v>1721</v>
          </cell>
        </row>
        <row r="532">
          <cell r="A532">
            <v>1722</v>
          </cell>
        </row>
        <row r="533">
          <cell r="A533">
            <v>1728</v>
          </cell>
        </row>
        <row r="534">
          <cell r="A534">
            <v>1729</v>
          </cell>
        </row>
        <row r="535">
          <cell r="A535">
            <v>1730</v>
          </cell>
        </row>
        <row r="536">
          <cell r="A536">
            <v>1731</v>
          </cell>
        </row>
        <row r="537">
          <cell r="A537">
            <v>1732</v>
          </cell>
        </row>
        <row r="538">
          <cell r="A538">
            <v>1733</v>
          </cell>
        </row>
        <row r="539">
          <cell r="A539">
            <v>1734</v>
          </cell>
        </row>
        <row r="540">
          <cell r="A540">
            <v>1735</v>
          </cell>
        </row>
        <row r="541">
          <cell r="A541">
            <v>1736</v>
          </cell>
        </row>
        <row r="542">
          <cell r="A542">
            <v>1737</v>
          </cell>
        </row>
        <row r="543">
          <cell r="A543">
            <v>1738</v>
          </cell>
        </row>
        <row r="544">
          <cell r="A544">
            <v>1739</v>
          </cell>
        </row>
        <row r="545">
          <cell r="A545">
            <v>1740</v>
          </cell>
        </row>
        <row r="546">
          <cell r="A546">
            <v>1742</v>
          </cell>
        </row>
        <row r="547">
          <cell r="A547">
            <v>1743</v>
          </cell>
        </row>
        <row r="548">
          <cell r="A548">
            <v>1744</v>
          </cell>
        </row>
        <row r="549">
          <cell r="A549">
            <v>1745</v>
          </cell>
        </row>
        <row r="550">
          <cell r="A550">
            <v>1746</v>
          </cell>
        </row>
        <row r="551">
          <cell r="A551">
            <v>1747</v>
          </cell>
        </row>
        <row r="552">
          <cell r="A552">
            <v>1748</v>
          </cell>
        </row>
        <row r="553">
          <cell r="A553">
            <v>1749</v>
          </cell>
        </row>
        <row r="554">
          <cell r="A554">
            <v>1750</v>
          </cell>
        </row>
        <row r="555">
          <cell r="A555">
            <v>1751</v>
          </cell>
        </row>
        <row r="556">
          <cell r="A556">
            <v>1752</v>
          </cell>
        </row>
        <row r="557">
          <cell r="A557">
            <v>1753</v>
          </cell>
        </row>
        <row r="558">
          <cell r="A558">
            <v>1754</v>
          </cell>
        </row>
        <row r="559">
          <cell r="A559">
            <v>1755</v>
          </cell>
        </row>
        <row r="560">
          <cell r="A560">
            <v>1756</v>
          </cell>
        </row>
        <row r="561">
          <cell r="A561">
            <v>1757</v>
          </cell>
        </row>
        <row r="562">
          <cell r="A562">
            <v>1758</v>
          </cell>
        </row>
        <row r="563">
          <cell r="A563">
            <v>1759</v>
          </cell>
        </row>
        <row r="564">
          <cell r="A564">
            <v>1761</v>
          </cell>
        </row>
        <row r="565">
          <cell r="A565">
            <v>1762</v>
          </cell>
        </row>
        <row r="566">
          <cell r="A566">
            <v>1763</v>
          </cell>
        </row>
        <row r="567">
          <cell r="A567">
            <v>1764</v>
          </cell>
        </row>
        <row r="568">
          <cell r="A568">
            <v>1765</v>
          </cell>
        </row>
        <row r="569">
          <cell r="A569">
            <v>1766</v>
          </cell>
        </row>
        <row r="570">
          <cell r="A570">
            <v>1767</v>
          </cell>
        </row>
        <row r="571">
          <cell r="A571">
            <v>1768</v>
          </cell>
        </row>
        <row r="572">
          <cell r="A572">
            <v>1769</v>
          </cell>
        </row>
        <row r="573">
          <cell r="A573">
            <v>1770</v>
          </cell>
        </row>
        <row r="574">
          <cell r="A574">
            <v>1771</v>
          </cell>
        </row>
        <row r="575">
          <cell r="A575">
            <v>1772</v>
          </cell>
        </row>
        <row r="576">
          <cell r="A576">
            <v>1773</v>
          </cell>
        </row>
        <row r="577">
          <cell r="A577">
            <v>1774</v>
          </cell>
        </row>
        <row r="578">
          <cell r="A578">
            <v>1775</v>
          </cell>
        </row>
        <row r="579">
          <cell r="A579">
            <v>1777</v>
          </cell>
        </row>
        <row r="580">
          <cell r="A580">
            <v>1778</v>
          </cell>
        </row>
        <row r="581">
          <cell r="A581">
            <v>1779</v>
          </cell>
        </row>
        <row r="582">
          <cell r="A582">
            <v>1780</v>
          </cell>
        </row>
        <row r="583">
          <cell r="A583">
            <v>1781</v>
          </cell>
        </row>
        <row r="584">
          <cell r="A584">
            <v>1782</v>
          </cell>
        </row>
        <row r="585">
          <cell r="A585">
            <v>1783</v>
          </cell>
        </row>
        <row r="586">
          <cell r="A586">
            <v>1784</v>
          </cell>
        </row>
        <row r="587">
          <cell r="A587">
            <v>1785</v>
          </cell>
        </row>
        <row r="588">
          <cell r="A588">
            <v>1786</v>
          </cell>
        </row>
        <row r="589">
          <cell r="A589">
            <v>1788</v>
          </cell>
        </row>
        <row r="590">
          <cell r="A590">
            <v>1789</v>
          </cell>
        </row>
        <row r="591">
          <cell r="A591">
            <v>1790</v>
          </cell>
        </row>
        <row r="592">
          <cell r="A592">
            <v>1791</v>
          </cell>
        </row>
        <row r="593">
          <cell r="A593">
            <v>1792</v>
          </cell>
        </row>
        <row r="594">
          <cell r="A594">
            <v>1793</v>
          </cell>
        </row>
        <row r="595">
          <cell r="A595">
            <v>1794</v>
          </cell>
        </row>
        <row r="596">
          <cell r="A596">
            <v>1795</v>
          </cell>
        </row>
        <row r="597">
          <cell r="A597">
            <v>1796</v>
          </cell>
        </row>
        <row r="598">
          <cell r="A598">
            <v>1797</v>
          </cell>
        </row>
        <row r="599">
          <cell r="A599">
            <v>1799</v>
          </cell>
        </row>
        <row r="600">
          <cell r="A600">
            <v>1800</v>
          </cell>
        </row>
        <row r="601">
          <cell r="A601">
            <v>1801</v>
          </cell>
        </row>
        <row r="602">
          <cell r="A602">
            <v>1802</v>
          </cell>
        </row>
        <row r="603">
          <cell r="A603">
            <v>1803</v>
          </cell>
        </row>
        <row r="604">
          <cell r="A604">
            <v>1804</v>
          </cell>
        </row>
        <row r="605">
          <cell r="A605">
            <v>1806</v>
          </cell>
        </row>
        <row r="606">
          <cell r="A606">
            <v>1807</v>
          </cell>
        </row>
        <row r="607">
          <cell r="A607">
            <v>1808</v>
          </cell>
        </row>
        <row r="608">
          <cell r="A608">
            <v>1809</v>
          </cell>
        </row>
        <row r="609">
          <cell r="A609">
            <v>1810</v>
          </cell>
        </row>
        <row r="610">
          <cell r="A610">
            <v>1811</v>
          </cell>
        </row>
        <row r="611">
          <cell r="A611">
            <v>1812</v>
          </cell>
        </row>
        <row r="612">
          <cell r="A612">
            <v>1813</v>
          </cell>
        </row>
        <row r="613">
          <cell r="A613">
            <v>1814</v>
          </cell>
        </row>
        <row r="614">
          <cell r="A614">
            <v>1815</v>
          </cell>
        </row>
        <row r="615">
          <cell r="A615">
            <v>1816</v>
          </cell>
        </row>
        <row r="616">
          <cell r="A616">
            <v>1817</v>
          </cell>
        </row>
        <row r="617">
          <cell r="A617">
            <v>1818</v>
          </cell>
        </row>
        <row r="618">
          <cell r="A618">
            <v>1819</v>
          </cell>
        </row>
        <row r="619">
          <cell r="A619">
            <v>1820</v>
          </cell>
        </row>
        <row r="620">
          <cell r="A620">
            <v>1821</v>
          </cell>
        </row>
        <row r="621">
          <cell r="A621">
            <v>1823</v>
          </cell>
        </row>
        <row r="622">
          <cell r="A622">
            <v>1824</v>
          </cell>
        </row>
        <row r="623">
          <cell r="A623">
            <v>1825</v>
          </cell>
        </row>
        <row r="624">
          <cell r="A624">
            <v>1826</v>
          </cell>
        </row>
        <row r="625">
          <cell r="A625">
            <v>1827</v>
          </cell>
        </row>
        <row r="626">
          <cell r="A626">
            <v>1828</v>
          </cell>
        </row>
        <row r="627">
          <cell r="A627">
            <v>1829</v>
          </cell>
        </row>
        <row r="628">
          <cell r="A628">
            <v>1830</v>
          </cell>
        </row>
        <row r="629">
          <cell r="A629">
            <v>1831</v>
          </cell>
        </row>
        <row r="630">
          <cell r="A630">
            <v>1832</v>
          </cell>
        </row>
        <row r="631">
          <cell r="A631">
            <v>1833</v>
          </cell>
        </row>
        <row r="632">
          <cell r="A632">
            <v>1834</v>
          </cell>
        </row>
        <row r="633">
          <cell r="A633">
            <v>1835</v>
          </cell>
        </row>
        <row r="634">
          <cell r="A634">
            <v>1836</v>
          </cell>
        </row>
        <row r="635">
          <cell r="A635">
            <v>1837</v>
          </cell>
        </row>
        <row r="636">
          <cell r="A636">
            <v>1838</v>
          </cell>
        </row>
        <row r="637">
          <cell r="A637">
            <v>1839</v>
          </cell>
        </row>
        <row r="638">
          <cell r="A638">
            <v>1840</v>
          </cell>
        </row>
        <row r="639">
          <cell r="A639">
            <v>1841</v>
          </cell>
        </row>
        <row r="640">
          <cell r="A640">
            <v>1842</v>
          </cell>
        </row>
        <row r="641">
          <cell r="A641">
            <v>1843</v>
          </cell>
        </row>
        <row r="642">
          <cell r="A642">
            <v>1844</v>
          </cell>
        </row>
        <row r="643">
          <cell r="A643">
            <v>1845</v>
          </cell>
        </row>
        <row r="644">
          <cell r="A644">
            <v>1846</v>
          </cell>
        </row>
        <row r="645">
          <cell r="A645">
            <v>1849</v>
          </cell>
        </row>
        <row r="646">
          <cell r="A646">
            <v>1850</v>
          </cell>
        </row>
        <row r="647">
          <cell r="A647">
            <v>1851</v>
          </cell>
        </row>
        <row r="648">
          <cell r="A648">
            <v>1852</v>
          </cell>
        </row>
        <row r="649">
          <cell r="A649">
            <v>1853</v>
          </cell>
        </row>
        <row r="650">
          <cell r="A650">
            <v>1854</v>
          </cell>
        </row>
        <row r="651">
          <cell r="A651">
            <v>1855</v>
          </cell>
        </row>
        <row r="652">
          <cell r="A652">
            <v>1856</v>
          </cell>
        </row>
        <row r="653">
          <cell r="A653">
            <v>1857</v>
          </cell>
        </row>
        <row r="654">
          <cell r="A654">
            <v>1858</v>
          </cell>
        </row>
        <row r="655">
          <cell r="A655">
            <v>1860</v>
          </cell>
        </row>
        <row r="656">
          <cell r="A656">
            <v>1861</v>
          </cell>
        </row>
        <row r="657">
          <cell r="A657">
            <v>1862</v>
          </cell>
        </row>
        <row r="658">
          <cell r="A658">
            <v>1863</v>
          </cell>
        </row>
        <row r="659">
          <cell r="A659">
            <v>1864</v>
          </cell>
        </row>
        <row r="660">
          <cell r="A660">
            <v>1865</v>
          </cell>
        </row>
        <row r="661">
          <cell r="A661">
            <v>1866</v>
          </cell>
        </row>
        <row r="662">
          <cell r="A662">
            <v>1867</v>
          </cell>
        </row>
        <row r="663">
          <cell r="A663">
            <v>1868</v>
          </cell>
        </row>
        <row r="664">
          <cell r="A664">
            <v>1869</v>
          </cell>
        </row>
        <row r="665">
          <cell r="A665">
            <v>1870</v>
          </cell>
        </row>
        <row r="666">
          <cell r="A666">
            <v>1872</v>
          </cell>
        </row>
        <row r="667">
          <cell r="A667">
            <v>1873</v>
          </cell>
        </row>
        <row r="668">
          <cell r="A668">
            <v>1874</v>
          </cell>
        </row>
        <row r="669">
          <cell r="A669">
            <v>1875</v>
          </cell>
        </row>
        <row r="670">
          <cell r="A670">
            <v>1876</v>
          </cell>
        </row>
        <row r="671">
          <cell r="A671">
            <v>1877</v>
          </cell>
        </row>
        <row r="672">
          <cell r="A672">
            <v>1878</v>
          </cell>
        </row>
        <row r="673">
          <cell r="A673">
            <v>1879</v>
          </cell>
        </row>
        <row r="674">
          <cell r="A674">
            <v>1880</v>
          </cell>
        </row>
        <row r="675">
          <cell r="A675">
            <v>1881</v>
          </cell>
        </row>
        <row r="676">
          <cell r="A676">
            <v>1882</v>
          </cell>
        </row>
        <row r="677">
          <cell r="A677">
            <v>1883</v>
          </cell>
        </row>
        <row r="678">
          <cell r="A678">
            <v>1884</v>
          </cell>
        </row>
        <row r="679">
          <cell r="A679">
            <v>1885</v>
          </cell>
        </row>
        <row r="680">
          <cell r="A680">
            <v>1886</v>
          </cell>
        </row>
        <row r="681">
          <cell r="A681">
            <v>1887</v>
          </cell>
        </row>
        <row r="682">
          <cell r="A682">
            <v>1888</v>
          </cell>
        </row>
        <row r="683">
          <cell r="A683">
            <v>1889</v>
          </cell>
        </row>
        <row r="684">
          <cell r="A684">
            <v>1890</v>
          </cell>
        </row>
        <row r="685">
          <cell r="A685">
            <v>1891</v>
          </cell>
        </row>
        <row r="686">
          <cell r="A686">
            <v>1892</v>
          </cell>
        </row>
        <row r="687">
          <cell r="A687">
            <v>1893</v>
          </cell>
        </row>
        <row r="688">
          <cell r="A688">
            <v>1894</v>
          </cell>
        </row>
        <row r="689">
          <cell r="A689">
            <v>1897</v>
          </cell>
        </row>
        <row r="690">
          <cell r="A690">
            <v>1898</v>
          </cell>
        </row>
        <row r="691">
          <cell r="A691">
            <v>1899</v>
          </cell>
        </row>
        <row r="692">
          <cell r="A692">
            <v>1900</v>
          </cell>
        </row>
        <row r="693">
          <cell r="A693">
            <v>1901</v>
          </cell>
        </row>
        <row r="694">
          <cell r="A694">
            <v>1902</v>
          </cell>
        </row>
        <row r="695">
          <cell r="A695">
            <v>1903</v>
          </cell>
        </row>
        <row r="696">
          <cell r="A696">
            <v>1904</v>
          </cell>
        </row>
        <row r="697">
          <cell r="A697">
            <v>1905</v>
          </cell>
        </row>
        <row r="698">
          <cell r="A698">
            <v>1906</v>
          </cell>
        </row>
        <row r="699">
          <cell r="A699">
            <v>1907</v>
          </cell>
        </row>
        <row r="700">
          <cell r="A700">
            <v>1908</v>
          </cell>
        </row>
        <row r="701">
          <cell r="A701">
            <v>1909</v>
          </cell>
        </row>
        <row r="702">
          <cell r="A702">
            <v>1910</v>
          </cell>
        </row>
        <row r="703">
          <cell r="A703">
            <v>1912</v>
          </cell>
        </row>
        <row r="704">
          <cell r="A704">
            <v>1913</v>
          </cell>
        </row>
        <row r="705">
          <cell r="A705">
            <v>1914</v>
          </cell>
        </row>
        <row r="706">
          <cell r="A706">
            <v>1915</v>
          </cell>
        </row>
        <row r="707">
          <cell r="A707">
            <v>1916</v>
          </cell>
        </row>
        <row r="708">
          <cell r="A708">
            <v>1917</v>
          </cell>
        </row>
        <row r="709">
          <cell r="A709">
            <v>1918</v>
          </cell>
        </row>
        <row r="710">
          <cell r="A710">
            <v>1919</v>
          </cell>
        </row>
        <row r="711">
          <cell r="A711">
            <v>1921</v>
          </cell>
        </row>
        <row r="712">
          <cell r="A712">
            <v>1922</v>
          </cell>
        </row>
        <row r="713">
          <cell r="A713">
            <v>1923</v>
          </cell>
        </row>
        <row r="714">
          <cell r="A714">
            <v>1924</v>
          </cell>
        </row>
        <row r="715">
          <cell r="A715">
            <v>1925</v>
          </cell>
        </row>
        <row r="716">
          <cell r="A716">
            <v>1926</v>
          </cell>
        </row>
        <row r="717">
          <cell r="A717">
            <v>1927</v>
          </cell>
        </row>
        <row r="718">
          <cell r="A718">
            <v>1928</v>
          </cell>
        </row>
        <row r="719">
          <cell r="A719">
            <v>1929</v>
          </cell>
        </row>
        <row r="720">
          <cell r="A720">
            <v>1930</v>
          </cell>
        </row>
        <row r="721">
          <cell r="A721">
            <v>1931</v>
          </cell>
        </row>
        <row r="722">
          <cell r="A722">
            <v>1932</v>
          </cell>
        </row>
        <row r="723">
          <cell r="A723">
            <v>1933</v>
          </cell>
        </row>
        <row r="724">
          <cell r="A724">
            <v>1934</v>
          </cell>
        </row>
        <row r="725">
          <cell r="A725">
            <v>1935</v>
          </cell>
        </row>
        <row r="726">
          <cell r="A726">
            <v>1936</v>
          </cell>
        </row>
        <row r="727">
          <cell r="A727">
            <v>1937</v>
          </cell>
        </row>
        <row r="728">
          <cell r="A728">
            <v>1938</v>
          </cell>
        </row>
        <row r="729">
          <cell r="A729">
            <v>1939</v>
          </cell>
        </row>
        <row r="730">
          <cell r="A730">
            <v>1940</v>
          </cell>
        </row>
        <row r="731">
          <cell r="A731">
            <v>1941</v>
          </cell>
        </row>
        <row r="732">
          <cell r="A732">
            <v>1942</v>
          </cell>
        </row>
        <row r="733">
          <cell r="A733">
            <v>1943</v>
          </cell>
        </row>
        <row r="734">
          <cell r="A734">
            <v>1944</v>
          </cell>
        </row>
        <row r="735">
          <cell r="A735">
            <v>1945</v>
          </cell>
        </row>
        <row r="736">
          <cell r="A736">
            <v>1946</v>
          </cell>
        </row>
        <row r="737">
          <cell r="A737">
            <v>1948</v>
          </cell>
        </row>
        <row r="738">
          <cell r="A738">
            <v>1949</v>
          </cell>
        </row>
        <row r="739">
          <cell r="A739">
            <v>1950</v>
          </cell>
        </row>
        <row r="740">
          <cell r="A740">
            <v>1951</v>
          </cell>
        </row>
        <row r="741">
          <cell r="A741">
            <v>1952</v>
          </cell>
        </row>
        <row r="742">
          <cell r="A742">
            <v>1953</v>
          </cell>
        </row>
        <row r="743">
          <cell r="A743">
            <v>1954</v>
          </cell>
        </row>
        <row r="744">
          <cell r="A744">
            <v>1955</v>
          </cell>
        </row>
        <row r="745">
          <cell r="A745">
            <v>1956</v>
          </cell>
        </row>
        <row r="746">
          <cell r="A746">
            <v>1957</v>
          </cell>
        </row>
        <row r="747">
          <cell r="A747">
            <v>1958</v>
          </cell>
        </row>
        <row r="748">
          <cell r="A748">
            <v>1959</v>
          </cell>
        </row>
        <row r="749">
          <cell r="A749">
            <v>1960</v>
          </cell>
        </row>
        <row r="750">
          <cell r="A750">
            <v>1961</v>
          </cell>
        </row>
        <row r="751">
          <cell r="A751">
            <v>1962</v>
          </cell>
        </row>
        <row r="752">
          <cell r="A752">
            <v>1963</v>
          </cell>
        </row>
        <row r="753">
          <cell r="A753">
            <v>1964</v>
          </cell>
        </row>
        <row r="754">
          <cell r="A754">
            <v>1965</v>
          </cell>
        </row>
        <row r="755">
          <cell r="A755">
            <v>1967</v>
          </cell>
        </row>
        <row r="756">
          <cell r="A756">
            <v>1968</v>
          </cell>
        </row>
        <row r="757">
          <cell r="A757">
            <v>1969</v>
          </cell>
        </row>
        <row r="758">
          <cell r="A758">
            <v>1970</v>
          </cell>
        </row>
        <row r="759">
          <cell r="A759">
            <v>1971</v>
          </cell>
        </row>
        <row r="760">
          <cell r="A760">
            <v>1972</v>
          </cell>
        </row>
        <row r="761">
          <cell r="A761">
            <v>1973</v>
          </cell>
        </row>
        <row r="762">
          <cell r="A762">
            <v>1974</v>
          </cell>
        </row>
        <row r="763">
          <cell r="A763">
            <v>1975</v>
          </cell>
        </row>
        <row r="764">
          <cell r="A764">
            <v>1976</v>
          </cell>
        </row>
        <row r="765">
          <cell r="A765">
            <v>1977</v>
          </cell>
        </row>
        <row r="766">
          <cell r="A766">
            <v>1978</v>
          </cell>
        </row>
        <row r="767">
          <cell r="A767">
            <v>1979</v>
          </cell>
        </row>
        <row r="768">
          <cell r="A768">
            <v>1980</v>
          </cell>
        </row>
        <row r="769">
          <cell r="A769">
            <v>1981</v>
          </cell>
        </row>
        <row r="770">
          <cell r="A770">
            <v>1982</v>
          </cell>
        </row>
        <row r="771">
          <cell r="A771">
            <v>1983</v>
          </cell>
        </row>
        <row r="772">
          <cell r="A772">
            <v>1984</v>
          </cell>
        </row>
        <row r="773">
          <cell r="A773">
            <v>1985</v>
          </cell>
        </row>
        <row r="774">
          <cell r="A774">
            <v>1986</v>
          </cell>
        </row>
        <row r="775">
          <cell r="A775">
            <v>1987</v>
          </cell>
        </row>
        <row r="776">
          <cell r="A776">
            <v>1988</v>
          </cell>
        </row>
        <row r="777">
          <cell r="A777">
            <v>1989</v>
          </cell>
        </row>
        <row r="778">
          <cell r="A778">
            <v>1990</v>
          </cell>
        </row>
        <row r="779">
          <cell r="A779">
            <v>1991</v>
          </cell>
        </row>
        <row r="780">
          <cell r="A780">
            <v>1992</v>
          </cell>
        </row>
        <row r="781">
          <cell r="A781">
            <v>1993</v>
          </cell>
        </row>
        <row r="782">
          <cell r="A782">
            <v>1994</v>
          </cell>
        </row>
        <row r="783">
          <cell r="A783">
            <v>1995</v>
          </cell>
        </row>
        <row r="784">
          <cell r="A784">
            <v>1996</v>
          </cell>
        </row>
        <row r="785">
          <cell r="A785">
            <v>1997</v>
          </cell>
        </row>
        <row r="786">
          <cell r="A786">
            <v>1998</v>
          </cell>
        </row>
        <row r="787">
          <cell r="A787">
            <v>1999</v>
          </cell>
        </row>
        <row r="788">
          <cell r="A788">
            <v>2000</v>
          </cell>
        </row>
        <row r="789">
          <cell r="A789">
            <v>2001</v>
          </cell>
        </row>
        <row r="790">
          <cell r="A790">
            <v>2002</v>
          </cell>
        </row>
        <row r="791">
          <cell r="A791">
            <v>2003</v>
          </cell>
        </row>
        <row r="792">
          <cell r="A792">
            <v>2004</v>
          </cell>
        </row>
        <row r="793">
          <cell r="A793">
            <v>2005</v>
          </cell>
        </row>
        <row r="794">
          <cell r="A794">
            <v>2006</v>
          </cell>
        </row>
        <row r="795">
          <cell r="A795">
            <v>2007</v>
          </cell>
        </row>
        <row r="796">
          <cell r="A796">
            <v>2008</v>
          </cell>
        </row>
        <row r="797">
          <cell r="A797">
            <v>2009</v>
          </cell>
        </row>
        <row r="798">
          <cell r="A798">
            <v>2010</v>
          </cell>
        </row>
        <row r="799">
          <cell r="A799">
            <v>2011</v>
          </cell>
        </row>
        <row r="800">
          <cell r="A800">
            <v>2012</v>
          </cell>
        </row>
        <row r="801">
          <cell r="A801">
            <v>2013</v>
          </cell>
        </row>
        <row r="802">
          <cell r="A802">
            <v>2014</v>
          </cell>
        </row>
        <row r="803">
          <cell r="A803">
            <v>2015</v>
          </cell>
        </row>
        <row r="804">
          <cell r="A804">
            <v>2016</v>
          </cell>
        </row>
        <row r="805">
          <cell r="A805">
            <v>2017</v>
          </cell>
        </row>
        <row r="806">
          <cell r="A806">
            <v>2018.2</v>
          </cell>
        </row>
        <row r="807">
          <cell r="A807">
            <v>2019</v>
          </cell>
        </row>
        <row r="808">
          <cell r="A808">
            <v>2020</v>
          </cell>
        </row>
        <row r="809">
          <cell r="A809">
            <v>2021</v>
          </cell>
        </row>
        <row r="810">
          <cell r="A810">
            <v>2022</v>
          </cell>
        </row>
        <row r="811">
          <cell r="A811">
            <v>2023</v>
          </cell>
        </row>
        <row r="812">
          <cell r="A812">
            <v>2024</v>
          </cell>
        </row>
        <row r="813">
          <cell r="A813">
            <v>2025</v>
          </cell>
        </row>
        <row r="814">
          <cell r="A814">
            <v>2029</v>
          </cell>
        </row>
        <row r="815">
          <cell r="A815">
            <v>2030</v>
          </cell>
        </row>
        <row r="816">
          <cell r="A816">
            <v>2031</v>
          </cell>
        </row>
        <row r="817">
          <cell r="A817">
            <v>2032</v>
          </cell>
        </row>
        <row r="818">
          <cell r="A818">
            <v>2033</v>
          </cell>
        </row>
        <row r="819">
          <cell r="A819">
            <v>2034</v>
          </cell>
        </row>
        <row r="820">
          <cell r="A820">
            <v>2035</v>
          </cell>
        </row>
        <row r="821">
          <cell r="A821">
            <v>2036</v>
          </cell>
        </row>
        <row r="822">
          <cell r="A822">
            <v>2037</v>
          </cell>
        </row>
        <row r="823">
          <cell r="A823">
            <v>2038</v>
          </cell>
        </row>
        <row r="824">
          <cell r="A824">
            <v>2039</v>
          </cell>
        </row>
        <row r="825">
          <cell r="A825">
            <v>2045</v>
          </cell>
        </row>
        <row r="826">
          <cell r="A826">
            <v>2046</v>
          </cell>
        </row>
        <row r="827">
          <cell r="A827">
            <v>2047</v>
          </cell>
        </row>
        <row r="828">
          <cell r="A828">
            <v>2048</v>
          </cell>
        </row>
        <row r="829">
          <cell r="A829">
            <v>2049</v>
          </cell>
        </row>
        <row r="830">
          <cell r="A830">
            <v>2050</v>
          </cell>
        </row>
        <row r="831">
          <cell r="A831">
            <v>2051</v>
          </cell>
        </row>
        <row r="832">
          <cell r="A832">
            <v>2053</v>
          </cell>
        </row>
        <row r="833">
          <cell r="A833">
            <v>2054</v>
          </cell>
        </row>
        <row r="834">
          <cell r="A834">
            <v>2055</v>
          </cell>
        </row>
        <row r="835">
          <cell r="A835">
            <v>2057</v>
          </cell>
        </row>
        <row r="836">
          <cell r="A836">
            <v>2058</v>
          </cell>
        </row>
        <row r="837">
          <cell r="A837">
            <v>2059</v>
          </cell>
        </row>
        <row r="838">
          <cell r="A838">
            <v>2060</v>
          </cell>
        </row>
        <row r="839">
          <cell r="A839">
            <v>2061</v>
          </cell>
        </row>
        <row r="840">
          <cell r="A840">
            <v>2062</v>
          </cell>
        </row>
        <row r="841">
          <cell r="A841">
            <v>2063</v>
          </cell>
        </row>
        <row r="842">
          <cell r="A842">
            <v>2064</v>
          </cell>
        </row>
        <row r="843">
          <cell r="A843">
            <v>2065</v>
          </cell>
        </row>
        <row r="844">
          <cell r="A844">
            <v>2066</v>
          </cell>
        </row>
        <row r="845">
          <cell r="A845">
            <v>2067</v>
          </cell>
        </row>
        <row r="846">
          <cell r="A846">
            <v>2071</v>
          </cell>
        </row>
        <row r="847">
          <cell r="A847">
            <v>2072</v>
          </cell>
        </row>
        <row r="848">
          <cell r="A848">
            <v>2073</v>
          </cell>
        </row>
        <row r="849">
          <cell r="A849">
            <v>2074</v>
          </cell>
        </row>
        <row r="850">
          <cell r="A850">
            <v>2075</v>
          </cell>
        </row>
        <row r="851">
          <cell r="A851">
            <v>2076</v>
          </cell>
        </row>
        <row r="852">
          <cell r="A852">
            <v>2082</v>
          </cell>
        </row>
        <row r="853">
          <cell r="A853">
            <v>2204</v>
          </cell>
        </row>
        <row r="854">
          <cell r="A854">
            <v>2205</v>
          </cell>
        </row>
        <row r="855">
          <cell r="A855">
            <v>2206</v>
          </cell>
        </row>
        <row r="856">
          <cell r="A856">
            <v>2207</v>
          </cell>
        </row>
        <row r="857">
          <cell r="A857">
            <v>2208</v>
          </cell>
        </row>
        <row r="858">
          <cell r="A858">
            <v>2209</v>
          </cell>
        </row>
        <row r="859">
          <cell r="A859">
            <v>2210</v>
          </cell>
        </row>
        <row r="860">
          <cell r="A860">
            <v>2211</v>
          </cell>
        </row>
        <row r="861">
          <cell r="A861">
            <v>2212</v>
          </cell>
        </row>
        <row r="862">
          <cell r="A862">
            <v>2213</v>
          </cell>
        </row>
        <row r="863">
          <cell r="A863">
            <v>2214</v>
          </cell>
        </row>
        <row r="864">
          <cell r="A864">
            <v>2215</v>
          </cell>
        </row>
        <row r="865">
          <cell r="A865">
            <v>2216</v>
          </cell>
        </row>
        <row r="866">
          <cell r="A866">
            <v>2219</v>
          </cell>
        </row>
        <row r="867">
          <cell r="A867">
            <v>2220</v>
          </cell>
        </row>
        <row r="868">
          <cell r="A868">
            <v>2221</v>
          </cell>
        </row>
        <row r="869">
          <cell r="A869">
            <v>2222</v>
          </cell>
        </row>
        <row r="870">
          <cell r="A870">
            <v>2223</v>
          </cell>
        </row>
        <row r="871">
          <cell r="A871">
            <v>2224</v>
          </cell>
        </row>
        <row r="872">
          <cell r="A872">
            <v>2232</v>
          </cell>
        </row>
        <row r="873">
          <cell r="A873">
            <v>2233</v>
          </cell>
        </row>
        <row r="874">
          <cell r="A874">
            <v>2234</v>
          </cell>
        </row>
        <row r="875">
          <cell r="A875">
            <v>2235</v>
          </cell>
        </row>
        <row r="876">
          <cell r="A876">
            <v>2236</v>
          </cell>
        </row>
        <row r="877">
          <cell r="A877">
            <v>2237</v>
          </cell>
        </row>
        <row r="878">
          <cell r="A878">
            <v>2238</v>
          </cell>
        </row>
        <row r="879">
          <cell r="A879">
            <v>2239</v>
          </cell>
        </row>
        <row r="880">
          <cell r="A880">
            <v>2240</v>
          </cell>
        </row>
        <row r="881">
          <cell r="A881">
            <v>2241</v>
          </cell>
        </row>
        <row r="882">
          <cell r="A882">
            <v>2242</v>
          </cell>
        </row>
        <row r="883">
          <cell r="A883">
            <v>2243</v>
          </cell>
        </row>
        <row r="884">
          <cell r="A884">
            <v>2244</v>
          </cell>
        </row>
        <row r="885">
          <cell r="A885">
            <v>4402</v>
          </cell>
        </row>
        <row r="886">
          <cell r="A886">
            <v>4403</v>
          </cell>
        </row>
        <row r="887">
          <cell r="A887">
            <v>4404</v>
          </cell>
        </row>
        <row r="888">
          <cell r="A888">
            <v>4429</v>
          </cell>
        </row>
        <row r="889">
          <cell r="A889">
            <v>4433</v>
          </cell>
        </row>
        <row r="890">
          <cell r="A890">
            <v>4437</v>
          </cell>
        </row>
        <row r="891">
          <cell r="A891">
            <v>4438</v>
          </cell>
        </row>
        <row r="892">
          <cell r="A892">
            <v>4439</v>
          </cell>
        </row>
        <row r="893">
          <cell r="A893">
            <v>4440</v>
          </cell>
        </row>
        <row r="894">
          <cell r="A894">
            <v>4441</v>
          </cell>
        </row>
        <row r="895">
          <cell r="A895">
            <v>4461</v>
          </cell>
        </row>
        <row r="896">
          <cell r="A896">
            <v>4462</v>
          </cell>
        </row>
        <row r="897">
          <cell r="A897">
            <v>4463</v>
          </cell>
        </row>
        <row r="898">
          <cell r="A898">
            <v>4464</v>
          </cell>
        </row>
        <row r="899">
          <cell r="A899">
            <v>4465</v>
          </cell>
        </row>
        <row r="900">
          <cell r="A900">
            <v>4466</v>
          </cell>
        </row>
        <row r="901">
          <cell r="A901">
            <v>4467</v>
          </cell>
        </row>
        <row r="902">
          <cell r="A902">
            <v>4468</v>
          </cell>
        </row>
        <row r="903">
          <cell r="A903">
            <v>4470</v>
          </cell>
        </row>
        <row r="904">
          <cell r="A904">
            <v>4471</v>
          </cell>
        </row>
        <row r="905">
          <cell r="A905">
            <v>4472</v>
          </cell>
        </row>
        <row r="906">
          <cell r="A906">
            <v>4473</v>
          </cell>
        </row>
        <row r="907">
          <cell r="A907">
            <v>4474</v>
          </cell>
        </row>
        <row r="908">
          <cell r="A908">
            <v>4494</v>
          </cell>
        </row>
        <row r="909">
          <cell r="A909">
            <v>4495</v>
          </cell>
        </row>
        <row r="910">
          <cell r="A910">
            <v>4496</v>
          </cell>
        </row>
        <row r="911">
          <cell r="A911">
            <v>4497</v>
          </cell>
        </row>
        <row r="912">
          <cell r="A912">
            <v>4498</v>
          </cell>
        </row>
        <row r="913">
          <cell r="A913">
            <v>4499</v>
          </cell>
        </row>
        <row r="914">
          <cell r="A914">
            <v>4500</v>
          </cell>
        </row>
        <row r="915">
          <cell r="A915">
            <v>4501</v>
          </cell>
        </row>
        <row r="916">
          <cell r="A916">
            <v>4502</v>
          </cell>
        </row>
        <row r="917">
          <cell r="A917">
            <v>4503</v>
          </cell>
        </row>
        <row r="918">
          <cell r="A918">
            <v>4504</v>
          </cell>
        </row>
        <row r="919">
          <cell r="A919">
            <v>4505</v>
          </cell>
        </row>
        <row r="920">
          <cell r="A920">
            <v>4506</v>
          </cell>
        </row>
        <row r="921">
          <cell r="A921">
            <v>4507</v>
          </cell>
        </row>
        <row r="922">
          <cell r="A922">
            <v>4508</v>
          </cell>
        </row>
        <row r="923">
          <cell r="A923">
            <v>4524</v>
          </cell>
        </row>
        <row r="924">
          <cell r="A924">
            <v>4525</v>
          </cell>
        </row>
        <row r="925">
          <cell r="A925">
            <v>4526</v>
          </cell>
        </row>
        <row r="926">
          <cell r="A926">
            <v>4527</v>
          </cell>
        </row>
        <row r="927">
          <cell r="A927">
            <v>4528</v>
          </cell>
        </row>
        <row r="928">
          <cell r="A928">
            <v>4529</v>
          </cell>
        </row>
        <row r="929">
          <cell r="A929">
            <v>4530</v>
          </cell>
        </row>
        <row r="930">
          <cell r="A930">
            <v>4531</v>
          </cell>
        </row>
        <row r="931">
          <cell r="A931">
            <v>4532</v>
          </cell>
        </row>
        <row r="932">
          <cell r="A932">
            <v>4533</v>
          </cell>
        </row>
        <row r="933">
          <cell r="A933">
            <v>4534</v>
          </cell>
        </row>
        <row r="934">
          <cell r="A934">
            <v>4535</v>
          </cell>
        </row>
        <row r="935">
          <cell r="A935">
            <v>4536</v>
          </cell>
        </row>
        <row r="936">
          <cell r="A936">
            <v>4537</v>
          </cell>
        </row>
        <row r="937">
          <cell r="A937">
            <v>4552</v>
          </cell>
        </row>
        <row r="938">
          <cell r="A938">
            <v>4553</v>
          </cell>
        </row>
        <row r="939">
          <cell r="A939">
            <v>4554</v>
          </cell>
        </row>
        <row r="940">
          <cell r="A940">
            <v>4555</v>
          </cell>
        </row>
        <row r="941">
          <cell r="A941">
            <v>4556</v>
          </cell>
        </row>
        <row r="942">
          <cell r="A942">
            <v>4557</v>
          </cell>
        </row>
        <row r="943">
          <cell r="A943">
            <v>4558</v>
          </cell>
        </row>
        <row r="944">
          <cell r="A944">
            <v>4559</v>
          </cell>
        </row>
        <row r="945">
          <cell r="A945">
            <v>4560</v>
          </cell>
        </row>
        <row r="946">
          <cell r="A946">
            <v>4561</v>
          </cell>
        </row>
        <row r="947">
          <cell r="A947">
            <v>4577</v>
          </cell>
        </row>
        <row r="948">
          <cell r="A948">
            <v>4578</v>
          </cell>
        </row>
        <row r="949">
          <cell r="A949">
            <v>4579</v>
          </cell>
        </row>
        <row r="950">
          <cell r="A950">
            <v>4580</v>
          </cell>
        </row>
        <row r="951">
          <cell r="A951">
            <v>4581</v>
          </cell>
        </row>
        <row r="952">
          <cell r="A952">
            <v>4582</v>
          </cell>
        </row>
        <row r="953">
          <cell r="A953">
            <v>4583</v>
          </cell>
        </row>
        <row r="954">
          <cell r="A954">
            <v>4584</v>
          </cell>
        </row>
        <row r="955">
          <cell r="A955">
            <v>4585</v>
          </cell>
        </row>
        <row r="956">
          <cell r="A956">
            <v>4586</v>
          </cell>
        </row>
        <row r="957">
          <cell r="A957">
            <v>4587</v>
          </cell>
        </row>
        <row r="958">
          <cell r="A958">
            <v>4588</v>
          </cell>
        </row>
        <row r="959">
          <cell r="A959">
            <v>4589</v>
          </cell>
        </row>
        <row r="960">
          <cell r="A960">
            <v>4590</v>
          </cell>
        </row>
        <row r="961">
          <cell r="A961">
            <v>4591</v>
          </cell>
        </row>
        <row r="962">
          <cell r="A962">
            <v>4601</v>
          </cell>
        </row>
        <row r="963">
          <cell r="A963">
            <v>4602</v>
          </cell>
        </row>
        <row r="964">
          <cell r="A964">
            <v>4603</v>
          </cell>
        </row>
        <row r="965">
          <cell r="A965">
            <v>4604</v>
          </cell>
        </row>
        <row r="966">
          <cell r="A966">
            <v>4605</v>
          </cell>
        </row>
        <row r="967">
          <cell r="A967">
            <v>4606</v>
          </cell>
        </row>
        <row r="968">
          <cell r="A968">
            <v>4607</v>
          </cell>
        </row>
        <row r="969">
          <cell r="A969">
            <v>4608</v>
          </cell>
        </row>
        <row r="970">
          <cell r="A970">
            <v>4610</v>
          </cell>
        </row>
        <row r="971">
          <cell r="A971">
            <v>4611</v>
          </cell>
        </row>
        <row r="972">
          <cell r="A972">
            <v>4612</v>
          </cell>
        </row>
        <row r="973">
          <cell r="A973">
            <v>4613</v>
          </cell>
        </row>
        <row r="974">
          <cell r="A974">
            <v>4614</v>
          </cell>
        </row>
        <row r="975">
          <cell r="A975">
            <v>4624</v>
          </cell>
        </row>
        <row r="976">
          <cell r="A976">
            <v>4625</v>
          </cell>
        </row>
        <row r="977">
          <cell r="A977">
            <v>4626</v>
          </cell>
        </row>
        <row r="978">
          <cell r="A978">
            <v>4627</v>
          </cell>
        </row>
        <row r="979">
          <cell r="A979">
            <v>4628</v>
          </cell>
        </row>
        <row r="980">
          <cell r="A980">
            <v>4629</v>
          </cell>
        </row>
        <row r="981">
          <cell r="A981">
            <v>4630</v>
          </cell>
        </row>
        <row r="982">
          <cell r="A982">
            <v>4636</v>
          </cell>
        </row>
        <row r="983">
          <cell r="A983">
            <v>4647</v>
          </cell>
        </row>
        <row r="984">
          <cell r="A984">
            <v>4648</v>
          </cell>
        </row>
        <row r="985">
          <cell r="A985">
            <v>4649</v>
          </cell>
        </row>
        <row r="986">
          <cell r="A986">
            <v>4651</v>
          </cell>
        </row>
        <row r="987">
          <cell r="A987">
            <v>4659</v>
          </cell>
        </row>
        <row r="988">
          <cell r="A988">
            <v>4662</v>
          </cell>
        </row>
        <row r="989">
          <cell r="A989">
            <v>4664</v>
          </cell>
        </row>
        <row r="990">
          <cell r="A990">
            <v>4666</v>
          </cell>
        </row>
        <row r="991">
          <cell r="A991">
            <v>4667</v>
          </cell>
        </row>
        <row r="992">
          <cell r="A992">
            <v>4668</v>
          </cell>
        </row>
        <row r="993">
          <cell r="A993">
            <v>4671</v>
          </cell>
        </row>
        <row r="994">
          <cell r="A994">
            <v>4677</v>
          </cell>
        </row>
        <row r="995">
          <cell r="A995">
            <v>4680</v>
          </cell>
        </row>
        <row r="996">
          <cell r="A996">
            <v>4681</v>
          </cell>
        </row>
        <row r="997">
          <cell r="A997">
            <v>4684</v>
          </cell>
        </row>
        <row r="998">
          <cell r="A998">
            <v>4685</v>
          </cell>
        </row>
        <row r="999">
          <cell r="A999">
            <v>4697</v>
          </cell>
        </row>
        <row r="1000">
          <cell r="A1000">
            <v>4700</v>
          </cell>
        </row>
        <row r="1001">
          <cell r="A1001">
            <v>4701</v>
          </cell>
        </row>
        <row r="1002">
          <cell r="A1002">
            <v>4702</v>
          </cell>
        </row>
        <row r="1003">
          <cell r="A1003">
            <v>4703</v>
          </cell>
        </row>
        <row r="1004">
          <cell r="A1004">
            <v>4704</v>
          </cell>
        </row>
        <row r="1005">
          <cell r="A1005">
            <v>4705</v>
          </cell>
        </row>
        <row r="1006">
          <cell r="A1006">
            <v>4732</v>
          </cell>
        </row>
        <row r="1007">
          <cell r="A1007">
            <v>4733</v>
          </cell>
        </row>
        <row r="1008">
          <cell r="A1008">
            <v>4734</v>
          </cell>
        </row>
        <row r="1009">
          <cell r="A1009">
            <v>4735</v>
          </cell>
        </row>
        <row r="1010">
          <cell r="A1010">
            <v>4736</v>
          </cell>
        </row>
        <row r="1011">
          <cell r="A1011">
            <v>4739</v>
          </cell>
        </row>
        <row r="1012">
          <cell r="A1012">
            <v>4758</v>
          </cell>
        </row>
        <row r="1013">
          <cell r="A1013">
            <v>4759</v>
          </cell>
        </row>
        <row r="1014">
          <cell r="A1014">
            <v>4760</v>
          </cell>
        </row>
        <row r="1015">
          <cell r="A1015">
            <v>4762</v>
          </cell>
        </row>
        <row r="1016">
          <cell r="A1016">
            <v>4763</v>
          </cell>
        </row>
        <row r="1017">
          <cell r="A1017">
            <v>4766</v>
          </cell>
        </row>
        <row r="1018">
          <cell r="A1018">
            <v>4767</v>
          </cell>
        </row>
        <row r="1019">
          <cell r="A1019">
            <v>4768</v>
          </cell>
        </row>
        <row r="1020">
          <cell r="A1020">
            <v>4769</v>
          </cell>
        </row>
        <row r="1021">
          <cell r="A1021">
            <v>4772</v>
          </cell>
        </row>
        <row r="1022">
          <cell r="A1022">
            <v>4774</v>
          </cell>
        </row>
        <row r="1023">
          <cell r="A1023">
            <v>4775</v>
          </cell>
        </row>
        <row r="1024">
          <cell r="A1024">
            <v>4788</v>
          </cell>
        </row>
        <row r="1025">
          <cell r="A1025">
            <v>4789</v>
          </cell>
        </row>
        <row r="1026">
          <cell r="A1026">
            <v>4790</v>
          </cell>
        </row>
        <row r="1027">
          <cell r="A1027">
            <v>4791</v>
          </cell>
        </row>
        <row r="1028">
          <cell r="A1028">
            <v>4794</v>
          </cell>
        </row>
        <row r="1029">
          <cell r="A1029">
            <v>4795</v>
          </cell>
        </row>
        <row r="1030">
          <cell r="A1030">
            <v>4796</v>
          </cell>
        </row>
        <row r="1031">
          <cell r="A1031">
            <v>4797</v>
          </cell>
        </row>
        <row r="1032">
          <cell r="A1032">
            <v>4798</v>
          </cell>
        </row>
        <row r="1033">
          <cell r="A1033">
            <v>4799</v>
          </cell>
        </row>
        <row r="1034">
          <cell r="A1034">
            <v>4800</v>
          </cell>
        </row>
        <row r="1035">
          <cell r="A1035">
            <v>4801</v>
          </cell>
        </row>
        <row r="1036">
          <cell r="A1036">
            <v>4802</v>
          </cell>
        </row>
        <row r="1037">
          <cell r="A1037">
            <v>4803</v>
          </cell>
        </row>
        <row r="1038">
          <cell r="A1038">
            <v>4804</v>
          </cell>
        </row>
        <row r="1039">
          <cell r="A1039">
            <v>4805</v>
          </cell>
        </row>
        <row r="1040">
          <cell r="A1040">
            <v>4806</v>
          </cell>
        </row>
        <row r="1041">
          <cell r="A1041">
            <v>4807</v>
          </cell>
        </row>
        <row r="1042">
          <cell r="A1042">
            <v>4808</v>
          </cell>
        </row>
        <row r="1043">
          <cell r="A1043">
            <v>4809</v>
          </cell>
        </row>
        <row r="1044">
          <cell r="A1044">
            <v>4810</v>
          </cell>
        </row>
        <row r="1045">
          <cell r="A1045">
            <v>4811</v>
          </cell>
        </row>
        <row r="1046">
          <cell r="A1046">
            <v>4812</v>
          </cell>
        </row>
        <row r="1047">
          <cell r="A1047">
            <v>4813</v>
          </cell>
        </row>
        <row r="1048">
          <cell r="A1048">
            <v>4814</v>
          </cell>
        </row>
        <row r="1049">
          <cell r="A1049">
            <v>4820</v>
          </cell>
        </row>
        <row r="1050">
          <cell r="A1050">
            <v>4823</v>
          </cell>
        </row>
        <row r="1051">
          <cell r="A1051">
            <v>4829</v>
          </cell>
        </row>
        <row r="1052">
          <cell r="A1052">
            <v>4832</v>
          </cell>
        </row>
        <row r="1053">
          <cell r="A1053">
            <v>4833</v>
          </cell>
        </row>
        <row r="1054">
          <cell r="A1054">
            <v>4834</v>
          </cell>
        </row>
        <row r="1055">
          <cell r="A1055">
            <v>4835</v>
          </cell>
        </row>
        <row r="1056">
          <cell r="A1056">
            <v>4836</v>
          </cell>
        </row>
        <row r="1057">
          <cell r="A1057">
            <v>4837</v>
          </cell>
        </row>
        <row r="1058">
          <cell r="A1058">
            <v>4838</v>
          </cell>
        </row>
        <row r="1059">
          <cell r="A1059">
            <v>4839</v>
          </cell>
        </row>
        <row r="1060">
          <cell r="A1060">
            <v>4840</v>
          </cell>
        </row>
        <row r="1061">
          <cell r="A1061">
            <v>4841</v>
          </cell>
        </row>
        <row r="1062">
          <cell r="A1062">
            <v>4842</v>
          </cell>
        </row>
        <row r="1063">
          <cell r="A1063">
            <v>4843</v>
          </cell>
        </row>
        <row r="1064">
          <cell r="A1064">
            <v>4844</v>
          </cell>
        </row>
        <row r="1065">
          <cell r="A1065">
            <v>4845</v>
          </cell>
        </row>
        <row r="1066">
          <cell r="A1066">
            <v>4846</v>
          </cell>
        </row>
        <row r="1067">
          <cell r="A1067">
            <v>4847</v>
          </cell>
        </row>
        <row r="1068">
          <cell r="A1068">
            <v>4848</v>
          </cell>
        </row>
        <row r="1069">
          <cell r="A1069">
            <v>4856</v>
          </cell>
        </row>
        <row r="1070">
          <cell r="A1070">
            <v>4857</v>
          </cell>
        </row>
        <row r="1071">
          <cell r="A1071">
            <v>4858</v>
          </cell>
        </row>
        <row r="1072">
          <cell r="A1072">
            <v>4863</v>
          </cell>
        </row>
        <row r="1073">
          <cell r="A1073">
            <v>4864</v>
          </cell>
        </row>
        <row r="1074">
          <cell r="A1074">
            <v>4865</v>
          </cell>
        </row>
        <row r="1075">
          <cell r="A1075">
            <v>4868</v>
          </cell>
        </row>
        <row r="1076">
          <cell r="A1076">
            <v>4869</v>
          </cell>
        </row>
        <row r="1077">
          <cell r="A1077">
            <v>4870</v>
          </cell>
        </row>
        <row r="1078">
          <cell r="A1078">
            <v>4871</v>
          </cell>
        </row>
        <row r="1079">
          <cell r="A1079">
            <v>4872</v>
          </cell>
        </row>
        <row r="1080">
          <cell r="A1080">
            <v>4873</v>
          </cell>
        </row>
        <row r="1081">
          <cell r="A1081">
            <v>4874</v>
          </cell>
        </row>
        <row r="1082">
          <cell r="A1082">
            <v>4875</v>
          </cell>
        </row>
        <row r="1083">
          <cell r="A1083">
            <v>4876</v>
          </cell>
        </row>
        <row r="1084">
          <cell r="A1084">
            <v>4877</v>
          </cell>
        </row>
        <row r="1085">
          <cell r="A1085">
            <v>4878</v>
          </cell>
        </row>
        <row r="1086">
          <cell r="A1086">
            <v>4879</v>
          </cell>
        </row>
        <row r="1087">
          <cell r="A1087">
            <v>4880</v>
          </cell>
        </row>
        <row r="1088">
          <cell r="A1088">
            <v>4881</v>
          </cell>
        </row>
        <row r="1089">
          <cell r="A1089">
            <v>4882</v>
          </cell>
        </row>
        <row r="1090">
          <cell r="A1090">
            <v>4883</v>
          </cell>
        </row>
        <row r="1091">
          <cell r="A1091">
            <v>4884</v>
          </cell>
        </row>
        <row r="1092">
          <cell r="A1092">
            <v>4885</v>
          </cell>
        </row>
        <row r="1093">
          <cell r="A1093">
            <v>4886</v>
          </cell>
        </row>
        <row r="1094">
          <cell r="A1094">
            <v>4893</v>
          </cell>
        </row>
        <row r="1095">
          <cell r="A1095">
            <v>4894</v>
          </cell>
        </row>
        <row r="1096">
          <cell r="A1096">
            <v>4895</v>
          </cell>
        </row>
        <row r="1097">
          <cell r="A1097">
            <v>4896</v>
          </cell>
        </row>
        <row r="1098">
          <cell r="A1098">
            <v>4897</v>
          </cell>
        </row>
        <row r="1099">
          <cell r="A1099">
            <v>4901</v>
          </cell>
        </row>
        <row r="1100">
          <cell r="A1100">
            <v>4902</v>
          </cell>
        </row>
        <row r="1101">
          <cell r="A1101">
            <v>4903</v>
          </cell>
        </row>
        <row r="1102">
          <cell r="A1102">
            <v>4904</v>
          </cell>
        </row>
        <row r="1103">
          <cell r="A1103">
            <v>4905</v>
          </cell>
        </row>
        <row r="1104">
          <cell r="A1104">
            <v>4906</v>
          </cell>
        </row>
        <row r="1105">
          <cell r="A1105">
            <v>4907</v>
          </cell>
        </row>
        <row r="1106">
          <cell r="A1106">
            <v>4908</v>
          </cell>
        </row>
        <row r="1107">
          <cell r="A1107">
            <v>4909</v>
          </cell>
        </row>
        <row r="1108">
          <cell r="A1108">
            <v>4910</v>
          </cell>
        </row>
        <row r="1109">
          <cell r="A1109">
            <v>4911</v>
          </cell>
        </row>
        <row r="1110">
          <cell r="A1110">
            <v>4912</v>
          </cell>
        </row>
        <row r="1111">
          <cell r="A1111">
            <v>4913</v>
          </cell>
        </row>
        <row r="1112">
          <cell r="A1112">
            <v>4914</v>
          </cell>
        </row>
        <row r="1113">
          <cell r="A1113">
            <v>4915</v>
          </cell>
        </row>
        <row r="1114">
          <cell r="A1114">
            <v>4916</v>
          </cell>
        </row>
        <row r="1115">
          <cell r="A1115">
            <v>4917</v>
          </cell>
        </row>
        <row r="1116">
          <cell r="A1116">
            <v>4918</v>
          </cell>
        </row>
        <row r="1117">
          <cell r="A1117">
            <v>4919</v>
          </cell>
        </row>
        <row r="1118">
          <cell r="A1118">
            <v>4920</v>
          </cell>
        </row>
        <row r="1119">
          <cell r="A1119">
            <v>4921</v>
          </cell>
        </row>
        <row r="1120">
          <cell r="A1120">
            <v>4922</v>
          </cell>
        </row>
        <row r="1121">
          <cell r="A1121">
            <v>4923</v>
          </cell>
        </row>
        <row r="1122">
          <cell r="A1122">
            <v>4929</v>
          </cell>
        </row>
        <row r="1123">
          <cell r="A1123">
            <v>4930</v>
          </cell>
        </row>
        <row r="1124">
          <cell r="A1124">
            <v>4931</v>
          </cell>
        </row>
        <row r="1125">
          <cell r="A1125">
            <v>4932</v>
          </cell>
        </row>
        <row r="1126">
          <cell r="A1126">
            <v>4942</v>
          </cell>
        </row>
        <row r="1127">
          <cell r="A1127">
            <v>4943</v>
          </cell>
        </row>
        <row r="1128">
          <cell r="A1128">
            <v>4944</v>
          </cell>
        </row>
        <row r="1129">
          <cell r="A1129">
            <v>4945</v>
          </cell>
        </row>
        <row r="1130">
          <cell r="A1130">
            <v>4946</v>
          </cell>
        </row>
        <row r="1131">
          <cell r="A1131">
            <v>4947</v>
          </cell>
        </row>
        <row r="1132">
          <cell r="A1132">
            <v>4948</v>
          </cell>
        </row>
        <row r="1133">
          <cell r="A1133">
            <v>4949</v>
          </cell>
        </row>
        <row r="1134">
          <cell r="A1134">
            <v>4950</v>
          </cell>
        </row>
        <row r="1135">
          <cell r="A1135">
            <v>4951</v>
          </cell>
        </row>
        <row r="1136">
          <cell r="A1136">
            <v>4952</v>
          </cell>
        </row>
        <row r="1137">
          <cell r="A1137">
            <v>4953</v>
          </cell>
        </row>
        <row r="1138">
          <cell r="A1138">
            <v>4954</v>
          </cell>
        </row>
        <row r="1139">
          <cell r="A1139">
            <v>4955</v>
          </cell>
        </row>
        <row r="1140">
          <cell r="A1140">
            <v>4956</v>
          </cell>
        </row>
        <row r="1141">
          <cell r="A1141">
            <v>4957</v>
          </cell>
        </row>
        <row r="1142">
          <cell r="A1142">
            <v>4958</v>
          </cell>
        </row>
        <row r="1143">
          <cell r="A1143">
            <v>4959</v>
          </cell>
        </row>
        <row r="1144">
          <cell r="A1144">
            <v>4960</v>
          </cell>
        </row>
        <row r="1145">
          <cell r="A1145">
            <v>4961</v>
          </cell>
        </row>
        <row r="1146">
          <cell r="A1146">
            <v>4962</v>
          </cell>
        </row>
        <row r="1147">
          <cell r="A1147">
            <v>4966</v>
          </cell>
        </row>
        <row r="1148">
          <cell r="A1148">
            <v>4980</v>
          </cell>
        </row>
        <row r="1149">
          <cell r="A1149">
            <v>4981</v>
          </cell>
        </row>
        <row r="1150">
          <cell r="A1150">
            <v>4982</v>
          </cell>
        </row>
        <row r="1151">
          <cell r="A1151">
            <v>4983.2</v>
          </cell>
        </row>
        <row r="1152">
          <cell r="A1152">
            <v>4984</v>
          </cell>
        </row>
        <row r="1153">
          <cell r="A1153">
            <v>4985</v>
          </cell>
        </row>
        <row r="1154">
          <cell r="A1154">
            <v>4986</v>
          </cell>
        </row>
        <row r="1155">
          <cell r="A1155">
            <v>4987</v>
          </cell>
        </row>
        <row r="1156">
          <cell r="A1156">
            <v>4988</v>
          </cell>
        </row>
        <row r="1157">
          <cell r="A1157">
            <v>4989</v>
          </cell>
        </row>
        <row r="1158">
          <cell r="A1158">
            <v>4990</v>
          </cell>
        </row>
        <row r="1159">
          <cell r="A1159">
            <v>4991</v>
          </cell>
        </row>
        <row r="1160">
          <cell r="A1160">
            <v>4992</v>
          </cell>
        </row>
        <row r="1161">
          <cell r="A1161">
            <v>4993</v>
          </cell>
        </row>
        <row r="1162">
          <cell r="A1162">
            <v>4994</v>
          </cell>
        </row>
        <row r="1163">
          <cell r="A1163">
            <v>4995</v>
          </cell>
        </row>
        <row r="1164">
          <cell r="A1164">
            <v>4996</v>
          </cell>
        </row>
        <row r="1165">
          <cell r="A1165">
            <v>4997</v>
          </cell>
        </row>
        <row r="1166">
          <cell r="A1166">
            <v>4998</v>
          </cell>
        </row>
        <row r="1167">
          <cell r="A1167">
            <v>4999</v>
          </cell>
        </row>
        <row r="1168">
          <cell r="A1168">
            <v>5000</v>
          </cell>
        </row>
        <row r="1169">
          <cell r="A1169">
            <v>5001</v>
          </cell>
        </row>
        <row r="1170">
          <cell r="A1170">
            <v>5002</v>
          </cell>
        </row>
        <row r="1171">
          <cell r="A1171">
            <v>5003</v>
          </cell>
        </row>
        <row r="1172">
          <cell r="A1172">
            <v>5004</v>
          </cell>
        </row>
        <row r="1173">
          <cell r="A1173">
            <v>5005</v>
          </cell>
        </row>
        <row r="1174">
          <cell r="A1174">
            <v>5006</v>
          </cell>
        </row>
        <row r="1175">
          <cell r="A1175">
            <v>5007</v>
          </cell>
        </row>
        <row r="1176">
          <cell r="A1176">
            <v>5008</v>
          </cell>
        </row>
        <row r="1177">
          <cell r="A1177">
            <v>5018</v>
          </cell>
        </row>
        <row r="1178">
          <cell r="A1178">
            <v>5019</v>
          </cell>
        </row>
        <row r="1179">
          <cell r="A1179">
            <v>5020</v>
          </cell>
        </row>
        <row r="1180">
          <cell r="A1180">
            <v>5021</v>
          </cell>
        </row>
        <row r="1181">
          <cell r="A1181">
            <v>5022</v>
          </cell>
        </row>
        <row r="1182">
          <cell r="A1182">
            <v>5023</v>
          </cell>
        </row>
        <row r="1183">
          <cell r="A1183">
            <v>5024</v>
          </cell>
        </row>
        <row r="1184">
          <cell r="A1184">
            <v>5025</v>
          </cell>
        </row>
        <row r="1185">
          <cell r="A1185">
            <v>5026</v>
          </cell>
        </row>
        <row r="1186">
          <cell r="A1186">
            <v>5027</v>
          </cell>
        </row>
        <row r="1187">
          <cell r="A1187">
            <v>5028</v>
          </cell>
        </row>
        <row r="1188">
          <cell r="A1188">
            <v>5029</v>
          </cell>
        </row>
        <row r="1189">
          <cell r="A1189">
            <v>5030</v>
          </cell>
        </row>
        <row r="1190">
          <cell r="A1190">
            <v>5031</v>
          </cell>
        </row>
        <row r="1191">
          <cell r="A1191">
            <v>5032</v>
          </cell>
        </row>
        <row r="1192">
          <cell r="A1192">
            <v>5033</v>
          </cell>
        </row>
        <row r="1193">
          <cell r="A1193">
            <v>5034</v>
          </cell>
        </row>
        <row r="1194">
          <cell r="A1194">
            <v>5035</v>
          </cell>
        </row>
        <row r="1195">
          <cell r="A1195">
            <v>5036</v>
          </cell>
        </row>
        <row r="1196">
          <cell r="A1196">
            <v>5037</v>
          </cell>
        </row>
        <row r="1197">
          <cell r="A1197">
            <v>5038</v>
          </cell>
        </row>
        <row r="1198">
          <cell r="A1198">
            <v>5039</v>
          </cell>
        </row>
        <row r="1199">
          <cell r="A1199">
            <v>5040</v>
          </cell>
        </row>
        <row r="1200">
          <cell r="A1200">
            <v>5041</v>
          </cell>
        </row>
        <row r="1201">
          <cell r="A1201">
            <v>5042</v>
          </cell>
        </row>
        <row r="1202">
          <cell r="A1202">
            <v>5043</v>
          </cell>
        </row>
        <row r="1203">
          <cell r="A1203">
            <v>5044</v>
          </cell>
        </row>
        <row r="1204">
          <cell r="A1204">
            <v>5045</v>
          </cell>
        </row>
        <row r="1205">
          <cell r="A1205">
            <v>5046</v>
          </cell>
        </row>
        <row r="1206">
          <cell r="A1206">
            <v>5047</v>
          </cell>
        </row>
        <row r="1207">
          <cell r="A1207">
            <v>5048</v>
          </cell>
        </row>
        <row r="1208">
          <cell r="A1208">
            <v>5057</v>
          </cell>
        </row>
        <row r="1209">
          <cell r="A1209">
            <v>5058</v>
          </cell>
        </row>
        <row r="1210">
          <cell r="A1210">
            <v>5059</v>
          </cell>
        </row>
        <row r="1211">
          <cell r="A1211">
            <v>5060</v>
          </cell>
        </row>
        <row r="1212">
          <cell r="A1212">
            <v>5061</v>
          </cell>
        </row>
        <row r="1213">
          <cell r="A1213">
            <v>5062</v>
          </cell>
        </row>
        <row r="1214">
          <cell r="A1214">
            <v>5063</v>
          </cell>
        </row>
        <row r="1215">
          <cell r="A1215">
            <v>5064</v>
          </cell>
        </row>
        <row r="1216">
          <cell r="A1216">
            <v>5065</v>
          </cell>
        </row>
        <row r="1217">
          <cell r="A1217">
            <v>5066</v>
          </cell>
        </row>
        <row r="1218">
          <cell r="A1218">
            <v>5067</v>
          </cell>
        </row>
        <row r="1219">
          <cell r="A1219">
            <v>5068</v>
          </cell>
        </row>
        <row r="1220">
          <cell r="A1220">
            <v>5069</v>
          </cell>
        </row>
        <row r="1221">
          <cell r="A1221">
            <v>5070</v>
          </cell>
        </row>
        <row r="1222">
          <cell r="A1222">
            <v>5071</v>
          </cell>
        </row>
        <row r="1223">
          <cell r="A1223">
            <v>5072</v>
          </cell>
        </row>
        <row r="1224">
          <cell r="A1224">
            <v>5073</v>
          </cell>
        </row>
        <row r="1225">
          <cell r="A1225">
            <v>5074</v>
          </cell>
        </row>
        <row r="1226">
          <cell r="A1226">
            <v>5075</v>
          </cell>
        </row>
        <row r="1227">
          <cell r="A1227">
            <v>5076</v>
          </cell>
        </row>
        <row r="1228">
          <cell r="A1228">
            <v>5077</v>
          </cell>
        </row>
        <row r="1229">
          <cell r="A1229">
            <v>5078</v>
          </cell>
        </row>
        <row r="1230">
          <cell r="A1230">
            <v>5079</v>
          </cell>
        </row>
        <row r="1231">
          <cell r="A1231">
            <v>5080</v>
          </cell>
        </row>
        <row r="1232">
          <cell r="A1232">
            <v>5081</v>
          </cell>
        </row>
        <row r="1233">
          <cell r="A1233">
            <v>5082</v>
          </cell>
        </row>
        <row r="1234">
          <cell r="A1234">
            <v>5083</v>
          </cell>
        </row>
        <row r="1235">
          <cell r="A1235">
            <v>5084</v>
          </cell>
        </row>
        <row r="1236">
          <cell r="A1236">
            <v>5085</v>
          </cell>
        </row>
        <row r="1237">
          <cell r="A1237">
            <v>5086</v>
          </cell>
        </row>
        <row r="1238">
          <cell r="A1238">
            <v>5087</v>
          </cell>
        </row>
        <row r="1239">
          <cell r="A1239">
            <v>5088</v>
          </cell>
        </row>
        <row r="1240">
          <cell r="A1240">
            <v>5089</v>
          </cell>
        </row>
        <row r="1241">
          <cell r="A1241">
            <v>5098</v>
          </cell>
        </row>
        <row r="1242">
          <cell r="A1242">
            <v>5099</v>
          </cell>
        </row>
        <row r="1243">
          <cell r="A1243">
            <v>5100</v>
          </cell>
        </row>
        <row r="1244">
          <cell r="A1244">
            <v>5101</v>
          </cell>
        </row>
        <row r="1245">
          <cell r="A1245">
            <v>5102</v>
          </cell>
        </row>
        <row r="1246">
          <cell r="A1246">
            <v>5103</v>
          </cell>
        </row>
        <row r="1247">
          <cell r="A1247">
            <v>5104</v>
          </cell>
        </row>
        <row r="1248">
          <cell r="A1248">
            <v>5105</v>
          </cell>
        </row>
        <row r="1249">
          <cell r="A1249">
            <v>5106</v>
          </cell>
        </row>
        <row r="1250">
          <cell r="A1250">
            <v>5107</v>
          </cell>
        </row>
        <row r="1251">
          <cell r="A1251">
            <v>5108</v>
          </cell>
        </row>
        <row r="1252">
          <cell r="A1252">
            <v>5109</v>
          </cell>
        </row>
        <row r="1253">
          <cell r="A1253">
            <v>5110</v>
          </cell>
        </row>
        <row r="1254">
          <cell r="A1254">
            <v>5111</v>
          </cell>
        </row>
        <row r="1255">
          <cell r="A1255">
            <v>5112</v>
          </cell>
        </row>
        <row r="1256">
          <cell r="A1256">
            <v>5113</v>
          </cell>
        </row>
        <row r="1257">
          <cell r="A1257">
            <v>5114</v>
          </cell>
        </row>
        <row r="1258">
          <cell r="A1258">
            <v>5115</v>
          </cell>
        </row>
        <row r="1259">
          <cell r="A1259">
            <v>5116</v>
          </cell>
        </row>
        <row r="1260">
          <cell r="A1260">
            <v>5117</v>
          </cell>
        </row>
        <row r="1261">
          <cell r="A1261">
            <v>5118</v>
          </cell>
        </row>
        <row r="1262">
          <cell r="A1262">
            <v>5119</v>
          </cell>
        </row>
        <row r="1263">
          <cell r="A1263">
            <v>5120</v>
          </cell>
        </row>
        <row r="1264">
          <cell r="A1264">
            <v>5121</v>
          </cell>
        </row>
        <row r="1265">
          <cell r="A1265">
            <v>5122</v>
          </cell>
        </row>
        <row r="1266">
          <cell r="A1266">
            <v>5123</v>
          </cell>
        </row>
        <row r="1267">
          <cell r="A1267">
            <v>5124</v>
          </cell>
        </row>
        <row r="1268">
          <cell r="A1268">
            <v>5125</v>
          </cell>
        </row>
        <row r="1269">
          <cell r="A1269">
            <v>5126</v>
          </cell>
        </row>
        <row r="1270">
          <cell r="A1270">
            <v>5127</v>
          </cell>
        </row>
        <row r="1271">
          <cell r="A1271">
            <v>5128</v>
          </cell>
        </row>
        <row r="1272">
          <cell r="A1272">
            <v>5129</v>
          </cell>
        </row>
        <row r="1273">
          <cell r="A1273">
            <v>5130</v>
          </cell>
        </row>
        <row r="1274">
          <cell r="A1274">
            <v>5138</v>
          </cell>
        </row>
        <row r="1275">
          <cell r="A1275">
            <v>5139</v>
          </cell>
        </row>
        <row r="1276">
          <cell r="A1276">
            <v>5140</v>
          </cell>
        </row>
        <row r="1277">
          <cell r="A1277">
            <v>5141</v>
          </cell>
        </row>
        <row r="1278">
          <cell r="A1278">
            <v>5142</v>
          </cell>
        </row>
        <row r="1279">
          <cell r="A1279">
            <v>5143</v>
          </cell>
        </row>
        <row r="1280">
          <cell r="A1280">
            <v>5144</v>
          </cell>
        </row>
        <row r="1281">
          <cell r="A1281">
            <v>5145</v>
          </cell>
        </row>
        <row r="1282">
          <cell r="A1282">
            <v>5146</v>
          </cell>
        </row>
        <row r="1283">
          <cell r="A1283">
            <v>5147</v>
          </cell>
        </row>
        <row r="1284">
          <cell r="A1284">
            <v>5148</v>
          </cell>
        </row>
        <row r="1285">
          <cell r="A1285">
            <v>5149</v>
          </cell>
        </row>
        <row r="1286">
          <cell r="A1286">
            <v>5150</v>
          </cell>
        </row>
        <row r="1287">
          <cell r="A1287">
            <v>5151</v>
          </cell>
        </row>
        <row r="1288">
          <cell r="A1288">
            <v>5152</v>
          </cell>
        </row>
        <row r="1289">
          <cell r="A1289">
            <v>5153</v>
          </cell>
        </row>
        <row r="1290">
          <cell r="A1290">
            <v>5154</v>
          </cell>
        </row>
        <row r="1291">
          <cell r="A1291">
            <v>5155</v>
          </cell>
        </row>
        <row r="1292">
          <cell r="A1292">
            <v>5156</v>
          </cell>
        </row>
        <row r="1293">
          <cell r="A1293">
            <v>5157</v>
          </cell>
        </row>
        <row r="1294">
          <cell r="A1294">
            <v>5158</v>
          </cell>
        </row>
        <row r="1295">
          <cell r="A1295">
            <v>5159</v>
          </cell>
        </row>
        <row r="1296">
          <cell r="A1296">
            <v>5160</v>
          </cell>
        </row>
        <row r="1297">
          <cell r="A1297">
            <v>5161</v>
          </cell>
        </row>
        <row r="1298">
          <cell r="A1298">
            <v>5162</v>
          </cell>
        </row>
        <row r="1299">
          <cell r="A1299">
            <v>5163</v>
          </cell>
        </row>
        <row r="1300">
          <cell r="A1300">
            <v>5164</v>
          </cell>
        </row>
        <row r="1301">
          <cell r="A1301">
            <v>5165</v>
          </cell>
        </row>
        <row r="1302">
          <cell r="A1302">
            <v>5166</v>
          </cell>
        </row>
        <row r="1303">
          <cell r="A1303">
            <v>5167</v>
          </cell>
        </row>
        <row r="1304">
          <cell r="A1304">
            <v>5168</v>
          </cell>
        </row>
        <row r="1305">
          <cell r="A1305">
            <v>5169</v>
          </cell>
        </row>
        <row r="1306">
          <cell r="A1306">
            <v>5170</v>
          </cell>
        </row>
        <row r="1307">
          <cell r="A1307">
            <v>5171</v>
          </cell>
        </row>
        <row r="1308">
          <cell r="A1308">
            <v>5185</v>
          </cell>
        </row>
        <row r="1309">
          <cell r="A1309">
            <v>5186</v>
          </cell>
        </row>
        <row r="1310">
          <cell r="A1310">
            <v>5187</v>
          </cell>
        </row>
        <row r="1311">
          <cell r="A1311">
            <v>5188</v>
          </cell>
        </row>
        <row r="1312">
          <cell r="A1312">
            <v>5189</v>
          </cell>
        </row>
        <row r="1313">
          <cell r="A1313">
            <v>5190</v>
          </cell>
        </row>
        <row r="1314">
          <cell r="A1314">
            <v>5191</v>
          </cell>
        </row>
        <row r="1315">
          <cell r="A1315">
            <v>5192</v>
          </cell>
        </row>
        <row r="1316">
          <cell r="A1316">
            <v>5193</v>
          </cell>
        </row>
        <row r="1317">
          <cell r="A1317">
            <v>5194</v>
          </cell>
        </row>
        <row r="1318">
          <cell r="A1318">
            <v>5195</v>
          </cell>
        </row>
        <row r="1319">
          <cell r="A1319">
            <v>5196</v>
          </cell>
        </row>
        <row r="1320">
          <cell r="A1320">
            <v>5197</v>
          </cell>
        </row>
        <row r="1321">
          <cell r="A1321">
            <v>5198</v>
          </cell>
        </row>
        <row r="1322">
          <cell r="A1322">
            <v>5199</v>
          </cell>
        </row>
        <row r="1323">
          <cell r="A1323">
            <v>5200</v>
          </cell>
        </row>
        <row r="1324">
          <cell r="A1324">
            <v>6001</v>
          </cell>
        </row>
        <row r="1325">
          <cell r="A1325">
            <v>6002</v>
          </cell>
        </row>
        <row r="1326">
          <cell r="A1326">
            <v>6003</v>
          </cell>
        </row>
        <row r="1327">
          <cell r="A1327">
            <v>6004</v>
          </cell>
        </row>
        <row r="1328">
          <cell r="A1328">
            <v>6005</v>
          </cell>
        </row>
        <row r="1329">
          <cell r="A1329">
            <v>6006</v>
          </cell>
        </row>
        <row r="1330">
          <cell r="A1330">
            <v>6007</v>
          </cell>
        </row>
        <row r="1331">
          <cell r="A1331">
            <v>6008</v>
          </cell>
        </row>
        <row r="1332">
          <cell r="A1332">
            <v>6009</v>
          </cell>
        </row>
        <row r="1333">
          <cell r="A1333">
            <v>6010</v>
          </cell>
        </row>
        <row r="1334">
          <cell r="A1334">
            <v>6011</v>
          </cell>
        </row>
        <row r="1335">
          <cell r="A1335">
            <v>6012</v>
          </cell>
        </row>
        <row r="1336">
          <cell r="A1336">
            <v>6013</v>
          </cell>
        </row>
        <row r="1337">
          <cell r="A1337">
            <v>6014</v>
          </cell>
        </row>
        <row r="1338">
          <cell r="A1338">
            <v>6015</v>
          </cell>
        </row>
        <row r="1339">
          <cell r="A1339">
            <v>6016</v>
          </cell>
        </row>
        <row r="1340">
          <cell r="A1340">
            <v>6017</v>
          </cell>
        </row>
        <row r="1341">
          <cell r="A1341">
            <v>6018</v>
          </cell>
        </row>
        <row r="1342">
          <cell r="A1342">
            <v>6019</v>
          </cell>
        </row>
        <row r="1343">
          <cell r="A1343">
            <v>6020</v>
          </cell>
        </row>
        <row r="1344">
          <cell r="A1344">
            <v>6022</v>
          </cell>
        </row>
        <row r="1345">
          <cell r="A1345">
            <v>6023</v>
          </cell>
        </row>
        <row r="1346">
          <cell r="A1346">
            <v>6024</v>
          </cell>
        </row>
        <row r="1347">
          <cell r="A1347">
            <v>6050</v>
          </cell>
        </row>
        <row r="1348">
          <cell r="A1348">
            <v>6051</v>
          </cell>
        </row>
        <row r="1349">
          <cell r="A1349">
            <v>6052</v>
          </cell>
        </row>
        <row r="1350">
          <cell r="A1350">
            <v>6053</v>
          </cell>
        </row>
        <row r="1351">
          <cell r="A1351">
            <v>6054</v>
          </cell>
        </row>
        <row r="1352">
          <cell r="A1352">
            <v>6055</v>
          </cell>
        </row>
        <row r="1353">
          <cell r="A1353">
            <v>6056</v>
          </cell>
        </row>
        <row r="1354">
          <cell r="A1354">
            <v>6057</v>
          </cell>
        </row>
        <row r="1355">
          <cell r="A1355">
            <v>6058</v>
          </cell>
        </row>
        <row r="1356">
          <cell r="A1356">
            <v>6059</v>
          </cell>
        </row>
        <row r="1357">
          <cell r="A1357">
            <v>6060</v>
          </cell>
        </row>
        <row r="1358">
          <cell r="A1358">
            <v>6061</v>
          </cell>
        </row>
        <row r="1359">
          <cell r="A1359">
            <v>6062</v>
          </cell>
        </row>
        <row r="1360">
          <cell r="A1360">
            <v>6063</v>
          </cell>
        </row>
        <row r="1361">
          <cell r="A1361">
            <v>6064</v>
          </cell>
        </row>
        <row r="1362">
          <cell r="A1362">
            <v>6065</v>
          </cell>
        </row>
        <row r="1363">
          <cell r="A1363">
            <v>6066</v>
          </cell>
        </row>
        <row r="1364">
          <cell r="A1364">
            <v>6067</v>
          </cell>
        </row>
        <row r="1365">
          <cell r="A1365">
            <v>6068</v>
          </cell>
        </row>
        <row r="1366">
          <cell r="A1366">
            <v>6069</v>
          </cell>
        </row>
        <row r="1367">
          <cell r="A1367">
            <v>6070</v>
          </cell>
        </row>
        <row r="1368">
          <cell r="A1368">
            <v>6071</v>
          </cell>
        </row>
        <row r="1369">
          <cell r="A1369">
            <v>6072</v>
          </cell>
        </row>
        <row r="1370">
          <cell r="A1370">
            <v>6073</v>
          </cell>
        </row>
        <row r="1371">
          <cell r="A1371">
            <v>6074</v>
          </cell>
        </row>
        <row r="1372">
          <cell r="A1372">
            <v>6075</v>
          </cell>
        </row>
        <row r="1373">
          <cell r="A1373">
            <v>6076</v>
          </cell>
        </row>
        <row r="1374">
          <cell r="A1374">
            <v>6077</v>
          </cell>
        </row>
        <row r="1375">
          <cell r="A1375">
            <v>6078</v>
          </cell>
        </row>
        <row r="1376">
          <cell r="A1376">
            <v>6079</v>
          </cell>
        </row>
        <row r="1377">
          <cell r="A1377">
            <v>6080</v>
          </cell>
        </row>
        <row r="1378">
          <cell r="A1378">
            <v>6081</v>
          </cell>
        </row>
        <row r="1379">
          <cell r="A1379">
            <v>6082</v>
          </cell>
        </row>
        <row r="1380">
          <cell r="A1380">
            <v>6083</v>
          </cell>
        </row>
        <row r="1381">
          <cell r="A1381">
            <v>6084</v>
          </cell>
        </row>
        <row r="1382">
          <cell r="A1382">
            <v>6085</v>
          </cell>
        </row>
        <row r="1383">
          <cell r="A1383">
            <v>6086</v>
          </cell>
        </row>
        <row r="1384">
          <cell r="A1384">
            <v>6087</v>
          </cell>
        </row>
        <row r="1385">
          <cell r="A1385">
            <v>6088</v>
          </cell>
        </row>
        <row r="1386">
          <cell r="A1386">
            <v>6089</v>
          </cell>
        </row>
        <row r="1387">
          <cell r="A1387">
            <v>6116</v>
          </cell>
        </row>
        <row r="1388">
          <cell r="A1388">
            <v>6117</v>
          </cell>
        </row>
        <row r="1389">
          <cell r="A1389">
            <v>6118</v>
          </cell>
        </row>
        <row r="1390">
          <cell r="A1390">
            <v>6119</v>
          </cell>
        </row>
        <row r="1391">
          <cell r="A1391">
            <v>6120</v>
          </cell>
        </row>
        <row r="1392">
          <cell r="A1392">
            <v>6121</v>
          </cell>
        </row>
        <row r="1393">
          <cell r="A1393">
            <v>6122</v>
          </cell>
        </row>
        <row r="1394">
          <cell r="A1394">
            <v>6123</v>
          </cell>
        </row>
        <row r="1395">
          <cell r="A1395">
            <v>6124</v>
          </cell>
        </row>
        <row r="1396">
          <cell r="A1396">
            <v>6125</v>
          </cell>
        </row>
        <row r="1397">
          <cell r="A1397">
            <v>6126</v>
          </cell>
        </row>
        <row r="1398">
          <cell r="A1398">
            <v>6127</v>
          </cell>
        </row>
        <row r="1399">
          <cell r="A1399">
            <v>6128</v>
          </cell>
        </row>
        <row r="1400">
          <cell r="A1400">
            <v>6129</v>
          </cell>
        </row>
        <row r="1401">
          <cell r="A1401">
            <v>6130</v>
          </cell>
        </row>
        <row r="1402">
          <cell r="A1402">
            <v>6131</v>
          </cell>
        </row>
        <row r="1403">
          <cell r="A1403">
            <v>6132</v>
          </cell>
        </row>
        <row r="1404">
          <cell r="A1404">
            <v>6133</v>
          </cell>
        </row>
        <row r="1405">
          <cell r="A1405">
            <v>6134</v>
          </cell>
        </row>
        <row r="1406">
          <cell r="A1406">
            <v>6135</v>
          </cell>
        </row>
        <row r="1407">
          <cell r="A1407">
            <v>6136</v>
          </cell>
        </row>
        <row r="1408">
          <cell r="A1408">
            <v>6137</v>
          </cell>
        </row>
        <row r="1409">
          <cell r="A1409">
            <v>6138</v>
          </cell>
        </row>
        <row r="1410">
          <cell r="A1410">
            <v>6139</v>
          </cell>
        </row>
        <row r="1411">
          <cell r="A1411">
            <v>6140</v>
          </cell>
        </row>
        <row r="1412">
          <cell r="A1412">
            <v>6141</v>
          </cell>
        </row>
        <row r="1413">
          <cell r="A1413">
            <v>6142</v>
          </cell>
        </row>
        <row r="1414">
          <cell r="A1414">
            <v>6143</v>
          </cell>
        </row>
        <row r="1415">
          <cell r="A1415">
            <v>6144</v>
          </cell>
        </row>
        <row r="1416">
          <cell r="A1416">
            <v>6145</v>
          </cell>
        </row>
        <row r="1417">
          <cell r="A1417">
            <v>6146</v>
          </cell>
        </row>
        <row r="1418">
          <cell r="A1418">
            <v>6147</v>
          </cell>
        </row>
        <row r="1419">
          <cell r="A1419">
            <v>6148</v>
          </cell>
        </row>
        <row r="1420">
          <cell r="A1420">
            <v>6149</v>
          </cell>
        </row>
        <row r="1421">
          <cell r="A1421">
            <v>6150</v>
          </cell>
        </row>
        <row r="1422">
          <cell r="A1422">
            <v>6151</v>
          </cell>
        </row>
        <row r="1423">
          <cell r="A1423">
            <v>6152</v>
          </cell>
        </row>
        <row r="1424">
          <cell r="A1424">
            <v>6153</v>
          </cell>
        </row>
        <row r="1425">
          <cell r="A1425">
            <v>6154</v>
          </cell>
        </row>
        <row r="1426">
          <cell r="A1426">
            <v>6155</v>
          </cell>
        </row>
        <row r="1427">
          <cell r="A1427">
            <v>6156</v>
          </cell>
        </row>
        <row r="1428">
          <cell r="A1428">
            <v>6186</v>
          </cell>
        </row>
        <row r="1429">
          <cell r="A1429">
            <v>6187</v>
          </cell>
        </row>
        <row r="1430">
          <cell r="A1430">
            <v>6188</v>
          </cell>
        </row>
        <row r="1431">
          <cell r="A1431">
            <v>6189</v>
          </cell>
        </row>
        <row r="1432">
          <cell r="A1432">
            <v>6190</v>
          </cell>
        </row>
        <row r="1433">
          <cell r="A1433">
            <v>6191</v>
          </cell>
        </row>
        <row r="1434">
          <cell r="A1434">
            <v>6192</v>
          </cell>
        </row>
        <row r="1435">
          <cell r="A1435">
            <v>6193</v>
          </cell>
        </row>
        <row r="1436">
          <cell r="A1436">
            <v>6194</v>
          </cell>
        </row>
        <row r="1437">
          <cell r="A1437">
            <v>6195</v>
          </cell>
        </row>
        <row r="1438">
          <cell r="A1438">
            <v>6196</v>
          </cell>
        </row>
        <row r="1439">
          <cell r="A1439">
            <v>6197</v>
          </cell>
        </row>
        <row r="1440">
          <cell r="A1440">
            <v>6198</v>
          </cell>
        </row>
        <row r="1441">
          <cell r="A1441">
            <v>6199</v>
          </cell>
        </row>
        <row r="1442">
          <cell r="A1442">
            <v>6200</v>
          </cell>
        </row>
        <row r="1443">
          <cell r="A1443">
            <v>6201</v>
          </cell>
        </row>
        <row r="1444">
          <cell r="A1444">
            <v>6202</v>
          </cell>
        </row>
        <row r="1445">
          <cell r="A1445">
            <v>6203</v>
          </cell>
        </row>
        <row r="1446">
          <cell r="A1446">
            <v>6204</v>
          </cell>
        </row>
        <row r="1447">
          <cell r="A1447">
            <v>6205</v>
          </cell>
        </row>
        <row r="1448">
          <cell r="A1448">
            <v>6206</v>
          </cell>
        </row>
        <row r="1449">
          <cell r="A1449">
            <v>6207</v>
          </cell>
        </row>
        <row r="1450">
          <cell r="A1450">
            <v>6208</v>
          </cell>
        </row>
        <row r="1451">
          <cell r="A1451">
            <v>6209</v>
          </cell>
        </row>
        <row r="1452">
          <cell r="A1452">
            <v>6210</v>
          </cell>
        </row>
        <row r="1453">
          <cell r="A1453">
            <v>6211</v>
          </cell>
        </row>
        <row r="1454">
          <cell r="A1454">
            <v>6212</v>
          </cell>
        </row>
        <row r="1455">
          <cell r="A1455">
            <v>6213</v>
          </cell>
        </row>
        <row r="1456">
          <cell r="A1456">
            <v>6214</v>
          </cell>
        </row>
        <row r="1457">
          <cell r="A1457">
            <v>6215</v>
          </cell>
        </row>
        <row r="1458">
          <cell r="A1458">
            <v>6216</v>
          </cell>
        </row>
        <row r="1459">
          <cell r="A1459">
            <v>6217</v>
          </cell>
        </row>
        <row r="1460">
          <cell r="A1460">
            <v>6218</v>
          </cell>
        </row>
        <row r="1461">
          <cell r="A1461">
            <v>6219</v>
          </cell>
        </row>
        <row r="1462">
          <cell r="A1462">
            <v>6220</v>
          </cell>
        </row>
        <row r="1463">
          <cell r="A1463">
            <v>6221</v>
          </cell>
        </row>
        <row r="1464">
          <cell r="A1464">
            <v>6222</v>
          </cell>
        </row>
        <row r="1465">
          <cell r="A1465">
            <v>6223</v>
          </cell>
        </row>
        <row r="1466">
          <cell r="A1466">
            <v>6224</v>
          </cell>
        </row>
        <row r="1467">
          <cell r="A1467">
            <v>6225</v>
          </cell>
        </row>
        <row r="1468">
          <cell r="A1468">
            <v>6226</v>
          </cell>
        </row>
        <row r="1469">
          <cell r="A1469">
            <v>6227</v>
          </cell>
        </row>
        <row r="1470">
          <cell r="A1470">
            <v>6228</v>
          </cell>
        </row>
        <row r="1471">
          <cell r="A1471">
            <v>6255</v>
          </cell>
        </row>
        <row r="1472">
          <cell r="A1472">
            <v>6256</v>
          </cell>
        </row>
        <row r="1473">
          <cell r="A1473">
            <v>6257</v>
          </cell>
        </row>
        <row r="1474">
          <cell r="A1474">
            <v>6258</v>
          </cell>
        </row>
        <row r="1475">
          <cell r="A1475">
            <v>6260</v>
          </cell>
        </row>
        <row r="1476">
          <cell r="A1476">
            <v>6261</v>
          </cell>
        </row>
        <row r="1477">
          <cell r="A1477">
            <v>6263</v>
          </cell>
        </row>
        <row r="1478">
          <cell r="A1478">
            <v>6264</v>
          </cell>
        </row>
        <row r="1479">
          <cell r="A1479">
            <v>6265</v>
          </cell>
        </row>
        <row r="1480">
          <cell r="A1480">
            <v>6266</v>
          </cell>
        </row>
        <row r="1481">
          <cell r="A1481">
            <v>6267</v>
          </cell>
        </row>
        <row r="1482">
          <cell r="A1482">
            <v>6268</v>
          </cell>
        </row>
        <row r="1483">
          <cell r="A1483">
            <v>6269</v>
          </cell>
        </row>
        <row r="1484">
          <cell r="A1484">
            <v>6270</v>
          </cell>
        </row>
        <row r="1485">
          <cell r="A1485">
            <v>6272</v>
          </cell>
        </row>
        <row r="1486">
          <cell r="A1486">
            <v>6273</v>
          </cell>
        </row>
        <row r="1487">
          <cell r="A1487">
            <v>6274</v>
          </cell>
        </row>
        <row r="1488">
          <cell r="A1488">
            <v>6275</v>
          </cell>
        </row>
        <row r="1489">
          <cell r="A1489">
            <v>6276</v>
          </cell>
        </row>
        <row r="1490">
          <cell r="A1490">
            <v>6277</v>
          </cell>
        </row>
        <row r="1491">
          <cell r="A1491">
            <v>6278</v>
          </cell>
        </row>
        <row r="1492">
          <cell r="A1492">
            <v>6279</v>
          </cell>
        </row>
        <row r="1493">
          <cell r="A1493">
            <v>6280</v>
          </cell>
        </row>
        <row r="1494">
          <cell r="A1494">
            <v>6281</v>
          </cell>
        </row>
        <row r="1495">
          <cell r="A1495">
            <v>6282</v>
          </cell>
        </row>
        <row r="1496">
          <cell r="A1496">
            <v>6283</v>
          </cell>
        </row>
        <row r="1497">
          <cell r="A1497">
            <v>6284</v>
          </cell>
        </row>
        <row r="1498">
          <cell r="A1498">
            <v>6285</v>
          </cell>
        </row>
        <row r="1499">
          <cell r="A1499">
            <v>6286</v>
          </cell>
        </row>
        <row r="1500">
          <cell r="A1500">
            <v>6287</v>
          </cell>
        </row>
        <row r="1501">
          <cell r="A1501">
            <v>6288</v>
          </cell>
        </row>
        <row r="1502">
          <cell r="A1502">
            <v>6289</v>
          </cell>
        </row>
        <row r="1503">
          <cell r="A1503">
            <v>6290</v>
          </cell>
        </row>
        <row r="1504">
          <cell r="A1504">
            <v>6291</v>
          </cell>
        </row>
        <row r="1505">
          <cell r="A1505">
            <v>6292</v>
          </cell>
        </row>
        <row r="1506">
          <cell r="A1506">
            <v>6293</v>
          </cell>
        </row>
        <row r="1507">
          <cell r="A1507">
            <v>6294</v>
          </cell>
        </row>
        <row r="1508">
          <cell r="A1508">
            <v>6295</v>
          </cell>
        </row>
        <row r="1509">
          <cell r="A1509">
            <v>6296</v>
          </cell>
        </row>
        <row r="1510">
          <cell r="A1510">
            <v>6297</v>
          </cell>
        </row>
        <row r="1511">
          <cell r="A1511">
            <v>6333</v>
          </cell>
        </row>
        <row r="1512">
          <cell r="A1512">
            <v>6334.2</v>
          </cell>
        </row>
        <row r="1513">
          <cell r="A1513">
            <v>6335</v>
          </cell>
        </row>
        <row r="1514">
          <cell r="A1514">
            <v>6336</v>
          </cell>
        </row>
        <row r="1515">
          <cell r="A1515">
            <v>6342</v>
          </cell>
        </row>
        <row r="1516">
          <cell r="A1516">
            <v>6343</v>
          </cell>
        </row>
        <row r="1517">
          <cell r="A1517">
            <v>6344</v>
          </cell>
        </row>
        <row r="1518">
          <cell r="A1518">
            <v>6345</v>
          </cell>
        </row>
        <row r="1519">
          <cell r="A1519">
            <v>6346</v>
          </cell>
        </row>
        <row r="1520">
          <cell r="A1520">
            <v>6347</v>
          </cell>
        </row>
        <row r="1521">
          <cell r="A1521">
            <v>6348</v>
          </cell>
        </row>
        <row r="1522">
          <cell r="A1522">
            <v>6349</v>
          </cell>
        </row>
        <row r="1523">
          <cell r="A1523">
            <v>6350</v>
          </cell>
        </row>
        <row r="1524">
          <cell r="A1524">
            <v>6351</v>
          </cell>
        </row>
        <row r="1525">
          <cell r="A1525">
            <v>6352</v>
          </cell>
        </row>
        <row r="1526">
          <cell r="A1526">
            <v>6353</v>
          </cell>
        </row>
        <row r="1527">
          <cell r="A1527">
            <v>6354</v>
          </cell>
        </row>
        <row r="1528">
          <cell r="A1528">
            <v>6355</v>
          </cell>
        </row>
        <row r="1529">
          <cell r="A1529">
            <v>6356</v>
          </cell>
        </row>
        <row r="1530">
          <cell r="A1530">
            <v>6357</v>
          </cell>
        </row>
        <row r="1531">
          <cell r="A1531">
            <v>6358</v>
          </cell>
        </row>
        <row r="1532">
          <cell r="A1532">
            <v>6359</v>
          </cell>
        </row>
        <row r="1533">
          <cell r="A1533">
            <v>6360</v>
          </cell>
        </row>
        <row r="1534">
          <cell r="A1534">
            <v>6361</v>
          </cell>
        </row>
        <row r="1535">
          <cell r="A1535">
            <v>6362</v>
          </cell>
        </row>
        <row r="1536">
          <cell r="A1536">
            <v>6363</v>
          </cell>
        </row>
        <row r="1537">
          <cell r="A1537">
            <v>6364</v>
          </cell>
        </row>
        <row r="1538">
          <cell r="A1538">
            <v>6365</v>
          </cell>
        </row>
        <row r="1539">
          <cell r="A1539">
            <v>6366</v>
          </cell>
        </row>
        <row r="1540">
          <cell r="A1540">
            <v>6367</v>
          </cell>
        </row>
        <row r="1541">
          <cell r="A1541">
            <v>6368</v>
          </cell>
        </row>
        <row r="1542">
          <cell r="A1542">
            <v>6412</v>
          </cell>
        </row>
        <row r="1543">
          <cell r="A1543">
            <v>6413</v>
          </cell>
        </row>
        <row r="1544">
          <cell r="A1544">
            <v>6414</v>
          </cell>
        </row>
        <row r="1545">
          <cell r="A1545">
            <v>6415</v>
          </cell>
        </row>
        <row r="1546">
          <cell r="A1546">
            <v>6416</v>
          </cell>
        </row>
        <row r="1547">
          <cell r="A1547">
            <v>6417</v>
          </cell>
        </row>
        <row r="1548">
          <cell r="A1548">
            <v>6418</v>
          </cell>
        </row>
        <row r="1549">
          <cell r="A1549">
            <v>6419</v>
          </cell>
        </row>
        <row r="1550">
          <cell r="A1550">
            <v>6420</v>
          </cell>
        </row>
        <row r="1551">
          <cell r="A1551">
            <v>6421</v>
          </cell>
        </row>
        <row r="1552">
          <cell r="A1552">
            <v>6422</v>
          </cell>
        </row>
        <row r="1553">
          <cell r="A1553">
            <v>6423</v>
          </cell>
        </row>
        <row r="1554">
          <cell r="A1554">
            <v>6424</v>
          </cell>
        </row>
        <row r="1555">
          <cell r="A1555">
            <v>6425</v>
          </cell>
        </row>
        <row r="1556">
          <cell r="A1556">
            <v>6426</v>
          </cell>
        </row>
        <row r="1557">
          <cell r="A1557">
            <v>6427</v>
          </cell>
        </row>
        <row r="1558">
          <cell r="A1558">
            <v>6428</v>
          </cell>
        </row>
        <row r="1559">
          <cell r="A1559">
            <v>6429</v>
          </cell>
        </row>
        <row r="1560">
          <cell r="A1560">
            <v>6430</v>
          </cell>
        </row>
        <row r="1561">
          <cell r="A1561">
            <v>6431</v>
          </cell>
        </row>
        <row r="1562">
          <cell r="A1562">
            <v>6432</v>
          </cell>
        </row>
        <row r="1563">
          <cell r="A1563">
            <v>6433</v>
          </cell>
        </row>
        <row r="1564">
          <cell r="A1564">
            <v>6434</v>
          </cell>
        </row>
        <row r="1565">
          <cell r="A1565">
            <v>6435</v>
          </cell>
        </row>
        <row r="1566">
          <cell r="A1566">
            <v>6436</v>
          </cell>
        </row>
        <row r="1567">
          <cell r="A1567">
            <v>6437</v>
          </cell>
        </row>
        <row r="1568">
          <cell r="A1568">
            <v>6438</v>
          </cell>
        </row>
        <row r="1569">
          <cell r="A1569">
            <v>6481</v>
          </cell>
        </row>
        <row r="1570">
          <cell r="A1570">
            <v>6482</v>
          </cell>
        </row>
        <row r="1571">
          <cell r="A1571">
            <v>6483</v>
          </cell>
        </row>
        <row r="1572">
          <cell r="A1572">
            <v>6484</v>
          </cell>
        </row>
        <row r="1573">
          <cell r="A1573">
            <v>6485</v>
          </cell>
        </row>
        <row r="1574">
          <cell r="A1574">
            <v>6486</v>
          </cell>
        </row>
        <row r="1575">
          <cell r="A1575">
            <v>6487</v>
          </cell>
        </row>
        <row r="1576">
          <cell r="A1576">
            <v>6488</v>
          </cell>
        </row>
        <row r="1577">
          <cell r="A1577">
            <v>6489</v>
          </cell>
        </row>
        <row r="1578">
          <cell r="A1578">
            <v>6490</v>
          </cell>
        </row>
        <row r="1579">
          <cell r="A1579">
            <v>6491</v>
          </cell>
        </row>
        <row r="1580">
          <cell r="A1580">
            <v>6492</v>
          </cell>
        </row>
        <row r="1581">
          <cell r="A1581">
            <v>6493</v>
          </cell>
        </row>
        <row r="1582">
          <cell r="A1582">
            <v>6494</v>
          </cell>
        </row>
        <row r="1583">
          <cell r="A1583">
            <v>6495</v>
          </cell>
        </row>
        <row r="1584">
          <cell r="A1584">
            <v>6496</v>
          </cell>
        </row>
        <row r="1585">
          <cell r="A1585">
            <v>6497</v>
          </cell>
        </row>
        <row r="1586">
          <cell r="A1586">
            <v>6498</v>
          </cell>
        </row>
        <row r="1587">
          <cell r="A1587">
            <v>6499</v>
          </cell>
        </row>
        <row r="1588">
          <cell r="A1588">
            <v>6500</v>
          </cell>
        </row>
        <row r="1589">
          <cell r="A1589">
            <v>6501</v>
          </cell>
        </row>
        <row r="1590">
          <cell r="A1590">
            <v>6502</v>
          </cell>
        </row>
        <row r="1591">
          <cell r="A1591">
            <v>6503</v>
          </cell>
        </row>
        <row r="1592">
          <cell r="A1592">
            <v>6504</v>
          </cell>
        </row>
        <row r="1593">
          <cell r="A1593">
            <v>6505</v>
          </cell>
        </row>
        <row r="1594">
          <cell r="A1594">
            <v>6506</v>
          </cell>
        </row>
        <row r="1595">
          <cell r="A1595">
            <v>6507</v>
          </cell>
        </row>
        <row r="1596">
          <cell r="A1596">
            <v>6508</v>
          </cell>
        </row>
        <row r="1597">
          <cell r="A1597">
            <v>6552</v>
          </cell>
        </row>
        <row r="1598">
          <cell r="A1598">
            <v>6553</v>
          </cell>
        </row>
        <row r="1599">
          <cell r="A1599">
            <v>6554</v>
          </cell>
        </row>
        <row r="1600">
          <cell r="A1600">
            <v>6555</v>
          </cell>
        </row>
        <row r="1601">
          <cell r="A1601">
            <v>6556</v>
          </cell>
        </row>
        <row r="1602">
          <cell r="A1602">
            <v>6557</v>
          </cell>
        </row>
        <row r="1603">
          <cell r="A1603">
            <v>6558</v>
          </cell>
        </row>
        <row r="1604">
          <cell r="A1604">
            <v>6559</v>
          </cell>
        </row>
        <row r="1605">
          <cell r="A1605">
            <v>6560</v>
          </cell>
        </row>
        <row r="1606">
          <cell r="A1606">
            <v>6561</v>
          </cell>
        </row>
        <row r="1607">
          <cell r="A1607">
            <v>6562</v>
          </cell>
        </row>
        <row r="1608">
          <cell r="A1608">
            <v>6563</v>
          </cell>
        </row>
        <row r="1609">
          <cell r="A1609">
            <v>6564</v>
          </cell>
        </row>
        <row r="1610">
          <cell r="A1610">
            <v>6565</v>
          </cell>
        </row>
        <row r="1611">
          <cell r="A1611">
            <v>6566</v>
          </cell>
        </row>
        <row r="1612">
          <cell r="A1612">
            <v>6567</v>
          </cell>
        </row>
        <row r="1613">
          <cell r="A1613">
            <v>6568</v>
          </cell>
        </row>
        <row r="1614">
          <cell r="A1614">
            <v>6569</v>
          </cell>
        </row>
        <row r="1615">
          <cell r="A1615">
            <v>6570</v>
          </cell>
        </row>
        <row r="1616">
          <cell r="A1616">
            <v>6571</v>
          </cell>
        </row>
        <row r="1617">
          <cell r="A1617">
            <v>6572</v>
          </cell>
        </row>
        <row r="1618">
          <cell r="A1618">
            <v>6573</v>
          </cell>
        </row>
        <row r="1619">
          <cell r="A1619">
            <v>6574</v>
          </cell>
        </row>
        <row r="1620">
          <cell r="A1620">
            <v>6575</v>
          </cell>
        </row>
        <row r="1621">
          <cell r="A1621">
            <v>6576</v>
          </cell>
        </row>
        <row r="1622">
          <cell r="A1622">
            <v>6577</v>
          </cell>
        </row>
        <row r="1623">
          <cell r="A1623">
            <v>6578</v>
          </cell>
        </row>
        <row r="1624">
          <cell r="A1624">
            <v>6579</v>
          </cell>
        </row>
        <row r="1625">
          <cell r="A1625">
            <v>6623</v>
          </cell>
        </row>
        <row r="1626">
          <cell r="A1626">
            <v>6624</v>
          </cell>
        </row>
        <row r="1627">
          <cell r="A1627">
            <v>6625</v>
          </cell>
        </row>
        <row r="1628">
          <cell r="A1628">
            <v>6626</v>
          </cell>
        </row>
        <row r="1629">
          <cell r="A1629">
            <v>6627</v>
          </cell>
        </row>
        <row r="1630">
          <cell r="A1630">
            <v>6628</v>
          </cell>
        </row>
        <row r="1631">
          <cell r="A1631">
            <v>6629</v>
          </cell>
        </row>
        <row r="1632">
          <cell r="A1632">
            <v>6630</v>
          </cell>
        </row>
        <row r="1633">
          <cell r="A1633">
            <v>6631</v>
          </cell>
        </row>
        <row r="1634">
          <cell r="A1634">
            <v>6632</v>
          </cell>
        </row>
        <row r="1635">
          <cell r="A1635">
            <v>6633</v>
          </cell>
        </row>
        <row r="1636">
          <cell r="A1636">
            <v>6634</v>
          </cell>
        </row>
        <row r="1637">
          <cell r="A1637">
            <v>6635</v>
          </cell>
        </row>
        <row r="1638">
          <cell r="A1638">
            <v>6636</v>
          </cell>
        </row>
        <row r="1639">
          <cell r="A1639">
            <v>6637</v>
          </cell>
        </row>
        <row r="1640">
          <cell r="A1640">
            <v>6638</v>
          </cell>
        </row>
        <row r="1641">
          <cell r="A1641">
            <v>6638.2</v>
          </cell>
        </row>
        <row r="1642">
          <cell r="A1642">
            <v>6639</v>
          </cell>
        </row>
        <row r="1643">
          <cell r="A1643">
            <v>6640</v>
          </cell>
        </row>
        <row r="1644">
          <cell r="A1644">
            <v>6641</v>
          </cell>
        </row>
        <row r="1645">
          <cell r="A1645">
            <v>6642</v>
          </cell>
        </row>
        <row r="1646">
          <cell r="A1646">
            <v>6643</v>
          </cell>
        </row>
        <row r="1647">
          <cell r="A1647">
            <v>6644</v>
          </cell>
        </row>
        <row r="1648">
          <cell r="A1648">
            <v>6645</v>
          </cell>
        </row>
        <row r="1649">
          <cell r="A1649">
            <v>6646</v>
          </cell>
        </row>
        <row r="1650">
          <cell r="A1650">
            <v>6647</v>
          </cell>
        </row>
        <row r="1651">
          <cell r="A1651">
            <v>6648</v>
          </cell>
        </row>
        <row r="1652">
          <cell r="A1652">
            <v>6649</v>
          </cell>
        </row>
        <row r="1653">
          <cell r="A1653">
            <v>6650</v>
          </cell>
        </row>
        <row r="1654">
          <cell r="A1654">
            <v>6651</v>
          </cell>
        </row>
        <row r="1655">
          <cell r="A1655">
            <v>6701</v>
          </cell>
        </row>
        <row r="1656">
          <cell r="A1656">
            <v>6702</v>
          </cell>
        </row>
        <row r="1657">
          <cell r="A1657">
            <v>6703</v>
          </cell>
        </row>
        <row r="1658">
          <cell r="A1658">
            <v>6704</v>
          </cell>
        </row>
        <row r="1659">
          <cell r="A1659">
            <v>6705</v>
          </cell>
        </row>
        <row r="1660">
          <cell r="A1660">
            <v>6706</v>
          </cell>
        </row>
        <row r="1661">
          <cell r="A1661">
            <v>6707</v>
          </cell>
        </row>
        <row r="1662">
          <cell r="A1662">
            <v>6708</v>
          </cell>
        </row>
        <row r="1663">
          <cell r="A1663">
            <v>6709</v>
          </cell>
        </row>
        <row r="1664">
          <cell r="A1664">
            <v>6710</v>
          </cell>
        </row>
        <row r="1665">
          <cell r="A1665">
            <v>6711</v>
          </cell>
        </row>
        <row r="1666">
          <cell r="A1666">
            <v>6712</v>
          </cell>
        </row>
        <row r="1667">
          <cell r="A1667">
            <v>6713</v>
          </cell>
        </row>
        <row r="1668">
          <cell r="A1668">
            <v>6714</v>
          </cell>
        </row>
        <row r="1669">
          <cell r="A1669">
            <v>6715</v>
          </cell>
        </row>
        <row r="1670">
          <cell r="A1670">
            <v>6716</v>
          </cell>
        </row>
        <row r="1671">
          <cell r="A1671">
            <v>6717</v>
          </cell>
        </row>
        <row r="1672">
          <cell r="A1672">
            <v>6718</v>
          </cell>
        </row>
        <row r="1673">
          <cell r="A1673">
            <v>6719</v>
          </cell>
        </row>
        <row r="1674">
          <cell r="A1674">
            <v>6720</v>
          </cell>
        </row>
        <row r="1675">
          <cell r="A1675">
            <v>6721</v>
          </cell>
        </row>
        <row r="1676">
          <cell r="A1676">
            <v>6722</v>
          </cell>
        </row>
        <row r="1677">
          <cell r="A1677">
            <v>6723</v>
          </cell>
        </row>
        <row r="1678">
          <cell r="A1678">
            <v>6724</v>
          </cell>
        </row>
        <row r="1679">
          <cell r="A1679">
            <v>6776</v>
          </cell>
        </row>
        <row r="1680">
          <cell r="A1680">
            <v>6777</v>
          </cell>
        </row>
        <row r="1681">
          <cell r="A1681">
            <v>6778</v>
          </cell>
        </row>
        <row r="1682">
          <cell r="A1682">
            <v>6779</v>
          </cell>
        </row>
        <row r="1683">
          <cell r="A1683">
            <v>6780</v>
          </cell>
        </row>
        <row r="1684">
          <cell r="A1684">
            <v>6781</v>
          </cell>
        </row>
        <row r="1685">
          <cell r="A1685">
            <v>6782</v>
          </cell>
        </row>
        <row r="1686">
          <cell r="A1686">
            <v>6783</v>
          </cell>
        </row>
        <row r="1687">
          <cell r="A1687">
            <v>6784</v>
          </cell>
        </row>
        <row r="1688">
          <cell r="A1688">
            <v>6785</v>
          </cell>
        </row>
        <row r="1689">
          <cell r="A1689">
            <v>6786</v>
          </cell>
        </row>
        <row r="1690">
          <cell r="A1690">
            <v>6787</v>
          </cell>
        </row>
        <row r="1691">
          <cell r="A1691">
            <v>6788</v>
          </cell>
        </row>
        <row r="1692">
          <cell r="A1692">
            <v>6789</v>
          </cell>
        </row>
        <row r="1693">
          <cell r="A1693">
            <v>6790</v>
          </cell>
        </row>
        <row r="1694">
          <cell r="A1694">
            <v>6791</v>
          </cell>
        </row>
        <row r="1695">
          <cell r="A1695">
            <v>6792</v>
          </cell>
        </row>
        <row r="1696">
          <cell r="A1696">
            <v>6793</v>
          </cell>
        </row>
        <row r="1697">
          <cell r="A1697">
            <v>6794</v>
          </cell>
        </row>
        <row r="1698">
          <cell r="A1698">
            <v>6795</v>
          </cell>
        </row>
        <row r="1699">
          <cell r="A1699">
            <v>6796</v>
          </cell>
        </row>
        <row r="1700">
          <cell r="A1700">
            <v>6797</v>
          </cell>
        </row>
        <row r="1701">
          <cell r="A1701">
            <v>6798</v>
          </cell>
        </row>
        <row r="1702">
          <cell r="A1702">
            <v>6799</v>
          </cell>
        </row>
        <row r="1703">
          <cell r="A1703">
            <v>6800</v>
          </cell>
        </row>
        <row r="1704">
          <cell r="A1704">
            <v>6801</v>
          </cell>
        </row>
        <row r="1705">
          <cell r="A1705">
            <v>6802</v>
          </cell>
        </row>
        <row r="1706">
          <cell r="A1706">
            <v>6803</v>
          </cell>
        </row>
        <row r="1707">
          <cell r="A1707">
            <v>6804</v>
          </cell>
        </row>
        <row r="1708">
          <cell r="A1708">
            <v>6857</v>
          </cell>
        </row>
        <row r="1709">
          <cell r="A1709">
            <v>6858</v>
          </cell>
        </row>
        <row r="1710">
          <cell r="A1710">
            <v>6859</v>
          </cell>
        </row>
        <row r="1711">
          <cell r="A1711">
            <v>6860</v>
          </cell>
        </row>
        <row r="1712">
          <cell r="A1712">
            <v>6861</v>
          </cell>
        </row>
        <row r="1713">
          <cell r="A1713">
            <v>6862</v>
          </cell>
        </row>
        <row r="1714">
          <cell r="A1714">
            <v>6863</v>
          </cell>
        </row>
        <row r="1715">
          <cell r="A1715">
            <v>6864</v>
          </cell>
        </row>
        <row r="1716">
          <cell r="A1716">
            <v>6865</v>
          </cell>
        </row>
        <row r="1717">
          <cell r="A1717">
            <v>6866</v>
          </cell>
        </row>
        <row r="1718">
          <cell r="A1718">
            <v>6867</v>
          </cell>
        </row>
        <row r="1719">
          <cell r="A1719">
            <v>6868</v>
          </cell>
        </row>
        <row r="1720">
          <cell r="A1720">
            <v>6869</v>
          </cell>
        </row>
        <row r="1721">
          <cell r="A1721">
            <v>6870</v>
          </cell>
        </row>
        <row r="1722">
          <cell r="A1722">
            <v>6871</v>
          </cell>
        </row>
        <row r="1723">
          <cell r="A1723">
            <v>6872</v>
          </cell>
        </row>
        <row r="1724">
          <cell r="A1724">
            <v>6873</v>
          </cell>
        </row>
        <row r="1725">
          <cell r="A1725">
            <v>6874</v>
          </cell>
        </row>
        <row r="1726">
          <cell r="A1726">
            <v>6875</v>
          </cell>
        </row>
        <row r="1727">
          <cell r="A1727">
            <v>6876</v>
          </cell>
        </row>
        <row r="1728">
          <cell r="A1728">
            <v>6877</v>
          </cell>
        </row>
        <row r="1729">
          <cell r="A1729">
            <v>6878</v>
          </cell>
        </row>
        <row r="1730">
          <cell r="A1730">
            <v>6879</v>
          </cell>
        </row>
        <row r="1731">
          <cell r="A1731">
            <v>6880</v>
          </cell>
        </row>
        <row r="1732">
          <cell r="A1732">
            <v>6881</v>
          </cell>
        </row>
        <row r="1733">
          <cell r="A1733">
            <v>6882</v>
          </cell>
        </row>
        <row r="1734">
          <cell r="A1734">
            <v>6883</v>
          </cell>
        </row>
        <row r="1735">
          <cell r="A1735">
            <v>6944</v>
          </cell>
        </row>
        <row r="1736">
          <cell r="A1736">
            <v>6946</v>
          </cell>
        </row>
        <row r="1737">
          <cell r="A1737">
            <v>6947</v>
          </cell>
        </row>
        <row r="1738">
          <cell r="A1738">
            <v>6948</v>
          </cell>
        </row>
        <row r="1739">
          <cell r="A1739">
            <v>6949</v>
          </cell>
        </row>
        <row r="1740">
          <cell r="A1740">
            <v>6950</v>
          </cell>
        </row>
        <row r="1741">
          <cell r="A1741">
            <v>6951</v>
          </cell>
        </row>
        <row r="1742">
          <cell r="A1742">
            <v>6952</v>
          </cell>
        </row>
        <row r="1743">
          <cell r="A1743">
            <v>6953</v>
          </cell>
        </row>
        <row r="1744">
          <cell r="A1744">
            <v>6954</v>
          </cell>
        </row>
        <row r="1745">
          <cell r="A1745">
            <v>6955</v>
          </cell>
        </row>
        <row r="1746">
          <cell r="A1746">
            <v>6956</v>
          </cell>
        </row>
        <row r="1747">
          <cell r="A1747">
            <v>6957</v>
          </cell>
        </row>
        <row r="1748">
          <cell r="A1748">
            <v>6958</v>
          </cell>
        </row>
        <row r="1749">
          <cell r="A1749">
            <v>6959</v>
          </cell>
        </row>
        <row r="1750">
          <cell r="A1750">
            <v>6960</v>
          </cell>
        </row>
        <row r="1751">
          <cell r="A1751">
            <v>6961</v>
          </cell>
        </row>
        <row r="1752">
          <cell r="A1752">
            <v>6962</v>
          </cell>
        </row>
        <row r="1753">
          <cell r="A1753">
            <v>6963</v>
          </cell>
        </row>
        <row r="1754">
          <cell r="A1754">
            <v>6964</v>
          </cell>
        </row>
        <row r="1755">
          <cell r="A1755">
            <v>6965</v>
          </cell>
        </row>
        <row r="1756">
          <cell r="A1756">
            <v>6966</v>
          </cell>
        </row>
        <row r="1757">
          <cell r="A1757">
            <v>6967</v>
          </cell>
        </row>
        <row r="1758">
          <cell r="A1758">
            <v>6968</v>
          </cell>
        </row>
        <row r="1759">
          <cell r="A1759">
            <v>6969</v>
          </cell>
        </row>
        <row r="1760">
          <cell r="A1760">
            <v>6970</v>
          </cell>
        </row>
        <row r="1761">
          <cell r="A1761">
            <v>6971</v>
          </cell>
        </row>
        <row r="1762">
          <cell r="A1762">
            <v>7035</v>
          </cell>
        </row>
        <row r="1763">
          <cell r="A1763">
            <v>7036</v>
          </cell>
        </row>
        <row r="1764">
          <cell r="A1764">
            <v>7037</v>
          </cell>
        </row>
        <row r="1765">
          <cell r="A1765">
            <v>7038</v>
          </cell>
        </row>
        <row r="1766">
          <cell r="A1766">
            <v>7039</v>
          </cell>
        </row>
        <row r="1767">
          <cell r="A1767">
            <v>7040</v>
          </cell>
        </row>
        <row r="1768">
          <cell r="A1768">
            <v>7041</v>
          </cell>
        </row>
        <row r="1769">
          <cell r="A1769">
            <v>7042</v>
          </cell>
        </row>
        <row r="1770">
          <cell r="A1770">
            <v>7043</v>
          </cell>
        </row>
        <row r="1771">
          <cell r="A1771">
            <v>7044</v>
          </cell>
        </row>
        <row r="1772">
          <cell r="A1772">
            <v>7045</v>
          </cell>
        </row>
        <row r="1773">
          <cell r="A1773">
            <v>7046</v>
          </cell>
        </row>
        <row r="1774">
          <cell r="A1774">
            <v>7047</v>
          </cell>
        </row>
        <row r="1775">
          <cell r="A1775">
            <v>7048</v>
          </cell>
        </row>
        <row r="1776">
          <cell r="A1776">
            <v>7049</v>
          </cell>
        </row>
        <row r="1777">
          <cell r="A1777">
            <v>7050</v>
          </cell>
        </row>
        <row r="1778">
          <cell r="A1778">
            <v>7051</v>
          </cell>
        </row>
        <row r="1779">
          <cell r="A1779">
            <v>7052</v>
          </cell>
        </row>
        <row r="1780">
          <cell r="A1780">
            <v>7053</v>
          </cell>
        </row>
        <row r="1781">
          <cell r="A1781">
            <v>7054</v>
          </cell>
        </row>
        <row r="1782">
          <cell r="A1782">
            <v>7055</v>
          </cell>
        </row>
        <row r="1783">
          <cell r="A1783">
            <v>7056</v>
          </cell>
        </row>
        <row r="1784">
          <cell r="A1784">
            <v>7057</v>
          </cell>
        </row>
        <row r="1785">
          <cell r="A1785">
            <v>7058</v>
          </cell>
        </row>
        <row r="1786">
          <cell r="A1786">
            <v>7059</v>
          </cell>
        </row>
        <row r="1787">
          <cell r="A1787">
            <v>7060</v>
          </cell>
        </row>
        <row r="1788">
          <cell r="A1788">
            <v>7061</v>
          </cell>
        </row>
        <row r="1789">
          <cell r="A1789">
            <v>7062</v>
          </cell>
        </row>
        <row r="1790">
          <cell r="A1790">
            <v>7125</v>
          </cell>
        </row>
        <row r="1791">
          <cell r="A1791">
            <v>7126</v>
          </cell>
        </row>
        <row r="1792">
          <cell r="A1792">
            <v>7129</v>
          </cell>
        </row>
        <row r="1793">
          <cell r="A1793">
            <v>7130</v>
          </cell>
        </row>
        <row r="1794">
          <cell r="A1794">
            <v>7131</v>
          </cell>
        </row>
        <row r="1795">
          <cell r="A1795">
            <v>7132</v>
          </cell>
        </row>
        <row r="1796">
          <cell r="A1796">
            <v>7133</v>
          </cell>
        </row>
        <row r="1797">
          <cell r="A1797">
            <v>7134</v>
          </cell>
        </row>
        <row r="1798">
          <cell r="A1798">
            <v>7135</v>
          </cell>
        </row>
        <row r="1799">
          <cell r="A1799">
            <v>7136</v>
          </cell>
        </row>
        <row r="1800">
          <cell r="A1800">
            <v>7137</v>
          </cell>
        </row>
        <row r="1801">
          <cell r="A1801">
            <v>7138</v>
          </cell>
        </row>
        <row r="1802">
          <cell r="A1802">
            <v>7139</v>
          </cell>
        </row>
        <row r="1803">
          <cell r="A1803">
            <v>7140</v>
          </cell>
        </row>
        <row r="1804">
          <cell r="A1804">
            <v>7141</v>
          </cell>
        </row>
        <row r="1805">
          <cell r="A1805">
            <v>7142</v>
          </cell>
        </row>
        <row r="1806">
          <cell r="A1806">
            <v>7143</v>
          </cell>
        </row>
        <row r="1807">
          <cell r="A1807">
            <v>7144</v>
          </cell>
        </row>
        <row r="1808">
          <cell r="A1808">
            <v>7145</v>
          </cell>
        </row>
        <row r="1809">
          <cell r="A1809">
            <v>7146</v>
          </cell>
        </row>
        <row r="1810">
          <cell r="A1810">
            <v>7147</v>
          </cell>
        </row>
        <row r="1811">
          <cell r="A1811">
            <v>7148</v>
          </cell>
        </row>
        <row r="1812">
          <cell r="A1812">
            <v>7149</v>
          </cell>
        </row>
        <row r="1813">
          <cell r="A1813">
            <v>7150</v>
          </cell>
        </row>
        <row r="1814">
          <cell r="A1814">
            <v>7151</v>
          </cell>
        </row>
        <row r="1815">
          <cell r="A1815">
            <v>7221</v>
          </cell>
        </row>
        <row r="1816">
          <cell r="A1816">
            <v>7222</v>
          </cell>
        </row>
        <row r="1817">
          <cell r="A1817">
            <v>7223</v>
          </cell>
        </row>
        <row r="1818">
          <cell r="A1818">
            <v>7224</v>
          </cell>
        </row>
        <row r="1819">
          <cell r="A1819">
            <v>7225</v>
          </cell>
        </row>
        <row r="1820">
          <cell r="A1820">
            <v>7226</v>
          </cell>
        </row>
        <row r="1821">
          <cell r="A1821">
            <v>7227</v>
          </cell>
        </row>
        <row r="1822">
          <cell r="A1822">
            <v>7228</v>
          </cell>
        </row>
        <row r="1823">
          <cell r="A1823">
            <v>7229</v>
          </cell>
        </row>
        <row r="1824">
          <cell r="A1824">
            <v>7230</v>
          </cell>
        </row>
        <row r="1825">
          <cell r="A1825">
            <v>7231</v>
          </cell>
        </row>
        <row r="1826">
          <cell r="A1826">
            <v>7232</v>
          </cell>
        </row>
        <row r="1827">
          <cell r="A1827">
            <v>7233</v>
          </cell>
        </row>
        <row r="1828">
          <cell r="A1828">
            <v>7234</v>
          </cell>
        </row>
        <row r="1829">
          <cell r="A1829">
            <v>7235</v>
          </cell>
        </row>
        <row r="1830">
          <cell r="A1830">
            <v>7236</v>
          </cell>
        </row>
        <row r="1831">
          <cell r="A1831">
            <v>7237</v>
          </cell>
        </row>
        <row r="1832">
          <cell r="A1832">
            <v>7238</v>
          </cell>
        </row>
        <row r="1833">
          <cell r="A1833">
            <v>7239</v>
          </cell>
        </row>
        <row r="1834">
          <cell r="A1834">
            <v>7240</v>
          </cell>
        </row>
        <row r="1835">
          <cell r="A1835">
            <v>7241</v>
          </cell>
        </row>
        <row r="1836">
          <cell r="A1836">
            <v>7242</v>
          </cell>
        </row>
        <row r="1837">
          <cell r="A1837">
            <v>7313</v>
          </cell>
        </row>
        <row r="1838">
          <cell r="A1838">
            <v>7314</v>
          </cell>
        </row>
        <row r="1839">
          <cell r="A1839">
            <v>7315</v>
          </cell>
        </row>
        <row r="1840">
          <cell r="A1840">
            <v>7316</v>
          </cell>
        </row>
        <row r="1841">
          <cell r="A1841">
            <v>7317</v>
          </cell>
        </row>
        <row r="1842">
          <cell r="A1842">
            <v>7318</v>
          </cell>
        </row>
        <row r="1843">
          <cell r="A1843">
            <v>7319</v>
          </cell>
        </row>
        <row r="1844">
          <cell r="A1844">
            <v>7320</v>
          </cell>
        </row>
        <row r="1845">
          <cell r="A1845">
            <v>7321</v>
          </cell>
        </row>
        <row r="1846">
          <cell r="A1846">
            <v>7322</v>
          </cell>
        </row>
        <row r="1847">
          <cell r="A1847">
            <v>7323</v>
          </cell>
        </row>
        <row r="1848">
          <cell r="A1848">
            <v>7324</v>
          </cell>
        </row>
        <row r="1849">
          <cell r="A1849">
            <v>7325</v>
          </cell>
        </row>
        <row r="1850">
          <cell r="A1850">
            <v>7326</v>
          </cell>
        </row>
        <row r="1851">
          <cell r="A1851">
            <v>7327</v>
          </cell>
        </row>
        <row r="1852">
          <cell r="A1852">
            <v>7328</v>
          </cell>
        </row>
        <row r="1853">
          <cell r="A1853">
            <v>7329</v>
          </cell>
        </row>
        <row r="1854">
          <cell r="A1854">
            <v>7330</v>
          </cell>
        </row>
        <row r="1855">
          <cell r="A1855">
            <v>7331</v>
          </cell>
        </row>
        <row r="1856">
          <cell r="A1856">
            <v>7332</v>
          </cell>
        </row>
        <row r="1857">
          <cell r="A1857">
            <v>7333</v>
          </cell>
        </row>
        <row r="1858">
          <cell r="A1858">
            <v>7334</v>
          </cell>
        </row>
        <row r="1859">
          <cell r="A1859">
            <v>7335</v>
          </cell>
        </row>
        <row r="1860">
          <cell r="A1860">
            <v>7336</v>
          </cell>
        </row>
        <row r="1861">
          <cell r="A1861">
            <v>7410</v>
          </cell>
        </row>
        <row r="1862">
          <cell r="A1862">
            <v>7411</v>
          </cell>
        </row>
        <row r="1863">
          <cell r="A1863">
            <v>7412</v>
          </cell>
        </row>
        <row r="1864">
          <cell r="A1864">
            <v>7413</v>
          </cell>
        </row>
        <row r="1865">
          <cell r="A1865">
            <v>7414</v>
          </cell>
        </row>
        <row r="1866">
          <cell r="A1866">
            <v>7415</v>
          </cell>
        </row>
        <row r="1867">
          <cell r="A1867">
            <v>7416</v>
          </cell>
        </row>
        <row r="1868">
          <cell r="A1868">
            <v>7417</v>
          </cell>
        </row>
        <row r="1869">
          <cell r="A1869">
            <v>7418</v>
          </cell>
        </row>
        <row r="1870">
          <cell r="A1870">
            <v>7419</v>
          </cell>
        </row>
        <row r="1871">
          <cell r="A1871">
            <v>7420</v>
          </cell>
        </row>
        <row r="1872">
          <cell r="A1872">
            <v>7421</v>
          </cell>
        </row>
        <row r="1873">
          <cell r="A1873">
            <v>7422</v>
          </cell>
        </row>
        <row r="1874">
          <cell r="A1874">
            <v>7423</v>
          </cell>
        </row>
        <row r="1875">
          <cell r="A1875">
            <v>7424</v>
          </cell>
        </row>
        <row r="1876">
          <cell r="A1876">
            <v>7425</v>
          </cell>
        </row>
        <row r="1877">
          <cell r="A1877">
            <v>7426</v>
          </cell>
        </row>
        <row r="1878">
          <cell r="A1878">
            <v>7427</v>
          </cell>
        </row>
        <row r="1879">
          <cell r="A1879">
            <v>7428</v>
          </cell>
        </row>
        <row r="1880">
          <cell r="A1880">
            <v>7429</v>
          </cell>
        </row>
        <row r="1881">
          <cell r="A1881">
            <v>7430</v>
          </cell>
        </row>
        <row r="1882">
          <cell r="A1882">
            <v>7431</v>
          </cell>
        </row>
        <row r="1883">
          <cell r="A1883">
            <v>7432</v>
          </cell>
        </row>
        <row r="1884">
          <cell r="A1884">
            <v>7433</v>
          </cell>
        </row>
        <row r="1885">
          <cell r="A1885">
            <v>7507</v>
          </cell>
        </row>
        <row r="1886">
          <cell r="A1886">
            <v>7508</v>
          </cell>
        </row>
        <row r="1887">
          <cell r="A1887">
            <v>7509</v>
          </cell>
        </row>
        <row r="1888">
          <cell r="A1888">
            <v>7510</v>
          </cell>
        </row>
        <row r="1889">
          <cell r="A1889">
            <v>7511</v>
          </cell>
        </row>
        <row r="1890">
          <cell r="A1890">
            <v>7512</v>
          </cell>
        </row>
        <row r="1891">
          <cell r="A1891">
            <v>7513</v>
          </cell>
        </row>
        <row r="1892">
          <cell r="A1892">
            <v>7514</v>
          </cell>
        </row>
        <row r="1893">
          <cell r="A1893">
            <v>7515</v>
          </cell>
        </row>
        <row r="1894">
          <cell r="A1894">
            <v>7516</v>
          </cell>
        </row>
        <row r="1895">
          <cell r="A1895">
            <v>7517</v>
          </cell>
        </row>
        <row r="1896">
          <cell r="A1896">
            <v>7518</v>
          </cell>
        </row>
        <row r="1897">
          <cell r="A1897">
            <v>7519</v>
          </cell>
        </row>
        <row r="1898">
          <cell r="A1898">
            <v>7520</v>
          </cell>
        </row>
        <row r="1899">
          <cell r="A1899">
            <v>7521</v>
          </cell>
        </row>
        <row r="1900">
          <cell r="A1900">
            <v>7522</v>
          </cell>
        </row>
        <row r="1901">
          <cell r="A1901">
            <v>7523</v>
          </cell>
        </row>
        <row r="1902">
          <cell r="A1902">
            <v>7524</v>
          </cell>
        </row>
        <row r="1903">
          <cell r="A1903">
            <v>7525</v>
          </cell>
        </row>
        <row r="1904">
          <cell r="A1904">
            <v>7526</v>
          </cell>
        </row>
        <row r="1905">
          <cell r="A1905">
            <v>7527</v>
          </cell>
        </row>
        <row r="1906">
          <cell r="A1906">
            <v>7528</v>
          </cell>
        </row>
        <row r="1907">
          <cell r="A1907">
            <v>7529</v>
          </cell>
        </row>
        <row r="1908">
          <cell r="A1908">
            <v>7601</v>
          </cell>
        </row>
        <row r="1909">
          <cell r="A1909">
            <v>7602</v>
          </cell>
        </row>
        <row r="1910">
          <cell r="A1910">
            <v>7603</v>
          </cell>
        </row>
        <row r="1911">
          <cell r="A1911">
            <v>7604</v>
          </cell>
        </row>
        <row r="1912">
          <cell r="A1912">
            <v>7605</v>
          </cell>
        </row>
        <row r="1913">
          <cell r="A1913">
            <v>7606</v>
          </cell>
        </row>
        <row r="1914">
          <cell r="A1914">
            <v>7607</v>
          </cell>
        </row>
        <row r="1915">
          <cell r="A1915">
            <v>7608</v>
          </cell>
        </row>
        <row r="1916">
          <cell r="A1916">
            <v>7609</v>
          </cell>
        </row>
        <row r="1917">
          <cell r="A1917">
            <v>7610</v>
          </cell>
        </row>
        <row r="1918">
          <cell r="A1918">
            <v>7611</v>
          </cell>
        </row>
        <row r="1919">
          <cell r="A1919">
            <v>7612</v>
          </cell>
        </row>
        <row r="1920">
          <cell r="A1920">
            <v>7613</v>
          </cell>
        </row>
        <row r="1921">
          <cell r="A1921">
            <v>7614</v>
          </cell>
        </row>
        <row r="1922">
          <cell r="A1922">
            <v>7615</v>
          </cell>
        </row>
        <row r="1923">
          <cell r="A1923">
            <v>7616</v>
          </cell>
        </row>
        <row r="1924">
          <cell r="A1924">
            <v>7617</v>
          </cell>
        </row>
        <row r="1925">
          <cell r="A1925">
            <v>7618</v>
          </cell>
        </row>
        <row r="1926">
          <cell r="A1926">
            <v>7619</v>
          </cell>
        </row>
        <row r="1927">
          <cell r="A1927">
            <v>7620</v>
          </cell>
        </row>
        <row r="1928">
          <cell r="A1928">
            <v>7621</v>
          </cell>
        </row>
        <row r="1929">
          <cell r="A1929">
            <v>7622</v>
          </cell>
        </row>
        <row r="1930">
          <cell r="A1930">
            <v>7623</v>
          </cell>
        </row>
        <row r="1931">
          <cell r="A1931">
            <v>7624</v>
          </cell>
        </row>
        <row r="1932">
          <cell r="A1932">
            <v>7625</v>
          </cell>
        </row>
        <row r="1933">
          <cell r="A1933">
            <v>7626</v>
          </cell>
        </row>
        <row r="1934">
          <cell r="A1934">
            <v>7689</v>
          </cell>
        </row>
        <row r="1935">
          <cell r="A1935">
            <v>7690</v>
          </cell>
        </row>
        <row r="1936">
          <cell r="A1936">
            <v>7691</v>
          </cell>
        </row>
        <row r="1937">
          <cell r="A1937">
            <v>7692</v>
          </cell>
        </row>
        <row r="1938">
          <cell r="A1938">
            <v>7693</v>
          </cell>
        </row>
        <row r="1939">
          <cell r="A1939">
            <v>7694</v>
          </cell>
        </row>
        <row r="1940">
          <cell r="A1940">
            <v>7695</v>
          </cell>
        </row>
        <row r="1941">
          <cell r="A1941">
            <v>7696</v>
          </cell>
        </row>
        <row r="1942">
          <cell r="A1942">
            <v>7697</v>
          </cell>
        </row>
        <row r="1943">
          <cell r="A1943">
            <v>7698</v>
          </cell>
        </row>
        <row r="1944">
          <cell r="A1944">
            <v>7699</v>
          </cell>
        </row>
        <row r="1945">
          <cell r="A1945">
            <v>7700</v>
          </cell>
        </row>
        <row r="1946">
          <cell r="A1946">
            <v>7701</v>
          </cell>
        </row>
        <row r="1947">
          <cell r="A1947">
            <v>7702</v>
          </cell>
        </row>
        <row r="1948">
          <cell r="A1948">
            <v>7703</v>
          </cell>
        </row>
        <row r="1949">
          <cell r="A1949">
            <v>7704</v>
          </cell>
        </row>
        <row r="1950">
          <cell r="A1950">
            <v>7705</v>
          </cell>
        </row>
        <row r="1951">
          <cell r="A1951">
            <v>7706</v>
          </cell>
        </row>
        <row r="1952">
          <cell r="A1952">
            <v>7707</v>
          </cell>
        </row>
        <row r="1953">
          <cell r="A1953">
            <v>7708</v>
          </cell>
        </row>
        <row r="1954">
          <cell r="A1954">
            <v>7709</v>
          </cell>
        </row>
        <row r="1955">
          <cell r="A1955">
            <v>7710</v>
          </cell>
        </row>
        <row r="1956">
          <cell r="A1956">
            <v>7769</v>
          </cell>
        </row>
        <row r="1957">
          <cell r="A1957">
            <v>7770</v>
          </cell>
        </row>
        <row r="1958">
          <cell r="A1958">
            <v>7771</v>
          </cell>
        </row>
        <row r="1959">
          <cell r="A1959">
            <v>7772</v>
          </cell>
        </row>
        <row r="1960">
          <cell r="A1960">
            <v>7773</v>
          </cell>
        </row>
        <row r="1961">
          <cell r="A1961">
            <v>7774</v>
          </cell>
        </row>
        <row r="1962">
          <cell r="A1962">
            <v>7775</v>
          </cell>
        </row>
        <row r="1963">
          <cell r="A1963">
            <v>7776</v>
          </cell>
        </row>
        <row r="1964">
          <cell r="A1964">
            <v>7777</v>
          </cell>
        </row>
        <row r="1965">
          <cell r="A1965">
            <v>7778</v>
          </cell>
        </row>
        <row r="1966">
          <cell r="A1966">
            <v>7779</v>
          </cell>
        </row>
        <row r="1967">
          <cell r="A1967">
            <v>7780</v>
          </cell>
        </row>
        <row r="1968">
          <cell r="A1968">
            <v>7781</v>
          </cell>
        </row>
        <row r="1969">
          <cell r="A1969">
            <v>7782</v>
          </cell>
        </row>
        <row r="1970">
          <cell r="A1970">
            <v>7783</v>
          </cell>
        </row>
        <row r="1971">
          <cell r="A1971">
            <v>7784</v>
          </cell>
        </row>
        <row r="1972">
          <cell r="A1972">
            <v>7785</v>
          </cell>
        </row>
        <row r="1973">
          <cell r="A1973">
            <v>7786</v>
          </cell>
        </row>
        <row r="1974">
          <cell r="A1974">
            <v>7787</v>
          </cell>
        </row>
        <row r="1975">
          <cell r="A1975">
            <v>7788</v>
          </cell>
        </row>
        <row r="1976">
          <cell r="A1976">
            <v>7844</v>
          </cell>
        </row>
        <row r="1977">
          <cell r="A1977">
            <v>7845</v>
          </cell>
        </row>
        <row r="1978">
          <cell r="A1978">
            <v>7846</v>
          </cell>
        </row>
        <row r="1979">
          <cell r="A1979">
            <v>7847</v>
          </cell>
        </row>
        <row r="1980">
          <cell r="A1980">
            <v>7848</v>
          </cell>
        </row>
        <row r="1981">
          <cell r="A1981">
            <v>7849</v>
          </cell>
        </row>
        <row r="1982">
          <cell r="A1982">
            <v>7850</v>
          </cell>
        </row>
        <row r="1983">
          <cell r="A1983">
            <v>7851</v>
          </cell>
        </row>
        <row r="1984">
          <cell r="A1984">
            <v>7852</v>
          </cell>
        </row>
        <row r="1985">
          <cell r="A1985">
            <v>7853</v>
          </cell>
        </row>
        <row r="1986">
          <cell r="A1986">
            <v>7854</v>
          </cell>
        </row>
        <row r="1987">
          <cell r="A1987">
            <v>7855</v>
          </cell>
        </row>
        <row r="1988">
          <cell r="A1988">
            <v>7856</v>
          </cell>
        </row>
        <row r="1989">
          <cell r="A1989">
            <v>7857</v>
          </cell>
        </row>
        <row r="1990">
          <cell r="A1990">
            <v>7858</v>
          </cell>
        </row>
        <row r="1991">
          <cell r="A1991">
            <v>7859</v>
          </cell>
        </row>
        <row r="1992">
          <cell r="A1992">
            <v>7860</v>
          </cell>
        </row>
        <row r="1993">
          <cell r="A1993">
            <v>7861</v>
          </cell>
        </row>
        <row r="1994">
          <cell r="A1994">
            <v>7862</v>
          </cell>
        </row>
        <row r="1995">
          <cell r="A1995">
            <v>7863</v>
          </cell>
        </row>
        <row r="1996">
          <cell r="A1996">
            <v>7864</v>
          </cell>
        </row>
        <row r="1997">
          <cell r="A1997">
            <v>7917</v>
          </cell>
        </row>
        <row r="1998">
          <cell r="A1998">
            <v>7918</v>
          </cell>
        </row>
        <row r="1999">
          <cell r="A1999">
            <v>7919</v>
          </cell>
        </row>
        <row r="2000">
          <cell r="A2000">
            <v>7920</v>
          </cell>
        </row>
        <row r="2001">
          <cell r="A2001">
            <v>7921</v>
          </cell>
        </row>
        <row r="2002">
          <cell r="A2002">
            <v>7922</v>
          </cell>
        </row>
        <row r="2003">
          <cell r="A2003">
            <v>7923</v>
          </cell>
        </row>
        <row r="2004">
          <cell r="A2004">
            <v>7924</v>
          </cell>
        </row>
        <row r="2005">
          <cell r="A2005">
            <v>7925</v>
          </cell>
        </row>
        <row r="2006">
          <cell r="A2006">
            <v>7926</v>
          </cell>
        </row>
        <row r="2007">
          <cell r="A2007">
            <v>7927</v>
          </cell>
        </row>
        <row r="2008">
          <cell r="A2008">
            <v>7928</v>
          </cell>
        </row>
        <row r="2009">
          <cell r="A2009">
            <v>7929</v>
          </cell>
        </row>
        <row r="2010">
          <cell r="A2010">
            <v>7930</v>
          </cell>
        </row>
        <row r="2011">
          <cell r="A2011">
            <v>7931</v>
          </cell>
        </row>
        <row r="2012">
          <cell r="A2012">
            <v>7932.2</v>
          </cell>
        </row>
        <row r="2013">
          <cell r="A2013">
            <v>7933</v>
          </cell>
        </row>
        <row r="2014">
          <cell r="A2014">
            <v>7934</v>
          </cell>
        </row>
        <row r="2015">
          <cell r="A2015">
            <v>7935</v>
          </cell>
        </row>
        <row r="2016">
          <cell r="A2016">
            <v>7936</v>
          </cell>
        </row>
        <row r="2017">
          <cell r="A2017">
            <v>7937</v>
          </cell>
        </row>
        <row r="2018">
          <cell r="A2018">
            <v>7938</v>
          </cell>
        </row>
        <row r="2019">
          <cell r="A2019">
            <v>7985</v>
          </cell>
        </row>
        <row r="2020">
          <cell r="A2020">
            <v>7986</v>
          </cell>
        </row>
        <row r="2021">
          <cell r="A2021">
            <v>7987</v>
          </cell>
        </row>
        <row r="2022">
          <cell r="A2022">
            <v>7988</v>
          </cell>
        </row>
        <row r="2023">
          <cell r="A2023">
            <v>7989</v>
          </cell>
        </row>
        <row r="2024">
          <cell r="A2024">
            <v>7990</v>
          </cell>
        </row>
        <row r="2025">
          <cell r="A2025">
            <v>7990.2</v>
          </cell>
        </row>
        <row r="2026">
          <cell r="A2026">
            <v>7991</v>
          </cell>
        </row>
        <row r="2027">
          <cell r="A2027">
            <v>7992</v>
          </cell>
        </row>
        <row r="2028">
          <cell r="A2028">
            <v>7993</v>
          </cell>
        </row>
        <row r="2029">
          <cell r="A2029">
            <v>7994</v>
          </cell>
        </row>
        <row r="2030">
          <cell r="A2030">
            <v>7995</v>
          </cell>
        </row>
        <row r="2031">
          <cell r="A2031">
            <v>7996</v>
          </cell>
        </row>
        <row r="2032">
          <cell r="A2032">
            <v>7997</v>
          </cell>
        </row>
        <row r="2033">
          <cell r="A2033">
            <v>7998</v>
          </cell>
        </row>
        <row r="2034">
          <cell r="A2034">
            <v>7999</v>
          </cell>
        </row>
        <row r="2035">
          <cell r="A2035">
            <v>8200</v>
          </cell>
        </row>
        <row r="2036">
          <cell r="A2036">
            <v>8201</v>
          </cell>
        </row>
        <row r="2037">
          <cell r="A2037">
            <v>8202</v>
          </cell>
        </row>
        <row r="2038">
          <cell r="A2038">
            <v>8203</v>
          </cell>
        </row>
        <row r="2039">
          <cell r="A2039">
            <v>8204</v>
          </cell>
        </row>
        <row r="2040">
          <cell r="A2040">
            <v>8205</v>
          </cell>
        </row>
        <row r="2041">
          <cell r="A2041">
            <v>8206</v>
          </cell>
        </row>
        <row r="2042">
          <cell r="A2042">
            <v>8252</v>
          </cell>
        </row>
        <row r="2043">
          <cell r="A2043">
            <v>8253</v>
          </cell>
        </row>
        <row r="2044">
          <cell r="A2044">
            <v>8254</v>
          </cell>
        </row>
        <row r="2045">
          <cell r="A2045">
            <v>8255</v>
          </cell>
        </row>
        <row r="2046">
          <cell r="A2046">
            <v>8256</v>
          </cell>
        </row>
        <row r="2047">
          <cell r="A2047">
            <v>8257</v>
          </cell>
        </row>
        <row r="2048">
          <cell r="A2048">
            <v>8258</v>
          </cell>
        </row>
        <row r="2049">
          <cell r="A2049">
            <v>8259</v>
          </cell>
        </row>
        <row r="2050">
          <cell r="A2050">
            <v>8260</v>
          </cell>
        </row>
        <row r="2051">
          <cell r="A2051">
            <v>8261</v>
          </cell>
        </row>
        <row r="2052">
          <cell r="A2052">
            <v>8262</v>
          </cell>
        </row>
        <row r="2053">
          <cell r="A2053">
            <v>8263</v>
          </cell>
        </row>
        <row r="2054">
          <cell r="A2054">
            <v>8264</v>
          </cell>
        </row>
        <row r="2055">
          <cell r="A2055">
            <v>8265</v>
          </cell>
        </row>
        <row r="2056">
          <cell r="A2056">
            <v>8266</v>
          </cell>
        </row>
        <row r="2057">
          <cell r="A2057">
            <v>8267</v>
          </cell>
        </row>
        <row r="2058">
          <cell r="A2058">
            <v>8268</v>
          </cell>
        </row>
        <row r="2059">
          <cell r="A2059">
            <v>8269</v>
          </cell>
        </row>
        <row r="2060">
          <cell r="A2060">
            <v>8270</v>
          </cell>
        </row>
        <row r="2061">
          <cell r="A2061">
            <v>8271</v>
          </cell>
        </row>
        <row r="2062">
          <cell r="A2062">
            <v>8313</v>
          </cell>
        </row>
        <row r="2063">
          <cell r="A2063">
            <v>8314</v>
          </cell>
        </row>
        <row r="2064">
          <cell r="A2064">
            <v>8315</v>
          </cell>
        </row>
        <row r="2065">
          <cell r="A2065">
            <v>8316</v>
          </cell>
        </row>
        <row r="2066">
          <cell r="A2066">
            <v>8317</v>
          </cell>
        </row>
        <row r="2067">
          <cell r="A2067">
            <v>8318</v>
          </cell>
        </row>
        <row r="2068">
          <cell r="A2068">
            <v>8319</v>
          </cell>
        </row>
        <row r="2069">
          <cell r="A2069">
            <v>8320</v>
          </cell>
        </row>
        <row r="2070">
          <cell r="A2070">
            <v>8321</v>
          </cell>
        </row>
        <row r="2071">
          <cell r="A2071">
            <v>8322</v>
          </cell>
        </row>
        <row r="2072">
          <cell r="A2072">
            <v>8323</v>
          </cell>
        </row>
        <row r="2073">
          <cell r="A2073">
            <v>8324</v>
          </cell>
        </row>
        <row r="2074">
          <cell r="A2074">
            <v>8325</v>
          </cell>
        </row>
        <row r="2075">
          <cell r="A2075">
            <v>8326</v>
          </cell>
        </row>
        <row r="2076">
          <cell r="A2076">
            <v>8327</v>
          </cell>
        </row>
        <row r="2077">
          <cell r="A2077">
            <v>8328</v>
          </cell>
        </row>
        <row r="2078">
          <cell r="A2078">
            <v>8329</v>
          </cell>
        </row>
        <row r="2079">
          <cell r="A2079">
            <v>8330</v>
          </cell>
        </row>
        <row r="2080">
          <cell r="A2080">
            <v>8331</v>
          </cell>
        </row>
        <row r="2081">
          <cell r="A2081">
            <v>8332</v>
          </cell>
        </row>
        <row r="2082">
          <cell r="A2082">
            <v>8333</v>
          </cell>
        </row>
        <row r="2083">
          <cell r="A2083">
            <v>8371</v>
          </cell>
        </row>
        <row r="2084">
          <cell r="A2084">
            <v>8372</v>
          </cell>
        </row>
        <row r="2085">
          <cell r="A2085">
            <v>8373</v>
          </cell>
        </row>
        <row r="2086">
          <cell r="A2086">
            <v>8374</v>
          </cell>
        </row>
        <row r="2087">
          <cell r="A2087">
            <v>8375</v>
          </cell>
        </row>
        <row r="2088">
          <cell r="A2088">
            <v>8376</v>
          </cell>
        </row>
        <row r="2089">
          <cell r="A2089">
            <v>8377</v>
          </cell>
        </row>
        <row r="2090">
          <cell r="A2090">
            <v>8378</v>
          </cell>
        </row>
        <row r="2091">
          <cell r="A2091">
            <v>8379</v>
          </cell>
        </row>
        <row r="2092">
          <cell r="A2092">
            <v>8380</v>
          </cell>
        </row>
        <row r="2093">
          <cell r="A2093">
            <v>8381</v>
          </cell>
        </row>
        <row r="2094">
          <cell r="A2094">
            <v>8382</v>
          </cell>
        </row>
        <row r="2095">
          <cell r="A2095">
            <v>8383</v>
          </cell>
        </row>
        <row r="2096">
          <cell r="A2096">
            <v>8384</v>
          </cell>
        </row>
        <row r="2097">
          <cell r="A2097">
            <v>8385</v>
          </cell>
        </row>
        <row r="2098">
          <cell r="A2098">
            <v>8386</v>
          </cell>
        </row>
        <row r="2099">
          <cell r="A2099">
            <v>8387</v>
          </cell>
        </row>
        <row r="2100">
          <cell r="A2100">
            <v>8388</v>
          </cell>
        </row>
        <row r="2101">
          <cell r="A2101">
            <v>8389</v>
          </cell>
        </row>
        <row r="2102">
          <cell r="A2102">
            <v>8390</v>
          </cell>
        </row>
        <row r="2103">
          <cell r="A2103">
            <v>8391</v>
          </cell>
        </row>
        <row r="2104">
          <cell r="A2104">
            <v>8392</v>
          </cell>
        </row>
        <row r="2105">
          <cell r="A2105">
            <v>8425</v>
          </cell>
        </row>
        <row r="2106">
          <cell r="A2106">
            <v>8426</v>
          </cell>
        </row>
        <row r="2107">
          <cell r="A2107">
            <v>8427</v>
          </cell>
        </row>
        <row r="2108">
          <cell r="A2108">
            <v>8428</v>
          </cell>
        </row>
        <row r="2109">
          <cell r="A2109">
            <v>8429</v>
          </cell>
        </row>
        <row r="2110">
          <cell r="A2110">
            <v>8430</v>
          </cell>
        </row>
        <row r="2111">
          <cell r="A2111">
            <v>8431</v>
          </cell>
        </row>
        <row r="2112">
          <cell r="A2112">
            <v>8432</v>
          </cell>
        </row>
        <row r="2113">
          <cell r="A2113">
            <v>8433</v>
          </cell>
        </row>
        <row r="2114">
          <cell r="A2114">
            <v>8434</v>
          </cell>
        </row>
        <row r="2115">
          <cell r="A2115">
            <v>8435</v>
          </cell>
        </row>
        <row r="2116">
          <cell r="A2116">
            <v>8436</v>
          </cell>
        </row>
        <row r="2117">
          <cell r="A2117">
            <v>8437</v>
          </cell>
        </row>
        <row r="2118">
          <cell r="A2118">
            <v>8438</v>
          </cell>
        </row>
        <row r="2119">
          <cell r="A2119">
            <v>8439</v>
          </cell>
        </row>
        <row r="2120">
          <cell r="A2120">
            <v>8440</v>
          </cell>
        </row>
        <row r="2121">
          <cell r="A2121">
            <v>8441</v>
          </cell>
        </row>
        <row r="2122">
          <cell r="A2122">
            <v>8442</v>
          </cell>
        </row>
        <row r="2123">
          <cell r="A2123">
            <v>8443</v>
          </cell>
        </row>
        <row r="2124">
          <cell r="A2124">
            <v>8444</v>
          </cell>
        </row>
        <row r="2125">
          <cell r="A2125">
            <v>8445</v>
          </cell>
        </row>
        <row r="2126">
          <cell r="A2126">
            <v>8446</v>
          </cell>
        </row>
        <row r="2127">
          <cell r="A2127">
            <v>8468</v>
          </cell>
        </row>
        <row r="2128">
          <cell r="A2128">
            <v>8469</v>
          </cell>
        </row>
        <row r="2129">
          <cell r="A2129">
            <v>8470</v>
          </cell>
        </row>
        <row r="2130">
          <cell r="A2130">
            <v>8471</v>
          </cell>
        </row>
        <row r="2131">
          <cell r="A2131">
            <v>8472</v>
          </cell>
        </row>
        <row r="2132">
          <cell r="A2132">
            <v>8473</v>
          </cell>
        </row>
        <row r="2133">
          <cell r="A2133">
            <v>8474</v>
          </cell>
        </row>
        <row r="2134">
          <cell r="A2134">
            <v>8475</v>
          </cell>
        </row>
        <row r="2135">
          <cell r="A2135">
            <v>8476</v>
          </cell>
        </row>
        <row r="2136">
          <cell r="A2136">
            <v>8477</v>
          </cell>
        </row>
        <row r="2137">
          <cell r="A2137">
            <v>8478</v>
          </cell>
        </row>
        <row r="2138">
          <cell r="A2138">
            <v>8479</v>
          </cell>
        </row>
        <row r="2139">
          <cell r="A2139">
            <v>8480</v>
          </cell>
        </row>
        <row r="2140">
          <cell r="A2140">
            <v>8481</v>
          </cell>
        </row>
        <row r="2141">
          <cell r="A2141">
            <v>8482</v>
          </cell>
        </row>
        <row r="2142">
          <cell r="A2142">
            <v>8483</v>
          </cell>
        </row>
        <row r="2143">
          <cell r="A2143">
            <v>8484</v>
          </cell>
        </row>
        <row r="2144">
          <cell r="A2144">
            <v>8485</v>
          </cell>
        </row>
        <row r="2145">
          <cell r="A2145">
            <v>8486</v>
          </cell>
        </row>
        <row r="2146">
          <cell r="A2146">
            <v>8487</v>
          </cell>
        </row>
        <row r="2147">
          <cell r="A2147">
            <v>8506</v>
          </cell>
        </row>
        <row r="2148">
          <cell r="A2148">
            <v>8507</v>
          </cell>
        </row>
        <row r="2149">
          <cell r="A2149">
            <v>8508</v>
          </cell>
        </row>
        <row r="2150">
          <cell r="A2150">
            <v>8509</v>
          </cell>
        </row>
        <row r="2151">
          <cell r="A2151">
            <v>8510</v>
          </cell>
        </row>
        <row r="2152">
          <cell r="A2152">
            <v>8511</v>
          </cell>
        </row>
        <row r="2153">
          <cell r="A2153">
            <v>8512</v>
          </cell>
        </row>
        <row r="2154">
          <cell r="A2154">
            <v>8513</v>
          </cell>
        </row>
        <row r="2155">
          <cell r="A2155">
            <v>8514</v>
          </cell>
        </row>
        <row r="2156">
          <cell r="A2156">
            <v>8515</v>
          </cell>
        </row>
        <row r="2157">
          <cell r="A2157">
            <v>8516</v>
          </cell>
        </row>
        <row r="2158">
          <cell r="A2158">
            <v>8517</v>
          </cell>
        </row>
        <row r="2159">
          <cell r="A2159">
            <v>8518</v>
          </cell>
        </row>
        <row r="2160">
          <cell r="A2160">
            <v>8519</v>
          </cell>
        </row>
        <row r="2161">
          <cell r="A2161">
            <v>8520</v>
          </cell>
        </row>
        <row r="2162">
          <cell r="A2162">
            <v>8521</v>
          </cell>
        </row>
        <row r="2163">
          <cell r="A2163">
            <v>8522</v>
          </cell>
        </row>
        <row r="2164">
          <cell r="A2164">
            <v>8523</v>
          </cell>
        </row>
        <row r="2165">
          <cell r="A2165">
            <v>8524</v>
          </cell>
        </row>
        <row r="2166">
          <cell r="A2166">
            <v>8525</v>
          </cell>
        </row>
        <row r="2167">
          <cell r="A2167">
            <v>8537</v>
          </cell>
        </row>
        <row r="2168">
          <cell r="A2168">
            <v>8538</v>
          </cell>
        </row>
        <row r="2169">
          <cell r="A2169">
            <v>8539</v>
          </cell>
        </row>
        <row r="2170">
          <cell r="A2170">
            <v>8540</v>
          </cell>
        </row>
        <row r="2171">
          <cell r="A2171">
            <v>8541</v>
          </cell>
        </row>
        <row r="2172">
          <cell r="A2172">
            <v>8542</v>
          </cell>
        </row>
        <row r="2173">
          <cell r="A2173">
            <v>8543</v>
          </cell>
        </row>
        <row r="2174">
          <cell r="A2174">
            <v>8544</v>
          </cell>
        </row>
        <row r="2175">
          <cell r="A2175">
            <v>8545</v>
          </cell>
        </row>
        <row r="2176">
          <cell r="A2176">
            <v>8546</v>
          </cell>
        </row>
        <row r="2177">
          <cell r="A2177">
            <v>8547</v>
          </cell>
        </row>
        <row r="2178">
          <cell r="A2178">
            <v>8548</v>
          </cell>
        </row>
        <row r="2179">
          <cell r="A2179">
            <v>8549</v>
          </cell>
        </row>
        <row r="2180">
          <cell r="A2180">
            <v>8550</v>
          </cell>
        </row>
        <row r="2181">
          <cell r="A2181">
            <v>8551</v>
          </cell>
        </row>
        <row r="2182">
          <cell r="A2182">
            <v>8552</v>
          </cell>
        </row>
        <row r="2183">
          <cell r="A2183">
            <v>8553</v>
          </cell>
        </row>
        <row r="2184">
          <cell r="A2184">
            <v>8554</v>
          </cell>
        </row>
        <row r="2185">
          <cell r="A2185">
            <v>8555</v>
          </cell>
        </row>
        <row r="2186">
          <cell r="A2186">
            <v>8556</v>
          </cell>
        </row>
        <row r="2187">
          <cell r="A2187">
            <v>8563</v>
          </cell>
        </row>
        <row r="2188">
          <cell r="A2188">
            <v>8564</v>
          </cell>
        </row>
        <row r="2189">
          <cell r="A2189">
            <v>8565</v>
          </cell>
        </row>
        <row r="2190">
          <cell r="A2190">
            <v>8566</v>
          </cell>
        </row>
        <row r="2191">
          <cell r="A2191">
            <v>8567</v>
          </cell>
        </row>
        <row r="2192">
          <cell r="A2192">
            <v>8568</v>
          </cell>
        </row>
        <row r="2193">
          <cell r="A2193">
            <v>8569</v>
          </cell>
        </row>
        <row r="2194">
          <cell r="A2194">
            <v>8570</v>
          </cell>
        </row>
        <row r="2195">
          <cell r="A2195">
            <v>8571</v>
          </cell>
        </row>
        <row r="2196">
          <cell r="A2196">
            <v>8572</v>
          </cell>
        </row>
        <row r="2197">
          <cell r="A2197">
            <v>8573</v>
          </cell>
        </row>
        <row r="2198">
          <cell r="A2198">
            <v>8574</v>
          </cell>
        </row>
        <row r="2199">
          <cell r="A2199">
            <v>8575</v>
          </cell>
        </row>
        <row r="2200">
          <cell r="A2200">
            <v>8576</v>
          </cell>
        </row>
        <row r="2201">
          <cell r="A2201">
            <v>8577</v>
          </cell>
        </row>
        <row r="2202">
          <cell r="A2202">
            <v>8578</v>
          </cell>
        </row>
        <row r="2203">
          <cell r="A2203">
            <v>8579</v>
          </cell>
        </row>
        <row r="2204">
          <cell r="A2204">
            <v>8580</v>
          </cell>
        </row>
        <row r="2205">
          <cell r="A2205">
            <v>8581</v>
          </cell>
        </row>
        <row r="2206">
          <cell r="A2206">
            <v>8583</v>
          </cell>
        </row>
        <row r="2207">
          <cell r="A2207">
            <v>8584</v>
          </cell>
        </row>
        <row r="2208">
          <cell r="A2208">
            <v>8585</v>
          </cell>
        </row>
        <row r="2209">
          <cell r="A2209">
            <v>8586</v>
          </cell>
        </row>
        <row r="2210">
          <cell r="A2210">
            <v>8587</v>
          </cell>
        </row>
        <row r="2211">
          <cell r="A2211">
            <v>8588</v>
          </cell>
        </row>
        <row r="2212">
          <cell r="A2212">
            <v>8589</v>
          </cell>
        </row>
        <row r="2213">
          <cell r="A2213">
            <v>8590</v>
          </cell>
        </row>
        <row r="2214">
          <cell r="A2214">
            <v>8591</v>
          </cell>
        </row>
        <row r="2215">
          <cell r="A2215">
            <v>8592</v>
          </cell>
        </row>
        <row r="2216">
          <cell r="A2216">
            <v>8593</v>
          </cell>
        </row>
        <row r="2217">
          <cell r="A2217">
            <v>8594</v>
          </cell>
        </row>
        <row r="2218">
          <cell r="A2218">
            <v>8595</v>
          </cell>
        </row>
        <row r="2219">
          <cell r="A2219">
            <v>8596</v>
          </cell>
        </row>
        <row r="2220">
          <cell r="A2220">
            <v>8597</v>
          </cell>
        </row>
        <row r="2221">
          <cell r="A2221">
            <v>8598</v>
          </cell>
        </row>
        <row r="2222">
          <cell r="A2222">
            <v>8599</v>
          </cell>
        </row>
        <row r="2223">
          <cell r="A2223">
            <v>8600</v>
          </cell>
        </row>
        <row r="2224">
          <cell r="A2224">
            <v>8601</v>
          </cell>
        </row>
        <row r="2225">
          <cell r="A2225">
            <v>8602</v>
          </cell>
        </row>
        <row r="2226">
          <cell r="A2226">
            <v>8603</v>
          </cell>
        </row>
        <row r="2227">
          <cell r="A2227">
            <v>8604</v>
          </cell>
        </row>
        <row r="2228">
          <cell r="A2228">
            <v>8605</v>
          </cell>
        </row>
        <row r="2229">
          <cell r="A2229">
            <v>8606</v>
          </cell>
        </row>
        <row r="2230">
          <cell r="A2230">
            <v>8607</v>
          </cell>
        </row>
        <row r="2231">
          <cell r="A2231">
            <v>8608</v>
          </cell>
        </row>
        <row r="2232">
          <cell r="A2232">
            <v>8609</v>
          </cell>
        </row>
        <row r="2233">
          <cell r="A2233">
            <v>8610</v>
          </cell>
        </row>
        <row r="2234">
          <cell r="A2234">
            <v>8611</v>
          </cell>
        </row>
        <row r="2235">
          <cell r="A2235">
            <v>8612</v>
          </cell>
        </row>
        <row r="2236">
          <cell r="A2236">
            <v>8613</v>
          </cell>
        </row>
        <row r="2237">
          <cell r="A2237">
            <v>8614</v>
          </cell>
        </row>
        <row r="2238">
          <cell r="A2238">
            <v>8615</v>
          </cell>
        </row>
        <row r="2239">
          <cell r="A2239">
            <v>8616</v>
          </cell>
        </row>
        <row r="2240">
          <cell r="A2240">
            <v>8617</v>
          </cell>
        </row>
        <row r="2241">
          <cell r="A2241">
            <v>8618</v>
          </cell>
        </row>
        <row r="2242">
          <cell r="A2242">
            <v>8619</v>
          </cell>
        </row>
        <row r="2243">
          <cell r="A2243">
            <v>8620</v>
          </cell>
        </row>
        <row r="2244">
          <cell r="A2244">
            <v>8621</v>
          </cell>
        </row>
        <row r="2245">
          <cell r="A2245">
            <v>8622</v>
          </cell>
        </row>
        <row r="2246">
          <cell r="A2246">
            <v>8623</v>
          </cell>
        </row>
        <row r="2247">
          <cell r="A2247">
            <v>8624</v>
          </cell>
        </row>
        <row r="2248">
          <cell r="A2248">
            <v>8625</v>
          </cell>
        </row>
        <row r="2249">
          <cell r="A2249">
            <v>8626</v>
          </cell>
        </row>
        <row r="2250">
          <cell r="A2250">
            <v>8627</v>
          </cell>
        </row>
        <row r="2251">
          <cell r="A2251">
            <v>8628</v>
          </cell>
        </row>
        <row r="2252">
          <cell r="A2252">
            <v>8629</v>
          </cell>
        </row>
        <row r="2253">
          <cell r="A2253">
            <v>8630</v>
          </cell>
        </row>
        <row r="2254">
          <cell r="A2254">
            <v>8631</v>
          </cell>
        </row>
        <row r="2255">
          <cell r="A2255">
            <v>8632</v>
          </cell>
        </row>
        <row r="2256">
          <cell r="A2256">
            <v>8633</v>
          </cell>
        </row>
        <row r="2257">
          <cell r="A2257">
            <v>8634</v>
          </cell>
        </row>
        <row r="2258">
          <cell r="A2258">
            <v>8635</v>
          </cell>
        </row>
        <row r="2259">
          <cell r="A2259">
            <v>8636</v>
          </cell>
        </row>
        <row r="2260">
          <cell r="A2260">
            <v>8637</v>
          </cell>
        </row>
        <row r="2261">
          <cell r="A2261">
            <v>8638</v>
          </cell>
        </row>
        <row r="2262">
          <cell r="A2262">
            <v>8639</v>
          </cell>
        </row>
        <row r="2263">
          <cell r="A2263">
            <v>8640</v>
          </cell>
        </row>
        <row r="2264">
          <cell r="A2264">
            <v>8641</v>
          </cell>
        </row>
        <row r="2265">
          <cell r="A2265">
            <v>8642</v>
          </cell>
        </row>
        <row r="2266">
          <cell r="A2266">
            <v>8643</v>
          </cell>
        </row>
        <row r="2267">
          <cell r="A2267">
            <v>8644</v>
          </cell>
        </row>
        <row r="2268">
          <cell r="A2268">
            <v>8645</v>
          </cell>
        </row>
        <row r="2269">
          <cell r="A2269">
            <v>8646</v>
          </cell>
        </row>
        <row r="2270">
          <cell r="A2270">
            <v>8647</v>
          </cell>
        </row>
        <row r="2271">
          <cell r="A2271">
            <v>8648</v>
          </cell>
        </row>
        <row r="2272">
          <cell r="A2272">
            <v>8649</v>
          </cell>
        </row>
        <row r="2273">
          <cell r="A2273">
            <v>8650</v>
          </cell>
        </row>
        <row r="2274">
          <cell r="A2274">
            <v>8651</v>
          </cell>
        </row>
        <row r="2275">
          <cell r="A2275">
            <v>8652</v>
          </cell>
        </row>
        <row r="2276">
          <cell r="A2276">
            <v>8653</v>
          </cell>
        </row>
        <row r="2277">
          <cell r="A2277">
            <v>8654</v>
          </cell>
        </row>
        <row r="2278">
          <cell r="A2278">
            <v>8655</v>
          </cell>
        </row>
        <row r="2279">
          <cell r="A2279">
            <v>8656</v>
          </cell>
        </row>
        <row r="2280">
          <cell r="A2280">
            <v>8657</v>
          </cell>
        </row>
        <row r="2281">
          <cell r="A2281">
            <v>8658</v>
          </cell>
        </row>
        <row r="2282">
          <cell r="A2282">
            <v>8659</v>
          </cell>
        </row>
        <row r="2283">
          <cell r="A2283">
            <v>8660</v>
          </cell>
        </row>
        <row r="2284">
          <cell r="A2284">
            <v>8661</v>
          </cell>
        </row>
        <row r="2285">
          <cell r="A2285">
            <v>8662</v>
          </cell>
        </row>
        <row r="2286">
          <cell r="A2286">
            <v>8663</v>
          </cell>
        </row>
        <row r="2287">
          <cell r="A2287">
            <v>8664</v>
          </cell>
        </row>
        <row r="2288">
          <cell r="A2288">
            <v>8665</v>
          </cell>
        </row>
        <row r="2289">
          <cell r="A2289">
            <v>8666</v>
          </cell>
        </row>
        <row r="2290">
          <cell r="A2290">
            <v>8667</v>
          </cell>
        </row>
        <row r="2291">
          <cell r="A2291">
            <v>8668</v>
          </cell>
        </row>
        <row r="2292">
          <cell r="A2292">
            <v>8669</v>
          </cell>
        </row>
        <row r="2293">
          <cell r="A2293">
            <v>8670</v>
          </cell>
        </row>
        <row r="2294">
          <cell r="A2294">
            <v>8671</v>
          </cell>
        </row>
        <row r="2295">
          <cell r="A2295">
            <v>8672</v>
          </cell>
        </row>
        <row r="2296">
          <cell r="A2296">
            <v>8673</v>
          </cell>
        </row>
        <row r="2297">
          <cell r="A2297">
            <v>8674</v>
          </cell>
        </row>
        <row r="2298">
          <cell r="A2298">
            <v>8675</v>
          </cell>
        </row>
        <row r="2299">
          <cell r="A2299">
            <v>8676</v>
          </cell>
        </row>
        <row r="2300">
          <cell r="A2300">
            <v>8677</v>
          </cell>
        </row>
        <row r="2301">
          <cell r="A2301">
            <v>8678</v>
          </cell>
        </row>
        <row r="2302">
          <cell r="A2302">
            <v>8679</v>
          </cell>
        </row>
        <row r="2303">
          <cell r="A2303">
            <v>8680</v>
          </cell>
        </row>
        <row r="2304">
          <cell r="A2304">
            <v>8681</v>
          </cell>
        </row>
        <row r="2305">
          <cell r="A2305">
            <v>8682</v>
          </cell>
        </row>
        <row r="2306">
          <cell r="A2306">
            <v>8683</v>
          </cell>
        </row>
        <row r="2307">
          <cell r="A2307">
            <v>8684</v>
          </cell>
        </row>
        <row r="2308">
          <cell r="A2308">
            <v>8685</v>
          </cell>
        </row>
        <row r="2309">
          <cell r="A2309">
            <v>8686</v>
          </cell>
        </row>
        <row r="2310">
          <cell r="A2310">
            <v>8691</v>
          </cell>
        </row>
        <row r="2311">
          <cell r="A2311">
            <v>8692</v>
          </cell>
        </row>
        <row r="2312">
          <cell r="A2312">
            <v>8693</v>
          </cell>
        </row>
        <row r="2313">
          <cell r="A2313">
            <v>8694</v>
          </cell>
        </row>
        <row r="2314">
          <cell r="A2314">
            <v>8695</v>
          </cell>
        </row>
        <row r="2315">
          <cell r="A2315">
            <v>8696</v>
          </cell>
        </row>
        <row r="2316">
          <cell r="A2316">
            <v>8697</v>
          </cell>
        </row>
        <row r="2317">
          <cell r="A2317">
            <v>8698</v>
          </cell>
        </row>
        <row r="2318">
          <cell r="A2318">
            <v>8699</v>
          </cell>
        </row>
        <row r="2319">
          <cell r="A2319">
            <v>8700</v>
          </cell>
        </row>
        <row r="2320">
          <cell r="A2320">
            <v>8701</v>
          </cell>
        </row>
        <row r="2321">
          <cell r="A2321">
            <v>8702</v>
          </cell>
        </row>
        <row r="2322">
          <cell r="A2322">
            <v>8703</v>
          </cell>
        </row>
        <row r="2323">
          <cell r="A2323">
            <v>8704</v>
          </cell>
        </row>
        <row r="2324">
          <cell r="A2324">
            <v>8705</v>
          </cell>
        </row>
        <row r="2325">
          <cell r="A2325">
            <v>8709</v>
          </cell>
        </row>
        <row r="2326">
          <cell r="A2326">
            <v>8710</v>
          </cell>
        </row>
        <row r="2327">
          <cell r="A2327">
            <v>8711</v>
          </cell>
        </row>
        <row r="2328">
          <cell r="A2328">
            <v>8712</v>
          </cell>
        </row>
        <row r="2329">
          <cell r="A2329">
            <v>8713</v>
          </cell>
        </row>
        <row r="2330">
          <cell r="A2330">
            <v>8714</v>
          </cell>
        </row>
        <row r="2331">
          <cell r="A2331">
            <v>8715</v>
          </cell>
        </row>
        <row r="2332">
          <cell r="A2332">
            <v>8716</v>
          </cell>
        </row>
        <row r="2333">
          <cell r="A2333">
            <v>8717</v>
          </cell>
        </row>
        <row r="2334">
          <cell r="A2334">
            <v>8718</v>
          </cell>
        </row>
        <row r="2335">
          <cell r="A2335">
            <v>8719</v>
          </cell>
        </row>
        <row r="2336">
          <cell r="A2336">
            <v>8720</v>
          </cell>
        </row>
        <row r="2337">
          <cell r="A2337">
            <v>8721</v>
          </cell>
        </row>
        <row r="2338">
          <cell r="A2338">
            <v>8722</v>
          </cell>
        </row>
        <row r="2339">
          <cell r="A2339">
            <v>8728</v>
          </cell>
        </row>
        <row r="2340">
          <cell r="A2340">
            <v>8729</v>
          </cell>
        </row>
        <row r="2341">
          <cell r="A2341">
            <v>8730</v>
          </cell>
        </row>
        <row r="2342">
          <cell r="A2342">
            <v>8731</v>
          </cell>
        </row>
        <row r="2343">
          <cell r="A2343">
            <v>8732</v>
          </cell>
        </row>
        <row r="2344">
          <cell r="A2344">
            <v>8733</v>
          </cell>
        </row>
        <row r="2345">
          <cell r="A2345">
            <v>8734</v>
          </cell>
        </row>
        <row r="2346">
          <cell r="A2346">
            <v>8735</v>
          </cell>
        </row>
        <row r="2347">
          <cell r="A2347">
            <v>8736</v>
          </cell>
        </row>
        <row r="2348">
          <cell r="A2348">
            <v>8737</v>
          </cell>
        </row>
        <row r="2349">
          <cell r="A2349">
            <v>8738</v>
          </cell>
        </row>
        <row r="2350">
          <cell r="A2350">
            <v>8739</v>
          </cell>
        </row>
        <row r="2351">
          <cell r="A2351">
            <v>8740</v>
          </cell>
        </row>
        <row r="2352">
          <cell r="A2352">
            <v>8741</v>
          </cell>
        </row>
        <row r="2353">
          <cell r="A2353">
            <v>8748</v>
          </cell>
        </row>
        <row r="2354">
          <cell r="A2354">
            <v>8749</v>
          </cell>
        </row>
        <row r="2355">
          <cell r="A2355">
            <v>8750</v>
          </cell>
        </row>
        <row r="2356">
          <cell r="A2356">
            <v>8751</v>
          </cell>
        </row>
        <row r="2357">
          <cell r="A2357">
            <v>8752</v>
          </cell>
        </row>
        <row r="2358">
          <cell r="A2358">
            <v>8753</v>
          </cell>
        </row>
        <row r="2359">
          <cell r="A2359">
            <v>8754</v>
          </cell>
        </row>
        <row r="2360">
          <cell r="A2360">
            <v>8755</v>
          </cell>
        </row>
        <row r="2361">
          <cell r="A2361">
            <v>8756</v>
          </cell>
        </row>
        <row r="2362">
          <cell r="A2362">
            <v>8757</v>
          </cell>
        </row>
        <row r="2363">
          <cell r="A2363">
            <v>8758</v>
          </cell>
        </row>
        <row r="2364">
          <cell r="A2364">
            <v>8759</v>
          </cell>
        </row>
        <row r="2365">
          <cell r="A2365">
            <v>8760.2199999999993</v>
          </cell>
        </row>
        <row r="2366">
          <cell r="A2366">
            <v>8761</v>
          </cell>
        </row>
        <row r="2367">
          <cell r="A2367">
            <v>8762</v>
          </cell>
        </row>
        <row r="2368">
          <cell r="A2368">
            <v>8769</v>
          </cell>
        </row>
        <row r="2369">
          <cell r="A2369">
            <v>8770</v>
          </cell>
        </row>
        <row r="2370">
          <cell r="A2370">
            <v>8771</v>
          </cell>
        </row>
        <row r="2371">
          <cell r="A2371">
            <v>8772</v>
          </cell>
        </row>
        <row r="2372">
          <cell r="A2372">
            <v>8773</v>
          </cell>
        </row>
        <row r="2373">
          <cell r="A2373">
            <v>8774</v>
          </cell>
        </row>
        <row r="2374">
          <cell r="A2374">
            <v>8775</v>
          </cell>
        </row>
        <row r="2375">
          <cell r="A2375">
            <v>8776</v>
          </cell>
        </row>
        <row r="2376">
          <cell r="A2376">
            <v>8777</v>
          </cell>
        </row>
        <row r="2377">
          <cell r="A2377">
            <v>8778</v>
          </cell>
        </row>
        <row r="2378">
          <cell r="A2378">
            <v>8779</v>
          </cell>
        </row>
        <row r="2379">
          <cell r="A2379">
            <v>8780</v>
          </cell>
        </row>
        <row r="2380">
          <cell r="A2380">
            <v>8781</v>
          </cell>
        </row>
        <row r="2381">
          <cell r="A2381">
            <v>8782</v>
          </cell>
        </row>
        <row r="2382">
          <cell r="A2382">
            <v>8787</v>
          </cell>
        </row>
        <row r="2383">
          <cell r="A2383">
            <v>8788</v>
          </cell>
        </row>
        <row r="2384">
          <cell r="A2384">
            <v>8789</v>
          </cell>
        </row>
        <row r="2385">
          <cell r="A2385">
            <v>8790</v>
          </cell>
        </row>
        <row r="2386">
          <cell r="A2386">
            <v>8791</v>
          </cell>
        </row>
        <row r="2387">
          <cell r="A2387">
            <v>8792</v>
          </cell>
        </row>
        <row r="2388">
          <cell r="A2388">
            <v>8793.2000000000007</v>
          </cell>
        </row>
        <row r="2389">
          <cell r="A2389">
            <v>8794</v>
          </cell>
        </row>
        <row r="2390">
          <cell r="A2390">
            <v>8795</v>
          </cell>
        </row>
        <row r="2391">
          <cell r="A2391">
            <v>8796</v>
          </cell>
        </row>
        <row r="2392">
          <cell r="A2392">
            <v>8797</v>
          </cell>
        </row>
        <row r="2393">
          <cell r="A2393">
            <v>8798</v>
          </cell>
        </row>
        <row r="2394">
          <cell r="A2394">
            <v>8799</v>
          </cell>
        </row>
        <row r="2395">
          <cell r="A2395">
            <v>8800</v>
          </cell>
        </row>
        <row r="2396">
          <cell r="A2396">
            <v>8801</v>
          </cell>
        </row>
        <row r="2397">
          <cell r="A2397">
            <v>8805</v>
          </cell>
        </row>
        <row r="2398">
          <cell r="A2398">
            <v>8806</v>
          </cell>
        </row>
        <row r="2399">
          <cell r="A2399">
            <v>8807</v>
          </cell>
        </row>
        <row r="2400">
          <cell r="A2400">
            <v>8808</v>
          </cell>
        </row>
        <row r="2401">
          <cell r="A2401">
            <v>8809</v>
          </cell>
        </row>
        <row r="2402">
          <cell r="A2402">
            <v>8810</v>
          </cell>
        </row>
        <row r="2403">
          <cell r="A2403">
            <v>8811</v>
          </cell>
        </row>
        <row r="2404">
          <cell r="A2404">
            <v>8812</v>
          </cell>
        </row>
        <row r="2405">
          <cell r="A2405">
            <v>8813</v>
          </cell>
        </row>
        <row r="2406">
          <cell r="A2406">
            <v>8814</v>
          </cell>
        </row>
        <row r="2407">
          <cell r="A2407">
            <v>8815</v>
          </cell>
        </row>
        <row r="2408">
          <cell r="A2408">
            <v>8816</v>
          </cell>
        </row>
        <row r="2409">
          <cell r="A2409">
            <v>8817</v>
          </cell>
        </row>
        <row r="2410">
          <cell r="A2410">
            <v>8818</v>
          </cell>
        </row>
        <row r="2411">
          <cell r="A2411">
            <v>8819</v>
          </cell>
        </row>
        <row r="2412">
          <cell r="A2412">
            <v>8826</v>
          </cell>
        </row>
        <row r="2413">
          <cell r="A2413">
            <v>8828</v>
          </cell>
        </row>
        <row r="2414">
          <cell r="A2414">
            <v>8829</v>
          </cell>
        </row>
        <row r="2415">
          <cell r="A2415">
            <v>8830</v>
          </cell>
        </row>
        <row r="2416">
          <cell r="A2416">
            <v>8831</v>
          </cell>
        </row>
        <row r="2417">
          <cell r="A2417">
            <v>8832</v>
          </cell>
        </row>
        <row r="2418">
          <cell r="A2418">
            <v>8833</v>
          </cell>
        </row>
        <row r="2419">
          <cell r="A2419">
            <v>8834</v>
          </cell>
        </row>
        <row r="2420">
          <cell r="A2420">
            <v>8835</v>
          </cell>
        </row>
        <row r="2421">
          <cell r="A2421">
            <v>8836</v>
          </cell>
        </row>
        <row r="2422">
          <cell r="A2422">
            <v>8837</v>
          </cell>
        </row>
        <row r="2423">
          <cell r="A2423">
            <v>8838</v>
          </cell>
        </row>
        <row r="2424">
          <cell r="A2424">
            <v>8845</v>
          </cell>
        </row>
        <row r="2425">
          <cell r="A2425">
            <v>8846</v>
          </cell>
        </row>
        <row r="2426">
          <cell r="A2426">
            <v>8847</v>
          </cell>
        </row>
        <row r="2427">
          <cell r="A2427">
            <v>8848</v>
          </cell>
        </row>
        <row r="2428">
          <cell r="A2428">
            <v>8849</v>
          </cell>
        </row>
        <row r="2429">
          <cell r="A2429">
            <v>8850</v>
          </cell>
        </row>
        <row r="2430">
          <cell r="A2430">
            <v>8851</v>
          </cell>
        </row>
        <row r="2431">
          <cell r="A2431">
            <v>8852</v>
          </cell>
        </row>
        <row r="2432">
          <cell r="A2432">
            <v>8853</v>
          </cell>
        </row>
        <row r="2433">
          <cell r="A2433">
            <v>8854</v>
          </cell>
        </row>
        <row r="2434">
          <cell r="A2434">
            <v>8855</v>
          </cell>
        </row>
        <row r="2435">
          <cell r="A2435">
            <v>8861</v>
          </cell>
        </row>
        <row r="2436">
          <cell r="A2436">
            <v>8862</v>
          </cell>
        </row>
        <row r="2437">
          <cell r="A2437">
            <v>8863</v>
          </cell>
        </row>
        <row r="2438">
          <cell r="A2438">
            <v>8864</v>
          </cell>
        </row>
        <row r="2439">
          <cell r="A2439">
            <v>8865</v>
          </cell>
        </row>
        <row r="2440">
          <cell r="A2440">
            <v>8866</v>
          </cell>
        </row>
        <row r="2441">
          <cell r="A2441">
            <v>8867</v>
          </cell>
        </row>
        <row r="2442">
          <cell r="A2442">
            <v>8872</v>
          </cell>
        </row>
        <row r="2443">
          <cell r="A2443">
            <v>8873</v>
          </cell>
        </row>
        <row r="2444">
          <cell r="A2444">
            <v>8874</v>
          </cell>
        </row>
        <row r="2445">
          <cell r="A2445">
            <v>8875</v>
          </cell>
        </row>
        <row r="2446">
          <cell r="A2446">
            <v>8876</v>
          </cell>
        </row>
        <row r="2447">
          <cell r="A2447">
            <v>8877</v>
          </cell>
        </row>
        <row r="2448">
          <cell r="A2448">
            <v>8878</v>
          </cell>
        </row>
        <row r="2449">
          <cell r="A2449">
            <v>8884</v>
          </cell>
        </row>
        <row r="2450">
          <cell r="A2450">
            <v>8885</v>
          </cell>
        </row>
        <row r="2451">
          <cell r="A2451">
            <v>8886</v>
          </cell>
        </row>
        <row r="2452">
          <cell r="A2452">
            <v>8887</v>
          </cell>
        </row>
        <row r="2453">
          <cell r="A2453">
            <v>8888</v>
          </cell>
        </row>
        <row r="2454">
          <cell r="A2454">
            <v>8889</v>
          </cell>
        </row>
        <row r="2455">
          <cell r="A2455">
            <v>8894</v>
          </cell>
        </row>
        <row r="2456">
          <cell r="A2456">
            <v>8895</v>
          </cell>
        </row>
        <row r="2457">
          <cell r="A2457">
            <v>8896</v>
          </cell>
        </row>
        <row r="2458">
          <cell r="A2458">
            <v>8897</v>
          </cell>
        </row>
        <row r="2459">
          <cell r="A2459">
            <v>8898</v>
          </cell>
        </row>
        <row r="2460">
          <cell r="A2460">
            <v>8905</v>
          </cell>
        </row>
        <row r="2461">
          <cell r="A2461">
            <v>8906</v>
          </cell>
        </row>
        <row r="2462">
          <cell r="A2462">
            <v>8907</v>
          </cell>
        </row>
        <row r="2463">
          <cell r="A2463">
            <v>8908</v>
          </cell>
        </row>
        <row r="2464">
          <cell r="A2464">
            <v>8909</v>
          </cell>
        </row>
        <row r="2465">
          <cell r="A2465">
            <v>8910</v>
          </cell>
        </row>
        <row r="2466">
          <cell r="A2466">
            <v>8911</v>
          </cell>
        </row>
        <row r="2467">
          <cell r="A2467">
            <v>8917</v>
          </cell>
        </row>
        <row r="2468">
          <cell r="A2468">
            <v>8918</v>
          </cell>
        </row>
        <row r="2469">
          <cell r="A2469">
            <v>8919</v>
          </cell>
        </row>
        <row r="2470">
          <cell r="A2470">
            <v>8920</v>
          </cell>
        </row>
        <row r="2471">
          <cell r="A2471">
            <v>8921</v>
          </cell>
        </row>
        <row r="2472">
          <cell r="A2472">
            <v>8922</v>
          </cell>
        </row>
        <row r="2473">
          <cell r="A2473">
            <v>8923</v>
          </cell>
        </row>
        <row r="2474">
          <cell r="A2474">
            <v>8924</v>
          </cell>
        </row>
        <row r="2475">
          <cell r="A2475">
            <v>8929</v>
          </cell>
        </row>
        <row r="2476">
          <cell r="A2476">
            <v>8930</v>
          </cell>
        </row>
        <row r="2477">
          <cell r="A2477">
            <v>8931</v>
          </cell>
        </row>
        <row r="2478">
          <cell r="A2478">
            <v>8932</v>
          </cell>
        </row>
        <row r="2479">
          <cell r="A2479">
            <v>8933</v>
          </cell>
        </row>
        <row r="2480">
          <cell r="A2480">
            <v>8934</v>
          </cell>
        </row>
        <row r="2481">
          <cell r="A2481">
            <v>8935</v>
          </cell>
        </row>
        <row r="2482">
          <cell r="A2482">
            <v>8936</v>
          </cell>
        </row>
        <row r="2483">
          <cell r="A2483">
            <v>8937</v>
          </cell>
        </row>
        <row r="2484">
          <cell r="A2484">
            <v>8938</v>
          </cell>
        </row>
        <row r="2485">
          <cell r="A2485">
            <v>8945</v>
          </cell>
        </row>
        <row r="2486">
          <cell r="A2486">
            <v>8946</v>
          </cell>
        </row>
        <row r="2487">
          <cell r="A2487">
            <v>8947</v>
          </cell>
        </row>
        <row r="2488">
          <cell r="A2488">
            <v>8948</v>
          </cell>
        </row>
        <row r="2489">
          <cell r="A2489">
            <v>8949</v>
          </cell>
        </row>
        <row r="2490">
          <cell r="A2490">
            <v>8950</v>
          </cell>
        </row>
        <row r="2491">
          <cell r="A2491">
            <v>8951</v>
          </cell>
        </row>
        <row r="2492">
          <cell r="A2492">
            <v>8952</v>
          </cell>
        </row>
        <row r="2493">
          <cell r="A2493">
            <v>8953</v>
          </cell>
        </row>
        <row r="2494">
          <cell r="A2494">
            <v>8954</v>
          </cell>
        </row>
        <row r="2495">
          <cell r="A2495">
            <v>8955</v>
          </cell>
        </row>
        <row r="2496">
          <cell r="A2496">
            <v>8956</v>
          </cell>
        </row>
        <row r="2497">
          <cell r="A2497">
            <v>8957</v>
          </cell>
        </row>
        <row r="2498">
          <cell r="A2498">
            <v>8958</v>
          </cell>
        </row>
        <row r="2499">
          <cell r="A2499">
            <v>8959</v>
          </cell>
        </row>
        <row r="2500">
          <cell r="A2500">
            <v>8960</v>
          </cell>
        </row>
        <row r="2501">
          <cell r="A2501">
            <v>8961</v>
          </cell>
        </row>
        <row r="2502">
          <cell r="A2502">
            <v>8966</v>
          </cell>
        </row>
        <row r="2503">
          <cell r="A2503">
            <v>8967</v>
          </cell>
        </row>
        <row r="2504">
          <cell r="A2504">
            <v>8968</v>
          </cell>
        </row>
        <row r="2505">
          <cell r="A2505">
            <v>8969</v>
          </cell>
        </row>
        <row r="2506">
          <cell r="A2506">
            <v>8970</v>
          </cell>
        </row>
        <row r="2507">
          <cell r="A2507">
            <v>8971</v>
          </cell>
        </row>
        <row r="2508">
          <cell r="A2508">
            <v>8972</v>
          </cell>
        </row>
        <row r="2509">
          <cell r="A2509">
            <v>8973</v>
          </cell>
        </row>
        <row r="2510">
          <cell r="A2510">
            <v>8974</v>
          </cell>
        </row>
        <row r="2511">
          <cell r="A2511">
            <v>8975</v>
          </cell>
        </row>
        <row r="2512">
          <cell r="A2512">
            <v>8976</v>
          </cell>
        </row>
        <row r="2513">
          <cell r="A2513">
            <v>8977</v>
          </cell>
        </row>
        <row r="2514">
          <cell r="A2514">
            <v>8978</v>
          </cell>
        </row>
        <row r="2515">
          <cell r="A2515">
            <v>8979</v>
          </cell>
        </row>
        <row r="2516">
          <cell r="A2516">
            <v>8980</v>
          </cell>
        </row>
        <row r="2517">
          <cell r="A2517">
            <v>8981</v>
          </cell>
        </row>
        <row r="2518">
          <cell r="A2518">
            <v>8982</v>
          </cell>
        </row>
        <row r="2519">
          <cell r="A2519">
            <v>8983</v>
          </cell>
        </row>
        <row r="2520">
          <cell r="A2520">
            <v>8989</v>
          </cell>
        </row>
        <row r="2521">
          <cell r="A2521">
            <v>8990</v>
          </cell>
        </row>
        <row r="2522">
          <cell r="A2522">
            <v>8991</v>
          </cell>
        </row>
        <row r="2523">
          <cell r="A2523">
            <v>8992</v>
          </cell>
        </row>
        <row r="2524">
          <cell r="A2524">
            <v>8993</v>
          </cell>
        </row>
        <row r="2525">
          <cell r="A2525">
            <v>8994</v>
          </cell>
        </row>
        <row r="2526">
          <cell r="A2526">
            <v>8995</v>
          </cell>
        </row>
        <row r="2527">
          <cell r="A2527">
            <v>8996</v>
          </cell>
        </row>
        <row r="2528">
          <cell r="A2528">
            <v>8997</v>
          </cell>
        </row>
        <row r="2529">
          <cell r="A2529">
            <v>8998</v>
          </cell>
        </row>
        <row r="2530">
          <cell r="A2530">
            <v>8999</v>
          </cell>
        </row>
        <row r="2531">
          <cell r="A2531">
            <v>9000</v>
          </cell>
        </row>
        <row r="2532">
          <cell r="A2532">
            <v>9001</v>
          </cell>
        </row>
        <row r="2533">
          <cell r="A2533">
            <v>9002</v>
          </cell>
        </row>
        <row r="2534">
          <cell r="A2534">
            <v>9003</v>
          </cell>
        </row>
        <row r="2535">
          <cell r="A2535">
            <v>9004</v>
          </cell>
        </row>
        <row r="2536">
          <cell r="A2536">
            <v>9005</v>
          </cell>
        </row>
        <row r="2537">
          <cell r="A2537">
            <v>9013</v>
          </cell>
        </row>
        <row r="2538">
          <cell r="A2538">
            <v>9014.2000000000007</v>
          </cell>
        </row>
        <row r="2539">
          <cell r="A2539">
            <v>9015</v>
          </cell>
        </row>
        <row r="2540">
          <cell r="A2540">
            <v>9016</v>
          </cell>
        </row>
        <row r="2541">
          <cell r="A2541">
            <v>9017</v>
          </cell>
        </row>
        <row r="2542">
          <cell r="A2542">
            <v>9018</v>
          </cell>
        </row>
        <row r="2543">
          <cell r="A2543">
            <v>9019</v>
          </cell>
        </row>
        <row r="2544">
          <cell r="A2544">
            <v>9020</v>
          </cell>
        </row>
        <row r="2545">
          <cell r="A2545">
            <v>9021</v>
          </cell>
        </row>
        <row r="2546">
          <cell r="A2546">
            <v>9022</v>
          </cell>
        </row>
        <row r="2547">
          <cell r="A2547">
            <v>9023</v>
          </cell>
        </row>
        <row r="2548">
          <cell r="A2548">
            <v>9024</v>
          </cell>
        </row>
        <row r="2549">
          <cell r="A2549">
            <v>9025</v>
          </cell>
        </row>
        <row r="2550">
          <cell r="A2550">
            <v>9026</v>
          </cell>
        </row>
        <row r="2551">
          <cell r="A2551">
            <v>9027</v>
          </cell>
        </row>
        <row r="2552">
          <cell r="A2552">
            <v>9034</v>
          </cell>
        </row>
        <row r="2553">
          <cell r="A2553">
            <v>9035</v>
          </cell>
        </row>
        <row r="2554">
          <cell r="A2554">
            <v>9036</v>
          </cell>
        </row>
        <row r="2555">
          <cell r="A2555">
            <v>9037</v>
          </cell>
        </row>
        <row r="2556">
          <cell r="A2556">
            <v>9038</v>
          </cell>
        </row>
        <row r="2557">
          <cell r="A2557">
            <v>9039</v>
          </cell>
        </row>
        <row r="2558">
          <cell r="A2558">
            <v>9040</v>
          </cell>
        </row>
        <row r="2559">
          <cell r="A2559">
            <v>9041</v>
          </cell>
        </row>
        <row r="2560">
          <cell r="A2560">
            <v>9042</v>
          </cell>
        </row>
        <row r="2561">
          <cell r="A2561">
            <v>9043</v>
          </cell>
        </row>
        <row r="2562">
          <cell r="A2562">
            <v>9044</v>
          </cell>
        </row>
        <row r="2563">
          <cell r="A2563">
            <v>9045</v>
          </cell>
        </row>
        <row r="2564">
          <cell r="A2564">
            <v>9046</v>
          </cell>
        </row>
        <row r="2565">
          <cell r="A2565">
            <v>9047</v>
          </cell>
        </row>
        <row r="2566">
          <cell r="A2566">
            <v>9057</v>
          </cell>
        </row>
        <row r="2567">
          <cell r="A2567">
            <v>9058</v>
          </cell>
        </row>
        <row r="2568">
          <cell r="A2568">
            <v>9059</v>
          </cell>
        </row>
        <row r="2569">
          <cell r="A2569">
            <v>9060</v>
          </cell>
        </row>
        <row r="2570">
          <cell r="A2570">
            <v>9061</v>
          </cell>
        </row>
        <row r="2571">
          <cell r="A2571">
            <v>9062</v>
          </cell>
        </row>
        <row r="2572">
          <cell r="A2572">
            <v>9063</v>
          </cell>
        </row>
        <row r="2573">
          <cell r="A2573">
            <v>9064</v>
          </cell>
        </row>
        <row r="2574">
          <cell r="A2574">
            <v>9065</v>
          </cell>
        </row>
        <row r="2575">
          <cell r="A2575">
            <v>9066</v>
          </cell>
        </row>
        <row r="2576">
          <cell r="A2576">
            <v>9067</v>
          </cell>
        </row>
        <row r="2577">
          <cell r="A2577">
            <v>9078</v>
          </cell>
        </row>
        <row r="2578">
          <cell r="A2578">
            <v>9079</v>
          </cell>
        </row>
        <row r="2579">
          <cell r="A2579">
            <v>9080</v>
          </cell>
        </row>
        <row r="2580">
          <cell r="A2580">
            <v>9081</v>
          </cell>
        </row>
        <row r="2581">
          <cell r="A2581">
            <v>9082</v>
          </cell>
        </row>
        <row r="2582">
          <cell r="A2582">
            <v>9083</v>
          </cell>
        </row>
        <row r="2583">
          <cell r="A2583">
            <v>9084</v>
          </cell>
        </row>
        <row r="2584">
          <cell r="A2584">
            <v>9085</v>
          </cell>
        </row>
        <row r="2585">
          <cell r="A2585">
            <v>9086</v>
          </cell>
        </row>
        <row r="2586">
          <cell r="A2586">
            <v>9089</v>
          </cell>
        </row>
        <row r="2587">
          <cell r="A2587">
            <v>9096</v>
          </cell>
        </row>
        <row r="2588">
          <cell r="A2588">
            <v>9097</v>
          </cell>
        </row>
        <row r="2589">
          <cell r="A2589">
            <v>9098</v>
          </cell>
        </row>
        <row r="2590">
          <cell r="A2590">
            <v>9099</v>
          </cell>
        </row>
        <row r="2591">
          <cell r="A2591">
            <v>9100</v>
          </cell>
        </row>
        <row r="2592">
          <cell r="A2592">
            <v>9101</v>
          </cell>
        </row>
        <row r="2593">
          <cell r="A2593">
            <v>9102</v>
          </cell>
        </row>
        <row r="2594">
          <cell r="A2594">
            <v>9103</v>
          </cell>
        </row>
        <row r="2595">
          <cell r="A2595">
            <v>9104</v>
          </cell>
        </row>
        <row r="2596">
          <cell r="A2596">
            <v>9107</v>
          </cell>
        </row>
        <row r="2597">
          <cell r="A2597">
            <v>9115</v>
          </cell>
        </row>
        <row r="2598">
          <cell r="A2598">
            <v>9116</v>
          </cell>
        </row>
        <row r="2599">
          <cell r="A2599">
            <v>9117</v>
          </cell>
        </row>
        <row r="2600">
          <cell r="A2600">
            <v>9118</v>
          </cell>
        </row>
        <row r="2601">
          <cell r="A2601">
            <v>9119</v>
          </cell>
        </row>
        <row r="2602">
          <cell r="A2602">
            <v>9121</v>
          </cell>
        </row>
        <row r="2603">
          <cell r="A2603">
            <v>9123</v>
          </cell>
        </row>
        <row r="2604">
          <cell r="A2604">
            <v>9124</v>
          </cell>
        </row>
        <row r="2605">
          <cell r="A2605">
            <v>9134</v>
          </cell>
        </row>
        <row r="2606">
          <cell r="A2606">
            <v>9135</v>
          </cell>
        </row>
        <row r="2607">
          <cell r="A2607">
            <v>9137</v>
          </cell>
        </row>
        <row r="2608">
          <cell r="A2608">
            <v>9138</v>
          </cell>
        </row>
        <row r="2609">
          <cell r="A2609">
            <v>9139</v>
          </cell>
        </row>
        <row r="2610">
          <cell r="A2610">
            <v>9140</v>
          </cell>
        </row>
        <row r="2611">
          <cell r="A2611">
            <v>9147</v>
          </cell>
        </row>
        <row r="2612">
          <cell r="A2612">
            <v>9148</v>
          </cell>
        </row>
        <row r="2613">
          <cell r="A2613">
            <v>9149</v>
          </cell>
        </row>
        <row r="2614">
          <cell r="A2614">
            <v>9150</v>
          </cell>
        </row>
        <row r="2615">
          <cell r="A2615">
            <v>9151</v>
          </cell>
        </row>
        <row r="2616">
          <cell r="A2616">
            <v>9152</v>
          </cell>
        </row>
        <row r="2617">
          <cell r="A2617">
            <v>9158</v>
          </cell>
        </row>
        <row r="2618">
          <cell r="A2618">
            <v>9159</v>
          </cell>
        </row>
        <row r="2619">
          <cell r="A2619">
            <v>9160</v>
          </cell>
        </row>
        <row r="2620">
          <cell r="A2620">
            <v>9161</v>
          </cell>
        </row>
        <row r="2621">
          <cell r="A2621">
            <v>9162</v>
          </cell>
        </row>
        <row r="2622">
          <cell r="A2622">
            <v>9194</v>
          </cell>
        </row>
        <row r="2623">
          <cell r="A2623">
            <v>9195</v>
          </cell>
        </row>
        <row r="2624">
          <cell r="A2624">
            <v>9200</v>
          </cell>
        </row>
        <row r="2625">
          <cell r="A2625">
            <v>9201</v>
          </cell>
        </row>
        <row r="2626">
          <cell r="A2626">
            <v>9202</v>
          </cell>
        </row>
        <row r="2627">
          <cell r="A2627">
            <v>9207</v>
          </cell>
        </row>
        <row r="2628">
          <cell r="A2628">
            <v>9208</v>
          </cell>
        </row>
        <row r="2629">
          <cell r="A2629">
            <v>9213</v>
          </cell>
        </row>
        <row r="2630">
          <cell r="A2630">
            <v>9214</v>
          </cell>
        </row>
        <row r="2631">
          <cell r="A2631">
            <v>9215</v>
          </cell>
        </row>
        <row r="2632">
          <cell r="A2632">
            <v>9216</v>
          </cell>
        </row>
        <row r="2633">
          <cell r="A2633">
            <v>9217</v>
          </cell>
        </row>
        <row r="2634">
          <cell r="A2634">
            <v>9221</v>
          </cell>
        </row>
        <row r="2635">
          <cell r="A2635">
            <v>9222</v>
          </cell>
        </row>
        <row r="2636">
          <cell r="A2636">
            <v>9223</v>
          </cell>
        </row>
        <row r="2637">
          <cell r="A2637">
            <v>9224</v>
          </cell>
        </row>
        <row r="2638">
          <cell r="A2638">
            <v>9225</v>
          </cell>
        </row>
        <row r="2639">
          <cell r="A2639">
            <v>9226</v>
          </cell>
        </row>
        <row r="2640">
          <cell r="A2640">
            <v>9230</v>
          </cell>
        </row>
        <row r="2641">
          <cell r="A2641">
            <v>9231</v>
          </cell>
        </row>
        <row r="2642">
          <cell r="A2642">
            <v>9232</v>
          </cell>
        </row>
        <row r="2643">
          <cell r="A2643">
            <v>9233</v>
          </cell>
        </row>
        <row r="2644">
          <cell r="A2644">
            <v>9234</v>
          </cell>
        </row>
        <row r="2645">
          <cell r="A2645">
            <v>9240</v>
          </cell>
        </row>
        <row r="2646">
          <cell r="A2646">
            <v>9242</v>
          </cell>
        </row>
        <row r="2647">
          <cell r="A2647">
            <v>9243</v>
          </cell>
        </row>
        <row r="2648">
          <cell r="A2648">
            <v>9251</v>
          </cell>
        </row>
        <row r="2649">
          <cell r="A2649">
            <v>9252</v>
          </cell>
        </row>
        <row r="2650">
          <cell r="A2650">
            <v>9253</v>
          </cell>
        </row>
        <row r="2651">
          <cell r="A2651">
            <v>9262</v>
          </cell>
        </row>
        <row r="2652">
          <cell r="A2652">
            <v>9263</v>
          </cell>
        </row>
        <row r="2653">
          <cell r="A2653">
            <v>9264</v>
          </cell>
        </row>
        <row r="2654">
          <cell r="A2654">
            <v>9265</v>
          </cell>
        </row>
        <row r="2655">
          <cell r="A2655">
            <v>10001</v>
          </cell>
        </row>
        <row r="2656">
          <cell r="A2656">
            <v>10002</v>
          </cell>
        </row>
        <row r="2657">
          <cell r="A2657">
            <v>10003</v>
          </cell>
        </row>
        <row r="2658">
          <cell r="A2658">
            <v>10004</v>
          </cell>
        </row>
        <row r="2659">
          <cell r="A2659">
            <v>10005</v>
          </cell>
        </row>
        <row r="2660">
          <cell r="A2660">
            <v>10006</v>
          </cell>
        </row>
        <row r="2661">
          <cell r="A2661">
            <v>10007</v>
          </cell>
        </row>
        <row r="2662">
          <cell r="A2662">
            <v>10008</v>
          </cell>
        </row>
        <row r="2663">
          <cell r="A2663">
            <v>10009</v>
          </cell>
        </row>
        <row r="2664">
          <cell r="A2664">
            <v>10010</v>
          </cell>
        </row>
        <row r="2665">
          <cell r="A2665">
            <v>10011</v>
          </cell>
        </row>
        <row r="2666">
          <cell r="A2666">
            <v>10012</v>
          </cell>
        </row>
        <row r="2667">
          <cell r="A2667">
            <v>10013</v>
          </cell>
        </row>
        <row r="2668">
          <cell r="A2668">
            <v>10014</v>
          </cell>
        </row>
        <row r="2669">
          <cell r="A2669">
            <v>10015</v>
          </cell>
        </row>
        <row r="2670">
          <cell r="A2670">
            <v>10017</v>
          </cell>
        </row>
        <row r="2671">
          <cell r="A2671">
            <v>10018</v>
          </cell>
        </row>
        <row r="2672">
          <cell r="A2672">
            <v>10019</v>
          </cell>
        </row>
        <row r="2673">
          <cell r="A2673">
            <v>10020</v>
          </cell>
        </row>
        <row r="2674">
          <cell r="A2674">
            <v>10021</v>
          </cell>
        </row>
        <row r="2675">
          <cell r="A2675">
            <v>10022</v>
          </cell>
        </row>
        <row r="2676">
          <cell r="A2676">
            <v>10023</v>
          </cell>
        </row>
        <row r="2677">
          <cell r="A2677">
            <v>10024</v>
          </cell>
        </row>
        <row r="2678">
          <cell r="A2678">
            <v>10025</v>
          </cell>
        </row>
        <row r="2679">
          <cell r="A2679">
            <v>10026</v>
          </cell>
        </row>
        <row r="2680">
          <cell r="A2680">
            <v>10027</v>
          </cell>
        </row>
        <row r="2681">
          <cell r="A2681">
            <v>10028</v>
          </cell>
        </row>
        <row r="2682">
          <cell r="A2682">
            <v>10029</v>
          </cell>
        </row>
        <row r="2683">
          <cell r="A2683">
            <v>10032</v>
          </cell>
        </row>
        <row r="2684">
          <cell r="A2684">
            <v>10033</v>
          </cell>
        </row>
        <row r="2685">
          <cell r="A2685">
            <v>10034</v>
          </cell>
        </row>
        <row r="2686">
          <cell r="A2686">
            <v>10035</v>
          </cell>
        </row>
        <row r="2687">
          <cell r="A2687">
            <v>10036</v>
          </cell>
        </row>
        <row r="2688">
          <cell r="A2688">
            <v>10037</v>
          </cell>
        </row>
        <row r="2689">
          <cell r="A2689">
            <v>10038</v>
          </cell>
        </row>
        <row r="2690">
          <cell r="A2690">
            <v>10039</v>
          </cell>
        </row>
        <row r="2691">
          <cell r="A2691">
            <v>10040</v>
          </cell>
        </row>
        <row r="2692">
          <cell r="A2692">
            <v>10041</v>
          </cell>
        </row>
        <row r="2693">
          <cell r="A2693">
            <v>10042</v>
          </cell>
        </row>
        <row r="2694">
          <cell r="A2694">
            <v>10043</v>
          </cell>
        </row>
        <row r="2695">
          <cell r="A2695">
            <v>10044</v>
          </cell>
        </row>
        <row r="2696">
          <cell r="A2696">
            <v>10047</v>
          </cell>
        </row>
        <row r="2697">
          <cell r="A2697">
            <v>10048</v>
          </cell>
        </row>
        <row r="2698">
          <cell r="A2698">
            <v>10049</v>
          </cell>
        </row>
        <row r="2699">
          <cell r="A2699">
            <v>10050</v>
          </cell>
        </row>
        <row r="2700">
          <cell r="A2700">
            <v>10051</v>
          </cell>
        </row>
        <row r="2701">
          <cell r="A2701">
            <v>10052</v>
          </cell>
        </row>
        <row r="2702">
          <cell r="A2702">
            <v>10053.219999999999</v>
          </cell>
        </row>
        <row r="2703">
          <cell r="A2703">
            <v>10054</v>
          </cell>
        </row>
        <row r="2704">
          <cell r="A2704">
            <v>10055</v>
          </cell>
        </row>
        <row r="2705">
          <cell r="A2705">
            <v>10056</v>
          </cell>
        </row>
        <row r="2706">
          <cell r="A2706">
            <v>10057</v>
          </cell>
        </row>
        <row r="2707">
          <cell r="A2707">
            <v>10058</v>
          </cell>
        </row>
        <row r="2708">
          <cell r="A2708">
            <v>10059</v>
          </cell>
        </row>
        <row r="2709">
          <cell r="A2709">
            <v>10062</v>
          </cell>
        </row>
        <row r="2710">
          <cell r="A2710">
            <v>10063</v>
          </cell>
        </row>
        <row r="2711">
          <cell r="A2711">
            <v>10064</v>
          </cell>
        </row>
        <row r="2712">
          <cell r="A2712">
            <v>10065</v>
          </cell>
        </row>
        <row r="2713">
          <cell r="A2713">
            <v>10066</v>
          </cell>
        </row>
        <row r="2714">
          <cell r="A2714">
            <v>10067</v>
          </cell>
        </row>
        <row r="2715">
          <cell r="A2715">
            <v>10068</v>
          </cell>
        </row>
        <row r="2716">
          <cell r="A2716">
            <v>10069</v>
          </cell>
        </row>
        <row r="2717">
          <cell r="A2717">
            <v>10073</v>
          </cell>
        </row>
        <row r="2718">
          <cell r="A2718">
            <v>10074</v>
          </cell>
        </row>
        <row r="2719">
          <cell r="A2719">
            <v>10075</v>
          </cell>
        </row>
        <row r="2720">
          <cell r="A2720">
            <v>10076</v>
          </cell>
        </row>
        <row r="2721">
          <cell r="A2721">
            <v>10077</v>
          </cell>
        </row>
        <row r="2722">
          <cell r="A2722">
            <v>10078</v>
          </cell>
        </row>
        <row r="2723">
          <cell r="A2723">
            <v>10079</v>
          </cell>
        </row>
        <row r="2724">
          <cell r="A2724">
            <v>10080</v>
          </cell>
        </row>
        <row r="2725">
          <cell r="A2725">
            <v>10081</v>
          </cell>
        </row>
        <row r="2726">
          <cell r="A2726">
            <v>10084</v>
          </cell>
        </row>
        <row r="2727">
          <cell r="A2727">
            <v>10085</v>
          </cell>
        </row>
        <row r="2728">
          <cell r="A2728">
            <v>10086</v>
          </cell>
        </row>
        <row r="2729">
          <cell r="A2729">
            <v>10087</v>
          </cell>
        </row>
        <row r="2730">
          <cell r="A2730">
            <v>10088</v>
          </cell>
        </row>
        <row r="2731">
          <cell r="A2731">
            <v>10089</v>
          </cell>
        </row>
        <row r="2732">
          <cell r="A2732">
            <v>10090</v>
          </cell>
        </row>
        <row r="2733">
          <cell r="A2733">
            <v>10091</v>
          </cell>
        </row>
        <row r="2734">
          <cell r="A2734">
            <v>10095</v>
          </cell>
        </row>
        <row r="2735">
          <cell r="A2735">
            <v>10096</v>
          </cell>
        </row>
        <row r="2736">
          <cell r="A2736">
            <v>10097</v>
          </cell>
        </row>
        <row r="2737">
          <cell r="A2737">
            <v>10098</v>
          </cell>
        </row>
        <row r="2738">
          <cell r="A2738">
            <v>10099</v>
          </cell>
        </row>
        <row r="2739">
          <cell r="A2739">
            <v>10100</v>
          </cell>
        </row>
        <row r="2740">
          <cell r="A2740">
            <v>10110</v>
          </cell>
        </row>
        <row r="2741">
          <cell r="A2741">
            <v>10111</v>
          </cell>
        </row>
        <row r="2742">
          <cell r="A2742">
            <v>10112</v>
          </cell>
        </row>
        <row r="2743">
          <cell r="A2743">
            <v>10113</v>
          </cell>
        </row>
        <row r="2744">
          <cell r="A2744">
            <v>10114</v>
          </cell>
        </row>
        <row r="2745">
          <cell r="A2745">
            <v>10115</v>
          </cell>
        </row>
        <row r="2746">
          <cell r="A2746">
            <v>10116</v>
          </cell>
        </row>
        <row r="2747">
          <cell r="A2747">
            <v>10117</v>
          </cell>
        </row>
        <row r="2748">
          <cell r="A2748">
            <v>10118</v>
          </cell>
        </row>
        <row r="2749">
          <cell r="A2749">
            <v>10119</v>
          </cell>
        </row>
        <row r="2750">
          <cell r="A2750">
            <v>10120</v>
          </cell>
        </row>
        <row r="2751">
          <cell r="A2751">
            <v>10121</v>
          </cell>
        </row>
        <row r="2752">
          <cell r="A2752">
            <v>10122</v>
          </cell>
        </row>
        <row r="2753">
          <cell r="A2753">
            <v>10123</v>
          </cell>
        </row>
        <row r="2754">
          <cell r="A2754">
            <v>10124</v>
          </cell>
        </row>
        <row r="2755">
          <cell r="A2755">
            <v>10125</v>
          </cell>
        </row>
        <row r="2756">
          <cell r="A2756">
            <v>10126</v>
          </cell>
        </row>
        <row r="2757">
          <cell r="A2757">
            <v>10134</v>
          </cell>
        </row>
        <row r="2758">
          <cell r="A2758">
            <v>10135</v>
          </cell>
        </row>
        <row r="2759">
          <cell r="A2759">
            <v>10136</v>
          </cell>
        </row>
        <row r="2760">
          <cell r="A2760">
            <v>10137</v>
          </cell>
        </row>
        <row r="2761">
          <cell r="A2761">
            <v>10138</v>
          </cell>
        </row>
        <row r="2762">
          <cell r="A2762">
            <v>10139</v>
          </cell>
        </row>
        <row r="2763">
          <cell r="A2763">
            <v>10140</v>
          </cell>
        </row>
        <row r="2764">
          <cell r="A2764">
            <v>10141</v>
          </cell>
        </row>
        <row r="2765">
          <cell r="A2765">
            <v>10142</v>
          </cell>
        </row>
        <row r="2766">
          <cell r="A2766">
            <v>10143</v>
          </cell>
        </row>
        <row r="2767">
          <cell r="A2767">
            <v>10144</v>
          </cell>
        </row>
        <row r="2768">
          <cell r="A2768">
            <v>10145</v>
          </cell>
        </row>
        <row r="2769">
          <cell r="A2769">
            <v>10146</v>
          </cell>
        </row>
        <row r="2770">
          <cell r="A2770">
            <v>10147</v>
          </cell>
        </row>
        <row r="2771">
          <cell r="A2771">
            <v>10148</v>
          </cell>
        </row>
        <row r="2772">
          <cell r="A2772">
            <v>10149</v>
          </cell>
        </row>
        <row r="2773">
          <cell r="A2773">
            <v>10150</v>
          </cell>
        </row>
        <row r="2774">
          <cell r="A2774">
            <v>10157</v>
          </cell>
        </row>
        <row r="2775">
          <cell r="A2775">
            <v>10158</v>
          </cell>
        </row>
        <row r="2776">
          <cell r="A2776">
            <v>10159</v>
          </cell>
        </row>
        <row r="2777">
          <cell r="A2777">
            <v>10160</v>
          </cell>
        </row>
        <row r="2778">
          <cell r="A2778">
            <v>10161</v>
          </cell>
        </row>
        <row r="2779">
          <cell r="A2779">
            <v>10162</v>
          </cell>
        </row>
        <row r="2780">
          <cell r="A2780">
            <v>10163.200000000001</v>
          </cell>
        </row>
        <row r="2781">
          <cell r="A2781">
            <v>10164</v>
          </cell>
        </row>
        <row r="2782">
          <cell r="A2782">
            <v>10165</v>
          </cell>
        </row>
        <row r="2783">
          <cell r="A2783">
            <v>10166</v>
          </cell>
        </row>
        <row r="2784">
          <cell r="A2784">
            <v>10167</v>
          </cell>
        </row>
        <row r="2785">
          <cell r="A2785">
            <v>10176</v>
          </cell>
        </row>
        <row r="2786">
          <cell r="A2786">
            <v>10177</v>
          </cell>
        </row>
        <row r="2787">
          <cell r="A2787">
            <v>10178</v>
          </cell>
        </row>
        <row r="2788">
          <cell r="A2788">
            <v>10179</v>
          </cell>
        </row>
        <row r="2789">
          <cell r="A2789">
            <v>10180</v>
          </cell>
        </row>
        <row r="2790">
          <cell r="A2790">
            <v>10181</v>
          </cell>
        </row>
        <row r="2791">
          <cell r="A2791">
            <v>10182</v>
          </cell>
        </row>
        <row r="2792">
          <cell r="A2792">
            <v>10183</v>
          </cell>
        </row>
        <row r="2793">
          <cell r="A2793">
            <v>10184</v>
          </cell>
        </row>
        <row r="2794">
          <cell r="A2794">
            <v>10185</v>
          </cell>
        </row>
        <row r="2795">
          <cell r="A2795">
            <v>10186</v>
          </cell>
        </row>
        <row r="2796">
          <cell r="A2796">
            <v>10187</v>
          </cell>
        </row>
        <row r="2797">
          <cell r="A2797">
            <v>10194</v>
          </cell>
        </row>
        <row r="2798">
          <cell r="A2798">
            <v>10501</v>
          </cell>
        </row>
        <row r="2799">
          <cell r="A2799">
            <v>10502</v>
          </cell>
        </row>
        <row r="2800">
          <cell r="A2800">
            <v>10503</v>
          </cell>
        </row>
        <row r="2801">
          <cell r="A2801">
            <v>10504</v>
          </cell>
        </row>
        <row r="2802">
          <cell r="A2802">
            <v>10505</v>
          </cell>
        </row>
        <row r="2803">
          <cell r="A2803">
            <v>10509</v>
          </cell>
        </row>
        <row r="2804">
          <cell r="A2804">
            <v>10510</v>
          </cell>
        </row>
        <row r="2805">
          <cell r="A2805">
            <v>10514</v>
          </cell>
        </row>
        <row r="2806">
          <cell r="A2806">
            <v>10515</v>
          </cell>
        </row>
        <row r="2807">
          <cell r="A2807">
            <v>10516</v>
          </cell>
        </row>
        <row r="2808">
          <cell r="A2808">
            <v>10517</v>
          </cell>
        </row>
        <row r="2809">
          <cell r="A2809">
            <v>10518</v>
          </cell>
        </row>
        <row r="2810">
          <cell r="A2810">
            <v>10522</v>
          </cell>
        </row>
        <row r="2811">
          <cell r="A2811">
            <v>10523</v>
          </cell>
        </row>
        <row r="2812">
          <cell r="A2812">
            <v>10524</v>
          </cell>
        </row>
        <row r="2813">
          <cell r="A2813">
            <v>10525</v>
          </cell>
        </row>
        <row r="2814">
          <cell r="A2814">
            <v>10530</v>
          </cell>
        </row>
        <row r="2815">
          <cell r="A2815">
            <v>10531</v>
          </cell>
        </row>
        <row r="2816">
          <cell r="A2816">
            <v>10532</v>
          </cell>
        </row>
        <row r="2817">
          <cell r="A2817">
            <v>10533</v>
          </cell>
        </row>
        <row r="2818">
          <cell r="A2818">
            <v>10534</v>
          </cell>
        </row>
        <row r="2819">
          <cell r="A2819">
            <v>10535</v>
          </cell>
        </row>
        <row r="2820">
          <cell r="A2820">
            <v>10539</v>
          </cell>
        </row>
        <row r="2821">
          <cell r="A2821">
            <v>10540</v>
          </cell>
        </row>
        <row r="2822">
          <cell r="A2822">
            <v>10541</v>
          </cell>
        </row>
        <row r="2823">
          <cell r="A2823">
            <v>10542</v>
          </cell>
        </row>
        <row r="2824">
          <cell r="A2824">
            <v>10546</v>
          </cell>
        </row>
        <row r="2825">
          <cell r="A2825">
            <v>10547</v>
          </cell>
        </row>
        <row r="2826">
          <cell r="A2826">
            <v>10548</v>
          </cell>
        </row>
        <row r="2827">
          <cell r="A2827">
            <v>10549</v>
          </cell>
        </row>
        <row r="2828">
          <cell r="A2828">
            <v>10550</v>
          </cell>
        </row>
        <row r="2829">
          <cell r="A2829">
            <v>10551</v>
          </cell>
        </row>
        <row r="2830">
          <cell r="A2830">
            <v>10552</v>
          </cell>
        </row>
        <row r="2831">
          <cell r="A2831">
            <v>10559</v>
          </cell>
        </row>
        <row r="2832">
          <cell r="A2832">
            <v>10560</v>
          </cell>
        </row>
        <row r="2833">
          <cell r="A2833">
            <v>10561</v>
          </cell>
        </row>
        <row r="2834">
          <cell r="A2834">
            <v>10571</v>
          </cell>
        </row>
        <row r="2835">
          <cell r="A2835">
            <v>10572</v>
          </cell>
        </row>
        <row r="2836">
          <cell r="A2836">
            <v>10573</v>
          </cell>
        </row>
        <row r="2837">
          <cell r="A2837">
            <v>10574</v>
          </cell>
        </row>
        <row r="2838">
          <cell r="A2838">
            <v>10575</v>
          </cell>
        </row>
        <row r="2839">
          <cell r="A2839">
            <v>10584</v>
          </cell>
        </row>
        <row r="2840">
          <cell r="A2840">
            <v>10585</v>
          </cell>
        </row>
        <row r="2841">
          <cell r="A2841">
            <v>10586</v>
          </cell>
        </row>
        <row r="2842">
          <cell r="A2842">
            <v>10596</v>
          </cell>
        </row>
        <row r="2843">
          <cell r="A2843">
            <v>10597</v>
          </cell>
        </row>
        <row r="2844">
          <cell r="A2844">
            <v>10598</v>
          </cell>
        </row>
        <row r="2845">
          <cell r="A2845">
            <v>10599</v>
          </cell>
        </row>
        <row r="2846">
          <cell r="A2846">
            <v>10613</v>
          </cell>
        </row>
        <row r="2847">
          <cell r="A2847">
            <v>10614</v>
          </cell>
        </row>
        <row r="2848">
          <cell r="A2848">
            <v>10709</v>
          </cell>
        </row>
        <row r="2849">
          <cell r="A2849">
            <v>10712</v>
          </cell>
        </row>
        <row r="2850">
          <cell r="A2850">
            <v>10720</v>
          </cell>
        </row>
        <row r="2851">
          <cell r="A2851">
            <v>10732</v>
          </cell>
        </row>
        <row r="2852">
          <cell r="A2852">
            <v>10737</v>
          </cell>
        </row>
        <row r="2853">
          <cell r="A2853">
            <v>10746</v>
          </cell>
        </row>
        <row r="2854">
          <cell r="A2854">
            <v>10747</v>
          </cell>
        </row>
        <row r="2855">
          <cell r="A2855">
            <v>10748</v>
          </cell>
        </row>
        <row r="2856">
          <cell r="A2856">
            <v>10749</v>
          </cell>
        </row>
        <row r="2857">
          <cell r="A2857">
            <v>10750</v>
          </cell>
        </row>
        <row r="2858">
          <cell r="A2858">
            <v>10756</v>
          </cell>
        </row>
        <row r="2859">
          <cell r="A2859">
            <v>10757</v>
          </cell>
        </row>
        <row r="2860">
          <cell r="A2860">
            <v>10758</v>
          </cell>
        </row>
        <row r="2861">
          <cell r="A2861">
            <v>10807</v>
          </cell>
        </row>
        <row r="2862">
          <cell r="A2862">
            <v>10808</v>
          </cell>
        </row>
        <row r="2863">
          <cell r="A2863">
            <v>10809</v>
          </cell>
        </row>
        <row r="2864">
          <cell r="A2864">
            <v>10872</v>
          </cell>
        </row>
        <row r="2865">
          <cell r="A2865">
            <v>11200</v>
          </cell>
        </row>
        <row r="2866">
          <cell r="A2866">
            <v>11201</v>
          </cell>
        </row>
        <row r="2867">
          <cell r="A2867">
            <v>11202</v>
          </cell>
        </row>
        <row r="2868">
          <cell r="A2868">
            <v>11205</v>
          </cell>
        </row>
        <row r="2869">
          <cell r="A2869">
            <v>11206</v>
          </cell>
        </row>
        <row r="2870">
          <cell r="A2870">
            <v>11207</v>
          </cell>
        </row>
        <row r="2871">
          <cell r="A2871">
            <v>11208</v>
          </cell>
        </row>
        <row r="2872">
          <cell r="A2872">
            <v>11209</v>
          </cell>
        </row>
        <row r="2873">
          <cell r="A2873">
            <v>11210</v>
          </cell>
        </row>
        <row r="2874">
          <cell r="A2874">
            <v>11213</v>
          </cell>
        </row>
        <row r="2875">
          <cell r="A2875">
            <v>11214</v>
          </cell>
        </row>
        <row r="2876">
          <cell r="A2876">
            <v>11234</v>
          </cell>
        </row>
        <row r="2877">
          <cell r="A2877">
            <v>11235</v>
          </cell>
        </row>
        <row r="2878">
          <cell r="A2878">
            <v>11236</v>
          </cell>
        </row>
        <row r="2879">
          <cell r="A2879">
            <v>11237</v>
          </cell>
        </row>
        <row r="2880">
          <cell r="A2880">
            <v>11238</v>
          </cell>
        </row>
        <row r="2881">
          <cell r="A2881">
            <v>11239</v>
          </cell>
        </row>
        <row r="2882">
          <cell r="A2882">
            <v>11240</v>
          </cell>
        </row>
        <row r="2883">
          <cell r="A2883">
            <v>11241</v>
          </cell>
        </row>
        <row r="2884">
          <cell r="A2884">
            <v>11242</v>
          </cell>
        </row>
        <row r="2885">
          <cell r="A2885">
            <v>11243</v>
          </cell>
        </row>
        <row r="2886">
          <cell r="A2886">
            <v>11244</v>
          </cell>
        </row>
        <row r="2887">
          <cell r="A2887">
            <v>11245</v>
          </cell>
        </row>
        <row r="2888">
          <cell r="A2888">
            <v>11246</v>
          </cell>
        </row>
        <row r="2889">
          <cell r="A2889">
            <v>11247</v>
          </cell>
        </row>
        <row r="2890">
          <cell r="A2890">
            <v>11248</v>
          </cell>
        </row>
        <row r="2891">
          <cell r="A2891">
            <v>11249</v>
          </cell>
        </row>
        <row r="2892">
          <cell r="A2892">
            <v>11250</v>
          </cell>
        </row>
        <row r="2893">
          <cell r="A2893">
            <v>11253</v>
          </cell>
        </row>
        <row r="2894">
          <cell r="A2894">
            <v>11254</v>
          </cell>
        </row>
        <row r="2895">
          <cell r="A2895">
            <v>11255</v>
          </cell>
        </row>
        <row r="2896">
          <cell r="A2896">
            <v>11256</v>
          </cell>
        </row>
        <row r="2897">
          <cell r="A2897">
            <v>11257</v>
          </cell>
        </row>
        <row r="2898">
          <cell r="A2898">
            <v>11258</v>
          </cell>
        </row>
        <row r="2899">
          <cell r="A2899">
            <v>11259</v>
          </cell>
        </row>
        <row r="2900">
          <cell r="A2900">
            <v>11260</v>
          </cell>
        </row>
        <row r="2901">
          <cell r="A2901">
            <v>11261</v>
          </cell>
        </row>
        <row r="2902">
          <cell r="A2902">
            <v>11264</v>
          </cell>
        </row>
        <row r="2903">
          <cell r="A2903">
            <v>11265</v>
          </cell>
        </row>
        <row r="2904">
          <cell r="A2904">
            <v>11266</v>
          </cell>
        </row>
        <row r="2905">
          <cell r="A2905">
            <v>11267</v>
          </cell>
        </row>
        <row r="2906">
          <cell r="A2906">
            <v>11268</v>
          </cell>
        </row>
        <row r="2907">
          <cell r="A2907">
            <v>11269</v>
          </cell>
        </row>
        <row r="2908">
          <cell r="A2908">
            <v>11270</v>
          </cell>
        </row>
        <row r="2909">
          <cell r="A2909">
            <v>11271</v>
          </cell>
        </row>
        <row r="2910">
          <cell r="A2910">
            <v>11272</v>
          </cell>
        </row>
        <row r="2911">
          <cell r="A2911">
            <v>11274</v>
          </cell>
        </row>
        <row r="2912">
          <cell r="A2912">
            <v>11275</v>
          </cell>
        </row>
        <row r="2913">
          <cell r="A2913">
            <v>11277</v>
          </cell>
        </row>
        <row r="2914">
          <cell r="A2914">
            <v>11278</v>
          </cell>
        </row>
        <row r="2915">
          <cell r="A2915">
            <v>11279</v>
          </cell>
        </row>
        <row r="2916">
          <cell r="A2916">
            <v>11280</v>
          </cell>
        </row>
        <row r="2917">
          <cell r="A2917">
            <v>11281</v>
          </cell>
        </row>
        <row r="2918">
          <cell r="A2918">
            <v>11282</v>
          </cell>
        </row>
        <row r="2919">
          <cell r="A2919">
            <v>11283</v>
          </cell>
        </row>
        <row r="2920">
          <cell r="A2920">
            <v>11284</v>
          </cell>
        </row>
        <row r="2921">
          <cell r="A2921">
            <v>11286</v>
          </cell>
        </row>
        <row r="2922">
          <cell r="A2922">
            <v>11287</v>
          </cell>
        </row>
        <row r="2923">
          <cell r="A2923">
            <v>11288</v>
          </cell>
        </row>
        <row r="2924">
          <cell r="A2924">
            <v>11289</v>
          </cell>
        </row>
        <row r="2925">
          <cell r="A2925">
            <v>11290</v>
          </cell>
        </row>
        <row r="2926">
          <cell r="A2926">
            <v>11291</v>
          </cell>
        </row>
        <row r="2927">
          <cell r="A2927">
            <v>11292</v>
          </cell>
        </row>
        <row r="2928">
          <cell r="A2928">
            <v>11293</v>
          </cell>
        </row>
        <row r="2929">
          <cell r="A2929">
            <v>11294</v>
          </cell>
        </row>
        <row r="2930">
          <cell r="A2930">
            <v>11295</v>
          </cell>
        </row>
        <row r="2931">
          <cell r="A2931">
            <v>11296</v>
          </cell>
        </row>
        <row r="2932">
          <cell r="A2932">
            <v>11297</v>
          </cell>
        </row>
        <row r="2933">
          <cell r="A2933">
            <v>11298</v>
          </cell>
        </row>
        <row r="2934">
          <cell r="A2934">
            <v>11299</v>
          </cell>
        </row>
        <row r="2935">
          <cell r="A2935">
            <v>11300</v>
          </cell>
        </row>
        <row r="2936">
          <cell r="A2936">
            <v>11301</v>
          </cell>
        </row>
        <row r="2937">
          <cell r="A2937">
            <v>11302</v>
          </cell>
        </row>
        <row r="2938">
          <cell r="A2938">
            <v>11303</v>
          </cell>
        </row>
        <row r="2939">
          <cell r="A2939">
            <v>11304</v>
          </cell>
        </row>
        <row r="2940">
          <cell r="A2940">
            <v>11305</v>
          </cell>
        </row>
        <row r="2941">
          <cell r="A2941">
            <v>11306</v>
          </cell>
        </row>
        <row r="2942">
          <cell r="A2942">
            <v>11307</v>
          </cell>
        </row>
        <row r="2943">
          <cell r="A2943">
            <v>11308</v>
          </cell>
        </row>
        <row r="2944">
          <cell r="A2944">
            <v>11309</v>
          </cell>
        </row>
        <row r="2945">
          <cell r="A2945">
            <v>11310</v>
          </cell>
        </row>
        <row r="2946">
          <cell r="A2946">
            <v>11311</v>
          </cell>
        </row>
        <row r="2947">
          <cell r="A2947">
            <v>11312</v>
          </cell>
        </row>
        <row r="2948">
          <cell r="A2948">
            <v>11313</v>
          </cell>
        </row>
        <row r="2949">
          <cell r="A2949">
            <v>11314</v>
          </cell>
        </row>
        <row r="2950">
          <cell r="A2950">
            <v>11315</v>
          </cell>
        </row>
        <row r="2951">
          <cell r="A2951">
            <v>11316</v>
          </cell>
        </row>
        <row r="2952">
          <cell r="A2952">
            <v>11317</v>
          </cell>
        </row>
        <row r="2953">
          <cell r="A2953">
            <v>11318</v>
          </cell>
        </row>
        <row r="2954">
          <cell r="A2954">
            <v>11319</v>
          </cell>
        </row>
        <row r="2955">
          <cell r="A2955">
            <v>11320</v>
          </cell>
        </row>
        <row r="2956">
          <cell r="A2956">
            <v>11321</v>
          </cell>
        </row>
        <row r="2957">
          <cell r="A2957">
            <v>11322</v>
          </cell>
        </row>
        <row r="2958">
          <cell r="A2958">
            <v>11324</v>
          </cell>
        </row>
        <row r="2959">
          <cell r="A2959">
            <v>11501</v>
          </cell>
        </row>
        <row r="2960">
          <cell r="A2960">
            <v>11504</v>
          </cell>
        </row>
        <row r="2961">
          <cell r="A2961">
            <v>11506</v>
          </cell>
        </row>
        <row r="2962">
          <cell r="A2962">
            <v>11507</v>
          </cell>
        </row>
        <row r="2963">
          <cell r="A2963">
            <v>11508</v>
          </cell>
        </row>
        <row r="2964">
          <cell r="A2964">
            <v>11509</v>
          </cell>
        </row>
        <row r="2965">
          <cell r="A2965">
            <v>11511</v>
          </cell>
        </row>
        <row r="2966">
          <cell r="A2966">
            <v>11512.2</v>
          </cell>
        </row>
        <row r="2967">
          <cell r="A2967">
            <v>11513</v>
          </cell>
        </row>
        <row r="2968">
          <cell r="A2968">
            <v>11515</v>
          </cell>
        </row>
        <row r="2969">
          <cell r="A2969">
            <v>11516</v>
          </cell>
        </row>
        <row r="2970">
          <cell r="A2970">
            <v>11517</v>
          </cell>
        </row>
        <row r="2971">
          <cell r="A2971">
            <v>11518</v>
          </cell>
        </row>
        <row r="2972">
          <cell r="A2972">
            <v>11519</v>
          </cell>
        </row>
        <row r="2973">
          <cell r="A2973">
            <v>11520</v>
          </cell>
        </row>
        <row r="2974">
          <cell r="A2974">
            <v>11521</v>
          </cell>
        </row>
        <row r="2975">
          <cell r="A2975">
            <v>11522</v>
          </cell>
        </row>
        <row r="2976">
          <cell r="A2976">
            <v>11523</v>
          </cell>
        </row>
        <row r="2977">
          <cell r="A2977">
            <v>11524</v>
          </cell>
        </row>
        <row r="2978">
          <cell r="A2978">
            <v>11525</v>
          </cell>
        </row>
        <row r="2979">
          <cell r="A2979">
            <v>11526</v>
          </cell>
        </row>
        <row r="2980">
          <cell r="A2980">
            <v>11527</v>
          </cell>
        </row>
        <row r="2981">
          <cell r="A2981">
            <v>11528</v>
          </cell>
        </row>
        <row r="2982">
          <cell r="A2982">
            <v>11529</v>
          </cell>
        </row>
        <row r="2983">
          <cell r="A2983">
            <v>11530</v>
          </cell>
        </row>
        <row r="2984">
          <cell r="A2984">
            <v>11531</v>
          </cell>
        </row>
        <row r="2985">
          <cell r="A2985">
            <v>11533</v>
          </cell>
        </row>
        <row r="2986">
          <cell r="A2986">
            <v>11534</v>
          </cell>
        </row>
        <row r="2987">
          <cell r="A2987">
            <v>11535</v>
          </cell>
        </row>
        <row r="2988">
          <cell r="A2988">
            <v>11536</v>
          </cell>
        </row>
        <row r="2989">
          <cell r="A2989">
            <v>11537</v>
          </cell>
        </row>
        <row r="2990">
          <cell r="A2990">
            <v>11538</v>
          </cell>
        </row>
        <row r="2991">
          <cell r="A2991">
            <v>11539</v>
          </cell>
        </row>
        <row r="2992">
          <cell r="A2992">
            <v>11540</v>
          </cell>
        </row>
        <row r="2993">
          <cell r="A2993">
            <v>11541</v>
          </cell>
        </row>
        <row r="2994">
          <cell r="A2994">
            <v>11542</v>
          </cell>
        </row>
        <row r="2995">
          <cell r="A2995">
            <v>11543</v>
          </cell>
        </row>
        <row r="2996">
          <cell r="A2996">
            <v>11545</v>
          </cell>
        </row>
        <row r="2997">
          <cell r="A2997">
            <v>11547</v>
          </cell>
        </row>
        <row r="2998">
          <cell r="A2998">
            <v>11549</v>
          </cell>
        </row>
        <row r="2999">
          <cell r="A2999">
            <v>11550</v>
          </cell>
        </row>
        <row r="3000">
          <cell r="A3000">
            <v>11551</v>
          </cell>
        </row>
        <row r="3001">
          <cell r="A3001">
            <v>11552</v>
          </cell>
        </row>
        <row r="3002">
          <cell r="A3002">
            <v>11553</v>
          </cell>
        </row>
        <row r="3003">
          <cell r="A3003">
            <v>20009</v>
          </cell>
        </row>
        <row r="3004">
          <cell r="A3004">
            <v>20021</v>
          </cell>
        </row>
        <row r="3005">
          <cell r="A3005">
            <v>20023</v>
          </cell>
        </row>
        <row r="3006">
          <cell r="A3006">
            <v>20029</v>
          </cell>
        </row>
        <row r="3007">
          <cell r="A3007">
            <v>20033</v>
          </cell>
        </row>
        <row r="3008">
          <cell r="A3008">
            <v>20037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словарь"/>
      <sheetName val="доп.потери"/>
      <sheetName val="извл и нерентаб."/>
      <sheetName val="база"/>
      <sheetName val="время"/>
      <sheetName val="февраль"/>
      <sheetName val="база-п "/>
      <sheetName val="Краснолен."/>
      <sheetName val="Фонд с"/>
      <sheetName val="Движение фонда расчет"/>
      <sheetName val="Лист1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</v>
          </cell>
          <cell r="W2" t="str">
            <v>ВЦ КОПС,рев.НВ-44</v>
          </cell>
          <cell r="AD2">
            <v>37569</v>
          </cell>
          <cell r="AE2">
            <v>37582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  <cell r="AD3">
            <v>37571</v>
          </cell>
          <cell r="AE3">
            <v>37590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  <cell r="AD4">
            <v>37571</v>
          </cell>
          <cell r="AE4">
            <v>37585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T5">
            <v>37601</v>
          </cell>
          <cell r="U5" t="str">
            <v>ВВ</v>
          </cell>
          <cell r="W5" t="str">
            <v>ВЦ,ВЗ,ДП ЮК-10</v>
          </cell>
          <cell r="AD5">
            <v>37558</v>
          </cell>
          <cell r="AE5">
            <v>37594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  <cell r="AD6">
            <v>37554</v>
          </cell>
          <cell r="AE6">
            <v>37583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  <cell r="AD7">
            <v>37595</v>
          </cell>
          <cell r="AE7">
            <v>37609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  <cell r="AD8">
            <v>37585</v>
          </cell>
          <cell r="AE8">
            <v>37605</v>
          </cell>
        </row>
        <row r="9">
          <cell r="B9">
            <v>2753</v>
          </cell>
          <cell r="C9">
            <v>145</v>
          </cell>
          <cell r="F9" t="str">
            <v>БлУНП</v>
          </cell>
          <cell r="G9">
            <v>280</v>
          </cell>
          <cell r="H9" t="str">
            <v>ЭЦН</v>
          </cell>
          <cell r="I9" t="str">
            <v>бд</v>
          </cell>
          <cell r="J9">
            <v>33056</v>
          </cell>
          <cell r="K9">
            <v>0</v>
          </cell>
          <cell r="L9">
            <v>0</v>
          </cell>
          <cell r="M9">
            <v>0</v>
          </cell>
          <cell r="N9">
            <v>80</v>
          </cell>
          <cell r="O9">
            <v>6.5</v>
          </cell>
          <cell r="P9">
            <v>90</v>
          </cell>
          <cell r="Q9">
            <v>80</v>
          </cell>
          <cell r="R9">
            <v>6.5</v>
          </cell>
          <cell r="S9">
            <v>90</v>
          </cell>
          <cell r="T9">
            <v>37628</v>
          </cell>
          <cell r="U9" t="str">
            <v>ЛА</v>
          </cell>
          <cell r="W9" t="str">
            <v>ВЦ, ВЗ(Г/Ж)</v>
          </cell>
          <cell r="AD9">
            <v>37602</v>
          </cell>
          <cell r="AE9">
            <v>37621</v>
          </cell>
        </row>
        <row r="10">
          <cell r="B10">
            <v>2917</v>
          </cell>
          <cell r="C10">
            <v>43</v>
          </cell>
          <cell r="F10" t="str">
            <v>БлУНП</v>
          </cell>
          <cell r="G10">
            <v>275</v>
          </cell>
          <cell r="H10" t="str">
            <v>ЭЦН</v>
          </cell>
          <cell r="I10" t="str">
            <v>конс.</v>
          </cell>
          <cell r="J10">
            <v>34029</v>
          </cell>
          <cell r="K10">
            <v>0</v>
          </cell>
          <cell r="L10">
            <v>0</v>
          </cell>
          <cell r="M10">
            <v>0</v>
          </cell>
          <cell r="N10">
            <v>30</v>
          </cell>
          <cell r="O10">
            <v>9.8000000000000007</v>
          </cell>
          <cell r="P10">
            <v>60</v>
          </cell>
          <cell r="Q10">
            <v>30</v>
          </cell>
          <cell r="R10">
            <v>9.8000000000000007</v>
          </cell>
          <cell r="S10">
            <v>59.7</v>
          </cell>
          <cell r="T10">
            <v>37608</v>
          </cell>
          <cell r="U10" t="str">
            <v>ВЦ</v>
          </cell>
          <cell r="W10" t="str">
            <v>ВЦ,ВЗ ГЖ,пм Н-57/Э-30</v>
          </cell>
          <cell r="AD10">
            <v>37584</v>
          </cell>
          <cell r="AE10">
            <v>37601</v>
          </cell>
        </row>
        <row r="11">
          <cell r="B11">
            <v>2880</v>
          </cell>
          <cell r="C11">
            <v>127</v>
          </cell>
          <cell r="F11" t="str">
            <v>УПНП</v>
          </cell>
          <cell r="G11">
            <v>260</v>
          </cell>
          <cell r="H11" t="str">
            <v>ЭЦН</v>
          </cell>
          <cell r="I11" t="str">
            <v>бд</v>
          </cell>
          <cell r="J11">
            <v>36019</v>
          </cell>
          <cell r="K11">
            <v>0</v>
          </cell>
          <cell r="L11">
            <v>0</v>
          </cell>
          <cell r="M11">
            <v>0</v>
          </cell>
          <cell r="N11">
            <v>80</v>
          </cell>
          <cell r="O11">
            <v>16.3</v>
          </cell>
          <cell r="P11">
            <v>75</v>
          </cell>
          <cell r="Q11">
            <v>80</v>
          </cell>
          <cell r="R11">
            <v>16.3</v>
          </cell>
          <cell r="S11">
            <v>74.8</v>
          </cell>
          <cell r="T11">
            <v>37592</v>
          </cell>
          <cell r="U11" t="str">
            <v>ЛА</v>
          </cell>
          <cell r="W11" t="str">
            <v xml:space="preserve">ЛА,ОТСК,ПП,сп.Э-80 </v>
          </cell>
          <cell r="AD11">
            <v>37572</v>
          </cell>
          <cell r="AE11">
            <v>37585</v>
          </cell>
        </row>
        <row r="12">
          <cell r="B12">
            <v>2863</v>
          </cell>
          <cell r="C12">
            <v>131</v>
          </cell>
          <cell r="F12" t="str">
            <v>УПНП</v>
          </cell>
          <cell r="G12">
            <v>265</v>
          </cell>
          <cell r="H12" t="str">
            <v>ЭЦН</v>
          </cell>
          <cell r="I12" t="str">
            <v>бд</v>
          </cell>
          <cell r="J12">
            <v>33635</v>
          </cell>
          <cell r="K12">
            <v>0</v>
          </cell>
          <cell r="L12">
            <v>0</v>
          </cell>
          <cell r="M12">
            <v>0</v>
          </cell>
          <cell r="N12">
            <v>50</v>
          </cell>
          <cell r="O12">
            <v>12.2</v>
          </cell>
          <cell r="P12">
            <v>70</v>
          </cell>
          <cell r="Q12">
            <v>50</v>
          </cell>
          <cell r="R12">
            <v>12.2</v>
          </cell>
          <cell r="S12">
            <v>69.900000000000006</v>
          </cell>
          <cell r="T12">
            <v>37613</v>
          </cell>
          <cell r="U12" t="str">
            <v>ЛА</v>
          </cell>
          <cell r="W12" t="str">
            <v>ЛА. ПП, ОПЗ</v>
          </cell>
          <cell r="AD12">
            <v>37586</v>
          </cell>
          <cell r="AE12">
            <v>37606</v>
          </cell>
        </row>
        <row r="13">
          <cell r="B13">
            <v>5650</v>
          </cell>
          <cell r="C13">
            <v>124</v>
          </cell>
          <cell r="F13" t="str">
            <v>УПНП</v>
          </cell>
          <cell r="G13">
            <v>260</v>
          </cell>
          <cell r="H13" t="str">
            <v>ЭЦН</v>
          </cell>
          <cell r="I13" t="str">
            <v>конс.</v>
          </cell>
          <cell r="J13">
            <v>35433</v>
          </cell>
          <cell r="K13">
            <v>0</v>
          </cell>
          <cell r="L13">
            <v>0</v>
          </cell>
          <cell r="M13">
            <v>0</v>
          </cell>
          <cell r="N13">
            <v>80</v>
          </cell>
          <cell r="O13">
            <v>6.5</v>
          </cell>
          <cell r="P13">
            <v>90</v>
          </cell>
          <cell r="Q13">
            <v>80</v>
          </cell>
          <cell r="R13">
            <v>6.5</v>
          </cell>
          <cell r="S13">
            <v>90</v>
          </cell>
          <cell r="T13">
            <v>37607</v>
          </cell>
          <cell r="U13" t="str">
            <v>ВВ</v>
          </cell>
          <cell r="W13" t="str">
            <v>ВЦ,ПП,ДП,ОПЗ,сп.Э-80</v>
          </cell>
          <cell r="AD13">
            <v>37591</v>
          </cell>
          <cell r="AE13">
            <v>37600</v>
          </cell>
        </row>
        <row r="14">
          <cell r="B14">
            <v>5596</v>
          </cell>
          <cell r="C14">
            <v>120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33583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8.1999999999999993</v>
          </cell>
          <cell r="P14">
            <v>80</v>
          </cell>
          <cell r="Q14">
            <v>50</v>
          </cell>
          <cell r="R14">
            <v>8.1999999999999993</v>
          </cell>
          <cell r="S14">
            <v>79.8</v>
          </cell>
          <cell r="T14">
            <v>37611</v>
          </cell>
          <cell r="U14" t="str">
            <v>ВЦ</v>
          </cell>
          <cell r="W14" t="str">
            <v>ВЦ,ПП ЮК-10,сп Э-50</v>
          </cell>
          <cell r="AD14">
            <v>37584</v>
          </cell>
          <cell r="AE14">
            <v>37604</v>
          </cell>
        </row>
        <row r="15">
          <cell r="B15">
            <v>5848</v>
          </cell>
          <cell r="C15">
            <v>168</v>
          </cell>
          <cell r="F15" t="str">
            <v>УПНП</v>
          </cell>
          <cell r="G15">
            <v>280</v>
          </cell>
          <cell r="H15" t="str">
            <v>ЭЦН</v>
          </cell>
          <cell r="I15" t="str">
            <v>бд</v>
          </cell>
          <cell r="J15">
            <v>35733</v>
          </cell>
          <cell r="K15">
            <v>0</v>
          </cell>
          <cell r="L15">
            <v>0</v>
          </cell>
          <cell r="M15">
            <v>0</v>
          </cell>
          <cell r="N15">
            <v>24</v>
          </cell>
          <cell r="O15">
            <v>12.1</v>
          </cell>
          <cell r="P15">
            <v>38</v>
          </cell>
          <cell r="Q15">
            <v>24</v>
          </cell>
          <cell r="R15">
            <v>12.1</v>
          </cell>
          <cell r="S15">
            <v>37.799999999999997</v>
          </cell>
          <cell r="T15">
            <v>37596</v>
          </cell>
          <cell r="U15" t="str">
            <v>ВЦ</v>
          </cell>
          <cell r="W15" t="str">
            <v>ВЦ, ПП, ОПЗ сп Э-30</v>
          </cell>
          <cell r="AD15">
            <v>37570</v>
          </cell>
          <cell r="AE15">
            <v>37589</v>
          </cell>
        </row>
        <row r="16">
          <cell r="B16">
            <v>2693</v>
          </cell>
          <cell r="C16">
            <v>161</v>
          </cell>
          <cell r="F16" t="str">
            <v>УПНП</v>
          </cell>
          <cell r="G16">
            <v>250</v>
          </cell>
          <cell r="H16" t="str">
            <v>ЭЦН</v>
          </cell>
          <cell r="I16" t="str">
            <v>конс.</v>
          </cell>
          <cell r="J16">
            <v>34274</v>
          </cell>
          <cell r="K16">
            <v>0</v>
          </cell>
          <cell r="L16">
            <v>0</v>
          </cell>
          <cell r="M16">
            <v>0</v>
          </cell>
          <cell r="N16">
            <v>30</v>
          </cell>
          <cell r="O16">
            <v>12.2</v>
          </cell>
          <cell r="P16">
            <v>50</v>
          </cell>
          <cell r="Q16">
            <v>30</v>
          </cell>
          <cell r="R16">
            <v>12.2</v>
          </cell>
          <cell r="S16">
            <v>49.8</v>
          </cell>
          <cell r="T16">
            <v>37627</v>
          </cell>
          <cell r="U16" t="str">
            <v>ВВ</v>
          </cell>
          <cell r="W16" t="str">
            <v>ВЦ, ВЗ, ДП сп Э-30</v>
          </cell>
          <cell r="AD16">
            <v>37590</v>
          </cell>
          <cell r="AE16">
            <v>37620</v>
          </cell>
        </row>
        <row r="17">
          <cell r="B17">
            <v>5825</v>
          </cell>
          <cell r="C17">
            <v>142</v>
          </cell>
          <cell r="F17" t="str">
            <v>УПНП</v>
          </cell>
          <cell r="G17">
            <v>275</v>
          </cell>
          <cell r="H17" t="str">
            <v>ШГН</v>
          </cell>
          <cell r="I17" t="str">
            <v>конс.</v>
          </cell>
          <cell r="J17">
            <v>33420</v>
          </cell>
          <cell r="K17">
            <v>0</v>
          </cell>
          <cell r="L17">
            <v>0</v>
          </cell>
          <cell r="M17">
            <v>0</v>
          </cell>
          <cell r="N17">
            <v>15</v>
          </cell>
          <cell r="O17">
            <v>7.9</v>
          </cell>
          <cell r="P17">
            <v>35</v>
          </cell>
          <cell r="Q17">
            <v>15</v>
          </cell>
          <cell r="R17">
            <v>7.9</v>
          </cell>
          <cell r="S17">
            <v>35</v>
          </cell>
          <cell r="T17">
            <v>37621</v>
          </cell>
          <cell r="U17" t="str">
            <v>ВЦ</v>
          </cell>
          <cell r="W17" t="str">
            <v>ВЦ.ВЗ,ПП</v>
          </cell>
          <cell r="AD17">
            <v>37594</v>
          </cell>
          <cell r="AE17">
            <v>37614</v>
          </cell>
        </row>
        <row r="18">
          <cell r="B18">
            <v>5435</v>
          </cell>
          <cell r="C18">
            <v>106</v>
          </cell>
          <cell r="F18" t="str">
            <v>УПНП</v>
          </cell>
          <cell r="G18">
            <v>275</v>
          </cell>
          <cell r="H18" t="str">
            <v>ЭЦН</v>
          </cell>
          <cell r="I18" t="str">
            <v>бд</v>
          </cell>
          <cell r="J18">
            <v>34790</v>
          </cell>
          <cell r="K18">
            <v>0</v>
          </cell>
          <cell r="L18">
            <v>0</v>
          </cell>
          <cell r="M18">
            <v>0</v>
          </cell>
          <cell r="N18">
            <v>30</v>
          </cell>
          <cell r="O18">
            <v>12.2</v>
          </cell>
          <cell r="P18">
            <v>50</v>
          </cell>
          <cell r="Q18">
            <v>30</v>
          </cell>
          <cell r="R18">
            <v>12.2</v>
          </cell>
          <cell r="S18">
            <v>49.8</v>
          </cell>
          <cell r="T18">
            <v>37601</v>
          </cell>
          <cell r="U18" t="str">
            <v>ЛА</v>
          </cell>
          <cell r="W18" t="str">
            <v>ЛА(извл.НКТ),ВЗ,ПП,ГДИ,сп.Э-30</v>
          </cell>
          <cell r="AD18">
            <v>37574</v>
          </cell>
          <cell r="AE18">
            <v>37594</v>
          </cell>
        </row>
        <row r="19">
          <cell r="B19">
            <v>2787</v>
          </cell>
          <cell r="C19">
            <v>145</v>
          </cell>
          <cell r="F19" t="str">
            <v>УПНП</v>
          </cell>
          <cell r="G19">
            <v>275</v>
          </cell>
          <cell r="H19" t="str">
            <v>ШГН</v>
          </cell>
          <cell r="I19" t="str">
            <v>действ.</v>
          </cell>
          <cell r="J19">
            <v>37561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  <cell r="U19" t="str">
            <v>ВЦ</v>
          </cell>
          <cell r="W19" t="str">
            <v>ВЦ</v>
          </cell>
        </row>
        <row r="20">
          <cell r="B20">
            <v>3447</v>
          </cell>
          <cell r="C20">
            <v>92</v>
          </cell>
          <cell r="F20" t="str">
            <v>УПНП</v>
          </cell>
          <cell r="G20">
            <v>240</v>
          </cell>
          <cell r="H20" t="str">
            <v>фон</v>
          </cell>
          <cell r="I20" t="str">
            <v>конс.</v>
          </cell>
          <cell r="J20">
            <v>34060</v>
          </cell>
          <cell r="K20">
            <v>0</v>
          </cell>
          <cell r="L20">
            <v>0</v>
          </cell>
          <cell r="M20">
            <v>0</v>
          </cell>
          <cell r="N20">
            <v>12</v>
          </cell>
          <cell r="O20">
            <v>7.9</v>
          </cell>
          <cell r="P20">
            <v>18.899999999999999</v>
          </cell>
          <cell r="Q20">
            <v>12</v>
          </cell>
          <cell r="R20">
            <v>7.9</v>
          </cell>
          <cell r="S20">
            <v>18.7</v>
          </cell>
          <cell r="T20">
            <v>7</v>
          </cell>
        </row>
        <row r="21">
          <cell r="B21">
            <v>5291</v>
          </cell>
          <cell r="C21">
            <v>134</v>
          </cell>
          <cell r="F21" t="str">
            <v>УПНП</v>
          </cell>
          <cell r="G21">
            <v>220</v>
          </cell>
          <cell r="H21" t="str">
            <v>ЭЦН</v>
          </cell>
          <cell r="I21" t="str">
            <v>действ.</v>
          </cell>
          <cell r="J21">
            <v>37561</v>
          </cell>
          <cell r="K21">
            <v>0</v>
          </cell>
          <cell r="L21">
            <v>0</v>
          </cell>
          <cell r="M21">
            <v>0</v>
          </cell>
          <cell r="N21">
            <v>15</v>
          </cell>
          <cell r="O21">
            <v>9.3000000000000007</v>
          </cell>
          <cell r="P21">
            <v>24</v>
          </cell>
          <cell r="Q21">
            <v>15</v>
          </cell>
          <cell r="R21">
            <v>9.3000000000000007</v>
          </cell>
          <cell r="S21">
            <v>23.5</v>
          </cell>
          <cell r="T21">
            <v>37635</v>
          </cell>
          <cell r="U21" t="str">
            <v>ЛА</v>
          </cell>
          <cell r="W21" t="str">
            <v>ЛА. См.Э-60/Н-44</v>
          </cell>
          <cell r="AD21">
            <v>37628</v>
          </cell>
          <cell r="AE21">
            <v>37628</v>
          </cell>
        </row>
        <row r="22">
          <cell r="B22">
            <v>5710</v>
          </cell>
          <cell r="C22">
            <v>124</v>
          </cell>
          <cell r="F22" t="str">
            <v>Э-прогрев</v>
          </cell>
          <cell r="G22">
            <v>250</v>
          </cell>
          <cell r="H22" t="str">
            <v>ЭЦН</v>
          </cell>
          <cell r="I22" t="str">
            <v>конс.</v>
          </cell>
          <cell r="J22">
            <v>34213</v>
          </cell>
          <cell r="K22">
            <v>0</v>
          </cell>
          <cell r="L22">
            <v>0</v>
          </cell>
          <cell r="M22">
            <v>0</v>
          </cell>
          <cell r="N22">
            <v>50</v>
          </cell>
          <cell r="O22">
            <v>6.1</v>
          </cell>
          <cell r="P22">
            <v>85</v>
          </cell>
          <cell r="Q22">
            <v>50</v>
          </cell>
          <cell r="R22">
            <v>6.1</v>
          </cell>
          <cell r="S22">
            <v>84.9</v>
          </cell>
          <cell r="T22">
            <v>37634</v>
          </cell>
          <cell r="U22" t="str">
            <v>ВЦД</v>
          </cell>
          <cell r="W22" t="str">
            <v>ВЦ</v>
          </cell>
          <cell r="AE22">
            <v>37627</v>
          </cell>
        </row>
        <row r="28">
          <cell r="B28">
            <v>5819</v>
          </cell>
          <cell r="C28">
            <v>142</v>
          </cell>
          <cell r="F28" t="str">
            <v>УПНПиКРС</v>
          </cell>
          <cell r="G28">
            <v>285</v>
          </cell>
          <cell r="H28" t="str">
            <v>нагнет.</v>
          </cell>
          <cell r="I28" t="str">
            <v>бд</v>
          </cell>
          <cell r="J28">
            <v>37084</v>
          </cell>
          <cell r="N28">
            <v>150</v>
          </cell>
          <cell r="Q28">
            <v>150</v>
          </cell>
          <cell r="T28">
            <v>37596</v>
          </cell>
          <cell r="U28" t="str">
            <v>нг</v>
          </cell>
          <cell r="W28" t="str">
            <v>Ревизия пакера</v>
          </cell>
          <cell r="AD28">
            <v>37586</v>
          </cell>
          <cell r="AE28">
            <v>37593</v>
          </cell>
        </row>
        <row r="29">
          <cell r="B29">
            <v>5821</v>
          </cell>
          <cell r="C29">
            <v>167</v>
          </cell>
          <cell r="F29" t="str">
            <v>БлКРС</v>
          </cell>
          <cell r="G29">
            <v>300</v>
          </cell>
          <cell r="H29" t="str">
            <v>нагнет.</v>
          </cell>
          <cell r="I29" t="str">
            <v>бд</v>
          </cell>
          <cell r="J29">
            <v>37453</v>
          </cell>
          <cell r="N29">
            <v>190</v>
          </cell>
          <cell r="Q29">
            <v>190</v>
          </cell>
          <cell r="T29" t="e">
            <v>#REF!</v>
          </cell>
          <cell r="U29" t="str">
            <v>нг</v>
          </cell>
          <cell r="W29" t="str">
            <v>ОТСК, ревизия пакера</v>
          </cell>
          <cell r="Z29" t="str">
            <v>2765(24)</v>
          </cell>
          <cell r="AA29">
            <v>73</v>
          </cell>
          <cell r="AB29">
            <v>36008</v>
          </cell>
          <cell r="AD29" t="e">
            <v>#REF!</v>
          </cell>
          <cell r="AE29" t="e">
            <v>#REF!</v>
          </cell>
          <cell r="AF29">
            <v>9</v>
          </cell>
        </row>
        <row r="30">
          <cell r="B30">
            <v>5807</v>
          </cell>
          <cell r="C30" t="str">
            <v>166б</v>
          </cell>
          <cell r="F30" t="str">
            <v>БлКРС</v>
          </cell>
          <cell r="G30">
            <v>290</v>
          </cell>
          <cell r="H30" t="str">
            <v>нагнет.</v>
          </cell>
          <cell r="I30" t="str">
            <v>бд</v>
          </cell>
          <cell r="J30">
            <v>37474</v>
          </cell>
          <cell r="N30">
            <v>150</v>
          </cell>
          <cell r="Q30">
            <v>150</v>
          </cell>
          <cell r="T30" t="e">
            <v>#REF!</v>
          </cell>
          <cell r="U30" t="str">
            <v>нг</v>
          </cell>
          <cell r="W30" t="str">
            <v>Ревизия пакера</v>
          </cell>
          <cell r="Z30" t="str">
            <v>2732(0,5)</v>
          </cell>
          <cell r="AA30">
            <v>73</v>
          </cell>
          <cell r="AB30">
            <v>37226</v>
          </cell>
          <cell r="AD30" t="e">
            <v>#REF!</v>
          </cell>
          <cell r="AE30" t="e">
            <v>#REF!</v>
          </cell>
          <cell r="AF30">
            <v>6</v>
          </cell>
        </row>
        <row r="31">
          <cell r="B31">
            <v>5800</v>
          </cell>
          <cell r="C31">
            <v>141</v>
          </cell>
          <cell r="F31" t="str">
            <v>БлКРС</v>
          </cell>
          <cell r="G31">
            <v>295</v>
          </cell>
          <cell r="H31" t="str">
            <v>нагнет.</v>
          </cell>
          <cell r="I31" t="str">
            <v>бд</v>
          </cell>
          <cell r="J31">
            <v>37474</v>
          </cell>
          <cell r="N31">
            <v>190</v>
          </cell>
          <cell r="Q31">
            <v>190</v>
          </cell>
          <cell r="T31" t="e">
            <v>#REF!</v>
          </cell>
          <cell r="U31" t="str">
            <v>нг</v>
          </cell>
          <cell r="W31" t="str">
            <v>Ревизия пакера</v>
          </cell>
          <cell r="Z31" t="str">
            <v>3003(42)</v>
          </cell>
          <cell r="AA31">
            <v>73</v>
          </cell>
          <cell r="AB31">
            <v>37347</v>
          </cell>
          <cell r="AD31" t="e">
            <v>#REF!</v>
          </cell>
          <cell r="AE31" t="e">
            <v>#REF!</v>
          </cell>
          <cell r="AF31">
            <v>6</v>
          </cell>
        </row>
        <row r="32">
          <cell r="B32">
            <v>5221</v>
          </cell>
          <cell r="C32">
            <v>126</v>
          </cell>
          <cell r="F32" t="str">
            <v>БлКРС</v>
          </cell>
          <cell r="G32">
            <v>245</v>
          </cell>
          <cell r="H32" t="str">
            <v>ШГН</v>
          </cell>
          <cell r="I32" t="str">
            <v>действ.</v>
          </cell>
          <cell r="K32">
            <v>4</v>
          </cell>
          <cell r="L32">
            <v>2.9</v>
          </cell>
          <cell r="M32">
            <v>12</v>
          </cell>
          <cell r="N32">
            <v>150</v>
          </cell>
          <cell r="Q32">
            <v>150</v>
          </cell>
          <cell r="T32" t="str">
            <v>перех.</v>
          </cell>
          <cell r="U32" t="str">
            <v>нг</v>
          </cell>
          <cell r="W32" t="str">
            <v>Перевод под нагнетание ЮК-10</v>
          </cell>
          <cell r="X32" t="str">
            <v>Строительство водовода</v>
          </cell>
          <cell r="Z32" t="str">
            <v>2880(7)</v>
          </cell>
          <cell r="AA32">
            <v>73</v>
          </cell>
          <cell r="AB32">
            <v>37165</v>
          </cell>
        </row>
        <row r="33">
          <cell r="B33">
            <v>5242</v>
          </cell>
          <cell r="C33">
            <v>134</v>
          </cell>
          <cell r="F33" t="str">
            <v>БлКРС</v>
          </cell>
          <cell r="G33">
            <v>230</v>
          </cell>
          <cell r="H33" t="str">
            <v>ЭЦН</v>
          </cell>
          <cell r="I33" t="str">
            <v>действ.</v>
          </cell>
          <cell r="K33">
            <v>22</v>
          </cell>
          <cell r="L33">
            <v>15.2</v>
          </cell>
          <cell r="M33">
            <v>15</v>
          </cell>
          <cell r="N33">
            <v>150</v>
          </cell>
          <cell r="Q33">
            <v>150</v>
          </cell>
          <cell r="T33">
            <v>37617</v>
          </cell>
          <cell r="U33" t="str">
            <v>нг</v>
          </cell>
          <cell r="W33" t="str">
            <v>Перевод под нагнетание ЮК 2-3</v>
          </cell>
          <cell r="X33" t="str">
            <v>Строительство водовода</v>
          </cell>
          <cell r="Z33" t="str">
            <v>2603(37)</v>
          </cell>
          <cell r="AA33">
            <v>73</v>
          </cell>
          <cell r="AB33">
            <v>37377</v>
          </cell>
        </row>
        <row r="35">
          <cell r="B35">
            <v>2897</v>
          </cell>
          <cell r="C35">
            <v>42</v>
          </cell>
          <cell r="F35" t="str">
            <v>УПНПиКРС</v>
          </cell>
          <cell r="G35">
            <v>295</v>
          </cell>
          <cell r="H35" t="str">
            <v>нагнет.</v>
          </cell>
          <cell r="I35" t="str">
            <v>бд</v>
          </cell>
          <cell r="J35">
            <v>37463</v>
          </cell>
          <cell r="N35">
            <v>150</v>
          </cell>
          <cell r="Q35">
            <v>150</v>
          </cell>
          <cell r="U35" t="str">
            <v>нг</v>
          </cell>
          <cell r="W35" t="str">
            <v>ОТСК, ревизия пакера</v>
          </cell>
          <cell r="Z35" t="str">
            <v>2855(28)</v>
          </cell>
          <cell r="AA35">
            <v>73</v>
          </cell>
          <cell r="AB35">
            <v>33390</v>
          </cell>
        </row>
        <row r="36">
          <cell r="B36">
            <v>2898</v>
          </cell>
          <cell r="C36">
            <v>42</v>
          </cell>
          <cell r="F36" t="str">
            <v>УПНПиКРС</v>
          </cell>
          <cell r="G36">
            <v>295</v>
          </cell>
          <cell r="H36" t="str">
            <v>нагнет.</v>
          </cell>
          <cell r="I36" t="str">
            <v>под закачкой</v>
          </cell>
          <cell r="K36">
            <v>180</v>
          </cell>
          <cell r="N36">
            <v>180</v>
          </cell>
          <cell r="Q36">
            <v>0</v>
          </cell>
          <cell r="U36" t="str">
            <v>нг</v>
          </cell>
          <cell r="W36" t="str">
            <v>ОТСК</v>
          </cell>
          <cell r="Z36" t="str">
            <v>2886(29)</v>
          </cell>
          <cell r="AA36">
            <v>73</v>
          </cell>
          <cell r="AB36">
            <v>32356</v>
          </cell>
        </row>
        <row r="37">
          <cell r="B37">
            <v>5380</v>
          </cell>
          <cell r="C37">
            <v>105</v>
          </cell>
          <cell r="F37" t="str">
            <v>УПНПиКРС</v>
          </cell>
          <cell r="G37">
            <v>300</v>
          </cell>
          <cell r="H37" t="str">
            <v>нагнет.</v>
          </cell>
          <cell r="I37" t="str">
            <v>под закачкой</v>
          </cell>
          <cell r="K37">
            <v>280</v>
          </cell>
          <cell r="N37">
            <v>280</v>
          </cell>
          <cell r="Q37">
            <v>0</v>
          </cell>
          <cell r="U37" t="str">
            <v>нг</v>
          </cell>
          <cell r="W37" t="str">
            <v>ОТСК</v>
          </cell>
          <cell r="Z37" t="str">
            <v>не опред.</v>
          </cell>
          <cell r="AA37">
            <v>73</v>
          </cell>
          <cell r="AB37">
            <v>31352</v>
          </cell>
        </row>
        <row r="38">
          <cell r="B38">
            <v>5740</v>
          </cell>
          <cell r="C38">
            <v>127</v>
          </cell>
          <cell r="F38" t="str">
            <v>УПНПиКРС</v>
          </cell>
          <cell r="G38">
            <v>290</v>
          </cell>
          <cell r="H38" t="str">
            <v>нагнет.</v>
          </cell>
          <cell r="I38" t="str">
            <v>под закачкой</v>
          </cell>
          <cell r="K38">
            <v>190</v>
          </cell>
          <cell r="N38">
            <v>190</v>
          </cell>
          <cell r="Q38">
            <v>0</v>
          </cell>
          <cell r="U38" t="str">
            <v>нг</v>
          </cell>
          <cell r="W38" t="str">
            <v>ОТСК</v>
          </cell>
          <cell r="Z38" t="str">
            <v>2962(35)</v>
          </cell>
          <cell r="AA38">
            <v>73</v>
          </cell>
          <cell r="AB38">
            <v>34090</v>
          </cell>
        </row>
        <row r="40">
          <cell r="B40">
            <v>5858</v>
          </cell>
          <cell r="C40">
            <v>169</v>
          </cell>
          <cell r="F40" t="str">
            <v>УПНПиКРС</v>
          </cell>
          <cell r="G40">
            <v>270</v>
          </cell>
          <cell r="H40" t="str">
            <v>фон</v>
          </cell>
          <cell r="I40" t="str">
            <v>бд</v>
          </cell>
          <cell r="J40">
            <v>36649</v>
          </cell>
          <cell r="K40">
            <v>7</v>
          </cell>
          <cell r="L40">
            <v>1</v>
          </cell>
          <cell r="M40">
            <v>82</v>
          </cell>
          <cell r="N40">
            <v>30</v>
          </cell>
          <cell r="O40">
            <v>12</v>
          </cell>
          <cell r="P40">
            <v>51</v>
          </cell>
          <cell r="Q40">
            <v>30</v>
          </cell>
          <cell r="R40">
            <v>12</v>
          </cell>
          <cell r="S40">
            <v>50.6</v>
          </cell>
          <cell r="T40">
            <v>7</v>
          </cell>
          <cell r="U40" t="str">
            <v>ГРП</v>
          </cell>
          <cell r="W40" t="str">
            <v xml:space="preserve">инт.ЮК-5  2613-2628м,РИР ЮК-10,ГРП </v>
          </cell>
        </row>
        <row r="41">
          <cell r="B41">
            <v>5853</v>
          </cell>
          <cell r="C41">
            <v>169</v>
          </cell>
          <cell r="F41" t="str">
            <v>УПНПиКРС</v>
          </cell>
          <cell r="G41">
            <v>270</v>
          </cell>
          <cell r="H41" t="str">
            <v>фон</v>
          </cell>
          <cell r="I41" t="str">
            <v>конс.</v>
          </cell>
          <cell r="J41">
            <v>35401</v>
          </cell>
          <cell r="K41">
            <v>1</v>
          </cell>
          <cell r="L41">
            <v>0.8</v>
          </cell>
          <cell r="M41">
            <v>0</v>
          </cell>
          <cell r="N41">
            <v>30</v>
          </cell>
          <cell r="O41">
            <v>12</v>
          </cell>
          <cell r="P41">
            <v>51</v>
          </cell>
          <cell r="Q41">
            <v>30</v>
          </cell>
          <cell r="R41">
            <v>12</v>
          </cell>
          <cell r="S41">
            <v>50.6</v>
          </cell>
          <cell r="T41">
            <v>7</v>
          </cell>
          <cell r="U41" t="str">
            <v>ГРП</v>
          </cell>
          <cell r="W41" t="str">
            <v xml:space="preserve">инт.ЮК-5  2601-2619м,РИР ЮК-10,ГРП </v>
          </cell>
        </row>
        <row r="42">
          <cell r="B42">
            <v>2608</v>
          </cell>
          <cell r="C42" t="str">
            <v>168б</v>
          </cell>
          <cell r="F42" t="str">
            <v>УПНПиКРС</v>
          </cell>
          <cell r="G42">
            <v>240</v>
          </cell>
          <cell r="H42" t="str">
            <v>ШГН</v>
          </cell>
          <cell r="I42" t="str">
            <v>действ.</v>
          </cell>
          <cell r="K42">
            <v>3</v>
          </cell>
          <cell r="L42">
            <v>2.2999999999999998</v>
          </cell>
          <cell r="M42">
            <v>5</v>
          </cell>
          <cell r="N42">
            <v>30</v>
          </cell>
          <cell r="O42">
            <v>14.3</v>
          </cell>
          <cell r="P42">
            <v>41.4</v>
          </cell>
          <cell r="Q42">
            <v>27</v>
          </cell>
          <cell r="R42">
            <v>12</v>
          </cell>
          <cell r="S42">
            <v>45.1</v>
          </cell>
          <cell r="T42">
            <v>37367</v>
          </cell>
          <cell r="U42" t="str">
            <v>ГРП</v>
          </cell>
          <cell r="V42">
            <v>2</v>
          </cell>
          <cell r="W42" t="str">
            <v>инт.ЮК 4-5 2569-2578, 2582-2592м,ГРП</v>
          </cell>
          <cell r="AD42">
            <v>37320</v>
          </cell>
          <cell r="AE42">
            <v>37360</v>
          </cell>
          <cell r="AF42">
            <v>40</v>
          </cell>
        </row>
        <row r="43">
          <cell r="B43">
            <v>2604</v>
          </cell>
          <cell r="C43">
            <v>167</v>
          </cell>
          <cell r="F43" t="str">
            <v>УПНПиКРС</v>
          </cell>
          <cell r="G43">
            <v>235</v>
          </cell>
          <cell r="H43" t="str">
            <v>ШГН</v>
          </cell>
          <cell r="I43" t="str">
            <v>конс.</v>
          </cell>
          <cell r="J43">
            <v>34243</v>
          </cell>
          <cell r="K43">
            <v>2</v>
          </cell>
          <cell r="L43">
            <v>1.6</v>
          </cell>
          <cell r="M43">
            <v>5</v>
          </cell>
          <cell r="N43">
            <v>30</v>
          </cell>
          <cell r="O43">
            <v>14.3</v>
          </cell>
          <cell r="P43">
            <v>41.4</v>
          </cell>
          <cell r="Q43">
            <v>30</v>
          </cell>
          <cell r="R43">
            <v>14.3</v>
          </cell>
          <cell r="S43">
            <v>41.2</v>
          </cell>
          <cell r="U43" t="str">
            <v>ГРП</v>
          </cell>
          <cell r="W43" t="str">
            <v>инт.ЮК 4-5 2598-2624м,ВЦ,ПП,ОПЗ</v>
          </cell>
          <cell r="Y43" t="str">
            <v>ОЦ</v>
          </cell>
        </row>
        <row r="44">
          <cell r="B44">
            <v>5587</v>
          </cell>
          <cell r="C44">
            <v>118</v>
          </cell>
          <cell r="F44" t="str">
            <v>УПНПиКРС</v>
          </cell>
          <cell r="G44">
            <v>250</v>
          </cell>
          <cell r="H44" t="str">
            <v>Ф/ЭЦН</v>
          </cell>
          <cell r="I44" t="str">
            <v>бд</v>
          </cell>
          <cell r="J44">
            <v>34883</v>
          </cell>
          <cell r="K44">
            <v>17</v>
          </cell>
          <cell r="L44">
            <v>1</v>
          </cell>
          <cell r="M44">
            <v>93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10</v>
          </cell>
          <cell r="U44" t="str">
            <v>ГРП</v>
          </cell>
          <cell r="W44" t="str">
            <v>ВЗ,ПП,ОПЗ,сп Э-50 интер.ЮК 3-4 2693-2716м</v>
          </cell>
        </row>
        <row r="45">
          <cell r="B45">
            <v>5455</v>
          </cell>
          <cell r="C45">
            <v>102</v>
          </cell>
          <cell r="F45" t="str">
            <v>УПНПиКРС</v>
          </cell>
          <cell r="H45" t="str">
            <v>ШГН</v>
          </cell>
          <cell r="I45" t="str">
            <v>конс.</v>
          </cell>
          <cell r="N45">
            <v>50</v>
          </cell>
          <cell r="O45">
            <v>30</v>
          </cell>
          <cell r="P45">
            <v>26.5</v>
          </cell>
          <cell r="Q45">
            <v>50</v>
          </cell>
          <cell r="R45">
            <v>30</v>
          </cell>
          <cell r="S45">
            <v>25.9</v>
          </cell>
          <cell r="U45" t="str">
            <v>ГРП</v>
          </cell>
          <cell r="W45" t="str">
            <v>Л.А.ВЦ, РИР ЮК-10, ПР к ГРП, ГРП ЮК-2, осв.</v>
          </cell>
          <cell r="Y45" t="str">
            <v>Н/пр-444м, по печати пост.предмет</v>
          </cell>
          <cell r="AF45">
            <v>38</v>
          </cell>
        </row>
        <row r="46">
          <cell r="B46">
            <v>5263</v>
          </cell>
          <cell r="C46">
            <v>133</v>
          </cell>
          <cell r="F46" t="str">
            <v>УПНПиКРС</v>
          </cell>
          <cell r="G46">
            <v>255</v>
          </cell>
          <cell r="H46" t="str">
            <v>ЭЦН</v>
          </cell>
          <cell r="I46" t="str">
            <v>бд</v>
          </cell>
          <cell r="J46">
            <v>33725</v>
          </cell>
          <cell r="K46">
            <v>10</v>
          </cell>
          <cell r="L46">
            <v>1.6</v>
          </cell>
          <cell r="M46">
            <v>80</v>
          </cell>
          <cell r="N46">
            <v>30</v>
          </cell>
          <cell r="O46">
            <v>12</v>
          </cell>
          <cell r="P46">
            <v>51</v>
          </cell>
          <cell r="Q46">
            <v>30</v>
          </cell>
          <cell r="R46">
            <v>12</v>
          </cell>
          <cell r="S46">
            <v>50.6</v>
          </cell>
          <cell r="T46">
            <v>13</v>
          </cell>
          <cell r="U46" t="str">
            <v>ГРП</v>
          </cell>
          <cell r="W46" t="str">
            <v>ЛА ( с НКТ ),инт.ЮК-4 2454-2462,ЮК-5 2408-2493м,при невозм.ЛА-ЗБС 2-го ( двустволка ),ЮК-10-2т,ЮК-4-12 т</v>
          </cell>
          <cell r="Y46" t="str">
            <v>На Нз 6штанг (по печати). Брошена КРС</v>
          </cell>
        </row>
        <row r="48">
          <cell r="B48">
            <v>3054</v>
          </cell>
          <cell r="C48">
            <v>51</v>
          </cell>
          <cell r="F48" t="str">
            <v>УПНПиКРС</v>
          </cell>
          <cell r="G48">
            <v>300</v>
          </cell>
          <cell r="H48" t="str">
            <v>нагнет.</v>
          </cell>
          <cell r="I48" t="str">
            <v>бд</v>
          </cell>
          <cell r="J48">
            <v>37016</v>
          </cell>
          <cell r="K48">
            <v>950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U48" t="str">
            <v>ГРП</v>
          </cell>
          <cell r="W48" t="str">
            <v>Инт. 2676-2688</v>
          </cell>
          <cell r="Y48" t="str">
            <v>ЗКЦ от 2840 до 2710, ГИС от 22.05.89</v>
          </cell>
        </row>
        <row r="49">
          <cell r="B49">
            <v>2974</v>
          </cell>
          <cell r="C49">
            <v>46</v>
          </cell>
          <cell r="F49" t="str">
            <v>УПНПиКРС</v>
          </cell>
          <cell r="G49">
            <v>295</v>
          </cell>
          <cell r="H49" t="str">
            <v>нагнет.</v>
          </cell>
          <cell r="I49" t="str">
            <v>бд</v>
          </cell>
          <cell r="J49">
            <v>36210</v>
          </cell>
          <cell r="K49">
            <v>360</v>
          </cell>
          <cell r="L49">
            <v>0</v>
          </cell>
          <cell r="N49">
            <v>30</v>
          </cell>
          <cell r="O49">
            <v>12</v>
          </cell>
          <cell r="P49">
            <v>51</v>
          </cell>
          <cell r="Q49">
            <v>30</v>
          </cell>
          <cell r="R49">
            <v>12</v>
          </cell>
          <cell r="S49">
            <v>50.6</v>
          </cell>
          <cell r="U49" t="str">
            <v>ГРП</v>
          </cell>
          <cell r="W49" t="str">
            <v>РИР Э/К, ГИС (и.о.) интерп2556-2580</v>
          </cell>
          <cell r="Y49" t="str">
            <v>При ГИС-2 от 12.12.92 негерметичность на гл.2520-2560</v>
          </cell>
        </row>
        <row r="50">
          <cell r="B50">
            <v>2956</v>
          </cell>
          <cell r="C50">
            <v>46</v>
          </cell>
          <cell r="F50" t="str">
            <v>УПНПиКРС</v>
          </cell>
          <cell r="G50">
            <v>265</v>
          </cell>
          <cell r="H50" t="str">
            <v>фон</v>
          </cell>
          <cell r="I50" t="str">
            <v>бд</v>
          </cell>
          <cell r="J50">
            <v>34851</v>
          </cell>
          <cell r="K50">
            <v>3</v>
          </cell>
          <cell r="L50">
            <v>2.2999999999999998</v>
          </cell>
          <cell r="N50">
            <v>30</v>
          </cell>
          <cell r="O50">
            <v>12</v>
          </cell>
          <cell r="P50">
            <v>51</v>
          </cell>
          <cell r="Q50">
            <v>30</v>
          </cell>
          <cell r="R50">
            <v>12</v>
          </cell>
          <cell r="S50">
            <v>50.6</v>
          </cell>
          <cell r="U50" t="str">
            <v>ГРП</v>
          </cell>
          <cell r="W50" t="str">
            <v>РИР ЮК-11,перевод на ЮК-10 ,сп Н-57,интер.ЮК-3 2500-2520м</v>
          </cell>
          <cell r="Y50" t="str">
            <v>Отсутствие забоя+ МСУ-100+2300 пров.</v>
          </cell>
        </row>
        <row r="52">
          <cell r="B52">
            <v>2836</v>
          </cell>
          <cell r="C52">
            <v>125</v>
          </cell>
          <cell r="F52" t="str">
            <v>УПНПиКРС</v>
          </cell>
          <cell r="G52">
            <v>240</v>
          </cell>
          <cell r="H52" t="str">
            <v>ШГН</v>
          </cell>
          <cell r="I52" t="str">
            <v>конс.</v>
          </cell>
          <cell r="J52">
            <v>35684</v>
          </cell>
          <cell r="K52">
            <v>4</v>
          </cell>
          <cell r="L52">
            <v>1.1000000000000001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U52" t="str">
            <v>ГРП</v>
          </cell>
          <cell r="W52" t="str">
            <v>ГИС-2,при отс.перетоков-опытно-пром.работы,ГРП п.А</v>
          </cell>
          <cell r="Y52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53">
          <cell r="B53">
            <v>2725</v>
          </cell>
          <cell r="C53">
            <v>146</v>
          </cell>
          <cell r="F53" t="str">
            <v>УПНПиКРС</v>
          </cell>
          <cell r="G53">
            <v>350</v>
          </cell>
          <cell r="H53" t="str">
            <v>нагнет.</v>
          </cell>
          <cell r="I53" t="str">
            <v>бд</v>
          </cell>
          <cell r="J53">
            <v>36627</v>
          </cell>
          <cell r="K53">
            <v>134</v>
          </cell>
          <cell r="L53">
            <v>0</v>
          </cell>
          <cell r="N53">
            <v>30</v>
          </cell>
          <cell r="O53">
            <v>12</v>
          </cell>
          <cell r="P53">
            <v>51</v>
          </cell>
          <cell r="Q53">
            <v>30</v>
          </cell>
          <cell r="R53">
            <v>12</v>
          </cell>
          <cell r="S53">
            <v>50.6</v>
          </cell>
          <cell r="U53" t="str">
            <v>ГРП</v>
          </cell>
          <cell r="W53" t="str">
            <v>ИР ЮК-10,ДП 2593-2602,2620-2630 ГРП</v>
          </cell>
        </row>
        <row r="54">
          <cell r="B54">
            <v>5318</v>
          </cell>
          <cell r="C54">
            <v>134</v>
          </cell>
          <cell r="F54" t="str">
            <v>УПНПиКРС</v>
          </cell>
          <cell r="G54">
            <v>242</v>
          </cell>
          <cell r="H54" t="str">
            <v>нагнет.</v>
          </cell>
          <cell r="I54" t="str">
            <v>бд</v>
          </cell>
          <cell r="J54">
            <v>36799</v>
          </cell>
          <cell r="K54">
            <v>120</v>
          </cell>
          <cell r="N54">
            <v>150</v>
          </cell>
          <cell r="Q54">
            <v>150</v>
          </cell>
          <cell r="R54">
            <v>0</v>
          </cell>
          <cell r="U54" t="str">
            <v>нг</v>
          </cell>
          <cell r="W54" t="str">
            <v>Спуск и привязка пакера, Запуск в ППД</v>
          </cell>
          <cell r="Y54" t="str">
            <v>Реагирует: 134/5292,5319,5317,5291 с Qн=7т/сут, доп.добыча состави 10т/сут</v>
          </cell>
          <cell r="AD54" t="e">
            <v>#REF!</v>
          </cell>
          <cell r="AE54" t="e">
            <v>#REF!</v>
          </cell>
          <cell r="AF54">
            <v>15</v>
          </cell>
        </row>
        <row r="55">
          <cell r="B55">
            <v>5338</v>
          </cell>
          <cell r="C55">
            <v>141</v>
          </cell>
          <cell r="F55" t="str">
            <v>УПНПиКРС</v>
          </cell>
          <cell r="G55">
            <v>275</v>
          </cell>
          <cell r="H55" t="str">
            <v>нагнет.</v>
          </cell>
          <cell r="I55" t="str">
            <v>бд</v>
          </cell>
          <cell r="J55">
            <v>36711</v>
          </cell>
          <cell r="K55">
            <v>230</v>
          </cell>
          <cell r="N55">
            <v>230</v>
          </cell>
          <cell r="Q55">
            <v>230</v>
          </cell>
          <cell r="U55" t="str">
            <v>нг</v>
          </cell>
          <cell r="W55" t="str">
            <v>Ревизия пакера</v>
          </cell>
          <cell r="Y55" t="str">
            <v>реагирует: 140/5311;141/5312;109/5364,5365, сQн=8т/с, доп. Дбыча =8т/сут</v>
          </cell>
        </row>
        <row r="56">
          <cell r="B56">
            <v>5840</v>
          </cell>
          <cell r="C56">
            <v>109</v>
          </cell>
          <cell r="F56" t="str">
            <v>УПНПиКРС</v>
          </cell>
          <cell r="G56">
            <v>285</v>
          </cell>
          <cell r="H56" t="str">
            <v>нагнет.</v>
          </cell>
          <cell r="I56" t="str">
            <v>конс.</v>
          </cell>
          <cell r="J56">
            <v>35333</v>
          </cell>
          <cell r="K56">
            <v>30</v>
          </cell>
          <cell r="Q56">
            <v>0</v>
          </cell>
          <cell r="U56" t="str">
            <v>нг</v>
          </cell>
          <cell r="W56" t="str">
            <v>Прмывка забоя, пуск под закачку</v>
          </cell>
        </row>
        <row r="57">
          <cell r="B57">
            <v>5371</v>
          </cell>
          <cell r="C57">
            <v>102</v>
          </cell>
          <cell r="F57" t="str">
            <v>УПНПиКРС</v>
          </cell>
          <cell r="G57">
            <v>255</v>
          </cell>
          <cell r="H57" t="str">
            <v>нагнет.</v>
          </cell>
          <cell r="I57" t="str">
            <v>бд</v>
          </cell>
          <cell r="J57">
            <v>35779</v>
          </cell>
          <cell r="K57">
            <v>240</v>
          </cell>
          <cell r="L57">
            <v>0</v>
          </cell>
          <cell r="Q57">
            <v>0</v>
          </cell>
          <cell r="U57" t="str">
            <v>нг</v>
          </cell>
          <cell r="W57" t="str">
            <v>Прмывка забоя, пуск под закачку</v>
          </cell>
        </row>
        <row r="58">
          <cell r="B58">
            <v>5372</v>
          </cell>
          <cell r="C58">
            <v>102</v>
          </cell>
          <cell r="F58" t="str">
            <v>УПНПиКРС</v>
          </cell>
          <cell r="G58">
            <v>250</v>
          </cell>
          <cell r="H58" t="str">
            <v>нагнет.</v>
          </cell>
          <cell r="I58" t="str">
            <v>бд</v>
          </cell>
          <cell r="J58">
            <v>32843</v>
          </cell>
          <cell r="K58">
            <v>130</v>
          </cell>
          <cell r="L58">
            <v>0</v>
          </cell>
          <cell r="Q58">
            <v>0</v>
          </cell>
          <cell r="U58" t="str">
            <v>нг</v>
          </cell>
          <cell r="W58" t="str">
            <v>Л,А. Прмывка забоя, пуск под закачку</v>
          </cell>
          <cell r="Y58" t="str">
            <v>Полет НКТ. Нз - 102 м</v>
          </cell>
        </row>
        <row r="59">
          <cell r="B59">
            <v>5373</v>
          </cell>
          <cell r="C59">
            <v>103</v>
          </cell>
          <cell r="F59" t="str">
            <v>УПНПиКРС</v>
          </cell>
          <cell r="G59">
            <v>239</v>
          </cell>
          <cell r="H59" t="str">
            <v>нагнет.</v>
          </cell>
          <cell r="I59" t="str">
            <v>конс.</v>
          </cell>
          <cell r="J59">
            <v>34474</v>
          </cell>
          <cell r="K59">
            <v>375</v>
          </cell>
          <cell r="L59">
            <v>0</v>
          </cell>
          <cell r="Q59">
            <v>0</v>
          </cell>
          <cell r="U59" t="str">
            <v>нг</v>
          </cell>
          <cell r="W59" t="str">
            <v>Прмывка забоя, пуск под закачку</v>
          </cell>
        </row>
        <row r="60">
          <cell r="B60">
            <v>5374</v>
          </cell>
          <cell r="C60">
            <v>103</v>
          </cell>
          <cell r="F60" t="str">
            <v>УПНПиКРС</v>
          </cell>
          <cell r="G60">
            <v>241</v>
          </cell>
          <cell r="H60" t="str">
            <v>нагнет.</v>
          </cell>
          <cell r="I60" t="str">
            <v>конс.</v>
          </cell>
          <cell r="J60">
            <v>34474</v>
          </cell>
          <cell r="K60">
            <v>180</v>
          </cell>
          <cell r="L60">
            <v>0</v>
          </cell>
          <cell r="Q60">
            <v>0</v>
          </cell>
          <cell r="U60" t="str">
            <v>нг</v>
          </cell>
          <cell r="W60" t="str">
            <v>Прмывка забоя, пуск под закачку</v>
          </cell>
        </row>
        <row r="61">
          <cell r="B61">
            <v>5626</v>
          </cell>
          <cell r="C61">
            <v>119</v>
          </cell>
          <cell r="G61">
            <v>252</v>
          </cell>
          <cell r="H61" t="str">
            <v>нагнет.</v>
          </cell>
          <cell r="I61" t="str">
            <v>бд</v>
          </cell>
          <cell r="N61">
            <v>150</v>
          </cell>
          <cell r="Q61">
            <v>150</v>
          </cell>
          <cell r="T61">
            <v>37391</v>
          </cell>
          <cell r="U61" t="str">
            <v>нг</v>
          </cell>
          <cell r="W61" t="str">
            <v>Прмывка забоя, пуск под закачку</v>
          </cell>
        </row>
        <row r="62">
          <cell r="B62">
            <v>5629</v>
          </cell>
          <cell r="C62">
            <v>120</v>
          </cell>
          <cell r="G62">
            <v>255</v>
          </cell>
          <cell r="H62" t="str">
            <v>нагнет.</v>
          </cell>
          <cell r="I62" t="str">
            <v>бд</v>
          </cell>
          <cell r="N62">
            <v>150</v>
          </cell>
          <cell r="Q62">
            <v>150</v>
          </cell>
          <cell r="T62">
            <v>37386</v>
          </cell>
          <cell r="U62" t="str">
            <v>нг</v>
          </cell>
          <cell r="W62" t="str">
            <v>Прмывка забоя, пуск под закачку</v>
          </cell>
        </row>
        <row r="63">
          <cell r="B63">
            <v>5631</v>
          </cell>
          <cell r="C63">
            <v>120</v>
          </cell>
          <cell r="G63">
            <v>261</v>
          </cell>
          <cell r="H63" t="str">
            <v>нагнет.</v>
          </cell>
          <cell r="I63" t="str">
            <v>бд</v>
          </cell>
          <cell r="N63">
            <v>150</v>
          </cell>
          <cell r="Q63">
            <v>150</v>
          </cell>
          <cell r="T63">
            <v>37386</v>
          </cell>
          <cell r="U63" t="str">
            <v>нг</v>
          </cell>
          <cell r="W63" t="str">
            <v>Прмывка забоя, пуск под закачку</v>
          </cell>
        </row>
        <row r="69">
          <cell r="B69" t="str">
            <v>Начальник ГО Красноленинского УНП</v>
          </cell>
          <cell r="W69" t="str">
            <v>И.Н.Авсянко</v>
          </cell>
        </row>
        <row r="71">
          <cell r="B71">
            <v>1</v>
          </cell>
          <cell r="C71">
            <v>2</v>
          </cell>
          <cell r="D71">
            <v>3</v>
          </cell>
          <cell r="E71">
            <v>4</v>
          </cell>
          <cell r="F71">
            <v>5</v>
          </cell>
          <cell r="G71">
            <v>6</v>
          </cell>
          <cell r="H71">
            <v>7</v>
          </cell>
          <cell r="I71">
            <v>8</v>
          </cell>
          <cell r="J71">
            <v>9</v>
          </cell>
          <cell r="K71">
            <v>10</v>
          </cell>
          <cell r="L71">
            <v>11</v>
          </cell>
          <cell r="M71">
            <v>12</v>
          </cell>
          <cell r="N71">
            <v>13</v>
          </cell>
          <cell r="O71">
            <v>14</v>
          </cell>
          <cell r="P71">
            <v>15</v>
          </cell>
          <cell r="Q71">
            <v>16</v>
          </cell>
          <cell r="R71">
            <v>17</v>
          </cell>
          <cell r="S71">
            <v>18</v>
          </cell>
          <cell r="T71">
            <v>19</v>
          </cell>
          <cell r="U71">
            <v>20</v>
          </cell>
          <cell r="W71">
            <v>22</v>
          </cell>
          <cell r="X71">
            <v>23</v>
          </cell>
          <cell r="Y71">
            <v>24</v>
          </cell>
          <cell r="Z71">
            <v>25</v>
          </cell>
          <cell r="AA71">
            <v>26</v>
          </cell>
          <cell r="AB71">
            <v>27</v>
          </cell>
          <cell r="AC71">
            <v>29</v>
          </cell>
          <cell r="AD71">
            <v>30</v>
          </cell>
          <cell r="AE71">
            <v>31</v>
          </cell>
          <cell r="AF71">
            <v>32</v>
          </cell>
          <cell r="AG71">
            <v>33</v>
          </cell>
          <cell r="AH71">
            <v>34</v>
          </cell>
        </row>
        <row r="73">
          <cell r="W73" t="str">
            <v>ПРС</v>
          </cell>
        </row>
        <row r="74">
          <cell r="B74">
            <v>5565</v>
          </cell>
          <cell r="C74">
            <v>120</v>
          </cell>
          <cell r="F74" t="str">
            <v>ПРС</v>
          </cell>
          <cell r="H74" t="str">
            <v>ЭЦН</v>
          </cell>
          <cell r="I74" t="str">
            <v>бд</v>
          </cell>
          <cell r="K74">
            <v>0</v>
          </cell>
          <cell r="L74">
            <v>0</v>
          </cell>
          <cell r="M74">
            <v>0</v>
          </cell>
          <cell r="N74">
            <v>32</v>
          </cell>
          <cell r="O74">
            <v>3.1</v>
          </cell>
          <cell r="P74">
            <v>88</v>
          </cell>
          <cell r="Q74">
            <v>32</v>
          </cell>
          <cell r="R74">
            <v>3.1</v>
          </cell>
          <cell r="S74">
            <v>88</v>
          </cell>
          <cell r="T74">
            <v>37671</v>
          </cell>
          <cell r="U74" t="str">
            <v>бдп</v>
          </cell>
          <cell r="W74" t="str">
            <v>Смена Э50/Э-30</v>
          </cell>
          <cell r="AD74">
            <v>37631</v>
          </cell>
          <cell r="AE74">
            <v>37664</v>
          </cell>
        </row>
        <row r="75">
          <cell r="B75">
            <v>4262</v>
          </cell>
          <cell r="C75">
            <v>200</v>
          </cell>
          <cell r="F75" t="str">
            <v>ПРС</v>
          </cell>
          <cell r="H75" t="str">
            <v>ЭЦН</v>
          </cell>
          <cell r="I75" t="str">
            <v>действ.</v>
          </cell>
          <cell r="K75">
            <v>268</v>
          </cell>
          <cell r="L75">
            <v>15.3</v>
          </cell>
          <cell r="M75">
            <v>93</v>
          </cell>
          <cell r="N75">
            <v>398</v>
          </cell>
          <cell r="O75">
            <v>22.7</v>
          </cell>
          <cell r="P75">
            <v>93</v>
          </cell>
          <cell r="Q75">
            <v>130</v>
          </cell>
          <cell r="R75">
            <v>7.3999999999999986</v>
          </cell>
          <cell r="S75">
            <v>93</v>
          </cell>
          <cell r="T75">
            <v>37695</v>
          </cell>
          <cell r="U75" t="str">
            <v>опт</v>
          </cell>
          <cell r="W75" t="str">
            <v>Смена Э-250/400</v>
          </cell>
        </row>
        <row r="76">
          <cell r="B76">
            <v>3666</v>
          </cell>
          <cell r="C76">
            <v>301</v>
          </cell>
          <cell r="F76" t="str">
            <v>ПРС</v>
          </cell>
          <cell r="H76" t="str">
            <v>ЭЦН</v>
          </cell>
          <cell r="I76" t="str">
            <v>действ.</v>
          </cell>
          <cell r="K76">
            <v>85</v>
          </cell>
          <cell r="L76">
            <v>4.2</v>
          </cell>
          <cell r="M76">
            <v>94</v>
          </cell>
          <cell r="N76">
            <v>237</v>
          </cell>
          <cell r="O76">
            <v>11.7</v>
          </cell>
          <cell r="P76">
            <v>93.95</v>
          </cell>
          <cell r="Q76">
            <v>152</v>
          </cell>
          <cell r="R76">
            <v>7.4999999999999991</v>
          </cell>
          <cell r="S76">
            <v>93.9</v>
          </cell>
          <cell r="T76">
            <v>37686</v>
          </cell>
          <cell r="U76" t="str">
            <v>опт</v>
          </cell>
          <cell r="W76" t="str">
            <v>Смена Э-125/250</v>
          </cell>
        </row>
        <row r="77">
          <cell r="B77">
            <v>3815</v>
          </cell>
          <cell r="C77">
            <v>87</v>
          </cell>
          <cell r="F77" t="str">
            <v>ПРС</v>
          </cell>
          <cell r="H77" t="str">
            <v>фон</v>
          </cell>
          <cell r="I77" t="str">
            <v>бд</v>
          </cell>
          <cell r="K77">
            <v>0</v>
          </cell>
          <cell r="L77">
            <v>0</v>
          </cell>
          <cell r="M77">
            <v>0</v>
          </cell>
          <cell r="N77">
            <v>125</v>
          </cell>
          <cell r="O77">
            <v>7.1</v>
          </cell>
          <cell r="P77">
            <v>93</v>
          </cell>
          <cell r="Q77">
            <v>125</v>
          </cell>
          <cell r="R77">
            <v>7.1</v>
          </cell>
          <cell r="S77">
            <v>93</v>
          </cell>
          <cell r="T77">
            <v>37699</v>
          </cell>
          <cell r="U77" t="str">
            <v>ВЦД</v>
          </cell>
        </row>
        <row r="78">
          <cell r="B78">
            <v>3659</v>
          </cell>
          <cell r="C78" t="str">
            <v>76б</v>
          </cell>
          <cell r="F78" t="str">
            <v>ПРС</v>
          </cell>
          <cell r="H78" t="str">
            <v>ЭЦН</v>
          </cell>
          <cell r="I78" t="str">
            <v>бд</v>
          </cell>
          <cell r="K78">
            <v>0</v>
          </cell>
          <cell r="L78">
            <v>0</v>
          </cell>
          <cell r="M78">
            <v>0</v>
          </cell>
          <cell r="N78">
            <v>50</v>
          </cell>
          <cell r="O78">
            <v>5.3</v>
          </cell>
          <cell r="P78">
            <v>87</v>
          </cell>
          <cell r="Q78">
            <v>50</v>
          </cell>
          <cell r="R78">
            <v>5.3</v>
          </cell>
          <cell r="S78">
            <v>86.9</v>
          </cell>
          <cell r="T78">
            <v>37709</v>
          </cell>
          <cell r="U78" t="str">
            <v>ВЦД</v>
          </cell>
        </row>
        <row r="79">
          <cell r="B79">
            <v>5240</v>
          </cell>
          <cell r="C79">
            <v>134</v>
          </cell>
          <cell r="F79" t="str">
            <v>ПРС</v>
          </cell>
          <cell r="H79" t="str">
            <v>ШГН</v>
          </cell>
          <cell r="I79" t="str">
            <v>бдт</v>
          </cell>
          <cell r="K79">
            <v>0</v>
          </cell>
          <cell r="L79">
            <v>0</v>
          </cell>
          <cell r="M79">
            <v>0</v>
          </cell>
          <cell r="N79">
            <v>9</v>
          </cell>
          <cell r="O79">
            <v>6.6</v>
          </cell>
          <cell r="P79">
            <v>10</v>
          </cell>
          <cell r="Q79">
            <v>9</v>
          </cell>
          <cell r="R79">
            <v>6.6</v>
          </cell>
          <cell r="S79">
            <v>9.5</v>
          </cell>
          <cell r="T79">
            <v>37679</v>
          </cell>
          <cell r="U79" t="str">
            <v>бдт</v>
          </cell>
          <cell r="W79" t="str">
            <v>Смена вор/Н-44</v>
          </cell>
        </row>
        <row r="80">
          <cell r="B80">
            <v>5644</v>
          </cell>
          <cell r="C80">
            <v>126</v>
          </cell>
          <cell r="F80" t="str">
            <v>КРС</v>
          </cell>
          <cell r="H80" t="str">
            <v>ЭЦН</v>
          </cell>
          <cell r="I80" t="str">
            <v>действ.</v>
          </cell>
          <cell r="K80">
            <v>18</v>
          </cell>
          <cell r="L80">
            <v>12.8</v>
          </cell>
          <cell r="M80">
            <v>13</v>
          </cell>
          <cell r="N80">
            <v>25</v>
          </cell>
          <cell r="O80">
            <v>17.7</v>
          </cell>
          <cell r="P80">
            <v>13</v>
          </cell>
          <cell r="Q80">
            <v>7</v>
          </cell>
          <cell r="R80">
            <v>4.8999999999999986</v>
          </cell>
          <cell r="S80">
            <v>13.6</v>
          </cell>
          <cell r="T80">
            <v>37650</v>
          </cell>
          <cell r="U80" t="str">
            <v>ОПЗД</v>
          </cell>
          <cell r="AD80">
            <v>37631</v>
          </cell>
          <cell r="AE80">
            <v>37643</v>
          </cell>
        </row>
        <row r="81">
          <cell r="B81">
            <v>2695</v>
          </cell>
          <cell r="C81">
            <v>163</v>
          </cell>
          <cell r="F81" t="str">
            <v>ПРС</v>
          </cell>
          <cell r="H81" t="str">
            <v>фон</v>
          </cell>
          <cell r="I81" t="str">
            <v>конс.</v>
          </cell>
          <cell r="J81">
            <v>33725</v>
          </cell>
          <cell r="K81">
            <v>0</v>
          </cell>
          <cell r="L81">
            <v>0</v>
          </cell>
          <cell r="M81">
            <v>0</v>
          </cell>
          <cell r="N81">
            <v>15</v>
          </cell>
          <cell r="O81">
            <v>8.6</v>
          </cell>
          <cell r="P81">
            <v>30</v>
          </cell>
          <cell r="Q81">
            <v>15</v>
          </cell>
          <cell r="R81">
            <v>8.6</v>
          </cell>
          <cell r="S81">
            <v>29.2</v>
          </cell>
          <cell r="T81">
            <v>37650</v>
          </cell>
          <cell r="U81" t="str">
            <v>опт</v>
          </cell>
          <cell r="W81" t="str">
            <v>смена Н-57/Э-30</v>
          </cell>
          <cell r="AE81">
            <v>37657</v>
          </cell>
        </row>
        <row r="82">
          <cell r="B82">
            <v>3626</v>
          </cell>
          <cell r="C82">
            <v>301</v>
          </cell>
          <cell r="F82" t="str">
            <v>ПРС</v>
          </cell>
          <cell r="G82">
            <v>240</v>
          </cell>
          <cell r="H82" t="str">
            <v>ЭЦН</v>
          </cell>
          <cell r="I82" t="str">
            <v>бд</v>
          </cell>
          <cell r="J82">
            <v>34121</v>
          </cell>
          <cell r="K82">
            <v>0</v>
          </cell>
          <cell r="L82">
            <v>0</v>
          </cell>
          <cell r="M82">
            <v>0</v>
          </cell>
          <cell r="N82">
            <v>125</v>
          </cell>
          <cell r="O82">
            <v>5.0999999999999996</v>
          </cell>
          <cell r="P82">
            <v>95</v>
          </cell>
          <cell r="Q82">
            <v>125</v>
          </cell>
          <cell r="R82">
            <v>5.0999999999999996</v>
          </cell>
          <cell r="S82">
            <v>95</v>
          </cell>
          <cell r="T82">
            <v>37664</v>
          </cell>
          <cell r="U82" t="str">
            <v>бдп</v>
          </cell>
          <cell r="AE82">
            <v>37663</v>
          </cell>
        </row>
        <row r="83">
          <cell r="B83">
            <v>5611</v>
          </cell>
          <cell r="C83">
            <v>115</v>
          </cell>
          <cell r="F83" t="str">
            <v>ПРС</v>
          </cell>
          <cell r="H83" t="str">
            <v>ШГН</v>
          </cell>
          <cell r="I83" t="str">
            <v>действ.</v>
          </cell>
          <cell r="J83">
            <v>37640</v>
          </cell>
          <cell r="K83">
            <v>18</v>
          </cell>
          <cell r="L83">
            <v>8.1999999999999993</v>
          </cell>
          <cell r="M83">
            <v>44</v>
          </cell>
          <cell r="N83">
            <v>29</v>
          </cell>
          <cell r="O83">
            <v>13.2</v>
          </cell>
          <cell r="P83">
            <v>44</v>
          </cell>
          <cell r="Q83">
            <v>11</v>
          </cell>
          <cell r="R83">
            <v>5</v>
          </cell>
          <cell r="S83">
            <v>43.9</v>
          </cell>
          <cell r="T83">
            <v>37670</v>
          </cell>
          <cell r="U83" t="str">
            <v>опт</v>
          </cell>
          <cell r="AD83">
            <v>37645</v>
          </cell>
          <cell r="AE83">
            <v>37650</v>
          </cell>
        </row>
        <row r="84">
          <cell r="B84">
            <v>3424</v>
          </cell>
          <cell r="C84">
            <v>68</v>
          </cell>
          <cell r="F84" t="str">
            <v>Э-прогрев</v>
          </cell>
          <cell r="G84">
            <v>240</v>
          </cell>
          <cell r="H84" t="str">
            <v>ЭЦН</v>
          </cell>
          <cell r="I84" t="str">
            <v>конс.</v>
          </cell>
          <cell r="J84">
            <v>33939</v>
          </cell>
          <cell r="K84">
            <v>0</v>
          </cell>
          <cell r="L84">
            <v>0</v>
          </cell>
          <cell r="M84">
            <v>0</v>
          </cell>
          <cell r="N84">
            <v>125</v>
          </cell>
          <cell r="O84">
            <v>5.0999999999999996</v>
          </cell>
          <cell r="P84">
            <v>95</v>
          </cell>
          <cell r="Q84">
            <v>125</v>
          </cell>
          <cell r="R84">
            <v>5.0999999999999996</v>
          </cell>
          <cell r="S84">
            <v>95</v>
          </cell>
          <cell r="T84">
            <v>37657</v>
          </cell>
          <cell r="U84" t="str">
            <v>ВЦД</v>
          </cell>
          <cell r="W84" t="str">
            <v>ВЦ</v>
          </cell>
          <cell r="AD84">
            <v>37645</v>
          </cell>
          <cell r="AE84">
            <v>37666</v>
          </cell>
        </row>
        <row r="85">
          <cell r="B85">
            <v>5714</v>
          </cell>
          <cell r="C85">
            <v>128</v>
          </cell>
          <cell r="F85" t="str">
            <v>Э-прогрев</v>
          </cell>
          <cell r="G85">
            <v>280</v>
          </cell>
          <cell r="H85" t="str">
            <v>ЭЦН</v>
          </cell>
          <cell r="I85" t="str">
            <v>бд</v>
          </cell>
          <cell r="J85">
            <v>35753</v>
          </cell>
          <cell r="K85">
            <v>0</v>
          </cell>
          <cell r="L85">
            <v>0</v>
          </cell>
          <cell r="M85">
            <v>0</v>
          </cell>
          <cell r="N85">
            <v>50</v>
          </cell>
          <cell r="O85">
            <v>6.1</v>
          </cell>
          <cell r="P85">
            <v>85</v>
          </cell>
          <cell r="Q85">
            <v>50</v>
          </cell>
          <cell r="R85">
            <v>6.1</v>
          </cell>
          <cell r="S85">
            <v>84.9</v>
          </cell>
          <cell r="T85">
            <v>37673</v>
          </cell>
          <cell r="U85" t="str">
            <v>ВЦД</v>
          </cell>
          <cell r="W85" t="str">
            <v>ВЦ</v>
          </cell>
        </row>
        <row r="86">
          <cell r="B86">
            <v>5856</v>
          </cell>
          <cell r="C86">
            <v>169</v>
          </cell>
          <cell r="F86" t="str">
            <v>ПРС</v>
          </cell>
          <cell r="H86" t="str">
            <v>фон.</v>
          </cell>
          <cell r="I86" t="str">
            <v>бд</v>
          </cell>
          <cell r="J86">
            <v>36585</v>
          </cell>
          <cell r="K86">
            <v>0</v>
          </cell>
          <cell r="L86">
            <v>0</v>
          </cell>
          <cell r="M86">
            <v>0</v>
          </cell>
          <cell r="N86">
            <v>30</v>
          </cell>
          <cell r="O86">
            <v>3.7</v>
          </cell>
          <cell r="P86">
            <v>85</v>
          </cell>
          <cell r="Q86">
            <v>30</v>
          </cell>
          <cell r="R86">
            <v>3.7</v>
          </cell>
          <cell r="S86">
            <v>84.8</v>
          </cell>
          <cell r="T86">
            <v>37636</v>
          </cell>
          <cell r="U86" t="str">
            <v>бдп</v>
          </cell>
          <cell r="W86" t="str">
            <v>Смена вор./Э-30</v>
          </cell>
          <cell r="AD86">
            <v>37608</v>
          </cell>
          <cell r="AE86">
            <v>37642</v>
          </cell>
        </row>
        <row r="87">
          <cell r="B87">
            <v>3888</v>
          </cell>
          <cell r="C87">
            <v>99</v>
          </cell>
          <cell r="F87" t="str">
            <v>Э-прогрев</v>
          </cell>
          <cell r="G87">
            <v>240</v>
          </cell>
          <cell r="H87" t="str">
            <v>ЭЦН</v>
          </cell>
          <cell r="I87" t="str">
            <v>конс.</v>
          </cell>
          <cell r="J87">
            <v>34274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4.0999999999999996</v>
          </cell>
          <cell r="P87">
            <v>90</v>
          </cell>
          <cell r="Q87">
            <v>50</v>
          </cell>
          <cell r="R87">
            <v>4.0999999999999996</v>
          </cell>
          <cell r="S87">
            <v>89.9</v>
          </cell>
          <cell r="T87">
            <v>37685</v>
          </cell>
          <cell r="U87" t="str">
            <v>ВЦД</v>
          </cell>
          <cell r="W87" t="str">
            <v>ВЦ</v>
          </cell>
        </row>
        <row r="88">
          <cell r="B88">
            <v>5855</v>
          </cell>
          <cell r="C88">
            <v>169</v>
          </cell>
          <cell r="F88" t="str">
            <v>ПРС</v>
          </cell>
          <cell r="H88" t="str">
            <v>фон</v>
          </cell>
          <cell r="I88" t="str">
            <v>конс.</v>
          </cell>
          <cell r="J88">
            <v>35401</v>
          </cell>
          <cell r="K88">
            <v>0</v>
          </cell>
          <cell r="L88">
            <v>0</v>
          </cell>
          <cell r="M88">
            <v>0</v>
          </cell>
          <cell r="N88">
            <v>30</v>
          </cell>
          <cell r="O88">
            <v>12.2</v>
          </cell>
          <cell r="P88">
            <v>50</v>
          </cell>
          <cell r="Q88">
            <v>30</v>
          </cell>
          <cell r="R88">
            <v>12.2</v>
          </cell>
          <cell r="S88">
            <v>49.8</v>
          </cell>
          <cell r="T88">
            <v>37593</v>
          </cell>
          <cell r="U88" t="str">
            <v>вцд</v>
          </cell>
          <cell r="W88" t="str">
            <v>Смена вор./Э-30</v>
          </cell>
        </row>
        <row r="89">
          <cell r="B89">
            <v>5851</v>
          </cell>
          <cell r="C89">
            <v>169</v>
          </cell>
          <cell r="F89" t="str">
            <v>ПРС</v>
          </cell>
          <cell r="H89" t="str">
            <v>фон</v>
          </cell>
          <cell r="I89" t="str">
            <v>бд</v>
          </cell>
          <cell r="J89">
            <v>36840</v>
          </cell>
          <cell r="K89">
            <v>0</v>
          </cell>
          <cell r="L89">
            <v>0</v>
          </cell>
          <cell r="M89">
            <v>0</v>
          </cell>
          <cell r="N89">
            <v>80</v>
          </cell>
          <cell r="O89">
            <v>3.3</v>
          </cell>
          <cell r="P89">
            <v>95</v>
          </cell>
          <cell r="Q89">
            <v>80</v>
          </cell>
          <cell r="R89">
            <v>3.3</v>
          </cell>
          <cell r="S89">
            <v>94.9</v>
          </cell>
          <cell r="T89">
            <v>37607</v>
          </cell>
          <cell r="U89" t="str">
            <v>бдп</v>
          </cell>
          <cell r="W89" t="str">
            <v>Смена вор./Э-80</v>
          </cell>
        </row>
        <row r="90">
          <cell r="B90">
            <v>5715</v>
          </cell>
          <cell r="C90">
            <v>128</v>
          </cell>
          <cell r="F90" t="str">
            <v>ПРС</v>
          </cell>
          <cell r="H90" t="str">
            <v>фон</v>
          </cell>
          <cell r="I90" t="str">
            <v>бд</v>
          </cell>
          <cell r="J90">
            <v>32006</v>
          </cell>
          <cell r="K90">
            <v>0</v>
          </cell>
          <cell r="L90">
            <v>0</v>
          </cell>
          <cell r="M90">
            <v>0</v>
          </cell>
          <cell r="N90">
            <v>50</v>
          </cell>
          <cell r="O90">
            <v>8.1999999999999993</v>
          </cell>
          <cell r="P90">
            <v>80</v>
          </cell>
          <cell r="Q90">
            <v>50</v>
          </cell>
          <cell r="R90">
            <v>8.1999999999999993</v>
          </cell>
          <cell r="S90">
            <v>79.8</v>
          </cell>
          <cell r="T90">
            <v>37593</v>
          </cell>
          <cell r="U90" t="str">
            <v>вцд</v>
          </cell>
          <cell r="W90" t="str">
            <v>Смена вор./Э-50</v>
          </cell>
        </row>
        <row r="91">
          <cell r="B91">
            <v>2991</v>
          </cell>
          <cell r="C91">
            <v>48</v>
          </cell>
          <cell r="F91" t="str">
            <v>ПРС</v>
          </cell>
          <cell r="G91">
            <v>255</v>
          </cell>
          <cell r="H91" t="str">
            <v>ЭЦН</v>
          </cell>
          <cell r="I91" t="str">
            <v>действ.</v>
          </cell>
          <cell r="K91">
            <v>82</v>
          </cell>
          <cell r="L91">
            <v>10.7</v>
          </cell>
          <cell r="M91">
            <v>84</v>
          </cell>
          <cell r="N91">
            <v>118</v>
          </cell>
          <cell r="O91">
            <v>15.4</v>
          </cell>
          <cell r="P91">
            <v>84</v>
          </cell>
          <cell r="Q91">
            <v>36</v>
          </cell>
          <cell r="R91">
            <v>4.7000000000000011</v>
          </cell>
          <cell r="S91">
            <v>83.9</v>
          </cell>
          <cell r="T91">
            <v>37601</v>
          </cell>
          <cell r="U91" t="str">
            <v>опт</v>
          </cell>
          <cell r="W91" t="str">
            <v>Смена Э-80/Э-125</v>
          </cell>
        </row>
        <row r="92">
          <cell r="B92">
            <v>2921</v>
          </cell>
          <cell r="C92" t="str">
            <v>43б</v>
          </cell>
          <cell r="F92" t="str">
            <v>ПРС</v>
          </cell>
          <cell r="H92" t="str">
            <v>ШГН</v>
          </cell>
          <cell r="I92" t="str">
            <v>действ.</v>
          </cell>
          <cell r="K92">
            <v>26</v>
          </cell>
          <cell r="L92">
            <v>13.8</v>
          </cell>
          <cell r="M92">
            <v>35</v>
          </cell>
          <cell r="N92">
            <v>37</v>
          </cell>
          <cell r="O92">
            <v>19.8</v>
          </cell>
          <cell r="P92">
            <v>35</v>
          </cell>
          <cell r="Q92">
            <v>11</v>
          </cell>
          <cell r="R92">
            <v>6</v>
          </cell>
          <cell r="S92">
            <v>32.700000000000003</v>
          </cell>
          <cell r="T92">
            <v>37605</v>
          </cell>
          <cell r="U92" t="str">
            <v>опт</v>
          </cell>
          <cell r="W92" t="str">
            <v>Смена Н-44/Э-30</v>
          </cell>
          <cell r="Y92" t="str">
            <v>Нет СУ</v>
          </cell>
        </row>
        <row r="93">
          <cell r="B93">
            <v>5553</v>
          </cell>
          <cell r="C93">
            <v>117</v>
          </cell>
          <cell r="F93" t="str">
            <v>ПРС</v>
          </cell>
          <cell r="H93" t="str">
            <v>ШГН</v>
          </cell>
          <cell r="I93" t="str">
            <v>конс.</v>
          </cell>
          <cell r="J93">
            <v>33178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4.9000000000000004</v>
          </cell>
          <cell r="P93">
            <v>88</v>
          </cell>
          <cell r="Q93">
            <v>50</v>
          </cell>
          <cell r="R93">
            <v>4.9000000000000004</v>
          </cell>
          <cell r="S93">
            <v>87.9</v>
          </cell>
          <cell r="T93">
            <v>37551</v>
          </cell>
          <cell r="W93" t="str">
            <v>в.ц.,в.з.(г/ж),НН-57/Э-50</v>
          </cell>
          <cell r="X93" t="str">
            <v>непроход</v>
          </cell>
          <cell r="Z93" t="str">
            <v>?</v>
          </cell>
        </row>
        <row r="94">
          <cell r="B94">
            <v>2817</v>
          </cell>
          <cell r="C94">
            <v>145</v>
          </cell>
          <cell r="F94" t="str">
            <v>ПРС</v>
          </cell>
          <cell r="H94" t="str">
            <v>Ф/Э</v>
          </cell>
          <cell r="I94" t="str">
            <v>бд</v>
          </cell>
          <cell r="J94">
            <v>34282</v>
          </cell>
          <cell r="K94">
            <v>0</v>
          </cell>
          <cell r="L94">
            <v>0</v>
          </cell>
          <cell r="M94">
            <v>0</v>
          </cell>
          <cell r="N94">
            <v>50</v>
          </cell>
          <cell r="O94">
            <v>4.0999999999999996</v>
          </cell>
          <cell r="P94">
            <v>90</v>
          </cell>
          <cell r="Q94">
            <v>50</v>
          </cell>
          <cell r="R94">
            <v>4.0999999999999996</v>
          </cell>
          <cell r="S94">
            <v>89.9</v>
          </cell>
          <cell r="T94">
            <v>37585</v>
          </cell>
          <cell r="U94" t="str">
            <v>ВЦД</v>
          </cell>
          <cell r="W94" t="str">
            <v>в.ц.,в.з.(г/ж),рев.ЭЦН-50</v>
          </cell>
          <cell r="X94" t="str">
            <v>Прихват ЭЦН</v>
          </cell>
          <cell r="Y94" t="str">
            <v>комплект</v>
          </cell>
          <cell r="Z94" t="str">
            <v>?</v>
          </cell>
        </row>
        <row r="95">
          <cell r="B95">
            <v>2816</v>
          </cell>
          <cell r="C95">
            <v>145</v>
          </cell>
          <cell r="F95" t="str">
            <v>ПРС</v>
          </cell>
          <cell r="H95" t="str">
            <v>Ф/Э</v>
          </cell>
          <cell r="I95" t="str">
            <v>конс.</v>
          </cell>
          <cell r="J95">
            <v>34060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4.0999999999999996</v>
          </cell>
          <cell r="P95">
            <v>90</v>
          </cell>
          <cell r="Q95">
            <v>50</v>
          </cell>
          <cell r="R95">
            <v>4.0999999999999996</v>
          </cell>
          <cell r="S95">
            <v>89.9</v>
          </cell>
          <cell r="W95" t="str">
            <v>в.ц.,в.з.(г/ж),рев.ЭЦН-50</v>
          </cell>
          <cell r="Y95" t="str">
            <v>комплект</v>
          </cell>
        </row>
        <row r="96">
          <cell r="B96">
            <v>3034</v>
          </cell>
          <cell r="C96">
            <v>51</v>
          </cell>
          <cell r="F96" t="str">
            <v>ПРС</v>
          </cell>
          <cell r="H96" t="str">
            <v>ШГН</v>
          </cell>
          <cell r="I96" t="str">
            <v>конс.</v>
          </cell>
          <cell r="J96">
            <v>32933</v>
          </cell>
          <cell r="K96">
            <v>0</v>
          </cell>
          <cell r="L96">
            <v>0</v>
          </cell>
          <cell r="M96">
            <v>0</v>
          </cell>
          <cell r="N96">
            <v>30</v>
          </cell>
          <cell r="O96">
            <v>9.8000000000000007</v>
          </cell>
          <cell r="P96">
            <v>60</v>
          </cell>
          <cell r="Q96">
            <v>30</v>
          </cell>
          <cell r="R96">
            <v>9.8000000000000007</v>
          </cell>
          <cell r="S96">
            <v>59.7</v>
          </cell>
          <cell r="T96">
            <v>37581</v>
          </cell>
          <cell r="U96" t="str">
            <v>ВЦД</v>
          </cell>
          <cell r="W96" t="str">
            <v>в.ц.,в.з.(г/ж),рев.ЭЦН-30</v>
          </cell>
          <cell r="X96" t="str">
            <v>непроход</v>
          </cell>
          <cell r="Y96" t="str">
            <v>комплект</v>
          </cell>
          <cell r="Z96">
            <v>2</v>
          </cell>
        </row>
        <row r="97">
          <cell r="B97">
            <v>5704</v>
          </cell>
          <cell r="C97">
            <v>126</v>
          </cell>
          <cell r="F97" t="str">
            <v>ПРС</v>
          </cell>
          <cell r="H97" t="str">
            <v>ШГН</v>
          </cell>
          <cell r="I97" t="str">
            <v>бд</v>
          </cell>
          <cell r="J97">
            <v>37174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8.1999999999999993</v>
          </cell>
          <cell r="P97">
            <v>0</v>
          </cell>
          <cell r="Q97">
            <v>10</v>
          </cell>
          <cell r="R97">
            <v>8.1999999999999993</v>
          </cell>
          <cell r="S97">
            <v>-1.2</v>
          </cell>
          <cell r="W97" t="str">
            <v>ВЦ КОПС,ВЗ(ГЖ)рев.НВ-44</v>
          </cell>
          <cell r="Y97" t="str">
            <v>комплект</v>
          </cell>
        </row>
        <row r="98">
          <cell r="B98">
            <v>5339</v>
          </cell>
          <cell r="C98">
            <v>141</v>
          </cell>
          <cell r="F98" t="str">
            <v>ПРС</v>
          </cell>
          <cell r="H98" t="str">
            <v>ШГН</v>
          </cell>
          <cell r="I98" t="str">
            <v>бд</v>
          </cell>
          <cell r="J98">
            <v>36126</v>
          </cell>
          <cell r="K98">
            <v>0</v>
          </cell>
          <cell r="L98">
            <v>0</v>
          </cell>
          <cell r="M98">
            <v>0</v>
          </cell>
          <cell r="N98">
            <v>10</v>
          </cell>
          <cell r="O98">
            <v>6.1</v>
          </cell>
          <cell r="P98">
            <v>25</v>
          </cell>
          <cell r="Q98">
            <v>10</v>
          </cell>
          <cell r="R98">
            <v>6.1</v>
          </cell>
          <cell r="S98">
            <v>24.7</v>
          </cell>
          <cell r="W98" t="str">
            <v>в.ц.,в.з.(г/ж),рев.НВ-44</v>
          </cell>
          <cell r="Z98">
            <v>78</v>
          </cell>
        </row>
        <row r="99">
          <cell r="B99">
            <v>5545</v>
          </cell>
          <cell r="C99">
            <v>115</v>
          </cell>
          <cell r="F99" t="str">
            <v>ПРС</v>
          </cell>
          <cell r="H99" t="str">
            <v>ЭЦН</v>
          </cell>
          <cell r="I99" t="str">
            <v>бд</v>
          </cell>
          <cell r="J99">
            <v>34484</v>
          </cell>
          <cell r="K99">
            <v>0</v>
          </cell>
          <cell r="L99">
            <v>0</v>
          </cell>
          <cell r="M99">
            <v>0</v>
          </cell>
          <cell r="N99">
            <v>250</v>
          </cell>
          <cell r="O99">
            <v>6.1</v>
          </cell>
          <cell r="P99">
            <v>97</v>
          </cell>
          <cell r="Q99">
            <v>250</v>
          </cell>
          <cell r="R99">
            <v>6.1</v>
          </cell>
          <cell r="S99">
            <v>97</v>
          </cell>
          <cell r="W99" t="str">
            <v>ВЗ(ГЖ),шабл.Э/К,см.Э-125/Э-250</v>
          </cell>
          <cell r="Y99" t="str">
            <v>комплект</v>
          </cell>
          <cell r="Z99">
            <v>72</v>
          </cell>
        </row>
        <row r="100">
          <cell r="B100">
            <v>5642</v>
          </cell>
          <cell r="C100">
            <v>126</v>
          </cell>
          <cell r="F100" t="str">
            <v>ПРС</v>
          </cell>
          <cell r="H100" t="str">
            <v>ШГН</v>
          </cell>
          <cell r="I100" t="str">
            <v>бд</v>
          </cell>
          <cell r="J100">
            <v>36997</v>
          </cell>
          <cell r="K100">
            <v>0</v>
          </cell>
          <cell r="L100">
            <v>0</v>
          </cell>
          <cell r="M100">
            <v>0</v>
          </cell>
          <cell r="N100">
            <v>12</v>
          </cell>
          <cell r="O100">
            <v>5.9</v>
          </cell>
          <cell r="P100">
            <v>40</v>
          </cell>
          <cell r="Q100">
            <v>12</v>
          </cell>
          <cell r="R100">
            <v>5.9</v>
          </cell>
          <cell r="S100">
            <v>39.299999999999997</v>
          </cell>
          <cell r="W100" t="str">
            <v>ВЦ КОПС,ВЗ(ГЖ)рев.НВ-44</v>
          </cell>
          <cell r="Z100">
            <v>7</v>
          </cell>
        </row>
        <row r="101">
          <cell r="B101">
            <v>5219</v>
          </cell>
          <cell r="C101">
            <v>135</v>
          </cell>
          <cell r="F101" t="str">
            <v>ПРС</v>
          </cell>
          <cell r="H101" t="str">
            <v>ЭЦН</v>
          </cell>
          <cell r="I101" t="str">
            <v>конс.</v>
          </cell>
          <cell r="J101">
            <v>34366</v>
          </cell>
          <cell r="K101">
            <v>0</v>
          </cell>
          <cell r="L101">
            <v>0</v>
          </cell>
          <cell r="M101">
            <v>0</v>
          </cell>
          <cell r="N101">
            <v>80</v>
          </cell>
          <cell r="O101">
            <v>5.2</v>
          </cell>
          <cell r="P101">
            <v>92</v>
          </cell>
          <cell r="Q101">
            <v>80</v>
          </cell>
          <cell r="R101">
            <v>5.2</v>
          </cell>
          <cell r="S101">
            <v>92</v>
          </cell>
          <cell r="W101" t="str">
            <v>в.ц.,в.з.(г/ж),Э-50/Э-80</v>
          </cell>
          <cell r="Z101" t="str">
            <v>?</v>
          </cell>
        </row>
        <row r="102">
          <cell r="B102">
            <v>5591</v>
          </cell>
          <cell r="C102">
            <v>118</v>
          </cell>
          <cell r="F102" t="str">
            <v>ПРС</v>
          </cell>
          <cell r="H102" t="str">
            <v>ШГН</v>
          </cell>
          <cell r="I102" t="str">
            <v>конс.</v>
          </cell>
          <cell r="J102">
            <v>34153</v>
          </cell>
          <cell r="K102">
            <v>0</v>
          </cell>
          <cell r="L102">
            <v>0</v>
          </cell>
          <cell r="M102">
            <v>0</v>
          </cell>
          <cell r="N102">
            <v>125</v>
          </cell>
          <cell r="O102">
            <v>5.0999999999999996</v>
          </cell>
          <cell r="P102">
            <v>95</v>
          </cell>
          <cell r="Q102">
            <v>125</v>
          </cell>
          <cell r="R102">
            <v>5.0999999999999996</v>
          </cell>
          <cell r="S102">
            <v>95</v>
          </cell>
          <cell r="W102" t="str">
            <v>в.ц.,рев.Э-125</v>
          </cell>
          <cell r="Z102">
            <v>4</v>
          </cell>
        </row>
        <row r="103">
          <cell r="B103">
            <v>5589</v>
          </cell>
          <cell r="C103">
            <v>118</v>
          </cell>
          <cell r="F103" t="str">
            <v>ПРС</v>
          </cell>
          <cell r="H103" t="str">
            <v>Ф/Э</v>
          </cell>
          <cell r="I103" t="str">
            <v>конс.</v>
          </cell>
          <cell r="J103">
            <v>32843</v>
          </cell>
          <cell r="K103">
            <v>0</v>
          </cell>
          <cell r="L103">
            <v>0</v>
          </cell>
          <cell r="M103">
            <v>0</v>
          </cell>
          <cell r="N103">
            <v>125</v>
          </cell>
          <cell r="O103">
            <v>5.0999999999999996</v>
          </cell>
          <cell r="P103">
            <v>95</v>
          </cell>
          <cell r="Q103">
            <v>125</v>
          </cell>
          <cell r="R103">
            <v>5.0999999999999996</v>
          </cell>
          <cell r="S103">
            <v>95</v>
          </cell>
          <cell r="W103" t="str">
            <v>в.ц.,в.з.(г/ж),рев.ЭЦН-125</v>
          </cell>
          <cell r="Y103" t="str">
            <v>комплект</v>
          </cell>
          <cell r="Z103">
            <v>25</v>
          </cell>
        </row>
        <row r="104">
          <cell r="B104">
            <v>5675</v>
          </cell>
          <cell r="C104">
            <v>126</v>
          </cell>
          <cell r="F104" t="str">
            <v>ПРС</v>
          </cell>
          <cell r="H104" t="str">
            <v>ШГН</v>
          </cell>
          <cell r="I104" t="str">
            <v>конс.</v>
          </cell>
          <cell r="J104">
            <v>35585</v>
          </cell>
          <cell r="K104">
            <v>0</v>
          </cell>
          <cell r="L104">
            <v>0</v>
          </cell>
          <cell r="M104">
            <v>0</v>
          </cell>
          <cell r="N104">
            <v>10</v>
          </cell>
          <cell r="O104">
            <v>4.9000000000000004</v>
          </cell>
          <cell r="P104">
            <v>40</v>
          </cell>
          <cell r="Q104">
            <v>10</v>
          </cell>
          <cell r="R104">
            <v>4.9000000000000004</v>
          </cell>
          <cell r="S104">
            <v>39.5</v>
          </cell>
          <cell r="W104" t="str">
            <v>в.ц.,в.з.(г/ж),рев.НВ-44</v>
          </cell>
          <cell r="Y104" t="str">
            <v>комплект</v>
          </cell>
          <cell r="Z104" t="str">
            <v>?</v>
          </cell>
        </row>
        <row r="105">
          <cell r="B105">
            <v>5493</v>
          </cell>
          <cell r="C105">
            <v>106</v>
          </cell>
          <cell r="F105" t="str">
            <v>ПРС</v>
          </cell>
          <cell r="H105" t="str">
            <v>ШГН</v>
          </cell>
          <cell r="I105" t="str">
            <v>конс.</v>
          </cell>
          <cell r="J105">
            <v>35247</v>
          </cell>
          <cell r="K105">
            <v>0</v>
          </cell>
          <cell r="L105">
            <v>0</v>
          </cell>
          <cell r="M105">
            <v>0</v>
          </cell>
          <cell r="N105">
            <v>12</v>
          </cell>
          <cell r="O105">
            <v>4.9000000000000004</v>
          </cell>
          <cell r="P105">
            <v>50</v>
          </cell>
          <cell r="Q105">
            <v>12</v>
          </cell>
          <cell r="R105">
            <v>4.9000000000000004</v>
          </cell>
          <cell r="S105">
            <v>49.6</v>
          </cell>
          <cell r="W105" t="str">
            <v>в.ц.,рев.НВ-44</v>
          </cell>
        </row>
        <row r="106">
          <cell r="B106">
            <v>5587</v>
          </cell>
          <cell r="C106">
            <v>118</v>
          </cell>
          <cell r="F106" t="str">
            <v>ПРС</v>
          </cell>
          <cell r="H106" t="str">
            <v>Ф/Э</v>
          </cell>
          <cell r="I106" t="str">
            <v>бд</v>
          </cell>
          <cell r="J106">
            <v>34883</v>
          </cell>
          <cell r="K106">
            <v>0</v>
          </cell>
          <cell r="L106">
            <v>0</v>
          </cell>
          <cell r="M106">
            <v>0</v>
          </cell>
          <cell r="N106">
            <v>50</v>
          </cell>
          <cell r="O106">
            <v>4.9000000000000004</v>
          </cell>
          <cell r="P106">
            <v>88</v>
          </cell>
          <cell r="Q106">
            <v>50</v>
          </cell>
          <cell r="R106">
            <v>4.9000000000000004</v>
          </cell>
          <cell r="S106">
            <v>87.9</v>
          </cell>
          <cell r="W106" t="str">
            <v>в.ц.,в.з.(г/ж),вор./Э-50</v>
          </cell>
        </row>
        <row r="107">
          <cell r="B107">
            <v>5495</v>
          </cell>
          <cell r="C107">
            <v>106</v>
          </cell>
          <cell r="F107" t="str">
            <v>ПРС</v>
          </cell>
          <cell r="H107" t="str">
            <v>ЭЦН</v>
          </cell>
          <cell r="I107" t="str">
            <v>бд</v>
          </cell>
          <cell r="J107">
            <v>33755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4.9000000000000004</v>
          </cell>
          <cell r="P107">
            <v>88</v>
          </cell>
          <cell r="Q107">
            <v>50</v>
          </cell>
          <cell r="R107">
            <v>4.9000000000000004</v>
          </cell>
          <cell r="S107">
            <v>87.9</v>
          </cell>
          <cell r="T107">
            <v>37583</v>
          </cell>
          <cell r="U107" t="str">
            <v>ВЦД</v>
          </cell>
          <cell r="W107" t="str">
            <v>в.ц.,в.з.(г/ж),рев.ЭЦН-50</v>
          </cell>
          <cell r="X107" t="str">
            <v>Низкий приток</v>
          </cell>
          <cell r="Y107" t="str">
            <v>комплект</v>
          </cell>
          <cell r="Z107" t="str">
            <v>?</v>
          </cell>
        </row>
        <row r="108">
          <cell r="B108">
            <v>5553</v>
          </cell>
          <cell r="C108">
            <v>117</v>
          </cell>
          <cell r="F108" t="str">
            <v>ПРС</v>
          </cell>
          <cell r="H108" t="str">
            <v>ШГН</v>
          </cell>
          <cell r="I108" t="str">
            <v>конс.</v>
          </cell>
          <cell r="J108">
            <v>33178</v>
          </cell>
          <cell r="K108">
            <v>0</v>
          </cell>
          <cell r="L108">
            <v>0</v>
          </cell>
          <cell r="M108">
            <v>0</v>
          </cell>
          <cell r="N108">
            <v>50</v>
          </cell>
          <cell r="O108">
            <v>4.9000000000000004</v>
          </cell>
          <cell r="P108">
            <v>88</v>
          </cell>
          <cell r="Q108">
            <v>50</v>
          </cell>
          <cell r="R108">
            <v>4.9000000000000004</v>
          </cell>
          <cell r="S108">
            <v>87.9</v>
          </cell>
          <cell r="W108" t="str">
            <v>в.ц.,в.з.(г/ж),НН-57/Э-50</v>
          </cell>
          <cell r="Z108" t="str">
            <v>?</v>
          </cell>
        </row>
        <row r="109">
          <cell r="B109">
            <v>5462</v>
          </cell>
          <cell r="C109">
            <v>104</v>
          </cell>
          <cell r="F109" t="str">
            <v>ПРС</v>
          </cell>
          <cell r="H109" t="str">
            <v>ЭЦН</v>
          </cell>
          <cell r="I109" t="str">
            <v>бд</v>
          </cell>
          <cell r="J109">
            <v>34851</v>
          </cell>
          <cell r="K109">
            <v>0</v>
          </cell>
          <cell r="L109">
            <v>0</v>
          </cell>
          <cell r="M109">
            <v>0</v>
          </cell>
          <cell r="N109">
            <v>80</v>
          </cell>
          <cell r="O109">
            <v>4.5999999999999996</v>
          </cell>
          <cell r="P109">
            <v>93</v>
          </cell>
          <cell r="Q109">
            <v>80</v>
          </cell>
          <cell r="R109">
            <v>4.5999999999999996</v>
          </cell>
          <cell r="S109">
            <v>92.9</v>
          </cell>
          <cell r="W109" t="str">
            <v>в.ц.,в.з.(г/ж),рев.ЭЦН-80</v>
          </cell>
        </row>
        <row r="110">
          <cell r="B110" t="str">
            <v>5411б</v>
          </cell>
          <cell r="C110">
            <v>107</v>
          </cell>
          <cell r="F110" t="str">
            <v>ПРС</v>
          </cell>
          <cell r="H110" t="str">
            <v>ШГН</v>
          </cell>
          <cell r="I110" t="str">
            <v>бд</v>
          </cell>
          <cell r="J110">
            <v>35992</v>
          </cell>
          <cell r="K110">
            <v>0</v>
          </cell>
          <cell r="L110">
            <v>0</v>
          </cell>
          <cell r="M110">
            <v>0</v>
          </cell>
          <cell r="N110">
            <v>6</v>
          </cell>
          <cell r="O110">
            <v>4.4000000000000004</v>
          </cell>
          <cell r="P110">
            <v>10</v>
          </cell>
          <cell r="Q110">
            <v>6</v>
          </cell>
          <cell r="R110">
            <v>4.4000000000000004</v>
          </cell>
          <cell r="S110">
            <v>9.5</v>
          </cell>
          <cell r="W110" t="str">
            <v>в.ц.,рев.НВ-32</v>
          </cell>
          <cell r="Y110" t="str">
            <v>комплект(нет центра)</v>
          </cell>
          <cell r="Z110" t="str">
            <v>26</v>
          </cell>
        </row>
        <row r="111">
          <cell r="B111">
            <v>2862</v>
          </cell>
          <cell r="C111">
            <v>127</v>
          </cell>
          <cell r="F111" t="str">
            <v>ПРС</v>
          </cell>
          <cell r="H111" t="str">
            <v>ШГН</v>
          </cell>
          <cell r="I111" t="str">
            <v>бд</v>
          </cell>
          <cell r="J111">
            <v>37142</v>
          </cell>
          <cell r="K111">
            <v>0</v>
          </cell>
          <cell r="L111">
            <v>0</v>
          </cell>
          <cell r="M111">
            <v>0</v>
          </cell>
          <cell r="N111">
            <v>50</v>
          </cell>
          <cell r="O111">
            <v>4.0999999999999996</v>
          </cell>
          <cell r="P111">
            <v>90</v>
          </cell>
          <cell r="Q111">
            <v>50</v>
          </cell>
          <cell r="R111">
            <v>4.0999999999999996</v>
          </cell>
          <cell r="S111">
            <v>89.9</v>
          </cell>
          <cell r="W111" t="str">
            <v>в.ц.,НН-57/Э-50</v>
          </cell>
          <cell r="Y111" t="str">
            <v>Нет ЭД, СУ.</v>
          </cell>
          <cell r="Z111" t="str">
            <v>?</v>
          </cell>
        </row>
        <row r="112">
          <cell r="B112">
            <v>2861</v>
          </cell>
          <cell r="C112">
            <v>127</v>
          </cell>
          <cell r="F112" t="str">
            <v>ПРС</v>
          </cell>
          <cell r="H112" t="str">
            <v>ШГН</v>
          </cell>
          <cell r="I112" t="str">
            <v>бд</v>
          </cell>
          <cell r="J112">
            <v>35455</v>
          </cell>
          <cell r="K112">
            <v>0</v>
          </cell>
          <cell r="L112">
            <v>0</v>
          </cell>
          <cell r="M112">
            <v>0</v>
          </cell>
          <cell r="N112">
            <v>50</v>
          </cell>
          <cell r="O112">
            <v>4.0999999999999996</v>
          </cell>
          <cell r="P112">
            <v>90</v>
          </cell>
          <cell r="Q112">
            <v>50</v>
          </cell>
          <cell r="R112">
            <v>4.0999999999999996</v>
          </cell>
          <cell r="S112">
            <v>89.9</v>
          </cell>
          <cell r="W112" t="str">
            <v>в.ц.,в.з.(г/ж),НН-57/Э-50</v>
          </cell>
          <cell r="Z112">
            <v>19.82</v>
          </cell>
        </row>
        <row r="113">
          <cell r="B113">
            <v>5224</v>
          </cell>
          <cell r="C113">
            <v>145</v>
          </cell>
          <cell r="F113" t="str">
            <v>ПРС</v>
          </cell>
          <cell r="H113" t="str">
            <v>Ф/Э</v>
          </cell>
          <cell r="I113" t="str">
            <v>конс.</v>
          </cell>
          <cell r="J113">
            <v>34883</v>
          </cell>
          <cell r="K113">
            <v>0</v>
          </cell>
          <cell r="L113">
            <v>0</v>
          </cell>
          <cell r="M113">
            <v>0</v>
          </cell>
          <cell r="N113">
            <v>50</v>
          </cell>
          <cell r="O113">
            <v>4.0999999999999996</v>
          </cell>
          <cell r="P113">
            <v>90</v>
          </cell>
          <cell r="Q113">
            <v>50</v>
          </cell>
          <cell r="R113">
            <v>4.0999999999999996</v>
          </cell>
          <cell r="S113">
            <v>89.9</v>
          </cell>
          <cell r="W113" t="str">
            <v>рев.Э-50</v>
          </cell>
          <cell r="Z113">
            <v>15</v>
          </cell>
        </row>
        <row r="114">
          <cell r="B114">
            <v>5583</v>
          </cell>
          <cell r="C114">
            <v>116</v>
          </cell>
          <cell r="F114" t="str">
            <v>ПРС</v>
          </cell>
          <cell r="H114" t="str">
            <v>Ф/Э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4.0999999999999996</v>
          </cell>
          <cell r="P114">
            <v>90</v>
          </cell>
          <cell r="Q114">
            <v>50</v>
          </cell>
          <cell r="R114">
            <v>4.0999999999999996</v>
          </cell>
          <cell r="S114">
            <v>89.9</v>
          </cell>
          <cell r="W114" t="str">
            <v>в.ц.,в.з.(г/ж),рев.ЭЦН-50</v>
          </cell>
          <cell r="Z114">
            <v>1</v>
          </cell>
        </row>
        <row r="115">
          <cell r="B115">
            <v>5461</v>
          </cell>
          <cell r="C115">
            <v>104</v>
          </cell>
          <cell r="F115" t="str">
            <v>ПРС</v>
          </cell>
          <cell r="H115" t="str">
            <v>ЭЦН</v>
          </cell>
          <cell r="I115" t="str">
            <v>конс.</v>
          </cell>
          <cell r="J115">
            <v>34851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4.0999999999999996</v>
          </cell>
          <cell r="P115">
            <v>90</v>
          </cell>
          <cell r="Q115">
            <v>50</v>
          </cell>
          <cell r="R115">
            <v>4.0999999999999996</v>
          </cell>
          <cell r="S115">
            <v>89.9</v>
          </cell>
          <cell r="W115" t="str">
            <v>в.ц.,в.з.(г/ж),ЭЦН-80/Э-50</v>
          </cell>
          <cell r="Y115" t="str">
            <v xml:space="preserve">КОПС </v>
          </cell>
          <cell r="Z115">
            <v>362</v>
          </cell>
        </row>
        <row r="116">
          <cell r="B116">
            <v>5352</v>
          </cell>
          <cell r="C116">
            <v>104</v>
          </cell>
          <cell r="F116" t="str">
            <v>ПРС</v>
          </cell>
          <cell r="H116" t="str">
            <v>ЭЦН</v>
          </cell>
          <cell r="I116" t="str">
            <v>бд</v>
          </cell>
          <cell r="J116">
            <v>34001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4.0999999999999996</v>
          </cell>
          <cell r="P116">
            <v>90</v>
          </cell>
          <cell r="Q116">
            <v>50</v>
          </cell>
          <cell r="R116">
            <v>4.0999999999999996</v>
          </cell>
          <cell r="S116">
            <v>89.9</v>
          </cell>
          <cell r="W116" t="str">
            <v>в.ц.,в.з.(г/ж),ЭЦН-80/Э-50</v>
          </cell>
          <cell r="Y116" t="str">
            <v>комплект</v>
          </cell>
        </row>
        <row r="117">
          <cell r="B117">
            <v>5309</v>
          </cell>
          <cell r="C117">
            <v>140</v>
          </cell>
          <cell r="F117" t="str">
            <v>ПРС</v>
          </cell>
          <cell r="H117" t="str">
            <v>ШГН</v>
          </cell>
          <cell r="I117" t="str">
            <v>бд</v>
          </cell>
          <cell r="J117">
            <v>35443</v>
          </cell>
          <cell r="K117">
            <v>0</v>
          </cell>
          <cell r="L117">
            <v>0</v>
          </cell>
          <cell r="M117">
            <v>0</v>
          </cell>
          <cell r="N117">
            <v>5</v>
          </cell>
          <cell r="O117">
            <v>3.7</v>
          </cell>
          <cell r="P117">
            <v>10</v>
          </cell>
          <cell r="Q117">
            <v>5</v>
          </cell>
          <cell r="R117">
            <v>3.7</v>
          </cell>
          <cell r="S117">
            <v>8.6</v>
          </cell>
          <cell r="W117" t="str">
            <v>в.ц.,в.з.(г/ж),вор./НВ-32</v>
          </cell>
        </row>
        <row r="118">
          <cell r="B118">
            <v>5454</v>
          </cell>
          <cell r="C118">
            <v>102</v>
          </cell>
          <cell r="F118" t="str">
            <v>ПРС</v>
          </cell>
          <cell r="H118" t="str">
            <v>Ф/Э</v>
          </cell>
          <cell r="I118" t="str">
            <v>бд</v>
          </cell>
          <cell r="J118">
            <v>34771</v>
          </cell>
          <cell r="K118">
            <v>0</v>
          </cell>
          <cell r="L118">
            <v>0</v>
          </cell>
          <cell r="M118">
            <v>0</v>
          </cell>
          <cell r="N118">
            <v>80</v>
          </cell>
          <cell r="O118">
            <v>3.3</v>
          </cell>
          <cell r="P118">
            <v>95</v>
          </cell>
          <cell r="Q118">
            <v>80</v>
          </cell>
          <cell r="R118">
            <v>3.3</v>
          </cell>
          <cell r="S118">
            <v>94.9</v>
          </cell>
          <cell r="W118" t="str">
            <v>отб.заб.,при (-)в.з.(г/ж), Э-80/Э-80</v>
          </cell>
          <cell r="Y118" t="str">
            <v>Нет ЭД,СУ.</v>
          </cell>
          <cell r="Z118">
            <v>-16</v>
          </cell>
        </row>
        <row r="119">
          <cell r="B119">
            <v>2758</v>
          </cell>
          <cell r="C119">
            <v>144</v>
          </cell>
          <cell r="F119" t="str">
            <v>ПРС</v>
          </cell>
          <cell r="H119" t="str">
            <v>ШГН</v>
          </cell>
          <cell r="I119" t="str">
            <v>конс.</v>
          </cell>
          <cell r="J119">
            <v>34425</v>
          </cell>
          <cell r="K119">
            <v>0</v>
          </cell>
          <cell r="L119">
            <v>0</v>
          </cell>
          <cell r="M119">
            <v>0</v>
          </cell>
          <cell r="N119">
            <v>12</v>
          </cell>
          <cell r="O119">
            <v>2.9</v>
          </cell>
          <cell r="P119">
            <v>70</v>
          </cell>
          <cell r="Q119">
            <v>12</v>
          </cell>
          <cell r="R119">
            <v>2.9</v>
          </cell>
          <cell r="S119">
            <v>70.2</v>
          </cell>
          <cell r="W119" t="str">
            <v>в.з.(г/ж), вор/НВ-44</v>
          </cell>
        </row>
        <row r="120">
          <cell r="B120">
            <v>5397</v>
          </cell>
          <cell r="C120">
            <v>102</v>
          </cell>
          <cell r="F120" t="str">
            <v>ПРС</v>
          </cell>
          <cell r="H120" t="str">
            <v>Ф/Э</v>
          </cell>
          <cell r="I120" t="str">
            <v>бд</v>
          </cell>
          <cell r="J120">
            <v>33967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2.9</v>
          </cell>
          <cell r="P120">
            <v>93</v>
          </cell>
          <cell r="Q120">
            <v>50</v>
          </cell>
          <cell r="R120">
            <v>2.9</v>
          </cell>
          <cell r="S120">
            <v>92.8</v>
          </cell>
          <cell r="W120" t="str">
            <v>в.з.(г/ж), Э-80/Э-50</v>
          </cell>
        </row>
        <row r="121">
          <cell r="B121">
            <v>3567</v>
          </cell>
          <cell r="C121">
            <v>93</v>
          </cell>
          <cell r="F121" t="str">
            <v>ПРС</v>
          </cell>
          <cell r="H121" t="str">
            <v>ЭЦН</v>
          </cell>
          <cell r="I121" t="str">
            <v>действ.</v>
          </cell>
          <cell r="K121">
            <v>112</v>
          </cell>
          <cell r="L121">
            <v>5.5</v>
          </cell>
          <cell r="M121">
            <v>94</v>
          </cell>
          <cell r="N121">
            <v>233</v>
          </cell>
          <cell r="O121">
            <v>11.4</v>
          </cell>
          <cell r="P121">
            <v>94</v>
          </cell>
          <cell r="Q121">
            <v>121</v>
          </cell>
          <cell r="R121">
            <v>5.9</v>
          </cell>
          <cell r="S121">
            <v>94</v>
          </cell>
          <cell r="U121" t="str">
            <v>опт</v>
          </cell>
          <cell r="W121" t="str">
            <v>Оптимизация Э-125/Э-250</v>
          </cell>
        </row>
        <row r="122">
          <cell r="B122">
            <v>2681</v>
          </cell>
          <cell r="C122" t="str">
            <v>145б</v>
          </cell>
          <cell r="F122" t="str">
            <v>ПРС</v>
          </cell>
          <cell r="H122" t="str">
            <v>ШГН</v>
          </cell>
          <cell r="I122" t="str">
            <v>простой</v>
          </cell>
          <cell r="N122">
            <v>7</v>
          </cell>
          <cell r="O122">
            <v>5.5</v>
          </cell>
          <cell r="P122">
            <v>3</v>
          </cell>
          <cell r="Q122">
            <v>7</v>
          </cell>
          <cell r="R122">
            <v>5.5</v>
          </cell>
          <cell r="S122">
            <v>3</v>
          </cell>
          <cell r="U122" t="str">
            <v>ВЦД</v>
          </cell>
          <cell r="W122" t="str">
            <v>Электропрогрев</v>
          </cell>
        </row>
        <row r="123">
          <cell r="B123" t="str">
            <v>2821б</v>
          </cell>
          <cell r="C123">
            <v>144</v>
          </cell>
          <cell r="F123" t="str">
            <v>ПРС</v>
          </cell>
          <cell r="H123" t="str">
            <v>ШГН</v>
          </cell>
          <cell r="I123" t="str">
            <v>действ.</v>
          </cell>
          <cell r="K123">
            <v>20</v>
          </cell>
          <cell r="L123">
            <v>13.5</v>
          </cell>
          <cell r="M123">
            <v>17</v>
          </cell>
          <cell r="N123">
            <v>27.8</v>
          </cell>
          <cell r="O123">
            <v>18.8</v>
          </cell>
          <cell r="P123">
            <v>17</v>
          </cell>
          <cell r="Q123">
            <v>7.8000000000000007</v>
          </cell>
          <cell r="R123">
            <v>5.3000000000000007</v>
          </cell>
          <cell r="S123">
            <v>16.100000000000001</v>
          </cell>
          <cell r="T123">
            <v>37525</v>
          </cell>
          <cell r="U123" t="str">
            <v>опт</v>
          </cell>
          <cell r="W123" t="str">
            <v>Оптимизация Н-57/Э-30</v>
          </cell>
        </row>
        <row r="124">
          <cell r="B124" t="str">
            <v>136р</v>
          </cell>
          <cell r="F124" t="str">
            <v>ДНГ</v>
          </cell>
          <cell r="H124" t="str">
            <v>ФОН</v>
          </cell>
          <cell r="I124" t="str">
            <v>бд</v>
          </cell>
          <cell r="K124">
            <v>0</v>
          </cell>
          <cell r="L124">
            <v>0</v>
          </cell>
          <cell r="M124">
            <v>0</v>
          </cell>
          <cell r="N124">
            <v>27</v>
          </cell>
          <cell r="O124">
            <v>20.5</v>
          </cell>
          <cell r="P124">
            <v>7</v>
          </cell>
          <cell r="Q124">
            <v>27</v>
          </cell>
          <cell r="R124">
            <v>20.5</v>
          </cell>
          <cell r="S124">
            <v>6.3</v>
          </cell>
          <cell r="T124">
            <v>37518</v>
          </cell>
          <cell r="U124" t="str">
            <v>БДД</v>
          </cell>
          <cell r="W124" t="str">
            <v>На ёмкость</v>
          </cell>
        </row>
        <row r="125">
          <cell r="B125" t="str">
            <v>104р</v>
          </cell>
          <cell r="F125" t="str">
            <v>ДНГ</v>
          </cell>
          <cell r="H125" t="str">
            <v>ФОН</v>
          </cell>
          <cell r="I125" t="str">
            <v>бд</v>
          </cell>
          <cell r="K125">
            <v>0</v>
          </cell>
          <cell r="L125">
            <v>0</v>
          </cell>
          <cell r="M125">
            <v>0</v>
          </cell>
          <cell r="N125">
            <v>3</v>
          </cell>
          <cell r="O125">
            <v>2.4</v>
          </cell>
          <cell r="P125">
            <v>2</v>
          </cell>
          <cell r="Q125">
            <v>3</v>
          </cell>
          <cell r="R125">
            <v>2.4</v>
          </cell>
          <cell r="S125">
            <v>1.2</v>
          </cell>
          <cell r="T125">
            <v>37522</v>
          </cell>
          <cell r="U125" t="str">
            <v>БДД</v>
          </cell>
          <cell r="W125" t="str">
            <v>На ёмкость</v>
          </cell>
        </row>
        <row r="126">
          <cell r="B126">
            <v>5644</v>
          </cell>
          <cell r="C126">
            <v>126</v>
          </cell>
          <cell r="F126" t="str">
            <v>КРС</v>
          </cell>
          <cell r="H126" t="str">
            <v>ЭЦН</v>
          </cell>
          <cell r="I126" t="str">
            <v>бд</v>
          </cell>
          <cell r="K126">
            <v>0</v>
          </cell>
          <cell r="L126">
            <v>0</v>
          </cell>
          <cell r="M126">
            <v>0</v>
          </cell>
          <cell r="N126">
            <v>27</v>
          </cell>
          <cell r="O126">
            <v>19.8</v>
          </cell>
          <cell r="P126">
            <v>10</v>
          </cell>
          <cell r="Q126">
            <v>27</v>
          </cell>
          <cell r="R126">
            <v>19.8</v>
          </cell>
          <cell r="S126">
            <v>9.5</v>
          </cell>
          <cell r="T126">
            <v>37529</v>
          </cell>
          <cell r="U126" t="str">
            <v>ЗБС</v>
          </cell>
          <cell r="W126" t="str">
            <v>ЗБГС</v>
          </cell>
        </row>
        <row r="127">
          <cell r="B127">
            <v>5659</v>
          </cell>
          <cell r="C127" t="str">
            <v>122б</v>
          </cell>
          <cell r="F127" t="str">
            <v>ПРС</v>
          </cell>
          <cell r="H127" t="str">
            <v>ЭЦН</v>
          </cell>
          <cell r="I127" t="str">
            <v>бд</v>
          </cell>
          <cell r="J127">
            <v>37465</v>
          </cell>
          <cell r="K127">
            <v>0</v>
          </cell>
          <cell r="L127">
            <v>0</v>
          </cell>
          <cell r="M127">
            <v>0</v>
          </cell>
          <cell r="N127">
            <v>30</v>
          </cell>
          <cell r="O127">
            <v>22</v>
          </cell>
          <cell r="P127">
            <v>10</v>
          </cell>
          <cell r="Q127">
            <v>30</v>
          </cell>
          <cell r="R127">
            <v>22</v>
          </cell>
          <cell r="S127">
            <v>9.5</v>
          </cell>
          <cell r="T127">
            <v>37559</v>
          </cell>
          <cell r="U127" t="str">
            <v>БДт</v>
          </cell>
          <cell r="W127" t="str">
            <v>Подъем вор.,ОПЗ СКО (V-30м3), сп.Э-30</v>
          </cell>
        </row>
        <row r="128">
          <cell r="B128">
            <v>5451</v>
          </cell>
          <cell r="C128">
            <v>101</v>
          </cell>
          <cell r="F128" t="str">
            <v>ПРС</v>
          </cell>
          <cell r="H128" t="str">
            <v>ШГН</v>
          </cell>
          <cell r="I128" t="str">
            <v>бд</v>
          </cell>
          <cell r="J128">
            <v>35708</v>
          </cell>
          <cell r="K128">
            <v>0</v>
          </cell>
          <cell r="L128">
            <v>0</v>
          </cell>
          <cell r="M128">
            <v>0</v>
          </cell>
          <cell r="N128">
            <v>10</v>
          </cell>
          <cell r="O128">
            <v>7.6</v>
          </cell>
          <cell r="P128">
            <v>7.1</v>
          </cell>
          <cell r="Q128">
            <v>10</v>
          </cell>
          <cell r="R128">
            <v>7.6</v>
          </cell>
          <cell r="S128">
            <v>6.2</v>
          </cell>
          <cell r="T128">
            <v>37559</v>
          </cell>
          <cell r="U128" t="str">
            <v>БДП</v>
          </cell>
          <cell r="W128" t="str">
            <v>Смена Н-44</v>
          </cell>
        </row>
        <row r="129">
          <cell r="B129">
            <v>2923</v>
          </cell>
          <cell r="C129">
            <v>132</v>
          </cell>
          <cell r="F129" t="str">
            <v>ПРС</v>
          </cell>
          <cell r="H129" t="str">
            <v>ШГН</v>
          </cell>
          <cell r="I129" t="str">
            <v>действ.</v>
          </cell>
          <cell r="K129">
            <v>20</v>
          </cell>
          <cell r="L129">
            <v>7.2</v>
          </cell>
          <cell r="M129">
            <v>56</v>
          </cell>
          <cell r="N129">
            <v>33</v>
          </cell>
          <cell r="O129">
            <v>11.8</v>
          </cell>
          <cell r="P129">
            <v>56</v>
          </cell>
          <cell r="Q129">
            <v>13</v>
          </cell>
          <cell r="R129">
            <v>4.6000000000000005</v>
          </cell>
          <cell r="S129">
            <v>56.3</v>
          </cell>
          <cell r="T129">
            <v>37590</v>
          </cell>
          <cell r="U129" t="str">
            <v>опт</v>
          </cell>
          <cell r="W129" t="str">
            <v>Смена Н-44/Э-30</v>
          </cell>
        </row>
        <row r="130">
          <cell r="B130">
            <v>3099</v>
          </cell>
          <cell r="C130">
            <v>52</v>
          </cell>
          <cell r="F130" t="str">
            <v>ПРС</v>
          </cell>
          <cell r="H130" t="str">
            <v>ШГН</v>
          </cell>
          <cell r="I130" t="str">
            <v>бдт</v>
          </cell>
          <cell r="J130">
            <v>37352</v>
          </cell>
          <cell r="K130">
            <v>0</v>
          </cell>
          <cell r="L130">
            <v>0</v>
          </cell>
          <cell r="M130">
            <v>0</v>
          </cell>
          <cell r="N130">
            <v>50</v>
          </cell>
          <cell r="O130">
            <v>4.0999999999999996</v>
          </cell>
          <cell r="P130">
            <v>90</v>
          </cell>
          <cell r="Q130">
            <v>50</v>
          </cell>
          <cell r="R130">
            <v>4.0999999999999996</v>
          </cell>
          <cell r="S130">
            <v>89.9</v>
          </cell>
          <cell r="T130">
            <v>37593</v>
          </cell>
          <cell r="U130" t="str">
            <v>бдп</v>
          </cell>
          <cell r="W130" t="str">
            <v>См.Н-57/Э-50</v>
          </cell>
        </row>
        <row r="131">
          <cell r="B131">
            <v>5399</v>
          </cell>
          <cell r="C131">
            <v>102</v>
          </cell>
          <cell r="F131" t="str">
            <v>ПРС</v>
          </cell>
          <cell r="H131" t="str">
            <v>ЭЦН</v>
          </cell>
          <cell r="I131" t="str">
            <v>бд</v>
          </cell>
          <cell r="J131">
            <v>34243</v>
          </cell>
          <cell r="K131">
            <v>0</v>
          </cell>
          <cell r="L131">
            <v>0</v>
          </cell>
          <cell r="M131">
            <v>0</v>
          </cell>
          <cell r="N131">
            <v>50</v>
          </cell>
          <cell r="O131">
            <v>4.0999999999999996</v>
          </cell>
          <cell r="P131">
            <v>90</v>
          </cell>
          <cell r="Q131">
            <v>50</v>
          </cell>
          <cell r="R131">
            <v>4.0999999999999996</v>
          </cell>
          <cell r="S131">
            <v>89.9</v>
          </cell>
          <cell r="T131">
            <v>37601</v>
          </cell>
          <cell r="U131" t="str">
            <v>бдп</v>
          </cell>
          <cell r="W131" t="str">
            <v>Подъем вор.,сп.Э-30</v>
          </cell>
        </row>
        <row r="132">
          <cell r="B132">
            <v>3859</v>
          </cell>
          <cell r="C132" t="str">
            <v>306б</v>
          </cell>
          <cell r="F132" t="str">
            <v>ПРС</v>
          </cell>
          <cell r="H132" t="str">
            <v>ЭЦН</v>
          </cell>
          <cell r="I132" t="str">
            <v>бдт</v>
          </cell>
          <cell r="J132">
            <v>37501</v>
          </cell>
          <cell r="K132">
            <v>0</v>
          </cell>
          <cell r="L132">
            <v>0</v>
          </cell>
          <cell r="M132">
            <v>0</v>
          </cell>
          <cell r="N132">
            <v>31</v>
          </cell>
          <cell r="O132">
            <v>3</v>
          </cell>
          <cell r="P132">
            <v>88</v>
          </cell>
          <cell r="Q132">
            <v>31</v>
          </cell>
          <cell r="R132">
            <v>3</v>
          </cell>
          <cell r="S132">
            <v>88.1</v>
          </cell>
          <cell r="T132">
            <v>37583</v>
          </cell>
          <cell r="U132" t="str">
            <v>бдп</v>
          </cell>
          <cell r="W132" t="str">
            <v>Ревизия Э-50</v>
          </cell>
          <cell r="AD132">
            <v>37585</v>
          </cell>
          <cell r="AE132">
            <v>37591</v>
          </cell>
        </row>
        <row r="133">
          <cell r="B133">
            <v>5463</v>
          </cell>
          <cell r="C133">
            <v>106</v>
          </cell>
          <cell r="F133" t="str">
            <v>ПРС</v>
          </cell>
          <cell r="G133">
            <v>270</v>
          </cell>
          <cell r="H133" t="str">
            <v>ЭЦН</v>
          </cell>
          <cell r="I133" t="str">
            <v>конс.</v>
          </cell>
          <cell r="J133">
            <v>33878</v>
          </cell>
          <cell r="K133">
            <v>0</v>
          </cell>
          <cell r="L133">
            <v>0</v>
          </cell>
          <cell r="M133">
            <v>0</v>
          </cell>
          <cell r="N133">
            <v>35</v>
          </cell>
          <cell r="O133">
            <v>10</v>
          </cell>
          <cell r="P133">
            <v>65</v>
          </cell>
          <cell r="Q133">
            <v>35</v>
          </cell>
          <cell r="R133">
            <v>10</v>
          </cell>
          <cell r="S133">
            <v>64.7</v>
          </cell>
          <cell r="T133">
            <v>37593</v>
          </cell>
          <cell r="U133" t="str">
            <v>вцд</v>
          </cell>
          <cell r="W133" t="str">
            <v>ВЦ,смена Э-50/30</v>
          </cell>
        </row>
        <row r="134">
          <cell r="B134">
            <v>5481</v>
          </cell>
          <cell r="C134">
            <v>114</v>
          </cell>
          <cell r="F134" t="str">
            <v>ПРС</v>
          </cell>
          <cell r="H134" t="str">
            <v>ШГН</v>
          </cell>
          <cell r="I134" t="str">
            <v>действ.</v>
          </cell>
          <cell r="K134">
            <v>25</v>
          </cell>
          <cell r="L134">
            <v>6.1</v>
          </cell>
          <cell r="M134">
            <v>70</v>
          </cell>
          <cell r="N134">
            <v>44</v>
          </cell>
          <cell r="O134">
            <v>10.8</v>
          </cell>
          <cell r="P134">
            <v>70</v>
          </cell>
          <cell r="Q134">
            <v>19</v>
          </cell>
          <cell r="R134">
            <v>4.5</v>
          </cell>
          <cell r="S134">
            <v>70.8</v>
          </cell>
          <cell r="T134">
            <v>37610</v>
          </cell>
          <cell r="U134" t="str">
            <v>опт</v>
          </cell>
          <cell r="W134" t="str">
            <v>Смена Н-57/Э-50</v>
          </cell>
          <cell r="AH134">
            <v>0</v>
          </cell>
        </row>
        <row r="135">
          <cell r="W135" t="str">
            <v>Выполненые ГТМ</v>
          </cell>
        </row>
        <row r="136">
          <cell r="W136" t="str">
            <v>ПРС</v>
          </cell>
          <cell r="AG136">
            <v>-386240</v>
          </cell>
          <cell r="AH136">
            <v>-5924842</v>
          </cell>
        </row>
        <row r="137">
          <cell r="B137">
            <v>3632</v>
          </cell>
          <cell r="C137">
            <v>93</v>
          </cell>
          <cell r="F137" t="str">
            <v>ПРС</v>
          </cell>
          <cell r="H137" t="str">
            <v>ЭЦН</v>
          </cell>
          <cell r="I137" t="str">
            <v>действ.</v>
          </cell>
          <cell r="K137">
            <v>227</v>
          </cell>
          <cell r="L137">
            <v>14.8</v>
          </cell>
          <cell r="M137">
            <v>92</v>
          </cell>
          <cell r="N137">
            <v>385</v>
          </cell>
          <cell r="O137">
            <v>25.1</v>
          </cell>
          <cell r="P137">
            <v>92</v>
          </cell>
          <cell r="Q137">
            <v>158</v>
          </cell>
          <cell r="R137">
            <v>10.3</v>
          </cell>
          <cell r="S137">
            <v>92</v>
          </cell>
          <cell r="T137">
            <v>37499</v>
          </cell>
          <cell r="U137" t="str">
            <v>опт</v>
          </cell>
          <cell r="W137" t="str">
            <v>Оптимизация Э-250/Э-400</v>
          </cell>
        </row>
        <row r="138">
          <cell r="B138">
            <v>2682</v>
          </cell>
          <cell r="C138" t="str">
            <v>145б</v>
          </cell>
          <cell r="F138" t="str">
            <v>ПРС</v>
          </cell>
          <cell r="H138" t="str">
            <v>ЭЦН</v>
          </cell>
          <cell r="I138" t="str">
            <v>бд</v>
          </cell>
          <cell r="J138">
            <v>37424</v>
          </cell>
          <cell r="K138">
            <v>0</v>
          </cell>
          <cell r="L138">
            <v>0</v>
          </cell>
          <cell r="M138">
            <v>0</v>
          </cell>
          <cell r="N138">
            <v>10</v>
          </cell>
          <cell r="O138">
            <v>6.9</v>
          </cell>
          <cell r="P138">
            <v>15</v>
          </cell>
          <cell r="Q138">
            <v>10</v>
          </cell>
          <cell r="R138">
            <v>6.9</v>
          </cell>
          <cell r="S138">
            <v>14.8</v>
          </cell>
          <cell r="T138">
            <v>37559</v>
          </cell>
          <cell r="U138" t="str">
            <v>БДт</v>
          </cell>
          <cell r="W138" t="str">
            <v>Смена вор./Н-44</v>
          </cell>
        </row>
        <row r="139">
          <cell r="B139">
            <v>2932</v>
          </cell>
          <cell r="C139">
            <v>44</v>
          </cell>
          <cell r="F139" t="str">
            <v>ПРС</v>
          </cell>
          <cell r="H139" t="str">
            <v>ШГН</v>
          </cell>
          <cell r="I139" t="str">
            <v>действ.</v>
          </cell>
          <cell r="K139">
            <v>17</v>
          </cell>
          <cell r="L139">
            <v>6.2</v>
          </cell>
          <cell r="M139">
            <v>55</v>
          </cell>
          <cell r="N139">
            <v>36.460183709538867</v>
          </cell>
          <cell r="O139">
            <v>13.4</v>
          </cell>
          <cell r="P139">
            <v>55</v>
          </cell>
          <cell r="Q139">
            <v>19.460183709538867</v>
          </cell>
          <cell r="R139">
            <v>7.2</v>
          </cell>
          <cell r="S139">
            <v>54.3</v>
          </cell>
          <cell r="T139">
            <v>37496</v>
          </cell>
          <cell r="U139" t="str">
            <v>опт</v>
          </cell>
          <cell r="W139" t="str">
            <v>Оптимизация Н-57/Э-30</v>
          </cell>
        </row>
        <row r="140">
          <cell r="B140">
            <v>3011</v>
          </cell>
          <cell r="C140">
            <v>51</v>
          </cell>
          <cell r="F140" t="str">
            <v>ПРС</v>
          </cell>
          <cell r="H140" t="str">
            <v>ЭЦН</v>
          </cell>
          <cell r="I140" t="str">
            <v>конс.</v>
          </cell>
          <cell r="N140">
            <v>50</v>
          </cell>
          <cell r="O140">
            <v>5.0999999999999996</v>
          </cell>
          <cell r="P140">
            <v>87.6</v>
          </cell>
          <cell r="Q140">
            <v>50</v>
          </cell>
          <cell r="R140">
            <v>5.0999999999999996</v>
          </cell>
          <cell r="S140">
            <v>87.4</v>
          </cell>
          <cell r="T140">
            <v>37493</v>
          </cell>
          <cell r="U140" t="str">
            <v>ВЦД</v>
          </cell>
          <cell r="W140" t="str">
            <v>ВЦ ревизия</v>
          </cell>
          <cell r="AG140">
            <v>-142443</v>
          </cell>
          <cell r="AH140">
            <v>-3748500</v>
          </cell>
        </row>
        <row r="141">
          <cell r="B141">
            <v>11003</v>
          </cell>
          <cell r="C141" t="str">
            <v>123б</v>
          </cell>
          <cell r="F141" t="str">
            <v>ПРС</v>
          </cell>
          <cell r="H141" t="str">
            <v>ЭЦН</v>
          </cell>
          <cell r="I141" t="str">
            <v>действ.</v>
          </cell>
          <cell r="K141">
            <v>130</v>
          </cell>
          <cell r="L141">
            <v>7.4</v>
          </cell>
          <cell r="M141">
            <v>93</v>
          </cell>
          <cell r="N141">
            <v>230</v>
          </cell>
          <cell r="O141">
            <v>11.2</v>
          </cell>
          <cell r="P141">
            <v>94</v>
          </cell>
          <cell r="Q141">
            <v>100</v>
          </cell>
          <cell r="R141">
            <v>3.8</v>
          </cell>
          <cell r="S141">
            <v>95.3</v>
          </cell>
          <cell r="T141">
            <v>37485</v>
          </cell>
          <cell r="U141" t="str">
            <v>опт</v>
          </cell>
          <cell r="W141" t="str">
            <v>Оптимизация Э-125/Э-250</v>
          </cell>
        </row>
        <row r="142">
          <cell r="B142">
            <v>5702</v>
          </cell>
          <cell r="C142">
            <v>126</v>
          </cell>
          <cell r="F142" t="str">
            <v>ПРС</v>
          </cell>
          <cell r="H142" t="str">
            <v>ШГН</v>
          </cell>
          <cell r="I142" t="str">
            <v>действ.</v>
          </cell>
          <cell r="K142">
            <v>17</v>
          </cell>
          <cell r="L142">
            <v>10.1</v>
          </cell>
          <cell r="M142">
            <v>27</v>
          </cell>
          <cell r="N142">
            <v>50</v>
          </cell>
          <cell r="O142">
            <v>28.5</v>
          </cell>
          <cell r="P142">
            <v>30</v>
          </cell>
          <cell r="Q142">
            <v>33</v>
          </cell>
          <cell r="R142">
            <v>18.399999999999999</v>
          </cell>
          <cell r="S142">
            <v>31.2</v>
          </cell>
          <cell r="T142">
            <v>37482</v>
          </cell>
          <cell r="U142" t="str">
            <v>опт</v>
          </cell>
          <cell r="W142" t="str">
            <v>Оптимизация Н-44/Э-30</v>
          </cell>
        </row>
        <row r="143">
          <cell r="B143">
            <v>5221</v>
          </cell>
          <cell r="C143">
            <v>126</v>
          </cell>
          <cell r="F143" t="str">
            <v>ПРС</v>
          </cell>
          <cell r="H143" t="str">
            <v>ШГН</v>
          </cell>
          <cell r="I143" t="str">
            <v>бд</v>
          </cell>
          <cell r="N143">
            <v>4</v>
          </cell>
          <cell r="O143">
            <v>2.8</v>
          </cell>
          <cell r="P143">
            <v>13</v>
          </cell>
          <cell r="Q143">
            <v>4</v>
          </cell>
          <cell r="R143">
            <v>2.8</v>
          </cell>
          <cell r="S143">
            <v>13.6</v>
          </cell>
          <cell r="T143">
            <v>37482</v>
          </cell>
          <cell r="U143" t="str">
            <v>БДП</v>
          </cell>
          <cell r="W143" t="str">
            <v>ГО</v>
          </cell>
        </row>
        <row r="144">
          <cell r="B144">
            <v>5592</v>
          </cell>
          <cell r="C144" t="str">
            <v>119б</v>
          </cell>
          <cell r="F144" t="str">
            <v>ПРС</v>
          </cell>
          <cell r="H144" t="str">
            <v>ЭЦН</v>
          </cell>
          <cell r="I144" t="str">
            <v>действ.</v>
          </cell>
          <cell r="K144">
            <v>30</v>
          </cell>
          <cell r="L144">
            <v>16.100000000000001</v>
          </cell>
          <cell r="M144">
            <v>34</v>
          </cell>
          <cell r="N144">
            <v>43</v>
          </cell>
          <cell r="O144">
            <v>22.8</v>
          </cell>
          <cell r="P144">
            <v>35</v>
          </cell>
          <cell r="Q144">
            <v>13</v>
          </cell>
          <cell r="R144">
            <v>6.6999999999999993</v>
          </cell>
          <cell r="S144">
            <v>36.4</v>
          </cell>
          <cell r="T144">
            <v>37481</v>
          </cell>
          <cell r="U144" t="str">
            <v>опт</v>
          </cell>
          <cell r="W144" t="str">
            <v>Оптимизация Э-30/Э-50</v>
          </cell>
        </row>
        <row r="145">
          <cell r="B145">
            <v>5592</v>
          </cell>
          <cell r="C145" t="str">
            <v>119б</v>
          </cell>
          <cell r="F145" t="str">
            <v>ПРС</v>
          </cell>
          <cell r="H145" t="str">
            <v>ЭЦН</v>
          </cell>
          <cell r="I145" t="str">
            <v>действ.</v>
          </cell>
          <cell r="K145">
            <v>30</v>
          </cell>
          <cell r="L145">
            <v>16.100000000000001</v>
          </cell>
          <cell r="M145">
            <v>34</v>
          </cell>
          <cell r="N145">
            <v>40</v>
          </cell>
          <cell r="O145">
            <v>26.1</v>
          </cell>
          <cell r="P145">
            <v>20</v>
          </cell>
          <cell r="Q145">
            <v>10</v>
          </cell>
          <cell r="R145">
            <v>10</v>
          </cell>
          <cell r="S145">
            <v>-23.5</v>
          </cell>
          <cell r="T145">
            <v>37481</v>
          </cell>
          <cell r="U145" t="str">
            <v>опт</v>
          </cell>
          <cell r="W145" t="str">
            <v>Оптимизация Э-30/Э-50</v>
          </cell>
          <cell r="AG145">
            <v>-74926</v>
          </cell>
          <cell r="AH145">
            <v>-1873150</v>
          </cell>
        </row>
        <row r="146">
          <cell r="B146">
            <v>4272</v>
          </cell>
          <cell r="C146">
            <v>218</v>
          </cell>
          <cell r="F146" t="str">
            <v>ПРС</v>
          </cell>
          <cell r="H146" t="str">
            <v>ЭЦН</v>
          </cell>
          <cell r="I146" t="str">
            <v>бд</v>
          </cell>
          <cell r="N146">
            <v>50</v>
          </cell>
          <cell r="O146">
            <v>2</v>
          </cell>
          <cell r="P146">
            <v>95</v>
          </cell>
          <cell r="Q146">
            <v>50</v>
          </cell>
          <cell r="R146">
            <v>2</v>
          </cell>
          <cell r="S146">
            <v>95.1</v>
          </cell>
          <cell r="T146">
            <v>37463</v>
          </cell>
          <cell r="U146" t="str">
            <v>БДП</v>
          </cell>
          <cell r="W146" t="str">
            <v>См.вор./э-50</v>
          </cell>
        </row>
        <row r="147">
          <cell r="B147">
            <v>4123</v>
          </cell>
          <cell r="C147">
            <v>314</v>
          </cell>
          <cell r="F147" t="str">
            <v>ПРС</v>
          </cell>
          <cell r="H147" t="str">
            <v>ШГН</v>
          </cell>
          <cell r="I147" t="str">
            <v>бд</v>
          </cell>
          <cell r="N147">
            <v>4</v>
          </cell>
          <cell r="O147">
            <v>3</v>
          </cell>
          <cell r="P147">
            <v>7.9754601226993849</v>
          </cell>
          <cell r="Q147">
            <v>4</v>
          </cell>
          <cell r="R147">
            <v>3</v>
          </cell>
          <cell r="S147">
            <v>7.4</v>
          </cell>
          <cell r="T147">
            <v>37458</v>
          </cell>
          <cell r="U147" t="str">
            <v>БДП</v>
          </cell>
          <cell r="W147" t="str">
            <v>Ревизия</v>
          </cell>
        </row>
        <row r="148">
          <cell r="B148" t="str">
            <v>5484б</v>
          </cell>
          <cell r="C148">
            <v>115</v>
          </cell>
          <cell r="F148" t="str">
            <v>КРС</v>
          </cell>
          <cell r="H148" t="str">
            <v>ШГН</v>
          </cell>
          <cell r="I148" t="str">
            <v>бд</v>
          </cell>
          <cell r="N148">
            <v>4</v>
          </cell>
          <cell r="O148">
            <v>3</v>
          </cell>
          <cell r="P148">
            <v>9</v>
          </cell>
          <cell r="Q148">
            <v>4</v>
          </cell>
          <cell r="R148">
            <v>3</v>
          </cell>
          <cell r="S148">
            <v>7.4</v>
          </cell>
          <cell r="T148">
            <v>37456</v>
          </cell>
          <cell r="U148" t="str">
            <v>БДП</v>
          </cell>
        </row>
        <row r="149">
          <cell r="B149">
            <v>3530</v>
          </cell>
          <cell r="C149" t="str">
            <v>98б</v>
          </cell>
          <cell r="F149" t="str">
            <v>ПРС</v>
          </cell>
          <cell r="H149" t="str">
            <v>ЭЦН</v>
          </cell>
          <cell r="I149" t="str">
            <v>действ.</v>
          </cell>
          <cell r="K149">
            <v>27</v>
          </cell>
          <cell r="L149">
            <v>11.4</v>
          </cell>
          <cell r="M149">
            <v>48</v>
          </cell>
          <cell r="N149">
            <v>42</v>
          </cell>
          <cell r="O149">
            <v>16.100000000000001</v>
          </cell>
          <cell r="P149">
            <v>53</v>
          </cell>
          <cell r="Q149">
            <v>15</v>
          </cell>
          <cell r="R149">
            <v>4.7000000000000011</v>
          </cell>
          <cell r="S149">
            <v>61.3</v>
          </cell>
          <cell r="T149">
            <v>37453</v>
          </cell>
          <cell r="U149" t="str">
            <v>опт</v>
          </cell>
          <cell r="W149" t="str">
            <v>Оптимизация Э-30/Э-50</v>
          </cell>
          <cell r="AG149">
            <v>-119818</v>
          </cell>
          <cell r="AH149">
            <v>-973518</v>
          </cell>
        </row>
        <row r="150">
          <cell r="B150">
            <v>3982</v>
          </cell>
          <cell r="C150" t="str">
            <v>196б</v>
          </cell>
          <cell r="F150" t="str">
            <v>ПРС</v>
          </cell>
          <cell r="H150" t="str">
            <v>ЭЦН</v>
          </cell>
          <cell r="I150" t="str">
            <v>действ.</v>
          </cell>
          <cell r="K150">
            <v>91</v>
          </cell>
          <cell r="L150">
            <v>17.8</v>
          </cell>
          <cell r="M150">
            <v>76</v>
          </cell>
          <cell r="N150">
            <v>117</v>
          </cell>
          <cell r="O150">
            <v>21</v>
          </cell>
          <cell r="P150">
            <v>78</v>
          </cell>
          <cell r="Q150">
            <v>26</v>
          </cell>
          <cell r="R150">
            <v>3.1999999999999993</v>
          </cell>
          <cell r="S150">
            <v>84.8</v>
          </cell>
          <cell r="T150">
            <v>37443</v>
          </cell>
          <cell r="U150" t="str">
            <v>опт</v>
          </cell>
          <cell r="W150" t="str">
            <v>Оптимизация Э-80/125</v>
          </cell>
        </row>
        <row r="151">
          <cell r="B151">
            <v>5491</v>
          </cell>
          <cell r="C151">
            <v>117</v>
          </cell>
          <cell r="F151" t="str">
            <v>ПРС</v>
          </cell>
          <cell r="H151" t="str">
            <v>ЭЦН</v>
          </cell>
          <cell r="I151" t="str">
            <v>конс.</v>
          </cell>
          <cell r="N151">
            <v>16</v>
          </cell>
          <cell r="O151">
            <v>7.4</v>
          </cell>
          <cell r="P151">
            <v>43</v>
          </cell>
          <cell r="Q151">
            <v>16</v>
          </cell>
          <cell r="R151">
            <v>7.4</v>
          </cell>
          <cell r="S151">
            <v>42.9</v>
          </cell>
          <cell r="T151">
            <v>37441</v>
          </cell>
          <cell r="U151" t="str">
            <v>ВЦД</v>
          </cell>
          <cell r="W151" t="str">
            <v>ВЦ, См.вор./э-50</v>
          </cell>
        </row>
        <row r="152">
          <cell r="B152">
            <v>2629</v>
          </cell>
          <cell r="C152" t="str">
            <v>157б</v>
          </cell>
          <cell r="F152" t="str">
            <v>ПРС</v>
          </cell>
          <cell r="H152" t="str">
            <v>ШГН</v>
          </cell>
          <cell r="I152" t="str">
            <v>бд</v>
          </cell>
          <cell r="N152">
            <v>5</v>
          </cell>
          <cell r="O152">
            <v>3.6</v>
          </cell>
          <cell r="P152">
            <v>12</v>
          </cell>
          <cell r="Q152">
            <v>5</v>
          </cell>
          <cell r="R152">
            <v>3.6</v>
          </cell>
          <cell r="S152">
            <v>11.1</v>
          </cell>
          <cell r="T152">
            <v>37440</v>
          </cell>
          <cell r="U152" t="str">
            <v>БДП</v>
          </cell>
          <cell r="W152" t="str">
            <v>Ревизия</v>
          </cell>
          <cell r="AG152">
            <v>-280755</v>
          </cell>
          <cell r="AH152">
            <v>-935850</v>
          </cell>
        </row>
        <row r="153">
          <cell r="B153">
            <v>5464</v>
          </cell>
          <cell r="C153">
            <v>106</v>
          </cell>
          <cell r="F153" t="str">
            <v>ПРС</v>
          </cell>
          <cell r="G153">
            <v>265</v>
          </cell>
          <cell r="H153" t="str">
            <v>ЭЦН</v>
          </cell>
          <cell r="I153" t="str">
            <v>действ.</v>
          </cell>
          <cell r="K153">
            <v>55</v>
          </cell>
          <cell r="L153">
            <v>25.1</v>
          </cell>
          <cell r="M153">
            <v>44</v>
          </cell>
          <cell r="N153">
            <v>80</v>
          </cell>
          <cell r="O153">
            <v>32.6</v>
          </cell>
          <cell r="P153">
            <v>50</v>
          </cell>
          <cell r="Q153">
            <v>25</v>
          </cell>
          <cell r="R153">
            <v>7.5</v>
          </cell>
          <cell r="S153">
            <v>63</v>
          </cell>
          <cell r="T153">
            <v>37434</v>
          </cell>
          <cell r="U153" t="str">
            <v>опт</v>
          </cell>
          <cell r="W153" t="str">
            <v>Оптимизация Э-50/Э-80</v>
          </cell>
        </row>
        <row r="154">
          <cell r="B154">
            <v>4022</v>
          </cell>
          <cell r="C154">
            <v>314</v>
          </cell>
          <cell r="F154" t="str">
            <v>ПРС</v>
          </cell>
          <cell r="G154">
            <v>255</v>
          </cell>
          <cell r="H154" t="str">
            <v>ШГН</v>
          </cell>
          <cell r="I154" t="str">
            <v>действ.</v>
          </cell>
          <cell r="K154">
            <v>15</v>
          </cell>
          <cell r="L154">
            <v>0.2</v>
          </cell>
          <cell r="M154">
            <v>98</v>
          </cell>
          <cell r="N154">
            <v>45</v>
          </cell>
          <cell r="O154">
            <v>2.2000000000000002</v>
          </cell>
          <cell r="P154">
            <v>94</v>
          </cell>
          <cell r="Q154">
            <v>30</v>
          </cell>
          <cell r="R154">
            <v>2</v>
          </cell>
          <cell r="S154">
            <v>91.8</v>
          </cell>
          <cell r="T154">
            <v>37428</v>
          </cell>
          <cell r="U154" t="str">
            <v>опт</v>
          </cell>
          <cell r="W154" t="str">
            <v>Оптимизация Н-57/Э-50</v>
          </cell>
          <cell r="AG154">
            <v>-280695</v>
          </cell>
          <cell r="AH154">
            <v>-561390</v>
          </cell>
        </row>
        <row r="155">
          <cell r="B155" t="str">
            <v>5593б</v>
          </cell>
          <cell r="C155">
            <v>141</v>
          </cell>
          <cell r="F155" t="str">
            <v>ПРС</v>
          </cell>
          <cell r="G155">
            <v>260</v>
          </cell>
          <cell r="H155" t="str">
            <v>ЭЦН</v>
          </cell>
          <cell r="I155" t="str">
            <v>действ.</v>
          </cell>
          <cell r="K155">
            <v>25</v>
          </cell>
          <cell r="L155">
            <v>14.7</v>
          </cell>
          <cell r="M155">
            <v>28</v>
          </cell>
          <cell r="N155">
            <v>40</v>
          </cell>
          <cell r="O155">
            <v>22.2</v>
          </cell>
          <cell r="P155">
            <v>32</v>
          </cell>
          <cell r="Q155">
            <v>15</v>
          </cell>
          <cell r="R155">
            <v>7.5</v>
          </cell>
          <cell r="S155">
            <v>38.299999999999997</v>
          </cell>
          <cell r="T155">
            <v>37426</v>
          </cell>
          <cell r="U155" t="str">
            <v>опт</v>
          </cell>
          <cell r="W155" t="str">
            <v>Оптимизация Э-30/Э-50</v>
          </cell>
        </row>
        <row r="156">
          <cell r="B156">
            <v>3494</v>
          </cell>
          <cell r="C156">
            <v>92</v>
          </cell>
          <cell r="F156" t="str">
            <v>ПРС</v>
          </cell>
          <cell r="G156">
            <v>245</v>
          </cell>
          <cell r="H156" t="str">
            <v>ЭЦН</v>
          </cell>
          <cell r="I156" t="str">
            <v>действ.</v>
          </cell>
          <cell r="K156">
            <v>150</v>
          </cell>
          <cell r="L156">
            <v>11</v>
          </cell>
          <cell r="M156">
            <v>91</v>
          </cell>
          <cell r="N156">
            <v>275</v>
          </cell>
          <cell r="O156">
            <v>24.7</v>
          </cell>
          <cell r="P156">
            <v>89</v>
          </cell>
          <cell r="Q156">
            <v>125</v>
          </cell>
          <cell r="R156">
            <v>13.7</v>
          </cell>
          <cell r="S156">
            <v>86.5</v>
          </cell>
          <cell r="T156">
            <v>37421</v>
          </cell>
          <cell r="U156" t="str">
            <v>опт</v>
          </cell>
          <cell r="W156" t="str">
            <v>Оптимизация Э-125/Э-250</v>
          </cell>
          <cell r="AG156">
            <v>-220749</v>
          </cell>
          <cell r="AH156">
            <v>-897960</v>
          </cell>
        </row>
        <row r="157">
          <cell r="B157">
            <v>5437</v>
          </cell>
          <cell r="C157">
            <v>106</v>
          </cell>
          <cell r="F157" t="str">
            <v>ПРС</v>
          </cell>
          <cell r="G157">
            <v>275</v>
          </cell>
          <cell r="H157" t="str">
            <v>ЭЦН</v>
          </cell>
          <cell r="I157" t="str">
            <v>конс.</v>
          </cell>
          <cell r="K157">
            <v>0</v>
          </cell>
          <cell r="L157">
            <v>0</v>
          </cell>
          <cell r="M157">
            <v>0</v>
          </cell>
          <cell r="N157">
            <v>24</v>
          </cell>
          <cell r="O157">
            <v>5.9</v>
          </cell>
          <cell r="P157">
            <v>70</v>
          </cell>
          <cell r="Q157">
            <v>24</v>
          </cell>
          <cell r="R157">
            <v>5.9</v>
          </cell>
          <cell r="S157">
            <v>69.7</v>
          </cell>
          <cell r="T157">
            <v>37415</v>
          </cell>
          <cell r="U157" t="str">
            <v>ВЦД</v>
          </cell>
          <cell r="W157" t="str">
            <v>ВЦ, ГДИ, сп.ЭЦН</v>
          </cell>
          <cell r="AG157">
            <v>-56121</v>
          </cell>
          <cell r="AH157">
            <v>-112242</v>
          </cell>
        </row>
        <row r="158">
          <cell r="B158">
            <v>2850</v>
          </cell>
          <cell r="C158">
            <v>129</v>
          </cell>
          <cell r="F158" t="str">
            <v>ПРС</v>
          </cell>
          <cell r="G158">
            <v>260</v>
          </cell>
          <cell r="H158" t="str">
            <v>ШГН</v>
          </cell>
          <cell r="I158" t="str">
            <v>бд</v>
          </cell>
          <cell r="K158">
            <v>0</v>
          </cell>
          <cell r="L158">
            <v>0</v>
          </cell>
          <cell r="M158">
            <v>0</v>
          </cell>
          <cell r="N158">
            <v>3</v>
          </cell>
          <cell r="O158">
            <v>1.5</v>
          </cell>
          <cell r="P158">
            <v>39</v>
          </cell>
          <cell r="Q158">
            <v>3</v>
          </cell>
          <cell r="R158">
            <v>1.5</v>
          </cell>
          <cell r="S158">
            <v>38.299999999999997</v>
          </cell>
          <cell r="T158">
            <v>37414</v>
          </cell>
          <cell r="U158" t="str">
            <v>БДП</v>
          </cell>
          <cell r="W158" t="str">
            <v>ПРС, ост.на зиму</v>
          </cell>
          <cell r="AG158">
            <v>-164604</v>
          </cell>
          <cell r="AH158">
            <v>-224460</v>
          </cell>
        </row>
        <row r="159">
          <cell r="B159">
            <v>5404</v>
          </cell>
          <cell r="C159">
            <v>104</v>
          </cell>
          <cell r="F159" t="str">
            <v>ПРС</v>
          </cell>
          <cell r="G159">
            <v>250</v>
          </cell>
          <cell r="H159" t="str">
            <v>ШГН</v>
          </cell>
          <cell r="I159" t="str">
            <v>бд</v>
          </cell>
          <cell r="K159">
            <v>0</v>
          </cell>
          <cell r="L159">
            <v>0</v>
          </cell>
          <cell r="M159">
            <v>0</v>
          </cell>
          <cell r="N159">
            <v>6</v>
          </cell>
          <cell r="O159">
            <v>4.4000000000000004</v>
          </cell>
          <cell r="P159">
            <v>10</v>
          </cell>
          <cell r="Q159">
            <v>6</v>
          </cell>
          <cell r="R159">
            <v>4.4000000000000004</v>
          </cell>
          <cell r="S159">
            <v>9.5</v>
          </cell>
          <cell r="T159">
            <v>37410</v>
          </cell>
          <cell r="U159" t="str">
            <v>БДП</v>
          </cell>
          <cell r="W159" t="str">
            <v>ПРС</v>
          </cell>
          <cell r="AG159">
            <v>-374020</v>
          </cell>
          <cell r="AH159">
            <v>-1720492</v>
          </cell>
        </row>
        <row r="160">
          <cell r="B160">
            <v>3100</v>
          </cell>
          <cell r="C160">
            <v>52</v>
          </cell>
          <cell r="F160" t="str">
            <v>ПРС</v>
          </cell>
          <cell r="G160">
            <v>297</v>
          </cell>
          <cell r="H160" t="str">
            <v>ШГН</v>
          </cell>
          <cell r="I160" t="str">
            <v>действ.</v>
          </cell>
          <cell r="K160">
            <v>26</v>
          </cell>
          <cell r="L160">
            <v>6.4</v>
          </cell>
          <cell r="M160">
            <v>70</v>
          </cell>
          <cell r="N160">
            <v>72</v>
          </cell>
          <cell r="O160">
            <v>16.399999999999999</v>
          </cell>
          <cell r="P160">
            <v>72</v>
          </cell>
          <cell r="Q160">
            <v>46</v>
          </cell>
          <cell r="R160">
            <v>9.9999999999999982</v>
          </cell>
          <cell r="S160">
            <v>73.2</v>
          </cell>
          <cell r="T160">
            <v>37402</v>
          </cell>
          <cell r="U160" t="str">
            <v>опт</v>
          </cell>
          <cell r="W160" t="str">
            <v>Оптимизация Н-57/Э-50</v>
          </cell>
          <cell r="AG160">
            <v>-93493</v>
          </cell>
          <cell r="AH160">
            <v>-2281217</v>
          </cell>
        </row>
        <row r="161">
          <cell r="B161">
            <v>5551</v>
          </cell>
          <cell r="C161">
            <v>117</v>
          </cell>
          <cell r="F161" t="str">
            <v>ПРС</v>
          </cell>
          <cell r="G161">
            <v>247</v>
          </cell>
          <cell r="H161" t="str">
            <v>ЭЦН</v>
          </cell>
          <cell r="I161" t="str">
            <v>бд</v>
          </cell>
          <cell r="K161" t="e">
            <v>#N/A</v>
          </cell>
          <cell r="L161" t="e">
            <v>#N/A</v>
          </cell>
          <cell r="M161" t="e">
            <v>#N/A</v>
          </cell>
          <cell r="N161">
            <v>61</v>
          </cell>
          <cell r="O161">
            <v>2.5</v>
          </cell>
          <cell r="P161">
            <v>95</v>
          </cell>
          <cell r="Q161">
            <v>61</v>
          </cell>
          <cell r="R161">
            <v>2.5</v>
          </cell>
          <cell r="S161">
            <v>94.9</v>
          </cell>
          <cell r="T161">
            <v>37397</v>
          </cell>
          <cell r="U161" t="str">
            <v>БДП</v>
          </cell>
          <cell r="W161" t="str">
            <v>Из ост.на зиму</v>
          </cell>
          <cell r="AG161">
            <v>-175761</v>
          </cell>
          <cell r="AH161">
            <v>-224376</v>
          </cell>
        </row>
        <row r="162">
          <cell r="B162">
            <v>4074</v>
          </cell>
          <cell r="C162">
            <v>314</v>
          </cell>
          <cell r="F162" t="str">
            <v>ПРС</v>
          </cell>
          <cell r="G162">
            <v>245</v>
          </cell>
          <cell r="H162" t="str">
            <v>ШГН</v>
          </cell>
          <cell r="I162" t="str">
            <v>бд</v>
          </cell>
          <cell r="K162">
            <v>0</v>
          </cell>
          <cell r="L162">
            <v>0</v>
          </cell>
          <cell r="M162">
            <v>0</v>
          </cell>
          <cell r="N162">
            <v>6</v>
          </cell>
          <cell r="O162">
            <v>4.7</v>
          </cell>
          <cell r="P162">
            <v>3</v>
          </cell>
          <cell r="Q162">
            <v>6</v>
          </cell>
          <cell r="R162">
            <v>4.7</v>
          </cell>
          <cell r="S162">
            <v>3.3</v>
          </cell>
          <cell r="T162">
            <v>37396</v>
          </cell>
          <cell r="U162" t="str">
            <v>ВЦД</v>
          </cell>
          <cell r="W162" t="str">
            <v>ВЦ, ревизия Н-44</v>
          </cell>
          <cell r="AG162">
            <v>-172022</v>
          </cell>
          <cell r="AH162">
            <v>-299168</v>
          </cell>
        </row>
        <row r="163">
          <cell r="B163" t="str">
            <v>5367б</v>
          </cell>
          <cell r="C163">
            <v>101</v>
          </cell>
          <cell r="F163" t="str">
            <v>ПРС</v>
          </cell>
          <cell r="G163">
            <v>252</v>
          </cell>
          <cell r="H163" t="str">
            <v>ЭЦН</v>
          </cell>
          <cell r="I163" t="str">
            <v>бд</v>
          </cell>
          <cell r="K163">
            <v>8</v>
          </cell>
          <cell r="L163">
            <v>4.3</v>
          </cell>
          <cell r="M163">
            <v>34</v>
          </cell>
          <cell r="N163">
            <v>8</v>
          </cell>
          <cell r="O163">
            <v>4.5999999999999996</v>
          </cell>
          <cell r="P163">
            <v>29</v>
          </cell>
          <cell r="Q163">
            <v>8</v>
          </cell>
          <cell r="R163">
            <v>4.5999999999999996</v>
          </cell>
          <cell r="S163">
            <v>29</v>
          </cell>
          <cell r="T163">
            <v>37396</v>
          </cell>
          <cell r="U163" t="str">
            <v>ВЦД</v>
          </cell>
          <cell r="W163" t="str">
            <v>Восст.цирк</v>
          </cell>
          <cell r="AG163">
            <v>-82262</v>
          </cell>
          <cell r="AH163">
            <v>-1383504</v>
          </cell>
        </row>
        <row r="164">
          <cell r="B164">
            <v>2991</v>
          </cell>
          <cell r="C164">
            <v>48</v>
          </cell>
          <cell r="F164" t="str">
            <v>ПРС</v>
          </cell>
          <cell r="G164">
            <v>255</v>
          </cell>
          <cell r="H164" t="str">
            <v>ЭЦН</v>
          </cell>
          <cell r="I164" t="str">
            <v>действ.</v>
          </cell>
          <cell r="K164">
            <v>53</v>
          </cell>
          <cell r="L164">
            <v>7.3</v>
          </cell>
          <cell r="M164">
            <v>83</v>
          </cell>
          <cell r="N164">
            <v>90</v>
          </cell>
          <cell r="O164">
            <v>9.5</v>
          </cell>
          <cell r="P164">
            <v>87</v>
          </cell>
          <cell r="Q164">
            <v>37</v>
          </cell>
          <cell r="R164">
            <v>2.2000000000000002</v>
          </cell>
          <cell r="S164">
            <v>92.7</v>
          </cell>
          <cell r="T164">
            <v>37392</v>
          </cell>
          <cell r="W164" t="str">
            <v>Ревизия Э-80 с углублением до 2200м</v>
          </cell>
          <cell r="AG164">
            <v>-44870</v>
          </cell>
          <cell r="AH164">
            <v>-2841792</v>
          </cell>
        </row>
        <row r="165">
          <cell r="B165">
            <v>4212</v>
          </cell>
          <cell r="C165">
            <v>311</v>
          </cell>
          <cell r="F165" t="str">
            <v>ПРС</v>
          </cell>
          <cell r="G165">
            <v>251</v>
          </cell>
          <cell r="H165" t="str">
            <v>ЭЦН</v>
          </cell>
          <cell r="I165" t="str">
            <v>действ.</v>
          </cell>
          <cell r="K165">
            <v>84</v>
          </cell>
          <cell r="L165">
            <v>2.7</v>
          </cell>
          <cell r="M165">
            <v>96</v>
          </cell>
          <cell r="N165">
            <v>160</v>
          </cell>
          <cell r="O165">
            <v>3.9</v>
          </cell>
          <cell r="P165">
            <v>97</v>
          </cell>
          <cell r="Q165">
            <v>76</v>
          </cell>
          <cell r="R165">
            <v>1.1999999999999997</v>
          </cell>
          <cell r="S165">
            <v>98.1</v>
          </cell>
          <cell r="T165">
            <v>37392</v>
          </cell>
          <cell r="U165" t="str">
            <v>опт</v>
          </cell>
          <cell r="W165" t="str">
            <v>Оптимизация Э-80/125</v>
          </cell>
          <cell r="AG165">
            <v>-26172</v>
          </cell>
          <cell r="AH165">
            <v>-747780</v>
          </cell>
        </row>
        <row r="166">
          <cell r="B166">
            <v>2905</v>
          </cell>
          <cell r="C166">
            <v>132</v>
          </cell>
          <cell r="F166" t="str">
            <v>ПРС</v>
          </cell>
          <cell r="G166">
            <v>250</v>
          </cell>
          <cell r="H166" t="str">
            <v>ЭЦН</v>
          </cell>
          <cell r="I166" t="str">
            <v>действ.</v>
          </cell>
          <cell r="K166">
            <v>65</v>
          </cell>
          <cell r="L166">
            <v>2.1</v>
          </cell>
          <cell r="M166">
            <v>96</v>
          </cell>
          <cell r="N166">
            <v>85</v>
          </cell>
          <cell r="O166">
            <v>2.8</v>
          </cell>
          <cell r="P166">
            <v>96</v>
          </cell>
          <cell r="Q166">
            <v>20</v>
          </cell>
          <cell r="R166">
            <v>0.69999999999999973</v>
          </cell>
          <cell r="S166">
            <v>95.7</v>
          </cell>
          <cell r="T166">
            <v>37389</v>
          </cell>
          <cell r="U166" t="str">
            <v>опт</v>
          </cell>
          <cell r="W166" t="str">
            <v>Оптимизация Э-80</v>
          </cell>
        </row>
        <row r="167">
          <cell r="B167">
            <v>4263</v>
          </cell>
          <cell r="C167">
            <v>200</v>
          </cell>
          <cell r="F167" t="str">
            <v>ПРС</v>
          </cell>
          <cell r="G167">
            <v>224</v>
          </cell>
          <cell r="H167" t="str">
            <v>ЭЦН</v>
          </cell>
          <cell r="I167" t="str">
            <v>действ.</v>
          </cell>
          <cell r="K167">
            <v>68</v>
          </cell>
          <cell r="L167">
            <v>2.2000000000000002</v>
          </cell>
          <cell r="M167">
            <v>96</v>
          </cell>
          <cell r="N167">
            <v>160</v>
          </cell>
          <cell r="O167">
            <v>3.9</v>
          </cell>
          <cell r="P167">
            <v>97</v>
          </cell>
          <cell r="Q167">
            <v>92</v>
          </cell>
          <cell r="R167">
            <v>1.6999999999999997</v>
          </cell>
          <cell r="S167">
            <v>97.7</v>
          </cell>
          <cell r="T167">
            <v>37384</v>
          </cell>
          <cell r="U167" t="str">
            <v>опт</v>
          </cell>
          <cell r="W167" t="str">
            <v>Оптимизация Э-50/Э-125 УОПР-800, из ППД</v>
          </cell>
        </row>
        <row r="168">
          <cell r="B168">
            <v>5319</v>
          </cell>
          <cell r="C168">
            <v>134</v>
          </cell>
          <cell r="F168" t="str">
            <v>ПРС</v>
          </cell>
          <cell r="G168">
            <v>249</v>
          </cell>
          <cell r="H168" t="str">
            <v>ЭЦН</v>
          </cell>
          <cell r="I168" t="str">
            <v>действ.</v>
          </cell>
          <cell r="K168">
            <v>45</v>
          </cell>
          <cell r="L168">
            <v>1.5</v>
          </cell>
          <cell r="M168">
            <v>96</v>
          </cell>
          <cell r="N168">
            <v>80</v>
          </cell>
          <cell r="O168">
            <v>3.3</v>
          </cell>
          <cell r="P168">
            <v>95</v>
          </cell>
          <cell r="Q168">
            <v>35</v>
          </cell>
          <cell r="R168">
            <v>1.7999999999999998</v>
          </cell>
          <cell r="S168">
            <v>93.7</v>
          </cell>
          <cell r="T168">
            <v>37384</v>
          </cell>
          <cell r="U168" t="str">
            <v>опт</v>
          </cell>
          <cell r="W168" t="str">
            <v>Оптимизация Э-50/Э-80</v>
          </cell>
        </row>
        <row r="169">
          <cell r="B169">
            <v>2819</v>
          </cell>
          <cell r="C169">
            <v>144</v>
          </cell>
          <cell r="F169" t="str">
            <v>ПРС</v>
          </cell>
          <cell r="G169">
            <v>248</v>
          </cell>
          <cell r="H169" t="str">
            <v>ЭЦН</v>
          </cell>
          <cell r="I169" t="str">
            <v>действ.</v>
          </cell>
          <cell r="K169">
            <v>20</v>
          </cell>
          <cell r="L169">
            <v>1.6</v>
          </cell>
          <cell r="M169">
            <v>90</v>
          </cell>
          <cell r="N169">
            <v>50</v>
          </cell>
          <cell r="O169">
            <v>2.9</v>
          </cell>
          <cell r="P169">
            <v>93</v>
          </cell>
          <cell r="Q169">
            <v>30</v>
          </cell>
          <cell r="R169">
            <v>1.2999999999999998</v>
          </cell>
          <cell r="S169">
            <v>94.7</v>
          </cell>
          <cell r="T169">
            <v>37383</v>
          </cell>
          <cell r="U169" t="str">
            <v>опт</v>
          </cell>
          <cell r="W169" t="str">
            <v>Оптимизация Н-57/Э-50</v>
          </cell>
        </row>
        <row r="170">
          <cell r="B170">
            <v>2757</v>
          </cell>
          <cell r="C170">
            <v>144</v>
          </cell>
          <cell r="F170" t="str">
            <v>ПРС</v>
          </cell>
          <cell r="G170">
            <v>270</v>
          </cell>
          <cell r="H170" t="str">
            <v>ФОН</v>
          </cell>
          <cell r="I170" t="str">
            <v>действ.</v>
          </cell>
          <cell r="K170">
            <v>19</v>
          </cell>
          <cell r="L170">
            <v>4.5</v>
          </cell>
          <cell r="M170">
            <v>71</v>
          </cell>
          <cell r="N170">
            <v>52</v>
          </cell>
          <cell r="O170">
            <v>8.9</v>
          </cell>
          <cell r="P170">
            <v>79</v>
          </cell>
          <cell r="Q170">
            <v>33</v>
          </cell>
          <cell r="R170">
            <v>4.4000000000000004</v>
          </cell>
          <cell r="S170">
            <v>83.5</v>
          </cell>
          <cell r="T170">
            <v>37378</v>
          </cell>
          <cell r="U170" t="str">
            <v>опт</v>
          </cell>
          <cell r="V170">
            <v>2</v>
          </cell>
          <cell r="W170" t="str">
            <v>Оптимизация Н-57/Э-50</v>
          </cell>
        </row>
        <row r="171">
          <cell r="B171">
            <v>3632</v>
          </cell>
          <cell r="C171">
            <v>93</v>
          </cell>
          <cell r="F171" t="str">
            <v>ПРС</v>
          </cell>
          <cell r="G171">
            <v>265</v>
          </cell>
          <cell r="H171" t="str">
            <v>ЭЦН</v>
          </cell>
          <cell r="I171" t="str">
            <v>действ.</v>
          </cell>
          <cell r="K171">
            <v>180</v>
          </cell>
          <cell r="L171">
            <v>10.3</v>
          </cell>
          <cell r="M171">
            <v>93</v>
          </cell>
          <cell r="N171">
            <v>250</v>
          </cell>
          <cell r="O171">
            <v>19.600000000000001</v>
          </cell>
          <cell r="P171">
            <v>90.4</v>
          </cell>
          <cell r="Q171">
            <v>70</v>
          </cell>
          <cell r="R171">
            <v>9.3000000000000007</v>
          </cell>
          <cell r="S171">
            <v>83.6</v>
          </cell>
          <cell r="T171">
            <v>37377</v>
          </cell>
          <cell r="U171" t="str">
            <v>опт</v>
          </cell>
          <cell r="V171">
            <v>2</v>
          </cell>
          <cell r="W171" t="str">
            <v>Ревизия Э-250</v>
          </cell>
        </row>
        <row r="172">
          <cell r="B172">
            <v>2933</v>
          </cell>
          <cell r="C172">
            <v>44</v>
          </cell>
          <cell r="F172" t="str">
            <v>ПРС</v>
          </cell>
          <cell r="G172">
            <v>265</v>
          </cell>
          <cell r="H172" t="str">
            <v>ШГН</v>
          </cell>
          <cell r="I172" t="str">
            <v>бд</v>
          </cell>
          <cell r="L172">
            <v>0</v>
          </cell>
          <cell r="N172">
            <v>12</v>
          </cell>
          <cell r="O172">
            <v>7</v>
          </cell>
          <cell r="P172">
            <v>28</v>
          </cell>
          <cell r="Q172">
            <v>12</v>
          </cell>
          <cell r="R172">
            <v>7</v>
          </cell>
          <cell r="S172">
            <v>28</v>
          </cell>
          <cell r="T172">
            <v>37373</v>
          </cell>
          <cell r="U172" t="str">
            <v>ВЦД</v>
          </cell>
          <cell r="V172">
            <v>1</v>
          </cell>
          <cell r="W172" t="str">
            <v>Ревизия НН-57</v>
          </cell>
        </row>
        <row r="173">
          <cell r="B173">
            <v>5284</v>
          </cell>
          <cell r="C173">
            <v>140</v>
          </cell>
          <cell r="F173" t="str">
            <v>ПРС</v>
          </cell>
          <cell r="H173" t="str">
            <v>ШГН</v>
          </cell>
          <cell r="I173" t="str">
            <v>действ.</v>
          </cell>
          <cell r="K173">
            <v>20</v>
          </cell>
          <cell r="L173">
            <v>14</v>
          </cell>
          <cell r="M173">
            <v>14</v>
          </cell>
          <cell r="N173">
            <v>53</v>
          </cell>
          <cell r="O173">
            <v>16</v>
          </cell>
          <cell r="P173">
            <v>63</v>
          </cell>
          <cell r="Q173">
            <v>33</v>
          </cell>
          <cell r="R173">
            <v>2</v>
          </cell>
          <cell r="S173">
            <v>92.5</v>
          </cell>
          <cell r="T173">
            <v>37365</v>
          </cell>
          <cell r="U173" t="str">
            <v>опт</v>
          </cell>
          <cell r="V173">
            <v>1</v>
          </cell>
          <cell r="W173" t="str">
            <v>Опт.Н-44/Э-30</v>
          </cell>
        </row>
        <row r="174">
          <cell r="B174">
            <v>5609</v>
          </cell>
          <cell r="C174">
            <v>114</v>
          </cell>
          <cell r="F174" t="str">
            <v>ПРС</v>
          </cell>
          <cell r="G174">
            <v>230</v>
          </cell>
          <cell r="H174" t="str">
            <v>ШГН</v>
          </cell>
          <cell r="I174" t="str">
            <v>бд</v>
          </cell>
          <cell r="J174">
            <v>37064</v>
          </cell>
          <cell r="K174">
            <v>2</v>
          </cell>
          <cell r="L174">
            <v>1.6</v>
          </cell>
          <cell r="M174">
            <v>0</v>
          </cell>
          <cell r="N174">
            <v>4</v>
          </cell>
          <cell r="O174">
            <v>2.1</v>
          </cell>
          <cell r="P174">
            <v>35</v>
          </cell>
          <cell r="Q174">
            <v>4</v>
          </cell>
          <cell r="R174">
            <v>2.1</v>
          </cell>
          <cell r="S174">
            <v>35.200000000000003</v>
          </cell>
          <cell r="T174">
            <v>37360</v>
          </cell>
          <cell r="U174" t="str">
            <v>БДП</v>
          </cell>
          <cell r="V174">
            <v>1</v>
          </cell>
          <cell r="W174" t="str">
            <v>ВЦ,ревизия НВ-32</v>
          </cell>
        </row>
        <row r="175">
          <cell r="B175">
            <v>3712</v>
          </cell>
          <cell r="C175">
            <v>303</v>
          </cell>
          <cell r="F175" t="str">
            <v>ПРС</v>
          </cell>
          <cell r="H175" t="str">
            <v>ШГН</v>
          </cell>
          <cell r="I175" t="str">
            <v>действ.</v>
          </cell>
          <cell r="K175">
            <v>150</v>
          </cell>
          <cell r="L175">
            <v>6.1</v>
          </cell>
          <cell r="M175">
            <v>95</v>
          </cell>
          <cell r="N175">
            <v>175</v>
          </cell>
          <cell r="O175">
            <v>8.1</v>
          </cell>
          <cell r="P175">
            <v>94.3</v>
          </cell>
          <cell r="Q175">
            <v>25</v>
          </cell>
          <cell r="R175">
            <v>2</v>
          </cell>
          <cell r="S175">
            <v>90.1</v>
          </cell>
          <cell r="T175">
            <v>37360</v>
          </cell>
          <cell r="U175" t="str">
            <v>опт</v>
          </cell>
          <cell r="V175">
            <v>1</v>
          </cell>
          <cell r="W175" t="str">
            <v>Опт.Э-160/Э-200</v>
          </cell>
        </row>
        <row r="176">
          <cell r="B176">
            <v>3094</v>
          </cell>
          <cell r="C176" t="str">
            <v>44б</v>
          </cell>
          <cell r="F176" t="str">
            <v>ПРС</v>
          </cell>
          <cell r="G176">
            <v>265</v>
          </cell>
          <cell r="H176" t="str">
            <v>ШГН</v>
          </cell>
          <cell r="I176" t="str">
            <v>бд</v>
          </cell>
          <cell r="L176">
            <v>0</v>
          </cell>
          <cell r="N176">
            <v>7</v>
          </cell>
          <cell r="O176">
            <v>5.0999999999999996</v>
          </cell>
          <cell r="P176">
            <v>10</v>
          </cell>
          <cell r="Q176">
            <v>7</v>
          </cell>
          <cell r="R176">
            <v>5.0999999999999996</v>
          </cell>
          <cell r="S176">
            <v>10.1</v>
          </cell>
          <cell r="T176">
            <v>37356</v>
          </cell>
          <cell r="U176" t="str">
            <v>БДП</v>
          </cell>
          <cell r="V176">
            <v>1</v>
          </cell>
          <cell r="W176" t="str">
            <v>Ревизия НН-57</v>
          </cell>
        </row>
        <row r="177">
          <cell r="B177">
            <v>5528</v>
          </cell>
          <cell r="C177" t="str">
            <v>119б</v>
          </cell>
          <cell r="F177" t="str">
            <v>ПРС</v>
          </cell>
          <cell r="G177">
            <v>250</v>
          </cell>
          <cell r="H177" t="str">
            <v>ШГН</v>
          </cell>
          <cell r="I177" t="str">
            <v>бд</v>
          </cell>
          <cell r="L177">
            <v>0</v>
          </cell>
          <cell r="N177">
            <v>8</v>
          </cell>
          <cell r="O177">
            <v>5.5</v>
          </cell>
          <cell r="P177">
            <v>15</v>
          </cell>
          <cell r="Q177">
            <v>8</v>
          </cell>
          <cell r="R177">
            <v>5.5</v>
          </cell>
          <cell r="S177">
            <v>15.1</v>
          </cell>
          <cell r="T177">
            <v>37356</v>
          </cell>
          <cell r="U177" t="str">
            <v>БДП</v>
          </cell>
          <cell r="V177">
            <v>1</v>
          </cell>
        </row>
        <row r="178">
          <cell r="B178">
            <v>2721</v>
          </cell>
          <cell r="C178">
            <v>166</v>
          </cell>
          <cell r="F178" t="str">
            <v>ПРС</v>
          </cell>
          <cell r="G178">
            <v>265</v>
          </cell>
          <cell r="H178" t="str">
            <v>ШГН</v>
          </cell>
          <cell r="I178" t="str">
            <v>бд</v>
          </cell>
          <cell r="L178">
            <v>0</v>
          </cell>
          <cell r="N178">
            <v>4</v>
          </cell>
          <cell r="O178">
            <v>2.6</v>
          </cell>
          <cell r="P178">
            <v>20</v>
          </cell>
          <cell r="Q178">
            <v>4</v>
          </cell>
          <cell r="R178">
            <v>2.6</v>
          </cell>
          <cell r="S178">
            <v>19.8</v>
          </cell>
          <cell r="T178">
            <v>37333</v>
          </cell>
          <cell r="U178" t="str">
            <v>БДП</v>
          </cell>
          <cell r="W178" t="str">
            <v>Ревизия НН-44</v>
          </cell>
        </row>
        <row r="179">
          <cell r="B179">
            <v>2681</v>
          </cell>
          <cell r="C179" t="str">
            <v>145б</v>
          </cell>
          <cell r="F179" t="str">
            <v>ПРС</v>
          </cell>
          <cell r="G179">
            <v>265</v>
          </cell>
          <cell r="H179" t="str">
            <v>ШГН</v>
          </cell>
          <cell r="I179" t="str">
            <v>бд</v>
          </cell>
          <cell r="L179">
            <v>0</v>
          </cell>
          <cell r="N179">
            <v>5</v>
          </cell>
          <cell r="O179">
            <v>4</v>
          </cell>
          <cell r="P179">
            <v>3</v>
          </cell>
          <cell r="Q179">
            <v>5</v>
          </cell>
          <cell r="R179">
            <v>4</v>
          </cell>
          <cell r="S179">
            <v>1.2</v>
          </cell>
          <cell r="T179">
            <v>37311</v>
          </cell>
          <cell r="U179" t="str">
            <v>ВЦД</v>
          </cell>
          <cell r="W179" t="str">
            <v>Ревизия НН-44</v>
          </cell>
        </row>
        <row r="180">
          <cell r="B180" t="str">
            <v>136р</v>
          </cell>
          <cell r="G180">
            <v>250</v>
          </cell>
          <cell r="H180" t="str">
            <v>фон</v>
          </cell>
          <cell r="I180" t="str">
            <v>конс.</v>
          </cell>
          <cell r="L180">
            <v>0</v>
          </cell>
          <cell r="N180">
            <v>14</v>
          </cell>
          <cell r="O180">
            <v>10.8</v>
          </cell>
          <cell r="P180">
            <v>5</v>
          </cell>
          <cell r="Q180">
            <v>14</v>
          </cell>
          <cell r="R180">
            <v>10.8</v>
          </cell>
          <cell r="S180">
            <v>4.8</v>
          </cell>
          <cell r="T180">
            <v>37306</v>
          </cell>
          <cell r="U180" t="str">
            <v>БДД</v>
          </cell>
          <cell r="W180" t="str">
            <v>Пуск в работу</v>
          </cell>
        </row>
        <row r="181">
          <cell r="B181">
            <v>2710</v>
          </cell>
          <cell r="C181">
            <v>161</v>
          </cell>
          <cell r="F181" t="str">
            <v>ПРС</v>
          </cell>
          <cell r="H181" t="str">
            <v>ШГН</v>
          </cell>
          <cell r="I181" t="str">
            <v>действ.</v>
          </cell>
          <cell r="K181">
            <v>13</v>
          </cell>
          <cell r="L181">
            <v>6.3</v>
          </cell>
          <cell r="M181">
            <v>41</v>
          </cell>
          <cell r="N181">
            <v>37</v>
          </cell>
          <cell r="O181">
            <v>16</v>
          </cell>
          <cell r="P181">
            <v>47</v>
          </cell>
          <cell r="Q181">
            <v>24</v>
          </cell>
          <cell r="R181">
            <v>9.6999999999999993</v>
          </cell>
          <cell r="S181">
            <v>50.1</v>
          </cell>
          <cell r="T181">
            <v>37533</v>
          </cell>
          <cell r="U181" t="str">
            <v>опт</v>
          </cell>
          <cell r="W181" t="str">
            <v>Оптимизация Н-57/Э-30</v>
          </cell>
        </row>
        <row r="182">
          <cell r="B182">
            <v>2938</v>
          </cell>
          <cell r="C182" t="str">
            <v>43б</v>
          </cell>
          <cell r="F182" t="str">
            <v>ПРС</v>
          </cell>
          <cell r="H182" t="str">
            <v>ШГН</v>
          </cell>
          <cell r="I182" t="str">
            <v>действ.</v>
          </cell>
          <cell r="K182">
            <v>13</v>
          </cell>
          <cell r="L182">
            <v>7.5</v>
          </cell>
          <cell r="M182">
            <v>29</v>
          </cell>
          <cell r="N182">
            <v>20</v>
          </cell>
          <cell r="O182">
            <v>13.7</v>
          </cell>
          <cell r="P182">
            <v>16</v>
          </cell>
          <cell r="Q182">
            <v>7</v>
          </cell>
          <cell r="R182">
            <v>6.1999999999999993</v>
          </cell>
          <cell r="S182">
            <v>-9.3000000000000007</v>
          </cell>
          <cell r="T182">
            <v>37544</v>
          </cell>
          <cell r="U182" t="str">
            <v>опт</v>
          </cell>
          <cell r="W182" t="str">
            <v>Оптимизация Н-44/Э-30</v>
          </cell>
        </row>
        <row r="183">
          <cell r="B183">
            <v>2566</v>
          </cell>
          <cell r="C183">
            <v>167</v>
          </cell>
          <cell r="F183" t="str">
            <v>ПРС</v>
          </cell>
          <cell r="H183" t="str">
            <v>фон</v>
          </cell>
          <cell r="I183" t="str">
            <v>бд</v>
          </cell>
          <cell r="J183">
            <v>37389</v>
          </cell>
          <cell r="K183">
            <v>0</v>
          </cell>
          <cell r="L183">
            <v>0</v>
          </cell>
          <cell r="M183">
            <v>0</v>
          </cell>
          <cell r="N183">
            <v>33</v>
          </cell>
          <cell r="O183">
            <v>4.5999999999999996</v>
          </cell>
          <cell r="P183">
            <v>83</v>
          </cell>
          <cell r="Q183">
            <v>33</v>
          </cell>
          <cell r="R183">
            <v>4.5999999999999996</v>
          </cell>
          <cell r="S183">
            <v>82.8</v>
          </cell>
          <cell r="T183">
            <v>37550</v>
          </cell>
          <cell r="U183" t="str">
            <v>ВЦД</v>
          </cell>
          <cell r="W183" t="str">
            <v>ВЦ,ВЗ(ГЖ)сп.Э-80</v>
          </cell>
        </row>
        <row r="184">
          <cell r="B184">
            <v>2755</v>
          </cell>
          <cell r="C184">
            <v>145</v>
          </cell>
          <cell r="F184" t="str">
            <v>ПРС</v>
          </cell>
          <cell r="H184" t="str">
            <v>ЭЦН</v>
          </cell>
          <cell r="I184" t="str">
            <v>бд</v>
          </cell>
          <cell r="J184">
            <v>33968</v>
          </cell>
          <cell r="K184">
            <v>0</v>
          </cell>
          <cell r="L184">
            <v>0</v>
          </cell>
          <cell r="M184">
            <v>0</v>
          </cell>
          <cell r="N184">
            <v>30</v>
          </cell>
          <cell r="O184">
            <v>10.3</v>
          </cell>
          <cell r="P184">
            <v>58</v>
          </cell>
          <cell r="Q184">
            <v>30</v>
          </cell>
          <cell r="R184">
            <v>10.3</v>
          </cell>
          <cell r="S184">
            <v>57.6</v>
          </cell>
          <cell r="T184">
            <v>37551</v>
          </cell>
          <cell r="U184" t="str">
            <v>ВЦД</v>
          </cell>
          <cell r="W184" t="str">
            <v>в.ц.,в.з.(г/ж),Э-60</v>
          </cell>
        </row>
        <row r="185">
          <cell r="B185">
            <v>5585</v>
          </cell>
          <cell r="C185">
            <v>117</v>
          </cell>
          <cell r="F185" t="str">
            <v>ПРС</v>
          </cell>
          <cell r="H185" t="str">
            <v>ЭЦН</v>
          </cell>
          <cell r="I185" t="str">
            <v>бд</v>
          </cell>
          <cell r="J185">
            <v>35610</v>
          </cell>
          <cell r="K185">
            <v>0</v>
          </cell>
          <cell r="L185">
            <v>0</v>
          </cell>
          <cell r="M185">
            <v>0</v>
          </cell>
          <cell r="N185">
            <v>80</v>
          </cell>
          <cell r="O185">
            <v>2</v>
          </cell>
          <cell r="P185">
            <v>97</v>
          </cell>
          <cell r="Q185">
            <v>80</v>
          </cell>
          <cell r="R185">
            <v>2</v>
          </cell>
          <cell r="S185">
            <v>96.9</v>
          </cell>
          <cell r="T185">
            <v>37537</v>
          </cell>
          <cell r="U185" t="str">
            <v>БДП</v>
          </cell>
          <cell r="W185" t="str">
            <v>ВЗ(ГЖ)см.вор./Э-80</v>
          </cell>
        </row>
        <row r="186">
          <cell r="B186">
            <v>5586</v>
          </cell>
          <cell r="C186">
            <v>117</v>
          </cell>
          <cell r="F186" t="str">
            <v>ПРС</v>
          </cell>
          <cell r="H186" t="str">
            <v>ЭЦН</v>
          </cell>
          <cell r="I186" t="str">
            <v>бд</v>
          </cell>
          <cell r="J186">
            <v>35378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T186">
            <v>37544</v>
          </cell>
          <cell r="U186" t="str">
            <v>БДП</v>
          </cell>
          <cell r="W186" t="str">
            <v>в.з.(г/ж), рев.Э-125</v>
          </cell>
        </row>
        <row r="187">
          <cell r="B187">
            <v>5516</v>
          </cell>
          <cell r="C187">
            <v>115</v>
          </cell>
          <cell r="F187" t="str">
            <v>ПРС</v>
          </cell>
          <cell r="H187" t="str">
            <v>ЭЦН</v>
          </cell>
          <cell r="I187" t="str">
            <v>бд</v>
          </cell>
          <cell r="J187">
            <v>37081</v>
          </cell>
          <cell r="K187">
            <v>0</v>
          </cell>
          <cell r="L187">
            <v>0</v>
          </cell>
          <cell r="M187">
            <v>0</v>
          </cell>
          <cell r="N187">
            <v>125</v>
          </cell>
          <cell r="O187">
            <v>4.0999999999999996</v>
          </cell>
          <cell r="P187">
            <v>96</v>
          </cell>
          <cell r="Q187">
            <v>125</v>
          </cell>
          <cell r="R187">
            <v>4.0999999999999996</v>
          </cell>
          <cell r="S187">
            <v>96</v>
          </cell>
          <cell r="T187">
            <v>37550</v>
          </cell>
          <cell r="U187" t="str">
            <v>БДП</v>
          </cell>
          <cell r="W187" t="str">
            <v>в.з.(г/ж), Э-125</v>
          </cell>
        </row>
        <row r="188">
          <cell r="B188">
            <v>2877</v>
          </cell>
          <cell r="C188">
            <v>42</v>
          </cell>
          <cell r="F188" t="str">
            <v>ПРС</v>
          </cell>
          <cell r="H188" t="str">
            <v>ШГН</v>
          </cell>
          <cell r="I188" t="str">
            <v>бд</v>
          </cell>
          <cell r="J188">
            <v>36895</v>
          </cell>
          <cell r="K188">
            <v>0</v>
          </cell>
          <cell r="L188">
            <v>0</v>
          </cell>
          <cell r="M188">
            <v>0</v>
          </cell>
          <cell r="N188">
            <v>11</v>
          </cell>
          <cell r="O188">
            <v>0.7</v>
          </cell>
          <cell r="P188">
            <v>92</v>
          </cell>
          <cell r="Q188">
            <v>11</v>
          </cell>
          <cell r="R188">
            <v>0.7</v>
          </cell>
          <cell r="S188">
            <v>92.1</v>
          </cell>
          <cell r="T188">
            <v>37538</v>
          </cell>
          <cell r="U188" t="str">
            <v>БДП</v>
          </cell>
          <cell r="W188" t="str">
            <v>См.НВ-32/НВ-44, ВЗ(ГЖ)</v>
          </cell>
        </row>
        <row r="189">
          <cell r="B189" t="str">
            <v>5402б</v>
          </cell>
          <cell r="C189">
            <v>103</v>
          </cell>
          <cell r="F189" t="str">
            <v>ПРС</v>
          </cell>
          <cell r="H189" t="str">
            <v>ЭЦН</v>
          </cell>
          <cell r="I189" t="str">
            <v>конс.</v>
          </cell>
          <cell r="J189">
            <v>34099</v>
          </cell>
          <cell r="K189">
            <v>0</v>
          </cell>
          <cell r="L189">
            <v>0</v>
          </cell>
          <cell r="M189">
            <v>0</v>
          </cell>
          <cell r="N189">
            <v>29</v>
          </cell>
          <cell r="O189">
            <v>3.8</v>
          </cell>
          <cell r="P189">
            <v>84</v>
          </cell>
          <cell r="Q189">
            <v>29</v>
          </cell>
          <cell r="R189">
            <v>3.8</v>
          </cell>
          <cell r="S189">
            <v>83.8</v>
          </cell>
          <cell r="T189">
            <v>37550</v>
          </cell>
          <cell r="U189" t="str">
            <v>ВЦД</v>
          </cell>
          <cell r="W189" t="str">
            <v>ВЦ,ВЗ(ГЖ)сп.Э-80</v>
          </cell>
        </row>
        <row r="190">
          <cell r="B190">
            <v>5718</v>
          </cell>
          <cell r="C190" t="str">
            <v>122б</v>
          </cell>
          <cell r="F190" t="str">
            <v>ПРС</v>
          </cell>
          <cell r="H190" t="str">
            <v>ЭЦН</v>
          </cell>
          <cell r="I190" t="str">
            <v>действ.</v>
          </cell>
          <cell r="K190">
            <v>141</v>
          </cell>
          <cell r="L190">
            <v>10.3</v>
          </cell>
          <cell r="M190">
            <v>91</v>
          </cell>
          <cell r="N190">
            <v>200</v>
          </cell>
          <cell r="O190">
            <v>16.3</v>
          </cell>
          <cell r="P190">
            <v>90</v>
          </cell>
          <cell r="Q190">
            <v>59</v>
          </cell>
          <cell r="R190">
            <v>6</v>
          </cell>
          <cell r="S190">
            <v>87.4</v>
          </cell>
          <cell r="T190">
            <v>37574</v>
          </cell>
          <cell r="U190" t="str">
            <v>опт</v>
          </cell>
          <cell r="W190" t="str">
            <v>Смена Э-125/Э-200</v>
          </cell>
        </row>
        <row r="191">
          <cell r="B191">
            <v>5641</v>
          </cell>
          <cell r="C191">
            <v>126</v>
          </cell>
          <cell r="F191" t="str">
            <v>ПРС</v>
          </cell>
          <cell r="H191" t="str">
            <v>ЭЦН</v>
          </cell>
          <cell r="I191" t="str">
            <v>действ.</v>
          </cell>
          <cell r="K191">
            <v>96</v>
          </cell>
          <cell r="L191">
            <v>45.4</v>
          </cell>
          <cell r="M191">
            <v>42</v>
          </cell>
          <cell r="N191">
            <v>120</v>
          </cell>
          <cell r="O191">
            <v>54.8</v>
          </cell>
          <cell r="P191">
            <v>44</v>
          </cell>
          <cell r="Q191">
            <v>24</v>
          </cell>
          <cell r="R191">
            <v>9.3999999999999986</v>
          </cell>
          <cell r="S191">
            <v>51.6</v>
          </cell>
          <cell r="T191">
            <v>37573</v>
          </cell>
          <cell r="U191" t="str">
            <v>опт</v>
          </cell>
          <cell r="W191" t="str">
            <v>Смена Э-80/Э-125</v>
          </cell>
        </row>
        <row r="192">
          <cell r="B192">
            <v>5826</v>
          </cell>
          <cell r="C192">
            <v>167</v>
          </cell>
          <cell r="F192" t="str">
            <v>ПРС</v>
          </cell>
          <cell r="H192" t="str">
            <v>ШГН</v>
          </cell>
          <cell r="I192" t="str">
            <v>действ.</v>
          </cell>
          <cell r="K192">
            <v>22</v>
          </cell>
          <cell r="L192">
            <v>13.4</v>
          </cell>
          <cell r="M192">
            <v>25</v>
          </cell>
          <cell r="N192">
            <v>34</v>
          </cell>
          <cell r="O192">
            <v>20.8</v>
          </cell>
          <cell r="P192">
            <v>25</v>
          </cell>
          <cell r="Q192">
            <v>12</v>
          </cell>
          <cell r="R192">
            <v>7.4</v>
          </cell>
          <cell r="S192">
            <v>23.9</v>
          </cell>
          <cell r="T192">
            <v>37583</v>
          </cell>
          <cell r="U192" t="str">
            <v>опт</v>
          </cell>
          <cell r="W192" t="str">
            <v>Оптимизация Н-44/Э-30</v>
          </cell>
        </row>
        <row r="193">
          <cell r="B193">
            <v>5690</v>
          </cell>
          <cell r="C193" t="str">
            <v>122б</v>
          </cell>
          <cell r="F193" t="str">
            <v>ПРС</v>
          </cell>
          <cell r="H193" t="str">
            <v>ЭЦН</v>
          </cell>
          <cell r="I193" t="str">
            <v>бдт</v>
          </cell>
          <cell r="J193">
            <v>37523</v>
          </cell>
          <cell r="K193">
            <v>0</v>
          </cell>
          <cell r="L193">
            <v>0</v>
          </cell>
          <cell r="M193">
            <v>0</v>
          </cell>
          <cell r="N193">
            <v>30</v>
          </cell>
          <cell r="O193">
            <v>5.0999999999999996</v>
          </cell>
          <cell r="P193">
            <v>79</v>
          </cell>
          <cell r="Q193">
            <v>30</v>
          </cell>
          <cell r="R193">
            <v>5.0999999999999996</v>
          </cell>
          <cell r="S193">
            <v>79</v>
          </cell>
          <cell r="T193">
            <v>37577</v>
          </cell>
          <cell r="U193" t="str">
            <v>бдп</v>
          </cell>
          <cell r="W193" t="str">
            <v>См.Э-50/Э-30</v>
          </cell>
        </row>
        <row r="194">
          <cell r="B194">
            <v>5253</v>
          </cell>
          <cell r="C194">
            <v>138</v>
          </cell>
          <cell r="F194" t="str">
            <v>ПРС</v>
          </cell>
          <cell r="H194" t="str">
            <v>ЭЦН</v>
          </cell>
          <cell r="I194" t="str">
            <v>конс.</v>
          </cell>
          <cell r="J194">
            <v>34881</v>
          </cell>
          <cell r="K194">
            <v>0</v>
          </cell>
          <cell r="L194">
            <v>0</v>
          </cell>
          <cell r="M194">
            <v>0</v>
          </cell>
          <cell r="N194">
            <v>48</v>
          </cell>
          <cell r="O194">
            <v>6.2</v>
          </cell>
          <cell r="P194">
            <v>84.2</v>
          </cell>
          <cell r="Q194">
            <v>48</v>
          </cell>
          <cell r="R194">
            <v>6.2</v>
          </cell>
          <cell r="S194">
            <v>84.1</v>
          </cell>
          <cell r="T194">
            <v>37584</v>
          </cell>
          <cell r="U194" t="str">
            <v>бдп</v>
          </cell>
          <cell r="W194" t="str">
            <v>Смена вор./Э-50</v>
          </cell>
          <cell r="AE194">
            <v>37673</v>
          </cell>
        </row>
        <row r="195">
          <cell r="B195" t="str">
            <v>11024б</v>
          </cell>
          <cell r="C195" t="str">
            <v>97б</v>
          </cell>
          <cell r="F195" t="str">
            <v>ПРС</v>
          </cell>
          <cell r="H195" t="str">
            <v>ЭЦН</v>
          </cell>
          <cell r="I195" t="str">
            <v>бд</v>
          </cell>
          <cell r="J195">
            <v>35121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90</v>
          </cell>
          <cell r="T195">
            <v>37706</v>
          </cell>
          <cell r="U195" t="str">
            <v>ВЦД</v>
          </cell>
          <cell r="W195" t="str">
            <v>ВЦ,ВЗ ГЖ,сп Э-50</v>
          </cell>
        </row>
        <row r="197">
          <cell r="W197" t="str">
            <v>КРС</v>
          </cell>
        </row>
        <row r="199">
          <cell r="AD199">
            <v>37553</v>
          </cell>
          <cell r="AE199">
            <v>37572</v>
          </cell>
        </row>
        <row r="200">
          <cell r="B200">
            <v>2881</v>
          </cell>
          <cell r="C200">
            <v>127</v>
          </cell>
          <cell r="F200" t="str">
            <v>УПНП</v>
          </cell>
          <cell r="G200">
            <v>280</v>
          </cell>
          <cell r="H200" t="str">
            <v>ЭЦН</v>
          </cell>
          <cell r="I200" t="str">
            <v>конс.</v>
          </cell>
          <cell r="J200">
            <v>35677</v>
          </cell>
          <cell r="K200">
            <v>0</v>
          </cell>
          <cell r="L200">
            <v>0</v>
          </cell>
          <cell r="M200">
            <v>0</v>
          </cell>
          <cell r="N200">
            <v>52</v>
          </cell>
          <cell r="O200">
            <v>8.1</v>
          </cell>
          <cell r="P200">
            <v>81</v>
          </cell>
          <cell r="Q200">
            <v>52</v>
          </cell>
          <cell r="R200">
            <v>8.1</v>
          </cell>
          <cell r="S200">
            <v>80.8</v>
          </cell>
          <cell r="T200">
            <v>37578</v>
          </cell>
          <cell r="U200" t="str">
            <v>ОВП</v>
          </cell>
          <cell r="W200" t="str">
            <v>ОТСК,РИР ЮК-10,ПП,ДП</v>
          </cell>
          <cell r="AD200">
            <v>37554</v>
          </cell>
          <cell r="AE200">
            <v>37571</v>
          </cell>
        </row>
        <row r="201">
          <cell r="B201">
            <v>5651</v>
          </cell>
          <cell r="C201">
            <v>124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конс.</v>
          </cell>
          <cell r="J201">
            <v>35433</v>
          </cell>
          <cell r="K201">
            <v>0</v>
          </cell>
          <cell r="L201">
            <v>0</v>
          </cell>
          <cell r="M201">
            <v>0</v>
          </cell>
          <cell r="N201">
            <v>65</v>
          </cell>
          <cell r="O201">
            <v>23.3</v>
          </cell>
          <cell r="P201">
            <v>56</v>
          </cell>
          <cell r="Q201">
            <v>65</v>
          </cell>
          <cell r="R201">
            <v>23.3</v>
          </cell>
          <cell r="S201">
            <v>55.7</v>
          </cell>
          <cell r="T201">
            <v>37572</v>
          </cell>
          <cell r="U201" t="str">
            <v>ОВП</v>
          </cell>
          <cell r="W201" t="str">
            <v>ВЦ,ГИС,РИР (ЗКЦ ЮК-11),ПП</v>
          </cell>
        </row>
        <row r="202">
          <cell r="B202">
            <v>2696</v>
          </cell>
          <cell r="C202">
            <v>163</v>
          </cell>
          <cell r="F202" t="str">
            <v>ПРС,КРС</v>
          </cell>
          <cell r="H202" t="str">
            <v>ШГН</v>
          </cell>
          <cell r="I202" t="str">
            <v>конс.</v>
          </cell>
          <cell r="J202">
            <v>36070</v>
          </cell>
          <cell r="K202">
            <v>0</v>
          </cell>
          <cell r="L202">
            <v>0</v>
          </cell>
          <cell r="M202">
            <v>0</v>
          </cell>
          <cell r="N202">
            <v>32</v>
          </cell>
          <cell r="O202">
            <v>24</v>
          </cell>
          <cell r="P202">
            <v>8</v>
          </cell>
          <cell r="Q202">
            <v>32</v>
          </cell>
          <cell r="R202">
            <v>24</v>
          </cell>
          <cell r="S202">
            <v>7.4</v>
          </cell>
          <cell r="T202">
            <v>37573</v>
          </cell>
          <cell r="U202" t="str">
            <v>бдп</v>
          </cell>
          <cell r="W202" t="str">
            <v>Подъем вор.,сп.Э-30</v>
          </cell>
          <cell r="X202" t="str">
            <v>ВЗ,ГДИ,сп.Э-50</v>
          </cell>
          <cell r="Y202" t="str">
            <v xml:space="preserve">на забое ЭЦН-50/1550+103шт.60мм НКТ+кабель </v>
          </cell>
          <cell r="AD202">
            <v>37413</v>
          </cell>
          <cell r="AE202">
            <v>37427</v>
          </cell>
          <cell r="AF202">
            <v>14</v>
          </cell>
        </row>
        <row r="203">
          <cell r="B203">
            <v>5241</v>
          </cell>
          <cell r="C203">
            <v>134</v>
          </cell>
          <cell r="D203">
            <v>6</v>
          </cell>
          <cell r="E203">
            <v>60</v>
          </cell>
          <cell r="F203" t="str">
            <v>УПНПиКРС</v>
          </cell>
          <cell r="G203">
            <v>258</v>
          </cell>
          <cell r="H203" t="str">
            <v>ЭЦН</v>
          </cell>
          <cell r="I203" t="str">
            <v>бд</v>
          </cell>
          <cell r="J203">
            <v>34547</v>
          </cell>
          <cell r="K203">
            <v>21</v>
          </cell>
          <cell r="L203">
            <v>0.2</v>
          </cell>
          <cell r="M203">
            <v>99</v>
          </cell>
          <cell r="N203">
            <v>50</v>
          </cell>
          <cell r="O203">
            <v>30</v>
          </cell>
          <cell r="P203">
            <v>26.5</v>
          </cell>
          <cell r="Q203">
            <v>50</v>
          </cell>
          <cell r="R203">
            <v>30</v>
          </cell>
          <cell r="S203">
            <v>25.9</v>
          </cell>
          <cell r="T203">
            <v>37465</v>
          </cell>
          <cell r="U203" t="str">
            <v>ГРП</v>
          </cell>
          <cell r="V203">
            <v>2</v>
          </cell>
          <cell r="W203" t="str">
            <v xml:space="preserve">ВЦ, ГИС-2 ( источ. обвод.), при подтверждении воды и герм. э/колонны  </v>
          </cell>
          <cell r="X203" t="str">
            <v>ЭП выполнен, ЭЦН с КРБК на забое</v>
          </cell>
          <cell r="Y203" t="str">
            <v xml:space="preserve">на забое ЭЦН-50/1550+103шт.60мм НКТ+кабель </v>
          </cell>
          <cell r="AD203">
            <v>37413</v>
          </cell>
          <cell r="AE203">
            <v>37461</v>
          </cell>
          <cell r="AF203">
            <v>48</v>
          </cell>
        </row>
        <row r="204">
          <cell r="B204">
            <v>5241</v>
          </cell>
          <cell r="C204">
            <v>134</v>
          </cell>
          <cell r="D204">
            <v>6</v>
          </cell>
          <cell r="E204">
            <v>60</v>
          </cell>
          <cell r="F204" t="str">
            <v>УПНПиКРС</v>
          </cell>
          <cell r="G204">
            <v>258</v>
          </cell>
          <cell r="H204" t="str">
            <v>ЭЦН</v>
          </cell>
          <cell r="I204" t="str">
            <v>бд</v>
          </cell>
          <cell r="J204">
            <v>34547</v>
          </cell>
          <cell r="K204">
            <v>21</v>
          </cell>
          <cell r="L204">
            <v>0.2</v>
          </cell>
          <cell r="M204">
            <v>99</v>
          </cell>
          <cell r="N204">
            <v>30</v>
          </cell>
          <cell r="O204">
            <v>12</v>
          </cell>
          <cell r="P204">
            <v>51</v>
          </cell>
          <cell r="Q204">
            <v>30</v>
          </cell>
          <cell r="R204">
            <v>12</v>
          </cell>
          <cell r="S204">
            <v>50.6</v>
          </cell>
          <cell r="T204">
            <v>37465</v>
          </cell>
          <cell r="U204" t="str">
            <v>ГРП</v>
          </cell>
          <cell r="V204">
            <v>2</v>
          </cell>
          <cell r="W204" t="str">
            <v>СО-каротаж, ПР к ГРП, ГРП ЮК-2, осв.</v>
          </cell>
          <cell r="X204" t="str">
            <v>ЭП выполнен, ЭЦН с КРБК на забое</v>
          </cell>
          <cell r="AD204" t="e">
            <v>#REF!</v>
          </cell>
          <cell r="AE204" t="e">
            <v>#REF!</v>
          </cell>
          <cell r="AF204">
            <v>12</v>
          </cell>
        </row>
        <row r="205">
          <cell r="B205">
            <v>2790</v>
          </cell>
          <cell r="C205">
            <v>144</v>
          </cell>
          <cell r="D205">
            <v>3</v>
          </cell>
          <cell r="E205">
            <v>30</v>
          </cell>
          <cell r="F205" t="str">
            <v>УПНПиКРС</v>
          </cell>
          <cell r="G205">
            <v>270</v>
          </cell>
          <cell r="H205" t="str">
            <v>нагнет.</v>
          </cell>
          <cell r="I205" t="str">
            <v>действ.</v>
          </cell>
          <cell r="J205">
            <v>37421</v>
          </cell>
          <cell r="K205">
            <v>150</v>
          </cell>
          <cell r="N205">
            <v>150</v>
          </cell>
          <cell r="Q205">
            <v>150</v>
          </cell>
          <cell r="T205">
            <v>37463</v>
          </cell>
          <cell r="U205" t="str">
            <v>нг</v>
          </cell>
          <cell r="W205" t="str">
            <v>Ревизия пакера</v>
          </cell>
          <cell r="AD205">
            <v>37417</v>
          </cell>
          <cell r="AE205">
            <v>37441</v>
          </cell>
          <cell r="AF205">
            <v>24</v>
          </cell>
          <cell r="AG205">
            <v>-1389581</v>
          </cell>
          <cell r="AH205">
            <v>-2434575</v>
          </cell>
        </row>
        <row r="206">
          <cell r="B206">
            <v>5290</v>
          </cell>
          <cell r="C206">
            <v>133</v>
          </cell>
          <cell r="D206">
            <v>4</v>
          </cell>
          <cell r="E206">
            <v>40</v>
          </cell>
          <cell r="F206" t="str">
            <v>УПНПиКРС</v>
          </cell>
          <cell r="H206" t="str">
            <v>ШГН</v>
          </cell>
          <cell r="I206" t="str">
            <v>бд</v>
          </cell>
          <cell r="N206">
            <v>65</v>
          </cell>
          <cell r="O206">
            <v>37.1</v>
          </cell>
          <cell r="P206">
            <v>30</v>
          </cell>
          <cell r="Q206">
            <v>65</v>
          </cell>
          <cell r="R206">
            <v>37.1</v>
          </cell>
          <cell r="S206">
            <v>29.5</v>
          </cell>
          <cell r="T206">
            <v>37455</v>
          </cell>
          <cell r="U206" t="str">
            <v>ГРП</v>
          </cell>
          <cell r="W206" t="str">
            <v>ВЦ, РИР ЮК-10, ПР к ГРП, ГРП ЮК-2, осв.</v>
          </cell>
          <cell r="Y206" t="str">
            <v>ОЦ5.10.99</v>
          </cell>
          <cell r="AC206" t="str">
            <v/>
          </cell>
          <cell r="AD206">
            <v>37413</v>
          </cell>
          <cell r="AE206">
            <v>37447</v>
          </cell>
          <cell r="AF206">
            <v>34</v>
          </cell>
          <cell r="AG206">
            <v>4814</v>
          </cell>
          <cell r="AH206">
            <v>6372</v>
          </cell>
        </row>
        <row r="207">
          <cell r="B207">
            <v>5483</v>
          </cell>
          <cell r="C207">
            <v>115</v>
          </cell>
          <cell r="D207">
            <v>4</v>
          </cell>
          <cell r="E207">
            <v>41</v>
          </cell>
          <cell r="F207" t="str">
            <v>УПНПиКРС</v>
          </cell>
          <cell r="G207">
            <v>250</v>
          </cell>
          <cell r="H207" t="str">
            <v>ЭЦН</v>
          </cell>
          <cell r="I207" t="str">
            <v>действ.</v>
          </cell>
          <cell r="J207">
            <v>34274</v>
          </cell>
          <cell r="K207">
            <v>20</v>
          </cell>
          <cell r="L207">
            <v>13.3</v>
          </cell>
          <cell r="M207">
            <v>18.2</v>
          </cell>
          <cell r="N207">
            <v>47</v>
          </cell>
          <cell r="O207">
            <v>33.700000000000003</v>
          </cell>
          <cell r="P207">
            <v>12</v>
          </cell>
          <cell r="Q207">
            <v>27</v>
          </cell>
          <cell r="R207">
            <v>20.400000000000002</v>
          </cell>
          <cell r="S207">
            <v>6.7</v>
          </cell>
          <cell r="T207">
            <v>37445</v>
          </cell>
          <cell r="U207" t="str">
            <v>опт</v>
          </cell>
          <cell r="V207">
            <v>3</v>
          </cell>
          <cell r="W207" t="str">
            <v>Подъём пакера , осв.после ГРП, сп.Э-50</v>
          </cell>
          <cell r="AD207">
            <v>37423</v>
          </cell>
          <cell r="AE207">
            <v>37437</v>
          </cell>
          <cell r="AF207">
            <v>14</v>
          </cell>
          <cell r="AG207">
            <v>3925</v>
          </cell>
          <cell r="AH207">
            <v>8440</v>
          </cell>
        </row>
        <row r="208">
          <cell r="B208">
            <v>2979</v>
          </cell>
          <cell r="C208">
            <v>50</v>
          </cell>
          <cell r="D208">
            <v>3</v>
          </cell>
          <cell r="E208">
            <v>30</v>
          </cell>
          <cell r="F208" t="str">
            <v>УПНПиКРС</v>
          </cell>
          <cell r="G208">
            <v>240</v>
          </cell>
          <cell r="H208" t="str">
            <v>ЭЦН</v>
          </cell>
          <cell r="I208" t="str">
            <v>бд</v>
          </cell>
          <cell r="J208">
            <v>37421</v>
          </cell>
          <cell r="K208">
            <v>44</v>
          </cell>
          <cell r="L208">
            <v>24.7</v>
          </cell>
          <cell r="M208">
            <v>31</v>
          </cell>
          <cell r="N208">
            <v>40</v>
          </cell>
          <cell r="O208">
            <v>18.600000000000001</v>
          </cell>
          <cell r="P208">
            <v>43</v>
          </cell>
          <cell r="Q208">
            <v>40</v>
          </cell>
          <cell r="R208">
            <v>18.600000000000001</v>
          </cell>
          <cell r="S208">
            <v>42.6</v>
          </cell>
          <cell r="T208">
            <v>37439</v>
          </cell>
          <cell r="U208" t="str">
            <v>ЛА</v>
          </cell>
          <cell r="V208">
            <v>2</v>
          </cell>
          <cell r="W208" t="str">
            <v>ЛА</v>
          </cell>
          <cell r="AD208">
            <v>37409</v>
          </cell>
          <cell r="AE208">
            <v>37431</v>
          </cell>
          <cell r="AF208">
            <v>22</v>
          </cell>
        </row>
        <row r="209">
          <cell r="B209">
            <v>5266</v>
          </cell>
          <cell r="C209">
            <v>134</v>
          </cell>
          <cell r="D209">
            <v>21</v>
          </cell>
          <cell r="E209">
            <v>210</v>
          </cell>
          <cell r="F209" t="str">
            <v>УПНПиКРС</v>
          </cell>
          <cell r="H209" t="str">
            <v>нагнет.</v>
          </cell>
          <cell r="I209" t="str">
            <v>бд</v>
          </cell>
          <cell r="N209">
            <v>50</v>
          </cell>
          <cell r="O209">
            <v>30</v>
          </cell>
          <cell r="P209">
            <v>26.5</v>
          </cell>
          <cell r="Q209">
            <v>50</v>
          </cell>
          <cell r="R209">
            <v>30</v>
          </cell>
          <cell r="S209">
            <v>25.9</v>
          </cell>
          <cell r="T209">
            <v>37436</v>
          </cell>
          <cell r="U209" t="str">
            <v>ГРП</v>
          </cell>
          <cell r="W209" t="str">
            <v>ОТСК, РИР ЮК-10, ПР к ГРП, ГРП ЮК-2, осв.</v>
          </cell>
          <cell r="AD209">
            <v>37409</v>
          </cell>
          <cell r="AE209">
            <v>37431</v>
          </cell>
          <cell r="AF209">
            <v>22</v>
          </cell>
          <cell r="AG209">
            <v>-1123080</v>
          </cell>
          <cell r="AH209">
            <v>-1871800</v>
          </cell>
        </row>
        <row r="210">
          <cell r="B210">
            <v>5266</v>
          </cell>
          <cell r="C210">
            <v>134</v>
          </cell>
          <cell r="D210">
            <v>21</v>
          </cell>
          <cell r="E210">
            <v>210</v>
          </cell>
          <cell r="F210" t="str">
            <v>УПНПиКРС</v>
          </cell>
          <cell r="H210" t="str">
            <v>нагнет.</v>
          </cell>
          <cell r="I210" t="str">
            <v>бд</v>
          </cell>
          <cell r="N210">
            <v>50</v>
          </cell>
          <cell r="O210">
            <v>30</v>
          </cell>
          <cell r="P210">
            <v>26.5</v>
          </cell>
          <cell r="Q210">
            <v>50</v>
          </cell>
          <cell r="R210">
            <v>30</v>
          </cell>
          <cell r="S210">
            <v>25.9</v>
          </cell>
          <cell r="T210">
            <v>37436</v>
          </cell>
          <cell r="U210" t="str">
            <v>ГРП</v>
          </cell>
          <cell r="W210" t="str">
            <v>ОТСК, РИР ЮК-10, ПР к ГРП, ГРП ЮК-2, осв.</v>
          </cell>
          <cell r="AD210">
            <v>37392</v>
          </cell>
          <cell r="AE210">
            <v>37412</v>
          </cell>
          <cell r="AF210">
            <v>20</v>
          </cell>
          <cell r="AG210">
            <v>851</v>
          </cell>
          <cell r="AH210">
            <v>1344</v>
          </cell>
        </row>
        <row r="211">
          <cell r="B211">
            <v>5515</v>
          </cell>
          <cell r="C211">
            <v>115</v>
          </cell>
          <cell r="D211">
            <v>3</v>
          </cell>
          <cell r="E211">
            <v>30</v>
          </cell>
          <cell r="F211" t="str">
            <v>УПНПиКРС</v>
          </cell>
          <cell r="G211">
            <v>240</v>
          </cell>
          <cell r="H211" t="str">
            <v>ЭЦН</v>
          </cell>
          <cell r="I211" t="str">
            <v>действ.</v>
          </cell>
          <cell r="J211">
            <v>37370</v>
          </cell>
          <cell r="K211">
            <v>34</v>
          </cell>
          <cell r="L211">
            <v>25.5</v>
          </cell>
          <cell r="M211">
            <v>8</v>
          </cell>
          <cell r="N211">
            <v>40</v>
          </cell>
          <cell r="O211">
            <v>29.3</v>
          </cell>
          <cell r="P211">
            <v>10</v>
          </cell>
          <cell r="Q211">
            <v>6</v>
          </cell>
          <cell r="R211">
            <v>3.8000000000000007</v>
          </cell>
          <cell r="S211">
            <v>21.8</v>
          </cell>
          <cell r="T211">
            <v>37426</v>
          </cell>
          <cell r="U211" t="str">
            <v>опт</v>
          </cell>
          <cell r="V211">
            <v>2</v>
          </cell>
          <cell r="W211" t="str">
            <v>Подъём пакера , осв.после ГРП, сп.Э-50</v>
          </cell>
          <cell r="AD211">
            <v>37413</v>
          </cell>
          <cell r="AE211">
            <v>37445</v>
          </cell>
          <cell r="AF211">
            <v>32</v>
          </cell>
        </row>
        <row r="212">
          <cell r="B212">
            <v>5739</v>
          </cell>
          <cell r="C212">
            <v>127</v>
          </cell>
          <cell r="D212">
            <v>3</v>
          </cell>
          <cell r="E212">
            <v>31</v>
          </cell>
          <cell r="F212" t="str">
            <v>УПНПиКРС</v>
          </cell>
          <cell r="G212">
            <v>280</v>
          </cell>
          <cell r="H212" t="str">
            <v>нагнет.</v>
          </cell>
          <cell r="I212" t="str">
            <v>бд</v>
          </cell>
          <cell r="N212">
            <v>50</v>
          </cell>
          <cell r="O212">
            <v>11.4</v>
          </cell>
          <cell r="P212">
            <v>72</v>
          </cell>
          <cell r="Q212">
            <v>50</v>
          </cell>
          <cell r="R212">
            <v>11.4</v>
          </cell>
          <cell r="S212">
            <v>71.900000000000006</v>
          </cell>
          <cell r="T212">
            <v>37424</v>
          </cell>
          <cell r="U212" t="str">
            <v>ГРП</v>
          </cell>
          <cell r="AD212">
            <v>37387</v>
          </cell>
          <cell r="AE212">
            <v>37411</v>
          </cell>
          <cell r="AF212">
            <v>24</v>
          </cell>
        </row>
        <row r="213">
          <cell r="B213">
            <v>3055</v>
          </cell>
          <cell r="C213">
            <v>51</v>
          </cell>
          <cell r="D213">
            <v>19</v>
          </cell>
          <cell r="E213">
            <v>190</v>
          </cell>
          <cell r="F213" t="str">
            <v>УПНПиКРС</v>
          </cell>
          <cell r="H213" t="str">
            <v>нагнет.</v>
          </cell>
          <cell r="I213" t="str">
            <v>бд</v>
          </cell>
          <cell r="N213">
            <v>20</v>
          </cell>
          <cell r="O213">
            <v>12.2</v>
          </cell>
          <cell r="P213">
            <v>25</v>
          </cell>
          <cell r="Q213">
            <v>20</v>
          </cell>
          <cell r="R213">
            <v>12.2</v>
          </cell>
          <cell r="S213">
            <v>24.7</v>
          </cell>
          <cell r="T213">
            <v>37422</v>
          </cell>
          <cell r="U213" t="str">
            <v>ГРП</v>
          </cell>
          <cell r="W213" t="str">
            <v>ВЗ ИР ЮК-11, ПР к ГРП и ГРП ЮК-3</v>
          </cell>
        </row>
        <row r="214">
          <cell r="B214">
            <v>2963</v>
          </cell>
          <cell r="C214">
            <v>20</v>
          </cell>
          <cell r="D214">
            <v>4</v>
          </cell>
          <cell r="E214">
            <v>40</v>
          </cell>
          <cell r="F214" t="str">
            <v>УПНПиКРС</v>
          </cell>
          <cell r="G214">
            <v>291</v>
          </cell>
          <cell r="H214" t="str">
            <v>нагнет.</v>
          </cell>
          <cell r="I214" t="str">
            <v>конс.</v>
          </cell>
          <cell r="N214">
            <v>49</v>
          </cell>
          <cell r="O214">
            <v>37.9</v>
          </cell>
          <cell r="P214">
            <v>5</v>
          </cell>
          <cell r="Q214">
            <v>49</v>
          </cell>
          <cell r="R214">
            <v>37.9</v>
          </cell>
          <cell r="S214">
            <v>4.5</v>
          </cell>
          <cell r="T214">
            <v>37417</v>
          </cell>
          <cell r="U214" t="str">
            <v>ГРП</v>
          </cell>
          <cell r="W214" t="str">
            <v xml:space="preserve"> РИР ЮК-10, ПР к ГРП, ГРП ЮК-2, осв.</v>
          </cell>
          <cell r="AD214">
            <v>37384</v>
          </cell>
          <cell r="AE214">
            <v>37401</v>
          </cell>
          <cell r="AF214">
            <v>17</v>
          </cell>
        </row>
        <row r="215">
          <cell r="B215">
            <v>2820</v>
          </cell>
          <cell r="C215">
            <v>144</v>
          </cell>
          <cell r="D215">
            <v>9</v>
          </cell>
          <cell r="E215">
            <v>90</v>
          </cell>
          <cell r="F215" t="str">
            <v>УПНПиКРС</v>
          </cell>
          <cell r="H215" t="str">
            <v>ФОН</v>
          </cell>
          <cell r="I215" t="str">
            <v>действ.</v>
          </cell>
          <cell r="K215">
            <v>32</v>
          </cell>
          <cell r="L215">
            <v>21.4</v>
          </cell>
          <cell r="M215">
            <v>18</v>
          </cell>
          <cell r="N215">
            <v>40</v>
          </cell>
          <cell r="O215">
            <v>28.4</v>
          </cell>
          <cell r="P215">
            <v>13</v>
          </cell>
          <cell r="Q215">
            <v>8</v>
          </cell>
          <cell r="R215">
            <v>7</v>
          </cell>
          <cell r="S215">
            <v>-8</v>
          </cell>
          <cell r="T215">
            <v>37415</v>
          </cell>
          <cell r="U215" t="str">
            <v>опт</v>
          </cell>
          <cell r="W215" t="str">
            <v>Подъём пакера , осв.после ГРП, сп.Э-50</v>
          </cell>
          <cell r="AD215">
            <v>37384</v>
          </cell>
          <cell r="AE215">
            <v>37408</v>
          </cell>
          <cell r="AF215">
            <v>24</v>
          </cell>
          <cell r="AG215">
            <v>7640</v>
          </cell>
          <cell r="AH215">
            <v>10760</v>
          </cell>
        </row>
        <row r="216">
          <cell r="B216">
            <v>5242</v>
          </cell>
          <cell r="C216">
            <v>134</v>
          </cell>
          <cell r="D216">
            <v>21</v>
          </cell>
          <cell r="E216">
            <v>210</v>
          </cell>
          <cell r="F216" t="str">
            <v>УПНПиКРС</v>
          </cell>
          <cell r="H216" t="str">
            <v>ШГН</v>
          </cell>
          <cell r="I216" t="str">
            <v>конс.</v>
          </cell>
          <cell r="N216">
            <v>40</v>
          </cell>
          <cell r="O216">
            <v>28.4</v>
          </cell>
          <cell r="P216">
            <v>13</v>
          </cell>
          <cell r="Q216">
            <v>40</v>
          </cell>
          <cell r="R216">
            <v>28.4</v>
          </cell>
          <cell r="S216">
            <v>12.3</v>
          </cell>
          <cell r="T216">
            <v>37412</v>
          </cell>
          <cell r="V216">
            <v>3</v>
          </cell>
          <cell r="W216" t="str">
            <v>ВЦ, РИР ЮК-10, ПР к ГРП, ГРП ЮК-2, осв.</v>
          </cell>
          <cell r="Y216" t="str">
            <v>ВУК(-)</v>
          </cell>
          <cell r="AD216">
            <v>37329</v>
          </cell>
          <cell r="AE216">
            <v>37382</v>
          </cell>
          <cell r="AF216">
            <v>53</v>
          </cell>
          <cell r="AG216">
            <v>1470</v>
          </cell>
          <cell r="AH216">
            <v>2450</v>
          </cell>
        </row>
        <row r="217">
          <cell r="B217">
            <v>5218</v>
          </cell>
          <cell r="C217">
            <v>134</v>
          </cell>
          <cell r="D217">
            <v>21</v>
          </cell>
          <cell r="E217">
            <v>210</v>
          </cell>
          <cell r="F217" t="str">
            <v>УПНПиКРС</v>
          </cell>
          <cell r="G217">
            <v>245</v>
          </cell>
          <cell r="H217" t="str">
            <v>ШГН</v>
          </cell>
          <cell r="I217" t="str">
            <v>конс.</v>
          </cell>
          <cell r="J217">
            <v>32843</v>
          </cell>
          <cell r="N217">
            <v>50</v>
          </cell>
          <cell r="O217">
            <v>30</v>
          </cell>
          <cell r="P217">
            <v>26.5</v>
          </cell>
          <cell r="Q217">
            <v>50</v>
          </cell>
          <cell r="R217">
            <v>30</v>
          </cell>
          <cell r="S217">
            <v>25.9</v>
          </cell>
          <cell r="T217">
            <v>37407</v>
          </cell>
          <cell r="U217" t="str">
            <v>ГРП</v>
          </cell>
          <cell r="V217">
            <v>2</v>
          </cell>
          <cell r="W217" t="str">
            <v>ВЦ, ИР ЮК-10, ПР к ГРП и ГРП ЮК-2-3</v>
          </cell>
          <cell r="Y217" t="str">
            <v>Обрыв МСУ-400+ 1485м. Проволки ВЦ сделал э/пр.(февр.02), цирк.(+)</v>
          </cell>
          <cell r="AD217">
            <v>37362</v>
          </cell>
          <cell r="AE217">
            <v>37384</v>
          </cell>
          <cell r="AF217">
            <v>22</v>
          </cell>
          <cell r="AG217">
            <v>940</v>
          </cell>
          <cell r="AH217">
            <v>-456</v>
          </cell>
        </row>
        <row r="218">
          <cell r="B218">
            <v>2682</v>
          </cell>
          <cell r="C218" t="str">
            <v>145б</v>
          </cell>
          <cell r="D218">
            <v>9</v>
          </cell>
          <cell r="E218">
            <v>90</v>
          </cell>
          <cell r="F218" t="str">
            <v>УПНПиКРС</v>
          </cell>
          <cell r="G218">
            <v>260</v>
          </cell>
          <cell r="H218" t="str">
            <v>ЭЦН</v>
          </cell>
          <cell r="I218" t="str">
            <v>конс.</v>
          </cell>
          <cell r="J218">
            <v>34304</v>
          </cell>
          <cell r="K218">
            <v>0</v>
          </cell>
          <cell r="M218">
            <v>0</v>
          </cell>
          <cell r="N218">
            <v>50</v>
          </cell>
          <cell r="O218">
            <v>30</v>
          </cell>
          <cell r="P218">
            <v>26.5</v>
          </cell>
          <cell r="Q218">
            <v>50</v>
          </cell>
          <cell r="R218">
            <v>30</v>
          </cell>
          <cell r="S218">
            <v>25.9</v>
          </cell>
          <cell r="T218">
            <v>37406</v>
          </cell>
          <cell r="U218" t="str">
            <v>ГРП</v>
          </cell>
          <cell r="V218">
            <v>2</v>
          </cell>
          <cell r="W218" t="str">
            <v>ГИС-2(и.о.) ,при герм.Э/К и отс. ЗКЦ ДП 2554-2562, РИР ЮК-10, ГРП ЮК 3-4 V=30т</v>
          </cell>
          <cell r="X218" t="str">
            <v>Необходима СК?</v>
          </cell>
          <cell r="Y218" t="str">
            <v>ОЦ5.10.99</v>
          </cell>
          <cell r="AC218" t="str">
            <v/>
          </cell>
          <cell r="AD218">
            <v>37377</v>
          </cell>
          <cell r="AE218">
            <v>37393</v>
          </cell>
          <cell r="AF218">
            <v>16</v>
          </cell>
          <cell r="AG218">
            <v>6365</v>
          </cell>
          <cell r="AH218">
            <v>8640</v>
          </cell>
        </row>
        <row r="219">
          <cell r="B219">
            <v>5483</v>
          </cell>
          <cell r="C219">
            <v>115</v>
          </cell>
          <cell r="D219">
            <v>3</v>
          </cell>
          <cell r="E219">
            <v>31</v>
          </cell>
          <cell r="F219" t="str">
            <v>УПНПиКРС</v>
          </cell>
          <cell r="G219">
            <v>250</v>
          </cell>
          <cell r="H219" t="str">
            <v>ЭЦН</v>
          </cell>
          <cell r="I219" t="str">
            <v>конс.</v>
          </cell>
          <cell r="J219">
            <v>34274</v>
          </cell>
          <cell r="K219">
            <v>30</v>
          </cell>
          <cell r="L219">
            <v>23.5</v>
          </cell>
          <cell r="M219">
            <v>4</v>
          </cell>
          <cell r="N219">
            <v>30</v>
          </cell>
          <cell r="O219">
            <v>22.1</v>
          </cell>
          <cell r="P219">
            <v>9.5</v>
          </cell>
          <cell r="Q219">
            <v>30</v>
          </cell>
          <cell r="R219">
            <v>22.1</v>
          </cell>
          <cell r="S219">
            <v>9.1</v>
          </cell>
          <cell r="T219">
            <v>37393</v>
          </cell>
          <cell r="U219" t="str">
            <v>ГРП</v>
          </cell>
          <cell r="V219">
            <v>3</v>
          </cell>
          <cell r="W219" t="str">
            <v xml:space="preserve"> пр к ГРП, ГРП</v>
          </cell>
          <cell r="AD219">
            <v>37355</v>
          </cell>
          <cell r="AE219">
            <v>37376</v>
          </cell>
          <cell r="AF219">
            <v>21</v>
          </cell>
          <cell r="AG219">
            <v>120</v>
          </cell>
          <cell r="AH219">
            <v>456</v>
          </cell>
        </row>
        <row r="220">
          <cell r="B220">
            <v>5425</v>
          </cell>
          <cell r="C220">
            <v>102</v>
          </cell>
          <cell r="D220">
            <v>3</v>
          </cell>
          <cell r="E220">
            <v>30</v>
          </cell>
          <cell r="F220" t="str">
            <v>УПНПиКРС</v>
          </cell>
          <cell r="G220">
            <v>230</v>
          </cell>
          <cell r="H220" t="str">
            <v>ЭЦН</v>
          </cell>
          <cell r="I220" t="str">
            <v>действ.</v>
          </cell>
          <cell r="J220">
            <v>37355</v>
          </cell>
          <cell r="K220">
            <v>21</v>
          </cell>
          <cell r="L220">
            <v>15.6</v>
          </cell>
          <cell r="M220">
            <v>9</v>
          </cell>
          <cell r="N220">
            <v>35</v>
          </cell>
          <cell r="O220">
            <v>27.1</v>
          </cell>
          <cell r="P220">
            <v>5</v>
          </cell>
          <cell r="Q220">
            <v>14</v>
          </cell>
          <cell r="R220">
            <v>11.500000000000002</v>
          </cell>
          <cell r="S220">
            <v>-1.4</v>
          </cell>
          <cell r="T220">
            <v>37390</v>
          </cell>
          <cell r="U220" t="str">
            <v>опт</v>
          </cell>
          <cell r="V220">
            <v>2</v>
          </cell>
          <cell r="W220" t="str">
            <v>Подъём пакера , осв.после ГРП, сп.Э-50</v>
          </cell>
          <cell r="AD220">
            <v>37365</v>
          </cell>
          <cell r="AE220">
            <v>37379</v>
          </cell>
          <cell r="AF220">
            <v>14</v>
          </cell>
          <cell r="AG220">
            <v>1560</v>
          </cell>
          <cell r="AH220">
            <v>2600</v>
          </cell>
        </row>
        <row r="221">
          <cell r="B221" t="str">
            <v>5321б</v>
          </cell>
          <cell r="C221">
            <v>135</v>
          </cell>
          <cell r="D221">
            <v>4</v>
          </cell>
          <cell r="E221">
            <v>40</v>
          </cell>
          <cell r="F221" t="str">
            <v>УПНПиКРС</v>
          </cell>
          <cell r="G221">
            <v>245</v>
          </cell>
          <cell r="H221" t="str">
            <v>ФОН</v>
          </cell>
          <cell r="I221" t="str">
            <v>конс.</v>
          </cell>
          <cell r="J221">
            <v>34669</v>
          </cell>
          <cell r="K221">
            <v>50</v>
          </cell>
          <cell r="L221">
            <v>4.0999999999999996</v>
          </cell>
          <cell r="M221">
            <v>90</v>
          </cell>
          <cell r="N221">
            <v>30</v>
          </cell>
          <cell r="O221">
            <v>21</v>
          </cell>
          <cell r="P221">
            <v>14</v>
          </cell>
          <cell r="Q221">
            <v>30</v>
          </cell>
          <cell r="R221">
            <v>21</v>
          </cell>
          <cell r="S221">
            <v>13.6</v>
          </cell>
          <cell r="T221">
            <v>37387</v>
          </cell>
          <cell r="U221" t="str">
            <v>ГРП</v>
          </cell>
          <cell r="V221">
            <v>2</v>
          </cell>
          <cell r="W221" t="str">
            <v>ГРП ЮК 2-3</v>
          </cell>
          <cell r="AD221">
            <v>37352</v>
          </cell>
          <cell r="AE221">
            <v>37363</v>
          </cell>
          <cell r="AF221">
            <v>11</v>
          </cell>
        </row>
        <row r="222">
          <cell r="B222">
            <v>5800</v>
          </cell>
          <cell r="C222">
            <v>141</v>
          </cell>
          <cell r="D222">
            <v>21</v>
          </cell>
          <cell r="E222">
            <v>211</v>
          </cell>
          <cell r="F222" t="str">
            <v>УПНПиКРС</v>
          </cell>
          <cell r="G222">
            <v>287</v>
          </cell>
          <cell r="H222" t="str">
            <v>нагнет.</v>
          </cell>
          <cell r="I222" t="str">
            <v>бд</v>
          </cell>
          <cell r="J222">
            <v>36641</v>
          </cell>
          <cell r="K222">
            <v>150</v>
          </cell>
          <cell r="N222">
            <v>150</v>
          </cell>
          <cell r="Q222">
            <v>150</v>
          </cell>
          <cell r="T222">
            <v>37366</v>
          </cell>
          <cell r="V222">
            <v>2</v>
          </cell>
          <cell r="W222" t="str">
            <v>Ревизия пакера</v>
          </cell>
          <cell r="AD222">
            <v>37194</v>
          </cell>
          <cell r="AE222">
            <v>37345</v>
          </cell>
          <cell r="AF222">
            <v>151</v>
          </cell>
          <cell r="AG222">
            <v>2293</v>
          </cell>
          <cell r="AH222">
            <v>9408</v>
          </cell>
        </row>
        <row r="223">
          <cell r="B223">
            <v>5418</v>
          </cell>
          <cell r="C223">
            <v>109</v>
          </cell>
          <cell r="D223">
            <v>3</v>
          </cell>
          <cell r="E223">
            <v>30</v>
          </cell>
          <cell r="F223" t="str">
            <v>УПНПиКРС</v>
          </cell>
          <cell r="G223">
            <v>275</v>
          </cell>
          <cell r="H223" t="str">
            <v>ЭЦН</v>
          </cell>
          <cell r="I223" t="str">
            <v>бд</v>
          </cell>
          <cell r="J223">
            <v>35823</v>
          </cell>
          <cell r="K223">
            <v>30</v>
          </cell>
          <cell r="L223">
            <v>4.2</v>
          </cell>
          <cell r="M223">
            <v>83</v>
          </cell>
          <cell r="N223">
            <v>32</v>
          </cell>
          <cell r="O223">
            <v>7.8</v>
          </cell>
          <cell r="P223">
            <v>70</v>
          </cell>
          <cell r="Q223">
            <v>32</v>
          </cell>
          <cell r="R223">
            <v>7.8</v>
          </cell>
          <cell r="S223">
            <v>69.900000000000006</v>
          </cell>
          <cell r="T223">
            <v>37356</v>
          </cell>
          <cell r="U223" t="str">
            <v>ГРП</v>
          </cell>
          <cell r="V223">
            <v>2</v>
          </cell>
          <cell r="W223" t="str">
            <v>ВЦ. РИР ЮК-11. ПП ЮК-10. ГРП</v>
          </cell>
          <cell r="AD223">
            <v>37285</v>
          </cell>
          <cell r="AE223">
            <v>37343</v>
          </cell>
          <cell r="AF223">
            <v>58</v>
          </cell>
          <cell r="AG223">
            <v>8850</v>
          </cell>
          <cell r="AH223">
            <v>16445</v>
          </cell>
        </row>
        <row r="224">
          <cell r="B224">
            <v>2533</v>
          </cell>
          <cell r="C224">
            <v>150</v>
          </cell>
          <cell r="D224">
            <v>4</v>
          </cell>
          <cell r="E224">
            <v>40</v>
          </cell>
          <cell r="F224" t="str">
            <v>УПНПиКРС</v>
          </cell>
          <cell r="G224">
            <v>250</v>
          </cell>
          <cell r="H224" t="str">
            <v>ШГН</v>
          </cell>
          <cell r="I224" t="str">
            <v>бд</v>
          </cell>
          <cell r="K224">
            <v>6</v>
          </cell>
          <cell r="L224">
            <v>0.5</v>
          </cell>
          <cell r="M224">
            <v>90</v>
          </cell>
          <cell r="N224">
            <v>55</v>
          </cell>
          <cell r="O224">
            <v>29.6</v>
          </cell>
          <cell r="P224">
            <v>34</v>
          </cell>
          <cell r="Q224">
            <v>55</v>
          </cell>
          <cell r="R224">
            <v>29.6</v>
          </cell>
          <cell r="S224">
            <v>33.6</v>
          </cell>
          <cell r="T224">
            <v>37351</v>
          </cell>
          <cell r="U224" t="str">
            <v>ГРП</v>
          </cell>
          <cell r="V224">
            <v>2</v>
          </cell>
          <cell r="W224" t="str">
            <v>ИР ЮК-11. ПП ЮК-10. ГРП</v>
          </cell>
          <cell r="X224" t="str">
            <v>нет СК и карточки?</v>
          </cell>
          <cell r="AD224">
            <v>37323</v>
          </cell>
          <cell r="AE224">
            <v>37351</v>
          </cell>
          <cell r="AF224">
            <v>28</v>
          </cell>
          <cell r="AG224">
            <v>8010</v>
          </cell>
          <cell r="AH224">
            <v>10800</v>
          </cell>
        </row>
        <row r="225">
          <cell r="B225">
            <v>2993</v>
          </cell>
          <cell r="C225">
            <v>42</v>
          </cell>
          <cell r="D225">
            <v>7</v>
          </cell>
          <cell r="E225">
            <v>70</v>
          </cell>
          <cell r="F225" t="str">
            <v>УПНПиКРС</v>
          </cell>
          <cell r="G225">
            <v>250</v>
          </cell>
          <cell r="H225" t="str">
            <v>ШГН</v>
          </cell>
          <cell r="I225" t="str">
            <v>бд</v>
          </cell>
          <cell r="J225">
            <v>35217</v>
          </cell>
          <cell r="K225">
            <v>2</v>
          </cell>
          <cell r="L225">
            <v>0.2</v>
          </cell>
          <cell r="M225">
            <v>86</v>
          </cell>
          <cell r="N225">
            <v>36</v>
          </cell>
          <cell r="O225">
            <v>26.7</v>
          </cell>
          <cell r="P225">
            <v>9</v>
          </cell>
          <cell r="Q225">
            <v>36</v>
          </cell>
          <cell r="R225">
            <v>26.7</v>
          </cell>
          <cell r="S225">
            <v>8.4</v>
          </cell>
          <cell r="T225">
            <v>37350</v>
          </cell>
          <cell r="U225" t="str">
            <v>ГРП</v>
          </cell>
          <cell r="V225">
            <v>2</v>
          </cell>
          <cell r="W225" t="str">
            <v>ВЗ. РИР ЮК-10. ГИС-2. ГРП ЮК-4-5</v>
          </cell>
          <cell r="X225" t="str">
            <v>отсутствие аварийного инструмента</v>
          </cell>
          <cell r="AD225">
            <v>37302</v>
          </cell>
          <cell r="AE225">
            <v>37334</v>
          </cell>
          <cell r="AF225">
            <v>32</v>
          </cell>
          <cell r="AG225">
            <v>24</v>
          </cell>
          <cell r="AH225">
            <v>338598</v>
          </cell>
        </row>
        <row r="226">
          <cell r="B226">
            <v>2787</v>
          </cell>
          <cell r="C226">
            <v>145</v>
          </cell>
          <cell r="D226">
            <v>11</v>
          </cell>
          <cell r="E226">
            <v>110</v>
          </cell>
          <cell r="F226" t="str">
            <v>УПНПиКРС</v>
          </cell>
          <cell r="G226">
            <v>250</v>
          </cell>
          <cell r="H226" t="str">
            <v>ЭЦН</v>
          </cell>
          <cell r="I226" t="str">
            <v>действ.</v>
          </cell>
          <cell r="J226">
            <v>33786</v>
          </cell>
          <cell r="K226">
            <v>16</v>
          </cell>
          <cell r="L226">
            <v>12.4</v>
          </cell>
          <cell r="M226">
            <v>5</v>
          </cell>
          <cell r="N226">
            <v>25</v>
          </cell>
          <cell r="O226">
            <v>14.3</v>
          </cell>
          <cell r="P226">
            <v>30</v>
          </cell>
          <cell r="Q226">
            <v>9</v>
          </cell>
          <cell r="R226">
            <v>1.9000000000000004</v>
          </cell>
          <cell r="S226">
            <v>73.900000000000006</v>
          </cell>
          <cell r="V226">
            <v>1</v>
          </cell>
          <cell r="W226" t="str">
            <v>Срыв пакера, ГДИ, сп.ЭЦН</v>
          </cell>
          <cell r="AD226">
            <v>37276</v>
          </cell>
          <cell r="AE226">
            <v>37292</v>
          </cell>
          <cell r="AF226">
            <v>16</v>
          </cell>
          <cell r="AG226">
            <v>192</v>
          </cell>
          <cell r="AH226">
            <v>640</v>
          </cell>
        </row>
        <row r="227">
          <cell r="B227" t="str">
            <v>5845б</v>
          </cell>
          <cell r="C227" t="str">
            <v>168б</v>
          </cell>
          <cell r="D227">
            <v>11</v>
          </cell>
          <cell r="E227">
            <v>110</v>
          </cell>
          <cell r="F227" t="str">
            <v>УПНПиКРС</v>
          </cell>
          <cell r="G227">
            <v>253</v>
          </cell>
          <cell r="H227" t="str">
            <v>ЭЦН</v>
          </cell>
          <cell r="I227" t="str">
            <v>действ.</v>
          </cell>
          <cell r="K227">
            <v>63</v>
          </cell>
          <cell r="L227">
            <v>4.5999999999999996</v>
          </cell>
          <cell r="M227">
            <v>91</v>
          </cell>
          <cell r="N227">
            <v>93</v>
          </cell>
          <cell r="O227">
            <v>7.6</v>
          </cell>
          <cell r="P227">
            <v>90</v>
          </cell>
          <cell r="Q227">
            <v>30</v>
          </cell>
          <cell r="R227">
            <v>3</v>
          </cell>
          <cell r="S227">
            <v>87.7</v>
          </cell>
          <cell r="T227">
            <v>37338</v>
          </cell>
          <cell r="U227" t="str">
            <v>опт</v>
          </cell>
          <cell r="V227">
            <v>2</v>
          </cell>
          <cell r="AG227">
            <v>-59715</v>
          </cell>
          <cell r="AH227">
            <v>-149288</v>
          </cell>
        </row>
        <row r="228">
          <cell r="B228">
            <v>5525</v>
          </cell>
          <cell r="C228">
            <v>118</v>
          </cell>
          <cell r="D228">
            <v>21</v>
          </cell>
          <cell r="E228">
            <v>212</v>
          </cell>
          <cell r="G228">
            <v>270</v>
          </cell>
          <cell r="H228" t="str">
            <v>ШГН</v>
          </cell>
          <cell r="I228" t="str">
            <v>конс.</v>
          </cell>
          <cell r="J228">
            <v>33208</v>
          </cell>
          <cell r="K228">
            <v>5</v>
          </cell>
          <cell r="L228">
            <v>0.2</v>
          </cell>
          <cell r="M228">
            <v>96</v>
          </cell>
          <cell r="N228">
            <v>4</v>
          </cell>
          <cell r="O228">
            <v>1.6</v>
          </cell>
          <cell r="P228">
            <v>50</v>
          </cell>
          <cell r="Q228">
            <v>4</v>
          </cell>
          <cell r="R228">
            <v>1.6</v>
          </cell>
          <cell r="S228">
            <v>50.6</v>
          </cell>
          <cell r="T228">
            <v>37322</v>
          </cell>
          <cell r="U228" t="str">
            <v>ОПЗ</v>
          </cell>
          <cell r="W228" t="str">
            <v>ПП ДН п."б". ОПЗ (НТПН). ГДИ</v>
          </cell>
          <cell r="X228" t="str">
            <v>Необходима СК</v>
          </cell>
          <cell r="AG228">
            <v>-225630</v>
          </cell>
          <cell r="AH228">
            <v>-413655</v>
          </cell>
        </row>
        <row r="229">
          <cell r="AD229">
            <v>37276</v>
          </cell>
          <cell r="AE229">
            <v>37292</v>
          </cell>
          <cell r="AF229">
            <v>16</v>
          </cell>
          <cell r="AG229">
            <v>192</v>
          </cell>
          <cell r="AH229">
            <v>640</v>
          </cell>
        </row>
        <row r="230">
          <cell r="B230" t="str">
            <v>5845б</v>
          </cell>
          <cell r="C230" t="str">
            <v>168б</v>
          </cell>
          <cell r="D230">
            <v>11</v>
          </cell>
          <cell r="E230">
            <v>110</v>
          </cell>
          <cell r="F230" t="str">
            <v>УПНПиКРС</v>
          </cell>
          <cell r="G230">
            <v>253</v>
          </cell>
          <cell r="H230" t="str">
            <v>ЭЦН</v>
          </cell>
          <cell r="I230" t="str">
            <v>конс.</v>
          </cell>
          <cell r="J230">
            <v>35401</v>
          </cell>
          <cell r="N230">
            <v>93</v>
          </cell>
          <cell r="O230">
            <v>10.6</v>
          </cell>
          <cell r="P230">
            <v>86</v>
          </cell>
          <cell r="Q230">
            <v>93</v>
          </cell>
          <cell r="R230">
            <v>10.6</v>
          </cell>
          <cell r="S230">
            <v>85.9</v>
          </cell>
          <cell r="T230">
            <v>37317</v>
          </cell>
          <cell r="U230" t="str">
            <v>ГРП</v>
          </cell>
          <cell r="V230">
            <v>2</v>
          </cell>
          <cell r="AD230">
            <v>37254</v>
          </cell>
          <cell r="AE230">
            <v>37294</v>
          </cell>
          <cell r="AF230">
            <v>40</v>
          </cell>
          <cell r="AG230">
            <v>144</v>
          </cell>
          <cell r="AH230">
            <v>-456</v>
          </cell>
        </row>
        <row r="231">
          <cell r="B231">
            <v>5425</v>
          </cell>
          <cell r="C231">
            <v>102</v>
          </cell>
          <cell r="D231">
            <v>9</v>
          </cell>
          <cell r="E231">
            <v>90</v>
          </cell>
          <cell r="F231" t="str">
            <v>УПНПиКРС</v>
          </cell>
          <cell r="G231">
            <v>230</v>
          </cell>
          <cell r="H231" t="str">
            <v>ЭЦН</v>
          </cell>
          <cell r="I231" t="str">
            <v>бд</v>
          </cell>
          <cell r="K231">
            <v>73</v>
          </cell>
          <cell r="L231">
            <v>1.8</v>
          </cell>
          <cell r="M231">
            <v>97</v>
          </cell>
          <cell r="N231">
            <v>25</v>
          </cell>
          <cell r="O231">
            <v>19.399999999999999</v>
          </cell>
          <cell r="P231">
            <v>5</v>
          </cell>
          <cell r="Q231">
            <v>25</v>
          </cell>
          <cell r="R231">
            <v>19.399999999999999</v>
          </cell>
          <cell r="S231">
            <v>4.2</v>
          </cell>
          <cell r="T231">
            <v>37296</v>
          </cell>
          <cell r="U231" t="str">
            <v>ГРП</v>
          </cell>
          <cell r="V231">
            <v>2</v>
          </cell>
          <cell r="W231" t="str">
            <v xml:space="preserve"> ИР ЮК-10, ПР к ГРП и ГРП ЮК-2-3 </v>
          </cell>
          <cell r="AD231">
            <v>37190</v>
          </cell>
          <cell r="AE231">
            <v>37254</v>
          </cell>
          <cell r="AF231">
            <v>64</v>
          </cell>
          <cell r="AG231">
            <v>605</v>
          </cell>
          <cell r="AH231">
            <v>4984</v>
          </cell>
        </row>
        <row r="232">
          <cell r="B232">
            <v>2720</v>
          </cell>
          <cell r="C232">
            <v>166</v>
          </cell>
          <cell r="D232">
            <v>80</v>
          </cell>
          <cell r="E232">
            <v>801</v>
          </cell>
          <cell r="F232" t="str">
            <v>ЗАО "УПКРС"</v>
          </cell>
          <cell r="G232">
            <v>265</v>
          </cell>
          <cell r="H232" t="str">
            <v>ШГН</v>
          </cell>
          <cell r="I232" t="str">
            <v>действ.</v>
          </cell>
          <cell r="K232">
            <v>16</v>
          </cell>
          <cell r="L232">
            <v>12</v>
          </cell>
          <cell r="M232">
            <v>8</v>
          </cell>
          <cell r="N232">
            <v>30</v>
          </cell>
          <cell r="O232">
            <v>13.7</v>
          </cell>
          <cell r="P232">
            <v>44</v>
          </cell>
          <cell r="Q232">
            <v>14</v>
          </cell>
          <cell r="R232">
            <v>1.6999999999999993</v>
          </cell>
          <cell r="S232">
            <v>85</v>
          </cell>
          <cell r="T232">
            <v>37294</v>
          </cell>
          <cell r="U232" t="str">
            <v>опт</v>
          </cell>
          <cell r="V232">
            <v>2</v>
          </cell>
          <cell r="W232" t="str">
            <v>Опт.Н-44/Э-30</v>
          </cell>
          <cell r="AD232">
            <v>37275</v>
          </cell>
          <cell r="AE232">
            <v>37294</v>
          </cell>
          <cell r="AF232">
            <v>19</v>
          </cell>
          <cell r="AG232">
            <v>144</v>
          </cell>
          <cell r="AH232">
            <v>360</v>
          </cell>
        </row>
        <row r="233">
          <cell r="B233">
            <v>5515</v>
          </cell>
          <cell r="C233">
            <v>115</v>
          </cell>
          <cell r="D233">
            <v>21</v>
          </cell>
          <cell r="E233">
            <v>211</v>
          </cell>
          <cell r="F233" t="str">
            <v>УПНПиКРС</v>
          </cell>
          <cell r="G233">
            <v>240</v>
          </cell>
          <cell r="H233" t="str">
            <v>ЭЦН</v>
          </cell>
          <cell r="I233" t="str">
            <v>конс.</v>
          </cell>
          <cell r="J233">
            <v>33910</v>
          </cell>
          <cell r="N233">
            <v>36</v>
          </cell>
          <cell r="O233">
            <v>25.8</v>
          </cell>
          <cell r="P233">
            <v>12</v>
          </cell>
          <cell r="Q233">
            <v>36</v>
          </cell>
          <cell r="R233">
            <v>25.8</v>
          </cell>
          <cell r="S233">
            <v>11.5</v>
          </cell>
          <cell r="T233">
            <v>37291</v>
          </cell>
          <cell r="U233" t="str">
            <v>ГРП</v>
          </cell>
          <cell r="V233">
            <v>2</v>
          </cell>
          <cell r="W233" t="str">
            <v>ВЦ, ИР ЮК-10, ПР к ГРП и ГРП ЮК-2-3 Сваб</v>
          </cell>
          <cell r="AG233">
            <v>-372850</v>
          </cell>
          <cell r="AH233">
            <v>-559275</v>
          </cell>
        </row>
        <row r="234">
          <cell r="B234">
            <v>5315</v>
          </cell>
          <cell r="C234">
            <v>133</v>
          </cell>
          <cell r="H234" t="str">
            <v>ШГН</v>
          </cell>
          <cell r="I234" t="str">
            <v>бд</v>
          </cell>
          <cell r="N234">
            <v>15</v>
          </cell>
          <cell r="O234">
            <v>10</v>
          </cell>
          <cell r="P234">
            <v>18</v>
          </cell>
          <cell r="Q234">
            <v>15</v>
          </cell>
          <cell r="R234">
            <v>10</v>
          </cell>
          <cell r="S234">
            <v>17.7</v>
          </cell>
          <cell r="T234">
            <v>37285</v>
          </cell>
          <cell r="U234" t="str">
            <v>ВЦД</v>
          </cell>
          <cell r="W234" t="str">
            <v>ВЦ</v>
          </cell>
          <cell r="AG234">
            <v>-74566</v>
          </cell>
          <cell r="AH234">
            <v>-745660</v>
          </cell>
        </row>
        <row r="235">
          <cell r="B235">
            <v>5311</v>
          </cell>
          <cell r="C235">
            <v>140</v>
          </cell>
          <cell r="F235" t="str">
            <v>ПРС</v>
          </cell>
          <cell r="G235">
            <v>260</v>
          </cell>
          <cell r="H235" t="str">
            <v>ШГН</v>
          </cell>
          <cell r="I235" t="str">
            <v>бд</v>
          </cell>
          <cell r="N235">
            <v>20</v>
          </cell>
          <cell r="O235">
            <v>2</v>
          </cell>
          <cell r="P235">
            <v>88</v>
          </cell>
          <cell r="Q235">
            <v>20</v>
          </cell>
          <cell r="R235">
            <v>2</v>
          </cell>
          <cell r="S235">
            <v>87.7</v>
          </cell>
          <cell r="T235">
            <v>37283</v>
          </cell>
          <cell r="U235" t="str">
            <v>БДД</v>
          </cell>
          <cell r="AD235">
            <v>37278</v>
          </cell>
          <cell r="AE235">
            <v>37314</v>
          </cell>
          <cell r="AF235">
            <v>36</v>
          </cell>
          <cell r="AG235">
            <v>-294512</v>
          </cell>
          <cell r="AH235">
            <v>-447360</v>
          </cell>
        </row>
        <row r="236">
          <cell r="B236">
            <v>5702</v>
          </cell>
          <cell r="C236">
            <v>126</v>
          </cell>
          <cell r="D236">
            <v>21</v>
          </cell>
          <cell r="E236">
            <v>213</v>
          </cell>
          <cell r="F236" t="str">
            <v>УПНПиКРС</v>
          </cell>
          <cell r="G236">
            <v>230</v>
          </cell>
          <cell r="H236" t="str">
            <v>ШГН</v>
          </cell>
          <cell r="I236" t="str">
            <v>действ.</v>
          </cell>
          <cell r="N236">
            <v>12</v>
          </cell>
          <cell r="O236">
            <v>7.9</v>
          </cell>
          <cell r="P236">
            <v>19</v>
          </cell>
          <cell r="Q236">
            <v>12</v>
          </cell>
          <cell r="R236">
            <v>7.9</v>
          </cell>
          <cell r="S236">
            <v>18.7</v>
          </cell>
          <cell r="T236">
            <v>37280</v>
          </cell>
          <cell r="U236" t="str">
            <v>БДП</v>
          </cell>
          <cell r="W236" t="str">
            <v>ВЦ, ревизия Н-57</v>
          </cell>
          <cell r="X236" t="str">
            <v>Перестрел верха</v>
          </cell>
          <cell r="AD236">
            <v>37225</v>
          </cell>
          <cell r="AE236">
            <v>37266</v>
          </cell>
          <cell r="AF236">
            <v>41</v>
          </cell>
          <cell r="AG236">
            <v>-74556</v>
          </cell>
          <cell r="AH236">
            <v>-447336</v>
          </cell>
        </row>
        <row r="237">
          <cell r="B237">
            <v>5560</v>
          </cell>
          <cell r="C237" t="str">
            <v>119б</v>
          </cell>
          <cell r="D237">
            <v>4</v>
          </cell>
          <cell r="E237">
            <v>42</v>
          </cell>
          <cell r="F237" t="str">
            <v>УПНПиКРС</v>
          </cell>
          <cell r="G237">
            <v>265</v>
          </cell>
          <cell r="H237" t="str">
            <v>ШГН</v>
          </cell>
          <cell r="I237" t="str">
            <v>бд</v>
          </cell>
          <cell r="J237">
            <v>36544</v>
          </cell>
          <cell r="K237">
            <v>2</v>
          </cell>
          <cell r="L237">
            <v>1</v>
          </cell>
          <cell r="M237">
            <v>40</v>
          </cell>
          <cell r="N237">
            <v>12</v>
          </cell>
          <cell r="O237">
            <v>2</v>
          </cell>
          <cell r="P237">
            <v>80</v>
          </cell>
          <cell r="Q237">
            <v>12</v>
          </cell>
          <cell r="R237">
            <v>2</v>
          </cell>
          <cell r="S237">
            <v>79.400000000000006</v>
          </cell>
          <cell r="T237">
            <v>37278</v>
          </cell>
          <cell r="U237" t="str">
            <v>ОПЗ</v>
          </cell>
          <cell r="W237" t="str">
            <v>ВЦ ПП. ОПЗ НТПН. ГДИ</v>
          </cell>
          <cell r="X237" t="str">
            <v>ВЦ субподрядом</v>
          </cell>
          <cell r="AG237">
            <v>-164019</v>
          </cell>
          <cell r="AH237">
            <v>-484601</v>
          </cell>
        </row>
        <row r="238">
          <cell r="B238">
            <v>2979</v>
          </cell>
          <cell r="C238">
            <v>50</v>
          </cell>
          <cell r="H238" t="str">
            <v>ШГН</v>
          </cell>
          <cell r="I238" t="str">
            <v>действ.</v>
          </cell>
          <cell r="K238">
            <v>20</v>
          </cell>
          <cell r="L238">
            <v>10.6</v>
          </cell>
          <cell r="M238">
            <v>35</v>
          </cell>
          <cell r="N238">
            <v>33</v>
          </cell>
          <cell r="O238">
            <v>15</v>
          </cell>
          <cell r="P238">
            <v>44.3</v>
          </cell>
          <cell r="Q238">
            <v>13</v>
          </cell>
          <cell r="R238">
            <v>4.4000000000000004</v>
          </cell>
          <cell r="S238">
            <v>58.2</v>
          </cell>
          <cell r="T238">
            <v>37277</v>
          </cell>
          <cell r="U238" t="str">
            <v>опт</v>
          </cell>
          <cell r="W238" t="str">
            <v>опт.Н-57/Э-45</v>
          </cell>
          <cell r="AD238">
            <v>37242</v>
          </cell>
          <cell r="AE238">
            <v>37254</v>
          </cell>
          <cell r="AF238">
            <v>12</v>
          </cell>
        </row>
        <row r="239">
          <cell r="B239">
            <v>5643</v>
          </cell>
          <cell r="C239">
            <v>126</v>
          </cell>
          <cell r="D239">
            <v>9</v>
          </cell>
          <cell r="E239">
            <v>90</v>
          </cell>
          <cell r="F239" t="str">
            <v>УПНПиКРС</v>
          </cell>
          <cell r="G239">
            <v>230</v>
          </cell>
          <cell r="H239" t="str">
            <v>ШГН</v>
          </cell>
          <cell r="O239">
            <v>0</v>
          </cell>
          <cell r="Q239">
            <v>0</v>
          </cell>
          <cell r="R239">
            <v>0</v>
          </cell>
          <cell r="T239">
            <v>37277</v>
          </cell>
          <cell r="U239" t="str">
            <v>ЗБС</v>
          </cell>
          <cell r="W239" t="str">
            <v>ПР К ЗБС</v>
          </cell>
          <cell r="AG239">
            <v>-55916</v>
          </cell>
          <cell r="AH239">
            <v>-745540</v>
          </cell>
        </row>
        <row r="240">
          <cell r="B240">
            <v>4212</v>
          </cell>
          <cell r="C240">
            <v>311</v>
          </cell>
          <cell r="H240" t="str">
            <v>ЭЦН</v>
          </cell>
          <cell r="I240" t="str">
            <v>действ.</v>
          </cell>
          <cell r="K240">
            <v>60</v>
          </cell>
          <cell r="L240">
            <v>0.5</v>
          </cell>
          <cell r="M240">
            <v>99</v>
          </cell>
          <cell r="N240">
            <v>80</v>
          </cell>
          <cell r="O240">
            <v>2</v>
          </cell>
          <cell r="P240">
            <v>97</v>
          </cell>
          <cell r="Q240">
            <v>20</v>
          </cell>
          <cell r="R240">
            <v>1.5</v>
          </cell>
          <cell r="S240">
            <v>90.7</v>
          </cell>
          <cell r="T240">
            <v>37277</v>
          </cell>
          <cell r="U240" t="str">
            <v>опт</v>
          </cell>
          <cell r="W240" t="str">
            <v>Опт.Э-50/Э-80</v>
          </cell>
          <cell r="Y240" t="str">
            <v>Полёт НКТ и НГН-44</v>
          </cell>
          <cell r="AD240">
            <v>37190</v>
          </cell>
          <cell r="AE240">
            <v>37254</v>
          </cell>
          <cell r="AF240">
            <v>64</v>
          </cell>
          <cell r="AG240">
            <v>-447216</v>
          </cell>
          <cell r="AH240">
            <v>-633556</v>
          </cell>
        </row>
        <row r="241">
          <cell r="B241">
            <v>2720</v>
          </cell>
          <cell r="C241">
            <v>166</v>
          </cell>
          <cell r="D241">
            <v>80</v>
          </cell>
          <cell r="E241">
            <v>801</v>
          </cell>
          <cell r="F241" t="str">
            <v>ЗАО "УПКРС"</v>
          </cell>
          <cell r="G241">
            <v>265</v>
          </cell>
          <cell r="H241" t="str">
            <v>ШГН</v>
          </cell>
          <cell r="I241" t="str">
            <v>бд</v>
          </cell>
          <cell r="J241">
            <v>35746</v>
          </cell>
          <cell r="N241">
            <v>17</v>
          </cell>
          <cell r="O241">
            <v>12</v>
          </cell>
          <cell r="P241">
            <v>13.5</v>
          </cell>
          <cell r="Q241">
            <v>17</v>
          </cell>
          <cell r="R241">
            <v>12</v>
          </cell>
          <cell r="S241">
            <v>12.9</v>
          </cell>
          <cell r="T241">
            <v>37268</v>
          </cell>
          <cell r="U241" t="str">
            <v>ГРП</v>
          </cell>
          <cell r="W241" t="str">
            <v>ВЦ. Извлечение НКТ с НГН-44. ГРП ЮК-10</v>
          </cell>
          <cell r="AG241">
            <v>-175141</v>
          </cell>
          <cell r="AH241">
            <v>-223584</v>
          </cell>
        </row>
        <row r="242">
          <cell r="B242">
            <v>2722</v>
          </cell>
          <cell r="C242">
            <v>166</v>
          </cell>
          <cell r="F242" t="str">
            <v>ПРС</v>
          </cell>
          <cell r="G242">
            <v>260</v>
          </cell>
          <cell r="H242" t="str">
            <v>ШГН</v>
          </cell>
          <cell r="I242" t="str">
            <v>бд</v>
          </cell>
          <cell r="L242">
            <v>0</v>
          </cell>
          <cell r="N242">
            <v>6</v>
          </cell>
          <cell r="O242">
            <v>4.7</v>
          </cell>
          <cell r="P242">
            <v>4</v>
          </cell>
          <cell r="Q242">
            <v>6</v>
          </cell>
          <cell r="R242">
            <v>4.7</v>
          </cell>
          <cell r="S242">
            <v>3.3</v>
          </cell>
          <cell r="T242">
            <v>37264</v>
          </cell>
          <cell r="U242" t="str">
            <v>БДД</v>
          </cell>
          <cell r="AG242">
            <v>724</v>
          </cell>
          <cell r="AH242">
            <v>1810</v>
          </cell>
        </row>
        <row r="243">
          <cell r="B243">
            <v>4123</v>
          </cell>
          <cell r="C243">
            <v>314</v>
          </cell>
          <cell r="H243" t="str">
            <v>ШГН</v>
          </cell>
          <cell r="I243" t="str">
            <v>конс.</v>
          </cell>
          <cell r="N243">
            <v>5</v>
          </cell>
          <cell r="O243">
            <v>2</v>
          </cell>
          <cell r="P243">
            <v>49.8</v>
          </cell>
          <cell r="Q243">
            <v>5</v>
          </cell>
          <cell r="R243">
            <v>2</v>
          </cell>
          <cell r="S243">
            <v>50.6</v>
          </cell>
          <cell r="T243">
            <v>37260</v>
          </cell>
          <cell r="U243" t="str">
            <v>ОВП</v>
          </cell>
          <cell r="V243">
            <v>1</v>
          </cell>
          <cell r="AD243">
            <v>37163</v>
          </cell>
          <cell r="AE243">
            <v>37246</v>
          </cell>
          <cell r="AF243">
            <v>83</v>
          </cell>
        </row>
        <row r="244">
          <cell r="B244">
            <v>5336</v>
          </cell>
          <cell r="C244">
            <v>140</v>
          </cell>
          <cell r="D244">
            <v>9</v>
          </cell>
          <cell r="E244">
            <v>91</v>
          </cell>
          <cell r="F244" t="str">
            <v>УПНПиКРС</v>
          </cell>
          <cell r="G244">
            <v>270</v>
          </cell>
          <cell r="H244" t="str">
            <v>ШГН</v>
          </cell>
          <cell r="I244" t="str">
            <v>бд</v>
          </cell>
          <cell r="J244">
            <v>34366</v>
          </cell>
          <cell r="K244">
            <v>3.5</v>
          </cell>
          <cell r="L244">
            <v>2.7</v>
          </cell>
          <cell r="M244">
            <v>5</v>
          </cell>
          <cell r="N244">
            <v>6</v>
          </cell>
          <cell r="O244">
            <v>2.9</v>
          </cell>
          <cell r="P244">
            <v>40</v>
          </cell>
          <cell r="Q244">
            <v>6</v>
          </cell>
          <cell r="R244">
            <v>2.9</v>
          </cell>
          <cell r="S244">
            <v>40.299999999999997</v>
          </cell>
          <cell r="T244">
            <v>37255</v>
          </cell>
          <cell r="U244" t="str">
            <v>ОПЗ</v>
          </cell>
          <cell r="W244" t="str">
            <v xml:space="preserve">Ликв.негерм.ЭК. ИР ЮК-11. ГИС. ПП п."б". </v>
          </cell>
          <cell r="X244" t="str">
            <v>СК есть</v>
          </cell>
        </row>
        <row r="245">
          <cell r="B245">
            <v>11007</v>
          </cell>
          <cell r="C245" t="str">
            <v>123б</v>
          </cell>
          <cell r="H245" t="str">
            <v>ЭЦН</v>
          </cell>
          <cell r="N245">
            <v>50</v>
          </cell>
          <cell r="O245">
            <v>2</v>
          </cell>
          <cell r="P245">
            <v>95</v>
          </cell>
          <cell r="Q245">
            <v>50</v>
          </cell>
          <cell r="R245">
            <v>2</v>
          </cell>
          <cell r="S245">
            <v>95.1</v>
          </cell>
          <cell r="T245">
            <v>37254</v>
          </cell>
          <cell r="U245" t="str">
            <v>ВЦД</v>
          </cell>
          <cell r="W245" t="str">
            <v>ВЦ Электропрогрев</v>
          </cell>
          <cell r="AG245">
            <v>-78225</v>
          </cell>
          <cell r="AH245">
            <v>-223500</v>
          </cell>
        </row>
        <row r="246">
          <cell r="B246">
            <v>4015</v>
          </cell>
          <cell r="C246">
            <v>310</v>
          </cell>
          <cell r="H246" t="str">
            <v>ШГН</v>
          </cell>
          <cell r="I246" t="str">
            <v>конс.</v>
          </cell>
          <cell r="J246">
            <v>34274</v>
          </cell>
          <cell r="N246">
            <v>6</v>
          </cell>
          <cell r="O246">
            <v>2.1</v>
          </cell>
          <cell r="P246">
            <v>58</v>
          </cell>
          <cell r="Q246">
            <v>6</v>
          </cell>
          <cell r="R246">
            <v>2.1</v>
          </cell>
          <cell r="S246">
            <v>56.8</v>
          </cell>
          <cell r="T246">
            <v>37250</v>
          </cell>
          <cell r="U246" t="str">
            <v>ОВП</v>
          </cell>
          <cell r="X246" t="str">
            <v>УОПР-800, после обустройства</v>
          </cell>
        </row>
        <row r="247">
          <cell r="B247">
            <v>5543</v>
          </cell>
          <cell r="C247">
            <v>114</v>
          </cell>
          <cell r="H247" t="str">
            <v>ШГН</v>
          </cell>
          <cell r="N247">
            <v>3</v>
          </cell>
          <cell r="O247">
            <v>1.7</v>
          </cell>
          <cell r="P247">
            <v>29</v>
          </cell>
          <cell r="Q247">
            <v>3</v>
          </cell>
          <cell r="R247">
            <v>1.7</v>
          </cell>
          <cell r="S247">
            <v>30</v>
          </cell>
          <cell r="T247">
            <v>37249</v>
          </cell>
          <cell r="U247" t="str">
            <v>ОПЗ</v>
          </cell>
          <cell r="W247" t="str">
            <v>ВЗ,ОПЗ КСПЭО, ГДИ</v>
          </cell>
          <cell r="AD247">
            <v>37216</v>
          </cell>
          <cell r="AE247">
            <v>37246</v>
          </cell>
          <cell r="AF247">
            <v>30</v>
          </cell>
        </row>
        <row r="248">
          <cell r="B248">
            <v>2878</v>
          </cell>
          <cell r="C248">
            <v>42</v>
          </cell>
          <cell r="D248">
            <v>3</v>
          </cell>
          <cell r="E248">
            <v>32</v>
          </cell>
          <cell r="F248" t="str">
            <v>ЗАО "УПКРС"</v>
          </cell>
          <cell r="G248">
            <v>260</v>
          </cell>
          <cell r="H248" t="str">
            <v>ШГН</v>
          </cell>
          <cell r="I248" t="str">
            <v>бдт</v>
          </cell>
          <cell r="N248">
            <v>12</v>
          </cell>
          <cell r="O248">
            <v>2.2999999999999998</v>
          </cell>
          <cell r="P248">
            <v>76</v>
          </cell>
          <cell r="Q248">
            <v>12</v>
          </cell>
          <cell r="R248">
            <v>2.2999999999999998</v>
          </cell>
          <cell r="S248">
            <v>76.3</v>
          </cell>
          <cell r="T248">
            <v>37247</v>
          </cell>
          <cell r="U248" t="str">
            <v>бдп</v>
          </cell>
        </row>
        <row r="249">
          <cell r="B249">
            <v>2675</v>
          </cell>
          <cell r="C249">
            <v>161</v>
          </cell>
          <cell r="H249" t="str">
            <v>ШГН</v>
          </cell>
          <cell r="I249" t="str">
            <v>бдт</v>
          </cell>
          <cell r="N249">
            <v>12</v>
          </cell>
          <cell r="O249">
            <v>1</v>
          </cell>
          <cell r="P249">
            <v>90</v>
          </cell>
          <cell r="Q249">
            <v>12</v>
          </cell>
          <cell r="R249">
            <v>1</v>
          </cell>
          <cell r="S249">
            <v>89.7</v>
          </cell>
          <cell r="T249">
            <v>37247</v>
          </cell>
          <cell r="U249" t="str">
            <v>бдп</v>
          </cell>
          <cell r="AG249">
            <v>-44694</v>
          </cell>
          <cell r="AH249">
            <v>-1080105</v>
          </cell>
        </row>
        <row r="250">
          <cell r="B250">
            <v>4022</v>
          </cell>
          <cell r="C250">
            <v>313</v>
          </cell>
          <cell r="H250" t="str">
            <v>ШГН</v>
          </cell>
          <cell r="I250" t="str">
            <v>конс.</v>
          </cell>
          <cell r="J250">
            <v>33848</v>
          </cell>
          <cell r="N250">
            <v>29</v>
          </cell>
          <cell r="O250">
            <v>1.2</v>
          </cell>
          <cell r="P250">
            <v>95</v>
          </cell>
          <cell r="Q250">
            <v>29</v>
          </cell>
          <cell r="R250">
            <v>1.2</v>
          </cell>
          <cell r="S250">
            <v>94.9</v>
          </cell>
          <cell r="T250">
            <v>37245</v>
          </cell>
          <cell r="U250" t="str">
            <v>ОВП</v>
          </cell>
          <cell r="X250" t="str">
            <v>УОПР-800, после обустройства</v>
          </cell>
          <cell r="AD250">
            <v>37097</v>
          </cell>
          <cell r="AE250">
            <v>37223</v>
          </cell>
          <cell r="AF250">
            <v>126</v>
          </cell>
          <cell r="AG250">
            <v>0</v>
          </cell>
          <cell r="AH250">
            <v>0</v>
          </cell>
        </row>
        <row r="251">
          <cell r="B251">
            <v>2787</v>
          </cell>
          <cell r="C251">
            <v>145</v>
          </cell>
          <cell r="D251">
            <v>4</v>
          </cell>
          <cell r="E251">
            <v>40</v>
          </cell>
          <cell r="G251">
            <v>275</v>
          </cell>
          <cell r="H251" t="str">
            <v>ЭЦН</v>
          </cell>
          <cell r="I251" t="str">
            <v>конс.</v>
          </cell>
          <cell r="J251">
            <v>33848</v>
          </cell>
          <cell r="K251">
            <v>60</v>
          </cell>
          <cell r="L251">
            <v>8.3000000000000007</v>
          </cell>
          <cell r="M251">
            <v>83</v>
          </cell>
          <cell r="N251">
            <v>16</v>
          </cell>
          <cell r="O251">
            <v>12.5</v>
          </cell>
          <cell r="P251">
            <v>4</v>
          </cell>
          <cell r="Q251">
            <v>16</v>
          </cell>
          <cell r="R251">
            <v>12.5</v>
          </cell>
          <cell r="S251">
            <v>3.5</v>
          </cell>
          <cell r="W251" t="str">
            <v>ВЦ. ИР ЮК-11. ГИС-2. ГРП ЮК-10. Спуск ЭЦН</v>
          </cell>
        </row>
        <row r="252">
          <cell r="B252">
            <v>2857</v>
          </cell>
          <cell r="C252">
            <v>42</v>
          </cell>
          <cell r="H252" t="str">
            <v>ШГН</v>
          </cell>
          <cell r="I252" t="str">
            <v>бдт</v>
          </cell>
          <cell r="N252">
            <v>11</v>
          </cell>
          <cell r="O252">
            <v>7.2</v>
          </cell>
          <cell r="P252">
            <v>20</v>
          </cell>
          <cell r="Q252">
            <v>11</v>
          </cell>
          <cell r="R252">
            <v>7.2</v>
          </cell>
          <cell r="S252">
            <v>19.2</v>
          </cell>
          <cell r="T252">
            <v>37233</v>
          </cell>
          <cell r="U252" t="str">
            <v>ВЦД</v>
          </cell>
        </row>
        <row r="253">
          <cell r="B253">
            <v>4168</v>
          </cell>
          <cell r="C253">
            <v>314</v>
          </cell>
          <cell r="H253" t="str">
            <v>ЭЦН</v>
          </cell>
          <cell r="I253" t="str">
            <v>бдт</v>
          </cell>
          <cell r="N253">
            <v>60</v>
          </cell>
          <cell r="O253">
            <v>1</v>
          </cell>
          <cell r="P253">
            <v>98</v>
          </cell>
          <cell r="Q253">
            <v>60</v>
          </cell>
          <cell r="R253">
            <v>1</v>
          </cell>
          <cell r="S253">
            <v>97.9</v>
          </cell>
          <cell r="T253">
            <v>37231</v>
          </cell>
          <cell r="U253" t="str">
            <v>бдп</v>
          </cell>
        </row>
        <row r="254">
          <cell r="B254">
            <v>5349</v>
          </cell>
          <cell r="C254">
            <v>103</v>
          </cell>
          <cell r="H254" t="str">
            <v>ЭЦН</v>
          </cell>
          <cell r="I254" t="str">
            <v>бдт</v>
          </cell>
          <cell r="N254">
            <v>46</v>
          </cell>
          <cell r="O254">
            <v>1.1000000000000001</v>
          </cell>
          <cell r="P254">
            <v>97</v>
          </cell>
          <cell r="Q254">
            <v>46</v>
          </cell>
          <cell r="R254">
            <v>1.1000000000000001</v>
          </cell>
          <cell r="S254">
            <v>97</v>
          </cell>
          <cell r="T254">
            <v>37229</v>
          </cell>
          <cell r="U254" t="str">
            <v>бдп</v>
          </cell>
          <cell r="AG254">
            <v>-111672</v>
          </cell>
          <cell r="AH254">
            <v>-186120</v>
          </cell>
        </row>
        <row r="255">
          <cell r="B255">
            <v>5344</v>
          </cell>
          <cell r="C255">
            <v>102</v>
          </cell>
          <cell r="H255" t="str">
            <v>ЭДН</v>
          </cell>
          <cell r="I255" t="str">
            <v>бдт</v>
          </cell>
          <cell r="J255">
            <v>37124</v>
          </cell>
          <cell r="N255">
            <v>5</v>
          </cell>
          <cell r="O255">
            <v>3</v>
          </cell>
          <cell r="P255">
            <v>27</v>
          </cell>
          <cell r="Q255">
            <v>5</v>
          </cell>
          <cell r="R255">
            <v>3</v>
          </cell>
          <cell r="S255">
            <v>25.9</v>
          </cell>
          <cell r="T255">
            <v>37224</v>
          </cell>
          <cell r="U255" t="str">
            <v>бдп</v>
          </cell>
          <cell r="AG255">
            <v>-74448</v>
          </cell>
          <cell r="AH255">
            <v>-744480</v>
          </cell>
        </row>
        <row r="256">
          <cell r="B256">
            <v>5365</v>
          </cell>
          <cell r="C256">
            <v>109</v>
          </cell>
          <cell r="D256">
            <v>23</v>
          </cell>
          <cell r="G256">
            <v>275</v>
          </cell>
          <cell r="H256" t="str">
            <v>ШГН</v>
          </cell>
          <cell r="I256" t="str">
            <v>конс.</v>
          </cell>
          <cell r="J256">
            <v>33178</v>
          </cell>
          <cell r="N256">
            <v>20</v>
          </cell>
          <cell r="O256">
            <v>2</v>
          </cell>
          <cell r="P256">
            <v>88</v>
          </cell>
          <cell r="Q256">
            <v>20</v>
          </cell>
          <cell r="R256">
            <v>2</v>
          </cell>
          <cell r="S256">
            <v>87.7</v>
          </cell>
          <cell r="T256">
            <v>37224</v>
          </cell>
          <cell r="U256" t="str">
            <v>ОПЗ</v>
          </cell>
          <cell r="W256" t="str">
            <v>ВЦ. РИР ЮК-11. ПП УГИС. ГДИ</v>
          </cell>
        </row>
        <row r="257">
          <cell r="B257">
            <v>11047</v>
          </cell>
          <cell r="C257" t="str">
            <v>302б</v>
          </cell>
          <cell r="H257" t="str">
            <v>ШГН</v>
          </cell>
          <cell r="I257" t="str">
            <v>бдт</v>
          </cell>
          <cell r="N257">
            <v>3</v>
          </cell>
          <cell r="O257">
            <v>1.5</v>
          </cell>
          <cell r="P257">
            <v>40</v>
          </cell>
          <cell r="Q257">
            <v>3</v>
          </cell>
          <cell r="R257">
            <v>1.5</v>
          </cell>
          <cell r="S257">
            <v>38.299999999999997</v>
          </cell>
          <cell r="T257">
            <v>37215</v>
          </cell>
          <cell r="U257" t="str">
            <v>бдп</v>
          </cell>
        </row>
        <row r="258">
          <cell r="B258">
            <v>2762</v>
          </cell>
          <cell r="C258">
            <v>143</v>
          </cell>
          <cell r="H258" t="str">
            <v>ШГН</v>
          </cell>
          <cell r="I258" t="str">
            <v>бдт</v>
          </cell>
          <cell r="N258">
            <v>12</v>
          </cell>
          <cell r="O258">
            <v>3</v>
          </cell>
          <cell r="P258">
            <v>69</v>
          </cell>
          <cell r="Q258">
            <v>12</v>
          </cell>
          <cell r="R258">
            <v>3</v>
          </cell>
          <cell r="S258">
            <v>69.099999999999994</v>
          </cell>
          <cell r="T258">
            <v>37208</v>
          </cell>
          <cell r="U258" t="str">
            <v>бдп</v>
          </cell>
          <cell r="Y258" t="str">
            <v>На забое ЭЦН и 180 НКТ</v>
          </cell>
          <cell r="AD258">
            <v>37114</v>
          </cell>
          <cell r="AE258">
            <v>37178</v>
          </cell>
          <cell r="AF258">
            <v>64</v>
          </cell>
          <cell r="AG258">
            <v>-186035</v>
          </cell>
          <cell r="AH258">
            <v>-558105</v>
          </cell>
        </row>
        <row r="259">
          <cell r="B259">
            <v>5513</v>
          </cell>
          <cell r="C259">
            <v>114</v>
          </cell>
          <cell r="D259">
            <v>36</v>
          </cell>
          <cell r="E259">
            <v>351</v>
          </cell>
          <cell r="G259">
            <v>250</v>
          </cell>
          <cell r="H259" t="str">
            <v>ЭЦН</v>
          </cell>
          <cell r="I259" t="str">
            <v>бд</v>
          </cell>
          <cell r="J259">
            <v>35073</v>
          </cell>
          <cell r="N259">
            <v>15</v>
          </cell>
          <cell r="O259">
            <v>5</v>
          </cell>
          <cell r="P259">
            <v>59</v>
          </cell>
          <cell r="Q259">
            <v>15</v>
          </cell>
          <cell r="R259">
            <v>5</v>
          </cell>
          <cell r="S259">
            <v>58.8</v>
          </cell>
          <cell r="T259">
            <v>37207</v>
          </cell>
          <cell r="U259" t="str">
            <v>ОПЗ</v>
          </cell>
          <cell r="W259" t="str">
            <v>ЛА (ЭЦН и НКТ). ИР ЮК10. ГИС-2. ГРП ЮК 4-5</v>
          </cell>
          <cell r="X259" t="str">
            <v>Ликвидация аварии (ЭЦН+НКТ)</v>
          </cell>
          <cell r="AG259">
            <v>-55811</v>
          </cell>
          <cell r="AH259">
            <v>-632519</v>
          </cell>
        </row>
        <row r="260">
          <cell r="B260">
            <v>5820</v>
          </cell>
          <cell r="C260">
            <v>167</v>
          </cell>
          <cell r="H260" t="str">
            <v>ШГН</v>
          </cell>
          <cell r="I260" t="str">
            <v>бд</v>
          </cell>
          <cell r="N260">
            <v>17</v>
          </cell>
          <cell r="O260">
            <v>1.5</v>
          </cell>
          <cell r="P260">
            <v>89</v>
          </cell>
          <cell r="Q260">
            <v>17</v>
          </cell>
          <cell r="R260">
            <v>1.5</v>
          </cell>
          <cell r="S260">
            <v>89.1</v>
          </cell>
          <cell r="T260">
            <v>37207</v>
          </cell>
          <cell r="U260" t="str">
            <v>ВЦД</v>
          </cell>
          <cell r="AG260">
            <v>-74414</v>
          </cell>
          <cell r="AH260">
            <v>-1860350</v>
          </cell>
        </row>
        <row r="261">
          <cell r="B261">
            <v>4212</v>
          </cell>
          <cell r="C261">
            <v>311</v>
          </cell>
          <cell r="H261" t="str">
            <v>ЭЦН</v>
          </cell>
          <cell r="N261">
            <v>50</v>
          </cell>
          <cell r="O261">
            <v>2</v>
          </cell>
          <cell r="P261">
            <v>95</v>
          </cell>
          <cell r="Q261">
            <v>50</v>
          </cell>
          <cell r="R261">
            <v>2</v>
          </cell>
          <cell r="S261">
            <v>95.1</v>
          </cell>
          <cell r="T261">
            <v>37207</v>
          </cell>
          <cell r="U261" t="str">
            <v>ВЦ</v>
          </cell>
          <cell r="W261" t="str">
            <v>ВЦ ПРС промывка забоя</v>
          </cell>
          <cell r="AG261">
            <v>-37203</v>
          </cell>
          <cell r="AH261">
            <v>-372030</v>
          </cell>
        </row>
        <row r="262">
          <cell r="B262">
            <v>2818</v>
          </cell>
          <cell r="C262">
            <v>144</v>
          </cell>
          <cell r="H262" t="str">
            <v>ШГН</v>
          </cell>
          <cell r="I262" t="str">
            <v>конс.</v>
          </cell>
          <cell r="J262">
            <v>33239</v>
          </cell>
          <cell r="N262">
            <v>10</v>
          </cell>
          <cell r="O262">
            <v>1</v>
          </cell>
          <cell r="P262">
            <v>88</v>
          </cell>
          <cell r="Q262">
            <v>10</v>
          </cell>
          <cell r="R262">
            <v>1</v>
          </cell>
          <cell r="S262">
            <v>87.7</v>
          </cell>
          <cell r="T262">
            <v>37203</v>
          </cell>
          <cell r="U262" t="str">
            <v>ВЦД</v>
          </cell>
        </row>
        <row r="263">
          <cell r="B263" t="str">
            <v>5519б</v>
          </cell>
          <cell r="C263">
            <v>116</v>
          </cell>
          <cell r="H263" t="str">
            <v>ЭЦН</v>
          </cell>
          <cell r="I263" t="str">
            <v>бдт</v>
          </cell>
          <cell r="N263">
            <v>54</v>
          </cell>
          <cell r="O263">
            <v>5</v>
          </cell>
          <cell r="P263">
            <v>88.6</v>
          </cell>
          <cell r="Q263">
            <v>54</v>
          </cell>
          <cell r="R263">
            <v>5</v>
          </cell>
          <cell r="S263">
            <v>88.6</v>
          </cell>
          <cell r="T263">
            <v>37203</v>
          </cell>
          <cell r="U263" t="str">
            <v>бдп</v>
          </cell>
        </row>
        <row r="264">
          <cell r="B264">
            <v>2739</v>
          </cell>
          <cell r="C264">
            <v>163</v>
          </cell>
          <cell r="H264" t="str">
            <v>ШГН</v>
          </cell>
          <cell r="I264" t="str">
            <v>бдт</v>
          </cell>
          <cell r="N264">
            <v>11</v>
          </cell>
          <cell r="O264">
            <v>1</v>
          </cell>
          <cell r="P264">
            <v>89</v>
          </cell>
          <cell r="Q264">
            <v>11</v>
          </cell>
          <cell r="R264">
            <v>1</v>
          </cell>
          <cell r="S264">
            <v>88.8</v>
          </cell>
          <cell r="T264">
            <v>37200</v>
          </cell>
          <cell r="U264" t="str">
            <v>бдп</v>
          </cell>
          <cell r="AG264">
            <v>-223200</v>
          </cell>
          <cell r="AH264">
            <v>-818400</v>
          </cell>
        </row>
        <row r="265">
          <cell r="B265">
            <v>3859</v>
          </cell>
          <cell r="C265" t="str">
            <v>306б</v>
          </cell>
          <cell r="H265" t="str">
            <v>ЭЦН</v>
          </cell>
          <cell r="I265" t="str">
            <v>бд</v>
          </cell>
          <cell r="J265">
            <v>35859</v>
          </cell>
          <cell r="N265">
            <v>22</v>
          </cell>
          <cell r="O265">
            <v>6</v>
          </cell>
          <cell r="P265">
            <v>66.3</v>
          </cell>
          <cell r="Q265">
            <v>22</v>
          </cell>
          <cell r="R265">
            <v>6</v>
          </cell>
          <cell r="S265">
            <v>66.3</v>
          </cell>
          <cell r="T265">
            <v>37200</v>
          </cell>
          <cell r="U265" t="str">
            <v>ВЦД</v>
          </cell>
          <cell r="AD265">
            <v>37151</v>
          </cell>
          <cell r="AE265">
            <v>37192</v>
          </cell>
          <cell r="AF265">
            <v>41</v>
          </cell>
          <cell r="AG265">
            <v>-37199</v>
          </cell>
          <cell r="AH265">
            <v>-148796</v>
          </cell>
        </row>
        <row r="266">
          <cell r="B266">
            <v>5221</v>
          </cell>
          <cell r="C266">
            <v>126</v>
          </cell>
          <cell r="D266">
            <v>21</v>
          </cell>
          <cell r="E266">
            <v>211</v>
          </cell>
          <cell r="G266">
            <v>240</v>
          </cell>
          <cell r="H266" t="str">
            <v>ШГН</v>
          </cell>
          <cell r="I266" t="str">
            <v>бд</v>
          </cell>
          <cell r="J266">
            <v>35706</v>
          </cell>
          <cell r="K266">
            <v>8</v>
          </cell>
          <cell r="L266">
            <v>6.1</v>
          </cell>
          <cell r="M266">
            <v>6</v>
          </cell>
          <cell r="N266">
            <v>4</v>
          </cell>
          <cell r="O266">
            <v>1</v>
          </cell>
          <cell r="P266">
            <v>68</v>
          </cell>
          <cell r="Q266">
            <v>4</v>
          </cell>
          <cell r="R266">
            <v>1</v>
          </cell>
          <cell r="S266">
            <v>69.099999999999994</v>
          </cell>
          <cell r="T266">
            <v>37199</v>
          </cell>
          <cell r="U266" t="str">
            <v>ГРП</v>
          </cell>
          <cell r="W266" t="str">
            <v>ПП. ОПЗ НТПН. УГИС. ГРП</v>
          </cell>
          <cell r="AG266">
            <v>-48351</v>
          </cell>
          <cell r="AH266">
            <v>-1673685</v>
          </cell>
        </row>
        <row r="267">
          <cell r="B267">
            <v>5350</v>
          </cell>
          <cell r="C267">
            <v>104</v>
          </cell>
          <cell r="H267" t="str">
            <v>ЭЦН</v>
          </cell>
          <cell r="I267" t="str">
            <v>действ.</v>
          </cell>
          <cell r="K267">
            <v>105</v>
          </cell>
          <cell r="L267">
            <v>7.7</v>
          </cell>
          <cell r="M267">
            <v>91</v>
          </cell>
          <cell r="N267">
            <v>150</v>
          </cell>
          <cell r="O267">
            <v>9</v>
          </cell>
          <cell r="P267">
            <v>92.6</v>
          </cell>
          <cell r="Q267">
            <v>45</v>
          </cell>
          <cell r="R267">
            <v>1.2999999999999998</v>
          </cell>
          <cell r="S267">
            <v>0</v>
          </cell>
          <cell r="T267">
            <v>37193</v>
          </cell>
          <cell r="U267" t="str">
            <v>опт</v>
          </cell>
          <cell r="AD267" t="e">
            <v>#REF!</v>
          </cell>
          <cell r="AE267" t="e">
            <v>#REF!</v>
          </cell>
          <cell r="AF267">
            <v>14</v>
          </cell>
          <cell r="AG267">
            <v>-59499</v>
          </cell>
          <cell r="AH267">
            <v>-855301</v>
          </cell>
        </row>
        <row r="268">
          <cell r="B268">
            <v>2922</v>
          </cell>
          <cell r="C268" t="str">
            <v>43б</v>
          </cell>
          <cell r="H268" t="str">
            <v>ЭЦН</v>
          </cell>
          <cell r="I268" t="str">
            <v>действ.</v>
          </cell>
          <cell r="K268">
            <v>10</v>
          </cell>
          <cell r="L268">
            <v>6.4</v>
          </cell>
          <cell r="M268">
            <v>21</v>
          </cell>
          <cell r="N268">
            <v>33</v>
          </cell>
          <cell r="O268">
            <v>8</v>
          </cell>
          <cell r="P268">
            <v>70.2</v>
          </cell>
          <cell r="Q268">
            <v>23</v>
          </cell>
          <cell r="R268">
            <v>1.5999999999999996</v>
          </cell>
          <cell r="T268">
            <v>37187</v>
          </cell>
          <cell r="U268" t="str">
            <v>опт</v>
          </cell>
          <cell r="AD268" t="e">
            <v>#REF!</v>
          </cell>
          <cell r="AE268" t="e">
            <v>#REF!</v>
          </cell>
          <cell r="AF268">
            <v>39</v>
          </cell>
          <cell r="AG268">
            <v>-446196</v>
          </cell>
          <cell r="AH268">
            <v>-1301405</v>
          </cell>
        </row>
        <row r="269">
          <cell r="B269">
            <v>2932</v>
          </cell>
          <cell r="C269">
            <v>44</v>
          </cell>
          <cell r="D269">
            <v>0</v>
          </cell>
          <cell r="G269">
            <v>265</v>
          </cell>
          <cell r="H269" t="str">
            <v>ШГН</v>
          </cell>
          <cell r="I269" t="str">
            <v>бдт</v>
          </cell>
          <cell r="J269">
            <v>37045</v>
          </cell>
          <cell r="K269">
            <v>15</v>
          </cell>
          <cell r="L269">
            <v>10.3</v>
          </cell>
          <cell r="M269">
            <v>16</v>
          </cell>
          <cell r="N269">
            <v>35</v>
          </cell>
          <cell r="O269">
            <v>12</v>
          </cell>
          <cell r="P269">
            <v>57.8</v>
          </cell>
          <cell r="Q269">
            <v>35</v>
          </cell>
          <cell r="R269">
            <v>12</v>
          </cell>
          <cell r="S269">
            <v>57.7</v>
          </cell>
          <cell r="T269">
            <v>37183</v>
          </cell>
          <cell r="U269" t="str">
            <v>ОПЗ</v>
          </cell>
          <cell r="W269" t="str">
            <v>ВЦ. ПП ДН. ОПЗ НТПН</v>
          </cell>
          <cell r="AG269">
            <v>-7436</v>
          </cell>
          <cell r="AH269">
            <v>-148724</v>
          </cell>
        </row>
        <row r="270">
          <cell r="B270">
            <v>4077</v>
          </cell>
          <cell r="C270">
            <v>315</v>
          </cell>
          <cell r="H270" t="str">
            <v>ШГН</v>
          </cell>
          <cell r="I270" t="str">
            <v>бд</v>
          </cell>
          <cell r="J270">
            <v>36091</v>
          </cell>
          <cell r="N270">
            <v>4</v>
          </cell>
          <cell r="O270">
            <v>0.2</v>
          </cell>
          <cell r="P270">
            <v>93.5</v>
          </cell>
          <cell r="Q270">
            <v>4</v>
          </cell>
          <cell r="R270">
            <v>0.2</v>
          </cell>
          <cell r="S270">
            <v>93.8</v>
          </cell>
          <cell r="T270">
            <v>37181</v>
          </cell>
          <cell r="U270" t="str">
            <v>ОВП</v>
          </cell>
          <cell r="X270" t="str">
            <v>УОПР-800, после обустройства</v>
          </cell>
          <cell r="AG270">
            <v>-223074</v>
          </cell>
          <cell r="AH270">
            <v>-446148</v>
          </cell>
        </row>
        <row r="271">
          <cell r="B271">
            <v>5835</v>
          </cell>
          <cell r="C271">
            <v>168</v>
          </cell>
          <cell r="H271" t="str">
            <v>ШГН</v>
          </cell>
          <cell r="I271" t="str">
            <v>бдт</v>
          </cell>
          <cell r="J271">
            <v>37122</v>
          </cell>
          <cell r="N271">
            <v>12</v>
          </cell>
          <cell r="O271">
            <v>6</v>
          </cell>
          <cell r="P271">
            <v>39</v>
          </cell>
          <cell r="Q271">
            <v>12</v>
          </cell>
          <cell r="R271">
            <v>6</v>
          </cell>
          <cell r="S271">
            <v>38.299999999999997</v>
          </cell>
          <cell r="T271">
            <v>37179</v>
          </cell>
          <cell r="U271" t="str">
            <v>бдп</v>
          </cell>
          <cell r="AG271">
            <v>-37177</v>
          </cell>
          <cell r="AH271">
            <v>-594832</v>
          </cell>
        </row>
        <row r="272">
          <cell r="B272">
            <v>5310</v>
          </cell>
          <cell r="C272">
            <v>140</v>
          </cell>
          <cell r="D272">
            <v>9</v>
          </cell>
          <cell r="G272">
            <v>240</v>
          </cell>
          <cell r="H272" t="str">
            <v>ШГН</v>
          </cell>
          <cell r="I272" t="str">
            <v>бд</v>
          </cell>
          <cell r="J272">
            <v>34274</v>
          </cell>
          <cell r="N272">
            <v>16</v>
          </cell>
          <cell r="O272">
            <v>1</v>
          </cell>
          <cell r="P272">
            <v>92</v>
          </cell>
          <cell r="Q272">
            <v>16</v>
          </cell>
          <cell r="R272">
            <v>1</v>
          </cell>
          <cell r="S272">
            <v>92.3</v>
          </cell>
          <cell r="T272">
            <v>37177</v>
          </cell>
          <cell r="U272" t="str">
            <v>ВЗ</v>
          </cell>
          <cell r="W272" t="str">
            <v>ВЦ. ГИС. ИР ЮК-11. ГИС. ПП ЮК-10. ГРП</v>
          </cell>
          <cell r="AG272">
            <v>-408925</v>
          </cell>
          <cell r="AH272">
            <v>-743500</v>
          </cell>
        </row>
        <row r="273">
          <cell r="B273">
            <v>2791</v>
          </cell>
          <cell r="C273">
            <v>144</v>
          </cell>
          <cell r="D273">
            <v>4</v>
          </cell>
          <cell r="G273">
            <v>280</v>
          </cell>
          <cell r="H273" t="str">
            <v>ШГН</v>
          </cell>
          <cell r="I273" t="str">
            <v>бдт</v>
          </cell>
          <cell r="J273">
            <v>37124</v>
          </cell>
          <cell r="K273">
            <v>9</v>
          </cell>
          <cell r="L273">
            <v>5.2</v>
          </cell>
          <cell r="M273">
            <v>29</v>
          </cell>
          <cell r="N273">
            <v>20</v>
          </cell>
          <cell r="O273">
            <v>11</v>
          </cell>
          <cell r="P273">
            <v>32.299999999999997</v>
          </cell>
          <cell r="Q273">
            <v>20</v>
          </cell>
          <cell r="R273">
            <v>11</v>
          </cell>
          <cell r="S273">
            <v>32.1</v>
          </cell>
          <cell r="T273">
            <v>37175</v>
          </cell>
          <cell r="U273" t="str">
            <v>ГРП</v>
          </cell>
          <cell r="W273" t="str">
            <v>ПР ГРП. ГРП</v>
          </cell>
          <cell r="AG273">
            <v>-334566</v>
          </cell>
          <cell r="AH273">
            <v>-520436</v>
          </cell>
        </row>
        <row r="274">
          <cell r="B274">
            <v>4074</v>
          </cell>
          <cell r="C274">
            <v>314</v>
          </cell>
          <cell r="H274" t="str">
            <v>ШГН</v>
          </cell>
          <cell r="I274" t="str">
            <v>бдт</v>
          </cell>
          <cell r="N274">
            <v>14</v>
          </cell>
          <cell r="O274">
            <v>9</v>
          </cell>
          <cell r="P274">
            <v>21</v>
          </cell>
          <cell r="Q274">
            <v>14</v>
          </cell>
          <cell r="R274">
            <v>9</v>
          </cell>
          <cell r="S274">
            <v>20.6</v>
          </cell>
          <cell r="T274">
            <v>37174</v>
          </cell>
          <cell r="U274" t="str">
            <v>бдп</v>
          </cell>
          <cell r="X274" t="str">
            <v>Запуск ШГН</v>
          </cell>
          <cell r="AG274">
            <v>-74348</v>
          </cell>
          <cell r="AH274">
            <v>-2044570</v>
          </cell>
        </row>
        <row r="275">
          <cell r="B275">
            <v>5476</v>
          </cell>
          <cell r="C275">
            <v>110</v>
          </cell>
          <cell r="H275" t="str">
            <v>ЭЦН</v>
          </cell>
          <cell r="I275" t="str">
            <v>бдт</v>
          </cell>
          <cell r="J275">
            <v>37123</v>
          </cell>
          <cell r="N275">
            <v>55</v>
          </cell>
          <cell r="O275">
            <v>2</v>
          </cell>
          <cell r="P275">
            <v>95.5</v>
          </cell>
          <cell r="Q275">
            <v>55</v>
          </cell>
          <cell r="R275">
            <v>2</v>
          </cell>
          <cell r="S275">
            <v>95.5</v>
          </cell>
          <cell r="T275">
            <v>37174</v>
          </cell>
          <cell r="U275" t="str">
            <v>бдп</v>
          </cell>
          <cell r="AG275">
            <v>-297344</v>
          </cell>
          <cell r="AH275">
            <v>-371680</v>
          </cell>
        </row>
        <row r="276">
          <cell r="B276">
            <v>5341</v>
          </cell>
          <cell r="C276">
            <v>101</v>
          </cell>
          <cell r="H276" t="str">
            <v>ШГН</v>
          </cell>
          <cell r="I276" t="str">
            <v>бд</v>
          </cell>
          <cell r="J276">
            <v>35653</v>
          </cell>
          <cell r="N276">
            <v>10</v>
          </cell>
          <cell r="O276">
            <v>8</v>
          </cell>
          <cell r="P276">
            <v>2</v>
          </cell>
          <cell r="Q276">
            <v>10</v>
          </cell>
          <cell r="R276">
            <v>8</v>
          </cell>
          <cell r="S276">
            <v>1.2</v>
          </cell>
          <cell r="T276">
            <v>37168</v>
          </cell>
          <cell r="U276" t="str">
            <v>бдп</v>
          </cell>
          <cell r="AG276">
            <v>-152381</v>
          </cell>
          <cell r="AH276">
            <v>-3753766</v>
          </cell>
        </row>
        <row r="277">
          <cell r="B277">
            <v>11003</v>
          </cell>
          <cell r="C277" t="str">
            <v>123б</v>
          </cell>
          <cell r="H277" t="str">
            <v>ЭЦН</v>
          </cell>
          <cell r="I277" t="str">
            <v>действ.</v>
          </cell>
          <cell r="K277">
            <v>60</v>
          </cell>
          <cell r="L277">
            <v>5.9</v>
          </cell>
          <cell r="M277">
            <v>88</v>
          </cell>
          <cell r="N277">
            <v>161</v>
          </cell>
          <cell r="O277">
            <v>10</v>
          </cell>
          <cell r="P277">
            <v>92.4</v>
          </cell>
          <cell r="Q277">
            <v>101</v>
          </cell>
          <cell r="R277">
            <v>4.0999999999999996</v>
          </cell>
          <cell r="S277">
            <v>0</v>
          </cell>
          <cell r="T277">
            <v>37166</v>
          </cell>
          <cell r="U277" t="str">
            <v>опт</v>
          </cell>
          <cell r="AD277">
            <v>37109</v>
          </cell>
          <cell r="AE277">
            <v>37129</v>
          </cell>
          <cell r="AF277">
            <v>20</v>
          </cell>
          <cell r="AG277">
            <v>-159775</v>
          </cell>
          <cell r="AH277">
            <v>-185785</v>
          </cell>
        </row>
        <row r="278">
          <cell r="B278">
            <v>2942</v>
          </cell>
          <cell r="C278">
            <v>47</v>
          </cell>
          <cell r="D278">
            <v>35</v>
          </cell>
          <cell r="G278">
            <v>250</v>
          </cell>
          <cell r="H278" t="str">
            <v>ШГН</v>
          </cell>
          <cell r="I278" t="str">
            <v>действ.</v>
          </cell>
          <cell r="J278">
            <v>37116</v>
          </cell>
          <cell r="K278">
            <v>5</v>
          </cell>
          <cell r="L278">
            <v>3.7</v>
          </cell>
          <cell r="M278">
            <v>8</v>
          </cell>
          <cell r="N278">
            <v>10</v>
          </cell>
          <cell r="O278">
            <v>8</v>
          </cell>
          <cell r="P278">
            <v>2</v>
          </cell>
          <cell r="Q278">
            <v>5</v>
          </cell>
          <cell r="R278">
            <v>4.3</v>
          </cell>
          <cell r="T278">
            <v>37157</v>
          </cell>
          <cell r="U278" t="str">
            <v>ОПЗ</v>
          </cell>
          <cell r="W278" t="str">
            <v>УГИС. ОПЗ НТПН. ГДИ</v>
          </cell>
          <cell r="AG278">
            <v>-111468</v>
          </cell>
          <cell r="AH278">
            <v>-1486240</v>
          </cell>
        </row>
        <row r="279">
          <cell r="B279">
            <v>2757</v>
          </cell>
          <cell r="C279">
            <v>144</v>
          </cell>
          <cell r="I279" t="str">
            <v>бд</v>
          </cell>
          <cell r="N279">
            <v>40</v>
          </cell>
          <cell r="O279">
            <v>3</v>
          </cell>
          <cell r="P279">
            <v>90.7</v>
          </cell>
          <cell r="Q279">
            <v>40</v>
          </cell>
          <cell r="R279">
            <v>3</v>
          </cell>
          <cell r="S279">
            <v>90.7</v>
          </cell>
          <cell r="T279">
            <v>37156</v>
          </cell>
          <cell r="U279" t="str">
            <v>ВЦ</v>
          </cell>
          <cell r="AG279">
            <v>-130029</v>
          </cell>
          <cell r="AH279">
            <v>-2154758</v>
          </cell>
        </row>
        <row r="280">
          <cell r="B280">
            <v>4126</v>
          </cell>
          <cell r="C280">
            <v>315</v>
          </cell>
          <cell r="I280" t="str">
            <v>бдт</v>
          </cell>
          <cell r="N280">
            <v>58</v>
          </cell>
          <cell r="O280">
            <v>3.5</v>
          </cell>
          <cell r="P280">
            <v>92.5</v>
          </cell>
          <cell r="Q280">
            <v>58</v>
          </cell>
          <cell r="R280">
            <v>3.5</v>
          </cell>
          <cell r="S280">
            <v>92.6</v>
          </cell>
          <cell r="T280">
            <v>37151</v>
          </cell>
          <cell r="U280" t="str">
            <v>бдп</v>
          </cell>
          <cell r="AG280">
            <v>0</v>
          </cell>
          <cell r="AH280">
            <v>-5572050</v>
          </cell>
        </row>
        <row r="281">
          <cell r="B281">
            <v>5807</v>
          </cell>
          <cell r="C281" t="str">
            <v>166б</v>
          </cell>
          <cell r="I281" t="str">
            <v>бд</v>
          </cell>
          <cell r="N281">
            <v>150</v>
          </cell>
          <cell r="Q281">
            <v>150</v>
          </cell>
          <cell r="R281">
            <v>0</v>
          </cell>
          <cell r="S281">
            <v>100</v>
          </cell>
          <cell r="T281">
            <v>37147</v>
          </cell>
          <cell r="U281" t="str">
            <v>нг</v>
          </cell>
          <cell r="AG281">
            <v>-222846</v>
          </cell>
          <cell r="AH281">
            <v>-1782768</v>
          </cell>
        </row>
        <row r="282">
          <cell r="B282">
            <v>2865</v>
          </cell>
          <cell r="C282">
            <v>131</v>
          </cell>
          <cell r="I282" t="str">
            <v>действ.</v>
          </cell>
          <cell r="K282">
            <v>15</v>
          </cell>
          <cell r="L282">
            <v>5.5</v>
          </cell>
          <cell r="M282">
            <v>55</v>
          </cell>
          <cell r="N282">
            <v>63</v>
          </cell>
          <cell r="O282">
            <v>11.5</v>
          </cell>
          <cell r="P282">
            <v>77.599999999999994</v>
          </cell>
          <cell r="Q282">
            <v>48</v>
          </cell>
          <cell r="R282">
            <v>6</v>
          </cell>
          <cell r="T282">
            <v>37141</v>
          </cell>
          <cell r="U282" t="str">
            <v>опт</v>
          </cell>
          <cell r="AG282">
            <v>-148552</v>
          </cell>
          <cell r="AH282">
            <v>-259966</v>
          </cell>
        </row>
        <row r="283">
          <cell r="B283" t="str">
            <v>5484б</v>
          </cell>
          <cell r="C283">
            <v>115</v>
          </cell>
          <cell r="H283" t="str">
            <v>ШГН</v>
          </cell>
          <cell r="I283" t="str">
            <v>конс.</v>
          </cell>
          <cell r="N283">
            <v>7</v>
          </cell>
          <cell r="O283">
            <v>4</v>
          </cell>
          <cell r="P283">
            <v>30</v>
          </cell>
          <cell r="Q283">
            <v>7</v>
          </cell>
          <cell r="R283">
            <v>4</v>
          </cell>
          <cell r="S283">
            <v>29.5</v>
          </cell>
          <cell r="T283">
            <v>37138</v>
          </cell>
          <cell r="U283" t="str">
            <v>ГРП</v>
          </cell>
          <cell r="Y283" t="str">
            <v>ЗКЦ до гл.2480</v>
          </cell>
          <cell r="AD283">
            <v>37378</v>
          </cell>
          <cell r="AE283">
            <v>37399</v>
          </cell>
          <cell r="AF283">
            <v>21</v>
          </cell>
          <cell r="AG283">
            <v>0</v>
          </cell>
          <cell r="AH283">
            <v>0</v>
          </cell>
        </row>
        <row r="284">
          <cell r="B284">
            <v>5391</v>
          </cell>
          <cell r="C284">
            <v>109</v>
          </cell>
          <cell r="D284">
            <v>4</v>
          </cell>
          <cell r="E284">
            <v>40</v>
          </cell>
          <cell r="F284" t="str">
            <v>УПНПиКРС</v>
          </cell>
          <cell r="G284">
            <v>291</v>
          </cell>
          <cell r="H284" t="str">
            <v>нагнет.</v>
          </cell>
          <cell r="I284" t="str">
            <v>бд</v>
          </cell>
          <cell r="J284">
            <v>34426</v>
          </cell>
          <cell r="O284">
            <v>0</v>
          </cell>
          <cell r="U284" t="str">
            <v>нг</v>
          </cell>
          <cell r="W284" t="str">
            <v>ИР ЮК-11, ПП ЮК-10 пуск под закачку</v>
          </cell>
          <cell r="Y284" t="str">
            <v>Негермитичгость Э/К</v>
          </cell>
          <cell r="AD284">
            <v>37294</v>
          </cell>
          <cell r="AE284">
            <v>37351</v>
          </cell>
          <cell r="AF284">
            <v>57</v>
          </cell>
          <cell r="AG284">
            <v>451800</v>
          </cell>
          <cell r="AH284">
            <v>1129500</v>
          </cell>
        </row>
        <row r="285">
          <cell r="B285">
            <v>5398</v>
          </cell>
          <cell r="C285">
            <v>102</v>
          </cell>
          <cell r="D285">
            <v>9</v>
          </cell>
          <cell r="E285">
            <v>90</v>
          </cell>
          <cell r="F285" t="str">
            <v>УПНПиКРС</v>
          </cell>
          <cell r="G285">
            <v>240</v>
          </cell>
          <cell r="H285" t="str">
            <v>ФОН</v>
          </cell>
          <cell r="I285" t="str">
            <v>бд</v>
          </cell>
          <cell r="J285">
            <v>33572</v>
          </cell>
          <cell r="K285">
            <v>15</v>
          </cell>
          <cell r="L285">
            <v>1.2</v>
          </cell>
          <cell r="M285">
            <v>90</v>
          </cell>
          <cell r="N285">
            <v>30</v>
          </cell>
          <cell r="O285">
            <v>12</v>
          </cell>
          <cell r="P285">
            <v>51</v>
          </cell>
          <cell r="Q285">
            <v>30</v>
          </cell>
          <cell r="R285">
            <v>12</v>
          </cell>
          <cell r="S285">
            <v>50.6</v>
          </cell>
          <cell r="U285" t="str">
            <v>ГРП</v>
          </cell>
          <cell r="V285">
            <v>2</v>
          </cell>
          <cell r="W285" t="str">
            <v>ЛА,ИР ЮК-10,ПП ЮК-2-3 пр к ГРП</v>
          </cell>
          <cell r="AG285">
            <v>0</v>
          </cell>
          <cell r="AH285">
            <v>0</v>
          </cell>
        </row>
        <row r="286">
          <cell r="B286">
            <v>2701</v>
          </cell>
          <cell r="C286" t="str">
            <v>145б</v>
          </cell>
          <cell r="H286" t="str">
            <v>ЭЦН</v>
          </cell>
          <cell r="I286" t="str">
            <v>конс.</v>
          </cell>
          <cell r="N286">
            <v>45</v>
          </cell>
          <cell r="O286">
            <v>3</v>
          </cell>
          <cell r="P286">
            <v>91.9</v>
          </cell>
          <cell r="Q286">
            <v>45</v>
          </cell>
          <cell r="R286">
            <v>3</v>
          </cell>
          <cell r="S286">
            <v>91.8</v>
          </cell>
          <cell r="U286" t="str">
            <v>ВЦ</v>
          </cell>
          <cell r="AG286">
            <v>0</v>
          </cell>
          <cell r="AH286">
            <v>0</v>
          </cell>
        </row>
        <row r="287">
          <cell r="B287">
            <v>5290</v>
          </cell>
          <cell r="C287">
            <v>133</v>
          </cell>
          <cell r="H287" t="str">
            <v>ШГН</v>
          </cell>
          <cell r="I287" t="str">
            <v>бдт</v>
          </cell>
          <cell r="J287">
            <v>37111</v>
          </cell>
          <cell r="N287">
            <v>8</v>
          </cell>
          <cell r="O287">
            <v>4.5</v>
          </cell>
          <cell r="P287">
            <v>31</v>
          </cell>
          <cell r="Q287">
            <v>8</v>
          </cell>
          <cell r="R287">
            <v>4.5</v>
          </cell>
          <cell r="S287">
            <v>30.6</v>
          </cell>
          <cell r="U287" t="str">
            <v>бдп</v>
          </cell>
          <cell r="AG287">
            <v>0</v>
          </cell>
          <cell r="AH287">
            <v>0</v>
          </cell>
        </row>
        <row r="288">
          <cell r="B288">
            <v>5528</v>
          </cell>
          <cell r="C288" t="str">
            <v>119б</v>
          </cell>
          <cell r="H288" t="str">
            <v>ШГН</v>
          </cell>
          <cell r="I288" t="str">
            <v>бдт</v>
          </cell>
          <cell r="N288">
            <v>6</v>
          </cell>
          <cell r="O288">
            <v>3</v>
          </cell>
          <cell r="P288">
            <v>38</v>
          </cell>
          <cell r="Q288">
            <v>6</v>
          </cell>
          <cell r="R288">
            <v>3</v>
          </cell>
          <cell r="S288">
            <v>38.299999999999997</v>
          </cell>
          <cell r="U288" t="str">
            <v>ВЦД</v>
          </cell>
          <cell r="AD288">
            <v>37263</v>
          </cell>
          <cell r="AE288">
            <v>37281</v>
          </cell>
          <cell r="AF288">
            <v>18</v>
          </cell>
          <cell r="AG288">
            <v>360</v>
          </cell>
          <cell r="AH288">
            <v>464</v>
          </cell>
        </row>
        <row r="289">
          <cell r="B289">
            <v>2787</v>
          </cell>
          <cell r="C289">
            <v>145</v>
          </cell>
          <cell r="D289">
            <v>4</v>
          </cell>
          <cell r="E289">
            <v>40</v>
          </cell>
          <cell r="F289" t="str">
            <v>УПНПиКРС</v>
          </cell>
          <cell r="G289">
            <v>270</v>
          </cell>
          <cell r="H289" t="str">
            <v>ШГН</v>
          </cell>
          <cell r="I289" t="str">
            <v>действ.</v>
          </cell>
          <cell r="K289">
            <v>17</v>
          </cell>
          <cell r="L289">
            <v>13.2</v>
          </cell>
          <cell r="M289">
            <v>5</v>
          </cell>
          <cell r="N289">
            <v>25</v>
          </cell>
          <cell r="O289">
            <v>19.399999999999999</v>
          </cell>
          <cell r="P289">
            <v>5</v>
          </cell>
          <cell r="Q289">
            <v>8</v>
          </cell>
          <cell r="R289">
            <v>6.1999999999999993</v>
          </cell>
          <cell r="S289">
            <v>4.3</v>
          </cell>
          <cell r="U289" t="str">
            <v>ГРП</v>
          </cell>
          <cell r="V289">
            <v>3</v>
          </cell>
          <cell r="W289" t="str">
            <v>Вымыв пропанта, освоение после ГРП</v>
          </cell>
          <cell r="AD289">
            <v>37242</v>
          </cell>
          <cell r="AE289">
            <v>37277</v>
          </cell>
          <cell r="AF289">
            <v>35</v>
          </cell>
          <cell r="AG289">
            <v>0</v>
          </cell>
          <cell r="AH289">
            <v>0</v>
          </cell>
        </row>
        <row r="290">
          <cell r="B290">
            <v>5644</v>
          </cell>
          <cell r="C290">
            <v>126</v>
          </cell>
          <cell r="D290">
            <v>21</v>
          </cell>
          <cell r="E290">
            <v>210</v>
          </cell>
          <cell r="F290" t="str">
            <v>УПНПиКРС</v>
          </cell>
          <cell r="G290">
            <v>230</v>
          </cell>
          <cell r="H290" t="str">
            <v>ШГН</v>
          </cell>
          <cell r="I290" t="str">
            <v>бд</v>
          </cell>
          <cell r="J290">
            <v>35340</v>
          </cell>
          <cell r="N290">
            <v>30</v>
          </cell>
          <cell r="O290">
            <v>15</v>
          </cell>
          <cell r="P290">
            <v>38.799999999999997</v>
          </cell>
          <cell r="Q290">
            <v>30</v>
          </cell>
          <cell r="R290">
            <v>15</v>
          </cell>
          <cell r="S290">
            <v>38.299999999999997</v>
          </cell>
          <cell r="T290">
            <v>37521</v>
          </cell>
          <cell r="U290" t="str">
            <v>ЗБС</v>
          </cell>
          <cell r="W290" t="str">
            <v>ПР К ЗБС</v>
          </cell>
          <cell r="AD290">
            <v>37447</v>
          </cell>
          <cell r="AE290">
            <v>37456</v>
          </cell>
          <cell r="AF290">
            <v>9</v>
          </cell>
        </row>
        <row r="291">
          <cell r="B291">
            <v>2576</v>
          </cell>
          <cell r="C291">
            <v>150</v>
          </cell>
          <cell r="D291">
            <v>3</v>
          </cell>
          <cell r="E291">
            <v>1</v>
          </cell>
          <cell r="F291" t="str">
            <v>УПНПиКРС</v>
          </cell>
          <cell r="H291" t="str">
            <v>нагнет.</v>
          </cell>
          <cell r="I291" t="str">
            <v>бд</v>
          </cell>
          <cell r="N291">
            <v>150</v>
          </cell>
          <cell r="Q291">
            <v>150</v>
          </cell>
          <cell r="T291">
            <v>37459</v>
          </cell>
          <cell r="U291" t="str">
            <v>нг</v>
          </cell>
          <cell r="W291" t="str">
            <v>Ревизия пакера</v>
          </cell>
          <cell r="AD291">
            <v>37413</v>
          </cell>
          <cell r="AE291">
            <v>37461</v>
          </cell>
          <cell r="AF291">
            <v>48</v>
          </cell>
        </row>
        <row r="292">
          <cell r="B292">
            <v>5241</v>
          </cell>
          <cell r="C292">
            <v>134</v>
          </cell>
          <cell r="D292">
            <v>6</v>
          </cell>
          <cell r="E292">
            <v>60</v>
          </cell>
          <cell r="F292" t="str">
            <v>УПНПиКРС</v>
          </cell>
          <cell r="G292">
            <v>258</v>
          </cell>
          <cell r="H292" t="str">
            <v>ЭЦН</v>
          </cell>
          <cell r="I292" t="str">
            <v>бд</v>
          </cell>
          <cell r="J292">
            <v>34547</v>
          </cell>
          <cell r="K292">
            <v>21</v>
          </cell>
          <cell r="L292">
            <v>0.2</v>
          </cell>
          <cell r="M292">
            <v>99</v>
          </cell>
          <cell r="N292">
            <v>30</v>
          </cell>
          <cell r="O292">
            <v>12</v>
          </cell>
          <cell r="P292">
            <v>51</v>
          </cell>
          <cell r="Q292">
            <v>30</v>
          </cell>
          <cell r="R292">
            <v>12</v>
          </cell>
          <cell r="S292">
            <v>50.6</v>
          </cell>
          <cell r="T292">
            <v>37467</v>
          </cell>
          <cell r="U292" t="str">
            <v>ГРП</v>
          </cell>
          <cell r="V292">
            <v>2</v>
          </cell>
          <cell r="W292" t="str">
            <v>СО-каротаж, ПР к ГРП, ГРП ЮК-4, осв.</v>
          </cell>
          <cell r="X292" t="str">
            <v>ЭП выполнен, ЭЦН с КРБК на забое</v>
          </cell>
          <cell r="AD292">
            <v>37431</v>
          </cell>
          <cell r="AE292">
            <v>37459</v>
          </cell>
          <cell r="AF292">
            <v>28</v>
          </cell>
        </row>
        <row r="293">
          <cell r="B293">
            <v>5267</v>
          </cell>
          <cell r="C293">
            <v>134</v>
          </cell>
          <cell r="D293">
            <v>21</v>
          </cell>
          <cell r="E293">
            <v>210</v>
          </cell>
          <cell r="F293" t="str">
            <v>УПНПиКРС</v>
          </cell>
          <cell r="H293" t="str">
            <v>ЭЦН</v>
          </cell>
          <cell r="I293" t="str">
            <v>конс.</v>
          </cell>
          <cell r="N293">
            <v>50</v>
          </cell>
          <cell r="O293">
            <v>30</v>
          </cell>
          <cell r="P293">
            <v>26.5</v>
          </cell>
          <cell r="Q293">
            <v>50</v>
          </cell>
          <cell r="R293">
            <v>30</v>
          </cell>
          <cell r="S293">
            <v>25.9</v>
          </cell>
          <cell r="T293">
            <v>37466</v>
          </cell>
          <cell r="U293" t="str">
            <v>ГРП</v>
          </cell>
          <cell r="W293" t="str">
            <v>ВЦ, РИР ЮК-10, ПР к ГРП, ГРП ЮК-2, осв.</v>
          </cell>
          <cell r="Y293" t="str">
            <v xml:space="preserve">на забое ЭЦН-50/1550+103шт.60мм НКТ+кабель </v>
          </cell>
          <cell r="AD293">
            <v>37413</v>
          </cell>
          <cell r="AE293">
            <v>37427</v>
          </cell>
          <cell r="AF293">
            <v>14</v>
          </cell>
        </row>
        <row r="294">
          <cell r="B294">
            <v>5241</v>
          </cell>
          <cell r="C294">
            <v>134</v>
          </cell>
          <cell r="D294">
            <v>6</v>
          </cell>
          <cell r="E294">
            <v>60</v>
          </cell>
          <cell r="F294" t="str">
            <v>УПНПиКРС</v>
          </cell>
          <cell r="G294">
            <v>258</v>
          </cell>
          <cell r="H294" t="str">
            <v>ЭЦН</v>
          </cell>
          <cell r="I294" t="str">
            <v>бд</v>
          </cell>
          <cell r="J294">
            <v>34547</v>
          </cell>
          <cell r="K294">
            <v>21</v>
          </cell>
          <cell r="L294">
            <v>0.2</v>
          </cell>
          <cell r="M294">
            <v>99</v>
          </cell>
          <cell r="N294">
            <v>50</v>
          </cell>
          <cell r="O294">
            <v>30</v>
          </cell>
          <cell r="P294">
            <v>26.5</v>
          </cell>
          <cell r="Q294">
            <v>50</v>
          </cell>
          <cell r="R294">
            <v>30</v>
          </cell>
          <cell r="S294">
            <v>25.9</v>
          </cell>
          <cell r="T294">
            <v>37465</v>
          </cell>
          <cell r="U294" t="str">
            <v>ГРП</v>
          </cell>
          <cell r="V294">
            <v>2</v>
          </cell>
          <cell r="W294" t="str">
            <v xml:space="preserve">ВЦ, ГИС-2 ( источ. обвод.), при подтверждении воды и герм. э/колонны  </v>
          </cell>
          <cell r="X294" t="str">
            <v>ЭП выполнен, ЭЦН с КРБК на забое</v>
          </cell>
        </row>
        <row r="295">
          <cell r="AD295">
            <v>37468</v>
          </cell>
          <cell r="AE295">
            <v>37509</v>
          </cell>
          <cell r="AF295">
            <v>41</v>
          </cell>
        </row>
        <row r="296">
          <cell r="B296">
            <v>11029</v>
          </cell>
          <cell r="C296" t="str">
            <v>97б</v>
          </cell>
          <cell r="D296">
            <v>3</v>
          </cell>
          <cell r="F296" t="str">
            <v>УПНПиКРС</v>
          </cell>
          <cell r="H296" t="str">
            <v>ЭЦН</v>
          </cell>
          <cell r="I296" t="str">
            <v>бд</v>
          </cell>
          <cell r="N296">
            <v>45</v>
          </cell>
          <cell r="O296">
            <v>5.9</v>
          </cell>
          <cell r="P296">
            <v>84</v>
          </cell>
          <cell r="Q296">
            <v>45</v>
          </cell>
          <cell r="R296">
            <v>5.9</v>
          </cell>
          <cell r="S296">
            <v>83.8</v>
          </cell>
          <cell r="T296">
            <v>37522</v>
          </cell>
          <cell r="U296" t="str">
            <v>ЛА</v>
          </cell>
          <cell r="W296" t="str">
            <v>ЛА, сп.воронки (ГДИ-ЦДНГ)</v>
          </cell>
          <cell r="AD296">
            <v>37461</v>
          </cell>
          <cell r="AE296">
            <v>37517</v>
          </cell>
          <cell r="AF296">
            <v>56</v>
          </cell>
        </row>
        <row r="297">
          <cell r="B297">
            <v>5240</v>
          </cell>
          <cell r="C297">
            <v>134</v>
          </cell>
          <cell r="D297">
            <v>21</v>
          </cell>
          <cell r="F297" t="str">
            <v>УПНПиКРС</v>
          </cell>
          <cell r="H297" t="str">
            <v>ЭЦН</v>
          </cell>
          <cell r="I297" t="str">
            <v>конс.</v>
          </cell>
          <cell r="N297">
            <v>34</v>
          </cell>
          <cell r="O297">
            <v>15.5</v>
          </cell>
          <cell r="P297">
            <v>44</v>
          </cell>
          <cell r="Q297">
            <v>34</v>
          </cell>
          <cell r="R297">
            <v>15.5</v>
          </cell>
          <cell r="S297">
            <v>43.7</v>
          </cell>
          <cell r="T297">
            <v>37516</v>
          </cell>
          <cell r="U297" t="str">
            <v>ГРП</v>
          </cell>
          <cell r="W297" t="str">
            <v>ВЦ, РИР ЮК-10, ПР к ГРП, ГРП ЮК-2, осв.</v>
          </cell>
        </row>
        <row r="298">
          <cell r="B298">
            <v>5614</v>
          </cell>
          <cell r="C298">
            <v>116</v>
          </cell>
          <cell r="D298">
            <v>4</v>
          </cell>
          <cell r="F298" t="str">
            <v>УПНПиКРС</v>
          </cell>
          <cell r="H298" t="str">
            <v>нагнет.</v>
          </cell>
          <cell r="I298" t="str">
            <v>бд</v>
          </cell>
          <cell r="N298">
            <v>120</v>
          </cell>
          <cell r="Q298">
            <v>120</v>
          </cell>
          <cell r="T298" t="e">
            <v>#REF!</v>
          </cell>
          <cell r="U298" t="str">
            <v>ЛА</v>
          </cell>
          <cell r="W298" t="str">
            <v>ЛА, пуск под закачку</v>
          </cell>
        </row>
        <row r="303">
          <cell r="W303" t="str">
            <v>Отложенные:</v>
          </cell>
          <cell r="Y303" t="str">
            <v>Полёт НКТ и НГН-44</v>
          </cell>
          <cell r="AF303">
            <v>30</v>
          </cell>
          <cell r="AG303">
            <v>-51</v>
          </cell>
          <cell r="AH303">
            <v>-70</v>
          </cell>
        </row>
        <row r="304">
          <cell r="B304">
            <v>2612</v>
          </cell>
          <cell r="C304" t="str">
            <v>157б</v>
          </cell>
          <cell r="F304" t="str">
            <v>УПНПиКРС</v>
          </cell>
          <cell r="G304">
            <v>260</v>
          </cell>
          <cell r="H304" t="str">
            <v>ШГН</v>
          </cell>
          <cell r="I304" t="str">
            <v>бд</v>
          </cell>
          <cell r="J304">
            <v>36112</v>
          </cell>
          <cell r="K304">
            <v>3</v>
          </cell>
          <cell r="L304">
            <v>2.2999999999999998</v>
          </cell>
          <cell r="M304">
            <v>5</v>
          </cell>
          <cell r="N304">
            <v>10</v>
          </cell>
          <cell r="O304">
            <v>7.3</v>
          </cell>
          <cell r="P304">
            <v>10</v>
          </cell>
          <cell r="Q304">
            <v>10</v>
          </cell>
          <cell r="R304">
            <v>7.3</v>
          </cell>
          <cell r="S304">
            <v>9.9</v>
          </cell>
          <cell r="T304">
            <v>7</v>
          </cell>
          <cell r="U304" t="str">
            <v>ОПЗ</v>
          </cell>
          <cell r="W304" t="str">
            <v>Л.А. УГИС. ОПЗ НТПН.( ГРП 2631,2611) ГДИ</v>
          </cell>
          <cell r="Y304" t="str">
            <v>ОЦ</v>
          </cell>
        </row>
        <row r="305">
          <cell r="B305">
            <v>2669</v>
          </cell>
          <cell r="C305">
            <v>160</v>
          </cell>
          <cell r="H305" t="str">
            <v>ШГН</v>
          </cell>
          <cell r="I305" t="str">
            <v>бд</v>
          </cell>
          <cell r="J305">
            <v>33020</v>
          </cell>
          <cell r="N305">
            <v>15</v>
          </cell>
          <cell r="O305">
            <v>10</v>
          </cell>
          <cell r="P305">
            <v>18</v>
          </cell>
          <cell r="Q305">
            <v>15</v>
          </cell>
          <cell r="R305">
            <v>10</v>
          </cell>
          <cell r="S305">
            <v>17.7</v>
          </cell>
          <cell r="U305" t="str">
            <v>ГРП</v>
          </cell>
          <cell r="W305" t="str">
            <v>ВЦ. ИР ЮК-11, ДП ЮК-10 ГРП</v>
          </cell>
          <cell r="Y305" t="str">
            <v>Высокая обводненность</v>
          </cell>
        </row>
        <row r="306">
          <cell r="B306">
            <v>2670</v>
          </cell>
          <cell r="C306">
            <v>160</v>
          </cell>
          <cell r="H306" t="str">
            <v>ШГН</v>
          </cell>
          <cell r="I306" t="str">
            <v>конс.</v>
          </cell>
          <cell r="J306">
            <v>34274</v>
          </cell>
          <cell r="N306">
            <v>15</v>
          </cell>
          <cell r="O306">
            <v>4</v>
          </cell>
          <cell r="P306">
            <v>67</v>
          </cell>
          <cell r="Q306">
            <v>15</v>
          </cell>
          <cell r="R306">
            <v>4</v>
          </cell>
          <cell r="S306">
            <v>67.099999999999994</v>
          </cell>
          <cell r="U306" t="str">
            <v>ОПЗ</v>
          </cell>
          <cell r="W306" t="str">
            <v>ВЦ. ОПЗ НТПН ГДИ</v>
          </cell>
          <cell r="Y306" t="str">
            <v>ОЦ</v>
          </cell>
        </row>
        <row r="307">
          <cell r="B307">
            <v>2671</v>
          </cell>
          <cell r="C307">
            <v>160</v>
          </cell>
          <cell r="H307" t="str">
            <v>ШГН</v>
          </cell>
          <cell r="I307" t="str">
            <v>конс.</v>
          </cell>
          <cell r="J307">
            <v>33178</v>
          </cell>
          <cell r="N307">
            <v>10</v>
          </cell>
          <cell r="O307">
            <v>4</v>
          </cell>
          <cell r="P307">
            <v>51</v>
          </cell>
          <cell r="Q307">
            <v>10</v>
          </cell>
          <cell r="R307">
            <v>4</v>
          </cell>
          <cell r="S307">
            <v>50.6</v>
          </cell>
          <cell r="U307" t="str">
            <v>ОПЗ</v>
          </cell>
          <cell r="W307" t="str">
            <v>ВЦ. ОПЗ НТПН ГДИ</v>
          </cell>
          <cell r="Y307" t="str">
            <v>Клин</v>
          </cell>
        </row>
        <row r="308">
          <cell r="B308">
            <v>2672</v>
          </cell>
          <cell r="C308">
            <v>160</v>
          </cell>
          <cell r="H308" t="str">
            <v>ШГН</v>
          </cell>
          <cell r="I308" t="str">
            <v>бд</v>
          </cell>
          <cell r="J308">
            <v>36659</v>
          </cell>
          <cell r="N308">
            <v>5</v>
          </cell>
          <cell r="O308">
            <v>2</v>
          </cell>
          <cell r="P308">
            <v>50</v>
          </cell>
          <cell r="Q308">
            <v>5</v>
          </cell>
          <cell r="R308">
            <v>2</v>
          </cell>
          <cell r="S308">
            <v>50.6</v>
          </cell>
          <cell r="U308" t="str">
            <v>ВЦ</v>
          </cell>
          <cell r="W308" t="str">
            <v>ВЦ. ГДИ. Ревизия НН</v>
          </cell>
          <cell r="Y308" t="str">
            <v>+4</v>
          </cell>
          <cell r="Z308">
            <v>2801</v>
          </cell>
          <cell r="AA308">
            <v>73</v>
          </cell>
          <cell r="AB308">
            <v>36789</v>
          </cell>
          <cell r="AF308">
            <v>25</v>
          </cell>
        </row>
        <row r="309">
          <cell r="B309">
            <v>2681</v>
          </cell>
          <cell r="C309" t="str">
            <v>145б</v>
          </cell>
          <cell r="F309" t="str">
            <v>УПНПиКРС</v>
          </cell>
          <cell r="G309">
            <v>255</v>
          </cell>
          <cell r="H309" t="str">
            <v>ШГН</v>
          </cell>
          <cell r="I309" t="str">
            <v>бд</v>
          </cell>
          <cell r="K309">
            <v>6</v>
          </cell>
          <cell r="L309">
            <v>4</v>
          </cell>
          <cell r="M309">
            <v>18</v>
          </cell>
          <cell r="N309">
            <v>8</v>
          </cell>
          <cell r="O309">
            <v>6</v>
          </cell>
          <cell r="P309">
            <v>8</v>
          </cell>
          <cell r="Q309">
            <v>8</v>
          </cell>
          <cell r="R309">
            <v>6</v>
          </cell>
          <cell r="S309">
            <v>7.4</v>
          </cell>
          <cell r="U309" t="str">
            <v>ВВ</v>
          </cell>
          <cell r="W309" t="str">
            <v>ВЦ. ПП ДН. Ревизия ШГН</v>
          </cell>
          <cell r="Y309" t="str">
            <v>Полет НКТ</v>
          </cell>
        </row>
        <row r="310">
          <cell r="B310">
            <v>2687</v>
          </cell>
          <cell r="C310">
            <v>160</v>
          </cell>
          <cell r="H310" t="str">
            <v>фон</v>
          </cell>
          <cell r="I310" t="str">
            <v>бд</v>
          </cell>
          <cell r="J310">
            <v>32843</v>
          </cell>
          <cell r="N310">
            <v>15</v>
          </cell>
          <cell r="O310">
            <v>10</v>
          </cell>
          <cell r="P310">
            <v>18</v>
          </cell>
          <cell r="Q310">
            <v>15</v>
          </cell>
          <cell r="R310">
            <v>10</v>
          </cell>
          <cell r="S310">
            <v>17.7</v>
          </cell>
          <cell r="U310" t="str">
            <v>ГРП</v>
          </cell>
          <cell r="W310" t="str">
            <v>ЛА. ГРП</v>
          </cell>
          <cell r="Y310" t="str">
            <v>ОЦ</v>
          </cell>
        </row>
        <row r="311">
          <cell r="B311">
            <v>2689</v>
          </cell>
          <cell r="C311">
            <v>160</v>
          </cell>
          <cell r="H311" t="str">
            <v>ШГН</v>
          </cell>
          <cell r="I311" t="str">
            <v>конс.</v>
          </cell>
          <cell r="J311">
            <v>33239</v>
          </cell>
          <cell r="N311">
            <v>10</v>
          </cell>
          <cell r="O311">
            <v>3</v>
          </cell>
          <cell r="P311">
            <v>63</v>
          </cell>
          <cell r="Q311">
            <v>10</v>
          </cell>
          <cell r="R311">
            <v>3</v>
          </cell>
          <cell r="S311">
            <v>63</v>
          </cell>
          <cell r="U311" t="str">
            <v>ОПЗ</v>
          </cell>
          <cell r="W311" t="str">
            <v>ВЦ. ОПЗ НТПН УГИС. ГДИ</v>
          </cell>
          <cell r="Y311" t="str">
            <v>Полет НКТ</v>
          </cell>
        </row>
        <row r="312">
          <cell r="B312">
            <v>2690</v>
          </cell>
          <cell r="C312">
            <v>160</v>
          </cell>
          <cell r="H312" t="str">
            <v>ШГН</v>
          </cell>
          <cell r="I312" t="str">
            <v>бд</v>
          </cell>
          <cell r="J312">
            <v>32825</v>
          </cell>
          <cell r="N312">
            <v>12</v>
          </cell>
          <cell r="O312">
            <v>7</v>
          </cell>
          <cell r="P312">
            <v>28</v>
          </cell>
          <cell r="Q312">
            <v>12</v>
          </cell>
          <cell r="R312">
            <v>7</v>
          </cell>
          <cell r="S312">
            <v>28</v>
          </cell>
          <cell r="U312" t="str">
            <v>ЛА</v>
          </cell>
          <cell r="W312" t="str">
            <v>ЛА. ИДН.сп.НН</v>
          </cell>
          <cell r="Y312" t="str">
            <v>+35</v>
          </cell>
          <cell r="Z312">
            <v>2832</v>
          </cell>
          <cell r="AA312">
            <v>73</v>
          </cell>
          <cell r="AB312">
            <v>34194</v>
          </cell>
          <cell r="AF312">
            <v>25</v>
          </cell>
        </row>
        <row r="313">
          <cell r="B313">
            <v>2702</v>
          </cell>
          <cell r="C313" t="str">
            <v>145б</v>
          </cell>
          <cell r="F313" t="str">
            <v>УПНПиКРС</v>
          </cell>
          <cell r="G313">
            <v>275</v>
          </cell>
          <cell r="H313" t="str">
            <v>ЭЦН</v>
          </cell>
          <cell r="I313" t="str">
            <v>бд</v>
          </cell>
          <cell r="K313">
            <v>45</v>
          </cell>
          <cell r="L313">
            <v>2.2000000000000002</v>
          </cell>
          <cell r="M313">
            <v>94</v>
          </cell>
          <cell r="N313">
            <v>50</v>
          </cell>
          <cell r="O313">
            <v>4</v>
          </cell>
          <cell r="P313">
            <v>90.1</v>
          </cell>
          <cell r="Q313">
            <v>50</v>
          </cell>
          <cell r="R313">
            <v>4</v>
          </cell>
          <cell r="S313">
            <v>90.1</v>
          </cell>
          <cell r="U313" t="str">
            <v>ВЦ</v>
          </cell>
          <cell r="W313" t="str">
            <v>ВЦ. ГДИ. УГИС. Спуск ЭЦН</v>
          </cell>
          <cell r="Y313" t="str">
            <v>ОЦ. Клин</v>
          </cell>
        </row>
        <row r="314">
          <cell r="B314">
            <v>2706</v>
          </cell>
          <cell r="C314">
            <v>160</v>
          </cell>
          <cell r="H314" t="str">
            <v>ШГН</v>
          </cell>
          <cell r="I314" t="str">
            <v>бд</v>
          </cell>
          <cell r="J314">
            <v>36869</v>
          </cell>
          <cell r="N314">
            <v>6</v>
          </cell>
          <cell r="O314">
            <v>4</v>
          </cell>
          <cell r="P314">
            <v>19</v>
          </cell>
          <cell r="Q314">
            <v>6</v>
          </cell>
          <cell r="R314">
            <v>4</v>
          </cell>
          <cell r="S314">
            <v>17.7</v>
          </cell>
          <cell r="U314" t="str">
            <v>ВЦ</v>
          </cell>
          <cell r="W314" t="str">
            <v>ВЦ. Рев.НН</v>
          </cell>
          <cell r="Y314" t="str">
            <v>ОЦ</v>
          </cell>
        </row>
        <row r="315">
          <cell r="B315">
            <v>2707</v>
          </cell>
          <cell r="C315">
            <v>160</v>
          </cell>
          <cell r="H315" t="str">
            <v>ШГН</v>
          </cell>
          <cell r="I315" t="str">
            <v>конс.</v>
          </cell>
          <cell r="J315">
            <v>32843</v>
          </cell>
          <cell r="N315">
            <v>15</v>
          </cell>
          <cell r="O315">
            <v>4</v>
          </cell>
          <cell r="P315">
            <v>67</v>
          </cell>
          <cell r="Q315">
            <v>15</v>
          </cell>
          <cell r="R315">
            <v>4</v>
          </cell>
          <cell r="S315">
            <v>67.099999999999994</v>
          </cell>
          <cell r="U315" t="str">
            <v>ОПЗ</v>
          </cell>
          <cell r="W315" t="str">
            <v>ВЦ. ОПЗ НТПН ГДИ</v>
          </cell>
          <cell r="Y315" t="str">
            <v>ОЦ. Нет подачи</v>
          </cell>
        </row>
        <row r="316">
          <cell r="B316">
            <v>2708</v>
          </cell>
          <cell r="C316">
            <v>160</v>
          </cell>
          <cell r="H316" t="str">
            <v>ШГН</v>
          </cell>
          <cell r="I316" t="str">
            <v>бд</v>
          </cell>
          <cell r="J316">
            <v>36856</v>
          </cell>
          <cell r="N316">
            <v>6</v>
          </cell>
          <cell r="O316">
            <v>4</v>
          </cell>
          <cell r="P316">
            <v>18</v>
          </cell>
          <cell r="Q316">
            <v>6</v>
          </cell>
          <cell r="R316">
            <v>4</v>
          </cell>
          <cell r="S316">
            <v>17.7</v>
          </cell>
          <cell r="U316" t="str">
            <v>ОПЗ</v>
          </cell>
          <cell r="W316" t="str">
            <v>ВЦ. ИДН. НН</v>
          </cell>
          <cell r="AF316">
            <v>21</v>
          </cell>
        </row>
        <row r="317">
          <cell r="B317">
            <v>2729</v>
          </cell>
          <cell r="C317">
            <v>144</v>
          </cell>
          <cell r="E317">
            <v>1</v>
          </cell>
          <cell r="F317" t="str">
            <v>УПНПиКРС</v>
          </cell>
          <cell r="G317">
            <v>295</v>
          </cell>
          <cell r="H317" t="str">
            <v>нагнет.</v>
          </cell>
          <cell r="I317" t="str">
            <v>конс.</v>
          </cell>
          <cell r="J317">
            <v>33879</v>
          </cell>
          <cell r="N317">
            <v>100</v>
          </cell>
          <cell r="Q317">
            <v>100</v>
          </cell>
          <cell r="T317">
            <v>3</v>
          </cell>
          <cell r="U317" t="str">
            <v>нг</v>
          </cell>
          <cell r="W317" t="str">
            <v>Увеличение приём. спуск пакера</v>
          </cell>
          <cell r="Y317" t="str">
            <v>+22</v>
          </cell>
          <cell r="Z317">
            <v>2998</v>
          </cell>
          <cell r="AA317">
            <v>73</v>
          </cell>
          <cell r="AB317">
            <v>33878</v>
          </cell>
          <cell r="AF317">
            <v>21</v>
          </cell>
          <cell r="AG317">
            <v>-42</v>
          </cell>
          <cell r="AH317">
            <v>-99</v>
          </cell>
        </row>
        <row r="318">
          <cell r="B318">
            <v>2757</v>
          </cell>
          <cell r="C318">
            <v>144</v>
          </cell>
          <cell r="E318">
            <v>58</v>
          </cell>
          <cell r="F318" t="str">
            <v>УПНПиКРС</v>
          </cell>
          <cell r="G318">
            <v>270</v>
          </cell>
          <cell r="H318" t="str">
            <v>ШГН</v>
          </cell>
          <cell r="I318" t="str">
            <v>действ.</v>
          </cell>
          <cell r="K318">
            <v>0.8</v>
          </cell>
          <cell r="L318">
            <v>0.1</v>
          </cell>
          <cell r="M318">
            <v>91</v>
          </cell>
          <cell r="N318">
            <v>15</v>
          </cell>
          <cell r="O318">
            <v>6.1</v>
          </cell>
          <cell r="P318">
            <v>50.5</v>
          </cell>
          <cell r="Q318">
            <v>14.2</v>
          </cell>
          <cell r="R318">
            <v>6</v>
          </cell>
          <cell r="S318">
            <v>47.8</v>
          </cell>
          <cell r="T318">
            <v>7</v>
          </cell>
          <cell r="U318" t="str">
            <v>ОПЗ</v>
          </cell>
          <cell r="W318" t="str">
            <v>ГДИ. ПП (п."а"). ОПЗ КСПЭО. ГДИ</v>
          </cell>
          <cell r="X318" t="str">
            <v>Пока отложить</v>
          </cell>
          <cell r="Y318" t="str">
            <v>перкрыт ИП-16м, откр.- 8 м</v>
          </cell>
          <cell r="Z318">
            <v>2830</v>
          </cell>
          <cell r="AA318">
            <v>73</v>
          </cell>
          <cell r="AF318">
            <v>22</v>
          </cell>
          <cell r="AG318">
            <v>-69</v>
          </cell>
          <cell r="AH318">
            <v>-140</v>
          </cell>
        </row>
        <row r="319">
          <cell r="B319">
            <v>2758</v>
          </cell>
          <cell r="C319">
            <v>144</v>
          </cell>
          <cell r="E319">
            <v>55</v>
          </cell>
          <cell r="F319" t="str">
            <v>УПНПиКРС</v>
          </cell>
          <cell r="G319">
            <v>270</v>
          </cell>
          <cell r="H319" t="str">
            <v>ШГН</v>
          </cell>
          <cell r="I319" t="str">
            <v>конс.</v>
          </cell>
          <cell r="J319">
            <v>34425</v>
          </cell>
          <cell r="K319">
            <v>11</v>
          </cell>
          <cell r="L319">
            <v>0.7</v>
          </cell>
          <cell r="M319">
            <v>92</v>
          </cell>
          <cell r="N319">
            <v>20</v>
          </cell>
          <cell r="O319">
            <v>9.8000000000000007</v>
          </cell>
          <cell r="P319">
            <v>40</v>
          </cell>
          <cell r="Q319">
            <v>20</v>
          </cell>
          <cell r="R319">
            <v>9.8000000000000007</v>
          </cell>
          <cell r="S319">
            <v>39.5</v>
          </cell>
          <cell r="T319">
            <v>7</v>
          </cell>
          <cell r="U319" t="str">
            <v>ГРП</v>
          </cell>
          <cell r="W319" t="str">
            <v>РИР низа ЮК-10. ГРП</v>
          </cell>
          <cell r="X319" t="str">
            <v>Необходима СК</v>
          </cell>
          <cell r="Y319" t="str">
            <v>На забое НКТ (КРС-97 и 00)</v>
          </cell>
          <cell r="AF319">
            <v>38</v>
          </cell>
          <cell r="AG319">
            <v>-70</v>
          </cell>
          <cell r="AH319">
            <v>-126</v>
          </cell>
        </row>
        <row r="320">
          <cell r="B320">
            <v>2788</v>
          </cell>
          <cell r="C320">
            <v>144</v>
          </cell>
          <cell r="E320">
            <v>57</v>
          </cell>
          <cell r="F320" t="str">
            <v>УПНПиКРС</v>
          </cell>
          <cell r="G320">
            <v>270</v>
          </cell>
          <cell r="H320" t="str">
            <v>ШГН</v>
          </cell>
          <cell r="I320" t="str">
            <v>бд</v>
          </cell>
          <cell r="J320">
            <v>36630</v>
          </cell>
          <cell r="K320">
            <v>2</v>
          </cell>
          <cell r="L320">
            <v>1.4</v>
          </cell>
          <cell r="M320">
            <v>15</v>
          </cell>
          <cell r="N320">
            <v>18</v>
          </cell>
          <cell r="O320">
            <v>10</v>
          </cell>
          <cell r="P320">
            <v>31.5</v>
          </cell>
          <cell r="Q320">
            <v>18</v>
          </cell>
          <cell r="R320">
            <v>10</v>
          </cell>
          <cell r="S320">
            <v>31.4</v>
          </cell>
          <cell r="T320">
            <v>7</v>
          </cell>
          <cell r="W320" t="str">
            <v>ЛА. ПР ГРП. ГРП</v>
          </cell>
          <cell r="X320" t="str">
            <v>КРС-2000 не завершен</v>
          </cell>
          <cell r="Y320" t="str">
            <v>Прихват печати (ПРС)</v>
          </cell>
          <cell r="AF320">
            <v>22</v>
          </cell>
          <cell r="AG320">
            <v>-32</v>
          </cell>
          <cell r="AH320">
            <v>-42</v>
          </cell>
        </row>
        <row r="321">
          <cell r="B321">
            <v>2789</v>
          </cell>
          <cell r="C321">
            <v>144</v>
          </cell>
          <cell r="E321">
            <v>58</v>
          </cell>
          <cell r="F321" t="str">
            <v>УПНПиКРС</v>
          </cell>
          <cell r="G321">
            <v>285</v>
          </cell>
          <cell r="H321" t="str">
            <v>ШГН</v>
          </cell>
          <cell r="I321" t="str">
            <v>бд</v>
          </cell>
          <cell r="J321">
            <v>34246</v>
          </cell>
          <cell r="N321">
            <v>6</v>
          </cell>
          <cell r="O321">
            <v>4.5</v>
          </cell>
          <cell r="P321">
            <v>8</v>
          </cell>
          <cell r="Q321">
            <v>6</v>
          </cell>
          <cell r="R321">
            <v>4.5</v>
          </cell>
          <cell r="S321">
            <v>7.4</v>
          </cell>
          <cell r="T321">
            <v>7</v>
          </cell>
          <cell r="U321" t="str">
            <v>ЛА</v>
          </cell>
          <cell r="W321" t="str">
            <v>Ликв.прихвата. ПП на депресии</v>
          </cell>
          <cell r="Y321" t="str">
            <v>+44</v>
          </cell>
          <cell r="Z321">
            <v>2860</v>
          </cell>
          <cell r="AA321">
            <v>73</v>
          </cell>
          <cell r="AF321">
            <v>17</v>
          </cell>
        </row>
        <row r="322">
          <cell r="B322">
            <v>2790</v>
          </cell>
          <cell r="C322">
            <v>144</v>
          </cell>
          <cell r="F322" t="str">
            <v>УПНПиКРС</v>
          </cell>
          <cell r="G322">
            <v>295</v>
          </cell>
          <cell r="H322" t="str">
            <v>нагнет.</v>
          </cell>
          <cell r="I322" t="str">
            <v>действ.</v>
          </cell>
          <cell r="N322">
            <v>150</v>
          </cell>
          <cell r="Q322">
            <v>150</v>
          </cell>
          <cell r="U322" t="str">
            <v>нг</v>
          </cell>
          <cell r="W322" t="str">
            <v>ГИС-3. ВПП ГАЛКА</v>
          </cell>
          <cell r="X322" t="str">
            <v>ГИС-3 уточнить отдельно</v>
          </cell>
          <cell r="Y322" t="str">
            <v>Прихват печати (ПРС)</v>
          </cell>
          <cell r="AF322">
            <v>26</v>
          </cell>
          <cell r="AG322">
            <v>-119</v>
          </cell>
          <cell r="AH322">
            <v>-182</v>
          </cell>
        </row>
        <row r="323">
          <cell r="B323">
            <v>2792</v>
          </cell>
          <cell r="C323">
            <v>144</v>
          </cell>
          <cell r="E323">
            <v>1</v>
          </cell>
          <cell r="F323" t="str">
            <v>УПНПиКРС</v>
          </cell>
          <cell r="G323">
            <v>285</v>
          </cell>
          <cell r="H323" t="str">
            <v>ШГН</v>
          </cell>
          <cell r="I323" t="str">
            <v>действ.</v>
          </cell>
          <cell r="J323">
            <v>0</v>
          </cell>
          <cell r="K323">
            <v>14</v>
          </cell>
          <cell r="L323">
            <v>9.1</v>
          </cell>
          <cell r="M323">
            <v>20</v>
          </cell>
          <cell r="N323">
            <v>40</v>
          </cell>
          <cell r="O323">
            <v>26.1</v>
          </cell>
          <cell r="P323">
            <v>20</v>
          </cell>
          <cell r="Q323">
            <v>26</v>
          </cell>
          <cell r="R323">
            <v>17</v>
          </cell>
          <cell r="S323">
            <v>19.3</v>
          </cell>
          <cell r="T323">
            <v>7</v>
          </cell>
          <cell r="U323" t="str">
            <v>ГРП</v>
          </cell>
          <cell r="W323" t="str">
            <v>ПР ГРП. ГРП ЮК-10</v>
          </cell>
          <cell r="X323" t="str">
            <v>ГРП повторный</v>
          </cell>
          <cell r="AF323">
            <v>10</v>
          </cell>
        </row>
        <row r="324">
          <cell r="B324">
            <v>2802</v>
          </cell>
          <cell r="C324" t="str">
            <v>166б</v>
          </cell>
          <cell r="E324">
            <v>71</v>
          </cell>
          <cell r="F324" t="str">
            <v>ЗАО "УПКРС"</v>
          </cell>
          <cell r="G324">
            <v>290</v>
          </cell>
          <cell r="H324" t="str">
            <v>нагнет.</v>
          </cell>
          <cell r="I324" t="str">
            <v>бд</v>
          </cell>
          <cell r="J324">
            <v>36725</v>
          </cell>
          <cell r="N324">
            <v>100</v>
          </cell>
          <cell r="Q324">
            <v>100</v>
          </cell>
          <cell r="T324">
            <v>3</v>
          </cell>
          <cell r="U324" t="str">
            <v>нг</v>
          </cell>
          <cell r="V324">
            <v>1</v>
          </cell>
          <cell r="W324" t="str">
            <v>Ревизия и привязка пакера, каверномер.</v>
          </cell>
          <cell r="Y324" t="str">
            <v>+18</v>
          </cell>
          <cell r="Z324">
            <v>3010</v>
          </cell>
          <cell r="AA324">
            <v>73</v>
          </cell>
          <cell r="AB324">
            <v>34820</v>
          </cell>
          <cell r="AF324">
            <v>27</v>
          </cell>
          <cell r="AG324">
            <v>0</v>
          </cell>
          <cell r="AH324">
            <v>0</v>
          </cell>
        </row>
        <row r="325">
          <cell r="B325">
            <v>2818</v>
          </cell>
          <cell r="C325">
            <v>144</v>
          </cell>
          <cell r="E325">
            <v>56</v>
          </cell>
          <cell r="F325" t="str">
            <v>УПНПиКРС</v>
          </cell>
          <cell r="G325">
            <v>255</v>
          </cell>
          <cell r="H325" t="str">
            <v>ШГН</v>
          </cell>
          <cell r="I325" t="str">
            <v>конс.</v>
          </cell>
          <cell r="J325">
            <v>33239</v>
          </cell>
          <cell r="N325">
            <v>8</v>
          </cell>
          <cell r="O325">
            <v>4</v>
          </cell>
          <cell r="P325">
            <v>39</v>
          </cell>
          <cell r="Q325">
            <v>8</v>
          </cell>
          <cell r="R325">
            <v>4</v>
          </cell>
          <cell r="S325">
            <v>38.299999999999997</v>
          </cell>
          <cell r="U325" t="str">
            <v>ОПЗ</v>
          </cell>
          <cell r="W325" t="str">
            <v>ВЦ. ГИС-2. ПП. ОПЗ. КСПЭО</v>
          </cell>
          <cell r="X325" t="str">
            <v>Возможна РИР ЗКЦ</v>
          </cell>
          <cell r="Y325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325">
            <v>37</v>
          </cell>
        </row>
        <row r="326">
          <cell r="B326">
            <v>2836</v>
          </cell>
          <cell r="C326">
            <v>125</v>
          </cell>
          <cell r="H326" t="str">
            <v>ШГН</v>
          </cell>
          <cell r="I326" t="str">
            <v>конс.</v>
          </cell>
          <cell r="J326">
            <v>35684</v>
          </cell>
          <cell r="K326">
            <v>4</v>
          </cell>
          <cell r="L326">
            <v>1.1000000000000001</v>
          </cell>
          <cell r="M326">
            <v>66</v>
          </cell>
          <cell r="N326">
            <v>20</v>
          </cell>
          <cell r="O326">
            <v>8.1999999999999993</v>
          </cell>
          <cell r="P326">
            <v>50</v>
          </cell>
          <cell r="Q326">
            <v>20</v>
          </cell>
          <cell r="R326">
            <v>8.1999999999999993</v>
          </cell>
          <cell r="S326">
            <v>49.4</v>
          </cell>
          <cell r="T326">
            <v>37270</v>
          </cell>
          <cell r="U326" t="str">
            <v>ГРП</v>
          </cell>
          <cell r="W326" t="str">
            <v>Ликвидация аварии, ИР ЮК-10, пр и ГРП ЮК-2-5</v>
          </cell>
          <cell r="AF326">
            <v>25</v>
          </cell>
        </row>
        <row r="327">
          <cell r="B327">
            <v>2848</v>
          </cell>
          <cell r="C327">
            <v>129</v>
          </cell>
          <cell r="E327">
            <v>1</v>
          </cell>
          <cell r="F327" t="str">
            <v>ЗАО "УПКРС"</v>
          </cell>
          <cell r="G327">
            <v>260</v>
          </cell>
          <cell r="H327" t="str">
            <v>ЭЦН</v>
          </cell>
          <cell r="K327">
            <v>29</v>
          </cell>
          <cell r="L327">
            <v>0.2</v>
          </cell>
          <cell r="M327">
            <v>99</v>
          </cell>
          <cell r="N327">
            <v>30</v>
          </cell>
          <cell r="O327">
            <v>3.5</v>
          </cell>
          <cell r="P327">
            <v>85.5</v>
          </cell>
          <cell r="Q327">
            <v>30</v>
          </cell>
          <cell r="R327">
            <v>3.5</v>
          </cell>
          <cell r="S327">
            <v>85.6</v>
          </cell>
          <cell r="T327">
            <v>7</v>
          </cell>
          <cell r="U327" t="str">
            <v>ОПЗ</v>
          </cell>
          <cell r="W327" t="str">
            <v>ВЦ. ПП (ОПЗ УГИС)</v>
          </cell>
          <cell r="AF327">
            <v>36</v>
          </cell>
          <cell r="AG327">
            <v>452448</v>
          </cell>
          <cell r="AH327">
            <v>1508160</v>
          </cell>
        </row>
        <row r="328">
          <cell r="B328">
            <v>2849</v>
          </cell>
          <cell r="C328">
            <v>129</v>
          </cell>
          <cell r="E328">
            <v>2</v>
          </cell>
          <cell r="F328" t="str">
            <v>ЗАО "УПКРС"</v>
          </cell>
          <cell r="G328">
            <v>255</v>
          </cell>
          <cell r="H328" t="str">
            <v>ШГН</v>
          </cell>
          <cell r="I328" t="str">
            <v>конс.</v>
          </cell>
          <cell r="J328">
            <v>35705</v>
          </cell>
          <cell r="N328">
            <v>40</v>
          </cell>
          <cell r="O328">
            <v>12</v>
          </cell>
          <cell r="P328">
            <v>63.2</v>
          </cell>
          <cell r="Q328">
            <v>40</v>
          </cell>
          <cell r="R328">
            <v>12</v>
          </cell>
          <cell r="S328">
            <v>63</v>
          </cell>
          <cell r="T328">
            <v>7</v>
          </cell>
          <cell r="U328" t="str">
            <v>ГРП</v>
          </cell>
          <cell r="V328">
            <v>4</v>
          </cell>
          <cell r="W328" t="str">
            <v>ВЦ. ВЗ. ПП ГРП ЮК-10. ГДИ</v>
          </cell>
          <cell r="AF328">
            <v>13</v>
          </cell>
          <cell r="AG328">
            <v>-81</v>
          </cell>
          <cell r="AH328">
            <v>-259</v>
          </cell>
        </row>
        <row r="329">
          <cell r="B329">
            <v>2850</v>
          </cell>
          <cell r="C329">
            <v>129</v>
          </cell>
          <cell r="E329">
            <v>3</v>
          </cell>
          <cell r="F329" t="str">
            <v>ЗАО "УПКРС"</v>
          </cell>
          <cell r="G329">
            <v>230</v>
          </cell>
          <cell r="H329" t="str">
            <v>ШГН</v>
          </cell>
          <cell r="I329" t="str">
            <v>действ.</v>
          </cell>
          <cell r="J329">
            <v>0</v>
          </cell>
          <cell r="K329">
            <v>3</v>
          </cell>
          <cell r="L329">
            <v>1.5</v>
          </cell>
          <cell r="M329">
            <v>40</v>
          </cell>
          <cell r="N329">
            <v>40</v>
          </cell>
          <cell r="O329">
            <v>13</v>
          </cell>
          <cell r="P329">
            <v>60</v>
          </cell>
          <cell r="Q329">
            <v>37</v>
          </cell>
          <cell r="R329">
            <v>11.5</v>
          </cell>
          <cell r="S329">
            <v>61.6</v>
          </cell>
          <cell r="T329">
            <v>7</v>
          </cell>
          <cell r="U329" t="str">
            <v>ГРП</v>
          </cell>
          <cell r="W329" t="str">
            <v>ПР ГРП. ГРП. ЮК-10 ЭЦН-50</v>
          </cell>
          <cell r="X329" t="str">
            <v>Дважды перфорирована</v>
          </cell>
          <cell r="AF329">
            <v>32</v>
          </cell>
        </row>
        <row r="330">
          <cell r="B330">
            <v>2858</v>
          </cell>
          <cell r="C330">
            <v>42</v>
          </cell>
          <cell r="F330" t="str">
            <v>ЗАО "УПКРС"</v>
          </cell>
          <cell r="G330">
            <v>240</v>
          </cell>
          <cell r="H330" t="str">
            <v>ШГН</v>
          </cell>
          <cell r="I330" t="str">
            <v>бд</v>
          </cell>
          <cell r="J330">
            <v>35455</v>
          </cell>
          <cell r="N330">
            <v>12</v>
          </cell>
          <cell r="O330">
            <v>4.9000000000000004</v>
          </cell>
          <cell r="P330">
            <v>50</v>
          </cell>
          <cell r="Q330">
            <v>12</v>
          </cell>
          <cell r="R330">
            <v>4.9000000000000004</v>
          </cell>
          <cell r="S330">
            <v>49.6</v>
          </cell>
          <cell r="T330">
            <v>7</v>
          </cell>
          <cell r="U330" t="str">
            <v>ОПЗ</v>
          </cell>
          <cell r="W330" t="str">
            <v>ВЦ, ПП, ОПЗ НТПН, УГИС</v>
          </cell>
          <cell r="AF330">
            <v>35</v>
          </cell>
          <cell r="AG330">
            <v>-163684</v>
          </cell>
        </row>
        <row r="331">
          <cell r="B331">
            <v>2861</v>
          </cell>
          <cell r="C331">
            <v>127</v>
          </cell>
          <cell r="H331" t="str">
            <v>ШГН</v>
          </cell>
          <cell r="I331" t="str">
            <v>бд</v>
          </cell>
          <cell r="J331">
            <v>37018</v>
          </cell>
          <cell r="K331">
            <v>0</v>
          </cell>
          <cell r="L331">
            <v>0</v>
          </cell>
          <cell r="M331">
            <v>0</v>
          </cell>
          <cell r="N331">
            <v>40</v>
          </cell>
          <cell r="O331">
            <v>6.5</v>
          </cell>
          <cell r="P331">
            <v>80</v>
          </cell>
          <cell r="Q331">
            <v>40</v>
          </cell>
          <cell r="R331">
            <v>6.5</v>
          </cell>
          <cell r="S331">
            <v>79.900000000000006</v>
          </cell>
          <cell r="T331">
            <v>37268</v>
          </cell>
          <cell r="U331" t="str">
            <v>ОПЗ</v>
          </cell>
          <cell r="W331" t="str">
            <v>ВЦ, ГИС(ЗКЦ). Ликв.ЗКЦ ПП через УГИС в кислотной среде</v>
          </cell>
          <cell r="AD331">
            <v>37551</v>
          </cell>
          <cell r="AE331">
            <v>37572</v>
          </cell>
        </row>
        <row r="332">
          <cell r="B332">
            <v>3079</v>
          </cell>
          <cell r="C332">
            <v>51</v>
          </cell>
          <cell r="F332" t="str">
            <v>УПНП</v>
          </cell>
          <cell r="G332">
            <v>265</v>
          </cell>
          <cell r="H332" t="str">
            <v>ЭЦН</v>
          </cell>
          <cell r="I332" t="str">
            <v>конс.</v>
          </cell>
          <cell r="J332">
            <v>33635</v>
          </cell>
          <cell r="K332">
            <v>0</v>
          </cell>
          <cell r="L332">
            <v>0</v>
          </cell>
          <cell r="M332">
            <v>0</v>
          </cell>
          <cell r="N332">
            <v>50</v>
          </cell>
          <cell r="O332">
            <v>11</v>
          </cell>
          <cell r="P332">
            <v>73</v>
          </cell>
          <cell r="Q332">
            <v>50</v>
          </cell>
          <cell r="R332">
            <v>11</v>
          </cell>
          <cell r="S332">
            <v>72.8</v>
          </cell>
          <cell r="U332" t="str">
            <v>ВВ</v>
          </cell>
          <cell r="W332" t="str">
            <v>ВЦ,ВЗ,ДП ЮК-10</v>
          </cell>
          <cell r="AF332">
            <v>21</v>
          </cell>
        </row>
        <row r="333">
          <cell r="AF333">
            <v>29</v>
          </cell>
          <cell r="AG333">
            <v>-18</v>
          </cell>
          <cell r="AH333">
            <v>-112</v>
          </cell>
        </row>
        <row r="334">
          <cell r="B334">
            <v>2866</v>
          </cell>
          <cell r="C334">
            <v>131</v>
          </cell>
          <cell r="E334" t="e">
            <v>#REF!</v>
          </cell>
          <cell r="F334" t="str">
            <v>ЗАО "УПКРС"</v>
          </cell>
          <cell r="G334">
            <v>250</v>
          </cell>
          <cell r="H334" t="str">
            <v>ЭЦН</v>
          </cell>
          <cell r="I334" t="str">
            <v>конс.</v>
          </cell>
          <cell r="J334">
            <v>34883</v>
          </cell>
          <cell r="N334">
            <v>16</v>
          </cell>
          <cell r="O334">
            <v>2.5</v>
          </cell>
          <cell r="P334">
            <v>81</v>
          </cell>
          <cell r="Q334">
            <v>16</v>
          </cell>
          <cell r="R334">
            <v>2.5</v>
          </cell>
          <cell r="S334">
            <v>80.7</v>
          </cell>
          <cell r="T334">
            <v>7</v>
          </cell>
          <cell r="U334" t="str">
            <v>ЛА</v>
          </cell>
          <cell r="W334" t="str">
            <v>ЛА. РИР ЮК-11. ПП. Сваб (УГИС)</v>
          </cell>
          <cell r="AF334">
            <v>50</v>
          </cell>
          <cell r="AG334">
            <v>452088</v>
          </cell>
          <cell r="AH334">
            <v>1506960</v>
          </cell>
        </row>
        <row r="335">
          <cell r="B335">
            <v>2869</v>
          </cell>
          <cell r="C335">
            <v>129</v>
          </cell>
          <cell r="E335" t="e">
            <v>#REF!</v>
          </cell>
          <cell r="F335" t="str">
            <v>ЗАО "УПКРС"</v>
          </cell>
          <cell r="G335">
            <v>255</v>
          </cell>
          <cell r="H335" t="str">
            <v>ЭЦН</v>
          </cell>
          <cell r="I335" t="str">
            <v>конс.</v>
          </cell>
          <cell r="J335">
            <v>34912</v>
          </cell>
          <cell r="N335">
            <v>40</v>
          </cell>
          <cell r="O335">
            <v>12</v>
          </cell>
          <cell r="P335">
            <v>63.3</v>
          </cell>
          <cell r="Q335">
            <v>40</v>
          </cell>
          <cell r="R335">
            <v>12</v>
          </cell>
          <cell r="S335">
            <v>63</v>
          </cell>
          <cell r="T335">
            <v>7</v>
          </cell>
          <cell r="U335" t="str">
            <v>ГРП</v>
          </cell>
          <cell r="V335">
            <v>3</v>
          </cell>
          <cell r="W335" t="str">
            <v>ЛА. РИР ЮК-11. ПП.ГРП</v>
          </cell>
          <cell r="AF335">
            <v>25</v>
          </cell>
        </row>
        <row r="336">
          <cell r="B336">
            <v>2877</v>
          </cell>
          <cell r="C336">
            <v>42</v>
          </cell>
          <cell r="F336" t="str">
            <v>ЗАО "УПКРС"</v>
          </cell>
          <cell r="G336">
            <v>250</v>
          </cell>
          <cell r="H336" t="str">
            <v>ШГН</v>
          </cell>
          <cell r="I336" t="str">
            <v>бд</v>
          </cell>
          <cell r="J336">
            <v>36895</v>
          </cell>
          <cell r="N336">
            <v>30</v>
          </cell>
          <cell r="O336">
            <v>10</v>
          </cell>
          <cell r="P336">
            <v>59</v>
          </cell>
          <cell r="Q336">
            <v>30</v>
          </cell>
          <cell r="R336">
            <v>10</v>
          </cell>
          <cell r="S336">
            <v>58.8</v>
          </cell>
          <cell r="T336">
            <v>7</v>
          </cell>
          <cell r="U336" t="str">
            <v>ГРП</v>
          </cell>
          <cell r="W336" t="str">
            <v>ПР к ГРП, ГРП</v>
          </cell>
          <cell r="AF336">
            <v>30</v>
          </cell>
        </row>
        <row r="337">
          <cell r="B337">
            <v>2878</v>
          </cell>
          <cell r="C337">
            <v>42</v>
          </cell>
          <cell r="F337" t="str">
            <v>ЗАО "УПКРС"</v>
          </cell>
          <cell r="G337">
            <v>260</v>
          </cell>
          <cell r="H337" t="str">
            <v>ШГН</v>
          </cell>
          <cell r="I337" t="str">
            <v>действ.</v>
          </cell>
          <cell r="K337">
            <v>5</v>
          </cell>
          <cell r="L337">
            <v>1.1000000000000001</v>
          </cell>
          <cell r="M337">
            <v>73</v>
          </cell>
          <cell r="N337">
            <v>30</v>
          </cell>
          <cell r="O337">
            <v>10</v>
          </cell>
          <cell r="P337">
            <v>59</v>
          </cell>
          <cell r="Q337">
            <v>25</v>
          </cell>
          <cell r="R337">
            <v>8.9</v>
          </cell>
          <cell r="S337">
            <v>56</v>
          </cell>
          <cell r="T337">
            <v>7</v>
          </cell>
          <cell r="U337" t="str">
            <v>ГРП</v>
          </cell>
          <cell r="W337" t="str">
            <v>ПР к ГРП, ГРП(повторное) (ОПЗ НТПН)</v>
          </cell>
        </row>
        <row r="340">
          <cell r="B340">
            <v>2884</v>
          </cell>
          <cell r="C340">
            <v>131</v>
          </cell>
          <cell r="F340" t="str">
            <v>УПНПиКРС</v>
          </cell>
          <cell r="G340">
            <v>280</v>
          </cell>
          <cell r="H340" t="str">
            <v>ЭЦН</v>
          </cell>
          <cell r="I340" t="str">
            <v>действ.</v>
          </cell>
          <cell r="K340">
            <v>40</v>
          </cell>
          <cell r="L340">
            <v>3.9</v>
          </cell>
          <cell r="M340">
            <v>88</v>
          </cell>
          <cell r="N340">
            <v>50</v>
          </cell>
          <cell r="O340">
            <v>5.9</v>
          </cell>
          <cell r="P340">
            <v>85.5</v>
          </cell>
          <cell r="Q340">
            <v>10</v>
          </cell>
          <cell r="R340">
            <v>2.0000000000000004</v>
          </cell>
          <cell r="S340">
            <v>75.3</v>
          </cell>
          <cell r="U340" t="str">
            <v>ОВП</v>
          </cell>
          <cell r="W340" t="str">
            <v>ГИС-2. ОВП МЕТКА</v>
          </cell>
          <cell r="X340" t="str">
            <v>ИХН АН</v>
          </cell>
          <cell r="AF340">
            <v>21</v>
          </cell>
        </row>
        <row r="341">
          <cell r="B341">
            <v>2884</v>
          </cell>
          <cell r="C341">
            <v>131</v>
          </cell>
          <cell r="E341">
            <v>1</v>
          </cell>
          <cell r="F341" t="str">
            <v>ЗАО "УПКРС"</v>
          </cell>
          <cell r="G341">
            <v>260</v>
          </cell>
          <cell r="H341" t="str">
            <v>ЭЦН</v>
          </cell>
          <cell r="I341" t="str">
            <v>действ.</v>
          </cell>
          <cell r="K341">
            <v>30</v>
          </cell>
          <cell r="L341">
            <v>1.5</v>
          </cell>
          <cell r="M341">
            <v>94</v>
          </cell>
          <cell r="N341">
            <v>50</v>
          </cell>
          <cell r="O341">
            <v>4.5</v>
          </cell>
          <cell r="P341">
            <v>89</v>
          </cell>
          <cell r="Q341">
            <v>20</v>
          </cell>
          <cell r="R341">
            <v>3</v>
          </cell>
          <cell r="S341">
            <v>81.5</v>
          </cell>
          <cell r="T341">
            <v>7</v>
          </cell>
          <cell r="U341" t="str">
            <v>ОПЗ</v>
          </cell>
          <cell r="W341" t="str">
            <v>ГИС-2. УГИС (ОПЗ)</v>
          </cell>
          <cell r="AF341">
            <v>21</v>
          </cell>
        </row>
        <row r="342">
          <cell r="B342">
            <v>2886</v>
          </cell>
          <cell r="C342">
            <v>131</v>
          </cell>
          <cell r="E342">
            <v>2</v>
          </cell>
          <cell r="F342" t="str">
            <v>ЗАО "УПКРС"</v>
          </cell>
          <cell r="G342">
            <v>255</v>
          </cell>
          <cell r="H342" t="str">
            <v>ШГН</v>
          </cell>
          <cell r="K342">
            <v>24</v>
          </cell>
          <cell r="L342">
            <v>0.2</v>
          </cell>
          <cell r="M342">
            <v>99</v>
          </cell>
          <cell r="N342">
            <v>50</v>
          </cell>
          <cell r="O342">
            <v>4</v>
          </cell>
          <cell r="P342">
            <v>90.3</v>
          </cell>
          <cell r="Q342">
            <v>50</v>
          </cell>
          <cell r="R342">
            <v>4</v>
          </cell>
          <cell r="S342">
            <v>90.1</v>
          </cell>
          <cell r="T342">
            <v>7</v>
          </cell>
          <cell r="U342" t="str">
            <v>ОПЗ</v>
          </cell>
          <cell r="W342" t="str">
            <v>ГИС-2. УГИС (ОПЗ)</v>
          </cell>
        </row>
        <row r="343">
          <cell r="B343">
            <v>2904</v>
          </cell>
          <cell r="C343">
            <v>131</v>
          </cell>
          <cell r="F343" t="str">
            <v>УПНПиКРС</v>
          </cell>
          <cell r="G343">
            <v>295</v>
          </cell>
          <cell r="H343" t="str">
            <v>нагнет.</v>
          </cell>
          <cell r="I343" t="str">
            <v>действ.</v>
          </cell>
          <cell r="K343">
            <v>330</v>
          </cell>
          <cell r="N343">
            <v>250</v>
          </cell>
          <cell r="Q343">
            <v>250</v>
          </cell>
          <cell r="R343">
            <v>0</v>
          </cell>
          <cell r="U343" t="str">
            <v>ВВП</v>
          </cell>
          <cell r="W343" t="str">
            <v>ГИС-3. ВПП ГАЛКА</v>
          </cell>
          <cell r="X343" t="str">
            <v>ИХН АН</v>
          </cell>
        </row>
        <row r="344">
          <cell r="B344">
            <v>2905</v>
          </cell>
          <cell r="C344">
            <v>132</v>
          </cell>
          <cell r="F344" t="str">
            <v>УПНПиКРС</v>
          </cell>
          <cell r="G344">
            <v>290</v>
          </cell>
          <cell r="H344" t="str">
            <v>ЭЦН</v>
          </cell>
          <cell r="I344" t="str">
            <v>действ.</v>
          </cell>
          <cell r="K344">
            <v>50</v>
          </cell>
          <cell r="L344">
            <v>5.3</v>
          </cell>
          <cell r="M344">
            <v>87</v>
          </cell>
          <cell r="N344">
            <v>50</v>
          </cell>
          <cell r="O344">
            <v>8.1999999999999993</v>
          </cell>
          <cell r="P344">
            <v>80</v>
          </cell>
          <cell r="Q344">
            <v>0</v>
          </cell>
          <cell r="R344">
            <v>2.8999999999999995</v>
          </cell>
          <cell r="U344" t="str">
            <v>ОВП</v>
          </cell>
          <cell r="W344" t="str">
            <v>ГИС-2. ОВП МЕТКА.</v>
          </cell>
          <cell r="X344" t="str">
            <v>ИХН АН</v>
          </cell>
          <cell r="AF344">
            <v>53</v>
          </cell>
          <cell r="AG344">
            <v>188190</v>
          </cell>
          <cell r="AH344">
            <v>376380</v>
          </cell>
        </row>
        <row r="345">
          <cell r="B345">
            <v>2933</v>
          </cell>
          <cell r="C345">
            <v>44</v>
          </cell>
          <cell r="E345">
            <v>60</v>
          </cell>
          <cell r="F345" t="str">
            <v>ЗАО "УПКРС"</v>
          </cell>
          <cell r="G345">
            <v>265</v>
          </cell>
          <cell r="H345" t="str">
            <v>ШГН</v>
          </cell>
          <cell r="I345" t="str">
            <v>бд</v>
          </cell>
          <cell r="J345">
            <v>36935</v>
          </cell>
          <cell r="K345">
            <v>10</v>
          </cell>
          <cell r="L345">
            <v>5.0999999999999996</v>
          </cell>
          <cell r="M345">
            <v>37</v>
          </cell>
          <cell r="N345">
            <v>10</v>
          </cell>
          <cell r="O345">
            <v>5</v>
          </cell>
          <cell r="P345">
            <v>38.5</v>
          </cell>
          <cell r="Q345">
            <v>10</v>
          </cell>
          <cell r="R345">
            <v>5</v>
          </cell>
          <cell r="S345">
            <v>38.299999999999997</v>
          </cell>
          <cell r="T345">
            <v>12</v>
          </cell>
          <cell r="U345" t="str">
            <v>ВЦ</v>
          </cell>
          <cell r="V345">
            <v>2</v>
          </cell>
          <cell r="W345" t="str">
            <v xml:space="preserve">ВЦ, Ликв.грифона </v>
          </cell>
          <cell r="Y345" t="str">
            <v>ОЦ 20.09.97</v>
          </cell>
        </row>
        <row r="346">
          <cell r="B346">
            <v>3002</v>
          </cell>
          <cell r="C346">
            <v>50</v>
          </cell>
          <cell r="H346" t="str">
            <v>ШГН</v>
          </cell>
          <cell r="I346" t="str">
            <v>конс.</v>
          </cell>
          <cell r="J346">
            <v>34514</v>
          </cell>
          <cell r="K346">
            <v>5</v>
          </cell>
          <cell r="L346">
            <v>0.5</v>
          </cell>
          <cell r="M346">
            <v>88</v>
          </cell>
          <cell r="N346">
            <v>5</v>
          </cell>
          <cell r="O346">
            <v>0.5</v>
          </cell>
          <cell r="P346">
            <v>88</v>
          </cell>
          <cell r="Q346">
            <v>5</v>
          </cell>
          <cell r="R346">
            <v>0.5</v>
          </cell>
          <cell r="S346">
            <v>87.7</v>
          </cell>
          <cell r="W346" t="str">
            <v>ВЦ, ПП, ОПЗ НТПН, ГДИ, сп.НН</v>
          </cell>
          <cell r="Y346">
            <v>0</v>
          </cell>
        </row>
        <row r="347">
          <cell r="B347">
            <v>3003</v>
          </cell>
          <cell r="C347">
            <v>50</v>
          </cell>
          <cell r="H347" t="str">
            <v>нагн</v>
          </cell>
          <cell r="I347" t="str">
            <v>конс.</v>
          </cell>
          <cell r="J347">
            <v>32903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e">
            <v>#DIV/0!</v>
          </cell>
          <cell r="U347" t="str">
            <v>ГРП</v>
          </cell>
          <cell r="W347" t="str">
            <v>ВЦ, ПП, ГРП (ОПЗ НТПН), ГДИ, сп.НН</v>
          </cell>
          <cell r="Y347" t="str">
            <v>ОЦ</v>
          </cell>
        </row>
        <row r="348">
          <cell r="B348">
            <v>3026</v>
          </cell>
          <cell r="C348">
            <v>53</v>
          </cell>
          <cell r="H348" t="str">
            <v>ШГН</v>
          </cell>
          <cell r="I348" t="str">
            <v>конс.</v>
          </cell>
          <cell r="J348">
            <v>34493</v>
          </cell>
          <cell r="K348">
            <v>13</v>
          </cell>
          <cell r="L348">
            <v>10.6</v>
          </cell>
          <cell r="M348">
            <v>0</v>
          </cell>
          <cell r="N348">
            <v>13</v>
          </cell>
          <cell r="O348">
            <v>10.6</v>
          </cell>
          <cell r="P348">
            <v>0</v>
          </cell>
          <cell r="Q348">
            <v>13</v>
          </cell>
          <cell r="R348">
            <v>10.6</v>
          </cell>
          <cell r="S348">
            <v>-0.7</v>
          </cell>
          <cell r="U348" t="str">
            <v>ГРП</v>
          </cell>
          <cell r="W348" t="str">
            <v>ВЦ, ПП, ОПЗ НТПН, ГДИ, сп.НН</v>
          </cell>
          <cell r="Y348" t="str">
            <v>ПРС май 98: Нз-1926,по печати-разорванное тело 73 мм НКТ.Авария 92-93г.Актов нет.</v>
          </cell>
        </row>
        <row r="349">
          <cell r="B349">
            <v>3027</v>
          </cell>
          <cell r="C349">
            <v>52</v>
          </cell>
          <cell r="H349" t="str">
            <v>ШГН</v>
          </cell>
          <cell r="I349" t="str">
            <v>бд</v>
          </cell>
          <cell r="J349">
            <v>36971</v>
          </cell>
          <cell r="K349">
            <v>10</v>
          </cell>
          <cell r="L349">
            <v>2.2000000000000002</v>
          </cell>
          <cell r="M349">
            <v>73</v>
          </cell>
          <cell r="N349">
            <v>20</v>
          </cell>
          <cell r="O349">
            <v>6.5</v>
          </cell>
          <cell r="P349">
            <v>60</v>
          </cell>
          <cell r="Q349">
            <v>20</v>
          </cell>
          <cell r="R349">
            <v>6.5</v>
          </cell>
          <cell r="S349">
            <v>59.9</v>
          </cell>
          <cell r="W349" t="str">
            <v>ВЦ, ЛА, ПП, ОПЗ НТПН, УГИС</v>
          </cell>
          <cell r="Y349" t="str">
            <v>ОЦ</v>
          </cell>
        </row>
        <row r="350">
          <cell r="B350">
            <v>3029</v>
          </cell>
          <cell r="C350">
            <v>52</v>
          </cell>
          <cell r="H350" t="str">
            <v>ЭЦН</v>
          </cell>
          <cell r="I350" t="str">
            <v>бд</v>
          </cell>
          <cell r="J350">
            <v>36795</v>
          </cell>
          <cell r="K350">
            <v>4</v>
          </cell>
          <cell r="L350">
            <v>1.9</v>
          </cell>
          <cell r="M350">
            <v>41</v>
          </cell>
          <cell r="N350">
            <v>4</v>
          </cell>
          <cell r="O350">
            <v>1.9</v>
          </cell>
          <cell r="P350">
            <v>41</v>
          </cell>
          <cell r="Q350">
            <v>4</v>
          </cell>
          <cell r="R350">
            <v>1.9</v>
          </cell>
          <cell r="S350">
            <v>41.4</v>
          </cell>
          <cell r="W350" t="str">
            <v>ВЦ, ПП, ОПЗ НТПН, ГДИ, сп.НН</v>
          </cell>
          <cell r="Y350" t="str">
            <v>Ц.Е  5.08.97</v>
          </cell>
        </row>
        <row r="351">
          <cell r="B351">
            <v>3072</v>
          </cell>
          <cell r="C351">
            <v>53</v>
          </cell>
          <cell r="H351" t="str">
            <v>ШГН</v>
          </cell>
          <cell r="I351" t="str">
            <v>конс.</v>
          </cell>
          <cell r="J351">
            <v>33848</v>
          </cell>
          <cell r="K351">
            <v>2</v>
          </cell>
          <cell r="L351">
            <v>1.6</v>
          </cell>
          <cell r="M351">
            <v>0</v>
          </cell>
          <cell r="N351">
            <v>2</v>
          </cell>
          <cell r="O351">
            <v>1.6</v>
          </cell>
          <cell r="P351">
            <v>0</v>
          </cell>
          <cell r="Q351">
            <v>2</v>
          </cell>
          <cell r="R351">
            <v>1.6</v>
          </cell>
          <cell r="S351">
            <v>1.2</v>
          </cell>
          <cell r="W351" t="str">
            <v>ВЦ, ПП, ОПЗ НТПН, ГДИ, сп.НН</v>
          </cell>
          <cell r="Y351" t="str">
            <v>Отсутствие забоя( предположительно полёт хвостовика при ПРС, акиов нет)</v>
          </cell>
        </row>
        <row r="352">
          <cell r="B352">
            <v>3073</v>
          </cell>
          <cell r="C352">
            <v>53</v>
          </cell>
          <cell r="H352" t="str">
            <v>ШГН</v>
          </cell>
          <cell r="I352" t="str">
            <v>бд</v>
          </cell>
          <cell r="J352">
            <v>36834</v>
          </cell>
          <cell r="K352">
            <v>3</v>
          </cell>
          <cell r="L352">
            <v>0.9</v>
          </cell>
          <cell r="M352">
            <v>65</v>
          </cell>
          <cell r="N352">
            <v>3</v>
          </cell>
          <cell r="O352">
            <v>0.9</v>
          </cell>
          <cell r="P352">
            <v>65</v>
          </cell>
          <cell r="Q352">
            <v>3</v>
          </cell>
          <cell r="R352">
            <v>0.9</v>
          </cell>
          <cell r="S352">
            <v>63</v>
          </cell>
          <cell r="W352" t="str">
            <v>ВЦ, ПП, ОПЗ НТПН, ГДИ, сп.НН</v>
          </cell>
          <cell r="Y352" t="str">
            <v>ЗБС с 22.11.95 по 21.04.96, ОЦ</v>
          </cell>
        </row>
        <row r="353">
          <cell r="B353">
            <v>3096</v>
          </cell>
          <cell r="C353">
            <v>53</v>
          </cell>
          <cell r="H353" t="str">
            <v>ШГН</v>
          </cell>
          <cell r="I353" t="str">
            <v>бд</v>
          </cell>
          <cell r="J353">
            <v>36246</v>
          </cell>
          <cell r="K353">
            <v>6</v>
          </cell>
          <cell r="L353">
            <v>3.3</v>
          </cell>
          <cell r="M353">
            <v>33</v>
          </cell>
          <cell r="N353">
            <v>6</v>
          </cell>
          <cell r="O353">
            <v>3.3</v>
          </cell>
          <cell r="P353">
            <v>33</v>
          </cell>
          <cell r="Q353">
            <v>6</v>
          </cell>
          <cell r="R353">
            <v>3.3</v>
          </cell>
          <cell r="S353">
            <v>32.1</v>
          </cell>
          <cell r="W353" t="str">
            <v>ВЦ, ПП, ОПЗ НТПН, ГДИ, сп.НН</v>
          </cell>
          <cell r="Y353" t="str">
            <v>ОЦ</v>
          </cell>
        </row>
        <row r="354">
          <cell r="B354">
            <v>3097</v>
          </cell>
          <cell r="C354">
            <v>53</v>
          </cell>
          <cell r="H354" t="str">
            <v>ШГН</v>
          </cell>
          <cell r="I354" t="str">
            <v>бд</v>
          </cell>
          <cell r="J354">
            <v>36244</v>
          </cell>
          <cell r="K354">
            <v>6</v>
          </cell>
          <cell r="L354">
            <v>3.6</v>
          </cell>
          <cell r="M354">
            <v>26</v>
          </cell>
          <cell r="N354">
            <v>6</v>
          </cell>
          <cell r="O354">
            <v>3.6</v>
          </cell>
          <cell r="P354">
            <v>26</v>
          </cell>
          <cell r="Q354">
            <v>6</v>
          </cell>
          <cell r="R354">
            <v>3.6</v>
          </cell>
          <cell r="S354">
            <v>25.9</v>
          </cell>
          <cell r="W354" t="str">
            <v>ВЦ, ПП, ОПЗ НТПН, ГДИ, сп.НН</v>
          </cell>
        </row>
        <row r="355">
          <cell r="B355">
            <v>3952</v>
          </cell>
          <cell r="C355">
            <v>308</v>
          </cell>
          <cell r="G355">
            <v>245</v>
          </cell>
          <cell r="H355" t="str">
            <v>нагнет.</v>
          </cell>
          <cell r="I355" t="str">
            <v>бд</v>
          </cell>
          <cell r="N355">
            <v>250</v>
          </cell>
          <cell r="Q355">
            <v>250</v>
          </cell>
          <cell r="R355">
            <v>0</v>
          </cell>
          <cell r="W355" t="str">
            <v>Спуск пакера, определение прием.ЮК11</v>
          </cell>
          <cell r="X355" t="str">
            <v>утилизация</v>
          </cell>
        </row>
        <row r="356">
          <cell r="B356">
            <v>3959</v>
          </cell>
          <cell r="C356">
            <v>198</v>
          </cell>
          <cell r="G356">
            <v>226</v>
          </cell>
          <cell r="H356" t="str">
            <v>нагнет.</v>
          </cell>
          <cell r="I356" t="str">
            <v>конс.</v>
          </cell>
          <cell r="N356">
            <v>250</v>
          </cell>
          <cell r="Q356">
            <v>250</v>
          </cell>
          <cell r="R356">
            <v>0</v>
          </cell>
          <cell r="W356" t="str">
            <v>Спуск пакера, определение прием.ЮК11</v>
          </cell>
          <cell r="X356" t="str">
            <v>утилизация</v>
          </cell>
          <cell r="Y356" t="str">
            <v>ВЦ УЭС 1500 12.97: непроход 368 м (печать не спускали)</v>
          </cell>
          <cell r="AF356">
            <v>27</v>
          </cell>
          <cell r="AG356">
            <v>-7</v>
          </cell>
          <cell r="AH356">
            <v>-210</v>
          </cell>
        </row>
        <row r="357">
          <cell r="B357">
            <v>4018</v>
          </cell>
          <cell r="C357">
            <v>314</v>
          </cell>
          <cell r="F357" t="str">
            <v>УПНПиКРС</v>
          </cell>
          <cell r="G357">
            <v>250</v>
          </cell>
          <cell r="H357" t="str">
            <v>Ф/ЭЦН</v>
          </cell>
          <cell r="I357" t="str">
            <v>конс.</v>
          </cell>
          <cell r="J357">
            <v>34335</v>
          </cell>
          <cell r="L357">
            <v>0</v>
          </cell>
          <cell r="N357">
            <v>30</v>
          </cell>
          <cell r="O357">
            <v>1</v>
          </cell>
          <cell r="P357">
            <v>96</v>
          </cell>
          <cell r="Q357">
            <v>30</v>
          </cell>
          <cell r="R357">
            <v>1</v>
          </cell>
          <cell r="S357">
            <v>95.9</v>
          </cell>
          <cell r="T357">
            <v>7</v>
          </cell>
          <cell r="U357" t="str">
            <v>ЛА</v>
          </cell>
          <cell r="W357" t="str">
            <v>ВЦ. ЛА. ГИС-2. УГИС</v>
          </cell>
          <cell r="X357" t="str">
            <v>УОПР-800</v>
          </cell>
          <cell r="Y357" t="str">
            <v>13.04.93 ОТСК (негерм.ЭК: 1078.4-1079.4)</v>
          </cell>
          <cell r="AF357">
            <v>31</v>
          </cell>
          <cell r="AG357">
            <v>-14</v>
          </cell>
          <cell r="AH357">
            <v>-350</v>
          </cell>
        </row>
        <row r="358">
          <cell r="B358">
            <v>4020</v>
          </cell>
          <cell r="C358">
            <v>314</v>
          </cell>
          <cell r="F358" t="str">
            <v>УПНПиКРС</v>
          </cell>
          <cell r="G358">
            <v>220</v>
          </cell>
          <cell r="H358" t="str">
            <v>фон</v>
          </cell>
          <cell r="I358" t="str">
            <v>конс.</v>
          </cell>
          <cell r="J358">
            <v>34486</v>
          </cell>
          <cell r="L358">
            <v>0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7</v>
          </cell>
          <cell r="U358" t="str">
            <v>ЛН</v>
          </cell>
          <cell r="W358" t="str">
            <v>РИР (негерм. ЭК -1078-79 м). ГИС-2. ИДН</v>
          </cell>
          <cell r="X358" t="str">
            <v>УОПР-800</v>
          </cell>
          <cell r="Y358" t="str">
            <v>УЭС 1500 (01.98) непроход на 103 м (печать не спускали). Обрыв проволоки с МГН-2)</v>
          </cell>
          <cell r="AF358">
            <v>31</v>
          </cell>
          <cell r="AG358">
            <v>-7</v>
          </cell>
          <cell r="AH358">
            <v>-140</v>
          </cell>
        </row>
        <row r="359">
          <cell r="B359">
            <v>4021</v>
          </cell>
          <cell r="C359">
            <v>314</v>
          </cell>
          <cell r="F359" t="str">
            <v>УПНПиКРС</v>
          </cell>
          <cell r="G359">
            <v>220</v>
          </cell>
          <cell r="H359" t="str">
            <v>фон</v>
          </cell>
          <cell r="I359" t="str">
            <v>конс.</v>
          </cell>
          <cell r="J359">
            <v>34425</v>
          </cell>
          <cell r="L359">
            <v>0</v>
          </cell>
          <cell r="N359">
            <v>20</v>
          </cell>
          <cell r="O359">
            <v>1</v>
          </cell>
          <cell r="P359">
            <v>94</v>
          </cell>
          <cell r="Q359">
            <v>20</v>
          </cell>
          <cell r="R359">
            <v>1</v>
          </cell>
          <cell r="S359">
            <v>93.8</v>
          </cell>
          <cell r="T359">
            <v>7</v>
          </cell>
          <cell r="U359" t="str">
            <v>ЛА</v>
          </cell>
          <cell r="W359" t="str">
            <v>ВЦ. ЛА. ГИС-2. РИР (ЗКЦ). УГИС</v>
          </cell>
          <cell r="X359" t="str">
            <v>УОПР-800</v>
          </cell>
          <cell r="AF359">
            <v>64</v>
          </cell>
          <cell r="AG359">
            <v>92</v>
          </cell>
          <cell r="AH359">
            <v>920</v>
          </cell>
        </row>
        <row r="360">
          <cell r="B360">
            <v>4122</v>
          </cell>
          <cell r="C360">
            <v>314</v>
          </cell>
          <cell r="F360" t="str">
            <v>УПНПиКРС</v>
          </cell>
          <cell r="G360">
            <v>250</v>
          </cell>
          <cell r="H360" t="str">
            <v>Ф/ЭЦН</v>
          </cell>
          <cell r="I360" t="str">
            <v>бд</v>
          </cell>
          <cell r="J360">
            <v>34485</v>
          </cell>
          <cell r="L360">
            <v>0</v>
          </cell>
          <cell r="N360">
            <v>20</v>
          </cell>
          <cell r="O360">
            <v>2</v>
          </cell>
          <cell r="P360">
            <v>88</v>
          </cell>
          <cell r="Q360">
            <v>20</v>
          </cell>
          <cell r="R360">
            <v>2</v>
          </cell>
          <cell r="S360">
            <v>87.7</v>
          </cell>
          <cell r="T360">
            <v>37242</v>
          </cell>
          <cell r="U360" t="str">
            <v>ОПЗ</v>
          </cell>
          <cell r="W360" t="str">
            <v>ГИС-2. ПП. УГИС</v>
          </cell>
          <cell r="X360" t="str">
            <v>УОПР-800</v>
          </cell>
          <cell r="Y360" t="str">
            <v>Полет ЭЦН и НКТ 31 шт.</v>
          </cell>
          <cell r="AF360">
            <v>38</v>
          </cell>
          <cell r="AG360">
            <v>-7</v>
          </cell>
          <cell r="AH360">
            <v>-140</v>
          </cell>
        </row>
        <row r="361">
          <cell r="B361">
            <v>4125</v>
          </cell>
          <cell r="C361">
            <v>315</v>
          </cell>
          <cell r="F361" t="str">
            <v>УПНПиКРС</v>
          </cell>
          <cell r="G361">
            <v>250</v>
          </cell>
          <cell r="H361" t="str">
            <v>Ф/ЭЦН</v>
          </cell>
          <cell r="I361" t="str">
            <v>бд</v>
          </cell>
          <cell r="J361">
            <v>33147</v>
          </cell>
          <cell r="L361">
            <v>0</v>
          </cell>
          <cell r="N361">
            <v>20</v>
          </cell>
          <cell r="O361">
            <v>1</v>
          </cell>
          <cell r="P361">
            <v>93.6</v>
          </cell>
          <cell r="Q361">
            <v>20</v>
          </cell>
          <cell r="R361">
            <v>1</v>
          </cell>
          <cell r="S361">
            <v>93.8</v>
          </cell>
          <cell r="T361">
            <v>7</v>
          </cell>
          <cell r="U361" t="str">
            <v>ОВП</v>
          </cell>
          <cell r="W361" t="str">
            <v>ЛА (Полет ЭЦН). ГИС-2. ИР</v>
          </cell>
          <cell r="X361" t="str">
            <v>ИР нижнего интервала?</v>
          </cell>
          <cell r="Y361" t="str">
            <v>Прихват ЭЦН</v>
          </cell>
          <cell r="AF361">
            <v>38</v>
          </cell>
          <cell r="AG361">
            <v>-7</v>
          </cell>
          <cell r="AH361">
            <v>-119</v>
          </cell>
        </row>
        <row r="362">
          <cell r="B362">
            <v>4127</v>
          </cell>
          <cell r="C362">
            <v>315</v>
          </cell>
          <cell r="F362" t="str">
            <v>УПНПиКРС</v>
          </cell>
          <cell r="G362">
            <v>245</v>
          </cell>
          <cell r="H362" t="str">
            <v>ЭЦН</v>
          </cell>
          <cell r="I362" t="str">
            <v>бд</v>
          </cell>
          <cell r="J362">
            <v>35432</v>
          </cell>
          <cell r="L362">
            <v>0</v>
          </cell>
          <cell r="N362">
            <v>17</v>
          </cell>
          <cell r="O362">
            <v>1</v>
          </cell>
          <cell r="P362">
            <v>93</v>
          </cell>
          <cell r="Q362">
            <v>17</v>
          </cell>
          <cell r="R362">
            <v>1</v>
          </cell>
          <cell r="S362">
            <v>92.7</v>
          </cell>
          <cell r="T362">
            <v>7</v>
          </cell>
          <cell r="U362" t="str">
            <v>ОВП</v>
          </cell>
          <cell r="W362" t="str">
            <v>ЛА (прихват ЭЦН). СИ. ПП. ГИС-2. ШГН</v>
          </cell>
          <cell r="X362" t="str">
            <v>СИ (ниже 2728). ПП 2720-24</v>
          </cell>
        </row>
        <row r="363">
          <cell r="B363">
            <v>4128</v>
          </cell>
          <cell r="C363">
            <v>315</v>
          </cell>
          <cell r="G363">
            <v>250</v>
          </cell>
          <cell r="H363" t="str">
            <v>ЭЦН</v>
          </cell>
          <cell r="I363" t="str">
            <v>действ.</v>
          </cell>
          <cell r="K363">
            <v>44</v>
          </cell>
          <cell r="L363">
            <v>0.9</v>
          </cell>
          <cell r="M363">
            <v>97.5</v>
          </cell>
          <cell r="N363">
            <v>60</v>
          </cell>
          <cell r="O363">
            <v>2.9</v>
          </cell>
          <cell r="P363">
            <v>94</v>
          </cell>
          <cell r="Q363">
            <v>16</v>
          </cell>
          <cell r="R363">
            <v>2</v>
          </cell>
          <cell r="W363" t="str">
            <v>ГИС-2. ОВП МЕТКА.</v>
          </cell>
          <cell r="X363" t="str">
            <v>ИХН АН</v>
          </cell>
        </row>
        <row r="364">
          <cell r="B364">
            <v>4155</v>
          </cell>
          <cell r="C364">
            <v>172</v>
          </cell>
          <cell r="G364">
            <v>250</v>
          </cell>
          <cell r="H364" t="str">
            <v>нагнет.</v>
          </cell>
          <cell r="I364" t="str">
            <v>конс.</v>
          </cell>
          <cell r="N364">
            <v>250</v>
          </cell>
          <cell r="Q364">
            <v>250</v>
          </cell>
          <cell r="R364">
            <v>0</v>
          </cell>
          <cell r="W364" t="str">
            <v>ОТСК, дострел ЮК11</v>
          </cell>
          <cell r="X364" t="str">
            <v>утилизация</v>
          </cell>
        </row>
        <row r="365">
          <cell r="B365">
            <v>4156</v>
          </cell>
          <cell r="C365">
            <v>172</v>
          </cell>
          <cell r="G365">
            <v>250</v>
          </cell>
          <cell r="H365" t="str">
            <v>нагнет.</v>
          </cell>
          <cell r="I365" t="str">
            <v>конс.</v>
          </cell>
          <cell r="Q365">
            <v>0</v>
          </cell>
          <cell r="W365" t="str">
            <v>ОТСК, дострел ЮК11</v>
          </cell>
          <cell r="Y365" t="str">
            <v>СИ 2810 и ниже</v>
          </cell>
          <cell r="AF365">
            <v>21</v>
          </cell>
          <cell r="AG365">
            <v>-37378</v>
          </cell>
          <cell r="AH365">
            <v>-1121340</v>
          </cell>
        </row>
        <row r="366">
          <cell r="B366">
            <v>4215</v>
          </cell>
          <cell r="C366" t="str">
            <v>314б</v>
          </cell>
          <cell r="G366">
            <v>255</v>
          </cell>
          <cell r="H366" t="str">
            <v>фон</v>
          </cell>
          <cell r="I366" t="str">
            <v>бд</v>
          </cell>
          <cell r="J366">
            <v>35716</v>
          </cell>
          <cell r="L366">
            <v>0</v>
          </cell>
          <cell r="N366">
            <v>30</v>
          </cell>
          <cell r="O366">
            <v>1</v>
          </cell>
          <cell r="P366">
            <v>95.8</v>
          </cell>
          <cell r="Q366">
            <v>30</v>
          </cell>
          <cell r="R366">
            <v>1</v>
          </cell>
          <cell r="S366">
            <v>95.9</v>
          </cell>
          <cell r="T366">
            <v>37378</v>
          </cell>
          <cell r="U366" t="str">
            <v>ОВП</v>
          </cell>
          <cell r="W366" t="str">
            <v>СИ 2810 и ниже</v>
          </cell>
          <cell r="X366" t="str">
            <v>УОПР-800</v>
          </cell>
          <cell r="AF366">
            <v>10</v>
          </cell>
          <cell r="AG366">
            <v>44</v>
          </cell>
          <cell r="AH366">
            <v>2200</v>
          </cell>
        </row>
        <row r="367">
          <cell r="B367">
            <v>4216</v>
          </cell>
          <cell r="C367" t="str">
            <v>314б</v>
          </cell>
          <cell r="G367">
            <v>255</v>
          </cell>
          <cell r="H367" t="str">
            <v>ЭЦН</v>
          </cell>
          <cell r="I367" t="str">
            <v>конс.</v>
          </cell>
          <cell r="J367">
            <v>35716</v>
          </cell>
          <cell r="L367">
            <v>0</v>
          </cell>
          <cell r="N367">
            <v>50</v>
          </cell>
          <cell r="O367">
            <v>1</v>
          </cell>
          <cell r="P367">
            <v>97.6</v>
          </cell>
          <cell r="Q367">
            <v>50</v>
          </cell>
          <cell r="R367">
            <v>1</v>
          </cell>
          <cell r="S367">
            <v>97.5</v>
          </cell>
          <cell r="T367">
            <v>37213</v>
          </cell>
          <cell r="U367" t="str">
            <v>бдк</v>
          </cell>
          <cell r="W367" t="str">
            <v>ГИС-2</v>
          </cell>
          <cell r="X367" t="str">
            <v>УОПР-800</v>
          </cell>
          <cell r="AF367">
            <v>9</v>
          </cell>
          <cell r="AG367">
            <v>58</v>
          </cell>
          <cell r="AH367">
            <v>3480</v>
          </cell>
        </row>
        <row r="368">
          <cell r="B368">
            <v>4217</v>
          </cell>
          <cell r="C368" t="str">
            <v>314б</v>
          </cell>
          <cell r="G368">
            <v>255</v>
          </cell>
          <cell r="H368" t="str">
            <v>ЭЦН</v>
          </cell>
          <cell r="I368" t="str">
            <v>конс.</v>
          </cell>
          <cell r="J368">
            <v>34304</v>
          </cell>
          <cell r="L368">
            <v>0</v>
          </cell>
          <cell r="N368">
            <v>60</v>
          </cell>
          <cell r="O368">
            <v>1</v>
          </cell>
          <cell r="P368">
            <v>97.892720306513411</v>
          </cell>
          <cell r="Q368">
            <v>60</v>
          </cell>
          <cell r="R368">
            <v>1</v>
          </cell>
          <cell r="S368">
            <v>97.9</v>
          </cell>
          <cell r="T368">
            <v>37230</v>
          </cell>
          <cell r="U368" t="str">
            <v>бдк</v>
          </cell>
          <cell r="W368" t="str">
            <v>УГИС. ЭЦН</v>
          </cell>
          <cell r="X368" t="str">
            <v>УОПР-800</v>
          </cell>
          <cell r="AF368">
            <v>21</v>
          </cell>
          <cell r="AG368">
            <v>-37356</v>
          </cell>
          <cell r="AH368">
            <v>-1867800</v>
          </cell>
        </row>
        <row r="369">
          <cell r="B369">
            <v>4218</v>
          </cell>
          <cell r="C369" t="str">
            <v>314б</v>
          </cell>
          <cell r="G369">
            <v>255</v>
          </cell>
          <cell r="H369" t="str">
            <v>ЭЦН</v>
          </cell>
          <cell r="I369" t="str">
            <v>конс.</v>
          </cell>
          <cell r="J369">
            <v>35716</v>
          </cell>
          <cell r="L369">
            <v>0</v>
          </cell>
          <cell r="N369">
            <v>50</v>
          </cell>
          <cell r="O369">
            <v>1</v>
          </cell>
          <cell r="P369">
            <v>97.47126436781609</v>
          </cell>
          <cell r="Q369">
            <v>50</v>
          </cell>
          <cell r="R369">
            <v>1</v>
          </cell>
          <cell r="S369">
            <v>97.5</v>
          </cell>
          <cell r="T369">
            <v>37356</v>
          </cell>
          <cell r="U369" t="str">
            <v>бдк</v>
          </cell>
          <cell r="W369" t="str">
            <v>ГДИ ЦНИПР. УГИС</v>
          </cell>
          <cell r="X369" t="str">
            <v>УОПР-800</v>
          </cell>
          <cell r="Y369" t="str">
            <v>На забое ЭЦН</v>
          </cell>
          <cell r="AF369">
            <v>32</v>
          </cell>
          <cell r="AG369">
            <v>-55926</v>
          </cell>
          <cell r="AH369">
            <v>-559260</v>
          </cell>
        </row>
        <row r="370">
          <cell r="B370">
            <v>4266</v>
          </cell>
          <cell r="C370">
            <v>219</v>
          </cell>
          <cell r="G370">
            <v>255</v>
          </cell>
          <cell r="H370" t="str">
            <v>ЭЦН</v>
          </cell>
          <cell r="I370" t="str">
            <v>бд</v>
          </cell>
          <cell r="J370">
            <v>35158</v>
          </cell>
          <cell r="L370">
            <v>0</v>
          </cell>
          <cell r="N370">
            <v>15</v>
          </cell>
          <cell r="O370">
            <v>1.5</v>
          </cell>
          <cell r="P370">
            <v>88</v>
          </cell>
          <cell r="Q370">
            <v>15</v>
          </cell>
          <cell r="R370">
            <v>1.5</v>
          </cell>
          <cell r="S370">
            <v>87.7</v>
          </cell>
          <cell r="T370">
            <v>37284</v>
          </cell>
          <cell r="U370" t="str">
            <v>ЛА</v>
          </cell>
          <cell r="W370" t="str">
            <v>ВЦ. ЛА (на забое ЭЦН). СИ низа. ПП. ОПЗ</v>
          </cell>
          <cell r="X370" t="str">
            <v>Освоение УГИС. УОПР-800</v>
          </cell>
          <cell r="Y370" t="str">
            <v>Предпол. отсутствие забоя 2752 м</v>
          </cell>
          <cell r="AF370">
            <v>21</v>
          </cell>
          <cell r="AG370">
            <v>-56001</v>
          </cell>
          <cell r="AH370">
            <v>-1493360</v>
          </cell>
        </row>
        <row r="371">
          <cell r="B371">
            <v>4268</v>
          </cell>
          <cell r="C371">
            <v>219</v>
          </cell>
          <cell r="G371">
            <v>250</v>
          </cell>
          <cell r="H371" t="str">
            <v>Ф/ЭЦН</v>
          </cell>
          <cell r="I371" t="str">
            <v>конс.</v>
          </cell>
          <cell r="J371">
            <v>35596</v>
          </cell>
          <cell r="L371">
            <v>0</v>
          </cell>
          <cell r="N371">
            <v>40</v>
          </cell>
          <cell r="O371">
            <v>1.5</v>
          </cell>
          <cell r="P371">
            <v>95.3</v>
          </cell>
          <cell r="Q371">
            <v>40</v>
          </cell>
          <cell r="R371">
            <v>1.5</v>
          </cell>
          <cell r="S371">
            <v>95.4</v>
          </cell>
          <cell r="T371">
            <v>37334</v>
          </cell>
          <cell r="U371" t="str">
            <v>ОВП</v>
          </cell>
          <cell r="W371" t="str">
            <v>ВЗ. СИ низа. ПП 2743-48, УГИС, ГИС-2</v>
          </cell>
          <cell r="X371" t="str">
            <v>УОПР-800</v>
          </cell>
          <cell r="Y371" t="str">
            <v>предпол. о смещении ЭК</v>
          </cell>
          <cell r="AF371">
            <v>27</v>
          </cell>
          <cell r="AG371">
            <v>-37312</v>
          </cell>
          <cell r="AH371">
            <v>-746240</v>
          </cell>
        </row>
        <row r="372">
          <cell r="B372">
            <v>4319</v>
          </cell>
          <cell r="C372">
            <v>219</v>
          </cell>
          <cell r="G372">
            <v>255</v>
          </cell>
          <cell r="H372" t="str">
            <v>ЭЦН</v>
          </cell>
          <cell r="I372" t="str">
            <v>бд</v>
          </cell>
          <cell r="J372">
            <v>34850</v>
          </cell>
          <cell r="L372">
            <v>0</v>
          </cell>
          <cell r="N372">
            <v>20</v>
          </cell>
          <cell r="O372">
            <v>1</v>
          </cell>
          <cell r="P372">
            <v>94</v>
          </cell>
          <cell r="Q372">
            <v>20</v>
          </cell>
          <cell r="R372">
            <v>1</v>
          </cell>
          <cell r="S372">
            <v>93.8</v>
          </cell>
          <cell r="T372">
            <v>37312</v>
          </cell>
          <cell r="U372" t="str">
            <v>ОВП</v>
          </cell>
          <cell r="W372" t="str">
            <v>ГИС-2. СИ. ПП ДН. ГДИ</v>
          </cell>
          <cell r="X372" t="str">
            <v>УОПР-800</v>
          </cell>
          <cell r="AF372">
            <v>27</v>
          </cell>
          <cell r="AG372">
            <v>-55877</v>
          </cell>
          <cell r="AH372">
            <v>-1117530</v>
          </cell>
        </row>
        <row r="373">
          <cell r="B373">
            <v>4321</v>
          </cell>
          <cell r="C373">
            <v>219</v>
          </cell>
          <cell r="G373">
            <v>240</v>
          </cell>
          <cell r="H373" t="str">
            <v>ЭЦН</v>
          </cell>
          <cell r="I373" t="str">
            <v>конс.</v>
          </cell>
          <cell r="J373">
            <v>33970</v>
          </cell>
          <cell r="L373">
            <v>0</v>
          </cell>
          <cell r="N373">
            <v>30</v>
          </cell>
          <cell r="O373">
            <v>1.5</v>
          </cell>
          <cell r="P373">
            <v>93.8</v>
          </cell>
          <cell r="Q373">
            <v>30</v>
          </cell>
          <cell r="R373">
            <v>1.5</v>
          </cell>
          <cell r="S373">
            <v>93.8</v>
          </cell>
          <cell r="T373">
            <v>37251</v>
          </cell>
          <cell r="U373" t="str">
            <v>ОВП</v>
          </cell>
          <cell r="W373" t="str">
            <v>ВЦ. СИ 2676 и ниже, УГИС</v>
          </cell>
          <cell r="X373" t="str">
            <v>УОПР-800</v>
          </cell>
        </row>
        <row r="374">
          <cell r="B374">
            <v>4323</v>
          </cell>
          <cell r="C374">
            <v>218</v>
          </cell>
          <cell r="G374">
            <v>250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1</v>
          </cell>
          <cell r="M374">
            <v>98</v>
          </cell>
          <cell r="N374">
            <v>125</v>
          </cell>
          <cell r="O374">
            <v>5.0999999999999996</v>
          </cell>
          <cell r="P374">
            <v>95</v>
          </cell>
          <cell r="Q374">
            <v>65</v>
          </cell>
          <cell r="R374">
            <v>4.0999999999999996</v>
          </cell>
          <cell r="W374" t="str">
            <v>ГИС-2. ОВП МЕТКА.</v>
          </cell>
          <cell r="X374" t="str">
            <v>ИХН АН</v>
          </cell>
        </row>
        <row r="375">
          <cell r="B375">
            <v>5218</v>
          </cell>
          <cell r="C375">
            <v>134</v>
          </cell>
          <cell r="F375" t="str">
            <v>УПНПиКРС</v>
          </cell>
          <cell r="G375">
            <v>245</v>
          </cell>
          <cell r="H375" t="str">
            <v>ШГН</v>
          </cell>
          <cell r="I375" t="str">
            <v>конс.</v>
          </cell>
          <cell r="K375">
            <v>21</v>
          </cell>
          <cell r="L375">
            <v>0.9</v>
          </cell>
          <cell r="M375">
            <v>95</v>
          </cell>
          <cell r="N375">
            <v>20</v>
          </cell>
          <cell r="O375">
            <v>3</v>
          </cell>
          <cell r="P375">
            <v>81.5</v>
          </cell>
          <cell r="Q375">
            <v>20</v>
          </cell>
          <cell r="R375">
            <v>3</v>
          </cell>
          <cell r="S375">
            <v>81.5</v>
          </cell>
          <cell r="U375" t="str">
            <v>ОПЗ</v>
          </cell>
          <cell r="W375" t="str">
            <v>ВЦ. ГИС-2. ИДН</v>
          </cell>
          <cell r="X375" t="str">
            <v>Возм.перевод на выш.пласт</v>
          </cell>
          <cell r="Y375" t="str">
            <v>+30</v>
          </cell>
          <cell r="Z375">
            <v>2930</v>
          </cell>
          <cell r="AA375">
            <v>73</v>
          </cell>
          <cell r="AB375" t="str">
            <v>06/98</v>
          </cell>
          <cell r="AF375">
            <v>18</v>
          </cell>
        </row>
        <row r="376">
          <cell r="B376">
            <v>5234</v>
          </cell>
          <cell r="C376">
            <v>140</v>
          </cell>
          <cell r="F376" t="str">
            <v>УПНПиКРС</v>
          </cell>
          <cell r="G376">
            <v>290</v>
          </cell>
          <cell r="H376" t="str">
            <v>нагнет.</v>
          </cell>
          <cell r="I376" t="str">
            <v>действ.</v>
          </cell>
          <cell r="K376">
            <v>340</v>
          </cell>
          <cell r="N376">
            <v>250</v>
          </cell>
          <cell r="Q376">
            <v>250</v>
          </cell>
          <cell r="R376">
            <v>0</v>
          </cell>
          <cell r="U376" t="str">
            <v>ВВП</v>
          </cell>
          <cell r="W376" t="str">
            <v>ГИС-3. ВПП ГАЛКА. ГИС-3</v>
          </cell>
          <cell r="X376" t="str">
            <v>крайний срок - 20 октября</v>
          </cell>
        </row>
        <row r="377">
          <cell r="B377">
            <v>5240</v>
          </cell>
          <cell r="C377">
            <v>134</v>
          </cell>
          <cell r="F377" t="str">
            <v>УПНПиКРС</v>
          </cell>
          <cell r="G377">
            <v>255</v>
          </cell>
          <cell r="H377" t="str">
            <v>ЭЦН</v>
          </cell>
          <cell r="I377" t="str">
            <v>конс.</v>
          </cell>
          <cell r="K377">
            <v>69</v>
          </cell>
          <cell r="L377">
            <v>1.7</v>
          </cell>
          <cell r="M377">
            <v>97</v>
          </cell>
          <cell r="N377">
            <v>80</v>
          </cell>
          <cell r="O377">
            <v>3.1</v>
          </cell>
          <cell r="P377">
            <v>95.3</v>
          </cell>
          <cell r="Q377">
            <v>80</v>
          </cell>
          <cell r="R377">
            <v>3.1</v>
          </cell>
          <cell r="S377">
            <v>95.2</v>
          </cell>
          <cell r="U377" t="str">
            <v>ВЦ</v>
          </cell>
          <cell r="W377" t="str">
            <v>ВЦ. ГИС-2. Спуск ЭЦН</v>
          </cell>
          <cell r="X377" t="str">
            <v>Электропрогрев выполнен (лом -620)</v>
          </cell>
        </row>
        <row r="378">
          <cell r="B378">
            <v>5241</v>
          </cell>
          <cell r="C378">
            <v>134</v>
          </cell>
          <cell r="F378" t="str">
            <v>УПНПиКРС</v>
          </cell>
          <cell r="G378">
            <v>255</v>
          </cell>
          <cell r="H378" t="str">
            <v>ЭЦН</v>
          </cell>
          <cell r="I378" t="str">
            <v>конс.</v>
          </cell>
          <cell r="K378">
            <v>41</v>
          </cell>
          <cell r="L378">
            <v>1.7</v>
          </cell>
          <cell r="M378">
            <v>95</v>
          </cell>
          <cell r="N378">
            <v>50</v>
          </cell>
          <cell r="O378">
            <v>4</v>
          </cell>
          <cell r="P378">
            <v>90.2</v>
          </cell>
          <cell r="Q378">
            <v>50</v>
          </cell>
          <cell r="R378">
            <v>4</v>
          </cell>
          <cell r="S378">
            <v>90.1</v>
          </cell>
          <cell r="U378" t="str">
            <v>ВЦ</v>
          </cell>
          <cell r="W378" t="str">
            <v>ВЦ. ГИС-2. Спуск ЭЦН</v>
          </cell>
          <cell r="X378" t="str">
            <v>ЭП выполнен, ЭЦН с КРБК на забое</v>
          </cell>
          <cell r="Y378" t="str">
            <v>Хвостовик на забое. Предположительно сужение колонны.</v>
          </cell>
          <cell r="Z378">
            <v>2362</v>
          </cell>
        </row>
        <row r="379">
          <cell r="B379">
            <v>5281</v>
          </cell>
          <cell r="C379">
            <v>139</v>
          </cell>
          <cell r="F379" t="str">
            <v>УПНПиКРС</v>
          </cell>
          <cell r="G379">
            <v>280</v>
          </cell>
          <cell r="H379" t="str">
            <v>ШГН</v>
          </cell>
          <cell r="I379" t="str">
            <v>конс.</v>
          </cell>
          <cell r="K379">
            <v>5</v>
          </cell>
          <cell r="L379">
            <v>4</v>
          </cell>
          <cell r="M379">
            <v>1</v>
          </cell>
          <cell r="N379">
            <v>7</v>
          </cell>
          <cell r="O379">
            <v>5</v>
          </cell>
          <cell r="P379">
            <v>12</v>
          </cell>
          <cell r="Q379">
            <v>7</v>
          </cell>
          <cell r="R379">
            <v>5</v>
          </cell>
          <cell r="S379">
            <v>11.8</v>
          </cell>
          <cell r="U379" t="str">
            <v>ОПЗ</v>
          </cell>
          <cell r="W379" t="str">
            <v>ЛА. ИДН. УГИС</v>
          </cell>
          <cell r="X379" t="str">
            <v>Полет НКТ (был КРС), сужение колонны?</v>
          </cell>
          <cell r="AF379">
            <v>30</v>
          </cell>
        </row>
        <row r="380">
          <cell r="B380">
            <v>5285</v>
          </cell>
          <cell r="C380">
            <v>140</v>
          </cell>
          <cell r="F380" t="str">
            <v>УПНПиКРС</v>
          </cell>
          <cell r="G380">
            <v>235</v>
          </cell>
          <cell r="H380" t="str">
            <v>ЭЦН</v>
          </cell>
          <cell r="I380" t="str">
            <v>бд</v>
          </cell>
          <cell r="N380">
            <v>80</v>
          </cell>
          <cell r="O380">
            <v>19.600000000000001</v>
          </cell>
          <cell r="P380">
            <v>70</v>
          </cell>
          <cell r="Q380">
            <v>80</v>
          </cell>
          <cell r="R380">
            <v>19.600000000000001</v>
          </cell>
          <cell r="S380">
            <v>69.8</v>
          </cell>
          <cell r="W380" t="str">
            <v>ПР ЗБС</v>
          </cell>
        </row>
        <row r="381">
          <cell r="B381">
            <v>5287</v>
          </cell>
          <cell r="C381">
            <v>141</v>
          </cell>
          <cell r="F381" t="str">
            <v>УПНПиКРС</v>
          </cell>
          <cell r="G381">
            <v>270</v>
          </cell>
          <cell r="H381" t="str">
            <v>ЭЦН</v>
          </cell>
          <cell r="I381" t="str">
            <v>бд</v>
          </cell>
          <cell r="N381">
            <v>50</v>
          </cell>
          <cell r="O381">
            <v>20.399999999999999</v>
          </cell>
          <cell r="P381">
            <v>50</v>
          </cell>
          <cell r="Q381">
            <v>50</v>
          </cell>
          <cell r="R381">
            <v>20.399999999999999</v>
          </cell>
          <cell r="S381">
            <v>49.6</v>
          </cell>
          <cell r="U381" t="str">
            <v>збс</v>
          </cell>
          <cell r="W381" t="str">
            <v>ПР ЗБС,ЗБС</v>
          </cell>
          <cell r="Y381" t="str">
            <v xml:space="preserve">Полет 112 НКТ+хв.60м </v>
          </cell>
          <cell r="AA381">
            <v>73</v>
          </cell>
          <cell r="AB381" t="str">
            <v>июн 93</v>
          </cell>
        </row>
        <row r="382">
          <cell r="B382">
            <v>5289</v>
          </cell>
          <cell r="C382">
            <v>133</v>
          </cell>
          <cell r="F382" t="str">
            <v>УПНПиКРС</v>
          </cell>
          <cell r="G382">
            <v>245</v>
          </cell>
          <cell r="H382" t="str">
            <v>ШГН</v>
          </cell>
          <cell r="I382" t="str">
            <v>конс.</v>
          </cell>
          <cell r="K382">
            <v>2</v>
          </cell>
          <cell r="L382">
            <v>1.6</v>
          </cell>
          <cell r="M382">
            <v>0</v>
          </cell>
          <cell r="N382">
            <v>10</v>
          </cell>
          <cell r="O382">
            <v>5.0999999999999996</v>
          </cell>
          <cell r="P382">
            <v>38</v>
          </cell>
          <cell r="Q382">
            <v>10</v>
          </cell>
          <cell r="R382">
            <v>5.0999999999999996</v>
          </cell>
          <cell r="S382">
            <v>37</v>
          </cell>
          <cell r="U382" t="str">
            <v>ЛА</v>
          </cell>
          <cell r="W382" t="str">
            <v>ЛА. ГИС-2. ПП. УГИС. (Либо, возврат ЮК-2-9)</v>
          </cell>
          <cell r="X382" t="str">
            <v>Извлечение НКТ</v>
          </cell>
        </row>
        <row r="383">
          <cell r="B383">
            <v>5291</v>
          </cell>
          <cell r="C383">
            <v>134</v>
          </cell>
          <cell r="F383" t="str">
            <v>УПНПиКРС</v>
          </cell>
          <cell r="G383">
            <v>220</v>
          </cell>
          <cell r="H383" t="str">
            <v>ЭЦН</v>
          </cell>
          <cell r="I383" t="str">
            <v>действ.</v>
          </cell>
          <cell r="K383">
            <v>15</v>
          </cell>
          <cell r="L383">
            <v>9.3000000000000007</v>
          </cell>
          <cell r="M383">
            <v>24</v>
          </cell>
          <cell r="N383">
            <v>15</v>
          </cell>
          <cell r="O383">
            <v>9.3000000000000007</v>
          </cell>
          <cell r="P383">
            <v>24</v>
          </cell>
          <cell r="Q383">
            <v>0</v>
          </cell>
          <cell r="R383">
            <v>0</v>
          </cell>
          <cell r="S383" t="e">
            <v>#DIV/0!</v>
          </cell>
          <cell r="U383" t="str">
            <v>ЛА</v>
          </cell>
          <cell r="W383" t="str">
            <v>ЛА.сп. НН-44</v>
          </cell>
        </row>
        <row r="384">
          <cell r="B384">
            <v>5292</v>
          </cell>
          <cell r="C384">
            <v>134</v>
          </cell>
          <cell r="F384" t="str">
            <v>УПНПиКРС</v>
          </cell>
          <cell r="G384">
            <v>270</v>
          </cell>
          <cell r="H384" t="str">
            <v>ЭЦН</v>
          </cell>
          <cell r="I384" t="str">
            <v>действ.</v>
          </cell>
          <cell r="K384">
            <v>155</v>
          </cell>
          <cell r="L384">
            <v>3.8</v>
          </cell>
          <cell r="M384">
            <v>97</v>
          </cell>
          <cell r="N384">
            <v>155</v>
          </cell>
          <cell r="O384">
            <v>7.6</v>
          </cell>
          <cell r="P384">
            <v>94</v>
          </cell>
          <cell r="Q384">
            <v>0</v>
          </cell>
          <cell r="R384">
            <v>3.8</v>
          </cell>
          <cell r="U384" t="str">
            <v>ОВП</v>
          </cell>
          <cell r="W384" t="str">
            <v>ГИС-2. ОВП (ЭМКО)</v>
          </cell>
          <cell r="X384" t="str">
            <v>ПермНИПИ</v>
          </cell>
        </row>
        <row r="385">
          <cell r="B385">
            <v>5293</v>
          </cell>
          <cell r="C385">
            <v>134</v>
          </cell>
          <cell r="F385" t="str">
            <v>УПНПиКРС</v>
          </cell>
          <cell r="G385">
            <v>270</v>
          </cell>
          <cell r="H385" t="str">
            <v>ЭЦН</v>
          </cell>
          <cell r="I385" t="str">
            <v>конс.</v>
          </cell>
          <cell r="K385">
            <v>53</v>
          </cell>
          <cell r="L385">
            <v>0.9</v>
          </cell>
          <cell r="M385">
            <v>98</v>
          </cell>
          <cell r="N385">
            <v>50</v>
          </cell>
          <cell r="O385">
            <v>3.1</v>
          </cell>
          <cell r="P385">
            <v>92.5</v>
          </cell>
          <cell r="Q385">
            <v>50</v>
          </cell>
          <cell r="R385">
            <v>3.1</v>
          </cell>
          <cell r="S385">
            <v>92.3</v>
          </cell>
          <cell r="U385" t="str">
            <v>ОВП</v>
          </cell>
          <cell r="W385" t="str">
            <v>ВЦ. ГИС-2. ОВП (МЕТКА). ГИС-2</v>
          </cell>
          <cell r="X385" t="str">
            <v>Электропрогрев выполнен</v>
          </cell>
          <cell r="Y385" t="str">
            <v>+17</v>
          </cell>
          <cell r="Z385">
            <v>2905</v>
          </cell>
          <cell r="AA385">
            <v>73</v>
          </cell>
          <cell r="AB385">
            <v>34973</v>
          </cell>
          <cell r="AF385">
            <v>39</v>
          </cell>
          <cell r="AG385">
            <v>-35</v>
          </cell>
          <cell r="AH385">
            <v>-56</v>
          </cell>
        </row>
        <row r="386">
          <cell r="B386">
            <v>5309</v>
          </cell>
          <cell r="C386">
            <v>140</v>
          </cell>
          <cell r="F386" t="str">
            <v>УПНПиКРС</v>
          </cell>
          <cell r="G386">
            <v>275</v>
          </cell>
          <cell r="H386" t="str">
            <v>ШГН</v>
          </cell>
          <cell r="I386" t="str">
            <v>бд</v>
          </cell>
          <cell r="J386">
            <v>35443</v>
          </cell>
          <cell r="K386">
            <v>1.5</v>
          </cell>
          <cell r="L386">
            <v>0.9</v>
          </cell>
          <cell r="M386">
            <v>26.5</v>
          </cell>
          <cell r="N386">
            <v>8</v>
          </cell>
          <cell r="O386">
            <v>5</v>
          </cell>
          <cell r="P386">
            <v>24</v>
          </cell>
          <cell r="Q386">
            <v>8</v>
          </cell>
          <cell r="R386">
            <v>5</v>
          </cell>
          <cell r="S386">
            <v>22.8</v>
          </cell>
          <cell r="T386">
            <v>7</v>
          </cell>
          <cell r="U386" t="str">
            <v>ОПЗ</v>
          </cell>
          <cell r="W386" t="str">
            <v>ВЦ. ГИС-2. ИР ЮК-11. ПП. ОПЗ КСПЭО</v>
          </cell>
          <cell r="X386" t="str">
            <v>Почему не обводнен ЮК-11?</v>
          </cell>
        </row>
        <row r="387">
          <cell r="B387">
            <v>5313</v>
          </cell>
          <cell r="C387">
            <v>141</v>
          </cell>
          <cell r="F387" t="str">
            <v>УПНПиКРС</v>
          </cell>
          <cell r="G387">
            <v>270</v>
          </cell>
          <cell r="H387" t="str">
            <v>ЭЦН</v>
          </cell>
          <cell r="I387" t="str">
            <v>бд</v>
          </cell>
          <cell r="N387">
            <v>50</v>
          </cell>
          <cell r="O387">
            <v>20.399999999999999</v>
          </cell>
          <cell r="P387">
            <v>50</v>
          </cell>
          <cell r="Q387">
            <v>50</v>
          </cell>
          <cell r="R387">
            <v>20.399999999999999</v>
          </cell>
          <cell r="S387">
            <v>49.6</v>
          </cell>
          <cell r="U387" t="str">
            <v>збс</v>
          </cell>
          <cell r="W387" t="str">
            <v>ПР ЗБС,ЗБС</v>
          </cell>
        </row>
        <row r="388">
          <cell r="B388">
            <v>5318</v>
          </cell>
          <cell r="C388">
            <v>134</v>
          </cell>
          <cell r="G388">
            <v>232.4</v>
          </cell>
          <cell r="H388" t="str">
            <v>нагнет.</v>
          </cell>
          <cell r="I388" t="str">
            <v>бд</v>
          </cell>
          <cell r="N388">
            <v>300</v>
          </cell>
          <cell r="Q388">
            <v>300</v>
          </cell>
          <cell r="R388">
            <v>0</v>
          </cell>
          <cell r="U388" t="str">
            <v>нг</v>
          </cell>
          <cell r="W388" t="str">
            <v>Спуск и привязка пакера, Запуск в ППД</v>
          </cell>
          <cell r="X388" t="str">
            <v>Уменьшить штуцер через 3 мес.</v>
          </cell>
        </row>
        <row r="389">
          <cell r="B389">
            <v>5331</v>
          </cell>
          <cell r="C389">
            <v>139</v>
          </cell>
          <cell r="H389" t="str">
            <v>ШГН</v>
          </cell>
          <cell r="I389" t="str">
            <v>действ.</v>
          </cell>
          <cell r="K389">
            <v>13</v>
          </cell>
          <cell r="L389">
            <v>9.9</v>
          </cell>
          <cell r="M389">
            <v>7</v>
          </cell>
          <cell r="N389">
            <v>30</v>
          </cell>
          <cell r="O389">
            <v>19</v>
          </cell>
          <cell r="P389">
            <v>22.2</v>
          </cell>
          <cell r="Q389">
            <v>17</v>
          </cell>
          <cell r="R389">
            <v>9.1</v>
          </cell>
          <cell r="S389">
            <v>33.9</v>
          </cell>
          <cell r="U389" t="str">
            <v>ГРП</v>
          </cell>
          <cell r="W389" t="str">
            <v>ГРП</v>
          </cell>
        </row>
        <row r="390">
          <cell r="B390">
            <v>5333</v>
          </cell>
          <cell r="C390">
            <v>139</v>
          </cell>
          <cell r="H390" t="str">
            <v>ШГН</v>
          </cell>
          <cell r="I390" t="str">
            <v>бд</v>
          </cell>
          <cell r="J390">
            <v>37119</v>
          </cell>
          <cell r="K390">
            <v>1</v>
          </cell>
          <cell r="L390">
            <v>0.7</v>
          </cell>
          <cell r="M390">
            <v>10</v>
          </cell>
          <cell r="N390">
            <v>30</v>
          </cell>
          <cell r="O390">
            <v>13</v>
          </cell>
          <cell r="P390">
            <v>47</v>
          </cell>
          <cell r="Q390">
            <v>30</v>
          </cell>
          <cell r="R390">
            <v>13</v>
          </cell>
          <cell r="S390">
            <v>46.5</v>
          </cell>
          <cell r="U390" t="str">
            <v>ГРП</v>
          </cell>
          <cell r="W390" t="str">
            <v>ГРП</v>
          </cell>
          <cell r="AF390">
            <v>27</v>
          </cell>
          <cell r="AG390">
            <v>-35</v>
          </cell>
          <cell r="AH390">
            <v>-126</v>
          </cell>
        </row>
        <row r="391">
          <cell r="B391">
            <v>5335</v>
          </cell>
          <cell r="C391">
            <v>140</v>
          </cell>
          <cell r="F391" t="str">
            <v>УПНПиКРС</v>
          </cell>
          <cell r="G391">
            <v>270</v>
          </cell>
          <cell r="H391" t="str">
            <v>ШГН</v>
          </cell>
          <cell r="I391" t="str">
            <v>конс.</v>
          </cell>
          <cell r="J391">
            <v>34943</v>
          </cell>
          <cell r="K391">
            <v>5</v>
          </cell>
          <cell r="L391">
            <v>2.4</v>
          </cell>
          <cell r="M391">
            <v>40</v>
          </cell>
          <cell r="N391">
            <v>18</v>
          </cell>
          <cell r="O391">
            <v>5</v>
          </cell>
          <cell r="P391">
            <v>66</v>
          </cell>
          <cell r="Q391">
            <v>18</v>
          </cell>
          <cell r="R391">
            <v>5</v>
          </cell>
          <cell r="S391">
            <v>65.7</v>
          </cell>
          <cell r="T391">
            <v>7</v>
          </cell>
          <cell r="U391" t="str">
            <v>ОПЗ</v>
          </cell>
          <cell r="W391" t="str">
            <v>ВЗ. ГИС. ПП ЮК11. УГИС</v>
          </cell>
          <cell r="X391" t="str">
            <v>Проверить циркуляцию</v>
          </cell>
          <cell r="AF391">
            <v>11</v>
          </cell>
        </row>
        <row r="392">
          <cell r="B392">
            <v>5338</v>
          </cell>
          <cell r="C392">
            <v>141</v>
          </cell>
          <cell r="F392" t="str">
            <v>УПНПиКРС</v>
          </cell>
          <cell r="G392">
            <v>281</v>
          </cell>
          <cell r="H392" t="str">
            <v>нагнет.</v>
          </cell>
          <cell r="I392" t="str">
            <v>бд</v>
          </cell>
          <cell r="J392">
            <v>36711</v>
          </cell>
          <cell r="N392">
            <v>100</v>
          </cell>
          <cell r="Q392">
            <v>100</v>
          </cell>
          <cell r="T392">
            <v>3</v>
          </cell>
          <cell r="U392" t="str">
            <v>нг</v>
          </cell>
          <cell r="W392" t="str">
            <v>Ревизия и привязка пакера</v>
          </cell>
          <cell r="Y392" t="str">
            <v>Возможно была авария</v>
          </cell>
          <cell r="AF392">
            <v>21</v>
          </cell>
        </row>
        <row r="393">
          <cell r="B393">
            <v>5339</v>
          </cell>
          <cell r="C393">
            <v>141</v>
          </cell>
          <cell r="F393" t="str">
            <v>УПНПиКРС</v>
          </cell>
          <cell r="G393">
            <v>265</v>
          </cell>
          <cell r="H393" t="str">
            <v>ШГН</v>
          </cell>
          <cell r="I393" t="str">
            <v>бд</v>
          </cell>
          <cell r="J393">
            <v>36126</v>
          </cell>
          <cell r="K393">
            <v>9</v>
          </cell>
          <cell r="L393">
            <v>4</v>
          </cell>
          <cell r="M393">
            <v>45</v>
          </cell>
          <cell r="N393">
            <v>8</v>
          </cell>
          <cell r="O393">
            <v>4.5</v>
          </cell>
          <cell r="P393">
            <v>31</v>
          </cell>
          <cell r="Q393">
            <v>8</v>
          </cell>
          <cell r="R393">
            <v>4.5</v>
          </cell>
          <cell r="S393">
            <v>30.6</v>
          </cell>
          <cell r="T393">
            <v>7</v>
          </cell>
          <cell r="U393" t="str">
            <v>ОПЗ</v>
          </cell>
          <cell r="W393" t="str">
            <v>ВЦ. ИР ЮК11. ОПЗ КСПЭО. ГДИ</v>
          </cell>
          <cell r="Y393">
            <v>0</v>
          </cell>
          <cell r="AF393">
            <v>30</v>
          </cell>
        </row>
        <row r="394">
          <cell r="B394">
            <v>5345</v>
          </cell>
          <cell r="C394">
            <v>102</v>
          </cell>
          <cell r="H394" t="str">
            <v>ЭЦН</v>
          </cell>
          <cell r="I394" t="str">
            <v>простой</v>
          </cell>
          <cell r="J394">
            <v>37209</v>
          </cell>
          <cell r="K394">
            <v>14</v>
          </cell>
          <cell r="L394">
            <v>0.5</v>
          </cell>
          <cell r="M394">
            <v>96</v>
          </cell>
          <cell r="N394">
            <v>20</v>
          </cell>
          <cell r="O394">
            <v>8.1999999999999993</v>
          </cell>
          <cell r="P394">
            <v>50</v>
          </cell>
          <cell r="Q394">
            <v>20</v>
          </cell>
          <cell r="R394">
            <v>8.1999999999999993</v>
          </cell>
          <cell r="S394">
            <v>49.4</v>
          </cell>
          <cell r="U394" t="str">
            <v>ГРП</v>
          </cell>
          <cell r="W394" t="str">
            <v>ИР ЮК-10, ПР и ГРП ЮК-2</v>
          </cell>
          <cell r="AF394">
            <v>25</v>
          </cell>
        </row>
        <row r="395">
          <cell r="B395">
            <v>5362</v>
          </cell>
          <cell r="C395">
            <v>109</v>
          </cell>
          <cell r="F395" t="str">
            <v>УПНПиКРС</v>
          </cell>
          <cell r="G395">
            <v>275</v>
          </cell>
          <cell r="H395" t="str">
            <v>ШГН</v>
          </cell>
          <cell r="I395" t="str">
            <v>конс.</v>
          </cell>
          <cell r="K395">
            <v>9</v>
          </cell>
          <cell r="L395">
            <v>0.3</v>
          </cell>
          <cell r="M395">
            <v>96</v>
          </cell>
          <cell r="N395">
            <v>30</v>
          </cell>
          <cell r="O395">
            <v>5</v>
          </cell>
          <cell r="P395">
            <v>79.5</v>
          </cell>
          <cell r="Q395">
            <v>30</v>
          </cell>
          <cell r="R395">
            <v>5</v>
          </cell>
          <cell r="S395">
            <v>79.400000000000006</v>
          </cell>
          <cell r="T395">
            <v>7</v>
          </cell>
          <cell r="U395" t="str">
            <v>ОВП</v>
          </cell>
          <cell r="W395" t="str">
            <v>ИРЮК11. ГИС-2. ПП (УГИС)</v>
          </cell>
          <cell r="AF395">
            <v>24</v>
          </cell>
          <cell r="AG395">
            <v>-33</v>
          </cell>
          <cell r="AH395">
            <v>-63</v>
          </cell>
        </row>
        <row r="396">
          <cell r="B396">
            <v>5364</v>
          </cell>
          <cell r="C396">
            <v>109</v>
          </cell>
          <cell r="F396" t="str">
            <v>УПНПиКРС</v>
          </cell>
          <cell r="G396">
            <v>275</v>
          </cell>
          <cell r="H396" t="str">
            <v>ШГН</v>
          </cell>
          <cell r="I396" t="str">
            <v>действ.</v>
          </cell>
          <cell r="J396">
            <v>0</v>
          </cell>
          <cell r="K396">
            <v>3</v>
          </cell>
          <cell r="L396">
            <v>2.1</v>
          </cell>
          <cell r="M396">
            <v>15</v>
          </cell>
          <cell r="N396">
            <v>12</v>
          </cell>
          <cell r="O396">
            <v>6.8</v>
          </cell>
          <cell r="P396">
            <v>30</v>
          </cell>
          <cell r="Q396">
            <v>9</v>
          </cell>
          <cell r="R396">
            <v>4.6999999999999993</v>
          </cell>
          <cell r="S396">
            <v>35.5</v>
          </cell>
          <cell r="T396">
            <v>7</v>
          </cell>
          <cell r="U396" t="str">
            <v>ОПЗ</v>
          </cell>
          <cell r="W396" t="str">
            <v>ГИС-2. ИР ЮК-11. ПП. ОПЗ КСПЭО. УГИС</v>
          </cell>
          <cell r="Y396" t="str">
            <v>-</v>
          </cell>
          <cell r="Z396" t="str">
            <v>-</v>
          </cell>
          <cell r="AA396">
            <v>73</v>
          </cell>
          <cell r="AF396">
            <v>17</v>
          </cell>
          <cell r="AG396">
            <v>0</v>
          </cell>
          <cell r="AH396">
            <v>4524960</v>
          </cell>
        </row>
        <row r="397">
          <cell r="B397">
            <v>5371</v>
          </cell>
          <cell r="C397">
            <v>102</v>
          </cell>
          <cell r="F397" t="str">
            <v>ЗАО "УПКРС"</v>
          </cell>
          <cell r="G397">
            <v>250</v>
          </cell>
          <cell r="H397" t="str">
            <v>нагнет.</v>
          </cell>
          <cell r="I397" t="str">
            <v>бд</v>
          </cell>
          <cell r="J397">
            <v>35779</v>
          </cell>
          <cell r="N397">
            <v>120</v>
          </cell>
          <cell r="Q397">
            <v>120</v>
          </cell>
          <cell r="R397">
            <v>0</v>
          </cell>
          <cell r="T397">
            <v>3</v>
          </cell>
          <cell r="U397" t="str">
            <v>нг</v>
          </cell>
          <cell r="V397">
            <v>4</v>
          </cell>
          <cell r="W397" t="str">
            <v>ОТСК. Запуск ППД</v>
          </cell>
          <cell r="Y397" t="str">
            <v>Полет НКТ</v>
          </cell>
          <cell r="Z397">
            <v>120</v>
          </cell>
          <cell r="AF397">
            <v>26</v>
          </cell>
          <cell r="AG397">
            <v>0</v>
          </cell>
          <cell r="AH397">
            <v>-960</v>
          </cell>
        </row>
        <row r="398">
          <cell r="B398">
            <v>5372</v>
          </cell>
          <cell r="C398">
            <v>102</v>
          </cell>
          <cell r="F398" t="str">
            <v>ЗАО "УПКРС"</v>
          </cell>
          <cell r="G398">
            <v>250</v>
          </cell>
          <cell r="H398" t="str">
            <v>нагнет.</v>
          </cell>
          <cell r="I398" t="str">
            <v>конс.</v>
          </cell>
          <cell r="J398">
            <v>32843</v>
          </cell>
          <cell r="N398">
            <v>120</v>
          </cell>
          <cell r="Q398">
            <v>120</v>
          </cell>
          <cell r="R398">
            <v>0</v>
          </cell>
          <cell r="T398">
            <v>8</v>
          </cell>
          <cell r="U398" t="str">
            <v>нг</v>
          </cell>
          <cell r="W398" t="str">
            <v>ЛА (извлечение НКТ). ОТСК. Запуск ППД</v>
          </cell>
          <cell r="X398" t="str">
            <v>Забой - 120 м</v>
          </cell>
          <cell r="Y398" t="str">
            <v>зумпф-1м (нижн. интерв.изолир.)</v>
          </cell>
          <cell r="Z398">
            <v>2733.6</v>
          </cell>
          <cell r="AA398">
            <v>73</v>
          </cell>
          <cell r="AB398">
            <v>39541</v>
          </cell>
          <cell r="AC398">
            <v>223.1</v>
          </cell>
          <cell r="AF398">
            <v>36</v>
          </cell>
          <cell r="AG398">
            <v>0</v>
          </cell>
          <cell r="AH398">
            <v>-360</v>
          </cell>
        </row>
        <row r="399">
          <cell r="B399">
            <v>5373</v>
          </cell>
          <cell r="C399">
            <v>103</v>
          </cell>
          <cell r="F399" t="str">
            <v>ЗАО "УПКРС"</v>
          </cell>
          <cell r="G399">
            <v>233</v>
          </cell>
          <cell r="H399" t="str">
            <v>нагнет.</v>
          </cell>
          <cell r="I399" t="str">
            <v>конс.</v>
          </cell>
          <cell r="J399">
            <v>34474</v>
          </cell>
          <cell r="N399">
            <v>120</v>
          </cell>
          <cell r="Q399">
            <v>120</v>
          </cell>
          <cell r="R399">
            <v>0</v>
          </cell>
          <cell r="T399">
            <v>3</v>
          </cell>
          <cell r="U399" t="str">
            <v>нг</v>
          </cell>
          <cell r="W399" t="str">
            <v>ОТСК. ГИС-3. Ликвидация ЗКЦ?</v>
          </cell>
          <cell r="Y399" t="str">
            <v>+19</v>
          </cell>
          <cell r="Z399">
            <v>2767</v>
          </cell>
          <cell r="AC399">
            <v>224.5</v>
          </cell>
          <cell r="AF399">
            <v>35</v>
          </cell>
          <cell r="AG399">
            <v>0</v>
          </cell>
          <cell r="AH399">
            <v>-360</v>
          </cell>
        </row>
        <row r="400">
          <cell r="B400">
            <v>5374</v>
          </cell>
          <cell r="C400">
            <v>103</v>
          </cell>
          <cell r="F400" t="str">
            <v>ЗАО "УПКРС"</v>
          </cell>
          <cell r="G400">
            <v>234</v>
          </cell>
          <cell r="H400" t="str">
            <v>нагнет.</v>
          </cell>
          <cell r="I400" t="str">
            <v>бд</v>
          </cell>
          <cell r="J400">
            <v>34474</v>
          </cell>
          <cell r="N400">
            <v>120</v>
          </cell>
          <cell r="Q400">
            <v>120</v>
          </cell>
          <cell r="R400">
            <v>0</v>
          </cell>
          <cell r="T400">
            <v>3</v>
          </cell>
          <cell r="U400" t="str">
            <v>нг</v>
          </cell>
          <cell r="W400" t="str">
            <v>ВЗ. ОТСК</v>
          </cell>
          <cell r="AF400">
            <v>11</v>
          </cell>
          <cell r="AG400">
            <v>0</v>
          </cell>
          <cell r="AH400">
            <v>-300</v>
          </cell>
        </row>
        <row r="401">
          <cell r="B401">
            <v>5389</v>
          </cell>
          <cell r="C401">
            <v>109</v>
          </cell>
          <cell r="F401" t="str">
            <v>УПНПиКРС</v>
          </cell>
          <cell r="G401">
            <v>280</v>
          </cell>
          <cell r="H401" t="str">
            <v>нагнет.</v>
          </cell>
          <cell r="I401" t="str">
            <v>бд</v>
          </cell>
          <cell r="J401">
            <v>36458</v>
          </cell>
          <cell r="N401">
            <v>100</v>
          </cell>
          <cell r="Q401">
            <v>100</v>
          </cell>
          <cell r="T401">
            <v>3</v>
          </cell>
          <cell r="U401" t="str">
            <v>нг</v>
          </cell>
          <cell r="W401" t="str">
            <v xml:space="preserve">ОПЗ </v>
          </cell>
          <cell r="X401" t="str">
            <v>Закачка от КНС-1</v>
          </cell>
          <cell r="AF401">
            <v>24</v>
          </cell>
          <cell r="AG401">
            <v>0</v>
          </cell>
          <cell r="AH401">
            <v>-300</v>
          </cell>
        </row>
        <row r="402">
          <cell r="B402">
            <v>5391</v>
          </cell>
          <cell r="C402">
            <v>109</v>
          </cell>
          <cell r="F402" t="str">
            <v>УПНПиКРС</v>
          </cell>
          <cell r="G402">
            <v>285</v>
          </cell>
          <cell r="H402" t="str">
            <v>нагнет.</v>
          </cell>
          <cell r="I402" t="str">
            <v>бд</v>
          </cell>
          <cell r="J402">
            <v>34426</v>
          </cell>
          <cell r="N402">
            <v>100</v>
          </cell>
          <cell r="Q402">
            <v>100</v>
          </cell>
          <cell r="T402">
            <v>3</v>
          </cell>
          <cell r="U402" t="str">
            <v>нг</v>
          </cell>
          <cell r="W402" t="str">
            <v>ИР ЮК-11. ОПЗ. Пуск под закачку</v>
          </cell>
          <cell r="X402" t="str">
            <v>Закачка от КНС-1</v>
          </cell>
          <cell r="AF402">
            <v>32</v>
          </cell>
        </row>
        <row r="403">
          <cell r="B403">
            <v>5394</v>
          </cell>
          <cell r="C403">
            <v>101</v>
          </cell>
          <cell r="F403" t="str">
            <v>УПНПиКРС</v>
          </cell>
          <cell r="G403">
            <v>250</v>
          </cell>
          <cell r="H403" t="str">
            <v>фон</v>
          </cell>
          <cell r="I403" t="str">
            <v>бд</v>
          </cell>
          <cell r="J403">
            <v>34881</v>
          </cell>
          <cell r="K403">
            <v>5</v>
          </cell>
          <cell r="L403">
            <v>4.0999999999999996</v>
          </cell>
          <cell r="M403">
            <v>0</v>
          </cell>
          <cell r="N403">
            <v>7</v>
          </cell>
          <cell r="O403">
            <v>4</v>
          </cell>
          <cell r="P403">
            <v>30</v>
          </cell>
          <cell r="Q403">
            <v>7</v>
          </cell>
          <cell r="R403">
            <v>4</v>
          </cell>
          <cell r="S403">
            <v>29.5</v>
          </cell>
          <cell r="U403" t="str">
            <v>ОПЗ</v>
          </cell>
          <cell r="W403" t="str">
            <v>ЛА. ПП. ОПЗ КСПЭО. ГДИ</v>
          </cell>
          <cell r="AF403">
            <v>39</v>
          </cell>
          <cell r="AG403">
            <v>-42</v>
          </cell>
          <cell r="AH403">
            <v>-350</v>
          </cell>
        </row>
        <row r="404">
          <cell r="B404">
            <v>5415</v>
          </cell>
          <cell r="C404">
            <v>109</v>
          </cell>
          <cell r="F404" t="str">
            <v>УПНПиКРС</v>
          </cell>
          <cell r="G404">
            <v>275</v>
          </cell>
          <cell r="H404" t="str">
            <v>ЭЦН</v>
          </cell>
          <cell r="I404" t="str">
            <v>конс.</v>
          </cell>
          <cell r="J404">
            <v>32964</v>
          </cell>
          <cell r="K404">
            <v>30</v>
          </cell>
          <cell r="L404">
            <v>4.9000000000000004</v>
          </cell>
          <cell r="M404">
            <v>80</v>
          </cell>
          <cell r="N404">
            <v>50</v>
          </cell>
          <cell r="O404">
            <v>6</v>
          </cell>
          <cell r="P404">
            <v>85.3</v>
          </cell>
          <cell r="Q404">
            <v>50</v>
          </cell>
          <cell r="R404">
            <v>6</v>
          </cell>
          <cell r="S404">
            <v>85.2</v>
          </cell>
          <cell r="T404">
            <v>7</v>
          </cell>
          <cell r="U404" t="str">
            <v>ВЦ</v>
          </cell>
          <cell r="W404" t="str">
            <v>ВЦ. ВЗ. УГИС</v>
          </cell>
          <cell r="AF404">
            <v>29</v>
          </cell>
        </row>
        <row r="405">
          <cell r="B405">
            <v>5416</v>
          </cell>
          <cell r="C405">
            <v>109</v>
          </cell>
          <cell r="F405" t="str">
            <v>ЗАО "УПКРС"</v>
          </cell>
          <cell r="G405">
            <v>270</v>
          </cell>
          <cell r="H405" t="str">
            <v>ЭЦН</v>
          </cell>
          <cell r="I405" t="str">
            <v>бд</v>
          </cell>
          <cell r="J405">
            <v>32964</v>
          </cell>
          <cell r="N405">
            <v>50</v>
          </cell>
          <cell r="O405">
            <v>6</v>
          </cell>
          <cell r="P405">
            <v>85.3</v>
          </cell>
          <cell r="Q405">
            <v>50</v>
          </cell>
          <cell r="R405">
            <v>6</v>
          </cell>
          <cell r="S405">
            <v>85.2</v>
          </cell>
          <cell r="T405">
            <v>37440</v>
          </cell>
          <cell r="U405" t="str">
            <v>ОПЗ</v>
          </cell>
          <cell r="W405" t="str">
            <v>ВЦ. ИР ЮК11. ГИС-2. ПП ЮК10. ОПЗ</v>
          </cell>
          <cell r="Y405" t="str">
            <v>Отс.Нз, (Нз.т.=2595, ЮК-2-3(2496,6-2520)</v>
          </cell>
          <cell r="AF405">
            <v>45</v>
          </cell>
        </row>
        <row r="406">
          <cell r="B406">
            <v>5423</v>
          </cell>
          <cell r="C406">
            <v>101</v>
          </cell>
          <cell r="H406" t="str">
            <v>ФОН</v>
          </cell>
          <cell r="I406" t="str">
            <v>бд</v>
          </cell>
          <cell r="J406">
            <v>33605</v>
          </cell>
          <cell r="N406">
            <v>20</v>
          </cell>
          <cell r="O406">
            <v>8.1999999999999993</v>
          </cell>
          <cell r="P406">
            <v>50</v>
          </cell>
          <cell r="Q406">
            <v>20</v>
          </cell>
          <cell r="R406">
            <v>8.1999999999999993</v>
          </cell>
          <cell r="S406">
            <v>49.4</v>
          </cell>
          <cell r="U406" t="str">
            <v>ГРП</v>
          </cell>
          <cell r="W406" t="str">
            <v>ИР ЮК-10, ПР и ГРП ЮК-2</v>
          </cell>
          <cell r="Y406" t="str">
            <v>ОЦ. 5.10.99</v>
          </cell>
        </row>
        <row r="407">
          <cell r="B407">
            <v>5428</v>
          </cell>
          <cell r="C407">
            <v>103</v>
          </cell>
          <cell r="H407" t="str">
            <v>ШГН</v>
          </cell>
          <cell r="I407" t="str">
            <v>конс.</v>
          </cell>
          <cell r="J407">
            <v>32843</v>
          </cell>
          <cell r="Q407">
            <v>0</v>
          </cell>
          <cell r="R407">
            <v>0</v>
          </cell>
          <cell r="U407" t="str">
            <v>ГРП</v>
          </cell>
          <cell r="W407" t="str">
            <v>ВЦ, ГИС-2(ОТСК), ИР ЮК-10, ПР к ГРП и ГРП</v>
          </cell>
          <cell r="AF407">
            <v>30</v>
          </cell>
        </row>
        <row r="408">
          <cell r="B408">
            <v>5440</v>
          </cell>
          <cell r="C408">
            <v>108</v>
          </cell>
          <cell r="H408" t="str">
            <v>ЭЦН</v>
          </cell>
          <cell r="I408" t="str">
            <v>бд</v>
          </cell>
          <cell r="J408">
            <v>34365</v>
          </cell>
          <cell r="N408">
            <v>30</v>
          </cell>
          <cell r="O408">
            <v>10</v>
          </cell>
          <cell r="P408">
            <v>59</v>
          </cell>
          <cell r="Q408">
            <v>30</v>
          </cell>
          <cell r="R408">
            <v>10</v>
          </cell>
          <cell r="S408">
            <v>58.8</v>
          </cell>
          <cell r="U408" t="str">
            <v>ГРП</v>
          </cell>
          <cell r="W408" t="str">
            <v xml:space="preserve"> ВЦ ИР ЮК-11,ГРП</v>
          </cell>
          <cell r="Y408" t="str">
            <v>На забое 2 прибора ЦНИПР, по печати боковые задиры. КРС лов.работы не производил.</v>
          </cell>
          <cell r="AF408">
            <v>30</v>
          </cell>
        </row>
        <row r="409">
          <cell r="B409">
            <v>5441</v>
          </cell>
          <cell r="C409">
            <v>108</v>
          </cell>
          <cell r="H409" t="str">
            <v>ШГН</v>
          </cell>
          <cell r="I409" t="str">
            <v>бд</v>
          </cell>
          <cell r="J409">
            <v>34834</v>
          </cell>
          <cell r="N409">
            <v>30</v>
          </cell>
          <cell r="O409">
            <v>12</v>
          </cell>
          <cell r="P409">
            <v>51</v>
          </cell>
          <cell r="Q409">
            <v>30</v>
          </cell>
          <cell r="R409">
            <v>12</v>
          </cell>
          <cell r="S409">
            <v>50.6</v>
          </cell>
          <cell r="U409" t="str">
            <v>ГРП</v>
          </cell>
          <cell r="W409" t="str">
            <v>ВЦ, ЛА, ВЗ, ИР ЮК-11, ГРП</v>
          </cell>
          <cell r="AF409">
            <v>30</v>
          </cell>
        </row>
        <row r="410">
          <cell r="B410">
            <v>5443</v>
          </cell>
          <cell r="C410">
            <v>108</v>
          </cell>
          <cell r="H410" t="str">
            <v>ШГН</v>
          </cell>
          <cell r="I410" t="str">
            <v>бд</v>
          </cell>
          <cell r="J410">
            <v>35097</v>
          </cell>
          <cell r="N410">
            <v>30</v>
          </cell>
          <cell r="O410">
            <v>10</v>
          </cell>
          <cell r="P410">
            <v>59</v>
          </cell>
          <cell r="Q410">
            <v>30</v>
          </cell>
          <cell r="R410">
            <v>10</v>
          </cell>
          <cell r="S410">
            <v>58.8</v>
          </cell>
          <cell r="U410" t="str">
            <v>ГРП</v>
          </cell>
          <cell r="W410" t="str">
            <v>ВЦ, ВЗ, ИР ЮК-11, ГРП</v>
          </cell>
          <cell r="AF410">
            <v>29</v>
          </cell>
          <cell r="AG410">
            <v>-732</v>
          </cell>
          <cell r="AH410">
            <v>-1830</v>
          </cell>
        </row>
        <row r="411">
          <cell r="B411">
            <v>5444</v>
          </cell>
          <cell r="C411">
            <v>109</v>
          </cell>
          <cell r="F411" t="str">
            <v>ЗАО "УПКРС"</v>
          </cell>
          <cell r="G411">
            <v>270</v>
          </cell>
          <cell r="H411" t="str">
            <v>ЭЦН</v>
          </cell>
          <cell r="I411" t="str">
            <v>бд</v>
          </cell>
          <cell r="J411">
            <v>33784</v>
          </cell>
          <cell r="N411">
            <v>15</v>
          </cell>
          <cell r="O411">
            <v>6</v>
          </cell>
          <cell r="P411">
            <v>51</v>
          </cell>
          <cell r="Q411">
            <v>15</v>
          </cell>
          <cell r="R411">
            <v>6</v>
          </cell>
          <cell r="S411">
            <v>50.6</v>
          </cell>
          <cell r="T411">
            <v>37410</v>
          </cell>
          <cell r="U411" t="str">
            <v>ОПЗ</v>
          </cell>
          <cell r="W411" t="str">
            <v>ВЗ. ИР ЮК11. ГИС-2. ПП ЮК10. ОПЗ</v>
          </cell>
          <cell r="AF411">
            <v>32</v>
          </cell>
        </row>
        <row r="412">
          <cell r="B412">
            <v>5451</v>
          </cell>
          <cell r="C412">
            <v>101</v>
          </cell>
          <cell r="F412" t="str">
            <v>УПНПиКРС</v>
          </cell>
          <cell r="G412">
            <v>250</v>
          </cell>
          <cell r="H412" t="str">
            <v>ШГН</v>
          </cell>
          <cell r="I412" t="str">
            <v>бд</v>
          </cell>
          <cell r="J412">
            <v>35648</v>
          </cell>
          <cell r="N412">
            <v>21</v>
          </cell>
          <cell r="O412">
            <v>5.0999999999999996</v>
          </cell>
          <cell r="P412">
            <v>70</v>
          </cell>
          <cell r="Q412">
            <v>21</v>
          </cell>
          <cell r="R412">
            <v>5.0999999999999996</v>
          </cell>
          <cell r="S412">
            <v>70</v>
          </cell>
          <cell r="U412" t="str">
            <v>ОПЗ</v>
          </cell>
          <cell r="W412" t="str">
            <v>ВЦ,ВЗ ДП УГИС. ОПЗ НТПН. ГДИ</v>
          </cell>
          <cell r="X412" t="str">
            <v>Необходима СК</v>
          </cell>
          <cell r="Y412" t="str">
            <v>+40м</v>
          </cell>
          <cell r="Z412">
            <v>2924</v>
          </cell>
          <cell r="AA412" t="str">
            <v>73+60</v>
          </cell>
          <cell r="AF412">
            <v>25</v>
          </cell>
        </row>
        <row r="413">
          <cell r="B413">
            <v>5454</v>
          </cell>
          <cell r="C413">
            <v>102</v>
          </cell>
          <cell r="F413" t="str">
            <v>УПНПиКРС</v>
          </cell>
          <cell r="G413">
            <v>250</v>
          </cell>
          <cell r="H413" t="str">
            <v>ЭЦН</v>
          </cell>
          <cell r="I413" t="str">
            <v>конс.</v>
          </cell>
          <cell r="K413">
            <v>17</v>
          </cell>
          <cell r="L413">
            <v>0.1</v>
          </cell>
          <cell r="M413">
            <v>99</v>
          </cell>
          <cell r="N413">
            <v>30</v>
          </cell>
          <cell r="O413">
            <v>2</v>
          </cell>
          <cell r="P413">
            <v>91.8</v>
          </cell>
          <cell r="Q413">
            <v>30</v>
          </cell>
          <cell r="R413">
            <v>2</v>
          </cell>
          <cell r="S413">
            <v>91.8</v>
          </cell>
          <cell r="U413" t="str">
            <v>ОПЗ</v>
          </cell>
          <cell r="W413" t="str">
            <v>ВЦ. ГИС-2. Освоение УГИС</v>
          </cell>
          <cell r="X413" t="str">
            <v>в НКТ - на 170 м металл</v>
          </cell>
          <cell r="Y413" t="str">
            <v>аварийн.НКТ - 7м ИП открыто</v>
          </cell>
          <cell r="Z413">
            <v>2934</v>
          </cell>
          <cell r="AA413">
            <v>73</v>
          </cell>
          <cell r="AB413" t="str">
            <v>-</v>
          </cell>
          <cell r="AG413">
            <v>0</v>
          </cell>
          <cell r="AH413">
            <v>0</v>
          </cell>
        </row>
        <row r="414">
          <cell r="B414">
            <v>5455</v>
          </cell>
          <cell r="C414">
            <v>102</v>
          </cell>
          <cell r="G414">
            <v>240</v>
          </cell>
          <cell r="H414" t="str">
            <v>ШГН</v>
          </cell>
          <cell r="I414" t="str">
            <v>конс.</v>
          </cell>
          <cell r="J414">
            <v>32843</v>
          </cell>
          <cell r="K414">
            <v>7</v>
          </cell>
          <cell r="L414">
            <v>5</v>
          </cell>
          <cell r="M414">
            <v>12</v>
          </cell>
          <cell r="N414">
            <v>18</v>
          </cell>
          <cell r="O414">
            <v>10</v>
          </cell>
          <cell r="P414">
            <v>31.5</v>
          </cell>
          <cell r="Q414">
            <v>18</v>
          </cell>
          <cell r="R414">
            <v>10</v>
          </cell>
          <cell r="S414">
            <v>31.4</v>
          </cell>
          <cell r="W414" t="str">
            <v>ВЦ. ИР ЮК-10. ГДИ. ПП ДН. ГРП ЮК 2-3</v>
          </cell>
          <cell r="Y414" t="str">
            <v>+53</v>
          </cell>
          <cell r="Z414">
            <v>3033</v>
          </cell>
          <cell r="AG414">
            <v>0</v>
          </cell>
          <cell r="AH414">
            <v>0</v>
          </cell>
        </row>
        <row r="415">
          <cell r="B415">
            <v>5460</v>
          </cell>
          <cell r="C415">
            <v>104</v>
          </cell>
          <cell r="G415">
            <v>275</v>
          </cell>
          <cell r="H415" t="str">
            <v>ЭЦН</v>
          </cell>
          <cell r="I415" t="str">
            <v>бд</v>
          </cell>
          <cell r="J415">
            <v>34138</v>
          </cell>
          <cell r="K415">
            <v>28</v>
          </cell>
          <cell r="L415">
            <v>5.9</v>
          </cell>
          <cell r="M415">
            <v>74</v>
          </cell>
          <cell r="N415">
            <v>10</v>
          </cell>
          <cell r="O415">
            <v>0.5</v>
          </cell>
          <cell r="P415">
            <v>94</v>
          </cell>
          <cell r="Q415">
            <v>10</v>
          </cell>
          <cell r="R415">
            <v>0.5</v>
          </cell>
          <cell r="S415">
            <v>93.8</v>
          </cell>
          <cell r="U415" t="str">
            <v>ОВП</v>
          </cell>
          <cell r="W415" t="str">
            <v>ВЦ. ОТСК. Ликв.грифона. ГИС-2. ОВП. ГИС-2</v>
          </cell>
          <cell r="X415" t="str">
            <v>ВЦ субподрядом. МЕТКА</v>
          </cell>
          <cell r="Y415" t="str">
            <v>перекрыт ИП - 10 м</v>
          </cell>
        </row>
        <row r="416">
          <cell r="B416">
            <v>5461</v>
          </cell>
          <cell r="C416">
            <v>104</v>
          </cell>
          <cell r="F416" t="str">
            <v>УПНПиКРС</v>
          </cell>
          <cell r="G416">
            <v>280</v>
          </cell>
          <cell r="H416" t="str">
            <v>ЭЦН</v>
          </cell>
          <cell r="I416" t="str">
            <v>конс.</v>
          </cell>
          <cell r="K416">
            <v>14</v>
          </cell>
          <cell r="L416">
            <v>0.6</v>
          </cell>
          <cell r="M416">
            <v>95</v>
          </cell>
          <cell r="N416">
            <v>50</v>
          </cell>
          <cell r="O416">
            <v>3.1</v>
          </cell>
          <cell r="P416">
            <v>92.5</v>
          </cell>
          <cell r="Q416">
            <v>50</v>
          </cell>
          <cell r="R416">
            <v>3.1</v>
          </cell>
          <cell r="S416">
            <v>92.3</v>
          </cell>
          <cell r="W416" t="str">
            <v>ВЦ. ВЗ. ГИС-2. Спуск ЭЦН</v>
          </cell>
          <cell r="X416" t="str">
            <v>ОВП по результатам эксплуатации</v>
          </cell>
          <cell r="AF416">
            <v>30</v>
          </cell>
        </row>
        <row r="417">
          <cell r="B417">
            <v>5473</v>
          </cell>
          <cell r="C417">
            <v>110</v>
          </cell>
          <cell r="H417" t="str">
            <v>ЭЦН</v>
          </cell>
          <cell r="I417" t="str">
            <v>конс.</v>
          </cell>
          <cell r="J417">
            <v>36014</v>
          </cell>
          <cell r="N417">
            <v>20</v>
          </cell>
          <cell r="O417">
            <v>10</v>
          </cell>
          <cell r="P417">
            <v>38.5</v>
          </cell>
          <cell r="Q417">
            <v>20</v>
          </cell>
          <cell r="R417">
            <v>10</v>
          </cell>
          <cell r="S417">
            <v>38.299999999999997</v>
          </cell>
          <cell r="U417" t="str">
            <v>ГРП</v>
          </cell>
          <cell r="W417" t="str">
            <v>ВЦ, ГИС, ИР ЮК-11, ГРП верх ЮК-10</v>
          </cell>
          <cell r="AF417">
            <v>30</v>
          </cell>
        </row>
        <row r="418">
          <cell r="B418">
            <v>5475</v>
          </cell>
          <cell r="C418">
            <v>110</v>
          </cell>
          <cell r="H418" t="str">
            <v>нагн</v>
          </cell>
          <cell r="I418" t="str">
            <v>конс.</v>
          </cell>
          <cell r="J418">
            <v>33603</v>
          </cell>
          <cell r="N418">
            <v>40</v>
          </cell>
          <cell r="O418">
            <v>16</v>
          </cell>
          <cell r="P418">
            <v>51</v>
          </cell>
          <cell r="Q418">
            <v>40</v>
          </cell>
          <cell r="R418">
            <v>16</v>
          </cell>
          <cell r="S418">
            <v>50.6</v>
          </cell>
          <cell r="U418" t="str">
            <v>ГРП</v>
          </cell>
          <cell r="W418" t="str">
            <v>ВЦ, ГИС, ГРП  ЮК-10( ЗБГС в напр.5474)</v>
          </cell>
          <cell r="Y418" t="str">
            <v>+11</v>
          </cell>
          <cell r="Z418">
            <v>2876</v>
          </cell>
          <cell r="AA418">
            <v>73</v>
          </cell>
          <cell r="AB418" t="str">
            <v>апр,май 01</v>
          </cell>
        </row>
        <row r="419">
          <cell r="B419">
            <v>5482</v>
          </cell>
          <cell r="C419">
            <v>114</v>
          </cell>
          <cell r="F419" t="str">
            <v>УПНПиКРС</v>
          </cell>
          <cell r="G419">
            <v>216</v>
          </cell>
          <cell r="H419" t="str">
            <v>ШГН</v>
          </cell>
          <cell r="I419" t="str">
            <v>конс.</v>
          </cell>
          <cell r="L419">
            <v>0</v>
          </cell>
          <cell r="N419">
            <v>18</v>
          </cell>
          <cell r="O419">
            <v>10</v>
          </cell>
          <cell r="P419">
            <v>31.5</v>
          </cell>
          <cell r="Q419">
            <v>18</v>
          </cell>
          <cell r="R419">
            <v>10</v>
          </cell>
          <cell r="S419">
            <v>31.4</v>
          </cell>
          <cell r="U419" t="str">
            <v>ВВ</v>
          </cell>
          <cell r="W419" t="str">
            <v>ИР ЮК10. ДП(ДН), ГРП ЮК-2-6</v>
          </cell>
          <cell r="X419" t="str">
            <v>Отложена</v>
          </cell>
          <cell r="Y419" t="str">
            <v>ОЦ5.10.99</v>
          </cell>
          <cell r="AF419">
            <v>25</v>
          </cell>
        </row>
        <row r="420">
          <cell r="B420">
            <v>5483</v>
          </cell>
          <cell r="C420">
            <v>115</v>
          </cell>
          <cell r="H420" t="str">
            <v>ЭЦН</v>
          </cell>
          <cell r="I420" t="str">
            <v>конс.</v>
          </cell>
          <cell r="J420">
            <v>34274</v>
          </cell>
          <cell r="N420">
            <v>20</v>
          </cell>
          <cell r="O420">
            <v>8.1999999999999993</v>
          </cell>
          <cell r="P420">
            <v>50</v>
          </cell>
          <cell r="Q420">
            <v>20</v>
          </cell>
          <cell r="R420">
            <v>8.1999999999999993</v>
          </cell>
          <cell r="S420">
            <v>49.4</v>
          </cell>
          <cell r="U420" t="str">
            <v>ГРП</v>
          </cell>
          <cell r="W420" t="str">
            <v>ВЦ, ГИС-2(ОТСК), ИР ЮК-10, ПР к ГРП и ГРП</v>
          </cell>
          <cell r="AF420">
            <v>14</v>
          </cell>
          <cell r="AG420">
            <v>0</v>
          </cell>
          <cell r="AH420">
            <v>0</v>
          </cell>
        </row>
        <row r="421">
          <cell r="B421">
            <v>5511</v>
          </cell>
          <cell r="C421">
            <v>114</v>
          </cell>
          <cell r="F421" t="str">
            <v>ЗАО "УПКРС"</v>
          </cell>
          <cell r="G421">
            <v>245</v>
          </cell>
          <cell r="H421" t="str">
            <v>ШГН</v>
          </cell>
          <cell r="I421" t="str">
            <v>действ.</v>
          </cell>
          <cell r="K421">
            <v>4</v>
          </cell>
          <cell r="L421">
            <v>1.7</v>
          </cell>
          <cell r="M421">
            <v>47</v>
          </cell>
          <cell r="N421">
            <v>10</v>
          </cell>
          <cell r="O421">
            <v>4.3</v>
          </cell>
          <cell r="P421">
            <v>47</v>
          </cell>
          <cell r="Q421">
            <v>6</v>
          </cell>
          <cell r="R421">
            <v>2.5999999999999996</v>
          </cell>
          <cell r="S421">
            <v>46.5</v>
          </cell>
          <cell r="U421" t="str">
            <v>ОПЗ</v>
          </cell>
          <cell r="W421" t="str">
            <v>УГИС. ОПЗ НТПН. ГДИ</v>
          </cell>
          <cell r="Y421" t="str">
            <v>+41</v>
          </cell>
          <cell r="Z421">
            <v>2725</v>
          </cell>
          <cell r="AA421">
            <v>73</v>
          </cell>
          <cell r="AB421">
            <v>32695</v>
          </cell>
          <cell r="AF421">
            <v>30</v>
          </cell>
        </row>
        <row r="422">
          <cell r="B422">
            <v>5546</v>
          </cell>
          <cell r="C422">
            <v>115</v>
          </cell>
          <cell r="F422" t="str">
            <v>УПНПиКРС</v>
          </cell>
          <cell r="G422">
            <v>245</v>
          </cell>
          <cell r="H422" t="str">
            <v>нагнет.</v>
          </cell>
          <cell r="I422" t="str">
            <v>бд</v>
          </cell>
          <cell r="J422">
            <v>34261</v>
          </cell>
          <cell r="N422">
            <v>100</v>
          </cell>
          <cell r="Q422">
            <v>100</v>
          </cell>
          <cell r="R422">
            <v>0</v>
          </cell>
          <cell r="U422" t="str">
            <v>нг</v>
          </cell>
          <cell r="W422" t="str">
            <v>ВЗ. ОТСК. Запуск ППД</v>
          </cell>
          <cell r="X422" t="str">
            <v>В скв. НКТ с пакером</v>
          </cell>
          <cell r="AF422">
            <v>14</v>
          </cell>
          <cell r="AG422">
            <v>89</v>
          </cell>
          <cell r="AH422">
            <v>550</v>
          </cell>
        </row>
        <row r="423">
          <cell r="B423">
            <v>5561</v>
          </cell>
          <cell r="C423">
            <v>119</v>
          </cell>
          <cell r="F423" t="str">
            <v>УПНПиКРС</v>
          </cell>
          <cell r="G423">
            <v>235</v>
          </cell>
          <cell r="H423" t="str">
            <v>ШГН</v>
          </cell>
          <cell r="I423" t="str">
            <v>бд</v>
          </cell>
          <cell r="J423">
            <v>37123</v>
          </cell>
          <cell r="K423">
            <v>8</v>
          </cell>
          <cell r="L423">
            <v>1.6</v>
          </cell>
          <cell r="M423">
            <v>75</v>
          </cell>
          <cell r="N423">
            <v>50</v>
          </cell>
          <cell r="O423">
            <v>8.1</v>
          </cell>
          <cell r="P423">
            <v>80</v>
          </cell>
          <cell r="Q423">
            <v>50</v>
          </cell>
          <cell r="R423">
            <v>8.1</v>
          </cell>
          <cell r="T423">
            <v>37277</v>
          </cell>
          <cell r="U423" t="str">
            <v>ОПЗ</v>
          </cell>
          <cell r="V423">
            <v>2</v>
          </cell>
          <cell r="W423" t="str">
            <v>ОПЗ КСПЭО. УГИС</v>
          </cell>
          <cell r="X423" t="str">
            <v>ЮК-10 перф-н многократно</v>
          </cell>
          <cell r="AF423">
            <v>30</v>
          </cell>
        </row>
        <row r="424">
          <cell r="B424">
            <v>5562</v>
          </cell>
          <cell r="C424">
            <v>119</v>
          </cell>
          <cell r="F424" t="str">
            <v>УПНПиКРС</v>
          </cell>
          <cell r="G424">
            <v>255</v>
          </cell>
          <cell r="H424" t="str">
            <v>ШГН</v>
          </cell>
          <cell r="I424" t="str">
            <v>бд</v>
          </cell>
          <cell r="J424">
            <v>36896</v>
          </cell>
          <cell r="K424">
            <v>14</v>
          </cell>
          <cell r="L424">
            <v>4.0999999999999996</v>
          </cell>
          <cell r="M424">
            <v>64</v>
          </cell>
          <cell r="N424">
            <v>16</v>
          </cell>
          <cell r="O424">
            <v>4</v>
          </cell>
          <cell r="P424">
            <v>69</v>
          </cell>
          <cell r="Q424">
            <v>16</v>
          </cell>
          <cell r="R424">
            <v>4</v>
          </cell>
          <cell r="S424">
            <v>69.099999999999994</v>
          </cell>
          <cell r="T424">
            <v>37342</v>
          </cell>
          <cell r="U424" t="str">
            <v>ОПЗ</v>
          </cell>
          <cell r="V424">
            <v>4</v>
          </cell>
          <cell r="W424" t="str">
            <v>ВЦ РИР ЮК-11 ПП. ОПЗ НТПН. ГДИ</v>
          </cell>
          <cell r="X424" t="str">
            <v>РИР 2770</v>
          </cell>
          <cell r="Y424" t="str">
            <v>ниж.секция Э-50 - 1976 м</v>
          </cell>
          <cell r="AF424">
            <v>33</v>
          </cell>
          <cell r="AG424">
            <v>32</v>
          </cell>
          <cell r="AH424">
            <v>200</v>
          </cell>
        </row>
        <row r="425">
          <cell r="B425">
            <v>5563</v>
          </cell>
          <cell r="C425">
            <v>119</v>
          </cell>
          <cell r="F425" t="str">
            <v>УПНПиКРС</v>
          </cell>
          <cell r="G425">
            <v>255</v>
          </cell>
          <cell r="H425" t="str">
            <v>ЭЦН</v>
          </cell>
          <cell r="I425" t="str">
            <v>бд</v>
          </cell>
          <cell r="J425">
            <v>36418</v>
          </cell>
          <cell r="K425">
            <v>40</v>
          </cell>
          <cell r="L425">
            <v>6.5</v>
          </cell>
          <cell r="M425">
            <v>80</v>
          </cell>
          <cell r="N425">
            <v>50</v>
          </cell>
          <cell r="O425">
            <v>8</v>
          </cell>
          <cell r="P425">
            <v>80.400000000000006</v>
          </cell>
          <cell r="Q425">
            <v>50</v>
          </cell>
          <cell r="R425">
            <v>8</v>
          </cell>
          <cell r="S425">
            <v>80.2</v>
          </cell>
          <cell r="T425">
            <v>37311</v>
          </cell>
          <cell r="U425" t="str">
            <v>ОПЗ</v>
          </cell>
          <cell r="V425">
            <v>3</v>
          </cell>
          <cell r="W425" t="str">
            <v>ЛА. ПП. УГИС</v>
          </cell>
          <cell r="AF425">
            <v>26</v>
          </cell>
          <cell r="AG425">
            <v>-28</v>
          </cell>
          <cell r="AH425">
            <v>-350</v>
          </cell>
        </row>
        <row r="426">
          <cell r="B426">
            <v>5578</v>
          </cell>
          <cell r="C426">
            <v>115</v>
          </cell>
          <cell r="F426" t="str">
            <v>УПНПиКРС</v>
          </cell>
          <cell r="G426">
            <v>245</v>
          </cell>
          <cell r="H426" t="str">
            <v>ЭЦН</v>
          </cell>
          <cell r="I426" t="str">
            <v>бд</v>
          </cell>
          <cell r="J426">
            <v>36473</v>
          </cell>
          <cell r="K426">
            <v>50</v>
          </cell>
          <cell r="L426">
            <v>0.4</v>
          </cell>
          <cell r="M426">
            <v>99</v>
          </cell>
          <cell r="N426">
            <v>50</v>
          </cell>
          <cell r="O426">
            <v>4</v>
          </cell>
          <cell r="P426">
            <v>90.2</v>
          </cell>
          <cell r="Q426">
            <v>50</v>
          </cell>
          <cell r="R426">
            <v>4</v>
          </cell>
          <cell r="S426">
            <v>90.1</v>
          </cell>
          <cell r="T426">
            <v>7</v>
          </cell>
          <cell r="U426" t="str">
            <v>ОПЗ</v>
          </cell>
          <cell r="W426" t="str">
            <v>ГИС-2. ПП ДН. УГИС</v>
          </cell>
          <cell r="Y426" t="str">
            <v>открыто 8 м ИП</v>
          </cell>
          <cell r="Z426">
            <v>2725</v>
          </cell>
          <cell r="AA426">
            <v>73</v>
          </cell>
          <cell r="AB426">
            <v>32695</v>
          </cell>
          <cell r="AF426">
            <v>30</v>
          </cell>
          <cell r="AG426">
            <v>-28</v>
          </cell>
          <cell r="AH426">
            <v>-350</v>
          </cell>
        </row>
        <row r="427">
          <cell r="B427">
            <v>5579</v>
          </cell>
          <cell r="C427">
            <v>115</v>
          </cell>
          <cell r="F427" t="str">
            <v>УПНПиКРС</v>
          </cell>
          <cell r="G427">
            <v>245</v>
          </cell>
          <cell r="H427" t="str">
            <v>ЭЦН</v>
          </cell>
          <cell r="I427" t="str">
            <v>конс.</v>
          </cell>
          <cell r="J427">
            <v>34883</v>
          </cell>
          <cell r="K427">
            <v>46</v>
          </cell>
          <cell r="L427">
            <v>1.9</v>
          </cell>
          <cell r="M427">
            <v>95</v>
          </cell>
          <cell r="N427">
            <v>50</v>
          </cell>
          <cell r="O427">
            <v>4</v>
          </cell>
          <cell r="P427">
            <v>90.2</v>
          </cell>
          <cell r="Q427">
            <v>50</v>
          </cell>
          <cell r="R427">
            <v>4</v>
          </cell>
          <cell r="S427">
            <v>90.1</v>
          </cell>
          <cell r="T427">
            <v>7</v>
          </cell>
          <cell r="U427" t="str">
            <v>ВЦ</v>
          </cell>
          <cell r="W427" t="str">
            <v>ВЦ. ВЗ. ГИС-2. УГИС. ЭЦН</v>
          </cell>
          <cell r="X427" t="str">
            <v>нет СК и карточки?</v>
          </cell>
          <cell r="AF427">
            <v>26</v>
          </cell>
        </row>
        <row r="428">
          <cell r="B428">
            <v>5583</v>
          </cell>
          <cell r="C428">
            <v>116</v>
          </cell>
          <cell r="F428" t="str">
            <v>УПНПиКРС</v>
          </cell>
          <cell r="G428">
            <v>250</v>
          </cell>
          <cell r="H428" t="str">
            <v>ЭЦН</v>
          </cell>
          <cell r="I428" t="str">
            <v>конс.</v>
          </cell>
          <cell r="K428">
            <v>50</v>
          </cell>
          <cell r="L428">
            <v>1.6</v>
          </cell>
          <cell r="M428">
            <v>96</v>
          </cell>
          <cell r="N428">
            <v>30</v>
          </cell>
          <cell r="O428">
            <v>4</v>
          </cell>
          <cell r="P428">
            <v>83.5</v>
          </cell>
          <cell r="Q428">
            <v>30</v>
          </cell>
          <cell r="R428">
            <v>4</v>
          </cell>
          <cell r="S428">
            <v>83.5</v>
          </cell>
          <cell r="T428">
            <v>7</v>
          </cell>
          <cell r="U428" t="str">
            <v>ОПЗ</v>
          </cell>
          <cell r="W428" t="str">
            <v>ВЦ. ОПЗ КСПЭО. ГДИ</v>
          </cell>
          <cell r="Y428" t="str">
            <v>Прихват НКТ</v>
          </cell>
          <cell r="AF428">
            <v>30</v>
          </cell>
        </row>
        <row r="429">
          <cell r="B429">
            <v>5612</v>
          </cell>
          <cell r="C429">
            <v>115</v>
          </cell>
          <cell r="F429" t="str">
            <v>УПНПиКРС</v>
          </cell>
          <cell r="G429">
            <v>255</v>
          </cell>
          <cell r="H429" t="str">
            <v>нагнет.</v>
          </cell>
          <cell r="I429" t="str">
            <v>бд</v>
          </cell>
          <cell r="J429">
            <v>33876</v>
          </cell>
          <cell r="Q429">
            <v>80</v>
          </cell>
          <cell r="T429">
            <v>3</v>
          </cell>
          <cell r="U429" t="str">
            <v>нг</v>
          </cell>
          <cell r="W429" t="str">
            <v>ВЗ. ОТСК. ОПЗ ИХН. Ввод в ППД</v>
          </cell>
          <cell r="AF429">
            <v>30</v>
          </cell>
        </row>
        <row r="430">
          <cell r="B430">
            <v>5613</v>
          </cell>
          <cell r="C430">
            <v>115</v>
          </cell>
          <cell r="F430" t="str">
            <v>УПНПиКРС</v>
          </cell>
          <cell r="G430">
            <v>240</v>
          </cell>
          <cell r="H430" t="str">
            <v>ЭЦН</v>
          </cell>
          <cell r="I430" t="str">
            <v>конс.</v>
          </cell>
          <cell r="J430">
            <v>34883</v>
          </cell>
          <cell r="K430">
            <v>52</v>
          </cell>
          <cell r="L430">
            <v>1.7</v>
          </cell>
          <cell r="M430">
            <v>96</v>
          </cell>
          <cell r="N430">
            <v>50</v>
          </cell>
          <cell r="O430">
            <v>4</v>
          </cell>
          <cell r="P430">
            <v>90.2</v>
          </cell>
          <cell r="Q430">
            <v>50</v>
          </cell>
          <cell r="R430">
            <v>4</v>
          </cell>
          <cell r="S430">
            <v>90.1</v>
          </cell>
          <cell r="T430">
            <v>7</v>
          </cell>
          <cell r="U430" t="str">
            <v>ОВП</v>
          </cell>
          <cell r="W430" t="str">
            <v>ВЗ. ГИС-2 (ЗКЦ). ИР. ПП. ОПЗ</v>
          </cell>
          <cell r="X430" t="str">
            <v>Что на забое?</v>
          </cell>
          <cell r="Y430" t="str">
            <v>+69</v>
          </cell>
          <cell r="Z430">
            <v>2924</v>
          </cell>
          <cell r="AA430">
            <v>73</v>
          </cell>
          <cell r="AB430">
            <v>36861</v>
          </cell>
          <cell r="AF430">
            <v>20</v>
          </cell>
        </row>
        <row r="431">
          <cell r="B431">
            <v>5642</v>
          </cell>
          <cell r="C431">
            <v>126</v>
          </cell>
          <cell r="F431" t="str">
            <v>УПНПиКРС</v>
          </cell>
          <cell r="G431">
            <v>230</v>
          </cell>
          <cell r="H431" t="str">
            <v>ШГН</v>
          </cell>
          <cell r="I431" t="str">
            <v>действ.</v>
          </cell>
          <cell r="K431">
            <v>7</v>
          </cell>
          <cell r="L431">
            <v>3.1</v>
          </cell>
          <cell r="M431">
            <v>45</v>
          </cell>
          <cell r="N431">
            <v>18</v>
          </cell>
          <cell r="O431">
            <v>10</v>
          </cell>
          <cell r="P431">
            <v>31.5</v>
          </cell>
          <cell r="Q431">
            <v>11</v>
          </cell>
          <cell r="R431">
            <v>6.9</v>
          </cell>
          <cell r="S431">
            <v>22.6</v>
          </cell>
          <cell r="U431" t="str">
            <v>ВВ</v>
          </cell>
          <cell r="W431" t="str">
            <v>ИР ЮК10-11, ДП(ДН), ГРП ЮК-4-5</v>
          </cell>
          <cell r="X431" t="str">
            <v>Целесообразность?</v>
          </cell>
          <cell r="AF431">
            <v>31</v>
          </cell>
          <cell r="AG431">
            <v>-149268</v>
          </cell>
          <cell r="AH431">
            <v>-298536</v>
          </cell>
        </row>
        <row r="432">
          <cell r="B432">
            <v>5642</v>
          </cell>
          <cell r="C432">
            <v>126</v>
          </cell>
          <cell r="F432" t="str">
            <v>УПНПиКРС</v>
          </cell>
          <cell r="G432">
            <v>230</v>
          </cell>
          <cell r="H432" t="str">
            <v>ШГН</v>
          </cell>
          <cell r="I432" t="str">
            <v>бд</v>
          </cell>
          <cell r="J432">
            <v>36997</v>
          </cell>
          <cell r="N432">
            <v>8</v>
          </cell>
          <cell r="O432">
            <v>4</v>
          </cell>
          <cell r="P432">
            <v>38</v>
          </cell>
          <cell r="Q432">
            <v>8</v>
          </cell>
          <cell r="R432">
            <v>4</v>
          </cell>
          <cell r="S432">
            <v>38.299999999999997</v>
          </cell>
          <cell r="T432">
            <v>37317</v>
          </cell>
          <cell r="U432" t="str">
            <v>ОПЗ</v>
          </cell>
          <cell r="W432" t="str">
            <v>ВЦ. ОПЗ НТПН. УГИС</v>
          </cell>
          <cell r="AF432">
            <v>44</v>
          </cell>
          <cell r="AG432">
            <v>-55</v>
          </cell>
          <cell r="AH432">
            <v>-330</v>
          </cell>
        </row>
        <row r="433">
          <cell r="B433">
            <v>5645</v>
          </cell>
          <cell r="C433">
            <v>126</v>
          </cell>
          <cell r="F433" t="str">
            <v>УПНПиКРС</v>
          </cell>
          <cell r="G433">
            <v>230</v>
          </cell>
          <cell r="H433" t="str">
            <v>ШГН</v>
          </cell>
          <cell r="I433" t="str">
            <v>конс.</v>
          </cell>
          <cell r="J433">
            <v>35435</v>
          </cell>
          <cell r="N433">
            <v>30</v>
          </cell>
          <cell r="O433">
            <v>5</v>
          </cell>
          <cell r="P433">
            <v>79.5</v>
          </cell>
          <cell r="Q433">
            <v>30</v>
          </cell>
          <cell r="R433">
            <v>5</v>
          </cell>
          <cell r="S433">
            <v>79.400000000000006</v>
          </cell>
          <cell r="T433">
            <v>11</v>
          </cell>
          <cell r="U433" t="str">
            <v>ОПЗ</v>
          </cell>
          <cell r="W433" t="str">
            <v>ВЦ. ПП (перфосреда). ЭЦН</v>
          </cell>
          <cell r="AF433">
            <v>29</v>
          </cell>
          <cell r="AG433">
            <v>-186735</v>
          </cell>
          <cell r="AH433">
            <v>-298776</v>
          </cell>
        </row>
        <row r="434">
          <cell r="B434">
            <v>5646</v>
          </cell>
          <cell r="C434">
            <v>125</v>
          </cell>
          <cell r="F434" t="str">
            <v>УПНПиКРС</v>
          </cell>
          <cell r="G434">
            <v>255</v>
          </cell>
          <cell r="H434" t="str">
            <v>ШГН</v>
          </cell>
          <cell r="I434" t="str">
            <v>бд</v>
          </cell>
          <cell r="J434">
            <v>36933</v>
          </cell>
          <cell r="K434">
            <v>6</v>
          </cell>
          <cell r="L434">
            <v>4.5999999999999996</v>
          </cell>
          <cell r="M434">
            <v>6</v>
          </cell>
          <cell r="N434">
            <v>8</v>
          </cell>
          <cell r="O434">
            <v>5</v>
          </cell>
          <cell r="P434">
            <v>24</v>
          </cell>
          <cell r="Q434">
            <v>8</v>
          </cell>
          <cell r="R434">
            <v>5</v>
          </cell>
          <cell r="S434">
            <v>22.8</v>
          </cell>
          <cell r="T434">
            <v>37347</v>
          </cell>
          <cell r="U434" t="str">
            <v>ОПЗ</v>
          </cell>
          <cell r="W434" t="str">
            <v>ВЦ. ПП (перфосреда). ОПЗ НТПН</v>
          </cell>
          <cell r="Y434" t="str">
            <v>Полет БТ</v>
          </cell>
          <cell r="AF434">
            <v>24</v>
          </cell>
        </row>
        <row r="435">
          <cell r="B435">
            <v>5647</v>
          </cell>
          <cell r="C435">
            <v>125</v>
          </cell>
          <cell r="F435" t="str">
            <v>УПНПиКРС</v>
          </cell>
          <cell r="G435">
            <v>230</v>
          </cell>
          <cell r="H435" t="str">
            <v>ШГН</v>
          </cell>
          <cell r="I435" t="str">
            <v>бд</v>
          </cell>
          <cell r="N435">
            <v>12</v>
          </cell>
          <cell r="O435">
            <v>2.9</v>
          </cell>
          <cell r="P435">
            <v>70</v>
          </cell>
          <cell r="Q435">
            <v>12</v>
          </cell>
          <cell r="R435">
            <v>2.9</v>
          </cell>
          <cell r="S435">
            <v>70.2</v>
          </cell>
          <cell r="U435" t="str">
            <v>ОПЗ</v>
          </cell>
          <cell r="W435" t="str">
            <v>ВЦ. ПП (перфосреда) ОПЗ НТПН</v>
          </cell>
          <cell r="X435" t="str">
            <v>в эксп.не была</v>
          </cell>
          <cell r="AF435">
            <v>15</v>
          </cell>
          <cell r="AG435" t="e">
            <v>#REF!</v>
          </cell>
          <cell r="AH435" t="e">
            <v>#REF!</v>
          </cell>
        </row>
        <row r="436">
          <cell r="B436">
            <v>5704</v>
          </cell>
          <cell r="C436">
            <v>126</v>
          </cell>
          <cell r="F436" t="str">
            <v>УПНПиКРС</v>
          </cell>
          <cell r="G436">
            <v>230</v>
          </cell>
          <cell r="H436" t="str">
            <v>ШГН</v>
          </cell>
          <cell r="I436" t="str">
            <v>действ.</v>
          </cell>
          <cell r="K436">
            <v>3</v>
          </cell>
          <cell r="L436">
            <v>2.1</v>
          </cell>
          <cell r="M436">
            <v>16</v>
          </cell>
          <cell r="N436">
            <v>10</v>
          </cell>
          <cell r="O436">
            <v>6.6</v>
          </cell>
          <cell r="P436">
            <v>19</v>
          </cell>
          <cell r="Q436">
            <v>7</v>
          </cell>
          <cell r="R436">
            <v>4.5</v>
          </cell>
          <cell r="S436">
            <v>20.6</v>
          </cell>
          <cell r="T436" t="e">
            <v>#REF!</v>
          </cell>
          <cell r="U436" t="str">
            <v>ОПЗ</v>
          </cell>
          <cell r="W436" t="str">
            <v>ПП. ОПЗ КСПЭО. ГДИ</v>
          </cell>
          <cell r="X436" t="str">
            <v>Перестрел верха</v>
          </cell>
          <cell r="AF436">
            <v>35</v>
          </cell>
        </row>
        <row r="437">
          <cell r="B437">
            <v>5706</v>
          </cell>
          <cell r="C437">
            <v>125</v>
          </cell>
          <cell r="F437" t="str">
            <v>УПНПиКРС</v>
          </cell>
          <cell r="G437">
            <v>250</v>
          </cell>
          <cell r="H437" t="str">
            <v>ШГН</v>
          </cell>
          <cell r="K437">
            <v>1.5</v>
          </cell>
          <cell r="L437">
            <v>1.2</v>
          </cell>
          <cell r="M437">
            <v>0</v>
          </cell>
          <cell r="N437">
            <v>10</v>
          </cell>
          <cell r="O437">
            <v>4.5</v>
          </cell>
          <cell r="P437">
            <v>45</v>
          </cell>
          <cell r="Q437">
            <v>10</v>
          </cell>
          <cell r="R437">
            <v>4.5</v>
          </cell>
          <cell r="S437">
            <v>44.4</v>
          </cell>
          <cell r="T437">
            <v>37412</v>
          </cell>
          <cell r="U437" t="str">
            <v>ОПЗ</v>
          </cell>
          <cell r="W437" t="str">
            <v>ВЦ. УГИС (ПП)</v>
          </cell>
          <cell r="AF437">
            <v>28</v>
          </cell>
        </row>
        <row r="438">
          <cell r="B438">
            <v>5707</v>
          </cell>
          <cell r="C438">
            <v>125</v>
          </cell>
          <cell r="F438" t="str">
            <v>УПНПиКРС</v>
          </cell>
          <cell r="G438">
            <v>250</v>
          </cell>
          <cell r="H438" t="str">
            <v>ШГН</v>
          </cell>
          <cell r="K438">
            <v>24</v>
          </cell>
          <cell r="L438">
            <v>9.8000000000000007</v>
          </cell>
          <cell r="M438">
            <v>50</v>
          </cell>
          <cell r="N438">
            <v>50</v>
          </cell>
          <cell r="O438">
            <v>6.5</v>
          </cell>
          <cell r="P438">
            <v>84</v>
          </cell>
          <cell r="Q438">
            <v>50</v>
          </cell>
          <cell r="R438">
            <v>6.5</v>
          </cell>
          <cell r="S438">
            <v>84</v>
          </cell>
          <cell r="T438">
            <v>37376</v>
          </cell>
          <cell r="U438" t="str">
            <v>ЛА</v>
          </cell>
          <cell r="W438" t="str">
            <v>ЛА. ИДН (УГИС). ЭЦН</v>
          </cell>
        </row>
        <row r="439">
          <cell r="B439">
            <v>5713</v>
          </cell>
          <cell r="C439">
            <v>127</v>
          </cell>
          <cell r="H439" t="str">
            <v>ЭЦН</v>
          </cell>
          <cell r="I439" t="str">
            <v>конс.</v>
          </cell>
          <cell r="J439">
            <v>35457</v>
          </cell>
          <cell r="N439">
            <v>50</v>
          </cell>
          <cell r="O439">
            <v>6.1</v>
          </cell>
          <cell r="P439">
            <v>85</v>
          </cell>
          <cell r="Q439">
            <v>50</v>
          </cell>
          <cell r="R439">
            <v>6.1</v>
          </cell>
          <cell r="S439">
            <v>84.9</v>
          </cell>
          <cell r="U439" t="str">
            <v>ОПЗ</v>
          </cell>
          <cell r="W439" t="str">
            <v>ВЦ, ОПЗ НТПН, УГИС</v>
          </cell>
          <cell r="AF439">
            <v>25</v>
          </cell>
        </row>
        <row r="440">
          <cell r="B440">
            <v>5742</v>
          </cell>
          <cell r="C440">
            <v>128</v>
          </cell>
          <cell r="F440" t="str">
            <v>ЗАО "УПКРС"</v>
          </cell>
          <cell r="G440">
            <v>265</v>
          </cell>
          <cell r="H440" t="str">
            <v>ЭЦН</v>
          </cell>
          <cell r="K440">
            <v>20</v>
          </cell>
          <cell r="L440">
            <v>1</v>
          </cell>
          <cell r="M440">
            <v>94</v>
          </cell>
          <cell r="N440">
            <v>30</v>
          </cell>
          <cell r="O440">
            <v>4</v>
          </cell>
          <cell r="P440">
            <v>83.5</v>
          </cell>
          <cell r="Q440">
            <v>30</v>
          </cell>
          <cell r="R440">
            <v>4</v>
          </cell>
          <cell r="S440">
            <v>83.5</v>
          </cell>
          <cell r="T440">
            <v>7</v>
          </cell>
          <cell r="U440" t="str">
            <v>ОВП</v>
          </cell>
          <cell r="W440" t="str">
            <v>ИР ЮК11. ГИС-2. ПП ЮК10 (УГИС)</v>
          </cell>
          <cell r="Y440" t="str">
            <v>+37</v>
          </cell>
          <cell r="Z440">
            <v>2898</v>
          </cell>
          <cell r="AA440">
            <v>73</v>
          </cell>
          <cell r="AB440">
            <v>36717</v>
          </cell>
          <cell r="AC440">
            <v>281</v>
          </cell>
          <cell r="AF440">
            <v>12</v>
          </cell>
          <cell r="AG440">
            <v>0</v>
          </cell>
          <cell r="AH440">
            <v>5646300</v>
          </cell>
        </row>
        <row r="441">
          <cell r="B441">
            <v>5800</v>
          </cell>
          <cell r="C441">
            <v>141</v>
          </cell>
          <cell r="F441" t="str">
            <v>ЗАО "УПКРС"</v>
          </cell>
          <cell r="G441">
            <v>281</v>
          </cell>
          <cell r="H441" t="str">
            <v>нагнет.</v>
          </cell>
          <cell r="I441" t="str">
            <v>бд</v>
          </cell>
          <cell r="J441">
            <v>36641</v>
          </cell>
          <cell r="N441">
            <v>150</v>
          </cell>
          <cell r="Q441">
            <v>150</v>
          </cell>
          <cell r="T441">
            <v>8</v>
          </cell>
          <cell r="U441" t="str">
            <v>нг</v>
          </cell>
          <cell r="V441">
            <v>2</v>
          </cell>
          <cell r="W441" t="str">
            <v>Ревизия и привязка пакера, каверномер.</v>
          </cell>
          <cell r="AF441">
            <v>9</v>
          </cell>
        </row>
        <row r="442">
          <cell r="B442">
            <v>5807</v>
          </cell>
          <cell r="C442" t="str">
            <v>166б</v>
          </cell>
          <cell r="F442" t="str">
            <v>ЗАО "УПКРС"</v>
          </cell>
          <cell r="G442">
            <v>290</v>
          </cell>
          <cell r="H442" t="str">
            <v>нагнет.</v>
          </cell>
          <cell r="I442" t="str">
            <v>простой</v>
          </cell>
          <cell r="J442">
            <v>37166</v>
          </cell>
          <cell r="N442">
            <v>200</v>
          </cell>
          <cell r="Q442">
            <v>200</v>
          </cell>
          <cell r="T442">
            <v>11</v>
          </cell>
          <cell r="U442" t="str">
            <v>нг</v>
          </cell>
          <cell r="V442">
            <v>2</v>
          </cell>
          <cell r="W442" t="str">
            <v>Ревизия и привязка пакера, каверномер.</v>
          </cell>
          <cell r="Y442" t="str">
            <v>Негерметичность ЭК (2000г.)</v>
          </cell>
          <cell r="AF442">
            <v>21</v>
          </cell>
        </row>
        <row r="443">
          <cell r="B443">
            <v>5808</v>
          </cell>
          <cell r="C443">
            <v>141</v>
          </cell>
          <cell r="F443" t="str">
            <v>УПНПиКРС</v>
          </cell>
          <cell r="G443">
            <v>260</v>
          </cell>
          <cell r="H443" t="str">
            <v>ШГН</v>
          </cell>
          <cell r="I443" t="str">
            <v>бд</v>
          </cell>
          <cell r="J443">
            <v>33755</v>
          </cell>
          <cell r="K443">
            <v>3</v>
          </cell>
          <cell r="L443">
            <v>2.1</v>
          </cell>
          <cell r="M443">
            <v>15</v>
          </cell>
          <cell r="N443">
            <v>24</v>
          </cell>
          <cell r="O443">
            <v>10.5</v>
          </cell>
          <cell r="P443">
            <v>46.5</v>
          </cell>
          <cell r="Q443">
            <v>24</v>
          </cell>
          <cell r="R443">
            <v>10.5</v>
          </cell>
          <cell r="S443">
            <v>46</v>
          </cell>
          <cell r="T443">
            <v>15</v>
          </cell>
          <cell r="U443" t="str">
            <v>ГРП</v>
          </cell>
          <cell r="W443" t="str">
            <v>ЛН. ПР ГРП. ГРП ЮК-10</v>
          </cell>
          <cell r="Y443" t="str">
            <v>+20</v>
          </cell>
          <cell r="Z443">
            <v>2905</v>
          </cell>
          <cell r="AA443">
            <v>73</v>
          </cell>
          <cell r="AB443" t="str">
            <v>янв 97</v>
          </cell>
          <cell r="AF443">
            <v>18</v>
          </cell>
          <cell r="AG443">
            <v>-105</v>
          </cell>
          <cell r="AH443">
            <v>-150</v>
          </cell>
        </row>
        <row r="444">
          <cell r="B444">
            <v>5822</v>
          </cell>
          <cell r="C444">
            <v>141</v>
          </cell>
          <cell r="F444" t="str">
            <v>УПНПиКРС</v>
          </cell>
          <cell r="G444">
            <v>245</v>
          </cell>
          <cell r="H444" t="str">
            <v>ШГН</v>
          </cell>
          <cell r="I444" t="str">
            <v>бд</v>
          </cell>
          <cell r="J444">
            <v>36854</v>
          </cell>
          <cell r="K444">
            <v>12</v>
          </cell>
          <cell r="L444">
            <v>9.1</v>
          </cell>
          <cell r="M444">
            <v>7</v>
          </cell>
          <cell r="N444">
            <v>10</v>
          </cell>
          <cell r="O444">
            <v>7</v>
          </cell>
          <cell r="P444">
            <v>13.6</v>
          </cell>
          <cell r="Q444">
            <v>10</v>
          </cell>
          <cell r="R444">
            <v>7</v>
          </cell>
          <cell r="S444">
            <v>13.6</v>
          </cell>
          <cell r="T444">
            <v>15</v>
          </cell>
          <cell r="U444" t="str">
            <v>ОПЗ</v>
          </cell>
          <cell r="W444" t="str">
            <v>ВЦ. ПП. ОПЗ КСПЭО</v>
          </cell>
          <cell r="AF444">
            <v>54</v>
          </cell>
          <cell r="AG444">
            <v>150664</v>
          </cell>
          <cell r="AH444">
            <v>1318310</v>
          </cell>
        </row>
        <row r="445">
          <cell r="B445" t="str">
            <v>2868б</v>
          </cell>
          <cell r="C445">
            <v>129</v>
          </cell>
          <cell r="F445" t="str">
            <v>ЗАО "УПКРС"</v>
          </cell>
          <cell r="G445">
            <v>255</v>
          </cell>
          <cell r="H445" t="str">
            <v>ШГН</v>
          </cell>
          <cell r="I445" t="str">
            <v>конс.</v>
          </cell>
          <cell r="J445">
            <v>34029</v>
          </cell>
          <cell r="N445">
            <v>35</v>
          </cell>
          <cell r="O445">
            <v>4</v>
          </cell>
          <cell r="P445">
            <v>86</v>
          </cell>
          <cell r="Q445">
            <v>35</v>
          </cell>
          <cell r="R445">
            <v>4</v>
          </cell>
          <cell r="S445">
            <v>85.9</v>
          </cell>
          <cell r="T445">
            <v>15</v>
          </cell>
          <cell r="U445" t="str">
            <v>ОПЗ</v>
          </cell>
          <cell r="V445">
            <v>3</v>
          </cell>
          <cell r="W445" t="str">
            <v>ВЦ. ГИС (гироскоп). ПП. ОПЗ(ГРП). УГИС</v>
          </cell>
          <cell r="AD445">
            <v>37326</v>
          </cell>
          <cell r="AE445">
            <v>37348</v>
          </cell>
          <cell r="AF445">
            <v>22</v>
          </cell>
          <cell r="AG445">
            <v>264</v>
          </cell>
          <cell r="AH445">
            <v>660</v>
          </cell>
        </row>
        <row r="446">
          <cell r="B446">
            <v>2614</v>
          </cell>
          <cell r="C446">
            <v>157</v>
          </cell>
          <cell r="D446">
            <v>11</v>
          </cell>
          <cell r="E446">
            <v>111</v>
          </cell>
          <cell r="F446" t="str">
            <v>УПНПиКРС</v>
          </cell>
          <cell r="G446">
            <v>230</v>
          </cell>
          <cell r="H446" t="str">
            <v>ШГН</v>
          </cell>
          <cell r="I446" t="str">
            <v>конс.</v>
          </cell>
          <cell r="J446">
            <v>33786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37363</v>
          </cell>
          <cell r="U446" t="str">
            <v>ГРП</v>
          </cell>
          <cell r="V446">
            <v>2</v>
          </cell>
          <cell r="W446" t="str">
            <v>ВЦ,ПП, ГРП</v>
          </cell>
        </row>
        <row r="447">
          <cell r="B447">
            <v>2684</v>
          </cell>
          <cell r="C447" t="str">
            <v>145б</v>
          </cell>
          <cell r="D447">
            <v>1</v>
          </cell>
          <cell r="I447" t="str">
            <v>бд</v>
          </cell>
          <cell r="J447">
            <v>34243</v>
          </cell>
          <cell r="K447">
            <v>3.3</v>
          </cell>
          <cell r="L447">
            <v>2.7</v>
          </cell>
          <cell r="M447">
            <v>0</v>
          </cell>
          <cell r="N447">
            <v>30</v>
          </cell>
          <cell r="O447">
            <v>12</v>
          </cell>
          <cell r="P447">
            <v>51</v>
          </cell>
          <cell r="Q447">
            <v>30</v>
          </cell>
          <cell r="R447">
            <v>12</v>
          </cell>
          <cell r="S447">
            <v>50.6</v>
          </cell>
          <cell r="U447" t="str">
            <v>ГРП</v>
          </cell>
          <cell r="W447" t="str">
            <v>ОТСК, РИР не герм.Э/К, ГРП(переинтерпритация 2572-2584, 2604-2612 + ab)</v>
          </cell>
        </row>
        <row r="448">
          <cell r="B448">
            <v>5575</v>
          </cell>
          <cell r="C448">
            <v>114</v>
          </cell>
          <cell r="D448">
            <v>1</v>
          </cell>
          <cell r="H448" t="str">
            <v>ШГН</v>
          </cell>
          <cell r="I448" t="str">
            <v>конс.</v>
          </cell>
          <cell r="J448">
            <v>35034</v>
          </cell>
          <cell r="K448">
            <v>1</v>
          </cell>
          <cell r="L448">
            <v>0</v>
          </cell>
          <cell r="M448">
            <v>99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U448" t="str">
            <v>ГРП</v>
          </cell>
          <cell r="W448" t="str">
            <v>РИР э/к,ГИС-2,ОТСК,ГРП.Переинт.2574-258м по гл.2364м,при наличии воды по ЮК-10 -ГРП ЮК-2</v>
          </cell>
        </row>
        <row r="449">
          <cell r="B449">
            <v>5579</v>
          </cell>
          <cell r="C449">
            <v>115</v>
          </cell>
          <cell r="D449">
            <v>1</v>
          </cell>
          <cell r="I449" t="str">
            <v>конс.</v>
          </cell>
          <cell r="J449">
            <v>34883</v>
          </cell>
          <cell r="K449">
            <v>17</v>
          </cell>
          <cell r="L449">
            <v>1</v>
          </cell>
          <cell r="M449">
            <v>93</v>
          </cell>
          <cell r="O449">
            <v>0</v>
          </cell>
          <cell r="Q449">
            <v>0</v>
          </cell>
          <cell r="R449">
            <v>0</v>
          </cell>
          <cell r="S449" t="e">
            <v>#DIV/0!</v>
          </cell>
          <cell r="W449" t="str">
            <v>ВЦ,ВЗ,при наличии Нз-сп Э-50 (ГИС-2),при невозм.ВЗ-переинт.ЮК-2- 2490-2498м-ГРП</v>
          </cell>
          <cell r="AG449">
            <v>0</v>
          </cell>
          <cell r="AH449">
            <v>0</v>
          </cell>
        </row>
        <row r="450">
          <cell r="B450">
            <v>5513</v>
          </cell>
          <cell r="C450">
            <v>114</v>
          </cell>
          <cell r="D450">
            <v>2</v>
          </cell>
          <cell r="G450">
            <v>250</v>
          </cell>
          <cell r="H450" t="str">
            <v>ЭЦН</v>
          </cell>
          <cell r="I450" t="str">
            <v>действ.</v>
          </cell>
          <cell r="J450">
            <v>0</v>
          </cell>
          <cell r="K450">
            <v>17</v>
          </cell>
          <cell r="L450">
            <v>4</v>
          </cell>
          <cell r="M450">
            <v>71</v>
          </cell>
          <cell r="N450">
            <v>35</v>
          </cell>
          <cell r="O450">
            <v>15.1</v>
          </cell>
          <cell r="P450">
            <v>47</v>
          </cell>
          <cell r="Q450">
            <v>18</v>
          </cell>
          <cell r="R450">
            <v>11.1</v>
          </cell>
          <cell r="S450">
            <v>23.9</v>
          </cell>
          <cell r="U450" t="str">
            <v>ГРП</v>
          </cell>
          <cell r="W450" t="str">
            <v>опытно-пром,работы,ГРП,по обв,скважины ( ГРП 40т проп.)</v>
          </cell>
          <cell r="X450" t="str">
            <v>Ликвидация аварии (ЭЦН+НКТ)</v>
          </cell>
        </row>
        <row r="453">
          <cell r="B453">
            <v>5671</v>
          </cell>
          <cell r="C453">
            <v>126</v>
          </cell>
          <cell r="D453">
            <v>2</v>
          </cell>
          <cell r="H453" t="str">
            <v>ШГН</v>
          </cell>
          <cell r="I453" t="str">
            <v>конс.</v>
          </cell>
          <cell r="J453">
            <v>35648</v>
          </cell>
          <cell r="K453">
            <v>3</v>
          </cell>
          <cell r="L453">
            <v>2.4</v>
          </cell>
          <cell r="M453">
            <v>2</v>
          </cell>
          <cell r="N453">
            <v>30</v>
          </cell>
          <cell r="O453">
            <v>12</v>
          </cell>
          <cell r="P453">
            <v>51</v>
          </cell>
          <cell r="Q453">
            <v>30</v>
          </cell>
          <cell r="R453">
            <v>12</v>
          </cell>
          <cell r="S453">
            <v>50.6</v>
          </cell>
          <cell r="U453" t="str">
            <v>ГРП</v>
          </cell>
          <cell r="W453" t="str">
            <v>ВЦ,ГРП (+12 т ),интер.ЮК-4 2746-2752м</v>
          </cell>
        </row>
        <row r="454">
          <cell r="B454">
            <v>2754</v>
          </cell>
          <cell r="C454">
            <v>145</v>
          </cell>
          <cell r="D454">
            <v>3</v>
          </cell>
          <cell r="I454" t="str">
            <v>конс.</v>
          </cell>
          <cell r="J454">
            <v>32843</v>
          </cell>
          <cell r="K454">
            <v>6</v>
          </cell>
          <cell r="L454">
            <v>0.5</v>
          </cell>
          <cell r="M454">
            <v>90</v>
          </cell>
          <cell r="N454">
            <v>30</v>
          </cell>
          <cell r="O454">
            <v>12</v>
          </cell>
          <cell r="P454">
            <v>51</v>
          </cell>
          <cell r="Q454">
            <v>30</v>
          </cell>
          <cell r="R454">
            <v>12</v>
          </cell>
          <cell r="S454">
            <v>50.6</v>
          </cell>
          <cell r="U454" t="str">
            <v>ГРП</v>
          </cell>
          <cell r="W454" t="str">
            <v>ГРП, возможно приобщение ЮК-11</v>
          </cell>
        </row>
        <row r="455">
          <cell r="B455">
            <v>2755</v>
          </cell>
          <cell r="C455">
            <v>145</v>
          </cell>
          <cell r="D455">
            <v>3</v>
          </cell>
          <cell r="I455" t="str">
            <v>бд</v>
          </cell>
          <cell r="J455">
            <v>33968</v>
          </cell>
          <cell r="K455">
            <v>40</v>
          </cell>
          <cell r="L455">
            <v>1.6</v>
          </cell>
          <cell r="M455">
            <v>95</v>
          </cell>
          <cell r="N455">
            <v>30</v>
          </cell>
          <cell r="O455">
            <v>12</v>
          </cell>
          <cell r="P455">
            <v>51</v>
          </cell>
          <cell r="Q455">
            <v>30</v>
          </cell>
          <cell r="R455">
            <v>12</v>
          </cell>
          <cell r="S455">
            <v>50.6</v>
          </cell>
          <cell r="U455" t="str">
            <v>ГРП</v>
          </cell>
          <cell r="W455" t="str">
            <v>ГИС-2(и.о.) РИР ЮК-11, ГРП с отсыпкой низа ЮК-10</v>
          </cell>
        </row>
        <row r="456">
          <cell r="B456">
            <v>2756</v>
          </cell>
          <cell r="C456">
            <v>145</v>
          </cell>
          <cell r="D456">
            <v>3</v>
          </cell>
          <cell r="I456" t="str">
            <v>бд</v>
          </cell>
          <cell r="J456">
            <v>35786</v>
          </cell>
          <cell r="K456">
            <v>70</v>
          </cell>
          <cell r="L456">
            <v>10.8</v>
          </cell>
          <cell r="M456">
            <v>81</v>
          </cell>
          <cell r="N456">
            <v>50</v>
          </cell>
          <cell r="O456">
            <v>10</v>
          </cell>
          <cell r="P456">
            <v>75.400000000000006</v>
          </cell>
          <cell r="Q456">
            <v>50</v>
          </cell>
          <cell r="R456">
            <v>10</v>
          </cell>
          <cell r="S456">
            <v>75.3</v>
          </cell>
          <cell r="U456" t="str">
            <v>РИР</v>
          </cell>
          <cell r="W456" t="str">
            <v>РИР Э/К 2562-2673, ПП-ЮК-10 с ОПЗ</v>
          </cell>
        </row>
        <row r="457">
          <cell r="B457">
            <v>2686</v>
          </cell>
          <cell r="C457" t="str">
            <v>160б</v>
          </cell>
          <cell r="I457" t="str">
            <v>конс.</v>
          </cell>
          <cell r="J457">
            <v>34060</v>
          </cell>
          <cell r="K457">
            <v>1</v>
          </cell>
          <cell r="L457">
            <v>0.8</v>
          </cell>
          <cell r="M457">
            <v>0</v>
          </cell>
          <cell r="N457">
            <v>30</v>
          </cell>
          <cell r="O457">
            <v>12</v>
          </cell>
          <cell r="P457">
            <v>51</v>
          </cell>
          <cell r="Q457">
            <v>30</v>
          </cell>
          <cell r="R457">
            <v>12</v>
          </cell>
          <cell r="S457">
            <v>50.6</v>
          </cell>
          <cell r="U457" t="str">
            <v>ГРП</v>
          </cell>
          <cell r="W457" t="str">
            <v>ВЦ, РИР ЮК-11, ГРП юк-10, инт. 2528-2545,2552-2562.При наличии нефти в ЮК-2-5, перевод на ЮК-2-5</v>
          </cell>
        </row>
        <row r="458">
          <cell r="B458">
            <v>2836</v>
          </cell>
          <cell r="C458">
            <v>125</v>
          </cell>
          <cell r="I458" t="str">
            <v>конс.</v>
          </cell>
          <cell r="J458">
            <v>35684</v>
          </cell>
          <cell r="K458">
            <v>4</v>
          </cell>
          <cell r="L458">
            <v>1.1000000000000001</v>
          </cell>
          <cell r="M458">
            <v>66</v>
          </cell>
          <cell r="O458">
            <v>0</v>
          </cell>
          <cell r="Q458">
            <v>0</v>
          </cell>
          <cell r="R458">
            <v>0</v>
          </cell>
          <cell r="S458" t="e">
            <v>#DIV/0!</v>
          </cell>
          <cell r="W458" t="str">
            <v>ГИС-2,при отс.перетоков-опытно-пром.работы,ГРП п.А</v>
          </cell>
        </row>
        <row r="459">
          <cell r="B459">
            <v>5239</v>
          </cell>
          <cell r="C459">
            <v>133</v>
          </cell>
          <cell r="H459" t="str">
            <v>ШГН</v>
          </cell>
          <cell r="I459" t="str">
            <v>действ.</v>
          </cell>
          <cell r="J459">
            <v>0</v>
          </cell>
          <cell r="K459">
            <v>5</v>
          </cell>
          <cell r="L459">
            <v>3.6</v>
          </cell>
          <cell r="M459">
            <v>11</v>
          </cell>
          <cell r="N459">
            <v>30</v>
          </cell>
          <cell r="O459">
            <v>19.600000000000001</v>
          </cell>
          <cell r="P459">
            <v>20</v>
          </cell>
          <cell r="Q459">
            <v>25</v>
          </cell>
          <cell r="R459">
            <v>16</v>
          </cell>
          <cell r="S459">
            <v>21</v>
          </cell>
          <cell r="U459" t="str">
            <v>ГРП</v>
          </cell>
          <cell r="W459" t="str">
            <v>интерпр.ЮК-4 2496-258м,повтор.ГРП ( в график КРС )</v>
          </cell>
        </row>
        <row r="460">
          <cell r="B460">
            <v>5394</v>
          </cell>
          <cell r="C460">
            <v>102</v>
          </cell>
          <cell r="I460" t="str">
            <v>бд</v>
          </cell>
          <cell r="J460">
            <v>34881</v>
          </cell>
          <cell r="K460">
            <v>50</v>
          </cell>
          <cell r="L460">
            <v>0.4</v>
          </cell>
          <cell r="M460">
            <v>99</v>
          </cell>
          <cell r="N460">
            <v>30</v>
          </cell>
          <cell r="O460">
            <v>12</v>
          </cell>
          <cell r="P460">
            <v>51</v>
          </cell>
          <cell r="Q460">
            <v>30</v>
          </cell>
          <cell r="R460">
            <v>12</v>
          </cell>
          <cell r="S460">
            <v>50.6</v>
          </cell>
          <cell r="U460" t="str">
            <v>ГРП</v>
          </cell>
          <cell r="W460" t="str">
            <v>ЛА( полет НКТ ),ПП,при Q меньше 10м3/с-ГРП-+15т</v>
          </cell>
        </row>
        <row r="461">
          <cell r="B461">
            <v>5410</v>
          </cell>
          <cell r="C461">
            <v>105</v>
          </cell>
          <cell r="I461" t="str">
            <v>бд</v>
          </cell>
          <cell r="J461">
            <v>35361</v>
          </cell>
          <cell r="K461">
            <v>10</v>
          </cell>
          <cell r="L461">
            <v>6.5</v>
          </cell>
          <cell r="M461">
            <v>20</v>
          </cell>
          <cell r="O461">
            <v>0</v>
          </cell>
          <cell r="Q461">
            <v>0</v>
          </cell>
          <cell r="R461">
            <v>0</v>
          </cell>
          <cell r="S461" t="e">
            <v>#DIV/0!</v>
          </cell>
          <cell r="W461" t="str">
            <v>ВЦ,ГРП п.А</v>
          </cell>
        </row>
        <row r="462">
          <cell r="B462">
            <v>5577</v>
          </cell>
          <cell r="C462">
            <v>114</v>
          </cell>
          <cell r="D462">
            <v>1</v>
          </cell>
          <cell r="I462" t="str">
            <v>конс.</v>
          </cell>
          <cell r="J462">
            <v>33848</v>
          </cell>
          <cell r="K462">
            <v>3</v>
          </cell>
          <cell r="L462">
            <v>2.4</v>
          </cell>
          <cell r="M462">
            <v>0</v>
          </cell>
          <cell r="N462">
            <v>8</v>
          </cell>
          <cell r="O462">
            <v>6.2</v>
          </cell>
          <cell r="P462">
            <v>5</v>
          </cell>
          <cell r="Q462">
            <v>8</v>
          </cell>
          <cell r="R462">
            <v>6.2</v>
          </cell>
          <cell r="S462">
            <v>4.3</v>
          </cell>
          <cell r="W462" t="str">
            <v>ВЦ,сп Э-50,переинт.ЮК-2 2618-2624м,при наличии воды-перевод без ГРП,по гл.2350м</v>
          </cell>
        </row>
        <row r="463">
          <cell r="B463">
            <v>5578</v>
          </cell>
          <cell r="C463">
            <v>115</v>
          </cell>
          <cell r="I463" t="str">
            <v>бд</v>
          </cell>
          <cell r="J463">
            <v>36473</v>
          </cell>
          <cell r="K463">
            <v>52</v>
          </cell>
          <cell r="L463">
            <v>0.8</v>
          </cell>
          <cell r="M463">
            <v>98</v>
          </cell>
          <cell r="O463">
            <v>0</v>
          </cell>
          <cell r="Q463">
            <v>0</v>
          </cell>
          <cell r="R463">
            <v>0</v>
          </cell>
          <cell r="S463" t="e">
            <v>#DIV/0!</v>
          </cell>
          <cell r="W463" t="str">
            <v>РИР,негерм.э/к,инт.2576-2582м,ГРП</v>
          </cell>
        </row>
        <row r="464">
          <cell r="B464">
            <v>5647</v>
          </cell>
          <cell r="C464">
            <v>125</v>
          </cell>
          <cell r="I464" t="str">
            <v>бд</v>
          </cell>
          <cell r="J464">
            <v>35401</v>
          </cell>
          <cell r="K464">
            <v>5</v>
          </cell>
          <cell r="L464">
            <v>0</v>
          </cell>
          <cell r="M464">
            <v>99</v>
          </cell>
          <cell r="O464">
            <v>0</v>
          </cell>
          <cell r="Q464">
            <v>0</v>
          </cell>
          <cell r="R464">
            <v>0</v>
          </cell>
          <cell r="S464" t="e">
            <v>#DIV/0!</v>
          </cell>
          <cell r="W464" t="str">
            <v>ЛА ( полет БТ ),РИР ниж.п.ЮК-10,перф.п.А,ГРП</v>
          </cell>
        </row>
        <row r="465">
          <cell r="B465">
            <v>5648</v>
          </cell>
          <cell r="C465">
            <v>125</v>
          </cell>
          <cell r="I465" t="str">
            <v>конс.</v>
          </cell>
          <cell r="J465">
            <v>33786</v>
          </cell>
          <cell r="K465">
            <v>10</v>
          </cell>
          <cell r="L465">
            <v>0.1</v>
          </cell>
          <cell r="M465">
            <v>99</v>
          </cell>
          <cell r="O465">
            <v>0</v>
          </cell>
          <cell r="Q465">
            <v>0</v>
          </cell>
          <cell r="R465">
            <v>0</v>
          </cell>
          <cell r="S465" t="e">
            <v>#DIV/0!</v>
          </cell>
          <cell r="W465" t="str">
            <v>ЛА (НГН со шт.),опытно-пром.работы,ПП п.А,отсыпка нижней пачки,ГРП,сп Э-80</v>
          </cell>
        </row>
        <row r="466">
          <cell r="B466">
            <v>5677</v>
          </cell>
          <cell r="C466">
            <v>125</v>
          </cell>
          <cell r="I466" t="str">
            <v>бд</v>
          </cell>
          <cell r="J466">
            <v>35170</v>
          </cell>
          <cell r="K466">
            <v>60</v>
          </cell>
          <cell r="L466">
            <v>0.5</v>
          </cell>
          <cell r="M466">
            <v>99</v>
          </cell>
          <cell r="O466">
            <v>0</v>
          </cell>
          <cell r="Q466">
            <v>0</v>
          </cell>
          <cell r="R466">
            <v>0</v>
          </cell>
          <cell r="S466" t="e">
            <v>#DIV/0!</v>
          </cell>
          <cell r="W466" t="str">
            <v xml:space="preserve">ЛА ( НН со штангами ),ГИС-2,РИР п.В,ПП п.А,ГРП,при невозм.ЛА ЗБГС </v>
          </cell>
          <cell r="AD466" t="e">
            <v>#REF!</v>
          </cell>
          <cell r="AE466" t="e">
            <v>#REF!</v>
          </cell>
          <cell r="AF466">
            <v>15</v>
          </cell>
          <cell r="AG466" t="e">
            <v>#REF!</v>
          </cell>
          <cell r="AH466" t="e">
            <v>#REF!</v>
          </cell>
        </row>
        <row r="467">
          <cell r="B467">
            <v>5704</v>
          </cell>
          <cell r="C467">
            <v>126</v>
          </cell>
          <cell r="G467">
            <v>230</v>
          </cell>
          <cell r="H467" t="str">
            <v>ШГН</v>
          </cell>
          <cell r="I467" t="str">
            <v>бд</v>
          </cell>
          <cell r="J467">
            <v>37174</v>
          </cell>
          <cell r="K467">
            <v>2</v>
          </cell>
          <cell r="L467">
            <v>1.5</v>
          </cell>
          <cell r="M467">
            <v>5</v>
          </cell>
          <cell r="N467">
            <v>30</v>
          </cell>
          <cell r="O467">
            <v>12</v>
          </cell>
          <cell r="P467">
            <v>51</v>
          </cell>
          <cell r="Q467">
            <v>30</v>
          </cell>
          <cell r="R467">
            <v>12</v>
          </cell>
          <cell r="S467">
            <v>50.6</v>
          </cell>
          <cell r="U467" t="str">
            <v>ГРП</v>
          </cell>
          <cell r="W467" t="str">
            <v>ГРП п.А</v>
          </cell>
          <cell r="X467" t="str">
            <v>Перестрел верха</v>
          </cell>
        </row>
        <row r="468">
          <cell r="B468">
            <v>5815</v>
          </cell>
          <cell r="C468">
            <v>141</v>
          </cell>
          <cell r="H468" t="str">
            <v>ШГН</v>
          </cell>
          <cell r="I468" t="str">
            <v>действ.</v>
          </cell>
          <cell r="J468">
            <v>0</v>
          </cell>
          <cell r="K468">
            <v>11</v>
          </cell>
          <cell r="L468">
            <v>8.3000000000000007</v>
          </cell>
          <cell r="M468">
            <v>7</v>
          </cell>
          <cell r="N468">
            <v>30</v>
          </cell>
          <cell r="O468">
            <v>20.3</v>
          </cell>
          <cell r="P468">
            <v>17</v>
          </cell>
          <cell r="Q468">
            <v>19</v>
          </cell>
          <cell r="R468">
            <v>12</v>
          </cell>
          <cell r="S468">
            <v>22</v>
          </cell>
          <cell r="U468" t="str">
            <v>ГРП</v>
          </cell>
          <cell r="W468" t="str">
            <v xml:space="preserve">РИР (отсыпка)ЮК-11,ПП ЮК-10, ГРП </v>
          </cell>
          <cell r="Y468" t="str">
            <v>ОЦ5.10.99</v>
          </cell>
          <cell r="AD468">
            <v>37290</v>
          </cell>
          <cell r="AE468">
            <v>37336</v>
          </cell>
          <cell r="AF468">
            <v>46</v>
          </cell>
        </row>
        <row r="469">
          <cell r="B469">
            <v>5483</v>
          </cell>
          <cell r="C469">
            <v>115</v>
          </cell>
          <cell r="D469">
            <v>21</v>
          </cell>
          <cell r="E469">
            <v>210</v>
          </cell>
          <cell r="F469" t="str">
            <v>УПНПиКРС</v>
          </cell>
          <cell r="G469">
            <v>250</v>
          </cell>
          <cell r="H469" t="str">
            <v>ЭЦН</v>
          </cell>
          <cell r="I469" t="str">
            <v>конс.</v>
          </cell>
          <cell r="J469">
            <v>34274</v>
          </cell>
          <cell r="N469">
            <v>30</v>
          </cell>
          <cell r="O469">
            <v>18.3</v>
          </cell>
          <cell r="P469">
            <v>25</v>
          </cell>
          <cell r="Q469">
            <v>30</v>
          </cell>
          <cell r="R469">
            <v>18.3</v>
          </cell>
          <cell r="S469">
            <v>24.7</v>
          </cell>
          <cell r="U469" t="str">
            <v>ГРП</v>
          </cell>
          <cell r="V469">
            <v>1</v>
          </cell>
          <cell r="W469" t="str">
            <v>ВЦ, ГИС-2(ОТСК), ИР ЮК-10, ПР к ГРП,ГРП(ПГРП сделано,ГРП отменили)</v>
          </cell>
        </row>
        <row r="470">
          <cell r="Y470" t="str">
            <v>-</v>
          </cell>
          <cell r="Z470" t="str">
            <v>-</v>
          </cell>
          <cell r="AA470">
            <v>73</v>
          </cell>
          <cell r="AF470">
            <v>17</v>
          </cell>
          <cell r="AG470">
            <v>0</v>
          </cell>
          <cell r="AH470">
            <v>4525320</v>
          </cell>
        </row>
        <row r="471">
          <cell r="B471">
            <v>5371</v>
          </cell>
          <cell r="C471">
            <v>102</v>
          </cell>
          <cell r="G471">
            <v>250</v>
          </cell>
          <cell r="H471" t="str">
            <v>нагнет.</v>
          </cell>
          <cell r="I471" t="str">
            <v>бд</v>
          </cell>
          <cell r="J471">
            <v>35779</v>
          </cell>
          <cell r="K471">
            <v>240</v>
          </cell>
          <cell r="N471">
            <v>120</v>
          </cell>
          <cell r="Q471">
            <v>120</v>
          </cell>
          <cell r="R471">
            <v>0</v>
          </cell>
          <cell r="U471" t="str">
            <v>нг</v>
          </cell>
          <cell r="V471">
            <v>4</v>
          </cell>
          <cell r="W471" t="str">
            <v>ОТСК. Запуск ППД</v>
          </cell>
          <cell r="Y471" t="str">
            <v>Полет НКТ</v>
          </cell>
          <cell r="Z471">
            <v>120</v>
          </cell>
          <cell r="AF471">
            <v>26</v>
          </cell>
          <cell r="AG471">
            <v>0</v>
          </cell>
          <cell r="AH471">
            <v>0</v>
          </cell>
        </row>
        <row r="472">
          <cell r="B472">
            <v>5372</v>
          </cell>
          <cell r="C472">
            <v>102</v>
          </cell>
          <cell r="G472">
            <v>250</v>
          </cell>
          <cell r="H472" t="str">
            <v>нагнет.</v>
          </cell>
          <cell r="I472" t="str">
            <v>бд</v>
          </cell>
          <cell r="J472">
            <v>32843</v>
          </cell>
          <cell r="K472">
            <v>130</v>
          </cell>
          <cell r="N472">
            <v>120</v>
          </cell>
          <cell r="Q472">
            <v>120</v>
          </cell>
          <cell r="R472">
            <v>0</v>
          </cell>
          <cell r="U472" t="str">
            <v>нг</v>
          </cell>
          <cell r="W472" t="str">
            <v>ЛА (извлечение НКТ). ОТСК. Запуск ППД</v>
          </cell>
          <cell r="X472" t="str">
            <v>Забой - 120 м</v>
          </cell>
          <cell r="Y472" t="str">
            <v>зумпф-1м (нижн. интерв.изолир.)</v>
          </cell>
          <cell r="Z472">
            <v>2733.6</v>
          </cell>
          <cell r="AA472">
            <v>73</v>
          </cell>
          <cell r="AB472">
            <v>39541</v>
          </cell>
          <cell r="AC472">
            <v>223.1</v>
          </cell>
          <cell r="AF472">
            <v>36</v>
          </cell>
          <cell r="AG472">
            <v>0</v>
          </cell>
          <cell r="AH472">
            <v>0</v>
          </cell>
        </row>
        <row r="473">
          <cell r="B473">
            <v>5373</v>
          </cell>
          <cell r="C473">
            <v>103</v>
          </cell>
          <cell r="G473">
            <v>233</v>
          </cell>
          <cell r="H473" t="str">
            <v>нагнет.</v>
          </cell>
          <cell r="I473" t="str">
            <v>конс.</v>
          </cell>
          <cell r="J473">
            <v>34474</v>
          </cell>
          <cell r="K473">
            <v>375</v>
          </cell>
          <cell r="N473">
            <v>120</v>
          </cell>
          <cell r="Q473">
            <v>120</v>
          </cell>
          <cell r="R473">
            <v>0</v>
          </cell>
          <cell r="U473" t="str">
            <v>нг</v>
          </cell>
          <cell r="W473" t="str">
            <v>ОТСК. ГИС-3. Ликвидация ЗКЦ?</v>
          </cell>
          <cell r="Y473" t="str">
            <v>+19</v>
          </cell>
          <cell r="Z473">
            <v>2767</v>
          </cell>
          <cell r="AC473">
            <v>224.5</v>
          </cell>
          <cell r="AF473">
            <v>35</v>
          </cell>
          <cell r="AG473">
            <v>0</v>
          </cell>
          <cell r="AH473">
            <v>0</v>
          </cell>
        </row>
        <row r="474">
          <cell r="B474">
            <v>5374</v>
          </cell>
          <cell r="C474">
            <v>103</v>
          </cell>
          <cell r="G474">
            <v>234</v>
          </cell>
          <cell r="H474" t="str">
            <v>нагнет.</v>
          </cell>
          <cell r="I474" t="str">
            <v>конс.</v>
          </cell>
          <cell r="J474">
            <v>34474</v>
          </cell>
          <cell r="K474">
            <v>180</v>
          </cell>
          <cell r="N474">
            <v>120</v>
          </cell>
          <cell r="Q474">
            <v>120</v>
          </cell>
          <cell r="R474">
            <v>0</v>
          </cell>
          <cell r="U474" t="str">
            <v>нг</v>
          </cell>
          <cell r="W474" t="str">
            <v>ВЗ. ОТСК</v>
          </cell>
          <cell r="AF474">
            <v>11</v>
          </cell>
          <cell r="AG474">
            <v>0</v>
          </cell>
          <cell r="AH474">
            <v>0</v>
          </cell>
        </row>
        <row r="475">
          <cell r="B475">
            <v>5389</v>
          </cell>
          <cell r="C475">
            <v>109</v>
          </cell>
          <cell r="G475">
            <v>280</v>
          </cell>
          <cell r="H475" t="str">
            <v>нагнет.</v>
          </cell>
          <cell r="I475" t="str">
            <v>бд</v>
          </cell>
          <cell r="J475">
            <v>36458</v>
          </cell>
          <cell r="K475">
            <v>175</v>
          </cell>
          <cell r="N475">
            <v>100</v>
          </cell>
          <cell r="Q475">
            <v>100</v>
          </cell>
          <cell r="U475" t="str">
            <v>нг</v>
          </cell>
          <cell r="W475" t="str">
            <v xml:space="preserve">ОПЗ </v>
          </cell>
          <cell r="X475" t="str">
            <v>Закачка от КНС-1</v>
          </cell>
          <cell r="AF475">
            <v>24</v>
          </cell>
          <cell r="AG475">
            <v>0</v>
          </cell>
          <cell r="AH475">
            <v>0</v>
          </cell>
        </row>
        <row r="476">
          <cell r="B476">
            <v>5391</v>
          </cell>
          <cell r="C476">
            <v>109</v>
          </cell>
          <cell r="G476">
            <v>285</v>
          </cell>
          <cell r="H476" t="str">
            <v>нагнет.</v>
          </cell>
          <cell r="I476" t="str">
            <v>бд</v>
          </cell>
          <cell r="J476">
            <v>34426</v>
          </cell>
          <cell r="K476">
            <v>240</v>
          </cell>
          <cell r="N476">
            <v>100</v>
          </cell>
          <cell r="Q476">
            <v>100</v>
          </cell>
          <cell r="U476" t="str">
            <v>нг</v>
          </cell>
          <cell r="W476" t="str">
            <v>ИР ЮК-11. ОПЗ. Пуск под закачку</v>
          </cell>
          <cell r="X476" t="str">
            <v>Закачка от КНС-1</v>
          </cell>
          <cell r="Y476" t="str">
            <v>Напушение Э/К</v>
          </cell>
          <cell r="AD476">
            <v>37428</v>
          </cell>
          <cell r="AE476">
            <v>37457</v>
          </cell>
          <cell r="AF476">
            <v>29</v>
          </cell>
        </row>
        <row r="477">
          <cell r="B477">
            <v>5216</v>
          </cell>
          <cell r="C477">
            <v>134</v>
          </cell>
          <cell r="D477">
            <v>6</v>
          </cell>
          <cell r="E477">
            <v>61</v>
          </cell>
          <cell r="F477" t="str">
            <v>УПНПиКРС</v>
          </cell>
          <cell r="H477" t="str">
            <v>ШГН</v>
          </cell>
          <cell r="I477" t="str">
            <v>конс.</v>
          </cell>
          <cell r="N477">
            <v>50</v>
          </cell>
          <cell r="O477">
            <v>30</v>
          </cell>
          <cell r="P477">
            <v>26.5</v>
          </cell>
          <cell r="Q477">
            <v>50</v>
          </cell>
          <cell r="R477">
            <v>30</v>
          </cell>
          <cell r="S477">
            <v>25.9</v>
          </cell>
          <cell r="U477" t="str">
            <v>ГРП</v>
          </cell>
          <cell r="W477" t="str">
            <v>ВЦ, РИР ЮК-10, СО-каротаж ПР к ГРП, ГРП ЮК-2, осв.</v>
          </cell>
          <cell r="AD477">
            <v>37410</v>
          </cell>
          <cell r="AE477">
            <v>37445</v>
          </cell>
          <cell r="AF477">
            <v>35</v>
          </cell>
        </row>
        <row r="478">
          <cell r="B478">
            <v>2958</v>
          </cell>
          <cell r="C478">
            <v>46</v>
          </cell>
          <cell r="D478">
            <v>7</v>
          </cell>
          <cell r="E478">
            <v>70</v>
          </cell>
          <cell r="F478" t="str">
            <v>УПНПиКРС</v>
          </cell>
          <cell r="H478" t="str">
            <v>ШГН</v>
          </cell>
          <cell r="I478" t="str">
            <v>бд</v>
          </cell>
          <cell r="N478">
            <v>50</v>
          </cell>
          <cell r="O478">
            <v>30</v>
          </cell>
          <cell r="P478">
            <v>26.5</v>
          </cell>
          <cell r="Q478">
            <v>50</v>
          </cell>
          <cell r="R478">
            <v>30</v>
          </cell>
          <cell r="S478">
            <v>25.9</v>
          </cell>
          <cell r="T478">
            <v>37450</v>
          </cell>
          <cell r="U478" t="str">
            <v>ГРП</v>
          </cell>
          <cell r="W478" t="str">
            <v xml:space="preserve"> РИР ЮК-10, ПР к ГРП, ГРП ЮК-2, осв.</v>
          </cell>
          <cell r="AD478">
            <v>37390</v>
          </cell>
          <cell r="AE478">
            <v>37428</v>
          </cell>
          <cell r="AF478">
            <v>38</v>
          </cell>
        </row>
        <row r="479">
          <cell r="B479">
            <v>5368</v>
          </cell>
          <cell r="C479">
            <v>101</v>
          </cell>
          <cell r="D479">
            <v>0</v>
          </cell>
          <cell r="E479">
            <v>0</v>
          </cell>
          <cell r="F479" t="str">
            <v>УПНПиКРС</v>
          </cell>
          <cell r="H479" t="str">
            <v>нагнет.</v>
          </cell>
          <cell r="I479" t="str">
            <v>конс.</v>
          </cell>
          <cell r="N479">
            <v>50</v>
          </cell>
          <cell r="O479">
            <v>20</v>
          </cell>
          <cell r="P479">
            <v>51</v>
          </cell>
          <cell r="Q479">
            <v>50</v>
          </cell>
          <cell r="R479">
            <v>20</v>
          </cell>
          <cell r="S479">
            <v>50.6</v>
          </cell>
          <cell r="T479">
            <v>37435</v>
          </cell>
          <cell r="U479" t="str">
            <v>ГРП</v>
          </cell>
          <cell r="W479" t="str">
            <v>Извл.НКТ, РИР ЮК-10, ПР к ГРП, ГРП ЮК-2, осв.</v>
          </cell>
          <cell r="Y479" t="str">
            <v>Негерм. Э/к</v>
          </cell>
          <cell r="AD479">
            <v>37429</v>
          </cell>
          <cell r="AE479">
            <v>37463</v>
          </cell>
          <cell r="AF479">
            <v>34</v>
          </cell>
        </row>
        <row r="480">
          <cell r="B480">
            <v>5264</v>
          </cell>
          <cell r="C480">
            <v>133</v>
          </cell>
          <cell r="D480">
            <v>0</v>
          </cell>
          <cell r="E480">
            <v>0</v>
          </cell>
          <cell r="F480" t="str">
            <v>УПНПиКРС</v>
          </cell>
          <cell r="H480" t="str">
            <v>нагнет.</v>
          </cell>
          <cell r="I480" t="str">
            <v>конс.</v>
          </cell>
          <cell r="N480">
            <v>50</v>
          </cell>
          <cell r="O480">
            <v>20</v>
          </cell>
          <cell r="P480">
            <v>51</v>
          </cell>
          <cell r="Q480">
            <v>50</v>
          </cell>
          <cell r="R480">
            <v>20</v>
          </cell>
          <cell r="S480">
            <v>50.6</v>
          </cell>
          <cell r="T480">
            <v>37466</v>
          </cell>
          <cell r="U480" t="str">
            <v>ГРП</v>
          </cell>
          <cell r="W480" t="str">
            <v>ВЦ, РИР ЮК-10, ПР к ГРП, ГРП ЮК-2, осв.</v>
          </cell>
          <cell r="AD480">
            <v>37388</v>
          </cell>
          <cell r="AE480">
            <v>37423</v>
          </cell>
          <cell r="AF480">
            <v>35</v>
          </cell>
        </row>
        <row r="481">
          <cell r="B481">
            <v>3060</v>
          </cell>
          <cell r="C481">
            <v>67</v>
          </cell>
          <cell r="D481">
            <v>0</v>
          </cell>
          <cell r="E481">
            <v>0</v>
          </cell>
          <cell r="F481" t="str">
            <v>УПНПиКРС</v>
          </cell>
          <cell r="H481" t="str">
            <v>нагнет.</v>
          </cell>
          <cell r="I481" t="str">
            <v>конс.</v>
          </cell>
          <cell r="N481">
            <v>50</v>
          </cell>
          <cell r="O481">
            <v>30</v>
          </cell>
          <cell r="P481">
            <v>26.5</v>
          </cell>
          <cell r="Q481">
            <v>50</v>
          </cell>
          <cell r="R481">
            <v>30</v>
          </cell>
          <cell r="S481">
            <v>25.9</v>
          </cell>
          <cell r="T481">
            <v>37389</v>
          </cell>
          <cell r="U481" t="str">
            <v>ГРП</v>
          </cell>
          <cell r="W481" t="str">
            <v>РИР ЮК-11, ПР к ГРП и ГРП ЮК-2</v>
          </cell>
          <cell r="Y481" t="str">
            <v>Негерм. Э/к</v>
          </cell>
          <cell r="AD481">
            <v>37461</v>
          </cell>
          <cell r="AE481">
            <v>37503</v>
          </cell>
          <cell r="AF481">
            <v>42</v>
          </cell>
        </row>
        <row r="482">
          <cell r="B482">
            <v>4366</v>
          </cell>
          <cell r="C482">
            <v>200</v>
          </cell>
          <cell r="D482">
            <v>4</v>
          </cell>
          <cell r="E482">
            <v>40</v>
          </cell>
          <cell r="F482" t="str">
            <v>УПНПиКРС</v>
          </cell>
          <cell r="H482" t="str">
            <v>нагнет.</v>
          </cell>
          <cell r="I482" t="str">
            <v>бд</v>
          </cell>
          <cell r="N482">
            <v>50</v>
          </cell>
          <cell r="O482">
            <v>30</v>
          </cell>
          <cell r="P482">
            <v>26.5</v>
          </cell>
          <cell r="Q482">
            <v>50</v>
          </cell>
          <cell r="R482">
            <v>30</v>
          </cell>
          <cell r="S482">
            <v>25.9</v>
          </cell>
          <cell r="T482">
            <v>37506</v>
          </cell>
          <cell r="U482" t="str">
            <v>нг</v>
          </cell>
          <cell r="W482" t="str">
            <v>Извл.НКТ, РИР ЮК-10, ПР к ГРП, ГРП ЮК-2, осв.</v>
          </cell>
          <cell r="AD482">
            <v>37457</v>
          </cell>
          <cell r="AE482">
            <v>37491</v>
          </cell>
          <cell r="AF482">
            <v>34</v>
          </cell>
        </row>
        <row r="483">
          <cell r="B483">
            <v>2725</v>
          </cell>
          <cell r="C483">
            <v>146</v>
          </cell>
          <cell r="D483">
            <v>3</v>
          </cell>
          <cell r="E483">
            <v>2</v>
          </cell>
          <cell r="F483" t="str">
            <v>УПНПиКРС</v>
          </cell>
          <cell r="H483" t="str">
            <v>нагнет.</v>
          </cell>
          <cell r="I483" t="str">
            <v>бд</v>
          </cell>
          <cell r="N483">
            <v>50</v>
          </cell>
          <cell r="O483">
            <v>30</v>
          </cell>
          <cell r="P483">
            <v>26.5</v>
          </cell>
          <cell r="Q483">
            <v>50</v>
          </cell>
          <cell r="R483">
            <v>30</v>
          </cell>
          <cell r="S483">
            <v>25.9</v>
          </cell>
          <cell r="T483">
            <v>37497</v>
          </cell>
          <cell r="U483" t="str">
            <v>ГРП</v>
          </cell>
          <cell r="W483" t="str">
            <v>ОТСК, РИР ЮК-10, ПР к ГРП, ГРП ЮК-2, осв.</v>
          </cell>
        </row>
        <row r="487">
          <cell r="W487" t="str">
            <v>Нерасмотренные:</v>
          </cell>
          <cell r="AD487">
            <v>37043</v>
          </cell>
          <cell r="AE487">
            <v>37043</v>
          </cell>
        </row>
        <row r="488">
          <cell r="B488">
            <v>3187</v>
          </cell>
          <cell r="C488">
            <v>70</v>
          </cell>
          <cell r="H488" t="str">
            <v>ШГН</v>
          </cell>
          <cell r="I488" t="str">
            <v>конс.</v>
          </cell>
          <cell r="Q488">
            <v>0</v>
          </cell>
          <cell r="R488">
            <v>0</v>
          </cell>
          <cell r="S488" t="e">
            <v>#DIV/0!</v>
          </cell>
          <cell r="T488">
            <v>37050</v>
          </cell>
          <cell r="U488" t="str">
            <v>ОПЗ</v>
          </cell>
          <cell r="W488" t="str">
            <v>ВЦ. ИДН. УГИС</v>
          </cell>
          <cell r="AD488">
            <v>37044</v>
          </cell>
          <cell r="AE488">
            <v>37044</v>
          </cell>
        </row>
        <row r="489">
          <cell r="B489">
            <v>3228</v>
          </cell>
          <cell r="C489">
            <v>70</v>
          </cell>
          <cell r="H489" t="str">
            <v>нагнет.</v>
          </cell>
          <cell r="I489" t="str">
            <v>конс.</v>
          </cell>
          <cell r="Q489">
            <v>0</v>
          </cell>
          <cell r="R489">
            <v>0</v>
          </cell>
          <cell r="T489">
            <v>37047</v>
          </cell>
          <cell r="U489" t="str">
            <v>нг</v>
          </cell>
          <cell r="W489" t="str">
            <v>ВЦ, ОТСК, достр.ЮК-11</v>
          </cell>
          <cell r="X489" t="str">
            <v>утилизация</v>
          </cell>
          <cell r="AD489">
            <v>37043</v>
          </cell>
          <cell r="AE489">
            <v>37043</v>
          </cell>
        </row>
        <row r="490">
          <cell r="B490" t="str">
            <v>5402б</v>
          </cell>
          <cell r="C490">
            <v>103</v>
          </cell>
          <cell r="H490" t="str">
            <v>ЭЦН</v>
          </cell>
          <cell r="I490" t="str">
            <v>конс.</v>
          </cell>
          <cell r="K490">
            <v>84</v>
          </cell>
          <cell r="L490">
            <v>2.7</v>
          </cell>
          <cell r="M490">
            <v>96</v>
          </cell>
          <cell r="N490">
            <v>80</v>
          </cell>
          <cell r="O490">
            <v>3</v>
          </cell>
          <cell r="P490">
            <v>95.4</v>
          </cell>
          <cell r="Q490">
            <v>80</v>
          </cell>
          <cell r="R490">
            <v>3</v>
          </cell>
          <cell r="S490">
            <v>95.4</v>
          </cell>
          <cell r="T490">
            <v>37050</v>
          </cell>
          <cell r="U490" t="str">
            <v>ВЦ</v>
          </cell>
          <cell r="W490" t="str">
            <v>ВЦ. ГИС-2</v>
          </cell>
          <cell r="X490" t="str">
            <v>ВЦ ООО "Электропрогрев"</v>
          </cell>
          <cell r="AD490">
            <v>37044</v>
          </cell>
          <cell r="AE490">
            <v>37044</v>
          </cell>
        </row>
        <row r="491">
          <cell r="B491">
            <v>5401</v>
          </cell>
          <cell r="C491">
            <v>103</v>
          </cell>
          <cell r="H491" t="str">
            <v>ШГН</v>
          </cell>
          <cell r="I491" t="str">
            <v>конс.</v>
          </cell>
          <cell r="O491">
            <v>0</v>
          </cell>
          <cell r="Q491">
            <v>0</v>
          </cell>
          <cell r="R491">
            <v>0</v>
          </cell>
          <cell r="S491" t="e">
            <v>#DIV/0!</v>
          </cell>
          <cell r="T491">
            <v>37051</v>
          </cell>
          <cell r="U491" t="str">
            <v>ВЦ</v>
          </cell>
          <cell r="W491" t="str">
            <v>ВЦ. ГИС-2</v>
          </cell>
          <cell r="AD491">
            <v>37045</v>
          </cell>
          <cell r="AE491">
            <v>37045</v>
          </cell>
        </row>
        <row r="492">
          <cell r="B492">
            <v>5428</v>
          </cell>
          <cell r="C492">
            <v>103</v>
          </cell>
          <cell r="H492" t="str">
            <v>ШГН</v>
          </cell>
          <cell r="I492" t="str">
            <v>конс.</v>
          </cell>
          <cell r="O492">
            <v>0</v>
          </cell>
          <cell r="Q492">
            <v>0</v>
          </cell>
          <cell r="R492">
            <v>0</v>
          </cell>
          <cell r="S492" t="e">
            <v>#DIV/0!</v>
          </cell>
          <cell r="T492">
            <v>37052</v>
          </cell>
          <cell r="U492" t="str">
            <v>ОПЗ</v>
          </cell>
          <cell r="W492" t="str">
            <v>ВЦ. ГИС-2. ИДН</v>
          </cell>
          <cell r="AD492">
            <v>36951</v>
          </cell>
          <cell r="AE492">
            <v>36951</v>
          </cell>
        </row>
        <row r="493">
          <cell r="B493" t="str">
            <v>5321б</v>
          </cell>
          <cell r="C493">
            <v>135</v>
          </cell>
          <cell r="H493" t="str">
            <v>ЭЦН</v>
          </cell>
          <cell r="I493" t="str">
            <v>конс.</v>
          </cell>
          <cell r="L493">
            <v>0</v>
          </cell>
          <cell r="N493">
            <v>50</v>
          </cell>
          <cell r="O493">
            <v>4</v>
          </cell>
          <cell r="P493">
            <v>90.1</v>
          </cell>
          <cell r="Q493">
            <v>50</v>
          </cell>
          <cell r="R493">
            <v>4</v>
          </cell>
          <cell r="T493">
            <v>36966</v>
          </cell>
          <cell r="W493" t="str">
            <v>ВЦ. Ревизия ЭЦН</v>
          </cell>
          <cell r="X493" t="str">
            <v>ВЦ ООО "Электропрогрев"</v>
          </cell>
          <cell r="AD493">
            <v>36952</v>
          </cell>
          <cell r="AE493">
            <v>36952</v>
          </cell>
        </row>
        <row r="494">
          <cell r="B494">
            <v>5219</v>
          </cell>
          <cell r="C494">
            <v>135</v>
          </cell>
          <cell r="H494" t="str">
            <v>ЭЦН</v>
          </cell>
          <cell r="I494" t="str">
            <v>конс.</v>
          </cell>
          <cell r="L494">
            <v>0</v>
          </cell>
          <cell r="N494">
            <v>40</v>
          </cell>
          <cell r="O494">
            <v>2.1</v>
          </cell>
          <cell r="P494">
            <v>93.7</v>
          </cell>
          <cell r="Q494">
            <v>40</v>
          </cell>
          <cell r="R494">
            <v>2.1</v>
          </cell>
          <cell r="T494">
            <v>36967</v>
          </cell>
          <cell r="W494" t="str">
            <v>ВЦ. Ревизия ЭЦН</v>
          </cell>
          <cell r="X494" t="str">
            <v>ВЦ ООО "Электропрогрев"</v>
          </cell>
          <cell r="AD494">
            <v>36953</v>
          </cell>
          <cell r="AE494">
            <v>36953</v>
          </cell>
        </row>
        <row r="495">
          <cell r="B495">
            <v>5269</v>
          </cell>
          <cell r="C495">
            <v>135</v>
          </cell>
          <cell r="H495" t="str">
            <v>ЭЦН</v>
          </cell>
          <cell r="I495" t="str">
            <v>конс.</v>
          </cell>
          <cell r="L495">
            <v>0</v>
          </cell>
          <cell r="N495">
            <v>45</v>
          </cell>
          <cell r="O495">
            <v>3</v>
          </cell>
          <cell r="P495">
            <v>91.7</v>
          </cell>
          <cell r="Q495">
            <v>45</v>
          </cell>
          <cell r="R495">
            <v>3</v>
          </cell>
          <cell r="T495">
            <v>36968</v>
          </cell>
          <cell r="W495" t="str">
            <v>ВЦ. Ревизия ЭЦН</v>
          </cell>
          <cell r="X495" t="str">
            <v>ВЦ ООО "Электропрогрев"</v>
          </cell>
          <cell r="Z495" t="str">
            <v>на 5218</v>
          </cell>
          <cell r="AD495">
            <v>36954</v>
          </cell>
          <cell r="AE495">
            <v>36954</v>
          </cell>
        </row>
        <row r="496">
          <cell r="B496">
            <v>5295</v>
          </cell>
          <cell r="C496">
            <v>135</v>
          </cell>
          <cell r="H496" t="str">
            <v>ЭЦН</v>
          </cell>
          <cell r="I496" t="str">
            <v>конс.</v>
          </cell>
          <cell r="L496">
            <v>0</v>
          </cell>
          <cell r="N496">
            <v>50</v>
          </cell>
          <cell r="O496">
            <v>2</v>
          </cell>
          <cell r="P496">
            <v>95.1</v>
          </cell>
          <cell r="Q496">
            <v>50</v>
          </cell>
          <cell r="R496">
            <v>2</v>
          </cell>
          <cell r="T496">
            <v>36969</v>
          </cell>
          <cell r="W496" t="str">
            <v>ВЦ. Ревизия ЭЦН</v>
          </cell>
          <cell r="X496" t="str">
            <v>ВЦ ООО "Электропрогрев"</v>
          </cell>
        </row>
        <row r="497">
          <cell r="B497">
            <v>5318</v>
          </cell>
          <cell r="C497">
            <v>134</v>
          </cell>
          <cell r="H497" t="str">
            <v>нагнет.</v>
          </cell>
          <cell r="I497" t="str">
            <v>бд</v>
          </cell>
          <cell r="N497">
            <v>300</v>
          </cell>
          <cell r="Q497">
            <v>300</v>
          </cell>
          <cell r="W497" t="str">
            <v>Спуск и привязка пакера, Запуск в ППД</v>
          </cell>
          <cell r="X497" t="str">
            <v>Уменьшить штуцер через 3 мес.</v>
          </cell>
          <cell r="AD497">
            <v>36955</v>
          </cell>
          <cell r="AE497">
            <v>36955</v>
          </cell>
        </row>
        <row r="498">
          <cell r="B498">
            <v>2895</v>
          </cell>
          <cell r="C498">
            <v>42</v>
          </cell>
          <cell r="G498">
            <v>285</v>
          </cell>
          <cell r="H498" t="str">
            <v>нагнет.</v>
          </cell>
          <cell r="I498" t="str">
            <v>бд</v>
          </cell>
          <cell r="K498">
            <v>50</v>
          </cell>
          <cell r="N498">
            <v>150</v>
          </cell>
          <cell r="Q498">
            <v>150</v>
          </cell>
          <cell r="T498">
            <v>36958</v>
          </cell>
          <cell r="W498" t="str">
            <v>Интенсификация прием. НТПН</v>
          </cell>
          <cell r="X498" t="str">
            <v>НТПН</v>
          </cell>
          <cell r="AD498">
            <v>36956</v>
          </cell>
          <cell r="AE498">
            <v>36956</v>
          </cell>
        </row>
        <row r="499">
          <cell r="B499">
            <v>2897</v>
          </cell>
          <cell r="C499">
            <v>42</v>
          </cell>
          <cell r="G499">
            <v>290</v>
          </cell>
          <cell r="H499" t="str">
            <v>нагнет.</v>
          </cell>
          <cell r="I499" t="str">
            <v>действ.</v>
          </cell>
          <cell r="K499">
            <v>100</v>
          </cell>
          <cell r="N499">
            <v>200</v>
          </cell>
          <cell r="Q499">
            <v>200</v>
          </cell>
          <cell r="T499">
            <v>36959</v>
          </cell>
          <cell r="W499" t="str">
            <v>Интенсификация прием. НТПН</v>
          </cell>
          <cell r="X499" t="str">
            <v>НТПН</v>
          </cell>
          <cell r="AD499">
            <v>36957</v>
          </cell>
          <cell r="AE499">
            <v>36957</v>
          </cell>
        </row>
        <row r="500">
          <cell r="B500">
            <v>2993</v>
          </cell>
          <cell r="C500">
            <v>42</v>
          </cell>
          <cell r="G500">
            <v>310</v>
          </cell>
          <cell r="H500" t="str">
            <v>ШГН</v>
          </cell>
          <cell r="I500" t="str">
            <v>конс.</v>
          </cell>
          <cell r="K500">
            <v>7</v>
          </cell>
          <cell r="L500">
            <v>5.0999999999999996</v>
          </cell>
          <cell r="M500">
            <v>10</v>
          </cell>
          <cell r="N500">
            <v>7</v>
          </cell>
          <cell r="O500">
            <v>4.8</v>
          </cell>
          <cell r="P500">
            <v>15</v>
          </cell>
          <cell r="Q500">
            <v>7</v>
          </cell>
          <cell r="R500">
            <v>4.8</v>
          </cell>
          <cell r="T500">
            <v>36962</v>
          </cell>
          <cell r="W500" t="str">
            <v>ВЦ. ПП и ОПЗ. УГИС. Спуск ШГН</v>
          </cell>
          <cell r="AD500">
            <v>36958</v>
          </cell>
          <cell r="AE500">
            <v>36958</v>
          </cell>
        </row>
        <row r="501">
          <cell r="B501">
            <v>5440</v>
          </cell>
          <cell r="C501">
            <v>108</v>
          </cell>
          <cell r="G501">
            <v>275</v>
          </cell>
          <cell r="H501" t="str">
            <v>ЭЦН</v>
          </cell>
          <cell r="I501" t="str">
            <v>бд</v>
          </cell>
          <cell r="K501">
            <v>21</v>
          </cell>
          <cell r="L501">
            <v>13</v>
          </cell>
          <cell r="M501">
            <v>24</v>
          </cell>
          <cell r="N501">
            <v>20</v>
          </cell>
          <cell r="O501">
            <v>3</v>
          </cell>
          <cell r="P501">
            <v>81.5</v>
          </cell>
          <cell r="Q501">
            <v>20</v>
          </cell>
          <cell r="R501">
            <v>3</v>
          </cell>
          <cell r="T501">
            <v>36963</v>
          </cell>
          <cell r="W501" t="str">
            <v>ВЦ. ГИС-2. ОВП (НТПН). ГИС-2. Спуск ЭЦН</v>
          </cell>
          <cell r="X501" t="str">
            <v>НТПН-2000</v>
          </cell>
          <cell r="AD501">
            <v>36959</v>
          </cell>
          <cell r="AE501">
            <v>36959</v>
          </cell>
        </row>
        <row r="502">
          <cell r="B502">
            <v>5470</v>
          </cell>
          <cell r="C502">
            <v>108</v>
          </cell>
          <cell r="G502">
            <v>275</v>
          </cell>
          <cell r="H502" t="str">
            <v>ЭЦН</v>
          </cell>
          <cell r="I502" t="str">
            <v>конс.</v>
          </cell>
          <cell r="K502">
            <v>41</v>
          </cell>
          <cell r="L502">
            <v>3.7</v>
          </cell>
          <cell r="M502">
            <v>89</v>
          </cell>
          <cell r="N502">
            <v>20</v>
          </cell>
          <cell r="O502">
            <v>3</v>
          </cell>
          <cell r="P502">
            <v>81.5</v>
          </cell>
          <cell r="Q502">
            <v>20</v>
          </cell>
          <cell r="R502">
            <v>3</v>
          </cell>
          <cell r="T502">
            <v>36964</v>
          </cell>
          <cell r="W502" t="str">
            <v>ВЦ. ГИС-2. ОВП (НТПН). ГИС-2. Спуск ЭЦН</v>
          </cell>
          <cell r="X502" t="str">
            <v>НТПН-2000</v>
          </cell>
          <cell r="AG502">
            <v>0</v>
          </cell>
        </row>
        <row r="503">
          <cell r="B503">
            <v>5451</v>
          </cell>
          <cell r="C503">
            <v>101</v>
          </cell>
          <cell r="H503" t="str">
            <v>ШГН</v>
          </cell>
          <cell r="I503" t="str">
            <v>бд</v>
          </cell>
          <cell r="U503" t="str">
            <v>ОПЗ</v>
          </cell>
          <cell r="W503" t="str">
            <v>ВЦ,ДП УГИС. ОПЗ НТПН. ГДИ</v>
          </cell>
          <cell r="AG503">
            <v>0</v>
          </cell>
        </row>
        <row r="504">
          <cell r="B504">
            <v>5453</v>
          </cell>
          <cell r="C504">
            <v>101</v>
          </cell>
          <cell r="H504" t="str">
            <v>ШГН</v>
          </cell>
          <cell r="U504" t="str">
            <v>ОПЗ</v>
          </cell>
          <cell r="W504" t="str">
            <v>ВЦ,ПП УГИС.  ГДИ</v>
          </cell>
          <cell r="AB504" t="str">
            <v>есть СК</v>
          </cell>
          <cell r="AF504">
            <v>105</v>
          </cell>
          <cell r="AG504">
            <v>0</v>
          </cell>
        </row>
        <row r="505">
          <cell r="B505">
            <v>5456</v>
          </cell>
          <cell r="C505">
            <v>102</v>
          </cell>
          <cell r="H505" t="str">
            <v>ШГН</v>
          </cell>
          <cell r="U505" t="str">
            <v>ЛА</v>
          </cell>
          <cell r="W505" t="str">
            <v>Восст.Нз,УГИС ГДИ сп.ЭЦН</v>
          </cell>
          <cell r="Y505" t="str">
            <v>Брошена КРС Отс.лов.инструмента,на Нз 59нкт".</v>
          </cell>
          <cell r="AB505" t="str">
            <v>есть СК</v>
          </cell>
          <cell r="AF505">
            <v>5</v>
          </cell>
        </row>
        <row r="506">
          <cell r="B506">
            <v>5370</v>
          </cell>
          <cell r="C506">
            <v>102</v>
          </cell>
          <cell r="U506" t="str">
            <v>ЛА</v>
          </cell>
          <cell r="W506" t="str">
            <v>Извл.аварийных НКТ</v>
          </cell>
          <cell r="Y506" t="str">
            <v>При ПРС полёт Э-80 без лов.головки</v>
          </cell>
        </row>
        <row r="507">
          <cell r="B507">
            <v>5400</v>
          </cell>
          <cell r="C507">
            <v>103</v>
          </cell>
          <cell r="U507" t="str">
            <v>ЛА</v>
          </cell>
          <cell r="W507" t="str">
            <v>Извл.ЭЦН-80,Восст.Нз ГЖ,ГДИ сп.ЭЦН.</v>
          </cell>
          <cell r="Y507" t="str">
            <v>В скважине низ пакера+хвоставик из НКТ 3"</v>
          </cell>
        </row>
        <row r="508">
          <cell r="B508">
            <v>5428</v>
          </cell>
          <cell r="C508">
            <v>103</v>
          </cell>
          <cell r="W508" t="str">
            <v>ВЦ,ВЗ,(извл.НКТ 3")ПП УГИС.  ГДИ</v>
          </cell>
          <cell r="X508" t="str">
            <v>В ППД с 6.83 по 09.84г.</v>
          </cell>
        </row>
        <row r="509">
          <cell r="B509">
            <v>5347</v>
          </cell>
          <cell r="C509">
            <v>103</v>
          </cell>
          <cell r="U509" t="str">
            <v>ЛА</v>
          </cell>
          <cell r="W509" t="str">
            <v>Извл.проволки,восст.Нз ГЖ,ГДИ сп.ЭЦН.</v>
          </cell>
        </row>
        <row r="510">
          <cell r="B510">
            <v>5429</v>
          </cell>
          <cell r="C510">
            <v>103</v>
          </cell>
          <cell r="U510" t="str">
            <v>ЛА</v>
          </cell>
          <cell r="W510" t="str">
            <v>Извл.проволки,ЭЦН-50,Восст.Нз ГЖ,ГДИ сп.ЭЦН.</v>
          </cell>
          <cell r="X510" t="str">
            <v>Полёт ЭЦН+проволка ЦНИПР и шаблон</v>
          </cell>
        </row>
        <row r="511">
          <cell r="B511" t="str">
            <v>5402б</v>
          </cell>
          <cell r="C511">
            <v>103</v>
          </cell>
          <cell r="U511" t="str">
            <v>ВЦ</v>
          </cell>
          <cell r="W511" t="str">
            <v>ВЦ ПРС промывка забоя</v>
          </cell>
        </row>
        <row r="512">
          <cell r="B512">
            <v>4119</v>
          </cell>
          <cell r="C512">
            <v>311</v>
          </cell>
          <cell r="U512" t="str">
            <v>ВЦ</v>
          </cell>
          <cell r="W512" t="str">
            <v>ВЦ ПРС промывка забоя</v>
          </cell>
        </row>
        <row r="513">
          <cell r="B513">
            <v>4120</v>
          </cell>
          <cell r="C513">
            <v>311</v>
          </cell>
          <cell r="U513" t="str">
            <v>ВЦ</v>
          </cell>
          <cell r="W513" t="str">
            <v>ВЦ ПРС промывка забоя</v>
          </cell>
        </row>
        <row r="514">
          <cell r="B514">
            <v>4212</v>
          </cell>
          <cell r="C514">
            <v>311</v>
          </cell>
          <cell r="U514" t="str">
            <v>ВЦ</v>
          </cell>
          <cell r="W514" t="str">
            <v>ВЦ ПРС промывка забоя</v>
          </cell>
          <cell r="AD514">
            <v>1</v>
          </cell>
          <cell r="AE514">
            <v>23</v>
          </cell>
          <cell r="AF514">
            <v>22</v>
          </cell>
          <cell r="AG514">
            <v>0</v>
          </cell>
          <cell r="AH514">
            <v>-3900</v>
          </cell>
        </row>
        <row r="515">
          <cell r="B515">
            <v>2895</v>
          </cell>
          <cell r="C515">
            <v>42</v>
          </cell>
          <cell r="D515">
            <v>0</v>
          </cell>
          <cell r="E515">
            <v>1</v>
          </cell>
          <cell r="G515">
            <v>280</v>
          </cell>
          <cell r="H515" t="str">
            <v>нагнет.</v>
          </cell>
          <cell r="I515" t="str">
            <v>бд</v>
          </cell>
          <cell r="N515">
            <v>150</v>
          </cell>
          <cell r="Q515">
            <v>150</v>
          </cell>
          <cell r="T515">
            <v>26</v>
          </cell>
          <cell r="U515" t="str">
            <v>ОПЗ</v>
          </cell>
          <cell r="W515" t="str">
            <v>ВЗ УГИС,ОПЗ ИХН, ГИС-3 пуск под закачку</v>
          </cell>
          <cell r="AD515">
            <v>24</v>
          </cell>
          <cell r="AE515">
            <v>35</v>
          </cell>
          <cell r="AF515">
            <v>11</v>
          </cell>
          <cell r="AG515">
            <v>0</v>
          </cell>
          <cell r="AH515">
            <v>-5700</v>
          </cell>
        </row>
        <row r="516">
          <cell r="B516">
            <v>2897</v>
          </cell>
          <cell r="C516">
            <v>42</v>
          </cell>
          <cell r="D516">
            <v>0</v>
          </cell>
          <cell r="E516">
            <v>2</v>
          </cell>
          <cell r="G516">
            <v>295</v>
          </cell>
          <cell r="H516" t="str">
            <v>нагнет.</v>
          </cell>
          <cell r="I516" t="str">
            <v>бд</v>
          </cell>
          <cell r="N516">
            <v>150</v>
          </cell>
          <cell r="Q516">
            <v>150</v>
          </cell>
          <cell r="T516">
            <v>38</v>
          </cell>
          <cell r="U516" t="str">
            <v>нг</v>
          </cell>
          <cell r="W516" t="str">
            <v>Ревизия лифта,промывка Нз,ГИС-3</v>
          </cell>
          <cell r="AD516">
            <v>36</v>
          </cell>
          <cell r="AE516">
            <v>47</v>
          </cell>
          <cell r="AF516">
            <v>11</v>
          </cell>
        </row>
        <row r="517">
          <cell r="B517">
            <v>2974</v>
          </cell>
          <cell r="C517">
            <v>46</v>
          </cell>
          <cell r="D517">
            <v>0</v>
          </cell>
          <cell r="E517">
            <v>3</v>
          </cell>
          <cell r="G517">
            <v>280</v>
          </cell>
          <cell r="H517" t="str">
            <v>нагнет.</v>
          </cell>
          <cell r="I517" t="str">
            <v>бд</v>
          </cell>
          <cell r="N517">
            <v>150</v>
          </cell>
          <cell r="Q517">
            <v>150</v>
          </cell>
          <cell r="T517">
            <v>50</v>
          </cell>
          <cell r="U517" t="str">
            <v>нг</v>
          </cell>
          <cell r="W517" t="str">
            <v>Ревизия лифта,промывка Нз</v>
          </cell>
          <cell r="AD517">
            <v>48</v>
          </cell>
          <cell r="AE517">
            <v>60</v>
          </cell>
          <cell r="AF517">
            <v>12</v>
          </cell>
          <cell r="AG517">
            <v>0</v>
          </cell>
          <cell r="AH517">
            <v>-7560</v>
          </cell>
        </row>
        <row r="518">
          <cell r="B518">
            <v>5731</v>
          </cell>
          <cell r="C518">
            <v>125</v>
          </cell>
          <cell r="D518">
            <v>21</v>
          </cell>
          <cell r="E518">
            <v>4</v>
          </cell>
          <cell r="G518">
            <v>245</v>
          </cell>
          <cell r="H518" t="str">
            <v>нагнет.</v>
          </cell>
          <cell r="I518" t="str">
            <v>конс.</v>
          </cell>
          <cell r="N518">
            <v>120</v>
          </cell>
          <cell r="Q518">
            <v>120</v>
          </cell>
          <cell r="T518">
            <v>63</v>
          </cell>
          <cell r="U518" t="str">
            <v>нг</v>
          </cell>
          <cell r="W518" t="str">
            <v>Ревизия лифта,ВЗГИС-3,пуск под закачку</v>
          </cell>
          <cell r="AD518">
            <v>61</v>
          </cell>
          <cell r="AE518">
            <v>73</v>
          </cell>
          <cell r="AF518">
            <v>12</v>
          </cell>
        </row>
        <row r="519">
          <cell r="B519">
            <v>5732</v>
          </cell>
          <cell r="C519">
            <v>125</v>
          </cell>
          <cell r="D519">
            <v>21</v>
          </cell>
          <cell r="E519">
            <v>5</v>
          </cell>
          <cell r="G519">
            <v>245</v>
          </cell>
          <cell r="H519" t="str">
            <v>нагнет.</v>
          </cell>
          <cell r="I519" t="str">
            <v>конс.</v>
          </cell>
          <cell r="Q519">
            <v>0</v>
          </cell>
          <cell r="T519">
            <v>76</v>
          </cell>
          <cell r="U519" t="str">
            <v>нг</v>
          </cell>
          <cell r="W519" t="str">
            <v>Ревизия лифта,ВЗГИС-3,пуск под закачку</v>
          </cell>
          <cell r="AD519">
            <v>74</v>
          </cell>
          <cell r="AE519">
            <v>86</v>
          </cell>
          <cell r="AF519">
            <v>12</v>
          </cell>
        </row>
        <row r="520">
          <cell r="B520">
            <v>5733</v>
          </cell>
          <cell r="C520">
            <v>125</v>
          </cell>
          <cell r="D520">
            <v>21</v>
          </cell>
          <cell r="E520">
            <v>6</v>
          </cell>
          <cell r="G520">
            <v>245</v>
          </cell>
          <cell r="H520" t="str">
            <v>нагнет.</v>
          </cell>
          <cell r="I520" t="str">
            <v>конс.</v>
          </cell>
          <cell r="Q520">
            <v>0</v>
          </cell>
          <cell r="T520">
            <v>89</v>
          </cell>
          <cell r="U520" t="str">
            <v>нг</v>
          </cell>
          <cell r="W520" t="str">
            <v>Ревизия лифта,ВЗГИС-3,пуск под закачку</v>
          </cell>
          <cell r="Y520" t="str">
            <v>-</v>
          </cell>
          <cell r="Z520" t="str">
            <v>-</v>
          </cell>
          <cell r="AA520">
            <v>73</v>
          </cell>
          <cell r="AD520">
            <v>87</v>
          </cell>
          <cell r="AE520">
            <v>104</v>
          </cell>
          <cell r="AF520">
            <v>17</v>
          </cell>
          <cell r="AG520">
            <v>0</v>
          </cell>
          <cell r="AH520">
            <v>-12840</v>
          </cell>
        </row>
        <row r="521">
          <cell r="B521">
            <v>5371</v>
          </cell>
          <cell r="C521">
            <v>102</v>
          </cell>
          <cell r="D521">
            <v>21</v>
          </cell>
          <cell r="E521">
            <v>7</v>
          </cell>
          <cell r="G521">
            <v>255</v>
          </cell>
          <cell r="H521" t="str">
            <v>нагнет.</v>
          </cell>
          <cell r="I521" t="str">
            <v>бд</v>
          </cell>
          <cell r="N521">
            <v>120</v>
          </cell>
          <cell r="Q521">
            <v>120</v>
          </cell>
          <cell r="R521">
            <v>0</v>
          </cell>
          <cell r="T521">
            <v>107</v>
          </cell>
          <cell r="U521" t="str">
            <v>нг</v>
          </cell>
          <cell r="W521" t="str">
            <v>ОТСК. Запуск ППД</v>
          </cell>
          <cell r="Y521" t="str">
            <v>Полет НКТ</v>
          </cell>
          <cell r="Z521">
            <v>120</v>
          </cell>
          <cell r="AD521">
            <v>105</v>
          </cell>
          <cell r="AE521">
            <v>131</v>
          </cell>
          <cell r="AF521">
            <v>26</v>
          </cell>
          <cell r="AG521">
            <v>0</v>
          </cell>
          <cell r="AH521">
            <v>-16080</v>
          </cell>
        </row>
        <row r="522">
          <cell r="B522">
            <v>5372</v>
          </cell>
          <cell r="C522">
            <v>102</v>
          </cell>
          <cell r="D522">
            <v>21</v>
          </cell>
          <cell r="E522">
            <v>8</v>
          </cell>
          <cell r="G522">
            <v>250</v>
          </cell>
          <cell r="H522" t="str">
            <v>нагнет.</v>
          </cell>
          <cell r="I522" t="str">
            <v>конс.</v>
          </cell>
          <cell r="N522">
            <v>120</v>
          </cell>
          <cell r="Q522">
            <v>120</v>
          </cell>
          <cell r="R522">
            <v>0</v>
          </cell>
          <cell r="T522">
            <v>134</v>
          </cell>
          <cell r="U522" t="str">
            <v>нг</v>
          </cell>
          <cell r="W522" t="str">
            <v>ЛА (извлечение НКТ). ОТСК. Запуск ППД</v>
          </cell>
          <cell r="X522" t="str">
            <v>Забой - 120 м</v>
          </cell>
          <cell r="AB522" t="str">
            <v>есть СК</v>
          </cell>
          <cell r="AD522">
            <v>132</v>
          </cell>
          <cell r="AE522">
            <v>154</v>
          </cell>
          <cell r="AF522">
            <v>22</v>
          </cell>
          <cell r="AG522">
            <v>-531</v>
          </cell>
          <cell r="AH522">
            <v>-8050</v>
          </cell>
        </row>
        <row r="523">
          <cell r="B523">
            <v>5456</v>
          </cell>
          <cell r="C523">
            <v>102</v>
          </cell>
          <cell r="D523">
            <v>21</v>
          </cell>
          <cell r="E523">
            <v>9</v>
          </cell>
          <cell r="G523">
            <v>235</v>
          </cell>
          <cell r="H523" t="str">
            <v>ШГН</v>
          </cell>
          <cell r="I523" t="str">
            <v>бд</v>
          </cell>
          <cell r="N523">
            <v>50</v>
          </cell>
          <cell r="O523">
            <v>3.3</v>
          </cell>
          <cell r="P523">
            <v>92</v>
          </cell>
          <cell r="Q523">
            <v>50</v>
          </cell>
          <cell r="R523">
            <v>3.3</v>
          </cell>
          <cell r="S523">
            <v>91.9</v>
          </cell>
          <cell r="T523">
            <v>161</v>
          </cell>
          <cell r="U523" t="str">
            <v>ЛА</v>
          </cell>
          <cell r="W523" t="str">
            <v>Восст.Нз,УГИС ГДИ сп.ЭЦН</v>
          </cell>
          <cell r="Y523" t="str">
            <v>Брошена КРС Отс.лов.инструмента,на Нз 59нкт".Нз.т.-2315м.</v>
          </cell>
          <cell r="AB523" t="str">
            <v>есть СК</v>
          </cell>
          <cell r="AD523">
            <v>155</v>
          </cell>
          <cell r="AE523">
            <v>191</v>
          </cell>
          <cell r="AF523">
            <v>36</v>
          </cell>
        </row>
        <row r="524">
          <cell r="B524">
            <v>5370</v>
          </cell>
          <cell r="C524">
            <v>102</v>
          </cell>
          <cell r="D524">
            <v>21</v>
          </cell>
          <cell r="E524">
            <v>10</v>
          </cell>
          <cell r="G524">
            <v>255</v>
          </cell>
          <cell r="H524" t="str">
            <v>ШГН</v>
          </cell>
          <cell r="I524" t="str">
            <v>бд</v>
          </cell>
          <cell r="N524">
            <v>50</v>
          </cell>
          <cell r="O524">
            <v>4.0999999999999996</v>
          </cell>
          <cell r="P524">
            <v>90</v>
          </cell>
          <cell r="Q524">
            <v>50</v>
          </cell>
          <cell r="R524">
            <v>4.0999999999999996</v>
          </cell>
          <cell r="S524">
            <v>89.9</v>
          </cell>
          <cell r="T524">
            <v>198</v>
          </cell>
          <cell r="U524" t="str">
            <v>ЛА</v>
          </cell>
          <cell r="W524" t="str">
            <v>Извл.аварийных НКТ</v>
          </cell>
          <cell r="X524" t="str">
            <v>Брошена КРС Отс.лов.инструмента,на Нз 59нкт".Нз.т.-2315м.</v>
          </cell>
        </row>
        <row r="525">
          <cell r="B525">
            <v>5318</v>
          </cell>
          <cell r="C525">
            <v>134</v>
          </cell>
          <cell r="D525">
            <v>21</v>
          </cell>
          <cell r="E525">
            <v>11</v>
          </cell>
          <cell r="G525">
            <v>260</v>
          </cell>
          <cell r="H525" t="str">
            <v>нагнет.</v>
          </cell>
          <cell r="I525" t="str">
            <v>бд</v>
          </cell>
          <cell r="N525">
            <v>150</v>
          </cell>
          <cell r="Q525">
            <v>150</v>
          </cell>
          <cell r="U525" t="str">
            <v>нг</v>
          </cell>
          <cell r="W525" t="str">
            <v>Спуск пакера ,пуск под закачку.</v>
          </cell>
          <cell r="X525" t="str">
            <v>После РИР</v>
          </cell>
          <cell r="AD525">
            <v>0</v>
          </cell>
          <cell r="AE525">
            <v>14</v>
          </cell>
          <cell r="AF525">
            <v>14</v>
          </cell>
          <cell r="AG525">
            <v>-105</v>
          </cell>
          <cell r="AH525">
            <v>-147</v>
          </cell>
        </row>
        <row r="526">
          <cell r="B526">
            <v>2649</v>
          </cell>
          <cell r="C526" t="str">
            <v>157б</v>
          </cell>
          <cell r="D526">
            <v>21</v>
          </cell>
          <cell r="E526">
            <v>11</v>
          </cell>
          <cell r="G526">
            <v>235</v>
          </cell>
          <cell r="H526" t="str">
            <v>ШГН</v>
          </cell>
          <cell r="I526" t="str">
            <v>действ.</v>
          </cell>
          <cell r="K526">
            <v>3</v>
          </cell>
          <cell r="L526">
            <v>2.2999999999999998</v>
          </cell>
          <cell r="M526">
            <v>5</v>
          </cell>
          <cell r="N526">
            <v>10</v>
          </cell>
          <cell r="O526">
            <v>7.3</v>
          </cell>
          <cell r="P526">
            <v>10</v>
          </cell>
          <cell r="Q526">
            <v>7</v>
          </cell>
          <cell r="R526">
            <v>5</v>
          </cell>
          <cell r="S526">
            <v>11.8</v>
          </cell>
          <cell r="T526">
            <v>21</v>
          </cell>
          <cell r="U526" t="str">
            <v>ОПЗ</v>
          </cell>
          <cell r="W526" t="str">
            <v>УГИС. ОПЗ НТПН. ГДИ</v>
          </cell>
          <cell r="AD526">
            <v>14</v>
          </cell>
          <cell r="AE526">
            <v>28</v>
          </cell>
          <cell r="AF526">
            <v>14</v>
          </cell>
          <cell r="AG526">
            <v>-70</v>
          </cell>
          <cell r="AH526">
            <v>-105</v>
          </cell>
        </row>
        <row r="527">
          <cell r="B527">
            <v>2713</v>
          </cell>
          <cell r="C527">
            <v>163</v>
          </cell>
          <cell r="D527">
            <v>21</v>
          </cell>
          <cell r="E527">
            <v>12</v>
          </cell>
          <cell r="G527">
            <v>270</v>
          </cell>
          <cell r="H527" t="str">
            <v>ШГН</v>
          </cell>
          <cell r="I527" t="str">
            <v>действ.</v>
          </cell>
          <cell r="K527">
            <v>3</v>
          </cell>
          <cell r="L527">
            <v>2.4</v>
          </cell>
          <cell r="M527">
            <v>2</v>
          </cell>
          <cell r="N527">
            <v>6</v>
          </cell>
          <cell r="O527">
            <v>4.4000000000000004</v>
          </cell>
          <cell r="P527">
            <v>10</v>
          </cell>
          <cell r="Q527">
            <v>3</v>
          </cell>
          <cell r="R527">
            <v>2.0000000000000004</v>
          </cell>
          <cell r="S527">
            <v>17.7</v>
          </cell>
          <cell r="T527">
            <v>35</v>
          </cell>
          <cell r="U527" t="str">
            <v>ОПЗ</v>
          </cell>
          <cell r="W527" t="str">
            <v>УГИС. ОПЗ НТПН. ГДИ</v>
          </cell>
          <cell r="AD527">
            <v>28</v>
          </cell>
          <cell r="AE527">
            <v>37</v>
          </cell>
          <cell r="AF527">
            <v>9</v>
          </cell>
          <cell r="AG527">
            <v>-88</v>
          </cell>
          <cell r="AH527">
            <v>-220</v>
          </cell>
        </row>
        <row r="528">
          <cell r="B528">
            <v>2768</v>
          </cell>
          <cell r="C528">
            <v>164</v>
          </cell>
          <cell r="D528">
            <v>21</v>
          </cell>
          <cell r="E528">
            <v>13</v>
          </cell>
          <cell r="G528">
            <v>275</v>
          </cell>
          <cell r="H528" t="str">
            <v>ШГН</v>
          </cell>
          <cell r="I528" t="str">
            <v>действ.</v>
          </cell>
          <cell r="K528">
            <v>5</v>
          </cell>
          <cell r="L528">
            <v>2.4</v>
          </cell>
          <cell r="M528">
            <v>42</v>
          </cell>
          <cell r="N528">
            <v>10</v>
          </cell>
          <cell r="O528">
            <v>4.4000000000000004</v>
          </cell>
          <cell r="P528">
            <v>46.5</v>
          </cell>
          <cell r="Q528">
            <v>5</v>
          </cell>
          <cell r="R528">
            <v>2.0000000000000004</v>
          </cell>
          <cell r="S528">
            <v>50.6</v>
          </cell>
          <cell r="T528">
            <v>44</v>
          </cell>
          <cell r="U528" t="str">
            <v>ОПЗ</v>
          </cell>
          <cell r="W528" t="str">
            <v>УГИС. ОПЗ НТПН. ГДИ</v>
          </cell>
          <cell r="AD528">
            <v>38</v>
          </cell>
          <cell r="AE528">
            <v>52</v>
          </cell>
          <cell r="AF528">
            <v>14</v>
          </cell>
          <cell r="AG528">
            <v>-142</v>
          </cell>
          <cell r="AH528">
            <v>-236</v>
          </cell>
        </row>
        <row r="529">
          <cell r="B529">
            <v>3004</v>
          </cell>
          <cell r="C529">
            <v>50</v>
          </cell>
          <cell r="D529">
            <v>21</v>
          </cell>
          <cell r="E529">
            <v>14</v>
          </cell>
          <cell r="G529">
            <v>265</v>
          </cell>
          <cell r="H529" t="str">
            <v>ШГН</v>
          </cell>
          <cell r="I529" t="str">
            <v>действ.</v>
          </cell>
          <cell r="K529">
            <v>3</v>
          </cell>
          <cell r="L529">
            <v>2</v>
          </cell>
          <cell r="M529">
            <v>20</v>
          </cell>
          <cell r="N529">
            <v>7</v>
          </cell>
          <cell r="O529">
            <v>4.4000000000000004</v>
          </cell>
          <cell r="P529">
            <v>22</v>
          </cell>
          <cell r="Q529">
            <v>4</v>
          </cell>
          <cell r="R529">
            <v>2.4000000000000004</v>
          </cell>
          <cell r="S529">
            <v>25.9</v>
          </cell>
          <cell r="T529">
            <v>59</v>
          </cell>
          <cell r="U529" t="str">
            <v>ОПЗ</v>
          </cell>
          <cell r="W529" t="str">
            <v>УГИС. ОПЗ НТПН. ГДИ</v>
          </cell>
          <cell r="AD529">
            <v>53</v>
          </cell>
          <cell r="AE529">
            <v>67</v>
          </cell>
          <cell r="AF529">
            <v>14</v>
          </cell>
          <cell r="AG529">
            <v>-148</v>
          </cell>
          <cell r="AH529">
            <v>-296</v>
          </cell>
        </row>
        <row r="530">
          <cell r="B530">
            <v>3014</v>
          </cell>
          <cell r="C530">
            <v>48</v>
          </cell>
          <cell r="D530">
            <v>21</v>
          </cell>
          <cell r="E530">
            <v>15</v>
          </cell>
          <cell r="G530">
            <v>260</v>
          </cell>
          <cell r="H530" t="str">
            <v>ШГН</v>
          </cell>
          <cell r="I530" t="str">
            <v>действ.</v>
          </cell>
          <cell r="K530">
            <v>3</v>
          </cell>
          <cell r="L530">
            <v>1.7</v>
          </cell>
          <cell r="M530">
            <v>32</v>
          </cell>
          <cell r="N530">
            <v>7</v>
          </cell>
          <cell r="O530">
            <v>3.7</v>
          </cell>
          <cell r="P530">
            <v>35</v>
          </cell>
          <cell r="Q530">
            <v>4</v>
          </cell>
          <cell r="R530">
            <v>2</v>
          </cell>
          <cell r="S530">
            <v>38.299999999999997</v>
          </cell>
          <cell r="T530">
            <v>74</v>
          </cell>
          <cell r="U530" t="str">
            <v>ОПЗ</v>
          </cell>
          <cell r="W530" t="str">
            <v>УГИС. ОПЗ НТПН. ГДИ</v>
          </cell>
          <cell r="AD530">
            <v>37119</v>
          </cell>
          <cell r="AE530">
            <v>37133</v>
          </cell>
          <cell r="AF530">
            <v>14</v>
          </cell>
          <cell r="AG530">
            <v>-129990</v>
          </cell>
          <cell r="AH530">
            <v>-185700</v>
          </cell>
        </row>
        <row r="531">
          <cell r="B531">
            <v>11047</v>
          </cell>
          <cell r="C531" t="str">
            <v>302б</v>
          </cell>
          <cell r="D531">
            <v>40</v>
          </cell>
          <cell r="E531">
            <v>402</v>
          </cell>
          <cell r="G531">
            <v>235</v>
          </cell>
          <cell r="H531" t="str">
            <v>ШГН</v>
          </cell>
          <cell r="I531" t="str">
            <v>действ.</v>
          </cell>
          <cell r="K531">
            <v>1</v>
          </cell>
          <cell r="L531">
            <v>0.7</v>
          </cell>
          <cell r="M531">
            <v>8</v>
          </cell>
          <cell r="N531">
            <v>6</v>
          </cell>
          <cell r="O531">
            <v>4.2</v>
          </cell>
          <cell r="P531">
            <v>14</v>
          </cell>
          <cell r="Q531">
            <v>5</v>
          </cell>
          <cell r="R531">
            <v>3.5</v>
          </cell>
          <cell r="S531">
            <v>13.6</v>
          </cell>
          <cell r="T531">
            <v>37140</v>
          </cell>
          <cell r="U531" t="str">
            <v>ОПЗ</v>
          </cell>
          <cell r="W531" t="str">
            <v>УГИС. ОПЗ НТПН. ГДИ</v>
          </cell>
          <cell r="AD531">
            <v>37134</v>
          </cell>
          <cell r="AE531">
            <v>37148</v>
          </cell>
          <cell r="AF531">
            <v>14</v>
          </cell>
          <cell r="AG531">
            <v>-111465</v>
          </cell>
          <cell r="AH531">
            <v>-148620</v>
          </cell>
        </row>
        <row r="532">
          <cell r="B532">
            <v>11040</v>
          </cell>
          <cell r="C532" t="str">
            <v>302б</v>
          </cell>
          <cell r="D532">
            <v>40</v>
          </cell>
          <cell r="E532">
            <v>403</v>
          </cell>
          <cell r="G532">
            <v>250</v>
          </cell>
          <cell r="H532" t="str">
            <v>ШГН</v>
          </cell>
          <cell r="I532" t="str">
            <v>действ.</v>
          </cell>
          <cell r="K532">
            <v>2</v>
          </cell>
          <cell r="L532">
            <v>1.5</v>
          </cell>
          <cell r="M532">
            <v>7</v>
          </cell>
          <cell r="N532">
            <v>6</v>
          </cell>
          <cell r="O532">
            <v>4.5</v>
          </cell>
          <cell r="P532">
            <v>8</v>
          </cell>
          <cell r="Q532">
            <v>4</v>
          </cell>
          <cell r="R532">
            <v>3</v>
          </cell>
          <cell r="S532">
            <v>7.4</v>
          </cell>
          <cell r="T532">
            <v>37155</v>
          </cell>
          <cell r="U532" t="str">
            <v>ОПЗ</v>
          </cell>
          <cell r="W532" t="str">
            <v>УГИС. ОПЗ НТПН. ГДИ</v>
          </cell>
          <cell r="AD532">
            <v>37149</v>
          </cell>
          <cell r="AE532">
            <v>37163</v>
          </cell>
          <cell r="AF532">
            <v>14</v>
          </cell>
          <cell r="AG532">
            <v>-92925</v>
          </cell>
          <cell r="AH532">
            <v>-148680</v>
          </cell>
        </row>
        <row r="533">
          <cell r="B533">
            <v>11043</v>
          </cell>
          <cell r="C533" t="str">
            <v>302б</v>
          </cell>
          <cell r="D533">
            <v>40</v>
          </cell>
          <cell r="E533">
            <v>404</v>
          </cell>
          <cell r="G533">
            <v>230</v>
          </cell>
          <cell r="H533" t="str">
            <v>ШГН</v>
          </cell>
          <cell r="I533" t="str">
            <v>действ.</v>
          </cell>
          <cell r="K533">
            <v>3</v>
          </cell>
          <cell r="L533">
            <v>2</v>
          </cell>
          <cell r="M533">
            <v>19</v>
          </cell>
          <cell r="N533">
            <v>7</v>
          </cell>
          <cell r="O533">
            <v>4.5</v>
          </cell>
          <cell r="P533">
            <v>21</v>
          </cell>
          <cell r="Q533">
            <v>4</v>
          </cell>
          <cell r="R533">
            <v>2.5</v>
          </cell>
          <cell r="S533">
            <v>22.8</v>
          </cell>
          <cell r="T533">
            <v>37170</v>
          </cell>
          <cell r="U533" t="str">
            <v>ОПЗ</v>
          </cell>
          <cell r="W533" t="str">
            <v>УГИС. ОПЗ НТПН. ГДИ</v>
          </cell>
          <cell r="AD533">
            <v>37164</v>
          </cell>
          <cell r="AE533">
            <v>37189</v>
          </cell>
          <cell r="AF533">
            <v>25</v>
          </cell>
          <cell r="AG533">
            <v>-371960</v>
          </cell>
          <cell r="AH533">
            <v>-557940</v>
          </cell>
        </row>
        <row r="534">
          <cell r="B534">
            <v>4974</v>
          </cell>
          <cell r="C534" t="str">
            <v>205б</v>
          </cell>
          <cell r="D534">
            <v>40</v>
          </cell>
          <cell r="E534">
            <v>401</v>
          </cell>
          <cell r="G534">
            <v>220</v>
          </cell>
          <cell r="H534" t="str">
            <v>ШГН</v>
          </cell>
          <cell r="I534" t="str">
            <v>бд</v>
          </cell>
          <cell r="K534">
            <v>6</v>
          </cell>
          <cell r="L534">
            <v>4.5999999999999996</v>
          </cell>
          <cell r="M534">
            <v>6</v>
          </cell>
          <cell r="N534">
            <v>15</v>
          </cell>
          <cell r="O534">
            <v>10</v>
          </cell>
          <cell r="P534">
            <v>18</v>
          </cell>
          <cell r="Q534">
            <v>15</v>
          </cell>
          <cell r="R534">
            <v>10</v>
          </cell>
          <cell r="S534">
            <v>17.7</v>
          </cell>
          <cell r="T534">
            <v>37196</v>
          </cell>
          <cell r="U534" t="str">
            <v>ГРП</v>
          </cell>
          <cell r="W534" t="str">
            <v>ГРП (ОПЗ КСПЭО.) Спуск ЭЦН-30</v>
          </cell>
          <cell r="Y534" t="str">
            <v>зумпф-1м (нижн. интерв.изолир.)</v>
          </cell>
          <cell r="Z534">
            <v>2733.6</v>
          </cell>
          <cell r="AA534">
            <v>73</v>
          </cell>
          <cell r="AB534">
            <v>39541</v>
          </cell>
          <cell r="AC534">
            <v>223.1</v>
          </cell>
          <cell r="AD534">
            <v>37118</v>
          </cell>
          <cell r="AE534">
            <v>37154</v>
          </cell>
          <cell r="AF534">
            <v>36</v>
          </cell>
          <cell r="AG534">
            <v>0</v>
          </cell>
          <cell r="AH534">
            <v>-4458840</v>
          </cell>
        </row>
        <row r="535">
          <cell r="B535">
            <v>5373</v>
          </cell>
          <cell r="C535">
            <v>103</v>
          </cell>
          <cell r="D535">
            <v>50</v>
          </cell>
          <cell r="E535">
            <v>501</v>
          </cell>
          <cell r="G535">
            <v>223.1</v>
          </cell>
          <cell r="H535" t="str">
            <v>нагнет.</v>
          </cell>
          <cell r="I535" t="str">
            <v>конс.</v>
          </cell>
          <cell r="N535">
            <v>120</v>
          </cell>
          <cell r="Q535">
            <v>120</v>
          </cell>
          <cell r="R535">
            <v>0</v>
          </cell>
          <cell r="T535">
            <v>37157</v>
          </cell>
          <cell r="U535" t="str">
            <v>нг</v>
          </cell>
          <cell r="W535" t="str">
            <v>ОТСК. ГИС-3. Ликвидация ЗКЦ?</v>
          </cell>
          <cell r="Y535" t="str">
            <v>+19</v>
          </cell>
          <cell r="Z535">
            <v>2767</v>
          </cell>
          <cell r="AC535">
            <v>224.5</v>
          </cell>
          <cell r="AD535">
            <v>37155</v>
          </cell>
          <cell r="AE535">
            <v>37190</v>
          </cell>
          <cell r="AF535">
            <v>35</v>
          </cell>
          <cell r="AG535">
            <v>0</v>
          </cell>
          <cell r="AH535">
            <v>-4463160</v>
          </cell>
        </row>
        <row r="536">
          <cell r="B536">
            <v>5374</v>
          </cell>
          <cell r="C536">
            <v>103</v>
          </cell>
          <cell r="D536">
            <v>50</v>
          </cell>
          <cell r="E536">
            <v>502</v>
          </cell>
          <cell r="G536">
            <v>224.5</v>
          </cell>
          <cell r="H536" t="str">
            <v>нагнет.</v>
          </cell>
          <cell r="I536" t="str">
            <v>бд</v>
          </cell>
          <cell r="N536">
            <v>120</v>
          </cell>
          <cell r="Q536">
            <v>120</v>
          </cell>
          <cell r="R536">
            <v>0</v>
          </cell>
          <cell r="T536">
            <v>37193</v>
          </cell>
          <cell r="U536" t="str">
            <v>нг</v>
          </cell>
          <cell r="W536" t="str">
            <v>ВЗ. ОТСК</v>
          </cell>
          <cell r="Y536" t="str">
            <v>При ПРС полёт Э-80 без лов.головки</v>
          </cell>
          <cell r="AD536">
            <v>37191</v>
          </cell>
          <cell r="AE536">
            <v>37221</v>
          </cell>
          <cell r="AF536">
            <v>30</v>
          </cell>
        </row>
        <row r="537">
          <cell r="B537">
            <v>5400</v>
          </cell>
          <cell r="C537">
            <v>103</v>
          </cell>
          <cell r="D537">
            <v>50</v>
          </cell>
          <cell r="E537">
            <v>502</v>
          </cell>
          <cell r="G537">
            <v>240</v>
          </cell>
          <cell r="H537" t="str">
            <v>ЭЦН</v>
          </cell>
          <cell r="I537" t="str">
            <v>бд</v>
          </cell>
          <cell r="N537">
            <v>100</v>
          </cell>
          <cell r="O537">
            <v>1.6</v>
          </cell>
          <cell r="P537">
            <v>98</v>
          </cell>
          <cell r="Q537">
            <v>100</v>
          </cell>
          <cell r="R537">
            <v>1.6</v>
          </cell>
          <cell r="S537">
            <v>98</v>
          </cell>
          <cell r="T537">
            <v>37228</v>
          </cell>
          <cell r="U537" t="str">
            <v>ЛА</v>
          </cell>
          <cell r="W537" t="str">
            <v>Извл.ЭЦН-80,Восст.Нз ГЖ,ГДИ сп.ЭЦН.</v>
          </cell>
          <cell r="AD537">
            <v>37222</v>
          </cell>
          <cell r="AE537">
            <v>37252</v>
          </cell>
          <cell r="AF537">
            <v>30</v>
          </cell>
        </row>
        <row r="538">
          <cell r="B538" t="str">
            <v>5402б</v>
          </cell>
          <cell r="C538">
            <v>103</v>
          </cell>
          <cell r="D538">
            <v>50</v>
          </cell>
          <cell r="E538">
            <v>502</v>
          </cell>
          <cell r="G538">
            <v>255</v>
          </cell>
          <cell r="H538" t="str">
            <v>ЭЦН</v>
          </cell>
          <cell r="I538" t="str">
            <v>бд</v>
          </cell>
          <cell r="N538">
            <v>50</v>
          </cell>
          <cell r="O538">
            <v>4.0999999999999996</v>
          </cell>
          <cell r="P538">
            <v>90</v>
          </cell>
          <cell r="Q538">
            <v>50</v>
          </cell>
          <cell r="R538">
            <v>4.0999999999999996</v>
          </cell>
          <cell r="S538">
            <v>89.9</v>
          </cell>
          <cell r="W538" t="str">
            <v>ВЦ,ВЗ УГИС ,ГДИ</v>
          </cell>
          <cell r="Y538" t="str">
            <v>В скважине низ пакера+хвоставик из НКТ 3"</v>
          </cell>
          <cell r="AD538">
            <v>37253</v>
          </cell>
          <cell r="AE538">
            <v>37283</v>
          </cell>
          <cell r="AF538">
            <v>30</v>
          </cell>
        </row>
        <row r="539">
          <cell r="B539">
            <v>5428</v>
          </cell>
          <cell r="C539">
            <v>103</v>
          </cell>
          <cell r="D539">
            <v>50</v>
          </cell>
          <cell r="E539">
            <v>502</v>
          </cell>
          <cell r="G539">
            <v>235</v>
          </cell>
          <cell r="H539" t="str">
            <v>ЭЦН</v>
          </cell>
          <cell r="I539" t="str">
            <v>бд</v>
          </cell>
          <cell r="N539">
            <v>80</v>
          </cell>
          <cell r="O539">
            <v>3.3</v>
          </cell>
          <cell r="P539">
            <v>95</v>
          </cell>
          <cell r="Q539">
            <v>80</v>
          </cell>
          <cell r="R539">
            <v>3.3</v>
          </cell>
          <cell r="S539">
            <v>94.9</v>
          </cell>
          <cell r="W539" t="str">
            <v>ВЦ,ВЗ,(извл.НКТ 3")ПП УГИС.  ГДИ</v>
          </cell>
          <cell r="X539" t="str">
            <v>В ППД с 6.83 по 09.84г.</v>
          </cell>
        </row>
        <row r="540">
          <cell r="B540">
            <v>5347</v>
          </cell>
          <cell r="C540">
            <v>103</v>
          </cell>
          <cell r="D540">
            <v>50</v>
          </cell>
          <cell r="E540">
            <v>502</v>
          </cell>
          <cell r="G540">
            <v>270</v>
          </cell>
          <cell r="H540" t="str">
            <v>ЭЦН</v>
          </cell>
          <cell r="I540" t="str">
            <v>бд</v>
          </cell>
          <cell r="N540">
            <v>80</v>
          </cell>
          <cell r="O540">
            <v>3.3</v>
          </cell>
          <cell r="P540">
            <v>95</v>
          </cell>
          <cell r="Q540">
            <v>80</v>
          </cell>
          <cell r="R540">
            <v>3.3</v>
          </cell>
          <cell r="S540">
            <v>94.9</v>
          </cell>
          <cell r="U540" t="str">
            <v>ЛА</v>
          </cell>
          <cell r="W540" t="str">
            <v>Извл.проволки,восст.Нз ГЖ,ГДИ сп.ЭЦН.</v>
          </cell>
        </row>
        <row r="541">
          <cell r="B541">
            <v>5838</v>
          </cell>
          <cell r="C541" t="str">
            <v>168б</v>
          </cell>
          <cell r="H541" t="str">
            <v>фон</v>
          </cell>
          <cell r="U541" t="str">
            <v>ОПЗ</v>
          </cell>
          <cell r="W541" t="str">
            <v>ЛА ПП,УГИС,ОПЗ ИХН ГДИ (ГРП)</v>
          </cell>
          <cell r="X541" t="str">
            <v>В скажине МСУ-400+2720 проволки</v>
          </cell>
        </row>
        <row r="542">
          <cell r="B542" t="str">
            <v>5845б</v>
          </cell>
          <cell r="C542" t="str">
            <v>168б</v>
          </cell>
          <cell r="H542" t="str">
            <v>фон</v>
          </cell>
          <cell r="U542" t="str">
            <v>ОПЗ</v>
          </cell>
          <cell r="W542" t="str">
            <v>УГИС,ОПЗ НТПН, ГДИ</v>
          </cell>
        </row>
        <row r="543">
          <cell r="B543">
            <v>5849</v>
          </cell>
          <cell r="C543" t="str">
            <v>168б</v>
          </cell>
          <cell r="H543" t="str">
            <v>фон</v>
          </cell>
          <cell r="U543" t="str">
            <v>ОПЗ</v>
          </cell>
          <cell r="W543" t="str">
            <v>ВЦ,(ПП) УГИС ОПЗ ИХН,ГДИ</v>
          </cell>
        </row>
        <row r="544">
          <cell r="B544">
            <v>4120</v>
          </cell>
          <cell r="C544">
            <v>311</v>
          </cell>
          <cell r="H544" t="str">
            <v>эцн</v>
          </cell>
          <cell r="U544" t="str">
            <v>ЛА</v>
          </cell>
          <cell r="W544" t="str">
            <v>ВЦ.ВЗ.УГИС ГДИ</v>
          </cell>
        </row>
        <row r="545">
          <cell r="B545">
            <v>4119</v>
          </cell>
          <cell r="C545">
            <v>311</v>
          </cell>
          <cell r="H545" t="str">
            <v>эцн</v>
          </cell>
          <cell r="U545" t="str">
            <v>ЛА</v>
          </cell>
          <cell r="W545" t="str">
            <v>ВЦ.ВЗ.УГИС ГДИ</v>
          </cell>
        </row>
        <row r="546">
          <cell r="B546">
            <v>5589</v>
          </cell>
          <cell r="C546">
            <v>118</v>
          </cell>
          <cell r="H546" t="str">
            <v>эцн</v>
          </cell>
          <cell r="U546" t="str">
            <v>ЛА</v>
          </cell>
          <cell r="W546" t="str">
            <v>ВЦ?.ВЗ.УГИС ГДИ</v>
          </cell>
        </row>
        <row r="547">
          <cell r="B547">
            <v>5591</v>
          </cell>
          <cell r="C547">
            <v>118</v>
          </cell>
          <cell r="H547" t="str">
            <v>шгн</v>
          </cell>
          <cell r="U547" t="str">
            <v>ЛА</v>
          </cell>
          <cell r="W547" t="str">
            <v>ВЦ.ВЗ.УГИС ГДИ</v>
          </cell>
        </row>
        <row r="548">
          <cell r="B548">
            <v>5388</v>
          </cell>
          <cell r="C548">
            <v>107</v>
          </cell>
          <cell r="H548" t="str">
            <v>нагнет.</v>
          </cell>
          <cell r="U548" t="str">
            <v>нг</v>
          </cell>
          <cell r="W548" t="str">
            <v>Изоляция ЮК-11,ОПЗ ЮК-10 пуск под зак.</v>
          </cell>
        </row>
        <row r="549">
          <cell r="B549">
            <v>5386</v>
          </cell>
          <cell r="C549">
            <v>107</v>
          </cell>
          <cell r="H549" t="str">
            <v>нагнет.</v>
          </cell>
          <cell r="U549" t="str">
            <v>нг</v>
          </cell>
          <cell r="W549" t="str">
            <v>Изоляция ЮК-11,ОПЗ ЮК-10 пуск под зак.</v>
          </cell>
        </row>
        <row r="550">
          <cell r="B550">
            <v>5384</v>
          </cell>
          <cell r="C550">
            <v>107</v>
          </cell>
          <cell r="H550" t="str">
            <v>нагнет.</v>
          </cell>
          <cell r="U550" t="str">
            <v>нг</v>
          </cell>
          <cell r="W550" t="str">
            <v>УГИС, ГИС-3 пуск под закачку</v>
          </cell>
          <cell r="Z550">
            <v>2810</v>
          </cell>
          <cell r="AA550">
            <v>73</v>
          </cell>
          <cell r="AB550">
            <v>36810</v>
          </cell>
          <cell r="AD550">
            <v>37171</v>
          </cell>
          <cell r="AE550">
            <v>37182</v>
          </cell>
          <cell r="AF550">
            <v>11</v>
          </cell>
          <cell r="AG550">
            <v>0</v>
          </cell>
          <cell r="AH550">
            <v>-9296250</v>
          </cell>
        </row>
        <row r="551">
          <cell r="B551">
            <v>3282</v>
          </cell>
          <cell r="C551" t="str">
            <v>70б</v>
          </cell>
          <cell r="D551">
            <v>10</v>
          </cell>
          <cell r="E551">
            <v>106</v>
          </cell>
          <cell r="G551">
            <v>275</v>
          </cell>
          <cell r="H551" t="str">
            <v>нагнет.</v>
          </cell>
          <cell r="I551" t="str">
            <v>конс.</v>
          </cell>
          <cell r="N551">
            <v>250</v>
          </cell>
          <cell r="Q551">
            <v>250</v>
          </cell>
          <cell r="R551">
            <v>0</v>
          </cell>
          <cell r="T551">
            <v>37185</v>
          </cell>
          <cell r="U551" t="str">
            <v>нг</v>
          </cell>
          <cell r="W551" t="str">
            <v>Спуск и привязка пакера, опред. прием.ЮК11</v>
          </cell>
          <cell r="X551" t="str">
            <v>Утилизация</v>
          </cell>
          <cell r="Y551" t="str">
            <v>+14</v>
          </cell>
          <cell r="Z551">
            <v>2888</v>
          </cell>
          <cell r="AA551">
            <v>73</v>
          </cell>
          <cell r="AB551">
            <v>36763</v>
          </cell>
          <cell r="AD551">
            <v>37183</v>
          </cell>
          <cell r="AE551">
            <v>37194</v>
          </cell>
          <cell r="AF551">
            <v>11</v>
          </cell>
          <cell r="AG551">
            <v>0</v>
          </cell>
          <cell r="AH551">
            <v>-13018950</v>
          </cell>
        </row>
        <row r="552">
          <cell r="B552">
            <v>3301</v>
          </cell>
          <cell r="C552" t="str">
            <v>70б</v>
          </cell>
          <cell r="D552">
            <v>10</v>
          </cell>
          <cell r="E552">
            <v>107</v>
          </cell>
          <cell r="G552">
            <v>290</v>
          </cell>
          <cell r="H552" t="str">
            <v>нагнет.</v>
          </cell>
          <cell r="I552" t="str">
            <v>действ.</v>
          </cell>
          <cell r="K552">
            <v>580</v>
          </cell>
          <cell r="N552">
            <v>350</v>
          </cell>
          <cell r="Q552">
            <v>350</v>
          </cell>
          <cell r="R552">
            <v>0</v>
          </cell>
          <cell r="T552">
            <v>37197</v>
          </cell>
          <cell r="U552" t="str">
            <v>нг</v>
          </cell>
          <cell r="W552" t="str">
            <v>Ревизия и привязка пакера</v>
          </cell>
          <cell r="X552" t="str">
            <v>Утилизация</v>
          </cell>
          <cell r="Y552" t="str">
            <v>На забое "перо" с шаблоном 73мм + шламоуловитель(сверху)</v>
          </cell>
          <cell r="AD552">
            <v>37195</v>
          </cell>
          <cell r="AE552">
            <v>37195</v>
          </cell>
        </row>
        <row r="553">
          <cell r="B553">
            <v>2613</v>
          </cell>
          <cell r="C553">
            <v>157</v>
          </cell>
          <cell r="D553">
            <v>10</v>
          </cell>
          <cell r="E553">
            <v>108</v>
          </cell>
          <cell r="G553">
            <v>240</v>
          </cell>
          <cell r="H553" t="str">
            <v>ШГН</v>
          </cell>
          <cell r="I553" t="str">
            <v>бд</v>
          </cell>
          <cell r="J553">
            <v>34180</v>
          </cell>
          <cell r="N553">
            <v>24</v>
          </cell>
          <cell r="O553">
            <v>14</v>
          </cell>
          <cell r="P553">
            <v>28.5</v>
          </cell>
          <cell r="Q553">
            <v>24</v>
          </cell>
          <cell r="R553">
            <v>14</v>
          </cell>
          <cell r="S553">
            <v>28</v>
          </cell>
          <cell r="T553">
            <v>37202</v>
          </cell>
          <cell r="U553" t="str">
            <v>ГРП</v>
          </cell>
          <cell r="W553" t="str">
            <v>ЛА (НКТ). СО-каротаж. Дострел п."б".ГРП</v>
          </cell>
          <cell r="AD553">
            <v>37196</v>
          </cell>
          <cell r="AE553">
            <v>37196</v>
          </cell>
        </row>
        <row r="554">
          <cell r="B554">
            <v>2595</v>
          </cell>
          <cell r="C554">
            <v>157</v>
          </cell>
          <cell r="D554">
            <v>10</v>
          </cell>
          <cell r="E554">
            <v>109</v>
          </cell>
          <cell r="G554">
            <v>240</v>
          </cell>
          <cell r="H554" t="str">
            <v>Ф/ШГН</v>
          </cell>
          <cell r="N554">
            <v>12</v>
          </cell>
          <cell r="O554">
            <v>4.5</v>
          </cell>
          <cell r="P554">
            <v>54</v>
          </cell>
          <cell r="Q554">
            <v>12</v>
          </cell>
          <cell r="R554">
            <v>4.5</v>
          </cell>
          <cell r="S554">
            <v>53.7</v>
          </cell>
          <cell r="T554">
            <v>37203</v>
          </cell>
          <cell r="U554" t="str">
            <v>ОПЗ</v>
          </cell>
          <cell r="W554" t="str">
            <v>ЛА (НКТ). ОПЗ (НТПН)</v>
          </cell>
          <cell r="X554" t="str">
            <v>Прихват НКТ</v>
          </cell>
          <cell r="AD554">
            <v>37226</v>
          </cell>
          <cell r="AE554">
            <v>37263</v>
          </cell>
          <cell r="AF554">
            <v>37</v>
          </cell>
        </row>
        <row r="555">
          <cell r="B555">
            <v>2533</v>
          </cell>
          <cell r="C555">
            <v>150</v>
          </cell>
          <cell r="D555">
            <v>17</v>
          </cell>
          <cell r="H555" t="str">
            <v>ШГН</v>
          </cell>
          <cell r="I555" t="str">
            <v>действ.</v>
          </cell>
          <cell r="K555">
            <v>11</v>
          </cell>
          <cell r="L555">
            <v>5.2</v>
          </cell>
          <cell r="M555">
            <v>42</v>
          </cell>
          <cell r="N555">
            <v>40</v>
          </cell>
          <cell r="O555">
            <v>13</v>
          </cell>
          <cell r="P555">
            <v>60</v>
          </cell>
          <cell r="Q555">
            <v>29</v>
          </cell>
          <cell r="R555">
            <v>7.8</v>
          </cell>
          <cell r="S555">
            <v>66.8</v>
          </cell>
          <cell r="T555">
            <v>37270</v>
          </cell>
          <cell r="U555" t="str">
            <v>ГРП</v>
          </cell>
          <cell r="W555" t="str">
            <v>ИР ЮК-11. ПП ЮК-10. ГРП</v>
          </cell>
          <cell r="Y555" t="str">
            <v>Прихват НКТ</v>
          </cell>
          <cell r="AD555">
            <v>37263</v>
          </cell>
          <cell r="AE555">
            <v>37293</v>
          </cell>
          <cell r="AF555">
            <v>30</v>
          </cell>
        </row>
        <row r="556">
          <cell r="B556">
            <v>2595</v>
          </cell>
          <cell r="C556">
            <v>157</v>
          </cell>
          <cell r="D556">
            <v>17</v>
          </cell>
          <cell r="H556" t="str">
            <v>ШГН</v>
          </cell>
          <cell r="I556" t="str">
            <v>бд</v>
          </cell>
          <cell r="J556">
            <v>33710</v>
          </cell>
          <cell r="N556">
            <v>20</v>
          </cell>
          <cell r="O556">
            <v>13</v>
          </cell>
          <cell r="P556">
            <v>20</v>
          </cell>
          <cell r="Q556">
            <v>20</v>
          </cell>
          <cell r="R556">
            <v>13</v>
          </cell>
          <cell r="S556">
            <v>19.8</v>
          </cell>
          <cell r="U556" t="str">
            <v>ГРП</v>
          </cell>
          <cell r="W556" t="str">
            <v>ЛА, ГИС(ЗКЦ), ликв.ЗКЦ, ГРП</v>
          </cell>
          <cell r="Y556" t="str">
            <v>Сложная авария</v>
          </cell>
          <cell r="AD556">
            <v>37293</v>
          </cell>
          <cell r="AE556">
            <v>37338</v>
          </cell>
          <cell r="AF556">
            <v>45</v>
          </cell>
        </row>
        <row r="557">
          <cell r="B557">
            <v>2613</v>
          </cell>
          <cell r="C557">
            <v>157</v>
          </cell>
          <cell r="D557">
            <v>17</v>
          </cell>
          <cell r="H557" t="str">
            <v>ШГН</v>
          </cell>
          <cell r="I557" t="str">
            <v>бд</v>
          </cell>
          <cell r="J557">
            <v>34180</v>
          </cell>
          <cell r="N557">
            <v>20</v>
          </cell>
          <cell r="O557">
            <v>10</v>
          </cell>
          <cell r="P557">
            <v>38.5</v>
          </cell>
          <cell r="Q557">
            <v>20</v>
          </cell>
          <cell r="R557">
            <v>10</v>
          </cell>
          <cell r="S557">
            <v>38.299999999999997</v>
          </cell>
          <cell r="U557" t="str">
            <v>ГРП</v>
          </cell>
          <cell r="W557" t="str">
            <v>ЛА(ВЗ), ГРП</v>
          </cell>
        </row>
        <row r="558">
          <cell r="B558">
            <v>2716</v>
          </cell>
          <cell r="C558">
            <v>165</v>
          </cell>
          <cell r="D558">
            <v>17</v>
          </cell>
          <cell r="H558" t="str">
            <v>ШГН</v>
          </cell>
          <cell r="I558" t="str">
            <v>действ.</v>
          </cell>
          <cell r="K558">
            <v>2</v>
          </cell>
          <cell r="L558">
            <v>0.1</v>
          </cell>
          <cell r="M558">
            <v>96</v>
          </cell>
          <cell r="N558">
            <v>20</v>
          </cell>
          <cell r="O558">
            <v>10.1</v>
          </cell>
          <cell r="P558">
            <v>38</v>
          </cell>
          <cell r="Q558">
            <v>18</v>
          </cell>
          <cell r="R558">
            <v>10</v>
          </cell>
          <cell r="S558">
            <v>31.4</v>
          </cell>
          <cell r="U558" t="str">
            <v>ГРП</v>
          </cell>
          <cell r="W558" t="str">
            <v>ГИС(ЗКЦ), ИР низ ЮК-10, ГРП  пачки А3</v>
          </cell>
          <cell r="AD558">
            <v>37338</v>
          </cell>
          <cell r="AE558">
            <v>37363</v>
          </cell>
          <cell r="AF558">
            <v>25</v>
          </cell>
        </row>
        <row r="559">
          <cell r="B559">
            <v>5850</v>
          </cell>
          <cell r="C559">
            <v>169</v>
          </cell>
          <cell r="D559">
            <v>17</v>
          </cell>
          <cell r="H559" t="str">
            <v>ФОН</v>
          </cell>
          <cell r="I559" t="str">
            <v>конс.</v>
          </cell>
          <cell r="J559">
            <v>34151</v>
          </cell>
          <cell r="N559">
            <v>50</v>
          </cell>
          <cell r="O559">
            <v>4</v>
          </cell>
          <cell r="P559">
            <v>90.1</v>
          </cell>
          <cell r="Q559">
            <v>50</v>
          </cell>
          <cell r="R559">
            <v>4</v>
          </cell>
          <cell r="S559">
            <v>90.1</v>
          </cell>
          <cell r="U559" t="str">
            <v>ОПЗ</v>
          </cell>
          <cell r="W559" t="str">
            <v>ВЦ, УГИС, ПП через УГИС в кислотной среде</v>
          </cell>
        </row>
        <row r="567">
          <cell r="W567" t="str">
            <v>Резерв</v>
          </cell>
        </row>
        <row r="568">
          <cell r="B568">
            <v>2631</v>
          </cell>
          <cell r="C568" t="str">
            <v>157б</v>
          </cell>
          <cell r="R568">
            <v>10</v>
          </cell>
          <cell r="W568" t="str">
            <v>ЛА, ВЗ, ПП ЮК-11 DN, сп.ЭЦН-50</v>
          </cell>
        </row>
        <row r="569">
          <cell r="B569">
            <v>2649</v>
          </cell>
          <cell r="C569" t="str">
            <v>157б</v>
          </cell>
          <cell r="R569">
            <v>5</v>
          </cell>
          <cell r="W569" t="str">
            <v xml:space="preserve"> ДП ЮК-10 2797-2802, ПП ЮК-10 сп. НН. Инт.2654-2662, при наличии нефти  в ЮК-2 и воды в ЮК-10 ГРП</v>
          </cell>
        </row>
        <row r="570">
          <cell r="B570">
            <v>2685</v>
          </cell>
          <cell r="C570" t="str">
            <v>160б</v>
          </cell>
          <cell r="R570">
            <v>5</v>
          </cell>
          <cell r="W570" t="str">
            <v>ПП, ЮК-10, м-ж СКН, сп.НН</v>
          </cell>
        </row>
        <row r="571">
          <cell r="B571">
            <v>2704</v>
          </cell>
          <cell r="C571" t="str">
            <v>160б</v>
          </cell>
          <cell r="D571">
            <v>4</v>
          </cell>
          <cell r="E571">
            <v>43</v>
          </cell>
          <cell r="F571" t="str">
            <v>УПНПиКРС</v>
          </cell>
          <cell r="R571">
            <v>12</v>
          </cell>
          <cell r="W571" t="str">
            <v>ЛА, РИР, ПП ЮК-10 ГРП</v>
          </cell>
        </row>
        <row r="572">
          <cell r="B572">
            <v>2705</v>
          </cell>
          <cell r="C572" t="str">
            <v>160б</v>
          </cell>
          <cell r="D572">
            <v>4</v>
          </cell>
          <cell r="E572">
            <v>44</v>
          </cell>
          <cell r="F572" t="str">
            <v>УПНПиКРС</v>
          </cell>
          <cell r="R572">
            <v>7</v>
          </cell>
          <cell r="W572" t="str">
            <v>ВЦ, ПП, п.А, 2767-2772, ОПЗ, сп.Э-50</v>
          </cell>
        </row>
        <row r="573">
          <cell r="B573">
            <v>2750</v>
          </cell>
          <cell r="C573">
            <v>146</v>
          </cell>
          <cell r="R573">
            <v>5.5</v>
          </cell>
          <cell r="W573" t="str">
            <v>ПП, спЭ-45, L-2100м</v>
          </cell>
        </row>
        <row r="574">
          <cell r="B574">
            <v>2751</v>
          </cell>
          <cell r="C574">
            <v>146</v>
          </cell>
          <cell r="R574">
            <v>4.5</v>
          </cell>
          <cell r="W574" t="str">
            <v>ВЗ, ПП, ЮК-10-11, сп.Э-50</v>
          </cell>
        </row>
        <row r="575">
          <cell r="B575">
            <v>2754</v>
          </cell>
          <cell r="C575">
            <v>145</v>
          </cell>
          <cell r="D575">
            <v>3</v>
          </cell>
          <cell r="I575" t="str">
            <v>конс.</v>
          </cell>
          <cell r="J575">
            <v>32843</v>
          </cell>
          <cell r="K575">
            <v>6</v>
          </cell>
          <cell r="L575">
            <v>0.5</v>
          </cell>
          <cell r="M575">
            <v>90</v>
          </cell>
          <cell r="N575">
            <v>30</v>
          </cell>
          <cell r="O575">
            <v>12</v>
          </cell>
          <cell r="P575">
            <v>51</v>
          </cell>
          <cell r="Q575">
            <v>30</v>
          </cell>
          <cell r="R575">
            <v>12</v>
          </cell>
          <cell r="S575">
            <v>50.6</v>
          </cell>
          <cell r="U575" t="str">
            <v>ГРП</v>
          </cell>
          <cell r="W575" t="str">
            <v>ГРП, возможно приобщение ЮК-11</v>
          </cell>
        </row>
        <row r="576">
          <cell r="B576">
            <v>2755</v>
          </cell>
          <cell r="C576">
            <v>145</v>
          </cell>
          <cell r="D576">
            <v>3</v>
          </cell>
          <cell r="I576" t="str">
            <v>бд</v>
          </cell>
          <cell r="J576">
            <v>33968</v>
          </cell>
          <cell r="K576">
            <v>40</v>
          </cell>
          <cell r="L576">
            <v>1.6</v>
          </cell>
          <cell r="M576">
            <v>95</v>
          </cell>
          <cell r="N576">
            <v>30</v>
          </cell>
          <cell r="O576">
            <v>12</v>
          </cell>
          <cell r="P576">
            <v>51</v>
          </cell>
          <cell r="Q576">
            <v>30</v>
          </cell>
          <cell r="R576">
            <v>12</v>
          </cell>
          <cell r="S576">
            <v>50.6</v>
          </cell>
          <cell r="U576" t="str">
            <v>ГРП</v>
          </cell>
          <cell r="W576" t="str">
            <v>ГИС-2(и.о.) РИР ЮК-11, ГРП с отсыпкой низа ЮК-10</v>
          </cell>
        </row>
        <row r="577">
          <cell r="B577">
            <v>2756</v>
          </cell>
          <cell r="C577">
            <v>145</v>
          </cell>
          <cell r="D577">
            <v>3</v>
          </cell>
          <cell r="I577" t="str">
            <v>бд</v>
          </cell>
          <cell r="J577">
            <v>35786</v>
          </cell>
          <cell r="K577">
            <v>70</v>
          </cell>
          <cell r="L577">
            <v>10.8</v>
          </cell>
          <cell r="M577">
            <v>81</v>
          </cell>
          <cell r="N577">
            <v>50</v>
          </cell>
          <cell r="O577">
            <v>10</v>
          </cell>
          <cell r="P577">
            <v>75.400000000000006</v>
          </cell>
          <cell r="Q577">
            <v>50</v>
          </cell>
          <cell r="R577">
            <v>10</v>
          </cell>
          <cell r="S577">
            <v>75.3</v>
          </cell>
          <cell r="U577" t="str">
            <v>РИР</v>
          </cell>
          <cell r="W577" t="str">
            <v>РИР Э/К 2562-2673, ПП-ЮК-10 с ОПЗ</v>
          </cell>
        </row>
        <row r="578">
          <cell r="B578">
            <v>2784</v>
          </cell>
          <cell r="C578">
            <v>145</v>
          </cell>
          <cell r="R578">
            <v>5</v>
          </cell>
          <cell r="W578" t="str">
            <v>ЛА, ГИС-2(и.о.)при отс.ЗКЦ с ЮК-11 ПП п.А с ОПЗ, сп.ЭЦН, при наличии ЗКЦ в консервацию</v>
          </cell>
        </row>
        <row r="579">
          <cell r="B579">
            <v>2920</v>
          </cell>
          <cell r="C579">
            <v>43</v>
          </cell>
          <cell r="R579">
            <v>10</v>
          </cell>
          <cell r="W579" t="str">
            <v>ВЦ,дострел 2812-2816м,2820-2825м,ГРП</v>
          </cell>
        </row>
        <row r="580">
          <cell r="B580">
            <v>2940</v>
          </cell>
          <cell r="C580">
            <v>46</v>
          </cell>
          <cell r="R580">
            <v>6</v>
          </cell>
          <cell r="W580" t="str">
            <v>ВЦ,ПП ЮК-11,сп Э-50</v>
          </cell>
        </row>
        <row r="581">
          <cell r="B581">
            <v>2941</v>
          </cell>
          <cell r="C581">
            <v>46</v>
          </cell>
          <cell r="R581">
            <v>5</v>
          </cell>
          <cell r="W581" t="str">
            <v>ВЦ,ОТСК,ГИС-2,сп Э-50</v>
          </cell>
        </row>
        <row r="582">
          <cell r="B582">
            <v>2956</v>
          </cell>
          <cell r="C582">
            <v>46</v>
          </cell>
          <cell r="R582">
            <v>4</v>
          </cell>
          <cell r="W582" t="str">
            <v>РИР ЮК-11,перевод на ЮК-10 ,сп Н-57,интер.ЮК-3 2500-2520м</v>
          </cell>
        </row>
        <row r="583">
          <cell r="B583">
            <v>2982</v>
          </cell>
          <cell r="C583">
            <v>50</v>
          </cell>
          <cell r="R583">
            <v>5</v>
          </cell>
          <cell r="W583" t="str">
            <v>ПП,ОПЗ,сп Н-57</v>
          </cell>
        </row>
        <row r="584">
          <cell r="B584">
            <v>3034</v>
          </cell>
          <cell r="C584">
            <v>51</v>
          </cell>
          <cell r="H584" t="str">
            <v>ШГН</v>
          </cell>
          <cell r="I584" t="str">
            <v>конс.</v>
          </cell>
          <cell r="N584">
            <v>50</v>
          </cell>
          <cell r="O584">
            <v>5</v>
          </cell>
          <cell r="P584">
            <v>87.7</v>
          </cell>
          <cell r="Q584">
            <v>50</v>
          </cell>
          <cell r="R584">
            <v>5</v>
          </cell>
          <cell r="S584">
            <v>87.7</v>
          </cell>
          <cell r="W584" t="str">
            <v>ВЦ,ПП ЮК-11,сп Э-50</v>
          </cell>
        </row>
        <row r="585">
          <cell r="B585">
            <v>5341</v>
          </cell>
          <cell r="C585">
            <v>101</v>
          </cell>
          <cell r="R585">
            <v>6</v>
          </cell>
          <cell r="W585" t="str">
            <v>приобщение ЮК-11 (3016-3018м,3019-3023м)</v>
          </cell>
        </row>
        <row r="586">
          <cell r="B586">
            <v>5342</v>
          </cell>
          <cell r="C586">
            <v>101</v>
          </cell>
          <cell r="R586">
            <v>6</v>
          </cell>
          <cell r="W586" t="str">
            <v>ВЗ,ОТСК,ВЦ,ДП 2942-2950м,ПП,ОПЗ</v>
          </cell>
        </row>
        <row r="587">
          <cell r="B587">
            <v>5412</v>
          </cell>
          <cell r="C587">
            <v>107</v>
          </cell>
          <cell r="R587">
            <v>4.5</v>
          </cell>
          <cell r="W587" t="str">
            <v>РИР ЮК-11,ПП с ОПЗ,сп Н-57</v>
          </cell>
        </row>
        <row r="588">
          <cell r="B588">
            <v>5435</v>
          </cell>
          <cell r="C588">
            <v>106</v>
          </cell>
          <cell r="R588">
            <v>6</v>
          </cell>
          <cell r="W588" t="str">
            <v>ЛА ( НКТ ),ПП, сп Э-50</v>
          </cell>
        </row>
        <row r="589">
          <cell r="B589">
            <v>5615</v>
          </cell>
          <cell r="C589">
            <v>116</v>
          </cell>
          <cell r="R589">
            <v>5</v>
          </cell>
          <cell r="W589" t="str">
            <v>ВЦ,ПП,ОПЗ,сп Э-50</v>
          </cell>
        </row>
        <row r="590">
          <cell r="B590">
            <v>5583</v>
          </cell>
          <cell r="C590">
            <v>116</v>
          </cell>
          <cell r="H590" t="str">
            <v>ЭЦН</v>
          </cell>
          <cell r="I590" t="str">
            <v>конс.</v>
          </cell>
          <cell r="N590">
            <v>50</v>
          </cell>
          <cell r="O590">
            <v>5</v>
          </cell>
          <cell r="P590">
            <v>87.7</v>
          </cell>
          <cell r="Q590">
            <v>50</v>
          </cell>
          <cell r="R590">
            <v>5</v>
          </cell>
          <cell r="S590">
            <v>87.7</v>
          </cell>
          <cell r="W590" t="str">
            <v>ВЦ,ПП, сп Э-50 ( ООО прогр.)</v>
          </cell>
        </row>
        <row r="591">
          <cell r="B591" t="str">
            <v>5402б</v>
          </cell>
          <cell r="C591">
            <v>103</v>
          </cell>
          <cell r="H591" t="str">
            <v>ЭЦН</v>
          </cell>
          <cell r="I591" t="str">
            <v>конс.</v>
          </cell>
          <cell r="N591">
            <v>80</v>
          </cell>
          <cell r="O591">
            <v>5</v>
          </cell>
          <cell r="P591">
            <v>92.3</v>
          </cell>
          <cell r="Q591">
            <v>80</v>
          </cell>
          <cell r="R591">
            <v>5</v>
          </cell>
          <cell r="S591">
            <v>92.3</v>
          </cell>
          <cell r="W591" t="str">
            <v>ВЦ,ПП с ОПЗ сп Э-80 ( ООО э/прогрев )</v>
          </cell>
        </row>
        <row r="592">
          <cell r="B592" t="str">
            <v>5491б</v>
          </cell>
          <cell r="C592">
            <v>117</v>
          </cell>
          <cell r="R592">
            <v>5</v>
          </cell>
          <cell r="W592" t="str">
            <v>ВЦ,ПП,ОПЗ,ГИС-2,ОТСК,сп Э-50</v>
          </cell>
        </row>
        <row r="593">
          <cell r="B593">
            <v>5338</v>
          </cell>
          <cell r="C593">
            <v>141</v>
          </cell>
          <cell r="D593" t="e">
            <v>#REF!</v>
          </cell>
          <cell r="E593" t="e">
            <v>#REF!</v>
          </cell>
          <cell r="F593" t="str">
            <v>УПНПиКРС</v>
          </cell>
          <cell r="G593">
            <v>280</v>
          </cell>
          <cell r="H593" t="str">
            <v>нагнет.</v>
          </cell>
          <cell r="I593" t="str">
            <v>бд</v>
          </cell>
          <cell r="J593">
            <v>36711</v>
          </cell>
          <cell r="K593">
            <v>230</v>
          </cell>
          <cell r="N593">
            <v>230</v>
          </cell>
          <cell r="Q593">
            <v>230</v>
          </cell>
          <cell r="V593">
            <v>3</v>
          </cell>
          <cell r="W593" t="str">
            <v>Ревизия пакера</v>
          </cell>
          <cell r="AD593">
            <v>37320</v>
          </cell>
          <cell r="AE593">
            <v>37360</v>
          </cell>
          <cell r="AF593">
            <v>40</v>
          </cell>
        </row>
        <row r="594">
          <cell r="B594">
            <v>2608</v>
          </cell>
          <cell r="C594" t="str">
            <v>168б</v>
          </cell>
          <cell r="D594">
            <v>5</v>
          </cell>
          <cell r="E594">
            <v>50</v>
          </cell>
          <cell r="F594" t="str">
            <v>УПНПиКРС</v>
          </cell>
          <cell r="G594">
            <v>240</v>
          </cell>
          <cell r="H594" t="str">
            <v>ШГН</v>
          </cell>
          <cell r="I594" t="str">
            <v>действ.</v>
          </cell>
          <cell r="K594">
            <v>3</v>
          </cell>
          <cell r="L594">
            <v>2.2999999999999998</v>
          </cell>
          <cell r="M594">
            <v>5</v>
          </cell>
          <cell r="N594">
            <v>30</v>
          </cell>
          <cell r="O594">
            <v>14.3</v>
          </cell>
          <cell r="P594">
            <v>41.4</v>
          </cell>
          <cell r="Q594">
            <v>27</v>
          </cell>
          <cell r="R594">
            <v>12</v>
          </cell>
          <cell r="S594">
            <v>45.1</v>
          </cell>
          <cell r="T594">
            <v>37367</v>
          </cell>
          <cell r="U594" t="str">
            <v>ГРП</v>
          </cell>
          <cell r="V594">
            <v>2</v>
          </cell>
          <cell r="W594" t="str">
            <v>инт.ЮК 4-5 2569-2578, 2582-2592м,ГРП</v>
          </cell>
          <cell r="AD594" t="e">
            <v>#REF!</v>
          </cell>
          <cell r="AE594" t="e">
            <v>#REF!</v>
          </cell>
          <cell r="AF594">
            <v>33</v>
          </cell>
          <cell r="AG594" t="e">
            <v>#REF!</v>
          </cell>
          <cell r="AH594" t="e">
            <v>#REF!</v>
          </cell>
        </row>
        <row r="595">
          <cell r="B595">
            <v>2596</v>
          </cell>
          <cell r="C595">
            <v>150</v>
          </cell>
          <cell r="D595" t="e">
            <v>#REF!</v>
          </cell>
          <cell r="E595" t="e">
            <v>#REF!</v>
          </cell>
          <cell r="F595" t="str">
            <v>УПНПиКРС</v>
          </cell>
          <cell r="G595">
            <v>250</v>
          </cell>
          <cell r="H595" t="str">
            <v>ШГН</v>
          </cell>
          <cell r="I595" t="str">
            <v>конс.</v>
          </cell>
          <cell r="J595">
            <v>34304</v>
          </cell>
          <cell r="K595">
            <v>3</v>
          </cell>
          <cell r="L595">
            <v>1</v>
          </cell>
          <cell r="M595">
            <v>60</v>
          </cell>
          <cell r="N595">
            <v>30</v>
          </cell>
          <cell r="O595">
            <v>12</v>
          </cell>
          <cell r="P595">
            <v>50.8</v>
          </cell>
          <cell r="Q595">
            <v>30</v>
          </cell>
          <cell r="R595">
            <v>12</v>
          </cell>
          <cell r="S595">
            <v>50.6</v>
          </cell>
          <cell r="T595" t="e">
            <v>#REF!</v>
          </cell>
          <cell r="U595" t="str">
            <v>ГРП</v>
          </cell>
          <cell r="V595">
            <v>2</v>
          </cell>
          <cell r="W595" t="str">
            <v>ВЦ, ИР ЮК-10, ПР к ГРП и ГРП ЮК-2-3</v>
          </cell>
          <cell r="AD595" t="e">
            <v>#REF!</v>
          </cell>
          <cell r="AE595" t="e">
            <v>#REF!</v>
          </cell>
          <cell r="AF595">
            <v>45</v>
          </cell>
          <cell r="AG595">
            <v>28</v>
          </cell>
          <cell r="AH595">
            <v>60</v>
          </cell>
        </row>
        <row r="596">
          <cell r="B596">
            <v>2668</v>
          </cell>
          <cell r="C596" t="str">
            <v>160б</v>
          </cell>
          <cell r="D596" t="e">
            <v>#REF!</v>
          </cell>
          <cell r="E596" t="e">
            <v>#REF!</v>
          </cell>
          <cell r="F596" t="str">
            <v>УПНПиКРС</v>
          </cell>
          <cell r="G596">
            <v>250</v>
          </cell>
          <cell r="H596" t="str">
            <v>ШГН</v>
          </cell>
          <cell r="I596" t="str">
            <v>конс.</v>
          </cell>
          <cell r="J596">
            <v>34243</v>
          </cell>
          <cell r="K596">
            <v>0.7</v>
          </cell>
          <cell r="L596">
            <v>0.6</v>
          </cell>
          <cell r="M596">
            <v>0</v>
          </cell>
          <cell r="N596">
            <v>30</v>
          </cell>
          <cell r="O596">
            <v>14</v>
          </cell>
          <cell r="P596">
            <v>42.8</v>
          </cell>
          <cell r="Q596">
            <v>30</v>
          </cell>
          <cell r="R596">
            <v>14</v>
          </cell>
          <cell r="S596">
            <v>42.4</v>
          </cell>
          <cell r="T596" t="e">
            <v>#REF!</v>
          </cell>
          <cell r="U596" t="str">
            <v>ГРП</v>
          </cell>
          <cell r="V596">
            <v>4</v>
          </cell>
          <cell r="W596" t="str">
            <v>ВЦ,ПП, ГРП ЮК-10</v>
          </cell>
          <cell r="Y596" t="str">
            <v>Полёт нкт, МСУ+проволка+ловитель</v>
          </cell>
          <cell r="AD596" t="e">
            <v>#REF!</v>
          </cell>
          <cell r="AE596" t="e">
            <v>#REF!</v>
          </cell>
          <cell r="AF596">
            <v>45</v>
          </cell>
        </row>
        <row r="597">
          <cell r="B597">
            <v>2704</v>
          </cell>
          <cell r="C597" t="str">
            <v>160б</v>
          </cell>
          <cell r="D597" t="e">
            <v>#REF!</v>
          </cell>
          <cell r="E597" t="e">
            <v>#REF!</v>
          </cell>
          <cell r="F597" t="str">
            <v>УПНПиКРС</v>
          </cell>
          <cell r="G597">
            <v>270</v>
          </cell>
          <cell r="H597" t="str">
            <v>ФОН</v>
          </cell>
          <cell r="I597" t="str">
            <v>конс.</v>
          </cell>
          <cell r="J597">
            <v>34364</v>
          </cell>
          <cell r="K597">
            <v>29</v>
          </cell>
          <cell r="L597">
            <v>1.2</v>
          </cell>
          <cell r="M597">
            <v>95</v>
          </cell>
          <cell r="N597">
            <v>30</v>
          </cell>
          <cell r="O597">
            <v>12</v>
          </cell>
          <cell r="P597">
            <v>51</v>
          </cell>
          <cell r="Q597">
            <v>30</v>
          </cell>
          <cell r="R597">
            <v>12</v>
          </cell>
          <cell r="S597">
            <v>50.6</v>
          </cell>
          <cell r="T597" t="e">
            <v>#REF!</v>
          </cell>
          <cell r="U597" t="str">
            <v>ГРП</v>
          </cell>
          <cell r="V597">
            <v>5</v>
          </cell>
          <cell r="W597" t="str">
            <v>ЛА,ИР ЮК-11,ПП ЮК-10 ГРП</v>
          </cell>
          <cell r="Y597" t="str">
            <v>КВ есть</v>
          </cell>
          <cell r="AD597" t="e">
            <v>#REF!</v>
          </cell>
          <cell r="AE597" t="e">
            <v>#REF!</v>
          </cell>
          <cell r="AF597">
            <v>40</v>
          </cell>
        </row>
        <row r="598">
          <cell r="B598">
            <v>2705</v>
          </cell>
          <cell r="C598" t="str">
            <v>160б</v>
          </cell>
          <cell r="D598" t="e">
            <v>#REF!</v>
          </cell>
          <cell r="E598" t="e">
            <v>#REF!</v>
          </cell>
          <cell r="F598" t="str">
            <v>УПНПиКРС</v>
          </cell>
          <cell r="G598">
            <v>260</v>
          </cell>
          <cell r="H598" t="str">
            <v>ШГН</v>
          </cell>
          <cell r="I598" t="str">
            <v>бд</v>
          </cell>
          <cell r="J598">
            <v>36332</v>
          </cell>
          <cell r="K598">
            <v>2</v>
          </cell>
          <cell r="L598">
            <v>1.6</v>
          </cell>
          <cell r="M598">
            <v>3</v>
          </cell>
          <cell r="N598">
            <v>40</v>
          </cell>
          <cell r="O598">
            <v>7</v>
          </cell>
          <cell r="P598">
            <v>78.5</v>
          </cell>
          <cell r="Q598">
            <v>40</v>
          </cell>
          <cell r="R598">
            <v>7</v>
          </cell>
          <cell r="S598">
            <v>78.400000000000006</v>
          </cell>
          <cell r="T598" t="e">
            <v>#REF!</v>
          </cell>
          <cell r="U598" t="str">
            <v>ОПЗ</v>
          </cell>
          <cell r="V598">
            <v>6</v>
          </cell>
          <cell r="W598" t="str">
            <v xml:space="preserve">ВЦ,ПП п.А, ОПЗ,ГДИ </v>
          </cell>
          <cell r="AD598" t="e">
            <v>#REF!</v>
          </cell>
          <cell r="AE598" t="e">
            <v>#REF!</v>
          </cell>
          <cell r="AF598">
            <v>40</v>
          </cell>
        </row>
        <row r="599">
          <cell r="B599">
            <v>2651</v>
          </cell>
          <cell r="C599" t="str">
            <v>157б</v>
          </cell>
          <cell r="D599" t="e">
            <v>#REF!</v>
          </cell>
          <cell r="E599">
            <v>72</v>
          </cell>
          <cell r="F599" t="str">
            <v>УПНПиКРС</v>
          </cell>
          <cell r="G599">
            <v>270</v>
          </cell>
          <cell r="H599" t="str">
            <v>ШГН</v>
          </cell>
          <cell r="I599" t="str">
            <v>конс.</v>
          </cell>
          <cell r="J599">
            <v>35073</v>
          </cell>
          <cell r="K599">
            <v>29</v>
          </cell>
          <cell r="L599">
            <v>3.5</v>
          </cell>
          <cell r="M599">
            <v>85</v>
          </cell>
          <cell r="N599">
            <v>30</v>
          </cell>
          <cell r="O599">
            <v>12</v>
          </cell>
          <cell r="P599">
            <v>51</v>
          </cell>
          <cell r="Q599">
            <v>30</v>
          </cell>
          <cell r="R599">
            <v>12</v>
          </cell>
          <cell r="S599">
            <v>50.6</v>
          </cell>
          <cell r="T599" t="e">
            <v>#REF!</v>
          </cell>
          <cell r="U599" t="str">
            <v>ГРП</v>
          </cell>
          <cell r="V599">
            <v>3</v>
          </cell>
          <cell r="W599" t="str">
            <v>ВЦ,РИР ЮК-11, ПП ЮК-10, ГРП</v>
          </cell>
        </row>
        <row r="600">
          <cell r="B600">
            <v>5858</v>
          </cell>
          <cell r="C600">
            <v>169</v>
          </cell>
          <cell r="D600">
            <v>7</v>
          </cell>
          <cell r="E600">
            <v>72</v>
          </cell>
          <cell r="F600" t="str">
            <v>УПНПиКРС</v>
          </cell>
          <cell r="G600">
            <v>270</v>
          </cell>
          <cell r="H600" t="str">
            <v>ФОН</v>
          </cell>
          <cell r="I600" t="str">
            <v>бд</v>
          </cell>
          <cell r="J600">
            <v>36649</v>
          </cell>
          <cell r="K600">
            <v>7</v>
          </cell>
          <cell r="L600">
            <v>1</v>
          </cell>
          <cell r="M600">
            <v>82</v>
          </cell>
          <cell r="N600">
            <v>30</v>
          </cell>
          <cell r="O600">
            <v>12</v>
          </cell>
          <cell r="P600">
            <v>51</v>
          </cell>
          <cell r="Q600">
            <v>30</v>
          </cell>
          <cell r="R600">
            <v>12</v>
          </cell>
          <cell r="S600">
            <v>50.6</v>
          </cell>
          <cell r="T600">
            <v>7</v>
          </cell>
          <cell r="U600" t="str">
            <v>ГРП</v>
          </cell>
          <cell r="V600">
            <v>4</v>
          </cell>
          <cell r="W600" t="str">
            <v xml:space="preserve">инт.ЮК-5  2613-2628м,РИР ЮК-10,ГРП </v>
          </cell>
          <cell r="AD600" t="e">
            <v>#REF!</v>
          </cell>
          <cell r="AE600" t="e">
            <v>#REF!</v>
          </cell>
          <cell r="AF600">
            <v>40</v>
          </cell>
        </row>
        <row r="601">
          <cell r="B601">
            <v>5345</v>
          </cell>
          <cell r="C601">
            <v>102</v>
          </cell>
          <cell r="D601" t="e">
            <v>#REF!</v>
          </cell>
          <cell r="E601" t="e">
            <v>#REF!</v>
          </cell>
          <cell r="F601" t="str">
            <v>УПНПиКРС</v>
          </cell>
          <cell r="G601">
            <v>250</v>
          </cell>
          <cell r="H601" t="str">
            <v>ШГН</v>
          </cell>
          <cell r="I601" t="str">
            <v>бд</v>
          </cell>
          <cell r="J601">
            <v>37216</v>
          </cell>
          <cell r="K601">
            <v>14</v>
          </cell>
          <cell r="L601">
            <v>0.5</v>
          </cell>
          <cell r="M601">
            <v>96</v>
          </cell>
          <cell r="N601">
            <v>30</v>
          </cell>
          <cell r="O601">
            <v>12</v>
          </cell>
          <cell r="P601">
            <v>51</v>
          </cell>
          <cell r="Q601">
            <v>30</v>
          </cell>
          <cell r="R601">
            <v>12</v>
          </cell>
          <cell r="S601">
            <v>50.6</v>
          </cell>
          <cell r="T601" t="e">
            <v>#REF!</v>
          </cell>
          <cell r="U601" t="str">
            <v>ГРП</v>
          </cell>
          <cell r="V601">
            <v>2</v>
          </cell>
          <cell r="W601" t="str">
            <v>ИР ЮК-10, ДП 2629-2632,2633-2640ГРП ЮК-2-3</v>
          </cell>
          <cell r="Y601" t="str">
            <v>Н/пр-444м, по печати пост.предмет</v>
          </cell>
          <cell r="AA601">
            <v>73</v>
          </cell>
          <cell r="AB601" t="str">
            <v>-</v>
          </cell>
          <cell r="AD601" t="e">
            <v>#REF!</v>
          </cell>
          <cell r="AE601" t="e">
            <v>#REF!</v>
          </cell>
          <cell r="AF601">
            <v>35</v>
          </cell>
          <cell r="AG601" t="e">
            <v>#REF!</v>
          </cell>
          <cell r="AH601" t="e">
            <v>#REF!</v>
          </cell>
        </row>
        <row r="602">
          <cell r="B602">
            <v>5455</v>
          </cell>
          <cell r="C602">
            <v>102</v>
          </cell>
          <cell r="F602" t="str">
            <v>УПНПиКРС</v>
          </cell>
          <cell r="G602">
            <v>240</v>
          </cell>
          <cell r="H602" t="str">
            <v>ШГН</v>
          </cell>
          <cell r="I602" t="str">
            <v>конс.</v>
          </cell>
          <cell r="J602">
            <v>32843</v>
          </cell>
          <cell r="K602">
            <v>7</v>
          </cell>
          <cell r="L602">
            <v>5</v>
          </cell>
          <cell r="M602">
            <v>12</v>
          </cell>
          <cell r="N602">
            <v>21</v>
          </cell>
          <cell r="O602">
            <v>12</v>
          </cell>
          <cell r="P602">
            <v>30</v>
          </cell>
          <cell r="Q602">
            <v>21</v>
          </cell>
          <cell r="R602">
            <v>12</v>
          </cell>
          <cell r="S602">
            <v>29.5</v>
          </cell>
          <cell r="T602" t="e">
            <v>#REF!</v>
          </cell>
          <cell r="U602" t="str">
            <v>ГРП</v>
          </cell>
          <cell r="V602">
            <v>3</v>
          </cell>
          <cell r="W602" t="str">
            <v>ВЦ. ИР ЮК-10. ГДИ. ПП ДН. ГРП ЮК 2-3</v>
          </cell>
        </row>
        <row r="603">
          <cell r="B603">
            <v>5656</v>
          </cell>
          <cell r="C603">
            <v>123</v>
          </cell>
          <cell r="D603">
            <v>0</v>
          </cell>
          <cell r="E603">
            <v>1</v>
          </cell>
          <cell r="F603" t="str">
            <v>УПНПиКРС</v>
          </cell>
          <cell r="G603">
            <v>265</v>
          </cell>
          <cell r="H603" t="str">
            <v>ФОН</v>
          </cell>
          <cell r="I603" t="str">
            <v>конс.</v>
          </cell>
          <cell r="J603">
            <v>35096</v>
          </cell>
          <cell r="K603">
            <v>10</v>
          </cell>
          <cell r="L603">
            <v>0.1</v>
          </cell>
          <cell r="M603">
            <v>99</v>
          </cell>
          <cell r="N603">
            <v>25</v>
          </cell>
          <cell r="O603">
            <v>12</v>
          </cell>
          <cell r="P603">
            <v>41</v>
          </cell>
          <cell r="Q603">
            <v>25</v>
          </cell>
          <cell r="R603">
            <v>12</v>
          </cell>
          <cell r="S603">
            <v>40.700000000000003</v>
          </cell>
          <cell r="T603">
            <v>7</v>
          </cell>
          <cell r="U603" t="str">
            <v>ГРП</v>
          </cell>
          <cell r="V603">
            <v>4</v>
          </cell>
          <cell r="W603" t="str">
            <v>ИР ЮК-10 инт.2618-2636 ГРП ЮК 2-3</v>
          </cell>
          <cell r="Y603" t="str">
            <v>Отс.Нз, шаблон встал жестко на гл.1275м</v>
          </cell>
          <cell r="AD603" t="e">
            <v>#REF!</v>
          </cell>
          <cell r="AE603" t="e">
            <v>#REF!</v>
          </cell>
          <cell r="AF603">
            <v>50</v>
          </cell>
        </row>
        <row r="604">
          <cell r="B604" t="str">
            <v>5243б</v>
          </cell>
          <cell r="C604">
            <v>135</v>
          </cell>
          <cell r="D604">
            <v>10</v>
          </cell>
          <cell r="E604" t="e">
            <v>#REF!</v>
          </cell>
          <cell r="F604" t="str">
            <v>УПНПиКРС</v>
          </cell>
          <cell r="G604">
            <v>290</v>
          </cell>
          <cell r="H604" t="str">
            <v>ЭЦН</v>
          </cell>
          <cell r="I604" t="str">
            <v>конс.</v>
          </cell>
          <cell r="J604">
            <v>34669</v>
          </cell>
          <cell r="K604">
            <v>3</v>
          </cell>
          <cell r="L604">
            <v>0.7</v>
          </cell>
          <cell r="M604">
            <v>73</v>
          </cell>
          <cell r="N604">
            <v>30</v>
          </cell>
          <cell r="O604">
            <v>12</v>
          </cell>
          <cell r="P604">
            <v>51</v>
          </cell>
          <cell r="Q604">
            <v>30</v>
          </cell>
          <cell r="R604">
            <v>12</v>
          </cell>
          <cell r="S604">
            <v>50.6</v>
          </cell>
          <cell r="T604" t="e">
            <v>#REF!</v>
          </cell>
          <cell r="U604" t="str">
            <v>ГРП</v>
          </cell>
          <cell r="V604">
            <v>2</v>
          </cell>
          <cell r="W604" t="str">
            <v>ВЗ, РИР ЮК-10ДП ЮК 2-3-2558-2569м,ГРП</v>
          </cell>
          <cell r="Y604" t="str">
            <v>Нет КВ</v>
          </cell>
          <cell r="AD604" t="e">
            <v>#REF!</v>
          </cell>
          <cell r="AE604" t="e">
            <v>#REF!</v>
          </cell>
          <cell r="AF604">
            <v>35</v>
          </cell>
        </row>
        <row r="605">
          <cell r="B605">
            <v>2918</v>
          </cell>
          <cell r="C605">
            <v>43</v>
          </cell>
          <cell r="D605">
            <v>10</v>
          </cell>
          <cell r="E605" t="e">
            <v>#REF!</v>
          </cell>
          <cell r="F605" t="str">
            <v>УПНПиКРС</v>
          </cell>
          <cell r="G605">
            <v>270</v>
          </cell>
          <cell r="H605" t="str">
            <v>ШГН</v>
          </cell>
          <cell r="I605" t="str">
            <v>бд</v>
          </cell>
          <cell r="J605">
            <v>37010</v>
          </cell>
          <cell r="K605">
            <v>12</v>
          </cell>
          <cell r="L605">
            <v>6.8</v>
          </cell>
          <cell r="M605">
            <v>30</v>
          </cell>
          <cell r="N605">
            <v>30</v>
          </cell>
          <cell r="O605">
            <v>12</v>
          </cell>
          <cell r="P605">
            <v>51</v>
          </cell>
          <cell r="Q605">
            <v>30</v>
          </cell>
          <cell r="R605">
            <v>12</v>
          </cell>
          <cell r="S605">
            <v>50.6</v>
          </cell>
          <cell r="T605" t="e">
            <v>#REF!</v>
          </cell>
          <cell r="U605" t="str">
            <v>ГРП</v>
          </cell>
          <cell r="V605">
            <v>3</v>
          </cell>
          <cell r="W605" t="str">
            <v>ВЦ,ГРП п.А ( в график 2002года )</v>
          </cell>
          <cell r="Y605" t="str">
            <v>Нз.т-1775 ЛС-6, перо-2541м, 99г., ОЗ с 93г. Циркуляция есть(17.03.02)</v>
          </cell>
          <cell r="AD605" t="e">
            <v>#REF!</v>
          </cell>
          <cell r="AE605" t="e">
            <v>#REF!</v>
          </cell>
          <cell r="AF605">
            <v>35</v>
          </cell>
        </row>
        <row r="606">
          <cell r="B606">
            <v>2958</v>
          </cell>
          <cell r="C606">
            <v>46</v>
          </cell>
          <cell r="D606">
            <v>11</v>
          </cell>
          <cell r="E606" t="e">
            <v>#REF!</v>
          </cell>
          <cell r="F606" t="str">
            <v>УПНПиКРС</v>
          </cell>
          <cell r="G606">
            <v>250</v>
          </cell>
          <cell r="I606" t="str">
            <v>бд</v>
          </cell>
          <cell r="J606">
            <v>35749</v>
          </cell>
          <cell r="K606">
            <v>3</v>
          </cell>
          <cell r="L606">
            <v>2.4</v>
          </cell>
          <cell r="M606">
            <v>3</v>
          </cell>
          <cell r="N606">
            <v>30</v>
          </cell>
          <cell r="O606">
            <v>12</v>
          </cell>
          <cell r="P606">
            <v>51</v>
          </cell>
          <cell r="Q606">
            <v>30</v>
          </cell>
          <cell r="R606">
            <v>12</v>
          </cell>
          <cell r="S606">
            <v>50.6</v>
          </cell>
          <cell r="T606" t="e">
            <v>#REF!</v>
          </cell>
          <cell r="U606" t="str">
            <v>ГРП</v>
          </cell>
          <cell r="V606">
            <v>2</v>
          </cell>
          <cell r="W606" t="str">
            <v xml:space="preserve">РИР ЮК-10,ДП ЮК-3 2596-2618м,ГРП </v>
          </cell>
        </row>
        <row r="607">
          <cell r="B607">
            <v>5609</v>
          </cell>
          <cell r="C607">
            <v>114</v>
          </cell>
          <cell r="D607">
            <v>11</v>
          </cell>
          <cell r="E607" t="e">
            <v>#REF!</v>
          </cell>
          <cell r="F607" t="str">
            <v>УПНПиКРС</v>
          </cell>
          <cell r="G607">
            <v>230</v>
          </cell>
          <cell r="H607" t="str">
            <v>ШГН</v>
          </cell>
          <cell r="I607" t="str">
            <v>бд</v>
          </cell>
          <cell r="J607">
            <v>37064</v>
          </cell>
          <cell r="K607">
            <v>2</v>
          </cell>
          <cell r="L607">
            <v>1.6</v>
          </cell>
          <cell r="M607">
            <v>0</v>
          </cell>
          <cell r="N607">
            <v>4</v>
          </cell>
          <cell r="O607">
            <v>2.9</v>
          </cell>
          <cell r="P607">
            <v>10</v>
          </cell>
          <cell r="Q607">
            <v>4</v>
          </cell>
          <cell r="R607">
            <v>2.9</v>
          </cell>
          <cell r="S607">
            <v>10.5</v>
          </cell>
          <cell r="T607">
            <v>37372</v>
          </cell>
          <cell r="U607" t="str">
            <v>БДП</v>
          </cell>
          <cell r="V607">
            <v>3</v>
          </cell>
          <cell r="W607" t="str">
            <v>ВЦ,ревизия НВ-32</v>
          </cell>
        </row>
        <row r="608">
          <cell r="B608">
            <v>5543</v>
          </cell>
          <cell r="C608">
            <v>114</v>
          </cell>
          <cell r="D608">
            <v>11</v>
          </cell>
          <cell r="E608" t="e">
            <v>#REF!</v>
          </cell>
          <cell r="H608" t="str">
            <v>ШГН</v>
          </cell>
          <cell r="I608" t="str">
            <v>бд</v>
          </cell>
          <cell r="J608">
            <v>37258</v>
          </cell>
          <cell r="K608">
            <v>3</v>
          </cell>
          <cell r="L608">
            <v>1.7</v>
          </cell>
          <cell r="M608">
            <v>29</v>
          </cell>
          <cell r="N608">
            <v>24</v>
          </cell>
          <cell r="O608">
            <v>13.7</v>
          </cell>
          <cell r="P608">
            <v>30</v>
          </cell>
          <cell r="Q608">
            <v>24</v>
          </cell>
          <cell r="R608">
            <v>13.7</v>
          </cell>
          <cell r="S608">
            <v>29.5</v>
          </cell>
          <cell r="U608" t="str">
            <v>ГРП</v>
          </cell>
          <cell r="V608">
            <v>4</v>
          </cell>
          <cell r="W608" t="str">
            <v>повт.ГРП ( до 30т проп.)</v>
          </cell>
          <cell r="AD608" t="e">
            <v>#REF!</v>
          </cell>
          <cell r="AE608" t="e">
            <v>#REF!</v>
          </cell>
        </row>
        <row r="609">
          <cell r="B609">
            <v>2649</v>
          </cell>
          <cell r="C609" t="str">
            <v>157б</v>
          </cell>
          <cell r="D609">
            <v>11</v>
          </cell>
          <cell r="E609" t="e">
            <v>#REF!</v>
          </cell>
          <cell r="F609" t="str">
            <v>УПНПиКРС</v>
          </cell>
          <cell r="G609">
            <v>235</v>
          </cell>
          <cell r="H609" t="str">
            <v>ШГН</v>
          </cell>
          <cell r="I609" t="str">
            <v>действ.</v>
          </cell>
          <cell r="K609">
            <v>4</v>
          </cell>
          <cell r="L609">
            <v>3.1</v>
          </cell>
          <cell r="M609">
            <v>6</v>
          </cell>
          <cell r="N609">
            <v>12</v>
          </cell>
          <cell r="O609">
            <v>8.1</v>
          </cell>
          <cell r="P609">
            <v>17</v>
          </cell>
          <cell r="Q609">
            <v>8</v>
          </cell>
          <cell r="R609">
            <v>5</v>
          </cell>
          <cell r="S609">
            <v>22.8</v>
          </cell>
          <cell r="T609" t="e">
            <v>#REF!</v>
          </cell>
          <cell r="U609" t="str">
            <v>ОПЗ</v>
          </cell>
          <cell r="V609">
            <v>5</v>
          </cell>
          <cell r="W609" t="str">
            <v>ДП ЮК-100,ПП, ЮК-10,ОПЗ,ГДИ</v>
          </cell>
          <cell r="Y609" t="str">
            <v xml:space="preserve">на забое ЭЦН-50/1550+103шт.60мм НКТ+кабель </v>
          </cell>
          <cell r="AD609" t="e">
            <v>#REF!</v>
          </cell>
          <cell r="AE609" t="e">
            <v>#REF!</v>
          </cell>
          <cell r="AF609">
            <v>45</v>
          </cell>
        </row>
        <row r="610">
          <cell r="B610">
            <v>5241</v>
          </cell>
          <cell r="C610">
            <v>134</v>
          </cell>
          <cell r="D610" t="e">
            <v>#REF!</v>
          </cell>
          <cell r="E610" t="e">
            <v>#REF!</v>
          </cell>
          <cell r="F610" t="str">
            <v>УПНПиКРС</v>
          </cell>
          <cell r="G610">
            <v>255</v>
          </cell>
          <cell r="H610" t="str">
            <v>ЭЦН</v>
          </cell>
          <cell r="I610" t="str">
            <v>бд</v>
          </cell>
          <cell r="J610">
            <v>34547</v>
          </cell>
          <cell r="K610">
            <v>21</v>
          </cell>
          <cell r="L610">
            <v>0.2</v>
          </cell>
          <cell r="M610">
            <v>99</v>
          </cell>
          <cell r="N610">
            <v>30</v>
          </cell>
          <cell r="O610">
            <v>12</v>
          </cell>
          <cell r="P610">
            <v>51</v>
          </cell>
          <cell r="Q610">
            <v>30</v>
          </cell>
          <cell r="R610">
            <v>12</v>
          </cell>
          <cell r="S610">
            <v>50.6</v>
          </cell>
          <cell r="T610" t="e">
            <v>#REF!</v>
          </cell>
          <cell r="U610" t="str">
            <v>ГРП</v>
          </cell>
          <cell r="V610">
            <v>2</v>
          </cell>
          <cell r="W610" t="str">
            <v xml:space="preserve">ВЦ, ГИС-2 ( источ. обвод.), при подтверждении воды и герм. э/колонны -ДП. ЮК-2 2478-2488м, РИР ЮК-10, ГРП ЮК-2 </v>
          </cell>
          <cell r="X610" t="str">
            <v>ЭП выполнен, ЭЦН с КРБК на забое</v>
          </cell>
          <cell r="Y610" t="str">
            <v>ПРС май 95г., Реагирует:42/2857,2877,44б/3094 Qн=10т/сут</v>
          </cell>
        </row>
        <row r="611">
          <cell r="B611">
            <v>2895</v>
          </cell>
          <cell r="C611">
            <v>42</v>
          </cell>
          <cell r="G611">
            <v>290</v>
          </cell>
          <cell r="H611" t="str">
            <v>нагнет.</v>
          </cell>
          <cell r="I611" t="str">
            <v>бд</v>
          </cell>
          <cell r="J611">
            <v>36418</v>
          </cell>
          <cell r="K611">
            <v>50</v>
          </cell>
          <cell r="N611">
            <v>100</v>
          </cell>
          <cell r="Q611">
            <v>100</v>
          </cell>
          <cell r="U611" t="str">
            <v>нг</v>
          </cell>
          <cell r="W611" t="str">
            <v>Извл.воронки, ВЗ, реизия Ф/А пуск под закачку</v>
          </cell>
          <cell r="Y611" t="str">
            <v>КРС июнь 91г.</v>
          </cell>
        </row>
        <row r="612">
          <cell r="B612">
            <v>2897</v>
          </cell>
          <cell r="C612">
            <v>42</v>
          </cell>
          <cell r="G612">
            <v>300</v>
          </cell>
          <cell r="H612" t="str">
            <v>нагнет.</v>
          </cell>
          <cell r="I612" t="str">
            <v>действ.</v>
          </cell>
          <cell r="K612">
            <v>150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Извл.воронки, ВЗ, реизия Ф/А пуск под закачку</v>
          </cell>
          <cell r="Y612" t="str">
            <v>КРС август 88г.</v>
          </cell>
        </row>
        <row r="613">
          <cell r="B613">
            <v>2898</v>
          </cell>
          <cell r="C613">
            <v>42</v>
          </cell>
          <cell r="G613">
            <v>300</v>
          </cell>
          <cell r="H613" t="str">
            <v>нагнет.</v>
          </cell>
          <cell r="I613" t="str">
            <v>действ.</v>
          </cell>
          <cell r="K613">
            <v>150</v>
          </cell>
          <cell r="N613">
            <v>150</v>
          </cell>
          <cell r="Q613">
            <v>150</v>
          </cell>
          <cell r="U613" t="str">
            <v>нг</v>
          </cell>
          <cell r="W613" t="str">
            <v>Извл.воронки, ВЗ, реизия Ф/А пуск под закачку</v>
          </cell>
          <cell r="Y613" t="str">
            <v>Бурение 2-го ствола (3.01.95-24.09.95).Пoлет ЭЦН, При ликвидации аварии обнаружено нарушение Э/К на гл.1562-1573м(6.08-7.09.98)</v>
          </cell>
        </row>
        <row r="614">
          <cell r="B614">
            <v>2756</v>
          </cell>
          <cell r="C614">
            <v>145</v>
          </cell>
          <cell r="I614" t="str">
            <v>бд</v>
          </cell>
          <cell r="J614">
            <v>35786</v>
          </cell>
          <cell r="K614">
            <v>70</v>
          </cell>
          <cell r="L614">
            <v>10.8</v>
          </cell>
          <cell r="M614">
            <v>81</v>
          </cell>
          <cell r="N614">
            <v>50</v>
          </cell>
          <cell r="O614">
            <v>10</v>
          </cell>
          <cell r="P614">
            <v>75.400000000000006</v>
          </cell>
          <cell r="Q614">
            <v>50</v>
          </cell>
          <cell r="R614">
            <v>10</v>
          </cell>
          <cell r="S614">
            <v>75.3</v>
          </cell>
          <cell r="U614" t="str">
            <v>РИР</v>
          </cell>
          <cell r="W614" t="str">
            <v>РИР Э/К 2562-2673, ПП-ЮК-10 с ОПЗ</v>
          </cell>
          <cell r="Y614" t="str">
            <v xml:space="preserve">При ПРС (ГЖ) пересыпает забой, Восстановить не смогли. Предположительно нарушение Э/К </v>
          </cell>
        </row>
        <row r="615">
          <cell r="B615">
            <v>2700</v>
          </cell>
          <cell r="C615" t="str">
            <v>145б</v>
          </cell>
          <cell r="K615">
            <v>16</v>
          </cell>
          <cell r="L615">
            <v>10.199999999999999</v>
          </cell>
          <cell r="M615">
            <v>22</v>
          </cell>
          <cell r="N615">
            <v>16</v>
          </cell>
          <cell r="O615">
            <v>10.199999999999999</v>
          </cell>
          <cell r="P615">
            <v>22</v>
          </cell>
          <cell r="Q615">
            <v>16</v>
          </cell>
          <cell r="R615">
            <v>10.199999999999999</v>
          </cell>
          <cell r="S615">
            <v>21.3</v>
          </cell>
          <cell r="U615" t="str">
            <v>РИР</v>
          </cell>
          <cell r="W615" t="str">
            <v>ОТСК,РИР, ПП, сп.Н-57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РИВЦ"/>
      <sheetName val="простои  "/>
      <sheetName val="извл. нерент."/>
      <sheetName val="факт май"/>
      <sheetName val="факт май (2)"/>
      <sheetName val="план июнь"/>
      <sheetName val="Красноленинск"/>
      <sheetName val="Красноленинск-ФАКТ"/>
      <sheetName val="Фонд "/>
      <sheetName val="титул"/>
      <sheetName val="расчет"/>
      <sheetName val="словарь"/>
      <sheetName val="план июнь ПТО"/>
      <sheetName val="ФАКТ июнь"/>
    </sheetNames>
    <sheetDataSet>
      <sheetData sheetId="0">
        <row r="1">
          <cell r="C1" t="str">
            <v>№ куста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13</v>
          </cell>
          <cell r="O2">
            <v>14</v>
          </cell>
          <cell r="P2">
            <v>15</v>
          </cell>
          <cell r="Q2">
            <v>16</v>
          </cell>
          <cell r="R2">
            <v>17</v>
          </cell>
          <cell r="S2">
            <v>18</v>
          </cell>
          <cell r="T2">
            <v>19</v>
          </cell>
          <cell r="U2">
            <v>20</v>
          </cell>
          <cell r="V2">
            <v>21</v>
          </cell>
          <cell r="W2">
            <v>22</v>
          </cell>
          <cell r="X2">
            <v>23</v>
          </cell>
          <cell r="Y2">
            <v>24</v>
          </cell>
          <cell r="Z2">
            <v>25</v>
          </cell>
          <cell r="AA2">
            <v>26</v>
          </cell>
          <cell r="AB2">
            <v>27</v>
          </cell>
          <cell r="AC2">
            <v>28</v>
          </cell>
          <cell r="AD2">
            <v>29</v>
          </cell>
          <cell r="AE2">
            <v>30</v>
          </cell>
          <cell r="AF2">
            <v>31</v>
          </cell>
          <cell r="AG2">
            <v>32</v>
          </cell>
        </row>
        <row r="3">
          <cell r="B3">
            <v>5423</v>
          </cell>
          <cell r="C3">
            <v>101</v>
          </cell>
          <cell r="F3" t="str">
            <v>ЧНС-Нягань</v>
          </cell>
          <cell r="H3" t="str">
            <v>ФОН</v>
          </cell>
          <cell r="I3" t="str">
            <v>б/д пр.л.</v>
          </cell>
          <cell r="J3">
            <v>33605</v>
          </cell>
          <cell r="K3">
            <v>0</v>
          </cell>
          <cell r="L3">
            <v>0</v>
          </cell>
          <cell r="M3">
            <v>0</v>
          </cell>
          <cell r="N3">
            <v>50</v>
          </cell>
          <cell r="O3">
            <v>20</v>
          </cell>
          <cell r="P3">
            <v>51</v>
          </cell>
          <cell r="Q3">
            <v>50</v>
          </cell>
          <cell r="R3">
            <v>20</v>
          </cell>
          <cell r="S3">
            <v>50.6</v>
          </cell>
          <cell r="T3">
            <v>38803</v>
          </cell>
          <cell r="U3" t="str">
            <v>ГРП</v>
          </cell>
          <cell r="W3" t="str">
            <v>ВЦ.ВЗ(Изв.НКТ).ИР ЮК.ГРП ЮК-2,3.Осв.Сп.Э-50.</v>
          </cell>
          <cell r="Y3" t="str">
            <v>ОЦ. 5.10.99</v>
          </cell>
          <cell r="AE3">
            <v>38793</v>
          </cell>
        </row>
        <row r="4">
          <cell r="B4">
            <v>3191</v>
          </cell>
          <cell r="C4">
            <v>55</v>
          </cell>
          <cell r="F4" t="str">
            <v>ЧНС-Нягань</v>
          </cell>
          <cell r="G4">
            <v>265</v>
          </cell>
          <cell r="H4" t="str">
            <v>ЭЦН</v>
          </cell>
          <cell r="I4" t="str">
            <v>действ.</v>
          </cell>
          <cell r="J4">
            <v>38754</v>
          </cell>
          <cell r="K4">
            <v>31</v>
          </cell>
          <cell r="L4">
            <v>6.3</v>
          </cell>
          <cell r="M4">
            <v>75</v>
          </cell>
          <cell r="N4">
            <v>80</v>
          </cell>
          <cell r="O4">
            <v>22.3</v>
          </cell>
          <cell r="P4">
            <v>65.8</v>
          </cell>
          <cell r="Q4">
            <v>49</v>
          </cell>
          <cell r="R4">
            <v>16</v>
          </cell>
          <cell r="S4">
            <v>59.7</v>
          </cell>
          <cell r="T4">
            <v>38790</v>
          </cell>
          <cell r="U4" t="str">
            <v>ГРП</v>
          </cell>
          <cell r="W4" t="str">
            <v>Осв.после ГРП ЮК-10.Сп.Э-50.</v>
          </cell>
          <cell r="X4" t="str">
            <v>11,12,02 не вып.</v>
          </cell>
          <cell r="AE4">
            <v>38784</v>
          </cell>
        </row>
        <row r="5">
          <cell r="B5">
            <v>5559</v>
          </cell>
          <cell r="C5" t="str">
            <v>119б</v>
          </cell>
          <cell r="F5" t="str">
            <v>ЧНС-Нягань</v>
          </cell>
          <cell r="H5" t="str">
            <v>ЭЦН</v>
          </cell>
          <cell r="I5" t="str">
            <v>действ.</v>
          </cell>
          <cell r="K5">
            <v>33</v>
          </cell>
          <cell r="L5">
            <v>4.3</v>
          </cell>
          <cell r="M5">
            <v>84</v>
          </cell>
          <cell r="N5">
            <v>80</v>
          </cell>
          <cell r="O5">
            <v>20.3</v>
          </cell>
          <cell r="P5">
            <v>68.8</v>
          </cell>
          <cell r="Q5">
            <v>47</v>
          </cell>
          <cell r="R5">
            <v>16</v>
          </cell>
          <cell r="S5">
            <v>58</v>
          </cell>
          <cell r="T5">
            <v>38809</v>
          </cell>
          <cell r="U5" t="str">
            <v>ГРП</v>
          </cell>
          <cell r="W5" t="str">
            <v>ГИС-2.ПР.ГРП ЮК-10.Осв.Сп.Э-80.</v>
          </cell>
          <cell r="AE5">
            <v>38803</v>
          </cell>
        </row>
        <row r="6">
          <cell r="B6">
            <v>2887</v>
          </cell>
          <cell r="C6">
            <v>132</v>
          </cell>
          <cell r="F6" t="str">
            <v>ЧНС-Нягань</v>
          </cell>
          <cell r="G6">
            <v>245</v>
          </cell>
          <cell r="H6" t="str">
            <v>ЭЦН</v>
          </cell>
          <cell r="I6" t="str">
            <v>б/д тек.г.</v>
          </cell>
          <cell r="K6">
            <v>50</v>
          </cell>
          <cell r="L6">
            <v>16</v>
          </cell>
          <cell r="M6">
            <v>60.5</v>
          </cell>
          <cell r="N6">
            <v>50</v>
          </cell>
          <cell r="O6">
            <v>16</v>
          </cell>
          <cell r="P6">
            <v>60.5</v>
          </cell>
          <cell r="Q6">
            <v>50</v>
          </cell>
          <cell r="R6">
            <v>16</v>
          </cell>
          <cell r="S6">
            <v>60.5</v>
          </cell>
          <cell r="T6">
            <v>38827</v>
          </cell>
          <cell r="U6" t="str">
            <v>ГРП</v>
          </cell>
          <cell r="W6" t="str">
            <v>ЛА(изв.прихв.НКТ).ИР ЮК-11.ГРП ЮК-10.Сп.Э-50.</v>
          </cell>
          <cell r="AE6">
            <v>38791</v>
          </cell>
        </row>
        <row r="7">
          <cell r="B7">
            <v>2886</v>
          </cell>
          <cell r="C7">
            <v>131</v>
          </cell>
          <cell r="F7" t="str">
            <v>ЧНС-Нягань</v>
          </cell>
          <cell r="G7">
            <v>255</v>
          </cell>
          <cell r="H7" t="str">
            <v>ШГН</v>
          </cell>
          <cell r="I7" t="str">
            <v>консерв.</v>
          </cell>
          <cell r="J7">
            <v>34485</v>
          </cell>
          <cell r="K7">
            <v>0</v>
          </cell>
          <cell r="L7">
            <v>0</v>
          </cell>
          <cell r="M7">
            <v>0</v>
          </cell>
          <cell r="N7">
            <v>50</v>
          </cell>
          <cell r="O7">
            <v>16</v>
          </cell>
          <cell r="P7">
            <v>60.7</v>
          </cell>
          <cell r="Q7">
            <v>50</v>
          </cell>
          <cell r="R7">
            <v>16</v>
          </cell>
          <cell r="S7">
            <v>60.5</v>
          </cell>
          <cell r="T7">
            <v>38790</v>
          </cell>
          <cell r="U7" t="str">
            <v>ГРП</v>
          </cell>
          <cell r="W7" t="str">
            <v>ВЦсЛА.ИР ЮК-11.Осв.после ГРП ЮК-10.Сп.Э-50</v>
          </cell>
          <cell r="AE7">
            <v>38784</v>
          </cell>
        </row>
        <row r="8">
          <cell r="B8">
            <v>2696</v>
          </cell>
          <cell r="C8">
            <v>163</v>
          </cell>
          <cell r="F8" t="str">
            <v>ЧНС-Нягань</v>
          </cell>
          <cell r="G8">
            <v>250</v>
          </cell>
          <cell r="H8" t="str">
            <v>ШГН</v>
          </cell>
          <cell r="I8" t="str">
            <v>б/д тек.г.</v>
          </cell>
          <cell r="J8">
            <v>38736</v>
          </cell>
          <cell r="K8">
            <v>0</v>
          </cell>
          <cell r="L8">
            <v>0</v>
          </cell>
          <cell r="M8">
            <v>0</v>
          </cell>
          <cell r="N8">
            <v>50</v>
          </cell>
          <cell r="O8">
            <v>16</v>
          </cell>
          <cell r="P8">
            <v>60.7</v>
          </cell>
          <cell r="Q8">
            <v>50</v>
          </cell>
          <cell r="R8">
            <v>16</v>
          </cell>
          <cell r="S8">
            <v>60.5</v>
          </cell>
          <cell r="T8">
            <v>38795</v>
          </cell>
          <cell r="U8" t="str">
            <v>ГРП</v>
          </cell>
          <cell r="W8" t="str">
            <v>РИР ЭК.ГРП ЮК-10.Сп.Э-50.</v>
          </cell>
          <cell r="AD8">
            <v>37861</v>
          </cell>
          <cell r="AE8">
            <v>38789</v>
          </cell>
          <cell r="AF8">
            <v>14</v>
          </cell>
        </row>
        <row r="9">
          <cell r="B9">
            <v>5594</v>
          </cell>
          <cell r="C9">
            <v>119</v>
          </cell>
          <cell r="F9" t="str">
            <v>ЧНС-Нягань</v>
          </cell>
          <cell r="H9" t="str">
            <v>ЭЦН</v>
          </cell>
          <cell r="I9" t="str">
            <v>б/д пр.л.</v>
          </cell>
          <cell r="J9">
            <v>37942</v>
          </cell>
          <cell r="K9">
            <v>0</v>
          </cell>
          <cell r="L9">
            <v>0</v>
          </cell>
          <cell r="M9">
            <v>0</v>
          </cell>
          <cell r="N9">
            <v>125</v>
          </cell>
          <cell r="O9">
            <v>14.3</v>
          </cell>
          <cell r="P9">
            <v>86</v>
          </cell>
          <cell r="Q9">
            <v>125</v>
          </cell>
          <cell r="R9">
            <v>14.3</v>
          </cell>
          <cell r="S9">
            <v>85.9</v>
          </cell>
          <cell r="T9">
            <v>38857</v>
          </cell>
          <cell r="U9" t="str">
            <v>ЛА</v>
          </cell>
          <cell r="W9" t="str">
            <v>Ликвидация аварии</v>
          </cell>
          <cell r="AE9">
            <v>38790</v>
          </cell>
        </row>
        <row r="10">
          <cell r="B10">
            <v>2956</v>
          </cell>
          <cell r="C10">
            <v>46</v>
          </cell>
          <cell r="F10" t="str">
            <v>ЧНС-Нягань</v>
          </cell>
          <cell r="G10">
            <v>270</v>
          </cell>
          <cell r="H10" t="str">
            <v>ЭЦН</v>
          </cell>
          <cell r="I10" t="str">
            <v>б/д тек.г.</v>
          </cell>
          <cell r="J10">
            <v>38717</v>
          </cell>
          <cell r="K10">
            <v>0</v>
          </cell>
          <cell r="L10">
            <v>0</v>
          </cell>
          <cell r="M10">
            <v>0</v>
          </cell>
          <cell r="N10">
            <v>80</v>
          </cell>
          <cell r="O10">
            <v>16</v>
          </cell>
          <cell r="P10">
            <v>75.5</v>
          </cell>
          <cell r="Q10">
            <v>80</v>
          </cell>
          <cell r="R10">
            <v>16</v>
          </cell>
          <cell r="S10">
            <v>75.3</v>
          </cell>
          <cell r="T10">
            <v>38810</v>
          </cell>
          <cell r="U10" t="str">
            <v>ГРП</v>
          </cell>
          <cell r="W10" t="str">
            <v>ГИС-2.ИР ЮК-11.РИРЭК.ГРП ЮК-10.Сп.Э-80.</v>
          </cell>
          <cell r="AE10">
            <v>38788</v>
          </cell>
        </row>
        <row r="11">
          <cell r="B11">
            <v>5481</v>
          </cell>
          <cell r="C11">
            <v>114</v>
          </cell>
          <cell r="F11" t="str">
            <v>ЧНС-Нягань</v>
          </cell>
          <cell r="H11" t="str">
            <v>ЭЦН</v>
          </cell>
          <cell r="I11" t="str">
            <v>б/д пр.л.</v>
          </cell>
          <cell r="J11">
            <v>38645</v>
          </cell>
          <cell r="K11">
            <v>0</v>
          </cell>
          <cell r="L11">
            <v>0</v>
          </cell>
          <cell r="M11">
            <v>0</v>
          </cell>
          <cell r="N11">
            <v>50</v>
          </cell>
          <cell r="O11">
            <v>15</v>
          </cell>
          <cell r="P11">
            <v>63.3</v>
          </cell>
          <cell r="Q11">
            <v>50</v>
          </cell>
          <cell r="R11">
            <v>15</v>
          </cell>
          <cell r="S11">
            <v>63</v>
          </cell>
          <cell r="T11">
            <v>38779</v>
          </cell>
          <cell r="U11" t="str">
            <v>бдк</v>
          </cell>
          <cell r="W11" t="str">
            <v>РИР ЭК.ВЗ.Сп.Э-50.</v>
          </cell>
          <cell r="AE11">
            <v>38774</v>
          </cell>
          <cell r="AH11">
            <v>0</v>
          </cell>
        </row>
        <row r="12">
          <cell r="B12">
            <v>2631</v>
          </cell>
          <cell r="C12" t="str">
            <v>157б</v>
          </cell>
          <cell r="F12" t="str">
            <v>ЧНС-Нягань</v>
          </cell>
          <cell r="H12" t="str">
            <v>ШГН</v>
          </cell>
          <cell r="I12" t="str">
            <v>б/д пр.л.</v>
          </cell>
          <cell r="J12">
            <v>34915</v>
          </cell>
          <cell r="K12">
            <v>0</v>
          </cell>
          <cell r="L12">
            <v>0</v>
          </cell>
          <cell r="M12">
            <v>0</v>
          </cell>
          <cell r="N12">
            <v>80</v>
          </cell>
          <cell r="O12">
            <v>36</v>
          </cell>
          <cell r="P12">
            <v>44.8</v>
          </cell>
          <cell r="Q12">
            <v>80</v>
          </cell>
          <cell r="R12">
            <v>36</v>
          </cell>
          <cell r="S12">
            <v>44.4</v>
          </cell>
          <cell r="T12">
            <v>38790</v>
          </cell>
          <cell r="U12" t="str">
            <v>збс</v>
          </cell>
          <cell r="W12" t="str">
            <v>Осв.ЗБС.ДП ЮК-10,11.ГРП ЮК-10.ЛА.Сп.Э-80.</v>
          </cell>
          <cell r="AE12">
            <v>38785</v>
          </cell>
        </row>
        <row r="13">
          <cell r="B13">
            <v>11051</v>
          </cell>
          <cell r="C13" t="str">
            <v>100б</v>
          </cell>
          <cell r="F13" t="str">
            <v>ЧНС-Нягань</v>
          </cell>
          <cell r="G13">
            <v>270</v>
          </cell>
          <cell r="H13" t="str">
            <v>ЭЦН</v>
          </cell>
          <cell r="I13" t="str">
            <v>б/д тек.г.</v>
          </cell>
          <cell r="J13">
            <v>38738</v>
          </cell>
          <cell r="K13">
            <v>0</v>
          </cell>
          <cell r="L13">
            <v>0</v>
          </cell>
          <cell r="M13">
            <v>0</v>
          </cell>
          <cell r="N13">
            <v>24</v>
          </cell>
          <cell r="O13">
            <v>10.4</v>
          </cell>
          <cell r="P13">
            <v>47</v>
          </cell>
          <cell r="Q13">
            <v>24</v>
          </cell>
          <cell r="R13">
            <v>10.4</v>
          </cell>
          <cell r="S13">
            <v>46.5</v>
          </cell>
          <cell r="T13">
            <v>38781</v>
          </cell>
          <cell r="U13" t="str">
            <v>ГРП</v>
          </cell>
          <cell r="W13" t="str">
            <v>Изв.прихв.ЭЦН-25.Сп.Э-25.</v>
          </cell>
          <cell r="AD13">
            <v>38072</v>
          </cell>
          <cell r="AE13">
            <v>38776</v>
          </cell>
        </row>
        <row r="14">
          <cell r="B14">
            <v>5541</v>
          </cell>
          <cell r="C14">
            <v>114</v>
          </cell>
          <cell r="F14" t="str">
            <v>ЧНС-Нягань</v>
          </cell>
          <cell r="H14" t="str">
            <v>ЭЦН</v>
          </cell>
          <cell r="I14" t="str">
            <v>действ.</v>
          </cell>
          <cell r="J14">
            <v>38764</v>
          </cell>
          <cell r="K14">
            <v>12</v>
          </cell>
          <cell r="L14">
            <v>7.3</v>
          </cell>
          <cell r="M14">
            <v>25</v>
          </cell>
          <cell r="N14">
            <v>25</v>
          </cell>
          <cell r="O14">
            <v>15.3</v>
          </cell>
          <cell r="P14">
            <v>25</v>
          </cell>
          <cell r="Q14">
            <v>13</v>
          </cell>
          <cell r="R14">
            <v>8</v>
          </cell>
          <cell r="S14">
            <v>24</v>
          </cell>
          <cell r="T14">
            <v>38795</v>
          </cell>
          <cell r="W14" t="str">
            <v>Инт.притока НСВ.ОПЗ.Сп.Э-25</v>
          </cell>
          <cell r="AE14">
            <v>38790</v>
          </cell>
        </row>
        <row r="15">
          <cell r="B15">
            <v>5475</v>
          </cell>
          <cell r="C15">
            <v>110</v>
          </cell>
          <cell r="F15" t="str">
            <v>ЧНС-Нягань</v>
          </cell>
          <cell r="H15" t="str">
            <v>нагнет.</v>
          </cell>
          <cell r="I15" t="str">
            <v>консерв.</v>
          </cell>
          <cell r="J15">
            <v>33603</v>
          </cell>
          <cell r="K15">
            <v>0</v>
          </cell>
          <cell r="L15">
            <v>0</v>
          </cell>
          <cell r="M15">
            <v>0</v>
          </cell>
          <cell r="N15">
            <v>150</v>
          </cell>
          <cell r="Q15">
            <v>150</v>
          </cell>
          <cell r="T15">
            <v>38779</v>
          </cell>
          <cell r="U15" t="str">
            <v>НГ</v>
          </cell>
          <cell r="W15" t="str">
            <v>ВЦ.РИР ЭК.ПП.ОПЗ.ГИС-3.Сп.пак.ППД.</v>
          </cell>
        </row>
        <row r="16">
          <cell r="B16">
            <v>5837</v>
          </cell>
          <cell r="C16">
            <v>168</v>
          </cell>
          <cell r="F16" t="str">
            <v>бел.УПНПиКРС</v>
          </cell>
          <cell r="H16" t="str">
            <v>ЭЦН</v>
          </cell>
          <cell r="I16" t="str">
            <v>консерв.</v>
          </cell>
          <cell r="J16">
            <v>34029</v>
          </cell>
          <cell r="K16">
            <v>0</v>
          </cell>
          <cell r="L16">
            <v>0</v>
          </cell>
          <cell r="M16">
            <v>0</v>
          </cell>
          <cell r="N16">
            <v>50</v>
          </cell>
          <cell r="O16">
            <v>4.0999999999999996</v>
          </cell>
          <cell r="P16">
            <v>90</v>
          </cell>
          <cell r="Q16">
            <v>50</v>
          </cell>
          <cell r="R16">
            <v>4.0999999999999996</v>
          </cell>
          <cell r="S16">
            <v>89.9</v>
          </cell>
          <cell r="T16">
            <v>38784</v>
          </cell>
          <cell r="U16" t="str">
            <v>бдп</v>
          </cell>
          <cell r="W16" t="str">
            <v>ВЦ.См Э-50</v>
          </cell>
          <cell r="AE16">
            <v>38779</v>
          </cell>
        </row>
        <row r="17">
          <cell r="B17">
            <v>2684</v>
          </cell>
          <cell r="C17" t="str">
            <v>145б</v>
          </cell>
          <cell r="F17" t="str">
            <v>бел.УПНПиКРС</v>
          </cell>
          <cell r="H17" t="str">
            <v>ЭЦН</v>
          </cell>
          <cell r="I17" t="str">
            <v>б/д тек.г.</v>
          </cell>
          <cell r="J17">
            <v>38691</v>
          </cell>
          <cell r="K17">
            <v>0</v>
          </cell>
          <cell r="L17">
            <v>0</v>
          </cell>
          <cell r="M17">
            <v>0</v>
          </cell>
          <cell r="N17">
            <v>12</v>
          </cell>
          <cell r="O17">
            <v>6.8</v>
          </cell>
          <cell r="P17">
            <v>30</v>
          </cell>
          <cell r="Q17">
            <v>12</v>
          </cell>
          <cell r="R17">
            <v>6.8</v>
          </cell>
          <cell r="S17">
            <v>30</v>
          </cell>
          <cell r="T17">
            <v>38796</v>
          </cell>
          <cell r="U17" t="str">
            <v>бдп</v>
          </cell>
          <cell r="W17" t="str">
            <v>ВЦ.спуск Э-15</v>
          </cell>
          <cell r="AE17">
            <v>38791</v>
          </cell>
        </row>
        <row r="18">
          <cell r="B18">
            <v>5341</v>
          </cell>
          <cell r="C18">
            <v>101</v>
          </cell>
          <cell r="F18" t="str">
            <v>бел.УПНПиКРС</v>
          </cell>
          <cell r="H18" t="str">
            <v>ЭЦН</v>
          </cell>
          <cell r="I18" t="str">
            <v>б/д тек.г.</v>
          </cell>
          <cell r="K18">
            <v>18</v>
          </cell>
          <cell r="L18">
            <v>13.3</v>
          </cell>
          <cell r="M18">
            <v>9</v>
          </cell>
          <cell r="N18">
            <v>20</v>
          </cell>
          <cell r="O18">
            <v>14.8</v>
          </cell>
          <cell r="P18">
            <v>9</v>
          </cell>
          <cell r="Q18">
            <v>20</v>
          </cell>
          <cell r="R18">
            <v>14.8</v>
          </cell>
          <cell r="S18">
            <v>8.6</v>
          </cell>
          <cell r="T18">
            <v>38789</v>
          </cell>
          <cell r="U18" t="str">
            <v>бдп</v>
          </cell>
          <cell r="W18" t="str">
            <v>ВЦ КОПС.См.Э-25</v>
          </cell>
          <cell r="AE18">
            <v>38786</v>
          </cell>
        </row>
        <row r="19">
          <cell r="B19">
            <v>2755</v>
          </cell>
          <cell r="C19">
            <v>145</v>
          </cell>
          <cell r="F19" t="str">
            <v>бел.УПНПиКРС</v>
          </cell>
          <cell r="H19" t="str">
            <v>ЭЦН</v>
          </cell>
          <cell r="I19" t="str">
            <v>б/д тек.г.</v>
          </cell>
          <cell r="K19">
            <v>21</v>
          </cell>
          <cell r="L19">
            <v>13.2</v>
          </cell>
          <cell r="M19">
            <v>23</v>
          </cell>
          <cell r="N19">
            <v>25</v>
          </cell>
          <cell r="O19">
            <v>15.7</v>
          </cell>
          <cell r="P19">
            <v>23</v>
          </cell>
          <cell r="Q19">
            <v>25</v>
          </cell>
          <cell r="R19">
            <v>15.7</v>
          </cell>
          <cell r="S19">
            <v>22.5</v>
          </cell>
          <cell r="T19">
            <v>38790</v>
          </cell>
          <cell r="U19" t="str">
            <v>бдп</v>
          </cell>
          <cell r="W19" t="str">
            <v>См вор./Э-30</v>
          </cell>
          <cell r="AE19">
            <v>38787</v>
          </cell>
        </row>
        <row r="20">
          <cell r="B20">
            <v>3106</v>
          </cell>
          <cell r="C20">
            <v>56</v>
          </cell>
          <cell r="F20" t="str">
            <v>бел.УПНПиКРС</v>
          </cell>
          <cell r="H20" t="str">
            <v>ЭЦН</v>
          </cell>
          <cell r="I20" t="str">
            <v>действ.</v>
          </cell>
          <cell r="K20">
            <v>125</v>
          </cell>
          <cell r="L20">
            <v>30</v>
          </cell>
          <cell r="M20">
            <v>70.400000000000006</v>
          </cell>
          <cell r="N20">
            <v>105</v>
          </cell>
          <cell r="O20">
            <v>41.9</v>
          </cell>
          <cell r="P20">
            <v>51</v>
          </cell>
          <cell r="Q20">
            <v>-20</v>
          </cell>
          <cell r="R20">
            <v>13.5</v>
          </cell>
          <cell r="S20">
            <v>183.3</v>
          </cell>
          <cell r="T20">
            <v>38779</v>
          </cell>
          <cell r="U20" t="str">
            <v>опт</v>
          </cell>
          <cell r="W20" t="str">
            <v>Опт. Э-80/125</v>
          </cell>
          <cell r="AE20">
            <v>38774</v>
          </cell>
        </row>
        <row r="21">
          <cell r="B21">
            <v>3132</v>
          </cell>
          <cell r="C21">
            <v>56</v>
          </cell>
          <cell r="F21" t="str">
            <v>бел.УПНПиКРС</v>
          </cell>
          <cell r="H21" t="str">
            <v>ЭЦН</v>
          </cell>
          <cell r="I21" t="str">
            <v>действ.</v>
          </cell>
          <cell r="K21">
            <v>160</v>
          </cell>
          <cell r="L21">
            <v>10.4</v>
          </cell>
          <cell r="M21">
            <v>92</v>
          </cell>
          <cell r="N21">
            <v>230</v>
          </cell>
          <cell r="O21">
            <v>15</v>
          </cell>
          <cell r="P21">
            <v>92</v>
          </cell>
          <cell r="Q21">
            <v>70</v>
          </cell>
          <cell r="R21">
            <v>4.5999999999999996</v>
          </cell>
          <cell r="S21">
            <v>91.9</v>
          </cell>
          <cell r="T21">
            <v>38783</v>
          </cell>
          <cell r="U21" t="str">
            <v>опт</v>
          </cell>
          <cell r="W21" t="str">
            <v>Опт. Э-125/250</v>
          </cell>
          <cell r="AE21">
            <v>38778</v>
          </cell>
        </row>
        <row r="22">
          <cell r="B22">
            <v>3550</v>
          </cell>
          <cell r="C22">
            <v>76</v>
          </cell>
          <cell r="H22" t="str">
            <v>ЭЦН</v>
          </cell>
          <cell r="I22" t="str">
            <v>б/д пр.л.</v>
          </cell>
          <cell r="K22">
            <v>50</v>
          </cell>
          <cell r="L22">
            <v>2</v>
          </cell>
          <cell r="M22">
            <v>95.1</v>
          </cell>
          <cell r="N22">
            <v>50</v>
          </cell>
          <cell r="O22">
            <v>2</v>
          </cell>
          <cell r="P22">
            <v>95.1</v>
          </cell>
          <cell r="Q22">
            <v>50</v>
          </cell>
          <cell r="R22">
            <v>2</v>
          </cell>
          <cell r="S22">
            <v>95.1</v>
          </cell>
          <cell r="T22">
            <v>38822</v>
          </cell>
          <cell r="U22" t="str">
            <v>бдп</v>
          </cell>
          <cell r="W22" t="str">
            <v>ВЦ.спуск Э-50</v>
          </cell>
        </row>
        <row r="23">
          <cell r="B23">
            <v>3210</v>
          </cell>
          <cell r="C23">
            <v>70</v>
          </cell>
          <cell r="H23" t="str">
            <v>ЭЦН</v>
          </cell>
          <cell r="I23" t="str">
            <v>б/д пр.л.</v>
          </cell>
          <cell r="K23">
            <v>50</v>
          </cell>
          <cell r="L23">
            <v>16</v>
          </cell>
          <cell r="M23">
            <v>60.5</v>
          </cell>
          <cell r="N23">
            <v>50</v>
          </cell>
          <cell r="O23">
            <v>16</v>
          </cell>
          <cell r="P23">
            <v>60.5</v>
          </cell>
          <cell r="Q23">
            <v>50</v>
          </cell>
          <cell r="R23">
            <v>16</v>
          </cell>
          <cell r="S23">
            <v>60.5</v>
          </cell>
          <cell r="T23">
            <v>38822</v>
          </cell>
          <cell r="U23" t="str">
            <v>ГРП</v>
          </cell>
          <cell r="W23" t="str">
            <v>ВЗ.ГИС-2.РИР ЮК-11.ГРП ЮК-10.Сп.Э-50.</v>
          </cell>
        </row>
        <row r="24">
          <cell r="B24">
            <v>5440</v>
          </cell>
          <cell r="C24">
            <v>108</v>
          </cell>
          <cell r="H24" t="str">
            <v>ЭЦН</v>
          </cell>
          <cell r="I24" t="str">
            <v>б/д пр.л.</v>
          </cell>
          <cell r="K24">
            <v>80</v>
          </cell>
          <cell r="L24">
            <v>4</v>
          </cell>
          <cell r="M24">
            <v>93.8</v>
          </cell>
          <cell r="N24">
            <v>80</v>
          </cell>
          <cell r="O24">
            <v>30</v>
          </cell>
          <cell r="P24">
            <v>53.7</v>
          </cell>
          <cell r="Q24">
            <v>80</v>
          </cell>
          <cell r="R24">
            <v>30</v>
          </cell>
          <cell r="S24">
            <v>53.7</v>
          </cell>
          <cell r="T24">
            <v>38819</v>
          </cell>
          <cell r="U24" t="str">
            <v>ГРП</v>
          </cell>
          <cell r="W24" t="str">
            <v>Осв.после ЗВС.ПВР.ГРП ЮК-10.</v>
          </cell>
        </row>
        <row r="25">
          <cell r="B25">
            <v>5655</v>
          </cell>
          <cell r="C25">
            <v>123</v>
          </cell>
          <cell r="H25" t="str">
            <v>ЭЦН</v>
          </cell>
          <cell r="I25" t="str">
            <v>б/д пр.л.</v>
          </cell>
          <cell r="K25">
            <v>50</v>
          </cell>
          <cell r="L25">
            <v>16</v>
          </cell>
          <cell r="M25">
            <v>60.5</v>
          </cell>
          <cell r="N25">
            <v>50</v>
          </cell>
          <cell r="O25">
            <v>16</v>
          </cell>
          <cell r="P25">
            <v>60.5</v>
          </cell>
          <cell r="Q25">
            <v>50</v>
          </cell>
          <cell r="R25">
            <v>16</v>
          </cell>
          <cell r="S25">
            <v>60.5</v>
          </cell>
          <cell r="T25">
            <v>38834</v>
          </cell>
          <cell r="U25" t="str">
            <v>ГРП</v>
          </cell>
          <cell r="W25" t="str">
            <v>ВЦ.ОТСК.РИРЭК.ГРП ЮК-10.Сп.Э-50.</v>
          </cell>
        </row>
        <row r="26">
          <cell r="B26">
            <v>2608</v>
          </cell>
          <cell r="C26" t="str">
            <v>168б</v>
          </cell>
          <cell r="F26" t="str">
            <v>УПНПиКРС</v>
          </cell>
          <cell r="G26">
            <v>240</v>
          </cell>
          <cell r="H26" t="str">
            <v>ШГН</v>
          </cell>
          <cell r="I26" t="str">
            <v>б/д тек.г.</v>
          </cell>
          <cell r="K26">
            <v>0</v>
          </cell>
          <cell r="L26">
            <v>0</v>
          </cell>
          <cell r="M26">
            <v>0</v>
          </cell>
          <cell r="N26">
            <v>50</v>
          </cell>
          <cell r="O26">
            <v>20</v>
          </cell>
          <cell r="P26">
            <v>50.6</v>
          </cell>
          <cell r="Q26">
            <v>50</v>
          </cell>
          <cell r="R26">
            <v>20</v>
          </cell>
          <cell r="S26">
            <v>50.6</v>
          </cell>
          <cell r="T26">
            <v>38814</v>
          </cell>
          <cell r="U26" t="str">
            <v>ГРП</v>
          </cell>
          <cell r="W26" t="str">
            <v>ВЗ(изв.скр.пров.).ГИС-2.ГРП ЮК-4.Сп.Э-50</v>
          </cell>
          <cell r="AD26">
            <v>37320</v>
          </cell>
          <cell r="AE26">
            <v>37360</v>
          </cell>
          <cell r="AF26">
            <v>40</v>
          </cell>
        </row>
        <row r="27">
          <cell r="B27">
            <v>5564</v>
          </cell>
          <cell r="C27">
            <v>120</v>
          </cell>
          <cell r="F27" t="str">
            <v>БлУНП</v>
          </cell>
          <cell r="G27">
            <v>270</v>
          </cell>
          <cell r="H27" t="str">
            <v>ЭЦН</v>
          </cell>
          <cell r="I27" t="str">
            <v>действ.</v>
          </cell>
          <cell r="J27">
            <v>36885</v>
          </cell>
          <cell r="K27">
            <v>38</v>
          </cell>
          <cell r="L27">
            <v>4.0260999999999978</v>
          </cell>
          <cell r="M27">
            <v>86.9</v>
          </cell>
          <cell r="N27">
            <v>80</v>
          </cell>
          <cell r="O27">
            <v>20</v>
          </cell>
          <cell r="P27">
            <v>69.099999999999994</v>
          </cell>
          <cell r="Q27">
            <v>42</v>
          </cell>
          <cell r="R27">
            <v>15.973900000000002</v>
          </cell>
          <cell r="S27">
            <v>53</v>
          </cell>
          <cell r="T27">
            <v>38817</v>
          </cell>
          <cell r="U27" t="str">
            <v>ГРП</v>
          </cell>
          <cell r="W27" t="str">
            <v>ГИС-2.ИР ЮК-11.ГРП ЮК-10.Сп.Э-80.</v>
          </cell>
          <cell r="AD27">
            <v>37585</v>
          </cell>
          <cell r="AE27">
            <v>37605</v>
          </cell>
        </row>
        <row r="28">
          <cell r="B28">
            <v>5658</v>
          </cell>
          <cell r="C28" t="str">
            <v>122б</v>
          </cell>
          <cell r="F28" t="str">
            <v>УПНПиКРС</v>
          </cell>
          <cell r="G28">
            <v>240</v>
          </cell>
          <cell r="H28" t="str">
            <v>ЭЦН</v>
          </cell>
          <cell r="I28" t="str">
            <v>действ.</v>
          </cell>
          <cell r="K28">
            <v>31</v>
          </cell>
          <cell r="L28">
            <v>3.7897499999999984</v>
          </cell>
          <cell r="M28">
            <v>85</v>
          </cell>
          <cell r="N28">
            <v>80</v>
          </cell>
          <cell r="O28">
            <v>21.789749999999998</v>
          </cell>
          <cell r="P28">
            <v>66.400000000000006</v>
          </cell>
          <cell r="Q28">
            <v>49</v>
          </cell>
          <cell r="R28">
            <v>18</v>
          </cell>
          <cell r="S28">
            <v>54.6</v>
          </cell>
          <cell r="T28">
            <v>38837</v>
          </cell>
          <cell r="U28" t="str">
            <v>ГРП</v>
          </cell>
          <cell r="W28" t="str">
            <v>ГИС-2.Отсып.ЮК-11.ГРП ЮК-10.Сп.Э-50.</v>
          </cell>
          <cell r="AD28">
            <v>38007</v>
          </cell>
          <cell r="AE28">
            <v>38029</v>
          </cell>
        </row>
        <row r="29">
          <cell r="B29">
            <v>5690</v>
          </cell>
          <cell r="C29" t="str">
            <v>122б</v>
          </cell>
          <cell r="F29" t="str">
            <v>ПРС</v>
          </cell>
          <cell r="H29" t="str">
            <v>ЭЦН</v>
          </cell>
          <cell r="I29" t="str">
            <v>действ.</v>
          </cell>
          <cell r="J29">
            <v>37523</v>
          </cell>
          <cell r="K29">
            <v>21</v>
          </cell>
          <cell r="L29">
            <v>6.8</v>
          </cell>
          <cell r="M29">
            <v>60</v>
          </cell>
          <cell r="N29">
            <v>80</v>
          </cell>
          <cell r="O29">
            <v>24.8</v>
          </cell>
          <cell r="P29">
            <v>61.7</v>
          </cell>
          <cell r="Q29">
            <v>59</v>
          </cell>
          <cell r="R29">
            <v>18</v>
          </cell>
          <cell r="S29">
            <v>62.3</v>
          </cell>
          <cell r="T29">
            <v>38827</v>
          </cell>
          <cell r="U29" t="str">
            <v>ГРП</v>
          </cell>
          <cell r="W29" t="str">
            <v>ГИС-2.Отсып.ЮК-11.ГРП ЮК-10.Сп.Э-50.</v>
          </cell>
        </row>
        <row r="30">
          <cell r="B30">
            <v>2487</v>
          </cell>
          <cell r="C30">
            <v>37</v>
          </cell>
          <cell r="F30" t="str">
            <v>НвБН</v>
          </cell>
          <cell r="G30">
            <v>250</v>
          </cell>
          <cell r="H30" t="str">
            <v>ЭЦН</v>
          </cell>
          <cell r="I30" t="str">
            <v>б/д тек.г.</v>
          </cell>
          <cell r="K30">
            <v>0</v>
          </cell>
          <cell r="L30">
            <v>0</v>
          </cell>
          <cell r="M30">
            <v>0</v>
          </cell>
          <cell r="N30">
            <v>50</v>
          </cell>
          <cell r="O30">
            <v>14</v>
          </cell>
          <cell r="P30">
            <v>65.400000000000006</v>
          </cell>
          <cell r="Q30">
            <v>50</v>
          </cell>
          <cell r="R30">
            <v>14</v>
          </cell>
          <cell r="S30">
            <v>65.400000000000006</v>
          </cell>
          <cell r="T30">
            <v>38837</v>
          </cell>
          <cell r="U30" t="str">
            <v>бдк</v>
          </cell>
          <cell r="W30" t="str">
            <v>ЛА, сп.Э-50</v>
          </cell>
          <cell r="AE30">
            <v>38411</v>
          </cell>
        </row>
        <row r="33">
          <cell r="B33">
            <v>5587</v>
          </cell>
          <cell r="C33">
            <v>118</v>
          </cell>
          <cell r="H33" t="str">
            <v>ЭЦН</v>
          </cell>
          <cell r="I33" t="str">
            <v>бд</v>
          </cell>
          <cell r="N33">
            <v>50</v>
          </cell>
          <cell r="O33">
            <v>4.5999999999999996</v>
          </cell>
          <cell r="P33">
            <v>88.7</v>
          </cell>
          <cell r="Q33">
            <v>50</v>
          </cell>
          <cell r="R33">
            <v>4.5999999999999996</v>
          </cell>
          <cell r="S33">
            <v>88.7</v>
          </cell>
          <cell r="T33">
            <v>38773</v>
          </cell>
          <cell r="U33" t="str">
            <v>бдп</v>
          </cell>
        </row>
        <row r="34">
          <cell r="B34">
            <v>2954</v>
          </cell>
          <cell r="C34">
            <v>46</v>
          </cell>
          <cell r="F34" t="str">
            <v>УПНПиКРС</v>
          </cell>
          <cell r="G34">
            <v>260</v>
          </cell>
          <cell r="H34" t="str">
            <v>ЭЦН</v>
          </cell>
          <cell r="I34" t="str">
            <v>действ.</v>
          </cell>
          <cell r="K34">
            <v>124</v>
          </cell>
          <cell r="L34">
            <v>11.1</v>
          </cell>
          <cell r="M34">
            <v>89</v>
          </cell>
          <cell r="N34">
            <v>180</v>
          </cell>
          <cell r="O34">
            <v>16.100000000000001</v>
          </cell>
          <cell r="P34">
            <v>89</v>
          </cell>
          <cell r="Q34">
            <v>56</v>
          </cell>
          <cell r="R34">
            <v>5.0000000000000018</v>
          </cell>
          <cell r="S34">
            <v>89</v>
          </cell>
          <cell r="T34">
            <v>38822</v>
          </cell>
          <cell r="U34" t="str">
            <v>ГРП</v>
          </cell>
          <cell r="W34" t="str">
            <v>см.Э-80/Э-200</v>
          </cell>
          <cell r="AE34">
            <v>38767</v>
          </cell>
        </row>
        <row r="35">
          <cell r="B35">
            <v>5339</v>
          </cell>
          <cell r="C35">
            <v>141</v>
          </cell>
          <cell r="F35" t="str">
            <v>УПНПиКРС</v>
          </cell>
          <cell r="H35" t="str">
            <v>ШГН</v>
          </cell>
          <cell r="I35" t="str">
            <v>бд</v>
          </cell>
          <cell r="K35">
            <v>0</v>
          </cell>
          <cell r="L35">
            <v>0</v>
          </cell>
          <cell r="M35">
            <v>0</v>
          </cell>
          <cell r="N35">
            <v>50</v>
          </cell>
          <cell r="O35">
            <v>18</v>
          </cell>
          <cell r="P35">
            <v>55.8</v>
          </cell>
          <cell r="Q35">
            <v>50</v>
          </cell>
          <cell r="R35">
            <v>18</v>
          </cell>
          <cell r="S35">
            <v>55.6</v>
          </cell>
          <cell r="T35">
            <v>38754</v>
          </cell>
          <cell r="U35" t="str">
            <v>ГРП</v>
          </cell>
          <cell r="W35" t="str">
            <v>ИР ЮК-11.ГРП ЮК-10.Сп.Э-50.</v>
          </cell>
          <cell r="AE35">
            <v>38748</v>
          </cell>
        </row>
        <row r="37">
          <cell r="B37">
            <v>3212</v>
          </cell>
          <cell r="C37" t="str">
            <v>55б</v>
          </cell>
          <cell r="F37" t="str">
            <v>УПНПиКРС</v>
          </cell>
          <cell r="H37" t="str">
            <v>фон</v>
          </cell>
          <cell r="I37" t="str">
            <v>конс.</v>
          </cell>
          <cell r="J37">
            <v>34335</v>
          </cell>
          <cell r="K37">
            <v>0</v>
          </cell>
          <cell r="L37">
            <v>0</v>
          </cell>
          <cell r="M37">
            <v>0</v>
          </cell>
          <cell r="N37">
            <v>50</v>
          </cell>
          <cell r="O37">
            <v>6.5</v>
          </cell>
          <cell r="P37">
            <v>84</v>
          </cell>
          <cell r="Q37">
            <v>50</v>
          </cell>
          <cell r="R37">
            <v>6.5</v>
          </cell>
          <cell r="S37">
            <v>84</v>
          </cell>
          <cell r="T37">
            <v>38776</v>
          </cell>
          <cell r="U37" t="str">
            <v>бдк</v>
          </cell>
          <cell r="W37" t="str">
            <v>ВЦ.ГИС-2.ПП+ДП ЮК-10,11.Сп.Э-50.</v>
          </cell>
          <cell r="AE37">
            <v>38771</v>
          </cell>
        </row>
        <row r="38">
          <cell r="B38">
            <v>5249</v>
          </cell>
          <cell r="C38">
            <v>137</v>
          </cell>
          <cell r="F38" t="str">
            <v>УПНПиКРС</v>
          </cell>
          <cell r="H38" t="str">
            <v>Ф/Э</v>
          </cell>
          <cell r="I38" t="str">
            <v>конс.</v>
          </cell>
          <cell r="J38">
            <v>35004</v>
          </cell>
          <cell r="K38">
            <v>0</v>
          </cell>
          <cell r="L38">
            <v>0</v>
          </cell>
          <cell r="M38">
            <v>0</v>
          </cell>
          <cell r="N38">
            <v>80</v>
          </cell>
          <cell r="O38">
            <v>3.9</v>
          </cell>
          <cell r="P38">
            <v>94</v>
          </cell>
          <cell r="Q38">
            <v>80</v>
          </cell>
          <cell r="R38">
            <v>3.9</v>
          </cell>
          <cell r="S38">
            <v>94</v>
          </cell>
          <cell r="T38">
            <v>38817</v>
          </cell>
          <cell r="U38" t="str">
            <v>бдп</v>
          </cell>
          <cell r="W38" t="str">
            <v>ВЦ.Сп.Э-80.</v>
          </cell>
          <cell r="AE38">
            <v>38768</v>
          </cell>
        </row>
        <row r="39">
          <cell r="B39">
            <v>5444</v>
          </cell>
          <cell r="C39">
            <v>109</v>
          </cell>
          <cell r="F39" t="str">
            <v>бел.УПНПиКРС</v>
          </cell>
          <cell r="G39">
            <v>260</v>
          </cell>
          <cell r="H39" t="str">
            <v>ЭЦН</v>
          </cell>
          <cell r="I39" t="str">
            <v>бд тг</v>
          </cell>
          <cell r="K39">
            <v>64</v>
          </cell>
          <cell r="L39">
            <v>7.8240000000000007</v>
          </cell>
          <cell r="M39">
            <v>85</v>
          </cell>
          <cell r="N39">
            <v>80</v>
          </cell>
          <cell r="O39">
            <v>18</v>
          </cell>
          <cell r="P39">
            <v>72.400000000000006</v>
          </cell>
          <cell r="Q39">
            <v>80</v>
          </cell>
          <cell r="R39">
            <v>18</v>
          </cell>
          <cell r="S39">
            <v>72.2</v>
          </cell>
          <cell r="T39">
            <v>38771</v>
          </cell>
          <cell r="U39" t="str">
            <v>ГРП</v>
          </cell>
          <cell r="W39" t="str">
            <v>ИР ЮК-11,ГРП ЮК-10</v>
          </cell>
          <cell r="AD39">
            <v>38007</v>
          </cell>
          <cell r="AE39">
            <v>38766</v>
          </cell>
          <cell r="AF39">
            <v>32</v>
          </cell>
        </row>
        <row r="40">
          <cell r="B40">
            <v>5451</v>
          </cell>
          <cell r="C40">
            <v>101</v>
          </cell>
          <cell r="F40" t="str">
            <v>УПНПиКРС</v>
          </cell>
          <cell r="G40">
            <v>250</v>
          </cell>
          <cell r="H40" t="str">
            <v>ШГН</v>
          </cell>
          <cell r="I40" t="str">
            <v>бд</v>
          </cell>
          <cell r="J40">
            <v>35648</v>
          </cell>
          <cell r="K40">
            <v>0</v>
          </cell>
          <cell r="L40">
            <v>0</v>
          </cell>
          <cell r="M40">
            <v>0</v>
          </cell>
          <cell r="N40">
            <v>50</v>
          </cell>
          <cell r="O40">
            <v>15</v>
          </cell>
          <cell r="P40">
            <v>63.1</v>
          </cell>
          <cell r="Q40">
            <v>50</v>
          </cell>
          <cell r="R40">
            <v>15</v>
          </cell>
          <cell r="S40">
            <v>63</v>
          </cell>
          <cell r="T40">
            <v>38773</v>
          </cell>
          <cell r="U40" t="str">
            <v>ГРП</v>
          </cell>
          <cell r="W40" t="str">
            <v>ВЦ,ВЗ,ГРП ЮК-10,с-п ЭЦН-50</v>
          </cell>
          <cell r="X40" t="str">
            <v>Необходима СК</v>
          </cell>
          <cell r="Y40" t="str">
            <v>+40м</v>
          </cell>
          <cell r="Z40">
            <v>2924</v>
          </cell>
          <cell r="AA40" t="str">
            <v>73+60</v>
          </cell>
          <cell r="AE40">
            <v>38767</v>
          </cell>
          <cell r="AF40">
            <v>25</v>
          </cell>
        </row>
        <row r="41">
          <cell r="B41">
            <v>2958</v>
          </cell>
          <cell r="C41">
            <v>46</v>
          </cell>
          <cell r="F41" t="str">
            <v>УПНПиКРС</v>
          </cell>
          <cell r="G41">
            <v>250</v>
          </cell>
          <cell r="H41" t="str">
            <v>фон</v>
          </cell>
          <cell r="I41" t="str">
            <v>действ.</v>
          </cell>
          <cell r="K41">
            <v>52</v>
          </cell>
          <cell r="L41">
            <v>41.2</v>
          </cell>
          <cell r="M41">
            <v>4</v>
          </cell>
          <cell r="N41">
            <v>52</v>
          </cell>
          <cell r="O41">
            <v>41.2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38776</v>
          </cell>
          <cell r="U41" t="str">
            <v>ла</v>
          </cell>
          <cell r="W41" t="str">
            <v>П-м пак.Осв.фонт.после ГРП.Сп.вор.с п.м.</v>
          </cell>
          <cell r="AE41">
            <v>38771</v>
          </cell>
        </row>
        <row r="42">
          <cell r="B42">
            <v>2707</v>
          </cell>
          <cell r="C42">
            <v>160</v>
          </cell>
          <cell r="F42" t="str">
            <v>УПНПиКРС</v>
          </cell>
          <cell r="H42" t="str">
            <v>ШГН</v>
          </cell>
          <cell r="I42" t="str">
            <v>конс.</v>
          </cell>
          <cell r="J42">
            <v>32843</v>
          </cell>
          <cell r="K42">
            <v>0</v>
          </cell>
          <cell r="L42">
            <v>0</v>
          </cell>
          <cell r="M42">
            <v>0</v>
          </cell>
          <cell r="N42">
            <v>50</v>
          </cell>
          <cell r="O42">
            <v>16</v>
          </cell>
          <cell r="P42">
            <v>60.7</v>
          </cell>
          <cell r="Q42">
            <v>50</v>
          </cell>
          <cell r="R42">
            <v>16</v>
          </cell>
          <cell r="S42">
            <v>60.5</v>
          </cell>
          <cell r="T42">
            <v>38777</v>
          </cell>
          <cell r="U42" t="str">
            <v>ГРП</v>
          </cell>
          <cell r="W42" t="str">
            <v>ВЦ.ПР.ГРП ЮК-10.Осв.Сп.Э-50.</v>
          </cell>
          <cell r="Y42" t="str">
            <v>ОЦ. Нет подачи</v>
          </cell>
          <cell r="AE42">
            <v>38771</v>
          </cell>
        </row>
        <row r="43">
          <cell r="B43">
            <v>3859</v>
          </cell>
          <cell r="C43" t="str">
            <v>306б</v>
          </cell>
          <cell r="F43" t="str">
            <v>УПНПиКРС</v>
          </cell>
          <cell r="H43" t="str">
            <v>ЭЦН</v>
          </cell>
          <cell r="I43" t="str">
            <v>бд тг</v>
          </cell>
          <cell r="K43">
            <v>20</v>
          </cell>
          <cell r="L43">
            <v>4.9000000000000004</v>
          </cell>
          <cell r="M43">
            <v>70</v>
          </cell>
          <cell r="N43">
            <v>50</v>
          </cell>
          <cell r="O43">
            <v>20.8</v>
          </cell>
          <cell r="P43">
            <v>49</v>
          </cell>
          <cell r="Q43">
            <v>50</v>
          </cell>
          <cell r="R43">
            <v>20.8</v>
          </cell>
          <cell r="S43">
            <v>48.6</v>
          </cell>
          <cell r="T43">
            <v>38778</v>
          </cell>
          <cell r="U43" t="str">
            <v>ГРП</v>
          </cell>
          <cell r="W43" t="str">
            <v>ВЗ(изв.шабл.).ПР.ГРП ЮК-10.Осв.Сп.Э-50</v>
          </cell>
          <cell r="AE43">
            <v>38772</v>
          </cell>
        </row>
        <row r="44">
          <cell r="B44">
            <v>5633</v>
          </cell>
          <cell r="C44">
            <v>120</v>
          </cell>
          <cell r="F44" t="str">
            <v>УПНП</v>
          </cell>
          <cell r="H44" t="str">
            <v>ЭЦН</v>
          </cell>
          <cell r="I44" t="str">
            <v>бд тг</v>
          </cell>
          <cell r="K44">
            <v>4</v>
          </cell>
          <cell r="L44">
            <v>1.3</v>
          </cell>
          <cell r="M44">
            <v>60</v>
          </cell>
          <cell r="N44">
            <v>80</v>
          </cell>
          <cell r="O44">
            <v>16</v>
          </cell>
          <cell r="P44">
            <v>75.400000000000006</v>
          </cell>
          <cell r="Q44">
            <v>80</v>
          </cell>
          <cell r="R44">
            <v>16</v>
          </cell>
          <cell r="S44">
            <v>75.3</v>
          </cell>
          <cell r="T44">
            <v>38776</v>
          </cell>
          <cell r="U44" t="str">
            <v>ГРП</v>
          </cell>
          <cell r="W44" t="str">
            <v>ПР.ГРП ВК.Осв.Сп.Э-80.</v>
          </cell>
          <cell r="AE44">
            <v>38770</v>
          </cell>
        </row>
        <row r="45">
          <cell r="B45">
            <v>5822</v>
          </cell>
          <cell r="C45">
            <v>141</v>
          </cell>
          <cell r="F45" t="str">
            <v>УПНПиКРС</v>
          </cell>
          <cell r="G45">
            <v>245</v>
          </cell>
          <cell r="H45" t="str">
            <v>ЭЦН</v>
          </cell>
          <cell r="I45" t="str">
            <v>бд</v>
          </cell>
          <cell r="J45">
            <v>38661</v>
          </cell>
          <cell r="K45">
            <v>0</v>
          </cell>
          <cell r="L45">
            <v>0</v>
          </cell>
          <cell r="M45">
            <v>0</v>
          </cell>
          <cell r="N45">
            <v>52</v>
          </cell>
          <cell r="O45">
            <v>11.9</v>
          </cell>
          <cell r="P45">
            <v>72</v>
          </cell>
          <cell r="Q45">
            <v>52</v>
          </cell>
          <cell r="R45">
            <v>11.9</v>
          </cell>
          <cell r="S45">
            <v>71.7</v>
          </cell>
          <cell r="T45">
            <v>38768</v>
          </cell>
          <cell r="U45" t="str">
            <v>ла</v>
          </cell>
          <cell r="W45" t="str">
            <v>ЛА,спуск ЭЦН-50</v>
          </cell>
          <cell r="AE45">
            <v>38763</v>
          </cell>
        </row>
        <row r="46">
          <cell r="B46">
            <v>3235</v>
          </cell>
          <cell r="C46">
            <v>57</v>
          </cell>
          <cell r="F46" t="str">
            <v>УПНПиКРС</v>
          </cell>
          <cell r="H46" t="str">
            <v>нагнет.</v>
          </cell>
          <cell r="I46" t="str">
            <v>конс.</v>
          </cell>
          <cell r="J46">
            <v>34605</v>
          </cell>
          <cell r="K46">
            <v>0</v>
          </cell>
          <cell r="L46">
            <v>0</v>
          </cell>
          <cell r="M46">
            <v>0</v>
          </cell>
          <cell r="N46">
            <v>150</v>
          </cell>
          <cell r="Q46">
            <v>150</v>
          </cell>
          <cell r="T46">
            <v>38766</v>
          </cell>
          <cell r="U46" t="str">
            <v>НГ</v>
          </cell>
          <cell r="W46" t="str">
            <v>ВЦ.ЛА(изв.НКТ).ПП.ОПЗ.Сп.пак.ППД.</v>
          </cell>
        </row>
        <row r="47">
          <cell r="B47">
            <v>5708</v>
          </cell>
          <cell r="C47">
            <v>124</v>
          </cell>
          <cell r="F47" t="str">
            <v>бел.УПНПиКРС</v>
          </cell>
          <cell r="H47" t="str">
            <v>ЭЦН</v>
          </cell>
          <cell r="I47" t="str">
            <v>бд тг</v>
          </cell>
          <cell r="K47">
            <v>105</v>
          </cell>
          <cell r="L47">
            <v>7.7</v>
          </cell>
          <cell r="M47">
            <v>91</v>
          </cell>
          <cell r="N47">
            <v>86</v>
          </cell>
          <cell r="O47">
            <v>6.3</v>
          </cell>
          <cell r="P47">
            <v>91</v>
          </cell>
          <cell r="Q47">
            <v>86</v>
          </cell>
          <cell r="R47">
            <v>6.3</v>
          </cell>
          <cell r="S47">
            <v>91</v>
          </cell>
          <cell r="T47">
            <v>38772</v>
          </cell>
          <cell r="U47" t="str">
            <v>бдп</v>
          </cell>
          <cell r="W47" t="str">
            <v>См.Вор./Э-80</v>
          </cell>
          <cell r="AE47">
            <v>38769</v>
          </cell>
        </row>
        <row r="48">
          <cell r="B48">
            <v>2800</v>
          </cell>
          <cell r="C48" t="str">
            <v>165б</v>
          </cell>
          <cell r="F48" t="str">
            <v>бел.УПНПиКРС</v>
          </cell>
          <cell r="H48" t="str">
            <v>ШГН</v>
          </cell>
          <cell r="I48" t="str">
            <v>бд тг</v>
          </cell>
          <cell r="K48">
            <v>6</v>
          </cell>
          <cell r="L48">
            <v>4.3</v>
          </cell>
          <cell r="M48">
            <v>13</v>
          </cell>
          <cell r="N48">
            <v>6</v>
          </cell>
          <cell r="O48">
            <v>4.3</v>
          </cell>
          <cell r="P48">
            <v>13</v>
          </cell>
          <cell r="Q48">
            <v>6</v>
          </cell>
          <cell r="R48">
            <v>4.3</v>
          </cell>
          <cell r="S48">
            <v>11.5</v>
          </cell>
          <cell r="T48">
            <v>38772</v>
          </cell>
          <cell r="U48" t="str">
            <v>бдп</v>
          </cell>
          <cell r="W48" t="str">
            <v>См НВ-32</v>
          </cell>
          <cell r="AE48">
            <v>38769</v>
          </cell>
        </row>
        <row r="49">
          <cell r="B49">
            <v>5304</v>
          </cell>
          <cell r="C49">
            <v>138</v>
          </cell>
          <cell r="F49" t="str">
            <v>бел.УПНПиКРС</v>
          </cell>
          <cell r="H49" t="str">
            <v>ЭЦН</v>
          </cell>
          <cell r="I49" t="str">
            <v>бд тг</v>
          </cell>
          <cell r="K49">
            <v>25</v>
          </cell>
          <cell r="L49">
            <v>3.1</v>
          </cell>
          <cell r="M49">
            <v>85</v>
          </cell>
          <cell r="N49">
            <v>25</v>
          </cell>
          <cell r="O49">
            <v>2.4</v>
          </cell>
          <cell r="P49">
            <v>88</v>
          </cell>
          <cell r="Q49">
            <v>25</v>
          </cell>
          <cell r="R49">
            <v>2.4</v>
          </cell>
          <cell r="S49">
            <v>88.1</v>
          </cell>
          <cell r="T49">
            <v>38773</v>
          </cell>
          <cell r="U49" t="str">
            <v>бдп</v>
          </cell>
          <cell r="W49" t="str">
            <v>См Э-50/Э-30</v>
          </cell>
          <cell r="AE49">
            <v>38770</v>
          </cell>
        </row>
        <row r="50">
          <cell r="B50">
            <v>3188</v>
          </cell>
          <cell r="C50">
            <v>70</v>
          </cell>
          <cell r="F50" t="str">
            <v>бел.УПНПиКРС</v>
          </cell>
          <cell r="H50" t="str">
            <v>ШГН</v>
          </cell>
          <cell r="I50" t="str">
            <v>бд тг</v>
          </cell>
          <cell r="K50">
            <v>4</v>
          </cell>
          <cell r="L50">
            <v>2.4</v>
          </cell>
          <cell r="M50">
            <v>25</v>
          </cell>
          <cell r="N50">
            <v>4</v>
          </cell>
          <cell r="O50">
            <v>2.4</v>
          </cell>
          <cell r="P50">
            <v>25</v>
          </cell>
          <cell r="Q50">
            <v>4</v>
          </cell>
          <cell r="R50">
            <v>2.4</v>
          </cell>
          <cell r="S50">
            <v>25.9</v>
          </cell>
          <cell r="T50">
            <v>38773</v>
          </cell>
          <cell r="U50" t="str">
            <v>бдп</v>
          </cell>
          <cell r="W50" t="str">
            <v>ВЦ "БАРС",Смена НВ-32</v>
          </cell>
          <cell r="AE50">
            <v>38770</v>
          </cell>
        </row>
        <row r="51">
          <cell r="B51" t="str">
            <v>5367б</v>
          </cell>
          <cell r="C51">
            <v>101</v>
          </cell>
          <cell r="F51" t="str">
            <v>бел.УПНПиКРС</v>
          </cell>
          <cell r="H51" t="str">
            <v>ШГН</v>
          </cell>
          <cell r="I51" t="str">
            <v>бд тг</v>
          </cell>
          <cell r="K51">
            <v>3</v>
          </cell>
          <cell r="L51">
            <v>2</v>
          </cell>
          <cell r="M51">
            <v>20</v>
          </cell>
          <cell r="N51">
            <v>3</v>
          </cell>
          <cell r="O51">
            <v>2</v>
          </cell>
          <cell r="P51">
            <v>20</v>
          </cell>
          <cell r="Q51">
            <v>3</v>
          </cell>
          <cell r="R51">
            <v>2</v>
          </cell>
          <cell r="S51">
            <v>17.7</v>
          </cell>
          <cell r="T51">
            <v>38774</v>
          </cell>
          <cell r="U51" t="str">
            <v>бдп</v>
          </cell>
          <cell r="W51" t="str">
            <v>См НВ-44/НВ-32</v>
          </cell>
          <cell r="AE51">
            <v>38771</v>
          </cell>
        </row>
        <row r="52">
          <cell r="B52">
            <v>5530</v>
          </cell>
          <cell r="C52">
            <v>119</v>
          </cell>
          <cell r="F52" t="str">
            <v>бел.УПНПиКРС</v>
          </cell>
          <cell r="H52" t="str">
            <v>ЭЦН</v>
          </cell>
          <cell r="I52" t="str">
            <v>бд тг</v>
          </cell>
          <cell r="K52">
            <v>51</v>
          </cell>
          <cell r="L52">
            <v>2.1</v>
          </cell>
          <cell r="M52">
            <v>95</v>
          </cell>
          <cell r="N52">
            <v>36</v>
          </cell>
          <cell r="O52">
            <v>1.5</v>
          </cell>
          <cell r="P52">
            <v>95</v>
          </cell>
          <cell r="Q52">
            <v>36</v>
          </cell>
          <cell r="R52">
            <v>1.5</v>
          </cell>
          <cell r="S52">
            <v>94.9</v>
          </cell>
          <cell r="T52">
            <v>38774</v>
          </cell>
          <cell r="U52" t="str">
            <v>бдп</v>
          </cell>
          <cell r="W52" t="str">
            <v>См Э-50/Э-50</v>
          </cell>
          <cell r="AE52">
            <v>38771</v>
          </cell>
        </row>
        <row r="53">
          <cell r="B53">
            <v>5493</v>
          </cell>
          <cell r="C53">
            <v>106</v>
          </cell>
          <cell r="F53" t="str">
            <v>бел.УПНПиКРС</v>
          </cell>
          <cell r="H53" t="str">
            <v>ШГН</v>
          </cell>
          <cell r="I53" t="str">
            <v>бд тг</v>
          </cell>
          <cell r="K53">
            <v>6</v>
          </cell>
          <cell r="L53">
            <v>1.4</v>
          </cell>
          <cell r="M53">
            <v>71</v>
          </cell>
          <cell r="N53">
            <v>6</v>
          </cell>
          <cell r="O53">
            <v>1.4</v>
          </cell>
          <cell r="P53">
            <v>71</v>
          </cell>
          <cell r="Q53">
            <v>6</v>
          </cell>
          <cell r="R53">
            <v>1.4</v>
          </cell>
          <cell r="S53">
            <v>71.2</v>
          </cell>
          <cell r="T53">
            <v>38775</v>
          </cell>
          <cell r="U53" t="str">
            <v>бдп</v>
          </cell>
          <cell r="W53" t="str">
            <v>См.Н44/Н38</v>
          </cell>
          <cell r="AE53">
            <v>38772</v>
          </cell>
        </row>
        <row r="54">
          <cell r="B54">
            <v>2871</v>
          </cell>
          <cell r="C54">
            <v>158</v>
          </cell>
          <cell r="F54" t="str">
            <v>бел.УПНПиКРС</v>
          </cell>
          <cell r="H54" t="str">
            <v>ШГН</v>
          </cell>
          <cell r="I54" t="str">
            <v>бд тг</v>
          </cell>
          <cell r="K54">
            <v>6</v>
          </cell>
          <cell r="L54">
            <v>1.4</v>
          </cell>
          <cell r="M54">
            <v>71</v>
          </cell>
          <cell r="N54">
            <v>6</v>
          </cell>
          <cell r="O54">
            <v>1.4</v>
          </cell>
          <cell r="P54">
            <v>71</v>
          </cell>
          <cell r="Q54">
            <v>6</v>
          </cell>
          <cell r="R54">
            <v>1.4</v>
          </cell>
          <cell r="S54">
            <v>71.2</v>
          </cell>
          <cell r="T54">
            <v>38775</v>
          </cell>
          <cell r="U54" t="str">
            <v>бдп</v>
          </cell>
          <cell r="W54" t="str">
            <v>См НВ-44/НВ-32</v>
          </cell>
          <cell r="AE54">
            <v>38772</v>
          </cell>
        </row>
        <row r="55">
          <cell r="B55" t="str">
            <v>5306б</v>
          </cell>
          <cell r="C55">
            <v>139</v>
          </cell>
          <cell r="F55" t="str">
            <v>бел.УПНПиКРС</v>
          </cell>
          <cell r="H55" t="str">
            <v>ШГН</v>
          </cell>
          <cell r="I55" t="str">
            <v>бд тг</v>
          </cell>
          <cell r="K55">
            <v>5</v>
          </cell>
          <cell r="L55">
            <v>1.3</v>
          </cell>
          <cell r="M55">
            <v>67</v>
          </cell>
          <cell r="N55">
            <v>5</v>
          </cell>
          <cell r="O55">
            <v>1.3</v>
          </cell>
          <cell r="P55">
            <v>67</v>
          </cell>
          <cell r="Q55">
            <v>5</v>
          </cell>
          <cell r="R55">
            <v>1.3</v>
          </cell>
          <cell r="S55">
            <v>67.900000000000006</v>
          </cell>
          <cell r="T55">
            <v>38776</v>
          </cell>
          <cell r="U55" t="str">
            <v>бдп</v>
          </cell>
          <cell r="W55" t="str">
            <v>См НВ-32</v>
          </cell>
          <cell r="AE55">
            <v>38773</v>
          </cell>
        </row>
        <row r="56">
          <cell r="B56">
            <v>3818</v>
          </cell>
          <cell r="C56">
            <v>87</v>
          </cell>
          <cell r="F56" t="str">
            <v>бел.УПНПиКРС</v>
          </cell>
          <cell r="H56" t="str">
            <v>ЭЦН</v>
          </cell>
          <cell r="I56" t="str">
            <v>бд тг</v>
          </cell>
          <cell r="J56" t="str">
            <v/>
          </cell>
          <cell r="K56">
            <v>13</v>
          </cell>
          <cell r="L56">
            <v>5</v>
          </cell>
          <cell r="M56">
            <v>53</v>
          </cell>
          <cell r="N56">
            <v>14</v>
          </cell>
          <cell r="O56">
            <v>5.4</v>
          </cell>
          <cell r="P56">
            <v>53</v>
          </cell>
          <cell r="Q56">
            <v>14</v>
          </cell>
          <cell r="R56">
            <v>5.4</v>
          </cell>
          <cell r="S56">
            <v>52.4</v>
          </cell>
          <cell r="T56">
            <v>38774</v>
          </cell>
          <cell r="U56" t="str">
            <v>бдп</v>
          </cell>
          <cell r="W56" t="str">
            <v>См.Э30/Э15</v>
          </cell>
          <cell r="AE56">
            <v>38771</v>
          </cell>
        </row>
        <row r="57">
          <cell r="B57">
            <v>3816</v>
          </cell>
          <cell r="C57">
            <v>87</v>
          </cell>
          <cell r="F57" t="str">
            <v>бел.УПНПиКРС</v>
          </cell>
          <cell r="H57" t="str">
            <v>ЭЦН</v>
          </cell>
          <cell r="I57" t="str">
            <v>бд тг</v>
          </cell>
          <cell r="K57">
            <v>28</v>
          </cell>
          <cell r="L57">
            <v>1.1000000000000001</v>
          </cell>
          <cell r="M57">
            <v>95</v>
          </cell>
          <cell r="N57">
            <v>25</v>
          </cell>
          <cell r="O57">
            <v>1</v>
          </cell>
          <cell r="P57">
            <v>95</v>
          </cell>
          <cell r="Q57">
            <v>25</v>
          </cell>
          <cell r="R57">
            <v>1</v>
          </cell>
          <cell r="S57">
            <v>95.1</v>
          </cell>
          <cell r="T57">
            <v>38776</v>
          </cell>
          <cell r="U57" t="str">
            <v>бдп</v>
          </cell>
          <cell r="W57" t="str">
            <v>См Э-30/Э-30</v>
          </cell>
          <cell r="AE57">
            <v>38773</v>
          </cell>
        </row>
        <row r="58">
          <cell r="B58">
            <v>5648</v>
          </cell>
          <cell r="C58">
            <v>125</v>
          </cell>
          <cell r="F58" t="str">
            <v>ПРС</v>
          </cell>
          <cell r="H58" t="str">
            <v>ЭЦН</v>
          </cell>
          <cell r="I58" t="str">
            <v>действ.</v>
          </cell>
          <cell r="K58">
            <v>93</v>
          </cell>
          <cell r="L58">
            <v>10.6</v>
          </cell>
          <cell r="M58">
            <v>86</v>
          </cell>
          <cell r="N58">
            <v>145</v>
          </cell>
          <cell r="O58">
            <v>16.5</v>
          </cell>
          <cell r="P58">
            <v>86</v>
          </cell>
          <cell r="Q58">
            <v>52</v>
          </cell>
          <cell r="R58">
            <v>5.9</v>
          </cell>
          <cell r="S58">
            <v>86</v>
          </cell>
          <cell r="T58">
            <v>38774</v>
          </cell>
          <cell r="U58" t="str">
            <v>опт</v>
          </cell>
          <cell r="W58" t="str">
            <v>Опт. Э-50/160</v>
          </cell>
          <cell r="AE58">
            <v>38769</v>
          </cell>
        </row>
        <row r="61">
          <cell r="B61">
            <v>5315</v>
          </cell>
          <cell r="C61">
            <v>133</v>
          </cell>
          <cell r="F61" t="str">
            <v>УПНП</v>
          </cell>
          <cell r="G61">
            <v>230</v>
          </cell>
          <cell r="H61" t="str">
            <v>ШГН</v>
          </cell>
          <cell r="I61" t="str">
            <v>бдт</v>
          </cell>
          <cell r="J61">
            <v>37464</v>
          </cell>
          <cell r="K61">
            <v>0</v>
          </cell>
          <cell r="L61">
            <v>0</v>
          </cell>
          <cell r="M61">
            <v>0</v>
          </cell>
          <cell r="N61">
            <v>12</v>
          </cell>
          <cell r="O61">
            <v>8.8000000000000007</v>
          </cell>
          <cell r="P61">
            <v>10</v>
          </cell>
          <cell r="Q61">
            <v>12</v>
          </cell>
          <cell r="R61">
            <v>8.8000000000000007</v>
          </cell>
          <cell r="S61">
            <v>9.5</v>
          </cell>
          <cell r="T61">
            <v>37589</v>
          </cell>
          <cell r="U61" t="str">
            <v>вцд</v>
          </cell>
          <cell r="W61" t="str">
            <v>ВЦ КОПС,рев.НВ-44</v>
          </cell>
          <cell r="AD61">
            <v>37569</v>
          </cell>
          <cell r="AE61">
            <v>37582</v>
          </cell>
        </row>
        <row r="62">
          <cell r="B62">
            <v>5681</v>
          </cell>
          <cell r="C62">
            <v>124</v>
          </cell>
          <cell r="F62" t="str">
            <v>УПНП</v>
          </cell>
          <cell r="G62">
            <v>265</v>
          </cell>
          <cell r="H62" t="str">
            <v>ЭЦН</v>
          </cell>
          <cell r="I62" t="str">
            <v>конс.</v>
          </cell>
          <cell r="J62">
            <v>34213</v>
          </cell>
          <cell r="K62">
            <v>0</v>
          </cell>
          <cell r="L62">
            <v>0</v>
          </cell>
          <cell r="M62">
            <v>0</v>
          </cell>
          <cell r="N62">
            <v>80</v>
          </cell>
          <cell r="O62">
            <v>16.3</v>
          </cell>
          <cell r="P62">
            <v>75</v>
          </cell>
          <cell r="Q62">
            <v>80</v>
          </cell>
          <cell r="R62">
            <v>16.3</v>
          </cell>
          <cell r="S62">
            <v>74.8</v>
          </cell>
          <cell r="T62">
            <v>37597</v>
          </cell>
          <cell r="U62" t="str">
            <v>ОВП</v>
          </cell>
          <cell r="W62" t="str">
            <v>ВЦ,ВЗ,ГИС,РИР (низ ЮК-10),ДП,ПП</v>
          </cell>
          <cell r="AD62">
            <v>37571</v>
          </cell>
          <cell r="AE62">
            <v>37590</v>
          </cell>
        </row>
        <row r="63">
          <cell r="B63">
            <v>3080</v>
          </cell>
          <cell r="C63">
            <v>51</v>
          </cell>
          <cell r="F63" t="str">
            <v>УПНП</v>
          </cell>
          <cell r="G63">
            <v>260</v>
          </cell>
          <cell r="H63" t="str">
            <v>ЭЦН</v>
          </cell>
          <cell r="I63" t="str">
            <v>конс.</v>
          </cell>
          <cell r="J63">
            <v>34304</v>
          </cell>
          <cell r="K63">
            <v>0</v>
          </cell>
          <cell r="L63">
            <v>0</v>
          </cell>
          <cell r="M63">
            <v>0</v>
          </cell>
          <cell r="N63">
            <v>80</v>
          </cell>
          <cell r="O63">
            <v>9.8000000000000007</v>
          </cell>
          <cell r="P63">
            <v>85</v>
          </cell>
          <cell r="Q63">
            <v>80</v>
          </cell>
          <cell r="R63">
            <v>9.8000000000000007</v>
          </cell>
          <cell r="S63">
            <v>84.9</v>
          </cell>
          <cell r="T63">
            <v>37601</v>
          </cell>
          <cell r="U63" t="str">
            <v>ВВ</v>
          </cell>
          <cell r="W63" t="str">
            <v>ВЦ,ДП ЮК-10</v>
          </cell>
          <cell r="AD63">
            <v>37571</v>
          </cell>
          <cell r="AE63">
            <v>37585</v>
          </cell>
        </row>
        <row r="64">
          <cell r="B64">
            <v>3326</v>
          </cell>
          <cell r="C64">
            <v>64</v>
          </cell>
          <cell r="G64">
            <v>260</v>
          </cell>
          <cell r="H64" t="str">
            <v>ЭЦН</v>
          </cell>
          <cell r="I64" t="str">
            <v>конс.</v>
          </cell>
          <cell r="K64">
            <v>0</v>
          </cell>
          <cell r="L64">
            <v>0</v>
          </cell>
          <cell r="M64">
            <v>0</v>
          </cell>
          <cell r="N64">
            <v>50</v>
          </cell>
          <cell r="O64">
            <v>6</v>
          </cell>
          <cell r="P64">
            <v>85.2</v>
          </cell>
          <cell r="Q64">
            <v>50</v>
          </cell>
          <cell r="R64">
            <v>6</v>
          </cell>
          <cell r="S64">
            <v>85.2</v>
          </cell>
          <cell r="T64">
            <v>38582</v>
          </cell>
          <cell r="U64" t="str">
            <v>бдк</v>
          </cell>
          <cell r="W64" t="str">
            <v>ВЦ, ГИС-2, ПП+ДП,сп.Э-50</v>
          </cell>
        </row>
        <row r="65">
          <cell r="B65">
            <v>3290</v>
          </cell>
          <cell r="C65">
            <v>66</v>
          </cell>
          <cell r="G65">
            <v>250</v>
          </cell>
          <cell r="H65" t="str">
            <v>ФОН</v>
          </cell>
          <cell r="I65" t="str">
            <v>конс.</v>
          </cell>
          <cell r="K65">
            <v>0</v>
          </cell>
          <cell r="L65">
            <v>0</v>
          </cell>
          <cell r="M65">
            <v>0</v>
          </cell>
          <cell r="N65">
            <v>50</v>
          </cell>
          <cell r="O65">
            <v>6</v>
          </cell>
          <cell r="P65">
            <v>85.2</v>
          </cell>
          <cell r="Q65">
            <v>50</v>
          </cell>
          <cell r="R65">
            <v>6</v>
          </cell>
          <cell r="S65">
            <v>85.2</v>
          </cell>
          <cell r="T65">
            <v>38583</v>
          </cell>
          <cell r="U65" t="str">
            <v>бдк</v>
          </cell>
          <cell r="W65" t="str">
            <v>ЛА, ПП, сп.Э-50</v>
          </cell>
        </row>
        <row r="66">
          <cell r="B66">
            <v>2934</v>
          </cell>
          <cell r="C66">
            <v>43</v>
          </cell>
          <cell r="F66" t="str">
            <v>ПРС</v>
          </cell>
          <cell r="G66">
            <v>291</v>
          </cell>
          <cell r="H66" t="str">
            <v>ШГН</v>
          </cell>
          <cell r="I66" t="str">
            <v>бд тг</v>
          </cell>
          <cell r="J66">
            <v>37323</v>
          </cell>
          <cell r="K66">
            <v>16</v>
          </cell>
          <cell r="L66">
            <v>4.5999999999999996</v>
          </cell>
          <cell r="M66">
            <v>65</v>
          </cell>
          <cell r="N66">
            <v>54</v>
          </cell>
          <cell r="O66">
            <v>15.4</v>
          </cell>
          <cell r="P66">
            <v>65</v>
          </cell>
          <cell r="Q66">
            <v>54</v>
          </cell>
          <cell r="R66">
            <v>15.4</v>
          </cell>
          <cell r="S66">
            <v>64.8</v>
          </cell>
          <cell r="T66">
            <v>38285</v>
          </cell>
          <cell r="U66" t="str">
            <v>вцд</v>
          </cell>
          <cell r="W66" t="str">
            <v>ВЦ.Опт. НВ-44/Э-50</v>
          </cell>
          <cell r="AD66">
            <v>37554</v>
          </cell>
          <cell r="AE66">
            <v>37583</v>
          </cell>
        </row>
        <row r="67">
          <cell r="B67">
            <v>5599</v>
          </cell>
          <cell r="C67">
            <v>120</v>
          </cell>
          <cell r="F67" t="str">
            <v>БлУНП</v>
          </cell>
          <cell r="G67">
            <v>270</v>
          </cell>
          <cell r="H67" t="str">
            <v>ЭЦН</v>
          </cell>
          <cell r="I67" t="str">
            <v>конс.</v>
          </cell>
          <cell r="J67">
            <v>32843</v>
          </cell>
          <cell r="K67">
            <v>0</v>
          </cell>
          <cell r="L67">
            <v>0</v>
          </cell>
          <cell r="M67">
            <v>0</v>
          </cell>
          <cell r="N67">
            <v>50</v>
          </cell>
          <cell r="O67">
            <v>22.4</v>
          </cell>
          <cell r="P67">
            <v>45</v>
          </cell>
          <cell r="Q67">
            <v>50</v>
          </cell>
          <cell r="R67">
            <v>22.4</v>
          </cell>
          <cell r="S67">
            <v>44.7</v>
          </cell>
          <cell r="T67">
            <v>38062</v>
          </cell>
          <cell r="U67" t="str">
            <v>ГРП</v>
          </cell>
          <cell r="W67" t="str">
            <v>ВЦ,ПП.ГРП ЮК-10.Сп.ЭЦН</v>
          </cell>
          <cell r="AD67">
            <v>38023</v>
          </cell>
          <cell r="AE67">
            <v>38055</v>
          </cell>
        </row>
        <row r="69">
          <cell r="B69">
            <v>2880</v>
          </cell>
          <cell r="C69">
            <v>127</v>
          </cell>
          <cell r="F69" t="str">
            <v>УПНП</v>
          </cell>
          <cell r="G69">
            <v>260</v>
          </cell>
          <cell r="H69" t="str">
            <v>ЭЦН</v>
          </cell>
          <cell r="I69" t="str">
            <v>бд тг</v>
          </cell>
          <cell r="J69">
            <v>36019</v>
          </cell>
          <cell r="K69">
            <v>0</v>
          </cell>
          <cell r="L69">
            <v>0</v>
          </cell>
          <cell r="M69">
            <v>0</v>
          </cell>
          <cell r="N69">
            <v>31</v>
          </cell>
          <cell r="O69">
            <v>2.2999999999999998</v>
          </cell>
          <cell r="P69">
            <v>91</v>
          </cell>
          <cell r="Q69">
            <v>31</v>
          </cell>
          <cell r="R69">
            <v>2.2999999999999998</v>
          </cell>
          <cell r="S69">
            <v>91</v>
          </cell>
          <cell r="T69">
            <v>38610</v>
          </cell>
          <cell r="U69" t="str">
            <v>бдп</v>
          </cell>
          <cell r="W69" t="str">
            <v>Смена Э-30</v>
          </cell>
          <cell r="AD69">
            <v>37572</v>
          </cell>
          <cell r="AE69">
            <v>37585</v>
          </cell>
        </row>
        <row r="70">
          <cell r="B70">
            <v>2863</v>
          </cell>
          <cell r="C70">
            <v>131</v>
          </cell>
          <cell r="F70" t="str">
            <v>УПНП</v>
          </cell>
          <cell r="G70">
            <v>265</v>
          </cell>
          <cell r="H70" t="str">
            <v>ЭЦН</v>
          </cell>
          <cell r="I70" t="str">
            <v>бд</v>
          </cell>
          <cell r="J70">
            <v>33635</v>
          </cell>
          <cell r="K70">
            <v>0</v>
          </cell>
          <cell r="L70">
            <v>0</v>
          </cell>
          <cell r="M70">
            <v>0</v>
          </cell>
          <cell r="N70">
            <v>50</v>
          </cell>
          <cell r="O70">
            <v>12.2</v>
          </cell>
          <cell r="P70">
            <v>70</v>
          </cell>
          <cell r="Q70">
            <v>50</v>
          </cell>
          <cell r="R70">
            <v>12.2</v>
          </cell>
          <cell r="S70">
            <v>69.900000000000006</v>
          </cell>
          <cell r="T70">
            <v>37613</v>
          </cell>
          <cell r="U70" t="str">
            <v>ЛА</v>
          </cell>
          <cell r="W70" t="str">
            <v>ЛА. ПП, ОПЗ</v>
          </cell>
          <cell r="AD70">
            <v>37586</v>
          </cell>
          <cell r="AE70">
            <v>37606</v>
          </cell>
        </row>
        <row r="71">
          <cell r="B71">
            <v>5650</v>
          </cell>
          <cell r="C71">
            <v>124</v>
          </cell>
          <cell r="F71" t="str">
            <v>УПНП</v>
          </cell>
          <cell r="G71">
            <v>260</v>
          </cell>
          <cell r="H71" t="str">
            <v>ЭЦН</v>
          </cell>
          <cell r="I71" t="str">
            <v>конс.</v>
          </cell>
          <cell r="J71">
            <v>35433</v>
          </cell>
          <cell r="K71">
            <v>0</v>
          </cell>
          <cell r="L71">
            <v>0</v>
          </cell>
          <cell r="M71">
            <v>0</v>
          </cell>
          <cell r="N71">
            <v>80</v>
          </cell>
          <cell r="O71">
            <v>6.5</v>
          </cell>
          <cell r="P71">
            <v>90</v>
          </cell>
          <cell r="Q71">
            <v>80</v>
          </cell>
          <cell r="R71">
            <v>6.5</v>
          </cell>
          <cell r="S71">
            <v>90</v>
          </cell>
          <cell r="T71">
            <v>37607</v>
          </cell>
          <cell r="U71" t="str">
            <v>ВВ</v>
          </cell>
          <cell r="W71" t="str">
            <v>ВЦ,ПП,ДП,ОПЗ,сп.Э-80</v>
          </cell>
          <cell r="AD71">
            <v>37591</v>
          </cell>
          <cell r="AE71">
            <v>37600</v>
          </cell>
        </row>
        <row r="72">
          <cell r="B72">
            <v>5596</v>
          </cell>
          <cell r="C72">
            <v>120</v>
          </cell>
          <cell r="F72" t="str">
            <v>УПНП</v>
          </cell>
          <cell r="G72">
            <v>280</v>
          </cell>
          <cell r="H72" t="str">
            <v>ЭЦН</v>
          </cell>
          <cell r="I72" t="str">
            <v>бд</v>
          </cell>
          <cell r="J72">
            <v>33583</v>
          </cell>
          <cell r="K72">
            <v>0</v>
          </cell>
          <cell r="L72">
            <v>0</v>
          </cell>
          <cell r="M72">
            <v>0</v>
          </cell>
          <cell r="N72">
            <v>50</v>
          </cell>
          <cell r="O72">
            <v>8.1999999999999993</v>
          </cell>
          <cell r="P72">
            <v>80</v>
          </cell>
          <cell r="Q72">
            <v>50</v>
          </cell>
          <cell r="R72">
            <v>8.1999999999999993</v>
          </cell>
          <cell r="S72">
            <v>79.8</v>
          </cell>
          <cell r="T72">
            <v>37611</v>
          </cell>
          <cell r="U72" t="str">
            <v>ВЦ</v>
          </cell>
          <cell r="W72" t="str">
            <v>ВЦ,ПП ЮК-10,сп Э-50</v>
          </cell>
          <cell r="AD72">
            <v>37584</v>
          </cell>
          <cell r="AE72">
            <v>37604</v>
          </cell>
        </row>
        <row r="73">
          <cell r="B73">
            <v>5848</v>
          </cell>
          <cell r="C73">
            <v>168</v>
          </cell>
          <cell r="F73" t="str">
            <v>УПНП</v>
          </cell>
          <cell r="G73">
            <v>280</v>
          </cell>
          <cell r="H73" t="str">
            <v>ЭЦН</v>
          </cell>
          <cell r="I73" t="str">
            <v>бд</v>
          </cell>
          <cell r="J73">
            <v>35733</v>
          </cell>
          <cell r="K73">
            <v>0</v>
          </cell>
          <cell r="L73">
            <v>0</v>
          </cell>
          <cell r="M73">
            <v>0</v>
          </cell>
          <cell r="N73">
            <v>24</v>
          </cell>
          <cell r="O73">
            <v>12.1</v>
          </cell>
          <cell r="P73">
            <v>38</v>
          </cell>
          <cell r="Q73">
            <v>24</v>
          </cell>
          <cell r="R73">
            <v>12.1</v>
          </cell>
          <cell r="S73">
            <v>37.799999999999997</v>
          </cell>
          <cell r="T73">
            <v>37596</v>
          </cell>
          <cell r="U73" t="str">
            <v>ВЦ</v>
          </cell>
          <cell r="W73" t="str">
            <v>ВЦ, ПП, ОПЗ сп Э-30</v>
          </cell>
          <cell r="AD73">
            <v>37570</v>
          </cell>
          <cell r="AE73">
            <v>37589</v>
          </cell>
        </row>
        <row r="74">
          <cell r="B74">
            <v>2693</v>
          </cell>
          <cell r="C74">
            <v>161</v>
          </cell>
          <cell r="F74" t="str">
            <v>УПНП</v>
          </cell>
          <cell r="G74">
            <v>250</v>
          </cell>
          <cell r="H74" t="str">
            <v>ЭЦН</v>
          </cell>
          <cell r="I74" t="str">
            <v>конс.</v>
          </cell>
          <cell r="J74">
            <v>34274</v>
          </cell>
          <cell r="K74">
            <v>0</v>
          </cell>
          <cell r="L74">
            <v>0</v>
          </cell>
          <cell r="M74">
            <v>0</v>
          </cell>
          <cell r="N74">
            <v>30</v>
          </cell>
          <cell r="O74">
            <v>12.2</v>
          </cell>
          <cell r="P74">
            <v>50</v>
          </cell>
          <cell r="Q74">
            <v>30</v>
          </cell>
          <cell r="R74">
            <v>12.2</v>
          </cell>
          <cell r="S74">
            <v>49.8</v>
          </cell>
          <cell r="T74">
            <v>37627</v>
          </cell>
          <cell r="U74" t="str">
            <v>ВВ</v>
          </cell>
          <cell r="W74" t="str">
            <v>ВЦ, ВЗ, ДП сп Э-30</v>
          </cell>
          <cell r="AD74">
            <v>37590</v>
          </cell>
          <cell r="AE74">
            <v>37620</v>
          </cell>
        </row>
        <row r="75">
          <cell r="B75">
            <v>5825</v>
          </cell>
          <cell r="C75">
            <v>142</v>
          </cell>
          <cell r="F75" t="str">
            <v>УПНП</v>
          </cell>
          <cell r="G75">
            <v>275</v>
          </cell>
          <cell r="H75" t="str">
            <v>ШГН</v>
          </cell>
          <cell r="I75" t="str">
            <v>конс.</v>
          </cell>
          <cell r="J75">
            <v>33420</v>
          </cell>
          <cell r="K75">
            <v>0</v>
          </cell>
          <cell r="L75">
            <v>0</v>
          </cell>
          <cell r="M75">
            <v>0</v>
          </cell>
          <cell r="N75">
            <v>15</v>
          </cell>
          <cell r="O75">
            <v>7.9</v>
          </cell>
          <cell r="P75">
            <v>35</v>
          </cell>
          <cell r="Q75">
            <v>15</v>
          </cell>
          <cell r="R75">
            <v>7.9</v>
          </cell>
          <cell r="S75">
            <v>35</v>
          </cell>
          <cell r="T75">
            <v>37621</v>
          </cell>
          <cell r="U75" t="str">
            <v>ВЦ</v>
          </cell>
          <cell r="W75" t="str">
            <v>ВЦ.ВЗ,ПП</v>
          </cell>
          <cell r="AD75">
            <v>37594</v>
          </cell>
          <cell r="AE75">
            <v>37614</v>
          </cell>
        </row>
        <row r="76">
          <cell r="B76">
            <v>5435</v>
          </cell>
          <cell r="C76">
            <v>106</v>
          </cell>
          <cell r="F76" t="str">
            <v>УПНП</v>
          </cell>
          <cell r="G76">
            <v>275</v>
          </cell>
          <cell r="H76" t="str">
            <v>ЭЦН</v>
          </cell>
          <cell r="I76" t="str">
            <v>бд</v>
          </cell>
          <cell r="J76">
            <v>34790</v>
          </cell>
          <cell r="K76">
            <v>0</v>
          </cell>
          <cell r="L76">
            <v>0</v>
          </cell>
          <cell r="M76">
            <v>0</v>
          </cell>
          <cell r="N76">
            <v>30</v>
          </cell>
          <cell r="O76">
            <v>12.2</v>
          </cell>
          <cell r="P76">
            <v>50</v>
          </cell>
          <cell r="Q76">
            <v>30</v>
          </cell>
          <cell r="R76">
            <v>12.2</v>
          </cell>
          <cell r="S76">
            <v>49.8</v>
          </cell>
          <cell r="T76">
            <v>37601</v>
          </cell>
          <cell r="U76" t="str">
            <v>ЛА</v>
          </cell>
          <cell r="W76" t="str">
            <v>ЛА(извл.НКТ),ВЗ,ПП,ГДИ,сп.Э-30</v>
          </cell>
          <cell r="AD76">
            <v>37574</v>
          </cell>
          <cell r="AE76">
            <v>37594</v>
          </cell>
        </row>
        <row r="77">
          <cell r="B77">
            <v>4067</v>
          </cell>
          <cell r="C77">
            <v>309</v>
          </cell>
          <cell r="F77" t="str">
            <v>УПНП</v>
          </cell>
          <cell r="G77">
            <v>240</v>
          </cell>
          <cell r="H77" t="str">
            <v>Ф/Э</v>
          </cell>
          <cell r="I77" t="str">
            <v>конс.</v>
          </cell>
          <cell r="K77">
            <v>0</v>
          </cell>
          <cell r="L77">
            <v>0</v>
          </cell>
          <cell r="M77">
            <v>0</v>
          </cell>
          <cell r="N77">
            <v>50</v>
          </cell>
          <cell r="O77">
            <v>3.6</v>
          </cell>
          <cell r="P77">
            <v>91.1</v>
          </cell>
          <cell r="Q77">
            <v>50</v>
          </cell>
          <cell r="R77">
            <v>3.6</v>
          </cell>
          <cell r="S77">
            <v>91.1</v>
          </cell>
          <cell r="T77">
            <v>38565</v>
          </cell>
          <cell r="U77" t="str">
            <v>бдп</v>
          </cell>
          <cell r="W77" t="str">
            <v>ВЦ, сп.Э-50</v>
          </cell>
        </row>
        <row r="78">
          <cell r="B78">
            <v>2899</v>
          </cell>
          <cell r="C78">
            <v>43</v>
          </cell>
          <cell r="F78" t="str">
            <v>УПНП</v>
          </cell>
          <cell r="G78">
            <v>260</v>
          </cell>
          <cell r="H78" t="str">
            <v>нагнет.</v>
          </cell>
          <cell r="I78" t="str">
            <v>конс.</v>
          </cell>
          <cell r="J78">
            <v>34547</v>
          </cell>
          <cell r="K78">
            <v>0</v>
          </cell>
          <cell r="L78">
            <v>0</v>
          </cell>
          <cell r="M78">
            <v>0</v>
          </cell>
          <cell r="N78">
            <v>200</v>
          </cell>
          <cell r="Q78">
            <v>200</v>
          </cell>
          <cell r="T78">
            <v>38441</v>
          </cell>
          <cell r="U78" t="str">
            <v>НГ</v>
          </cell>
          <cell r="W78" t="str">
            <v>ВЦ.ПП.ОПЗ.ГИС-3.Сп.пак.ППД.</v>
          </cell>
          <cell r="AD78">
            <v>38285</v>
          </cell>
          <cell r="AE78">
            <v>38340</v>
          </cell>
        </row>
        <row r="79">
          <cell r="B79">
            <v>5333</v>
          </cell>
          <cell r="C79">
            <v>139</v>
          </cell>
          <cell r="F79" t="str">
            <v>УПНП</v>
          </cell>
          <cell r="G79">
            <v>260</v>
          </cell>
          <cell r="H79" t="str">
            <v>ШГН</v>
          </cell>
          <cell r="I79" t="str">
            <v>бд</v>
          </cell>
          <cell r="J79">
            <v>37119</v>
          </cell>
          <cell r="K79">
            <v>0</v>
          </cell>
          <cell r="L79">
            <v>0</v>
          </cell>
          <cell r="M79">
            <v>0</v>
          </cell>
          <cell r="N79">
            <v>80</v>
          </cell>
          <cell r="O79">
            <v>19</v>
          </cell>
          <cell r="P79">
            <v>70.8</v>
          </cell>
          <cell r="Q79">
            <v>80</v>
          </cell>
          <cell r="R79">
            <v>19</v>
          </cell>
          <cell r="S79">
            <v>70.7</v>
          </cell>
          <cell r="T79">
            <v>38424</v>
          </cell>
          <cell r="U79" t="str">
            <v>ГРП</v>
          </cell>
          <cell r="W79" t="str">
            <v>ВЦ.ГИС-2.РИР ЗКЦ.ГРП ЮК-10.Осв.Сп.Э-80.</v>
          </cell>
          <cell r="AE79">
            <v>38417</v>
          </cell>
          <cell r="AF79">
            <v>27</v>
          </cell>
          <cell r="AG79">
            <v>-311108</v>
          </cell>
          <cell r="AH79">
            <v>-1897000</v>
          </cell>
        </row>
        <row r="80">
          <cell r="B80">
            <v>5285</v>
          </cell>
          <cell r="C80">
            <v>140</v>
          </cell>
          <cell r="F80" t="str">
            <v>УПНП</v>
          </cell>
          <cell r="G80">
            <v>250</v>
          </cell>
          <cell r="H80" t="str">
            <v>ШГН</v>
          </cell>
          <cell r="I80" t="str">
            <v>бд</v>
          </cell>
          <cell r="J80">
            <v>35715</v>
          </cell>
          <cell r="K80">
            <v>0</v>
          </cell>
          <cell r="L80">
            <v>0</v>
          </cell>
          <cell r="M80">
            <v>0</v>
          </cell>
          <cell r="N80">
            <v>80</v>
          </cell>
          <cell r="O80">
            <v>19</v>
          </cell>
          <cell r="P80">
            <v>70.8</v>
          </cell>
          <cell r="Q80">
            <v>80</v>
          </cell>
          <cell r="R80">
            <v>19</v>
          </cell>
          <cell r="S80">
            <v>70.7</v>
          </cell>
          <cell r="T80">
            <v>38446</v>
          </cell>
          <cell r="U80" t="str">
            <v>ГРП</v>
          </cell>
          <cell r="W80" t="str">
            <v>ВЦ,ВЗ.ОТСК.ПР.ГРП ЮК-10.Осв.Сп.Э-80.</v>
          </cell>
          <cell r="AD80">
            <v>38290</v>
          </cell>
          <cell r="AE80">
            <v>38429</v>
          </cell>
        </row>
        <row r="81">
          <cell r="B81">
            <v>3188</v>
          </cell>
          <cell r="C81">
            <v>70</v>
          </cell>
          <cell r="F81" t="str">
            <v>УПНП</v>
          </cell>
          <cell r="G81">
            <v>250</v>
          </cell>
          <cell r="H81" t="str">
            <v>ШГН</v>
          </cell>
          <cell r="I81" t="str">
            <v>конс.</v>
          </cell>
          <cell r="J81">
            <v>34578</v>
          </cell>
          <cell r="K81">
            <v>0</v>
          </cell>
          <cell r="L81">
            <v>0</v>
          </cell>
          <cell r="M81">
            <v>0</v>
          </cell>
          <cell r="N81">
            <v>25</v>
          </cell>
          <cell r="O81">
            <v>8.1999999999999993</v>
          </cell>
          <cell r="P81">
            <v>60</v>
          </cell>
          <cell r="Q81">
            <v>25</v>
          </cell>
          <cell r="R81">
            <v>8.1999999999999993</v>
          </cell>
          <cell r="S81">
            <v>59.5</v>
          </cell>
          <cell r="T81">
            <v>38399</v>
          </cell>
          <cell r="U81" t="str">
            <v>бдк</v>
          </cell>
          <cell r="W81" t="str">
            <v>ВЦ.ПП ЮК-10.МШУ.Сп.Э-25.</v>
          </cell>
          <cell r="AE81">
            <v>38394</v>
          </cell>
        </row>
        <row r="82">
          <cell r="B82">
            <v>2669</v>
          </cell>
          <cell r="C82">
            <v>160</v>
          </cell>
          <cell r="F82" t="str">
            <v>УПНП</v>
          </cell>
          <cell r="G82">
            <v>250</v>
          </cell>
          <cell r="H82" t="str">
            <v>ШГН</v>
          </cell>
          <cell r="I82" t="str">
            <v>бд</v>
          </cell>
          <cell r="J82">
            <v>33020</v>
          </cell>
          <cell r="K82">
            <v>0</v>
          </cell>
          <cell r="L82">
            <v>0</v>
          </cell>
          <cell r="M82">
            <v>0</v>
          </cell>
          <cell r="N82">
            <v>80</v>
          </cell>
          <cell r="O82">
            <v>19</v>
          </cell>
          <cell r="P82">
            <v>70.8</v>
          </cell>
          <cell r="Q82">
            <v>80</v>
          </cell>
          <cell r="R82">
            <v>19</v>
          </cell>
          <cell r="S82">
            <v>70.7</v>
          </cell>
          <cell r="T82">
            <v>38395</v>
          </cell>
          <cell r="U82" t="str">
            <v>ГРП</v>
          </cell>
          <cell r="W82" t="str">
            <v>ДП ЮК-10.ПР.ГРП ЮК-10.Осв.Сп.Э-80.</v>
          </cell>
          <cell r="Y82" t="str">
            <v>Высокая обводненность</v>
          </cell>
          <cell r="AE82">
            <v>38388</v>
          </cell>
        </row>
        <row r="83">
          <cell r="B83">
            <v>5300</v>
          </cell>
          <cell r="C83">
            <v>137</v>
          </cell>
          <cell r="F83" t="str">
            <v>УПНПиКРС</v>
          </cell>
          <cell r="G83">
            <v>260</v>
          </cell>
          <cell r="H83" t="str">
            <v>Ф/Э</v>
          </cell>
          <cell r="I83" t="str">
            <v>бд</v>
          </cell>
          <cell r="J83">
            <v>30884</v>
          </cell>
          <cell r="K83">
            <v>0</v>
          </cell>
          <cell r="L83">
            <v>0</v>
          </cell>
          <cell r="M83">
            <v>0</v>
          </cell>
          <cell r="N83">
            <v>50</v>
          </cell>
          <cell r="O83">
            <v>7.3</v>
          </cell>
          <cell r="P83">
            <v>82</v>
          </cell>
          <cell r="Q83">
            <v>50</v>
          </cell>
          <cell r="R83">
            <v>7.3</v>
          </cell>
          <cell r="S83">
            <v>82</v>
          </cell>
          <cell r="T83">
            <v>38388</v>
          </cell>
          <cell r="U83" t="str">
            <v>бдк</v>
          </cell>
          <cell r="W83" t="str">
            <v>ВЦ.ВЗ.ПП ЮК-10.Сп.Э-50.</v>
          </cell>
          <cell r="AD83">
            <v>38346</v>
          </cell>
          <cell r="AE83">
            <v>38382</v>
          </cell>
        </row>
        <row r="84">
          <cell r="B84">
            <v>2936</v>
          </cell>
          <cell r="C84">
            <v>43</v>
          </cell>
          <cell r="F84" t="str">
            <v>УПНП</v>
          </cell>
          <cell r="G84">
            <v>270</v>
          </cell>
          <cell r="H84" t="str">
            <v>ШГН</v>
          </cell>
          <cell r="I84" t="str">
            <v>бд</v>
          </cell>
          <cell r="J84">
            <v>37287</v>
          </cell>
          <cell r="K84">
            <v>0</v>
          </cell>
          <cell r="L84">
            <v>0</v>
          </cell>
          <cell r="M84">
            <v>0</v>
          </cell>
          <cell r="N84">
            <v>80</v>
          </cell>
          <cell r="O84">
            <v>19</v>
          </cell>
          <cell r="P84">
            <v>70.8</v>
          </cell>
          <cell r="Q84">
            <v>80</v>
          </cell>
          <cell r="R84">
            <v>19</v>
          </cell>
          <cell r="S84">
            <v>70.7</v>
          </cell>
          <cell r="T84">
            <v>38389</v>
          </cell>
          <cell r="U84" t="str">
            <v>ГРП</v>
          </cell>
          <cell r="W84" t="str">
            <v>ЛА.ПП.ГРП ЮК-10.Сп. ЭЦН-80</v>
          </cell>
          <cell r="AD84">
            <v>38320</v>
          </cell>
          <cell r="AE84">
            <v>38383</v>
          </cell>
        </row>
        <row r="85">
          <cell r="B85">
            <v>2682</v>
          </cell>
          <cell r="C85" t="str">
            <v>145б</v>
          </cell>
          <cell r="F85" t="str">
            <v>УПНПиКРС</v>
          </cell>
          <cell r="G85">
            <v>240</v>
          </cell>
          <cell r="H85" t="str">
            <v>ЭЦН</v>
          </cell>
          <cell r="I85" t="str">
            <v>бд тг</v>
          </cell>
          <cell r="J85">
            <v>37424</v>
          </cell>
          <cell r="K85">
            <v>0</v>
          </cell>
          <cell r="L85">
            <v>0</v>
          </cell>
          <cell r="M85">
            <v>0</v>
          </cell>
          <cell r="N85">
            <v>80</v>
          </cell>
          <cell r="O85">
            <v>19</v>
          </cell>
          <cell r="P85">
            <v>70.8</v>
          </cell>
          <cell r="Q85">
            <v>80</v>
          </cell>
          <cell r="R85">
            <v>19</v>
          </cell>
          <cell r="S85">
            <v>70.7</v>
          </cell>
          <cell r="T85">
            <v>38395</v>
          </cell>
          <cell r="U85" t="str">
            <v>ГРП</v>
          </cell>
          <cell r="W85" t="str">
            <v>Разбур.цем.м.РИР.ГРП ЮК-10.Осв.Сп.Э-80.</v>
          </cell>
          <cell r="AD85">
            <v>38343</v>
          </cell>
          <cell r="AE85">
            <v>38388</v>
          </cell>
        </row>
        <row r="86">
          <cell r="B86" t="str">
            <v>5411б</v>
          </cell>
          <cell r="C86">
            <v>107</v>
          </cell>
          <cell r="F86" t="str">
            <v>УПНПиКРС</v>
          </cell>
          <cell r="H86" t="str">
            <v>ШГН</v>
          </cell>
          <cell r="I86" t="str">
            <v>бд</v>
          </cell>
          <cell r="J86">
            <v>35992</v>
          </cell>
          <cell r="K86">
            <v>0</v>
          </cell>
          <cell r="L86">
            <v>0</v>
          </cell>
          <cell r="M86">
            <v>0</v>
          </cell>
          <cell r="N86">
            <v>80</v>
          </cell>
          <cell r="O86">
            <v>19</v>
          </cell>
          <cell r="P86">
            <v>70.8</v>
          </cell>
          <cell r="Q86">
            <v>80</v>
          </cell>
          <cell r="R86">
            <v>19</v>
          </cell>
          <cell r="S86">
            <v>70.7</v>
          </cell>
          <cell r="T86">
            <v>38453</v>
          </cell>
          <cell r="U86" t="str">
            <v>ГРП</v>
          </cell>
          <cell r="W86" t="str">
            <v>ВЦ.,ГРП ЮК-10,с-п ЭЦН-80</v>
          </cell>
          <cell r="Y86" t="str">
            <v>комплект(нет центра)</v>
          </cell>
          <cell r="Z86" t="str">
            <v>26</v>
          </cell>
          <cell r="AE86">
            <v>38433</v>
          </cell>
        </row>
        <row r="87">
          <cell r="B87">
            <v>2871</v>
          </cell>
          <cell r="C87">
            <v>158</v>
          </cell>
          <cell r="F87" t="str">
            <v>УПНПиКРС</v>
          </cell>
          <cell r="G87">
            <v>260</v>
          </cell>
          <cell r="H87" t="str">
            <v>ШГН</v>
          </cell>
          <cell r="I87" t="str">
            <v>конс.</v>
          </cell>
          <cell r="J87">
            <v>34243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19</v>
          </cell>
          <cell r="P87">
            <v>53.4</v>
          </cell>
          <cell r="Q87">
            <v>50</v>
          </cell>
          <cell r="R87">
            <v>19</v>
          </cell>
          <cell r="S87">
            <v>53.1</v>
          </cell>
          <cell r="T87">
            <v>38432</v>
          </cell>
          <cell r="U87" t="str">
            <v>ГРП</v>
          </cell>
          <cell r="W87" t="str">
            <v>ВЦ.ИР ЮК-10.ДП.ГРП ЮК-8.Сп.Э-50.</v>
          </cell>
          <cell r="AD87">
            <v>37860</v>
          </cell>
          <cell r="AE87">
            <v>38425</v>
          </cell>
        </row>
        <row r="88">
          <cell r="B88">
            <v>3365</v>
          </cell>
          <cell r="C88">
            <v>68</v>
          </cell>
          <cell r="F88" t="str">
            <v>УПНПиКРС</v>
          </cell>
          <cell r="G88">
            <v>240</v>
          </cell>
          <cell r="H88" t="str">
            <v>Ф/Э</v>
          </cell>
          <cell r="I88" t="str">
            <v>бд</v>
          </cell>
          <cell r="J88">
            <v>34029</v>
          </cell>
          <cell r="K88">
            <v>0</v>
          </cell>
          <cell r="L88">
            <v>0</v>
          </cell>
          <cell r="M88">
            <v>0</v>
          </cell>
          <cell r="N88">
            <v>80</v>
          </cell>
          <cell r="O88">
            <v>6</v>
          </cell>
          <cell r="P88">
            <v>90.8</v>
          </cell>
          <cell r="Q88">
            <v>80</v>
          </cell>
          <cell r="R88">
            <v>6</v>
          </cell>
          <cell r="S88">
            <v>90.7</v>
          </cell>
          <cell r="T88">
            <v>38479</v>
          </cell>
          <cell r="U88" t="str">
            <v>бдк</v>
          </cell>
          <cell r="W88" t="str">
            <v>ЛА(прихв.ЭЦН).ПП ЮК-10.Сп.Э-80.</v>
          </cell>
          <cell r="AD88">
            <v>38469</v>
          </cell>
          <cell r="AE88">
            <v>38472</v>
          </cell>
        </row>
        <row r="89">
          <cell r="B89">
            <v>3364</v>
          </cell>
          <cell r="C89">
            <v>68</v>
          </cell>
          <cell r="F89" t="str">
            <v>УПНПиКРС</v>
          </cell>
          <cell r="G89">
            <v>240</v>
          </cell>
          <cell r="H89" t="str">
            <v>Ф/Э</v>
          </cell>
          <cell r="I89" t="str">
            <v>бд тг</v>
          </cell>
          <cell r="K89">
            <v>0</v>
          </cell>
          <cell r="L89">
            <v>0</v>
          </cell>
          <cell r="M89">
            <v>0</v>
          </cell>
          <cell r="N89">
            <v>50</v>
          </cell>
          <cell r="O89">
            <v>16</v>
          </cell>
          <cell r="P89">
            <v>60.5</v>
          </cell>
          <cell r="Q89">
            <v>50</v>
          </cell>
          <cell r="R89">
            <v>16</v>
          </cell>
          <cell r="S89">
            <v>60.5</v>
          </cell>
          <cell r="T89" t="str">
            <v>7 июн</v>
          </cell>
          <cell r="U89" t="str">
            <v>ГРП</v>
          </cell>
          <cell r="W89" t="str">
            <v>ПР.ГРП ЮК10.Сп.ЭЦН-80</v>
          </cell>
          <cell r="AE89">
            <v>38495</v>
          </cell>
        </row>
        <row r="90">
          <cell r="B90">
            <v>5336</v>
          </cell>
          <cell r="C90">
            <v>140</v>
          </cell>
          <cell r="F90" t="str">
            <v>УПНПиКРС</v>
          </cell>
          <cell r="G90">
            <v>260</v>
          </cell>
          <cell r="H90" t="str">
            <v>ШГН</v>
          </cell>
          <cell r="I90" t="str">
            <v>бд</v>
          </cell>
          <cell r="J90">
            <v>37547</v>
          </cell>
          <cell r="K90">
            <v>0</v>
          </cell>
          <cell r="L90">
            <v>0</v>
          </cell>
          <cell r="M90">
            <v>0</v>
          </cell>
          <cell r="N90">
            <v>80</v>
          </cell>
          <cell r="O90">
            <v>19</v>
          </cell>
          <cell r="P90">
            <v>70.7</v>
          </cell>
          <cell r="Q90">
            <v>80</v>
          </cell>
          <cell r="R90">
            <v>19</v>
          </cell>
          <cell r="S90">
            <v>70.7</v>
          </cell>
          <cell r="T90">
            <v>38493</v>
          </cell>
          <cell r="U90" t="str">
            <v>ГРП</v>
          </cell>
          <cell r="W90" t="str">
            <v>ВЦ.ГИС.ВЗ.ПР.ГРП ЮК-10.Осв.Сп.Э-80.</v>
          </cell>
          <cell r="X90" t="str">
            <v>СК есть</v>
          </cell>
          <cell r="AE90">
            <v>38487</v>
          </cell>
        </row>
        <row r="91">
          <cell r="B91">
            <v>3101</v>
          </cell>
          <cell r="C91">
            <v>55</v>
          </cell>
          <cell r="F91" t="str">
            <v>УПНПиКРС</v>
          </cell>
          <cell r="G91">
            <v>260</v>
          </cell>
          <cell r="H91" t="str">
            <v>Ф/Э</v>
          </cell>
          <cell r="I91" t="str">
            <v>конс.</v>
          </cell>
          <cell r="J91">
            <v>34394</v>
          </cell>
          <cell r="K91">
            <v>0</v>
          </cell>
          <cell r="L91">
            <v>0</v>
          </cell>
          <cell r="M91">
            <v>0</v>
          </cell>
          <cell r="N91">
            <v>80</v>
          </cell>
          <cell r="O91">
            <v>17</v>
          </cell>
          <cell r="P91">
            <v>74</v>
          </cell>
          <cell r="Q91">
            <v>80</v>
          </cell>
          <cell r="R91">
            <v>17</v>
          </cell>
          <cell r="S91">
            <v>73.8</v>
          </cell>
          <cell r="T91">
            <v>38483</v>
          </cell>
          <cell r="U91" t="str">
            <v>ГРП</v>
          </cell>
          <cell r="W91" t="str">
            <v>ВЦ.ВЗ.ПР.ГРП ЮК-10.Осв.Сп.Э-80.</v>
          </cell>
          <cell r="AE91">
            <v>38474</v>
          </cell>
        </row>
        <row r="92">
          <cell r="B92">
            <v>3293</v>
          </cell>
          <cell r="C92">
            <v>66</v>
          </cell>
          <cell r="F92" t="str">
            <v>УПНПиКРС</v>
          </cell>
          <cell r="G92">
            <v>260</v>
          </cell>
          <cell r="H92" t="str">
            <v>фон.</v>
          </cell>
          <cell r="I92" t="str">
            <v>конс.</v>
          </cell>
          <cell r="J92">
            <v>33848</v>
          </cell>
          <cell r="K92">
            <v>0</v>
          </cell>
          <cell r="L92">
            <v>0</v>
          </cell>
          <cell r="M92">
            <v>0</v>
          </cell>
          <cell r="N92">
            <v>80</v>
          </cell>
          <cell r="O92">
            <v>16</v>
          </cell>
          <cell r="P92">
            <v>75.400000000000006</v>
          </cell>
          <cell r="Q92">
            <v>80</v>
          </cell>
          <cell r="R92">
            <v>16</v>
          </cell>
          <cell r="S92">
            <v>75.3</v>
          </cell>
          <cell r="T92">
            <v>38492</v>
          </cell>
          <cell r="U92" t="str">
            <v>ГРП</v>
          </cell>
          <cell r="W92" t="str">
            <v>ВЦ.ПП.ГРП ЮК-10.Сп.Э-80</v>
          </cell>
          <cell r="AE92">
            <v>38486</v>
          </cell>
        </row>
        <row r="93">
          <cell r="B93">
            <v>5671</v>
          </cell>
          <cell r="C93">
            <v>126</v>
          </cell>
          <cell r="F93" t="str">
            <v>УПНПиКРС</v>
          </cell>
          <cell r="G93">
            <v>240</v>
          </cell>
          <cell r="H93" t="str">
            <v>ШГН</v>
          </cell>
          <cell r="I93" t="str">
            <v>конс.</v>
          </cell>
          <cell r="J93">
            <v>35648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19</v>
          </cell>
          <cell r="P93">
            <v>53.1</v>
          </cell>
          <cell r="Q93">
            <v>40</v>
          </cell>
          <cell r="R93">
            <v>22</v>
          </cell>
          <cell r="S93">
            <v>32.1</v>
          </cell>
          <cell r="T93">
            <v>38533</v>
          </cell>
          <cell r="U93" t="str">
            <v>ГРП</v>
          </cell>
          <cell r="W93" t="str">
            <v>ВЦ.ПР.ГРП ЮК-10.Осв.Сп.Э-80.</v>
          </cell>
          <cell r="AE93">
            <v>38482</v>
          </cell>
        </row>
        <row r="94">
          <cell r="B94">
            <v>2849</v>
          </cell>
          <cell r="C94">
            <v>129</v>
          </cell>
          <cell r="F94" t="str">
            <v>УПНПиКРС</v>
          </cell>
          <cell r="G94">
            <v>255</v>
          </cell>
          <cell r="H94" t="str">
            <v>ШГН</v>
          </cell>
          <cell r="I94" t="str">
            <v>конс.</v>
          </cell>
          <cell r="J94">
            <v>35705</v>
          </cell>
          <cell r="K94">
            <v>0</v>
          </cell>
          <cell r="L94">
            <v>0</v>
          </cell>
          <cell r="M94">
            <v>0</v>
          </cell>
          <cell r="N94">
            <v>80</v>
          </cell>
          <cell r="O94">
            <v>19</v>
          </cell>
          <cell r="P94">
            <v>70.8</v>
          </cell>
          <cell r="Q94">
            <v>80</v>
          </cell>
          <cell r="R94">
            <v>19</v>
          </cell>
          <cell r="S94">
            <v>70.7</v>
          </cell>
          <cell r="T94">
            <v>38502</v>
          </cell>
          <cell r="U94" t="str">
            <v>ГРП</v>
          </cell>
          <cell r="W94" t="str">
            <v>ВЦ.ПР.ГРП ЮК-10.Осв.Сп.Э-80.</v>
          </cell>
          <cell r="AE94">
            <v>38494</v>
          </cell>
          <cell r="AF94">
            <v>13</v>
          </cell>
          <cell r="AG94">
            <v>-81</v>
          </cell>
          <cell r="AH94">
            <v>-259</v>
          </cell>
        </row>
        <row r="95">
          <cell r="B95">
            <v>5562</v>
          </cell>
          <cell r="C95">
            <v>119</v>
          </cell>
          <cell r="F95" t="str">
            <v>УПНПиКРС</v>
          </cell>
          <cell r="G95">
            <v>268</v>
          </cell>
          <cell r="H95" t="str">
            <v>ЭЦН</v>
          </cell>
          <cell r="I95" t="str">
            <v>действ.</v>
          </cell>
          <cell r="K95">
            <v>126</v>
          </cell>
          <cell r="L95">
            <v>17.5</v>
          </cell>
          <cell r="M95">
            <v>83</v>
          </cell>
          <cell r="N95">
            <v>180</v>
          </cell>
          <cell r="O95">
            <v>24.9</v>
          </cell>
          <cell r="P95">
            <v>83</v>
          </cell>
          <cell r="Q95">
            <v>54</v>
          </cell>
          <cell r="R95">
            <v>7.3999999999999986</v>
          </cell>
          <cell r="S95">
            <v>83.1</v>
          </cell>
          <cell r="T95">
            <v>38547</v>
          </cell>
          <cell r="U95" t="str">
            <v>опт</v>
          </cell>
          <cell r="W95" t="str">
            <v>См.Э-125/Э-200</v>
          </cell>
          <cell r="AE95">
            <v>38469</v>
          </cell>
        </row>
        <row r="96">
          <cell r="B96">
            <v>5657</v>
          </cell>
          <cell r="C96" t="str">
            <v>122б</v>
          </cell>
          <cell r="F96" t="str">
            <v>УПНПиКРС</v>
          </cell>
          <cell r="G96">
            <v>240</v>
          </cell>
          <cell r="H96" t="str">
            <v>ЭЦН</v>
          </cell>
          <cell r="I96" t="str">
            <v>действ.</v>
          </cell>
          <cell r="J96">
            <v>37456</v>
          </cell>
          <cell r="K96">
            <v>115</v>
          </cell>
          <cell r="L96">
            <v>9.4</v>
          </cell>
          <cell r="M96">
            <v>90</v>
          </cell>
          <cell r="N96">
            <v>200</v>
          </cell>
          <cell r="O96">
            <v>16</v>
          </cell>
          <cell r="P96">
            <v>90</v>
          </cell>
          <cell r="Q96">
            <v>85</v>
          </cell>
          <cell r="R96">
            <v>6.6</v>
          </cell>
          <cell r="S96">
            <v>90.4</v>
          </cell>
          <cell r="T96">
            <v>38661</v>
          </cell>
          <cell r="U96" t="str">
            <v>ла</v>
          </cell>
          <cell r="W96" t="str">
            <v>ЛА,сп.Э-200</v>
          </cell>
          <cell r="AE96">
            <v>38497</v>
          </cell>
        </row>
        <row r="97">
          <cell r="B97">
            <v>5414</v>
          </cell>
          <cell r="C97">
            <v>107</v>
          </cell>
          <cell r="F97" t="str">
            <v>УПНПиКРС</v>
          </cell>
          <cell r="G97">
            <v>240</v>
          </cell>
          <cell r="H97" t="str">
            <v>ШГН</v>
          </cell>
          <cell r="I97" t="str">
            <v>бд</v>
          </cell>
          <cell r="J97">
            <v>38303</v>
          </cell>
          <cell r="K97">
            <v>0</v>
          </cell>
          <cell r="L97">
            <v>0</v>
          </cell>
          <cell r="M97">
            <v>0</v>
          </cell>
          <cell r="N97">
            <v>50</v>
          </cell>
          <cell r="O97">
            <v>19</v>
          </cell>
          <cell r="P97">
            <v>53.3</v>
          </cell>
          <cell r="Q97">
            <v>50</v>
          </cell>
          <cell r="R97">
            <v>19</v>
          </cell>
          <cell r="S97">
            <v>53.1</v>
          </cell>
          <cell r="T97">
            <v>38490</v>
          </cell>
          <cell r="U97" t="str">
            <v>ГРП</v>
          </cell>
          <cell r="W97" t="str">
            <v>ВЦ.ВЗ.ГРП ЮК-10.Сп.Э-50.</v>
          </cell>
          <cell r="AE97">
            <v>38484</v>
          </cell>
        </row>
        <row r="98">
          <cell r="B98">
            <v>2881</v>
          </cell>
          <cell r="C98">
            <v>127</v>
          </cell>
          <cell r="F98" t="str">
            <v>УПНПиКРС</v>
          </cell>
          <cell r="G98">
            <v>265</v>
          </cell>
          <cell r="H98" t="str">
            <v>ЭЦН</v>
          </cell>
          <cell r="I98" t="str">
            <v>действ.</v>
          </cell>
          <cell r="K98">
            <v>13</v>
          </cell>
          <cell r="L98">
            <v>5</v>
          </cell>
          <cell r="M98">
            <v>53</v>
          </cell>
          <cell r="N98">
            <v>30</v>
          </cell>
          <cell r="O98">
            <v>11</v>
          </cell>
          <cell r="P98">
            <v>54.7</v>
          </cell>
          <cell r="Q98">
            <v>17</v>
          </cell>
          <cell r="R98">
            <v>6</v>
          </cell>
          <cell r="S98">
            <v>56.4</v>
          </cell>
          <cell r="T98">
            <v>38518</v>
          </cell>
          <cell r="U98" t="str">
            <v>опз</v>
          </cell>
          <cell r="W98" t="str">
            <v>Интесификация притока СНВ-32.</v>
          </cell>
          <cell r="AE98">
            <v>38494</v>
          </cell>
        </row>
        <row r="99">
          <cell r="B99">
            <v>4316</v>
          </cell>
          <cell r="C99">
            <v>200</v>
          </cell>
          <cell r="F99" t="str">
            <v>УПНПиКРС</v>
          </cell>
          <cell r="H99" t="str">
            <v>ЭЦН</v>
          </cell>
          <cell r="I99" t="str">
            <v>действ.</v>
          </cell>
          <cell r="K99">
            <v>140</v>
          </cell>
          <cell r="L99">
            <v>11.4</v>
          </cell>
          <cell r="M99">
            <v>90</v>
          </cell>
          <cell r="N99">
            <v>370</v>
          </cell>
          <cell r="O99">
            <v>30.2</v>
          </cell>
          <cell r="P99">
            <v>90</v>
          </cell>
          <cell r="Q99">
            <v>230</v>
          </cell>
          <cell r="R99">
            <v>18.7</v>
          </cell>
          <cell r="S99">
            <v>90</v>
          </cell>
          <cell r="T99">
            <v>38638</v>
          </cell>
          <cell r="U99" t="str">
            <v>ла</v>
          </cell>
          <cell r="W99" t="str">
            <v>ЛА(ЭЦН+подв. НКТ+КРБП). Спуск Э-200</v>
          </cell>
          <cell r="AE99">
            <v>38633</v>
          </cell>
        </row>
        <row r="100">
          <cell r="B100">
            <v>5547</v>
          </cell>
          <cell r="C100">
            <v>115</v>
          </cell>
          <cell r="F100" t="str">
            <v>УПНПиКРС</v>
          </cell>
          <cell r="H100" t="str">
            <v>ЭЦН</v>
          </cell>
          <cell r="I100" t="str">
            <v>действ.</v>
          </cell>
          <cell r="K100">
            <v>67</v>
          </cell>
          <cell r="L100">
            <v>2.7</v>
          </cell>
          <cell r="M100">
            <v>95</v>
          </cell>
          <cell r="N100">
            <v>400</v>
          </cell>
          <cell r="O100">
            <v>16.3</v>
          </cell>
          <cell r="P100">
            <v>95</v>
          </cell>
          <cell r="Q100">
            <v>333</v>
          </cell>
          <cell r="R100">
            <v>13.600000000000001</v>
          </cell>
          <cell r="S100">
            <v>95</v>
          </cell>
          <cell r="T100">
            <v>38497</v>
          </cell>
          <cell r="U100" t="str">
            <v>опт</v>
          </cell>
          <cell r="W100" t="str">
            <v>Оптимизация Э-80/400</v>
          </cell>
          <cell r="AE100">
            <v>38487</v>
          </cell>
        </row>
        <row r="101">
          <cell r="B101">
            <v>11030</v>
          </cell>
          <cell r="C101" t="str">
            <v>96б</v>
          </cell>
          <cell r="F101" t="str">
            <v>УПНПиКРС</v>
          </cell>
          <cell r="H101" t="str">
            <v>ЭЦН</v>
          </cell>
          <cell r="I101" t="str">
            <v>действ.</v>
          </cell>
          <cell r="K101">
            <v>152</v>
          </cell>
          <cell r="L101">
            <v>9.9</v>
          </cell>
          <cell r="M101">
            <v>92</v>
          </cell>
          <cell r="N101">
            <v>354</v>
          </cell>
          <cell r="O101">
            <v>23.1</v>
          </cell>
          <cell r="P101">
            <v>92</v>
          </cell>
          <cell r="Q101">
            <v>202</v>
          </cell>
          <cell r="R101">
            <v>13.200000000000001</v>
          </cell>
          <cell r="S101">
            <v>91.9</v>
          </cell>
          <cell r="T101">
            <v>38513</v>
          </cell>
          <cell r="U101" t="str">
            <v>опт</v>
          </cell>
          <cell r="W101" t="str">
            <v>Оптимизация Э-160/400</v>
          </cell>
          <cell r="AE101">
            <v>38492</v>
          </cell>
        </row>
        <row r="102">
          <cell r="B102">
            <v>3534</v>
          </cell>
          <cell r="C102" t="str">
            <v>98б</v>
          </cell>
          <cell r="F102" t="str">
            <v>УПНПиКРС</v>
          </cell>
          <cell r="H102" t="str">
            <v>ЭЦН</v>
          </cell>
          <cell r="I102" t="str">
            <v>конс.</v>
          </cell>
          <cell r="J102">
            <v>34943</v>
          </cell>
          <cell r="K102">
            <v>0</v>
          </cell>
          <cell r="L102">
            <v>0</v>
          </cell>
          <cell r="M102">
            <v>0</v>
          </cell>
          <cell r="N102">
            <v>50</v>
          </cell>
          <cell r="O102">
            <v>4.0999999999999996</v>
          </cell>
          <cell r="P102">
            <v>90</v>
          </cell>
          <cell r="Q102">
            <v>50</v>
          </cell>
          <cell r="R102">
            <v>4.0999999999999996</v>
          </cell>
          <cell r="S102">
            <v>89.9</v>
          </cell>
          <cell r="T102">
            <v>38489</v>
          </cell>
          <cell r="U102" t="str">
            <v>бдп</v>
          </cell>
          <cell r="W102" t="str">
            <v>ВЦ,спуск Э-50</v>
          </cell>
          <cell r="AE102">
            <v>38482</v>
          </cell>
        </row>
        <row r="103">
          <cell r="B103">
            <v>3522</v>
          </cell>
          <cell r="C103">
            <v>92</v>
          </cell>
          <cell r="F103" t="str">
            <v>УПНПиКРС</v>
          </cell>
          <cell r="G103">
            <v>240</v>
          </cell>
          <cell r="H103" t="str">
            <v>ЭЦН</v>
          </cell>
          <cell r="I103" t="str">
            <v>бд</v>
          </cell>
          <cell r="J103">
            <v>35534</v>
          </cell>
          <cell r="K103">
            <v>0</v>
          </cell>
          <cell r="L103">
            <v>0</v>
          </cell>
          <cell r="M103">
            <v>0</v>
          </cell>
          <cell r="N103">
            <v>80</v>
          </cell>
          <cell r="O103">
            <v>9.1</v>
          </cell>
          <cell r="P103">
            <v>86</v>
          </cell>
          <cell r="Q103">
            <v>80</v>
          </cell>
          <cell r="R103">
            <v>9.1</v>
          </cell>
          <cell r="S103">
            <v>86</v>
          </cell>
          <cell r="T103">
            <v>38544</v>
          </cell>
          <cell r="U103" t="str">
            <v>бдк</v>
          </cell>
          <cell r="W103" t="str">
            <v>ЛА(изв.ЭЦН).ПП ЮК-10.Сп.Э-80.</v>
          </cell>
          <cell r="AE103">
            <v>38540</v>
          </cell>
        </row>
        <row r="104">
          <cell r="B104">
            <v>5497</v>
          </cell>
          <cell r="C104">
            <v>108</v>
          </cell>
          <cell r="F104" t="str">
            <v>УПНПиКРС</v>
          </cell>
          <cell r="G104">
            <v>260</v>
          </cell>
          <cell r="H104" t="str">
            <v>ЭЦН</v>
          </cell>
          <cell r="I104" t="str">
            <v>бд</v>
          </cell>
          <cell r="J104">
            <v>31175</v>
          </cell>
          <cell r="K104">
            <v>0</v>
          </cell>
          <cell r="L104">
            <v>0</v>
          </cell>
          <cell r="M104">
            <v>0</v>
          </cell>
          <cell r="N104">
            <v>50</v>
          </cell>
          <cell r="O104">
            <v>6</v>
          </cell>
          <cell r="P104">
            <v>85.2</v>
          </cell>
          <cell r="Q104">
            <v>50</v>
          </cell>
          <cell r="R104">
            <v>6</v>
          </cell>
          <cell r="S104">
            <v>85.2</v>
          </cell>
          <cell r="T104">
            <v>38554</v>
          </cell>
          <cell r="U104" t="str">
            <v>бдк</v>
          </cell>
          <cell r="W104" t="str">
            <v>ВЦ.ВЗ.ОТСК.ПП ЮК-10.Сп.Э-50.</v>
          </cell>
          <cell r="AE104">
            <v>38550</v>
          </cell>
        </row>
        <row r="105">
          <cell r="B105">
            <v>2869</v>
          </cell>
          <cell r="C105">
            <v>129</v>
          </cell>
          <cell r="F105" t="str">
            <v>УПНПиКРС</v>
          </cell>
          <cell r="G105">
            <v>255</v>
          </cell>
          <cell r="H105" t="str">
            <v>ЭЦН</v>
          </cell>
          <cell r="I105" t="str">
            <v>бд</v>
          </cell>
          <cell r="J105">
            <v>34912</v>
          </cell>
          <cell r="K105">
            <v>0</v>
          </cell>
          <cell r="L105">
            <v>0</v>
          </cell>
          <cell r="M105">
            <v>0</v>
          </cell>
          <cell r="N105">
            <v>50</v>
          </cell>
          <cell r="O105">
            <v>24</v>
          </cell>
          <cell r="P105">
            <v>41</v>
          </cell>
          <cell r="Q105">
            <v>50</v>
          </cell>
          <cell r="R105">
            <v>24</v>
          </cell>
          <cell r="S105">
            <v>40.700000000000003</v>
          </cell>
          <cell r="T105">
            <v>38549</v>
          </cell>
          <cell r="U105" t="str">
            <v>ГРП</v>
          </cell>
          <cell r="W105" t="str">
            <v>ВЦ.Изв.ЭЦН.ИР ЮК-11.ГРП ЮК-10.Сп.Э-80.</v>
          </cell>
          <cell r="AE105">
            <v>38543</v>
          </cell>
          <cell r="AF105">
            <v>25</v>
          </cell>
        </row>
        <row r="106">
          <cell r="B106" t="str">
            <v>2868б</v>
          </cell>
          <cell r="C106">
            <v>129</v>
          </cell>
          <cell r="F106" t="str">
            <v>УПНПиКРС</v>
          </cell>
          <cell r="G106">
            <v>255</v>
          </cell>
          <cell r="H106" t="str">
            <v>ШГН</v>
          </cell>
          <cell r="I106" t="str">
            <v>бд</v>
          </cell>
          <cell r="J106">
            <v>38313</v>
          </cell>
          <cell r="K106">
            <v>0</v>
          </cell>
          <cell r="L106">
            <v>0</v>
          </cell>
          <cell r="M106">
            <v>0</v>
          </cell>
          <cell r="N106">
            <v>80</v>
          </cell>
          <cell r="O106">
            <v>21</v>
          </cell>
          <cell r="P106">
            <v>67.8</v>
          </cell>
          <cell r="Q106">
            <v>80</v>
          </cell>
          <cell r="R106">
            <v>21</v>
          </cell>
          <cell r="S106">
            <v>67.599999999999994</v>
          </cell>
          <cell r="T106">
            <v>37993</v>
          </cell>
          <cell r="U106" t="str">
            <v>ГРП</v>
          </cell>
          <cell r="W106" t="str">
            <v>ВЦ.ПР.ГРП ЮК-10.Осв.Сп.Э-80.</v>
          </cell>
          <cell r="AE106">
            <v>37987</v>
          </cell>
          <cell r="AF106">
            <v>22</v>
          </cell>
          <cell r="AG106">
            <v>264</v>
          </cell>
          <cell r="AH106">
            <v>660</v>
          </cell>
        </row>
        <row r="107">
          <cell r="B107">
            <v>3255</v>
          </cell>
          <cell r="C107">
            <v>66</v>
          </cell>
          <cell r="F107" t="str">
            <v>УПНПиКРС</v>
          </cell>
          <cell r="G107">
            <v>260</v>
          </cell>
          <cell r="H107" t="str">
            <v>ФОН</v>
          </cell>
          <cell r="J107">
            <v>34182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6.1</v>
          </cell>
          <cell r="P107">
            <v>85</v>
          </cell>
          <cell r="Q107">
            <v>50</v>
          </cell>
          <cell r="R107">
            <v>6.1</v>
          </cell>
          <cell r="S107">
            <v>84.9</v>
          </cell>
          <cell r="T107">
            <v>38533</v>
          </cell>
          <cell r="U107" t="str">
            <v>бдк</v>
          </cell>
          <cell r="W107" t="str">
            <v>ВЦ.ВЗ.ИР ЮК-11.ПП ЮК-10.Сп.Э-50.</v>
          </cell>
          <cell r="AE107">
            <v>38528</v>
          </cell>
        </row>
        <row r="108">
          <cell r="B108">
            <v>5404</v>
          </cell>
          <cell r="C108">
            <v>104</v>
          </cell>
          <cell r="F108" t="str">
            <v>УПНПиКРС</v>
          </cell>
          <cell r="G108">
            <v>250</v>
          </cell>
          <cell r="H108" t="str">
            <v>ШГН</v>
          </cell>
          <cell r="I108" t="str">
            <v>действ.</v>
          </cell>
          <cell r="K108">
            <v>14</v>
          </cell>
          <cell r="L108">
            <v>5</v>
          </cell>
          <cell r="M108">
            <v>56</v>
          </cell>
          <cell r="N108">
            <v>30.4</v>
          </cell>
          <cell r="O108">
            <v>11</v>
          </cell>
          <cell r="P108">
            <v>55.7</v>
          </cell>
          <cell r="Q108">
            <v>16.399999999999999</v>
          </cell>
          <cell r="R108">
            <v>6</v>
          </cell>
          <cell r="S108">
            <v>54.8</v>
          </cell>
          <cell r="T108">
            <v>38546</v>
          </cell>
          <cell r="U108" t="str">
            <v>опз</v>
          </cell>
          <cell r="W108" t="str">
            <v>Интенсификация притока СНВ-32.Сп.Э-30.</v>
          </cell>
          <cell r="AE108">
            <v>38542</v>
          </cell>
          <cell r="AG108">
            <v>-374020</v>
          </cell>
          <cell r="AH108">
            <v>-1720492</v>
          </cell>
        </row>
        <row r="109">
          <cell r="B109">
            <v>3817</v>
          </cell>
          <cell r="C109">
            <v>87</v>
          </cell>
          <cell r="F109" t="str">
            <v>УПНПиКРС</v>
          </cell>
          <cell r="G109">
            <v>240</v>
          </cell>
          <cell r="H109" t="str">
            <v>ЭЦН</v>
          </cell>
          <cell r="I109" t="str">
            <v>действ.</v>
          </cell>
          <cell r="K109">
            <v>7</v>
          </cell>
          <cell r="L109">
            <v>4</v>
          </cell>
          <cell r="M109">
            <v>36</v>
          </cell>
          <cell r="N109">
            <v>20</v>
          </cell>
          <cell r="O109">
            <v>10</v>
          </cell>
          <cell r="P109">
            <v>38.5</v>
          </cell>
          <cell r="Q109">
            <v>20</v>
          </cell>
          <cell r="R109">
            <v>10</v>
          </cell>
          <cell r="S109">
            <v>38.299999999999997</v>
          </cell>
          <cell r="T109">
            <v>38561</v>
          </cell>
          <cell r="U109" t="str">
            <v>опз</v>
          </cell>
          <cell r="W109" t="str">
            <v>Интенсификация притока СНВ-32.Сп.Э-30.</v>
          </cell>
          <cell r="AE109">
            <v>38557</v>
          </cell>
        </row>
        <row r="110">
          <cell r="B110">
            <v>3014</v>
          </cell>
          <cell r="C110">
            <v>48</v>
          </cell>
          <cell r="F110" t="str">
            <v>УПНПиКРС</v>
          </cell>
          <cell r="G110">
            <v>260</v>
          </cell>
          <cell r="H110" t="str">
            <v>ШГН</v>
          </cell>
          <cell r="I110" t="str">
            <v>конс.</v>
          </cell>
          <cell r="J110">
            <v>37562</v>
          </cell>
          <cell r="K110">
            <v>0</v>
          </cell>
          <cell r="L110">
            <v>0</v>
          </cell>
          <cell r="M110">
            <v>0</v>
          </cell>
          <cell r="N110">
            <v>50</v>
          </cell>
          <cell r="O110">
            <v>20</v>
          </cell>
          <cell r="P110">
            <v>51</v>
          </cell>
          <cell r="Q110">
            <v>50</v>
          </cell>
          <cell r="R110">
            <v>20</v>
          </cell>
          <cell r="S110">
            <v>50.6</v>
          </cell>
          <cell r="T110">
            <v>38557</v>
          </cell>
          <cell r="U110" t="str">
            <v>ГРП</v>
          </cell>
          <cell r="W110" t="str">
            <v>ВЦ.ПР.ГРП ЮК-10.Осв.Сп.Э-50.</v>
          </cell>
          <cell r="AE110">
            <v>38551</v>
          </cell>
          <cell r="AF110">
            <v>14</v>
          </cell>
          <cell r="AG110">
            <v>-129990</v>
          </cell>
          <cell r="AH110">
            <v>-185700</v>
          </cell>
        </row>
        <row r="111">
          <cell r="B111">
            <v>5817</v>
          </cell>
          <cell r="C111">
            <v>142</v>
          </cell>
          <cell r="F111" t="str">
            <v>УПНПиКРС</v>
          </cell>
          <cell r="G111" t="str">
            <v>265</v>
          </cell>
          <cell r="H111" t="str">
            <v>нагнет.</v>
          </cell>
          <cell r="I111" t="str">
            <v>бд</v>
          </cell>
          <cell r="J111">
            <v>36478</v>
          </cell>
          <cell r="N111">
            <v>150</v>
          </cell>
          <cell r="Q111">
            <v>150</v>
          </cell>
          <cell r="T111">
            <v>38597</v>
          </cell>
          <cell r="U111" t="str">
            <v>нг</v>
          </cell>
          <cell r="W111" t="str">
            <v>ОТСК.(РИР ЭК).ПП.ОПЗ.ГИС-3.Сп.пак.ППД.</v>
          </cell>
        </row>
        <row r="112">
          <cell r="B112">
            <v>5311</v>
          </cell>
          <cell r="C112">
            <v>140</v>
          </cell>
          <cell r="F112" t="str">
            <v>УПНПиКРС</v>
          </cell>
          <cell r="G112">
            <v>260</v>
          </cell>
          <cell r="H112" t="str">
            <v>ШГН</v>
          </cell>
          <cell r="I112" t="str">
            <v>бд</v>
          </cell>
          <cell r="J112">
            <v>37568</v>
          </cell>
          <cell r="K112">
            <v>0</v>
          </cell>
          <cell r="L112">
            <v>0</v>
          </cell>
          <cell r="M112">
            <v>0</v>
          </cell>
          <cell r="N112">
            <v>80</v>
          </cell>
          <cell r="O112">
            <v>21</v>
          </cell>
          <cell r="P112">
            <v>67.8</v>
          </cell>
          <cell r="Q112">
            <v>80</v>
          </cell>
          <cell r="R112">
            <v>21</v>
          </cell>
          <cell r="S112">
            <v>67.599999999999994</v>
          </cell>
          <cell r="T112">
            <v>38582</v>
          </cell>
          <cell r="U112" t="str">
            <v>ГРП</v>
          </cell>
          <cell r="W112" t="str">
            <v>ВЦ.Изв.НГН,НКТ.ГРП ЮК-10.Сп.Э-80.</v>
          </cell>
          <cell r="AE112">
            <v>38538</v>
          </cell>
          <cell r="AF112">
            <v>36</v>
          </cell>
          <cell r="AG112">
            <v>-294512</v>
          </cell>
          <cell r="AH112">
            <v>-447360</v>
          </cell>
        </row>
        <row r="113">
          <cell r="B113">
            <v>5416</v>
          </cell>
          <cell r="C113">
            <v>109</v>
          </cell>
          <cell r="F113" t="str">
            <v>УПНПиКРС</v>
          </cell>
          <cell r="G113">
            <v>275</v>
          </cell>
          <cell r="H113" t="str">
            <v>ЭЦН</v>
          </cell>
          <cell r="I113" t="str">
            <v>действ.</v>
          </cell>
          <cell r="J113">
            <v>38146</v>
          </cell>
          <cell r="K113">
            <v>145</v>
          </cell>
          <cell r="L113">
            <v>8.3000000000000007</v>
          </cell>
          <cell r="M113">
            <v>83</v>
          </cell>
          <cell r="N113">
            <v>250</v>
          </cell>
          <cell r="O113">
            <v>14</v>
          </cell>
          <cell r="P113">
            <v>93</v>
          </cell>
          <cell r="Q113">
            <v>105</v>
          </cell>
          <cell r="R113">
            <v>5.6999999999999993</v>
          </cell>
          <cell r="S113">
            <v>93.3</v>
          </cell>
          <cell r="T113">
            <v>38582</v>
          </cell>
          <cell r="U113" t="str">
            <v>опт</v>
          </cell>
          <cell r="W113" t="str">
            <v>См.Э-125/Э-250</v>
          </cell>
          <cell r="AE113">
            <v>38538</v>
          </cell>
          <cell r="AF113">
            <v>45</v>
          </cell>
        </row>
        <row r="114">
          <cell r="B114">
            <v>3328</v>
          </cell>
          <cell r="C114">
            <v>64</v>
          </cell>
          <cell r="F114" t="str">
            <v>УПНПиКРС</v>
          </cell>
          <cell r="G114">
            <v>250</v>
          </cell>
          <cell r="H114" t="str">
            <v>ФОН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6</v>
          </cell>
          <cell r="P114">
            <v>85.2</v>
          </cell>
          <cell r="Q114">
            <v>50</v>
          </cell>
          <cell r="R114">
            <v>6</v>
          </cell>
          <cell r="S114">
            <v>85.2</v>
          </cell>
          <cell r="T114">
            <v>38537</v>
          </cell>
          <cell r="U114" t="str">
            <v>бдк</v>
          </cell>
          <cell r="W114" t="str">
            <v>ВЦ.Изв.НКТ.ПП.ДП.Инт.притока.Сп.Э-50.</v>
          </cell>
          <cell r="AE114">
            <v>38544</v>
          </cell>
        </row>
        <row r="115">
          <cell r="B115">
            <v>3327</v>
          </cell>
          <cell r="C115">
            <v>64</v>
          </cell>
          <cell r="F115" t="str">
            <v>УПНПиКРС</v>
          </cell>
          <cell r="G115">
            <v>250</v>
          </cell>
          <cell r="H115" t="str">
            <v>Ф/Э</v>
          </cell>
          <cell r="I115" t="str">
            <v>конс.</v>
          </cell>
          <cell r="J115">
            <v>34883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6.1</v>
          </cell>
          <cell r="P115">
            <v>85</v>
          </cell>
          <cell r="Q115">
            <v>50</v>
          </cell>
          <cell r="R115">
            <v>6.1</v>
          </cell>
          <cell r="S115">
            <v>84.9</v>
          </cell>
          <cell r="T115">
            <v>38569</v>
          </cell>
          <cell r="U115" t="str">
            <v>бдк</v>
          </cell>
          <cell r="W115" t="str">
            <v>ВЦ.ПП ЮК-10.Инт.притока.Сп.Э-50.</v>
          </cell>
          <cell r="AE115">
            <v>38563</v>
          </cell>
        </row>
        <row r="116">
          <cell r="B116">
            <v>3128</v>
          </cell>
          <cell r="C116">
            <v>56</v>
          </cell>
          <cell r="F116" t="str">
            <v>УПНПиКРС</v>
          </cell>
          <cell r="G116">
            <v>260</v>
          </cell>
          <cell r="H116" t="str">
            <v>ФОН</v>
          </cell>
          <cell r="I116" t="str">
            <v>конс.</v>
          </cell>
          <cell r="J116">
            <v>35065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6</v>
          </cell>
          <cell r="P116">
            <v>85.2</v>
          </cell>
          <cell r="Q116">
            <v>50</v>
          </cell>
          <cell r="R116">
            <v>6</v>
          </cell>
          <cell r="S116">
            <v>85.2</v>
          </cell>
          <cell r="T116">
            <v>38548</v>
          </cell>
          <cell r="U116" t="str">
            <v>бдк</v>
          </cell>
          <cell r="W116" t="str">
            <v>ВЦ.ВЗ.ОТСК.ПП ЮК-11.Сп.Э-50.</v>
          </cell>
          <cell r="AE116">
            <v>38544</v>
          </cell>
        </row>
        <row r="117">
          <cell r="B117">
            <v>3291</v>
          </cell>
          <cell r="C117">
            <v>66</v>
          </cell>
          <cell r="F117" t="str">
            <v>УПНПиКРС</v>
          </cell>
          <cell r="G117">
            <v>260</v>
          </cell>
          <cell r="H117" t="str">
            <v>Ф/Ш</v>
          </cell>
          <cell r="I117" t="str">
            <v>конс.</v>
          </cell>
          <cell r="J117">
            <v>33664</v>
          </cell>
          <cell r="K117">
            <v>0</v>
          </cell>
          <cell r="L117">
            <v>0</v>
          </cell>
          <cell r="M117">
            <v>0</v>
          </cell>
          <cell r="N117">
            <v>30</v>
          </cell>
          <cell r="O117">
            <v>3.7</v>
          </cell>
          <cell r="P117">
            <v>85</v>
          </cell>
          <cell r="Q117">
            <v>30</v>
          </cell>
          <cell r="R117">
            <v>3.7</v>
          </cell>
          <cell r="S117">
            <v>84.8</v>
          </cell>
          <cell r="T117">
            <v>38536</v>
          </cell>
          <cell r="U117" t="str">
            <v>бдп</v>
          </cell>
          <cell r="W117" t="str">
            <v>ВЦ,спуск ЭЦН-30</v>
          </cell>
        </row>
        <row r="118">
          <cell r="B118">
            <v>3125</v>
          </cell>
          <cell r="C118">
            <v>55</v>
          </cell>
          <cell r="F118" t="str">
            <v>УПНПиКРС</v>
          </cell>
          <cell r="G118">
            <v>260</v>
          </cell>
          <cell r="H118" t="str">
            <v>ЭЦН</v>
          </cell>
          <cell r="I118" t="str">
            <v>конс.</v>
          </cell>
          <cell r="J118">
            <v>35096</v>
          </cell>
          <cell r="K118">
            <v>0</v>
          </cell>
          <cell r="L118">
            <v>0</v>
          </cell>
          <cell r="M118">
            <v>0</v>
          </cell>
          <cell r="N118">
            <v>50</v>
          </cell>
          <cell r="O118">
            <v>4.9000000000000004</v>
          </cell>
          <cell r="P118">
            <v>88</v>
          </cell>
          <cell r="Q118">
            <v>50</v>
          </cell>
          <cell r="R118">
            <v>4.9000000000000004</v>
          </cell>
          <cell r="S118">
            <v>87.9</v>
          </cell>
          <cell r="T118">
            <v>38544</v>
          </cell>
          <cell r="U118" t="str">
            <v>бдп</v>
          </cell>
          <cell r="W118" t="str">
            <v>ВЦ,спуск ЭЦН-50</v>
          </cell>
          <cell r="AE118">
            <v>38539</v>
          </cell>
        </row>
        <row r="119">
          <cell r="B119">
            <v>3636</v>
          </cell>
          <cell r="C119">
            <v>303</v>
          </cell>
          <cell r="F119" t="str">
            <v>УПНПиКРС</v>
          </cell>
          <cell r="G119">
            <v>240</v>
          </cell>
          <cell r="H119" t="str">
            <v>ЭЦН</v>
          </cell>
          <cell r="I119" t="str">
            <v>конс.</v>
          </cell>
          <cell r="J119">
            <v>34315</v>
          </cell>
          <cell r="K119">
            <v>0</v>
          </cell>
          <cell r="L119">
            <v>0</v>
          </cell>
          <cell r="M119">
            <v>0</v>
          </cell>
          <cell r="N119">
            <v>50</v>
          </cell>
          <cell r="O119">
            <v>4</v>
          </cell>
          <cell r="P119">
            <v>90</v>
          </cell>
          <cell r="Q119">
            <v>50</v>
          </cell>
          <cell r="R119">
            <v>4</v>
          </cell>
          <cell r="S119">
            <v>90.1</v>
          </cell>
          <cell r="T119">
            <v>38551</v>
          </cell>
          <cell r="U119" t="str">
            <v>бдп</v>
          </cell>
          <cell r="W119" t="str">
            <v>ВЦ,спуск ЭЦН-50</v>
          </cell>
        </row>
        <row r="120">
          <cell r="B120">
            <v>4058</v>
          </cell>
          <cell r="C120">
            <v>308</v>
          </cell>
          <cell r="F120" t="str">
            <v>УПНПиКРС</v>
          </cell>
          <cell r="G120">
            <v>240</v>
          </cell>
          <cell r="H120" t="str">
            <v>ЭЦН</v>
          </cell>
          <cell r="I120" t="str">
            <v>конс.</v>
          </cell>
          <cell r="J120">
            <v>34252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4</v>
          </cell>
          <cell r="P120">
            <v>90</v>
          </cell>
          <cell r="Q120">
            <v>50</v>
          </cell>
          <cell r="R120">
            <v>4</v>
          </cell>
          <cell r="S120">
            <v>90.1</v>
          </cell>
          <cell r="T120">
            <v>38558</v>
          </cell>
          <cell r="U120" t="str">
            <v>бдп</v>
          </cell>
          <cell r="W120" t="str">
            <v>ВЦ,спуск ЭЦН-50</v>
          </cell>
        </row>
        <row r="121">
          <cell r="B121">
            <v>5576</v>
          </cell>
          <cell r="C121">
            <v>114</v>
          </cell>
          <cell r="G121">
            <v>250</v>
          </cell>
          <cell r="H121" t="str">
            <v>ШГН</v>
          </cell>
          <cell r="I121" t="str">
            <v>бд</v>
          </cell>
          <cell r="K121">
            <v>0</v>
          </cell>
          <cell r="L121">
            <v>0</v>
          </cell>
          <cell r="M121">
            <v>0</v>
          </cell>
          <cell r="N121">
            <v>50</v>
          </cell>
          <cell r="O121">
            <v>21.2</v>
          </cell>
          <cell r="P121">
            <v>48</v>
          </cell>
          <cell r="Q121">
            <v>50</v>
          </cell>
          <cell r="R121">
            <v>21.2</v>
          </cell>
          <cell r="S121">
            <v>47.7</v>
          </cell>
          <cell r="T121">
            <v>38595</v>
          </cell>
          <cell r="U121" t="str">
            <v>ГРП</v>
          </cell>
          <cell r="W121" t="str">
            <v>ВЗ, ГРП ЮК-10,сп.Э-50</v>
          </cell>
        </row>
        <row r="122">
          <cell r="B122">
            <v>3075</v>
          </cell>
          <cell r="C122">
            <v>52</v>
          </cell>
          <cell r="H122" t="str">
            <v>ФОН</v>
          </cell>
          <cell r="I122" t="str">
            <v>конс.</v>
          </cell>
          <cell r="K122">
            <v>0</v>
          </cell>
          <cell r="L122">
            <v>0</v>
          </cell>
          <cell r="M122">
            <v>0</v>
          </cell>
          <cell r="N122">
            <v>50</v>
          </cell>
          <cell r="O122">
            <v>3.6</v>
          </cell>
          <cell r="P122">
            <v>91.1</v>
          </cell>
          <cell r="Q122">
            <v>50</v>
          </cell>
          <cell r="R122">
            <v>3.6</v>
          </cell>
          <cell r="S122">
            <v>91.1</v>
          </cell>
          <cell r="T122">
            <v>38593</v>
          </cell>
          <cell r="U122" t="str">
            <v>бдп</v>
          </cell>
          <cell r="W122" t="str">
            <v>ВЦ,спуск ЭЦН-50</v>
          </cell>
        </row>
        <row r="123">
          <cell r="B123">
            <v>5535</v>
          </cell>
          <cell r="C123">
            <v>110</v>
          </cell>
          <cell r="H123" t="str">
            <v>Ф/Э</v>
          </cell>
          <cell r="I123" t="str">
            <v>конс.</v>
          </cell>
          <cell r="K123">
            <v>0</v>
          </cell>
          <cell r="L123">
            <v>0</v>
          </cell>
          <cell r="M123">
            <v>0</v>
          </cell>
          <cell r="N123">
            <v>50</v>
          </cell>
          <cell r="O123">
            <v>4</v>
          </cell>
          <cell r="P123">
            <v>90.1</v>
          </cell>
          <cell r="Q123">
            <v>50</v>
          </cell>
          <cell r="R123">
            <v>4</v>
          </cell>
          <cell r="S123">
            <v>90.1</v>
          </cell>
          <cell r="T123">
            <v>38698</v>
          </cell>
          <cell r="U123" t="str">
            <v>бдп</v>
          </cell>
          <cell r="W123" t="str">
            <v>ВЦ(КОПС),спуск ЭЦН-50</v>
          </cell>
        </row>
        <row r="124">
          <cell r="B124">
            <v>4050</v>
          </cell>
          <cell r="C124" t="str">
            <v>100б</v>
          </cell>
          <cell r="H124" t="str">
            <v>ЭЦН</v>
          </cell>
          <cell r="I124" t="str">
            <v>конс.</v>
          </cell>
          <cell r="K124">
            <v>0</v>
          </cell>
          <cell r="L124">
            <v>0</v>
          </cell>
          <cell r="M124">
            <v>0</v>
          </cell>
          <cell r="N124">
            <v>50</v>
          </cell>
          <cell r="O124">
            <v>3.6</v>
          </cell>
          <cell r="P124">
            <v>91.1</v>
          </cell>
          <cell r="Q124">
            <v>50</v>
          </cell>
          <cell r="R124">
            <v>3.6</v>
          </cell>
          <cell r="S124">
            <v>91.1</v>
          </cell>
          <cell r="T124">
            <v>38579</v>
          </cell>
          <cell r="U124" t="str">
            <v>бдп</v>
          </cell>
          <cell r="W124" t="str">
            <v>ВЦ,ПП,спуск ЭЦН-50</v>
          </cell>
        </row>
        <row r="125">
          <cell r="B125">
            <v>2980</v>
          </cell>
          <cell r="C125">
            <v>50</v>
          </cell>
          <cell r="F125" t="str">
            <v>УПНПиКРС</v>
          </cell>
          <cell r="G125">
            <v>250</v>
          </cell>
          <cell r="H125" t="str">
            <v>ШГН</v>
          </cell>
          <cell r="I125" t="str">
            <v>бдп</v>
          </cell>
          <cell r="K125">
            <v>0</v>
          </cell>
          <cell r="L125">
            <v>0</v>
          </cell>
          <cell r="M125">
            <v>0</v>
          </cell>
          <cell r="N125">
            <v>50</v>
          </cell>
          <cell r="O125">
            <v>18</v>
          </cell>
          <cell r="P125">
            <v>55.6</v>
          </cell>
          <cell r="Q125">
            <v>50</v>
          </cell>
          <cell r="R125">
            <v>18</v>
          </cell>
          <cell r="S125">
            <v>55.6</v>
          </cell>
          <cell r="T125">
            <v>38686</v>
          </cell>
          <cell r="U125" t="str">
            <v>ГРП</v>
          </cell>
          <cell r="W125" t="str">
            <v>ВЦ, ГРП ЮК-10</v>
          </cell>
        </row>
        <row r="126">
          <cell r="B126">
            <v>3217</v>
          </cell>
          <cell r="C126">
            <v>58</v>
          </cell>
          <cell r="F126" t="str">
            <v>УПНПиКРС</v>
          </cell>
          <cell r="G126">
            <v>250</v>
          </cell>
          <cell r="H126" t="str">
            <v>ЭЦН</v>
          </cell>
          <cell r="I126" t="str">
            <v>действ.</v>
          </cell>
          <cell r="K126">
            <v>12</v>
          </cell>
          <cell r="L126">
            <v>4.4000000000000004</v>
          </cell>
          <cell r="M126">
            <v>55</v>
          </cell>
          <cell r="N126">
            <v>80</v>
          </cell>
          <cell r="O126">
            <v>22.4</v>
          </cell>
          <cell r="P126">
            <v>65.400000000000006</v>
          </cell>
          <cell r="Q126">
            <v>68</v>
          </cell>
          <cell r="R126">
            <v>18</v>
          </cell>
          <cell r="S126">
            <v>67.3</v>
          </cell>
          <cell r="T126">
            <v>38675</v>
          </cell>
          <cell r="U126" t="str">
            <v>ГРП</v>
          </cell>
          <cell r="W126" t="str">
            <v>ГРП ЮК10-11</v>
          </cell>
        </row>
        <row r="127">
          <cell r="B127">
            <v>2709</v>
          </cell>
          <cell r="C127">
            <v>161</v>
          </cell>
          <cell r="F127" t="str">
            <v>УПНПиКРС</v>
          </cell>
          <cell r="G127">
            <v>250</v>
          </cell>
          <cell r="H127" t="str">
            <v>ШГН</v>
          </cell>
          <cell r="I127" t="str">
            <v>конс.</v>
          </cell>
          <cell r="K127">
            <v>0</v>
          </cell>
          <cell r="L127">
            <v>0</v>
          </cell>
          <cell r="M127">
            <v>0</v>
          </cell>
          <cell r="N127">
            <v>80</v>
          </cell>
          <cell r="O127">
            <v>20</v>
          </cell>
          <cell r="P127">
            <v>69.099999999999994</v>
          </cell>
          <cell r="Q127">
            <v>80</v>
          </cell>
          <cell r="R127">
            <v>20</v>
          </cell>
          <cell r="S127">
            <v>69.099999999999994</v>
          </cell>
          <cell r="T127">
            <v>38667</v>
          </cell>
          <cell r="U127" t="str">
            <v>ГРП</v>
          </cell>
          <cell r="W127" t="str">
            <v>ВЦ,ВЗ, ГРП ЮК-10</v>
          </cell>
        </row>
        <row r="128">
          <cell r="B128" t="str">
            <v>5307б</v>
          </cell>
          <cell r="C128">
            <v>139</v>
          </cell>
          <cell r="F128" t="str">
            <v>УПНПиКРС</v>
          </cell>
          <cell r="G128">
            <v>250</v>
          </cell>
          <cell r="H128" t="str">
            <v>ШГН</v>
          </cell>
          <cell r="I128" t="str">
            <v>действ.</v>
          </cell>
          <cell r="K128">
            <v>70</v>
          </cell>
          <cell r="L128">
            <v>4.5999999999999996</v>
          </cell>
          <cell r="M128">
            <v>91.9</v>
          </cell>
          <cell r="N128">
            <v>125</v>
          </cell>
          <cell r="O128">
            <v>8.1999999999999993</v>
          </cell>
          <cell r="P128">
            <v>91.9</v>
          </cell>
          <cell r="Q128">
            <v>55</v>
          </cell>
          <cell r="R128">
            <v>3.5999999999999996</v>
          </cell>
          <cell r="S128">
            <v>91.9</v>
          </cell>
          <cell r="T128">
            <v>38826</v>
          </cell>
          <cell r="U128" t="str">
            <v>опт</v>
          </cell>
          <cell r="W128" t="str">
            <v>см.Э-50/Э-125</v>
          </cell>
        </row>
        <row r="129">
          <cell r="B129" t="str">
            <v>5426б</v>
          </cell>
          <cell r="C129">
            <v>101</v>
          </cell>
          <cell r="F129" t="str">
            <v>УПНПиКРС</v>
          </cell>
          <cell r="G129">
            <v>220</v>
          </cell>
          <cell r="H129" t="str">
            <v>ЭЦН</v>
          </cell>
          <cell r="I129" t="str">
            <v>конс.</v>
          </cell>
          <cell r="K129">
            <v>0</v>
          </cell>
          <cell r="L129">
            <v>0</v>
          </cell>
          <cell r="M129">
            <v>0</v>
          </cell>
          <cell r="N129">
            <v>40</v>
          </cell>
          <cell r="O129">
            <v>22</v>
          </cell>
          <cell r="P129">
            <v>32.1</v>
          </cell>
          <cell r="Q129">
            <v>40</v>
          </cell>
          <cell r="R129">
            <v>22</v>
          </cell>
          <cell r="S129">
            <v>32.1</v>
          </cell>
          <cell r="T129">
            <v>38826</v>
          </cell>
          <cell r="U129" t="str">
            <v>ГРП</v>
          </cell>
          <cell r="W129" t="str">
            <v>ГРП ЮК2-3</v>
          </cell>
        </row>
        <row r="130">
          <cell r="B130" t="str">
            <v>5527б</v>
          </cell>
          <cell r="C130">
            <v>118</v>
          </cell>
          <cell r="F130" t="str">
            <v>УПНПиКРС</v>
          </cell>
          <cell r="G130">
            <v>250</v>
          </cell>
          <cell r="H130" t="str">
            <v>ЭЦН</v>
          </cell>
          <cell r="I130" t="str">
            <v>бдт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3505</v>
          </cell>
          <cell r="C131" t="str">
            <v>98б</v>
          </cell>
          <cell r="F131" t="str">
            <v>УПНПиКРС</v>
          </cell>
          <cell r="H131" t="str">
            <v>фон.</v>
          </cell>
          <cell r="I131" t="str">
            <v>бд</v>
          </cell>
          <cell r="J131">
            <v>35752</v>
          </cell>
          <cell r="K131">
            <v>0</v>
          </cell>
          <cell r="L131">
            <v>0</v>
          </cell>
          <cell r="M131">
            <v>0</v>
          </cell>
          <cell r="N131">
            <v>30</v>
          </cell>
          <cell r="O131">
            <v>4.2</v>
          </cell>
          <cell r="P131">
            <v>83</v>
          </cell>
          <cell r="Q131">
            <v>30</v>
          </cell>
          <cell r="R131">
            <v>4.2</v>
          </cell>
          <cell r="S131">
            <v>82.7</v>
          </cell>
          <cell r="T131">
            <v>38494</v>
          </cell>
          <cell r="U131" t="str">
            <v>бдп</v>
          </cell>
          <cell r="W131" t="str">
            <v>ВЦ,спуск Э-30</v>
          </cell>
          <cell r="AE131">
            <v>38487</v>
          </cell>
        </row>
        <row r="132">
          <cell r="B132">
            <v>2977</v>
          </cell>
          <cell r="C132" t="str">
            <v>50б</v>
          </cell>
          <cell r="F132" t="str">
            <v>УПНПиКРС</v>
          </cell>
          <cell r="H132" t="str">
            <v>ШГН</v>
          </cell>
          <cell r="I132" t="str">
            <v>конс.</v>
          </cell>
          <cell r="K132">
            <v>0</v>
          </cell>
          <cell r="L132">
            <v>0</v>
          </cell>
          <cell r="M132">
            <v>0</v>
          </cell>
          <cell r="N132">
            <v>50</v>
          </cell>
          <cell r="O132">
            <v>16</v>
          </cell>
          <cell r="P132">
            <v>60.5</v>
          </cell>
          <cell r="Q132">
            <v>50</v>
          </cell>
          <cell r="R132">
            <v>16</v>
          </cell>
          <cell r="S132">
            <v>60.5</v>
          </cell>
          <cell r="T132">
            <v>38515</v>
          </cell>
          <cell r="U132" t="str">
            <v>ГРП</v>
          </cell>
          <cell r="W132" t="str">
            <v>ВЦ, ГРП ЮК10</v>
          </cell>
        </row>
        <row r="133">
          <cell r="B133">
            <v>5281</v>
          </cell>
          <cell r="C133">
            <v>139</v>
          </cell>
          <cell r="F133" t="str">
            <v>УПНПиКРС</v>
          </cell>
          <cell r="H133" t="str">
            <v>ШГН</v>
          </cell>
          <cell r="I133" t="str">
            <v>бд</v>
          </cell>
          <cell r="K133">
            <v>0</v>
          </cell>
          <cell r="L133">
            <v>0</v>
          </cell>
          <cell r="M133">
            <v>0</v>
          </cell>
          <cell r="N133">
            <v>80</v>
          </cell>
          <cell r="O133">
            <v>16</v>
          </cell>
          <cell r="P133">
            <v>75.3</v>
          </cell>
          <cell r="Q133">
            <v>80</v>
          </cell>
          <cell r="R133">
            <v>16</v>
          </cell>
          <cell r="S133">
            <v>75.3</v>
          </cell>
          <cell r="T133">
            <v>38522</v>
          </cell>
          <cell r="U133" t="str">
            <v>ГРП</v>
          </cell>
          <cell r="W133" t="str">
            <v>ВЗ, ОТСК, ГРП ЮК10</v>
          </cell>
        </row>
        <row r="134">
          <cell r="B134">
            <v>3273</v>
          </cell>
          <cell r="C134">
            <v>66</v>
          </cell>
          <cell r="F134" t="str">
            <v>УПНПиКРС</v>
          </cell>
          <cell r="H134" t="str">
            <v>ЭЦН</v>
          </cell>
          <cell r="I134" t="str">
            <v>конс.</v>
          </cell>
          <cell r="K134">
            <v>0</v>
          </cell>
          <cell r="L134">
            <v>0</v>
          </cell>
          <cell r="M134">
            <v>0</v>
          </cell>
          <cell r="N134">
            <v>50</v>
          </cell>
          <cell r="O134">
            <v>6</v>
          </cell>
          <cell r="P134">
            <v>85.2</v>
          </cell>
          <cell r="Q134">
            <v>50</v>
          </cell>
          <cell r="R134">
            <v>6</v>
          </cell>
          <cell r="S134">
            <v>85.2</v>
          </cell>
          <cell r="T134">
            <v>38508</v>
          </cell>
          <cell r="U134" t="str">
            <v>бдк</v>
          </cell>
          <cell r="W134" t="str">
            <v xml:space="preserve">ВЦ, ПП, </v>
          </cell>
        </row>
        <row r="135">
          <cell r="B135">
            <v>3289</v>
          </cell>
          <cell r="C135">
            <v>64</v>
          </cell>
          <cell r="F135" t="str">
            <v>УПНПиКРС</v>
          </cell>
          <cell r="H135" t="str">
            <v>фон.</v>
          </cell>
          <cell r="I135" t="str">
            <v>конс.</v>
          </cell>
          <cell r="K135">
            <v>0</v>
          </cell>
          <cell r="L135">
            <v>0</v>
          </cell>
          <cell r="M135">
            <v>0</v>
          </cell>
          <cell r="N135">
            <v>125</v>
          </cell>
          <cell r="O135">
            <v>6</v>
          </cell>
          <cell r="P135">
            <v>94.1</v>
          </cell>
          <cell r="Q135">
            <v>125</v>
          </cell>
          <cell r="R135">
            <v>6</v>
          </cell>
          <cell r="S135">
            <v>94.1</v>
          </cell>
          <cell r="T135">
            <v>38517</v>
          </cell>
          <cell r="U135" t="str">
            <v>бдк</v>
          </cell>
          <cell r="W135" t="str">
            <v>ВЦ, ЛА, ДП КВ</v>
          </cell>
        </row>
        <row r="136">
          <cell r="B136">
            <v>3086</v>
          </cell>
          <cell r="C136">
            <v>67</v>
          </cell>
          <cell r="F136" t="str">
            <v>УПНПиКРС</v>
          </cell>
          <cell r="H136" t="str">
            <v>ШГН</v>
          </cell>
          <cell r="I136" t="str">
            <v>действ.</v>
          </cell>
          <cell r="K136">
            <v>9</v>
          </cell>
          <cell r="L136">
            <v>7</v>
          </cell>
          <cell r="M136">
            <v>5</v>
          </cell>
          <cell r="N136">
            <v>50</v>
          </cell>
          <cell r="O136">
            <v>23</v>
          </cell>
          <cell r="P136">
            <v>43.2</v>
          </cell>
          <cell r="Q136">
            <v>41</v>
          </cell>
          <cell r="R136">
            <v>16</v>
          </cell>
          <cell r="S136">
            <v>51.8</v>
          </cell>
        </row>
        <row r="137">
          <cell r="B137">
            <v>5338</v>
          </cell>
          <cell r="C137">
            <v>141</v>
          </cell>
          <cell r="F137" t="str">
            <v>УПНПиКРС</v>
          </cell>
          <cell r="G137" t="str">
            <v>288</v>
          </cell>
          <cell r="H137" t="str">
            <v>нагнет.</v>
          </cell>
          <cell r="I137" t="str">
            <v>бд</v>
          </cell>
          <cell r="J137">
            <v>37895</v>
          </cell>
          <cell r="K137">
            <v>0</v>
          </cell>
          <cell r="L137">
            <v>0</v>
          </cell>
          <cell r="M137">
            <v>0</v>
          </cell>
          <cell r="N137">
            <v>150</v>
          </cell>
          <cell r="Q137">
            <v>150</v>
          </cell>
          <cell r="T137">
            <v>38474</v>
          </cell>
          <cell r="U137" t="str">
            <v>НГ</v>
          </cell>
          <cell r="W137" t="str">
            <v>ПП.ОПЗ.ГИС-3.Сп.пак.ППД.</v>
          </cell>
          <cell r="AD137">
            <v>38285</v>
          </cell>
          <cell r="AE137">
            <v>38340</v>
          </cell>
        </row>
        <row r="138">
          <cell r="B138">
            <v>5282</v>
          </cell>
          <cell r="C138">
            <v>139</v>
          </cell>
          <cell r="F138" t="str">
            <v>УПНПиКРС</v>
          </cell>
          <cell r="G138" t="str">
            <v>265</v>
          </cell>
          <cell r="H138" t="str">
            <v>нагнет.</v>
          </cell>
          <cell r="I138" t="str">
            <v>бд</v>
          </cell>
          <cell r="J138">
            <v>36478</v>
          </cell>
          <cell r="N138">
            <v>150</v>
          </cell>
          <cell r="Q138">
            <v>150</v>
          </cell>
          <cell r="T138">
            <v>38486</v>
          </cell>
          <cell r="U138" t="str">
            <v>НГ</v>
          </cell>
          <cell r="W138" t="str">
            <v>ПП.ОПЗ.ГИС-3.Сп.пак.ППД.</v>
          </cell>
        </row>
        <row r="139">
          <cell r="B139" t="str">
            <v>2846б</v>
          </cell>
          <cell r="C139">
            <v>128</v>
          </cell>
          <cell r="F139" t="str">
            <v>УПНПиКРС</v>
          </cell>
          <cell r="H139" t="str">
            <v>Ф/Э</v>
          </cell>
          <cell r="I139" t="str">
            <v>конс.</v>
          </cell>
          <cell r="K139">
            <v>0</v>
          </cell>
          <cell r="L139">
            <v>0</v>
          </cell>
          <cell r="M139">
            <v>0</v>
          </cell>
          <cell r="N139">
            <v>50</v>
          </cell>
          <cell r="O139">
            <v>18.3</v>
          </cell>
          <cell r="P139">
            <v>55</v>
          </cell>
          <cell r="Q139">
            <v>50</v>
          </cell>
          <cell r="R139">
            <v>18.3</v>
          </cell>
          <cell r="S139">
            <v>54.8</v>
          </cell>
          <cell r="T139">
            <v>38704</v>
          </cell>
          <cell r="U139" t="str">
            <v>ГРП</v>
          </cell>
          <cell r="W139" t="str">
            <v>ВЦ.ИР ЮК-11.ГРП ЮК-10.Сп.Э-50.</v>
          </cell>
          <cell r="AD139">
            <v>38285</v>
          </cell>
          <cell r="AE139">
            <v>38694</v>
          </cell>
        </row>
        <row r="140">
          <cell r="B140">
            <v>5714</v>
          </cell>
          <cell r="C140">
            <v>128</v>
          </cell>
          <cell r="F140" t="str">
            <v>УПНПиКРС</v>
          </cell>
          <cell r="H140" t="str">
            <v>ЭЦН</v>
          </cell>
          <cell r="I140" t="str">
            <v>действ.</v>
          </cell>
          <cell r="K140">
            <v>113</v>
          </cell>
          <cell r="L140">
            <v>5.5</v>
          </cell>
          <cell r="M140">
            <v>94</v>
          </cell>
          <cell r="N140">
            <v>218</v>
          </cell>
          <cell r="O140">
            <v>10.7</v>
          </cell>
          <cell r="P140">
            <v>93.9</v>
          </cell>
          <cell r="Q140">
            <v>105</v>
          </cell>
          <cell r="R140">
            <v>5.0999999999999996</v>
          </cell>
          <cell r="S140">
            <v>94</v>
          </cell>
          <cell r="T140">
            <v>38817</v>
          </cell>
          <cell r="U140" t="str">
            <v>опт</v>
          </cell>
          <cell r="W140" t="str">
            <v>см.Э-80/Э-250</v>
          </cell>
          <cell r="AD140">
            <v>37860</v>
          </cell>
          <cell r="AE140">
            <v>38700</v>
          </cell>
        </row>
        <row r="141">
          <cell r="B141">
            <v>2885</v>
          </cell>
          <cell r="C141">
            <v>131</v>
          </cell>
          <cell r="F141" t="str">
            <v>УПНПиКРС</v>
          </cell>
          <cell r="H141" t="str">
            <v>Ф/Э</v>
          </cell>
          <cell r="I141" t="str">
            <v>конс.</v>
          </cell>
          <cell r="K141">
            <v>0</v>
          </cell>
          <cell r="L141">
            <v>0</v>
          </cell>
          <cell r="M141">
            <v>0</v>
          </cell>
          <cell r="N141">
            <v>50</v>
          </cell>
          <cell r="O141">
            <v>18.3</v>
          </cell>
          <cell r="P141">
            <v>55</v>
          </cell>
          <cell r="Q141">
            <v>50</v>
          </cell>
          <cell r="R141">
            <v>18.3</v>
          </cell>
          <cell r="S141">
            <v>54.8</v>
          </cell>
          <cell r="T141">
            <v>38718</v>
          </cell>
          <cell r="U141" t="str">
            <v>ГРП</v>
          </cell>
          <cell r="W141" t="str">
            <v>ВЦ.ИР ЮК-11.ГИС-2.ГРП ЮК-10.Сп.Э-50</v>
          </cell>
          <cell r="AE141">
            <v>38712</v>
          </cell>
        </row>
        <row r="142">
          <cell r="B142">
            <v>5841</v>
          </cell>
          <cell r="C142">
            <v>168</v>
          </cell>
          <cell r="F142" t="str">
            <v>УПНПиКРС</v>
          </cell>
          <cell r="H142" t="str">
            <v>ШГН</v>
          </cell>
          <cell r="I142" t="str">
            <v>бд</v>
          </cell>
          <cell r="K142">
            <v>0</v>
          </cell>
          <cell r="L142">
            <v>0</v>
          </cell>
          <cell r="M142">
            <v>0</v>
          </cell>
          <cell r="N142">
            <v>50</v>
          </cell>
          <cell r="O142">
            <v>18</v>
          </cell>
          <cell r="P142">
            <v>55.8</v>
          </cell>
          <cell r="Q142">
            <v>50</v>
          </cell>
          <cell r="R142">
            <v>18</v>
          </cell>
          <cell r="S142">
            <v>55.6</v>
          </cell>
          <cell r="T142">
            <v>38718</v>
          </cell>
          <cell r="U142" t="str">
            <v>ГРП</v>
          </cell>
          <cell r="W142" t="str">
            <v>ИР ЮК-11.ГРП ЮК-10.Сп.Э-50.</v>
          </cell>
          <cell r="AE142">
            <v>38712</v>
          </cell>
        </row>
        <row r="143">
          <cell r="B143">
            <v>5259</v>
          </cell>
          <cell r="C143">
            <v>140</v>
          </cell>
          <cell r="F143" t="str">
            <v>УПНПиКРС</v>
          </cell>
          <cell r="H143" t="str">
            <v>ШГН</v>
          </cell>
          <cell r="I143" t="str">
            <v>бд</v>
          </cell>
          <cell r="K143">
            <v>0</v>
          </cell>
          <cell r="L143">
            <v>0</v>
          </cell>
          <cell r="M143">
            <v>0</v>
          </cell>
          <cell r="N143">
            <v>50</v>
          </cell>
          <cell r="O143">
            <v>18.3</v>
          </cell>
          <cell r="P143">
            <v>55</v>
          </cell>
          <cell r="Q143">
            <v>50</v>
          </cell>
          <cell r="R143">
            <v>18.3</v>
          </cell>
          <cell r="S143">
            <v>54.8</v>
          </cell>
          <cell r="T143">
            <v>38690</v>
          </cell>
          <cell r="U143" t="str">
            <v>ГРП</v>
          </cell>
          <cell r="W143" t="str">
            <v>РИР ЭК.ГРП ЮК-10.Сп.Э-50.</v>
          </cell>
          <cell r="AE143">
            <v>38684</v>
          </cell>
        </row>
        <row r="144">
          <cell r="B144">
            <v>5360</v>
          </cell>
          <cell r="C144">
            <v>107</v>
          </cell>
          <cell r="F144" t="str">
            <v>УПНПиКРС</v>
          </cell>
          <cell r="H144" t="str">
            <v>ШГН</v>
          </cell>
          <cell r="I144" t="str">
            <v>бд</v>
          </cell>
          <cell r="K144">
            <v>0</v>
          </cell>
          <cell r="L144">
            <v>0</v>
          </cell>
          <cell r="M144">
            <v>0</v>
          </cell>
          <cell r="N144">
            <v>50</v>
          </cell>
          <cell r="O144">
            <v>18.3</v>
          </cell>
          <cell r="P144">
            <v>55</v>
          </cell>
          <cell r="Q144">
            <v>50</v>
          </cell>
          <cell r="R144">
            <v>18.3</v>
          </cell>
          <cell r="S144">
            <v>54.8</v>
          </cell>
          <cell r="T144">
            <v>38720</v>
          </cell>
          <cell r="U144" t="str">
            <v>ГРП</v>
          </cell>
          <cell r="W144" t="str">
            <v>РИР ЭК.ИР ЮК-11.ГРП ЮК-10.Сп.Э-50.</v>
          </cell>
          <cell r="AD144">
            <v>38308</v>
          </cell>
          <cell r="AE144">
            <v>38714</v>
          </cell>
        </row>
        <row r="145">
          <cell r="B145">
            <v>2890</v>
          </cell>
          <cell r="C145">
            <v>132</v>
          </cell>
          <cell r="F145" t="str">
            <v>УПНПиКРС</v>
          </cell>
          <cell r="H145" t="str">
            <v>Ф/Э</v>
          </cell>
          <cell r="I145" t="str">
            <v>конс.</v>
          </cell>
          <cell r="K145">
            <v>0</v>
          </cell>
          <cell r="L145">
            <v>0</v>
          </cell>
          <cell r="M145">
            <v>0</v>
          </cell>
          <cell r="N145">
            <v>50</v>
          </cell>
          <cell r="O145">
            <v>18.3</v>
          </cell>
          <cell r="P145">
            <v>55</v>
          </cell>
          <cell r="Q145">
            <v>50</v>
          </cell>
          <cell r="R145">
            <v>18.3</v>
          </cell>
          <cell r="S145">
            <v>54.8</v>
          </cell>
          <cell r="T145">
            <v>38697</v>
          </cell>
          <cell r="U145" t="str">
            <v>ГРП</v>
          </cell>
          <cell r="W145" t="str">
            <v>ВЦ.ЛА.ГИС-2.ИР ЮК-11.ГРП ЮК-10.Сп.Э-50.</v>
          </cell>
          <cell r="AE145">
            <v>38691</v>
          </cell>
        </row>
        <row r="146">
          <cell r="B146">
            <v>3194</v>
          </cell>
          <cell r="C146" t="str">
            <v>55б</v>
          </cell>
          <cell r="F146" t="str">
            <v>УПНПиКРС</v>
          </cell>
          <cell r="H146" t="str">
            <v>ЭЦН</v>
          </cell>
          <cell r="I146" t="str">
            <v>конс.</v>
          </cell>
          <cell r="K146">
            <v>0</v>
          </cell>
          <cell r="L146">
            <v>0</v>
          </cell>
          <cell r="M146">
            <v>0</v>
          </cell>
          <cell r="N146">
            <v>50</v>
          </cell>
          <cell r="O146">
            <v>18.3</v>
          </cell>
          <cell r="P146">
            <v>55</v>
          </cell>
          <cell r="Q146">
            <v>50</v>
          </cell>
          <cell r="R146">
            <v>18.3</v>
          </cell>
          <cell r="S146">
            <v>54.8</v>
          </cell>
          <cell r="T146">
            <v>38706</v>
          </cell>
          <cell r="U146" t="str">
            <v>ГРП</v>
          </cell>
          <cell r="W146" t="str">
            <v>ВЦ.ПР.ГРП ГРП ЮК-10,11.Сп.Э-50</v>
          </cell>
          <cell r="AE146">
            <v>38700</v>
          </cell>
        </row>
        <row r="147">
          <cell r="B147">
            <v>3010</v>
          </cell>
          <cell r="C147">
            <v>51</v>
          </cell>
          <cell r="F147" t="str">
            <v>УПНПиКРС</v>
          </cell>
          <cell r="H147" t="str">
            <v>ЭЦН</v>
          </cell>
          <cell r="I147" t="str">
            <v>бд</v>
          </cell>
          <cell r="J147">
            <v>38683</v>
          </cell>
          <cell r="K147">
            <v>0</v>
          </cell>
          <cell r="L147">
            <v>0</v>
          </cell>
          <cell r="M147">
            <v>0</v>
          </cell>
          <cell r="N147">
            <v>80</v>
          </cell>
          <cell r="O147">
            <v>18</v>
          </cell>
          <cell r="P147">
            <v>72.400000000000006</v>
          </cell>
          <cell r="Q147">
            <v>80</v>
          </cell>
          <cell r="R147">
            <v>18</v>
          </cell>
          <cell r="S147">
            <v>72.2</v>
          </cell>
          <cell r="T147">
            <v>38728</v>
          </cell>
          <cell r="U147" t="str">
            <v>ГРП</v>
          </cell>
          <cell r="W147" t="str">
            <v>ВЗ.ГИС-2.РИР Э/КИР ЮК-11.ГРП ЮК-10.Сп.Э-80</v>
          </cell>
          <cell r="AE147">
            <v>38722</v>
          </cell>
        </row>
        <row r="148">
          <cell r="B148">
            <v>5342</v>
          </cell>
          <cell r="C148">
            <v>101</v>
          </cell>
          <cell r="F148" t="str">
            <v>УПНПиКРС</v>
          </cell>
          <cell r="H148" t="str">
            <v>ШГН</v>
          </cell>
          <cell r="I148" t="str">
            <v>бд</v>
          </cell>
          <cell r="K148">
            <v>0</v>
          </cell>
          <cell r="L148">
            <v>0</v>
          </cell>
          <cell r="M148">
            <v>0</v>
          </cell>
          <cell r="N148">
            <v>50</v>
          </cell>
          <cell r="O148">
            <v>18</v>
          </cell>
          <cell r="P148">
            <v>55.8</v>
          </cell>
          <cell r="Q148">
            <v>50</v>
          </cell>
          <cell r="R148">
            <v>18</v>
          </cell>
          <cell r="S148">
            <v>55.6</v>
          </cell>
          <cell r="T148">
            <v>38717</v>
          </cell>
          <cell r="U148" t="str">
            <v>ГРП</v>
          </cell>
          <cell r="W148" t="str">
            <v>Изв.НКТ.ПП+ДП ЮК-10.ГРП ЮК-10.Сп.Э-50.</v>
          </cell>
          <cell r="AE148">
            <v>38711</v>
          </cell>
        </row>
        <row r="149">
          <cell r="B149">
            <v>3213</v>
          </cell>
          <cell r="C149" t="str">
            <v>55б</v>
          </cell>
          <cell r="F149" t="str">
            <v>УПНПиКРС</v>
          </cell>
          <cell r="H149" t="str">
            <v>ФОН</v>
          </cell>
          <cell r="I149" t="str">
            <v>бд</v>
          </cell>
          <cell r="K149">
            <v>0</v>
          </cell>
          <cell r="L149">
            <v>0</v>
          </cell>
          <cell r="M149">
            <v>0</v>
          </cell>
          <cell r="N149">
            <v>50</v>
          </cell>
          <cell r="O149">
            <v>18</v>
          </cell>
          <cell r="P149">
            <v>55.8</v>
          </cell>
          <cell r="Q149">
            <v>50</v>
          </cell>
          <cell r="R149">
            <v>18</v>
          </cell>
          <cell r="S149">
            <v>55.6</v>
          </cell>
          <cell r="T149">
            <v>38708</v>
          </cell>
          <cell r="U149" t="str">
            <v>ГРП</v>
          </cell>
          <cell r="W149" t="str">
            <v>ВЦ.ВЗ.ПР.ГРП ЮК-10,11.Сп.Э-50</v>
          </cell>
          <cell r="AE149">
            <v>38702</v>
          </cell>
        </row>
        <row r="150">
          <cell r="B150">
            <v>2940</v>
          </cell>
          <cell r="C150">
            <v>46</v>
          </cell>
          <cell r="F150" t="str">
            <v>УПНПиКРС</v>
          </cell>
          <cell r="H150" t="str">
            <v>ЭЦН</v>
          </cell>
          <cell r="I150" t="str">
            <v>бд</v>
          </cell>
          <cell r="K150">
            <v>0</v>
          </cell>
          <cell r="L150">
            <v>0</v>
          </cell>
          <cell r="M150">
            <v>0</v>
          </cell>
          <cell r="N150">
            <v>50</v>
          </cell>
          <cell r="O150">
            <v>18</v>
          </cell>
          <cell r="P150">
            <v>55.8</v>
          </cell>
          <cell r="Q150">
            <v>50</v>
          </cell>
          <cell r="R150">
            <v>18</v>
          </cell>
          <cell r="S150">
            <v>55.6</v>
          </cell>
          <cell r="T150">
            <v>38701</v>
          </cell>
          <cell r="U150" t="str">
            <v>ла</v>
          </cell>
          <cell r="W150" t="str">
            <v>ЛА(изв.ЭЦН,НКТ).Сп.Э-50.</v>
          </cell>
          <cell r="AE150">
            <v>38696</v>
          </cell>
        </row>
        <row r="151">
          <cell r="B151">
            <v>5424</v>
          </cell>
          <cell r="C151">
            <v>101</v>
          </cell>
          <cell r="F151" t="str">
            <v>УПНПиКРС</v>
          </cell>
          <cell r="H151" t="str">
            <v>нагнет.</v>
          </cell>
          <cell r="I151" t="str">
            <v>конс.</v>
          </cell>
          <cell r="J151">
            <v>35802</v>
          </cell>
          <cell r="K151">
            <v>0</v>
          </cell>
          <cell r="L151">
            <v>0</v>
          </cell>
          <cell r="M151">
            <v>0</v>
          </cell>
          <cell r="N151">
            <v>50</v>
          </cell>
          <cell r="O151">
            <v>22</v>
          </cell>
          <cell r="P151">
            <v>46</v>
          </cell>
          <cell r="Q151">
            <v>50</v>
          </cell>
          <cell r="R151">
            <v>22</v>
          </cell>
          <cell r="S151">
            <v>45.7</v>
          </cell>
          <cell r="T151">
            <v>38740</v>
          </cell>
          <cell r="U151" t="str">
            <v>ГРП</v>
          </cell>
          <cell r="W151" t="str">
            <v>ОТСК.(РИР ЭК).ИР ЮК-10.ГРП ЮК-2,3.Сп.Э-50</v>
          </cell>
          <cell r="Y151" t="str">
            <v>ОЦ. Нет подачи</v>
          </cell>
          <cell r="AE151">
            <v>38737</v>
          </cell>
        </row>
        <row r="152">
          <cell r="B152">
            <v>5502</v>
          </cell>
          <cell r="C152">
            <v>110</v>
          </cell>
          <cell r="F152" t="str">
            <v>УПНПиКРС</v>
          </cell>
          <cell r="H152" t="str">
            <v>нагнет.</v>
          </cell>
          <cell r="I152" t="str">
            <v>конс.</v>
          </cell>
          <cell r="J152">
            <v>34305</v>
          </cell>
          <cell r="K152">
            <v>0</v>
          </cell>
          <cell r="L152">
            <v>0</v>
          </cell>
          <cell r="M152">
            <v>0</v>
          </cell>
          <cell r="N152">
            <v>150</v>
          </cell>
          <cell r="Q152">
            <v>150</v>
          </cell>
          <cell r="T152">
            <v>38733</v>
          </cell>
          <cell r="U152" t="str">
            <v>НГ</v>
          </cell>
          <cell r="W152" t="str">
            <v>ПП.ОПЗ.ГИС-3.Сп.пак.ППД.</v>
          </cell>
        </row>
        <row r="153">
          <cell r="B153">
            <v>5503</v>
          </cell>
          <cell r="C153">
            <v>110</v>
          </cell>
          <cell r="F153" t="str">
            <v>УПНПиКРС</v>
          </cell>
          <cell r="H153" t="str">
            <v>нагнет.</v>
          </cell>
          <cell r="I153" t="str">
            <v>конс.</v>
          </cell>
          <cell r="J153">
            <v>35874</v>
          </cell>
          <cell r="K153">
            <v>0</v>
          </cell>
          <cell r="L153">
            <v>0</v>
          </cell>
          <cell r="M153">
            <v>0</v>
          </cell>
          <cell r="N153">
            <v>150</v>
          </cell>
          <cell r="Q153">
            <v>150</v>
          </cell>
          <cell r="T153">
            <v>38748</v>
          </cell>
          <cell r="U153" t="str">
            <v>НГ</v>
          </cell>
          <cell r="W153" t="str">
            <v>ПП.ОПЗ.ГИС-3.Сп.пак.ППД.</v>
          </cell>
        </row>
        <row r="154">
          <cell r="B154">
            <v>5643</v>
          </cell>
          <cell r="C154">
            <v>126</v>
          </cell>
          <cell r="F154" t="str">
            <v>УПНПиКРС</v>
          </cell>
          <cell r="H154" t="str">
            <v>ШГН</v>
          </cell>
          <cell r="I154" t="str">
            <v>бд</v>
          </cell>
          <cell r="K154">
            <v>0</v>
          </cell>
          <cell r="L154">
            <v>0</v>
          </cell>
          <cell r="M154">
            <v>0</v>
          </cell>
          <cell r="N154">
            <v>150</v>
          </cell>
          <cell r="Q154">
            <v>150</v>
          </cell>
          <cell r="T154">
            <v>38748</v>
          </cell>
          <cell r="U154" t="str">
            <v>НГ</v>
          </cell>
          <cell r="W154" t="str">
            <v>Перевод в ППД.ПП.ОПЗ.ГИС-3.Сп.пак.ППД.</v>
          </cell>
        </row>
        <row r="155">
          <cell r="B155">
            <v>5286</v>
          </cell>
          <cell r="C155">
            <v>141</v>
          </cell>
          <cell r="F155" t="str">
            <v>УПНПиКРС</v>
          </cell>
          <cell r="H155" t="str">
            <v>нагнет.</v>
          </cell>
          <cell r="I155" t="str">
            <v>бд</v>
          </cell>
          <cell r="K155">
            <v>0</v>
          </cell>
          <cell r="L155">
            <v>0</v>
          </cell>
          <cell r="M155">
            <v>0</v>
          </cell>
          <cell r="N155">
            <v>150</v>
          </cell>
          <cell r="Q155">
            <v>150</v>
          </cell>
          <cell r="T155">
            <v>38707</v>
          </cell>
          <cell r="U155" t="str">
            <v>НГ</v>
          </cell>
          <cell r="W155" t="str">
            <v>Ревизия ф/а.Рев.пак.ППД.ОПЗ.</v>
          </cell>
          <cell r="AE155">
            <v>37628</v>
          </cell>
        </row>
        <row r="156">
          <cell r="B156">
            <v>5312</v>
          </cell>
          <cell r="C156">
            <v>141</v>
          </cell>
          <cell r="F156" t="str">
            <v>УПНПиКРС</v>
          </cell>
          <cell r="H156" t="str">
            <v>ШГН</v>
          </cell>
          <cell r="I156" t="str">
            <v>действ.</v>
          </cell>
          <cell r="K156">
            <v>0</v>
          </cell>
          <cell r="L156">
            <v>0</v>
          </cell>
          <cell r="M156">
            <v>0</v>
          </cell>
          <cell r="N156">
            <v>150</v>
          </cell>
          <cell r="Q156">
            <v>150</v>
          </cell>
          <cell r="T156">
            <v>38744</v>
          </cell>
          <cell r="U156" t="str">
            <v>НГ</v>
          </cell>
          <cell r="W156" t="str">
            <v>Перевод в ППД.</v>
          </cell>
          <cell r="AE156">
            <v>37628</v>
          </cell>
        </row>
        <row r="157">
          <cell r="B157">
            <v>5591</v>
          </cell>
          <cell r="C157">
            <v>118</v>
          </cell>
          <cell r="F157" t="str">
            <v>ПРС</v>
          </cell>
          <cell r="H157" t="str">
            <v>Ф/Э</v>
          </cell>
          <cell r="I157" t="str">
            <v>конс.</v>
          </cell>
          <cell r="J157">
            <v>34153</v>
          </cell>
          <cell r="K157">
            <v>0</v>
          </cell>
          <cell r="L157">
            <v>0</v>
          </cell>
          <cell r="M157">
            <v>0</v>
          </cell>
          <cell r="N157">
            <v>50</v>
          </cell>
          <cell r="O157">
            <v>6.1</v>
          </cell>
          <cell r="P157">
            <v>85</v>
          </cell>
          <cell r="Q157">
            <v>50</v>
          </cell>
          <cell r="R157">
            <v>6.1</v>
          </cell>
          <cell r="S157">
            <v>84.9</v>
          </cell>
          <cell r="T157">
            <v>38736</v>
          </cell>
          <cell r="U157" t="str">
            <v>бдп</v>
          </cell>
          <cell r="W157" t="str">
            <v>ВЦ.КОПС.спуск Э-50</v>
          </cell>
          <cell r="Z157">
            <v>4</v>
          </cell>
          <cell r="AE157">
            <v>38731</v>
          </cell>
        </row>
        <row r="158">
          <cell r="B158">
            <v>3032</v>
          </cell>
          <cell r="C158">
            <v>51</v>
          </cell>
          <cell r="F158" t="str">
            <v>ПРС</v>
          </cell>
          <cell r="H158" t="str">
            <v>ЭЦН</v>
          </cell>
          <cell r="I158" t="str">
            <v>конс.</v>
          </cell>
          <cell r="J158">
            <v>34700</v>
          </cell>
          <cell r="K158">
            <v>0</v>
          </cell>
          <cell r="L158">
            <v>0</v>
          </cell>
          <cell r="M158">
            <v>0</v>
          </cell>
          <cell r="N158">
            <v>30</v>
          </cell>
          <cell r="O158">
            <v>6.1</v>
          </cell>
          <cell r="P158">
            <v>75</v>
          </cell>
          <cell r="Q158">
            <v>30</v>
          </cell>
          <cell r="R158">
            <v>6.1</v>
          </cell>
          <cell r="S158">
            <v>74.900000000000006</v>
          </cell>
          <cell r="T158">
            <v>38774</v>
          </cell>
          <cell r="U158" t="str">
            <v>бдп</v>
          </cell>
          <cell r="W158" t="str">
            <v>ВЦ.КОПС.спуск Э-30</v>
          </cell>
          <cell r="Z158">
            <v>4</v>
          </cell>
          <cell r="AE158">
            <v>38769</v>
          </cell>
        </row>
        <row r="159">
          <cell r="B159">
            <v>3348</v>
          </cell>
          <cell r="C159">
            <v>64</v>
          </cell>
          <cell r="F159" t="str">
            <v>УПНП</v>
          </cell>
          <cell r="H159" t="str">
            <v>Ф/Э</v>
          </cell>
          <cell r="I159" t="str">
            <v>бд</v>
          </cell>
          <cell r="J159">
            <v>33817</v>
          </cell>
          <cell r="K159">
            <v>0</v>
          </cell>
          <cell r="L159">
            <v>0</v>
          </cell>
          <cell r="M159">
            <v>0</v>
          </cell>
          <cell r="N159">
            <v>25</v>
          </cell>
          <cell r="O159">
            <v>6</v>
          </cell>
          <cell r="P159">
            <v>70.400000000000006</v>
          </cell>
          <cell r="Q159">
            <v>25</v>
          </cell>
          <cell r="R159">
            <v>6</v>
          </cell>
          <cell r="S159">
            <v>70.400000000000006</v>
          </cell>
          <cell r="T159">
            <v>38600</v>
          </cell>
          <cell r="U159" t="str">
            <v>бдк</v>
          </cell>
          <cell r="W159" t="str">
            <v>ВЦ.ЛА(прихв.ЭЦН).ГИС-2.Сп.Э-25.</v>
          </cell>
          <cell r="AE159">
            <v>38595</v>
          </cell>
        </row>
        <row r="160">
          <cell r="B160">
            <v>2860</v>
          </cell>
          <cell r="C160">
            <v>127</v>
          </cell>
          <cell r="F160" t="str">
            <v>УПНП</v>
          </cell>
          <cell r="H160" t="str">
            <v>ЭЦН</v>
          </cell>
          <cell r="I160" t="str">
            <v>действ.</v>
          </cell>
          <cell r="K160">
            <v>0</v>
          </cell>
          <cell r="L160">
            <v>0</v>
          </cell>
          <cell r="M160">
            <v>0</v>
          </cell>
          <cell r="N160">
            <v>105</v>
          </cell>
          <cell r="O160">
            <v>31.7</v>
          </cell>
          <cell r="P160">
            <v>63</v>
          </cell>
          <cell r="Q160">
            <v>105</v>
          </cell>
          <cell r="R160">
            <v>31.7</v>
          </cell>
          <cell r="S160">
            <v>62.7</v>
          </cell>
          <cell r="T160">
            <v>38608</v>
          </cell>
          <cell r="U160" t="str">
            <v>ЛА</v>
          </cell>
          <cell r="W160" t="str">
            <v>ВЗ.Сп.ЭЦН.</v>
          </cell>
          <cell r="AE160">
            <v>38603</v>
          </cell>
        </row>
        <row r="161">
          <cell r="B161">
            <v>3238</v>
          </cell>
          <cell r="C161">
            <v>58</v>
          </cell>
          <cell r="F161" t="str">
            <v>УПНП</v>
          </cell>
          <cell r="H161" t="str">
            <v>нагнет.</v>
          </cell>
          <cell r="I161" t="str">
            <v>конс.</v>
          </cell>
          <cell r="J161">
            <v>33345</v>
          </cell>
          <cell r="N161">
            <v>150</v>
          </cell>
          <cell r="Q161">
            <v>150</v>
          </cell>
          <cell r="T161">
            <v>38626</v>
          </cell>
          <cell r="U161" t="str">
            <v>нг</v>
          </cell>
          <cell r="W161" t="str">
            <v>ВЦ.ПП.ОПЗ.ГИС-3.Сп.пак.ППД.</v>
          </cell>
          <cell r="AE161">
            <v>38593</v>
          </cell>
        </row>
        <row r="162">
          <cell r="B162">
            <v>3236</v>
          </cell>
          <cell r="C162">
            <v>58</v>
          </cell>
          <cell r="F162" t="str">
            <v>УПНП</v>
          </cell>
          <cell r="H162" t="str">
            <v>нагнет.</v>
          </cell>
          <cell r="I162" t="str">
            <v>конс.</v>
          </cell>
          <cell r="J162">
            <v>34324</v>
          </cell>
          <cell r="N162">
            <v>150</v>
          </cell>
          <cell r="Q162">
            <v>150</v>
          </cell>
          <cell r="T162">
            <v>38640</v>
          </cell>
          <cell r="U162" t="str">
            <v>нг</v>
          </cell>
          <cell r="W162" t="str">
            <v>ПП.ОПЗ.ГИС-3.Сп.пак.ППД.</v>
          </cell>
          <cell r="AE162">
            <v>38606</v>
          </cell>
        </row>
        <row r="163">
          <cell r="B163">
            <v>2688</v>
          </cell>
          <cell r="C163">
            <v>160</v>
          </cell>
          <cell r="F163" t="str">
            <v>УПНП</v>
          </cell>
          <cell r="H163" t="str">
            <v>нагнет.</v>
          </cell>
          <cell r="I163" t="str">
            <v>бд</v>
          </cell>
          <cell r="J163">
            <v>38511</v>
          </cell>
          <cell r="N163">
            <v>100</v>
          </cell>
          <cell r="Q163">
            <v>100</v>
          </cell>
          <cell r="T163">
            <v>38600</v>
          </cell>
          <cell r="U163" t="str">
            <v>нг</v>
          </cell>
          <cell r="W163" t="str">
            <v>Ревизия пак.ППД.</v>
          </cell>
          <cell r="AE163">
            <v>38597</v>
          </cell>
        </row>
        <row r="164">
          <cell r="B164">
            <v>5232</v>
          </cell>
          <cell r="C164">
            <v>139</v>
          </cell>
          <cell r="F164" t="str">
            <v>УПНП</v>
          </cell>
          <cell r="H164" t="str">
            <v>нагнет.</v>
          </cell>
          <cell r="I164" t="str">
            <v>бд</v>
          </cell>
          <cell r="J164">
            <v>36078</v>
          </cell>
          <cell r="N164">
            <v>150</v>
          </cell>
          <cell r="Q164">
            <v>150</v>
          </cell>
          <cell r="T164">
            <v>38616</v>
          </cell>
          <cell r="U164" t="str">
            <v>нг</v>
          </cell>
          <cell r="W164" t="str">
            <v>ПП.ОПЗ.ГИС-3.Сп.пак.ППД.</v>
          </cell>
          <cell r="AE164">
            <v>38613</v>
          </cell>
        </row>
        <row r="165">
          <cell r="B165">
            <v>2668</v>
          </cell>
          <cell r="C165" t="str">
            <v>160б</v>
          </cell>
          <cell r="F165" t="str">
            <v>УПНП</v>
          </cell>
          <cell r="H165" t="str">
            <v>ЭЦН</v>
          </cell>
          <cell r="I165" t="str">
            <v>бд</v>
          </cell>
          <cell r="J165">
            <v>38183</v>
          </cell>
          <cell r="N165">
            <v>150</v>
          </cell>
          <cell r="Q165">
            <v>150</v>
          </cell>
          <cell r="T165">
            <v>38614</v>
          </cell>
          <cell r="U165" t="str">
            <v>нг</v>
          </cell>
          <cell r="W165" t="str">
            <v>ЛА(прихв.ЭЦН,НКТ).Перевод в ППД.</v>
          </cell>
          <cell r="AE165">
            <v>38609</v>
          </cell>
        </row>
        <row r="166">
          <cell r="B166">
            <v>2848</v>
          </cell>
          <cell r="C166">
            <v>129</v>
          </cell>
          <cell r="F166" t="str">
            <v>УПНП</v>
          </cell>
          <cell r="H166" t="str">
            <v>ЭЦН</v>
          </cell>
          <cell r="I166" t="str">
            <v>конс.</v>
          </cell>
          <cell r="J166">
            <v>34151</v>
          </cell>
          <cell r="K166">
            <v>0</v>
          </cell>
          <cell r="L166">
            <v>0</v>
          </cell>
          <cell r="M166">
            <v>0</v>
          </cell>
          <cell r="N166">
            <v>50</v>
          </cell>
          <cell r="O166">
            <v>20</v>
          </cell>
          <cell r="P166">
            <v>50.6</v>
          </cell>
          <cell r="Q166">
            <v>50</v>
          </cell>
          <cell r="R166">
            <v>20</v>
          </cell>
          <cell r="S166">
            <v>50.6</v>
          </cell>
          <cell r="T166">
            <v>38686</v>
          </cell>
          <cell r="U166" t="str">
            <v>ГРП</v>
          </cell>
          <cell r="W166" t="str">
            <v>ВЦ,ОТСК,ГРП ЮК-10</v>
          </cell>
          <cell r="AE166">
            <v>38651</v>
          </cell>
        </row>
        <row r="167">
          <cell r="B167">
            <v>5334</v>
          </cell>
          <cell r="C167">
            <v>107</v>
          </cell>
          <cell r="F167" t="str">
            <v>УПНП</v>
          </cell>
          <cell r="H167" t="str">
            <v>нагнет.</v>
          </cell>
          <cell r="I167" t="str">
            <v>конс.</v>
          </cell>
          <cell r="J167">
            <v>32843</v>
          </cell>
          <cell r="N167">
            <v>150</v>
          </cell>
          <cell r="Q167">
            <v>150</v>
          </cell>
          <cell r="T167">
            <v>38627</v>
          </cell>
          <cell r="U167" t="str">
            <v>нг</v>
          </cell>
          <cell r="W167" t="str">
            <v>ИР ЮК-11.ПП.ОПЗ.ГИС-3.Сп.пак.ППД.</v>
          </cell>
        </row>
        <row r="168">
          <cell r="B168">
            <v>5827</v>
          </cell>
          <cell r="C168">
            <v>167</v>
          </cell>
          <cell r="F168" t="str">
            <v>УПНП</v>
          </cell>
          <cell r="H168" t="str">
            <v>Ф/Ш</v>
          </cell>
          <cell r="I168" t="str">
            <v>конс.</v>
          </cell>
          <cell r="J168">
            <v>34029</v>
          </cell>
          <cell r="K168">
            <v>0</v>
          </cell>
          <cell r="L168">
            <v>0</v>
          </cell>
          <cell r="M168">
            <v>0</v>
          </cell>
          <cell r="N168">
            <v>50</v>
          </cell>
          <cell r="O168">
            <v>20</v>
          </cell>
          <cell r="P168">
            <v>50.6</v>
          </cell>
          <cell r="Q168">
            <v>50</v>
          </cell>
          <cell r="R168">
            <v>20</v>
          </cell>
          <cell r="S168">
            <v>50.6</v>
          </cell>
          <cell r="T168">
            <v>38661</v>
          </cell>
          <cell r="U168" t="str">
            <v>грп</v>
          </cell>
          <cell r="W168" t="str">
            <v>ВЦ.ПП+ДП.ГИС-2.РИР ЭК.ГРП ЮК-10</v>
          </cell>
          <cell r="AE168">
            <v>38635</v>
          </cell>
        </row>
        <row r="169">
          <cell r="B169">
            <v>3258</v>
          </cell>
          <cell r="C169">
            <v>66</v>
          </cell>
          <cell r="F169" t="str">
            <v>УПНП</v>
          </cell>
          <cell r="H169" t="str">
            <v>фон</v>
          </cell>
          <cell r="I169" t="str">
            <v>конс.</v>
          </cell>
          <cell r="J169">
            <v>33756</v>
          </cell>
          <cell r="K169">
            <v>0</v>
          </cell>
          <cell r="L169">
            <v>0</v>
          </cell>
          <cell r="M169">
            <v>0</v>
          </cell>
          <cell r="N169">
            <v>30</v>
          </cell>
          <cell r="O169">
            <v>5.9</v>
          </cell>
          <cell r="P169">
            <v>76</v>
          </cell>
          <cell r="Q169">
            <v>30</v>
          </cell>
          <cell r="R169">
            <v>5.9</v>
          </cell>
          <cell r="S169">
            <v>75.7</v>
          </cell>
          <cell r="T169">
            <v>38652</v>
          </cell>
          <cell r="U169" t="str">
            <v>бдк</v>
          </cell>
          <cell r="W169" t="str">
            <v>ВЦ.ПП ЮК-10.Сп.Э-30</v>
          </cell>
          <cell r="AE169">
            <v>38647</v>
          </cell>
        </row>
        <row r="170">
          <cell r="B170">
            <v>5325</v>
          </cell>
          <cell r="C170">
            <v>136</v>
          </cell>
          <cell r="F170" t="str">
            <v>УПНП</v>
          </cell>
          <cell r="H170" t="str">
            <v>Ф/Э</v>
          </cell>
          <cell r="I170" t="str">
            <v>конс.</v>
          </cell>
          <cell r="J170">
            <v>34883</v>
          </cell>
          <cell r="K170">
            <v>0</v>
          </cell>
          <cell r="L170">
            <v>0</v>
          </cell>
          <cell r="M170">
            <v>0</v>
          </cell>
          <cell r="N170">
            <v>50</v>
          </cell>
          <cell r="O170">
            <v>6</v>
          </cell>
          <cell r="P170">
            <v>85.2</v>
          </cell>
          <cell r="Q170">
            <v>50</v>
          </cell>
          <cell r="R170">
            <v>6</v>
          </cell>
          <cell r="S170">
            <v>85.2</v>
          </cell>
          <cell r="T170">
            <v>38636</v>
          </cell>
          <cell r="U170" t="str">
            <v>бдк</v>
          </cell>
          <cell r="W170" t="str">
            <v>ВЦ.ПП ЮК-10.Сп.Э-80</v>
          </cell>
          <cell r="AE170">
            <v>38631</v>
          </cell>
        </row>
        <row r="171">
          <cell r="B171">
            <v>2926</v>
          </cell>
          <cell r="C171">
            <v>132</v>
          </cell>
          <cell r="F171" t="str">
            <v>УПНПиКРС</v>
          </cell>
          <cell r="G171">
            <v>260</v>
          </cell>
          <cell r="H171" t="str">
            <v>ФОН</v>
          </cell>
          <cell r="I171" t="str">
            <v>бд</v>
          </cell>
          <cell r="J171">
            <v>34028</v>
          </cell>
          <cell r="K171">
            <v>0</v>
          </cell>
          <cell r="L171">
            <v>0</v>
          </cell>
          <cell r="M171">
            <v>0</v>
          </cell>
          <cell r="N171">
            <v>50</v>
          </cell>
          <cell r="O171">
            <v>20.8</v>
          </cell>
          <cell r="P171">
            <v>49</v>
          </cell>
          <cell r="Q171">
            <v>50</v>
          </cell>
          <cell r="R171">
            <v>20.8</v>
          </cell>
          <cell r="S171">
            <v>48.6</v>
          </cell>
          <cell r="T171">
            <v>38635</v>
          </cell>
          <cell r="U171" t="str">
            <v>ГРП</v>
          </cell>
          <cell r="W171" t="str">
            <v>ВЗ.ПП.ГРП.Сп.ЭЦН-50</v>
          </cell>
          <cell r="AE171">
            <v>38630</v>
          </cell>
        </row>
        <row r="172">
          <cell r="B172">
            <v>5232</v>
          </cell>
          <cell r="C172">
            <v>139</v>
          </cell>
          <cell r="F172" t="str">
            <v>УПНПиКРС</v>
          </cell>
          <cell r="G172" t="str">
            <v>280</v>
          </cell>
          <cell r="H172" t="str">
            <v>нагнет.</v>
          </cell>
          <cell r="I172" t="str">
            <v>бд</v>
          </cell>
          <cell r="J172">
            <v>36078</v>
          </cell>
          <cell r="N172">
            <v>150</v>
          </cell>
          <cell r="Q172">
            <v>150</v>
          </cell>
          <cell r="T172">
            <v>38648</v>
          </cell>
          <cell r="U172" t="str">
            <v>НГ</v>
          </cell>
          <cell r="W172" t="str">
            <v>ПП.ОПЗ.ГИС-3.Сп.пак.ППД.</v>
          </cell>
        </row>
        <row r="173">
          <cell r="B173">
            <v>2705</v>
          </cell>
          <cell r="C173" t="str">
            <v>160б</v>
          </cell>
          <cell r="F173" t="str">
            <v>УПНПиКРС</v>
          </cell>
          <cell r="G173">
            <v>260</v>
          </cell>
          <cell r="H173" t="str">
            <v>ШГН</v>
          </cell>
          <cell r="I173" t="str">
            <v>бд</v>
          </cell>
          <cell r="J173">
            <v>36332</v>
          </cell>
          <cell r="K173">
            <v>0</v>
          </cell>
          <cell r="L173">
            <v>0</v>
          </cell>
          <cell r="M173">
            <v>0</v>
          </cell>
          <cell r="N173">
            <v>50</v>
          </cell>
          <cell r="O173">
            <v>20.8</v>
          </cell>
          <cell r="P173">
            <v>49</v>
          </cell>
          <cell r="Q173">
            <v>50</v>
          </cell>
          <cell r="R173">
            <v>20.8</v>
          </cell>
          <cell r="S173">
            <v>48.6</v>
          </cell>
          <cell r="T173">
            <v>38640</v>
          </cell>
          <cell r="U173" t="str">
            <v>ГРП</v>
          </cell>
          <cell r="W173" t="str">
            <v>ПР.РИР ЭК.ГРП ЮК-10.Осв.Сп.Э-80.</v>
          </cell>
          <cell r="AD173" t="e">
            <v>#REF!</v>
          </cell>
          <cell r="AE173">
            <v>38635</v>
          </cell>
          <cell r="AF173">
            <v>40</v>
          </cell>
        </row>
        <row r="174">
          <cell r="B174">
            <v>5344</v>
          </cell>
          <cell r="C174">
            <v>102</v>
          </cell>
          <cell r="F174" t="str">
            <v>УПНПиКРС</v>
          </cell>
          <cell r="H174" t="str">
            <v>ШГН</v>
          </cell>
          <cell r="I174" t="str">
            <v>бд</v>
          </cell>
          <cell r="J174">
            <v>37273</v>
          </cell>
          <cell r="K174">
            <v>0</v>
          </cell>
          <cell r="L174">
            <v>0</v>
          </cell>
          <cell r="M174">
            <v>0</v>
          </cell>
          <cell r="N174">
            <v>21</v>
          </cell>
          <cell r="O174">
            <v>2.4</v>
          </cell>
          <cell r="P174">
            <v>86</v>
          </cell>
          <cell r="Q174">
            <v>21</v>
          </cell>
          <cell r="R174">
            <v>2.4</v>
          </cell>
          <cell r="S174">
            <v>85.9</v>
          </cell>
          <cell r="T174">
            <v>38629</v>
          </cell>
          <cell r="U174" t="str">
            <v>опз</v>
          </cell>
          <cell r="W174" t="str">
            <v>ОПЗ СНВ</v>
          </cell>
          <cell r="AE174">
            <v>38624</v>
          </cell>
          <cell r="AG174">
            <v>-74448</v>
          </cell>
          <cell r="AH174">
            <v>-744480</v>
          </cell>
        </row>
        <row r="175">
          <cell r="B175">
            <v>5343</v>
          </cell>
          <cell r="C175">
            <v>101</v>
          </cell>
          <cell r="F175" t="str">
            <v>УПНПиКРС</v>
          </cell>
          <cell r="H175" t="str">
            <v>ШГН</v>
          </cell>
          <cell r="I175" t="str">
            <v>бд</v>
          </cell>
          <cell r="J175">
            <v>35034</v>
          </cell>
          <cell r="K175">
            <v>0</v>
          </cell>
          <cell r="L175">
            <v>0</v>
          </cell>
          <cell r="M175">
            <v>0</v>
          </cell>
          <cell r="N175">
            <v>50</v>
          </cell>
          <cell r="O175">
            <v>20.8</v>
          </cell>
          <cell r="P175">
            <v>49</v>
          </cell>
          <cell r="Q175">
            <v>50</v>
          </cell>
          <cell r="R175">
            <v>20.8</v>
          </cell>
          <cell r="S175">
            <v>48.6</v>
          </cell>
          <cell r="T175">
            <v>38656</v>
          </cell>
          <cell r="U175" t="str">
            <v>ГРП</v>
          </cell>
          <cell r="W175" t="str">
            <v>ВЦ.ЛА(изв.НКТ).ГРП ЮК-10.Сп.Э-50.</v>
          </cell>
          <cell r="AE175">
            <v>38651</v>
          </cell>
          <cell r="AG175">
            <v>-152381</v>
          </cell>
          <cell r="AH175">
            <v>-3753766</v>
          </cell>
        </row>
        <row r="176">
          <cell r="B176">
            <v>3349</v>
          </cell>
          <cell r="C176">
            <v>64</v>
          </cell>
          <cell r="F176" t="str">
            <v>УПНПиКРС</v>
          </cell>
          <cell r="H176" t="str">
            <v>фон</v>
          </cell>
          <cell r="I176" t="str">
            <v>конс.</v>
          </cell>
          <cell r="J176">
            <v>34485</v>
          </cell>
          <cell r="K176">
            <v>0</v>
          </cell>
          <cell r="L176">
            <v>0</v>
          </cell>
          <cell r="M176">
            <v>0</v>
          </cell>
          <cell r="N176">
            <v>50</v>
          </cell>
          <cell r="O176">
            <v>6</v>
          </cell>
          <cell r="P176">
            <v>85.2</v>
          </cell>
          <cell r="Q176">
            <v>50</v>
          </cell>
          <cell r="R176">
            <v>6</v>
          </cell>
          <cell r="S176">
            <v>85.2</v>
          </cell>
          <cell r="T176">
            <v>38628</v>
          </cell>
          <cell r="U176" t="str">
            <v>бдк</v>
          </cell>
          <cell r="W176" t="str">
            <v>ВЦ.ПП+ДП КВ.ОПЗ.Сп.Э-50</v>
          </cell>
          <cell r="AE176">
            <v>38623</v>
          </cell>
        </row>
        <row r="177">
          <cell r="B177">
            <v>3346</v>
          </cell>
          <cell r="C177">
            <v>64</v>
          </cell>
          <cell r="F177" t="str">
            <v>УПНПиКРС</v>
          </cell>
          <cell r="H177" t="str">
            <v>Ф/Ш</v>
          </cell>
          <cell r="I177" t="str">
            <v>конс.</v>
          </cell>
          <cell r="J177">
            <v>33756</v>
          </cell>
          <cell r="K177">
            <v>0</v>
          </cell>
          <cell r="L177">
            <v>0</v>
          </cell>
          <cell r="M177">
            <v>0</v>
          </cell>
          <cell r="N177">
            <v>30</v>
          </cell>
          <cell r="O177">
            <v>5.9</v>
          </cell>
          <cell r="P177">
            <v>76</v>
          </cell>
          <cell r="Q177">
            <v>30</v>
          </cell>
          <cell r="R177">
            <v>5.9</v>
          </cell>
          <cell r="S177">
            <v>75.7</v>
          </cell>
          <cell r="T177">
            <v>38651</v>
          </cell>
          <cell r="U177" t="str">
            <v>бдк</v>
          </cell>
          <cell r="W177" t="str">
            <v>ВЦ.ПП ЮК-10.Сп.Э-30.</v>
          </cell>
          <cell r="AE177">
            <v>38646</v>
          </cell>
        </row>
        <row r="178">
          <cell r="B178">
            <v>3104</v>
          </cell>
          <cell r="C178">
            <v>56</v>
          </cell>
          <cell r="F178" t="str">
            <v>УПНПиКРС</v>
          </cell>
          <cell r="H178" t="str">
            <v>ЭЦН</v>
          </cell>
          <cell r="I178" t="str">
            <v>конс.</v>
          </cell>
          <cell r="J178">
            <v>35065</v>
          </cell>
          <cell r="K178">
            <v>0</v>
          </cell>
          <cell r="L178">
            <v>0</v>
          </cell>
          <cell r="M178">
            <v>0</v>
          </cell>
          <cell r="N178">
            <v>80</v>
          </cell>
          <cell r="O178">
            <v>6</v>
          </cell>
          <cell r="P178">
            <v>90.8</v>
          </cell>
          <cell r="Q178">
            <v>80</v>
          </cell>
          <cell r="R178">
            <v>6</v>
          </cell>
          <cell r="S178">
            <v>90.7</v>
          </cell>
          <cell r="T178">
            <v>38646</v>
          </cell>
          <cell r="U178" t="str">
            <v>бдк</v>
          </cell>
          <cell r="W178" t="str">
            <v>ВЦ.ПП ЮК-11.ДП КВ.Инт.притока.Сп.Э-80.</v>
          </cell>
          <cell r="AE178">
            <v>38641</v>
          </cell>
        </row>
        <row r="179">
          <cell r="B179">
            <v>3107</v>
          </cell>
          <cell r="C179">
            <v>56</v>
          </cell>
          <cell r="F179" t="str">
            <v>УПНПиКРС</v>
          </cell>
          <cell r="H179" t="str">
            <v>нагнет.</v>
          </cell>
          <cell r="I179" t="str">
            <v>конс.</v>
          </cell>
          <cell r="J179">
            <v>33578</v>
          </cell>
          <cell r="N179">
            <v>150</v>
          </cell>
          <cell r="Q179">
            <v>150</v>
          </cell>
          <cell r="T179">
            <v>38656</v>
          </cell>
          <cell r="U179" t="str">
            <v>нг</v>
          </cell>
          <cell r="W179" t="str">
            <v>ПП.ОПЗ.ГИС-3.Сп.пак.ППД.</v>
          </cell>
        </row>
        <row r="180">
          <cell r="B180">
            <v>3658</v>
          </cell>
          <cell r="C180">
            <v>76</v>
          </cell>
          <cell r="F180" t="str">
            <v>ООО БАРС-МК</v>
          </cell>
          <cell r="H180" t="str">
            <v>ЭЦН</v>
          </cell>
          <cell r="I180" t="str">
            <v>конс.</v>
          </cell>
          <cell r="K180">
            <v>0</v>
          </cell>
          <cell r="L180">
            <v>0</v>
          </cell>
          <cell r="M180">
            <v>0</v>
          </cell>
          <cell r="N180">
            <v>50</v>
          </cell>
          <cell r="O180">
            <v>3</v>
          </cell>
          <cell r="P180">
            <v>92.6</v>
          </cell>
          <cell r="Q180">
            <v>50</v>
          </cell>
          <cell r="R180">
            <v>3</v>
          </cell>
          <cell r="S180">
            <v>92.6</v>
          </cell>
          <cell r="T180">
            <v>38673</v>
          </cell>
          <cell r="U180" t="str">
            <v>бдп</v>
          </cell>
          <cell r="W180" t="str">
            <v>ВЦ(БАРС-МК),сп.Э-50</v>
          </cell>
        </row>
        <row r="181">
          <cell r="B181">
            <v>2924</v>
          </cell>
          <cell r="C181">
            <v>132</v>
          </cell>
          <cell r="F181" t="str">
            <v>ООО БАРС-МК</v>
          </cell>
          <cell r="H181" t="str">
            <v>ФОН</v>
          </cell>
          <cell r="I181" t="str">
            <v>конс.</v>
          </cell>
          <cell r="K181">
            <v>0</v>
          </cell>
          <cell r="L181">
            <v>0</v>
          </cell>
          <cell r="M181">
            <v>0</v>
          </cell>
          <cell r="N181">
            <v>50</v>
          </cell>
          <cell r="O181">
            <v>3</v>
          </cell>
          <cell r="P181">
            <v>92.6</v>
          </cell>
          <cell r="Q181">
            <v>50</v>
          </cell>
          <cell r="R181">
            <v>3</v>
          </cell>
          <cell r="S181">
            <v>92.6</v>
          </cell>
          <cell r="T181">
            <v>38697</v>
          </cell>
          <cell r="U181" t="str">
            <v>бдп</v>
          </cell>
          <cell r="W181" t="str">
            <v>ВЦ(БАРС-МК),сп.Э-50</v>
          </cell>
        </row>
        <row r="182">
          <cell r="B182">
            <v>5494</v>
          </cell>
          <cell r="C182">
            <v>106</v>
          </cell>
          <cell r="F182" t="str">
            <v>УПНП</v>
          </cell>
          <cell r="G182">
            <v>260</v>
          </cell>
          <cell r="H182" t="str">
            <v>нагнет.</v>
          </cell>
          <cell r="I182" t="str">
            <v>бд</v>
          </cell>
          <cell r="J182">
            <v>36676</v>
          </cell>
          <cell r="K182">
            <v>0</v>
          </cell>
          <cell r="L182">
            <v>0</v>
          </cell>
          <cell r="M182">
            <v>0</v>
          </cell>
          <cell r="N182">
            <v>200</v>
          </cell>
          <cell r="Q182">
            <v>200</v>
          </cell>
          <cell r="R182">
            <v>0</v>
          </cell>
          <cell r="S182">
            <v>23</v>
          </cell>
          <cell r="T182">
            <v>38343</v>
          </cell>
          <cell r="U182" t="str">
            <v>НГ</v>
          </cell>
          <cell r="W182" t="str">
            <v>ЛА.Инт.прием,ПП,ГИС-3,ОПЗ,сп.пакера</v>
          </cell>
          <cell r="AD182">
            <v>38285</v>
          </cell>
          <cell r="AE182">
            <v>38340</v>
          </cell>
        </row>
        <row r="183">
          <cell r="B183">
            <v>5438</v>
          </cell>
          <cell r="C183">
            <v>106</v>
          </cell>
          <cell r="F183" t="str">
            <v>УПНП</v>
          </cell>
          <cell r="G183">
            <v>260</v>
          </cell>
          <cell r="H183" t="str">
            <v>нагнет.</v>
          </cell>
          <cell r="I183" t="str">
            <v>конс.</v>
          </cell>
          <cell r="J183">
            <v>34324</v>
          </cell>
          <cell r="K183">
            <v>0</v>
          </cell>
          <cell r="L183">
            <v>0</v>
          </cell>
          <cell r="M183">
            <v>0</v>
          </cell>
          <cell r="N183">
            <v>200</v>
          </cell>
          <cell r="Q183">
            <v>200</v>
          </cell>
          <cell r="R183">
            <v>0</v>
          </cell>
          <cell r="S183">
            <v>23</v>
          </cell>
          <cell r="T183">
            <v>38317</v>
          </cell>
          <cell r="U183" t="str">
            <v>НГ</v>
          </cell>
          <cell r="W183" t="str">
            <v>Инт.прием,ПП,ГИС-3,ОПЗ,сп.пакера</v>
          </cell>
          <cell r="AD183">
            <v>38300</v>
          </cell>
          <cell r="AE183">
            <v>38314</v>
          </cell>
        </row>
        <row r="184">
          <cell r="B184">
            <v>5632</v>
          </cell>
          <cell r="C184">
            <v>120</v>
          </cell>
          <cell r="F184" t="str">
            <v>УПНП</v>
          </cell>
          <cell r="G184">
            <v>270</v>
          </cell>
          <cell r="H184" t="str">
            <v>нагнет.</v>
          </cell>
          <cell r="I184" t="str">
            <v>бд</v>
          </cell>
          <cell r="J184">
            <v>36876</v>
          </cell>
          <cell r="K184">
            <v>0</v>
          </cell>
          <cell r="L184">
            <v>0</v>
          </cell>
          <cell r="M184">
            <v>0</v>
          </cell>
          <cell r="N184">
            <v>200</v>
          </cell>
          <cell r="Q184">
            <v>200</v>
          </cell>
          <cell r="R184">
            <v>0</v>
          </cell>
          <cell r="T184">
            <v>38305</v>
          </cell>
          <cell r="U184" t="str">
            <v>НГ</v>
          </cell>
          <cell r="W184" t="str">
            <v>ОТСК,ПП,ОПЗ,ГИС-3,сп.пакера</v>
          </cell>
          <cell r="AD184">
            <v>38288</v>
          </cell>
          <cell r="AE184">
            <v>38302</v>
          </cell>
        </row>
        <row r="185">
          <cell r="B185">
            <v>5612</v>
          </cell>
          <cell r="C185">
            <v>115</v>
          </cell>
          <cell r="F185" t="str">
            <v>УПНП</v>
          </cell>
          <cell r="G185">
            <v>250</v>
          </cell>
          <cell r="H185" t="str">
            <v>нагнет.</v>
          </cell>
          <cell r="I185" t="str">
            <v>действ.</v>
          </cell>
          <cell r="K185">
            <v>37</v>
          </cell>
          <cell r="L185">
            <v>0</v>
          </cell>
          <cell r="M185">
            <v>0</v>
          </cell>
          <cell r="N185">
            <v>100</v>
          </cell>
          <cell r="Q185">
            <v>100</v>
          </cell>
          <cell r="T185">
            <v>38336</v>
          </cell>
          <cell r="U185" t="str">
            <v>НГ</v>
          </cell>
          <cell r="W185" t="str">
            <v>Инт.прием,ГИС-3,ОПЗ,сп.пакера</v>
          </cell>
          <cell r="AD185">
            <v>38319</v>
          </cell>
          <cell r="AE185">
            <v>38333</v>
          </cell>
        </row>
        <row r="186">
          <cell r="B186">
            <v>2859</v>
          </cell>
          <cell r="C186">
            <v>127</v>
          </cell>
          <cell r="F186" t="str">
            <v>УПНП</v>
          </cell>
          <cell r="G186">
            <v>270</v>
          </cell>
          <cell r="H186" t="str">
            <v>нагнет.</v>
          </cell>
          <cell r="I186" t="str">
            <v>конс.</v>
          </cell>
          <cell r="J186">
            <v>34258</v>
          </cell>
          <cell r="N186">
            <v>200</v>
          </cell>
          <cell r="Q186">
            <v>200</v>
          </cell>
          <cell r="T186">
            <v>38300</v>
          </cell>
          <cell r="U186" t="str">
            <v>НГ</v>
          </cell>
          <cell r="W186" t="str">
            <v>ОТСК,ПП,ОПЗ,ГИС-3,сп.пакера</v>
          </cell>
          <cell r="AD186">
            <v>38283</v>
          </cell>
          <cell r="AE186">
            <v>38297</v>
          </cell>
        </row>
        <row r="187">
          <cell r="B187">
            <v>2742</v>
          </cell>
          <cell r="C187">
            <v>165</v>
          </cell>
          <cell r="F187" t="str">
            <v>УПНП</v>
          </cell>
          <cell r="G187">
            <v>260</v>
          </cell>
          <cell r="H187" t="str">
            <v>нагнет.</v>
          </cell>
          <cell r="I187" t="str">
            <v>бд</v>
          </cell>
          <cell r="J187">
            <v>37894</v>
          </cell>
          <cell r="N187">
            <v>200</v>
          </cell>
          <cell r="Q187">
            <v>200</v>
          </cell>
          <cell r="T187">
            <v>38298</v>
          </cell>
          <cell r="U187" t="str">
            <v>НГ</v>
          </cell>
          <cell r="W187" t="str">
            <v>ОТСК,ПП,ОПЗ,ГИС-3,сп.пакера</v>
          </cell>
          <cell r="AD187">
            <v>38281</v>
          </cell>
          <cell r="AE187">
            <v>38295</v>
          </cell>
        </row>
        <row r="188">
          <cell r="B188">
            <v>2741</v>
          </cell>
          <cell r="C188">
            <v>165</v>
          </cell>
          <cell r="F188" t="str">
            <v>УПНП</v>
          </cell>
          <cell r="G188">
            <v>260</v>
          </cell>
          <cell r="H188" t="str">
            <v>нагнет.</v>
          </cell>
          <cell r="I188" t="str">
            <v>бд</v>
          </cell>
          <cell r="J188">
            <v>37894</v>
          </cell>
          <cell r="N188">
            <v>200</v>
          </cell>
          <cell r="P188">
            <v>100</v>
          </cell>
          <cell r="Q188">
            <v>200</v>
          </cell>
          <cell r="T188">
            <v>38313</v>
          </cell>
          <cell r="U188" t="str">
            <v>НГ</v>
          </cell>
          <cell r="W188" t="str">
            <v>ОТСК,ПП,ОПЗ,ГИС-3,сп.пакера</v>
          </cell>
          <cell r="AD188">
            <v>38296</v>
          </cell>
          <cell r="AE188">
            <v>38310</v>
          </cell>
        </row>
        <row r="189">
          <cell r="B189">
            <v>2846</v>
          </cell>
          <cell r="C189">
            <v>129</v>
          </cell>
          <cell r="F189" t="str">
            <v>УПНП</v>
          </cell>
          <cell r="G189">
            <v>250</v>
          </cell>
          <cell r="H189" t="str">
            <v>ЭЦН</v>
          </cell>
          <cell r="I189" t="str">
            <v>бдтг</v>
          </cell>
          <cell r="K189">
            <v>10</v>
          </cell>
          <cell r="L189">
            <v>3.5</v>
          </cell>
          <cell r="M189">
            <v>56.7</v>
          </cell>
          <cell r="N189">
            <v>80</v>
          </cell>
          <cell r="O189">
            <v>28</v>
          </cell>
          <cell r="P189">
            <v>57</v>
          </cell>
          <cell r="Q189">
            <v>80</v>
          </cell>
          <cell r="R189">
            <v>28</v>
          </cell>
          <cell r="S189">
            <v>57</v>
          </cell>
          <cell r="T189">
            <v>38301</v>
          </cell>
          <cell r="U189" t="str">
            <v>ГРП</v>
          </cell>
          <cell r="W189" t="str">
            <v>ВЦ,ПР к ГРП ЮК-10,осв.,сп.Э-80</v>
          </cell>
          <cell r="AD189">
            <v>38274</v>
          </cell>
          <cell r="AE189">
            <v>38296</v>
          </cell>
        </row>
        <row r="190">
          <cell r="B190">
            <v>3195</v>
          </cell>
          <cell r="C190">
            <v>58</v>
          </cell>
          <cell r="F190" t="str">
            <v>УПНП</v>
          </cell>
          <cell r="G190">
            <v>255</v>
          </cell>
          <cell r="H190" t="str">
            <v>ШГН</v>
          </cell>
          <cell r="I190" t="str">
            <v>конс.</v>
          </cell>
          <cell r="J190">
            <v>33817</v>
          </cell>
          <cell r="K190">
            <v>0</v>
          </cell>
          <cell r="L190">
            <v>0</v>
          </cell>
          <cell r="M190">
            <v>0</v>
          </cell>
          <cell r="N190">
            <v>80</v>
          </cell>
          <cell r="O190">
            <v>24.8</v>
          </cell>
          <cell r="P190">
            <v>62</v>
          </cell>
          <cell r="Q190">
            <v>80</v>
          </cell>
          <cell r="R190">
            <v>24.8</v>
          </cell>
          <cell r="S190">
            <v>61.7</v>
          </cell>
          <cell r="T190">
            <v>38292</v>
          </cell>
          <cell r="U190" t="str">
            <v>ГРП</v>
          </cell>
          <cell r="W190" t="str">
            <v>ВЦ,ВЗ,ПП ЮК-10-11,ГПР,сп.Э-80</v>
          </cell>
          <cell r="AD190">
            <v>38280</v>
          </cell>
          <cell r="AE190">
            <v>38287</v>
          </cell>
        </row>
        <row r="191">
          <cell r="B191">
            <v>3216</v>
          </cell>
          <cell r="C191">
            <v>58</v>
          </cell>
          <cell r="F191" t="str">
            <v>УПНП</v>
          </cell>
          <cell r="G191">
            <v>270</v>
          </cell>
          <cell r="H191" t="str">
            <v>ШГН</v>
          </cell>
          <cell r="I191" t="str">
            <v>бд</v>
          </cell>
          <cell r="J191">
            <v>35780</v>
          </cell>
          <cell r="K191">
            <v>0</v>
          </cell>
          <cell r="L191">
            <v>0</v>
          </cell>
          <cell r="M191">
            <v>0</v>
          </cell>
          <cell r="N191">
            <v>80</v>
          </cell>
          <cell r="O191">
            <v>24.1</v>
          </cell>
          <cell r="P191">
            <v>63</v>
          </cell>
          <cell r="Q191">
            <v>80</v>
          </cell>
          <cell r="R191">
            <v>24.1</v>
          </cell>
          <cell r="S191">
            <v>62.8</v>
          </cell>
          <cell r="T191">
            <v>38325</v>
          </cell>
          <cell r="U191" t="str">
            <v>ГРП</v>
          </cell>
          <cell r="W191" t="str">
            <v>ВЦ,ПП ЮК-10,ГРП,сп.Э-80</v>
          </cell>
          <cell r="AD191">
            <v>38288</v>
          </cell>
          <cell r="AE191">
            <v>38320</v>
          </cell>
        </row>
        <row r="192">
          <cell r="B192">
            <v>5310</v>
          </cell>
          <cell r="C192">
            <v>140</v>
          </cell>
          <cell r="F192" t="str">
            <v>УПНП</v>
          </cell>
          <cell r="G192">
            <v>250</v>
          </cell>
          <cell r="H192" t="str">
            <v>ШГН</v>
          </cell>
          <cell r="I192" t="str">
            <v>бд</v>
          </cell>
          <cell r="K192">
            <v>0</v>
          </cell>
          <cell r="L192">
            <v>0</v>
          </cell>
          <cell r="M192">
            <v>0</v>
          </cell>
          <cell r="N192">
            <v>54</v>
          </cell>
          <cell r="O192">
            <v>26.8</v>
          </cell>
          <cell r="P192">
            <v>39</v>
          </cell>
          <cell r="Q192">
            <v>54</v>
          </cell>
          <cell r="R192">
            <v>26.8</v>
          </cell>
          <cell r="S192">
            <v>39</v>
          </cell>
          <cell r="T192">
            <v>38354</v>
          </cell>
          <cell r="U192" t="str">
            <v>ЛА</v>
          </cell>
          <cell r="W192" t="str">
            <v>Извлечение ЭЦН</v>
          </cell>
          <cell r="AD192">
            <v>38254</v>
          </cell>
          <cell r="AE192">
            <v>38289</v>
          </cell>
        </row>
        <row r="193">
          <cell r="B193">
            <v>2889</v>
          </cell>
          <cell r="C193">
            <v>132</v>
          </cell>
          <cell r="F193" t="str">
            <v>УПНП</v>
          </cell>
          <cell r="G193">
            <v>230</v>
          </cell>
          <cell r="H193" t="str">
            <v>ШГН</v>
          </cell>
          <cell r="I193" t="str">
            <v>бд</v>
          </cell>
          <cell r="J193">
            <v>32302</v>
          </cell>
          <cell r="K193">
            <v>0</v>
          </cell>
          <cell r="L193">
            <v>0</v>
          </cell>
          <cell r="M193">
            <v>0</v>
          </cell>
          <cell r="N193">
            <v>80</v>
          </cell>
          <cell r="O193">
            <v>24.1</v>
          </cell>
          <cell r="P193">
            <v>63</v>
          </cell>
          <cell r="Q193">
            <v>80</v>
          </cell>
          <cell r="R193">
            <v>24.1</v>
          </cell>
          <cell r="S193">
            <v>62.8</v>
          </cell>
          <cell r="T193">
            <v>38322</v>
          </cell>
          <cell r="U193" t="str">
            <v>ГРП</v>
          </cell>
          <cell r="W193" t="str">
            <v>ВЦ с ЛА(извл.штанг ),ГИС-2,ГРП ЮК-10,сп.Э-80</v>
          </cell>
          <cell r="AD193">
            <v>38261</v>
          </cell>
          <cell r="AE193">
            <v>38317</v>
          </cell>
        </row>
        <row r="194">
          <cell r="B194">
            <v>2634</v>
          </cell>
          <cell r="C194" t="str">
            <v>157б</v>
          </cell>
          <cell r="F194" t="str">
            <v>УПНП</v>
          </cell>
          <cell r="G194">
            <v>230</v>
          </cell>
          <cell r="H194" t="str">
            <v>ШГН</v>
          </cell>
          <cell r="I194" t="str">
            <v>конс.</v>
          </cell>
          <cell r="N194">
            <v>6</v>
          </cell>
          <cell r="O194">
            <v>3.2</v>
          </cell>
          <cell r="P194">
            <v>35</v>
          </cell>
          <cell r="Q194">
            <v>6</v>
          </cell>
          <cell r="R194">
            <v>3.2</v>
          </cell>
          <cell r="S194">
            <v>34.200000000000003</v>
          </cell>
          <cell r="T194">
            <v>38327</v>
          </cell>
          <cell r="U194" t="str">
            <v>вцд</v>
          </cell>
          <cell r="W194" t="str">
            <v>ВЦ.Смена НВ-32</v>
          </cell>
          <cell r="AE194">
            <v>38322</v>
          </cell>
        </row>
        <row r="195">
          <cell r="B195">
            <v>2718</v>
          </cell>
          <cell r="C195">
            <v>165</v>
          </cell>
          <cell r="F195" t="str">
            <v>УПНП</v>
          </cell>
          <cell r="G195">
            <v>230</v>
          </cell>
          <cell r="H195" t="str">
            <v>ШГН</v>
          </cell>
          <cell r="I195" t="str">
            <v>бд</v>
          </cell>
          <cell r="N195">
            <v>6</v>
          </cell>
          <cell r="O195">
            <v>3.2</v>
          </cell>
          <cell r="P195">
            <v>35</v>
          </cell>
          <cell r="Q195">
            <v>6</v>
          </cell>
          <cell r="R195">
            <v>3.2</v>
          </cell>
          <cell r="S195">
            <v>34.200000000000003</v>
          </cell>
          <cell r="T195">
            <v>38310</v>
          </cell>
          <cell r="U195" t="str">
            <v>вцд</v>
          </cell>
          <cell r="W195" t="str">
            <v>ВЦ.Смена НВ-32</v>
          </cell>
        </row>
        <row r="196">
          <cell r="B196">
            <v>4220</v>
          </cell>
          <cell r="C196">
            <v>315</v>
          </cell>
          <cell r="F196" t="str">
            <v>УПНП</v>
          </cell>
          <cell r="G196">
            <v>240</v>
          </cell>
          <cell r="H196" t="str">
            <v>ЭЦН</v>
          </cell>
          <cell r="I196" t="str">
            <v>конс.</v>
          </cell>
          <cell r="J196">
            <v>37501</v>
          </cell>
          <cell r="N196">
            <v>50</v>
          </cell>
          <cell r="O196">
            <v>24.1</v>
          </cell>
          <cell r="P196">
            <v>40.9</v>
          </cell>
          <cell r="Q196">
            <v>50</v>
          </cell>
          <cell r="R196">
            <v>24.1</v>
          </cell>
          <cell r="S196">
            <v>40.5</v>
          </cell>
          <cell r="T196">
            <v>38323</v>
          </cell>
          <cell r="U196" t="str">
            <v>ГРП</v>
          </cell>
          <cell r="W196" t="str">
            <v>ИР ЮК-10,ДП ЮК-2,ГРП.осв.</v>
          </cell>
          <cell r="AD196">
            <v>38297</v>
          </cell>
          <cell r="AE196">
            <v>38318</v>
          </cell>
        </row>
        <row r="197">
          <cell r="B197">
            <v>5309</v>
          </cell>
          <cell r="C197">
            <v>140</v>
          </cell>
          <cell r="F197" t="str">
            <v>УПНП</v>
          </cell>
          <cell r="G197">
            <v>270</v>
          </cell>
          <cell r="H197" t="str">
            <v>ШГН</v>
          </cell>
          <cell r="I197" t="str">
            <v>бдтг</v>
          </cell>
          <cell r="K197">
            <v>0</v>
          </cell>
          <cell r="L197">
            <v>0</v>
          </cell>
          <cell r="M197">
            <v>0</v>
          </cell>
          <cell r="N197">
            <v>26</v>
          </cell>
          <cell r="O197">
            <v>12</v>
          </cell>
          <cell r="P197">
            <v>43</v>
          </cell>
          <cell r="Q197">
            <v>26</v>
          </cell>
          <cell r="R197">
            <v>12</v>
          </cell>
          <cell r="S197">
            <v>43</v>
          </cell>
          <cell r="T197">
            <v>38822</v>
          </cell>
          <cell r="U197" t="str">
            <v>бдк</v>
          </cell>
          <cell r="W197" t="str">
            <v>ЛА, сп.Э-30</v>
          </cell>
          <cell r="X197" t="str">
            <v>Почему не обводнен ЮК-11?</v>
          </cell>
          <cell r="AD197">
            <v>38312</v>
          </cell>
          <cell r="AE197">
            <v>38329</v>
          </cell>
        </row>
        <row r="198">
          <cell r="B198">
            <v>5609</v>
          </cell>
          <cell r="C198">
            <v>114</v>
          </cell>
          <cell r="F198" t="str">
            <v>УПНП</v>
          </cell>
          <cell r="G198">
            <v>230</v>
          </cell>
          <cell r="H198" t="str">
            <v>ШГН</v>
          </cell>
          <cell r="I198" t="str">
            <v>действ.</v>
          </cell>
          <cell r="K198">
            <v>2</v>
          </cell>
          <cell r="L198">
            <v>1.2</v>
          </cell>
          <cell r="M198">
            <v>28</v>
          </cell>
          <cell r="N198">
            <v>80</v>
          </cell>
          <cell r="O198">
            <v>25.3</v>
          </cell>
          <cell r="P198">
            <v>61.2</v>
          </cell>
          <cell r="Q198">
            <v>78</v>
          </cell>
          <cell r="R198">
            <v>24.1</v>
          </cell>
          <cell r="S198">
            <v>61.9</v>
          </cell>
          <cell r="T198">
            <v>38334</v>
          </cell>
          <cell r="U198" t="str">
            <v>ГРП</v>
          </cell>
          <cell r="W198" t="str">
            <v>ВЦ.ПП.ГРП ЮК-10.Сп.ЭЦН-80</v>
          </cell>
          <cell r="AD198">
            <v>38305</v>
          </cell>
          <cell r="AE198">
            <v>38329</v>
          </cell>
        </row>
        <row r="199">
          <cell r="B199">
            <v>2881</v>
          </cell>
          <cell r="C199">
            <v>127</v>
          </cell>
          <cell r="F199" t="str">
            <v>УПНП</v>
          </cell>
          <cell r="G199">
            <v>280</v>
          </cell>
          <cell r="H199" t="str">
            <v>ЭЦН</v>
          </cell>
          <cell r="I199" t="str">
            <v>действ.</v>
          </cell>
          <cell r="K199">
            <v>15</v>
          </cell>
          <cell r="L199">
            <v>4.3</v>
          </cell>
          <cell r="M199">
            <v>65</v>
          </cell>
          <cell r="N199">
            <v>45</v>
          </cell>
          <cell r="O199">
            <v>10.6</v>
          </cell>
          <cell r="P199">
            <v>71</v>
          </cell>
          <cell r="Q199">
            <v>30</v>
          </cell>
          <cell r="R199">
            <v>6.3</v>
          </cell>
          <cell r="S199">
            <v>74.099999999999994</v>
          </cell>
          <cell r="T199">
            <v>38349</v>
          </cell>
          <cell r="U199" t="str">
            <v>опз</v>
          </cell>
          <cell r="W199" t="str">
            <v>Интенсификация притока : осв. СН-32</v>
          </cell>
          <cell r="AD199">
            <v>38330</v>
          </cell>
          <cell r="AE199">
            <v>38344</v>
          </cell>
        </row>
        <row r="200">
          <cell r="B200">
            <v>2708</v>
          </cell>
          <cell r="C200">
            <v>160</v>
          </cell>
          <cell r="F200" t="str">
            <v>УПНП</v>
          </cell>
          <cell r="G200">
            <v>260</v>
          </cell>
          <cell r="H200" t="str">
            <v>ШГН</v>
          </cell>
          <cell r="I200" t="str">
            <v>действ.</v>
          </cell>
          <cell r="K200">
            <v>5</v>
          </cell>
          <cell r="L200">
            <v>3.1</v>
          </cell>
          <cell r="M200">
            <v>25</v>
          </cell>
          <cell r="N200">
            <v>80</v>
          </cell>
          <cell r="O200">
            <v>27.2</v>
          </cell>
          <cell r="P200">
            <v>58.3</v>
          </cell>
          <cell r="Q200">
            <v>75</v>
          </cell>
          <cell r="R200">
            <v>24.1</v>
          </cell>
          <cell r="S200">
            <v>60.3</v>
          </cell>
          <cell r="T200">
            <v>38332</v>
          </cell>
          <cell r="U200" t="str">
            <v>ГРП</v>
          </cell>
          <cell r="W200" t="str">
            <v>ВЦ.ПП.ГРП ЮК-10.Сп.ЭЦН-80</v>
          </cell>
          <cell r="AD200">
            <v>38303</v>
          </cell>
          <cell r="AE200">
            <v>38327</v>
          </cell>
        </row>
        <row r="201">
          <cell r="B201">
            <v>5465</v>
          </cell>
          <cell r="C201">
            <v>106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действ.</v>
          </cell>
          <cell r="J201">
            <v>33848</v>
          </cell>
          <cell r="K201">
            <v>18</v>
          </cell>
          <cell r="L201">
            <v>1.5</v>
          </cell>
          <cell r="M201">
            <v>90</v>
          </cell>
          <cell r="N201">
            <v>80</v>
          </cell>
          <cell r="O201">
            <v>7.2</v>
          </cell>
          <cell r="P201">
            <v>89</v>
          </cell>
          <cell r="Q201">
            <v>62</v>
          </cell>
          <cell r="R201">
            <v>5.7</v>
          </cell>
          <cell r="S201">
            <v>88.6</v>
          </cell>
          <cell r="T201">
            <v>38310</v>
          </cell>
          <cell r="U201" t="str">
            <v>опз</v>
          </cell>
          <cell r="W201" t="str">
            <v>Интенсификация притока : осв. СН-32</v>
          </cell>
          <cell r="AD201">
            <v>38321</v>
          </cell>
          <cell r="AE201">
            <v>38305</v>
          </cell>
        </row>
        <row r="202">
          <cell r="B202">
            <v>4326</v>
          </cell>
          <cell r="C202">
            <v>218</v>
          </cell>
          <cell r="F202" t="str">
            <v>УПНП</v>
          </cell>
          <cell r="G202">
            <v>240</v>
          </cell>
          <cell r="H202" t="str">
            <v>Ф/Э</v>
          </cell>
          <cell r="I202" t="str">
            <v>бд</v>
          </cell>
          <cell r="J202">
            <v>34213</v>
          </cell>
          <cell r="K202">
            <v>0</v>
          </cell>
          <cell r="L202">
            <v>0</v>
          </cell>
          <cell r="M202">
            <v>0</v>
          </cell>
          <cell r="N202">
            <v>50</v>
          </cell>
          <cell r="O202">
            <v>24.1</v>
          </cell>
          <cell r="P202">
            <v>40.9</v>
          </cell>
          <cell r="Q202">
            <v>50</v>
          </cell>
          <cell r="R202">
            <v>24.1</v>
          </cell>
          <cell r="S202">
            <v>40.5</v>
          </cell>
          <cell r="T202">
            <v>38335</v>
          </cell>
          <cell r="U202" t="str">
            <v>ГРП</v>
          </cell>
          <cell r="W202" t="str">
            <v>ЛА,ИР ЮК-10,ДП ЮК-2,ГРП.осв.</v>
          </cell>
          <cell r="AD202">
            <v>38296</v>
          </cell>
          <cell r="AE202">
            <v>38330</v>
          </cell>
        </row>
        <row r="203">
          <cell r="B203">
            <v>3656</v>
          </cell>
          <cell r="C203">
            <v>76</v>
          </cell>
          <cell r="F203" t="str">
            <v>УПНП</v>
          </cell>
          <cell r="G203">
            <v>240</v>
          </cell>
          <cell r="H203" t="str">
            <v>ШГН</v>
          </cell>
          <cell r="I203" t="str">
            <v>действ.</v>
          </cell>
          <cell r="K203">
            <v>1</v>
          </cell>
          <cell r="L203">
            <v>0.7</v>
          </cell>
          <cell r="M203">
            <v>15</v>
          </cell>
          <cell r="N203">
            <v>50</v>
          </cell>
          <cell r="O203">
            <v>24.5</v>
          </cell>
          <cell r="P203">
            <v>40</v>
          </cell>
          <cell r="Q203">
            <v>49</v>
          </cell>
          <cell r="R203">
            <v>23.8</v>
          </cell>
          <cell r="S203">
            <v>40</v>
          </cell>
          <cell r="T203">
            <v>38344</v>
          </cell>
          <cell r="U203" t="str">
            <v>ГРП</v>
          </cell>
          <cell r="W203" t="str">
            <v>ГРП ЮК-8-9.Сп.Э-50</v>
          </cell>
          <cell r="AD203">
            <v>38320</v>
          </cell>
          <cell r="AE203">
            <v>38339</v>
          </cell>
        </row>
        <row r="204">
          <cell r="B204">
            <v>3029</v>
          </cell>
          <cell r="C204">
            <v>52</v>
          </cell>
          <cell r="F204" t="str">
            <v>УПНП</v>
          </cell>
          <cell r="G204">
            <v>260</v>
          </cell>
          <cell r="H204" t="str">
            <v>ЭЦН</v>
          </cell>
          <cell r="I204" t="str">
            <v>бд</v>
          </cell>
          <cell r="J204">
            <v>36795</v>
          </cell>
          <cell r="K204">
            <v>0</v>
          </cell>
          <cell r="L204">
            <v>0</v>
          </cell>
          <cell r="M204">
            <v>0</v>
          </cell>
          <cell r="N204">
            <v>80</v>
          </cell>
          <cell r="O204">
            <v>24.1</v>
          </cell>
          <cell r="P204">
            <v>63</v>
          </cell>
          <cell r="Q204">
            <v>80</v>
          </cell>
          <cell r="R204">
            <v>24.1</v>
          </cell>
          <cell r="S204">
            <v>62.8</v>
          </cell>
          <cell r="T204">
            <v>38335</v>
          </cell>
          <cell r="U204" t="str">
            <v>ГРП</v>
          </cell>
          <cell r="W204" t="str">
            <v>ВЦ, ПП, ГРП ЮК-10, сп. Э-80</v>
          </cell>
          <cell r="AD204">
            <v>38296</v>
          </cell>
          <cell r="AE204">
            <v>38330</v>
          </cell>
        </row>
        <row r="205">
          <cell r="B205">
            <v>3096</v>
          </cell>
          <cell r="C205">
            <v>53</v>
          </cell>
          <cell r="F205" t="str">
            <v>УПНП</v>
          </cell>
          <cell r="G205">
            <v>250</v>
          </cell>
          <cell r="H205" t="str">
            <v>ШГН</v>
          </cell>
          <cell r="I205" t="str">
            <v>бд</v>
          </cell>
          <cell r="J205">
            <v>36246</v>
          </cell>
          <cell r="K205">
            <v>0</v>
          </cell>
          <cell r="L205">
            <v>0</v>
          </cell>
          <cell r="M205">
            <v>0</v>
          </cell>
          <cell r="N205">
            <v>30</v>
          </cell>
          <cell r="O205">
            <v>7.3</v>
          </cell>
          <cell r="P205">
            <v>70</v>
          </cell>
          <cell r="Q205">
            <v>30</v>
          </cell>
          <cell r="R205">
            <v>7.3</v>
          </cell>
          <cell r="S205">
            <v>70</v>
          </cell>
          <cell r="T205">
            <v>5</v>
          </cell>
          <cell r="U205" t="str">
            <v>бдк</v>
          </cell>
          <cell r="W205" t="str">
            <v>ВЦ.Сп.Э-30</v>
          </cell>
          <cell r="AD205">
            <v>38331</v>
          </cell>
        </row>
        <row r="206">
          <cell r="B206">
            <v>5656</v>
          </cell>
          <cell r="C206">
            <v>123</v>
          </cell>
          <cell r="F206" t="str">
            <v>УПНП</v>
          </cell>
          <cell r="G206">
            <v>250</v>
          </cell>
          <cell r="H206" t="str">
            <v>ЭЦН</v>
          </cell>
          <cell r="I206" t="str">
            <v>действ.</v>
          </cell>
          <cell r="K206">
            <v>14</v>
          </cell>
          <cell r="L206">
            <v>9.9</v>
          </cell>
          <cell r="M206">
            <v>15</v>
          </cell>
          <cell r="N206">
            <v>25</v>
          </cell>
          <cell r="O206">
            <v>17.600000000000001</v>
          </cell>
          <cell r="P206">
            <v>15</v>
          </cell>
          <cell r="Q206">
            <v>11</v>
          </cell>
          <cell r="R206">
            <v>7.7</v>
          </cell>
          <cell r="S206">
            <v>13.6</v>
          </cell>
          <cell r="T206">
            <v>38340</v>
          </cell>
          <cell r="U206" t="str">
            <v>опз</v>
          </cell>
          <cell r="W206" t="str">
            <v>Интенсификация притока : осв. СН-32</v>
          </cell>
          <cell r="AD206">
            <v>37868</v>
          </cell>
          <cell r="AE206">
            <v>38335</v>
          </cell>
        </row>
        <row r="207">
          <cell r="B207">
            <v>2442</v>
          </cell>
          <cell r="C207">
            <v>37</v>
          </cell>
          <cell r="F207" t="str">
            <v>УПНП</v>
          </cell>
          <cell r="G207">
            <v>260</v>
          </cell>
          <cell r="H207" t="str">
            <v>ЭЦН</v>
          </cell>
          <cell r="I207" t="str">
            <v>нов</v>
          </cell>
          <cell r="N207">
            <v>80</v>
          </cell>
          <cell r="O207">
            <v>46.9</v>
          </cell>
          <cell r="P207">
            <v>28</v>
          </cell>
          <cell r="Q207">
            <v>80</v>
          </cell>
          <cell r="R207">
            <v>46.9</v>
          </cell>
          <cell r="S207">
            <v>70</v>
          </cell>
          <cell r="T207">
            <v>38326</v>
          </cell>
          <cell r="U207" t="str">
            <v>новая</v>
          </cell>
          <cell r="W207" t="str">
            <v>бурение,ГРП ЮК-10,осв., сп.Э-80</v>
          </cell>
          <cell r="AD207">
            <v>38308</v>
          </cell>
          <cell r="AE207">
            <v>38321</v>
          </cell>
        </row>
        <row r="208">
          <cell r="B208">
            <v>2552</v>
          </cell>
          <cell r="C208" t="str">
            <v>36б</v>
          </cell>
          <cell r="F208" t="str">
            <v>УПНП</v>
          </cell>
          <cell r="G208">
            <v>260</v>
          </cell>
          <cell r="H208" t="str">
            <v>ЭЦН</v>
          </cell>
          <cell r="I208" t="str">
            <v>нов</v>
          </cell>
          <cell r="N208">
            <v>80</v>
          </cell>
          <cell r="O208">
            <v>46.9</v>
          </cell>
          <cell r="P208">
            <v>28</v>
          </cell>
          <cell r="Q208">
            <v>80</v>
          </cell>
          <cell r="R208">
            <v>46.9</v>
          </cell>
          <cell r="S208">
            <v>70</v>
          </cell>
          <cell r="T208">
            <v>38328</v>
          </cell>
          <cell r="U208" t="str">
            <v>новая</v>
          </cell>
          <cell r="W208" t="str">
            <v>бурение,ГРП ЮК-10,осв., сп.Э-80</v>
          </cell>
          <cell r="AD208">
            <v>38308</v>
          </cell>
          <cell r="AE208">
            <v>38323</v>
          </cell>
        </row>
        <row r="209">
          <cell r="B209">
            <v>2553</v>
          </cell>
          <cell r="C209" t="str">
            <v>36б</v>
          </cell>
          <cell r="F209" t="str">
            <v>НвБН</v>
          </cell>
          <cell r="G209">
            <v>260</v>
          </cell>
          <cell r="H209" t="str">
            <v>ЭЦН</v>
          </cell>
          <cell r="I209" t="str">
            <v>действ.</v>
          </cell>
          <cell r="K209">
            <v>45</v>
          </cell>
          <cell r="L209">
            <v>31.9</v>
          </cell>
          <cell r="M209">
            <v>12.5</v>
          </cell>
          <cell r="N209">
            <v>45</v>
          </cell>
          <cell r="O209">
            <v>31.9</v>
          </cell>
          <cell r="P209">
            <v>12.5</v>
          </cell>
          <cell r="Q209">
            <v>0</v>
          </cell>
          <cell r="R209">
            <v>0</v>
          </cell>
          <cell r="S209">
            <v>0</v>
          </cell>
          <cell r="T209">
            <v>38857</v>
          </cell>
          <cell r="U209" t="str">
            <v>ЛА</v>
          </cell>
          <cell r="W209" t="str">
            <v>Извлечение ЭЦН</v>
          </cell>
          <cell r="AD209">
            <v>38308</v>
          </cell>
          <cell r="AE209">
            <v>38346</v>
          </cell>
        </row>
        <row r="210">
          <cell r="B210">
            <v>2441</v>
          </cell>
          <cell r="C210" t="str">
            <v>36б</v>
          </cell>
          <cell r="F210" t="str">
            <v>НвБН</v>
          </cell>
          <cell r="G210">
            <v>260</v>
          </cell>
          <cell r="H210" t="str">
            <v>ЭЦН</v>
          </cell>
          <cell r="I210" t="str">
            <v>нов</v>
          </cell>
          <cell r="K210">
            <v>0</v>
          </cell>
          <cell r="L210">
            <v>0</v>
          </cell>
          <cell r="M210">
            <v>0</v>
          </cell>
          <cell r="N210">
            <v>50</v>
          </cell>
          <cell r="O210">
            <v>38.700000000000003</v>
          </cell>
          <cell r="P210">
            <v>5</v>
          </cell>
          <cell r="Q210">
            <v>50</v>
          </cell>
          <cell r="R210">
            <v>38.700000000000003</v>
          </cell>
          <cell r="S210">
            <v>5</v>
          </cell>
          <cell r="T210">
            <v>38381</v>
          </cell>
          <cell r="U210" t="str">
            <v>новая</v>
          </cell>
          <cell r="W210" t="str">
            <v>бурение,ГРП ЮК-10,осв., сп.Э-80</v>
          </cell>
          <cell r="AE210">
            <v>38374</v>
          </cell>
        </row>
        <row r="211">
          <cell r="B211" t="str">
            <v>2554б</v>
          </cell>
          <cell r="C211" t="str">
            <v>36б</v>
          </cell>
          <cell r="F211" t="str">
            <v>НвБН</v>
          </cell>
          <cell r="G211">
            <v>260</v>
          </cell>
          <cell r="H211" t="str">
            <v>ЭЦН</v>
          </cell>
          <cell r="I211" t="str">
            <v>нов</v>
          </cell>
          <cell r="K211">
            <v>0</v>
          </cell>
          <cell r="L211">
            <v>0</v>
          </cell>
          <cell r="M211">
            <v>0</v>
          </cell>
          <cell r="N211">
            <v>125</v>
          </cell>
          <cell r="O211">
            <v>96.8</v>
          </cell>
          <cell r="P211">
            <v>5</v>
          </cell>
          <cell r="Q211">
            <v>125</v>
          </cell>
          <cell r="R211">
            <v>96.8</v>
          </cell>
          <cell r="S211">
            <v>5</v>
          </cell>
          <cell r="T211">
            <v>38381</v>
          </cell>
          <cell r="U211" t="str">
            <v>новая</v>
          </cell>
          <cell r="W211" t="str">
            <v>бурение,ГРП ЮК-10,осв., сп.Э-80</v>
          </cell>
          <cell r="AE211">
            <v>38374</v>
          </cell>
        </row>
        <row r="212">
          <cell r="B212">
            <v>2614</v>
          </cell>
          <cell r="C212">
            <v>157</v>
          </cell>
          <cell r="F212" t="str">
            <v>УПНПиКРС</v>
          </cell>
          <cell r="G212">
            <v>230</v>
          </cell>
          <cell r="H212" t="str">
            <v>ШГН</v>
          </cell>
          <cell r="I212" t="str">
            <v>действ.</v>
          </cell>
          <cell r="K212">
            <v>80</v>
          </cell>
          <cell r="L212">
            <v>15.6</v>
          </cell>
          <cell r="M212">
            <v>76</v>
          </cell>
          <cell r="N212">
            <v>80</v>
          </cell>
          <cell r="O212">
            <v>20.399999999999999</v>
          </cell>
          <cell r="P212">
            <v>68.7</v>
          </cell>
          <cell r="Q212">
            <v>0</v>
          </cell>
          <cell r="R212">
            <v>4.7999999999999989</v>
          </cell>
          <cell r="S212" t="e">
            <v>#DIV/0!</v>
          </cell>
          <cell r="T212">
            <v>38362</v>
          </cell>
          <cell r="U212" t="str">
            <v>ГРП</v>
          </cell>
          <cell r="V212">
            <v>2</v>
          </cell>
          <cell r="W212" t="str">
            <v>ПП.ГРП ЮК-10,сп.ЭЦН</v>
          </cell>
          <cell r="AD212">
            <v>38338</v>
          </cell>
          <cell r="AE212">
            <v>38355</v>
          </cell>
        </row>
        <row r="213">
          <cell r="B213">
            <v>5816</v>
          </cell>
          <cell r="C213">
            <v>142</v>
          </cell>
          <cell r="F213" t="str">
            <v>УПНПиКРС</v>
          </cell>
          <cell r="G213">
            <v>240</v>
          </cell>
          <cell r="H213" t="str">
            <v>ШГН</v>
          </cell>
          <cell r="I213" t="str">
            <v>бд</v>
          </cell>
          <cell r="J213">
            <v>32476</v>
          </cell>
          <cell r="K213">
            <v>0</v>
          </cell>
          <cell r="L213">
            <v>0</v>
          </cell>
          <cell r="M213">
            <v>0</v>
          </cell>
          <cell r="N213">
            <v>80</v>
          </cell>
          <cell r="O213">
            <v>19</v>
          </cell>
          <cell r="P213">
            <v>70.8</v>
          </cell>
          <cell r="Q213">
            <v>80</v>
          </cell>
          <cell r="R213">
            <v>19</v>
          </cell>
          <cell r="S213">
            <v>70.7</v>
          </cell>
          <cell r="T213">
            <v>38376</v>
          </cell>
          <cell r="U213" t="str">
            <v>ГРП</v>
          </cell>
          <cell r="W213" t="str">
            <v>ВЦ.ГИС-2,ИР ЗКЦ,ПП,ГРП ЮК-10,спуск ЭЦН</v>
          </cell>
          <cell r="AD213">
            <v>38343</v>
          </cell>
          <cell r="AE213">
            <v>38369</v>
          </cell>
        </row>
        <row r="214">
          <cell r="B214">
            <v>2916</v>
          </cell>
          <cell r="C214">
            <v>43</v>
          </cell>
          <cell r="F214" t="str">
            <v>УПНП</v>
          </cell>
          <cell r="G214">
            <v>270</v>
          </cell>
          <cell r="H214" t="str">
            <v>ШГН</v>
          </cell>
          <cell r="I214" t="str">
            <v>конс.</v>
          </cell>
          <cell r="J214">
            <v>34972</v>
          </cell>
          <cell r="K214">
            <v>0</v>
          </cell>
          <cell r="L214">
            <v>0</v>
          </cell>
          <cell r="M214">
            <v>0</v>
          </cell>
          <cell r="N214">
            <v>80</v>
          </cell>
          <cell r="O214">
            <v>24.1</v>
          </cell>
          <cell r="P214">
            <v>63</v>
          </cell>
          <cell r="Q214">
            <v>80</v>
          </cell>
          <cell r="R214">
            <v>24.1</v>
          </cell>
          <cell r="S214">
            <v>63</v>
          </cell>
          <cell r="T214">
            <v>38362</v>
          </cell>
          <cell r="U214" t="str">
            <v>ГРП</v>
          </cell>
          <cell r="W214" t="str">
            <v>ВЦ,РИР,ГИС-2,ГРП ЮК-10,осв.спуск ЭЦН</v>
          </cell>
          <cell r="AD214">
            <v>38264</v>
          </cell>
          <cell r="AE214">
            <v>38355</v>
          </cell>
        </row>
        <row r="215">
          <cell r="B215">
            <v>5250</v>
          </cell>
          <cell r="C215">
            <v>137</v>
          </cell>
          <cell r="F215" t="str">
            <v>УПНПиКРС</v>
          </cell>
          <cell r="G215">
            <v>260</v>
          </cell>
          <cell r="H215" t="str">
            <v>Фон</v>
          </cell>
          <cell r="I215" t="str">
            <v>бд</v>
          </cell>
          <cell r="J215">
            <v>31121</v>
          </cell>
          <cell r="K215">
            <v>0</v>
          </cell>
          <cell r="L215">
            <v>0</v>
          </cell>
          <cell r="M215">
            <v>0</v>
          </cell>
          <cell r="N215">
            <v>50</v>
          </cell>
          <cell r="O215">
            <v>5.3</v>
          </cell>
          <cell r="P215">
            <v>87</v>
          </cell>
          <cell r="Q215">
            <v>50</v>
          </cell>
          <cell r="R215">
            <v>5.3</v>
          </cell>
          <cell r="S215">
            <v>86.9</v>
          </cell>
          <cell r="T215">
            <v>7</v>
          </cell>
          <cell r="U215" t="str">
            <v>бдк</v>
          </cell>
          <cell r="W215" t="str">
            <v>смена фор. /ЭЦН-50</v>
          </cell>
        </row>
        <row r="216">
          <cell r="B216">
            <v>5434</v>
          </cell>
          <cell r="C216">
            <v>106</v>
          </cell>
          <cell r="F216" t="str">
            <v>УПНПиКРС</v>
          </cell>
          <cell r="G216">
            <v>255</v>
          </cell>
          <cell r="H216" t="str">
            <v>ЭЦН</v>
          </cell>
          <cell r="I216" t="str">
            <v>бд</v>
          </cell>
          <cell r="J216">
            <v>33150</v>
          </cell>
          <cell r="N216">
            <v>200</v>
          </cell>
          <cell r="Q216">
            <v>200</v>
          </cell>
          <cell r="T216">
            <v>38365</v>
          </cell>
          <cell r="U216" t="str">
            <v>НГ</v>
          </cell>
          <cell r="W216" t="str">
            <v>ОТСК,ПП,ОПЗ,ГИС-3,сп.пакера</v>
          </cell>
          <cell r="AD216">
            <v>38344</v>
          </cell>
          <cell r="AE216">
            <v>38358</v>
          </cell>
        </row>
        <row r="217">
          <cell r="B217">
            <v>5743</v>
          </cell>
          <cell r="C217">
            <v>128</v>
          </cell>
          <cell r="F217" t="str">
            <v>УПНПиКРС</v>
          </cell>
          <cell r="G217">
            <v>270</v>
          </cell>
          <cell r="H217" t="str">
            <v>нагнет.</v>
          </cell>
          <cell r="I217" t="str">
            <v>бд</v>
          </cell>
          <cell r="J217">
            <v>34535</v>
          </cell>
          <cell r="N217">
            <v>200</v>
          </cell>
          <cell r="Q217">
            <v>200</v>
          </cell>
          <cell r="T217">
            <v>3</v>
          </cell>
          <cell r="U217" t="str">
            <v>НГ</v>
          </cell>
          <cell r="W217" t="str">
            <v>ИР ЮК-11,ПП,ОПЗ,ГИС-3,сп.пакера</v>
          </cell>
        </row>
        <row r="218">
          <cell r="B218">
            <v>2858</v>
          </cell>
          <cell r="C218">
            <v>42</v>
          </cell>
          <cell r="F218" t="str">
            <v>УПНПиКРС</v>
          </cell>
          <cell r="G218">
            <v>240</v>
          </cell>
          <cell r="H218" t="str">
            <v>ЭЦН</v>
          </cell>
          <cell r="I218" t="str">
            <v>действ.</v>
          </cell>
          <cell r="K218">
            <v>151</v>
          </cell>
          <cell r="L218">
            <v>17.2</v>
          </cell>
          <cell r="M218">
            <v>86</v>
          </cell>
          <cell r="N218">
            <v>250</v>
          </cell>
          <cell r="O218">
            <v>28.6</v>
          </cell>
          <cell r="P218">
            <v>86</v>
          </cell>
          <cell r="Q218">
            <v>99</v>
          </cell>
          <cell r="R218">
            <v>11.4</v>
          </cell>
          <cell r="S218">
            <v>85.8</v>
          </cell>
          <cell r="T218">
            <v>7</v>
          </cell>
          <cell r="U218" t="str">
            <v>опт</v>
          </cell>
          <cell r="W218" t="str">
            <v>Оптимизация Э-125/250</v>
          </cell>
          <cell r="AF218">
            <v>35</v>
          </cell>
          <cell r="AG218">
            <v>-163684</v>
          </cell>
        </row>
        <row r="219">
          <cell r="B219">
            <v>4438</v>
          </cell>
          <cell r="C219" t="str">
            <v>179б</v>
          </cell>
          <cell r="F219" t="str">
            <v>УПНПиКРС</v>
          </cell>
          <cell r="G219">
            <v>240</v>
          </cell>
          <cell r="H219" t="str">
            <v>ЭЦН</v>
          </cell>
          <cell r="I219" t="str">
            <v>действ.</v>
          </cell>
          <cell r="K219">
            <v>62</v>
          </cell>
          <cell r="L219">
            <v>6.6</v>
          </cell>
          <cell r="M219">
            <v>87</v>
          </cell>
          <cell r="N219">
            <v>124.7</v>
          </cell>
          <cell r="O219">
            <v>13.2</v>
          </cell>
          <cell r="P219">
            <v>87</v>
          </cell>
          <cell r="Q219">
            <v>62.7</v>
          </cell>
          <cell r="R219">
            <v>6.6</v>
          </cell>
          <cell r="S219">
            <v>87</v>
          </cell>
          <cell r="T219">
            <v>7</v>
          </cell>
          <cell r="U219" t="str">
            <v>опт</v>
          </cell>
          <cell r="W219" t="str">
            <v>Оптимизация Э-80/125</v>
          </cell>
        </row>
        <row r="220">
          <cell r="B220">
            <v>2861</v>
          </cell>
          <cell r="C220">
            <v>127</v>
          </cell>
          <cell r="F220" t="str">
            <v>УПНПиКРС</v>
          </cell>
          <cell r="H220" t="str">
            <v>ШГН</v>
          </cell>
          <cell r="I220" t="str">
            <v>действ.</v>
          </cell>
          <cell r="J220">
            <v>35455</v>
          </cell>
          <cell r="K220">
            <v>0</v>
          </cell>
          <cell r="L220">
            <v>0</v>
          </cell>
          <cell r="M220">
            <v>0</v>
          </cell>
          <cell r="N220">
            <v>80</v>
          </cell>
          <cell r="O220">
            <v>23.7</v>
          </cell>
          <cell r="P220">
            <v>63.6</v>
          </cell>
          <cell r="Q220">
            <v>71</v>
          </cell>
          <cell r="R220">
            <v>19</v>
          </cell>
          <cell r="S220">
            <v>64</v>
          </cell>
          <cell r="T220">
            <v>38593</v>
          </cell>
          <cell r="U220" t="str">
            <v>ГРП</v>
          </cell>
          <cell r="W220" t="str">
            <v>ГРП ЮК-10</v>
          </cell>
          <cell r="Z220">
            <v>19.82</v>
          </cell>
        </row>
        <row r="221">
          <cell r="B221">
            <v>5278</v>
          </cell>
          <cell r="C221">
            <v>138</v>
          </cell>
          <cell r="F221" t="str">
            <v>УПНПиКРС</v>
          </cell>
          <cell r="G221">
            <v>270</v>
          </cell>
          <cell r="H221" t="str">
            <v>нагнет.</v>
          </cell>
          <cell r="I221" t="str">
            <v>действ.</v>
          </cell>
          <cell r="N221">
            <v>200</v>
          </cell>
          <cell r="Q221">
            <v>200</v>
          </cell>
          <cell r="T221">
            <v>38351</v>
          </cell>
          <cell r="U221" t="str">
            <v>НГ</v>
          </cell>
          <cell r="W221" t="str">
            <v>ИР ЮК-11,ПП,ОПЗ,ГИС-3,сп.пакера</v>
          </cell>
          <cell r="AD221">
            <v>38334</v>
          </cell>
          <cell r="AE221">
            <v>38348</v>
          </cell>
        </row>
        <row r="222">
          <cell r="B222">
            <v>3405</v>
          </cell>
          <cell r="C222">
            <v>68</v>
          </cell>
          <cell r="F222" t="str">
            <v>УПНП</v>
          </cell>
          <cell r="G222">
            <v>240</v>
          </cell>
          <cell r="H222" t="str">
            <v>ЭЦН</v>
          </cell>
          <cell r="I222" t="str">
            <v>бд</v>
          </cell>
          <cell r="K222">
            <v>0</v>
          </cell>
          <cell r="L222">
            <v>0</v>
          </cell>
          <cell r="M222">
            <v>0</v>
          </cell>
          <cell r="N222">
            <v>80</v>
          </cell>
          <cell r="O222">
            <v>6.5</v>
          </cell>
          <cell r="P222">
            <v>90</v>
          </cell>
          <cell r="Q222">
            <v>80</v>
          </cell>
          <cell r="R222">
            <v>6.5</v>
          </cell>
          <cell r="S222">
            <v>90</v>
          </cell>
          <cell r="T222">
            <v>38456</v>
          </cell>
          <cell r="U222" t="str">
            <v>бдк</v>
          </cell>
          <cell r="W222" t="str">
            <v>ВЗ, ОТСК,РИР Э/К,сп.Э-80</v>
          </cell>
        </row>
        <row r="223">
          <cell r="B223">
            <v>5283</v>
          </cell>
          <cell r="C223">
            <v>140</v>
          </cell>
          <cell r="F223" t="str">
            <v>УПНП</v>
          </cell>
          <cell r="G223">
            <v>250</v>
          </cell>
          <cell r="H223" t="str">
            <v>ШГН</v>
          </cell>
          <cell r="I223" t="str">
            <v>бд</v>
          </cell>
          <cell r="K223">
            <v>0</v>
          </cell>
          <cell r="L223">
            <v>0</v>
          </cell>
          <cell r="M223">
            <v>0</v>
          </cell>
          <cell r="N223">
            <v>80</v>
          </cell>
          <cell r="O223">
            <v>19</v>
          </cell>
          <cell r="P223">
            <v>70.7</v>
          </cell>
          <cell r="Q223">
            <v>80</v>
          </cell>
          <cell r="R223">
            <v>19</v>
          </cell>
          <cell r="S223">
            <v>70.7</v>
          </cell>
          <cell r="T223">
            <v>38453</v>
          </cell>
          <cell r="U223" t="str">
            <v>ГРП</v>
          </cell>
          <cell r="W223" t="str">
            <v>ВЦ,ГРП ЮК-10,сп.Э-80</v>
          </cell>
        </row>
        <row r="224">
          <cell r="B224">
            <v>3816</v>
          </cell>
          <cell r="C224">
            <v>87</v>
          </cell>
          <cell r="F224" t="str">
            <v>УПНП</v>
          </cell>
          <cell r="G224">
            <v>240</v>
          </cell>
          <cell r="H224" t="str">
            <v>ФОН</v>
          </cell>
          <cell r="I224" t="str">
            <v>конс.</v>
          </cell>
          <cell r="K224">
            <v>0</v>
          </cell>
          <cell r="L224">
            <v>0</v>
          </cell>
          <cell r="M224">
            <v>0</v>
          </cell>
          <cell r="N224">
            <v>50</v>
          </cell>
          <cell r="O224">
            <v>5.9</v>
          </cell>
          <cell r="P224">
            <v>85.4</v>
          </cell>
          <cell r="Q224">
            <v>50</v>
          </cell>
          <cell r="R224">
            <v>5.9</v>
          </cell>
          <cell r="S224">
            <v>85.4</v>
          </cell>
          <cell r="T224">
            <v>38457</v>
          </cell>
          <cell r="U224" t="str">
            <v>бдк</v>
          </cell>
          <cell r="W224" t="str">
            <v>ВЦ,ПП,сп.Э-50</v>
          </cell>
        </row>
        <row r="225">
          <cell r="B225">
            <v>2872</v>
          </cell>
          <cell r="C225">
            <v>158</v>
          </cell>
          <cell r="F225" t="str">
            <v>УПНП</v>
          </cell>
          <cell r="G225">
            <v>250</v>
          </cell>
          <cell r="H225" t="str">
            <v>ШГН</v>
          </cell>
          <cell r="I225" t="str">
            <v>бд</v>
          </cell>
          <cell r="K225">
            <v>0</v>
          </cell>
          <cell r="L225">
            <v>0</v>
          </cell>
          <cell r="M225">
            <v>0</v>
          </cell>
          <cell r="N225">
            <v>80</v>
          </cell>
          <cell r="O225">
            <v>19</v>
          </cell>
          <cell r="P225">
            <v>70.7</v>
          </cell>
          <cell r="Q225">
            <v>80</v>
          </cell>
          <cell r="R225">
            <v>19</v>
          </cell>
          <cell r="S225">
            <v>70.7</v>
          </cell>
          <cell r="T225">
            <v>38447</v>
          </cell>
          <cell r="U225" t="str">
            <v>ГРП</v>
          </cell>
          <cell r="W225" t="str">
            <v>ВЗ,ГРП ЮК-10,сп.Э-80</v>
          </cell>
        </row>
        <row r="226">
          <cell r="B226">
            <v>2870</v>
          </cell>
          <cell r="C226">
            <v>129</v>
          </cell>
          <cell r="F226" t="str">
            <v>УПНП</v>
          </cell>
          <cell r="G226">
            <v>260</v>
          </cell>
          <cell r="H226" t="str">
            <v>ЭЦН</v>
          </cell>
          <cell r="I226" t="str">
            <v>бд</v>
          </cell>
          <cell r="K226">
            <v>0</v>
          </cell>
          <cell r="L226">
            <v>0</v>
          </cell>
          <cell r="M226">
            <v>0</v>
          </cell>
          <cell r="N226">
            <v>80</v>
          </cell>
          <cell r="O226">
            <v>16</v>
          </cell>
          <cell r="P226">
            <v>75.3</v>
          </cell>
          <cell r="Q226">
            <v>80</v>
          </cell>
          <cell r="R226">
            <v>16</v>
          </cell>
          <cell r="S226">
            <v>75.3</v>
          </cell>
          <cell r="T226">
            <v>38464</v>
          </cell>
          <cell r="U226" t="str">
            <v>ГРП</v>
          </cell>
          <cell r="W226" t="str">
            <v>ЛА,ГРП ЮК-10,сп.Э-80</v>
          </cell>
        </row>
        <row r="227">
          <cell r="B227">
            <v>3218</v>
          </cell>
          <cell r="C227">
            <v>58</v>
          </cell>
          <cell r="F227" t="str">
            <v>УПНП</v>
          </cell>
          <cell r="G227">
            <v>260</v>
          </cell>
          <cell r="H227" t="str">
            <v>ШГН</v>
          </cell>
          <cell r="I227" t="str">
            <v>конс.</v>
          </cell>
          <cell r="K227">
            <v>0</v>
          </cell>
          <cell r="L227">
            <v>0</v>
          </cell>
          <cell r="M227">
            <v>0</v>
          </cell>
          <cell r="N227">
            <v>50</v>
          </cell>
          <cell r="O227">
            <v>6</v>
          </cell>
          <cell r="P227">
            <v>85.2</v>
          </cell>
          <cell r="Q227">
            <v>50</v>
          </cell>
          <cell r="R227">
            <v>6</v>
          </cell>
          <cell r="S227">
            <v>85.2</v>
          </cell>
          <cell r="T227">
            <v>38456</v>
          </cell>
          <cell r="U227" t="str">
            <v>бдк</v>
          </cell>
          <cell r="W227" t="str">
            <v>ВЦ, ПП, ОПЗ СНВ</v>
          </cell>
        </row>
        <row r="229">
          <cell r="B229">
            <v>2528</v>
          </cell>
          <cell r="C229" t="str">
            <v>36б</v>
          </cell>
          <cell r="F229" t="str">
            <v>НвБН</v>
          </cell>
          <cell r="G229">
            <v>250</v>
          </cell>
          <cell r="H229" t="str">
            <v>ЭЦН</v>
          </cell>
          <cell r="I229" t="str">
            <v>нов</v>
          </cell>
          <cell r="K229">
            <v>0</v>
          </cell>
          <cell r="L229">
            <v>0</v>
          </cell>
          <cell r="M229">
            <v>0</v>
          </cell>
          <cell r="N229">
            <v>85</v>
          </cell>
          <cell r="O229">
            <v>64</v>
          </cell>
          <cell r="P229">
            <v>7</v>
          </cell>
          <cell r="Q229">
            <v>85</v>
          </cell>
          <cell r="R229">
            <v>64</v>
          </cell>
          <cell r="S229">
            <v>8</v>
          </cell>
          <cell r="T229">
            <v>38456</v>
          </cell>
          <cell r="U229" t="str">
            <v>новая</v>
          </cell>
          <cell r="W229" t="str">
            <v>бурение,ГРП ЮК-10,осв., сп.Э-80</v>
          </cell>
          <cell r="AE229">
            <v>38411</v>
          </cell>
        </row>
        <row r="230">
          <cell r="B230">
            <v>2506</v>
          </cell>
          <cell r="C230">
            <v>37</v>
          </cell>
          <cell r="F230" t="str">
            <v>НвБН</v>
          </cell>
          <cell r="G230">
            <v>250</v>
          </cell>
          <cell r="H230" t="str">
            <v>ЭЦН</v>
          </cell>
          <cell r="I230" t="str">
            <v>нов</v>
          </cell>
          <cell r="K230">
            <v>0</v>
          </cell>
          <cell r="L230">
            <v>0</v>
          </cell>
          <cell r="M230">
            <v>0</v>
          </cell>
          <cell r="N230">
            <v>85</v>
          </cell>
          <cell r="O230">
            <v>64</v>
          </cell>
          <cell r="P230">
            <v>7</v>
          </cell>
          <cell r="Q230">
            <v>85</v>
          </cell>
          <cell r="R230">
            <v>64</v>
          </cell>
          <cell r="S230">
            <v>8</v>
          </cell>
          <cell r="T230">
            <v>38468</v>
          </cell>
          <cell r="U230" t="str">
            <v>новая</v>
          </cell>
          <cell r="W230" t="str">
            <v>бурение,ГРП ЮК-10,осв., сп.Э-80</v>
          </cell>
          <cell r="AE230">
            <v>38411</v>
          </cell>
        </row>
        <row r="231">
          <cell r="B231">
            <v>5829</v>
          </cell>
          <cell r="C231">
            <v>142</v>
          </cell>
          <cell r="F231" t="str">
            <v>ПРС</v>
          </cell>
          <cell r="H231" t="str">
            <v>ЭЦН</v>
          </cell>
          <cell r="I231" t="str">
            <v>конс.</v>
          </cell>
          <cell r="K231">
            <v>0</v>
          </cell>
          <cell r="L231">
            <v>0</v>
          </cell>
          <cell r="M231">
            <v>0</v>
          </cell>
          <cell r="N231">
            <v>30</v>
          </cell>
          <cell r="O231">
            <v>6</v>
          </cell>
          <cell r="P231">
            <v>75.3</v>
          </cell>
          <cell r="Q231">
            <v>30</v>
          </cell>
          <cell r="R231">
            <v>6</v>
          </cell>
          <cell r="S231">
            <v>75.3</v>
          </cell>
          <cell r="T231">
            <v>38462</v>
          </cell>
          <cell r="U231" t="str">
            <v>бдп</v>
          </cell>
          <cell r="W231" t="str">
            <v>ВЦ, сп.Э-30</v>
          </cell>
        </row>
        <row r="232">
          <cell r="B232">
            <v>5513</v>
          </cell>
          <cell r="C232">
            <v>114</v>
          </cell>
          <cell r="F232" t="str">
            <v>ПРС</v>
          </cell>
          <cell r="G232">
            <v>250</v>
          </cell>
          <cell r="H232" t="str">
            <v>ЭЦН</v>
          </cell>
          <cell r="I232" t="str">
            <v>действ.</v>
          </cell>
          <cell r="K232">
            <v>3</v>
          </cell>
          <cell r="L232">
            <v>0.4</v>
          </cell>
          <cell r="M232">
            <v>83</v>
          </cell>
          <cell r="N232">
            <v>30</v>
          </cell>
          <cell r="O232">
            <v>6.1</v>
          </cell>
          <cell r="P232">
            <v>75</v>
          </cell>
          <cell r="Q232">
            <v>27</v>
          </cell>
          <cell r="R232">
            <v>5.7</v>
          </cell>
          <cell r="S232">
            <v>73.900000000000006</v>
          </cell>
          <cell r="T232">
            <v>38055</v>
          </cell>
          <cell r="U232" t="str">
            <v>ВВП</v>
          </cell>
          <cell r="W232" t="str">
            <v>ДП ЮК-5,смена Э-30</v>
          </cell>
          <cell r="X232" t="str">
            <v>Ликвидация аварии (ЭЦН+НКТ)</v>
          </cell>
          <cell r="AE232">
            <v>38048</v>
          </cell>
          <cell r="AG232">
            <v>-55811</v>
          </cell>
          <cell r="AH232">
            <v>-632519</v>
          </cell>
        </row>
        <row r="233">
          <cell r="B233">
            <v>5351</v>
          </cell>
          <cell r="C233">
            <v>104</v>
          </cell>
          <cell r="F233" t="str">
            <v>УПНП</v>
          </cell>
          <cell r="G233">
            <v>270</v>
          </cell>
          <cell r="H233" t="str">
            <v>ШГН</v>
          </cell>
          <cell r="I233" t="str">
            <v>бд</v>
          </cell>
          <cell r="J233">
            <v>30869</v>
          </cell>
          <cell r="K233">
            <v>0</v>
          </cell>
          <cell r="L233">
            <v>0</v>
          </cell>
          <cell r="M233">
            <v>0</v>
          </cell>
          <cell r="N233">
            <v>50</v>
          </cell>
          <cell r="O233">
            <v>20.399999999999999</v>
          </cell>
          <cell r="P233">
            <v>50</v>
          </cell>
          <cell r="Q233">
            <v>50</v>
          </cell>
          <cell r="R233">
            <v>20.399999999999999</v>
          </cell>
          <cell r="S233">
            <v>49.6</v>
          </cell>
          <cell r="T233">
            <v>37809</v>
          </cell>
          <cell r="U233" t="str">
            <v>ЛА</v>
          </cell>
          <cell r="W233" t="str">
            <v>ВЦ, ЛА, ВЗ, ОТСК, ПП, сп.Э-50</v>
          </cell>
          <cell r="AD233">
            <v>37769</v>
          </cell>
          <cell r="AE233">
            <v>37802</v>
          </cell>
        </row>
        <row r="234">
          <cell r="B234">
            <v>2716</v>
          </cell>
          <cell r="C234">
            <v>165</v>
          </cell>
          <cell r="F234" t="str">
            <v>ПРС</v>
          </cell>
          <cell r="H234" t="str">
            <v>ЭЦН</v>
          </cell>
          <cell r="I234" t="str">
            <v>действ.</v>
          </cell>
          <cell r="K234">
            <v>38</v>
          </cell>
          <cell r="L234">
            <v>24.8</v>
          </cell>
          <cell r="M234">
            <v>20</v>
          </cell>
          <cell r="N234">
            <v>46.8</v>
          </cell>
          <cell r="O234">
            <v>30.4</v>
          </cell>
          <cell r="P234">
            <v>20.399999999999999</v>
          </cell>
          <cell r="Q234">
            <v>8.8000000000000007</v>
          </cell>
          <cell r="R234">
            <v>5.6</v>
          </cell>
          <cell r="S234">
            <v>20</v>
          </cell>
          <cell r="U234" t="str">
            <v>опт</v>
          </cell>
          <cell r="W234" t="str">
            <v>Оптимизация Э-30/50</v>
          </cell>
        </row>
        <row r="235">
          <cell r="B235">
            <v>2683</v>
          </cell>
          <cell r="C235" t="str">
            <v>145б</v>
          </cell>
          <cell r="F235" t="str">
            <v>УПНП</v>
          </cell>
          <cell r="G235">
            <v>260</v>
          </cell>
          <cell r="H235" t="str">
            <v>ЭЦН</v>
          </cell>
          <cell r="I235" t="str">
            <v>бд</v>
          </cell>
          <cell r="J235">
            <v>34648</v>
          </cell>
          <cell r="K235">
            <v>0</v>
          </cell>
          <cell r="L235">
            <v>0</v>
          </cell>
          <cell r="M235">
            <v>0</v>
          </cell>
          <cell r="N235">
            <v>30</v>
          </cell>
          <cell r="O235">
            <v>18.3</v>
          </cell>
          <cell r="P235">
            <v>25</v>
          </cell>
          <cell r="Q235">
            <v>30</v>
          </cell>
          <cell r="R235">
            <v>18.3</v>
          </cell>
          <cell r="S235">
            <v>24.7</v>
          </cell>
          <cell r="T235">
            <v>37753</v>
          </cell>
          <cell r="U235" t="str">
            <v>ЛА</v>
          </cell>
          <cell r="W235" t="str">
            <v>ВЗ,ЛА,ОПЗ ,ИДН ( ГЖ+пакер),сп Э-30</v>
          </cell>
          <cell r="AD235">
            <v>37715</v>
          </cell>
          <cell r="AE235">
            <v>37746</v>
          </cell>
        </row>
        <row r="236">
          <cell r="B236">
            <v>2784</v>
          </cell>
          <cell r="C236">
            <v>145</v>
          </cell>
          <cell r="F236" t="str">
            <v>УПНП</v>
          </cell>
          <cell r="G236">
            <v>280</v>
          </cell>
          <cell r="H236" t="str">
            <v>ф/Э</v>
          </cell>
          <cell r="I236" t="str">
            <v>бд</v>
          </cell>
          <cell r="J236">
            <v>32932</v>
          </cell>
          <cell r="K236">
            <v>0</v>
          </cell>
          <cell r="L236">
            <v>0</v>
          </cell>
          <cell r="M236">
            <v>0</v>
          </cell>
          <cell r="N236">
            <v>80</v>
          </cell>
          <cell r="O236">
            <v>19.600000000000001</v>
          </cell>
          <cell r="P236">
            <v>70</v>
          </cell>
          <cell r="Q236">
            <v>80</v>
          </cell>
          <cell r="R236">
            <v>19.600000000000001</v>
          </cell>
          <cell r="S236">
            <v>69.8</v>
          </cell>
          <cell r="T236">
            <v>37758</v>
          </cell>
          <cell r="U236" t="str">
            <v>ЛА</v>
          </cell>
          <cell r="W236" t="str">
            <v>Л.А.ПП,ОПЗ,спЭ-80</v>
          </cell>
          <cell r="AD236">
            <v>37722</v>
          </cell>
          <cell r="AE236">
            <v>37751</v>
          </cell>
        </row>
        <row r="237">
          <cell r="B237">
            <v>2756</v>
          </cell>
          <cell r="C237">
            <v>145</v>
          </cell>
          <cell r="F237" t="str">
            <v>УПНП</v>
          </cell>
          <cell r="G237">
            <v>270</v>
          </cell>
          <cell r="H237" t="str">
            <v>ЭЦН</v>
          </cell>
          <cell r="I237" t="str">
            <v>бд</v>
          </cell>
          <cell r="J237">
            <v>35786</v>
          </cell>
          <cell r="K237">
            <v>0</v>
          </cell>
          <cell r="L237">
            <v>0</v>
          </cell>
          <cell r="M237">
            <v>0</v>
          </cell>
          <cell r="N237">
            <v>50</v>
          </cell>
          <cell r="O237">
            <v>10.199999999999999</v>
          </cell>
          <cell r="P237">
            <v>75</v>
          </cell>
          <cell r="Q237">
            <v>50</v>
          </cell>
          <cell r="R237">
            <v>10.199999999999999</v>
          </cell>
          <cell r="S237">
            <v>74.8</v>
          </cell>
          <cell r="T237">
            <v>37763</v>
          </cell>
          <cell r="U237" t="str">
            <v>ЛА</v>
          </cell>
          <cell r="W237" t="str">
            <v>ЛА, ГДИ, сп.Э-80</v>
          </cell>
          <cell r="AD237">
            <v>37734</v>
          </cell>
          <cell r="AE237">
            <v>37756</v>
          </cell>
        </row>
        <row r="238">
          <cell r="B238">
            <v>2983</v>
          </cell>
          <cell r="C238">
            <v>45</v>
          </cell>
          <cell r="F238" t="str">
            <v>УПНП</v>
          </cell>
          <cell r="G238">
            <v>280</v>
          </cell>
          <cell r="H238" t="str">
            <v>Ф/Э</v>
          </cell>
          <cell r="I238" t="str">
            <v>бд</v>
          </cell>
          <cell r="J238">
            <v>34849</v>
          </cell>
          <cell r="K238">
            <v>0</v>
          </cell>
          <cell r="L238">
            <v>0</v>
          </cell>
          <cell r="M238">
            <v>0</v>
          </cell>
          <cell r="N238">
            <v>30</v>
          </cell>
          <cell r="O238">
            <v>12.2</v>
          </cell>
          <cell r="P238">
            <v>50</v>
          </cell>
          <cell r="Q238">
            <v>30</v>
          </cell>
          <cell r="R238">
            <v>12.2</v>
          </cell>
          <cell r="S238">
            <v>49.8</v>
          </cell>
          <cell r="T238">
            <v>37755</v>
          </cell>
          <cell r="U238" t="str">
            <v>ЛА</v>
          </cell>
          <cell r="W238" t="str">
            <v>ЛА,ВЗ ГЖ,ПП,сп Э-30</v>
          </cell>
          <cell r="AD238">
            <v>37722</v>
          </cell>
          <cell r="AE238">
            <v>37748</v>
          </cell>
        </row>
        <row r="239">
          <cell r="B239">
            <v>3214</v>
          </cell>
          <cell r="C239" t="str">
            <v>55б</v>
          </cell>
          <cell r="F239" t="str">
            <v>УПНП</v>
          </cell>
          <cell r="G239">
            <v>270</v>
          </cell>
          <cell r="H239" t="str">
            <v>фон</v>
          </cell>
          <cell r="I239" t="str">
            <v>бд</v>
          </cell>
          <cell r="J239">
            <v>35065</v>
          </cell>
          <cell r="K239">
            <v>0</v>
          </cell>
          <cell r="L239">
            <v>0</v>
          </cell>
          <cell r="M239">
            <v>0</v>
          </cell>
          <cell r="N239">
            <v>50</v>
          </cell>
          <cell r="O239">
            <v>18</v>
          </cell>
          <cell r="P239">
            <v>55.6</v>
          </cell>
          <cell r="Q239">
            <v>50</v>
          </cell>
          <cell r="R239">
            <v>18</v>
          </cell>
          <cell r="S239">
            <v>55.6</v>
          </cell>
          <cell r="T239">
            <v>38686</v>
          </cell>
          <cell r="U239" t="str">
            <v>ГРП</v>
          </cell>
          <cell r="W239" t="str">
            <v>ВЦ, ДП ЮК-10,ГРП ЮК10-11</v>
          </cell>
          <cell r="AD239">
            <v>37736</v>
          </cell>
          <cell r="AE239">
            <v>37756</v>
          </cell>
        </row>
        <row r="240">
          <cell r="B240">
            <v>3249</v>
          </cell>
          <cell r="C240">
            <v>70</v>
          </cell>
          <cell r="F240" t="str">
            <v>УПНП</v>
          </cell>
          <cell r="G240">
            <v>282</v>
          </cell>
          <cell r="H240" t="str">
            <v>Ф/Э</v>
          </cell>
          <cell r="I240" t="str">
            <v>конс.</v>
          </cell>
          <cell r="J240">
            <v>33878</v>
          </cell>
          <cell r="K240">
            <v>0</v>
          </cell>
          <cell r="L240">
            <v>0</v>
          </cell>
          <cell r="M240">
            <v>0</v>
          </cell>
          <cell r="N240">
            <v>30</v>
          </cell>
          <cell r="O240">
            <v>9.8000000000000007</v>
          </cell>
          <cell r="P240">
            <v>60</v>
          </cell>
          <cell r="Q240">
            <v>30</v>
          </cell>
          <cell r="R240">
            <v>9.8000000000000007</v>
          </cell>
          <cell r="S240">
            <v>59.7</v>
          </cell>
          <cell r="T240">
            <v>37755</v>
          </cell>
          <cell r="U240" t="str">
            <v>ВВ</v>
          </cell>
          <cell r="W240" t="str">
            <v>ВЦ, ВЗ, ПП ЮК-10, ДП ЮК-11</v>
          </cell>
          <cell r="AD240">
            <v>37719</v>
          </cell>
          <cell r="AE240">
            <v>37748</v>
          </cell>
        </row>
        <row r="241">
          <cell r="B241">
            <v>11054</v>
          </cell>
          <cell r="C241" t="str">
            <v>100б</v>
          </cell>
          <cell r="F241" t="str">
            <v>УПНП</v>
          </cell>
          <cell r="G241">
            <v>230</v>
          </cell>
          <cell r="H241" t="str">
            <v>фон</v>
          </cell>
          <cell r="I241" t="str">
            <v>конс.</v>
          </cell>
          <cell r="J241">
            <v>32874</v>
          </cell>
          <cell r="K241">
            <v>0</v>
          </cell>
          <cell r="L241">
            <v>0</v>
          </cell>
          <cell r="M241">
            <v>0</v>
          </cell>
          <cell r="N241">
            <v>30</v>
          </cell>
          <cell r="O241">
            <v>12.2</v>
          </cell>
          <cell r="P241">
            <v>50</v>
          </cell>
          <cell r="Q241">
            <v>30</v>
          </cell>
          <cell r="R241">
            <v>12.2</v>
          </cell>
          <cell r="S241">
            <v>49.8</v>
          </cell>
          <cell r="T241">
            <v>37757</v>
          </cell>
          <cell r="U241" t="str">
            <v>мд</v>
          </cell>
          <cell r="W241" t="str">
            <v>ВЦ,ВЗ,ПП ЮК-10 ПК-105С,ОПЗ,сп Э-30</v>
          </cell>
          <cell r="AD241">
            <v>37718</v>
          </cell>
          <cell r="AE241">
            <v>37750</v>
          </cell>
        </row>
        <row r="242">
          <cell r="B242">
            <v>11053</v>
          </cell>
          <cell r="C242" t="str">
            <v>100б</v>
          </cell>
          <cell r="F242" t="str">
            <v>УПНП</v>
          </cell>
          <cell r="G242">
            <v>230</v>
          </cell>
          <cell r="H242" t="str">
            <v>ЭЦН</v>
          </cell>
          <cell r="I242" t="str">
            <v>бд</v>
          </cell>
          <cell r="J242">
            <v>35957</v>
          </cell>
          <cell r="K242">
            <v>0</v>
          </cell>
          <cell r="L242">
            <v>0</v>
          </cell>
          <cell r="M242">
            <v>0</v>
          </cell>
          <cell r="N242">
            <v>30</v>
          </cell>
          <cell r="O242">
            <v>12.2</v>
          </cell>
          <cell r="P242">
            <v>50</v>
          </cell>
          <cell r="Q242">
            <v>30</v>
          </cell>
          <cell r="R242">
            <v>12.2</v>
          </cell>
          <cell r="S242">
            <v>49.8</v>
          </cell>
          <cell r="T242">
            <v>37763</v>
          </cell>
          <cell r="U242" t="str">
            <v>ЛА</v>
          </cell>
          <cell r="W242" t="str">
            <v xml:space="preserve">ЛА, ПП,ОПЗ, сп Э-30 </v>
          </cell>
          <cell r="AD242">
            <v>37735</v>
          </cell>
          <cell r="AE242">
            <v>37756</v>
          </cell>
        </row>
        <row r="243">
          <cell r="B243">
            <v>2917</v>
          </cell>
          <cell r="C243">
            <v>43</v>
          </cell>
          <cell r="F243" t="str">
            <v>УПНП</v>
          </cell>
          <cell r="G243">
            <v>275</v>
          </cell>
          <cell r="H243" t="str">
            <v>ЭЦН</v>
          </cell>
          <cell r="I243" t="str">
            <v>конс.</v>
          </cell>
          <cell r="J243">
            <v>34029</v>
          </cell>
          <cell r="K243">
            <v>0</v>
          </cell>
          <cell r="L243">
            <v>0</v>
          </cell>
          <cell r="M243">
            <v>0</v>
          </cell>
          <cell r="N243">
            <v>30</v>
          </cell>
          <cell r="O243">
            <v>9.8000000000000007</v>
          </cell>
          <cell r="P243">
            <v>60</v>
          </cell>
          <cell r="Q243">
            <v>30</v>
          </cell>
          <cell r="R243">
            <v>9.8000000000000007</v>
          </cell>
          <cell r="S243">
            <v>59.7</v>
          </cell>
          <cell r="T243">
            <v>37784</v>
          </cell>
          <cell r="U243" t="str">
            <v>ВЦ</v>
          </cell>
          <cell r="W243" t="str">
            <v>ВЦ,ВЗ МШУ,ГДИ,спуск Э-30</v>
          </cell>
          <cell r="AD243">
            <v>37757</v>
          </cell>
          <cell r="AE243">
            <v>37777</v>
          </cell>
        </row>
        <row r="244">
          <cell r="B244">
            <v>5354</v>
          </cell>
          <cell r="C244">
            <v>105</v>
          </cell>
          <cell r="F244" t="str">
            <v>УПНП</v>
          </cell>
          <cell r="G244">
            <v>280</v>
          </cell>
          <cell r="H244" t="str">
            <v>ЭЦН</v>
          </cell>
          <cell r="I244" t="str">
            <v>бд</v>
          </cell>
          <cell r="J244">
            <v>35111</v>
          </cell>
          <cell r="K244">
            <v>0</v>
          </cell>
          <cell r="L244">
            <v>0</v>
          </cell>
          <cell r="M244">
            <v>0</v>
          </cell>
          <cell r="N244">
            <v>80</v>
          </cell>
          <cell r="O244">
            <v>16.3</v>
          </cell>
          <cell r="P244">
            <v>75</v>
          </cell>
          <cell r="Q244">
            <v>80</v>
          </cell>
          <cell r="R244">
            <v>16.3</v>
          </cell>
          <cell r="S244">
            <v>74.8</v>
          </cell>
          <cell r="T244">
            <v>37804</v>
          </cell>
          <cell r="U244" t="str">
            <v>ЛА</v>
          </cell>
          <cell r="W244" t="str">
            <v>Извл.ЭЦН,ПП,спуск ЭЦН</v>
          </cell>
          <cell r="AD244">
            <v>37763</v>
          </cell>
          <cell r="AE244">
            <v>37797</v>
          </cell>
        </row>
        <row r="245">
          <cell r="B245">
            <v>5353</v>
          </cell>
          <cell r="C245">
            <v>105</v>
          </cell>
          <cell r="F245" t="str">
            <v>УПНП</v>
          </cell>
          <cell r="G245">
            <v>280</v>
          </cell>
          <cell r="H245" t="str">
            <v>ЭЦН</v>
          </cell>
          <cell r="I245" t="str">
            <v>бд</v>
          </cell>
          <cell r="J245">
            <v>34458</v>
          </cell>
          <cell r="K245">
            <v>0</v>
          </cell>
          <cell r="L245">
            <v>0</v>
          </cell>
          <cell r="M245">
            <v>0</v>
          </cell>
          <cell r="N245">
            <v>80</v>
          </cell>
          <cell r="O245">
            <v>16.3</v>
          </cell>
          <cell r="P245">
            <v>75</v>
          </cell>
          <cell r="Q245">
            <v>80</v>
          </cell>
          <cell r="R245">
            <v>16.3</v>
          </cell>
          <cell r="S245">
            <v>74.8</v>
          </cell>
          <cell r="T245">
            <v>7</v>
          </cell>
          <cell r="U245" t="str">
            <v>ЛА</v>
          </cell>
          <cell r="W245" t="str">
            <v>Извл.ЭЦН,ОТСК,ПП,спуск ЭЦН</v>
          </cell>
          <cell r="AD245">
            <v>37786</v>
          </cell>
        </row>
        <row r="246">
          <cell r="B246">
            <v>2893</v>
          </cell>
          <cell r="C246">
            <v>158</v>
          </cell>
          <cell r="F246" t="str">
            <v>УПНП</v>
          </cell>
          <cell r="G246">
            <v>240</v>
          </cell>
          <cell r="H246" t="str">
            <v>ШГН</v>
          </cell>
          <cell r="I246" t="str">
            <v>конс.</v>
          </cell>
          <cell r="J246">
            <v>34973</v>
          </cell>
          <cell r="K246">
            <v>0</v>
          </cell>
          <cell r="L246">
            <v>0</v>
          </cell>
          <cell r="M246">
            <v>0</v>
          </cell>
          <cell r="N246">
            <v>30</v>
          </cell>
          <cell r="O246">
            <v>12</v>
          </cell>
          <cell r="P246">
            <v>51</v>
          </cell>
          <cell r="Q246">
            <v>30</v>
          </cell>
          <cell r="R246">
            <v>12</v>
          </cell>
          <cell r="S246">
            <v>50.6</v>
          </cell>
          <cell r="T246">
            <v>37803</v>
          </cell>
          <cell r="U246" t="str">
            <v>вв</v>
          </cell>
          <cell r="W246" t="str">
            <v>ВЦ.ИР ЮК-10,Испыт.Bg+Ab</v>
          </cell>
          <cell r="AD246">
            <v>37767</v>
          </cell>
          <cell r="AE246">
            <v>37796</v>
          </cell>
        </row>
        <row r="247">
          <cell r="B247">
            <v>5532</v>
          </cell>
          <cell r="C247">
            <v>119</v>
          </cell>
          <cell r="F247" t="str">
            <v>УПНП</v>
          </cell>
          <cell r="G247">
            <v>230</v>
          </cell>
          <cell r="H247" t="str">
            <v>ЭЦН</v>
          </cell>
          <cell r="I247" t="str">
            <v>действ.</v>
          </cell>
          <cell r="J247">
            <v>35218</v>
          </cell>
          <cell r="K247">
            <v>10</v>
          </cell>
          <cell r="L247">
            <v>0.5</v>
          </cell>
          <cell r="M247">
            <v>94</v>
          </cell>
          <cell r="N247">
            <v>80</v>
          </cell>
          <cell r="O247">
            <v>23.5</v>
          </cell>
          <cell r="P247">
            <v>64</v>
          </cell>
          <cell r="Q247">
            <v>70</v>
          </cell>
          <cell r="R247">
            <v>23</v>
          </cell>
          <cell r="S247">
            <v>59.4</v>
          </cell>
          <cell r="T247">
            <v>38160</v>
          </cell>
          <cell r="U247" t="str">
            <v>ГРП</v>
          </cell>
          <cell r="W247" t="str">
            <v>ОТСК,ГРП ЮК-10,сп.Э-80</v>
          </cell>
          <cell r="AD247">
            <v>37774</v>
          </cell>
          <cell r="AE247">
            <v>37795</v>
          </cell>
        </row>
        <row r="248">
          <cell r="B248">
            <v>5675</v>
          </cell>
          <cell r="C248">
            <v>126</v>
          </cell>
          <cell r="F248" t="str">
            <v>УПНП</v>
          </cell>
          <cell r="G248">
            <v>250</v>
          </cell>
          <cell r="H248" t="str">
            <v>ШГН</v>
          </cell>
          <cell r="I248" t="str">
            <v>конс.</v>
          </cell>
          <cell r="J248">
            <v>35585</v>
          </cell>
          <cell r="K248">
            <v>0</v>
          </cell>
          <cell r="L248">
            <v>0</v>
          </cell>
          <cell r="M248">
            <v>0</v>
          </cell>
          <cell r="N248">
            <v>30</v>
          </cell>
          <cell r="O248">
            <v>12.2</v>
          </cell>
          <cell r="P248">
            <v>50</v>
          </cell>
          <cell r="Q248">
            <v>30</v>
          </cell>
          <cell r="R248">
            <v>12.2</v>
          </cell>
          <cell r="S248">
            <v>49.8</v>
          </cell>
          <cell r="T248">
            <v>37768</v>
          </cell>
          <cell r="U248" t="str">
            <v>ОПЗ</v>
          </cell>
          <cell r="W248" t="str">
            <v>ВЦ,ПП ЮК-10,ОПЗ,ГИС-2,сп Э-30</v>
          </cell>
          <cell r="AD248">
            <v>37739</v>
          </cell>
          <cell r="AE248">
            <v>37761</v>
          </cell>
        </row>
        <row r="249">
          <cell r="B249" t="str">
            <v>5484б</v>
          </cell>
          <cell r="C249">
            <v>115</v>
          </cell>
          <cell r="F249" t="str">
            <v>УПНП</v>
          </cell>
          <cell r="G249">
            <v>220</v>
          </cell>
          <cell r="H249" t="str">
            <v>ЭЦН</v>
          </cell>
          <cell r="I249" t="str">
            <v>действ.</v>
          </cell>
          <cell r="T249">
            <v>37841</v>
          </cell>
          <cell r="U249" t="str">
            <v>нг</v>
          </cell>
          <cell r="W249" t="str">
            <v>Перевод в ППД</v>
          </cell>
          <cell r="AD249">
            <v>37827</v>
          </cell>
          <cell r="AE249">
            <v>37834</v>
          </cell>
        </row>
        <row r="250">
          <cell r="B250">
            <v>5546</v>
          </cell>
          <cell r="C250">
            <v>115</v>
          </cell>
          <cell r="F250" t="str">
            <v>УПНП</v>
          </cell>
          <cell r="G250">
            <v>240</v>
          </cell>
          <cell r="H250" t="str">
            <v>нагн.</v>
          </cell>
          <cell r="I250" t="str">
            <v>б/д</v>
          </cell>
          <cell r="J250">
            <v>34261</v>
          </cell>
          <cell r="K250">
            <v>0</v>
          </cell>
          <cell r="L250">
            <v>0</v>
          </cell>
          <cell r="M250">
            <v>0</v>
          </cell>
          <cell r="N250">
            <v>37</v>
          </cell>
          <cell r="O250">
            <v>28.6</v>
          </cell>
          <cell r="P250">
            <v>5</v>
          </cell>
          <cell r="Q250">
            <v>37</v>
          </cell>
          <cell r="R250">
            <v>28.6</v>
          </cell>
          <cell r="S250">
            <v>5</v>
          </cell>
          <cell r="T250">
            <v>37804</v>
          </cell>
          <cell r="U250" t="str">
            <v>ГРП</v>
          </cell>
          <cell r="W250" t="str">
            <v xml:space="preserve">ОТСК.Изоляция ЮК10.ГРП ЮК-2 </v>
          </cell>
          <cell r="AD250">
            <v>37742</v>
          </cell>
          <cell r="AE250">
            <v>37797</v>
          </cell>
        </row>
        <row r="251">
          <cell r="B251">
            <v>3659</v>
          </cell>
          <cell r="C251" t="str">
            <v>76б</v>
          </cell>
          <cell r="F251" t="str">
            <v>УПНП</v>
          </cell>
          <cell r="G251">
            <v>260</v>
          </cell>
          <cell r="H251" t="str">
            <v>ЭЦН</v>
          </cell>
          <cell r="I251" t="str">
            <v>бд</v>
          </cell>
          <cell r="J251">
            <v>35214</v>
          </cell>
          <cell r="K251">
            <v>0</v>
          </cell>
          <cell r="L251">
            <v>0</v>
          </cell>
          <cell r="M251">
            <v>0</v>
          </cell>
          <cell r="N251">
            <v>125</v>
          </cell>
          <cell r="O251">
            <v>7.1</v>
          </cell>
          <cell r="P251">
            <v>93</v>
          </cell>
          <cell r="Q251">
            <v>125</v>
          </cell>
          <cell r="R251">
            <v>7.1</v>
          </cell>
          <cell r="S251">
            <v>93</v>
          </cell>
          <cell r="T251">
            <v>37784</v>
          </cell>
          <cell r="U251" t="str">
            <v>ВВ</v>
          </cell>
          <cell r="W251" t="str">
            <v>ВЦ,ДП КВ.СКО.ГДИ.Спуск Э-125.</v>
          </cell>
          <cell r="AD251">
            <v>37751</v>
          </cell>
          <cell r="AE251">
            <v>37777</v>
          </cell>
        </row>
        <row r="252">
          <cell r="B252">
            <v>3009</v>
          </cell>
          <cell r="C252">
            <v>51</v>
          </cell>
          <cell r="F252" t="str">
            <v>УПНП</v>
          </cell>
          <cell r="G252">
            <v>250</v>
          </cell>
          <cell r="H252" t="str">
            <v>ЭЦН</v>
          </cell>
          <cell r="I252" t="str">
            <v>действ.</v>
          </cell>
          <cell r="K252">
            <v>0</v>
          </cell>
          <cell r="L252">
            <v>0</v>
          </cell>
          <cell r="M252">
            <v>0</v>
          </cell>
          <cell r="N252">
            <v>30</v>
          </cell>
          <cell r="O252">
            <v>12</v>
          </cell>
          <cell r="P252">
            <v>51</v>
          </cell>
          <cell r="Q252">
            <v>30</v>
          </cell>
          <cell r="R252">
            <v>12</v>
          </cell>
          <cell r="S252">
            <v>50.6</v>
          </cell>
          <cell r="T252">
            <v>37833</v>
          </cell>
          <cell r="U252" t="str">
            <v>ВВ</v>
          </cell>
          <cell r="W252" t="str">
            <v>ГРП ЮК-1,освоение</v>
          </cell>
          <cell r="AD252">
            <v>37811</v>
          </cell>
          <cell r="AE252">
            <v>37826</v>
          </cell>
        </row>
        <row r="253">
          <cell r="B253">
            <v>2838</v>
          </cell>
          <cell r="C253">
            <v>124</v>
          </cell>
          <cell r="F253" t="str">
            <v>УПНП</v>
          </cell>
          <cell r="G253">
            <v>260</v>
          </cell>
          <cell r="H253" t="str">
            <v>шгн</v>
          </cell>
          <cell r="I253" t="str">
            <v>конс.</v>
          </cell>
          <cell r="J253">
            <v>35705</v>
          </cell>
          <cell r="K253">
            <v>0</v>
          </cell>
          <cell r="L253">
            <v>0</v>
          </cell>
          <cell r="M253">
            <v>0</v>
          </cell>
          <cell r="N253">
            <v>50</v>
          </cell>
          <cell r="O253">
            <v>9.8000000000000007</v>
          </cell>
          <cell r="P253">
            <v>76</v>
          </cell>
          <cell r="Q253">
            <v>50</v>
          </cell>
          <cell r="R253">
            <v>9.8000000000000007</v>
          </cell>
          <cell r="S253">
            <v>75.8</v>
          </cell>
          <cell r="T253">
            <v>37946</v>
          </cell>
          <cell r="U253" t="str">
            <v>ВЦ</v>
          </cell>
          <cell r="W253" t="str">
            <v>ВЦ.ЛА.ПП ЮК10.Сп.Э-50</v>
          </cell>
          <cell r="AD253">
            <v>37917</v>
          </cell>
          <cell r="AE253">
            <v>37939</v>
          </cell>
        </row>
        <row r="254">
          <cell r="B254">
            <v>5472</v>
          </cell>
          <cell r="C254">
            <v>108</v>
          </cell>
          <cell r="F254" t="str">
            <v>УПНП</v>
          </cell>
          <cell r="G254">
            <v>275</v>
          </cell>
          <cell r="H254" t="str">
            <v>ЭЦН</v>
          </cell>
          <cell r="I254" t="str">
            <v>б/д пр.л.</v>
          </cell>
          <cell r="J254">
            <v>34274</v>
          </cell>
          <cell r="K254">
            <v>0</v>
          </cell>
          <cell r="L254">
            <v>0</v>
          </cell>
          <cell r="M254">
            <v>0</v>
          </cell>
          <cell r="N254">
            <v>50</v>
          </cell>
          <cell r="O254">
            <v>18</v>
          </cell>
          <cell r="P254">
            <v>55.6</v>
          </cell>
          <cell r="Q254">
            <v>50</v>
          </cell>
          <cell r="R254">
            <v>18</v>
          </cell>
          <cell r="S254">
            <v>55.6</v>
          </cell>
          <cell r="T254">
            <v>38836</v>
          </cell>
          <cell r="U254" t="str">
            <v>ГРП</v>
          </cell>
          <cell r="W254" t="str">
            <v>ГИС-2,РИР ЗКЦ,ГРП ЮК-10,сп.Э-80</v>
          </cell>
          <cell r="AD254">
            <v>37898</v>
          </cell>
          <cell r="AE254">
            <v>37951</v>
          </cell>
        </row>
        <row r="255">
          <cell r="B255">
            <v>5522</v>
          </cell>
          <cell r="C255">
            <v>117</v>
          </cell>
          <cell r="F255" t="str">
            <v>УПНП</v>
          </cell>
          <cell r="G255">
            <v>264</v>
          </cell>
          <cell r="H255" t="str">
            <v>шгн</v>
          </cell>
          <cell r="I255" t="str">
            <v>конс.</v>
          </cell>
          <cell r="J255">
            <v>34669</v>
          </cell>
          <cell r="K255">
            <v>0</v>
          </cell>
          <cell r="L255">
            <v>0</v>
          </cell>
          <cell r="M255">
            <v>0</v>
          </cell>
          <cell r="N255">
            <v>50</v>
          </cell>
          <cell r="O255">
            <v>9.8000000000000007</v>
          </cell>
          <cell r="P255">
            <v>76</v>
          </cell>
          <cell r="Q255">
            <v>50</v>
          </cell>
          <cell r="R255">
            <v>9.8000000000000007</v>
          </cell>
          <cell r="S255">
            <v>75.8</v>
          </cell>
          <cell r="T255">
            <v>37968</v>
          </cell>
          <cell r="U255" t="str">
            <v>ВЦ</v>
          </cell>
          <cell r="W255" t="str">
            <v>ВЦ.ВЗ.ПП ЮК10.сп.Э-30</v>
          </cell>
          <cell r="AD255">
            <v>37929</v>
          </cell>
          <cell r="AE255">
            <v>37961</v>
          </cell>
        </row>
        <row r="256">
          <cell r="B256" t="str">
            <v>5491б</v>
          </cell>
          <cell r="C256">
            <v>117</v>
          </cell>
          <cell r="F256" t="str">
            <v>УПНП</v>
          </cell>
          <cell r="G256">
            <v>270</v>
          </cell>
          <cell r="H256" t="str">
            <v>Ф/Ш</v>
          </cell>
          <cell r="I256" t="str">
            <v>конс.</v>
          </cell>
          <cell r="J256">
            <v>33786</v>
          </cell>
          <cell r="K256">
            <v>0</v>
          </cell>
          <cell r="L256">
            <v>0</v>
          </cell>
          <cell r="M256">
            <v>0</v>
          </cell>
          <cell r="N256">
            <v>80</v>
          </cell>
          <cell r="O256">
            <v>22.8</v>
          </cell>
          <cell r="P256">
            <v>65</v>
          </cell>
          <cell r="Q256">
            <v>80</v>
          </cell>
          <cell r="R256">
            <v>22.8</v>
          </cell>
          <cell r="S256">
            <v>64.8</v>
          </cell>
          <cell r="T256">
            <v>38237</v>
          </cell>
          <cell r="U256" t="str">
            <v>ГРП</v>
          </cell>
          <cell r="W256" t="str">
            <v>,</v>
          </cell>
          <cell r="AD256">
            <v>38213</v>
          </cell>
          <cell r="AE256">
            <v>38230</v>
          </cell>
        </row>
        <row r="257">
          <cell r="B257">
            <v>2668</v>
          </cell>
          <cell r="C257" t="str">
            <v>160б</v>
          </cell>
          <cell r="F257" t="str">
            <v>УПНП</v>
          </cell>
          <cell r="G257">
            <v>270</v>
          </cell>
          <cell r="H257" t="str">
            <v>ШГН</v>
          </cell>
          <cell r="I257" t="str">
            <v>конс.</v>
          </cell>
          <cell r="J257">
            <v>34243</v>
          </cell>
          <cell r="K257">
            <v>0</v>
          </cell>
          <cell r="L257">
            <v>0</v>
          </cell>
          <cell r="M257">
            <v>0</v>
          </cell>
          <cell r="N257">
            <v>50</v>
          </cell>
          <cell r="O257">
            <v>9.8000000000000007</v>
          </cell>
          <cell r="P257">
            <v>76</v>
          </cell>
          <cell r="Q257">
            <v>50</v>
          </cell>
          <cell r="R257">
            <v>9.8000000000000007</v>
          </cell>
          <cell r="S257">
            <v>75.8</v>
          </cell>
          <cell r="T257">
            <v>37932</v>
          </cell>
          <cell r="U257" t="str">
            <v>ВВ</v>
          </cell>
          <cell r="V257">
            <v>4</v>
          </cell>
          <cell r="W257" t="str">
            <v>ВЗ.ПП.ДП ЮК-11</v>
          </cell>
          <cell r="Y257" t="str">
            <v>Полёт нкт, МСУ+проволка+ловитель</v>
          </cell>
          <cell r="AD257">
            <v>37906</v>
          </cell>
          <cell r="AE257">
            <v>37925</v>
          </cell>
          <cell r="AF257">
            <v>45</v>
          </cell>
        </row>
        <row r="258">
          <cell r="B258">
            <v>2966</v>
          </cell>
          <cell r="C258">
            <v>45</v>
          </cell>
          <cell r="F258" t="str">
            <v>УПНП</v>
          </cell>
          <cell r="G258">
            <v>290</v>
          </cell>
          <cell r="H258" t="str">
            <v>нагнет.</v>
          </cell>
          <cell r="I258" t="str">
            <v>конс.</v>
          </cell>
          <cell r="K258">
            <v>0</v>
          </cell>
          <cell r="L258">
            <v>0</v>
          </cell>
          <cell r="M258">
            <v>0</v>
          </cell>
          <cell r="N258">
            <v>50</v>
          </cell>
          <cell r="O258">
            <v>8.1999999999999993</v>
          </cell>
          <cell r="P258">
            <v>80</v>
          </cell>
          <cell r="Q258">
            <v>50</v>
          </cell>
          <cell r="R258">
            <v>8.1999999999999993</v>
          </cell>
          <cell r="S258">
            <v>79.8</v>
          </cell>
          <cell r="T258">
            <v>38171</v>
          </cell>
          <cell r="U258" t="str">
            <v>бдк</v>
          </cell>
          <cell r="W258" t="str">
            <v>ВЦ.ПП ЮК-10.ГИС-2.Сп.Э-50</v>
          </cell>
        </row>
        <row r="259">
          <cell r="B259">
            <v>5408</v>
          </cell>
          <cell r="C259">
            <v>105</v>
          </cell>
          <cell r="F259" t="str">
            <v>УПНП</v>
          </cell>
          <cell r="G259">
            <v>280</v>
          </cell>
          <cell r="H259" t="str">
            <v>ШГН</v>
          </cell>
          <cell r="I259" t="str">
            <v>бд</v>
          </cell>
          <cell r="J259">
            <v>36716</v>
          </cell>
          <cell r="K259">
            <v>0</v>
          </cell>
          <cell r="L259">
            <v>0</v>
          </cell>
          <cell r="M259">
            <v>0</v>
          </cell>
          <cell r="N259">
            <v>80</v>
          </cell>
          <cell r="O259">
            <v>22.8</v>
          </cell>
          <cell r="P259">
            <v>65</v>
          </cell>
          <cell r="Q259">
            <v>80</v>
          </cell>
          <cell r="R259">
            <v>22.8</v>
          </cell>
          <cell r="S259">
            <v>64.8</v>
          </cell>
          <cell r="T259">
            <v>38252</v>
          </cell>
          <cell r="U259" t="str">
            <v>ГРП</v>
          </cell>
          <cell r="W259" t="str">
            <v>ВЦ.ПП ЮК-10.ГРП.Сп.Э-80</v>
          </cell>
          <cell r="AD259">
            <v>38219</v>
          </cell>
          <cell r="AE259">
            <v>38245</v>
          </cell>
        </row>
        <row r="260">
          <cell r="B260">
            <v>2984</v>
          </cell>
          <cell r="C260">
            <v>45</v>
          </cell>
          <cell r="F260" t="str">
            <v>УПНП</v>
          </cell>
          <cell r="G260">
            <v>270</v>
          </cell>
          <cell r="H260" t="str">
            <v>ШГН</v>
          </cell>
          <cell r="I260" t="str">
            <v>бд</v>
          </cell>
          <cell r="J260">
            <v>34080</v>
          </cell>
          <cell r="K260">
            <v>0</v>
          </cell>
          <cell r="L260">
            <v>0</v>
          </cell>
          <cell r="M260">
            <v>0</v>
          </cell>
          <cell r="N260">
            <v>80</v>
          </cell>
          <cell r="O260">
            <v>22.8</v>
          </cell>
          <cell r="P260">
            <v>65</v>
          </cell>
          <cell r="Q260">
            <v>80</v>
          </cell>
          <cell r="R260">
            <v>22.8</v>
          </cell>
          <cell r="S260">
            <v>64.8</v>
          </cell>
          <cell r="T260">
            <v>38247</v>
          </cell>
          <cell r="U260" t="str">
            <v>ГРП</v>
          </cell>
          <cell r="W260" t="str">
            <v>ВЦ.ЛА.ПП ЮК10.ГРП.Сп.Э-80</v>
          </cell>
          <cell r="AD260">
            <v>38214</v>
          </cell>
          <cell r="AE260">
            <v>38240</v>
          </cell>
        </row>
        <row r="261">
          <cell r="B261">
            <v>5676</v>
          </cell>
          <cell r="C261">
            <v>125</v>
          </cell>
          <cell r="F261" t="str">
            <v>УПНП</v>
          </cell>
          <cell r="G261">
            <v>270</v>
          </cell>
          <cell r="H261" t="str">
            <v>нагн.</v>
          </cell>
          <cell r="I261" t="str">
            <v>бд</v>
          </cell>
          <cell r="J261">
            <v>32265</v>
          </cell>
          <cell r="T261">
            <v>38240</v>
          </cell>
          <cell r="U261" t="str">
            <v>нг</v>
          </cell>
          <cell r="W261" t="str">
            <v>Рем.уст.ВЗ.ОТСК.ПП ЮК-10.ОПЗ</v>
          </cell>
        </row>
        <row r="262">
          <cell r="B262">
            <v>3120</v>
          </cell>
          <cell r="C262">
            <v>54</v>
          </cell>
          <cell r="F262" t="str">
            <v>УПНП</v>
          </cell>
          <cell r="G262">
            <v>260</v>
          </cell>
          <cell r="H262" t="str">
            <v>ШГН</v>
          </cell>
          <cell r="I262" t="str">
            <v>бд</v>
          </cell>
          <cell r="J262">
            <v>34270</v>
          </cell>
          <cell r="K262">
            <v>0</v>
          </cell>
          <cell r="L262">
            <v>0</v>
          </cell>
          <cell r="M262">
            <v>0</v>
          </cell>
          <cell r="N262">
            <v>50</v>
          </cell>
          <cell r="O262">
            <v>8.1999999999999993</v>
          </cell>
          <cell r="P262">
            <v>80</v>
          </cell>
          <cell r="Q262">
            <v>50</v>
          </cell>
          <cell r="R262">
            <v>8.1999999999999993</v>
          </cell>
          <cell r="S262">
            <v>79.8</v>
          </cell>
          <cell r="T262">
            <v>38241</v>
          </cell>
          <cell r="U262" t="str">
            <v>бдк</v>
          </cell>
          <cell r="W262" t="str">
            <v>ВЦ.ПП ЮК-10.МШУ.Сп.Э-50</v>
          </cell>
          <cell r="AD262">
            <v>38215</v>
          </cell>
          <cell r="AE262">
            <v>38237</v>
          </cell>
        </row>
        <row r="263">
          <cell r="B263">
            <v>5337</v>
          </cell>
          <cell r="C263">
            <v>140</v>
          </cell>
          <cell r="F263" t="str">
            <v>УПНП</v>
          </cell>
          <cell r="G263">
            <v>260</v>
          </cell>
          <cell r="H263" t="str">
            <v>ШГН</v>
          </cell>
          <cell r="I263" t="str">
            <v>бд</v>
          </cell>
          <cell r="J263">
            <v>35705</v>
          </cell>
          <cell r="K263">
            <v>0</v>
          </cell>
          <cell r="L263">
            <v>0</v>
          </cell>
          <cell r="M263">
            <v>0</v>
          </cell>
          <cell r="N263">
            <v>80</v>
          </cell>
          <cell r="O263">
            <v>22.8</v>
          </cell>
          <cell r="P263">
            <v>65</v>
          </cell>
          <cell r="Q263">
            <v>80</v>
          </cell>
          <cell r="R263">
            <v>22.8</v>
          </cell>
          <cell r="S263">
            <v>64.8</v>
          </cell>
          <cell r="T263">
            <v>38252</v>
          </cell>
          <cell r="U263" t="str">
            <v>ГРП</v>
          </cell>
          <cell r="W263" t="str">
            <v>ЛА.РИР Э/К.ГРП ЮК10-11.Сп.Э-80</v>
          </cell>
          <cell r="AD263">
            <v>38219</v>
          </cell>
          <cell r="AE263">
            <v>38245</v>
          </cell>
        </row>
        <row r="264">
          <cell r="B264">
            <v>2758</v>
          </cell>
          <cell r="C264">
            <v>144</v>
          </cell>
          <cell r="F264" t="str">
            <v>УПНП</v>
          </cell>
          <cell r="G264">
            <v>260</v>
          </cell>
          <cell r="H264" t="str">
            <v>ШГН</v>
          </cell>
          <cell r="I264" t="str">
            <v>конс.</v>
          </cell>
          <cell r="J264">
            <v>34425</v>
          </cell>
          <cell r="K264">
            <v>0</v>
          </cell>
          <cell r="L264">
            <v>0</v>
          </cell>
          <cell r="M264">
            <v>0</v>
          </cell>
          <cell r="N264">
            <v>80</v>
          </cell>
          <cell r="O264">
            <v>22.8</v>
          </cell>
          <cell r="P264">
            <v>65</v>
          </cell>
          <cell r="Q264">
            <v>80</v>
          </cell>
          <cell r="R264">
            <v>22.8</v>
          </cell>
          <cell r="S264">
            <v>64.8</v>
          </cell>
          <cell r="T264">
            <v>38237</v>
          </cell>
          <cell r="U264" t="str">
            <v>ГРП</v>
          </cell>
          <cell r="W264" t="str">
            <v>ВЦ.ВЗ.ПП ЮК10.ГРП.сп.Э-30</v>
          </cell>
          <cell r="AD264">
            <v>38201</v>
          </cell>
          <cell r="AE264">
            <v>38230</v>
          </cell>
        </row>
        <row r="265">
          <cell r="B265">
            <v>3127</v>
          </cell>
          <cell r="C265">
            <v>55</v>
          </cell>
          <cell r="F265" t="str">
            <v>УПНП</v>
          </cell>
          <cell r="G265">
            <v>260</v>
          </cell>
          <cell r="H265" t="str">
            <v>Ф/Э</v>
          </cell>
          <cell r="I265" t="str">
            <v>конс.</v>
          </cell>
          <cell r="J265">
            <v>34883</v>
          </cell>
          <cell r="K265">
            <v>0</v>
          </cell>
          <cell r="L265">
            <v>0</v>
          </cell>
          <cell r="M265">
            <v>0</v>
          </cell>
          <cell r="N265">
            <v>50</v>
          </cell>
          <cell r="O265">
            <v>7.3</v>
          </cell>
          <cell r="P265">
            <v>82</v>
          </cell>
          <cell r="Q265">
            <v>50</v>
          </cell>
          <cell r="R265">
            <v>7.3</v>
          </cell>
          <cell r="S265">
            <v>82</v>
          </cell>
          <cell r="T265">
            <v>38267</v>
          </cell>
          <cell r="U265" t="str">
            <v>бдк</v>
          </cell>
          <cell r="W265" t="str">
            <v>ВЦ.ПП ЮК-11.Сп.Э-50</v>
          </cell>
          <cell r="AD265">
            <v>38231</v>
          </cell>
          <cell r="AE265">
            <v>38260</v>
          </cell>
        </row>
        <row r="266">
          <cell r="B266">
            <v>5255</v>
          </cell>
          <cell r="C266">
            <v>139</v>
          </cell>
          <cell r="F266" t="str">
            <v>УПНП</v>
          </cell>
          <cell r="G266">
            <v>270</v>
          </cell>
          <cell r="H266" t="str">
            <v>ШГН</v>
          </cell>
          <cell r="I266" t="str">
            <v>бд</v>
          </cell>
          <cell r="J266">
            <v>34791</v>
          </cell>
          <cell r="K266">
            <v>0</v>
          </cell>
          <cell r="L266">
            <v>0</v>
          </cell>
          <cell r="M266">
            <v>0</v>
          </cell>
          <cell r="N266">
            <v>80</v>
          </cell>
          <cell r="O266">
            <v>24.9</v>
          </cell>
          <cell r="P266">
            <v>61.8</v>
          </cell>
          <cell r="Q266">
            <v>80</v>
          </cell>
          <cell r="R266">
            <v>24.9</v>
          </cell>
          <cell r="S266">
            <v>61.8</v>
          </cell>
          <cell r="T266">
            <v>38251</v>
          </cell>
          <cell r="U266" t="str">
            <v>ГРП</v>
          </cell>
          <cell r="W266" t="str">
            <v>РИР Э/К.ГРП ЮК-10.Сп.Э-80</v>
          </cell>
          <cell r="AD266">
            <v>38219</v>
          </cell>
          <cell r="AE266">
            <v>38214</v>
          </cell>
        </row>
        <row r="267">
          <cell r="B267">
            <v>5251</v>
          </cell>
          <cell r="C267">
            <v>137</v>
          </cell>
          <cell r="F267" t="str">
            <v>УПНП</v>
          </cell>
          <cell r="G267">
            <v>260</v>
          </cell>
          <cell r="H267" t="str">
            <v>Ф/Э</v>
          </cell>
          <cell r="I267" t="str">
            <v>конс.</v>
          </cell>
          <cell r="J267">
            <v>34060</v>
          </cell>
          <cell r="K267">
            <v>0</v>
          </cell>
          <cell r="L267">
            <v>0</v>
          </cell>
          <cell r="M267">
            <v>0</v>
          </cell>
          <cell r="N267">
            <v>50</v>
          </cell>
          <cell r="O267">
            <v>8.1999999999999993</v>
          </cell>
          <cell r="P267">
            <v>80</v>
          </cell>
          <cell r="Q267">
            <v>50</v>
          </cell>
          <cell r="R267">
            <v>8.1999999999999993</v>
          </cell>
          <cell r="S267">
            <v>79.8</v>
          </cell>
          <cell r="T267">
            <v>38249</v>
          </cell>
          <cell r="U267" t="str">
            <v>бдк</v>
          </cell>
          <cell r="W267" t="str">
            <v>ВЦ.ВЗ.ИР ЮК-11.ПП ЮК-10.Сп.ЭЦН-50</v>
          </cell>
          <cell r="AD267">
            <v>38216</v>
          </cell>
          <cell r="AE267">
            <v>38242</v>
          </cell>
        </row>
        <row r="268">
          <cell r="B268" t="str">
            <v>2952б</v>
          </cell>
          <cell r="C268">
            <v>45</v>
          </cell>
          <cell r="F268" t="str">
            <v>УПНП</v>
          </cell>
          <cell r="G268">
            <v>270</v>
          </cell>
          <cell r="H268" t="str">
            <v>ШГН</v>
          </cell>
          <cell r="I268" t="str">
            <v>конс.</v>
          </cell>
          <cell r="J268">
            <v>32843</v>
          </cell>
          <cell r="K268">
            <v>0</v>
          </cell>
          <cell r="L268">
            <v>0</v>
          </cell>
          <cell r="M268">
            <v>0</v>
          </cell>
          <cell r="N268">
            <v>80</v>
          </cell>
          <cell r="O268">
            <v>22.8</v>
          </cell>
          <cell r="P268">
            <v>65</v>
          </cell>
          <cell r="Q268">
            <v>80</v>
          </cell>
          <cell r="R268">
            <v>22.8</v>
          </cell>
          <cell r="S268">
            <v>64.8</v>
          </cell>
          <cell r="T268">
            <v>38238</v>
          </cell>
          <cell r="U268" t="str">
            <v>ГРП</v>
          </cell>
          <cell r="W268" t="str">
            <v>ВЦ.ПП.ГРП ЮК-10,сп.Э-80</v>
          </cell>
          <cell r="AE268">
            <v>38231</v>
          </cell>
        </row>
        <row r="269">
          <cell r="B269">
            <v>2932</v>
          </cell>
          <cell r="C269">
            <v>44</v>
          </cell>
          <cell r="F269" t="str">
            <v>УПНП</v>
          </cell>
          <cell r="G269">
            <v>270</v>
          </cell>
          <cell r="H269" t="str">
            <v>ШГН</v>
          </cell>
          <cell r="I269" t="str">
            <v>действ.</v>
          </cell>
          <cell r="K269">
            <v>11</v>
          </cell>
          <cell r="L269">
            <v>3.8</v>
          </cell>
          <cell r="M269">
            <v>58</v>
          </cell>
          <cell r="N269">
            <v>125</v>
          </cell>
          <cell r="O269">
            <v>28.7</v>
          </cell>
          <cell r="P269">
            <v>71.8</v>
          </cell>
          <cell r="Q269">
            <v>114</v>
          </cell>
          <cell r="R269">
            <v>24.9</v>
          </cell>
          <cell r="S269">
            <v>56</v>
          </cell>
          <cell r="T269">
            <v>38230</v>
          </cell>
          <cell r="U269" t="str">
            <v>ГРП</v>
          </cell>
          <cell r="W269" t="str">
            <v>ВЗ,ГРП ЮК-10,сп.Э-80</v>
          </cell>
          <cell r="AD269">
            <v>38197</v>
          </cell>
          <cell r="AE269">
            <v>38223</v>
          </cell>
        </row>
        <row r="270">
          <cell r="B270">
            <v>2947</v>
          </cell>
          <cell r="C270">
            <v>44</v>
          </cell>
          <cell r="F270" t="str">
            <v>УПНП</v>
          </cell>
          <cell r="G270">
            <v>270</v>
          </cell>
          <cell r="H270" t="str">
            <v>ШГН</v>
          </cell>
          <cell r="I270" t="str">
            <v>бд</v>
          </cell>
          <cell r="J270">
            <v>35030</v>
          </cell>
          <cell r="K270">
            <v>0</v>
          </cell>
          <cell r="L270">
            <v>0</v>
          </cell>
          <cell r="M270">
            <v>0</v>
          </cell>
          <cell r="N270">
            <v>80</v>
          </cell>
          <cell r="O270">
            <v>22.8</v>
          </cell>
          <cell r="P270">
            <v>65</v>
          </cell>
          <cell r="Q270">
            <v>80</v>
          </cell>
          <cell r="R270">
            <v>22.8</v>
          </cell>
          <cell r="S270">
            <v>64.8</v>
          </cell>
          <cell r="T270">
            <v>38263</v>
          </cell>
          <cell r="U270" t="str">
            <v>ГРП</v>
          </cell>
          <cell r="W270" t="str">
            <v>ЛА.ВЗ.ГРП ЮК-10.Сп.ЭЦН-80</v>
          </cell>
          <cell r="AD270">
            <v>38224</v>
          </cell>
          <cell r="AE270">
            <v>38256</v>
          </cell>
        </row>
        <row r="271">
          <cell r="B271">
            <v>3039</v>
          </cell>
          <cell r="C271">
            <v>67</v>
          </cell>
          <cell r="F271" t="str">
            <v>УПНП</v>
          </cell>
          <cell r="G271">
            <v>265</v>
          </cell>
          <cell r="H271" t="str">
            <v>ШГН</v>
          </cell>
          <cell r="I271" t="str">
            <v>бд</v>
          </cell>
          <cell r="J271">
            <v>32932</v>
          </cell>
          <cell r="K271">
            <v>0</v>
          </cell>
          <cell r="L271">
            <v>0</v>
          </cell>
          <cell r="M271">
            <v>0</v>
          </cell>
          <cell r="N271">
            <v>30</v>
          </cell>
          <cell r="O271">
            <v>8.6</v>
          </cell>
          <cell r="P271">
            <v>65</v>
          </cell>
          <cell r="Q271">
            <v>30</v>
          </cell>
          <cell r="R271">
            <v>8.6</v>
          </cell>
          <cell r="S271">
            <v>64.599999999999994</v>
          </cell>
          <cell r="T271">
            <v>38231</v>
          </cell>
          <cell r="U271" t="str">
            <v>бдк</v>
          </cell>
          <cell r="W271" t="str">
            <v>ВЦ.ЛА.ПП ЮК-10.ДП РZ.СКО.Сп.Э-30</v>
          </cell>
          <cell r="AD271">
            <v>38210</v>
          </cell>
          <cell r="AE271">
            <v>38224</v>
          </cell>
        </row>
        <row r="272">
          <cell r="B272" t="str">
            <v>5243б</v>
          </cell>
          <cell r="C272">
            <v>135</v>
          </cell>
          <cell r="F272" t="str">
            <v>УПНПиКРС</v>
          </cell>
          <cell r="G272">
            <v>290</v>
          </cell>
          <cell r="H272" t="str">
            <v>ЭЦН</v>
          </cell>
          <cell r="I272" t="str">
            <v>конс.</v>
          </cell>
          <cell r="J272">
            <v>34669</v>
          </cell>
          <cell r="K272">
            <v>0</v>
          </cell>
          <cell r="L272">
            <v>0</v>
          </cell>
          <cell r="M272">
            <v>0</v>
          </cell>
          <cell r="N272">
            <v>80</v>
          </cell>
          <cell r="O272">
            <v>8.5</v>
          </cell>
          <cell r="P272">
            <v>87</v>
          </cell>
          <cell r="Q272">
            <v>80</v>
          </cell>
          <cell r="R272">
            <v>8.5</v>
          </cell>
          <cell r="S272">
            <v>86.9</v>
          </cell>
          <cell r="T272">
            <v>38258</v>
          </cell>
          <cell r="U272" t="str">
            <v>бдк</v>
          </cell>
          <cell r="V272">
            <v>2</v>
          </cell>
          <cell r="W272" t="str">
            <v>ВЗ.Сп.Э-80</v>
          </cell>
          <cell r="Y272" t="str">
            <v>Нет КВ</v>
          </cell>
          <cell r="AD272">
            <v>38182</v>
          </cell>
          <cell r="AE272">
            <v>38251</v>
          </cell>
          <cell r="AF272">
            <v>35</v>
          </cell>
        </row>
        <row r="273">
          <cell r="B273">
            <v>2962</v>
          </cell>
          <cell r="C273" t="str">
            <v>50б</v>
          </cell>
          <cell r="F273" t="str">
            <v>УПНПиКРС</v>
          </cell>
          <cell r="G273">
            <v>258</v>
          </cell>
          <cell r="H273" t="str">
            <v>ЭЦН</v>
          </cell>
          <cell r="I273" t="str">
            <v>конс.</v>
          </cell>
          <cell r="J273">
            <v>34335</v>
          </cell>
          <cell r="K273">
            <v>0</v>
          </cell>
          <cell r="L273">
            <v>0</v>
          </cell>
          <cell r="M273">
            <v>0</v>
          </cell>
          <cell r="N273">
            <v>80</v>
          </cell>
          <cell r="O273">
            <v>22.8</v>
          </cell>
          <cell r="P273">
            <v>65</v>
          </cell>
          <cell r="Q273">
            <v>80</v>
          </cell>
          <cell r="R273">
            <v>22.8</v>
          </cell>
          <cell r="S273">
            <v>64.8</v>
          </cell>
          <cell r="T273">
            <v>38255</v>
          </cell>
          <cell r="U273" t="str">
            <v>ГРП</v>
          </cell>
          <cell r="W273" t="str">
            <v>ПР.ГРП ЮК-10,сп.Э-80</v>
          </cell>
          <cell r="AD273">
            <v>38231</v>
          </cell>
          <cell r="AE273">
            <v>38248</v>
          </cell>
        </row>
        <row r="274">
          <cell r="B274" t="str">
            <v>5471б</v>
          </cell>
          <cell r="C274">
            <v>108</v>
          </cell>
          <cell r="F274" t="str">
            <v>УПНПиКРС</v>
          </cell>
          <cell r="G274">
            <v>265</v>
          </cell>
          <cell r="H274" t="str">
            <v>ЭЦН</v>
          </cell>
          <cell r="I274" t="str">
            <v>действ.</v>
          </cell>
          <cell r="K274">
            <v>150</v>
          </cell>
          <cell r="L274">
            <v>11</v>
          </cell>
          <cell r="M274">
            <v>91</v>
          </cell>
          <cell r="N274">
            <v>150</v>
          </cell>
          <cell r="O274">
            <v>11</v>
          </cell>
          <cell r="P274">
            <v>91</v>
          </cell>
          <cell r="Q274">
            <v>0</v>
          </cell>
          <cell r="R274">
            <v>0</v>
          </cell>
          <cell r="S274">
            <v>0</v>
          </cell>
          <cell r="T274">
            <v>38348</v>
          </cell>
          <cell r="U274" t="str">
            <v>ЛА</v>
          </cell>
          <cell r="W274" t="str">
            <v>ЛА.Спуск ЭЦН</v>
          </cell>
          <cell r="AE274">
            <v>38341</v>
          </cell>
        </row>
        <row r="275">
          <cell r="B275">
            <v>3118</v>
          </cell>
          <cell r="C275" t="str">
            <v>44б</v>
          </cell>
          <cell r="F275" t="str">
            <v>ПРС</v>
          </cell>
          <cell r="G275">
            <v>270</v>
          </cell>
          <cell r="H275" t="str">
            <v>ШГН</v>
          </cell>
          <cell r="I275" t="str">
            <v>бд</v>
          </cell>
          <cell r="J275">
            <v>36746</v>
          </cell>
          <cell r="K275">
            <v>0</v>
          </cell>
          <cell r="L275">
            <v>0</v>
          </cell>
          <cell r="M275">
            <v>0</v>
          </cell>
          <cell r="N275">
            <v>5</v>
          </cell>
          <cell r="O275">
            <v>2.9</v>
          </cell>
          <cell r="P275">
            <v>30</v>
          </cell>
          <cell r="Q275">
            <v>5</v>
          </cell>
          <cell r="R275">
            <v>2.9</v>
          </cell>
          <cell r="S275">
            <v>28.4</v>
          </cell>
          <cell r="T275">
            <v>38252</v>
          </cell>
          <cell r="U275" t="str">
            <v>ВЦД</v>
          </cell>
          <cell r="W275" t="str">
            <v>ВЦ "БАРС".Смена НВ-44</v>
          </cell>
        </row>
        <row r="276">
          <cell r="B276">
            <v>3123</v>
          </cell>
          <cell r="C276">
            <v>54</v>
          </cell>
          <cell r="F276" t="str">
            <v>УПНПиКРС</v>
          </cell>
          <cell r="G276">
            <v>270</v>
          </cell>
          <cell r="H276" t="str">
            <v>ФОН</v>
          </cell>
          <cell r="I276" t="str">
            <v>конс.</v>
          </cell>
          <cell r="J276">
            <v>34213</v>
          </cell>
          <cell r="N276">
            <v>80</v>
          </cell>
          <cell r="O276">
            <v>24.9</v>
          </cell>
          <cell r="P276">
            <v>61.8</v>
          </cell>
          <cell r="Q276">
            <v>80</v>
          </cell>
          <cell r="R276">
            <v>24.9</v>
          </cell>
          <cell r="S276">
            <v>61.8</v>
          </cell>
          <cell r="T276">
            <v>38257</v>
          </cell>
          <cell r="U276" t="str">
            <v>ГРП</v>
          </cell>
          <cell r="W276" t="str">
            <v>ВЦ.ГИС-2.ДП ЮК-10.ГРП.Сп.Э-80</v>
          </cell>
        </row>
        <row r="277">
          <cell r="B277">
            <v>2593</v>
          </cell>
          <cell r="C277" t="str">
            <v>36б</v>
          </cell>
          <cell r="F277" t="str">
            <v>НвБН</v>
          </cell>
          <cell r="G277">
            <v>25</v>
          </cell>
          <cell r="H277" t="str">
            <v>ЭЦН</v>
          </cell>
          <cell r="N277">
            <v>125</v>
          </cell>
          <cell r="O277">
            <v>70.3</v>
          </cell>
          <cell r="P277">
            <v>31</v>
          </cell>
          <cell r="Q277">
            <v>125</v>
          </cell>
          <cell r="R277">
            <v>70.3</v>
          </cell>
          <cell r="S277">
            <v>31</v>
          </cell>
          <cell r="T277">
            <v>38165</v>
          </cell>
          <cell r="U277" t="str">
            <v>новая</v>
          </cell>
          <cell r="W277" t="str">
            <v>бурение, ГРП ЮК-10,осв. Сп.Э125</v>
          </cell>
        </row>
        <row r="278">
          <cell r="B278">
            <v>2586</v>
          </cell>
          <cell r="C278">
            <v>167</v>
          </cell>
          <cell r="F278" t="str">
            <v>ПРС</v>
          </cell>
          <cell r="G278">
            <v>250</v>
          </cell>
          <cell r="H278" t="str">
            <v>ШГН</v>
          </cell>
          <cell r="I278" t="str">
            <v>бд</v>
          </cell>
          <cell r="N278">
            <v>11</v>
          </cell>
          <cell r="O278">
            <v>4</v>
          </cell>
          <cell r="P278">
            <v>55.5</v>
          </cell>
          <cell r="Q278">
            <v>11</v>
          </cell>
          <cell r="R278">
            <v>4</v>
          </cell>
          <cell r="S278">
            <v>55.5</v>
          </cell>
          <cell r="T278">
            <v>38139</v>
          </cell>
          <cell r="U278" t="str">
            <v>вцд</v>
          </cell>
          <cell r="W278" t="str">
            <v>ВЦ " БАРС",см.НВ-44</v>
          </cell>
        </row>
        <row r="279">
          <cell r="B279" t="str">
            <v>5527б</v>
          </cell>
          <cell r="C279">
            <v>118</v>
          </cell>
          <cell r="F279" t="str">
            <v>КРС</v>
          </cell>
          <cell r="G279">
            <v>280</v>
          </cell>
          <cell r="H279" t="str">
            <v>ЭЦН</v>
          </cell>
          <cell r="I279" t="str">
            <v>действ.</v>
          </cell>
          <cell r="K279">
            <v>101</v>
          </cell>
          <cell r="L279">
            <v>28.8</v>
          </cell>
          <cell r="M279">
            <v>65</v>
          </cell>
          <cell r="N279">
            <v>101</v>
          </cell>
          <cell r="O279">
            <v>28.8</v>
          </cell>
          <cell r="P279">
            <v>65</v>
          </cell>
          <cell r="Q279">
            <v>101</v>
          </cell>
          <cell r="R279">
            <v>28.8</v>
          </cell>
          <cell r="S279">
            <v>65</v>
          </cell>
          <cell r="T279">
            <v>38377</v>
          </cell>
          <cell r="U279" t="str">
            <v>ЛА</v>
          </cell>
          <cell r="W279" t="str">
            <v>Извлечение ЭЦН</v>
          </cell>
          <cell r="AD279">
            <v>38139</v>
          </cell>
          <cell r="AE279">
            <v>38173</v>
          </cell>
        </row>
        <row r="280">
          <cell r="B280">
            <v>3856</v>
          </cell>
          <cell r="C280">
            <v>198</v>
          </cell>
          <cell r="F280" t="str">
            <v>КРС</v>
          </cell>
          <cell r="G280">
            <v>250</v>
          </cell>
          <cell r="H280" t="str">
            <v>ЭЦН</v>
          </cell>
          <cell r="I280" t="str">
            <v>действ.</v>
          </cell>
          <cell r="K280">
            <v>26</v>
          </cell>
          <cell r="L280">
            <v>3.8</v>
          </cell>
          <cell r="M280">
            <v>82</v>
          </cell>
          <cell r="N280">
            <v>80</v>
          </cell>
          <cell r="O280">
            <v>28.7</v>
          </cell>
          <cell r="P280">
            <v>56</v>
          </cell>
          <cell r="Q280">
            <v>80</v>
          </cell>
          <cell r="R280">
            <v>24.9</v>
          </cell>
          <cell r="S280">
            <v>61.6</v>
          </cell>
          <cell r="T280">
            <v>38183</v>
          </cell>
          <cell r="U280" t="str">
            <v>ГРП</v>
          </cell>
          <cell r="W280" t="str">
            <v>ПР ГРП ЮК-10,сп.Э-80</v>
          </cell>
          <cell r="AD280">
            <v>38147</v>
          </cell>
          <cell r="AE280">
            <v>38176</v>
          </cell>
        </row>
        <row r="281">
          <cell r="B281">
            <v>5710</v>
          </cell>
          <cell r="C281">
            <v>124</v>
          </cell>
          <cell r="F281" t="str">
            <v>УПНП</v>
          </cell>
          <cell r="G281">
            <v>250</v>
          </cell>
          <cell r="H281" t="str">
            <v>ЭЦН</v>
          </cell>
          <cell r="I281" t="str">
            <v>действ.</v>
          </cell>
          <cell r="J281">
            <v>34213</v>
          </cell>
          <cell r="K281">
            <v>70</v>
          </cell>
          <cell r="L281">
            <v>0.6</v>
          </cell>
          <cell r="M281">
            <v>99</v>
          </cell>
          <cell r="N281">
            <v>0</v>
          </cell>
          <cell r="O281">
            <v>0</v>
          </cell>
          <cell r="P281">
            <v>0</v>
          </cell>
          <cell r="Q281">
            <v>-70</v>
          </cell>
          <cell r="R281">
            <v>-0.6</v>
          </cell>
          <cell r="S281">
            <v>98.9</v>
          </cell>
          <cell r="T281">
            <v>38141</v>
          </cell>
          <cell r="U281" t="str">
            <v>нг</v>
          </cell>
          <cell r="W281" t="str">
            <v>ОТСК.ПП.ОПЗ.ГИС-3.Перевод в ППД.</v>
          </cell>
          <cell r="AD281">
            <v>37903</v>
          </cell>
          <cell r="AE281">
            <v>37929</v>
          </cell>
        </row>
        <row r="282">
          <cell r="B282">
            <v>2866</v>
          </cell>
          <cell r="C282">
            <v>131</v>
          </cell>
          <cell r="F282" t="str">
            <v>УПНП</v>
          </cell>
          <cell r="G282">
            <v>250</v>
          </cell>
          <cell r="H282" t="str">
            <v>ЭЦН</v>
          </cell>
          <cell r="I282" t="str">
            <v>действ.</v>
          </cell>
          <cell r="J282">
            <v>34883</v>
          </cell>
          <cell r="K282">
            <v>87</v>
          </cell>
          <cell r="L282">
            <v>10.6</v>
          </cell>
          <cell r="M282">
            <v>85</v>
          </cell>
          <cell r="N282">
            <v>135</v>
          </cell>
          <cell r="O282">
            <v>16.5</v>
          </cell>
          <cell r="P282">
            <v>85</v>
          </cell>
          <cell r="Q282">
            <v>48</v>
          </cell>
          <cell r="R282">
            <v>5.9</v>
          </cell>
          <cell r="S282">
            <v>84.8</v>
          </cell>
          <cell r="T282">
            <v>38092</v>
          </cell>
          <cell r="U282" t="str">
            <v>опт</v>
          </cell>
          <cell r="W282" t="str">
            <v>см.Э-50/Э-125</v>
          </cell>
          <cell r="AD282">
            <v>38085</v>
          </cell>
          <cell r="AE282">
            <v>38085</v>
          </cell>
          <cell r="AF282">
            <v>50</v>
          </cell>
          <cell r="AG282" t="e">
            <v>#REF!</v>
          </cell>
          <cell r="AH282" t="e">
            <v>#REF!</v>
          </cell>
        </row>
        <row r="283">
          <cell r="B283">
            <v>2955</v>
          </cell>
          <cell r="C283">
            <v>46</v>
          </cell>
          <cell r="F283" t="str">
            <v>УПНП</v>
          </cell>
          <cell r="G283">
            <v>270</v>
          </cell>
          <cell r="H283" t="str">
            <v>фон</v>
          </cell>
          <cell r="I283" t="str">
            <v>бд</v>
          </cell>
          <cell r="J283">
            <v>35097</v>
          </cell>
          <cell r="K283">
            <v>0</v>
          </cell>
          <cell r="L283">
            <v>0</v>
          </cell>
          <cell r="M283">
            <v>0</v>
          </cell>
          <cell r="N283">
            <v>50</v>
          </cell>
          <cell r="O283">
            <v>8.1999999999999993</v>
          </cell>
          <cell r="P283">
            <v>80</v>
          </cell>
          <cell r="Q283">
            <v>50</v>
          </cell>
          <cell r="R283">
            <v>8.1999999999999993</v>
          </cell>
          <cell r="S283">
            <v>79.8</v>
          </cell>
          <cell r="T283">
            <v>37950</v>
          </cell>
          <cell r="U283" t="str">
            <v>ЛА</v>
          </cell>
          <cell r="W283" t="str">
            <v>ВЦ.ЛА.ПП ЮК10.Сп.Э-50</v>
          </cell>
          <cell r="AD283">
            <v>37921</v>
          </cell>
          <cell r="AE283">
            <v>37943</v>
          </cell>
        </row>
        <row r="284">
          <cell r="B284">
            <v>5429</v>
          </cell>
          <cell r="C284">
            <v>103</v>
          </cell>
          <cell r="F284" t="str">
            <v>УПНП</v>
          </cell>
          <cell r="G284">
            <v>250</v>
          </cell>
          <cell r="H284" t="str">
            <v>ЭЦН</v>
          </cell>
          <cell r="I284" t="str">
            <v>бд</v>
          </cell>
          <cell r="J284">
            <v>36351</v>
          </cell>
          <cell r="K284">
            <v>0</v>
          </cell>
          <cell r="L284">
            <v>0</v>
          </cell>
          <cell r="M284">
            <v>0</v>
          </cell>
          <cell r="N284">
            <v>50</v>
          </cell>
          <cell r="O284">
            <v>8.1999999999999993</v>
          </cell>
          <cell r="P284">
            <v>80</v>
          </cell>
          <cell r="Q284">
            <v>50</v>
          </cell>
          <cell r="R284">
            <v>8.1999999999999993</v>
          </cell>
          <cell r="S284">
            <v>79.8</v>
          </cell>
          <cell r="T284">
            <v>37941</v>
          </cell>
          <cell r="U284" t="str">
            <v>ЛА</v>
          </cell>
          <cell r="W284" t="str">
            <v>ЛА,Сп.Э-80</v>
          </cell>
          <cell r="X284" t="str">
            <v>Полёт ЭЦН+проволка ЦНИПР и шаблон</v>
          </cell>
          <cell r="AD284">
            <v>37908</v>
          </cell>
          <cell r="AE284">
            <v>37934</v>
          </cell>
        </row>
        <row r="285">
          <cell r="B285">
            <v>5335</v>
          </cell>
          <cell r="C285">
            <v>140</v>
          </cell>
          <cell r="F285" t="str">
            <v>УПНП</v>
          </cell>
          <cell r="G285">
            <v>270</v>
          </cell>
          <cell r="H285" t="str">
            <v>ШГН</v>
          </cell>
          <cell r="I285" t="str">
            <v>конс.</v>
          </cell>
          <cell r="J285">
            <v>34943</v>
          </cell>
          <cell r="K285">
            <v>0</v>
          </cell>
          <cell r="L285">
            <v>0</v>
          </cell>
          <cell r="M285">
            <v>0</v>
          </cell>
          <cell r="N285">
            <v>50</v>
          </cell>
          <cell r="O285">
            <v>8.1999999999999993</v>
          </cell>
          <cell r="P285">
            <v>80</v>
          </cell>
          <cell r="Q285">
            <v>50</v>
          </cell>
          <cell r="R285">
            <v>8.1999999999999993</v>
          </cell>
          <cell r="S285">
            <v>79.8</v>
          </cell>
          <cell r="T285">
            <v>37940</v>
          </cell>
          <cell r="U285" t="str">
            <v>ВЦ</v>
          </cell>
          <cell r="W285" t="str">
            <v xml:space="preserve">ВЦ.ВЗ. ГИС. ПП ЮК11. </v>
          </cell>
          <cell r="X285" t="str">
            <v>Проверить циркуляцию</v>
          </cell>
          <cell r="AD285">
            <v>37904</v>
          </cell>
          <cell r="AE285">
            <v>37933</v>
          </cell>
          <cell r="AF285">
            <v>11</v>
          </cell>
        </row>
        <row r="286">
          <cell r="B286">
            <v>2975</v>
          </cell>
          <cell r="C286">
            <v>48</v>
          </cell>
          <cell r="F286" t="str">
            <v>УПНП</v>
          </cell>
          <cell r="H286" t="str">
            <v>нагнет.</v>
          </cell>
          <cell r="I286" t="str">
            <v>конс.</v>
          </cell>
          <cell r="K286">
            <v>0</v>
          </cell>
          <cell r="L286">
            <v>0</v>
          </cell>
          <cell r="M286">
            <v>0</v>
          </cell>
          <cell r="N286">
            <v>30</v>
          </cell>
          <cell r="O286">
            <v>9.8000000000000007</v>
          </cell>
          <cell r="P286">
            <v>60</v>
          </cell>
          <cell r="Q286">
            <v>30</v>
          </cell>
          <cell r="R286">
            <v>9.8000000000000007</v>
          </cell>
          <cell r="S286">
            <v>59.7</v>
          </cell>
          <cell r="T286">
            <v>37936</v>
          </cell>
          <cell r="U286" t="str">
            <v>ВВ</v>
          </cell>
          <cell r="W286" t="str">
            <v>ОТСК.ОПР</v>
          </cell>
          <cell r="AD286">
            <v>37891</v>
          </cell>
          <cell r="AE286">
            <v>37929</v>
          </cell>
        </row>
        <row r="287">
          <cell r="B287">
            <v>5415</v>
          </cell>
          <cell r="C287">
            <v>109</v>
          </cell>
          <cell r="F287" t="str">
            <v>УПНП</v>
          </cell>
          <cell r="G287">
            <v>275</v>
          </cell>
          <cell r="H287" t="str">
            <v>ЭЦН</v>
          </cell>
          <cell r="I287" t="str">
            <v>бд</v>
          </cell>
          <cell r="J287">
            <v>32964</v>
          </cell>
          <cell r="K287">
            <v>0</v>
          </cell>
          <cell r="L287">
            <v>0</v>
          </cell>
          <cell r="M287">
            <v>0</v>
          </cell>
          <cell r="N287">
            <v>80</v>
          </cell>
          <cell r="O287">
            <v>16</v>
          </cell>
          <cell r="P287">
            <v>75.3</v>
          </cell>
          <cell r="Q287">
            <v>80</v>
          </cell>
          <cell r="R287">
            <v>16</v>
          </cell>
          <cell r="S287">
            <v>75.3</v>
          </cell>
          <cell r="T287">
            <v>38842</v>
          </cell>
          <cell r="U287" t="str">
            <v>ГРП</v>
          </cell>
          <cell r="W287" t="str">
            <v>ВЦ,ГРП ЮК-10</v>
          </cell>
          <cell r="AD287">
            <v>38016</v>
          </cell>
          <cell r="AE287">
            <v>38018</v>
          </cell>
          <cell r="AF287">
            <v>29</v>
          </cell>
        </row>
        <row r="288">
          <cell r="B288">
            <v>5254</v>
          </cell>
          <cell r="C288">
            <v>138</v>
          </cell>
          <cell r="F288" t="str">
            <v>УПНП</v>
          </cell>
          <cell r="G288">
            <v>290</v>
          </cell>
          <cell r="H288" t="str">
            <v>ШГН</v>
          </cell>
          <cell r="I288" t="str">
            <v>конс.</v>
          </cell>
          <cell r="J288">
            <v>33556</v>
          </cell>
          <cell r="K288">
            <v>0</v>
          </cell>
          <cell r="L288">
            <v>0</v>
          </cell>
          <cell r="M288">
            <v>0</v>
          </cell>
          <cell r="N288">
            <v>30</v>
          </cell>
          <cell r="O288">
            <v>9.8000000000000007</v>
          </cell>
          <cell r="P288">
            <v>60</v>
          </cell>
          <cell r="Q288">
            <v>30</v>
          </cell>
          <cell r="R288">
            <v>9.8000000000000007</v>
          </cell>
          <cell r="S288">
            <v>59.7</v>
          </cell>
          <cell r="T288">
            <v>37941</v>
          </cell>
          <cell r="U288" t="str">
            <v>БДК</v>
          </cell>
          <cell r="W288" t="str">
            <v>ОТСК.ПП ЮК10.Сп. Э-30</v>
          </cell>
          <cell r="AD288">
            <v>37908</v>
          </cell>
          <cell r="AE288">
            <v>37934</v>
          </cell>
        </row>
        <row r="289">
          <cell r="B289">
            <v>2915</v>
          </cell>
          <cell r="C289">
            <v>44</v>
          </cell>
          <cell r="F289" t="str">
            <v>УПНП</v>
          </cell>
          <cell r="G289">
            <v>270</v>
          </cell>
          <cell r="H289" t="str">
            <v>ШГН</v>
          </cell>
          <cell r="I289" t="str">
            <v>конс.</v>
          </cell>
          <cell r="J289">
            <v>34060</v>
          </cell>
          <cell r="K289">
            <v>0</v>
          </cell>
          <cell r="L289">
            <v>0</v>
          </cell>
          <cell r="M289">
            <v>0</v>
          </cell>
          <cell r="N289">
            <v>30</v>
          </cell>
          <cell r="O289">
            <v>3.7</v>
          </cell>
          <cell r="P289">
            <v>85</v>
          </cell>
          <cell r="Q289">
            <v>30</v>
          </cell>
          <cell r="R289">
            <v>3.7</v>
          </cell>
          <cell r="S289">
            <v>85</v>
          </cell>
          <cell r="T289">
            <v>38088</v>
          </cell>
          <cell r="U289" t="str">
            <v>бдп</v>
          </cell>
          <cell r="W289" t="str">
            <v>ВЗ ДМШУ,сп.Э-30</v>
          </cell>
          <cell r="AD289">
            <v>37913</v>
          </cell>
          <cell r="AE289">
            <v>37923</v>
          </cell>
        </row>
        <row r="290">
          <cell r="B290">
            <v>3006</v>
          </cell>
          <cell r="C290">
            <v>45</v>
          </cell>
          <cell r="F290" t="str">
            <v>УПНП</v>
          </cell>
          <cell r="G290">
            <v>270</v>
          </cell>
          <cell r="H290" t="str">
            <v>фон.</v>
          </cell>
          <cell r="I290" t="str">
            <v>конс.</v>
          </cell>
          <cell r="J290">
            <v>33756</v>
          </cell>
          <cell r="K290">
            <v>0</v>
          </cell>
          <cell r="L290">
            <v>0</v>
          </cell>
          <cell r="M290">
            <v>0</v>
          </cell>
          <cell r="N290">
            <v>30</v>
          </cell>
          <cell r="O290">
            <v>6.1</v>
          </cell>
          <cell r="P290">
            <v>75</v>
          </cell>
          <cell r="Q290">
            <v>30</v>
          </cell>
          <cell r="R290">
            <v>6.1</v>
          </cell>
          <cell r="S290">
            <v>74.900000000000006</v>
          </cell>
          <cell r="T290">
            <v>37972</v>
          </cell>
          <cell r="U290" t="str">
            <v>ВЦ</v>
          </cell>
          <cell r="W290" t="str">
            <v>ВЦ.ПП ЮК-10.МШУ с пак..Сп.Э-30</v>
          </cell>
          <cell r="AD290">
            <v>37943</v>
          </cell>
          <cell r="AE290">
            <v>37965</v>
          </cell>
        </row>
        <row r="291">
          <cell r="B291">
            <v>3424</v>
          </cell>
          <cell r="C291">
            <v>68</v>
          </cell>
          <cell r="F291" t="str">
            <v>УПНП</v>
          </cell>
          <cell r="G291">
            <v>240</v>
          </cell>
          <cell r="H291" t="str">
            <v>ЭЦН</v>
          </cell>
          <cell r="I291" t="str">
            <v>конс.</v>
          </cell>
          <cell r="J291">
            <v>33939</v>
          </cell>
          <cell r="K291">
            <v>0</v>
          </cell>
          <cell r="L291">
            <v>0</v>
          </cell>
          <cell r="M291">
            <v>0</v>
          </cell>
          <cell r="N291">
            <v>125</v>
          </cell>
          <cell r="O291">
            <v>5.0999999999999996</v>
          </cell>
          <cell r="P291">
            <v>95</v>
          </cell>
          <cell r="Q291">
            <v>125</v>
          </cell>
          <cell r="R291">
            <v>5.0999999999999996</v>
          </cell>
          <cell r="S291">
            <v>95</v>
          </cell>
          <cell r="T291">
            <v>37944</v>
          </cell>
          <cell r="U291" t="str">
            <v>БДК</v>
          </cell>
          <cell r="W291" t="str">
            <v>ОТСК.ВЗ.Сп.ЭЦН</v>
          </cell>
          <cell r="AE291">
            <v>37937</v>
          </cell>
        </row>
        <row r="292">
          <cell r="B292">
            <v>5461</v>
          </cell>
          <cell r="C292">
            <v>104</v>
          </cell>
          <cell r="F292" t="str">
            <v>УПНП</v>
          </cell>
          <cell r="G292">
            <v>260</v>
          </cell>
          <cell r="H292" t="str">
            <v>ЭЦН</v>
          </cell>
          <cell r="I292" t="str">
            <v>конс.</v>
          </cell>
          <cell r="J292">
            <v>34851</v>
          </cell>
          <cell r="K292">
            <v>0</v>
          </cell>
          <cell r="L292">
            <v>0</v>
          </cell>
          <cell r="M292">
            <v>0</v>
          </cell>
          <cell r="N292">
            <v>50</v>
          </cell>
          <cell r="O292">
            <v>8.1999999999999993</v>
          </cell>
          <cell r="P292">
            <v>80</v>
          </cell>
          <cell r="Q292">
            <v>50</v>
          </cell>
          <cell r="R292">
            <v>8.1999999999999993</v>
          </cell>
          <cell r="S292">
            <v>79.8</v>
          </cell>
          <cell r="T292">
            <v>37939</v>
          </cell>
          <cell r="U292" t="str">
            <v>ВЦ</v>
          </cell>
          <cell r="W292" t="str">
            <v>ВЦ.ВЗ.ДП ЮК10.Сп.ЭЦН</v>
          </cell>
          <cell r="Y292" t="str">
            <v xml:space="preserve">КОПС </v>
          </cell>
          <cell r="Z292">
            <v>362</v>
          </cell>
          <cell r="AE292">
            <v>37932</v>
          </cell>
        </row>
        <row r="293">
          <cell r="B293">
            <v>5618</v>
          </cell>
          <cell r="C293">
            <v>117</v>
          </cell>
          <cell r="F293" t="str">
            <v>УПНП</v>
          </cell>
          <cell r="G293">
            <v>280</v>
          </cell>
          <cell r="H293" t="str">
            <v>нагнет.</v>
          </cell>
          <cell r="I293" t="str">
            <v>конс.</v>
          </cell>
          <cell r="T293">
            <v>37957</v>
          </cell>
          <cell r="U293" t="str">
            <v>НГ</v>
          </cell>
          <cell r="W293" t="str">
            <v>ОТСК.Сп.пакера ППД.</v>
          </cell>
          <cell r="AE293">
            <v>37960</v>
          </cell>
        </row>
        <row r="294">
          <cell r="B294">
            <v>2953</v>
          </cell>
          <cell r="C294">
            <v>45</v>
          </cell>
          <cell r="F294" t="str">
            <v>ПРС</v>
          </cell>
          <cell r="G294">
            <v>250</v>
          </cell>
          <cell r="H294" t="str">
            <v>фон.</v>
          </cell>
          <cell r="I294" t="str">
            <v>конс.</v>
          </cell>
          <cell r="J294">
            <v>34639</v>
          </cell>
          <cell r="K294">
            <v>0</v>
          </cell>
          <cell r="L294">
            <v>0</v>
          </cell>
          <cell r="M294">
            <v>0</v>
          </cell>
          <cell r="N294">
            <v>30</v>
          </cell>
          <cell r="O294">
            <v>4.2</v>
          </cell>
          <cell r="P294">
            <v>83</v>
          </cell>
          <cell r="Q294">
            <v>30</v>
          </cell>
          <cell r="R294">
            <v>4.2</v>
          </cell>
          <cell r="S294">
            <v>82.7</v>
          </cell>
          <cell r="T294">
            <v>37938</v>
          </cell>
          <cell r="U294" t="str">
            <v>ВЦД</v>
          </cell>
          <cell r="W294" t="str">
            <v>ВЦ.Сп.Э-30</v>
          </cell>
          <cell r="AE294">
            <v>37931</v>
          </cell>
        </row>
        <row r="295">
          <cell r="B295">
            <v>3980</v>
          </cell>
          <cell r="C295">
            <v>196</v>
          </cell>
          <cell r="F295" t="str">
            <v>ПРС</v>
          </cell>
          <cell r="G295">
            <v>240</v>
          </cell>
          <cell r="H295" t="str">
            <v>ЭЦН</v>
          </cell>
          <cell r="I295" t="str">
            <v>действ.</v>
          </cell>
          <cell r="K295">
            <v>0</v>
          </cell>
          <cell r="L295">
            <v>0</v>
          </cell>
          <cell r="M295">
            <v>0</v>
          </cell>
          <cell r="N295">
            <v>30</v>
          </cell>
          <cell r="O295">
            <v>12.2</v>
          </cell>
          <cell r="P295">
            <v>50</v>
          </cell>
          <cell r="Q295">
            <v>30</v>
          </cell>
          <cell r="R295">
            <v>12.2</v>
          </cell>
          <cell r="S295">
            <v>49.8</v>
          </cell>
          <cell r="T295">
            <v>37975</v>
          </cell>
          <cell r="U295" t="str">
            <v>ВВ</v>
          </cell>
          <cell r="W295" t="str">
            <v xml:space="preserve">ИР ЮК-10.ОПР абалак </v>
          </cell>
          <cell r="AE295">
            <v>37968</v>
          </cell>
        </row>
        <row r="296">
          <cell r="B296">
            <v>5705</v>
          </cell>
          <cell r="C296">
            <v>125</v>
          </cell>
          <cell r="F296" t="str">
            <v>ПРС</v>
          </cell>
          <cell r="G296">
            <v>250</v>
          </cell>
          <cell r="H296" t="str">
            <v>Ф/Ш</v>
          </cell>
          <cell r="I296" t="str">
            <v>конс.</v>
          </cell>
          <cell r="J296">
            <v>33786</v>
          </cell>
          <cell r="K296">
            <v>0</v>
          </cell>
          <cell r="L296">
            <v>0</v>
          </cell>
          <cell r="M296">
            <v>0</v>
          </cell>
          <cell r="N296">
            <v>50</v>
          </cell>
          <cell r="O296">
            <v>4.0999999999999996</v>
          </cell>
          <cell r="P296">
            <v>90</v>
          </cell>
          <cell r="Q296">
            <v>50</v>
          </cell>
          <cell r="R296">
            <v>4.0999999999999996</v>
          </cell>
          <cell r="S296">
            <v>89.9</v>
          </cell>
          <cell r="T296">
            <v>37947</v>
          </cell>
          <cell r="U296" t="str">
            <v>ВЦД</v>
          </cell>
          <cell r="W296" t="str">
            <v>ВЦ."Электропрогрев"Сп.Э-50</v>
          </cell>
          <cell r="AE296">
            <v>37940</v>
          </cell>
        </row>
        <row r="297">
          <cell r="B297">
            <v>3672</v>
          </cell>
          <cell r="C297">
            <v>303</v>
          </cell>
          <cell r="F297" t="str">
            <v>ПРС</v>
          </cell>
          <cell r="G297">
            <v>250</v>
          </cell>
          <cell r="H297" t="str">
            <v>фон.</v>
          </cell>
          <cell r="I297" t="str">
            <v>конс.</v>
          </cell>
          <cell r="J297">
            <v>34394</v>
          </cell>
          <cell r="K297">
            <v>0</v>
          </cell>
          <cell r="L297">
            <v>0</v>
          </cell>
          <cell r="M297">
            <v>0</v>
          </cell>
          <cell r="N297">
            <v>30</v>
          </cell>
          <cell r="O297">
            <v>4.2</v>
          </cell>
          <cell r="P297">
            <v>83</v>
          </cell>
          <cell r="Q297">
            <v>30</v>
          </cell>
          <cell r="R297">
            <v>4.2</v>
          </cell>
          <cell r="S297">
            <v>82.7</v>
          </cell>
          <cell r="T297">
            <v>37952</v>
          </cell>
          <cell r="U297" t="str">
            <v>ВЦД</v>
          </cell>
          <cell r="W297" t="str">
            <v>ВЦ."Электропрогрев"Сп.Э-30</v>
          </cell>
          <cell r="AE297">
            <v>37945</v>
          </cell>
        </row>
        <row r="298">
          <cell r="B298" t="str">
            <v>20083р</v>
          </cell>
          <cell r="G298">
            <v>240</v>
          </cell>
          <cell r="H298" t="str">
            <v>ЭЦН</v>
          </cell>
          <cell r="I298" t="str">
            <v>действ.</v>
          </cell>
          <cell r="K298">
            <v>35</v>
          </cell>
          <cell r="L298">
            <v>25.7</v>
          </cell>
          <cell r="M298">
            <v>10</v>
          </cell>
          <cell r="N298">
            <v>58</v>
          </cell>
          <cell r="O298">
            <v>44.9</v>
          </cell>
          <cell r="P298">
            <v>5</v>
          </cell>
          <cell r="Q298">
            <v>23</v>
          </cell>
          <cell r="R298">
            <v>19.2</v>
          </cell>
          <cell r="S298">
            <v>-3.1</v>
          </cell>
          <cell r="T298">
            <v>37966</v>
          </cell>
          <cell r="U298" t="str">
            <v>ГРП</v>
          </cell>
          <cell r="W298" t="str">
            <v>Повт.ГРП ЮК10.Сп.ЭЦН</v>
          </cell>
          <cell r="AD298">
            <v>37945</v>
          </cell>
          <cell r="AE298">
            <v>37959</v>
          </cell>
        </row>
        <row r="299">
          <cell r="B299">
            <v>2837</v>
          </cell>
          <cell r="C299">
            <v>124</v>
          </cell>
          <cell r="F299" t="str">
            <v>УПНП</v>
          </cell>
          <cell r="G299">
            <v>250</v>
          </cell>
          <cell r="H299" t="str">
            <v>Ф/Ш</v>
          </cell>
          <cell r="I299" t="str">
            <v>конс.</v>
          </cell>
          <cell r="J299">
            <v>33025</v>
          </cell>
          <cell r="K299">
            <v>0</v>
          </cell>
          <cell r="L299">
            <v>0</v>
          </cell>
          <cell r="M299">
            <v>0</v>
          </cell>
          <cell r="N299">
            <v>30</v>
          </cell>
          <cell r="O299">
            <v>9.8000000000000007</v>
          </cell>
          <cell r="P299">
            <v>60</v>
          </cell>
          <cell r="Q299">
            <v>30</v>
          </cell>
          <cell r="R299">
            <v>9.8000000000000007</v>
          </cell>
          <cell r="S299">
            <v>59.7</v>
          </cell>
          <cell r="T299">
            <v>37978</v>
          </cell>
          <cell r="U299" t="str">
            <v>БДК</v>
          </cell>
          <cell r="W299" t="str">
            <v>ПП ЮК-10.МШУ с пак.Сп. ЭЦН</v>
          </cell>
          <cell r="AE299">
            <v>37971</v>
          </cell>
        </row>
        <row r="300">
          <cell r="B300">
            <v>5828</v>
          </cell>
          <cell r="C300">
            <v>141</v>
          </cell>
          <cell r="H300" t="str">
            <v>ШГН</v>
          </cell>
          <cell r="I300" t="str">
            <v>действ.</v>
          </cell>
          <cell r="K300">
            <v>18</v>
          </cell>
          <cell r="L300">
            <v>12.4</v>
          </cell>
          <cell r="M300">
            <v>15</v>
          </cell>
          <cell r="N300">
            <v>26</v>
          </cell>
          <cell r="O300">
            <v>18</v>
          </cell>
          <cell r="P300">
            <v>15</v>
          </cell>
          <cell r="Q300">
            <v>8</v>
          </cell>
          <cell r="R300">
            <v>5.6</v>
          </cell>
          <cell r="S300">
            <v>13.6</v>
          </cell>
          <cell r="T300">
            <v>38178</v>
          </cell>
          <cell r="U300" t="str">
            <v>опт</v>
          </cell>
          <cell r="W300" t="str">
            <v>Оптимизация НВ-44/Э-25</v>
          </cell>
        </row>
        <row r="301">
          <cell r="B301">
            <v>2704</v>
          </cell>
          <cell r="C301" t="str">
            <v>160б</v>
          </cell>
          <cell r="F301" t="str">
            <v>УПНП</v>
          </cell>
          <cell r="G301">
            <v>270</v>
          </cell>
          <cell r="H301" t="str">
            <v>ЭЦН</v>
          </cell>
          <cell r="I301" t="str">
            <v>бд</v>
          </cell>
          <cell r="J301">
            <v>34364</v>
          </cell>
          <cell r="K301">
            <v>18</v>
          </cell>
          <cell r="L301">
            <v>0</v>
          </cell>
          <cell r="M301">
            <v>15</v>
          </cell>
          <cell r="N301">
            <v>50</v>
          </cell>
          <cell r="O301">
            <v>8.1999999999999993</v>
          </cell>
          <cell r="P301">
            <v>80</v>
          </cell>
          <cell r="Q301">
            <v>50</v>
          </cell>
          <cell r="R301">
            <v>8.1999999999999993</v>
          </cell>
          <cell r="S301">
            <v>79.8</v>
          </cell>
          <cell r="T301">
            <v>37977</v>
          </cell>
          <cell r="U301" t="str">
            <v>ЛА</v>
          </cell>
          <cell r="W301" t="str">
            <v>ЛА, ИР ЮК-11, ПП ЮК-10.МШУ с пак.</v>
          </cell>
          <cell r="AD301">
            <v>37925</v>
          </cell>
          <cell r="AE301">
            <v>37970</v>
          </cell>
        </row>
        <row r="302">
          <cell r="B302">
            <v>2939</v>
          </cell>
          <cell r="C302">
            <v>46</v>
          </cell>
          <cell r="F302" t="str">
            <v>УПНП</v>
          </cell>
          <cell r="G302">
            <v>260</v>
          </cell>
          <cell r="H302" t="str">
            <v>ШГН</v>
          </cell>
          <cell r="I302" t="str">
            <v>конс.</v>
          </cell>
          <cell r="J302">
            <v>35034</v>
          </cell>
          <cell r="K302">
            <v>0</v>
          </cell>
          <cell r="L302">
            <v>0</v>
          </cell>
          <cell r="M302">
            <v>0</v>
          </cell>
          <cell r="N302">
            <v>50</v>
          </cell>
          <cell r="O302">
            <v>8.1999999999999993</v>
          </cell>
          <cell r="P302">
            <v>80</v>
          </cell>
          <cell r="Q302">
            <v>50</v>
          </cell>
          <cell r="R302">
            <v>8.1999999999999993</v>
          </cell>
          <cell r="S302">
            <v>79.8</v>
          </cell>
          <cell r="T302">
            <v>37981</v>
          </cell>
          <cell r="U302" t="str">
            <v>ЛА</v>
          </cell>
          <cell r="W302" t="str">
            <v>ВЦ.ЛА.ВЗ.ДП-ПП ЮК10.МШУ с пак.Сп.Э-30</v>
          </cell>
          <cell r="AD302">
            <v>37948</v>
          </cell>
          <cell r="AE302">
            <v>37974</v>
          </cell>
        </row>
        <row r="303">
          <cell r="B303">
            <v>5462</v>
          </cell>
          <cell r="C303">
            <v>104</v>
          </cell>
          <cell r="F303" t="str">
            <v>УПНП</v>
          </cell>
          <cell r="H303" t="str">
            <v>ЭЦН</v>
          </cell>
          <cell r="I303" t="str">
            <v>бд</v>
          </cell>
          <cell r="J303">
            <v>34851</v>
          </cell>
          <cell r="K303">
            <v>0</v>
          </cell>
          <cell r="L303">
            <v>0</v>
          </cell>
          <cell r="M303">
            <v>0</v>
          </cell>
          <cell r="N303">
            <v>30</v>
          </cell>
          <cell r="O303">
            <v>6</v>
          </cell>
          <cell r="P303">
            <v>75.3</v>
          </cell>
          <cell r="Q303">
            <v>30</v>
          </cell>
          <cell r="R303">
            <v>6</v>
          </cell>
          <cell r="S303">
            <v>75.3</v>
          </cell>
          <cell r="T303">
            <v>38576</v>
          </cell>
          <cell r="U303" t="str">
            <v>ОПЗ</v>
          </cell>
          <cell r="W303" t="str">
            <v>ВЦ, ПП, ОПЗ СНВ-32</v>
          </cell>
          <cell r="AD303">
            <v>37949</v>
          </cell>
          <cell r="AE303">
            <v>37975</v>
          </cell>
        </row>
        <row r="304">
          <cell r="B304" t="str">
            <v>5593б</v>
          </cell>
          <cell r="C304" t="str">
            <v>119б</v>
          </cell>
          <cell r="F304" t="str">
            <v>УПНП</v>
          </cell>
          <cell r="G304">
            <v>260</v>
          </cell>
          <cell r="H304" t="str">
            <v>ЭЦН</v>
          </cell>
          <cell r="I304" t="str">
            <v>действ.</v>
          </cell>
          <cell r="K304">
            <v>34</v>
          </cell>
          <cell r="L304">
            <v>16.3</v>
          </cell>
          <cell r="M304">
            <v>41</v>
          </cell>
          <cell r="N304">
            <v>125</v>
          </cell>
          <cell r="O304">
            <v>41.8</v>
          </cell>
          <cell r="P304">
            <v>59</v>
          </cell>
          <cell r="Q304">
            <v>91</v>
          </cell>
          <cell r="R304">
            <v>25.5</v>
          </cell>
          <cell r="S304">
            <v>65.400000000000006</v>
          </cell>
          <cell r="T304">
            <v>37964</v>
          </cell>
          <cell r="U304" t="str">
            <v>ГРП</v>
          </cell>
          <cell r="W304" t="str">
            <v>ПП.ГРП ЮК-10.Освоение</v>
          </cell>
          <cell r="AD304">
            <v>37943</v>
          </cell>
          <cell r="AE304">
            <v>37957</v>
          </cell>
        </row>
        <row r="305">
          <cell r="B305" t="str">
            <v>136р</v>
          </cell>
          <cell r="F305" t="str">
            <v>УПНП</v>
          </cell>
          <cell r="G305">
            <v>240</v>
          </cell>
          <cell r="H305" t="str">
            <v>ФОН</v>
          </cell>
          <cell r="I305" t="str">
            <v>действ.</v>
          </cell>
          <cell r="K305">
            <v>30</v>
          </cell>
          <cell r="L305">
            <v>23.2</v>
          </cell>
          <cell r="M305">
            <v>5</v>
          </cell>
          <cell r="N305">
            <v>50</v>
          </cell>
          <cell r="O305">
            <v>38.700000000000003</v>
          </cell>
          <cell r="P305">
            <v>5</v>
          </cell>
          <cell r="Q305">
            <v>20</v>
          </cell>
          <cell r="R305">
            <v>15.5</v>
          </cell>
          <cell r="S305">
            <v>5</v>
          </cell>
          <cell r="T305">
            <v>38025</v>
          </cell>
          <cell r="U305" t="str">
            <v>мд</v>
          </cell>
          <cell r="W305" t="str">
            <v>Пер.на мд</v>
          </cell>
          <cell r="AD305">
            <v>38014</v>
          </cell>
          <cell r="AE305">
            <v>38018</v>
          </cell>
        </row>
        <row r="306">
          <cell r="B306">
            <v>2957</v>
          </cell>
          <cell r="C306">
            <v>46</v>
          </cell>
          <cell r="F306" t="str">
            <v>УПНП</v>
          </cell>
          <cell r="G306">
            <v>250</v>
          </cell>
          <cell r="H306" t="str">
            <v>ЭЦН</v>
          </cell>
          <cell r="I306" t="str">
            <v>действ.</v>
          </cell>
          <cell r="J306">
            <v>34922</v>
          </cell>
          <cell r="K306">
            <v>13</v>
          </cell>
          <cell r="L306">
            <v>5.9</v>
          </cell>
          <cell r="M306">
            <v>44</v>
          </cell>
          <cell r="N306">
            <v>125</v>
          </cell>
          <cell r="O306">
            <v>30.8</v>
          </cell>
          <cell r="P306">
            <v>69.8</v>
          </cell>
          <cell r="Q306">
            <v>112</v>
          </cell>
          <cell r="R306">
            <v>24.9</v>
          </cell>
          <cell r="S306">
            <v>72.599999999999994</v>
          </cell>
          <cell r="T306">
            <v>38224</v>
          </cell>
          <cell r="U306" t="str">
            <v>ГРП</v>
          </cell>
          <cell r="W306" t="str">
            <v>ВЗ,ПР ГРП ЮК-10,сп.Э-80</v>
          </cell>
          <cell r="AD306">
            <v>37946</v>
          </cell>
          <cell r="AE306">
            <v>37972</v>
          </cell>
        </row>
        <row r="307">
          <cell r="B307">
            <v>3030</v>
          </cell>
          <cell r="C307">
            <v>52</v>
          </cell>
          <cell r="F307" t="str">
            <v>УПНП</v>
          </cell>
          <cell r="G307">
            <v>260</v>
          </cell>
          <cell r="H307" t="str">
            <v>Ф/Э</v>
          </cell>
          <cell r="I307" t="str">
            <v>конс.</v>
          </cell>
          <cell r="J307">
            <v>34486</v>
          </cell>
          <cell r="K307">
            <v>0</v>
          </cell>
          <cell r="L307">
            <v>0</v>
          </cell>
          <cell r="M307">
            <v>0</v>
          </cell>
          <cell r="N307">
            <v>50</v>
          </cell>
          <cell r="O307">
            <v>6.1</v>
          </cell>
          <cell r="P307">
            <v>85</v>
          </cell>
          <cell r="Q307">
            <v>50</v>
          </cell>
          <cell r="R307">
            <v>6.1</v>
          </cell>
          <cell r="S307">
            <v>84.9</v>
          </cell>
          <cell r="T307">
            <v>37962</v>
          </cell>
          <cell r="U307" t="str">
            <v>ВЦ</v>
          </cell>
          <cell r="W307" t="str">
            <v>ВЦ.ПП ЮК-10.МШУ с пак..Сп.Э-50</v>
          </cell>
          <cell r="AD307">
            <v>37926</v>
          </cell>
          <cell r="AE307">
            <v>37955</v>
          </cell>
        </row>
        <row r="308">
          <cell r="B308">
            <v>3842</v>
          </cell>
          <cell r="C308">
            <v>100</v>
          </cell>
          <cell r="F308" t="str">
            <v>УПНП</v>
          </cell>
          <cell r="G308">
            <v>240</v>
          </cell>
          <cell r="H308" t="str">
            <v>Ф/Э</v>
          </cell>
          <cell r="I308" t="str">
            <v>конс.</v>
          </cell>
          <cell r="J308">
            <v>34060</v>
          </cell>
          <cell r="K308">
            <v>0</v>
          </cell>
          <cell r="L308">
            <v>0</v>
          </cell>
          <cell r="M308">
            <v>0</v>
          </cell>
          <cell r="N308">
            <v>50</v>
          </cell>
          <cell r="O308">
            <v>8.1999999999999993</v>
          </cell>
          <cell r="P308">
            <v>80</v>
          </cell>
          <cell r="Q308">
            <v>50</v>
          </cell>
          <cell r="R308">
            <v>8.1999999999999993</v>
          </cell>
          <cell r="S308">
            <v>79.8</v>
          </cell>
          <cell r="T308">
            <v>38051</v>
          </cell>
          <cell r="U308" t="str">
            <v>БДП</v>
          </cell>
          <cell r="W308" t="str">
            <v>Смена Э-50</v>
          </cell>
          <cell r="AD308">
            <v>37948</v>
          </cell>
          <cell r="AE308">
            <v>38044</v>
          </cell>
        </row>
        <row r="309">
          <cell r="B309">
            <v>3192</v>
          </cell>
          <cell r="C309">
            <v>55</v>
          </cell>
          <cell r="F309" t="str">
            <v>УПНП</v>
          </cell>
          <cell r="G309">
            <v>270</v>
          </cell>
          <cell r="H309" t="str">
            <v>ШГН</v>
          </cell>
          <cell r="I309" t="str">
            <v>конс.</v>
          </cell>
          <cell r="J309">
            <v>34394</v>
          </cell>
          <cell r="K309">
            <v>0</v>
          </cell>
          <cell r="L309">
            <v>0</v>
          </cell>
          <cell r="M309">
            <v>0</v>
          </cell>
          <cell r="N309">
            <v>30</v>
          </cell>
          <cell r="O309">
            <v>7.3</v>
          </cell>
          <cell r="P309">
            <v>70</v>
          </cell>
          <cell r="Q309">
            <v>30</v>
          </cell>
          <cell r="R309">
            <v>7.3</v>
          </cell>
          <cell r="S309">
            <v>70</v>
          </cell>
          <cell r="T309">
            <v>37974</v>
          </cell>
          <cell r="U309" t="str">
            <v>ВЦ</v>
          </cell>
          <cell r="W309" t="str">
            <v>ВЦ.ГИС-2.ИР ЮК-11.ПП ЮК-10.МШУ с пак.Сп.ЭЦН</v>
          </cell>
          <cell r="AD309">
            <v>37947</v>
          </cell>
          <cell r="AE309">
            <v>37967</v>
          </cell>
        </row>
        <row r="310">
          <cell r="B310">
            <v>2706</v>
          </cell>
          <cell r="C310">
            <v>160</v>
          </cell>
          <cell r="F310" t="str">
            <v>ПРС</v>
          </cell>
          <cell r="H310" t="str">
            <v>ШГН</v>
          </cell>
          <cell r="I310" t="str">
            <v>бд</v>
          </cell>
          <cell r="J310">
            <v>36869</v>
          </cell>
          <cell r="K310">
            <v>0</v>
          </cell>
          <cell r="L310">
            <v>0</v>
          </cell>
          <cell r="M310">
            <v>0</v>
          </cell>
          <cell r="N310">
            <v>3</v>
          </cell>
          <cell r="O310">
            <v>2.1</v>
          </cell>
          <cell r="P310">
            <v>15</v>
          </cell>
          <cell r="Q310">
            <v>3</v>
          </cell>
          <cell r="R310">
            <v>2.1</v>
          </cell>
          <cell r="S310">
            <v>15</v>
          </cell>
          <cell r="T310">
            <v>38414</v>
          </cell>
          <cell r="U310" t="str">
            <v>бдп</v>
          </cell>
          <cell r="W310" t="str">
            <v>ВЦ "БАРС".Смена НВ-32</v>
          </cell>
          <cell r="Y310" t="str">
            <v>ОЦ</v>
          </cell>
          <cell r="AE310">
            <v>37970</v>
          </cell>
        </row>
        <row r="311">
          <cell r="B311">
            <v>5649</v>
          </cell>
          <cell r="C311">
            <v>124</v>
          </cell>
          <cell r="F311" t="str">
            <v>УПНП</v>
          </cell>
          <cell r="G311">
            <v>260</v>
          </cell>
          <cell r="H311" t="str">
            <v>ШГН</v>
          </cell>
          <cell r="I311" t="str">
            <v>конс.</v>
          </cell>
          <cell r="J311">
            <v>32964</v>
          </cell>
          <cell r="K311">
            <v>0</v>
          </cell>
          <cell r="L311">
            <v>0</v>
          </cell>
          <cell r="M311">
            <v>0</v>
          </cell>
          <cell r="N311">
            <v>30</v>
          </cell>
          <cell r="O311">
            <v>8.6999999999999993</v>
          </cell>
          <cell r="P311">
            <v>64.5</v>
          </cell>
          <cell r="Q311">
            <v>30</v>
          </cell>
          <cell r="R311">
            <v>8.6999999999999993</v>
          </cell>
          <cell r="S311">
            <v>64.2</v>
          </cell>
          <cell r="T311">
            <v>38001</v>
          </cell>
          <cell r="U311" t="str">
            <v>ВЦ</v>
          </cell>
          <cell r="W311" t="str">
            <v>ВЦ.ПП ЮК-10.МШУ.Сп.Э-30</v>
          </cell>
          <cell r="AD311">
            <v>37970</v>
          </cell>
          <cell r="AE311">
            <v>37994</v>
          </cell>
        </row>
        <row r="312">
          <cell r="B312">
            <v>5708</v>
          </cell>
          <cell r="C312">
            <v>12</v>
          </cell>
          <cell r="F312" t="str">
            <v>УПНП</v>
          </cell>
          <cell r="G312">
            <v>255</v>
          </cell>
          <cell r="H312" t="str">
            <v>ф/шгн</v>
          </cell>
          <cell r="I312" t="str">
            <v>конс.</v>
          </cell>
          <cell r="J312">
            <v>33635</v>
          </cell>
          <cell r="K312">
            <v>0</v>
          </cell>
          <cell r="L312">
            <v>0</v>
          </cell>
          <cell r="M312">
            <v>0</v>
          </cell>
          <cell r="N312">
            <v>50</v>
          </cell>
          <cell r="O312">
            <v>8.6</v>
          </cell>
          <cell r="P312">
            <v>79</v>
          </cell>
          <cell r="Q312">
            <v>50</v>
          </cell>
          <cell r="R312">
            <v>8.6</v>
          </cell>
          <cell r="S312">
            <v>78.8</v>
          </cell>
          <cell r="T312">
            <v>37994</v>
          </cell>
          <cell r="U312" t="str">
            <v>ВЦ</v>
          </cell>
          <cell r="W312" t="str">
            <v>ВЦ.ПП ЮК-10.МШУ.Сп.Э-30</v>
          </cell>
          <cell r="AD312">
            <v>37964</v>
          </cell>
          <cell r="AE312">
            <v>37987</v>
          </cell>
        </row>
        <row r="313">
          <cell r="B313">
            <v>5716</v>
          </cell>
          <cell r="C313">
            <v>128</v>
          </cell>
          <cell r="F313" t="str">
            <v>УПНП</v>
          </cell>
          <cell r="G313">
            <v>250</v>
          </cell>
          <cell r="H313" t="str">
            <v>ЭЦН</v>
          </cell>
          <cell r="I313" t="str">
            <v>бд</v>
          </cell>
          <cell r="J313">
            <v>35004</v>
          </cell>
          <cell r="K313">
            <v>0</v>
          </cell>
          <cell r="L313">
            <v>0</v>
          </cell>
          <cell r="M313">
            <v>0</v>
          </cell>
          <cell r="N313">
            <v>50</v>
          </cell>
          <cell r="O313">
            <v>8.6</v>
          </cell>
          <cell r="P313">
            <v>79</v>
          </cell>
          <cell r="Q313">
            <v>50</v>
          </cell>
          <cell r="R313">
            <v>8.6</v>
          </cell>
          <cell r="S313">
            <v>78.8</v>
          </cell>
          <cell r="T313">
            <v>38000</v>
          </cell>
          <cell r="U313" t="str">
            <v>ЛА</v>
          </cell>
          <cell r="W313" t="str">
            <v>ВЦ.ЛА.ГИС-2.ИР ЮК-11.ПП ЮК-10</v>
          </cell>
          <cell r="AD313">
            <v>37952</v>
          </cell>
          <cell r="AE313">
            <v>37993</v>
          </cell>
        </row>
        <row r="314">
          <cell r="B314">
            <v>5269</v>
          </cell>
          <cell r="C314">
            <v>135</v>
          </cell>
          <cell r="F314" t="str">
            <v>УПНП</v>
          </cell>
          <cell r="G314">
            <v>260</v>
          </cell>
          <cell r="H314" t="str">
            <v>ЭЦН</v>
          </cell>
          <cell r="I314" t="str">
            <v>конс.</v>
          </cell>
          <cell r="J314">
            <v>33878</v>
          </cell>
          <cell r="K314">
            <v>0</v>
          </cell>
          <cell r="L314">
            <v>0</v>
          </cell>
          <cell r="M314">
            <v>0</v>
          </cell>
          <cell r="N314">
            <v>50</v>
          </cell>
          <cell r="O314">
            <v>6.1</v>
          </cell>
          <cell r="P314">
            <v>85</v>
          </cell>
          <cell r="Q314">
            <v>50</v>
          </cell>
          <cell r="R314">
            <v>6.1</v>
          </cell>
          <cell r="S314">
            <v>84.9</v>
          </cell>
          <cell r="T314">
            <v>36961</v>
          </cell>
          <cell r="U314" t="str">
            <v>ЛА</v>
          </cell>
          <cell r="W314" t="str">
            <v>ВЦ.ЛА</v>
          </cell>
          <cell r="X314" t="str">
            <v>ВЦ ООО "Электропрогрев"</v>
          </cell>
          <cell r="Z314" t="str">
            <v>на 5218</v>
          </cell>
          <cell r="AD314">
            <v>36954</v>
          </cell>
          <cell r="AE314">
            <v>36954</v>
          </cell>
        </row>
        <row r="315">
          <cell r="B315">
            <v>5428</v>
          </cell>
          <cell r="C315">
            <v>103</v>
          </cell>
          <cell r="F315" t="str">
            <v>УПНП</v>
          </cell>
          <cell r="G315">
            <v>240</v>
          </cell>
          <cell r="H315" t="str">
            <v>ШГН</v>
          </cell>
          <cell r="I315" t="str">
            <v>конс.</v>
          </cell>
          <cell r="J315">
            <v>32843</v>
          </cell>
          <cell r="K315">
            <v>0</v>
          </cell>
          <cell r="L315">
            <v>0</v>
          </cell>
          <cell r="M315">
            <v>0</v>
          </cell>
          <cell r="N315">
            <v>80</v>
          </cell>
          <cell r="O315">
            <v>8.6999999999999993</v>
          </cell>
          <cell r="P315">
            <v>86.7</v>
          </cell>
          <cell r="Q315">
            <v>80</v>
          </cell>
          <cell r="R315">
            <v>8.6999999999999993</v>
          </cell>
          <cell r="S315">
            <v>86.6</v>
          </cell>
          <cell r="T315">
            <v>38014</v>
          </cell>
          <cell r="U315" t="str">
            <v>ЛА</v>
          </cell>
          <cell r="W315" t="str">
            <v>ВЦ, ЛА.ГИС-2.ПП.Сп. Э-80</v>
          </cell>
          <cell r="AE315">
            <v>38007</v>
          </cell>
          <cell r="AF315">
            <v>30</v>
          </cell>
        </row>
        <row r="316">
          <cell r="B316">
            <v>2986</v>
          </cell>
          <cell r="C316">
            <v>45</v>
          </cell>
          <cell r="F316" t="str">
            <v>УПНП</v>
          </cell>
          <cell r="G316">
            <v>270</v>
          </cell>
          <cell r="H316" t="str">
            <v>ЭЦН</v>
          </cell>
          <cell r="I316" t="str">
            <v>бдтг</v>
          </cell>
          <cell r="J316">
            <v>38015</v>
          </cell>
          <cell r="K316">
            <v>0</v>
          </cell>
          <cell r="L316">
            <v>0</v>
          </cell>
          <cell r="M316">
            <v>0</v>
          </cell>
          <cell r="N316">
            <v>30</v>
          </cell>
          <cell r="O316">
            <v>3.2</v>
          </cell>
          <cell r="P316">
            <v>87</v>
          </cell>
          <cell r="Q316">
            <v>30</v>
          </cell>
          <cell r="R316">
            <v>3.2</v>
          </cell>
          <cell r="S316">
            <v>86.8</v>
          </cell>
          <cell r="T316">
            <v>38067</v>
          </cell>
          <cell r="U316" t="str">
            <v>БДП</v>
          </cell>
          <cell r="W316" t="str">
            <v>Смена Э-30</v>
          </cell>
          <cell r="AE316">
            <v>38060</v>
          </cell>
        </row>
        <row r="317">
          <cell r="B317">
            <v>5441</v>
          </cell>
          <cell r="C317">
            <v>108</v>
          </cell>
          <cell r="F317" t="str">
            <v>УПНП</v>
          </cell>
          <cell r="G317">
            <v>240</v>
          </cell>
          <cell r="H317" t="str">
            <v>ЭЦН</v>
          </cell>
          <cell r="I317" t="str">
            <v>действ.</v>
          </cell>
          <cell r="K317">
            <v>48</v>
          </cell>
          <cell r="L317">
            <v>20.7</v>
          </cell>
          <cell r="M317">
            <v>47</v>
          </cell>
          <cell r="N317">
            <v>125</v>
          </cell>
          <cell r="O317">
            <v>45.8</v>
          </cell>
          <cell r="P317">
            <v>55</v>
          </cell>
          <cell r="Q317">
            <v>125</v>
          </cell>
          <cell r="R317">
            <v>25.1</v>
          </cell>
          <cell r="S317">
            <v>60</v>
          </cell>
          <cell r="T317">
            <v>38016</v>
          </cell>
          <cell r="U317" t="str">
            <v>ГРП</v>
          </cell>
          <cell r="W317" t="str">
            <v>ВЦ.ГРП ЮК-10</v>
          </cell>
          <cell r="AD317">
            <v>37987</v>
          </cell>
          <cell r="AE317">
            <v>38009</v>
          </cell>
        </row>
        <row r="318">
          <cell r="B318">
            <v>2882</v>
          </cell>
          <cell r="C318">
            <v>131</v>
          </cell>
          <cell r="F318" t="str">
            <v>УПНП</v>
          </cell>
          <cell r="G318">
            <v>275</v>
          </cell>
          <cell r="H318" t="str">
            <v>ЭЦН</v>
          </cell>
          <cell r="I318" t="str">
            <v>конс.</v>
          </cell>
          <cell r="J318">
            <v>33086</v>
          </cell>
          <cell r="K318">
            <v>0</v>
          </cell>
          <cell r="L318">
            <v>0</v>
          </cell>
          <cell r="M318">
            <v>0</v>
          </cell>
          <cell r="N318">
            <v>50</v>
          </cell>
          <cell r="O318">
            <v>8.6</v>
          </cell>
          <cell r="P318">
            <v>79</v>
          </cell>
          <cell r="Q318">
            <v>50</v>
          </cell>
          <cell r="R318">
            <v>8.6</v>
          </cell>
          <cell r="S318">
            <v>78.8</v>
          </cell>
          <cell r="T318">
            <v>37999</v>
          </cell>
          <cell r="U318" t="str">
            <v>ВЦ</v>
          </cell>
          <cell r="W318" t="str">
            <v>ВЦ.МШУ.Сп.Э-50</v>
          </cell>
          <cell r="AD318">
            <v>37971</v>
          </cell>
          <cell r="AE318">
            <v>37992</v>
          </cell>
        </row>
        <row r="319">
          <cell r="B319">
            <v>2990</v>
          </cell>
          <cell r="C319">
            <v>46</v>
          </cell>
          <cell r="F319" t="str">
            <v>УПНП</v>
          </cell>
          <cell r="G319">
            <v>280</v>
          </cell>
          <cell r="H319" t="str">
            <v>Ф/Э</v>
          </cell>
          <cell r="I319" t="str">
            <v>конс.</v>
          </cell>
          <cell r="J319">
            <v>34485</v>
          </cell>
          <cell r="K319">
            <v>0</v>
          </cell>
          <cell r="L319">
            <v>0</v>
          </cell>
          <cell r="M319">
            <v>0</v>
          </cell>
          <cell r="N319">
            <v>30</v>
          </cell>
          <cell r="O319">
            <v>8.6999999999999993</v>
          </cell>
          <cell r="P319">
            <v>64.5</v>
          </cell>
          <cell r="Q319">
            <v>30</v>
          </cell>
          <cell r="R319">
            <v>8.6999999999999993</v>
          </cell>
          <cell r="S319">
            <v>64.2</v>
          </cell>
          <cell r="T319">
            <v>38014</v>
          </cell>
          <cell r="U319" t="str">
            <v>ВЦ</v>
          </cell>
          <cell r="W319" t="str">
            <v>ВЦ.ВЗ МШУ.ПП.МШУ с пак.Сп.ЭЦН</v>
          </cell>
          <cell r="AD319">
            <v>37984</v>
          </cell>
          <cell r="AE319">
            <v>38007</v>
          </cell>
        </row>
        <row r="320">
          <cell r="B320">
            <v>5452</v>
          </cell>
          <cell r="C320">
            <v>101</v>
          </cell>
          <cell r="F320" t="str">
            <v>УПНП</v>
          </cell>
          <cell r="G320">
            <v>270</v>
          </cell>
          <cell r="H320" t="str">
            <v>Фон</v>
          </cell>
          <cell r="I320" t="str">
            <v>конс.</v>
          </cell>
          <cell r="J320">
            <v>33725</v>
          </cell>
          <cell r="K320">
            <v>0</v>
          </cell>
          <cell r="L320">
            <v>0</v>
          </cell>
          <cell r="M320">
            <v>0</v>
          </cell>
          <cell r="N320">
            <v>30</v>
          </cell>
          <cell r="O320">
            <v>8.6999999999999993</v>
          </cell>
          <cell r="P320">
            <v>64.5</v>
          </cell>
          <cell r="Q320">
            <v>30</v>
          </cell>
          <cell r="R320">
            <v>8.6999999999999993</v>
          </cell>
          <cell r="S320">
            <v>64.2</v>
          </cell>
          <cell r="T320">
            <v>37991</v>
          </cell>
          <cell r="U320" t="str">
            <v>БДК</v>
          </cell>
          <cell r="W320" t="str">
            <v>ГИС-2.ПП.МШУ.Сп.ЭЦН</v>
          </cell>
          <cell r="AE320">
            <v>37984</v>
          </cell>
        </row>
        <row r="321">
          <cell r="B321">
            <v>5646</v>
          </cell>
          <cell r="C321">
            <v>125</v>
          </cell>
          <cell r="F321" t="str">
            <v>УПНП</v>
          </cell>
          <cell r="H321" t="str">
            <v>ЭЦН</v>
          </cell>
          <cell r="I321" t="str">
            <v>действ.</v>
          </cell>
          <cell r="K321">
            <v>50</v>
          </cell>
          <cell r="L321">
            <v>18.7</v>
          </cell>
          <cell r="M321">
            <v>54</v>
          </cell>
          <cell r="N321">
            <v>80</v>
          </cell>
          <cell r="O321">
            <v>30</v>
          </cell>
          <cell r="P321">
            <v>54</v>
          </cell>
          <cell r="Q321">
            <v>30</v>
          </cell>
          <cell r="R321">
            <v>11.3</v>
          </cell>
          <cell r="S321">
            <v>53.5</v>
          </cell>
          <cell r="T321">
            <v>38000</v>
          </cell>
          <cell r="U321" t="str">
            <v>ОПТ</v>
          </cell>
          <cell r="W321" t="str">
            <v>Оптимизация Э-50/80</v>
          </cell>
          <cell r="AE321">
            <v>37993</v>
          </cell>
        </row>
        <row r="322">
          <cell r="B322">
            <v>5595</v>
          </cell>
          <cell r="C322">
            <v>119</v>
          </cell>
          <cell r="F322" t="str">
            <v>УПНП</v>
          </cell>
          <cell r="H322" t="str">
            <v>Фон</v>
          </cell>
          <cell r="I322" t="str">
            <v>конс.</v>
          </cell>
          <cell r="N322">
            <v>80</v>
          </cell>
          <cell r="O322">
            <v>24.9</v>
          </cell>
          <cell r="P322">
            <v>61.8</v>
          </cell>
          <cell r="Q322">
            <v>80</v>
          </cell>
          <cell r="R322">
            <v>24.9</v>
          </cell>
          <cell r="S322">
            <v>61.8</v>
          </cell>
          <cell r="T322">
            <v>38220</v>
          </cell>
          <cell r="U322" t="str">
            <v>ГРП</v>
          </cell>
          <cell r="W322" t="str">
            <v>ЛА,ГРП ЮК-10,сп.Э-80</v>
          </cell>
        </row>
        <row r="323">
          <cell r="B323">
            <v>5516</v>
          </cell>
          <cell r="C323">
            <v>115</v>
          </cell>
          <cell r="F323" t="str">
            <v>УПНП</v>
          </cell>
          <cell r="G323">
            <v>240</v>
          </cell>
          <cell r="H323" t="str">
            <v>нагн.</v>
          </cell>
          <cell r="I323" t="str">
            <v>бд</v>
          </cell>
          <cell r="J323">
            <v>37081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e">
            <v>#DIV/0!</v>
          </cell>
          <cell r="T323">
            <v>37773</v>
          </cell>
          <cell r="U323" t="str">
            <v>ГРП</v>
          </cell>
          <cell r="W323" t="str">
            <v>ИР ЮК-10,ГРП ЮК-2</v>
          </cell>
          <cell r="AD323">
            <v>37742</v>
          </cell>
          <cell r="AE323">
            <v>37766</v>
          </cell>
        </row>
        <row r="324">
          <cell r="B324">
            <v>2815</v>
          </cell>
          <cell r="C324">
            <v>145</v>
          </cell>
          <cell r="F324" t="str">
            <v>УПНП</v>
          </cell>
          <cell r="G324">
            <v>280</v>
          </cell>
          <cell r="H324" t="str">
            <v>ШГН</v>
          </cell>
          <cell r="I324" t="str">
            <v>бд</v>
          </cell>
          <cell r="J324">
            <v>37934</v>
          </cell>
          <cell r="K324">
            <v>0</v>
          </cell>
          <cell r="L324">
            <v>0</v>
          </cell>
          <cell r="M324">
            <v>0</v>
          </cell>
          <cell r="N324">
            <v>50</v>
          </cell>
          <cell r="O324">
            <v>22.4</v>
          </cell>
          <cell r="P324">
            <v>45</v>
          </cell>
          <cell r="Q324">
            <v>50</v>
          </cell>
          <cell r="R324">
            <v>22.4</v>
          </cell>
          <cell r="S324">
            <v>44.7</v>
          </cell>
          <cell r="T324">
            <v>38076</v>
          </cell>
          <cell r="U324" t="str">
            <v>ГРП</v>
          </cell>
          <cell r="W324" t="str">
            <v>ИР ЮК-10.ДП ЮК-4,ГРП,сп.Э-50</v>
          </cell>
          <cell r="AD324">
            <v>38045</v>
          </cell>
          <cell r="AE324">
            <v>38069</v>
          </cell>
        </row>
        <row r="325">
          <cell r="B325">
            <v>2931</v>
          </cell>
          <cell r="C325">
            <v>44</v>
          </cell>
          <cell r="F325" t="str">
            <v>УПНП</v>
          </cell>
          <cell r="G325">
            <v>260</v>
          </cell>
          <cell r="H325" t="str">
            <v>нагнет.</v>
          </cell>
          <cell r="I325" t="str">
            <v>бд</v>
          </cell>
          <cell r="J325">
            <v>34234</v>
          </cell>
          <cell r="K325">
            <v>0</v>
          </cell>
          <cell r="L325">
            <v>0</v>
          </cell>
          <cell r="M325">
            <v>0</v>
          </cell>
          <cell r="T325">
            <v>3</v>
          </cell>
          <cell r="U325" t="str">
            <v>ЗБС</v>
          </cell>
          <cell r="W325" t="str">
            <v>Подготовка к ЗБГС</v>
          </cell>
          <cell r="AD325">
            <v>37783</v>
          </cell>
        </row>
        <row r="326">
          <cell r="B326">
            <v>2949</v>
          </cell>
          <cell r="C326">
            <v>44</v>
          </cell>
          <cell r="F326" t="str">
            <v>УПНП</v>
          </cell>
          <cell r="G326">
            <v>270</v>
          </cell>
          <cell r="H326" t="str">
            <v>ШГН</v>
          </cell>
          <cell r="I326" t="str">
            <v>бд</v>
          </cell>
          <cell r="J326">
            <v>34455</v>
          </cell>
          <cell r="K326">
            <v>0</v>
          </cell>
          <cell r="L326">
            <v>0</v>
          </cell>
          <cell r="M326">
            <v>0</v>
          </cell>
          <cell r="N326">
            <v>15</v>
          </cell>
          <cell r="O326">
            <v>9.8000000000000007</v>
          </cell>
          <cell r="P326">
            <v>20</v>
          </cell>
          <cell r="Q326">
            <v>15</v>
          </cell>
          <cell r="R326">
            <v>9.8000000000000007</v>
          </cell>
          <cell r="S326">
            <v>19.3</v>
          </cell>
          <cell r="T326">
            <v>37796</v>
          </cell>
          <cell r="U326" t="str">
            <v>ЛА</v>
          </cell>
          <cell r="W326" t="str">
            <v>ВЦ,ЛА,ВЗ,ПП ЮК-10,сп Н-44</v>
          </cell>
          <cell r="AD326">
            <v>37736</v>
          </cell>
          <cell r="AE326">
            <v>37789</v>
          </cell>
        </row>
        <row r="327">
          <cell r="B327">
            <v>2925</v>
          </cell>
          <cell r="C327">
            <v>132</v>
          </cell>
          <cell r="F327" t="str">
            <v>УПНП</v>
          </cell>
          <cell r="G327">
            <v>255</v>
          </cell>
          <cell r="H327" t="str">
            <v>ЭЦН</v>
          </cell>
          <cell r="I327" t="str">
            <v>конс.</v>
          </cell>
          <cell r="J327">
            <v>34271</v>
          </cell>
          <cell r="K327">
            <v>0</v>
          </cell>
          <cell r="L327">
            <v>0</v>
          </cell>
          <cell r="M327">
            <v>0</v>
          </cell>
          <cell r="N327">
            <v>30</v>
          </cell>
          <cell r="O327">
            <v>12</v>
          </cell>
          <cell r="P327">
            <v>51</v>
          </cell>
          <cell r="Q327">
            <v>30</v>
          </cell>
          <cell r="R327">
            <v>12</v>
          </cell>
          <cell r="S327">
            <v>50.6</v>
          </cell>
          <cell r="T327">
            <v>37801</v>
          </cell>
          <cell r="U327" t="str">
            <v>ВВ</v>
          </cell>
          <cell r="W327" t="str">
            <v>ВЦ,уст.цем. Моста(РИР ЮК-10),исп.Ab</v>
          </cell>
          <cell r="AD327">
            <v>37776</v>
          </cell>
          <cell r="AE327">
            <v>37794</v>
          </cell>
        </row>
        <row r="328">
          <cell r="B328">
            <v>5707</v>
          </cell>
          <cell r="C328">
            <v>125</v>
          </cell>
          <cell r="F328" t="str">
            <v>УПНП</v>
          </cell>
          <cell r="G328">
            <v>250</v>
          </cell>
          <cell r="H328" t="str">
            <v>ШГН</v>
          </cell>
          <cell r="I328" t="str">
            <v>бд</v>
          </cell>
          <cell r="J328">
            <v>32843</v>
          </cell>
          <cell r="K328">
            <v>0</v>
          </cell>
          <cell r="L328">
            <v>0</v>
          </cell>
          <cell r="M328">
            <v>0</v>
          </cell>
          <cell r="N328">
            <v>15</v>
          </cell>
          <cell r="O328">
            <v>9.8000000000000007</v>
          </cell>
          <cell r="P328">
            <v>20</v>
          </cell>
          <cell r="Q328">
            <v>15</v>
          </cell>
          <cell r="R328">
            <v>9.8000000000000007</v>
          </cell>
          <cell r="S328">
            <v>19.3</v>
          </cell>
          <cell r="T328">
            <v>37898</v>
          </cell>
          <cell r="U328" t="str">
            <v>ЛА</v>
          </cell>
          <cell r="W328" t="str">
            <v>ЛА,РИР низа ЮК-10,ПП,2796.5-2806.5,сп.НН</v>
          </cell>
          <cell r="AD328">
            <v>37865</v>
          </cell>
          <cell r="AE328">
            <v>37891</v>
          </cell>
        </row>
        <row r="329">
          <cell r="B329">
            <v>5711</v>
          </cell>
          <cell r="C329">
            <v>127</v>
          </cell>
          <cell r="F329" t="str">
            <v>УПНП</v>
          </cell>
          <cell r="G329">
            <v>260</v>
          </cell>
          <cell r="H329" t="str">
            <v>ЭЦН</v>
          </cell>
          <cell r="I329" t="str">
            <v>бд</v>
          </cell>
          <cell r="J329">
            <v>33781</v>
          </cell>
          <cell r="K329">
            <v>0</v>
          </cell>
          <cell r="L329">
            <v>0</v>
          </cell>
          <cell r="M329">
            <v>0</v>
          </cell>
          <cell r="N329">
            <v>125</v>
          </cell>
          <cell r="O329">
            <v>9.6999999999999993</v>
          </cell>
          <cell r="P329">
            <v>90.5</v>
          </cell>
          <cell r="Q329">
            <v>125</v>
          </cell>
          <cell r="R329">
            <v>9.6999999999999993</v>
          </cell>
          <cell r="S329">
            <v>90.4</v>
          </cell>
          <cell r="T329" t="e">
            <v>#VALUE!</v>
          </cell>
          <cell r="U329" t="str">
            <v>ЛА</v>
          </cell>
          <cell r="W329" t="str">
            <v>Л.А.,ВЗ,ОТСК,ГИС(и.о.)по результатам РИР,сп.Э-125</v>
          </cell>
          <cell r="AD329">
            <v>37823</v>
          </cell>
          <cell r="AE329" t="str">
            <v>31/09/2003</v>
          </cell>
        </row>
        <row r="330">
          <cell r="B330">
            <v>5549</v>
          </cell>
          <cell r="C330">
            <v>116</v>
          </cell>
          <cell r="F330" t="str">
            <v>УПНП</v>
          </cell>
          <cell r="G330">
            <v>250</v>
          </cell>
          <cell r="H330" t="str">
            <v>ЭЦН</v>
          </cell>
          <cell r="I330" t="str">
            <v>действ.</v>
          </cell>
          <cell r="K330">
            <v>86</v>
          </cell>
          <cell r="L330">
            <v>2.1</v>
          </cell>
          <cell r="M330">
            <v>97</v>
          </cell>
          <cell r="N330">
            <v>30</v>
          </cell>
          <cell r="O330">
            <v>12</v>
          </cell>
          <cell r="P330">
            <v>51</v>
          </cell>
          <cell r="Q330">
            <v>-56</v>
          </cell>
          <cell r="R330">
            <v>9.9</v>
          </cell>
          <cell r="S330">
            <v>12</v>
          </cell>
          <cell r="T330">
            <v>37863</v>
          </cell>
          <cell r="U330" t="str">
            <v>ВВ</v>
          </cell>
          <cell r="W330" t="str">
            <v>ВЦ,ИР ЮК-10,исп.Bg+Ab</v>
          </cell>
          <cell r="AD330">
            <v>37842</v>
          </cell>
          <cell r="AE330">
            <v>37856</v>
          </cell>
        </row>
        <row r="331">
          <cell r="B331">
            <v>2687</v>
          </cell>
          <cell r="C331">
            <v>160</v>
          </cell>
          <cell r="F331" t="str">
            <v>УПНП</v>
          </cell>
          <cell r="G331">
            <v>240</v>
          </cell>
          <cell r="H331" t="str">
            <v>фон</v>
          </cell>
          <cell r="I331" t="str">
            <v>бд</v>
          </cell>
          <cell r="J331">
            <v>32843</v>
          </cell>
          <cell r="K331">
            <v>0</v>
          </cell>
          <cell r="L331">
            <v>0</v>
          </cell>
          <cell r="M331">
            <v>0</v>
          </cell>
          <cell r="N331">
            <v>50</v>
          </cell>
          <cell r="O331">
            <v>11</v>
          </cell>
          <cell r="P331">
            <v>73</v>
          </cell>
          <cell r="Q331">
            <v>50</v>
          </cell>
          <cell r="R331">
            <v>11</v>
          </cell>
          <cell r="S331">
            <v>72.8</v>
          </cell>
          <cell r="T331">
            <v>37852</v>
          </cell>
          <cell r="U331" t="str">
            <v>ВЦ</v>
          </cell>
          <cell r="W331" t="str">
            <v>ВЦ.ЛА. ДП ЮК-10,ПП ЮК-10,спуск ЭЦН</v>
          </cell>
          <cell r="AD331">
            <v>37819</v>
          </cell>
          <cell r="AE331">
            <v>37845</v>
          </cell>
        </row>
        <row r="332">
          <cell r="B332">
            <v>5846</v>
          </cell>
          <cell r="C332">
            <v>168</v>
          </cell>
          <cell r="F332" t="str">
            <v>УПНП</v>
          </cell>
          <cell r="G332">
            <v>275</v>
          </cell>
          <cell r="H332" t="str">
            <v>ЭЦН</v>
          </cell>
          <cell r="I332" t="str">
            <v>действ.</v>
          </cell>
          <cell r="K332">
            <v>19</v>
          </cell>
          <cell r="L332">
            <v>2</v>
          </cell>
          <cell r="M332">
            <v>87</v>
          </cell>
          <cell r="N332">
            <v>30</v>
          </cell>
          <cell r="O332">
            <v>12</v>
          </cell>
          <cell r="P332">
            <v>51</v>
          </cell>
          <cell r="Q332">
            <v>11</v>
          </cell>
          <cell r="R332">
            <v>10</v>
          </cell>
          <cell r="S332">
            <v>-12.2</v>
          </cell>
          <cell r="T332">
            <v>37866</v>
          </cell>
          <cell r="U332" t="str">
            <v>ВВ</v>
          </cell>
          <cell r="W332" t="str">
            <v>ВЦ,ИР ЮК-10,исп.Bg+Ab</v>
          </cell>
          <cell r="AD332">
            <v>37846</v>
          </cell>
          <cell r="AE332">
            <v>37859</v>
          </cell>
        </row>
        <row r="333">
          <cell r="B333">
            <v>5468</v>
          </cell>
          <cell r="C333">
            <v>108</v>
          </cell>
          <cell r="F333" t="str">
            <v>УПНП</v>
          </cell>
          <cell r="G333">
            <v>270</v>
          </cell>
          <cell r="H333" t="str">
            <v>ЭЦН</v>
          </cell>
          <cell r="I333" t="str">
            <v>бд</v>
          </cell>
          <cell r="J333">
            <v>34849</v>
          </cell>
          <cell r="K333">
            <v>0</v>
          </cell>
          <cell r="L333">
            <v>0</v>
          </cell>
          <cell r="M333">
            <v>0</v>
          </cell>
          <cell r="N333">
            <v>80</v>
          </cell>
          <cell r="O333">
            <v>9.1</v>
          </cell>
          <cell r="P333">
            <v>86</v>
          </cell>
          <cell r="Q333">
            <v>80</v>
          </cell>
          <cell r="R333">
            <v>9.1</v>
          </cell>
          <cell r="S333">
            <v>86</v>
          </cell>
          <cell r="T333">
            <v>37911</v>
          </cell>
          <cell r="U333" t="str">
            <v>ОВП</v>
          </cell>
          <cell r="W333" t="str">
            <v>ЛА, ИР ЮК-11, ПП ЮК-10.ДП ЮК-10</v>
          </cell>
          <cell r="AD333">
            <v>37817</v>
          </cell>
          <cell r="AE333">
            <v>37904</v>
          </cell>
        </row>
        <row r="334">
          <cell r="B334">
            <v>2700</v>
          </cell>
          <cell r="C334" t="str">
            <v>145б</v>
          </cell>
          <cell r="F334" t="str">
            <v>УПНП</v>
          </cell>
          <cell r="G334">
            <v>260</v>
          </cell>
          <cell r="H334" t="str">
            <v>ШГН</v>
          </cell>
          <cell r="I334" t="str">
            <v>бд</v>
          </cell>
          <cell r="J334">
            <v>37306</v>
          </cell>
          <cell r="K334">
            <v>0</v>
          </cell>
          <cell r="L334">
            <v>0</v>
          </cell>
          <cell r="M334">
            <v>0</v>
          </cell>
          <cell r="N334">
            <v>40</v>
          </cell>
          <cell r="O334">
            <v>28.7</v>
          </cell>
          <cell r="P334">
            <v>12</v>
          </cell>
          <cell r="Q334">
            <v>16</v>
          </cell>
          <cell r="R334">
            <v>10.199999999999999</v>
          </cell>
          <cell r="S334">
            <v>21.3</v>
          </cell>
          <cell r="T334">
            <v>37858</v>
          </cell>
          <cell r="U334" t="str">
            <v>ГРП</v>
          </cell>
          <cell r="W334" t="str">
            <v>ОТСК,РИР Э/К, ГРП ЮК-10,осв.</v>
          </cell>
          <cell r="AD334">
            <v>37819</v>
          </cell>
          <cell r="AE334">
            <v>37851</v>
          </cell>
        </row>
        <row r="335">
          <cell r="B335">
            <v>2651</v>
          </cell>
          <cell r="C335" t="str">
            <v>157б</v>
          </cell>
          <cell r="F335" t="str">
            <v>УПНПиКРС</v>
          </cell>
          <cell r="G335">
            <v>270</v>
          </cell>
          <cell r="H335" t="str">
            <v>ШГН</v>
          </cell>
          <cell r="I335" t="str">
            <v>конс.</v>
          </cell>
          <cell r="J335">
            <v>35073</v>
          </cell>
          <cell r="K335">
            <v>0</v>
          </cell>
          <cell r="L335">
            <v>0</v>
          </cell>
          <cell r="M335">
            <v>0</v>
          </cell>
          <cell r="N335">
            <v>40</v>
          </cell>
          <cell r="O335">
            <v>28.7</v>
          </cell>
          <cell r="P335">
            <v>12</v>
          </cell>
          <cell r="Q335">
            <v>40</v>
          </cell>
          <cell r="R335">
            <v>28.7</v>
          </cell>
          <cell r="S335">
            <v>11.4</v>
          </cell>
          <cell r="T335">
            <v>37849</v>
          </cell>
          <cell r="U335" t="str">
            <v>ГРП</v>
          </cell>
          <cell r="W335" t="str">
            <v>ВЦ,РИР ЮК-11, щел.перф.ПП ЮК-10, ГРП</v>
          </cell>
          <cell r="AD335">
            <v>37805</v>
          </cell>
          <cell r="AE335">
            <v>37842</v>
          </cell>
        </row>
        <row r="336">
          <cell r="B336">
            <v>5363</v>
          </cell>
          <cell r="C336">
            <v>109</v>
          </cell>
          <cell r="F336" t="str">
            <v>УПНПиКРС</v>
          </cell>
          <cell r="G336">
            <v>270</v>
          </cell>
          <cell r="H336" t="str">
            <v>фон</v>
          </cell>
          <cell r="I336" t="str">
            <v>бд</v>
          </cell>
          <cell r="J336">
            <v>33999</v>
          </cell>
          <cell r="K336">
            <v>0</v>
          </cell>
          <cell r="L336">
            <v>0</v>
          </cell>
          <cell r="M336">
            <v>0</v>
          </cell>
          <cell r="N336">
            <v>50</v>
          </cell>
          <cell r="O336">
            <v>8.1999999999999993</v>
          </cell>
          <cell r="P336">
            <v>80</v>
          </cell>
          <cell r="Q336">
            <v>50</v>
          </cell>
          <cell r="R336">
            <v>8.1999999999999993</v>
          </cell>
          <cell r="S336">
            <v>79.8</v>
          </cell>
          <cell r="T336">
            <v>37845</v>
          </cell>
          <cell r="U336" t="str">
            <v>ОВП</v>
          </cell>
          <cell r="W336" t="str">
            <v>ВЗ,ОТСК,ИР ЮК-11.ПП ЮК-10.ОПЗ.Спуск ЭЦН</v>
          </cell>
          <cell r="AD336">
            <v>37817</v>
          </cell>
          <cell r="AE336">
            <v>37838</v>
          </cell>
        </row>
        <row r="337">
          <cell r="B337">
            <v>5530</v>
          </cell>
          <cell r="C337">
            <v>119</v>
          </cell>
          <cell r="F337" t="str">
            <v>УПНПиКРС</v>
          </cell>
          <cell r="G337">
            <v>275</v>
          </cell>
          <cell r="H337" t="str">
            <v>ЭЦН</v>
          </cell>
          <cell r="I337" t="str">
            <v>конс.</v>
          </cell>
          <cell r="J337">
            <v>34370</v>
          </cell>
          <cell r="K337">
            <v>0</v>
          </cell>
          <cell r="L337">
            <v>0</v>
          </cell>
          <cell r="M337">
            <v>0</v>
          </cell>
          <cell r="N337">
            <v>50</v>
          </cell>
          <cell r="O337">
            <v>9.8000000000000007</v>
          </cell>
          <cell r="P337">
            <v>76</v>
          </cell>
          <cell r="Q337">
            <v>50</v>
          </cell>
          <cell r="R337">
            <v>9.8000000000000007</v>
          </cell>
          <cell r="S337">
            <v>75.8</v>
          </cell>
          <cell r="T337">
            <v>37871</v>
          </cell>
          <cell r="U337" t="str">
            <v>ОВП</v>
          </cell>
          <cell r="W337" t="str">
            <v>ВЦ.ВЗ.ИР ЮК-11.ГДИ.Спуск ЭЦН</v>
          </cell>
          <cell r="AD337">
            <v>37824</v>
          </cell>
          <cell r="AE337">
            <v>37864</v>
          </cell>
        </row>
        <row r="338">
          <cell r="B338">
            <v>5345</v>
          </cell>
          <cell r="C338">
            <v>102</v>
          </cell>
          <cell r="F338" t="str">
            <v>УПНПиКРС</v>
          </cell>
          <cell r="G338">
            <v>250</v>
          </cell>
          <cell r="H338" t="str">
            <v>ЭЦН</v>
          </cell>
          <cell r="I338" t="str">
            <v>бд</v>
          </cell>
          <cell r="J338">
            <v>37209</v>
          </cell>
          <cell r="K338">
            <v>0</v>
          </cell>
          <cell r="L338">
            <v>0</v>
          </cell>
          <cell r="M338">
            <v>0</v>
          </cell>
          <cell r="N338">
            <v>50</v>
          </cell>
          <cell r="O338">
            <v>24.5</v>
          </cell>
          <cell r="P338">
            <v>40</v>
          </cell>
          <cell r="Q338">
            <v>50</v>
          </cell>
          <cell r="R338">
            <v>24.5</v>
          </cell>
          <cell r="S338">
            <v>39.5</v>
          </cell>
          <cell r="T338">
            <v>37837</v>
          </cell>
          <cell r="U338" t="str">
            <v>ГРП</v>
          </cell>
          <cell r="W338" t="str">
            <v>ИР ЮК-10, ПР и ГРП ЮК-2</v>
          </cell>
          <cell r="AD338">
            <v>37815</v>
          </cell>
          <cell r="AE338">
            <v>37830</v>
          </cell>
        </row>
        <row r="339">
          <cell r="B339">
            <v>3187</v>
          </cell>
          <cell r="C339">
            <v>70</v>
          </cell>
          <cell r="F339" t="str">
            <v>УПНПиКРС</v>
          </cell>
          <cell r="G339">
            <v>260</v>
          </cell>
          <cell r="H339" t="str">
            <v>ШГН</v>
          </cell>
          <cell r="I339" t="str">
            <v>конс.</v>
          </cell>
          <cell r="J339">
            <v>33939</v>
          </cell>
          <cell r="K339">
            <v>0</v>
          </cell>
          <cell r="L339">
            <v>0</v>
          </cell>
          <cell r="M339">
            <v>0</v>
          </cell>
          <cell r="N339">
            <v>30</v>
          </cell>
          <cell r="O339">
            <v>11</v>
          </cell>
          <cell r="P339">
            <v>55</v>
          </cell>
          <cell r="Q339">
            <v>30</v>
          </cell>
          <cell r="R339">
            <v>11</v>
          </cell>
          <cell r="S339">
            <v>54.7</v>
          </cell>
          <cell r="T339">
            <v>37868</v>
          </cell>
          <cell r="U339" t="str">
            <v>ВВ</v>
          </cell>
          <cell r="W339" t="str">
            <v>ВЦ. ДП ЮК-11,спуск ЭЦН</v>
          </cell>
          <cell r="AD339">
            <v>37843</v>
          </cell>
          <cell r="AE339">
            <v>37861</v>
          </cell>
        </row>
        <row r="340">
          <cell r="B340">
            <v>2757</v>
          </cell>
          <cell r="C340">
            <v>144</v>
          </cell>
          <cell r="F340" t="str">
            <v>УПНПиКРС</v>
          </cell>
          <cell r="G340">
            <v>270</v>
          </cell>
          <cell r="H340" t="str">
            <v>ЭЦН</v>
          </cell>
          <cell r="I340" t="str">
            <v>действ.</v>
          </cell>
          <cell r="K340">
            <v>16</v>
          </cell>
          <cell r="L340">
            <v>1.8</v>
          </cell>
          <cell r="M340">
            <v>86</v>
          </cell>
          <cell r="N340">
            <v>80</v>
          </cell>
          <cell r="O340">
            <v>13</v>
          </cell>
          <cell r="P340">
            <v>80</v>
          </cell>
          <cell r="Q340">
            <v>64</v>
          </cell>
          <cell r="R340">
            <v>11.2</v>
          </cell>
          <cell r="S340">
            <v>78.400000000000006</v>
          </cell>
          <cell r="T340">
            <v>37861</v>
          </cell>
          <cell r="U340" t="str">
            <v>ВВ</v>
          </cell>
          <cell r="W340" t="str">
            <v>ПП ЮК-10,ДП ЮК-11,ГДИ спск ЭЦН</v>
          </cell>
          <cell r="AD340">
            <v>37844</v>
          </cell>
          <cell r="AE340">
            <v>37854</v>
          </cell>
        </row>
        <row r="341">
          <cell r="B341">
            <v>2649</v>
          </cell>
          <cell r="C341" t="str">
            <v>157б</v>
          </cell>
          <cell r="F341" t="str">
            <v>УПНПиКРС</v>
          </cell>
          <cell r="G341">
            <v>235</v>
          </cell>
          <cell r="H341" t="str">
            <v>ШГН</v>
          </cell>
          <cell r="I341" t="str">
            <v>действ.</v>
          </cell>
          <cell r="K341">
            <v>7</v>
          </cell>
          <cell r="L341">
            <v>5.5</v>
          </cell>
          <cell r="M341">
            <v>3</v>
          </cell>
          <cell r="N341">
            <v>40</v>
          </cell>
          <cell r="O341">
            <v>28.7</v>
          </cell>
          <cell r="P341">
            <v>12</v>
          </cell>
          <cell r="Q341">
            <v>33</v>
          </cell>
          <cell r="R341">
            <v>23.2</v>
          </cell>
          <cell r="S341">
            <v>13.2</v>
          </cell>
          <cell r="T341">
            <v>37832</v>
          </cell>
          <cell r="U341" t="str">
            <v>ГРП</v>
          </cell>
          <cell r="W341" t="str">
            <v>ПП ЮК-10,ГРП,осв.</v>
          </cell>
          <cell r="AD341">
            <v>37815</v>
          </cell>
          <cell r="AE341">
            <v>37825</v>
          </cell>
          <cell r="AF341">
            <v>14</v>
          </cell>
          <cell r="AG341">
            <v>-75664</v>
          </cell>
          <cell r="AH341">
            <v>-113496</v>
          </cell>
        </row>
        <row r="342">
          <cell r="B342">
            <v>5677</v>
          </cell>
          <cell r="C342">
            <v>125</v>
          </cell>
          <cell r="F342" t="str">
            <v>УПНПиКРС</v>
          </cell>
          <cell r="G342">
            <v>260</v>
          </cell>
          <cell r="H342" t="str">
            <v>ШГН</v>
          </cell>
          <cell r="I342" t="str">
            <v>бд</v>
          </cell>
          <cell r="J342">
            <v>35170</v>
          </cell>
          <cell r="K342">
            <v>0</v>
          </cell>
          <cell r="L342">
            <v>0</v>
          </cell>
          <cell r="M342">
            <v>0</v>
          </cell>
          <cell r="N342">
            <v>50</v>
          </cell>
          <cell r="O342">
            <v>11</v>
          </cell>
          <cell r="P342">
            <v>73</v>
          </cell>
          <cell r="Q342">
            <v>50</v>
          </cell>
          <cell r="R342">
            <v>11</v>
          </cell>
          <cell r="S342">
            <v>72.8</v>
          </cell>
          <cell r="T342">
            <v>37871</v>
          </cell>
          <cell r="U342" t="str">
            <v>ВВ</v>
          </cell>
          <cell r="W342" t="str">
            <v>ЛА.ЛЗКЦ.ПП,ДП,ОПЗ,СП ЭЦН</v>
          </cell>
          <cell r="AD342">
            <v>37826</v>
          </cell>
          <cell r="AE342">
            <v>37864</v>
          </cell>
          <cell r="AF342">
            <v>15</v>
          </cell>
          <cell r="AG342" t="e">
            <v>#REF!</v>
          </cell>
          <cell r="AH342" t="e">
            <v>#REF!</v>
          </cell>
        </row>
        <row r="343">
          <cell r="B343">
            <v>5642</v>
          </cell>
          <cell r="C343">
            <v>126</v>
          </cell>
          <cell r="F343" t="str">
            <v>УПНПиКРС</v>
          </cell>
          <cell r="G343">
            <v>230</v>
          </cell>
          <cell r="H343" t="str">
            <v>ШГН</v>
          </cell>
          <cell r="I343" t="str">
            <v>бд</v>
          </cell>
          <cell r="J343">
            <v>36997</v>
          </cell>
          <cell r="K343">
            <v>0</v>
          </cell>
          <cell r="L343">
            <v>0</v>
          </cell>
          <cell r="M343">
            <v>0</v>
          </cell>
          <cell r="N343">
            <v>13</v>
          </cell>
          <cell r="O343">
            <v>9.9</v>
          </cell>
          <cell r="P343">
            <v>7</v>
          </cell>
          <cell r="Q343">
            <v>13</v>
          </cell>
          <cell r="R343">
            <v>9.9</v>
          </cell>
          <cell r="S343">
            <v>6</v>
          </cell>
          <cell r="T343">
            <v>37877</v>
          </cell>
          <cell r="U343" t="str">
            <v>ВЦ</v>
          </cell>
          <cell r="W343" t="str">
            <v>ВЦ ,ОПЗ МШУ.ГДИ.Сп.НВ-44</v>
          </cell>
          <cell r="AD343">
            <v>37852</v>
          </cell>
          <cell r="AE343">
            <v>37870</v>
          </cell>
        </row>
        <row r="344">
          <cell r="B344">
            <v>5401</v>
          </cell>
          <cell r="C344">
            <v>103</v>
          </cell>
          <cell r="F344" t="str">
            <v>УПНПиКРС</v>
          </cell>
          <cell r="G344">
            <v>265</v>
          </cell>
          <cell r="H344" t="str">
            <v>ШГН</v>
          </cell>
          <cell r="I344" t="str">
            <v>конс.</v>
          </cell>
          <cell r="J344">
            <v>32843</v>
          </cell>
          <cell r="K344">
            <v>0</v>
          </cell>
          <cell r="L344">
            <v>0</v>
          </cell>
          <cell r="M344">
            <v>0</v>
          </cell>
          <cell r="N344">
            <v>30</v>
          </cell>
          <cell r="O344">
            <v>12</v>
          </cell>
          <cell r="P344">
            <v>51</v>
          </cell>
          <cell r="Q344">
            <v>30</v>
          </cell>
          <cell r="R344">
            <v>12</v>
          </cell>
          <cell r="S344">
            <v>50.6</v>
          </cell>
          <cell r="T344">
            <v>37933</v>
          </cell>
          <cell r="U344" t="str">
            <v>ВЦ</v>
          </cell>
          <cell r="W344" t="str">
            <v>ВЦ,ИР ЮК-10,ОПР ЮК-1,ОПЗ,ГДИ</v>
          </cell>
          <cell r="AD344">
            <v>37888</v>
          </cell>
          <cell r="AE344">
            <v>37926</v>
          </cell>
        </row>
        <row r="345">
          <cell r="B345">
            <v>3745</v>
          </cell>
          <cell r="C345">
            <v>76</v>
          </cell>
          <cell r="F345" t="str">
            <v>УПНПиКРС</v>
          </cell>
          <cell r="G345">
            <v>230</v>
          </cell>
          <cell r="H345" t="str">
            <v>ЭЦН</v>
          </cell>
          <cell r="I345" t="str">
            <v>бд</v>
          </cell>
          <cell r="J345">
            <v>37653</v>
          </cell>
          <cell r="K345">
            <v>44</v>
          </cell>
          <cell r="L345">
            <v>3.2</v>
          </cell>
          <cell r="M345">
            <v>91</v>
          </cell>
          <cell r="N345">
            <v>44</v>
          </cell>
          <cell r="O345">
            <v>3.2</v>
          </cell>
          <cell r="P345">
            <v>91</v>
          </cell>
          <cell r="Q345">
            <v>44</v>
          </cell>
          <cell r="R345">
            <v>3.2</v>
          </cell>
          <cell r="S345">
            <v>91</v>
          </cell>
          <cell r="T345">
            <v>37876</v>
          </cell>
          <cell r="U345" t="str">
            <v>ЛА</v>
          </cell>
          <cell r="W345" t="str">
            <v>ОТСК.ЛА.Сп.ЭЦН</v>
          </cell>
          <cell r="AD345">
            <v>37847</v>
          </cell>
          <cell r="AE345">
            <v>37869</v>
          </cell>
        </row>
        <row r="346">
          <cell r="B346">
            <v>2816</v>
          </cell>
          <cell r="C346">
            <v>145</v>
          </cell>
          <cell r="F346" t="str">
            <v>УПНПиКРС</v>
          </cell>
          <cell r="G346">
            <v>270</v>
          </cell>
          <cell r="H346" t="str">
            <v>Ф/Э</v>
          </cell>
          <cell r="I346" t="str">
            <v>конс.</v>
          </cell>
          <cell r="J346">
            <v>34060</v>
          </cell>
          <cell r="K346">
            <v>0</v>
          </cell>
          <cell r="L346">
            <v>0</v>
          </cell>
          <cell r="M346">
            <v>0</v>
          </cell>
          <cell r="N346">
            <v>50</v>
          </cell>
          <cell r="O346">
            <v>8.1999999999999993</v>
          </cell>
          <cell r="P346">
            <v>80</v>
          </cell>
          <cell r="Q346">
            <v>50</v>
          </cell>
          <cell r="R346">
            <v>8.1999999999999993</v>
          </cell>
          <cell r="S346">
            <v>79.8</v>
          </cell>
          <cell r="T346">
            <v>37901</v>
          </cell>
          <cell r="U346" t="str">
            <v>ВЦ</v>
          </cell>
          <cell r="W346" t="str">
            <v>ВЦ.ВЗ.ПП.ЮК10</v>
          </cell>
          <cell r="Y346" t="str">
            <v>комплект</v>
          </cell>
          <cell r="AD346">
            <v>37870</v>
          </cell>
          <cell r="AE346">
            <v>37894</v>
          </cell>
        </row>
        <row r="347">
          <cell r="B347">
            <v>2689</v>
          </cell>
          <cell r="C347">
            <v>160</v>
          </cell>
          <cell r="F347" t="str">
            <v>УПНПиКРС</v>
          </cell>
          <cell r="G347">
            <v>240</v>
          </cell>
          <cell r="H347" t="str">
            <v>ШГН</v>
          </cell>
          <cell r="I347" t="str">
            <v>конс.</v>
          </cell>
          <cell r="J347">
            <v>33239</v>
          </cell>
          <cell r="K347">
            <v>0</v>
          </cell>
          <cell r="L347">
            <v>0</v>
          </cell>
          <cell r="M347">
            <v>0</v>
          </cell>
          <cell r="N347">
            <v>40</v>
          </cell>
          <cell r="O347">
            <v>25.5</v>
          </cell>
          <cell r="P347">
            <v>21.8</v>
          </cell>
          <cell r="Q347">
            <v>40</v>
          </cell>
          <cell r="R347">
            <v>25.5</v>
          </cell>
          <cell r="S347">
            <v>21.3</v>
          </cell>
          <cell r="T347">
            <v>37904</v>
          </cell>
          <cell r="U347" t="str">
            <v>грп</v>
          </cell>
          <cell r="W347" t="str">
            <v>ВЦ,ГИС,ИР,ПР ГРП ЮК-10</v>
          </cell>
          <cell r="Y347" t="str">
            <v>Полет НКТ</v>
          </cell>
          <cell r="AD347">
            <v>37860</v>
          </cell>
          <cell r="AE347">
            <v>37897</v>
          </cell>
        </row>
        <row r="348">
          <cell r="B348">
            <v>5592</v>
          </cell>
          <cell r="C348" t="str">
            <v>119б</v>
          </cell>
          <cell r="F348" t="str">
            <v>УПНПиКРС</v>
          </cell>
          <cell r="G348">
            <v>260</v>
          </cell>
          <cell r="H348" t="str">
            <v>ЭЦН</v>
          </cell>
          <cell r="I348" t="str">
            <v>действ.</v>
          </cell>
          <cell r="K348">
            <v>26</v>
          </cell>
          <cell r="L348">
            <v>14.6</v>
          </cell>
          <cell r="M348">
            <v>31</v>
          </cell>
          <cell r="N348">
            <v>50</v>
          </cell>
          <cell r="O348">
            <v>39.5</v>
          </cell>
          <cell r="P348">
            <v>3</v>
          </cell>
          <cell r="Q348">
            <v>24</v>
          </cell>
          <cell r="R348">
            <v>24.9</v>
          </cell>
          <cell r="S348">
            <v>-28.1</v>
          </cell>
          <cell r="T348">
            <v>37889</v>
          </cell>
          <cell r="U348" t="str">
            <v>ГРП</v>
          </cell>
          <cell r="W348" t="str">
            <v>ПР к ГРП.ГРП ЮК10</v>
          </cell>
          <cell r="AD348">
            <v>37865</v>
          </cell>
          <cell r="AE348">
            <v>37882</v>
          </cell>
        </row>
        <row r="349">
          <cell r="B349">
            <v>3141</v>
          </cell>
          <cell r="C349" t="str">
            <v>50б</v>
          </cell>
          <cell r="F349" t="str">
            <v>УПНПиКРС</v>
          </cell>
          <cell r="G349">
            <v>260</v>
          </cell>
          <cell r="H349" t="str">
            <v>ЭЦН</v>
          </cell>
          <cell r="I349" t="str">
            <v>конс.</v>
          </cell>
          <cell r="J349">
            <v>34943</v>
          </cell>
          <cell r="K349">
            <v>0</v>
          </cell>
          <cell r="L349">
            <v>0</v>
          </cell>
          <cell r="M349">
            <v>0</v>
          </cell>
          <cell r="N349">
            <v>30</v>
          </cell>
          <cell r="O349">
            <v>11</v>
          </cell>
          <cell r="P349">
            <v>55</v>
          </cell>
          <cell r="Q349">
            <v>30</v>
          </cell>
          <cell r="R349">
            <v>11</v>
          </cell>
          <cell r="S349">
            <v>54.7</v>
          </cell>
          <cell r="T349">
            <v>37882</v>
          </cell>
          <cell r="U349" t="str">
            <v>ВВ</v>
          </cell>
          <cell r="W349" t="str">
            <v>ВЦ.ОТСК.ПП ЮК10.ДП ЮК 2-3</v>
          </cell>
          <cell r="AD349">
            <v>37854</v>
          </cell>
          <cell r="AE349">
            <v>37875</v>
          </cell>
        </row>
        <row r="350">
          <cell r="B350">
            <v>5397</v>
          </cell>
          <cell r="C350">
            <v>102</v>
          </cell>
          <cell r="F350" t="str">
            <v>УПНПиКРС</v>
          </cell>
          <cell r="G350">
            <v>250</v>
          </cell>
          <cell r="H350" t="str">
            <v>Ф/Э</v>
          </cell>
          <cell r="I350" t="str">
            <v>бд</v>
          </cell>
          <cell r="J350">
            <v>33967</v>
          </cell>
          <cell r="K350">
            <v>0</v>
          </cell>
          <cell r="L350">
            <v>0</v>
          </cell>
          <cell r="M350">
            <v>0</v>
          </cell>
          <cell r="N350">
            <v>80</v>
          </cell>
          <cell r="O350">
            <v>9.8000000000000007</v>
          </cell>
          <cell r="P350">
            <v>85</v>
          </cell>
          <cell r="Q350">
            <v>80</v>
          </cell>
          <cell r="R350">
            <v>9.8000000000000007</v>
          </cell>
          <cell r="S350">
            <v>84.9</v>
          </cell>
          <cell r="T350">
            <v>37847</v>
          </cell>
          <cell r="U350" t="str">
            <v>ЛА</v>
          </cell>
          <cell r="W350" t="str">
            <v>ЛА.(из.ЭЦН).Сп. Э-80.</v>
          </cell>
          <cell r="AD350">
            <v>37845</v>
          </cell>
          <cell r="AE350">
            <v>37840</v>
          </cell>
        </row>
        <row r="351">
          <cell r="B351">
            <v>3209</v>
          </cell>
          <cell r="C351">
            <v>70</v>
          </cell>
          <cell r="F351" t="str">
            <v>УПНПиКРС</v>
          </cell>
          <cell r="G351">
            <v>260</v>
          </cell>
          <cell r="H351" t="str">
            <v>ШГН</v>
          </cell>
          <cell r="I351" t="str">
            <v>действ.</v>
          </cell>
          <cell r="K351">
            <v>4</v>
          </cell>
          <cell r="L351">
            <v>2.7</v>
          </cell>
          <cell r="M351">
            <v>16.7</v>
          </cell>
          <cell r="N351">
            <v>55</v>
          </cell>
          <cell r="O351">
            <v>20.7</v>
          </cell>
          <cell r="P351">
            <v>53.5</v>
          </cell>
          <cell r="Q351">
            <v>51</v>
          </cell>
          <cell r="R351">
            <v>18</v>
          </cell>
          <cell r="S351">
            <v>56.4</v>
          </cell>
          <cell r="T351">
            <v>38661</v>
          </cell>
          <cell r="U351" t="str">
            <v>ГРП</v>
          </cell>
          <cell r="W351" t="str">
            <v>ГРП ЮК-10</v>
          </cell>
          <cell r="AD351">
            <v>37854</v>
          </cell>
          <cell r="AE351">
            <v>37876</v>
          </cell>
        </row>
        <row r="353">
          <cell r="B353">
            <v>2918</v>
          </cell>
          <cell r="C353">
            <v>43</v>
          </cell>
          <cell r="F353" t="str">
            <v>Уват УПНПиКРС</v>
          </cell>
          <cell r="G353">
            <v>270</v>
          </cell>
          <cell r="H353" t="str">
            <v>ШГН</v>
          </cell>
          <cell r="I353" t="str">
            <v>бд</v>
          </cell>
          <cell r="J353">
            <v>37010</v>
          </cell>
          <cell r="K353">
            <v>0</v>
          </cell>
          <cell r="L353">
            <v>0</v>
          </cell>
          <cell r="M353">
            <v>0</v>
          </cell>
          <cell r="N353">
            <v>80</v>
          </cell>
          <cell r="O353">
            <v>24.8</v>
          </cell>
          <cell r="P353">
            <v>62</v>
          </cell>
          <cell r="Q353">
            <v>80</v>
          </cell>
          <cell r="R353">
            <v>24.8</v>
          </cell>
          <cell r="S353">
            <v>61.7</v>
          </cell>
          <cell r="T353">
            <v>38188</v>
          </cell>
          <cell r="U353" t="str">
            <v>ГРП</v>
          </cell>
          <cell r="W353" t="str">
            <v>ВЦ.ПП.ГРП ЮК-10.Сп.ЭЦН</v>
          </cell>
          <cell r="AD353">
            <v>37845</v>
          </cell>
          <cell r="AE353">
            <v>38181</v>
          </cell>
          <cell r="AF353">
            <v>35</v>
          </cell>
        </row>
        <row r="354">
          <cell r="B354">
            <v>5533</v>
          </cell>
          <cell r="C354">
            <v>110</v>
          </cell>
          <cell r="F354" t="str">
            <v>Уват УПНПиКРС</v>
          </cell>
          <cell r="G354">
            <v>255</v>
          </cell>
          <cell r="H354" t="str">
            <v>ЭЦН</v>
          </cell>
          <cell r="I354" t="str">
            <v>конс.</v>
          </cell>
          <cell r="J354">
            <v>33572</v>
          </cell>
          <cell r="K354">
            <v>0</v>
          </cell>
          <cell r="L354">
            <v>0</v>
          </cell>
          <cell r="M354">
            <v>0</v>
          </cell>
          <cell r="N354">
            <v>50</v>
          </cell>
          <cell r="O354">
            <v>10</v>
          </cell>
          <cell r="P354">
            <v>75.5</v>
          </cell>
          <cell r="Q354">
            <v>50</v>
          </cell>
          <cell r="R354">
            <v>10</v>
          </cell>
          <cell r="S354">
            <v>75.3</v>
          </cell>
          <cell r="T354">
            <v>37843</v>
          </cell>
          <cell r="U354" t="str">
            <v>ОВП</v>
          </cell>
          <cell r="W354" t="str">
            <v>РИР Э/К.ПП ЮК-10.сп.ЭЦН</v>
          </cell>
          <cell r="AD354">
            <v>37810</v>
          </cell>
          <cell r="AE354">
            <v>37836</v>
          </cell>
        </row>
        <row r="355">
          <cell r="B355">
            <v>5653</v>
          </cell>
          <cell r="C355">
            <v>123</v>
          </cell>
          <cell r="F355" t="str">
            <v>Уват УПНПиКРС</v>
          </cell>
          <cell r="G355">
            <v>260</v>
          </cell>
          <cell r="H355" t="str">
            <v>ЭЦН</v>
          </cell>
          <cell r="I355" t="str">
            <v>бд</v>
          </cell>
          <cell r="J355">
            <v>35125</v>
          </cell>
          <cell r="K355">
            <v>0</v>
          </cell>
          <cell r="L355">
            <v>0</v>
          </cell>
          <cell r="M355">
            <v>0</v>
          </cell>
          <cell r="N355">
            <v>80</v>
          </cell>
          <cell r="O355">
            <v>11.1</v>
          </cell>
          <cell r="P355">
            <v>83</v>
          </cell>
          <cell r="Q355">
            <v>80</v>
          </cell>
          <cell r="R355">
            <v>11.1</v>
          </cell>
          <cell r="S355">
            <v>82.9</v>
          </cell>
          <cell r="T355">
            <v>37874</v>
          </cell>
          <cell r="U355" t="str">
            <v>ВВ</v>
          </cell>
          <cell r="W355" t="str">
            <v>ГИС-2.РИР.ДП.ЮК2-3.Сп.ЭЦН</v>
          </cell>
          <cell r="AD355">
            <v>37837</v>
          </cell>
          <cell r="AE355">
            <v>37867</v>
          </cell>
        </row>
        <row r="356">
          <cell r="B356">
            <v>2753</v>
          </cell>
          <cell r="C356">
            <v>145</v>
          </cell>
          <cell r="F356" t="str">
            <v>Уват УПНПиКРС</v>
          </cell>
          <cell r="G356">
            <v>280</v>
          </cell>
          <cell r="H356" t="str">
            <v>ЭЦН</v>
          </cell>
          <cell r="I356" t="str">
            <v>бд</v>
          </cell>
          <cell r="J356">
            <v>33056</v>
          </cell>
          <cell r="K356">
            <v>0</v>
          </cell>
          <cell r="L356">
            <v>0</v>
          </cell>
          <cell r="M356">
            <v>0</v>
          </cell>
          <cell r="N356">
            <v>30</v>
          </cell>
          <cell r="O356">
            <v>8.6</v>
          </cell>
          <cell r="P356">
            <v>65</v>
          </cell>
          <cell r="Q356">
            <v>30</v>
          </cell>
          <cell r="R356">
            <v>8.6</v>
          </cell>
          <cell r="S356">
            <v>64.599999999999994</v>
          </cell>
          <cell r="T356">
            <v>37851</v>
          </cell>
          <cell r="U356" t="str">
            <v>ВВ</v>
          </cell>
          <cell r="W356" t="str">
            <v>ВЦ, ПП ЮК-10,ДП ЮК-11.ГИС-2</v>
          </cell>
          <cell r="AD356">
            <v>37814</v>
          </cell>
          <cell r="AE356">
            <v>37844</v>
          </cell>
        </row>
        <row r="357">
          <cell r="B357">
            <v>5706</v>
          </cell>
          <cell r="C357">
            <v>125</v>
          </cell>
          <cell r="F357" t="str">
            <v>УПНПиКРС</v>
          </cell>
          <cell r="G357">
            <v>250</v>
          </cell>
          <cell r="H357" t="str">
            <v>ШГН</v>
          </cell>
          <cell r="I357" t="str">
            <v>конс.</v>
          </cell>
          <cell r="J357">
            <v>32843</v>
          </cell>
          <cell r="K357">
            <v>0</v>
          </cell>
          <cell r="L357">
            <v>0</v>
          </cell>
          <cell r="M357">
            <v>0</v>
          </cell>
          <cell r="N357">
            <v>30</v>
          </cell>
          <cell r="O357">
            <v>8.6</v>
          </cell>
          <cell r="P357">
            <v>65</v>
          </cell>
          <cell r="Q357">
            <v>30</v>
          </cell>
          <cell r="R357">
            <v>8.6</v>
          </cell>
          <cell r="S357">
            <v>64.599999999999994</v>
          </cell>
          <cell r="T357">
            <v>38021</v>
          </cell>
          <cell r="U357" t="str">
            <v>ВЦ</v>
          </cell>
          <cell r="W357" t="str">
            <v>ВЦ.ПП ЮК-10.МШУ.Сп.Э-30</v>
          </cell>
          <cell r="AD357">
            <v>37992</v>
          </cell>
          <cell r="AE357">
            <v>38014</v>
          </cell>
          <cell r="AF357">
            <v>28</v>
          </cell>
        </row>
        <row r="358">
          <cell r="B358">
            <v>2845</v>
          </cell>
          <cell r="C358">
            <v>128</v>
          </cell>
          <cell r="F358" t="str">
            <v>УПНПиКРС</v>
          </cell>
          <cell r="G358">
            <v>270</v>
          </cell>
          <cell r="H358" t="str">
            <v>Ф/Э</v>
          </cell>
          <cell r="I358" t="str">
            <v>бд</v>
          </cell>
          <cell r="J358">
            <v>33525</v>
          </cell>
          <cell r="K358">
            <v>0</v>
          </cell>
          <cell r="L358">
            <v>0</v>
          </cell>
          <cell r="M358">
            <v>0</v>
          </cell>
          <cell r="N358">
            <v>80</v>
          </cell>
          <cell r="O358">
            <v>9.1</v>
          </cell>
          <cell r="P358">
            <v>86</v>
          </cell>
          <cell r="Q358">
            <v>80</v>
          </cell>
          <cell r="R358">
            <v>9.1</v>
          </cell>
          <cell r="S358">
            <v>86</v>
          </cell>
          <cell r="T358">
            <v>38042</v>
          </cell>
          <cell r="U358" t="str">
            <v>ЛА</v>
          </cell>
          <cell r="W358" t="str">
            <v>ЛА.ИР ЮК-11.ПП ЮК-10.Сп.Э-80</v>
          </cell>
          <cell r="AD358">
            <v>38009</v>
          </cell>
          <cell r="AE358">
            <v>38035</v>
          </cell>
        </row>
        <row r="359">
          <cell r="B359">
            <v>2867</v>
          </cell>
          <cell r="C359">
            <v>129</v>
          </cell>
          <cell r="F359" t="str">
            <v>УПНПиКРС</v>
          </cell>
          <cell r="G359">
            <v>270</v>
          </cell>
          <cell r="H359" t="str">
            <v>ШГН</v>
          </cell>
          <cell r="I359" t="str">
            <v>бд</v>
          </cell>
          <cell r="J359">
            <v>37562</v>
          </cell>
          <cell r="K359">
            <v>0</v>
          </cell>
          <cell r="L359">
            <v>0</v>
          </cell>
          <cell r="M359">
            <v>0</v>
          </cell>
          <cell r="N359">
            <v>80</v>
          </cell>
          <cell r="O359">
            <v>22.8</v>
          </cell>
          <cell r="P359">
            <v>65</v>
          </cell>
          <cell r="Q359">
            <v>80</v>
          </cell>
          <cell r="R359">
            <v>22.8</v>
          </cell>
          <cell r="S359">
            <v>64.8</v>
          </cell>
          <cell r="T359">
            <v>38082</v>
          </cell>
          <cell r="U359" t="str">
            <v>ГРП</v>
          </cell>
          <cell r="W359" t="str">
            <v>ЛА.ГИС-2.РИР ЭК.ПП ЮК-10.ГРП ЮК-10.Сп.Э-80</v>
          </cell>
          <cell r="AD359">
            <v>37986</v>
          </cell>
          <cell r="AE359">
            <v>38075</v>
          </cell>
        </row>
        <row r="360">
          <cell r="B360">
            <v>2988</v>
          </cell>
          <cell r="C360">
            <v>46</v>
          </cell>
          <cell r="F360" t="str">
            <v>УПНПиКРС</v>
          </cell>
          <cell r="G360">
            <v>270</v>
          </cell>
          <cell r="H360" t="str">
            <v>фон</v>
          </cell>
          <cell r="I360" t="str">
            <v>бд</v>
          </cell>
          <cell r="J360">
            <v>34883</v>
          </cell>
          <cell r="K360">
            <v>0</v>
          </cell>
          <cell r="L360">
            <v>0</v>
          </cell>
          <cell r="M360">
            <v>0</v>
          </cell>
          <cell r="N360">
            <v>30</v>
          </cell>
          <cell r="O360">
            <v>8.6</v>
          </cell>
          <cell r="P360">
            <v>65</v>
          </cell>
          <cell r="Q360">
            <v>30</v>
          </cell>
          <cell r="R360">
            <v>8.6</v>
          </cell>
          <cell r="S360">
            <v>64.599999999999994</v>
          </cell>
          <cell r="T360">
            <v>38058</v>
          </cell>
          <cell r="U360" t="str">
            <v>ВЦ</v>
          </cell>
          <cell r="W360" t="str">
            <v>ВЦ.ЛА.ИР ЮК-11.ПП ЮК-10.Сп.Э-30</v>
          </cell>
          <cell r="AD360">
            <v>38013</v>
          </cell>
          <cell r="AE360">
            <v>38051</v>
          </cell>
        </row>
        <row r="362">
          <cell r="B362">
            <v>5529</v>
          </cell>
          <cell r="C362" t="str">
            <v>119б</v>
          </cell>
          <cell r="F362" t="str">
            <v>УПНПиКРС</v>
          </cell>
          <cell r="G362">
            <v>270</v>
          </cell>
          <cell r="H362" t="str">
            <v>фон</v>
          </cell>
          <cell r="I362" t="str">
            <v>конс.</v>
          </cell>
          <cell r="J362">
            <v>35948</v>
          </cell>
          <cell r="T362">
            <v>38039</v>
          </cell>
          <cell r="U362" t="str">
            <v>НГ</v>
          </cell>
          <cell r="W362" t="str">
            <v>Перевод в ППД</v>
          </cell>
        </row>
        <row r="363">
          <cell r="B363">
            <v>2935</v>
          </cell>
          <cell r="C363">
            <v>43</v>
          </cell>
          <cell r="F363" t="str">
            <v>УПНПиКРС</v>
          </cell>
          <cell r="G363">
            <v>275</v>
          </cell>
          <cell r="H363" t="str">
            <v>нагнет.</v>
          </cell>
          <cell r="I363" t="str">
            <v>бд</v>
          </cell>
          <cell r="J363">
            <v>36831</v>
          </cell>
          <cell r="T363">
            <v>38071</v>
          </cell>
          <cell r="U363" t="str">
            <v>НГ</v>
          </cell>
          <cell r="W363" t="str">
            <v>ОТСК.ГИС-3.ГКО.Сп.пакера ППД.</v>
          </cell>
        </row>
        <row r="364">
          <cell r="B364">
            <v>11083</v>
          </cell>
          <cell r="C364" t="str">
            <v>308б</v>
          </cell>
          <cell r="F364" t="str">
            <v>ПРС</v>
          </cell>
          <cell r="G364">
            <v>250</v>
          </cell>
          <cell r="H364" t="str">
            <v>ЭЦН</v>
          </cell>
          <cell r="I364" t="str">
            <v>бд</v>
          </cell>
          <cell r="J364">
            <v>37914</v>
          </cell>
          <cell r="K364">
            <v>0</v>
          </cell>
          <cell r="L364">
            <v>0</v>
          </cell>
          <cell r="M364">
            <v>0</v>
          </cell>
          <cell r="N364">
            <v>14</v>
          </cell>
          <cell r="O364">
            <v>4</v>
          </cell>
          <cell r="P364">
            <v>65</v>
          </cell>
          <cell r="Q364">
            <v>14</v>
          </cell>
          <cell r="R364">
            <v>4</v>
          </cell>
          <cell r="S364">
            <v>64.7</v>
          </cell>
          <cell r="T364">
            <v>38056</v>
          </cell>
          <cell r="U364" t="str">
            <v>ВЦД</v>
          </cell>
          <cell r="W364" t="str">
            <v>ВЦ,см.ВНН-25/НВ-44</v>
          </cell>
          <cell r="AE364">
            <v>38049</v>
          </cell>
        </row>
        <row r="365">
          <cell r="B365">
            <v>2685</v>
          </cell>
          <cell r="C365" t="str">
            <v>160б</v>
          </cell>
          <cell r="F365" t="str">
            <v>ПРС</v>
          </cell>
          <cell r="G365">
            <v>275</v>
          </cell>
          <cell r="H365" t="str">
            <v>ЭЦН</v>
          </cell>
          <cell r="I365" t="str">
            <v>бд</v>
          </cell>
          <cell r="J365">
            <v>37979</v>
          </cell>
          <cell r="K365">
            <v>0</v>
          </cell>
          <cell r="L365">
            <v>0</v>
          </cell>
          <cell r="M365">
            <v>0</v>
          </cell>
          <cell r="N365">
            <v>14</v>
          </cell>
          <cell r="O365">
            <v>5.7</v>
          </cell>
          <cell r="P365">
            <v>50</v>
          </cell>
          <cell r="Q365">
            <v>14</v>
          </cell>
          <cell r="R365">
            <v>5.7</v>
          </cell>
          <cell r="S365">
            <v>49.7</v>
          </cell>
          <cell r="T365">
            <v>38071</v>
          </cell>
          <cell r="U365" t="str">
            <v>ВЦД</v>
          </cell>
          <cell r="W365" t="str">
            <v>ВЦ.Смена Э-30/НВ-44</v>
          </cell>
          <cell r="AE365">
            <v>38064</v>
          </cell>
        </row>
        <row r="366">
          <cell r="B366">
            <v>3619</v>
          </cell>
          <cell r="C366">
            <v>76</v>
          </cell>
          <cell r="F366" t="str">
            <v>ПРС</v>
          </cell>
          <cell r="G366">
            <v>240</v>
          </cell>
          <cell r="H366" t="str">
            <v>ЭЦН</v>
          </cell>
          <cell r="I366" t="str">
            <v>бдтг</v>
          </cell>
          <cell r="J366">
            <v>38006</v>
          </cell>
          <cell r="K366">
            <v>0</v>
          </cell>
          <cell r="L366">
            <v>0</v>
          </cell>
          <cell r="M366">
            <v>0</v>
          </cell>
          <cell r="N366">
            <v>49</v>
          </cell>
          <cell r="O366">
            <v>1.2</v>
          </cell>
          <cell r="P366">
            <v>97</v>
          </cell>
          <cell r="Q366">
            <v>49</v>
          </cell>
          <cell r="R366">
            <v>1.2</v>
          </cell>
          <cell r="S366">
            <v>97</v>
          </cell>
          <cell r="T366">
            <v>38055</v>
          </cell>
          <cell r="U366" t="str">
            <v>БДП</v>
          </cell>
          <cell r="W366" t="str">
            <v>Смена Э-50</v>
          </cell>
          <cell r="AE366">
            <v>38048</v>
          </cell>
        </row>
        <row r="367">
          <cell r="B367">
            <v>2941</v>
          </cell>
          <cell r="C367">
            <v>46</v>
          </cell>
          <cell r="F367" t="str">
            <v>УПНПиКРС</v>
          </cell>
          <cell r="G367">
            <v>250</v>
          </cell>
          <cell r="H367" t="str">
            <v>ШГН</v>
          </cell>
          <cell r="I367" t="str">
            <v>действ.</v>
          </cell>
          <cell r="K367">
            <v>8</v>
          </cell>
          <cell r="L367">
            <v>4.5999999999999996</v>
          </cell>
          <cell r="M367">
            <v>29</v>
          </cell>
          <cell r="N367">
            <v>50</v>
          </cell>
          <cell r="O367">
            <v>28.9</v>
          </cell>
          <cell r="P367">
            <v>29</v>
          </cell>
          <cell r="Q367">
            <v>42</v>
          </cell>
          <cell r="R367">
            <v>24.3</v>
          </cell>
          <cell r="S367">
            <v>28.6</v>
          </cell>
          <cell r="T367">
            <v>38106</v>
          </cell>
          <cell r="U367" t="str">
            <v>ГРП</v>
          </cell>
          <cell r="W367" t="str">
            <v>ГРП ЮК-10.Сп. ЭЦН-50.</v>
          </cell>
          <cell r="AD367">
            <v>38080</v>
          </cell>
          <cell r="AE367">
            <v>38099</v>
          </cell>
        </row>
        <row r="368">
          <cell r="B368">
            <v>2922</v>
          </cell>
          <cell r="C368" t="str">
            <v>43б</v>
          </cell>
          <cell r="F368" t="str">
            <v>УПНПиКРС</v>
          </cell>
          <cell r="G368">
            <v>270</v>
          </cell>
          <cell r="H368" t="str">
            <v>ЭЦН</v>
          </cell>
          <cell r="I368" t="str">
            <v>действ.</v>
          </cell>
          <cell r="K368">
            <v>16</v>
          </cell>
          <cell r="L368">
            <v>7.6</v>
          </cell>
          <cell r="M368">
            <v>42</v>
          </cell>
          <cell r="N368">
            <v>80</v>
          </cell>
          <cell r="O368">
            <v>33.9</v>
          </cell>
          <cell r="P368">
            <v>48</v>
          </cell>
          <cell r="Q368">
            <v>64</v>
          </cell>
          <cell r="R368">
            <v>26.3</v>
          </cell>
          <cell r="S368">
            <v>49.3</v>
          </cell>
          <cell r="T368">
            <v>38120</v>
          </cell>
          <cell r="U368" t="str">
            <v>ГРП</v>
          </cell>
          <cell r="W368" t="str">
            <v>ГРП ЮК-10.Сп. ЭЦН-80.</v>
          </cell>
          <cell r="AD368">
            <v>38097</v>
          </cell>
          <cell r="AE368">
            <v>38113</v>
          </cell>
          <cell r="AF368">
            <v>39</v>
          </cell>
          <cell r="AG368" t="e">
            <v>#REF!</v>
          </cell>
          <cell r="AH368" t="e">
            <v>#REF!</v>
          </cell>
        </row>
        <row r="369">
          <cell r="B369" t="str">
            <v>5330б</v>
          </cell>
          <cell r="C369">
            <v>105</v>
          </cell>
          <cell r="F369" t="str">
            <v>УПНПиКРС</v>
          </cell>
          <cell r="G369">
            <v>275</v>
          </cell>
          <cell r="H369" t="str">
            <v>нагн.</v>
          </cell>
          <cell r="I369" t="str">
            <v>бд</v>
          </cell>
          <cell r="J369">
            <v>36355</v>
          </cell>
          <cell r="N369">
            <v>200</v>
          </cell>
          <cell r="Q369">
            <v>200</v>
          </cell>
          <cell r="T369">
            <v>38097</v>
          </cell>
          <cell r="U369" t="str">
            <v>НГ</v>
          </cell>
          <cell r="W369" t="str">
            <v>ЛА.ОТСК.ОПЗ.Сп. пакера ППД</v>
          </cell>
          <cell r="AE369">
            <v>37977</v>
          </cell>
        </row>
        <row r="370">
          <cell r="B370">
            <v>2790</v>
          </cell>
          <cell r="C370">
            <v>144</v>
          </cell>
          <cell r="F370" t="str">
            <v>УПНПиКРС</v>
          </cell>
          <cell r="G370">
            <v>280</v>
          </cell>
          <cell r="H370" t="str">
            <v>нагнет.</v>
          </cell>
          <cell r="I370" t="str">
            <v>бд</v>
          </cell>
          <cell r="T370">
            <v>38109</v>
          </cell>
          <cell r="U370" t="str">
            <v>нг</v>
          </cell>
          <cell r="W370" t="str">
            <v>ОТСК.ПП.ОПЗ.ГИС-3.Сп. Пакера ППД</v>
          </cell>
          <cell r="AD370">
            <v>38096</v>
          </cell>
          <cell r="AE370">
            <v>38106</v>
          </cell>
          <cell r="AF370">
            <v>24</v>
          </cell>
          <cell r="AG370">
            <v>-1389581</v>
          </cell>
          <cell r="AH370">
            <v>-2434575</v>
          </cell>
        </row>
        <row r="371">
          <cell r="B371">
            <v>5364</v>
          </cell>
          <cell r="C371">
            <v>109</v>
          </cell>
          <cell r="F371" t="str">
            <v>УПНПиКРС</v>
          </cell>
          <cell r="G371">
            <v>275</v>
          </cell>
          <cell r="H371" t="str">
            <v>ШГН</v>
          </cell>
          <cell r="I371" t="str">
            <v>бд</v>
          </cell>
          <cell r="J371">
            <v>37517</v>
          </cell>
          <cell r="K371">
            <v>0</v>
          </cell>
          <cell r="L371">
            <v>0</v>
          </cell>
          <cell r="M371">
            <v>0</v>
          </cell>
          <cell r="N371">
            <v>80</v>
          </cell>
          <cell r="O371">
            <v>24.1</v>
          </cell>
          <cell r="P371">
            <v>63</v>
          </cell>
          <cell r="Q371">
            <v>80</v>
          </cell>
          <cell r="R371">
            <v>24.1</v>
          </cell>
          <cell r="S371">
            <v>62.8</v>
          </cell>
          <cell r="T371">
            <v>38117</v>
          </cell>
          <cell r="U371" t="str">
            <v>ГРП</v>
          </cell>
          <cell r="W371" t="str">
            <v>ВЦ.ПП.ГРП-ЮК-10.Сп.Э-80.</v>
          </cell>
          <cell r="Y371" t="str">
            <v>-</v>
          </cell>
          <cell r="Z371" t="str">
            <v>-</v>
          </cell>
          <cell r="AA371">
            <v>73</v>
          </cell>
          <cell r="AD371">
            <v>38077</v>
          </cell>
          <cell r="AE371">
            <v>38110</v>
          </cell>
          <cell r="AF371">
            <v>17</v>
          </cell>
          <cell r="AG371" t="e">
            <v>#REF!</v>
          </cell>
          <cell r="AH371" t="e">
            <v>#REF!</v>
          </cell>
        </row>
        <row r="372">
          <cell r="B372">
            <v>2979</v>
          </cell>
          <cell r="C372">
            <v>50</v>
          </cell>
          <cell r="F372" t="str">
            <v>УПНПиКРС</v>
          </cell>
          <cell r="G372">
            <v>240</v>
          </cell>
          <cell r="H372" t="str">
            <v>ЭЦН</v>
          </cell>
          <cell r="I372" t="str">
            <v>действ.</v>
          </cell>
          <cell r="K372">
            <v>30</v>
          </cell>
          <cell r="L372">
            <v>14.7</v>
          </cell>
          <cell r="M372">
            <v>40</v>
          </cell>
          <cell r="N372">
            <v>125</v>
          </cell>
          <cell r="O372">
            <v>35.700000000000003</v>
          </cell>
          <cell r="P372">
            <v>65</v>
          </cell>
          <cell r="Q372">
            <v>95</v>
          </cell>
          <cell r="R372">
            <v>21</v>
          </cell>
          <cell r="S372">
            <v>72.7</v>
          </cell>
          <cell r="T372">
            <v>38104</v>
          </cell>
          <cell r="U372" t="str">
            <v>ГРП</v>
          </cell>
          <cell r="W372" t="str">
            <v>ГРП.ЮК-10.Сп.Э-125</v>
          </cell>
          <cell r="AD372">
            <v>38078</v>
          </cell>
          <cell r="AE372">
            <v>38097</v>
          </cell>
          <cell r="AF372">
            <v>22</v>
          </cell>
        </row>
        <row r="373">
          <cell r="B373">
            <v>3011</v>
          </cell>
          <cell r="C373">
            <v>51</v>
          </cell>
          <cell r="F373" t="str">
            <v>УПНПиКРС</v>
          </cell>
          <cell r="G373">
            <v>240</v>
          </cell>
          <cell r="H373" t="str">
            <v>ЭЦН</v>
          </cell>
          <cell r="I373" t="str">
            <v>действ.</v>
          </cell>
          <cell r="K373">
            <v>10</v>
          </cell>
          <cell r="L373">
            <v>5.7</v>
          </cell>
          <cell r="M373">
            <v>30</v>
          </cell>
          <cell r="N373">
            <v>80</v>
          </cell>
          <cell r="O373">
            <v>30</v>
          </cell>
          <cell r="P373">
            <v>54</v>
          </cell>
          <cell r="Q373">
            <v>70</v>
          </cell>
          <cell r="R373">
            <v>24.3</v>
          </cell>
          <cell r="S373">
            <v>57.1</v>
          </cell>
          <cell r="T373">
            <v>38121</v>
          </cell>
          <cell r="U373" t="str">
            <v>ГРП</v>
          </cell>
          <cell r="W373" t="str">
            <v>ГРП ЮК-11.Сп. Э-80</v>
          </cell>
          <cell r="AD373">
            <v>38097</v>
          </cell>
          <cell r="AE373">
            <v>38114</v>
          </cell>
          <cell r="AG373">
            <v>-142443</v>
          </cell>
          <cell r="AH373">
            <v>-3748500</v>
          </cell>
        </row>
        <row r="374">
          <cell r="B374">
            <v>5473</v>
          </cell>
          <cell r="C374">
            <v>110</v>
          </cell>
          <cell r="F374" t="str">
            <v>УПНПиКРС</v>
          </cell>
          <cell r="G374">
            <v>260</v>
          </cell>
          <cell r="H374" t="str">
            <v>ЭЦН</v>
          </cell>
          <cell r="I374" t="str">
            <v>бд</v>
          </cell>
          <cell r="K374">
            <v>0</v>
          </cell>
          <cell r="L374">
            <v>0</v>
          </cell>
          <cell r="M374">
            <v>0</v>
          </cell>
          <cell r="N374">
            <v>50</v>
          </cell>
          <cell r="O374">
            <v>4</v>
          </cell>
          <cell r="P374">
            <v>90.1</v>
          </cell>
          <cell r="Q374">
            <v>50</v>
          </cell>
          <cell r="R374">
            <v>4</v>
          </cell>
          <cell r="S374">
            <v>90.1</v>
          </cell>
          <cell r="T374">
            <v>38686</v>
          </cell>
          <cell r="U374" t="str">
            <v>ЛА</v>
          </cell>
          <cell r="W374" t="str">
            <v>Извлечение ЭЦН</v>
          </cell>
          <cell r="AD374">
            <v>38077</v>
          </cell>
          <cell r="AE374">
            <v>38110</v>
          </cell>
          <cell r="AF374">
            <v>30</v>
          </cell>
        </row>
        <row r="375">
          <cell r="B375">
            <v>5528</v>
          </cell>
          <cell r="C375" t="str">
            <v>119б</v>
          </cell>
          <cell r="F375" t="str">
            <v>УПНПиКРС</v>
          </cell>
          <cell r="G375">
            <v>250</v>
          </cell>
          <cell r="H375" t="str">
            <v>ШГН</v>
          </cell>
          <cell r="I375" t="str">
            <v>бд</v>
          </cell>
          <cell r="J375">
            <v>37524</v>
          </cell>
          <cell r="K375">
            <v>0</v>
          </cell>
          <cell r="L375">
            <v>0</v>
          </cell>
          <cell r="M375">
            <v>0</v>
          </cell>
          <cell r="N375">
            <v>125</v>
          </cell>
          <cell r="O375">
            <v>24.5</v>
          </cell>
          <cell r="P375">
            <v>76</v>
          </cell>
          <cell r="Q375">
            <v>125</v>
          </cell>
          <cell r="R375">
            <v>24.5</v>
          </cell>
          <cell r="S375">
            <v>75.8</v>
          </cell>
          <cell r="T375">
            <v>38112</v>
          </cell>
          <cell r="U375" t="str">
            <v>ГРП</v>
          </cell>
          <cell r="W375" t="str">
            <v>ВЦ.ОТСК.ГРП ЮК-10.Сп.Э-125</v>
          </cell>
          <cell r="AE375">
            <v>38105</v>
          </cell>
        </row>
        <row r="376">
          <cell r="B376">
            <v>2865</v>
          </cell>
          <cell r="C376">
            <v>131</v>
          </cell>
          <cell r="F376" t="str">
            <v>УПНПиКРС</v>
          </cell>
          <cell r="G376">
            <v>260</v>
          </cell>
          <cell r="H376" t="str">
            <v>ЭЦН</v>
          </cell>
          <cell r="I376" t="str">
            <v>действ.</v>
          </cell>
          <cell r="K376">
            <v>30</v>
          </cell>
          <cell r="L376">
            <v>5.4</v>
          </cell>
          <cell r="M376">
            <v>78</v>
          </cell>
          <cell r="N376">
            <v>125</v>
          </cell>
          <cell r="O376">
            <v>25.5</v>
          </cell>
          <cell r="P376">
            <v>75</v>
          </cell>
          <cell r="Q376">
            <v>95</v>
          </cell>
          <cell r="R376">
            <v>20.100000000000001</v>
          </cell>
          <cell r="S376">
            <v>73.900000000000006</v>
          </cell>
          <cell r="T376">
            <v>38084</v>
          </cell>
          <cell r="U376" t="str">
            <v>ГРП</v>
          </cell>
          <cell r="W376" t="str">
            <v>ВЗ.ГИС-2.ПП.ГРП ЮК-10</v>
          </cell>
          <cell r="AD376">
            <v>38054</v>
          </cell>
          <cell r="AE376">
            <v>38077</v>
          </cell>
          <cell r="AG376">
            <v>-148552</v>
          </cell>
          <cell r="AH376">
            <v>-259966</v>
          </cell>
        </row>
        <row r="377">
          <cell r="B377">
            <v>5446</v>
          </cell>
          <cell r="C377">
            <v>109</v>
          </cell>
          <cell r="F377" t="str">
            <v>УПНПиКРС</v>
          </cell>
          <cell r="G377">
            <v>260</v>
          </cell>
          <cell r="H377" t="str">
            <v>ЭЦН</v>
          </cell>
          <cell r="I377" t="str">
            <v>действ.</v>
          </cell>
          <cell r="K377">
            <v>14</v>
          </cell>
          <cell r="L377">
            <v>3</v>
          </cell>
          <cell r="M377">
            <v>74</v>
          </cell>
          <cell r="N377">
            <v>80</v>
          </cell>
          <cell r="O377">
            <v>26.1</v>
          </cell>
          <cell r="P377">
            <v>60</v>
          </cell>
          <cell r="Q377">
            <v>66</v>
          </cell>
          <cell r="R377">
            <v>23.1</v>
          </cell>
          <cell r="S377">
            <v>56.8</v>
          </cell>
          <cell r="T377">
            <v>38083</v>
          </cell>
          <cell r="U377" t="str">
            <v>ГРП</v>
          </cell>
          <cell r="W377" t="str">
            <v>ГРП ЮК-10.Сп.Э-80</v>
          </cell>
          <cell r="AD377">
            <v>38054</v>
          </cell>
          <cell r="AE377">
            <v>38076</v>
          </cell>
        </row>
        <row r="378">
          <cell r="B378">
            <v>2938</v>
          </cell>
          <cell r="C378" t="str">
            <v>43б</v>
          </cell>
          <cell r="F378" t="str">
            <v>ПРС</v>
          </cell>
          <cell r="G378">
            <v>270</v>
          </cell>
          <cell r="H378" t="str">
            <v>ЭЦН</v>
          </cell>
          <cell r="I378" t="str">
            <v>действ.</v>
          </cell>
          <cell r="K378">
            <v>123</v>
          </cell>
          <cell r="L378">
            <v>47.1</v>
          </cell>
          <cell r="M378">
            <v>53</v>
          </cell>
          <cell r="N378">
            <v>217</v>
          </cell>
          <cell r="O378">
            <v>83.1</v>
          </cell>
          <cell r="P378">
            <v>53</v>
          </cell>
          <cell r="Q378">
            <v>94</v>
          </cell>
          <cell r="R378">
            <v>36</v>
          </cell>
          <cell r="S378">
            <v>52.7</v>
          </cell>
          <cell r="T378">
            <v>38225</v>
          </cell>
          <cell r="U378" t="str">
            <v>опт</v>
          </cell>
          <cell r="W378" t="str">
            <v>см Э-125/Э-250</v>
          </cell>
          <cell r="AD378">
            <v>38117</v>
          </cell>
          <cell r="AE378">
            <v>38137</v>
          </cell>
        </row>
        <row r="379">
          <cell r="B379">
            <v>5680</v>
          </cell>
          <cell r="C379">
            <v>124</v>
          </cell>
          <cell r="F379" t="str">
            <v>УПНПиКРС</v>
          </cell>
          <cell r="G379">
            <v>280</v>
          </cell>
          <cell r="H379" t="str">
            <v>нагнет.</v>
          </cell>
          <cell r="I379" t="str">
            <v>конс.</v>
          </cell>
          <cell r="T379">
            <v>38119</v>
          </cell>
          <cell r="U379" t="str">
            <v>нг</v>
          </cell>
          <cell r="W379" t="str">
            <v>ОТСК.ПП.ОПЗ.ГИС-3.Сп. Пакера ППД</v>
          </cell>
        </row>
        <row r="380">
          <cell r="B380">
            <v>3033</v>
          </cell>
          <cell r="C380">
            <v>51</v>
          </cell>
          <cell r="F380" t="str">
            <v>УПНПиКРС</v>
          </cell>
          <cell r="G380">
            <v>260</v>
          </cell>
          <cell r="H380" t="str">
            <v>Ф/Ш</v>
          </cell>
          <cell r="I380" t="str">
            <v>бд</v>
          </cell>
          <cell r="J380">
            <v>33755</v>
          </cell>
          <cell r="K380">
            <v>0</v>
          </cell>
          <cell r="L380">
            <v>0</v>
          </cell>
          <cell r="M380">
            <v>0</v>
          </cell>
          <cell r="N380">
            <v>50</v>
          </cell>
          <cell r="O380">
            <v>8.6</v>
          </cell>
          <cell r="P380">
            <v>79</v>
          </cell>
          <cell r="Q380">
            <v>50</v>
          </cell>
          <cell r="R380">
            <v>8.6</v>
          </cell>
          <cell r="S380">
            <v>78.8</v>
          </cell>
          <cell r="T380">
            <v>38151</v>
          </cell>
          <cell r="U380" t="str">
            <v>бдп</v>
          </cell>
          <cell r="W380" t="str">
            <v>ВЦ.ЛА, ДП ЮК-11,сп.Э-50</v>
          </cell>
          <cell r="AD380">
            <v>38117</v>
          </cell>
          <cell r="AE380">
            <v>38146</v>
          </cell>
        </row>
        <row r="381">
          <cell r="B381">
            <v>3535</v>
          </cell>
          <cell r="C381" t="str">
            <v>98б</v>
          </cell>
          <cell r="F381" t="str">
            <v>УПНПиКРС</v>
          </cell>
          <cell r="G381">
            <v>240</v>
          </cell>
          <cell r="H381" t="str">
            <v>ШГН</v>
          </cell>
          <cell r="I381" t="str">
            <v>действ.</v>
          </cell>
          <cell r="K381">
            <v>6</v>
          </cell>
          <cell r="L381">
            <v>3</v>
          </cell>
          <cell r="M381">
            <v>38</v>
          </cell>
          <cell r="N381">
            <v>80</v>
          </cell>
          <cell r="O381">
            <v>26.1</v>
          </cell>
          <cell r="P381">
            <v>60</v>
          </cell>
          <cell r="Q381">
            <v>74</v>
          </cell>
          <cell r="R381">
            <v>23.1</v>
          </cell>
          <cell r="S381">
            <v>61.5</v>
          </cell>
          <cell r="T381">
            <v>7</v>
          </cell>
          <cell r="U381" t="str">
            <v>ГРП</v>
          </cell>
          <cell r="W381" t="str">
            <v>ГРП ЮК-10.Сп. Э-80</v>
          </cell>
        </row>
        <row r="382">
          <cell r="B382">
            <v>5525</v>
          </cell>
          <cell r="C382">
            <v>118</v>
          </cell>
          <cell r="F382" t="str">
            <v>УПНПиКРС</v>
          </cell>
          <cell r="G382">
            <v>267</v>
          </cell>
          <cell r="H382" t="str">
            <v>ШГН</v>
          </cell>
          <cell r="I382" t="str">
            <v>бд</v>
          </cell>
          <cell r="J382">
            <v>37975</v>
          </cell>
          <cell r="K382">
            <v>0</v>
          </cell>
          <cell r="L382">
            <v>0</v>
          </cell>
          <cell r="M382">
            <v>0</v>
          </cell>
          <cell r="N382">
            <v>80</v>
          </cell>
          <cell r="O382">
            <v>22.8</v>
          </cell>
          <cell r="P382">
            <v>65</v>
          </cell>
          <cell r="Q382">
            <v>80</v>
          </cell>
          <cell r="R382">
            <v>22.8</v>
          </cell>
          <cell r="S382">
            <v>64.8</v>
          </cell>
          <cell r="T382">
            <v>38146</v>
          </cell>
          <cell r="U382" t="str">
            <v>ГРП</v>
          </cell>
          <cell r="W382" t="str">
            <v>ВЦ.ГРП ЮК-10.Сп.Э-80</v>
          </cell>
          <cell r="AD382">
            <v>38113</v>
          </cell>
          <cell r="AE382">
            <v>38141</v>
          </cell>
          <cell r="AG382">
            <v>-225630</v>
          </cell>
          <cell r="AH382">
            <v>-413655</v>
          </cell>
        </row>
        <row r="383">
          <cell r="B383">
            <v>5526</v>
          </cell>
          <cell r="C383">
            <v>118</v>
          </cell>
          <cell r="F383" t="str">
            <v>УПНПиКРС</v>
          </cell>
          <cell r="G383">
            <v>265</v>
          </cell>
          <cell r="H383" t="str">
            <v>ФОН</v>
          </cell>
          <cell r="I383" t="str">
            <v>бд</v>
          </cell>
          <cell r="J383">
            <v>32006</v>
          </cell>
          <cell r="K383">
            <v>0</v>
          </cell>
          <cell r="L383">
            <v>0</v>
          </cell>
          <cell r="M383">
            <v>0</v>
          </cell>
          <cell r="N383">
            <v>80</v>
          </cell>
          <cell r="O383">
            <v>22.8</v>
          </cell>
          <cell r="P383">
            <v>65</v>
          </cell>
          <cell r="Q383">
            <v>80</v>
          </cell>
          <cell r="R383">
            <v>22.8</v>
          </cell>
          <cell r="S383">
            <v>64.8</v>
          </cell>
          <cell r="T383">
            <v>7</v>
          </cell>
          <cell r="U383" t="str">
            <v>ГРП</v>
          </cell>
          <cell r="W383" t="str">
            <v>ВЦ.ЛА.РИР Э/К.ГРП ЮК-10.Сп.Э-80</v>
          </cell>
        </row>
        <row r="384">
          <cell r="B384">
            <v>5578</v>
          </cell>
          <cell r="C384">
            <v>115</v>
          </cell>
          <cell r="F384" t="str">
            <v>УПНПиКРС</v>
          </cell>
          <cell r="G384">
            <v>245</v>
          </cell>
          <cell r="H384" t="str">
            <v>ЭЦН</v>
          </cell>
          <cell r="I384" t="str">
            <v>бд</v>
          </cell>
          <cell r="J384">
            <v>36473</v>
          </cell>
          <cell r="K384">
            <v>0</v>
          </cell>
          <cell r="L384">
            <v>0</v>
          </cell>
          <cell r="M384">
            <v>0</v>
          </cell>
          <cell r="N384">
            <v>50</v>
          </cell>
          <cell r="O384">
            <v>8.1999999999999993</v>
          </cell>
          <cell r="P384">
            <v>80</v>
          </cell>
          <cell r="Q384">
            <v>50</v>
          </cell>
          <cell r="R384">
            <v>8.1999999999999993</v>
          </cell>
          <cell r="S384">
            <v>79.8</v>
          </cell>
          <cell r="T384">
            <v>38184</v>
          </cell>
          <cell r="U384" t="str">
            <v>бдк</v>
          </cell>
          <cell r="W384" t="str">
            <v>ВЦ.ВЗ.ОТСК.ПП ЮК-10.Сп.Э-50</v>
          </cell>
          <cell r="AE384">
            <v>38177</v>
          </cell>
        </row>
        <row r="385">
          <cell r="B385">
            <v>5457</v>
          </cell>
          <cell r="C385">
            <v>103</v>
          </cell>
          <cell r="F385" t="str">
            <v>УПНПиКРС</v>
          </cell>
          <cell r="G385">
            <v>220</v>
          </cell>
          <cell r="H385" t="str">
            <v>ЭЦН</v>
          </cell>
          <cell r="I385" t="str">
            <v>бд</v>
          </cell>
          <cell r="J385">
            <v>36530</v>
          </cell>
          <cell r="K385">
            <v>0</v>
          </cell>
          <cell r="L385">
            <v>0</v>
          </cell>
          <cell r="M385">
            <v>0</v>
          </cell>
          <cell r="N385">
            <v>50</v>
          </cell>
          <cell r="O385">
            <v>24.9</v>
          </cell>
          <cell r="P385">
            <v>39</v>
          </cell>
          <cell r="Q385">
            <v>50</v>
          </cell>
          <cell r="R385">
            <v>24.9</v>
          </cell>
          <cell r="S385">
            <v>38.5</v>
          </cell>
          <cell r="T385">
            <v>38207</v>
          </cell>
          <cell r="U385" t="str">
            <v>ГРП</v>
          </cell>
          <cell r="W385" t="str">
            <v>ВЦ,ВЗ,ГРП ЮК-10,сп.Э-80</v>
          </cell>
          <cell r="AE385">
            <v>38175</v>
          </cell>
        </row>
        <row r="386">
          <cell r="B386">
            <v>5454</v>
          </cell>
          <cell r="C386">
            <v>102</v>
          </cell>
          <cell r="F386" t="str">
            <v>УПНПиКРС</v>
          </cell>
          <cell r="G386">
            <v>240</v>
          </cell>
          <cell r="H386" t="str">
            <v>Ф/Э</v>
          </cell>
          <cell r="I386" t="str">
            <v>бд</v>
          </cell>
          <cell r="J386">
            <v>34771</v>
          </cell>
          <cell r="K386">
            <v>0</v>
          </cell>
          <cell r="L386">
            <v>0</v>
          </cell>
          <cell r="M386">
            <v>0</v>
          </cell>
          <cell r="N386">
            <v>50</v>
          </cell>
          <cell r="O386">
            <v>24.5</v>
          </cell>
          <cell r="P386">
            <v>40</v>
          </cell>
          <cell r="Q386">
            <v>50</v>
          </cell>
          <cell r="R386">
            <v>24.5</v>
          </cell>
          <cell r="S386">
            <v>39.5</v>
          </cell>
          <cell r="T386">
            <v>38241</v>
          </cell>
          <cell r="U386" t="str">
            <v>ГРП</v>
          </cell>
          <cell r="W386" t="str">
            <v>ВЦ.ИР ЮК-10.ГРП ЮК2-3</v>
          </cell>
          <cell r="AD386">
            <v>38200</v>
          </cell>
          <cell r="AE386">
            <v>38234</v>
          </cell>
        </row>
        <row r="387">
          <cell r="B387">
            <v>5492</v>
          </cell>
          <cell r="C387">
            <v>106</v>
          </cell>
          <cell r="F387" t="str">
            <v>УПНПиКРС</v>
          </cell>
          <cell r="G387">
            <v>270</v>
          </cell>
          <cell r="H387" t="str">
            <v>нагн.</v>
          </cell>
          <cell r="I387" t="str">
            <v>бд</v>
          </cell>
          <cell r="J387">
            <v>32193</v>
          </cell>
          <cell r="K387">
            <v>0</v>
          </cell>
          <cell r="L387">
            <v>0</v>
          </cell>
          <cell r="M387">
            <v>0</v>
          </cell>
          <cell r="N387">
            <v>50</v>
          </cell>
          <cell r="O387">
            <v>8.1999999999999993</v>
          </cell>
          <cell r="P387">
            <v>80</v>
          </cell>
          <cell r="Q387">
            <v>50</v>
          </cell>
          <cell r="R387">
            <v>8.1999999999999993</v>
          </cell>
          <cell r="S387">
            <v>79.8</v>
          </cell>
          <cell r="T387">
            <v>7</v>
          </cell>
          <cell r="U387" t="str">
            <v>опт</v>
          </cell>
          <cell r="W387" t="str">
            <v>ОТСК.ПП ЮК-10.ГИС-2.Сп.Э-50</v>
          </cell>
        </row>
        <row r="388">
          <cell r="B388">
            <v>5495</v>
          </cell>
          <cell r="C388">
            <v>106</v>
          </cell>
          <cell r="F388" t="str">
            <v>УПНПиКРС</v>
          </cell>
          <cell r="G388">
            <v>270</v>
          </cell>
          <cell r="H388" t="str">
            <v>ЭЦН</v>
          </cell>
          <cell r="I388" t="str">
            <v>действ.</v>
          </cell>
          <cell r="K388">
            <v>79</v>
          </cell>
          <cell r="L388">
            <v>7.1</v>
          </cell>
          <cell r="M388">
            <v>89</v>
          </cell>
          <cell r="N388">
            <v>136</v>
          </cell>
          <cell r="O388">
            <v>12.2</v>
          </cell>
          <cell r="P388">
            <v>89</v>
          </cell>
          <cell r="Q388">
            <v>57</v>
          </cell>
          <cell r="R388">
            <v>5.0999999999999996</v>
          </cell>
          <cell r="S388">
            <v>89</v>
          </cell>
          <cell r="T388">
            <v>38309</v>
          </cell>
          <cell r="U388" t="str">
            <v>опт</v>
          </cell>
          <cell r="W388" t="str">
            <v>Оптимизация Э-80/125</v>
          </cell>
          <cell r="Y388" t="str">
            <v>комплект</v>
          </cell>
          <cell r="Z388" t="str">
            <v>?</v>
          </cell>
          <cell r="AE388">
            <v>38184</v>
          </cell>
        </row>
        <row r="389">
          <cell r="B389">
            <v>5742</v>
          </cell>
          <cell r="C389">
            <v>128</v>
          </cell>
          <cell r="F389" t="str">
            <v>УПНПиКРС</v>
          </cell>
          <cell r="G389">
            <v>265</v>
          </cell>
          <cell r="H389" t="str">
            <v>ЭЦН</v>
          </cell>
          <cell r="I389" t="str">
            <v>бд</v>
          </cell>
          <cell r="J389">
            <v>37201</v>
          </cell>
          <cell r="K389">
            <v>0</v>
          </cell>
          <cell r="L389">
            <v>0</v>
          </cell>
          <cell r="M389">
            <v>0</v>
          </cell>
          <cell r="N389">
            <v>80</v>
          </cell>
          <cell r="O389">
            <v>22.8</v>
          </cell>
          <cell r="P389">
            <v>65</v>
          </cell>
          <cell r="Q389">
            <v>80</v>
          </cell>
          <cell r="R389">
            <v>22.8</v>
          </cell>
          <cell r="S389">
            <v>64.8</v>
          </cell>
          <cell r="T389">
            <v>38135</v>
          </cell>
          <cell r="U389" t="str">
            <v>ГРП</v>
          </cell>
          <cell r="W389" t="str">
            <v>ВЦ.ГРП ЮК-10.Сп.Э-80</v>
          </cell>
          <cell r="Y389" t="str">
            <v>+37</v>
          </cell>
          <cell r="Z389">
            <v>2898</v>
          </cell>
          <cell r="AA389">
            <v>73</v>
          </cell>
          <cell r="AB389">
            <v>36717</v>
          </cell>
          <cell r="AC389">
            <v>281</v>
          </cell>
          <cell r="AD389">
            <v>38108</v>
          </cell>
          <cell r="AE389">
            <v>38128</v>
          </cell>
          <cell r="AF389">
            <v>12</v>
          </cell>
          <cell r="AG389" t="e">
            <v>#REF!</v>
          </cell>
          <cell r="AH389" t="e">
            <v>#REF!</v>
          </cell>
        </row>
        <row r="390">
          <cell r="B390">
            <v>5483</v>
          </cell>
          <cell r="C390">
            <v>115</v>
          </cell>
          <cell r="F390" t="str">
            <v>УПНПиКРС</v>
          </cell>
          <cell r="G390">
            <v>250</v>
          </cell>
          <cell r="H390" t="str">
            <v>ШГН</v>
          </cell>
          <cell r="I390" t="str">
            <v>действ.</v>
          </cell>
          <cell r="J390">
            <v>34274</v>
          </cell>
          <cell r="K390">
            <v>20</v>
          </cell>
          <cell r="L390">
            <v>14.7</v>
          </cell>
          <cell r="M390">
            <v>10</v>
          </cell>
          <cell r="N390">
            <v>27</v>
          </cell>
          <cell r="O390">
            <v>19.8</v>
          </cell>
          <cell r="P390">
            <v>10</v>
          </cell>
          <cell r="Q390">
            <v>7</v>
          </cell>
          <cell r="R390">
            <v>5.0999999999999996</v>
          </cell>
          <cell r="S390">
            <v>10.1</v>
          </cell>
          <cell r="T390">
            <v>37444</v>
          </cell>
          <cell r="U390" t="str">
            <v>опт</v>
          </cell>
          <cell r="W390" t="str">
            <v>Оптимизация НВ-44/Э-30</v>
          </cell>
          <cell r="AD390">
            <v>37423</v>
          </cell>
          <cell r="AE390">
            <v>37437</v>
          </cell>
          <cell r="AF390">
            <v>14</v>
          </cell>
          <cell r="AG390">
            <v>-800184</v>
          </cell>
          <cell r="AH390">
            <v>-3619880</v>
          </cell>
        </row>
        <row r="391">
          <cell r="B391">
            <v>5597</v>
          </cell>
          <cell r="C391">
            <v>120</v>
          </cell>
          <cell r="F391" t="str">
            <v>УПНПиКРС</v>
          </cell>
          <cell r="G391">
            <v>270</v>
          </cell>
          <cell r="H391" t="str">
            <v>ЭЦН</v>
          </cell>
          <cell r="I391" t="str">
            <v>бд</v>
          </cell>
          <cell r="J391">
            <v>37266</v>
          </cell>
          <cell r="K391">
            <v>0</v>
          </cell>
          <cell r="L391">
            <v>0</v>
          </cell>
          <cell r="M391">
            <v>0</v>
          </cell>
          <cell r="N391">
            <v>50</v>
          </cell>
          <cell r="O391">
            <v>6.1</v>
          </cell>
          <cell r="P391">
            <v>85</v>
          </cell>
          <cell r="Q391">
            <v>50</v>
          </cell>
          <cell r="R391">
            <v>6.1</v>
          </cell>
          <cell r="S391">
            <v>84.9</v>
          </cell>
          <cell r="T391">
            <v>38132</v>
          </cell>
          <cell r="U391" t="str">
            <v>БДП</v>
          </cell>
          <cell r="W391" t="str">
            <v>Смена вор./Э-50</v>
          </cell>
          <cell r="AE391">
            <v>38125</v>
          </cell>
        </row>
        <row r="392">
          <cell r="B392" t="str">
            <v>5237б</v>
          </cell>
          <cell r="C392">
            <v>141</v>
          </cell>
          <cell r="F392" t="str">
            <v>УПНПиКРС</v>
          </cell>
          <cell r="G392">
            <v>230</v>
          </cell>
          <cell r="H392" t="str">
            <v>ШГН</v>
          </cell>
          <cell r="I392" t="str">
            <v>действ.</v>
          </cell>
          <cell r="K392">
            <v>160</v>
          </cell>
          <cell r="L392">
            <v>11.7</v>
          </cell>
          <cell r="M392">
            <v>91</v>
          </cell>
          <cell r="N392">
            <v>248</v>
          </cell>
          <cell r="O392">
            <v>18.2</v>
          </cell>
          <cell r="P392">
            <v>91</v>
          </cell>
          <cell r="Q392">
            <v>88</v>
          </cell>
          <cell r="R392">
            <v>6.5</v>
          </cell>
          <cell r="S392">
            <v>90.9</v>
          </cell>
          <cell r="T392">
            <v>37912</v>
          </cell>
          <cell r="U392" t="str">
            <v>опт</v>
          </cell>
          <cell r="W392" t="str">
            <v>Оптимизация Э-160/250</v>
          </cell>
          <cell r="AD392">
            <v>37883</v>
          </cell>
          <cell r="AE392">
            <v>37905</v>
          </cell>
        </row>
        <row r="393">
          <cell r="B393" t="str">
            <v>5689б</v>
          </cell>
          <cell r="C393" t="str">
            <v>122б</v>
          </cell>
          <cell r="F393" t="str">
            <v>УПНПиКРС</v>
          </cell>
          <cell r="G393">
            <v>240</v>
          </cell>
          <cell r="H393" t="str">
            <v>ЭЦН</v>
          </cell>
          <cell r="I393" t="str">
            <v>действ.</v>
          </cell>
          <cell r="K393">
            <v>35</v>
          </cell>
          <cell r="L393">
            <v>10</v>
          </cell>
          <cell r="M393">
            <v>64.7</v>
          </cell>
          <cell r="N393">
            <v>50</v>
          </cell>
          <cell r="O393">
            <v>18</v>
          </cell>
          <cell r="P393">
            <v>55.6</v>
          </cell>
          <cell r="Q393">
            <v>15</v>
          </cell>
          <cell r="R393">
            <v>8</v>
          </cell>
          <cell r="S393">
            <v>34.200000000000003</v>
          </cell>
          <cell r="T393">
            <v>38672</v>
          </cell>
          <cell r="U393" t="str">
            <v>опт</v>
          </cell>
          <cell r="W393" t="str">
            <v>Оптимизация Э-125/Э-200</v>
          </cell>
          <cell r="AD393">
            <v>38162</v>
          </cell>
          <cell r="AE393">
            <v>38181</v>
          </cell>
        </row>
        <row r="394">
          <cell r="B394">
            <v>5565</v>
          </cell>
          <cell r="C394">
            <v>120</v>
          </cell>
          <cell r="F394" t="str">
            <v>УПНПиКРС</v>
          </cell>
          <cell r="H394" t="str">
            <v>ЭЦН</v>
          </cell>
          <cell r="I394" t="str">
            <v>действ.</v>
          </cell>
          <cell r="K394">
            <v>92</v>
          </cell>
          <cell r="L394">
            <v>10.5</v>
          </cell>
          <cell r="M394">
            <v>86</v>
          </cell>
          <cell r="N394">
            <v>148</v>
          </cell>
          <cell r="O394">
            <v>16.899999999999999</v>
          </cell>
          <cell r="P394">
            <v>86</v>
          </cell>
          <cell r="Q394">
            <v>56</v>
          </cell>
          <cell r="R394">
            <v>6.4</v>
          </cell>
          <cell r="S394">
            <v>85.9</v>
          </cell>
          <cell r="T394">
            <v>38275</v>
          </cell>
          <cell r="U394" t="str">
            <v>Опт.</v>
          </cell>
          <cell r="W394" t="str">
            <v>Оптимизация Э-80/160</v>
          </cell>
          <cell r="AD394">
            <v>37631</v>
          </cell>
          <cell r="AE394">
            <v>38176</v>
          </cell>
        </row>
        <row r="395">
          <cell r="B395">
            <v>3166</v>
          </cell>
          <cell r="C395">
            <v>54</v>
          </cell>
          <cell r="F395" t="str">
            <v>УПНПиКРС</v>
          </cell>
          <cell r="H395" t="str">
            <v>Ф/Ш</v>
          </cell>
          <cell r="I395" t="str">
            <v>конс.</v>
          </cell>
          <cell r="K395">
            <v>0</v>
          </cell>
          <cell r="L395">
            <v>0</v>
          </cell>
          <cell r="M395">
            <v>0</v>
          </cell>
          <cell r="N395">
            <v>80</v>
          </cell>
          <cell r="O395">
            <v>24.8</v>
          </cell>
          <cell r="P395">
            <v>62</v>
          </cell>
          <cell r="Q395">
            <v>80</v>
          </cell>
          <cell r="R395">
            <v>24.8</v>
          </cell>
          <cell r="S395">
            <v>61.7</v>
          </cell>
          <cell r="T395">
            <v>38188</v>
          </cell>
          <cell r="U395" t="str">
            <v>ГРП</v>
          </cell>
          <cell r="W395" t="str">
            <v>ЛА.ПП.ГРП ЮК-10.Сп.Э-80</v>
          </cell>
          <cell r="AE395">
            <v>38181</v>
          </cell>
        </row>
        <row r="396">
          <cell r="B396">
            <v>2789</v>
          </cell>
          <cell r="C396">
            <v>144</v>
          </cell>
          <cell r="F396" t="str">
            <v>УПНПиКРС</v>
          </cell>
          <cell r="G396">
            <v>285</v>
          </cell>
          <cell r="H396" t="str">
            <v>ШГН</v>
          </cell>
          <cell r="I396" t="str">
            <v>бд</v>
          </cell>
          <cell r="J396">
            <v>34246</v>
          </cell>
          <cell r="K396">
            <v>0</v>
          </cell>
          <cell r="L396">
            <v>0</v>
          </cell>
          <cell r="M396">
            <v>0</v>
          </cell>
          <cell r="N396">
            <v>80</v>
          </cell>
          <cell r="O396">
            <v>24.8</v>
          </cell>
          <cell r="P396">
            <v>62</v>
          </cell>
          <cell r="Q396">
            <v>80</v>
          </cell>
          <cell r="R396">
            <v>24.8</v>
          </cell>
          <cell r="S396">
            <v>61.7</v>
          </cell>
          <cell r="T396">
            <v>38185</v>
          </cell>
          <cell r="U396" t="str">
            <v>ГРП</v>
          </cell>
          <cell r="W396" t="str">
            <v>ЛА.ВЗ.ПП.ГРП ЮК-10.Сп. Э-50</v>
          </cell>
          <cell r="Y396" t="str">
            <v>+44</v>
          </cell>
          <cell r="Z396">
            <v>2860</v>
          </cell>
          <cell r="AA396">
            <v>73</v>
          </cell>
          <cell r="AE396">
            <v>38178</v>
          </cell>
          <cell r="AF396">
            <v>17</v>
          </cell>
        </row>
        <row r="397">
          <cell r="B397">
            <v>5329</v>
          </cell>
          <cell r="C397">
            <v>138</v>
          </cell>
          <cell r="F397" t="str">
            <v>УПНПиКРС</v>
          </cell>
          <cell r="H397" t="str">
            <v>эцн</v>
          </cell>
          <cell r="I397" t="str">
            <v>бд</v>
          </cell>
          <cell r="K397">
            <v>0</v>
          </cell>
          <cell r="L397">
            <v>0</v>
          </cell>
          <cell r="M397">
            <v>0</v>
          </cell>
          <cell r="N397">
            <v>50</v>
          </cell>
          <cell r="O397">
            <v>8.1999999999999993</v>
          </cell>
          <cell r="P397">
            <v>80</v>
          </cell>
          <cell r="Q397">
            <v>50</v>
          </cell>
          <cell r="R397">
            <v>8.1999999999999993</v>
          </cell>
          <cell r="S397">
            <v>79.8</v>
          </cell>
          <cell r="T397">
            <v>38191</v>
          </cell>
          <cell r="U397" t="str">
            <v>БДК</v>
          </cell>
          <cell r="W397" t="str">
            <v>ВЦ.ЛА.ГИС-2.ПП ЮК-10.Сп.ЭЦН</v>
          </cell>
          <cell r="AE397">
            <v>38184</v>
          </cell>
        </row>
        <row r="398">
          <cell r="B398">
            <v>3036</v>
          </cell>
          <cell r="C398">
            <v>67</v>
          </cell>
          <cell r="F398" t="str">
            <v>УПНПиКРС</v>
          </cell>
          <cell r="I398" t="str">
            <v>бд</v>
          </cell>
          <cell r="K398">
            <v>0</v>
          </cell>
          <cell r="L398">
            <v>0</v>
          </cell>
          <cell r="M398">
            <v>0</v>
          </cell>
          <cell r="N398">
            <v>50</v>
          </cell>
          <cell r="O398">
            <v>8.1999999999999993</v>
          </cell>
          <cell r="P398">
            <v>80</v>
          </cell>
          <cell r="Q398">
            <v>50</v>
          </cell>
          <cell r="R398">
            <v>8.1999999999999993</v>
          </cell>
          <cell r="S398">
            <v>79.8</v>
          </cell>
          <cell r="T398">
            <v>7</v>
          </cell>
          <cell r="U398" t="str">
            <v>БДК</v>
          </cell>
          <cell r="W398" t="str">
            <v>ВЦ.ВЗ.ПП ЮК-10.Сп.ЭЦН</v>
          </cell>
        </row>
        <row r="399">
          <cell r="B399">
            <v>2666</v>
          </cell>
          <cell r="C399" t="str">
            <v>145б</v>
          </cell>
          <cell r="F399" t="str">
            <v>ПРС</v>
          </cell>
          <cell r="H399" t="str">
            <v>ШГН</v>
          </cell>
          <cell r="I399" t="str">
            <v>конс.</v>
          </cell>
          <cell r="N399">
            <v>5</v>
          </cell>
          <cell r="O399">
            <v>3</v>
          </cell>
          <cell r="P399">
            <v>26</v>
          </cell>
          <cell r="Q399">
            <v>5</v>
          </cell>
          <cell r="R399">
            <v>3</v>
          </cell>
          <cell r="S399">
            <v>26</v>
          </cell>
          <cell r="T399">
            <v>7</v>
          </cell>
          <cell r="U399" t="str">
            <v>ВЦД</v>
          </cell>
          <cell r="W399" t="str">
            <v>ВЦ "БАРС",см. вор/НВ-32</v>
          </cell>
        </row>
        <row r="400">
          <cell r="B400">
            <v>5466</v>
          </cell>
          <cell r="C400">
            <v>106</v>
          </cell>
          <cell r="F400" t="str">
            <v>УПНПиКРС</v>
          </cell>
          <cell r="G400">
            <v>260</v>
          </cell>
          <cell r="H400" t="str">
            <v>ШГН</v>
          </cell>
          <cell r="I400" t="str">
            <v>конс.</v>
          </cell>
          <cell r="J400">
            <v>34335</v>
          </cell>
          <cell r="K400">
            <v>0</v>
          </cell>
          <cell r="L400">
            <v>0</v>
          </cell>
          <cell r="M400">
            <v>0</v>
          </cell>
          <cell r="N400">
            <v>80</v>
          </cell>
          <cell r="O400">
            <v>22.8</v>
          </cell>
          <cell r="P400">
            <v>65</v>
          </cell>
          <cell r="Q400">
            <v>80</v>
          </cell>
          <cell r="R400">
            <v>22.8</v>
          </cell>
          <cell r="S400">
            <v>64.8</v>
          </cell>
          <cell r="T400">
            <v>38241</v>
          </cell>
          <cell r="U400" t="str">
            <v>ГРП</v>
          </cell>
          <cell r="W400" t="str">
            <v>ВЗ.РИР Э/К.ГРП ЮК-10.Сп.Э-80</v>
          </cell>
          <cell r="AD400">
            <v>38200</v>
          </cell>
          <cell r="AE400">
            <v>38234</v>
          </cell>
        </row>
        <row r="401">
          <cell r="B401">
            <v>3085</v>
          </cell>
          <cell r="C401">
            <v>67</v>
          </cell>
          <cell r="F401" t="str">
            <v>УПНПиКРС</v>
          </cell>
          <cell r="G401">
            <v>260</v>
          </cell>
          <cell r="H401" t="str">
            <v>ШГН</v>
          </cell>
          <cell r="I401" t="str">
            <v>конс.</v>
          </cell>
          <cell r="J401">
            <v>34335</v>
          </cell>
          <cell r="K401">
            <v>0</v>
          </cell>
          <cell r="L401">
            <v>0</v>
          </cell>
          <cell r="M401">
            <v>0</v>
          </cell>
          <cell r="N401">
            <v>30</v>
          </cell>
          <cell r="O401">
            <v>7.3</v>
          </cell>
          <cell r="P401">
            <v>70</v>
          </cell>
          <cell r="Q401">
            <v>30</v>
          </cell>
          <cell r="R401">
            <v>7.3</v>
          </cell>
          <cell r="S401">
            <v>70</v>
          </cell>
          <cell r="T401">
            <v>38244</v>
          </cell>
          <cell r="U401" t="str">
            <v>бдк</v>
          </cell>
          <cell r="W401" t="str">
            <v>ВЦ.ПП ЮК-10.Сп.Э-30</v>
          </cell>
          <cell r="AD401">
            <v>38211</v>
          </cell>
          <cell r="AE401">
            <v>38237</v>
          </cell>
        </row>
        <row r="402">
          <cell r="B402">
            <v>3121</v>
          </cell>
          <cell r="C402">
            <v>54</v>
          </cell>
          <cell r="F402" t="str">
            <v>УПНПиКРС</v>
          </cell>
          <cell r="H402" t="str">
            <v>ФОН</v>
          </cell>
          <cell r="I402" t="str">
            <v>бд</v>
          </cell>
          <cell r="J402">
            <v>34637</v>
          </cell>
          <cell r="K402">
            <v>0</v>
          </cell>
          <cell r="L402">
            <v>0</v>
          </cell>
          <cell r="M402">
            <v>0</v>
          </cell>
          <cell r="N402">
            <v>80</v>
          </cell>
          <cell r="O402">
            <v>25.4</v>
          </cell>
          <cell r="P402">
            <v>61</v>
          </cell>
          <cell r="Q402">
            <v>80</v>
          </cell>
          <cell r="R402">
            <v>25.4</v>
          </cell>
          <cell r="S402">
            <v>60.8</v>
          </cell>
          <cell r="T402">
            <v>38278</v>
          </cell>
          <cell r="U402" t="str">
            <v>ГРП</v>
          </cell>
          <cell r="W402" t="str">
            <v>ЛА (извл.НКТ),ПР к ГПР и ГПР ЮК-10,осв,сп.Э-80</v>
          </cell>
          <cell r="AE402">
            <v>38272</v>
          </cell>
        </row>
        <row r="403">
          <cell r="B403">
            <v>2985</v>
          </cell>
          <cell r="C403">
            <v>45</v>
          </cell>
          <cell r="F403" t="str">
            <v>УПНПиКРС</v>
          </cell>
          <cell r="H403" t="str">
            <v>ЭЦН</v>
          </cell>
          <cell r="I403" t="str">
            <v>действ.</v>
          </cell>
          <cell r="J403">
            <v>38237</v>
          </cell>
          <cell r="K403">
            <v>12</v>
          </cell>
          <cell r="L403">
            <v>5.9</v>
          </cell>
          <cell r="M403">
            <v>40</v>
          </cell>
          <cell r="N403">
            <v>80</v>
          </cell>
          <cell r="O403">
            <v>30</v>
          </cell>
          <cell r="P403">
            <v>54</v>
          </cell>
          <cell r="Q403">
            <v>68</v>
          </cell>
          <cell r="R403">
            <v>24.1</v>
          </cell>
          <cell r="S403">
            <v>56.2</v>
          </cell>
          <cell r="T403">
            <v>38280</v>
          </cell>
          <cell r="U403" t="str">
            <v>ГРП</v>
          </cell>
          <cell r="W403" t="str">
            <v>ВЦ,пр к ГРП и ГРП ЮК-10,осв.,сп.Э-80</v>
          </cell>
          <cell r="AE403">
            <v>14</v>
          </cell>
        </row>
        <row r="404">
          <cell r="B404">
            <v>3211</v>
          </cell>
          <cell r="C404">
            <v>70</v>
          </cell>
          <cell r="F404" t="str">
            <v>УПНПиКРС</v>
          </cell>
          <cell r="H404" t="str">
            <v>ФОН</v>
          </cell>
          <cell r="I404" t="str">
            <v>конс.</v>
          </cell>
          <cell r="J404">
            <v>34883</v>
          </cell>
          <cell r="K404">
            <v>0</v>
          </cell>
          <cell r="L404">
            <v>0</v>
          </cell>
          <cell r="M404">
            <v>0</v>
          </cell>
          <cell r="N404">
            <v>30</v>
          </cell>
          <cell r="O404">
            <v>7.3</v>
          </cell>
          <cell r="P404">
            <v>70</v>
          </cell>
          <cell r="Q404">
            <v>30</v>
          </cell>
          <cell r="R404">
            <v>7.3</v>
          </cell>
          <cell r="S404">
            <v>70</v>
          </cell>
          <cell r="T404">
            <v>38281</v>
          </cell>
          <cell r="U404" t="str">
            <v>бдк</v>
          </cell>
          <cell r="W404" t="str">
            <v>ВЦ,ГИС-2,ИР ЮК-10,сп.Э-30</v>
          </cell>
          <cell r="AE404">
            <v>38275</v>
          </cell>
        </row>
        <row r="405">
          <cell r="B405">
            <v>3122</v>
          </cell>
          <cell r="C405">
            <v>54</v>
          </cell>
          <cell r="F405" t="str">
            <v>УПНПиКРС</v>
          </cell>
          <cell r="H405" t="str">
            <v>Ф/Э</v>
          </cell>
          <cell r="I405" t="str">
            <v>конс.</v>
          </cell>
          <cell r="J405">
            <v>34182</v>
          </cell>
          <cell r="K405">
            <v>0</v>
          </cell>
          <cell r="L405">
            <v>0</v>
          </cell>
          <cell r="M405">
            <v>0</v>
          </cell>
          <cell r="N405">
            <v>50</v>
          </cell>
          <cell r="O405">
            <v>8.1999999999999993</v>
          </cell>
          <cell r="P405">
            <v>80</v>
          </cell>
          <cell r="Q405">
            <v>50</v>
          </cell>
          <cell r="R405">
            <v>8.1999999999999993</v>
          </cell>
          <cell r="S405">
            <v>79.8</v>
          </cell>
          <cell r="T405">
            <v>38283</v>
          </cell>
          <cell r="U405" t="str">
            <v>бдк</v>
          </cell>
          <cell r="W405" t="str">
            <v>ВЦ,ПП ЮК-10,сп.Э-50</v>
          </cell>
          <cell r="AE405">
            <v>38277</v>
          </cell>
        </row>
        <row r="406">
          <cell r="B406">
            <v>3126</v>
          </cell>
          <cell r="C406">
            <v>55</v>
          </cell>
          <cell r="F406" t="str">
            <v>УПНПиКРС</v>
          </cell>
          <cell r="H406" t="str">
            <v>ФОН</v>
          </cell>
          <cell r="I406" t="str">
            <v>конс.</v>
          </cell>
          <cell r="J406">
            <v>34304</v>
          </cell>
          <cell r="K406">
            <v>0</v>
          </cell>
          <cell r="L406">
            <v>0</v>
          </cell>
          <cell r="M406">
            <v>0</v>
          </cell>
          <cell r="N406">
            <v>80</v>
          </cell>
          <cell r="O406">
            <v>26.1</v>
          </cell>
          <cell r="P406">
            <v>60</v>
          </cell>
          <cell r="Q406">
            <v>80</v>
          </cell>
          <cell r="R406">
            <v>26.1</v>
          </cell>
          <cell r="S406">
            <v>59.7</v>
          </cell>
          <cell r="T406">
            <v>38289</v>
          </cell>
          <cell r="U406" t="str">
            <v>ГРП</v>
          </cell>
          <cell r="W406" t="str">
            <v>ВЦ,ПР и ГРП ЮК-11,осв.,сп.Э-80</v>
          </cell>
          <cell r="AE406">
            <v>38283</v>
          </cell>
        </row>
        <row r="407">
          <cell r="B407">
            <v>3175</v>
          </cell>
          <cell r="C407">
            <v>58</v>
          </cell>
          <cell r="F407" t="str">
            <v>УПНПиКРС</v>
          </cell>
          <cell r="H407" t="str">
            <v>ШГН</v>
          </cell>
          <cell r="I407" t="str">
            <v>конс.</v>
          </cell>
          <cell r="J407">
            <v>33848</v>
          </cell>
          <cell r="K407">
            <v>0</v>
          </cell>
          <cell r="L407">
            <v>0</v>
          </cell>
          <cell r="M407">
            <v>0</v>
          </cell>
          <cell r="N407">
            <v>80</v>
          </cell>
          <cell r="O407">
            <v>25.4</v>
          </cell>
          <cell r="P407">
            <v>61</v>
          </cell>
          <cell r="Q407">
            <v>80</v>
          </cell>
          <cell r="R407">
            <v>25.4</v>
          </cell>
          <cell r="S407">
            <v>60.8</v>
          </cell>
          <cell r="T407">
            <v>38273</v>
          </cell>
          <cell r="U407" t="str">
            <v>ГРП</v>
          </cell>
          <cell r="W407" t="str">
            <v>ВЦ,ГИС-2,ГРП ЮК-11,осв.,сп.Э-30</v>
          </cell>
          <cell r="AE407">
            <v>38267</v>
          </cell>
        </row>
        <row r="408">
          <cell r="B408">
            <v>5301</v>
          </cell>
          <cell r="C408">
            <v>137</v>
          </cell>
          <cell r="F408" t="str">
            <v>УПНПиКРС</v>
          </cell>
          <cell r="H408" t="str">
            <v>ЭЦН</v>
          </cell>
          <cell r="I408" t="str">
            <v>бд</v>
          </cell>
          <cell r="J408">
            <v>35873</v>
          </cell>
          <cell r="K408">
            <v>0</v>
          </cell>
          <cell r="L408">
            <v>0</v>
          </cell>
          <cell r="M408">
            <v>0</v>
          </cell>
          <cell r="N408">
            <v>50</v>
          </cell>
          <cell r="O408">
            <v>8.1999999999999993</v>
          </cell>
          <cell r="P408">
            <v>80</v>
          </cell>
          <cell r="Q408">
            <v>50</v>
          </cell>
          <cell r="R408">
            <v>8.1999999999999993</v>
          </cell>
          <cell r="S408">
            <v>79.8</v>
          </cell>
          <cell r="T408">
            <v>38266</v>
          </cell>
          <cell r="U408" t="str">
            <v>бдк</v>
          </cell>
          <cell r="W408" t="str">
            <v>ВЦ,ВЗ (изв.ЭЦН ),ГИС-2,ИР ЮК-11,ПП ЮК-10,сп.Э-50</v>
          </cell>
          <cell r="AE408">
            <v>38260</v>
          </cell>
        </row>
        <row r="409">
          <cell r="B409">
            <v>5456</v>
          </cell>
          <cell r="C409">
            <v>102</v>
          </cell>
          <cell r="F409" t="str">
            <v>УПНПиКРС</v>
          </cell>
          <cell r="H409" t="str">
            <v>ЭЦН</v>
          </cell>
          <cell r="I409" t="str">
            <v>бд</v>
          </cell>
          <cell r="J409">
            <v>35920</v>
          </cell>
          <cell r="K409">
            <v>0</v>
          </cell>
          <cell r="L409">
            <v>0</v>
          </cell>
          <cell r="M409">
            <v>0</v>
          </cell>
          <cell r="N409">
            <v>50</v>
          </cell>
          <cell r="O409">
            <v>7.3</v>
          </cell>
          <cell r="P409">
            <v>82</v>
          </cell>
          <cell r="Q409">
            <v>50</v>
          </cell>
          <cell r="R409">
            <v>7.3</v>
          </cell>
          <cell r="S409">
            <v>82</v>
          </cell>
          <cell r="T409">
            <v>38271</v>
          </cell>
          <cell r="U409" t="str">
            <v>бдк</v>
          </cell>
          <cell r="W409" t="str">
            <v>ВЦ,ВЗ,ПП ЮК-10,сп.Э-50</v>
          </cell>
          <cell r="AE409">
            <v>38265</v>
          </cell>
        </row>
        <row r="410">
          <cell r="B410">
            <v>3084</v>
          </cell>
          <cell r="C410">
            <v>67</v>
          </cell>
          <cell r="F410" t="str">
            <v>УПНПиКРС</v>
          </cell>
          <cell r="H410" t="str">
            <v>ШГН</v>
          </cell>
          <cell r="I410" t="str">
            <v>бд</v>
          </cell>
          <cell r="J410">
            <v>34303</v>
          </cell>
          <cell r="K410">
            <v>0</v>
          </cell>
          <cell r="L410">
            <v>0</v>
          </cell>
          <cell r="M410">
            <v>0</v>
          </cell>
          <cell r="N410">
            <v>30</v>
          </cell>
          <cell r="O410">
            <v>8.6</v>
          </cell>
          <cell r="P410">
            <v>65</v>
          </cell>
          <cell r="Q410">
            <v>30</v>
          </cell>
          <cell r="R410">
            <v>8.6</v>
          </cell>
          <cell r="S410">
            <v>64.599999999999994</v>
          </cell>
          <cell r="T410">
            <v>38278</v>
          </cell>
          <cell r="U410" t="str">
            <v>бдк</v>
          </cell>
          <cell r="W410" t="str">
            <v>ВЦ,ЛА (извл.ШГН,НКТ ),ПП ЮК-10,сп.Э-30</v>
          </cell>
          <cell r="AE410">
            <v>38272</v>
          </cell>
        </row>
        <row r="411">
          <cell r="B411">
            <v>3072</v>
          </cell>
          <cell r="C411">
            <v>53</v>
          </cell>
          <cell r="F411" t="str">
            <v>УПНПиКРС</v>
          </cell>
          <cell r="H411" t="str">
            <v>Ф/Э</v>
          </cell>
          <cell r="I411" t="str">
            <v>конс.</v>
          </cell>
          <cell r="J411">
            <v>33848</v>
          </cell>
          <cell r="K411">
            <v>0</v>
          </cell>
          <cell r="L411">
            <v>0</v>
          </cell>
          <cell r="M411">
            <v>0</v>
          </cell>
          <cell r="N411">
            <v>30</v>
          </cell>
          <cell r="O411">
            <v>7.3</v>
          </cell>
          <cell r="P411">
            <v>70</v>
          </cell>
          <cell r="Q411">
            <v>30</v>
          </cell>
          <cell r="R411">
            <v>7.3</v>
          </cell>
          <cell r="S411">
            <v>70</v>
          </cell>
          <cell r="T411">
            <v>38283</v>
          </cell>
          <cell r="U411" t="str">
            <v>бдк</v>
          </cell>
          <cell r="W411" t="str">
            <v>ВЦ,ПП ЮК-10,сп.Э-30</v>
          </cell>
          <cell r="AE411">
            <v>38277</v>
          </cell>
        </row>
        <row r="413">
          <cell r="B413">
            <v>2903</v>
          </cell>
          <cell r="C413">
            <v>131</v>
          </cell>
          <cell r="F413" t="str">
            <v>УПНПиКРС</v>
          </cell>
          <cell r="H413" t="str">
            <v>нагнет.</v>
          </cell>
          <cell r="I413" t="str">
            <v>конс.</v>
          </cell>
          <cell r="J413">
            <v>34305</v>
          </cell>
          <cell r="N413">
            <v>200</v>
          </cell>
          <cell r="Q413">
            <v>200</v>
          </cell>
          <cell r="T413">
            <v>38286</v>
          </cell>
          <cell r="U413" t="str">
            <v>нг</v>
          </cell>
          <cell r="W413" t="str">
            <v>ОТСК,ГИС-3,ИР ЮК-11,ОПЗ,сп.пакера (ППД )</v>
          </cell>
          <cell r="AE413">
            <v>38283</v>
          </cell>
        </row>
        <row r="414">
          <cell r="B414">
            <v>3026</v>
          </cell>
          <cell r="C414">
            <v>53</v>
          </cell>
          <cell r="F414" t="str">
            <v>УПНПиКРС</v>
          </cell>
          <cell r="H414" t="str">
            <v>ШГН</v>
          </cell>
          <cell r="I414" t="str">
            <v>конс.</v>
          </cell>
          <cell r="J414">
            <v>34493</v>
          </cell>
          <cell r="K414">
            <v>0</v>
          </cell>
          <cell r="L414">
            <v>0</v>
          </cell>
          <cell r="M414">
            <v>0</v>
          </cell>
          <cell r="N414">
            <v>50</v>
          </cell>
          <cell r="O414">
            <v>8.1999999999999993</v>
          </cell>
          <cell r="P414">
            <v>80</v>
          </cell>
          <cell r="Q414">
            <v>50</v>
          </cell>
          <cell r="R414">
            <v>8.1999999999999993</v>
          </cell>
          <cell r="S414">
            <v>79.8</v>
          </cell>
          <cell r="T414">
            <v>38275</v>
          </cell>
          <cell r="U414" t="str">
            <v>бдк</v>
          </cell>
          <cell r="W414" t="str">
            <v>ВЦ,ПП ЮК-10,сп.Э-50</v>
          </cell>
          <cell r="AE414">
            <v>38269</v>
          </cell>
        </row>
        <row r="415">
          <cell r="B415">
            <v>2919</v>
          </cell>
          <cell r="C415">
            <v>43</v>
          </cell>
          <cell r="F415" t="str">
            <v>ПРС</v>
          </cell>
          <cell r="H415" t="str">
            <v>ШГН</v>
          </cell>
          <cell r="I415" t="str">
            <v>бд</v>
          </cell>
          <cell r="J415">
            <v>36846</v>
          </cell>
          <cell r="K415">
            <v>0</v>
          </cell>
          <cell r="L415">
            <v>0</v>
          </cell>
          <cell r="M415">
            <v>0</v>
          </cell>
          <cell r="N415">
            <v>5</v>
          </cell>
          <cell r="O415">
            <v>3</v>
          </cell>
          <cell r="P415">
            <v>26</v>
          </cell>
          <cell r="Q415">
            <v>5</v>
          </cell>
          <cell r="R415">
            <v>3</v>
          </cell>
          <cell r="S415">
            <v>26</v>
          </cell>
          <cell r="T415">
            <v>38274</v>
          </cell>
          <cell r="U415" t="str">
            <v>ВЦД</v>
          </cell>
          <cell r="W415" t="str">
            <v>ВЦ( "Барс-МК"),смена НВ-32</v>
          </cell>
          <cell r="AE415">
            <v>38268</v>
          </cell>
        </row>
        <row r="416">
          <cell r="B416">
            <v>2532</v>
          </cell>
          <cell r="C416" t="str">
            <v>36б</v>
          </cell>
          <cell r="F416" t="str">
            <v>НвБН</v>
          </cell>
          <cell r="G416">
            <v>260</v>
          </cell>
          <cell r="H416" t="str">
            <v>ЭЦН</v>
          </cell>
          <cell r="I416" t="str">
            <v>нов</v>
          </cell>
          <cell r="K416">
            <v>0</v>
          </cell>
          <cell r="L416">
            <v>0</v>
          </cell>
          <cell r="M416">
            <v>0</v>
          </cell>
          <cell r="N416">
            <v>80</v>
          </cell>
          <cell r="O416">
            <v>46.9</v>
          </cell>
          <cell r="P416">
            <v>28</v>
          </cell>
          <cell r="Q416">
            <v>80</v>
          </cell>
          <cell r="R416">
            <v>46.9</v>
          </cell>
          <cell r="S416">
            <v>28</v>
          </cell>
          <cell r="T416">
            <v>38265</v>
          </cell>
          <cell r="U416" t="str">
            <v>новая</v>
          </cell>
          <cell r="W416" t="str">
            <v>бурение,ГРП ЮК-10,осв., сп.Э-80</v>
          </cell>
        </row>
        <row r="417">
          <cell r="B417">
            <v>2443</v>
          </cell>
          <cell r="C417" t="str">
            <v>36б</v>
          </cell>
          <cell r="F417" t="str">
            <v>НвБН</v>
          </cell>
          <cell r="G417">
            <v>260</v>
          </cell>
          <cell r="H417" t="str">
            <v>ЭЦН</v>
          </cell>
          <cell r="I417" t="str">
            <v>нов</v>
          </cell>
          <cell r="K417">
            <v>0</v>
          </cell>
          <cell r="L417">
            <v>0</v>
          </cell>
          <cell r="M417">
            <v>0</v>
          </cell>
          <cell r="N417">
            <v>80</v>
          </cell>
          <cell r="O417">
            <v>46.9</v>
          </cell>
          <cell r="P417">
            <v>28</v>
          </cell>
          <cell r="Q417">
            <v>80</v>
          </cell>
          <cell r="R417">
            <v>46.9</v>
          </cell>
          <cell r="S417">
            <v>28</v>
          </cell>
          <cell r="T417">
            <v>38272</v>
          </cell>
          <cell r="U417" t="str">
            <v>новая</v>
          </cell>
          <cell r="W417" t="str">
            <v>бурение,ГРП ЮК-10,осв., сп.Э-80</v>
          </cell>
        </row>
        <row r="418">
          <cell r="B418">
            <v>2510</v>
          </cell>
          <cell r="C418" t="str">
            <v>36б</v>
          </cell>
          <cell r="F418" t="str">
            <v>НвБН</v>
          </cell>
          <cell r="G418">
            <v>260</v>
          </cell>
          <cell r="H418" t="str">
            <v>ЭЦН</v>
          </cell>
          <cell r="I418" t="str">
            <v>нов</v>
          </cell>
          <cell r="N418">
            <v>50</v>
          </cell>
          <cell r="O418">
            <v>30.6</v>
          </cell>
          <cell r="P418">
            <v>25</v>
          </cell>
          <cell r="Q418">
            <v>50</v>
          </cell>
          <cell r="R418">
            <v>30.6</v>
          </cell>
          <cell r="S418">
            <v>25</v>
          </cell>
          <cell r="T418">
            <v>38281</v>
          </cell>
          <cell r="U418" t="str">
            <v>новая</v>
          </cell>
          <cell r="W418" t="str">
            <v>бурение,ГРП ЮК-10,осв., сп.Э-125</v>
          </cell>
        </row>
        <row r="419">
          <cell r="B419">
            <v>2421</v>
          </cell>
          <cell r="C419">
            <v>37</v>
          </cell>
          <cell r="F419" t="str">
            <v>НвБН</v>
          </cell>
          <cell r="G419">
            <v>260</v>
          </cell>
          <cell r="H419" t="str">
            <v>ЭЦН</v>
          </cell>
          <cell r="I419" t="str">
            <v>нов</v>
          </cell>
          <cell r="N419">
            <v>80</v>
          </cell>
          <cell r="O419">
            <v>46.9</v>
          </cell>
          <cell r="P419">
            <v>28</v>
          </cell>
          <cell r="Q419">
            <v>80</v>
          </cell>
          <cell r="R419">
            <v>46.9</v>
          </cell>
          <cell r="S419">
            <v>28</v>
          </cell>
          <cell r="T419">
            <v>38297</v>
          </cell>
          <cell r="U419" t="str">
            <v>новая</v>
          </cell>
          <cell r="W419" t="str">
            <v>бурение,ГРП ЮК-10,осв., сп.Э-80</v>
          </cell>
        </row>
        <row r="420">
          <cell r="B420">
            <v>2574</v>
          </cell>
          <cell r="C420" t="str">
            <v>36б</v>
          </cell>
          <cell r="F420" t="str">
            <v>НвБН</v>
          </cell>
          <cell r="G420">
            <v>260</v>
          </cell>
          <cell r="H420" t="str">
            <v>ЭЦН</v>
          </cell>
          <cell r="I420" t="str">
            <v>нов</v>
          </cell>
          <cell r="N420">
            <v>80</v>
          </cell>
          <cell r="O420">
            <v>46.9</v>
          </cell>
          <cell r="P420">
            <v>28</v>
          </cell>
          <cell r="Q420">
            <v>80</v>
          </cell>
          <cell r="R420">
            <v>46.9</v>
          </cell>
          <cell r="S420">
            <v>28</v>
          </cell>
          <cell r="T420">
            <v>38301</v>
          </cell>
          <cell r="U420" t="str">
            <v>новая</v>
          </cell>
          <cell r="W420" t="str">
            <v>бурение,ГРП ЮК-10,осв., сп.Э-80</v>
          </cell>
        </row>
        <row r="421">
          <cell r="B421">
            <v>5678</v>
          </cell>
          <cell r="C421">
            <v>125</v>
          </cell>
          <cell r="F421" t="str">
            <v>УПНПиКРС</v>
          </cell>
          <cell r="H421" t="str">
            <v>нагнет.</v>
          </cell>
          <cell r="I421" t="str">
            <v>бд</v>
          </cell>
          <cell r="N421">
            <v>150</v>
          </cell>
          <cell r="Q421">
            <v>150</v>
          </cell>
          <cell r="T421">
            <v>38212</v>
          </cell>
          <cell r="U421" t="str">
            <v>нг</v>
          </cell>
          <cell r="W421" t="str">
            <v>РНО,ВЗ,ОТСК,ПП,ОПЗ,ГИС-3,сп.пак.</v>
          </cell>
        </row>
        <row r="422">
          <cell r="B422">
            <v>3094</v>
          </cell>
          <cell r="C422" t="str">
            <v>44б</v>
          </cell>
          <cell r="F422" t="str">
            <v>Уват УПНПиКРС</v>
          </cell>
          <cell r="G422">
            <v>265</v>
          </cell>
          <cell r="H422" t="str">
            <v>ШГН</v>
          </cell>
          <cell r="I422" t="str">
            <v>бд</v>
          </cell>
          <cell r="K422">
            <v>0</v>
          </cell>
          <cell r="L422">
            <v>0</v>
          </cell>
          <cell r="M422">
            <v>0</v>
          </cell>
          <cell r="N422">
            <v>15</v>
          </cell>
          <cell r="O422">
            <v>10</v>
          </cell>
          <cell r="P422">
            <v>18</v>
          </cell>
          <cell r="Q422">
            <v>15</v>
          </cell>
          <cell r="R422">
            <v>10</v>
          </cell>
          <cell r="S422">
            <v>17.7</v>
          </cell>
          <cell r="T422">
            <v>37888</v>
          </cell>
          <cell r="U422" t="str">
            <v>ВЦ</v>
          </cell>
          <cell r="V422">
            <v>1</v>
          </cell>
          <cell r="W422" t="str">
            <v>ВЦ.ВЗ.ПП.ОПЗ (МШУ)</v>
          </cell>
          <cell r="AD422">
            <v>37865</v>
          </cell>
          <cell r="AE422">
            <v>37881</v>
          </cell>
        </row>
        <row r="423">
          <cell r="B423">
            <v>2772</v>
          </cell>
          <cell r="C423">
            <v>165</v>
          </cell>
          <cell r="F423" t="str">
            <v>ПРС</v>
          </cell>
          <cell r="G423">
            <v>270</v>
          </cell>
          <cell r="H423" t="str">
            <v>ШГН</v>
          </cell>
          <cell r="I423" t="str">
            <v>бд</v>
          </cell>
          <cell r="J423">
            <v>37712</v>
          </cell>
          <cell r="K423">
            <v>0</v>
          </cell>
          <cell r="L423">
            <v>0</v>
          </cell>
          <cell r="M423">
            <v>0</v>
          </cell>
          <cell r="N423">
            <v>8</v>
          </cell>
          <cell r="O423">
            <v>3.9</v>
          </cell>
          <cell r="P423">
            <v>40</v>
          </cell>
          <cell r="Q423">
            <v>8</v>
          </cell>
          <cell r="R423">
            <v>3.9</v>
          </cell>
          <cell r="S423">
            <v>39.799999999999997</v>
          </cell>
          <cell r="T423">
            <v>37909</v>
          </cell>
          <cell r="U423" t="str">
            <v>вцд</v>
          </cell>
          <cell r="W423" t="str">
            <v>ВЦ "Э-пр",спуск ШГН</v>
          </cell>
          <cell r="AE423">
            <v>37902</v>
          </cell>
        </row>
        <row r="424">
          <cell r="B424">
            <v>11084</v>
          </cell>
          <cell r="C424" t="str">
            <v>308б</v>
          </cell>
          <cell r="F424" t="str">
            <v>ПРС</v>
          </cell>
          <cell r="G424">
            <v>240</v>
          </cell>
          <cell r="H424" t="str">
            <v>фон</v>
          </cell>
          <cell r="I424" t="str">
            <v>бд</v>
          </cell>
          <cell r="J424">
            <v>34455</v>
          </cell>
          <cell r="K424">
            <v>0</v>
          </cell>
          <cell r="L424">
            <v>0</v>
          </cell>
          <cell r="M424">
            <v>0</v>
          </cell>
          <cell r="N424">
            <v>50</v>
          </cell>
          <cell r="O424">
            <v>4.0999999999999996</v>
          </cell>
          <cell r="P424">
            <v>90</v>
          </cell>
          <cell r="Q424">
            <v>50</v>
          </cell>
          <cell r="R424">
            <v>4.0999999999999996</v>
          </cell>
          <cell r="S424">
            <v>89.9</v>
          </cell>
          <cell r="T424">
            <v>7</v>
          </cell>
          <cell r="U424" t="str">
            <v>мд</v>
          </cell>
          <cell r="W424" t="str">
            <v>ВЦ КОПС,см.вор/Э-50</v>
          </cell>
        </row>
        <row r="425">
          <cell r="B425">
            <v>5531</v>
          </cell>
          <cell r="C425" t="str">
            <v>199б</v>
          </cell>
          <cell r="F425" t="str">
            <v>УПНПиКРС</v>
          </cell>
          <cell r="G425">
            <v>270</v>
          </cell>
          <cell r="H425" t="str">
            <v>ЭЦН</v>
          </cell>
          <cell r="I425" t="str">
            <v>бд</v>
          </cell>
          <cell r="J425">
            <v>34698</v>
          </cell>
          <cell r="K425">
            <v>0</v>
          </cell>
          <cell r="L425">
            <v>0</v>
          </cell>
          <cell r="M425">
            <v>0</v>
          </cell>
          <cell r="N425">
            <v>50</v>
          </cell>
          <cell r="O425">
            <v>6.1</v>
          </cell>
          <cell r="P425">
            <v>85</v>
          </cell>
          <cell r="Q425">
            <v>50</v>
          </cell>
          <cell r="R425">
            <v>6.1</v>
          </cell>
          <cell r="S425">
            <v>84.9</v>
          </cell>
          <cell r="T425">
            <v>37915</v>
          </cell>
          <cell r="U425" t="str">
            <v>ВЦ</v>
          </cell>
          <cell r="W425" t="str">
            <v>ВЦ,ВЗ,ГИС-2,сп.Э-50</v>
          </cell>
          <cell r="AD425">
            <v>37886</v>
          </cell>
          <cell r="AE425">
            <v>37908</v>
          </cell>
        </row>
        <row r="426">
          <cell r="B426">
            <v>11097</v>
          </cell>
          <cell r="C426" t="str">
            <v>308б</v>
          </cell>
          <cell r="F426" t="str">
            <v>ПРС</v>
          </cell>
          <cell r="G426">
            <v>240</v>
          </cell>
          <cell r="H426" t="str">
            <v>Фон</v>
          </cell>
          <cell r="I426" t="str">
            <v>конс.</v>
          </cell>
          <cell r="J426">
            <v>34700</v>
          </cell>
          <cell r="K426">
            <v>0</v>
          </cell>
          <cell r="L426">
            <v>0</v>
          </cell>
          <cell r="M426">
            <v>0</v>
          </cell>
          <cell r="N426">
            <v>30</v>
          </cell>
          <cell r="O426">
            <v>3.8</v>
          </cell>
          <cell r="P426">
            <v>84.6</v>
          </cell>
          <cell r="Q426">
            <v>30</v>
          </cell>
          <cell r="R426">
            <v>3.8</v>
          </cell>
          <cell r="S426">
            <v>80</v>
          </cell>
          <cell r="T426">
            <v>37837</v>
          </cell>
          <cell r="U426" t="str">
            <v>ВЦД</v>
          </cell>
          <cell r="W426" t="str">
            <v>ВЦ "Электропрогрев"</v>
          </cell>
          <cell r="AD426">
            <v>37824</v>
          </cell>
          <cell r="AE426">
            <v>37830</v>
          </cell>
        </row>
        <row r="427">
          <cell r="B427">
            <v>5426</v>
          </cell>
          <cell r="C427">
            <v>102</v>
          </cell>
          <cell r="F427" t="str">
            <v>КРС</v>
          </cell>
          <cell r="H427" t="str">
            <v>нагнет.</v>
          </cell>
          <cell r="I427" t="str">
            <v>бд</v>
          </cell>
          <cell r="J427">
            <v>35525</v>
          </cell>
          <cell r="K427">
            <v>0</v>
          </cell>
          <cell r="L427">
            <v>0</v>
          </cell>
          <cell r="M427">
            <v>0</v>
          </cell>
          <cell r="N427">
            <v>40</v>
          </cell>
          <cell r="O427">
            <v>25.1</v>
          </cell>
          <cell r="P427">
            <v>23</v>
          </cell>
          <cell r="Q427">
            <v>40</v>
          </cell>
          <cell r="R427">
            <v>25.1</v>
          </cell>
          <cell r="S427">
            <v>23</v>
          </cell>
          <cell r="T427">
            <v>3</v>
          </cell>
          <cell r="U427" t="str">
            <v>ГРП</v>
          </cell>
          <cell r="W427" t="str">
            <v>ИР ЮК-10,ДП ЮК-2,подг.к ГРП ЮК2-9,осв.</v>
          </cell>
        </row>
        <row r="428">
          <cell r="B428">
            <v>5819</v>
          </cell>
          <cell r="C428">
            <v>142</v>
          </cell>
          <cell r="F428" t="str">
            <v>УПНПиКРС</v>
          </cell>
          <cell r="G428">
            <v>285</v>
          </cell>
          <cell r="H428" t="str">
            <v>нагнет.</v>
          </cell>
          <cell r="I428" t="str">
            <v>бд</v>
          </cell>
          <cell r="J428">
            <v>37084</v>
          </cell>
          <cell r="N428">
            <v>150</v>
          </cell>
          <cell r="Q428">
            <v>150</v>
          </cell>
          <cell r="T428">
            <v>37596</v>
          </cell>
          <cell r="U428" t="str">
            <v>нг</v>
          </cell>
          <cell r="W428" t="str">
            <v>Ревизия пакера</v>
          </cell>
          <cell r="AD428">
            <v>37586</v>
          </cell>
          <cell r="AE428">
            <v>37593</v>
          </cell>
        </row>
        <row r="429">
          <cell r="B429">
            <v>5821</v>
          </cell>
          <cell r="C429">
            <v>167</v>
          </cell>
          <cell r="F429" t="str">
            <v>БлКРС</v>
          </cell>
          <cell r="G429">
            <v>300</v>
          </cell>
          <cell r="H429" t="str">
            <v>нагнет.</v>
          </cell>
          <cell r="I429" t="str">
            <v>бд</v>
          </cell>
          <cell r="J429">
            <v>37453</v>
          </cell>
          <cell r="N429">
            <v>190</v>
          </cell>
          <cell r="Q429">
            <v>190</v>
          </cell>
          <cell r="T429" t="e">
            <v>#REF!</v>
          </cell>
          <cell r="U429" t="str">
            <v>нг</v>
          </cell>
          <cell r="W429" t="str">
            <v>ОТСК, ревизия пакера</v>
          </cell>
          <cell r="Z429" t="str">
            <v>2765(24)</v>
          </cell>
          <cell r="AA429">
            <v>73</v>
          </cell>
          <cell r="AB429">
            <v>36008</v>
          </cell>
          <cell r="AD429" t="e">
            <v>#REF!</v>
          </cell>
          <cell r="AE429" t="e">
            <v>#REF!</v>
          </cell>
          <cell r="AF429">
            <v>9</v>
          </cell>
        </row>
        <row r="430">
          <cell r="B430">
            <v>5807</v>
          </cell>
          <cell r="C430" t="str">
            <v>166б</v>
          </cell>
          <cell r="F430" t="str">
            <v>БлКРС</v>
          </cell>
          <cell r="G430">
            <v>290</v>
          </cell>
          <cell r="H430" t="str">
            <v>нагнет.</v>
          </cell>
          <cell r="I430" t="str">
            <v>бд</v>
          </cell>
          <cell r="J430">
            <v>37474</v>
          </cell>
          <cell r="N430">
            <v>150</v>
          </cell>
          <cell r="Q430">
            <v>150</v>
          </cell>
          <cell r="T430" t="e">
            <v>#REF!</v>
          </cell>
          <cell r="U430" t="str">
            <v>нг</v>
          </cell>
          <cell r="W430" t="str">
            <v>Ревизия пакера</v>
          </cell>
          <cell r="Z430" t="str">
            <v>2732(0,5)</v>
          </cell>
          <cell r="AA430">
            <v>73</v>
          </cell>
          <cell r="AB430">
            <v>37226</v>
          </cell>
          <cell r="AD430" t="e">
            <v>#REF!</v>
          </cell>
          <cell r="AE430" t="e">
            <v>#REF!</v>
          </cell>
          <cell r="AF430">
            <v>6</v>
          </cell>
        </row>
        <row r="431">
          <cell r="B431">
            <v>5800</v>
          </cell>
          <cell r="C431">
            <v>141</v>
          </cell>
          <cell r="F431" t="str">
            <v>БлКРС</v>
          </cell>
          <cell r="G431">
            <v>295</v>
          </cell>
          <cell r="H431" t="str">
            <v>нагнет.</v>
          </cell>
          <cell r="I431" t="str">
            <v>бд</v>
          </cell>
          <cell r="J431">
            <v>37474</v>
          </cell>
          <cell r="N431">
            <v>190</v>
          </cell>
          <cell r="Q431">
            <v>190</v>
          </cell>
          <cell r="T431" t="e">
            <v>#REF!</v>
          </cell>
          <cell r="U431" t="str">
            <v>нг</v>
          </cell>
          <cell r="W431" t="str">
            <v>Ревизия пакера</v>
          </cell>
          <cell r="Z431" t="str">
            <v>3003(42)</v>
          </cell>
          <cell r="AA431">
            <v>73</v>
          </cell>
          <cell r="AB431">
            <v>37347</v>
          </cell>
          <cell r="AD431" t="e">
            <v>#REF!</v>
          </cell>
          <cell r="AE431" t="e">
            <v>#REF!</v>
          </cell>
          <cell r="AF431">
            <v>6</v>
          </cell>
        </row>
        <row r="432">
          <cell r="B432">
            <v>5221</v>
          </cell>
          <cell r="C432">
            <v>126</v>
          </cell>
          <cell r="F432" t="str">
            <v>БлКРС</v>
          </cell>
          <cell r="G432">
            <v>245</v>
          </cell>
          <cell r="H432" t="str">
            <v>ШГН</v>
          </cell>
          <cell r="I432" t="str">
            <v>действ.</v>
          </cell>
          <cell r="K432">
            <v>4</v>
          </cell>
          <cell r="L432">
            <v>2.9</v>
          </cell>
          <cell r="M432">
            <v>12</v>
          </cell>
          <cell r="N432">
            <v>150</v>
          </cell>
          <cell r="Q432">
            <v>150</v>
          </cell>
          <cell r="T432">
            <v>7</v>
          </cell>
          <cell r="U432" t="str">
            <v>нг</v>
          </cell>
          <cell r="W432" t="str">
            <v>Ревизия пакера.ГИС-3</v>
          </cell>
        </row>
        <row r="433">
          <cell r="B433">
            <v>5242</v>
          </cell>
          <cell r="C433">
            <v>134</v>
          </cell>
          <cell r="F433" t="str">
            <v>УПНПиКРС</v>
          </cell>
          <cell r="G433">
            <v>230</v>
          </cell>
          <cell r="H433" t="str">
            <v>нагнет.</v>
          </cell>
          <cell r="I433" t="str">
            <v>бд</v>
          </cell>
          <cell r="T433">
            <v>37918</v>
          </cell>
          <cell r="U433" t="str">
            <v>нг</v>
          </cell>
          <cell r="W433" t="str">
            <v>Ревизия пакера</v>
          </cell>
          <cell r="X433" t="str">
            <v>Строительство водовода</v>
          </cell>
          <cell r="Z433" t="str">
            <v>2603(37)</v>
          </cell>
          <cell r="AA433">
            <v>73</v>
          </cell>
          <cell r="AB433">
            <v>37377</v>
          </cell>
          <cell r="AD433">
            <v>37843</v>
          </cell>
          <cell r="AE433">
            <v>37915</v>
          </cell>
        </row>
        <row r="434">
          <cell r="T434">
            <v>7</v>
          </cell>
        </row>
        <row r="435">
          <cell r="B435">
            <v>2897</v>
          </cell>
          <cell r="C435">
            <v>42</v>
          </cell>
          <cell r="F435" t="str">
            <v>УПНПиКРС</v>
          </cell>
          <cell r="G435">
            <v>295</v>
          </cell>
          <cell r="H435" t="str">
            <v>нагнет.</v>
          </cell>
          <cell r="I435" t="str">
            <v>бд</v>
          </cell>
          <cell r="J435">
            <v>37463</v>
          </cell>
          <cell r="N435">
            <v>150</v>
          </cell>
          <cell r="Q435">
            <v>150</v>
          </cell>
          <cell r="T435">
            <v>3</v>
          </cell>
          <cell r="U435" t="str">
            <v>нг</v>
          </cell>
          <cell r="W435" t="str">
            <v>ОТСК, ревизия пакера</v>
          </cell>
          <cell r="Z435" t="str">
            <v>2855(28)</v>
          </cell>
          <cell r="AA435">
            <v>73</v>
          </cell>
          <cell r="AB435">
            <v>33390</v>
          </cell>
        </row>
        <row r="436">
          <cell r="B436">
            <v>2898</v>
          </cell>
          <cell r="C436">
            <v>42</v>
          </cell>
          <cell r="F436" t="str">
            <v>УПНПиКРС</v>
          </cell>
          <cell r="G436">
            <v>295</v>
          </cell>
          <cell r="H436" t="str">
            <v>нагнет.</v>
          </cell>
          <cell r="I436" t="str">
            <v>под закачкой</v>
          </cell>
          <cell r="K436">
            <v>180</v>
          </cell>
          <cell r="N436">
            <v>180</v>
          </cell>
          <cell r="Q436">
            <v>0</v>
          </cell>
          <cell r="T436">
            <v>3</v>
          </cell>
          <cell r="U436" t="str">
            <v>нг</v>
          </cell>
          <cell r="W436" t="str">
            <v>ОТСК</v>
          </cell>
          <cell r="Z436" t="str">
            <v>2886(29)</v>
          </cell>
          <cell r="AA436">
            <v>73</v>
          </cell>
          <cell r="AB436">
            <v>32356</v>
          </cell>
        </row>
        <row r="437">
          <cell r="B437">
            <v>5380</v>
          </cell>
          <cell r="C437">
            <v>105</v>
          </cell>
          <cell r="F437" t="str">
            <v>УПНПиКРС</v>
          </cell>
          <cell r="G437">
            <v>300</v>
          </cell>
          <cell r="H437" t="str">
            <v>нагнет.</v>
          </cell>
          <cell r="I437" t="str">
            <v>под закачкой</v>
          </cell>
          <cell r="K437">
            <v>280</v>
          </cell>
          <cell r="N437">
            <v>280</v>
          </cell>
          <cell r="Q437">
            <v>0</v>
          </cell>
          <cell r="T437">
            <v>3</v>
          </cell>
          <cell r="U437" t="str">
            <v>нг</v>
          </cell>
          <cell r="W437" t="str">
            <v>ОТСК</v>
          </cell>
          <cell r="Z437" t="str">
            <v>не опред.</v>
          </cell>
          <cell r="AA437">
            <v>73</v>
          </cell>
          <cell r="AB437">
            <v>31352</v>
          </cell>
        </row>
        <row r="438">
          <cell r="B438">
            <v>5740</v>
          </cell>
          <cell r="C438">
            <v>127</v>
          </cell>
          <cell r="F438" t="str">
            <v>УПНПиКРС</v>
          </cell>
          <cell r="G438">
            <v>290</v>
          </cell>
          <cell r="H438" t="str">
            <v>нагнет.</v>
          </cell>
          <cell r="I438" t="str">
            <v>под закачкой</v>
          </cell>
          <cell r="K438">
            <v>190</v>
          </cell>
          <cell r="N438">
            <v>190</v>
          </cell>
          <cell r="Q438">
            <v>0</v>
          </cell>
          <cell r="T438">
            <v>3</v>
          </cell>
          <cell r="U438" t="str">
            <v>нг</v>
          </cell>
          <cell r="W438" t="str">
            <v>ОТСК</v>
          </cell>
          <cell r="Z438" t="str">
            <v>2962(35)</v>
          </cell>
          <cell r="AA438">
            <v>73</v>
          </cell>
          <cell r="AB438">
            <v>34090</v>
          </cell>
        </row>
        <row r="439">
          <cell r="T439">
            <v>7</v>
          </cell>
        </row>
        <row r="440">
          <cell r="B440">
            <v>5858</v>
          </cell>
          <cell r="C440">
            <v>169</v>
          </cell>
          <cell r="F440" t="str">
            <v>УПНПиКРС</v>
          </cell>
          <cell r="G440">
            <v>270</v>
          </cell>
          <cell r="H440" t="str">
            <v>фон</v>
          </cell>
          <cell r="I440" t="str">
            <v>действ.</v>
          </cell>
          <cell r="J440">
            <v>36649</v>
          </cell>
          <cell r="K440">
            <v>7</v>
          </cell>
          <cell r="L440">
            <v>1</v>
          </cell>
          <cell r="M440">
            <v>82</v>
          </cell>
          <cell r="N440">
            <v>30</v>
          </cell>
          <cell r="O440">
            <v>12</v>
          </cell>
          <cell r="P440">
            <v>51</v>
          </cell>
          <cell r="Q440">
            <v>30</v>
          </cell>
          <cell r="R440">
            <v>12</v>
          </cell>
          <cell r="S440">
            <v>50.6</v>
          </cell>
          <cell r="T440">
            <v>7</v>
          </cell>
          <cell r="U440" t="str">
            <v>ГРП</v>
          </cell>
          <cell r="W440" t="str">
            <v xml:space="preserve">инт.ЮК-5  2613-2628м,РИР ЮК-10,ГРП </v>
          </cell>
        </row>
        <row r="441">
          <cell r="B441">
            <v>5853</v>
          </cell>
          <cell r="C441">
            <v>169</v>
          </cell>
          <cell r="F441" t="str">
            <v>УПНПиКРС</v>
          </cell>
          <cell r="G441">
            <v>270</v>
          </cell>
          <cell r="H441" t="str">
            <v>фон</v>
          </cell>
          <cell r="I441" t="str">
            <v>конс.</v>
          </cell>
          <cell r="J441">
            <v>35401</v>
          </cell>
          <cell r="K441">
            <v>1</v>
          </cell>
          <cell r="L441">
            <v>0.8</v>
          </cell>
          <cell r="M441">
            <v>0</v>
          </cell>
          <cell r="N441">
            <v>30</v>
          </cell>
          <cell r="O441">
            <v>12</v>
          </cell>
          <cell r="P441">
            <v>51</v>
          </cell>
          <cell r="Q441">
            <v>30</v>
          </cell>
          <cell r="R441">
            <v>12</v>
          </cell>
          <cell r="S441">
            <v>50.6</v>
          </cell>
          <cell r="T441">
            <v>7</v>
          </cell>
          <cell r="U441" t="str">
            <v>ГРП</v>
          </cell>
          <cell r="W441" t="str">
            <v xml:space="preserve">инт.ЮК-5  2601-2619м,РИР ЮК-10,ГРП </v>
          </cell>
        </row>
        <row r="443">
          <cell r="B443">
            <v>2604</v>
          </cell>
          <cell r="C443">
            <v>167</v>
          </cell>
          <cell r="F443" t="str">
            <v>УПНПиКРС</v>
          </cell>
          <cell r="G443">
            <v>235</v>
          </cell>
          <cell r="H443" t="str">
            <v>ШГН</v>
          </cell>
          <cell r="I443" t="str">
            <v>конс.</v>
          </cell>
          <cell r="J443">
            <v>34243</v>
          </cell>
          <cell r="K443">
            <v>2</v>
          </cell>
          <cell r="L443">
            <v>1.6</v>
          </cell>
          <cell r="M443">
            <v>5</v>
          </cell>
          <cell r="N443">
            <v>30</v>
          </cell>
          <cell r="O443">
            <v>14.3</v>
          </cell>
          <cell r="P443">
            <v>41.4</v>
          </cell>
          <cell r="Q443">
            <v>30</v>
          </cell>
          <cell r="R443">
            <v>14.3</v>
          </cell>
          <cell r="S443">
            <v>41.2</v>
          </cell>
          <cell r="T443">
            <v>7</v>
          </cell>
          <cell r="U443" t="str">
            <v>ГРП</v>
          </cell>
          <cell r="W443" t="str">
            <v>инт.ЮК 4-5 2598-2624м,ВЦ,ПП,ОПЗ</v>
          </cell>
          <cell r="Y443" t="str">
            <v>ОЦ</v>
          </cell>
        </row>
        <row r="445">
          <cell r="B445">
            <v>5455</v>
          </cell>
          <cell r="C445">
            <v>102</v>
          </cell>
          <cell r="F445" t="str">
            <v>УПНПиКРС</v>
          </cell>
          <cell r="H445" t="str">
            <v>ШГН</v>
          </cell>
          <cell r="I445" t="str">
            <v>конс.</v>
          </cell>
          <cell r="N445">
            <v>50</v>
          </cell>
          <cell r="O445">
            <v>30</v>
          </cell>
          <cell r="P445">
            <v>26.5</v>
          </cell>
          <cell r="Q445">
            <v>50</v>
          </cell>
          <cell r="R445">
            <v>30</v>
          </cell>
          <cell r="S445">
            <v>25.9</v>
          </cell>
          <cell r="T445">
            <v>7</v>
          </cell>
          <cell r="U445" t="str">
            <v>ГРП</v>
          </cell>
          <cell r="W445" t="str">
            <v>Л.А.ВЦ, РИР ЮК-10, ПР к ГРП, ГРП ЮК-2, осв.</v>
          </cell>
          <cell r="Y445" t="str">
            <v>Н/пр-444м, по печати пост.предмет</v>
          </cell>
          <cell r="AF445">
            <v>38</v>
          </cell>
        </row>
        <row r="446">
          <cell r="B446">
            <v>5263</v>
          </cell>
          <cell r="C446">
            <v>133</v>
          </cell>
          <cell r="F446" t="str">
            <v>УПНПиКРС</v>
          </cell>
          <cell r="G446">
            <v>255</v>
          </cell>
          <cell r="H446" t="str">
            <v>ЭЦН</v>
          </cell>
          <cell r="I446" t="str">
            <v>бд</v>
          </cell>
          <cell r="J446">
            <v>33725</v>
          </cell>
          <cell r="K446">
            <v>10</v>
          </cell>
          <cell r="L446">
            <v>1.6</v>
          </cell>
          <cell r="M446">
            <v>80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7</v>
          </cell>
          <cell r="U446" t="str">
            <v>ГРП</v>
          </cell>
          <cell r="W446" t="str">
            <v>ЛА ( с НКТ ),инт.ЮК-4 2454-2462,ЮК-5 2408-2493м,при невозм.ЛА-ЗБС 2-го ( двустволка ),ЮК-10-2т,ЮК-4-12 т</v>
          </cell>
          <cell r="Y446" t="str">
            <v>На Нз 6штанг (по печати). Брошена КРС</v>
          </cell>
        </row>
        <row r="447">
          <cell r="T447">
            <v>7</v>
          </cell>
        </row>
        <row r="448">
          <cell r="B448">
            <v>3054</v>
          </cell>
          <cell r="C448">
            <v>51</v>
          </cell>
          <cell r="F448" t="str">
            <v>УПНПиКРС</v>
          </cell>
          <cell r="G448">
            <v>300</v>
          </cell>
          <cell r="H448" t="str">
            <v>нагнет.</v>
          </cell>
          <cell r="I448" t="str">
            <v>бд</v>
          </cell>
          <cell r="J448">
            <v>37016</v>
          </cell>
          <cell r="K448">
            <v>950</v>
          </cell>
          <cell r="L448">
            <v>0</v>
          </cell>
          <cell r="M448">
            <v>0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T448">
            <v>3</v>
          </cell>
          <cell r="U448" t="str">
            <v>ГРП</v>
          </cell>
          <cell r="W448" t="str">
            <v>Инт. 2676-2688</v>
          </cell>
          <cell r="Y448" t="str">
            <v>ЗКЦ от 2840 до 2710, ГИС от 22.05.89</v>
          </cell>
        </row>
        <row r="449">
          <cell r="B449">
            <v>2974</v>
          </cell>
          <cell r="C449">
            <v>46</v>
          </cell>
          <cell r="F449" t="str">
            <v>УПНПиКРС</v>
          </cell>
          <cell r="G449">
            <v>295</v>
          </cell>
          <cell r="H449" t="str">
            <v>нагнет.</v>
          </cell>
          <cell r="I449" t="str">
            <v>бд</v>
          </cell>
          <cell r="J449">
            <v>36210</v>
          </cell>
          <cell r="K449">
            <v>360</v>
          </cell>
          <cell r="L449">
            <v>0</v>
          </cell>
          <cell r="N449">
            <v>30</v>
          </cell>
          <cell r="O449">
            <v>12</v>
          </cell>
          <cell r="P449">
            <v>51</v>
          </cell>
          <cell r="Q449">
            <v>30</v>
          </cell>
          <cell r="R449">
            <v>12</v>
          </cell>
          <cell r="S449">
            <v>50.6</v>
          </cell>
          <cell r="T449">
            <v>3</v>
          </cell>
          <cell r="U449" t="str">
            <v>ГРП</v>
          </cell>
          <cell r="W449" t="str">
            <v>РИР Э/К, ГИС (и.о.) интерп2556-2580</v>
          </cell>
          <cell r="Y449" t="str">
            <v>При ГИС-2 от 12.12.92 негерметичность на гл.2520-2560</v>
          </cell>
        </row>
        <row r="450">
          <cell r="B450">
            <v>2836</v>
          </cell>
          <cell r="C450">
            <v>125</v>
          </cell>
          <cell r="F450" t="str">
            <v>УПНПиКРС</v>
          </cell>
          <cell r="G450">
            <v>240</v>
          </cell>
          <cell r="H450" t="str">
            <v>ШГН</v>
          </cell>
          <cell r="I450" t="str">
            <v>конс.</v>
          </cell>
          <cell r="J450">
            <v>35684</v>
          </cell>
          <cell r="K450">
            <v>4</v>
          </cell>
          <cell r="L450">
            <v>1.1000000000000001</v>
          </cell>
          <cell r="N450">
            <v>30</v>
          </cell>
          <cell r="O450">
            <v>12</v>
          </cell>
          <cell r="P450">
            <v>51</v>
          </cell>
          <cell r="Q450">
            <v>30</v>
          </cell>
          <cell r="R450">
            <v>12</v>
          </cell>
          <cell r="S450">
            <v>50.6</v>
          </cell>
          <cell r="T450">
            <v>7</v>
          </cell>
          <cell r="U450" t="str">
            <v>ГРП</v>
          </cell>
          <cell r="W450" t="str">
            <v>ГИС-2,при отс.перетоков-опытно-пром.работы,ГРП п.А</v>
          </cell>
          <cell r="Y450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451">
          <cell r="B451">
            <v>2725</v>
          </cell>
          <cell r="C451">
            <v>146</v>
          </cell>
          <cell r="F451" t="str">
            <v>УПНПиКРС</v>
          </cell>
          <cell r="G451">
            <v>350</v>
          </cell>
          <cell r="H451" t="str">
            <v>нагнет.</v>
          </cell>
          <cell r="I451" t="str">
            <v>бд</v>
          </cell>
          <cell r="J451">
            <v>36627</v>
          </cell>
          <cell r="K451">
            <v>134</v>
          </cell>
          <cell r="L451">
            <v>0</v>
          </cell>
          <cell r="N451">
            <v>30</v>
          </cell>
          <cell r="O451">
            <v>12</v>
          </cell>
          <cell r="P451">
            <v>51</v>
          </cell>
          <cell r="Q451">
            <v>30</v>
          </cell>
          <cell r="R451">
            <v>12</v>
          </cell>
          <cell r="S451">
            <v>50.6</v>
          </cell>
          <cell r="T451">
            <v>3</v>
          </cell>
          <cell r="U451" t="str">
            <v>ГРП</v>
          </cell>
          <cell r="W451" t="str">
            <v>ИР ЮК-10,ДП 2593-2602,2620-2630 ГРП</v>
          </cell>
        </row>
        <row r="452">
          <cell r="B452">
            <v>5318</v>
          </cell>
          <cell r="C452">
            <v>134</v>
          </cell>
          <cell r="F452" t="str">
            <v>УПНПиКРС</v>
          </cell>
          <cell r="G452">
            <v>242</v>
          </cell>
          <cell r="H452" t="str">
            <v>нагнет.</v>
          </cell>
          <cell r="I452" t="str">
            <v>бд</v>
          </cell>
          <cell r="J452">
            <v>36799</v>
          </cell>
          <cell r="K452">
            <v>120</v>
          </cell>
          <cell r="N452">
            <v>150</v>
          </cell>
          <cell r="Q452">
            <v>150</v>
          </cell>
          <cell r="R452">
            <v>0</v>
          </cell>
          <cell r="T452" t="e">
            <v>#REF!</v>
          </cell>
          <cell r="U452" t="str">
            <v>нг</v>
          </cell>
          <cell r="W452" t="str">
            <v>Спуск и привязка пакера, Запуск в ППД</v>
          </cell>
          <cell r="Y452" t="str">
            <v>Реагирует: 134/5292,5319,5317,5291 с Qн=7т/сут, доп.добыча состави 10т/сут</v>
          </cell>
          <cell r="AD452" t="e">
            <v>#REF!</v>
          </cell>
          <cell r="AE452" t="e">
            <v>#REF!</v>
          </cell>
          <cell r="AF452">
            <v>15</v>
          </cell>
        </row>
        <row r="453">
          <cell r="B453">
            <v>5840</v>
          </cell>
          <cell r="C453">
            <v>109</v>
          </cell>
          <cell r="F453" t="str">
            <v>УПНПиКРС</v>
          </cell>
          <cell r="G453">
            <v>285</v>
          </cell>
          <cell r="H453" t="str">
            <v>нагнет.</v>
          </cell>
          <cell r="I453" t="str">
            <v>конс.</v>
          </cell>
          <cell r="J453">
            <v>35333</v>
          </cell>
          <cell r="K453">
            <v>30</v>
          </cell>
          <cell r="Q453">
            <v>0</v>
          </cell>
          <cell r="T453">
            <v>3</v>
          </cell>
          <cell r="U453" t="str">
            <v>нг</v>
          </cell>
          <cell r="W453" t="str">
            <v>Прмывка забоя, пуск под закачку</v>
          </cell>
        </row>
        <row r="454">
          <cell r="B454">
            <v>5371</v>
          </cell>
          <cell r="C454">
            <v>102</v>
          </cell>
          <cell r="F454" t="str">
            <v>УПНПиКРС</v>
          </cell>
          <cell r="G454">
            <v>255</v>
          </cell>
          <cell r="H454" t="str">
            <v>нагнет.</v>
          </cell>
          <cell r="I454" t="str">
            <v>бд</v>
          </cell>
          <cell r="J454">
            <v>35779</v>
          </cell>
          <cell r="K454">
            <v>240</v>
          </cell>
          <cell r="L454">
            <v>0</v>
          </cell>
          <cell r="Q454">
            <v>0</v>
          </cell>
          <cell r="T454">
            <v>3</v>
          </cell>
          <cell r="U454" t="str">
            <v>нг</v>
          </cell>
          <cell r="W454" t="str">
            <v>Прмывка забоя, пуск под закачку</v>
          </cell>
        </row>
        <row r="455">
          <cell r="B455">
            <v>5372</v>
          </cell>
          <cell r="C455">
            <v>102</v>
          </cell>
          <cell r="F455" t="str">
            <v>УПНПиКРС</v>
          </cell>
          <cell r="G455">
            <v>250</v>
          </cell>
          <cell r="H455" t="str">
            <v>нагнет.</v>
          </cell>
          <cell r="I455" t="str">
            <v>бд</v>
          </cell>
          <cell r="J455">
            <v>32843</v>
          </cell>
          <cell r="K455">
            <v>130</v>
          </cell>
          <cell r="L455">
            <v>0</v>
          </cell>
          <cell r="Q455">
            <v>0</v>
          </cell>
          <cell r="T455">
            <v>3</v>
          </cell>
          <cell r="U455" t="str">
            <v>нг</v>
          </cell>
          <cell r="W455" t="str">
            <v>Л,А. Прмывка забоя, пуск под закачку</v>
          </cell>
          <cell r="Y455" t="str">
            <v>Полет НКТ. Нз - 102 м</v>
          </cell>
        </row>
        <row r="456">
          <cell r="B456">
            <v>5373</v>
          </cell>
          <cell r="C456">
            <v>103</v>
          </cell>
          <cell r="F456" t="str">
            <v>УПНПиКРС</v>
          </cell>
          <cell r="G456">
            <v>239</v>
          </cell>
          <cell r="H456" t="str">
            <v>нагнет.</v>
          </cell>
          <cell r="I456" t="str">
            <v>конс.</v>
          </cell>
          <cell r="J456">
            <v>34474</v>
          </cell>
          <cell r="K456">
            <v>375</v>
          </cell>
          <cell r="L456">
            <v>0</v>
          </cell>
          <cell r="Q456">
            <v>0</v>
          </cell>
          <cell r="T456">
            <v>3</v>
          </cell>
          <cell r="U456" t="str">
            <v>нг</v>
          </cell>
          <cell r="W456" t="str">
            <v>Прмывка забоя, пуск под закачку</v>
          </cell>
        </row>
        <row r="457">
          <cell r="B457">
            <v>5374</v>
          </cell>
          <cell r="C457">
            <v>103</v>
          </cell>
          <cell r="F457" t="str">
            <v>УПНПиКРС</v>
          </cell>
          <cell r="G457">
            <v>241</v>
          </cell>
          <cell r="H457" t="str">
            <v>нагнет.</v>
          </cell>
          <cell r="I457" t="str">
            <v>конс.</v>
          </cell>
          <cell r="J457">
            <v>34474</v>
          </cell>
          <cell r="K457">
            <v>180</v>
          </cell>
          <cell r="L457">
            <v>0</v>
          </cell>
          <cell r="Q457">
            <v>0</v>
          </cell>
          <cell r="T457">
            <v>3</v>
          </cell>
          <cell r="U457" t="str">
            <v>нг</v>
          </cell>
          <cell r="W457" t="str">
            <v>Прмывка забоя, пуск под закачку</v>
          </cell>
        </row>
        <row r="458">
          <cell r="B458">
            <v>5626</v>
          </cell>
          <cell r="C458">
            <v>119</v>
          </cell>
          <cell r="G458">
            <v>252</v>
          </cell>
          <cell r="H458" t="str">
            <v>нагнет.</v>
          </cell>
          <cell r="I458" t="str">
            <v>бд</v>
          </cell>
          <cell r="N458">
            <v>150</v>
          </cell>
          <cell r="Q458">
            <v>150</v>
          </cell>
          <cell r="T458">
            <v>3</v>
          </cell>
          <cell r="U458" t="str">
            <v>нг</v>
          </cell>
          <cell r="W458" t="str">
            <v>Прмывка забоя, пуск под закачку</v>
          </cell>
        </row>
        <row r="459">
          <cell r="B459">
            <v>5629</v>
          </cell>
          <cell r="C459">
            <v>120</v>
          </cell>
          <cell r="G459">
            <v>255</v>
          </cell>
          <cell r="H459" t="str">
            <v>нагнет.</v>
          </cell>
          <cell r="I459" t="str">
            <v>бд</v>
          </cell>
          <cell r="N459">
            <v>150</v>
          </cell>
          <cell r="Q459">
            <v>150</v>
          </cell>
          <cell r="T459">
            <v>3</v>
          </cell>
          <cell r="U459" t="str">
            <v>нг</v>
          </cell>
          <cell r="W459" t="str">
            <v>Прмывка забоя, пуск под закачку</v>
          </cell>
        </row>
        <row r="460">
          <cell r="B460">
            <v>5631</v>
          </cell>
          <cell r="C460">
            <v>120</v>
          </cell>
          <cell r="G460">
            <v>261</v>
          </cell>
          <cell r="H460" t="str">
            <v>нагнет.</v>
          </cell>
          <cell r="I460" t="str">
            <v>бд</v>
          </cell>
          <cell r="N460">
            <v>150</v>
          </cell>
          <cell r="Q460">
            <v>150</v>
          </cell>
          <cell r="T460">
            <v>3</v>
          </cell>
          <cell r="U460" t="str">
            <v>нг</v>
          </cell>
          <cell r="W460" t="str">
            <v>Прмывка забоя, пуск под закачку</v>
          </cell>
        </row>
        <row r="461">
          <cell r="B461">
            <v>3170</v>
          </cell>
          <cell r="C461">
            <v>55</v>
          </cell>
          <cell r="F461" t="str">
            <v>прс</v>
          </cell>
          <cell r="H461" t="str">
            <v>эцн</v>
          </cell>
          <cell r="I461" t="str">
            <v>конс.</v>
          </cell>
          <cell r="K461">
            <v>0</v>
          </cell>
          <cell r="L461">
            <v>0</v>
          </cell>
          <cell r="M461">
            <v>0</v>
          </cell>
          <cell r="N461">
            <v>50</v>
          </cell>
          <cell r="O461">
            <v>4.0999999999999996</v>
          </cell>
          <cell r="P461">
            <v>90</v>
          </cell>
          <cell r="Q461">
            <v>14</v>
          </cell>
          <cell r="R461">
            <v>8.1</v>
          </cell>
          <cell r="S461">
            <v>29</v>
          </cell>
          <cell r="T461">
            <v>37862</v>
          </cell>
          <cell r="W461" t="str">
            <v>ВЦ,см.Э-50</v>
          </cell>
        </row>
        <row r="462">
          <cell r="B462">
            <v>3402</v>
          </cell>
          <cell r="C462">
            <v>68</v>
          </cell>
          <cell r="F462" t="str">
            <v>прс</v>
          </cell>
          <cell r="H462" t="str">
            <v>эцн</v>
          </cell>
          <cell r="I462" t="str">
            <v>действ.</v>
          </cell>
          <cell r="K462">
            <v>120</v>
          </cell>
          <cell r="L462">
            <v>6.8</v>
          </cell>
          <cell r="M462">
            <v>93</v>
          </cell>
          <cell r="N462">
            <v>208</v>
          </cell>
          <cell r="O462">
            <v>11.9</v>
          </cell>
          <cell r="P462">
            <v>93</v>
          </cell>
          <cell r="Q462">
            <v>88</v>
          </cell>
          <cell r="R462">
            <v>5.0999999999999996</v>
          </cell>
          <cell r="S462">
            <v>92.8</v>
          </cell>
          <cell r="T462">
            <v>37884</v>
          </cell>
          <cell r="U462" t="str">
            <v>опт</v>
          </cell>
          <cell r="W462" t="str">
            <v>Смена  Э-125/Э-200</v>
          </cell>
        </row>
        <row r="463">
          <cell r="B463">
            <v>5267</v>
          </cell>
          <cell r="T463">
            <v>37811</v>
          </cell>
          <cell r="X463">
            <v>37823</v>
          </cell>
        </row>
        <row r="464">
          <cell r="B464">
            <v>4378</v>
          </cell>
          <cell r="C464" t="str">
            <v>216б</v>
          </cell>
          <cell r="F464" t="str">
            <v>ПРС</v>
          </cell>
          <cell r="H464" t="str">
            <v>ШГН</v>
          </cell>
          <cell r="I464" t="str">
            <v>действ.</v>
          </cell>
          <cell r="X464" t="str">
            <v>15,/07/2003</v>
          </cell>
        </row>
        <row r="465">
          <cell r="B465">
            <v>3503</v>
          </cell>
          <cell r="C465" t="str">
            <v>98б</v>
          </cell>
          <cell r="F465" t="str">
            <v>ПРС</v>
          </cell>
          <cell r="H465" t="str">
            <v>ЭЦН</v>
          </cell>
          <cell r="I465" t="str">
            <v>конс.</v>
          </cell>
          <cell r="U465" t="str">
            <v>ВЦ</v>
          </cell>
          <cell r="W465" t="str">
            <v>ВЦ КОПС,см.вор/Э-30</v>
          </cell>
        </row>
        <row r="466">
          <cell r="B466">
            <v>2787</v>
          </cell>
          <cell r="C466">
            <v>145</v>
          </cell>
          <cell r="F466" t="str">
            <v>ПРС</v>
          </cell>
          <cell r="H466" t="str">
            <v>ШГН</v>
          </cell>
          <cell r="I466" t="str">
            <v>бдт</v>
          </cell>
          <cell r="J466">
            <v>37671</v>
          </cell>
          <cell r="K466">
            <v>0</v>
          </cell>
          <cell r="L466">
            <v>0</v>
          </cell>
          <cell r="M466">
            <v>0</v>
          </cell>
          <cell r="N466">
            <v>14</v>
          </cell>
          <cell r="O466">
            <v>8.1</v>
          </cell>
          <cell r="P466">
            <v>29</v>
          </cell>
          <cell r="Q466">
            <v>14</v>
          </cell>
          <cell r="R466">
            <v>8.1</v>
          </cell>
          <cell r="S466">
            <v>29</v>
          </cell>
          <cell r="T466">
            <v>37725</v>
          </cell>
          <cell r="U466" t="str">
            <v>ВЦД</v>
          </cell>
          <cell r="W466" t="str">
            <v>Смена НВ-44,"Э-пр"</v>
          </cell>
        </row>
        <row r="467">
          <cell r="B467">
            <v>5224</v>
          </cell>
          <cell r="C467">
            <v>145</v>
          </cell>
          <cell r="F467" t="str">
            <v>ПРС</v>
          </cell>
          <cell r="H467" t="str">
            <v>ЭЦН</v>
          </cell>
          <cell r="I467" t="str">
            <v>конс.</v>
          </cell>
          <cell r="J467" t="str">
            <v>95г.</v>
          </cell>
          <cell r="K467">
            <v>0</v>
          </cell>
          <cell r="L467">
            <v>0</v>
          </cell>
          <cell r="M467">
            <v>0</v>
          </cell>
          <cell r="N467">
            <v>50</v>
          </cell>
          <cell r="O467">
            <v>4.0999999999999996</v>
          </cell>
          <cell r="P467">
            <v>90</v>
          </cell>
          <cell r="Q467">
            <v>50</v>
          </cell>
          <cell r="R467">
            <v>4.0999999999999996</v>
          </cell>
          <cell r="S467">
            <v>90</v>
          </cell>
          <cell r="T467">
            <v>37734</v>
          </cell>
          <cell r="U467" t="str">
            <v>ВЦ</v>
          </cell>
          <cell r="W467" t="str">
            <v>смена Э-50</v>
          </cell>
        </row>
        <row r="468">
          <cell r="B468">
            <v>3837</v>
          </cell>
          <cell r="C468">
            <v>97</v>
          </cell>
          <cell r="F468" t="str">
            <v>ПРС</v>
          </cell>
          <cell r="H468" t="str">
            <v>ЭЦН</v>
          </cell>
          <cell r="I468" t="str">
            <v>бд</v>
          </cell>
          <cell r="K468">
            <v>0</v>
          </cell>
          <cell r="L468">
            <v>0</v>
          </cell>
          <cell r="M468">
            <v>0</v>
          </cell>
          <cell r="N468">
            <v>80</v>
          </cell>
          <cell r="O468">
            <v>4.5999999999999996</v>
          </cell>
          <cell r="P468">
            <v>93</v>
          </cell>
          <cell r="Q468">
            <v>80</v>
          </cell>
          <cell r="R468">
            <v>4.5999999999999996</v>
          </cell>
          <cell r="S468">
            <v>93</v>
          </cell>
          <cell r="T468">
            <v>37718</v>
          </cell>
          <cell r="U468" t="str">
            <v>ВЦД</v>
          </cell>
          <cell r="W468" t="str">
            <v>Смена Э80/Э-80</v>
          </cell>
        </row>
        <row r="469">
          <cell r="B469">
            <v>4262</v>
          </cell>
          <cell r="C469">
            <v>200</v>
          </cell>
          <cell r="F469" t="str">
            <v>ПРС</v>
          </cell>
          <cell r="H469" t="str">
            <v>ЭЦН</v>
          </cell>
          <cell r="I469" t="str">
            <v>действ.</v>
          </cell>
          <cell r="K469">
            <v>268</v>
          </cell>
          <cell r="L469">
            <v>15.3</v>
          </cell>
          <cell r="M469">
            <v>93</v>
          </cell>
          <cell r="N469">
            <v>398</v>
          </cell>
          <cell r="O469">
            <v>22.7</v>
          </cell>
          <cell r="P469">
            <v>93</v>
          </cell>
          <cell r="Q469">
            <v>130</v>
          </cell>
          <cell r="R469">
            <v>7.4</v>
          </cell>
          <cell r="S469">
            <v>93</v>
          </cell>
          <cell r="T469">
            <v>37695</v>
          </cell>
          <cell r="U469" t="str">
            <v>опт</v>
          </cell>
          <cell r="W469" t="str">
            <v>Смена Э-250/400</v>
          </cell>
        </row>
        <row r="470">
          <cell r="B470">
            <v>3666</v>
          </cell>
          <cell r="C470">
            <v>301</v>
          </cell>
          <cell r="F470" t="str">
            <v>ПРС</v>
          </cell>
          <cell r="H470" t="str">
            <v>ЭЦН</v>
          </cell>
          <cell r="I470" t="str">
            <v>действ.</v>
          </cell>
          <cell r="K470">
            <v>85</v>
          </cell>
          <cell r="L470">
            <v>4.2</v>
          </cell>
          <cell r="M470">
            <v>94</v>
          </cell>
          <cell r="N470">
            <v>237</v>
          </cell>
          <cell r="O470">
            <v>11.7</v>
          </cell>
          <cell r="P470">
            <v>93.95</v>
          </cell>
          <cell r="Q470">
            <v>152</v>
          </cell>
          <cell r="R470">
            <v>7.5</v>
          </cell>
          <cell r="S470">
            <v>93.9</v>
          </cell>
          <cell r="T470">
            <v>37686</v>
          </cell>
          <cell r="U470" t="str">
            <v>опт</v>
          </cell>
          <cell r="W470" t="str">
            <v>Смена Э-125/250</v>
          </cell>
        </row>
        <row r="471">
          <cell r="B471">
            <v>3027</v>
          </cell>
          <cell r="C471">
            <v>52</v>
          </cell>
          <cell r="F471" t="str">
            <v>ПРС</v>
          </cell>
          <cell r="H471" t="str">
            <v>ЭЦН</v>
          </cell>
          <cell r="I471" t="str">
            <v>действ.</v>
          </cell>
          <cell r="K471">
            <v>19</v>
          </cell>
          <cell r="L471">
            <v>9.3000000000000007</v>
          </cell>
          <cell r="M471">
            <v>40</v>
          </cell>
          <cell r="N471">
            <v>29.6</v>
          </cell>
          <cell r="O471">
            <v>14.5</v>
          </cell>
          <cell r="P471">
            <v>40</v>
          </cell>
          <cell r="Q471">
            <v>10.6</v>
          </cell>
          <cell r="R471">
            <v>5.2</v>
          </cell>
          <cell r="S471">
            <v>39.4</v>
          </cell>
          <cell r="T471">
            <v>37721</v>
          </cell>
          <cell r="U471" t="str">
            <v>опт</v>
          </cell>
          <cell r="W471" t="str">
            <v>Смена НВ-44/Э-30</v>
          </cell>
          <cell r="AD471">
            <v>37714</v>
          </cell>
          <cell r="AE471">
            <v>37718</v>
          </cell>
        </row>
        <row r="472">
          <cell r="B472">
            <v>2857</v>
          </cell>
          <cell r="C472">
            <v>42</v>
          </cell>
          <cell r="F472" t="str">
            <v>ПРС</v>
          </cell>
          <cell r="H472" t="str">
            <v>ШГН</v>
          </cell>
          <cell r="I472" t="str">
            <v>действ.</v>
          </cell>
          <cell r="K472">
            <v>42</v>
          </cell>
          <cell r="L472">
            <v>22.6</v>
          </cell>
          <cell r="M472">
            <v>34</v>
          </cell>
          <cell r="N472">
            <v>54.1</v>
          </cell>
          <cell r="O472">
            <v>29.1</v>
          </cell>
          <cell r="P472">
            <v>34</v>
          </cell>
          <cell r="Q472">
            <v>12.1</v>
          </cell>
          <cell r="R472">
            <v>6.5</v>
          </cell>
          <cell r="S472">
            <v>33.700000000000003</v>
          </cell>
          <cell r="T472">
            <v>37848</v>
          </cell>
          <cell r="U472" t="str">
            <v>опт</v>
          </cell>
          <cell r="W472" t="str">
            <v>Смена Э-30/50</v>
          </cell>
          <cell r="AD472">
            <v>37840</v>
          </cell>
          <cell r="AE472">
            <v>37845</v>
          </cell>
        </row>
        <row r="473">
          <cell r="B473">
            <v>5322</v>
          </cell>
          <cell r="C473">
            <v>135</v>
          </cell>
          <cell r="F473" t="str">
            <v>ПРС</v>
          </cell>
          <cell r="H473" t="str">
            <v>ЭЦН</v>
          </cell>
          <cell r="I473" t="str">
            <v>действ.</v>
          </cell>
          <cell r="K473">
            <v>165</v>
          </cell>
          <cell r="L473">
            <v>13.4</v>
          </cell>
          <cell r="M473">
            <v>90</v>
          </cell>
          <cell r="N473">
            <v>250</v>
          </cell>
          <cell r="O473">
            <v>20</v>
          </cell>
          <cell r="P473">
            <v>90</v>
          </cell>
          <cell r="Q473">
            <v>85</v>
          </cell>
          <cell r="R473">
            <v>6.6</v>
          </cell>
          <cell r="S473">
            <v>90</v>
          </cell>
          <cell r="T473">
            <v>38465</v>
          </cell>
          <cell r="U473" t="str">
            <v>опт</v>
          </cell>
          <cell r="W473" t="str">
            <v>Смена Э-200/250</v>
          </cell>
          <cell r="AD473">
            <v>37717</v>
          </cell>
          <cell r="AE473">
            <v>37728</v>
          </cell>
        </row>
        <row r="474">
          <cell r="B474">
            <v>3815</v>
          </cell>
          <cell r="C474">
            <v>87</v>
          </cell>
          <cell r="F474" t="str">
            <v>ПРС</v>
          </cell>
          <cell r="H474" t="str">
            <v>фон</v>
          </cell>
          <cell r="I474" t="str">
            <v>бд</v>
          </cell>
          <cell r="K474">
            <v>0</v>
          </cell>
          <cell r="L474">
            <v>0</v>
          </cell>
          <cell r="M474">
            <v>0</v>
          </cell>
          <cell r="N474">
            <v>80</v>
          </cell>
          <cell r="O474">
            <v>4.5999999999999996</v>
          </cell>
          <cell r="P474">
            <v>93</v>
          </cell>
          <cell r="Q474">
            <v>80</v>
          </cell>
          <cell r="R474">
            <v>4.5999999999999996</v>
          </cell>
          <cell r="S474">
            <v>92.9</v>
          </cell>
          <cell r="T474">
            <v>37741</v>
          </cell>
          <cell r="U474" t="str">
            <v>ВЦД</v>
          </cell>
          <cell r="W474" t="str">
            <v>ВЦ,смена вор./Э-80</v>
          </cell>
          <cell r="AD474">
            <v>37727</v>
          </cell>
          <cell r="AE474">
            <v>37738</v>
          </cell>
        </row>
        <row r="475">
          <cell r="B475">
            <v>5240</v>
          </cell>
          <cell r="C475">
            <v>134</v>
          </cell>
          <cell r="F475" t="str">
            <v>ПРС</v>
          </cell>
          <cell r="H475" t="str">
            <v>ШГН</v>
          </cell>
          <cell r="I475" t="str">
            <v>бдт</v>
          </cell>
          <cell r="K475">
            <v>0</v>
          </cell>
          <cell r="L475">
            <v>0</v>
          </cell>
          <cell r="M475">
            <v>0</v>
          </cell>
          <cell r="N475">
            <v>9</v>
          </cell>
          <cell r="O475">
            <v>6.6</v>
          </cell>
          <cell r="P475">
            <v>10</v>
          </cell>
          <cell r="Q475">
            <v>9</v>
          </cell>
          <cell r="R475">
            <v>6.6</v>
          </cell>
          <cell r="S475">
            <v>9.5</v>
          </cell>
          <cell r="T475">
            <v>37679</v>
          </cell>
          <cell r="U475" t="str">
            <v>бдт</v>
          </cell>
          <cell r="W475" t="str">
            <v>Смена вор/Н-44</v>
          </cell>
        </row>
        <row r="476">
          <cell r="B476">
            <v>5644</v>
          </cell>
          <cell r="C476">
            <v>126</v>
          </cell>
          <cell r="F476" t="str">
            <v>КРС</v>
          </cell>
          <cell r="H476" t="str">
            <v>ЭЦН</v>
          </cell>
          <cell r="I476" t="str">
            <v>действ.</v>
          </cell>
          <cell r="K476">
            <v>18</v>
          </cell>
          <cell r="L476">
            <v>12.8</v>
          </cell>
          <cell r="M476">
            <v>13</v>
          </cell>
          <cell r="N476">
            <v>25</v>
          </cell>
          <cell r="O476">
            <v>17.7</v>
          </cell>
          <cell r="P476">
            <v>13</v>
          </cell>
          <cell r="Q476">
            <v>7</v>
          </cell>
          <cell r="R476">
            <v>4.9000000000000004</v>
          </cell>
          <cell r="S476">
            <v>13.6</v>
          </cell>
          <cell r="T476">
            <v>37650</v>
          </cell>
          <cell r="U476" t="str">
            <v>ОПЗД</v>
          </cell>
          <cell r="AD476">
            <v>37631</v>
          </cell>
          <cell r="AE476">
            <v>37643</v>
          </cell>
        </row>
        <row r="477">
          <cell r="B477">
            <v>2695</v>
          </cell>
          <cell r="C477">
            <v>163</v>
          </cell>
          <cell r="F477" t="str">
            <v>ПРС</v>
          </cell>
          <cell r="H477" t="str">
            <v>фон</v>
          </cell>
          <cell r="I477" t="str">
            <v>конс.</v>
          </cell>
          <cell r="J477">
            <v>33725</v>
          </cell>
          <cell r="K477">
            <v>0</v>
          </cell>
          <cell r="L477">
            <v>0</v>
          </cell>
          <cell r="M477">
            <v>0</v>
          </cell>
          <cell r="N477">
            <v>15</v>
          </cell>
          <cell r="O477">
            <v>8.6</v>
          </cell>
          <cell r="P477">
            <v>30</v>
          </cell>
          <cell r="Q477">
            <v>15</v>
          </cell>
          <cell r="R477">
            <v>8.6</v>
          </cell>
          <cell r="S477">
            <v>29.2</v>
          </cell>
          <cell r="T477">
            <v>37650</v>
          </cell>
          <cell r="U477" t="str">
            <v>опт</v>
          </cell>
          <cell r="W477" t="str">
            <v>смена Н-57/Э-30</v>
          </cell>
          <cell r="AE477">
            <v>37657</v>
          </cell>
        </row>
        <row r="478">
          <cell r="B478">
            <v>3626</v>
          </cell>
          <cell r="C478">
            <v>301</v>
          </cell>
          <cell r="F478" t="str">
            <v>ПРС</v>
          </cell>
          <cell r="G478">
            <v>240</v>
          </cell>
          <cell r="H478" t="str">
            <v>ЭЦН</v>
          </cell>
          <cell r="I478" t="str">
            <v>бд</v>
          </cell>
          <cell r="J478">
            <v>34121</v>
          </cell>
          <cell r="K478">
            <v>0</v>
          </cell>
          <cell r="L478">
            <v>0</v>
          </cell>
          <cell r="M478">
            <v>0</v>
          </cell>
          <cell r="N478">
            <v>125</v>
          </cell>
          <cell r="O478">
            <v>5.0999999999999996</v>
          </cell>
          <cell r="P478">
            <v>95</v>
          </cell>
          <cell r="Q478">
            <v>125</v>
          </cell>
          <cell r="R478">
            <v>5.0999999999999996</v>
          </cell>
          <cell r="S478">
            <v>95</v>
          </cell>
          <cell r="T478">
            <v>37664</v>
          </cell>
          <cell r="U478" t="str">
            <v>бдп</v>
          </cell>
          <cell r="AE478">
            <v>37663</v>
          </cell>
        </row>
        <row r="479">
          <cell r="B479">
            <v>5611</v>
          </cell>
          <cell r="C479">
            <v>115</v>
          </cell>
          <cell r="F479" t="str">
            <v>ПРС</v>
          </cell>
          <cell r="H479" t="str">
            <v>ШГН</v>
          </cell>
          <cell r="I479" t="str">
            <v>действ.</v>
          </cell>
          <cell r="J479">
            <v>37640</v>
          </cell>
          <cell r="K479">
            <v>18</v>
          </cell>
          <cell r="L479">
            <v>8.1999999999999993</v>
          </cell>
          <cell r="M479">
            <v>44</v>
          </cell>
          <cell r="N479">
            <v>29</v>
          </cell>
          <cell r="O479">
            <v>13.2</v>
          </cell>
          <cell r="P479">
            <v>44</v>
          </cell>
          <cell r="Q479">
            <v>11</v>
          </cell>
          <cell r="R479">
            <v>5</v>
          </cell>
          <cell r="S479">
            <v>43.9</v>
          </cell>
          <cell r="T479">
            <v>37670</v>
          </cell>
          <cell r="U479" t="str">
            <v>опт</v>
          </cell>
          <cell r="AD479">
            <v>37645</v>
          </cell>
          <cell r="AE479">
            <v>37650</v>
          </cell>
        </row>
        <row r="480">
          <cell r="B480">
            <v>5856</v>
          </cell>
          <cell r="C480">
            <v>169</v>
          </cell>
          <cell r="F480" t="str">
            <v>ПРС</v>
          </cell>
          <cell r="H480" t="str">
            <v>фон.</v>
          </cell>
          <cell r="I480" t="str">
            <v>бд</v>
          </cell>
          <cell r="J480">
            <v>36585</v>
          </cell>
          <cell r="K480">
            <v>0</v>
          </cell>
          <cell r="L480">
            <v>0</v>
          </cell>
          <cell r="M480">
            <v>0</v>
          </cell>
          <cell r="N480">
            <v>30</v>
          </cell>
          <cell r="O480">
            <v>3.7</v>
          </cell>
          <cell r="P480">
            <v>85</v>
          </cell>
          <cell r="Q480">
            <v>30</v>
          </cell>
          <cell r="R480">
            <v>3.7</v>
          </cell>
          <cell r="S480">
            <v>84.8</v>
          </cell>
          <cell r="T480">
            <v>37636</v>
          </cell>
          <cell r="U480" t="str">
            <v>бдп</v>
          </cell>
          <cell r="W480" t="str">
            <v>Смена вор./Э-30</v>
          </cell>
          <cell r="AD480">
            <v>37608</v>
          </cell>
          <cell r="AE480">
            <v>37642</v>
          </cell>
        </row>
        <row r="481">
          <cell r="B481">
            <v>3888</v>
          </cell>
          <cell r="C481">
            <v>99</v>
          </cell>
          <cell r="F481" t="str">
            <v>Э-прогрев</v>
          </cell>
          <cell r="G481">
            <v>240</v>
          </cell>
          <cell r="H481" t="str">
            <v>ЭЦН</v>
          </cell>
          <cell r="I481" t="str">
            <v>конс.</v>
          </cell>
          <cell r="J481">
            <v>34274</v>
          </cell>
          <cell r="K481">
            <v>0</v>
          </cell>
          <cell r="L481">
            <v>0</v>
          </cell>
          <cell r="M481">
            <v>0</v>
          </cell>
          <cell r="N481">
            <v>50</v>
          </cell>
          <cell r="O481">
            <v>4.0999999999999996</v>
          </cell>
          <cell r="P481">
            <v>90</v>
          </cell>
          <cell r="Q481">
            <v>50</v>
          </cell>
          <cell r="R481">
            <v>4.0999999999999996</v>
          </cell>
          <cell r="S481">
            <v>89.9</v>
          </cell>
          <cell r="T481">
            <v>37685</v>
          </cell>
          <cell r="U481" t="str">
            <v>ВЦД</v>
          </cell>
          <cell r="W481" t="str">
            <v>ВЦ</v>
          </cell>
        </row>
        <row r="482">
          <cell r="B482">
            <v>5855</v>
          </cell>
          <cell r="C482">
            <v>169</v>
          </cell>
          <cell r="F482" t="str">
            <v>ПРС</v>
          </cell>
          <cell r="H482" t="str">
            <v>фон</v>
          </cell>
          <cell r="I482" t="str">
            <v>конс.</v>
          </cell>
          <cell r="J482">
            <v>35401</v>
          </cell>
          <cell r="K482">
            <v>0</v>
          </cell>
          <cell r="L482">
            <v>0</v>
          </cell>
          <cell r="M482">
            <v>0</v>
          </cell>
          <cell r="N482">
            <v>30</v>
          </cell>
          <cell r="O482">
            <v>12.2</v>
          </cell>
          <cell r="P482">
            <v>50</v>
          </cell>
          <cell r="Q482">
            <v>30</v>
          </cell>
          <cell r="R482">
            <v>12.2</v>
          </cell>
          <cell r="S482">
            <v>49.8</v>
          </cell>
          <cell r="T482">
            <v>37593</v>
          </cell>
          <cell r="U482" t="str">
            <v>вцд</v>
          </cell>
          <cell r="W482" t="str">
            <v>Смена вор./Э-30</v>
          </cell>
        </row>
        <row r="483">
          <cell r="B483">
            <v>5851</v>
          </cell>
          <cell r="C483">
            <v>169</v>
          </cell>
          <cell r="F483" t="str">
            <v>ПРС</v>
          </cell>
          <cell r="H483" t="str">
            <v>фон</v>
          </cell>
          <cell r="I483" t="str">
            <v>бд</v>
          </cell>
          <cell r="J483">
            <v>36840</v>
          </cell>
          <cell r="K483">
            <v>0</v>
          </cell>
          <cell r="L483">
            <v>0</v>
          </cell>
          <cell r="M483">
            <v>0</v>
          </cell>
          <cell r="N483">
            <v>80</v>
          </cell>
          <cell r="O483">
            <v>3.3</v>
          </cell>
          <cell r="P483">
            <v>95</v>
          </cell>
          <cell r="Q483">
            <v>80</v>
          </cell>
          <cell r="R483">
            <v>3.3</v>
          </cell>
          <cell r="S483">
            <v>94.9</v>
          </cell>
          <cell r="T483">
            <v>37607</v>
          </cell>
          <cell r="U483" t="str">
            <v>бдп</v>
          </cell>
          <cell r="W483" t="str">
            <v>Смена вор./Э-80</v>
          </cell>
        </row>
        <row r="484">
          <cell r="B484">
            <v>5715</v>
          </cell>
          <cell r="C484">
            <v>128</v>
          </cell>
          <cell r="F484" t="str">
            <v>ПРС</v>
          </cell>
          <cell r="H484" t="str">
            <v>фон</v>
          </cell>
          <cell r="I484" t="str">
            <v>бд</v>
          </cell>
          <cell r="J484">
            <v>32006</v>
          </cell>
          <cell r="K484">
            <v>0</v>
          </cell>
          <cell r="L484">
            <v>0</v>
          </cell>
          <cell r="M484">
            <v>0</v>
          </cell>
          <cell r="N484">
            <v>50</v>
          </cell>
          <cell r="O484">
            <v>8.1999999999999993</v>
          </cell>
          <cell r="P484">
            <v>80</v>
          </cell>
          <cell r="Q484">
            <v>50</v>
          </cell>
          <cell r="R484">
            <v>8.1999999999999993</v>
          </cell>
          <cell r="S484">
            <v>79.8</v>
          </cell>
          <cell r="T484">
            <v>37593</v>
          </cell>
          <cell r="U484" t="str">
            <v>вцд</v>
          </cell>
          <cell r="W484" t="str">
            <v>Смена вор./Э-50</v>
          </cell>
        </row>
        <row r="485">
          <cell r="B485">
            <v>2991</v>
          </cell>
          <cell r="C485">
            <v>48</v>
          </cell>
          <cell r="F485" t="str">
            <v>ПРС</v>
          </cell>
          <cell r="G485">
            <v>255</v>
          </cell>
          <cell r="H485" t="str">
            <v>ЭЦН</v>
          </cell>
          <cell r="I485" t="str">
            <v>действ.</v>
          </cell>
          <cell r="K485">
            <v>82</v>
          </cell>
          <cell r="L485">
            <v>10.7</v>
          </cell>
          <cell r="M485">
            <v>84</v>
          </cell>
          <cell r="N485">
            <v>118</v>
          </cell>
          <cell r="O485">
            <v>15.4</v>
          </cell>
          <cell r="P485">
            <v>84</v>
          </cell>
          <cell r="Q485">
            <v>36</v>
          </cell>
          <cell r="R485">
            <v>4.7</v>
          </cell>
          <cell r="S485">
            <v>83.9</v>
          </cell>
          <cell r="T485">
            <v>37601</v>
          </cell>
          <cell r="U485" t="str">
            <v>опт</v>
          </cell>
          <cell r="W485" t="str">
            <v>Смена Э-80/Э-125</v>
          </cell>
        </row>
        <row r="486">
          <cell r="B486">
            <v>2921</v>
          </cell>
          <cell r="C486" t="str">
            <v>43б</v>
          </cell>
          <cell r="F486" t="str">
            <v>ПРС</v>
          </cell>
          <cell r="H486" t="str">
            <v>ШГН</v>
          </cell>
          <cell r="I486" t="str">
            <v>действ.</v>
          </cell>
          <cell r="K486">
            <v>26</v>
          </cell>
          <cell r="L486">
            <v>13.8</v>
          </cell>
          <cell r="M486">
            <v>35</v>
          </cell>
          <cell r="N486">
            <v>37</v>
          </cell>
          <cell r="O486">
            <v>19.8</v>
          </cell>
          <cell r="P486">
            <v>35</v>
          </cell>
          <cell r="Q486">
            <v>11</v>
          </cell>
          <cell r="R486">
            <v>6</v>
          </cell>
          <cell r="S486">
            <v>32.700000000000003</v>
          </cell>
          <cell r="T486">
            <v>37605</v>
          </cell>
          <cell r="U486" t="str">
            <v>опт</v>
          </cell>
          <cell r="W486" t="str">
            <v>Смена Н-44/Э-30</v>
          </cell>
          <cell r="Y486" t="str">
            <v>Нет СУ</v>
          </cell>
        </row>
        <row r="487">
          <cell r="B487">
            <v>5553</v>
          </cell>
          <cell r="C487">
            <v>117</v>
          </cell>
          <cell r="F487" t="str">
            <v>ПРС</v>
          </cell>
          <cell r="H487" t="str">
            <v>ШГН</v>
          </cell>
          <cell r="I487" t="str">
            <v>конс.</v>
          </cell>
          <cell r="J487">
            <v>33178</v>
          </cell>
          <cell r="K487">
            <v>0</v>
          </cell>
          <cell r="L487">
            <v>0</v>
          </cell>
          <cell r="M487">
            <v>0</v>
          </cell>
          <cell r="N487">
            <v>30</v>
          </cell>
          <cell r="O487">
            <v>9.8000000000000007</v>
          </cell>
          <cell r="P487">
            <v>60</v>
          </cell>
          <cell r="Q487">
            <v>30</v>
          </cell>
          <cell r="R487">
            <v>9.8000000000000007</v>
          </cell>
          <cell r="S487">
            <v>59.7</v>
          </cell>
          <cell r="T487">
            <v>37923</v>
          </cell>
          <cell r="U487" t="str">
            <v>ВЦ</v>
          </cell>
          <cell r="W487" t="str">
            <v>ВЦ ПП.ЮК-10.МШУ,сп.Э-30</v>
          </cell>
          <cell r="X487" t="str">
            <v>непроход</v>
          </cell>
          <cell r="Z487" t="str">
            <v>?</v>
          </cell>
        </row>
        <row r="488">
          <cell r="B488">
            <v>2817</v>
          </cell>
          <cell r="C488">
            <v>145</v>
          </cell>
          <cell r="F488" t="str">
            <v>ПРС</v>
          </cell>
          <cell r="H488" t="str">
            <v>Ф/Э</v>
          </cell>
          <cell r="I488" t="str">
            <v>бд</v>
          </cell>
          <cell r="J488">
            <v>34282</v>
          </cell>
          <cell r="K488">
            <v>0</v>
          </cell>
          <cell r="L488">
            <v>0</v>
          </cell>
          <cell r="M488">
            <v>0</v>
          </cell>
          <cell r="N488">
            <v>50</v>
          </cell>
          <cell r="O488">
            <v>4.0999999999999996</v>
          </cell>
          <cell r="P488">
            <v>90</v>
          </cell>
          <cell r="Q488">
            <v>50</v>
          </cell>
          <cell r="R488">
            <v>4.0999999999999996</v>
          </cell>
          <cell r="S488">
            <v>89.9</v>
          </cell>
          <cell r="T488">
            <v>37585</v>
          </cell>
          <cell r="U488" t="str">
            <v>ВЦД</v>
          </cell>
          <cell r="W488" t="str">
            <v>в.ц.,в.з.(г/ж),рев.ЭЦН-50</v>
          </cell>
          <cell r="X488" t="str">
            <v>Прихват ЭЦН</v>
          </cell>
          <cell r="Y488" t="str">
            <v>комплект</v>
          </cell>
          <cell r="Z488" t="str">
            <v>?</v>
          </cell>
        </row>
        <row r="489">
          <cell r="B489">
            <v>3034</v>
          </cell>
          <cell r="C489">
            <v>51</v>
          </cell>
          <cell r="F489" t="str">
            <v>УПНПиКРС</v>
          </cell>
          <cell r="G489">
            <v>265</v>
          </cell>
          <cell r="H489" t="str">
            <v>ШГН</v>
          </cell>
          <cell r="I489" t="str">
            <v>конс.</v>
          </cell>
          <cell r="J489">
            <v>32933</v>
          </cell>
          <cell r="K489">
            <v>0</v>
          </cell>
          <cell r="L489">
            <v>0</v>
          </cell>
          <cell r="M489">
            <v>0</v>
          </cell>
          <cell r="N489">
            <v>30</v>
          </cell>
          <cell r="O489">
            <v>9.8000000000000007</v>
          </cell>
          <cell r="P489">
            <v>60</v>
          </cell>
          <cell r="Q489">
            <v>30</v>
          </cell>
          <cell r="R489">
            <v>9.8000000000000007</v>
          </cell>
          <cell r="S489">
            <v>59.7</v>
          </cell>
          <cell r="T489">
            <v>37913</v>
          </cell>
          <cell r="U489" t="str">
            <v>ВЦ</v>
          </cell>
          <cell r="W489" t="str">
            <v>ВЦ ,ВЗМШУ,сп.Э-30</v>
          </cell>
          <cell r="X489" t="str">
            <v>непроход</v>
          </cell>
          <cell r="Y489" t="str">
            <v>комплект</v>
          </cell>
          <cell r="Z489">
            <v>2</v>
          </cell>
          <cell r="AD489">
            <v>37884</v>
          </cell>
          <cell r="AE489">
            <v>37906</v>
          </cell>
        </row>
        <row r="490">
          <cell r="B490">
            <v>5704</v>
          </cell>
          <cell r="C490">
            <v>126</v>
          </cell>
          <cell r="F490" t="str">
            <v>ПРС</v>
          </cell>
          <cell r="H490" t="str">
            <v>ШГН</v>
          </cell>
          <cell r="I490" t="str">
            <v>бд</v>
          </cell>
          <cell r="J490">
            <v>37174</v>
          </cell>
          <cell r="K490">
            <v>0</v>
          </cell>
          <cell r="L490">
            <v>0</v>
          </cell>
          <cell r="M490">
            <v>0</v>
          </cell>
          <cell r="N490">
            <v>10</v>
          </cell>
          <cell r="O490">
            <v>8.1999999999999993</v>
          </cell>
          <cell r="P490">
            <v>0</v>
          </cell>
          <cell r="Q490">
            <v>10</v>
          </cell>
          <cell r="R490">
            <v>8.1999999999999993</v>
          </cell>
          <cell r="S490">
            <v>-1.2</v>
          </cell>
          <cell r="W490" t="str">
            <v>ВЦ КОПС,ВЗ(ГЖ)рев.НВ-44</v>
          </cell>
          <cell r="Y490" t="str">
            <v>комплект</v>
          </cell>
        </row>
        <row r="491">
          <cell r="B491">
            <v>5545</v>
          </cell>
          <cell r="C491">
            <v>115</v>
          </cell>
          <cell r="F491" t="str">
            <v>ПРС</v>
          </cell>
          <cell r="H491" t="str">
            <v>ЭЦН</v>
          </cell>
          <cell r="I491" t="str">
            <v>бд</v>
          </cell>
          <cell r="J491">
            <v>34484</v>
          </cell>
          <cell r="K491">
            <v>0</v>
          </cell>
          <cell r="L491">
            <v>0</v>
          </cell>
          <cell r="M491">
            <v>0</v>
          </cell>
          <cell r="N491">
            <v>250</v>
          </cell>
          <cell r="O491">
            <v>6.1</v>
          </cell>
          <cell r="P491">
            <v>97</v>
          </cell>
          <cell r="Q491">
            <v>250</v>
          </cell>
          <cell r="R491">
            <v>6.1</v>
          </cell>
          <cell r="S491">
            <v>97</v>
          </cell>
          <cell r="W491" t="str">
            <v>ВЗ(ГЖ),шабл.Э/К,см.Э-125/Э-250</v>
          </cell>
          <cell r="Y491" t="str">
            <v>комплект</v>
          </cell>
          <cell r="Z491">
            <v>72</v>
          </cell>
        </row>
        <row r="492">
          <cell r="B492">
            <v>5219</v>
          </cell>
          <cell r="C492">
            <v>135</v>
          </cell>
          <cell r="F492" t="str">
            <v>ПРС</v>
          </cell>
          <cell r="H492" t="str">
            <v>ЭЦН</v>
          </cell>
          <cell r="I492" t="str">
            <v>конс.</v>
          </cell>
          <cell r="J492">
            <v>34366</v>
          </cell>
          <cell r="K492">
            <v>0</v>
          </cell>
          <cell r="L492">
            <v>0</v>
          </cell>
          <cell r="M492">
            <v>0</v>
          </cell>
          <cell r="N492">
            <v>80</v>
          </cell>
          <cell r="O492">
            <v>5.2</v>
          </cell>
          <cell r="P492">
            <v>92</v>
          </cell>
          <cell r="Q492">
            <v>80</v>
          </cell>
          <cell r="R492">
            <v>5.2</v>
          </cell>
          <cell r="S492">
            <v>92</v>
          </cell>
          <cell r="W492" t="str">
            <v>в.ц.,в.з.(г/ж),Э-50/Э-80</v>
          </cell>
          <cell r="Z492" t="str">
            <v>?</v>
          </cell>
        </row>
        <row r="493">
          <cell r="B493">
            <v>5589</v>
          </cell>
          <cell r="C493">
            <v>118</v>
          </cell>
          <cell r="F493" t="str">
            <v>ПРС</v>
          </cell>
          <cell r="H493" t="str">
            <v>Ф/Э</v>
          </cell>
          <cell r="I493" t="str">
            <v>конс.</v>
          </cell>
          <cell r="J493">
            <v>32843</v>
          </cell>
          <cell r="K493">
            <v>0</v>
          </cell>
          <cell r="L493">
            <v>0</v>
          </cell>
          <cell r="M493">
            <v>0</v>
          </cell>
          <cell r="N493">
            <v>125</v>
          </cell>
          <cell r="O493">
            <v>5.0999999999999996</v>
          </cell>
          <cell r="P493">
            <v>95</v>
          </cell>
          <cell r="Q493">
            <v>125</v>
          </cell>
          <cell r="R493">
            <v>5.0999999999999996</v>
          </cell>
          <cell r="S493">
            <v>95</v>
          </cell>
          <cell r="W493" t="str">
            <v>в.ц.,в.з.(г/ж),рев.ЭЦН-125</v>
          </cell>
          <cell r="Y493" t="str">
            <v>комплект</v>
          </cell>
          <cell r="Z493">
            <v>25</v>
          </cell>
        </row>
        <row r="494">
          <cell r="B494">
            <v>5675</v>
          </cell>
          <cell r="C494">
            <v>126</v>
          </cell>
          <cell r="F494" t="str">
            <v>ПРС</v>
          </cell>
          <cell r="H494" t="str">
            <v>ШГН</v>
          </cell>
          <cell r="I494" t="str">
            <v>конс.</v>
          </cell>
          <cell r="J494">
            <v>35585</v>
          </cell>
          <cell r="K494">
            <v>0</v>
          </cell>
          <cell r="L494">
            <v>0</v>
          </cell>
          <cell r="M494">
            <v>0</v>
          </cell>
          <cell r="N494">
            <v>10</v>
          </cell>
          <cell r="O494">
            <v>4.9000000000000004</v>
          </cell>
          <cell r="P494">
            <v>40</v>
          </cell>
          <cell r="Q494">
            <v>10</v>
          </cell>
          <cell r="R494">
            <v>4.9000000000000004</v>
          </cell>
          <cell r="S494">
            <v>39.5</v>
          </cell>
          <cell r="W494" t="str">
            <v>в.ц.,в.з.(г/ж),рев.НВ-44</v>
          </cell>
          <cell r="Y494" t="str">
            <v>комплект</v>
          </cell>
          <cell r="Z494" t="str">
            <v>?</v>
          </cell>
        </row>
        <row r="495">
          <cell r="B495">
            <v>5493</v>
          </cell>
          <cell r="C495">
            <v>106</v>
          </cell>
          <cell r="F495" t="str">
            <v>ПРС</v>
          </cell>
          <cell r="H495" t="str">
            <v>ШГН</v>
          </cell>
          <cell r="I495" t="str">
            <v>конс.</v>
          </cell>
          <cell r="J495">
            <v>35247</v>
          </cell>
          <cell r="K495">
            <v>0</v>
          </cell>
          <cell r="L495">
            <v>0</v>
          </cell>
          <cell r="M495">
            <v>0</v>
          </cell>
          <cell r="N495">
            <v>10</v>
          </cell>
          <cell r="O495">
            <v>3.6</v>
          </cell>
          <cell r="P495">
            <v>55.6</v>
          </cell>
          <cell r="Q495">
            <v>10</v>
          </cell>
          <cell r="R495">
            <v>3.6</v>
          </cell>
          <cell r="S495">
            <v>55.6</v>
          </cell>
          <cell r="T495">
            <v>38601</v>
          </cell>
          <cell r="U495" t="str">
            <v>бдп</v>
          </cell>
          <cell r="W495" t="str">
            <v>В.Ц.(КОПС),рев.НВ-44</v>
          </cell>
        </row>
        <row r="496">
          <cell r="B496">
            <v>3786</v>
          </cell>
          <cell r="C496">
            <v>97</v>
          </cell>
          <cell r="F496" t="str">
            <v>ПРС</v>
          </cell>
          <cell r="H496" t="str">
            <v>Ф/Э</v>
          </cell>
          <cell r="I496" t="str">
            <v>бд</v>
          </cell>
          <cell r="K496">
            <v>0</v>
          </cell>
          <cell r="L496">
            <v>0</v>
          </cell>
          <cell r="M496">
            <v>0</v>
          </cell>
          <cell r="N496">
            <v>50</v>
          </cell>
          <cell r="O496">
            <v>3.6</v>
          </cell>
          <cell r="P496">
            <v>91.1</v>
          </cell>
          <cell r="Q496">
            <v>50</v>
          </cell>
          <cell r="R496">
            <v>3.6</v>
          </cell>
          <cell r="S496">
            <v>91.1</v>
          </cell>
          <cell r="T496">
            <v>38613</v>
          </cell>
          <cell r="U496" t="str">
            <v>бдп</v>
          </cell>
          <cell r="W496" t="str">
            <v>В.Ц.(КОПС),см.Э-50</v>
          </cell>
        </row>
        <row r="497">
          <cell r="B497">
            <v>5587</v>
          </cell>
          <cell r="C497">
            <v>118</v>
          </cell>
          <cell r="F497" t="str">
            <v>ПРС</v>
          </cell>
          <cell r="H497" t="str">
            <v>Ф/Э</v>
          </cell>
          <cell r="I497" t="str">
            <v>бд</v>
          </cell>
          <cell r="J497">
            <v>34883</v>
          </cell>
          <cell r="K497">
            <v>0</v>
          </cell>
          <cell r="L497">
            <v>0</v>
          </cell>
          <cell r="M497">
            <v>0</v>
          </cell>
          <cell r="N497">
            <v>50</v>
          </cell>
          <cell r="O497">
            <v>4.9000000000000004</v>
          </cell>
          <cell r="P497">
            <v>88</v>
          </cell>
          <cell r="Q497">
            <v>50</v>
          </cell>
          <cell r="R497">
            <v>4.9000000000000004</v>
          </cell>
          <cell r="S497">
            <v>87.9</v>
          </cell>
          <cell r="U497" t="str">
            <v>бдп</v>
          </cell>
          <cell r="W497" t="str">
            <v>в.ц.,в.з.(г/ж),вор./Э-50</v>
          </cell>
        </row>
        <row r="498">
          <cell r="B498">
            <v>5553</v>
          </cell>
          <cell r="C498">
            <v>117</v>
          </cell>
          <cell r="F498" t="str">
            <v>ПРС</v>
          </cell>
          <cell r="H498" t="str">
            <v>ШГН</v>
          </cell>
          <cell r="I498" t="str">
            <v>конс.</v>
          </cell>
          <cell r="J498">
            <v>33178</v>
          </cell>
          <cell r="K498">
            <v>0</v>
          </cell>
          <cell r="L498">
            <v>0</v>
          </cell>
          <cell r="M498">
            <v>0</v>
          </cell>
          <cell r="N498">
            <v>50</v>
          </cell>
          <cell r="O498">
            <v>4.9000000000000004</v>
          </cell>
          <cell r="P498">
            <v>88</v>
          </cell>
          <cell r="Q498">
            <v>50</v>
          </cell>
          <cell r="R498">
            <v>4.9000000000000004</v>
          </cell>
          <cell r="S498">
            <v>87.9</v>
          </cell>
          <cell r="U498" t="str">
            <v>бдп</v>
          </cell>
          <cell r="W498" t="str">
            <v>в.ц.,в.з.(г/ж),НН-57/Э-50</v>
          </cell>
          <cell r="Z498" t="str">
            <v>?</v>
          </cell>
        </row>
        <row r="499">
          <cell r="B499">
            <v>4025</v>
          </cell>
          <cell r="C499">
            <v>313</v>
          </cell>
          <cell r="F499" t="str">
            <v>ПРС</v>
          </cell>
          <cell r="H499" t="str">
            <v>фон</v>
          </cell>
          <cell r="I499" t="str">
            <v>конс.</v>
          </cell>
          <cell r="K499">
            <v>0</v>
          </cell>
          <cell r="L499">
            <v>0</v>
          </cell>
          <cell r="M499">
            <v>0</v>
          </cell>
          <cell r="N499">
            <v>50</v>
          </cell>
          <cell r="O499">
            <v>3.6</v>
          </cell>
          <cell r="P499">
            <v>91.1</v>
          </cell>
          <cell r="Q499">
            <v>50</v>
          </cell>
          <cell r="R499">
            <v>3.6</v>
          </cell>
          <cell r="S499">
            <v>91.1</v>
          </cell>
          <cell r="T499">
            <v>38624</v>
          </cell>
          <cell r="U499" t="str">
            <v>бдп</v>
          </cell>
          <cell r="W499" t="str">
            <v>В.Ц.,см.Э-50</v>
          </cell>
        </row>
        <row r="500">
          <cell r="B500">
            <v>3653</v>
          </cell>
          <cell r="C500" t="str">
            <v>96б</v>
          </cell>
          <cell r="F500" t="str">
            <v>ПРС</v>
          </cell>
          <cell r="H500" t="str">
            <v>ЭЦН</v>
          </cell>
          <cell r="I500" t="str">
            <v>конс.</v>
          </cell>
          <cell r="K500">
            <v>0</v>
          </cell>
          <cell r="L500">
            <v>0</v>
          </cell>
          <cell r="M500">
            <v>0</v>
          </cell>
          <cell r="N500">
            <v>50</v>
          </cell>
          <cell r="O500">
            <v>3.6</v>
          </cell>
          <cell r="P500">
            <v>91.1</v>
          </cell>
          <cell r="Q500">
            <v>50</v>
          </cell>
          <cell r="R500">
            <v>3.6</v>
          </cell>
          <cell r="S500">
            <v>91.1</v>
          </cell>
          <cell r="T500">
            <v>38600</v>
          </cell>
          <cell r="U500" t="str">
            <v>бдп</v>
          </cell>
          <cell r="W500" t="str">
            <v>В.Ц.,см.Э-50</v>
          </cell>
        </row>
        <row r="501">
          <cell r="B501">
            <v>2862</v>
          </cell>
          <cell r="C501">
            <v>127</v>
          </cell>
          <cell r="F501" t="str">
            <v>ПРС</v>
          </cell>
          <cell r="H501" t="str">
            <v>ШГН</v>
          </cell>
          <cell r="I501" t="str">
            <v>бд</v>
          </cell>
          <cell r="J501">
            <v>37142</v>
          </cell>
          <cell r="K501">
            <v>0</v>
          </cell>
          <cell r="L501">
            <v>0</v>
          </cell>
          <cell r="M501">
            <v>0</v>
          </cell>
          <cell r="N501">
            <v>50</v>
          </cell>
          <cell r="O501">
            <v>4.0999999999999996</v>
          </cell>
          <cell r="P501">
            <v>90</v>
          </cell>
          <cell r="Q501">
            <v>50</v>
          </cell>
          <cell r="R501">
            <v>4.0999999999999996</v>
          </cell>
          <cell r="S501">
            <v>89.9</v>
          </cell>
          <cell r="T501">
            <v>38173</v>
          </cell>
          <cell r="U501" t="str">
            <v>вцд</v>
          </cell>
          <cell r="W501" t="str">
            <v>ВЦ."БАРС" .См.НН-57/Э-50</v>
          </cell>
          <cell r="Y501" t="str">
            <v>Нет ЭД, СУ.</v>
          </cell>
          <cell r="Z501" t="str">
            <v>?</v>
          </cell>
        </row>
        <row r="502">
          <cell r="B502">
            <v>5224</v>
          </cell>
          <cell r="C502">
            <v>145</v>
          </cell>
          <cell r="F502" t="str">
            <v>ПРС</v>
          </cell>
          <cell r="H502" t="str">
            <v>Ф/Э</v>
          </cell>
          <cell r="I502" t="str">
            <v>конс.</v>
          </cell>
          <cell r="J502">
            <v>34883</v>
          </cell>
          <cell r="K502">
            <v>0</v>
          </cell>
          <cell r="L502">
            <v>0</v>
          </cell>
          <cell r="M502">
            <v>0</v>
          </cell>
          <cell r="N502">
            <v>50</v>
          </cell>
          <cell r="O502">
            <v>4.0999999999999996</v>
          </cell>
          <cell r="P502">
            <v>90</v>
          </cell>
          <cell r="Q502">
            <v>50</v>
          </cell>
          <cell r="R502">
            <v>4.0999999999999996</v>
          </cell>
          <cell r="S502">
            <v>89.9</v>
          </cell>
          <cell r="W502" t="str">
            <v>рев.Э-50</v>
          </cell>
          <cell r="Z502">
            <v>15</v>
          </cell>
        </row>
        <row r="503">
          <cell r="B503">
            <v>5583</v>
          </cell>
          <cell r="C503">
            <v>116</v>
          </cell>
          <cell r="F503" t="str">
            <v>ПРС</v>
          </cell>
          <cell r="H503" t="str">
            <v>Ф/Э</v>
          </cell>
          <cell r="I503" t="str">
            <v>конс.</v>
          </cell>
          <cell r="J503">
            <v>34883</v>
          </cell>
          <cell r="K503">
            <v>0</v>
          </cell>
          <cell r="L503">
            <v>0</v>
          </cell>
          <cell r="M503">
            <v>0</v>
          </cell>
          <cell r="N503">
            <v>50</v>
          </cell>
          <cell r="O503">
            <v>4.0999999999999996</v>
          </cell>
          <cell r="P503">
            <v>90</v>
          </cell>
          <cell r="Q503">
            <v>50</v>
          </cell>
          <cell r="R503">
            <v>4.0999999999999996</v>
          </cell>
          <cell r="S503">
            <v>89.9</v>
          </cell>
          <cell r="T503">
            <v>37870</v>
          </cell>
          <cell r="U503" t="str">
            <v>ВЦД</v>
          </cell>
          <cell r="W503" t="str">
            <v>ВЦ.Смена Э-50</v>
          </cell>
          <cell r="Z503">
            <v>1</v>
          </cell>
          <cell r="AD503">
            <v>37836</v>
          </cell>
          <cell r="AE503">
            <v>37865</v>
          </cell>
        </row>
        <row r="504">
          <cell r="B504">
            <v>5352</v>
          </cell>
          <cell r="C504">
            <v>104</v>
          </cell>
          <cell r="F504" t="str">
            <v>ПРС</v>
          </cell>
          <cell r="H504" t="str">
            <v>ЭЦН</v>
          </cell>
          <cell r="I504" t="str">
            <v>бд</v>
          </cell>
          <cell r="J504">
            <v>34001</v>
          </cell>
          <cell r="K504">
            <v>0</v>
          </cell>
          <cell r="L504">
            <v>0</v>
          </cell>
          <cell r="M504">
            <v>0</v>
          </cell>
          <cell r="N504">
            <v>50</v>
          </cell>
          <cell r="O504">
            <v>4.0999999999999996</v>
          </cell>
          <cell r="P504">
            <v>90</v>
          </cell>
          <cell r="Q504">
            <v>50</v>
          </cell>
          <cell r="R504">
            <v>4.0999999999999996</v>
          </cell>
          <cell r="S504">
            <v>89.9</v>
          </cell>
          <cell r="W504" t="str">
            <v>в.ц.,в.з.(г/ж),ЭЦН-80/Э-50</v>
          </cell>
          <cell r="Y504" t="str">
            <v>комплект</v>
          </cell>
        </row>
        <row r="505">
          <cell r="B505">
            <v>3567</v>
          </cell>
          <cell r="C505">
            <v>93</v>
          </cell>
          <cell r="F505" t="str">
            <v>ПРС</v>
          </cell>
          <cell r="H505" t="str">
            <v>ЭЦН</v>
          </cell>
          <cell r="I505" t="str">
            <v>действ.</v>
          </cell>
          <cell r="K505">
            <v>112</v>
          </cell>
          <cell r="L505">
            <v>5.5</v>
          </cell>
          <cell r="M505">
            <v>94</v>
          </cell>
          <cell r="N505">
            <v>233</v>
          </cell>
          <cell r="O505">
            <v>11.4</v>
          </cell>
          <cell r="P505">
            <v>94</v>
          </cell>
          <cell r="Q505">
            <v>121</v>
          </cell>
          <cell r="R505">
            <v>5.9</v>
          </cell>
          <cell r="S505">
            <v>94</v>
          </cell>
          <cell r="U505" t="str">
            <v>опт</v>
          </cell>
          <cell r="W505" t="str">
            <v>Оптимизация Э-125/Э-250</v>
          </cell>
        </row>
        <row r="506">
          <cell r="B506" t="str">
            <v>2821б</v>
          </cell>
          <cell r="C506">
            <v>144</v>
          </cell>
          <cell r="F506" t="str">
            <v>ПРС</v>
          </cell>
          <cell r="H506" t="str">
            <v>ШГН</v>
          </cell>
          <cell r="I506" t="str">
            <v>действ.</v>
          </cell>
          <cell r="K506">
            <v>20</v>
          </cell>
          <cell r="L506">
            <v>13.5</v>
          </cell>
          <cell r="M506">
            <v>17</v>
          </cell>
          <cell r="N506">
            <v>27.8</v>
          </cell>
          <cell r="O506">
            <v>18.8</v>
          </cell>
          <cell r="P506">
            <v>17</v>
          </cell>
          <cell r="Q506">
            <v>7.8</v>
          </cell>
          <cell r="R506">
            <v>5.3</v>
          </cell>
          <cell r="S506">
            <v>16.100000000000001</v>
          </cell>
          <cell r="T506">
            <v>37525</v>
          </cell>
          <cell r="U506" t="str">
            <v>опт</v>
          </cell>
          <cell r="W506" t="str">
            <v>Оптимизация Н-57/Э-30</v>
          </cell>
        </row>
        <row r="507">
          <cell r="B507">
            <v>3038</v>
          </cell>
          <cell r="C507">
            <v>67</v>
          </cell>
          <cell r="F507" t="str">
            <v>КРС</v>
          </cell>
          <cell r="H507" t="str">
            <v>ШГН</v>
          </cell>
          <cell r="I507" t="str">
            <v>конс.</v>
          </cell>
          <cell r="N507">
            <v>50</v>
          </cell>
          <cell r="O507">
            <v>9</v>
          </cell>
          <cell r="P507">
            <v>78</v>
          </cell>
          <cell r="Q507">
            <v>50</v>
          </cell>
          <cell r="R507">
            <v>9</v>
          </cell>
          <cell r="S507">
            <v>78</v>
          </cell>
          <cell r="T507">
            <v>38210</v>
          </cell>
          <cell r="U507" t="str">
            <v>БДк</v>
          </cell>
          <cell r="W507" t="str">
            <v>ВЦ,ВЗ,ПП ЮК-10,ДП КВ,СКО,ГИС-2,сп.Э-50</v>
          </cell>
        </row>
        <row r="508">
          <cell r="B508" t="str">
            <v>104р</v>
          </cell>
          <cell r="F508" t="str">
            <v>ДНГ</v>
          </cell>
          <cell r="H508" t="str">
            <v>ФОН</v>
          </cell>
          <cell r="I508" t="str">
            <v>бд</v>
          </cell>
          <cell r="K508">
            <v>0</v>
          </cell>
          <cell r="L508">
            <v>0</v>
          </cell>
          <cell r="M508">
            <v>0</v>
          </cell>
          <cell r="N508">
            <v>3</v>
          </cell>
          <cell r="O508">
            <v>2.4</v>
          </cell>
          <cell r="P508">
            <v>2</v>
          </cell>
          <cell r="Q508">
            <v>3</v>
          </cell>
          <cell r="R508">
            <v>2.4</v>
          </cell>
          <cell r="S508">
            <v>1.2</v>
          </cell>
          <cell r="T508">
            <v>37522</v>
          </cell>
          <cell r="U508" t="str">
            <v>БДД</v>
          </cell>
          <cell r="W508" t="str">
            <v>На ёмкость</v>
          </cell>
        </row>
        <row r="509">
          <cell r="B509">
            <v>5644</v>
          </cell>
          <cell r="C509">
            <v>126</v>
          </cell>
          <cell r="F509" t="str">
            <v>КРС</v>
          </cell>
          <cell r="H509" t="str">
            <v>ЭЦН</v>
          </cell>
          <cell r="I509" t="str">
            <v>бд</v>
          </cell>
          <cell r="K509">
            <v>0</v>
          </cell>
          <cell r="L509">
            <v>0</v>
          </cell>
          <cell r="M509">
            <v>0</v>
          </cell>
          <cell r="N509">
            <v>27</v>
          </cell>
          <cell r="O509">
            <v>19.8</v>
          </cell>
          <cell r="P509">
            <v>10</v>
          </cell>
          <cell r="Q509">
            <v>27</v>
          </cell>
          <cell r="R509">
            <v>19.8</v>
          </cell>
          <cell r="S509">
            <v>9.5</v>
          </cell>
          <cell r="T509">
            <v>37529</v>
          </cell>
          <cell r="U509" t="str">
            <v>ЗБС</v>
          </cell>
          <cell r="W509" t="str">
            <v>ЗБГС</v>
          </cell>
        </row>
        <row r="510">
          <cell r="B510">
            <v>5659</v>
          </cell>
          <cell r="C510" t="str">
            <v>122б</v>
          </cell>
          <cell r="F510" t="str">
            <v>ПРС</v>
          </cell>
          <cell r="H510" t="str">
            <v>ЭЦН</v>
          </cell>
          <cell r="I510" t="str">
            <v>бд</v>
          </cell>
          <cell r="J510">
            <v>37465</v>
          </cell>
          <cell r="K510">
            <v>0</v>
          </cell>
          <cell r="L510">
            <v>0</v>
          </cell>
          <cell r="M510">
            <v>0</v>
          </cell>
          <cell r="N510">
            <v>30</v>
          </cell>
          <cell r="O510">
            <v>22</v>
          </cell>
          <cell r="P510">
            <v>10</v>
          </cell>
          <cell r="Q510">
            <v>30</v>
          </cell>
          <cell r="R510">
            <v>22</v>
          </cell>
          <cell r="S510">
            <v>9.5</v>
          </cell>
          <cell r="T510">
            <v>37559</v>
          </cell>
          <cell r="U510" t="str">
            <v>БДт</v>
          </cell>
          <cell r="W510" t="str">
            <v>Подъем вор.,ОПЗ СКО (V-30м3), сп.Э-30</v>
          </cell>
        </row>
        <row r="511">
          <cell r="B511">
            <v>5451</v>
          </cell>
          <cell r="C511">
            <v>101</v>
          </cell>
          <cell r="F511" t="str">
            <v>ПРС</v>
          </cell>
          <cell r="H511" t="str">
            <v>ШГН</v>
          </cell>
          <cell r="I511" t="str">
            <v>бд</v>
          </cell>
          <cell r="J511">
            <v>35708</v>
          </cell>
          <cell r="K511">
            <v>0</v>
          </cell>
          <cell r="L511">
            <v>0</v>
          </cell>
          <cell r="M511">
            <v>0</v>
          </cell>
          <cell r="N511">
            <v>10</v>
          </cell>
          <cell r="O511">
            <v>7.6</v>
          </cell>
          <cell r="P511">
            <v>7.1</v>
          </cell>
          <cell r="Q511">
            <v>10</v>
          </cell>
          <cell r="R511">
            <v>7.6</v>
          </cell>
          <cell r="S511">
            <v>6.2</v>
          </cell>
          <cell r="T511">
            <v>37559</v>
          </cell>
          <cell r="U511" t="str">
            <v>БДП</v>
          </cell>
          <cell r="W511" t="str">
            <v>Смена Н-44</v>
          </cell>
        </row>
        <row r="512">
          <cell r="B512">
            <v>2923</v>
          </cell>
          <cell r="C512">
            <v>132</v>
          </cell>
          <cell r="F512" t="str">
            <v>ПРС</v>
          </cell>
          <cell r="H512" t="str">
            <v>ШГН</v>
          </cell>
          <cell r="I512" t="str">
            <v>действ.</v>
          </cell>
          <cell r="K512">
            <v>20</v>
          </cell>
          <cell r="L512">
            <v>7.2</v>
          </cell>
          <cell r="M512">
            <v>56</v>
          </cell>
          <cell r="N512">
            <v>33</v>
          </cell>
          <cell r="O512">
            <v>11.8</v>
          </cell>
          <cell r="P512">
            <v>56</v>
          </cell>
          <cell r="Q512">
            <v>13</v>
          </cell>
          <cell r="R512">
            <v>4.5999999999999996</v>
          </cell>
          <cell r="S512">
            <v>56.3</v>
          </cell>
          <cell r="T512">
            <v>37590</v>
          </cell>
          <cell r="U512" t="str">
            <v>опт</v>
          </cell>
          <cell r="W512" t="str">
            <v>Смена Н-44/Э-30</v>
          </cell>
        </row>
        <row r="513">
          <cell r="B513">
            <v>3099</v>
          </cell>
          <cell r="C513">
            <v>52</v>
          </cell>
          <cell r="F513" t="str">
            <v>ПРС</v>
          </cell>
          <cell r="H513" t="str">
            <v>ШГН</v>
          </cell>
          <cell r="I513" t="str">
            <v>бдт</v>
          </cell>
          <cell r="J513">
            <v>37352</v>
          </cell>
          <cell r="K513">
            <v>0</v>
          </cell>
          <cell r="L513">
            <v>0</v>
          </cell>
          <cell r="M513">
            <v>0</v>
          </cell>
          <cell r="N513">
            <v>50</v>
          </cell>
          <cell r="O513">
            <v>4.0999999999999996</v>
          </cell>
          <cell r="P513">
            <v>90</v>
          </cell>
          <cell r="Q513">
            <v>50</v>
          </cell>
          <cell r="R513">
            <v>4.0999999999999996</v>
          </cell>
          <cell r="S513">
            <v>89.9</v>
          </cell>
          <cell r="T513">
            <v>37593</v>
          </cell>
          <cell r="U513" t="str">
            <v>бдп</v>
          </cell>
          <cell r="W513" t="str">
            <v>См.Н-57/Э-50</v>
          </cell>
        </row>
        <row r="514">
          <cell r="B514">
            <v>5399</v>
          </cell>
          <cell r="C514">
            <v>102</v>
          </cell>
          <cell r="F514" t="str">
            <v>ПРС</v>
          </cell>
          <cell r="H514" t="str">
            <v>ЭЦН</v>
          </cell>
          <cell r="I514" t="str">
            <v>бд</v>
          </cell>
          <cell r="J514">
            <v>34243</v>
          </cell>
          <cell r="K514">
            <v>0</v>
          </cell>
          <cell r="L514">
            <v>0</v>
          </cell>
          <cell r="M514">
            <v>0</v>
          </cell>
          <cell r="N514">
            <v>50</v>
          </cell>
          <cell r="O514">
            <v>4.0999999999999996</v>
          </cell>
          <cell r="P514">
            <v>90</v>
          </cell>
          <cell r="Q514">
            <v>50</v>
          </cell>
          <cell r="R514">
            <v>4.0999999999999996</v>
          </cell>
          <cell r="S514">
            <v>89.9</v>
          </cell>
          <cell r="T514">
            <v>37601</v>
          </cell>
          <cell r="U514" t="str">
            <v>бдп</v>
          </cell>
          <cell r="W514" t="str">
            <v>Подъем вор.,сп.Э-30</v>
          </cell>
        </row>
        <row r="515">
          <cell r="B515">
            <v>5463</v>
          </cell>
          <cell r="C515">
            <v>106</v>
          </cell>
          <cell r="F515" t="str">
            <v>ПРС</v>
          </cell>
          <cell r="G515">
            <v>270</v>
          </cell>
          <cell r="H515" t="str">
            <v>ЭЦН</v>
          </cell>
          <cell r="I515" t="str">
            <v>действ.</v>
          </cell>
          <cell r="J515">
            <v>33878</v>
          </cell>
          <cell r="K515">
            <v>38</v>
          </cell>
          <cell r="L515">
            <v>8.4</v>
          </cell>
          <cell r="M515">
            <v>73</v>
          </cell>
          <cell r="N515">
            <v>80</v>
          </cell>
          <cell r="O515">
            <v>33.299999999999997</v>
          </cell>
          <cell r="P515">
            <v>49</v>
          </cell>
          <cell r="Q515">
            <v>42</v>
          </cell>
          <cell r="R515">
            <v>24.9</v>
          </cell>
          <cell r="S515">
            <v>26.8</v>
          </cell>
          <cell r="T515">
            <v>38222</v>
          </cell>
          <cell r="U515" t="str">
            <v>ГРП</v>
          </cell>
          <cell r="W515" t="str">
            <v>ГИС-2,РИР ЗКЦ,ГРП ЮК-10,сп.Э-80</v>
          </cell>
        </row>
        <row r="516">
          <cell r="B516">
            <v>3167</v>
          </cell>
          <cell r="C516">
            <v>54</v>
          </cell>
          <cell r="F516" t="str">
            <v>КРС</v>
          </cell>
          <cell r="H516" t="str">
            <v>ШГН</v>
          </cell>
          <cell r="I516" t="str">
            <v>конс.</v>
          </cell>
          <cell r="N516">
            <v>30</v>
          </cell>
          <cell r="O516">
            <v>5.6</v>
          </cell>
          <cell r="P516">
            <v>77</v>
          </cell>
          <cell r="Q516">
            <v>30</v>
          </cell>
          <cell r="R516">
            <v>5.6</v>
          </cell>
          <cell r="S516">
            <v>77</v>
          </cell>
          <cell r="T516">
            <v>38216</v>
          </cell>
          <cell r="U516" t="str">
            <v>БДК</v>
          </cell>
          <cell r="W516" t="str">
            <v>ПП ЮК-10,сп.Э-30</v>
          </cell>
        </row>
        <row r="517">
          <cell r="B517">
            <v>3632</v>
          </cell>
          <cell r="C517">
            <v>93</v>
          </cell>
          <cell r="F517" t="str">
            <v>ПРС</v>
          </cell>
          <cell r="H517" t="str">
            <v>ЭЦН</v>
          </cell>
          <cell r="I517" t="str">
            <v>действ.</v>
          </cell>
          <cell r="K517">
            <v>227</v>
          </cell>
          <cell r="L517">
            <v>14.8</v>
          </cell>
          <cell r="M517">
            <v>92</v>
          </cell>
          <cell r="N517">
            <v>385</v>
          </cell>
          <cell r="O517">
            <v>25.1</v>
          </cell>
          <cell r="P517">
            <v>92</v>
          </cell>
          <cell r="Q517">
            <v>158</v>
          </cell>
          <cell r="R517">
            <v>10.3</v>
          </cell>
          <cell r="S517">
            <v>92</v>
          </cell>
          <cell r="T517">
            <v>37499</v>
          </cell>
          <cell r="U517" t="str">
            <v>опт</v>
          </cell>
          <cell r="W517" t="str">
            <v>Оптимизация Э-250/Э-400</v>
          </cell>
        </row>
        <row r="518">
          <cell r="B518">
            <v>11003</v>
          </cell>
          <cell r="C518" t="str">
            <v>123б</v>
          </cell>
          <cell r="F518" t="str">
            <v>ПРС</v>
          </cell>
          <cell r="H518" t="str">
            <v>ЭЦН</v>
          </cell>
          <cell r="I518" t="str">
            <v>действ.</v>
          </cell>
          <cell r="K518">
            <v>130</v>
          </cell>
          <cell r="L518">
            <v>7.4</v>
          </cell>
          <cell r="M518">
            <v>93</v>
          </cell>
          <cell r="N518">
            <v>230</v>
          </cell>
          <cell r="O518">
            <v>11.2</v>
          </cell>
          <cell r="P518">
            <v>94</v>
          </cell>
          <cell r="Q518">
            <v>100</v>
          </cell>
          <cell r="R518">
            <v>3.8</v>
          </cell>
          <cell r="S518">
            <v>95.3</v>
          </cell>
          <cell r="T518">
            <v>37485</v>
          </cell>
          <cell r="U518" t="str">
            <v>опт</v>
          </cell>
          <cell r="W518" t="str">
            <v>Оптимизация Э-125/Э-250</v>
          </cell>
        </row>
        <row r="519">
          <cell r="B519">
            <v>3117</v>
          </cell>
          <cell r="C519" t="str">
            <v>44б</v>
          </cell>
          <cell r="F519" t="str">
            <v>ПРС</v>
          </cell>
          <cell r="H519" t="str">
            <v>ШГН</v>
          </cell>
          <cell r="I519" t="str">
            <v>действ.</v>
          </cell>
          <cell r="K519">
            <v>14</v>
          </cell>
          <cell r="L519">
            <v>11</v>
          </cell>
          <cell r="M519">
            <v>4</v>
          </cell>
          <cell r="N519">
            <v>24</v>
          </cell>
          <cell r="O519">
            <v>18.7</v>
          </cell>
          <cell r="P519">
            <v>4</v>
          </cell>
          <cell r="Q519">
            <v>10</v>
          </cell>
          <cell r="R519">
            <v>7.7</v>
          </cell>
          <cell r="S519">
            <v>4</v>
          </cell>
          <cell r="T519">
            <v>37748</v>
          </cell>
          <cell r="U519" t="str">
            <v>опт</v>
          </cell>
          <cell r="W519" t="str">
            <v>Оптимизация НН-57/Э-30</v>
          </cell>
        </row>
        <row r="520">
          <cell r="B520">
            <v>5660</v>
          </cell>
          <cell r="C520" t="str">
            <v>122б</v>
          </cell>
          <cell r="F520" t="str">
            <v>ПРС</v>
          </cell>
          <cell r="H520" t="str">
            <v>ЭЦН</v>
          </cell>
          <cell r="I520" t="str">
            <v>действ.</v>
          </cell>
          <cell r="K520">
            <v>110</v>
          </cell>
          <cell r="L520">
            <v>5.4</v>
          </cell>
          <cell r="M520">
            <v>94</v>
          </cell>
          <cell r="N520">
            <v>212</v>
          </cell>
          <cell r="O520">
            <v>10.4</v>
          </cell>
          <cell r="P520">
            <v>94</v>
          </cell>
          <cell r="Q520">
            <v>102</v>
          </cell>
          <cell r="R520">
            <v>5</v>
          </cell>
          <cell r="S520">
            <v>94</v>
          </cell>
          <cell r="T520">
            <v>37753</v>
          </cell>
          <cell r="U520" t="str">
            <v>опт</v>
          </cell>
          <cell r="W520" t="str">
            <v>Оптимизация Э-80/250</v>
          </cell>
        </row>
        <row r="521">
          <cell r="B521">
            <v>11034</v>
          </cell>
          <cell r="C521" t="str">
            <v>301б</v>
          </cell>
          <cell r="F521" t="str">
            <v>ПРС</v>
          </cell>
          <cell r="H521" t="str">
            <v>ШГН</v>
          </cell>
          <cell r="I521" t="str">
            <v>действ.</v>
          </cell>
          <cell r="K521">
            <v>33.5</v>
          </cell>
          <cell r="L521">
            <v>8.5</v>
          </cell>
          <cell r="M521">
            <v>69</v>
          </cell>
          <cell r="N521">
            <v>80</v>
          </cell>
          <cell r="O521">
            <v>20.2</v>
          </cell>
          <cell r="P521">
            <v>69</v>
          </cell>
          <cell r="Q521">
            <v>46.5</v>
          </cell>
          <cell r="R521">
            <v>11.7</v>
          </cell>
          <cell r="S521">
            <v>69</v>
          </cell>
          <cell r="T521">
            <v>37766</v>
          </cell>
          <cell r="U521" t="str">
            <v>опт</v>
          </cell>
          <cell r="W521" t="str">
            <v>Оптимизация Н-57/Э-80</v>
          </cell>
        </row>
        <row r="522">
          <cell r="B522">
            <v>5702</v>
          </cell>
          <cell r="C522">
            <v>126</v>
          </cell>
          <cell r="F522" t="str">
            <v>ПРС</v>
          </cell>
          <cell r="H522" t="str">
            <v>ЭЦН</v>
          </cell>
          <cell r="I522" t="str">
            <v>действ.</v>
          </cell>
          <cell r="K522">
            <v>30</v>
          </cell>
          <cell r="L522">
            <v>15.4</v>
          </cell>
          <cell r="M522">
            <v>37</v>
          </cell>
          <cell r="N522">
            <v>44</v>
          </cell>
          <cell r="O522">
            <v>22.6</v>
          </cell>
          <cell r="P522">
            <v>37</v>
          </cell>
          <cell r="Q522">
            <v>14</v>
          </cell>
          <cell r="R522">
            <v>7.2000000000000011</v>
          </cell>
          <cell r="S522">
            <v>37</v>
          </cell>
          <cell r="T522">
            <v>38401</v>
          </cell>
          <cell r="U522" t="str">
            <v>опт</v>
          </cell>
          <cell r="W522" t="str">
            <v>Оптимизация Э-25/50</v>
          </cell>
        </row>
        <row r="523">
          <cell r="B523">
            <v>5221</v>
          </cell>
          <cell r="C523">
            <v>126</v>
          </cell>
          <cell r="F523" t="str">
            <v>ПРС</v>
          </cell>
          <cell r="H523" t="str">
            <v>ШГН</v>
          </cell>
          <cell r="I523" t="str">
            <v>бд</v>
          </cell>
          <cell r="N523">
            <v>4</v>
          </cell>
          <cell r="O523">
            <v>2.8</v>
          </cell>
          <cell r="P523">
            <v>13</v>
          </cell>
          <cell r="Q523">
            <v>4</v>
          </cell>
          <cell r="R523">
            <v>2.8</v>
          </cell>
          <cell r="S523">
            <v>13.6</v>
          </cell>
          <cell r="T523">
            <v>37482</v>
          </cell>
          <cell r="U523" t="str">
            <v>БДП</v>
          </cell>
          <cell r="W523" t="str">
            <v>ГО</v>
          </cell>
        </row>
        <row r="524">
          <cell r="B524">
            <v>4272</v>
          </cell>
          <cell r="C524">
            <v>218</v>
          </cell>
          <cell r="F524" t="str">
            <v>ПРС</v>
          </cell>
          <cell r="H524" t="str">
            <v>ЭЦН</v>
          </cell>
          <cell r="I524" t="str">
            <v>бд</v>
          </cell>
          <cell r="N524">
            <v>50</v>
          </cell>
          <cell r="O524">
            <v>2</v>
          </cell>
          <cell r="P524">
            <v>95</v>
          </cell>
          <cell r="Q524">
            <v>50</v>
          </cell>
          <cell r="R524">
            <v>2</v>
          </cell>
          <cell r="S524">
            <v>95.1</v>
          </cell>
          <cell r="T524">
            <v>37463</v>
          </cell>
          <cell r="U524" t="str">
            <v>БДП</v>
          </cell>
          <cell r="W524" t="str">
            <v>См.вор./э-50</v>
          </cell>
        </row>
        <row r="525">
          <cell r="B525">
            <v>4123</v>
          </cell>
          <cell r="C525">
            <v>314</v>
          </cell>
          <cell r="F525" t="str">
            <v>ПРС</v>
          </cell>
          <cell r="H525" t="str">
            <v>ШГН</v>
          </cell>
          <cell r="I525" t="str">
            <v>бд</v>
          </cell>
          <cell r="N525">
            <v>4</v>
          </cell>
          <cell r="O525">
            <v>3</v>
          </cell>
          <cell r="P525">
            <v>7.9754601226993849</v>
          </cell>
          <cell r="Q525">
            <v>4</v>
          </cell>
          <cell r="R525">
            <v>3</v>
          </cell>
          <cell r="S525">
            <v>7.4</v>
          </cell>
          <cell r="T525">
            <v>37458</v>
          </cell>
          <cell r="U525" t="str">
            <v>БДП</v>
          </cell>
          <cell r="W525" t="str">
            <v>Ревизия</v>
          </cell>
        </row>
        <row r="526">
          <cell r="B526">
            <v>3530</v>
          </cell>
          <cell r="C526" t="str">
            <v>98б</v>
          </cell>
          <cell r="F526" t="str">
            <v>ПРС</v>
          </cell>
          <cell r="H526" t="str">
            <v>ЭЦН</v>
          </cell>
          <cell r="I526" t="str">
            <v>действ.</v>
          </cell>
          <cell r="K526">
            <v>27</v>
          </cell>
          <cell r="L526">
            <v>11.4</v>
          </cell>
          <cell r="M526">
            <v>48</v>
          </cell>
          <cell r="N526">
            <v>42</v>
          </cell>
          <cell r="O526">
            <v>16.100000000000001</v>
          </cell>
          <cell r="P526">
            <v>53</v>
          </cell>
          <cell r="Q526">
            <v>15</v>
          </cell>
          <cell r="R526">
            <v>4.7</v>
          </cell>
          <cell r="S526">
            <v>61.3</v>
          </cell>
          <cell r="T526">
            <v>37453</v>
          </cell>
          <cell r="U526" t="str">
            <v>опт</v>
          </cell>
          <cell r="W526" t="str">
            <v>Оптимизация Э-30/Э-50</v>
          </cell>
          <cell r="AG526">
            <v>-119818</v>
          </cell>
          <cell r="AH526">
            <v>-973518</v>
          </cell>
        </row>
        <row r="527">
          <cell r="B527">
            <v>3982</v>
          </cell>
          <cell r="C527" t="str">
            <v>196б</v>
          </cell>
          <cell r="F527" t="str">
            <v>ПРС</v>
          </cell>
          <cell r="H527" t="str">
            <v>ЭЦН</v>
          </cell>
          <cell r="I527" t="str">
            <v>действ.</v>
          </cell>
          <cell r="K527">
            <v>91</v>
          </cell>
          <cell r="L527">
            <v>17.8</v>
          </cell>
          <cell r="M527">
            <v>76</v>
          </cell>
          <cell r="N527">
            <v>117</v>
          </cell>
          <cell r="O527">
            <v>21</v>
          </cell>
          <cell r="P527">
            <v>78</v>
          </cell>
          <cell r="Q527">
            <v>26</v>
          </cell>
          <cell r="R527">
            <v>3.2</v>
          </cell>
          <cell r="S527">
            <v>84.8</v>
          </cell>
          <cell r="T527">
            <v>37443</v>
          </cell>
          <cell r="U527" t="str">
            <v>опт</v>
          </cell>
          <cell r="W527" t="str">
            <v>Оптимизация Э-80/125</v>
          </cell>
        </row>
        <row r="528">
          <cell r="B528">
            <v>5491</v>
          </cell>
          <cell r="C528">
            <v>117</v>
          </cell>
          <cell r="F528" t="str">
            <v>ПРС</v>
          </cell>
          <cell r="H528" t="str">
            <v>ЭЦН</v>
          </cell>
          <cell r="I528" t="str">
            <v>конс.</v>
          </cell>
          <cell r="N528">
            <v>16</v>
          </cell>
          <cell r="O528">
            <v>7.4</v>
          </cell>
          <cell r="P528">
            <v>43</v>
          </cell>
          <cell r="Q528">
            <v>16</v>
          </cell>
          <cell r="R528">
            <v>7.4</v>
          </cell>
          <cell r="S528">
            <v>42.9</v>
          </cell>
          <cell r="T528">
            <v>37441</v>
          </cell>
          <cell r="U528" t="str">
            <v>ВЦД</v>
          </cell>
          <cell r="W528" t="str">
            <v>ВЦ, См.вор./э-50</v>
          </cell>
        </row>
        <row r="529">
          <cell r="B529">
            <v>2629</v>
          </cell>
          <cell r="C529" t="str">
            <v>157б</v>
          </cell>
          <cell r="F529" t="str">
            <v>ПРС</v>
          </cell>
          <cell r="H529" t="str">
            <v>ШГН</v>
          </cell>
          <cell r="I529" t="str">
            <v>бд</v>
          </cell>
          <cell r="N529">
            <v>5</v>
          </cell>
          <cell r="O529">
            <v>3.6</v>
          </cell>
          <cell r="P529">
            <v>12</v>
          </cell>
          <cell r="Q529">
            <v>5</v>
          </cell>
          <cell r="R529">
            <v>3.6</v>
          </cell>
          <cell r="S529">
            <v>11.1</v>
          </cell>
          <cell r="T529">
            <v>37832</v>
          </cell>
          <cell r="U529" t="str">
            <v>ГРП</v>
          </cell>
          <cell r="W529" t="str">
            <v>Ревизия</v>
          </cell>
          <cell r="AG529">
            <v>-280755</v>
          </cell>
          <cell r="AH529">
            <v>-935850</v>
          </cell>
        </row>
        <row r="530">
          <cell r="B530">
            <v>5464</v>
          </cell>
          <cell r="C530">
            <v>106</v>
          </cell>
          <cell r="F530" t="str">
            <v>ПРС</v>
          </cell>
          <cell r="G530">
            <v>265</v>
          </cell>
          <cell r="H530" t="str">
            <v>ЭЦН</v>
          </cell>
          <cell r="I530" t="str">
            <v>действ.</v>
          </cell>
          <cell r="K530">
            <v>55</v>
          </cell>
          <cell r="L530">
            <v>25.1</v>
          </cell>
          <cell r="M530">
            <v>44</v>
          </cell>
          <cell r="N530">
            <v>80</v>
          </cell>
          <cell r="O530">
            <v>32.6</v>
          </cell>
          <cell r="P530">
            <v>50</v>
          </cell>
          <cell r="Q530">
            <v>25</v>
          </cell>
          <cell r="R530">
            <v>7.5</v>
          </cell>
          <cell r="S530">
            <v>63</v>
          </cell>
          <cell r="T530">
            <v>37434</v>
          </cell>
          <cell r="U530" t="str">
            <v>опт</v>
          </cell>
          <cell r="W530" t="str">
            <v>Оптимизация Э-50/Э-80</v>
          </cell>
        </row>
        <row r="531">
          <cell r="B531">
            <v>4022</v>
          </cell>
          <cell r="C531">
            <v>314</v>
          </cell>
          <cell r="F531" t="str">
            <v>ПРС</v>
          </cell>
          <cell r="G531">
            <v>255</v>
          </cell>
          <cell r="H531" t="str">
            <v>ШГН</v>
          </cell>
          <cell r="I531" t="str">
            <v>действ.</v>
          </cell>
          <cell r="K531">
            <v>15</v>
          </cell>
          <cell r="L531">
            <v>0.2</v>
          </cell>
          <cell r="M531">
            <v>98</v>
          </cell>
          <cell r="N531">
            <v>45</v>
          </cell>
          <cell r="O531">
            <v>2.2000000000000002</v>
          </cell>
          <cell r="P531">
            <v>94</v>
          </cell>
          <cell r="Q531">
            <v>30</v>
          </cell>
          <cell r="R531">
            <v>2</v>
          </cell>
          <cell r="S531">
            <v>91.8</v>
          </cell>
          <cell r="T531">
            <v>37428</v>
          </cell>
          <cell r="U531" t="str">
            <v>опт</v>
          </cell>
          <cell r="W531" t="str">
            <v>Оптимизация Н-57/Э-50</v>
          </cell>
          <cell r="AG531">
            <v>-968082</v>
          </cell>
          <cell r="AH531">
            <v>-3454724</v>
          </cell>
        </row>
        <row r="532">
          <cell r="B532">
            <v>2951</v>
          </cell>
          <cell r="C532">
            <v>45</v>
          </cell>
          <cell r="F532" t="str">
            <v>КРС</v>
          </cell>
          <cell r="H532" t="str">
            <v>ШГН</v>
          </cell>
          <cell r="I532" t="str">
            <v>конс.</v>
          </cell>
          <cell r="K532">
            <v>0</v>
          </cell>
          <cell r="L532">
            <v>0</v>
          </cell>
          <cell r="M532">
            <v>0</v>
          </cell>
          <cell r="N532">
            <v>80</v>
          </cell>
          <cell r="O532">
            <v>24.9</v>
          </cell>
          <cell r="P532">
            <v>61.8</v>
          </cell>
          <cell r="Q532">
            <v>80</v>
          </cell>
          <cell r="R532">
            <v>24.9</v>
          </cell>
          <cell r="S532">
            <v>61.8</v>
          </cell>
          <cell r="T532">
            <v>38223</v>
          </cell>
          <cell r="U532" t="str">
            <v>ГРП</v>
          </cell>
          <cell r="W532" t="str">
            <v>ВЦ,ЛА,ГРП ЮК-10</v>
          </cell>
        </row>
        <row r="533">
          <cell r="B533">
            <v>3494</v>
          </cell>
          <cell r="C533">
            <v>92</v>
          </cell>
          <cell r="F533" t="str">
            <v>ПРС</v>
          </cell>
          <cell r="G533">
            <v>245</v>
          </cell>
          <cell r="H533" t="str">
            <v>ЭЦН</v>
          </cell>
          <cell r="I533" t="str">
            <v>действ.</v>
          </cell>
          <cell r="K533">
            <v>150</v>
          </cell>
          <cell r="L533">
            <v>11</v>
          </cell>
          <cell r="M533">
            <v>91</v>
          </cell>
          <cell r="N533">
            <v>275</v>
          </cell>
          <cell r="O533">
            <v>24.7</v>
          </cell>
          <cell r="P533">
            <v>89</v>
          </cell>
          <cell r="Q533">
            <v>125</v>
          </cell>
          <cell r="R533">
            <v>13.7</v>
          </cell>
          <cell r="S533">
            <v>86.5</v>
          </cell>
          <cell r="T533">
            <v>37421</v>
          </cell>
          <cell r="U533" t="str">
            <v>опт</v>
          </cell>
          <cell r="W533" t="str">
            <v>Оптимизация Э-125/Э-250</v>
          </cell>
          <cell r="AG533">
            <v>-220749</v>
          </cell>
          <cell r="AH533">
            <v>-897960</v>
          </cell>
        </row>
        <row r="534">
          <cell r="B534">
            <v>5437</v>
          </cell>
          <cell r="C534">
            <v>106</v>
          </cell>
          <cell r="F534" t="str">
            <v>ПРС</v>
          </cell>
          <cell r="G534">
            <v>275</v>
          </cell>
          <cell r="H534" t="str">
            <v>ЭЦН</v>
          </cell>
          <cell r="I534" t="str">
            <v>конс.</v>
          </cell>
          <cell r="K534">
            <v>0</v>
          </cell>
          <cell r="L534">
            <v>0</v>
          </cell>
          <cell r="M534">
            <v>0</v>
          </cell>
          <cell r="N534">
            <v>24</v>
          </cell>
          <cell r="O534">
            <v>5.9</v>
          </cell>
          <cell r="P534">
            <v>70</v>
          </cell>
          <cell r="Q534">
            <v>24</v>
          </cell>
          <cell r="R534">
            <v>5.9</v>
          </cell>
          <cell r="S534">
            <v>69.7</v>
          </cell>
          <cell r="T534">
            <v>37415</v>
          </cell>
          <cell r="U534" t="str">
            <v>ВЦД</v>
          </cell>
          <cell r="W534" t="str">
            <v>ВЦ, ГДИ, сп.ЭЦН</v>
          </cell>
          <cell r="AG534">
            <v>-56121</v>
          </cell>
          <cell r="AH534">
            <v>-112242</v>
          </cell>
        </row>
        <row r="535">
          <cell r="B535">
            <v>2850</v>
          </cell>
          <cell r="C535">
            <v>129</v>
          </cell>
          <cell r="F535" t="str">
            <v>ПРС</v>
          </cell>
          <cell r="G535">
            <v>260</v>
          </cell>
          <cell r="H535" t="str">
            <v>ФОН</v>
          </cell>
          <cell r="I535" t="str">
            <v>действ.</v>
          </cell>
          <cell r="K535">
            <v>44</v>
          </cell>
          <cell r="L535">
            <v>27.3</v>
          </cell>
          <cell r="M535">
            <v>24</v>
          </cell>
          <cell r="N535">
            <v>44</v>
          </cell>
          <cell r="O535">
            <v>27.3</v>
          </cell>
          <cell r="P535">
            <v>24</v>
          </cell>
          <cell r="Q535">
            <v>0</v>
          </cell>
          <cell r="R535">
            <v>0</v>
          </cell>
          <cell r="S535">
            <v>0</v>
          </cell>
          <cell r="T535">
            <v>38661</v>
          </cell>
          <cell r="U535" t="str">
            <v>ЛА</v>
          </cell>
          <cell r="W535" t="str">
            <v>ЛА, сп.Э-50</v>
          </cell>
          <cell r="AG535">
            <v>-857723</v>
          </cell>
          <cell r="AH535">
            <v>-4612641</v>
          </cell>
        </row>
        <row r="536">
          <cell r="B536">
            <v>3100</v>
          </cell>
          <cell r="C536">
            <v>52</v>
          </cell>
          <cell r="F536" t="str">
            <v>ПРС</v>
          </cell>
          <cell r="G536">
            <v>297</v>
          </cell>
          <cell r="H536" t="str">
            <v>ШГН</v>
          </cell>
          <cell r="I536" t="str">
            <v>действ.</v>
          </cell>
          <cell r="K536">
            <v>26</v>
          </cell>
          <cell r="L536">
            <v>6.4</v>
          </cell>
          <cell r="M536">
            <v>70</v>
          </cell>
          <cell r="N536">
            <v>72</v>
          </cell>
          <cell r="O536">
            <v>16.399999999999999</v>
          </cell>
          <cell r="P536">
            <v>72</v>
          </cell>
          <cell r="Q536">
            <v>46</v>
          </cell>
          <cell r="R536">
            <v>10</v>
          </cell>
          <cell r="S536">
            <v>73.2</v>
          </cell>
          <cell r="T536">
            <v>37402</v>
          </cell>
          <cell r="U536" t="str">
            <v>опт</v>
          </cell>
          <cell r="W536" t="str">
            <v>Оптимизация Н-57/Э-50</v>
          </cell>
          <cell r="AG536">
            <v>-93493</v>
          </cell>
          <cell r="AH536">
            <v>-2281217</v>
          </cell>
        </row>
        <row r="537">
          <cell r="B537">
            <v>5551</v>
          </cell>
          <cell r="C537">
            <v>117</v>
          </cell>
          <cell r="F537" t="str">
            <v>ПРС</v>
          </cell>
          <cell r="G537">
            <v>247</v>
          </cell>
          <cell r="H537" t="str">
            <v>ЭЦН</v>
          </cell>
          <cell r="I537" t="str">
            <v>бд</v>
          </cell>
          <cell r="K537" t="e">
            <v>#N/A</v>
          </cell>
          <cell r="L537" t="e">
            <v>#N/A</v>
          </cell>
          <cell r="M537" t="e">
            <v>#N/A</v>
          </cell>
          <cell r="N537">
            <v>61</v>
          </cell>
          <cell r="O537">
            <v>2.5</v>
          </cell>
          <cell r="P537">
            <v>95</v>
          </cell>
          <cell r="Q537">
            <v>61</v>
          </cell>
          <cell r="R537">
            <v>2.5</v>
          </cell>
          <cell r="S537">
            <v>94.9</v>
          </cell>
          <cell r="T537">
            <v>37397</v>
          </cell>
          <cell r="U537" t="str">
            <v>БДП</v>
          </cell>
          <cell r="W537" t="str">
            <v>Из ост.на зиму</v>
          </cell>
          <cell r="AG537">
            <v>-175761</v>
          </cell>
          <cell r="AH537">
            <v>-224376</v>
          </cell>
        </row>
        <row r="538">
          <cell r="B538">
            <v>4074</v>
          </cell>
          <cell r="C538">
            <v>314</v>
          </cell>
          <cell r="F538" t="str">
            <v>ПРС</v>
          </cell>
          <cell r="G538">
            <v>245</v>
          </cell>
          <cell r="H538" t="str">
            <v>ШГН</v>
          </cell>
          <cell r="I538" t="str">
            <v>бд</v>
          </cell>
          <cell r="K538">
            <v>0</v>
          </cell>
          <cell r="L538">
            <v>0</v>
          </cell>
          <cell r="M538">
            <v>0</v>
          </cell>
          <cell r="N538">
            <v>6</v>
          </cell>
          <cell r="O538">
            <v>4.7</v>
          </cell>
          <cell r="P538">
            <v>3</v>
          </cell>
          <cell r="Q538">
            <v>6</v>
          </cell>
          <cell r="R538">
            <v>4.7</v>
          </cell>
          <cell r="S538">
            <v>3.3</v>
          </cell>
          <cell r="T538">
            <v>37396</v>
          </cell>
          <cell r="U538" t="str">
            <v>ВЦД</v>
          </cell>
          <cell r="W538" t="str">
            <v>ВЦ, ревизия Н-44</v>
          </cell>
          <cell r="AG538">
            <v>-172022</v>
          </cell>
          <cell r="AH538">
            <v>-299168</v>
          </cell>
        </row>
        <row r="539">
          <cell r="B539" t="str">
            <v>5367б</v>
          </cell>
          <cell r="C539">
            <v>101</v>
          </cell>
          <cell r="F539" t="str">
            <v>ПРС</v>
          </cell>
          <cell r="G539">
            <v>252</v>
          </cell>
          <cell r="H539" t="str">
            <v>ЭЦН</v>
          </cell>
          <cell r="I539" t="str">
            <v>бд</v>
          </cell>
          <cell r="K539">
            <v>8</v>
          </cell>
          <cell r="L539">
            <v>4.3</v>
          </cell>
          <cell r="M539">
            <v>34</v>
          </cell>
          <cell r="N539">
            <v>8</v>
          </cell>
          <cell r="O539">
            <v>4.5999999999999996</v>
          </cell>
          <cell r="P539">
            <v>29</v>
          </cell>
          <cell r="Q539">
            <v>8</v>
          </cell>
          <cell r="R539">
            <v>4.5999999999999996</v>
          </cell>
          <cell r="S539">
            <v>29</v>
          </cell>
          <cell r="T539">
            <v>37396</v>
          </cell>
          <cell r="U539" t="str">
            <v>ВЦД</v>
          </cell>
          <cell r="W539" t="str">
            <v>Восст.цирк</v>
          </cell>
          <cell r="AG539">
            <v>-82262</v>
          </cell>
          <cell r="AH539">
            <v>-1383504</v>
          </cell>
        </row>
        <row r="540">
          <cell r="B540">
            <v>2991</v>
          </cell>
          <cell r="C540">
            <v>48</v>
          </cell>
          <cell r="F540" t="str">
            <v>ПРС</v>
          </cell>
          <cell r="G540">
            <v>255</v>
          </cell>
          <cell r="H540" t="str">
            <v>ЭЦН</v>
          </cell>
          <cell r="I540" t="str">
            <v>действ.</v>
          </cell>
          <cell r="K540">
            <v>53</v>
          </cell>
          <cell r="L540">
            <v>7.3</v>
          </cell>
          <cell r="M540">
            <v>83</v>
          </cell>
          <cell r="N540">
            <v>90</v>
          </cell>
          <cell r="O540">
            <v>9.5</v>
          </cell>
          <cell r="P540">
            <v>87</v>
          </cell>
          <cell r="Q540">
            <v>37</v>
          </cell>
          <cell r="R540">
            <v>2.2000000000000002</v>
          </cell>
          <cell r="S540">
            <v>92.7</v>
          </cell>
          <cell r="T540">
            <v>37392</v>
          </cell>
          <cell r="W540" t="str">
            <v>Ревизия Э-80 с углублением до 2200м</v>
          </cell>
          <cell r="AG540">
            <v>-44870</v>
          </cell>
          <cell r="AH540">
            <v>-2841792</v>
          </cell>
        </row>
        <row r="541">
          <cell r="B541">
            <v>4212</v>
          </cell>
          <cell r="C541">
            <v>311</v>
          </cell>
          <cell r="F541" t="str">
            <v>ПРС</v>
          </cell>
          <cell r="G541">
            <v>251</v>
          </cell>
          <cell r="H541" t="str">
            <v>ЭЦН</v>
          </cell>
          <cell r="I541" t="str">
            <v>действ.</v>
          </cell>
          <cell r="K541">
            <v>84</v>
          </cell>
          <cell r="L541">
            <v>2.7</v>
          </cell>
          <cell r="M541">
            <v>96</v>
          </cell>
          <cell r="N541">
            <v>160</v>
          </cell>
          <cell r="O541">
            <v>3.9</v>
          </cell>
          <cell r="P541">
            <v>97</v>
          </cell>
          <cell r="Q541">
            <v>76</v>
          </cell>
          <cell r="R541">
            <v>1.2</v>
          </cell>
          <cell r="S541">
            <v>98.1</v>
          </cell>
          <cell r="T541">
            <v>37392</v>
          </cell>
          <cell r="U541" t="str">
            <v>опт</v>
          </cell>
          <cell r="W541" t="str">
            <v>Оптимизация Э-80/125</v>
          </cell>
          <cell r="AG541">
            <v>-26172</v>
          </cell>
          <cell r="AH541">
            <v>-747780</v>
          </cell>
        </row>
        <row r="542">
          <cell r="B542">
            <v>2905</v>
          </cell>
          <cell r="C542">
            <v>132</v>
          </cell>
          <cell r="F542" t="str">
            <v>ПРС</v>
          </cell>
          <cell r="G542">
            <v>250</v>
          </cell>
          <cell r="H542" t="str">
            <v>ЭЦН</v>
          </cell>
          <cell r="I542" t="str">
            <v>действ.</v>
          </cell>
          <cell r="K542">
            <v>65</v>
          </cell>
          <cell r="L542">
            <v>2.1</v>
          </cell>
          <cell r="M542">
            <v>96</v>
          </cell>
          <cell r="N542">
            <v>85</v>
          </cell>
          <cell r="O542">
            <v>2.8</v>
          </cell>
          <cell r="P542">
            <v>96</v>
          </cell>
          <cell r="Q542">
            <v>20</v>
          </cell>
          <cell r="R542">
            <v>0.7</v>
          </cell>
          <cell r="S542">
            <v>95.7</v>
          </cell>
          <cell r="T542">
            <v>37389</v>
          </cell>
          <cell r="U542" t="str">
            <v>опт</v>
          </cell>
          <cell r="W542" t="str">
            <v>Оптимизация Э-80</v>
          </cell>
        </row>
        <row r="543">
          <cell r="B543">
            <v>4263</v>
          </cell>
          <cell r="C543">
            <v>200</v>
          </cell>
          <cell r="F543" t="str">
            <v>ПРС</v>
          </cell>
          <cell r="G543">
            <v>224</v>
          </cell>
          <cell r="H543" t="str">
            <v>ЭЦН</v>
          </cell>
          <cell r="I543" t="str">
            <v>действ.</v>
          </cell>
          <cell r="K543">
            <v>68</v>
          </cell>
          <cell r="L543">
            <v>2.2000000000000002</v>
          </cell>
          <cell r="M543">
            <v>96</v>
          </cell>
          <cell r="N543">
            <v>160</v>
          </cell>
          <cell r="O543">
            <v>3.9</v>
          </cell>
          <cell r="P543">
            <v>97</v>
          </cell>
          <cell r="Q543">
            <v>92</v>
          </cell>
          <cell r="R543">
            <v>1.7</v>
          </cell>
          <cell r="S543">
            <v>97.7</v>
          </cell>
          <cell r="T543">
            <v>37384</v>
          </cell>
          <cell r="U543" t="str">
            <v>опт</v>
          </cell>
          <cell r="W543" t="str">
            <v>Оптимизация Э-50/Э-125 УОПР-800, из ППД</v>
          </cell>
        </row>
        <row r="544">
          <cell r="B544">
            <v>5319</v>
          </cell>
          <cell r="C544">
            <v>134</v>
          </cell>
          <cell r="F544" t="str">
            <v>ПРС</v>
          </cell>
          <cell r="G544">
            <v>249</v>
          </cell>
          <cell r="H544" t="str">
            <v>ЭЦН</v>
          </cell>
          <cell r="I544" t="str">
            <v>действ.</v>
          </cell>
          <cell r="K544">
            <v>45</v>
          </cell>
          <cell r="L544">
            <v>1.5</v>
          </cell>
          <cell r="M544">
            <v>96</v>
          </cell>
          <cell r="N544">
            <v>80</v>
          </cell>
          <cell r="O544">
            <v>3.3</v>
          </cell>
          <cell r="P544">
            <v>95</v>
          </cell>
          <cell r="Q544">
            <v>35</v>
          </cell>
          <cell r="R544">
            <v>1.8</v>
          </cell>
          <cell r="S544">
            <v>93.7</v>
          </cell>
          <cell r="T544">
            <v>37384</v>
          </cell>
          <cell r="U544" t="str">
            <v>опт</v>
          </cell>
          <cell r="W544" t="str">
            <v>Оптимизация Э-50/Э-80</v>
          </cell>
        </row>
        <row r="545">
          <cell r="B545">
            <v>2819</v>
          </cell>
          <cell r="C545">
            <v>144</v>
          </cell>
          <cell r="F545" t="str">
            <v>КРС</v>
          </cell>
          <cell r="G545">
            <v>248</v>
          </cell>
          <cell r="H545" t="str">
            <v>ЭЦН</v>
          </cell>
          <cell r="I545" t="str">
            <v>действ.</v>
          </cell>
          <cell r="K545">
            <v>70</v>
          </cell>
          <cell r="L545">
            <v>4.5999999999999996</v>
          </cell>
          <cell r="M545">
            <v>92</v>
          </cell>
          <cell r="N545">
            <v>80</v>
          </cell>
          <cell r="O545">
            <v>29.5</v>
          </cell>
          <cell r="P545">
            <v>54.8</v>
          </cell>
          <cell r="Q545">
            <v>10</v>
          </cell>
          <cell r="R545">
            <v>24.9</v>
          </cell>
          <cell r="S545">
            <v>54</v>
          </cell>
          <cell r="T545">
            <v>38211</v>
          </cell>
          <cell r="U545" t="str">
            <v>ГРП</v>
          </cell>
          <cell r="W545" t="str">
            <v>РИР Э/К,ИР ПР ГРП ЮК-10,сп.Э-80</v>
          </cell>
        </row>
        <row r="546">
          <cell r="B546">
            <v>3632</v>
          </cell>
          <cell r="C546">
            <v>93</v>
          </cell>
          <cell r="F546" t="str">
            <v>ПРС</v>
          </cell>
          <cell r="G546">
            <v>265</v>
          </cell>
          <cell r="H546" t="str">
            <v>ЭЦН</v>
          </cell>
          <cell r="I546" t="str">
            <v>действ.</v>
          </cell>
          <cell r="K546">
            <v>180</v>
          </cell>
          <cell r="L546">
            <v>10.3</v>
          </cell>
          <cell r="M546">
            <v>93</v>
          </cell>
          <cell r="N546">
            <v>250</v>
          </cell>
          <cell r="O546">
            <v>19.600000000000001</v>
          </cell>
          <cell r="P546">
            <v>90.4</v>
          </cell>
          <cell r="Q546">
            <v>70</v>
          </cell>
          <cell r="R546">
            <v>9.3000000000000007</v>
          </cell>
          <cell r="S546">
            <v>83.6</v>
          </cell>
          <cell r="T546">
            <v>37377</v>
          </cell>
          <cell r="U546" t="str">
            <v>опт</v>
          </cell>
          <cell r="V546">
            <v>2</v>
          </cell>
          <cell r="W546" t="str">
            <v>Ревизия Э-250</v>
          </cell>
        </row>
        <row r="547">
          <cell r="B547">
            <v>2933</v>
          </cell>
          <cell r="C547">
            <v>44</v>
          </cell>
          <cell r="F547" t="str">
            <v>ПРС</v>
          </cell>
          <cell r="G547">
            <v>265</v>
          </cell>
          <cell r="H547" t="str">
            <v>ШГН</v>
          </cell>
          <cell r="I547" t="str">
            <v>бд</v>
          </cell>
          <cell r="L547">
            <v>0</v>
          </cell>
          <cell r="N547">
            <v>12</v>
          </cell>
          <cell r="O547">
            <v>7</v>
          </cell>
          <cell r="P547">
            <v>28</v>
          </cell>
          <cell r="Q547">
            <v>12</v>
          </cell>
          <cell r="R547">
            <v>7</v>
          </cell>
          <cell r="S547">
            <v>28</v>
          </cell>
          <cell r="T547">
            <v>37373</v>
          </cell>
          <cell r="U547" t="str">
            <v>ВЦД</v>
          </cell>
          <cell r="V547">
            <v>1</v>
          </cell>
          <cell r="W547" t="str">
            <v>Ревизия НН-57</v>
          </cell>
        </row>
        <row r="548">
          <cell r="B548">
            <v>5284</v>
          </cell>
          <cell r="C548">
            <v>140</v>
          </cell>
          <cell r="F548" t="str">
            <v>ПРС</v>
          </cell>
          <cell r="H548" t="str">
            <v>ШГН</v>
          </cell>
          <cell r="I548" t="str">
            <v>действ.</v>
          </cell>
          <cell r="K548">
            <v>26</v>
          </cell>
          <cell r="L548">
            <v>14.8</v>
          </cell>
          <cell r="M548">
            <v>30</v>
          </cell>
          <cell r="N548">
            <v>42</v>
          </cell>
          <cell r="O548">
            <v>23.9</v>
          </cell>
          <cell r="P548">
            <v>30</v>
          </cell>
          <cell r="Q548">
            <v>16</v>
          </cell>
          <cell r="R548">
            <v>9.1</v>
          </cell>
          <cell r="S548">
            <v>30</v>
          </cell>
          <cell r="T548">
            <v>38460</v>
          </cell>
          <cell r="U548" t="str">
            <v>опт</v>
          </cell>
          <cell r="V548">
            <v>1</v>
          </cell>
          <cell r="W548" t="str">
            <v>Опт.Э-30/Э-60</v>
          </cell>
        </row>
        <row r="549">
          <cell r="B549">
            <v>3712</v>
          </cell>
          <cell r="C549">
            <v>303</v>
          </cell>
          <cell r="F549" t="str">
            <v>ПРС</v>
          </cell>
          <cell r="H549" t="str">
            <v>ШГН</v>
          </cell>
          <cell r="I549" t="str">
            <v>действ.</v>
          </cell>
          <cell r="K549">
            <v>150</v>
          </cell>
          <cell r="L549">
            <v>6.1</v>
          </cell>
          <cell r="M549">
            <v>95</v>
          </cell>
          <cell r="N549">
            <v>175</v>
          </cell>
          <cell r="O549">
            <v>8.1</v>
          </cell>
          <cell r="P549">
            <v>94.3</v>
          </cell>
          <cell r="Q549">
            <v>25</v>
          </cell>
          <cell r="R549">
            <v>2</v>
          </cell>
          <cell r="S549">
            <v>90.1</v>
          </cell>
          <cell r="T549">
            <v>37360</v>
          </cell>
          <cell r="U549" t="str">
            <v>опт</v>
          </cell>
          <cell r="V549">
            <v>1</v>
          </cell>
          <cell r="W549" t="str">
            <v>Опт.Э-160/Э-200</v>
          </cell>
        </row>
        <row r="550">
          <cell r="B550">
            <v>2721</v>
          </cell>
          <cell r="C550">
            <v>166</v>
          </cell>
          <cell r="F550" t="str">
            <v>ПРС</v>
          </cell>
          <cell r="G550">
            <v>265</v>
          </cell>
          <cell r="H550" t="str">
            <v>ШГН</v>
          </cell>
          <cell r="I550" t="str">
            <v>бд</v>
          </cell>
          <cell r="L550">
            <v>0</v>
          </cell>
          <cell r="N550">
            <v>4</v>
          </cell>
          <cell r="O550">
            <v>2.6</v>
          </cell>
          <cell r="P550">
            <v>20</v>
          </cell>
          <cell r="Q550">
            <v>4</v>
          </cell>
          <cell r="R550">
            <v>2.6</v>
          </cell>
          <cell r="S550">
            <v>19.8</v>
          </cell>
          <cell r="T550">
            <v>37333</v>
          </cell>
          <cell r="U550" t="str">
            <v>БДП</v>
          </cell>
          <cell r="W550" t="str">
            <v>Ревизия НН-44</v>
          </cell>
        </row>
        <row r="551">
          <cell r="B551">
            <v>2681</v>
          </cell>
          <cell r="C551" t="str">
            <v>145б</v>
          </cell>
          <cell r="F551" t="str">
            <v>ПРС</v>
          </cell>
          <cell r="G551">
            <v>265</v>
          </cell>
          <cell r="H551" t="str">
            <v>ШГН</v>
          </cell>
          <cell r="I551" t="str">
            <v>бдтг</v>
          </cell>
          <cell r="L551">
            <v>0</v>
          </cell>
          <cell r="N551">
            <v>3</v>
          </cell>
          <cell r="O551">
            <v>2.2000000000000002</v>
          </cell>
          <cell r="P551">
            <v>11</v>
          </cell>
          <cell r="Q551">
            <v>3</v>
          </cell>
          <cell r="R551">
            <v>2.2000000000000002</v>
          </cell>
          <cell r="S551">
            <v>11</v>
          </cell>
          <cell r="T551">
            <v>38492</v>
          </cell>
          <cell r="U551" t="str">
            <v>бдп</v>
          </cell>
          <cell r="W551" t="str">
            <v>ВЦ .Ревизия НВ-32</v>
          </cell>
        </row>
        <row r="552">
          <cell r="B552" t="str">
            <v>5306б</v>
          </cell>
          <cell r="C552">
            <v>139</v>
          </cell>
          <cell r="F552" t="str">
            <v>ПРС</v>
          </cell>
          <cell r="H552" t="str">
            <v>ШГН</v>
          </cell>
          <cell r="I552" t="str">
            <v>бдтг</v>
          </cell>
          <cell r="N552">
            <v>10</v>
          </cell>
          <cell r="O552">
            <v>4</v>
          </cell>
          <cell r="P552">
            <v>51</v>
          </cell>
          <cell r="Q552">
            <v>10</v>
          </cell>
          <cell r="R552">
            <v>4</v>
          </cell>
          <cell r="S552">
            <v>51</v>
          </cell>
          <cell r="T552">
            <v>38487</v>
          </cell>
          <cell r="U552" t="str">
            <v>бдп</v>
          </cell>
          <cell r="W552" t="str">
            <v>ВЦ .Ревизия НВ-32</v>
          </cell>
        </row>
        <row r="553">
          <cell r="B553" t="str">
            <v>136р</v>
          </cell>
          <cell r="G553">
            <v>250</v>
          </cell>
          <cell r="H553" t="str">
            <v>фон</v>
          </cell>
          <cell r="I553" t="str">
            <v>конс.</v>
          </cell>
          <cell r="L553">
            <v>0</v>
          </cell>
          <cell r="N553">
            <v>14</v>
          </cell>
          <cell r="O553">
            <v>10.8</v>
          </cell>
          <cell r="P553">
            <v>5</v>
          </cell>
          <cell r="Q553">
            <v>14</v>
          </cell>
          <cell r="R553">
            <v>10.8</v>
          </cell>
          <cell r="S553">
            <v>4.8</v>
          </cell>
          <cell r="T553">
            <v>37306</v>
          </cell>
          <cell r="U553" t="str">
            <v>БДД</v>
          </cell>
          <cell r="W553" t="str">
            <v>Пуск в работу</v>
          </cell>
        </row>
        <row r="554">
          <cell r="B554">
            <v>2710</v>
          </cell>
          <cell r="C554">
            <v>161</v>
          </cell>
          <cell r="F554" t="str">
            <v>ПРС</v>
          </cell>
          <cell r="H554" t="str">
            <v>ШГН</v>
          </cell>
          <cell r="I554" t="str">
            <v>действ.</v>
          </cell>
          <cell r="K554">
            <v>13</v>
          </cell>
          <cell r="L554">
            <v>6.3</v>
          </cell>
          <cell r="M554">
            <v>41</v>
          </cell>
          <cell r="N554">
            <v>37</v>
          </cell>
          <cell r="O554">
            <v>16</v>
          </cell>
          <cell r="P554">
            <v>47</v>
          </cell>
          <cell r="Q554">
            <v>24</v>
          </cell>
          <cell r="R554">
            <v>9.6999999999999993</v>
          </cell>
          <cell r="S554">
            <v>50.1</v>
          </cell>
          <cell r="T554">
            <v>37533</v>
          </cell>
          <cell r="U554" t="str">
            <v>опт</v>
          </cell>
          <cell r="W554" t="str">
            <v>Оптимизация Н-57/Э-30</v>
          </cell>
        </row>
        <row r="555">
          <cell r="B555">
            <v>2566</v>
          </cell>
          <cell r="C555">
            <v>167</v>
          </cell>
          <cell r="F555" t="str">
            <v>ПРС</v>
          </cell>
          <cell r="H555" t="str">
            <v>фон</v>
          </cell>
          <cell r="I555" t="str">
            <v>бд</v>
          </cell>
          <cell r="J555">
            <v>37389</v>
          </cell>
          <cell r="K555">
            <v>0</v>
          </cell>
          <cell r="L555">
            <v>0</v>
          </cell>
          <cell r="M555">
            <v>0</v>
          </cell>
          <cell r="N555">
            <v>33</v>
          </cell>
          <cell r="O555">
            <v>4.5999999999999996</v>
          </cell>
          <cell r="P555">
            <v>83</v>
          </cell>
          <cell r="Q555">
            <v>33</v>
          </cell>
          <cell r="R555">
            <v>4.5999999999999996</v>
          </cell>
          <cell r="S555">
            <v>82.8</v>
          </cell>
          <cell r="T555">
            <v>37550</v>
          </cell>
          <cell r="U555" t="str">
            <v>ВЦД</v>
          </cell>
          <cell r="W555" t="str">
            <v>ВЦ,ВЗ(ГЖ)сп.Э-80</v>
          </cell>
        </row>
        <row r="556">
          <cell r="B556">
            <v>2755</v>
          </cell>
          <cell r="C556">
            <v>145</v>
          </cell>
          <cell r="F556" t="str">
            <v>ПРС</v>
          </cell>
          <cell r="H556" t="str">
            <v>ЭЦН</v>
          </cell>
          <cell r="I556" t="str">
            <v>бд</v>
          </cell>
          <cell r="J556">
            <v>33968</v>
          </cell>
          <cell r="K556">
            <v>0</v>
          </cell>
          <cell r="L556">
            <v>0</v>
          </cell>
          <cell r="M556">
            <v>0</v>
          </cell>
          <cell r="N556">
            <v>30</v>
          </cell>
          <cell r="O556">
            <v>10.3</v>
          </cell>
          <cell r="P556">
            <v>58</v>
          </cell>
          <cell r="Q556">
            <v>30</v>
          </cell>
          <cell r="R556">
            <v>10.3</v>
          </cell>
          <cell r="S556">
            <v>57.6</v>
          </cell>
          <cell r="T556">
            <v>37551</v>
          </cell>
          <cell r="U556" t="str">
            <v>ВЦД</v>
          </cell>
          <cell r="W556" t="str">
            <v>в.ц.,в.з.(г/ж),Э-60</v>
          </cell>
        </row>
        <row r="557">
          <cell r="B557">
            <v>5585</v>
          </cell>
          <cell r="C557">
            <v>117</v>
          </cell>
          <cell r="F557" t="str">
            <v>ПРС</v>
          </cell>
          <cell r="H557" t="str">
            <v>ЭЦН</v>
          </cell>
          <cell r="I557" t="str">
            <v>бд</v>
          </cell>
          <cell r="J557">
            <v>35610</v>
          </cell>
          <cell r="K557">
            <v>0</v>
          </cell>
          <cell r="L557">
            <v>0</v>
          </cell>
          <cell r="M557">
            <v>0</v>
          </cell>
          <cell r="N557">
            <v>80</v>
          </cell>
          <cell r="O557">
            <v>2</v>
          </cell>
          <cell r="P557">
            <v>97</v>
          </cell>
          <cell r="Q557">
            <v>80</v>
          </cell>
          <cell r="R557">
            <v>2</v>
          </cell>
          <cell r="S557">
            <v>96.9</v>
          </cell>
          <cell r="T557">
            <v>37537</v>
          </cell>
          <cell r="U557" t="str">
            <v>БДП</v>
          </cell>
          <cell r="W557" t="str">
            <v>ВЗ(ГЖ)см.вор./Э-80</v>
          </cell>
        </row>
        <row r="558">
          <cell r="B558">
            <v>5586</v>
          </cell>
          <cell r="C558">
            <v>117</v>
          </cell>
          <cell r="F558" t="str">
            <v>ПРС</v>
          </cell>
          <cell r="H558" t="str">
            <v>ЭЦН</v>
          </cell>
          <cell r="I558" t="str">
            <v>бд</v>
          </cell>
          <cell r="J558">
            <v>35378</v>
          </cell>
          <cell r="K558">
            <v>0</v>
          </cell>
          <cell r="L558">
            <v>0</v>
          </cell>
          <cell r="M558">
            <v>0</v>
          </cell>
          <cell r="N558">
            <v>125</v>
          </cell>
          <cell r="O558">
            <v>5.0999999999999996</v>
          </cell>
          <cell r="P558">
            <v>95</v>
          </cell>
          <cell r="Q558">
            <v>125</v>
          </cell>
          <cell r="R558">
            <v>5.0999999999999996</v>
          </cell>
          <cell r="S558">
            <v>95</v>
          </cell>
          <cell r="T558">
            <v>37544</v>
          </cell>
          <cell r="U558" t="str">
            <v>БДП</v>
          </cell>
          <cell r="W558" t="str">
            <v>в.з.(г/ж), рев.Э-125</v>
          </cell>
        </row>
        <row r="559">
          <cell r="B559">
            <v>2877</v>
          </cell>
          <cell r="C559">
            <v>42</v>
          </cell>
          <cell r="F559" t="str">
            <v>ПРС</v>
          </cell>
          <cell r="H559" t="str">
            <v>ШГН</v>
          </cell>
          <cell r="I559" t="str">
            <v>бд</v>
          </cell>
          <cell r="J559">
            <v>36895</v>
          </cell>
          <cell r="K559">
            <v>0</v>
          </cell>
          <cell r="L559">
            <v>0</v>
          </cell>
          <cell r="M559">
            <v>0</v>
          </cell>
          <cell r="N559">
            <v>11</v>
          </cell>
          <cell r="O559">
            <v>0.7</v>
          </cell>
          <cell r="P559">
            <v>92</v>
          </cell>
          <cell r="Q559">
            <v>11</v>
          </cell>
          <cell r="R559">
            <v>0.7</v>
          </cell>
          <cell r="S559">
            <v>92.1</v>
          </cell>
          <cell r="T559">
            <v>37538</v>
          </cell>
          <cell r="U559" t="str">
            <v>БДП</v>
          </cell>
          <cell r="W559" t="str">
            <v>См.НВ-32/НВ-44, ВЗ(ГЖ)</v>
          </cell>
        </row>
        <row r="560">
          <cell r="B560" t="str">
            <v>5402б</v>
          </cell>
          <cell r="C560">
            <v>103</v>
          </cell>
          <cell r="F560" t="str">
            <v>ПРС</v>
          </cell>
          <cell r="H560" t="str">
            <v>ЭЦН</v>
          </cell>
          <cell r="I560" t="str">
            <v>конс.</v>
          </cell>
          <cell r="J560">
            <v>34099</v>
          </cell>
          <cell r="K560">
            <v>0</v>
          </cell>
          <cell r="L560">
            <v>0</v>
          </cell>
          <cell r="M560">
            <v>0</v>
          </cell>
          <cell r="N560">
            <v>29</v>
          </cell>
          <cell r="O560">
            <v>3.8</v>
          </cell>
          <cell r="P560">
            <v>84</v>
          </cell>
          <cell r="Q560">
            <v>29</v>
          </cell>
          <cell r="R560">
            <v>3.8</v>
          </cell>
          <cell r="S560">
            <v>83.8</v>
          </cell>
          <cell r="T560">
            <v>37550</v>
          </cell>
          <cell r="U560" t="str">
            <v>ВЦД</v>
          </cell>
          <cell r="W560" t="str">
            <v>ВЦ,ВЗ(ГЖ)сп.Э-80</v>
          </cell>
        </row>
        <row r="561">
          <cell r="B561">
            <v>5718</v>
          </cell>
          <cell r="C561" t="str">
            <v>122б</v>
          </cell>
          <cell r="F561" t="str">
            <v>ПРС</v>
          </cell>
          <cell r="H561" t="str">
            <v>ЭЦН</v>
          </cell>
          <cell r="I561" t="str">
            <v>действ.</v>
          </cell>
          <cell r="K561">
            <v>142</v>
          </cell>
          <cell r="L561">
            <v>13.9</v>
          </cell>
          <cell r="M561">
            <v>88</v>
          </cell>
          <cell r="N561">
            <v>248.7</v>
          </cell>
          <cell r="O561">
            <v>24.3</v>
          </cell>
          <cell r="P561">
            <v>88</v>
          </cell>
          <cell r="Q561">
            <v>106.7</v>
          </cell>
          <cell r="R561">
            <v>10.4</v>
          </cell>
          <cell r="S561">
            <v>88</v>
          </cell>
          <cell r="T561">
            <v>38309</v>
          </cell>
          <cell r="U561" t="str">
            <v>опт</v>
          </cell>
          <cell r="W561" t="str">
            <v>Смена Э-200/Э-250</v>
          </cell>
        </row>
        <row r="562">
          <cell r="B562">
            <v>5641</v>
          </cell>
          <cell r="C562">
            <v>126</v>
          </cell>
          <cell r="F562" t="str">
            <v>ПРС</v>
          </cell>
          <cell r="H562" t="str">
            <v>ЭЦН</v>
          </cell>
          <cell r="I562" t="str">
            <v>действ.</v>
          </cell>
          <cell r="K562">
            <v>96</v>
          </cell>
          <cell r="L562">
            <v>45.4</v>
          </cell>
          <cell r="M562">
            <v>42</v>
          </cell>
          <cell r="N562">
            <v>120</v>
          </cell>
          <cell r="O562">
            <v>54.8</v>
          </cell>
          <cell r="P562">
            <v>44</v>
          </cell>
          <cell r="Q562">
            <v>24</v>
          </cell>
          <cell r="R562">
            <v>9.4</v>
          </cell>
          <cell r="S562">
            <v>51.6</v>
          </cell>
          <cell r="T562">
            <v>37573</v>
          </cell>
          <cell r="U562" t="str">
            <v>опт</v>
          </cell>
          <cell r="W562" t="str">
            <v>Смена Э-80/Э-125</v>
          </cell>
        </row>
        <row r="563">
          <cell r="B563">
            <v>5826</v>
          </cell>
          <cell r="C563">
            <v>167</v>
          </cell>
          <cell r="F563" t="str">
            <v>ПРС</v>
          </cell>
          <cell r="H563" t="str">
            <v>ШГН</v>
          </cell>
          <cell r="I563" t="str">
            <v>действ.</v>
          </cell>
          <cell r="K563">
            <v>39</v>
          </cell>
          <cell r="L563">
            <v>21</v>
          </cell>
          <cell r="M563">
            <v>34</v>
          </cell>
          <cell r="N563">
            <v>50.3</v>
          </cell>
          <cell r="O563">
            <v>27.1</v>
          </cell>
          <cell r="P563">
            <v>34</v>
          </cell>
          <cell r="Q563">
            <v>11.3</v>
          </cell>
          <cell r="R563">
            <v>6.1</v>
          </cell>
          <cell r="S563">
            <v>33.4</v>
          </cell>
          <cell r="T563">
            <v>37843</v>
          </cell>
          <cell r="U563" t="str">
            <v>опт</v>
          </cell>
          <cell r="W563" t="str">
            <v>Оптимизация Э-30/50</v>
          </cell>
          <cell r="AE563">
            <v>37838</v>
          </cell>
        </row>
        <row r="565">
          <cell r="B565">
            <v>5253</v>
          </cell>
          <cell r="C565">
            <v>138</v>
          </cell>
          <cell r="F565" t="str">
            <v>ПРС</v>
          </cell>
          <cell r="H565" t="str">
            <v>ЭЦН</v>
          </cell>
          <cell r="I565" t="str">
            <v>конс.</v>
          </cell>
          <cell r="J565">
            <v>34881</v>
          </cell>
          <cell r="K565">
            <v>0</v>
          </cell>
          <cell r="L565">
            <v>0</v>
          </cell>
          <cell r="M565">
            <v>0</v>
          </cell>
          <cell r="N565">
            <v>48</v>
          </cell>
          <cell r="O565">
            <v>6.2</v>
          </cell>
          <cell r="P565">
            <v>84.2</v>
          </cell>
          <cell r="Q565">
            <v>48</v>
          </cell>
          <cell r="R565">
            <v>6.2</v>
          </cell>
          <cell r="S565">
            <v>84.1</v>
          </cell>
          <cell r="T565">
            <v>37584</v>
          </cell>
          <cell r="U565" t="str">
            <v>бдп</v>
          </cell>
          <cell r="W565" t="str">
            <v>Смена вор./Э-50</v>
          </cell>
          <cell r="AE565">
            <v>37673</v>
          </cell>
        </row>
        <row r="566">
          <cell r="B566" t="str">
            <v>11024б</v>
          </cell>
          <cell r="C566" t="str">
            <v>97б</v>
          </cell>
          <cell r="F566" t="str">
            <v>ПРС</v>
          </cell>
          <cell r="H566" t="str">
            <v>ЭЦН</v>
          </cell>
          <cell r="I566" t="str">
            <v>бд</v>
          </cell>
          <cell r="J566">
            <v>35121</v>
          </cell>
          <cell r="K566">
            <v>0</v>
          </cell>
          <cell r="L566">
            <v>0</v>
          </cell>
          <cell r="M566">
            <v>0</v>
          </cell>
          <cell r="N566">
            <v>50</v>
          </cell>
          <cell r="O566">
            <v>4.0999999999999996</v>
          </cell>
          <cell r="P566">
            <v>90</v>
          </cell>
          <cell r="Q566">
            <v>50</v>
          </cell>
          <cell r="R566">
            <v>4.0999999999999996</v>
          </cell>
          <cell r="S566">
            <v>90</v>
          </cell>
          <cell r="T566">
            <v>37706</v>
          </cell>
          <cell r="U566" t="str">
            <v>ВЦД</v>
          </cell>
          <cell r="W566" t="str">
            <v>ВЦ,ВЗ ГЖ,сп Э-50</v>
          </cell>
        </row>
        <row r="567">
          <cell r="B567">
            <v>5515</v>
          </cell>
          <cell r="C567">
            <v>115</v>
          </cell>
          <cell r="F567" t="str">
            <v>ПРС</v>
          </cell>
          <cell r="G567">
            <v>240</v>
          </cell>
          <cell r="H567" t="str">
            <v>ШГН</v>
          </cell>
          <cell r="I567" t="str">
            <v>действ.</v>
          </cell>
          <cell r="J567">
            <v>37370</v>
          </cell>
          <cell r="K567">
            <v>20</v>
          </cell>
          <cell r="L567">
            <v>15</v>
          </cell>
          <cell r="M567">
            <v>8</v>
          </cell>
          <cell r="N567">
            <v>29</v>
          </cell>
          <cell r="O567">
            <v>21.7</v>
          </cell>
          <cell r="P567">
            <v>8</v>
          </cell>
          <cell r="Q567">
            <v>9</v>
          </cell>
          <cell r="R567">
            <v>6.4</v>
          </cell>
          <cell r="S567">
            <v>8</v>
          </cell>
          <cell r="T567">
            <v>38056</v>
          </cell>
          <cell r="U567" t="str">
            <v>опт</v>
          </cell>
          <cell r="V567">
            <v>2</v>
          </cell>
          <cell r="W567" t="str">
            <v>Оптимизация НВ-44/Э-50</v>
          </cell>
          <cell r="AD567">
            <v>38049</v>
          </cell>
          <cell r="AE567">
            <v>38052</v>
          </cell>
          <cell r="AF567">
            <v>32</v>
          </cell>
        </row>
        <row r="568">
          <cell r="B568">
            <v>2629</v>
          </cell>
          <cell r="C568" t="str">
            <v>157б</v>
          </cell>
          <cell r="F568" t="str">
            <v>ЛРС</v>
          </cell>
          <cell r="H568">
            <v>2860</v>
          </cell>
          <cell r="I568" t="str">
            <v>дающая</v>
          </cell>
          <cell r="J568">
            <v>34883</v>
          </cell>
          <cell r="K568">
            <v>9</v>
          </cell>
          <cell r="L568">
            <v>7</v>
          </cell>
          <cell r="M568">
            <v>4</v>
          </cell>
          <cell r="T568">
            <v>37832</v>
          </cell>
          <cell r="U568" t="str">
            <v>ГРП</v>
          </cell>
          <cell r="W568" t="str">
            <v>ПП ЮК-10,ГРП ЮК-10,осв.</v>
          </cell>
        </row>
        <row r="570">
          <cell r="B570">
            <v>3870</v>
          </cell>
          <cell r="C570">
            <v>197</v>
          </cell>
          <cell r="F570" t="str">
            <v>ПРС</v>
          </cell>
          <cell r="H570" t="e">
            <v>#N/A</v>
          </cell>
          <cell r="I570" t="str">
            <v>конс.</v>
          </cell>
          <cell r="J570">
            <v>34883</v>
          </cell>
          <cell r="K570">
            <v>0</v>
          </cell>
          <cell r="L570">
            <v>0</v>
          </cell>
          <cell r="M570">
            <v>0</v>
          </cell>
          <cell r="N570">
            <v>80</v>
          </cell>
          <cell r="O570">
            <v>5.2</v>
          </cell>
          <cell r="P570">
            <v>92</v>
          </cell>
          <cell r="Q570">
            <v>80</v>
          </cell>
          <cell r="R570">
            <v>5.2</v>
          </cell>
          <cell r="S570">
            <v>92</v>
          </cell>
          <cell r="T570">
            <v>37810</v>
          </cell>
          <cell r="U570" t="str">
            <v>ВЦД</v>
          </cell>
          <cell r="W570" t="str">
            <v>ВЦ,смЭ/Э-80</v>
          </cell>
        </row>
        <row r="571">
          <cell r="B571">
            <v>3103</v>
          </cell>
          <cell r="C571">
            <v>55</v>
          </cell>
          <cell r="F571" t="str">
            <v>ПРС</v>
          </cell>
          <cell r="H571" t="e">
            <v>#N/A</v>
          </cell>
          <cell r="I571" t="str">
            <v>конс.</v>
          </cell>
          <cell r="J571" t="e">
            <v>#N/A</v>
          </cell>
          <cell r="K571">
            <v>0</v>
          </cell>
          <cell r="L571">
            <v>0</v>
          </cell>
          <cell r="M571">
            <v>0</v>
          </cell>
          <cell r="N571">
            <v>50</v>
          </cell>
          <cell r="O571">
            <v>4.0999999999999996</v>
          </cell>
          <cell r="P571">
            <v>90</v>
          </cell>
          <cell r="Q571">
            <v>50</v>
          </cell>
          <cell r="R571">
            <v>4.0999999999999996</v>
          </cell>
          <cell r="S571">
            <v>90</v>
          </cell>
          <cell r="T571" t="e">
            <v>#N/A</v>
          </cell>
          <cell r="U571" t="str">
            <v>ВЦД</v>
          </cell>
          <cell r="W571" t="str">
            <v>ВЦ,смЭ/Э-50</v>
          </cell>
          <cell r="AD571">
            <v>37809</v>
          </cell>
          <cell r="AE571">
            <v>37830</v>
          </cell>
        </row>
        <row r="572">
          <cell r="B572">
            <v>3102</v>
          </cell>
          <cell r="C572">
            <v>55</v>
          </cell>
          <cell r="F572" t="str">
            <v>ПРС</v>
          </cell>
          <cell r="H572" t="e">
            <v>#N/A</v>
          </cell>
          <cell r="I572" t="str">
            <v>конс.</v>
          </cell>
          <cell r="J572" t="e">
            <v>#N/A</v>
          </cell>
          <cell r="K572">
            <v>0</v>
          </cell>
          <cell r="L572">
            <v>0</v>
          </cell>
          <cell r="M572">
            <v>0</v>
          </cell>
          <cell r="N572">
            <v>50</v>
          </cell>
          <cell r="O572">
            <v>4.0999999999999996</v>
          </cell>
          <cell r="P572">
            <v>90</v>
          </cell>
          <cell r="Q572">
            <v>50</v>
          </cell>
          <cell r="R572">
            <v>4.0999999999999996</v>
          </cell>
          <cell r="S572">
            <v>90</v>
          </cell>
          <cell r="T572" t="e">
            <v>#N/A</v>
          </cell>
          <cell r="U572" t="str">
            <v>ВЦД</v>
          </cell>
          <cell r="W572" t="str">
            <v>ВЦ "Элетропрогрев"</v>
          </cell>
          <cell r="AD572">
            <v>37831</v>
          </cell>
          <cell r="AE572">
            <v>37874</v>
          </cell>
        </row>
        <row r="573">
          <cell r="B573">
            <v>11026</v>
          </cell>
          <cell r="C573" t="str">
            <v>96б</v>
          </cell>
          <cell r="F573" t="str">
            <v>ПРС</v>
          </cell>
          <cell r="H573" t="str">
            <v>фонт</v>
          </cell>
          <cell r="I573" t="str">
            <v>бд</v>
          </cell>
          <cell r="J573">
            <v>34390</v>
          </cell>
          <cell r="K573">
            <v>0</v>
          </cell>
          <cell r="L573">
            <v>0</v>
          </cell>
          <cell r="M573">
            <v>0</v>
          </cell>
          <cell r="N573">
            <v>50</v>
          </cell>
          <cell r="O573">
            <v>7.3</v>
          </cell>
          <cell r="P573">
            <v>90</v>
          </cell>
          <cell r="Q573">
            <v>50</v>
          </cell>
          <cell r="R573">
            <v>4.0999999999999996</v>
          </cell>
          <cell r="S573">
            <v>90</v>
          </cell>
          <cell r="T573">
            <v>37812</v>
          </cell>
          <cell r="U573" t="str">
            <v>ВЦД</v>
          </cell>
          <cell r="W573" t="str">
            <v>ВЦ,см.вор/Э-50</v>
          </cell>
        </row>
        <row r="574">
          <cell r="B574">
            <v>5579</v>
          </cell>
          <cell r="C574">
            <v>115</v>
          </cell>
          <cell r="F574" t="str">
            <v>КРС</v>
          </cell>
          <cell r="H574" t="str">
            <v>Ф/Э</v>
          </cell>
          <cell r="I574" t="str">
            <v>конс.</v>
          </cell>
          <cell r="J574">
            <v>34883</v>
          </cell>
          <cell r="K574">
            <v>0</v>
          </cell>
          <cell r="L574">
            <v>0</v>
          </cell>
          <cell r="M574">
            <v>0</v>
          </cell>
          <cell r="N574">
            <v>50</v>
          </cell>
          <cell r="O574">
            <v>20.399999999999999</v>
          </cell>
          <cell r="P574">
            <v>50</v>
          </cell>
          <cell r="Q574">
            <v>50</v>
          </cell>
          <cell r="R574">
            <v>20.399999999999999</v>
          </cell>
          <cell r="S574">
            <v>50</v>
          </cell>
          <cell r="T574">
            <v>37813</v>
          </cell>
          <cell r="U574" t="str">
            <v>ГРП</v>
          </cell>
          <cell r="W574" t="str">
            <v>ВЦ,ВЗ,ИР ЮК-10,повт.ГРП ЮК-2,осв.</v>
          </cell>
        </row>
        <row r="575">
          <cell r="B575" t="str">
            <v>5484б</v>
          </cell>
          <cell r="C575">
            <v>115</v>
          </cell>
          <cell r="F575" t="str">
            <v>КРС</v>
          </cell>
          <cell r="H575" t="str">
            <v>ЭЦН</v>
          </cell>
          <cell r="I575" t="str">
            <v>дающая</v>
          </cell>
          <cell r="J575" t="e">
            <v>#REF!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37814</v>
          </cell>
          <cell r="U575" t="str">
            <v>нг</v>
          </cell>
          <cell r="W575" t="str">
            <v>перевод в ППД</v>
          </cell>
        </row>
        <row r="576">
          <cell r="B576">
            <v>5563</v>
          </cell>
          <cell r="C576">
            <v>119</v>
          </cell>
          <cell r="F576" t="str">
            <v>КРС</v>
          </cell>
          <cell r="H576" t="str">
            <v>ЭЦН</v>
          </cell>
          <cell r="I576" t="str">
            <v>бд</v>
          </cell>
          <cell r="J576">
            <v>36418</v>
          </cell>
          <cell r="K576">
            <v>0</v>
          </cell>
          <cell r="L576">
            <v>0</v>
          </cell>
          <cell r="M576">
            <v>0</v>
          </cell>
          <cell r="N576">
            <v>50</v>
          </cell>
          <cell r="O576">
            <v>6.1</v>
          </cell>
          <cell r="P576">
            <v>85</v>
          </cell>
          <cell r="Q576">
            <v>50</v>
          </cell>
          <cell r="R576">
            <v>6.1</v>
          </cell>
          <cell r="S576">
            <v>85</v>
          </cell>
          <cell r="T576">
            <v>37829</v>
          </cell>
          <cell r="U576" t="str">
            <v>ЛА</v>
          </cell>
          <cell r="W576" t="str">
            <v>Изв.ЭЦН,ПП ЮК-10</v>
          </cell>
        </row>
        <row r="577">
          <cell r="B577">
            <v>5469</v>
          </cell>
          <cell r="C577">
            <v>108</v>
          </cell>
          <cell r="F577" t="str">
            <v>КРС</v>
          </cell>
          <cell r="H577" t="str">
            <v>Ф/Э</v>
          </cell>
          <cell r="I577" t="str">
            <v>бд</v>
          </cell>
          <cell r="J577">
            <v>34303</v>
          </cell>
          <cell r="T577">
            <v>38679</v>
          </cell>
          <cell r="U577" t="str">
            <v>нг</v>
          </cell>
          <cell r="W577" t="str">
            <v>перевод в ППД</v>
          </cell>
        </row>
        <row r="578">
          <cell r="B578">
            <v>2925</v>
          </cell>
          <cell r="C578">
            <v>132</v>
          </cell>
          <cell r="F578" t="str">
            <v>КРС</v>
          </cell>
          <cell r="H578" t="str">
            <v>фон</v>
          </cell>
          <cell r="I578" t="str">
            <v>конс.</v>
          </cell>
          <cell r="J578">
            <v>34271</v>
          </cell>
          <cell r="K578">
            <v>0</v>
          </cell>
          <cell r="L578">
            <v>0</v>
          </cell>
          <cell r="M578">
            <v>0</v>
          </cell>
          <cell r="N578">
            <v>30</v>
          </cell>
          <cell r="O578">
            <v>7.3</v>
          </cell>
          <cell r="P578">
            <v>70</v>
          </cell>
          <cell r="Q578">
            <v>30</v>
          </cell>
          <cell r="R578">
            <v>7.3</v>
          </cell>
          <cell r="S578">
            <v>70</v>
          </cell>
          <cell r="T578">
            <v>37807</v>
          </cell>
          <cell r="U578" t="str">
            <v>ВВ</v>
          </cell>
          <cell r="W578" t="str">
            <v>ИР ЮК-10,ОПР</v>
          </cell>
        </row>
        <row r="579">
          <cell r="B579">
            <v>5242</v>
          </cell>
          <cell r="C579">
            <v>134</v>
          </cell>
          <cell r="F579" t="str">
            <v>КРС</v>
          </cell>
          <cell r="H579" t="str">
            <v>нагнет.</v>
          </cell>
          <cell r="I579" t="str">
            <v>под закачкой</v>
          </cell>
          <cell r="J579" t="e">
            <v>#REF!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37811</v>
          </cell>
          <cell r="U579" t="str">
            <v>нг</v>
          </cell>
          <cell r="W579" t="str">
            <v>Ревизия пакера ГИС-3</v>
          </cell>
        </row>
        <row r="580">
          <cell r="B580">
            <v>5267</v>
          </cell>
          <cell r="C580">
            <v>134</v>
          </cell>
          <cell r="F580" t="str">
            <v>КРС</v>
          </cell>
          <cell r="H580" t="str">
            <v>ШГН</v>
          </cell>
          <cell r="I580" t="str">
            <v>простой</v>
          </cell>
          <cell r="J580">
            <v>37798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37821</v>
          </cell>
          <cell r="U580" t="str">
            <v>нг</v>
          </cell>
          <cell r="W580" t="str">
            <v>перевод в ППД</v>
          </cell>
        </row>
        <row r="581">
          <cell r="B581">
            <v>5651</v>
          </cell>
          <cell r="C581">
            <v>124</v>
          </cell>
          <cell r="F581" t="str">
            <v>УПНП</v>
          </cell>
          <cell r="G581">
            <v>260</v>
          </cell>
          <cell r="H581" t="str">
            <v>ЭЦН</v>
          </cell>
          <cell r="I581" t="str">
            <v>конс.</v>
          </cell>
          <cell r="J581">
            <v>35433</v>
          </cell>
          <cell r="K581">
            <v>0</v>
          </cell>
          <cell r="L581">
            <v>0</v>
          </cell>
          <cell r="M581">
            <v>0</v>
          </cell>
          <cell r="N581">
            <v>65</v>
          </cell>
          <cell r="O581">
            <v>23.3</v>
          </cell>
          <cell r="P581">
            <v>56</v>
          </cell>
          <cell r="Q581">
            <v>65</v>
          </cell>
          <cell r="R581">
            <v>23.3</v>
          </cell>
          <cell r="S581">
            <v>55.7</v>
          </cell>
          <cell r="T581">
            <v>37572</v>
          </cell>
          <cell r="U581" t="str">
            <v>ОВП</v>
          </cell>
          <cell r="W581" t="str">
            <v>ВЦ,ГИС,РИР (ЗКЦ ЮК-11),ПП</v>
          </cell>
        </row>
        <row r="582">
          <cell r="B582">
            <v>5241</v>
          </cell>
          <cell r="C582">
            <v>134</v>
          </cell>
          <cell r="F582" t="str">
            <v>УПНПиКРС</v>
          </cell>
          <cell r="G582">
            <v>258</v>
          </cell>
          <cell r="H582" t="str">
            <v>ЭЦН</v>
          </cell>
          <cell r="I582" t="str">
            <v>бд</v>
          </cell>
          <cell r="J582">
            <v>34547</v>
          </cell>
          <cell r="K582">
            <v>21</v>
          </cell>
          <cell r="L582">
            <v>0.2</v>
          </cell>
          <cell r="M582">
            <v>99</v>
          </cell>
          <cell r="N582">
            <v>6</v>
          </cell>
          <cell r="O582">
            <v>3.7</v>
          </cell>
          <cell r="P582">
            <v>25</v>
          </cell>
          <cell r="Q582">
            <v>6</v>
          </cell>
          <cell r="R582">
            <v>3.7</v>
          </cell>
          <cell r="S582">
            <v>30</v>
          </cell>
          <cell r="T582">
            <v>37690</v>
          </cell>
          <cell r="U582" t="str">
            <v>бдп</v>
          </cell>
          <cell r="V582">
            <v>2</v>
          </cell>
          <cell r="W582" t="str">
            <v xml:space="preserve">ВЦ, ГИС-2 ( источ. обвод.), при подтверждении воды и герм. э/колонны  </v>
          </cell>
          <cell r="X582" t="str">
            <v>ЭП выполнен, ЭЦН с КРБК на забое</v>
          </cell>
          <cell r="Y582" t="str">
            <v xml:space="preserve">на забое ЭЦН-50/1550+103шт.60мм НКТ+кабель </v>
          </cell>
          <cell r="AD582">
            <v>37413</v>
          </cell>
          <cell r="AE582">
            <v>37461</v>
          </cell>
          <cell r="AF582">
            <v>48</v>
          </cell>
        </row>
        <row r="583">
          <cell r="B583">
            <v>5241</v>
          </cell>
          <cell r="C583">
            <v>134</v>
          </cell>
          <cell r="F583" t="str">
            <v>УПНПиКРС</v>
          </cell>
          <cell r="G583">
            <v>258</v>
          </cell>
          <cell r="H583" t="str">
            <v>ЭЦН</v>
          </cell>
          <cell r="I583" t="str">
            <v>бд</v>
          </cell>
          <cell r="J583">
            <v>34547</v>
          </cell>
          <cell r="K583">
            <v>21</v>
          </cell>
          <cell r="L583">
            <v>0.2</v>
          </cell>
          <cell r="M583">
            <v>99</v>
          </cell>
          <cell r="N583">
            <v>30</v>
          </cell>
          <cell r="O583">
            <v>12</v>
          </cell>
          <cell r="P583">
            <v>51</v>
          </cell>
          <cell r="Q583">
            <v>30</v>
          </cell>
          <cell r="R583">
            <v>12</v>
          </cell>
          <cell r="S583">
            <v>50.6</v>
          </cell>
          <cell r="T583">
            <v>37465</v>
          </cell>
          <cell r="U583" t="str">
            <v>ГРП</v>
          </cell>
          <cell r="V583">
            <v>2</v>
          </cell>
          <cell r="W583" t="str">
            <v>СО-каротаж, ПР к ГРП, ГРП ЮК-2, осв.</v>
          </cell>
          <cell r="X583" t="str">
            <v>ЭП выполнен, ЭЦН с КРБК на забое</v>
          </cell>
          <cell r="AD583" t="e">
            <v>#REF!</v>
          </cell>
          <cell r="AE583" t="e">
            <v>#REF!</v>
          </cell>
          <cell r="AF583">
            <v>12</v>
          </cell>
        </row>
        <row r="584">
          <cell r="B584">
            <v>5290</v>
          </cell>
          <cell r="C584">
            <v>133</v>
          </cell>
          <cell r="F584" t="str">
            <v>УПНПиКРС</v>
          </cell>
          <cell r="H584" t="str">
            <v>ШГН</v>
          </cell>
          <cell r="I584" t="str">
            <v>бд</v>
          </cell>
          <cell r="N584">
            <v>65</v>
          </cell>
          <cell r="O584">
            <v>37.1</v>
          </cell>
          <cell r="P584">
            <v>30</v>
          </cell>
          <cell r="Q584">
            <v>65</v>
          </cell>
          <cell r="R584">
            <v>37.1</v>
          </cell>
          <cell r="S584">
            <v>29.5</v>
          </cell>
          <cell r="T584">
            <v>37455</v>
          </cell>
          <cell r="U584" t="str">
            <v>ГРП</v>
          </cell>
          <cell r="W584" t="str">
            <v>ВЦ, РИР ЮК-10, ПР к ГРП, ГРП ЮК-2, осв.</v>
          </cell>
          <cell r="Y584" t="str">
            <v>ОЦ5.10.99</v>
          </cell>
          <cell r="AC584" t="str">
            <v/>
          </cell>
          <cell r="AD584">
            <v>37413</v>
          </cell>
          <cell r="AE584">
            <v>37447</v>
          </cell>
          <cell r="AF584">
            <v>34</v>
          </cell>
          <cell r="AG584">
            <v>-190964</v>
          </cell>
          <cell r="AH584">
            <v>-262108</v>
          </cell>
        </row>
        <row r="585">
          <cell r="B585">
            <v>5266</v>
          </cell>
          <cell r="C585">
            <v>134</v>
          </cell>
          <cell r="F585" t="str">
            <v>УПНПиКРС</v>
          </cell>
          <cell r="H585" t="str">
            <v>нагнет.</v>
          </cell>
          <cell r="I585" t="str">
            <v>бд</v>
          </cell>
          <cell r="N585">
            <v>50</v>
          </cell>
          <cell r="O585">
            <v>30</v>
          </cell>
          <cell r="P585">
            <v>26.5</v>
          </cell>
          <cell r="Q585">
            <v>50</v>
          </cell>
          <cell r="R585">
            <v>30</v>
          </cell>
          <cell r="S585">
            <v>25.9</v>
          </cell>
          <cell r="T585">
            <v>38102</v>
          </cell>
          <cell r="U585" t="str">
            <v>ГРП</v>
          </cell>
          <cell r="W585" t="str">
            <v>ОТСК, РИР ЮК-10, ПР к ГРП, ГРП ЮК-2, осв.</v>
          </cell>
          <cell r="AD585">
            <v>37409</v>
          </cell>
          <cell r="AE585">
            <v>37431</v>
          </cell>
          <cell r="AF585">
            <v>22</v>
          </cell>
          <cell r="AG585">
            <v>-1123080</v>
          </cell>
          <cell r="AH585">
            <v>-1871800</v>
          </cell>
        </row>
        <row r="586">
          <cell r="B586">
            <v>5266</v>
          </cell>
          <cell r="C586">
            <v>134</v>
          </cell>
          <cell r="F586" t="str">
            <v>УПНПиКРС</v>
          </cell>
          <cell r="H586" t="str">
            <v>нагнет.</v>
          </cell>
          <cell r="I586" t="str">
            <v>бд</v>
          </cell>
          <cell r="N586">
            <v>50</v>
          </cell>
          <cell r="O586">
            <v>30</v>
          </cell>
          <cell r="P586">
            <v>26.5</v>
          </cell>
          <cell r="Q586">
            <v>50</v>
          </cell>
          <cell r="R586">
            <v>30</v>
          </cell>
          <cell r="S586">
            <v>25.9</v>
          </cell>
          <cell r="T586">
            <v>37436</v>
          </cell>
          <cell r="U586" t="str">
            <v>ГРП</v>
          </cell>
          <cell r="W586" t="str">
            <v>ОТСК, РИР ЮК-10, ПР к ГРП, ГРП ЮК-2, осв.</v>
          </cell>
          <cell r="AD586">
            <v>37392</v>
          </cell>
          <cell r="AE586">
            <v>37412</v>
          </cell>
          <cell r="AF586">
            <v>20</v>
          </cell>
          <cell r="AG586" t="e">
            <v>#REF!</v>
          </cell>
          <cell r="AH586" t="e">
            <v>#REF!</v>
          </cell>
        </row>
        <row r="587">
          <cell r="B587">
            <v>5739</v>
          </cell>
          <cell r="C587">
            <v>127</v>
          </cell>
          <cell r="F587" t="str">
            <v>УПНПиКРС</v>
          </cell>
          <cell r="G587">
            <v>280</v>
          </cell>
          <cell r="H587" t="str">
            <v>нагнет.</v>
          </cell>
          <cell r="I587" t="str">
            <v>бд</v>
          </cell>
          <cell r="N587">
            <v>50</v>
          </cell>
          <cell r="O587">
            <v>11.4</v>
          </cell>
          <cell r="P587">
            <v>72</v>
          </cell>
          <cell r="Q587">
            <v>50</v>
          </cell>
          <cell r="R587">
            <v>11.4</v>
          </cell>
          <cell r="S587">
            <v>71.900000000000006</v>
          </cell>
          <cell r="T587">
            <v>37424</v>
          </cell>
          <cell r="U587" t="str">
            <v>ГРП</v>
          </cell>
          <cell r="AD587">
            <v>37387</v>
          </cell>
          <cell r="AE587">
            <v>37411</v>
          </cell>
          <cell r="AF587">
            <v>24</v>
          </cell>
        </row>
        <row r="588">
          <cell r="B588">
            <v>3055</v>
          </cell>
          <cell r="C588">
            <v>51</v>
          </cell>
          <cell r="F588" t="str">
            <v>УПНПиКРС</v>
          </cell>
          <cell r="H588" t="str">
            <v>нагнет.</v>
          </cell>
          <cell r="I588" t="str">
            <v>бд</v>
          </cell>
          <cell r="N588">
            <v>20</v>
          </cell>
          <cell r="O588">
            <v>12.2</v>
          </cell>
          <cell r="P588">
            <v>25</v>
          </cell>
          <cell r="Q588">
            <v>20</v>
          </cell>
          <cell r="R588">
            <v>12.2</v>
          </cell>
          <cell r="S588">
            <v>24.7</v>
          </cell>
          <cell r="T588">
            <v>37422</v>
          </cell>
          <cell r="U588" t="str">
            <v>ГРП</v>
          </cell>
          <cell r="W588" t="str">
            <v>ВЗ ИР ЮК-11, ПР к ГРП и ГРП ЮК-3</v>
          </cell>
        </row>
        <row r="589">
          <cell r="B589">
            <v>2963</v>
          </cell>
          <cell r="C589">
            <v>20</v>
          </cell>
          <cell r="F589" t="str">
            <v>УПНПиКРС</v>
          </cell>
          <cell r="G589">
            <v>291</v>
          </cell>
          <cell r="H589" t="str">
            <v>нагнет.</v>
          </cell>
          <cell r="I589" t="str">
            <v>конс.</v>
          </cell>
          <cell r="N589">
            <v>49</v>
          </cell>
          <cell r="O589">
            <v>37.9</v>
          </cell>
          <cell r="P589">
            <v>5</v>
          </cell>
          <cell r="Q589">
            <v>49</v>
          </cell>
          <cell r="R589">
            <v>37.9</v>
          </cell>
          <cell r="S589">
            <v>4.5</v>
          </cell>
          <cell r="T589">
            <v>37417</v>
          </cell>
          <cell r="U589" t="str">
            <v>ГРП</v>
          </cell>
          <cell r="W589" t="str">
            <v xml:space="preserve"> РИР ЮК-10, ПР к ГРП, ГРП ЮК-2, осв.</v>
          </cell>
          <cell r="AD589">
            <v>37384</v>
          </cell>
          <cell r="AE589">
            <v>37401</v>
          </cell>
          <cell r="AF589">
            <v>17</v>
          </cell>
        </row>
        <row r="590">
          <cell r="B590">
            <v>2820</v>
          </cell>
          <cell r="C590">
            <v>144</v>
          </cell>
          <cell r="F590" t="str">
            <v>УПНПиКРС</v>
          </cell>
          <cell r="H590" t="str">
            <v>ФОН</v>
          </cell>
          <cell r="I590" t="str">
            <v>действ.</v>
          </cell>
          <cell r="K590">
            <v>32</v>
          </cell>
          <cell r="L590">
            <v>21.4</v>
          </cell>
          <cell r="M590">
            <v>18</v>
          </cell>
          <cell r="N590">
            <v>40</v>
          </cell>
          <cell r="O590">
            <v>28.4</v>
          </cell>
          <cell r="P590">
            <v>13</v>
          </cell>
          <cell r="Q590">
            <v>8</v>
          </cell>
          <cell r="R590">
            <v>7</v>
          </cell>
          <cell r="S590">
            <v>-8</v>
          </cell>
          <cell r="T590">
            <v>37415</v>
          </cell>
          <cell r="U590" t="str">
            <v>опт</v>
          </cell>
          <cell r="W590" t="str">
            <v>Подъём пакера , осв.после ГРП, сп.Э-50</v>
          </cell>
          <cell r="AD590">
            <v>37384</v>
          </cell>
          <cell r="AE590">
            <v>37408</v>
          </cell>
          <cell r="AF590">
            <v>24</v>
          </cell>
          <cell r="AG590" t="e">
            <v>#REF!</v>
          </cell>
          <cell r="AH590" t="e">
            <v>#REF!</v>
          </cell>
        </row>
        <row r="591">
          <cell r="B591">
            <v>5242</v>
          </cell>
          <cell r="C591">
            <v>134</v>
          </cell>
          <cell r="F591" t="str">
            <v>УПНПиКРС</v>
          </cell>
          <cell r="H591" t="str">
            <v>ШГН</v>
          </cell>
          <cell r="I591" t="str">
            <v>конс.</v>
          </cell>
          <cell r="N591">
            <v>40</v>
          </cell>
          <cell r="O591">
            <v>28.4</v>
          </cell>
          <cell r="P591">
            <v>13</v>
          </cell>
          <cell r="Q591">
            <v>40</v>
          </cell>
          <cell r="R591">
            <v>28.4</v>
          </cell>
          <cell r="S591">
            <v>12.3</v>
          </cell>
          <cell r="T591">
            <v>37412</v>
          </cell>
          <cell r="V591">
            <v>3</v>
          </cell>
          <cell r="W591" t="str">
            <v>ВЦ, РИР ЮК-10, ПР к ГРП, ГРП ЮК-2, осв.</v>
          </cell>
          <cell r="Y591" t="str">
            <v>ВУК(-)</v>
          </cell>
          <cell r="AD591">
            <v>37329</v>
          </cell>
          <cell r="AE591">
            <v>37382</v>
          </cell>
          <cell r="AF591">
            <v>53</v>
          </cell>
          <cell r="AG591">
            <v>1470</v>
          </cell>
          <cell r="AH591">
            <v>2450</v>
          </cell>
        </row>
        <row r="592">
          <cell r="B592">
            <v>5218</v>
          </cell>
          <cell r="C592">
            <v>134</v>
          </cell>
          <cell r="F592" t="str">
            <v>УПНПиКРС</v>
          </cell>
          <cell r="G592">
            <v>245</v>
          </cell>
          <cell r="H592" t="str">
            <v>ШГН</v>
          </cell>
          <cell r="I592" t="str">
            <v>конс.</v>
          </cell>
          <cell r="J592">
            <v>32843</v>
          </cell>
          <cell r="N592">
            <v>50</v>
          </cell>
          <cell r="O592">
            <v>30</v>
          </cell>
          <cell r="P592">
            <v>26.5</v>
          </cell>
          <cell r="Q592">
            <v>50</v>
          </cell>
          <cell r="R592">
            <v>30</v>
          </cell>
          <cell r="S592">
            <v>25.9</v>
          </cell>
          <cell r="T592">
            <v>37407</v>
          </cell>
          <cell r="U592" t="str">
            <v>ГРП</v>
          </cell>
          <cell r="V592">
            <v>2</v>
          </cell>
          <cell r="W592" t="str">
            <v>ВЦ, ИР ЮК-10, ПР к ГРП и ГРП ЮК-2-3</v>
          </cell>
          <cell r="Y592" t="str">
            <v>Обрыв МСУ-400+ 1485м. Проволки ВЦ сделал э/пр.(февр.02), цирк.(+)</v>
          </cell>
          <cell r="AD592">
            <v>37362</v>
          </cell>
          <cell r="AE592">
            <v>37384</v>
          </cell>
          <cell r="AF592">
            <v>22</v>
          </cell>
          <cell r="AG592">
            <v>940</v>
          </cell>
          <cell r="AH592">
            <v>-456</v>
          </cell>
        </row>
        <row r="593">
          <cell r="B593">
            <v>5483</v>
          </cell>
          <cell r="C593">
            <v>115</v>
          </cell>
          <cell r="F593" t="str">
            <v>УПНПиКРС</v>
          </cell>
          <cell r="G593">
            <v>250</v>
          </cell>
          <cell r="H593" t="str">
            <v>ЭЦН</v>
          </cell>
          <cell r="I593" t="str">
            <v>конс.</v>
          </cell>
          <cell r="J593">
            <v>34274</v>
          </cell>
          <cell r="K593">
            <v>30</v>
          </cell>
          <cell r="L593">
            <v>23.5</v>
          </cell>
          <cell r="M593">
            <v>4</v>
          </cell>
          <cell r="N593">
            <v>30</v>
          </cell>
          <cell r="O593">
            <v>22.1</v>
          </cell>
          <cell r="P593">
            <v>9.5</v>
          </cell>
          <cell r="Q593">
            <v>30</v>
          </cell>
          <cell r="R593">
            <v>22.1</v>
          </cell>
          <cell r="S593">
            <v>9.1</v>
          </cell>
          <cell r="T593">
            <v>37393</v>
          </cell>
          <cell r="U593" t="str">
            <v>ГРП</v>
          </cell>
          <cell r="V593">
            <v>3</v>
          </cell>
          <cell r="W593" t="str">
            <v xml:space="preserve"> пр к ГРП, ГРП</v>
          </cell>
          <cell r="AD593">
            <v>37355</v>
          </cell>
          <cell r="AE593">
            <v>37376</v>
          </cell>
          <cell r="AF593">
            <v>21</v>
          </cell>
          <cell r="AG593">
            <v>120</v>
          </cell>
          <cell r="AH593">
            <v>456</v>
          </cell>
        </row>
        <row r="594">
          <cell r="B594">
            <v>5425</v>
          </cell>
          <cell r="C594">
            <v>102</v>
          </cell>
          <cell r="F594" t="str">
            <v>УПНПиКРС</v>
          </cell>
          <cell r="G594">
            <v>230</v>
          </cell>
          <cell r="H594" t="str">
            <v>ШГН</v>
          </cell>
          <cell r="I594" t="str">
            <v>действ.</v>
          </cell>
          <cell r="J594">
            <v>37355</v>
          </cell>
          <cell r="K594">
            <v>12</v>
          </cell>
          <cell r="L594">
            <v>9.5</v>
          </cell>
          <cell r="M594">
            <v>3</v>
          </cell>
          <cell r="N594">
            <v>23</v>
          </cell>
          <cell r="O594">
            <v>17.899999999999999</v>
          </cell>
          <cell r="P594">
            <v>4.5</v>
          </cell>
          <cell r="Q594">
            <v>11</v>
          </cell>
          <cell r="R594">
            <v>8.4</v>
          </cell>
          <cell r="S594">
            <v>5.7</v>
          </cell>
          <cell r="T594">
            <v>38097</v>
          </cell>
          <cell r="U594" t="str">
            <v>опт</v>
          </cell>
          <cell r="V594">
            <v>2</v>
          </cell>
          <cell r="W594" t="str">
            <v>См.НВ-44/Э-30</v>
          </cell>
          <cell r="AD594">
            <v>37365</v>
          </cell>
          <cell r="AE594">
            <v>37379</v>
          </cell>
          <cell r="AF594">
            <v>14</v>
          </cell>
          <cell r="AG594">
            <v>1560</v>
          </cell>
          <cell r="AH594">
            <v>2600</v>
          </cell>
        </row>
        <row r="595">
          <cell r="B595" t="str">
            <v>5321б</v>
          </cell>
          <cell r="C595">
            <v>135</v>
          </cell>
          <cell r="F595" t="str">
            <v>УПНПиКРС</v>
          </cell>
          <cell r="G595">
            <v>245</v>
          </cell>
          <cell r="H595" t="str">
            <v>ШГН</v>
          </cell>
          <cell r="I595" t="str">
            <v>бд</v>
          </cell>
          <cell r="J595">
            <v>37681</v>
          </cell>
          <cell r="K595">
            <v>8</v>
          </cell>
          <cell r="L595">
            <v>4.9000000000000004</v>
          </cell>
          <cell r="M595">
            <v>25</v>
          </cell>
          <cell r="N595">
            <v>8</v>
          </cell>
          <cell r="O595">
            <v>4.9000000000000004</v>
          </cell>
          <cell r="P595">
            <v>25</v>
          </cell>
          <cell r="Q595">
            <v>8</v>
          </cell>
          <cell r="R595">
            <v>4.9000000000000004</v>
          </cell>
          <cell r="S595">
            <v>24.4</v>
          </cell>
          <cell r="T595">
            <v>37763</v>
          </cell>
          <cell r="U595" t="str">
            <v>вц</v>
          </cell>
          <cell r="V595">
            <v>2</v>
          </cell>
          <cell r="W595" t="str">
            <v>вц</v>
          </cell>
          <cell r="AD595">
            <v>37352</v>
          </cell>
          <cell r="AE595">
            <v>37363</v>
          </cell>
          <cell r="AF595">
            <v>11</v>
          </cell>
        </row>
        <row r="596">
          <cell r="B596">
            <v>5800</v>
          </cell>
          <cell r="C596">
            <v>141</v>
          </cell>
          <cell r="F596" t="str">
            <v>УПНПиКРС</v>
          </cell>
          <cell r="G596">
            <v>287</v>
          </cell>
          <cell r="H596" t="str">
            <v>нагнет.</v>
          </cell>
          <cell r="I596" t="str">
            <v>бд</v>
          </cell>
          <cell r="J596">
            <v>36641</v>
          </cell>
          <cell r="K596">
            <v>150</v>
          </cell>
          <cell r="N596">
            <v>150</v>
          </cell>
          <cell r="Q596">
            <v>150</v>
          </cell>
          <cell r="T596">
            <v>37366</v>
          </cell>
          <cell r="V596">
            <v>2</v>
          </cell>
          <cell r="W596" t="str">
            <v>Ревизия пакера</v>
          </cell>
          <cell r="AD596">
            <v>37194</v>
          </cell>
          <cell r="AE596">
            <v>37345</v>
          </cell>
          <cell r="AF596">
            <v>151</v>
          </cell>
          <cell r="AG596" t="e">
            <v>#REF!</v>
          </cell>
          <cell r="AH596" t="e">
            <v>#REF!</v>
          </cell>
        </row>
        <row r="597">
          <cell r="B597">
            <v>5418</v>
          </cell>
          <cell r="C597">
            <v>109</v>
          </cell>
          <cell r="F597" t="str">
            <v>УПНПиКРС</v>
          </cell>
          <cell r="G597">
            <v>275</v>
          </cell>
          <cell r="H597" t="str">
            <v>ЭЦН</v>
          </cell>
          <cell r="I597" t="str">
            <v>бд</v>
          </cell>
          <cell r="J597">
            <v>35823</v>
          </cell>
          <cell r="K597">
            <v>30</v>
          </cell>
          <cell r="L597">
            <v>4.2</v>
          </cell>
          <cell r="M597">
            <v>83</v>
          </cell>
          <cell r="N597">
            <v>32</v>
          </cell>
          <cell r="O597">
            <v>7.8</v>
          </cell>
          <cell r="P597">
            <v>70</v>
          </cell>
          <cell r="Q597">
            <v>32</v>
          </cell>
          <cell r="R597">
            <v>7.8</v>
          </cell>
          <cell r="S597">
            <v>69.900000000000006</v>
          </cell>
          <cell r="T597">
            <v>37356</v>
          </cell>
          <cell r="U597" t="str">
            <v>ГРП</v>
          </cell>
          <cell r="V597">
            <v>2</v>
          </cell>
          <cell r="W597" t="str">
            <v>ВЦ. РИР ЮК-11. ПП ЮК-10. ГРП</v>
          </cell>
          <cell r="AD597">
            <v>37285</v>
          </cell>
          <cell r="AE597">
            <v>37343</v>
          </cell>
          <cell r="AF597">
            <v>58</v>
          </cell>
          <cell r="AG597" t="e">
            <v>#REF!</v>
          </cell>
          <cell r="AH597" t="e">
            <v>#REF!</v>
          </cell>
        </row>
        <row r="598">
          <cell r="B598">
            <v>2533</v>
          </cell>
          <cell r="C598">
            <v>150</v>
          </cell>
          <cell r="F598" t="str">
            <v>УПНПиКРС</v>
          </cell>
          <cell r="G598">
            <v>250</v>
          </cell>
          <cell r="H598" t="str">
            <v>ШГН</v>
          </cell>
          <cell r="I598" t="str">
            <v>бд</v>
          </cell>
          <cell r="K598">
            <v>6</v>
          </cell>
          <cell r="L598">
            <v>0.5</v>
          </cell>
          <cell r="M598">
            <v>90</v>
          </cell>
          <cell r="N598">
            <v>55</v>
          </cell>
          <cell r="O598">
            <v>29.6</v>
          </cell>
          <cell r="P598">
            <v>34</v>
          </cell>
          <cell r="Q598">
            <v>55</v>
          </cell>
          <cell r="R598">
            <v>29.6</v>
          </cell>
          <cell r="S598">
            <v>33.6</v>
          </cell>
          <cell r="T598">
            <v>37351</v>
          </cell>
          <cell r="U598" t="str">
            <v>ГРП</v>
          </cell>
          <cell r="V598">
            <v>2</v>
          </cell>
          <cell r="W598" t="str">
            <v>ИР ЮК-11. ПП ЮК-10. ГРП</v>
          </cell>
          <cell r="X598" t="str">
            <v>нет СК и карточки?</v>
          </cell>
          <cell r="AD598">
            <v>37323</v>
          </cell>
          <cell r="AE598">
            <v>37351</v>
          </cell>
          <cell r="AF598">
            <v>28</v>
          </cell>
          <cell r="AG598" t="e">
            <v>#REF!</v>
          </cell>
          <cell r="AH598" t="e">
            <v>#REF!</v>
          </cell>
        </row>
        <row r="599">
          <cell r="B599">
            <v>2993</v>
          </cell>
          <cell r="C599">
            <v>42</v>
          </cell>
          <cell r="F599" t="str">
            <v>УПНПиКРС</v>
          </cell>
          <cell r="G599">
            <v>250</v>
          </cell>
          <cell r="H599" t="str">
            <v>ШГН</v>
          </cell>
          <cell r="I599" t="str">
            <v>бд</v>
          </cell>
          <cell r="J599">
            <v>35217</v>
          </cell>
          <cell r="K599">
            <v>2</v>
          </cell>
          <cell r="L599">
            <v>0.2</v>
          </cell>
          <cell r="M599">
            <v>86</v>
          </cell>
          <cell r="N599">
            <v>36</v>
          </cell>
          <cell r="O599">
            <v>26.7</v>
          </cell>
          <cell r="P599">
            <v>9</v>
          </cell>
          <cell r="Q599">
            <v>36</v>
          </cell>
          <cell r="R599">
            <v>26.7</v>
          </cell>
          <cell r="S599">
            <v>8.4</v>
          </cell>
          <cell r="T599">
            <v>37350</v>
          </cell>
          <cell r="U599" t="str">
            <v>ГРП</v>
          </cell>
          <cell r="V599">
            <v>2</v>
          </cell>
          <cell r="W599" t="str">
            <v>ВЗ. РИР ЮК-10. ГИС-2. ГРП ЮК-4-5</v>
          </cell>
          <cell r="X599" t="str">
            <v>отсутствие аварийного инструмента</v>
          </cell>
          <cell r="AD599">
            <v>37302</v>
          </cell>
          <cell r="AE599">
            <v>37334</v>
          </cell>
          <cell r="AF599">
            <v>32</v>
          </cell>
          <cell r="AG599">
            <v>24</v>
          </cell>
          <cell r="AH599" t="e">
            <v>#REF!</v>
          </cell>
        </row>
        <row r="600">
          <cell r="B600">
            <v>2787</v>
          </cell>
          <cell r="C600">
            <v>145</v>
          </cell>
          <cell r="F600" t="str">
            <v>УПНПиКРС</v>
          </cell>
          <cell r="G600">
            <v>250</v>
          </cell>
          <cell r="H600" t="str">
            <v>ЭЦН</v>
          </cell>
          <cell r="I600" t="str">
            <v>действ.</v>
          </cell>
          <cell r="J600">
            <v>33786</v>
          </cell>
          <cell r="K600">
            <v>16</v>
          </cell>
          <cell r="L600">
            <v>12.4</v>
          </cell>
          <cell r="M600">
            <v>5</v>
          </cell>
          <cell r="N600">
            <v>25</v>
          </cell>
          <cell r="O600">
            <v>14.3</v>
          </cell>
          <cell r="P600">
            <v>30</v>
          </cell>
          <cell r="Q600">
            <v>9</v>
          </cell>
          <cell r="R600">
            <v>1.9</v>
          </cell>
          <cell r="S600">
            <v>73.900000000000006</v>
          </cell>
          <cell r="V600">
            <v>1</v>
          </cell>
          <cell r="W600" t="str">
            <v>Срыв пакера, ГДИ, сп.ЭЦН</v>
          </cell>
          <cell r="AD600">
            <v>37276</v>
          </cell>
          <cell r="AE600">
            <v>37292</v>
          </cell>
          <cell r="AF600">
            <v>16</v>
          </cell>
          <cell r="AG600">
            <v>192</v>
          </cell>
          <cell r="AH600">
            <v>640</v>
          </cell>
        </row>
        <row r="601">
          <cell r="B601" t="str">
            <v>5845б</v>
          </cell>
          <cell r="C601" t="str">
            <v>168б</v>
          </cell>
          <cell r="F601" t="str">
            <v>УПНПиКРС</v>
          </cell>
          <cell r="G601">
            <v>253</v>
          </cell>
          <cell r="H601" t="str">
            <v>ЭЦН</v>
          </cell>
          <cell r="I601" t="str">
            <v>действ.</v>
          </cell>
          <cell r="K601">
            <v>63</v>
          </cell>
          <cell r="L601">
            <v>4.5999999999999996</v>
          </cell>
          <cell r="M601">
            <v>91</v>
          </cell>
          <cell r="N601">
            <v>93</v>
          </cell>
          <cell r="O601">
            <v>7.6</v>
          </cell>
          <cell r="P601">
            <v>90</v>
          </cell>
          <cell r="Q601">
            <v>30</v>
          </cell>
          <cell r="R601">
            <v>3</v>
          </cell>
          <cell r="S601">
            <v>87.7</v>
          </cell>
          <cell r="T601">
            <v>37338</v>
          </cell>
          <cell r="U601" t="str">
            <v>опт</v>
          </cell>
          <cell r="V601">
            <v>2</v>
          </cell>
          <cell r="AG601">
            <v>-869729</v>
          </cell>
          <cell r="AH601">
            <v>-3051680</v>
          </cell>
        </row>
        <row r="602">
          <cell r="B602" t="str">
            <v>5845б</v>
          </cell>
          <cell r="C602" t="str">
            <v>168б</v>
          </cell>
          <cell r="F602" t="str">
            <v>УПНПиКРС</v>
          </cell>
          <cell r="G602">
            <v>253</v>
          </cell>
          <cell r="H602" t="str">
            <v>ЭЦН</v>
          </cell>
          <cell r="I602" t="str">
            <v>конс.</v>
          </cell>
          <cell r="J602">
            <v>35401</v>
          </cell>
          <cell r="N602">
            <v>93</v>
          </cell>
          <cell r="O602">
            <v>10.6</v>
          </cell>
          <cell r="P602">
            <v>86</v>
          </cell>
          <cell r="Q602">
            <v>93</v>
          </cell>
          <cell r="R602">
            <v>10.6</v>
          </cell>
          <cell r="S602">
            <v>85.9</v>
          </cell>
          <cell r="T602">
            <v>37317</v>
          </cell>
          <cell r="U602" t="str">
            <v>ГРП</v>
          </cell>
          <cell r="V602">
            <v>2</v>
          </cell>
          <cell r="AD602">
            <v>37254</v>
          </cell>
          <cell r="AE602">
            <v>37294</v>
          </cell>
          <cell r="AF602">
            <v>40</v>
          </cell>
          <cell r="AG602">
            <v>144</v>
          </cell>
          <cell r="AH602">
            <v>-456</v>
          </cell>
        </row>
        <row r="603">
          <cell r="B603">
            <v>5425</v>
          </cell>
          <cell r="C603">
            <v>102</v>
          </cell>
          <cell r="F603" t="str">
            <v>УПНПиКРС</v>
          </cell>
          <cell r="G603">
            <v>230</v>
          </cell>
          <cell r="H603" t="str">
            <v>ЭЦН</v>
          </cell>
          <cell r="I603" t="str">
            <v>бд</v>
          </cell>
          <cell r="K603">
            <v>73</v>
          </cell>
          <cell r="L603">
            <v>1.8</v>
          </cell>
          <cell r="M603">
            <v>97</v>
          </cell>
          <cell r="N603">
            <v>25</v>
          </cell>
          <cell r="O603">
            <v>19.399999999999999</v>
          </cell>
          <cell r="P603">
            <v>5</v>
          </cell>
          <cell r="Q603">
            <v>25</v>
          </cell>
          <cell r="R603">
            <v>19.399999999999999</v>
          </cell>
          <cell r="S603">
            <v>4.2</v>
          </cell>
          <cell r="T603">
            <v>37296</v>
          </cell>
          <cell r="U603" t="str">
            <v>ГРП</v>
          </cell>
          <cell r="V603">
            <v>2</v>
          </cell>
          <cell r="W603" t="str">
            <v xml:space="preserve"> ИР ЮК-10, ПР к ГРП и ГРП ЮК-2-3 </v>
          </cell>
          <cell r="AD603">
            <v>37190</v>
          </cell>
          <cell r="AE603">
            <v>37254</v>
          </cell>
          <cell r="AF603">
            <v>64</v>
          </cell>
          <cell r="AG603" t="e">
            <v>#REF!</v>
          </cell>
          <cell r="AH603" t="e">
            <v>#REF!</v>
          </cell>
        </row>
        <row r="604">
          <cell r="B604">
            <v>2720</v>
          </cell>
          <cell r="C604">
            <v>166</v>
          </cell>
          <cell r="F604" t="str">
            <v>ЗАО "УПКРС"</v>
          </cell>
          <cell r="G604">
            <v>265</v>
          </cell>
          <cell r="H604" t="str">
            <v>ШГН</v>
          </cell>
          <cell r="I604" t="str">
            <v>действ.</v>
          </cell>
          <cell r="K604">
            <v>16</v>
          </cell>
          <cell r="L604">
            <v>12</v>
          </cell>
          <cell r="M604">
            <v>8</v>
          </cell>
          <cell r="N604">
            <v>30</v>
          </cell>
          <cell r="O604">
            <v>13.7</v>
          </cell>
          <cell r="P604">
            <v>44</v>
          </cell>
          <cell r="Q604">
            <v>14</v>
          </cell>
          <cell r="R604">
            <v>1.7</v>
          </cell>
          <cell r="S604">
            <v>85</v>
          </cell>
          <cell r="T604">
            <v>37294</v>
          </cell>
          <cell r="U604" t="str">
            <v>опт</v>
          </cell>
          <cell r="V604">
            <v>2</v>
          </cell>
          <cell r="W604" t="str">
            <v>Опт.Н-44/Э-30</v>
          </cell>
          <cell r="AD604">
            <v>37275</v>
          </cell>
          <cell r="AE604">
            <v>37294</v>
          </cell>
          <cell r="AF604">
            <v>19</v>
          </cell>
          <cell r="AG604">
            <v>144</v>
          </cell>
          <cell r="AH604">
            <v>360</v>
          </cell>
        </row>
        <row r="605">
          <cell r="B605">
            <v>5515</v>
          </cell>
          <cell r="C605">
            <v>115</v>
          </cell>
          <cell r="F605" t="str">
            <v>УПНПиКРС</v>
          </cell>
          <cell r="G605">
            <v>240</v>
          </cell>
          <cell r="H605" t="str">
            <v>ЭЦН</v>
          </cell>
          <cell r="I605" t="str">
            <v>конс.</v>
          </cell>
          <cell r="J605">
            <v>33910</v>
          </cell>
          <cell r="N605">
            <v>36</v>
          </cell>
          <cell r="O605">
            <v>25.8</v>
          </cell>
          <cell r="P605">
            <v>12</v>
          </cell>
          <cell r="Q605">
            <v>36</v>
          </cell>
          <cell r="R605">
            <v>25.8</v>
          </cell>
          <cell r="S605">
            <v>11.5</v>
          </cell>
          <cell r="T605">
            <v>37291</v>
          </cell>
          <cell r="U605" t="str">
            <v>ГРП</v>
          </cell>
          <cell r="V605">
            <v>2</v>
          </cell>
          <cell r="W605" t="str">
            <v>ВЦ, ИР ЮК-10, ПР к ГРП и ГРП ЮК-2-3 Сваб</v>
          </cell>
          <cell r="AG605">
            <v>-372850</v>
          </cell>
          <cell r="AH605">
            <v>-559275</v>
          </cell>
        </row>
        <row r="606">
          <cell r="B606">
            <v>5315</v>
          </cell>
          <cell r="C606">
            <v>133</v>
          </cell>
          <cell r="H606" t="str">
            <v>ШГН</v>
          </cell>
          <cell r="I606" t="str">
            <v>бд</v>
          </cell>
          <cell r="N606">
            <v>15</v>
          </cell>
          <cell r="O606">
            <v>10</v>
          </cell>
          <cell r="P606">
            <v>18</v>
          </cell>
          <cell r="Q606">
            <v>15</v>
          </cell>
          <cell r="R606">
            <v>10</v>
          </cell>
          <cell r="S606">
            <v>17.7</v>
          </cell>
          <cell r="T606">
            <v>37285</v>
          </cell>
          <cell r="U606" t="str">
            <v>ВЦД</v>
          </cell>
          <cell r="W606" t="str">
            <v>ВЦ</v>
          </cell>
          <cell r="AG606">
            <v>-74566</v>
          </cell>
          <cell r="AH606">
            <v>-745660</v>
          </cell>
        </row>
        <row r="607">
          <cell r="B607">
            <v>5560</v>
          </cell>
          <cell r="C607" t="str">
            <v>119б</v>
          </cell>
          <cell r="F607" t="str">
            <v>УПНПиКРС</v>
          </cell>
          <cell r="G607">
            <v>265</v>
          </cell>
          <cell r="H607" t="str">
            <v>ШГН</v>
          </cell>
          <cell r="I607" t="str">
            <v>бд</v>
          </cell>
          <cell r="J607">
            <v>36544</v>
          </cell>
          <cell r="K607">
            <v>0</v>
          </cell>
          <cell r="L607">
            <v>0</v>
          </cell>
          <cell r="M607">
            <v>0</v>
          </cell>
          <cell r="N607">
            <v>80</v>
          </cell>
          <cell r="O607">
            <v>24.8</v>
          </cell>
          <cell r="P607">
            <v>62</v>
          </cell>
          <cell r="Q607">
            <v>80</v>
          </cell>
          <cell r="R607">
            <v>24.8</v>
          </cell>
          <cell r="S607">
            <v>61.7</v>
          </cell>
          <cell r="T607">
            <v>38185</v>
          </cell>
          <cell r="U607" t="str">
            <v>ГРП</v>
          </cell>
          <cell r="W607" t="str">
            <v>ПП.ГРП ЮК-10.Сп.Э-80</v>
          </cell>
          <cell r="X607" t="str">
            <v>ВЦ субподрядом</v>
          </cell>
          <cell r="AG607">
            <v>-164019</v>
          </cell>
          <cell r="AH607">
            <v>-484601</v>
          </cell>
        </row>
        <row r="608">
          <cell r="B608">
            <v>2979</v>
          </cell>
          <cell r="C608">
            <v>50</v>
          </cell>
          <cell r="H608" t="str">
            <v>ШГН</v>
          </cell>
          <cell r="I608" t="str">
            <v>действ.</v>
          </cell>
          <cell r="K608">
            <v>20</v>
          </cell>
          <cell r="L608">
            <v>10.6</v>
          </cell>
          <cell r="M608">
            <v>35</v>
          </cell>
          <cell r="N608">
            <v>33</v>
          </cell>
          <cell r="O608">
            <v>15</v>
          </cell>
          <cell r="P608">
            <v>44.3</v>
          </cell>
          <cell r="Q608">
            <v>13</v>
          </cell>
          <cell r="R608">
            <v>4.4000000000000004</v>
          </cell>
          <cell r="S608">
            <v>58.2</v>
          </cell>
          <cell r="T608">
            <v>37277</v>
          </cell>
          <cell r="U608" t="str">
            <v>опт</v>
          </cell>
          <cell r="W608" t="str">
            <v>опт.Н-57/Э-45</v>
          </cell>
          <cell r="AD608">
            <v>37242</v>
          </cell>
          <cell r="AE608">
            <v>37254</v>
          </cell>
          <cell r="AF608">
            <v>12</v>
          </cell>
        </row>
        <row r="609">
          <cell r="B609">
            <v>4212</v>
          </cell>
          <cell r="C609">
            <v>311</v>
          </cell>
          <cell r="H609" t="str">
            <v>ЭЦН</v>
          </cell>
          <cell r="I609" t="str">
            <v>действ.</v>
          </cell>
          <cell r="K609">
            <v>60</v>
          </cell>
          <cell r="L609">
            <v>0.5</v>
          </cell>
          <cell r="M609">
            <v>99</v>
          </cell>
          <cell r="N609">
            <v>80</v>
          </cell>
          <cell r="O609">
            <v>2</v>
          </cell>
          <cell r="P609">
            <v>97</v>
          </cell>
          <cell r="Q609">
            <v>20</v>
          </cell>
          <cell r="R609">
            <v>1.5</v>
          </cell>
          <cell r="S609">
            <v>90.7</v>
          </cell>
          <cell r="T609">
            <v>37277</v>
          </cell>
          <cell r="U609" t="str">
            <v>опт</v>
          </cell>
          <cell r="W609" t="str">
            <v>Опт.Э-50/Э-80</v>
          </cell>
          <cell r="Y609" t="str">
            <v>Полёт НКТ и НГН-44</v>
          </cell>
          <cell r="AD609">
            <v>37190</v>
          </cell>
          <cell r="AE609">
            <v>37254</v>
          </cell>
          <cell r="AF609">
            <v>64</v>
          </cell>
          <cell r="AG609">
            <v>-447216</v>
          </cell>
          <cell r="AH609">
            <v>-633556</v>
          </cell>
        </row>
        <row r="610">
          <cell r="B610">
            <v>2720</v>
          </cell>
          <cell r="C610">
            <v>166</v>
          </cell>
          <cell r="F610" t="str">
            <v>ЗАО "УПКРС"</v>
          </cell>
          <cell r="G610">
            <v>265</v>
          </cell>
          <cell r="H610" t="str">
            <v>ШГН</v>
          </cell>
          <cell r="I610" t="str">
            <v>бд</v>
          </cell>
          <cell r="J610">
            <v>35746</v>
          </cell>
          <cell r="N610">
            <v>17</v>
          </cell>
          <cell r="O610">
            <v>12</v>
          </cell>
          <cell r="P610">
            <v>13.5</v>
          </cell>
          <cell r="Q610">
            <v>17</v>
          </cell>
          <cell r="R610">
            <v>12</v>
          </cell>
          <cell r="S610">
            <v>12.9</v>
          </cell>
          <cell r="T610">
            <v>37268</v>
          </cell>
          <cell r="U610" t="str">
            <v>ГРП</v>
          </cell>
          <cell r="W610" t="str">
            <v>ВЦ. Извлечение НКТ с НГН-44. ГРП ЮК-10</v>
          </cell>
          <cell r="AG610">
            <v>-869729</v>
          </cell>
          <cell r="AH610">
            <v>-3051680</v>
          </cell>
        </row>
        <row r="611">
          <cell r="B611">
            <v>2722</v>
          </cell>
          <cell r="C611">
            <v>166</v>
          </cell>
          <cell r="F611" t="str">
            <v>КРС</v>
          </cell>
          <cell r="G611">
            <v>260</v>
          </cell>
          <cell r="H611" t="str">
            <v>ШГН</v>
          </cell>
          <cell r="I611" t="str">
            <v>бд</v>
          </cell>
          <cell r="K611">
            <v>0</v>
          </cell>
          <cell r="L611">
            <v>0</v>
          </cell>
          <cell r="M611">
            <v>0</v>
          </cell>
          <cell r="N611">
            <v>80</v>
          </cell>
          <cell r="O611">
            <v>22.8</v>
          </cell>
          <cell r="P611">
            <v>65</v>
          </cell>
          <cell r="Q611">
            <v>80</v>
          </cell>
          <cell r="R611">
            <v>22.8</v>
          </cell>
          <cell r="S611">
            <v>64.8</v>
          </cell>
          <cell r="T611">
            <v>38146</v>
          </cell>
          <cell r="U611" t="str">
            <v>ГРП</v>
          </cell>
          <cell r="W611" t="str">
            <v>ПР ГРП ЮК-10,ГИС,пр.КОПС, повт. ГРП. Сп.Э-80</v>
          </cell>
          <cell r="AD611">
            <v>38108</v>
          </cell>
          <cell r="AE611">
            <v>38141</v>
          </cell>
          <cell r="AG611" t="e">
            <v>#REF!</v>
          </cell>
          <cell r="AH611" t="e">
            <v>#REF!</v>
          </cell>
        </row>
        <row r="612">
          <cell r="B612">
            <v>4123</v>
          </cell>
          <cell r="C612">
            <v>314</v>
          </cell>
          <cell r="H612" t="str">
            <v>ШГН</v>
          </cell>
          <cell r="I612" t="str">
            <v>конс.</v>
          </cell>
          <cell r="N612">
            <v>5</v>
          </cell>
          <cell r="O612">
            <v>2</v>
          </cell>
          <cell r="P612">
            <v>49.8</v>
          </cell>
          <cell r="Q612">
            <v>5</v>
          </cell>
          <cell r="R612">
            <v>2</v>
          </cell>
          <cell r="S612">
            <v>50.6</v>
          </cell>
          <cell r="T612">
            <v>37260</v>
          </cell>
          <cell r="U612" t="str">
            <v>ОВП</v>
          </cell>
          <cell r="V612">
            <v>1</v>
          </cell>
          <cell r="AD612">
            <v>37163</v>
          </cell>
          <cell r="AE612">
            <v>37246</v>
          </cell>
          <cell r="AF612">
            <v>83</v>
          </cell>
        </row>
        <row r="613">
          <cell r="B613">
            <v>11007</v>
          </cell>
          <cell r="C613" t="str">
            <v>123б</v>
          </cell>
          <cell r="H613" t="str">
            <v>ЭЦН</v>
          </cell>
          <cell r="N613">
            <v>50</v>
          </cell>
          <cell r="O613">
            <v>2</v>
          </cell>
          <cell r="P613">
            <v>95</v>
          </cell>
          <cell r="Q613">
            <v>50</v>
          </cell>
          <cell r="R613">
            <v>2</v>
          </cell>
          <cell r="S613">
            <v>95.1</v>
          </cell>
          <cell r="T613">
            <v>37254</v>
          </cell>
          <cell r="U613" t="str">
            <v>ВЦД</v>
          </cell>
          <cell r="W613" t="str">
            <v>ВЦ Электропрогрев</v>
          </cell>
          <cell r="AG613">
            <v>-78225</v>
          </cell>
          <cell r="AH613">
            <v>-223500</v>
          </cell>
        </row>
        <row r="614">
          <cell r="B614">
            <v>4015</v>
          </cell>
          <cell r="C614">
            <v>310</v>
          </cell>
          <cell r="H614" t="str">
            <v>ШГН</v>
          </cell>
          <cell r="I614" t="str">
            <v>конс.</v>
          </cell>
          <cell r="J614">
            <v>34274</v>
          </cell>
          <cell r="N614">
            <v>6</v>
          </cell>
          <cell r="O614">
            <v>2.1</v>
          </cell>
          <cell r="P614">
            <v>58</v>
          </cell>
          <cell r="Q614">
            <v>6</v>
          </cell>
          <cell r="R614">
            <v>2.1</v>
          </cell>
          <cell r="S614">
            <v>56.8</v>
          </cell>
          <cell r="T614">
            <v>37250</v>
          </cell>
          <cell r="U614" t="str">
            <v>ОВП</v>
          </cell>
          <cell r="X614" t="str">
            <v>УОПР-800, после обустройства</v>
          </cell>
        </row>
        <row r="615">
          <cell r="B615">
            <v>5543</v>
          </cell>
          <cell r="C615">
            <v>114</v>
          </cell>
          <cell r="H615" t="str">
            <v>ШГН</v>
          </cell>
          <cell r="I615" t="str">
            <v>бд</v>
          </cell>
          <cell r="N615">
            <v>50</v>
          </cell>
          <cell r="O615">
            <v>21</v>
          </cell>
          <cell r="P615">
            <v>48</v>
          </cell>
          <cell r="Q615">
            <v>50</v>
          </cell>
          <cell r="R615">
            <v>21</v>
          </cell>
          <cell r="S615">
            <v>48</v>
          </cell>
          <cell r="T615">
            <v>38570</v>
          </cell>
          <cell r="U615" t="str">
            <v>ГРП</v>
          </cell>
          <cell r="W615" t="str">
            <v>ВЗ, ГРП ЮК-10, сп.Э-50</v>
          </cell>
          <cell r="AD615">
            <v>37216</v>
          </cell>
          <cell r="AE615">
            <v>37246</v>
          </cell>
          <cell r="AF615">
            <v>30</v>
          </cell>
        </row>
        <row r="616">
          <cell r="B616">
            <v>2878</v>
          </cell>
          <cell r="C616">
            <v>42</v>
          </cell>
          <cell r="F616" t="str">
            <v>ЗАО "УПКРС"</v>
          </cell>
          <cell r="G616">
            <v>260</v>
          </cell>
          <cell r="H616" t="str">
            <v>ШГН</v>
          </cell>
          <cell r="I616" t="str">
            <v>бдт</v>
          </cell>
          <cell r="N616">
            <v>12</v>
          </cell>
          <cell r="O616">
            <v>2.2999999999999998</v>
          </cell>
          <cell r="P616">
            <v>76</v>
          </cell>
          <cell r="Q616">
            <v>12</v>
          </cell>
          <cell r="R616">
            <v>2.2999999999999998</v>
          </cell>
          <cell r="S616">
            <v>76.3</v>
          </cell>
          <cell r="T616">
            <v>37247</v>
          </cell>
          <cell r="U616" t="str">
            <v>бдп</v>
          </cell>
        </row>
        <row r="617">
          <cell r="B617">
            <v>2675</v>
          </cell>
          <cell r="C617">
            <v>161</v>
          </cell>
          <cell r="H617" t="str">
            <v>ШГН</v>
          </cell>
          <cell r="I617" t="str">
            <v>бдт</v>
          </cell>
          <cell r="N617">
            <v>12</v>
          </cell>
          <cell r="O617">
            <v>1</v>
          </cell>
          <cell r="P617">
            <v>90</v>
          </cell>
          <cell r="Q617">
            <v>12</v>
          </cell>
          <cell r="R617">
            <v>1</v>
          </cell>
          <cell r="S617">
            <v>89.7</v>
          </cell>
          <cell r="T617">
            <v>37247</v>
          </cell>
          <cell r="U617" t="str">
            <v>бдп</v>
          </cell>
          <cell r="AG617">
            <v>-44694</v>
          </cell>
          <cell r="AH617">
            <v>-1080105</v>
          </cell>
        </row>
        <row r="618">
          <cell r="B618">
            <v>4022</v>
          </cell>
          <cell r="C618">
            <v>313</v>
          </cell>
          <cell r="H618" t="str">
            <v>ШГН</v>
          </cell>
          <cell r="I618" t="str">
            <v>конс.</v>
          </cell>
          <cell r="J618">
            <v>33848</v>
          </cell>
          <cell r="N618">
            <v>29</v>
          </cell>
          <cell r="O618">
            <v>1.2</v>
          </cell>
          <cell r="P618">
            <v>95</v>
          </cell>
          <cell r="Q618">
            <v>29</v>
          </cell>
          <cell r="R618">
            <v>1.2</v>
          </cell>
          <cell r="S618">
            <v>94.9</v>
          </cell>
          <cell r="T618">
            <v>37245</v>
          </cell>
          <cell r="U618" t="str">
            <v>ОВП</v>
          </cell>
          <cell r="X618" t="str">
            <v>УОПР-800, после обустройства</v>
          </cell>
          <cell r="AD618">
            <v>37097</v>
          </cell>
          <cell r="AE618">
            <v>37223</v>
          </cell>
          <cell r="AF618">
            <v>126</v>
          </cell>
          <cell r="AG618">
            <v>0</v>
          </cell>
          <cell r="AH618">
            <v>0</v>
          </cell>
        </row>
        <row r="619">
          <cell r="B619">
            <v>2787</v>
          </cell>
          <cell r="C619">
            <v>145</v>
          </cell>
          <cell r="G619">
            <v>275</v>
          </cell>
          <cell r="H619" t="str">
            <v>ЭЦН</v>
          </cell>
          <cell r="I619" t="str">
            <v>конс.</v>
          </cell>
          <cell r="J619">
            <v>33848</v>
          </cell>
          <cell r="K619">
            <v>60</v>
          </cell>
          <cell r="L619">
            <v>8.3000000000000007</v>
          </cell>
          <cell r="M619">
            <v>83</v>
          </cell>
          <cell r="N619">
            <v>16</v>
          </cell>
          <cell r="O619">
            <v>12.5</v>
          </cell>
          <cell r="P619">
            <v>4</v>
          </cell>
          <cell r="Q619">
            <v>16</v>
          </cell>
          <cell r="R619">
            <v>12.5</v>
          </cell>
          <cell r="S619">
            <v>3.5</v>
          </cell>
          <cell r="W619" t="str">
            <v>ВЦ. ИР ЮК-11. ГИС-2. ГРП ЮК-10. Спуск ЭЦН</v>
          </cell>
        </row>
        <row r="620">
          <cell r="B620">
            <v>2857</v>
          </cell>
          <cell r="C620">
            <v>42</v>
          </cell>
          <cell r="H620" t="str">
            <v>ШГН</v>
          </cell>
          <cell r="I620" t="str">
            <v>бдт</v>
          </cell>
          <cell r="N620">
            <v>11</v>
          </cell>
          <cell r="O620">
            <v>7.2</v>
          </cell>
          <cell r="P620">
            <v>20</v>
          </cell>
          <cell r="Q620">
            <v>11</v>
          </cell>
          <cell r="R620">
            <v>7.2</v>
          </cell>
          <cell r="S620">
            <v>19.2</v>
          </cell>
          <cell r="T620">
            <v>37233</v>
          </cell>
          <cell r="U620" t="str">
            <v>ВЦД</v>
          </cell>
        </row>
        <row r="621">
          <cell r="B621">
            <v>4168</v>
          </cell>
          <cell r="C621">
            <v>314</v>
          </cell>
          <cell r="H621" t="str">
            <v>ЭЦН</v>
          </cell>
          <cell r="I621" t="str">
            <v>бдт</v>
          </cell>
          <cell r="N621">
            <v>60</v>
          </cell>
          <cell r="O621">
            <v>1</v>
          </cell>
          <cell r="P621">
            <v>98</v>
          </cell>
          <cell r="Q621">
            <v>60</v>
          </cell>
          <cell r="R621">
            <v>1</v>
          </cell>
          <cell r="S621">
            <v>97.9</v>
          </cell>
          <cell r="T621">
            <v>37231</v>
          </cell>
          <cell r="U621" t="str">
            <v>бдп</v>
          </cell>
        </row>
        <row r="622">
          <cell r="B622">
            <v>5349</v>
          </cell>
          <cell r="C622">
            <v>103</v>
          </cell>
          <cell r="H622" t="str">
            <v>ЭЦН</v>
          </cell>
          <cell r="I622" t="str">
            <v>бдт</v>
          </cell>
          <cell r="N622">
            <v>46</v>
          </cell>
          <cell r="O622">
            <v>1.1000000000000001</v>
          </cell>
          <cell r="P622">
            <v>97</v>
          </cell>
          <cell r="Q622">
            <v>46</v>
          </cell>
          <cell r="R622">
            <v>1.1000000000000001</v>
          </cell>
          <cell r="S622">
            <v>97</v>
          </cell>
          <cell r="T622">
            <v>37229</v>
          </cell>
          <cell r="U622" t="str">
            <v>бдп</v>
          </cell>
          <cell r="AG622">
            <v>-115038</v>
          </cell>
          <cell r="AH622">
            <v>-191730</v>
          </cell>
        </row>
        <row r="623">
          <cell r="B623">
            <v>5365</v>
          </cell>
          <cell r="C623">
            <v>109</v>
          </cell>
          <cell r="G623">
            <v>275</v>
          </cell>
          <cell r="H623" t="str">
            <v>ШГН</v>
          </cell>
          <cell r="I623" t="str">
            <v>конс.</v>
          </cell>
          <cell r="J623">
            <v>33178</v>
          </cell>
          <cell r="N623">
            <v>20</v>
          </cell>
          <cell r="O623">
            <v>2</v>
          </cell>
          <cell r="P623">
            <v>88</v>
          </cell>
          <cell r="Q623">
            <v>20</v>
          </cell>
          <cell r="R623">
            <v>2</v>
          </cell>
          <cell r="S623">
            <v>87.7</v>
          </cell>
          <cell r="T623">
            <v>37224</v>
          </cell>
          <cell r="U623" t="str">
            <v>ОПЗ</v>
          </cell>
          <cell r="W623" t="str">
            <v>ВЦ. РИР ЮК-11. ПП УГИС. ГДИ</v>
          </cell>
        </row>
        <row r="624">
          <cell r="B624">
            <v>11047</v>
          </cell>
          <cell r="C624" t="str">
            <v>302б</v>
          </cell>
          <cell r="H624" t="str">
            <v>ШГН</v>
          </cell>
          <cell r="I624" t="str">
            <v>бдт</v>
          </cell>
          <cell r="N624">
            <v>3</v>
          </cell>
          <cell r="O624">
            <v>1.5</v>
          </cell>
          <cell r="P624">
            <v>40</v>
          </cell>
          <cell r="Q624">
            <v>3</v>
          </cell>
          <cell r="R624">
            <v>1.5</v>
          </cell>
          <cell r="S624">
            <v>38.299999999999997</v>
          </cell>
          <cell r="T624">
            <v>37215</v>
          </cell>
          <cell r="U624" t="str">
            <v>бдп</v>
          </cell>
        </row>
        <row r="625">
          <cell r="B625">
            <v>2762</v>
          </cell>
          <cell r="C625">
            <v>143</v>
          </cell>
          <cell r="H625" t="str">
            <v>ШГН</v>
          </cell>
          <cell r="I625" t="str">
            <v>бдт</v>
          </cell>
          <cell r="N625">
            <v>12</v>
          </cell>
          <cell r="O625">
            <v>3</v>
          </cell>
          <cell r="P625">
            <v>69</v>
          </cell>
          <cell r="Q625">
            <v>12</v>
          </cell>
          <cell r="R625">
            <v>3</v>
          </cell>
          <cell r="S625">
            <v>69.099999999999994</v>
          </cell>
          <cell r="T625">
            <v>37208</v>
          </cell>
          <cell r="U625" t="str">
            <v>бдп</v>
          </cell>
          <cell r="Y625" t="str">
            <v>На забое ЭЦН и 180 НКТ</v>
          </cell>
          <cell r="AD625">
            <v>37114</v>
          </cell>
          <cell r="AE625">
            <v>37178</v>
          </cell>
          <cell r="AF625">
            <v>64</v>
          </cell>
          <cell r="AG625">
            <v>-216914</v>
          </cell>
          <cell r="AH625">
            <v>-1027485</v>
          </cell>
        </row>
        <row r="626">
          <cell r="B626">
            <v>5820</v>
          </cell>
          <cell r="C626">
            <v>167</v>
          </cell>
          <cell r="H626" t="str">
            <v>ШГН</v>
          </cell>
          <cell r="I626" t="str">
            <v>бд</v>
          </cell>
          <cell r="N626">
            <v>17</v>
          </cell>
          <cell r="O626">
            <v>1.5</v>
          </cell>
          <cell r="P626">
            <v>89</v>
          </cell>
          <cell r="Q626">
            <v>17</v>
          </cell>
          <cell r="R626">
            <v>1.5</v>
          </cell>
          <cell r="S626">
            <v>89.1</v>
          </cell>
          <cell r="T626">
            <v>37207</v>
          </cell>
          <cell r="U626" t="str">
            <v>ВЦД</v>
          </cell>
          <cell r="AG626">
            <v>-74414</v>
          </cell>
          <cell r="AH626">
            <v>-1860350</v>
          </cell>
        </row>
        <row r="627">
          <cell r="B627">
            <v>4212</v>
          </cell>
          <cell r="C627">
            <v>311</v>
          </cell>
          <cell r="H627" t="str">
            <v>ЭЦН</v>
          </cell>
          <cell r="N627">
            <v>50</v>
          </cell>
          <cell r="O627">
            <v>2</v>
          </cell>
          <cell r="P627">
            <v>95</v>
          </cell>
          <cell r="Q627">
            <v>50</v>
          </cell>
          <cell r="R627">
            <v>2</v>
          </cell>
          <cell r="S627">
            <v>95.1</v>
          </cell>
          <cell r="T627">
            <v>37207</v>
          </cell>
          <cell r="U627" t="str">
            <v>ВЦ</v>
          </cell>
          <cell r="W627" t="str">
            <v>ВЦ ПРС промывка забоя</v>
          </cell>
          <cell r="AG627">
            <v>-37203</v>
          </cell>
          <cell r="AH627">
            <v>-372030</v>
          </cell>
        </row>
        <row r="628">
          <cell r="B628">
            <v>2818</v>
          </cell>
          <cell r="C628">
            <v>144</v>
          </cell>
          <cell r="H628" t="str">
            <v>ШГН</v>
          </cell>
          <cell r="I628" t="str">
            <v>конс.</v>
          </cell>
          <cell r="J628">
            <v>33239</v>
          </cell>
          <cell r="N628">
            <v>10</v>
          </cell>
          <cell r="O628">
            <v>1</v>
          </cell>
          <cell r="P628">
            <v>88</v>
          </cell>
          <cell r="Q628">
            <v>10</v>
          </cell>
          <cell r="R628">
            <v>1</v>
          </cell>
          <cell r="S628">
            <v>87.7</v>
          </cell>
          <cell r="T628">
            <v>37203</v>
          </cell>
          <cell r="U628" t="str">
            <v>ВЦД</v>
          </cell>
        </row>
        <row r="629">
          <cell r="B629" t="str">
            <v>5519б</v>
          </cell>
          <cell r="C629">
            <v>116</v>
          </cell>
          <cell r="H629" t="str">
            <v>ЭЦН</v>
          </cell>
          <cell r="I629" t="str">
            <v>бдт</v>
          </cell>
          <cell r="N629">
            <v>54</v>
          </cell>
          <cell r="O629">
            <v>5</v>
          </cell>
          <cell r="P629">
            <v>88.6</v>
          </cell>
          <cell r="Q629">
            <v>54</v>
          </cell>
          <cell r="R629">
            <v>5</v>
          </cell>
          <cell r="S629">
            <v>88.6</v>
          </cell>
          <cell r="T629">
            <v>37203</v>
          </cell>
          <cell r="U629" t="str">
            <v>бдп</v>
          </cell>
        </row>
        <row r="630">
          <cell r="B630">
            <v>2739</v>
          </cell>
          <cell r="C630">
            <v>163</v>
          </cell>
          <cell r="H630" t="str">
            <v>ШГН</v>
          </cell>
          <cell r="I630" t="str">
            <v>бдт</v>
          </cell>
          <cell r="N630">
            <v>11</v>
          </cell>
          <cell r="O630">
            <v>1</v>
          </cell>
          <cell r="P630">
            <v>89</v>
          </cell>
          <cell r="Q630">
            <v>11</v>
          </cell>
          <cell r="R630">
            <v>1</v>
          </cell>
          <cell r="S630">
            <v>88.8</v>
          </cell>
          <cell r="T630">
            <v>37200</v>
          </cell>
          <cell r="U630" t="str">
            <v>бдп</v>
          </cell>
          <cell r="AG630">
            <v>-223200</v>
          </cell>
          <cell r="AH630">
            <v>-818400</v>
          </cell>
        </row>
        <row r="631">
          <cell r="B631">
            <v>5221</v>
          </cell>
          <cell r="C631">
            <v>126</v>
          </cell>
          <cell r="G631">
            <v>240</v>
          </cell>
          <cell r="H631" t="str">
            <v>ШГН</v>
          </cell>
          <cell r="I631" t="str">
            <v>бд</v>
          </cell>
          <cell r="J631">
            <v>35706</v>
          </cell>
          <cell r="K631">
            <v>8</v>
          </cell>
          <cell r="L631">
            <v>6.1</v>
          </cell>
          <cell r="M631">
            <v>6</v>
          </cell>
          <cell r="N631">
            <v>4</v>
          </cell>
          <cell r="O631">
            <v>1</v>
          </cell>
          <cell r="P631">
            <v>68</v>
          </cell>
          <cell r="Q631">
            <v>4</v>
          </cell>
          <cell r="R631">
            <v>1</v>
          </cell>
          <cell r="S631">
            <v>69.099999999999994</v>
          </cell>
          <cell r="T631">
            <v>37199</v>
          </cell>
          <cell r="U631" t="str">
            <v>ГРП</v>
          </cell>
          <cell r="W631" t="str">
            <v>ПП. ОПЗ НТПН. УГИС. ГРП</v>
          </cell>
          <cell r="AG631">
            <v>-48351</v>
          </cell>
          <cell r="AH631">
            <v>-1673685</v>
          </cell>
        </row>
        <row r="632">
          <cell r="B632">
            <v>5350</v>
          </cell>
          <cell r="C632">
            <v>104</v>
          </cell>
          <cell r="H632" t="str">
            <v>ЭЦН</v>
          </cell>
          <cell r="I632" t="str">
            <v>действ.</v>
          </cell>
          <cell r="K632">
            <v>105</v>
          </cell>
          <cell r="L632">
            <v>7.7</v>
          </cell>
          <cell r="M632">
            <v>91</v>
          </cell>
          <cell r="N632">
            <v>150</v>
          </cell>
          <cell r="O632">
            <v>9</v>
          </cell>
          <cell r="P632">
            <v>92.6</v>
          </cell>
          <cell r="Q632">
            <v>45</v>
          </cell>
          <cell r="R632">
            <v>1.3</v>
          </cell>
          <cell r="S632">
            <v>0</v>
          </cell>
          <cell r="T632">
            <v>37193</v>
          </cell>
          <cell r="U632" t="str">
            <v>опт</v>
          </cell>
          <cell r="AD632" t="e">
            <v>#REF!</v>
          </cell>
          <cell r="AE632" t="e">
            <v>#REF!</v>
          </cell>
          <cell r="AF632">
            <v>14</v>
          </cell>
          <cell r="AG632">
            <v>-1002556</v>
          </cell>
          <cell r="AH632">
            <v>-2439680</v>
          </cell>
        </row>
        <row r="633">
          <cell r="B633">
            <v>4077</v>
          </cell>
          <cell r="C633">
            <v>315</v>
          </cell>
          <cell r="H633" t="str">
            <v>ШГН</v>
          </cell>
          <cell r="I633" t="str">
            <v>бд</v>
          </cell>
          <cell r="J633">
            <v>36091</v>
          </cell>
          <cell r="N633">
            <v>4</v>
          </cell>
          <cell r="O633">
            <v>0.2</v>
          </cell>
          <cell r="P633">
            <v>93.5</v>
          </cell>
          <cell r="Q633">
            <v>4</v>
          </cell>
          <cell r="R633">
            <v>0.2</v>
          </cell>
          <cell r="S633">
            <v>93.8</v>
          </cell>
          <cell r="T633">
            <v>37181</v>
          </cell>
          <cell r="U633" t="str">
            <v>ОВП</v>
          </cell>
          <cell r="X633" t="str">
            <v>УОПР-800, после обустройства</v>
          </cell>
          <cell r="AG633">
            <v>-877818</v>
          </cell>
          <cell r="AH633">
            <v>-2709786</v>
          </cell>
        </row>
        <row r="634">
          <cell r="B634">
            <v>5835</v>
          </cell>
          <cell r="C634">
            <v>168</v>
          </cell>
          <cell r="H634" t="str">
            <v>ШГН</v>
          </cell>
          <cell r="I634" t="str">
            <v>действ.</v>
          </cell>
          <cell r="J634">
            <v>37122</v>
          </cell>
          <cell r="K634">
            <v>9</v>
          </cell>
          <cell r="L634">
            <v>3.7</v>
          </cell>
          <cell r="M634">
            <v>50</v>
          </cell>
          <cell r="N634">
            <v>80</v>
          </cell>
          <cell r="O634">
            <v>26.7</v>
          </cell>
          <cell r="P634">
            <v>59</v>
          </cell>
          <cell r="Q634">
            <v>71</v>
          </cell>
          <cell r="R634">
            <v>23</v>
          </cell>
          <cell r="S634">
            <v>60</v>
          </cell>
          <cell r="T634">
            <v>38166</v>
          </cell>
          <cell r="U634" t="str">
            <v>ГРП</v>
          </cell>
          <cell r="W634" t="str">
            <v>ПР ГРП ЮК-10,сп.Э-80</v>
          </cell>
          <cell r="AG634" t="e">
            <v>#REF!</v>
          </cell>
          <cell r="AH634" t="e">
            <v>#REF!</v>
          </cell>
        </row>
        <row r="635">
          <cell r="B635">
            <v>2791</v>
          </cell>
          <cell r="C635">
            <v>144</v>
          </cell>
          <cell r="G635">
            <v>280</v>
          </cell>
          <cell r="H635" t="str">
            <v>ШГН</v>
          </cell>
          <cell r="I635" t="str">
            <v>бдт</v>
          </cell>
          <cell r="J635">
            <v>37124</v>
          </cell>
          <cell r="K635">
            <v>9</v>
          </cell>
          <cell r="L635">
            <v>5.2</v>
          </cell>
          <cell r="M635">
            <v>29</v>
          </cell>
          <cell r="N635">
            <v>20</v>
          </cell>
          <cell r="O635">
            <v>11</v>
          </cell>
          <cell r="P635">
            <v>32.299999999999997</v>
          </cell>
          <cell r="Q635">
            <v>20</v>
          </cell>
          <cell r="R635">
            <v>11</v>
          </cell>
          <cell r="S635">
            <v>32.1</v>
          </cell>
          <cell r="T635">
            <v>37175</v>
          </cell>
          <cell r="U635" t="str">
            <v>ГРП</v>
          </cell>
          <cell r="W635" t="str">
            <v>ПР ГРП. ГРП</v>
          </cell>
          <cell r="AG635">
            <v>-334566</v>
          </cell>
          <cell r="AH635">
            <v>-520436</v>
          </cell>
        </row>
        <row r="636">
          <cell r="B636">
            <v>4074</v>
          </cell>
          <cell r="C636">
            <v>314</v>
          </cell>
          <cell r="H636" t="str">
            <v>ШГН</v>
          </cell>
          <cell r="I636" t="str">
            <v>бдт</v>
          </cell>
          <cell r="N636">
            <v>14</v>
          </cell>
          <cell r="O636">
            <v>9</v>
          </cell>
          <cell r="P636">
            <v>21</v>
          </cell>
          <cell r="Q636">
            <v>14</v>
          </cell>
          <cell r="R636">
            <v>9</v>
          </cell>
          <cell r="S636">
            <v>20.6</v>
          </cell>
          <cell r="T636">
            <v>37174</v>
          </cell>
          <cell r="U636" t="str">
            <v>бдп</v>
          </cell>
          <cell r="X636" t="str">
            <v>Запуск ШГН</v>
          </cell>
          <cell r="AG636">
            <v>-480791</v>
          </cell>
          <cell r="AH636">
            <v>-1907900</v>
          </cell>
        </row>
        <row r="637">
          <cell r="B637">
            <v>5476</v>
          </cell>
          <cell r="C637">
            <v>110</v>
          </cell>
          <cell r="G637">
            <v>230</v>
          </cell>
          <cell r="H637" t="str">
            <v>ФОН</v>
          </cell>
          <cell r="I637" t="str">
            <v>бд</v>
          </cell>
          <cell r="J637">
            <v>37123</v>
          </cell>
          <cell r="K637">
            <v>0</v>
          </cell>
          <cell r="L637">
            <v>0</v>
          </cell>
          <cell r="M637">
            <v>0</v>
          </cell>
          <cell r="N637">
            <v>50</v>
          </cell>
          <cell r="O637">
            <v>12.6</v>
          </cell>
          <cell r="P637">
            <v>69</v>
          </cell>
          <cell r="Q637">
            <v>50</v>
          </cell>
          <cell r="R637">
            <v>12.6</v>
          </cell>
          <cell r="S637">
            <v>68.900000000000006</v>
          </cell>
          <cell r="T637">
            <v>38158</v>
          </cell>
          <cell r="U637" t="str">
            <v>бдп</v>
          </cell>
          <cell r="W637" t="str">
            <v>ИР ЮК-10,ДП исп. ЮК-1,сп.Э-50</v>
          </cell>
          <cell r="AD637">
            <v>38153</v>
          </cell>
          <cell r="AE637">
            <v>38158</v>
          </cell>
          <cell r="AF637">
            <v>5</v>
          </cell>
          <cell r="AG637">
            <v>-297344</v>
          </cell>
          <cell r="AH637">
            <v>-371680</v>
          </cell>
        </row>
        <row r="638">
          <cell r="B638">
            <v>11003</v>
          </cell>
          <cell r="C638" t="str">
            <v>123б</v>
          </cell>
          <cell r="H638" t="str">
            <v>ЭЦН</v>
          </cell>
          <cell r="I638" t="str">
            <v>действ.</v>
          </cell>
          <cell r="K638">
            <v>60</v>
          </cell>
          <cell r="L638">
            <v>5.9</v>
          </cell>
          <cell r="M638">
            <v>88</v>
          </cell>
          <cell r="N638">
            <v>161</v>
          </cell>
          <cell r="O638">
            <v>10</v>
          </cell>
          <cell r="P638">
            <v>92.4</v>
          </cell>
          <cell r="Q638">
            <v>101</v>
          </cell>
          <cell r="R638">
            <v>4.0999999999999996</v>
          </cell>
          <cell r="S638">
            <v>0</v>
          </cell>
          <cell r="T638">
            <v>37166</v>
          </cell>
          <cell r="U638" t="str">
            <v>опт</v>
          </cell>
          <cell r="AD638">
            <v>37109</v>
          </cell>
          <cell r="AE638">
            <v>37129</v>
          </cell>
          <cell r="AF638">
            <v>20</v>
          </cell>
          <cell r="AG638">
            <v>-159775</v>
          </cell>
          <cell r="AH638">
            <v>-185785</v>
          </cell>
        </row>
        <row r="639">
          <cell r="B639">
            <v>2942</v>
          </cell>
          <cell r="C639">
            <v>47</v>
          </cell>
          <cell r="G639">
            <v>250</v>
          </cell>
          <cell r="H639" t="str">
            <v>ШГН</v>
          </cell>
          <cell r="I639" t="str">
            <v>действ.</v>
          </cell>
          <cell r="J639">
            <v>37116</v>
          </cell>
          <cell r="K639">
            <v>5</v>
          </cell>
          <cell r="L639">
            <v>3.7</v>
          </cell>
          <cell r="M639">
            <v>8</v>
          </cell>
          <cell r="N639">
            <v>10</v>
          </cell>
          <cell r="O639">
            <v>8</v>
          </cell>
          <cell r="P639">
            <v>2</v>
          </cell>
          <cell r="Q639">
            <v>5</v>
          </cell>
          <cell r="R639">
            <v>4.3</v>
          </cell>
          <cell r="T639">
            <v>37157</v>
          </cell>
          <cell r="U639" t="str">
            <v>ОПЗ</v>
          </cell>
          <cell r="W639" t="str">
            <v>УГИС. ОПЗ НТПН. ГДИ</v>
          </cell>
          <cell r="AG639">
            <v>-111468</v>
          </cell>
          <cell r="AH639">
            <v>-1486240</v>
          </cell>
        </row>
        <row r="640">
          <cell r="B640">
            <v>2757</v>
          </cell>
          <cell r="C640">
            <v>144</v>
          </cell>
          <cell r="I640" t="str">
            <v>бд</v>
          </cell>
          <cell r="N640">
            <v>40</v>
          </cell>
          <cell r="O640">
            <v>3</v>
          </cell>
          <cell r="P640">
            <v>90.7</v>
          </cell>
          <cell r="Q640">
            <v>40</v>
          </cell>
          <cell r="R640">
            <v>3</v>
          </cell>
          <cell r="S640">
            <v>90.7</v>
          </cell>
          <cell r="T640">
            <v>37156</v>
          </cell>
          <cell r="U640" t="str">
            <v>ВЦ</v>
          </cell>
          <cell r="AG640">
            <v>-130029</v>
          </cell>
          <cell r="AH640">
            <v>-2154758</v>
          </cell>
        </row>
        <row r="641">
          <cell r="B641">
            <v>4126</v>
          </cell>
          <cell r="C641">
            <v>315</v>
          </cell>
          <cell r="I641" t="str">
            <v>бдт</v>
          </cell>
          <cell r="N641">
            <v>58</v>
          </cell>
          <cell r="O641">
            <v>3.5</v>
          </cell>
          <cell r="P641">
            <v>92.5</v>
          </cell>
          <cell r="Q641">
            <v>58</v>
          </cell>
          <cell r="R641">
            <v>3.5</v>
          </cell>
          <cell r="S641">
            <v>92.6</v>
          </cell>
          <cell r="T641">
            <v>37151</v>
          </cell>
          <cell r="U641" t="str">
            <v>бдп</v>
          </cell>
          <cell r="AG641">
            <v>0</v>
          </cell>
          <cell r="AH641">
            <v>-5572050</v>
          </cell>
        </row>
        <row r="642">
          <cell r="B642">
            <v>5807</v>
          </cell>
          <cell r="C642" t="str">
            <v>166б</v>
          </cell>
          <cell r="I642" t="str">
            <v>бд</v>
          </cell>
          <cell r="N642">
            <v>150</v>
          </cell>
          <cell r="Q642">
            <v>150</v>
          </cell>
          <cell r="R642">
            <v>0</v>
          </cell>
          <cell r="S642">
            <v>100</v>
          </cell>
          <cell r="T642">
            <v>37147</v>
          </cell>
          <cell r="U642" t="str">
            <v>нг</v>
          </cell>
          <cell r="AG642">
            <v>-765488</v>
          </cell>
          <cell r="AH642">
            <v>-3617980</v>
          </cell>
        </row>
        <row r="643">
          <cell r="B643" t="str">
            <v>5484б</v>
          </cell>
          <cell r="C643">
            <v>115</v>
          </cell>
          <cell r="H643" t="str">
            <v>ШГН</v>
          </cell>
          <cell r="I643" t="str">
            <v>конс.</v>
          </cell>
          <cell r="N643">
            <v>7</v>
          </cell>
          <cell r="O643">
            <v>4</v>
          </cell>
          <cell r="P643">
            <v>30</v>
          </cell>
          <cell r="Q643">
            <v>7</v>
          </cell>
          <cell r="R643">
            <v>4</v>
          </cell>
          <cell r="S643">
            <v>29.5</v>
          </cell>
          <cell r="T643">
            <v>37138</v>
          </cell>
          <cell r="U643" t="str">
            <v>ГРП</v>
          </cell>
          <cell r="Y643" t="str">
            <v>ЗКЦ до гл.2480</v>
          </cell>
          <cell r="AD643">
            <v>37378</v>
          </cell>
          <cell r="AE643">
            <v>37399</v>
          </cell>
          <cell r="AF643">
            <v>21</v>
          </cell>
          <cell r="AG643">
            <v>0</v>
          </cell>
          <cell r="AH643">
            <v>0</v>
          </cell>
        </row>
        <row r="644">
          <cell r="B644">
            <v>5391</v>
          </cell>
          <cell r="C644">
            <v>109</v>
          </cell>
          <cell r="F644" t="str">
            <v>УПНПиКРС</v>
          </cell>
          <cell r="G644">
            <v>291</v>
          </cell>
          <cell r="H644" t="str">
            <v>нагнет.</v>
          </cell>
          <cell r="I644" t="str">
            <v>бд</v>
          </cell>
          <cell r="J644">
            <v>34426</v>
          </cell>
          <cell r="O644">
            <v>0</v>
          </cell>
          <cell r="U644" t="str">
            <v>нг</v>
          </cell>
          <cell r="W644" t="str">
            <v>ИР ЮК-11, ПП ЮК-10 пуск под закачку</v>
          </cell>
          <cell r="Y644" t="str">
            <v>Негермитичгость Э/К</v>
          </cell>
          <cell r="AD644">
            <v>37294</v>
          </cell>
          <cell r="AE644">
            <v>37351</v>
          </cell>
          <cell r="AF644">
            <v>57</v>
          </cell>
          <cell r="AG644" t="e">
            <v>#REF!</v>
          </cell>
          <cell r="AH644" t="e">
            <v>#REF!</v>
          </cell>
        </row>
        <row r="645">
          <cell r="B645">
            <v>5398</v>
          </cell>
          <cell r="C645">
            <v>102</v>
          </cell>
          <cell r="F645" t="str">
            <v>УПНПиКРС</v>
          </cell>
          <cell r="G645">
            <v>240</v>
          </cell>
          <cell r="H645" t="str">
            <v>ФОН</v>
          </cell>
          <cell r="I645" t="str">
            <v>бд</v>
          </cell>
          <cell r="J645">
            <v>33572</v>
          </cell>
          <cell r="K645">
            <v>15</v>
          </cell>
          <cell r="L645">
            <v>1.2</v>
          </cell>
          <cell r="M645">
            <v>90</v>
          </cell>
          <cell r="N645">
            <v>30</v>
          </cell>
          <cell r="O645">
            <v>12</v>
          </cell>
          <cell r="P645">
            <v>51</v>
          </cell>
          <cell r="Q645">
            <v>30</v>
          </cell>
          <cell r="R645">
            <v>12</v>
          </cell>
          <cell r="S645">
            <v>50.6</v>
          </cell>
          <cell r="U645" t="str">
            <v>ГРП</v>
          </cell>
          <cell r="V645">
            <v>2</v>
          </cell>
          <cell r="W645" t="str">
            <v>ЛА,ИР ЮК-10,ПП ЮК-2-3 пр к ГРП</v>
          </cell>
          <cell r="AG645">
            <v>0</v>
          </cell>
          <cell r="AH645">
            <v>0</v>
          </cell>
        </row>
        <row r="646">
          <cell r="B646">
            <v>2701</v>
          </cell>
          <cell r="C646" t="str">
            <v>145б</v>
          </cell>
          <cell r="H646" t="str">
            <v>ЭЦН</v>
          </cell>
          <cell r="I646" t="str">
            <v>конс.</v>
          </cell>
          <cell r="N646">
            <v>45</v>
          </cell>
          <cell r="O646">
            <v>3</v>
          </cell>
          <cell r="P646">
            <v>91.9</v>
          </cell>
          <cell r="Q646">
            <v>45</v>
          </cell>
          <cell r="R646">
            <v>3</v>
          </cell>
          <cell r="S646">
            <v>91.8</v>
          </cell>
          <cell r="U646" t="str">
            <v>ВЦ</v>
          </cell>
          <cell r="AG646">
            <v>0</v>
          </cell>
          <cell r="AH646">
            <v>0</v>
          </cell>
        </row>
        <row r="647">
          <cell r="B647">
            <v>5290</v>
          </cell>
          <cell r="C647">
            <v>133</v>
          </cell>
          <cell r="H647" t="str">
            <v>ШГН</v>
          </cell>
          <cell r="I647" t="str">
            <v>бдт</v>
          </cell>
          <cell r="J647">
            <v>37111</v>
          </cell>
          <cell r="N647">
            <v>8</v>
          </cell>
          <cell r="O647">
            <v>4.5</v>
          </cell>
          <cell r="P647">
            <v>31</v>
          </cell>
          <cell r="Q647">
            <v>8</v>
          </cell>
          <cell r="R647">
            <v>4.5</v>
          </cell>
          <cell r="S647">
            <v>30.6</v>
          </cell>
          <cell r="U647" t="str">
            <v>бдп</v>
          </cell>
          <cell r="AG647" t="e">
            <v>#REF!</v>
          </cell>
          <cell r="AH647" t="e">
            <v>#REF!</v>
          </cell>
        </row>
        <row r="648">
          <cell r="B648">
            <v>2787</v>
          </cell>
          <cell r="C648">
            <v>145</v>
          </cell>
          <cell r="F648" t="str">
            <v>УПНПиКРС</v>
          </cell>
          <cell r="G648">
            <v>270</v>
          </cell>
          <cell r="H648" t="str">
            <v>ШГН</v>
          </cell>
          <cell r="I648" t="str">
            <v>действ.</v>
          </cell>
          <cell r="K648">
            <v>17</v>
          </cell>
          <cell r="L648">
            <v>13.2</v>
          </cell>
          <cell r="M648">
            <v>5</v>
          </cell>
          <cell r="N648">
            <v>25</v>
          </cell>
          <cell r="O648">
            <v>19.399999999999999</v>
          </cell>
          <cell r="P648">
            <v>5</v>
          </cell>
          <cell r="Q648">
            <v>8</v>
          </cell>
          <cell r="R648">
            <v>6.2</v>
          </cell>
          <cell r="S648">
            <v>4.3</v>
          </cell>
          <cell r="U648" t="str">
            <v>ГРП</v>
          </cell>
          <cell r="V648">
            <v>3</v>
          </cell>
          <cell r="W648" t="str">
            <v>Вымыв пропанта, освоение после ГРП</v>
          </cell>
          <cell r="AD648">
            <v>37242</v>
          </cell>
          <cell r="AE648">
            <v>37277</v>
          </cell>
          <cell r="AF648">
            <v>35</v>
          </cell>
          <cell r="AG648">
            <v>0</v>
          </cell>
          <cell r="AH648">
            <v>0</v>
          </cell>
        </row>
        <row r="649">
          <cell r="B649">
            <v>5644</v>
          </cell>
          <cell r="C649">
            <v>126</v>
          </cell>
          <cell r="F649" t="str">
            <v>УПНПиКРС</v>
          </cell>
          <cell r="G649">
            <v>230</v>
          </cell>
          <cell r="H649" t="str">
            <v>ШГН</v>
          </cell>
          <cell r="I649" t="str">
            <v>бд</v>
          </cell>
          <cell r="J649">
            <v>35340</v>
          </cell>
          <cell r="N649">
            <v>30</v>
          </cell>
          <cell r="O649">
            <v>15</v>
          </cell>
          <cell r="P649">
            <v>38.799999999999997</v>
          </cell>
          <cell r="Q649">
            <v>30</v>
          </cell>
          <cell r="R649">
            <v>15</v>
          </cell>
          <cell r="S649">
            <v>38.299999999999997</v>
          </cell>
          <cell r="T649">
            <v>37521</v>
          </cell>
          <cell r="U649" t="str">
            <v>ЗБС</v>
          </cell>
          <cell r="W649" t="str">
            <v>ПР К ЗБС</v>
          </cell>
          <cell r="AD649">
            <v>37447</v>
          </cell>
          <cell r="AE649">
            <v>37456</v>
          </cell>
          <cell r="AF649">
            <v>9</v>
          </cell>
        </row>
        <row r="650">
          <cell r="B650">
            <v>2576</v>
          </cell>
          <cell r="C650">
            <v>150</v>
          </cell>
          <cell r="F650" t="str">
            <v>УПНПиКРС</v>
          </cell>
          <cell r="H650" t="str">
            <v>нагнет.</v>
          </cell>
          <cell r="I650" t="str">
            <v>бд</v>
          </cell>
          <cell r="N650">
            <v>150</v>
          </cell>
          <cell r="Q650">
            <v>150</v>
          </cell>
          <cell r="T650">
            <v>38471</v>
          </cell>
          <cell r="U650" t="str">
            <v>нг</v>
          </cell>
          <cell r="W650" t="str">
            <v>ПП, ОПЗ, ГИС-3</v>
          </cell>
          <cell r="AD650">
            <v>37413</v>
          </cell>
          <cell r="AE650">
            <v>37461</v>
          </cell>
          <cell r="AF650">
            <v>48</v>
          </cell>
        </row>
        <row r="651">
          <cell r="B651">
            <v>5241</v>
          </cell>
          <cell r="C651">
            <v>134</v>
          </cell>
          <cell r="F651" t="str">
            <v>УПНПиКРС</v>
          </cell>
          <cell r="G651">
            <v>258</v>
          </cell>
          <cell r="H651" t="str">
            <v>ЭЦН</v>
          </cell>
          <cell r="I651" t="str">
            <v>бд</v>
          </cell>
          <cell r="J651">
            <v>34547</v>
          </cell>
          <cell r="K651">
            <v>21</v>
          </cell>
          <cell r="L651">
            <v>0.2</v>
          </cell>
          <cell r="M651">
            <v>99</v>
          </cell>
          <cell r="N651">
            <v>30</v>
          </cell>
          <cell r="O651">
            <v>12</v>
          </cell>
          <cell r="P651">
            <v>51</v>
          </cell>
          <cell r="Q651">
            <v>30</v>
          </cell>
          <cell r="R651">
            <v>12</v>
          </cell>
          <cell r="S651">
            <v>50.6</v>
          </cell>
          <cell r="T651">
            <v>37467</v>
          </cell>
          <cell r="U651" t="str">
            <v>ГРП</v>
          </cell>
          <cell r="V651">
            <v>2</v>
          </cell>
          <cell r="W651" t="str">
            <v>СО-каротаж, ПР к ГРП, ГРП ЮК-4, осв.</v>
          </cell>
          <cell r="X651" t="str">
            <v>ЭП выполнен, ЭЦН с КРБК на забое</v>
          </cell>
          <cell r="AD651">
            <v>37431</v>
          </cell>
          <cell r="AE651">
            <v>37459</v>
          </cell>
          <cell r="AF651">
            <v>28</v>
          </cell>
        </row>
        <row r="652">
          <cell r="B652">
            <v>5267</v>
          </cell>
          <cell r="C652">
            <v>134</v>
          </cell>
          <cell r="F652" t="str">
            <v>УПНПиКРС</v>
          </cell>
          <cell r="H652" t="str">
            <v>ЭЦН</v>
          </cell>
          <cell r="I652" t="str">
            <v>конс.</v>
          </cell>
          <cell r="N652">
            <v>50</v>
          </cell>
          <cell r="O652">
            <v>30</v>
          </cell>
          <cell r="P652">
            <v>26.5</v>
          </cell>
          <cell r="Q652">
            <v>50</v>
          </cell>
          <cell r="R652">
            <v>30</v>
          </cell>
          <cell r="S652">
            <v>25.9</v>
          </cell>
          <cell r="T652">
            <v>37466</v>
          </cell>
          <cell r="U652" t="str">
            <v>ГРП</v>
          </cell>
          <cell r="W652" t="str">
            <v>ВЦ, РИР ЮК-10, ПР к ГРП, ГРП ЮК-2, осв.</v>
          </cell>
          <cell r="Y652" t="str">
            <v xml:space="preserve">на забое ЭЦН-50/1550+103шт.60мм НКТ+кабель </v>
          </cell>
          <cell r="AD652">
            <v>37413</v>
          </cell>
          <cell r="AE652">
            <v>37427</v>
          </cell>
          <cell r="AF652">
            <v>14</v>
          </cell>
        </row>
        <row r="653">
          <cell r="B653">
            <v>5241</v>
          </cell>
          <cell r="C653">
            <v>134</v>
          </cell>
          <cell r="F653" t="str">
            <v>УПНПиКРС</v>
          </cell>
          <cell r="G653">
            <v>258</v>
          </cell>
          <cell r="H653" t="str">
            <v>ЭЦН</v>
          </cell>
          <cell r="I653" t="str">
            <v>бд</v>
          </cell>
          <cell r="J653">
            <v>34547</v>
          </cell>
          <cell r="K653">
            <v>21</v>
          </cell>
          <cell r="L653">
            <v>0.2</v>
          </cell>
          <cell r="M653">
            <v>99</v>
          </cell>
          <cell r="N653">
            <v>50</v>
          </cell>
          <cell r="O653">
            <v>30</v>
          </cell>
          <cell r="P653">
            <v>26.5</v>
          </cell>
          <cell r="Q653">
            <v>50</v>
          </cell>
          <cell r="R653">
            <v>30</v>
          </cell>
          <cell r="S653">
            <v>25.9</v>
          </cell>
          <cell r="T653">
            <v>37465</v>
          </cell>
          <cell r="U653" t="str">
            <v>ГРП</v>
          </cell>
          <cell r="V653">
            <v>2</v>
          </cell>
          <cell r="W653" t="str">
            <v xml:space="preserve">ВЦ, ГИС-2 ( источ. обвод.), при подтверждении воды и герм. э/колонны  </v>
          </cell>
          <cell r="X653" t="str">
            <v>ЭП выполнен, ЭЦН с КРБК на забое</v>
          </cell>
        </row>
        <row r="654">
          <cell r="B654">
            <v>11029</v>
          </cell>
          <cell r="C654" t="str">
            <v>97б</v>
          </cell>
          <cell r="F654" t="str">
            <v>УПНПиКРС</v>
          </cell>
          <cell r="H654" t="str">
            <v>ЭЦН</v>
          </cell>
          <cell r="I654" t="str">
            <v>действ.</v>
          </cell>
          <cell r="K654">
            <v>74</v>
          </cell>
          <cell r="L654">
            <v>8.4</v>
          </cell>
          <cell r="M654">
            <v>86</v>
          </cell>
          <cell r="N654">
            <v>124</v>
          </cell>
          <cell r="O654">
            <v>14.1</v>
          </cell>
          <cell r="P654">
            <v>86</v>
          </cell>
          <cell r="Q654">
            <v>50</v>
          </cell>
          <cell r="R654">
            <v>5.7</v>
          </cell>
          <cell r="S654">
            <v>85.9</v>
          </cell>
          <cell r="T654">
            <v>38057</v>
          </cell>
          <cell r="U654" t="str">
            <v>опт</v>
          </cell>
          <cell r="W654" t="str">
            <v>Оптимизация Э-125</v>
          </cell>
          <cell r="AD654">
            <v>37753</v>
          </cell>
          <cell r="AE654">
            <v>38054</v>
          </cell>
          <cell r="AF654">
            <v>56</v>
          </cell>
        </row>
        <row r="655">
          <cell r="B655">
            <v>5240</v>
          </cell>
          <cell r="C655">
            <v>134</v>
          </cell>
          <cell r="F655" t="str">
            <v>УПНПиКРС</v>
          </cell>
          <cell r="H655" t="str">
            <v>ЭЦН</v>
          </cell>
          <cell r="I655" t="str">
            <v>конс.</v>
          </cell>
          <cell r="N655">
            <v>34</v>
          </cell>
          <cell r="O655">
            <v>15.5</v>
          </cell>
          <cell r="P655">
            <v>44</v>
          </cell>
          <cell r="Q655">
            <v>34</v>
          </cell>
          <cell r="R655">
            <v>15.5</v>
          </cell>
          <cell r="S655">
            <v>43.7</v>
          </cell>
          <cell r="T655">
            <v>37516</v>
          </cell>
          <cell r="U655" t="str">
            <v>ГРП</v>
          </cell>
          <cell r="W655" t="str">
            <v>ВЦ, РИР ЮК-10, ПР к ГРП, ГРП ЮК-2, осв.</v>
          </cell>
        </row>
        <row r="656">
          <cell r="B656">
            <v>5614</v>
          </cell>
          <cell r="C656">
            <v>116</v>
          </cell>
          <cell r="F656" t="str">
            <v>УПНПиКРС</v>
          </cell>
          <cell r="H656" t="str">
            <v>нагнет.</v>
          </cell>
          <cell r="I656" t="str">
            <v>бд</v>
          </cell>
          <cell r="N656">
            <v>120</v>
          </cell>
          <cell r="Q656">
            <v>120</v>
          </cell>
          <cell r="T656" t="e">
            <v>#REF!</v>
          </cell>
          <cell r="U656" t="str">
            <v>ЛА</v>
          </cell>
          <cell r="W656" t="str">
            <v>ЛА, пуск под закачку</v>
          </cell>
        </row>
        <row r="657">
          <cell r="B657">
            <v>2612</v>
          </cell>
          <cell r="C657" t="str">
            <v>157б</v>
          </cell>
          <cell r="F657" t="str">
            <v>УПНПиКРС</v>
          </cell>
          <cell r="G657">
            <v>260</v>
          </cell>
          <cell r="H657" t="str">
            <v>ШГН</v>
          </cell>
          <cell r="I657" t="str">
            <v>бд</v>
          </cell>
          <cell r="J657">
            <v>36112</v>
          </cell>
          <cell r="K657">
            <v>3</v>
          </cell>
          <cell r="L657">
            <v>2.2999999999999998</v>
          </cell>
          <cell r="M657">
            <v>5</v>
          </cell>
          <cell r="N657">
            <v>10</v>
          </cell>
          <cell r="O657">
            <v>7.3</v>
          </cell>
          <cell r="P657">
            <v>10</v>
          </cell>
          <cell r="Q657">
            <v>10</v>
          </cell>
          <cell r="R657">
            <v>7.3</v>
          </cell>
          <cell r="S657">
            <v>9.9</v>
          </cell>
          <cell r="T657">
            <v>7</v>
          </cell>
          <cell r="U657" t="str">
            <v>ОПЗ</v>
          </cell>
          <cell r="W657" t="str">
            <v>Л.А. УГИС. ОПЗ НТПН.( ГРП 2631,2611) ГДИ</v>
          </cell>
          <cell r="Y657" t="str">
            <v>ОЦ</v>
          </cell>
        </row>
        <row r="658">
          <cell r="B658">
            <v>2670</v>
          </cell>
          <cell r="C658">
            <v>160</v>
          </cell>
          <cell r="H658" t="str">
            <v>ШГН</v>
          </cell>
          <cell r="I658" t="str">
            <v>конс.</v>
          </cell>
          <cell r="J658">
            <v>34274</v>
          </cell>
          <cell r="N658">
            <v>15</v>
          </cell>
          <cell r="O658">
            <v>4</v>
          </cell>
          <cell r="P658">
            <v>67</v>
          </cell>
          <cell r="Q658">
            <v>15</v>
          </cell>
          <cell r="R658">
            <v>4</v>
          </cell>
          <cell r="S658">
            <v>67.099999999999994</v>
          </cell>
          <cell r="U658" t="str">
            <v>ОПЗ</v>
          </cell>
          <cell r="W658" t="str">
            <v>ВЦ. ОПЗ НТПН ГДИ</v>
          </cell>
          <cell r="Y658" t="str">
            <v>ОЦ</v>
          </cell>
        </row>
        <row r="659">
          <cell r="B659">
            <v>2671</v>
          </cell>
          <cell r="C659">
            <v>160</v>
          </cell>
          <cell r="H659" t="str">
            <v>ШГН</v>
          </cell>
          <cell r="I659" t="str">
            <v>конс.</v>
          </cell>
          <cell r="J659">
            <v>33178</v>
          </cell>
          <cell r="N659">
            <v>10</v>
          </cell>
          <cell r="O659">
            <v>4</v>
          </cell>
          <cell r="P659">
            <v>51</v>
          </cell>
          <cell r="Q659">
            <v>10</v>
          </cell>
          <cell r="R659">
            <v>4</v>
          </cell>
          <cell r="S659">
            <v>50.6</v>
          </cell>
          <cell r="U659" t="str">
            <v>ОПЗ</v>
          </cell>
          <cell r="W659" t="str">
            <v>ВЦ. ОПЗ НТПН ГДИ</v>
          </cell>
          <cell r="Y659" t="str">
            <v>Клин</v>
          </cell>
        </row>
        <row r="660">
          <cell r="B660">
            <v>2672</v>
          </cell>
          <cell r="C660">
            <v>160</v>
          </cell>
          <cell r="H660" t="str">
            <v>ШГН</v>
          </cell>
          <cell r="I660" t="str">
            <v>бд</v>
          </cell>
          <cell r="J660">
            <v>36659</v>
          </cell>
          <cell r="N660">
            <v>5</v>
          </cell>
          <cell r="O660">
            <v>2.9</v>
          </cell>
          <cell r="P660">
            <v>30</v>
          </cell>
          <cell r="Q660">
            <v>5</v>
          </cell>
          <cell r="R660">
            <v>2.9</v>
          </cell>
          <cell r="S660">
            <v>28.4</v>
          </cell>
          <cell r="T660">
            <v>38245</v>
          </cell>
          <cell r="U660" t="str">
            <v>ВЦД</v>
          </cell>
          <cell r="W660" t="str">
            <v>ВЦ."БАРС".Смена НВ-44</v>
          </cell>
          <cell r="Y660" t="str">
            <v>+4</v>
          </cell>
          <cell r="Z660">
            <v>2801</v>
          </cell>
          <cell r="AA660">
            <v>73</v>
          </cell>
          <cell r="AB660">
            <v>36789</v>
          </cell>
          <cell r="AF660">
            <v>25</v>
          </cell>
        </row>
        <row r="661">
          <cell r="B661">
            <v>2690</v>
          </cell>
          <cell r="C661">
            <v>160</v>
          </cell>
          <cell r="H661" t="str">
            <v>ШГН</v>
          </cell>
          <cell r="I661" t="str">
            <v>бд</v>
          </cell>
          <cell r="J661">
            <v>32825</v>
          </cell>
          <cell r="N661">
            <v>12</v>
          </cell>
          <cell r="O661">
            <v>7</v>
          </cell>
          <cell r="P661">
            <v>28</v>
          </cell>
          <cell r="Q661">
            <v>12</v>
          </cell>
          <cell r="R661">
            <v>7</v>
          </cell>
          <cell r="S661">
            <v>28</v>
          </cell>
          <cell r="U661" t="str">
            <v>ЛА</v>
          </cell>
          <cell r="W661" t="str">
            <v>ЛА. ИДН.сп.НН</v>
          </cell>
          <cell r="Y661" t="str">
            <v>+35</v>
          </cell>
          <cell r="Z661">
            <v>2832</v>
          </cell>
          <cell r="AA661">
            <v>73</v>
          </cell>
          <cell r="AB661">
            <v>34194</v>
          </cell>
          <cell r="AF661">
            <v>25</v>
          </cell>
        </row>
        <row r="662">
          <cell r="B662">
            <v>2702</v>
          </cell>
          <cell r="C662" t="str">
            <v>145б</v>
          </cell>
          <cell r="F662" t="str">
            <v>УПНПиКРС</v>
          </cell>
          <cell r="G662">
            <v>275</v>
          </cell>
          <cell r="H662" t="str">
            <v>ЭЦН</v>
          </cell>
          <cell r="I662" t="str">
            <v>бд</v>
          </cell>
          <cell r="K662">
            <v>45</v>
          </cell>
          <cell r="L662">
            <v>2.2000000000000002</v>
          </cell>
          <cell r="M662">
            <v>94</v>
          </cell>
          <cell r="N662">
            <v>50</v>
          </cell>
          <cell r="O662">
            <v>4</v>
          </cell>
          <cell r="P662">
            <v>90.1</v>
          </cell>
          <cell r="Q662">
            <v>50</v>
          </cell>
          <cell r="R662">
            <v>4</v>
          </cell>
          <cell r="S662">
            <v>90.1</v>
          </cell>
          <cell r="T662">
            <v>38709</v>
          </cell>
          <cell r="U662" t="str">
            <v>ВЦ</v>
          </cell>
          <cell r="W662" t="str">
            <v>ВЦ(КОПС),Спуск ЭЦН</v>
          </cell>
          <cell r="Y662" t="str">
            <v>ОЦ. Клин</v>
          </cell>
        </row>
        <row r="663">
          <cell r="B663">
            <v>2729</v>
          </cell>
          <cell r="C663">
            <v>144</v>
          </cell>
          <cell r="F663" t="str">
            <v>УПНПиКРС</v>
          </cell>
          <cell r="G663">
            <v>295</v>
          </cell>
          <cell r="H663" t="str">
            <v>нагнет.</v>
          </cell>
          <cell r="I663" t="str">
            <v>конс.</v>
          </cell>
          <cell r="J663">
            <v>33879</v>
          </cell>
          <cell r="N663">
            <v>100</v>
          </cell>
          <cell r="Q663">
            <v>100</v>
          </cell>
          <cell r="T663" t="e">
            <v>#REF!</v>
          </cell>
          <cell r="U663" t="str">
            <v>нг</v>
          </cell>
          <cell r="W663" t="str">
            <v>Увеличение приём. спуск пакера</v>
          </cell>
          <cell r="Y663" t="str">
            <v>+22</v>
          </cell>
          <cell r="Z663">
            <v>2998</v>
          </cell>
          <cell r="AA663">
            <v>73</v>
          </cell>
          <cell r="AB663">
            <v>33878</v>
          </cell>
          <cell r="AF663">
            <v>21</v>
          </cell>
          <cell r="AG663">
            <v>-42</v>
          </cell>
          <cell r="AH663">
            <v>-99</v>
          </cell>
        </row>
        <row r="664">
          <cell r="B664">
            <v>2757</v>
          </cell>
          <cell r="C664">
            <v>144</v>
          </cell>
          <cell r="F664" t="str">
            <v>УПНПиКРС</v>
          </cell>
          <cell r="G664">
            <v>270</v>
          </cell>
          <cell r="H664" t="str">
            <v>ШГН</v>
          </cell>
          <cell r="I664" t="str">
            <v>действ.</v>
          </cell>
          <cell r="K664">
            <v>0.8</v>
          </cell>
          <cell r="L664">
            <v>0.1</v>
          </cell>
          <cell r="M664">
            <v>91</v>
          </cell>
          <cell r="N664">
            <v>15</v>
          </cell>
          <cell r="O664">
            <v>6.1</v>
          </cell>
          <cell r="P664">
            <v>50.5</v>
          </cell>
          <cell r="Q664">
            <v>14.2</v>
          </cell>
          <cell r="R664">
            <v>6</v>
          </cell>
          <cell r="S664">
            <v>47.8</v>
          </cell>
          <cell r="T664">
            <v>7</v>
          </cell>
          <cell r="U664" t="str">
            <v>ОПЗ</v>
          </cell>
          <cell r="W664" t="str">
            <v>ГДИ. ПП (п."а"). ОПЗ КСПЭО. ГДИ</v>
          </cell>
          <cell r="X664" t="str">
            <v>Пока отложить</v>
          </cell>
          <cell r="Y664" t="str">
            <v>перкрыт ИП-16м, откр.- 8 м</v>
          </cell>
          <cell r="Z664">
            <v>2830</v>
          </cell>
          <cell r="AA664">
            <v>73</v>
          </cell>
          <cell r="AF664">
            <v>22</v>
          </cell>
          <cell r="AG664">
            <v>-69</v>
          </cell>
          <cell r="AH664">
            <v>-140</v>
          </cell>
        </row>
        <row r="665">
          <cell r="B665">
            <v>2758</v>
          </cell>
          <cell r="C665">
            <v>144</v>
          </cell>
          <cell r="F665" t="str">
            <v>УПНПиКРС</v>
          </cell>
          <cell r="G665">
            <v>270</v>
          </cell>
          <cell r="H665" t="str">
            <v>ШГН</v>
          </cell>
          <cell r="I665" t="str">
            <v>конс.</v>
          </cell>
          <cell r="J665">
            <v>34425</v>
          </cell>
          <cell r="K665">
            <v>11</v>
          </cell>
          <cell r="L665">
            <v>0.7</v>
          </cell>
          <cell r="M665">
            <v>92</v>
          </cell>
          <cell r="N665">
            <v>20</v>
          </cell>
          <cell r="O665">
            <v>9.8000000000000007</v>
          </cell>
          <cell r="P665">
            <v>40</v>
          </cell>
          <cell r="Q665">
            <v>20</v>
          </cell>
          <cell r="R665">
            <v>9.8000000000000007</v>
          </cell>
          <cell r="S665">
            <v>39.5</v>
          </cell>
          <cell r="T665">
            <v>7</v>
          </cell>
          <cell r="U665" t="str">
            <v>ГРП</v>
          </cell>
          <cell r="W665" t="str">
            <v>РИР низа ЮК-10. ГРП</v>
          </cell>
          <cell r="X665" t="str">
            <v>Необходима СК</v>
          </cell>
          <cell r="Y665" t="str">
            <v>На забое НКТ (КРС-97 и 00)</v>
          </cell>
          <cell r="AF665">
            <v>38</v>
          </cell>
          <cell r="AG665">
            <v>-70</v>
          </cell>
          <cell r="AH665">
            <v>-126</v>
          </cell>
        </row>
        <row r="666">
          <cell r="B666">
            <v>2788</v>
          </cell>
          <cell r="C666">
            <v>144</v>
          </cell>
          <cell r="F666" t="str">
            <v>УПНПиКРС</v>
          </cell>
          <cell r="G666">
            <v>270</v>
          </cell>
          <cell r="H666" t="str">
            <v>ШГН</v>
          </cell>
          <cell r="I666" t="str">
            <v>бд</v>
          </cell>
          <cell r="J666">
            <v>36630</v>
          </cell>
          <cell r="K666">
            <v>2</v>
          </cell>
          <cell r="L666">
            <v>1.4</v>
          </cell>
          <cell r="M666">
            <v>15</v>
          </cell>
          <cell r="N666">
            <v>18</v>
          </cell>
          <cell r="O666">
            <v>10</v>
          </cell>
          <cell r="P666">
            <v>31.5</v>
          </cell>
          <cell r="Q666">
            <v>18</v>
          </cell>
          <cell r="R666">
            <v>10</v>
          </cell>
          <cell r="S666">
            <v>31.4</v>
          </cell>
          <cell r="T666">
            <v>7</v>
          </cell>
          <cell r="W666" t="str">
            <v>ЛА. ПР ГРП. ГРП</v>
          </cell>
          <cell r="X666" t="str">
            <v>КРС-2000 не завершен</v>
          </cell>
          <cell r="Y666" t="str">
            <v>Прихват печати (ПРС)</v>
          </cell>
          <cell r="AF666">
            <v>22</v>
          </cell>
          <cell r="AG666">
            <v>-946988</v>
          </cell>
          <cell r="AH666">
            <v>-3054800</v>
          </cell>
        </row>
        <row r="667">
          <cell r="B667">
            <v>2792</v>
          </cell>
          <cell r="C667">
            <v>144</v>
          </cell>
          <cell r="F667" t="str">
            <v>УПНПиКРС</v>
          </cell>
          <cell r="G667">
            <v>285</v>
          </cell>
          <cell r="H667" t="str">
            <v>ШГН</v>
          </cell>
          <cell r="I667" t="str">
            <v>действ.</v>
          </cell>
          <cell r="J667">
            <v>0</v>
          </cell>
          <cell r="K667">
            <v>14</v>
          </cell>
          <cell r="L667">
            <v>9.1</v>
          </cell>
          <cell r="M667">
            <v>20</v>
          </cell>
          <cell r="N667">
            <v>40</v>
          </cell>
          <cell r="O667">
            <v>26.1</v>
          </cell>
          <cell r="P667">
            <v>20</v>
          </cell>
          <cell r="Q667">
            <v>26</v>
          </cell>
          <cell r="R667">
            <v>17</v>
          </cell>
          <cell r="S667">
            <v>19.3</v>
          </cell>
          <cell r="T667" t="e">
            <v>#REF!</v>
          </cell>
          <cell r="U667" t="str">
            <v>ГРП</v>
          </cell>
          <cell r="W667" t="str">
            <v>ПР ГРП. ГРП ЮК-10</v>
          </cell>
          <cell r="X667" t="str">
            <v>ГРП повторный</v>
          </cell>
          <cell r="AF667">
            <v>10</v>
          </cell>
        </row>
        <row r="668">
          <cell r="B668">
            <v>2802</v>
          </cell>
          <cell r="C668" t="str">
            <v>166б</v>
          </cell>
          <cell r="F668" t="str">
            <v>ЗАО "УПКРС"</v>
          </cell>
          <cell r="G668">
            <v>290</v>
          </cell>
          <cell r="H668" t="str">
            <v>нагнет.</v>
          </cell>
          <cell r="I668" t="str">
            <v>бд</v>
          </cell>
          <cell r="J668">
            <v>36725</v>
          </cell>
          <cell r="N668">
            <v>150</v>
          </cell>
          <cell r="Q668">
            <v>150</v>
          </cell>
          <cell r="T668">
            <v>38180</v>
          </cell>
          <cell r="U668" t="str">
            <v>нг</v>
          </cell>
          <cell r="V668">
            <v>1</v>
          </cell>
          <cell r="W668" t="str">
            <v>ОТСК.ПП.ОПЗ.Сп.пакера ППД</v>
          </cell>
          <cell r="Y668" t="str">
            <v>+18</v>
          </cell>
          <cell r="Z668">
            <v>3010</v>
          </cell>
          <cell r="AA668">
            <v>73</v>
          </cell>
          <cell r="AB668">
            <v>34820</v>
          </cell>
          <cell r="AF668">
            <v>27</v>
          </cell>
          <cell r="AG668">
            <v>0</v>
          </cell>
          <cell r="AH668">
            <v>0</v>
          </cell>
        </row>
        <row r="669">
          <cell r="B669">
            <v>2818</v>
          </cell>
          <cell r="C669">
            <v>144</v>
          </cell>
          <cell r="F669" t="str">
            <v>УПНПиКРС</v>
          </cell>
          <cell r="G669">
            <v>255</v>
          </cell>
          <cell r="H669" t="str">
            <v>ШГН</v>
          </cell>
          <cell r="I669" t="str">
            <v>конс.</v>
          </cell>
          <cell r="J669">
            <v>33239</v>
          </cell>
          <cell r="N669">
            <v>8</v>
          </cell>
          <cell r="O669">
            <v>4</v>
          </cell>
          <cell r="P669">
            <v>39</v>
          </cell>
          <cell r="Q669">
            <v>8</v>
          </cell>
          <cell r="R669">
            <v>4</v>
          </cell>
          <cell r="S669">
            <v>38.299999999999997</v>
          </cell>
          <cell r="U669" t="str">
            <v>ОПЗ</v>
          </cell>
          <cell r="W669" t="str">
            <v>ВЦ. ГИС-2. ПП. ОПЗ. КСПЭО</v>
          </cell>
          <cell r="X669" t="str">
            <v>Возможна РИР ЗКЦ</v>
          </cell>
          <cell r="Y669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669">
            <v>37</v>
          </cell>
        </row>
        <row r="670">
          <cell r="B670">
            <v>2836</v>
          </cell>
          <cell r="C670">
            <v>125</v>
          </cell>
          <cell r="H670" t="str">
            <v>ШГН</v>
          </cell>
          <cell r="I670" t="str">
            <v>конс.</v>
          </cell>
          <cell r="J670">
            <v>35684</v>
          </cell>
          <cell r="K670">
            <v>4</v>
          </cell>
          <cell r="L670">
            <v>1.1000000000000001</v>
          </cell>
          <cell r="M670">
            <v>66</v>
          </cell>
          <cell r="N670">
            <v>20</v>
          </cell>
          <cell r="O670">
            <v>8.1999999999999993</v>
          </cell>
          <cell r="P670">
            <v>50</v>
          </cell>
          <cell r="Q670">
            <v>20</v>
          </cell>
          <cell r="R670">
            <v>8.1999999999999993</v>
          </cell>
          <cell r="S670">
            <v>49.4</v>
          </cell>
          <cell r="T670">
            <v>37270</v>
          </cell>
          <cell r="U670" t="str">
            <v>ГРП</v>
          </cell>
          <cell r="W670" t="str">
            <v>Ликвидация аварии, ИР ЮК-10, пр и ГРП ЮК-2-5</v>
          </cell>
          <cell r="AF670">
            <v>25</v>
          </cell>
        </row>
        <row r="671">
          <cell r="B671">
            <v>2850</v>
          </cell>
          <cell r="C671">
            <v>129</v>
          </cell>
          <cell r="F671" t="str">
            <v>ЗАО "УПКРС"</v>
          </cell>
          <cell r="G671">
            <v>230</v>
          </cell>
          <cell r="H671" t="str">
            <v>ШГН</v>
          </cell>
          <cell r="I671" t="str">
            <v>действ.</v>
          </cell>
          <cell r="J671">
            <v>0</v>
          </cell>
          <cell r="K671">
            <v>3</v>
          </cell>
          <cell r="L671">
            <v>1.5</v>
          </cell>
          <cell r="M671">
            <v>40</v>
          </cell>
          <cell r="N671">
            <v>40</v>
          </cell>
          <cell r="O671">
            <v>13</v>
          </cell>
          <cell r="P671">
            <v>60</v>
          </cell>
          <cell r="Q671">
            <v>37</v>
          </cell>
          <cell r="R671">
            <v>11.5</v>
          </cell>
          <cell r="S671">
            <v>61.6</v>
          </cell>
          <cell r="T671">
            <v>7</v>
          </cell>
          <cell r="U671" t="str">
            <v>ГРП</v>
          </cell>
          <cell r="W671" t="str">
            <v>ПР ГРП. ГРП. ЮК-10 ЭЦН-50</v>
          </cell>
          <cell r="X671" t="str">
            <v>Дважды перфорирована</v>
          </cell>
          <cell r="AF671">
            <v>32</v>
          </cell>
        </row>
        <row r="672">
          <cell r="B672">
            <v>3079</v>
          </cell>
          <cell r="C672">
            <v>51</v>
          </cell>
          <cell r="F672" t="str">
            <v>УПНП</v>
          </cell>
          <cell r="G672">
            <v>265</v>
          </cell>
          <cell r="H672" t="str">
            <v>ЭЦН</v>
          </cell>
          <cell r="I672" t="str">
            <v>конс.</v>
          </cell>
          <cell r="J672">
            <v>33635</v>
          </cell>
          <cell r="K672">
            <v>0</v>
          </cell>
          <cell r="L672">
            <v>0</v>
          </cell>
          <cell r="M672">
            <v>0</v>
          </cell>
          <cell r="N672">
            <v>50</v>
          </cell>
          <cell r="O672">
            <v>11</v>
          </cell>
          <cell r="P672">
            <v>73</v>
          </cell>
          <cell r="Q672">
            <v>50</v>
          </cell>
          <cell r="R672">
            <v>11</v>
          </cell>
          <cell r="S672">
            <v>72.8</v>
          </cell>
          <cell r="U672" t="str">
            <v>ВВ</v>
          </cell>
          <cell r="W672" t="str">
            <v>ВЦ,ВЗ,ДП ЮК-10</v>
          </cell>
          <cell r="AF672">
            <v>21</v>
          </cell>
        </row>
        <row r="673">
          <cell r="AF673">
            <v>29</v>
          </cell>
          <cell r="AG673">
            <v>-224743</v>
          </cell>
          <cell r="AH673">
            <v>-1828416</v>
          </cell>
        </row>
        <row r="674">
          <cell r="B674">
            <v>2877</v>
          </cell>
          <cell r="C674">
            <v>42</v>
          </cell>
          <cell r="F674" t="str">
            <v>ЗАО "УПКРС"</v>
          </cell>
          <cell r="G674">
            <v>250</v>
          </cell>
          <cell r="H674" t="str">
            <v>ШГН</v>
          </cell>
          <cell r="I674" t="str">
            <v>бд</v>
          </cell>
          <cell r="J674">
            <v>36895</v>
          </cell>
          <cell r="N674">
            <v>30</v>
          </cell>
          <cell r="O674">
            <v>10</v>
          </cell>
          <cell r="P674">
            <v>59</v>
          </cell>
          <cell r="Q674">
            <v>30</v>
          </cell>
          <cell r="R674">
            <v>10</v>
          </cell>
          <cell r="S674">
            <v>58.8</v>
          </cell>
          <cell r="T674">
            <v>7</v>
          </cell>
          <cell r="U674" t="str">
            <v>ГРП</v>
          </cell>
          <cell r="W674" t="str">
            <v>ПР к ГРП, ГРП</v>
          </cell>
          <cell r="AF674">
            <v>30</v>
          </cell>
        </row>
        <row r="675">
          <cell r="B675">
            <v>2878</v>
          </cell>
          <cell r="C675">
            <v>42</v>
          </cell>
          <cell r="F675" t="str">
            <v>ЗАО "УПКРС"</v>
          </cell>
          <cell r="G675">
            <v>260</v>
          </cell>
          <cell r="H675" t="str">
            <v>ШГН</v>
          </cell>
          <cell r="I675" t="str">
            <v>действ.</v>
          </cell>
          <cell r="K675">
            <v>5</v>
          </cell>
          <cell r="L675">
            <v>1.1000000000000001</v>
          </cell>
          <cell r="M675">
            <v>73</v>
          </cell>
          <cell r="N675">
            <v>30</v>
          </cell>
          <cell r="O675">
            <v>10</v>
          </cell>
          <cell r="P675">
            <v>59</v>
          </cell>
          <cell r="Q675">
            <v>25</v>
          </cell>
          <cell r="R675">
            <v>8.9</v>
          </cell>
          <cell r="S675">
            <v>56</v>
          </cell>
          <cell r="T675">
            <v>7</v>
          </cell>
          <cell r="U675" t="str">
            <v>ГРП</v>
          </cell>
          <cell r="W675" t="str">
            <v>ПР к ГРП, ГРП(повторное) (ОПЗ НТПН)</v>
          </cell>
        </row>
        <row r="676">
          <cell r="B676">
            <v>2884</v>
          </cell>
          <cell r="C676">
            <v>131</v>
          </cell>
          <cell r="F676" t="str">
            <v>УПНПиКРС</v>
          </cell>
          <cell r="G676">
            <v>280</v>
          </cell>
          <cell r="H676" t="str">
            <v>ЭЦН</v>
          </cell>
          <cell r="I676" t="str">
            <v>действ.</v>
          </cell>
          <cell r="K676">
            <v>40</v>
          </cell>
          <cell r="L676">
            <v>3.9</v>
          </cell>
          <cell r="M676">
            <v>88</v>
          </cell>
          <cell r="N676">
            <v>50</v>
          </cell>
          <cell r="O676">
            <v>5.9</v>
          </cell>
          <cell r="P676">
            <v>85.5</v>
          </cell>
          <cell r="Q676">
            <v>10</v>
          </cell>
          <cell r="R676">
            <v>2</v>
          </cell>
          <cell r="S676">
            <v>75.3</v>
          </cell>
          <cell r="U676" t="str">
            <v>ОВП</v>
          </cell>
          <cell r="W676" t="str">
            <v>ГИС-2. ОВП МЕТКА</v>
          </cell>
          <cell r="X676" t="str">
            <v>ИХН АН</v>
          </cell>
          <cell r="AF676">
            <v>21</v>
          </cell>
        </row>
        <row r="677">
          <cell r="B677">
            <v>2884</v>
          </cell>
          <cell r="C677">
            <v>131</v>
          </cell>
          <cell r="F677" t="str">
            <v>ЗАО "УПКРС"</v>
          </cell>
          <cell r="G677">
            <v>260</v>
          </cell>
          <cell r="H677" t="str">
            <v>ЭЦН</v>
          </cell>
          <cell r="I677" t="str">
            <v>действ.</v>
          </cell>
          <cell r="K677">
            <v>30</v>
          </cell>
          <cell r="L677">
            <v>1.5</v>
          </cell>
          <cell r="M677">
            <v>94</v>
          </cell>
          <cell r="N677">
            <v>50</v>
          </cell>
          <cell r="O677">
            <v>4.5</v>
          </cell>
          <cell r="P677">
            <v>89</v>
          </cell>
          <cell r="Q677">
            <v>20</v>
          </cell>
          <cell r="R677">
            <v>3</v>
          </cell>
          <cell r="S677">
            <v>81.5</v>
          </cell>
          <cell r="T677">
            <v>7</v>
          </cell>
          <cell r="U677" t="str">
            <v>ОПЗ</v>
          </cell>
          <cell r="W677" t="str">
            <v>ГИС-2. УГИС (ОПЗ)</v>
          </cell>
          <cell r="AF677">
            <v>21</v>
          </cell>
        </row>
        <row r="678">
          <cell r="B678">
            <v>2904</v>
          </cell>
          <cell r="C678">
            <v>131</v>
          </cell>
          <cell r="F678" t="str">
            <v>УПНПиКРС</v>
          </cell>
          <cell r="G678">
            <v>295</v>
          </cell>
          <cell r="H678" t="str">
            <v>нагнет.</v>
          </cell>
          <cell r="I678" t="str">
            <v>действ.</v>
          </cell>
          <cell r="K678">
            <v>330</v>
          </cell>
          <cell r="N678">
            <v>250</v>
          </cell>
          <cell r="Q678">
            <v>250</v>
          </cell>
          <cell r="R678">
            <v>0</v>
          </cell>
          <cell r="U678" t="str">
            <v>ВВП</v>
          </cell>
          <cell r="W678" t="str">
            <v>ГИС-3. ВПП ГАЛКА</v>
          </cell>
          <cell r="X678" t="str">
            <v>ИХН АН</v>
          </cell>
        </row>
        <row r="679">
          <cell r="B679">
            <v>2905</v>
          </cell>
          <cell r="C679">
            <v>132</v>
          </cell>
          <cell r="F679" t="str">
            <v>УПНПиКРС</v>
          </cell>
          <cell r="G679">
            <v>290</v>
          </cell>
          <cell r="H679" t="str">
            <v>ЭЦН</v>
          </cell>
          <cell r="I679" t="str">
            <v>действ.</v>
          </cell>
          <cell r="K679">
            <v>50</v>
          </cell>
          <cell r="L679">
            <v>5.3</v>
          </cell>
          <cell r="M679">
            <v>87</v>
          </cell>
          <cell r="N679">
            <v>50</v>
          </cell>
          <cell r="O679">
            <v>8.1999999999999993</v>
          </cell>
          <cell r="P679">
            <v>80</v>
          </cell>
          <cell r="Q679">
            <v>0</v>
          </cell>
          <cell r="R679">
            <v>2.9</v>
          </cell>
          <cell r="U679" t="str">
            <v>ОВП</v>
          </cell>
          <cell r="W679" t="str">
            <v>ГИС-2. ОВП МЕТКА.</v>
          </cell>
          <cell r="X679" t="str">
            <v>ИХН АН</v>
          </cell>
          <cell r="AF679">
            <v>53</v>
          </cell>
          <cell r="AG679" t="e">
            <v>#REF!</v>
          </cell>
          <cell r="AH679" t="e">
            <v>#REF!</v>
          </cell>
        </row>
        <row r="680">
          <cell r="B680">
            <v>2933</v>
          </cell>
          <cell r="C680">
            <v>44</v>
          </cell>
          <cell r="F680" t="str">
            <v>ЗАО "УПКРС"</v>
          </cell>
          <cell r="G680">
            <v>265</v>
          </cell>
          <cell r="H680" t="str">
            <v>ШГН</v>
          </cell>
          <cell r="I680" t="str">
            <v>бд</v>
          </cell>
          <cell r="J680">
            <v>36935</v>
          </cell>
          <cell r="K680">
            <v>10</v>
          </cell>
          <cell r="L680">
            <v>5.0999999999999996</v>
          </cell>
          <cell r="M680">
            <v>37</v>
          </cell>
          <cell r="N680">
            <v>10</v>
          </cell>
          <cell r="O680">
            <v>5</v>
          </cell>
          <cell r="P680">
            <v>38.5</v>
          </cell>
          <cell r="Q680">
            <v>10</v>
          </cell>
          <cell r="R680">
            <v>5</v>
          </cell>
          <cell r="S680">
            <v>38.299999999999997</v>
          </cell>
          <cell r="T680">
            <v>12</v>
          </cell>
          <cell r="U680" t="str">
            <v>ВЦ</v>
          </cell>
          <cell r="V680">
            <v>2</v>
          </cell>
          <cell r="W680" t="str">
            <v xml:space="preserve">ВЦ, Ликв.грифона </v>
          </cell>
          <cell r="Y680" t="str">
            <v>ОЦ 20.09.97</v>
          </cell>
        </row>
        <row r="681">
          <cell r="B681">
            <v>3002</v>
          </cell>
          <cell r="C681">
            <v>50</v>
          </cell>
          <cell r="H681" t="str">
            <v>ШГН</v>
          </cell>
          <cell r="I681" t="str">
            <v>конс.</v>
          </cell>
          <cell r="J681">
            <v>34514</v>
          </cell>
          <cell r="K681">
            <v>5</v>
          </cell>
          <cell r="L681">
            <v>0.5</v>
          </cell>
          <cell r="M681">
            <v>88</v>
          </cell>
          <cell r="N681">
            <v>5</v>
          </cell>
          <cell r="O681">
            <v>0.5</v>
          </cell>
          <cell r="P681">
            <v>88</v>
          </cell>
          <cell r="Q681">
            <v>5</v>
          </cell>
          <cell r="R681">
            <v>0.5</v>
          </cell>
          <cell r="S681">
            <v>87.7</v>
          </cell>
          <cell r="W681" t="str">
            <v>ВЦ, ПП, ОПЗ НТПН, ГДИ, сп.НН</v>
          </cell>
          <cell r="Y681">
            <v>0</v>
          </cell>
        </row>
        <row r="682">
          <cell r="B682">
            <v>3003</v>
          </cell>
          <cell r="C682">
            <v>50</v>
          </cell>
          <cell r="H682" t="str">
            <v>нагн</v>
          </cell>
          <cell r="I682" t="str">
            <v>конс.</v>
          </cell>
          <cell r="J682">
            <v>32903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e">
            <v>#DIV/0!</v>
          </cell>
          <cell r="U682" t="str">
            <v>ГРП</v>
          </cell>
          <cell r="W682" t="str">
            <v>ВЦ, ПП, ГРП (ОПЗ НТПН), ГДИ, сп.НН</v>
          </cell>
          <cell r="Y682" t="str">
            <v>ОЦ</v>
          </cell>
        </row>
        <row r="683">
          <cell r="B683">
            <v>3027</v>
          </cell>
          <cell r="C683">
            <v>52</v>
          </cell>
          <cell r="H683" t="str">
            <v>ШГН</v>
          </cell>
          <cell r="I683" t="str">
            <v>бд</v>
          </cell>
          <cell r="J683">
            <v>36971</v>
          </cell>
          <cell r="K683">
            <v>10</v>
          </cell>
          <cell r="L683">
            <v>2.2000000000000002</v>
          </cell>
          <cell r="M683">
            <v>73</v>
          </cell>
          <cell r="N683">
            <v>20</v>
          </cell>
          <cell r="O683">
            <v>6.5</v>
          </cell>
          <cell r="P683">
            <v>60</v>
          </cell>
          <cell r="Q683">
            <v>20</v>
          </cell>
          <cell r="R683">
            <v>6.5</v>
          </cell>
          <cell r="S683">
            <v>59.9</v>
          </cell>
          <cell r="W683" t="str">
            <v>ВЦ, ЛА, ПП, ОПЗ НТПН, УГИС</v>
          </cell>
          <cell r="Y683" t="str">
            <v>ОЦ</v>
          </cell>
        </row>
        <row r="684">
          <cell r="B684">
            <v>3073</v>
          </cell>
          <cell r="C684">
            <v>53</v>
          </cell>
          <cell r="H684" t="str">
            <v>ШГН</v>
          </cell>
          <cell r="I684" t="str">
            <v>бд</v>
          </cell>
          <cell r="J684">
            <v>36834</v>
          </cell>
          <cell r="K684">
            <v>3</v>
          </cell>
          <cell r="L684">
            <v>0.9</v>
          </cell>
          <cell r="M684">
            <v>65</v>
          </cell>
          <cell r="N684">
            <v>3</v>
          </cell>
          <cell r="O684">
            <v>0.9</v>
          </cell>
          <cell r="P684">
            <v>65</v>
          </cell>
          <cell r="Q684">
            <v>3</v>
          </cell>
          <cell r="R684">
            <v>0.9</v>
          </cell>
          <cell r="S684">
            <v>63</v>
          </cell>
          <cell r="W684" t="str">
            <v>ВЦ, ПП, ОПЗ НТПН, ГДИ, сп.НН</v>
          </cell>
          <cell r="Y684" t="str">
            <v>ЗБС с 22.11.95 по 21.04.96, ОЦ</v>
          </cell>
        </row>
        <row r="685">
          <cell r="B685">
            <v>3096</v>
          </cell>
          <cell r="C685">
            <v>53</v>
          </cell>
          <cell r="H685" t="str">
            <v>ШГН</v>
          </cell>
          <cell r="I685" t="str">
            <v>бд</v>
          </cell>
          <cell r="J685">
            <v>36246</v>
          </cell>
          <cell r="K685">
            <v>6</v>
          </cell>
          <cell r="L685">
            <v>3.3</v>
          </cell>
          <cell r="M685">
            <v>33</v>
          </cell>
          <cell r="N685">
            <v>6</v>
          </cell>
          <cell r="O685">
            <v>3.3</v>
          </cell>
          <cell r="P685">
            <v>33</v>
          </cell>
          <cell r="Q685">
            <v>6</v>
          </cell>
          <cell r="R685">
            <v>3.3</v>
          </cell>
          <cell r="S685">
            <v>32.1</v>
          </cell>
          <cell r="W685" t="str">
            <v>ВЦ, ПП, ОПЗ НТПН, ГДИ, сп.НН</v>
          </cell>
          <cell r="Y685" t="str">
            <v>ОЦ</v>
          </cell>
        </row>
        <row r="686">
          <cell r="B686">
            <v>3097</v>
          </cell>
          <cell r="C686">
            <v>53</v>
          </cell>
          <cell r="H686" t="str">
            <v>ШГН</v>
          </cell>
          <cell r="I686" t="str">
            <v>бд</v>
          </cell>
          <cell r="J686">
            <v>36244</v>
          </cell>
          <cell r="K686">
            <v>6</v>
          </cell>
          <cell r="L686">
            <v>3.6</v>
          </cell>
          <cell r="M686">
            <v>26</v>
          </cell>
          <cell r="N686">
            <v>6</v>
          </cell>
          <cell r="O686">
            <v>3.6</v>
          </cell>
          <cell r="P686">
            <v>26</v>
          </cell>
          <cell r="Q686">
            <v>6</v>
          </cell>
          <cell r="R686">
            <v>3.6</v>
          </cell>
          <cell r="S686">
            <v>25.9</v>
          </cell>
          <cell r="W686" t="str">
            <v>ВЦ, ПП, ОПЗ НТПН, ГДИ, сп.НН</v>
          </cell>
        </row>
        <row r="687">
          <cell r="B687">
            <v>3952</v>
          </cell>
          <cell r="C687">
            <v>308</v>
          </cell>
          <cell r="G687">
            <v>245</v>
          </cell>
          <cell r="H687" t="str">
            <v>нагнет.</v>
          </cell>
          <cell r="I687" t="str">
            <v>бд</v>
          </cell>
          <cell r="N687">
            <v>250</v>
          </cell>
          <cell r="Q687">
            <v>250</v>
          </cell>
          <cell r="R687">
            <v>0</v>
          </cell>
          <cell r="W687" t="str">
            <v>Спуск пакера, определение прием.ЮК11</v>
          </cell>
          <cell r="X687" t="str">
            <v>утилизация</v>
          </cell>
        </row>
        <row r="688">
          <cell r="B688">
            <v>3959</v>
          </cell>
          <cell r="C688">
            <v>198</v>
          </cell>
          <cell r="G688">
            <v>226</v>
          </cell>
          <cell r="H688" t="str">
            <v>нагнет.</v>
          </cell>
          <cell r="I688" t="str">
            <v>конс.</v>
          </cell>
          <cell r="N688">
            <v>250</v>
          </cell>
          <cell r="Q688">
            <v>250</v>
          </cell>
          <cell r="R688">
            <v>0</v>
          </cell>
          <cell r="W688" t="str">
            <v>Спуск пакера, определение прием.ЮК11</v>
          </cell>
          <cell r="X688" t="str">
            <v>утилизация</v>
          </cell>
          <cell r="Y688" t="str">
            <v>ВЦ УЭС 1500 12.97: непроход 368 м (печать не спускали)</v>
          </cell>
          <cell r="AF688">
            <v>27</v>
          </cell>
          <cell r="AG688">
            <v>-7</v>
          </cell>
          <cell r="AH688">
            <v>-210</v>
          </cell>
        </row>
        <row r="689">
          <cell r="B689">
            <v>4018</v>
          </cell>
          <cell r="C689">
            <v>314</v>
          </cell>
          <cell r="F689" t="str">
            <v>УПНПиКРС</v>
          </cell>
          <cell r="G689">
            <v>250</v>
          </cell>
          <cell r="H689" t="str">
            <v>Ф/ЭЦН</v>
          </cell>
          <cell r="I689" t="str">
            <v>конс.</v>
          </cell>
          <cell r="J689">
            <v>34335</v>
          </cell>
          <cell r="L689">
            <v>0</v>
          </cell>
          <cell r="N689">
            <v>30</v>
          </cell>
          <cell r="O689">
            <v>1</v>
          </cell>
          <cell r="P689">
            <v>96</v>
          </cell>
          <cell r="Q689">
            <v>30</v>
          </cell>
          <cell r="R689">
            <v>1</v>
          </cell>
          <cell r="S689">
            <v>95.9</v>
          </cell>
          <cell r="T689">
            <v>7</v>
          </cell>
          <cell r="U689" t="str">
            <v>ЛА</v>
          </cell>
          <cell r="W689" t="str">
            <v>ВЦ. ЛА. ГИС-2. УГИС</v>
          </cell>
          <cell r="X689" t="str">
            <v>УОПР-800</v>
          </cell>
          <cell r="Y689" t="str">
            <v>13.04.93 ОТСК (негерм.ЭК: 1078.4-1079.4)</v>
          </cell>
          <cell r="AF689">
            <v>31</v>
          </cell>
          <cell r="AG689">
            <v>-14</v>
          </cell>
          <cell r="AH689">
            <v>-350</v>
          </cell>
        </row>
        <row r="690">
          <cell r="B690">
            <v>4020</v>
          </cell>
          <cell r="C690">
            <v>314</v>
          </cell>
          <cell r="F690" t="str">
            <v>УПНПиКРС</v>
          </cell>
          <cell r="G690">
            <v>220</v>
          </cell>
          <cell r="H690" t="str">
            <v>фон</v>
          </cell>
          <cell r="I690" t="str">
            <v>конс.</v>
          </cell>
          <cell r="J690">
            <v>34486</v>
          </cell>
          <cell r="L690">
            <v>0</v>
          </cell>
          <cell r="N690">
            <v>50</v>
          </cell>
          <cell r="O690">
            <v>2</v>
          </cell>
          <cell r="P690">
            <v>95</v>
          </cell>
          <cell r="Q690">
            <v>50</v>
          </cell>
          <cell r="R690">
            <v>2</v>
          </cell>
          <cell r="S690">
            <v>95.1</v>
          </cell>
          <cell r="T690">
            <v>7</v>
          </cell>
          <cell r="U690" t="str">
            <v>ЛН</v>
          </cell>
          <cell r="W690" t="str">
            <v>РИР (негерм. ЭК -1078-79 м). ГИС-2. ИДН</v>
          </cell>
          <cell r="X690" t="str">
            <v>УОПР-800</v>
          </cell>
          <cell r="Y690" t="str">
            <v>УЭС 1500 (01.98) непроход на 103 м (печать не спускали). Обрыв проволоки с МГН-2)</v>
          </cell>
          <cell r="AF690">
            <v>31</v>
          </cell>
          <cell r="AG690">
            <v>-7</v>
          </cell>
          <cell r="AH690">
            <v>-140</v>
          </cell>
        </row>
        <row r="691">
          <cell r="B691">
            <v>4021</v>
          </cell>
          <cell r="C691">
            <v>314</v>
          </cell>
          <cell r="F691" t="str">
            <v>УПНПиКРС</v>
          </cell>
          <cell r="G691">
            <v>220</v>
          </cell>
          <cell r="H691" t="str">
            <v>фон</v>
          </cell>
          <cell r="I691" t="str">
            <v>конс.</v>
          </cell>
          <cell r="J691">
            <v>34425</v>
          </cell>
          <cell r="L691">
            <v>0</v>
          </cell>
          <cell r="N691">
            <v>20</v>
          </cell>
          <cell r="O691">
            <v>1</v>
          </cell>
          <cell r="P691">
            <v>94</v>
          </cell>
          <cell r="Q691">
            <v>20</v>
          </cell>
          <cell r="R691">
            <v>1</v>
          </cell>
          <cell r="S691">
            <v>93.8</v>
          </cell>
          <cell r="T691">
            <v>7</v>
          </cell>
          <cell r="U691" t="str">
            <v>ЛА</v>
          </cell>
          <cell r="W691" t="str">
            <v>ВЦ. ЛА. ГИС-2. РИР (ЗКЦ). УГИС</v>
          </cell>
          <cell r="X691" t="str">
            <v>УОПР-800</v>
          </cell>
          <cell r="AF691">
            <v>64</v>
          </cell>
          <cell r="AG691">
            <v>92</v>
          </cell>
          <cell r="AH691">
            <v>920</v>
          </cell>
        </row>
        <row r="692">
          <cell r="B692">
            <v>4122</v>
          </cell>
          <cell r="C692">
            <v>314</v>
          </cell>
          <cell r="F692" t="str">
            <v>УПНПиКРС</v>
          </cell>
          <cell r="G692">
            <v>250</v>
          </cell>
          <cell r="H692" t="str">
            <v>Ф/ЭЦН</v>
          </cell>
          <cell r="I692" t="str">
            <v>бд</v>
          </cell>
          <cell r="J692">
            <v>34485</v>
          </cell>
          <cell r="L692">
            <v>0</v>
          </cell>
          <cell r="N692">
            <v>20</v>
          </cell>
          <cell r="O692">
            <v>2</v>
          </cell>
          <cell r="P692">
            <v>88</v>
          </cell>
          <cell r="Q692">
            <v>20</v>
          </cell>
          <cell r="R692">
            <v>2</v>
          </cell>
          <cell r="S692">
            <v>87.7</v>
          </cell>
          <cell r="T692">
            <v>37242</v>
          </cell>
          <cell r="U692" t="str">
            <v>ОПЗ</v>
          </cell>
          <cell r="W692" t="str">
            <v>ГИС-2. ПП. УГИС</v>
          </cell>
          <cell r="X692" t="str">
            <v>УОПР-800</v>
          </cell>
          <cell r="Y692" t="str">
            <v>Полет ЭЦН и НКТ 31 шт.</v>
          </cell>
          <cell r="AF692">
            <v>38</v>
          </cell>
          <cell r="AG692">
            <v>-7</v>
          </cell>
          <cell r="AH692">
            <v>-140</v>
          </cell>
        </row>
        <row r="693">
          <cell r="B693">
            <v>4125</v>
          </cell>
          <cell r="C693">
            <v>315</v>
          </cell>
          <cell r="F693" t="str">
            <v>УПНПиКРС</v>
          </cell>
          <cell r="G693">
            <v>250</v>
          </cell>
          <cell r="H693" t="str">
            <v>Ф/ЭЦН</v>
          </cell>
          <cell r="I693" t="str">
            <v>бд</v>
          </cell>
          <cell r="J693">
            <v>33147</v>
          </cell>
          <cell r="L693">
            <v>0</v>
          </cell>
          <cell r="N693">
            <v>20</v>
          </cell>
          <cell r="O693">
            <v>1</v>
          </cell>
          <cell r="P693">
            <v>93.6</v>
          </cell>
          <cell r="Q693">
            <v>20</v>
          </cell>
          <cell r="R693">
            <v>1</v>
          </cell>
          <cell r="S693">
            <v>93.8</v>
          </cell>
          <cell r="T693">
            <v>7</v>
          </cell>
          <cell r="U693" t="str">
            <v>ОВП</v>
          </cell>
          <cell r="W693" t="str">
            <v>ЛА (Полет ЭЦН). ГИС-2. ИР</v>
          </cell>
          <cell r="X693" t="str">
            <v>ИР нижнего интервала?</v>
          </cell>
          <cell r="Y693" t="str">
            <v>Прихват ЭЦН</v>
          </cell>
          <cell r="AF693">
            <v>38</v>
          </cell>
          <cell r="AG693">
            <v>-7</v>
          </cell>
          <cell r="AH693">
            <v>-119</v>
          </cell>
        </row>
        <row r="694">
          <cell r="B694">
            <v>4127</v>
          </cell>
          <cell r="C694">
            <v>315</v>
          </cell>
          <cell r="F694" t="str">
            <v>УПНПиКРС</v>
          </cell>
          <cell r="G694">
            <v>245</v>
          </cell>
          <cell r="H694" t="str">
            <v>ЭЦН</v>
          </cell>
          <cell r="I694" t="str">
            <v>бд</v>
          </cell>
          <cell r="J694">
            <v>35432</v>
          </cell>
          <cell r="L694">
            <v>0</v>
          </cell>
          <cell r="N694">
            <v>17</v>
          </cell>
          <cell r="O694">
            <v>1</v>
          </cell>
          <cell r="P694">
            <v>93</v>
          </cell>
          <cell r="Q694">
            <v>17</v>
          </cell>
          <cell r="R694">
            <v>1</v>
          </cell>
          <cell r="S694">
            <v>92.7</v>
          </cell>
          <cell r="T694">
            <v>7</v>
          </cell>
          <cell r="U694" t="str">
            <v>ОВП</v>
          </cell>
          <cell r="W694" t="str">
            <v>ЛА (прихват ЭЦН). СИ. ПП. ГИС-2. ШГН</v>
          </cell>
          <cell r="X694" t="str">
            <v>СИ (ниже 2728). ПП 2720-24</v>
          </cell>
        </row>
        <row r="695">
          <cell r="B695">
            <v>4128</v>
          </cell>
          <cell r="C695">
            <v>315</v>
          </cell>
          <cell r="G695">
            <v>250</v>
          </cell>
          <cell r="H695" t="str">
            <v>ЭЦН</v>
          </cell>
          <cell r="I695" t="str">
            <v>действ.</v>
          </cell>
          <cell r="K695">
            <v>44</v>
          </cell>
          <cell r="L695">
            <v>0.9</v>
          </cell>
          <cell r="M695">
            <v>97.5</v>
          </cell>
          <cell r="N695">
            <v>60</v>
          </cell>
          <cell r="O695">
            <v>2.9</v>
          </cell>
          <cell r="P695">
            <v>94</v>
          </cell>
          <cell r="Q695">
            <v>16</v>
          </cell>
          <cell r="R695">
            <v>2</v>
          </cell>
          <cell r="W695" t="str">
            <v>ГИС-2. ОВП МЕТКА.</v>
          </cell>
          <cell r="X695" t="str">
            <v>ИХН АН</v>
          </cell>
        </row>
        <row r="696">
          <cell r="B696">
            <v>4155</v>
          </cell>
          <cell r="C696">
            <v>172</v>
          </cell>
          <cell r="G696">
            <v>250</v>
          </cell>
          <cell r="H696" t="str">
            <v>нагнет.</v>
          </cell>
          <cell r="I696" t="str">
            <v>конс.</v>
          </cell>
          <cell r="N696">
            <v>250</v>
          </cell>
          <cell r="Q696">
            <v>250</v>
          </cell>
          <cell r="R696">
            <v>0</v>
          </cell>
          <cell r="W696" t="str">
            <v>ОТСК, дострел ЮК11</v>
          </cell>
          <cell r="X696" t="str">
            <v>утилизация</v>
          </cell>
        </row>
        <row r="697">
          <cell r="B697">
            <v>4156</v>
          </cell>
          <cell r="C697">
            <v>172</v>
          </cell>
          <cell r="G697">
            <v>250</v>
          </cell>
          <cell r="H697" t="str">
            <v>нагнет.</v>
          </cell>
          <cell r="I697" t="str">
            <v>конс.</v>
          </cell>
          <cell r="Q697">
            <v>0</v>
          </cell>
          <cell r="W697" t="str">
            <v>ОТСК, дострел ЮК11</v>
          </cell>
          <cell r="Y697" t="str">
            <v>СИ 2810 и ниже</v>
          </cell>
          <cell r="AF697">
            <v>21</v>
          </cell>
          <cell r="AG697">
            <v>-37378</v>
          </cell>
          <cell r="AH697">
            <v>-1121340</v>
          </cell>
        </row>
        <row r="698">
          <cell r="B698">
            <v>4215</v>
          </cell>
          <cell r="C698" t="str">
            <v>314б</v>
          </cell>
          <cell r="G698">
            <v>255</v>
          </cell>
          <cell r="H698" t="str">
            <v>фон</v>
          </cell>
          <cell r="I698" t="str">
            <v>бд</v>
          </cell>
          <cell r="J698">
            <v>35716</v>
          </cell>
          <cell r="L698">
            <v>0</v>
          </cell>
          <cell r="N698">
            <v>30</v>
          </cell>
          <cell r="O698">
            <v>1</v>
          </cell>
          <cell r="P698">
            <v>95.8</v>
          </cell>
          <cell r="Q698">
            <v>30</v>
          </cell>
          <cell r="R698">
            <v>1</v>
          </cell>
          <cell r="S698">
            <v>95.9</v>
          </cell>
          <cell r="T698">
            <v>37378</v>
          </cell>
          <cell r="U698" t="str">
            <v>ОВП</v>
          </cell>
          <cell r="W698" t="str">
            <v>СИ 2810 и ниже</v>
          </cell>
          <cell r="X698" t="str">
            <v>УОПР-800</v>
          </cell>
          <cell r="AF698">
            <v>10</v>
          </cell>
          <cell r="AG698">
            <v>44</v>
          </cell>
          <cell r="AH698">
            <v>2200</v>
          </cell>
        </row>
        <row r="699">
          <cell r="B699">
            <v>4216</v>
          </cell>
          <cell r="C699" t="str">
            <v>314б</v>
          </cell>
          <cell r="G699">
            <v>255</v>
          </cell>
          <cell r="H699" t="str">
            <v>ЭЦН</v>
          </cell>
          <cell r="I699" t="str">
            <v>конс.</v>
          </cell>
          <cell r="J699">
            <v>35716</v>
          </cell>
          <cell r="L699">
            <v>0</v>
          </cell>
          <cell r="N699">
            <v>50</v>
          </cell>
          <cell r="O699">
            <v>1</v>
          </cell>
          <cell r="P699">
            <v>97.6</v>
          </cell>
          <cell r="Q699">
            <v>50</v>
          </cell>
          <cell r="R699">
            <v>1</v>
          </cell>
          <cell r="S699">
            <v>97.5</v>
          </cell>
          <cell r="T699">
            <v>37213</v>
          </cell>
          <cell r="U699" t="str">
            <v>бдк</v>
          </cell>
          <cell r="W699" t="str">
            <v>ГИС-2</v>
          </cell>
          <cell r="X699" t="str">
            <v>УОПР-800</v>
          </cell>
          <cell r="AF699">
            <v>9</v>
          </cell>
          <cell r="AG699">
            <v>58</v>
          </cell>
          <cell r="AH699">
            <v>3480</v>
          </cell>
        </row>
        <row r="700">
          <cell r="B700">
            <v>4217</v>
          </cell>
          <cell r="C700" t="str">
            <v>314б</v>
          </cell>
          <cell r="G700">
            <v>255</v>
          </cell>
          <cell r="H700" t="str">
            <v>ЭЦН</v>
          </cell>
          <cell r="I700" t="str">
            <v>конс.</v>
          </cell>
          <cell r="J700">
            <v>34304</v>
          </cell>
          <cell r="L700">
            <v>0</v>
          </cell>
          <cell r="N700">
            <v>60</v>
          </cell>
          <cell r="O700">
            <v>1</v>
          </cell>
          <cell r="P700">
            <v>97.892720306513411</v>
          </cell>
          <cell r="Q700">
            <v>60</v>
          </cell>
          <cell r="R700">
            <v>1</v>
          </cell>
          <cell r="S700">
            <v>97.9</v>
          </cell>
          <cell r="T700">
            <v>37230</v>
          </cell>
          <cell r="U700" t="str">
            <v>бдк</v>
          </cell>
          <cell r="W700" t="str">
            <v>УГИС. ЭЦН</v>
          </cell>
          <cell r="X700" t="str">
            <v>УОПР-800</v>
          </cell>
          <cell r="AF700">
            <v>21</v>
          </cell>
          <cell r="AG700">
            <v>-37356</v>
          </cell>
          <cell r="AH700">
            <v>-1867800</v>
          </cell>
        </row>
        <row r="701">
          <cell r="B701">
            <v>4218</v>
          </cell>
          <cell r="C701" t="str">
            <v>314б</v>
          </cell>
          <cell r="G701">
            <v>255</v>
          </cell>
          <cell r="H701" t="str">
            <v>ЭЦН</v>
          </cell>
          <cell r="I701" t="str">
            <v>конс.</v>
          </cell>
          <cell r="J701">
            <v>35716</v>
          </cell>
          <cell r="L701">
            <v>0</v>
          </cell>
          <cell r="N701">
            <v>50</v>
          </cell>
          <cell r="O701">
            <v>1</v>
          </cell>
          <cell r="P701">
            <v>97.47126436781609</v>
          </cell>
          <cell r="Q701">
            <v>50</v>
          </cell>
          <cell r="R701">
            <v>1</v>
          </cell>
          <cell r="S701">
            <v>97.5</v>
          </cell>
          <cell r="T701">
            <v>37356</v>
          </cell>
          <cell r="U701" t="str">
            <v>бдк</v>
          </cell>
          <cell r="W701" t="str">
            <v>ГДИ ЦНИПР. УГИС</v>
          </cell>
          <cell r="X701" t="str">
            <v>УОПР-800</v>
          </cell>
          <cell r="Y701" t="str">
            <v>На забое ЭЦН</v>
          </cell>
          <cell r="AF701">
            <v>32</v>
          </cell>
          <cell r="AG701">
            <v>-55926</v>
          </cell>
          <cell r="AH701">
            <v>-559260</v>
          </cell>
        </row>
        <row r="702">
          <cell r="B702">
            <v>4266</v>
          </cell>
          <cell r="C702">
            <v>219</v>
          </cell>
          <cell r="G702">
            <v>255</v>
          </cell>
          <cell r="H702" t="str">
            <v>ЭЦН</v>
          </cell>
          <cell r="I702" t="str">
            <v>бд</v>
          </cell>
          <cell r="J702">
            <v>35158</v>
          </cell>
          <cell r="L702">
            <v>0</v>
          </cell>
          <cell r="N702">
            <v>15</v>
          </cell>
          <cell r="O702">
            <v>1.5</v>
          </cell>
          <cell r="P702">
            <v>88</v>
          </cell>
          <cell r="Q702">
            <v>15</v>
          </cell>
          <cell r="R702">
            <v>1.5</v>
          </cell>
          <cell r="S702">
            <v>87.7</v>
          </cell>
          <cell r="T702">
            <v>37284</v>
          </cell>
          <cell r="U702" t="str">
            <v>ЛА</v>
          </cell>
          <cell r="W702" t="str">
            <v>ВЦ. ЛА (на забое ЭЦН). СИ низа. ПП. ОПЗ</v>
          </cell>
          <cell r="X702" t="str">
            <v>Освоение УГИС. УОПР-800</v>
          </cell>
          <cell r="Y702" t="str">
            <v>Предпол. отсутствие забоя 2752 м</v>
          </cell>
          <cell r="AF702">
            <v>21</v>
          </cell>
          <cell r="AG702">
            <v>-56001</v>
          </cell>
          <cell r="AH702">
            <v>-1493360</v>
          </cell>
        </row>
        <row r="703">
          <cell r="B703">
            <v>4268</v>
          </cell>
          <cell r="C703">
            <v>219</v>
          </cell>
          <cell r="G703">
            <v>250</v>
          </cell>
          <cell r="H703" t="str">
            <v>Ф/ЭЦН</v>
          </cell>
          <cell r="I703" t="str">
            <v>конс.</v>
          </cell>
          <cell r="J703">
            <v>35596</v>
          </cell>
          <cell r="L703">
            <v>0</v>
          </cell>
          <cell r="N703">
            <v>40</v>
          </cell>
          <cell r="O703">
            <v>1.5</v>
          </cell>
          <cell r="P703">
            <v>95.3</v>
          </cell>
          <cell r="Q703">
            <v>40</v>
          </cell>
          <cell r="R703">
            <v>1.5</v>
          </cell>
          <cell r="S703">
            <v>95.4</v>
          </cell>
          <cell r="T703">
            <v>37334</v>
          </cell>
          <cell r="U703" t="str">
            <v>ОВП</v>
          </cell>
          <cell r="W703" t="str">
            <v>ВЗ. СИ низа. ПП 2743-48, УГИС, ГИС-2</v>
          </cell>
          <cell r="X703" t="str">
            <v>УОПР-800</v>
          </cell>
          <cell r="Y703" t="str">
            <v>предпол. о смещении ЭК</v>
          </cell>
          <cell r="AF703">
            <v>27</v>
          </cell>
          <cell r="AG703">
            <v>-37312</v>
          </cell>
          <cell r="AH703">
            <v>-746240</v>
          </cell>
        </row>
        <row r="704">
          <cell r="B704">
            <v>4319</v>
          </cell>
          <cell r="C704">
            <v>219</v>
          </cell>
          <cell r="G704">
            <v>255</v>
          </cell>
          <cell r="H704" t="str">
            <v>ЭЦН</v>
          </cell>
          <cell r="I704" t="str">
            <v>бд</v>
          </cell>
          <cell r="J704">
            <v>34850</v>
          </cell>
          <cell r="L704">
            <v>0</v>
          </cell>
          <cell r="N704">
            <v>20</v>
          </cell>
          <cell r="O704">
            <v>1</v>
          </cell>
          <cell r="P704">
            <v>94</v>
          </cell>
          <cell r="Q704">
            <v>20</v>
          </cell>
          <cell r="R704">
            <v>1</v>
          </cell>
          <cell r="S704">
            <v>93.8</v>
          </cell>
          <cell r="T704">
            <v>37312</v>
          </cell>
          <cell r="U704" t="str">
            <v>ОВП</v>
          </cell>
          <cell r="W704" t="str">
            <v>ГИС-2. СИ. ПП ДН. ГДИ</v>
          </cell>
          <cell r="X704" t="str">
            <v>УОПР-800</v>
          </cell>
          <cell r="AF704">
            <v>27</v>
          </cell>
          <cell r="AG704">
            <v>-55877</v>
          </cell>
          <cell r="AH704">
            <v>-1117530</v>
          </cell>
        </row>
        <row r="705">
          <cell r="B705">
            <v>4321</v>
          </cell>
          <cell r="C705">
            <v>219</v>
          </cell>
          <cell r="G705">
            <v>240</v>
          </cell>
          <cell r="H705" t="str">
            <v>ЭЦН</v>
          </cell>
          <cell r="I705" t="str">
            <v>конс.</v>
          </cell>
          <cell r="J705">
            <v>33970</v>
          </cell>
          <cell r="L705">
            <v>0</v>
          </cell>
          <cell r="N705">
            <v>30</v>
          </cell>
          <cell r="O705">
            <v>1.5</v>
          </cell>
          <cell r="P705">
            <v>93.8</v>
          </cell>
          <cell r="Q705">
            <v>30</v>
          </cell>
          <cell r="R705">
            <v>1.5</v>
          </cell>
          <cell r="S705">
            <v>93.8</v>
          </cell>
          <cell r="T705">
            <v>37251</v>
          </cell>
          <cell r="U705" t="str">
            <v>ОВП</v>
          </cell>
          <cell r="W705" t="str">
            <v>ВЦ. СИ 2676 и ниже, УГИС</v>
          </cell>
          <cell r="X705" t="str">
            <v>УОПР-800</v>
          </cell>
        </row>
        <row r="706">
          <cell r="B706">
            <v>4323</v>
          </cell>
          <cell r="C706">
            <v>218</v>
          </cell>
          <cell r="G706">
            <v>250</v>
          </cell>
          <cell r="H706" t="str">
            <v>ЭЦН</v>
          </cell>
          <cell r="I706" t="str">
            <v>бд</v>
          </cell>
          <cell r="K706">
            <v>49</v>
          </cell>
          <cell r="L706">
            <v>2</v>
          </cell>
          <cell r="M706">
            <v>95</v>
          </cell>
          <cell r="N706">
            <v>49</v>
          </cell>
          <cell r="O706">
            <v>2</v>
          </cell>
          <cell r="P706">
            <v>95</v>
          </cell>
          <cell r="Q706">
            <v>49</v>
          </cell>
          <cell r="R706">
            <v>2</v>
          </cell>
          <cell r="S706">
            <v>95</v>
          </cell>
          <cell r="T706">
            <v>38027</v>
          </cell>
          <cell r="U706" t="str">
            <v>БДП</v>
          </cell>
          <cell r="W706" t="str">
            <v>Смена Э-50</v>
          </cell>
          <cell r="X706" t="str">
            <v>ИХН АН</v>
          </cell>
        </row>
        <row r="707">
          <cell r="B707">
            <v>5218</v>
          </cell>
          <cell r="C707">
            <v>134</v>
          </cell>
          <cell r="F707" t="str">
            <v>УПНПиКРС</v>
          </cell>
          <cell r="G707">
            <v>245</v>
          </cell>
          <cell r="H707" t="str">
            <v>ШГН</v>
          </cell>
          <cell r="I707" t="str">
            <v>конс.</v>
          </cell>
          <cell r="K707">
            <v>21</v>
          </cell>
          <cell r="L707">
            <v>0.9</v>
          </cell>
          <cell r="M707">
            <v>95</v>
          </cell>
          <cell r="N707">
            <v>20</v>
          </cell>
          <cell r="O707">
            <v>3</v>
          </cell>
          <cell r="P707">
            <v>81.5</v>
          </cell>
          <cell r="Q707">
            <v>20</v>
          </cell>
          <cell r="R707">
            <v>3</v>
          </cell>
          <cell r="S707">
            <v>81.5</v>
          </cell>
          <cell r="U707" t="str">
            <v>ОПЗ</v>
          </cell>
          <cell r="W707" t="str">
            <v>ВЦ. ГИС-2. ИДН</v>
          </cell>
          <cell r="X707" t="str">
            <v>Возм.перевод на выш.пласт</v>
          </cell>
          <cell r="Y707" t="str">
            <v>+30</v>
          </cell>
          <cell r="Z707">
            <v>2930</v>
          </cell>
          <cell r="AA707">
            <v>73</v>
          </cell>
          <cell r="AB707" t="str">
            <v>06/98</v>
          </cell>
          <cell r="AF707">
            <v>18</v>
          </cell>
        </row>
        <row r="708">
          <cell r="B708">
            <v>5234</v>
          </cell>
          <cell r="C708">
            <v>140</v>
          </cell>
          <cell r="F708" t="str">
            <v>УПНПиКРС</v>
          </cell>
          <cell r="G708">
            <v>290</v>
          </cell>
          <cell r="H708" t="str">
            <v>нагнет.</v>
          </cell>
          <cell r="I708" t="str">
            <v>действ.</v>
          </cell>
          <cell r="K708">
            <v>340</v>
          </cell>
          <cell r="N708">
            <v>250</v>
          </cell>
          <cell r="Q708">
            <v>250</v>
          </cell>
          <cell r="R708">
            <v>0</v>
          </cell>
          <cell r="U708" t="str">
            <v>ВВП</v>
          </cell>
          <cell r="W708" t="str">
            <v>ГИС-3. ВПП ГАЛКА. ГИС-3</v>
          </cell>
          <cell r="X708" t="str">
            <v>крайний срок - 20 октября</v>
          </cell>
        </row>
        <row r="709">
          <cell r="B709">
            <v>5240</v>
          </cell>
          <cell r="C709">
            <v>134</v>
          </cell>
          <cell r="F709" t="str">
            <v>УПНПиКРС</v>
          </cell>
          <cell r="G709">
            <v>255</v>
          </cell>
          <cell r="H709" t="str">
            <v>ЭЦН</v>
          </cell>
          <cell r="I709" t="str">
            <v>конс.</v>
          </cell>
          <cell r="K709">
            <v>69</v>
          </cell>
          <cell r="L709">
            <v>1.7</v>
          </cell>
          <cell r="M709">
            <v>97</v>
          </cell>
          <cell r="N709">
            <v>80</v>
          </cell>
          <cell r="O709">
            <v>3.1</v>
          </cell>
          <cell r="P709">
            <v>95.3</v>
          </cell>
          <cell r="Q709">
            <v>80</v>
          </cell>
          <cell r="R709">
            <v>3.1</v>
          </cell>
          <cell r="S709">
            <v>95.2</v>
          </cell>
          <cell r="U709" t="str">
            <v>ВЦ</v>
          </cell>
          <cell r="W709" t="str">
            <v>ВЦ. ГИС-2. Спуск ЭЦН</v>
          </cell>
          <cell r="X709" t="str">
            <v>Электропрогрев выполнен (лом -620)</v>
          </cell>
        </row>
        <row r="710">
          <cell r="B710">
            <v>5241</v>
          </cell>
          <cell r="C710">
            <v>134</v>
          </cell>
          <cell r="F710" t="str">
            <v>УПНПиКРС</v>
          </cell>
          <cell r="G710">
            <v>255</v>
          </cell>
          <cell r="H710" t="str">
            <v>ЭЦН</v>
          </cell>
          <cell r="I710" t="str">
            <v>конс.</v>
          </cell>
          <cell r="K710">
            <v>41</v>
          </cell>
          <cell r="L710">
            <v>1.7</v>
          </cell>
          <cell r="M710">
            <v>95</v>
          </cell>
          <cell r="N710">
            <v>50</v>
          </cell>
          <cell r="O710">
            <v>4</v>
          </cell>
          <cell r="P710">
            <v>90.2</v>
          </cell>
          <cell r="Q710">
            <v>50</v>
          </cell>
          <cell r="R710">
            <v>4</v>
          </cell>
          <cell r="S710">
            <v>90.1</v>
          </cell>
          <cell r="U710" t="str">
            <v>ВЦ</v>
          </cell>
          <cell r="W710" t="str">
            <v>ВЦ. ГИС-2. Спуск ЭЦН</v>
          </cell>
          <cell r="X710" t="str">
            <v>ЭП выполнен, ЭЦН с КРБК на забое</v>
          </cell>
          <cell r="Y710" t="str">
            <v>Хвостовик на забое. Предположительно сужение колонны.</v>
          </cell>
          <cell r="Z710">
            <v>2362</v>
          </cell>
        </row>
        <row r="711">
          <cell r="B711">
            <v>5287</v>
          </cell>
          <cell r="C711">
            <v>141</v>
          </cell>
          <cell r="F711" t="str">
            <v>УПНПиКРС</v>
          </cell>
          <cell r="G711">
            <v>270</v>
          </cell>
          <cell r="H711" t="str">
            <v>ЭЦН</v>
          </cell>
          <cell r="I711" t="str">
            <v>бд</v>
          </cell>
          <cell r="N711">
            <v>50</v>
          </cell>
          <cell r="O711">
            <v>20.399999999999999</v>
          </cell>
          <cell r="P711">
            <v>50</v>
          </cell>
          <cell r="Q711">
            <v>50</v>
          </cell>
          <cell r="R711">
            <v>20.399999999999999</v>
          </cell>
          <cell r="S711">
            <v>49.6</v>
          </cell>
          <cell r="U711" t="str">
            <v>збс</v>
          </cell>
          <cell r="W711" t="str">
            <v>ПР ЗБС,ЗБС</v>
          </cell>
          <cell r="Y711" t="str">
            <v xml:space="preserve">Полет 112 НКТ+хв.60м </v>
          </cell>
          <cell r="AA711">
            <v>73</v>
          </cell>
          <cell r="AB711" t="str">
            <v>июн 93</v>
          </cell>
        </row>
        <row r="712">
          <cell r="B712">
            <v>5289</v>
          </cell>
          <cell r="C712">
            <v>133</v>
          </cell>
          <cell r="F712" t="str">
            <v>УПНПиКРС</v>
          </cell>
          <cell r="G712">
            <v>245</v>
          </cell>
          <cell r="H712" t="str">
            <v>ШГН</v>
          </cell>
          <cell r="I712" t="str">
            <v>конс.</v>
          </cell>
          <cell r="K712">
            <v>2</v>
          </cell>
          <cell r="L712">
            <v>1.6</v>
          </cell>
          <cell r="M712">
            <v>0</v>
          </cell>
          <cell r="N712">
            <v>10</v>
          </cell>
          <cell r="O712">
            <v>5.0999999999999996</v>
          </cell>
          <cell r="P712">
            <v>38</v>
          </cell>
          <cell r="Q712">
            <v>10</v>
          </cell>
          <cell r="R712">
            <v>5.0999999999999996</v>
          </cell>
          <cell r="S712">
            <v>37</v>
          </cell>
          <cell r="U712" t="str">
            <v>ЛА</v>
          </cell>
          <cell r="W712" t="str">
            <v>ЛА. ГИС-2. ПП. УГИС. (Либо, возврат ЮК-2-9)</v>
          </cell>
          <cell r="X712" t="str">
            <v>Извлечение НКТ</v>
          </cell>
        </row>
        <row r="713">
          <cell r="B713">
            <v>5291</v>
          </cell>
          <cell r="C713">
            <v>134</v>
          </cell>
          <cell r="F713" t="str">
            <v>УПНПиКРС</v>
          </cell>
          <cell r="G713">
            <v>220</v>
          </cell>
          <cell r="H713" t="str">
            <v>ЭЦН</v>
          </cell>
          <cell r="I713" t="str">
            <v>действ.</v>
          </cell>
          <cell r="K713">
            <v>15</v>
          </cell>
          <cell r="L713">
            <v>9.3000000000000007</v>
          </cell>
          <cell r="M713">
            <v>24</v>
          </cell>
          <cell r="N713">
            <v>15</v>
          </cell>
          <cell r="O713">
            <v>9.3000000000000007</v>
          </cell>
          <cell r="P713">
            <v>24</v>
          </cell>
          <cell r="Q713">
            <v>0</v>
          </cell>
          <cell r="R713">
            <v>0</v>
          </cell>
          <cell r="S713" t="e">
            <v>#DIV/0!</v>
          </cell>
          <cell r="U713" t="str">
            <v>ЛА</v>
          </cell>
          <cell r="W713" t="str">
            <v>ЛА.сп. НН-44</v>
          </cell>
        </row>
        <row r="714">
          <cell r="B714">
            <v>5292</v>
          </cell>
          <cell r="C714">
            <v>134</v>
          </cell>
          <cell r="F714" t="str">
            <v>УПНПиКРС</v>
          </cell>
          <cell r="G714">
            <v>270</v>
          </cell>
          <cell r="H714" t="str">
            <v>ЭЦН</v>
          </cell>
          <cell r="I714" t="str">
            <v>действ.</v>
          </cell>
          <cell r="K714">
            <v>155</v>
          </cell>
          <cell r="L714">
            <v>3.8</v>
          </cell>
          <cell r="M714">
            <v>97</v>
          </cell>
          <cell r="N714">
            <v>155</v>
          </cell>
          <cell r="O714">
            <v>7.6</v>
          </cell>
          <cell r="P714">
            <v>94</v>
          </cell>
          <cell r="Q714">
            <v>0</v>
          </cell>
          <cell r="R714">
            <v>3.8</v>
          </cell>
          <cell r="U714" t="str">
            <v>ОВП</v>
          </cell>
          <cell r="W714" t="str">
            <v>ГИС-2. ОВП (ЭМКО)</v>
          </cell>
          <cell r="X714" t="str">
            <v>ПермНИПИ</v>
          </cell>
        </row>
        <row r="715">
          <cell r="B715">
            <v>5293</v>
          </cell>
          <cell r="C715">
            <v>134</v>
          </cell>
          <cell r="F715" t="str">
            <v>УПНПиКРС</v>
          </cell>
          <cell r="G715">
            <v>270</v>
          </cell>
          <cell r="H715" t="str">
            <v>ЭЦН</v>
          </cell>
          <cell r="I715" t="str">
            <v>конс.</v>
          </cell>
          <cell r="K715">
            <v>53</v>
          </cell>
          <cell r="L715">
            <v>0.9</v>
          </cell>
          <cell r="M715">
            <v>98</v>
          </cell>
          <cell r="N715">
            <v>50</v>
          </cell>
          <cell r="O715">
            <v>3.1</v>
          </cell>
          <cell r="P715">
            <v>92.5</v>
          </cell>
          <cell r="Q715">
            <v>50</v>
          </cell>
          <cell r="R715">
            <v>3.1</v>
          </cell>
          <cell r="S715">
            <v>92.3</v>
          </cell>
          <cell r="U715" t="str">
            <v>ОВП</v>
          </cell>
          <cell r="W715" t="str">
            <v>ВЦ. ГИС-2. ОВП (МЕТКА). ГИС-2</v>
          </cell>
          <cell r="X715" t="str">
            <v>Электропрогрев выполнен</v>
          </cell>
          <cell r="Y715" t="str">
            <v>+17</v>
          </cell>
          <cell r="Z715">
            <v>2905</v>
          </cell>
          <cell r="AA715">
            <v>73</v>
          </cell>
          <cell r="AB715">
            <v>34973</v>
          </cell>
          <cell r="AF715">
            <v>39</v>
          </cell>
          <cell r="AG715">
            <v>-923849</v>
          </cell>
          <cell r="AH715">
            <v>-2798382</v>
          </cell>
        </row>
        <row r="716">
          <cell r="B716">
            <v>5313</v>
          </cell>
          <cell r="C716">
            <v>141</v>
          </cell>
          <cell r="F716" t="str">
            <v>УПНПиКРС</v>
          </cell>
          <cell r="G716">
            <v>270</v>
          </cell>
          <cell r="H716" t="str">
            <v>ЭЦН</v>
          </cell>
          <cell r="I716" t="str">
            <v>бд</v>
          </cell>
          <cell r="N716">
            <v>50</v>
          </cell>
          <cell r="O716">
            <v>20.399999999999999</v>
          </cell>
          <cell r="P716">
            <v>50</v>
          </cell>
          <cell r="Q716">
            <v>50</v>
          </cell>
          <cell r="R716">
            <v>20.399999999999999</v>
          </cell>
          <cell r="S716">
            <v>49.6</v>
          </cell>
          <cell r="U716" t="str">
            <v>збс</v>
          </cell>
          <cell r="W716" t="str">
            <v>ПР ЗБС,ЗБС</v>
          </cell>
        </row>
        <row r="717">
          <cell r="B717">
            <v>5318</v>
          </cell>
          <cell r="C717">
            <v>134</v>
          </cell>
          <cell r="G717">
            <v>232.4</v>
          </cell>
          <cell r="H717" t="str">
            <v>нагнет.</v>
          </cell>
          <cell r="I717" t="str">
            <v>бд</v>
          </cell>
          <cell r="N717">
            <v>300</v>
          </cell>
          <cell r="Q717">
            <v>300</v>
          </cell>
          <cell r="R717">
            <v>0</v>
          </cell>
          <cell r="U717" t="str">
            <v>нг</v>
          </cell>
          <cell r="W717" t="str">
            <v>Спуск и привязка пакера, Запуск в ППД</v>
          </cell>
          <cell r="X717" t="str">
            <v>Уменьшить штуцер через 3 мес.</v>
          </cell>
        </row>
        <row r="718">
          <cell r="B718">
            <v>5331</v>
          </cell>
          <cell r="C718">
            <v>139</v>
          </cell>
          <cell r="H718" t="str">
            <v>ШГН</v>
          </cell>
          <cell r="I718" t="str">
            <v>действ.</v>
          </cell>
          <cell r="K718">
            <v>13</v>
          </cell>
          <cell r="L718">
            <v>9.9</v>
          </cell>
          <cell r="M718">
            <v>7</v>
          </cell>
          <cell r="N718">
            <v>30</v>
          </cell>
          <cell r="O718">
            <v>19</v>
          </cell>
          <cell r="P718">
            <v>22.2</v>
          </cell>
          <cell r="Q718">
            <v>17</v>
          </cell>
          <cell r="R718">
            <v>9.1</v>
          </cell>
          <cell r="S718">
            <v>33.9</v>
          </cell>
          <cell r="U718" t="str">
            <v>ГРП</v>
          </cell>
          <cell r="W718" t="str">
            <v>ГРП</v>
          </cell>
        </row>
        <row r="719">
          <cell r="B719">
            <v>5362</v>
          </cell>
          <cell r="C719">
            <v>109</v>
          </cell>
          <cell r="F719" t="str">
            <v>УПНПиКРС</v>
          </cell>
          <cell r="G719">
            <v>275</v>
          </cell>
          <cell r="H719" t="str">
            <v>ШГН</v>
          </cell>
          <cell r="I719" t="str">
            <v>конс.</v>
          </cell>
          <cell r="K719">
            <v>9</v>
          </cell>
          <cell r="L719">
            <v>0.3</v>
          </cell>
          <cell r="M719">
            <v>96</v>
          </cell>
          <cell r="N719">
            <v>30</v>
          </cell>
          <cell r="O719">
            <v>5</v>
          </cell>
          <cell r="P719">
            <v>79.5</v>
          </cell>
          <cell r="Q719">
            <v>30</v>
          </cell>
          <cell r="R719">
            <v>5</v>
          </cell>
          <cell r="S719">
            <v>79.400000000000006</v>
          </cell>
          <cell r="T719">
            <v>37837</v>
          </cell>
          <cell r="U719" t="str">
            <v>ОВП</v>
          </cell>
          <cell r="W719" t="str">
            <v>ИРЮК11. ГИС-2. ПП (УГИС)</v>
          </cell>
          <cell r="AF719">
            <v>24</v>
          </cell>
          <cell r="AG719">
            <v>-918620</v>
          </cell>
          <cell r="AH719">
            <v>-3049360</v>
          </cell>
        </row>
        <row r="720">
          <cell r="B720">
            <v>5371</v>
          </cell>
          <cell r="C720">
            <v>102</v>
          </cell>
          <cell r="F720" t="str">
            <v>ЗАО "УПКРС"</v>
          </cell>
          <cell r="G720">
            <v>250</v>
          </cell>
          <cell r="H720" t="str">
            <v>нагнет.</v>
          </cell>
          <cell r="I720" t="str">
            <v>бд</v>
          </cell>
          <cell r="J720">
            <v>35779</v>
          </cell>
          <cell r="N720">
            <v>120</v>
          </cell>
          <cell r="Q720">
            <v>120</v>
          </cell>
          <cell r="R720">
            <v>0</v>
          </cell>
          <cell r="T720">
            <v>38113</v>
          </cell>
          <cell r="U720" t="str">
            <v>нг</v>
          </cell>
          <cell r="V720">
            <v>4</v>
          </cell>
          <cell r="W720" t="str">
            <v>ОТСК. Запуск ППД</v>
          </cell>
          <cell r="Y720" t="str">
            <v>Полет НКТ</v>
          </cell>
          <cell r="Z720">
            <v>120</v>
          </cell>
          <cell r="AF720">
            <v>26</v>
          </cell>
          <cell r="AG720">
            <v>0</v>
          </cell>
          <cell r="AH720">
            <v>-960</v>
          </cell>
        </row>
        <row r="721">
          <cell r="B721">
            <v>5372</v>
          </cell>
          <cell r="C721">
            <v>102</v>
          </cell>
          <cell r="F721" t="str">
            <v>ЗАО "УПКРС"</v>
          </cell>
          <cell r="G721">
            <v>250</v>
          </cell>
          <cell r="H721" t="str">
            <v>нагнет.</v>
          </cell>
          <cell r="I721" t="str">
            <v>конс.</v>
          </cell>
          <cell r="J721">
            <v>32843</v>
          </cell>
          <cell r="N721">
            <v>120</v>
          </cell>
          <cell r="Q721">
            <v>120</v>
          </cell>
          <cell r="R721">
            <v>0</v>
          </cell>
          <cell r="T721">
            <v>8</v>
          </cell>
          <cell r="U721" t="str">
            <v>нг</v>
          </cell>
          <cell r="W721" t="str">
            <v>ЛА (извлечение НКТ). ОТСК. Запуск ППД</v>
          </cell>
          <cell r="X721" t="str">
            <v>Забой - 120 м</v>
          </cell>
          <cell r="Y721" t="str">
            <v>зумпф-1м (нижн. интерв.изолир.)</v>
          </cell>
          <cell r="Z721">
            <v>2733.6</v>
          </cell>
          <cell r="AA721">
            <v>73</v>
          </cell>
          <cell r="AB721">
            <v>39541</v>
          </cell>
          <cell r="AC721">
            <v>223.1</v>
          </cell>
          <cell r="AF721">
            <v>36</v>
          </cell>
          <cell r="AG721">
            <v>0</v>
          </cell>
          <cell r="AH721">
            <v>-360</v>
          </cell>
        </row>
        <row r="722">
          <cell r="B722">
            <v>5373</v>
          </cell>
          <cell r="C722">
            <v>103</v>
          </cell>
          <cell r="F722" t="str">
            <v>ЗАО "УПКРС"</v>
          </cell>
          <cell r="G722">
            <v>233</v>
          </cell>
          <cell r="H722" t="str">
            <v>нагнет.</v>
          </cell>
          <cell r="I722" t="str">
            <v>конс.</v>
          </cell>
          <cell r="J722">
            <v>34474</v>
          </cell>
          <cell r="N722">
            <v>120</v>
          </cell>
          <cell r="Q722">
            <v>120</v>
          </cell>
          <cell r="R722">
            <v>0</v>
          </cell>
          <cell r="T722">
            <v>3</v>
          </cell>
          <cell r="U722" t="str">
            <v>нг</v>
          </cell>
          <cell r="W722" t="str">
            <v>ОТСК. ГИС-3. Ликвидация ЗКЦ?</v>
          </cell>
          <cell r="Y722" t="str">
            <v>+19</v>
          </cell>
          <cell r="Z722">
            <v>2767</v>
          </cell>
          <cell r="AC722">
            <v>224.5</v>
          </cell>
          <cell r="AF722">
            <v>35</v>
          </cell>
          <cell r="AG722">
            <v>0</v>
          </cell>
          <cell r="AH722">
            <v>-360</v>
          </cell>
        </row>
        <row r="723">
          <cell r="B723">
            <v>5374</v>
          </cell>
          <cell r="C723">
            <v>103</v>
          </cell>
          <cell r="F723" t="str">
            <v>ЗАО "УПКРС"</v>
          </cell>
          <cell r="G723">
            <v>234</v>
          </cell>
          <cell r="H723" t="str">
            <v>нагнет.</v>
          </cell>
          <cell r="I723" t="str">
            <v>бд</v>
          </cell>
          <cell r="J723">
            <v>34474</v>
          </cell>
          <cell r="N723">
            <v>120</v>
          </cell>
          <cell r="Q723">
            <v>120</v>
          </cell>
          <cell r="R723">
            <v>0</v>
          </cell>
          <cell r="T723">
            <v>3</v>
          </cell>
          <cell r="U723" t="str">
            <v>нг</v>
          </cell>
          <cell r="W723" t="str">
            <v>ВЗ. ОТСК</v>
          </cell>
          <cell r="AF723">
            <v>11</v>
          </cell>
          <cell r="AG723">
            <v>0</v>
          </cell>
          <cell r="AH723">
            <v>-3800600</v>
          </cell>
        </row>
        <row r="724">
          <cell r="B724">
            <v>5389</v>
          </cell>
          <cell r="C724">
            <v>109</v>
          </cell>
          <cell r="F724" t="str">
            <v>УПНПиКРС</v>
          </cell>
          <cell r="G724">
            <v>280</v>
          </cell>
          <cell r="H724" t="str">
            <v>нагнет.</v>
          </cell>
          <cell r="I724" t="str">
            <v>бд</v>
          </cell>
          <cell r="J724">
            <v>36458</v>
          </cell>
          <cell r="N724">
            <v>100</v>
          </cell>
          <cell r="Q724">
            <v>100</v>
          </cell>
          <cell r="T724">
            <v>38006</v>
          </cell>
          <cell r="U724" t="str">
            <v>нг</v>
          </cell>
          <cell r="W724" t="str">
            <v>ВЦ.ОТСК.ПП.ГКО .Сп.пакера ППД</v>
          </cell>
          <cell r="X724" t="str">
            <v>Закачка от КНС-1</v>
          </cell>
          <cell r="AF724">
            <v>24</v>
          </cell>
          <cell r="AG724">
            <v>0</v>
          </cell>
          <cell r="AH724">
            <v>-300</v>
          </cell>
        </row>
        <row r="725">
          <cell r="B725">
            <v>5391</v>
          </cell>
          <cell r="C725">
            <v>109</v>
          </cell>
          <cell r="F725" t="str">
            <v>УПНПиКРС</v>
          </cell>
          <cell r="G725">
            <v>285</v>
          </cell>
          <cell r="H725" t="str">
            <v>нагнет.</v>
          </cell>
          <cell r="I725" t="str">
            <v>бд</v>
          </cell>
          <cell r="J725">
            <v>34426</v>
          </cell>
          <cell r="N725">
            <v>100</v>
          </cell>
          <cell r="Q725">
            <v>100</v>
          </cell>
          <cell r="T725">
            <v>3</v>
          </cell>
          <cell r="U725" t="str">
            <v>нг</v>
          </cell>
          <cell r="W725" t="str">
            <v>ИР ЮК-11. ОПЗ. Пуск под закачку</v>
          </cell>
          <cell r="X725" t="str">
            <v>Закачка от КНС-1</v>
          </cell>
          <cell r="AF725">
            <v>32</v>
          </cell>
        </row>
        <row r="726">
          <cell r="B726">
            <v>5394</v>
          </cell>
          <cell r="C726">
            <v>101</v>
          </cell>
          <cell r="F726" t="str">
            <v>УПНПиКРС</v>
          </cell>
          <cell r="G726">
            <v>250</v>
          </cell>
          <cell r="H726" t="str">
            <v>фон</v>
          </cell>
          <cell r="I726" t="str">
            <v>бд</v>
          </cell>
          <cell r="J726">
            <v>34881</v>
          </cell>
          <cell r="K726">
            <v>5</v>
          </cell>
          <cell r="L726">
            <v>4.0999999999999996</v>
          </cell>
          <cell r="M726">
            <v>0</v>
          </cell>
          <cell r="N726">
            <v>7</v>
          </cell>
          <cell r="O726">
            <v>4</v>
          </cell>
          <cell r="P726">
            <v>30</v>
          </cell>
          <cell r="Q726">
            <v>7</v>
          </cell>
          <cell r="R726">
            <v>4</v>
          </cell>
          <cell r="S726">
            <v>29.5</v>
          </cell>
          <cell r="T726">
            <v>7</v>
          </cell>
          <cell r="U726" t="str">
            <v>ОПЗ</v>
          </cell>
          <cell r="W726" t="str">
            <v>ЛА. ПП. ОПЗ КСПЭО. ГДИ</v>
          </cell>
          <cell r="AF726">
            <v>39</v>
          </cell>
          <cell r="AG726">
            <v>-178703</v>
          </cell>
          <cell r="AH726">
            <v>-684396</v>
          </cell>
        </row>
        <row r="727">
          <cell r="B727">
            <v>3035</v>
          </cell>
          <cell r="C727">
            <v>67</v>
          </cell>
          <cell r="F727" t="str">
            <v>УПНПиКРС</v>
          </cell>
          <cell r="G727">
            <v>260</v>
          </cell>
          <cell r="H727" t="str">
            <v>ЭЦН</v>
          </cell>
          <cell r="I727" t="str">
            <v>бд</v>
          </cell>
          <cell r="N727">
            <v>50</v>
          </cell>
          <cell r="O727">
            <v>8.6</v>
          </cell>
          <cell r="P727">
            <v>79</v>
          </cell>
          <cell r="Q727">
            <v>50</v>
          </cell>
          <cell r="R727">
            <v>8.6</v>
          </cell>
          <cell r="S727">
            <v>79</v>
          </cell>
          <cell r="T727">
            <v>38179</v>
          </cell>
          <cell r="U727" t="str">
            <v>бдк</v>
          </cell>
          <cell r="W727" t="str">
            <v>ВЦ,ГИС-2(ИР ЮК-11) сп.Э-50</v>
          </cell>
        </row>
        <row r="728">
          <cell r="B728">
            <v>5443</v>
          </cell>
          <cell r="C728">
            <v>108</v>
          </cell>
          <cell r="F728" t="str">
            <v>УПНПиКРС</v>
          </cell>
          <cell r="G728">
            <v>242</v>
          </cell>
          <cell r="H728" t="str">
            <v>ЭЦН</v>
          </cell>
          <cell r="I728" t="str">
            <v>бд</v>
          </cell>
          <cell r="J728">
            <v>35097</v>
          </cell>
          <cell r="N728">
            <v>80</v>
          </cell>
          <cell r="O728">
            <v>22.8</v>
          </cell>
          <cell r="P728">
            <v>65</v>
          </cell>
          <cell r="Q728">
            <v>80</v>
          </cell>
          <cell r="R728">
            <v>22.8</v>
          </cell>
          <cell r="S728">
            <v>65</v>
          </cell>
          <cell r="T728">
            <v>38142</v>
          </cell>
          <cell r="U728" t="str">
            <v>ГРП</v>
          </cell>
          <cell r="W728" t="str">
            <v>ВЦ,ОТСК,ИР ЮК-11,ГРП ЮК-10,сп.Э-80</v>
          </cell>
          <cell r="AF728">
            <v>29</v>
          </cell>
          <cell r="AG728">
            <v>-732</v>
          </cell>
          <cell r="AH728">
            <v>-1830</v>
          </cell>
        </row>
        <row r="729">
          <cell r="B729">
            <v>2529</v>
          </cell>
          <cell r="C729" t="str">
            <v>36б</v>
          </cell>
          <cell r="F729" t="str">
            <v>НвБН</v>
          </cell>
          <cell r="G729">
            <v>260</v>
          </cell>
          <cell r="H729" t="str">
            <v>ЭЦН</v>
          </cell>
          <cell r="I729" t="str">
            <v>нов</v>
          </cell>
          <cell r="N729">
            <v>125</v>
          </cell>
          <cell r="O729">
            <v>70.3</v>
          </cell>
          <cell r="P729">
            <v>31</v>
          </cell>
          <cell r="Q729">
            <v>125</v>
          </cell>
          <cell r="R729">
            <v>71.3</v>
          </cell>
          <cell r="S729">
            <v>30</v>
          </cell>
          <cell r="T729">
            <v>38139</v>
          </cell>
          <cell r="U729" t="str">
            <v>новая</v>
          </cell>
          <cell r="W729" t="str">
            <v>бурение,ГРП ЮК-10,осв., сп.Э-125</v>
          </cell>
        </row>
        <row r="730">
          <cell r="B730">
            <v>2593</v>
          </cell>
          <cell r="C730" t="str">
            <v>36б</v>
          </cell>
          <cell r="F730" t="str">
            <v>НвБН</v>
          </cell>
          <cell r="G730">
            <v>260</v>
          </cell>
          <cell r="H730" t="str">
            <v>ЭЦН</v>
          </cell>
          <cell r="I730" t="str">
            <v>нов</v>
          </cell>
          <cell r="N730">
            <v>125</v>
          </cell>
          <cell r="O730">
            <v>70.3</v>
          </cell>
          <cell r="P730">
            <v>31</v>
          </cell>
          <cell r="Q730">
            <v>125</v>
          </cell>
          <cell r="R730">
            <v>71.3</v>
          </cell>
          <cell r="S730">
            <v>30</v>
          </cell>
          <cell r="T730">
            <v>38139</v>
          </cell>
          <cell r="U730" t="str">
            <v>новая</v>
          </cell>
          <cell r="W730" t="str">
            <v>бурение,ГРП ЮК-10,осв., сп.Э-125</v>
          </cell>
        </row>
        <row r="731">
          <cell r="B731">
            <v>2484</v>
          </cell>
          <cell r="C731">
            <v>37</v>
          </cell>
          <cell r="F731" t="str">
            <v>НвБН</v>
          </cell>
          <cell r="G731">
            <v>260</v>
          </cell>
          <cell r="H731" t="str">
            <v>ЭЦН</v>
          </cell>
          <cell r="I731" t="str">
            <v>нов</v>
          </cell>
          <cell r="N731">
            <v>125</v>
          </cell>
          <cell r="O731">
            <v>70.3</v>
          </cell>
          <cell r="P731">
            <v>31</v>
          </cell>
          <cell r="Q731">
            <v>125</v>
          </cell>
          <cell r="R731">
            <v>71.3</v>
          </cell>
          <cell r="S731">
            <v>30</v>
          </cell>
          <cell r="T731">
            <v>38139</v>
          </cell>
          <cell r="U731" t="str">
            <v>новая</v>
          </cell>
          <cell r="W731" t="str">
            <v>бурение,ГРП ЮК-10,осв., сп.Э-125</v>
          </cell>
        </row>
        <row r="732">
          <cell r="B732">
            <v>2592</v>
          </cell>
          <cell r="C732" t="str">
            <v>36б</v>
          </cell>
          <cell r="F732" t="str">
            <v>НвБН</v>
          </cell>
          <cell r="G732">
            <v>260</v>
          </cell>
          <cell r="H732" t="str">
            <v>ЭЦН</v>
          </cell>
          <cell r="I732" t="str">
            <v>нов</v>
          </cell>
          <cell r="N732">
            <v>80</v>
          </cell>
          <cell r="O732">
            <v>46.9</v>
          </cell>
          <cell r="P732">
            <v>28</v>
          </cell>
          <cell r="Q732">
            <v>80</v>
          </cell>
          <cell r="R732">
            <v>46.9</v>
          </cell>
          <cell r="S732">
            <v>28</v>
          </cell>
          <cell r="T732">
            <v>38209</v>
          </cell>
          <cell r="U732" t="str">
            <v>новая</v>
          </cell>
          <cell r="W732" t="str">
            <v>бурение,ГРП ЮК-10,осв., сп.Э-80</v>
          </cell>
        </row>
        <row r="733">
          <cell r="B733">
            <v>2591</v>
          </cell>
          <cell r="C733" t="str">
            <v>36б</v>
          </cell>
          <cell r="F733" t="str">
            <v>НвБН</v>
          </cell>
          <cell r="G733">
            <v>260</v>
          </cell>
          <cell r="H733" t="str">
            <v>ЭЦН</v>
          </cell>
          <cell r="I733" t="str">
            <v>нов</v>
          </cell>
          <cell r="N733">
            <v>80</v>
          </cell>
          <cell r="O733">
            <v>46.9</v>
          </cell>
          <cell r="P733">
            <v>28</v>
          </cell>
          <cell r="Q733">
            <v>80</v>
          </cell>
          <cell r="R733">
            <v>46.9</v>
          </cell>
          <cell r="S733">
            <v>28</v>
          </cell>
          <cell r="T733">
            <v>38242</v>
          </cell>
          <cell r="U733" t="str">
            <v>новая</v>
          </cell>
          <cell r="W733" t="str">
            <v>бурение,ГРП ЮК-10,осв., сп.Э-80</v>
          </cell>
        </row>
        <row r="734">
          <cell r="B734">
            <v>2466</v>
          </cell>
          <cell r="C734">
            <v>37</v>
          </cell>
          <cell r="F734" t="str">
            <v>НвБН</v>
          </cell>
          <cell r="G734">
            <v>260</v>
          </cell>
          <cell r="H734" t="str">
            <v>ЭЦН</v>
          </cell>
          <cell r="I734" t="str">
            <v>действ.</v>
          </cell>
          <cell r="K734">
            <v>101</v>
          </cell>
          <cell r="L734">
            <v>78.8</v>
          </cell>
          <cell r="M734">
            <v>3</v>
          </cell>
          <cell r="N734">
            <v>134</v>
          </cell>
          <cell r="O734">
            <v>105.9</v>
          </cell>
          <cell r="P734">
            <v>3</v>
          </cell>
          <cell r="Q734">
            <v>33</v>
          </cell>
          <cell r="R734">
            <v>26.1</v>
          </cell>
          <cell r="S734">
            <v>3</v>
          </cell>
          <cell r="T734">
            <v>38416</v>
          </cell>
          <cell r="U734" t="str">
            <v>опт</v>
          </cell>
          <cell r="W734" t="str">
            <v>см.Э-80/Э-125</v>
          </cell>
        </row>
        <row r="735">
          <cell r="B735">
            <v>2488</v>
          </cell>
          <cell r="C735">
            <v>37</v>
          </cell>
          <cell r="F735" t="str">
            <v>НвБН</v>
          </cell>
          <cell r="H735" t="str">
            <v>ЭЦН</v>
          </cell>
          <cell r="I735" t="str">
            <v>нов</v>
          </cell>
          <cell r="N735">
            <v>125</v>
          </cell>
          <cell r="O735">
            <v>20.399999999999999</v>
          </cell>
          <cell r="P735">
            <v>80</v>
          </cell>
          <cell r="Q735">
            <v>125</v>
          </cell>
          <cell r="R735">
            <v>20.399999999999999</v>
          </cell>
          <cell r="S735">
            <v>80</v>
          </cell>
          <cell r="T735">
            <v>38212</v>
          </cell>
          <cell r="U735" t="str">
            <v>новая</v>
          </cell>
          <cell r="W735" t="str">
            <v>бурение,ГРП ЮК-10,осв.сп.Э-80,ВНР,ГИС-2,ЗКЦ, сп.Э-125</v>
          </cell>
        </row>
        <row r="736">
          <cell r="B736">
            <v>2440</v>
          </cell>
          <cell r="C736">
            <v>37</v>
          </cell>
          <cell r="F736" t="str">
            <v>НвБН</v>
          </cell>
          <cell r="H736" t="str">
            <v>ЭЦН</v>
          </cell>
          <cell r="I736" t="str">
            <v>бд</v>
          </cell>
          <cell r="T736">
            <v>38439</v>
          </cell>
          <cell r="U736" t="str">
            <v>нг</v>
          </cell>
          <cell r="W736" t="str">
            <v>ОПЗ, перевод в ППД</v>
          </cell>
        </row>
        <row r="737">
          <cell r="B737">
            <v>5455</v>
          </cell>
          <cell r="C737">
            <v>102</v>
          </cell>
          <cell r="G737">
            <v>240</v>
          </cell>
          <cell r="H737" t="str">
            <v>ШГН</v>
          </cell>
          <cell r="I737" t="str">
            <v>конс.</v>
          </cell>
          <cell r="J737">
            <v>32843</v>
          </cell>
          <cell r="K737">
            <v>7</v>
          </cell>
          <cell r="L737">
            <v>5</v>
          </cell>
          <cell r="M737">
            <v>12</v>
          </cell>
          <cell r="N737">
            <v>18</v>
          </cell>
          <cell r="O737">
            <v>10</v>
          </cell>
          <cell r="P737">
            <v>31.5</v>
          </cell>
          <cell r="Q737">
            <v>18</v>
          </cell>
          <cell r="R737">
            <v>10</v>
          </cell>
          <cell r="S737">
            <v>31.4</v>
          </cell>
          <cell r="W737" t="str">
            <v>ВЦ. ИР ЮК-10. ГДИ. ПП ДН. ГРП ЮК 2-3</v>
          </cell>
          <cell r="Y737" t="str">
            <v>+53</v>
          </cell>
          <cell r="Z737">
            <v>3033</v>
          </cell>
          <cell r="AG737">
            <v>0</v>
          </cell>
          <cell r="AH737">
            <v>0</v>
          </cell>
        </row>
        <row r="738">
          <cell r="B738">
            <v>5460</v>
          </cell>
          <cell r="C738">
            <v>104</v>
          </cell>
          <cell r="F738" t="str">
            <v>УПНПиКРС</v>
          </cell>
          <cell r="G738">
            <v>275</v>
          </cell>
          <cell r="H738" t="str">
            <v>ЭЦН</v>
          </cell>
          <cell r="I738" t="str">
            <v>бд</v>
          </cell>
          <cell r="J738">
            <v>34138</v>
          </cell>
          <cell r="K738">
            <v>0</v>
          </cell>
          <cell r="L738">
            <v>0</v>
          </cell>
          <cell r="M738">
            <v>0</v>
          </cell>
          <cell r="N738">
            <v>80</v>
          </cell>
          <cell r="O738">
            <v>22.8</v>
          </cell>
          <cell r="P738">
            <v>65</v>
          </cell>
          <cell r="Q738">
            <v>80</v>
          </cell>
          <cell r="R738">
            <v>22.8</v>
          </cell>
          <cell r="S738">
            <v>65</v>
          </cell>
          <cell r="T738">
            <v>38155</v>
          </cell>
          <cell r="U738" t="str">
            <v>ГРП</v>
          </cell>
          <cell r="W738" t="str">
            <v>ВЦ, ЛА,ПР ГРП ЮК-10,сп.Э-80</v>
          </cell>
          <cell r="X738" t="str">
            <v>ВЦ субподрядом. МЕТКА</v>
          </cell>
          <cell r="Y738" t="str">
            <v>перекрыт ИП - 10 м</v>
          </cell>
        </row>
        <row r="739">
          <cell r="B739">
            <v>5461</v>
          </cell>
          <cell r="C739">
            <v>104</v>
          </cell>
          <cell r="F739" t="str">
            <v>УПНПиКРС</v>
          </cell>
          <cell r="G739">
            <v>280</v>
          </cell>
          <cell r="H739" t="str">
            <v>ЭЦН</v>
          </cell>
          <cell r="I739" t="str">
            <v>конс.</v>
          </cell>
          <cell r="K739">
            <v>14</v>
          </cell>
          <cell r="L739">
            <v>0.6</v>
          </cell>
          <cell r="M739">
            <v>95</v>
          </cell>
          <cell r="N739">
            <v>50</v>
          </cell>
          <cell r="O739">
            <v>3.1</v>
          </cell>
          <cell r="P739">
            <v>92.5</v>
          </cell>
          <cell r="Q739">
            <v>50</v>
          </cell>
          <cell r="R739">
            <v>3.1</v>
          </cell>
          <cell r="S739">
            <v>92.3</v>
          </cell>
          <cell r="W739" t="str">
            <v>ВЦ. ВЗ. ГИС-2. Спуск ЭЦН</v>
          </cell>
          <cell r="X739" t="str">
            <v>ОВП по результатам эксплуатации</v>
          </cell>
          <cell r="AF739">
            <v>30</v>
          </cell>
        </row>
        <row r="740">
          <cell r="B740">
            <v>5482</v>
          </cell>
          <cell r="C740">
            <v>114</v>
          </cell>
          <cell r="F740" t="str">
            <v>УПНПиКРС</v>
          </cell>
          <cell r="G740">
            <v>216</v>
          </cell>
          <cell r="H740" t="str">
            <v>ШГН</v>
          </cell>
          <cell r="I740" t="str">
            <v>конс.</v>
          </cell>
          <cell r="L740">
            <v>0</v>
          </cell>
          <cell r="N740">
            <v>18</v>
          </cell>
          <cell r="O740">
            <v>10</v>
          </cell>
          <cell r="P740">
            <v>31.5</v>
          </cell>
          <cell r="Q740">
            <v>18</v>
          </cell>
          <cell r="R740">
            <v>10</v>
          </cell>
          <cell r="S740">
            <v>31.4</v>
          </cell>
          <cell r="U740" t="str">
            <v>ВВ</v>
          </cell>
          <cell r="W740" t="str">
            <v>ИР ЮК10. ДП(ДН), ГРП ЮК-2-6</v>
          </cell>
          <cell r="X740" t="str">
            <v>Отложена</v>
          </cell>
          <cell r="Y740" t="str">
            <v>ОЦ5.10.99</v>
          </cell>
          <cell r="AF740">
            <v>25</v>
          </cell>
        </row>
        <row r="741">
          <cell r="B741">
            <v>5511</v>
          </cell>
          <cell r="C741">
            <v>114</v>
          </cell>
          <cell r="F741" t="str">
            <v>ЗАО "УПКРС"</v>
          </cell>
          <cell r="G741">
            <v>245</v>
          </cell>
          <cell r="H741" t="str">
            <v>ШГН</v>
          </cell>
          <cell r="I741" t="str">
            <v>бд</v>
          </cell>
          <cell r="N741">
            <v>5</v>
          </cell>
          <cell r="O741">
            <v>3.9</v>
          </cell>
          <cell r="P741">
            <v>5</v>
          </cell>
          <cell r="Q741">
            <v>5</v>
          </cell>
          <cell r="R741">
            <v>3.9</v>
          </cell>
          <cell r="S741">
            <v>5</v>
          </cell>
          <cell r="T741">
            <v>38175</v>
          </cell>
          <cell r="U741" t="str">
            <v>ВЦД</v>
          </cell>
          <cell r="W741" t="str">
            <v>ВЦ."БАРС".Смена НН-32</v>
          </cell>
          <cell r="Y741" t="str">
            <v>+41</v>
          </cell>
          <cell r="Z741">
            <v>2725</v>
          </cell>
          <cell r="AA741">
            <v>73</v>
          </cell>
          <cell r="AB741">
            <v>32695</v>
          </cell>
          <cell r="AF741">
            <v>30</v>
          </cell>
        </row>
        <row r="742">
          <cell r="B742">
            <v>5561</v>
          </cell>
          <cell r="C742">
            <v>119</v>
          </cell>
          <cell r="F742" t="str">
            <v>УПНПиКРС</v>
          </cell>
          <cell r="G742">
            <v>264</v>
          </cell>
          <cell r="H742" t="str">
            <v>ШГН</v>
          </cell>
          <cell r="I742" t="str">
            <v>бд</v>
          </cell>
          <cell r="J742">
            <v>37123</v>
          </cell>
          <cell r="K742">
            <v>0</v>
          </cell>
          <cell r="L742">
            <v>0</v>
          </cell>
          <cell r="M742">
            <v>0</v>
          </cell>
          <cell r="N742">
            <v>80</v>
          </cell>
          <cell r="O742">
            <v>22.8</v>
          </cell>
          <cell r="P742">
            <v>65</v>
          </cell>
          <cell r="Q742">
            <v>80</v>
          </cell>
          <cell r="R742">
            <v>22.8</v>
          </cell>
          <cell r="S742">
            <v>65</v>
          </cell>
          <cell r="T742">
            <v>38142</v>
          </cell>
          <cell r="U742" t="str">
            <v>ГРП</v>
          </cell>
          <cell r="V742">
            <v>2</v>
          </cell>
          <cell r="W742" t="str">
            <v>ВЦ,ГИС-2(ИР ЮК-11),ГРП ЮК-10,сп.Э-80</v>
          </cell>
          <cell r="X742" t="str">
            <v>ЮК-10 перф-н многократно</v>
          </cell>
          <cell r="AF742">
            <v>30</v>
          </cell>
        </row>
        <row r="743">
          <cell r="B743">
            <v>5563</v>
          </cell>
          <cell r="C743">
            <v>119</v>
          </cell>
          <cell r="F743" t="str">
            <v>УПНПиКРС</v>
          </cell>
          <cell r="G743">
            <v>255</v>
          </cell>
          <cell r="H743" t="str">
            <v>ЭЦН</v>
          </cell>
          <cell r="I743" t="str">
            <v>бд</v>
          </cell>
          <cell r="J743">
            <v>36418</v>
          </cell>
          <cell r="K743">
            <v>40</v>
          </cell>
          <cell r="L743">
            <v>6.5</v>
          </cell>
          <cell r="M743">
            <v>80</v>
          </cell>
          <cell r="N743">
            <v>50</v>
          </cell>
          <cell r="O743">
            <v>8</v>
          </cell>
          <cell r="P743">
            <v>80.400000000000006</v>
          </cell>
          <cell r="Q743">
            <v>50</v>
          </cell>
          <cell r="R743">
            <v>8</v>
          </cell>
          <cell r="S743">
            <v>80.2</v>
          </cell>
          <cell r="T743">
            <v>37311</v>
          </cell>
          <cell r="U743" t="str">
            <v>ОПЗ</v>
          </cell>
          <cell r="V743">
            <v>3</v>
          </cell>
          <cell r="W743" t="str">
            <v>ЛА. ПП. УГИС</v>
          </cell>
          <cell r="AF743">
            <v>26</v>
          </cell>
          <cell r="AG743" t="e">
            <v>#REF!</v>
          </cell>
          <cell r="AH743" t="e">
            <v>#REF!</v>
          </cell>
        </row>
        <row r="744">
          <cell r="B744">
            <v>5579</v>
          </cell>
          <cell r="C744">
            <v>115</v>
          </cell>
          <cell r="F744" t="str">
            <v>УПНПиКРС</v>
          </cell>
          <cell r="G744">
            <v>245</v>
          </cell>
          <cell r="H744" t="str">
            <v>ЭЦН</v>
          </cell>
          <cell r="I744" t="str">
            <v>конс.</v>
          </cell>
          <cell r="J744">
            <v>34883</v>
          </cell>
          <cell r="K744">
            <v>46</v>
          </cell>
          <cell r="L744">
            <v>1.9</v>
          </cell>
          <cell r="M744">
            <v>95</v>
          </cell>
          <cell r="N744">
            <v>50</v>
          </cell>
          <cell r="O744">
            <v>4</v>
          </cell>
          <cell r="P744">
            <v>90.2</v>
          </cell>
          <cell r="Q744">
            <v>50</v>
          </cell>
          <cell r="R744">
            <v>4</v>
          </cell>
          <cell r="S744">
            <v>90.1</v>
          </cell>
          <cell r="T744" t="e">
            <v>#REF!</v>
          </cell>
          <cell r="U744" t="str">
            <v>ВЦ</v>
          </cell>
          <cell r="W744" t="str">
            <v>ВЦ. ВЗ. ГИС-2. УГИС. ЭЦН</v>
          </cell>
          <cell r="X744" t="str">
            <v>нет СК и карточки?</v>
          </cell>
          <cell r="AF744">
            <v>26</v>
          </cell>
        </row>
        <row r="745">
          <cell r="B745">
            <v>5583</v>
          </cell>
          <cell r="C745">
            <v>116</v>
          </cell>
          <cell r="F745" t="str">
            <v>УПНПиКРС</v>
          </cell>
          <cell r="G745">
            <v>250</v>
          </cell>
          <cell r="H745" t="str">
            <v>ЭЦН</v>
          </cell>
          <cell r="I745" t="str">
            <v>конс.</v>
          </cell>
          <cell r="K745">
            <v>50</v>
          </cell>
          <cell r="L745">
            <v>1.6</v>
          </cell>
          <cell r="M745">
            <v>96</v>
          </cell>
          <cell r="N745">
            <v>30</v>
          </cell>
          <cell r="O745">
            <v>4</v>
          </cell>
          <cell r="P745">
            <v>83.5</v>
          </cell>
          <cell r="Q745">
            <v>30</v>
          </cell>
          <cell r="R745">
            <v>4</v>
          </cell>
          <cell r="S745">
            <v>83.5</v>
          </cell>
          <cell r="T745">
            <v>7</v>
          </cell>
          <cell r="U745" t="str">
            <v>ОПЗ</v>
          </cell>
          <cell r="W745" t="str">
            <v>ВЦ. ОПЗ КСПЭО. ГДИ</v>
          </cell>
          <cell r="Y745" t="str">
            <v>Прихват НКТ</v>
          </cell>
          <cell r="AF745">
            <v>30</v>
          </cell>
        </row>
        <row r="746">
          <cell r="B746">
            <v>5613</v>
          </cell>
          <cell r="C746">
            <v>115</v>
          </cell>
          <cell r="F746" t="str">
            <v>УПНПиКРС</v>
          </cell>
          <cell r="G746">
            <v>240</v>
          </cell>
          <cell r="H746" t="str">
            <v>ЭЦН</v>
          </cell>
          <cell r="I746" t="str">
            <v>конс.</v>
          </cell>
          <cell r="J746">
            <v>34883</v>
          </cell>
          <cell r="K746">
            <v>52</v>
          </cell>
          <cell r="L746">
            <v>1.7</v>
          </cell>
          <cell r="M746">
            <v>96</v>
          </cell>
          <cell r="N746">
            <v>50</v>
          </cell>
          <cell r="O746">
            <v>4</v>
          </cell>
          <cell r="P746">
            <v>90.2</v>
          </cell>
          <cell r="Q746">
            <v>50</v>
          </cell>
          <cell r="R746">
            <v>4</v>
          </cell>
          <cell r="S746">
            <v>90.1</v>
          </cell>
          <cell r="T746">
            <v>38340</v>
          </cell>
          <cell r="U746" t="str">
            <v>ОВП</v>
          </cell>
          <cell r="W746" t="str">
            <v>ВЗ. ГИС-2 (ЗКЦ). ИР. ПП. ОПЗ</v>
          </cell>
          <cell r="X746" t="str">
            <v>Что на забое?</v>
          </cell>
          <cell r="Y746" t="str">
            <v>+69</v>
          </cell>
          <cell r="Z746">
            <v>2924</v>
          </cell>
          <cell r="AA746">
            <v>73</v>
          </cell>
          <cell r="AB746">
            <v>36861</v>
          </cell>
          <cell r="AF746">
            <v>20</v>
          </cell>
        </row>
        <row r="747">
          <cell r="B747">
            <v>5642</v>
          </cell>
          <cell r="C747">
            <v>126</v>
          </cell>
          <cell r="F747" t="str">
            <v>УПНПиКРС</v>
          </cell>
          <cell r="G747">
            <v>230</v>
          </cell>
          <cell r="H747" t="str">
            <v>ШГН</v>
          </cell>
          <cell r="I747" t="str">
            <v>действ.</v>
          </cell>
          <cell r="K747">
            <v>7</v>
          </cell>
          <cell r="L747">
            <v>3.1</v>
          </cell>
          <cell r="M747">
            <v>45</v>
          </cell>
          <cell r="N747">
            <v>18</v>
          </cell>
          <cell r="O747">
            <v>10</v>
          </cell>
          <cell r="P747">
            <v>31.5</v>
          </cell>
          <cell r="Q747">
            <v>11</v>
          </cell>
          <cell r="R747">
            <v>6.9</v>
          </cell>
          <cell r="S747">
            <v>22.6</v>
          </cell>
          <cell r="U747" t="str">
            <v>ВВ</v>
          </cell>
          <cell r="W747" t="str">
            <v>ИР ЮК10-11, ДП(ДН), ГРП ЮК-4-5</v>
          </cell>
          <cell r="X747" t="str">
            <v>Целесообразность?</v>
          </cell>
          <cell r="AF747">
            <v>31</v>
          </cell>
          <cell r="AG747">
            <v>-149268</v>
          </cell>
          <cell r="AH747">
            <v>-298536</v>
          </cell>
        </row>
        <row r="748">
          <cell r="B748">
            <v>5642</v>
          </cell>
          <cell r="C748">
            <v>126</v>
          </cell>
          <cell r="F748" t="str">
            <v>УПНПиКРС</v>
          </cell>
          <cell r="G748">
            <v>230</v>
          </cell>
          <cell r="H748" t="str">
            <v>ШГН</v>
          </cell>
          <cell r="I748" t="str">
            <v>бд</v>
          </cell>
          <cell r="J748">
            <v>36997</v>
          </cell>
          <cell r="N748">
            <v>8</v>
          </cell>
          <cell r="O748">
            <v>4</v>
          </cell>
          <cell r="P748">
            <v>38</v>
          </cell>
          <cell r="Q748">
            <v>8</v>
          </cell>
          <cell r="R748">
            <v>4</v>
          </cell>
          <cell r="S748">
            <v>38.299999999999997</v>
          </cell>
          <cell r="T748">
            <v>37317</v>
          </cell>
          <cell r="U748" t="str">
            <v>ОПЗ</v>
          </cell>
          <cell r="W748" t="str">
            <v>ВЦ. ОПЗ НТПН. УГИС</v>
          </cell>
          <cell r="AF748">
            <v>44</v>
          </cell>
          <cell r="AG748">
            <v>-55</v>
          </cell>
          <cell r="AH748">
            <v>-330</v>
          </cell>
        </row>
        <row r="749">
          <cell r="B749">
            <v>5645</v>
          </cell>
          <cell r="C749">
            <v>126</v>
          </cell>
          <cell r="F749" t="str">
            <v>УПНПиКРС</v>
          </cell>
          <cell r="G749">
            <v>230</v>
          </cell>
          <cell r="H749" t="str">
            <v>ШГН</v>
          </cell>
          <cell r="I749" t="str">
            <v>конс.</v>
          </cell>
          <cell r="J749">
            <v>35435</v>
          </cell>
          <cell r="N749">
            <v>30</v>
          </cell>
          <cell r="O749">
            <v>5</v>
          </cell>
          <cell r="P749">
            <v>79.5</v>
          </cell>
          <cell r="Q749">
            <v>30</v>
          </cell>
          <cell r="R749">
            <v>5</v>
          </cell>
          <cell r="S749">
            <v>79.400000000000006</v>
          </cell>
          <cell r="T749">
            <v>11</v>
          </cell>
          <cell r="U749" t="str">
            <v>ОПЗ</v>
          </cell>
          <cell r="W749" t="str">
            <v>ВЦ. ПП (перфосреда). ЭЦН</v>
          </cell>
          <cell r="AF749">
            <v>29</v>
          </cell>
          <cell r="AG749">
            <v>-186735</v>
          </cell>
          <cell r="AH749">
            <v>-298776</v>
          </cell>
        </row>
        <row r="750">
          <cell r="B750">
            <v>5647</v>
          </cell>
          <cell r="C750">
            <v>125</v>
          </cell>
          <cell r="F750" t="str">
            <v>УПНПиКРС</v>
          </cell>
          <cell r="G750">
            <v>230</v>
          </cell>
          <cell r="H750" t="str">
            <v>ШГН</v>
          </cell>
          <cell r="I750" t="str">
            <v>бд</v>
          </cell>
          <cell r="N750">
            <v>12</v>
          </cell>
          <cell r="O750">
            <v>2.9</v>
          </cell>
          <cell r="P750">
            <v>70</v>
          </cell>
          <cell r="Q750">
            <v>12</v>
          </cell>
          <cell r="R750">
            <v>2.9</v>
          </cell>
          <cell r="S750">
            <v>70.2</v>
          </cell>
          <cell r="U750" t="str">
            <v>ОПЗ</v>
          </cell>
          <cell r="W750" t="str">
            <v>ВЦ. ПП (перфосреда) ОПЗ НТПН</v>
          </cell>
          <cell r="X750" t="str">
            <v>в эксп.не была</v>
          </cell>
          <cell r="AF750">
            <v>15</v>
          </cell>
          <cell r="AG750" t="e">
            <v>#REF!</v>
          </cell>
          <cell r="AH750" t="e">
            <v>#REF!</v>
          </cell>
        </row>
        <row r="751">
          <cell r="B751">
            <v>5704</v>
          </cell>
          <cell r="C751">
            <v>126</v>
          </cell>
          <cell r="F751" t="str">
            <v>УПНПиКРС</v>
          </cell>
          <cell r="G751">
            <v>230</v>
          </cell>
          <cell r="H751" t="str">
            <v>ШГН</v>
          </cell>
          <cell r="I751" t="str">
            <v>действ.</v>
          </cell>
          <cell r="K751">
            <v>3</v>
          </cell>
          <cell r="L751">
            <v>2.1</v>
          </cell>
          <cell r="M751">
            <v>16</v>
          </cell>
          <cell r="N751">
            <v>10</v>
          </cell>
          <cell r="O751">
            <v>6.6</v>
          </cell>
          <cell r="P751">
            <v>19</v>
          </cell>
          <cell r="Q751">
            <v>7</v>
          </cell>
          <cell r="R751">
            <v>4.5</v>
          </cell>
          <cell r="S751">
            <v>20.6</v>
          </cell>
          <cell r="T751" t="e">
            <v>#REF!</v>
          </cell>
          <cell r="U751" t="str">
            <v>ОПЗ</v>
          </cell>
          <cell r="W751" t="str">
            <v>ПП. ОПЗ КСПЭО. ГДИ</v>
          </cell>
          <cell r="X751" t="str">
            <v>Перестрел верха</v>
          </cell>
          <cell r="AF751">
            <v>35</v>
          </cell>
        </row>
        <row r="752">
          <cell r="B752">
            <v>5713</v>
          </cell>
          <cell r="C752">
            <v>127</v>
          </cell>
          <cell r="H752" t="str">
            <v>ЭЦН</v>
          </cell>
          <cell r="I752" t="str">
            <v>конс.</v>
          </cell>
          <cell r="J752">
            <v>35457</v>
          </cell>
          <cell r="N752">
            <v>50</v>
          </cell>
          <cell r="O752">
            <v>6.1</v>
          </cell>
          <cell r="P752">
            <v>85</v>
          </cell>
          <cell r="Q752">
            <v>50</v>
          </cell>
          <cell r="R752">
            <v>6.1</v>
          </cell>
          <cell r="S752">
            <v>84.9</v>
          </cell>
          <cell r="U752" t="str">
            <v>ОПЗ</v>
          </cell>
          <cell r="W752" t="str">
            <v>ВЦ, ОПЗ НТПН, УГИС</v>
          </cell>
          <cell r="AF752">
            <v>25</v>
          </cell>
        </row>
        <row r="753">
          <cell r="B753">
            <v>5800</v>
          </cell>
          <cell r="C753">
            <v>141</v>
          </cell>
          <cell r="F753" t="str">
            <v>ЗАО "УПКРС"</v>
          </cell>
          <cell r="G753">
            <v>281</v>
          </cell>
          <cell r="H753" t="str">
            <v>нагнет.</v>
          </cell>
          <cell r="I753" t="str">
            <v>бд</v>
          </cell>
          <cell r="J753">
            <v>36641</v>
          </cell>
          <cell r="N753">
            <v>150</v>
          </cell>
          <cell r="Q753">
            <v>150</v>
          </cell>
          <cell r="T753">
            <v>38136</v>
          </cell>
          <cell r="U753" t="str">
            <v>нг</v>
          </cell>
          <cell r="V753">
            <v>2</v>
          </cell>
          <cell r="W753" t="str">
            <v>Ревизия и привязка пакера, каверномер.</v>
          </cell>
          <cell r="AF753">
            <v>9</v>
          </cell>
        </row>
        <row r="754">
          <cell r="B754">
            <v>5807</v>
          </cell>
          <cell r="C754" t="str">
            <v>166б</v>
          </cell>
          <cell r="F754" t="str">
            <v>ЗАО "УПКРС"</v>
          </cell>
          <cell r="G754">
            <v>290</v>
          </cell>
          <cell r="H754" t="str">
            <v>нагнет.</v>
          </cell>
          <cell r="I754" t="str">
            <v>простой</v>
          </cell>
          <cell r="J754">
            <v>37166</v>
          </cell>
          <cell r="N754">
            <v>200</v>
          </cell>
          <cell r="Q754">
            <v>200</v>
          </cell>
          <cell r="T754">
            <v>11</v>
          </cell>
          <cell r="U754" t="str">
            <v>нг</v>
          </cell>
          <cell r="V754">
            <v>2</v>
          </cell>
          <cell r="W754" t="str">
            <v>Ревизия и привязка пакера, каверномер.</v>
          </cell>
          <cell r="Y754" t="str">
            <v>Негерметичность ЭК (2000г.)</v>
          </cell>
          <cell r="AF754">
            <v>21</v>
          </cell>
        </row>
        <row r="755">
          <cell r="B755">
            <v>5808</v>
          </cell>
          <cell r="C755">
            <v>141</v>
          </cell>
          <cell r="F755" t="str">
            <v>УПНПиКРС</v>
          </cell>
          <cell r="G755">
            <v>260</v>
          </cell>
          <cell r="H755" t="str">
            <v>ШГН</v>
          </cell>
          <cell r="I755" t="str">
            <v>бд</v>
          </cell>
          <cell r="J755">
            <v>33755</v>
          </cell>
          <cell r="K755">
            <v>3</v>
          </cell>
          <cell r="L755">
            <v>2.1</v>
          </cell>
          <cell r="M755">
            <v>15</v>
          </cell>
          <cell r="N755">
            <v>24</v>
          </cell>
          <cell r="O755">
            <v>10.5</v>
          </cell>
          <cell r="P755">
            <v>46.5</v>
          </cell>
          <cell r="Q755">
            <v>24</v>
          </cell>
          <cell r="R755">
            <v>10.5</v>
          </cell>
          <cell r="S755">
            <v>46</v>
          </cell>
          <cell r="T755">
            <v>15</v>
          </cell>
          <cell r="U755" t="str">
            <v>ГРП</v>
          </cell>
          <cell r="W755" t="str">
            <v>ЛН. ПР ГРП. ГРП ЮК-10</v>
          </cell>
          <cell r="Y755" t="str">
            <v>+20</v>
          </cell>
          <cell r="Z755">
            <v>2905</v>
          </cell>
          <cell r="AA755">
            <v>73</v>
          </cell>
          <cell r="AB755" t="str">
            <v>янв 97</v>
          </cell>
          <cell r="AF755">
            <v>18</v>
          </cell>
          <cell r="AG755">
            <v>-105</v>
          </cell>
          <cell r="AH755">
            <v>-150</v>
          </cell>
        </row>
        <row r="756">
          <cell r="B756">
            <v>5575</v>
          </cell>
          <cell r="C756">
            <v>114</v>
          </cell>
          <cell r="H756" t="str">
            <v>ШГН</v>
          </cell>
          <cell r="I756" t="str">
            <v>конс.</v>
          </cell>
          <cell r="J756">
            <v>35034</v>
          </cell>
          <cell r="K756">
            <v>1</v>
          </cell>
          <cell r="L756">
            <v>0</v>
          </cell>
          <cell r="M756">
            <v>99</v>
          </cell>
          <cell r="N756">
            <v>30</v>
          </cell>
          <cell r="O756">
            <v>12</v>
          </cell>
          <cell r="P756">
            <v>51</v>
          </cell>
          <cell r="Q756">
            <v>30</v>
          </cell>
          <cell r="R756">
            <v>12</v>
          </cell>
          <cell r="S756">
            <v>50.6</v>
          </cell>
          <cell r="U756" t="str">
            <v>ГРП</v>
          </cell>
          <cell r="W756" t="str">
            <v>РИР э/к,ГИС-2,ОТСК,ГРП.Переинт.2574-258м по гл.2364м,при наличии воды по ЮК-10 -ГРП ЮК-2</v>
          </cell>
        </row>
        <row r="757">
          <cell r="B757">
            <v>5579</v>
          </cell>
          <cell r="C757">
            <v>115</v>
          </cell>
          <cell r="I757" t="str">
            <v>конс.</v>
          </cell>
          <cell r="J757">
            <v>34883</v>
          </cell>
          <cell r="K757">
            <v>17</v>
          </cell>
          <cell r="L757">
            <v>1</v>
          </cell>
          <cell r="M757">
            <v>93</v>
          </cell>
          <cell r="O757">
            <v>0</v>
          </cell>
          <cell r="Q757">
            <v>0</v>
          </cell>
          <cell r="R757">
            <v>0</v>
          </cell>
          <cell r="S757" t="e">
            <v>#DIV/0!</v>
          </cell>
          <cell r="W757" t="str">
            <v>ВЦ,ВЗ,при наличии Нз-сп Э-50 (ГИС-2),при невозм.ВЗ-переинт.ЮК-2- 2490-2498м-ГРП</v>
          </cell>
          <cell r="AG757" t="e">
            <v>#REF!</v>
          </cell>
          <cell r="AH757" t="e">
            <v>#REF!</v>
          </cell>
        </row>
        <row r="760">
          <cell r="B760">
            <v>2754</v>
          </cell>
          <cell r="C760">
            <v>145</v>
          </cell>
          <cell r="I760" t="str">
            <v>конс.</v>
          </cell>
          <cell r="J760">
            <v>32843</v>
          </cell>
          <cell r="K760">
            <v>6</v>
          </cell>
          <cell r="L760">
            <v>0.5</v>
          </cell>
          <cell r="M760">
            <v>90</v>
          </cell>
          <cell r="N760">
            <v>30</v>
          </cell>
          <cell r="O760">
            <v>12</v>
          </cell>
          <cell r="P760">
            <v>51</v>
          </cell>
          <cell r="Q760">
            <v>30</v>
          </cell>
          <cell r="R760">
            <v>12</v>
          </cell>
          <cell r="S760">
            <v>50.6</v>
          </cell>
          <cell r="U760" t="str">
            <v>ГРП</v>
          </cell>
          <cell r="W760" t="str">
            <v>ГРП, возможно приобщение ЮК-11</v>
          </cell>
        </row>
        <row r="761">
          <cell r="B761">
            <v>2755</v>
          </cell>
          <cell r="C761">
            <v>145</v>
          </cell>
          <cell r="I761" t="str">
            <v>бд</v>
          </cell>
          <cell r="J761">
            <v>33968</v>
          </cell>
          <cell r="K761">
            <v>40</v>
          </cell>
          <cell r="L761">
            <v>1.6</v>
          </cell>
          <cell r="M761">
            <v>95</v>
          </cell>
          <cell r="N761">
            <v>30</v>
          </cell>
          <cell r="O761">
            <v>12</v>
          </cell>
          <cell r="P761">
            <v>51</v>
          </cell>
          <cell r="Q761">
            <v>30</v>
          </cell>
          <cell r="R761">
            <v>12</v>
          </cell>
          <cell r="S761">
            <v>50.6</v>
          </cell>
          <cell r="U761" t="str">
            <v>ГРП</v>
          </cell>
          <cell r="W761" t="str">
            <v>ГИС-2(и.о.) РИР ЮК-11, ГРП с отсыпкой низа ЮК-10</v>
          </cell>
        </row>
        <row r="762">
          <cell r="B762">
            <v>2756</v>
          </cell>
          <cell r="C762">
            <v>145</v>
          </cell>
          <cell r="I762" t="str">
            <v>бд</v>
          </cell>
          <cell r="J762">
            <v>35786</v>
          </cell>
          <cell r="K762">
            <v>70</v>
          </cell>
          <cell r="L762">
            <v>10.8</v>
          </cell>
          <cell r="M762">
            <v>81</v>
          </cell>
          <cell r="N762">
            <v>50</v>
          </cell>
          <cell r="O762">
            <v>10</v>
          </cell>
          <cell r="P762">
            <v>75.400000000000006</v>
          </cell>
          <cell r="Q762">
            <v>50</v>
          </cell>
          <cell r="R762">
            <v>10</v>
          </cell>
          <cell r="S762">
            <v>75.3</v>
          </cell>
          <cell r="U762" t="str">
            <v>РИР</v>
          </cell>
          <cell r="W762" t="str">
            <v>РИР Э/К 2562-2673, ПП-ЮК-10 с ОПЗ</v>
          </cell>
        </row>
        <row r="763">
          <cell r="B763">
            <v>2686</v>
          </cell>
          <cell r="C763" t="str">
            <v>160б</v>
          </cell>
          <cell r="H763" t="str">
            <v>ШГН</v>
          </cell>
          <cell r="I763" t="str">
            <v>конс.</v>
          </cell>
          <cell r="J763">
            <v>34060</v>
          </cell>
          <cell r="K763">
            <v>1</v>
          </cell>
          <cell r="L763">
            <v>0.8</v>
          </cell>
          <cell r="M763">
            <v>0</v>
          </cell>
          <cell r="N763">
            <v>30</v>
          </cell>
          <cell r="O763">
            <v>12</v>
          </cell>
          <cell r="P763">
            <v>51</v>
          </cell>
          <cell r="Q763">
            <v>30</v>
          </cell>
          <cell r="R763">
            <v>12</v>
          </cell>
          <cell r="S763">
            <v>50.6</v>
          </cell>
          <cell r="U763" t="str">
            <v>ГРП</v>
          </cell>
          <cell r="W763" t="str">
            <v>ВЦ,ВЗ,ДП ЮК-11,сп.Э</v>
          </cell>
        </row>
        <row r="764">
          <cell r="B764">
            <v>2836</v>
          </cell>
          <cell r="C764">
            <v>125</v>
          </cell>
          <cell r="I764" t="str">
            <v>конс.</v>
          </cell>
          <cell r="J764">
            <v>35684</v>
          </cell>
          <cell r="K764">
            <v>4</v>
          </cell>
          <cell r="L764">
            <v>1.1000000000000001</v>
          </cell>
          <cell r="M764">
            <v>66</v>
          </cell>
          <cell r="O764">
            <v>0</v>
          </cell>
          <cell r="Q764">
            <v>0</v>
          </cell>
          <cell r="R764">
            <v>0</v>
          </cell>
          <cell r="S764" t="e">
            <v>#DIV/0!</v>
          </cell>
          <cell r="W764" t="str">
            <v>ГИС-2,при отс.перетоков-опытно-пром.работы,ГРП п.А</v>
          </cell>
        </row>
        <row r="765">
          <cell r="B765">
            <v>5239</v>
          </cell>
          <cell r="C765">
            <v>133</v>
          </cell>
          <cell r="H765" t="str">
            <v>ШГН</v>
          </cell>
          <cell r="I765" t="str">
            <v>бд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6</v>
          </cell>
          <cell r="O765">
            <v>4</v>
          </cell>
          <cell r="P765">
            <v>19</v>
          </cell>
          <cell r="Q765">
            <v>6</v>
          </cell>
          <cell r="R765">
            <v>4</v>
          </cell>
          <cell r="S765">
            <v>17.7</v>
          </cell>
          <cell r="T765">
            <v>37884</v>
          </cell>
          <cell r="U765" t="str">
            <v>ВЦД</v>
          </cell>
          <cell r="W765" t="str">
            <v>ВЦ "Электропрогрев"</v>
          </cell>
          <cell r="AE765">
            <v>37879</v>
          </cell>
          <cell r="AG765">
            <v>1</v>
          </cell>
        </row>
        <row r="766">
          <cell r="B766">
            <v>5394</v>
          </cell>
          <cell r="C766">
            <v>102</v>
          </cell>
          <cell r="I766" t="str">
            <v>бд</v>
          </cell>
          <cell r="J766">
            <v>34881</v>
          </cell>
          <cell r="K766">
            <v>50</v>
          </cell>
          <cell r="L766">
            <v>0.4</v>
          </cell>
          <cell r="M766">
            <v>99</v>
          </cell>
          <cell r="N766">
            <v>30</v>
          </cell>
          <cell r="O766">
            <v>12</v>
          </cell>
          <cell r="P766">
            <v>51</v>
          </cell>
          <cell r="Q766">
            <v>30</v>
          </cell>
          <cell r="R766">
            <v>12</v>
          </cell>
          <cell r="S766">
            <v>50.6</v>
          </cell>
          <cell r="U766" t="str">
            <v>ГРП</v>
          </cell>
          <cell r="W766" t="str">
            <v>ЛА( полет НКТ ),ПП,при Q меньше 10м3/с-ГРП-+15т</v>
          </cell>
        </row>
        <row r="767">
          <cell r="B767">
            <v>5410</v>
          </cell>
          <cell r="C767">
            <v>105</v>
          </cell>
          <cell r="H767" t="str">
            <v>ШГН</v>
          </cell>
          <cell r="I767" t="str">
            <v>бд</v>
          </cell>
          <cell r="J767">
            <v>35361</v>
          </cell>
          <cell r="K767">
            <v>0</v>
          </cell>
          <cell r="L767">
            <v>0</v>
          </cell>
          <cell r="M767">
            <v>0</v>
          </cell>
          <cell r="N767">
            <v>80</v>
          </cell>
          <cell r="O767">
            <v>24.8</v>
          </cell>
          <cell r="P767">
            <v>62</v>
          </cell>
          <cell r="Q767">
            <v>80</v>
          </cell>
          <cell r="R767">
            <v>24.8</v>
          </cell>
          <cell r="S767">
            <v>61.7</v>
          </cell>
          <cell r="T767">
            <v>38210</v>
          </cell>
          <cell r="U767" t="str">
            <v>ГРП</v>
          </cell>
          <cell r="W767" t="str">
            <v>ВЦ,ГРП ЮК-10,сп.Э-80</v>
          </cell>
        </row>
        <row r="768">
          <cell r="B768">
            <v>5647</v>
          </cell>
          <cell r="C768">
            <v>125</v>
          </cell>
          <cell r="I768" t="str">
            <v>бд</v>
          </cell>
          <cell r="J768">
            <v>35401</v>
          </cell>
          <cell r="K768">
            <v>5</v>
          </cell>
          <cell r="L768">
            <v>0</v>
          </cell>
          <cell r="M768">
            <v>99</v>
          </cell>
          <cell r="O768">
            <v>0</v>
          </cell>
          <cell r="Q768">
            <v>0</v>
          </cell>
          <cell r="R768">
            <v>0</v>
          </cell>
          <cell r="S768" t="e">
            <v>#DIV/0!</v>
          </cell>
          <cell r="W768" t="str">
            <v>ЛА ( полет БТ ),РИР ниж.п.ЮК-10,перф.п.А,ГРП</v>
          </cell>
        </row>
        <row r="769">
          <cell r="B769">
            <v>5704</v>
          </cell>
          <cell r="C769">
            <v>126</v>
          </cell>
          <cell r="G769">
            <v>230</v>
          </cell>
          <cell r="H769" t="str">
            <v>ШГН</v>
          </cell>
          <cell r="I769" t="str">
            <v>бд</v>
          </cell>
          <cell r="J769">
            <v>37174</v>
          </cell>
          <cell r="K769">
            <v>2</v>
          </cell>
          <cell r="L769">
            <v>1.5</v>
          </cell>
          <cell r="M769">
            <v>5</v>
          </cell>
          <cell r="N769">
            <v>30</v>
          </cell>
          <cell r="O769">
            <v>12</v>
          </cell>
          <cell r="P769">
            <v>51</v>
          </cell>
          <cell r="Q769">
            <v>30</v>
          </cell>
          <cell r="R769">
            <v>12</v>
          </cell>
          <cell r="S769">
            <v>50.6</v>
          </cell>
          <cell r="U769" t="str">
            <v>ГРП</v>
          </cell>
          <cell r="W769" t="str">
            <v>ГРП п.А</v>
          </cell>
          <cell r="X769" t="str">
            <v>Перестрел верха</v>
          </cell>
        </row>
        <row r="770">
          <cell r="B770">
            <v>5815</v>
          </cell>
          <cell r="C770">
            <v>141</v>
          </cell>
          <cell r="H770" t="str">
            <v>ШГН</v>
          </cell>
          <cell r="I770" t="str">
            <v>действ.</v>
          </cell>
          <cell r="J770">
            <v>0</v>
          </cell>
          <cell r="K770">
            <v>11</v>
          </cell>
          <cell r="L770">
            <v>8.3000000000000007</v>
          </cell>
          <cell r="M770">
            <v>7</v>
          </cell>
          <cell r="N770">
            <v>30</v>
          </cell>
          <cell r="O770">
            <v>20.3</v>
          </cell>
          <cell r="P770">
            <v>17</v>
          </cell>
          <cell r="Q770">
            <v>19</v>
          </cell>
          <cell r="R770">
            <v>12</v>
          </cell>
          <cell r="S770">
            <v>22</v>
          </cell>
          <cell r="U770" t="str">
            <v>ГРП</v>
          </cell>
          <cell r="W770" t="str">
            <v xml:space="preserve">РИР (отсыпка)ЮК-11,ПП ЮК-10, ГРП </v>
          </cell>
          <cell r="Y770" t="str">
            <v>ОЦ5.10.99</v>
          </cell>
          <cell r="AD770">
            <v>37290</v>
          </cell>
          <cell r="AE770">
            <v>37336</v>
          </cell>
          <cell r="AF770">
            <v>46</v>
          </cell>
        </row>
        <row r="771">
          <cell r="Y771" t="str">
            <v>-</v>
          </cell>
          <cell r="Z771" t="str">
            <v>-</v>
          </cell>
          <cell r="AA771">
            <v>73</v>
          </cell>
          <cell r="AF771">
            <v>17</v>
          </cell>
          <cell r="AG771" t="e">
            <v>#REF!</v>
          </cell>
          <cell r="AH771" t="e">
            <v>#REF!</v>
          </cell>
        </row>
        <row r="772">
          <cell r="B772">
            <v>5371</v>
          </cell>
          <cell r="C772">
            <v>102</v>
          </cell>
          <cell r="G772">
            <v>250</v>
          </cell>
          <cell r="H772" t="str">
            <v>нагнет.</v>
          </cell>
          <cell r="I772" t="str">
            <v>бд</v>
          </cell>
          <cell r="J772">
            <v>35779</v>
          </cell>
          <cell r="K772">
            <v>240</v>
          </cell>
          <cell r="N772">
            <v>120</v>
          </cell>
          <cell r="Q772">
            <v>120</v>
          </cell>
          <cell r="R772">
            <v>0</v>
          </cell>
          <cell r="U772" t="str">
            <v>нг</v>
          </cell>
          <cell r="V772">
            <v>4</v>
          </cell>
          <cell r="W772" t="str">
            <v>ОТСК. Запуск ППД</v>
          </cell>
          <cell r="Y772" t="str">
            <v>Полет НКТ</v>
          </cell>
          <cell r="Z772">
            <v>120</v>
          </cell>
          <cell r="AF772">
            <v>26</v>
          </cell>
          <cell r="AG772">
            <v>0</v>
          </cell>
          <cell r="AH772">
            <v>0</v>
          </cell>
        </row>
        <row r="773">
          <cell r="B773">
            <v>5372</v>
          </cell>
          <cell r="C773">
            <v>102</v>
          </cell>
          <cell r="G773">
            <v>250</v>
          </cell>
          <cell r="H773" t="str">
            <v>нагнет.</v>
          </cell>
          <cell r="I773" t="str">
            <v>бд</v>
          </cell>
          <cell r="J773">
            <v>32843</v>
          </cell>
          <cell r="K773">
            <v>130</v>
          </cell>
          <cell r="N773">
            <v>120</v>
          </cell>
          <cell r="Q773">
            <v>120</v>
          </cell>
          <cell r="R773">
            <v>0</v>
          </cell>
          <cell r="U773" t="str">
            <v>нг</v>
          </cell>
          <cell r="W773" t="str">
            <v>ЛА (извлечение НКТ). ОТСК. Запуск ППД</v>
          </cell>
          <cell r="X773" t="str">
            <v>Забой - 120 м</v>
          </cell>
          <cell r="Y773" t="str">
            <v>зумпф-1м (нижн. интерв.изолир.)</v>
          </cell>
          <cell r="Z773">
            <v>2733.6</v>
          </cell>
          <cell r="AA773">
            <v>73</v>
          </cell>
          <cell r="AB773">
            <v>39541</v>
          </cell>
          <cell r="AC773">
            <v>223.1</v>
          </cell>
          <cell r="AF773">
            <v>36</v>
          </cell>
          <cell r="AG773">
            <v>0</v>
          </cell>
          <cell r="AH773">
            <v>0</v>
          </cell>
        </row>
        <row r="774">
          <cell r="B774">
            <v>5373</v>
          </cell>
          <cell r="C774">
            <v>103</v>
          </cell>
          <cell r="G774">
            <v>233</v>
          </cell>
          <cell r="H774" t="str">
            <v>нагнет.</v>
          </cell>
          <cell r="I774" t="str">
            <v>конс.</v>
          </cell>
          <cell r="J774">
            <v>34474</v>
          </cell>
          <cell r="K774">
            <v>375</v>
          </cell>
          <cell r="N774">
            <v>120</v>
          </cell>
          <cell r="Q774">
            <v>120</v>
          </cell>
          <cell r="R774">
            <v>0</v>
          </cell>
          <cell r="U774" t="str">
            <v>нг</v>
          </cell>
          <cell r="W774" t="str">
            <v>ОТСК. ГИС-3. Ликвидация ЗКЦ?</v>
          </cell>
          <cell r="Y774" t="str">
            <v>+19</v>
          </cell>
          <cell r="Z774">
            <v>2767</v>
          </cell>
          <cell r="AC774">
            <v>224.5</v>
          </cell>
          <cell r="AF774">
            <v>35</v>
          </cell>
          <cell r="AG774">
            <v>0</v>
          </cell>
          <cell r="AH774">
            <v>0</v>
          </cell>
        </row>
        <row r="775">
          <cell r="B775">
            <v>5374</v>
          </cell>
          <cell r="C775">
            <v>103</v>
          </cell>
          <cell r="G775">
            <v>234</v>
          </cell>
          <cell r="H775" t="str">
            <v>нагнет.</v>
          </cell>
          <cell r="I775" t="str">
            <v>конс.</v>
          </cell>
          <cell r="J775">
            <v>34474</v>
          </cell>
          <cell r="K775">
            <v>180</v>
          </cell>
          <cell r="N775">
            <v>120</v>
          </cell>
          <cell r="Q775">
            <v>120</v>
          </cell>
          <cell r="R775">
            <v>0</v>
          </cell>
          <cell r="U775" t="str">
            <v>нг</v>
          </cell>
          <cell r="W775" t="str">
            <v>ВЗ. ОТСК</v>
          </cell>
          <cell r="AF775">
            <v>11</v>
          </cell>
          <cell r="AG775">
            <v>0</v>
          </cell>
          <cell r="AH775">
            <v>0</v>
          </cell>
        </row>
        <row r="776">
          <cell r="B776">
            <v>5389</v>
          </cell>
          <cell r="C776">
            <v>109</v>
          </cell>
          <cell r="G776">
            <v>280</v>
          </cell>
          <cell r="H776" t="str">
            <v>нагнет.</v>
          </cell>
          <cell r="I776" t="str">
            <v>бд</v>
          </cell>
          <cell r="J776">
            <v>36458</v>
          </cell>
          <cell r="K776">
            <v>175</v>
          </cell>
          <cell r="N776">
            <v>100</v>
          </cell>
          <cell r="Q776">
            <v>100</v>
          </cell>
          <cell r="U776" t="str">
            <v>нг</v>
          </cell>
          <cell r="W776" t="str">
            <v xml:space="preserve">ОПЗ </v>
          </cell>
          <cell r="X776" t="str">
            <v>Закачка от КНС-1</v>
          </cell>
          <cell r="AF776">
            <v>24</v>
          </cell>
          <cell r="AG776">
            <v>0</v>
          </cell>
          <cell r="AH776">
            <v>0</v>
          </cell>
        </row>
        <row r="777">
          <cell r="B777">
            <v>5391</v>
          </cell>
          <cell r="C777">
            <v>109</v>
          </cell>
          <cell r="G777">
            <v>285</v>
          </cell>
          <cell r="H777" t="str">
            <v>нагнет.</v>
          </cell>
          <cell r="I777" t="str">
            <v>бд</v>
          </cell>
          <cell r="J777">
            <v>34426</v>
          </cell>
          <cell r="K777">
            <v>240</v>
          </cell>
          <cell r="N777">
            <v>100</v>
          </cell>
          <cell r="Q777">
            <v>100</v>
          </cell>
          <cell r="U777" t="str">
            <v>нг</v>
          </cell>
          <cell r="W777" t="str">
            <v>ИР ЮК-11. ОПЗ. Пуск под закачку</v>
          </cell>
          <cell r="X777" t="str">
            <v>Закачка от КНС-1</v>
          </cell>
          <cell r="Y777" t="str">
            <v>Напушение Э/К</v>
          </cell>
          <cell r="AD777">
            <v>37428</v>
          </cell>
          <cell r="AE777">
            <v>37457</v>
          </cell>
          <cell r="AF777">
            <v>29</v>
          </cell>
        </row>
        <row r="778">
          <cell r="B778">
            <v>5216</v>
          </cell>
          <cell r="C778">
            <v>134</v>
          </cell>
          <cell r="F778" t="str">
            <v>УПНПиКРС</v>
          </cell>
          <cell r="H778" t="str">
            <v>ШГН</v>
          </cell>
          <cell r="I778" t="str">
            <v>конс.</v>
          </cell>
          <cell r="N778">
            <v>50</v>
          </cell>
          <cell r="O778">
            <v>30</v>
          </cell>
          <cell r="P778">
            <v>26.5</v>
          </cell>
          <cell r="Q778">
            <v>50</v>
          </cell>
          <cell r="R778">
            <v>30</v>
          </cell>
          <cell r="S778">
            <v>25.9</v>
          </cell>
          <cell r="U778" t="str">
            <v>ГРП</v>
          </cell>
          <cell r="W778" t="str">
            <v>ВЦ, РИР ЮК-10, СО-каротаж ПР к ГРП, ГРП ЮК-2, осв.</v>
          </cell>
          <cell r="AD778">
            <v>37410</v>
          </cell>
          <cell r="AE778">
            <v>37445</v>
          </cell>
          <cell r="AF778">
            <v>35</v>
          </cell>
        </row>
        <row r="779">
          <cell r="B779">
            <v>5368</v>
          </cell>
          <cell r="C779">
            <v>101</v>
          </cell>
          <cell r="F779" t="str">
            <v>УПНПиКРС</v>
          </cell>
          <cell r="H779" t="str">
            <v>нагнет.</v>
          </cell>
          <cell r="I779" t="str">
            <v>конс.</v>
          </cell>
          <cell r="N779">
            <v>50</v>
          </cell>
          <cell r="O779">
            <v>20</v>
          </cell>
          <cell r="P779">
            <v>51</v>
          </cell>
          <cell r="Q779">
            <v>50</v>
          </cell>
          <cell r="R779">
            <v>20</v>
          </cell>
          <cell r="S779">
            <v>50.6</v>
          </cell>
          <cell r="T779">
            <v>37435</v>
          </cell>
          <cell r="U779" t="str">
            <v>ГРП</v>
          </cell>
          <cell r="W779" t="str">
            <v>Извл.НКТ, РИР ЮК-10, ПР к ГРП, ГРП ЮК-2, осв.</v>
          </cell>
          <cell r="Y779" t="str">
            <v>Негерм. Э/к</v>
          </cell>
          <cell r="AD779">
            <v>37429</v>
          </cell>
          <cell r="AE779">
            <v>37463</v>
          </cell>
          <cell r="AF779">
            <v>34</v>
          </cell>
        </row>
        <row r="780">
          <cell r="B780">
            <v>5264</v>
          </cell>
          <cell r="C780">
            <v>133</v>
          </cell>
          <cell r="F780" t="str">
            <v>УПНПиКРС</v>
          </cell>
          <cell r="H780" t="str">
            <v>нагнет.</v>
          </cell>
          <cell r="I780" t="str">
            <v>конс.</v>
          </cell>
          <cell r="N780">
            <v>50</v>
          </cell>
          <cell r="O780">
            <v>20</v>
          </cell>
          <cell r="P780">
            <v>51</v>
          </cell>
          <cell r="Q780">
            <v>50</v>
          </cell>
          <cell r="R780">
            <v>20</v>
          </cell>
          <cell r="S780">
            <v>50.6</v>
          </cell>
          <cell r="T780">
            <v>37466</v>
          </cell>
          <cell r="U780" t="str">
            <v>ГРП</v>
          </cell>
          <cell r="W780" t="str">
            <v>ВЦ, РИР ЮК-10, ПР к ГРП, ГРП ЮК-2, осв.</v>
          </cell>
          <cell r="AD780">
            <v>37388</v>
          </cell>
          <cell r="AE780">
            <v>37423</v>
          </cell>
          <cell r="AF780">
            <v>35</v>
          </cell>
        </row>
        <row r="781">
          <cell r="B781">
            <v>3060</v>
          </cell>
          <cell r="C781">
            <v>67</v>
          </cell>
          <cell r="F781" t="str">
            <v>УПНПиКРС</v>
          </cell>
          <cell r="H781" t="str">
            <v>нагнет.</v>
          </cell>
          <cell r="I781" t="str">
            <v>конс.</v>
          </cell>
          <cell r="N781">
            <v>50</v>
          </cell>
          <cell r="O781">
            <v>30</v>
          </cell>
          <cell r="P781">
            <v>26.5</v>
          </cell>
          <cell r="Q781">
            <v>50</v>
          </cell>
          <cell r="R781">
            <v>30</v>
          </cell>
          <cell r="S781">
            <v>25.9</v>
          </cell>
          <cell r="T781">
            <v>37389</v>
          </cell>
          <cell r="U781" t="str">
            <v>ГРП</v>
          </cell>
          <cell r="W781" t="str">
            <v>РИР ЮК-11, ПР к ГРП и ГРП ЮК-2</v>
          </cell>
          <cell r="Y781" t="str">
            <v>Негерм. Э/к</v>
          </cell>
          <cell r="AD781">
            <v>37461</v>
          </cell>
          <cell r="AE781">
            <v>37503</v>
          </cell>
          <cell r="AF781">
            <v>42</v>
          </cell>
        </row>
        <row r="782">
          <cell r="B782">
            <v>4366</v>
          </cell>
          <cell r="C782">
            <v>200</v>
          </cell>
          <cell r="F782" t="str">
            <v>УПНПиКРС</v>
          </cell>
          <cell r="H782" t="str">
            <v>нагнет.</v>
          </cell>
          <cell r="I782" t="str">
            <v>бд</v>
          </cell>
          <cell r="N782">
            <v>50</v>
          </cell>
          <cell r="O782">
            <v>30</v>
          </cell>
          <cell r="P782">
            <v>26.5</v>
          </cell>
          <cell r="Q782">
            <v>50</v>
          </cell>
          <cell r="R782">
            <v>30</v>
          </cell>
          <cell r="S782">
            <v>25.9</v>
          </cell>
          <cell r="T782">
            <v>37506</v>
          </cell>
          <cell r="U782" t="str">
            <v>нг</v>
          </cell>
          <cell r="W782" t="str">
            <v>Извл.НКТ, РИР ЮК-10, ПР к ГРП, ГРП ЮК-2, осв.</v>
          </cell>
          <cell r="AD782">
            <v>37457</v>
          </cell>
          <cell r="AE782">
            <v>37491</v>
          </cell>
          <cell r="AF782">
            <v>34</v>
          </cell>
        </row>
        <row r="783">
          <cell r="B783">
            <v>2725</v>
          </cell>
          <cell r="C783">
            <v>146</v>
          </cell>
          <cell r="F783" t="str">
            <v>УПНПиКРС</v>
          </cell>
          <cell r="H783" t="str">
            <v>нагнет.</v>
          </cell>
          <cell r="I783" t="str">
            <v>бд</v>
          </cell>
          <cell r="N783">
            <v>50</v>
          </cell>
          <cell r="O783">
            <v>30</v>
          </cell>
          <cell r="P783">
            <v>26.5</v>
          </cell>
          <cell r="Q783">
            <v>50</v>
          </cell>
          <cell r="R783">
            <v>30</v>
          </cell>
          <cell r="S783">
            <v>25.9</v>
          </cell>
          <cell r="T783">
            <v>37497</v>
          </cell>
          <cell r="U783" t="str">
            <v>ГРП</v>
          </cell>
          <cell r="W783" t="str">
            <v>ОТСК, РИР ЮК-10, ПР к ГРП, ГРП ЮК-2, осв.</v>
          </cell>
        </row>
        <row r="784">
          <cell r="B784">
            <v>3228</v>
          </cell>
          <cell r="C784">
            <v>70</v>
          </cell>
          <cell r="H784" t="str">
            <v>нагнет.</v>
          </cell>
          <cell r="I784" t="str">
            <v>конс.</v>
          </cell>
          <cell r="Q784">
            <v>0</v>
          </cell>
          <cell r="R784">
            <v>0</v>
          </cell>
          <cell r="T784">
            <v>37864</v>
          </cell>
          <cell r="U784" t="str">
            <v>нг</v>
          </cell>
          <cell r="W784" t="str">
            <v>ВЦ, ОТСК, достр.ЮК-11</v>
          </cell>
          <cell r="X784" t="str">
            <v>утилизация</v>
          </cell>
          <cell r="AD784">
            <v>37043</v>
          </cell>
          <cell r="AE784">
            <v>37043</v>
          </cell>
        </row>
        <row r="785">
          <cell r="B785" t="str">
            <v>5402б</v>
          </cell>
          <cell r="C785">
            <v>103</v>
          </cell>
          <cell r="H785" t="str">
            <v>ЭЦН</v>
          </cell>
          <cell r="I785" t="str">
            <v>конс.</v>
          </cell>
          <cell r="K785">
            <v>84</v>
          </cell>
          <cell r="L785">
            <v>2.7</v>
          </cell>
          <cell r="M785">
            <v>96</v>
          </cell>
          <cell r="N785">
            <v>80</v>
          </cell>
          <cell r="O785">
            <v>3</v>
          </cell>
          <cell r="P785">
            <v>95.4</v>
          </cell>
          <cell r="Q785">
            <v>80</v>
          </cell>
          <cell r="R785">
            <v>3</v>
          </cell>
          <cell r="S785">
            <v>95.4</v>
          </cell>
          <cell r="T785">
            <v>37050</v>
          </cell>
          <cell r="U785" t="str">
            <v>ВЦ</v>
          </cell>
          <cell r="W785" t="str">
            <v>ВЦ. ГИС-2</v>
          </cell>
          <cell r="X785" t="str">
            <v>ВЦ ООО "Электропрогрев"</v>
          </cell>
          <cell r="AD785">
            <v>37044</v>
          </cell>
          <cell r="AE785">
            <v>37044</v>
          </cell>
        </row>
        <row r="786">
          <cell r="B786">
            <v>5428</v>
          </cell>
          <cell r="C786">
            <v>103</v>
          </cell>
          <cell r="H786" t="str">
            <v>ШГН</v>
          </cell>
          <cell r="I786" t="str">
            <v>конс.</v>
          </cell>
          <cell r="O786">
            <v>0</v>
          </cell>
          <cell r="Q786">
            <v>0</v>
          </cell>
          <cell r="R786">
            <v>0</v>
          </cell>
          <cell r="S786" t="e">
            <v>#DIV/0!</v>
          </cell>
          <cell r="T786">
            <v>37933</v>
          </cell>
          <cell r="U786" t="str">
            <v>ОПЗ</v>
          </cell>
          <cell r="W786" t="str">
            <v>ВЦ. ГИС-2. ИДН</v>
          </cell>
          <cell r="AD786">
            <v>36951</v>
          </cell>
          <cell r="AE786">
            <v>36951</v>
          </cell>
        </row>
        <row r="787">
          <cell r="B787" t="str">
            <v>5321б</v>
          </cell>
          <cell r="C787">
            <v>135</v>
          </cell>
          <cell r="H787" t="str">
            <v>ЭЦН</v>
          </cell>
          <cell r="I787" t="str">
            <v>конс.</v>
          </cell>
          <cell r="L787">
            <v>0</v>
          </cell>
          <cell r="N787">
            <v>50</v>
          </cell>
          <cell r="O787">
            <v>4</v>
          </cell>
          <cell r="P787">
            <v>90.1</v>
          </cell>
          <cell r="Q787">
            <v>50</v>
          </cell>
          <cell r="R787">
            <v>4</v>
          </cell>
          <cell r="T787">
            <v>36966</v>
          </cell>
          <cell r="W787" t="str">
            <v>ВЦ. Ревизия ЭЦН</v>
          </cell>
          <cell r="X787" t="str">
            <v>ВЦ ООО "Электропрогрев"</v>
          </cell>
          <cell r="AD787">
            <v>36952</v>
          </cell>
          <cell r="AE787">
            <v>36952</v>
          </cell>
        </row>
        <row r="788">
          <cell r="B788">
            <v>5219</v>
          </cell>
          <cell r="C788">
            <v>135</v>
          </cell>
          <cell r="H788" t="str">
            <v>ЭЦН</v>
          </cell>
          <cell r="I788" t="str">
            <v>конс.</v>
          </cell>
          <cell r="L788">
            <v>0</v>
          </cell>
          <cell r="N788">
            <v>40</v>
          </cell>
          <cell r="O788">
            <v>2.1</v>
          </cell>
          <cell r="P788">
            <v>93.7</v>
          </cell>
          <cell r="Q788">
            <v>40</v>
          </cell>
          <cell r="R788">
            <v>2.1</v>
          </cell>
          <cell r="T788">
            <v>36967</v>
          </cell>
          <cell r="W788" t="str">
            <v>ВЦ. Ревизия ЭЦН</v>
          </cell>
          <cell r="X788" t="str">
            <v>ВЦ ООО "Электропрогрев"</v>
          </cell>
          <cell r="AD788">
            <v>36953</v>
          </cell>
          <cell r="AE788">
            <v>36953</v>
          </cell>
        </row>
        <row r="789">
          <cell r="B789">
            <v>5295</v>
          </cell>
          <cell r="C789">
            <v>135</v>
          </cell>
          <cell r="H789" t="str">
            <v>ЭЦН</v>
          </cell>
          <cell r="I789" t="str">
            <v>конс.</v>
          </cell>
          <cell r="L789">
            <v>0</v>
          </cell>
          <cell r="N789">
            <v>50</v>
          </cell>
          <cell r="O789">
            <v>2</v>
          </cell>
          <cell r="P789">
            <v>95.1</v>
          </cell>
          <cell r="Q789">
            <v>50</v>
          </cell>
          <cell r="R789">
            <v>2</v>
          </cell>
          <cell r="T789">
            <v>36969</v>
          </cell>
          <cell r="W789" t="str">
            <v>ВЦ. Ревизия ЭЦН</v>
          </cell>
          <cell r="X789" t="str">
            <v>ВЦ ООО "Электропрогрев"</v>
          </cell>
        </row>
        <row r="790">
          <cell r="B790">
            <v>5318</v>
          </cell>
          <cell r="C790">
            <v>134</v>
          </cell>
          <cell r="H790" t="str">
            <v>нагнет.</v>
          </cell>
          <cell r="I790" t="str">
            <v>бд</v>
          </cell>
          <cell r="N790">
            <v>300</v>
          </cell>
          <cell r="Q790">
            <v>300</v>
          </cell>
          <cell r="W790" t="str">
            <v>Спуск и привязка пакера, Запуск в ППД</v>
          </cell>
          <cell r="X790" t="str">
            <v>Уменьшить штуцер через 3 мес.</v>
          </cell>
          <cell r="AD790">
            <v>36955</v>
          </cell>
          <cell r="AE790">
            <v>36955</v>
          </cell>
        </row>
        <row r="791">
          <cell r="B791">
            <v>2895</v>
          </cell>
          <cell r="C791">
            <v>42</v>
          </cell>
          <cell r="G791">
            <v>285</v>
          </cell>
          <cell r="H791" t="str">
            <v>нагнет.</v>
          </cell>
          <cell r="I791" t="str">
            <v>бд</v>
          </cell>
          <cell r="K791">
            <v>50</v>
          </cell>
          <cell r="N791">
            <v>150</v>
          </cell>
          <cell r="Q791">
            <v>150</v>
          </cell>
          <cell r="T791">
            <v>36958</v>
          </cell>
          <cell r="W791" t="str">
            <v>Интенсификация прием. НТПН</v>
          </cell>
          <cell r="X791" t="str">
            <v>НТПН</v>
          </cell>
          <cell r="AD791">
            <v>36956</v>
          </cell>
          <cell r="AE791">
            <v>36956</v>
          </cell>
        </row>
        <row r="792">
          <cell r="B792">
            <v>2897</v>
          </cell>
          <cell r="C792">
            <v>42</v>
          </cell>
          <cell r="G792">
            <v>290</v>
          </cell>
          <cell r="H792" t="str">
            <v>нагнет.</v>
          </cell>
          <cell r="I792" t="str">
            <v>действ.</v>
          </cell>
          <cell r="K792">
            <v>100</v>
          </cell>
          <cell r="N792">
            <v>200</v>
          </cell>
          <cell r="Q792">
            <v>200</v>
          </cell>
          <cell r="T792">
            <v>36959</v>
          </cell>
          <cell r="W792" t="str">
            <v>Интенсификация прием. НТПН</v>
          </cell>
          <cell r="X792" t="str">
            <v>НТПН</v>
          </cell>
          <cell r="AD792">
            <v>36957</v>
          </cell>
          <cell r="AE792">
            <v>36957</v>
          </cell>
        </row>
        <row r="793">
          <cell r="B793">
            <v>2993</v>
          </cell>
          <cell r="C793">
            <v>42</v>
          </cell>
          <cell r="G793">
            <v>310</v>
          </cell>
          <cell r="H793" t="str">
            <v>ШГН</v>
          </cell>
          <cell r="I793" t="str">
            <v>конс.</v>
          </cell>
          <cell r="K793">
            <v>7</v>
          </cell>
          <cell r="L793">
            <v>5.0999999999999996</v>
          </cell>
          <cell r="M793">
            <v>10</v>
          </cell>
          <cell r="N793">
            <v>7</v>
          </cell>
          <cell r="O793">
            <v>4.8</v>
          </cell>
          <cell r="P793">
            <v>15</v>
          </cell>
          <cell r="Q793">
            <v>7</v>
          </cell>
          <cell r="R793">
            <v>4.8</v>
          </cell>
          <cell r="T793">
            <v>36962</v>
          </cell>
          <cell r="W793" t="str">
            <v>ВЦ. ПП и ОПЗ. УГИС. Спуск ШГН</v>
          </cell>
          <cell r="AD793">
            <v>36958</v>
          </cell>
          <cell r="AE793">
            <v>36958</v>
          </cell>
        </row>
        <row r="794">
          <cell r="B794">
            <v>5470</v>
          </cell>
          <cell r="C794">
            <v>108</v>
          </cell>
          <cell r="G794">
            <v>275</v>
          </cell>
          <cell r="H794" t="str">
            <v>ЭЦН</v>
          </cell>
          <cell r="I794" t="str">
            <v>конс.</v>
          </cell>
          <cell r="K794">
            <v>41</v>
          </cell>
          <cell r="L794">
            <v>3.7</v>
          </cell>
          <cell r="M794">
            <v>89</v>
          </cell>
          <cell r="N794">
            <v>20</v>
          </cell>
          <cell r="O794">
            <v>3</v>
          </cell>
          <cell r="P794">
            <v>81.5</v>
          </cell>
          <cell r="Q794">
            <v>20</v>
          </cell>
          <cell r="R794">
            <v>3</v>
          </cell>
          <cell r="T794">
            <v>36964</v>
          </cell>
          <cell r="W794" t="str">
            <v>ВЦ. ГИС-2. ОВП (НТПН). ГИС-2. Спуск ЭЦН</v>
          </cell>
          <cell r="X794" t="str">
            <v>НТПН-2000</v>
          </cell>
          <cell r="AG794">
            <v>0</v>
          </cell>
        </row>
        <row r="795">
          <cell r="B795">
            <v>5451</v>
          </cell>
          <cell r="C795">
            <v>101</v>
          </cell>
          <cell r="H795" t="str">
            <v>ШГН</v>
          </cell>
          <cell r="I795" t="str">
            <v>бд</v>
          </cell>
          <cell r="U795" t="str">
            <v>ОПЗ</v>
          </cell>
          <cell r="W795" t="str">
            <v>ВЦ,ДП УГИС. ОПЗ НТПН. ГДИ</v>
          </cell>
          <cell r="AG795">
            <v>0</v>
          </cell>
        </row>
        <row r="796">
          <cell r="B796">
            <v>5453</v>
          </cell>
          <cell r="C796">
            <v>101</v>
          </cell>
          <cell r="H796" t="str">
            <v>ШГН</v>
          </cell>
          <cell r="U796" t="str">
            <v>ОПЗ</v>
          </cell>
          <cell r="W796" t="str">
            <v>ВЦ,ПП УГИС.  ГДИ</v>
          </cell>
          <cell r="AB796" t="str">
            <v>есть СК</v>
          </cell>
          <cell r="AF796">
            <v>105</v>
          </cell>
          <cell r="AG796" t="e">
            <v>#REF!</v>
          </cell>
        </row>
        <row r="797">
          <cell r="B797">
            <v>5370</v>
          </cell>
          <cell r="C797">
            <v>102</v>
          </cell>
          <cell r="U797" t="str">
            <v>ЛА</v>
          </cell>
          <cell r="W797" t="str">
            <v>Извл.аварийных НКТ</v>
          </cell>
          <cell r="Y797" t="str">
            <v>При ПРС полёт Э-80 без лов.головки</v>
          </cell>
        </row>
        <row r="798">
          <cell r="B798">
            <v>5400</v>
          </cell>
          <cell r="C798">
            <v>103</v>
          </cell>
          <cell r="U798" t="str">
            <v>ЛА</v>
          </cell>
          <cell r="W798" t="str">
            <v>Извл.ЭЦН-80,Восст.Нз ГЖ,ГДИ сп.ЭЦН.</v>
          </cell>
          <cell r="Y798" t="str">
            <v>В скважине низ пакера+хвоставик из НКТ 3"</v>
          </cell>
        </row>
        <row r="799">
          <cell r="B799">
            <v>5428</v>
          </cell>
          <cell r="C799">
            <v>103</v>
          </cell>
          <cell r="W799" t="str">
            <v>ВЦ,ВЗ,(извл.НКТ 3")ПП УГИС.  ГДИ</v>
          </cell>
          <cell r="X799" t="str">
            <v>В ППД с 6.83 по 09.84г.</v>
          </cell>
        </row>
        <row r="800">
          <cell r="B800">
            <v>5347</v>
          </cell>
          <cell r="C800">
            <v>103</v>
          </cell>
          <cell r="U800" t="str">
            <v>ЛА</v>
          </cell>
          <cell r="W800" t="str">
            <v>Извл.проволки,восст.Нз ГЖ,ГДИ сп.ЭЦН.</v>
          </cell>
        </row>
        <row r="801">
          <cell r="B801" t="str">
            <v>5402б</v>
          </cell>
          <cell r="C801">
            <v>103</v>
          </cell>
          <cell r="U801" t="str">
            <v>ВЦ</v>
          </cell>
          <cell r="W801" t="str">
            <v>ВЦ ПРС промывка забоя</v>
          </cell>
        </row>
        <row r="802">
          <cell r="B802">
            <v>4119</v>
          </cell>
          <cell r="C802">
            <v>311</v>
          </cell>
          <cell r="U802" t="str">
            <v>ВЦ</v>
          </cell>
          <cell r="W802" t="str">
            <v>ВЦ ПРС промывка забоя</v>
          </cell>
        </row>
        <row r="803">
          <cell r="B803">
            <v>4120</v>
          </cell>
          <cell r="C803">
            <v>311</v>
          </cell>
          <cell r="U803" t="str">
            <v>ВЦ</v>
          </cell>
          <cell r="W803" t="str">
            <v>ВЦ ПРС промывка забоя</v>
          </cell>
        </row>
        <row r="804">
          <cell r="B804">
            <v>4212</v>
          </cell>
          <cell r="C804">
            <v>311</v>
          </cell>
          <cell r="U804" t="str">
            <v>ВЦ</v>
          </cell>
          <cell r="W804" t="str">
            <v>ВЦ ПРС промывка забоя</v>
          </cell>
          <cell r="AD804">
            <v>1</v>
          </cell>
          <cell r="AE804">
            <v>23</v>
          </cell>
          <cell r="AF804">
            <v>22</v>
          </cell>
          <cell r="AG804">
            <v>0</v>
          </cell>
          <cell r="AH804">
            <v>-3900</v>
          </cell>
        </row>
        <row r="805">
          <cell r="B805">
            <v>2895</v>
          </cell>
          <cell r="C805">
            <v>42</v>
          </cell>
          <cell r="G805">
            <v>280</v>
          </cell>
          <cell r="H805" t="str">
            <v>нагнет.</v>
          </cell>
          <cell r="I805" t="str">
            <v>бд</v>
          </cell>
          <cell r="N805">
            <v>150</v>
          </cell>
          <cell r="Q805">
            <v>150</v>
          </cell>
          <cell r="T805">
            <v>26</v>
          </cell>
          <cell r="U805" t="str">
            <v>ОПЗ</v>
          </cell>
          <cell r="W805" t="str">
            <v>ВЗ УГИС,ОПЗ ИХН, ГИС-3 пуск под закачку</v>
          </cell>
          <cell r="AD805">
            <v>24</v>
          </cell>
          <cell r="AE805">
            <v>35</v>
          </cell>
          <cell r="AF805">
            <v>11</v>
          </cell>
          <cell r="AG805">
            <v>0</v>
          </cell>
          <cell r="AH805">
            <v>-5700</v>
          </cell>
        </row>
        <row r="806">
          <cell r="B806">
            <v>2897</v>
          </cell>
          <cell r="C806">
            <v>42</v>
          </cell>
          <cell r="G806">
            <v>295</v>
          </cell>
          <cell r="H806" t="str">
            <v>нагнет.</v>
          </cell>
          <cell r="I806" t="str">
            <v>бд</v>
          </cell>
          <cell r="N806">
            <v>150</v>
          </cell>
          <cell r="Q806">
            <v>150</v>
          </cell>
          <cell r="T806">
            <v>38</v>
          </cell>
          <cell r="U806" t="str">
            <v>нг</v>
          </cell>
          <cell r="W806" t="str">
            <v>Ревизия лифта,промывка Нз,ГИС-3</v>
          </cell>
          <cell r="AD806">
            <v>36</v>
          </cell>
          <cell r="AE806">
            <v>47</v>
          </cell>
          <cell r="AF806">
            <v>11</v>
          </cell>
        </row>
        <row r="807">
          <cell r="B807">
            <v>2974</v>
          </cell>
          <cell r="C807">
            <v>46</v>
          </cell>
          <cell r="G807">
            <v>280</v>
          </cell>
          <cell r="H807" t="str">
            <v>нагнет.</v>
          </cell>
          <cell r="I807" t="str">
            <v>бд</v>
          </cell>
          <cell r="N807">
            <v>150</v>
          </cell>
          <cell r="Q807">
            <v>150</v>
          </cell>
          <cell r="T807">
            <v>50</v>
          </cell>
          <cell r="U807" t="str">
            <v>нг</v>
          </cell>
          <cell r="W807" t="str">
            <v>Ревизия лифта,промывка Нз</v>
          </cell>
          <cell r="AD807">
            <v>48</v>
          </cell>
          <cell r="AE807">
            <v>60</v>
          </cell>
          <cell r="AF807">
            <v>12</v>
          </cell>
          <cell r="AG807">
            <v>0</v>
          </cell>
          <cell r="AH807">
            <v>-7560</v>
          </cell>
        </row>
        <row r="808">
          <cell r="B808">
            <v>5731</v>
          </cell>
          <cell r="C808">
            <v>125</v>
          </cell>
          <cell r="G808">
            <v>245</v>
          </cell>
          <cell r="H808" t="str">
            <v>нагнет.</v>
          </cell>
          <cell r="I808" t="str">
            <v>конс.</v>
          </cell>
          <cell r="N808">
            <v>120</v>
          </cell>
          <cell r="Q808">
            <v>120</v>
          </cell>
          <cell r="T808">
            <v>63</v>
          </cell>
          <cell r="U808" t="str">
            <v>нг</v>
          </cell>
          <cell r="W808" t="str">
            <v>Ревизия лифта,ВЗГИС-3,пуск под закачку</v>
          </cell>
          <cell r="AD808">
            <v>61</v>
          </cell>
          <cell r="AE808">
            <v>73</v>
          </cell>
          <cell r="AF808">
            <v>12</v>
          </cell>
        </row>
        <row r="809">
          <cell r="B809">
            <v>5732</v>
          </cell>
          <cell r="C809">
            <v>125</v>
          </cell>
          <cell r="G809">
            <v>245</v>
          </cell>
          <cell r="H809" t="str">
            <v>нагнет.</v>
          </cell>
          <cell r="I809" t="str">
            <v>конс.</v>
          </cell>
          <cell r="Q809">
            <v>0</v>
          </cell>
          <cell r="T809">
            <v>76</v>
          </cell>
          <cell r="U809" t="str">
            <v>нг</v>
          </cell>
          <cell r="W809" t="str">
            <v>Ревизия лифта,ВЗГИС-3,пуск под закачку</v>
          </cell>
          <cell r="AD809">
            <v>74</v>
          </cell>
          <cell r="AE809">
            <v>86</v>
          </cell>
          <cell r="AF809">
            <v>12</v>
          </cell>
        </row>
        <row r="810">
          <cell r="B810">
            <v>5733</v>
          </cell>
          <cell r="C810">
            <v>125</v>
          </cell>
          <cell r="G810">
            <v>245</v>
          </cell>
          <cell r="H810" t="str">
            <v>нагнет.</v>
          </cell>
          <cell r="I810" t="str">
            <v>конс.</v>
          </cell>
          <cell r="Q810">
            <v>0</v>
          </cell>
          <cell r="T810">
            <v>89</v>
          </cell>
          <cell r="U810" t="str">
            <v>нг</v>
          </cell>
          <cell r="W810" t="str">
            <v>Ревизия лифта,ВЗГИС-3,пуск под закачку</v>
          </cell>
          <cell r="Y810" t="str">
            <v>-</v>
          </cell>
          <cell r="Z810" t="str">
            <v>-</v>
          </cell>
          <cell r="AA810">
            <v>73</v>
          </cell>
          <cell r="AD810">
            <v>87</v>
          </cell>
          <cell r="AE810">
            <v>104</v>
          </cell>
          <cell r="AF810">
            <v>17</v>
          </cell>
          <cell r="AG810">
            <v>0</v>
          </cell>
          <cell r="AH810">
            <v>-12840</v>
          </cell>
        </row>
        <row r="811">
          <cell r="B811">
            <v>5371</v>
          </cell>
          <cell r="C811">
            <v>102</v>
          </cell>
          <cell r="G811">
            <v>255</v>
          </cell>
          <cell r="H811" t="str">
            <v>нагнет.</v>
          </cell>
          <cell r="I811" t="str">
            <v>бд</v>
          </cell>
          <cell r="N811">
            <v>120</v>
          </cell>
          <cell r="Q811">
            <v>120</v>
          </cell>
          <cell r="R811">
            <v>0</v>
          </cell>
          <cell r="T811">
            <v>107</v>
          </cell>
          <cell r="U811" t="str">
            <v>нг</v>
          </cell>
          <cell r="W811" t="str">
            <v>ОТСК. Запуск ППД</v>
          </cell>
          <cell r="Y811" t="str">
            <v>Полет НКТ</v>
          </cell>
          <cell r="Z811">
            <v>120</v>
          </cell>
          <cell r="AD811">
            <v>105</v>
          </cell>
          <cell r="AE811">
            <v>131</v>
          </cell>
          <cell r="AF811">
            <v>26</v>
          </cell>
          <cell r="AG811">
            <v>0</v>
          </cell>
          <cell r="AH811">
            <v>-16080</v>
          </cell>
        </row>
        <row r="812">
          <cell r="B812">
            <v>5372</v>
          </cell>
          <cell r="C812">
            <v>102</v>
          </cell>
          <cell r="G812">
            <v>250</v>
          </cell>
          <cell r="H812" t="str">
            <v>нагнет.</v>
          </cell>
          <cell r="I812" t="str">
            <v>конс.</v>
          </cell>
          <cell r="N812">
            <v>120</v>
          </cell>
          <cell r="Q812">
            <v>120</v>
          </cell>
          <cell r="R812">
            <v>0</v>
          </cell>
          <cell r="T812">
            <v>134</v>
          </cell>
          <cell r="U812" t="str">
            <v>нг</v>
          </cell>
          <cell r="W812" t="str">
            <v>ЛА (извлечение НКТ). ОТСК. Запуск ППД</v>
          </cell>
          <cell r="X812" t="str">
            <v>Забой - 120 м</v>
          </cell>
          <cell r="AB812" t="str">
            <v>есть СК</v>
          </cell>
          <cell r="AD812">
            <v>132</v>
          </cell>
          <cell r="AE812">
            <v>154</v>
          </cell>
          <cell r="AF812">
            <v>22</v>
          </cell>
          <cell r="AG812" t="e">
            <v>#REF!</v>
          </cell>
          <cell r="AH812" t="e">
            <v>#REF!</v>
          </cell>
        </row>
        <row r="813">
          <cell r="B813">
            <v>5370</v>
          </cell>
          <cell r="C813">
            <v>102</v>
          </cell>
          <cell r="G813">
            <v>255</v>
          </cell>
          <cell r="H813" t="str">
            <v>ШГН</v>
          </cell>
          <cell r="I813" t="str">
            <v>бд</v>
          </cell>
          <cell r="N813">
            <v>50</v>
          </cell>
          <cell r="O813">
            <v>4.0999999999999996</v>
          </cell>
          <cell r="P813">
            <v>90</v>
          </cell>
          <cell r="Q813">
            <v>50</v>
          </cell>
          <cell r="R813">
            <v>4.0999999999999996</v>
          </cell>
          <cell r="S813">
            <v>89.9</v>
          </cell>
          <cell r="T813" t="e">
            <v>#REF!</v>
          </cell>
          <cell r="U813" t="str">
            <v>ЛА</v>
          </cell>
          <cell r="W813" t="str">
            <v>Извл.аварийных НКТ</v>
          </cell>
          <cell r="X813" t="str">
            <v>Брошена КРС Отс.лов.инструмента,на Нз 59нкт".Нз.т.-2315м.</v>
          </cell>
        </row>
        <row r="814">
          <cell r="B814">
            <v>5318</v>
          </cell>
          <cell r="C814">
            <v>134</v>
          </cell>
          <cell r="G814">
            <v>260</v>
          </cell>
          <cell r="H814" t="str">
            <v>нагнет.</v>
          </cell>
          <cell r="I814" t="str">
            <v>бд</v>
          </cell>
          <cell r="N814">
            <v>150</v>
          </cell>
          <cell r="Q814">
            <v>150</v>
          </cell>
          <cell r="U814" t="str">
            <v>нг</v>
          </cell>
          <cell r="W814" t="str">
            <v>Спуск пакера ,пуск под закачку.</v>
          </cell>
          <cell r="X814" t="str">
            <v>После РИР</v>
          </cell>
          <cell r="AD814">
            <v>0</v>
          </cell>
          <cell r="AE814">
            <v>14</v>
          </cell>
          <cell r="AF814">
            <v>14</v>
          </cell>
          <cell r="AG814">
            <v>-877702</v>
          </cell>
          <cell r="AH814">
            <v>-1248456</v>
          </cell>
        </row>
        <row r="815">
          <cell r="B815">
            <v>2713</v>
          </cell>
          <cell r="C815">
            <v>163</v>
          </cell>
          <cell r="G815">
            <v>270</v>
          </cell>
          <cell r="H815" t="str">
            <v>ШГН</v>
          </cell>
          <cell r="I815" t="str">
            <v>действ.</v>
          </cell>
          <cell r="K815">
            <v>3</v>
          </cell>
          <cell r="L815">
            <v>2.4</v>
          </cell>
          <cell r="M815">
            <v>2</v>
          </cell>
          <cell r="N815">
            <v>6</v>
          </cell>
          <cell r="O815">
            <v>4.4000000000000004</v>
          </cell>
          <cell r="P815">
            <v>10</v>
          </cell>
          <cell r="Q815">
            <v>3</v>
          </cell>
          <cell r="R815">
            <v>2</v>
          </cell>
          <cell r="S815">
            <v>17.7</v>
          </cell>
          <cell r="T815">
            <v>37832</v>
          </cell>
          <cell r="U815" t="str">
            <v>ОПЗ</v>
          </cell>
          <cell r="W815" t="str">
            <v>УГИС. ОПЗ НТПН. ГДИ</v>
          </cell>
          <cell r="AD815">
            <v>37829</v>
          </cell>
          <cell r="AE815">
            <v>37838</v>
          </cell>
          <cell r="AF815">
            <v>9</v>
          </cell>
          <cell r="AG815">
            <v>-75690</v>
          </cell>
          <cell r="AH815">
            <v>-189225</v>
          </cell>
        </row>
        <row r="816">
          <cell r="B816">
            <v>2768</v>
          </cell>
          <cell r="C816">
            <v>164</v>
          </cell>
          <cell r="G816">
            <v>275</v>
          </cell>
          <cell r="H816" t="str">
            <v>ШГН</v>
          </cell>
          <cell r="I816" t="str">
            <v>действ.</v>
          </cell>
          <cell r="K816">
            <v>5</v>
          </cell>
          <cell r="L816">
            <v>2.4</v>
          </cell>
          <cell r="M816">
            <v>42</v>
          </cell>
          <cell r="N816">
            <v>10</v>
          </cell>
          <cell r="O816">
            <v>4.4000000000000004</v>
          </cell>
          <cell r="P816">
            <v>46.5</v>
          </cell>
          <cell r="Q816">
            <v>5</v>
          </cell>
          <cell r="R816">
            <v>2</v>
          </cell>
          <cell r="S816">
            <v>50.6</v>
          </cell>
          <cell r="T816">
            <v>37845</v>
          </cell>
          <cell r="U816" t="str">
            <v>ОПЗ</v>
          </cell>
          <cell r="W816" t="str">
            <v>УГИС. ОПЗ НТПН. ГДИ</v>
          </cell>
          <cell r="AD816">
            <v>37839</v>
          </cell>
          <cell r="AE816">
            <v>37853</v>
          </cell>
          <cell r="AF816">
            <v>14</v>
          </cell>
          <cell r="AG816">
            <v>-90864</v>
          </cell>
          <cell r="AH816">
            <v>-151440</v>
          </cell>
        </row>
        <row r="817">
          <cell r="B817">
            <v>3004</v>
          </cell>
          <cell r="C817">
            <v>50</v>
          </cell>
          <cell r="G817">
            <v>265</v>
          </cell>
          <cell r="H817" t="str">
            <v>ШГН</v>
          </cell>
          <cell r="I817" t="str">
            <v>действ.</v>
          </cell>
          <cell r="K817">
            <v>3</v>
          </cell>
          <cell r="L817">
            <v>2</v>
          </cell>
          <cell r="M817">
            <v>20</v>
          </cell>
          <cell r="N817">
            <v>7</v>
          </cell>
          <cell r="O817">
            <v>4.4000000000000004</v>
          </cell>
          <cell r="P817">
            <v>22</v>
          </cell>
          <cell r="Q817">
            <v>4</v>
          </cell>
          <cell r="R817">
            <v>2.4</v>
          </cell>
          <cell r="S817">
            <v>25.9</v>
          </cell>
          <cell r="T817">
            <v>37860</v>
          </cell>
          <cell r="U817" t="str">
            <v>ГРП</v>
          </cell>
          <cell r="W817" t="str">
            <v>УГИС. ОПЗ НТПН. ГДИ</v>
          </cell>
          <cell r="AD817">
            <v>37854</v>
          </cell>
          <cell r="AE817">
            <v>37868</v>
          </cell>
          <cell r="AF817">
            <v>14</v>
          </cell>
          <cell r="AG817">
            <v>-75750</v>
          </cell>
          <cell r="AH817">
            <v>-151500</v>
          </cell>
        </row>
        <row r="818">
          <cell r="B818">
            <v>11047</v>
          </cell>
          <cell r="C818" t="str">
            <v>302б</v>
          </cell>
          <cell r="G818">
            <v>235</v>
          </cell>
          <cell r="H818" t="str">
            <v>ШГН</v>
          </cell>
          <cell r="I818" t="str">
            <v>действ.</v>
          </cell>
          <cell r="K818">
            <v>1</v>
          </cell>
          <cell r="L818">
            <v>0.7</v>
          </cell>
          <cell r="M818">
            <v>8</v>
          </cell>
          <cell r="N818">
            <v>6</v>
          </cell>
          <cell r="O818">
            <v>4.2</v>
          </cell>
          <cell r="P818">
            <v>14</v>
          </cell>
          <cell r="Q818">
            <v>5</v>
          </cell>
          <cell r="R818">
            <v>3.5</v>
          </cell>
          <cell r="S818">
            <v>13.6</v>
          </cell>
          <cell r="T818">
            <v>37140</v>
          </cell>
          <cell r="U818" t="str">
            <v>ОПЗ</v>
          </cell>
          <cell r="W818" t="str">
            <v>УГИС. ОПЗ НТПН. ГДИ</v>
          </cell>
          <cell r="AD818">
            <v>37134</v>
          </cell>
          <cell r="AE818">
            <v>37148</v>
          </cell>
          <cell r="AF818">
            <v>14</v>
          </cell>
          <cell r="AG818">
            <v>-111465</v>
          </cell>
          <cell r="AH818">
            <v>-148620</v>
          </cell>
        </row>
        <row r="819">
          <cell r="B819">
            <v>11040</v>
          </cell>
          <cell r="C819" t="str">
            <v>302б</v>
          </cell>
          <cell r="G819">
            <v>250</v>
          </cell>
          <cell r="H819" t="str">
            <v>ШГН</v>
          </cell>
          <cell r="I819" t="str">
            <v>действ.</v>
          </cell>
          <cell r="K819">
            <v>2</v>
          </cell>
          <cell r="L819">
            <v>1.5</v>
          </cell>
          <cell r="M819">
            <v>7</v>
          </cell>
          <cell r="N819">
            <v>6</v>
          </cell>
          <cell r="O819">
            <v>4.5</v>
          </cell>
          <cell r="P819">
            <v>8</v>
          </cell>
          <cell r="Q819">
            <v>4</v>
          </cell>
          <cell r="R819">
            <v>3</v>
          </cell>
          <cell r="S819">
            <v>7.4</v>
          </cell>
          <cell r="T819">
            <v>37155</v>
          </cell>
          <cell r="U819" t="str">
            <v>ОПЗ</v>
          </cell>
          <cell r="W819" t="str">
            <v>УГИС. ОПЗ НТПН. ГДИ</v>
          </cell>
          <cell r="AD819">
            <v>37149</v>
          </cell>
          <cell r="AE819">
            <v>37163</v>
          </cell>
          <cell r="AF819">
            <v>14</v>
          </cell>
          <cell r="AG819">
            <v>-92925</v>
          </cell>
          <cell r="AH819">
            <v>-148680</v>
          </cell>
        </row>
        <row r="820">
          <cell r="B820">
            <v>11043</v>
          </cell>
          <cell r="C820" t="str">
            <v>302б</v>
          </cell>
          <cell r="G820">
            <v>230</v>
          </cell>
          <cell r="H820" t="str">
            <v>ШГН</v>
          </cell>
          <cell r="I820" t="str">
            <v>действ.</v>
          </cell>
          <cell r="K820">
            <v>3</v>
          </cell>
          <cell r="L820">
            <v>2</v>
          </cell>
          <cell r="M820">
            <v>19</v>
          </cell>
          <cell r="N820">
            <v>7</v>
          </cell>
          <cell r="O820">
            <v>4.5</v>
          </cell>
          <cell r="P820">
            <v>21</v>
          </cell>
          <cell r="Q820">
            <v>4</v>
          </cell>
          <cell r="R820">
            <v>2.5</v>
          </cell>
          <cell r="S820">
            <v>22.8</v>
          </cell>
          <cell r="T820">
            <v>37170</v>
          </cell>
          <cell r="U820" t="str">
            <v>ОПЗ</v>
          </cell>
          <cell r="W820" t="str">
            <v>УГИС. ОПЗ НТПН. ГДИ</v>
          </cell>
          <cell r="AD820">
            <v>37164</v>
          </cell>
          <cell r="AE820">
            <v>37189</v>
          </cell>
          <cell r="AF820">
            <v>25</v>
          </cell>
          <cell r="AG820">
            <v>-371960</v>
          </cell>
          <cell r="AH820">
            <v>-557940</v>
          </cell>
        </row>
        <row r="821">
          <cell r="B821">
            <v>4974</v>
          </cell>
          <cell r="C821" t="str">
            <v>205б</v>
          </cell>
          <cell r="G821">
            <v>220</v>
          </cell>
          <cell r="H821" t="str">
            <v>ШГН</v>
          </cell>
          <cell r="I821" t="str">
            <v>бд</v>
          </cell>
          <cell r="K821">
            <v>6</v>
          </cell>
          <cell r="L821">
            <v>4.5999999999999996</v>
          </cell>
          <cell r="M821">
            <v>6</v>
          </cell>
          <cell r="N821">
            <v>15</v>
          </cell>
          <cell r="O821">
            <v>10</v>
          </cell>
          <cell r="P821">
            <v>18</v>
          </cell>
          <cell r="Q821">
            <v>15</v>
          </cell>
          <cell r="R821">
            <v>10</v>
          </cell>
          <cell r="S821">
            <v>17.7</v>
          </cell>
          <cell r="T821">
            <v>37196</v>
          </cell>
          <cell r="U821" t="str">
            <v>ГРП</v>
          </cell>
          <cell r="W821" t="str">
            <v>ГРП (ОПЗ КСПЭО.) Спуск ЭЦН-30</v>
          </cell>
          <cell r="Y821" t="str">
            <v>зумпф-1м (нижн. интерв.изолир.)</v>
          </cell>
          <cell r="Z821">
            <v>2733.6</v>
          </cell>
          <cell r="AA821">
            <v>73</v>
          </cell>
          <cell r="AB821">
            <v>39541</v>
          </cell>
          <cell r="AC821">
            <v>223.1</v>
          </cell>
          <cell r="AD821">
            <v>37118</v>
          </cell>
          <cell r="AE821">
            <v>37154</v>
          </cell>
          <cell r="AF821">
            <v>36</v>
          </cell>
          <cell r="AG821">
            <v>0</v>
          </cell>
          <cell r="AH821">
            <v>-4458840</v>
          </cell>
        </row>
        <row r="822">
          <cell r="B822">
            <v>5373</v>
          </cell>
          <cell r="C822">
            <v>103</v>
          </cell>
          <cell r="G822">
            <v>223.1</v>
          </cell>
          <cell r="H822" t="str">
            <v>нагнет.</v>
          </cell>
          <cell r="I822" t="str">
            <v>конс.</v>
          </cell>
          <cell r="N822">
            <v>120</v>
          </cell>
          <cell r="Q822">
            <v>120</v>
          </cell>
          <cell r="R822">
            <v>0</v>
          </cell>
          <cell r="T822">
            <v>37157</v>
          </cell>
          <cell r="U822" t="str">
            <v>нг</v>
          </cell>
          <cell r="W822" t="str">
            <v>ОТСК. ГИС-3. Ликвидация ЗКЦ?</v>
          </cell>
          <cell r="Y822" t="str">
            <v>+19</v>
          </cell>
          <cell r="Z822">
            <v>2767</v>
          </cell>
          <cell r="AC822">
            <v>224.5</v>
          </cell>
          <cell r="AD822">
            <v>37155</v>
          </cell>
          <cell r="AE822">
            <v>37190</v>
          </cell>
          <cell r="AF822">
            <v>35</v>
          </cell>
          <cell r="AG822">
            <v>0</v>
          </cell>
          <cell r="AH822">
            <v>-4463160</v>
          </cell>
        </row>
        <row r="823">
          <cell r="B823">
            <v>5374</v>
          </cell>
          <cell r="C823">
            <v>103</v>
          </cell>
          <cell r="G823">
            <v>224.5</v>
          </cell>
          <cell r="H823" t="str">
            <v>нагнет.</v>
          </cell>
          <cell r="I823" t="str">
            <v>бд</v>
          </cell>
          <cell r="N823">
            <v>120</v>
          </cell>
          <cell r="Q823">
            <v>120</v>
          </cell>
          <cell r="R823">
            <v>0</v>
          </cell>
          <cell r="T823">
            <v>37193</v>
          </cell>
          <cell r="U823" t="str">
            <v>нг</v>
          </cell>
          <cell r="W823" t="str">
            <v>ВЗ. ОТСК</v>
          </cell>
          <cell r="Y823" t="str">
            <v>При ПРС полёт Э-80 без лов.головки</v>
          </cell>
          <cell r="AD823">
            <v>37191</v>
          </cell>
          <cell r="AE823">
            <v>37221</v>
          </cell>
          <cell r="AF823">
            <v>30</v>
          </cell>
        </row>
        <row r="824">
          <cell r="B824">
            <v>5400</v>
          </cell>
          <cell r="C824">
            <v>103</v>
          </cell>
          <cell r="G824">
            <v>240</v>
          </cell>
          <cell r="H824" t="str">
            <v>ЭЦН</v>
          </cell>
          <cell r="I824" t="str">
            <v>бд</v>
          </cell>
          <cell r="N824">
            <v>100</v>
          </cell>
          <cell r="O824">
            <v>1.6</v>
          </cell>
          <cell r="P824">
            <v>98</v>
          </cell>
          <cell r="Q824">
            <v>100</v>
          </cell>
          <cell r="R824">
            <v>1.6</v>
          </cell>
          <cell r="S824">
            <v>98</v>
          </cell>
          <cell r="T824">
            <v>37228</v>
          </cell>
          <cell r="U824" t="str">
            <v>ЛА</v>
          </cell>
          <cell r="W824" t="str">
            <v>Извл.ЭЦН-80,Восст.Нз ГЖ,ГДИ сп.ЭЦН.</v>
          </cell>
          <cell r="AD824">
            <v>37222</v>
          </cell>
          <cell r="AE824">
            <v>37252</v>
          </cell>
          <cell r="AF824">
            <v>30</v>
          </cell>
        </row>
        <row r="825">
          <cell r="B825" t="str">
            <v>5402б</v>
          </cell>
          <cell r="C825">
            <v>103</v>
          </cell>
          <cell r="G825">
            <v>255</v>
          </cell>
          <cell r="H825" t="str">
            <v>ЭЦН</v>
          </cell>
          <cell r="I825" t="str">
            <v>бд</v>
          </cell>
          <cell r="N825">
            <v>50</v>
          </cell>
          <cell r="O825">
            <v>4.0999999999999996</v>
          </cell>
          <cell r="P825">
            <v>90</v>
          </cell>
          <cell r="Q825">
            <v>50</v>
          </cell>
          <cell r="R825">
            <v>4.0999999999999996</v>
          </cell>
          <cell r="S825">
            <v>89.9</v>
          </cell>
          <cell r="W825" t="str">
            <v>ВЦ,ВЗ УГИС ,ГДИ</v>
          </cell>
          <cell r="Y825" t="str">
            <v>В скважине низ пакера+хвоставик из НКТ 3"</v>
          </cell>
          <cell r="AD825">
            <v>37253</v>
          </cell>
          <cell r="AE825">
            <v>37283</v>
          </cell>
          <cell r="AF825">
            <v>30</v>
          </cell>
        </row>
        <row r="826">
          <cell r="B826">
            <v>5428</v>
          </cell>
          <cell r="C826">
            <v>103</v>
          </cell>
          <cell r="G826">
            <v>235</v>
          </cell>
          <cell r="H826" t="str">
            <v>ЭЦН</v>
          </cell>
          <cell r="I826" t="str">
            <v>бд</v>
          </cell>
          <cell r="N826">
            <v>80</v>
          </cell>
          <cell r="O826">
            <v>3.3</v>
          </cell>
          <cell r="P826">
            <v>95</v>
          </cell>
          <cell r="Q826">
            <v>80</v>
          </cell>
          <cell r="R826">
            <v>3.3</v>
          </cell>
          <cell r="S826">
            <v>94.9</v>
          </cell>
          <cell r="W826" t="str">
            <v>ВЦ,ВЗ,(извл.НКТ 3")ПП УГИС.  ГДИ</v>
          </cell>
          <cell r="X826" t="str">
            <v>В ППД с 6.83 по 09.84г.</v>
          </cell>
        </row>
        <row r="827">
          <cell r="B827">
            <v>5347</v>
          </cell>
          <cell r="C827">
            <v>103</v>
          </cell>
          <cell r="G827">
            <v>270</v>
          </cell>
          <cell r="H827" t="str">
            <v>ЭЦН</v>
          </cell>
          <cell r="I827" t="str">
            <v>бд</v>
          </cell>
          <cell r="N827">
            <v>80</v>
          </cell>
          <cell r="O827">
            <v>3.3</v>
          </cell>
          <cell r="P827">
            <v>95</v>
          </cell>
          <cell r="Q827">
            <v>80</v>
          </cell>
          <cell r="R827">
            <v>3.3</v>
          </cell>
          <cell r="S827">
            <v>94.9</v>
          </cell>
          <cell r="U827" t="str">
            <v>ЛА</v>
          </cell>
          <cell r="W827" t="str">
            <v>Извл.проволки,восст.Нз ГЖ,ГДИ сп.ЭЦН.</v>
          </cell>
        </row>
        <row r="828">
          <cell r="B828">
            <v>5838</v>
          </cell>
          <cell r="C828" t="str">
            <v>168б</v>
          </cell>
          <cell r="H828" t="str">
            <v>фон</v>
          </cell>
          <cell r="U828" t="str">
            <v>ОПЗ</v>
          </cell>
          <cell r="W828" t="str">
            <v>ЛА ПП,УГИС,ОПЗ ИХН ГДИ (ГРП)</v>
          </cell>
          <cell r="X828" t="str">
            <v>В скажине МСУ-400+2720 проволки</v>
          </cell>
        </row>
        <row r="829">
          <cell r="B829" t="str">
            <v>5845б</v>
          </cell>
          <cell r="C829" t="str">
            <v>168б</v>
          </cell>
          <cell r="H829" t="str">
            <v>фон</v>
          </cell>
          <cell r="U829" t="str">
            <v>ОПЗ</v>
          </cell>
          <cell r="W829" t="str">
            <v>УГИС,ОПЗ НТПН, ГДИ</v>
          </cell>
        </row>
        <row r="830">
          <cell r="B830">
            <v>5849</v>
          </cell>
          <cell r="C830" t="str">
            <v>168б</v>
          </cell>
          <cell r="H830" t="str">
            <v>фон</v>
          </cell>
          <cell r="U830" t="str">
            <v>ОПЗ</v>
          </cell>
          <cell r="W830" t="str">
            <v>ВЦ,(ПП) УГИС ОПЗ ИХН,ГДИ</v>
          </cell>
        </row>
        <row r="831">
          <cell r="B831">
            <v>4120</v>
          </cell>
          <cell r="C831">
            <v>311</v>
          </cell>
          <cell r="H831" t="str">
            <v>эцн</v>
          </cell>
          <cell r="U831" t="str">
            <v>ЛА</v>
          </cell>
          <cell r="W831" t="str">
            <v>ВЦ.ВЗ.УГИС ГДИ</v>
          </cell>
        </row>
        <row r="832">
          <cell r="B832">
            <v>4119</v>
          </cell>
          <cell r="C832">
            <v>311</v>
          </cell>
          <cell r="H832" t="str">
            <v>эцн</v>
          </cell>
          <cell r="U832" t="str">
            <v>ЛА</v>
          </cell>
          <cell r="W832" t="str">
            <v>ВЦ.ВЗ.УГИС ГДИ</v>
          </cell>
        </row>
        <row r="833">
          <cell r="B833">
            <v>5589</v>
          </cell>
          <cell r="C833">
            <v>118</v>
          </cell>
          <cell r="H833" t="str">
            <v>эцн</v>
          </cell>
          <cell r="U833" t="str">
            <v>ЛА</v>
          </cell>
          <cell r="W833" t="str">
            <v>ВЦ?.ВЗ.УГИС ГДИ</v>
          </cell>
        </row>
        <row r="834">
          <cell r="B834">
            <v>5388</v>
          </cell>
          <cell r="C834">
            <v>107</v>
          </cell>
          <cell r="H834" t="str">
            <v>нагнет.</v>
          </cell>
          <cell r="U834" t="str">
            <v>нг</v>
          </cell>
          <cell r="W834" t="str">
            <v>Изоляция ЮК-11,ОПЗ ЮК-10 пуск под зак.</v>
          </cell>
        </row>
        <row r="835">
          <cell r="B835">
            <v>5386</v>
          </cell>
          <cell r="C835">
            <v>107</v>
          </cell>
          <cell r="H835" t="str">
            <v>нагнет.</v>
          </cell>
          <cell r="U835" t="str">
            <v>нг</v>
          </cell>
          <cell r="W835" t="str">
            <v>Изоляция ЮК-11,ОПЗ ЮК-10 пуск под зак.</v>
          </cell>
        </row>
        <row r="836">
          <cell r="B836">
            <v>5384</v>
          </cell>
          <cell r="C836">
            <v>107</v>
          </cell>
          <cell r="H836" t="str">
            <v>нагнет.</v>
          </cell>
          <cell r="U836" t="str">
            <v>нг</v>
          </cell>
          <cell r="W836" t="str">
            <v>УГИС, ГИС-3 пуск под закачку</v>
          </cell>
          <cell r="Z836">
            <v>2810</v>
          </cell>
          <cell r="AA836">
            <v>73</v>
          </cell>
          <cell r="AB836">
            <v>36810</v>
          </cell>
          <cell r="AD836">
            <v>37171</v>
          </cell>
          <cell r="AE836">
            <v>37182</v>
          </cell>
          <cell r="AF836">
            <v>11</v>
          </cell>
          <cell r="AG836">
            <v>0</v>
          </cell>
          <cell r="AH836">
            <v>-9296250</v>
          </cell>
        </row>
        <row r="837">
          <cell r="B837">
            <v>3282</v>
          </cell>
          <cell r="C837" t="str">
            <v>70б</v>
          </cell>
          <cell r="G837">
            <v>275</v>
          </cell>
          <cell r="H837" t="str">
            <v>нагнет.</v>
          </cell>
          <cell r="I837" t="str">
            <v>конс.</v>
          </cell>
          <cell r="N837">
            <v>250</v>
          </cell>
          <cell r="Q837">
            <v>250</v>
          </cell>
          <cell r="R837">
            <v>0</v>
          </cell>
          <cell r="T837">
            <v>37185</v>
          </cell>
          <cell r="U837" t="str">
            <v>нг</v>
          </cell>
          <cell r="W837" t="str">
            <v>Спуск и привязка пакера, опред. прием.ЮК11</v>
          </cell>
          <cell r="X837" t="str">
            <v>Утилизация</v>
          </cell>
          <cell r="Y837" t="str">
            <v>+14</v>
          </cell>
          <cell r="Z837">
            <v>2888</v>
          </cell>
          <cell r="AA837">
            <v>73</v>
          </cell>
          <cell r="AB837">
            <v>36763</v>
          </cell>
          <cell r="AD837">
            <v>37183</v>
          </cell>
          <cell r="AE837">
            <v>37194</v>
          </cell>
          <cell r="AF837">
            <v>11</v>
          </cell>
          <cell r="AG837">
            <v>0</v>
          </cell>
          <cell r="AH837">
            <v>-13018950</v>
          </cell>
        </row>
        <row r="838">
          <cell r="B838">
            <v>3301</v>
          </cell>
          <cell r="C838" t="str">
            <v>70б</v>
          </cell>
          <cell r="G838">
            <v>290</v>
          </cell>
          <cell r="H838" t="str">
            <v>нагнет.</v>
          </cell>
          <cell r="I838" t="str">
            <v>действ.</v>
          </cell>
          <cell r="K838">
            <v>580</v>
          </cell>
          <cell r="N838">
            <v>350</v>
          </cell>
          <cell r="Q838">
            <v>350</v>
          </cell>
          <cell r="R838">
            <v>0</v>
          </cell>
          <cell r="T838">
            <v>37197</v>
          </cell>
          <cell r="U838" t="str">
            <v>нг</v>
          </cell>
          <cell r="W838" t="str">
            <v>Ревизия и привязка пакера</v>
          </cell>
          <cell r="X838" t="str">
            <v>Утилизация</v>
          </cell>
          <cell r="Y838" t="str">
            <v>На забое "перо" с шаблоном 73мм + шламоуловитель(сверху)</v>
          </cell>
          <cell r="AD838">
            <v>37195</v>
          </cell>
          <cell r="AE838">
            <v>37195</v>
          </cell>
        </row>
        <row r="839">
          <cell r="B839">
            <v>2613</v>
          </cell>
          <cell r="C839">
            <v>157</v>
          </cell>
          <cell r="G839">
            <v>240</v>
          </cell>
          <cell r="H839" t="str">
            <v>ШГН</v>
          </cell>
          <cell r="I839" t="str">
            <v>бд</v>
          </cell>
          <cell r="J839">
            <v>34180</v>
          </cell>
          <cell r="N839">
            <v>24</v>
          </cell>
          <cell r="O839">
            <v>14</v>
          </cell>
          <cell r="P839">
            <v>28.5</v>
          </cell>
          <cell r="Q839">
            <v>24</v>
          </cell>
          <cell r="R839">
            <v>14</v>
          </cell>
          <cell r="S839">
            <v>28</v>
          </cell>
          <cell r="T839">
            <v>37202</v>
          </cell>
          <cell r="U839" t="str">
            <v>ГРП</v>
          </cell>
          <cell r="W839" t="str">
            <v>ЛА (НКТ). СО-каротаж. Дострел п."б".ГРП</v>
          </cell>
          <cell r="AD839">
            <v>37196</v>
          </cell>
          <cell r="AE839">
            <v>37196</v>
          </cell>
        </row>
        <row r="840">
          <cell r="B840">
            <v>2595</v>
          </cell>
          <cell r="C840">
            <v>157</v>
          </cell>
          <cell r="G840">
            <v>240</v>
          </cell>
          <cell r="H840" t="str">
            <v>Ф/ШГН</v>
          </cell>
          <cell r="N840">
            <v>12</v>
          </cell>
          <cell r="O840">
            <v>4.5</v>
          </cell>
          <cell r="P840">
            <v>54</v>
          </cell>
          <cell r="Q840">
            <v>12</v>
          </cell>
          <cell r="R840">
            <v>4.5</v>
          </cell>
          <cell r="S840">
            <v>53.7</v>
          </cell>
          <cell r="T840">
            <v>37203</v>
          </cell>
          <cell r="U840" t="str">
            <v>ОПЗ</v>
          </cell>
          <cell r="W840" t="str">
            <v>ЛА (НКТ). ОПЗ (НТПН)</v>
          </cell>
          <cell r="X840" t="str">
            <v>Прихват НКТ</v>
          </cell>
          <cell r="AD840">
            <v>37226</v>
          </cell>
          <cell r="AE840">
            <v>37263</v>
          </cell>
          <cell r="AF840">
            <v>37</v>
          </cell>
        </row>
        <row r="841">
          <cell r="B841">
            <v>2533</v>
          </cell>
          <cell r="C841">
            <v>150</v>
          </cell>
          <cell r="H841" t="str">
            <v>ШГН</v>
          </cell>
          <cell r="I841" t="str">
            <v>действ.</v>
          </cell>
          <cell r="K841">
            <v>11</v>
          </cell>
          <cell r="L841">
            <v>5.2</v>
          </cell>
          <cell r="M841">
            <v>42</v>
          </cell>
          <cell r="N841">
            <v>40</v>
          </cell>
          <cell r="O841">
            <v>13</v>
          </cell>
          <cell r="P841">
            <v>60</v>
          </cell>
          <cell r="Q841">
            <v>29</v>
          </cell>
          <cell r="R841">
            <v>7.8</v>
          </cell>
          <cell r="S841">
            <v>66.8</v>
          </cell>
          <cell r="T841">
            <v>37270</v>
          </cell>
          <cell r="U841" t="str">
            <v>ГРП</v>
          </cell>
          <cell r="W841" t="str">
            <v>ИР ЮК-11. ПП ЮК-10. ГРП</v>
          </cell>
          <cell r="Y841" t="str">
            <v>Прихват НКТ</v>
          </cell>
          <cell r="AD841">
            <v>37263</v>
          </cell>
          <cell r="AE841">
            <v>37293</v>
          </cell>
          <cell r="AF841">
            <v>30</v>
          </cell>
        </row>
        <row r="842">
          <cell r="B842">
            <v>2595</v>
          </cell>
          <cell r="C842">
            <v>157</v>
          </cell>
          <cell r="H842" t="str">
            <v>ШГН</v>
          </cell>
          <cell r="I842" t="str">
            <v>бд</v>
          </cell>
          <cell r="J842">
            <v>33710</v>
          </cell>
          <cell r="N842">
            <v>20</v>
          </cell>
          <cell r="O842">
            <v>13</v>
          </cell>
          <cell r="P842">
            <v>20</v>
          </cell>
          <cell r="Q842">
            <v>20</v>
          </cell>
          <cell r="R842">
            <v>13</v>
          </cell>
          <cell r="S842">
            <v>19.8</v>
          </cell>
          <cell r="U842" t="str">
            <v>ГРП</v>
          </cell>
          <cell r="W842" t="str">
            <v>ЛА, ГИС(ЗКЦ), ликв.ЗКЦ, ГРП</v>
          </cell>
          <cell r="Y842" t="str">
            <v>Сложная авария</v>
          </cell>
          <cell r="AD842">
            <v>37293</v>
          </cell>
          <cell r="AE842">
            <v>37338</v>
          </cell>
          <cell r="AF842">
            <v>45</v>
          </cell>
        </row>
        <row r="843">
          <cell r="B843">
            <v>2613</v>
          </cell>
          <cell r="C843">
            <v>157</v>
          </cell>
          <cell r="H843" t="str">
            <v>ШГН</v>
          </cell>
          <cell r="I843" t="str">
            <v>бд</v>
          </cell>
          <cell r="J843">
            <v>34180</v>
          </cell>
          <cell r="N843">
            <v>20</v>
          </cell>
          <cell r="O843">
            <v>10</v>
          </cell>
          <cell r="P843">
            <v>38.5</v>
          </cell>
          <cell r="Q843">
            <v>20</v>
          </cell>
          <cell r="R843">
            <v>10</v>
          </cell>
          <cell r="S843">
            <v>38.299999999999997</v>
          </cell>
          <cell r="U843" t="str">
            <v>ГРП</v>
          </cell>
          <cell r="W843" t="str">
            <v>ЛА(ВЗ), ГРП</v>
          </cell>
        </row>
        <row r="844">
          <cell r="B844">
            <v>5850</v>
          </cell>
          <cell r="C844">
            <v>169</v>
          </cell>
          <cell r="H844" t="str">
            <v>ФОН</v>
          </cell>
          <cell r="I844" t="str">
            <v>конс.</v>
          </cell>
          <cell r="J844">
            <v>34151</v>
          </cell>
          <cell r="N844">
            <v>50</v>
          </cell>
          <cell r="O844">
            <v>4</v>
          </cell>
          <cell r="P844">
            <v>90.1</v>
          </cell>
          <cell r="Q844">
            <v>50</v>
          </cell>
          <cell r="R844">
            <v>4</v>
          </cell>
          <cell r="S844">
            <v>90.1</v>
          </cell>
          <cell r="U844" t="str">
            <v>ОПЗ</v>
          </cell>
          <cell r="W844" t="str">
            <v>ВЦ, УГИС, ПП через УГИС в кислотной среде</v>
          </cell>
        </row>
        <row r="845">
          <cell r="B845">
            <v>2649</v>
          </cell>
          <cell r="C845" t="str">
            <v>157б</v>
          </cell>
          <cell r="H845" t="str">
            <v xml:space="preserve">ШГН </v>
          </cell>
          <cell r="I845" t="str">
            <v>действ.</v>
          </cell>
          <cell r="R845">
            <v>5</v>
          </cell>
          <cell r="W845" t="str">
            <v xml:space="preserve"> ДП ЮК-10 2797-2802, ПП ЮК-10 сп. НН. Инт.2654-2662, при наличии нефти  в ЮК-2 и воды в ЮК-10 ГРП</v>
          </cell>
        </row>
        <row r="846">
          <cell r="B846">
            <v>2750</v>
          </cell>
          <cell r="C846">
            <v>146</v>
          </cell>
          <cell r="R846">
            <v>5.5</v>
          </cell>
          <cell r="W846" t="str">
            <v>ПП, спЭ-45, L-2100м</v>
          </cell>
        </row>
        <row r="847">
          <cell r="B847">
            <v>2751</v>
          </cell>
          <cell r="C847">
            <v>146</v>
          </cell>
          <cell r="R847">
            <v>4.5</v>
          </cell>
          <cell r="W847" t="str">
            <v>ВЗ, ПП, ЮК-10-11, сп.Э-50</v>
          </cell>
        </row>
        <row r="848">
          <cell r="B848">
            <v>2754</v>
          </cell>
          <cell r="C848">
            <v>145</v>
          </cell>
          <cell r="I848" t="str">
            <v>конс.</v>
          </cell>
          <cell r="J848">
            <v>32843</v>
          </cell>
          <cell r="K848">
            <v>6</v>
          </cell>
          <cell r="L848">
            <v>0.5</v>
          </cell>
          <cell r="M848">
            <v>90</v>
          </cell>
          <cell r="N848">
            <v>30</v>
          </cell>
          <cell r="O848">
            <v>12</v>
          </cell>
          <cell r="P848">
            <v>51</v>
          </cell>
          <cell r="Q848">
            <v>30</v>
          </cell>
          <cell r="R848">
            <v>12</v>
          </cell>
          <cell r="S848">
            <v>50.6</v>
          </cell>
          <cell r="U848" t="str">
            <v>ГРП</v>
          </cell>
          <cell r="W848" t="str">
            <v>ГРП, возможно приобщение ЮК-11</v>
          </cell>
        </row>
        <row r="849">
          <cell r="B849">
            <v>2755</v>
          </cell>
          <cell r="C849">
            <v>145</v>
          </cell>
          <cell r="I849" t="str">
            <v>бд</v>
          </cell>
          <cell r="J849">
            <v>33968</v>
          </cell>
          <cell r="K849">
            <v>40</v>
          </cell>
          <cell r="L849">
            <v>1.6</v>
          </cell>
          <cell r="M849">
            <v>95</v>
          </cell>
          <cell r="N849">
            <v>30</v>
          </cell>
          <cell r="O849">
            <v>12</v>
          </cell>
          <cell r="P849">
            <v>51</v>
          </cell>
          <cell r="Q849">
            <v>30</v>
          </cell>
          <cell r="R849">
            <v>12</v>
          </cell>
          <cell r="S849">
            <v>50.6</v>
          </cell>
          <cell r="U849" t="str">
            <v>ГРП</v>
          </cell>
          <cell r="W849" t="str">
            <v>ГИС-2(и.о.) РИР ЮК-11, ГРП с отсыпкой низа ЮК-10</v>
          </cell>
        </row>
        <row r="850">
          <cell r="B850">
            <v>2756</v>
          </cell>
          <cell r="C850">
            <v>145</v>
          </cell>
          <cell r="I850" t="str">
            <v>бд</v>
          </cell>
          <cell r="J850">
            <v>35786</v>
          </cell>
          <cell r="K850">
            <v>70</v>
          </cell>
          <cell r="L850">
            <v>10.8</v>
          </cell>
          <cell r="M850">
            <v>81</v>
          </cell>
          <cell r="N850">
            <v>50</v>
          </cell>
          <cell r="O850">
            <v>10</v>
          </cell>
          <cell r="P850">
            <v>75.400000000000006</v>
          </cell>
          <cell r="Q850">
            <v>50</v>
          </cell>
          <cell r="R850">
            <v>10</v>
          </cell>
          <cell r="S850">
            <v>75.3</v>
          </cell>
          <cell r="U850" t="str">
            <v>РИР</v>
          </cell>
          <cell r="W850" t="str">
            <v>РИР Э/К 2562-2673, ПП-ЮК-10 с ОПЗ</v>
          </cell>
        </row>
        <row r="851">
          <cell r="B851">
            <v>2784</v>
          </cell>
          <cell r="C851">
            <v>145</v>
          </cell>
          <cell r="R851">
            <v>5</v>
          </cell>
          <cell r="W851" t="str">
            <v>ЛА, ГИС-2(и.о.)при отс.ЗКЦ с ЮК-11 ПП п.А с ОПЗ, сп.ЭЦН, при наличии ЗКЦ в консервацию</v>
          </cell>
        </row>
        <row r="852">
          <cell r="B852">
            <v>2920</v>
          </cell>
          <cell r="C852">
            <v>43</v>
          </cell>
          <cell r="R852">
            <v>10</v>
          </cell>
          <cell r="W852" t="str">
            <v>ВЦ,дострел 2812-2816м,2820-2825м,ГРП</v>
          </cell>
        </row>
        <row r="853">
          <cell r="B853">
            <v>2982</v>
          </cell>
          <cell r="C853">
            <v>50</v>
          </cell>
          <cell r="F853" t="str">
            <v>УПНПиКРС</v>
          </cell>
          <cell r="G853">
            <v>260</v>
          </cell>
          <cell r="H853" t="str">
            <v>ШГН</v>
          </cell>
          <cell r="I853" t="str">
            <v>конс.</v>
          </cell>
          <cell r="J853">
            <v>34335</v>
          </cell>
          <cell r="K853">
            <v>0</v>
          </cell>
          <cell r="L853">
            <v>0</v>
          </cell>
          <cell r="M853">
            <v>0</v>
          </cell>
          <cell r="N853">
            <v>40</v>
          </cell>
          <cell r="O853">
            <v>25.5</v>
          </cell>
          <cell r="P853">
            <v>21.8</v>
          </cell>
          <cell r="Q853">
            <v>40</v>
          </cell>
          <cell r="R853">
            <v>25.5</v>
          </cell>
          <cell r="S853">
            <v>21.8</v>
          </cell>
          <cell r="T853">
            <v>37905</v>
          </cell>
          <cell r="U853" t="str">
            <v>грп</v>
          </cell>
          <cell r="W853" t="str">
            <v>ВЦ,ПР,ГРП ЮК-10,осв.</v>
          </cell>
          <cell r="AD853">
            <v>37893</v>
          </cell>
          <cell r="AE853">
            <v>37898</v>
          </cell>
        </row>
        <row r="854">
          <cell r="B854">
            <v>3034</v>
          </cell>
          <cell r="C854">
            <v>51</v>
          </cell>
          <cell r="H854" t="str">
            <v>ШГН</v>
          </cell>
          <cell r="I854" t="str">
            <v>конс.</v>
          </cell>
          <cell r="N854">
            <v>50</v>
          </cell>
          <cell r="O854">
            <v>5</v>
          </cell>
          <cell r="P854">
            <v>87.7</v>
          </cell>
          <cell r="Q854">
            <v>50</v>
          </cell>
          <cell r="R854">
            <v>5</v>
          </cell>
          <cell r="S854">
            <v>87.7</v>
          </cell>
          <cell r="W854" t="str">
            <v>ВЦ,ПП ЮК-11,сп Э-50</v>
          </cell>
        </row>
        <row r="855">
          <cell r="B855">
            <v>5435</v>
          </cell>
          <cell r="C855">
            <v>106</v>
          </cell>
          <cell r="R855">
            <v>6</v>
          </cell>
          <cell r="W855" t="str">
            <v>ЛА ( НКТ ),ПП, сп Э-50</v>
          </cell>
        </row>
        <row r="856">
          <cell r="B856">
            <v>5615</v>
          </cell>
          <cell r="C856">
            <v>116</v>
          </cell>
          <cell r="R856">
            <v>5</v>
          </cell>
          <cell r="W856" t="str">
            <v>ВЦ,ПП,ОПЗ,сп Э-50</v>
          </cell>
        </row>
        <row r="857">
          <cell r="B857">
            <v>5583</v>
          </cell>
          <cell r="C857">
            <v>116</v>
          </cell>
          <cell r="H857" t="str">
            <v>ЭЦН</v>
          </cell>
          <cell r="I857" t="str">
            <v>конс.</v>
          </cell>
          <cell r="N857">
            <v>50</v>
          </cell>
          <cell r="O857">
            <v>5</v>
          </cell>
          <cell r="P857">
            <v>87.7</v>
          </cell>
          <cell r="Q857">
            <v>50</v>
          </cell>
          <cell r="R857">
            <v>5</v>
          </cell>
          <cell r="S857">
            <v>87.7</v>
          </cell>
          <cell r="W857" t="str">
            <v>ВЦ,ПП, сп Э-50 ( ООО прогр.)</v>
          </cell>
        </row>
        <row r="858">
          <cell r="B858" t="str">
            <v>5402б</v>
          </cell>
          <cell r="C858">
            <v>103</v>
          </cell>
          <cell r="H858" t="str">
            <v>ЭЦН</v>
          </cell>
          <cell r="I858" t="str">
            <v>конс.</v>
          </cell>
          <cell r="N858">
            <v>80</v>
          </cell>
          <cell r="O858">
            <v>5</v>
          </cell>
          <cell r="P858">
            <v>92.3</v>
          </cell>
          <cell r="Q858">
            <v>80</v>
          </cell>
          <cell r="R858">
            <v>5</v>
          </cell>
          <cell r="S858">
            <v>92.3</v>
          </cell>
          <cell r="W858" t="str">
            <v>ВЦ,ПП с ОПЗ сп Э-80 ( ООО э/прогрев )</v>
          </cell>
        </row>
        <row r="859">
          <cell r="B859">
            <v>2596</v>
          </cell>
          <cell r="C859">
            <v>150</v>
          </cell>
          <cell r="F859" t="str">
            <v>УПНПиКРС</v>
          </cell>
          <cell r="G859">
            <v>250</v>
          </cell>
          <cell r="H859" t="str">
            <v>ШГН</v>
          </cell>
          <cell r="I859" t="str">
            <v>конс.</v>
          </cell>
          <cell r="J859">
            <v>34304</v>
          </cell>
          <cell r="K859">
            <v>3</v>
          </cell>
          <cell r="L859">
            <v>1</v>
          </cell>
          <cell r="M859">
            <v>60</v>
          </cell>
          <cell r="N859">
            <v>30</v>
          </cell>
          <cell r="O859">
            <v>12</v>
          </cell>
          <cell r="P859">
            <v>50.8</v>
          </cell>
          <cell r="Q859">
            <v>30</v>
          </cell>
          <cell r="R859">
            <v>12</v>
          </cell>
          <cell r="S859">
            <v>50.6</v>
          </cell>
          <cell r="T859" t="e">
            <v>#REF!</v>
          </cell>
          <cell r="U859" t="str">
            <v>ГРП</v>
          </cell>
          <cell r="V859">
            <v>2</v>
          </cell>
          <cell r="W859" t="str">
            <v>ВЦ, ИР ЮК-10, ПР к ГРП и ГРП ЮК-2-3</v>
          </cell>
          <cell r="AD859" t="e">
            <v>#REF!</v>
          </cell>
          <cell r="AE859" t="e">
            <v>#REF!</v>
          </cell>
          <cell r="AF859">
            <v>45</v>
          </cell>
          <cell r="AG859">
            <v>28</v>
          </cell>
          <cell r="AH859">
            <v>60</v>
          </cell>
        </row>
        <row r="860">
          <cell r="B860">
            <v>2704</v>
          </cell>
          <cell r="C860" t="str">
            <v>160б</v>
          </cell>
          <cell r="F860" t="str">
            <v>УПНПиКРС</v>
          </cell>
          <cell r="G860">
            <v>270</v>
          </cell>
          <cell r="H860" t="str">
            <v>ФОН</v>
          </cell>
          <cell r="I860" t="str">
            <v>конс.</v>
          </cell>
          <cell r="J860">
            <v>34364</v>
          </cell>
          <cell r="K860">
            <v>29</v>
          </cell>
          <cell r="L860">
            <v>1.2</v>
          </cell>
          <cell r="M860">
            <v>95</v>
          </cell>
          <cell r="N860">
            <v>30</v>
          </cell>
          <cell r="O860">
            <v>12</v>
          </cell>
          <cell r="P860">
            <v>51</v>
          </cell>
          <cell r="Q860">
            <v>30</v>
          </cell>
          <cell r="R860">
            <v>12</v>
          </cell>
          <cell r="S860">
            <v>50.6</v>
          </cell>
          <cell r="T860">
            <v>37932</v>
          </cell>
          <cell r="U860" t="str">
            <v>ГРП</v>
          </cell>
          <cell r="V860">
            <v>5</v>
          </cell>
          <cell r="W860" t="str">
            <v>ЛА,ИР ЮК-11,ПП ЮК-10 ГРП</v>
          </cell>
          <cell r="Y860" t="str">
            <v>КВ есть</v>
          </cell>
          <cell r="AD860">
            <v>37926</v>
          </cell>
          <cell r="AE860">
            <v>37966</v>
          </cell>
          <cell r="AF860">
            <v>40</v>
          </cell>
        </row>
        <row r="861">
          <cell r="B861">
            <v>5858</v>
          </cell>
          <cell r="C861">
            <v>169</v>
          </cell>
          <cell r="F861" t="str">
            <v>УПНПиКРС</v>
          </cell>
          <cell r="G861">
            <v>270</v>
          </cell>
          <cell r="H861" t="str">
            <v>ФОН</v>
          </cell>
          <cell r="I861" t="str">
            <v>бд</v>
          </cell>
          <cell r="J861">
            <v>36649</v>
          </cell>
          <cell r="K861">
            <v>7</v>
          </cell>
          <cell r="L861">
            <v>1</v>
          </cell>
          <cell r="M861">
            <v>82</v>
          </cell>
          <cell r="N861">
            <v>30</v>
          </cell>
          <cell r="O861">
            <v>12</v>
          </cell>
          <cell r="P861">
            <v>51</v>
          </cell>
          <cell r="Q861">
            <v>30</v>
          </cell>
          <cell r="R861">
            <v>12</v>
          </cell>
          <cell r="S861">
            <v>50.6</v>
          </cell>
          <cell r="T861">
            <v>37849</v>
          </cell>
          <cell r="U861" t="str">
            <v>ГРП</v>
          </cell>
          <cell r="V861">
            <v>4</v>
          </cell>
          <cell r="W861" t="str">
            <v xml:space="preserve">инт.ЮК-5  2613-2628м,РИР ЮК-10,ГРП </v>
          </cell>
          <cell r="AD861" t="e">
            <v>#REF!</v>
          </cell>
          <cell r="AE861" t="e">
            <v>#REF!</v>
          </cell>
          <cell r="AF861">
            <v>40</v>
          </cell>
        </row>
        <row r="862">
          <cell r="B862">
            <v>5345</v>
          </cell>
          <cell r="C862">
            <v>102</v>
          </cell>
          <cell r="F862" t="str">
            <v>УПНПиКРС</v>
          </cell>
          <cell r="G862">
            <v>250</v>
          </cell>
          <cell r="H862" t="str">
            <v>ШГН</v>
          </cell>
          <cell r="I862" t="str">
            <v>бд</v>
          </cell>
          <cell r="J862">
            <v>37216</v>
          </cell>
          <cell r="K862">
            <v>14</v>
          </cell>
          <cell r="L862">
            <v>0.5</v>
          </cell>
          <cell r="M862">
            <v>96</v>
          </cell>
          <cell r="N862">
            <v>30</v>
          </cell>
          <cell r="O862">
            <v>12</v>
          </cell>
          <cell r="P862">
            <v>51</v>
          </cell>
          <cell r="Q862">
            <v>30</v>
          </cell>
          <cell r="R862">
            <v>12</v>
          </cell>
          <cell r="S862">
            <v>50.6</v>
          </cell>
          <cell r="T862" t="e">
            <v>#REF!</v>
          </cell>
          <cell r="U862" t="str">
            <v>ГРП</v>
          </cell>
          <cell r="V862">
            <v>2</v>
          </cell>
          <cell r="W862" t="str">
            <v>ИР ЮК-10, ДП ЮК-2,ГРП ЮК-2-3</v>
          </cell>
          <cell r="Y862" t="str">
            <v>Н/пр-444м, по печати пост.предмет</v>
          </cell>
          <cell r="AA862">
            <v>73</v>
          </cell>
          <cell r="AB862" t="str">
            <v>-</v>
          </cell>
          <cell r="AD862" t="e">
            <v>#REF!</v>
          </cell>
          <cell r="AE862" t="e">
            <v>#REF!</v>
          </cell>
          <cell r="AF862">
            <v>35</v>
          </cell>
          <cell r="AG862" t="e">
            <v>#REF!</v>
          </cell>
          <cell r="AH862" t="e">
            <v>#REF!</v>
          </cell>
        </row>
        <row r="863">
          <cell r="B863">
            <v>5455</v>
          </cell>
          <cell r="C863">
            <v>102</v>
          </cell>
          <cell r="F863" t="str">
            <v>УПНПиКРС</v>
          </cell>
          <cell r="G863">
            <v>240</v>
          </cell>
          <cell r="H863" t="str">
            <v>ШГН</v>
          </cell>
          <cell r="I863" t="str">
            <v>конс.</v>
          </cell>
          <cell r="J863">
            <v>32843</v>
          </cell>
          <cell r="K863">
            <v>7</v>
          </cell>
          <cell r="L863">
            <v>5</v>
          </cell>
          <cell r="M863">
            <v>12</v>
          </cell>
          <cell r="N863">
            <v>21</v>
          </cell>
          <cell r="O863">
            <v>12</v>
          </cell>
          <cell r="P863">
            <v>30</v>
          </cell>
          <cell r="Q863">
            <v>21</v>
          </cell>
          <cell r="R863">
            <v>12</v>
          </cell>
          <cell r="S863">
            <v>29.5</v>
          </cell>
          <cell r="T863" t="e">
            <v>#REF!</v>
          </cell>
          <cell r="U863" t="str">
            <v>ГРП</v>
          </cell>
          <cell r="V863">
            <v>3</v>
          </cell>
          <cell r="W863" t="str">
            <v>ВЦ. ИР ЮК-10. ГДИ. ПП ДН. ГРП ЮК 2-3</v>
          </cell>
        </row>
        <row r="864">
          <cell r="B864">
            <v>5543</v>
          </cell>
          <cell r="C864">
            <v>114</v>
          </cell>
          <cell r="H864" t="str">
            <v>ШГН</v>
          </cell>
          <cell r="I864" t="str">
            <v>бд</v>
          </cell>
          <cell r="J864">
            <v>37258</v>
          </cell>
          <cell r="K864">
            <v>3</v>
          </cell>
          <cell r="L864">
            <v>1.7</v>
          </cell>
          <cell r="M864">
            <v>29</v>
          </cell>
          <cell r="N864">
            <v>24</v>
          </cell>
          <cell r="O864">
            <v>13.7</v>
          </cell>
          <cell r="P864">
            <v>30</v>
          </cell>
          <cell r="Q864">
            <v>24</v>
          </cell>
          <cell r="R864">
            <v>13.7</v>
          </cell>
          <cell r="S864">
            <v>29.5</v>
          </cell>
          <cell r="U864" t="str">
            <v>ГРП</v>
          </cell>
          <cell r="V864">
            <v>4</v>
          </cell>
          <cell r="W864" t="str">
            <v>повт.ГРП ( до 30т проп.)</v>
          </cell>
          <cell r="AD864" t="e">
            <v>#REF!</v>
          </cell>
          <cell r="AE864" t="e">
            <v>#REF!</v>
          </cell>
        </row>
        <row r="865">
          <cell r="B865">
            <v>2649</v>
          </cell>
          <cell r="C865" t="str">
            <v>157б</v>
          </cell>
          <cell r="F865" t="str">
            <v>УПНПиКРС</v>
          </cell>
          <cell r="G865">
            <v>235</v>
          </cell>
          <cell r="H865" t="str">
            <v>ШГН</v>
          </cell>
          <cell r="I865" t="str">
            <v>действ.</v>
          </cell>
          <cell r="K865">
            <v>4</v>
          </cell>
          <cell r="L865">
            <v>3.1</v>
          </cell>
          <cell r="M865">
            <v>6</v>
          </cell>
          <cell r="N865">
            <v>12</v>
          </cell>
          <cell r="O865">
            <v>8.1</v>
          </cell>
          <cell r="P865">
            <v>17</v>
          </cell>
          <cell r="Q865">
            <v>8</v>
          </cell>
          <cell r="R865">
            <v>5</v>
          </cell>
          <cell r="S865">
            <v>22.8</v>
          </cell>
          <cell r="T865" t="e">
            <v>#REF!</v>
          </cell>
          <cell r="U865" t="str">
            <v>ОПЗ</v>
          </cell>
          <cell r="V865">
            <v>5</v>
          </cell>
          <cell r="W865" t="str">
            <v>ДП ЮК-100,ПП, ЮК-10,ОПЗ,ГДИ</v>
          </cell>
          <cell r="Y865" t="str">
            <v xml:space="preserve">на забое ЭЦН-50/1550+103шт.60мм НКТ+кабель </v>
          </cell>
          <cell r="AD865" t="e">
            <v>#REF!</v>
          </cell>
          <cell r="AE865" t="e">
            <v>#REF!</v>
          </cell>
          <cell r="AF865">
            <v>45</v>
          </cell>
        </row>
        <row r="866">
          <cell r="B866">
            <v>5241</v>
          </cell>
          <cell r="C866">
            <v>134</v>
          </cell>
          <cell r="F866" t="str">
            <v>УПНПиКРС</v>
          </cell>
          <cell r="G866">
            <v>255</v>
          </cell>
          <cell r="H866" t="str">
            <v>ЭЦН</v>
          </cell>
          <cell r="I866" t="str">
            <v>бд</v>
          </cell>
          <cell r="J866">
            <v>34547</v>
          </cell>
          <cell r="K866">
            <v>21</v>
          </cell>
          <cell r="L866">
            <v>0.2</v>
          </cell>
          <cell r="M866">
            <v>99</v>
          </cell>
          <cell r="N866">
            <v>30</v>
          </cell>
          <cell r="O866">
            <v>12</v>
          </cell>
          <cell r="P866">
            <v>51</v>
          </cell>
          <cell r="Q866">
            <v>30</v>
          </cell>
          <cell r="R866">
            <v>12</v>
          </cell>
          <cell r="S866">
            <v>50.6</v>
          </cell>
          <cell r="T866" t="e">
            <v>#REF!</v>
          </cell>
          <cell r="U866" t="str">
            <v>ГРП</v>
          </cell>
          <cell r="V866">
            <v>2</v>
          </cell>
          <cell r="W866" t="str">
            <v xml:space="preserve">ВЦ, ГИС-2 ( источ. обвод.), при подтверждении воды и герм. э/колонны -ДП. ЮК-2 2478-2488м, РИР ЮК-10, ГРП ЮК-2 </v>
          </cell>
          <cell r="X866" t="str">
            <v>ЭП выполнен, ЭЦН с КРБК на забое</v>
          </cell>
          <cell r="Y866" t="str">
            <v>ПРС май 95г., Реагирует:42/2857,2877,44б/3094 Qн=10т/сут</v>
          </cell>
        </row>
        <row r="867">
          <cell r="B867">
            <v>2895</v>
          </cell>
          <cell r="C867">
            <v>42</v>
          </cell>
          <cell r="G867">
            <v>290</v>
          </cell>
          <cell r="H867" t="str">
            <v>нагнет.</v>
          </cell>
          <cell r="I867" t="str">
            <v>бд</v>
          </cell>
          <cell r="J867">
            <v>36418</v>
          </cell>
          <cell r="K867">
            <v>50</v>
          </cell>
          <cell r="N867">
            <v>100</v>
          </cell>
          <cell r="Q867">
            <v>100</v>
          </cell>
          <cell r="U867" t="str">
            <v>нг</v>
          </cell>
          <cell r="W867" t="str">
            <v>Извл.воронки, ВЗ, реизия Ф/А пуск под закачку</v>
          </cell>
          <cell r="Y867" t="str">
            <v>КРС июнь 91г.</v>
          </cell>
        </row>
        <row r="868">
          <cell r="B868">
            <v>2897</v>
          </cell>
          <cell r="C868">
            <v>42</v>
          </cell>
          <cell r="G868">
            <v>300</v>
          </cell>
          <cell r="H868" t="str">
            <v>нагнет.</v>
          </cell>
          <cell r="I868" t="str">
            <v>действ.</v>
          </cell>
          <cell r="K868">
            <v>150</v>
          </cell>
          <cell r="N868">
            <v>150</v>
          </cell>
          <cell r="Q868">
            <v>150</v>
          </cell>
          <cell r="U868" t="str">
            <v>нг</v>
          </cell>
          <cell r="W868" t="str">
            <v>Извл.воронки, ВЗ, реизия Ф/А пуск под закачку</v>
          </cell>
          <cell r="Y868" t="str">
            <v>КРС август 88г.</v>
          </cell>
        </row>
        <row r="869">
          <cell r="B869">
            <v>2898</v>
          </cell>
          <cell r="C869">
            <v>42</v>
          </cell>
          <cell r="G869">
            <v>300</v>
          </cell>
          <cell r="H869" t="str">
            <v>нагнет.</v>
          </cell>
          <cell r="I869" t="str">
            <v>действ.</v>
          </cell>
          <cell r="K869">
            <v>150</v>
          </cell>
          <cell r="N869">
            <v>150</v>
          </cell>
          <cell r="Q869">
            <v>150</v>
          </cell>
          <cell r="U869" t="str">
            <v>нг</v>
          </cell>
          <cell r="W869" t="str">
            <v>Извл.воронки, ВЗ, реизия Ф/А пуск под закачку</v>
          </cell>
          <cell r="Y869" t="str">
            <v>Бурение 2-го ствола (3.01.95-24.09.95).Пoлет ЭЦН, При ликвидации аварии обнаружено нарушение Э/К на гл.1562-1573м(6.08-7.09.98)</v>
          </cell>
        </row>
        <row r="870">
          <cell r="B870">
            <v>2756</v>
          </cell>
          <cell r="C870">
            <v>145</v>
          </cell>
          <cell r="I870" t="str">
            <v>бд</v>
          </cell>
          <cell r="J870">
            <v>35786</v>
          </cell>
          <cell r="K870">
            <v>70</v>
          </cell>
          <cell r="L870">
            <v>10.8</v>
          </cell>
          <cell r="M870">
            <v>81</v>
          </cell>
          <cell r="N870">
            <v>50</v>
          </cell>
          <cell r="O870">
            <v>10</v>
          </cell>
          <cell r="P870">
            <v>75.400000000000006</v>
          </cell>
          <cell r="Q870">
            <v>50</v>
          </cell>
          <cell r="R870">
            <v>10</v>
          </cell>
          <cell r="S870">
            <v>75.3</v>
          </cell>
          <cell r="U870" t="str">
            <v>РИР</v>
          </cell>
          <cell r="W870" t="str">
            <v>РИР Э/К 2562-2673, ПП-ЮК-10 с ОПЗ</v>
          </cell>
          <cell r="Y870" t="str">
            <v xml:space="preserve">При ПРС (ГЖ) пересыпает забой, Восстановить не смогли. Предположительно нарушение Э/К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за"/>
      <sheetName val="РИВЦ"/>
      <sheetName val="простои  "/>
      <sheetName val="извл. нерент."/>
      <sheetName val="факт май"/>
      <sheetName val="факт май (2)"/>
      <sheetName val="план июнь"/>
      <sheetName val="Красноленинск"/>
      <sheetName val="Красноленинск-ФАКТ"/>
      <sheetName val="Фонд "/>
      <sheetName val="титул"/>
      <sheetName val="расчет"/>
      <sheetName val="словарь"/>
      <sheetName val="план июнь ПТО"/>
      <sheetName val="ФАКТ июнь"/>
    </sheetNames>
    <sheetDataSet>
      <sheetData sheetId="0">
        <row r="1">
          <cell r="C1" t="str">
            <v>№ куста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  <cell r="Y1" t="str">
            <v>Наличие СК</v>
          </cell>
          <cell r="Z1" t="str">
            <v>Нзаб текущий</v>
          </cell>
          <cell r="AA1" t="str">
            <v>D НКТ</v>
          </cell>
          <cell r="AB1" t="str">
            <v>Дата последнего КПРС</v>
          </cell>
          <cell r="AC1" t="str">
            <v>Рпл замерен</v>
          </cell>
          <cell r="AD1" t="str">
            <v>Дата начала ремонта</v>
          </cell>
          <cell r="AE1" t="str">
            <v>Дата окончания ремонта</v>
          </cell>
          <cell r="AF1" t="str">
            <v>Продолжительность ремонта</v>
          </cell>
          <cell r="AG1" t="str">
            <v>Добыча нефти из введенных</v>
          </cell>
          <cell r="AH1" t="str">
            <v>Добыча жидкости из введенных</v>
          </cell>
        </row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13</v>
          </cell>
          <cell r="O2">
            <v>14</v>
          </cell>
          <cell r="P2">
            <v>15</v>
          </cell>
          <cell r="Q2">
            <v>16</v>
          </cell>
          <cell r="R2">
            <v>17</v>
          </cell>
          <cell r="S2">
            <v>18</v>
          </cell>
          <cell r="T2">
            <v>19</v>
          </cell>
          <cell r="U2">
            <v>20</v>
          </cell>
          <cell r="V2">
            <v>21</v>
          </cell>
          <cell r="W2">
            <v>22</v>
          </cell>
          <cell r="X2">
            <v>23</v>
          </cell>
          <cell r="Y2">
            <v>24</v>
          </cell>
          <cell r="Z2">
            <v>25</v>
          </cell>
          <cell r="AA2">
            <v>26</v>
          </cell>
          <cell r="AB2">
            <v>27</v>
          </cell>
          <cell r="AC2">
            <v>28</v>
          </cell>
          <cell r="AD2">
            <v>29</v>
          </cell>
          <cell r="AE2">
            <v>30</v>
          </cell>
          <cell r="AF2">
            <v>31</v>
          </cell>
          <cell r="AG2">
            <v>32</v>
          </cell>
        </row>
        <row r="3">
          <cell r="B3">
            <v>5423</v>
          </cell>
          <cell r="C3">
            <v>101</v>
          </cell>
          <cell r="F3" t="str">
            <v>ЧНС-Нягань</v>
          </cell>
          <cell r="H3" t="str">
            <v>ФОН</v>
          </cell>
          <cell r="I3" t="str">
            <v>б/д пр.л.</v>
          </cell>
          <cell r="J3">
            <v>33605</v>
          </cell>
          <cell r="K3">
            <v>0</v>
          </cell>
          <cell r="L3">
            <v>0</v>
          </cell>
          <cell r="M3">
            <v>0</v>
          </cell>
          <cell r="N3">
            <v>50</v>
          </cell>
          <cell r="O3">
            <v>20</v>
          </cell>
          <cell r="P3">
            <v>51</v>
          </cell>
          <cell r="Q3">
            <v>50</v>
          </cell>
          <cell r="R3">
            <v>20</v>
          </cell>
          <cell r="S3">
            <v>50.6</v>
          </cell>
          <cell r="T3">
            <v>38803</v>
          </cell>
          <cell r="U3" t="str">
            <v>ГРП</v>
          </cell>
          <cell r="W3" t="str">
            <v>ВЦ.ВЗ(Изв.НКТ).ИР ЮК.ГРП ЮК-2,3.Осв.Сп.Э-50.</v>
          </cell>
          <cell r="Y3" t="str">
            <v>ОЦ. 5.10.99</v>
          </cell>
          <cell r="AE3">
            <v>38793</v>
          </cell>
        </row>
        <row r="4">
          <cell r="B4">
            <v>3191</v>
          </cell>
          <cell r="C4">
            <v>55</v>
          </cell>
          <cell r="F4" t="str">
            <v>ЧНС-Нягань</v>
          </cell>
          <cell r="G4">
            <v>265</v>
          </cell>
          <cell r="H4" t="str">
            <v>ЭЦН</v>
          </cell>
          <cell r="I4" t="str">
            <v>действ.</v>
          </cell>
          <cell r="J4">
            <v>38754</v>
          </cell>
          <cell r="K4">
            <v>31</v>
          </cell>
          <cell r="L4">
            <v>6.3</v>
          </cell>
          <cell r="M4">
            <v>75</v>
          </cell>
          <cell r="N4">
            <v>80</v>
          </cell>
          <cell r="O4">
            <v>22.3</v>
          </cell>
          <cell r="P4">
            <v>65.8</v>
          </cell>
          <cell r="Q4">
            <v>49</v>
          </cell>
          <cell r="R4">
            <v>16</v>
          </cell>
          <cell r="S4">
            <v>59.7</v>
          </cell>
          <cell r="T4">
            <v>38790</v>
          </cell>
          <cell r="U4" t="str">
            <v>ГРП</v>
          </cell>
          <cell r="W4" t="str">
            <v>Осв.после ГРП ЮК-10.Сп.Э-50.</v>
          </cell>
          <cell r="X4" t="str">
            <v>11,12,02 не вып.</v>
          </cell>
          <cell r="AE4">
            <v>38784</v>
          </cell>
        </row>
        <row r="5">
          <cell r="B5">
            <v>5559</v>
          </cell>
          <cell r="C5" t="str">
            <v>119б</v>
          </cell>
          <cell r="F5" t="str">
            <v>ЧНС-Нягань</v>
          </cell>
          <cell r="H5" t="str">
            <v>ЭЦН</v>
          </cell>
          <cell r="I5" t="str">
            <v>действ.</v>
          </cell>
          <cell r="K5">
            <v>33</v>
          </cell>
          <cell r="L5">
            <v>4.3</v>
          </cell>
          <cell r="M5">
            <v>84</v>
          </cell>
          <cell r="N5">
            <v>80</v>
          </cell>
          <cell r="O5">
            <v>20.3</v>
          </cell>
          <cell r="P5">
            <v>68.8</v>
          </cell>
          <cell r="Q5">
            <v>47</v>
          </cell>
          <cell r="R5">
            <v>16</v>
          </cell>
          <cell r="S5">
            <v>58</v>
          </cell>
          <cell r="T5">
            <v>38809</v>
          </cell>
          <cell r="U5" t="str">
            <v>ГРП</v>
          </cell>
          <cell r="W5" t="str">
            <v>ГИС-2.ПР.ГРП ЮК-10.Осв.Сп.Э-80.</v>
          </cell>
          <cell r="AE5">
            <v>38803</v>
          </cell>
        </row>
        <row r="6">
          <cell r="B6">
            <v>2887</v>
          </cell>
          <cell r="C6">
            <v>132</v>
          </cell>
          <cell r="F6" t="str">
            <v>ЧНС-Нягань</v>
          </cell>
          <cell r="G6">
            <v>245</v>
          </cell>
          <cell r="H6" t="str">
            <v>ЭЦН</v>
          </cell>
          <cell r="I6" t="str">
            <v>б/д тек.г.</v>
          </cell>
          <cell r="K6">
            <v>50</v>
          </cell>
          <cell r="L6">
            <v>16</v>
          </cell>
          <cell r="M6">
            <v>60.5</v>
          </cell>
          <cell r="N6">
            <v>50</v>
          </cell>
          <cell r="O6">
            <v>16</v>
          </cell>
          <cell r="P6">
            <v>60.5</v>
          </cell>
          <cell r="Q6">
            <v>50</v>
          </cell>
          <cell r="R6">
            <v>16</v>
          </cell>
          <cell r="S6">
            <v>60.5</v>
          </cell>
          <cell r="T6">
            <v>38827</v>
          </cell>
          <cell r="U6" t="str">
            <v>ГРП</v>
          </cell>
          <cell r="W6" t="str">
            <v>ЛА(изв.прихв.НКТ).ИР ЮК-11.ГРП ЮК-10.Сп.Э-50.</v>
          </cell>
          <cell r="AE6">
            <v>38791</v>
          </cell>
        </row>
        <row r="7">
          <cell r="B7">
            <v>2886</v>
          </cell>
          <cell r="C7">
            <v>131</v>
          </cell>
          <cell r="F7" t="str">
            <v>ЧНС-Нягань</v>
          </cell>
          <cell r="G7">
            <v>255</v>
          </cell>
          <cell r="H7" t="str">
            <v>ШГН</v>
          </cell>
          <cell r="I7" t="str">
            <v>консерв.</v>
          </cell>
          <cell r="J7">
            <v>34485</v>
          </cell>
          <cell r="K7">
            <v>0</v>
          </cell>
          <cell r="L7">
            <v>0</v>
          </cell>
          <cell r="M7">
            <v>0</v>
          </cell>
          <cell r="N7">
            <v>50</v>
          </cell>
          <cell r="O7">
            <v>16</v>
          </cell>
          <cell r="P7">
            <v>60.7</v>
          </cell>
          <cell r="Q7">
            <v>50</v>
          </cell>
          <cell r="R7">
            <v>16</v>
          </cell>
          <cell r="S7">
            <v>60.5</v>
          </cell>
          <cell r="T7">
            <v>38790</v>
          </cell>
          <cell r="U7" t="str">
            <v>ГРП</v>
          </cell>
          <cell r="W7" t="str">
            <v>ВЦсЛА.ИР ЮК-11.Осв.после ГРП ЮК-10.Сп.Э-50</v>
          </cell>
          <cell r="AE7">
            <v>38784</v>
          </cell>
        </row>
        <row r="8">
          <cell r="B8">
            <v>2696</v>
          </cell>
          <cell r="C8">
            <v>163</v>
          </cell>
          <cell r="F8" t="str">
            <v>ЧНС-Нягань</v>
          </cell>
          <cell r="G8">
            <v>250</v>
          </cell>
          <cell r="H8" t="str">
            <v>ШГН</v>
          </cell>
          <cell r="I8" t="str">
            <v>б/д тек.г.</v>
          </cell>
          <cell r="J8">
            <v>38736</v>
          </cell>
          <cell r="K8">
            <v>0</v>
          </cell>
          <cell r="L8">
            <v>0</v>
          </cell>
          <cell r="M8">
            <v>0</v>
          </cell>
          <cell r="N8">
            <v>50</v>
          </cell>
          <cell r="O8">
            <v>16</v>
          </cell>
          <cell r="P8">
            <v>60.7</v>
          </cell>
          <cell r="Q8">
            <v>50</v>
          </cell>
          <cell r="R8">
            <v>16</v>
          </cell>
          <cell r="S8">
            <v>60.5</v>
          </cell>
          <cell r="T8">
            <v>38795</v>
          </cell>
          <cell r="U8" t="str">
            <v>ГРП</v>
          </cell>
          <cell r="W8" t="str">
            <v>РИР ЭК.ГРП ЮК-10.Сп.Э-50.</v>
          </cell>
          <cell r="AD8">
            <v>37861</v>
          </cell>
          <cell r="AE8">
            <v>38789</v>
          </cell>
          <cell r="AF8">
            <v>14</v>
          </cell>
        </row>
        <row r="9">
          <cell r="B9">
            <v>5594</v>
          </cell>
          <cell r="C9">
            <v>119</v>
          </cell>
          <cell r="F9" t="str">
            <v>ЧНС-Нягань</v>
          </cell>
          <cell r="H9" t="str">
            <v>ЭЦН</v>
          </cell>
          <cell r="I9" t="str">
            <v>б/д пр.л.</v>
          </cell>
          <cell r="J9">
            <v>37942</v>
          </cell>
          <cell r="K9">
            <v>0</v>
          </cell>
          <cell r="L9">
            <v>0</v>
          </cell>
          <cell r="M9">
            <v>0</v>
          </cell>
          <cell r="N9">
            <v>125</v>
          </cell>
          <cell r="O9">
            <v>14.3</v>
          </cell>
          <cell r="P9">
            <v>86</v>
          </cell>
          <cell r="Q9">
            <v>125</v>
          </cell>
          <cell r="R9">
            <v>14.3</v>
          </cell>
          <cell r="S9">
            <v>85.9</v>
          </cell>
          <cell r="T9">
            <v>38857</v>
          </cell>
          <cell r="U9" t="str">
            <v>ЛА</v>
          </cell>
          <cell r="W9" t="str">
            <v>Ликвидация аварии</v>
          </cell>
          <cell r="AE9">
            <v>38790</v>
          </cell>
        </row>
        <row r="10">
          <cell r="B10">
            <v>2956</v>
          </cell>
          <cell r="C10">
            <v>46</v>
          </cell>
          <cell r="F10" t="str">
            <v>ЧНС-Нягань</v>
          </cell>
          <cell r="G10">
            <v>270</v>
          </cell>
          <cell r="H10" t="str">
            <v>ЭЦН</v>
          </cell>
          <cell r="I10" t="str">
            <v>б/д тек.г.</v>
          </cell>
          <cell r="J10">
            <v>38717</v>
          </cell>
          <cell r="K10">
            <v>0</v>
          </cell>
          <cell r="L10">
            <v>0</v>
          </cell>
          <cell r="M10">
            <v>0</v>
          </cell>
          <cell r="N10">
            <v>80</v>
          </cell>
          <cell r="O10">
            <v>16</v>
          </cell>
          <cell r="P10">
            <v>75.5</v>
          </cell>
          <cell r="Q10">
            <v>80</v>
          </cell>
          <cell r="R10">
            <v>16</v>
          </cell>
          <cell r="S10">
            <v>75.3</v>
          </cell>
          <cell r="T10">
            <v>38810</v>
          </cell>
          <cell r="U10" t="str">
            <v>ГРП</v>
          </cell>
          <cell r="W10" t="str">
            <v>ГИС-2.ИР ЮК-11.РИРЭК.ГРП ЮК-10.Сп.Э-80.</v>
          </cell>
          <cell r="AE10">
            <v>38788</v>
          </cell>
        </row>
        <row r="11">
          <cell r="B11">
            <v>5481</v>
          </cell>
          <cell r="C11">
            <v>114</v>
          </cell>
          <cell r="F11" t="str">
            <v>ЧНС-Нягань</v>
          </cell>
          <cell r="H11" t="str">
            <v>ЭЦН</v>
          </cell>
          <cell r="I11" t="str">
            <v>б/д пр.л.</v>
          </cell>
          <cell r="J11">
            <v>38645</v>
          </cell>
          <cell r="K11">
            <v>0</v>
          </cell>
          <cell r="L11">
            <v>0</v>
          </cell>
          <cell r="M11">
            <v>0</v>
          </cell>
          <cell r="N11">
            <v>50</v>
          </cell>
          <cell r="O11">
            <v>15</v>
          </cell>
          <cell r="P11">
            <v>63.3</v>
          </cell>
          <cell r="Q11">
            <v>50</v>
          </cell>
          <cell r="R11">
            <v>15</v>
          </cell>
          <cell r="S11">
            <v>63</v>
          </cell>
          <cell r="T11">
            <v>38779</v>
          </cell>
          <cell r="U11" t="str">
            <v>бдк</v>
          </cell>
          <cell r="W11" t="str">
            <v>РИР ЭК.ВЗ.Сп.Э-50.</v>
          </cell>
          <cell r="AE11">
            <v>38774</v>
          </cell>
          <cell r="AH11">
            <v>0</v>
          </cell>
        </row>
        <row r="12">
          <cell r="B12">
            <v>2631</v>
          </cell>
          <cell r="C12" t="str">
            <v>157б</v>
          </cell>
          <cell r="F12" t="str">
            <v>ЧНС-Нягань</v>
          </cell>
          <cell r="H12" t="str">
            <v>ШГН</v>
          </cell>
          <cell r="I12" t="str">
            <v>б/д пр.л.</v>
          </cell>
          <cell r="J12">
            <v>34915</v>
          </cell>
          <cell r="K12">
            <v>0</v>
          </cell>
          <cell r="L12">
            <v>0</v>
          </cell>
          <cell r="M12">
            <v>0</v>
          </cell>
          <cell r="N12">
            <v>80</v>
          </cell>
          <cell r="O12">
            <v>36</v>
          </cell>
          <cell r="P12">
            <v>44.8</v>
          </cell>
          <cell r="Q12">
            <v>80</v>
          </cell>
          <cell r="R12">
            <v>36</v>
          </cell>
          <cell r="S12">
            <v>44.4</v>
          </cell>
          <cell r="T12">
            <v>38790</v>
          </cell>
          <cell r="U12" t="str">
            <v>збс</v>
          </cell>
          <cell r="W12" t="str">
            <v>Осв.ЗБС.ДП ЮК-10,11.ГРП ЮК-10.ЛА.Сп.Э-80.</v>
          </cell>
          <cell r="AE12">
            <v>38785</v>
          </cell>
        </row>
        <row r="13">
          <cell r="B13">
            <v>11051</v>
          </cell>
          <cell r="C13" t="str">
            <v>100б</v>
          </cell>
          <cell r="F13" t="str">
            <v>ЧНС-Нягань</v>
          </cell>
          <cell r="G13">
            <v>270</v>
          </cell>
          <cell r="H13" t="str">
            <v>ЭЦН</v>
          </cell>
          <cell r="I13" t="str">
            <v>б/д тек.г.</v>
          </cell>
          <cell r="J13">
            <v>38738</v>
          </cell>
          <cell r="K13">
            <v>0</v>
          </cell>
          <cell r="L13">
            <v>0</v>
          </cell>
          <cell r="M13">
            <v>0</v>
          </cell>
          <cell r="N13">
            <v>24</v>
          </cell>
          <cell r="O13">
            <v>10.4</v>
          </cell>
          <cell r="P13">
            <v>47</v>
          </cell>
          <cell r="Q13">
            <v>24</v>
          </cell>
          <cell r="R13">
            <v>10.4</v>
          </cell>
          <cell r="S13">
            <v>46.5</v>
          </cell>
          <cell r="T13">
            <v>38781</v>
          </cell>
          <cell r="U13" t="str">
            <v>ГРП</v>
          </cell>
          <cell r="W13" t="str">
            <v>Изв.прихв.ЭЦН-25.Сп.Э-25.</v>
          </cell>
          <cell r="AD13">
            <v>38072</v>
          </cell>
          <cell r="AE13">
            <v>38776</v>
          </cell>
        </row>
        <row r="14">
          <cell r="B14">
            <v>5541</v>
          </cell>
          <cell r="C14">
            <v>114</v>
          </cell>
          <cell r="F14" t="str">
            <v>ЧНС-Нягань</v>
          </cell>
          <cell r="H14" t="str">
            <v>ЭЦН</v>
          </cell>
          <cell r="I14" t="str">
            <v>действ.</v>
          </cell>
          <cell r="J14">
            <v>38764</v>
          </cell>
          <cell r="K14">
            <v>12</v>
          </cell>
          <cell r="L14">
            <v>7.3</v>
          </cell>
          <cell r="M14">
            <v>25</v>
          </cell>
          <cell r="N14">
            <v>25</v>
          </cell>
          <cell r="O14">
            <v>15.3</v>
          </cell>
          <cell r="P14">
            <v>25</v>
          </cell>
          <cell r="Q14">
            <v>13</v>
          </cell>
          <cell r="R14">
            <v>8</v>
          </cell>
          <cell r="S14">
            <v>24</v>
          </cell>
          <cell r="T14">
            <v>38795</v>
          </cell>
          <cell r="W14" t="str">
            <v>Инт.притока НСВ.ОПЗ.Сп.Э-25</v>
          </cell>
          <cell r="AE14">
            <v>38790</v>
          </cell>
        </row>
        <row r="15">
          <cell r="B15">
            <v>5475</v>
          </cell>
          <cell r="C15">
            <v>110</v>
          </cell>
          <cell r="F15" t="str">
            <v>ЧНС-Нягань</v>
          </cell>
          <cell r="H15" t="str">
            <v>нагнет.</v>
          </cell>
          <cell r="I15" t="str">
            <v>консерв.</v>
          </cell>
          <cell r="J15">
            <v>33603</v>
          </cell>
          <cell r="K15">
            <v>0</v>
          </cell>
          <cell r="L15">
            <v>0</v>
          </cell>
          <cell r="M15">
            <v>0</v>
          </cell>
          <cell r="N15">
            <v>150</v>
          </cell>
          <cell r="Q15">
            <v>150</v>
          </cell>
          <cell r="T15">
            <v>38779</v>
          </cell>
          <cell r="U15" t="str">
            <v>НГ</v>
          </cell>
          <cell r="W15" t="str">
            <v>ВЦ.РИР ЭК.ПП.ОПЗ.ГИС-3.Сп.пак.ППД.</v>
          </cell>
        </row>
        <row r="16">
          <cell r="B16">
            <v>5837</v>
          </cell>
          <cell r="C16">
            <v>168</v>
          </cell>
          <cell r="F16" t="str">
            <v>бел.УПНПиКРС</v>
          </cell>
          <cell r="H16" t="str">
            <v>ЭЦН</v>
          </cell>
          <cell r="I16" t="str">
            <v>консерв.</v>
          </cell>
          <cell r="J16">
            <v>34029</v>
          </cell>
          <cell r="K16">
            <v>0</v>
          </cell>
          <cell r="L16">
            <v>0</v>
          </cell>
          <cell r="M16">
            <v>0</v>
          </cell>
          <cell r="N16">
            <v>50</v>
          </cell>
          <cell r="O16">
            <v>4.0999999999999996</v>
          </cell>
          <cell r="P16">
            <v>90</v>
          </cell>
          <cell r="Q16">
            <v>50</v>
          </cell>
          <cell r="R16">
            <v>4.0999999999999996</v>
          </cell>
          <cell r="S16">
            <v>89.9</v>
          </cell>
          <cell r="T16">
            <v>38784</v>
          </cell>
          <cell r="U16" t="str">
            <v>бдп</v>
          </cell>
          <cell r="W16" t="str">
            <v>ВЦ.См Э-50</v>
          </cell>
          <cell r="AE16">
            <v>38779</v>
          </cell>
        </row>
        <row r="17">
          <cell r="B17">
            <v>2684</v>
          </cell>
          <cell r="C17" t="str">
            <v>145б</v>
          </cell>
          <cell r="F17" t="str">
            <v>бел.УПНПиКРС</v>
          </cell>
          <cell r="H17" t="str">
            <v>ЭЦН</v>
          </cell>
          <cell r="I17" t="str">
            <v>б/д тек.г.</v>
          </cell>
          <cell r="J17">
            <v>38691</v>
          </cell>
          <cell r="K17">
            <v>0</v>
          </cell>
          <cell r="L17">
            <v>0</v>
          </cell>
          <cell r="M17">
            <v>0</v>
          </cell>
          <cell r="N17">
            <v>12</v>
          </cell>
          <cell r="O17">
            <v>6.8</v>
          </cell>
          <cell r="P17">
            <v>30</v>
          </cell>
          <cell r="Q17">
            <v>12</v>
          </cell>
          <cell r="R17">
            <v>6.8</v>
          </cell>
          <cell r="S17">
            <v>30</v>
          </cell>
          <cell r="T17">
            <v>38796</v>
          </cell>
          <cell r="U17" t="str">
            <v>бдп</v>
          </cell>
          <cell r="W17" t="str">
            <v>ВЦ.спуск Э-15</v>
          </cell>
          <cell r="AE17">
            <v>38791</v>
          </cell>
        </row>
        <row r="18">
          <cell r="B18">
            <v>5341</v>
          </cell>
          <cell r="C18">
            <v>101</v>
          </cell>
          <cell r="F18" t="str">
            <v>бел.УПНПиКРС</v>
          </cell>
          <cell r="H18" t="str">
            <v>ЭЦН</v>
          </cell>
          <cell r="I18" t="str">
            <v>б/д тек.г.</v>
          </cell>
          <cell r="K18">
            <v>18</v>
          </cell>
          <cell r="L18">
            <v>13.3</v>
          </cell>
          <cell r="M18">
            <v>9</v>
          </cell>
          <cell r="N18">
            <v>20</v>
          </cell>
          <cell r="O18">
            <v>14.8</v>
          </cell>
          <cell r="P18">
            <v>9</v>
          </cell>
          <cell r="Q18">
            <v>20</v>
          </cell>
          <cell r="R18">
            <v>14.8</v>
          </cell>
          <cell r="S18">
            <v>8.6</v>
          </cell>
          <cell r="T18">
            <v>38789</v>
          </cell>
          <cell r="U18" t="str">
            <v>бдп</v>
          </cell>
          <cell r="W18" t="str">
            <v>ВЦ КОПС.См.Э-25</v>
          </cell>
          <cell r="AE18">
            <v>38786</v>
          </cell>
        </row>
        <row r="19">
          <cell r="B19">
            <v>2755</v>
          </cell>
          <cell r="C19">
            <v>145</v>
          </cell>
          <cell r="F19" t="str">
            <v>бел.УПНПиКРС</v>
          </cell>
          <cell r="H19" t="str">
            <v>ЭЦН</v>
          </cell>
          <cell r="I19" t="str">
            <v>б/д тек.г.</v>
          </cell>
          <cell r="K19">
            <v>21</v>
          </cell>
          <cell r="L19">
            <v>13.2</v>
          </cell>
          <cell r="M19">
            <v>23</v>
          </cell>
          <cell r="N19">
            <v>25</v>
          </cell>
          <cell r="O19">
            <v>15.7</v>
          </cell>
          <cell r="P19">
            <v>23</v>
          </cell>
          <cell r="Q19">
            <v>25</v>
          </cell>
          <cell r="R19">
            <v>15.7</v>
          </cell>
          <cell r="S19">
            <v>22.5</v>
          </cell>
          <cell r="T19">
            <v>38790</v>
          </cell>
          <cell r="U19" t="str">
            <v>бдп</v>
          </cell>
          <cell r="W19" t="str">
            <v>См вор./Э-30</v>
          </cell>
          <cell r="AE19">
            <v>38787</v>
          </cell>
        </row>
        <row r="20">
          <cell r="B20">
            <v>3106</v>
          </cell>
          <cell r="C20">
            <v>56</v>
          </cell>
          <cell r="F20" t="str">
            <v>бел.УПНПиКРС</v>
          </cell>
          <cell r="H20" t="str">
            <v>ЭЦН</v>
          </cell>
          <cell r="I20" t="str">
            <v>действ.</v>
          </cell>
          <cell r="K20">
            <v>125</v>
          </cell>
          <cell r="L20">
            <v>30</v>
          </cell>
          <cell r="M20">
            <v>70.400000000000006</v>
          </cell>
          <cell r="N20">
            <v>105</v>
          </cell>
          <cell r="O20">
            <v>41.9</v>
          </cell>
          <cell r="P20">
            <v>51</v>
          </cell>
          <cell r="Q20">
            <v>-20</v>
          </cell>
          <cell r="R20">
            <v>13.5</v>
          </cell>
          <cell r="S20">
            <v>183.3</v>
          </cell>
          <cell r="T20">
            <v>38779</v>
          </cell>
          <cell r="U20" t="str">
            <v>опт</v>
          </cell>
          <cell r="W20" t="str">
            <v>Опт. Э-80/125</v>
          </cell>
          <cell r="AE20">
            <v>38774</v>
          </cell>
        </row>
        <row r="21">
          <cell r="B21">
            <v>3132</v>
          </cell>
          <cell r="C21">
            <v>56</v>
          </cell>
          <cell r="F21" t="str">
            <v>бел.УПНПиКРС</v>
          </cell>
          <cell r="H21" t="str">
            <v>ЭЦН</v>
          </cell>
          <cell r="I21" t="str">
            <v>действ.</v>
          </cell>
          <cell r="K21">
            <v>160</v>
          </cell>
          <cell r="L21">
            <v>10.4</v>
          </cell>
          <cell r="M21">
            <v>92</v>
          </cell>
          <cell r="N21">
            <v>230</v>
          </cell>
          <cell r="O21">
            <v>15</v>
          </cell>
          <cell r="P21">
            <v>92</v>
          </cell>
          <cell r="Q21">
            <v>70</v>
          </cell>
          <cell r="R21">
            <v>4.5999999999999996</v>
          </cell>
          <cell r="S21">
            <v>91.9</v>
          </cell>
          <cell r="T21">
            <v>38783</v>
          </cell>
          <cell r="U21" t="str">
            <v>опт</v>
          </cell>
          <cell r="W21" t="str">
            <v>Опт. Э-125/250</v>
          </cell>
          <cell r="AE21">
            <v>38778</v>
          </cell>
        </row>
        <row r="22">
          <cell r="B22">
            <v>3550</v>
          </cell>
          <cell r="C22">
            <v>76</v>
          </cell>
          <cell r="H22" t="str">
            <v>ЭЦН</v>
          </cell>
          <cell r="I22" t="str">
            <v>б/д пр.л.</v>
          </cell>
          <cell r="K22">
            <v>50</v>
          </cell>
          <cell r="L22">
            <v>2</v>
          </cell>
          <cell r="M22">
            <v>95.1</v>
          </cell>
          <cell r="N22">
            <v>50</v>
          </cell>
          <cell r="O22">
            <v>2</v>
          </cell>
          <cell r="P22">
            <v>95.1</v>
          </cell>
          <cell r="Q22">
            <v>50</v>
          </cell>
          <cell r="R22">
            <v>2</v>
          </cell>
          <cell r="S22">
            <v>95.1</v>
          </cell>
          <cell r="T22">
            <v>38822</v>
          </cell>
          <cell r="U22" t="str">
            <v>бдп</v>
          </cell>
          <cell r="W22" t="str">
            <v>ВЦ.спуск Э-50</v>
          </cell>
        </row>
        <row r="23">
          <cell r="B23">
            <v>3210</v>
          </cell>
          <cell r="C23">
            <v>70</v>
          </cell>
          <cell r="H23" t="str">
            <v>ЭЦН</v>
          </cell>
          <cell r="I23" t="str">
            <v>б/д пр.л.</v>
          </cell>
          <cell r="K23">
            <v>50</v>
          </cell>
          <cell r="L23">
            <v>16</v>
          </cell>
          <cell r="M23">
            <v>60.5</v>
          </cell>
          <cell r="N23">
            <v>50</v>
          </cell>
          <cell r="O23">
            <v>16</v>
          </cell>
          <cell r="P23">
            <v>60.5</v>
          </cell>
          <cell r="Q23">
            <v>50</v>
          </cell>
          <cell r="R23">
            <v>16</v>
          </cell>
          <cell r="S23">
            <v>60.5</v>
          </cell>
          <cell r="T23">
            <v>38822</v>
          </cell>
          <cell r="U23" t="str">
            <v>ГРП</v>
          </cell>
          <cell r="W23" t="str">
            <v>ВЗ.ГИС-2.РИР ЮК-11.ГРП ЮК-10.Сп.Э-50.</v>
          </cell>
        </row>
        <row r="24">
          <cell r="B24">
            <v>5440</v>
          </cell>
          <cell r="C24">
            <v>108</v>
          </cell>
          <cell r="H24" t="str">
            <v>ЭЦН</v>
          </cell>
          <cell r="I24" t="str">
            <v>б/д пр.л.</v>
          </cell>
          <cell r="K24">
            <v>80</v>
          </cell>
          <cell r="L24">
            <v>4</v>
          </cell>
          <cell r="M24">
            <v>93.8</v>
          </cell>
          <cell r="N24">
            <v>80</v>
          </cell>
          <cell r="O24">
            <v>30</v>
          </cell>
          <cell r="P24">
            <v>53.7</v>
          </cell>
          <cell r="Q24">
            <v>80</v>
          </cell>
          <cell r="R24">
            <v>30</v>
          </cell>
          <cell r="S24">
            <v>53.7</v>
          </cell>
          <cell r="T24">
            <v>38819</v>
          </cell>
          <cell r="U24" t="str">
            <v>ГРП</v>
          </cell>
          <cell r="W24" t="str">
            <v>Осв.после ЗВС.ПВР.ГРП ЮК-10.</v>
          </cell>
        </row>
        <row r="25">
          <cell r="B25">
            <v>5655</v>
          </cell>
          <cell r="C25">
            <v>123</v>
          </cell>
          <cell r="H25" t="str">
            <v>ЭЦН</v>
          </cell>
          <cell r="I25" t="str">
            <v>б/д пр.л.</v>
          </cell>
          <cell r="K25">
            <v>50</v>
          </cell>
          <cell r="L25">
            <v>16</v>
          </cell>
          <cell r="M25">
            <v>60.5</v>
          </cell>
          <cell r="N25">
            <v>50</v>
          </cell>
          <cell r="O25">
            <v>16</v>
          </cell>
          <cell r="P25">
            <v>60.5</v>
          </cell>
          <cell r="Q25">
            <v>50</v>
          </cell>
          <cell r="R25">
            <v>16</v>
          </cell>
          <cell r="S25">
            <v>60.5</v>
          </cell>
          <cell r="T25">
            <v>38834</v>
          </cell>
          <cell r="U25" t="str">
            <v>ГРП</v>
          </cell>
          <cell r="W25" t="str">
            <v>ВЦ.ОТСК.РИРЭК.ГРП ЮК-10.Сп.Э-50.</v>
          </cell>
        </row>
        <row r="26">
          <cell r="B26">
            <v>2608</v>
          </cell>
          <cell r="C26" t="str">
            <v>168б</v>
          </cell>
          <cell r="F26" t="str">
            <v>УПНПиКРС</v>
          </cell>
          <cell r="G26">
            <v>240</v>
          </cell>
          <cell r="H26" t="str">
            <v>ШГН</v>
          </cell>
          <cell r="I26" t="str">
            <v>б/д тек.г.</v>
          </cell>
          <cell r="K26">
            <v>0</v>
          </cell>
          <cell r="L26">
            <v>0</v>
          </cell>
          <cell r="M26">
            <v>0</v>
          </cell>
          <cell r="N26">
            <v>50</v>
          </cell>
          <cell r="O26">
            <v>20</v>
          </cell>
          <cell r="P26">
            <v>50.6</v>
          </cell>
          <cell r="Q26">
            <v>50</v>
          </cell>
          <cell r="R26">
            <v>20</v>
          </cell>
          <cell r="S26">
            <v>50.6</v>
          </cell>
          <cell r="T26">
            <v>38814</v>
          </cell>
          <cell r="U26" t="str">
            <v>ГРП</v>
          </cell>
          <cell r="W26" t="str">
            <v>ВЗ(изв.скр.пров.).ГИС-2.ГРП ЮК-4.Сп.Э-50</v>
          </cell>
          <cell r="AD26">
            <v>37320</v>
          </cell>
          <cell r="AE26">
            <v>37360</v>
          </cell>
          <cell r="AF26">
            <v>40</v>
          </cell>
        </row>
        <row r="27">
          <cell r="B27">
            <v>5564</v>
          </cell>
          <cell r="C27">
            <v>120</v>
          </cell>
          <cell r="F27" t="str">
            <v>БлУНП</v>
          </cell>
          <cell r="G27">
            <v>270</v>
          </cell>
          <cell r="H27" t="str">
            <v>ЭЦН</v>
          </cell>
          <cell r="I27" t="str">
            <v>действ.</v>
          </cell>
          <cell r="J27">
            <v>36885</v>
          </cell>
          <cell r="K27">
            <v>38</v>
          </cell>
          <cell r="L27">
            <v>4.0260999999999978</v>
          </cell>
          <cell r="M27">
            <v>86.9</v>
          </cell>
          <cell r="N27">
            <v>80</v>
          </cell>
          <cell r="O27">
            <v>20</v>
          </cell>
          <cell r="P27">
            <v>69.099999999999994</v>
          </cell>
          <cell r="Q27">
            <v>42</v>
          </cell>
          <cell r="R27">
            <v>15.973900000000002</v>
          </cell>
          <cell r="S27">
            <v>53</v>
          </cell>
          <cell r="T27">
            <v>38817</v>
          </cell>
          <cell r="U27" t="str">
            <v>ГРП</v>
          </cell>
          <cell r="W27" t="str">
            <v>ГИС-2.ИР ЮК-11.ГРП ЮК-10.Сп.Э-80.</v>
          </cell>
          <cell r="AD27">
            <v>37585</v>
          </cell>
          <cell r="AE27">
            <v>37605</v>
          </cell>
        </row>
        <row r="28">
          <cell r="B28">
            <v>5658</v>
          </cell>
          <cell r="C28" t="str">
            <v>122б</v>
          </cell>
          <cell r="F28" t="str">
            <v>УПНПиКРС</v>
          </cell>
          <cell r="G28">
            <v>240</v>
          </cell>
          <cell r="H28" t="str">
            <v>ЭЦН</v>
          </cell>
          <cell r="I28" t="str">
            <v>действ.</v>
          </cell>
          <cell r="K28">
            <v>31</v>
          </cell>
          <cell r="L28">
            <v>3.7897499999999984</v>
          </cell>
          <cell r="M28">
            <v>85</v>
          </cell>
          <cell r="N28">
            <v>80</v>
          </cell>
          <cell r="O28">
            <v>21.789749999999998</v>
          </cell>
          <cell r="P28">
            <v>66.400000000000006</v>
          </cell>
          <cell r="Q28">
            <v>49</v>
          </cell>
          <cell r="R28">
            <v>18</v>
          </cell>
          <cell r="S28">
            <v>54.6</v>
          </cell>
          <cell r="T28">
            <v>38837</v>
          </cell>
          <cell r="U28" t="str">
            <v>ГРП</v>
          </cell>
          <cell r="W28" t="str">
            <v>ГИС-2.Отсып.ЮК-11.ГРП ЮК-10.Сп.Э-50.</v>
          </cell>
          <cell r="AD28">
            <v>38007</v>
          </cell>
          <cell r="AE28">
            <v>38029</v>
          </cell>
        </row>
        <row r="29">
          <cell r="B29">
            <v>5690</v>
          </cell>
          <cell r="C29" t="str">
            <v>122б</v>
          </cell>
          <cell r="F29" t="str">
            <v>ПРС</v>
          </cell>
          <cell r="H29" t="str">
            <v>ЭЦН</v>
          </cell>
          <cell r="I29" t="str">
            <v>действ.</v>
          </cell>
          <cell r="J29">
            <v>37523</v>
          </cell>
          <cell r="K29">
            <v>21</v>
          </cell>
          <cell r="L29">
            <v>6.8</v>
          </cell>
          <cell r="M29">
            <v>60</v>
          </cell>
          <cell r="N29">
            <v>80</v>
          </cell>
          <cell r="O29">
            <v>24.8</v>
          </cell>
          <cell r="P29">
            <v>61.7</v>
          </cell>
          <cell r="Q29">
            <v>59</v>
          </cell>
          <cell r="R29">
            <v>18</v>
          </cell>
          <cell r="S29">
            <v>62.3</v>
          </cell>
          <cell r="T29">
            <v>38827</v>
          </cell>
          <cell r="U29" t="str">
            <v>ГРП</v>
          </cell>
          <cell r="W29" t="str">
            <v>ГИС-2.Отсып.ЮК-11.ГРП ЮК-10.Сп.Э-50.</v>
          </cell>
        </row>
        <row r="30">
          <cell r="B30">
            <v>2487</v>
          </cell>
          <cell r="C30">
            <v>37</v>
          </cell>
          <cell r="F30" t="str">
            <v>НвБН</v>
          </cell>
          <cell r="G30">
            <v>250</v>
          </cell>
          <cell r="H30" t="str">
            <v>ЭЦН</v>
          </cell>
          <cell r="I30" t="str">
            <v>б/д тек.г.</v>
          </cell>
          <cell r="K30">
            <v>0</v>
          </cell>
          <cell r="L30">
            <v>0</v>
          </cell>
          <cell r="M30">
            <v>0</v>
          </cell>
          <cell r="N30">
            <v>50</v>
          </cell>
          <cell r="O30">
            <v>14</v>
          </cell>
          <cell r="P30">
            <v>65.400000000000006</v>
          </cell>
          <cell r="Q30">
            <v>50</v>
          </cell>
          <cell r="R30">
            <v>14</v>
          </cell>
          <cell r="S30">
            <v>65.400000000000006</v>
          </cell>
          <cell r="T30">
            <v>38837</v>
          </cell>
          <cell r="U30" t="str">
            <v>бдк</v>
          </cell>
          <cell r="W30" t="str">
            <v>ЛА, сп.Э-50</v>
          </cell>
          <cell r="AE30">
            <v>38411</v>
          </cell>
        </row>
        <row r="33">
          <cell r="B33">
            <v>5587</v>
          </cell>
          <cell r="C33">
            <v>118</v>
          </cell>
          <cell r="H33" t="str">
            <v>ЭЦН</v>
          </cell>
          <cell r="I33" t="str">
            <v>бд</v>
          </cell>
          <cell r="N33">
            <v>50</v>
          </cell>
          <cell r="O33">
            <v>4.5999999999999996</v>
          </cell>
          <cell r="P33">
            <v>88.7</v>
          </cell>
          <cell r="Q33">
            <v>50</v>
          </cell>
          <cell r="R33">
            <v>4.5999999999999996</v>
          </cell>
          <cell r="S33">
            <v>88.7</v>
          </cell>
          <cell r="T33">
            <v>38773</v>
          </cell>
          <cell r="U33" t="str">
            <v>бдп</v>
          </cell>
        </row>
        <row r="34">
          <cell r="B34">
            <v>2954</v>
          </cell>
          <cell r="C34">
            <v>46</v>
          </cell>
          <cell r="F34" t="str">
            <v>УПНПиКРС</v>
          </cell>
          <cell r="G34">
            <v>260</v>
          </cell>
          <cell r="H34" t="str">
            <v>ЭЦН</v>
          </cell>
          <cell r="I34" t="str">
            <v>действ.</v>
          </cell>
          <cell r="K34">
            <v>124</v>
          </cell>
          <cell r="L34">
            <v>11.1</v>
          </cell>
          <cell r="M34">
            <v>89</v>
          </cell>
          <cell r="N34">
            <v>180</v>
          </cell>
          <cell r="O34">
            <v>16.100000000000001</v>
          </cell>
          <cell r="P34">
            <v>89</v>
          </cell>
          <cell r="Q34">
            <v>56</v>
          </cell>
          <cell r="R34">
            <v>5.0000000000000018</v>
          </cell>
          <cell r="S34">
            <v>89</v>
          </cell>
          <cell r="T34">
            <v>38822</v>
          </cell>
          <cell r="U34" t="str">
            <v>ГРП</v>
          </cell>
          <cell r="W34" t="str">
            <v>см.Э-80/Э-200</v>
          </cell>
          <cell r="AE34">
            <v>38767</v>
          </cell>
        </row>
        <row r="35">
          <cell r="B35">
            <v>5339</v>
          </cell>
          <cell r="C35">
            <v>141</v>
          </cell>
          <cell r="F35" t="str">
            <v>УПНПиКРС</v>
          </cell>
          <cell r="H35" t="str">
            <v>ШГН</v>
          </cell>
          <cell r="I35" t="str">
            <v>бд</v>
          </cell>
          <cell r="K35">
            <v>0</v>
          </cell>
          <cell r="L35">
            <v>0</v>
          </cell>
          <cell r="M35">
            <v>0</v>
          </cell>
          <cell r="N35">
            <v>50</v>
          </cell>
          <cell r="O35">
            <v>18</v>
          </cell>
          <cell r="P35">
            <v>55.8</v>
          </cell>
          <cell r="Q35">
            <v>50</v>
          </cell>
          <cell r="R35">
            <v>18</v>
          </cell>
          <cell r="S35">
            <v>55.6</v>
          </cell>
          <cell r="T35">
            <v>38754</v>
          </cell>
          <cell r="U35" t="str">
            <v>ГРП</v>
          </cell>
          <cell r="W35" t="str">
            <v>ИР ЮК-11.ГРП ЮК-10.Сп.Э-50.</v>
          </cell>
          <cell r="AE35">
            <v>38748</v>
          </cell>
        </row>
        <row r="37">
          <cell r="B37">
            <v>3212</v>
          </cell>
          <cell r="C37" t="str">
            <v>55б</v>
          </cell>
          <cell r="F37" t="str">
            <v>УПНПиКРС</v>
          </cell>
          <cell r="H37" t="str">
            <v>фон</v>
          </cell>
          <cell r="I37" t="str">
            <v>конс.</v>
          </cell>
          <cell r="J37">
            <v>34335</v>
          </cell>
          <cell r="K37">
            <v>0</v>
          </cell>
          <cell r="L37">
            <v>0</v>
          </cell>
          <cell r="M37">
            <v>0</v>
          </cell>
          <cell r="N37">
            <v>50</v>
          </cell>
          <cell r="O37">
            <v>6.5</v>
          </cell>
          <cell r="P37">
            <v>84</v>
          </cell>
          <cell r="Q37">
            <v>50</v>
          </cell>
          <cell r="R37">
            <v>6.5</v>
          </cell>
          <cell r="S37">
            <v>84</v>
          </cell>
          <cell r="T37">
            <v>38776</v>
          </cell>
          <cell r="U37" t="str">
            <v>бдк</v>
          </cell>
          <cell r="W37" t="str">
            <v>ВЦ.ГИС-2.ПП+ДП ЮК-10,11.Сп.Э-50.</v>
          </cell>
          <cell r="AE37">
            <v>38771</v>
          </cell>
        </row>
        <row r="38">
          <cell r="B38">
            <v>5249</v>
          </cell>
          <cell r="C38">
            <v>137</v>
          </cell>
          <cell r="F38" t="str">
            <v>УПНПиКРС</v>
          </cell>
          <cell r="H38" t="str">
            <v>Ф/Э</v>
          </cell>
          <cell r="I38" t="str">
            <v>конс.</v>
          </cell>
          <cell r="J38">
            <v>35004</v>
          </cell>
          <cell r="K38">
            <v>0</v>
          </cell>
          <cell r="L38">
            <v>0</v>
          </cell>
          <cell r="M38">
            <v>0</v>
          </cell>
          <cell r="N38">
            <v>80</v>
          </cell>
          <cell r="O38">
            <v>3.9</v>
          </cell>
          <cell r="P38">
            <v>94</v>
          </cell>
          <cell r="Q38">
            <v>80</v>
          </cell>
          <cell r="R38">
            <v>3.9</v>
          </cell>
          <cell r="S38">
            <v>94</v>
          </cell>
          <cell r="T38">
            <v>38817</v>
          </cell>
          <cell r="U38" t="str">
            <v>бдп</v>
          </cell>
          <cell r="W38" t="str">
            <v>ВЦ.Сп.Э-80.</v>
          </cell>
          <cell r="AE38">
            <v>38768</v>
          </cell>
        </row>
        <row r="39">
          <cell r="B39">
            <v>5444</v>
          </cell>
          <cell r="C39">
            <v>109</v>
          </cell>
          <cell r="F39" t="str">
            <v>бел.УПНПиКРС</v>
          </cell>
          <cell r="G39">
            <v>260</v>
          </cell>
          <cell r="H39" t="str">
            <v>ЭЦН</v>
          </cell>
          <cell r="I39" t="str">
            <v>бд тг</v>
          </cell>
          <cell r="K39">
            <v>64</v>
          </cell>
          <cell r="L39">
            <v>7.8240000000000007</v>
          </cell>
          <cell r="M39">
            <v>85</v>
          </cell>
          <cell r="N39">
            <v>80</v>
          </cell>
          <cell r="O39">
            <v>18</v>
          </cell>
          <cell r="P39">
            <v>72.400000000000006</v>
          </cell>
          <cell r="Q39">
            <v>80</v>
          </cell>
          <cell r="R39">
            <v>18</v>
          </cell>
          <cell r="S39">
            <v>72.2</v>
          </cell>
          <cell r="T39">
            <v>38771</v>
          </cell>
          <cell r="U39" t="str">
            <v>ГРП</v>
          </cell>
          <cell r="W39" t="str">
            <v>ИР ЮК-11,ГРП ЮК-10</v>
          </cell>
          <cell r="AD39">
            <v>38007</v>
          </cell>
          <cell r="AE39">
            <v>38766</v>
          </cell>
          <cell r="AF39">
            <v>32</v>
          </cell>
        </row>
        <row r="40">
          <cell r="B40">
            <v>5451</v>
          </cell>
          <cell r="C40">
            <v>101</v>
          </cell>
          <cell r="F40" t="str">
            <v>УПНПиКРС</v>
          </cell>
          <cell r="G40">
            <v>250</v>
          </cell>
          <cell r="H40" t="str">
            <v>ШГН</v>
          </cell>
          <cell r="I40" t="str">
            <v>бд</v>
          </cell>
          <cell r="J40">
            <v>35648</v>
          </cell>
          <cell r="K40">
            <v>0</v>
          </cell>
          <cell r="L40">
            <v>0</v>
          </cell>
          <cell r="M40">
            <v>0</v>
          </cell>
          <cell r="N40">
            <v>50</v>
          </cell>
          <cell r="O40">
            <v>15</v>
          </cell>
          <cell r="P40">
            <v>63.1</v>
          </cell>
          <cell r="Q40">
            <v>50</v>
          </cell>
          <cell r="R40">
            <v>15</v>
          </cell>
          <cell r="S40">
            <v>63</v>
          </cell>
          <cell r="T40">
            <v>38773</v>
          </cell>
          <cell r="U40" t="str">
            <v>ГРП</v>
          </cell>
          <cell r="W40" t="str">
            <v>ВЦ,ВЗ,ГРП ЮК-10,с-п ЭЦН-50</v>
          </cell>
          <cell r="X40" t="str">
            <v>Необходима СК</v>
          </cell>
          <cell r="Y40" t="str">
            <v>+40м</v>
          </cell>
          <cell r="Z40">
            <v>2924</v>
          </cell>
          <cell r="AA40" t="str">
            <v>73+60</v>
          </cell>
          <cell r="AE40">
            <v>38767</v>
          </cell>
          <cell r="AF40">
            <v>25</v>
          </cell>
        </row>
        <row r="41">
          <cell r="B41">
            <v>2958</v>
          </cell>
          <cell r="C41">
            <v>46</v>
          </cell>
          <cell r="F41" t="str">
            <v>УПНПиКРС</v>
          </cell>
          <cell r="G41">
            <v>250</v>
          </cell>
          <cell r="H41" t="str">
            <v>фон</v>
          </cell>
          <cell r="I41" t="str">
            <v>действ.</v>
          </cell>
          <cell r="K41">
            <v>52</v>
          </cell>
          <cell r="L41">
            <v>41.2</v>
          </cell>
          <cell r="M41">
            <v>4</v>
          </cell>
          <cell r="N41">
            <v>52</v>
          </cell>
          <cell r="O41">
            <v>41.2</v>
          </cell>
          <cell r="P41">
            <v>4</v>
          </cell>
          <cell r="Q41">
            <v>0</v>
          </cell>
          <cell r="R41">
            <v>0</v>
          </cell>
          <cell r="S41">
            <v>0</v>
          </cell>
          <cell r="T41">
            <v>38776</v>
          </cell>
          <cell r="U41" t="str">
            <v>ла</v>
          </cell>
          <cell r="W41" t="str">
            <v>П-м пак.Осв.фонт.после ГРП.Сп.вор.с п.м.</v>
          </cell>
          <cell r="AE41">
            <v>38771</v>
          </cell>
        </row>
        <row r="42">
          <cell r="B42">
            <v>2707</v>
          </cell>
          <cell r="C42">
            <v>160</v>
          </cell>
          <cell r="F42" t="str">
            <v>УПНПиКРС</v>
          </cell>
          <cell r="H42" t="str">
            <v>ШГН</v>
          </cell>
          <cell r="I42" t="str">
            <v>конс.</v>
          </cell>
          <cell r="J42">
            <v>32843</v>
          </cell>
          <cell r="K42">
            <v>0</v>
          </cell>
          <cell r="L42">
            <v>0</v>
          </cell>
          <cell r="M42">
            <v>0</v>
          </cell>
          <cell r="N42">
            <v>50</v>
          </cell>
          <cell r="O42">
            <v>16</v>
          </cell>
          <cell r="P42">
            <v>60.7</v>
          </cell>
          <cell r="Q42">
            <v>50</v>
          </cell>
          <cell r="R42">
            <v>16</v>
          </cell>
          <cell r="S42">
            <v>60.5</v>
          </cell>
          <cell r="T42">
            <v>38777</v>
          </cell>
          <cell r="U42" t="str">
            <v>ГРП</v>
          </cell>
          <cell r="W42" t="str">
            <v>ВЦ.ПР.ГРП ЮК-10.Осв.Сп.Э-50.</v>
          </cell>
          <cell r="Y42" t="str">
            <v>ОЦ. Нет подачи</v>
          </cell>
          <cell r="AE42">
            <v>38771</v>
          </cell>
        </row>
        <row r="43">
          <cell r="B43">
            <v>3859</v>
          </cell>
          <cell r="C43" t="str">
            <v>306б</v>
          </cell>
          <cell r="F43" t="str">
            <v>УПНПиКРС</v>
          </cell>
          <cell r="H43" t="str">
            <v>ЭЦН</v>
          </cell>
          <cell r="I43" t="str">
            <v>бд тг</v>
          </cell>
          <cell r="K43">
            <v>20</v>
          </cell>
          <cell r="L43">
            <v>4.9000000000000004</v>
          </cell>
          <cell r="M43">
            <v>70</v>
          </cell>
          <cell r="N43">
            <v>50</v>
          </cell>
          <cell r="O43">
            <v>20.8</v>
          </cell>
          <cell r="P43">
            <v>49</v>
          </cell>
          <cell r="Q43">
            <v>50</v>
          </cell>
          <cell r="R43">
            <v>20.8</v>
          </cell>
          <cell r="S43">
            <v>48.6</v>
          </cell>
          <cell r="T43">
            <v>38778</v>
          </cell>
          <cell r="U43" t="str">
            <v>ГРП</v>
          </cell>
          <cell r="W43" t="str">
            <v>ВЗ(изв.шабл.).ПР.ГРП ЮК-10.Осв.Сп.Э-50</v>
          </cell>
          <cell r="AE43">
            <v>38772</v>
          </cell>
        </row>
        <row r="44">
          <cell r="B44">
            <v>5633</v>
          </cell>
          <cell r="C44">
            <v>120</v>
          </cell>
          <cell r="F44" t="str">
            <v>УПНП</v>
          </cell>
          <cell r="H44" t="str">
            <v>ЭЦН</v>
          </cell>
          <cell r="I44" t="str">
            <v>бд тг</v>
          </cell>
          <cell r="K44">
            <v>4</v>
          </cell>
          <cell r="L44">
            <v>1.3</v>
          </cell>
          <cell r="M44">
            <v>60</v>
          </cell>
          <cell r="N44">
            <v>80</v>
          </cell>
          <cell r="O44">
            <v>16</v>
          </cell>
          <cell r="P44">
            <v>75.400000000000006</v>
          </cell>
          <cell r="Q44">
            <v>80</v>
          </cell>
          <cell r="R44">
            <v>16</v>
          </cell>
          <cell r="S44">
            <v>75.3</v>
          </cell>
          <cell r="T44">
            <v>38776</v>
          </cell>
          <cell r="U44" t="str">
            <v>ГРП</v>
          </cell>
          <cell r="W44" t="str">
            <v>ПР.ГРП ВК.Осв.Сп.Э-80.</v>
          </cell>
          <cell r="AE44">
            <v>38770</v>
          </cell>
        </row>
        <row r="45">
          <cell r="B45">
            <v>5822</v>
          </cell>
          <cell r="C45">
            <v>141</v>
          </cell>
          <cell r="F45" t="str">
            <v>УПНПиКРС</v>
          </cell>
          <cell r="G45">
            <v>245</v>
          </cell>
          <cell r="H45" t="str">
            <v>ЭЦН</v>
          </cell>
          <cell r="I45" t="str">
            <v>бд</v>
          </cell>
          <cell r="J45">
            <v>38661</v>
          </cell>
          <cell r="K45">
            <v>0</v>
          </cell>
          <cell r="L45">
            <v>0</v>
          </cell>
          <cell r="M45">
            <v>0</v>
          </cell>
          <cell r="N45">
            <v>52</v>
          </cell>
          <cell r="O45">
            <v>11.9</v>
          </cell>
          <cell r="P45">
            <v>72</v>
          </cell>
          <cell r="Q45">
            <v>52</v>
          </cell>
          <cell r="R45">
            <v>11.9</v>
          </cell>
          <cell r="S45">
            <v>71.7</v>
          </cell>
          <cell r="T45">
            <v>38768</v>
          </cell>
          <cell r="U45" t="str">
            <v>ла</v>
          </cell>
          <cell r="W45" t="str">
            <v>ЛА,спуск ЭЦН-50</v>
          </cell>
          <cell r="AE45">
            <v>38763</v>
          </cell>
        </row>
        <row r="46">
          <cell r="B46">
            <v>3235</v>
          </cell>
          <cell r="C46">
            <v>57</v>
          </cell>
          <cell r="F46" t="str">
            <v>УПНПиКРС</v>
          </cell>
          <cell r="H46" t="str">
            <v>нагнет.</v>
          </cell>
          <cell r="I46" t="str">
            <v>конс.</v>
          </cell>
          <cell r="J46">
            <v>34605</v>
          </cell>
          <cell r="K46">
            <v>0</v>
          </cell>
          <cell r="L46">
            <v>0</v>
          </cell>
          <cell r="M46">
            <v>0</v>
          </cell>
          <cell r="N46">
            <v>150</v>
          </cell>
          <cell r="Q46">
            <v>150</v>
          </cell>
          <cell r="T46">
            <v>38766</v>
          </cell>
          <cell r="U46" t="str">
            <v>НГ</v>
          </cell>
          <cell r="W46" t="str">
            <v>ВЦ.ЛА(изв.НКТ).ПП.ОПЗ.Сп.пак.ППД.</v>
          </cell>
        </row>
        <row r="47">
          <cell r="B47">
            <v>5708</v>
          </cell>
          <cell r="C47">
            <v>124</v>
          </cell>
          <cell r="F47" t="str">
            <v>бел.УПНПиКРС</v>
          </cell>
          <cell r="H47" t="str">
            <v>ЭЦН</v>
          </cell>
          <cell r="I47" t="str">
            <v>бд тг</v>
          </cell>
          <cell r="K47">
            <v>105</v>
          </cell>
          <cell r="L47">
            <v>7.7</v>
          </cell>
          <cell r="M47">
            <v>91</v>
          </cell>
          <cell r="N47">
            <v>86</v>
          </cell>
          <cell r="O47">
            <v>6.3</v>
          </cell>
          <cell r="P47">
            <v>91</v>
          </cell>
          <cell r="Q47">
            <v>86</v>
          </cell>
          <cell r="R47">
            <v>6.3</v>
          </cell>
          <cell r="S47">
            <v>91</v>
          </cell>
          <cell r="T47">
            <v>38772</v>
          </cell>
          <cell r="U47" t="str">
            <v>бдп</v>
          </cell>
          <cell r="W47" t="str">
            <v>См.Вор./Э-80</v>
          </cell>
          <cell r="AE47">
            <v>38769</v>
          </cell>
        </row>
        <row r="48">
          <cell r="B48">
            <v>2800</v>
          </cell>
          <cell r="C48" t="str">
            <v>165б</v>
          </cell>
          <cell r="F48" t="str">
            <v>бел.УПНПиКРС</v>
          </cell>
          <cell r="H48" t="str">
            <v>ШГН</v>
          </cell>
          <cell r="I48" t="str">
            <v>бд тг</v>
          </cell>
          <cell r="K48">
            <v>6</v>
          </cell>
          <cell r="L48">
            <v>4.3</v>
          </cell>
          <cell r="M48">
            <v>13</v>
          </cell>
          <cell r="N48">
            <v>6</v>
          </cell>
          <cell r="O48">
            <v>4.3</v>
          </cell>
          <cell r="P48">
            <v>13</v>
          </cell>
          <cell r="Q48">
            <v>6</v>
          </cell>
          <cell r="R48">
            <v>4.3</v>
          </cell>
          <cell r="S48">
            <v>11.5</v>
          </cell>
          <cell r="T48">
            <v>38772</v>
          </cell>
          <cell r="U48" t="str">
            <v>бдп</v>
          </cell>
          <cell r="W48" t="str">
            <v>См НВ-32</v>
          </cell>
          <cell r="AE48">
            <v>38769</v>
          </cell>
        </row>
        <row r="49">
          <cell r="B49">
            <v>5304</v>
          </cell>
          <cell r="C49">
            <v>138</v>
          </cell>
          <cell r="F49" t="str">
            <v>бел.УПНПиКРС</v>
          </cell>
          <cell r="H49" t="str">
            <v>ЭЦН</v>
          </cell>
          <cell r="I49" t="str">
            <v>бд тг</v>
          </cell>
          <cell r="K49">
            <v>25</v>
          </cell>
          <cell r="L49">
            <v>3.1</v>
          </cell>
          <cell r="M49">
            <v>85</v>
          </cell>
          <cell r="N49">
            <v>25</v>
          </cell>
          <cell r="O49">
            <v>2.4</v>
          </cell>
          <cell r="P49">
            <v>88</v>
          </cell>
          <cell r="Q49">
            <v>25</v>
          </cell>
          <cell r="R49">
            <v>2.4</v>
          </cell>
          <cell r="S49">
            <v>88.1</v>
          </cell>
          <cell r="T49">
            <v>38773</v>
          </cell>
          <cell r="U49" t="str">
            <v>бдп</v>
          </cell>
          <cell r="W49" t="str">
            <v>См Э-50/Э-30</v>
          </cell>
          <cell r="AE49">
            <v>38770</v>
          </cell>
        </row>
        <row r="50">
          <cell r="B50">
            <v>3188</v>
          </cell>
          <cell r="C50">
            <v>70</v>
          </cell>
          <cell r="F50" t="str">
            <v>бел.УПНПиКРС</v>
          </cell>
          <cell r="H50" t="str">
            <v>ШГН</v>
          </cell>
          <cell r="I50" t="str">
            <v>бд тг</v>
          </cell>
          <cell r="K50">
            <v>4</v>
          </cell>
          <cell r="L50">
            <v>2.4</v>
          </cell>
          <cell r="M50">
            <v>25</v>
          </cell>
          <cell r="N50">
            <v>4</v>
          </cell>
          <cell r="O50">
            <v>2.4</v>
          </cell>
          <cell r="P50">
            <v>25</v>
          </cell>
          <cell r="Q50">
            <v>4</v>
          </cell>
          <cell r="R50">
            <v>2.4</v>
          </cell>
          <cell r="S50">
            <v>25.9</v>
          </cell>
          <cell r="T50">
            <v>38773</v>
          </cell>
          <cell r="U50" t="str">
            <v>бдп</v>
          </cell>
          <cell r="W50" t="str">
            <v>ВЦ "БАРС",Смена НВ-32</v>
          </cell>
          <cell r="AE50">
            <v>38770</v>
          </cell>
        </row>
        <row r="51">
          <cell r="B51" t="str">
            <v>5367б</v>
          </cell>
          <cell r="C51">
            <v>101</v>
          </cell>
          <cell r="F51" t="str">
            <v>бел.УПНПиКРС</v>
          </cell>
          <cell r="H51" t="str">
            <v>ШГН</v>
          </cell>
          <cell r="I51" t="str">
            <v>бд тг</v>
          </cell>
          <cell r="K51">
            <v>3</v>
          </cell>
          <cell r="L51">
            <v>2</v>
          </cell>
          <cell r="M51">
            <v>20</v>
          </cell>
          <cell r="N51">
            <v>3</v>
          </cell>
          <cell r="O51">
            <v>2</v>
          </cell>
          <cell r="P51">
            <v>20</v>
          </cell>
          <cell r="Q51">
            <v>3</v>
          </cell>
          <cell r="R51">
            <v>2</v>
          </cell>
          <cell r="S51">
            <v>17.7</v>
          </cell>
          <cell r="T51">
            <v>38774</v>
          </cell>
          <cell r="U51" t="str">
            <v>бдп</v>
          </cell>
          <cell r="W51" t="str">
            <v>См НВ-44/НВ-32</v>
          </cell>
          <cell r="AE51">
            <v>38771</v>
          </cell>
        </row>
        <row r="52">
          <cell r="B52">
            <v>5530</v>
          </cell>
          <cell r="C52">
            <v>119</v>
          </cell>
          <cell r="F52" t="str">
            <v>бел.УПНПиКРС</v>
          </cell>
          <cell r="H52" t="str">
            <v>ЭЦН</v>
          </cell>
          <cell r="I52" t="str">
            <v>бд тг</v>
          </cell>
          <cell r="K52">
            <v>51</v>
          </cell>
          <cell r="L52">
            <v>2.1</v>
          </cell>
          <cell r="M52">
            <v>95</v>
          </cell>
          <cell r="N52">
            <v>36</v>
          </cell>
          <cell r="O52">
            <v>1.5</v>
          </cell>
          <cell r="P52">
            <v>95</v>
          </cell>
          <cell r="Q52">
            <v>36</v>
          </cell>
          <cell r="R52">
            <v>1.5</v>
          </cell>
          <cell r="S52">
            <v>94.9</v>
          </cell>
          <cell r="T52">
            <v>38774</v>
          </cell>
          <cell r="U52" t="str">
            <v>бдп</v>
          </cell>
          <cell r="W52" t="str">
            <v>См Э-50/Э-50</v>
          </cell>
          <cell r="AE52">
            <v>38771</v>
          </cell>
        </row>
        <row r="53">
          <cell r="B53">
            <v>5493</v>
          </cell>
          <cell r="C53">
            <v>106</v>
          </cell>
          <cell r="F53" t="str">
            <v>бел.УПНПиКРС</v>
          </cell>
          <cell r="H53" t="str">
            <v>ШГН</v>
          </cell>
          <cell r="I53" t="str">
            <v>бд тг</v>
          </cell>
          <cell r="K53">
            <v>6</v>
          </cell>
          <cell r="L53">
            <v>1.4</v>
          </cell>
          <cell r="M53">
            <v>71</v>
          </cell>
          <cell r="N53">
            <v>6</v>
          </cell>
          <cell r="O53">
            <v>1.4</v>
          </cell>
          <cell r="P53">
            <v>71</v>
          </cell>
          <cell r="Q53">
            <v>6</v>
          </cell>
          <cell r="R53">
            <v>1.4</v>
          </cell>
          <cell r="S53">
            <v>71.2</v>
          </cell>
          <cell r="T53">
            <v>38775</v>
          </cell>
          <cell r="U53" t="str">
            <v>бдп</v>
          </cell>
          <cell r="W53" t="str">
            <v>См.Н44/Н38</v>
          </cell>
          <cell r="AE53">
            <v>38772</v>
          </cell>
        </row>
        <row r="54">
          <cell r="B54">
            <v>2871</v>
          </cell>
          <cell r="C54">
            <v>158</v>
          </cell>
          <cell r="F54" t="str">
            <v>бел.УПНПиКРС</v>
          </cell>
          <cell r="H54" t="str">
            <v>ШГН</v>
          </cell>
          <cell r="I54" t="str">
            <v>бд тг</v>
          </cell>
          <cell r="K54">
            <v>6</v>
          </cell>
          <cell r="L54">
            <v>1.4</v>
          </cell>
          <cell r="M54">
            <v>71</v>
          </cell>
          <cell r="N54">
            <v>6</v>
          </cell>
          <cell r="O54">
            <v>1.4</v>
          </cell>
          <cell r="P54">
            <v>71</v>
          </cell>
          <cell r="Q54">
            <v>6</v>
          </cell>
          <cell r="R54">
            <v>1.4</v>
          </cell>
          <cell r="S54">
            <v>71.2</v>
          </cell>
          <cell r="T54">
            <v>38775</v>
          </cell>
          <cell r="U54" t="str">
            <v>бдп</v>
          </cell>
          <cell r="W54" t="str">
            <v>См НВ-44/НВ-32</v>
          </cell>
          <cell r="AE54">
            <v>38772</v>
          </cell>
        </row>
        <row r="55">
          <cell r="B55" t="str">
            <v>5306б</v>
          </cell>
          <cell r="C55">
            <v>139</v>
          </cell>
          <cell r="F55" t="str">
            <v>бел.УПНПиКРС</v>
          </cell>
          <cell r="H55" t="str">
            <v>ШГН</v>
          </cell>
          <cell r="I55" t="str">
            <v>бд тг</v>
          </cell>
          <cell r="K55">
            <v>5</v>
          </cell>
          <cell r="L55">
            <v>1.3</v>
          </cell>
          <cell r="M55">
            <v>67</v>
          </cell>
          <cell r="N55">
            <v>5</v>
          </cell>
          <cell r="O55">
            <v>1.3</v>
          </cell>
          <cell r="P55">
            <v>67</v>
          </cell>
          <cell r="Q55">
            <v>5</v>
          </cell>
          <cell r="R55">
            <v>1.3</v>
          </cell>
          <cell r="S55">
            <v>67.900000000000006</v>
          </cell>
          <cell r="T55">
            <v>38776</v>
          </cell>
          <cell r="U55" t="str">
            <v>бдп</v>
          </cell>
          <cell r="W55" t="str">
            <v>См НВ-32</v>
          </cell>
          <cell r="AE55">
            <v>38773</v>
          </cell>
        </row>
        <row r="56">
          <cell r="B56">
            <v>3818</v>
          </cell>
          <cell r="C56">
            <v>87</v>
          </cell>
          <cell r="F56" t="str">
            <v>бел.УПНПиКРС</v>
          </cell>
          <cell r="H56" t="str">
            <v>ЭЦН</v>
          </cell>
          <cell r="I56" t="str">
            <v>бд тг</v>
          </cell>
          <cell r="J56" t="str">
            <v/>
          </cell>
          <cell r="K56">
            <v>13</v>
          </cell>
          <cell r="L56">
            <v>5</v>
          </cell>
          <cell r="M56">
            <v>53</v>
          </cell>
          <cell r="N56">
            <v>14</v>
          </cell>
          <cell r="O56">
            <v>5.4</v>
          </cell>
          <cell r="P56">
            <v>53</v>
          </cell>
          <cell r="Q56">
            <v>14</v>
          </cell>
          <cell r="R56">
            <v>5.4</v>
          </cell>
          <cell r="S56">
            <v>52.4</v>
          </cell>
          <cell r="T56">
            <v>38774</v>
          </cell>
          <cell r="U56" t="str">
            <v>бдп</v>
          </cell>
          <cell r="W56" t="str">
            <v>См.Э30/Э15</v>
          </cell>
          <cell r="AE56">
            <v>38771</v>
          </cell>
        </row>
        <row r="57">
          <cell r="B57">
            <v>3816</v>
          </cell>
          <cell r="C57">
            <v>87</v>
          </cell>
          <cell r="F57" t="str">
            <v>бел.УПНПиКРС</v>
          </cell>
          <cell r="H57" t="str">
            <v>ЭЦН</v>
          </cell>
          <cell r="I57" t="str">
            <v>бд тг</v>
          </cell>
          <cell r="K57">
            <v>28</v>
          </cell>
          <cell r="L57">
            <v>1.1000000000000001</v>
          </cell>
          <cell r="M57">
            <v>95</v>
          </cell>
          <cell r="N57">
            <v>25</v>
          </cell>
          <cell r="O57">
            <v>1</v>
          </cell>
          <cell r="P57">
            <v>95</v>
          </cell>
          <cell r="Q57">
            <v>25</v>
          </cell>
          <cell r="R57">
            <v>1</v>
          </cell>
          <cell r="S57">
            <v>95.1</v>
          </cell>
          <cell r="T57">
            <v>38776</v>
          </cell>
          <cell r="U57" t="str">
            <v>бдп</v>
          </cell>
          <cell r="W57" t="str">
            <v>См Э-30/Э-30</v>
          </cell>
          <cell r="AE57">
            <v>38773</v>
          </cell>
        </row>
        <row r="58">
          <cell r="B58">
            <v>5648</v>
          </cell>
          <cell r="C58">
            <v>125</v>
          </cell>
          <cell r="F58" t="str">
            <v>ПРС</v>
          </cell>
          <cell r="H58" t="str">
            <v>ЭЦН</v>
          </cell>
          <cell r="I58" t="str">
            <v>действ.</v>
          </cell>
          <cell r="K58">
            <v>93</v>
          </cell>
          <cell r="L58">
            <v>10.6</v>
          </cell>
          <cell r="M58">
            <v>86</v>
          </cell>
          <cell r="N58">
            <v>145</v>
          </cell>
          <cell r="O58">
            <v>16.5</v>
          </cell>
          <cell r="P58">
            <v>86</v>
          </cell>
          <cell r="Q58">
            <v>52</v>
          </cell>
          <cell r="R58">
            <v>5.9</v>
          </cell>
          <cell r="S58">
            <v>86</v>
          </cell>
          <cell r="T58">
            <v>38774</v>
          </cell>
          <cell r="U58" t="str">
            <v>опт</v>
          </cell>
          <cell r="W58" t="str">
            <v>Опт. Э-50/160</v>
          </cell>
          <cell r="AE58">
            <v>38769</v>
          </cell>
        </row>
        <row r="61">
          <cell r="B61">
            <v>5315</v>
          </cell>
          <cell r="C61">
            <v>133</v>
          </cell>
          <cell r="F61" t="str">
            <v>УПНП</v>
          </cell>
          <cell r="G61">
            <v>230</v>
          </cell>
          <cell r="H61" t="str">
            <v>ШГН</v>
          </cell>
          <cell r="I61" t="str">
            <v>бдт</v>
          </cell>
          <cell r="J61">
            <v>37464</v>
          </cell>
          <cell r="K61">
            <v>0</v>
          </cell>
          <cell r="L61">
            <v>0</v>
          </cell>
          <cell r="M61">
            <v>0</v>
          </cell>
          <cell r="N61">
            <v>12</v>
          </cell>
          <cell r="O61">
            <v>8.8000000000000007</v>
          </cell>
          <cell r="P61">
            <v>10</v>
          </cell>
          <cell r="Q61">
            <v>12</v>
          </cell>
          <cell r="R61">
            <v>8.8000000000000007</v>
          </cell>
          <cell r="S61">
            <v>9.5</v>
          </cell>
          <cell r="T61">
            <v>37589</v>
          </cell>
          <cell r="U61" t="str">
            <v>вцд</v>
          </cell>
          <cell r="W61" t="str">
            <v>ВЦ КОПС,рев.НВ-44</v>
          </cell>
          <cell r="AD61">
            <v>37569</v>
          </cell>
          <cell r="AE61">
            <v>37582</v>
          </cell>
        </row>
        <row r="62">
          <cell r="B62">
            <v>5681</v>
          </cell>
          <cell r="C62">
            <v>124</v>
          </cell>
          <cell r="F62" t="str">
            <v>УПНП</v>
          </cell>
          <cell r="G62">
            <v>265</v>
          </cell>
          <cell r="H62" t="str">
            <v>ЭЦН</v>
          </cell>
          <cell r="I62" t="str">
            <v>конс.</v>
          </cell>
          <cell r="J62">
            <v>34213</v>
          </cell>
          <cell r="K62">
            <v>0</v>
          </cell>
          <cell r="L62">
            <v>0</v>
          </cell>
          <cell r="M62">
            <v>0</v>
          </cell>
          <cell r="N62">
            <v>80</v>
          </cell>
          <cell r="O62">
            <v>16.3</v>
          </cell>
          <cell r="P62">
            <v>75</v>
          </cell>
          <cell r="Q62">
            <v>80</v>
          </cell>
          <cell r="R62">
            <v>16.3</v>
          </cell>
          <cell r="S62">
            <v>74.8</v>
          </cell>
          <cell r="T62">
            <v>37597</v>
          </cell>
          <cell r="U62" t="str">
            <v>ОВП</v>
          </cell>
          <cell r="W62" t="str">
            <v>ВЦ,ВЗ,ГИС,РИР (низ ЮК-10),ДП,ПП</v>
          </cell>
          <cell r="AD62">
            <v>37571</v>
          </cell>
          <cell r="AE62">
            <v>37590</v>
          </cell>
        </row>
        <row r="63">
          <cell r="B63">
            <v>3080</v>
          </cell>
          <cell r="C63">
            <v>51</v>
          </cell>
          <cell r="F63" t="str">
            <v>УПНП</v>
          </cell>
          <cell r="G63">
            <v>260</v>
          </cell>
          <cell r="H63" t="str">
            <v>ЭЦН</v>
          </cell>
          <cell r="I63" t="str">
            <v>конс.</v>
          </cell>
          <cell r="J63">
            <v>34304</v>
          </cell>
          <cell r="K63">
            <v>0</v>
          </cell>
          <cell r="L63">
            <v>0</v>
          </cell>
          <cell r="M63">
            <v>0</v>
          </cell>
          <cell r="N63">
            <v>80</v>
          </cell>
          <cell r="O63">
            <v>9.8000000000000007</v>
          </cell>
          <cell r="P63">
            <v>85</v>
          </cell>
          <cell r="Q63">
            <v>80</v>
          </cell>
          <cell r="R63">
            <v>9.8000000000000007</v>
          </cell>
          <cell r="S63">
            <v>84.9</v>
          </cell>
          <cell r="T63">
            <v>37601</v>
          </cell>
          <cell r="U63" t="str">
            <v>ВВ</v>
          </cell>
          <cell r="W63" t="str">
            <v>ВЦ,ДП ЮК-10</v>
          </cell>
          <cell r="AD63">
            <v>37571</v>
          </cell>
          <cell r="AE63">
            <v>37585</v>
          </cell>
        </row>
        <row r="64">
          <cell r="B64">
            <v>3326</v>
          </cell>
          <cell r="C64">
            <v>64</v>
          </cell>
          <cell r="G64">
            <v>260</v>
          </cell>
          <cell r="H64" t="str">
            <v>ЭЦН</v>
          </cell>
          <cell r="I64" t="str">
            <v>конс.</v>
          </cell>
          <cell r="K64">
            <v>0</v>
          </cell>
          <cell r="L64">
            <v>0</v>
          </cell>
          <cell r="M64">
            <v>0</v>
          </cell>
          <cell r="N64">
            <v>50</v>
          </cell>
          <cell r="O64">
            <v>6</v>
          </cell>
          <cell r="P64">
            <v>85.2</v>
          </cell>
          <cell r="Q64">
            <v>50</v>
          </cell>
          <cell r="R64">
            <v>6</v>
          </cell>
          <cell r="S64">
            <v>85.2</v>
          </cell>
          <cell r="T64">
            <v>38582</v>
          </cell>
          <cell r="U64" t="str">
            <v>бдк</v>
          </cell>
          <cell r="W64" t="str">
            <v>ВЦ, ГИС-2, ПП+ДП,сп.Э-50</v>
          </cell>
        </row>
        <row r="65">
          <cell r="B65">
            <v>3290</v>
          </cell>
          <cell r="C65">
            <v>66</v>
          </cell>
          <cell r="G65">
            <v>250</v>
          </cell>
          <cell r="H65" t="str">
            <v>ФОН</v>
          </cell>
          <cell r="I65" t="str">
            <v>конс.</v>
          </cell>
          <cell r="K65">
            <v>0</v>
          </cell>
          <cell r="L65">
            <v>0</v>
          </cell>
          <cell r="M65">
            <v>0</v>
          </cell>
          <cell r="N65">
            <v>50</v>
          </cell>
          <cell r="O65">
            <v>6</v>
          </cell>
          <cell r="P65">
            <v>85.2</v>
          </cell>
          <cell r="Q65">
            <v>50</v>
          </cell>
          <cell r="R65">
            <v>6</v>
          </cell>
          <cell r="S65">
            <v>85.2</v>
          </cell>
          <cell r="T65">
            <v>38583</v>
          </cell>
          <cell r="U65" t="str">
            <v>бдк</v>
          </cell>
          <cell r="W65" t="str">
            <v>ЛА, ПП, сп.Э-50</v>
          </cell>
        </row>
        <row r="66">
          <cell r="B66">
            <v>2934</v>
          </cell>
          <cell r="C66">
            <v>43</v>
          </cell>
          <cell r="F66" t="str">
            <v>ПРС</v>
          </cell>
          <cell r="G66">
            <v>291</v>
          </cell>
          <cell r="H66" t="str">
            <v>ШГН</v>
          </cell>
          <cell r="I66" t="str">
            <v>бд тг</v>
          </cell>
          <cell r="J66">
            <v>37323</v>
          </cell>
          <cell r="K66">
            <v>16</v>
          </cell>
          <cell r="L66">
            <v>4.5999999999999996</v>
          </cell>
          <cell r="M66">
            <v>65</v>
          </cell>
          <cell r="N66">
            <v>54</v>
          </cell>
          <cell r="O66">
            <v>15.4</v>
          </cell>
          <cell r="P66">
            <v>65</v>
          </cell>
          <cell r="Q66">
            <v>54</v>
          </cell>
          <cell r="R66">
            <v>15.4</v>
          </cell>
          <cell r="S66">
            <v>64.8</v>
          </cell>
          <cell r="T66">
            <v>38285</v>
          </cell>
          <cell r="U66" t="str">
            <v>вцд</v>
          </cell>
          <cell r="W66" t="str">
            <v>ВЦ.Опт. НВ-44/Э-50</v>
          </cell>
          <cell r="AD66">
            <v>37554</v>
          </cell>
          <cell r="AE66">
            <v>37583</v>
          </cell>
        </row>
        <row r="67">
          <cell r="B67">
            <v>5599</v>
          </cell>
          <cell r="C67">
            <v>120</v>
          </cell>
          <cell r="F67" t="str">
            <v>БлУНП</v>
          </cell>
          <cell r="G67">
            <v>270</v>
          </cell>
          <cell r="H67" t="str">
            <v>ЭЦН</v>
          </cell>
          <cell r="I67" t="str">
            <v>конс.</v>
          </cell>
          <cell r="J67">
            <v>32843</v>
          </cell>
          <cell r="K67">
            <v>0</v>
          </cell>
          <cell r="L67">
            <v>0</v>
          </cell>
          <cell r="M67">
            <v>0</v>
          </cell>
          <cell r="N67">
            <v>50</v>
          </cell>
          <cell r="O67">
            <v>22.4</v>
          </cell>
          <cell r="P67">
            <v>45</v>
          </cell>
          <cell r="Q67">
            <v>50</v>
          </cell>
          <cell r="R67">
            <v>22.4</v>
          </cell>
          <cell r="S67">
            <v>44.7</v>
          </cell>
          <cell r="T67">
            <v>38062</v>
          </cell>
          <cell r="U67" t="str">
            <v>ГРП</v>
          </cell>
          <cell r="W67" t="str">
            <v>ВЦ,ПП.ГРП ЮК-10.Сп.ЭЦН</v>
          </cell>
          <cell r="AD67">
            <v>38023</v>
          </cell>
          <cell r="AE67">
            <v>38055</v>
          </cell>
        </row>
        <row r="69">
          <cell r="B69">
            <v>2880</v>
          </cell>
          <cell r="C69">
            <v>127</v>
          </cell>
          <cell r="F69" t="str">
            <v>УПНП</v>
          </cell>
          <cell r="G69">
            <v>260</v>
          </cell>
          <cell r="H69" t="str">
            <v>ЭЦН</v>
          </cell>
          <cell r="I69" t="str">
            <v>бд тг</v>
          </cell>
          <cell r="J69">
            <v>36019</v>
          </cell>
          <cell r="K69">
            <v>0</v>
          </cell>
          <cell r="L69">
            <v>0</v>
          </cell>
          <cell r="M69">
            <v>0</v>
          </cell>
          <cell r="N69">
            <v>31</v>
          </cell>
          <cell r="O69">
            <v>2.2999999999999998</v>
          </cell>
          <cell r="P69">
            <v>91</v>
          </cell>
          <cell r="Q69">
            <v>31</v>
          </cell>
          <cell r="R69">
            <v>2.2999999999999998</v>
          </cell>
          <cell r="S69">
            <v>91</v>
          </cell>
          <cell r="T69">
            <v>38610</v>
          </cell>
          <cell r="U69" t="str">
            <v>бдп</v>
          </cell>
          <cell r="W69" t="str">
            <v>Смена Э-30</v>
          </cell>
          <cell r="AD69">
            <v>37572</v>
          </cell>
          <cell r="AE69">
            <v>37585</v>
          </cell>
        </row>
        <row r="70">
          <cell r="B70">
            <v>2863</v>
          </cell>
          <cell r="C70">
            <v>131</v>
          </cell>
          <cell r="F70" t="str">
            <v>УПНП</v>
          </cell>
          <cell r="G70">
            <v>265</v>
          </cell>
          <cell r="H70" t="str">
            <v>ЭЦН</v>
          </cell>
          <cell r="I70" t="str">
            <v>бд</v>
          </cell>
          <cell r="J70">
            <v>33635</v>
          </cell>
          <cell r="K70">
            <v>0</v>
          </cell>
          <cell r="L70">
            <v>0</v>
          </cell>
          <cell r="M70">
            <v>0</v>
          </cell>
          <cell r="N70">
            <v>50</v>
          </cell>
          <cell r="O70">
            <v>12.2</v>
          </cell>
          <cell r="P70">
            <v>70</v>
          </cell>
          <cell r="Q70">
            <v>50</v>
          </cell>
          <cell r="R70">
            <v>12.2</v>
          </cell>
          <cell r="S70">
            <v>69.900000000000006</v>
          </cell>
          <cell r="T70">
            <v>37613</v>
          </cell>
          <cell r="U70" t="str">
            <v>ЛА</v>
          </cell>
          <cell r="W70" t="str">
            <v>ЛА. ПП, ОПЗ</v>
          </cell>
          <cell r="AD70">
            <v>37586</v>
          </cell>
          <cell r="AE70">
            <v>37606</v>
          </cell>
        </row>
        <row r="71">
          <cell r="B71">
            <v>5650</v>
          </cell>
          <cell r="C71">
            <v>124</v>
          </cell>
          <cell r="F71" t="str">
            <v>УПНП</v>
          </cell>
          <cell r="G71">
            <v>260</v>
          </cell>
          <cell r="H71" t="str">
            <v>ЭЦН</v>
          </cell>
          <cell r="I71" t="str">
            <v>конс.</v>
          </cell>
          <cell r="J71">
            <v>35433</v>
          </cell>
          <cell r="K71">
            <v>0</v>
          </cell>
          <cell r="L71">
            <v>0</v>
          </cell>
          <cell r="M71">
            <v>0</v>
          </cell>
          <cell r="N71">
            <v>80</v>
          </cell>
          <cell r="O71">
            <v>6.5</v>
          </cell>
          <cell r="P71">
            <v>90</v>
          </cell>
          <cell r="Q71">
            <v>80</v>
          </cell>
          <cell r="R71">
            <v>6.5</v>
          </cell>
          <cell r="S71">
            <v>90</v>
          </cell>
          <cell r="T71">
            <v>37607</v>
          </cell>
          <cell r="U71" t="str">
            <v>ВВ</v>
          </cell>
          <cell r="W71" t="str">
            <v>ВЦ,ПП,ДП,ОПЗ,сп.Э-80</v>
          </cell>
          <cell r="AD71">
            <v>37591</v>
          </cell>
          <cell r="AE71">
            <v>37600</v>
          </cell>
        </row>
        <row r="72">
          <cell r="B72">
            <v>5596</v>
          </cell>
          <cell r="C72">
            <v>120</v>
          </cell>
          <cell r="F72" t="str">
            <v>УПНП</v>
          </cell>
          <cell r="G72">
            <v>280</v>
          </cell>
          <cell r="H72" t="str">
            <v>ЭЦН</v>
          </cell>
          <cell r="I72" t="str">
            <v>бд</v>
          </cell>
          <cell r="J72">
            <v>33583</v>
          </cell>
          <cell r="K72">
            <v>0</v>
          </cell>
          <cell r="L72">
            <v>0</v>
          </cell>
          <cell r="M72">
            <v>0</v>
          </cell>
          <cell r="N72">
            <v>50</v>
          </cell>
          <cell r="O72">
            <v>8.1999999999999993</v>
          </cell>
          <cell r="P72">
            <v>80</v>
          </cell>
          <cell r="Q72">
            <v>50</v>
          </cell>
          <cell r="R72">
            <v>8.1999999999999993</v>
          </cell>
          <cell r="S72">
            <v>79.8</v>
          </cell>
          <cell r="T72">
            <v>37611</v>
          </cell>
          <cell r="U72" t="str">
            <v>ВЦ</v>
          </cell>
          <cell r="W72" t="str">
            <v>ВЦ,ПП ЮК-10,сп Э-50</v>
          </cell>
          <cell r="AD72">
            <v>37584</v>
          </cell>
          <cell r="AE72">
            <v>37604</v>
          </cell>
        </row>
        <row r="73">
          <cell r="B73">
            <v>5848</v>
          </cell>
          <cell r="C73">
            <v>168</v>
          </cell>
          <cell r="F73" t="str">
            <v>УПНП</v>
          </cell>
          <cell r="G73">
            <v>280</v>
          </cell>
          <cell r="H73" t="str">
            <v>ЭЦН</v>
          </cell>
          <cell r="I73" t="str">
            <v>бд</v>
          </cell>
          <cell r="J73">
            <v>35733</v>
          </cell>
          <cell r="K73">
            <v>0</v>
          </cell>
          <cell r="L73">
            <v>0</v>
          </cell>
          <cell r="M73">
            <v>0</v>
          </cell>
          <cell r="N73">
            <v>24</v>
          </cell>
          <cell r="O73">
            <v>12.1</v>
          </cell>
          <cell r="P73">
            <v>38</v>
          </cell>
          <cell r="Q73">
            <v>24</v>
          </cell>
          <cell r="R73">
            <v>12.1</v>
          </cell>
          <cell r="S73">
            <v>37.799999999999997</v>
          </cell>
          <cell r="T73">
            <v>37596</v>
          </cell>
          <cell r="U73" t="str">
            <v>ВЦ</v>
          </cell>
          <cell r="W73" t="str">
            <v>ВЦ, ПП, ОПЗ сп Э-30</v>
          </cell>
          <cell r="AD73">
            <v>37570</v>
          </cell>
          <cell r="AE73">
            <v>37589</v>
          </cell>
        </row>
        <row r="74">
          <cell r="B74">
            <v>2693</v>
          </cell>
          <cell r="C74">
            <v>161</v>
          </cell>
          <cell r="F74" t="str">
            <v>УПНП</v>
          </cell>
          <cell r="G74">
            <v>250</v>
          </cell>
          <cell r="H74" t="str">
            <v>ЭЦН</v>
          </cell>
          <cell r="I74" t="str">
            <v>конс.</v>
          </cell>
          <cell r="J74">
            <v>34274</v>
          </cell>
          <cell r="K74">
            <v>0</v>
          </cell>
          <cell r="L74">
            <v>0</v>
          </cell>
          <cell r="M74">
            <v>0</v>
          </cell>
          <cell r="N74">
            <v>30</v>
          </cell>
          <cell r="O74">
            <v>12.2</v>
          </cell>
          <cell r="P74">
            <v>50</v>
          </cell>
          <cell r="Q74">
            <v>30</v>
          </cell>
          <cell r="R74">
            <v>12.2</v>
          </cell>
          <cell r="S74">
            <v>49.8</v>
          </cell>
          <cell r="T74">
            <v>37627</v>
          </cell>
          <cell r="U74" t="str">
            <v>ВВ</v>
          </cell>
          <cell r="W74" t="str">
            <v>ВЦ, ВЗ, ДП сп Э-30</v>
          </cell>
          <cell r="AD74">
            <v>37590</v>
          </cell>
          <cell r="AE74">
            <v>37620</v>
          </cell>
        </row>
        <row r="75">
          <cell r="B75">
            <v>5825</v>
          </cell>
          <cell r="C75">
            <v>142</v>
          </cell>
          <cell r="F75" t="str">
            <v>УПНП</v>
          </cell>
          <cell r="G75">
            <v>275</v>
          </cell>
          <cell r="H75" t="str">
            <v>ШГН</v>
          </cell>
          <cell r="I75" t="str">
            <v>конс.</v>
          </cell>
          <cell r="J75">
            <v>33420</v>
          </cell>
          <cell r="K75">
            <v>0</v>
          </cell>
          <cell r="L75">
            <v>0</v>
          </cell>
          <cell r="M75">
            <v>0</v>
          </cell>
          <cell r="N75">
            <v>15</v>
          </cell>
          <cell r="O75">
            <v>7.9</v>
          </cell>
          <cell r="P75">
            <v>35</v>
          </cell>
          <cell r="Q75">
            <v>15</v>
          </cell>
          <cell r="R75">
            <v>7.9</v>
          </cell>
          <cell r="S75">
            <v>35</v>
          </cell>
          <cell r="T75">
            <v>37621</v>
          </cell>
          <cell r="U75" t="str">
            <v>ВЦ</v>
          </cell>
          <cell r="W75" t="str">
            <v>ВЦ.ВЗ,ПП</v>
          </cell>
          <cell r="AD75">
            <v>37594</v>
          </cell>
          <cell r="AE75">
            <v>37614</v>
          </cell>
        </row>
        <row r="76">
          <cell r="B76">
            <v>5435</v>
          </cell>
          <cell r="C76">
            <v>106</v>
          </cell>
          <cell r="F76" t="str">
            <v>УПНП</v>
          </cell>
          <cell r="G76">
            <v>275</v>
          </cell>
          <cell r="H76" t="str">
            <v>ЭЦН</v>
          </cell>
          <cell r="I76" t="str">
            <v>бд</v>
          </cell>
          <cell r="J76">
            <v>34790</v>
          </cell>
          <cell r="K76">
            <v>0</v>
          </cell>
          <cell r="L76">
            <v>0</v>
          </cell>
          <cell r="M76">
            <v>0</v>
          </cell>
          <cell r="N76">
            <v>30</v>
          </cell>
          <cell r="O76">
            <v>12.2</v>
          </cell>
          <cell r="P76">
            <v>50</v>
          </cell>
          <cell r="Q76">
            <v>30</v>
          </cell>
          <cell r="R76">
            <v>12.2</v>
          </cell>
          <cell r="S76">
            <v>49.8</v>
          </cell>
          <cell r="T76">
            <v>37601</v>
          </cell>
          <cell r="U76" t="str">
            <v>ЛА</v>
          </cell>
          <cell r="W76" t="str">
            <v>ЛА(извл.НКТ),ВЗ,ПП,ГДИ,сп.Э-30</v>
          </cell>
          <cell r="AD76">
            <v>37574</v>
          </cell>
          <cell r="AE76">
            <v>37594</v>
          </cell>
        </row>
        <row r="77">
          <cell r="B77">
            <v>4067</v>
          </cell>
          <cell r="C77">
            <v>309</v>
          </cell>
          <cell r="F77" t="str">
            <v>УПНП</v>
          </cell>
          <cell r="G77">
            <v>240</v>
          </cell>
          <cell r="H77" t="str">
            <v>Ф/Э</v>
          </cell>
          <cell r="I77" t="str">
            <v>конс.</v>
          </cell>
          <cell r="K77">
            <v>0</v>
          </cell>
          <cell r="L77">
            <v>0</v>
          </cell>
          <cell r="M77">
            <v>0</v>
          </cell>
          <cell r="N77">
            <v>50</v>
          </cell>
          <cell r="O77">
            <v>3.6</v>
          </cell>
          <cell r="P77">
            <v>91.1</v>
          </cell>
          <cell r="Q77">
            <v>50</v>
          </cell>
          <cell r="R77">
            <v>3.6</v>
          </cell>
          <cell r="S77">
            <v>91.1</v>
          </cell>
          <cell r="T77">
            <v>38565</v>
          </cell>
          <cell r="U77" t="str">
            <v>бдп</v>
          </cell>
          <cell r="W77" t="str">
            <v>ВЦ, сп.Э-50</v>
          </cell>
        </row>
        <row r="78">
          <cell r="B78">
            <v>2899</v>
          </cell>
          <cell r="C78">
            <v>43</v>
          </cell>
          <cell r="F78" t="str">
            <v>УПНП</v>
          </cell>
          <cell r="G78">
            <v>260</v>
          </cell>
          <cell r="H78" t="str">
            <v>нагнет.</v>
          </cell>
          <cell r="I78" t="str">
            <v>конс.</v>
          </cell>
          <cell r="J78">
            <v>34547</v>
          </cell>
          <cell r="K78">
            <v>0</v>
          </cell>
          <cell r="L78">
            <v>0</v>
          </cell>
          <cell r="M78">
            <v>0</v>
          </cell>
          <cell r="N78">
            <v>200</v>
          </cell>
          <cell r="Q78">
            <v>200</v>
          </cell>
          <cell r="T78">
            <v>38441</v>
          </cell>
          <cell r="U78" t="str">
            <v>НГ</v>
          </cell>
          <cell r="W78" t="str">
            <v>ВЦ.ПП.ОПЗ.ГИС-3.Сп.пак.ППД.</v>
          </cell>
          <cell r="AD78">
            <v>38285</v>
          </cell>
          <cell r="AE78">
            <v>38340</v>
          </cell>
        </row>
        <row r="79">
          <cell r="B79">
            <v>5333</v>
          </cell>
          <cell r="C79">
            <v>139</v>
          </cell>
          <cell r="F79" t="str">
            <v>УПНП</v>
          </cell>
          <cell r="G79">
            <v>260</v>
          </cell>
          <cell r="H79" t="str">
            <v>ШГН</v>
          </cell>
          <cell r="I79" t="str">
            <v>бд</v>
          </cell>
          <cell r="J79">
            <v>37119</v>
          </cell>
          <cell r="K79">
            <v>0</v>
          </cell>
          <cell r="L79">
            <v>0</v>
          </cell>
          <cell r="M79">
            <v>0</v>
          </cell>
          <cell r="N79">
            <v>80</v>
          </cell>
          <cell r="O79">
            <v>19</v>
          </cell>
          <cell r="P79">
            <v>70.8</v>
          </cell>
          <cell r="Q79">
            <v>80</v>
          </cell>
          <cell r="R79">
            <v>19</v>
          </cell>
          <cell r="S79">
            <v>70.7</v>
          </cell>
          <cell r="T79">
            <v>38424</v>
          </cell>
          <cell r="U79" t="str">
            <v>ГРП</v>
          </cell>
          <cell r="W79" t="str">
            <v>ВЦ.ГИС-2.РИР ЗКЦ.ГРП ЮК-10.Осв.Сп.Э-80.</v>
          </cell>
          <cell r="AE79">
            <v>38417</v>
          </cell>
          <cell r="AF79">
            <v>27</v>
          </cell>
          <cell r="AG79">
            <v>-311108</v>
          </cell>
          <cell r="AH79">
            <v>-1897000</v>
          </cell>
        </row>
        <row r="80">
          <cell r="B80">
            <v>5285</v>
          </cell>
          <cell r="C80">
            <v>140</v>
          </cell>
          <cell r="F80" t="str">
            <v>УПНП</v>
          </cell>
          <cell r="G80">
            <v>250</v>
          </cell>
          <cell r="H80" t="str">
            <v>ШГН</v>
          </cell>
          <cell r="I80" t="str">
            <v>бд</v>
          </cell>
          <cell r="J80">
            <v>35715</v>
          </cell>
          <cell r="K80">
            <v>0</v>
          </cell>
          <cell r="L80">
            <v>0</v>
          </cell>
          <cell r="M80">
            <v>0</v>
          </cell>
          <cell r="N80">
            <v>80</v>
          </cell>
          <cell r="O80">
            <v>19</v>
          </cell>
          <cell r="P80">
            <v>70.8</v>
          </cell>
          <cell r="Q80">
            <v>80</v>
          </cell>
          <cell r="R80">
            <v>19</v>
          </cell>
          <cell r="S80">
            <v>70.7</v>
          </cell>
          <cell r="T80">
            <v>38446</v>
          </cell>
          <cell r="U80" t="str">
            <v>ГРП</v>
          </cell>
          <cell r="W80" t="str">
            <v>ВЦ,ВЗ.ОТСК.ПР.ГРП ЮК-10.Осв.Сп.Э-80.</v>
          </cell>
          <cell r="AD80">
            <v>38290</v>
          </cell>
          <cell r="AE80">
            <v>38429</v>
          </cell>
        </row>
        <row r="81">
          <cell r="B81">
            <v>3188</v>
          </cell>
          <cell r="C81">
            <v>70</v>
          </cell>
          <cell r="F81" t="str">
            <v>УПНП</v>
          </cell>
          <cell r="G81">
            <v>250</v>
          </cell>
          <cell r="H81" t="str">
            <v>ШГН</v>
          </cell>
          <cell r="I81" t="str">
            <v>конс.</v>
          </cell>
          <cell r="J81">
            <v>34578</v>
          </cell>
          <cell r="K81">
            <v>0</v>
          </cell>
          <cell r="L81">
            <v>0</v>
          </cell>
          <cell r="M81">
            <v>0</v>
          </cell>
          <cell r="N81">
            <v>25</v>
          </cell>
          <cell r="O81">
            <v>8.1999999999999993</v>
          </cell>
          <cell r="P81">
            <v>60</v>
          </cell>
          <cell r="Q81">
            <v>25</v>
          </cell>
          <cell r="R81">
            <v>8.1999999999999993</v>
          </cell>
          <cell r="S81">
            <v>59.5</v>
          </cell>
          <cell r="T81">
            <v>38399</v>
          </cell>
          <cell r="U81" t="str">
            <v>бдк</v>
          </cell>
          <cell r="W81" t="str">
            <v>ВЦ.ПП ЮК-10.МШУ.Сп.Э-25.</v>
          </cell>
          <cell r="AE81">
            <v>38394</v>
          </cell>
        </row>
        <row r="82">
          <cell r="B82">
            <v>2669</v>
          </cell>
          <cell r="C82">
            <v>160</v>
          </cell>
          <cell r="F82" t="str">
            <v>УПНП</v>
          </cell>
          <cell r="G82">
            <v>250</v>
          </cell>
          <cell r="H82" t="str">
            <v>ШГН</v>
          </cell>
          <cell r="I82" t="str">
            <v>бд</v>
          </cell>
          <cell r="J82">
            <v>33020</v>
          </cell>
          <cell r="K82">
            <v>0</v>
          </cell>
          <cell r="L82">
            <v>0</v>
          </cell>
          <cell r="M82">
            <v>0</v>
          </cell>
          <cell r="N82">
            <v>80</v>
          </cell>
          <cell r="O82">
            <v>19</v>
          </cell>
          <cell r="P82">
            <v>70.8</v>
          </cell>
          <cell r="Q82">
            <v>80</v>
          </cell>
          <cell r="R82">
            <v>19</v>
          </cell>
          <cell r="S82">
            <v>70.7</v>
          </cell>
          <cell r="T82">
            <v>38395</v>
          </cell>
          <cell r="U82" t="str">
            <v>ГРП</v>
          </cell>
          <cell r="W82" t="str">
            <v>ДП ЮК-10.ПР.ГРП ЮК-10.Осв.Сп.Э-80.</v>
          </cell>
          <cell r="Y82" t="str">
            <v>Высокая обводненность</v>
          </cell>
          <cell r="AE82">
            <v>38388</v>
          </cell>
        </row>
        <row r="83">
          <cell r="B83">
            <v>5300</v>
          </cell>
          <cell r="C83">
            <v>137</v>
          </cell>
          <cell r="F83" t="str">
            <v>УПНПиКРС</v>
          </cell>
          <cell r="G83">
            <v>260</v>
          </cell>
          <cell r="H83" t="str">
            <v>Ф/Э</v>
          </cell>
          <cell r="I83" t="str">
            <v>бд</v>
          </cell>
          <cell r="J83">
            <v>30884</v>
          </cell>
          <cell r="K83">
            <v>0</v>
          </cell>
          <cell r="L83">
            <v>0</v>
          </cell>
          <cell r="M83">
            <v>0</v>
          </cell>
          <cell r="N83">
            <v>50</v>
          </cell>
          <cell r="O83">
            <v>7.3</v>
          </cell>
          <cell r="P83">
            <v>82</v>
          </cell>
          <cell r="Q83">
            <v>50</v>
          </cell>
          <cell r="R83">
            <v>7.3</v>
          </cell>
          <cell r="S83">
            <v>82</v>
          </cell>
          <cell r="T83">
            <v>38388</v>
          </cell>
          <cell r="U83" t="str">
            <v>бдк</v>
          </cell>
          <cell r="W83" t="str">
            <v>ВЦ.ВЗ.ПП ЮК-10.Сп.Э-50.</v>
          </cell>
          <cell r="AD83">
            <v>38346</v>
          </cell>
          <cell r="AE83">
            <v>38382</v>
          </cell>
        </row>
        <row r="84">
          <cell r="B84">
            <v>2936</v>
          </cell>
          <cell r="C84">
            <v>43</v>
          </cell>
          <cell r="F84" t="str">
            <v>УПНП</v>
          </cell>
          <cell r="G84">
            <v>270</v>
          </cell>
          <cell r="H84" t="str">
            <v>ШГН</v>
          </cell>
          <cell r="I84" t="str">
            <v>бд</v>
          </cell>
          <cell r="J84">
            <v>37287</v>
          </cell>
          <cell r="K84">
            <v>0</v>
          </cell>
          <cell r="L84">
            <v>0</v>
          </cell>
          <cell r="M84">
            <v>0</v>
          </cell>
          <cell r="N84">
            <v>80</v>
          </cell>
          <cell r="O84">
            <v>19</v>
          </cell>
          <cell r="P84">
            <v>70.8</v>
          </cell>
          <cell r="Q84">
            <v>80</v>
          </cell>
          <cell r="R84">
            <v>19</v>
          </cell>
          <cell r="S84">
            <v>70.7</v>
          </cell>
          <cell r="T84">
            <v>38389</v>
          </cell>
          <cell r="U84" t="str">
            <v>ГРП</v>
          </cell>
          <cell r="W84" t="str">
            <v>ЛА.ПП.ГРП ЮК-10.Сп. ЭЦН-80</v>
          </cell>
          <cell r="AD84">
            <v>38320</v>
          </cell>
          <cell r="AE84">
            <v>38383</v>
          </cell>
        </row>
        <row r="85">
          <cell r="B85">
            <v>2682</v>
          </cell>
          <cell r="C85" t="str">
            <v>145б</v>
          </cell>
          <cell r="F85" t="str">
            <v>УПНПиКРС</v>
          </cell>
          <cell r="G85">
            <v>240</v>
          </cell>
          <cell r="H85" t="str">
            <v>ЭЦН</v>
          </cell>
          <cell r="I85" t="str">
            <v>бд тг</v>
          </cell>
          <cell r="J85">
            <v>37424</v>
          </cell>
          <cell r="K85">
            <v>0</v>
          </cell>
          <cell r="L85">
            <v>0</v>
          </cell>
          <cell r="M85">
            <v>0</v>
          </cell>
          <cell r="N85">
            <v>80</v>
          </cell>
          <cell r="O85">
            <v>19</v>
          </cell>
          <cell r="P85">
            <v>70.8</v>
          </cell>
          <cell r="Q85">
            <v>80</v>
          </cell>
          <cell r="R85">
            <v>19</v>
          </cell>
          <cell r="S85">
            <v>70.7</v>
          </cell>
          <cell r="T85">
            <v>38395</v>
          </cell>
          <cell r="U85" t="str">
            <v>ГРП</v>
          </cell>
          <cell r="W85" t="str">
            <v>Разбур.цем.м.РИР.ГРП ЮК-10.Осв.Сп.Э-80.</v>
          </cell>
          <cell r="AD85">
            <v>38343</v>
          </cell>
          <cell r="AE85">
            <v>38388</v>
          </cell>
        </row>
        <row r="86">
          <cell r="B86" t="str">
            <v>5411б</v>
          </cell>
          <cell r="C86">
            <v>107</v>
          </cell>
          <cell r="F86" t="str">
            <v>УПНПиКРС</v>
          </cell>
          <cell r="H86" t="str">
            <v>ШГН</v>
          </cell>
          <cell r="I86" t="str">
            <v>бд</v>
          </cell>
          <cell r="J86">
            <v>35992</v>
          </cell>
          <cell r="K86">
            <v>0</v>
          </cell>
          <cell r="L86">
            <v>0</v>
          </cell>
          <cell r="M86">
            <v>0</v>
          </cell>
          <cell r="N86">
            <v>80</v>
          </cell>
          <cell r="O86">
            <v>19</v>
          </cell>
          <cell r="P86">
            <v>70.8</v>
          </cell>
          <cell r="Q86">
            <v>80</v>
          </cell>
          <cell r="R86">
            <v>19</v>
          </cell>
          <cell r="S86">
            <v>70.7</v>
          </cell>
          <cell r="T86">
            <v>38453</v>
          </cell>
          <cell r="U86" t="str">
            <v>ГРП</v>
          </cell>
          <cell r="W86" t="str">
            <v>ВЦ.,ГРП ЮК-10,с-п ЭЦН-80</v>
          </cell>
          <cell r="Y86" t="str">
            <v>комплект(нет центра)</v>
          </cell>
          <cell r="Z86" t="str">
            <v>26</v>
          </cell>
          <cell r="AE86">
            <v>38433</v>
          </cell>
        </row>
        <row r="87">
          <cell r="B87">
            <v>2871</v>
          </cell>
          <cell r="C87">
            <v>158</v>
          </cell>
          <cell r="F87" t="str">
            <v>УПНПиКРС</v>
          </cell>
          <cell r="G87">
            <v>260</v>
          </cell>
          <cell r="H87" t="str">
            <v>ШГН</v>
          </cell>
          <cell r="I87" t="str">
            <v>конс.</v>
          </cell>
          <cell r="J87">
            <v>34243</v>
          </cell>
          <cell r="K87">
            <v>0</v>
          </cell>
          <cell r="L87">
            <v>0</v>
          </cell>
          <cell r="M87">
            <v>0</v>
          </cell>
          <cell r="N87">
            <v>50</v>
          </cell>
          <cell r="O87">
            <v>19</v>
          </cell>
          <cell r="P87">
            <v>53.4</v>
          </cell>
          <cell r="Q87">
            <v>50</v>
          </cell>
          <cell r="R87">
            <v>19</v>
          </cell>
          <cell r="S87">
            <v>53.1</v>
          </cell>
          <cell r="T87">
            <v>38432</v>
          </cell>
          <cell r="U87" t="str">
            <v>ГРП</v>
          </cell>
          <cell r="W87" t="str">
            <v>ВЦ.ИР ЮК-10.ДП.ГРП ЮК-8.Сп.Э-50.</v>
          </cell>
          <cell r="AD87">
            <v>37860</v>
          </cell>
          <cell r="AE87">
            <v>38425</v>
          </cell>
        </row>
        <row r="88">
          <cell r="B88">
            <v>3365</v>
          </cell>
          <cell r="C88">
            <v>68</v>
          </cell>
          <cell r="F88" t="str">
            <v>УПНПиКРС</v>
          </cell>
          <cell r="G88">
            <v>240</v>
          </cell>
          <cell r="H88" t="str">
            <v>Ф/Э</v>
          </cell>
          <cell r="I88" t="str">
            <v>бд</v>
          </cell>
          <cell r="J88">
            <v>34029</v>
          </cell>
          <cell r="K88">
            <v>0</v>
          </cell>
          <cell r="L88">
            <v>0</v>
          </cell>
          <cell r="M88">
            <v>0</v>
          </cell>
          <cell r="N88">
            <v>80</v>
          </cell>
          <cell r="O88">
            <v>6</v>
          </cell>
          <cell r="P88">
            <v>90.8</v>
          </cell>
          <cell r="Q88">
            <v>80</v>
          </cell>
          <cell r="R88">
            <v>6</v>
          </cell>
          <cell r="S88">
            <v>90.7</v>
          </cell>
          <cell r="T88">
            <v>38479</v>
          </cell>
          <cell r="U88" t="str">
            <v>бдк</v>
          </cell>
          <cell r="W88" t="str">
            <v>ЛА(прихв.ЭЦН).ПП ЮК-10.Сп.Э-80.</v>
          </cell>
          <cell r="AD88">
            <v>38469</v>
          </cell>
          <cell r="AE88">
            <v>38472</v>
          </cell>
        </row>
        <row r="89">
          <cell r="B89">
            <v>3364</v>
          </cell>
          <cell r="C89">
            <v>68</v>
          </cell>
          <cell r="F89" t="str">
            <v>УПНПиКРС</v>
          </cell>
          <cell r="G89">
            <v>240</v>
          </cell>
          <cell r="H89" t="str">
            <v>Ф/Э</v>
          </cell>
          <cell r="I89" t="str">
            <v>бд тг</v>
          </cell>
          <cell r="K89">
            <v>0</v>
          </cell>
          <cell r="L89">
            <v>0</v>
          </cell>
          <cell r="M89">
            <v>0</v>
          </cell>
          <cell r="N89">
            <v>50</v>
          </cell>
          <cell r="O89">
            <v>16</v>
          </cell>
          <cell r="P89">
            <v>60.5</v>
          </cell>
          <cell r="Q89">
            <v>50</v>
          </cell>
          <cell r="R89">
            <v>16</v>
          </cell>
          <cell r="S89">
            <v>60.5</v>
          </cell>
          <cell r="T89" t="str">
            <v>7 июн</v>
          </cell>
          <cell r="U89" t="str">
            <v>ГРП</v>
          </cell>
          <cell r="W89" t="str">
            <v>ПР.ГРП ЮК10.Сп.ЭЦН-80</v>
          </cell>
          <cell r="AE89">
            <v>38495</v>
          </cell>
        </row>
        <row r="90">
          <cell r="B90">
            <v>5336</v>
          </cell>
          <cell r="C90">
            <v>140</v>
          </cell>
          <cell r="F90" t="str">
            <v>УПНПиКРС</v>
          </cell>
          <cell r="G90">
            <v>260</v>
          </cell>
          <cell r="H90" t="str">
            <v>ШГН</v>
          </cell>
          <cell r="I90" t="str">
            <v>бд</v>
          </cell>
          <cell r="J90">
            <v>37547</v>
          </cell>
          <cell r="K90">
            <v>0</v>
          </cell>
          <cell r="L90">
            <v>0</v>
          </cell>
          <cell r="M90">
            <v>0</v>
          </cell>
          <cell r="N90">
            <v>80</v>
          </cell>
          <cell r="O90">
            <v>19</v>
          </cell>
          <cell r="P90">
            <v>70.7</v>
          </cell>
          <cell r="Q90">
            <v>80</v>
          </cell>
          <cell r="R90">
            <v>19</v>
          </cell>
          <cell r="S90">
            <v>70.7</v>
          </cell>
          <cell r="T90">
            <v>38493</v>
          </cell>
          <cell r="U90" t="str">
            <v>ГРП</v>
          </cell>
          <cell r="W90" t="str">
            <v>ВЦ.ГИС.ВЗ.ПР.ГРП ЮК-10.Осв.Сп.Э-80.</v>
          </cell>
          <cell r="X90" t="str">
            <v>СК есть</v>
          </cell>
          <cell r="AE90">
            <v>38487</v>
          </cell>
        </row>
        <row r="91">
          <cell r="B91">
            <v>3101</v>
          </cell>
          <cell r="C91">
            <v>55</v>
          </cell>
          <cell r="F91" t="str">
            <v>УПНПиКРС</v>
          </cell>
          <cell r="G91">
            <v>260</v>
          </cell>
          <cell r="H91" t="str">
            <v>Ф/Э</v>
          </cell>
          <cell r="I91" t="str">
            <v>конс.</v>
          </cell>
          <cell r="J91">
            <v>34394</v>
          </cell>
          <cell r="K91">
            <v>0</v>
          </cell>
          <cell r="L91">
            <v>0</v>
          </cell>
          <cell r="M91">
            <v>0</v>
          </cell>
          <cell r="N91">
            <v>80</v>
          </cell>
          <cell r="O91">
            <v>17</v>
          </cell>
          <cell r="P91">
            <v>74</v>
          </cell>
          <cell r="Q91">
            <v>80</v>
          </cell>
          <cell r="R91">
            <v>17</v>
          </cell>
          <cell r="S91">
            <v>73.8</v>
          </cell>
          <cell r="T91">
            <v>38483</v>
          </cell>
          <cell r="U91" t="str">
            <v>ГРП</v>
          </cell>
          <cell r="W91" t="str">
            <v>ВЦ.ВЗ.ПР.ГРП ЮК-10.Осв.Сп.Э-80.</v>
          </cell>
          <cell r="AE91">
            <v>38474</v>
          </cell>
        </row>
        <row r="92">
          <cell r="B92">
            <v>3293</v>
          </cell>
          <cell r="C92">
            <v>66</v>
          </cell>
          <cell r="F92" t="str">
            <v>УПНПиКРС</v>
          </cell>
          <cell r="G92">
            <v>260</v>
          </cell>
          <cell r="H92" t="str">
            <v>фон.</v>
          </cell>
          <cell r="I92" t="str">
            <v>конс.</v>
          </cell>
          <cell r="J92">
            <v>33848</v>
          </cell>
          <cell r="K92">
            <v>0</v>
          </cell>
          <cell r="L92">
            <v>0</v>
          </cell>
          <cell r="M92">
            <v>0</v>
          </cell>
          <cell r="N92">
            <v>80</v>
          </cell>
          <cell r="O92">
            <v>16</v>
          </cell>
          <cell r="P92">
            <v>75.400000000000006</v>
          </cell>
          <cell r="Q92">
            <v>80</v>
          </cell>
          <cell r="R92">
            <v>16</v>
          </cell>
          <cell r="S92">
            <v>75.3</v>
          </cell>
          <cell r="T92">
            <v>38492</v>
          </cell>
          <cell r="U92" t="str">
            <v>ГРП</v>
          </cell>
          <cell r="W92" t="str">
            <v>ВЦ.ПП.ГРП ЮК-10.Сп.Э-80</v>
          </cell>
          <cell r="AE92">
            <v>38486</v>
          </cell>
        </row>
        <row r="93">
          <cell r="B93">
            <v>5671</v>
          </cell>
          <cell r="C93">
            <v>126</v>
          </cell>
          <cell r="F93" t="str">
            <v>УПНПиКРС</v>
          </cell>
          <cell r="G93">
            <v>240</v>
          </cell>
          <cell r="H93" t="str">
            <v>ШГН</v>
          </cell>
          <cell r="I93" t="str">
            <v>конс.</v>
          </cell>
          <cell r="J93">
            <v>35648</v>
          </cell>
          <cell r="K93">
            <v>0</v>
          </cell>
          <cell r="L93">
            <v>0</v>
          </cell>
          <cell r="M93">
            <v>0</v>
          </cell>
          <cell r="N93">
            <v>50</v>
          </cell>
          <cell r="O93">
            <v>19</v>
          </cell>
          <cell r="P93">
            <v>53.1</v>
          </cell>
          <cell r="Q93">
            <v>40</v>
          </cell>
          <cell r="R93">
            <v>22</v>
          </cell>
          <cell r="S93">
            <v>32.1</v>
          </cell>
          <cell r="T93">
            <v>38533</v>
          </cell>
          <cell r="U93" t="str">
            <v>ГРП</v>
          </cell>
          <cell r="W93" t="str">
            <v>ВЦ.ПР.ГРП ЮК-10.Осв.Сп.Э-80.</v>
          </cell>
          <cell r="AE93">
            <v>38482</v>
          </cell>
        </row>
        <row r="94">
          <cell r="B94">
            <v>2849</v>
          </cell>
          <cell r="C94">
            <v>129</v>
          </cell>
          <cell r="F94" t="str">
            <v>УПНПиКРС</v>
          </cell>
          <cell r="G94">
            <v>255</v>
          </cell>
          <cell r="H94" t="str">
            <v>ШГН</v>
          </cell>
          <cell r="I94" t="str">
            <v>конс.</v>
          </cell>
          <cell r="J94">
            <v>35705</v>
          </cell>
          <cell r="K94">
            <v>0</v>
          </cell>
          <cell r="L94">
            <v>0</v>
          </cell>
          <cell r="M94">
            <v>0</v>
          </cell>
          <cell r="N94">
            <v>80</v>
          </cell>
          <cell r="O94">
            <v>19</v>
          </cell>
          <cell r="P94">
            <v>70.8</v>
          </cell>
          <cell r="Q94">
            <v>80</v>
          </cell>
          <cell r="R94">
            <v>19</v>
          </cell>
          <cell r="S94">
            <v>70.7</v>
          </cell>
          <cell r="T94">
            <v>38502</v>
          </cell>
          <cell r="U94" t="str">
            <v>ГРП</v>
          </cell>
          <cell r="W94" t="str">
            <v>ВЦ.ПР.ГРП ЮК-10.Осв.Сп.Э-80.</v>
          </cell>
          <cell r="AE94">
            <v>38494</v>
          </cell>
          <cell r="AF94">
            <v>13</v>
          </cell>
          <cell r="AG94">
            <v>-81</v>
          </cell>
          <cell r="AH94">
            <v>-259</v>
          </cell>
        </row>
        <row r="95">
          <cell r="B95">
            <v>5562</v>
          </cell>
          <cell r="C95">
            <v>119</v>
          </cell>
          <cell r="F95" t="str">
            <v>УПНПиКРС</v>
          </cell>
          <cell r="G95">
            <v>268</v>
          </cell>
          <cell r="H95" t="str">
            <v>ЭЦН</v>
          </cell>
          <cell r="I95" t="str">
            <v>действ.</v>
          </cell>
          <cell r="K95">
            <v>126</v>
          </cell>
          <cell r="L95">
            <v>17.5</v>
          </cell>
          <cell r="M95">
            <v>83</v>
          </cell>
          <cell r="N95">
            <v>180</v>
          </cell>
          <cell r="O95">
            <v>24.9</v>
          </cell>
          <cell r="P95">
            <v>83</v>
          </cell>
          <cell r="Q95">
            <v>54</v>
          </cell>
          <cell r="R95">
            <v>7.3999999999999986</v>
          </cell>
          <cell r="S95">
            <v>83.1</v>
          </cell>
          <cell r="T95">
            <v>38547</v>
          </cell>
          <cell r="U95" t="str">
            <v>опт</v>
          </cell>
          <cell r="W95" t="str">
            <v>См.Э-125/Э-200</v>
          </cell>
          <cell r="AE95">
            <v>38469</v>
          </cell>
        </row>
        <row r="96">
          <cell r="B96">
            <v>5657</v>
          </cell>
          <cell r="C96" t="str">
            <v>122б</v>
          </cell>
          <cell r="F96" t="str">
            <v>УПНПиКРС</v>
          </cell>
          <cell r="G96">
            <v>240</v>
          </cell>
          <cell r="H96" t="str">
            <v>ЭЦН</v>
          </cell>
          <cell r="I96" t="str">
            <v>действ.</v>
          </cell>
          <cell r="J96">
            <v>37456</v>
          </cell>
          <cell r="K96">
            <v>115</v>
          </cell>
          <cell r="L96">
            <v>9.4</v>
          </cell>
          <cell r="M96">
            <v>90</v>
          </cell>
          <cell r="N96">
            <v>200</v>
          </cell>
          <cell r="O96">
            <v>16</v>
          </cell>
          <cell r="P96">
            <v>90</v>
          </cell>
          <cell r="Q96">
            <v>85</v>
          </cell>
          <cell r="R96">
            <v>6.6</v>
          </cell>
          <cell r="S96">
            <v>90.4</v>
          </cell>
          <cell r="T96">
            <v>38661</v>
          </cell>
          <cell r="U96" t="str">
            <v>ла</v>
          </cell>
          <cell r="W96" t="str">
            <v>ЛА,сп.Э-200</v>
          </cell>
          <cell r="AE96">
            <v>38497</v>
          </cell>
        </row>
        <row r="97">
          <cell r="B97">
            <v>5414</v>
          </cell>
          <cell r="C97">
            <v>107</v>
          </cell>
          <cell r="F97" t="str">
            <v>УПНПиКРС</v>
          </cell>
          <cell r="G97">
            <v>240</v>
          </cell>
          <cell r="H97" t="str">
            <v>ШГН</v>
          </cell>
          <cell r="I97" t="str">
            <v>бд</v>
          </cell>
          <cell r="J97">
            <v>38303</v>
          </cell>
          <cell r="K97">
            <v>0</v>
          </cell>
          <cell r="L97">
            <v>0</v>
          </cell>
          <cell r="M97">
            <v>0</v>
          </cell>
          <cell r="N97">
            <v>50</v>
          </cell>
          <cell r="O97">
            <v>19</v>
          </cell>
          <cell r="P97">
            <v>53.3</v>
          </cell>
          <cell r="Q97">
            <v>50</v>
          </cell>
          <cell r="R97">
            <v>19</v>
          </cell>
          <cell r="S97">
            <v>53.1</v>
          </cell>
          <cell r="T97">
            <v>38490</v>
          </cell>
          <cell r="U97" t="str">
            <v>ГРП</v>
          </cell>
          <cell r="W97" t="str">
            <v>ВЦ.ВЗ.ГРП ЮК-10.Сп.Э-50.</v>
          </cell>
          <cell r="AE97">
            <v>38484</v>
          </cell>
        </row>
        <row r="98">
          <cell r="B98">
            <v>2881</v>
          </cell>
          <cell r="C98">
            <v>127</v>
          </cell>
          <cell r="F98" t="str">
            <v>УПНПиКРС</v>
          </cell>
          <cell r="G98">
            <v>265</v>
          </cell>
          <cell r="H98" t="str">
            <v>ЭЦН</v>
          </cell>
          <cell r="I98" t="str">
            <v>действ.</v>
          </cell>
          <cell r="K98">
            <v>13</v>
          </cell>
          <cell r="L98">
            <v>5</v>
          </cell>
          <cell r="M98">
            <v>53</v>
          </cell>
          <cell r="N98">
            <v>30</v>
          </cell>
          <cell r="O98">
            <v>11</v>
          </cell>
          <cell r="P98">
            <v>54.7</v>
          </cell>
          <cell r="Q98">
            <v>17</v>
          </cell>
          <cell r="R98">
            <v>6</v>
          </cell>
          <cell r="S98">
            <v>56.4</v>
          </cell>
          <cell r="T98">
            <v>38518</v>
          </cell>
          <cell r="U98" t="str">
            <v>опз</v>
          </cell>
          <cell r="W98" t="str">
            <v>Интесификация притока СНВ-32.</v>
          </cell>
          <cell r="AE98">
            <v>38494</v>
          </cell>
        </row>
        <row r="99">
          <cell r="B99">
            <v>4316</v>
          </cell>
          <cell r="C99">
            <v>200</v>
          </cell>
          <cell r="F99" t="str">
            <v>УПНПиКРС</v>
          </cell>
          <cell r="H99" t="str">
            <v>ЭЦН</v>
          </cell>
          <cell r="I99" t="str">
            <v>действ.</v>
          </cell>
          <cell r="K99">
            <v>140</v>
          </cell>
          <cell r="L99">
            <v>11.4</v>
          </cell>
          <cell r="M99">
            <v>90</v>
          </cell>
          <cell r="N99">
            <v>370</v>
          </cell>
          <cell r="O99">
            <v>30.2</v>
          </cell>
          <cell r="P99">
            <v>90</v>
          </cell>
          <cell r="Q99">
            <v>230</v>
          </cell>
          <cell r="R99">
            <v>18.7</v>
          </cell>
          <cell r="S99">
            <v>90</v>
          </cell>
          <cell r="T99">
            <v>38638</v>
          </cell>
          <cell r="U99" t="str">
            <v>ла</v>
          </cell>
          <cell r="W99" t="str">
            <v>ЛА(ЭЦН+подв. НКТ+КРБП). Спуск Э-200</v>
          </cell>
          <cell r="AE99">
            <v>38633</v>
          </cell>
        </row>
        <row r="100">
          <cell r="B100">
            <v>5547</v>
          </cell>
          <cell r="C100">
            <v>115</v>
          </cell>
          <cell r="F100" t="str">
            <v>УПНПиКРС</v>
          </cell>
          <cell r="H100" t="str">
            <v>ЭЦН</v>
          </cell>
          <cell r="I100" t="str">
            <v>действ.</v>
          </cell>
          <cell r="K100">
            <v>67</v>
          </cell>
          <cell r="L100">
            <v>2.7</v>
          </cell>
          <cell r="M100">
            <v>95</v>
          </cell>
          <cell r="N100">
            <v>400</v>
          </cell>
          <cell r="O100">
            <v>16.3</v>
          </cell>
          <cell r="P100">
            <v>95</v>
          </cell>
          <cell r="Q100">
            <v>333</v>
          </cell>
          <cell r="R100">
            <v>13.600000000000001</v>
          </cell>
          <cell r="S100">
            <v>95</v>
          </cell>
          <cell r="T100">
            <v>38497</v>
          </cell>
          <cell r="U100" t="str">
            <v>опт</v>
          </cell>
          <cell r="W100" t="str">
            <v>Оптимизация Э-80/400</v>
          </cell>
          <cell r="AE100">
            <v>38487</v>
          </cell>
        </row>
        <row r="101">
          <cell r="B101">
            <v>11030</v>
          </cell>
          <cell r="C101" t="str">
            <v>96б</v>
          </cell>
          <cell r="F101" t="str">
            <v>УПНПиКРС</v>
          </cell>
          <cell r="H101" t="str">
            <v>ЭЦН</v>
          </cell>
          <cell r="I101" t="str">
            <v>действ.</v>
          </cell>
          <cell r="K101">
            <v>152</v>
          </cell>
          <cell r="L101">
            <v>9.9</v>
          </cell>
          <cell r="M101">
            <v>92</v>
          </cell>
          <cell r="N101">
            <v>354</v>
          </cell>
          <cell r="O101">
            <v>23.1</v>
          </cell>
          <cell r="P101">
            <v>92</v>
          </cell>
          <cell r="Q101">
            <v>202</v>
          </cell>
          <cell r="R101">
            <v>13.200000000000001</v>
          </cell>
          <cell r="S101">
            <v>91.9</v>
          </cell>
          <cell r="T101">
            <v>38513</v>
          </cell>
          <cell r="U101" t="str">
            <v>опт</v>
          </cell>
          <cell r="W101" t="str">
            <v>Оптимизация Э-160/400</v>
          </cell>
          <cell r="AE101">
            <v>38492</v>
          </cell>
        </row>
        <row r="102">
          <cell r="B102">
            <v>3534</v>
          </cell>
          <cell r="C102" t="str">
            <v>98б</v>
          </cell>
          <cell r="F102" t="str">
            <v>УПНПиКРС</v>
          </cell>
          <cell r="H102" t="str">
            <v>ЭЦН</v>
          </cell>
          <cell r="I102" t="str">
            <v>конс.</v>
          </cell>
          <cell r="J102">
            <v>34943</v>
          </cell>
          <cell r="K102">
            <v>0</v>
          </cell>
          <cell r="L102">
            <v>0</v>
          </cell>
          <cell r="M102">
            <v>0</v>
          </cell>
          <cell r="N102">
            <v>50</v>
          </cell>
          <cell r="O102">
            <v>4.0999999999999996</v>
          </cell>
          <cell r="P102">
            <v>90</v>
          </cell>
          <cell r="Q102">
            <v>50</v>
          </cell>
          <cell r="R102">
            <v>4.0999999999999996</v>
          </cell>
          <cell r="S102">
            <v>89.9</v>
          </cell>
          <cell r="T102">
            <v>38489</v>
          </cell>
          <cell r="U102" t="str">
            <v>бдп</v>
          </cell>
          <cell r="W102" t="str">
            <v>ВЦ,спуск Э-50</v>
          </cell>
          <cell r="AE102">
            <v>38482</v>
          </cell>
        </row>
        <row r="103">
          <cell r="B103">
            <v>3522</v>
          </cell>
          <cell r="C103">
            <v>92</v>
          </cell>
          <cell r="F103" t="str">
            <v>УПНПиКРС</v>
          </cell>
          <cell r="G103">
            <v>240</v>
          </cell>
          <cell r="H103" t="str">
            <v>ЭЦН</v>
          </cell>
          <cell r="I103" t="str">
            <v>бд</v>
          </cell>
          <cell r="J103">
            <v>35534</v>
          </cell>
          <cell r="K103">
            <v>0</v>
          </cell>
          <cell r="L103">
            <v>0</v>
          </cell>
          <cell r="M103">
            <v>0</v>
          </cell>
          <cell r="N103">
            <v>80</v>
          </cell>
          <cell r="O103">
            <v>9.1</v>
          </cell>
          <cell r="P103">
            <v>86</v>
          </cell>
          <cell r="Q103">
            <v>80</v>
          </cell>
          <cell r="R103">
            <v>9.1</v>
          </cell>
          <cell r="S103">
            <v>86</v>
          </cell>
          <cell r="T103">
            <v>38544</v>
          </cell>
          <cell r="U103" t="str">
            <v>бдк</v>
          </cell>
          <cell r="W103" t="str">
            <v>ЛА(изв.ЭЦН).ПП ЮК-10.Сп.Э-80.</v>
          </cell>
          <cell r="AE103">
            <v>38540</v>
          </cell>
        </row>
        <row r="104">
          <cell r="B104">
            <v>5497</v>
          </cell>
          <cell r="C104">
            <v>108</v>
          </cell>
          <cell r="F104" t="str">
            <v>УПНПиКРС</v>
          </cell>
          <cell r="G104">
            <v>260</v>
          </cell>
          <cell r="H104" t="str">
            <v>ЭЦН</v>
          </cell>
          <cell r="I104" t="str">
            <v>бд</v>
          </cell>
          <cell r="J104">
            <v>31175</v>
          </cell>
          <cell r="K104">
            <v>0</v>
          </cell>
          <cell r="L104">
            <v>0</v>
          </cell>
          <cell r="M104">
            <v>0</v>
          </cell>
          <cell r="N104">
            <v>50</v>
          </cell>
          <cell r="O104">
            <v>6</v>
          </cell>
          <cell r="P104">
            <v>85.2</v>
          </cell>
          <cell r="Q104">
            <v>50</v>
          </cell>
          <cell r="R104">
            <v>6</v>
          </cell>
          <cell r="S104">
            <v>85.2</v>
          </cell>
          <cell r="T104">
            <v>38554</v>
          </cell>
          <cell r="U104" t="str">
            <v>бдк</v>
          </cell>
          <cell r="W104" t="str">
            <v>ВЦ.ВЗ.ОТСК.ПП ЮК-10.Сп.Э-50.</v>
          </cell>
          <cell r="AE104">
            <v>38550</v>
          </cell>
        </row>
        <row r="105">
          <cell r="B105">
            <v>2869</v>
          </cell>
          <cell r="C105">
            <v>129</v>
          </cell>
          <cell r="F105" t="str">
            <v>УПНПиКРС</v>
          </cell>
          <cell r="G105">
            <v>255</v>
          </cell>
          <cell r="H105" t="str">
            <v>ЭЦН</v>
          </cell>
          <cell r="I105" t="str">
            <v>бд</v>
          </cell>
          <cell r="J105">
            <v>34912</v>
          </cell>
          <cell r="K105">
            <v>0</v>
          </cell>
          <cell r="L105">
            <v>0</v>
          </cell>
          <cell r="M105">
            <v>0</v>
          </cell>
          <cell r="N105">
            <v>50</v>
          </cell>
          <cell r="O105">
            <v>24</v>
          </cell>
          <cell r="P105">
            <v>41</v>
          </cell>
          <cell r="Q105">
            <v>50</v>
          </cell>
          <cell r="R105">
            <v>24</v>
          </cell>
          <cell r="S105">
            <v>40.700000000000003</v>
          </cell>
          <cell r="T105">
            <v>38549</v>
          </cell>
          <cell r="U105" t="str">
            <v>ГРП</v>
          </cell>
          <cell r="W105" t="str">
            <v>ВЦ.Изв.ЭЦН.ИР ЮК-11.ГРП ЮК-10.Сп.Э-80.</v>
          </cell>
          <cell r="AE105">
            <v>38543</v>
          </cell>
          <cell r="AF105">
            <v>25</v>
          </cell>
        </row>
        <row r="106">
          <cell r="B106" t="str">
            <v>2868б</v>
          </cell>
          <cell r="C106">
            <v>129</v>
          </cell>
          <cell r="F106" t="str">
            <v>УПНПиКРС</v>
          </cell>
          <cell r="G106">
            <v>255</v>
          </cell>
          <cell r="H106" t="str">
            <v>ШГН</v>
          </cell>
          <cell r="I106" t="str">
            <v>бд</v>
          </cell>
          <cell r="J106">
            <v>38313</v>
          </cell>
          <cell r="K106">
            <v>0</v>
          </cell>
          <cell r="L106">
            <v>0</v>
          </cell>
          <cell r="M106">
            <v>0</v>
          </cell>
          <cell r="N106">
            <v>80</v>
          </cell>
          <cell r="O106">
            <v>21</v>
          </cell>
          <cell r="P106">
            <v>67.8</v>
          </cell>
          <cell r="Q106">
            <v>80</v>
          </cell>
          <cell r="R106">
            <v>21</v>
          </cell>
          <cell r="S106">
            <v>67.599999999999994</v>
          </cell>
          <cell r="T106">
            <v>37993</v>
          </cell>
          <cell r="U106" t="str">
            <v>ГРП</v>
          </cell>
          <cell r="W106" t="str">
            <v>ВЦ.ПР.ГРП ЮК-10.Осв.Сп.Э-80.</v>
          </cell>
          <cell r="AE106">
            <v>37987</v>
          </cell>
          <cell r="AF106">
            <v>22</v>
          </cell>
          <cell r="AG106">
            <v>264</v>
          </cell>
          <cell r="AH106">
            <v>660</v>
          </cell>
        </row>
        <row r="107">
          <cell r="B107">
            <v>3255</v>
          </cell>
          <cell r="C107">
            <v>66</v>
          </cell>
          <cell r="F107" t="str">
            <v>УПНПиКРС</v>
          </cell>
          <cell r="G107">
            <v>260</v>
          </cell>
          <cell r="H107" t="str">
            <v>ФОН</v>
          </cell>
          <cell r="J107">
            <v>34182</v>
          </cell>
          <cell r="K107">
            <v>0</v>
          </cell>
          <cell r="L107">
            <v>0</v>
          </cell>
          <cell r="M107">
            <v>0</v>
          </cell>
          <cell r="N107">
            <v>50</v>
          </cell>
          <cell r="O107">
            <v>6.1</v>
          </cell>
          <cell r="P107">
            <v>85</v>
          </cell>
          <cell r="Q107">
            <v>50</v>
          </cell>
          <cell r="R107">
            <v>6.1</v>
          </cell>
          <cell r="S107">
            <v>84.9</v>
          </cell>
          <cell r="T107">
            <v>38533</v>
          </cell>
          <cell r="U107" t="str">
            <v>бдк</v>
          </cell>
          <cell r="W107" t="str">
            <v>ВЦ.ВЗ.ИР ЮК-11.ПП ЮК-10.Сп.Э-50.</v>
          </cell>
          <cell r="AE107">
            <v>38528</v>
          </cell>
        </row>
        <row r="108">
          <cell r="B108">
            <v>5404</v>
          </cell>
          <cell r="C108">
            <v>104</v>
          </cell>
          <cell r="F108" t="str">
            <v>УПНПиКРС</v>
          </cell>
          <cell r="G108">
            <v>250</v>
          </cell>
          <cell r="H108" t="str">
            <v>ШГН</v>
          </cell>
          <cell r="I108" t="str">
            <v>действ.</v>
          </cell>
          <cell r="K108">
            <v>14</v>
          </cell>
          <cell r="L108">
            <v>5</v>
          </cell>
          <cell r="M108">
            <v>56</v>
          </cell>
          <cell r="N108">
            <v>30.4</v>
          </cell>
          <cell r="O108">
            <v>11</v>
          </cell>
          <cell r="P108">
            <v>55.7</v>
          </cell>
          <cell r="Q108">
            <v>16.399999999999999</v>
          </cell>
          <cell r="R108">
            <v>6</v>
          </cell>
          <cell r="S108">
            <v>54.8</v>
          </cell>
          <cell r="T108">
            <v>38546</v>
          </cell>
          <cell r="U108" t="str">
            <v>опз</v>
          </cell>
          <cell r="W108" t="str">
            <v>Интенсификация притока СНВ-32.Сп.Э-30.</v>
          </cell>
          <cell r="AE108">
            <v>38542</v>
          </cell>
          <cell r="AG108">
            <v>-374020</v>
          </cell>
          <cell r="AH108">
            <v>-1720492</v>
          </cell>
        </row>
        <row r="109">
          <cell r="B109">
            <v>3817</v>
          </cell>
          <cell r="C109">
            <v>87</v>
          </cell>
          <cell r="F109" t="str">
            <v>УПНПиКРС</v>
          </cell>
          <cell r="G109">
            <v>240</v>
          </cell>
          <cell r="H109" t="str">
            <v>ЭЦН</v>
          </cell>
          <cell r="I109" t="str">
            <v>действ.</v>
          </cell>
          <cell r="K109">
            <v>7</v>
          </cell>
          <cell r="L109">
            <v>4</v>
          </cell>
          <cell r="M109">
            <v>36</v>
          </cell>
          <cell r="N109">
            <v>20</v>
          </cell>
          <cell r="O109">
            <v>10</v>
          </cell>
          <cell r="P109">
            <v>38.5</v>
          </cell>
          <cell r="Q109">
            <v>20</v>
          </cell>
          <cell r="R109">
            <v>10</v>
          </cell>
          <cell r="S109">
            <v>38.299999999999997</v>
          </cell>
          <cell r="T109">
            <v>38561</v>
          </cell>
          <cell r="U109" t="str">
            <v>опз</v>
          </cell>
          <cell r="W109" t="str">
            <v>Интенсификация притока СНВ-32.Сп.Э-30.</v>
          </cell>
          <cell r="AE109">
            <v>38557</v>
          </cell>
        </row>
        <row r="110">
          <cell r="B110">
            <v>3014</v>
          </cell>
          <cell r="C110">
            <v>48</v>
          </cell>
          <cell r="F110" t="str">
            <v>УПНПиКРС</v>
          </cell>
          <cell r="G110">
            <v>260</v>
          </cell>
          <cell r="H110" t="str">
            <v>ШГН</v>
          </cell>
          <cell r="I110" t="str">
            <v>конс.</v>
          </cell>
          <cell r="J110">
            <v>37562</v>
          </cell>
          <cell r="K110">
            <v>0</v>
          </cell>
          <cell r="L110">
            <v>0</v>
          </cell>
          <cell r="M110">
            <v>0</v>
          </cell>
          <cell r="N110">
            <v>50</v>
          </cell>
          <cell r="O110">
            <v>20</v>
          </cell>
          <cell r="P110">
            <v>51</v>
          </cell>
          <cell r="Q110">
            <v>50</v>
          </cell>
          <cell r="R110">
            <v>20</v>
          </cell>
          <cell r="S110">
            <v>50.6</v>
          </cell>
          <cell r="T110">
            <v>38557</v>
          </cell>
          <cell r="U110" t="str">
            <v>ГРП</v>
          </cell>
          <cell r="W110" t="str">
            <v>ВЦ.ПР.ГРП ЮК-10.Осв.Сп.Э-50.</v>
          </cell>
          <cell r="AE110">
            <v>38551</v>
          </cell>
          <cell r="AF110">
            <v>14</v>
          </cell>
          <cell r="AG110">
            <v>-129990</v>
          </cell>
          <cell r="AH110">
            <v>-185700</v>
          </cell>
        </row>
        <row r="111">
          <cell r="B111">
            <v>5817</v>
          </cell>
          <cell r="C111">
            <v>142</v>
          </cell>
          <cell r="F111" t="str">
            <v>УПНПиКРС</v>
          </cell>
          <cell r="G111" t="str">
            <v>265</v>
          </cell>
          <cell r="H111" t="str">
            <v>нагнет.</v>
          </cell>
          <cell r="I111" t="str">
            <v>бд</v>
          </cell>
          <cell r="J111">
            <v>36478</v>
          </cell>
          <cell r="N111">
            <v>150</v>
          </cell>
          <cell r="Q111">
            <v>150</v>
          </cell>
          <cell r="T111">
            <v>38597</v>
          </cell>
          <cell r="U111" t="str">
            <v>нг</v>
          </cell>
          <cell r="W111" t="str">
            <v>ОТСК.(РИР ЭК).ПП.ОПЗ.ГИС-3.Сп.пак.ППД.</v>
          </cell>
        </row>
        <row r="112">
          <cell r="B112">
            <v>5311</v>
          </cell>
          <cell r="C112">
            <v>140</v>
          </cell>
          <cell r="F112" t="str">
            <v>УПНПиКРС</v>
          </cell>
          <cell r="G112">
            <v>260</v>
          </cell>
          <cell r="H112" t="str">
            <v>ШГН</v>
          </cell>
          <cell r="I112" t="str">
            <v>бд</v>
          </cell>
          <cell r="J112">
            <v>37568</v>
          </cell>
          <cell r="K112">
            <v>0</v>
          </cell>
          <cell r="L112">
            <v>0</v>
          </cell>
          <cell r="M112">
            <v>0</v>
          </cell>
          <cell r="N112">
            <v>80</v>
          </cell>
          <cell r="O112">
            <v>21</v>
          </cell>
          <cell r="P112">
            <v>67.8</v>
          </cell>
          <cell r="Q112">
            <v>80</v>
          </cell>
          <cell r="R112">
            <v>21</v>
          </cell>
          <cell r="S112">
            <v>67.599999999999994</v>
          </cell>
          <cell r="T112">
            <v>38582</v>
          </cell>
          <cell r="U112" t="str">
            <v>ГРП</v>
          </cell>
          <cell r="W112" t="str">
            <v>ВЦ.Изв.НГН,НКТ.ГРП ЮК-10.Сп.Э-80.</v>
          </cell>
          <cell r="AE112">
            <v>38538</v>
          </cell>
          <cell r="AF112">
            <v>36</v>
          </cell>
          <cell r="AG112">
            <v>-294512</v>
          </cell>
          <cell r="AH112">
            <v>-447360</v>
          </cell>
        </row>
        <row r="113">
          <cell r="B113">
            <v>5416</v>
          </cell>
          <cell r="C113">
            <v>109</v>
          </cell>
          <cell r="F113" t="str">
            <v>УПНПиКРС</v>
          </cell>
          <cell r="G113">
            <v>275</v>
          </cell>
          <cell r="H113" t="str">
            <v>ЭЦН</v>
          </cell>
          <cell r="I113" t="str">
            <v>действ.</v>
          </cell>
          <cell r="J113">
            <v>38146</v>
          </cell>
          <cell r="K113">
            <v>145</v>
          </cell>
          <cell r="L113">
            <v>8.3000000000000007</v>
          </cell>
          <cell r="M113">
            <v>83</v>
          </cell>
          <cell r="N113">
            <v>250</v>
          </cell>
          <cell r="O113">
            <v>14</v>
          </cell>
          <cell r="P113">
            <v>93</v>
          </cell>
          <cell r="Q113">
            <v>105</v>
          </cell>
          <cell r="R113">
            <v>5.6999999999999993</v>
          </cell>
          <cell r="S113">
            <v>93.3</v>
          </cell>
          <cell r="T113">
            <v>38582</v>
          </cell>
          <cell r="U113" t="str">
            <v>опт</v>
          </cell>
          <cell r="W113" t="str">
            <v>См.Э-125/Э-250</v>
          </cell>
          <cell r="AE113">
            <v>38538</v>
          </cell>
          <cell r="AF113">
            <v>45</v>
          </cell>
        </row>
        <row r="114">
          <cell r="B114">
            <v>3328</v>
          </cell>
          <cell r="C114">
            <v>64</v>
          </cell>
          <cell r="F114" t="str">
            <v>УПНПиКРС</v>
          </cell>
          <cell r="G114">
            <v>250</v>
          </cell>
          <cell r="H114" t="str">
            <v>ФОН</v>
          </cell>
          <cell r="I114" t="str">
            <v>конс.</v>
          </cell>
          <cell r="J114">
            <v>34883</v>
          </cell>
          <cell r="K114">
            <v>0</v>
          </cell>
          <cell r="L114">
            <v>0</v>
          </cell>
          <cell r="M114">
            <v>0</v>
          </cell>
          <cell r="N114">
            <v>50</v>
          </cell>
          <cell r="O114">
            <v>6</v>
          </cell>
          <cell r="P114">
            <v>85.2</v>
          </cell>
          <cell r="Q114">
            <v>50</v>
          </cell>
          <cell r="R114">
            <v>6</v>
          </cell>
          <cell r="S114">
            <v>85.2</v>
          </cell>
          <cell r="T114">
            <v>38537</v>
          </cell>
          <cell r="U114" t="str">
            <v>бдк</v>
          </cell>
          <cell r="W114" t="str">
            <v>ВЦ.Изв.НКТ.ПП.ДП.Инт.притока.Сп.Э-50.</v>
          </cell>
          <cell r="AE114">
            <v>38544</v>
          </cell>
        </row>
        <row r="115">
          <cell r="B115">
            <v>3327</v>
          </cell>
          <cell r="C115">
            <v>64</v>
          </cell>
          <cell r="F115" t="str">
            <v>УПНПиКРС</v>
          </cell>
          <cell r="G115">
            <v>250</v>
          </cell>
          <cell r="H115" t="str">
            <v>Ф/Э</v>
          </cell>
          <cell r="I115" t="str">
            <v>конс.</v>
          </cell>
          <cell r="J115">
            <v>34883</v>
          </cell>
          <cell r="K115">
            <v>0</v>
          </cell>
          <cell r="L115">
            <v>0</v>
          </cell>
          <cell r="M115">
            <v>0</v>
          </cell>
          <cell r="N115">
            <v>50</v>
          </cell>
          <cell r="O115">
            <v>6.1</v>
          </cell>
          <cell r="P115">
            <v>85</v>
          </cell>
          <cell r="Q115">
            <v>50</v>
          </cell>
          <cell r="R115">
            <v>6.1</v>
          </cell>
          <cell r="S115">
            <v>84.9</v>
          </cell>
          <cell r="T115">
            <v>38569</v>
          </cell>
          <cell r="U115" t="str">
            <v>бдк</v>
          </cell>
          <cell r="W115" t="str">
            <v>ВЦ.ПП ЮК-10.Инт.притока.Сп.Э-50.</v>
          </cell>
          <cell r="AE115">
            <v>38563</v>
          </cell>
        </row>
        <row r="116">
          <cell r="B116">
            <v>3128</v>
          </cell>
          <cell r="C116">
            <v>56</v>
          </cell>
          <cell r="F116" t="str">
            <v>УПНПиКРС</v>
          </cell>
          <cell r="G116">
            <v>260</v>
          </cell>
          <cell r="H116" t="str">
            <v>ФОН</v>
          </cell>
          <cell r="I116" t="str">
            <v>конс.</v>
          </cell>
          <cell r="J116">
            <v>35065</v>
          </cell>
          <cell r="K116">
            <v>0</v>
          </cell>
          <cell r="L116">
            <v>0</v>
          </cell>
          <cell r="M116">
            <v>0</v>
          </cell>
          <cell r="N116">
            <v>50</v>
          </cell>
          <cell r="O116">
            <v>6</v>
          </cell>
          <cell r="P116">
            <v>85.2</v>
          </cell>
          <cell r="Q116">
            <v>50</v>
          </cell>
          <cell r="R116">
            <v>6</v>
          </cell>
          <cell r="S116">
            <v>85.2</v>
          </cell>
          <cell r="T116">
            <v>38548</v>
          </cell>
          <cell r="U116" t="str">
            <v>бдк</v>
          </cell>
          <cell r="W116" t="str">
            <v>ВЦ.ВЗ.ОТСК.ПП ЮК-11.Сп.Э-50.</v>
          </cell>
          <cell r="AE116">
            <v>38544</v>
          </cell>
        </row>
        <row r="117">
          <cell r="B117">
            <v>3291</v>
          </cell>
          <cell r="C117">
            <v>66</v>
          </cell>
          <cell r="F117" t="str">
            <v>УПНПиКРС</v>
          </cell>
          <cell r="G117">
            <v>260</v>
          </cell>
          <cell r="H117" t="str">
            <v>Ф/Ш</v>
          </cell>
          <cell r="I117" t="str">
            <v>конс.</v>
          </cell>
          <cell r="J117">
            <v>33664</v>
          </cell>
          <cell r="K117">
            <v>0</v>
          </cell>
          <cell r="L117">
            <v>0</v>
          </cell>
          <cell r="M117">
            <v>0</v>
          </cell>
          <cell r="N117">
            <v>30</v>
          </cell>
          <cell r="O117">
            <v>3.7</v>
          </cell>
          <cell r="P117">
            <v>85</v>
          </cell>
          <cell r="Q117">
            <v>30</v>
          </cell>
          <cell r="R117">
            <v>3.7</v>
          </cell>
          <cell r="S117">
            <v>84.8</v>
          </cell>
          <cell r="T117">
            <v>38536</v>
          </cell>
          <cell r="U117" t="str">
            <v>бдп</v>
          </cell>
          <cell r="W117" t="str">
            <v>ВЦ,спуск ЭЦН-30</v>
          </cell>
        </row>
        <row r="118">
          <cell r="B118">
            <v>3125</v>
          </cell>
          <cell r="C118">
            <v>55</v>
          </cell>
          <cell r="F118" t="str">
            <v>УПНПиКРС</v>
          </cell>
          <cell r="G118">
            <v>260</v>
          </cell>
          <cell r="H118" t="str">
            <v>ЭЦН</v>
          </cell>
          <cell r="I118" t="str">
            <v>конс.</v>
          </cell>
          <cell r="J118">
            <v>35096</v>
          </cell>
          <cell r="K118">
            <v>0</v>
          </cell>
          <cell r="L118">
            <v>0</v>
          </cell>
          <cell r="M118">
            <v>0</v>
          </cell>
          <cell r="N118">
            <v>50</v>
          </cell>
          <cell r="O118">
            <v>4.9000000000000004</v>
          </cell>
          <cell r="P118">
            <v>88</v>
          </cell>
          <cell r="Q118">
            <v>50</v>
          </cell>
          <cell r="R118">
            <v>4.9000000000000004</v>
          </cell>
          <cell r="S118">
            <v>87.9</v>
          </cell>
          <cell r="T118">
            <v>38544</v>
          </cell>
          <cell r="U118" t="str">
            <v>бдп</v>
          </cell>
          <cell r="W118" t="str">
            <v>ВЦ,спуск ЭЦН-50</v>
          </cell>
          <cell r="AE118">
            <v>38539</v>
          </cell>
        </row>
        <row r="119">
          <cell r="B119">
            <v>3636</v>
          </cell>
          <cell r="C119">
            <v>303</v>
          </cell>
          <cell r="F119" t="str">
            <v>УПНПиКРС</v>
          </cell>
          <cell r="G119">
            <v>240</v>
          </cell>
          <cell r="H119" t="str">
            <v>ЭЦН</v>
          </cell>
          <cell r="I119" t="str">
            <v>конс.</v>
          </cell>
          <cell r="J119">
            <v>34315</v>
          </cell>
          <cell r="K119">
            <v>0</v>
          </cell>
          <cell r="L119">
            <v>0</v>
          </cell>
          <cell r="M119">
            <v>0</v>
          </cell>
          <cell r="N119">
            <v>50</v>
          </cell>
          <cell r="O119">
            <v>4</v>
          </cell>
          <cell r="P119">
            <v>90</v>
          </cell>
          <cell r="Q119">
            <v>50</v>
          </cell>
          <cell r="R119">
            <v>4</v>
          </cell>
          <cell r="S119">
            <v>90.1</v>
          </cell>
          <cell r="T119">
            <v>38551</v>
          </cell>
          <cell r="U119" t="str">
            <v>бдп</v>
          </cell>
          <cell r="W119" t="str">
            <v>ВЦ,спуск ЭЦН-50</v>
          </cell>
        </row>
        <row r="120">
          <cell r="B120">
            <v>4058</v>
          </cell>
          <cell r="C120">
            <v>308</v>
          </cell>
          <cell r="F120" t="str">
            <v>УПНПиКРС</v>
          </cell>
          <cell r="G120">
            <v>240</v>
          </cell>
          <cell r="H120" t="str">
            <v>ЭЦН</v>
          </cell>
          <cell r="I120" t="str">
            <v>конс.</v>
          </cell>
          <cell r="J120">
            <v>34252</v>
          </cell>
          <cell r="K120">
            <v>0</v>
          </cell>
          <cell r="L120">
            <v>0</v>
          </cell>
          <cell r="M120">
            <v>0</v>
          </cell>
          <cell r="N120">
            <v>50</v>
          </cell>
          <cell r="O120">
            <v>4</v>
          </cell>
          <cell r="P120">
            <v>90</v>
          </cell>
          <cell r="Q120">
            <v>50</v>
          </cell>
          <cell r="R120">
            <v>4</v>
          </cell>
          <cell r="S120">
            <v>90.1</v>
          </cell>
          <cell r="T120">
            <v>38558</v>
          </cell>
          <cell r="U120" t="str">
            <v>бдп</v>
          </cell>
          <cell r="W120" t="str">
            <v>ВЦ,спуск ЭЦН-50</v>
          </cell>
        </row>
        <row r="121">
          <cell r="B121">
            <v>5576</v>
          </cell>
          <cell r="C121">
            <v>114</v>
          </cell>
          <cell r="G121">
            <v>250</v>
          </cell>
          <cell r="H121" t="str">
            <v>ШГН</v>
          </cell>
          <cell r="I121" t="str">
            <v>бд</v>
          </cell>
          <cell r="K121">
            <v>0</v>
          </cell>
          <cell r="L121">
            <v>0</v>
          </cell>
          <cell r="M121">
            <v>0</v>
          </cell>
          <cell r="N121">
            <v>50</v>
          </cell>
          <cell r="O121">
            <v>21.2</v>
          </cell>
          <cell r="P121">
            <v>48</v>
          </cell>
          <cell r="Q121">
            <v>50</v>
          </cell>
          <cell r="R121">
            <v>21.2</v>
          </cell>
          <cell r="S121">
            <v>47.7</v>
          </cell>
          <cell r="T121">
            <v>38595</v>
          </cell>
          <cell r="U121" t="str">
            <v>ГРП</v>
          </cell>
          <cell r="W121" t="str">
            <v>ВЗ, ГРП ЮК-10,сп.Э-50</v>
          </cell>
        </row>
        <row r="122">
          <cell r="B122">
            <v>3075</v>
          </cell>
          <cell r="C122">
            <v>52</v>
          </cell>
          <cell r="H122" t="str">
            <v>ФОН</v>
          </cell>
          <cell r="I122" t="str">
            <v>конс.</v>
          </cell>
          <cell r="K122">
            <v>0</v>
          </cell>
          <cell r="L122">
            <v>0</v>
          </cell>
          <cell r="M122">
            <v>0</v>
          </cell>
          <cell r="N122">
            <v>50</v>
          </cell>
          <cell r="O122">
            <v>3.6</v>
          </cell>
          <cell r="P122">
            <v>91.1</v>
          </cell>
          <cell r="Q122">
            <v>50</v>
          </cell>
          <cell r="R122">
            <v>3.6</v>
          </cell>
          <cell r="S122">
            <v>91.1</v>
          </cell>
          <cell r="T122">
            <v>38593</v>
          </cell>
          <cell r="U122" t="str">
            <v>бдп</v>
          </cell>
          <cell r="W122" t="str">
            <v>ВЦ,спуск ЭЦН-50</v>
          </cell>
        </row>
        <row r="123">
          <cell r="B123">
            <v>5535</v>
          </cell>
          <cell r="C123">
            <v>110</v>
          </cell>
          <cell r="H123" t="str">
            <v>Ф/Э</v>
          </cell>
          <cell r="I123" t="str">
            <v>конс.</v>
          </cell>
          <cell r="K123">
            <v>0</v>
          </cell>
          <cell r="L123">
            <v>0</v>
          </cell>
          <cell r="M123">
            <v>0</v>
          </cell>
          <cell r="N123">
            <v>50</v>
          </cell>
          <cell r="O123">
            <v>4</v>
          </cell>
          <cell r="P123">
            <v>90.1</v>
          </cell>
          <cell r="Q123">
            <v>50</v>
          </cell>
          <cell r="R123">
            <v>4</v>
          </cell>
          <cell r="S123">
            <v>90.1</v>
          </cell>
          <cell r="T123">
            <v>38698</v>
          </cell>
          <cell r="U123" t="str">
            <v>бдп</v>
          </cell>
          <cell r="W123" t="str">
            <v>ВЦ(КОПС),спуск ЭЦН-50</v>
          </cell>
        </row>
        <row r="124">
          <cell r="B124">
            <v>4050</v>
          </cell>
          <cell r="C124" t="str">
            <v>100б</v>
          </cell>
          <cell r="H124" t="str">
            <v>ЭЦН</v>
          </cell>
          <cell r="I124" t="str">
            <v>конс.</v>
          </cell>
          <cell r="K124">
            <v>0</v>
          </cell>
          <cell r="L124">
            <v>0</v>
          </cell>
          <cell r="M124">
            <v>0</v>
          </cell>
          <cell r="N124">
            <v>50</v>
          </cell>
          <cell r="O124">
            <v>3.6</v>
          </cell>
          <cell r="P124">
            <v>91.1</v>
          </cell>
          <cell r="Q124">
            <v>50</v>
          </cell>
          <cell r="R124">
            <v>3.6</v>
          </cell>
          <cell r="S124">
            <v>91.1</v>
          </cell>
          <cell r="T124">
            <v>38579</v>
          </cell>
          <cell r="U124" t="str">
            <v>бдп</v>
          </cell>
          <cell r="W124" t="str">
            <v>ВЦ,ПП,спуск ЭЦН-50</v>
          </cell>
        </row>
        <row r="125">
          <cell r="B125">
            <v>2980</v>
          </cell>
          <cell r="C125">
            <v>50</v>
          </cell>
          <cell r="F125" t="str">
            <v>УПНПиКРС</v>
          </cell>
          <cell r="G125">
            <v>250</v>
          </cell>
          <cell r="H125" t="str">
            <v>ШГН</v>
          </cell>
          <cell r="I125" t="str">
            <v>бдп</v>
          </cell>
          <cell r="K125">
            <v>0</v>
          </cell>
          <cell r="L125">
            <v>0</v>
          </cell>
          <cell r="M125">
            <v>0</v>
          </cell>
          <cell r="N125">
            <v>50</v>
          </cell>
          <cell r="O125">
            <v>18</v>
          </cell>
          <cell r="P125">
            <v>55.6</v>
          </cell>
          <cell r="Q125">
            <v>50</v>
          </cell>
          <cell r="R125">
            <v>18</v>
          </cell>
          <cell r="S125">
            <v>55.6</v>
          </cell>
          <cell r="T125">
            <v>38686</v>
          </cell>
          <cell r="U125" t="str">
            <v>ГРП</v>
          </cell>
          <cell r="W125" t="str">
            <v>ВЦ, ГРП ЮК-10</v>
          </cell>
        </row>
        <row r="126">
          <cell r="B126">
            <v>3217</v>
          </cell>
          <cell r="C126">
            <v>58</v>
          </cell>
          <cell r="F126" t="str">
            <v>УПНПиКРС</v>
          </cell>
          <cell r="G126">
            <v>250</v>
          </cell>
          <cell r="H126" t="str">
            <v>ЭЦН</v>
          </cell>
          <cell r="I126" t="str">
            <v>действ.</v>
          </cell>
          <cell r="K126">
            <v>12</v>
          </cell>
          <cell r="L126">
            <v>4.4000000000000004</v>
          </cell>
          <cell r="M126">
            <v>55</v>
          </cell>
          <cell r="N126">
            <v>80</v>
          </cell>
          <cell r="O126">
            <v>22.4</v>
          </cell>
          <cell r="P126">
            <v>65.400000000000006</v>
          </cell>
          <cell r="Q126">
            <v>68</v>
          </cell>
          <cell r="R126">
            <v>18</v>
          </cell>
          <cell r="S126">
            <v>67.3</v>
          </cell>
          <cell r="T126">
            <v>38675</v>
          </cell>
          <cell r="U126" t="str">
            <v>ГРП</v>
          </cell>
          <cell r="W126" t="str">
            <v>ГРП ЮК10-11</v>
          </cell>
        </row>
        <row r="127">
          <cell r="B127">
            <v>2709</v>
          </cell>
          <cell r="C127">
            <v>161</v>
          </cell>
          <cell r="F127" t="str">
            <v>УПНПиКРС</v>
          </cell>
          <cell r="G127">
            <v>250</v>
          </cell>
          <cell r="H127" t="str">
            <v>ШГН</v>
          </cell>
          <cell r="I127" t="str">
            <v>конс.</v>
          </cell>
          <cell r="K127">
            <v>0</v>
          </cell>
          <cell r="L127">
            <v>0</v>
          </cell>
          <cell r="M127">
            <v>0</v>
          </cell>
          <cell r="N127">
            <v>80</v>
          </cell>
          <cell r="O127">
            <v>20</v>
          </cell>
          <cell r="P127">
            <v>69.099999999999994</v>
          </cell>
          <cell r="Q127">
            <v>80</v>
          </cell>
          <cell r="R127">
            <v>20</v>
          </cell>
          <cell r="S127">
            <v>69.099999999999994</v>
          </cell>
          <cell r="T127">
            <v>38667</v>
          </cell>
          <cell r="U127" t="str">
            <v>ГРП</v>
          </cell>
          <cell r="W127" t="str">
            <v>ВЦ,ВЗ, ГРП ЮК-10</v>
          </cell>
        </row>
        <row r="128">
          <cell r="B128" t="str">
            <v>5307б</v>
          </cell>
          <cell r="C128">
            <v>139</v>
          </cell>
          <cell r="F128" t="str">
            <v>УПНПиКРС</v>
          </cell>
          <cell r="G128">
            <v>250</v>
          </cell>
          <cell r="H128" t="str">
            <v>ШГН</v>
          </cell>
          <cell r="I128" t="str">
            <v>действ.</v>
          </cell>
          <cell r="K128">
            <v>70</v>
          </cell>
          <cell r="L128">
            <v>4.5999999999999996</v>
          </cell>
          <cell r="M128">
            <v>91.9</v>
          </cell>
          <cell r="N128">
            <v>125</v>
          </cell>
          <cell r="O128">
            <v>8.1999999999999993</v>
          </cell>
          <cell r="P128">
            <v>91.9</v>
          </cell>
          <cell r="Q128">
            <v>55</v>
          </cell>
          <cell r="R128">
            <v>3.5999999999999996</v>
          </cell>
          <cell r="S128">
            <v>91.9</v>
          </cell>
          <cell r="T128">
            <v>38826</v>
          </cell>
          <cell r="U128" t="str">
            <v>опт</v>
          </cell>
          <cell r="W128" t="str">
            <v>см.Э-50/Э-125</v>
          </cell>
        </row>
        <row r="129">
          <cell r="B129" t="str">
            <v>5426б</v>
          </cell>
          <cell r="C129">
            <v>101</v>
          </cell>
          <cell r="F129" t="str">
            <v>УПНПиКРС</v>
          </cell>
          <cell r="G129">
            <v>220</v>
          </cell>
          <cell r="H129" t="str">
            <v>ЭЦН</v>
          </cell>
          <cell r="I129" t="str">
            <v>конс.</v>
          </cell>
          <cell r="K129">
            <v>0</v>
          </cell>
          <cell r="L129">
            <v>0</v>
          </cell>
          <cell r="M129">
            <v>0</v>
          </cell>
          <cell r="N129">
            <v>40</v>
          </cell>
          <cell r="O129">
            <v>22</v>
          </cell>
          <cell r="P129">
            <v>32.1</v>
          </cell>
          <cell r="Q129">
            <v>40</v>
          </cell>
          <cell r="R129">
            <v>22</v>
          </cell>
          <cell r="S129">
            <v>32.1</v>
          </cell>
          <cell r="T129">
            <v>38826</v>
          </cell>
          <cell r="U129" t="str">
            <v>ГРП</v>
          </cell>
          <cell r="W129" t="str">
            <v>ГРП ЮК2-3</v>
          </cell>
        </row>
        <row r="130">
          <cell r="B130" t="str">
            <v>5527б</v>
          </cell>
          <cell r="C130">
            <v>118</v>
          </cell>
          <cell r="F130" t="str">
            <v>УПНПиКРС</v>
          </cell>
          <cell r="G130">
            <v>250</v>
          </cell>
          <cell r="H130" t="str">
            <v>ЭЦН</v>
          </cell>
          <cell r="I130" t="str">
            <v>бдт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3505</v>
          </cell>
          <cell r="C131" t="str">
            <v>98б</v>
          </cell>
          <cell r="F131" t="str">
            <v>УПНПиКРС</v>
          </cell>
          <cell r="H131" t="str">
            <v>фон.</v>
          </cell>
          <cell r="I131" t="str">
            <v>бд</v>
          </cell>
          <cell r="J131">
            <v>35752</v>
          </cell>
          <cell r="K131">
            <v>0</v>
          </cell>
          <cell r="L131">
            <v>0</v>
          </cell>
          <cell r="M131">
            <v>0</v>
          </cell>
          <cell r="N131">
            <v>30</v>
          </cell>
          <cell r="O131">
            <v>4.2</v>
          </cell>
          <cell r="P131">
            <v>83</v>
          </cell>
          <cell r="Q131">
            <v>30</v>
          </cell>
          <cell r="R131">
            <v>4.2</v>
          </cell>
          <cell r="S131">
            <v>82.7</v>
          </cell>
          <cell r="T131">
            <v>38494</v>
          </cell>
          <cell r="U131" t="str">
            <v>бдп</v>
          </cell>
          <cell r="W131" t="str">
            <v>ВЦ,спуск Э-30</v>
          </cell>
          <cell r="AE131">
            <v>38487</v>
          </cell>
        </row>
        <row r="132">
          <cell r="B132">
            <v>2977</v>
          </cell>
          <cell r="C132" t="str">
            <v>50б</v>
          </cell>
          <cell r="F132" t="str">
            <v>УПНПиКРС</v>
          </cell>
          <cell r="H132" t="str">
            <v>ШГН</v>
          </cell>
          <cell r="I132" t="str">
            <v>конс.</v>
          </cell>
          <cell r="K132">
            <v>0</v>
          </cell>
          <cell r="L132">
            <v>0</v>
          </cell>
          <cell r="M132">
            <v>0</v>
          </cell>
          <cell r="N132">
            <v>50</v>
          </cell>
          <cell r="O132">
            <v>16</v>
          </cell>
          <cell r="P132">
            <v>60.5</v>
          </cell>
          <cell r="Q132">
            <v>50</v>
          </cell>
          <cell r="R132">
            <v>16</v>
          </cell>
          <cell r="S132">
            <v>60.5</v>
          </cell>
          <cell r="T132">
            <v>38515</v>
          </cell>
          <cell r="U132" t="str">
            <v>ГРП</v>
          </cell>
          <cell r="W132" t="str">
            <v>ВЦ, ГРП ЮК10</v>
          </cell>
        </row>
        <row r="133">
          <cell r="B133">
            <v>5281</v>
          </cell>
          <cell r="C133">
            <v>139</v>
          </cell>
          <cell r="F133" t="str">
            <v>УПНПиКРС</v>
          </cell>
          <cell r="H133" t="str">
            <v>ШГН</v>
          </cell>
          <cell r="I133" t="str">
            <v>бд</v>
          </cell>
          <cell r="K133">
            <v>0</v>
          </cell>
          <cell r="L133">
            <v>0</v>
          </cell>
          <cell r="M133">
            <v>0</v>
          </cell>
          <cell r="N133">
            <v>80</v>
          </cell>
          <cell r="O133">
            <v>16</v>
          </cell>
          <cell r="P133">
            <v>75.3</v>
          </cell>
          <cell r="Q133">
            <v>80</v>
          </cell>
          <cell r="R133">
            <v>16</v>
          </cell>
          <cell r="S133">
            <v>75.3</v>
          </cell>
          <cell r="T133">
            <v>38522</v>
          </cell>
          <cell r="U133" t="str">
            <v>ГРП</v>
          </cell>
          <cell r="W133" t="str">
            <v>ВЗ, ОТСК, ГРП ЮК10</v>
          </cell>
        </row>
        <row r="134">
          <cell r="B134">
            <v>3273</v>
          </cell>
          <cell r="C134">
            <v>66</v>
          </cell>
          <cell r="F134" t="str">
            <v>УПНПиКРС</v>
          </cell>
          <cell r="H134" t="str">
            <v>ЭЦН</v>
          </cell>
          <cell r="I134" t="str">
            <v>конс.</v>
          </cell>
          <cell r="K134">
            <v>0</v>
          </cell>
          <cell r="L134">
            <v>0</v>
          </cell>
          <cell r="M134">
            <v>0</v>
          </cell>
          <cell r="N134">
            <v>50</v>
          </cell>
          <cell r="O134">
            <v>6</v>
          </cell>
          <cell r="P134">
            <v>85.2</v>
          </cell>
          <cell r="Q134">
            <v>50</v>
          </cell>
          <cell r="R134">
            <v>6</v>
          </cell>
          <cell r="S134">
            <v>85.2</v>
          </cell>
          <cell r="T134">
            <v>38508</v>
          </cell>
          <cell r="U134" t="str">
            <v>бдк</v>
          </cell>
          <cell r="W134" t="str">
            <v xml:space="preserve">ВЦ, ПП, </v>
          </cell>
        </row>
        <row r="135">
          <cell r="B135">
            <v>3289</v>
          </cell>
          <cell r="C135">
            <v>64</v>
          </cell>
          <cell r="F135" t="str">
            <v>УПНПиКРС</v>
          </cell>
          <cell r="H135" t="str">
            <v>фон.</v>
          </cell>
          <cell r="I135" t="str">
            <v>конс.</v>
          </cell>
          <cell r="K135">
            <v>0</v>
          </cell>
          <cell r="L135">
            <v>0</v>
          </cell>
          <cell r="M135">
            <v>0</v>
          </cell>
          <cell r="N135">
            <v>125</v>
          </cell>
          <cell r="O135">
            <v>6</v>
          </cell>
          <cell r="P135">
            <v>94.1</v>
          </cell>
          <cell r="Q135">
            <v>125</v>
          </cell>
          <cell r="R135">
            <v>6</v>
          </cell>
          <cell r="S135">
            <v>94.1</v>
          </cell>
          <cell r="T135">
            <v>38517</v>
          </cell>
          <cell r="U135" t="str">
            <v>бдк</v>
          </cell>
          <cell r="W135" t="str">
            <v>ВЦ, ЛА, ДП КВ</v>
          </cell>
        </row>
        <row r="136">
          <cell r="B136">
            <v>3086</v>
          </cell>
          <cell r="C136">
            <v>67</v>
          </cell>
          <cell r="F136" t="str">
            <v>УПНПиКРС</v>
          </cell>
          <cell r="H136" t="str">
            <v>ШГН</v>
          </cell>
          <cell r="I136" t="str">
            <v>действ.</v>
          </cell>
          <cell r="K136">
            <v>9</v>
          </cell>
          <cell r="L136">
            <v>7</v>
          </cell>
          <cell r="M136">
            <v>5</v>
          </cell>
          <cell r="N136">
            <v>50</v>
          </cell>
          <cell r="O136">
            <v>23</v>
          </cell>
          <cell r="P136">
            <v>43.2</v>
          </cell>
          <cell r="Q136">
            <v>41</v>
          </cell>
          <cell r="R136">
            <v>16</v>
          </cell>
          <cell r="S136">
            <v>51.8</v>
          </cell>
        </row>
        <row r="137">
          <cell r="B137">
            <v>5338</v>
          </cell>
          <cell r="C137">
            <v>141</v>
          </cell>
          <cell r="F137" t="str">
            <v>УПНПиКРС</v>
          </cell>
          <cell r="G137" t="str">
            <v>288</v>
          </cell>
          <cell r="H137" t="str">
            <v>нагнет.</v>
          </cell>
          <cell r="I137" t="str">
            <v>бд</v>
          </cell>
          <cell r="J137">
            <v>37895</v>
          </cell>
          <cell r="K137">
            <v>0</v>
          </cell>
          <cell r="L137">
            <v>0</v>
          </cell>
          <cell r="M137">
            <v>0</v>
          </cell>
          <cell r="N137">
            <v>150</v>
          </cell>
          <cell r="Q137">
            <v>150</v>
          </cell>
          <cell r="T137">
            <v>38474</v>
          </cell>
          <cell r="U137" t="str">
            <v>НГ</v>
          </cell>
          <cell r="W137" t="str">
            <v>ПП.ОПЗ.ГИС-3.Сп.пак.ППД.</v>
          </cell>
          <cell r="AD137">
            <v>38285</v>
          </cell>
          <cell r="AE137">
            <v>38340</v>
          </cell>
        </row>
        <row r="138">
          <cell r="B138">
            <v>5282</v>
          </cell>
          <cell r="C138">
            <v>139</v>
          </cell>
          <cell r="F138" t="str">
            <v>УПНПиКРС</v>
          </cell>
          <cell r="G138" t="str">
            <v>265</v>
          </cell>
          <cell r="H138" t="str">
            <v>нагнет.</v>
          </cell>
          <cell r="I138" t="str">
            <v>бд</v>
          </cell>
          <cell r="J138">
            <v>36478</v>
          </cell>
          <cell r="N138">
            <v>150</v>
          </cell>
          <cell r="Q138">
            <v>150</v>
          </cell>
          <cell r="T138">
            <v>38486</v>
          </cell>
          <cell r="U138" t="str">
            <v>НГ</v>
          </cell>
          <cell r="W138" t="str">
            <v>ПП.ОПЗ.ГИС-3.Сп.пак.ППД.</v>
          </cell>
        </row>
        <row r="139">
          <cell r="B139" t="str">
            <v>2846б</v>
          </cell>
          <cell r="C139">
            <v>128</v>
          </cell>
          <cell r="F139" t="str">
            <v>УПНПиКРС</v>
          </cell>
          <cell r="H139" t="str">
            <v>Ф/Э</v>
          </cell>
          <cell r="I139" t="str">
            <v>конс.</v>
          </cell>
          <cell r="K139">
            <v>0</v>
          </cell>
          <cell r="L139">
            <v>0</v>
          </cell>
          <cell r="M139">
            <v>0</v>
          </cell>
          <cell r="N139">
            <v>50</v>
          </cell>
          <cell r="O139">
            <v>18.3</v>
          </cell>
          <cell r="P139">
            <v>55</v>
          </cell>
          <cell r="Q139">
            <v>50</v>
          </cell>
          <cell r="R139">
            <v>18.3</v>
          </cell>
          <cell r="S139">
            <v>54.8</v>
          </cell>
          <cell r="T139">
            <v>38704</v>
          </cell>
          <cell r="U139" t="str">
            <v>ГРП</v>
          </cell>
          <cell r="W139" t="str">
            <v>ВЦ.ИР ЮК-11.ГРП ЮК-10.Сп.Э-50.</v>
          </cell>
          <cell r="AD139">
            <v>38285</v>
          </cell>
          <cell r="AE139">
            <v>38694</v>
          </cell>
        </row>
        <row r="140">
          <cell r="B140">
            <v>5714</v>
          </cell>
          <cell r="C140">
            <v>128</v>
          </cell>
          <cell r="F140" t="str">
            <v>УПНПиКРС</v>
          </cell>
          <cell r="H140" t="str">
            <v>ЭЦН</v>
          </cell>
          <cell r="I140" t="str">
            <v>действ.</v>
          </cell>
          <cell r="K140">
            <v>113</v>
          </cell>
          <cell r="L140">
            <v>5.5</v>
          </cell>
          <cell r="M140">
            <v>94</v>
          </cell>
          <cell r="N140">
            <v>218</v>
          </cell>
          <cell r="O140">
            <v>10.7</v>
          </cell>
          <cell r="P140">
            <v>93.9</v>
          </cell>
          <cell r="Q140">
            <v>105</v>
          </cell>
          <cell r="R140">
            <v>5.0999999999999996</v>
          </cell>
          <cell r="S140">
            <v>94</v>
          </cell>
          <cell r="T140">
            <v>38817</v>
          </cell>
          <cell r="U140" t="str">
            <v>опт</v>
          </cell>
          <cell r="W140" t="str">
            <v>см.Э-80/Э-250</v>
          </cell>
          <cell r="AD140">
            <v>37860</v>
          </cell>
          <cell r="AE140">
            <v>38700</v>
          </cell>
        </row>
        <row r="141">
          <cell r="B141">
            <v>2885</v>
          </cell>
          <cell r="C141">
            <v>131</v>
          </cell>
          <cell r="F141" t="str">
            <v>УПНПиКРС</v>
          </cell>
          <cell r="H141" t="str">
            <v>Ф/Э</v>
          </cell>
          <cell r="I141" t="str">
            <v>конс.</v>
          </cell>
          <cell r="K141">
            <v>0</v>
          </cell>
          <cell r="L141">
            <v>0</v>
          </cell>
          <cell r="M141">
            <v>0</v>
          </cell>
          <cell r="N141">
            <v>50</v>
          </cell>
          <cell r="O141">
            <v>18.3</v>
          </cell>
          <cell r="P141">
            <v>55</v>
          </cell>
          <cell r="Q141">
            <v>50</v>
          </cell>
          <cell r="R141">
            <v>18.3</v>
          </cell>
          <cell r="S141">
            <v>54.8</v>
          </cell>
          <cell r="T141">
            <v>38718</v>
          </cell>
          <cell r="U141" t="str">
            <v>ГРП</v>
          </cell>
          <cell r="W141" t="str">
            <v>ВЦ.ИР ЮК-11.ГИС-2.ГРП ЮК-10.Сп.Э-50</v>
          </cell>
          <cell r="AE141">
            <v>38712</v>
          </cell>
        </row>
        <row r="142">
          <cell r="B142">
            <v>5841</v>
          </cell>
          <cell r="C142">
            <v>168</v>
          </cell>
          <cell r="F142" t="str">
            <v>УПНПиКРС</v>
          </cell>
          <cell r="H142" t="str">
            <v>ШГН</v>
          </cell>
          <cell r="I142" t="str">
            <v>бд</v>
          </cell>
          <cell r="K142">
            <v>0</v>
          </cell>
          <cell r="L142">
            <v>0</v>
          </cell>
          <cell r="M142">
            <v>0</v>
          </cell>
          <cell r="N142">
            <v>50</v>
          </cell>
          <cell r="O142">
            <v>18</v>
          </cell>
          <cell r="P142">
            <v>55.8</v>
          </cell>
          <cell r="Q142">
            <v>50</v>
          </cell>
          <cell r="R142">
            <v>18</v>
          </cell>
          <cell r="S142">
            <v>55.6</v>
          </cell>
          <cell r="T142">
            <v>38718</v>
          </cell>
          <cell r="U142" t="str">
            <v>ГРП</v>
          </cell>
          <cell r="W142" t="str">
            <v>ИР ЮК-11.ГРП ЮК-10.Сп.Э-50.</v>
          </cell>
          <cell r="AE142">
            <v>38712</v>
          </cell>
        </row>
        <row r="143">
          <cell r="B143">
            <v>5259</v>
          </cell>
          <cell r="C143">
            <v>140</v>
          </cell>
          <cell r="F143" t="str">
            <v>УПНПиКРС</v>
          </cell>
          <cell r="H143" t="str">
            <v>ШГН</v>
          </cell>
          <cell r="I143" t="str">
            <v>бд</v>
          </cell>
          <cell r="K143">
            <v>0</v>
          </cell>
          <cell r="L143">
            <v>0</v>
          </cell>
          <cell r="M143">
            <v>0</v>
          </cell>
          <cell r="N143">
            <v>50</v>
          </cell>
          <cell r="O143">
            <v>18.3</v>
          </cell>
          <cell r="P143">
            <v>55</v>
          </cell>
          <cell r="Q143">
            <v>50</v>
          </cell>
          <cell r="R143">
            <v>18.3</v>
          </cell>
          <cell r="S143">
            <v>54.8</v>
          </cell>
          <cell r="T143">
            <v>38690</v>
          </cell>
          <cell r="U143" t="str">
            <v>ГРП</v>
          </cell>
          <cell r="W143" t="str">
            <v>РИР ЭК.ГРП ЮК-10.Сп.Э-50.</v>
          </cell>
          <cell r="AE143">
            <v>38684</v>
          </cell>
        </row>
        <row r="144">
          <cell r="B144">
            <v>5360</v>
          </cell>
          <cell r="C144">
            <v>107</v>
          </cell>
          <cell r="F144" t="str">
            <v>УПНПиКРС</v>
          </cell>
          <cell r="H144" t="str">
            <v>ШГН</v>
          </cell>
          <cell r="I144" t="str">
            <v>бд</v>
          </cell>
          <cell r="K144">
            <v>0</v>
          </cell>
          <cell r="L144">
            <v>0</v>
          </cell>
          <cell r="M144">
            <v>0</v>
          </cell>
          <cell r="N144">
            <v>50</v>
          </cell>
          <cell r="O144">
            <v>18.3</v>
          </cell>
          <cell r="P144">
            <v>55</v>
          </cell>
          <cell r="Q144">
            <v>50</v>
          </cell>
          <cell r="R144">
            <v>18.3</v>
          </cell>
          <cell r="S144">
            <v>54.8</v>
          </cell>
          <cell r="T144">
            <v>38720</v>
          </cell>
          <cell r="U144" t="str">
            <v>ГРП</v>
          </cell>
          <cell r="W144" t="str">
            <v>РИР ЭК.ИР ЮК-11.ГРП ЮК-10.Сп.Э-50.</v>
          </cell>
          <cell r="AD144">
            <v>38308</v>
          </cell>
          <cell r="AE144">
            <v>38714</v>
          </cell>
        </row>
        <row r="145">
          <cell r="B145">
            <v>2890</v>
          </cell>
          <cell r="C145">
            <v>132</v>
          </cell>
          <cell r="F145" t="str">
            <v>УПНПиКРС</v>
          </cell>
          <cell r="H145" t="str">
            <v>Ф/Э</v>
          </cell>
          <cell r="I145" t="str">
            <v>конс.</v>
          </cell>
          <cell r="K145">
            <v>0</v>
          </cell>
          <cell r="L145">
            <v>0</v>
          </cell>
          <cell r="M145">
            <v>0</v>
          </cell>
          <cell r="N145">
            <v>50</v>
          </cell>
          <cell r="O145">
            <v>18.3</v>
          </cell>
          <cell r="P145">
            <v>55</v>
          </cell>
          <cell r="Q145">
            <v>50</v>
          </cell>
          <cell r="R145">
            <v>18.3</v>
          </cell>
          <cell r="S145">
            <v>54.8</v>
          </cell>
          <cell r="T145">
            <v>38697</v>
          </cell>
          <cell r="U145" t="str">
            <v>ГРП</v>
          </cell>
          <cell r="W145" t="str">
            <v>ВЦ.ЛА.ГИС-2.ИР ЮК-11.ГРП ЮК-10.Сп.Э-50.</v>
          </cell>
          <cell r="AE145">
            <v>38691</v>
          </cell>
        </row>
        <row r="146">
          <cell r="B146">
            <v>3194</v>
          </cell>
          <cell r="C146" t="str">
            <v>55б</v>
          </cell>
          <cell r="F146" t="str">
            <v>УПНПиКРС</v>
          </cell>
          <cell r="H146" t="str">
            <v>ЭЦН</v>
          </cell>
          <cell r="I146" t="str">
            <v>конс.</v>
          </cell>
          <cell r="K146">
            <v>0</v>
          </cell>
          <cell r="L146">
            <v>0</v>
          </cell>
          <cell r="M146">
            <v>0</v>
          </cell>
          <cell r="N146">
            <v>50</v>
          </cell>
          <cell r="O146">
            <v>18.3</v>
          </cell>
          <cell r="P146">
            <v>55</v>
          </cell>
          <cell r="Q146">
            <v>50</v>
          </cell>
          <cell r="R146">
            <v>18.3</v>
          </cell>
          <cell r="S146">
            <v>54.8</v>
          </cell>
          <cell r="T146">
            <v>38706</v>
          </cell>
          <cell r="U146" t="str">
            <v>ГРП</v>
          </cell>
          <cell r="W146" t="str">
            <v>ВЦ.ПР.ГРП ГРП ЮК-10,11.Сп.Э-50</v>
          </cell>
          <cell r="AE146">
            <v>38700</v>
          </cell>
        </row>
        <row r="147">
          <cell r="B147">
            <v>3010</v>
          </cell>
          <cell r="C147">
            <v>51</v>
          </cell>
          <cell r="F147" t="str">
            <v>УПНПиКРС</v>
          </cell>
          <cell r="H147" t="str">
            <v>ЭЦН</v>
          </cell>
          <cell r="I147" t="str">
            <v>бд</v>
          </cell>
          <cell r="J147">
            <v>38683</v>
          </cell>
          <cell r="K147">
            <v>0</v>
          </cell>
          <cell r="L147">
            <v>0</v>
          </cell>
          <cell r="M147">
            <v>0</v>
          </cell>
          <cell r="N147">
            <v>80</v>
          </cell>
          <cell r="O147">
            <v>18</v>
          </cell>
          <cell r="P147">
            <v>72.400000000000006</v>
          </cell>
          <cell r="Q147">
            <v>80</v>
          </cell>
          <cell r="R147">
            <v>18</v>
          </cell>
          <cell r="S147">
            <v>72.2</v>
          </cell>
          <cell r="T147">
            <v>38728</v>
          </cell>
          <cell r="U147" t="str">
            <v>ГРП</v>
          </cell>
          <cell r="W147" t="str">
            <v>ВЗ.ГИС-2.РИР Э/КИР ЮК-11.ГРП ЮК-10.Сп.Э-80</v>
          </cell>
          <cell r="AE147">
            <v>38722</v>
          </cell>
        </row>
        <row r="148">
          <cell r="B148">
            <v>5342</v>
          </cell>
          <cell r="C148">
            <v>101</v>
          </cell>
          <cell r="F148" t="str">
            <v>УПНПиКРС</v>
          </cell>
          <cell r="H148" t="str">
            <v>ШГН</v>
          </cell>
          <cell r="I148" t="str">
            <v>бд</v>
          </cell>
          <cell r="K148">
            <v>0</v>
          </cell>
          <cell r="L148">
            <v>0</v>
          </cell>
          <cell r="M148">
            <v>0</v>
          </cell>
          <cell r="N148">
            <v>50</v>
          </cell>
          <cell r="O148">
            <v>18</v>
          </cell>
          <cell r="P148">
            <v>55.8</v>
          </cell>
          <cell r="Q148">
            <v>50</v>
          </cell>
          <cell r="R148">
            <v>18</v>
          </cell>
          <cell r="S148">
            <v>55.6</v>
          </cell>
          <cell r="T148">
            <v>38717</v>
          </cell>
          <cell r="U148" t="str">
            <v>ГРП</v>
          </cell>
          <cell r="W148" t="str">
            <v>Изв.НКТ.ПП+ДП ЮК-10.ГРП ЮК-10.Сп.Э-50.</v>
          </cell>
          <cell r="AE148">
            <v>38711</v>
          </cell>
        </row>
        <row r="149">
          <cell r="B149">
            <v>3213</v>
          </cell>
          <cell r="C149" t="str">
            <v>55б</v>
          </cell>
          <cell r="F149" t="str">
            <v>УПНПиКРС</v>
          </cell>
          <cell r="H149" t="str">
            <v>ФОН</v>
          </cell>
          <cell r="I149" t="str">
            <v>бд</v>
          </cell>
          <cell r="K149">
            <v>0</v>
          </cell>
          <cell r="L149">
            <v>0</v>
          </cell>
          <cell r="M149">
            <v>0</v>
          </cell>
          <cell r="N149">
            <v>50</v>
          </cell>
          <cell r="O149">
            <v>18</v>
          </cell>
          <cell r="P149">
            <v>55.8</v>
          </cell>
          <cell r="Q149">
            <v>50</v>
          </cell>
          <cell r="R149">
            <v>18</v>
          </cell>
          <cell r="S149">
            <v>55.6</v>
          </cell>
          <cell r="T149">
            <v>38708</v>
          </cell>
          <cell r="U149" t="str">
            <v>ГРП</v>
          </cell>
          <cell r="W149" t="str">
            <v>ВЦ.ВЗ.ПР.ГРП ЮК-10,11.Сп.Э-50</v>
          </cell>
          <cell r="AE149">
            <v>38702</v>
          </cell>
        </row>
        <row r="150">
          <cell r="B150">
            <v>2940</v>
          </cell>
          <cell r="C150">
            <v>46</v>
          </cell>
          <cell r="F150" t="str">
            <v>УПНПиКРС</v>
          </cell>
          <cell r="H150" t="str">
            <v>ЭЦН</v>
          </cell>
          <cell r="I150" t="str">
            <v>бд</v>
          </cell>
          <cell r="K150">
            <v>0</v>
          </cell>
          <cell r="L150">
            <v>0</v>
          </cell>
          <cell r="M150">
            <v>0</v>
          </cell>
          <cell r="N150">
            <v>50</v>
          </cell>
          <cell r="O150">
            <v>18</v>
          </cell>
          <cell r="P150">
            <v>55.8</v>
          </cell>
          <cell r="Q150">
            <v>50</v>
          </cell>
          <cell r="R150">
            <v>18</v>
          </cell>
          <cell r="S150">
            <v>55.6</v>
          </cell>
          <cell r="T150">
            <v>38701</v>
          </cell>
          <cell r="U150" t="str">
            <v>ла</v>
          </cell>
          <cell r="W150" t="str">
            <v>ЛА(изв.ЭЦН,НКТ).Сп.Э-50.</v>
          </cell>
          <cell r="AE150">
            <v>38696</v>
          </cell>
        </row>
        <row r="151">
          <cell r="B151">
            <v>5424</v>
          </cell>
          <cell r="C151">
            <v>101</v>
          </cell>
          <cell r="F151" t="str">
            <v>УПНПиКРС</v>
          </cell>
          <cell r="H151" t="str">
            <v>нагнет.</v>
          </cell>
          <cell r="I151" t="str">
            <v>конс.</v>
          </cell>
          <cell r="J151">
            <v>35802</v>
          </cell>
          <cell r="K151">
            <v>0</v>
          </cell>
          <cell r="L151">
            <v>0</v>
          </cell>
          <cell r="M151">
            <v>0</v>
          </cell>
          <cell r="N151">
            <v>50</v>
          </cell>
          <cell r="O151">
            <v>22</v>
          </cell>
          <cell r="P151">
            <v>46</v>
          </cell>
          <cell r="Q151">
            <v>50</v>
          </cell>
          <cell r="R151">
            <v>22</v>
          </cell>
          <cell r="S151">
            <v>45.7</v>
          </cell>
          <cell r="T151">
            <v>38740</v>
          </cell>
          <cell r="U151" t="str">
            <v>ГРП</v>
          </cell>
          <cell r="W151" t="str">
            <v>ОТСК.(РИР ЭК).ИР ЮК-10.ГРП ЮК-2,3.Сп.Э-50</v>
          </cell>
          <cell r="Y151" t="str">
            <v>ОЦ. Нет подачи</v>
          </cell>
          <cell r="AE151">
            <v>38737</v>
          </cell>
        </row>
        <row r="152">
          <cell r="B152">
            <v>5502</v>
          </cell>
          <cell r="C152">
            <v>110</v>
          </cell>
          <cell r="F152" t="str">
            <v>УПНПиКРС</v>
          </cell>
          <cell r="H152" t="str">
            <v>нагнет.</v>
          </cell>
          <cell r="I152" t="str">
            <v>конс.</v>
          </cell>
          <cell r="J152">
            <v>34305</v>
          </cell>
          <cell r="K152">
            <v>0</v>
          </cell>
          <cell r="L152">
            <v>0</v>
          </cell>
          <cell r="M152">
            <v>0</v>
          </cell>
          <cell r="N152">
            <v>150</v>
          </cell>
          <cell r="Q152">
            <v>150</v>
          </cell>
          <cell r="T152">
            <v>38733</v>
          </cell>
          <cell r="U152" t="str">
            <v>НГ</v>
          </cell>
          <cell r="W152" t="str">
            <v>ПП.ОПЗ.ГИС-3.Сп.пак.ППД.</v>
          </cell>
        </row>
        <row r="153">
          <cell r="B153">
            <v>5503</v>
          </cell>
          <cell r="C153">
            <v>110</v>
          </cell>
          <cell r="F153" t="str">
            <v>УПНПиКРС</v>
          </cell>
          <cell r="H153" t="str">
            <v>нагнет.</v>
          </cell>
          <cell r="I153" t="str">
            <v>конс.</v>
          </cell>
          <cell r="J153">
            <v>35874</v>
          </cell>
          <cell r="K153">
            <v>0</v>
          </cell>
          <cell r="L153">
            <v>0</v>
          </cell>
          <cell r="M153">
            <v>0</v>
          </cell>
          <cell r="N153">
            <v>150</v>
          </cell>
          <cell r="Q153">
            <v>150</v>
          </cell>
          <cell r="T153">
            <v>38748</v>
          </cell>
          <cell r="U153" t="str">
            <v>НГ</v>
          </cell>
          <cell r="W153" t="str">
            <v>ПП.ОПЗ.ГИС-3.Сп.пак.ППД.</v>
          </cell>
        </row>
        <row r="154">
          <cell r="B154">
            <v>5643</v>
          </cell>
          <cell r="C154">
            <v>126</v>
          </cell>
          <cell r="F154" t="str">
            <v>УПНПиКРС</v>
          </cell>
          <cell r="H154" t="str">
            <v>ШГН</v>
          </cell>
          <cell r="I154" t="str">
            <v>бд</v>
          </cell>
          <cell r="K154">
            <v>0</v>
          </cell>
          <cell r="L154">
            <v>0</v>
          </cell>
          <cell r="M154">
            <v>0</v>
          </cell>
          <cell r="N154">
            <v>150</v>
          </cell>
          <cell r="Q154">
            <v>150</v>
          </cell>
          <cell r="T154">
            <v>38748</v>
          </cell>
          <cell r="U154" t="str">
            <v>НГ</v>
          </cell>
          <cell r="W154" t="str">
            <v>Перевод в ППД.ПП.ОПЗ.ГИС-3.Сп.пак.ППД.</v>
          </cell>
        </row>
        <row r="155">
          <cell r="B155">
            <v>5286</v>
          </cell>
          <cell r="C155">
            <v>141</v>
          </cell>
          <cell r="F155" t="str">
            <v>УПНПиКРС</v>
          </cell>
          <cell r="H155" t="str">
            <v>нагнет.</v>
          </cell>
          <cell r="I155" t="str">
            <v>бд</v>
          </cell>
          <cell r="K155">
            <v>0</v>
          </cell>
          <cell r="L155">
            <v>0</v>
          </cell>
          <cell r="M155">
            <v>0</v>
          </cell>
          <cell r="N155">
            <v>150</v>
          </cell>
          <cell r="Q155">
            <v>150</v>
          </cell>
          <cell r="T155">
            <v>38707</v>
          </cell>
          <cell r="U155" t="str">
            <v>НГ</v>
          </cell>
          <cell r="W155" t="str">
            <v>Ревизия ф/а.Рев.пак.ППД.ОПЗ.</v>
          </cell>
          <cell r="AE155">
            <v>37628</v>
          </cell>
        </row>
        <row r="156">
          <cell r="B156">
            <v>5312</v>
          </cell>
          <cell r="C156">
            <v>141</v>
          </cell>
          <cell r="F156" t="str">
            <v>УПНПиКРС</v>
          </cell>
          <cell r="H156" t="str">
            <v>ШГН</v>
          </cell>
          <cell r="I156" t="str">
            <v>действ.</v>
          </cell>
          <cell r="K156">
            <v>0</v>
          </cell>
          <cell r="L156">
            <v>0</v>
          </cell>
          <cell r="M156">
            <v>0</v>
          </cell>
          <cell r="N156">
            <v>150</v>
          </cell>
          <cell r="Q156">
            <v>150</v>
          </cell>
          <cell r="T156">
            <v>38744</v>
          </cell>
          <cell r="U156" t="str">
            <v>НГ</v>
          </cell>
          <cell r="W156" t="str">
            <v>Перевод в ППД.</v>
          </cell>
          <cell r="AE156">
            <v>37628</v>
          </cell>
        </row>
        <row r="157">
          <cell r="B157">
            <v>5591</v>
          </cell>
          <cell r="C157">
            <v>118</v>
          </cell>
          <cell r="F157" t="str">
            <v>ПРС</v>
          </cell>
          <cell r="H157" t="str">
            <v>Ф/Э</v>
          </cell>
          <cell r="I157" t="str">
            <v>конс.</v>
          </cell>
          <cell r="J157">
            <v>34153</v>
          </cell>
          <cell r="K157">
            <v>0</v>
          </cell>
          <cell r="L157">
            <v>0</v>
          </cell>
          <cell r="M157">
            <v>0</v>
          </cell>
          <cell r="N157">
            <v>50</v>
          </cell>
          <cell r="O157">
            <v>6.1</v>
          </cell>
          <cell r="P157">
            <v>85</v>
          </cell>
          <cell r="Q157">
            <v>50</v>
          </cell>
          <cell r="R157">
            <v>6.1</v>
          </cell>
          <cell r="S157">
            <v>84.9</v>
          </cell>
          <cell r="T157">
            <v>38736</v>
          </cell>
          <cell r="U157" t="str">
            <v>бдп</v>
          </cell>
          <cell r="W157" t="str">
            <v>ВЦ.КОПС.спуск Э-50</v>
          </cell>
          <cell r="Z157">
            <v>4</v>
          </cell>
          <cell r="AE157">
            <v>38731</v>
          </cell>
        </row>
        <row r="158">
          <cell r="B158">
            <v>3032</v>
          </cell>
          <cell r="C158">
            <v>51</v>
          </cell>
          <cell r="F158" t="str">
            <v>ПРС</v>
          </cell>
          <cell r="H158" t="str">
            <v>ЭЦН</v>
          </cell>
          <cell r="I158" t="str">
            <v>конс.</v>
          </cell>
          <cell r="J158">
            <v>34700</v>
          </cell>
          <cell r="K158">
            <v>0</v>
          </cell>
          <cell r="L158">
            <v>0</v>
          </cell>
          <cell r="M158">
            <v>0</v>
          </cell>
          <cell r="N158">
            <v>30</v>
          </cell>
          <cell r="O158">
            <v>6.1</v>
          </cell>
          <cell r="P158">
            <v>75</v>
          </cell>
          <cell r="Q158">
            <v>30</v>
          </cell>
          <cell r="R158">
            <v>6.1</v>
          </cell>
          <cell r="S158">
            <v>74.900000000000006</v>
          </cell>
          <cell r="T158">
            <v>38774</v>
          </cell>
          <cell r="U158" t="str">
            <v>бдп</v>
          </cell>
          <cell r="W158" t="str">
            <v>ВЦ.КОПС.спуск Э-30</v>
          </cell>
          <cell r="Z158">
            <v>4</v>
          </cell>
          <cell r="AE158">
            <v>38769</v>
          </cell>
        </row>
        <row r="159">
          <cell r="B159">
            <v>3348</v>
          </cell>
          <cell r="C159">
            <v>64</v>
          </cell>
          <cell r="F159" t="str">
            <v>УПНП</v>
          </cell>
          <cell r="H159" t="str">
            <v>Ф/Э</v>
          </cell>
          <cell r="I159" t="str">
            <v>бд</v>
          </cell>
          <cell r="J159">
            <v>33817</v>
          </cell>
          <cell r="K159">
            <v>0</v>
          </cell>
          <cell r="L159">
            <v>0</v>
          </cell>
          <cell r="M159">
            <v>0</v>
          </cell>
          <cell r="N159">
            <v>25</v>
          </cell>
          <cell r="O159">
            <v>6</v>
          </cell>
          <cell r="P159">
            <v>70.400000000000006</v>
          </cell>
          <cell r="Q159">
            <v>25</v>
          </cell>
          <cell r="R159">
            <v>6</v>
          </cell>
          <cell r="S159">
            <v>70.400000000000006</v>
          </cell>
          <cell r="T159">
            <v>38600</v>
          </cell>
          <cell r="U159" t="str">
            <v>бдк</v>
          </cell>
          <cell r="W159" t="str">
            <v>ВЦ.ЛА(прихв.ЭЦН).ГИС-2.Сп.Э-25.</v>
          </cell>
          <cell r="AE159">
            <v>38595</v>
          </cell>
        </row>
        <row r="160">
          <cell r="B160">
            <v>2860</v>
          </cell>
          <cell r="C160">
            <v>127</v>
          </cell>
          <cell r="F160" t="str">
            <v>УПНП</v>
          </cell>
          <cell r="H160" t="str">
            <v>ЭЦН</v>
          </cell>
          <cell r="I160" t="str">
            <v>действ.</v>
          </cell>
          <cell r="K160">
            <v>0</v>
          </cell>
          <cell r="L160">
            <v>0</v>
          </cell>
          <cell r="M160">
            <v>0</v>
          </cell>
          <cell r="N160">
            <v>105</v>
          </cell>
          <cell r="O160">
            <v>31.7</v>
          </cell>
          <cell r="P160">
            <v>63</v>
          </cell>
          <cell r="Q160">
            <v>105</v>
          </cell>
          <cell r="R160">
            <v>31.7</v>
          </cell>
          <cell r="S160">
            <v>62.7</v>
          </cell>
          <cell r="T160">
            <v>38608</v>
          </cell>
          <cell r="U160" t="str">
            <v>ЛА</v>
          </cell>
          <cell r="W160" t="str">
            <v>ВЗ.Сп.ЭЦН.</v>
          </cell>
          <cell r="AE160">
            <v>38603</v>
          </cell>
        </row>
        <row r="161">
          <cell r="B161">
            <v>3238</v>
          </cell>
          <cell r="C161">
            <v>58</v>
          </cell>
          <cell r="F161" t="str">
            <v>УПНП</v>
          </cell>
          <cell r="H161" t="str">
            <v>нагнет.</v>
          </cell>
          <cell r="I161" t="str">
            <v>конс.</v>
          </cell>
          <cell r="J161">
            <v>33345</v>
          </cell>
          <cell r="N161">
            <v>150</v>
          </cell>
          <cell r="Q161">
            <v>150</v>
          </cell>
          <cell r="T161">
            <v>38626</v>
          </cell>
          <cell r="U161" t="str">
            <v>нг</v>
          </cell>
          <cell r="W161" t="str">
            <v>ВЦ.ПП.ОПЗ.ГИС-3.Сп.пак.ППД.</v>
          </cell>
          <cell r="AE161">
            <v>38593</v>
          </cell>
        </row>
        <row r="162">
          <cell r="B162">
            <v>3236</v>
          </cell>
          <cell r="C162">
            <v>58</v>
          </cell>
          <cell r="F162" t="str">
            <v>УПНП</v>
          </cell>
          <cell r="H162" t="str">
            <v>нагнет.</v>
          </cell>
          <cell r="I162" t="str">
            <v>конс.</v>
          </cell>
          <cell r="J162">
            <v>34324</v>
          </cell>
          <cell r="N162">
            <v>150</v>
          </cell>
          <cell r="Q162">
            <v>150</v>
          </cell>
          <cell r="T162">
            <v>38640</v>
          </cell>
          <cell r="U162" t="str">
            <v>нг</v>
          </cell>
          <cell r="W162" t="str">
            <v>ПП.ОПЗ.ГИС-3.Сп.пак.ППД.</v>
          </cell>
          <cell r="AE162">
            <v>38606</v>
          </cell>
        </row>
        <row r="163">
          <cell r="B163">
            <v>2688</v>
          </cell>
          <cell r="C163">
            <v>160</v>
          </cell>
          <cell r="F163" t="str">
            <v>УПНП</v>
          </cell>
          <cell r="H163" t="str">
            <v>нагнет.</v>
          </cell>
          <cell r="I163" t="str">
            <v>бд</v>
          </cell>
          <cell r="J163">
            <v>38511</v>
          </cell>
          <cell r="N163">
            <v>100</v>
          </cell>
          <cell r="Q163">
            <v>100</v>
          </cell>
          <cell r="T163">
            <v>38600</v>
          </cell>
          <cell r="U163" t="str">
            <v>нг</v>
          </cell>
          <cell r="W163" t="str">
            <v>Ревизия пак.ППД.</v>
          </cell>
          <cell r="AE163">
            <v>38597</v>
          </cell>
        </row>
        <row r="164">
          <cell r="B164">
            <v>5232</v>
          </cell>
          <cell r="C164">
            <v>139</v>
          </cell>
          <cell r="F164" t="str">
            <v>УПНП</v>
          </cell>
          <cell r="H164" t="str">
            <v>нагнет.</v>
          </cell>
          <cell r="I164" t="str">
            <v>бд</v>
          </cell>
          <cell r="J164">
            <v>36078</v>
          </cell>
          <cell r="N164">
            <v>150</v>
          </cell>
          <cell r="Q164">
            <v>150</v>
          </cell>
          <cell r="T164">
            <v>38616</v>
          </cell>
          <cell r="U164" t="str">
            <v>нг</v>
          </cell>
          <cell r="W164" t="str">
            <v>ПП.ОПЗ.ГИС-3.Сп.пак.ППД.</v>
          </cell>
          <cell r="AE164">
            <v>38613</v>
          </cell>
        </row>
        <row r="165">
          <cell r="B165">
            <v>2668</v>
          </cell>
          <cell r="C165" t="str">
            <v>160б</v>
          </cell>
          <cell r="F165" t="str">
            <v>УПНП</v>
          </cell>
          <cell r="H165" t="str">
            <v>ЭЦН</v>
          </cell>
          <cell r="I165" t="str">
            <v>бд</v>
          </cell>
          <cell r="J165">
            <v>38183</v>
          </cell>
          <cell r="N165">
            <v>150</v>
          </cell>
          <cell r="Q165">
            <v>150</v>
          </cell>
          <cell r="T165">
            <v>38614</v>
          </cell>
          <cell r="U165" t="str">
            <v>нг</v>
          </cell>
          <cell r="W165" t="str">
            <v>ЛА(прихв.ЭЦН,НКТ).Перевод в ППД.</v>
          </cell>
          <cell r="AE165">
            <v>38609</v>
          </cell>
        </row>
        <row r="166">
          <cell r="B166">
            <v>2848</v>
          </cell>
          <cell r="C166">
            <v>129</v>
          </cell>
          <cell r="F166" t="str">
            <v>УПНП</v>
          </cell>
          <cell r="H166" t="str">
            <v>ЭЦН</v>
          </cell>
          <cell r="I166" t="str">
            <v>конс.</v>
          </cell>
          <cell r="J166">
            <v>34151</v>
          </cell>
          <cell r="K166">
            <v>0</v>
          </cell>
          <cell r="L166">
            <v>0</v>
          </cell>
          <cell r="M166">
            <v>0</v>
          </cell>
          <cell r="N166">
            <v>50</v>
          </cell>
          <cell r="O166">
            <v>20</v>
          </cell>
          <cell r="P166">
            <v>50.6</v>
          </cell>
          <cell r="Q166">
            <v>50</v>
          </cell>
          <cell r="R166">
            <v>20</v>
          </cell>
          <cell r="S166">
            <v>50.6</v>
          </cell>
          <cell r="T166">
            <v>38686</v>
          </cell>
          <cell r="U166" t="str">
            <v>ГРП</v>
          </cell>
          <cell r="W166" t="str">
            <v>ВЦ,ОТСК,ГРП ЮК-10</v>
          </cell>
          <cell r="AE166">
            <v>38651</v>
          </cell>
        </row>
        <row r="167">
          <cell r="B167">
            <v>5334</v>
          </cell>
          <cell r="C167">
            <v>107</v>
          </cell>
          <cell r="F167" t="str">
            <v>УПНП</v>
          </cell>
          <cell r="H167" t="str">
            <v>нагнет.</v>
          </cell>
          <cell r="I167" t="str">
            <v>конс.</v>
          </cell>
          <cell r="J167">
            <v>32843</v>
          </cell>
          <cell r="N167">
            <v>150</v>
          </cell>
          <cell r="Q167">
            <v>150</v>
          </cell>
          <cell r="T167">
            <v>38627</v>
          </cell>
          <cell r="U167" t="str">
            <v>нг</v>
          </cell>
          <cell r="W167" t="str">
            <v>ИР ЮК-11.ПП.ОПЗ.ГИС-3.Сп.пак.ППД.</v>
          </cell>
        </row>
        <row r="168">
          <cell r="B168">
            <v>5827</v>
          </cell>
          <cell r="C168">
            <v>167</v>
          </cell>
          <cell r="F168" t="str">
            <v>УПНП</v>
          </cell>
          <cell r="H168" t="str">
            <v>Ф/Ш</v>
          </cell>
          <cell r="I168" t="str">
            <v>конс.</v>
          </cell>
          <cell r="J168">
            <v>34029</v>
          </cell>
          <cell r="K168">
            <v>0</v>
          </cell>
          <cell r="L168">
            <v>0</v>
          </cell>
          <cell r="M168">
            <v>0</v>
          </cell>
          <cell r="N168">
            <v>50</v>
          </cell>
          <cell r="O168">
            <v>20</v>
          </cell>
          <cell r="P168">
            <v>50.6</v>
          </cell>
          <cell r="Q168">
            <v>50</v>
          </cell>
          <cell r="R168">
            <v>20</v>
          </cell>
          <cell r="S168">
            <v>50.6</v>
          </cell>
          <cell r="T168">
            <v>38661</v>
          </cell>
          <cell r="U168" t="str">
            <v>грп</v>
          </cell>
          <cell r="W168" t="str">
            <v>ВЦ.ПП+ДП.ГИС-2.РИР ЭК.ГРП ЮК-10</v>
          </cell>
          <cell r="AE168">
            <v>38635</v>
          </cell>
        </row>
        <row r="169">
          <cell r="B169">
            <v>3258</v>
          </cell>
          <cell r="C169">
            <v>66</v>
          </cell>
          <cell r="F169" t="str">
            <v>УПНП</v>
          </cell>
          <cell r="H169" t="str">
            <v>фон</v>
          </cell>
          <cell r="I169" t="str">
            <v>конс.</v>
          </cell>
          <cell r="J169">
            <v>33756</v>
          </cell>
          <cell r="K169">
            <v>0</v>
          </cell>
          <cell r="L169">
            <v>0</v>
          </cell>
          <cell r="M169">
            <v>0</v>
          </cell>
          <cell r="N169">
            <v>30</v>
          </cell>
          <cell r="O169">
            <v>5.9</v>
          </cell>
          <cell r="P169">
            <v>76</v>
          </cell>
          <cell r="Q169">
            <v>30</v>
          </cell>
          <cell r="R169">
            <v>5.9</v>
          </cell>
          <cell r="S169">
            <v>75.7</v>
          </cell>
          <cell r="T169">
            <v>38652</v>
          </cell>
          <cell r="U169" t="str">
            <v>бдк</v>
          </cell>
          <cell r="W169" t="str">
            <v>ВЦ.ПП ЮК-10.Сп.Э-30</v>
          </cell>
          <cell r="AE169">
            <v>38647</v>
          </cell>
        </row>
        <row r="170">
          <cell r="B170">
            <v>5325</v>
          </cell>
          <cell r="C170">
            <v>136</v>
          </cell>
          <cell r="F170" t="str">
            <v>УПНП</v>
          </cell>
          <cell r="H170" t="str">
            <v>Ф/Э</v>
          </cell>
          <cell r="I170" t="str">
            <v>конс.</v>
          </cell>
          <cell r="J170">
            <v>34883</v>
          </cell>
          <cell r="K170">
            <v>0</v>
          </cell>
          <cell r="L170">
            <v>0</v>
          </cell>
          <cell r="M170">
            <v>0</v>
          </cell>
          <cell r="N170">
            <v>50</v>
          </cell>
          <cell r="O170">
            <v>6</v>
          </cell>
          <cell r="P170">
            <v>85.2</v>
          </cell>
          <cell r="Q170">
            <v>50</v>
          </cell>
          <cell r="R170">
            <v>6</v>
          </cell>
          <cell r="S170">
            <v>85.2</v>
          </cell>
          <cell r="T170">
            <v>38636</v>
          </cell>
          <cell r="U170" t="str">
            <v>бдк</v>
          </cell>
          <cell r="W170" t="str">
            <v>ВЦ.ПП ЮК-10.Сп.Э-80</v>
          </cell>
          <cell r="AE170">
            <v>38631</v>
          </cell>
        </row>
        <row r="171">
          <cell r="B171">
            <v>2926</v>
          </cell>
          <cell r="C171">
            <v>132</v>
          </cell>
          <cell r="F171" t="str">
            <v>УПНПиКРС</v>
          </cell>
          <cell r="G171">
            <v>260</v>
          </cell>
          <cell r="H171" t="str">
            <v>ФОН</v>
          </cell>
          <cell r="I171" t="str">
            <v>бд</v>
          </cell>
          <cell r="J171">
            <v>34028</v>
          </cell>
          <cell r="K171">
            <v>0</v>
          </cell>
          <cell r="L171">
            <v>0</v>
          </cell>
          <cell r="M171">
            <v>0</v>
          </cell>
          <cell r="N171">
            <v>50</v>
          </cell>
          <cell r="O171">
            <v>20.8</v>
          </cell>
          <cell r="P171">
            <v>49</v>
          </cell>
          <cell r="Q171">
            <v>50</v>
          </cell>
          <cell r="R171">
            <v>20.8</v>
          </cell>
          <cell r="S171">
            <v>48.6</v>
          </cell>
          <cell r="T171">
            <v>38635</v>
          </cell>
          <cell r="U171" t="str">
            <v>ГРП</v>
          </cell>
          <cell r="W171" t="str">
            <v>ВЗ.ПП.ГРП.Сп.ЭЦН-50</v>
          </cell>
          <cell r="AE171">
            <v>38630</v>
          </cell>
        </row>
        <row r="172">
          <cell r="B172">
            <v>5232</v>
          </cell>
          <cell r="C172">
            <v>139</v>
          </cell>
          <cell r="F172" t="str">
            <v>УПНПиКРС</v>
          </cell>
          <cell r="G172" t="str">
            <v>280</v>
          </cell>
          <cell r="H172" t="str">
            <v>нагнет.</v>
          </cell>
          <cell r="I172" t="str">
            <v>бд</v>
          </cell>
          <cell r="J172">
            <v>36078</v>
          </cell>
          <cell r="N172">
            <v>150</v>
          </cell>
          <cell r="Q172">
            <v>150</v>
          </cell>
          <cell r="T172">
            <v>38648</v>
          </cell>
          <cell r="U172" t="str">
            <v>НГ</v>
          </cell>
          <cell r="W172" t="str">
            <v>ПП.ОПЗ.ГИС-3.Сп.пак.ППД.</v>
          </cell>
        </row>
        <row r="173">
          <cell r="B173">
            <v>2705</v>
          </cell>
          <cell r="C173" t="str">
            <v>160б</v>
          </cell>
          <cell r="F173" t="str">
            <v>УПНПиКРС</v>
          </cell>
          <cell r="G173">
            <v>260</v>
          </cell>
          <cell r="H173" t="str">
            <v>ШГН</v>
          </cell>
          <cell r="I173" t="str">
            <v>бд</v>
          </cell>
          <cell r="J173">
            <v>36332</v>
          </cell>
          <cell r="K173">
            <v>0</v>
          </cell>
          <cell r="L173">
            <v>0</v>
          </cell>
          <cell r="M173">
            <v>0</v>
          </cell>
          <cell r="N173">
            <v>50</v>
          </cell>
          <cell r="O173">
            <v>20.8</v>
          </cell>
          <cell r="P173">
            <v>49</v>
          </cell>
          <cell r="Q173">
            <v>50</v>
          </cell>
          <cell r="R173">
            <v>20.8</v>
          </cell>
          <cell r="S173">
            <v>48.6</v>
          </cell>
          <cell r="T173">
            <v>38640</v>
          </cell>
          <cell r="U173" t="str">
            <v>ГРП</v>
          </cell>
          <cell r="W173" t="str">
            <v>ПР.РИР ЭК.ГРП ЮК-10.Осв.Сп.Э-80.</v>
          </cell>
          <cell r="AD173" t="e">
            <v>#REF!</v>
          </cell>
          <cell r="AE173">
            <v>38635</v>
          </cell>
          <cell r="AF173">
            <v>40</v>
          </cell>
        </row>
        <row r="174">
          <cell r="B174">
            <v>5344</v>
          </cell>
          <cell r="C174">
            <v>102</v>
          </cell>
          <cell r="F174" t="str">
            <v>УПНПиКРС</v>
          </cell>
          <cell r="H174" t="str">
            <v>ШГН</v>
          </cell>
          <cell r="I174" t="str">
            <v>бд</v>
          </cell>
          <cell r="J174">
            <v>37273</v>
          </cell>
          <cell r="K174">
            <v>0</v>
          </cell>
          <cell r="L174">
            <v>0</v>
          </cell>
          <cell r="M174">
            <v>0</v>
          </cell>
          <cell r="N174">
            <v>21</v>
          </cell>
          <cell r="O174">
            <v>2.4</v>
          </cell>
          <cell r="P174">
            <v>86</v>
          </cell>
          <cell r="Q174">
            <v>21</v>
          </cell>
          <cell r="R174">
            <v>2.4</v>
          </cell>
          <cell r="S174">
            <v>85.9</v>
          </cell>
          <cell r="T174">
            <v>38629</v>
          </cell>
          <cell r="U174" t="str">
            <v>опз</v>
          </cell>
          <cell r="W174" t="str">
            <v>ОПЗ СНВ</v>
          </cell>
          <cell r="AE174">
            <v>38624</v>
          </cell>
          <cell r="AG174">
            <v>-74448</v>
          </cell>
          <cell r="AH174">
            <v>-744480</v>
          </cell>
        </row>
        <row r="175">
          <cell r="B175">
            <v>5343</v>
          </cell>
          <cell r="C175">
            <v>101</v>
          </cell>
          <cell r="F175" t="str">
            <v>УПНПиКРС</v>
          </cell>
          <cell r="H175" t="str">
            <v>ШГН</v>
          </cell>
          <cell r="I175" t="str">
            <v>бд</v>
          </cell>
          <cell r="J175">
            <v>35034</v>
          </cell>
          <cell r="K175">
            <v>0</v>
          </cell>
          <cell r="L175">
            <v>0</v>
          </cell>
          <cell r="M175">
            <v>0</v>
          </cell>
          <cell r="N175">
            <v>50</v>
          </cell>
          <cell r="O175">
            <v>20.8</v>
          </cell>
          <cell r="P175">
            <v>49</v>
          </cell>
          <cell r="Q175">
            <v>50</v>
          </cell>
          <cell r="R175">
            <v>20.8</v>
          </cell>
          <cell r="S175">
            <v>48.6</v>
          </cell>
          <cell r="T175">
            <v>38656</v>
          </cell>
          <cell r="U175" t="str">
            <v>ГРП</v>
          </cell>
          <cell r="W175" t="str">
            <v>ВЦ.ЛА(изв.НКТ).ГРП ЮК-10.Сп.Э-50.</v>
          </cell>
          <cell r="AE175">
            <v>38651</v>
          </cell>
          <cell r="AG175">
            <v>-152381</v>
          </cell>
          <cell r="AH175">
            <v>-3753766</v>
          </cell>
        </row>
        <row r="176">
          <cell r="B176">
            <v>3349</v>
          </cell>
          <cell r="C176">
            <v>64</v>
          </cell>
          <cell r="F176" t="str">
            <v>УПНПиКРС</v>
          </cell>
          <cell r="H176" t="str">
            <v>фон</v>
          </cell>
          <cell r="I176" t="str">
            <v>конс.</v>
          </cell>
          <cell r="J176">
            <v>34485</v>
          </cell>
          <cell r="K176">
            <v>0</v>
          </cell>
          <cell r="L176">
            <v>0</v>
          </cell>
          <cell r="M176">
            <v>0</v>
          </cell>
          <cell r="N176">
            <v>50</v>
          </cell>
          <cell r="O176">
            <v>6</v>
          </cell>
          <cell r="P176">
            <v>85.2</v>
          </cell>
          <cell r="Q176">
            <v>50</v>
          </cell>
          <cell r="R176">
            <v>6</v>
          </cell>
          <cell r="S176">
            <v>85.2</v>
          </cell>
          <cell r="T176">
            <v>38628</v>
          </cell>
          <cell r="U176" t="str">
            <v>бдк</v>
          </cell>
          <cell r="W176" t="str">
            <v>ВЦ.ПП+ДП КВ.ОПЗ.Сп.Э-50</v>
          </cell>
          <cell r="AE176">
            <v>38623</v>
          </cell>
        </row>
        <row r="177">
          <cell r="B177">
            <v>3346</v>
          </cell>
          <cell r="C177">
            <v>64</v>
          </cell>
          <cell r="F177" t="str">
            <v>УПНПиКРС</v>
          </cell>
          <cell r="H177" t="str">
            <v>Ф/Ш</v>
          </cell>
          <cell r="I177" t="str">
            <v>конс.</v>
          </cell>
          <cell r="J177">
            <v>33756</v>
          </cell>
          <cell r="K177">
            <v>0</v>
          </cell>
          <cell r="L177">
            <v>0</v>
          </cell>
          <cell r="M177">
            <v>0</v>
          </cell>
          <cell r="N177">
            <v>30</v>
          </cell>
          <cell r="O177">
            <v>5.9</v>
          </cell>
          <cell r="P177">
            <v>76</v>
          </cell>
          <cell r="Q177">
            <v>30</v>
          </cell>
          <cell r="R177">
            <v>5.9</v>
          </cell>
          <cell r="S177">
            <v>75.7</v>
          </cell>
          <cell r="T177">
            <v>38651</v>
          </cell>
          <cell r="U177" t="str">
            <v>бдк</v>
          </cell>
          <cell r="W177" t="str">
            <v>ВЦ.ПП ЮК-10.Сп.Э-30.</v>
          </cell>
          <cell r="AE177">
            <v>38646</v>
          </cell>
        </row>
        <row r="178">
          <cell r="B178">
            <v>3104</v>
          </cell>
          <cell r="C178">
            <v>56</v>
          </cell>
          <cell r="F178" t="str">
            <v>УПНПиКРС</v>
          </cell>
          <cell r="H178" t="str">
            <v>ЭЦН</v>
          </cell>
          <cell r="I178" t="str">
            <v>конс.</v>
          </cell>
          <cell r="J178">
            <v>35065</v>
          </cell>
          <cell r="K178">
            <v>0</v>
          </cell>
          <cell r="L178">
            <v>0</v>
          </cell>
          <cell r="M178">
            <v>0</v>
          </cell>
          <cell r="N178">
            <v>80</v>
          </cell>
          <cell r="O178">
            <v>6</v>
          </cell>
          <cell r="P178">
            <v>90.8</v>
          </cell>
          <cell r="Q178">
            <v>80</v>
          </cell>
          <cell r="R178">
            <v>6</v>
          </cell>
          <cell r="S178">
            <v>90.7</v>
          </cell>
          <cell r="T178">
            <v>38646</v>
          </cell>
          <cell r="U178" t="str">
            <v>бдк</v>
          </cell>
          <cell r="W178" t="str">
            <v>ВЦ.ПП ЮК-11.ДП КВ.Инт.притока.Сп.Э-80.</v>
          </cell>
          <cell r="AE178">
            <v>38641</v>
          </cell>
        </row>
        <row r="179">
          <cell r="B179">
            <v>3107</v>
          </cell>
          <cell r="C179">
            <v>56</v>
          </cell>
          <cell r="F179" t="str">
            <v>УПНПиКРС</v>
          </cell>
          <cell r="H179" t="str">
            <v>нагнет.</v>
          </cell>
          <cell r="I179" t="str">
            <v>конс.</v>
          </cell>
          <cell r="J179">
            <v>33578</v>
          </cell>
          <cell r="N179">
            <v>150</v>
          </cell>
          <cell r="Q179">
            <v>150</v>
          </cell>
          <cell r="T179">
            <v>38656</v>
          </cell>
          <cell r="U179" t="str">
            <v>нг</v>
          </cell>
          <cell r="W179" t="str">
            <v>ПП.ОПЗ.ГИС-3.Сп.пак.ППД.</v>
          </cell>
        </row>
        <row r="180">
          <cell r="B180">
            <v>3658</v>
          </cell>
          <cell r="C180">
            <v>76</v>
          </cell>
          <cell r="F180" t="str">
            <v>ООО БАРС-МК</v>
          </cell>
          <cell r="H180" t="str">
            <v>ЭЦН</v>
          </cell>
          <cell r="I180" t="str">
            <v>конс.</v>
          </cell>
          <cell r="K180">
            <v>0</v>
          </cell>
          <cell r="L180">
            <v>0</v>
          </cell>
          <cell r="M180">
            <v>0</v>
          </cell>
          <cell r="N180">
            <v>50</v>
          </cell>
          <cell r="O180">
            <v>3</v>
          </cell>
          <cell r="P180">
            <v>92.6</v>
          </cell>
          <cell r="Q180">
            <v>50</v>
          </cell>
          <cell r="R180">
            <v>3</v>
          </cell>
          <cell r="S180">
            <v>92.6</v>
          </cell>
          <cell r="T180">
            <v>38673</v>
          </cell>
          <cell r="U180" t="str">
            <v>бдп</v>
          </cell>
          <cell r="W180" t="str">
            <v>ВЦ(БАРС-МК),сп.Э-50</v>
          </cell>
        </row>
        <row r="181">
          <cell r="B181">
            <v>2924</v>
          </cell>
          <cell r="C181">
            <v>132</v>
          </cell>
          <cell r="F181" t="str">
            <v>ООО БАРС-МК</v>
          </cell>
          <cell r="H181" t="str">
            <v>ФОН</v>
          </cell>
          <cell r="I181" t="str">
            <v>конс.</v>
          </cell>
          <cell r="K181">
            <v>0</v>
          </cell>
          <cell r="L181">
            <v>0</v>
          </cell>
          <cell r="M181">
            <v>0</v>
          </cell>
          <cell r="N181">
            <v>50</v>
          </cell>
          <cell r="O181">
            <v>3</v>
          </cell>
          <cell r="P181">
            <v>92.6</v>
          </cell>
          <cell r="Q181">
            <v>50</v>
          </cell>
          <cell r="R181">
            <v>3</v>
          </cell>
          <cell r="S181">
            <v>92.6</v>
          </cell>
          <cell r="T181">
            <v>38697</v>
          </cell>
          <cell r="U181" t="str">
            <v>бдп</v>
          </cell>
          <cell r="W181" t="str">
            <v>ВЦ(БАРС-МК),сп.Э-50</v>
          </cell>
        </row>
        <row r="182">
          <cell r="B182">
            <v>5494</v>
          </cell>
          <cell r="C182">
            <v>106</v>
          </cell>
          <cell r="F182" t="str">
            <v>УПНП</v>
          </cell>
          <cell r="G182">
            <v>260</v>
          </cell>
          <cell r="H182" t="str">
            <v>нагнет.</v>
          </cell>
          <cell r="I182" t="str">
            <v>бд</v>
          </cell>
          <cell r="J182">
            <v>36676</v>
          </cell>
          <cell r="K182">
            <v>0</v>
          </cell>
          <cell r="L182">
            <v>0</v>
          </cell>
          <cell r="M182">
            <v>0</v>
          </cell>
          <cell r="N182">
            <v>200</v>
          </cell>
          <cell r="Q182">
            <v>200</v>
          </cell>
          <cell r="R182">
            <v>0</v>
          </cell>
          <cell r="S182">
            <v>23</v>
          </cell>
          <cell r="T182">
            <v>38343</v>
          </cell>
          <cell r="U182" t="str">
            <v>НГ</v>
          </cell>
          <cell r="W182" t="str">
            <v>ЛА.Инт.прием,ПП,ГИС-3,ОПЗ,сп.пакера</v>
          </cell>
          <cell r="AD182">
            <v>38285</v>
          </cell>
          <cell r="AE182">
            <v>38340</v>
          </cell>
        </row>
        <row r="183">
          <cell r="B183">
            <v>5438</v>
          </cell>
          <cell r="C183">
            <v>106</v>
          </cell>
          <cell r="F183" t="str">
            <v>УПНП</v>
          </cell>
          <cell r="G183">
            <v>260</v>
          </cell>
          <cell r="H183" t="str">
            <v>нагнет.</v>
          </cell>
          <cell r="I183" t="str">
            <v>конс.</v>
          </cell>
          <cell r="J183">
            <v>34324</v>
          </cell>
          <cell r="K183">
            <v>0</v>
          </cell>
          <cell r="L183">
            <v>0</v>
          </cell>
          <cell r="M183">
            <v>0</v>
          </cell>
          <cell r="N183">
            <v>200</v>
          </cell>
          <cell r="Q183">
            <v>200</v>
          </cell>
          <cell r="R183">
            <v>0</v>
          </cell>
          <cell r="S183">
            <v>23</v>
          </cell>
          <cell r="T183">
            <v>38317</v>
          </cell>
          <cell r="U183" t="str">
            <v>НГ</v>
          </cell>
          <cell r="W183" t="str">
            <v>Инт.прием,ПП,ГИС-3,ОПЗ,сп.пакера</v>
          </cell>
          <cell r="AD183">
            <v>38300</v>
          </cell>
          <cell r="AE183">
            <v>38314</v>
          </cell>
        </row>
        <row r="184">
          <cell r="B184">
            <v>5632</v>
          </cell>
          <cell r="C184">
            <v>120</v>
          </cell>
          <cell r="F184" t="str">
            <v>УПНП</v>
          </cell>
          <cell r="G184">
            <v>270</v>
          </cell>
          <cell r="H184" t="str">
            <v>нагнет.</v>
          </cell>
          <cell r="I184" t="str">
            <v>бд</v>
          </cell>
          <cell r="J184">
            <v>36876</v>
          </cell>
          <cell r="K184">
            <v>0</v>
          </cell>
          <cell r="L184">
            <v>0</v>
          </cell>
          <cell r="M184">
            <v>0</v>
          </cell>
          <cell r="N184">
            <v>200</v>
          </cell>
          <cell r="Q184">
            <v>200</v>
          </cell>
          <cell r="R184">
            <v>0</v>
          </cell>
          <cell r="T184">
            <v>38305</v>
          </cell>
          <cell r="U184" t="str">
            <v>НГ</v>
          </cell>
          <cell r="W184" t="str">
            <v>ОТСК,ПП,ОПЗ,ГИС-3,сп.пакера</v>
          </cell>
          <cell r="AD184">
            <v>38288</v>
          </cell>
          <cell r="AE184">
            <v>38302</v>
          </cell>
        </row>
        <row r="185">
          <cell r="B185">
            <v>5612</v>
          </cell>
          <cell r="C185">
            <v>115</v>
          </cell>
          <cell r="F185" t="str">
            <v>УПНП</v>
          </cell>
          <cell r="G185">
            <v>250</v>
          </cell>
          <cell r="H185" t="str">
            <v>нагнет.</v>
          </cell>
          <cell r="I185" t="str">
            <v>действ.</v>
          </cell>
          <cell r="K185">
            <v>37</v>
          </cell>
          <cell r="L185">
            <v>0</v>
          </cell>
          <cell r="M185">
            <v>0</v>
          </cell>
          <cell r="N185">
            <v>100</v>
          </cell>
          <cell r="Q185">
            <v>100</v>
          </cell>
          <cell r="T185">
            <v>38336</v>
          </cell>
          <cell r="U185" t="str">
            <v>НГ</v>
          </cell>
          <cell r="W185" t="str">
            <v>Инт.прием,ГИС-3,ОПЗ,сп.пакера</v>
          </cell>
          <cell r="AD185">
            <v>38319</v>
          </cell>
          <cell r="AE185">
            <v>38333</v>
          </cell>
        </row>
        <row r="186">
          <cell r="B186">
            <v>2859</v>
          </cell>
          <cell r="C186">
            <v>127</v>
          </cell>
          <cell r="F186" t="str">
            <v>УПНП</v>
          </cell>
          <cell r="G186">
            <v>270</v>
          </cell>
          <cell r="H186" t="str">
            <v>нагнет.</v>
          </cell>
          <cell r="I186" t="str">
            <v>конс.</v>
          </cell>
          <cell r="J186">
            <v>34258</v>
          </cell>
          <cell r="N186">
            <v>200</v>
          </cell>
          <cell r="Q186">
            <v>200</v>
          </cell>
          <cell r="T186">
            <v>38300</v>
          </cell>
          <cell r="U186" t="str">
            <v>НГ</v>
          </cell>
          <cell r="W186" t="str">
            <v>ОТСК,ПП,ОПЗ,ГИС-3,сп.пакера</v>
          </cell>
          <cell r="AD186">
            <v>38283</v>
          </cell>
          <cell r="AE186">
            <v>38297</v>
          </cell>
        </row>
        <row r="187">
          <cell r="B187">
            <v>2742</v>
          </cell>
          <cell r="C187">
            <v>165</v>
          </cell>
          <cell r="F187" t="str">
            <v>УПНП</v>
          </cell>
          <cell r="G187">
            <v>260</v>
          </cell>
          <cell r="H187" t="str">
            <v>нагнет.</v>
          </cell>
          <cell r="I187" t="str">
            <v>бд</v>
          </cell>
          <cell r="J187">
            <v>37894</v>
          </cell>
          <cell r="N187">
            <v>200</v>
          </cell>
          <cell r="Q187">
            <v>200</v>
          </cell>
          <cell r="T187">
            <v>38298</v>
          </cell>
          <cell r="U187" t="str">
            <v>НГ</v>
          </cell>
          <cell r="W187" t="str">
            <v>ОТСК,ПП,ОПЗ,ГИС-3,сп.пакера</v>
          </cell>
          <cell r="AD187">
            <v>38281</v>
          </cell>
          <cell r="AE187">
            <v>38295</v>
          </cell>
        </row>
        <row r="188">
          <cell r="B188">
            <v>2741</v>
          </cell>
          <cell r="C188">
            <v>165</v>
          </cell>
          <cell r="F188" t="str">
            <v>УПНП</v>
          </cell>
          <cell r="G188">
            <v>260</v>
          </cell>
          <cell r="H188" t="str">
            <v>нагнет.</v>
          </cell>
          <cell r="I188" t="str">
            <v>бд</v>
          </cell>
          <cell r="J188">
            <v>37894</v>
          </cell>
          <cell r="N188">
            <v>200</v>
          </cell>
          <cell r="P188">
            <v>100</v>
          </cell>
          <cell r="Q188">
            <v>200</v>
          </cell>
          <cell r="T188">
            <v>38313</v>
          </cell>
          <cell r="U188" t="str">
            <v>НГ</v>
          </cell>
          <cell r="W188" t="str">
            <v>ОТСК,ПП,ОПЗ,ГИС-3,сп.пакера</v>
          </cell>
          <cell r="AD188">
            <v>38296</v>
          </cell>
          <cell r="AE188">
            <v>38310</v>
          </cell>
        </row>
        <row r="189">
          <cell r="B189">
            <v>2846</v>
          </cell>
          <cell r="C189">
            <v>129</v>
          </cell>
          <cell r="F189" t="str">
            <v>УПНП</v>
          </cell>
          <cell r="G189">
            <v>250</v>
          </cell>
          <cell r="H189" t="str">
            <v>ЭЦН</v>
          </cell>
          <cell r="I189" t="str">
            <v>бдтг</v>
          </cell>
          <cell r="K189">
            <v>10</v>
          </cell>
          <cell r="L189">
            <v>3.5</v>
          </cell>
          <cell r="M189">
            <v>56.7</v>
          </cell>
          <cell r="N189">
            <v>80</v>
          </cell>
          <cell r="O189">
            <v>28</v>
          </cell>
          <cell r="P189">
            <v>57</v>
          </cell>
          <cell r="Q189">
            <v>80</v>
          </cell>
          <cell r="R189">
            <v>28</v>
          </cell>
          <cell r="S189">
            <v>57</v>
          </cell>
          <cell r="T189">
            <v>38301</v>
          </cell>
          <cell r="U189" t="str">
            <v>ГРП</v>
          </cell>
          <cell r="W189" t="str">
            <v>ВЦ,ПР к ГРП ЮК-10,осв.,сп.Э-80</v>
          </cell>
          <cell r="AD189">
            <v>38274</v>
          </cell>
          <cell r="AE189">
            <v>38296</v>
          </cell>
        </row>
        <row r="190">
          <cell r="B190">
            <v>3195</v>
          </cell>
          <cell r="C190">
            <v>58</v>
          </cell>
          <cell r="F190" t="str">
            <v>УПНП</v>
          </cell>
          <cell r="G190">
            <v>255</v>
          </cell>
          <cell r="H190" t="str">
            <v>ШГН</v>
          </cell>
          <cell r="I190" t="str">
            <v>конс.</v>
          </cell>
          <cell r="J190">
            <v>33817</v>
          </cell>
          <cell r="K190">
            <v>0</v>
          </cell>
          <cell r="L190">
            <v>0</v>
          </cell>
          <cell r="M190">
            <v>0</v>
          </cell>
          <cell r="N190">
            <v>80</v>
          </cell>
          <cell r="O190">
            <v>24.8</v>
          </cell>
          <cell r="P190">
            <v>62</v>
          </cell>
          <cell r="Q190">
            <v>80</v>
          </cell>
          <cell r="R190">
            <v>24.8</v>
          </cell>
          <cell r="S190">
            <v>61.7</v>
          </cell>
          <cell r="T190">
            <v>38292</v>
          </cell>
          <cell r="U190" t="str">
            <v>ГРП</v>
          </cell>
          <cell r="W190" t="str">
            <v>ВЦ,ВЗ,ПП ЮК-10-11,ГПР,сп.Э-80</v>
          </cell>
          <cell r="AD190">
            <v>38280</v>
          </cell>
          <cell r="AE190">
            <v>38287</v>
          </cell>
        </row>
        <row r="191">
          <cell r="B191">
            <v>3216</v>
          </cell>
          <cell r="C191">
            <v>58</v>
          </cell>
          <cell r="F191" t="str">
            <v>УПНП</v>
          </cell>
          <cell r="G191">
            <v>270</v>
          </cell>
          <cell r="H191" t="str">
            <v>ШГН</v>
          </cell>
          <cell r="I191" t="str">
            <v>бд</v>
          </cell>
          <cell r="J191">
            <v>35780</v>
          </cell>
          <cell r="K191">
            <v>0</v>
          </cell>
          <cell r="L191">
            <v>0</v>
          </cell>
          <cell r="M191">
            <v>0</v>
          </cell>
          <cell r="N191">
            <v>80</v>
          </cell>
          <cell r="O191">
            <v>24.1</v>
          </cell>
          <cell r="P191">
            <v>63</v>
          </cell>
          <cell r="Q191">
            <v>80</v>
          </cell>
          <cell r="R191">
            <v>24.1</v>
          </cell>
          <cell r="S191">
            <v>62.8</v>
          </cell>
          <cell r="T191">
            <v>38325</v>
          </cell>
          <cell r="U191" t="str">
            <v>ГРП</v>
          </cell>
          <cell r="W191" t="str">
            <v>ВЦ,ПП ЮК-10,ГРП,сп.Э-80</v>
          </cell>
          <cell r="AD191">
            <v>38288</v>
          </cell>
          <cell r="AE191">
            <v>38320</v>
          </cell>
        </row>
        <row r="192">
          <cell r="B192">
            <v>5310</v>
          </cell>
          <cell r="C192">
            <v>140</v>
          </cell>
          <cell r="F192" t="str">
            <v>УПНП</v>
          </cell>
          <cell r="G192">
            <v>250</v>
          </cell>
          <cell r="H192" t="str">
            <v>ШГН</v>
          </cell>
          <cell r="I192" t="str">
            <v>бд</v>
          </cell>
          <cell r="K192">
            <v>0</v>
          </cell>
          <cell r="L192">
            <v>0</v>
          </cell>
          <cell r="M192">
            <v>0</v>
          </cell>
          <cell r="N192">
            <v>54</v>
          </cell>
          <cell r="O192">
            <v>26.8</v>
          </cell>
          <cell r="P192">
            <v>39</v>
          </cell>
          <cell r="Q192">
            <v>54</v>
          </cell>
          <cell r="R192">
            <v>26.8</v>
          </cell>
          <cell r="S192">
            <v>39</v>
          </cell>
          <cell r="T192">
            <v>38354</v>
          </cell>
          <cell r="U192" t="str">
            <v>ЛА</v>
          </cell>
          <cell r="W192" t="str">
            <v>Извлечение ЭЦН</v>
          </cell>
          <cell r="AD192">
            <v>38254</v>
          </cell>
          <cell r="AE192">
            <v>38289</v>
          </cell>
        </row>
        <row r="193">
          <cell r="B193">
            <v>2889</v>
          </cell>
          <cell r="C193">
            <v>132</v>
          </cell>
          <cell r="F193" t="str">
            <v>УПНП</v>
          </cell>
          <cell r="G193">
            <v>230</v>
          </cell>
          <cell r="H193" t="str">
            <v>ШГН</v>
          </cell>
          <cell r="I193" t="str">
            <v>бд</v>
          </cell>
          <cell r="J193">
            <v>32302</v>
          </cell>
          <cell r="K193">
            <v>0</v>
          </cell>
          <cell r="L193">
            <v>0</v>
          </cell>
          <cell r="M193">
            <v>0</v>
          </cell>
          <cell r="N193">
            <v>80</v>
          </cell>
          <cell r="O193">
            <v>24.1</v>
          </cell>
          <cell r="P193">
            <v>63</v>
          </cell>
          <cell r="Q193">
            <v>80</v>
          </cell>
          <cell r="R193">
            <v>24.1</v>
          </cell>
          <cell r="S193">
            <v>62.8</v>
          </cell>
          <cell r="T193">
            <v>38322</v>
          </cell>
          <cell r="U193" t="str">
            <v>ГРП</v>
          </cell>
          <cell r="W193" t="str">
            <v>ВЦ с ЛА(извл.штанг ),ГИС-2,ГРП ЮК-10,сп.Э-80</v>
          </cell>
          <cell r="AD193">
            <v>38261</v>
          </cell>
          <cell r="AE193">
            <v>38317</v>
          </cell>
        </row>
        <row r="194">
          <cell r="B194">
            <v>2634</v>
          </cell>
          <cell r="C194" t="str">
            <v>157б</v>
          </cell>
          <cell r="F194" t="str">
            <v>УПНП</v>
          </cell>
          <cell r="G194">
            <v>230</v>
          </cell>
          <cell r="H194" t="str">
            <v>ШГН</v>
          </cell>
          <cell r="I194" t="str">
            <v>конс.</v>
          </cell>
          <cell r="N194">
            <v>6</v>
          </cell>
          <cell r="O194">
            <v>3.2</v>
          </cell>
          <cell r="P194">
            <v>35</v>
          </cell>
          <cell r="Q194">
            <v>6</v>
          </cell>
          <cell r="R194">
            <v>3.2</v>
          </cell>
          <cell r="S194">
            <v>34.200000000000003</v>
          </cell>
          <cell r="T194">
            <v>38327</v>
          </cell>
          <cell r="U194" t="str">
            <v>вцд</v>
          </cell>
          <cell r="W194" t="str">
            <v>ВЦ.Смена НВ-32</v>
          </cell>
          <cell r="AE194">
            <v>38322</v>
          </cell>
        </row>
        <row r="195">
          <cell r="B195">
            <v>2718</v>
          </cell>
          <cell r="C195">
            <v>165</v>
          </cell>
          <cell r="F195" t="str">
            <v>УПНП</v>
          </cell>
          <cell r="G195">
            <v>230</v>
          </cell>
          <cell r="H195" t="str">
            <v>ШГН</v>
          </cell>
          <cell r="I195" t="str">
            <v>бд</v>
          </cell>
          <cell r="N195">
            <v>6</v>
          </cell>
          <cell r="O195">
            <v>3.2</v>
          </cell>
          <cell r="P195">
            <v>35</v>
          </cell>
          <cell r="Q195">
            <v>6</v>
          </cell>
          <cell r="R195">
            <v>3.2</v>
          </cell>
          <cell r="S195">
            <v>34.200000000000003</v>
          </cell>
          <cell r="T195">
            <v>38310</v>
          </cell>
          <cell r="U195" t="str">
            <v>вцд</v>
          </cell>
          <cell r="W195" t="str">
            <v>ВЦ.Смена НВ-32</v>
          </cell>
        </row>
        <row r="196">
          <cell r="B196">
            <v>4220</v>
          </cell>
          <cell r="C196">
            <v>315</v>
          </cell>
          <cell r="F196" t="str">
            <v>УПНП</v>
          </cell>
          <cell r="G196">
            <v>240</v>
          </cell>
          <cell r="H196" t="str">
            <v>ЭЦН</v>
          </cell>
          <cell r="I196" t="str">
            <v>конс.</v>
          </cell>
          <cell r="J196">
            <v>37501</v>
          </cell>
          <cell r="N196">
            <v>50</v>
          </cell>
          <cell r="O196">
            <v>24.1</v>
          </cell>
          <cell r="P196">
            <v>40.9</v>
          </cell>
          <cell r="Q196">
            <v>50</v>
          </cell>
          <cell r="R196">
            <v>24.1</v>
          </cell>
          <cell r="S196">
            <v>40.5</v>
          </cell>
          <cell r="T196">
            <v>38323</v>
          </cell>
          <cell r="U196" t="str">
            <v>ГРП</v>
          </cell>
          <cell r="W196" t="str">
            <v>ИР ЮК-10,ДП ЮК-2,ГРП.осв.</v>
          </cell>
          <cell r="AD196">
            <v>38297</v>
          </cell>
          <cell r="AE196">
            <v>38318</v>
          </cell>
        </row>
        <row r="197">
          <cell r="B197">
            <v>5309</v>
          </cell>
          <cell r="C197">
            <v>140</v>
          </cell>
          <cell r="F197" t="str">
            <v>УПНП</v>
          </cell>
          <cell r="G197">
            <v>270</v>
          </cell>
          <cell r="H197" t="str">
            <v>ШГН</v>
          </cell>
          <cell r="I197" t="str">
            <v>бдтг</v>
          </cell>
          <cell r="K197">
            <v>0</v>
          </cell>
          <cell r="L197">
            <v>0</v>
          </cell>
          <cell r="M197">
            <v>0</v>
          </cell>
          <cell r="N197">
            <v>26</v>
          </cell>
          <cell r="O197">
            <v>12</v>
          </cell>
          <cell r="P197">
            <v>43</v>
          </cell>
          <cell r="Q197">
            <v>26</v>
          </cell>
          <cell r="R197">
            <v>12</v>
          </cell>
          <cell r="S197">
            <v>43</v>
          </cell>
          <cell r="T197">
            <v>38822</v>
          </cell>
          <cell r="U197" t="str">
            <v>бдк</v>
          </cell>
          <cell r="W197" t="str">
            <v>ЛА, сп.Э-30</v>
          </cell>
          <cell r="X197" t="str">
            <v>Почему не обводнен ЮК-11?</v>
          </cell>
          <cell r="AD197">
            <v>38312</v>
          </cell>
          <cell r="AE197">
            <v>38329</v>
          </cell>
        </row>
        <row r="198">
          <cell r="B198">
            <v>5609</v>
          </cell>
          <cell r="C198">
            <v>114</v>
          </cell>
          <cell r="F198" t="str">
            <v>УПНП</v>
          </cell>
          <cell r="G198">
            <v>230</v>
          </cell>
          <cell r="H198" t="str">
            <v>ШГН</v>
          </cell>
          <cell r="I198" t="str">
            <v>действ.</v>
          </cell>
          <cell r="K198">
            <v>2</v>
          </cell>
          <cell r="L198">
            <v>1.2</v>
          </cell>
          <cell r="M198">
            <v>28</v>
          </cell>
          <cell r="N198">
            <v>80</v>
          </cell>
          <cell r="O198">
            <v>25.3</v>
          </cell>
          <cell r="P198">
            <v>61.2</v>
          </cell>
          <cell r="Q198">
            <v>78</v>
          </cell>
          <cell r="R198">
            <v>24.1</v>
          </cell>
          <cell r="S198">
            <v>61.9</v>
          </cell>
          <cell r="T198">
            <v>38334</v>
          </cell>
          <cell r="U198" t="str">
            <v>ГРП</v>
          </cell>
          <cell r="W198" t="str">
            <v>ВЦ.ПП.ГРП ЮК-10.Сп.ЭЦН-80</v>
          </cell>
          <cell r="AD198">
            <v>38305</v>
          </cell>
          <cell r="AE198">
            <v>38329</v>
          </cell>
        </row>
        <row r="199">
          <cell r="B199">
            <v>2881</v>
          </cell>
          <cell r="C199">
            <v>127</v>
          </cell>
          <cell r="F199" t="str">
            <v>УПНП</v>
          </cell>
          <cell r="G199">
            <v>280</v>
          </cell>
          <cell r="H199" t="str">
            <v>ЭЦН</v>
          </cell>
          <cell r="I199" t="str">
            <v>действ.</v>
          </cell>
          <cell r="K199">
            <v>15</v>
          </cell>
          <cell r="L199">
            <v>4.3</v>
          </cell>
          <cell r="M199">
            <v>65</v>
          </cell>
          <cell r="N199">
            <v>45</v>
          </cell>
          <cell r="O199">
            <v>10.6</v>
          </cell>
          <cell r="P199">
            <v>71</v>
          </cell>
          <cell r="Q199">
            <v>30</v>
          </cell>
          <cell r="R199">
            <v>6.3</v>
          </cell>
          <cell r="S199">
            <v>74.099999999999994</v>
          </cell>
          <cell r="T199">
            <v>38349</v>
          </cell>
          <cell r="U199" t="str">
            <v>опз</v>
          </cell>
          <cell r="W199" t="str">
            <v>Интенсификация притока : осв. СН-32</v>
          </cell>
          <cell r="AD199">
            <v>38330</v>
          </cell>
          <cell r="AE199">
            <v>38344</v>
          </cell>
        </row>
        <row r="200">
          <cell r="B200">
            <v>2708</v>
          </cell>
          <cell r="C200">
            <v>160</v>
          </cell>
          <cell r="F200" t="str">
            <v>УПНП</v>
          </cell>
          <cell r="G200">
            <v>260</v>
          </cell>
          <cell r="H200" t="str">
            <v>ШГН</v>
          </cell>
          <cell r="I200" t="str">
            <v>действ.</v>
          </cell>
          <cell r="K200">
            <v>5</v>
          </cell>
          <cell r="L200">
            <v>3.1</v>
          </cell>
          <cell r="M200">
            <v>25</v>
          </cell>
          <cell r="N200">
            <v>80</v>
          </cell>
          <cell r="O200">
            <v>27.2</v>
          </cell>
          <cell r="P200">
            <v>58.3</v>
          </cell>
          <cell r="Q200">
            <v>75</v>
          </cell>
          <cell r="R200">
            <v>24.1</v>
          </cell>
          <cell r="S200">
            <v>60.3</v>
          </cell>
          <cell r="T200">
            <v>38332</v>
          </cell>
          <cell r="U200" t="str">
            <v>ГРП</v>
          </cell>
          <cell r="W200" t="str">
            <v>ВЦ.ПП.ГРП ЮК-10.Сп.ЭЦН-80</v>
          </cell>
          <cell r="AD200">
            <v>38303</v>
          </cell>
          <cell r="AE200">
            <v>38327</v>
          </cell>
        </row>
        <row r="201">
          <cell r="B201">
            <v>5465</v>
          </cell>
          <cell r="C201">
            <v>106</v>
          </cell>
          <cell r="F201" t="str">
            <v>УПНП</v>
          </cell>
          <cell r="G201">
            <v>260</v>
          </cell>
          <cell r="H201" t="str">
            <v>ЭЦН</v>
          </cell>
          <cell r="I201" t="str">
            <v>действ.</v>
          </cell>
          <cell r="J201">
            <v>33848</v>
          </cell>
          <cell r="K201">
            <v>18</v>
          </cell>
          <cell r="L201">
            <v>1.5</v>
          </cell>
          <cell r="M201">
            <v>90</v>
          </cell>
          <cell r="N201">
            <v>80</v>
          </cell>
          <cell r="O201">
            <v>7.2</v>
          </cell>
          <cell r="P201">
            <v>89</v>
          </cell>
          <cell r="Q201">
            <v>62</v>
          </cell>
          <cell r="R201">
            <v>5.7</v>
          </cell>
          <cell r="S201">
            <v>88.6</v>
          </cell>
          <cell r="T201">
            <v>38310</v>
          </cell>
          <cell r="U201" t="str">
            <v>опз</v>
          </cell>
          <cell r="W201" t="str">
            <v>Интенсификация притока : осв. СН-32</v>
          </cell>
          <cell r="AD201">
            <v>38321</v>
          </cell>
          <cell r="AE201">
            <v>38305</v>
          </cell>
        </row>
        <row r="202">
          <cell r="B202">
            <v>4326</v>
          </cell>
          <cell r="C202">
            <v>218</v>
          </cell>
          <cell r="F202" t="str">
            <v>УПНП</v>
          </cell>
          <cell r="G202">
            <v>240</v>
          </cell>
          <cell r="H202" t="str">
            <v>Ф/Э</v>
          </cell>
          <cell r="I202" t="str">
            <v>бд</v>
          </cell>
          <cell r="J202">
            <v>34213</v>
          </cell>
          <cell r="K202">
            <v>0</v>
          </cell>
          <cell r="L202">
            <v>0</v>
          </cell>
          <cell r="M202">
            <v>0</v>
          </cell>
          <cell r="N202">
            <v>50</v>
          </cell>
          <cell r="O202">
            <v>24.1</v>
          </cell>
          <cell r="P202">
            <v>40.9</v>
          </cell>
          <cell r="Q202">
            <v>50</v>
          </cell>
          <cell r="R202">
            <v>24.1</v>
          </cell>
          <cell r="S202">
            <v>40.5</v>
          </cell>
          <cell r="T202">
            <v>38335</v>
          </cell>
          <cell r="U202" t="str">
            <v>ГРП</v>
          </cell>
          <cell r="W202" t="str">
            <v>ЛА,ИР ЮК-10,ДП ЮК-2,ГРП.осв.</v>
          </cell>
          <cell r="AD202">
            <v>38296</v>
          </cell>
          <cell r="AE202">
            <v>38330</v>
          </cell>
        </row>
        <row r="203">
          <cell r="B203">
            <v>3656</v>
          </cell>
          <cell r="C203">
            <v>76</v>
          </cell>
          <cell r="F203" t="str">
            <v>УПНП</v>
          </cell>
          <cell r="G203">
            <v>240</v>
          </cell>
          <cell r="H203" t="str">
            <v>ШГН</v>
          </cell>
          <cell r="I203" t="str">
            <v>действ.</v>
          </cell>
          <cell r="K203">
            <v>1</v>
          </cell>
          <cell r="L203">
            <v>0.7</v>
          </cell>
          <cell r="M203">
            <v>15</v>
          </cell>
          <cell r="N203">
            <v>50</v>
          </cell>
          <cell r="O203">
            <v>24.5</v>
          </cell>
          <cell r="P203">
            <v>40</v>
          </cell>
          <cell r="Q203">
            <v>49</v>
          </cell>
          <cell r="R203">
            <v>23.8</v>
          </cell>
          <cell r="S203">
            <v>40</v>
          </cell>
          <cell r="T203">
            <v>38344</v>
          </cell>
          <cell r="U203" t="str">
            <v>ГРП</v>
          </cell>
          <cell r="W203" t="str">
            <v>ГРП ЮК-8-9.Сп.Э-50</v>
          </cell>
          <cell r="AD203">
            <v>38320</v>
          </cell>
          <cell r="AE203">
            <v>38339</v>
          </cell>
        </row>
        <row r="204">
          <cell r="B204">
            <v>3029</v>
          </cell>
          <cell r="C204">
            <v>52</v>
          </cell>
          <cell r="F204" t="str">
            <v>УПНП</v>
          </cell>
          <cell r="G204">
            <v>260</v>
          </cell>
          <cell r="H204" t="str">
            <v>ЭЦН</v>
          </cell>
          <cell r="I204" t="str">
            <v>бд</v>
          </cell>
          <cell r="J204">
            <v>36795</v>
          </cell>
          <cell r="K204">
            <v>0</v>
          </cell>
          <cell r="L204">
            <v>0</v>
          </cell>
          <cell r="M204">
            <v>0</v>
          </cell>
          <cell r="N204">
            <v>80</v>
          </cell>
          <cell r="O204">
            <v>24.1</v>
          </cell>
          <cell r="P204">
            <v>63</v>
          </cell>
          <cell r="Q204">
            <v>80</v>
          </cell>
          <cell r="R204">
            <v>24.1</v>
          </cell>
          <cell r="S204">
            <v>62.8</v>
          </cell>
          <cell r="T204">
            <v>38335</v>
          </cell>
          <cell r="U204" t="str">
            <v>ГРП</v>
          </cell>
          <cell r="W204" t="str">
            <v>ВЦ, ПП, ГРП ЮК-10, сп. Э-80</v>
          </cell>
          <cell r="AD204">
            <v>38296</v>
          </cell>
          <cell r="AE204">
            <v>38330</v>
          </cell>
        </row>
        <row r="205">
          <cell r="B205">
            <v>3096</v>
          </cell>
          <cell r="C205">
            <v>53</v>
          </cell>
          <cell r="F205" t="str">
            <v>УПНП</v>
          </cell>
          <cell r="G205">
            <v>250</v>
          </cell>
          <cell r="H205" t="str">
            <v>ШГН</v>
          </cell>
          <cell r="I205" t="str">
            <v>бд</v>
          </cell>
          <cell r="J205">
            <v>36246</v>
          </cell>
          <cell r="K205">
            <v>0</v>
          </cell>
          <cell r="L205">
            <v>0</v>
          </cell>
          <cell r="M205">
            <v>0</v>
          </cell>
          <cell r="N205">
            <v>30</v>
          </cell>
          <cell r="O205">
            <v>7.3</v>
          </cell>
          <cell r="P205">
            <v>70</v>
          </cell>
          <cell r="Q205">
            <v>30</v>
          </cell>
          <cell r="R205">
            <v>7.3</v>
          </cell>
          <cell r="S205">
            <v>70</v>
          </cell>
          <cell r="T205">
            <v>5</v>
          </cell>
          <cell r="U205" t="str">
            <v>бдк</v>
          </cell>
          <cell r="W205" t="str">
            <v>ВЦ.Сп.Э-30</v>
          </cell>
          <cell r="AD205">
            <v>38331</v>
          </cell>
        </row>
        <row r="206">
          <cell r="B206">
            <v>5656</v>
          </cell>
          <cell r="C206">
            <v>123</v>
          </cell>
          <cell r="F206" t="str">
            <v>УПНП</v>
          </cell>
          <cell r="G206">
            <v>250</v>
          </cell>
          <cell r="H206" t="str">
            <v>ЭЦН</v>
          </cell>
          <cell r="I206" t="str">
            <v>действ.</v>
          </cell>
          <cell r="K206">
            <v>14</v>
          </cell>
          <cell r="L206">
            <v>9.9</v>
          </cell>
          <cell r="M206">
            <v>15</v>
          </cell>
          <cell r="N206">
            <v>25</v>
          </cell>
          <cell r="O206">
            <v>17.600000000000001</v>
          </cell>
          <cell r="P206">
            <v>15</v>
          </cell>
          <cell r="Q206">
            <v>11</v>
          </cell>
          <cell r="R206">
            <v>7.7</v>
          </cell>
          <cell r="S206">
            <v>13.6</v>
          </cell>
          <cell r="T206">
            <v>38340</v>
          </cell>
          <cell r="U206" t="str">
            <v>опз</v>
          </cell>
          <cell r="W206" t="str">
            <v>Интенсификация притока : осв. СН-32</v>
          </cell>
          <cell r="AD206">
            <v>37868</v>
          </cell>
          <cell r="AE206">
            <v>38335</v>
          </cell>
        </row>
        <row r="207">
          <cell r="B207">
            <v>2442</v>
          </cell>
          <cell r="C207">
            <v>37</v>
          </cell>
          <cell r="F207" t="str">
            <v>УПНП</v>
          </cell>
          <cell r="G207">
            <v>260</v>
          </cell>
          <cell r="H207" t="str">
            <v>ЭЦН</v>
          </cell>
          <cell r="I207" t="str">
            <v>нов</v>
          </cell>
          <cell r="N207">
            <v>80</v>
          </cell>
          <cell r="O207">
            <v>46.9</v>
          </cell>
          <cell r="P207">
            <v>28</v>
          </cell>
          <cell r="Q207">
            <v>80</v>
          </cell>
          <cell r="R207">
            <v>46.9</v>
          </cell>
          <cell r="S207">
            <v>70</v>
          </cell>
          <cell r="T207">
            <v>38326</v>
          </cell>
          <cell r="U207" t="str">
            <v>новая</v>
          </cell>
          <cell r="W207" t="str">
            <v>бурение,ГРП ЮК-10,осв., сп.Э-80</v>
          </cell>
          <cell r="AD207">
            <v>38308</v>
          </cell>
          <cell r="AE207">
            <v>38321</v>
          </cell>
        </row>
        <row r="208">
          <cell r="B208">
            <v>2552</v>
          </cell>
          <cell r="C208" t="str">
            <v>36б</v>
          </cell>
          <cell r="F208" t="str">
            <v>УПНП</v>
          </cell>
          <cell r="G208">
            <v>260</v>
          </cell>
          <cell r="H208" t="str">
            <v>ЭЦН</v>
          </cell>
          <cell r="I208" t="str">
            <v>нов</v>
          </cell>
          <cell r="N208">
            <v>80</v>
          </cell>
          <cell r="O208">
            <v>46.9</v>
          </cell>
          <cell r="P208">
            <v>28</v>
          </cell>
          <cell r="Q208">
            <v>80</v>
          </cell>
          <cell r="R208">
            <v>46.9</v>
          </cell>
          <cell r="S208">
            <v>70</v>
          </cell>
          <cell r="T208">
            <v>38328</v>
          </cell>
          <cell r="U208" t="str">
            <v>новая</v>
          </cell>
          <cell r="W208" t="str">
            <v>бурение,ГРП ЮК-10,осв., сп.Э-80</v>
          </cell>
          <cell r="AD208">
            <v>38308</v>
          </cell>
          <cell r="AE208">
            <v>38323</v>
          </cell>
        </row>
        <row r="209">
          <cell r="B209">
            <v>2553</v>
          </cell>
          <cell r="C209" t="str">
            <v>36б</v>
          </cell>
          <cell r="F209" t="str">
            <v>НвБН</v>
          </cell>
          <cell r="G209">
            <v>260</v>
          </cell>
          <cell r="H209" t="str">
            <v>ЭЦН</v>
          </cell>
          <cell r="I209" t="str">
            <v>действ.</v>
          </cell>
          <cell r="K209">
            <v>45</v>
          </cell>
          <cell r="L209">
            <v>31.9</v>
          </cell>
          <cell r="M209">
            <v>12.5</v>
          </cell>
          <cell r="N209">
            <v>45</v>
          </cell>
          <cell r="O209">
            <v>31.9</v>
          </cell>
          <cell r="P209">
            <v>12.5</v>
          </cell>
          <cell r="Q209">
            <v>0</v>
          </cell>
          <cell r="R209">
            <v>0</v>
          </cell>
          <cell r="S209">
            <v>0</v>
          </cell>
          <cell r="T209">
            <v>38857</v>
          </cell>
          <cell r="U209" t="str">
            <v>ЛА</v>
          </cell>
          <cell r="W209" t="str">
            <v>Извлечение ЭЦН</v>
          </cell>
          <cell r="AD209">
            <v>38308</v>
          </cell>
          <cell r="AE209">
            <v>38346</v>
          </cell>
        </row>
        <row r="210">
          <cell r="B210">
            <v>2441</v>
          </cell>
          <cell r="C210" t="str">
            <v>36б</v>
          </cell>
          <cell r="F210" t="str">
            <v>НвБН</v>
          </cell>
          <cell r="G210">
            <v>260</v>
          </cell>
          <cell r="H210" t="str">
            <v>ЭЦН</v>
          </cell>
          <cell r="I210" t="str">
            <v>нов</v>
          </cell>
          <cell r="K210">
            <v>0</v>
          </cell>
          <cell r="L210">
            <v>0</v>
          </cell>
          <cell r="M210">
            <v>0</v>
          </cell>
          <cell r="N210">
            <v>50</v>
          </cell>
          <cell r="O210">
            <v>38.700000000000003</v>
          </cell>
          <cell r="P210">
            <v>5</v>
          </cell>
          <cell r="Q210">
            <v>50</v>
          </cell>
          <cell r="R210">
            <v>38.700000000000003</v>
          </cell>
          <cell r="S210">
            <v>5</v>
          </cell>
          <cell r="T210">
            <v>38381</v>
          </cell>
          <cell r="U210" t="str">
            <v>новая</v>
          </cell>
          <cell r="W210" t="str">
            <v>бурение,ГРП ЮК-10,осв., сп.Э-80</v>
          </cell>
          <cell r="AE210">
            <v>38374</v>
          </cell>
        </row>
        <row r="211">
          <cell r="B211" t="str">
            <v>2554б</v>
          </cell>
          <cell r="C211" t="str">
            <v>36б</v>
          </cell>
          <cell r="F211" t="str">
            <v>НвБН</v>
          </cell>
          <cell r="G211">
            <v>260</v>
          </cell>
          <cell r="H211" t="str">
            <v>ЭЦН</v>
          </cell>
          <cell r="I211" t="str">
            <v>нов</v>
          </cell>
          <cell r="K211">
            <v>0</v>
          </cell>
          <cell r="L211">
            <v>0</v>
          </cell>
          <cell r="M211">
            <v>0</v>
          </cell>
          <cell r="N211">
            <v>125</v>
          </cell>
          <cell r="O211">
            <v>96.8</v>
          </cell>
          <cell r="P211">
            <v>5</v>
          </cell>
          <cell r="Q211">
            <v>125</v>
          </cell>
          <cell r="R211">
            <v>96.8</v>
          </cell>
          <cell r="S211">
            <v>5</v>
          </cell>
          <cell r="T211">
            <v>38381</v>
          </cell>
          <cell r="U211" t="str">
            <v>новая</v>
          </cell>
          <cell r="W211" t="str">
            <v>бурение,ГРП ЮК-10,осв., сп.Э-80</v>
          </cell>
          <cell r="AE211">
            <v>38374</v>
          </cell>
        </row>
        <row r="212">
          <cell r="B212">
            <v>2614</v>
          </cell>
          <cell r="C212">
            <v>157</v>
          </cell>
          <cell r="F212" t="str">
            <v>УПНПиКРС</v>
          </cell>
          <cell r="G212">
            <v>230</v>
          </cell>
          <cell r="H212" t="str">
            <v>ШГН</v>
          </cell>
          <cell r="I212" t="str">
            <v>действ.</v>
          </cell>
          <cell r="K212">
            <v>80</v>
          </cell>
          <cell r="L212">
            <v>15.6</v>
          </cell>
          <cell r="M212">
            <v>76</v>
          </cell>
          <cell r="N212">
            <v>80</v>
          </cell>
          <cell r="O212">
            <v>20.399999999999999</v>
          </cell>
          <cell r="P212">
            <v>68.7</v>
          </cell>
          <cell r="Q212">
            <v>0</v>
          </cell>
          <cell r="R212">
            <v>4.7999999999999989</v>
          </cell>
          <cell r="S212" t="e">
            <v>#DIV/0!</v>
          </cell>
          <cell r="T212">
            <v>38362</v>
          </cell>
          <cell r="U212" t="str">
            <v>ГРП</v>
          </cell>
          <cell r="V212">
            <v>2</v>
          </cell>
          <cell r="W212" t="str">
            <v>ПП.ГРП ЮК-10,сп.ЭЦН</v>
          </cell>
          <cell r="AD212">
            <v>38338</v>
          </cell>
          <cell r="AE212">
            <v>38355</v>
          </cell>
        </row>
        <row r="213">
          <cell r="B213">
            <v>5816</v>
          </cell>
          <cell r="C213">
            <v>142</v>
          </cell>
          <cell r="F213" t="str">
            <v>УПНПиКРС</v>
          </cell>
          <cell r="G213">
            <v>240</v>
          </cell>
          <cell r="H213" t="str">
            <v>ШГН</v>
          </cell>
          <cell r="I213" t="str">
            <v>бд</v>
          </cell>
          <cell r="J213">
            <v>32476</v>
          </cell>
          <cell r="K213">
            <v>0</v>
          </cell>
          <cell r="L213">
            <v>0</v>
          </cell>
          <cell r="M213">
            <v>0</v>
          </cell>
          <cell r="N213">
            <v>80</v>
          </cell>
          <cell r="O213">
            <v>19</v>
          </cell>
          <cell r="P213">
            <v>70.8</v>
          </cell>
          <cell r="Q213">
            <v>80</v>
          </cell>
          <cell r="R213">
            <v>19</v>
          </cell>
          <cell r="S213">
            <v>70.7</v>
          </cell>
          <cell r="T213">
            <v>38376</v>
          </cell>
          <cell r="U213" t="str">
            <v>ГРП</v>
          </cell>
          <cell r="W213" t="str">
            <v>ВЦ.ГИС-2,ИР ЗКЦ,ПП,ГРП ЮК-10,спуск ЭЦН</v>
          </cell>
          <cell r="AD213">
            <v>38343</v>
          </cell>
          <cell r="AE213">
            <v>38369</v>
          </cell>
        </row>
        <row r="214">
          <cell r="B214">
            <v>2916</v>
          </cell>
          <cell r="C214">
            <v>43</v>
          </cell>
          <cell r="F214" t="str">
            <v>УПНП</v>
          </cell>
          <cell r="G214">
            <v>270</v>
          </cell>
          <cell r="H214" t="str">
            <v>ШГН</v>
          </cell>
          <cell r="I214" t="str">
            <v>конс.</v>
          </cell>
          <cell r="J214">
            <v>34972</v>
          </cell>
          <cell r="K214">
            <v>0</v>
          </cell>
          <cell r="L214">
            <v>0</v>
          </cell>
          <cell r="M214">
            <v>0</v>
          </cell>
          <cell r="N214">
            <v>80</v>
          </cell>
          <cell r="O214">
            <v>24.1</v>
          </cell>
          <cell r="P214">
            <v>63</v>
          </cell>
          <cell r="Q214">
            <v>80</v>
          </cell>
          <cell r="R214">
            <v>24.1</v>
          </cell>
          <cell r="S214">
            <v>63</v>
          </cell>
          <cell r="T214">
            <v>38362</v>
          </cell>
          <cell r="U214" t="str">
            <v>ГРП</v>
          </cell>
          <cell r="W214" t="str">
            <v>ВЦ,РИР,ГИС-2,ГРП ЮК-10,осв.спуск ЭЦН</v>
          </cell>
          <cell r="AD214">
            <v>38264</v>
          </cell>
          <cell r="AE214">
            <v>38355</v>
          </cell>
        </row>
        <row r="215">
          <cell r="B215">
            <v>5250</v>
          </cell>
          <cell r="C215">
            <v>137</v>
          </cell>
          <cell r="F215" t="str">
            <v>УПНПиКРС</v>
          </cell>
          <cell r="G215">
            <v>260</v>
          </cell>
          <cell r="H215" t="str">
            <v>Фон</v>
          </cell>
          <cell r="I215" t="str">
            <v>бд</v>
          </cell>
          <cell r="J215">
            <v>31121</v>
          </cell>
          <cell r="K215">
            <v>0</v>
          </cell>
          <cell r="L215">
            <v>0</v>
          </cell>
          <cell r="M215">
            <v>0</v>
          </cell>
          <cell r="N215">
            <v>50</v>
          </cell>
          <cell r="O215">
            <v>5.3</v>
          </cell>
          <cell r="P215">
            <v>87</v>
          </cell>
          <cell r="Q215">
            <v>50</v>
          </cell>
          <cell r="R215">
            <v>5.3</v>
          </cell>
          <cell r="S215">
            <v>86.9</v>
          </cell>
          <cell r="T215">
            <v>7</v>
          </cell>
          <cell r="U215" t="str">
            <v>бдк</v>
          </cell>
          <cell r="W215" t="str">
            <v>смена фор. /ЭЦН-50</v>
          </cell>
        </row>
        <row r="216">
          <cell r="B216">
            <v>5434</v>
          </cell>
          <cell r="C216">
            <v>106</v>
          </cell>
          <cell r="F216" t="str">
            <v>УПНПиКРС</v>
          </cell>
          <cell r="G216">
            <v>255</v>
          </cell>
          <cell r="H216" t="str">
            <v>ЭЦН</v>
          </cell>
          <cell r="I216" t="str">
            <v>бд</v>
          </cell>
          <cell r="J216">
            <v>33150</v>
          </cell>
          <cell r="N216">
            <v>200</v>
          </cell>
          <cell r="Q216">
            <v>200</v>
          </cell>
          <cell r="T216">
            <v>38365</v>
          </cell>
          <cell r="U216" t="str">
            <v>НГ</v>
          </cell>
          <cell r="W216" t="str">
            <v>ОТСК,ПП,ОПЗ,ГИС-3,сп.пакера</v>
          </cell>
          <cell r="AD216">
            <v>38344</v>
          </cell>
          <cell r="AE216">
            <v>38358</v>
          </cell>
        </row>
        <row r="217">
          <cell r="B217">
            <v>5743</v>
          </cell>
          <cell r="C217">
            <v>128</v>
          </cell>
          <cell r="F217" t="str">
            <v>УПНПиКРС</v>
          </cell>
          <cell r="G217">
            <v>270</v>
          </cell>
          <cell r="H217" t="str">
            <v>нагнет.</v>
          </cell>
          <cell r="I217" t="str">
            <v>бд</v>
          </cell>
          <cell r="J217">
            <v>34535</v>
          </cell>
          <cell r="N217">
            <v>200</v>
          </cell>
          <cell r="Q217">
            <v>200</v>
          </cell>
          <cell r="T217">
            <v>3</v>
          </cell>
          <cell r="U217" t="str">
            <v>НГ</v>
          </cell>
          <cell r="W217" t="str">
            <v>ИР ЮК-11,ПП,ОПЗ,ГИС-3,сп.пакера</v>
          </cell>
        </row>
        <row r="218">
          <cell r="B218">
            <v>2858</v>
          </cell>
          <cell r="C218">
            <v>42</v>
          </cell>
          <cell r="F218" t="str">
            <v>УПНПиКРС</v>
          </cell>
          <cell r="G218">
            <v>240</v>
          </cell>
          <cell r="H218" t="str">
            <v>ЭЦН</v>
          </cell>
          <cell r="I218" t="str">
            <v>действ.</v>
          </cell>
          <cell r="K218">
            <v>151</v>
          </cell>
          <cell r="L218">
            <v>17.2</v>
          </cell>
          <cell r="M218">
            <v>86</v>
          </cell>
          <cell r="N218">
            <v>250</v>
          </cell>
          <cell r="O218">
            <v>28.6</v>
          </cell>
          <cell r="P218">
            <v>86</v>
          </cell>
          <cell r="Q218">
            <v>99</v>
          </cell>
          <cell r="R218">
            <v>11.4</v>
          </cell>
          <cell r="S218">
            <v>85.8</v>
          </cell>
          <cell r="T218">
            <v>7</v>
          </cell>
          <cell r="U218" t="str">
            <v>опт</v>
          </cell>
          <cell r="W218" t="str">
            <v>Оптимизация Э-125/250</v>
          </cell>
          <cell r="AF218">
            <v>35</v>
          </cell>
          <cell r="AG218">
            <v>-163684</v>
          </cell>
        </row>
        <row r="219">
          <cell r="B219">
            <v>4438</v>
          </cell>
          <cell r="C219" t="str">
            <v>179б</v>
          </cell>
          <cell r="F219" t="str">
            <v>УПНПиКРС</v>
          </cell>
          <cell r="G219">
            <v>240</v>
          </cell>
          <cell r="H219" t="str">
            <v>ЭЦН</v>
          </cell>
          <cell r="I219" t="str">
            <v>действ.</v>
          </cell>
          <cell r="K219">
            <v>62</v>
          </cell>
          <cell r="L219">
            <v>6.6</v>
          </cell>
          <cell r="M219">
            <v>87</v>
          </cell>
          <cell r="N219">
            <v>124.7</v>
          </cell>
          <cell r="O219">
            <v>13.2</v>
          </cell>
          <cell r="P219">
            <v>87</v>
          </cell>
          <cell r="Q219">
            <v>62.7</v>
          </cell>
          <cell r="R219">
            <v>6.6</v>
          </cell>
          <cell r="S219">
            <v>87</v>
          </cell>
          <cell r="T219">
            <v>7</v>
          </cell>
          <cell r="U219" t="str">
            <v>опт</v>
          </cell>
          <cell r="W219" t="str">
            <v>Оптимизация Э-80/125</v>
          </cell>
        </row>
        <row r="220">
          <cell r="B220">
            <v>2861</v>
          </cell>
          <cell r="C220">
            <v>127</v>
          </cell>
          <cell r="F220" t="str">
            <v>УПНПиКРС</v>
          </cell>
          <cell r="H220" t="str">
            <v>ШГН</v>
          </cell>
          <cell r="I220" t="str">
            <v>действ.</v>
          </cell>
          <cell r="J220">
            <v>35455</v>
          </cell>
          <cell r="K220">
            <v>0</v>
          </cell>
          <cell r="L220">
            <v>0</v>
          </cell>
          <cell r="M220">
            <v>0</v>
          </cell>
          <cell r="N220">
            <v>80</v>
          </cell>
          <cell r="O220">
            <v>23.7</v>
          </cell>
          <cell r="P220">
            <v>63.6</v>
          </cell>
          <cell r="Q220">
            <v>71</v>
          </cell>
          <cell r="R220">
            <v>19</v>
          </cell>
          <cell r="S220">
            <v>64</v>
          </cell>
          <cell r="T220">
            <v>38593</v>
          </cell>
          <cell r="U220" t="str">
            <v>ГРП</v>
          </cell>
          <cell r="W220" t="str">
            <v>ГРП ЮК-10</v>
          </cell>
          <cell r="Z220">
            <v>19.82</v>
          </cell>
        </row>
        <row r="221">
          <cell r="B221">
            <v>5278</v>
          </cell>
          <cell r="C221">
            <v>138</v>
          </cell>
          <cell r="F221" t="str">
            <v>УПНПиКРС</v>
          </cell>
          <cell r="G221">
            <v>270</v>
          </cell>
          <cell r="H221" t="str">
            <v>нагнет.</v>
          </cell>
          <cell r="I221" t="str">
            <v>действ.</v>
          </cell>
          <cell r="N221">
            <v>200</v>
          </cell>
          <cell r="Q221">
            <v>200</v>
          </cell>
          <cell r="T221">
            <v>38351</v>
          </cell>
          <cell r="U221" t="str">
            <v>НГ</v>
          </cell>
          <cell r="W221" t="str">
            <v>ИР ЮК-11,ПП,ОПЗ,ГИС-3,сп.пакера</v>
          </cell>
          <cell r="AD221">
            <v>38334</v>
          </cell>
          <cell r="AE221">
            <v>38348</v>
          </cell>
        </row>
        <row r="222">
          <cell r="B222">
            <v>3405</v>
          </cell>
          <cell r="C222">
            <v>68</v>
          </cell>
          <cell r="F222" t="str">
            <v>УПНП</v>
          </cell>
          <cell r="G222">
            <v>240</v>
          </cell>
          <cell r="H222" t="str">
            <v>ЭЦН</v>
          </cell>
          <cell r="I222" t="str">
            <v>бд</v>
          </cell>
          <cell r="K222">
            <v>0</v>
          </cell>
          <cell r="L222">
            <v>0</v>
          </cell>
          <cell r="M222">
            <v>0</v>
          </cell>
          <cell r="N222">
            <v>80</v>
          </cell>
          <cell r="O222">
            <v>6.5</v>
          </cell>
          <cell r="P222">
            <v>90</v>
          </cell>
          <cell r="Q222">
            <v>80</v>
          </cell>
          <cell r="R222">
            <v>6.5</v>
          </cell>
          <cell r="S222">
            <v>90</v>
          </cell>
          <cell r="T222">
            <v>38456</v>
          </cell>
          <cell r="U222" t="str">
            <v>бдк</v>
          </cell>
          <cell r="W222" t="str">
            <v>ВЗ, ОТСК,РИР Э/К,сп.Э-80</v>
          </cell>
        </row>
        <row r="223">
          <cell r="B223">
            <v>5283</v>
          </cell>
          <cell r="C223">
            <v>140</v>
          </cell>
          <cell r="F223" t="str">
            <v>УПНП</v>
          </cell>
          <cell r="G223">
            <v>250</v>
          </cell>
          <cell r="H223" t="str">
            <v>ШГН</v>
          </cell>
          <cell r="I223" t="str">
            <v>бд</v>
          </cell>
          <cell r="K223">
            <v>0</v>
          </cell>
          <cell r="L223">
            <v>0</v>
          </cell>
          <cell r="M223">
            <v>0</v>
          </cell>
          <cell r="N223">
            <v>80</v>
          </cell>
          <cell r="O223">
            <v>19</v>
          </cell>
          <cell r="P223">
            <v>70.7</v>
          </cell>
          <cell r="Q223">
            <v>80</v>
          </cell>
          <cell r="R223">
            <v>19</v>
          </cell>
          <cell r="S223">
            <v>70.7</v>
          </cell>
          <cell r="T223">
            <v>38453</v>
          </cell>
          <cell r="U223" t="str">
            <v>ГРП</v>
          </cell>
          <cell r="W223" t="str">
            <v>ВЦ,ГРП ЮК-10,сп.Э-80</v>
          </cell>
        </row>
        <row r="224">
          <cell r="B224">
            <v>3816</v>
          </cell>
          <cell r="C224">
            <v>87</v>
          </cell>
          <cell r="F224" t="str">
            <v>УПНП</v>
          </cell>
          <cell r="G224">
            <v>240</v>
          </cell>
          <cell r="H224" t="str">
            <v>ФОН</v>
          </cell>
          <cell r="I224" t="str">
            <v>конс.</v>
          </cell>
          <cell r="K224">
            <v>0</v>
          </cell>
          <cell r="L224">
            <v>0</v>
          </cell>
          <cell r="M224">
            <v>0</v>
          </cell>
          <cell r="N224">
            <v>50</v>
          </cell>
          <cell r="O224">
            <v>5.9</v>
          </cell>
          <cell r="P224">
            <v>85.4</v>
          </cell>
          <cell r="Q224">
            <v>50</v>
          </cell>
          <cell r="R224">
            <v>5.9</v>
          </cell>
          <cell r="S224">
            <v>85.4</v>
          </cell>
          <cell r="T224">
            <v>38457</v>
          </cell>
          <cell r="U224" t="str">
            <v>бдк</v>
          </cell>
          <cell r="W224" t="str">
            <v>ВЦ,ПП,сп.Э-50</v>
          </cell>
        </row>
        <row r="225">
          <cell r="B225">
            <v>2872</v>
          </cell>
          <cell r="C225">
            <v>158</v>
          </cell>
          <cell r="F225" t="str">
            <v>УПНП</v>
          </cell>
          <cell r="G225">
            <v>250</v>
          </cell>
          <cell r="H225" t="str">
            <v>ШГН</v>
          </cell>
          <cell r="I225" t="str">
            <v>бд</v>
          </cell>
          <cell r="K225">
            <v>0</v>
          </cell>
          <cell r="L225">
            <v>0</v>
          </cell>
          <cell r="M225">
            <v>0</v>
          </cell>
          <cell r="N225">
            <v>80</v>
          </cell>
          <cell r="O225">
            <v>19</v>
          </cell>
          <cell r="P225">
            <v>70.7</v>
          </cell>
          <cell r="Q225">
            <v>80</v>
          </cell>
          <cell r="R225">
            <v>19</v>
          </cell>
          <cell r="S225">
            <v>70.7</v>
          </cell>
          <cell r="T225">
            <v>38447</v>
          </cell>
          <cell r="U225" t="str">
            <v>ГРП</v>
          </cell>
          <cell r="W225" t="str">
            <v>ВЗ,ГРП ЮК-10,сп.Э-80</v>
          </cell>
        </row>
        <row r="226">
          <cell r="B226">
            <v>2870</v>
          </cell>
          <cell r="C226">
            <v>129</v>
          </cell>
          <cell r="F226" t="str">
            <v>УПНП</v>
          </cell>
          <cell r="G226">
            <v>260</v>
          </cell>
          <cell r="H226" t="str">
            <v>ЭЦН</v>
          </cell>
          <cell r="I226" t="str">
            <v>бд</v>
          </cell>
          <cell r="K226">
            <v>0</v>
          </cell>
          <cell r="L226">
            <v>0</v>
          </cell>
          <cell r="M226">
            <v>0</v>
          </cell>
          <cell r="N226">
            <v>80</v>
          </cell>
          <cell r="O226">
            <v>16</v>
          </cell>
          <cell r="P226">
            <v>75.3</v>
          </cell>
          <cell r="Q226">
            <v>80</v>
          </cell>
          <cell r="R226">
            <v>16</v>
          </cell>
          <cell r="S226">
            <v>75.3</v>
          </cell>
          <cell r="T226">
            <v>38464</v>
          </cell>
          <cell r="U226" t="str">
            <v>ГРП</v>
          </cell>
          <cell r="W226" t="str">
            <v>ЛА,ГРП ЮК-10,сп.Э-80</v>
          </cell>
        </row>
        <row r="227">
          <cell r="B227">
            <v>3218</v>
          </cell>
          <cell r="C227">
            <v>58</v>
          </cell>
          <cell r="F227" t="str">
            <v>УПНП</v>
          </cell>
          <cell r="G227">
            <v>260</v>
          </cell>
          <cell r="H227" t="str">
            <v>ШГН</v>
          </cell>
          <cell r="I227" t="str">
            <v>конс.</v>
          </cell>
          <cell r="K227">
            <v>0</v>
          </cell>
          <cell r="L227">
            <v>0</v>
          </cell>
          <cell r="M227">
            <v>0</v>
          </cell>
          <cell r="N227">
            <v>50</v>
          </cell>
          <cell r="O227">
            <v>6</v>
          </cell>
          <cell r="P227">
            <v>85.2</v>
          </cell>
          <cell r="Q227">
            <v>50</v>
          </cell>
          <cell r="R227">
            <v>6</v>
          </cell>
          <cell r="S227">
            <v>85.2</v>
          </cell>
          <cell r="T227">
            <v>38456</v>
          </cell>
          <cell r="U227" t="str">
            <v>бдк</v>
          </cell>
          <cell r="W227" t="str">
            <v>ВЦ, ПП, ОПЗ СНВ</v>
          </cell>
        </row>
        <row r="229">
          <cell r="B229">
            <v>2528</v>
          </cell>
          <cell r="C229" t="str">
            <v>36б</v>
          </cell>
          <cell r="F229" t="str">
            <v>НвБН</v>
          </cell>
          <cell r="G229">
            <v>250</v>
          </cell>
          <cell r="H229" t="str">
            <v>ЭЦН</v>
          </cell>
          <cell r="I229" t="str">
            <v>нов</v>
          </cell>
          <cell r="K229">
            <v>0</v>
          </cell>
          <cell r="L229">
            <v>0</v>
          </cell>
          <cell r="M229">
            <v>0</v>
          </cell>
          <cell r="N229">
            <v>85</v>
          </cell>
          <cell r="O229">
            <v>64</v>
          </cell>
          <cell r="P229">
            <v>7</v>
          </cell>
          <cell r="Q229">
            <v>85</v>
          </cell>
          <cell r="R229">
            <v>64</v>
          </cell>
          <cell r="S229">
            <v>8</v>
          </cell>
          <cell r="T229">
            <v>38456</v>
          </cell>
          <cell r="U229" t="str">
            <v>новая</v>
          </cell>
          <cell r="W229" t="str">
            <v>бурение,ГРП ЮК-10,осв., сп.Э-80</v>
          </cell>
          <cell r="AE229">
            <v>38411</v>
          </cell>
        </row>
        <row r="230">
          <cell r="B230">
            <v>2506</v>
          </cell>
          <cell r="C230">
            <v>37</v>
          </cell>
          <cell r="F230" t="str">
            <v>НвБН</v>
          </cell>
          <cell r="G230">
            <v>250</v>
          </cell>
          <cell r="H230" t="str">
            <v>ЭЦН</v>
          </cell>
          <cell r="I230" t="str">
            <v>нов</v>
          </cell>
          <cell r="K230">
            <v>0</v>
          </cell>
          <cell r="L230">
            <v>0</v>
          </cell>
          <cell r="M230">
            <v>0</v>
          </cell>
          <cell r="N230">
            <v>85</v>
          </cell>
          <cell r="O230">
            <v>64</v>
          </cell>
          <cell r="P230">
            <v>7</v>
          </cell>
          <cell r="Q230">
            <v>85</v>
          </cell>
          <cell r="R230">
            <v>64</v>
          </cell>
          <cell r="S230">
            <v>8</v>
          </cell>
          <cell r="T230">
            <v>38468</v>
          </cell>
          <cell r="U230" t="str">
            <v>новая</v>
          </cell>
          <cell r="W230" t="str">
            <v>бурение,ГРП ЮК-10,осв., сп.Э-80</v>
          </cell>
          <cell r="AE230">
            <v>38411</v>
          </cell>
        </row>
        <row r="231">
          <cell r="B231">
            <v>5829</v>
          </cell>
          <cell r="C231">
            <v>142</v>
          </cell>
          <cell r="F231" t="str">
            <v>ПРС</v>
          </cell>
          <cell r="H231" t="str">
            <v>ЭЦН</v>
          </cell>
          <cell r="I231" t="str">
            <v>конс.</v>
          </cell>
          <cell r="K231">
            <v>0</v>
          </cell>
          <cell r="L231">
            <v>0</v>
          </cell>
          <cell r="M231">
            <v>0</v>
          </cell>
          <cell r="N231">
            <v>30</v>
          </cell>
          <cell r="O231">
            <v>6</v>
          </cell>
          <cell r="P231">
            <v>75.3</v>
          </cell>
          <cell r="Q231">
            <v>30</v>
          </cell>
          <cell r="R231">
            <v>6</v>
          </cell>
          <cell r="S231">
            <v>75.3</v>
          </cell>
          <cell r="T231">
            <v>38462</v>
          </cell>
          <cell r="U231" t="str">
            <v>бдп</v>
          </cell>
          <cell r="W231" t="str">
            <v>ВЦ, сп.Э-30</v>
          </cell>
        </row>
        <row r="232">
          <cell r="B232">
            <v>5513</v>
          </cell>
          <cell r="C232">
            <v>114</v>
          </cell>
          <cell r="F232" t="str">
            <v>ПРС</v>
          </cell>
          <cell r="G232">
            <v>250</v>
          </cell>
          <cell r="H232" t="str">
            <v>ЭЦН</v>
          </cell>
          <cell r="I232" t="str">
            <v>действ.</v>
          </cell>
          <cell r="K232">
            <v>3</v>
          </cell>
          <cell r="L232">
            <v>0.4</v>
          </cell>
          <cell r="M232">
            <v>83</v>
          </cell>
          <cell r="N232">
            <v>30</v>
          </cell>
          <cell r="O232">
            <v>6.1</v>
          </cell>
          <cell r="P232">
            <v>75</v>
          </cell>
          <cell r="Q232">
            <v>27</v>
          </cell>
          <cell r="R232">
            <v>5.7</v>
          </cell>
          <cell r="S232">
            <v>73.900000000000006</v>
          </cell>
          <cell r="T232">
            <v>38055</v>
          </cell>
          <cell r="U232" t="str">
            <v>ВВП</v>
          </cell>
          <cell r="W232" t="str">
            <v>ДП ЮК-5,смена Э-30</v>
          </cell>
          <cell r="X232" t="str">
            <v>Ликвидация аварии (ЭЦН+НКТ)</v>
          </cell>
          <cell r="AE232">
            <v>38048</v>
          </cell>
          <cell r="AG232">
            <v>-55811</v>
          </cell>
          <cell r="AH232">
            <v>-632519</v>
          </cell>
        </row>
        <row r="233">
          <cell r="B233">
            <v>5351</v>
          </cell>
          <cell r="C233">
            <v>104</v>
          </cell>
          <cell r="F233" t="str">
            <v>УПНП</v>
          </cell>
          <cell r="G233">
            <v>270</v>
          </cell>
          <cell r="H233" t="str">
            <v>ШГН</v>
          </cell>
          <cell r="I233" t="str">
            <v>бд</v>
          </cell>
          <cell r="J233">
            <v>30869</v>
          </cell>
          <cell r="K233">
            <v>0</v>
          </cell>
          <cell r="L233">
            <v>0</v>
          </cell>
          <cell r="M233">
            <v>0</v>
          </cell>
          <cell r="N233">
            <v>50</v>
          </cell>
          <cell r="O233">
            <v>20.399999999999999</v>
          </cell>
          <cell r="P233">
            <v>50</v>
          </cell>
          <cell r="Q233">
            <v>50</v>
          </cell>
          <cell r="R233">
            <v>20.399999999999999</v>
          </cell>
          <cell r="S233">
            <v>49.6</v>
          </cell>
          <cell r="T233">
            <v>37809</v>
          </cell>
          <cell r="U233" t="str">
            <v>ЛА</v>
          </cell>
          <cell r="W233" t="str">
            <v>ВЦ, ЛА, ВЗ, ОТСК, ПП, сп.Э-50</v>
          </cell>
          <cell r="AD233">
            <v>37769</v>
          </cell>
          <cell r="AE233">
            <v>37802</v>
          </cell>
        </row>
        <row r="234">
          <cell r="B234">
            <v>2716</v>
          </cell>
          <cell r="C234">
            <v>165</v>
          </cell>
          <cell r="F234" t="str">
            <v>ПРС</v>
          </cell>
          <cell r="H234" t="str">
            <v>ЭЦН</v>
          </cell>
          <cell r="I234" t="str">
            <v>действ.</v>
          </cell>
          <cell r="K234">
            <v>38</v>
          </cell>
          <cell r="L234">
            <v>24.8</v>
          </cell>
          <cell r="M234">
            <v>20</v>
          </cell>
          <cell r="N234">
            <v>46.8</v>
          </cell>
          <cell r="O234">
            <v>30.4</v>
          </cell>
          <cell r="P234">
            <v>20.399999999999999</v>
          </cell>
          <cell r="Q234">
            <v>8.8000000000000007</v>
          </cell>
          <cell r="R234">
            <v>5.6</v>
          </cell>
          <cell r="S234">
            <v>20</v>
          </cell>
          <cell r="U234" t="str">
            <v>опт</v>
          </cell>
          <cell r="W234" t="str">
            <v>Оптимизация Э-30/50</v>
          </cell>
        </row>
        <row r="235">
          <cell r="B235">
            <v>2683</v>
          </cell>
          <cell r="C235" t="str">
            <v>145б</v>
          </cell>
          <cell r="F235" t="str">
            <v>УПНП</v>
          </cell>
          <cell r="G235">
            <v>260</v>
          </cell>
          <cell r="H235" t="str">
            <v>ЭЦН</v>
          </cell>
          <cell r="I235" t="str">
            <v>бд</v>
          </cell>
          <cell r="J235">
            <v>34648</v>
          </cell>
          <cell r="K235">
            <v>0</v>
          </cell>
          <cell r="L235">
            <v>0</v>
          </cell>
          <cell r="M235">
            <v>0</v>
          </cell>
          <cell r="N235">
            <v>30</v>
          </cell>
          <cell r="O235">
            <v>18.3</v>
          </cell>
          <cell r="P235">
            <v>25</v>
          </cell>
          <cell r="Q235">
            <v>30</v>
          </cell>
          <cell r="R235">
            <v>18.3</v>
          </cell>
          <cell r="S235">
            <v>24.7</v>
          </cell>
          <cell r="T235">
            <v>37753</v>
          </cell>
          <cell r="U235" t="str">
            <v>ЛА</v>
          </cell>
          <cell r="W235" t="str">
            <v>ВЗ,ЛА,ОПЗ ,ИДН ( ГЖ+пакер),сп Э-30</v>
          </cell>
          <cell r="AD235">
            <v>37715</v>
          </cell>
          <cell r="AE235">
            <v>37746</v>
          </cell>
        </row>
        <row r="236">
          <cell r="B236">
            <v>2784</v>
          </cell>
          <cell r="C236">
            <v>145</v>
          </cell>
          <cell r="F236" t="str">
            <v>УПНП</v>
          </cell>
          <cell r="G236">
            <v>280</v>
          </cell>
          <cell r="H236" t="str">
            <v>ф/Э</v>
          </cell>
          <cell r="I236" t="str">
            <v>бд</v>
          </cell>
          <cell r="J236">
            <v>32932</v>
          </cell>
          <cell r="K236">
            <v>0</v>
          </cell>
          <cell r="L236">
            <v>0</v>
          </cell>
          <cell r="M236">
            <v>0</v>
          </cell>
          <cell r="N236">
            <v>80</v>
          </cell>
          <cell r="O236">
            <v>19.600000000000001</v>
          </cell>
          <cell r="P236">
            <v>70</v>
          </cell>
          <cell r="Q236">
            <v>80</v>
          </cell>
          <cell r="R236">
            <v>19.600000000000001</v>
          </cell>
          <cell r="S236">
            <v>69.8</v>
          </cell>
          <cell r="T236">
            <v>37758</v>
          </cell>
          <cell r="U236" t="str">
            <v>ЛА</v>
          </cell>
          <cell r="W236" t="str">
            <v>Л.А.ПП,ОПЗ,спЭ-80</v>
          </cell>
          <cell r="AD236">
            <v>37722</v>
          </cell>
          <cell r="AE236">
            <v>37751</v>
          </cell>
        </row>
        <row r="237">
          <cell r="B237">
            <v>2756</v>
          </cell>
          <cell r="C237">
            <v>145</v>
          </cell>
          <cell r="F237" t="str">
            <v>УПНП</v>
          </cell>
          <cell r="G237">
            <v>270</v>
          </cell>
          <cell r="H237" t="str">
            <v>ЭЦН</v>
          </cell>
          <cell r="I237" t="str">
            <v>бд</v>
          </cell>
          <cell r="J237">
            <v>35786</v>
          </cell>
          <cell r="K237">
            <v>0</v>
          </cell>
          <cell r="L237">
            <v>0</v>
          </cell>
          <cell r="M237">
            <v>0</v>
          </cell>
          <cell r="N237">
            <v>50</v>
          </cell>
          <cell r="O237">
            <v>10.199999999999999</v>
          </cell>
          <cell r="P237">
            <v>75</v>
          </cell>
          <cell r="Q237">
            <v>50</v>
          </cell>
          <cell r="R237">
            <v>10.199999999999999</v>
          </cell>
          <cell r="S237">
            <v>74.8</v>
          </cell>
          <cell r="T237">
            <v>37763</v>
          </cell>
          <cell r="U237" t="str">
            <v>ЛА</v>
          </cell>
          <cell r="W237" t="str">
            <v>ЛА, ГДИ, сп.Э-80</v>
          </cell>
          <cell r="AD237">
            <v>37734</v>
          </cell>
          <cell r="AE237">
            <v>37756</v>
          </cell>
        </row>
        <row r="238">
          <cell r="B238">
            <v>2983</v>
          </cell>
          <cell r="C238">
            <v>45</v>
          </cell>
          <cell r="F238" t="str">
            <v>УПНП</v>
          </cell>
          <cell r="G238">
            <v>280</v>
          </cell>
          <cell r="H238" t="str">
            <v>Ф/Э</v>
          </cell>
          <cell r="I238" t="str">
            <v>бд</v>
          </cell>
          <cell r="J238">
            <v>34849</v>
          </cell>
          <cell r="K238">
            <v>0</v>
          </cell>
          <cell r="L238">
            <v>0</v>
          </cell>
          <cell r="M238">
            <v>0</v>
          </cell>
          <cell r="N238">
            <v>30</v>
          </cell>
          <cell r="O238">
            <v>12.2</v>
          </cell>
          <cell r="P238">
            <v>50</v>
          </cell>
          <cell r="Q238">
            <v>30</v>
          </cell>
          <cell r="R238">
            <v>12.2</v>
          </cell>
          <cell r="S238">
            <v>49.8</v>
          </cell>
          <cell r="T238">
            <v>37755</v>
          </cell>
          <cell r="U238" t="str">
            <v>ЛА</v>
          </cell>
          <cell r="W238" t="str">
            <v>ЛА,ВЗ ГЖ,ПП,сп Э-30</v>
          </cell>
          <cell r="AD238">
            <v>37722</v>
          </cell>
          <cell r="AE238">
            <v>37748</v>
          </cell>
        </row>
        <row r="239">
          <cell r="B239">
            <v>3214</v>
          </cell>
          <cell r="C239" t="str">
            <v>55б</v>
          </cell>
          <cell r="F239" t="str">
            <v>УПНП</v>
          </cell>
          <cell r="G239">
            <v>270</v>
          </cell>
          <cell r="H239" t="str">
            <v>фон</v>
          </cell>
          <cell r="I239" t="str">
            <v>бд</v>
          </cell>
          <cell r="J239">
            <v>35065</v>
          </cell>
          <cell r="K239">
            <v>0</v>
          </cell>
          <cell r="L239">
            <v>0</v>
          </cell>
          <cell r="M239">
            <v>0</v>
          </cell>
          <cell r="N239">
            <v>50</v>
          </cell>
          <cell r="O239">
            <v>18</v>
          </cell>
          <cell r="P239">
            <v>55.6</v>
          </cell>
          <cell r="Q239">
            <v>50</v>
          </cell>
          <cell r="R239">
            <v>18</v>
          </cell>
          <cell r="S239">
            <v>55.6</v>
          </cell>
          <cell r="T239">
            <v>38686</v>
          </cell>
          <cell r="U239" t="str">
            <v>ГРП</v>
          </cell>
          <cell r="W239" t="str">
            <v>ВЦ, ДП ЮК-10,ГРП ЮК10-11</v>
          </cell>
          <cell r="AD239">
            <v>37736</v>
          </cell>
          <cell r="AE239">
            <v>37756</v>
          </cell>
        </row>
        <row r="240">
          <cell r="B240">
            <v>3249</v>
          </cell>
          <cell r="C240">
            <v>70</v>
          </cell>
          <cell r="F240" t="str">
            <v>УПНП</v>
          </cell>
          <cell r="G240">
            <v>282</v>
          </cell>
          <cell r="H240" t="str">
            <v>Ф/Э</v>
          </cell>
          <cell r="I240" t="str">
            <v>конс.</v>
          </cell>
          <cell r="J240">
            <v>33878</v>
          </cell>
          <cell r="K240">
            <v>0</v>
          </cell>
          <cell r="L240">
            <v>0</v>
          </cell>
          <cell r="M240">
            <v>0</v>
          </cell>
          <cell r="N240">
            <v>30</v>
          </cell>
          <cell r="O240">
            <v>9.8000000000000007</v>
          </cell>
          <cell r="P240">
            <v>60</v>
          </cell>
          <cell r="Q240">
            <v>30</v>
          </cell>
          <cell r="R240">
            <v>9.8000000000000007</v>
          </cell>
          <cell r="S240">
            <v>59.7</v>
          </cell>
          <cell r="T240">
            <v>37755</v>
          </cell>
          <cell r="U240" t="str">
            <v>ВВ</v>
          </cell>
          <cell r="W240" t="str">
            <v>ВЦ, ВЗ, ПП ЮК-10, ДП ЮК-11</v>
          </cell>
          <cell r="AD240">
            <v>37719</v>
          </cell>
          <cell r="AE240">
            <v>37748</v>
          </cell>
        </row>
        <row r="241">
          <cell r="B241">
            <v>11054</v>
          </cell>
          <cell r="C241" t="str">
            <v>100б</v>
          </cell>
          <cell r="F241" t="str">
            <v>УПНП</v>
          </cell>
          <cell r="G241">
            <v>230</v>
          </cell>
          <cell r="H241" t="str">
            <v>фон</v>
          </cell>
          <cell r="I241" t="str">
            <v>конс.</v>
          </cell>
          <cell r="J241">
            <v>32874</v>
          </cell>
          <cell r="K241">
            <v>0</v>
          </cell>
          <cell r="L241">
            <v>0</v>
          </cell>
          <cell r="M241">
            <v>0</v>
          </cell>
          <cell r="N241">
            <v>30</v>
          </cell>
          <cell r="O241">
            <v>12.2</v>
          </cell>
          <cell r="P241">
            <v>50</v>
          </cell>
          <cell r="Q241">
            <v>30</v>
          </cell>
          <cell r="R241">
            <v>12.2</v>
          </cell>
          <cell r="S241">
            <v>49.8</v>
          </cell>
          <cell r="T241">
            <v>37757</v>
          </cell>
          <cell r="U241" t="str">
            <v>мд</v>
          </cell>
          <cell r="W241" t="str">
            <v>ВЦ,ВЗ,ПП ЮК-10 ПК-105С,ОПЗ,сп Э-30</v>
          </cell>
          <cell r="AD241">
            <v>37718</v>
          </cell>
          <cell r="AE241">
            <v>37750</v>
          </cell>
        </row>
        <row r="242">
          <cell r="B242">
            <v>11053</v>
          </cell>
          <cell r="C242" t="str">
            <v>100б</v>
          </cell>
          <cell r="F242" t="str">
            <v>УПНП</v>
          </cell>
          <cell r="G242">
            <v>230</v>
          </cell>
          <cell r="H242" t="str">
            <v>ЭЦН</v>
          </cell>
          <cell r="I242" t="str">
            <v>бд</v>
          </cell>
          <cell r="J242">
            <v>35957</v>
          </cell>
          <cell r="K242">
            <v>0</v>
          </cell>
          <cell r="L242">
            <v>0</v>
          </cell>
          <cell r="M242">
            <v>0</v>
          </cell>
          <cell r="N242">
            <v>30</v>
          </cell>
          <cell r="O242">
            <v>12.2</v>
          </cell>
          <cell r="P242">
            <v>50</v>
          </cell>
          <cell r="Q242">
            <v>30</v>
          </cell>
          <cell r="R242">
            <v>12.2</v>
          </cell>
          <cell r="S242">
            <v>49.8</v>
          </cell>
          <cell r="T242">
            <v>37763</v>
          </cell>
          <cell r="U242" t="str">
            <v>ЛА</v>
          </cell>
          <cell r="W242" t="str">
            <v xml:space="preserve">ЛА, ПП,ОПЗ, сп Э-30 </v>
          </cell>
          <cell r="AD242">
            <v>37735</v>
          </cell>
          <cell r="AE242">
            <v>37756</v>
          </cell>
        </row>
        <row r="243">
          <cell r="B243">
            <v>2917</v>
          </cell>
          <cell r="C243">
            <v>43</v>
          </cell>
          <cell r="F243" t="str">
            <v>УПНП</v>
          </cell>
          <cell r="G243">
            <v>275</v>
          </cell>
          <cell r="H243" t="str">
            <v>ЭЦН</v>
          </cell>
          <cell r="I243" t="str">
            <v>конс.</v>
          </cell>
          <cell r="J243">
            <v>34029</v>
          </cell>
          <cell r="K243">
            <v>0</v>
          </cell>
          <cell r="L243">
            <v>0</v>
          </cell>
          <cell r="M243">
            <v>0</v>
          </cell>
          <cell r="N243">
            <v>30</v>
          </cell>
          <cell r="O243">
            <v>9.8000000000000007</v>
          </cell>
          <cell r="P243">
            <v>60</v>
          </cell>
          <cell r="Q243">
            <v>30</v>
          </cell>
          <cell r="R243">
            <v>9.8000000000000007</v>
          </cell>
          <cell r="S243">
            <v>59.7</v>
          </cell>
          <cell r="T243">
            <v>37784</v>
          </cell>
          <cell r="U243" t="str">
            <v>ВЦ</v>
          </cell>
          <cell r="W243" t="str">
            <v>ВЦ,ВЗ МШУ,ГДИ,спуск Э-30</v>
          </cell>
          <cell r="AD243">
            <v>37757</v>
          </cell>
          <cell r="AE243">
            <v>37777</v>
          </cell>
        </row>
        <row r="244">
          <cell r="B244">
            <v>5354</v>
          </cell>
          <cell r="C244">
            <v>105</v>
          </cell>
          <cell r="F244" t="str">
            <v>УПНП</v>
          </cell>
          <cell r="G244">
            <v>280</v>
          </cell>
          <cell r="H244" t="str">
            <v>ЭЦН</v>
          </cell>
          <cell r="I244" t="str">
            <v>бд</v>
          </cell>
          <cell r="J244">
            <v>35111</v>
          </cell>
          <cell r="K244">
            <v>0</v>
          </cell>
          <cell r="L244">
            <v>0</v>
          </cell>
          <cell r="M244">
            <v>0</v>
          </cell>
          <cell r="N244">
            <v>80</v>
          </cell>
          <cell r="O244">
            <v>16.3</v>
          </cell>
          <cell r="P244">
            <v>75</v>
          </cell>
          <cell r="Q244">
            <v>80</v>
          </cell>
          <cell r="R244">
            <v>16.3</v>
          </cell>
          <cell r="S244">
            <v>74.8</v>
          </cell>
          <cell r="T244">
            <v>37804</v>
          </cell>
          <cell r="U244" t="str">
            <v>ЛА</v>
          </cell>
          <cell r="W244" t="str">
            <v>Извл.ЭЦН,ПП,спуск ЭЦН</v>
          </cell>
          <cell r="AD244">
            <v>37763</v>
          </cell>
          <cell r="AE244">
            <v>37797</v>
          </cell>
        </row>
        <row r="245">
          <cell r="B245">
            <v>5353</v>
          </cell>
          <cell r="C245">
            <v>105</v>
          </cell>
          <cell r="F245" t="str">
            <v>УПНП</v>
          </cell>
          <cell r="G245">
            <v>280</v>
          </cell>
          <cell r="H245" t="str">
            <v>ЭЦН</v>
          </cell>
          <cell r="I245" t="str">
            <v>бд</v>
          </cell>
          <cell r="J245">
            <v>34458</v>
          </cell>
          <cell r="K245">
            <v>0</v>
          </cell>
          <cell r="L245">
            <v>0</v>
          </cell>
          <cell r="M245">
            <v>0</v>
          </cell>
          <cell r="N245">
            <v>80</v>
          </cell>
          <cell r="O245">
            <v>16.3</v>
          </cell>
          <cell r="P245">
            <v>75</v>
          </cell>
          <cell r="Q245">
            <v>80</v>
          </cell>
          <cell r="R245">
            <v>16.3</v>
          </cell>
          <cell r="S245">
            <v>74.8</v>
          </cell>
          <cell r="T245">
            <v>7</v>
          </cell>
          <cell r="U245" t="str">
            <v>ЛА</v>
          </cell>
          <cell r="W245" t="str">
            <v>Извл.ЭЦН,ОТСК,ПП,спуск ЭЦН</v>
          </cell>
          <cell r="AD245">
            <v>37786</v>
          </cell>
        </row>
        <row r="246">
          <cell r="B246">
            <v>2893</v>
          </cell>
          <cell r="C246">
            <v>158</v>
          </cell>
          <cell r="F246" t="str">
            <v>УПНП</v>
          </cell>
          <cell r="G246">
            <v>240</v>
          </cell>
          <cell r="H246" t="str">
            <v>ШГН</v>
          </cell>
          <cell r="I246" t="str">
            <v>конс.</v>
          </cell>
          <cell r="J246">
            <v>34973</v>
          </cell>
          <cell r="K246">
            <v>0</v>
          </cell>
          <cell r="L246">
            <v>0</v>
          </cell>
          <cell r="M246">
            <v>0</v>
          </cell>
          <cell r="N246">
            <v>30</v>
          </cell>
          <cell r="O246">
            <v>12</v>
          </cell>
          <cell r="P246">
            <v>51</v>
          </cell>
          <cell r="Q246">
            <v>30</v>
          </cell>
          <cell r="R246">
            <v>12</v>
          </cell>
          <cell r="S246">
            <v>50.6</v>
          </cell>
          <cell r="T246">
            <v>37803</v>
          </cell>
          <cell r="U246" t="str">
            <v>вв</v>
          </cell>
          <cell r="W246" t="str">
            <v>ВЦ.ИР ЮК-10,Испыт.Bg+Ab</v>
          </cell>
          <cell r="AD246">
            <v>37767</v>
          </cell>
          <cell r="AE246">
            <v>37796</v>
          </cell>
        </row>
        <row r="247">
          <cell r="B247">
            <v>5532</v>
          </cell>
          <cell r="C247">
            <v>119</v>
          </cell>
          <cell r="F247" t="str">
            <v>УПНП</v>
          </cell>
          <cell r="G247">
            <v>230</v>
          </cell>
          <cell r="H247" t="str">
            <v>ЭЦН</v>
          </cell>
          <cell r="I247" t="str">
            <v>действ.</v>
          </cell>
          <cell r="J247">
            <v>35218</v>
          </cell>
          <cell r="K247">
            <v>10</v>
          </cell>
          <cell r="L247">
            <v>0.5</v>
          </cell>
          <cell r="M247">
            <v>94</v>
          </cell>
          <cell r="N247">
            <v>80</v>
          </cell>
          <cell r="O247">
            <v>23.5</v>
          </cell>
          <cell r="P247">
            <v>64</v>
          </cell>
          <cell r="Q247">
            <v>70</v>
          </cell>
          <cell r="R247">
            <v>23</v>
          </cell>
          <cell r="S247">
            <v>59.4</v>
          </cell>
          <cell r="T247">
            <v>38160</v>
          </cell>
          <cell r="U247" t="str">
            <v>ГРП</v>
          </cell>
          <cell r="W247" t="str">
            <v>ОТСК,ГРП ЮК-10,сп.Э-80</v>
          </cell>
          <cell r="AD247">
            <v>37774</v>
          </cell>
          <cell r="AE247">
            <v>37795</v>
          </cell>
        </row>
        <row r="248">
          <cell r="B248">
            <v>5675</v>
          </cell>
          <cell r="C248">
            <v>126</v>
          </cell>
          <cell r="F248" t="str">
            <v>УПНП</v>
          </cell>
          <cell r="G248">
            <v>250</v>
          </cell>
          <cell r="H248" t="str">
            <v>ШГН</v>
          </cell>
          <cell r="I248" t="str">
            <v>конс.</v>
          </cell>
          <cell r="J248">
            <v>35585</v>
          </cell>
          <cell r="K248">
            <v>0</v>
          </cell>
          <cell r="L248">
            <v>0</v>
          </cell>
          <cell r="M248">
            <v>0</v>
          </cell>
          <cell r="N248">
            <v>30</v>
          </cell>
          <cell r="O248">
            <v>12.2</v>
          </cell>
          <cell r="P248">
            <v>50</v>
          </cell>
          <cell r="Q248">
            <v>30</v>
          </cell>
          <cell r="R248">
            <v>12.2</v>
          </cell>
          <cell r="S248">
            <v>49.8</v>
          </cell>
          <cell r="T248">
            <v>37768</v>
          </cell>
          <cell r="U248" t="str">
            <v>ОПЗ</v>
          </cell>
          <cell r="W248" t="str">
            <v>ВЦ,ПП ЮК-10,ОПЗ,ГИС-2,сп Э-30</v>
          </cell>
          <cell r="AD248">
            <v>37739</v>
          </cell>
          <cell r="AE248">
            <v>37761</v>
          </cell>
        </row>
        <row r="249">
          <cell r="B249" t="str">
            <v>5484б</v>
          </cell>
          <cell r="C249">
            <v>115</v>
          </cell>
          <cell r="F249" t="str">
            <v>УПНП</v>
          </cell>
          <cell r="G249">
            <v>220</v>
          </cell>
          <cell r="H249" t="str">
            <v>ЭЦН</v>
          </cell>
          <cell r="I249" t="str">
            <v>действ.</v>
          </cell>
          <cell r="T249">
            <v>37841</v>
          </cell>
          <cell r="U249" t="str">
            <v>нг</v>
          </cell>
          <cell r="W249" t="str">
            <v>Перевод в ППД</v>
          </cell>
          <cell r="AD249">
            <v>37827</v>
          </cell>
          <cell r="AE249">
            <v>37834</v>
          </cell>
        </row>
        <row r="250">
          <cell r="B250">
            <v>5546</v>
          </cell>
          <cell r="C250">
            <v>115</v>
          </cell>
          <cell r="F250" t="str">
            <v>УПНП</v>
          </cell>
          <cell r="G250">
            <v>240</v>
          </cell>
          <cell r="H250" t="str">
            <v>нагн.</v>
          </cell>
          <cell r="I250" t="str">
            <v>б/д</v>
          </cell>
          <cell r="J250">
            <v>34261</v>
          </cell>
          <cell r="K250">
            <v>0</v>
          </cell>
          <cell r="L250">
            <v>0</v>
          </cell>
          <cell r="M250">
            <v>0</v>
          </cell>
          <cell r="N250">
            <v>37</v>
          </cell>
          <cell r="O250">
            <v>28.6</v>
          </cell>
          <cell r="P250">
            <v>5</v>
          </cell>
          <cell r="Q250">
            <v>37</v>
          </cell>
          <cell r="R250">
            <v>28.6</v>
          </cell>
          <cell r="S250">
            <v>5</v>
          </cell>
          <cell r="T250">
            <v>37804</v>
          </cell>
          <cell r="U250" t="str">
            <v>ГРП</v>
          </cell>
          <cell r="W250" t="str">
            <v xml:space="preserve">ОТСК.Изоляция ЮК10.ГРП ЮК-2 </v>
          </cell>
          <cell r="AD250">
            <v>37742</v>
          </cell>
          <cell r="AE250">
            <v>37797</v>
          </cell>
        </row>
        <row r="251">
          <cell r="B251">
            <v>3659</v>
          </cell>
          <cell r="C251" t="str">
            <v>76б</v>
          </cell>
          <cell r="F251" t="str">
            <v>УПНП</v>
          </cell>
          <cell r="G251">
            <v>260</v>
          </cell>
          <cell r="H251" t="str">
            <v>ЭЦН</v>
          </cell>
          <cell r="I251" t="str">
            <v>бд</v>
          </cell>
          <cell r="J251">
            <v>35214</v>
          </cell>
          <cell r="K251">
            <v>0</v>
          </cell>
          <cell r="L251">
            <v>0</v>
          </cell>
          <cell r="M251">
            <v>0</v>
          </cell>
          <cell r="N251">
            <v>125</v>
          </cell>
          <cell r="O251">
            <v>7.1</v>
          </cell>
          <cell r="P251">
            <v>93</v>
          </cell>
          <cell r="Q251">
            <v>125</v>
          </cell>
          <cell r="R251">
            <v>7.1</v>
          </cell>
          <cell r="S251">
            <v>93</v>
          </cell>
          <cell r="T251">
            <v>37784</v>
          </cell>
          <cell r="U251" t="str">
            <v>ВВ</v>
          </cell>
          <cell r="W251" t="str">
            <v>ВЦ,ДП КВ.СКО.ГДИ.Спуск Э-125.</v>
          </cell>
          <cell r="AD251">
            <v>37751</v>
          </cell>
          <cell r="AE251">
            <v>37777</v>
          </cell>
        </row>
        <row r="252">
          <cell r="B252">
            <v>3009</v>
          </cell>
          <cell r="C252">
            <v>51</v>
          </cell>
          <cell r="F252" t="str">
            <v>УПНП</v>
          </cell>
          <cell r="G252">
            <v>250</v>
          </cell>
          <cell r="H252" t="str">
            <v>ЭЦН</v>
          </cell>
          <cell r="I252" t="str">
            <v>действ.</v>
          </cell>
          <cell r="K252">
            <v>0</v>
          </cell>
          <cell r="L252">
            <v>0</v>
          </cell>
          <cell r="M252">
            <v>0</v>
          </cell>
          <cell r="N252">
            <v>30</v>
          </cell>
          <cell r="O252">
            <v>12</v>
          </cell>
          <cell r="P252">
            <v>51</v>
          </cell>
          <cell r="Q252">
            <v>30</v>
          </cell>
          <cell r="R252">
            <v>12</v>
          </cell>
          <cell r="S252">
            <v>50.6</v>
          </cell>
          <cell r="T252">
            <v>37833</v>
          </cell>
          <cell r="U252" t="str">
            <v>ВВ</v>
          </cell>
          <cell r="W252" t="str">
            <v>ГРП ЮК-1,освоение</v>
          </cell>
          <cell r="AD252">
            <v>37811</v>
          </cell>
          <cell r="AE252">
            <v>37826</v>
          </cell>
        </row>
        <row r="253">
          <cell r="B253">
            <v>2838</v>
          </cell>
          <cell r="C253">
            <v>124</v>
          </cell>
          <cell r="F253" t="str">
            <v>УПНП</v>
          </cell>
          <cell r="G253">
            <v>260</v>
          </cell>
          <cell r="H253" t="str">
            <v>шгн</v>
          </cell>
          <cell r="I253" t="str">
            <v>конс.</v>
          </cell>
          <cell r="J253">
            <v>35705</v>
          </cell>
          <cell r="K253">
            <v>0</v>
          </cell>
          <cell r="L253">
            <v>0</v>
          </cell>
          <cell r="M253">
            <v>0</v>
          </cell>
          <cell r="N253">
            <v>50</v>
          </cell>
          <cell r="O253">
            <v>9.8000000000000007</v>
          </cell>
          <cell r="P253">
            <v>76</v>
          </cell>
          <cell r="Q253">
            <v>50</v>
          </cell>
          <cell r="R253">
            <v>9.8000000000000007</v>
          </cell>
          <cell r="S253">
            <v>75.8</v>
          </cell>
          <cell r="T253">
            <v>37946</v>
          </cell>
          <cell r="U253" t="str">
            <v>ВЦ</v>
          </cell>
          <cell r="W253" t="str">
            <v>ВЦ.ЛА.ПП ЮК10.Сп.Э-50</v>
          </cell>
          <cell r="AD253">
            <v>37917</v>
          </cell>
          <cell r="AE253">
            <v>37939</v>
          </cell>
        </row>
        <row r="254">
          <cell r="B254">
            <v>5472</v>
          </cell>
          <cell r="C254">
            <v>108</v>
          </cell>
          <cell r="F254" t="str">
            <v>УПНП</v>
          </cell>
          <cell r="G254">
            <v>275</v>
          </cell>
          <cell r="H254" t="str">
            <v>ЭЦН</v>
          </cell>
          <cell r="I254" t="str">
            <v>б/д пр.л.</v>
          </cell>
          <cell r="J254">
            <v>34274</v>
          </cell>
          <cell r="K254">
            <v>0</v>
          </cell>
          <cell r="L254">
            <v>0</v>
          </cell>
          <cell r="M254">
            <v>0</v>
          </cell>
          <cell r="N254">
            <v>50</v>
          </cell>
          <cell r="O254">
            <v>18</v>
          </cell>
          <cell r="P254">
            <v>55.6</v>
          </cell>
          <cell r="Q254">
            <v>50</v>
          </cell>
          <cell r="R254">
            <v>18</v>
          </cell>
          <cell r="S254">
            <v>55.6</v>
          </cell>
          <cell r="T254">
            <v>38836</v>
          </cell>
          <cell r="U254" t="str">
            <v>ГРП</v>
          </cell>
          <cell r="W254" t="str">
            <v>ГИС-2,РИР ЗКЦ,ГРП ЮК-10,сп.Э-80</v>
          </cell>
          <cell r="AD254">
            <v>37898</v>
          </cell>
          <cell r="AE254">
            <v>37951</v>
          </cell>
        </row>
        <row r="255">
          <cell r="B255">
            <v>5522</v>
          </cell>
          <cell r="C255">
            <v>117</v>
          </cell>
          <cell r="F255" t="str">
            <v>УПНП</v>
          </cell>
          <cell r="G255">
            <v>264</v>
          </cell>
          <cell r="H255" t="str">
            <v>шгн</v>
          </cell>
          <cell r="I255" t="str">
            <v>конс.</v>
          </cell>
          <cell r="J255">
            <v>34669</v>
          </cell>
          <cell r="K255">
            <v>0</v>
          </cell>
          <cell r="L255">
            <v>0</v>
          </cell>
          <cell r="M255">
            <v>0</v>
          </cell>
          <cell r="N255">
            <v>50</v>
          </cell>
          <cell r="O255">
            <v>9.8000000000000007</v>
          </cell>
          <cell r="P255">
            <v>76</v>
          </cell>
          <cell r="Q255">
            <v>50</v>
          </cell>
          <cell r="R255">
            <v>9.8000000000000007</v>
          </cell>
          <cell r="S255">
            <v>75.8</v>
          </cell>
          <cell r="T255">
            <v>37968</v>
          </cell>
          <cell r="U255" t="str">
            <v>ВЦ</v>
          </cell>
          <cell r="W255" t="str">
            <v>ВЦ.ВЗ.ПП ЮК10.сп.Э-30</v>
          </cell>
          <cell r="AD255">
            <v>37929</v>
          </cell>
          <cell r="AE255">
            <v>37961</v>
          </cell>
        </row>
        <row r="256">
          <cell r="B256" t="str">
            <v>5491б</v>
          </cell>
          <cell r="C256">
            <v>117</v>
          </cell>
          <cell r="F256" t="str">
            <v>УПНП</v>
          </cell>
          <cell r="G256">
            <v>270</v>
          </cell>
          <cell r="H256" t="str">
            <v>Ф/Ш</v>
          </cell>
          <cell r="I256" t="str">
            <v>конс.</v>
          </cell>
          <cell r="J256">
            <v>33786</v>
          </cell>
          <cell r="K256">
            <v>0</v>
          </cell>
          <cell r="L256">
            <v>0</v>
          </cell>
          <cell r="M256">
            <v>0</v>
          </cell>
          <cell r="N256">
            <v>80</v>
          </cell>
          <cell r="O256">
            <v>22.8</v>
          </cell>
          <cell r="P256">
            <v>65</v>
          </cell>
          <cell r="Q256">
            <v>80</v>
          </cell>
          <cell r="R256">
            <v>22.8</v>
          </cell>
          <cell r="S256">
            <v>64.8</v>
          </cell>
          <cell r="T256">
            <v>38237</v>
          </cell>
          <cell r="U256" t="str">
            <v>ГРП</v>
          </cell>
          <cell r="W256" t="str">
            <v>,</v>
          </cell>
          <cell r="AD256">
            <v>38213</v>
          </cell>
          <cell r="AE256">
            <v>38230</v>
          </cell>
        </row>
        <row r="257">
          <cell r="B257">
            <v>2668</v>
          </cell>
          <cell r="C257" t="str">
            <v>160б</v>
          </cell>
          <cell r="F257" t="str">
            <v>УПНП</v>
          </cell>
          <cell r="G257">
            <v>270</v>
          </cell>
          <cell r="H257" t="str">
            <v>ШГН</v>
          </cell>
          <cell r="I257" t="str">
            <v>конс.</v>
          </cell>
          <cell r="J257">
            <v>34243</v>
          </cell>
          <cell r="K257">
            <v>0</v>
          </cell>
          <cell r="L257">
            <v>0</v>
          </cell>
          <cell r="M257">
            <v>0</v>
          </cell>
          <cell r="N257">
            <v>50</v>
          </cell>
          <cell r="O257">
            <v>9.8000000000000007</v>
          </cell>
          <cell r="P257">
            <v>76</v>
          </cell>
          <cell r="Q257">
            <v>50</v>
          </cell>
          <cell r="R257">
            <v>9.8000000000000007</v>
          </cell>
          <cell r="S257">
            <v>75.8</v>
          </cell>
          <cell r="T257">
            <v>37932</v>
          </cell>
          <cell r="U257" t="str">
            <v>ВВ</v>
          </cell>
          <cell r="V257">
            <v>4</v>
          </cell>
          <cell r="W257" t="str">
            <v>ВЗ.ПП.ДП ЮК-11</v>
          </cell>
          <cell r="Y257" t="str">
            <v>Полёт нкт, МСУ+проволка+ловитель</v>
          </cell>
          <cell r="AD257">
            <v>37906</v>
          </cell>
          <cell r="AE257">
            <v>37925</v>
          </cell>
          <cell r="AF257">
            <v>45</v>
          </cell>
        </row>
        <row r="258">
          <cell r="B258">
            <v>2966</v>
          </cell>
          <cell r="C258">
            <v>45</v>
          </cell>
          <cell r="F258" t="str">
            <v>УПНП</v>
          </cell>
          <cell r="G258">
            <v>290</v>
          </cell>
          <cell r="H258" t="str">
            <v>нагнет.</v>
          </cell>
          <cell r="I258" t="str">
            <v>конс.</v>
          </cell>
          <cell r="K258">
            <v>0</v>
          </cell>
          <cell r="L258">
            <v>0</v>
          </cell>
          <cell r="M258">
            <v>0</v>
          </cell>
          <cell r="N258">
            <v>50</v>
          </cell>
          <cell r="O258">
            <v>8.1999999999999993</v>
          </cell>
          <cell r="P258">
            <v>80</v>
          </cell>
          <cell r="Q258">
            <v>50</v>
          </cell>
          <cell r="R258">
            <v>8.1999999999999993</v>
          </cell>
          <cell r="S258">
            <v>79.8</v>
          </cell>
          <cell r="T258">
            <v>38171</v>
          </cell>
          <cell r="U258" t="str">
            <v>бдк</v>
          </cell>
          <cell r="W258" t="str">
            <v>ВЦ.ПП ЮК-10.ГИС-2.Сп.Э-50</v>
          </cell>
        </row>
        <row r="259">
          <cell r="B259">
            <v>5408</v>
          </cell>
          <cell r="C259">
            <v>105</v>
          </cell>
          <cell r="F259" t="str">
            <v>УПНП</v>
          </cell>
          <cell r="G259">
            <v>280</v>
          </cell>
          <cell r="H259" t="str">
            <v>ШГН</v>
          </cell>
          <cell r="I259" t="str">
            <v>бд</v>
          </cell>
          <cell r="J259">
            <v>36716</v>
          </cell>
          <cell r="K259">
            <v>0</v>
          </cell>
          <cell r="L259">
            <v>0</v>
          </cell>
          <cell r="M259">
            <v>0</v>
          </cell>
          <cell r="N259">
            <v>80</v>
          </cell>
          <cell r="O259">
            <v>22.8</v>
          </cell>
          <cell r="P259">
            <v>65</v>
          </cell>
          <cell r="Q259">
            <v>80</v>
          </cell>
          <cell r="R259">
            <v>22.8</v>
          </cell>
          <cell r="S259">
            <v>64.8</v>
          </cell>
          <cell r="T259">
            <v>38252</v>
          </cell>
          <cell r="U259" t="str">
            <v>ГРП</v>
          </cell>
          <cell r="W259" t="str">
            <v>ВЦ.ПП ЮК-10.ГРП.Сп.Э-80</v>
          </cell>
          <cell r="AD259">
            <v>38219</v>
          </cell>
          <cell r="AE259">
            <v>38245</v>
          </cell>
        </row>
        <row r="260">
          <cell r="B260">
            <v>2984</v>
          </cell>
          <cell r="C260">
            <v>45</v>
          </cell>
          <cell r="F260" t="str">
            <v>УПНП</v>
          </cell>
          <cell r="G260">
            <v>270</v>
          </cell>
          <cell r="H260" t="str">
            <v>ШГН</v>
          </cell>
          <cell r="I260" t="str">
            <v>бд</v>
          </cell>
          <cell r="J260">
            <v>34080</v>
          </cell>
          <cell r="K260">
            <v>0</v>
          </cell>
          <cell r="L260">
            <v>0</v>
          </cell>
          <cell r="M260">
            <v>0</v>
          </cell>
          <cell r="N260">
            <v>80</v>
          </cell>
          <cell r="O260">
            <v>22.8</v>
          </cell>
          <cell r="P260">
            <v>65</v>
          </cell>
          <cell r="Q260">
            <v>80</v>
          </cell>
          <cell r="R260">
            <v>22.8</v>
          </cell>
          <cell r="S260">
            <v>64.8</v>
          </cell>
          <cell r="T260">
            <v>38247</v>
          </cell>
          <cell r="U260" t="str">
            <v>ГРП</v>
          </cell>
          <cell r="W260" t="str">
            <v>ВЦ.ЛА.ПП ЮК10.ГРП.Сп.Э-80</v>
          </cell>
          <cell r="AD260">
            <v>38214</v>
          </cell>
          <cell r="AE260">
            <v>38240</v>
          </cell>
        </row>
        <row r="261">
          <cell r="B261">
            <v>5676</v>
          </cell>
          <cell r="C261">
            <v>125</v>
          </cell>
          <cell r="F261" t="str">
            <v>УПНП</v>
          </cell>
          <cell r="G261">
            <v>270</v>
          </cell>
          <cell r="H261" t="str">
            <v>нагн.</v>
          </cell>
          <cell r="I261" t="str">
            <v>бд</v>
          </cell>
          <cell r="J261">
            <v>32265</v>
          </cell>
          <cell r="T261">
            <v>38240</v>
          </cell>
          <cell r="U261" t="str">
            <v>нг</v>
          </cell>
          <cell r="W261" t="str">
            <v>Рем.уст.ВЗ.ОТСК.ПП ЮК-10.ОПЗ</v>
          </cell>
        </row>
        <row r="262">
          <cell r="B262">
            <v>3120</v>
          </cell>
          <cell r="C262">
            <v>54</v>
          </cell>
          <cell r="F262" t="str">
            <v>УПНП</v>
          </cell>
          <cell r="G262">
            <v>260</v>
          </cell>
          <cell r="H262" t="str">
            <v>ШГН</v>
          </cell>
          <cell r="I262" t="str">
            <v>бд</v>
          </cell>
          <cell r="J262">
            <v>34270</v>
          </cell>
          <cell r="K262">
            <v>0</v>
          </cell>
          <cell r="L262">
            <v>0</v>
          </cell>
          <cell r="M262">
            <v>0</v>
          </cell>
          <cell r="N262">
            <v>50</v>
          </cell>
          <cell r="O262">
            <v>8.1999999999999993</v>
          </cell>
          <cell r="P262">
            <v>80</v>
          </cell>
          <cell r="Q262">
            <v>50</v>
          </cell>
          <cell r="R262">
            <v>8.1999999999999993</v>
          </cell>
          <cell r="S262">
            <v>79.8</v>
          </cell>
          <cell r="T262">
            <v>38241</v>
          </cell>
          <cell r="U262" t="str">
            <v>бдк</v>
          </cell>
          <cell r="W262" t="str">
            <v>ВЦ.ПП ЮК-10.МШУ.Сп.Э-50</v>
          </cell>
          <cell r="AD262">
            <v>38215</v>
          </cell>
          <cell r="AE262">
            <v>38237</v>
          </cell>
        </row>
        <row r="263">
          <cell r="B263">
            <v>5337</v>
          </cell>
          <cell r="C263">
            <v>140</v>
          </cell>
          <cell r="F263" t="str">
            <v>УПНП</v>
          </cell>
          <cell r="G263">
            <v>260</v>
          </cell>
          <cell r="H263" t="str">
            <v>ШГН</v>
          </cell>
          <cell r="I263" t="str">
            <v>бд</v>
          </cell>
          <cell r="J263">
            <v>35705</v>
          </cell>
          <cell r="K263">
            <v>0</v>
          </cell>
          <cell r="L263">
            <v>0</v>
          </cell>
          <cell r="M263">
            <v>0</v>
          </cell>
          <cell r="N263">
            <v>80</v>
          </cell>
          <cell r="O263">
            <v>22.8</v>
          </cell>
          <cell r="P263">
            <v>65</v>
          </cell>
          <cell r="Q263">
            <v>80</v>
          </cell>
          <cell r="R263">
            <v>22.8</v>
          </cell>
          <cell r="S263">
            <v>64.8</v>
          </cell>
          <cell r="T263">
            <v>38252</v>
          </cell>
          <cell r="U263" t="str">
            <v>ГРП</v>
          </cell>
          <cell r="W263" t="str">
            <v>ЛА.РИР Э/К.ГРП ЮК10-11.Сп.Э-80</v>
          </cell>
          <cell r="AD263">
            <v>38219</v>
          </cell>
          <cell r="AE263">
            <v>38245</v>
          </cell>
        </row>
        <row r="264">
          <cell r="B264">
            <v>2758</v>
          </cell>
          <cell r="C264">
            <v>144</v>
          </cell>
          <cell r="F264" t="str">
            <v>УПНП</v>
          </cell>
          <cell r="G264">
            <v>260</v>
          </cell>
          <cell r="H264" t="str">
            <v>ШГН</v>
          </cell>
          <cell r="I264" t="str">
            <v>конс.</v>
          </cell>
          <cell r="J264">
            <v>34425</v>
          </cell>
          <cell r="K264">
            <v>0</v>
          </cell>
          <cell r="L264">
            <v>0</v>
          </cell>
          <cell r="M264">
            <v>0</v>
          </cell>
          <cell r="N264">
            <v>80</v>
          </cell>
          <cell r="O264">
            <v>22.8</v>
          </cell>
          <cell r="P264">
            <v>65</v>
          </cell>
          <cell r="Q264">
            <v>80</v>
          </cell>
          <cell r="R264">
            <v>22.8</v>
          </cell>
          <cell r="S264">
            <v>64.8</v>
          </cell>
          <cell r="T264">
            <v>38237</v>
          </cell>
          <cell r="U264" t="str">
            <v>ГРП</v>
          </cell>
          <cell r="W264" t="str">
            <v>ВЦ.ВЗ.ПП ЮК10.ГРП.сп.Э-30</v>
          </cell>
          <cell r="AD264">
            <v>38201</v>
          </cell>
          <cell r="AE264">
            <v>38230</v>
          </cell>
        </row>
        <row r="265">
          <cell r="B265">
            <v>3127</v>
          </cell>
          <cell r="C265">
            <v>55</v>
          </cell>
          <cell r="F265" t="str">
            <v>УПНП</v>
          </cell>
          <cell r="G265">
            <v>260</v>
          </cell>
          <cell r="H265" t="str">
            <v>Ф/Э</v>
          </cell>
          <cell r="I265" t="str">
            <v>конс.</v>
          </cell>
          <cell r="J265">
            <v>34883</v>
          </cell>
          <cell r="K265">
            <v>0</v>
          </cell>
          <cell r="L265">
            <v>0</v>
          </cell>
          <cell r="M265">
            <v>0</v>
          </cell>
          <cell r="N265">
            <v>50</v>
          </cell>
          <cell r="O265">
            <v>7.3</v>
          </cell>
          <cell r="P265">
            <v>82</v>
          </cell>
          <cell r="Q265">
            <v>50</v>
          </cell>
          <cell r="R265">
            <v>7.3</v>
          </cell>
          <cell r="S265">
            <v>82</v>
          </cell>
          <cell r="T265">
            <v>38267</v>
          </cell>
          <cell r="U265" t="str">
            <v>бдк</v>
          </cell>
          <cell r="W265" t="str">
            <v>ВЦ.ПП ЮК-11.Сп.Э-50</v>
          </cell>
          <cell r="AD265">
            <v>38231</v>
          </cell>
          <cell r="AE265">
            <v>38260</v>
          </cell>
        </row>
        <row r="266">
          <cell r="B266">
            <v>5255</v>
          </cell>
          <cell r="C266">
            <v>139</v>
          </cell>
          <cell r="F266" t="str">
            <v>УПНП</v>
          </cell>
          <cell r="G266">
            <v>270</v>
          </cell>
          <cell r="H266" t="str">
            <v>ШГН</v>
          </cell>
          <cell r="I266" t="str">
            <v>бд</v>
          </cell>
          <cell r="J266">
            <v>34791</v>
          </cell>
          <cell r="K266">
            <v>0</v>
          </cell>
          <cell r="L266">
            <v>0</v>
          </cell>
          <cell r="M266">
            <v>0</v>
          </cell>
          <cell r="N266">
            <v>80</v>
          </cell>
          <cell r="O266">
            <v>24.9</v>
          </cell>
          <cell r="P266">
            <v>61.8</v>
          </cell>
          <cell r="Q266">
            <v>80</v>
          </cell>
          <cell r="R266">
            <v>24.9</v>
          </cell>
          <cell r="S266">
            <v>61.8</v>
          </cell>
          <cell r="T266">
            <v>38251</v>
          </cell>
          <cell r="U266" t="str">
            <v>ГРП</v>
          </cell>
          <cell r="W266" t="str">
            <v>РИР Э/К.ГРП ЮК-10.Сп.Э-80</v>
          </cell>
          <cell r="AD266">
            <v>38219</v>
          </cell>
          <cell r="AE266">
            <v>38214</v>
          </cell>
        </row>
        <row r="267">
          <cell r="B267">
            <v>5251</v>
          </cell>
          <cell r="C267">
            <v>137</v>
          </cell>
          <cell r="F267" t="str">
            <v>УПНП</v>
          </cell>
          <cell r="G267">
            <v>260</v>
          </cell>
          <cell r="H267" t="str">
            <v>Ф/Э</v>
          </cell>
          <cell r="I267" t="str">
            <v>конс.</v>
          </cell>
          <cell r="J267">
            <v>34060</v>
          </cell>
          <cell r="K267">
            <v>0</v>
          </cell>
          <cell r="L267">
            <v>0</v>
          </cell>
          <cell r="M267">
            <v>0</v>
          </cell>
          <cell r="N267">
            <v>50</v>
          </cell>
          <cell r="O267">
            <v>8.1999999999999993</v>
          </cell>
          <cell r="P267">
            <v>80</v>
          </cell>
          <cell r="Q267">
            <v>50</v>
          </cell>
          <cell r="R267">
            <v>8.1999999999999993</v>
          </cell>
          <cell r="S267">
            <v>79.8</v>
          </cell>
          <cell r="T267">
            <v>38249</v>
          </cell>
          <cell r="U267" t="str">
            <v>бдк</v>
          </cell>
          <cell r="W267" t="str">
            <v>ВЦ.ВЗ.ИР ЮК-11.ПП ЮК-10.Сп.ЭЦН-50</v>
          </cell>
          <cell r="AD267">
            <v>38216</v>
          </cell>
          <cell r="AE267">
            <v>38242</v>
          </cell>
        </row>
        <row r="268">
          <cell r="B268" t="str">
            <v>2952б</v>
          </cell>
          <cell r="C268">
            <v>45</v>
          </cell>
          <cell r="F268" t="str">
            <v>УПНП</v>
          </cell>
          <cell r="G268">
            <v>270</v>
          </cell>
          <cell r="H268" t="str">
            <v>ШГН</v>
          </cell>
          <cell r="I268" t="str">
            <v>конс.</v>
          </cell>
          <cell r="J268">
            <v>32843</v>
          </cell>
          <cell r="K268">
            <v>0</v>
          </cell>
          <cell r="L268">
            <v>0</v>
          </cell>
          <cell r="M268">
            <v>0</v>
          </cell>
          <cell r="N268">
            <v>80</v>
          </cell>
          <cell r="O268">
            <v>22.8</v>
          </cell>
          <cell r="P268">
            <v>65</v>
          </cell>
          <cell r="Q268">
            <v>80</v>
          </cell>
          <cell r="R268">
            <v>22.8</v>
          </cell>
          <cell r="S268">
            <v>64.8</v>
          </cell>
          <cell r="T268">
            <v>38238</v>
          </cell>
          <cell r="U268" t="str">
            <v>ГРП</v>
          </cell>
          <cell r="W268" t="str">
            <v>ВЦ.ПП.ГРП ЮК-10,сп.Э-80</v>
          </cell>
          <cell r="AE268">
            <v>38231</v>
          </cell>
        </row>
        <row r="269">
          <cell r="B269">
            <v>2932</v>
          </cell>
          <cell r="C269">
            <v>44</v>
          </cell>
          <cell r="F269" t="str">
            <v>УПНП</v>
          </cell>
          <cell r="G269">
            <v>270</v>
          </cell>
          <cell r="H269" t="str">
            <v>ШГН</v>
          </cell>
          <cell r="I269" t="str">
            <v>действ.</v>
          </cell>
          <cell r="K269">
            <v>11</v>
          </cell>
          <cell r="L269">
            <v>3.8</v>
          </cell>
          <cell r="M269">
            <v>58</v>
          </cell>
          <cell r="N269">
            <v>125</v>
          </cell>
          <cell r="O269">
            <v>28.7</v>
          </cell>
          <cell r="P269">
            <v>71.8</v>
          </cell>
          <cell r="Q269">
            <v>114</v>
          </cell>
          <cell r="R269">
            <v>24.9</v>
          </cell>
          <cell r="S269">
            <v>56</v>
          </cell>
          <cell r="T269">
            <v>38230</v>
          </cell>
          <cell r="U269" t="str">
            <v>ГРП</v>
          </cell>
          <cell r="W269" t="str">
            <v>ВЗ,ГРП ЮК-10,сп.Э-80</v>
          </cell>
          <cell r="AD269">
            <v>38197</v>
          </cell>
          <cell r="AE269">
            <v>38223</v>
          </cell>
        </row>
        <row r="270">
          <cell r="B270">
            <v>2947</v>
          </cell>
          <cell r="C270">
            <v>44</v>
          </cell>
          <cell r="F270" t="str">
            <v>УПНП</v>
          </cell>
          <cell r="G270">
            <v>270</v>
          </cell>
          <cell r="H270" t="str">
            <v>ШГН</v>
          </cell>
          <cell r="I270" t="str">
            <v>бд</v>
          </cell>
          <cell r="J270">
            <v>35030</v>
          </cell>
          <cell r="K270">
            <v>0</v>
          </cell>
          <cell r="L270">
            <v>0</v>
          </cell>
          <cell r="M270">
            <v>0</v>
          </cell>
          <cell r="N270">
            <v>80</v>
          </cell>
          <cell r="O270">
            <v>22.8</v>
          </cell>
          <cell r="P270">
            <v>65</v>
          </cell>
          <cell r="Q270">
            <v>80</v>
          </cell>
          <cell r="R270">
            <v>22.8</v>
          </cell>
          <cell r="S270">
            <v>64.8</v>
          </cell>
          <cell r="T270">
            <v>38263</v>
          </cell>
          <cell r="U270" t="str">
            <v>ГРП</v>
          </cell>
          <cell r="W270" t="str">
            <v>ЛА.ВЗ.ГРП ЮК-10.Сп.ЭЦН-80</v>
          </cell>
          <cell r="AD270">
            <v>38224</v>
          </cell>
          <cell r="AE270">
            <v>38256</v>
          </cell>
        </row>
        <row r="271">
          <cell r="B271">
            <v>3039</v>
          </cell>
          <cell r="C271">
            <v>67</v>
          </cell>
          <cell r="F271" t="str">
            <v>УПНП</v>
          </cell>
          <cell r="G271">
            <v>265</v>
          </cell>
          <cell r="H271" t="str">
            <v>ШГН</v>
          </cell>
          <cell r="I271" t="str">
            <v>бд</v>
          </cell>
          <cell r="J271">
            <v>32932</v>
          </cell>
          <cell r="K271">
            <v>0</v>
          </cell>
          <cell r="L271">
            <v>0</v>
          </cell>
          <cell r="M271">
            <v>0</v>
          </cell>
          <cell r="N271">
            <v>30</v>
          </cell>
          <cell r="O271">
            <v>8.6</v>
          </cell>
          <cell r="P271">
            <v>65</v>
          </cell>
          <cell r="Q271">
            <v>30</v>
          </cell>
          <cell r="R271">
            <v>8.6</v>
          </cell>
          <cell r="S271">
            <v>64.599999999999994</v>
          </cell>
          <cell r="T271">
            <v>38231</v>
          </cell>
          <cell r="U271" t="str">
            <v>бдк</v>
          </cell>
          <cell r="W271" t="str">
            <v>ВЦ.ЛА.ПП ЮК-10.ДП РZ.СКО.Сп.Э-30</v>
          </cell>
          <cell r="AD271">
            <v>38210</v>
          </cell>
          <cell r="AE271">
            <v>38224</v>
          </cell>
        </row>
        <row r="272">
          <cell r="B272" t="str">
            <v>5243б</v>
          </cell>
          <cell r="C272">
            <v>135</v>
          </cell>
          <cell r="F272" t="str">
            <v>УПНПиКРС</v>
          </cell>
          <cell r="G272">
            <v>290</v>
          </cell>
          <cell r="H272" t="str">
            <v>ЭЦН</v>
          </cell>
          <cell r="I272" t="str">
            <v>конс.</v>
          </cell>
          <cell r="J272">
            <v>34669</v>
          </cell>
          <cell r="K272">
            <v>0</v>
          </cell>
          <cell r="L272">
            <v>0</v>
          </cell>
          <cell r="M272">
            <v>0</v>
          </cell>
          <cell r="N272">
            <v>80</v>
          </cell>
          <cell r="O272">
            <v>8.5</v>
          </cell>
          <cell r="P272">
            <v>87</v>
          </cell>
          <cell r="Q272">
            <v>80</v>
          </cell>
          <cell r="R272">
            <v>8.5</v>
          </cell>
          <cell r="S272">
            <v>86.9</v>
          </cell>
          <cell r="T272">
            <v>38258</v>
          </cell>
          <cell r="U272" t="str">
            <v>бдк</v>
          </cell>
          <cell r="V272">
            <v>2</v>
          </cell>
          <cell r="W272" t="str">
            <v>ВЗ.Сп.Э-80</v>
          </cell>
          <cell r="Y272" t="str">
            <v>Нет КВ</v>
          </cell>
          <cell r="AD272">
            <v>38182</v>
          </cell>
          <cell r="AE272">
            <v>38251</v>
          </cell>
          <cell r="AF272">
            <v>35</v>
          </cell>
        </row>
        <row r="273">
          <cell r="B273">
            <v>2962</v>
          </cell>
          <cell r="C273" t="str">
            <v>50б</v>
          </cell>
          <cell r="F273" t="str">
            <v>УПНПиКРС</v>
          </cell>
          <cell r="G273">
            <v>258</v>
          </cell>
          <cell r="H273" t="str">
            <v>ЭЦН</v>
          </cell>
          <cell r="I273" t="str">
            <v>конс.</v>
          </cell>
          <cell r="J273">
            <v>34335</v>
          </cell>
          <cell r="K273">
            <v>0</v>
          </cell>
          <cell r="L273">
            <v>0</v>
          </cell>
          <cell r="M273">
            <v>0</v>
          </cell>
          <cell r="N273">
            <v>80</v>
          </cell>
          <cell r="O273">
            <v>22.8</v>
          </cell>
          <cell r="P273">
            <v>65</v>
          </cell>
          <cell r="Q273">
            <v>80</v>
          </cell>
          <cell r="R273">
            <v>22.8</v>
          </cell>
          <cell r="S273">
            <v>64.8</v>
          </cell>
          <cell r="T273">
            <v>38255</v>
          </cell>
          <cell r="U273" t="str">
            <v>ГРП</v>
          </cell>
          <cell r="W273" t="str">
            <v>ПР.ГРП ЮК-10,сп.Э-80</v>
          </cell>
          <cell r="AD273">
            <v>38231</v>
          </cell>
          <cell r="AE273">
            <v>38248</v>
          </cell>
        </row>
        <row r="274">
          <cell r="B274" t="str">
            <v>5471б</v>
          </cell>
          <cell r="C274">
            <v>108</v>
          </cell>
          <cell r="F274" t="str">
            <v>УПНПиКРС</v>
          </cell>
          <cell r="G274">
            <v>265</v>
          </cell>
          <cell r="H274" t="str">
            <v>ЭЦН</v>
          </cell>
          <cell r="I274" t="str">
            <v>действ.</v>
          </cell>
          <cell r="K274">
            <v>150</v>
          </cell>
          <cell r="L274">
            <v>11</v>
          </cell>
          <cell r="M274">
            <v>91</v>
          </cell>
          <cell r="N274">
            <v>150</v>
          </cell>
          <cell r="O274">
            <v>11</v>
          </cell>
          <cell r="P274">
            <v>91</v>
          </cell>
          <cell r="Q274">
            <v>0</v>
          </cell>
          <cell r="R274">
            <v>0</v>
          </cell>
          <cell r="S274">
            <v>0</v>
          </cell>
          <cell r="T274">
            <v>38348</v>
          </cell>
          <cell r="U274" t="str">
            <v>ЛА</v>
          </cell>
          <cell r="W274" t="str">
            <v>ЛА.Спуск ЭЦН</v>
          </cell>
          <cell r="AE274">
            <v>38341</v>
          </cell>
        </row>
        <row r="275">
          <cell r="B275">
            <v>3118</v>
          </cell>
          <cell r="C275" t="str">
            <v>44б</v>
          </cell>
          <cell r="F275" t="str">
            <v>ПРС</v>
          </cell>
          <cell r="G275">
            <v>270</v>
          </cell>
          <cell r="H275" t="str">
            <v>ШГН</v>
          </cell>
          <cell r="I275" t="str">
            <v>бд</v>
          </cell>
          <cell r="J275">
            <v>36746</v>
          </cell>
          <cell r="K275">
            <v>0</v>
          </cell>
          <cell r="L275">
            <v>0</v>
          </cell>
          <cell r="M275">
            <v>0</v>
          </cell>
          <cell r="N275">
            <v>5</v>
          </cell>
          <cell r="O275">
            <v>2.9</v>
          </cell>
          <cell r="P275">
            <v>30</v>
          </cell>
          <cell r="Q275">
            <v>5</v>
          </cell>
          <cell r="R275">
            <v>2.9</v>
          </cell>
          <cell r="S275">
            <v>28.4</v>
          </cell>
          <cell r="T275">
            <v>38252</v>
          </cell>
          <cell r="U275" t="str">
            <v>ВЦД</v>
          </cell>
          <cell r="W275" t="str">
            <v>ВЦ "БАРС".Смена НВ-44</v>
          </cell>
        </row>
        <row r="276">
          <cell r="B276">
            <v>3123</v>
          </cell>
          <cell r="C276">
            <v>54</v>
          </cell>
          <cell r="F276" t="str">
            <v>УПНПиКРС</v>
          </cell>
          <cell r="G276">
            <v>270</v>
          </cell>
          <cell r="H276" t="str">
            <v>ФОН</v>
          </cell>
          <cell r="I276" t="str">
            <v>конс.</v>
          </cell>
          <cell r="J276">
            <v>34213</v>
          </cell>
          <cell r="N276">
            <v>80</v>
          </cell>
          <cell r="O276">
            <v>24.9</v>
          </cell>
          <cell r="P276">
            <v>61.8</v>
          </cell>
          <cell r="Q276">
            <v>80</v>
          </cell>
          <cell r="R276">
            <v>24.9</v>
          </cell>
          <cell r="S276">
            <v>61.8</v>
          </cell>
          <cell r="T276">
            <v>38257</v>
          </cell>
          <cell r="U276" t="str">
            <v>ГРП</v>
          </cell>
          <cell r="W276" t="str">
            <v>ВЦ.ГИС-2.ДП ЮК-10.ГРП.Сп.Э-80</v>
          </cell>
        </row>
        <row r="277">
          <cell r="B277">
            <v>2593</v>
          </cell>
          <cell r="C277" t="str">
            <v>36б</v>
          </cell>
          <cell r="F277" t="str">
            <v>НвБН</v>
          </cell>
          <cell r="G277">
            <v>25</v>
          </cell>
          <cell r="H277" t="str">
            <v>ЭЦН</v>
          </cell>
          <cell r="N277">
            <v>125</v>
          </cell>
          <cell r="O277">
            <v>70.3</v>
          </cell>
          <cell r="P277">
            <v>31</v>
          </cell>
          <cell r="Q277">
            <v>125</v>
          </cell>
          <cell r="R277">
            <v>70.3</v>
          </cell>
          <cell r="S277">
            <v>31</v>
          </cell>
          <cell r="T277">
            <v>38165</v>
          </cell>
          <cell r="U277" t="str">
            <v>новая</v>
          </cell>
          <cell r="W277" t="str">
            <v>бурение, ГРП ЮК-10,осв. Сп.Э125</v>
          </cell>
        </row>
        <row r="278">
          <cell r="B278">
            <v>2586</v>
          </cell>
          <cell r="C278">
            <v>167</v>
          </cell>
          <cell r="F278" t="str">
            <v>ПРС</v>
          </cell>
          <cell r="G278">
            <v>250</v>
          </cell>
          <cell r="H278" t="str">
            <v>ШГН</v>
          </cell>
          <cell r="I278" t="str">
            <v>бд</v>
          </cell>
          <cell r="N278">
            <v>11</v>
          </cell>
          <cell r="O278">
            <v>4</v>
          </cell>
          <cell r="P278">
            <v>55.5</v>
          </cell>
          <cell r="Q278">
            <v>11</v>
          </cell>
          <cell r="R278">
            <v>4</v>
          </cell>
          <cell r="S278">
            <v>55.5</v>
          </cell>
          <cell r="T278">
            <v>38139</v>
          </cell>
          <cell r="U278" t="str">
            <v>вцд</v>
          </cell>
          <cell r="W278" t="str">
            <v>ВЦ " БАРС",см.НВ-44</v>
          </cell>
        </row>
        <row r="279">
          <cell r="B279" t="str">
            <v>5527б</v>
          </cell>
          <cell r="C279">
            <v>118</v>
          </cell>
          <cell r="F279" t="str">
            <v>КРС</v>
          </cell>
          <cell r="G279">
            <v>280</v>
          </cell>
          <cell r="H279" t="str">
            <v>ЭЦН</v>
          </cell>
          <cell r="I279" t="str">
            <v>действ.</v>
          </cell>
          <cell r="K279">
            <v>101</v>
          </cell>
          <cell r="L279">
            <v>28.8</v>
          </cell>
          <cell r="M279">
            <v>65</v>
          </cell>
          <cell r="N279">
            <v>101</v>
          </cell>
          <cell r="O279">
            <v>28.8</v>
          </cell>
          <cell r="P279">
            <v>65</v>
          </cell>
          <cell r="Q279">
            <v>101</v>
          </cell>
          <cell r="R279">
            <v>28.8</v>
          </cell>
          <cell r="S279">
            <v>65</v>
          </cell>
          <cell r="T279">
            <v>38377</v>
          </cell>
          <cell r="U279" t="str">
            <v>ЛА</v>
          </cell>
          <cell r="W279" t="str">
            <v>Извлечение ЭЦН</v>
          </cell>
          <cell r="AD279">
            <v>38139</v>
          </cell>
          <cell r="AE279">
            <v>38173</v>
          </cell>
        </row>
        <row r="280">
          <cell r="B280">
            <v>3856</v>
          </cell>
          <cell r="C280">
            <v>198</v>
          </cell>
          <cell r="F280" t="str">
            <v>КРС</v>
          </cell>
          <cell r="G280">
            <v>250</v>
          </cell>
          <cell r="H280" t="str">
            <v>ЭЦН</v>
          </cell>
          <cell r="I280" t="str">
            <v>действ.</v>
          </cell>
          <cell r="K280">
            <v>26</v>
          </cell>
          <cell r="L280">
            <v>3.8</v>
          </cell>
          <cell r="M280">
            <v>82</v>
          </cell>
          <cell r="N280">
            <v>80</v>
          </cell>
          <cell r="O280">
            <v>28.7</v>
          </cell>
          <cell r="P280">
            <v>56</v>
          </cell>
          <cell r="Q280">
            <v>80</v>
          </cell>
          <cell r="R280">
            <v>24.9</v>
          </cell>
          <cell r="S280">
            <v>61.6</v>
          </cell>
          <cell r="T280">
            <v>38183</v>
          </cell>
          <cell r="U280" t="str">
            <v>ГРП</v>
          </cell>
          <cell r="W280" t="str">
            <v>ПР ГРП ЮК-10,сп.Э-80</v>
          </cell>
          <cell r="AD280">
            <v>38147</v>
          </cell>
          <cell r="AE280">
            <v>38176</v>
          </cell>
        </row>
        <row r="281">
          <cell r="B281">
            <v>5710</v>
          </cell>
          <cell r="C281">
            <v>124</v>
          </cell>
          <cell r="F281" t="str">
            <v>УПНП</v>
          </cell>
          <cell r="G281">
            <v>250</v>
          </cell>
          <cell r="H281" t="str">
            <v>ЭЦН</v>
          </cell>
          <cell r="I281" t="str">
            <v>действ.</v>
          </cell>
          <cell r="J281">
            <v>34213</v>
          </cell>
          <cell r="K281">
            <v>70</v>
          </cell>
          <cell r="L281">
            <v>0.6</v>
          </cell>
          <cell r="M281">
            <v>99</v>
          </cell>
          <cell r="N281">
            <v>0</v>
          </cell>
          <cell r="O281">
            <v>0</v>
          </cell>
          <cell r="P281">
            <v>0</v>
          </cell>
          <cell r="Q281">
            <v>-70</v>
          </cell>
          <cell r="R281">
            <v>-0.6</v>
          </cell>
          <cell r="S281">
            <v>98.9</v>
          </cell>
          <cell r="T281">
            <v>38141</v>
          </cell>
          <cell r="U281" t="str">
            <v>нг</v>
          </cell>
          <cell r="W281" t="str">
            <v>ОТСК.ПП.ОПЗ.ГИС-3.Перевод в ППД.</v>
          </cell>
          <cell r="AD281">
            <v>37903</v>
          </cell>
          <cell r="AE281">
            <v>37929</v>
          </cell>
        </row>
        <row r="282">
          <cell r="B282">
            <v>2866</v>
          </cell>
          <cell r="C282">
            <v>131</v>
          </cell>
          <cell r="F282" t="str">
            <v>УПНП</v>
          </cell>
          <cell r="G282">
            <v>250</v>
          </cell>
          <cell r="H282" t="str">
            <v>ЭЦН</v>
          </cell>
          <cell r="I282" t="str">
            <v>действ.</v>
          </cell>
          <cell r="J282">
            <v>34883</v>
          </cell>
          <cell r="K282">
            <v>87</v>
          </cell>
          <cell r="L282">
            <v>10.6</v>
          </cell>
          <cell r="M282">
            <v>85</v>
          </cell>
          <cell r="N282">
            <v>135</v>
          </cell>
          <cell r="O282">
            <v>16.5</v>
          </cell>
          <cell r="P282">
            <v>85</v>
          </cell>
          <cell r="Q282">
            <v>48</v>
          </cell>
          <cell r="R282">
            <v>5.9</v>
          </cell>
          <cell r="S282">
            <v>84.8</v>
          </cell>
          <cell r="T282">
            <v>38092</v>
          </cell>
          <cell r="U282" t="str">
            <v>опт</v>
          </cell>
          <cell r="W282" t="str">
            <v>см.Э-50/Э-125</v>
          </cell>
          <cell r="AD282">
            <v>38085</v>
          </cell>
          <cell r="AE282">
            <v>38085</v>
          </cell>
          <cell r="AF282">
            <v>50</v>
          </cell>
          <cell r="AG282" t="e">
            <v>#REF!</v>
          </cell>
          <cell r="AH282" t="e">
            <v>#REF!</v>
          </cell>
        </row>
        <row r="283">
          <cell r="B283">
            <v>2955</v>
          </cell>
          <cell r="C283">
            <v>46</v>
          </cell>
          <cell r="F283" t="str">
            <v>УПНП</v>
          </cell>
          <cell r="G283">
            <v>270</v>
          </cell>
          <cell r="H283" t="str">
            <v>фон</v>
          </cell>
          <cell r="I283" t="str">
            <v>бд</v>
          </cell>
          <cell r="J283">
            <v>35097</v>
          </cell>
          <cell r="K283">
            <v>0</v>
          </cell>
          <cell r="L283">
            <v>0</v>
          </cell>
          <cell r="M283">
            <v>0</v>
          </cell>
          <cell r="N283">
            <v>50</v>
          </cell>
          <cell r="O283">
            <v>8.1999999999999993</v>
          </cell>
          <cell r="P283">
            <v>80</v>
          </cell>
          <cell r="Q283">
            <v>50</v>
          </cell>
          <cell r="R283">
            <v>8.1999999999999993</v>
          </cell>
          <cell r="S283">
            <v>79.8</v>
          </cell>
          <cell r="T283">
            <v>37950</v>
          </cell>
          <cell r="U283" t="str">
            <v>ЛА</v>
          </cell>
          <cell r="W283" t="str">
            <v>ВЦ.ЛА.ПП ЮК10.Сп.Э-50</v>
          </cell>
          <cell r="AD283">
            <v>37921</v>
          </cell>
          <cell r="AE283">
            <v>37943</v>
          </cell>
        </row>
        <row r="284">
          <cell r="B284">
            <v>5429</v>
          </cell>
          <cell r="C284">
            <v>103</v>
          </cell>
          <cell r="F284" t="str">
            <v>УПНП</v>
          </cell>
          <cell r="G284">
            <v>250</v>
          </cell>
          <cell r="H284" t="str">
            <v>ЭЦН</v>
          </cell>
          <cell r="I284" t="str">
            <v>бд</v>
          </cell>
          <cell r="J284">
            <v>36351</v>
          </cell>
          <cell r="K284">
            <v>0</v>
          </cell>
          <cell r="L284">
            <v>0</v>
          </cell>
          <cell r="M284">
            <v>0</v>
          </cell>
          <cell r="N284">
            <v>50</v>
          </cell>
          <cell r="O284">
            <v>8.1999999999999993</v>
          </cell>
          <cell r="P284">
            <v>80</v>
          </cell>
          <cell r="Q284">
            <v>50</v>
          </cell>
          <cell r="R284">
            <v>8.1999999999999993</v>
          </cell>
          <cell r="S284">
            <v>79.8</v>
          </cell>
          <cell r="T284">
            <v>37941</v>
          </cell>
          <cell r="U284" t="str">
            <v>ЛА</v>
          </cell>
          <cell r="W284" t="str">
            <v>ЛА,Сп.Э-80</v>
          </cell>
          <cell r="X284" t="str">
            <v>Полёт ЭЦН+проволка ЦНИПР и шаблон</v>
          </cell>
          <cell r="AD284">
            <v>37908</v>
          </cell>
          <cell r="AE284">
            <v>37934</v>
          </cell>
        </row>
        <row r="285">
          <cell r="B285">
            <v>5335</v>
          </cell>
          <cell r="C285">
            <v>140</v>
          </cell>
          <cell r="F285" t="str">
            <v>УПНП</v>
          </cell>
          <cell r="G285">
            <v>270</v>
          </cell>
          <cell r="H285" t="str">
            <v>ШГН</v>
          </cell>
          <cell r="I285" t="str">
            <v>конс.</v>
          </cell>
          <cell r="J285">
            <v>34943</v>
          </cell>
          <cell r="K285">
            <v>0</v>
          </cell>
          <cell r="L285">
            <v>0</v>
          </cell>
          <cell r="M285">
            <v>0</v>
          </cell>
          <cell r="N285">
            <v>50</v>
          </cell>
          <cell r="O285">
            <v>8.1999999999999993</v>
          </cell>
          <cell r="P285">
            <v>80</v>
          </cell>
          <cell r="Q285">
            <v>50</v>
          </cell>
          <cell r="R285">
            <v>8.1999999999999993</v>
          </cell>
          <cell r="S285">
            <v>79.8</v>
          </cell>
          <cell r="T285">
            <v>37940</v>
          </cell>
          <cell r="U285" t="str">
            <v>ВЦ</v>
          </cell>
          <cell r="W285" t="str">
            <v xml:space="preserve">ВЦ.ВЗ. ГИС. ПП ЮК11. </v>
          </cell>
          <cell r="X285" t="str">
            <v>Проверить циркуляцию</v>
          </cell>
          <cell r="AD285">
            <v>37904</v>
          </cell>
          <cell r="AE285">
            <v>37933</v>
          </cell>
          <cell r="AF285">
            <v>11</v>
          </cell>
        </row>
        <row r="286">
          <cell r="B286">
            <v>2975</v>
          </cell>
          <cell r="C286">
            <v>48</v>
          </cell>
          <cell r="F286" t="str">
            <v>УПНП</v>
          </cell>
          <cell r="H286" t="str">
            <v>нагнет.</v>
          </cell>
          <cell r="I286" t="str">
            <v>конс.</v>
          </cell>
          <cell r="K286">
            <v>0</v>
          </cell>
          <cell r="L286">
            <v>0</v>
          </cell>
          <cell r="M286">
            <v>0</v>
          </cell>
          <cell r="N286">
            <v>30</v>
          </cell>
          <cell r="O286">
            <v>9.8000000000000007</v>
          </cell>
          <cell r="P286">
            <v>60</v>
          </cell>
          <cell r="Q286">
            <v>30</v>
          </cell>
          <cell r="R286">
            <v>9.8000000000000007</v>
          </cell>
          <cell r="S286">
            <v>59.7</v>
          </cell>
          <cell r="T286">
            <v>37936</v>
          </cell>
          <cell r="U286" t="str">
            <v>ВВ</v>
          </cell>
          <cell r="W286" t="str">
            <v>ОТСК.ОПР</v>
          </cell>
          <cell r="AD286">
            <v>37891</v>
          </cell>
          <cell r="AE286">
            <v>37929</v>
          </cell>
        </row>
        <row r="287">
          <cell r="B287">
            <v>5415</v>
          </cell>
          <cell r="C287">
            <v>109</v>
          </cell>
          <cell r="F287" t="str">
            <v>УПНП</v>
          </cell>
          <cell r="G287">
            <v>275</v>
          </cell>
          <cell r="H287" t="str">
            <v>ЭЦН</v>
          </cell>
          <cell r="I287" t="str">
            <v>бд</v>
          </cell>
          <cell r="J287">
            <v>32964</v>
          </cell>
          <cell r="K287">
            <v>0</v>
          </cell>
          <cell r="L287">
            <v>0</v>
          </cell>
          <cell r="M287">
            <v>0</v>
          </cell>
          <cell r="N287">
            <v>80</v>
          </cell>
          <cell r="O287">
            <v>16</v>
          </cell>
          <cell r="P287">
            <v>75.3</v>
          </cell>
          <cell r="Q287">
            <v>80</v>
          </cell>
          <cell r="R287">
            <v>16</v>
          </cell>
          <cell r="S287">
            <v>75.3</v>
          </cell>
          <cell r="T287">
            <v>38842</v>
          </cell>
          <cell r="U287" t="str">
            <v>ГРП</v>
          </cell>
          <cell r="W287" t="str">
            <v>ВЦ,ГРП ЮК-10</v>
          </cell>
          <cell r="AD287">
            <v>38016</v>
          </cell>
          <cell r="AE287">
            <v>38018</v>
          </cell>
          <cell r="AF287">
            <v>29</v>
          </cell>
        </row>
        <row r="288">
          <cell r="B288">
            <v>5254</v>
          </cell>
          <cell r="C288">
            <v>138</v>
          </cell>
          <cell r="F288" t="str">
            <v>УПНП</v>
          </cell>
          <cell r="G288">
            <v>290</v>
          </cell>
          <cell r="H288" t="str">
            <v>ШГН</v>
          </cell>
          <cell r="I288" t="str">
            <v>конс.</v>
          </cell>
          <cell r="J288">
            <v>33556</v>
          </cell>
          <cell r="K288">
            <v>0</v>
          </cell>
          <cell r="L288">
            <v>0</v>
          </cell>
          <cell r="M288">
            <v>0</v>
          </cell>
          <cell r="N288">
            <v>30</v>
          </cell>
          <cell r="O288">
            <v>9.8000000000000007</v>
          </cell>
          <cell r="P288">
            <v>60</v>
          </cell>
          <cell r="Q288">
            <v>30</v>
          </cell>
          <cell r="R288">
            <v>9.8000000000000007</v>
          </cell>
          <cell r="S288">
            <v>59.7</v>
          </cell>
          <cell r="T288">
            <v>37941</v>
          </cell>
          <cell r="U288" t="str">
            <v>БДК</v>
          </cell>
          <cell r="W288" t="str">
            <v>ОТСК.ПП ЮК10.Сп. Э-30</v>
          </cell>
          <cell r="AD288">
            <v>37908</v>
          </cell>
          <cell r="AE288">
            <v>37934</v>
          </cell>
        </row>
        <row r="289">
          <cell r="B289">
            <v>2915</v>
          </cell>
          <cell r="C289">
            <v>44</v>
          </cell>
          <cell r="F289" t="str">
            <v>УПНП</v>
          </cell>
          <cell r="G289">
            <v>270</v>
          </cell>
          <cell r="H289" t="str">
            <v>ШГН</v>
          </cell>
          <cell r="I289" t="str">
            <v>конс.</v>
          </cell>
          <cell r="J289">
            <v>34060</v>
          </cell>
          <cell r="K289">
            <v>0</v>
          </cell>
          <cell r="L289">
            <v>0</v>
          </cell>
          <cell r="M289">
            <v>0</v>
          </cell>
          <cell r="N289">
            <v>30</v>
          </cell>
          <cell r="O289">
            <v>3.7</v>
          </cell>
          <cell r="P289">
            <v>85</v>
          </cell>
          <cell r="Q289">
            <v>30</v>
          </cell>
          <cell r="R289">
            <v>3.7</v>
          </cell>
          <cell r="S289">
            <v>85</v>
          </cell>
          <cell r="T289">
            <v>38088</v>
          </cell>
          <cell r="U289" t="str">
            <v>бдп</v>
          </cell>
          <cell r="W289" t="str">
            <v>ВЗ ДМШУ,сп.Э-30</v>
          </cell>
          <cell r="AD289">
            <v>37913</v>
          </cell>
          <cell r="AE289">
            <v>37923</v>
          </cell>
        </row>
        <row r="290">
          <cell r="B290">
            <v>3006</v>
          </cell>
          <cell r="C290">
            <v>45</v>
          </cell>
          <cell r="F290" t="str">
            <v>УПНП</v>
          </cell>
          <cell r="G290">
            <v>270</v>
          </cell>
          <cell r="H290" t="str">
            <v>фон.</v>
          </cell>
          <cell r="I290" t="str">
            <v>конс.</v>
          </cell>
          <cell r="J290">
            <v>33756</v>
          </cell>
          <cell r="K290">
            <v>0</v>
          </cell>
          <cell r="L290">
            <v>0</v>
          </cell>
          <cell r="M290">
            <v>0</v>
          </cell>
          <cell r="N290">
            <v>30</v>
          </cell>
          <cell r="O290">
            <v>6.1</v>
          </cell>
          <cell r="P290">
            <v>75</v>
          </cell>
          <cell r="Q290">
            <v>30</v>
          </cell>
          <cell r="R290">
            <v>6.1</v>
          </cell>
          <cell r="S290">
            <v>74.900000000000006</v>
          </cell>
          <cell r="T290">
            <v>37972</v>
          </cell>
          <cell r="U290" t="str">
            <v>ВЦ</v>
          </cell>
          <cell r="W290" t="str">
            <v>ВЦ.ПП ЮК-10.МШУ с пак..Сп.Э-30</v>
          </cell>
          <cell r="AD290">
            <v>37943</v>
          </cell>
          <cell r="AE290">
            <v>37965</v>
          </cell>
        </row>
        <row r="291">
          <cell r="B291">
            <v>3424</v>
          </cell>
          <cell r="C291">
            <v>68</v>
          </cell>
          <cell r="F291" t="str">
            <v>УПНП</v>
          </cell>
          <cell r="G291">
            <v>240</v>
          </cell>
          <cell r="H291" t="str">
            <v>ЭЦН</v>
          </cell>
          <cell r="I291" t="str">
            <v>конс.</v>
          </cell>
          <cell r="J291">
            <v>33939</v>
          </cell>
          <cell r="K291">
            <v>0</v>
          </cell>
          <cell r="L291">
            <v>0</v>
          </cell>
          <cell r="M291">
            <v>0</v>
          </cell>
          <cell r="N291">
            <v>125</v>
          </cell>
          <cell r="O291">
            <v>5.0999999999999996</v>
          </cell>
          <cell r="P291">
            <v>95</v>
          </cell>
          <cell r="Q291">
            <v>125</v>
          </cell>
          <cell r="R291">
            <v>5.0999999999999996</v>
          </cell>
          <cell r="S291">
            <v>95</v>
          </cell>
          <cell r="T291">
            <v>37944</v>
          </cell>
          <cell r="U291" t="str">
            <v>БДК</v>
          </cell>
          <cell r="W291" t="str">
            <v>ОТСК.ВЗ.Сп.ЭЦН</v>
          </cell>
          <cell r="AE291">
            <v>37937</v>
          </cell>
        </row>
        <row r="292">
          <cell r="B292">
            <v>5461</v>
          </cell>
          <cell r="C292">
            <v>104</v>
          </cell>
          <cell r="F292" t="str">
            <v>УПНП</v>
          </cell>
          <cell r="G292">
            <v>260</v>
          </cell>
          <cell r="H292" t="str">
            <v>ЭЦН</v>
          </cell>
          <cell r="I292" t="str">
            <v>конс.</v>
          </cell>
          <cell r="J292">
            <v>34851</v>
          </cell>
          <cell r="K292">
            <v>0</v>
          </cell>
          <cell r="L292">
            <v>0</v>
          </cell>
          <cell r="M292">
            <v>0</v>
          </cell>
          <cell r="N292">
            <v>50</v>
          </cell>
          <cell r="O292">
            <v>8.1999999999999993</v>
          </cell>
          <cell r="P292">
            <v>80</v>
          </cell>
          <cell r="Q292">
            <v>50</v>
          </cell>
          <cell r="R292">
            <v>8.1999999999999993</v>
          </cell>
          <cell r="S292">
            <v>79.8</v>
          </cell>
          <cell r="T292">
            <v>37939</v>
          </cell>
          <cell r="U292" t="str">
            <v>ВЦ</v>
          </cell>
          <cell r="W292" t="str">
            <v>ВЦ.ВЗ.ДП ЮК10.Сп.ЭЦН</v>
          </cell>
          <cell r="Y292" t="str">
            <v xml:space="preserve">КОПС </v>
          </cell>
          <cell r="Z292">
            <v>362</v>
          </cell>
          <cell r="AE292">
            <v>37932</v>
          </cell>
        </row>
        <row r="293">
          <cell r="B293">
            <v>5618</v>
          </cell>
          <cell r="C293">
            <v>117</v>
          </cell>
          <cell r="F293" t="str">
            <v>УПНП</v>
          </cell>
          <cell r="G293">
            <v>280</v>
          </cell>
          <cell r="H293" t="str">
            <v>нагнет.</v>
          </cell>
          <cell r="I293" t="str">
            <v>конс.</v>
          </cell>
          <cell r="T293">
            <v>37957</v>
          </cell>
          <cell r="U293" t="str">
            <v>НГ</v>
          </cell>
          <cell r="W293" t="str">
            <v>ОТСК.Сп.пакера ППД.</v>
          </cell>
          <cell r="AE293">
            <v>37960</v>
          </cell>
        </row>
        <row r="294">
          <cell r="B294">
            <v>2953</v>
          </cell>
          <cell r="C294">
            <v>45</v>
          </cell>
          <cell r="F294" t="str">
            <v>ПРС</v>
          </cell>
          <cell r="G294">
            <v>250</v>
          </cell>
          <cell r="H294" t="str">
            <v>фон.</v>
          </cell>
          <cell r="I294" t="str">
            <v>конс.</v>
          </cell>
          <cell r="J294">
            <v>34639</v>
          </cell>
          <cell r="K294">
            <v>0</v>
          </cell>
          <cell r="L294">
            <v>0</v>
          </cell>
          <cell r="M294">
            <v>0</v>
          </cell>
          <cell r="N294">
            <v>30</v>
          </cell>
          <cell r="O294">
            <v>4.2</v>
          </cell>
          <cell r="P294">
            <v>83</v>
          </cell>
          <cell r="Q294">
            <v>30</v>
          </cell>
          <cell r="R294">
            <v>4.2</v>
          </cell>
          <cell r="S294">
            <v>82.7</v>
          </cell>
          <cell r="T294">
            <v>37938</v>
          </cell>
          <cell r="U294" t="str">
            <v>ВЦД</v>
          </cell>
          <cell r="W294" t="str">
            <v>ВЦ.Сп.Э-30</v>
          </cell>
          <cell r="AE294">
            <v>37931</v>
          </cell>
        </row>
        <row r="295">
          <cell r="B295">
            <v>3980</v>
          </cell>
          <cell r="C295">
            <v>196</v>
          </cell>
          <cell r="F295" t="str">
            <v>ПРС</v>
          </cell>
          <cell r="G295">
            <v>240</v>
          </cell>
          <cell r="H295" t="str">
            <v>ЭЦН</v>
          </cell>
          <cell r="I295" t="str">
            <v>действ.</v>
          </cell>
          <cell r="K295">
            <v>0</v>
          </cell>
          <cell r="L295">
            <v>0</v>
          </cell>
          <cell r="M295">
            <v>0</v>
          </cell>
          <cell r="N295">
            <v>30</v>
          </cell>
          <cell r="O295">
            <v>12.2</v>
          </cell>
          <cell r="P295">
            <v>50</v>
          </cell>
          <cell r="Q295">
            <v>30</v>
          </cell>
          <cell r="R295">
            <v>12.2</v>
          </cell>
          <cell r="S295">
            <v>49.8</v>
          </cell>
          <cell r="T295">
            <v>37975</v>
          </cell>
          <cell r="U295" t="str">
            <v>ВВ</v>
          </cell>
          <cell r="W295" t="str">
            <v xml:space="preserve">ИР ЮК-10.ОПР абалак </v>
          </cell>
          <cell r="AE295">
            <v>37968</v>
          </cell>
        </row>
        <row r="296">
          <cell r="B296">
            <v>5705</v>
          </cell>
          <cell r="C296">
            <v>125</v>
          </cell>
          <cell r="F296" t="str">
            <v>ПРС</v>
          </cell>
          <cell r="G296">
            <v>250</v>
          </cell>
          <cell r="H296" t="str">
            <v>Ф/Ш</v>
          </cell>
          <cell r="I296" t="str">
            <v>конс.</v>
          </cell>
          <cell r="J296">
            <v>33786</v>
          </cell>
          <cell r="K296">
            <v>0</v>
          </cell>
          <cell r="L296">
            <v>0</v>
          </cell>
          <cell r="M296">
            <v>0</v>
          </cell>
          <cell r="N296">
            <v>50</v>
          </cell>
          <cell r="O296">
            <v>4.0999999999999996</v>
          </cell>
          <cell r="P296">
            <v>90</v>
          </cell>
          <cell r="Q296">
            <v>50</v>
          </cell>
          <cell r="R296">
            <v>4.0999999999999996</v>
          </cell>
          <cell r="S296">
            <v>89.9</v>
          </cell>
          <cell r="T296">
            <v>37947</v>
          </cell>
          <cell r="U296" t="str">
            <v>ВЦД</v>
          </cell>
          <cell r="W296" t="str">
            <v>ВЦ."Электропрогрев"Сп.Э-50</v>
          </cell>
          <cell r="AE296">
            <v>37940</v>
          </cell>
        </row>
        <row r="297">
          <cell r="B297">
            <v>3672</v>
          </cell>
          <cell r="C297">
            <v>303</v>
          </cell>
          <cell r="F297" t="str">
            <v>ПРС</v>
          </cell>
          <cell r="G297">
            <v>250</v>
          </cell>
          <cell r="H297" t="str">
            <v>фон.</v>
          </cell>
          <cell r="I297" t="str">
            <v>конс.</v>
          </cell>
          <cell r="J297">
            <v>34394</v>
          </cell>
          <cell r="K297">
            <v>0</v>
          </cell>
          <cell r="L297">
            <v>0</v>
          </cell>
          <cell r="M297">
            <v>0</v>
          </cell>
          <cell r="N297">
            <v>30</v>
          </cell>
          <cell r="O297">
            <v>4.2</v>
          </cell>
          <cell r="P297">
            <v>83</v>
          </cell>
          <cell r="Q297">
            <v>30</v>
          </cell>
          <cell r="R297">
            <v>4.2</v>
          </cell>
          <cell r="S297">
            <v>82.7</v>
          </cell>
          <cell r="T297">
            <v>37952</v>
          </cell>
          <cell r="U297" t="str">
            <v>ВЦД</v>
          </cell>
          <cell r="W297" t="str">
            <v>ВЦ."Электропрогрев"Сп.Э-30</v>
          </cell>
          <cell r="AE297">
            <v>37945</v>
          </cell>
        </row>
        <row r="298">
          <cell r="B298" t="str">
            <v>20083р</v>
          </cell>
          <cell r="G298">
            <v>240</v>
          </cell>
          <cell r="H298" t="str">
            <v>ЭЦН</v>
          </cell>
          <cell r="I298" t="str">
            <v>действ.</v>
          </cell>
          <cell r="K298">
            <v>35</v>
          </cell>
          <cell r="L298">
            <v>25.7</v>
          </cell>
          <cell r="M298">
            <v>10</v>
          </cell>
          <cell r="N298">
            <v>58</v>
          </cell>
          <cell r="O298">
            <v>44.9</v>
          </cell>
          <cell r="P298">
            <v>5</v>
          </cell>
          <cell r="Q298">
            <v>23</v>
          </cell>
          <cell r="R298">
            <v>19.2</v>
          </cell>
          <cell r="S298">
            <v>-3.1</v>
          </cell>
          <cell r="T298">
            <v>37966</v>
          </cell>
          <cell r="U298" t="str">
            <v>ГРП</v>
          </cell>
          <cell r="W298" t="str">
            <v>Повт.ГРП ЮК10.Сп.ЭЦН</v>
          </cell>
          <cell r="AD298">
            <v>37945</v>
          </cell>
          <cell r="AE298">
            <v>37959</v>
          </cell>
        </row>
        <row r="299">
          <cell r="B299">
            <v>2837</v>
          </cell>
          <cell r="C299">
            <v>124</v>
          </cell>
          <cell r="F299" t="str">
            <v>УПНП</v>
          </cell>
          <cell r="G299">
            <v>250</v>
          </cell>
          <cell r="H299" t="str">
            <v>Ф/Ш</v>
          </cell>
          <cell r="I299" t="str">
            <v>конс.</v>
          </cell>
          <cell r="J299">
            <v>33025</v>
          </cell>
          <cell r="K299">
            <v>0</v>
          </cell>
          <cell r="L299">
            <v>0</v>
          </cell>
          <cell r="M299">
            <v>0</v>
          </cell>
          <cell r="N299">
            <v>30</v>
          </cell>
          <cell r="O299">
            <v>9.8000000000000007</v>
          </cell>
          <cell r="P299">
            <v>60</v>
          </cell>
          <cell r="Q299">
            <v>30</v>
          </cell>
          <cell r="R299">
            <v>9.8000000000000007</v>
          </cell>
          <cell r="S299">
            <v>59.7</v>
          </cell>
          <cell r="T299">
            <v>37978</v>
          </cell>
          <cell r="U299" t="str">
            <v>БДК</v>
          </cell>
          <cell r="W299" t="str">
            <v>ПП ЮК-10.МШУ с пак.Сп. ЭЦН</v>
          </cell>
          <cell r="AE299">
            <v>37971</v>
          </cell>
        </row>
        <row r="300">
          <cell r="B300">
            <v>5828</v>
          </cell>
          <cell r="C300">
            <v>141</v>
          </cell>
          <cell r="H300" t="str">
            <v>ШГН</v>
          </cell>
          <cell r="I300" t="str">
            <v>действ.</v>
          </cell>
          <cell r="K300">
            <v>18</v>
          </cell>
          <cell r="L300">
            <v>12.4</v>
          </cell>
          <cell r="M300">
            <v>15</v>
          </cell>
          <cell r="N300">
            <v>26</v>
          </cell>
          <cell r="O300">
            <v>18</v>
          </cell>
          <cell r="P300">
            <v>15</v>
          </cell>
          <cell r="Q300">
            <v>8</v>
          </cell>
          <cell r="R300">
            <v>5.6</v>
          </cell>
          <cell r="S300">
            <v>13.6</v>
          </cell>
          <cell r="T300">
            <v>38178</v>
          </cell>
          <cell r="U300" t="str">
            <v>опт</v>
          </cell>
          <cell r="W300" t="str">
            <v>Оптимизация НВ-44/Э-25</v>
          </cell>
        </row>
        <row r="301">
          <cell r="B301">
            <v>2704</v>
          </cell>
          <cell r="C301" t="str">
            <v>160б</v>
          </cell>
          <cell r="F301" t="str">
            <v>УПНП</v>
          </cell>
          <cell r="G301">
            <v>270</v>
          </cell>
          <cell r="H301" t="str">
            <v>ЭЦН</v>
          </cell>
          <cell r="I301" t="str">
            <v>бд</v>
          </cell>
          <cell r="J301">
            <v>34364</v>
          </cell>
          <cell r="K301">
            <v>18</v>
          </cell>
          <cell r="L301">
            <v>0</v>
          </cell>
          <cell r="M301">
            <v>15</v>
          </cell>
          <cell r="N301">
            <v>50</v>
          </cell>
          <cell r="O301">
            <v>8.1999999999999993</v>
          </cell>
          <cell r="P301">
            <v>80</v>
          </cell>
          <cell r="Q301">
            <v>50</v>
          </cell>
          <cell r="R301">
            <v>8.1999999999999993</v>
          </cell>
          <cell r="S301">
            <v>79.8</v>
          </cell>
          <cell r="T301">
            <v>37977</v>
          </cell>
          <cell r="U301" t="str">
            <v>ЛА</v>
          </cell>
          <cell r="W301" t="str">
            <v>ЛА, ИР ЮК-11, ПП ЮК-10.МШУ с пак.</v>
          </cell>
          <cell r="AD301">
            <v>37925</v>
          </cell>
          <cell r="AE301">
            <v>37970</v>
          </cell>
        </row>
        <row r="302">
          <cell r="B302">
            <v>2939</v>
          </cell>
          <cell r="C302">
            <v>46</v>
          </cell>
          <cell r="F302" t="str">
            <v>УПНП</v>
          </cell>
          <cell r="G302">
            <v>260</v>
          </cell>
          <cell r="H302" t="str">
            <v>ШГН</v>
          </cell>
          <cell r="I302" t="str">
            <v>конс.</v>
          </cell>
          <cell r="J302">
            <v>35034</v>
          </cell>
          <cell r="K302">
            <v>0</v>
          </cell>
          <cell r="L302">
            <v>0</v>
          </cell>
          <cell r="M302">
            <v>0</v>
          </cell>
          <cell r="N302">
            <v>50</v>
          </cell>
          <cell r="O302">
            <v>8.1999999999999993</v>
          </cell>
          <cell r="P302">
            <v>80</v>
          </cell>
          <cell r="Q302">
            <v>50</v>
          </cell>
          <cell r="R302">
            <v>8.1999999999999993</v>
          </cell>
          <cell r="S302">
            <v>79.8</v>
          </cell>
          <cell r="T302">
            <v>37981</v>
          </cell>
          <cell r="U302" t="str">
            <v>ЛА</v>
          </cell>
          <cell r="W302" t="str">
            <v>ВЦ.ЛА.ВЗ.ДП-ПП ЮК10.МШУ с пак.Сп.Э-30</v>
          </cell>
          <cell r="AD302">
            <v>37948</v>
          </cell>
          <cell r="AE302">
            <v>37974</v>
          </cell>
        </row>
        <row r="303">
          <cell r="B303">
            <v>5462</v>
          </cell>
          <cell r="C303">
            <v>104</v>
          </cell>
          <cell r="F303" t="str">
            <v>УПНП</v>
          </cell>
          <cell r="H303" t="str">
            <v>ЭЦН</v>
          </cell>
          <cell r="I303" t="str">
            <v>бд</v>
          </cell>
          <cell r="J303">
            <v>34851</v>
          </cell>
          <cell r="K303">
            <v>0</v>
          </cell>
          <cell r="L303">
            <v>0</v>
          </cell>
          <cell r="M303">
            <v>0</v>
          </cell>
          <cell r="N303">
            <v>30</v>
          </cell>
          <cell r="O303">
            <v>6</v>
          </cell>
          <cell r="P303">
            <v>75.3</v>
          </cell>
          <cell r="Q303">
            <v>30</v>
          </cell>
          <cell r="R303">
            <v>6</v>
          </cell>
          <cell r="S303">
            <v>75.3</v>
          </cell>
          <cell r="T303">
            <v>38576</v>
          </cell>
          <cell r="U303" t="str">
            <v>ОПЗ</v>
          </cell>
          <cell r="W303" t="str">
            <v>ВЦ, ПП, ОПЗ СНВ-32</v>
          </cell>
          <cell r="AD303">
            <v>37949</v>
          </cell>
          <cell r="AE303">
            <v>37975</v>
          </cell>
        </row>
        <row r="304">
          <cell r="B304" t="str">
            <v>5593б</v>
          </cell>
          <cell r="C304" t="str">
            <v>119б</v>
          </cell>
          <cell r="F304" t="str">
            <v>УПНП</v>
          </cell>
          <cell r="G304">
            <v>260</v>
          </cell>
          <cell r="H304" t="str">
            <v>ЭЦН</v>
          </cell>
          <cell r="I304" t="str">
            <v>действ.</v>
          </cell>
          <cell r="K304">
            <v>34</v>
          </cell>
          <cell r="L304">
            <v>16.3</v>
          </cell>
          <cell r="M304">
            <v>41</v>
          </cell>
          <cell r="N304">
            <v>125</v>
          </cell>
          <cell r="O304">
            <v>41.8</v>
          </cell>
          <cell r="P304">
            <v>59</v>
          </cell>
          <cell r="Q304">
            <v>91</v>
          </cell>
          <cell r="R304">
            <v>25.5</v>
          </cell>
          <cell r="S304">
            <v>65.400000000000006</v>
          </cell>
          <cell r="T304">
            <v>37964</v>
          </cell>
          <cell r="U304" t="str">
            <v>ГРП</v>
          </cell>
          <cell r="W304" t="str">
            <v>ПП.ГРП ЮК-10.Освоение</v>
          </cell>
          <cell r="AD304">
            <v>37943</v>
          </cell>
          <cell r="AE304">
            <v>37957</v>
          </cell>
        </row>
        <row r="305">
          <cell r="B305" t="str">
            <v>136р</v>
          </cell>
          <cell r="F305" t="str">
            <v>УПНП</v>
          </cell>
          <cell r="G305">
            <v>240</v>
          </cell>
          <cell r="H305" t="str">
            <v>ФОН</v>
          </cell>
          <cell r="I305" t="str">
            <v>действ.</v>
          </cell>
          <cell r="K305">
            <v>30</v>
          </cell>
          <cell r="L305">
            <v>23.2</v>
          </cell>
          <cell r="M305">
            <v>5</v>
          </cell>
          <cell r="N305">
            <v>50</v>
          </cell>
          <cell r="O305">
            <v>38.700000000000003</v>
          </cell>
          <cell r="P305">
            <v>5</v>
          </cell>
          <cell r="Q305">
            <v>20</v>
          </cell>
          <cell r="R305">
            <v>15.5</v>
          </cell>
          <cell r="S305">
            <v>5</v>
          </cell>
          <cell r="T305">
            <v>38025</v>
          </cell>
          <cell r="U305" t="str">
            <v>мд</v>
          </cell>
          <cell r="W305" t="str">
            <v>Пер.на мд</v>
          </cell>
          <cell r="AD305">
            <v>38014</v>
          </cell>
          <cell r="AE305">
            <v>38018</v>
          </cell>
        </row>
        <row r="306">
          <cell r="B306">
            <v>2957</v>
          </cell>
          <cell r="C306">
            <v>46</v>
          </cell>
          <cell r="F306" t="str">
            <v>УПНП</v>
          </cell>
          <cell r="G306">
            <v>250</v>
          </cell>
          <cell r="H306" t="str">
            <v>ЭЦН</v>
          </cell>
          <cell r="I306" t="str">
            <v>действ.</v>
          </cell>
          <cell r="J306">
            <v>34922</v>
          </cell>
          <cell r="K306">
            <v>13</v>
          </cell>
          <cell r="L306">
            <v>5.9</v>
          </cell>
          <cell r="M306">
            <v>44</v>
          </cell>
          <cell r="N306">
            <v>125</v>
          </cell>
          <cell r="O306">
            <v>30.8</v>
          </cell>
          <cell r="P306">
            <v>69.8</v>
          </cell>
          <cell r="Q306">
            <v>112</v>
          </cell>
          <cell r="R306">
            <v>24.9</v>
          </cell>
          <cell r="S306">
            <v>72.599999999999994</v>
          </cell>
          <cell r="T306">
            <v>38224</v>
          </cell>
          <cell r="U306" t="str">
            <v>ГРП</v>
          </cell>
          <cell r="W306" t="str">
            <v>ВЗ,ПР ГРП ЮК-10,сп.Э-80</v>
          </cell>
          <cell r="AD306">
            <v>37946</v>
          </cell>
          <cell r="AE306">
            <v>37972</v>
          </cell>
        </row>
        <row r="307">
          <cell r="B307">
            <v>3030</v>
          </cell>
          <cell r="C307">
            <v>52</v>
          </cell>
          <cell r="F307" t="str">
            <v>УПНП</v>
          </cell>
          <cell r="G307">
            <v>260</v>
          </cell>
          <cell r="H307" t="str">
            <v>Ф/Э</v>
          </cell>
          <cell r="I307" t="str">
            <v>конс.</v>
          </cell>
          <cell r="J307">
            <v>34486</v>
          </cell>
          <cell r="K307">
            <v>0</v>
          </cell>
          <cell r="L307">
            <v>0</v>
          </cell>
          <cell r="M307">
            <v>0</v>
          </cell>
          <cell r="N307">
            <v>50</v>
          </cell>
          <cell r="O307">
            <v>6.1</v>
          </cell>
          <cell r="P307">
            <v>85</v>
          </cell>
          <cell r="Q307">
            <v>50</v>
          </cell>
          <cell r="R307">
            <v>6.1</v>
          </cell>
          <cell r="S307">
            <v>84.9</v>
          </cell>
          <cell r="T307">
            <v>37962</v>
          </cell>
          <cell r="U307" t="str">
            <v>ВЦ</v>
          </cell>
          <cell r="W307" t="str">
            <v>ВЦ.ПП ЮК-10.МШУ с пак..Сп.Э-50</v>
          </cell>
          <cell r="AD307">
            <v>37926</v>
          </cell>
          <cell r="AE307">
            <v>37955</v>
          </cell>
        </row>
        <row r="308">
          <cell r="B308">
            <v>3842</v>
          </cell>
          <cell r="C308">
            <v>100</v>
          </cell>
          <cell r="F308" t="str">
            <v>УПНП</v>
          </cell>
          <cell r="G308">
            <v>240</v>
          </cell>
          <cell r="H308" t="str">
            <v>Ф/Э</v>
          </cell>
          <cell r="I308" t="str">
            <v>конс.</v>
          </cell>
          <cell r="J308">
            <v>34060</v>
          </cell>
          <cell r="K308">
            <v>0</v>
          </cell>
          <cell r="L308">
            <v>0</v>
          </cell>
          <cell r="M308">
            <v>0</v>
          </cell>
          <cell r="N308">
            <v>50</v>
          </cell>
          <cell r="O308">
            <v>8.1999999999999993</v>
          </cell>
          <cell r="P308">
            <v>80</v>
          </cell>
          <cell r="Q308">
            <v>50</v>
          </cell>
          <cell r="R308">
            <v>8.1999999999999993</v>
          </cell>
          <cell r="S308">
            <v>79.8</v>
          </cell>
          <cell r="T308">
            <v>38051</v>
          </cell>
          <cell r="U308" t="str">
            <v>БДП</v>
          </cell>
          <cell r="W308" t="str">
            <v>Смена Э-50</v>
          </cell>
          <cell r="AD308">
            <v>37948</v>
          </cell>
          <cell r="AE308">
            <v>38044</v>
          </cell>
        </row>
        <row r="309">
          <cell r="B309">
            <v>3192</v>
          </cell>
          <cell r="C309">
            <v>55</v>
          </cell>
          <cell r="F309" t="str">
            <v>УПНП</v>
          </cell>
          <cell r="G309">
            <v>270</v>
          </cell>
          <cell r="H309" t="str">
            <v>ШГН</v>
          </cell>
          <cell r="I309" t="str">
            <v>конс.</v>
          </cell>
          <cell r="J309">
            <v>34394</v>
          </cell>
          <cell r="K309">
            <v>0</v>
          </cell>
          <cell r="L309">
            <v>0</v>
          </cell>
          <cell r="M309">
            <v>0</v>
          </cell>
          <cell r="N309">
            <v>30</v>
          </cell>
          <cell r="O309">
            <v>7.3</v>
          </cell>
          <cell r="P309">
            <v>70</v>
          </cell>
          <cell r="Q309">
            <v>30</v>
          </cell>
          <cell r="R309">
            <v>7.3</v>
          </cell>
          <cell r="S309">
            <v>70</v>
          </cell>
          <cell r="T309">
            <v>37974</v>
          </cell>
          <cell r="U309" t="str">
            <v>ВЦ</v>
          </cell>
          <cell r="W309" t="str">
            <v>ВЦ.ГИС-2.ИР ЮК-11.ПП ЮК-10.МШУ с пак.Сп.ЭЦН</v>
          </cell>
          <cell r="AD309">
            <v>37947</v>
          </cell>
          <cell r="AE309">
            <v>37967</v>
          </cell>
        </row>
        <row r="310">
          <cell r="B310">
            <v>2706</v>
          </cell>
          <cell r="C310">
            <v>160</v>
          </cell>
          <cell r="F310" t="str">
            <v>ПРС</v>
          </cell>
          <cell r="H310" t="str">
            <v>ШГН</v>
          </cell>
          <cell r="I310" t="str">
            <v>бд</v>
          </cell>
          <cell r="J310">
            <v>36869</v>
          </cell>
          <cell r="K310">
            <v>0</v>
          </cell>
          <cell r="L310">
            <v>0</v>
          </cell>
          <cell r="M310">
            <v>0</v>
          </cell>
          <cell r="N310">
            <v>3</v>
          </cell>
          <cell r="O310">
            <v>2.1</v>
          </cell>
          <cell r="P310">
            <v>15</v>
          </cell>
          <cell r="Q310">
            <v>3</v>
          </cell>
          <cell r="R310">
            <v>2.1</v>
          </cell>
          <cell r="S310">
            <v>15</v>
          </cell>
          <cell r="T310">
            <v>38414</v>
          </cell>
          <cell r="U310" t="str">
            <v>бдп</v>
          </cell>
          <cell r="W310" t="str">
            <v>ВЦ "БАРС".Смена НВ-32</v>
          </cell>
          <cell r="Y310" t="str">
            <v>ОЦ</v>
          </cell>
          <cell r="AE310">
            <v>37970</v>
          </cell>
        </row>
        <row r="311">
          <cell r="B311">
            <v>5649</v>
          </cell>
          <cell r="C311">
            <v>124</v>
          </cell>
          <cell r="F311" t="str">
            <v>УПНП</v>
          </cell>
          <cell r="G311">
            <v>260</v>
          </cell>
          <cell r="H311" t="str">
            <v>ШГН</v>
          </cell>
          <cell r="I311" t="str">
            <v>конс.</v>
          </cell>
          <cell r="J311">
            <v>32964</v>
          </cell>
          <cell r="K311">
            <v>0</v>
          </cell>
          <cell r="L311">
            <v>0</v>
          </cell>
          <cell r="M311">
            <v>0</v>
          </cell>
          <cell r="N311">
            <v>30</v>
          </cell>
          <cell r="O311">
            <v>8.6999999999999993</v>
          </cell>
          <cell r="P311">
            <v>64.5</v>
          </cell>
          <cell r="Q311">
            <v>30</v>
          </cell>
          <cell r="R311">
            <v>8.6999999999999993</v>
          </cell>
          <cell r="S311">
            <v>64.2</v>
          </cell>
          <cell r="T311">
            <v>38001</v>
          </cell>
          <cell r="U311" t="str">
            <v>ВЦ</v>
          </cell>
          <cell r="W311" t="str">
            <v>ВЦ.ПП ЮК-10.МШУ.Сп.Э-30</v>
          </cell>
          <cell r="AD311">
            <v>37970</v>
          </cell>
          <cell r="AE311">
            <v>37994</v>
          </cell>
        </row>
        <row r="312">
          <cell r="B312">
            <v>5708</v>
          </cell>
          <cell r="C312">
            <v>12</v>
          </cell>
          <cell r="F312" t="str">
            <v>УПНП</v>
          </cell>
          <cell r="G312">
            <v>255</v>
          </cell>
          <cell r="H312" t="str">
            <v>ф/шгн</v>
          </cell>
          <cell r="I312" t="str">
            <v>конс.</v>
          </cell>
          <cell r="J312">
            <v>33635</v>
          </cell>
          <cell r="K312">
            <v>0</v>
          </cell>
          <cell r="L312">
            <v>0</v>
          </cell>
          <cell r="M312">
            <v>0</v>
          </cell>
          <cell r="N312">
            <v>50</v>
          </cell>
          <cell r="O312">
            <v>8.6</v>
          </cell>
          <cell r="P312">
            <v>79</v>
          </cell>
          <cell r="Q312">
            <v>50</v>
          </cell>
          <cell r="R312">
            <v>8.6</v>
          </cell>
          <cell r="S312">
            <v>78.8</v>
          </cell>
          <cell r="T312">
            <v>37994</v>
          </cell>
          <cell r="U312" t="str">
            <v>ВЦ</v>
          </cell>
          <cell r="W312" t="str">
            <v>ВЦ.ПП ЮК-10.МШУ.Сп.Э-30</v>
          </cell>
          <cell r="AD312">
            <v>37964</v>
          </cell>
          <cell r="AE312">
            <v>37987</v>
          </cell>
        </row>
        <row r="313">
          <cell r="B313">
            <v>5716</v>
          </cell>
          <cell r="C313">
            <v>128</v>
          </cell>
          <cell r="F313" t="str">
            <v>УПНП</v>
          </cell>
          <cell r="G313">
            <v>250</v>
          </cell>
          <cell r="H313" t="str">
            <v>ЭЦН</v>
          </cell>
          <cell r="I313" t="str">
            <v>бд</v>
          </cell>
          <cell r="J313">
            <v>35004</v>
          </cell>
          <cell r="K313">
            <v>0</v>
          </cell>
          <cell r="L313">
            <v>0</v>
          </cell>
          <cell r="M313">
            <v>0</v>
          </cell>
          <cell r="N313">
            <v>50</v>
          </cell>
          <cell r="O313">
            <v>8.6</v>
          </cell>
          <cell r="P313">
            <v>79</v>
          </cell>
          <cell r="Q313">
            <v>50</v>
          </cell>
          <cell r="R313">
            <v>8.6</v>
          </cell>
          <cell r="S313">
            <v>78.8</v>
          </cell>
          <cell r="T313">
            <v>38000</v>
          </cell>
          <cell r="U313" t="str">
            <v>ЛА</v>
          </cell>
          <cell r="W313" t="str">
            <v>ВЦ.ЛА.ГИС-2.ИР ЮК-11.ПП ЮК-10</v>
          </cell>
          <cell r="AD313">
            <v>37952</v>
          </cell>
          <cell r="AE313">
            <v>37993</v>
          </cell>
        </row>
        <row r="314">
          <cell r="B314">
            <v>5269</v>
          </cell>
          <cell r="C314">
            <v>135</v>
          </cell>
          <cell r="F314" t="str">
            <v>УПНП</v>
          </cell>
          <cell r="G314">
            <v>260</v>
          </cell>
          <cell r="H314" t="str">
            <v>ЭЦН</v>
          </cell>
          <cell r="I314" t="str">
            <v>конс.</v>
          </cell>
          <cell r="J314">
            <v>33878</v>
          </cell>
          <cell r="K314">
            <v>0</v>
          </cell>
          <cell r="L314">
            <v>0</v>
          </cell>
          <cell r="M314">
            <v>0</v>
          </cell>
          <cell r="N314">
            <v>50</v>
          </cell>
          <cell r="O314">
            <v>6.1</v>
          </cell>
          <cell r="P314">
            <v>85</v>
          </cell>
          <cell r="Q314">
            <v>50</v>
          </cell>
          <cell r="R314">
            <v>6.1</v>
          </cell>
          <cell r="S314">
            <v>84.9</v>
          </cell>
          <cell r="T314">
            <v>36961</v>
          </cell>
          <cell r="U314" t="str">
            <v>ЛА</v>
          </cell>
          <cell r="W314" t="str">
            <v>ВЦ.ЛА</v>
          </cell>
          <cell r="X314" t="str">
            <v>ВЦ ООО "Электропрогрев"</v>
          </cell>
          <cell r="Z314" t="str">
            <v>на 5218</v>
          </cell>
          <cell r="AD314">
            <v>36954</v>
          </cell>
          <cell r="AE314">
            <v>36954</v>
          </cell>
        </row>
        <row r="315">
          <cell r="B315">
            <v>5428</v>
          </cell>
          <cell r="C315">
            <v>103</v>
          </cell>
          <cell r="F315" t="str">
            <v>УПНП</v>
          </cell>
          <cell r="G315">
            <v>240</v>
          </cell>
          <cell r="H315" t="str">
            <v>ШГН</v>
          </cell>
          <cell r="I315" t="str">
            <v>конс.</v>
          </cell>
          <cell r="J315">
            <v>32843</v>
          </cell>
          <cell r="K315">
            <v>0</v>
          </cell>
          <cell r="L315">
            <v>0</v>
          </cell>
          <cell r="M315">
            <v>0</v>
          </cell>
          <cell r="N315">
            <v>80</v>
          </cell>
          <cell r="O315">
            <v>8.6999999999999993</v>
          </cell>
          <cell r="P315">
            <v>86.7</v>
          </cell>
          <cell r="Q315">
            <v>80</v>
          </cell>
          <cell r="R315">
            <v>8.6999999999999993</v>
          </cell>
          <cell r="S315">
            <v>86.6</v>
          </cell>
          <cell r="T315">
            <v>38014</v>
          </cell>
          <cell r="U315" t="str">
            <v>ЛА</v>
          </cell>
          <cell r="W315" t="str">
            <v>ВЦ, ЛА.ГИС-2.ПП.Сп. Э-80</v>
          </cell>
          <cell r="AE315">
            <v>38007</v>
          </cell>
          <cell r="AF315">
            <v>30</v>
          </cell>
        </row>
        <row r="316">
          <cell r="B316">
            <v>2986</v>
          </cell>
          <cell r="C316">
            <v>45</v>
          </cell>
          <cell r="F316" t="str">
            <v>УПНП</v>
          </cell>
          <cell r="G316">
            <v>270</v>
          </cell>
          <cell r="H316" t="str">
            <v>ЭЦН</v>
          </cell>
          <cell r="I316" t="str">
            <v>бдтг</v>
          </cell>
          <cell r="J316">
            <v>38015</v>
          </cell>
          <cell r="K316">
            <v>0</v>
          </cell>
          <cell r="L316">
            <v>0</v>
          </cell>
          <cell r="M316">
            <v>0</v>
          </cell>
          <cell r="N316">
            <v>30</v>
          </cell>
          <cell r="O316">
            <v>3.2</v>
          </cell>
          <cell r="P316">
            <v>87</v>
          </cell>
          <cell r="Q316">
            <v>30</v>
          </cell>
          <cell r="R316">
            <v>3.2</v>
          </cell>
          <cell r="S316">
            <v>86.8</v>
          </cell>
          <cell r="T316">
            <v>38067</v>
          </cell>
          <cell r="U316" t="str">
            <v>БДП</v>
          </cell>
          <cell r="W316" t="str">
            <v>Смена Э-30</v>
          </cell>
          <cell r="AE316">
            <v>38060</v>
          </cell>
        </row>
        <row r="317">
          <cell r="B317">
            <v>5441</v>
          </cell>
          <cell r="C317">
            <v>108</v>
          </cell>
          <cell r="F317" t="str">
            <v>УПНП</v>
          </cell>
          <cell r="G317">
            <v>240</v>
          </cell>
          <cell r="H317" t="str">
            <v>ЭЦН</v>
          </cell>
          <cell r="I317" t="str">
            <v>действ.</v>
          </cell>
          <cell r="K317">
            <v>48</v>
          </cell>
          <cell r="L317">
            <v>20.7</v>
          </cell>
          <cell r="M317">
            <v>47</v>
          </cell>
          <cell r="N317">
            <v>125</v>
          </cell>
          <cell r="O317">
            <v>45.8</v>
          </cell>
          <cell r="P317">
            <v>55</v>
          </cell>
          <cell r="Q317">
            <v>125</v>
          </cell>
          <cell r="R317">
            <v>25.1</v>
          </cell>
          <cell r="S317">
            <v>60</v>
          </cell>
          <cell r="T317">
            <v>38016</v>
          </cell>
          <cell r="U317" t="str">
            <v>ГРП</v>
          </cell>
          <cell r="W317" t="str">
            <v>ВЦ.ГРП ЮК-10</v>
          </cell>
          <cell r="AD317">
            <v>37987</v>
          </cell>
          <cell r="AE317">
            <v>38009</v>
          </cell>
        </row>
        <row r="318">
          <cell r="B318">
            <v>2882</v>
          </cell>
          <cell r="C318">
            <v>131</v>
          </cell>
          <cell r="F318" t="str">
            <v>УПНП</v>
          </cell>
          <cell r="G318">
            <v>275</v>
          </cell>
          <cell r="H318" t="str">
            <v>ЭЦН</v>
          </cell>
          <cell r="I318" t="str">
            <v>конс.</v>
          </cell>
          <cell r="J318">
            <v>33086</v>
          </cell>
          <cell r="K318">
            <v>0</v>
          </cell>
          <cell r="L318">
            <v>0</v>
          </cell>
          <cell r="M318">
            <v>0</v>
          </cell>
          <cell r="N318">
            <v>50</v>
          </cell>
          <cell r="O318">
            <v>8.6</v>
          </cell>
          <cell r="P318">
            <v>79</v>
          </cell>
          <cell r="Q318">
            <v>50</v>
          </cell>
          <cell r="R318">
            <v>8.6</v>
          </cell>
          <cell r="S318">
            <v>78.8</v>
          </cell>
          <cell r="T318">
            <v>37999</v>
          </cell>
          <cell r="U318" t="str">
            <v>ВЦ</v>
          </cell>
          <cell r="W318" t="str">
            <v>ВЦ.МШУ.Сп.Э-50</v>
          </cell>
          <cell r="AD318">
            <v>37971</v>
          </cell>
          <cell r="AE318">
            <v>37992</v>
          </cell>
        </row>
        <row r="319">
          <cell r="B319">
            <v>2990</v>
          </cell>
          <cell r="C319">
            <v>46</v>
          </cell>
          <cell r="F319" t="str">
            <v>УПНП</v>
          </cell>
          <cell r="G319">
            <v>280</v>
          </cell>
          <cell r="H319" t="str">
            <v>Ф/Э</v>
          </cell>
          <cell r="I319" t="str">
            <v>конс.</v>
          </cell>
          <cell r="J319">
            <v>34485</v>
          </cell>
          <cell r="K319">
            <v>0</v>
          </cell>
          <cell r="L319">
            <v>0</v>
          </cell>
          <cell r="M319">
            <v>0</v>
          </cell>
          <cell r="N319">
            <v>30</v>
          </cell>
          <cell r="O319">
            <v>8.6999999999999993</v>
          </cell>
          <cell r="P319">
            <v>64.5</v>
          </cell>
          <cell r="Q319">
            <v>30</v>
          </cell>
          <cell r="R319">
            <v>8.6999999999999993</v>
          </cell>
          <cell r="S319">
            <v>64.2</v>
          </cell>
          <cell r="T319">
            <v>38014</v>
          </cell>
          <cell r="U319" t="str">
            <v>ВЦ</v>
          </cell>
          <cell r="W319" t="str">
            <v>ВЦ.ВЗ МШУ.ПП.МШУ с пак.Сп.ЭЦН</v>
          </cell>
          <cell r="AD319">
            <v>37984</v>
          </cell>
          <cell r="AE319">
            <v>38007</v>
          </cell>
        </row>
        <row r="320">
          <cell r="B320">
            <v>5452</v>
          </cell>
          <cell r="C320">
            <v>101</v>
          </cell>
          <cell r="F320" t="str">
            <v>УПНП</v>
          </cell>
          <cell r="G320">
            <v>270</v>
          </cell>
          <cell r="H320" t="str">
            <v>Фон</v>
          </cell>
          <cell r="I320" t="str">
            <v>конс.</v>
          </cell>
          <cell r="J320">
            <v>33725</v>
          </cell>
          <cell r="K320">
            <v>0</v>
          </cell>
          <cell r="L320">
            <v>0</v>
          </cell>
          <cell r="M320">
            <v>0</v>
          </cell>
          <cell r="N320">
            <v>30</v>
          </cell>
          <cell r="O320">
            <v>8.6999999999999993</v>
          </cell>
          <cell r="P320">
            <v>64.5</v>
          </cell>
          <cell r="Q320">
            <v>30</v>
          </cell>
          <cell r="R320">
            <v>8.6999999999999993</v>
          </cell>
          <cell r="S320">
            <v>64.2</v>
          </cell>
          <cell r="T320">
            <v>37991</v>
          </cell>
          <cell r="U320" t="str">
            <v>БДК</v>
          </cell>
          <cell r="W320" t="str">
            <v>ГИС-2.ПП.МШУ.Сп.ЭЦН</v>
          </cell>
          <cell r="AE320">
            <v>37984</v>
          </cell>
        </row>
        <row r="321">
          <cell r="B321">
            <v>5646</v>
          </cell>
          <cell r="C321">
            <v>125</v>
          </cell>
          <cell r="F321" t="str">
            <v>УПНП</v>
          </cell>
          <cell r="H321" t="str">
            <v>ЭЦН</v>
          </cell>
          <cell r="I321" t="str">
            <v>действ.</v>
          </cell>
          <cell r="K321">
            <v>50</v>
          </cell>
          <cell r="L321">
            <v>18.7</v>
          </cell>
          <cell r="M321">
            <v>54</v>
          </cell>
          <cell r="N321">
            <v>80</v>
          </cell>
          <cell r="O321">
            <v>30</v>
          </cell>
          <cell r="P321">
            <v>54</v>
          </cell>
          <cell r="Q321">
            <v>30</v>
          </cell>
          <cell r="R321">
            <v>11.3</v>
          </cell>
          <cell r="S321">
            <v>53.5</v>
          </cell>
          <cell r="T321">
            <v>38000</v>
          </cell>
          <cell r="U321" t="str">
            <v>ОПТ</v>
          </cell>
          <cell r="W321" t="str">
            <v>Оптимизация Э-50/80</v>
          </cell>
          <cell r="AE321">
            <v>37993</v>
          </cell>
        </row>
        <row r="322">
          <cell r="B322">
            <v>5595</v>
          </cell>
          <cell r="C322">
            <v>119</v>
          </cell>
          <cell r="F322" t="str">
            <v>УПНП</v>
          </cell>
          <cell r="H322" t="str">
            <v>Фон</v>
          </cell>
          <cell r="I322" t="str">
            <v>конс.</v>
          </cell>
          <cell r="N322">
            <v>80</v>
          </cell>
          <cell r="O322">
            <v>24.9</v>
          </cell>
          <cell r="P322">
            <v>61.8</v>
          </cell>
          <cell r="Q322">
            <v>80</v>
          </cell>
          <cell r="R322">
            <v>24.9</v>
          </cell>
          <cell r="S322">
            <v>61.8</v>
          </cell>
          <cell r="T322">
            <v>38220</v>
          </cell>
          <cell r="U322" t="str">
            <v>ГРП</v>
          </cell>
          <cell r="W322" t="str">
            <v>ЛА,ГРП ЮК-10,сп.Э-80</v>
          </cell>
        </row>
        <row r="323">
          <cell r="B323">
            <v>5516</v>
          </cell>
          <cell r="C323">
            <v>115</v>
          </cell>
          <cell r="F323" t="str">
            <v>УПНП</v>
          </cell>
          <cell r="G323">
            <v>240</v>
          </cell>
          <cell r="H323" t="str">
            <v>нагн.</v>
          </cell>
          <cell r="I323" t="str">
            <v>бд</v>
          </cell>
          <cell r="J323">
            <v>37081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e">
            <v>#DIV/0!</v>
          </cell>
          <cell r="T323">
            <v>37773</v>
          </cell>
          <cell r="U323" t="str">
            <v>ГРП</v>
          </cell>
          <cell r="W323" t="str">
            <v>ИР ЮК-10,ГРП ЮК-2</v>
          </cell>
          <cell r="AD323">
            <v>37742</v>
          </cell>
          <cell r="AE323">
            <v>37766</v>
          </cell>
        </row>
        <row r="324">
          <cell r="B324">
            <v>2815</v>
          </cell>
          <cell r="C324">
            <v>145</v>
          </cell>
          <cell r="F324" t="str">
            <v>УПНП</v>
          </cell>
          <cell r="G324">
            <v>280</v>
          </cell>
          <cell r="H324" t="str">
            <v>ШГН</v>
          </cell>
          <cell r="I324" t="str">
            <v>бд</v>
          </cell>
          <cell r="J324">
            <v>37934</v>
          </cell>
          <cell r="K324">
            <v>0</v>
          </cell>
          <cell r="L324">
            <v>0</v>
          </cell>
          <cell r="M324">
            <v>0</v>
          </cell>
          <cell r="N324">
            <v>50</v>
          </cell>
          <cell r="O324">
            <v>22.4</v>
          </cell>
          <cell r="P324">
            <v>45</v>
          </cell>
          <cell r="Q324">
            <v>50</v>
          </cell>
          <cell r="R324">
            <v>22.4</v>
          </cell>
          <cell r="S324">
            <v>44.7</v>
          </cell>
          <cell r="T324">
            <v>38076</v>
          </cell>
          <cell r="U324" t="str">
            <v>ГРП</v>
          </cell>
          <cell r="W324" t="str">
            <v>ИР ЮК-10.ДП ЮК-4,ГРП,сп.Э-50</v>
          </cell>
          <cell r="AD324">
            <v>38045</v>
          </cell>
          <cell r="AE324">
            <v>38069</v>
          </cell>
        </row>
        <row r="325">
          <cell r="B325">
            <v>2931</v>
          </cell>
          <cell r="C325">
            <v>44</v>
          </cell>
          <cell r="F325" t="str">
            <v>УПНП</v>
          </cell>
          <cell r="G325">
            <v>260</v>
          </cell>
          <cell r="H325" t="str">
            <v>нагнет.</v>
          </cell>
          <cell r="I325" t="str">
            <v>бд</v>
          </cell>
          <cell r="J325">
            <v>34234</v>
          </cell>
          <cell r="K325">
            <v>0</v>
          </cell>
          <cell r="L325">
            <v>0</v>
          </cell>
          <cell r="M325">
            <v>0</v>
          </cell>
          <cell r="T325">
            <v>3</v>
          </cell>
          <cell r="U325" t="str">
            <v>ЗБС</v>
          </cell>
          <cell r="W325" t="str">
            <v>Подготовка к ЗБГС</v>
          </cell>
          <cell r="AD325">
            <v>37783</v>
          </cell>
        </row>
        <row r="326">
          <cell r="B326">
            <v>2949</v>
          </cell>
          <cell r="C326">
            <v>44</v>
          </cell>
          <cell r="F326" t="str">
            <v>УПНП</v>
          </cell>
          <cell r="G326">
            <v>270</v>
          </cell>
          <cell r="H326" t="str">
            <v>ШГН</v>
          </cell>
          <cell r="I326" t="str">
            <v>бд</v>
          </cell>
          <cell r="J326">
            <v>34455</v>
          </cell>
          <cell r="K326">
            <v>0</v>
          </cell>
          <cell r="L326">
            <v>0</v>
          </cell>
          <cell r="M326">
            <v>0</v>
          </cell>
          <cell r="N326">
            <v>15</v>
          </cell>
          <cell r="O326">
            <v>9.8000000000000007</v>
          </cell>
          <cell r="P326">
            <v>20</v>
          </cell>
          <cell r="Q326">
            <v>15</v>
          </cell>
          <cell r="R326">
            <v>9.8000000000000007</v>
          </cell>
          <cell r="S326">
            <v>19.3</v>
          </cell>
          <cell r="T326">
            <v>37796</v>
          </cell>
          <cell r="U326" t="str">
            <v>ЛА</v>
          </cell>
          <cell r="W326" t="str">
            <v>ВЦ,ЛА,ВЗ,ПП ЮК-10,сп Н-44</v>
          </cell>
          <cell r="AD326">
            <v>37736</v>
          </cell>
          <cell r="AE326">
            <v>37789</v>
          </cell>
        </row>
        <row r="327">
          <cell r="B327">
            <v>2925</v>
          </cell>
          <cell r="C327">
            <v>132</v>
          </cell>
          <cell r="F327" t="str">
            <v>УПНП</v>
          </cell>
          <cell r="G327">
            <v>255</v>
          </cell>
          <cell r="H327" t="str">
            <v>ЭЦН</v>
          </cell>
          <cell r="I327" t="str">
            <v>конс.</v>
          </cell>
          <cell r="J327">
            <v>34271</v>
          </cell>
          <cell r="K327">
            <v>0</v>
          </cell>
          <cell r="L327">
            <v>0</v>
          </cell>
          <cell r="M327">
            <v>0</v>
          </cell>
          <cell r="N327">
            <v>30</v>
          </cell>
          <cell r="O327">
            <v>12</v>
          </cell>
          <cell r="P327">
            <v>51</v>
          </cell>
          <cell r="Q327">
            <v>30</v>
          </cell>
          <cell r="R327">
            <v>12</v>
          </cell>
          <cell r="S327">
            <v>50.6</v>
          </cell>
          <cell r="T327">
            <v>37801</v>
          </cell>
          <cell r="U327" t="str">
            <v>ВВ</v>
          </cell>
          <cell r="W327" t="str">
            <v>ВЦ,уст.цем. Моста(РИР ЮК-10),исп.Ab</v>
          </cell>
          <cell r="AD327">
            <v>37776</v>
          </cell>
          <cell r="AE327">
            <v>37794</v>
          </cell>
        </row>
        <row r="328">
          <cell r="B328">
            <v>5707</v>
          </cell>
          <cell r="C328">
            <v>125</v>
          </cell>
          <cell r="F328" t="str">
            <v>УПНП</v>
          </cell>
          <cell r="G328">
            <v>250</v>
          </cell>
          <cell r="H328" t="str">
            <v>ШГН</v>
          </cell>
          <cell r="I328" t="str">
            <v>бд</v>
          </cell>
          <cell r="J328">
            <v>32843</v>
          </cell>
          <cell r="K328">
            <v>0</v>
          </cell>
          <cell r="L328">
            <v>0</v>
          </cell>
          <cell r="M328">
            <v>0</v>
          </cell>
          <cell r="N328">
            <v>15</v>
          </cell>
          <cell r="O328">
            <v>9.8000000000000007</v>
          </cell>
          <cell r="P328">
            <v>20</v>
          </cell>
          <cell r="Q328">
            <v>15</v>
          </cell>
          <cell r="R328">
            <v>9.8000000000000007</v>
          </cell>
          <cell r="S328">
            <v>19.3</v>
          </cell>
          <cell r="T328">
            <v>37898</v>
          </cell>
          <cell r="U328" t="str">
            <v>ЛА</v>
          </cell>
          <cell r="W328" t="str">
            <v>ЛА,РИР низа ЮК-10,ПП,2796.5-2806.5,сп.НН</v>
          </cell>
          <cell r="AD328">
            <v>37865</v>
          </cell>
          <cell r="AE328">
            <v>37891</v>
          </cell>
        </row>
        <row r="329">
          <cell r="B329">
            <v>5711</v>
          </cell>
          <cell r="C329">
            <v>127</v>
          </cell>
          <cell r="F329" t="str">
            <v>УПНП</v>
          </cell>
          <cell r="G329">
            <v>260</v>
          </cell>
          <cell r="H329" t="str">
            <v>ЭЦН</v>
          </cell>
          <cell r="I329" t="str">
            <v>бд</v>
          </cell>
          <cell r="J329">
            <v>33781</v>
          </cell>
          <cell r="K329">
            <v>0</v>
          </cell>
          <cell r="L329">
            <v>0</v>
          </cell>
          <cell r="M329">
            <v>0</v>
          </cell>
          <cell r="N329">
            <v>125</v>
          </cell>
          <cell r="O329">
            <v>9.6999999999999993</v>
          </cell>
          <cell r="P329">
            <v>90.5</v>
          </cell>
          <cell r="Q329">
            <v>125</v>
          </cell>
          <cell r="R329">
            <v>9.6999999999999993</v>
          </cell>
          <cell r="S329">
            <v>90.4</v>
          </cell>
          <cell r="T329" t="e">
            <v>#VALUE!</v>
          </cell>
          <cell r="U329" t="str">
            <v>ЛА</v>
          </cell>
          <cell r="W329" t="str">
            <v>Л.А.,ВЗ,ОТСК,ГИС(и.о.)по результатам РИР,сп.Э-125</v>
          </cell>
          <cell r="AD329">
            <v>37823</v>
          </cell>
          <cell r="AE329" t="str">
            <v>31/09/2003</v>
          </cell>
        </row>
        <row r="330">
          <cell r="B330">
            <v>5549</v>
          </cell>
          <cell r="C330">
            <v>116</v>
          </cell>
          <cell r="F330" t="str">
            <v>УПНП</v>
          </cell>
          <cell r="G330">
            <v>250</v>
          </cell>
          <cell r="H330" t="str">
            <v>ЭЦН</v>
          </cell>
          <cell r="I330" t="str">
            <v>действ.</v>
          </cell>
          <cell r="K330">
            <v>86</v>
          </cell>
          <cell r="L330">
            <v>2.1</v>
          </cell>
          <cell r="M330">
            <v>97</v>
          </cell>
          <cell r="N330">
            <v>30</v>
          </cell>
          <cell r="O330">
            <v>12</v>
          </cell>
          <cell r="P330">
            <v>51</v>
          </cell>
          <cell r="Q330">
            <v>-56</v>
          </cell>
          <cell r="R330">
            <v>9.9</v>
          </cell>
          <cell r="S330">
            <v>12</v>
          </cell>
          <cell r="T330">
            <v>37863</v>
          </cell>
          <cell r="U330" t="str">
            <v>ВВ</v>
          </cell>
          <cell r="W330" t="str">
            <v>ВЦ,ИР ЮК-10,исп.Bg+Ab</v>
          </cell>
          <cell r="AD330">
            <v>37842</v>
          </cell>
          <cell r="AE330">
            <v>37856</v>
          </cell>
        </row>
        <row r="331">
          <cell r="B331">
            <v>2687</v>
          </cell>
          <cell r="C331">
            <v>160</v>
          </cell>
          <cell r="F331" t="str">
            <v>УПНП</v>
          </cell>
          <cell r="G331">
            <v>240</v>
          </cell>
          <cell r="H331" t="str">
            <v>фон</v>
          </cell>
          <cell r="I331" t="str">
            <v>бд</v>
          </cell>
          <cell r="J331">
            <v>32843</v>
          </cell>
          <cell r="K331">
            <v>0</v>
          </cell>
          <cell r="L331">
            <v>0</v>
          </cell>
          <cell r="M331">
            <v>0</v>
          </cell>
          <cell r="N331">
            <v>50</v>
          </cell>
          <cell r="O331">
            <v>11</v>
          </cell>
          <cell r="P331">
            <v>73</v>
          </cell>
          <cell r="Q331">
            <v>50</v>
          </cell>
          <cell r="R331">
            <v>11</v>
          </cell>
          <cell r="S331">
            <v>72.8</v>
          </cell>
          <cell r="T331">
            <v>37852</v>
          </cell>
          <cell r="U331" t="str">
            <v>ВЦ</v>
          </cell>
          <cell r="W331" t="str">
            <v>ВЦ.ЛА. ДП ЮК-10,ПП ЮК-10,спуск ЭЦН</v>
          </cell>
          <cell r="AD331">
            <v>37819</v>
          </cell>
          <cell r="AE331">
            <v>37845</v>
          </cell>
        </row>
        <row r="332">
          <cell r="B332">
            <v>5846</v>
          </cell>
          <cell r="C332">
            <v>168</v>
          </cell>
          <cell r="F332" t="str">
            <v>УПНП</v>
          </cell>
          <cell r="G332">
            <v>275</v>
          </cell>
          <cell r="H332" t="str">
            <v>ЭЦН</v>
          </cell>
          <cell r="I332" t="str">
            <v>действ.</v>
          </cell>
          <cell r="K332">
            <v>19</v>
          </cell>
          <cell r="L332">
            <v>2</v>
          </cell>
          <cell r="M332">
            <v>87</v>
          </cell>
          <cell r="N332">
            <v>30</v>
          </cell>
          <cell r="O332">
            <v>12</v>
          </cell>
          <cell r="P332">
            <v>51</v>
          </cell>
          <cell r="Q332">
            <v>11</v>
          </cell>
          <cell r="R332">
            <v>10</v>
          </cell>
          <cell r="S332">
            <v>-12.2</v>
          </cell>
          <cell r="T332">
            <v>37866</v>
          </cell>
          <cell r="U332" t="str">
            <v>ВВ</v>
          </cell>
          <cell r="W332" t="str">
            <v>ВЦ,ИР ЮК-10,исп.Bg+Ab</v>
          </cell>
          <cell r="AD332">
            <v>37846</v>
          </cell>
          <cell r="AE332">
            <v>37859</v>
          </cell>
        </row>
        <row r="333">
          <cell r="B333">
            <v>5468</v>
          </cell>
          <cell r="C333">
            <v>108</v>
          </cell>
          <cell r="F333" t="str">
            <v>УПНП</v>
          </cell>
          <cell r="G333">
            <v>270</v>
          </cell>
          <cell r="H333" t="str">
            <v>ЭЦН</v>
          </cell>
          <cell r="I333" t="str">
            <v>бд</v>
          </cell>
          <cell r="J333">
            <v>34849</v>
          </cell>
          <cell r="K333">
            <v>0</v>
          </cell>
          <cell r="L333">
            <v>0</v>
          </cell>
          <cell r="M333">
            <v>0</v>
          </cell>
          <cell r="N333">
            <v>80</v>
          </cell>
          <cell r="O333">
            <v>9.1</v>
          </cell>
          <cell r="P333">
            <v>86</v>
          </cell>
          <cell r="Q333">
            <v>80</v>
          </cell>
          <cell r="R333">
            <v>9.1</v>
          </cell>
          <cell r="S333">
            <v>86</v>
          </cell>
          <cell r="T333">
            <v>37911</v>
          </cell>
          <cell r="U333" t="str">
            <v>ОВП</v>
          </cell>
          <cell r="W333" t="str">
            <v>ЛА, ИР ЮК-11, ПП ЮК-10.ДП ЮК-10</v>
          </cell>
          <cell r="AD333">
            <v>37817</v>
          </cell>
          <cell r="AE333">
            <v>37904</v>
          </cell>
        </row>
        <row r="334">
          <cell r="B334">
            <v>2700</v>
          </cell>
          <cell r="C334" t="str">
            <v>145б</v>
          </cell>
          <cell r="F334" t="str">
            <v>УПНП</v>
          </cell>
          <cell r="G334">
            <v>260</v>
          </cell>
          <cell r="H334" t="str">
            <v>ШГН</v>
          </cell>
          <cell r="I334" t="str">
            <v>бд</v>
          </cell>
          <cell r="J334">
            <v>37306</v>
          </cell>
          <cell r="K334">
            <v>0</v>
          </cell>
          <cell r="L334">
            <v>0</v>
          </cell>
          <cell r="M334">
            <v>0</v>
          </cell>
          <cell r="N334">
            <v>40</v>
          </cell>
          <cell r="O334">
            <v>28.7</v>
          </cell>
          <cell r="P334">
            <v>12</v>
          </cell>
          <cell r="Q334">
            <v>16</v>
          </cell>
          <cell r="R334">
            <v>10.199999999999999</v>
          </cell>
          <cell r="S334">
            <v>21.3</v>
          </cell>
          <cell r="T334">
            <v>37858</v>
          </cell>
          <cell r="U334" t="str">
            <v>ГРП</v>
          </cell>
          <cell r="W334" t="str">
            <v>ОТСК,РИР Э/К, ГРП ЮК-10,осв.</v>
          </cell>
          <cell r="AD334">
            <v>37819</v>
          </cell>
          <cell r="AE334">
            <v>37851</v>
          </cell>
        </row>
        <row r="335">
          <cell r="B335">
            <v>2651</v>
          </cell>
          <cell r="C335" t="str">
            <v>157б</v>
          </cell>
          <cell r="F335" t="str">
            <v>УПНПиКРС</v>
          </cell>
          <cell r="G335">
            <v>270</v>
          </cell>
          <cell r="H335" t="str">
            <v>ШГН</v>
          </cell>
          <cell r="I335" t="str">
            <v>конс.</v>
          </cell>
          <cell r="J335">
            <v>35073</v>
          </cell>
          <cell r="K335">
            <v>0</v>
          </cell>
          <cell r="L335">
            <v>0</v>
          </cell>
          <cell r="M335">
            <v>0</v>
          </cell>
          <cell r="N335">
            <v>40</v>
          </cell>
          <cell r="O335">
            <v>28.7</v>
          </cell>
          <cell r="P335">
            <v>12</v>
          </cell>
          <cell r="Q335">
            <v>40</v>
          </cell>
          <cell r="R335">
            <v>28.7</v>
          </cell>
          <cell r="S335">
            <v>11.4</v>
          </cell>
          <cell r="T335">
            <v>37849</v>
          </cell>
          <cell r="U335" t="str">
            <v>ГРП</v>
          </cell>
          <cell r="W335" t="str">
            <v>ВЦ,РИР ЮК-11, щел.перф.ПП ЮК-10, ГРП</v>
          </cell>
          <cell r="AD335">
            <v>37805</v>
          </cell>
          <cell r="AE335">
            <v>37842</v>
          </cell>
        </row>
        <row r="336">
          <cell r="B336">
            <v>5363</v>
          </cell>
          <cell r="C336">
            <v>109</v>
          </cell>
          <cell r="F336" t="str">
            <v>УПНПиКРС</v>
          </cell>
          <cell r="G336">
            <v>270</v>
          </cell>
          <cell r="H336" t="str">
            <v>фон</v>
          </cell>
          <cell r="I336" t="str">
            <v>бд</v>
          </cell>
          <cell r="J336">
            <v>33999</v>
          </cell>
          <cell r="K336">
            <v>0</v>
          </cell>
          <cell r="L336">
            <v>0</v>
          </cell>
          <cell r="M336">
            <v>0</v>
          </cell>
          <cell r="N336">
            <v>50</v>
          </cell>
          <cell r="O336">
            <v>8.1999999999999993</v>
          </cell>
          <cell r="P336">
            <v>80</v>
          </cell>
          <cell r="Q336">
            <v>50</v>
          </cell>
          <cell r="R336">
            <v>8.1999999999999993</v>
          </cell>
          <cell r="S336">
            <v>79.8</v>
          </cell>
          <cell r="T336">
            <v>37845</v>
          </cell>
          <cell r="U336" t="str">
            <v>ОВП</v>
          </cell>
          <cell r="W336" t="str">
            <v>ВЗ,ОТСК,ИР ЮК-11.ПП ЮК-10.ОПЗ.Спуск ЭЦН</v>
          </cell>
          <cell r="AD336">
            <v>37817</v>
          </cell>
          <cell r="AE336">
            <v>37838</v>
          </cell>
        </row>
        <row r="337">
          <cell r="B337">
            <v>5530</v>
          </cell>
          <cell r="C337">
            <v>119</v>
          </cell>
          <cell r="F337" t="str">
            <v>УПНПиКРС</v>
          </cell>
          <cell r="G337">
            <v>275</v>
          </cell>
          <cell r="H337" t="str">
            <v>ЭЦН</v>
          </cell>
          <cell r="I337" t="str">
            <v>конс.</v>
          </cell>
          <cell r="J337">
            <v>34370</v>
          </cell>
          <cell r="K337">
            <v>0</v>
          </cell>
          <cell r="L337">
            <v>0</v>
          </cell>
          <cell r="M337">
            <v>0</v>
          </cell>
          <cell r="N337">
            <v>50</v>
          </cell>
          <cell r="O337">
            <v>9.8000000000000007</v>
          </cell>
          <cell r="P337">
            <v>76</v>
          </cell>
          <cell r="Q337">
            <v>50</v>
          </cell>
          <cell r="R337">
            <v>9.8000000000000007</v>
          </cell>
          <cell r="S337">
            <v>75.8</v>
          </cell>
          <cell r="T337">
            <v>37871</v>
          </cell>
          <cell r="U337" t="str">
            <v>ОВП</v>
          </cell>
          <cell r="W337" t="str">
            <v>ВЦ.ВЗ.ИР ЮК-11.ГДИ.Спуск ЭЦН</v>
          </cell>
          <cell r="AD337">
            <v>37824</v>
          </cell>
          <cell r="AE337">
            <v>37864</v>
          </cell>
        </row>
        <row r="338">
          <cell r="B338">
            <v>5345</v>
          </cell>
          <cell r="C338">
            <v>102</v>
          </cell>
          <cell r="F338" t="str">
            <v>УПНПиКРС</v>
          </cell>
          <cell r="G338">
            <v>250</v>
          </cell>
          <cell r="H338" t="str">
            <v>ЭЦН</v>
          </cell>
          <cell r="I338" t="str">
            <v>бд</v>
          </cell>
          <cell r="J338">
            <v>37209</v>
          </cell>
          <cell r="K338">
            <v>0</v>
          </cell>
          <cell r="L338">
            <v>0</v>
          </cell>
          <cell r="M338">
            <v>0</v>
          </cell>
          <cell r="N338">
            <v>50</v>
          </cell>
          <cell r="O338">
            <v>24.5</v>
          </cell>
          <cell r="P338">
            <v>40</v>
          </cell>
          <cell r="Q338">
            <v>50</v>
          </cell>
          <cell r="R338">
            <v>24.5</v>
          </cell>
          <cell r="S338">
            <v>39.5</v>
          </cell>
          <cell r="T338">
            <v>37837</v>
          </cell>
          <cell r="U338" t="str">
            <v>ГРП</v>
          </cell>
          <cell r="W338" t="str">
            <v>ИР ЮК-10, ПР и ГРП ЮК-2</v>
          </cell>
          <cell r="AD338">
            <v>37815</v>
          </cell>
          <cell r="AE338">
            <v>37830</v>
          </cell>
        </row>
        <row r="339">
          <cell r="B339">
            <v>3187</v>
          </cell>
          <cell r="C339">
            <v>70</v>
          </cell>
          <cell r="F339" t="str">
            <v>УПНПиКРС</v>
          </cell>
          <cell r="G339">
            <v>260</v>
          </cell>
          <cell r="H339" t="str">
            <v>ШГН</v>
          </cell>
          <cell r="I339" t="str">
            <v>конс.</v>
          </cell>
          <cell r="J339">
            <v>33939</v>
          </cell>
          <cell r="K339">
            <v>0</v>
          </cell>
          <cell r="L339">
            <v>0</v>
          </cell>
          <cell r="M339">
            <v>0</v>
          </cell>
          <cell r="N339">
            <v>30</v>
          </cell>
          <cell r="O339">
            <v>11</v>
          </cell>
          <cell r="P339">
            <v>55</v>
          </cell>
          <cell r="Q339">
            <v>30</v>
          </cell>
          <cell r="R339">
            <v>11</v>
          </cell>
          <cell r="S339">
            <v>54.7</v>
          </cell>
          <cell r="T339">
            <v>37868</v>
          </cell>
          <cell r="U339" t="str">
            <v>ВВ</v>
          </cell>
          <cell r="W339" t="str">
            <v>ВЦ. ДП ЮК-11,спуск ЭЦН</v>
          </cell>
          <cell r="AD339">
            <v>37843</v>
          </cell>
          <cell r="AE339">
            <v>37861</v>
          </cell>
        </row>
        <row r="340">
          <cell r="B340">
            <v>2757</v>
          </cell>
          <cell r="C340">
            <v>144</v>
          </cell>
          <cell r="F340" t="str">
            <v>УПНПиКРС</v>
          </cell>
          <cell r="G340">
            <v>270</v>
          </cell>
          <cell r="H340" t="str">
            <v>ЭЦН</v>
          </cell>
          <cell r="I340" t="str">
            <v>действ.</v>
          </cell>
          <cell r="K340">
            <v>16</v>
          </cell>
          <cell r="L340">
            <v>1.8</v>
          </cell>
          <cell r="M340">
            <v>86</v>
          </cell>
          <cell r="N340">
            <v>80</v>
          </cell>
          <cell r="O340">
            <v>13</v>
          </cell>
          <cell r="P340">
            <v>80</v>
          </cell>
          <cell r="Q340">
            <v>64</v>
          </cell>
          <cell r="R340">
            <v>11.2</v>
          </cell>
          <cell r="S340">
            <v>78.400000000000006</v>
          </cell>
          <cell r="T340">
            <v>37861</v>
          </cell>
          <cell r="U340" t="str">
            <v>ВВ</v>
          </cell>
          <cell r="W340" t="str">
            <v>ПП ЮК-10,ДП ЮК-11,ГДИ спск ЭЦН</v>
          </cell>
          <cell r="AD340">
            <v>37844</v>
          </cell>
          <cell r="AE340">
            <v>37854</v>
          </cell>
        </row>
        <row r="341">
          <cell r="B341">
            <v>2649</v>
          </cell>
          <cell r="C341" t="str">
            <v>157б</v>
          </cell>
          <cell r="F341" t="str">
            <v>УПНПиКРС</v>
          </cell>
          <cell r="G341">
            <v>235</v>
          </cell>
          <cell r="H341" t="str">
            <v>ШГН</v>
          </cell>
          <cell r="I341" t="str">
            <v>действ.</v>
          </cell>
          <cell r="K341">
            <v>7</v>
          </cell>
          <cell r="L341">
            <v>5.5</v>
          </cell>
          <cell r="M341">
            <v>3</v>
          </cell>
          <cell r="N341">
            <v>40</v>
          </cell>
          <cell r="O341">
            <v>28.7</v>
          </cell>
          <cell r="P341">
            <v>12</v>
          </cell>
          <cell r="Q341">
            <v>33</v>
          </cell>
          <cell r="R341">
            <v>23.2</v>
          </cell>
          <cell r="S341">
            <v>13.2</v>
          </cell>
          <cell r="T341">
            <v>37832</v>
          </cell>
          <cell r="U341" t="str">
            <v>ГРП</v>
          </cell>
          <cell r="W341" t="str">
            <v>ПП ЮК-10,ГРП,осв.</v>
          </cell>
          <cell r="AD341">
            <v>37815</v>
          </cell>
          <cell r="AE341">
            <v>37825</v>
          </cell>
          <cell r="AF341">
            <v>14</v>
          </cell>
          <cell r="AG341">
            <v>-75664</v>
          </cell>
          <cell r="AH341">
            <v>-113496</v>
          </cell>
        </row>
        <row r="342">
          <cell r="B342">
            <v>5677</v>
          </cell>
          <cell r="C342">
            <v>125</v>
          </cell>
          <cell r="F342" t="str">
            <v>УПНПиКРС</v>
          </cell>
          <cell r="G342">
            <v>260</v>
          </cell>
          <cell r="H342" t="str">
            <v>ШГН</v>
          </cell>
          <cell r="I342" t="str">
            <v>бд</v>
          </cell>
          <cell r="J342">
            <v>35170</v>
          </cell>
          <cell r="K342">
            <v>0</v>
          </cell>
          <cell r="L342">
            <v>0</v>
          </cell>
          <cell r="M342">
            <v>0</v>
          </cell>
          <cell r="N342">
            <v>50</v>
          </cell>
          <cell r="O342">
            <v>11</v>
          </cell>
          <cell r="P342">
            <v>73</v>
          </cell>
          <cell r="Q342">
            <v>50</v>
          </cell>
          <cell r="R342">
            <v>11</v>
          </cell>
          <cell r="S342">
            <v>72.8</v>
          </cell>
          <cell r="T342">
            <v>37871</v>
          </cell>
          <cell r="U342" t="str">
            <v>ВВ</v>
          </cell>
          <cell r="W342" t="str">
            <v>ЛА.ЛЗКЦ.ПП,ДП,ОПЗ,СП ЭЦН</v>
          </cell>
          <cell r="AD342">
            <v>37826</v>
          </cell>
          <cell r="AE342">
            <v>37864</v>
          </cell>
          <cell r="AF342">
            <v>15</v>
          </cell>
          <cell r="AG342" t="e">
            <v>#REF!</v>
          </cell>
          <cell r="AH342" t="e">
            <v>#REF!</v>
          </cell>
        </row>
        <row r="343">
          <cell r="B343">
            <v>5642</v>
          </cell>
          <cell r="C343">
            <v>126</v>
          </cell>
          <cell r="F343" t="str">
            <v>УПНПиКРС</v>
          </cell>
          <cell r="G343">
            <v>230</v>
          </cell>
          <cell r="H343" t="str">
            <v>ШГН</v>
          </cell>
          <cell r="I343" t="str">
            <v>бд</v>
          </cell>
          <cell r="J343">
            <v>36997</v>
          </cell>
          <cell r="K343">
            <v>0</v>
          </cell>
          <cell r="L343">
            <v>0</v>
          </cell>
          <cell r="M343">
            <v>0</v>
          </cell>
          <cell r="N343">
            <v>13</v>
          </cell>
          <cell r="O343">
            <v>9.9</v>
          </cell>
          <cell r="P343">
            <v>7</v>
          </cell>
          <cell r="Q343">
            <v>13</v>
          </cell>
          <cell r="R343">
            <v>9.9</v>
          </cell>
          <cell r="S343">
            <v>6</v>
          </cell>
          <cell r="T343">
            <v>37877</v>
          </cell>
          <cell r="U343" t="str">
            <v>ВЦ</v>
          </cell>
          <cell r="W343" t="str">
            <v>ВЦ ,ОПЗ МШУ.ГДИ.Сп.НВ-44</v>
          </cell>
          <cell r="AD343">
            <v>37852</v>
          </cell>
          <cell r="AE343">
            <v>37870</v>
          </cell>
        </row>
        <row r="344">
          <cell r="B344">
            <v>5401</v>
          </cell>
          <cell r="C344">
            <v>103</v>
          </cell>
          <cell r="F344" t="str">
            <v>УПНПиКРС</v>
          </cell>
          <cell r="G344">
            <v>265</v>
          </cell>
          <cell r="H344" t="str">
            <v>ШГН</v>
          </cell>
          <cell r="I344" t="str">
            <v>конс.</v>
          </cell>
          <cell r="J344">
            <v>32843</v>
          </cell>
          <cell r="K344">
            <v>0</v>
          </cell>
          <cell r="L344">
            <v>0</v>
          </cell>
          <cell r="M344">
            <v>0</v>
          </cell>
          <cell r="N344">
            <v>30</v>
          </cell>
          <cell r="O344">
            <v>12</v>
          </cell>
          <cell r="P344">
            <v>51</v>
          </cell>
          <cell r="Q344">
            <v>30</v>
          </cell>
          <cell r="R344">
            <v>12</v>
          </cell>
          <cell r="S344">
            <v>50.6</v>
          </cell>
          <cell r="T344">
            <v>37933</v>
          </cell>
          <cell r="U344" t="str">
            <v>ВЦ</v>
          </cell>
          <cell r="W344" t="str">
            <v>ВЦ,ИР ЮК-10,ОПР ЮК-1,ОПЗ,ГДИ</v>
          </cell>
          <cell r="AD344">
            <v>37888</v>
          </cell>
          <cell r="AE344">
            <v>37926</v>
          </cell>
        </row>
        <row r="345">
          <cell r="B345">
            <v>3745</v>
          </cell>
          <cell r="C345">
            <v>76</v>
          </cell>
          <cell r="F345" t="str">
            <v>УПНПиКРС</v>
          </cell>
          <cell r="G345">
            <v>230</v>
          </cell>
          <cell r="H345" t="str">
            <v>ЭЦН</v>
          </cell>
          <cell r="I345" t="str">
            <v>бд</v>
          </cell>
          <cell r="J345">
            <v>37653</v>
          </cell>
          <cell r="K345">
            <v>44</v>
          </cell>
          <cell r="L345">
            <v>3.2</v>
          </cell>
          <cell r="M345">
            <v>91</v>
          </cell>
          <cell r="N345">
            <v>44</v>
          </cell>
          <cell r="O345">
            <v>3.2</v>
          </cell>
          <cell r="P345">
            <v>91</v>
          </cell>
          <cell r="Q345">
            <v>44</v>
          </cell>
          <cell r="R345">
            <v>3.2</v>
          </cell>
          <cell r="S345">
            <v>91</v>
          </cell>
          <cell r="T345">
            <v>37876</v>
          </cell>
          <cell r="U345" t="str">
            <v>ЛА</v>
          </cell>
          <cell r="W345" t="str">
            <v>ОТСК.ЛА.Сп.ЭЦН</v>
          </cell>
          <cell r="AD345">
            <v>37847</v>
          </cell>
          <cell r="AE345">
            <v>37869</v>
          </cell>
        </row>
        <row r="346">
          <cell r="B346">
            <v>2816</v>
          </cell>
          <cell r="C346">
            <v>145</v>
          </cell>
          <cell r="F346" t="str">
            <v>УПНПиКРС</v>
          </cell>
          <cell r="G346">
            <v>270</v>
          </cell>
          <cell r="H346" t="str">
            <v>Ф/Э</v>
          </cell>
          <cell r="I346" t="str">
            <v>конс.</v>
          </cell>
          <cell r="J346">
            <v>34060</v>
          </cell>
          <cell r="K346">
            <v>0</v>
          </cell>
          <cell r="L346">
            <v>0</v>
          </cell>
          <cell r="M346">
            <v>0</v>
          </cell>
          <cell r="N346">
            <v>50</v>
          </cell>
          <cell r="O346">
            <v>8.1999999999999993</v>
          </cell>
          <cell r="P346">
            <v>80</v>
          </cell>
          <cell r="Q346">
            <v>50</v>
          </cell>
          <cell r="R346">
            <v>8.1999999999999993</v>
          </cell>
          <cell r="S346">
            <v>79.8</v>
          </cell>
          <cell r="T346">
            <v>37901</v>
          </cell>
          <cell r="U346" t="str">
            <v>ВЦ</v>
          </cell>
          <cell r="W346" t="str">
            <v>ВЦ.ВЗ.ПП.ЮК10</v>
          </cell>
          <cell r="Y346" t="str">
            <v>комплект</v>
          </cell>
          <cell r="AD346">
            <v>37870</v>
          </cell>
          <cell r="AE346">
            <v>37894</v>
          </cell>
        </row>
        <row r="347">
          <cell r="B347">
            <v>2689</v>
          </cell>
          <cell r="C347">
            <v>160</v>
          </cell>
          <cell r="F347" t="str">
            <v>УПНПиКРС</v>
          </cell>
          <cell r="G347">
            <v>240</v>
          </cell>
          <cell r="H347" t="str">
            <v>ШГН</v>
          </cell>
          <cell r="I347" t="str">
            <v>конс.</v>
          </cell>
          <cell r="J347">
            <v>33239</v>
          </cell>
          <cell r="K347">
            <v>0</v>
          </cell>
          <cell r="L347">
            <v>0</v>
          </cell>
          <cell r="M347">
            <v>0</v>
          </cell>
          <cell r="N347">
            <v>40</v>
          </cell>
          <cell r="O347">
            <v>25.5</v>
          </cell>
          <cell r="P347">
            <v>21.8</v>
          </cell>
          <cell r="Q347">
            <v>40</v>
          </cell>
          <cell r="R347">
            <v>25.5</v>
          </cell>
          <cell r="S347">
            <v>21.3</v>
          </cell>
          <cell r="T347">
            <v>37904</v>
          </cell>
          <cell r="U347" t="str">
            <v>грп</v>
          </cell>
          <cell r="W347" t="str">
            <v>ВЦ,ГИС,ИР,ПР ГРП ЮК-10</v>
          </cell>
          <cell r="Y347" t="str">
            <v>Полет НКТ</v>
          </cell>
          <cell r="AD347">
            <v>37860</v>
          </cell>
          <cell r="AE347">
            <v>37897</v>
          </cell>
        </row>
        <row r="348">
          <cell r="B348">
            <v>5592</v>
          </cell>
          <cell r="C348" t="str">
            <v>119б</v>
          </cell>
          <cell r="F348" t="str">
            <v>УПНПиКРС</v>
          </cell>
          <cell r="G348">
            <v>260</v>
          </cell>
          <cell r="H348" t="str">
            <v>ЭЦН</v>
          </cell>
          <cell r="I348" t="str">
            <v>действ.</v>
          </cell>
          <cell r="K348">
            <v>26</v>
          </cell>
          <cell r="L348">
            <v>14.6</v>
          </cell>
          <cell r="M348">
            <v>31</v>
          </cell>
          <cell r="N348">
            <v>50</v>
          </cell>
          <cell r="O348">
            <v>39.5</v>
          </cell>
          <cell r="P348">
            <v>3</v>
          </cell>
          <cell r="Q348">
            <v>24</v>
          </cell>
          <cell r="R348">
            <v>24.9</v>
          </cell>
          <cell r="S348">
            <v>-28.1</v>
          </cell>
          <cell r="T348">
            <v>37889</v>
          </cell>
          <cell r="U348" t="str">
            <v>ГРП</v>
          </cell>
          <cell r="W348" t="str">
            <v>ПР к ГРП.ГРП ЮК10</v>
          </cell>
          <cell r="AD348">
            <v>37865</v>
          </cell>
          <cell r="AE348">
            <v>37882</v>
          </cell>
        </row>
        <row r="349">
          <cell r="B349">
            <v>3141</v>
          </cell>
          <cell r="C349" t="str">
            <v>50б</v>
          </cell>
          <cell r="F349" t="str">
            <v>УПНПиКРС</v>
          </cell>
          <cell r="G349">
            <v>260</v>
          </cell>
          <cell r="H349" t="str">
            <v>ЭЦН</v>
          </cell>
          <cell r="I349" t="str">
            <v>конс.</v>
          </cell>
          <cell r="J349">
            <v>34943</v>
          </cell>
          <cell r="K349">
            <v>0</v>
          </cell>
          <cell r="L349">
            <v>0</v>
          </cell>
          <cell r="M349">
            <v>0</v>
          </cell>
          <cell r="N349">
            <v>30</v>
          </cell>
          <cell r="O349">
            <v>11</v>
          </cell>
          <cell r="P349">
            <v>55</v>
          </cell>
          <cell r="Q349">
            <v>30</v>
          </cell>
          <cell r="R349">
            <v>11</v>
          </cell>
          <cell r="S349">
            <v>54.7</v>
          </cell>
          <cell r="T349">
            <v>37882</v>
          </cell>
          <cell r="U349" t="str">
            <v>ВВ</v>
          </cell>
          <cell r="W349" t="str">
            <v>ВЦ.ОТСК.ПП ЮК10.ДП ЮК 2-3</v>
          </cell>
          <cell r="AD349">
            <v>37854</v>
          </cell>
          <cell r="AE349">
            <v>37875</v>
          </cell>
        </row>
        <row r="350">
          <cell r="B350">
            <v>5397</v>
          </cell>
          <cell r="C350">
            <v>102</v>
          </cell>
          <cell r="F350" t="str">
            <v>УПНПиКРС</v>
          </cell>
          <cell r="G350">
            <v>250</v>
          </cell>
          <cell r="H350" t="str">
            <v>Ф/Э</v>
          </cell>
          <cell r="I350" t="str">
            <v>бд</v>
          </cell>
          <cell r="J350">
            <v>33967</v>
          </cell>
          <cell r="K350">
            <v>0</v>
          </cell>
          <cell r="L350">
            <v>0</v>
          </cell>
          <cell r="M350">
            <v>0</v>
          </cell>
          <cell r="N350">
            <v>80</v>
          </cell>
          <cell r="O350">
            <v>9.8000000000000007</v>
          </cell>
          <cell r="P350">
            <v>85</v>
          </cell>
          <cell r="Q350">
            <v>80</v>
          </cell>
          <cell r="R350">
            <v>9.8000000000000007</v>
          </cell>
          <cell r="S350">
            <v>84.9</v>
          </cell>
          <cell r="T350">
            <v>37847</v>
          </cell>
          <cell r="U350" t="str">
            <v>ЛА</v>
          </cell>
          <cell r="W350" t="str">
            <v>ЛА.(из.ЭЦН).Сп. Э-80.</v>
          </cell>
          <cell r="AD350">
            <v>37845</v>
          </cell>
          <cell r="AE350">
            <v>37840</v>
          </cell>
        </row>
        <row r="351">
          <cell r="B351">
            <v>3209</v>
          </cell>
          <cell r="C351">
            <v>70</v>
          </cell>
          <cell r="F351" t="str">
            <v>УПНПиКРС</v>
          </cell>
          <cell r="G351">
            <v>260</v>
          </cell>
          <cell r="H351" t="str">
            <v>ШГН</v>
          </cell>
          <cell r="I351" t="str">
            <v>действ.</v>
          </cell>
          <cell r="K351">
            <v>4</v>
          </cell>
          <cell r="L351">
            <v>2.7</v>
          </cell>
          <cell r="M351">
            <v>16.7</v>
          </cell>
          <cell r="N351">
            <v>55</v>
          </cell>
          <cell r="O351">
            <v>20.7</v>
          </cell>
          <cell r="P351">
            <v>53.5</v>
          </cell>
          <cell r="Q351">
            <v>51</v>
          </cell>
          <cell r="R351">
            <v>18</v>
          </cell>
          <cell r="S351">
            <v>56.4</v>
          </cell>
          <cell r="T351">
            <v>38661</v>
          </cell>
          <cell r="U351" t="str">
            <v>ГРП</v>
          </cell>
          <cell r="W351" t="str">
            <v>ГРП ЮК-10</v>
          </cell>
          <cell r="AD351">
            <v>37854</v>
          </cell>
          <cell r="AE351">
            <v>37876</v>
          </cell>
        </row>
        <row r="353">
          <cell r="B353">
            <v>2918</v>
          </cell>
          <cell r="C353">
            <v>43</v>
          </cell>
          <cell r="F353" t="str">
            <v>Уват УПНПиКРС</v>
          </cell>
          <cell r="G353">
            <v>270</v>
          </cell>
          <cell r="H353" t="str">
            <v>ШГН</v>
          </cell>
          <cell r="I353" t="str">
            <v>бд</v>
          </cell>
          <cell r="J353">
            <v>37010</v>
          </cell>
          <cell r="K353">
            <v>0</v>
          </cell>
          <cell r="L353">
            <v>0</v>
          </cell>
          <cell r="M353">
            <v>0</v>
          </cell>
          <cell r="N353">
            <v>80</v>
          </cell>
          <cell r="O353">
            <v>24.8</v>
          </cell>
          <cell r="P353">
            <v>62</v>
          </cell>
          <cell r="Q353">
            <v>80</v>
          </cell>
          <cell r="R353">
            <v>24.8</v>
          </cell>
          <cell r="S353">
            <v>61.7</v>
          </cell>
          <cell r="T353">
            <v>38188</v>
          </cell>
          <cell r="U353" t="str">
            <v>ГРП</v>
          </cell>
          <cell r="W353" t="str">
            <v>ВЦ.ПП.ГРП ЮК-10.Сп.ЭЦН</v>
          </cell>
          <cell r="AD353">
            <v>37845</v>
          </cell>
          <cell r="AE353">
            <v>38181</v>
          </cell>
          <cell r="AF353">
            <v>35</v>
          </cell>
        </row>
        <row r="354">
          <cell r="B354">
            <v>5533</v>
          </cell>
          <cell r="C354">
            <v>110</v>
          </cell>
          <cell r="F354" t="str">
            <v>Уват УПНПиКРС</v>
          </cell>
          <cell r="G354">
            <v>255</v>
          </cell>
          <cell r="H354" t="str">
            <v>ЭЦН</v>
          </cell>
          <cell r="I354" t="str">
            <v>конс.</v>
          </cell>
          <cell r="J354">
            <v>33572</v>
          </cell>
          <cell r="K354">
            <v>0</v>
          </cell>
          <cell r="L354">
            <v>0</v>
          </cell>
          <cell r="M354">
            <v>0</v>
          </cell>
          <cell r="N354">
            <v>50</v>
          </cell>
          <cell r="O354">
            <v>10</v>
          </cell>
          <cell r="P354">
            <v>75.5</v>
          </cell>
          <cell r="Q354">
            <v>50</v>
          </cell>
          <cell r="R354">
            <v>10</v>
          </cell>
          <cell r="S354">
            <v>75.3</v>
          </cell>
          <cell r="T354">
            <v>37843</v>
          </cell>
          <cell r="U354" t="str">
            <v>ОВП</v>
          </cell>
          <cell r="W354" t="str">
            <v>РИР Э/К.ПП ЮК-10.сп.ЭЦН</v>
          </cell>
          <cell r="AD354">
            <v>37810</v>
          </cell>
          <cell r="AE354">
            <v>37836</v>
          </cell>
        </row>
        <row r="355">
          <cell r="B355">
            <v>5653</v>
          </cell>
          <cell r="C355">
            <v>123</v>
          </cell>
          <cell r="F355" t="str">
            <v>Уват УПНПиКРС</v>
          </cell>
          <cell r="G355">
            <v>260</v>
          </cell>
          <cell r="H355" t="str">
            <v>ЭЦН</v>
          </cell>
          <cell r="I355" t="str">
            <v>бд</v>
          </cell>
          <cell r="J355">
            <v>35125</v>
          </cell>
          <cell r="K355">
            <v>0</v>
          </cell>
          <cell r="L355">
            <v>0</v>
          </cell>
          <cell r="M355">
            <v>0</v>
          </cell>
          <cell r="N355">
            <v>80</v>
          </cell>
          <cell r="O355">
            <v>11.1</v>
          </cell>
          <cell r="P355">
            <v>83</v>
          </cell>
          <cell r="Q355">
            <v>80</v>
          </cell>
          <cell r="R355">
            <v>11.1</v>
          </cell>
          <cell r="S355">
            <v>82.9</v>
          </cell>
          <cell r="T355">
            <v>37874</v>
          </cell>
          <cell r="U355" t="str">
            <v>ВВ</v>
          </cell>
          <cell r="W355" t="str">
            <v>ГИС-2.РИР.ДП.ЮК2-3.Сп.ЭЦН</v>
          </cell>
          <cell r="AD355">
            <v>37837</v>
          </cell>
          <cell r="AE355">
            <v>37867</v>
          </cell>
        </row>
        <row r="356">
          <cell r="B356">
            <v>2753</v>
          </cell>
          <cell r="C356">
            <v>145</v>
          </cell>
          <cell r="F356" t="str">
            <v>Уват УПНПиКРС</v>
          </cell>
          <cell r="G356">
            <v>280</v>
          </cell>
          <cell r="H356" t="str">
            <v>ЭЦН</v>
          </cell>
          <cell r="I356" t="str">
            <v>бд</v>
          </cell>
          <cell r="J356">
            <v>33056</v>
          </cell>
          <cell r="K356">
            <v>0</v>
          </cell>
          <cell r="L356">
            <v>0</v>
          </cell>
          <cell r="M356">
            <v>0</v>
          </cell>
          <cell r="N356">
            <v>30</v>
          </cell>
          <cell r="O356">
            <v>8.6</v>
          </cell>
          <cell r="P356">
            <v>65</v>
          </cell>
          <cell r="Q356">
            <v>30</v>
          </cell>
          <cell r="R356">
            <v>8.6</v>
          </cell>
          <cell r="S356">
            <v>64.599999999999994</v>
          </cell>
          <cell r="T356">
            <v>37851</v>
          </cell>
          <cell r="U356" t="str">
            <v>ВВ</v>
          </cell>
          <cell r="W356" t="str">
            <v>ВЦ, ПП ЮК-10,ДП ЮК-11.ГИС-2</v>
          </cell>
          <cell r="AD356">
            <v>37814</v>
          </cell>
          <cell r="AE356">
            <v>37844</v>
          </cell>
        </row>
        <row r="357">
          <cell r="B357">
            <v>5706</v>
          </cell>
          <cell r="C357">
            <v>125</v>
          </cell>
          <cell r="F357" t="str">
            <v>УПНПиКРС</v>
          </cell>
          <cell r="G357">
            <v>250</v>
          </cell>
          <cell r="H357" t="str">
            <v>ШГН</v>
          </cell>
          <cell r="I357" t="str">
            <v>конс.</v>
          </cell>
          <cell r="J357">
            <v>32843</v>
          </cell>
          <cell r="K357">
            <v>0</v>
          </cell>
          <cell r="L357">
            <v>0</v>
          </cell>
          <cell r="M357">
            <v>0</v>
          </cell>
          <cell r="N357">
            <v>30</v>
          </cell>
          <cell r="O357">
            <v>8.6</v>
          </cell>
          <cell r="P357">
            <v>65</v>
          </cell>
          <cell r="Q357">
            <v>30</v>
          </cell>
          <cell r="R357">
            <v>8.6</v>
          </cell>
          <cell r="S357">
            <v>64.599999999999994</v>
          </cell>
          <cell r="T357">
            <v>38021</v>
          </cell>
          <cell r="U357" t="str">
            <v>ВЦ</v>
          </cell>
          <cell r="W357" t="str">
            <v>ВЦ.ПП ЮК-10.МШУ.Сп.Э-30</v>
          </cell>
          <cell r="AD357">
            <v>37992</v>
          </cell>
          <cell r="AE357">
            <v>38014</v>
          </cell>
          <cell r="AF357">
            <v>28</v>
          </cell>
        </row>
        <row r="358">
          <cell r="B358">
            <v>2845</v>
          </cell>
          <cell r="C358">
            <v>128</v>
          </cell>
          <cell r="F358" t="str">
            <v>УПНПиКРС</v>
          </cell>
          <cell r="G358">
            <v>270</v>
          </cell>
          <cell r="H358" t="str">
            <v>Ф/Э</v>
          </cell>
          <cell r="I358" t="str">
            <v>бд</v>
          </cell>
          <cell r="J358">
            <v>33525</v>
          </cell>
          <cell r="K358">
            <v>0</v>
          </cell>
          <cell r="L358">
            <v>0</v>
          </cell>
          <cell r="M358">
            <v>0</v>
          </cell>
          <cell r="N358">
            <v>80</v>
          </cell>
          <cell r="O358">
            <v>9.1</v>
          </cell>
          <cell r="P358">
            <v>86</v>
          </cell>
          <cell r="Q358">
            <v>80</v>
          </cell>
          <cell r="R358">
            <v>9.1</v>
          </cell>
          <cell r="S358">
            <v>86</v>
          </cell>
          <cell r="T358">
            <v>38042</v>
          </cell>
          <cell r="U358" t="str">
            <v>ЛА</v>
          </cell>
          <cell r="W358" t="str">
            <v>ЛА.ИР ЮК-11.ПП ЮК-10.Сп.Э-80</v>
          </cell>
          <cell r="AD358">
            <v>38009</v>
          </cell>
          <cell r="AE358">
            <v>38035</v>
          </cell>
        </row>
        <row r="359">
          <cell r="B359">
            <v>2867</v>
          </cell>
          <cell r="C359">
            <v>129</v>
          </cell>
          <cell r="F359" t="str">
            <v>УПНПиКРС</v>
          </cell>
          <cell r="G359">
            <v>270</v>
          </cell>
          <cell r="H359" t="str">
            <v>ШГН</v>
          </cell>
          <cell r="I359" t="str">
            <v>бд</v>
          </cell>
          <cell r="J359">
            <v>37562</v>
          </cell>
          <cell r="K359">
            <v>0</v>
          </cell>
          <cell r="L359">
            <v>0</v>
          </cell>
          <cell r="M359">
            <v>0</v>
          </cell>
          <cell r="N359">
            <v>80</v>
          </cell>
          <cell r="O359">
            <v>22.8</v>
          </cell>
          <cell r="P359">
            <v>65</v>
          </cell>
          <cell r="Q359">
            <v>80</v>
          </cell>
          <cell r="R359">
            <v>22.8</v>
          </cell>
          <cell r="S359">
            <v>64.8</v>
          </cell>
          <cell r="T359">
            <v>38082</v>
          </cell>
          <cell r="U359" t="str">
            <v>ГРП</v>
          </cell>
          <cell r="W359" t="str">
            <v>ЛА.ГИС-2.РИР ЭК.ПП ЮК-10.ГРП ЮК-10.Сп.Э-80</v>
          </cell>
          <cell r="AD359">
            <v>37986</v>
          </cell>
          <cell r="AE359">
            <v>38075</v>
          </cell>
        </row>
        <row r="360">
          <cell r="B360">
            <v>2988</v>
          </cell>
          <cell r="C360">
            <v>46</v>
          </cell>
          <cell r="F360" t="str">
            <v>УПНПиКРС</v>
          </cell>
          <cell r="G360">
            <v>270</v>
          </cell>
          <cell r="H360" t="str">
            <v>фон</v>
          </cell>
          <cell r="I360" t="str">
            <v>бд</v>
          </cell>
          <cell r="J360">
            <v>34883</v>
          </cell>
          <cell r="K360">
            <v>0</v>
          </cell>
          <cell r="L360">
            <v>0</v>
          </cell>
          <cell r="M360">
            <v>0</v>
          </cell>
          <cell r="N360">
            <v>30</v>
          </cell>
          <cell r="O360">
            <v>8.6</v>
          </cell>
          <cell r="P360">
            <v>65</v>
          </cell>
          <cell r="Q360">
            <v>30</v>
          </cell>
          <cell r="R360">
            <v>8.6</v>
          </cell>
          <cell r="S360">
            <v>64.599999999999994</v>
          </cell>
          <cell r="T360">
            <v>38058</v>
          </cell>
          <cell r="U360" t="str">
            <v>ВЦ</v>
          </cell>
          <cell r="W360" t="str">
            <v>ВЦ.ЛА.ИР ЮК-11.ПП ЮК-10.Сп.Э-30</v>
          </cell>
          <cell r="AD360">
            <v>38013</v>
          </cell>
          <cell r="AE360">
            <v>38051</v>
          </cell>
        </row>
        <row r="362">
          <cell r="B362">
            <v>5529</v>
          </cell>
          <cell r="C362" t="str">
            <v>119б</v>
          </cell>
          <cell r="F362" t="str">
            <v>УПНПиКРС</v>
          </cell>
          <cell r="G362">
            <v>270</v>
          </cell>
          <cell r="H362" t="str">
            <v>фон</v>
          </cell>
          <cell r="I362" t="str">
            <v>конс.</v>
          </cell>
          <cell r="J362">
            <v>35948</v>
          </cell>
          <cell r="T362">
            <v>38039</v>
          </cell>
          <cell r="U362" t="str">
            <v>НГ</v>
          </cell>
          <cell r="W362" t="str">
            <v>Перевод в ППД</v>
          </cell>
        </row>
        <row r="363">
          <cell r="B363">
            <v>2935</v>
          </cell>
          <cell r="C363">
            <v>43</v>
          </cell>
          <cell r="F363" t="str">
            <v>УПНПиКРС</v>
          </cell>
          <cell r="G363">
            <v>275</v>
          </cell>
          <cell r="H363" t="str">
            <v>нагнет.</v>
          </cell>
          <cell r="I363" t="str">
            <v>бд</v>
          </cell>
          <cell r="J363">
            <v>36831</v>
          </cell>
          <cell r="T363">
            <v>38071</v>
          </cell>
          <cell r="U363" t="str">
            <v>НГ</v>
          </cell>
          <cell r="W363" t="str">
            <v>ОТСК.ГИС-3.ГКО.Сп.пакера ППД.</v>
          </cell>
        </row>
        <row r="364">
          <cell r="B364">
            <v>11083</v>
          </cell>
          <cell r="C364" t="str">
            <v>308б</v>
          </cell>
          <cell r="F364" t="str">
            <v>ПРС</v>
          </cell>
          <cell r="G364">
            <v>250</v>
          </cell>
          <cell r="H364" t="str">
            <v>ЭЦН</v>
          </cell>
          <cell r="I364" t="str">
            <v>бд</v>
          </cell>
          <cell r="J364">
            <v>37914</v>
          </cell>
          <cell r="K364">
            <v>0</v>
          </cell>
          <cell r="L364">
            <v>0</v>
          </cell>
          <cell r="M364">
            <v>0</v>
          </cell>
          <cell r="N364">
            <v>14</v>
          </cell>
          <cell r="O364">
            <v>4</v>
          </cell>
          <cell r="P364">
            <v>65</v>
          </cell>
          <cell r="Q364">
            <v>14</v>
          </cell>
          <cell r="R364">
            <v>4</v>
          </cell>
          <cell r="S364">
            <v>64.7</v>
          </cell>
          <cell r="T364">
            <v>38056</v>
          </cell>
          <cell r="U364" t="str">
            <v>ВЦД</v>
          </cell>
          <cell r="W364" t="str">
            <v>ВЦ,см.ВНН-25/НВ-44</v>
          </cell>
          <cell r="AE364">
            <v>38049</v>
          </cell>
        </row>
        <row r="365">
          <cell r="B365">
            <v>2685</v>
          </cell>
          <cell r="C365" t="str">
            <v>160б</v>
          </cell>
          <cell r="F365" t="str">
            <v>ПРС</v>
          </cell>
          <cell r="G365">
            <v>275</v>
          </cell>
          <cell r="H365" t="str">
            <v>ЭЦН</v>
          </cell>
          <cell r="I365" t="str">
            <v>бд</v>
          </cell>
          <cell r="J365">
            <v>37979</v>
          </cell>
          <cell r="K365">
            <v>0</v>
          </cell>
          <cell r="L365">
            <v>0</v>
          </cell>
          <cell r="M365">
            <v>0</v>
          </cell>
          <cell r="N365">
            <v>14</v>
          </cell>
          <cell r="O365">
            <v>5.7</v>
          </cell>
          <cell r="P365">
            <v>50</v>
          </cell>
          <cell r="Q365">
            <v>14</v>
          </cell>
          <cell r="R365">
            <v>5.7</v>
          </cell>
          <cell r="S365">
            <v>49.7</v>
          </cell>
          <cell r="T365">
            <v>38071</v>
          </cell>
          <cell r="U365" t="str">
            <v>ВЦД</v>
          </cell>
          <cell r="W365" t="str">
            <v>ВЦ.Смена Э-30/НВ-44</v>
          </cell>
          <cell r="AE365">
            <v>38064</v>
          </cell>
        </row>
        <row r="366">
          <cell r="B366">
            <v>3619</v>
          </cell>
          <cell r="C366">
            <v>76</v>
          </cell>
          <cell r="F366" t="str">
            <v>ПРС</v>
          </cell>
          <cell r="G366">
            <v>240</v>
          </cell>
          <cell r="H366" t="str">
            <v>ЭЦН</v>
          </cell>
          <cell r="I366" t="str">
            <v>бдтг</v>
          </cell>
          <cell r="J366">
            <v>38006</v>
          </cell>
          <cell r="K366">
            <v>0</v>
          </cell>
          <cell r="L366">
            <v>0</v>
          </cell>
          <cell r="M366">
            <v>0</v>
          </cell>
          <cell r="N366">
            <v>49</v>
          </cell>
          <cell r="O366">
            <v>1.2</v>
          </cell>
          <cell r="P366">
            <v>97</v>
          </cell>
          <cell r="Q366">
            <v>49</v>
          </cell>
          <cell r="R366">
            <v>1.2</v>
          </cell>
          <cell r="S366">
            <v>97</v>
          </cell>
          <cell r="T366">
            <v>38055</v>
          </cell>
          <cell r="U366" t="str">
            <v>БДП</v>
          </cell>
          <cell r="W366" t="str">
            <v>Смена Э-50</v>
          </cell>
          <cell r="AE366">
            <v>38048</v>
          </cell>
        </row>
        <row r="367">
          <cell r="B367">
            <v>2941</v>
          </cell>
          <cell r="C367">
            <v>46</v>
          </cell>
          <cell r="F367" t="str">
            <v>УПНПиКРС</v>
          </cell>
          <cell r="G367">
            <v>250</v>
          </cell>
          <cell r="H367" t="str">
            <v>ШГН</v>
          </cell>
          <cell r="I367" t="str">
            <v>действ.</v>
          </cell>
          <cell r="K367">
            <v>8</v>
          </cell>
          <cell r="L367">
            <v>4.5999999999999996</v>
          </cell>
          <cell r="M367">
            <v>29</v>
          </cell>
          <cell r="N367">
            <v>50</v>
          </cell>
          <cell r="O367">
            <v>28.9</v>
          </cell>
          <cell r="P367">
            <v>29</v>
          </cell>
          <cell r="Q367">
            <v>42</v>
          </cell>
          <cell r="R367">
            <v>24.3</v>
          </cell>
          <cell r="S367">
            <v>28.6</v>
          </cell>
          <cell r="T367">
            <v>38106</v>
          </cell>
          <cell r="U367" t="str">
            <v>ГРП</v>
          </cell>
          <cell r="W367" t="str">
            <v>ГРП ЮК-10.Сп. ЭЦН-50.</v>
          </cell>
          <cell r="AD367">
            <v>38080</v>
          </cell>
          <cell r="AE367">
            <v>38099</v>
          </cell>
        </row>
        <row r="368">
          <cell r="B368">
            <v>2922</v>
          </cell>
          <cell r="C368" t="str">
            <v>43б</v>
          </cell>
          <cell r="F368" t="str">
            <v>УПНПиКРС</v>
          </cell>
          <cell r="G368">
            <v>270</v>
          </cell>
          <cell r="H368" t="str">
            <v>ЭЦН</v>
          </cell>
          <cell r="I368" t="str">
            <v>действ.</v>
          </cell>
          <cell r="K368">
            <v>16</v>
          </cell>
          <cell r="L368">
            <v>7.6</v>
          </cell>
          <cell r="M368">
            <v>42</v>
          </cell>
          <cell r="N368">
            <v>80</v>
          </cell>
          <cell r="O368">
            <v>33.9</v>
          </cell>
          <cell r="P368">
            <v>48</v>
          </cell>
          <cell r="Q368">
            <v>64</v>
          </cell>
          <cell r="R368">
            <v>26.3</v>
          </cell>
          <cell r="S368">
            <v>49.3</v>
          </cell>
          <cell r="T368">
            <v>38120</v>
          </cell>
          <cell r="U368" t="str">
            <v>ГРП</v>
          </cell>
          <cell r="W368" t="str">
            <v>ГРП ЮК-10.Сп. ЭЦН-80.</v>
          </cell>
          <cell r="AD368">
            <v>38097</v>
          </cell>
          <cell r="AE368">
            <v>38113</v>
          </cell>
          <cell r="AF368">
            <v>39</v>
          </cell>
          <cell r="AG368" t="e">
            <v>#REF!</v>
          </cell>
          <cell r="AH368" t="e">
            <v>#REF!</v>
          </cell>
        </row>
        <row r="369">
          <cell r="B369" t="str">
            <v>5330б</v>
          </cell>
          <cell r="C369">
            <v>105</v>
          </cell>
          <cell r="F369" t="str">
            <v>УПНПиКРС</v>
          </cell>
          <cell r="G369">
            <v>275</v>
          </cell>
          <cell r="H369" t="str">
            <v>нагн.</v>
          </cell>
          <cell r="I369" t="str">
            <v>бд</v>
          </cell>
          <cell r="J369">
            <v>36355</v>
          </cell>
          <cell r="N369">
            <v>200</v>
          </cell>
          <cell r="Q369">
            <v>200</v>
          </cell>
          <cell r="T369">
            <v>38097</v>
          </cell>
          <cell r="U369" t="str">
            <v>НГ</v>
          </cell>
          <cell r="W369" t="str">
            <v>ЛА.ОТСК.ОПЗ.Сп. пакера ППД</v>
          </cell>
          <cell r="AE369">
            <v>37977</v>
          </cell>
        </row>
        <row r="370">
          <cell r="B370">
            <v>2790</v>
          </cell>
          <cell r="C370">
            <v>144</v>
          </cell>
          <cell r="F370" t="str">
            <v>УПНПиКРС</v>
          </cell>
          <cell r="G370">
            <v>280</v>
          </cell>
          <cell r="H370" t="str">
            <v>нагнет.</v>
          </cell>
          <cell r="I370" t="str">
            <v>бд</v>
          </cell>
          <cell r="T370">
            <v>38109</v>
          </cell>
          <cell r="U370" t="str">
            <v>нг</v>
          </cell>
          <cell r="W370" t="str">
            <v>ОТСК.ПП.ОПЗ.ГИС-3.Сп. Пакера ППД</v>
          </cell>
          <cell r="AD370">
            <v>38096</v>
          </cell>
          <cell r="AE370">
            <v>38106</v>
          </cell>
          <cell r="AF370">
            <v>24</v>
          </cell>
          <cell r="AG370">
            <v>-1389581</v>
          </cell>
          <cell r="AH370">
            <v>-2434575</v>
          </cell>
        </row>
        <row r="371">
          <cell r="B371">
            <v>5364</v>
          </cell>
          <cell r="C371">
            <v>109</v>
          </cell>
          <cell r="F371" t="str">
            <v>УПНПиКРС</v>
          </cell>
          <cell r="G371">
            <v>275</v>
          </cell>
          <cell r="H371" t="str">
            <v>ШГН</v>
          </cell>
          <cell r="I371" t="str">
            <v>бд</v>
          </cell>
          <cell r="J371">
            <v>37517</v>
          </cell>
          <cell r="K371">
            <v>0</v>
          </cell>
          <cell r="L371">
            <v>0</v>
          </cell>
          <cell r="M371">
            <v>0</v>
          </cell>
          <cell r="N371">
            <v>80</v>
          </cell>
          <cell r="O371">
            <v>24.1</v>
          </cell>
          <cell r="P371">
            <v>63</v>
          </cell>
          <cell r="Q371">
            <v>80</v>
          </cell>
          <cell r="R371">
            <v>24.1</v>
          </cell>
          <cell r="S371">
            <v>62.8</v>
          </cell>
          <cell r="T371">
            <v>38117</v>
          </cell>
          <cell r="U371" t="str">
            <v>ГРП</v>
          </cell>
          <cell r="W371" t="str">
            <v>ВЦ.ПП.ГРП-ЮК-10.Сп.Э-80.</v>
          </cell>
          <cell r="Y371" t="str">
            <v>-</v>
          </cell>
          <cell r="Z371" t="str">
            <v>-</v>
          </cell>
          <cell r="AA371">
            <v>73</v>
          </cell>
          <cell r="AD371">
            <v>38077</v>
          </cell>
          <cell r="AE371">
            <v>38110</v>
          </cell>
          <cell r="AF371">
            <v>17</v>
          </cell>
          <cell r="AG371" t="e">
            <v>#REF!</v>
          </cell>
          <cell r="AH371" t="e">
            <v>#REF!</v>
          </cell>
        </row>
        <row r="372">
          <cell r="B372">
            <v>2979</v>
          </cell>
          <cell r="C372">
            <v>50</v>
          </cell>
          <cell r="F372" t="str">
            <v>УПНПиКРС</v>
          </cell>
          <cell r="G372">
            <v>240</v>
          </cell>
          <cell r="H372" t="str">
            <v>ЭЦН</v>
          </cell>
          <cell r="I372" t="str">
            <v>действ.</v>
          </cell>
          <cell r="K372">
            <v>30</v>
          </cell>
          <cell r="L372">
            <v>14.7</v>
          </cell>
          <cell r="M372">
            <v>40</v>
          </cell>
          <cell r="N372">
            <v>125</v>
          </cell>
          <cell r="O372">
            <v>35.700000000000003</v>
          </cell>
          <cell r="P372">
            <v>65</v>
          </cell>
          <cell r="Q372">
            <v>95</v>
          </cell>
          <cell r="R372">
            <v>21</v>
          </cell>
          <cell r="S372">
            <v>72.7</v>
          </cell>
          <cell r="T372">
            <v>38104</v>
          </cell>
          <cell r="U372" t="str">
            <v>ГРП</v>
          </cell>
          <cell r="W372" t="str">
            <v>ГРП.ЮК-10.Сп.Э-125</v>
          </cell>
          <cell r="AD372">
            <v>38078</v>
          </cell>
          <cell r="AE372">
            <v>38097</v>
          </cell>
          <cell r="AF372">
            <v>22</v>
          </cell>
        </row>
        <row r="373">
          <cell r="B373">
            <v>3011</v>
          </cell>
          <cell r="C373">
            <v>51</v>
          </cell>
          <cell r="F373" t="str">
            <v>УПНПиКРС</v>
          </cell>
          <cell r="G373">
            <v>240</v>
          </cell>
          <cell r="H373" t="str">
            <v>ЭЦН</v>
          </cell>
          <cell r="I373" t="str">
            <v>действ.</v>
          </cell>
          <cell r="K373">
            <v>10</v>
          </cell>
          <cell r="L373">
            <v>5.7</v>
          </cell>
          <cell r="M373">
            <v>30</v>
          </cell>
          <cell r="N373">
            <v>80</v>
          </cell>
          <cell r="O373">
            <v>30</v>
          </cell>
          <cell r="P373">
            <v>54</v>
          </cell>
          <cell r="Q373">
            <v>70</v>
          </cell>
          <cell r="R373">
            <v>24.3</v>
          </cell>
          <cell r="S373">
            <v>57.1</v>
          </cell>
          <cell r="T373">
            <v>38121</v>
          </cell>
          <cell r="U373" t="str">
            <v>ГРП</v>
          </cell>
          <cell r="W373" t="str">
            <v>ГРП ЮК-11.Сп. Э-80</v>
          </cell>
          <cell r="AD373">
            <v>38097</v>
          </cell>
          <cell r="AE373">
            <v>38114</v>
          </cell>
          <cell r="AG373">
            <v>-142443</v>
          </cell>
          <cell r="AH373">
            <v>-3748500</v>
          </cell>
        </row>
        <row r="374">
          <cell r="B374">
            <v>5473</v>
          </cell>
          <cell r="C374">
            <v>110</v>
          </cell>
          <cell r="F374" t="str">
            <v>УПНПиКРС</v>
          </cell>
          <cell r="G374">
            <v>260</v>
          </cell>
          <cell r="H374" t="str">
            <v>ЭЦН</v>
          </cell>
          <cell r="I374" t="str">
            <v>бд</v>
          </cell>
          <cell r="K374">
            <v>0</v>
          </cell>
          <cell r="L374">
            <v>0</v>
          </cell>
          <cell r="M374">
            <v>0</v>
          </cell>
          <cell r="N374">
            <v>50</v>
          </cell>
          <cell r="O374">
            <v>4</v>
          </cell>
          <cell r="P374">
            <v>90.1</v>
          </cell>
          <cell r="Q374">
            <v>50</v>
          </cell>
          <cell r="R374">
            <v>4</v>
          </cell>
          <cell r="S374">
            <v>90.1</v>
          </cell>
          <cell r="T374">
            <v>38686</v>
          </cell>
          <cell r="U374" t="str">
            <v>ЛА</v>
          </cell>
          <cell r="W374" t="str">
            <v>Извлечение ЭЦН</v>
          </cell>
          <cell r="AD374">
            <v>38077</v>
          </cell>
          <cell r="AE374">
            <v>38110</v>
          </cell>
          <cell r="AF374">
            <v>30</v>
          </cell>
        </row>
        <row r="375">
          <cell r="B375">
            <v>5528</v>
          </cell>
          <cell r="C375" t="str">
            <v>119б</v>
          </cell>
          <cell r="F375" t="str">
            <v>УПНПиКРС</v>
          </cell>
          <cell r="G375">
            <v>250</v>
          </cell>
          <cell r="H375" t="str">
            <v>ШГН</v>
          </cell>
          <cell r="I375" t="str">
            <v>бд</v>
          </cell>
          <cell r="J375">
            <v>37524</v>
          </cell>
          <cell r="K375">
            <v>0</v>
          </cell>
          <cell r="L375">
            <v>0</v>
          </cell>
          <cell r="M375">
            <v>0</v>
          </cell>
          <cell r="N375">
            <v>125</v>
          </cell>
          <cell r="O375">
            <v>24.5</v>
          </cell>
          <cell r="P375">
            <v>76</v>
          </cell>
          <cell r="Q375">
            <v>125</v>
          </cell>
          <cell r="R375">
            <v>24.5</v>
          </cell>
          <cell r="S375">
            <v>75.8</v>
          </cell>
          <cell r="T375">
            <v>38112</v>
          </cell>
          <cell r="U375" t="str">
            <v>ГРП</v>
          </cell>
          <cell r="W375" t="str">
            <v>ВЦ.ОТСК.ГРП ЮК-10.Сп.Э-125</v>
          </cell>
          <cell r="AE375">
            <v>38105</v>
          </cell>
        </row>
        <row r="376">
          <cell r="B376">
            <v>2865</v>
          </cell>
          <cell r="C376">
            <v>131</v>
          </cell>
          <cell r="F376" t="str">
            <v>УПНПиКРС</v>
          </cell>
          <cell r="G376">
            <v>260</v>
          </cell>
          <cell r="H376" t="str">
            <v>ЭЦН</v>
          </cell>
          <cell r="I376" t="str">
            <v>действ.</v>
          </cell>
          <cell r="K376">
            <v>30</v>
          </cell>
          <cell r="L376">
            <v>5.4</v>
          </cell>
          <cell r="M376">
            <v>78</v>
          </cell>
          <cell r="N376">
            <v>125</v>
          </cell>
          <cell r="O376">
            <v>25.5</v>
          </cell>
          <cell r="P376">
            <v>75</v>
          </cell>
          <cell r="Q376">
            <v>95</v>
          </cell>
          <cell r="R376">
            <v>20.100000000000001</v>
          </cell>
          <cell r="S376">
            <v>73.900000000000006</v>
          </cell>
          <cell r="T376">
            <v>38084</v>
          </cell>
          <cell r="U376" t="str">
            <v>ГРП</v>
          </cell>
          <cell r="W376" t="str">
            <v>ВЗ.ГИС-2.ПП.ГРП ЮК-10</v>
          </cell>
          <cell r="AD376">
            <v>38054</v>
          </cell>
          <cell r="AE376">
            <v>38077</v>
          </cell>
          <cell r="AG376">
            <v>-148552</v>
          </cell>
          <cell r="AH376">
            <v>-259966</v>
          </cell>
        </row>
        <row r="377">
          <cell r="B377">
            <v>5446</v>
          </cell>
          <cell r="C377">
            <v>109</v>
          </cell>
          <cell r="F377" t="str">
            <v>УПНПиКРС</v>
          </cell>
          <cell r="G377">
            <v>260</v>
          </cell>
          <cell r="H377" t="str">
            <v>ЭЦН</v>
          </cell>
          <cell r="I377" t="str">
            <v>действ.</v>
          </cell>
          <cell r="K377">
            <v>14</v>
          </cell>
          <cell r="L377">
            <v>3</v>
          </cell>
          <cell r="M377">
            <v>74</v>
          </cell>
          <cell r="N377">
            <v>80</v>
          </cell>
          <cell r="O377">
            <v>26.1</v>
          </cell>
          <cell r="P377">
            <v>60</v>
          </cell>
          <cell r="Q377">
            <v>66</v>
          </cell>
          <cell r="R377">
            <v>23.1</v>
          </cell>
          <cell r="S377">
            <v>56.8</v>
          </cell>
          <cell r="T377">
            <v>38083</v>
          </cell>
          <cell r="U377" t="str">
            <v>ГРП</v>
          </cell>
          <cell r="W377" t="str">
            <v>ГРП ЮК-10.Сп.Э-80</v>
          </cell>
          <cell r="AD377">
            <v>38054</v>
          </cell>
          <cell r="AE377">
            <v>38076</v>
          </cell>
        </row>
        <row r="378">
          <cell r="B378">
            <v>2938</v>
          </cell>
          <cell r="C378" t="str">
            <v>43б</v>
          </cell>
          <cell r="F378" t="str">
            <v>ПРС</v>
          </cell>
          <cell r="G378">
            <v>270</v>
          </cell>
          <cell r="H378" t="str">
            <v>ЭЦН</v>
          </cell>
          <cell r="I378" t="str">
            <v>действ.</v>
          </cell>
          <cell r="K378">
            <v>123</v>
          </cell>
          <cell r="L378">
            <v>47.1</v>
          </cell>
          <cell r="M378">
            <v>53</v>
          </cell>
          <cell r="N378">
            <v>217</v>
          </cell>
          <cell r="O378">
            <v>83.1</v>
          </cell>
          <cell r="P378">
            <v>53</v>
          </cell>
          <cell r="Q378">
            <v>94</v>
          </cell>
          <cell r="R378">
            <v>36</v>
          </cell>
          <cell r="S378">
            <v>52.7</v>
          </cell>
          <cell r="T378">
            <v>38225</v>
          </cell>
          <cell r="U378" t="str">
            <v>опт</v>
          </cell>
          <cell r="W378" t="str">
            <v>см Э-125/Э-250</v>
          </cell>
          <cell r="AD378">
            <v>38117</v>
          </cell>
          <cell r="AE378">
            <v>38137</v>
          </cell>
        </row>
        <row r="379">
          <cell r="B379">
            <v>5680</v>
          </cell>
          <cell r="C379">
            <v>124</v>
          </cell>
          <cell r="F379" t="str">
            <v>УПНПиКРС</v>
          </cell>
          <cell r="G379">
            <v>280</v>
          </cell>
          <cell r="H379" t="str">
            <v>нагнет.</v>
          </cell>
          <cell r="I379" t="str">
            <v>конс.</v>
          </cell>
          <cell r="T379">
            <v>38119</v>
          </cell>
          <cell r="U379" t="str">
            <v>нг</v>
          </cell>
          <cell r="W379" t="str">
            <v>ОТСК.ПП.ОПЗ.ГИС-3.Сп. Пакера ППД</v>
          </cell>
        </row>
        <row r="380">
          <cell r="B380">
            <v>3033</v>
          </cell>
          <cell r="C380">
            <v>51</v>
          </cell>
          <cell r="F380" t="str">
            <v>УПНПиКРС</v>
          </cell>
          <cell r="G380">
            <v>260</v>
          </cell>
          <cell r="H380" t="str">
            <v>Ф/Ш</v>
          </cell>
          <cell r="I380" t="str">
            <v>бд</v>
          </cell>
          <cell r="J380">
            <v>33755</v>
          </cell>
          <cell r="K380">
            <v>0</v>
          </cell>
          <cell r="L380">
            <v>0</v>
          </cell>
          <cell r="M380">
            <v>0</v>
          </cell>
          <cell r="N380">
            <v>50</v>
          </cell>
          <cell r="O380">
            <v>8.6</v>
          </cell>
          <cell r="P380">
            <v>79</v>
          </cell>
          <cell r="Q380">
            <v>50</v>
          </cell>
          <cell r="R380">
            <v>8.6</v>
          </cell>
          <cell r="S380">
            <v>78.8</v>
          </cell>
          <cell r="T380">
            <v>38151</v>
          </cell>
          <cell r="U380" t="str">
            <v>бдп</v>
          </cell>
          <cell r="W380" t="str">
            <v>ВЦ.ЛА, ДП ЮК-11,сп.Э-50</v>
          </cell>
          <cell r="AD380">
            <v>38117</v>
          </cell>
          <cell r="AE380">
            <v>38146</v>
          </cell>
        </row>
        <row r="381">
          <cell r="B381">
            <v>3535</v>
          </cell>
          <cell r="C381" t="str">
            <v>98б</v>
          </cell>
          <cell r="F381" t="str">
            <v>УПНПиКРС</v>
          </cell>
          <cell r="G381">
            <v>240</v>
          </cell>
          <cell r="H381" t="str">
            <v>ШГН</v>
          </cell>
          <cell r="I381" t="str">
            <v>действ.</v>
          </cell>
          <cell r="K381">
            <v>6</v>
          </cell>
          <cell r="L381">
            <v>3</v>
          </cell>
          <cell r="M381">
            <v>38</v>
          </cell>
          <cell r="N381">
            <v>80</v>
          </cell>
          <cell r="O381">
            <v>26.1</v>
          </cell>
          <cell r="P381">
            <v>60</v>
          </cell>
          <cell r="Q381">
            <v>74</v>
          </cell>
          <cell r="R381">
            <v>23.1</v>
          </cell>
          <cell r="S381">
            <v>61.5</v>
          </cell>
          <cell r="T381">
            <v>7</v>
          </cell>
          <cell r="U381" t="str">
            <v>ГРП</v>
          </cell>
          <cell r="W381" t="str">
            <v>ГРП ЮК-10.Сп. Э-80</v>
          </cell>
        </row>
        <row r="382">
          <cell r="B382">
            <v>5525</v>
          </cell>
          <cell r="C382">
            <v>118</v>
          </cell>
          <cell r="F382" t="str">
            <v>УПНПиКРС</v>
          </cell>
          <cell r="G382">
            <v>267</v>
          </cell>
          <cell r="H382" t="str">
            <v>ШГН</v>
          </cell>
          <cell r="I382" t="str">
            <v>бд</v>
          </cell>
          <cell r="J382">
            <v>37975</v>
          </cell>
          <cell r="K382">
            <v>0</v>
          </cell>
          <cell r="L382">
            <v>0</v>
          </cell>
          <cell r="M382">
            <v>0</v>
          </cell>
          <cell r="N382">
            <v>80</v>
          </cell>
          <cell r="O382">
            <v>22.8</v>
          </cell>
          <cell r="P382">
            <v>65</v>
          </cell>
          <cell r="Q382">
            <v>80</v>
          </cell>
          <cell r="R382">
            <v>22.8</v>
          </cell>
          <cell r="S382">
            <v>64.8</v>
          </cell>
          <cell r="T382">
            <v>38146</v>
          </cell>
          <cell r="U382" t="str">
            <v>ГРП</v>
          </cell>
          <cell r="W382" t="str">
            <v>ВЦ.ГРП ЮК-10.Сп.Э-80</v>
          </cell>
          <cell r="AD382">
            <v>38113</v>
          </cell>
          <cell r="AE382">
            <v>38141</v>
          </cell>
          <cell r="AG382">
            <v>-225630</v>
          </cell>
          <cell r="AH382">
            <v>-413655</v>
          </cell>
        </row>
        <row r="383">
          <cell r="B383">
            <v>5526</v>
          </cell>
          <cell r="C383">
            <v>118</v>
          </cell>
          <cell r="F383" t="str">
            <v>УПНПиКРС</v>
          </cell>
          <cell r="G383">
            <v>265</v>
          </cell>
          <cell r="H383" t="str">
            <v>ФОН</v>
          </cell>
          <cell r="I383" t="str">
            <v>бд</v>
          </cell>
          <cell r="J383">
            <v>32006</v>
          </cell>
          <cell r="K383">
            <v>0</v>
          </cell>
          <cell r="L383">
            <v>0</v>
          </cell>
          <cell r="M383">
            <v>0</v>
          </cell>
          <cell r="N383">
            <v>80</v>
          </cell>
          <cell r="O383">
            <v>22.8</v>
          </cell>
          <cell r="P383">
            <v>65</v>
          </cell>
          <cell r="Q383">
            <v>80</v>
          </cell>
          <cell r="R383">
            <v>22.8</v>
          </cell>
          <cell r="S383">
            <v>64.8</v>
          </cell>
          <cell r="T383">
            <v>7</v>
          </cell>
          <cell r="U383" t="str">
            <v>ГРП</v>
          </cell>
          <cell r="W383" t="str">
            <v>ВЦ.ЛА.РИР Э/К.ГРП ЮК-10.Сп.Э-80</v>
          </cell>
        </row>
        <row r="384">
          <cell r="B384">
            <v>5578</v>
          </cell>
          <cell r="C384">
            <v>115</v>
          </cell>
          <cell r="F384" t="str">
            <v>УПНПиКРС</v>
          </cell>
          <cell r="G384">
            <v>245</v>
          </cell>
          <cell r="H384" t="str">
            <v>ЭЦН</v>
          </cell>
          <cell r="I384" t="str">
            <v>бд</v>
          </cell>
          <cell r="J384">
            <v>36473</v>
          </cell>
          <cell r="K384">
            <v>0</v>
          </cell>
          <cell r="L384">
            <v>0</v>
          </cell>
          <cell r="M384">
            <v>0</v>
          </cell>
          <cell r="N384">
            <v>50</v>
          </cell>
          <cell r="O384">
            <v>8.1999999999999993</v>
          </cell>
          <cell r="P384">
            <v>80</v>
          </cell>
          <cell r="Q384">
            <v>50</v>
          </cell>
          <cell r="R384">
            <v>8.1999999999999993</v>
          </cell>
          <cell r="S384">
            <v>79.8</v>
          </cell>
          <cell r="T384">
            <v>38184</v>
          </cell>
          <cell r="U384" t="str">
            <v>бдк</v>
          </cell>
          <cell r="W384" t="str">
            <v>ВЦ.ВЗ.ОТСК.ПП ЮК-10.Сп.Э-50</v>
          </cell>
          <cell r="AE384">
            <v>38177</v>
          </cell>
        </row>
        <row r="385">
          <cell r="B385">
            <v>5457</v>
          </cell>
          <cell r="C385">
            <v>103</v>
          </cell>
          <cell r="F385" t="str">
            <v>УПНПиКРС</v>
          </cell>
          <cell r="G385">
            <v>220</v>
          </cell>
          <cell r="H385" t="str">
            <v>ЭЦН</v>
          </cell>
          <cell r="I385" t="str">
            <v>бд</v>
          </cell>
          <cell r="J385">
            <v>36530</v>
          </cell>
          <cell r="K385">
            <v>0</v>
          </cell>
          <cell r="L385">
            <v>0</v>
          </cell>
          <cell r="M385">
            <v>0</v>
          </cell>
          <cell r="N385">
            <v>50</v>
          </cell>
          <cell r="O385">
            <v>24.9</v>
          </cell>
          <cell r="P385">
            <v>39</v>
          </cell>
          <cell r="Q385">
            <v>50</v>
          </cell>
          <cell r="R385">
            <v>24.9</v>
          </cell>
          <cell r="S385">
            <v>38.5</v>
          </cell>
          <cell r="T385">
            <v>38207</v>
          </cell>
          <cell r="U385" t="str">
            <v>ГРП</v>
          </cell>
          <cell r="W385" t="str">
            <v>ВЦ,ВЗ,ГРП ЮК-10,сп.Э-80</v>
          </cell>
          <cell r="AE385">
            <v>38175</v>
          </cell>
        </row>
        <row r="386">
          <cell r="B386">
            <v>5454</v>
          </cell>
          <cell r="C386">
            <v>102</v>
          </cell>
          <cell r="F386" t="str">
            <v>УПНПиКРС</v>
          </cell>
          <cell r="G386">
            <v>240</v>
          </cell>
          <cell r="H386" t="str">
            <v>Ф/Э</v>
          </cell>
          <cell r="I386" t="str">
            <v>бд</v>
          </cell>
          <cell r="J386">
            <v>34771</v>
          </cell>
          <cell r="K386">
            <v>0</v>
          </cell>
          <cell r="L386">
            <v>0</v>
          </cell>
          <cell r="M386">
            <v>0</v>
          </cell>
          <cell r="N386">
            <v>50</v>
          </cell>
          <cell r="O386">
            <v>24.5</v>
          </cell>
          <cell r="P386">
            <v>40</v>
          </cell>
          <cell r="Q386">
            <v>50</v>
          </cell>
          <cell r="R386">
            <v>24.5</v>
          </cell>
          <cell r="S386">
            <v>39.5</v>
          </cell>
          <cell r="T386">
            <v>38241</v>
          </cell>
          <cell r="U386" t="str">
            <v>ГРП</v>
          </cell>
          <cell r="W386" t="str">
            <v>ВЦ.ИР ЮК-10.ГРП ЮК2-3</v>
          </cell>
          <cell r="AD386">
            <v>38200</v>
          </cell>
          <cell r="AE386">
            <v>38234</v>
          </cell>
        </row>
        <row r="387">
          <cell r="B387">
            <v>5492</v>
          </cell>
          <cell r="C387">
            <v>106</v>
          </cell>
          <cell r="F387" t="str">
            <v>УПНПиКРС</v>
          </cell>
          <cell r="G387">
            <v>270</v>
          </cell>
          <cell r="H387" t="str">
            <v>нагн.</v>
          </cell>
          <cell r="I387" t="str">
            <v>бд</v>
          </cell>
          <cell r="J387">
            <v>32193</v>
          </cell>
          <cell r="K387">
            <v>0</v>
          </cell>
          <cell r="L387">
            <v>0</v>
          </cell>
          <cell r="M387">
            <v>0</v>
          </cell>
          <cell r="N387">
            <v>50</v>
          </cell>
          <cell r="O387">
            <v>8.1999999999999993</v>
          </cell>
          <cell r="P387">
            <v>80</v>
          </cell>
          <cell r="Q387">
            <v>50</v>
          </cell>
          <cell r="R387">
            <v>8.1999999999999993</v>
          </cell>
          <cell r="S387">
            <v>79.8</v>
          </cell>
          <cell r="T387">
            <v>7</v>
          </cell>
          <cell r="U387" t="str">
            <v>опт</v>
          </cell>
          <cell r="W387" t="str">
            <v>ОТСК.ПП ЮК-10.ГИС-2.Сп.Э-50</v>
          </cell>
        </row>
        <row r="388">
          <cell r="B388">
            <v>5495</v>
          </cell>
          <cell r="C388">
            <v>106</v>
          </cell>
          <cell r="F388" t="str">
            <v>УПНПиКРС</v>
          </cell>
          <cell r="G388">
            <v>270</v>
          </cell>
          <cell r="H388" t="str">
            <v>ЭЦН</v>
          </cell>
          <cell r="I388" t="str">
            <v>действ.</v>
          </cell>
          <cell r="K388">
            <v>79</v>
          </cell>
          <cell r="L388">
            <v>7.1</v>
          </cell>
          <cell r="M388">
            <v>89</v>
          </cell>
          <cell r="N388">
            <v>136</v>
          </cell>
          <cell r="O388">
            <v>12.2</v>
          </cell>
          <cell r="P388">
            <v>89</v>
          </cell>
          <cell r="Q388">
            <v>57</v>
          </cell>
          <cell r="R388">
            <v>5.0999999999999996</v>
          </cell>
          <cell r="S388">
            <v>89</v>
          </cell>
          <cell r="T388">
            <v>38309</v>
          </cell>
          <cell r="U388" t="str">
            <v>опт</v>
          </cell>
          <cell r="W388" t="str">
            <v>Оптимизация Э-80/125</v>
          </cell>
          <cell r="Y388" t="str">
            <v>комплект</v>
          </cell>
          <cell r="Z388" t="str">
            <v>?</v>
          </cell>
          <cell r="AE388">
            <v>38184</v>
          </cell>
        </row>
        <row r="389">
          <cell r="B389">
            <v>5742</v>
          </cell>
          <cell r="C389">
            <v>128</v>
          </cell>
          <cell r="F389" t="str">
            <v>УПНПиКРС</v>
          </cell>
          <cell r="G389">
            <v>265</v>
          </cell>
          <cell r="H389" t="str">
            <v>ЭЦН</v>
          </cell>
          <cell r="I389" t="str">
            <v>бд</v>
          </cell>
          <cell r="J389">
            <v>37201</v>
          </cell>
          <cell r="K389">
            <v>0</v>
          </cell>
          <cell r="L389">
            <v>0</v>
          </cell>
          <cell r="M389">
            <v>0</v>
          </cell>
          <cell r="N389">
            <v>80</v>
          </cell>
          <cell r="O389">
            <v>22.8</v>
          </cell>
          <cell r="P389">
            <v>65</v>
          </cell>
          <cell r="Q389">
            <v>80</v>
          </cell>
          <cell r="R389">
            <v>22.8</v>
          </cell>
          <cell r="S389">
            <v>64.8</v>
          </cell>
          <cell r="T389">
            <v>38135</v>
          </cell>
          <cell r="U389" t="str">
            <v>ГРП</v>
          </cell>
          <cell r="W389" t="str">
            <v>ВЦ.ГРП ЮК-10.Сп.Э-80</v>
          </cell>
          <cell r="Y389" t="str">
            <v>+37</v>
          </cell>
          <cell r="Z389">
            <v>2898</v>
          </cell>
          <cell r="AA389">
            <v>73</v>
          </cell>
          <cell r="AB389">
            <v>36717</v>
          </cell>
          <cell r="AC389">
            <v>281</v>
          </cell>
          <cell r="AD389">
            <v>38108</v>
          </cell>
          <cell r="AE389">
            <v>38128</v>
          </cell>
          <cell r="AF389">
            <v>12</v>
          </cell>
          <cell r="AG389" t="e">
            <v>#REF!</v>
          </cell>
          <cell r="AH389" t="e">
            <v>#REF!</v>
          </cell>
        </row>
        <row r="390">
          <cell r="B390">
            <v>5483</v>
          </cell>
          <cell r="C390">
            <v>115</v>
          </cell>
          <cell r="F390" t="str">
            <v>УПНПиКРС</v>
          </cell>
          <cell r="G390">
            <v>250</v>
          </cell>
          <cell r="H390" t="str">
            <v>ШГН</v>
          </cell>
          <cell r="I390" t="str">
            <v>действ.</v>
          </cell>
          <cell r="J390">
            <v>34274</v>
          </cell>
          <cell r="K390">
            <v>20</v>
          </cell>
          <cell r="L390">
            <v>14.7</v>
          </cell>
          <cell r="M390">
            <v>10</v>
          </cell>
          <cell r="N390">
            <v>27</v>
          </cell>
          <cell r="O390">
            <v>19.8</v>
          </cell>
          <cell r="P390">
            <v>10</v>
          </cell>
          <cell r="Q390">
            <v>7</v>
          </cell>
          <cell r="R390">
            <v>5.0999999999999996</v>
          </cell>
          <cell r="S390">
            <v>10.1</v>
          </cell>
          <cell r="T390">
            <v>37444</v>
          </cell>
          <cell r="U390" t="str">
            <v>опт</v>
          </cell>
          <cell r="W390" t="str">
            <v>Оптимизация НВ-44/Э-30</v>
          </cell>
          <cell r="AD390">
            <v>37423</v>
          </cell>
          <cell r="AE390">
            <v>37437</v>
          </cell>
          <cell r="AF390">
            <v>14</v>
          </cell>
          <cell r="AG390">
            <v>-800184</v>
          </cell>
          <cell r="AH390">
            <v>-3619880</v>
          </cell>
        </row>
        <row r="391">
          <cell r="B391">
            <v>5597</v>
          </cell>
          <cell r="C391">
            <v>120</v>
          </cell>
          <cell r="F391" t="str">
            <v>УПНПиКРС</v>
          </cell>
          <cell r="G391">
            <v>270</v>
          </cell>
          <cell r="H391" t="str">
            <v>ЭЦН</v>
          </cell>
          <cell r="I391" t="str">
            <v>бд</v>
          </cell>
          <cell r="J391">
            <v>37266</v>
          </cell>
          <cell r="K391">
            <v>0</v>
          </cell>
          <cell r="L391">
            <v>0</v>
          </cell>
          <cell r="M391">
            <v>0</v>
          </cell>
          <cell r="N391">
            <v>50</v>
          </cell>
          <cell r="O391">
            <v>6.1</v>
          </cell>
          <cell r="P391">
            <v>85</v>
          </cell>
          <cell r="Q391">
            <v>50</v>
          </cell>
          <cell r="R391">
            <v>6.1</v>
          </cell>
          <cell r="S391">
            <v>84.9</v>
          </cell>
          <cell r="T391">
            <v>38132</v>
          </cell>
          <cell r="U391" t="str">
            <v>БДП</v>
          </cell>
          <cell r="W391" t="str">
            <v>Смена вор./Э-50</v>
          </cell>
          <cell r="AE391">
            <v>38125</v>
          </cell>
        </row>
        <row r="392">
          <cell r="B392" t="str">
            <v>5237б</v>
          </cell>
          <cell r="C392">
            <v>141</v>
          </cell>
          <cell r="F392" t="str">
            <v>УПНПиКРС</v>
          </cell>
          <cell r="G392">
            <v>230</v>
          </cell>
          <cell r="H392" t="str">
            <v>ШГН</v>
          </cell>
          <cell r="I392" t="str">
            <v>действ.</v>
          </cell>
          <cell r="K392">
            <v>160</v>
          </cell>
          <cell r="L392">
            <v>11.7</v>
          </cell>
          <cell r="M392">
            <v>91</v>
          </cell>
          <cell r="N392">
            <v>248</v>
          </cell>
          <cell r="O392">
            <v>18.2</v>
          </cell>
          <cell r="P392">
            <v>91</v>
          </cell>
          <cell r="Q392">
            <v>88</v>
          </cell>
          <cell r="R392">
            <v>6.5</v>
          </cell>
          <cell r="S392">
            <v>90.9</v>
          </cell>
          <cell r="T392">
            <v>37912</v>
          </cell>
          <cell r="U392" t="str">
            <v>опт</v>
          </cell>
          <cell r="W392" t="str">
            <v>Оптимизация Э-160/250</v>
          </cell>
          <cell r="AD392">
            <v>37883</v>
          </cell>
          <cell r="AE392">
            <v>37905</v>
          </cell>
        </row>
        <row r="393">
          <cell r="B393" t="str">
            <v>5689б</v>
          </cell>
          <cell r="C393" t="str">
            <v>122б</v>
          </cell>
          <cell r="F393" t="str">
            <v>УПНПиКРС</v>
          </cell>
          <cell r="G393">
            <v>240</v>
          </cell>
          <cell r="H393" t="str">
            <v>ЭЦН</v>
          </cell>
          <cell r="I393" t="str">
            <v>действ.</v>
          </cell>
          <cell r="K393">
            <v>35</v>
          </cell>
          <cell r="L393">
            <v>10</v>
          </cell>
          <cell r="M393">
            <v>64.7</v>
          </cell>
          <cell r="N393">
            <v>50</v>
          </cell>
          <cell r="O393">
            <v>18</v>
          </cell>
          <cell r="P393">
            <v>55.6</v>
          </cell>
          <cell r="Q393">
            <v>15</v>
          </cell>
          <cell r="R393">
            <v>8</v>
          </cell>
          <cell r="S393">
            <v>34.200000000000003</v>
          </cell>
          <cell r="T393">
            <v>38672</v>
          </cell>
          <cell r="U393" t="str">
            <v>опт</v>
          </cell>
          <cell r="W393" t="str">
            <v>Оптимизация Э-125/Э-200</v>
          </cell>
          <cell r="AD393">
            <v>38162</v>
          </cell>
          <cell r="AE393">
            <v>38181</v>
          </cell>
        </row>
        <row r="394">
          <cell r="B394">
            <v>5565</v>
          </cell>
          <cell r="C394">
            <v>120</v>
          </cell>
          <cell r="F394" t="str">
            <v>УПНПиКРС</v>
          </cell>
          <cell r="H394" t="str">
            <v>ЭЦН</v>
          </cell>
          <cell r="I394" t="str">
            <v>действ.</v>
          </cell>
          <cell r="K394">
            <v>92</v>
          </cell>
          <cell r="L394">
            <v>10.5</v>
          </cell>
          <cell r="M394">
            <v>86</v>
          </cell>
          <cell r="N394">
            <v>148</v>
          </cell>
          <cell r="O394">
            <v>16.899999999999999</v>
          </cell>
          <cell r="P394">
            <v>86</v>
          </cell>
          <cell r="Q394">
            <v>56</v>
          </cell>
          <cell r="R394">
            <v>6.4</v>
          </cell>
          <cell r="S394">
            <v>85.9</v>
          </cell>
          <cell r="T394">
            <v>38275</v>
          </cell>
          <cell r="U394" t="str">
            <v>Опт.</v>
          </cell>
          <cell r="W394" t="str">
            <v>Оптимизация Э-80/160</v>
          </cell>
          <cell r="AD394">
            <v>37631</v>
          </cell>
          <cell r="AE394">
            <v>38176</v>
          </cell>
        </row>
        <row r="395">
          <cell r="B395">
            <v>3166</v>
          </cell>
          <cell r="C395">
            <v>54</v>
          </cell>
          <cell r="F395" t="str">
            <v>УПНПиКРС</v>
          </cell>
          <cell r="H395" t="str">
            <v>Ф/Ш</v>
          </cell>
          <cell r="I395" t="str">
            <v>конс.</v>
          </cell>
          <cell r="K395">
            <v>0</v>
          </cell>
          <cell r="L395">
            <v>0</v>
          </cell>
          <cell r="M395">
            <v>0</v>
          </cell>
          <cell r="N395">
            <v>80</v>
          </cell>
          <cell r="O395">
            <v>24.8</v>
          </cell>
          <cell r="P395">
            <v>62</v>
          </cell>
          <cell r="Q395">
            <v>80</v>
          </cell>
          <cell r="R395">
            <v>24.8</v>
          </cell>
          <cell r="S395">
            <v>61.7</v>
          </cell>
          <cell r="T395">
            <v>38188</v>
          </cell>
          <cell r="U395" t="str">
            <v>ГРП</v>
          </cell>
          <cell r="W395" t="str">
            <v>ЛА.ПП.ГРП ЮК-10.Сп.Э-80</v>
          </cell>
          <cell r="AE395">
            <v>38181</v>
          </cell>
        </row>
        <row r="396">
          <cell r="B396">
            <v>2789</v>
          </cell>
          <cell r="C396">
            <v>144</v>
          </cell>
          <cell r="F396" t="str">
            <v>УПНПиКРС</v>
          </cell>
          <cell r="G396">
            <v>285</v>
          </cell>
          <cell r="H396" t="str">
            <v>ШГН</v>
          </cell>
          <cell r="I396" t="str">
            <v>бд</v>
          </cell>
          <cell r="J396">
            <v>34246</v>
          </cell>
          <cell r="K396">
            <v>0</v>
          </cell>
          <cell r="L396">
            <v>0</v>
          </cell>
          <cell r="M396">
            <v>0</v>
          </cell>
          <cell r="N396">
            <v>80</v>
          </cell>
          <cell r="O396">
            <v>24.8</v>
          </cell>
          <cell r="P396">
            <v>62</v>
          </cell>
          <cell r="Q396">
            <v>80</v>
          </cell>
          <cell r="R396">
            <v>24.8</v>
          </cell>
          <cell r="S396">
            <v>61.7</v>
          </cell>
          <cell r="T396">
            <v>38185</v>
          </cell>
          <cell r="U396" t="str">
            <v>ГРП</v>
          </cell>
          <cell r="W396" t="str">
            <v>ЛА.ВЗ.ПП.ГРП ЮК-10.Сп. Э-50</v>
          </cell>
          <cell r="Y396" t="str">
            <v>+44</v>
          </cell>
          <cell r="Z396">
            <v>2860</v>
          </cell>
          <cell r="AA396">
            <v>73</v>
          </cell>
          <cell r="AE396">
            <v>38178</v>
          </cell>
          <cell r="AF396">
            <v>17</v>
          </cell>
        </row>
        <row r="397">
          <cell r="B397">
            <v>5329</v>
          </cell>
          <cell r="C397">
            <v>138</v>
          </cell>
          <cell r="F397" t="str">
            <v>УПНПиКРС</v>
          </cell>
          <cell r="H397" t="str">
            <v>эцн</v>
          </cell>
          <cell r="I397" t="str">
            <v>бд</v>
          </cell>
          <cell r="K397">
            <v>0</v>
          </cell>
          <cell r="L397">
            <v>0</v>
          </cell>
          <cell r="M397">
            <v>0</v>
          </cell>
          <cell r="N397">
            <v>50</v>
          </cell>
          <cell r="O397">
            <v>8.1999999999999993</v>
          </cell>
          <cell r="P397">
            <v>80</v>
          </cell>
          <cell r="Q397">
            <v>50</v>
          </cell>
          <cell r="R397">
            <v>8.1999999999999993</v>
          </cell>
          <cell r="S397">
            <v>79.8</v>
          </cell>
          <cell r="T397">
            <v>38191</v>
          </cell>
          <cell r="U397" t="str">
            <v>БДК</v>
          </cell>
          <cell r="W397" t="str">
            <v>ВЦ.ЛА.ГИС-2.ПП ЮК-10.Сп.ЭЦН</v>
          </cell>
          <cell r="AE397">
            <v>38184</v>
          </cell>
        </row>
        <row r="398">
          <cell r="B398">
            <v>3036</v>
          </cell>
          <cell r="C398">
            <v>67</v>
          </cell>
          <cell r="F398" t="str">
            <v>УПНПиКРС</v>
          </cell>
          <cell r="I398" t="str">
            <v>бд</v>
          </cell>
          <cell r="K398">
            <v>0</v>
          </cell>
          <cell r="L398">
            <v>0</v>
          </cell>
          <cell r="M398">
            <v>0</v>
          </cell>
          <cell r="N398">
            <v>50</v>
          </cell>
          <cell r="O398">
            <v>8.1999999999999993</v>
          </cell>
          <cell r="P398">
            <v>80</v>
          </cell>
          <cell r="Q398">
            <v>50</v>
          </cell>
          <cell r="R398">
            <v>8.1999999999999993</v>
          </cell>
          <cell r="S398">
            <v>79.8</v>
          </cell>
          <cell r="T398">
            <v>7</v>
          </cell>
          <cell r="U398" t="str">
            <v>БДК</v>
          </cell>
          <cell r="W398" t="str">
            <v>ВЦ.ВЗ.ПП ЮК-10.Сп.ЭЦН</v>
          </cell>
        </row>
        <row r="399">
          <cell r="B399">
            <v>2666</v>
          </cell>
          <cell r="C399" t="str">
            <v>145б</v>
          </cell>
          <cell r="F399" t="str">
            <v>ПРС</v>
          </cell>
          <cell r="H399" t="str">
            <v>ШГН</v>
          </cell>
          <cell r="I399" t="str">
            <v>конс.</v>
          </cell>
          <cell r="N399">
            <v>5</v>
          </cell>
          <cell r="O399">
            <v>3</v>
          </cell>
          <cell r="P399">
            <v>26</v>
          </cell>
          <cell r="Q399">
            <v>5</v>
          </cell>
          <cell r="R399">
            <v>3</v>
          </cell>
          <cell r="S399">
            <v>26</v>
          </cell>
          <cell r="T399">
            <v>7</v>
          </cell>
          <cell r="U399" t="str">
            <v>ВЦД</v>
          </cell>
          <cell r="W399" t="str">
            <v>ВЦ "БАРС",см. вор/НВ-32</v>
          </cell>
        </row>
        <row r="400">
          <cell r="B400">
            <v>5466</v>
          </cell>
          <cell r="C400">
            <v>106</v>
          </cell>
          <cell r="F400" t="str">
            <v>УПНПиКРС</v>
          </cell>
          <cell r="G400">
            <v>260</v>
          </cell>
          <cell r="H400" t="str">
            <v>ШГН</v>
          </cell>
          <cell r="I400" t="str">
            <v>конс.</v>
          </cell>
          <cell r="J400">
            <v>34335</v>
          </cell>
          <cell r="K400">
            <v>0</v>
          </cell>
          <cell r="L400">
            <v>0</v>
          </cell>
          <cell r="M400">
            <v>0</v>
          </cell>
          <cell r="N400">
            <v>80</v>
          </cell>
          <cell r="O400">
            <v>22.8</v>
          </cell>
          <cell r="P400">
            <v>65</v>
          </cell>
          <cell r="Q400">
            <v>80</v>
          </cell>
          <cell r="R400">
            <v>22.8</v>
          </cell>
          <cell r="S400">
            <v>64.8</v>
          </cell>
          <cell r="T400">
            <v>38241</v>
          </cell>
          <cell r="U400" t="str">
            <v>ГРП</v>
          </cell>
          <cell r="W400" t="str">
            <v>ВЗ.РИР Э/К.ГРП ЮК-10.Сп.Э-80</v>
          </cell>
          <cell r="AD400">
            <v>38200</v>
          </cell>
          <cell r="AE400">
            <v>38234</v>
          </cell>
        </row>
        <row r="401">
          <cell r="B401">
            <v>3085</v>
          </cell>
          <cell r="C401">
            <v>67</v>
          </cell>
          <cell r="F401" t="str">
            <v>УПНПиКРС</v>
          </cell>
          <cell r="G401">
            <v>260</v>
          </cell>
          <cell r="H401" t="str">
            <v>ШГН</v>
          </cell>
          <cell r="I401" t="str">
            <v>конс.</v>
          </cell>
          <cell r="J401">
            <v>34335</v>
          </cell>
          <cell r="K401">
            <v>0</v>
          </cell>
          <cell r="L401">
            <v>0</v>
          </cell>
          <cell r="M401">
            <v>0</v>
          </cell>
          <cell r="N401">
            <v>30</v>
          </cell>
          <cell r="O401">
            <v>7.3</v>
          </cell>
          <cell r="P401">
            <v>70</v>
          </cell>
          <cell r="Q401">
            <v>30</v>
          </cell>
          <cell r="R401">
            <v>7.3</v>
          </cell>
          <cell r="S401">
            <v>70</v>
          </cell>
          <cell r="T401">
            <v>38244</v>
          </cell>
          <cell r="U401" t="str">
            <v>бдк</v>
          </cell>
          <cell r="W401" t="str">
            <v>ВЦ.ПП ЮК-10.Сп.Э-30</v>
          </cell>
          <cell r="AD401">
            <v>38211</v>
          </cell>
          <cell r="AE401">
            <v>38237</v>
          </cell>
        </row>
        <row r="402">
          <cell r="B402">
            <v>3121</v>
          </cell>
          <cell r="C402">
            <v>54</v>
          </cell>
          <cell r="F402" t="str">
            <v>УПНПиКРС</v>
          </cell>
          <cell r="H402" t="str">
            <v>ФОН</v>
          </cell>
          <cell r="I402" t="str">
            <v>бд</v>
          </cell>
          <cell r="J402">
            <v>34637</v>
          </cell>
          <cell r="K402">
            <v>0</v>
          </cell>
          <cell r="L402">
            <v>0</v>
          </cell>
          <cell r="M402">
            <v>0</v>
          </cell>
          <cell r="N402">
            <v>80</v>
          </cell>
          <cell r="O402">
            <v>25.4</v>
          </cell>
          <cell r="P402">
            <v>61</v>
          </cell>
          <cell r="Q402">
            <v>80</v>
          </cell>
          <cell r="R402">
            <v>25.4</v>
          </cell>
          <cell r="S402">
            <v>60.8</v>
          </cell>
          <cell r="T402">
            <v>38278</v>
          </cell>
          <cell r="U402" t="str">
            <v>ГРП</v>
          </cell>
          <cell r="W402" t="str">
            <v>ЛА (извл.НКТ),ПР к ГПР и ГПР ЮК-10,осв,сп.Э-80</v>
          </cell>
          <cell r="AE402">
            <v>38272</v>
          </cell>
        </row>
        <row r="403">
          <cell r="B403">
            <v>2985</v>
          </cell>
          <cell r="C403">
            <v>45</v>
          </cell>
          <cell r="F403" t="str">
            <v>УПНПиКРС</v>
          </cell>
          <cell r="H403" t="str">
            <v>ЭЦН</v>
          </cell>
          <cell r="I403" t="str">
            <v>действ.</v>
          </cell>
          <cell r="J403">
            <v>38237</v>
          </cell>
          <cell r="K403">
            <v>12</v>
          </cell>
          <cell r="L403">
            <v>5.9</v>
          </cell>
          <cell r="M403">
            <v>40</v>
          </cell>
          <cell r="N403">
            <v>80</v>
          </cell>
          <cell r="O403">
            <v>30</v>
          </cell>
          <cell r="P403">
            <v>54</v>
          </cell>
          <cell r="Q403">
            <v>68</v>
          </cell>
          <cell r="R403">
            <v>24.1</v>
          </cell>
          <cell r="S403">
            <v>56.2</v>
          </cell>
          <cell r="T403">
            <v>38280</v>
          </cell>
          <cell r="U403" t="str">
            <v>ГРП</v>
          </cell>
          <cell r="W403" t="str">
            <v>ВЦ,пр к ГРП и ГРП ЮК-10,осв.,сп.Э-80</v>
          </cell>
          <cell r="AE403">
            <v>14</v>
          </cell>
        </row>
        <row r="404">
          <cell r="B404">
            <v>3211</v>
          </cell>
          <cell r="C404">
            <v>70</v>
          </cell>
          <cell r="F404" t="str">
            <v>УПНПиКРС</v>
          </cell>
          <cell r="H404" t="str">
            <v>ФОН</v>
          </cell>
          <cell r="I404" t="str">
            <v>конс.</v>
          </cell>
          <cell r="J404">
            <v>34883</v>
          </cell>
          <cell r="K404">
            <v>0</v>
          </cell>
          <cell r="L404">
            <v>0</v>
          </cell>
          <cell r="M404">
            <v>0</v>
          </cell>
          <cell r="N404">
            <v>30</v>
          </cell>
          <cell r="O404">
            <v>7.3</v>
          </cell>
          <cell r="P404">
            <v>70</v>
          </cell>
          <cell r="Q404">
            <v>30</v>
          </cell>
          <cell r="R404">
            <v>7.3</v>
          </cell>
          <cell r="S404">
            <v>70</v>
          </cell>
          <cell r="T404">
            <v>38281</v>
          </cell>
          <cell r="U404" t="str">
            <v>бдк</v>
          </cell>
          <cell r="W404" t="str">
            <v>ВЦ,ГИС-2,ИР ЮК-10,сп.Э-30</v>
          </cell>
          <cell r="AE404">
            <v>38275</v>
          </cell>
        </row>
        <row r="405">
          <cell r="B405">
            <v>3122</v>
          </cell>
          <cell r="C405">
            <v>54</v>
          </cell>
          <cell r="F405" t="str">
            <v>УПНПиКРС</v>
          </cell>
          <cell r="H405" t="str">
            <v>Ф/Э</v>
          </cell>
          <cell r="I405" t="str">
            <v>конс.</v>
          </cell>
          <cell r="J405">
            <v>34182</v>
          </cell>
          <cell r="K405">
            <v>0</v>
          </cell>
          <cell r="L405">
            <v>0</v>
          </cell>
          <cell r="M405">
            <v>0</v>
          </cell>
          <cell r="N405">
            <v>50</v>
          </cell>
          <cell r="O405">
            <v>8.1999999999999993</v>
          </cell>
          <cell r="P405">
            <v>80</v>
          </cell>
          <cell r="Q405">
            <v>50</v>
          </cell>
          <cell r="R405">
            <v>8.1999999999999993</v>
          </cell>
          <cell r="S405">
            <v>79.8</v>
          </cell>
          <cell r="T405">
            <v>38283</v>
          </cell>
          <cell r="U405" t="str">
            <v>бдк</v>
          </cell>
          <cell r="W405" t="str">
            <v>ВЦ,ПП ЮК-10,сп.Э-50</v>
          </cell>
          <cell r="AE405">
            <v>38277</v>
          </cell>
        </row>
        <row r="406">
          <cell r="B406">
            <v>3126</v>
          </cell>
          <cell r="C406">
            <v>55</v>
          </cell>
          <cell r="F406" t="str">
            <v>УПНПиКРС</v>
          </cell>
          <cell r="H406" t="str">
            <v>ФОН</v>
          </cell>
          <cell r="I406" t="str">
            <v>конс.</v>
          </cell>
          <cell r="J406">
            <v>34304</v>
          </cell>
          <cell r="K406">
            <v>0</v>
          </cell>
          <cell r="L406">
            <v>0</v>
          </cell>
          <cell r="M406">
            <v>0</v>
          </cell>
          <cell r="N406">
            <v>80</v>
          </cell>
          <cell r="O406">
            <v>26.1</v>
          </cell>
          <cell r="P406">
            <v>60</v>
          </cell>
          <cell r="Q406">
            <v>80</v>
          </cell>
          <cell r="R406">
            <v>26.1</v>
          </cell>
          <cell r="S406">
            <v>59.7</v>
          </cell>
          <cell r="T406">
            <v>38289</v>
          </cell>
          <cell r="U406" t="str">
            <v>ГРП</v>
          </cell>
          <cell r="W406" t="str">
            <v>ВЦ,ПР и ГРП ЮК-11,осв.,сп.Э-80</v>
          </cell>
          <cell r="AE406">
            <v>38283</v>
          </cell>
        </row>
        <row r="407">
          <cell r="B407">
            <v>3175</v>
          </cell>
          <cell r="C407">
            <v>58</v>
          </cell>
          <cell r="F407" t="str">
            <v>УПНПиКРС</v>
          </cell>
          <cell r="H407" t="str">
            <v>ШГН</v>
          </cell>
          <cell r="I407" t="str">
            <v>конс.</v>
          </cell>
          <cell r="J407">
            <v>33848</v>
          </cell>
          <cell r="K407">
            <v>0</v>
          </cell>
          <cell r="L407">
            <v>0</v>
          </cell>
          <cell r="M407">
            <v>0</v>
          </cell>
          <cell r="N407">
            <v>80</v>
          </cell>
          <cell r="O407">
            <v>25.4</v>
          </cell>
          <cell r="P407">
            <v>61</v>
          </cell>
          <cell r="Q407">
            <v>80</v>
          </cell>
          <cell r="R407">
            <v>25.4</v>
          </cell>
          <cell r="S407">
            <v>60.8</v>
          </cell>
          <cell r="T407">
            <v>38273</v>
          </cell>
          <cell r="U407" t="str">
            <v>ГРП</v>
          </cell>
          <cell r="W407" t="str">
            <v>ВЦ,ГИС-2,ГРП ЮК-11,осв.,сп.Э-30</v>
          </cell>
          <cell r="AE407">
            <v>38267</v>
          </cell>
        </row>
        <row r="408">
          <cell r="B408">
            <v>5301</v>
          </cell>
          <cell r="C408">
            <v>137</v>
          </cell>
          <cell r="F408" t="str">
            <v>УПНПиКРС</v>
          </cell>
          <cell r="H408" t="str">
            <v>ЭЦН</v>
          </cell>
          <cell r="I408" t="str">
            <v>бд</v>
          </cell>
          <cell r="J408">
            <v>35873</v>
          </cell>
          <cell r="K408">
            <v>0</v>
          </cell>
          <cell r="L408">
            <v>0</v>
          </cell>
          <cell r="M408">
            <v>0</v>
          </cell>
          <cell r="N408">
            <v>50</v>
          </cell>
          <cell r="O408">
            <v>8.1999999999999993</v>
          </cell>
          <cell r="P408">
            <v>80</v>
          </cell>
          <cell r="Q408">
            <v>50</v>
          </cell>
          <cell r="R408">
            <v>8.1999999999999993</v>
          </cell>
          <cell r="S408">
            <v>79.8</v>
          </cell>
          <cell r="T408">
            <v>38266</v>
          </cell>
          <cell r="U408" t="str">
            <v>бдк</v>
          </cell>
          <cell r="W408" t="str">
            <v>ВЦ,ВЗ (изв.ЭЦН ),ГИС-2,ИР ЮК-11,ПП ЮК-10,сп.Э-50</v>
          </cell>
          <cell r="AE408">
            <v>38260</v>
          </cell>
        </row>
        <row r="409">
          <cell r="B409">
            <v>5456</v>
          </cell>
          <cell r="C409">
            <v>102</v>
          </cell>
          <cell r="F409" t="str">
            <v>УПНПиКРС</v>
          </cell>
          <cell r="H409" t="str">
            <v>ЭЦН</v>
          </cell>
          <cell r="I409" t="str">
            <v>бд</v>
          </cell>
          <cell r="J409">
            <v>35920</v>
          </cell>
          <cell r="K409">
            <v>0</v>
          </cell>
          <cell r="L409">
            <v>0</v>
          </cell>
          <cell r="M409">
            <v>0</v>
          </cell>
          <cell r="N409">
            <v>50</v>
          </cell>
          <cell r="O409">
            <v>7.3</v>
          </cell>
          <cell r="P409">
            <v>82</v>
          </cell>
          <cell r="Q409">
            <v>50</v>
          </cell>
          <cell r="R409">
            <v>7.3</v>
          </cell>
          <cell r="S409">
            <v>82</v>
          </cell>
          <cell r="T409">
            <v>38271</v>
          </cell>
          <cell r="U409" t="str">
            <v>бдк</v>
          </cell>
          <cell r="W409" t="str">
            <v>ВЦ,ВЗ,ПП ЮК-10,сп.Э-50</v>
          </cell>
          <cell r="AE409">
            <v>38265</v>
          </cell>
        </row>
        <row r="410">
          <cell r="B410">
            <v>3084</v>
          </cell>
          <cell r="C410">
            <v>67</v>
          </cell>
          <cell r="F410" t="str">
            <v>УПНПиКРС</v>
          </cell>
          <cell r="H410" t="str">
            <v>ШГН</v>
          </cell>
          <cell r="I410" t="str">
            <v>бд</v>
          </cell>
          <cell r="J410">
            <v>34303</v>
          </cell>
          <cell r="K410">
            <v>0</v>
          </cell>
          <cell r="L410">
            <v>0</v>
          </cell>
          <cell r="M410">
            <v>0</v>
          </cell>
          <cell r="N410">
            <v>30</v>
          </cell>
          <cell r="O410">
            <v>8.6</v>
          </cell>
          <cell r="P410">
            <v>65</v>
          </cell>
          <cell r="Q410">
            <v>30</v>
          </cell>
          <cell r="R410">
            <v>8.6</v>
          </cell>
          <cell r="S410">
            <v>64.599999999999994</v>
          </cell>
          <cell r="T410">
            <v>38278</v>
          </cell>
          <cell r="U410" t="str">
            <v>бдк</v>
          </cell>
          <cell r="W410" t="str">
            <v>ВЦ,ЛА (извл.ШГН,НКТ ),ПП ЮК-10,сп.Э-30</v>
          </cell>
          <cell r="AE410">
            <v>38272</v>
          </cell>
        </row>
        <row r="411">
          <cell r="B411">
            <v>3072</v>
          </cell>
          <cell r="C411">
            <v>53</v>
          </cell>
          <cell r="F411" t="str">
            <v>УПНПиКРС</v>
          </cell>
          <cell r="H411" t="str">
            <v>Ф/Э</v>
          </cell>
          <cell r="I411" t="str">
            <v>конс.</v>
          </cell>
          <cell r="J411">
            <v>33848</v>
          </cell>
          <cell r="K411">
            <v>0</v>
          </cell>
          <cell r="L411">
            <v>0</v>
          </cell>
          <cell r="M411">
            <v>0</v>
          </cell>
          <cell r="N411">
            <v>30</v>
          </cell>
          <cell r="O411">
            <v>7.3</v>
          </cell>
          <cell r="P411">
            <v>70</v>
          </cell>
          <cell r="Q411">
            <v>30</v>
          </cell>
          <cell r="R411">
            <v>7.3</v>
          </cell>
          <cell r="S411">
            <v>70</v>
          </cell>
          <cell r="T411">
            <v>38283</v>
          </cell>
          <cell r="U411" t="str">
            <v>бдк</v>
          </cell>
          <cell r="W411" t="str">
            <v>ВЦ,ПП ЮК-10,сп.Э-30</v>
          </cell>
          <cell r="AE411">
            <v>38277</v>
          </cell>
        </row>
        <row r="413">
          <cell r="B413">
            <v>2903</v>
          </cell>
          <cell r="C413">
            <v>131</v>
          </cell>
          <cell r="F413" t="str">
            <v>УПНПиКРС</v>
          </cell>
          <cell r="H413" t="str">
            <v>нагнет.</v>
          </cell>
          <cell r="I413" t="str">
            <v>конс.</v>
          </cell>
          <cell r="J413">
            <v>34305</v>
          </cell>
          <cell r="N413">
            <v>200</v>
          </cell>
          <cell r="Q413">
            <v>200</v>
          </cell>
          <cell r="T413">
            <v>38286</v>
          </cell>
          <cell r="U413" t="str">
            <v>нг</v>
          </cell>
          <cell r="W413" t="str">
            <v>ОТСК,ГИС-3,ИР ЮК-11,ОПЗ,сп.пакера (ППД )</v>
          </cell>
          <cell r="AE413">
            <v>38283</v>
          </cell>
        </row>
        <row r="414">
          <cell r="B414">
            <v>3026</v>
          </cell>
          <cell r="C414">
            <v>53</v>
          </cell>
          <cell r="F414" t="str">
            <v>УПНПиКРС</v>
          </cell>
          <cell r="H414" t="str">
            <v>ШГН</v>
          </cell>
          <cell r="I414" t="str">
            <v>конс.</v>
          </cell>
          <cell r="J414">
            <v>34493</v>
          </cell>
          <cell r="K414">
            <v>0</v>
          </cell>
          <cell r="L414">
            <v>0</v>
          </cell>
          <cell r="M414">
            <v>0</v>
          </cell>
          <cell r="N414">
            <v>50</v>
          </cell>
          <cell r="O414">
            <v>8.1999999999999993</v>
          </cell>
          <cell r="P414">
            <v>80</v>
          </cell>
          <cell r="Q414">
            <v>50</v>
          </cell>
          <cell r="R414">
            <v>8.1999999999999993</v>
          </cell>
          <cell r="S414">
            <v>79.8</v>
          </cell>
          <cell r="T414">
            <v>38275</v>
          </cell>
          <cell r="U414" t="str">
            <v>бдк</v>
          </cell>
          <cell r="W414" t="str">
            <v>ВЦ,ПП ЮК-10,сп.Э-50</v>
          </cell>
          <cell r="AE414">
            <v>38269</v>
          </cell>
        </row>
        <row r="415">
          <cell r="B415">
            <v>2919</v>
          </cell>
          <cell r="C415">
            <v>43</v>
          </cell>
          <cell r="F415" t="str">
            <v>ПРС</v>
          </cell>
          <cell r="H415" t="str">
            <v>ШГН</v>
          </cell>
          <cell r="I415" t="str">
            <v>бд</v>
          </cell>
          <cell r="J415">
            <v>36846</v>
          </cell>
          <cell r="K415">
            <v>0</v>
          </cell>
          <cell r="L415">
            <v>0</v>
          </cell>
          <cell r="M415">
            <v>0</v>
          </cell>
          <cell r="N415">
            <v>5</v>
          </cell>
          <cell r="O415">
            <v>3</v>
          </cell>
          <cell r="P415">
            <v>26</v>
          </cell>
          <cell r="Q415">
            <v>5</v>
          </cell>
          <cell r="R415">
            <v>3</v>
          </cell>
          <cell r="S415">
            <v>26</v>
          </cell>
          <cell r="T415">
            <v>38274</v>
          </cell>
          <cell r="U415" t="str">
            <v>ВЦД</v>
          </cell>
          <cell r="W415" t="str">
            <v>ВЦ( "Барс-МК"),смена НВ-32</v>
          </cell>
          <cell r="AE415">
            <v>38268</v>
          </cell>
        </row>
        <row r="416">
          <cell r="B416">
            <v>2532</v>
          </cell>
          <cell r="C416" t="str">
            <v>36б</v>
          </cell>
          <cell r="F416" t="str">
            <v>НвБН</v>
          </cell>
          <cell r="G416">
            <v>260</v>
          </cell>
          <cell r="H416" t="str">
            <v>ЭЦН</v>
          </cell>
          <cell r="I416" t="str">
            <v>нов</v>
          </cell>
          <cell r="K416">
            <v>0</v>
          </cell>
          <cell r="L416">
            <v>0</v>
          </cell>
          <cell r="M416">
            <v>0</v>
          </cell>
          <cell r="N416">
            <v>80</v>
          </cell>
          <cell r="O416">
            <v>46.9</v>
          </cell>
          <cell r="P416">
            <v>28</v>
          </cell>
          <cell r="Q416">
            <v>80</v>
          </cell>
          <cell r="R416">
            <v>46.9</v>
          </cell>
          <cell r="S416">
            <v>28</v>
          </cell>
          <cell r="T416">
            <v>38265</v>
          </cell>
          <cell r="U416" t="str">
            <v>новая</v>
          </cell>
          <cell r="W416" t="str">
            <v>бурение,ГРП ЮК-10,осв., сп.Э-80</v>
          </cell>
        </row>
        <row r="417">
          <cell r="B417">
            <v>2443</v>
          </cell>
          <cell r="C417" t="str">
            <v>36б</v>
          </cell>
          <cell r="F417" t="str">
            <v>НвБН</v>
          </cell>
          <cell r="G417">
            <v>260</v>
          </cell>
          <cell r="H417" t="str">
            <v>ЭЦН</v>
          </cell>
          <cell r="I417" t="str">
            <v>нов</v>
          </cell>
          <cell r="K417">
            <v>0</v>
          </cell>
          <cell r="L417">
            <v>0</v>
          </cell>
          <cell r="M417">
            <v>0</v>
          </cell>
          <cell r="N417">
            <v>80</v>
          </cell>
          <cell r="O417">
            <v>46.9</v>
          </cell>
          <cell r="P417">
            <v>28</v>
          </cell>
          <cell r="Q417">
            <v>80</v>
          </cell>
          <cell r="R417">
            <v>46.9</v>
          </cell>
          <cell r="S417">
            <v>28</v>
          </cell>
          <cell r="T417">
            <v>38272</v>
          </cell>
          <cell r="U417" t="str">
            <v>новая</v>
          </cell>
          <cell r="W417" t="str">
            <v>бурение,ГРП ЮК-10,осв., сп.Э-80</v>
          </cell>
        </row>
        <row r="418">
          <cell r="B418">
            <v>2510</v>
          </cell>
          <cell r="C418" t="str">
            <v>36б</v>
          </cell>
          <cell r="F418" t="str">
            <v>НвБН</v>
          </cell>
          <cell r="G418">
            <v>260</v>
          </cell>
          <cell r="H418" t="str">
            <v>ЭЦН</v>
          </cell>
          <cell r="I418" t="str">
            <v>нов</v>
          </cell>
          <cell r="N418">
            <v>50</v>
          </cell>
          <cell r="O418">
            <v>30.6</v>
          </cell>
          <cell r="P418">
            <v>25</v>
          </cell>
          <cell r="Q418">
            <v>50</v>
          </cell>
          <cell r="R418">
            <v>30.6</v>
          </cell>
          <cell r="S418">
            <v>25</v>
          </cell>
          <cell r="T418">
            <v>38281</v>
          </cell>
          <cell r="U418" t="str">
            <v>новая</v>
          </cell>
          <cell r="W418" t="str">
            <v>бурение,ГРП ЮК-10,осв., сп.Э-125</v>
          </cell>
        </row>
        <row r="419">
          <cell r="B419">
            <v>2421</v>
          </cell>
          <cell r="C419">
            <v>37</v>
          </cell>
          <cell r="F419" t="str">
            <v>НвБН</v>
          </cell>
          <cell r="G419">
            <v>260</v>
          </cell>
          <cell r="H419" t="str">
            <v>ЭЦН</v>
          </cell>
          <cell r="I419" t="str">
            <v>нов</v>
          </cell>
          <cell r="N419">
            <v>80</v>
          </cell>
          <cell r="O419">
            <v>46.9</v>
          </cell>
          <cell r="P419">
            <v>28</v>
          </cell>
          <cell r="Q419">
            <v>80</v>
          </cell>
          <cell r="R419">
            <v>46.9</v>
          </cell>
          <cell r="S419">
            <v>28</v>
          </cell>
          <cell r="T419">
            <v>38297</v>
          </cell>
          <cell r="U419" t="str">
            <v>новая</v>
          </cell>
          <cell r="W419" t="str">
            <v>бурение,ГРП ЮК-10,осв., сп.Э-80</v>
          </cell>
        </row>
        <row r="420">
          <cell r="B420">
            <v>2574</v>
          </cell>
          <cell r="C420" t="str">
            <v>36б</v>
          </cell>
          <cell r="F420" t="str">
            <v>НвБН</v>
          </cell>
          <cell r="G420">
            <v>260</v>
          </cell>
          <cell r="H420" t="str">
            <v>ЭЦН</v>
          </cell>
          <cell r="I420" t="str">
            <v>нов</v>
          </cell>
          <cell r="N420">
            <v>80</v>
          </cell>
          <cell r="O420">
            <v>46.9</v>
          </cell>
          <cell r="P420">
            <v>28</v>
          </cell>
          <cell r="Q420">
            <v>80</v>
          </cell>
          <cell r="R420">
            <v>46.9</v>
          </cell>
          <cell r="S420">
            <v>28</v>
          </cell>
          <cell r="T420">
            <v>38301</v>
          </cell>
          <cell r="U420" t="str">
            <v>новая</v>
          </cell>
          <cell r="W420" t="str">
            <v>бурение,ГРП ЮК-10,осв., сп.Э-80</v>
          </cell>
        </row>
        <row r="421">
          <cell r="B421">
            <v>5678</v>
          </cell>
          <cell r="C421">
            <v>125</v>
          </cell>
          <cell r="F421" t="str">
            <v>УПНПиКРС</v>
          </cell>
          <cell r="H421" t="str">
            <v>нагнет.</v>
          </cell>
          <cell r="I421" t="str">
            <v>бд</v>
          </cell>
          <cell r="N421">
            <v>150</v>
          </cell>
          <cell r="Q421">
            <v>150</v>
          </cell>
          <cell r="T421">
            <v>38212</v>
          </cell>
          <cell r="U421" t="str">
            <v>нг</v>
          </cell>
          <cell r="W421" t="str">
            <v>РНО,ВЗ,ОТСК,ПП,ОПЗ,ГИС-3,сп.пак.</v>
          </cell>
        </row>
        <row r="422">
          <cell r="B422">
            <v>3094</v>
          </cell>
          <cell r="C422" t="str">
            <v>44б</v>
          </cell>
          <cell r="F422" t="str">
            <v>Уват УПНПиКРС</v>
          </cell>
          <cell r="G422">
            <v>265</v>
          </cell>
          <cell r="H422" t="str">
            <v>ШГН</v>
          </cell>
          <cell r="I422" t="str">
            <v>бд</v>
          </cell>
          <cell r="K422">
            <v>0</v>
          </cell>
          <cell r="L422">
            <v>0</v>
          </cell>
          <cell r="M422">
            <v>0</v>
          </cell>
          <cell r="N422">
            <v>15</v>
          </cell>
          <cell r="O422">
            <v>10</v>
          </cell>
          <cell r="P422">
            <v>18</v>
          </cell>
          <cell r="Q422">
            <v>15</v>
          </cell>
          <cell r="R422">
            <v>10</v>
          </cell>
          <cell r="S422">
            <v>17.7</v>
          </cell>
          <cell r="T422">
            <v>37888</v>
          </cell>
          <cell r="U422" t="str">
            <v>ВЦ</v>
          </cell>
          <cell r="V422">
            <v>1</v>
          </cell>
          <cell r="W422" t="str">
            <v>ВЦ.ВЗ.ПП.ОПЗ (МШУ)</v>
          </cell>
          <cell r="AD422">
            <v>37865</v>
          </cell>
          <cell r="AE422">
            <v>37881</v>
          </cell>
        </row>
        <row r="423">
          <cell r="B423">
            <v>2772</v>
          </cell>
          <cell r="C423">
            <v>165</v>
          </cell>
          <cell r="F423" t="str">
            <v>ПРС</v>
          </cell>
          <cell r="G423">
            <v>270</v>
          </cell>
          <cell r="H423" t="str">
            <v>ШГН</v>
          </cell>
          <cell r="I423" t="str">
            <v>бд</v>
          </cell>
          <cell r="J423">
            <v>37712</v>
          </cell>
          <cell r="K423">
            <v>0</v>
          </cell>
          <cell r="L423">
            <v>0</v>
          </cell>
          <cell r="M423">
            <v>0</v>
          </cell>
          <cell r="N423">
            <v>8</v>
          </cell>
          <cell r="O423">
            <v>3.9</v>
          </cell>
          <cell r="P423">
            <v>40</v>
          </cell>
          <cell r="Q423">
            <v>8</v>
          </cell>
          <cell r="R423">
            <v>3.9</v>
          </cell>
          <cell r="S423">
            <v>39.799999999999997</v>
          </cell>
          <cell r="T423">
            <v>37909</v>
          </cell>
          <cell r="U423" t="str">
            <v>вцд</v>
          </cell>
          <cell r="W423" t="str">
            <v>ВЦ "Э-пр",спуск ШГН</v>
          </cell>
          <cell r="AE423">
            <v>37902</v>
          </cell>
        </row>
        <row r="424">
          <cell r="B424">
            <v>11084</v>
          </cell>
          <cell r="C424" t="str">
            <v>308б</v>
          </cell>
          <cell r="F424" t="str">
            <v>ПРС</v>
          </cell>
          <cell r="G424">
            <v>240</v>
          </cell>
          <cell r="H424" t="str">
            <v>фон</v>
          </cell>
          <cell r="I424" t="str">
            <v>бд</v>
          </cell>
          <cell r="J424">
            <v>34455</v>
          </cell>
          <cell r="K424">
            <v>0</v>
          </cell>
          <cell r="L424">
            <v>0</v>
          </cell>
          <cell r="M424">
            <v>0</v>
          </cell>
          <cell r="N424">
            <v>50</v>
          </cell>
          <cell r="O424">
            <v>4.0999999999999996</v>
          </cell>
          <cell r="P424">
            <v>90</v>
          </cell>
          <cell r="Q424">
            <v>50</v>
          </cell>
          <cell r="R424">
            <v>4.0999999999999996</v>
          </cell>
          <cell r="S424">
            <v>89.9</v>
          </cell>
          <cell r="T424">
            <v>7</v>
          </cell>
          <cell r="U424" t="str">
            <v>мд</v>
          </cell>
          <cell r="W424" t="str">
            <v>ВЦ КОПС,см.вор/Э-50</v>
          </cell>
        </row>
        <row r="425">
          <cell r="B425">
            <v>5531</v>
          </cell>
          <cell r="C425" t="str">
            <v>199б</v>
          </cell>
          <cell r="F425" t="str">
            <v>УПНПиКРС</v>
          </cell>
          <cell r="G425">
            <v>270</v>
          </cell>
          <cell r="H425" t="str">
            <v>ЭЦН</v>
          </cell>
          <cell r="I425" t="str">
            <v>бд</v>
          </cell>
          <cell r="J425">
            <v>34698</v>
          </cell>
          <cell r="K425">
            <v>0</v>
          </cell>
          <cell r="L425">
            <v>0</v>
          </cell>
          <cell r="M425">
            <v>0</v>
          </cell>
          <cell r="N425">
            <v>50</v>
          </cell>
          <cell r="O425">
            <v>6.1</v>
          </cell>
          <cell r="P425">
            <v>85</v>
          </cell>
          <cell r="Q425">
            <v>50</v>
          </cell>
          <cell r="R425">
            <v>6.1</v>
          </cell>
          <cell r="S425">
            <v>84.9</v>
          </cell>
          <cell r="T425">
            <v>37915</v>
          </cell>
          <cell r="U425" t="str">
            <v>ВЦ</v>
          </cell>
          <cell r="W425" t="str">
            <v>ВЦ,ВЗ,ГИС-2,сп.Э-50</v>
          </cell>
          <cell r="AD425">
            <v>37886</v>
          </cell>
          <cell r="AE425">
            <v>37908</v>
          </cell>
        </row>
        <row r="426">
          <cell r="B426">
            <v>11097</v>
          </cell>
          <cell r="C426" t="str">
            <v>308б</v>
          </cell>
          <cell r="F426" t="str">
            <v>ПРС</v>
          </cell>
          <cell r="G426">
            <v>240</v>
          </cell>
          <cell r="H426" t="str">
            <v>Фон</v>
          </cell>
          <cell r="I426" t="str">
            <v>конс.</v>
          </cell>
          <cell r="J426">
            <v>34700</v>
          </cell>
          <cell r="K426">
            <v>0</v>
          </cell>
          <cell r="L426">
            <v>0</v>
          </cell>
          <cell r="M426">
            <v>0</v>
          </cell>
          <cell r="N426">
            <v>30</v>
          </cell>
          <cell r="O426">
            <v>3.8</v>
          </cell>
          <cell r="P426">
            <v>84.6</v>
          </cell>
          <cell r="Q426">
            <v>30</v>
          </cell>
          <cell r="R426">
            <v>3.8</v>
          </cell>
          <cell r="S426">
            <v>80</v>
          </cell>
          <cell r="T426">
            <v>37837</v>
          </cell>
          <cell r="U426" t="str">
            <v>ВЦД</v>
          </cell>
          <cell r="W426" t="str">
            <v>ВЦ "Электропрогрев"</v>
          </cell>
          <cell r="AD426">
            <v>37824</v>
          </cell>
          <cell r="AE426">
            <v>37830</v>
          </cell>
        </row>
        <row r="427">
          <cell r="B427">
            <v>5426</v>
          </cell>
          <cell r="C427">
            <v>102</v>
          </cell>
          <cell r="F427" t="str">
            <v>КРС</v>
          </cell>
          <cell r="H427" t="str">
            <v>нагнет.</v>
          </cell>
          <cell r="I427" t="str">
            <v>бд</v>
          </cell>
          <cell r="J427">
            <v>35525</v>
          </cell>
          <cell r="K427">
            <v>0</v>
          </cell>
          <cell r="L427">
            <v>0</v>
          </cell>
          <cell r="M427">
            <v>0</v>
          </cell>
          <cell r="N427">
            <v>40</v>
          </cell>
          <cell r="O427">
            <v>25.1</v>
          </cell>
          <cell r="P427">
            <v>23</v>
          </cell>
          <cell r="Q427">
            <v>40</v>
          </cell>
          <cell r="R427">
            <v>25.1</v>
          </cell>
          <cell r="S427">
            <v>23</v>
          </cell>
          <cell r="T427">
            <v>3</v>
          </cell>
          <cell r="U427" t="str">
            <v>ГРП</v>
          </cell>
          <cell r="W427" t="str">
            <v>ИР ЮК-10,ДП ЮК-2,подг.к ГРП ЮК2-9,осв.</v>
          </cell>
        </row>
        <row r="428">
          <cell r="B428">
            <v>5819</v>
          </cell>
          <cell r="C428">
            <v>142</v>
          </cell>
          <cell r="F428" t="str">
            <v>УПНПиКРС</v>
          </cell>
          <cell r="G428">
            <v>285</v>
          </cell>
          <cell r="H428" t="str">
            <v>нагнет.</v>
          </cell>
          <cell r="I428" t="str">
            <v>бд</v>
          </cell>
          <cell r="J428">
            <v>37084</v>
          </cell>
          <cell r="N428">
            <v>150</v>
          </cell>
          <cell r="Q428">
            <v>150</v>
          </cell>
          <cell r="T428">
            <v>37596</v>
          </cell>
          <cell r="U428" t="str">
            <v>нг</v>
          </cell>
          <cell r="W428" t="str">
            <v>Ревизия пакера</v>
          </cell>
          <cell r="AD428">
            <v>37586</v>
          </cell>
          <cell r="AE428">
            <v>37593</v>
          </cell>
        </row>
        <row r="429">
          <cell r="B429">
            <v>5821</v>
          </cell>
          <cell r="C429">
            <v>167</v>
          </cell>
          <cell r="F429" t="str">
            <v>БлКРС</v>
          </cell>
          <cell r="G429">
            <v>300</v>
          </cell>
          <cell r="H429" t="str">
            <v>нагнет.</v>
          </cell>
          <cell r="I429" t="str">
            <v>бд</v>
          </cell>
          <cell r="J429">
            <v>37453</v>
          </cell>
          <cell r="N429">
            <v>190</v>
          </cell>
          <cell r="Q429">
            <v>190</v>
          </cell>
          <cell r="T429" t="e">
            <v>#REF!</v>
          </cell>
          <cell r="U429" t="str">
            <v>нг</v>
          </cell>
          <cell r="W429" t="str">
            <v>ОТСК, ревизия пакера</v>
          </cell>
          <cell r="Z429" t="str">
            <v>2765(24)</v>
          </cell>
          <cell r="AA429">
            <v>73</v>
          </cell>
          <cell r="AB429">
            <v>36008</v>
          </cell>
          <cell r="AD429" t="e">
            <v>#REF!</v>
          </cell>
          <cell r="AE429" t="e">
            <v>#REF!</v>
          </cell>
          <cell r="AF429">
            <v>9</v>
          </cell>
        </row>
        <row r="430">
          <cell r="B430">
            <v>5807</v>
          </cell>
          <cell r="C430" t="str">
            <v>166б</v>
          </cell>
          <cell r="F430" t="str">
            <v>БлКРС</v>
          </cell>
          <cell r="G430">
            <v>290</v>
          </cell>
          <cell r="H430" t="str">
            <v>нагнет.</v>
          </cell>
          <cell r="I430" t="str">
            <v>бд</v>
          </cell>
          <cell r="J430">
            <v>37474</v>
          </cell>
          <cell r="N430">
            <v>150</v>
          </cell>
          <cell r="Q430">
            <v>150</v>
          </cell>
          <cell r="T430" t="e">
            <v>#REF!</v>
          </cell>
          <cell r="U430" t="str">
            <v>нг</v>
          </cell>
          <cell r="W430" t="str">
            <v>Ревизия пакера</v>
          </cell>
          <cell r="Z430" t="str">
            <v>2732(0,5)</v>
          </cell>
          <cell r="AA430">
            <v>73</v>
          </cell>
          <cell r="AB430">
            <v>37226</v>
          </cell>
          <cell r="AD430" t="e">
            <v>#REF!</v>
          </cell>
          <cell r="AE430" t="e">
            <v>#REF!</v>
          </cell>
          <cell r="AF430">
            <v>6</v>
          </cell>
        </row>
        <row r="431">
          <cell r="B431">
            <v>5800</v>
          </cell>
          <cell r="C431">
            <v>141</v>
          </cell>
          <cell r="F431" t="str">
            <v>БлКРС</v>
          </cell>
          <cell r="G431">
            <v>295</v>
          </cell>
          <cell r="H431" t="str">
            <v>нагнет.</v>
          </cell>
          <cell r="I431" t="str">
            <v>бд</v>
          </cell>
          <cell r="J431">
            <v>37474</v>
          </cell>
          <cell r="N431">
            <v>190</v>
          </cell>
          <cell r="Q431">
            <v>190</v>
          </cell>
          <cell r="T431" t="e">
            <v>#REF!</v>
          </cell>
          <cell r="U431" t="str">
            <v>нг</v>
          </cell>
          <cell r="W431" t="str">
            <v>Ревизия пакера</v>
          </cell>
          <cell r="Z431" t="str">
            <v>3003(42)</v>
          </cell>
          <cell r="AA431">
            <v>73</v>
          </cell>
          <cell r="AB431">
            <v>37347</v>
          </cell>
          <cell r="AD431" t="e">
            <v>#REF!</v>
          </cell>
          <cell r="AE431" t="e">
            <v>#REF!</v>
          </cell>
          <cell r="AF431">
            <v>6</v>
          </cell>
        </row>
        <row r="432">
          <cell r="B432">
            <v>5221</v>
          </cell>
          <cell r="C432">
            <v>126</v>
          </cell>
          <cell r="F432" t="str">
            <v>БлКРС</v>
          </cell>
          <cell r="G432">
            <v>245</v>
          </cell>
          <cell r="H432" t="str">
            <v>ШГН</v>
          </cell>
          <cell r="I432" t="str">
            <v>действ.</v>
          </cell>
          <cell r="K432">
            <v>4</v>
          </cell>
          <cell r="L432">
            <v>2.9</v>
          </cell>
          <cell r="M432">
            <v>12</v>
          </cell>
          <cell r="N432">
            <v>150</v>
          </cell>
          <cell r="Q432">
            <v>150</v>
          </cell>
          <cell r="T432">
            <v>7</v>
          </cell>
          <cell r="U432" t="str">
            <v>нг</v>
          </cell>
          <cell r="W432" t="str">
            <v>Ревизия пакера.ГИС-3</v>
          </cell>
        </row>
        <row r="433">
          <cell r="B433">
            <v>5242</v>
          </cell>
          <cell r="C433">
            <v>134</v>
          </cell>
          <cell r="F433" t="str">
            <v>УПНПиКРС</v>
          </cell>
          <cell r="G433">
            <v>230</v>
          </cell>
          <cell r="H433" t="str">
            <v>нагнет.</v>
          </cell>
          <cell r="I433" t="str">
            <v>бд</v>
          </cell>
          <cell r="T433">
            <v>37918</v>
          </cell>
          <cell r="U433" t="str">
            <v>нг</v>
          </cell>
          <cell r="W433" t="str">
            <v>Ревизия пакера</v>
          </cell>
          <cell r="X433" t="str">
            <v>Строительство водовода</v>
          </cell>
          <cell r="Z433" t="str">
            <v>2603(37)</v>
          </cell>
          <cell r="AA433">
            <v>73</v>
          </cell>
          <cell r="AB433">
            <v>37377</v>
          </cell>
          <cell r="AD433">
            <v>37843</v>
          </cell>
          <cell r="AE433">
            <v>37915</v>
          </cell>
        </row>
        <row r="434">
          <cell r="T434">
            <v>7</v>
          </cell>
        </row>
        <row r="435">
          <cell r="B435">
            <v>2897</v>
          </cell>
          <cell r="C435">
            <v>42</v>
          </cell>
          <cell r="F435" t="str">
            <v>УПНПиКРС</v>
          </cell>
          <cell r="G435">
            <v>295</v>
          </cell>
          <cell r="H435" t="str">
            <v>нагнет.</v>
          </cell>
          <cell r="I435" t="str">
            <v>бд</v>
          </cell>
          <cell r="J435">
            <v>37463</v>
          </cell>
          <cell r="N435">
            <v>150</v>
          </cell>
          <cell r="Q435">
            <v>150</v>
          </cell>
          <cell r="T435">
            <v>3</v>
          </cell>
          <cell r="U435" t="str">
            <v>нг</v>
          </cell>
          <cell r="W435" t="str">
            <v>ОТСК, ревизия пакера</v>
          </cell>
          <cell r="Z435" t="str">
            <v>2855(28)</v>
          </cell>
          <cell r="AA435">
            <v>73</v>
          </cell>
          <cell r="AB435">
            <v>33390</v>
          </cell>
        </row>
        <row r="436">
          <cell r="B436">
            <v>2898</v>
          </cell>
          <cell r="C436">
            <v>42</v>
          </cell>
          <cell r="F436" t="str">
            <v>УПНПиКРС</v>
          </cell>
          <cell r="G436">
            <v>295</v>
          </cell>
          <cell r="H436" t="str">
            <v>нагнет.</v>
          </cell>
          <cell r="I436" t="str">
            <v>под закачкой</v>
          </cell>
          <cell r="K436">
            <v>180</v>
          </cell>
          <cell r="N436">
            <v>180</v>
          </cell>
          <cell r="Q436">
            <v>0</v>
          </cell>
          <cell r="T436">
            <v>3</v>
          </cell>
          <cell r="U436" t="str">
            <v>нг</v>
          </cell>
          <cell r="W436" t="str">
            <v>ОТСК</v>
          </cell>
          <cell r="Z436" t="str">
            <v>2886(29)</v>
          </cell>
          <cell r="AA436">
            <v>73</v>
          </cell>
          <cell r="AB436">
            <v>32356</v>
          </cell>
        </row>
        <row r="437">
          <cell r="B437">
            <v>5380</v>
          </cell>
          <cell r="C437">
            <v>105</v>
          </cell>
          <cell r="F437" t="str">
            <v>УПНПиКРС</v>
          </cell>
          <cell r="G437">
            <v>300</v>
          </cell>
          <cell r="H437" t="str">
            <v>нагнет.</v>
          </cell>
          <cell r="I437" t="str">
            <v>под закачкой</v>
          </cell>
          <cell r="K437">
            <v>280</v>
          </cell>
          <cell r="N437">
            <v>280</v>
          </cell>
          <cell r="Q437">
            <v>0</v>
          </cell>
          <cell r="T437">
            <v>3</v>
          </cell>
          <cell r="U437" t="str">
            <v>нг</v>
          </cell>
          <cell r="W437" t="str">
            <v>ОТСК</v>
          </cell>
          <cell r="Z437" t="str">
            <v>не опред.</v>
          </cell>
          <cell r="AA437">
            <v>73</v>
          </cell>
          <cell r="AB437">
            <v>31352</v>
          </cell>
        </row>
        <row r="438">
          <cell r="B438">
            <v>5740</v>
          </cell>
          <cell r="C438">
            <v>127</v>
          </cell>
          <cell r="F438" t="str">
            <v>УПНПиКРС</v>
          </cell>
          <cell r="G438">
            <v>290</v>
          </cell>
          <cell r="H438" t="str">
            <v>нагнет.</v>
          </cell>
          <cell r="I438" t="str">
            <v>под закачкой</v>
          </cell>
          <cell r="K438">
            <v>190</v>
          </cell>
          <cell r="N438">
            <v>190</v>
          </cell>
          <cell r="Q438">
            <v>0</v>
          </cell>
          <cell r="T438">
            <v>3</v>
          </cell>
          <cell r="U438" t="str">
            <v>нг</v>
          </cell>
          <cell r="W438" t="str">
            <v>ОТСК</v>
          </cell>
          <cell r="Z438" t="str">
            <v>2962(35)</v>
          </cell>
          <cell r="AA438">
            <v>73</v>
          </cell>
          <cell r="AB438">
            <v>34090</v>
          </cell>
        </row>
        <row r="439">
          <cell r="T439">
            <v>7</v>
          </cell>
        </row>
        <row r="440">
          <cell r="B440">
            <v>5858</v>
          </cell>
          <cell r="C440">
            <v>169</v>
          </cell>
          <cell r="F440" t="str">
            <v>УПНПиКРС</v>
          </cell>
          <cell r="G440">
            <v>270</v>
          </cell>
          <cell r="H440" t="str">
            <v>фон</v>
          </cell>
          <cell r="I440" t="str">
            <v>действ.</v>
          </cell>
          <cell r="J440">
            <v>36649</v>
          </cell>
          <cell r="K440">
            <v>7</v>
          </cell>
          <cell r="L440">
            <v>1</v>
          </cell>
          <cell r="M440">
            <v>82</v>
          </cell>
          <cell r="N440">
            <v>30</v>
          </cell>
          <cell r="O440">
            <v>12</v>
          </cell>
          <cell r="P440">
            <v>51</v>
          </cell>
          <cell r="Q440">
            <v>30</v>
          </cell>
          <cell r="R440">
            <v>12</v>
          </cell>
          <cell r="S440">
            <v>50.6</v>
          </cell>
          <cell r="T440">
            <v>7</v>
          </cell>
          <cell r="U440" t="str">
            <v>ГРП</v>
          </cell>
          <cell r="W440" t="str">
            <v xml:space="preserve">инт.ЮК-5  2613-2628м,РИР ЮК-10,ГРП </v>
          </cell>
        </row>
        <row r="441">
          <cell r="B441">
            <v>5853</v>
          </cell>
          <cell r="C441">
            <v>169</v>
          </cell>
          <cell r="F441" t="str">
            <v>УПНПиКРС</v>
          </cell>
          <cell r="G441">
            <v>270</v>
          </cell>
          <cell r="H441" t="str">
            <v>фон</v>
          </cell>
          <cell r="I441" t="str">
            <v>конс.</v>
          </cell>
          <cell r="J441">
            <v>35401</v>
          </cell>
          <cell r="K441">
            <v>1</v>
          </cell>
          <cell r="L441">
            <v>0.8</v>
          </cell>
          <cell r="M441">
            <v>0</v>
          </cell>
          <cell r="N441">
            <v>30</v>
          </cell>
          <cell r="O441">
            <v>12</v>
          </cell>
          <cell r="P441">
            <v>51</v>
          </cell>
          <cell r="Q441">
            <v>30</v>
          </cell>
          <cell r="R441">
            <v>12</v>
          </cell>
          <cell r="S441">
            <v>50.6</v>
          </cell>
          <cell r="T441">
            <v>7</v>
          </cell>
          <cell r="U441" t="str">
            <v>ГРП</v>
          </cell>
          <cell r="W441" t="str">
            <v xml:space="preserve">инт.ЮК-5  2601-2619м,РИР ЮК-10,ГРП </v>
          </cell>
        </row>
        <row r="443">
          <cell r="B443">
            <v>2604</v>
          </cell>
          <cell r="C443">
            <v>167</v>
          </cell>
          <cell r="F443" t="str">
            <v>УПНПиКРС</v>
          </cell>
          <cell r="G443">
            <v>235</v>
          </cell>
          <cell r="H443" t="str">
            <v>ШГН</v>
          </cell>
          <cell r="I443" t="str">
            <v>конс.</v>
          </cell>
          <cell r="J443">
            <v>34243</v>
          </cell>
          <cell r="K443">
            <v>2</v>
          </cell>
          <cell r="L443">
            <v>1.6</v>
          </cell>
          <cell r="M443">
            <v>5</v>
          </cell>
          <cell r="N443">
            <v>30</v>
          </cell>
          <cell r="O443">
            <v>14.3</v>
          </cell>
          <cell r="P443">
            <v>41.4</v>
          </cell>
          <cell r="Q443">
            <v>30</v>
          </cell>
          <cell r="R443">
            <v>14.3</v>
          </cell>
          <cell r="S443">
            <v>41.2</v>
          </cell>
          <cell r="T443">
            <v>7</v>
          </cell>
          <cell r="U443" t="str">
            <v>ГРП</v>
          </cell>
          <cell r="W443" t="str">
            <v>инт.ЮК 4-5 2598-2624м,ВЦ,ПП,ОПЗ</v>
          </cell>
          <cell r="Y443" t="str">
            <v>ОЦ</v>
          </cell>
        </row>
        <row r="445">
          <cell r="B445">
            <v>5455</v>
          </cell>
          <cell r="C445">
            <v>102</v>
          </cell>
          <cell r="F445" t="str">
            <v>УПНПиКРС</v>
          </cell>
          <cell r="H445" t="str">
            <v>ШГН</v>
          </cell>
          <cell r="I445" t="str">
            <v>конс.</v>
          </cell>
          <cell r="N445">
            <v>50</v>
          </cell>
          <cell r="O445">
            <v>30</v>
          </cell>
          <cell r="P445">
            <v>26.5</v>
          </cell>
          <cell r="Q445">
            <v>50</v>
          </cell>
          <cell r="R445">
            <v>30</v>
          </cell>
          <cell r="S445">
            <v>25.9</v>
          </cell>
          <cell r="T445">
            <v>7</v>
          </cell>
          <cell r="U445" t="str">
            <v>ГРП</v>
          </cell>
          <cell r="W445" t="str">
            <v>Л.А.ВЦ, РИР ЮК-10, ПР к ГРП, ГРП ЮК-2, осв.</v>
          </cell>
          <cell r="Y445" t="str">
            <v>Н/пр-444м, по печати пост.предмет</v>
          </cell>
          <cell r="AF445">
            <v>38</v>
          </cell>
        </row>
        <row r="446">
          <cell r="B446">
            <v>5263</v>
          </cell>
          <cell r="C446">
            <v>133</v>
          </cell>
          <cell r="F446" t="str">
            <v>УПНПиКРС</v>
          </cell>
          <cell r="G446">
            <v>255</v>
          </cell>
          <cell r="H446" t="str">
            <v>ЭЦН</v>
          </cell>
          <cell r="I446" t="str">
            <v>бд</v>
          </cell>
          <cell r="J446">
            <v>33725</v>
          </cell>
          <cell r="K446">
            <v>10</v>
          </cell>
          <cell r="L446">
            <v>1.6</v>
          </cell>
          <cell r="M446">
            <v>80</v>
          </cell>
          <cell r="N446">
            <v>30</v>
          </cell>
          <cell r="O446">
            <v>12</v>
          </cell>
          <cell r="P446">
            <v>51</v>
          </cell>
          <cell r="Q446">
            <v>30</v>
          </cell>
          <cell r="R446">
            <v>12</v>
          </cell>
          <cell r="S446">
            <v>50.6</v>
          </cell>
          <cell r="T446">
            <v>7</v>
          </cell>
          <cell r="U446" t="str">
            <v>ГРП</v>
          </cell>
          <cell r="W446" t="str">
            <v>ЛА ( с НКТ ),инт.ЮК-4 2454-2462,ЮК-5 2408-2493м,при невозм.ЛА-ЗБС 2-го ( двустволка ),ЮК-10-2т,ЮК-4-12 т</v>
          </cell>
          <cell r="Y446" t="str">
            <v>На Нз 6штанг (по печати). Брошена КРС</v>
          </cell>
        </row>
        <row r="447">
          <cell r="T447">
            <v>7</v>
          </cell>
        </row>
        <row r="448">
          <cell r="B448">
            <v>3054</v>
          </cell>
          <cell r="C448">
            <v>51</v>
          </cell>
          <cell r="F448" t="str">
            <v>УПНПиКРС</v>
          </cell>
          <cell r="G448">
            <v>300</v>
          </cell>
          <cell r="H448" t="str">
            <v>нагнет.</v>
          </cell>
          <cell r="I448" t="str">
            <v>бд</v>
          </cell>
          <cell r="J448">
            <v>37016</v>
          </cell>
          <cell r="K448">
            <v>950</v>
          </cell>
          <cell r="L448">
            <v>0</v>
          </cell>
          <cell r="M448">
            <v>0</v>
          </cell>
          <cell r="N448">
            <v>30</v>
          </cell>
          <cell r="O448">
            <v>12</v>
          </cell>
          <cell r="P448">
            <v>51</v>
          </cell>
          <cell r="Q448">
            <v>30</v>
          </cell>
          <cell r="R448">
            <v>12</v>
          </cell>
          <cell r="S448">
            <v>50.6</v>
          </cell>
          <cell r="T448">
            <v>3</v>
          </cell>
          <cell r="U448" t="str">
            <v>ГРП</v>
          </cell>
          <cell r="W448" t="str">
            <v>Инт. 2676-2688</v>
          </cell>
          <cell r="Y448" t="str">
            <v>ЗКЦ от 2840 до 2710, ГИС от 22.05.89</v>
          </cell>
        </row>
        <row r="449">
          <cell r="B449">
            <v>2974</v>
          </cell>
          <cell r="C449">
            <v>46</v>
          </cell>
          <cell r="F449" t="str">
            <v>УПНПиКРС</v>
          </cell>
          <cell r="G449">
            <v>295</v>
          </cell>
          <cell r="H449" t="str">
            <v>нагнет.</v>
          </cell>
          <cell r="I449" t="str">
            <v>бд</v>
          </cell>
          <cell r="J449">
            <v>36210</v>
          </cell>
          <cell r="K449">
            <v>360</v>
          </cell>
          <cell r="L449">
            <v>0</v>
          </cell>
          <cell r="N449">
            <v>30</v>
          </cell>
          <cell r="O449">
            <v>12</v>
          </cell>
          <cell r="P449">
            <v>51</v>
          </cell>
          <cell r="Q449">
            <v>30</v>
          </cell>
          <cell r="R449">
            <v>12</v>
          </cell>
          <cell r="S449">
            <v>50.6</v>
          </cell>
          <cell r="T449">
            <v>3</v>
          </cell>
          <cell r="U449" t="str">
            <v>ГРП</v>
          </cell>
          <cell r="W449" t="str">
            <v>РИР Э/К, ГИС (и.о.) интерп2556-2580</v>
          </cell>
          <cell r="Y449" t="str">
            <v>При ГИС-2 от 12.12.92 негерметичность на гл.2520-2560</v>
          </cell>
        </row>
        <row r="450">
          <cell r="B450">
            <v>2836</v>
          </cell>
          <cell r="C450">
            <v>125</v>
          </cell>
          <cell r="F450" t="str">
            <v>УПНПиКРС</v>
          </cell>
          <cell r="G450">
            <v>240</v>
          </cell>
          <cell r="H450" t="str">
            <v>ШГН</v>
          </cell>
          <cell r="I450" t="str">
            <v>конс.</v>
          </cell>
          <cell r="J450">
            <v>35684</v>
          </cell>
          <cell r="K450">
            <v>4</v>
          </cell>
          <cell r="L450">
            <v>1.1000000000000001</v>
          </cell>
          <cell r="N450">
            <v>30</v>
          </cell>
          <cell r="O450">
            <v>12</v>
          </cell>
          <cell r="P450">
            <v>51</v>
          </cell>
          <cell r="Q450">
            <v>30</v>
          </cell>
          <cell r="R450">
            <v>12</v>
          </cell>
          <cell r="S450">
            <v>50.6</v>
          </cell>
          <cell r="T450">
            <v>7</v>
          </cell>
          <cell r="U450" t="str">
            <v>ГРП</v>
          </cell>
          <cell r="W450" t="str">
            <v>ГИС-2,при отс.перетоков-опытно-пром.работы,ГРП п.А</v>
          </cell>
          <cell r="Y450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</row>
        <row r="451">
          <cell r="B451">
            <v>2725</v>
          </cell>
          <cell r="C451">
            <v>146</v>
          </cell>
          <cell r="F451" t="str">
            <v>УПНПиКРС</v>
          </cell>
          <cell r="G451">
            <v>350</v>
          </cell>
          <cell r="H451" t="str">
            <v>нагнет.</v>
          </cell>
          <cell r="I451" t="str">
            <v>бд</v>
          </cell>
          <cell r="J451">
            <v>36627</v>
          </cell>
          <cell r="K451">
            <v>134</v>
          </cell>
          <cell r="L451">
            <v>0</v>
          </cell>
          <cell r="N451">
            <v>30</v>
          </cell>
          <cell r="O451">
            <v>12</v>
          </cell>
          <cell r="P451">
            <v>51</v>
          </cell>
          <cell r="Q451">
            <v>30</v>
          </cell>
          <cell r="R451">
            <v>12</v>
          </cell>
          <cell r="S451">
            <v>50.6</v>
          </cell>
          <cell r="T451">
            <v>3</v>
          </cell>
          <cell r="U451" t="str">
            <v>ГРП</v>
          </cell>
          <cell r="W451" t="str">
            <v>ИР ЮК-10,ДП 2593-2602,2620-2630 ГРП</v>
          </cell>
        </row>
        <row r="452">
          <cell r="B452">
            <v>5318</v>
          </cell>
          <cell r="C452">
            <v>134</v>
          </cell>
          <cell r="F452" t="str">
            <v>УПНПиКРС</v>
          </cell>
          <cell r="G452">
            <v>242</v>
          </cell>
          <cell r="H452" t="str">
            <v>нагнет.</v>
          </cell>
          <cell r="I452" t="str">
            <v>бд</v>
          </cell>
          <cell r="J452">
            <v>36799</v>
          </cell>
          <cell r="K452">
            <v>120</v>
          </cell>
          <cell r="N452">
            <v>150</v>
          </cell>
          <cell r="Q452">
            <v>150</v>
          </cell>
          <cell r="R452">
            <v>0</v>
          </cell>
          <cell r="T452" t="e">
            <v>#REF!</v>
          </cell>
          <cell r="U452" t="str">
            <v>нг</v>
          </cell>
          <cell r="W452" t="str">
            <v>Спуск и привязка пакера, Запуск в ППД</v>
          </cell>
          <cell r="Y452" t="str">
            <v>Реагирует: 134/5292,5319,5317,5291 с Qн=7т/сут, доп.добыча состави 10т/сут</v>
          </cell>
          <cell r="AD452" t="e">
            <v>#REF!</v>
          </cell>
          <cell r="AE452" t="e">
            <v>#REF!</v>
          </cell>
          <cell r="AF452">
            <v>15</v>
          </cell>
        </row>
        <row r="453">
          <cell r="B453">
            <v>5840</v>
          </cell>
          <cell r="C453">
            <v>109</v>
          </cell>
          <cell r="F453" t="str">
            <v>УПНПиКРС</v>
          </cell>
          <cell r="G453">
            <v>285</v>
          </cell>
          <cell r="H453" t="str">
            <v>нагнет.</v>
          </cell>
          <cell r="I453" t="str">
            <v>конс.</v>
          </cell>
          <cell r="J453">
            <v>35333</v>
          </cell>
          <cell r="K453">
            <v>30</v>
          </cell>
          <cell r="Q453">
            <v>0</v>
          </cell>
          <cell r="T453">
            <v>3</v>
          </cell>
          <cell r="U453" t="str">
            <v>нг</v>
          </cell>
          <cell r="W453" t="str">
            <v>Прмывка забоя, пуск под закачку</v>
          </cell>
        </row>
        <row r="454">
          <cell r="B454">
            <v>5371</v>
          </cell>
          <cell r="C454">
            <v>102</v>
          </cell>
          <cell r="F454" t="str">
            <v>УПНПиКРС</v>
          </cell>
          <cell r="G454">
            <v>255</v>
          </cell>
          <cell r="H454" t="str">
            <v>нагнет.</v>
          </cell>
          <cell r="I454" t="str">
            <v>бд</v>
          </cell>
          <cell r="J454">
            <v>35779</v>
          </cell>
          <cell r="K454">
            <v>240</v>
          </cell>
          <cell r="L454">
            <v>0</v>
          </cell>
          <cell r="Q454">
            <v>0</v>
          </cell>
          <cell r="T454">
            <v>3</v>
          </cell>
          <cell r="U454" t="str">
            <v>нг</v>
          </cell>
          <cell r="W454" t="str">
            <v>Прмывка забоя, пуск под закачку</v>
          </cell>
        </row>
        <row r="455">
          <cell r="B455">
            <v>5372</v>
          </cell>
          <cell r="C455">
            <v>102</v>
          </cell>
          <cell r="F455" t="str">
            <v>УПНПиКРС</v>
          </cell>
          <cell r="G455">
            <v>250</v>
          </cell>
          <cell r="H455" t="str">
            <v>нагнет.</v>
          </cell>
          <cell r="I455" t="str">
            <v>бд</v>
          </cell>
          <cell r="J455">
            <v>32843</v>
          </cell>
          <cell r="K455">
            <v>130</v>
          </cell>
          <cell r="L455">
            <v>0</v>
          </cell>
          <cell r="Q455">
            <v>0</v>
          </cell>
          <cell r="T455">
            <v>3</v>
          </cell>
          <cell r="U455" t="str">
            <v>нг</v>
          </cell>
          <cell r="W455" t="str">
            <v>Л,А. Прмывка забоя, пуск под закачку</v>
          </cell>
          <cell r="Y455" t="str">
            <v>Полет НКТ. Нз - 102 м</v>
          </cell>
        </row>
        <row r="456">
          <cell r="B456">
            <v>5373</v>
          </cell>
          <cell r="C456">
            <v>103</v>
          </cell>
          <cell r="F456" t="str">
            <v>УПНПиКРС</v>
          </cell>
          <cell r="G456">
            <v>239</v>
          </cell>
          <cell r="H456" t="str">
            <v>нагнет.</v>
          </cell>
          <cell r="I456" t="str">
            <v>конс.</v>
          </cell>
          <cell r="J456">
            <v>34474</v>
          </cell>
          <cell r="K456">
            <v>375</v>
          </cell>
          <cell r="L456">
            <v>0</v>
          </cell>
          <cell r="Q456">
            <v>0</v>
          </cell>
          <cell r="T456">
            <v>3</v>
          </cell>
          <cell r="U456" t="str">
            <v>нг</v>
          </cell>
          <cell r="W456" t="str">
            <v>Прмывка забоя, пуск под закачку</v>
          </cell>
        </row>
        <row r="457">
          <cell r="B457">
            <v>5374</v>
          </cell>
          <cell r="C457">
            <v>103</v>
          </cell>
          <cell r="F457" t="str">
            <v>УПНПиКРС</v>
          </cell>
          <cell r="G457">
            <v>241</v>
          </cell>
          <cell r="H457" t="str">
            <v>нагнет.</v>
          </cell>
          <cell r="I457" t="str">
            <v>конс.</v>
          </cell>
          <cell r="J457">
            <v>34474</v>
          </cell>
          <cell r="K457">
            <v>180</v>
          </cell>
          <cell r="L457">
            <v>0</v>
          </cell>
          <cell r="Q457">
            <v>0</v>
          </cell>
          <cell r="T457">
            <v>3</v>
          </cell>
          <cell r="U457" t="str">
            <v>нг</v>
          </cell>
          <cell r="W457" t="str">
            <v>Прмывка забоя, пуск под закачку</v>
          </cell>
        </row>
        <row r="458">
          <cell r="B458">
            <v>5626</v>
          </cell>
          <cell r="C458">
            <v>119</v>
          </cell>
          <cell r="G458">
            <v>252</v>
          </cell>
          <cell r="H458" t="str">
            <v>нагнет.</v>
          </cell>
          <cell r="I458" t="str">
            <v>бд</v>
          </cell>
          <cell r="N458">
            <v>150</v>
          </cell>
          <cell r="Q458">
            <v>150</v>
          </cell>
          <cell r="T458">
            <v>3</v>
          </cell>
          <cell r="U458" t="str">
            <v>нг</v>
          </cell>
          <cell r="W458" t="str">
            <v>Прмывка забоя, пуск под закачку</v>
          </cell>
        </row>
        <row r="459">
          <cell r="B459">
            <v>5629</v>
          </cell>
          <cell r="C459">
            <v>120</v>
          </cell>
          <cell r="G459">
            <v>255</v>
          </cell>
          <cell r="H459" t="str">
            <v>нагнет.</v>
          </cell>
          <cell r="I459" t="str">
            <v>бд</v>
          </cell>
          <cell r="N459">
            <v>150</v>
          </cell>
          <cell r="Q459">
            <v>150</v>
          </cell>
          <cell r="T459">
            <v>3</v>
          </cell>
          <cell r="U459" t="str">
            <v>нг</v>
          </cell>
          <cell r="W459" t="str">
            <v>Прмывка забоя, пуск под закачку</v>
          </cell>
        </row>
        <row r="460">
          <cell r="B460">
            <v>5631</v>
          </cell>
          <cell r="C460">
            <v>120</v>
          </cell>
          <cell r="G460">
            <v>261</v>
          </cell>
          <cell r="H460" t="str">
            <v>нагнет.</v>
          </cell>
          <cell r="I460" t="str">
            <v>бд</v>
          </cell>
          <cell r="N460">
            <v>150</v>
          </cell>
          <cell r="Q460">
            <v>150</v>
          </cell>
          <cell r="T460">
            <v>3</v>
          </cell>
          <cell r="U460" t="str">
            <v>нг</v>
          </cell>
          <cell r="W460" t="str">
            <v>Прмывка забоя, пуск под закачку</v>
          </cell>
        </row>
        <row r="461">
          <cell r="B461">
            <v>3170</v>
          </cell>
          <cell r="C461">
            <v>55</v>
          </cell>
          <cell r="F461" t="str">
            <v>прс</v>
          </cell>
          <cell r="H461" t="str">
            <v>эцн</v>
          </cell>
          <cell r="I461" t="str">
            <v>конс.</v>
          </cell>
          <cell r="K461">
            <v>0</v>
          </cell>
          <cell r="L461">
            <v>0</v>
          </cell>
          <cell r="M461">
            <v>0</v>
          </cell>
          <cell r="N461">
            <v>50</v>
          </cell>
          <cell r="O461">
            <v>4.0999999999999996</v>
          </cell>
          <cell r="P461">
            <v>90</v>
          </cell>
          <cell r="Q461">
            <v>14</v>
          </cell>
          <cell r="R461">
            <v>8.1</v>
          </cell>
          <cell r="S461">
            <v>29</v>
          </cell>
          <cell r="T461">
            <v>37862</v>
          </cell>
          <cell r="W461" t="str">
            <v>ВЦ,см.Э-50</v>
          </cell>
        </row>
        <row r="462">
          <cell r="B462">
            <v>3402</v>
          </cell>
          <cell r="C462">
            <v>68</v>
          </cell>
          <cell r="F462" t="str">
            <v>прс</v>
          </cell>
          <cell r="H462" t="str">
            <v>эцн</v>
          </cell>
          <cell r="I462" t="str">
            <v>действ.</v>
          </cell>
          <cell r="K462">
            <v>120</v>
          </cell>
          <cell r="L462">
            <v>6.8</v>
          </cell>
          <cell r="M462">
            <v>93</v>
          </cell>
          <cell r="N462">
            <v>208</v>
          </cell>
          <cell r="O462">
            <v>11.9</v>
          </cell>
          <cell r="P462">
            <v>93</v>
          </cell>
          <cell r="Q462">
            <v>88</v>
          </cell>
          <cell r="R462">
            <v>5.0999999999999996</v>
          </cell>
          <cell r="S462">
            <v>92.8</v>
          </cell>
          <cell r="T462">
            <v>37884</v>
          </cell>
          <cell r="U462" t="str">
            <v>опт</v>
          </cell>
          <cell r="W462" t="str">
            <v>Смена  Э-125/Э-200</v>
          </cell>
        </row>
        <row r="463">
          <cell r="B463">
            <v>5267</v>
          </cell>
          <cell r="T463">
            <v>37811</v>
          </cell>
          <cell r="X463">
            <v>37823</v>
          </cell>
        </row>
        <row r="464">
          <cell r="B464">
            <v>4378</v>
          </cell>
          <cell r="C464" t="str">
            <v>216б</v>
          </cell>
          <cell r="F464" t="str">
            <v>ПРС</v>
          </cell>
          <cell r="H464" t="str">
            <v>ШГН</v>
          </cell>
          <cell r="I464" t="str">
            <v>действ.</v>
          </cell>
          <cell r="X464" t="str">
            <v>15,/07/2003</v>
          </cell>
        </row>
        <row r="465">
          <cell r="B465">
            <v>3503</v>
          </cell>
          <cell r="C465" t="str">
            <v>98б</v>
          </cell>
          <cell r="F465" t="str">
            <v>ПРС</v>
          </cell>
          <cell r="H465" t="str">
            <v>ЭЦН</v>
          </cell>
          <cell r="I465" t="str">
            <v>конс.</v>
          </cell>
          <cell r="U465" t="str">
            <v>ВЦ</v>
          </cell>
          <cell r="W465" t="str">
            <v>ВЦ КОПС,см.вор/Э-30</v>
          </cell>
        </row>
        <row r="466">
          <cell r="B466">
            <v>2787</v>
          </cell>
          <cell r="C466">
            <v>145</v>
          </cell>
          <cell r="F466" t="str">
            <v>ПРС</v>
          </cell>
          <cell r="H466" t="str">
            <v>ШГН</v>
          </cell>
          <cell r="I466" t="str">
            <v>бдт</v>
          </cell>
          <cell r="J466">
            <v>37671</v>
          </cell>
          <cell r="K466">
            <v>0</v>
          </cell>
          <cell r="L466">
            <v>0</v>
          </cell>
          <cell r="M466">
            <v>0</v>
          </cell>
          <cell r="N466">
            <v>14</v>
          </cell>
          <cell r="O466">
            <v>8.1</v>
          </cell>
          <cell r="P466">
            <v>29</v>
          </cell>
          <cell r="Q466">
            <v>14</v>
          </cell>
          <cell r="R466">
            <v>8.1</v>
          </cell>
          <cell r="S466">
            <v>29</v>
          </cell>
          <cell r="T466">
            <v>37725</v>
          </cell>
          <cell r="U466" t="str">
            <v>ВЦД</v>
          </cell>
          <cell r="W466" t="str">
            <v>Смена НВ-44,"Э-пр"</v>
          </cell>
        </row>
        <row r="467">
          <cell r="B467">
            <v>5224</v>
          </cell>
          <cell r="C467">
            <v>145</v>
          </cell>
          <cell r="F467" t="str">
            <v>ПРС</v>
          </cell>
          <cell r="H467" t="str">
            <v>ЭЦН</v>
          </cell>
          <cell r="I467" t="str">
            <v>конс.</v>
          </cell>
          <cell r="J467" t="str">
            <v>95г.</v>
          </cell>
          <cell r="K467">
            <v>0</v>
          </cell>
          <cell r="L467">
            <v>0</v>
          </cell>
          <cell r="M467">
            <v>0</v>
          </cell>
          <cell r="N467">
            <v>50</v>
          </cell>
          <cell r="O467">
            <v>4.0999999999999996</v>
          </cell>
          <cell r="P467">
            <v>90</v>
          </cell>
          <cell r="Q467">
            <v>50</v>
          </cell>
          <cell r="R467">
            <v>4.0999999999999996</v>
          </cell>
          <cell r="S467">
            <v>90</v>
          </cell>
          <cell r="T467">
            <v>37734</v>
          </cell>
          <cell r="U467" t="str">
            <v>ВЦ</v>
          </cell>
          <cell r="W467" t="str">
            <v>смена Э-50</v>
          </cell>
        </row>
        <row r="468">
          <cell r="B468">
            <v>3837</v>
          </cell>
          <cell r="C468">
            <v>97</v>
          </cell>
          <cell r="F468" t="str">
            <v>ПРС</v>
          </cell>
          <cell r="H468" t="str">
            <v>ЭЦН</v>
          </cell>
          <cell r="I468" t="str">
            <v>бд</v>
          </cell>
          <cell r="K468">
            <v>0</v>
          </cell>
          <cell r="L468">
            <v>0</v>
          </cell>
          <cell r="M468">
            <v>0</v>
          </cell>
          <cell r="N468">
            <v>80</v>
          </cell>
          <cell r="O468">
            <v>4.5999999999999996</v>
          </cell>
          <cell r="P468">
            <v>93</v>
          </cell>
          <cell r="Q468">
            <v>80</v>
          </cell>
          <cell r="R468">
            <v>4.5999999999999996</v>
          </cell>
          <cell r="S468">
            <v>93</v>
          </cell>
          <cell r="T468">
            <v>37718</v>
          </cell>
          <cell r="U468" t="str">
            <v>ВЦД</v>
          </cell>
          <cell r="W468" t="str">
            <v>Смена Э80/Э-80</v>
          </cell>
        </row>
        <row r="469">
          <cell r="B469">
            <v>4262</v>
          </cell>
          <cell r="C469">
            <v>200</v>
          </cell>
          <cell r="F469" t="str">
            <v>ПРС</v>
          </cell>
          <cell r="H469" t="str">
            <v>ЭЦН</v>
          </cell>
          <cell r="I469" t="str">
            <v>действ.</v>
          </cell>
          <cell r="K469">
            <v>268</v>
          </cell>
          <cell r="L469">
            <v>15.3</v>
          </cell>
          <cell r="M469">
            <v>93</v>
          </cell>
          <cell r="N469">
            <v>398</v>
          </cell>
          <cell r="O469">
            <v>22.7</v>
          </cell>
          <cell r="P469">
            <v>93</v>
          </cell>
          <cell r="Q469">
            <v>130</v>
          </cell>
          <cell r="R469">
            <v>7.4</v>
          </cell>
          <cell r="S469">
            <v>93</v>
          </cell>
          <cell r="T469">
            <v>37695</v>
          </cell>
          <cell r="U469" t="str">
            <v>опт</v>
          </cell>
          <cell r="W469" t="str">
            <v>Смена Э-250/400</v>
          </cell>
        </row>
        <row r="470">
          <cell r="B470">
            <v>3666</v>
          </cell>
          <cell r="C470">
            <v>301</v>
          </cell>
          <cell r="F470" t="str">
            <v>ПРС</v>
          </cell>
          <cell r="H470" t="str">
            <v>ЭЦН</v>
          </cell>
          <cell r="I470" t="str">
            <v>действ.</v>
          </cell>
          <cell r="K470">
            <v>85</v>
          </cell>
          <cell r="L470">
            <v>4.2</v>
          </cell>
          <cell r="M470">
            <v>94</v>
          </cell>
          <cell r="N470">
            <v>237</v>
          </cell>
          <cell r="O470">
            <v>11.7</v>
          </cell>
          <cell r="P470">
            <v>93.95</v>
          </cell>
          <cell r="Q470">
            <v>152</v>
          </cell>
          <cell r="R470">
            <v>7.5</v>
          </cell>
          <cell r="S470">
            <v>93.9</v>
          </cell>
          <cell r="T470">
            <v>37686</v>
          </cell>
          <cell r="U470" t="str">
            <v>опт</v>
          </cell>
          <cell r="W470" t="str">
            <v>Смена Э-125/250</v>
          </cell>
        </row>
        <row r="471">
          <cell r="B471">
            <v>3027</v>
          </cell>
          <cell r="C471">
            <v>52</v>
          </cell>
          <cell r="F471" t="str">
            <v>ПРС</v>
          </cell>
          <cell r="H471" t="str">
            <v>ЭЦН</v>
          </cell>
          <cell r="I471" t="str">
            <v>действ.</v>
          </cell>
          <cell r="K471">
            <v>19</v>
          </cell>
          <cell r="L471">
            <v>9.3000000000000007</v>
          </cell>
          <cell r="M471">
            <v>40</v>
          </cell>
          <cell r="N471">
            <v>29.6</v>
          </cell>
          <cell r="O471">
            <v>14.5</v>
          </cell>
          <cell r="P471">
            <v>40</v>
          </cell>
          <cell r="Q471">
            <v>10.6</v>
          </cell>
          <cell r="R471">
            <v>5.2</v>
          </cell>
          <cell r="S471">
            <v>39.4</v>
          </cell>
          <cell r="T471">
            <v>37721</v>
          </cell>
          <cell r="U471" t="str">
            <v>опт</v>
          </cell>
          <cell r="W471" t="str">
            <v>Смена НВ-44/Э-30</v>
          </cell>
          <cell r="AD471">
            <v>37714</v>
          </cell>
          <cell r="AE471">
            <v>37718</v>
          </cell>
        </row>
        <row r="472">
          <cell r="B472">
            <v>2857</v>
          </cell>
          <cell r="C472">
            <v>42</v>
          </cell>
          <cell r="F472" t="str">
            <v>ПРС</v>
          </cell>
          <cell r="H472" t="str">
            <v>ШГН</v>
          </cell>
          <cell r="I472" t="str">
            <v>действ.</v>
          </cell>
          <cell r="K472">
            <v>42</v>
          </cell>
          <cell r="L472">
            <v>22.6</v>
          </cell>
          <cell r="M472">
            <v>34</v>
          </cell>
          <cell r="N472">
            <v>54.1</v>
          </cell>
          <cell r="O472">
            <v>29.1</v>
          </cell>
          <cell r="P472">
            <v>34</v>
          </cell>
          <cell r="Q472">
            <v>12.1</v>
          </cell>
          <cell r="R472">
            <v>6.5</v>
          </cell>
          <cell r="S472">
            <v>33.700000000000003</v>
          </cell>
          <cell r="T472">
            <v>37848</v>
          </cell>
          <cell r="U472" t="str">
            <v>опт</v>
          </cell>
          <cell r="W472" t="str">
            <v>Смена Э-30/50</v>
          </cell>
          <cell r="AD472">
            <v>37840</v>
          </cell>
          <cell r="AE472">
            <v>37845</v>
          </cell>
        </row>
        <row r="473">
          <cell r="B473">
            <v>5322</v>
          </cell>
          <cell r="C473">
            <v>135</v>
          </cell>
          <cell r="F473" t="str">
            <v>ПРС</v>
          </cell>
          <cell r="H473" t="str">
            <v>ЭЦН</v>
          </cell>
          <cell r="I473" t="str">
            <v>действ.</v>
          </cell>
          <cell r="K473">
            <v>165</v>
          </cell>
          <cell r="L473">
            <v>13.4</v>
          </cell>
          <cell r="M473">
            <v>90</v>
          </cell>
          <cell r="N473">
            <v>250</v>
          </cell>
          <cell r="O473">
            <v>20</v>
          </cell>
          <cell r="P473">
            <v>90</v>
          </cell>
          <cell r="Q473">
            <v>85</v>
          </cell>
          <cell r="R473">
            <v>6.6</v>
          </cell>
          <cell r="S473">
            <v>90</v>
          </cell>
          <cell r="T473">
            <v>38465</v>
          </cell>
          <cell r="U473" t="str">
            <v>опт</v>
          </cell>
          <cell r="W473" t="str">
            <v>Смена Э-200/250</v>
          </cell>
          <cell r="AD473">
            <v>37717</v>
          </cell>
          <cell r="AE473">
            <v>37728</v>
          </cell>
        </row>
        <row r="474">
          <cell r="B474">
            <v>3815</v>
          </cell>
          <cell r="C474">
            <v>87</v>
          </cell>
          <cell r="F474" t="str">
            <v>ПРС</v>
          </cell>
          <cell r="H474" t="str">
            <v>фон</v>
          </cell>
          <cell r="I474" t="str">
            <v>бд</v>
          </cell>
          <cell r="K474">
            <v>0</v>
          </cell>
          <cell r="L474">
            <v>0</v>
          </cell>
          <cell r="M474">
            <v>0</v>
          </cell>
          <cell r="N474">
            <v>80</v>
          </cell>
          <cell r="O474">
            <v>4.5999999999999996</v>
          </cell>
          <cell r="P474">
            <v>93</v>
          </cell>
          <cell r="Q474">
            <v>80</v>
          </cell>
          <cell r="R474">
            <v>4.5999999999999996</v>
          </cell>
          <cell r="S474">
            <v>92.9</v>
          </cell>
          <cell r="T474">
            <v>37741</v>
          </cell>
          <cell r="U474" t="str">
            <v>ВЦД</v>
          </cell>
          <cell r="W474" t="str">
            <v>ВЦ,смена вор./Э-80</v>
          </cell>
          <cell r="AD474">
            <v>37727</v>
          </cell>
          <cell r="AE474">
            <v>37738</v>
          </cell>
        </row>
        <row r="475">
          <cell r="B475">
            <v>5240</v>
          </cell>
          <cell r="C475">
            <v>134</v>
          </cell>
          <cell r="F475" t="str">
            <v>ПРС</v>
          </cell>
          <cell r="H475" t="str">
            <v>ШГН</v>
          </cell>
          <cell r="I475" t="str">
            <v>бдт</v>
          </cell>
          <cell r="K475">
            <v>0</v>
          </cell>
          <cell r="L475">
            <v>0</v>
          </cell>
          <cell r="M475">
            <v>0</v>
          </cell>
          <cell r="N475">
            <v>9</v>
          </cell>
          <cell r="O475">
            <v>6.6</v>
          </cell>
          <cell r="P475">
            <v>10</v>
          </cell>
          <cell r="Q475">
            <v>9</v>
          </cell>
          <cell r="R475">
            <v>6.6</v>
          </cell>
          <cell r="S475">
            <v>9.5</v>
          </cell>
          <cell r="T475">
            <v>37679</v>
          </cell>
          <cell r="U475" t="str">
            <v>бдт</v>
          </cell>
          <cell r="W475" t="str">
            <v>Смена вор/Н-44</v>
          </cell>
        </row>
        <row r="476">
          <cell r="B476">
            <v>5644</v>
          </cell>
          <cell r="C476">
            <v>126</v>
          </cell>
          <cell r="F476" t="str">
            <v>КРС</v>
          </cell>
          <cell r="H476" t="str">
            <v>ЭЦН</v>
          </cell>
          <cell r="I476" t="str">
            <v>действ.</v>
          </cell>
          <cell r="K476">
            <v>18</v>
          </cell>
          <cell r="L476">
            <v>12.8</v>
          </cell>
          <cell r="M476">
            <v>13</v>
          </cell>
          <cell r="N476">
            <v>25</v>
          </cell>
          <cell r="O476">
            <v>17.7</v>
          </cell>
          <cell r="P476">
            <v>13</v>
          </cell>
          <cell r="Q476">
            <v>7</v>
          </cell>
          <cell r="R476">
            <v>4.9000000000000004</v>
          </cell>
          <cell r="S476">
            <v>13.6</v>
          </cell>
          <cell r="T476">
            <v>37650</v>
          </cell>
          <cell r="U476" t="str">
            <v>ОПЗД</v>
          </cell>
          <cell r="AD476">
            <v>37631</v>
          </cell>
          <cell r="AE476">
            <v>37643</v>
          </cell>
        </row>
        <row r="477">
          <cell r="B477">
            <v>2695</v>
          </cell>
          <cell r="C477">
            <v>163</v>
          </cell>
          <cell r="F477" t="str">
            <v>ПРС</v>
          </cell>
          <cell r="H477" t="str">
            <v>фон</v>
          </cell>
          <cell r="I477" t="str">
            <v>конс.</v>
          </cell>
          <cell r="J477">
            <v>33725</v>
          </cell>
          <cell r="K477">
            <v>0</v>
          </cell>
          <cell r="L477">
            <v>0</v>
          </cell>
          <cell r="M477">
            <v>0</v>
          </cell>
          <cell r="N477">
            <v>15</v>
          </cell>
          <cell r="O477">
            <v>8.6</v>
          </cell>
          <cell r="P477">
            <v>30</v>
          </cell>
          <cell r="Q477">
            <v>15</v>
          </cell>
          <cell r="R477">
            <v>8.6</v>
          </cell>
          <cell r="S477">
            <v>29.2</v>
          </cell>
          <cell r="T477">
            <v>37650</v>
          </cell>
          <cell r="U477" t="str">
            <v>опт</v>
          </cell>
          <cell r="W477" t="str">
            <v>смена Н-57/Э-30</v>
          </cell>
          <cell r="AE477">
            <v>37657</v>
          </cell>
        </row>
        <row r="478">
          <cell r="B478">
            <v>3626</v>
          </cell>
          <cell r="C478">
            <v>301</v>
          </cell>
          <cell r="F478" t="str">
            <v>ПРС</v>
          </cell>
          <cell r="G478">
            <v>240</v>
          </cell>
          <cell r="H478" t="str">
            <v>ЭЦН</v>
          </cell>
          <cell r="I478" t="str">
            <v>бд</v>
          </cell>
          <cell r="J478">
            <v>34121</v>
          </cell>
          <cell r="K478">
            <v>0</v>
          </cell>
          <cell r="L478">
            <v>0</v>
          </cell>
          <cell r="M478">
            <v>0</v>
          </cell>
          <cell r="N478">
            <v>125</v>
          </cell>
          <cell r="O478">
            <v>5.0999999999999996</v>
          </cell>
          <cell r="P478">
            <v>95</v>
          </cell>
          <cell r="Q478">
            <v>125</v>
          </cell>
          <cell r="R478">
            <v>5.0999999999999996</v>
          </cell>
          <cell r="S478">
            <v>95</v>
          </cell>
          <cell r="T478">
            <v>37664</v>
          </cell>
          <cell r="U478" t="str">
            <v>бдп</v>
          </cell>
          <cell r="AE478">
            <v>37663</v>
          </cell>
        </row>
        <row r="479">
          <cell r="B479">
            <v>5611</v>
          </cell>
          <cell r="C479">
            <v>115</v>
          </cell>
          <cell r="F479" t="str">
            <v>ПРС</v>
          </cell>
          <cell r="H479" t="str">
            <v>ШГН</v>
          </cell>
          <cell r="I479" t="str">
            <v>действ.</v>
          </cell>
          <cell r="J479">
            <v>37640</v>
          </cell>
          <cell r="K479">
            <v>18</v>
          </cell>
          <cell r="L479">
            <v>8.1999999999999993</v>
          </cell>
          <cell r="M479">
            <v>44</v>
          </cell>
          <cell r="N479">
            <v>29</v>
          </cell>
          <cell r="O479">
            <v>13.2</v>
          </cell>
          <cell r="P479">
            <v>44</v>
          </cell>
          <cell r="Q479">
            <v>11</v>
          </cell>
          <cell r="R479">
            <v>5</v>
          </cell>
          <cell r="S479">
            <v>43.9</v>
          </cell>
          <cell r="T479">
            <v>37670</v>
          </cell>
          <cell r="U479" t="str">
            <v>опт</v>
          </cell>
          <cell r="AD479">
            <v>37645</v>
          </cell>
          <cell r="AE479">
            <v>37650</v>
          </cell>
        </row>
        <row r="480">
          <cell r="B480">
            <v>5856</v>
          </cell>
          <cell r="C480">
            <v>169</v>
          </cell>
          <cell r="F480" t="str">
            <v>ПРС</v>
          </cell>
          <cell r="H480" t="str">
            <v>фон.</v>
          </cell>
          <cell r="I480" t="str">
            <v>бд</v>
          </cell>
          <cell r="J480">
            <v>36585</v>
          </cell>
          <cell r="K480">
            <v>0</v>
          </cell>
          <cell r="L480">
            <v>0</v>
          </cell>
          <cell r="M480">
            <v>0</v>
          </cell>
          <cell r="N480">
            <v>30</v>
          </cell>
          <cell r="O480">
            <v>3.7</v>
          </cell>
          <cell r="P480">
            <v>85</v>
          </cell>
          <cell r="Q480">
            <v>30</v>
          </cell>
          <cell r="R480">
            <v>3.7</v>
          </cell>
          <cell r="S480">
            <v>84.8</v>
          </cell>
          <cell r="T480">
            <v>37636</v>
          </cell>
          <cell r="U480" t="str">
            <v>бдп</v>
          </cell>
          <cell r="W480" t="str">
            <v>Смена вор./Э-30</v>
          </cell>
          <cell r="AD480">
            <v>37608</v>
          </cell>
          <cell r="AE480">
            <v>37642</v>
          </cell>
        </row>
        <row r="481">
          <cell r="B481">
            <v>3888</v>
          </cell>
          <cell r="C481">
            <v>99</v>
          </cell>
          <cell r="F481" t="str">
            <v>Э-прогрев</v>
          </cell>
          <cell r="G481">
            <v>240</v>
          </cell>
          <cell r="H481" t="str">
            <v>ЭЦН</v>
          </cell>
          <cell r="I481" t="str">
            <v>конс.</v>
          </cell>
          <cell r="J481">
            <v>34274</v>
          </cell>
          <cell r="K481">
            <v>0</v>
          </cell>
          <cell r="L481">
            <v>0</v>
          </cell>
          <cell r="M481">
            <v>0</v>
          </cell>
          <cell r="N481">
            <v>50</v>
          </cell>
          <cell r="O481">
            <v>4.0999999999999996</v>
          </cell>
          <cell r="P481">
            <v>90</v>
          </cell>
          <cell r="Q481">
            <v>50</v>
          </cell>
          <cell r="R481">
            <v>4.0999999999999996</v>
          </cell>
          <cell r="S481">
            <v>89.9</v>
          </cell>
          <cell r="T481">
            <v>37685</v>
          </cell>
          <cell r="U481" t="str">
            <v>ВЦД</v>
          </cell>
          <cell r="W481" t="str">
            <v>ВЦ</v>
          </cell>
        </row>
        <row r="482">
          <cell r="B482">
            <v>5855</v>
          </cell>
          <cell r="C482">
            <v>169</v>
          </cell>
          <cell r="F482" t="str">
            <v>ПРС</v>
          </cell>
          <cell r="H482" t="str">
            <v>фон</v>
          </cell>
          <cell r="I482" t="str">
            <v>конс.</v>
          </cell>
          <cell r="J482">
            <v>35401</v>
          </cell>
          <cell r="K482">
            <v>0</v>
          </cell>
          <cell r="L482">
            <v>0</v>
          </cell>
          <cell r="M482">
            <v>0</v>
          </cell>
          <cell r="N482">
            <v>30</v>
          </cell>
          <cell r="O482">
            <v>12.2</v>
          </cell>
          <cell r="P482">
            <v>50</v>
          </cell>
          <cell r="Q482">
            <v>30</v>
          </cell>
          <cell r="R482">
            <v>12.2</v>
          </cell>
          <cell r="S482">
            <v>49.8</v>
          </cell>
          <cell r="T482">
            <v>37593</v>
          </cell>
          <cell r="U482" t="str">
            <v>вцд</v>
          </cell>
          <cell r="W482" t="str">
            <v>Смена вор./Э-30</v>
          </cell>
        </row>
        <row r="483">
          <cell r="B483">
            <v>5851</v>
          </cell>
          <cell r="C483">
            <v>169</v>
          </cell>
          <cell r="F483" t="str">
            <v>ПРС</v>
          </cell>
          <cell r="H483" t="str">
            <v>фон</v>
          </cell>
          <cell r="I483" t="str">
            <v>бд</v>
          </cell>
          <cell r="J483">
            <v>36840</v>
          </cell>
          <cell r="K483">
            <v>0</v>
          </cell>
          <cell r="L483">
            <v>0</v>
          </cell>
          <cell r="M483">
            <v>0</v>
          </cell>
          <cell r="N483">
            <v>80</v>
          </cell>
          <cell r="O483">
            <v>3.3</v>
          </cell>
          <cell r="P483">
            <v>95</v>
          </cell>
          <cell r="Q483">
            <v>80</v>
          </cell>
          <cell r="R483">
            <v>3.3</v>
          </cell>
          <cell r="S483">
            <v>94.9</v>
          </cell>
          <cell r="T483">
            <v>37607</v>
          </cell>
          <cell r="U483" t="str">
            <v>бдп</v>
          </cell>
          <cell r="W483" t="str">
            <v>Смена вор./Э-80</v>
          </cell>
        </row>
        <row r="484">
          <cell r="B484">
            <v>5715</v>
          </cell>
          <cell r="C484">
            <v>128</v>
          </cell>
          <cell r="F484" t="str">
            <v>ПРС</v>
          </cell>
          <cell r="H484" t="str">
            <v>фон</v>
          </cell>
          <cell r="I484" t="str">
            <v>бд</v>
          </cell>
          <cell r="J484">
            <v>32006</v>
          </cell>
          <cell r="K484">
            <v>0</v>
          </cell>
          <cell r="L484">
            <v>0</v>
          </cell>
          <cell r="M484">
            <v>0</v>
          </cell>
          <cell r="N484">
            <v>50</v>
          </cell>
          <cell r="O484">
            <v>8.1999999999999993</v>
          </cell>
          <cell r="P484">
            <v>80</v>
          </cell>
          <cell r="Q484">
            <v>50</v>
          </cell>
          <cell r="R484">
            <v>8.1999999999999993</v>
          </cell>
          <cell r="S484">
            <v>79.8</v>
          </cell>
          <cell r="T484">
            <v>37593</v>
          </cell>
          <cell r="U484" t="str">
            <v>вцд</v>
          </cell>
          <cell r="W484" t="str">
            <v>Смена вор./Э-50</v>
          </cell>
        </row>
        <row r="485">
          <cell r="B485">
            <v>2991</v>
          </cell>
          <cell r="C485">
            <v>48</v>
          </cell>
          <cell r="F485" t="str">
            <v>ПРС</v>
          </cell>
          <cell r="G485">
            <v>255</v>
          </cell>
          <cell r="H485" t="str">
            <v>ЭЦН</v>
          </cell>
          <cell r="I485" t="str">
            <v>действ.</v>
          </cell>
          <cell r="K485">
            <v>82</v>
          </cell>
          <cell r="L485">
            <v>10.7</v>
          </cell>
          <cell r="M485">
            <v>84</v>
          </cell>
          <cell r="N485">
            <v>118</v>
          </cell>
          <cell r="O485">
            <v>15.4</v>
          </cell>
          <cell r="P485">
            <v>84</v>
          </cell>
          <cell r="Q485">
            <v>36</v>
          </cell>
          <cell r="R485">
            <v>4.7</v>
          </cell>
          <cell r="S485">
            <v>83.9</v>
          </cell>
          <cell r="T485">
            <v>37601</v>
          </cell>
          <cell r="U485" t="str">
            <v>опт</v>
          </cell>
          <cell r="W485" t="str">
            <v>Смена Э-80/Э-125</v>
          </cell>
        </row>
        <row r="486">
          <cell r="B486">
            <v>2921</v>
          </cell>
          <cell r="C486" t="str">
            <v>43б</v>
          </cell>
          <cell r="F486" t="str">
            <v>ПРС</v>
          </cell>
          <cell r="H486" t="str">
            <v>ШГН</v>
          </cell>
          <cell r="I486" t="str">
            <v>действ.</v>
          </cell>
          <cell r="K486">
            <v>26</v>
          </cell>
          <cell r="L486">
            <v>13.8</v>
          </cell>
          <cell r="M486">
            <v>35</v>
          </cell>
          <cell r="N486">
            <v>37</v>
          </cell>
          <cell r="O486">
            <v>19.8</v>
          </cell>
          <cell r="P486">
            <v>35</v>
          </cell>
          <cell r="Q486">
            <v>11</v>
          </cell>
          <cell r="R486">
            <v>6</v>
          </cell>
          <cell r="S486">
            <v>32.700000000000003</v>
          </cell>
          <cell r="T486">
            <v>37605</v>
          </cell>
          <cell r="U486" t="str">
            <v>опт</v>
          </cell>
          <cell r="W486" t="str">
            <v>Смена Н-44/Э-30</v>
          </cell>
          <cell r="Y486" t="str">
            <v>Нет СУ</v>
          </cell>
        </row>
        <row r="487">
          <cell r="B487">
            <v>5553</v>
          </cell>
          <cell r="C487">
            <v>117</v>
          </cell>
          <cell r="F487" t="str">
            <v>ПРС</v>
          </cell>
          <cell r="H487" t="str">
            <v>ШГН</v>
          </cell>
          <cell r="I487" t="str">
            <v>конс.</v>
          </cell>
          <cell r="J487">
            <v>33178</v>
          </cell>
          <cell r="K487">
            <v>0</v>
          </cell>
          <cell r="L487">
            <v>0</v>
          </cell>
          <cell r="M487">
            <v>0</v>
          </cell>
          <cell r="N487">
            <v>30</v>
          </cell>
          <cell r="O487">
            <v>9.8000000000000007</v>
          </cell>
          <cell r="P487">
            <v>60</v>
          </cell>
          <cell r="Q487">
            <v>30</v>
          </cell>
          <cell r="R487">
            <v>9.8000000000000007</v>
          </cell>
          <cell r="S487">
            <v>59.7</v>
          </cell>
          <cell r="T487">
            <v>37923</v>
          </cell>
          <cell r="U487" t="str">
            <v>ВЦ</v>
          </cell>
          <cell r="W487" t="str">
            <v>ВЦ ПП.ЮК-10.МШУ,сп.Э-30</v>
          </cell>
          <cell r="X487" t="str">
            <v>непроход</v>
          </cell>
          <cell r="Z487" t="str">
            <v>?</v>
          </cell>
        </row>
        <row r="488">
          <cell r="B488">
            <v>2817</v>
          </cell>
          <cell r="C488">
            <v>145</v>
          </cell>
          <cell r="F488" t="str">
            <v>ПРС</v>
          </cell>
          <cell r="H488" t="str">
            <v>Ф/Э</v>
          </cell>
          <cell r="I488" t="str">
            <v>бд</v>
          </cell>
          <cell r="J488">
            <v>34282</v>
          </cell>
          <cell r="K488">
            <v>0</v>
          </cell>
          <cell r="L488">
            <v>0</v>
          </cell>
          <cell r="M488">
            <v>0</v>
          </cell>
          <cell r="N488">
            <v>50</v>
          </cell>
          <cell r="O488">
            <v>4.0999999999999996</v>
          </cell>
          <cell r="P488">
            <v>90</v>
          </cell>
          <cell r="Q488">
            <v>50</v>
          </cell>
          <cell r="R488">
            <v>4.0999999999999996</v>
          </cell>
          <cell r="S488">
            <v>89.9</v>
          </cell>
          <cell r="T488">
            <v>37585</v>
          </cell>
          <cell r="U488" t="str">
            <v>ВЦД</v>
          </cell>
          <cell r="W488" t="str">
            <v>в.ц.,в.з.(г/ж),рев.ЭЦН-50</v>
          </cell>
          <cell r="X488" t="str">
            <v>Прихват ЭЦН</v>
          </cell>
          <cell r="Y488" t="str">
            <v>комплект</v>
          </cell>
          <cell r="Z488" t="str">
            <v>?</v>
          </cell>
        </row>
        <row r="489">
          <cell r="B489">
            <v>3034</v>
          </cell>
          <cell r="C489">
            <v>51</v>
          </cell>
          <cell r="F489" t="str">
            <v>УПНПиКРС</v>
          </cell>
          <cell r="G489">
            <v>265</v>
          </cell>
          <cell r="H489" t="str">
            <v>ШГН</v>
          </cell>
          <cell r="I489" t="str">
            <v>конс.</v>
          </cell>
          <cell r="J489">
            <v>32933</v>
          </cell>
          <cell r="K489">
            <v>0</v>
          </cell>
          <cell r="L489">
            <v>0</v>
          </cell>
          <cell r="M489">
            <v>0</v>
          </cell>
          <cell r="N489">
            <v>30</v>
          </cell>
          <cell r="O489">
            <v>9.8000000000000007</v>
          </cell>
          <cell r="P489">
            <v>60</v>
          </cell>
          <cell r="Q489">
            <v>30</v>
          </cell>
          <cell r="R489">
            <v>9.8000000000000007</v>
          </cell>
          <cell r="S489">
            <v>59.7</v>
          </cell>
          <cell r="T489">
            <v>37913</v>
          </cell>
          <cell r="U489" t="str">
            <v>ВЦ</v>
          </cell>
          <cell r="W489" t="str">
            <v>ВЦ ,ВЗМШУ,сп.Э-30</v>
          </cell>
          <cell r="X489" t="str">
            <v>непроход</v>
          </cell>
          <cell r="Y489" t="str">
            <v>комплект</v>
          </cell>
          <cell r="Z489">
            <v>2</v>
          </cell>
          <cell r="AD489">
            <v>37884</v>
          </cell>
          <cell r="AE489">
            <v>37906</v>
          </cell>
        </row>
        <row r="490">
          <cell r="B490">
            <v>5704</v>
          </cell>
          <cell r="C490">
            <v>126</v>
          </cell>
          <cell r="F490" t="str">
            <v>ПРС</v>
          </cell>
          <cell r="H490" t="str">
            <v>ШГН</v>
          </cell>
          <cell r="I490" t="str">
            <v>бд</v>
          </cell>
          <cell r="J490">
            <v>37174</v>
          </cell>
          <cell r="K490">
            <v>0</v>
          </cell>
          <cell r="L490">
            <v>0</v>
          </cell>
          <cell r="M490">
            <v>0</v>
          </cell>
          <cell r="N490">
            <v>10</v>
          </cell>
          <cell r="O490">
            <v>8.1999999999999993</v>
          </cell>
          <cell r="P490">
            <v>0</v>
          </cell>
          <cell r="Q490">
            <v>10</v>
          </cell>
          <cell r="R490">
            <v>8.1999999999999993</v>
          </cell>
          <cell r="S490">
            <v>-1.2</v>
          </cell>
          <cell r="W490" t="str">
            <v>ВЦ КОПС,ВЗ(ГЖ)рев.НВ-44</v>
          </cell>
          <cell r="Y490" t="str">
            <v>комплект</v>
          </cell>
        </row>
        <row r="491">
          <cell r="B491">
            <v>5545</v>
          </cell>
          <cell r="C491">
            <v>115</v>
          </cell>
          <cell r="F491" t="str">
            <v>ПРС</v>
          </cell>
          <cell r="H491" t="str">
            <v>ЭЦН</v>
          </cell>
          <cell r="I491" t="str">
            <v>бд</v>
          </cell>
          <cell r="J491">
            <v>34484</v>
          </cell>
          <cell r="K491">
            <v>0</v>
          </cell>
          <cell r="L491">
            <v>0</v>
          </cell>
          <cell r="M491">
            <v>0</v>
          </cell>
          <cell r="N491">
            <v>250</v>
          </cell>
          <cell r="O491">
            <v>6.1</v>
          </cell>
          <cell r="P491">
            <v>97</v>
          </cell>
          <cell r="Q491">
            <v>250</v>
          </cell>
          <cell r="R491">
            <v>6.1</v>
          </cell>
          <cell r="S491">
            <v>97</v>
          </cell>
          <cell r="W491" t="str">
            <v>ВЗ(ГЖ),шабл.Э/К,см.Э-125/Э-250</v>
          </cell>
          <cell r="Y491" t="str">
            <v>комплект</v>
          </cell>
          <cell r="Z491">
            <v>72</v>
          </cell>
        </row>
        <row r="492">
          <cell r="B492">
            <v>5219</v>
          </cell>
          <cell r="C492">
            <v>135</v>
          </cell>
          <cell r="F492" t="str">
            <v>ПРС</v>
          </cell>
          <cell r="H492" t="str">
            <v>ЭЦН</v>
          </cell>
          <cell r="I492" t="str">
            <v>конс.</v>
          </cell>
          <cell r="J492">
            <v>34366</v>
          </cell>
          <cell r="K492">
            <v>0</v>
          </cell>
          <cell r="L492">
            <v>0</v>
          </cell>
          <cell r="M492">
            <v>0</v>
          </cell>
          <cell r="N492">
            <v>80</v>
          </cell>
          <cell r="O492">
            <v>5.2</v>
          </cell>
          <cell r="P492">
            <v>92</v>
          </cell>
          <cell r="Q492">
            <v>80</v>
          </cell>
          <cell r="R492">
            <v>5.2</v>
          </cell>
          <cell r="S492">
            <v>92</v>
          </cell>
          <cell r="W492" t="str">
            <v>в.ц.,в.з.(г/ж),Э-50/Э-80</v>
          </cell>
          <cell r="Z492" t="str">
            <v>?</v>
          </cell>
        </row>
        <row r="493">
          <cell r="B493">
            <v>5589</v>
          </cell>
          <cell r="C493">
            <v>118</v>
          </cell>
          <cell r="F493" t="str">
            <v>ПРС</v>
          </cell>
          <cell r="H493" t="str">
            <v>Ф/Э</v>
          </cell>
          <cell r="I493" t="str">
            <v>конс.</v>
          </cell>
          <cell r="J493">
            <v>32843</v>
          </cell>
          <cell r="K493">
            <v>0</v>
          </cell>
          <cell r="L493">
            <v>0</v>
          </cell>
          <cell r="M493">
            <v>0</v>
          </cell>
          <cell r="N493">
            <v>125</v>
          </cell>
          <cell r="O493">
            <v>5.0999999999999996</v>
          </cell>
          <cell r="P493">
            <v>95</v>
          </cell>
          <cell r="Q493">
            <v>125</v>
          </cell>
          <cell r="R493">
            <v>5.0999999999999996</v>
          </cell>
          <cell r="S493">
            <v>95</v>
          </cell>
          <cell r="W493" t="str">
            <v>в.ц.,в.з.(г/ж),рев.ЭЦН-125</v>
          </cell>
          <cell r="Y493" t="str">
            <v>комплект</v>
          </cell>
          <cell r="Z493">
            <v>25</v>
          </cell>
        </row>
        <row r="494">
          <cell r="B494">
            <v>5675</v>
          </cell>
          <cell r="C494">
            <v>126</v>
          </cell>
          <cell r="F494" t="str">
            <v>ПРС</v>
          </cell>
          <cell r="H494" t="str">
            <v>ШГН</v>
          </cell>
          <cell r="I494" t="str">
            <v>конс.</v>
          </cell>
          <cell r="J494">
            <v>35585</v>
          </cell>
          <cell r="K494">
            <v>0</v>
          </cell>
          <cell r="L494">
            <v>0</v>
          </cell>
          <cell r="M494">
            <v>0</v>
          </cell>
          <cell r="N494">
            <v>10</v>
          </cell>
          <cell r="O494">
            <v>4.9000000000000004</v>
          </cell>
          <cell r="P494">
            <v>40</v>
          </cell>
          <cell r="Q494">
            <v>10</v>
          </cell>
          <cell r="R494">
            <v>4.9000000000000004</v>
          </cell>
          <cell r="S494">
            <v>39.5</v>
          </cell>
          <cell r="W494" t="str">
            <v>в.ц.,в.з.(г/ж),рев.НВ-44</v>
          </cell>
          <cell r="Y494" t="str">
            <v>комплект</v>
          </cell>
          <cell r="Z494" t="str">
            <v>?</v>
          </cell>
        </row>
        <row r="495">
          <cell r="B495">
            <v>5493</v>
          </cell>
          <cell r="C495">
            <v>106</v>
          </cell>
          <cell r="F495" t="str">
            <v>ПРС</v>
          </cell>
          <cell r="H495" t="str">
            <v>ШГН</v>
          </cell>
          <cell r="I495" t="str">
            <v>конс.</v>
          </cell>
          <cell r="J495">
            <v>35247</v>
          </cell>
          <cell r="K495">
            <v>0</v>
          </cell>
          <cell r="L495">
            <v>0</v>
          </cell>
          <cell r="M495">
            <v>0</v>
          </cell>
          <cell r="N495">
            <v>10</v>
          </cell>
          <cell r="O495">
            <v>3.6</v>
          </cell>
          <cell r="P495">
            <v>55.6</v>
          </cell>
          <cell r="Q495">
            <v>10</v>
          </cell>
          <cell r="R495">
            <v>3.6</v>
          </cell>
          <cell r="S495">
            <v>55.6</v>
          </cell>
          <cell r="T495">
            <v>38601</v>
          </cell>
          <cell r="U495" t="str">
            <v>бдп</v>
          </cell>
          <cell r="W495" t="str">
            <v>В.Ц.(КОПС),рев.НВ-44</v>
          </cell>
        </row>
        <row r="496">
          <cell r="B496">
            <v>3786</v>
          </cell>
          <cell r="C496">
            <v>97</v>
          </cell>
          <cell r="F496" t="str">
            <v>ПРС</v>
          </cell>
          <cell r="H496" t="str">
            <v>Ф/Э</v>
          </cell>
          <cell r="I496" t="str">
            <v>бд</v>
          </cell>
          <cell r="K496">
            <v>0</v>
          </cell>
          <cell r="L496">
            <v>0</v>
          </cell>
          <cell r="M496">
            <v>0</v>
          </cell>
          <cell r="N496">
            <v>50</v>
          </cell>
          <cell r="O496">
            <v>3.6</v>
          </cell>
          <cell r="P496">
            <v>91.1</v>
          </cell>
          <cell r="Q496">
            <v>50</v>
          </cell>
          <cell r="R496">
            <v>3.6</v>
          </cell>
          <cell r="S496">
            <v>91.1</v>
          </cell>
          <cell r="T496">
            <v>38613</v>
          </cell>
          <cell r="U496" t="str">
            <v>бдп</v>
          </cell>
          <cell r="W496" t="str">
            <v>В.Ц.(КОПС),см.Э-50</v>
          </cell>
        </row>
        <row r="497">
          <cell r="B497">
            <v>5587</v>
          </cell>
          <cell r="C497">
            <v>118</v>
          </cell>
          <cell r="F497" t="str">
            <v>ПРС</v>
          </cell>
          <cell r="H497" t="str">
            <v>Ф/Э</v>
          </cell>
          <cell r="I497" t="str">
            <v>бд</v>
          </cell>
          <cell r="J497">
            <v>34883</v>
          </cell>
          <cell r="K497">
            <v>0</v>
          </cell>
          <cell r="L497">
            <v>0</v>
          </cell>
          <cell r="M497">
            <v>0</v>
          </cell>
          <cell r="N497">
            <v>50</v>
          </cell>
          <cell r="O497">
            <v>4.9000000000000004</v>
          </cell>
          <cell r="P497">
            <v>88</v>
          </cell>
          <cell r="Q497">
            <v>50</v>
          </cell>
          <cell r="R497">
            <v>4.9000000000000004</v>
          </cell>
          <cell r="S497">
            <v>87.9</v>
          </cell>
          <cell r="U497" t="str">
            <v>бдп</v>
          </cell>
          <cell r="W497" t="str">
            <v>в.ц.,в.з.(г/ж),вор./Э-50</v>
          </cell>
        </row>
        <row r="498">
          <cell r="B498">
            <v>5553</v>
          </cell>
          <cell r="C498">
            <v>117</v>
          </cell>
          <cell r="F498" t="str">
            <v>ПРС</v>
          </cell>
          <cell r="H498" t="str">
            <v>ШГН</v>
          </cell>
          <cell r="I498" t="str">
            <v>конс.</v>
          </cell>
          <cell r="J498">
            <v>33178</v>
          </cell>
          <cell r="K498">
            <v>0</v>
          </cell>
          <cell r="L498">
            <v>0</v>
          </cell>
          <cell r="M498">
            <v>0</v>
          </cell>
          <cell r="N498">
            <v>50</v>
          </cell>
          <cell r="O498">
            <v>4.9000000000000004</v>
          </cell>
          <cell r="P498">
            <v>88</v>
          </cell>
          <cell r="Q498">
            <v>50</v>
          </cell>
          <cell r="R498">
            <v>4.9000000000000004</v>
          </cell>
          <cell r="S498">
            <v>87.9</v>
          </cell>
          <cell r="U498" t="str">
            <v>бдп</v>
          </cell>
          <cell r="W498" t="str">
            <v>в.ц.,в.з.(г/ж),НН-57/Э-50</v>
          </cell>
          <cell r="Z498" t="str">
            <v>?</v>
          </cell>
        </row>
        <row r="499">
          <cell r="B499">
            <v>4025</v>
          </cell>
          <cell r="C499">
            <v>313</v>
          </cell>
          <cell r="F499" t="str">
            <v>ПРС</v>
          </cell>
          <cell r="H499" t="str">
            <v>фон</v>
          </cell>
          <cell r="I499" t="str">
            <v>конс.</v>
          </cell>
          <cell r="K499">
            <v>0</v>
          </cell>
          <cell r="L499">
            <v>0</v>
          </cell>
          <cell r="M499">
            <v>0</v>
          </cell>
          <cell r="N499">
            <v>50</v>
          </cell>
          <cell r="O499">
            <v>3.6</v>
          </cell>
          <cell r="P499">
            <v>91.1</v>
          </cell>
          <cell r="Q499">
            <v>50</v>
          </cell>
          <cell r="R499">
            <v>3.6</v>
          </cell>
          <cell r="S499">
            <v>91.1</v>
          </cell>
          <cell r="T499">
            <v>38624</v>
          </cell>
          <cell r="U499" t="str">
            <v>бдп</v>
          </cell>
          <cell r="W499" t="str">
            <v>В.Ц.,см.Э-50</v>
          </cell>
        </row>
        <row r="500">
          <cell r="B500">
            <v>3653</v>
          </cell>
          <cell r="C500" t="str">
            <v>96б</v>
          </cell>
          <cell r="F500" t="str">
            <v>ПРС</v>
          </cell>
          <cell r="H500" t="str">
            <v>ЭЦН</v>
          </cell>
          <cell r="I500" t="str">
            <v>конс.</v>
          </cell>
          <cell r="K500">
            <v>0</v>
          </cell>
          <cell r="L500">
            <v>0</v>
          </cell>
          <cell r="M500">
            <v>0</v>
          </cell>
          <cell r="N500">
            <v>50</v>
          </cell>
          <cell r="O500">
            <v>3.6</v>
          </cell>
          <cell r="P500">
            <v>91.1</v>
          </cell>
          <cell r="Q500">
            <v>50</v>
          </cell>
          <cell r="R500">
            <v>3.6</v>
          </cell>
          <cell r="S500">
            <v>91.1</v>
          </cell>
          <cell r="T500">
            <v>38600</v>
          </cell>
          <cell r="U500" t="str">
            <v>бдп</v>
          </cell>
          <cell r="W500" t="str">
            <v>В.Ц.,см.Э-50</v>
          </cell>
        </row>
        <row r="501">
          <cell r="B501">
            <v>2862</v>
          </cell>
          <cell r="C501">
            <v>127</v>
          </cell>
          <cell r="F501" t="str">
            <v>ПРС</v>
          </cell>
          <cell r="H501" t="str">
            <v>ШГН</v>
          </cell>
          <cell r="I501" t="str">
            <v>бд</v>
          </cell>
          <cell r="J501">
            <v>37142</v>
          </cell>
          <cell r="K501">
            <v>0</v>
          </cell>
          <cell r="L501">
            <v>0</v>
          </cell>
          <cell r="M501">
            <v>0</v>
          </cell>
          <cell r="N501">
            <v>50</v>
          </cell>
          <cell r="O501">
            <v>4.0999999999999996</v>
          </cell>
          <cell r="P501">
            <v>90</v>
          </cell>
          <cell r="Q501">
            <v>50</v>
          </cell>
          <cell r="R501">
            <v>4.0999999999999996</v>
          </cell>
          <cell r="S501">
            <v>89.9</v>
          </cell>
          <cell r="T501">
            <v>38173</v>
          </cell>
          <cell r="U501" t="str">
            <v>вцд</v>
          </cell>
          <cell r="W501" t="str">
            <v>ВЦ."БАРС" .См.НН-57/Э-50</v>
          </cell>
          <cell r="Y501" t="str">
            <v>Нет ЭД, СУ.</v>
          </cell>
          <cell r="Z501" t="str">
            <v>?</v>
          </cell>
        </row>
        <row r="502">
          <cell r="B502">
            <v>5224</v>
          </cell>
          <cell r="C502">
            <v>145</v>
          </cell>
          <cell r="F502" t="str">
            <v>ПРС</v>
          </cell>
          <cell r="H502" t="str">
            <v>Ф/Э</v>
          </cell>
          <cell r="I502" t="str">
            <v>конс.</v>
          </cell>
          <cell r="J502">
            <v>34883</v>
          </cell>
          <cell r="K502">
            <v>0</v>
          </cell>
          <cell r="L502">
            <v>0</v>
          </cell>
          <cell r="M502">
            <v>0</v>
          </cell>
          <cell r="N502">
            <v>50</v>
          </cell>
          <cell r="O502">
            <v>4.0999999999999996</v>
          </cell>
          <cell r="P502">
            <v>90</v>
          </cell>
          <cell r="Q502">
            <v>50</v>
          </cell>
          <cell r="R502">
            <v>4.0999999999999996</v>
          </cell>
          <cell r="S502">
            <v>89.9</v>
          </cell>
          <cell r="W502" t="str">
            <v>рев.Э-50</v>
          </cell>
          <cell r="Z502">
            <v>15</v>
          </cell>
        </row>
        <row r="503">
          <cell r="B503">
            <v>5583</v>
          </cell>
          <cell r="C503">
            <v>116</v>
          </cell>
          <cell r="F503" t="str">
            <v>ПРС</v>
          </cell>
          <cell r="H503" t="str">
            <v>Ф/Э</v>
          </cell>
          <cell r="I503" t="str">
            <v>конс.</v>
          </cell>
          <cell r="J503">
            <v>34883</v>
          </cell>
          <cell r="K503">
            <v>0</v>
          </cell>
          <cell r="L503">
            <v>0</v>
          </cell>
          <cell r="M503">
            <v>0</v>
          </cell>
          <cell r="N503">
            <v>50</v>
          </cell>
          <cell r="O503">
            <v>4.0999999999999996</v>
          </cell>
          <cell r="P503">
            <v>90</v>
          </cell>
          <cell r="Q503">
            <v>50</v>
          </cell>
          <cell r="R503">
            <v>4.0999999999999996</v>
          </cell>
          <cell r="S503">
            <v>89.9</v>
          </cell>
          <cell r="T503">
            <v>37870</v>
          </cell>
          <cell r="U503" t="str">
            <v>ВЦД</v>
          </cell>
          <cell r="W503" t="str">
            <v>ВЦ.Смена Э-50</v>
          </cell>
          <cell r="Z503">
            <v>1</v>
          </cell>
          <cell r="AD503">
            <v>37836</v>
          </cell>
          <cell r="AE503">
            <v>37865</v>
          </cell>
        </row>
        <row r="504">
          <cell r="B504">
            <v>5352</v>
          </cell>
          <cell r="C504">
            <v>104</v>
          </cell>
          <cell r="F504" t="str">
            <v>ПРС</v>
          </cell>
          <cell r="H504" t="str">
            <v>ЭЦН</v>
          </cell>
          <cell r="I504" t="str">
            <v>бд</v>
          </cell>
          <cell r="J504">
            <v>34001</v>
          </cell>
          <cell r="K504">
            <v>0</v>
          </cell>
          <cell r="L504">
            <v>0</v>
          </cell>
          <cell r="M504">
            <v>0</v>
          </cell>
          <cell r="N504">
            <v>50</v>
          </cell>
          <cell r="O504">
            <v>4.0999999999999996</v>
          </cell>
          <cell r="P504">
            <v>90</v>
          </cell>
          <cell r="Q504">
            <v>50</v>
          </cell>
          <cell r="R504">
            <v>4.0999999999999996</v>
          </cell>
          <cell r="S504">
            <v>89.9</v>
          </cell>
          <cell r="W504" t="str">
            <v>в.ц.,в.з.(г/ж),ЭЦН-80/Э-50</v>
          </cell>
          <cell r="Y504" t="str">
            <v>комплект</v>
          </cell>
        </row>
        <row r="505">
          <cell r="B505">
            <v>3567</v>
          </cell>
          <cell r="C505">
            <v>93</v>
          </cell>
          <cell r="F505" t="str">
            <v>ПРС</v>
          </cell>
          <cell r="H505" t="str">
            <v>ЭЦН</v>
          </cell>
          <cell r="I505" t="str">
            <v>действ.</v>
          </cell>
          <cell r="K505">
            <v>112</v>
          </cell>
          <cell r="L505">
            <v>5.5</v>
          </cell>
          <cell r="M505">
            <v>94</v>
          </cell>
          <cell r="N505">
            <v>233</v>
          </cell>
          <cell r="O505">
            <v>11.4</v>
          </cell>
          <cell r="P505">
            <v>94</v>
          </cell>
          <cell r="Q505">
            <v>121</v>
          </cell>
          <cell r="R505">
            <v>5.9</v>
          </cell>
          <cell r="S505">
            <v>94</v>
          </cell>
          <cell r="U505" t="str">
            <v>опт</v>
          </cell>
          <cell r="W505" t="str">
            <v>Оптимизация Э-125/Э-250</v>
          </cell>
        </row>
        <row r="506">
          <cell r="B506" t="str">
            <v>2821б</v>
          </cell>
          <cell r="C506">
            <v>144</v>
          </cell>
          <cell r="F506" t="str">
            <v>ПРС</v>
          </cell>
          <cell r="H506" t="str">
            <v>ШГН</v>
          </cell>
          <cell r="I506" t="str">
            <v>действ.</v>
          </cell>
          <cell r="K506">
            <v>20</v>
          </cell>
          <cell r="L506">
            <v>13.5</v>
          </cell>
          <cell r="M506">
            <v>17</v>
          </cell>
          <cell r="N506">
            <v>27.8</v>
          </cell>
          <cell r="O506">
            <v>18.8</v>
          </cell>
          <cell r="P506">
            <v>17</v>
          </cell>
          <cell r="Q506">
            <v>7.8</v>
          </cell>
          <cell r="R506">
            <v>5.3</v>
          </cell>
          <cell r="S506">
            <v>16.100000000000001</v>
          </cell>
          <cell r="T506">
            <v>37525</v>
          </cell>
          <cell r="U506" t="str">
            <v>опт</v>
          </cell>
          <cell r="W506" t="str">
            <v>Оптимизация Н-57/Э-30</v>
          </cell>
        </row>
        <row r="507">
          <cell r="B507">
            <v>3038</v>
          </cell>
          <cell r="C507">
            <v>67</v>
          </cell>
          <cell r="F507" t="str">
            <v>КРС</v>
          </cell>
          <cell r="H507" t="str">
            <v>ШГН</v>
          </cell>
          <cell r="I507" t="str">
            <v>конс.</v>
          </cell>
          <cell r="N507">
            <v>50</v>
          </cell>
          <cell r="O507">
            <v>9</v>
          </cell>
          <cell r="P507">
            <v>78</v>
          </cell>
          <cell r="Q507">
            <v>50</v>
          </cell>
          <cell r="R507">
            <v>9</v>
          </cell>
          <cell r="S507">
            <v>78</v>
          </cell>
          <cell r="T507">
            <v>38210</v>
          </cell>
          <cell r="U507" t="str">
            <v>БДк</v>
          </cell>
          <cell r="W507" t="str">
            <v>ВЦ,ВЗ,ПП ЮК-10,ДП КВ,СКО,ГИС-2,сп.Э-50</v>
          </cell>
        </row>
        <row r="508">
          <cell r="B508" t="str">
            <v>104р</v>
          </cell>
          <cell r="F508" t="str">
            <v>ДНГ</v>
          </cell>
          <cell r="H508" t="str">
            <v>ФОН</v>
          </cell>
          <cell r="I508" t="str">
            <v>бд</v>
          </cell>
          <cell r="K508">
            <v>0</v>
          </cell>
          <cell r="L508">
            <v>0</v>
          </cell>
          <cell r="M508">
            <v>0</v>
          </cell>
          <cell r="N508">
            <v>3</v>
          </cell>
          <cell r="O508">
            <v>2.4</v>
          </cell>
          <cell r="P508">
            <v>2</v>
          </cell>
          <cell r="Q508">
            <v>3</v>
          </cell>
          <cell r="R508">
            <v>2.4</v>
          </cell>
          <cell r="S508">
            <v>1.2</v>
          </cell>
          <cell r="T508">
            <v>37522</v>
          </cell>
          <cell r="U508" t="str">
            <v>БДД</v>
          </cell>
          <cell r="W508" t="str">
            <v>На ёмкость</v>
          </cell>
        </row>
        <row r="509">
          <cell r="B509">
            <v>5644</v>
          </cell>
          <cell r="C509">
            <v>126</v>
          </cell>
          <cell r="F509" t="str">
            <v>КРС</v>
          </cell>
          <cell r="H509" t="str">
            <v>ЭЦН</v>
          </cell>
          <cell r="I509" t="str">
            <v>бд</v>
          </cell>
          <cell r="K509">
            <v>0</v>
          </cell>
          <cell r="L509">
            <v>0</v>
          </cell>
          <cell r="M509">
            <v>0</v>
          </cell>
          <cell r="N509">
            <v>27</v>
          </cell>
          <cell r="O509">
            <v>19.8</v>
          </cell>
          <cell r="P509">
            <v>10</v>
          </cell>
          <cell r="Q509">
            <v>27</v>
          </cell>
          <cell r="R509">
            <v>19.8</v>
          </cell>
          <cell r="S509">
            <v>9.5</v>
          </cell>
          <cell r="T509">
            <v>37529</v>
          </cell>
          <cell r="U509" t="str">
            <v>ЗБС</v>
          </cell>
          <cell r="W509" t="str">
            <v>ЗБГС</v>
          </cell>
        </row>
        <row r="510">
          <cell r="B510">
            <v>5659</v>
          </cell>
          <cell r="C510" t="str">
            <v>122б</v>
          </cell>
          <cell r="F510" t="str">
            <v>ПРС</v>
          </cell>
          <cell r="H510" t="str">
            <v>ЭЦН</v>
          </cell>
          <cell r="I510" t="str">
            <v>бд</v>
          </cell>
          <cell r="J510">
            <v>37465</v>
          </cell>
          <cell r="K510">
            <v>0</v>
          </cell>
          <cell r="L510">
            <v>0</v>
          </cell>
          <cell r="M510">
            <v>0</v>
          </cell>
          <cell r="N510">
            <v>30</v>
          </cell>
          <cell r="O510">
            <v>22</v>
          </cell>
          <cell r="P510">
            <v>10</v>
          </cell>
          <cell r="Q510">
            <v>30</v>
          </cell>
          <cell r="R510">
            <v>22</v>
          </cell>
          <cell r="S510">
            <v>9.5</v>
          </cell>
          <cell r="T510">
            <v>37559</v>
          </cell>
          <cell r="U510" t="str">
            <v>БДт</v>
          </cell>
          <cell r="W510" t="str">
            <v>Подъем вор.,ОПЗ СКО (V-30м3), сп.Э-30</v>
          </cell>
        </row>
        <row r="511">
          <cell r="B511">
            <v>5451</v>
          </cell>
          <cell r="C511">
            <v>101</v>
          </cell>
          <cell r="F511" t="str">
            <v>ПРС</v>
          </cell>
          <cell r="H511" t="str">
            <v>ШГН</v>
          </cell>
          <cell r="I511" t="str">
            <v>бд</v>
          </cell>
          <cell r="J511">
            <v>35708</v>
          </cell>
          <cell r="K511">
            <v>0</v>
          </cell>
          <cell r="L511">
            <v>0</v>
          </cell>
          <cell r="M511">
            <v>0</v>
          </cell>
          <cell r="N511">
            <v>10</v>
          </cell>
          <cell r="O511">
            <v>7.6</v>
          </cell>
          <cell r="P511">
            <v>7.1</v>
          </cell>
          <cell r="Q511">
            <v>10</v>
          </cell>
          <cell r="R511">
            <v>7.6</v>
          </cell>
          <cell r="S511">
            <v>6.2</v>
          </cell>
          <cell r="T511">
            <v>37559</v>
          </cell>
          <cell r="U511" t="str">
            <v>БДП</v>
          </cell>
          <cell r="W511" t="str">
            <v>Смена Н-44</v>
          </cell>
        </row>
        <row r="512">
          <cell r="B512">
            <v>2923</v>
          </cell>
          <cell r="C512">
            <v>132</v>
          </cell>
          <cell r="F512" t="str">
            <v>ПРС</v>
          </cell>
          <cell r="H512" t="str">
            <v>ШГН</v>
          </cell>
          <cell r="I512" t="str">
            <v>действ.</v>
          </cell>
          <cell r="K512">
            <v>20</v>
          </cell>
          <cell r="L512">
            <v>7.2</v>
          </cell>
          <cell r="M512">
            <v>56</v>
          </cell>
          <cell r="N512">
            <v>33</v>
          </cell>
          <cell r="O512">
            <v>11.8</v>
          </cell>
          <cell r="P512">
            <v>56</v>
          </cell>
          <cell r="Q512">
            <v>13</v>
          </cell>
          <cell r="R512">
            <v>4.5999999999999996</v>
          </cell>
          <cell r="S512">
            <v>56.3</v>
          </cell>
          <cell r="T512">
            <v>37590</v>
          </cell>
          <cell r="U512" t="str">
            <v>опт</v>
          </cell>
          <cell r="W512" t="str">
            <v>Смена Н-44/Э-30</v>
          </cell>
        </row>
        <row r="513">
          <cell r="B513">
            <v>3099</v>
          </cell>
          <cell r="C513">
            <v>52</v>
          </cell>
          <cell r="F513" t="str">
            <v>ПРС</v>
          </cell>
          <cell r="H513" t="str">
            <v>ШГН</v>
          </cell>
          <cell r="I513" t="str">
            <v>бдт</v>
          </cell>
          <cell r="J513">
            <v>37352</v>
          </cell>
          <cell r="K513">
            <v>0</v>
          </cell>
          <cell r="L513">
            <v>0</v>
          </cell>
          <cell r="M513">
            <v>0</v>
          </cell>
          <cell r="N513">
            <v>50</v>
          </cell>
          <cell r="O513">
            <v>4.0999999999999996</v>
          </cell>
          <cell r="P513">
            <v>90</v>
          </cell>
          <cell r="Q513">
            <v>50</v>
          </cell>
          <cell r="R513">
            <v>4.0999999999999996</v>
          </cell>
          <cell r="S513">
            <v>89.9</v>
          </cell>
          <cell r="T513">
            <v>37593</v>
          </cell>
          <cell r="U513" t="str">
            <v>бдп</v>
          </cell>
          <cell r="W513" t="str">
            <v>См.Н-57/Э-50</v>
          </cell>
        </row>
        <row r="514">
          <cell r="B514">
            <v>5399</v>
          </cell>
          <cell r="C514">
            <v>102</v>
          </cell>
          <cell r="F514" t="str">
            <v>ПРС</v>
          </cell>
          <cell r="H514" t="str">
            <v>ЭЦН</v>
          </cell>
          <cell r="I514" t="str">
            <v>бд</v>
          </cell>
          <cell r="J514">
            <v>34243</v>
          </cell>
          <cell r="K514">
            <v>0</v>
          </cell>
          <cell r="L514">
            <v>0</v>
          </cell>
          <cell r="M514">
            <v>0</v>
          </cell>
          <cell r="N514">
            <v>50</v>
          </cell>
          <cell r="O514">
            <v>4.0999999999999996</v>
          </cell>
          <cell r="P514">
            <v>90</v>
          </cell>
          <cell r="Q514">
            <v>50</v>
          </cell>
          <cell r="R514">
            <v>4.0999999999999996</v>
          </cell>
          <cell r="S514">
            <v>89.9</v>
          </cell>
          <cell r="T514">
            <v>37601</v>
          </cell>
          <cell r="U514" t="str">
            <v>бдп</v>
          </cell>
          <cell r="W514" t="str">
            <v>Подъем вор.,сп.Э-30</v>
          </cell>
        </row>
        <row r="515">
          <cell r="B515">
            <v>5463</v>
          </cell>
          <cell r="C515">
            <v>106</v>
          </cell>
          <cell r="F515" t="str">
            <v>ПРС</v>
          </cell>
          <cell r="G515">
            <v>270</v>
          </cell>
          <cell r="H515" t="str">
            <v>ЭЦН</v>
          </cell>
          <cell r="I515" t="str">
            <v>действ.</v>
          </cell>
          <cell r="J515">
            <v>33878</v>
          </cell>
          <cell r="K515">
            <v>38</v>
          </cell>
          <cell r="L515">
            <v>8.4</v>
          </cell>
          <cell r="M515">
            <v>73</v>
          </cell>
          <cell r="N515">
            <v>80</v>
          </cell>
          <cell r="O515">
            <v>33.299999999999997</v>
          </cell>
          <cell r="P515">
            <v>49</v>
          </cell>
          <cell r="Q515">
            <v>42</v>
          </cell>
          <cell r="R515">
            <v>24.9</v>
          </cell>
          <cell r="S515">
            <v>26.8</v>
          </cell>
          <cell r="T515">
            <v>38222</v>
          </cell>
          <cell r="U515" t="str">
            <v>ГРП</v>
          </cell>
          <cell r="W515" t="str">
            <v>ГИС-2,РИР ЗКЦ,ГРП ЮК-10,сп.Э-80</v>
          </cell>
        </row>
        <row r="516">
          <cell r="B516">
            <v>3167</v>
          </cell>
          <cell r="C516">
            <v>54</v>
          </cell>
          <cell r="F516" t="str">
            <v>КРС</v>
          </cell>
          <cell r="H516" t="str">
            <v>ШГН</v>
          </cell>
          <cell r="I516" t="str">
            <v>конс.</v>
          </cell>
          <cell r="N516">
            <v>30</v>
          </cell>
          <cell r="O516">
            <v>5.6</v>
          </cell>
          <cell r="P516">
            <v>77</v>
          </cell>
          <cell r="Q516">
            <v>30</v>
          </cell>
          <cell r="R516">
            <v>5.6</v>
          </cell>
          <cell r="S516">
            <v>77</v>
          </cell>
          <cell r="T516">
            <v>38216</v>
          </cell>
          <cell r="U516" t="str">
            <v>БДК</v>
          </cell>
          <cell r="W516" t="str">
            <v>ПП ЮК-10,сп.Э-30</v>
          </cell>
        </row>
        <row r="517">
          <cell r="B517">
            <v>3632</v>
          </cell>
          <cell r="C517">
            <v>93</v>
          </cell>
          <cell r="F517" t="str">
            <v>ПРС</v>
          </cell>
          <cell r="H517" t="str">
            <v>ЭЦН</v>
          </cell>
          <cell r="I517" t="str">
            <v>действ.</v>
          </cell>
          <cell r="K517">
            <v>227</v>
          </cell>
          <cell r="L517">
            <v>14.8</v>
          </cell>
          <cell r="M517">
            <v>92</v>
          </cell>
          <cell r="N517">
            <v>385</v>
          </cell>
          <cell r="O517">
            <v>25.1</v>
          </cell>
          <cell r="P517">
            <v>92</v>
          </cell>
          <cell r="Q517">
            <v>158</v>
          </cell>
          <cell r="R517">
            <v>10.3</v>
          </cell>
          <cell r="S517">
            <v>92</v>
          </cell>
          <cell r="T517">
            <v>37499</v>
          </cell>
          <cell r="U517" t="str">
            <v>опт</v>
          </cell>
          <cell r="W517" t="str">
            <v>Оптимизация Э-250/Э-400</v>
          </cell>
        </row>
        <row r="518">
          <cell r="B518">
            <v>11003</v>
          </cell>
          <cell r="C518" t="str">
            <v>123б</v>
          </cell>
          <cell r="F518" t="str">
            <v>ПРС</v>
          </cell>
          <cell r="H518" t="str">
            <v>ЭЦН</v>
          </cell>
          <cell r="I518" t="str">
            <v>действ.</v>
          </cell>
          <cell r="K518">
            <v>130</v>
          </cell>
          <cell r="L518">
            <v>7.4</v>
          </cell>
          <cell r="M518">
            <v>93</v>
          </cell>
          <cell r="N518">
            <v>230</v>
          </cell>
          <cell r="O518">
            <v>11.2</v>
          </cell>
          <cell r="P518">
            <v>94</v>
          </cell>
          <cell r="Q518">
            <v>100</v>
          </cell>
          <cell r="R518">
            <v>3.8</v>
          </cell>
          <cell r="S518">
            <v>95.3</v>
          </cell>
          <cell r="T518">
            <v>37485</v>
          </cell>
          <cell r="U518" t="str">
            <v>опт</v>
          </cell>
          <cell r="W518" t="str">
            <v>Оптимизация Э-125/Э-250</v>
          </cell>
        </row>
        <row r="519">
          <cell r="B519">
            <v>3117</v>
          </cell>
          <cell r="C519" t="str">
            <v>44б</v>
          </cell>
          <cell r="F519" t="str">
            <v>ПРС</v>
          </cell>
          <cell r="H519" t="str">
            <v>ШГН</v>
          </cell>
          <cell r="I519" t="str">
            <v>действ.</v>
          </cell>
          <cell r="K519">
            <v>14</v>
          </cell>
          <cell r="L519">
            <v>11</v>
          </cell>
          <cell r="M519">
            <v>4</v>
          </cell>
          <cell r="N519">
            <v>24</v>
          </cell>
          <cell r="O519">
            <v>18.7</v>
          </cell>
          <cell r="P519">
            <v>4</v>
          </cell>
          <cell r="Q519">
            <v>10</v>
          </cell>
          <cell r="R519">
            <v>7.7</v>
          </cell>
          <cell r="S519">
            <v>4</v>
          </cell>
          <cell r="T519">
            <v>37748</v>
          </cell>
          <cell r="U519" t="str">
            <v>опт</v>
          </cell>
          <cell r="W519" t="str">
            <v>Оптимизация НН-57/Э-30</v>
          </cell>
        </row>
        <row r="520">
          <cell r="B520">
            <v>5660</v>
          </cell>
          <cell r="C520" t="str">
            <v>122б</v>
          </cell>
          <cell r="F520" t="str">
            <v>ПРС</v>
          </cell>
          <cell r="H520" t="str">
            <v>ЭЦН</v>
          </cell>
          <cell r="I520" t="str">
            <v>действ.</v>
          </cell>
          <cell r="K520">
            <v>110</v>
          </cell>
          <cell r="L520">
            <v>5.4</v>
          </cell>
          <cell r="M520">
            <v>94</v>
          </cell>
          <cell r="N520">
            <v>212</v>
          </cell>
          <cell r="O520">
            <v>10.4</v>
          </cell>
          <cell r="P520">
            <v>94</v>
          </cell>
          <cell r="Q520">
            <v>102</v>
          </cell>
          <cell r="R520">
            <v>5</v>
          </cell>
          <cell r="S520">
            <v>94</v>
          </cell>
          <cell r="T520">
            <v>37753</v>
          </cell>
          <cell r="U520" t="str">
            <v>опт</v>
          </cell>
          <cell r="W520" t="str">
            <v>Оптимизация Э-80/250</v>
          </cell>
        </row>
        <row r="521">
          <cell r="B521">
            <v>11034</v>
          </cell>
          <cell r="C521" t="str">
            <v>301б</v>
          </cell>
          <cell r="F521" t="str">
            <v>ПРС</v>
          </cell>
          <cell r="H521" t="str">
            <v>ШГН</v>
          </cell>
          <cell r="I521" t="str">
            <v>действ.</v>
          </cell>
          <cell r="K521">
            <v>33.5</v>
          </cell>
          <cell r="L521">
            <v>8.5</v>
          </cell>
          <cell r="M521">
            <v>69</v>
          </cell>
          <cell r="N521">
            <v>80</v>
          </cell>
          <cell r="O521">
            <v>20.2</v>
          </cell>
          <cell r="P521">
            <v>69</v>
          </cell>
          <cell r="Q521">
            <v>46.5</v>
          </cell>
          <cell r="R521">
            <v>11.7</v>
          </cell>
          <cell r="S521">
            <v>69</v>
          </cell>
          <cell r="T521">
            <v>37766</v>
          </cell>
          <cell r="U521" t="str">
            <v>опт</v>
          </cell>
          <cell r="W521" t="str">
            <v>Оптимизация Н-57/Э-80</v>
          </cell>
        </row>
        <row r="522">
          <cell r="B522">
            <v>5702</v>
          </cell>
          <cell r="C522">
            <v>126</v>
          </cell>
          <cell r="F522" t="str">
            <v>ПРС</v>
          </cell>
          <cell r="H522" t="str">
            <v>ЭЦН</v>
          </cell>
          <cell r="I522" t="str">
            <v>действ.</v>
          </cell>
          <cell r="K522">
            <v>30</v>
          </cell>
          <cell r="L522">
            <v>15.4</v>
          </cell>
          <cell r="M522">
            <v>37</v>
          </cell>
          <cell r="N522">
            <v>44</v>
          </cell>
          <cell r="O522">
            <v>22.6</v>
          </cell>
          <cell r="P522">
            <v>37</v>
          </cell>
          <cell r="Q522">
            <v>14</v>
          </cell>
          <cell r="R522">
            <v>7.2000000000000011</v>
          </cell>
          <cell r="S522">
            <v>37</v>
          </cell>
          <cell r="T522">
            <v>38401</v>
          </cell>
          <cell r="U522" t="str">
            <v>опт</v>
          </cell>
          <cell r="W522" t="str">
            <v>Оптимизация Э-25/50</v>
          </cell>
        </row>
        <row r="523">
          <cell r="B523">
            <v>5221</v>
          </cell>
          <cell r="C523">
            <v>126</v>
          </cell>
          <cell r="F523" t="str">
            <v>ПРС</v>
          </cell>
          <cell r="H523" t="str">
            <v>ШГН</v>
          </cell>
          <cell r="I523" t="str">
            <v>бд</v>
          </cell>
          <cell r="N523">
            <v>4</v>
          </cell>
          <cell r="O523">
            <v>2.8</v>
          </cell>
          <cell r="P523">
            <v>13</v>
          </cell>
          <cell r="Q523">
            <v>4</v>
          </cell>
          <cell r="R523">
            <v>2.8</v>
          </cell>
          <cell r="S523">
            <v>13.6</v>
          </cell>
          <cell r="T523">
            <v>37482</v>
          </cell>
          <cell r="U523" t="str">
            <v>БДП</v>
          </cell>
          <cell r="W523" t="str">
            <v>ГО</v>
          </cell>
        </row>
        <row r="524">
          <cell r="B524">
            <v>4272</v>
          </cell>
          <cell r="C524">
            <v>218</v>
          </cell>
          <cell r="F524" t="str">
            <v>ПРС</v>
          </cell>
          <cell r="H524" t="str">
            <v>ЭЦН</v>
          </cell>
          <cell r="I524" t="str">
            <v>бд</v>
          </cell>
          <cell r="N524">
            <v>50</v>
          </cell>
          <cell r="O524">
            <v>2</v>
          </cell>
          <cell r="P524">
            <v>95</v>
          </cell>
          <cell r="Q524">
            <v>50</v>
          </cell>
          <cell r="R524">
            <v>2</v>
          </cell>
          <cell r="S524">
            <v>95.1</v>
          </cell>
          <cell r="T524">
            <v>37463</v>
          </cell>
          <cell r="U524" t="str">
            <v>БДП</v>
          </cell>
          <cell r="W524" t="str">
            <v>См.вор./э-50</v>
          </cell>
        </row>
        <row r="525">
          <cell r="B525">
            <v>4123</v>
          </cell>
          <cell r="C525">
            <v>314</v>
          </cell>
          <cell r="F525" t="str">
            <v>ПРС</v>
          </cell>
          <cell r="H525" t="str">
            <v>ШГН</v>
          </cell>
          <cell r="I525" t="str">
            <v>бд</v>
          </cell>
          <cell r="N525">
            <v>4</v>
          </cell>
          <cell r="O525">
            <v>3</v>
          </cell>
          <cell r="P525">
            <v>7.9754601226993849</v>
          </cell>
          <cell r="Q525">
            <v>4</v>
          </cell>
          <cell r="R525">
            <v>3</v>
          </cell>
          <cell r="S525">
            <v>7.4</v>
          </cell>
          <cell r="T525">
            <v>37458</v>
          </cell>
          <cell r="U525" t="str">
            <v>БДП</v>
          </cell>
          <cell r="W525" t="str">
            <v>Ревизия</v>
          </cell>
        </row>
        <row r="526">
          <cell r="B526">
            <v>3530</v>
          </cell>
          <cell r="C526" t="str">
            <v>98б</v>
          </cell>
          <cell r="F526" t="str">
            <v>ПРС</v>
          </cell>
          <cell r="H526" t="str">
            <v>ЭЦН</v>
          </cell>
          <cell r="I526" t="str">
            <v>действ.</v>
          </cell>
          <cell r="K526">
            <v>27</v>
          </cell>
          <cell r="L526">
            <v>11.4</v>
          </cell>
          <cell r="M526">
            <v>48</v>
          </cell>
          <cell r="N526">
            <v>42</v>
          </cell>
          <cell r="O526">
            <v>16.100000000000001</v>
          </cell>
          <cell r="P526">
            <v>53</v>
          </cell>
          <cell r="Q526">
            <v>15</v>
          </cell>
          <cell r="R526">
            <v>4.7</v>
          </cell>
          <cell r="S526">
            <v>61.3</v>
          </cell>
          <cell r="T526">
            <v>37453</v>
          </cell>
          <cell r="U526" t="str">
            <v>опт</v>
          </cell>
          <cell r="W526" t="str">
            <v>Оптимизация Э-30/Э-50</v>
          </cell>
          <cell r="AG526">
            <v>-119818</v>
          </cell>
          <cell r="AH526">
            <v>-973518</v>
          </cell>
        </row>
        <row r="527">
          <cell r="B527">
            <v>3982</v>
          </cell>
          <cell r="C527" t="str">
            <v>196б</v>
          </cell>
          <cell r="F527" t="str">
            <v>ПРС</v>
          </cell>
          <cell r="H527" t="str">
            <v>ЭЦН</v>
          </cell>
          <cell r="I527" t="str">
            <v>действ.</v>
          </cell>
          <cell r="K527">
            <v>91</v>
          </cell>
          <cell r="L527">
            <v>17.8</v>
          </cell>
          <cell r="M527">
            <v>76</v>
          </cell>
          <cell r="N527">
            <v>117</v>
          </cell>
          <cell r="O527">
            <v>21</v>
          </cell>
          <cell r="P527">
            <v>78</v>
          </cell>
          <cell r="Q527">
            <v>26</v>
          </cell>
          <cell r="R527">
            <v>3.2</v>
          </cell>
          <cell r="S527">
            <v>84.8</v>
          </cell>
          <cell r="T527">
            <v>37443</v>
          </cell>
          <cell r="U527" t="str">
            <v>опт</v>
          </cell>
          <cell r="W527" t="str">
            <v>Оптимизация Э-80/125</v>
          </cell>
        </row>
        <row r="528">
          <cell r="B528">
            <v>5491</v>
          </cell>
          <cell r="C528">
            <v>117</v>
          </cell>
          <cell r="F528" t="str">
            <v>ПРС</v>
          </cell>
          <cell r="H528" t="str">
            <v>ЭЦН</v>
          </cell>
          <cell r="I528" t="str">
            <v>конс.</v>
          </cell>
          <cell r="N528">
            <v>16</v>
          </cell>
          <cell r="O528">
            <v>7.4</v>
          </cell>
          <cell r="P528">
            <v>43</v>
          </cell>
          <cell r="Q528">
            <v>16</v>
          </cell>
          <cell r="R528">
            <v>7.4</v>
          </cell>
          <cell r="S528">
            <v>42.9</v>
          </cell>
          <cell r="T528">
            <v>37441</v>
          </cell>
          <cell r="U528" t="str">
            <v>ВЦД</v>
          </cell>
          <cell r="W528" t="str">
            <v>ВЦ, См.вор./э-50</v>
          </cell>
        </row>
        <row r="529">
          <cell r="B529">
            <v>2629</v>
          </cell>
          <cell r="C529" t="str">
            <v>157б</v>
          </cell>
          <cell r="F529" t="str">
            <v>ПРС</v>
          </cell>
          <cell r="H529" t="str">
            <v>ШГН</v>
          </cell>
          <cell r="I529" t="str">
            <v>бд</v>
          </cell>
          <cell r="N529">
            <v>5</v>
          </cell>
          <cell r="O529">
            <v>3.6</v>
          </cell>
          <cell r="P529">
            <v>12</v>
          </cell>
          <cell r="Q529">
            <v>5</v>
          </cell>
          <cell r="R529">
            <v>3.6</v>
          </cell>
          <cell r="S529">
            <v>11.1</v>
          </cell>
          <cell r="T529">
            <v>37832</v>
          </cell>
          <cell r="U529" t="str">
            <v>ГРП</v>
          </cell>
          <cell r="W529" t="str">
            <v>Ревизия</v>
          </cell>
          <cell r="AG529">
            <v>-280755</v>
          </cell>
          <cell r="AH529">
            <v>-935850</v>
          </cell>
        </row>
        <row r="530">
          <cell r="B530">
            <v>5464</v>
          </cell>
          <cell r="C530">
            <v>106</v>
          </cell>
          <cell r="F530" t="str">
            <v>ПРС</v>
          </cell>
          <cell r="G530">
            <v>265</v>
          </cell>
          <cell r="H530" t="str">
            <v>ЭЦН</v>
          </cell>
          <cell r="I530" t="str">
            <v>действ.</v>
          </cell>
          <cell r="K530">
            <v>55</v>
          </cell>
          <cell r="L530">
            <v>25.1</v>
          </cell>
          <cell r="M530">
            <v>44</v>
          </cell>
          <cell r="N530">
            <v>80</v>
          </cell>
          <cell r="O530">
            <v>32.6</v>
          </cell>
          <cell r="P530">
            <v>50</v>
          </cell>
          <cell r="Q530">
            <v>25</v>
          </cell>
          <cell r="R530">
            <v>7.5</v>
          </cell>
          <cell r="S530">
            <v>63</v>
          </cell>
          <cell r="T530">
            <v>37434</v>
          </cell>
          <cell r="U530" t="str">
            <v>опт</v>
          </cell>
          <cell r="W530" t="str">
            <v>Оптимизация Э-50/Э-80</v>
          </cell>
        </row>
        <row r="531">
          <cell r="B531">
            <v>4022</v>
          </cell>
          <cell r="C531">
            <v>314</v>
          </cell>
          <cell r="F531" t="str">
            <v>ПРС</v>
          </cell>
          <cell r="G531">
            <v>255</v>
          </cell>
          <cell r="H531" t="str">
            <v>ШГН</v>
          </cell>
          <cell r="I531" t="str">
            <v>действ.</v>
          </cell>
          <cell r="K531">
            <v>15</v>
          </cell>
          <cell r="L531">
            <v>0.2</v>
          </cell>
          <cell r="M531">
            <v>98</v>
          </cell>
          <cell r="N531">
            <v>45</v>
          </cell>
          <cell r="O531">
            <v>2.2000000000000002</v>
          </cell>
          <cell r="P531">
            <v>94</v>
          </cell>
          <cell r="Q531">
            <v>30</v>
          </cell>
          <cell r="R531">
            <v>2</v>
          </cell>
          <cell r="S531">
            <v>91.8</v>
          </cell>
          <cell r="T531">
            <v>37428</v>
          </cell>
          <cell r="U531" t="str">
            <v>опт</v>
          </cell>
          <cell r="W531" t="str">
            <v>Оптимизация Н-57/Э-50</v>
          </cell>
          <cell r="AG531">
            <v>-968082</v>
          </cell>
          <cell r="AH531">
            <v>-3454724</v>
          </cell>
        </row>
        <row r="532">
          <cell r="B532">
            <v>2951</v>
          </cell>
          <cell r="C532">
            <v>45</v>
          </cell>
          <cell r="F532" t="str">
            <v>КРС</v>
          </cell>
          <cell r="H532" t="str">
            <v>ШГН</v>
          </cell>
          <cell r="I532" t="str">
            <v>конс.</v>
          </cell>
          <cell r="K532">
            <v>0</v>
          </cell>
          <cell r="L532">
            <v>0</v>
          </cell>
          <cell r="M532">
            <v>0</v>
          </cell>
          <cell r="N532">
            <v>80</v>
          </cell>
          <cell r="O532">
            <v>24.9</v>
          </cell>
          <cell r="P532">
            <v>61.8</v>
          </cell>
          <cell r="Q532">
            <v>80</v>
          </cell>
          <cell r="R532">
            <v>24.9</v>
          </cell>
          <cell r="S532">
            <v>61.8</v>
          </cell>
          <cell r="T532">
            <v>38223</v>
          </cell>
          <cell r="U532" t="str">
            <v>ГРП</v>
          </cell>
          <cell r="W532" t="str">
            <v>ВЦ,ЛА,ГРП ЮК-10</v>
          </cell>
        </row>
        <row r="533">
          <cell r="B533">
            <v>3494</v>
          </cell>
          <cell r="C533">
            <v>92</v>
          </cell>
          <cell r="F533" t="str">
            <v>ПРС</v>
          </cell>
          <cell r="G533">
            <v>245</v>
          </cell>
          <cell r="H533" t="str">
            <v>ЭЦН</v>
          </cell>
          <cell r="I533" t="str">
            <v>действ.</v>
          </cell>
          <cell r="K533">
            <v>150</v>
          </cell>
          <cell r="L533">
            <v>11</v>
          </cell>
          <cell r="M533">
            <v>91</v>
          </cell>
          <cell r="N533">
            <v>275</v>
          </cell>
          <cell r="O533">
            <v>24.7</v>
          </cell>
          <cell r="P533">
            <v>89</v>
          </cell>
          <cell r="Q533">
            <v>125</v>
          </cell>
          <cell r="R533">
            <v>13.7</v>
          </cell>
          <cell r="S533">
            <v>86.5</v>
          </cell>
          <cell r="T533">
            <v>37421</v>
          </cell>
          <cell r="U533" t="str">
            <v>опт</v>
          </cell>
          <cell r="W533" t="str">
            <v>Оптимизация Э-125/Э-250</v>
          </cell>
          <cell r="AG533">
            <v>-220749</v>
          </cell>
          <cell r="AH533">
            <v>-897960</v>
          </cell>
        </row>
        <row r="534">
          <cell r="B534">
            <v>5437</v>
          </cell>
          <cell r="C534">
            <v>106</v>
          </cell>
          <cell r="F534" t="str">
            <v>ПРС</v>
          </cell>
          <cell r="G534">
            <v>275</v>
          </cell>
          <cell r="H534" t="str">
            <v>ЭЦН</v>
          </cell>
          <cell r="I534" t="str">
            <v>конс.</v>
          </cell>
          <cell r="K534">
            <v>0</v>
          </cell>
          <cell r="L534">
            <v>0</v>
          </cell>
          <cell r="M534">
            <v>0</v>
          </cell>
          <cell r="N534">
            <v>24</v>
          </cell>
          <cell r="O534">
            <v>5.9</v>
          </cell>
          <cell r="P534">
            <v>70</v>
          </cell>
          <cell r="Q534">
            <v>24</v>
          </cell>
          <cell r="R534">
            <v>5.9</v>
          </cell>
          <cell r="S534">
            <v>69.7</v>
          </cell>
          <cell r="T534">
            <v>37415</v>
          </cell>
          <cell r="U534" t="str">
            <v>ВЦД</v>
          </cell>
          <cell r="W534" t="str">
            <v>ВЦ, ГДИ, сп.ЭЦН</v>
          </cell>
          <cell r="AG534">
            <v>-56121</v>
          </cell>
          <cell r="AH534">
            <v>-112242</v>
          </cell>
        </row>
        <row r="535">
          <cell r="B535">
            <v>2850</v>
          </cell>
          <cell r="C535">
            <v>129</v>
          </cell>
          <cell r="F535" t="str">
            <v>ПРС</v>
          </cell>
          <cell r="G535">
            <v>260</v>
          </cell>
          <cell r="H535" t="str">
            <v>ФОН</v>
          </cell>
          <cell r="I535" t="str">
            <v>действ.</v>
          </cell>
          <cell r="K535">
            <v>44</v>
          </cell>
          <cell r="L535">
            <v>27.3</v>
          </cell>
          <cell r="M535">
            <v>24</v>
          </cell>
          <cell r="N535">
            <v>44</v>
          </cell>
          <cell r="O535">
            <v>27.3</v>
          </cell>
          <cell r="P535">
            <v>24</v>
          </cell>
          <cell r="Q535">
            <v>0</v>
          </cell>
          <cell r="R535">
            <v>0</v>
          </cell>
          <cell r="S535">
            <v>0</v>
          </cell>
          <cell r="T535">
            <v>38661</v>
          </cell>
          <cell r="U535" t="str">
            <v>ЛА</v>
          </cell>
          <cell r="W535" t="str">
            <v>ЛА, сп.Э-50</v>
          </cell>
          <cell r="AG535">
            <v>-857723</v>
          </cell>
          <cell r="AH535">
            <v>-4612641</v>
          </cell>
        </row>
        <row r="536">
          <cell r="B536">
            <v>3100</v>
          </cell>
          <cell r="C536">
            <v>52</v>
          </cell>
          <cell r="F536" t="str">
            <v>ПРС</v>
          </cell>
          <cell r="G536">
            <v>297</v>
          </cell>
          <cell r="H536" t="str">
            <v>ШГН</v>
          </cell>
          <cell r="I536" t="str">
            <v>действ.</v>
          </cell>
          <cell r="K536">
            <v>26</v>
          </cell>
          <cell r="L536">
            <v>6.4</v>
          </cell>
          <cell r="M536">
            <v>70</v>
          </cell>
          <cell r="N536">
            <v>72</v>
          </cell>
          <cell r="O536">
            <v>16.399999999999999</v>
          </cell>
          <cell r="P536">
            <v>72</v>
          </cell>
          <cell r="Q536">
            <v>46</v>
          </cell>
          <cell r="R536">
            <v>10</v>
          </cell>
          <cell r="S536">
            <v>73.2</v>
          </cell>
          <cell r="T536">
            <v>37402</v>
          </cell>
          <cell r="U536" t="str">
            <v>опт</v>
          </cell>
          <cell r="W536" t="str">
            <v>Оптимизация Н-57/Э-50</v>
          </cell>
          <cell r="AG536">
            <v>-93493</v>
          </cell>
          <cell r="AH536">
            <v>-2281217</v>
          </cell>
        </row>
        <row r="537">
          <cell r="B537">
            <v>5551</v>
          </cell>
          <cell r="C537">
            <v>117</v>
          </cell>
          <cell r="F537" t="str">
            <v>ПРС</v>
          </cell>
          <cell r="G537">
            <v>247</v>
          </cell>
          <cell r="H537" t="str">
            <v>ЭЦН</v>
          </cell>
          <cell r="I537" t="str">
            <v>бд</v>
          </cell>
          <cell r="K537" t="e">
            <v>#N/A</v>
          </cell>
          <cell r="L537" t="e">
            <v>#N/A</v>
          </cell>
          <cell r="M537" t="e">
            <v>#N/A</v>
          </cell>
          <cell r="N537">
            <v>61</v>
          </cell>
          <cell r="O537">
            <v>2.5</v>
          </cell>
          <cell r="P537">
            <v>95</v>
          </cell>
          <cell r="Q537">
            <v>61</v>
          </cell>
          <cell r="R537">
            <v>2.5</v>
          </cell>
          <cell r="S537">
            <v>94.9</v>
          </cell>
          <cell r="T537">
            <v>37397</v>
          </cell>
          <cell r="U537" t="str">
            <v>БДП</v>
          </cell>
          <cell r="W537" t="str">
            <v>Из ост.на зиму</v>
          </cell>
          <cell r="AG537">
            <v>-175761</v>
          </cell>
          <cell r="AH537">
            <v>-224376</v>
          </cell>
        </row>
        <row r="538">
          <cell r="B538">
            <v>4074</v>
          </cell>
          <cell r="C538">
            <v>314</v>
          </cell>
          <cell r="F538" t="str">
            <v>ПРС</v>
          </cell>
          <cell r="G538">
            <v>245</v>
          </cell>
          <cell r="H538" t="str">
            <v>ШГН</v>
          </cell>
          <cell r="I538" t="str">
            <v>бд</v>
          </cell>
          <cell r="K538">
            <v>0</v>
          </cell>
          <cell r="L538">
            <v>0</v>
          </cell>
          <cell r="M538">
            <v>0</v>
          </cell>
          <cell r="N538">
            <v>6</v>
          </cell>
          <cell r="O538">
            <v>4.7</v>
          </cell>
          <cell r="P538">
            <v>3</v>
          </cell>
          <cell r="Q538">
            <v>6</v>
          </cell>
          <cell r="R538">
            <v>4.7</v>
          </cell>
          <cell r="S538">
            <v>3.3</v>
          </cell>
          <cell r="T538">
            <v>37396</v>
          </cell>
          <cell r="U538" t="str">
            <v>ВЦД</v>
          </cell>
          <cell r="W538" t="str">
            <v>ВЦ, ревизия Н-44</v>
          </cell>
          <cell r="AG538">
            <v>-172022</v>
          </cell>
          <cell r="AH538">
            <v>-299168</v>
          </cell>
        </row>
        <row r="539">
          <cell r="B539" t="str">
            <v>5367б</v>
          </cell>
          <cell r="C539">
            <v>101</v>
          </cell>
          <cell r="F539" t="str">
            <v>ПРС</v>
          </cell>
          <cell r="G539">
            <v>252</v>
          </cell>
          <cell r="H539" t="str">
            <v>ЭЦН</v>
          </cell>
          <cell r="I539" t="str">
            <v>бд</v>
          </cell>
          <cell r="K539">
            <v>8</v>
          </cell>
          <cell r="L539">
            <v>4.3</v>
          </cell>
          <cell r="M539">
            <v>34</v>
          </cell>
          <cell r="N539">
            <v>8</v>
          </cell>
          <cell r="O539">
            <v>4.5999999999999996</v>
          </cell>
          <cell r="P539">
            <v>29</v>
          </cell>
          <cell r="Q539">
            <v>8</v>
          </cell>
          <cell r="R539">
            <v>4.5999999999999996</v>
          </cell>
          <cell r="S539">
            <v>29</v>
          </cell>
          <cell r="T539">
            <v>37396</v>
          </cell>
          <cell r="U539" t="str">
            <v>ВЦД</v>
          </cell>
          <cell r="W539" t="str">
            <v>Восст.цирк</v>
          </cell>
          <cell r="AG539">
            <v>-82262</v>
          </cell>
          <cell r="AH539">
            <v>-1383504</v>
          </cell>
        </row>
        <row r="540">
          <cell r="B540">
            <v>2991</v>
          </cell>
          <cell r="C540">
            <v>48</v>
          </cell>
          <cell r="F540" t="str">
            <v>ПРС</v>
          </cell>
          <cell r="G540">
            <v>255</v>
          </cell>
          <cell r="H540" t="str">
            <v>ЭЦН</v>
          </cell>
          <cell r="I540" t="str">
            <v>действ.</v>
          </cell>
          <cell r="K540">
            <v>53</v>
          </cell>
          <cell r="L540">
            <v>7.3</v>
          </cell>
          <cell r="M540">
            <v>83</v>
          </cell>
          <cell r="N540">
            <v>90</v>
          </cell>
          <cell r="O540">
            <v>9.5</v>
          </cell>
          <cell r="P540">
            <v>87</v>
          </cell>
          <cell r="Q540">
            <v>37</v>
          </cell>
          <cell r="R540">
            <v>2.2000000000000002</v>
          </cell>
          <cell r="S540">
            <v>92.7</v>
          </cell>
          <cell r="T540">
            <v>37392</v>
          </cell>
          <cell r="W540" t="str">
            <v>Ревизия Э-80 с углублением до 2200м</v>
          </cell>
          <cell r="AG540">
            <v>-44870</v>
          </cell>
          <cell r="AH540">
            <v>-2841792</v>
          </cell>
        </row>
        <row r="541">
          <cell r="B541">
            <v>4212</v>
          </cell>
          <cell r="C541">
            <v>311</v>
          </cell>
          <cell r="F541" t="str">
            <v>ПРС</v>
          </cell>
          <cell r="G541">
            <v>251</v>
          </cell>
          <cell r="H541" t="str">
            <v>ЭЦН</v>
          </cell>
          <cell r="I541" t="str">
            <v>действ.</v>
          </cell>
          <cell r="K541">
            <v>84</v>
          </cell>
          <cell r="L541">
            <v>2.7</v>
          </cell>
          <cell r="M541">
            <v>96</v>
          </cell>
          <cell r="N541">
            <v>160</v>
          </cell>
          <cell r="O541">
            <v>3.9</v>
          </cell>
          <cell r="P541">
            <v>97</v>
          </cell>
          <cell r="Q541">
            <v>76</v>
          </cell>
          <cell r="R541">
            <v>1.2</v>
          </cell>
          <cell r="S541">
            <v>98.1</v>
          </cell>
          <cell r="T541">
            <v>37392</v>
          </cell>
          <cell r="U541" t="str">
            <v>опт</v>
          </cell>
          <cell r="W541" t="str">
            <v>Оптимизация Э-80/125</v>
          </cell>
          <cell r="AG541">
            <v>-26172</v>
          </cell>
          <cell r="AH541">
            <v>-747780</v>
          </cell>
        </row>
        <row r="542">
          <cell r="B542">
            <v>2905</v>
          </cell>
          <cell r="C542">
            <v>132</v>
          </cell>
          <cell r="F542" t="str">
            <v>ПРС</v>
          </cell>
          <cell r="G542">
            <v>250</v>
          </cell>
          <cell r="H542" t="str">
            <v>ЭЦН</v>
          </cell>
          <cell r="I542" t="str">
            <v>действ.</v>
          </cell>
          <cell r="K542">
            <v>65</v>
          </cell>
          <cell r="L542">
            <v>2.1</v>
          </cell>
          <cell r="M542">
            <v>96</v>
          </cell>
          <cell r="N542">
            <v>85</v>
          </cell>
          <cell r="O542">
            <v>2.8</v>
          </cell>
          <cell r="P542">
            <v>96</v>
          </cell>
          <cell r="Q542">
            <v>20</v>
          </cell>
          <cell r="R542">
            <v>0.7</v>
          </cell>
          <cell r="S542">
            <v>95.7</v>
          </cell>
          <cell r="T542">
            <v>37389</v>
          </cell>
          <cell r="U542" t="str">
            <v>опт</v>
          </cell>
          <cell r="W542" t="str">
            <v>Оптимизация Э-80</v>
          </cell>
        </row>
        <row r="543">
          <cell r="B543">
            <v>4263</v>
          </cell>
          <cell r="C543">
            <v>200</v>
          </cell>
          <cell r="F543" t="str">
            <v>ПРС</v>
          </cell>
          <cell r="G543">
            <v>224</v>
          </cell>
          <cell r="H543" t="str">
            <v>ЭЦН</v>
          </cell>
          <cell r="I543" t="str">
            <v>действ.</v>
          </cell>
          <cell r="K543">
            <v>68</v>
          </cell>
          <cell r="L543">
            <v>2.2000000000000002</v>
          </cell>
          <cell r="M543">
            <v>96</v>
          </cell>
          <cell r="N543">
            <v>160</v>
          </cell>
          <cell r="O543">
            <v>3.9</v>
          </cell>
          <cell r="P543">
            <v>97</v>
          </cell>
          <cell r="Q543">
            <v>92</v>
          </cell>
          <cell r="R543">
            <v>1.7</v>
          </cell>
          <cell r="S543">
            <v>97.7</v>
          </cell>
          <cell r="T543">
            <v>37384</v>
          </cell>
          <cell r="U543" t="str">
            <v>опт</v>
          </cell>
          <cell r="W543" t="str">
            <v>Оптимизация Э-50/Э-125 УОПР-800, из ППД</v>
          </cell>
        </row>
        <row r="544">
          <cell r="B544">
            <v>5319</v>
          </cell>
          <cell r="C544">
            <v>134</v>
          </cell>
          <cell r="F544" t="str">
            <v>ПРС</v>
          </cell>
          <cell r="G544">
            <v>249</v>
          </cell>
          <cell r="H544" t="str">
            <v>ЭЦН</v>
          </cell>
          <cell r="I544" t="str">
            <v>действ.</v>
          </cell>
          <cell r="K544">
            <v>45</v>
          </cell>
          <cell r="L544">
            <v>1.5</v>
          </cell>
          <cell r="M544">
            <v>96</v>
          </cell>
          <cell r="N544">
            <v>80</v>
          </cell>
          <cell r="O544">
            <v>3.3</v>
          </cell>
          <cell r="P544">
            <v>95</v>
          </cell>
          <cell r="Q544">
            <v>35</v>
          </cell>
          <cell r="R544">
            <v>1.8</v>
          </cell>
          <cell r="S544">
            <v>93.7</v>
          </cell>
          <cell r="T544">
            <v>37384</v>
          </cell>
          <cell r="U544" t="str">
            <v>опт</v>
          </cell>
          <cell r="W544" t="str">
            <v>Оптимизация Э-50/Э-80</v>
          </cell>
        </row>
        <row r="545">
          <cell r="B545">
            <v>2819</v>
          </cell>
          <cell r="C545">
            <v>144</v>
          </cell>
          <cell r="F545" t="str">
            <v>КРС</v>
          </cell>
          <cell r="G545">
            <v>248</v>
          </cell>
          <cell r="H545" t="str">
            <v>ЭЦН</v>
          </cell>
          <cell r="I545" t="str">
            <v>действ.</v>
          </cell>
          <cell r="K545">
            <v>70</v>
          </cell>
          <cell r="L545">
            <v>4.5999999999999996</v>
          </cell>
          <cell r="M545">
            <v>92</v>
          </cell>
          <cell r="N545">
            <v>80</v>
          </cell>
          <cell r="O545">
            <v>29.5</v>
          </cell>
          <cell r="P545">
            <v>54.8</v>
          </cell>
          <cell r="Q545">
            <v>10</v>
          </cell>
          <cell r="R545">
            <v>24.9</v>
          </cell>
          <cell r="S545">
            <v>54</v>
          </cell>
          <cell r="T545">
            <v>38211</v>
          </cell>
          <cell r="U545" t="str">
            <v>ГРП</v>
          </cell>
          <cell r="W545" t="str">
            <v>РИР Э/К,ИР ПР ГРП ЮК-10,сп.Э-80</v>
          </cell>
        </row>
        <row r="546">
          <cell r="B546">
            <v>3632</v>
          </cell>
          <cell r="C546">
            <v>93</v>
          </cell>
          <cell r="F546" t="str">
            <v>ПРС</v>
          </cell>
          <cell r="G546">
            <v>265</v>
          </cell>
          <cell r="H546" t="str">
            <v>ЭЦН</v>
          </cell>
          <cell r="I546" t="str">
            <v>действ.</v>
          </cell>
          <cell r="K546">
            <v>180</v>
          </cell>
          <cell r="L546">
            <v>10.3</v>
          </cell>
          <cell r="M546">
            <v>93</v>
          </cell>
          <cell r="N546">
            <v>250</v>
          </cell>
          <cell r="O546">
            <v>19.600000000000001</v>
          </cell>
          <cell r="P546">
            <v>90.4</v>
          </cell>
          <cell r="Q546">
            <v>70</v>
          </cell>
          <cell r="R546">
            <v>9.3000000000000007</v>
          </cell>
          <cell r="S546">
            <v>83.6</v>
          </cell>
          <cell r="T546">
            <v>37377</v>
          </cell>
          <cell r="U546" t="str">
            <v>опт</v>
          </cell>
          <cell r="V546">
            <v>2</v>
          </cell>
          <cell r="W546" t="str">
            <v>Ревизия Э-250</v>
          </cell>
        </row>
        <row r="547">
          <cell r="B547">
            <v>2933</v>
          </cell>
          <cell r="C547">
            <v>44</v>
          </cell>
          <cell r="F547" t="str">
            <v>ПРС</v>
          </cell>
          <cell r="G547">
            <v>265</v>
          </cell>
          <cell r="H547" t="str">
            <v>ШГН</v>
          </cell>
          <cell r="I547" t="str">
            <v>бд</v>
          </cell>
          <cell r="L547">
            <v>0</v>
          </cell>
          <cell r="N547">
            <v>12</v>
          </cell>
          <cell r="O547">
            <v>7</v>
          </cell>
          <cell r="P547">
            <v>28</v>
          </cell>
          <cell r="Q547">
            <v>12</v>
          </cell>
          <cell r="R547">
            <v>7</v>
          </cell>
          <cell r="S547">
            <v>28</v>
          </cell>
          <cell r="T547">
            <v>37373</v>
          </cell>
          <cell r="U547" t="str">
            <v>ВЦД</v>
          </cell>
          <cell r="V547">
            <v>1</v>
          </cell>
          <cell r="W547" t="str">
            <v>Ревизия НН-57</v>
          </cell>
        </row>
        <row r="548">
          <cell r="B548">
            <v>5284</v>
          </cell>
          <cell r="C548">
            <v>140</v>
          </cell>
          <cell r="F548" t="str">
            <v>ПРС</v>
          </cell>
          <cell r="H548" t="str">
            <v>ШГН</v>
          </cell>
          <cell r="I548" t="str">
            <v>действ.</v>
          </cell>
          <cell r="K548">
            <v>26</v>
          </cell>
          <cell r="L548">
            <v>14.8</v>
          </cell>
          <cell r="M548">
            <v>30</v>
          </cell>
          <cell r="N548">
            <v>42</v>
          </cell>
          <cell r="O548">
            <v>23.9</v>
          </cell>
          <cell r="P548">
            <v>30</v>
          </cell>
          <cell r="Q548">
            <v>16</v>
          </cell>
          <cell r="R548">
            <v>9.1</v>
          </cell>
          <cell r="S548">
            <v>30</v>
          </cell>
          <cell r="T548">
            <v>38460</v>
          </cell>
          <cell r="U548" t="str">
            <v>опт</v>
          </cell>
          <cell r="V548">
            <v>1</v>
          </cell>
          <cell r="W548" t="str">
            <v>Опт.Э-30/Э-60</v>
          </cell>
        </row>
        <row r="549">
          <cell r="B549">
            <v>3712</v>
          </cell>
          <cell r="C549">
            <v>303</v>
          </cell>
          <cell r="F549" t="str">
            <v>ПРС</v>
          </cell>
          <cell r="H549" t="str">
            <v>ШГН</v>
          </cell>
          <cell r="I549" t="str">
            <v>действ.</v>
          </cell>
          <cell r="K549">
            <v>150</v>
          </cell>
          <cell r="L549">
            <v>6.1</v>
          </cell>
          <cell r="M549">
            <v>95</v>
          </cell>
          <cell r="N549">
            <v>175</v>
          </cell>
          <cell r="O549">
            <v>8.1</v>
          </cell>
          <cell r="P549">
            <v>94.3</v>
          </cell>
          <cell r="Q549">
            <v>25</v>
          </cell>
          <cell r="R549">
            <v>2</v>
          </cell>
          <cell r="S549">
            <v>90.1</v>
          </cell>
          <cell r="T549">
            <v>37360</v>
          </cell>
          <cell r="U549" t="str">
            <v>опт</v>
          </cell>
          <cell r="V549">
            <v>1</v>
          </cell>
          <cell r="W549" t="str">
            <v>Опт.Э-160/Э-200</v>
          </cell>
        </row>
        <row r="550">
          <cell r="B550">
            <v>2721</v>
          </cell>
          <cell r="C550">
            <v>166</v>
          </cell>
          <cell r="F550" t="str">
            <v>ПРС</v>
          </cell>
          <cell r="G550">
            <v>265</v>
          </cell>
          <cell r="H550" t="str">
            <v>ШГН</v>
          </cell>
          <cell r="I550" t="str">
            <v>бд</v>
          </cell>
          <cell r="L550">
            <v>0</v>
          </cell>
          <cell r="N550">
            <v>4</v>
          </cell>
          <cell r="O550">
            <v>2.6</v>
          </cell>
          <cell r="P550">
            <v>20</v>
          </cell>
          <cell r="Q550">
            <v>4</v>
          </cell>
          <cell r="R550">
            <v>2.6</v>
          </cell>
          <cell r="S550">
            <v>19.8</v>
          </cell>
          <cell r="T550">
            <v>37333</v>
          </cell>
          <cell r="U550" t="str">
            <v>БДП</v>
          </cell>
          <cell r="W550" t="str">
            <v>Ревизия НН-44</v>
          </cell>
        </row>
        <row r="551">
          <cell r="B551">
            <v>2681</v>
          </cell>
          <cell r="C551" t="str">
            <v>145б</v>
          </cell>
          <cell r="F551" t="str">
            <v>ПРС</v>
          </cell>
          <cell r="G551">
            <v>265</v>
          </cell>
          <cell r="H551" t="str">
            <v>ШГН</v>
          </cell>
          <cell r="I551" t="str">
            <v>бдтг</v>
          </cell>
          <cell r="L551">
            <v>0</v>
          </cell>
          <cell r="N551">
            <v>3</v>
          </cell>
          <cell r="O551">
            <v>2.2000000000000002</v>
          </cell>
          <cell r="P551">
            <v>11</v>
          </cell>
          <cell r="Q551">
            <v>3</v>
          </cell>
          <cell r="R551">
            <v>2.2000000000000002</v>
          </cell>
          <cell r="S551">
            <v>11</v>
          </cell>
          <cell r="T551">
            <v>38492</v>
          </cell>
          <cell r="U551" t="str">
            <v>бдп</v>
          </cell>
          <cell r="W551" t="str">
            <v>ВЦ .Ревизия НВ-32</v>
          </cell>
        </row>
        <row r="552">
          <cell r="B552" t="str">
            <v>5306б</v>
          </cell>
          <cell r="C552">
            <v>139</v>
          </cell>
          <cell r="F552" t="str">
            <v>ПРС</v>
          </cell>
          <cell r="H552" t="str">
            <v>ШГН</v>
          </cell>
          <cell r="I552" t="str">
            <v>бдтг</v>
          </cell>
          <cell r="N552">
            <v>10</v>
          </cell>
          <cell r="O552">
            <v>4</v>
          </cell>
          <cell r="P552">
            <v>51</v>
          </cell>
          <cell r="Q552">
            <v>10</v>
          </cell>
          <cell r="R552">
            <v>4</v>
          </cell>
          <cell r="S552">
            <v>51</v>
          </cell>
          <cell r="T552">
            <v>38487</v>
          </cell>
          <cell r="U552" t="str">
            <v>бдп</v>
          </cell>
          <cell r="W552" t="str">
            <v>ВЦ .Ревизия НВ-32</v>
          </cell>
        </row>
        <row r="553">
          <cell r="B553" t="str">
            <v>136р</v>
          </cell>
          <cell r="G553">
            <v>250</v>
          </cell>
          <cell r="H553" t="str">
            <v>фон</v>
          </cell>
          <cell r="I553" t="str">
            <v>конс.</v>
          </cell>
          <cell r="L553">
            <v>0</v>
          </cell>
          <cell r="N553">
            <v>14</v>
          </cell>
          <cell r="O553">
            <v>10.8</v>
          </cell>
          <cell r="P553">
            <v>5</v>
          </cell>
          <cell r="Q553">
            <v>14</v>
          </cell>
          <cell r="R553">
            <v>10.8</v>
          </cell>
          <cell r="S553">
            <v>4.8</v>
          </cell>
          <cell r="T553">
            <v>37306</v>
          </cell>
          <cell r="U553" t="str">
            <v>БДД</v>
          </cell>
          <cell r="W553" t="str">
            <v>Пуск в работу</v>
          </cell>
        </row>
        <row r="554">
          <cell r="B554">
            <v>2710</v>
          </cell>
          <cell r="C554">
            <v>161</v>
          </cell>
          <cell r="F554" t="str">
            <v>ПРС</v>
          </cell>
          <cell r="H554" t="str">
            <v>ШГН</v>
          </cell>
          <cell r="I554" t="str">
            <v>действ.</v>
          </cell>
          <cell r="K554">
            <v>13</v>
          </cell>
          <cell r="L554">
            <v>6.3</v>
          </cell>
          <cell r="M554">
            <v>41</v>
          </cell>
          <cell r="N554">
            <v>37</v>
          </cell>
          <cell r="O554">
            <v>16</v>
          </cell>
          <cell r="P554">
            <v>47</v>
          </cell>
          <cell r="Q554">
            <v>24</v>
          </cell>
          <cell r="R554">
            <v>9.6999999999999993</v>
          </cell>
          <cell r="S554">
            <v>50.1</v>
          </cell>
          <cell r="T554">
            <v>37533</v>
          </cell>
          <cell r="U554" t="str">
            <v>опт</v>
          </cell>
          <cell r="W554" t="str">
            <v>Оптимизация Н-57/Э-30</v>
          </cell>
        </row>
        <row r="555">
          <cell r="B555">
            <v>2566</v>
          </cell>
          <cell r="C555">
            <v>167</v>
          </cell>
          <cell r="F555" t="str">
            <v>ПРС</v>
          </cell>
          <cell r="H555" t="str">
            <v>фон</v>
          </cell>
          <cell r="I555" t="str">
            <v>бд</v>
          </cell>
          <cell r="J555">
            <v>37389</v>
          </cell>
          <cell r="K555">
            <v>0</v>
          </cell>
          <cell r="L555">
            <v>0</v>
          </cell>
          <cell r="M555">
            <v>0</v>
          </cell>
          <cell r="N555">
            <v>33</v>
          </cell>
          <cell r="O555">
            <v>4.5999999999999996</v>
          </cell>
          <cell r="P555">
            <v>83</v>
          </cell>
          <cell r="Q555">
            <v>33</v>
          </cell>
          <cell r="R555">
            <v>4.5999999999999996</v>
          </cell>
          <cell r="S555">
            <v>82.8</v>
          </cell>
          <cell r="T555">
            <v>37550</v>
          </cell>
          <cell r="U555" t="str">
            <v>ВЦД</v>
          </cell>
          <cell r="W555" t="str">
            <v>ВЦ,ВЗ(ГЖ)сп.Э-80</v>
          </cell>
        </row>
        <row r="556">
          <cell r="B556">
            <v>2755</v>
          </cell>
          <cell r="C556">
            <v>145</v>
          </cell>
          <cell r="F556" t="str">
            <v>ПРС</v>
          </cell>
          <cell r="H556" t="str">
            <v>ЭЦН</v>
          </cell>
          <cell r="I556" t="str">
            <v>бд</v>
          </cell>
          <cell r="J556">
            <v>33968</v>
          </cell>
          <cell r="K556">
            <v>0</v>
          </cell>
          <cell r="L556">
            <v>0</v>
          </cell>
          <cell r="M556">
            <v>0</v>
          </cell>
          <cell r="N556">
            <v>30</v>
          </cell>
          <cell r="O556">
            <v>10.3</v>
          </cell>
          <cell r="P556">
            <v>58</v>
          </cell>
          <cell r="Q556">
            <v>30</v>
          </cell>
          <cell r="R556">
            <v>10.3</v>
          </cell>
          <cell r="S556">
            <v>57.6</v>
          </cell>
          <cell r="T556">
            <v>37551</v>
          </cell>
          <cell r="U556" t="str">
            <v>ВЦД</v>
          </cell>
          <cell r="W556" t="str">
            <v>в.ц.,в.з.(г/ж),Э-60</v>
          </cell>
        </row>
        <row r="557">
          <cell r="B557">
            <v>5585</v>
          </cell>
          <cell r="C557">
            <v>117</v>
          </cell>
          <cell r="F557" t="str">
            <v>ПРС</v>
          </cell>
          <cell r="H557" t="str">
            <v>ЭЦН</v>
          </cell>
          <cell r="I557" t="str">
            <v>бд</v>
          </cell>
          <cell r="J557">
            <v>35610</v>
          </cell>
          <cell r="K557">
            <v>0</v>
          </cell>
          <cell r="L557">
            <v>0</v>
          </cell>
          <cell r="M557">
            <v>0</v>
          </cell>
          <cell r="N557">
            <v>80</v>
          </cell>
          <cell r="O557">
            <v>2</v>
          </cell>
          <cell r="P557">
            <v>97</v>
          </cell>
          <cell r="Q557">
            <v>80</v>
          </cell>
          <cell r="R557">
            <v>2</v>
          </cell>
          <cell r="S557">
            <v>96.9</v>
          </cell>
          <cell r="T557">
            <v>37537</v>
          </cell>
          <cell r="U557" t="str">
            <v>БДП</v>
          </cell>
          <cell r="W557" t="str">
            <v>ВЗ(ГЖ)см.вор./Э-80</v>
          </cell>
        </row>
        <row r="558">
          <cell r="B558">
            <v>5586</v>
          </cell>
          <cell r="C558">
            <v>117</v>
          </cell>
          <cell r="F558" t="str">
            <v>ПРС</v>
          </cell>
          <cell r="H558" t="str">
            <v>ЭЦН</v>
          </cell>
          <cell r="I558" t="str">
            <v>бд</v>
          </cell>
          <cell r="J558">
            <v>35378</v>
          </cell>
          <cell r="K558">
            <v>0</v>
          </cell>
          <cell r="L558">
            <v>0</v>
          </cell>
          <cell r="M558">
            <v>0</v>
          </cell>
          <cell r="N558">
            <v>125</v>
          </cell>
          <cell r="O558">
            <v>5.0999999999999996</v>
          </cell>
          <cell r="P558">
            <v>95</v>
          </cell>
          <cell r="Q558">
            <v>125</v>
          </cell>
          <cell r="R558">
            <v>5.0999999999999996</v>
          </cell>
          <cell r="S558">
            <v>95</v>
          </cell>
          <cell r="T558">
            <v>37544</v>
          </cell>
          <cell r="U558" t="str">
            <v>БДП</v>
          </cell>
          <cell r="W558" t="str">
            <v>в.з.(г/ж), рев.Э-125</v>
          </cell>
        </row>
        <row r="559">
          <cell r="B559">
            <v>2877</v>
          </cell>
          <cell r="C559">
            <v>42</v>
          </cell>
          <cell r="F559" t="str">
            <v>ПРС</v>
          </cell>
          <cell r="H559" t="str">
            <v>ШГН</v>
          </cell>
          <cell r="I559" t="str">
            <v>бд</v>
          </cell>
          <cell r="J559">
            <v>36895</v>
          </cell>
          <cell r="K559">
            <v>0</v>
          </cell>
          <cell r="L559">
            <v>0</v>
          </cell>
          <cell r="M559">
            <v>0</v>
          </cell>
          <cell r="N559">
            <v>11</v>
          </cell>
          <cell r="O559">
            <v>0.7</v>
          </cell>
          <cell r="P559">
            <v>92</v>
          </cell>
          <cell r="Q559">
            <v>11</v>
          </cell>
          <cell r="R559">
            <v>0.7</v>
          </cell>
          <cell r="S559">
            <v>92.1</v>
          </cell>
          <cell r="T559">
            <v>37538</v>
          </cell>
          <cell r="U559" t="str">
            <v>БДП</v>
          </cell>
          <cell r="W559" t="str">
            <v>См.НВ-32/НВ-44, ВЗ(ГЖ)</v>
          </cell>
        </row>
        <row r="560">
          <cell r="B560" t="str">
            <v>5402б</v>
          </cell>
          <cell r="C560">
            <v>103</v>
          </cell>
          <cell r="F560" t="str">
            <v>ПРС</v>
          </cell>
          <cell r="H560" t="str">
            <v>ЭЦН</v>
          </cell>
          <cell r="I560" t="str">
            <v>конс.</v>
          </cell>
          <cell r="J560">
            <v>34099</v>
          </cell>
          <cell r="K560">
            <v>0</v>
          </cell>
          <cell r="L560">
            <v>0</v>
          </cell>
          <cell r="M560">
            <v>0</v>
          </cell>
          <cell r="N560">
            <v>29</v>
          </cell>
          <cell r="O560">
            <v>3.8</v>
          </cell>
          <cell r="P560">
            <v>84</v>
          </cell>
          <cell r="Q560">
            <v>29</v>
          </cell>
          <cell r="R560">
            <v>3.8</v>
          </cell>
          <cell r="S560">
            <v>83.8</v>
          </cell>
          <cell r="T560">
            <v>37550</v>
          </cell>
          <cell r="U560" t="str">
            <v>ВЦД</v>
          </cell>
          <cell r="W560" t="str">
            <v>ВЦ,ВЗ(ГЖ)сп.Э-80</v>
          </cell>
        </row>
        <row r="561">
          <cell r="B561">
            <v>5718</v>
          </cell>
          <cell r="C561" t="str">
            <v>122б</v>
          </cell>
          <cell r="F561" t="str">
            <v>ПРС</v>
          </cell>
          <cell r="H561" t="str">
            <v>ЭЦН</v>
          </cell>
          <cell r="I561" t="str">
            <v>действ.</v>
          </cell>
          <cell r="K561">
            <v>142</v>
          </cell>
          <cell r="L561">
            <v>13.9</v>
          </cell>
          <cell r="M561">
            <v>88</v>
          </cell>
          <cell r="N561">
            <v>248.7</v>
          </cell>
          <cell r="O561">
            <v>24.3</v>
          </cell>
          <cell r="P561">
            <v>88</v>
          </cell>
          <cell r="Q561">
            <v>106.7</v>
          </cell>
          <cell r="R561">
            <v>10.4</v>
          </cell>
          <cell r="S561">
            <v>88</v>
          </cell>
          <cell r="T561">
            <v>38309</v>
          </cell>
          <cell r="U561" t="str">
            <v>опт</v>
          </cell>
          <cell r="W561" t="str">
            <v>Смена Э-200/Э-250</v>
          </cell>
        </row>
        <row r="562">
          <cell r="B562">
            <v>5641</v>
          </cell>
          <cell r="C562">
            <v>126</v>
          </cell>
          <cell r="F562" t="str">
            <v>ПРС</v>
          </cell>
          <cell r="H562" t="str">
            <v>ЭЦН</v>
          </cell>
          <cell r="I562" t="str">
            <v>действ.</v>
          </cell>
          <cell r="K562">
            <v>96</v>
          </cell>
          <cell r="L562">
            <v>45.4</v>
          </cell>
          <cell r="M562">
            <v>42</v>
          </cell>
          <cell r="N562">
            <v>120</v>
          </cell>
          <cell r="O562">
            <v>54.8</v>
          </cell>
          <cell r="P562">
            <v>44</v>
          </cell>
          <cell r="Q562">
            <v>24</v>
          </cell>
          <cell r="R562">
            <v>9.4</v>
          </cell>
          <cell r="S562">
            <v>51.6</v>
          </cell>
          <cell r="T562">
            <v>37573</v>
          </cell>
          <cell r="U562" t="str">
            <v>опт</v>
          </cell>
          <cell r="W562" t="str">
            <v>Смена Э-80/Э-125</v>
          </cell>
        </row>
        <row r="563">
          <cell r="B563">
            <v>5826</v>
          </cell>
          <cell r="C563">
            <v>167</v>
          </cell>
          <cell r="F563" t="str">
            <v>ПРС</v>
          </cell>
          <cell r="H563" t="str">
            <v>ШГН</v>
          </cell>
          <cell r="I563" t="str">
            <v>действ.</v>
          </cell>
          <cell r="K563">
            <v>39</v>
          </cell>
          <cell r="L563">
            <v>21</v>
          </cell>
          <cell r="M563">
            <v>34</v>
          </cell>
          <cell r="N563">
            <v>50.3</v>
          </cell>
          <cell r="O563">
            <v>27.1</v>
          </cell>
          <cell r="P563">
            <v>34</v>
          </cell>
          <cell r="Q563">
            <v>11.3</v>
          </cell>
          <cell r="R563">
            <v>6.1</v>
          </cell>
          <cell r="S563">
            <v>33.4</v>
          </cell>
          <cell r="T563">
            <v>37843</v>
          </cell>
          <cell r="U563" t="str">
            <v>опт</v>
          </cell>
          <cell r="W563" t="str">
            <v>Оптимизация Э-30/50</v>
          </cell>
          <cell r="AE563">
            <v>37838</v>
          </cell>
        </row>
        <row r="565">
          <cell r="B565">
            <v>5253</v>
          </cell>
          <cell r="C565">
            <v>138</v>
          </cell>
          <cell r="F565" t="str">
            <v>ПРС</v>
          </cell>
          <cell r="H565" t="str">
            <v>ЭЦН</v>
          </cell>
          <cell r="I565" t="str">
            <v>конс.</v>
          </cell>
          <cell r="J565">
            <v>34881</v>
          </cell>
          <cell r="K565">
            <v>0</v>
          </cell>
          <cell r="L565">
            <v>0</v>
          </cell>
          <cell r="M565">
            <v>0</v>
          </cell>
          <cell r="N565">
            <v>48</v>
          </cell>
          <cell r="O565">
            <v>6.2</v>
          </cell>
          <cell r="P565">
            <v>84.2</v>
          </cell>
          <cell r="Q565">
            <v>48</v>
          </cell>
          <cell r="R565">
            <v>6.2</v>
          </cell>
          <cell r="S565">
            <v>84.1</v>
          </cell>
          <cell r="T565">
            <v>37584</v>
          </cell>
          <cell r="U565" t="str">
            <v>бдп</v>
          </cell>
          <cell r="W565" t="str">
            <v>Смена вор./Э-50</v>
          </cell>
          <cell r="AE565">
            <v>37673</v>
          </cell>
        </row>
        <row r="566">
          <cell r="B566" t="str">
            <v>11024б</v>
          </cell>
          <cell r="C566" t="str">
            <v>97б</v>
          </cell>
          <cell r="F566" t="str">
            <v>ПРС</v>
          </cell>
          <cell r="H566" t="str">
            <v>ЭЦН</v>
          </cell>
          <cell r="I566" t="str">
            <v>бд</v>
          </cell>
          <cell r="J566">
            <v>35121</v>
          </cell>
          <cell r="K566">
            <v>0</v>
          </cell>
          <cell r="L566">
            <v>0</v>
          </cell>
          <cell r="M566">
            <v>0</v>
          </cell>
          <cell r="N566">
            <v>50</v>
          </cell>
          <cell r="O566">
            <v>4.0999999999999996</v>
          </cell>
          <cell r="P566">
            <v>90</v>
          </cell>
          <cell r="Q566">
            <v>50</v>
          </cell>
          <cell r="R566">
            <v>4.0999999999999996</v>
          </cell>
          <cell r="S566">
            <v>90</v>
          </cell>
          <cell r="T566">
            <v>37706</v>
          </cell>
          <cell r="U566" t="str">
            <v>ВЦД</v>
          </cell>
          <cell r="W566" t="str">
            <v>ВЦ,ВЗ ГЖ,сп Э-50</v>
          </cell>
        </row>
        <row r="567">
          <cell r="B567">
            <v>5515</v>
          </cell>
          <cell r="C567">
            <v>115</v>
          </cell>
          <cell r="F567" t="str">
            <v>ПРС</v>
          </cell>
          <cell r="G567">
            <v>240</v>
          </cell>
          <cell r="H567" t="str">
            <v>ШГН</v>
          </cell>
          <cell r="I567" t="str">
            <v>действ.</v>
          </cell>
          <cell r="J567">
            <v>37370</v>
          </cell>
          <cell r="K567">
            <v>20</v>
          </cell>
          <cell r="L567">
            <v>15</v>
          </cell>
          <cell r="M567">
            <v>8</v>
          </cell>
          <cell r="N567">
            <v>29</v>
          </cell>
          <cell r="O567">
            <v>21.7</v>
          </cell>
          <cell r="P567">
            <v>8</v>
          </cell>
          <cell r="Q567">
            <v>9</v>
          </cell>
          <cell r="R567">
            <v>6.4</v>
          </cell>
          <cell r="S567">
            <v>8</v>
          </cell>
          <cell r="T567">
            <v>38056</v>
          </cell>
          <cell r="U567" t="str">
            <v>опт</v>
          </cell>
          <cell r="V567">
            <v>2</v>
          </cell>
          <cell r="W567" t="str">
            <v>Оптимизация НВ-44/Э-50</v>
          </cell>
          <cell r="AD567">
            <v>38049</v>
          </cell>
          <cell r="AE567">
            <v>38052</v>
          </cell>
          <cell r="AF567">
            <v>32</v>
          </cell>
        </row>
        <row r="568">
          <cell r="B568">
            <v>2629</v>
          </cell>
          <cell r="C568" t="str">
            <v>157б</v>
          </cell>
          <cell r="F568" t="str">
            <v>ЛРС</v>
          </cell>
          <cell r="H568">
            <v>2860</v>
          </cell>
          <cell r="I568" t="str">
            <v>дающая</v>
          </cell>
          <cell r="J568">
            <v>34883</v>
          </cell>
          <cell r="K568">
            <v>9</v>
          </cell>
          <cell r="L568">
            <v>7</v>
          </cell>
          <cell r="M568">
            <v>4</v>
          </cell>
          <cell r="T568">
            <v>37832</v>
          </cell>
          <cell r="U568" t="str">
            <v>ГРП</v>
          </cell>
          <cell r="W568" t="str">
            <v>ПП ЮК-10,ГРП ЮК-10,осв.</v>
          </cell>
        </row>
        <row r="570">
          <cell r="B570">
            <v>3870</v>
          </cell>
          <cell r="C570">
            <v>197</v>
          </cell>
          <cell r="F570" t="str">
            <v>ПРС</v>
          </cell>
          <cell r="H570" t="e">
            <v>#N/A</v>
          </cell>
          <cell r="I570" t="str">
            <v>конс.</v>
          </cell>
          <cell r="J570">
            <v>34883</v>
          </cell>
          <cell r="K570">
            <v>0</v>
          </cell>
          <cell r="L570">
            <v>0</v>
          </cell>
          <cell r="M570">
            <v>0</v>
          </cell>
          <cell r="N570">
            <v>80</v>
          </cell>
          <cell r="O570">
            <v>5.2</v>
          </cell>
          <cell r="P570">
            <v>92</v>
          </cell>
          <cell r="Q570">
            <v>80</v>
          </cell>
          <cell r="R570">
            <v>5.2</v>
          </cell>
          <cell r="S570">
            <v>92</v>
          </cell>
          <cell r="T570">
            <v>37810</v>
          </cell>
          <cell r="U570" t="str">
            <v>ВЦД</v>
          </cell>
          <cell r="W570" t="str">
            <v>ВЦ,смЭ/Э-80</v>
          </cell>
        </row>
        <row r="571">
          <cell r="B571">
            <v>3103</v>
          </cell>
          <cell r="C571">
            <v>55</v>
          </cell>
          <cell r="F571" t="str">
            <v>ПРС</v>
          </cell>
          <cell r="H571" t="e">
            <v>#N/A</v>
          </cell>
          <cell r="I571" t="str">
            <v>конс.</v>
          </cell>
          <cell r="J571" t="e">
            <v>#N/A</v>
          </cell>
          <cell r="K571">
            <v>0</v>
          </cell>
          <cell r="L571">
            <v>0</v>
          </cell>
          <cell r="M571">
            <v>0</v>
          </cell>
          <cell r="N571">
            <v>50</v>
          </cell>
          <cell r="O571">
            <v>4.0999999999999996</v>
          </cell>
          <cell r="P571">
            <v>90</v>
          </cell>
          <cell r="Q571">
            <v>50</v>
          </cell>
          <cell r="R571">
            <v>4.0999999999999996</v>
          </cell>
          <cell r="S571">
            <v>90</v>
          </cell>
          <cell r="T571" t="e">
            <v>#N/A</v>
          </cell>
          <cell r="U571" t="str">
            <v>ВЦД</v>
          </cell>
          <cell r="W571" t="str">
            <v>ВЦ,смЭ/Э-50</v>
          </cell>
          <cell r="AD571">
            <v>37809</v>
          </cell>
          <cell r="AE571">
            <v>37830</v>
          </cell>
        </row>
        <row r="572">
          <cell r="B572">
            <v>3102</v>
          </cell>
          <cell r="C572">
            <v>55</v>
          </cell>
          <cell r="F572" t="str">
            <v>ПРС</v>
          </cell>
          <cell r="H572" t="e">
            <v>#N/A</v>
          </cell>
          <cell r="I572" t="str">
            <v>конс.</v>
          </cell>
          <cell r="J572" t="e">
            <v>#N/A</v>
          </cell>
          <cell r="K572">
            <v>0</v>
          </cell>
          <cell r="L572">
            <v>0</v>
          </cell>
          <cell r="M572">
            <v>0</v>
          </cell>
          <cell r="N572">
            <v>50</v>
          </cell>
          <cell r="O572">
            <v>4.0999999999999996</v>
          </cell>
          <cell r="P572">
            <v>90</v>
          </cell>
          <cell r="Q572">
            <v>50</v>
          </cell>
          <cell r="R572">
            <v>4.0999999999999996</v>
          </cell>
          <cell r="S572">
            <v>90</v>
          </cell>
          <cell r="T572" t="e">
            <v>#N/A</v>
          </cell>
          <cell r="U572" t="str">
            <v>ВЦД</v>
          </cell>
          <cell r="W572" t="str">
            <v>ВЦ "Элетропрогрев"</v>
          </cell>
          <cell r="AD572">
            <v>37831</v>
          </cell>
          <cell r="AE572">
            <v>37874</v>
          </cell>
        </row>
        <row r="573">
          <cell r="B573">
            <v>11026</v>
          </cell>
          <cell r="C573" t="str">
            <v>96б</v>
          </cell>
          <cell r="F573" t="str">
            <v>ПРС</v>
          </cell>
          <cell r="H573" t="str">
            <v>фонт</v>
          </cell>
          <cell r="I573" t="str">
            <v>бд</v>
          </cell>
          <cell r="J573">
            <v>34390</v>
          </cell>
          <cell r="K573">
            <v>0</v>
          </cell>
          <cell r="L573">
            <v>0</v>
          </cell>
          <cell r="M573">
            <v>0</v>
          </cell>
          <cell r="N573">
            <v>50</v>
          </cell>
          <cell r="O573">
            <v>7.3</v>
          </cell>
          <cell r="P573">
            <v>90</v>
          </cell>
          <cell r="Q573">
            <v>50</v>
          </cell>
          <cell r="R573">
            <v>4.0999999999999996</v>
          </cell>
          <cell r="S573">
            <v>90</v>
          </cell>
          <cell r="T573">
            <v>37812</v>
          </cell>
          <cell r="U573" t="str">
            <v>ВЦД</v>
          </cell>
          <cell r="W573" t="str">
            <v>ВЦ,см.вор/Э-50</v>
          </cell>
        </row>
        <row r="574">
          <cell r="B574">
            <v>5579</v>
          </cell>
          <cell r="C574">
            <v>115</v>
          </cell>
          <cell r="F574" t="str">
            <v>КРС</v>
          </cell>
          <cell r="H574" t="str">
            <v>Ф/Э</v>
          </cell>
          <cell r="I574" t="str">
            <v>конс.</v>
          </cell>
          <cell r="J574">
            <v>34883</v>
          </cell>
          <cell r="K574">
            <v>0</v>
          </cell>
          <cell r="L574">
            <v>0</v>
          </cell>
          <cell r="M574">
            <v>0</v>
          </cell>
          <cell r="N574">
            <v>50</v>
          </cell>
          <cell r="O574">
            <v>20.399999999999999</v>
          </cell>
          <cell r="P574">
            <v>50</v>
          </cell>
          <cell r="Q574">
            <v>50</v>
          </cell>
          <cell r="R574">
            <v>20.399999999999999</v>
          </cell>
          <cell r="S574">
            <v>50</v>
          </cell>
          <cell r="T574">
            <v>37813</v>
          </cell>
          <cell r="U574" t="str">
            <v>ГРП</v>
          </cell>
          <cell r="W574" t="str">
            <v>ВЦ,ВЗ,ИР ЮК-10,повт.ГРП ЮК-2,осв.</v>
          </cell>
        </row>
        <row r="575">
          <cell r="B575" t="str">
            <v>5484б</v>
          </cell>
          <cell r="C575">
            <v>115</v>
          </cell>
          <cell r="F575" t="str">
            <v>КРС</v>
          </cell>
          <cell r="H575" t="str">
            <v>ЭЦН</v>
          </cell>
          <cell r="I575" t="str">
            <v>дающая</v>
          </cell>
          <cell r="J575" t="e">
            <v>#REF!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37814</v>
          </cell>
          <cell r="U575" t="str">
            <v>нг</v>
          </cell>
          <cell r="W575" t="str">
            <v>перевод в ППД</v>
          </cell>
        </row>
        <row r="576">
          <cell r="B576">
            <v>5563</v>
          </cell>
          <cell r="C576">
            <v>119</v>
          </cell>
          <cell r="F576" t="str">
            <v>КРС</v>
          </cell>
          <cell r="H576" t="str">
            <v>ЭЦН</v>
          </cell>
          <cell r="I576" t="str">
            <v>бд</v>
          </cell>
          <cell r="J576">
            <v>36418</v>
          </cell>
          <cell r="K576">
            <v>0</v>
          </cell>
          <cell r="L576">
            <v>0</v>
          </cell>
          <cell r="M576">
            <v>0</v>
          </cell>
          <cell r="N576">
            <v>50</v>
          </cell>
          <cell r="O576">
            <v>6.1</v>
          </cell>
          <cell r="P576">
            <v>85</v>
          </cell>
          <cell r="Q576">
            <v>50</v>
          </cell>
          <cell r="R576">
            <v>6.1</v>
          </cell>
          <cell r="S576">
            <v>85</v>
          </cell>
          <cell r="T576">
            <v>37829</v>
          </cell>
          <cell r="U576" t="str">
            <v>ЛА</v>
          </cell>
          <cell r="W576" t="str">
            <v>Изв.ЭЦН,ПП ЮК-10</v>
          </cell>
        </row>
        <row r="577">
          <cell r="B577">
            <v>5469</v>
          </cell>
          <cell r="C577">
            <v>108</v>
          </cell>
          <cell r="F577" t="str">
            <v>КРС</v>
          </cell>
          <cell r="H577" t="str">
            <v>Ф/Э</v>
          </cell>
          <cell r="I577" t="str">
            <v>бд</v>
          </cell>
          <cell r="J577">
            <v>34303</v>
          </cell>
          <cell r="T577">
            <v>38679</v>
          </cell>
          <cell r="U577" t="str">
            <v>нг</v>
          </cell>
          <cell r="W577" t="str">
            <v>перевод в ППД</v>
          </cell>
        </row>
        <row r="578">
          <cell r="B578">
            <v>2925</v>
          </cell>
          <cell r="C578">
            <v>132</v>
          </cell>
          <cell r="F578" t="str">
            <v>КРС</v>
          </cell>
          <cell r="H578" t="str">
            <v>фон</v>
          </cell>
          <cell r="I578" t="str">
            <v>конс.</v>
          </cell>
          <cell r="J578">
            <v>34271</v>
          </cell>
          <cell r="K578">
            <v>0</v>
          </cell>
          <cell r="L578">
            <v>0</v>
          </cell>
          <cell r="M578">
            <v>0</v>
          </cell>
          <cell r="N578">
            <v>30</v>
          </cell>
          <cell r="O578">
            <v>7.3</v>
          </cell>
          <cell r="P578">
            <v>70</v>
          </cell>
          <cell r="Q578">
            <v>30</v>
          </cell>
          <cell r="R578">
            <v>7.3</v>
          </cell>
          <cell r="S578">
            <v>70</v>
          </cell>
          <cell r="T578">
            <v>37807</v>
          </cell>
          <cell r="U578" t="str">
            <v>ВВ</v>
          </cell>
          <cell r="W578" t="str">
            <v>ИР ЮК-10,ОПР</v>
          </cell>
        </row>
        <row r="579">
          <cell r="B579">
            <v>5242</v>
          </cell>
          <cell r="C579">
            <v>134</v>
          </cell>
          <cell r="F579" t="str">
            <v>КРС</v>
          </cell>
          <cell r="H579" t="str">
            <v>нагнет.</v>
          </cell>
          <cell r="I579" t="str">
            <v>под закачкой</v>
          </cell>
          <cell r="J579" t="e">
            <v>#REF!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37811</v>
          </cell>
          <cell r="U579" t="str">
            <v>нг</v>
          </cell>
          <cell r="W579" t="str">
            <v>Ревизия пакера ГИС-3</v>
          </cell>
        </row>
        <row r="580">
          <cell r="B580">
            <v>5267</v>
          </cell>
          <cell r="C580">
            <v>134</v>
          </cell>
          <cell r="F580" t="str">
            <v>КРС</v>
          </cell>
          <cell r="H580" t="str">
            <v>ШГН</v>
          </cell>
          <cell r="I580" t="str">
            <v>простой</v>
          </cell>
          <cell r="J580">
            <v>37798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37821</v>
          </cell>
          <cell r="U580" t="str">
            <v>нг</v>
          </cell>
          <cell r="W580" t="str">
            <v>перевод в ППД</v>
          </cell>
        </row>
        <row r="581">
          <cell r="B581">
            <v>5651</v>
          </cell>
          <cell r="C581">
            <v>124</v>
          </cell>
          <cell r="F581" t="str">
            <v>УПНП</v>
          </cell>
          <cell r="G581">
            <v>260</v>
          </cell>
          <cell r="H581" t="str">
            <v>ЭЦН</v>
          </cell>
          <cell r="I581" t="str">
            <v>конс.</v>
          </cell>
          <cell r="J581">
            <v>35433</v>
          </cell>
          <cell r="K581">
            <v>0</v>
          </cell>
          <cell r="L581">
            <v>0</v>
          </cell>
          <cell r="M581">
            <v>0</v>
          </cell>
          <cell r="N581">
            <v>65</v>
          </cell>
          <cell r="O581">
            <v>23.3</v>
          </cell>
          <cell r="P581">
            <v>56</v>
          </cell>
          <cell r="Q581">
            <v>65</v>
          </cell>
          <cell r="R581">
            <v>23.3</v>
          </cell>
          <cell r="S581">
            <v>55.7</v>
          </cell>
          <cell r="T581">
            <v>37572</v>
          </cell>
          <cell r="U581" t="str">
            <v>ОВП</v>
          </cell>
          <cell r="W581" t="str">
            <v>ВЦ,ГИС,РИР (ЗКЦ ЮК-11),ПП</v>
          </cell>
        </row>
        <row r="582">
          <cell r="B582">
            <v>5241</v>
          </cell>
          <cell r="C582">
            <v>134</v>
          </cell>
          <cell r="F582" t="str">
            <v>УПНПиКРС</v>
          </cell>
          <cell r="G582">
            <v>258</v>
          </cell>
          <cell r="H582" t="str">
            <v>ЭЦН</v>
          </cell>
          <cell r="I582" t="str">
            <v>бд</v>
          </cell>
          <cell r="J582">
            <v>34547</v>
          </cell>
          <cell r="K582">
            <v>21</v>
          </cell>
          <cell r="L582">
            <v>0.2</v>
          </cell>
          <cell r="M582">
            <v>99</v>
          </cell>
          <cell r="N582">
            <v>6</v>
          </cell>
          <cell r="O582">
            <v>3.7</v>
          </cell>
          <cell r="P582">
            <v>25</v>
          </cell>
          <cell r="Q582">
            <v>6</v>
          </cell>
          <cell r="R582">
            <v>3.7</v>
          </cell>
          <cell r="S582">
            <v>30</v>
          </cell>
          <cell r="T582">
            <v>37690</v>
          </cell>
          <cell r="U582" t="str">
            <v>бдп</v>
          </cell>
          <cell r="V582">
            <v>2</v>
          </cell>
          <cell r="W582" t="str">
            <v xml:space="preserve">ВЦ, ГИС-2 ( источ. обвод.), при подтверждении воды и герм. э/колонны  </v>
          </cell>
          <cell r="X582" t="str">
            <v>ЭП выполнен, ЭЦН с КРБК на забое</v>
          </cell>
          <cell r="Y582" t="str">
            <v xml:space="preserve">на забое ЭЦН-50/1550+103шт.60мм НКТ+кабель </v>
          </cell>
          <cell r="AD582">
            <v>37413</v>
          </cell>
          <cell r="AE582">
            <v>37461</v>
          </cell>
          <cell r="AF582">
            <v>48</v>
          </cell>
        </row>
        <row r="583">
          <cell r="B583">
            <v>5241</v>
          </cell>
          <cell r="C583">
            <v>134</v>
          </cell>
          <cell r="F583" t="str">
            <v>УПНПиКРС</v>
          </cell>
          <cell r="G583">
            <v>258</v>
          </cell>
          <cell r="H583" t="str">
            <v>ЭЦН</v>
          </cell>
          <cell r="I583" t="str">
            <v>бд</v>
          </cell>
          <cell r="J583">
            <v>34547</v>
          </cell>
          <cell r="K583">
            <v>21</v>
          </cell>
          <cell r="L583">
            <v>0.2</v>
          </cell>
          <cell r="M583">
            <v>99</v>
          </cell>
          <cell r="N583">
            <v>30</v>
          </cell>
          <cell r="O583">
            <v>12</v>
          </cell>
          <cell r="P583">
            <v>51</v>
          </cell>
          <cell r="Q583">
            <v>30</v>
          </cell>
          <cell r="R583">
            <v>12</v>
          </cell>
          <cell r="S583">
            <v>50.6</v>
          </cell>
          <cell r="T583">
            <v>37465</v>
          </cell>
          <cell r="U583" t="str">
            <v>ГРП</v>
          </cell>
          <cell r="V583">
            <v>2</v>
          </cell>
          <cell r="W583" t="str">
            <v>СО-каротаж, ПР к ГРП, ГРП ЮК-2, осв.</v>
          </cell>
          <cell r="X583" t="str">
            <v>ЭП выполнен, ЭЦН с КРБК на забое</v>
          </cell>
          <cell r="AD583" t="e">
            <v>#REF!</v>
          </cell>
          <cell r="AE583" t="e">
            <v>#REF!</v>
          </cell>
          <cell r="AF583">
            <v>12</v>
          </cell>
        </row>
        <row r="584">
          <cell r="B584">
            <v>5290</v>
          </cell>
          <cell r="C584">
            <v>133</v>
          </cell>
          <cell r="F584" t="str">
            <v>УПНПиКРС</v>
          </cell>
          <cell r="H584" t="str">
            <v>ШГН</v>
          </cell>
          <cell r="I584" t="str">
            <v>бд</v>
          </cell>
          <cell r="N584">
            <v>65</v>
          </cell>
          <cell r="O584">
            <v>37.1</v>
          </cell>
          <cell r="P584">
            <v>30</v>
          </cell>
          <cell r="Q584">
            <v>65</v>
          </cell>
          <cell r="R584">
            <v>37.1</v>
          </cell>
          <cell r="S584">
            <v>29.5</v>
          </cell>
          <cell r="T584">
            <v>37455</v>
          </cell>
          <cell r="U584" t="str">
            <v>ГРП</v>
          </cell>
          <cell r="W584" t="str">
            <v>ВЦ, РИР ЮК-10, ПР к ГРП, ГРП ЮК-2, осв.</v>
          </cell>
          <cell r="Y584" t="str">
            <v>ОЦ5.10.99</v>
          </cell>
          <cell r="AC584" t="str">
            <v/>
          </cell>
          <cell r="AD584">
            <v>37413</v>
          </cell>
          <cell r="AE584">
            <v>37447</v>
          </cell>
          <cell r="AF584">
            <v>34</v>
          </cell>
          <cell r="AG584">
            <v>-190964</v>
          </cell>
          <cell r="AH584">
            <v>-262108</v>
          </cell>
        </row>
        <row r="585">
          <cell r="B585">
            <v>5266</v>
          </cell>
          <cell r="C585">
            <v>134</v>
          </cell>
          <cell r="F585" t="str">
            <v>УПНПиКРС</v>
          </cell>
          <cell r="H585" t="str">
            <v>нагнет.</v>
          </cell>
          <cell r="I585" t="str">
            <v>бд</v>
          </cell>
          <cell r="N585">
            <v>50</v>
          </cell>
          <cell r="O585">
            <v>30</v>
          </cell>
          <cell r="P585">
            <v>26.5</v>
          </cell>
          <cell r="Q585">
            <v>50</v>
          </cell>
          <cell r="R585">
            <v>30</v>
          </cell>
          <cell r="S585">
            <v>25.9</v>
          </cell>
          <cell r="T585">
            <v>38102</v>
          </cell>
          <cell r="U585" t="str">
            <v>ГРП</v>
          </cell>
          <cell r="W585" t="str">
            <v>ОТСК, РИР ЮК-10, ПР к ГРП, ГРП ЮК-2, осв.</v>
          </cell>
          <cell r="AD585">
            <v>37409</v>
          </cell>
          <cell r="AE585">
            <v>37431</v>
          </cell>
          <cell r="AF585">
            <v>22</v>
          </cell>
          <cell r="AG585">
            <v>-1123080</v>
          </cell>
          <cell r="AH585">
            <v>-1871800</v>
          </cell>
        </row>
        <row r="586">
          <cell r="B586">
            <v>5266</v>
          </cell>
          <cell r="C586">
            <v>134</v>
          </cell>
          <cell r="F586" t="str">
            <v>УПНПиКРС</v>
          </cell>
          <cell r="H586" t="str">
            <v>нагнет.</v>
          </cell>
          <cell r="I586" t="str">
            <v>бд</v>
          </cell>
          <cell r="N586">
            <v>50</v>
          </cell>
          <cell r="O586">
            <v>30</v>
          </cell>
          <cell r="P586">
            <v>26.5</v>
          </cell>
          <cell r="Q586">
            <v>50</v>
          </cell>
          <cell r="R586">
            <v>30</v>
          </cell>
          <cell r="S586">
            <v>25.9</v>
          </cell>
          <cell r="T586">
            <v>37436</v>
          </cell>
          <cell r="U586" t="str">
            <v>ГРП</v>
          </cell>
          <cell r="W586" t="str">
            <v>ОТСК, РИР ЮК-10, ПР к ГРП, ГРП ЮК-2, осв.</v>
          </cell>
          <cell r="AD586">
            <v>37392</v>
          </cell>
          <cell r="AE586">
            <v>37412</v>
          </cell>
          <cell r="AF586">
            <v>20</v>
          </cell>
          <cell r="AG586" t="e">
            <v>#REF!</v>
          </cell>
          <cell r="AH586" t="e">
            <v>#REF!</v>
          </cell>
        </row>
        <row r="587">
          <cell r="B587">
            <v>5739</v>
          </cell>
          <cell r="C587">
            <v>127</v>
          </cell>
          <cell r="F587" t="str">
            <v>УПНПиКРС</v>
          </cell>
          <cell r="G587">
            <v>280</v>
          </cell>
          <cell r="H587" t="str">
            <v>нагнет.</v>
          </cell>
          <cell r="I587" t="str">
            <v>бд</v>
          </cell>
          <cell r="N587">
            <v>50</v>
          </cell>
          <cell r="O587">
            <v>11.4</v>
          </cell>
          <cell r="P587">
            <v>72</v>
          </cell>
          <cell r="Q587">
            <v>50</v>
          </cell>
          <cell r="R587">
            <v>11.4</v>
          </cell>
          <cell r="S587">
            <v>71.900000000000006</v>
          </cell>
          <cell r="T587">
            <v>37424</v>
          </cell>
          <cell r="U587" t="str">
            <v>ГРП</v>
          </cell>
          <cell r="AD587">
            <v>37387</v>
          </cell>
          <cell r="AE587">
            <v>37411</v>
          </cell>
          <cell r="AF587">
            <v>24</v>
          </cell>
        </row>
        <row r="588">
          <cell r="B588">
            <v>3055</v>
          </cell>
          <cell r="C588">
            <v>51</v>
          </cell>
          <cell r="F588" t="str">
            <v>УПНПиКРС</v>
          </cell>
          <cell r="H588" t="str">
            <v>нагнет.</v>
          </cell>
          <cell r="I588" t="str">
            <v>бд</v>
          </cell>
          <cell r="N588">
            <v>20</v>
          </cell>
          <cell r="O588">
            <v>12.2</v>
          </cell>
          <cell r="P588">
            <v>25</v>
          </cell>
          <cell r="Q588">
            <v>20</v>
          </cell>
          <cell r="R588">
            <v>12.2</v>
          </cell>
          <cell r="S588">
            <v>24.7</v>
          </cell>
          <cell r="T588">
            <v>37422</v>
          </cell>
          <cell r="U588" t="str">
            <v>ГРП</v>
          </cell>
          <cell r="W588" t="str">
            <v>ВЗ ИР ЮК-11, ПР к ГРП и ГРП ЮК-3</v>
          </cell>
        </row>
        <row r="589">
          <cell r="B589">
            <v>2963</v>
          </cell>
          <cell r="C589">
            <v>20</v>
          </cell>
          <cell r="F589" t="str">
            <v>УПНПиКРС</v>
          </cell>
          <cell r="G589">
            <v>291</v>
          </cell>
          <cell r="H589" t="str">
            <v>нагнет.</v>
          </cell>
          <cell r="I589" t="str">
            <v>конс.</v>
          </cell>
          <cell r="N589">
            <v>49</v>
          </cell>
          <cell r="O589">
            <v>37.9</v>
          </cell>
          <cell r="P589">
            <v>5</v>
          </cell>
          <cell r="Q589">
            <v>49</v>
          </cell>
          <cell r="R589">
            <v>37.9</v>
          </cell>
          <cell r="S589">
            <v>4.5</v>
          </cell>
          <cell r="T589">
            <v>37417</v>
          </cell>
          <cell r="U589" t="str">
            <v>ГРП</v>
          </cell>
          <cell r="W589" t="str">
            <v xml:space="preserve"> РИР ЮК-10, ПР к ГРП, ГРП ЮК-2, осв.</v>
          </cell>
          <cell r="AD589">
            <v>37384</v>
          </cell>
          <cell r="AE589">
            <v>37401</v>
          </cell>
          <cell r="AF589">
            <v>17</v>
          </cell>
        </row>
        <row r="590">
          <cell r="B590">
            <v>2820</v>
          </cell>
          <cell r="C590">
            <v>144</v>
          </cell>
          <cell r="F590" t="str">
            <v>УПНПиКРС</v>
          </cell>
          <cell r="H590" t="str">
            <v>ФОН</v>
          </cell>
          <cell r="I590" t="str">
            <v>действ.</v>
          </cell>
          <cell r="K590">
            <v>32</v>
          </cell>
          <cell r="L590">
            <v>21.4</v>
          </cell>
          <cell r="M590">
            <v>18</v>
          </cell>
          <cell r="N590">
            <v>40</v>
          </cell>
          <cell r="O590">
            <v>28.4</v>
          </cell>
          <cell r="P590">
            <v>13</v>
          </cell>
          <cell r="Q590">
            <v>8</v>
          </cell>
          <cell r="R590">
            <v>7</v>
          </cell>
          <cell r="S590">
            <v>-8</v>
          </cell>
          <cell r="T590">
            <v>37415</v>
          </cell>
          <cell r="U590" t="str">
            <v>опт</v>
          </cell>
          <cell r="W590" t="str">
            <v>Подъём пакера , осв.после ГРП, сп.Э-50</v>
          </cell>
          <cell r="AD590">
            <v>37384</v>
          </cell>
          <cell r="AE590">
            <v>37408</v>
          </cell>
          <cell r="AF590">
            <v>24</v>
          </cell>
          <cell r="AG590" t="e">
            <v>#REF!</v>
          </cell>
          <cell r="AH590" t="e">
            <v>#REF!</v>
          </cell>
        </row>
        <row r="591">
          <cell r="B591">
            <v>5242</v>
          </cell>
          <cell r="C591">
            <v>134</v>
          </cell>
          <cell r="F591" t="str">
            <v>УПНПиКРС</v>
          </cell>
          <cell r="H591" t="str">
            <v>ШГН</v>
          </cell>
          <cell r="I591" t="str">
            <v>конс.</v>
          </cell>
          <cell r="N591">
            <v>40</v>
          </cell>
          <cell r="O591">
            <v>28.4</v>
          </cell>
          <cell r="P591">
            <v>13</v>
          </cell>
          <cell r="Q591">
            <v>40</v>
          </cell>
          <cell r="R591">
            <v>28.4</v>
          </cell>
          <cell r="S591">
            <v>12.3</v>
          </cell>
          <cell r="T591">
            <v>37412</v>
          </cell>
          <cell r="V591">
            <v>3</v>
          </cell>
          <cell r="W591" t="str">
            <v>ВЦ, РИР ЮК-10, ПР к ГРП, ГРП ЮК-2, осв.</v>
          </cell>
          <cell r="Y591" t="str">
            <v>ВУК(-)</v>
          </cell>
          <cell r="AD591">
            <v>37329</v>
          </cell>
          <cell r="AE591">
            <v>37382</v>
          </cell>
          <cell r="AF591">
            <v>53</v>
          </cell>
          <cell r="AG591">
            <v>1470</v>
          </cell>
          <cell r="AH591">
            <v>2450</v>
          </cell>
        </row>
        <row r="592">
          <cell r="B592">
            <v>5218</v>
          </cell>
          <cell r="C592">
            <v>134</v>
          </cell>
          <cell r="F592" t="str">
            <v>УПНПиКРС</v>
          </cell>
          <cell r="G592">
            <v>245</v>
          </cell>
          <cell r="H592" t="str">
            <v>ШГН</v>
          </cell>
          <cell r="I592" t="str">
            <v>конс.</v>
          </cell>
          <cell r="J592">
            <v>32843</v>
          </cell>
          <cell r="N592">
            <v>50</v>
          </cell>
          <cell r="O592">
            <v>30</v>
          </cell>
          <cell r="P592">
            <v>26.5</v>
          </cell>
          <cell r="Q592">
            <v>50</v>
          </cell>
          <cell r="R592">
            <v>30</v>
          </cell>
          <cell r="S592">
            <v>25.9</v>
          </cell>
          <cell r="T592">
            <v>37407</v>
          </cell>
          <cell r="U592" t="str">
            <v>ГРП</v>
          </cell>
          <cell r="V592">
            <v>2</v>
          </cell>
          <cell r="W592" t="str">
            <v>ВЦ, ИР ЮК-10, ПР к ГРП и ГРП ЮК-2-3</v>
          </cell>
          <cell r="Y592" t="str">
            <v>Обрыв МСУ-400+ 1485м. Проволки ВЦ сделал э/пр.(февр.02), цирк.(+)</v>
          </cell>
          <cell r="AD592">
            <v>37362</v>
          </cell>
          <cell r="AE592">
            <v>37384</v>
          </cell>
          <cell r="AF592">
            <v>22</v>
          </cell>
          <cell r="AG592">
            <v>940</v>
          </cell>
          <cell r="AH592">
            <v>-456</v>
          </cell>
        </row>
        <row r="593">
          <cell r="B593">
            <v>5483</v>
          </cell>
          <cell r="C593">
            <v>115</v>
          </cell>
          <cell r="F593" t="str">
            <v>УПНПиКРС</v>
          </cell>
          <cell r="G593">
            <v>250</v>
          </cell>
          <cell r="H593" t="str">
            <v>ЭЦН</v>
          </cell>
          <cell r="I593" t="str">
            <v>конс.</v>
          </cell>
          <cell r="J593">
            <v>34274</v>
          </cell>
          <cell r="K593">
            <v>30</v>
          </cell>
          <cell r="L593">
            <v>23.5</v>
          </cell>
          <cell r="M593">
            <v>4</v>
          </cell>
          <cell r="N593">
            <v>30</v>
          </cell>
          <cell r="O593">
            <v>22.1</v>
          </cell>
          <cell r="P593">
            <v>9.5</v>
          </cell>
          <cell r="Q593">
            <v>30</v>
          </cell>
          <cell r="R593">
            <v>22.1</v>
          </cell>
          <cell r="S593">
            <v>9.1</v>
          </cell>
          <cell r="T593">
            <v>37393</v>
          </cell>
          <cell r="U593" t="str">
            <v>ГРП</v>
          </cell>
          <cell r="V593">
            <v>3</v>
          </cell>
          <cell r="W593" t="str">
            <v xml:space="preserve"> пр к ГРП, ГРП</v>
          </cell>
          <cell r="AD593">
            <v>37355</v>
          </cell>
          <cell r="AE593">
            <v>37376</v>
          </cell>
          <cell r="AF593">
            <v>21</v>
          </cell>
          <cell r="AG593">
            <v>120</v>
          </cell>
          <cell r="AH593">
            <v>456</v>
          </cell>
        </row>
        <row r="594">
          <cell r="B594">
            <v>5425</v>
          </cell>
          <cell r="C594">
            <v>102</v>
          </cell>
          <cell r="F594" t="str">
            <v>УПНПиКРС</v>
          </cell>
          <cell r="G594">
            <v>230</v>
          </cell>
          <cell r="H594" t="str">
            <v>ШГН</v>
          </cell>
          <cell r="I594" t="str">
            <v>действ.</v>
          </cell>
          <cell r="J594">
            <v>37355</v>
          </cell>
          <cell r="K594">
            <v>12</v>
          </cell>
          <cell r="L594">
            <v>9.5</v>
          </cell>
          <cell r="M594">
            <v>3</v>
          </cell>
          <cell r="N594">
            <v>23</v>
          </cell>
          <cell r="O594">
            <v>17.899999999999999</v>
          </cell>
          <cell r="P594">
            <v>4.5</v>
          </cell>
          <cell r="Q594">
            <v>11</v>
          </cell>
          <cell r="R594">
            <v>8.4</v>
          </cell>
          <cell r="S594">
            <v>5.7</v>
          </cell>
          <cell r="T594">
            <v>38097</v>
          </cell>
          <cell r="U594" t="str">
            <v>опт</v>
          </cell>
          <cell r="V594">
            <v>2</v>
          </cell>
          <cell r="W594" t="str">
            <v>См.НВ-44/Э-30</v>
          </cell>
          <cell r="AD594">
            <v>37365</v>
          </cell>
          <cell r="AE594">
            <v>37379</v>
          </cell>
          <cell r="AF594">
            <v>14</v>
          </cell>
          <cell r="AG594">
            <v>1560</v>
          </cell>
          <cell r="AH594">
            <v>2600</v>
          </cell>
        </row>
        <row r="595">
          <cell r="B595" t="str">
            <v>5321б</v>
          </cell>
          <cell r="C595">
            <v>135</v>
          </cell>
          <cell r="F595" t="str">
            <v>УПНПиКРС</v>
          </cell>
          <cell r="G595">
            <v>245</v>
          </cell>
          <cell r="H595" t="str">
            <v>ШГН</v>
          </cell>
          <cell r="I595" t="str">
            <v>бд</v>
          </cell>
          <cell r="J595">
            <v>37681</v>
          </cell>
          <cell r="K595">
            <v>8</v>
          </cell>
          <cell r="L595">
            <v>4.9000000000000004</v>
          </cell>
          <cell r="M595">
            <v>25</v>
          </cell>
          <cell r="N595">
            <v>8</v>
          </cell>
          <cell r="O595">
            <v>4.9000000000000004</v>
          </cell>
          <cell r="P595">
            <v>25</v>
          </cell>
          <cell r="Q595">
            <v>8</v>
          </cell>
          <cell r="R595">
            <v>4.9000000000000004</v>
          </cell>
          <cell r="S595">
            <v>24.4</v>
          </cell>
          <cell r="T595">
            <v>37763</v>
          </cell>
          <cell r="U595" t="str">
            <v>вц</v>
          </cell>
          <cell r="V595">
            <v>2</v>
          </cell>
          <cell r="W595" t="str">
            <v>вц</v>
          </cell>
          <cell r="AD595">
            <v>37352</v>
          </cell>
          <cell r="AE595">
            <v>37363</v>
          </cell>
          <cell r="AF595">
            <v>11</v>
          </cell>
        </row>
        <row r="596">
          <cell r="B596">
            <v>5800</v>
          </cell>
          <cell r="C596">
            <v>141</v>
          </cell>
          <cell r="F596" t="str">
            <v>УПНПиКРС</v>
          </cell>
          <cell r="G596">
            <v>287</v>
          </cell>
          <cell r="H596" t="str">
            <v>нагнет.</v>
          </cell>
          <cell r="I596" t="str">
            <v>бд</v>
          </cell>
          <cell r="J596">
            <v>36641</v>
          </cell>
          <cell r="K596">
            <v>150</v>
          </cell>
          <cell r="N596">
            <v>150</v>
          </cell>
          <cell r="Q596">
            <v>150</v>
          </cell>
          <cell r="T596">
            <v>37366</v>
          </cell>
          <cell r="V596">
            <v>2</v>
          </cell>
          <cell r="W596" t="str">
            <v>Ревизия пакера</v>
          </cell>
          <cell r="AD596">
            <v>37194</v>
          </cell>
          <cell r="AE596">
            <v>37345</v>
          </cell>
          <cell r="AF596">
            <v>151</v>
          </cell>
          <cell r="AG596" t="e">
            <v>#REF!</v>
          </cell>
          <cell r="AH596" t="e">
            <v>#REF!</v>
          </cell>
        </row>
        <row r="597">
          <cell r="B597">
            <v>5418</v>
          </cell>
          <cell r="C597">
            <v>109</v>
          </cell>
          <cell r="F597" t="str">
            <v>УПНПиКРС</v>
          </cell>
          <cell r="G597">
            <v>275</v>
          </cell>
          <cell r="H597" t="str">
            <v>ЭЦН</v>
          </cell>
          <cell r="I597" t="str">
            <v>бд</v>
          </cell>
          <cell r="J597">
            <v>35823</v>
          </cell>
          <cell r="K597">
            <v>30</v>
          </cell>
          <cell r="L597">
            <v>4.2</v>
          </cell>
          <cell r="M597">
            <v>83</v>
          </cell>
          <cell r="N597">
            <v>32</v>
          </cell>
          <cell r="O597">
            <v>7.8</v>
          </cell>
          <cell r="P597">
            <v>70</v>
          </cell>
          <cell r="Q597">
            <v>32</v>
          </cell>
          <cell r="R597">
            <v>7.8</v>
          </cell>
          <cell r="S597">
            <v>69.900000000000006</v>
          </cell>
          <cell r="T597">
            <v>37356</v>
          </cell>
          <cell r="U597" t="str">
            <v>ГРП</v>
          </cell>
          <cell r="V597">
            <v>2</v>
          </cell>
          <cell r="W597" t="str">
            <v>ВЦ. РИР ЮК-11. ПП ЮК-10. ГРП</v>
          </cell>
          <cell r="AD597">
            <v>37285</v>
          </cell>
          <cell r="AE597">
            <v>37343</v>
          </cell>
          <cell r="AF597">
            <v>58</v>
          </cell>
          <cell r="AG597" t="e">
            <v>#REF!</v>
          </cell>
          <cell r="AH597" t="e">
            <v>#REF!</v>
          </cell>
        </row>
        <row r="598">
          <cell r="B598">
            <v>2533</v>
          </cell>
          <cell r="C598">
            <v>150</v>
          </cell>
          <cell r="F598" t="str">
            <v>УПНПиКРС</v>
          </cell>
          <cell r="G598">
            <v>250</v>
          </cell>
          <cell r="H598" t="str">
            <v>ШГН</v>
          </cell>
          <cell r="I598" t="str">
            <v>бд</v>
          </cell>
          <cell r="K598">
            <v>6</v>
          </cell>
          <cell r="L598">
            <v>0.5</v>
          </cell>
          <cell r="M598">
            <v>90</v>
          </cell>
          <cell r="N598">
            <v>55</v>
          </cell>
          <cell r="O598">
            <v>29.6</v>
          </cell>
          <cell r="P598">
            <v>34</v>
          </cell>
          <cell r="Q598">
            <v>55</v>
          </cell>
          <cell r="R598">
            <v>29.6</v>
          </cell>
          <cell r="S598">
            <v>33.6</v>
          </cell>
          <cell r="T598">
            <v>37351</v>
          </cell>
          <cell r="U598" t="str">
            <v>ГРП</v>
          </cell>
          <cell r="V598">
            <v>2</v>
          </cell>
          <cell r="W598" t="str">
            <v>ИР ЮК-11. ПП ЮК-10. ГРП</v>
          </cell>
          <cell r="X598" t="str">
            <v>нет СК и карточки?</v>
          </cell>
          <cell r="AD598">
            <v>37323</v>
          </cell>
          <cell r="AE598">
            <v>37351</v>
          </cell>
          <cell r="AF598">
            <v>28</v>
          </cell>
          <cell r="AG598" t="e">
            <v>#REF!</v>
          </cell>
          <cell r="AH598" t="e">
            <v>#REF!</v>
          </cell>
        </row>
        <row r="599">
          <cell r="B599">
            <v>2993</v>
          </cell>
          <cell r="C599">
            <v>42</v>
          </cell>
          <cell r="F599" t="str">
            <v>УПНПиКРС</v>
          </cell>
          <cell r="G599">
            <v>250</v>
          </cell>
          <cell r="H599" t="str">
            <v>ШГН</v>
          </cell>
          <cell r="I599" t="str">
            <v>бд</v>
          </cell>
          <cell r="J599">
            <v>35217</v>
          </cell>
          <cell r="K599">
            <v>2</v>
          </cell>
          <cell r="L599">
            <v>0.2</v>
          </cell>
          <cell r="M599">
            <v>86</v>
          </cell>
          <cell r="N599">
            <v>36</v>
          </cell>
          <cell r="O599">
            <v>26.7</v>
          </cell>
          <cell r="P599">
            <v>9</v>
          </cell>
          <cell r="Q599">
            <v>36</v>
          </cell>
          <cell r="R599">
            <v>26.7</v>
          </cell>
          <cell r="S599">
            <v>8.4</v>
          </cell>
          <cell r="T599">
            <v>37350</v>
          </cell>
          <cell r="U599" t="str">
            <v>ГРП</v>
          </cell>
          <cell r="V599">
            <v>2</v>
          </cell>
          <cell r="W599" t="str">
            <v>ВЗ. РИР ЮК-10. ГИС-2. ГРП ЮК-4-5</v>
          </cell>
          <cell r="X599" t="str">
            <v>отсутствие аварийного инструмента</v>
          </cell>
          <cell r="AD599">
            <v>37302</v>
          </cell>
          <cell r="AE599">
            <v>37334</v>
          </cell>
          <cell r="AF599">
            <v>32</v>
          </cell>
          <cell r="AG599">
            <v>24</v>
          </cell>
          <cell r="AH599" t="e">
            <v>#REF!</v>
          </cell>
        </row>
        <row r="600">
          <cell r="B600">
            <v>2787</v>
          </cell>
          <cell r="C600">
            <v>145</v>
          </cell>
          <cell r="F600" t="str">
            <v>УПНПиКРС</v>
          </cell>
          <cell r="G600">
            <v>250</v>
          </cell>
          <cell r="H600" t="str">
            <v>ЭЦН</v>
          </cell>
          <cell r="I600" t="str">
            <v>действ.</v>
          </cell>
          <cell r="J600">
            <v>33786</v>
          </cell>
          <cell r="K600">
            <v>16</v>
          </cell>
          <cell r="L600">
            <v>12.4</v>
          </cell>
          <cell r="M600">
            <v>5</v>
          </cell>
          <cell r="N600">
            <v>25</v>
          </cell>
          <cell r="O600">
            <v>14.3</v>
          </cell>
          <cell r="P600">
            <v>30</v>
          </cell>
          <cell r="Q600">
            <v>9</v>
          </cell>
          <cell r="R600">
            <v>1.9</v>
          </cell>
          <cell r="S600">
            <v>73.900000000000006</v>
          </cell>
          <cell r="V600">
            <v>1</v>
          </cell>
          <cell r="W600" t="str">
            <v>Срыв пакера, ГДИ, сп.ЭЦН</v>
          </cell>
          <cell r="AD600">
            <v>37276</v>
          </cell>
          <cell r="AE600">
            <v>37292</v>
          </cell>
          <cell r="AF600">
            <v>16</v>
          </cell>
          <cell r="AG600">
            <v>192</v>
          </cell>
          <cell r="AH600">
            <v>640</v>
          </cell>
        </row>
        <row r="601">
          <cell r="B601" t="str">
            <v>5845б</v>
          </cell>
          <cell r="C601" t="str">
            <v>168б</v>
          </cell>
          <cell r="F601" t="str">
            <v>УПНПиКРС</v>
          </cell>
          <cell r="G601">
            <v>253</v>
          </cell>
          <cell r="H601" t="str">
            <v>ЭЦН</v>
          </cell>
          <cell r="I601" t="str">
            <v>действ.</v>
          </cell>
          <cell r="K601">
            <v>63</v>
          </cell>
          <cell r="L601">
            <v>4.5999999999999996</v>
          </cell>
          <cell r="M601">
            <v>91</v>
          </cell>
          <cell r="N601">
            <v>93</v>
          </cell>
          <cell r="O601">
            <v>7.6</v>
          </cell>
          <cell r="P601">
            <v>90</v>
          </cell>
          <cell r="Q601">
            <v>30</v>
          </cell>
          <cell r="R601">
            <v>3</v>
          </cell>
          <cell r="S601">
            <v>87.7</v>
          </cell>
          <cell r="T601">
            <v>37338</v>
          </cell>
          <cell r="U601" t="str">
            <v>опт</v>
          </cell>
          <cell r="V601">
            <v>2</v>
          </cell>
          <cell r="AG601">
            <v>-869729</v>
          </cell>
          <cell r="AH601">
            <v>-3051680</v>
          </cell>
        </row>
        <row r="602">
          <cell r="B602" t="str">
            <v>5845б</v>
          </cell>
          <cell r="C602" t="str">
            <v>168б</v>
          </cell>
          <cell r="F602" t="str">
            <v>УПНПиКРС</v>
          </cell>
          <cell r="G602">
            <v>253</v>
          </cell>
          <cell r="H602" t="str">
            <v>ЭЦН</v>
          </cell>
          <cell r="I602" t="str">
            <v>конс.</v>
          </cell>
          <cell r="J602">
            <v>35401</v>
          </cell>
          <cell r="N602">
            <v>93</v>
          </cell>
          <cell r="O602">
            <v>10.6</v>
          </cell>
          <cell r="P602">
            <v>86</v>
          </cell>
          <cell r="Q602">
            <v>93</v>
          </cell>
          <cell r="R602">
            <v>10.6</v>
          </cell>
          <cell r="S602">
            <v>85.9</v>
          </cell>
          <cell r="T602">
            <v>37317</v>
          </cell>
          <cell r="U602" t="str">
            <v>ГРП</v>
          </cell>
          <cell r="V602">
            <v>2</v>
          </cell>
          <cell r="AD602">
            <v>37254</v>
          </cell>
          <cell r="AE602">
            <v>37294</v>
          </cell>
          <cell r="AF602">
            <v>40</v>
          </cell>
          <cell r="AG602">
            <v>144</v>
          </cell>
          <cell r="AH602">
            <v>-456</v>
          </cell>
        </row>
        <row r="603">
          <cell r="B603">
            <v>5425</v>
          </cell>
          <cell r="C603">
            <v>102</v>
          </cell>
          <cell r="F603" t="str">
            <v>УПНПиКРС</v>
          </cell>
          <cell r="G603">
            <v>230</v>
          </cell>
          <cell r="H603" t="str">
            <v>ЭЦН</v>
          </cell>
          <cell r="I603" t="str">
            <v>бд</v>
          </cell>
          <cell r="K603">
            <v>73</v>
          </cell>
          <cell r="L603">
            <v>1.8</v>
          </cell>
          <cell r="M603">
            <v>97</v>
          </cell>
          <cell r="N603">
            <v>25</v>
          </cell>
          <cell r="O603">
            <v>19.399999999999999</v>
          </cell>
          <cell r="P603">
            <v>5</v>
          </cell>
          <cell r="Q603">
            <v>25</v>
          </cell>
          <cell r="R603">
            <v>19.399999999999999</v>
          </cell>
          <cell r="S603">
            <v>4.2</v>
          </cell>
          <cell r="T603">
            <v>37296</v>
          </cell>
          <cell r="U603" t="str">
            <v>ГРП</v>
          </cell>
          <cell r="V603">
            <v>2</v>
          </cell>
          <cell r="W603" t="str">
            <v xml:space="preserve"> ИР ЮК-10, ПР к ГРП и ГРП ЮК-2-3 </v>
          </cell>
          <cell r="AD603">
            <v>37190</v>
          </cell>
          <cell r="AE603">
            <v>37254</v>
          </cell>
          <cell r="AF603">
            <v>64</v>
          </cell>
          <cell r="AG603" t="e">
            <v>#REF!</v>
          </cell>
          <cell r="AH603" t="e">
            <v>#REF!</v>
          </cell>
        </row>
        <row r="604">
          <cell r="B604">
            <v>2720</v>
          </cell>
          <cell r="C604">
            <v>166</v>
          </cell>
          <cell r="F604" t="str">
            <v>ЗАО "УПКРС"</v>
          </cell>
          <cell r="G604">
            <v>265</v>
          </cell>
          <cell r="H604" t="str">
            <v>ШГН</v>
          </cell>
          <cell r="I604" t="str">
            <v>действ.</v>
          </cell>
          <cell r="K604">
            <v>16</v>
          </cell>
          <cell r="L604">
            <v>12</v>
          </cell>
          <cell r="M604">
            <v>8</v>
          </cell>
          <cell r="N604">
            <v>30</v>
          </cell>
          <cell r="O604">
            <v>13.7</v>
          </cell>
          <cell r="P604">
            <v>44</v>
          </cell>
          <cell r="Q604">
            <v>14</v>
          </cell>
          <cell r="R604">
            <v>1.7</v>
          </cell>
          <cell r="S604">
            <v>85</v>
          </cell>
          <cell r="T604">
            <v>37294</v>
          </cell>
          <cell r="U604" t="str">
            <v>опт</v>
          </cell>
          <cell r="V604">
            <v>2</v>
          </cell>
          <cell r="W604" t="str">
            <v>Опт.Н-44/Э-30</v>
          </cell>
          <cell r="AD604">
            <v>37275</v>
          </cell>
          <cell r="AE604">
            <v>37294</v>
          </cell>
          <cell r="AF604">
            <v>19</v>
          </cell>
          <cell r="AG604">
            <v>144</v>
          </cell>
          <cell r="AH604">
            <v>360</v>
          </cell>
        </row>
        <row r="605">
          <cell r="B605">
            <v>5515</v>
          </cell>
          <cell r="C605">
            <v>115</v>
          </cell>
          <cell r="F605" t="str">
            <v>УПНПиКРС</v>
          </cell>
          <cell r="G605">
            <v>240</v>
          </cell>
          <cell r="H605" t="str">
            <v>ЭЦН</v>
          </cell>
          <cell r="I605" t="str">
            <v>конс.</v>
          </cell>
          <cell r="J605">
            <v>33910</v>
          </cell>
          <cell r="N605">
            <v>36</v>
          </cell>
          <cell r="O605">
            <v>25.8</v>
          </cell>
          <cell r="P605">
            <v>12</v>
          </cell>
          <cell r="Q605">
            <v>36</v>
          </cell>
          <cell r="R605">
            <v>25.8</v>
          </cell>
          <cell r="S605">
            <v>11.5</v>
          </cell>
          <cell r="T605">
            <v>37291</v>
          </cell>
          <cell r="U605" t="str">
            <v>ГРП</v>
          </cell>
          <cell r="V605">
            <v>2</v>
          </cell>
          <cell r="W605" t="str">
            <v>ВЦ, ИР ЮК-10, ПР к ГРП и ГРП ЮК-2-3 Сваб</v>
          </cell>
          <cell r="AG605">
            <v>-372850</v>
          </cell>
          <cell r="AH605">
            <v>-559275</v>
          </cell>
        </row>
        <row r="606">
          <cell r="B606">
            <v>5315</v>
          </cell>
          <cell r="C606">
            <v>133</v>
          </cell>
          <cell r="H606" t="str">
            <v>ШГН</v>
          </cell>
          <cell r="I606" t="str">
            <v>бд</v>
          </cell>
          <cell r="N606">
            <v>15</v>
          </cell>
          <cell r="O606">
            <v>10</v>
          </cell>
          <cell r="P606">
            <v>18</v>
          </cell>
          <cell r="Q606">
            <v>15</v>
          </cell>
          <cell r="R606">
            <v>10</v>
          </cell>
          <cell r="S606">
            <v>17.7</v>
          </cell>
          <cell r="T606">
            <v>37285</v>
          </cell>
          <cell r="U606" t="str">
            <v>ВЦД</v>
          </cell>
          <cell r="W606" t="str">
            <v>ВЦ</v>
          </cell>
          <cell r="AG606">
            <v>-74566</v>
          </cell>
          <cell r="AH606">
            <v>-745660</v>
          </cell>
        </row>
        <row r="607">
          <cell r="B607">
            <v>5560</v>
          </cell>
          <cell r="C607" t="str">
            <v>119б</v>
          </cell>
          <cell r="F607" t="str">
            <v>УПНПиКРС</v>
          </cell>
          <cell r="G607">
            <v>265</v>
          </cell>
          <cell r="H607" t="str">
            <v>ШГН</v>
          </cell>
          <cell r="I607" t="str">
            <v>бд</v>
          </cell>
          <cell r="J607">
            <v>36544</v>
          </cell>
          <cell r="K607">
            <v>0</v>
          </cell>
          <cell r="L607">
            <v>0</v>
          </cell>
          <cell r="M607">
            <v>0</v>
          </cell>
          <cell r="N607">
            <v>80</v>
          </cell>
          <cell r="O607">
            <v>24.8</v>
          </cell>
          <cell r="P607">
            <v>62</v>
          </cell>
          <cell r="Q607">
            <v>80</v>
          </cell>
          <cell r="R607">
            <v>24.8</v>
          </cell>
          <cell r="S607">
            <v>61.7</v>
          </cell>
          <cell r="T607">
            <v>38185</v>
          </cell>
          <cell r="U607" t="str">
            <v>ГРП</v>
          </cell>
          <cell r="W607" t="str">
            <v>ПП.ГРП ЮК-10.Сп.Э-80</v>
          </cell>
          <cell r="X607" t="str">
            <v>ВЦ субподрядом</v>
          </cell>
          <cell r="AG607">
            <v>-164019</v>
          </cell>
          <cell r="AH607">
            <v>-484601</v>
          </cell>
        </row>
        <row r="608">
          <cell r="B608">
            <v>2979</v>
          </cell>
          <cell r="C608">
            <v>50</v>
          </cell>
          <cell r="H608" t="str">
            <v>ШГН</v>
          </cell>
          <cell r="I608" t="str">
            <v>действ.</v>
          </cell>
          <cell r="K608">
            <v>20</v>
          </cell>
          <cell r="L608">
            <v>10.6</v>
          </cell>
          <cell r="M608">
            <v>35</v>
          </cell>
          <cell r="N608">
            <v>33</v>
          </cell>
          <cell r="O608">
            <v>15</v>
          </cell>
          <cell r="P608">
            <v>44.3</v>
          </cell>
          <cell r="Q608">
            <v>13</v>
          </cell>
          <cell r="R608">
            <v>4.4000000000000004</v>
          </cell>
          <cell r="S608">
            <v>58.2</v>
          </cell>
          <cell r="T608">
            <v>37277</v>
          </cell>
          <cell r="U608" t="str">
            <v>опт</v>
          </cell>
          <cell r="W608" t="str">
            <v>опт.Н-57/Э-45</v>
          </cell>
          <cell r="AD608">
            <v>37242</v>
          </cell>
          <cell r="AE608">
            <v>37254</v>
          </cell>
          <cell r="AF608">
            <v>12</v>
          </cell>
        </row>
        <row r="609">
          <cell r="B609">
            <v>4212</v>
          </cell>
          <cell r="C609">
            <v>311</v>
          </cell>
          <cell r="H609" t="str">
            <v>ЭЦН</v>
          </cell>
          <cell r="I609" t="str">
            <v>действ.</v>
          </cell>
          <cell r="K609">
            <v>60</v>
          </cell>
          <cell r="L609">
            <v>0.5</v>
          </cell>
          <cell r="M609">
            <v>99</v>
          </cell>
          <cell r="N609">
            <v>80</v>
          </cell>
          <cell r="O609">
            <v>2</v>
          </cell>
          <cell r="P609">
            <v>97</v>
          </cell>
          <cell r="Q609">
            <v>20</v>
          </cell>
          <cell r="R609">
            <v>1.5</v>
          </cell>
          <cell r="S609">
            <v>90.7</v>
          </cell>
          <cell r="T609">
            <v>37277</v>
          </cell>
          <cell r="U609" t="str">
            <v>опт</v>
          </cell>
          <cell r="W609" t="str">
            <v>Опт.Э-50/Э-80</v>
          </cell>
          <cell r="Y609" t="str">
            <v>Полёт НКТ и НГН-44</v>
          </cell>
          <cell r="AD609">
            <v>37190</v>
          </cell>
          <cell r="AE609">
            <v>37254</v>
          </cell>
          <cell r="AF609">
            <v>64</v>
          </cell>
          <cell r="AG609">
            <v>-447216</v>
          </cell>
          <cell r="AH609">
            <v>-633556</v>
          </cell>
        </row>
        <row r="610">
          <cell r="B610">
            <v>2720</v>
          </cell>
          <cell r="C610">
            <v>166</v>
          </cell>
          <cell r="F610" t="str">
            <v>ЗАО "УПКРС"</v>
          </cell>
          <cell r="G610">
            <v>265</v>
          </cell>
          <cell r="H610" t="str">
            <v>ШГН</v>
          </cell>
          <cell r="I610" t="str">
            <v>бд</v>
          </cell>
          <cell r="J610">
            <v>35746</v>
          </cell>
          <cell r="N610">
            <v>17</v>
          </cell>
          <cell r="O610">
            <v>12</v>
          </cell>
          <cell r="P610">
            <v>13.5</v>
          </cell>
          <cell r="Q610">
            <v>17</v>
          </cell>
          <cell r="R610">
            <v>12</v>
          </cell>
          <cell r="S610">
            <v>12.9</v>
          </cell>
          <cell r="T610">
            <v>37268</v>
          </cell>
          <cell r="U610" t="str">
            <v>ГРП</v>
          </cell>
          <cell r="W610" t="str">
            <v>ВЦ. Извлечение НКТ с НГН-44. ГРП ЮК-10</v>
          </cell>
          <cell r="AG610">
            <v>-869729</v>
          </cell>
          <cell r="AH610">
            <v>-3051680</v>
          </cell>
        </row>
        <row r="611">
          <cell r="B611">
            <v>2722</v>
          </cell>
          <cell r="C611">
            <v>166</v>
          </cell>
          <cell r="F611" t="str">
            <v>КРС</v>
          </cell>
          <cell r="G611">
            <v>260</v>
          </cell>
          <cell r="H611" t="str">
            <v>ШГН</v>
          </cell>
          <cell r="I611" t="str">
            <v>бд</v>
          </cell>
          <cell r="K611">
            <v>0</v>
          </cell>
          <cell r="L611">
            <v>0</v>
          </cell>
          <cell r="M611">
            <v>0</v>
          </cell>
          <cell r="N611">
            <v>80</v>
          </cell>
          <cell r="O611">
            <v>22.8</v>
          </cell>
          <cell r="P611">
            <v>65</v>
          </cell>
          <cell r="Q611">
            <v>80</v>
          </cell>
          <cell r="R611">
            <v>22.8</v>
          </cell>
          <cell r="S611">
            <v>64.8</v>
          </cell>
          <cell r="T611">
            <v>38146</v>
          </cell>
          <cell r="U611" t="str">
            <v>ГРП</v>
          </cell>
          <cell r="W611" t="str">
            <v>ПР ГРП ЮК-10,ГИС,пр.КОПС, повт. ГРП. Сп.Э-80</v>
          </cell>
          <cell r="AD611">
            <v>38108</v>
          </cell>
          <cell r="AE611">
            <v>38141</v>
          </cell>
          <cell r="AG611" t="e">
            <v>#REF!</v>
          </cell>
          <cell r="AH611" t="e">
            <v>#REF!</v>
          </cell>
        </row>
        <row r="612">
          <cell r="B612">
            <v>4123</v>
          </cell>
          <cell r="C612">
            <v>314</v>
          </cell>
          <cell r="H612" t="str">
            <v>ШГН</v>
          </cell>
          <cell r="I612" t="str">
            <v>конс.</v>
          </cell>
          <cell r="N612">
            <v>5</v>
          </cell>
          <cell r="O612">
            <v>2</v>
          </cell>
          <cell r="P612">
            <v>49.8</v>
          </cell>
          <cell r="Q612">
            <v>5</v>
          </cell>
          <cell r="R612">
            <v>2</v>
          </cell>
          <cell r="S612">
            <v>50.6</v>
          </cell>
          <cell r="T612">
            <v>37260</v>
          </cell>
          <cell r="U612" t="str">
            <v>ОВП</v>
          </cell>
          <cell r="V612">
            <v>1</v>
          </cell>
          <cell r="AD612">
            <v>37163</v>
          </cell>
          <cell r="AE612">
            <v>37246</v>
          </cell>
          <cell r="AF612">
            <v>83</v>
          </cell>
        </row>
        <row r="613">
          <cell r="B613">
            <v>11007</v>
          </cell>
          <cell r="C613" t="str">
            <v>123б</v>
          </cell>
          <cell r="H613" t="str">
            <v>ЭЦН</v>
          </cell>
          <cell r="N613">
            <v>50</v>
          </cell>
          <cell r="O613">
            <v>2</v>
          </cell>
          <cell r="P613">
            <v>95</v>
          </cell>
          <cell r="Q613">
            <v>50</v>
          </cell>
          <cell r="R613">
            <v>2</v>
          </cell>
          <cell r="S613">
            <v>95.1</v>
          </cell>
          <cell r="T613">
            <v>37254</v>
          </cell>
          <cell r="U613" t="str">
            <v>ВЦД</v>
          </cell>
          <cell r="W613" t="str">
            <v>ВЦ Электропрогрев</v>
          </cell>
          <cell r="AG613">
            <v>-78225</v>
          </cell>
          <cell r="AH613">
            <v>-223500</v>
          </cell>
        </row>
        <row r="614">
          <cell r="B614">
            <v>4015</v>
          </cell>
          <cell r="C614">
            <v>310</v>
          </cell>
          <cell r="H614" t="str">
            <v>ШГН</v>
          </cell>
          <cell r="I614" t="str">
            <v>конс.</v>
          </cell>
          <cell r="J614">
            <v>34274</v>
          </cell>
          <cell r="N614">
            <v>6</v>
          </cell>
          <cell r="O614">
            <v>2.1</v>
          </cell>
          <cell r="P614">
            <v>58</v>
          </cell>
          <cell r="Q614">
            <v>6</v>
          </cell>
          <cell r="R614">
            <v>2.1</v>
          </cell>
          <cell r="S614">
            <v>56.8</v>
          </cell>
          <cell r="T614">
            <v>37250</v>
          </cell>
          <cell r="U614" t="str">
            <v>ОВП</v>
          </cell>
          <cell r="X614" t="str">
            <v>УОПР-800, после обустройства</v>
          </cell>
        </row>
        <row r="615">
          <cell r="B615">
            <v>5543</v>
          </cell>
          <cell r="C615">
            <v>114</v>
          </cell>
          <cell r="H615" t="str">
            <v>ШГН</v>
          </cell>
          <cell r="I615" t="str">
            <v>бд</v>
          </cell>
          <cell r="N615">
            <v>50</v>
          </cell>
          <cell r="O615">
            <v>21</v>
          </cell>
          <cell r="P615">
            <v>48</v>
          </cell>
          <cell r="Q615">
            <v>50</v>
          </cell>
          <cell r="R615">
            <v>21</v>
          </cell>
          <cell r="S615">
            <v>48</v>
          </cell>
          <cell r="T615">
            <v>38570</v>
          </cell>
          <cell r="U615" t="str">
            <v>ГРП</v>
          </cell>
          <cell r="W615" t="str">
            <v>ВЗ, ГРП ЮК-10, сп.Э-50</v>
          </cell>
          <cell r="AD615">
            <v>37216</v>
          </cell>
          <cell r="AE615">
            <v>37246</v>
          </cell>
          <cell r="AF615">
            <v>30</v>
          </cell>
        </row>
        <row r="616">
          <cell r="B616">
            <v>2878</v>
          </cell>
          <cell r="C616">
            <v>42</v>
          </cell>
          <cell r="F616" t="str">
            <v>ЗАО "УПКРС"</v>
          </cell>
          <cell r="G616">
            <v>260</v>
          </cell>
          <cell r="H616" t="str">
            <v>ШГН</v>
          </cell>
          <cell r="I616" t="str">
            <v>бдт</v>
          </cell>
          <cell r="N616">
            <v>12</v>
          </cell>
          <cell r="O616">
            <v>2.2999999999999998</v>
          </cell>
          <cell r="P616">
            <v>76</v>
          </cell>
          <cell r="Q616">
            <v>12</v>
          </cell>
          <cell r="R616">
            <v>2.2999999999999998</v>
          </cell>
          <cell r="S616">
            <v>76.3</v>
          </cell>
          <cell r="T616">
            <v>37247</v>
          </cell>
          <cell r="U616" t="str">
            <v>бдп</v>
          </cell>
        </row>
        <row r="617">
          <cell r="B617">
            <v>2675</v>
          </cell>
          <cell r="C617">
            <v>161</v>
          </cell>
          <cell r="H617" t="str">
            <v>ШГН</v>
          </cell>
          <cell r="I617" t="str">
            <v>бдт</v>
          </cell>
          <cell r="N617">
            <v>12</v>
          </cell>
          <cell r="O617">
            <v>1</v>
          </cell>
          <cell r="P617">
            <v>90</v>
          </cell>
          <cell r="Q617">
            <v>12</v>
          </cell>
          <cell r="R617">
            <v>1</v>
          </cell>
          <cell r="S617">
            <v>89.7</v>
          </cell>
          <cell r="T617">
            <v>37247</v>
          </cell>
          <cell r="U617" t="str">
            <v>бдп</v>
          </cell>
          <cell r="AG617">
            <v>-44694</v>
          </cell>
          <cell r="AH617">
            <v>-1080105</v>
          </cell>
        </row>
        <row r="618">
          <cell r="B618">
            <v>4022</v>
          </cell>
          <cell r="C618">
            <v>313</v>
          </cell>
          <cell r="H618" t="str">
            <v>ШГН</v>
          </cell>
          <cell r="I618" t="str">
            <v>конс.</v>
          </cell>
          <cell r="J618">
            <v>33848</v>
          </cell>
          <cell r="N618">
            <v>29</v>
          </cell>
          <cell r="O618">
            <v>1.2</v>
          </cell>
          <cell r="P618">
            <v>95</v>
          </cell>
          <cell r="Q618">
            <v>29</v>
          </cell>
          <cell r="R618">
            <v>1.2</v>
          </cell>
          <cell r="S618">
            <v>94.9</v>
          </cell>
          <cell r="T618">
            <v>37245</v>
          </cell>
          <cell r="U618" t="str">
            <v>ОВП</v>
          </cell>
          <cell r="X618" t="str">
            <v>УОПР-800, после обустройства</v>
          </cell>
          <cell r="AD618">
            <v>37097</v>
          </cell>
          <cell r="AE618">
            <v>37223</v>
          </cell>
          <cell r="AF618">
            <v>126</v>
          </cell>
          <cell r="AG618">
            <v>0</v>
          </cell>
          <cell r="AH618">
            <v>0</v>
          </cell>
        </row>
        <row r="619">
          <cell r="B619">
            <v>2787</v>
          </cell>
          <cell r="C619">
            <v>145</v>
          </cell>
          <cell r="G619">
            <v>275</v>
          </cell>
          <cell r="H619" t="str">
            <v>ЭЦН</v>
          </cell>
          <cell r="I619" t="str">
            <v>конс.</v>
          </cell>
          <cell r="J619">
            <v>33848</v>
          </cell>
          <cell r="K619">
            <v>60</v>
          </cell>
          <cell r="L619">
            <v>8.3000000000000007</v>
          </cell>
          <cell r="M619">
            <v>83</v>
          </cell>
          <cell r="N619">
            <v>16</v>
          </cell>
          <cell r="O619">
            <v>12.5</v>
          </cell>
          <cell r="P619">
            <v>4</v>
          </cell>
          <cell r="Q619">
            <v>16</v>
          </cell>
          <cell r="R619">
            <v>12.5</v>
          </cell>
          <cell r="S619">
            <v>3.5</v>
          </cell>
          <cell r="W619" t="str">
            <v>ВЦ. ИР ЮК-11. ГИС-2. ГРП ЮК-10. Спуск ЭЦН</v>
          </cell>
        </row>
        <row r="620">
          <cell r="B620">
            <v>2857</v>
          </cell>
          <cell r="C620">
            <v>42</v>
          </cell>
          <cell r="H620" t="str">
            <v>ШГН</v>
          </cell>
          <cell r="I620" t="str">
            <v>бдт</v>
          </cell>
          <cell r="N620">
            <v>11</v>
          </cell>
          <cell r="O620">
            <v>7.2</v>
          </cell>
          <cell r="P620">
            <v>20</v>
          </cell>
          <cell r="Q620">
            <v>11</v>
          </cell>
          <cell r="R620">
            <v>7.2</v>
          </cell>
          <cell r="S620">
            <v>19.2</v>
          </cell>
          <cell r="T620">
            <v>37233</v>
          </cell>
          <cell r="U620" t="str">
            <v>ВЦД</v>
          </cell>
        </row>
        <row r="621">
          <cell r="B621">
            <v>4168</v>
          </cell>
          <cell r="C621">
            <v>314</v>
          </cell>
          <cell r="H621" t="str">
            <v>ЭЦН</v>
          </cell>
          <cell r="I621" t="str">
            <v>бдт</v>
          </cell>
          <cell r="N621">
            <v>60</v>
          </cell>
          <cell r="O621">
            <v>1</v>
          </cell>
          <cell r="P621">
            <v>98</v>
          </cell>
          <cell r="Q621">
            <v>60</v>
          </cell>
          <cell r="R621">
            <v>1</v>
          </cell>
          <cell r="S621">
            <v>97.9</v>
          </cell>
          <cell r="T621">
            <v>37231</v>
          </cell>
          <cell r="U621" t="str">
            <v>бдп</v>
          </cell>
        </row>
        <row r="622">
          <cell r="B622">
            <v>5349</v>
          </cell>
          <cell r="C622">
            <v>103</v>
          </cell>
          <cell r="H622" t="str">
            <v>ЭЦН</v>
          </cell>
          <cell r="I622" t="str">
            <v>бдт</v>
          </cell>
          <cell r="N622">
            <v>46</v>
          </cell>
          <cell r="O622">
            <v>1.1000000000000001</v>
          </cell>
          <cell r="P622">
            <v>97</v>
          </cell>
          <cell r="Q622">
            <v>46</v>
          </cell>
          <cell r="R622">
            <v>1.1000000000000001</v>
          </cell>
          <cell r="S622">
            <v>97</v>
          </cell>
          <cell r="T622">
            <v>37229</v>
          </cell>
          <cell r="U622" t="str">
            <v>бдп</v>
          </cell>
          <cell r="AG622">
            <v>-115038</v>
          </cell>
          <cell r="AH622">
            <v>-191730</v>
          </cell>
        </row>
        <row r="623">
          <cell r="B623">
            <v>5365</v>
          </cell>
          <cell r="C623">
            <v>109</v>
          </cell>
          <cell r="G623">
            <v>275</v>
          </cell>
          <cell r="H623" t="str">
            <v>ШГН</v>
          </cell>
          <cell r="I623" t="str">
            <v>конс.</v>
          </cell>
          <cell r="J623">
            <v>33178</v>
          </cell>
          <cell r="N623">
            <v>20</v>
          </cell>
          <cell r="O623">
            <v>2</v>
          </cell>
          <cell r="P623">
            <v>88</v>
          </cell>
          <cell r="Q623">
            <v>20</v>
          </cell>
          <cell r="R623">
            <v>2</v>
          </cell>
          <cell r="S623">
            <v>87.7</v>
          </cell>
          <cell r="T623">
            <v>37224</v>
          </cell>
          <cell r="U623" t="str">
            <v>ОПЗ</v>
          </cell>
          <cell r="W623" t="str">
            <v>ВЦ. РИР ЮК-11. ПП УГИС. ГДИ</v>
          </cell>
        </row>
        <row r="624">
          <cell r="B624">
            <v>11047</v>
          </cell>
          <cell r="C624" t="str">
            <v>302б</v>
          </cell>
          <cell r="H624" t="str">
            <v>ШГН</v>
          </cell>
          <cell r="I624" t="str">
            <v>бдт</v>
          </cell>
          <cell r="N624">
            <v>3</v>
          </cell>
          <cell r="O624">
            <v>1.5</v>
          </cell>
          <cell r="P624">
            <v>40</v>
          </cell>
          <cell r="Q624">
            <v>3</v>
          </cell>
          <cell r="R624">
            <v>1.5</v>
          </cell>
          <cell r="S624">
            <v>38.299999999999997</v>
          </cell>
          <cell r="T624">
            <v>37215</v>
          </cell>
          <cell r="U624" t="str">
            <v>бдп</v>
          </cell>
        </row>
        <row r="625">
          <cell r="B625">
            <v>2762</v>
          </cell>
          <cell r="C625">
            <v>143</v>
          </cell>
          <cell r="H625" t="str">
            <v>ШГН</v>
          </cell>
          <cell r="I625" t="str">
            <v>бдт</v>
          </cell>
          <cell r="N625">
            <v>12</v>
          </cell>
          <cell r="O625">
            <v>3</v>
          </cell>
          <cell r="P625">
            <v>69</v>
          </cell>
          <cell r="Q625">
            <v>12</v>
          </cell>
          <cell r="R625">
            <v>3</v>
          </cell>
          <cell r="S625">
            <v>69.099999999999994</v>
          </cell>
          <cell r="T625">
            <v>37208</v>
          </cell>
          <cell r="U625" t="str">
            <v>бдп</v>
          </cell>
          <cell r="Y625" t="str">
            <v>На забое ЭЦН и 180 НКТ</v>
          </cell>
          <cell r="AD625">
            <v>37114</v>
          </cell>
          <cell r="AE625">
            <v>37178</v>
          </cell>
          <cell r="AF625">
            <v>64</v>
          </cell>
          <cell r="AG625">
            <v>-216914</v>
          </cell>
          <cell r="AH625">
            <v>-1027485</v>
          </cell>
        </row>
        <row r="626">
          <cell r="B626">
            <v>5820</v>
          </cell>
          <cell r="C626">
            <v>167</v>
          </cell>
          <cell r="H626" t="str">
            <v>ШГН</v>
          </cell>
          <cell r="I626" t="str">
            <v>бд</v>
          </cell>
          <cell r="N626">
            <v>17</v>
          </cell>
          <cell r="O626">
            <v>1.5</v>
          </cell>
          <cell r="P626">
            <v>89</v>
          </cell>
          <cell r="Q626">
            <v>17</v>
          </cell>
          <cell r="R626">
            <v>1.5</v>
          </cell>
          <cell r="S626">
            <v>89.1</v>
          </cell>
          <cell r="T626">
            <v>37207</v>
          </cell>
          <cell r="U626" t="str">
            <v>ВЦД</v>
          </cell>
          <cell r="AG626">
            <v>-74414</v>
          </cell>
          <cell r="AH626">
            <v>-1860350</v>
          </cell>
        </row>
        <row r="627">
          <cell r="B627">
            <v>4212</v>
          </cell>
          <cell r="C627">
            <v>311</v>
          </cell>
          <cell r="H627" t="str">
            <v>ЭЦН</v>
          </cell>
          <cell r="N627">
            <v>50</v>
          </cell>
          <cell r="O627">
            <v>2</v>
          </cell>
          <cell r="P627">
            <v>95</v>
          </cell>
          <cell r="Q627">
            <v>50</v>
          </cell>
          <cell r="R627">
            <v>2</v>
          </cell>
          <cell r="S627">
            <v>95.1</v>
          </cell>
          <cell r="T627">
            <v>37207</v>
          </cell>
          <cell r="U627" t="str">
            <v>ВЦ</v>
          </cell>
          <cell r="W627" t="str">
            <v>ВЦ ПРС промывка забоя</v>
          </cell>
          <cell r="AG627">
            <v>-37203</v>
          </cell>
          <cell r="AH627">
            <v>-372030</v>
          </cell>
        </row>
        <row r="628">
          <cell r="B628">
            <v>2818</v>
          </cell>
          <cell r="C628">
            <v>144</v>
          </cell>
          <cell r="H628" t="str">
            <v>ШГН</v>
          </cell>
          <cell r="I628" t="str">
            <v>конс.</v>
          </cell>
          <cell r="J628">
            <v>33239</v>
          </cell>
          <cell r="N628">
            <v>10</v>
          </cell>
          <cell r="O628">
            <v>1</v>
          </cell>
          <cell r="P628">
            <v>88</v>
          </cell>
          <cell r="Q628">
            <v>10</v>
          </cell>
          <cell r="R628">
            <v>1</v>
          </cell>
          <cell r="S628">
            <v>87.7</v>
          </cell>
          <cell r="T628">
            <v>37203</v>
          </cell>
          <cell r="U628" t="str">
            <v>ВЦД</v>
          </cell>
        </row>
        <row r="629">
          <cell r="B629" t="str">
            <v>5519б</v>
          </cell>
          <cell r="C629">
            <v>116</v>
          </cell>
          <cell r="H629" t="str">
            <v>ЭЦН</v>
          </cell>
          <cell r="I629" t="str">
            <v>бдт</v>
          </cell>
          <cell r="N629">
            <v>54</v>
          </cell>
          <cell r="O629">
            <v>5</v>
          </cell>
          <cell r="P629">
            <v>88.6</v>
          </cell>
          <cell r="Q629">
            <v>54</v>
          </cell>
          <cell r="R629">
            <v>5</v>
          </cell>
          <cell r="S629">
            <v>88.6</v>
          </cell>
          <cell r="T629">
            <v>37203</v>
          </cell>
          <cell r="U629" t="str">
            <v>бдп</v>
          </cell>
        </row>
        <row r="630">
          <cell r="B630">
            <v>2739</v>
          </cell>
          <cell r="C630">
            <v>163</v>
          </cell>
          <cell r="H630" t="str">
            <v>ШГН</v>
          </cell>
          <cell r="I630" t="str">
            <v>бдт</v>
          </cell>
          <cell r="N630">
            <v>11</v>
          </cell>
          <cell r="O630">
            <v>1</v>
          </cell>
          <cell r="P630">
            <v>89</v>
          </cell>
          <cell r="Q630">
            <v>11</v>
          </cell>
          <cell r="R630">
            <v>1</v>
          </cell>
          <cell r="S630">
            <v>88.8</v>
          </cell>
          <cell r="T630">
            <v>37200</v>
          </cell>
          <cell r="U630" t="str">
            <v>бдп</v>
          </cell>
          <cell r="AG630">
            <v>-223200</v>
          </cell>
          <cell r="AH630">
            <v>-818400</v>
          </cell>
        </row>
        <row r="631">
          <cell r="B631">
            <v>5221</v>
          </cell>
          <cell r="C631">
            <v>126</v>
          </cell>
          <cell r="G631">
            <v>240</v>
          </cell>
          <cell r="H631" t="str">
            <v>ШГН</v>
          </cell>
          <cell r="I631" t="str">
            <v>бд</v>
          </cell>
          <cell r="J631">
            <v>35706</v>
          </cell>
          <cell r="K631">
            <v>8</v>
          </cell>
          <cell r="L631">
            <v>6.1</v>
          </cell>
          <cell r="M631">
            <v>6</v>
          </cell>
          <cell r="N631">
            <v>4</v>
          </cell>
          <cell r="O631">
            <v>1</v>
          </cell>
          <cell r="P631">
            <v>68</v>
          </cell>
          <cell r="Q631">
            <v>4</v>
          </cell>
          <cell r="R631">
            <v>1</v>
          </cell>
          <cell r="S631">
            <v>69.099999999999994</v>
          </cell>
          <cell r="T631">
            <v>37199</v>
          </cell>
          <cell r="U631" t="str">
            <v>ГРП</v>
          </cell>
          <cell r="W631" t="str">
            <v>ПП. ОПЗ НТПН. УГИС. ГРП</v>
          </cell>
          <cell r="AG631">
            <v>-48351</v>
          </cell>
          <cell r="AH631">
            <v>-1673685</v>
          </cell>
        </row>
        <row r="632">
          <cell r="B632">
            <v>5350</v>
          </cell>
          <cell r="C632">
            <v>104</v>
          </cell>
          <cell r="H632" t="str">
            <v>ЭЦН</v>
          </cell>
          <cell r="I632" t="str">
            <v>действ.</v>
          </cell>
          <cell r="K632">
            <v>105</v>
          </cell>
          <cell r="L632">
            <v>7.7</v>
          </cell>
          <cell r="M632">
            <v>91</v>
          </cell>
          <cell r="N632">
            <v>150</v>
          </cell>
          <cell r="O632">
            <v>9</v>
          </cell>
          <cell r="P632">
            <v>92.6</v>
          </cell>
          <cell r="Q632">
            <v>45</v>
          </cell>
          <cell r="R632">
            <v>1.3</v>
          </cell>
          <cell r="S632">
            <v>0</v>
          </cell>
          <cell r="T632">
            <v>37193</v>
          </cell>
          <cell r="U632" t="str">
            <v>опт</v>
          </cell>
          <cell r="AD632" t="e">
            <v>#REF!</v>
          </cell>
          <cell r="AE632" t="e">
            <v>#REF!</v>
          </cell>
          <cell r="AF632">
            <v>14</v>
          </cell>
          <cell r="AG632">
            <v>-1002556</v>
          </cell>
          <cell r="AH632">
            <v>-2439680</v>
          </cell>
        </row>
        <row r="633">
          <cell r="B633">
            <v>4077</v>
          </cell>
          <cell r="C633">
            <v>315</v>
          </cell>
          <cell r="H633" t="str">
            <v>ШГН</v>
          </cell>
          <cell r="I633" t="str">
            <v>бд</v>
          </cell>
          <cell r="J633">
            <v>36091</v>
          </cell>
          <cell r="N633">
            <v>4</v>
          </cell>
          <cell r="O633">
            <v>0.2</v>
          </cell>
          <cell r="P633">
            <v>93.5</v>
          </cell>
          <cell r="Q633">
            <v>4</v>
          </cell>
          <cell r="R633">
            <v>0.2</v>
          </cell>
          <cell r="S633">
            <v>93.8</v>
          </cell>
          <cell r="T633">
            <v>37181</v>
          </cell>
          <cell r="U633" t="str">
            <v>ОВП</v>
          </cell>
          <cell r="X633" t="str">
            <v>УОПР-800, после обустройства</v>
          </cell>
          <cell r="AG633">
            <v>-877818</v>
          </cell>
          <cell r="AH633">
            <v>-2709786</v>
          </cell>
        </row>
        <row r="634">
          <cell r="B634">
            <v>5835</v>
          </cell>
          <cell r="C634">
            <v>168</v>
          </cell>
          <cell r="H634" t="str">
            <v>ШГН</v>
          </cell>
          <cell r="I634" t="str">
            <v>действ.</v>
          </cell>
          <cell r="J634">
            <v>37122</v>
          </cell>
          <cell r="K634">
            <v>9</v>
          </cell>
          <cell r="L634">
            <v>3.7</v>
          </cell>
          <cell r="M634">
            <v>50</v>
          </cell>
          <cell r="N634">
            <v>80</v>
          </cell>
          <cell r="O634">
            <v>26.7</v>
          </cell>
          <cell r="P634">
            <v>59</v>
          </cell>
          <cell r="Q634">
            <v>71</v>
          </cell>
          <cell r="R634">
            <v>23</v>
          </cell>
          <cell r="S634">
            <v>60</v>
          </cell>
          <cell r="T634">
            <v>38166</v>
          </cell>
          <cell r="U634" t="str">
            <v>ГРП</v>
          </cell>
          <cell r="W634" t="str">
            <v>ПР ГРП ЮК-10,сп.Э-80</v>
          </cell>
          <cell r="AG634" t="e">
            <v>#REF!</v>
          </cell>
          <cell r="AH634" t="e">
            <v>#REF!</v>
          </cell>
        </row>
        <row r="635">
          <cell r="B635">
            <v>2791</v>
          </cell>
          <cell r="C635">
            <v>144</v>
          </cell>
          <cell r="G635">
            <v>280</v>
          </cell>
          <cell r="H635" t="str">
            <v>ШГН</v>
          </cell>
          <cell r="I635" t="str">
            <v>бдт</v>
          </cell>
          <cell r="J635">
            <v>37124</v>
          </cell>
          <cell r="K635">
            <v>9</v>
          </cell>
          <cell r="L635">
            <v>5.2</v>
          </cell>
          <cell r="M635">
            <v>29</v>
          </cell>
          <cell r="N635">
            <v>20</v>
          </cell>
          <cell r="O635">
            <v>11</v>
          </cell>
          <cell r="P635">
            <v>32.299999999999997</v>
          </cell>
          <cell r="Q635">
            <v>20</v>
          </cell>
          <cell r="R635">
            <v>11</v>
          </cell>
          <cell r="S635">
            <v>32.1</v>
          </cell>
          <cell r="T635">
            <v>37175</v>
          </cell>
          <cell r="U635" t="str">
            <v>ГРП</v>
          </cell>
          <cell r="W635" t="str">
            <v>ПР ГРП. ГРП</v>
          </cell>
          <cell r="AG635">
            <v>-334566</v>
          </cell>
          <cell r="AH635">
            <v>-520436</v>
          </cell>
        </row>
        <row r="636">
          <cell r="B636">
            <v>4074</v>
          </cell>
          <cell r="C636">
            <v>314</v>
          </cell>
          <cell r="H636" t="str">
            <v>ШГН</v>
          </cell>
          <cell r="I636" t="str">
            <v>бдт</v>
          </cell>
          <cell r="N636">
            <v>14</v>
          </cell>
          <cell r="O636">
            <v>9</v>
          </cell>
          <cell r="P636">
            <v>21</v>
          </cell>
          <cell r="Q636">
            <v>14</v>
          </cell>
          <cell r="R636">
            <v>9</v>
          </cell>
          <cell r="S636">
            <v>20.6</v>
          </cell>
          <cell r="T636">
            <v>37174</v>
          </cell>
          <cell r="U636" t="str">
            <v>бдп</v>
          </cell>
          <cell r="X636" t="str">
            <v>Запуск ШГН</v>
          </cell>
          <cell r="AG636">
            <v>-480791</v>
          </cell>
          <cell r="AH636">
            <v>-1907900</v>
          </cell>
        </row>
        <row r="637">
          <cell r="B637">
            <v>5476</v>
          </cell>
          <cell r="C637">
            <v>110</v>
          </cell>
          <cell r="G637">
            <v>230</v>
          </cell>
          <cell r="H637" t="str">
            <v>ФОН</v>
          </cell>
          <cell r="I637" t="str">
            <v>бд</v>
          </cell>
          <cell r="J637">
            <v>37123</v>
          </cell>
          <cell r="K637">
            <v>0</v>
          </cell>
          <cell r="L637">
            <v>0</v>
          </cell>
          <cell r="M637">
            <v>0</v>
          </cell>
          <cell r="N637">
            <v>50</v>
          </cell>
          <cell r="O637">
            <v>12.6</v>
          </cell>
          <cell r="P637">
            <v>69</v>
          </cell>
          <cell r="Q637">
            <v>50</v>
          </cell>
          <cell r="R637">
            <v>12.6</v>
          </cell>
          <cell r="S637">
            <v>68.900000000000006</v>
          </cell>
          <cell r="T637">
            <v>38158</v>
          </cell>
          <cell r="U637" t="str">
            <v>бдп</v>
          </cell>
          <cell r="W637" t="str">
            <v>ИР ЮК-10,ДП исп. ЮК-1,сп.Э-50</v>
          </cell>
          <cell r="AD637">
            <v>38153</v>
          </cell>
          <cell r="AE637">
            <v>38158</v>
          </cell>
          <cell r="AF637">
            <v>5</v>
          </cell>
          <cell r="AG637">
            <v>-297344</v>
          </cell>
          <cell r="AH637">
            <v>-371680</v>
          </cell>
        </row>
        <row r="638">
          <cell r="B638">
            <v>11003</v>
          </cell>
          <cell r="C638" t="str">
            <v>123б</v>
          </cell>
          <cell r="H638" t="str">
            <v>ЭЦН</v>
          </cell>
          <cell r="I638" t="str">
            <v>действ.</v>
          </cell>
          <cell r="K638">
            <v>60</v>
          </cell>
          <cell r="L638">
            <v>5.9</v>
          </cell>
          <cell r="M638">
            <v>88</v>
          </cell>
          <cell r="N638">
            <v>161</v>
          </cell>
          <cell r="O638">
            <v>10</v>
          </cell>
          <cell r="P638">
            <v>92.4</v>
          </cell>
          <cell r="Q638">
            <v>101</v>
          </cell>
          <cell r="R638">
            <v>4.0999999999999996</v>
          </cell>
          <cell r="S638">
            <v>0</v>
          </cell>
          <cell r="T638">
            <v>37166</v>
          </cell>
          <cell r="U638" t="str">
            <v>опт</v>
          </cell>
          <cell r="AD638">
            <v>37109</v>
          </cell>
          <cell r="AE638">
            <v>37129</v>
          </cell>
          <cell r="AF638">
            <v>20</v>
          </cell>
          <cell r="AG638">
            <v>-159775</v>
          </cell>
          <cell r="AH638">
            <v>-185785</v>
          </cell>
        </row>
        <row r="639">
          <cell r="B639">
            <v>2942</v>
          </cell>
          <cell r="C639">
            <v>47</v>
          </cell>
          <cell r="G639">
            <v>250</v>
          </cell>
          <cell r="H639" t="str">
            <v>ШГН</v>
          </cell>
          <cell r="I639" t="str">
            <v>действ.</v>
          </cell>
          <cell r="J639">
            <v>37116</v>
          </cell>
          <cell r="K639">
            <v>5</v>
          </cell>
          <cell r="L639">
            <v>3.7</v>
          </cell>
          <cell r="M639">
            <v>8</v>
          </cell>
          <cell r="N639">
            <v>10</v>
          </cell>
          <cell r="O639">
            <v>8</v>
          </cell>
          <cell r="P639">
            <v>2</v>
          </cell>
          <cell r="Q639">
            <v>5</v>
          </cell>
          <cell r="R639">
            <v>4.3</v>
          </cell>
          <cell r="T639">
            <v>37157</v>
          </cell>
          <cell r="U639" t="str">
            <v>ОПЗ</v>
          </cell>
          <cell r="W639" t="str">
            <v>УГИС. ОПЗ НТПН. ГДИ</v>
          </cell>
          <cell r="AG639">
            <v>-111468</v>
          </cell>
          <cell r="AH639">
            <v>-1486240</v>
          </cell>
        </row>
        <row r="640">
          <cell r="B640">
            <v>2757</v>
          </cell>
          <cell r="C640">
            <v>144</v>
          </cell>
          <cell r="I640" t="str">
            <v>бд</v>
          </cell>
          <cell r="N640">
            <v>40</v>
          </cell>
          <cell r="O640">
            <v>3</v>
          </cell>
          <cell r="P640">
            <v>90.7</v>
          </cell>
          <cell r="Q640">
            <v>40</v>
          </cell>
          <cell r="R640">
            <v>3</v>
          </cell>
          <cell r="S640">
            <v>90.7</v>
          </cell>
          <cell r="T640">
            <v>37156</v>
          </cell>
          <cell r="U640" t="str">
            <v>ВЦ</v>
          </cell>
          <cell r="AG640">
            <v>-130029</v>
          </cell>
          <cell r="AH640">
            <v>-2154758</v>
          </cell>
        </row>
        <row r="641">
          <cell r="B641">
            <v>4126</v>
          </cell>
          <cell r="C641">
            <v>315</v>
          </cell>
          <cell r="I641" t="str">
            <v>бдт</v>
          </cell>
          <cell r="N641">
            <v>58</v>
          </cell>
          <cell r="O641">
            <v>3.5</v>
          </cell>
          <cell r="P641">
            <v>92.5</v>
          </cell>
          <cell r="Q641">
            <v>58</v>
          </cell>
          <cell r="R641">
            <v>3.5</v>
          </cell>
          <cell r="S641">
            <v>92.6</v>
          </cell>
          <cell r="T641">
            <v>37151</v>
          </cell>
          <cell r="U641" t="str">
            <v>бдп</v>
          </cell>
          <cell r="AG641">
            <v>0</v>
          </cell>
          <cell r="AH641">
            <v>-5572050</v>
          </cell>
        </row>
        <row r="642">
          <cell r="B642">
            <v>5807</v>
          </cell>
          <cell r="C642" t="str">
            <v>166б</v>
          </cell>
          <cell r="I642" t="str">
            <v>бд</v>
          </cell>
          <cell r="N642">
            <v>150</v>
          </cell>
          <cell r="Q642">
            <v>150</v>
          </cell>
          <cell r="R642">
            <v>0</v>
          </cell>
          <cell r="S642">
            <v>100</v>
          </cell>
          <cell r="T642">
            <v>37147</v>
          </cell>
          <cell r="U642" t="str">
            <v>нг</v>
          </cell>
          <cell r="AG642">
            <v>-765488</v>
          </cell>
          <cell r="AH642">
            <v>-3617980</v>
          </cell>
        </row>
        <row r="643">
          <cell r="B643" t="str">
            <v>5484б</v>
          </cell>
          <cell r="C643">
            <v>115</v>
          </cell>
          <cell r="H643" t="str">
            <v>ШГН</v>
          </cell>
          <cell r="I643" t="str">
            <v>конс.</v>
          </cell>
          <cell r="N643">
            <v>7</v>
          </cell>
          <cell r="O643">
            <v>4</v>
          </cell>
          <cell r="P643">
            <v>30</v>
          </cell>
          <cell r="Q643">
            <v>7</v>
          </cell>
          <cell r="R643">
            <v>4</v>
          </cell>
          <cell r="S643">
            <v>29.5</v>
          </cell>
          <cell r="T643">
            <v>37138</v>
          </cell>
          <cell r="U643" t="str">
            <v>ГРП</v>
          </cell>
          <cell r="Y643" t="str">
            <v>ЗКЦ до гл.2480</v>
          </cell>
          <cell r="AD643">
            <v>37378</v>
          </cell>
          <cell r="AE643">
            <v>37399</v>
          </cell>
          <cell r="AF643">
            <v>21</v>
          </cell>
          <cell r="AG643">
            <v>0</v>
          </cell>
          <cell r="AH643">
            <v>0</v>
          </cell>
        </row>
        <row r="644">
          <cell r="B644">
            <v>5391</v>
          </cell>
          <cell r="C644">
            <v>109</v>
          </cell>
          <cell r="F644" t="str">
            <v>УПНПиКРС</v>
          </cell>
          <cell r="G644">
            <v>291</v>
          </cell>
          <cell r="H644" t="str">
            <v>нагнет.</v>
          </cell>
          <cell r="I644" t="str">
            <v>бд</v>
          </cell>
          <cell r="J644">
            <v>34426</v>
          </cell>
          <cell r="O644">
            <v>0</v>
          </cell>
          <cell r="U644" t="str">
            <v>нг</v>
          </cell>
          <cell r="W644" t="str">
            <v>ИР ЮК-11, ПП ЮК-10 пуск под закачку</v>
          </cell>
          <cell r="Y644" t="str">
            <v>Негермитичгость Э/К</v>
          </cell>
          <cell r="AD644">
            <v>37294</v>
          </cell>
          <cell r="AE644">
            <v>37351</v>
          </cell>
          <cell r="AF644">
            <v>57</v>
          </cell>
          <cell r="AG644" t="e">
            <v>#REF!</v>
          </cell>
          <cell r="AH644" t="e">
            <v>#REF!</v>
          </cell>
        </row>
        <row r="645">
          <cell r="B645">
            <v>5398</v>
          </cell>
          <cell r="C645">
            <v>102</v>
          </cell>
          <cell r="F645" t="str">
            <v>УПНПиКРС</v>
          </cell>
          <cell r="G645">
            <v>240</v>
          </cell>
          <cell r="H645" t="str">
            <v>ФОН</v>
          </cell>
          <cell r="I645" t="str">
            <v>бд</v>
          </cell>
          <cell r="J645">
            <v>33572</v>
          </cell>
          <cell r="K645">
            <v>15</v>
          </cell>
          <cell r="L645">
            <v>1.2</v>
          </cell>
          <cell r="M645">
            <v>90</v>
          </cell>
          <cell r="N645">
            <v>30</v>
          </cell>
          <cell r="O645">
            <v>12</v>
          </cell>
          <cell r="P645">
            <v>51</v>
          </cell>
          <cell r="Q645">
            <v>30</v>
          </cell>
          <cell r="R645">
            <v>12</v>
          </cell>
          <cell r="S645">
            <v>50.6</v>
          </cell>
          <cell r="U645" t="str">
            <v>ГРП</v>
          </cell>
          <cell r="V645">
            <v>2</v>
          </cell>
          <cell r="W645" t="str">
            <v>ЛА,ИР ЮК-10,ПП ЮК-2-3 пр к ГРП</v>
          </cell>
          <cell r="AG645">
            <v>0</v>
          </cell>
          <cell r="AH645">
            <v>0</v>
          </cell>
        </row>
        <row r="646">
          <cell r="B646">
            <v>2701</v>
          </cell>
          <cell r="C646" t="str">
            <v>145б</v>
          </cell>
          <cell r="H646" t="str">
            <v>ЭЦН</v>
          </cell>
          <cell r="I646" t="str">
            <v>конс.</v>
          </cell>
          <cell r="N646">
            <v>45</v>
          </cell>
          <cell r="O646">
            <v>3</v>
          </cell>
          <cell r="P646">
            <v>91.9</v>
          </cell>
          <cell r="Q646">
            <v>45</v>
          </cell>
          <cell r="R646">
            <v>3</v>
          </cell>
          <cell r="S646">
            <v>91.8</v>
          </cell>
          <cell r="U646" t="str">
            <v>ВЦ</v>
          </cell>
          <cell r="AG646">
            <v>0</v>
          </cell>
          <cell r="AH646">
            <v>0</v>
          </cell>
        </row>
        <row r="647">
          <cell r="B647">
            <v>5290</v>
          </cell>
          <cell r="C647">
            <v>133</v>
          </cell>
          <cell r="H647" t="str">
            <v>ШГН</v>
          </cell>
          <cell r="I647" t="str">
            <v>бдт</v>
          </cell>
          <cell r="J647">
            <v>37111</v>
          </cell>
          <cell r="N647">
            <v>8</v>
          </cell>
          <cell r="O647">
            <v>4.5</v>
          </cell>
          <cell r="P647">
            <v>31</v>
          </cell>
          <cell r="Q647">
            <v>8</v>
          </cell>
          <cell r="R647">
            <v>4.5</v>
          </cell>
          <cell r="S647">
            <v>30.6</v>
          </cell>
          <cell r="U647" t="str">
            <v>бдп</v>
          </cell>
          <cell r="AG647" t="e">
            <v>#REF!</v>
          </cell>
          <cell r="AH647" t="e">
            <v>#REF!</v>
          </cell>
        </row>
        <row r="648">
          <cell r="B648">
            <v>2787</v>
          </cell>
          <cell r="C648">
            <v>145</v>
          </cell>
          <cell r="F648" t="str">
            <v>УПНПиКРС</v>
          </cell>
          <cell r="G648">
            <v>270</v>
          </cell>
          <cell r="H648" t="str">
            <v>ШГН</v>
          </cell>
          <cell r="I648" t="str">
            <v>действ.</v>
          </cell>
          <cell r="K648">
            <v>17</v>
          </cell>
          <cell r="L648">
            <v>13.2</v>
          </cell>
          <cell r="M648">
            <v>5</v>
          </cell>
          <cell r="N648">
            <v>25</v>
          </cell>
          <cell r="O648">
            <v>19.399999999999999</v>
          </cell>
          <cell r="P648">
            <v>5</v>
          </cell>
          <cell r="Q648">
            <v>8</v>
          </cell>
          <cell r="R648">
            <v>6.2</v>
          </cell>
          <cell r="S648">
            <v>4.3</v>
          </cell>
          <cell r="U648" t="str">
            <v>ГРП</v>
          </cell>
          <cell r="V648">
            <v>3</v>
          </cell>
          <cell r="W648" t="str">
            <v>Вымыв пропанта, освоение после ГРП</v>
          </cell>
          <cell r="AD648">
            <v>37242</v>
          </cell>
          <cell r="AE648">
            <v>37277</v>
          </cell>
          <cell r="AF648">
            <v>35</v>
          </cell>
          <cell r="AG648">
            <v>0</v>
          </cell>
          <cell r="AH648">
            <v>0</v>
          </cell>
        </row>
        <row r="649">
          <cell r="B649">
            <v>5644</v>
          </cell>
          <cell r="C649">
            <v>126</v>
          </cell>
          <cell r="F649" t="str">
            <v>УПНПиКРС</v>
          </cell>
          <cell r="G649">
            <v>230</v>
          </cell>
          <cell r="H649" t="str">
            <v>ШГН</v>
          </cell>
          <cell r="I649" t="str">
            <v>бд</v>
          </cell>
          <cell r="J649">
            <v>35340</v>
          </cell>
          <cell r="N649">
            <v>30</v>
          </cell>
          <cell r="O649">
            <v>15</v>
          </cell>
          <cell r="P649">
            <v>38.799999999999997</v>
          </cell>
          <cell r="Q649">
            <v>30</v>
          </cell>
          <cell r="R649">
            <v>15</v>
          </cell>
          <cell r="S649">
            <v>38.299999999999997</v>
          </cell>
          <cell r="T649">
            <v>37521</v>
          </cell>
          <cell r="U649" t="str">
            <v>ЗБС</v>
          </cell>
          <cell r="W649" t="str">
            <v>ПР К ЗБС</v>
          </cell>
          <cell r="AD649">
            <v>37447</v>
          </cell>
          <cell r="AE649">
            <v>37456</v>
          </cell>
          <cell r="AF649">
            <v>9</v>
          </cell>
        </row>
        <row r="650">
          <cell r="B650">
            <v>2576</v>
          </cell>
          <cell r="C650">
            <v>150</v>
          </cell>
          <cell r="F650" t="str">
            <v>УПНПиКРС</v>
          </cell>
          <cell r="H650" t="str">
            <v>нагнет.</v>
          </cell>
          <cell r="I650" t="str">
            <v>бд</v>
          </cell>
          <cell r="N650">
            <v>150</v>
          </cell>
          <cell r="Q650">
            <v>150</v>
          </cell>
          <cell r="T650">
            <v>38471</v>
          </cell>
          <cell r="U650" t="str">
            <v>нг</v>
          </cell>
          <cell r="W650" t="str">
            <v>ПП, ОПЗ, ГИС-3</v>
          </cell>
          <cell r="AD650">
            <v>37413</v>
          </cell>
          <cell r="AE650">
            <v>37461</v>
          </cell>
          <cell r="AF650">
            <v>48</v>
          </cell>
        </row>
        <row r="651">
          <cell r="B651">
            <v>5241</v>
          </cell>
          <cell r="C651">
            <v>134</v>
          </cell>
          <cell r="F651" t="str">
            <v>УПНПиКРС</v>
          </cell>
          <cell r="G651">
            <v>258</v>
          </cell>
          <cell r="H651" t="str">
            <v>ЭЦН</v>
          </cell>
          <cell r="I651" t="str">
            <v>бд</v>
          </cell>
          <cell r="J651">
            <v>34547</v>
          </cell>
          <cell r="K651">
            <v>21</v>
          </cell>
          <cell r="L651">
            <v>0.2</v>
          </cell>
          <cell r="M651">
            <v>99</v>
          </cell>
          <cell r="N651">
            <v>30</v>
          </cell>
          <cell r="O651">
            <v>12</v>
          </cell>
          <cell r="P651">
            <v>51</v>
          </cell>
          <cell r="Q651">
            <v>30</v>
          </cell>
          <cell r="R651">
            <v>12</v>
          </cell>
          <cell r="S651">
            <v>50.6</v>
          </cell>
          <cell r="T651">
            <v>37467</v>
          </cell>
          <cell r="U651" t="str">
            <v>ГРП</v>
          </cell>
          <cell r="V651">
            <v>2</v>
          </cell>
          <cell r="W651" t="str">
            <v>СО-каротаж, ПР к ГРП, ГРП ЮК-4, осв.</v>
          </cell>
          <cell r="X651" t="str">
            <v>ЭП выполнен, ЭЦН с КРБК на забое</v>
          </cell>
          <cell r="AD651">
            <v>37431</v>
          </cell>
          <cell r="AE651">
            <v>37459</v>
          </cell>
          <cell r="AF651">
            <v>28</v>
          </cell>
        </row>
        <row r="652">
          <cell r="B652">
            <v>5267</v>
          </cell>
          <cell r="C652">
            <v>134</v>
          </cell>
          <cell r="F652" t="str">
            <v>УПНПиКРС</v>
          </cell>
          <cell r="H652" t="str">
            <v>ЭЦН</v>
          </cell>
          <cell r="I652" t="str">
            <v>конс.</v>
          </cell>
          <cell r="N652">
            <v>50</v>
          </cell>
          <cell r="O652">
            <v>30</v>
          </cell>
          <cell r="P652">
            <v>26.5</v>
          </cell>
          <cell r="Q652">
            <v>50</v>
          </cell>
          <cell r="R652">
            <v>30</v>
          </cell>
          <cell r="S652">
            <v>25.9</v>
          </cell>
          <cell r="T652">
            <v>37466</v>
          </cell>
          <cell r="U652" t="str">
            <v>ГРП</v>
          </cell>
          <cell r="W652" t="str">
            <v>ВЦ, РИР ЮК-10, ПР к ГРП, ГРП ЮК-2, осв.</v>
          </cell>
          <cell r="Y652" t="str">
            <v xml:space="preserve">на забое ЭЦН-50/1550+103шт.60мм НКТ+кабель </v>
          </cell>
          <cell r="AD652">
            <v>37413</v>
          </cell>
          <cell r="AE652">
            <v>37427</v>
          </cell>
          <cell r="AF652">
            <v>14</v>
          </cell>
        </row>
        <row r="653">
          <cell r="B653">
            <v>5241</v>
          </cell>
          <cell r="C653">
            <v>134</v>
          </cell>
          <cell r="F653" t="str">
            <v>УПНПиКРС</v>
          </cell>
          <cell r="G653">
            <v>258</v>
          </cell>
          <cell r="H653" t="str">
            <v>ЭЦН</v>
          </cell>
          <cell r="I653" t="str">
            <v>бд</v>
          </cell>
          <cell r="J653">
            <v>34547</v>
          </cell>
          <cell r="K653">
            <v>21</v>
          </cell>
          <cell r="L653">
            <v>0.2</v>
          </cell>
          <cell r="M653">
            <v>99</v>
          </cell>
          <cell r="N653">
            <v>50</v>
          </cell>
          <cell r="O653">
            <v>30</v>
          </cell>
          <cell r="P653">
            <v>26.5</v>
          </cell>
          <cell r="Q653">
            <v>50</v>
          </cell>
          <cell r="R653">
            <v>30</v>
          </cell>
          <cell r="S653">
            <v>25.9</v>
          </cell>
          <cell r="T653">
            <v>37465</v>
          </cell>
          <cell r="U653" t="str">
            <v>ГРП</v>
          </cell>
          <cell r="V653">
            <v>2</v>
          </cell>
          <cell r="W653" t="str">
            <v xml:space="preserve">ВЦ, ГИС-2 ( источ. обвод.), при подтверждении воды и герм. э/колонны  </v>
          </cell>
          <cell r="X653" t="str">
            <v>ЭП выполнен, ЭЦН с КРБК на забое</v>
          </cell>
        </row>
        <row r="654">
          <cell r="B654">
            <v>11029</v>
          </cell>
          <cell r="C654" t="str">
            <v>97б</v>
          </cell>
          <cell r="F654" t="str">
            <v>УПНПиКРС</v>
          </cell>
          <cell r="H654" t="str">
            <v>ЭЦН</v>
          </cell>
          <cell r="I654" t="str">
            <v>действ.</v>
          </cell>
          <cell r="K654">
            <v>74</v>
          </cell>
          <cell r="L654">
            <v>8.4</v>
          </cell>
          <cell r="M654">
            <v>86</v>
          </cell>
          <cell r="N654">
            <v>124</v>
          </cell>
          <cell r="O654">
            <v>14.1</v>
          </cell>
          <cell r="P654">
            <v>86</v>
          </cell>
          <cell r="Q654">
            <v>50</v>
          </cell>
          <cell r="R654">
            <v>5.7</v>
          </cell>
          <cell r="S654">
            <v>85.9</v>
          </cell>
          <cell r="T654">
            <v>38057</v>
          </cell>
          <cell r="U654" t="str">
            <v>опт</v>
          </cell>
          <cell r="W654" t="str">
            <v>Оптимизация Э-125</v>
          </cell>
          <cell r="AD654">
            <v>37753</v>
          </cell>
          <cell r="AE654">
            <v>38054</v>
          </cell>
          <cell r="AF654">
            <v>56</v>
          </cell>
        </row>
        <row r="655">
          <cell r="B655">
            <v>5240</v>
          </cell>
          <cell r="C655">
            <v>134</v>
          </cell>
          <cell r="F655" t="str">
            <v>УПНПиКРС</v>
          </cell>
          <cell r="H655" t="str">
            <v>ЭЦН</v>
          </cell>
          <cell r="I655" t="str">
            <v>конс.</v>
          </cell>
          <cell r="N655">
            <v>34</v>
          </cell>
          <cell r="O655">
            <v>15.5</v>
          </cell>
          <cell r="P655">
            <v>44</v>
          </cell>
          <cell r="Q655">
            <v>34</v>
          </cell>
          <cell r="R655">
            <v>15.5</v>
          </cell>
          <cell r="S655">
            <v>43.7</v>
          </cell>
          <cell r="T655">
            <v>37516</v>
          </cell>
          <cell r="U655" t="str">
            <v>ГРП</v>
          </cell>
          <cell r="W655" t="str">
            <v>ВЦ, РИР ЮК-10, ПР к ГРП, ГРП ЮК-2, осв.</v>
          </cell>
        </row>
        <row r="656">
          <cell r="B656">
            <v>5614</v>
          </cell>
          <cell r="C656">
            <v>116</v>
          </cell>
          <cell r="F656" t="str">
            <v>УПНПиКРС</v>
          </cell>
          <cell r="H656" t="str">
            <v>нагнет.</v>
          </cell>
          <cell r="I656" t="str">
            <v>бд</v>
          </cell>
          <cell r="N656">
            <v>120</v>
          </cell>
          <cell r="Q656">
            <v>120</v>
          </cell>
          <cell r="T656" t="e">
            <v>#REF!</v>
          </cell>
          <cell r="U656" t="str">
            <v>ЛА</v>
          </cell>
          <cell r="W656" t="str">
            <v>ЛА, пуск под закачку</v>
          </cell>
        </row>
        <row r="657">
          <cell r="B657">
            <v>2612</v>
          </cell>
          <cell r="C657" t="str">
            <v>157б</v>
          </cell>
          <cell r="F657" t="str">
            <v>УПНПиКРС</v>
          </cell>
          <cell r="G657">
            <v>260</v>
          </cell>
          <cell r="H657" t="str">
            <v>ШГН</v>
          </cell>
          <cell r="I657" t="str">
            <v>бд</v>
          </cell>
          <cell r="J657">
            <v>36112</v>
          </cell>
          <cell r="K657">
            <v>3</v>
          </cell>
          <cell r="L657">
            <v>2.2999999999999998</v>
          </cell>
          <cell r="M657">
            <v>5</v>
          </cell>
          <cell r="N657">
            <v>10</v>
          </cell>
          <cell r="O657">
            <v>7.3</v>
          </cell>
          <cell r="P657">
            <v>10</v>
          </cell>
          <cell r="Q657">
            <v>10</v>
          </cell>
          <cell r="R657">
            <v>7.3</v>
          </cell>
          <cell r="S657">
            <v>9.9</v>
          </cell>
          <cell r="T657">
            <v>7</v>
          </cell>
          <cell r="U657" t="str">
            <v>ОПЗ</v>
          </cell>
          <cell r="W657" t="str">
            <v>Л.А. УГИС. ОПЗ НТПН.( ГРП 2631,2611) ГДИ</v>
          </cell>
          <cell r="Y657" t="str">
            <v>ОЦ</v>
          </cell>
        </row>
        <row r="658">
          <cell r="B658">
            <v>2670</v>
          </cell>
          <cell r="C658">
            <v>160</v>
          </cell>
          <cell r="H658" t="str">
            <v>ШГН</v>
          </cell>
          <cell r="I658" t="str">
            <v>конс.</v>
          </cell>
          <cell r="J658">
            <v>34274</v>
          </cell>
          <cell r="N658">
            <v>15</v>
          </cell>
          <cell r="O658">
            <v>4</v>
          </cell>
          <cell r="P658">
            <v>67</v>
          </cell>
          <cell r="Q658">
            <v>15</v>
          </cell>
          <cell r="R658">
            <v>4</v>
          </cell>
          <cell r="S658">
            <v>67.099999999999994</v>
          </cell>
          <cell r="U658" t="str">
            <v>ОПЗ</v>
          </cell>
          <cell r="W658" t="str">
            <v>ВЦ. ОПЗ НТПН ГДИ</v>
          </cell>
          <cell r="Y658" t="str">
            <v>ОЦ</v>
          </cell>
        </row>
        <row r="659">
          <cell r="B659">
            <v>2671</v>
          </cell>
          <cell r="C659">
            <v>160</v>
          </cell>
          <cell r="H659" t="str">
            <v>ШГН</v>
          </cell>
          <cell r="I659" t="str">
            <v>конс.</v>
          </cell>
          <cell r="J659">
            <v>33178</v>
          </cell>
          <cell r="N659">
            <v>10</v>
          </cell>
          <cell r="O659">
            <v>4</v>
          </cell>
          <cell r="P659">
            <v>51</v>
          </cell>
          <cell r="Q659">
            <v>10</v>
          </cell>
          <cell r="R659">
            <v>4</v>
          </cell>
          <cell r="S659">
            <v>50.6</v>
          </cell>
          <cell r="U659" t="str">
            <v>ОПЗ</v>
          </cell>
          <cell r="W659" t="str">
            <v>ВЦ. ОПЗ НТПН ГДИ</v>
          </cell>
          <cell r="Y659" t="str">
            <v>Клин</v>
          </cell>
        </row>
        <row r="660">
          <cell r="B660">
            <v>2672</v>
          </cell>
          <cell r="C660">
            <v>160</v>
          </cell>
          <cell r="H660" t="str">
            <v>ШГН</v>
          </cell>
          <cell r="I660" t="str">
            <v>бд</v>
          </cell>
          <cell r="J660">
            <v>36659</v>
          </cell>
          <cell r="N660">
            <v>5</v>
          </cell>
          <cell r="O660">
            <v>2.9</v>
          </cell>
          <cell r="P660">
            <v>30</v>
          </cell>
          <cell r="Q660">
            <v>5</v>
          </cell>
          <cell r="R660">
            <v>2.9</v>
          </cell>
          <cell r="S660">
            <v>28.4</v>
          </cell>
          <cell r="T660">
            <v>38245</v>
          </cell>
          <cell r="U660" t="str">
            <v>ВЦД</v>
          </cell>
          <cell r="W660" t="str">
            <v>ВЦ."БАРС".Смена НВ-44</v>
          </cell>
          <cell r="Y660" t="str">
            <v>+4</v>
          </cell>
          <cell r="Z660">
            <v>2801</v>
          </cell>
          <cell r="AA660">
            <v>73</v>
          </cell>
          <cell r="AB660">
            <v>36789</v>
          </cell>
          <cell r="AF660">
            <v>25</v>
          </cell>
        </row>
        <row r="661">
          <cell r="B661">
            <v>2690</v>
          </cell>
          <cell r="C661">
            <v>160</v>
          </cell>
          <cell r="H661" t="str">
            <v>ШГН</v>
          </cell>
          <cell r="I661" t="str">
            <v>бд</v>
          </cell>
          <cell r="J661">
            <v>32825</v>
          </cell>
          <cell r="N661">
            <v>12</v>
          </cell>
          <cell r="O661">
            <v>7</v>
          </cell>
          <cell r="P661">
            <v>28</v>
          </cell>
          <cell r="Q661">
            <v>12</v>
          </cell>
          <cell r="R661">
            <v>7</v>
          </cell>
          <cell r="S661">
            <v>28</v>
          </cell>
          <cell r="U661" t="str">
            <v>ЛА</v>
          </cell>
          <cell r="W661" t="str">
            <v>ЛА. ИДН.сп.НН</v>
          </cell>
          <cell r="Y661" t="str">
            <v>+35</v>
          </cell>
          <cell r="Z661">
            <v>2832</v>
          </cell>
          <cell r="AA661">
            <v>73</v>
          </cell>
          <cell r="AB661">
            <v>34194</v>
          </cell>
          <cell r="AF661">
            <v>25</v>
          </cell>
        </row>
        <row r="662">
          <cell r="B662">
            <v>2702</v>
          </cell>
          <cell r="C662" t="str">
            <v>145б</v>
          </cell>
          <cell r="F662" t="str">
            <v>УПНПиКРС</v>
          </cell>
          <cell r="G662">
            <v>275</v>
          </cell>
          <cell r="H662" t="str">
            <v>ЭЦН</v>
          </cell>
          <cell r="I662" t="str">
            <v>бд</v>
          </cell>
          <cell r="K662">
            <v>45</v>
          </cell>
          <cell r="L662">
            <v>2.2000000000000002</v>
          </cell>
          <cell r="M662">
            <v>94</v>
          </cell>
          <cell r="N662">
            <v>50</v>
          </cell>
          <cell r="O662">
            <v>4</v>
          </cell>
          <cell r="P662">
            <v>90.1</v>
          </cell>
          <cell r="Q662">
            <v>50</v>
          </cell>
          <cell r="R662">
            <v>4</v>
          </cell>
          <cell r="S662">
            <v>90.1</v>
          </cell>
          <cell r="T662">
            <v>38709</v>
          </cell>
          <cell r="U662" t="str">
            <v>ВЦ</v>
          </cell>
          <cell r="W662" t="str">
            <v>ВЦ(КОПС),Спуск ЭЦН</v>
          </cell>
          <cell r="Y662" t="str">
            <v>ОЦ. Клин</v>
          </cell>
        </row>
        <row r="663">
          <cell r="B663">
            <v>2729</v>
          </cell>
          <cell r="C663">
            <v>144</v>
          </cell>
          <cell r="F663" t="str">
            <v>УПНПиКРС</v>
          </cell>
          <cell r="G663">
            <v>295</v>
          </cell>
          <cell r="H663" t="str">
            <v>нагнет.</v>
          </cell>
          <cell r="I663" t="str">
            <v>конс.</v>
          </cell>
          <cell r="J663">
            <v>33879</v>
          </cell>
          <cell r="N663">
            <v>100</v>
          </cell>
          <cell r="Q663">
            <v>100</v>
          </cell>
          <cell r="T663" t="e">
            <v>#REF!</v>
          </cell>
          <cell r="U663" t="str">
            <v>нг</v>
          </cell>
          <cell r="W663" t="str">
            <v>Увеличение приём. спуск пакера</v>
          </cell>
          <cell r="Y663" t="str">
            <v>+22</v>
          </cell>
          <cell r="Z663">
            <v>2998</v>
          </cell>
          <cell r="AA663">
            <v>73</v>
          </cell>
          <cell r="AB663">
            <v>33878</v>
          </cell>
          <cell r="AF663">
            <v>21</v>
          </cell>
          <cell r="AG663">
            <v>-42</v>
          </cell>
          <cell r="AH663">
            <v>-99</v>
          </cell>
        </row>
        <row r="664">
          <cell r="B664">
            <v>2757</v>
          </cell>
          <cell r="C664">
            <v>144</v>
          </cell>
          <cell r="F664" t="str">
            <v>УПНПиКРС</v>
          </cell>
          <cell r="G664">
            <v>270</v>
          </cell>
          <cell r="H664" t="str">
            <v>ШГН</v>
          </cell>
          <cell r="I664" t="str">
            <v>действ.</v>
          </cell>
          <cell r="K664">
            <v>0.8</v>
          </cell>
          <cell r="L664">
            <v>0.1</v>
          </cell>
          <cell r="M664">
            <v>91</v>
          </cell>
          <cell r="N664">
            <v>15</v>
          </cell>
          <cell r="O664">
            <v>6.1</v>
          </cell>
          <cell r="P664">
            <v>50.5</v>
          </cell>
          <cell r="Q664">
            <v>14.2</v>
          </cell>
          <cell r="R664">
            <v>6</v>
          </cell>
          <cell r="S664">
            <v>47.8</v>
          </cell>
          <cell r="T664">
            <v>7</v>
          </cell>
          <cell r="U664" t="str">
            <v>ОПЗ</v>
          </cell>
          <cell r="W664" t="str">
            <v>ГДИ. ПП (п."а"). ОПЗ КСПЭО. ГДИ</v>
          </cell>
          <cell r="X664" t="str">
            <v>Пока отложить</v>
          </cell>
          <cell r="Y664" t="str">
            <v>перкрыт ИП-16м, откр.- 8 м</v>
          </cell>
          <cell r="Z664">
            <v>2830</v>
          </cell>
          <cell r="AA664">
            <v>73</v>
          </cell>
          <cell r="AF664">
            <v>22</v>
          </cell>
          <cell r="AG664">
            <v>-69</v>
          </cell>
          <cell r="AH664">
            <v>-140</v>
          </cell>
        </row>
        <row r="665">
          <cell r="B665">
            <v>2758</v>
          </cell>
          <cell r="C665">
            <v>144</v>
          </cell>
          <cell r="F665" t="str">
            <v>УПНПиКРС</v>
          </cell>
          <cell r="G665">
            <v>270</v>
          </cell>
          <cell r="H665" t="str">
            <v>ШГН</v>
          </cell>
          <cell r="I665" t="str">
            <v>конс.</v>
          </cell>
          <cell r="J665">
            <v>34425</v>
          </cell>
          <cell r="K665">
            <v>11</v>
          </cell>
          <cell r="L665">
            <v>0.7</v>
          </cell>
          <cell r="M665">
            <v>92</v>
          </cell>
          <cell r="N665">
            <v>20</v>
          </cell>
          <cell r="O665">
            <v>9.8000000000000007</v>
          </cell>
          <cell r="P665">
            <v>40</v>
          </cell>
          <cell r="Q665">
            <v>20</v>
          </cell>
          <cell r="R665">
            <v>9.8000000000000007</v>
          </cell>
          <cell r="S665">
            <v>39.5</v>
          </cell>
          <cell r="T665">
            <v>7</v>
          </cell>
          <cell r="U665" t="str">
            <v>ГРП</v>
          </cell>
          <cell r="W665" t="str">
            <v>РИР низа ЮК-10. ГРП</v>
          </cell>
          <cell r="X665" t="str">
            <v>Необходима СК</v>
          </cell>
          <cell r="Y665" t="str">
            <v>На забое НКТ (КРС-97 и 00)</v>
          </cell>
          <cell r="AF665">
            <v>38</v>
          </cell>
          <cell r="AG665">
            <v>-70</v>
          </cell>
          <cell r="AH665">
            <v>-126</v>
          </cell>
        </row>
        <row r="666">
          <cell r="B666">
            <v>2788</v>
          </cell>
          <cell r="C666">
            <v>144</v>
          </cell>
          <cell r="F666" t="str">
            <v>УПНПиКРС</v>
          </cell>
          <cell r="G666">
            <v>270</v>
          </cell>
          <cell r="H666" t="str">
            <v>ШГН</v>
          </cell>
          <cell r="I666" t="str">
            <v>бд</v>
          </cell>
          <cell r="J666">
            <v>36630</v>
          </cell>
          <cell r="K666">
            <v>2</v>
          </cell>
          <cell r="L666">
            <v>1.4</v>
          </cell>
          <cell r="M666">
            <v>15</v>
          </cell>
          <cell r="N666">
            <v>18</v>
          </cell>
          <cell r="O666">
            <v>10</v>
          </cell>
          <cell r="P666">
            <v>31.5</v>
          </cell>
          <cell r="Q666">
            <v>18</v>
          </cell>
          <cell r="R666">
            <v>10</v>
          </cell>
          <cell r="S666">
            <v>31.4</v>
          </cell>
          <cell r="T666">
            <v>7</v>
          </cell>
          <cell r="W666" t="str">
            <v>ЛА. ПР ГРП. ГРП</v>
          </cell>
          <cell r="X666" t="str">
            <v>КРС-2000 не завершен</v>
          </cell>
          <cell r="Y666" t="str">
            <v>Прихват печати (ПРС)</v>
          </cell>
          <cell r="AF666">
            <v>22</v>
          </cell>
          <cell r="AG666">
            <v>-946988</v>
          </cell>
          <cell r="AH666">
            <v>-3054800</v>
          </cell>
        </row>
        <row r="667">
          <cell r="B667">
            <v>2792</v>
          </cell>
          <cell r="C667">
            <v>144</v>
          </cell>
          <cell r="F667" t="str">
            <v>УПНПиКРС</v>
          </cell>
          <cell r="G667">
            <v>285</v>
          </cell>
          <cell r="H667" t="str">
            <v>ШГН</v>
          </cell>
          <cell r="I667" t="str">
            <v>действ.</v>
          </cell>
          <cell r="J667">
            <v>0</v>
          </cell>
          <cell r="K667">
            <v>14</v>
          </cell>
          <cell r="L667">
            <v>9.1</v>
          </cell>
          <cell r="M667">
            <v>20</v>
          </cell>
          <cell r="N667">
            <v>40</v>
          </cell>
          <cell r="O667">
            <v>26.1</v>
          </cell>
          <cell r="P667">
            <v>20</v>
          </cell>
          <cell r="Q667">
            <v>26</v>
          </cell>
          <cell r="R667">
            <v>17</v>
          </cell>
          <cell r="S667">
            <v>19.3</v>
          </cell>
          <cell r="T667" t="e">
            <v>#REF!</v>
          </cell>
          <cell r="U667" t="str">
            <v>ГРП</v>
          </cell>
          <cell r="W667" t="str">
            <v>ПР ГРП. ГРП ЮК-10</v>
          </cell>
          <cell r="X667" t="str">
            <v>ГРП повторный</v>
          </cell>
          <cell r="AF667">
            <v>10</v>
          </cell>
        </row>
        <row r="668">
          <cell r="B668">
            <v>2802</v>
          </cell>
          <cell r="C668" t="str">
            <v>166б</v>
          </cell>
          <cell r="F668" t="str">
            <v>ЗАО "УПКРС"</v>
          </cell>
          <cell r="G668">
            <v>290</v>
          </cell>
          <cell r="H668" t="str">
            <v>нагнет.</v>
          </cell>
          <cell r="I668" t="str">
            <v>бд</v>
          </cell>
          <cell r="J668">
            <v>36725</v>
          </cell>
          <cell r="N668">
            <v>150</v>
          </cell>
          <cell r="Q668">
            <v>150</v>
          </cell>
          <cell r="T668">
            <v>38180</v>
          </cell>
          <cell r="U668" t="str">
            <v>нг</v>
          </cell>
          <cell r="V668">
            <v>1</v>
          </cell>
          <cell r="W668" t="str">
            <v>ОТСК.ПП.ОПЗ.Сп.пакера ППД</v>
          </cell>
          <cell r="Y668" t="str">
            <v>+18</v>
          </cell>
          <cell r="Z668">
            <v>3010</v>
          </cell>
          <cell r="AA668">
            <v>73</v>
          </cell>
          <cell r="AB668">
            <v>34820</v>
          </cell>
          <cell r="AF668">
            <v>27</v>
          </cell>
          <cell r="AG668">
            <v>0</v>
          </cell>
          <cell r="AH668">
            <v>0</v>
          </cell>
        </row>
        <row r="669">
          <cell r="B669">
            <v>2818</v>
          </cell>
          <cell r="C669">
            <v>144</v>
          </cell>
          <cell r="F669" t="str">
            <v>УПНПиКРС</v>
          </cell>
          <cell r="G669">
            <v>255</v>
          </cell>
          <cell r="H669" t="str">
            <v>ШГН</v>
          </cell>
          <cell r="I669" t="str">
            <v>конс.</v>
          </cell>
          <cell r="J669">
            <v>33239</v>
          </cell>
          <cell r="N669">
            <v>8</v>
          </cell>
          <cell r="O669">
            <v>4</v>
          </cell>
          <cell r="P669">
            <v>39</v>
          </cell>
          <cell r="Q669">
            <v>8</v>
          </cell>
          <cell r="R669">
            <v>4</v>
          </cell>
          <cell r="S669">
            <v>38.299999999999997</v>
          </cell>
          <cell r="U669" t="str">
            <v>ОПЗ</v>
          </cell>
          <cell r="W669" t="str">
            <v>ВЦ. ГИС-2. ПП. ОПЗ. КСПЭО</v>
          </cell>
          <cell r="X669" t="str">
            <v>Возможна РИР ЗКЦ</v>
          </cell>
          <cell r="Y669" t="str">
            <v>ОЦ 5.07.97, 3.06.95.при ПРС выявлено : 1) полёт хвостовика (20нкт 2,5") и колонны штанг(7/8"-54шт., 3/4"-50шт.), 2) Нз.т.-1856м, голова муфта штанги 7/8".</v>
          </cell>
          <cell r="AF669">
            <v>37</v>
          </cell>
        </row>
        <row r="670">
          <cell r="B670">
            <v>2836</v>
          </cell>
          <cell r="C670">
            <v>125</v>
          </cell>
          <cell r="H670" t="str">
            <v>ШГН</v>
          </cell>
          <cell r="I670" t="str">
            <v>конс.</v>
          </cell>
          <cell r="J670">
            <v>35684</v>
          </cell>
          <cell r="K670">
            <v>4</v>
          </cell>
          <cell r="L670">
            <v>1.1000000000000001</v>
          </cell>
          <cell r="M670">
            <v>66</v>
          </cell>
          <cell r="N670">
            <v>20</v>
          </cell>
          <cell r="O670">
            <v>8.1999999999999993</v>
          </cell>
          <cell r="P670">
            <v>50</v>
          </cell>
          <cell r="Q670">
            <v>20</v>
          </cell>
          <cell r="R670">
            <v>8.1999999999999993</v>
          </cell>
          <cell r="S670">
            <v>49.4</v>
          </cell>
          <cell r="T670">
            <v>37270</v>
          </cell>
          <cell r="U670" t="str">
            <v>ГРП</v>
          </cell>
          <cell r="W670" t="str">
            <v>Ликвидация аварии, ИР ЮК-10, пр и ГРП ЮК-2-5</v>
          </cell>
          <cell r="AF670">
            <v>25</v>
          </cell>
        </row>
        <row r="671">
          <cell r="B671">
            <v>2850</v>
          </cell>
          <cell r="C671">
            <v>129</v>
          </cell>
          <cell r="F671" t="str">
            <v>ЗАО "УПКРС"</v>
          </cell>
          <cell r="G671">
            <v>230</v>
          </cell>
          <cell r="H671" t="str">
            <v>ШГН</v>
          </cell>
          <cell r="I671" t="str">
            <v>действ.</v>
          </cell>
          <cell r="J671">
            <v>0</v>
          </cell>
          <cell r="K671">
            <v>3</v>
          </cell>
          <cell r="L671">
            <v>1.5</v>
          </cell>
          <cell r="M671">
            <v>40</v>
          </cell>
          <cell r="N671">
            <v>40</v>
          </cell>
          <cell r="O671">
            <v>13</v>
          </cell>
          <cell r="P671">
            <v>60</v>
          </cell>
          <cell r="Q671">
            <v>37</v>
          </cell>
          <cell r="R671">
            <v>11.5</v>
          </cell>
          <cell r="S671">
            <v>61.6</v>
          </cell>
          <cell r="T671">
            <v>7</v>
          </cell>
          <cell r="U671" t="str">
            <v>ГРП</v>
          </cell>
          <cell r="W671" t="str">
            <v>ПР ГРП. ГРП. ЮК-10 ЭЦН-50</v>
          </cell>
          <cell r="X671" t="str">
            <v>Дважды перфорирована</v>
          </cell>
          <cell r="AF671">
            <v>32</v>
          </cell>
        </row>
        <row r="672">
          <cell r="B672">
            <v>3079</v>
          </cell>
          <cell r="C672">
            <v>51</v>
          </cell>
          <cell r="F672" t="str">
            <v>УПНП</v>
          </cell>
          <cell r="G672">
            <v>265</v>
          </cell>
          <cell r="H672" t="str">
            <v>ЭЦН</v>
          </cell>
          <cell r="I672" t="str">
            <v>конс.</v>
          </cell>
          <cell r="J672">
            <v>33635</v>
          </cell>
          <cell r="K672">
            <v>0</v>
          </cell>
          <cell r="L672">
            <v>0</v>
          </cell>
          <cell r="M672">
            <v>0</v>
          </cell>
          <cell r="N672">
            <v>50</v>
          </cell>
          <cell r="O672">
            <v>11</v>
          </cell>
          <cell r="P672">
            <v>73</v>
          </cell>
          <cell r="Q672">
            <v>50</v>
          </cell>
          <cell r="R672">
            <v>11</v>
          </cell>
          <cell r="S672">
            <v>72.8</v>
          </cell>
          <cell r="U672" t="str">
            <v>ВВ</v>
          </cell>
          <cell r="W672" t="str">
            <v>ВЦ,ВЗ,ДП ЮК-10</v>
          </cell>
          <cell r="AF672">
            <v>21</v>
          </cell>
        </row>
        <row r="673">
          <cell r="AF673">
            <v>29</v>
          </cell>
          <cell r="AG673">
            <v>-224743</v>
          </cell>
          <cell r="AH673">
            <v>-1828416</v>
          </cell>
        </row>
        <row r="674">
          <cell r="B674">
            <v>2877</v>
          </cell>
          <cell r="C674">
            <v>42</v>
          </cell>
          <cell r="F674" t="str">
            <v>ЗАО "УПКРС"</v>
          </cell>
          <cell r="G674">
            <v>250</v>
          </cell>
          <cell r="H674" t="str">
            <v>ШГН</v>
          </cell>
          <cell r="I674" t="str">
            <v>бд</v>
          </cell>
          <cell r="J674">
            <v>36895</v>
          </cell>
          <cell r="N674">
            <v>30</v>
          </cell>
          <cell r="O674">
            <v>10</v>
          </cell>
          <cell r="P674">
            <v>59</v>
          </cell>
          <cell r="Q674">
            <v>30</v>
          </cell>
          <cell r="R674">
            <v>10</v>
          </cell>
          <cell r="S674">
            <v>58.8</v>
          </cell>
          <cell r="T674">
            <v>7</v>
          </cell>
          <cell r="U674" t="str">
            <v>ГРП</v>
          </cell>
          <cell r="W674" t="str">
            <v>ПР к ГРП, ГРП</v>
          </cell>
          <cell r="AF674">
            <v>30</v>
          </cell>
        </row>
        <row r="675">
          <cell r="B675">
            <v>2878</v>
          </cell>
          <cell r="C675">
            <v>42</v>
          </cell>
          <cell r="F675" t="str">
            <v>ЗАО "УПКРС"</v>
          </cell>
          <cell r="G675">
            <v>260</v>
          </cell>
          <cell r="H675" t="str">
            <v>ШГН</v>
          </cell>
          <cell r="I675" t="str">
            <v>действ.</v>
          </cell>
          <cell r="K675">
            <v>5</v>
          </cell>
          <cell r="L675">
            <v>1.1000000000000001</v>
          </cell>
          <cell r="M675">
            <v>73</v>
          </cell>
          <cell r="N675">
            <v>30</v>
          </cell>
          <cell r="O675">
            <v>10</v>
          </cell>
          <cell r="P675">
            <v>59</v>
          </cell>
          <cell r="Q675">
            <v>25</v>
          </cell>
          <cell r="R675">
            <v>8.9</v>
          </cell>
          <cell r="S675">
            <v>56</v>
          </cell>
          <cell r="T675">
            <v>7</v>
          </cell>
          <cell r="U675" t="str">
            <v>ГРП</v>
          </cell>
          <cell r="W675" t="str">
            <v>ПР к ГРП, ГРП(повторное) (ОПЗ НТПН)</v>
          </cell>
        </row>
        <row r="676">
          <cell r="B676">
            <v>2884</v>
          </cell>
          <cell r="C676">
            <v>131</v>
          </cell>
          <cell r="F676" t="str">
            <v>УПНПиКРС</v>
          </cell>
          <cell r="G676">
            <v>280</v>
          </cell>
          <cell r="H676" t="str">
            <v>ЭЦН</v>
          </cell>
          <cell r="I676" t="str">
            <v>действ.</v>
          </cell>
          <cell r="K676">
            <v>40</v>
          </cell>
          <cell r="L676">
            <v>3.9</v>
          </cell>
          <cell r="M676">
            <v>88</v>
          </cell>
          <cell r="N676">
            <v>50</v>
          </cell>
          <cell r="O676">
            <v>5.9</v>
          </cell>
          <cell r="P676">
            <v>85.5</v>
          </cell>
          <cell r="Q676">
            <v>10</v>
          </cell>
          <cell r="R676">
            <v>2</v>
          </cell>
          <cell r="S676">
            <v>75.3</v>
          </cell>
          <cell r="U676" t="str">
            <v>ОВП</v>
          </cell>
          <cell r="W676" t="str">
            <v>ГИС-2. ОВП МЕТКА</v>
          </cell>
          <cell r="X676" t="str">
            <v>ИХН АН</v>
          </cell>
          <cell r="AF676">
            <v>21</v>
          </cell>
        </row>
        <row r="677">
          <cell r="B677">
            <v>2884</v>
          </cell>
          <cell r="C677">
            <v>131</v>
          </cell>
          <cell r="F677" t="str">
            <v>ЗАО "УПКРС"</v>
          </cell>
          <cell r="G677">
            <v>260</v>
          </cell>
          <cell r="H677" t="str">
            <v>ЭЦН</v>
          </cell>
          <cell r="I677" t="str">
            <v>действ.</v>
          </cell>
          <cell r="K677">
            <v>30</v>
          </cell>
          <cell r="L677">
            <v>1.5</v>
          </cell>
          <cell r="M677">
            <v>94</v>
          </cell>
          <cell r="N677">
            <v>50</v>
          </cell>
          <cell r="O677">
            <v>4.5</v>
          </cell>
          <cell r="P677">
            <v>89</v>
          </cell>
          <cell r="Q677">
            <v>20</v>
          </cell>
          <cell r="R677">
            <v>3</v>
          </cell>
          <cell r="S677">
            <v>81.5</v>
          </cell>
          <cell r="T677">
            <v>7</v>
          </cell>
          <cell r="U677" t="str">
            <v>ОПЗ</v>
          </cell>
          <cell r="W677" t="str">
            <v>ГИС-2. УГИС (ОПЗ)</v>
          </cell>
          <cell r="AF677">
            <v>21</v>
          </cell>
        </row>
        <row r="678">
          <cell r="B678">
            <v>2904</v>
          </cell>
          <cell r="C678">
            <v>131</v>
          </cell>
          <cell r="F678" t="str">
            <v>УПНПиКРС</v>
          </cell>
          <cell r="G678">
            <v>295</v>
          </cell>
          <cell r="H678" t="str">
            <v>нагнет.</v>
          </cell>
          <cell r="I678" t="str">
            <v>действ.</v>
          </cell>
          <cell r="K678">
            <v>330</v>
          </cell>
          <cell r="N678">
            <v>250</v>
          </cell>
          <cell r="Q678">
            <v>250</v>
          </cell>
          <cell r="R678">
            <v>0</v>
          </cell>
          <cell r="U678" t="str">
            <v>ВВП</v>
          </cell>
          <cell r="W678" t="str">
            <v>ГИС-3. ВПП ГАЛКА</v>
          </cell>
          <cell r="X678" t="str">
            <v>ИХН АН</v>
          </cell>
        </row>
        <row r="679">
          <cell r="B679">
            <v>2905</v>
          </cell>
          <cell r="C679">
            <v>132</v>
          </cell>
          <cell r="F679" t="str">
            <v>УПНПиКРС</v>
          </cell>
          <cell r="G679">
            <v>290</v>
          </cell>
          <cell r="H679" t="str">
            <v>ЭЦН</v>
          </cell>
          <cell r="I679" t="str">
            <v>действ.</v>
          </cell>
          <cell r="K679">
            <v>50</v>
          </cell>
          <cell r="L679">
            <v>5.3</v>
          </cell>
          <cell r="M679">
            <v>87</v>
          </cell>
          <cell r="N679">
            <v>50</v>
          </cell>
          <cell r="O679">
            <v>8.1999999999999993</v>
          </cell>
          <cell r="P679">
            <v>80</v>
          </cell>
          <cell r="Q679">
            <v>0</v>
          </cell>
          <cell r="R679">
            <v>2.9</v>
          </cell>
          <cell r="U679" t="str">
            <v>ОВП</v>
          </cell>
          <cell r="W679" t="str">
            <v>ГИС-2. ОВП МЕТКА.</v>
          </cell>
          <cell r="X679" t="str">
            <v>ИХН АН</v>
          </cell>
          <cell r="AF679">
            <v>53</v>
          </cell>
          <cell r="AG679" t="e">
            <v>#REF!</v>
          </cell>
          <cell r="AH679" t="e">
            <v>#REF!</v>
          </cell>
        </row>
        <row r="680">
          <cell r="B680">
            <v>2933</v>
          </cell>
          <cell r="C680">
            <v>44</v>
          </cell>
          <cell r="F680" t="str">
            <v>ЗАО "УПКРС"</v>
          </cell>
          <cell r="G680">
            <v>265</v>
          </cell>
          <cell r="H680" t="str">
            <v>ШГН</v>
          </cell>
          <cell r="I680" t="str">
            <v>бд</v>
          </cell>
          <cell r="J680">
            <v>36935</v>
          </cell>
          <cell r="K680">
            <v>10</v>
          </cell>
          <cell r="L680">
            <v>5.0999999999999996</v>
          </cell>
          <cell r="M680">
            <v>37</v>
          </cell>
          <cell r="N680">
            <v>10</v>
          </cell>
          <cell r="O680">
            <v>5</v>
          </cell>
          <cell r="P680">
            <v>38.5</v>
          </cell>
          <cell r="Q680">
            <v>10</v>
          </cell>
          <cell r="R680">
            <v>5</v>
          </cell>
          <cell r="S680">
            <v>38.299999999999997</v>
          </cell>
          <cell r="T680">
            <v>12</v>
          </cell>
          <cell r="U680" t="str">
            <v>ВЦ</v>
          </cell>
          <cell r="V680">
            <v>2</v>
          </cell>
          <cell r="W680" t="str">
            <v xml:space="preserve">ВЦ, Ликв.грифона </v>
          </cell>
          <cell r="Y680" t="str">
            <v>ОЦ 20.09.97</v>
          </cell>
        </row>
        <row r="681">
          <cell r="B681">
            <v>3002</v>
          </cell>
          <cell r="C681">
            <v>50</v>
          </cell>
          <cell r="H681" t="str">
            <v>ШГН</v>
          </cell>
          <cell r="I681" t="str">
            <v>конс.</v>
          </cell>
          <cell r="J681">
            <v>34514</v>
          </cell>
          <cell r="K681">
            <v>5</v>
          </cell>
          <cell r="L681">
            <v>0.5</v>
          </cell>
          <cell r="M681">
            <v>88</v>
          </cell>
          <cell r="N681">
            <v>5</v>
          </cell>
          <cell r="O681">
            <v>0.5</v>
          </cell>
          <cell r="P681">
            <v>88</v>
          </cell>
          <cell r="Q681">
            <v>5</v>
          </cell>
          <cell r="R681">
            <v>0.5</v>
          </cell>
          <cell r="S681">
            <v>87.7</v>
          </cell>
          <cell r="W681" t="str">
            <v>ВЦ, ПП, ОПЗ НТПН, ГДИ, сп.НН</v>
          </cell>
          <cell r="Y681">
            <v>0</v>
          </cell>
        </row>
        <row r="682">
          <cell r="B682">
            <v>3003</v>
          </cell>
          <cell r="C682">
            <v>50</v>
          </cell>
          <cell r="H682" t="str">
            <v>нагн</v>
          </cell>
          <cell r="I682" t="str">
            <v>конс.</v>
          </cell>
          <cell r="J682">
            <v>32903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e">
            <v>#DIV/0!</v>
          </cell>
          <cell r="U682" t="str">
            <v>ГРП</v>
          </cell>
          <cell r="W682" t="str">
            <v>ВЦ, ПП, ГРП (ОПЗ НТПН), ГДИ, сп.НН</v>
          </cell>
          <cell r="Y682" t="str">
            <v>ОЦ</v>
          </cell>
        </row>
        <row r="683">
          <cell r="B683">
            <v>3027</v>
          </cell>
          <cell r="C683">
            <v>52</v>
          </cell>
          <cell r="H683" t="str">
            <v>ШГН</v>
          </cell>
          <cell r="I683" t="str">
            <v>бд</v>
          </cell>
          <cell r="J683">
            <v>36971</v>
          </cell>
          <cell r="K683">
            <v>10</v>
          </cell>
          <cell r="L683">
            <v>2.2000000000000002</v>
          </cell>
          <cell r="M683">
            <v>73</v>
          </cell>
          <cell r="N683">
            <v>20</v>
          </cell>
          <cell r="O683">
            <v>6.5</v>
          </cell>
          <cell r="P683">
            <v>60</v>
          </cell>
          <cell r="Q683">
            <v>20</v>
          </cell>
          <cell r="R683">
            <v>6.5</v>
          </cell>
          <cell r="S683">
            <v>59.9</v>
          </cell>
          <cell r="W683" t="str">
            <v>ВЦ, ЛА, ПП, ОПЗ НТПН, УГИС</v>
          </cell>
          <cell r="Y683" t="str">
            <v>ОЦ</v>
          </cell>
        </row>
        <row r="684">
          <cell r="B684">
            <v>3073</v>
          </cell>
          <cell r="C684">
            <v>53</v>
          </cell>
          <cell r="H684" t="str">
            <v>ШГН</v>
          </cell>
          <cell r="I684" t="str">
            <v>бд</v>
          </cell>
          <cell r="J684">
            <v>36834</v>
          </cell>
          <cell r="K684">
            <v>3</v>
          </cell>
          <cell r="L684">
            <v>0.9</v>
          </cell>
          <cell r="M684">
            <v>65</v>
          </cell>
          <cell r="N684">
            <v>3</v>
          </cell>
          <cell r="O684">
            <v>0.9</v>
          </cell>
          <cell r="P684">
            <v>65</v>
          </cell>
          <cell r="Q684">
            <v>3</v>
          </cell>
          <cell r="R684">
            <v>0.9</v>
          </cell>
          <cell r="S684">
            <v>63</v>
          </cell>
          <cell r="W684" t="str">
            <v>ВЦ, ПП, ОПЗ НТПН, ГДИ, сп.НН</v>
          </cell>
          <cell r="Y684" t="str">
            <v>ЗБС с 22.11.95 по 21.04.96, ОЦ</v>
          </cell>
        </row>
        <row r="685">
          <cell r="B685">
            <v>3096</v>
          </cell>
          <cell r="C685">
            <v>53</v>
          </cell>
          <cell r="H685" t="str">
            <v>ШГН</v>
          </cell>
          <cell r="I685" t="str">
            <v>бд</v>
          </cell>
          <cell r="J685">
            <v>36246</v>
          </cell>
          <cell r="K685">
            <v>6</v>
          </cell>
          <cell r="L685">
            <v>3.3</v>
          </cell>
          <cell r="M685">
            <v>33</v>
          </cell>
          <cell r="N685">
            <v>6</v>
          </cell>
          <cell r="O685">
            <v>3.3</v>
          </cell>
          <cell r="P685">
            <v>33</v>
          </cell>
          <cell r="Q685">
            <v>6</v>
          </cell>
          <cell r="R685">
            <v>3.3</v>
          </cell>
          <cell r="S685">
            <v>32.1</v>
          </cell>
          <cell r="W685" t="str">
            <v>ВЦ, ПП, ОПЗ НТПН, ГДИ, сп.НН</v>
          </cell>
          <cell r="Y685" t="str">
            <v>ОЦ</v>
          </cell>
        </row>
        <row r="686">
          <cell r="B686">
            <v>3097</v>
          </cell>
          <cell r="C686">
            <v>53</v>
          </cell>
          <cell r="H686" t="str">
            <v>ШГН</v>
          </cell>
          <cell r="I686" t="str">
            <v>бд</v>
          </cell>
          <cell r="J686">
            <v>36244</v>
          </cell>
          <cell r="K686">
            <v>6</v>
          </cell>
          <cell r="L686">
            <v>3.6</v>
          </cell>
          <cell r="M686">
            <v>26</v>
          </cell>
          <cell r="N686">
            <v>6</v>
          </cell>
          <cell r="O686">
            <v>3.6</v>
          </cell>
          <cell r="P686">
            <v>26</v>
          </cell>
          <cell r="Q686">
            <v>6</v>
          </cell>
          <cell r="R686">
            <v>3.6</v>
          </cell>
          <cell r="S686">
            <v>25.9</v>
          </cell>
          <cell r="W686" t="str">
            <v>ВЦ, ПП, ОПЗ НТПН, ГДИ, сп.НН</v>
          </cell>
        </row>
        <row r="687">
          <cell r="B687">
            <v>3952</v>
          </cell>
          <cell r="C687">
            <v>308</v>
          </cell>
          <cell r="G687">
            <v>245</v>
          </cell>
          <cell r="H687" t="str">
            <v>нагнет.</v>
          </cell>
          <cell r="I687" t="str">
            <v>бд</v>
          </cell>
          <cell r="N687">
            <v>250</v>
          </cell>
          <cell r="Q687">
            <v>250</v>
          </cell>
          <cell r="R687">
            <v>0</v>
          </cell>
          <cell r="W687" t="str">
            <v>Спуск пакера, определение прием.ЮК11</v>
          </cell>
          <cell r="X687" t="str">
            <v>утилизация</v>
          </cell>
        </row>
        <row r="688">
          <cell r="B688">
            <v>3959</v>
          </cell>
          <cell r="C688">
            <v>198</v>
          </cell>
          <cell r="G688">
            <v>226</v>
          </cell>
          <cell r="H688" t="str">
            <v>нагнет.</v>
          </cell>
          <cell r="I688" t="str">
            <v>конс.</v>
          </cell>
          <cell r="N688">
            <v>250</v>
          </cell>
          <cell r="Q688">
            <v>250</v>
          </cell>
          <cell r="R688">
            <v>0</v>
          </cell>
          <cell r="W688" t="str">
            <v>Спуск пакера, определение прием.ЮК11</v>
          </cell>
          <cell r="X688" t="str">
            <v>утилизация</v>
          </cell>
          <cell r="Y688" t="str">
            <v>ВЦ УЭС 1500 12.97: непроход 368 м (печать не спускали)</v>
          </cell>
          <cell r="AF688">
            <v>27</v>
          </cell>
          <cell r="AG688">
            <v>-7</v>
          </cell>
          <cell r="AH688">
            <v>-210</v>
          </cell>
        </row>
        <row r="689">
          <cell r="B689">
            <v>4018</v>
          </cell>
          <cell r="C689">
            <v>314</v>
          </cell>
          <cell r="F689" t="str">
            <v>УПНПиКРС</v>
          </cell>
          <cell r="G689">
            <v>250</v>
          </cell>
          <cell r="H689" t="str">
            <v>Ф/ЭЦН</v>
          </cell>
          <cell r="I689" t="str">
            <v>конс.</v>
          </cell>
          <cell r="J689">
            <v>34335</v>
          </cell>
          <cell r="L689">
            <v>0</v>
          </cell>
          <cell r="N689">
            <v>30</v>
          </cell>
          <cell r="O689">
            <v>1</v>
          </cell>
          <cell r="P689">
            <v>96</v>
          </cell>
          <cell r="Q689">
            <v>30</v>
          </cell>
          <cell r="R689">
            <v>1</v>
          </cell>
          <cell r="S689">
            <v>95.9</v>
          </cell>
          <cell r="T689">
            <v>7</v>
          </cell>
          <cell r="U689" t="str">
            <v>ЛА</v>
          </cell>
          <cell r="W689" t="str">
            <v>ВЦ. ЛА. ГИС-2. УГИС</v>
          </cell>
          <cell r="X689" t="str">
            <v>УОПР-800</v>
          </cell>
          <cell r="Y689" t="str">
            <v>13.04.93 ОТСК (негерм.ЭК: 1078.4-1079.4)</v>
          </cell>
          <cell r="AF689">
            <v>31</v>
          </cell>
          <cell r="AG689">
            <v>-14</v>
          </cell>
          <cell r="AH689">
            <v>-350</v>
          </cell>
        </row>
        <row r="690">
          <cell r="B690">
            <v>4020</v>
          </cell>
          <cell r="C690">
            <v>314</v>
          </cell>
          <cell r="F690" t="str">
            <v>УПНПиКРС</v>
          </cell>
          <cell r="G690">
            <v>220</v>
          </cell>
          <cell r="H690" t="str">
            <v>фон</v>
          </cell>
          <cell r="I690" t="str">
            <v>конс.</v>
          </cell>
          <cell r="J690">
            <v>34486</v>
          </cell>
          <cell r="L690">
            <v>0</v>
          </cell>
          <cell r="N690">
            <v>50</v>
          </cell>
          <cell r="O690">
            <v>2</v>
          </cell>
          <cell r="P690">
            <v>95</v>
          </cell>
          <cell r="Q690">
            <v>50</v>
          </cell>
          <cell r="R690">
            <v>2</v>
          </cell>
          <cell r="S690">
            <v>95.1</v>
          </cell>
          <cell r="T690">
            <v>7</v>
          </cell>
          <cell r="U690" t="str">
            <v>ЛН</v>
          </cell>
          <cell r="W690" t="str">
            <v>РИР (негерм. ЭК -1078-79 м). ГИС-2. ИДН</v>
          </cell>
          <cell r="X690" t="str">
            <v>УОПР-800</v>
          </cell>
          <cell r="Y690" t="str">
            <v>УЭС 1500 (01.98) непроход на 103 м (печать не спускали). Обрыв проволоки с МГН-2)</v>
          </cell>
          <cell r="AF690">
            <v>31</v>
          </cell>
          <cell r="AG690">
            <v>-7</v>
          </cell>
          <cell r="AH690">
            <v>-140</v>
          </cell>
        </row>
        <row r="691">
          <cell r="B691">
            <v>4021</v>
          </cell>
          <cell r="C691">
            <v>314</v>
          </cell>
          <cell r="F691" t="str">
            <v>УПНПиКРС</v>
          </cell>
          <cell r="G691">
            <v>220</v>
          </cell>
          <cell r="H691" t="str">
            <v>фон</v>
          </cell>
          <cell r="I691" t="str">
            <v>конс.</v>
          </cell>
          <cell r="J691">
            <v>34425</v>
          </cell>
          <cell r="L691">
            <v>0</v>
          </cell>
          <cell r="N691">
            <v>20</v>
          </cell>
          <cell r="O691">
            <v>1</v>
          </cell>
          <cell r="P691">
            <v>94</v>
          </cell>
          <cell r="Q691">
            <v>20</v>
          </cell>
          <cell r="R691">
            <v>1</v>
          </cell>
          <cell r="S691">
            <v>93.8</v>
          </cell>
          <cell r="T691">
            <v>7</v>
          </cell>
          <cell r="U691" t="str">
            <v>ЛА</v>
          </cell>
          <cell r="W691" t="str">
            <v>ВЦ. ЛА. ГИС-2. РИР (ЗКЦ). УГИС</v>
          </cell>
          <cell r="X691" t="str">
            <v>УОПР-800</v>
          </cell>
          <cell r="AF691">
            <v>64</v>
          </cell>
          <cell r="AG691">
            <v>92</v>
          </cell>
          <cell r="AH691">
            <v>920</v>
          </cell>
        </row>
        <row r="692">
          <cell r="B692">
            <v>4122</v>
          </cell>
          <cell r="C692">
            <v>314</v>
          </cell>
          <cell r="F692" t="str">
            <v>УПНПиКРС</v>
          </cell>
          <cell r="G692">
            <v>250</v>
          </cell>
          <cell r="H692" t="str">
            <v>Ф/ЭЦН</v>
          </cell>
          <cell r="I692" t="str">
            <v>бд</v>
          </cell>
          <cell r="J692">
            <v>34485</v>
          </cell>
          <cell r="L692">
            <v>0</v>
          </cell>
          <cell r="N692">
            <v>20</v>
          </cell>
          <cell r="O692">
            <v>2</v>
          </cell>
          <cell r="P692">
            <v>88</v>
          </cell>
          <cell r="Q692">
            <v>20</v>
          </cell>
          <cell r="R692">
            <v>2</v>
          </cell>
          <cell r="S692">
            <v>87.7</v>
          </cell>
          <cell r="T692">
            <v>37242</v>
          </cell>
          <cell r="U692" t="str">
            <v>ОПЗ</v>
          </cell>
          <cell r="W692" t="str">
            <v>ГИС-2. ПП. УГИС</v>
          </cell>
          <cell r="X692" t="str">
            <v>УОПР-800</v>
          </cell>
          <cell r="Y692" t="str">
            <v>Полет ЭЦН и НКТ 31 шт.</v>
          </cell>
          <cell r="AF692">
            <v>38</v>
          </cell>
          <cell r="AG692">
            <v>-7</v>
          </cell>
          <cell r="AH692">
            <v>-140</v>
          </cell>
        </row>
        <row r="693">
          <cell r="B693">
            <v>4125</v>
          </cell>
          <cell r="C693">
            <v>315</v>
          </cell>
          <cell r="F693" t="str">
            <v>УПНПиКРС</v>
          </cell>
          <cell r="G693">
            <v>250</v>
          </cell>
          <cell r="H693" t="str">
            <v>Ф/ЭЦН</v>
          </cell>
          <cell r="I693" t="str">
            <v>бд</v>
          </cell>
          <cell r="J693">
            <v>33147</v>
          </cell>
          <cell r="L693">
            <v>0</v>
          </cell>
          <cell r="N693">
            <v>20</v>
          </cell>
          <cell r="O693">
            <v>1</v>
          </cell>
          <cell r="P693">
            <v>93.6</v>
          </cell>
          <cell r="Q693">
            <v>20</v>
          </cell>
          <cell r="R693">
            <v>1</v>
          </cell>
          <cell r="S693">
            <v>93.8</v>
          </cell>
          <cell r="T693">
            <v>7</v>
          </cell>
          <cell r="U693" t="str">
            <v>ОВП</v>
          </cell>
          <cell r="W693" t="str">
            <v>ЛА (Полет ЭЦН). ГИС-2. ИР</v>
          </cell>
          <cell r="X693" t="str">
            <v>ИР нижнего интервала?</v>
          </cell>
          <cell r="Y693" t="str">
            <v>Прихват ЭЦН</v>
          </cell>
          <cell r="AF693">
            <v>38</v>
          </cell>
          <cell r="AG693">
            <v>-7</v>
          </cell>
          <cell r="AH693">
            <v>-119</v>
          </cell>
        </row>
        <row r="694">
          <cell r="B694">
            <v>4127</v>
          </cell>
          <cell r="C694">
            <v>315</v>
          </cell>
          <cell r="F694" t="str">
            <v>УПНПиКРС</v>
          </cell>
          <cell r="G694">
            <v>245</v>
          </cell>
          <cell r="H694" t="str">
            <v>ЭЦН</v>
          </cell>
          <cell r="I694" t="str">
            <v>бд</v>
          </cell>
          <cell r="J694">
            <v>35432</v>
          </cell>
          <cell r="L694">
            <v>0</v>
          </cell>
          <cell r="N694">
            <v>17</v>
          </cell>
          <cell r="O694">
            <v>1</v>
          </cell>
          <cell r="P694">
            <v>93</v>
          </cell>
          <cell r="Q694">
            <v>17</v>
          </cell>
          <cell r="R694">
            <v>1</v>
          </cell>
          <cell r="S694">
            <v>92.7</v>
          </cell>
          <cell r="T694">
            <v>7</v>
          </cell>
          <cell r="U694" t="str">
            <v>ОВП</v>
          </cell>
          <cell r="W694" t="str">
            <v>ЛА (прихват ЭЦН). СИ. ПП. ГИС-2. ШГН</v>
          </cell>
          <cell r="X694" t="str">
            <v>СИ (ниже 2728). ПП 2720-24</v>
          </cell>
        </row>
        <row r="695">
          <cell r="B695">
            <v>4128</v>
          </cell>
          <cell r="C695">
            <v>315</v>
          </cell>
          <cell r="G695">
            <v>250</v>
          </cell>
          <cell r="H695" t="str">
            <v>ЭЦН</v>
          </cell>
          <cell r="I695" t="str">
            <v>действ.</v>
          </cell>
          <cell r="K695">
            <v>44</v>
          </cell>
          <cell r="L695">
            <v>0.9</v>
          </cell>
          <cell r="M695">
            <v>97.5</v>
          </cell>
          <cell r="N695">
            <v>60</v>
          </cell>
          <cell r="O695">
            <v>2.9</v>
          </cell>
          <cell r="P695">
            <v>94</v>
          </cell>
          <cell r="Q695">
            <v>16</v>
          </cell>
          <cell r="R695">
            <v>2</v>
          </cell>
          <cell r="W695" t="str">
            <v>ГИС-2. ОВП МЕТКА.</v>
          </cell>
          <cell r="X695" t="str">
            <v>ИХН АН</v>
          </cell>
        </row>
        <row r="696">
          <cell r="B696">
            <v>4155</v>
          </cell>
          <cell r="C696">
            <v>172</v>
          </cell>
          <cell r="G696">
            <v>250</v>
          </cell>
          <cell r="H696" t="str">
            <v>нагнет.</v>
          </cell>
          <cell r="I696" t="str">
            <v>конс.</v>
          </cell>
          <cell r="N696">
            <v>250</v>
          </cell>
          <cell r="Q696">
            <v>250</v>
          </cell>
          <cell r="R696">
            <v>0</v>
          </cell>
          <cell r="W696" t="str">
            <v>ОТСК, дострел ЮК11</v>
          </cell>
          <cell r="X696" t="str">
            <v>утилизация</v>
          </cell>
        </row>
        <row r="697">
          <cell r="B697">
            <v>4156</v>
          </cell>
          <cell r="C697">
            <v>172</v>
          </cell>
          <cell r="G697">
            <v>250</v>
          </cell>
          <cell r="H697" t="str">
            <v>нагнет.</v>
          </cell>
          <cell r="I697" t="str">
            <v>конс.</v>
          </cell>
          <cell r="Q697">
            <v>0</v>
          </cell>
          <cell r="W697" t="str">
            <v>ОТСК, дострел ЮК11</v>
          </cell>
          <cell r="Y697" t="str">
            <v>СИ 2810 и ниже</v>
          </cell>
          <cell r="AF697">
            <v>21</v>
          </cell>
          <cell r="AG697">
            <v>-37378</v>
          </cell>
          <cell r="AH697">
            <v>-1121340</v>
          </cell>
        </row>
        <row r="698">
          <cell r="B698">
            <v>4215</v>
          </cell>
          <cell r="C698" t="str">
            <v>314б</v>
          </cell>
          <cell r="G698">
            <v>255</v>
          </cell>
          <cell r="H698" t="str">
            <v>фон</v>
          </cell>
          <cell r="I698" t="str">
            <v>бд</v>
          </cell>
          <cell r="J698">
            <v>35716</v>
          </cell>
          <cell r="L698">
            <v>0</v>
          </cell>
          <cell r="N698">
            <v>30</v>
          </cell>
          <cell r="O698">
            <v>1</v>
          </cell>
          <cell r="P698">
            <v>95.8</v>
          </cell>
          <cell r="Q698">
            <v>30</v>
          </cell>
          <cell r="R698">
            <v>1</v>
          </cell>
          <cell r="S698">
            <v>95.9</v>
          </cell>
          <cell r="T698">
            <v>37378</v>
          </cell>
          <cell r="U698" t="str">
            <v>ОВП</v>
          </cell>
          <cell r="W698" t="str">
            <v>СИ 2810 и ниже</v>
          </cell>
          <cell r="X698" t="str">
            <v>УОПР-800</v>
          </cell>
          <cell r="AF698">
            <v>10</v>
          </cell>
          <cell r="AG698">
            <v>44</v>
          </cell>
          <cell r="AH698">
            <v>2200</v>
          </cell>
        </row>
        <row r="699">
          <cell r="B699">
            <v>4216</v>
          </cell>
          <cell r="C699" t="str">
            <v>314б</v>
          </cell>
          <cell r="G699">
            <v>255</v>
          </cell>
          <cell r="H699" t="str">
            <v>ЭЦН</v>
          </cell>
          <cell r="I699" t="str">
            <v>конс.</v>
          </cell>
          <cell r="J699">
            <v>35716</v>
          </cell>
          <cell r="L699">
            <v>0</v>
          </cell>
          <cell r="N699">
            <v>50</v>
          </cell>
          <cell r="O699">
            <v>1</v>
          </cell>
          <cell r="P699">
            <v>97.6</v>
          </cell>
          <cell r="Q699">
            <v>50</v>
          </cell>
          <cell r="R699">
            <v>1</v>
          </cell>
          <cell r="S699">
            <v>97.5</v>
          </cell>
          <cell r="T699">
            <v>37213</v>
          </cell>
          <cell r="U699" t="str">
            <v>бдк</v>
          </cell>
          <cell r="W699" t="str">
            <v>ГИС-2</v>
          </cell>
          <cell r="X699" t="str">
            <v>УОПР-800</v>
          </cell>
          <cell r="AF699">
            <v>9</v>
          </cell>
          <cell r="AG699">
            <v>58</v>
          </cell>
          <cell r="AH699">
            <v>3480</v>
          </cell>
        </row>
        <row r="700">
          <cell r="B700">
            <v>4217</v>
          </cell>
          <cell r="C700" t="str">
            <v>314б</v>
          </cell>
          <cell r="G700">
            <v>255</v>
          </cell>
          <cell r="H700" t="str">
            <v>ЭЦН</v>
          </cell>
          <cell r="I700" t="str">
            <v>конс.</v>
          </cell>
          <cell r="J700">
            <v>34304</v>
          </cell>
          <cell r="L700">
            <v>0</v>
          </cell>
          <cell r="N700">
            <v>60</v>
          </cell>
          <cell r="O700">
            <v>1</v>
          </cell>
          <cell r="P700">
            <v>97.892720306513411</v>
          </cell>
          <cell r="Q700">
            <v>60</v>
          </cell>
          <cell r="R700">
            <v>1</v>
          </cell>
          <cell r="S700">
            <v>97.9</v>
          </cell>
          <cell r="T700">
            <v>37230</v>
          </cell>
          <cell r="U700" t="str">
            <v>бдк</v>
          </cell>
          <cell r="W700" t="str">
            <v>УГИС. ЭЦН</v>
          </cell>
          <cell r="X700" t="str">
            <v>УОПР-800</v>
          </cell>
          <cell r="AF700">
            <v>21</v>
          </cell>
          <cell r="AG700">
            <v>-37356</v>
          </cell>
          <cell r="AH700">
            <v>-1867800</v>
          </cell>
        </row>
        <row r="701">
          <cell r="B701">
            <v>4218</v>
          </cell>
          <cell r="C701" t="str">
            <v>314б</v>
          </cell>
          <cell r="G701">
            <v>255</v>
          </cell>
          <cell r="H701" t="str">
            <v>ЭЦН</v>
          </cell>
          <cell r="I701" t="str">
            <v>конс.</v>
          </cell>
          <cell r="J701">
            <v>35716</v>
          </cell>
          <cell r="L701">
            <v>0</v>
          </cell>
          <cell r="N701">
            <v>50</v>
          </cell>
          <cell r="O701">
            <v>1</v>
          </cell>
          <cell r="P701">
            <v>97.47126436781609</v>
          </cell>
          <cell r="Q701">
            <v>50</v>
          </cell>
          <cell r="R701">
            <v>1</v>
          </cell>
          <cell r="S701">
            <v>97.5</v>
          </cell>
          <cell r="T701">
            <v>37356</v>
          </cell>
          <cell r="U701" t="str">
            <v>бдк</v>
          </cell>
          <cell r="W701" t="str">
            <v>ГДИ ЦНИПР. УГИС</v>
          </cell>
          <cell r="X701" t="str">
            <v>УОПР-800</v>
          </cell>
          <cell r="Y701" t="str">
            <v>На забое ЭЦН</v>
          </cell>
          <cell r="AF701">
            <v>32</v>
          </cell>
          <cell r="AG701">
            <v>-55926</v>
          </cell>
          <cell r="AH701">
            <v>-559260</v>
          </cell>
        </row>
        <row r="702">
          <cell r="B702">
            <v>4266</v>
          </cell>
          <cell r="C702">
            <v>219</v>
          </cell>
          <cell r="G702">
            <v>255</v>
          </cell>
          <cell r="H702" t="str">
            <v>ЭЦН</v>
          </cell>
          <cell r="I702" t="str">
            <v>бд</v>
          </cell>
          <cell r="J702">
            <v>35158</v>
          </cell>
          <cell r="L702">
            <v>0</v>
          </cell>
          <cell r="N702">
            <v>15</v>
          </cell>
          <cell r="O702">
            <v>1.5</v>
          </cell>
          <cell r="P702">
            <v>88</v>
          </cell>
          <cell r="Q702">
            <v>15</v>
          </cell>
          <cell r="R702">
            <v>1.5</v>
          </cell>
          <cell r="S702">
            <v>87.7</v>
          </cell>
          <cell r="T702">
            <v>37284</v>
          </cell>
          <cell r="U702" t="str">
            <v>ЛА</v>
          </cell>
          <cell r="W702" t="str">
            <v>ВЦ. ЛА (на забое ЭЦН). СИ низа. ПП. ОПЗ</v>
          </cell>
          <cell r="X702" t="str">
            <v>Освоение УГИС. УОПР-800</v>
          </cell>
          <cell r="Y702" t="str">
            <v>Предпол. отсутствие забоя 2752 м</v>
          </cell>
          <cell r="AF702">
            <v>21</v>
          </cell>
          <cell r="AG702">
            <v>-56001</v>
          </cell>
          <cell r="AH702">
            <v>-1493360</v>
          </cell>
        </row>
        <row r="703">
          <cell r="B703">
            <v>4268</v>
          </cell>
          <cell r="C703">
            <v>219</v>
          </cell>
          <cell r="G703">
            <v>250</v>
          </cell>
          <cell r="H703" t="str">
            <v>Ф/ЭЦН</v>
          </cell>
          <cell r="I703" t="str">
            <v>конс.</v>
          </cell>
          <cell r="J703">
            <v>35596</v>
          </cell>
          <cell r="L703">
            <v>0</v>
          </cell>
          <cell r="N703">
            <v>40</v>
          </cell>
          <cell r="O703">
            <v>1.5</v>
          </cell>
          <cell r="P703">
            <v>95.3</v>
          </cell>
          <cell r="Q703">
            <v>40</v>
          </cell>
          <cell r="R703">
            <v>1.5</v>
          </cell>
          <cell r="S703">
            <v>95.4</v>
          </cell>
          <cell r="T703">
            <v>37334</v>
          </cell>
          <cell r="U703" t="str">
            <v>ОВП</v>
          </cell>
          <cell r="W703" t="str">
            <v>ВЗ. СИ низа. ПП 2743-48, УГИС, ГИС-2</v>
          </cell>
          <cell r="X703" t="str">
            <v>УОПР-800</v>
          </cell>
          <cell r="Y703" t="str">
            <v>предпол. о смещении ЭК</v>
          </cell>
          <cell r="AF703">
            <v>27</v>
          </cell>
          <cell r="AG703">
            <v>-37312</v>
          </cell>
          <cell r="AH703">
            <v>-746240</v>
          </cell>
        </row>
        <row r="704">
          <cell r="B704">
            <v>4319</v>
          </cell>
          <cell r="C704">
            <v>219</v>
          </cell>
          <cell r="G704">
            <v>255</v>
          </cell>
          <cell r="H704" t="str">
            <v>ЭЦН</v>
          </cell>
          <cell r="I704" t="str">
            <v>бд</v>
          </cell>
          <cell r="J704">
            <v>34850</v>
          </cell>
          <cell r="L704">
            <v>0</v>
          </cell>
          <cell r="N704">
            <v>20</v>
          </cell>
          <cell r="O704">
            <v>1</v>
          </cell>
          <cell r="P704">
            <v>94</v>
          </cell>
          <cell r="Q704">
            <v>20</v>
          </cell>
          <cell r="R704">
            <v>1</v>
          </cell>
          <cell r="S704">
            <v>93.8</v>
          </cell>
          <cell r="T704">
            <v>37312</v>
          </cell>
          <cell r="U704" t="str">
            <v>ОВП</v>
          </cell>
          <cell r="W704" t="str">
            <v>ГИС-2. СИ. ПП ДН. ГДИ</v>
          </cell>
          <cell r="X704" t="str">
            <v>УОПР-800</v>
          </cell>
          <cell r="AF704">
            <v>27</v>
          </cell>
          <cell r="AG704">
            <v>-55877</v>
          </cell>
          <cell r="AH704">
            <v>-1117530</v>
          </cell>
        </row>
        <row r="705">
          <cell r="B705">
            <v>4321</v>
          </cell>
          <cell r="C705">
            <v>219</v>
          </cell>
          <cell r="G705">
            <v>240</v>
          </cell>
          <cell r="H705" t="str">
            <v>ЭЦН</v>
          </cell>
          <cell r="I705" t="str">
            <v>конс.</v>
          </cell>
          <cell r="J705">
            <v>33970</v>
          </cell>
          <cell r="L705">
            <v>0</v>
          </cell>
          <cell r="N705">
            <v>30</v>
          </cell>
          <cell r="O705">
            <v>1.5</v>
          </cell>
          <cell r="P705">
            <v>93.8</v>
          </cell>
          <cell r="Q705">
            <v>30</v>
          </cell>
          <cell r="R705">
            <v>1.5</v>
          </cell>
          <cell r="S705">
            <v>93.8</v>
          </cell>
          <cell r="T705">
            <v>37251</v>
          </cell>
          <cell r="U705" t="str">
            <v>ОВП</v>
          </cell>
          <cell r="W705" t="str">
            <v>ВЦ. СИ 2676 и ниже, УГИС</v>
          </cell>
          <cell r="X705" t="str">
            <v>УОПР-800</v>
          </cell>
        </row>
        <row r="706">
          <cell r="B706">
            <v>4323</v>
          </cell>
          <cell r="C706">
            <v>218</v>
          </cell>
          <cell r="G706">
            <v>250</v>
          </cell>
          <cell r="H706" t="str">
            <v>ЭЦН</v>
          </cell>
          <cell r="I706" t="str">
            <v>бд</v>
          </cell>
          <cell r="K706">
            <v>49</v>
          </cell>
          <cell r="L706">
            <v>2</v>
          </cell>
          <cell r="M706">
            <v>95</v>
          </cell>
          <cell r="N706">
            <v>49</v>
          </cell>
          <cell r="O706">
            <v>2</v>
          </cell>
          <cell r="P706">
            <v>95</v>
          </cell>
          <cell r="Q706">
            <v>49</v>
          </cell>
          <cell r="R706">
            <v>2</v>
          </cell>
          <cell r="S706">
            <v>95</v>
          </cell>
          <cell r="T706">
            <v>38027</v>
          </cell>
          <cell r="U706" t="str">
            <v>БДП</v>
          </cell>
          <cell r="W706" t="str">
            <v>Смена Э-50</v>
          </cell>
          <cell r="X706" t="str">
            <v>ИХН АН</v>
          </cell>
        </row>
        <row r="707">
          <cell r="B707">
            <v>5218</v>
          </cell>
          <cell r="C707">
            <v>134</v>
          </cell>
          <cell r="F707" t="str">
            <v>УПНПиКРС</v>
          </cell>
          <cell r="G707">
            <v>245</v>
          </cell>
          <cell r="H707" t="str">
            <v>ШГН</v>
          </cell>
          <cell r="I707" t="str">
            <v>конс.</v>
          </cell>
          <cell r="K707">
            <v>21</v>
          </cell>
          <cell r="L707">
            <v>0.9</v>
          </cell>
          <cell r="M707">
            <v>95</v>
          </cell>
          <cell r="N707">
            <v>20</v>
          </cell>
          <cell r="O707">
            <v>3</v>
          </cell>
          <cell r="P707">
            <v>81.5</v>
          </cell>
          <cell r="Q707">
            <v>20</v>
          </cell>
          <cell r="R707">
            <v>3</v>
          </cell>
          <cell r="S707">
            <v>81.5</v>
          </cell>
          <cell r="U707" t="str">
            <v>ОПЗ</v>
          </cell>
          <cell r="W707" t="str">
            <v>ВЦ. ГИС-2. ИДН</v>
          </cell>
          <cell r="X707" t="str">
            <v>Возм.перевод на выш.пласт</v>
          </cell>
          <cell r="Y707" t="str">
            <v>+30</v>
          </cell>
          <cell r="Z707">
            <v>2930</v>
          </cell>
          <cell r="AA707">
            <v>73</v>
          </cell>
          <cell r="AB707" t="str">
            <v>06/98</v>
          </cell>
          <cell r="AF707">
            <v>18</v>
          </cell>
        </row>
        <row r="708">
          <cell r="B708">
            <v>5234</v>
          </cell>
          <cell r="C708">
            <v>140</v>
          </cell>
          <cell r="F708" t="str">
            <v>УПНПиКРС</v>
          </cell>
          <cell r="G708">
            <v>290</v>
          </cell>
          <cell r="H708" t="str">
            <v>нагнет.</v>
          </cell>
          <cell r="I708" t="str">
            <v>действ.</v>
          </cell>
          <cell r="K708">
            <v>340</v>
          </cell>
          <cell r="N708">
            <v>250</v>
          </cell>
          <cell r="Q708">
            <v>250</v>
          </cell>
          <cell r="R708">
            <v>0</v>
          </cell>
          <cell r="U708" t="str">
            <v>ВВП</v>
          </cell>
          <cell r="W708" t="str">
            <v>ГИС-3. ВПП ГАЛКА. ГИС-3</v>
          </cell>
          <cell r="X708" t="str">
            <v>крайний срок - 20 октября</v>
          </cell>
        </row>
        <row r="709">
          <cell r="B709">
            <v>5240</v>
          </cell>
          <cell r="C709">
            <v>134</v>
          </cell>
          <cell r="F709" t="str">
            <v>УПНПиКРС</v>
          </cell>
          <cell r="G709">
            <v>255</v>
          </cell>
          <cell r="H709" t="str">
            <v>ЭЦН</v>
          </cell>
          <cell r="I709" t="str">
            <v>конс.</v>
          </cell>
          <cell r="K709">
            <v>69</v>
          </cell>
          <cell r="L709">
            <v>1.7</v>
          </cell>
          <cell r="M709">
            <v>97</v>
          </cell>
          <cell r="N709">
            <v>80</v>
          </cell>
          <cell r="O709">
            <v>3.1</v>
          </cell>
          <cell r="P709">
            <v>95.3</v>
          </cell>
          <cell r="Q709">
            <v>80</v>
          </cell>
          <cell r="R709">
            <v>3.1</v>
          </cell>
          <cell r="S709">
            <v>95.2</v>
          </cell>
          <cell r="U709" t="str">
            <v>ВЦ</v>
          </cell>
          <cell r="W709" t="str">
            <v>ВЦ. ГИС-2. Спуск ЭЦН</v>
          </cell>
          <cell r="X709" t="str">
            <v>Электропрогрев выполнен (лом -620)</v>
          </cell>
        </row>
        <row r="710">
          <cell r="B710">
            <v>5241</v>
          </cell>
          <cell r="C710">
            <v>134</v>
          </cell>
          <cell r="F710" t="str">
            <v>УПНПиКРС</v>
          </cell>
          <cell r="G710">
            <v>255</v>
          </cell>
          <cell r="H710" t="str">
            <v>ЭЦН</v>
          </cell>
          <cell r="I710" t="str">
            <v>конс.</v>
          </cell>
          <cell r="K710">
            <v>41</v>
          </cell>
          <cell r="L710">
            <v>1.7</v>
          </cell>
          <cell r="M710">
            <v>95</v>
          </cell>
          <cell r="N710">
            <v>50</v>
          </cell>
          <cell r="O710">
            <v>4</v>
          </cell>
          <cell r="P710">
            <v>90.2</v>
          </cell>
          <cell r="Q710">
            <v>50</v>
          </cell>
          <cell r="R710">
            <v>4</v>
          </cell>
          <cell r="S710">
            <v>90.1</v>
          </cell>
          <cell r="U710" t="str">
            <v>ВЦ</v>
          </cell>
          <cell r="W710" t="str">
            <v>ВЦ. ГИС-2. Спуск ЭЦН</v>
          </cell>
          <cell r="X710" t="str">
            <v>ЭП выполнен, ЭЦН с КРБК на забое</v>
          </cell>
          <cell r="Y710" t="str">
            <v>Хвостовик на забое. Предположительно сужение колонны.</v>
          </cell>
          <cell r="Z710">
            <v>2362</v>
          </cell>
        </row>
        <row r="711">
          <cell r="B711">
            <v>5287</v>
          </cell>
          <cell r="C711">
            <v>141</v>
          </cell>
          <cell r="F711" t="str">
            <v>УПНПиКРС</v>
          </cell>
          <cell r="G711">
            <v>270</v>
          </cell>
          <cell r="H711" t="str">
            <v>ЭЦН</v>
          </cell>
          <cell r="I711" t="str">
            <v>бд</v>
          </cell>
          <cell r="N711">
            <v>50</v>
          </cell>
          <cell r="O711">
            <v>20.399999999999999</v>
          </cell>
          <cell r="P711">
            <v>50</v>
          </cell>
          <cell r="Q711">
            <v>50</v>
          </cell>
          <cell r="R711">
            <v>20.399999999999999</v>
          </cell>
          <cell r="S711">
            <v>49.6</v>
          </cell>
          <cell r="U711" t="str">
            <v>збс</v>
          </cell>
          <cell r="W711" t="str">
            <v>ПР ЗБС,ЗБС</v>
          </cell>
          <cell r="Y711" t="str">
            <v xml:space="preserve">Полет 112 НКТ+хв.60м </v>
          </cell>
          <cell r="AA711">
            <v>73</v>
          </cell>
          <cell r="AB711" t="str">
            <v>июн 93</v>
          </cell>
        </row>
        <row r="712">
          <cell r="B712">
            <v>5289</v>
          </cell>
          <cell r="C712">
            <v>133</v>
          </cell>
          <cell r="F712" t="str">
            <v>УПНПиКРС</v>
          </cell>
          <cell r="G712">
            <v>245</v>
          </cell>
          <cell r="H712" t="str">
            <v>ШГН</v>
          </cell>
          <cell r="I712" t="str">
            <v>конс.</v>
          </cell>
          <cell r="K712">
            <v>2</v>
          </cell>
          <cell r="L712">
            <v>1.6</v>
          </cell>
          <cell r="M712">
            <v>0</v>
          </cell>
          <cell r="N712">
            <v>10</v>
          </cell>
          <cell r="O712">
            <v>5.0999999999999996</v>
          </cell>
          <cell r="P712">
            <v>38</v>
          </cell>
          <cell r="Q712">
            <v>10</v>
          </cell>
          <cell r="R712">
            <v>5.0999999999999996</v>
          </cell>
          <cell r="S712">
            <v>37</v>
          </cell>
          <cell r="U712" t="str">
            <v>ЛА</v>
          </cell>
          <cell r="W712" t="str">
            <v>ЛА. ГИС-2. ПП. УГИС. (Либо, возврат ЮК-2-9)</v>
          </cell>
          <cell r="X712" t="str">
            <v>Извлечение НКТ</v>
          </cell>
        </row>
        <row r="713">
          <cell r="B713">
            <v>5291</v>
          </cell>
          <cell r="C713">
            <v>134</v>
          </cell>
          <cell r="F713" t="str">
            <v>УПНПиКРС</v>
          </cell>
          <cell r="G713">
            <v>220</v>
          </cell>
          <cell r="H713" t="str">
            <v>ЭЦН</v>
          </cell>
          <cell r="I713" t="str">
            <v>действ.</v>
          </cell>
          <cell r="K713">
            <v>15</v>
          </cell>
          <cell r="L713">
            <v>9.3000000000000007</v>
          </cell>
          <cell r="M713">
            <v>24</v>
          </cell>
          <cell r="N713">
            <v>15</v>
          </cell>
          <cell r="O713">
            <v>9.3000000000000007</v>
          </cell>
          <cell r="P713">
            <v>24</v>
          </cell>
          <cell r="Q713">
            <v>0</v>
          </cell>
          <cell r="R713">
            <v>0</v>
          </cell>
          <cell r="S713" t="e">
            <v>#DIV/0!</v>
          </cell>
          <cell r="U713" t="str">
            <v>ЛА</v>
          </cell>
          <cell r="W713" t="str">
            <v>ЛА.сп. НН-44</v>
          </cell>
        </row>
        <row r="714">
          <cell r="B714">
            <v>5292</v>
          </cell>
          <cell r="C714">
            <v>134</v>
          </cell>
          <cell r="F714" t="str">
            <v>УПНПиКРС</v>
          </cell>
          <cell r="G714">
            <v>270</v>
          </cell>
          <cell r="H714" t="str">
            <v>ЭЦН</v>
          </cell>
          <cell r="I714" t="str">
            <v>действ.</v>
          </cell>
          <cell r="K714">
            <v>155</v>
          </cell>
          <cell r="L714">
            <v>3.8</v>
          </cell>
          <cell r="M714">
            <v>97</v>
          </cell>
          <cell r="N714">
            <v>155</v>
          </cell>
          <cell r="O714">
            <v>7.6</v>
          </cell>
          <cell r="P714">
            <v>94</v>
          </cell>
          <cell r="Q714">
            <v>0</v>
          </cell>
          <cell r="R714">
            <v>3.8</v>
          </cell>
          <cell r="U714" t="str">
            <v>ОВП</v>
          </cell>
          <cell r="W714" t="str">
            <v>ГИС-2. ОВП (ЭМКО)</v>
          </cell>
          <cell r="X714" t="str">
            <v>ПермНИПИ</v>
          </cell>
        </row>
        <row r="715">
          <cell r="B715">
            <v>5293</v>
          </cell>
          <cell r="C715">
            <v>134</v>
          </cell>
          <cell r="F715" t="str">
            <v>УПНПиКРС</v>
          </cell>
          <cell r="G715">
            <v>270</v>
          </cell>
          <cell r="H715" t="str">
            <v>ЭЦН</v>
          </cell>
          <cell r="I715" t="str">
            <v>конс.</v>
          </cell>
          <cell r="K715">
            <v>53</v>
          </cell>
          <cell r="L715">
            <v>0.9</v>
          </cell>
          <cell r="M715">
            <v>98</v>
          </cell>
          <cell r="N715">
            <v>50</v>
          </cell>
          <cell r="O715">
            <v>3.1</v>
          </cell>
          <cell r="P715">
            <v>92.5</v>
          </cell>
          <cell r="Q715">
            <v>50</v>
          </cell>
          <cell r="R715">
            <v>3.1</v>
          </cell>
          <cell r="S715">
            <v>92.3</v>
          </cell>
          <cell r="U715" t="str">
            <v>ОВП</v>
          </cell>
          <cell r="W715" t="str">
            <v>ВЦ. ГИС-2. ОВП (МЕТКА). ГИС-2</v>
          </cell>
          <cell r="X715" t="str">
            <v>Электропрогрев выполнен</v>
          </cell>
          <cell r="Y715" t="str">
            <v>+17</v>
          </cell>
          <cell r="Z715">
            <v>2905</v>
          </cell>
          <cell r="AA715">
            <v>73</v>
          </cell>
          <cell r="AB715">
            <v>34973</v>
          </cell>
          <cell r="AF715">
            <v>39</v>
          </cell>
          <cell r="AG715">
            <v>-923849</v>
          </cell>
          <cell r="AH715">
            <v>-2798382</v>
          </cell>
        </row>
        <row r="716">
          <cell r="B716">
            <v>5313</v>
          </cell>
          <cell r="C716">
            <v>141</v>
          </cell>
          <cell r="F716" t="str">
            <v>УПНПиКРС</v>
          </cell>
          <cell r="G716">
            <v>270</v>
          </cell>
          <cell r="H716" t="str">
            <v>ЭЦН</v>
          </cell>
          <cell r="I716" t="str">
            <v>бд</v>
          </cell>
          <cell r="N716">
            <v>50</v>
          </cell>
          <cell r="O716">
            <v>20.399999999999999</v>
          </cell>
          <cell r="P716">
            <v>50</v>
          </cell>
          <cell r="Q716">
            <v>50</v>
          </cell>
          <cell r="R716">
            <v>20.399999999999999</v>
          </cell>
          <cell r="S716">
            <v>49.6</v>
          </cell>
          <cell r="U716" t="str">
            <v>збс</v>
          </cell>
          <cell r="W716" t="str">
            <v>ПР ЗБС,ЗБС</v>
          </cell>
        </row>
        <row r="717">
          <cell r="B717">
            <v>5318</v>
          </cell>
          <cell r="C717">
            <v>134</v>
          </cell>
          <cell r="G717">
            <v>232.4</v>
          </cell>
          <cell r="H717" t="str">
            <v>нагнет.</v>
          </cell>
          <cell r="I717" t="str">
            <v>бд</v>
          </cell>
          <cell r="N717">
            <v>300</v>
          </cell>
          <cell r="Q717">
            <v>300</v>
          </cell>
          <cell r="R717">
            <v>0</v>
          </cell>
          <cell r="U717" t="str">
            <v>нг</v>
          </cell>
          <cell r="W717" t="str">
            <v>Спуск и привязка пакера, Запуск в ППД</v>
          </cell>
          <cell r="X717" t="str">
            <v>Уменьшить штуцер через 3 мес.</v>
          </cell>
        </row>
        <row r="718">
          <cell r="B718">
            <v>5331</v>
          </cell>
          <cell r="C718">
            <v>139</v>
          </cell>
          <cell r="H718" t="str">
            <v>ШГН</v>
          </cell>
          <cell r="I718" t="str">
            <v>действ.</v>
          </cell>
          <cell r="K718">
            <v>13</v>
          </cell>
          <cell r="L718">
            <v>9.9</v>
          </cell>
          <cell r="M718">
            <v>7</v>
          </cell>
          <cell r="N718">
            <v>30</v>
          </cell>
          <cell r="O718">
            <v>19</v>
          </cell>
          <cell r="P718">
            <v>22.2</v>
          </cell>
          <cell r="Q718">
            <v>17</v>
          </cell>
          <cell r="R718">
            <v>9.1</v>
          </cell>
          <cell r="S718">
            <v>33.9</v>
          </cell>
          <cell r="U718" t="str">
            <v>ГРП</v>
          </cell>
          <cell r="W718" t="str">
            <v>ГРП</v>
          </cell>
        </row>
        <row r="719">
          <cell r="B719">
            <v>5362</v>
          </cell>
          <cell r="C719">
            <v>109</v>
          </cell>
          <cell r="F719" t="str">
            <v>УПНПиКРС</v>
          </cell>
          <cell r="G719">
            <v>275</v>
          </cell>
          <cell r="H719" t="str">
            <v>ШГН</v>
          </cell>
          <cell r="I719" t="str">
            <v>конс.</v>
          </cell>
          <cell r="K719">
            <v>9</v>
          </cell>
          <cell r="L719">
            <v>0.3</v>
          </cell>
          <cell r="M719">
            <v>96</v>
          </cell>
          <cell r="N719">
            <v>30</v>
          </cell>
          <cell r="O719">
            <v>5</v>
          </cell>
          <cell r="P719">
            <v>79.5</v>
          </cell>
          <cell r="Q719">
            <v>30</v>
          </cell>
          <cell r="R719">
            <v>5</v>
          </cell>
          <cell r="S719">
            <v>79.400000000000006</v>
          </cell>
          <cell r="T719">
            <v>37837</v>
          </cell>
          <cell r="U719" t="str">
            <v>ОВП</v>
          </cell>
          <cell r="W719" t="str">
            <v>ИРЮК11. ГИС-2. ПП (УГИС)</v>
          </cell>
          <cell r="AF719">
            <v>24</v>
          </cell>
          <cell r="AG719">
            <v>-918620</v>
          </cell>
          <cell r="AH719">
            <v>-3049360</v>
          </cell>
        </row>
        <row r="720">
          <cell r="B720">
            <v>5371</v>
          </cell>
          <cell r="C720">
            <v>102</v>
          </cell>
          <cell r="F720" t="str">
            <v>ЗАО "УПКРС"</v>
          </cell>
          <cell r="G720">
            <v>250</v>
          </cell>
          <cell r="H720" t="str">
            <v>нагнет.</v>
          </cell>
          <cell r="I720" t="str">
            <v>бд</v>
          </cell>
          <cell r="J720">
            <v>35779</v>
          </cell>
          <cell r="N720">
            <v>120</v>
          </cell>
          <cell r="Q720">
            <v>120</v>
          </cell>
          <cell r="R720">
            <v>0</v>
          </cell>
          <cell r="T720">
            <v>38113</v>
          </cell>
          <cell r="U720" t="str">
            <v>нг</v>
          </cell>
          <cell r="V720">
            <v>4</v>
          </cell>
          <cell r="W720" t="str">
            <v>ОТСК. Запуск ППД</v>
          </cell>
          <cell r="Y720" t="str">
            <v>Полет НКТ</v>
          </cell>
          <cell r="Z720">
            <v>120</v>
          </cell>
          <cell r="AF720">
            <v>26</v>
          </cell>
          <cell r="AG720">
            <v>0</v>
          </cell>
          <cell r="AH720">
            <v>-960</v>
          </cell>
        </row>
        <row r="721">
          <cell r="B721">
            <v>5372</v>
          </cell>
          <cell r="C721">
            <v>102</v>
          </cell>
          <cell r="F721" t="str">
            <v>ЗАО "УПКРС"</v>
          </cell>
          <cell r="G721">
            <v>250</v>
          </cell>
          <cell r="H721" t="str">
            <v>нагнет.</v>
          </cell>
          <cell r="I721" t="str">
            <v>конс.</v>
          </cell>
          <cell r="J721">
            <v>32843</v>
          </cell>
          <cell r="N721">
            <v>120</v>
          </cell>
          <cell r="Q721">
            <v>120</v>
          </cell>
          <cell r="R721">
            <v>0</v>
          </cell>
          <cell r="T721">
            <v>8</v>
          </cell>
          <cell r="U721" t="str">
            <v>нг</v>
          </cell>
          <cell r="W721" t="str">
            <v>ЛА (извлечение НКТ). ОТСК. Запуск ППД</v>
          </cell>
          <cell r="X721" t="str">
            <v>Забой - 120 м</v>
          </cell>
          <cell r="Y721" t="str">
            <v>зумпф-1м (нижн. интерв.изолир.)</v>
          </cell>
          <cell r="Z721">
            <v>2733.6</v>
          </cell>
          <cell r="AA721">
            <v>73</v>
          </cell>
          <cell r="AB721">
            <v>39541</v>
          </cell>
          <cell r="AC721">
            <v>223.1</v>
          </cell>
          <cell r="AF721">
            <v>36</v>
          </cell>
          <cell r="AG721">
            <v>0</v>
          </cell>
          <cell r="AH721">
            <v>-360</v>
          </cell>
        </row>
        <row r="722">
          <cell r="B722">
            <v>5373</v>
          </cell>
          <cell r="C722">
            <v>103</v>
          </cell>
          <cell r="F722" t="str">
            <v>ЗАО "УПКРС"</v>
          </cell>
          <cell r="G722">
            <v>233</v>
          </cell>
          <cell r="H722" t="str">
            <v>нагнет.</v>
          </cell>
          <cell r="I722" t="str">
            <v>конс.</v>
          </cell>
          <cell r="J722">
            <v>34474</v>
          </cell>
          <cell r="N722">
            <v>120</v>
          </cell>
          <cell r="Q722">
            <v>120</v>
          </cell>
          <cell r="R722">
            <v>0</v>
          </cell>
          <cell r="T722">
            <v>3</v>
          </cell>
          <cell r="U722" t="str">
            <v>нг</v>
          </cell>
          <cell r="W722" t="str">
            <v>ОТСК. ГИС-3. Ликвидация ЗКЦ?</v>
          </cell>
          <cell r="Y722" t="str">
            <v>+19</v>
          </cell>
          <cell r="Z722">
            <v>2767</v>
          </cell>
          <cell r="AC722">
            <v>224.5</v>
          </cell>
          <cell r="AF722">
            <v>35</v>
          </cell>
          <cell r="AG722">
            <v>0</v>
          </cell>
          <cell r="AH722">
            <v>-360</v>
          </cell>
        </row>
        <row r="723">
          <cell r="B723">
            <v>5374</v>
          </cell>
          <cell r="C723">
            <v>103</v>
          </cell>
          <cell r="F723" t="str">
            <v>ЗАО "УПКРС"</v>
          </cell>
          <cell r="G723">
            <v>234</v>
          </cell>
          <cell r="H723" t="str">
            <v>нагнет.</v>
          </cell>
          <cell r="I723" t="str">
            <v>бд</v>
          </cell>
          <cell r="J723">
            <v>34474</v>
          </cell>
          <cell r="N723">
            <v>120</v>
          </cell>
          <cell r="Q723">
            <v>120</v>
          </cell>
          <cell r="R723">
            <v>0</v>
          </cell>
          <cell r="T723">
            <v>3</v>
          </cell>
          <cell r="U723" t="str">
            <v>нг</v>
          </cell>
          <cell r="W723" t="str">
            <v>ВЗ. ОТСК</v>
          </cell>
          <cell r="AF723">
            <v>11</v>
          </cell>
          <cell r="AG723">
            <v>0</v>
          </cell>
          <cell r="AH723">
            <v>-3800600</v>
          </cell>
        </row>
        <row r="724">
          <cell r="B724">
            <v>5389</v>
          </cell>
          <cell r="C724">
            <v>109</v>
          </cell>
          <cell r="F724" t="str">
            <v>УПНПиКРС</v>
          </cell>
          <cell r="G724">
            <v>280</v>
          </cell>
          <cell r="H724" t="str">
            <v>нагнет.</v>
          </cell>
          <cell r="I724" t="str">
            <v>бд</v>
          </cell>
          <cell r="J724">
            <v>36458</v>
          </cell>
          <cell r="N724">
            <v>100</v>
          </cell>
          <cell r="Q724">
            <v>100</v>
          </cell>
          <cell r="T724">
            <v>38006</v>
          </cell>
          <cell r="U724" t="str">
            <v>нг</v>
          </cell>
          <cell r="W724" t="str">
            <v>ВЦ.ОТСК.ПП.ГКО .Сп.пакера ППД</v>
          </cell>
          <cell r="X724" t="str">
            <v>Закачка от КНС-1</v>
          </cell>
          <cell r="AF724">
            <v>24</v>
          </cell>
          <cell r="AG724">
            <v>0</v>
          </cell>
          <cell r="AH724">
            <v>-300</v>
          </cell>
        </row>
        <row r="725">
          <cell r="B725">
            <v>5391</v>
          </cell>
          <cell r="C725">
            <v>109</v>
          </cell>
          <cell r="F725" t="str">
            <v>УПНПиКРС</v>
          </cell>
          <cell r="G725">
            <v>285</v>
          </cell>
          <cell r="H725" t="str">
            <v>нагнет.</v>
          </cell>
          <cell r="I725" t="str">
            <v>бд</v>
          </cell>
          <cell r="J725">
            <v>34426</v>
          </cell>
          <cell r="N725">
            <v>100</v>
          </cell>
          <cell r="Q725">
            <v>100</v>
          </cell>
          <cell r="T725">
            <v>3</v>
          </cell>
          <cell r="U725" t="str">
            <v>нг</v>
          </cell>
          <cell r="W725" t="str">
            <v>ИР ЮК-11. ОПЗ. Пуск под закачку</v>
          </cell>
          <cell r="X725" t="str">
            <v>Закачка от КНС-1</v>
          </cell>
          <cell r="AF725">
            <v>32</v>
          </cell>
        </row>
        <row r="726">
          <cell r="B726">
            <v>5394</v>
          </cell>
          <cell r="C726">
            <v>101</v>
          </cell>
          <cell r="F726" t="str">
            <v>УПНПиКРС</v>
          </cell>
          <cell r="G726">
            <v>250</v>
          </cell>
          <cell r="H726" t="str">
            <v>фон</v>
          </cell>
          <cell r="I726" t="str">
            <v>бд</v>
          </cell>
          <cell r="J726">
            <v>34881</v>
          </cell>
          <cell r="K726">
            <v>5</v>
          </cell>
          <cell r="L726">
            <v>4.0999999999999996</v>
          </cell>
          <cell r="M726">
            <v>0</v>
          </cell>
          <cell r="N726">
            <v>7</v>
          </cell>
          <cell r="O726">
            <v>4</v>
          </cell>
          <cell r="P726">
            <v>30</v>
          </cell>
          <cell r="Q726">
            <v>7</v>
          </cell>
          <cell r="R726">
            <v>4</v>
          </cell>
          <cell r="S726">
            <v>29.5</v>
          </cell>
          <cell r="T726">
            <v>7</v>
          </cell>
          <cell r="U726" t="str">
            <v>ОПЗ</v>
          </cell>
          <cell r="W726" t="str">
            <v>ЛА. ПП. ОПЗ КСПЭО. ГДИ</v>
          </cell>
          <cell r="AF726">
            <v>39</v>
          </cell>
          <cell r="AG726">
            <v>-178703</v>
          </cell>
          <cell r="AH726">
            <v>-684396</v>
          </cell>
        </row>
        <row r="727">
          <cell r="B727">
            <v>3035</v>
          </cell>
          <cell r="C727">
            <v>67</v>
          </cell>
          <cell r="F727" t="str">
            <v>УПНПиКРС</v>
          </cell>
          <cell r="G727">
            <v>260</v>
          </cell>
          <cell r="H727" t="str">
            <v>ЭЦН</v>
          </cell>
          <cell r="I727" t="str">
            <v>бд</v>
          </cell>
          <cell r="N727">
            <v>50</v>
          </cell>
          <cell r="O727">
            <v>8.6</v>
          </cell>
          <cell r="P727">
            <v>79</v>
          </cell>
          <cell r="Q727">
            <v>50</v>
          </cell>
          <cell r="R727">
            <v>8.6</v>
          </cell>
          <cell r="S727">
            <v>79</v>
          </cell>
          <cell r="T727">
            <v>38179</v>
          </cell>
          <cell r="U727" t="str">
            <v>бдк</v>
          </cell>
          <cell r="W727" t="str">
            <v>ВЦ,ГИС-2(ИР ЮК-11) сп.Э-50</v>
          </cell>
        </row>
        <row r="728">
          <cell r="B728">
            <v>5443</v>
          </cell>
          <cell r="C728">
            <v>108</v>
          </cell>
          <cell r="F728" t="str">
            <v>УПНПиКРС</v>
          </cell>
          <cell r="G728">
            <v>242</v>
          </cell>
          <cell r="H728" t="str">
            <v>ЭЦН</v>
          </cell>
          <cell r="I728" t="str">
            <v>бд</v>
          </cell>
          <cell r="J728">
            <v>35097</v>
          </cell>
          <cell r="N728">
            <v>80</v>
          </cell>
          <cell r="O728">
            <v>22.8</v>
          </cell>
          <cell r="P728">
            <v>65</v>
          </cell>
          <cell r="Q728">
            <v>80</v>
          </cell>
          <cell r="R728">
            <v>22.8</v>
          </cell>
          <cell r="S728">
            <v>65</v>
          </cell>
          <cell r="T728">
            <v>38142</v>
          </cell>
          <cell r="U728" t="str">
            <v>ГРП</v>
          </cell>
          <cell r="W728" t="str">
            <v>ВЦ,ОТСК,ИР ЮК-11,ГРП ЮК-10,сп.Э-80</v>
          </cell>
          <cell r="AF728">
            <v>29</v>
          </cell>
          <cell r="AG728">
            <v>-732</v>
          </cell>
          <cell r="AH728">
            <v>-1830</v>
          </cell>
        </row>
        <row r="729">
          <cell r="B729">
            <v>2529</v>
          </cell>
          <cell r="C729" t="str">
            <v>36б</v>
          </cell>
          <cell r="F729" t="str">
            <v>НвБН</v>
          </cell>
          <cell r="G729">
            <v>260</v>
          </cell>
          <cell r="H729" t="str">
            <v>ЭЦН</v>
          </cell>
          <cell r="I729" t="str">
            <v>нов</v>
          </cell>
          <cell r="N729">
            <v>125</v>
          </cell>
          <cell r="O729">
            <v>70.3</v>
          </cell>
          <cell r="P729">
            <v>31</v>
          </cell>
          <cell r="Q729">
            <v>125</v>
          </cell>
          <cell r="R729">
            <v>71.3</v>
          </cell>
          <cell r="S729">
            <v>30</v>
          </cell>
          <cell r="T729">
            <v>38139</v>
          </cell>
          <cell r="U729" t="str">
            <v>новая</v>
          </cell>
          <cell r="W729" t="str">
            <v>бурение,ГРП ЮК-10,осв., сп.Э-125</v>
          </cell>
        </row>
        <row r="730">
          <cell r="B730">
            <v>2593</v>
          </cell>
          <cell r="C730" t="str">
            <v>36б</v>
          </cell>
          <cell r="F730" t="str">
            <v>НвБН</v>
          </cell>
          <cell r="G730">
            <v>260</v>
          </cell>
          <cell r="H730" t="str">
            <v>ЭЦН</v>
          </cell>
          <cell r="I730" t="str">
            <v>нов</v>
          </cell>
          <cell r="N730">
            <v>125</v>
          </cell>
          <cell r="O730">
            <v>70.3</v>
          </cell>
          <cell r="P730">
            <v>31</v>
          </cell>
          <cell r="Q730">
            <v>125</v>
          </cell>
          <cell r="R730">
            <v>71.3</v>
          </cell>
          <cell r="S730">
            <v>30</v>
          </cell>
          <cell r="T730">
            <v>38139</v>
          </cell>
          <cell r="U730" t="str">
            <v>новая</v>
          </cell>
          <cell r="W730" t="str">
            <v>бурение,ГРП ЮК-10,осв., сп.Э-125</v>
          </cell>
        </row>
        <row r="731">
          <cell r="B731">
            <v>2484</v>
          </cell>
          <cell r="C731">
            <v>37</v>
          </cell>
          <cell r="F731" t="str">
            <v>НвБН</v>
          </cell>
          <cell r="G731">
            <v>260</v>
          </cell>
          <cell r="H731" t="str">
            <v>ЭЦН</v>
          </cell>
          <cell r="I731" t="str">
            <v>нов</v>
          </cell>
          <cell r="N731">
            <v>125</v>
          </cell>
          <cell r="O731">
            <v>70.3</v>
          </cell>
          <cell r="P731">
            <v>31</v>
          </cell>
          <cell r="Q731">
            <v>125</v>
          </cell>
          <cell r="R731">
            <v>71.3</v>
          </cell>
          <cell r="S731">
            <v>30</v>
          </cell>
          <cell r="T731">
            <v>38139</v>
          </cell>
          <cell r="U731" t="str">
            <v>новая</v>
          </cell>
          <cell r="W731" t="str">
            <v>бурение,ГРП ЮК-10,осв., сп.Э-125</v>
          </cell>
        </row>
        <row r="732">
          <cell r="B732">
            <v>2592</v>
          </cell>
          <cell r="C732" t="str">
            <v>36б</v>
          </cell>
          <cell r="F732" t="str">
            <v>НвБН</v>
          </cell>
          <cell r="G732">
            <v>260</v>
          </cell>
          <cell r="H732" t="str">
            <v>ЭЦН</v>
          </cell>
          <cell r="I732" t="str">
            <v>нов</v>
          </cell>
          <cell r="N732">
            <v>80</v>
          </cell>
          <cell r="O732">
            <v>46.9</v>
          </cell>
          <cell r="P732">
            <v>28</v>
          </cell>
          <cell r="Q732">
            <v>80</v>
          </cell>
          <cell r="R732">
            <v>46.9</v>
          </cell>
          <cell r="S732">
            <v>28</v>
          </cell>
          <cell r="T732">
            <v>38209</v>
          </cell>
          <cell r="U732" t="str">
            <v>новая</v>
          </cell>
          <cell r="W732" t="str">
            <v>бурение,ГРП ЮК-10,осв., сп.Э-80</v>
          </cell>
        </row>
        <row r="733">
          <cell r="B733">
            <v>2591</v>
          </cell>
          <cell r="C733" t="str">
            <v>36б</v>
          </cell>
          <cell r="F733" t="str">
            <v>НвБН</v>
          </cell>
          <cell r="G733">
            <v>260</v>
          </cell>
          <cell r="H733" t="str">
            <v>ЭЦН</v>
          </cell>
          <cell r="I733" t="str">
            <v>нов</v>
          </cell>
          <cell r="N733">
            <v>80</v>
          </cell>
          <cell r="O733">
            <v>46.9</v>
          </cell>
          <cell r="P733">
            <v>28</v>
          </cell>
          <cell r="Q733">
            <v>80</v>
          </cell>
          <cell r="R733">
            <v>46.9</v>
          </cell>
          <cell r="S733">
            <v>28</v>
          </cell>
          <cell r="T733">
            <v>38242</v>
          </cell>
          <cell r="U733" t="str">
            <v>новая</v>
          </cell>
          <cell r="W733" t="str">
            <v>бурение,ГРП ЮК-10,осв., сп.Э-80</v>
          </cell>
        </row>
        <row r="734">
          <cell r="B734">
            <v>2466</v>
          </cell>
          <cell r="C734">
            <v>37</v>
          </cell>
          <cell r="F734" t="str">
            <v>НвБН</v>
          </cell>
          <cell r="G734">
            <v>260</v>
          </cell>
          <cell r="H734" t="str">
            <v>ЭЦН</v>
          </cell>
          <cell r="I734" t="str">
            <v>действ.</v>
          </cell>
          <cell r="K734">
            <v>101</v>
          </cell>
          <cell r="L734">
            <v>78.8</v>
          </cell>
          <cell r="M734">
            <v>3</v>
          </cell>
          <cell r="N734">
            <v>134</v>
          </cell>
          <cell r="O734">
            <v>105.9</v>
          </cell>
          <cell r="P734">
            <v>3</v>
          </cell>
          <cell r="Q734">
            <v>33</v>
          </cell>
          <cell r="R734">
            <v>26.1</v>
          </cell>
          <cell r="S734">
            <v>3</v>
          </cell>
          <cell r="T734">
            <v>38416</v>
          </cell>
          <cell r="U734" t="str">
            <v>опт</v>
          </cell>
          <cell r="W734" t="str">
            <v>см.Э-80/Э-125</v>
          </cell>
        </row>
        <row r="735">
          <cell r="B735">
            <v>2488</v>
          </cell>
          <cell r="C735">
            <v>37</v>
          </cell>
          <cell r="F735" t="str">
            <v>НвБН</v>
          </cell>
          <cell r="H735" t="str">
            <v>ЭЦН</v>
          </cell>
          <cell r="I735" t="str">
            <v>нов</v>
          </cell>
          <cell r="N735">
            <v>125</v>
          </cell>
          <cell r="O735">
            <v>20.399999999999999</v>
          </cell>
          <cell r="P735">
            <v>80</v>
          </cell>
          <cell r="Q735">
            <v>125</v>
          </cell>
          <cell r="R735">
            <v>20.399999999999999</v>
          </cell>
          <cell r="S735">
            <v>80</v>
          </cell>
          <cell r="T735">
            <v>38212</v>
          </cell>
          <cell r="U735" t="str">
            <v>новая</v>
          </cell>
          <cell r="W735" t="str">
            <v>бурение,ГРП ЮК-10,осв.сп.Э-80,ВНР,ГИС-2,ЗКЦ, сп.Э-125</v>
          </cell>
        </row>
        <row r="736">
          <cell r="B736">
            <v>2440</v>
          </cell>
          <cell r="C736">
            <v>37</v>
          </cell>
          <cell r="F736" t="str">
            <v>НвБН</v>
          </cell>
          <cell r="H736" t="str">
            <v>ЭЦН</v>
          </cell>
          <cell r="I736" t="str">
            <v>бд</v>
          </cell>
          <cell r="T736">
            <v>38439</v>
          </cell>
          <cell r="U736" t="str">
            <v>нг</v>
          </cell>
          <cell r="W736" t="str">
            <v>ОПЗ, перевод в ППД</v>
          </cell>
        </row>
        <row r="737">
          <cell r="B737">
            <v>5455</v>
          </cell>
          <cell r="C737">
            <v>102</v>
          </cell>
          <cell r="G737">
            <v>240</v>
          </cell>
          <cell r="H737" t="str">
            <v>ШГН</v>
          </cell>
          <cell r="I737" t="str">
            <v>конс.</v>
          </cell>
          <cell r="J737">
            <v>32843</v>
          </cell>
          <cell r="K737">
            <v>7</v>
          </cell>
          <cell r="L737">
            <v>5</v>
          </cell>
          <cell r="M737">
            <v>12</v>
          </cell>
          <cell r="N737">
            <v>18</v>
          </cell>
          <cell r="O737">
            <v>10</v>
          </cell>
          <cell r="P737">
            <v>31.5</v>
          </cell>
          <cell r="Q737">
            <v>18</v>
          </cell>
          <cell r="R737">
            <v>10</v>
          </cell>
          <cell r="S737">
            <v>31.4</v>
          </cell>
          <cell r="W737" t="str">
            <v>ВЦ. ИР ЮК-10. ГДИ. ПП ДН. ГРП ЮК 2-3</v>
          </cell>
          <cell r="Y737" t="str">
            <v>+53</v>
          </cell>
          <cell r="Z737">
            <v>3033</v>
          </cell>
          <cell r="AG737">
            <v>0</v>
          </cell>
          <cell r="AH737">
            <v>0</v>
          </cell>
        </row>
        <row r="738">
          <cell r="B738">
            <v>5460</v>
          </cell>
          <cell r="C738">
            <v>104</v>
          </cell>
          <cell r="F738" t="str">
            <v>УПНПиКРС</v>
          </cell>
          <cell r="G738">
            <v>275</v>
          </cell>
          <cell r="H738" t="str">
            <v>ЭЦН</v>
          </cell>
          <cell r="I738" t="str">
            <v>бд</v>
          </cell>
          <cell r="J738">
            <v>34138</v>
          </cell>
          <cell r="K738">
            <v>0</v>
          </cell>
          <cell r="L738">
            <v>0</v>
          </cell>
          <cell r="M738">
            <v>0</v>
          </cell>
          <cell r="N738">
            <v>80</v>
          </cell>
          <cell r="O738">
            <v>22.8</v>
          </cell>
          <cell r="P738">
            <v>65</v>
          </cell>
          <cell r="Q738">
            <v>80</v>
          </cell>
          <cell r="R738">
            <v>22.8</v>
          </cell>
          <cell r="S738">
            <v>65</v>
          </cell>
          <cell r="T738">
            <v>38155</v>
          </cell>
          <cell r="U738" t="str">
            <v>ГРП</v>
          </cell>
          <cell r="W738" t="str">
            <v>ВЦ, ЛА,ПР ГРП ЮК-10,сп.Э-80</v>
          </cell>
          <cell r="X738" t="str">
            <v>ВЦ субподрядом. МЕТКА</v>
          </cell>
          <cell r="Y738" t="str">
            <v>перекрыт ИП - 10 м</v>
          </cell>
        </row>
        <row r="739">
          <cell r="B739">
            <v>5461</v>
          </cell>
          <cell r="C739">
            <v>104</v>
          </cell>
          <cell r="F739" t="str">
            <v>УПНПиКРС</v>
          </cell>
          <cell r="G739">
            <v>280</v>
          </cell>
          <cell r="H739" t="str">
            <v>ЭЦН</v>
          </cell>
          <cell r="I739" t="str">
            <v>конс.</v>
          </cell>
          <cell r="K739">
            <v>14</v>
          </cell>
          <cell r="L739">
            <v>0.6</v>
          </cell>
          <cell r="M739">
            <v>95</v>
          </cell>
          <cell r="N739">
            <v>50</v>
          </cell>
          <cell r="O739">
            <v>3.1</v>
          </cell>
          <cell r="P739">
            <v>92.5</v>
          </cell>
          <cell r="Q739">
            <v>50</v>
          </cell>
          <cell r="R739">
            <v>3.1</v>
          </cell>
          <cell r="S739">
            <v>92.3</v>
          </cell>
          <cell r="W739" t="str">
            <v>ВЦ. ВЗ. ГИС-2. Спуск ЭЦН</v>
          </cell>
          <cell r="X739" t="str">
            <v>ОВП по результатам эксплуатации</v>
          </cell>
          <cell r="AF739">
            <v>30</v>
          </cell>
        </row>
        <row r="740">
          <cell r="B740">
            <v>5482</v>
          </cell>
          <cell r="C740">
            <v>114</v>
          </cell>
          <cell r="F740" t="str">
            <v>УПНПиКРС</v>
          </cell>
          <cell r="G740">
            <v>216</v>
          </cell>
          <cell r="H740" t="str">
            <v>ШГН</v>
          </cell>
          <cell r="I740" t="str">
            <v>конс.</v>
          </cell>
          <cell r="L740">
            <v>0</v>
          </cell>
          <cell r="N740">
            <v>18</v>
          </cell>
          <cell r="O740">
            <v>10</v>
          </cell>
          <cell r="P740">
            <v>31.5</v>
          </cell>
          <cell r="Q740">
            <v>18</v>
          </cell>
          <cell r="R740">
            <v>10</v>
          </cell>
          <cell r="S740">
            <v>31.4</v>
          </cell>
          <cell r="U740" t="str">
            <v>ВВ</v>
          </cell>
          <cell r="W740" t="str">
            <v>ИР ЮК10. ДП(ДН), ГРП ЮК-2-6</v>
          </cell>
          <cell r="X740" t="str">
            <v>Отложена</v>
          </cell>
          <cell r="Y740" t="str">
            <v>ОЦ5.10.99</v>
          </cell>
          <cell r="AF740">
            <v>25</v>
          </cell>
        </row>
        <row r="741">
          <cell r="B741">
            <v>5511</v>
          </cell>
          <cell r="C741">
            <v>114</v>
          </cell>
          <cell r="F741" t="str">
            <v>ЗАО "УПКРС"</v>
          </cell>
          <cell r="G741">
            <v>245</v>
          </cell>
          <cell r="H741" t="str">
            <v>ШГН</v>
          </cell>
          <cell r="I741" t="str">
            <v>бд</v>
          </cell>
          <cell r="N741">
            <v>5</v>
          </cell>
          <cell r="O741">
            <v>3.9</v>
          </cell>
          <cell r="P741">
            <v>5</v>
          </cell>
          <cell r="Q741">
            <v>5</v>
          </cell>
          <cell r="R741">
            <v>3.9</v>
          </cell>
          <cell r="S741">
            <v>5</v>
          </cell>
          <cell r="T741">
            <v>38175</v>
          </cell>
          <cell r="U741" t="str">
            <v>ВЦД</v>
          </cell>
          <cell r="W741" t="str">
            <v>ВЦ."БАРС".Смена НН-32</v>
          </cell>
          <cell r="Y741" t="str">
            <v>+41</v>
          </cell>
          <cell r="Z741">
            <v>2725</v>
          </cell>
          <cell r="AA741">
            <v>73</v>
          </cell>
          <cell r="AB741">
            <v>32695</v>
          </cell>
          <cell r="AF741">
            <v>30</v>
          </cell>
        </row>
        <row r="742">
          <cell r="B742">
            <v>5561</v>
          </cell>
          <cell r="C742">
            <v>119</v>
          </cell>
          <cell r="F742" t="str">
            <v>УПНПиКРС</v>
          </cell>
          <cell r="G742">
            <v>264</v>
          </cell>
          <cell r="H742" t="str">
            <v>ШГН</v>
          </cell>
          <cell r="I742" t="str">
            <v>бд</v>
          </cell>
          <cell r="J742">
            <v>37123</v>
          </cell>
          <cell r="K742">
            <v>0</v>
          </cell>
          <cell r="L742">
            <v>0</v>
          </cell>
          <cell r="M742">
            <v>0</v>
          </cell>
          <cell r="N742">
            <v>80</v>
          </cell>
          <cell r="O742">
            <v>22.8</v>
          </cell>
          <cell r="P742">
            <v>65</v>
          </cell>
          <cell r="Q742">
            <v>80</v>
          </cell>
          <cell r="R742">
            <v>22.8</v>
          </cell>
          <cell r="S742">
            <v>65</v>
          </cell>
          <cell r="T742">
            <v>38142</v>
          </cell>
          <cell r="U742" t="str">
            <v>ГРП</v>
          </cell>
          <cell r="V742">
            <v>2</v>
          </cell>
          <cell r="W742" t="str">
            <v>ВЦ,ГИС-2(ИР ЮК-11),ГРП ЮК-10,сп.Э-80</v>
          </cell>
          <cell r="X742" t="str">
            <v>ЮК-10 перф-н многократно</v>
          </cell>
          <cell r="AF742">
            <v>30</v>
          </cell>
        </row>
        <row r="743">
          <cell r="B743">
            <v>5563</v>
          </cell>
          <cell r="C743">
            <v>119</v>
          </cell>
          <cell r="F743" t="str">
            <v>УПНПиКРС</v>
          </cell>
          <cell r="G743">
            <v>255</v>
          </cell>
          <cell r="H743" t="str">
            <v>ЭЦН</v>
          </cell>
          <cell r="I743" t="str">
            <v>бд</v>
          </cell>
          <cell r="J743">
            <v>36418</v>
          </cell>
          <cell r="K743">
            <v>40</v>
          </cell>
          <cell r="L743">
            <v>6.5</v>
          </cell>
          <cell r="M743">
            <v>80</v>
          </cell>
          <cell r="N743">
            <v>50</v>
          </cell>
          <cell r="O743">
            <v>8</v>
          </cell>
          <cell r="P743">
            <v>80.400000000000006</v>
          </cell>
          <cell r="Q743">
            <v>50</v>
          </cell>
          <cell r="R743">
            <v>8</v>
          </cell>
          <cell r="S743">
            <v>80.2</v>
          </cell>
          <cell r="T743">
            <v>37311</v>
          </cell>
          <cell r="U743" t="str">
            <v>ОПЗ</v>
          </cell>
          <cell r="V743">
            <v>3</v>
          </cell>
          <cell r="W743" t="str">
            <v>ЛА. ПП. УГИС</v>
          </cell>
          <cell r="AF743">
            <v>26</v>
          </cell>
          <cell r="AG743" t="e">
            <v>#REF!</v>
          </cell>
          <cell r="AH743" t="e">
            <v>#REF!</v>
          </cell>
        </row>
        <row r="744">
          <cell r="B744">
            <v>5579</v>
          </cell>
          <cell r="C744">
            <v>115</v>
          </cell>
          <cell r="F744" t="str">
            <v>УПНПиКРС</v>
          </cell>
          <cell r="G744">
            <v>245</v>
          </cell>
          <cell r="H744" t="str">
            <v>ЭЦН</v>
          </cell>
          <cell r="I744" t="str">
            <v>конс.</v>
          </cell>
          <cell r="J744">
            <v>34883</v>
          </cell>
          <cell r="K744">
            <v>46</v>
          </cell>
          <cell r="L744">
            <v>1.9</v>
          </cell>
          <cell r="M744">
            <v>95</v>
          </cell>
          <cell r="N744">
            <v>50</v>
          </cell>
          <cell r="O744">
            <v>4</v>
          </cell>
          <cell r="P744">
            <v>90.2</v>
          </cell>
          <cell r="Q744">
            <v>50</v>
          </cell>
          <cell r="R744">
            <v>4</v>
          </cell>
          <cell r="S744">
            <v>90.1</v>
          </cell>
          <cell r="T744" t="e">
            <v>#REF!</v>
          </cell>
          <cell r="U744" t="str">
            <v>ВЦ</v>
          </cell>
          <cell r="W744" t="str">
            <v>ВЦ. ВЗ. ГИС-2. УГИС. ЭЦН</v>
          </cell>
          <cell r="X744" t="str">
            <v>нет СК и карточки?</v>
          </cell>
          <cell r="AF744">
            <v>26</v>
          </cell>
        </row>
        <row r="745">
          <cell r="B745">
            <v>5583</v>
          </cell>
          <cell r="C745">
            <v>116</v>
          </cell>
          <cell r="F745" t="str">
            <v>УПНПиКРС</v>
          </cell>
          <cell r="G745">
            <v>250</v>
          </cell>
          <cell r="H745" t="str">
            <v>ЭЦН</v>
          </cell>
          <cell r="I745" t="str">
            <v>конс.</v>
          </cell>
          <cell r="K745">
            <v>50</v>
          </cell>
          <cell r="L745">
            <v>1.6</v>
          </cell>
          <cell r="M745">
            <v>96</v>
          </cell>
          <cell r="N745">
            <v>30</v>
          </cell>
          <cell r="O745">
            <v>4</v>
          </cell>
          <cell r="P745">
            <v>83.5</v>
          </cell>
          <cell r="Q745">
            <v>30</v>
          </cell>
          <cell r="R745">
            <v>4</v>
          </cell>
          <cell r="S745">
            <v>83.5</v>
          </cell>
          <cell r="T745">
            <v>7</v>
          </cell>
          <cell r="U745" t="str">
            <v>ОПЗ</v>
          </cell>
          <cell r="W745" t="str">
            <v>ВЦ. ОПЗ КСПЭО. ГДИ</v>
          </cell>
          <cell r="Y745" t="str">
            <v>Прихват НКТ</v>
          </cell>
          <cell r="AF745">
            <v>30</v>
          </cell>
        </row>
        <row r="746">
          <cell r="B746">
            <v>5613</v>
          </cell>
          <cell r="C746">
            <v>115</v>
          </cell>
          <cell r="F746" t="str">
            <v>УПНПиКРС</v>
          </cell>
          <cell r="G746">
            <v>240</v>
          </cell>
          <cell r="H746" t="str">
            <v>ЭЦН</v>
          </cell>
          <cell r="I746" t="str">
            <v>конс.</v>
          </cell>
          <cell r="J746">
            <v>34883</v>
          </cell>
          <cell r="K746">
            <v>52</v>
          </cell>
          <cell r="L746">
            <v>1.7</v>
          </cell>
          <cell r="M746">
            <v>96</v>
          </cell>
          <cell r="N746">
            <v>50</v>
          </cell>
          <cell r="O746">
            <v>4</v>
          </cell>
          <cell r="P746">
            <v>90.2</v>
          </cell>
          <cell r="Q746">
            <v>50</v>
          </cell>
          <cell r="R746">
            <v>4</v>
          </cell>
          <cell r="S746">
            <v>90.1</v>
          </cell>
          <cell r="T746">
            <v>38340</v>
          </cell>
          <cell r="U746" t="str">
            <v>ОВП</v>
          </cell>
          <cell r="W746" t="str">
            <v>ВЗ. ГИС-2 (ЗКЦ). ИР. ПП. ОПЗ</v>
          </cell>
          <cell r="X746" t="str">
            <v>Что на забое?</v>
          </cell>
          <cell r="Y746" t="str">
            <v>+69</v>
          </cell>
          <cell r="Z746">
            <v>2924</v>
          </cell>
          <cell r="AA746">
            <v>73</v>
          </cell>
          <cell r="AB746">
            <v>36861</v>
          </cell>
          <cell r="AF746">
            <v>20</v>
          </cell>
        </row>
        <row r="747">
          <cell r="B747">
            <v>5642</v>
          </cell>
          <cell r="C747">
            <v>126</v>
          </cell>
          <cell r="F747" t="str">
            <v>УПНПиКРС</v>
          </cell>
          <cell r="G747">
            <v>230</v>
          </cell>
          <cell r="H747" t="str">
            <v>ШГН</v>
          </cell>
          <cell r="I747" t="str">
            <v>действ.</v>
          </cell>
          <cell r="K747">
            <v>7</v>
          </cell>
          <cell r="L747">
            <v>3.1</v>
          </cell>
          <cell r="M747">
            <v>45</v>
          </cell>
          <cell r="N747">
            <v>18</v>
          </cell>
          <cell r="O747">
            <v>10</v>
          </cell>
          <cell r="P747">
            <v>31.5</v>
          </cell>
          <cell r="Q747">
            <v>11</v>
          </cell>
          <cell r="R747">
            <v>6.9</v>
          </cell>
          <cell r="S747">
            <v>22.6</v>
          </cell>
          <cell r="U747" t="str">
            <v>ВВ</v>
          </cell>
          <cell r="W747" t="str">
            <v>ИР ЮК10-11, ДП(ДН), ГРП ЮК-4-5</v>
          </cell>
          <cell r="X747" t="str">
            <v>Целесообразность?</v>
          </cell>
          <cell r="AF747">
            <v>31</v>
          </cell>
          <cell r="AG747">
            <v>-149268</v>
          </cell>
          <cell r="AH747">
            <v>-298536</v>
          </cell>
        </row>
        <row r="748">
          <cell r="B748">
            <v>5642</v>
          </cell>
          <cell r="C748">
            <v>126</v>
          </cell>
          <cell r="F748" t="str">
            <v>УПНПиКРС</v>
          </cell>
          <cell r="G748">
            <v>230</v>
          </cell>
          <cell r="H748" t="str">
            <v>ШГН</v>
          </cell>
          <cell r="I748" t="str">
            <v>бд</v>
          </cell>
          <cell r="J748">
            <v>36997</v>
          </cell>
          <cell r="N748">
            <v>8</v>
          </cell>
          <cell r="O748">
            <v>4</v>
          </cell>
          <cell r="P748">
            <v>38</v>
          </cell>
          <cell r="Q748">
            <v>8</v>
          </cell>
          <cell r="R748">
            <v>4</v>
          </cell>
          <cell r="S748">
            <v>38.299999999999997</v>
          </cell>
          <cell r="T748">
            <v>37317</v>
          </cell>
          <cell r="U748" t="str">
            <v>ОПЗ</v>
          </cell>
          <cell r="W748" t="str">
            <v>ВЦ. ОПЗ НТПН. УГИС</v>
          </cell>
          <cell r="AF748">
            <v>44</v>
          </cell>
          <cell r="AG748">
            <v>-55</v>
          </cell>
          <cell r="AH748">
            <v>-330</v>
          </cell>
        </row>
        <row r="749">
          <cell r="B749">
            <v>5645</v>
          </cell>
          <cell r="C749">
            <v>126</v>
          </cell>
          <cell r="F749" t="str">
            <v>УПНПиКРС</v>
          </cell>
          <cell r="G749">
            <v>230</v>
          </cell>
          <cell r="H749" t="str">
            <v>ШГН</v>
          </cell>
          <cell r="I749" t="str">
            <v>конс.</v>
          </cell>
          <cell r="J749">
            <v>35435</v>
          </cell>
          <cell r="N749">
            <v>30</v>
          </cell>
          <cell r="O749">
            <v>5</v>
          </cell>
          <cell r="P749">
            <v>79.5</v>
          </cell>
          <cell r="Q749">
            <v>30</v>
          </cell>
          <cell r="R749">
            <v>5</v>
          </cell>
          <cell r="S749">
            <v>79.400000000000006</v>
          </cell>
          <cell r="T749">
            <v>11</v>
          </cell>
          <cell r="U749" t="str">
            <v>ОПЗ</v>
          </cell>
          <cell r="W749" t="str">
            <v>ВЦ. ПП (перфосреда). ЭЦН</v>
          </cell>
          <cell r="AF749">
            <v>29</v>
          </cell>
          <cell r="AG749">
            <v>-186735</v>
          </cell>
          <cell r="AH749">
            <v>-298776</v>
          </cell>
        </row>
        <row r="750">
          <cell r="B750">
            <v>5647</v>
          </cell>
          <cell r="C750">
            <v>125</v>
          </cell>
          <cell r="F750" t="str">
            <v>УПНПиКРС</v>
          </cell>
          <cell r="G750">
            <v>230</v>
          </cell>
          <cell r="H750" t="str">
            <v>ШГН</v>
          </cell>
          <cell r="I750" t="str">
            <v>бд</v>
          </cell>
          <cell r="N750">
            <v>12</v>
          </cell>
          <cell r="O750">
            <v>2.9</v>
          </cell>
          <cell r="P750">
            <v>70</v>
          </cell>
          <cell r="Q750">
            <v>12</v>
          </cell>
          <cell r="R750">
            <v>2.9</v>
          </cell>
          <cell r="S750">
            <v>70.2</v>
          </cell>
          <cell r="U750" t="str">
            <v>ОПЗ</v>
          </cell>
          <cell r="W750" t="str">
            <v>ВЦ. ПП (перфосреда) ОПЗ НТПН</v>
          </cell>
          <cell r="X750" t="str">
            <v>в эксп.не была</v>
          </cell>
          <cell r="AF750">
            <v>15</v>
          </cell>
          <cell r="AG750" t="e">
            <v>#REF!</v>
          </cell>
          <cell r="AH750" t="e">
            <v>#REF!</v>
          </cell>
        </row>
        <row r="751">
          <cell r="B751">
            <v>5704</v>
          </cell>
          <cell r="C751">
            <v>126</v>
          </cell>
          <cell r="F751" t="str">
            <v>УПНПиКРС</v>
          </cell>
          <cell r="G751">
            <v>230</v>
          </cell>
          <cell r="H751" t="str">
            <v>ШГН</v>
          </cell>
          <cell r="I751" t="str">
            <v>действ.</v>
          </cell>
          <cell r="K751">
            <v>3</v>
          </cell>
          <cell r="L751">
            <v>2.1</v>
          </cell>
          <cell r="M751">
            <v>16</v>
          </cell>
          <cell r="N751">
            <v>10</v>
          </cell>
          <cell r="O751">
            <v>6.6</v>
          </cell>
          <cell r="P751">
            <v>19</v>
          </cell>
          <cell r="Q751">
            <v>7</v>
          </cell>
          <cell r="R751">
            <v>4.5</v>
          </cell>
          <cell r="S751">
            <v>20.6</v>
          </cell>
          <cell r="T751" t="e">
            <v>#REF!</v>
          </cell>
          <cell r="U751" t="str">
            <v>ОПЗ</v>
          </cell>
          <cell r="W751" t="str">
            <v>ПП. ОПЗ КСПЭО. ГДИ</v>
          </cell>
          <cell r="X751" t="str">
            <v>Перестрел верха</v>
          </cell>
          <cell r="AF751">
            <v>35</v>
          </cell>
        </row>
        <row r="752">
          <cell r="B752">
            <v>5713</v>
          </cell>
          <cell r="C752">
            <v>127</v>
          </cell>
          <cell r="H752" t="str">
            <v>ЭЦН</v>
          </cell>
          <cell r="I752" t="str">
            <v>конс.</v>
          </cell>
          <cell r="J752">
            <v>35457</v>
          </cell>
          <cell r="N752">
            <v>50</v>
          </cell>
          <cell r="O752">
            <v>6.1</v>
          </cell>
          <cell r="P752">
            <v>85</v>
          </cell>
          <cell r="Q752">
            <v>50</v>
          </cell>
          <cell r="R752">
            <v>6.1</v>
          </cell>
          <cell r="S752">
            <v>84.9</v>
          </cell>
          <cell r="U752" t="str">
            <v>ОПЗ</v>
          </cell>
          <cell r="W752" t="str">
            <v>ВЦ, ОПЗ НТПН, УГИС</v>
          </cell>
          <cell r="AF752">
            <v>25</v>
          </cell>
        </row>
        <row r="753">
          <cell r="B753">
            <v>5800</v>
          </cell>
          <cell r="C753">
            <v>141</v>
          </cell>
          <cell r="F753" t="str">
            <v>ЗАО "УПКРС"</v>
          </cell>
          <cell r="G753">
            <v>281</v>
          </cell>
          <cell r="H753" t="str">
            <v>нагнет.</v>
          </cell>
          <cell r="I753" t="str">
            <v>бд</v>
          </cell>
          <cell r="J753">
            <v>36641</v>
          </cell>
          <cell r="N753">
            <v>150</v>
          </cell>
          <cell r="Q753">
            <v>150</v>
          </cell>
          <cell r="T753">
            <v>38136</v>
          </cell>
          <cell r="U753" t="str">
            <v>нг</v>
          </cell>
          <cell r="V753">
            <v>2</v>
          </cell>
          <cell r="W753" t="str">
            <v>Ревизия и привязка пакера, каверномер.</v>
          </cell>
          <cell r="AF753">
            <v>9</v>
          </cell>
        </row>
        <row r="754">
          <cell r="B754">
            <v>5807</v>
          </cell>
          <cell r="C754" t="str">
            <v>166б</v>
          </cell>
          <cell r="F754" t="str">
            <v>ЗАО "УПКРС"</v>
          </cell>
          <cell r="G754">
            <v>290</v>
          </cell>
          <cell r="H754" t="str">
            <v>нагнет.</v>
          </cell>
          <cell r="I754" t="str">
            <v>простой</v>
          </cell>
          <cell r="J754">
            <v>37166</v>
          </cell>
          <cell r="N754">
            <v>200</v>
          </cell>
          <cell r="Q754">
            <v>200</v>
          </cell>
          <cell r="T754">
            <v>11</v>
          </cell>
          <cell r="U754" t="str">
            <v>нг</v>
          </cell>
          <cell r="V754">
            <v>2</v>
          </cell>
          <cell r="W754" t="str">
            <v>Ревизия и привязка пакера, каверномер.</v>
          </cell>
          <cell r="Y754" t="str">
            <v>Негерметичность ЭК (2000г.)</v>
          </cell>
          <cell r="AF754">
            <v>21</v>
          </cell>
        </row>
        <row r="755">
          <cell r="B755">
            <v>5808</v>
          </cell>
          <cell r="C755">
            <v>141</v>
          </cell>
          <cell r="F755" t="str">
            <v>УПНПиКРС</v>
          </cell>
          <cell r="G755">
            <v>260</v>
          </cell>
          <cell r="H755" t="str">
            <v>ШГН</v>
          </cell>
          <cell r="I755" t="str">
            <v>бд</v>
          </cell>
          <cell r="J755">
            <v>33755</v>
          </cell>
          <cell r="K755">
            <v>3</v>
          </cell>
          <cell r="L755">
            <v>2.1</v>
          </cell>
          <cell r="M755">
            <v>15</v>
          </cell>
          <cell r="N755">
            <v>24</v>
          </cell>
          <cell r="O755">
            <v>10.5</v>
          </cell>
          <cell r="P755">
            <v>46.5</v>
          </cell>
          <cell r="Q755">
            <v>24</v>
          </cell>
          <cell r="R755">
            <v>10.5</v>
          </cell>
          <cell r="S755">
            <v>46</v>
          </cell>
          <cell r="T755">
            <v>15</v>
          </cell>
          <cell r="U755" t="str">
            <v>ГРП</v>
          </cell>
          <cell r="W755" t="str">
            <v>ЛН. ПР ГРП. ГРП ЮК-10</v>
          </cell>
          <cell r="Y755" t="str">
            <v>+20</v>
          </cell>
          <cell r="Z755">
            <v>2905</v>
          </cell>
          <cell r="AA755">
            <v>73</v>
          </cell>
          <cell r="AB755" t="str">
            <v>янв 97</v>
          </cell>
          <cell r="AF755">
            <v>18</v>
          </cell>
          <cell r="AG755">
            <v>-105</v>
          </cell>
          <cell r="AH755">
            <v>-150</v>
          </cell>
        </row>
        <row r="756">
          <cell r="B756">
            <v>5575</v>
          </cell>
          <cell r="C756">
            <v>114</v>
          </cell>
          <cell r="H756" t="str">
            <v>ШГН</v>
          </cell>
          <cell r="I756" t="str">
            <v>конс.</v>
          </cell>
          <cell r="J756">
            <v>35034</v>
          </cell>
          <cell r="K756">
            <v>1</v>
          </cell>
          <cell r="L756">
            <v>0</v>
          </cell>
          <cell r="M756">
            <v>99</v>
          </cell>
          <cell r="N756">
            <v>30</v>
          </cell>
          <cell r="O756">
            <v>12</v>
          </cell>
          <cell r="P756">
            <v>51</v>
          </cell>
          <cell r="Q756">
            <v>30</v>
          </cell>
          <cell r="R756">
            <v>12</v>
          </cell>
          <cell r="S756">
            <v>50.6</v>
          </cell>
          <cell r="U756" t="str">
            <v>ГРП</v>
          </cell>
          <cell r="W756" t="str">
            <v>РИР э/к,ГИС-2,ОТСК,ГРП.Переинт.2574-258м по гл.2364м,при наличии воды по ЮК-10 -ГРП ЮК-2</v>
          </cell>
        </row>
        <row r="757">
          <cell r="B757">
            <v>5579</v>
          </cell>
          <cell r="C757">
            <v>115</v>
          </cell>
          <cell r="I757" t="str">
            <v>конс.</v>
          </cell>
          <cell r="J757">
            <v>34883</v>
          </cell>
          <cell r="K757">
            <v>17</v>
          </cell>
          <cell r="L757">
            <v>1</v>
          </cell>
          <cell r="M757">
            <v>93</v>
          </cell>
          <cell r="O757">
            <v>0</v>
          </cell>
          <cell r="Q757">
            <v>0</v>
          </cell>
          <cell r="R757">
            <v>0</v>
          </cell>
          <cell r="S757" t="e">
            <v>#DIV/0!</v>
          </cell>
          <cell r="W757" t="str">
            <v>ВЦ,ВЗ,при наличии Нз-сп Э-50 (ГИС-2),при невозм.ВЗ-переинт.ЮК-2- 2490-2498м-ГРП</v>
          </cell>
          <cell r="AG757" t="e">
            <v>#REF!</v>
          </cell>
          <cell r="AH757" t="e">
            <v>#REF!</v>
          </cell>
        </row>
        <row r="760">
          <cell r="B760">
            <v>2754</v>
          </cell>
          <cell r="C760">
            <v>145</v>
          </cell>
          <cell r="I760" t="str">
            <v>конс.</v>
          </cell>
          <cell r="J760">
            <v>32843</v>
          </cell>
          <cell r="K760">
            <v>6</v>
          </cell>
          <cell r="L760">
            <v>0.5</v>
          </cell>
          <cell r="M760">
            <v>90</v>
          </cell>
          <cell r="N760">
            <v>30</v>
          </cell>
          <cell r="O760">
            <v>12</v>
          </cell>
          <cell r="P760">
            <v>51</v>
          </cell>
          <cell r="Q760">
            <v>30</v>
          </cell>
          <cell r="R760">
            <v>12</v>
          </cell>
          <cell r="S760">
            <v>50.6</v>
          </cell>
          <cell r="U760" t="str">
            <v>ГРП</v>
          </cell>
          <cell r="W760" t="str">
            <v>ГРП, возможно приобщение ЮК-11</v>
          </cell>
        </row>
        <row r="761">
          <cell r="B761">
            <v>2755</v>
          </cell>
          <cell r="C761">
            <v>145</v>
          </cell>
          <cell r="I761" t="str">
            <v>бд</v>
          </cell>
          <cell r="J761">
            <v>33968</v>
          </cell>
          <cell r="K761">
            <v>40</v>
          </cell>
          <cell r="L761">
            <v>1.6</v>
          </cell>
          <cell r="M761">
            <v>95</v>
          </cell>
          <cell r="N761">
            <v>30</v>
          </cell>
          <cell r="O761">
            <v>12</v>
          </cell>
          <cell r="P761">
            <v>51</v>
          </cell>
          <cell r="Q761">
            <v>30</v>
          </cell>
          <cell r="R761">
            <v>12</v>
          </cell>
          <cell r="S761">
            <v>50.6</v>
          </cell>
          <cell r="U761" t="str">
            <v>ГРП</v>
          </cell>
          <cell r="W761" t="str">
            <v>ГИС-2(и.о.) РИР ЮК-11, ГРП с отсыпкой низа ЮК-10</v>
          </cell>
        </row>
        <row r="762">
          <cell r="B762">
            <v>2756</v>
          </cell>
          <cell r="C762">
            <v>145</v>
          </cell>
          <cell r="I762" t="str">
            <v>бд</v>
          </cell>
          <cell r="J762">
            <v>35786</v>
          </cell>
          <cell r="K762">
            <v>70</v>
          </cell>
          <cell r="L762">
            <v>10.8</v>
          </cell>
          <cell r="M762">
            <v>81</v>
          </cell>
          <cell r="N762">
            <v>50</v>
          </cell>
          <cell r="O762">
            <v>10</v>
          </cell>
          <cell r="P762">
            <v>75.400000000000006</v>
          </cell>
          <cell r="Q762">
            <v>50</v>
          </cell>
          <cell r="R762">
            <v>10</v>
          </cell>
          <cell r="S762">
            <v>75.3</v>
          </cell>
          <cell r="U762" t="str">
            <v>РИР</v>
          </cell>
          <cell r="W762" t="str">
            <v>РИР Э/К 2562-2673, ПП-ЮК-10 с ОПЗ</v>
          </cell>
        </row>
        <row r="763">
          <cell r="B763">
            <v>2686</v>
          </cell>
          <cell r="C763" t="str">
            <v>160б</v>
          </cell>
          <cell r="H763" t="str">
            <v>ШГН</v>
          </cell>
          <cell r="I763" t="str">
            <v>конс.</v>
          </cell>
          <cell r="J763">
            <v>34060</v>
          </cell>
          <cell r="K763">
            <v>1</v>
          </cell>
          <cell r="L763">
            <v>0.8</v>
          </cell>
          <cell r="M763">
            <v>0</v>
          </cell>
          <cell r="N763">
            <v>30</v>
          </cell>
          <cell r="O763">
            <v>12</v>
          </cell>
          <cell r="P763">
            <v>51</v>
          </cell>
          <cell r="Q763">
            <v>30</v>
          </cell>
          <cell r="R763">
            <v>12</v>
          </cell>
          <cell r="S763">
            <v>50.6</v>
          </cell>
          <cell r="U763" t="str">
            <v>ГРП</v>
          </cell>
          <cell r="W763" t="str">
            <v>ВЦ,ВЗ,ДП ЮК-11,сп.Э</v>
          </cell>
        </row>
        <row r="764">
          <cell r="B764">
            <v>2836</v>
          </cell>
          <cell r="C764">
            <v>125</v>
          </cell>
          <cell r="I764" t="str">
            <v>конс.</v>
          </cell>
          <cell r="J764">
            <v>35684</v>
          </cell>
          <cell r="K764">
            <v>4</v>
          </cell>
          <cell r="L764">
            <v>1.1000000000000001</v>
          </cell>
          <cell r="M764">
            <v>66</v>
          </cell>
          <cell r="O764">
            <v>0</v>
          </cell>
          <cell r="Q764">
            <v>0</v>
          </cell>
          <cell r="R764">
            <v>0</v>
          </cell>
          <cell r="S764" t="e">
            <v>#DIV/0!</v>
          </cell>
          <cell r="W764" t="str">
            <v>ГИС-2,при отс.перетоков-опытно-пром.работы,ГРП п.А</v>
          </cell>
        </row>
        <row r="765">
          <cell r="B765">
            <v>5239</v>
          </cell>
          <cell r="C765">
            <v>133</v>
          </cell>
          <cell r="H765" t="str">
            <v>ШГН</v>
          </cell>
          <cell r="I765" t="str">
            <v>бд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6</v>
          </cell>
          <cell r="O765">
            <v>4</v>
          </cell>
          <cell r="P765">
            <v>19</v>
          </cell>
          <cell r="Q765">
            <v>6</v>
          </cell>
          <cell r="R765">
            <v>4</v>
          </cell>
          <cell r="S765">
            <v>17.7</v>
          </cell>
          <cell r="T765">
            <v>37884</v>
          </cell>
          <cell r="U765" t="str">
            <v>ВЦД</v>
          </cell>
          <cell r="W765" t="str">
            <v>ВЦ "Электропрогрев"</v>
          </cell>
          <cell r="AE765">
            <v>37879</v>
          </cell>
          <cell r="AG765">
            <v>1</v>
          </cell>
        </row>
        <row r="766">
          <cell r="B766">
            <v>5394</v>
          </cell>
          <cell r="C766">
            <v>102</v>
          </cell>
          <cell r="I766" t="str">
            <v>бд</v>
          </cell>
          <cell r="J766">
            <v>34881</v>
          </cell>
          <cell r="K766">
            <v>50</v>
          </cell>
          <cell r="L766">
            <v>0.4</v>
          </cell>
          <cell r="M766">
            <v>99</v>
          </cell>
          <cell r="N766">
            <v>30</v>
          </cell>
          <cell r="O766">
            <v>12</v>
          </cell>
          <cell r="P766">
            <v>51</v>
          </cell>
          <cell r="Q766">
            <v>30</v>
          </cell>
          <cell r="R766">
            <v>12</v>
          </cell>
          <cell r="S766">
            <v>50.6</v>
          </cell>
          <cell r="U766" t="str">
            <v>ГРП</v>
          </cell>
          <cell r="W766" t="str">
            <v>ЛА( полет НКТ ),ПП,при Q меньше 10м3/с-ГРП-+15т</v>
          </cell>
        </row>
        <row r="767">
          <cell r="B767">
            <v>5410</v>
          </cell>
          <cell r="C767">
            <v>105</v>
          </cell>
          <cell r="H767" t="str">
            <v>ШГН</v>
          </cell>
          <cell r="I767" t="str">
            <v>бд</v>
          </cell>
          <cell r="J767">
            <v>35361</v>
          </cell>
          <cell r="K767">
            <v>0</v>
          </cell>
          <cell r="L767">
            <v>0</v>
          </cell>
          <cell r="M767">
            <v>0</v>
          </cell>
          <cell r="N767">
            <v>80</v>
          </cell>
          <cell r="O767">
            <v>24.8</v>
          </cell>
          <cell r="P767">
            <v>62</v>
          </cell>
          <cell r="Q767">
            <v>80</v>
          </cell>
          <cell r="R767">
            <v>24.8</v>
          </cell>
          <cell r="S767">
            <v>61.7</v>
          </cell>
          <cell r="T767">
            <v>38210</v>
          </cell>
          <cell r="U767" t="str">
            <v>ГРП</v>
          </cell>
          <cell r="W767" t="str">
            <v>ВЦ,ГРП ЮК-10,сп.Э-80</v>
          </cell>
        </row>
        <row r="768">
          <cell r="B768">
            <v>5647</v>
          </cell>
          <cell r="C768">
            <v>125</v>
          </cell>
          <cell r="I768" t="str">
            <v>бд</v>
          </cell>
          <cell r="J768">
            <v>35401</v>
          </cell>
          <cell r="K768">
            <v>5</v>
          </cell>
          <cell r="L768">
            <v>0</v>
          </cell>
          <cell r="M768">
            <v>99</v>
          </cell>
          <cell r="O768">
            <v>0</v>
          </cell>
          <cell r="Q768">
            <v>0</v>
          </cell>
          <cell r="R768">
            <v>0</v>
          </cell>
          <cell r="S768" t="e">
            <v>#DIV/0!</v>
          </cell>
          <cell r="W768" t="str">
            <v>ЛА ( полет БТ ),РИР ниж.п.ЮК-10,перф.п.А,ГРП</v>
          </cell>
        </row>
        <row r="769">
          <cell r="B769">
            <v>5704</v>
          </cell>
          <cell r="C769">
            <v>126</v>
          </cell>
          <cell r="G769">
            <v>230</v>
          </cell>
          <cell r="H769" t="str">
            <v>ШГН</v>
          </cell>
          <cell r="I769" t="str">
            <v>бд</v>
          </cell>
          <cell r="J769">
            <v>37174</v>
          </cell>
          <cell r="K769">
            <v>2</v>
          </cell>
          <cell r="L769">
            <v>1.5</v>
          </cell>
          <cell r="M769">
            <v>5</v>
          </cell>
          <cell r="N769">
            <v>30</v>
          </cell>
          <cell r="O769">
            <v>12</v>
          </cell>
          <cell r="P769">
            <v>51</v>
          </cell>
          <cell r="Q769">
            <v>30</v>
          </cell>
          <cell r="R769">
            <v>12</v>
          </cell>
          <cell r="S769">
            <v>50.6</v>
          </cell>
          <cell r="U769" t="str">
            <v>ГРП</v>
          </cell>
          <cell r="W769" t="str">
            <v>ГРП п.А</v>
          </cell>
          <cell r="X769" t="str">
            <v>Перестрел верха</v>
          </cell>
        </row>
        <row r="770">
          <cell r="B770">
            <v>5815</v>
          </cell>
          <cell r="C770">
            <v>141</v>
          </cell>
          <cell r="H770" t="str">
            <v>ШГН</v>
          </cell>
          <cell r="I770" t="str">
            <v>действ.</v>
          </cell>
          <cell r="J770">
            <v>0</v>
          </cell>
          <cell r="K770">
            <v>11</v>
          </cell>
          <cell r="L770">
            <v>8.3000000000000007</v>
          </cell>
          <cell r="M770">
            <v>7</v>
          </cell>
          <cell r="N770">
            <v>30</v>
          </cell>
          <cell r="O770">
            <v>20.3</v>
          </cell>
          <cell r="P770">
            <v>17</v>
          </cell>
          <cell r="Q770">
            <v>19</v>
          </cell>
          <cell r="R770">
            <v>12</v>
          </cell>
          <cell r="S770">
            <v>22</v>
          </cell>
          <cell r="U770" t="str">
            <v>ГРП</v>
          </cell>
          <cell r="W770" t="str">
            <v xml:space="preserve">РИР (отсыпка)ЮК-11,ПП ЮК-10, ГРП </v>
          </cell>
          <cell r="Y770" t="str">
            <v>ОЦ5.10.99</v>
          </cell>
          <cell r="AD770">
            <v>37290</v>
          </cell>
          <cell r="AE770">
            <v>37336</v>
          </cell>
          <cell r="AF770">
            <v>46</v>
          </cell>
        </row>
        <row r="771">
          <cell r="Y771" t="str">
            <v>-</v>
          </cell>
          <cell r="Z771" t="str">
            <v>-</v>
          </cell>
          <cell r="AA771">
            <v>73</v>
          </cell>
          <cell r="AF771">
            <v>17</v>
          </cell>
          <cell r="AG771" t="e">
            <v>#REF!</v>
          </cell>
          <cell r="AH771" t="e">
            <v>#REF!</v>
          </cell>
        </row>
        <row r="772">
          <cell r="B772">
            <v>5371</v>
          </cell>
          <cell r="C772">
            <v>102</v>
          </cell>
          <cell r="G772">
            <v>250</v>
          </cell>
          <cell r="H772" t="str">
            <v>нагнет.</v>
          </cell>
          <cell r="I772" t="str">
            <v>бд</v>
          </cell>
          <cell r="J772">
            <v>35779</v>
          </cell>
          <cell r="K772">
            <v>240</v>
          </cell>
          <cell r="N772">
            <v>120</v>
          </cell>
          <cell r="Q772">
            <v>120</v>
          </cell>
          <cell r="R772">
            <v>0</v>
          </cell>
          <cell r="U772" t="str">
            <v>нг</v>
          </cell>
          <cell r="V772">
            <v>4</v>
          </cell>
          <cell r="W772" t="str">
            <v>ОТСК. Запуск ППД</v>
          </cell>
          <cell r="Y772" t="str">
            <v>Полет НКТ</v>
          </cell>
          <cell r="Z772">
            <v>120</v>
          </cell>
          <cell r="AF772">
            <v>26</v>
          </cell>
          <cell r="AG772">
            <v>0</v>
          </cell>
          <cell r="AH772">
            <v>0</v>
          </cell>
        </row>
        <row r="773">
          <cell r="B773">
            <v>5372</v>
          </cell>
          <cell r="C773">
            <v>102</v>
          </cell>
          <cell r="G773">
            <v>250</v>
          </cell>
          <cell r="H773" t="str">
            <v>нагнет.</v>
          </cell>
          <cell r="I773" t="str">
            <v>бд</v>
          </cell>
          <cell r="J773">
            <v>32843</v>
          </cell>
          <cell r="K773">
            <v>130</v>
          </cell>
          <cell r="N773">
            <v>120</v>
          </cell>
          <cell r="Q773">
            <v>120</v>
          </cell>
          <cell r="R773">
            <v>0</v>
          </cell>
          <cell r="U773" t="str">
            <v>нг</v>
          </cell>
          <cell r="W773" t="str">
            <v>ЛА (извлечение НКТ). ОТСК. Запуск ППД</v>
          </cell>
          <cell r="X773" t="str">
            <v>Забой - 120 м</v>
          </cell>
          <cell r="Y773" t="str">
            <v>зумпф-1м (нижн. интерв.изолир.)</v>
          </cell>
          <cell r="Z773">
            <v>2733.6</v>
          </cell>
          <cell r="AA773">
            <v>73</v>
          </cell>
          <cell r="AB773">
            <v>39541</v>
          </cell>
          <cell r="AC773">
            <v>223.1</v>
          </cell>
          <cell r="AF773">
            <v>36</v>
          </cell>
          <cell r="AG773">
            <v>0</v>
          </cell>
          <cell r="AH773">
            <v>0</v>
          </cell>
        </row>
        <row r="774">
          <cell r="B774">
            <v>5373</v>
          </cell>
          <cell r="C774">
            <v>103</v>
          </cell>
          <cell r="G774">
            <v>233</v>
          </cell>
          <cell r="H774" t="str">
            <v>нагнет.</v>
          </cell>
          <cell r="I774" t="str">
            <v>конс.</v>
          </cell>
          <cell r="J774">
            <v>34474</v>
          </cell>
          <cell r="K774">
            <v>375</v>
          </cell>
          <cell r="N774">
            <v>120</v>
          </cell>
          <cell r="Q774">
            <v>120</v>
          </cell>
          <cell r="R774">
            <v>0</v>
          </cell>
          <cell r="U774" t="str">
            <v>нг</v>
          </cell>
          <cell r="W774" t="str">
            <v>ОТСК. ГИС-3. Ликвидация ЗКЦ?</v>
          </cell>
          <cell r="Y774" t="str">
            <v>+19</v>
          </cell>
          <cell r="Z774">
            <v>2767</v>
          </cell>
          <cell r="AC774">
            <v>224.5</v>
          </cell>
          <cell r="AF774">
            <v>35</v>
          </cell>
          <cell r="AG774">
            <v>0</v>
          </cell>
          <cell r="AH774">
            <v>0</v>
          </cell>
        </row>
        <row r="775">
          <cell r="B775">
            <v>5374</v>
          </cell>
          <cell r="C775">
            <v>103</v>
          </cell>
          <cell r="G775">
            <v>234</v>
          </cell>
          <cell r="H775" t="str">
            <v>нагнет.</v>
          </cell>
          <cell r="I775" t="str">
            <v>конс.</v>
          </cell>
          <cell r="J775">
            <v>34474</v>
          </cell>
          <cell r="K775">
            <v>180</v>
          </cell>
          <cell r="N775">
            <v>120</v>
          </cell>
          <cell r="Q775">
            <v>120</v>
          </cell>
          <cell r="R775">
            <v>0</v>
          </cell>
          <cell r="U775" t="str">
            <v>нг</v>
          </cell>
          <cell r="W775" t="str">
            <v>ВЗ. ОТСК</v>
          </cell>
          <cell r="AF775">
            <v>11</v>
          </cell>
          <cell r="AG775">
            <v>0</v>
          </cell>
          <cell r="AH775">
            <v>0</v>
          </cell>
        </row>
        <row r="776">
          <cell r="B776">
            <v>5389</v>
          </cell>
          <cell r="C776">
            <v>109</v>
          </cell>
          <cell r="G776">
            <v>280</v>
          </cell>
          <cell r="H776" t="str">
            <v>нагнет.</v>
          </cell>
          <cell r="I776" t="str">
            <v>бд</v>
          </cell>
          <cell r="J776">
            <v>36458</v>
          </cell>
          <cell r="K776">
            <v>175</v>
          </cell>
          <cell r="N776">
            <v>100</v>
          </cell>
          <cell r="Q776">
            <v>100</v>
          </cell>
          <cell r="U776" t="str">
            <v>нг</v>
          </cell>
          <cell r="W776" t="str">
            <v xml:space="preserve">ОПЗ </v>
          </cell>
          <cell r="X776" t="str">
            <v>Закачка от КНС-1</v>
          </cell>
          <cell r="AF776">
            <v>24</v>
          </cell>
          <cell r="AG776">
            <v>0</v>
          </cell>
          <cell r="AH776">
            <v>0</v>
          </cell>
        </row>
        <row r="777">
          <cell r="B777">
            <v>5391</v>
          </cell>
          <cell r="C777">
            <v>109</v>
          </cell>
          <cell r="G777">
            <v>285</v>
          </cell>
          <cell r="H777" t="str">
            <v>нагнет.</v>
          </cell>
          <cell r="I777" t="str">
            <v>бд</v>
          </cell>
          <cell r="J777">
            <v>34426</v>
          </cell>
          <cell r="K777">
            <v>240</v>
          </cell>
          <cell r="N777">
            <v>100</v>
          </cell>
          <cell r="Q777">
            <v>100</v>
          </cell>
          <cell r="U777" t="str">
            <v>нг</v>
          </cell>
          <cell r="W777" t="str">
            <v>ИР ЮК-11. ОПЗ. Пуск под закачку</v>
          </cell>
          <cell r="X777" t="str">
            <v>Закачка от КНС-1</v>
          </cell>
          <cell r="Y777" t="str">
            <v>Напушение Э/К</v>
          </cell>
          <cell r="AD777">
            <v>37428</v>
          </cell>
          <cell r="AE777">
            <v>37457</v>
          </cell>
          <cell r="AF777">
            <v>29</v>
          </cell>
        </row>
        <row r="778">
          <cell r="B778">
            <v>5216</v>
          </cell>
          <cell r="C778">
            <v>134</v>
          </cell>
          <cell r="F778" t="str">
            <v>УПНПиКРС</v>
          </cell>
          <cell r="H778" t="str">
            <v>ШГН</v>
          </cell>
          <cell r="I778" t="str">
            <v>конс.</v>
          </cell>
          <cell r="N778">
            <v>50</v>
          </cell>
          <cell r="O778">
            <v>30</v>
          </cell>
          <cell r="P778">
            <v>26.5</v>
          </cell>
          <cell r="Q778">
            <v>50</v>
          </cell>
          <cell r="R778">
            <v>30</v>
          </cell>
          <cell r="S778">
            <v>25.9</v>
          </cell>
          <cell r="U778" t="str">
            <v>ГРП</v>
          </cell>
          <cell r="W778" t="str">
            <v>ВЦ, РИР ЮК-10, СО-каротаж ПР к ГРП, ГРП ЮК-2, осв.</v>
          </cell>
          <cell r="AD778">
            <v>37410</v>
          </cell>
          <cell r="AE778">
            <v>37445</v>
          </cell>
          <cell r="AF778">
            <v>35</v>
          </cell>
        </row>
        <row r="779">
          <cell r="B779">
            <v>5368</v>
          </cell>
          <cell r="C779">
            <v>101</v>
          </cell>
          <cell r="F779" t="str">
            <v>УПНПиКРС</v>
          </cell>
          <cell r="H779" t="str">
            <v>нагнет.</v>
          </cell>
          <cell r="I779" t="str">
            <v>конс.</v>
          </cell>
          <cell r="N779">
            <v>50</v>
          </cell>
          <cell r="O779">
            <v>20</v>
          </cell>
          <cell r="P779">
            <v>51</v>
          </cell>
          <cell r="Q779">
            <v>50</v>
          </cell>
          <cell r="R779">
            <v>20</v>
          </cell>
          <cell r="S779">
            <v>50.6</v>
          </cell>
          <cell r="T779">
            <v>37435</v>
          </cell>
          <cell r="U779" t="str">
            <v>ГРП</v>
          </cell>
          <cell r="W779" t="str">
            <v>Извл.НКТ, РИР ЮК-10, ПР к ГРП, ГРП ЮК-2, осв.</v>
          </cell>
          <cell r="Y779" t="str">
            <v>Негерм. Э/к</v>
          </cell>
          <cell r="AD779">
            <v>37429</v>
          </cell>
          <cell r="AE779">
            <v>37463</v>
          </cell>
          <cell r="AF779">
            <v>34</v>
          </cell>
        </row>
        <row r="780">
          <cell r="B780">
            <v>5264</v>
          </cell>
          <cell r="C780">
            <v>133</v>
          </cell>
          <cell r="F780" t="str">
            <v>УПНПиКРС</v>
          </cell>
          <cell r="H780" t="str">
            <v>нагнет.</v>
          </cell>
          <cell r="I780" t="str">
            <v>конс.</v>
          </cell>
          <cell r="N780">
            <v>50</v>
          </cell>
          <cell r="O780">
            <v>20</v>
          </cell>
          <cell r="P780">
            <v>51</v>
          </cell>
          <cell r="Q780">
            <v>50</v>
          </cell>
          <cell r="R780">
            <v>20</v>
          </cell>
          <cell r="S780">
            <v>50.6</v>
          </cell>
          <cell r="T780">
            <v>37466</v>
          </cell>
          <cell r="U780" t="str">
            <v>ГРП</v>
          </cell>
          <cell r="W780" t="str">
            <v>ВЦ, РИР ЮК-10, ПР к ГРП, ГРП ЮК-2, осв.</v>
          </cell>
          <cell r="AD780">
            <v>37388</v>
          </cell>
          <cell r="AE780">
            <v>37423</v>
          </cell>
          <cell r="AF780">
            <v>35</v>
          </cell>
        </row>
        <row r="781">
          <cell r="B781">
            <v>3060</v>
          </cell>
          <cell r="C781">
            <v>67</v>
          </cell>
          <cell r="F781" t="str">
            <v>УПНПиКРС</v>
          </cell>
          <cell r="H781" t="str">
            <v>нагнет.</v>
          </cell>
          <cell r="I781" t="str">
            <v>конс.</v>
          </cell>
          <cell r="N781">
            <v>50</v>
          </cell>
          <cell r="O781">
            <v>30</v>
          </cell>
          <cell r="P781">
            <v>26.5</v>
          </cell>
          <cell r="Q781">
            <v>50</v>
          </cell>
          <cell r="R781">
            <v>30</v>
          </cell>
          <cell r="S781">
            <v>25.9</v>
          </cell>
          <cell r="T781">
            <v>37389</v>
          </cell>
          <cell r="U781" t="str">
            <v>ГРП</v>
          </cell>
          <cell r="W781" t="str">
            <v>РИР ЮК-11, ПР к ГРП и ГРП ЮК-2</v>
          </cell>
          <cell r="Y781" t="str">
            <v>Негерм. Э/к</v>
          </cell>
          <cell r="AD781">
            <v>37461</v>
          </cell>
          <cell r="AE781">
            <v>37503</v>
          </cell>
          <cell r="AF781">
            <v>42</v>
          </cell>
        </row>
        <row r="782">
          <cell r="B782">
            <v>4366</v>
          </cell>
          <cell r="C782">
            <v>200</v>
          </cell>
          <cell r="F782" t="str">
            <v>УПНПиКРС</v>
          </cell>
          <cell r="H782" t="str">
            <v>нагнет.</v>
          </cell>
          <cell r="I782" t="str">
            <v>бд</v>
          </cell>
          <cell r="N782">
            <v>50</v>
          </cell>
          <cell r="O782">
            <v>30</v>
          </cell>
          <cell r="P782">
            <v>26.5</v>
          </cell>
          <cell r="Q782">
            <v>50</v>
          </cell>
          <cell r="R782">
            <v>30</v>
          </cell>
          <cell r="S782">
            <v>25.9</v>
          </cell>
          <cell r="T782">
            <v>37506</v>
          </cell>
          <cell r="U782" t="str">
            <v>нг</v>
          </cell>
          <cell r="W782" t="str">
            <v>Извл.НКТ, РИР ЮК-10, ПР к ГРП, ГРП ЮК-2, осв.</v>
          </cell>
          <cell r="AD782">
            <v>37457</v>
          </cell>
          <cell r="AE782">
            <v>37491</v>
          </cell>
          <cell r="AF782">
            <v>34</v>
          </cell>
        </row>
        <row r="783">
          <cell r="B783">
            <v>2725</v>
          </cell>
          <cell r="C783">
            <v>146</v>
          </cell>
          <cell r="F783" t="str">
            <v>УПНПиКРС</v>
          </cell>
          <cell r="H783" t="str">
            <v>нагнет.</v>
          </cell>
          <cell r="I783" t="str">
            <v>бд</v>
          </cell>
          <cell r="N783">
            <v>50</v>
          </cell>
          <cell r="O783">
            <v>30</v>
          </cell>
          <cell r="P783">
            <v>26.5</v>
          </cell>
          <cell r="Q783">
            <v>50</v>
          </cell>
          <cell r="R783">
            <v>30</v>
          </cell>
          <cell r="S783">
            <v>25.9</v>
          </cell>
          <cell r="T783">
            <v>37497</v>
          </cell>
          <cell r="U783" t="str">
            <v>ГРП</v>
          </cell>
          <cell r="W783" t="str">
            <v>ОТСК, РИР ЮК-10, ПР к ГРП, ГРП ЮК-2, осв.</v>
          </cell>
        </row>
        <row r="784">
          <cell r="B784">
            <v>3228</v>
          </cell>
          <cell r="C784">
            <v>70</v>
          </cell>
          <cell r="H784" t="str">
            <v>нагнет.</v>
          </cell>
          <cell r="I784" t="str">
            <v>конс.</v>
          </cell>
          <cell r="Q784">
            <v>0</v>
          </cell>
          <cell r="R784">
            <v>0</v>
          </cell>
          <cell r="T784">
            <v>37864</v>
          </cell>
          <cell r="U784" t="str">
            <v>нг</v>
          </cell>
          <cell r="W784" t="str">
            <v>ВЦ, ОТСК, достр.ЮК-11</v>
          </cell>
          <cell r="X784" t="str">
            <v>утилизация</v>
          </cell>
          <cell r="AD784">
            <v>37043</v>
          </cell>
          <cell r="AE784">
            <v>37043</v>
          </cell>
        </row>
        <row r="785">
          <cell r="B785" t="str">
            <v>5402б</v>
          </cell>
          <cell r="C785">
            <v>103</v>
          </cell>
          <cell r="H785" t="str">
            <v>ЭЦН</v>
          </cell>
          <cell r="I785" t="str">
            <v>конс.</v>
          </cell>
          <cell r="K785">
            <v>84</v>
          </cell>
          <cell r="L785">
            <v>2.7</v>
          </cell>
          <cell r="M785">
            <v>96</v>
          </cell>
          <cell r="N785">
            <v>80</v>
          </cell>
          <cell r="O785">
            <v>3</v>
          </cell>
          <cell r="P785">
            <v>95.4</v>
          </cell>
          <cell r="Q785">
            <v>80</v>
          </cell>
          <cell r="R785">
            <v>3</v>
          </cell>
          <cell r="S785">
            <v>95.4</v>
          </cell>
          <cell r="T785">
            <v>37050</v>
          </cell>
          <cell r="U785" t="str">
            <v>ВЦ</v>
          </cell>
          <cell r="W785" t="str">
            <v>ВЦ. ГИС-2</v>
          </cell>
          <cell r="X785" t="str">
            <v>ВЦ ООО "Электропрогрев"</v>
          </cell>
          <cell r="AD785">
            <v>37044</v>
          </cell>
          <cell r="AE785">
            <v>37044</v>
          </cell>
        </row>
        <row r="786">
          <cell r="B786">
            <v>5428</v>
          </cell>
          <cell r="C786">
            <v>103</v>
          </cell>
          <cell r="H786" t="str">
            <v>ШГН</v>
          </cell>
          <cell r="I786" t="str">
            <v>конс.</v>
          </cell>
          <cell r="O786">
            <v>0</v>
          </cell>
          <cell r="Q786">
            <v>0</v>
          </cell>
          <cell r="R786">
            <v>0</v>
          </cell>
          <cell r="S786" t="e">
            <v>#DIV/0!</v>
          </cell>
          <cell r="T786">
            <v>37933</v>
          </cell>
          <cell r="U786" t="str">
            <v>ОПЗ</v>
          </cell>
          <cell r="W786" t="str">
            <v>ВЦ. ГИС-2. ИДН</v>
          </cell>
          <cell r="AD786">
            <v>36951</v>
          </cell>
          <cell r="AE786">
            <v>36951</v>
          </cell>
        </row>
        <row r="787">
          <cell r="B787" t="str">
            <v>5321б</v>
          </cell>
          <cell r="C787">
            <v>135</v>
          </cell>
          <cell r="H787" t="str">
            <v>ЭЦН</v>
          </cell>
          <cell r="I787" t="str">
            <v>конс.</v>
          </cell>
          <cell r="L787">
            <v>0</v>
          </cell>
          <cell r="N787">
            <v>50</v>
          </cell>
          <cell r="O787">
            <v>4</v>
          </cell>
          <cell r="P787">
            <v>90.1</v>
          </cell>
          <cell r="Q787">
            <v>50</v>
          </cell>
          <cell r="R787">
            <v>4</v>
          </cell>
          <cell r="T787">
            <v>36966</v>
          </cell>
          <cell r="W787" t="str">
            <v>ВЦ. Ревизия ЭЦН</v>
          </cell>
          <cell r="X787" t="str">
            <v>ВЦ ООО "Электропрогрев"</v>
          </cell>
          <cell r="AD787">
            <v>36952</v>
          </cell>
          <cell r="AE787">
            <v>36952</v>
          </cell>
        </row>
        <row r="788">
          <cell r="B788">
            <v>5219</v>
          </cell>
          <cell r="C788">
            <v>135</v>
          </cell>
          <cell r="H788" t="str">
            <v>ЭЦН</v>
          </cell>
          <cell r="I788" t="str">
            <v>конс.</v>
          </cell>
          <cell r="L788">
            <v>0</v>
          </cell>
          <cell r="N788">
            <v>40</v>
          </cell>
          <cell r="O788">
            <v>2.1</v>
          </cell>
          <cell r="P788">
            <v>93.7</v>
          </cell>
          <cell r="Q788">
            <v>40</v>
          </cell>
          <cell r="R788">
            <v>2.1</v>
          </cell>
          <cell r="T788">
            <v>36967</v>
          </cell>
          <cell r="W788" t="str">
            <v>ВЦ. Ревизия ЭЦН</v>
          </cell>
          <cell r="X788" t="str">
            <v>ВЦ ООО "Электропрогрев"</v>
          </cell>
          <cell r="AD788">
            <v>36953</v>
          </cell>
          <cell r="AE788">
            <v>36953</v>
          </cell>
        </row>
        <row r="789">
          <cell r="B789">
            <v>5295</v>
          </cell>
          <cell r="C789">
            <v>135</v>
          </cell>
          <cell r="H789" t="str">
            <v>ЭЦН</v>
          </cell>
          <cell r="I789" t="str">
            <v>конс.</v>
          </cell>
          <cell r="L789">
            <v>0</v>
          </cell>
          <cell r="N789">
            <v>50</v>
          </cell>
          <cell r="O789">
            <v>2</v>
          </cell>
          <cell r="P789">
            <v>95.1</v>
          </cell>
          <cell r="Q789">
            <v>50</v>
          </cell>
          <cell r="R789">
            <v>2</v>
          </cell>
          <cell r="T789">
            <v>36969</v>
          </cell>
          <cell r="W789" t="str">
            <v>ВЦ. Ревизия ЭЦН</v>
          </cell>
          <cell r="X789" t="str">
            <v>ВЦ ООО "Электропрогрев"</v>
          </cell>
        </row>
        <row r="790">
          <cell r="B790">
            <v>5318</v>
          </cell>
          <cell r="C790">
            <v>134</v>
          </cell>
          <cell r="H790" t="str">
            <v>нагнет.</v>
          </cell>
          <cell r="I790" t="str">
            <v>бд</v>
          </cell>
          <cell r="N790">
            <v>300</v>
          </cell>
          <cell r="Q790">
            <v>300</v>
          </cell>
          <cell r="W790" t="str">
            <v>Спуск и привязка пакера, Запуск в ППД</v>
          </cell>
          <cell r="X790" t="str">
            <v>Уменьшить штуцер через 3 мес.</v>
          </cell>
          <cell r="AD790">
            <v>36955</v>
          </cell>
          <cell r="AE790">
            <v>36955</v>
          </cell>
        </row>
        <row r="791">
          <cell r="B791">
            <v>2895</v>
          </cell>
          <cell r="C791">
            <v>42</v>
          </cell>
          <cell r="G791">
            <v>285</v>
          </cell>
          <cell r="H791" t="str">
            <v>нагнет.</v>
          </cell>
          <cell r="I791" t="str">
            <v>бд</v>
          </cell>
          <cell r="K791">
            <v>50</v>
          </cell>
          <cell r="N791">
            <v>150</v>
          </cell>
          <cell r="Q791">
            <v>150</v>
          </cell>
          <cell r="T791">
            <v>36958</v>
          </cell>
          <cell r="W791" t="str">
            <v>Интенсификация прием. НТПН</v>
          </cell>
          <cell r="X791" t="str">
            <v>НТПН</v>
          </cell>
          <cell r="AD791">
            <v>36956</v>
          </cell>
          <cell r="AE791">
            <v>36956</v>
          </cell>
        </row>
        <row r="792">
          <cell r="B792">
            <v>2897</v>
          </cell>
          <cell r="C792">
            <v>42</v>
          </cell>
          <cell r="G792">
            <v>290</v>
          </cell>
          <cell r="H792" t="str">
            <v>нагнет.</v>
          </cell>
          <cell r="I792" t="str">
            <v>действ.</v>
          </cell>
          <cell r="K792">
            <v>100</v>
          </cell>
          <cell r="N792">
            <v>200</v>
          </cell>
          <cell r="Q792">
            <v>200</v>
          </cell>
          <cell r="T792">
            <v>36959</v>
          </cell>
          <cell r="W792" t="str">
            <v>Интенсификация прием. НТПН</v>
          </cell>
          <cell r="X792" t="str">
            <v>НТПН</v>
          </cell>
          <cell r="AD792">
            <v>36957</v>
          </cell>
          <cell r="AE792">
            <v>36957</v>
          </cell>
        </row>
        <row r="793">
          <cell r="B793">
            <v>2993</v>
          </cell>
          <cell r="C793">
            <v>42</v>
          </cell>
          <cell r="G793">
            <v>310</v>
          </cell>
          <cell r="H793" t="str">
            <v>ШГН</v>
          </cell>
          <cell r="I793" t="str">
            <v>конс.</v>
          </cell>
          <cell r="K793">
            <v>7</v>
          </cell>
          <cell r="L793">
            <v>5.0999999999999996</v>
          </cell>
          <cell r="M793">
            <v>10</v>
          </cell>
          <cell r="N793">
            <v>7</v>
          </cell>
          <cell r="O793">
            <v>4.8</v>
          </cell>
          <cell r="P793">
            <v>15</v>
          </cell>
          <cell r="Q793">
            <v>7</v>
          </cell>
          <cell r="R793">
            <v>4.8</v>
          </cell>
          <cell r="T793">
            <v>36962</v>
          </cell>
          <cell r="W793" t="str">
            <v>ВЦ. ПП и ОПЗ. УГИС. Спуск ШГН</v>
          </cell>
          <cell r="AD793">
            <v>36958</v>
          </cell>
          <cell r="AE793">
            <v>36958</v>
          </cell>
        </row>
        <row r="794">
          <cell r="B794">
            <v>5470</v>
          </cell>
          <cell r="C794">
            <v>108</v>
          </cell>
          <cell r="G794">
            <v>275</v>
          </cell>
          <cell r="H794" t="str">
            <v>ЭЦН</v>
          </cell>
          <cell r="I794" t="str">
            <v>конс.</v>
          </cell>
          <cell r="K794">
            <v>41</v>
          </cell>
          <cell r="L794">
            <v>3.7</v>
          </cell>
          <cell r="M794">
            <v>89</v>
          </cell>
          <cell r="N794">
            <v>20</v>
          </cell>
          <cell r="O794">
            <v>3</v>
          </cell>
          <cell r="P794">
            <v>81.5</v>
          </cell>
          <cell r="Q794">
            <v>20</v>
          </cell>
          <cell r="R794">
            <v>3</v>
          </cell>
          <cell r="T794">
            <v>36964</v>
          </cell>
          <cell r="W794" t="str">
            <v>ВЦ. ГИС-2. ОВП (НТПН). ГИС-2. Спуск ЭЦН</v>
          </cell>
          <cell r="X794" t="str">
            <v>НТПН-2000</v>
          </cell>
          <cell r="AG794">
            <v>0</v>
          </cell>
        </row>
        <row r="795">
          <cell r="B795">
            <v>5451</v>
          </cell>
          <cell r="C795">
            <v>101</v>
          </cell>
          <cell r="H795" t="str">
            <v>ШГН</v>
          </cell>
          <cell r="I795" t="str">
            <v>бд</v>
          </cell>
          <cell r="U795" t="str">
            <v>ОПЗ</v>
          </cell>
          <cell r="W795" t="str">
            <v>ВЦ,ДП УГИС. ОПЗ НТПН. ГДИ</v>
          </cell>
          <cell r="AG795">
            <v>0</v>
          </cell>
        </row>
        <row r="796">
          <cell r="B796">
            <v>5453</v>
          </cell>
          <cell r="C796">
            <v>101</v>
          </cell>
          <cell r="H796" t="str">
            <v>ШГН</v>
          </cell>
          <cell r="U796" t="str">
            <v>ОПЗ</v>
          </cell>
          <cell r="W796" t="str">
            <v>ВЦ,ПП УГИС.  ГДИ</v>
          </cell>
          <cell r="AB796" t="str">
            <v>есть СК</v>
          </cell>
          <cell r="AF796">
            <v>105</v>
          </cell>
          <cell r="AG796" t="e">
            <v>#REF!</v>
          </cell>
        </row>
        <row r="797">
          <cell r="B797">
            <v>5370</v>
          </cell>
          <cell r="C797">
            <v>102</v>
          </cell>
          <cell r="U797" t="str">
            <v>ЛА</v>
          </cell>
          <cell r="W797" t="str">
            <v>Извл.аварийных НКТ</v>
          </cell>
          <cell r="Y797" t="str">
            <v>При ПРС полёт Э-80 без лов.головки</v>
          </cell>
        </row>
        <row r="798">
          <cell r="B798">
            <v>5400</v>
          </cell>
          <cell r="C798">
            <v>103</v>
          </cell>
          <cell r="U798" t="str">
            <v>ЛА</v>
          </cell>
          <cell r="W798" t="str">
            <v>Извл.ЭЦН-80,Восст.Нз ГЖ,ГДИ сп.ЭЦН.</v>
          </cell>
          <cell r="Y798" t="str">
            <v>В скважине низ пакера+хвоставик из НКТ 3"</v>
          </cell>
        </row>
        <row r="799">
          <cell r="B799">
            <v>5428</v>
          </cell>
          <cell r="C799">
            <v>103</v>
          </cell>
          <cell r="W799" t="str">
            <v>ВЦ,ВЗ,(извл.НКТ 3")ПП УГИС.  ГДИ</v>
          </cell>
          <cell r="X799" t="str">
            <v>В ППД с 6.83 по 09.84г.</v>
          </cell>
        </row>
        <row r="800">
          <cell r="B800">
            <v>5347</v>
          </cell>
          <cell r="C800">
            <v>103</v>
          </cell>
          <cell r="U800" t="str">
            <v>ЛА</v>
          </cell>
          <cell r="W800" t="str">
            <v>Извл.проволки,восст.Нз ГЖ,ГДИ сп.ЭЦН.</v>
          </cell>
        </row>
        <row r="801">
          <cell r="B801" t="str">
            <v>5402б</v>
          </cell>
          <cell r="C801">
            <v>103</v>
          </cell>
          <cell r="U801" t="str">
            <v>ВЦ</v>
          </cell>
          <cell r="W801" t="str">
            <v>ВЦ ПРС промывка забоя</v>
          </cell>
        </row>
        <row r="802">
          <cell r="B802">
            <v>4119</v>
          </cell>
          <cell r="C802">
            <v>311</v>
          </cell>
          <cell r="U802" t="str">
            <v>ВЦ</v>
          </cell>
          <cell r="W802" t="str">
            <v>ВЦ ПРС промывка забоя</v>
          </cell>
        </row>
        <row r="803">
          <cell r="B803">
            <v>4120</v>
          </cell>
          <cell r="C803">
            <v>311</v>
          </cell>
          <cell r="U803" t="str">
            <v>ВЦ</v>
          </cell>
          <cell r="W803" t="str">
            <v>ВЦ ПРС промывка забоя</v>
          </cell>
        </row>
        <row r="804">
          <cell r="B804">
            <v>4212</v>
          </cell>
          <cell r="C804">
            <v>311</v>
          </cell>
          <cell r="U804" t="str">
            <v>ВЦ</v>
          </cell>
          <cell r="W804" t="str">
            <v>ВЦ ПРС промывка забоя</v>
          </cell>
          <cell r="AD804">
            <v>1</v>
          </cell>
          <cell r="AE804">
            <v>23</v>
          </cell>
          <cell r="AF804">
            <v>22</v>
          </cell>
          <cell r="AG804">
            <v>0</v>
          </cell>
          <cell r="AH804">
            <v>-3900</v>
          </cell>
        </row>
        <row r="805">
          <cell r="B805">
            <v>2895</v>
          </cell>
          <cell r="C805">
            <v>42</v>
          </cell>
          <cell r="G805">
            <v>280</v>
          </cell>
          <cell r="H805" t="str">
            <v>нагнет.</v>
          </cell>
          <cell r="I805" t="str">
            <v>бд</v>
          </cell>
          <cell r="N805">
            <v>150</v>
          </cell>
          <cell r="Q805">
            <v>150</v>
          </cell>
          <cell r="T805">
            <v>26</v>
          </cell>
          <cell r="U805" t="str">
            <v>ОПЗ</v>
          </cell>
          <cell r="W805" t="str">
            <v>ВЗ УГИС,ОПЗ ИХН, ГИС-3 пуск под закачку</v>
          </cell>
          <cell r="AD805">
            <v>24</v>
          </cell>
          <cell r="AE805">
            <v>35</v>
          </cell>
          <cell r="AF805">
            <v>11</v>
          </cell>
          <cell r="AG805">
            <v>0</v>
          </cell>
          <cell r="AH805">
            <v>-5700</v>
          </cell>
        </row>
        <row r="806">
          <cell r="B806">
            <v>2897</v>
          </cell>
          <cell r="C806">
            <v>42</v>
          </cell>
          <cell r="G806">
            <v>295</v>
          </cell>
          <cell r="H806" t="str">
            <v>нагнет.</v>
          </cell>
          <cell r="I806" t="str">
            <v>бд</v>
          </cell>
          <cell r="N806">
            <v>150</v>
          </cell>
          <cell r="Q806">
            <v>150</v>
          </cell>
          <cell r="T806">
            <v>38</v>
          </cell>
          <cell r="U806" t="str">
            <v>нг</v>
          </cell>
          <cell r="W806" t="str">
            <v>Ревизия лифта,промывка Нз,ГИС-3</v>
          </cell>
          <cell r="AD806">
            <v>36</v>
          </cell>
          <cell r="AE806">
            <v>47</v>
          </cell>
          <cell r="AF806">
            <v>11</v>
          </cell>
        </row>
        <row r="807">
          <cell r="B807">
            <v>2974</v>
          </cell>
          <cell r="C807">
            <v>46</v>
          </cell>
          <cell r="G807">
            <v>280</v>
          </cell>
          <cell r="H807" t="str">
            <v>нагнет.</v>
          </cell>
          <cell r="I807" t="str">
            <v>бд</v>
          </cell>
          <cell r="N807">
            <v>150</v>
          </cell>
          <cell r="Q807">
            <v>150</v>
          </cell>
          <cell r="T807">
            <v>50</v>
          </cell>
          <cell r="U807" t="str">
            <v>нг</v>
          </cell>
          <cell r="W807" t="str">
            <v>Ревизия лифта,промывка Нз</v>
          </cell>
          <cell r="AD807">
            <v>48</v>
          </cell>
          <cell r="AE807">
            <v>60</v>
          </cell>
          <cell r="AF807">
            <v>12</v>
          </cell>
          <cell r="AG807">
            <v>0</v>
          </cell>
          <cell r="AH807">
            <v>-7560</v>
          </cell>
        </row>
        <row r="808">
          <cell r="B808">
            <v>5731</v>
          </cell>
          <cell r="C808">
            <v>125</v>
          </cell>
          <cell r="G808">
            <v>245</v>
          </cell>
          <cell r="H808" t="str">
            <v>нагнет.</v>
          </cell>
          <cell r="I808" t="str">
            <v>конс.</v>
          </cell>
          <cell r="N808">
            <v>120</v>
          </cell>
          <cell r="Q808">
            <v>120</v>
          </cell>
          <cell r="T808">
            <v>63</v>
          </cell>
          <cell r="U808" t="str">
            <v>нг</v>
          </cell>
          <cell r="W808" t="str">
            <v>Ревизия лифта,ВЗГИС-3,пуск под закачку</v>
          </cell>
          <cell r="AD808">
            <v>61</v>
          </cell>
          <cell r="AE808">
            <v>73</v>
          </cell>
          <cell r="AF808">
            <v>12</v>
          </cell>
        </row>
        <row r="809">
          <cell r="B809">
            <v>5732</v>
          </cell>
          <cell r="C809">
            <v>125</v>
          </cell>
          <cell r="G809">
            <v>245</v>
          </cell>
          <cell r="H809" t="str">
            <v>нагнет.</v>
          </cell>
          <cell r="I809" t="str">
            <v>конс.</v>
          </cell>
          <cell r="Q809">
            <v>0</v>
          </cell>
          <cell r="T809">
            <v>76</v>
          </cell>
          <cell r="U809" t="str">
            <v>нг</v>
          </cell>
          <cell r="W809" t="str">
            <v>Ревизия лифта,ВЗГИС-3,пуск под закачку</v>
          </cell>
          <cell r="AD809">
            <v>74</v>
          </cell>
          <cell r="AE809">
            <v>86</v>
          </cell>
          <cell r="AF809">
            <v>12</v>
          </cell>
        </row>
        <row r="810">
          <cell r="B810">
            <v>5733</v>
          </cell>
          <cell r="C810">
            <v>125</v>
          </cell>
          <cell r="G810">
            <v>245</v>
          </cell>
          <cell r="H810" t="str">
            <v>нагнет.</v>
          </cell>
          <cell r="I810" t="str">
            <v>конс.</v>
          </cell>
          <cell r="Q810">
            <v>0</v>
          </cell>
          <cell r="T810">
            <v>89</v>
          </cell>
          <cell r="U810" t="str">
            <v>нг</v>
          </cell>
          <cell r="W810" t="str">
            <v>Ревизия лифта,ВЗГИС-3,пуск под закачку</v>
          </cell>
          <cell r="Y810" t="str">
            <v>-</v>
          </cell>
          <cell r="Z810" t="str">
            <v>-</v>
          </cell>
          <cell r="AA810">
            <v>73</v>
          </cell>
          <cell r="AD810">
            <v>87</v>
          </cell>
          <cell r="AE810">
            <v>104</v>
          </cell>
          <cell r="AF810">
            <v>17</v>
          </cell>
          <cell r="AG810">
            <v>0</v>
          </cell>
          <cell r="AH810">
            <v>-12840</v>
          </cell>
        </row>
        <row r="811">
          <cell r="B811">
            <v>5371</v>
          </cell>
          <cell r="C811">
            <v>102</v>
          </cell>
          <cell r="G811">
            <v>255</v>
          </cell>
          <cell r="H811" t="str">
            <v>нагнет.</v>
          </cell>
          <cell r="I811" t="str">
            <v>бд</v>
          </cell>
          <cell r="N811">
            <v>120</v>
          </cell>
          <cell r="Q811">
            <v>120</v>
          </cell>
          <cell r="R811">
            <v>0</v>
          </cell>
          <cell r="T811">
            <v>107</v>
          </cell>
          <cell r="U811" t="str">
            <v>нг</v>
          </cell>
          <cell r="W811" t="str">
            <v>ОТСК. Запуск ППД</v>
          </cell>
          <cell r="Y811" t="str">
            <v>Полет НКТ</v>
          </cell>
          <cell r="Z811">
            <v>120</v>
          </cell>
          <cell r="AD811">
            <v>105</v>
          </cell>
          <cell r="AE811">
            <v>131</v>
          </cell>
          <cell r="AF811">
            <v>26</v>
          </cell>
          <cell r="AG811">
            <v>0</v>
          </cell>
          <cell r="AH811">
            <v>-16080</v>
          </cell>
        </row>
        <row r="812">
          <cell r="B812">
            <v>5372</v>
          </cell>
          <cell r="C812">
            <v>102</v>
          </cell>
          <cell r="G812">
            <v>250</v>
          </cell>
          <cell r="H812" t="str">
            <v>нагнет.</v>
          </cell>
          <cell r="I812" t="str">
            <v>конс.</v>
          </cell>
          <cell r="N812">
            <v>120</v>
          </cell>
          <cell r="Q812">
            <v>120</v>
          </cell>
          <cell r="R812">
            <v>0</v>
          </cell>
          <cell r="T812">
            <v>134</v>
          </cell>
          <cell r="U812" t="str">
            <v>нг</v>
          </cell>
          <cell r="W812" t="str">
            <v>ЛА (извлечение НКТ). ОТСК. Запуск ППД</v>
          </cell>
          <cell r="X812" t="str">
            <v>Забой - 120 м</v>
          </cell>
          <cell r="AB812" t="str">
            <v>есть СК</v>
          </cell>
          <cell r="AD812">
            <v>132</v>
          </cell>
          <cell r="AE812">
            <v>154</v>
          </cell>
          <cell r="AF812">
            <v>22</v>
          </cell>
          <cell r="AG812" t="e">
            <v>#REF!</v>
          </cell>
          <cell r="AH812" t="e">
            <v>#REF!</v>
          </cell>
        </row>
        <row r="813">
          <cell r="B813">
            <v>5370</v>
          </cell>
          <cell r="C813">
            <v>102</v>
          </cell>
          <cell r="G813">
            <v>255</v>
          </cell>
          <cell r="H813" t="str">
            <v>ШГН</v>
          </cell>
          <cell r="I813" t="str">
            <v>бд</v>
          </cell>
          <cell r="N813">
            <v>50</v>
          </cell>
          <cell r="O813">
            <v>4.0999999999999996</v>
          </cell>
          <cell r="P813">
            <v>90</v>
          </cell>
          <cell r="Q813">
            <v>50</v>
          </cell>
          <cell r="R813">
            <v>4.0999999999999996</v>
          </cell>
          <cell r="S813">
            <v>89.9</v>
          </cell>
          <cell r="T813" t="e">
            <v>#REF!</v>
          </cell>
          <cell r="U813" t="str">
            <v>ЛА</v>
          </cell>
          <cell r="W813" t="str">
            <v>Извл.аварийных НКТ</v>
          </cell>
          <cell r="X813" t="str">
            <v>Брошена КРС Отс.лов.инструмента,на Нз 59нкт".Нз.т.-2315м.</v>
          </cell>
        </row>
        <row r="814">
          <cell r="B814">
            <v>5318</v>
          </cell>
          <cell r="C814">
            <v>134</v>
          </cell>
          <cell r="G814">
            <v>260</v>
          </cell>
          <cell r="H814" t="str">
            <v>нагнет.</v>
          </cell>
          <cell r="I814" t="str">
            <v>бд</v>
          </cell>
          <cell r="N814">
            <v>150</v>
          </cell>
          <cell r="Q814">
            <v>150</v>
          </cell>
          <cell r="U814" t="str">
            <v>нг</v>
          </cell>
          <cell r="W814" t="str">
            <v>Спуск пакера ,пуск под закачку.</v>
          </cell>
          <cell r="X814" t="str">
            <v>После РИР</v>
          </cell>
          <cell r="AD814">
            <v>0</v>
          </cell>
          <cell r="AE814">
            <v>14</v>
          </cell>
          <cell r="AF814">
            <v>14</v>
          </cell>
          <cell r="AG814">
            <v>-877702</v>
          </cell>
          <cell r="AH814">
            <v>-1248456</v>
          </cell>
        </row>
        <row r="815">
          <cell r="B815">
            <v>2713</v>
          </cell>
          <cell r="C815">
            <v>163</v>
          </cell>
          <cell r="G815">
            <v>270</v>
          </cell>
          <cell r="H815" t="str">
            <v>ШГН</v>
          </cell>
          <cell r="I815" t="str">
            <v>действ.</v>
          </cell>
          <cell r="K815">
            <v>3</v>
          </cell>
          <cell r="L815">
            <v>2.4</v>
          </cell>
          <cell r="M815">
            <v>2</v>
          </cell>
          <cell r="N815">
            <v>6</v>
          </cell>
          <cell r="O815">
            <v>4.4000000000000004</v>
          </cell>
          <cell r="P815">
            <v>10</v>
          </cell>
          <cell r="Q815">
            <v>3</v>
          </cell>
          <cell r="R815">
            <v>2</v>
          </cell>
          <cell r="S815">
            <v>17.7</v>
          </cell>
          <cell r="T815">
            <v>37832</v>
          </cell>
          <cell r="U815" t="str">
            <v>ОПЗ</v>
          </cell>
          <cell r="W815" t="str">
            <v>УГИС. ОПЗ НТПН. ГДИ</v>
          </cell>
          <cell r="AD815">
            <v>37829</v>
          </cell>
          <cell r="AE815">
            <v>37838</v>
          </cell>
          <cell r="AF815">
            <v>9</v>
          </cell>
          <cell r="AG815">
            <v>-75690</v>
          </cell>
          <cell r="AH815">
            <v>-189225</v>
          </cell>
        </row>
        <row r="816">
          <cell r="B816">
            <v>2768</v>
          </cell>
          <cell r="C816">
            <v>164</v>
          </cell>
          <cell r="G816">
            <v>275</v>
          </cell>
          <cell r="H816" t="str">
            <v>ШГН</v>
          </cell>
          <cell r="I816" t="str">
            <v>действ.</v>
          </cell>
          <cell r="K816">
            <v>5</v>
          </cell>
          <cell r="L816">
            <v>2.4</v>
          </cell>
          <cell r="M816">
            <v>42</v>
          </cell>
          <cell r="N816">
            <v>10</v>
          </cell>
          <cell r="O816">
            <v>4.4000000000000004</v>
          </cell>
          <cell r="P816">
            <v>46.5</v>
          </cell>
          <cell r="Q816">
            <v>5</v>
          </cell>
          <cell r="R816">
            <v>2</v>
          </cell>
          <cell r="S816">
            <v>50.6</v>
          </cell>
          <cell r="T816">
            <v>37845</v>
          </cell>
          <cell r="U816" t="str">
            <v>ОПЗ</v>
          </cell>
          <cell r="W816" t="str">
            <v>УГИС. ОПЗ НТПН. ГДИ</v>
          </cell>
          <cell r="AD816">
            <v>37839</v>
          </cell>
          <cell r="AE816">
            <v>37853</v>
          </cell>
          <cell r="AF816">
            <v>14</v>
          </cell>
          <cell r="AG816">
            <v>-90864</v>
          </cell>
          <cell r="AH816">
            <v>-151440</v>
          </cell>
        </row>
        <row r="817">
          <cell r="B817">
            <v>3004</v>
          </cell>
          <cell r="C817">
            <v>50</v>
          </cell>
          <cell r="G817">
            <v>265</v>
          </cell>
          <cell r="H817" t="str">
            <v>ШГН</v>
          </cell>
          <cell r="I817" t="str">
            <v>действ.</v>
          </cell>
          <cell r="K817">
            <v>3</v>
          </cell>
          <cell r="L817">
            <v>2</v>
          </cell>
          <cell r="M817">
            <v>20</v>
          </cell>
          <cell r="N817">
            <v>7</v>
          </cell>
          <cell r="O817">
            <v>4.4000000000000004</v>
          </cell>
          <cell r="P817">
            <v>22</v>
          </cell>
          <cell r="Q817">
            <v>4</v>
          </cell>
          <cell r="R817">
            <v>2.4</v>
          </cell>
          <cell r="S817">
            <v>25.9</v>
          </cell>
          <cell r="T817">
            <v>37860</v>
          </cell>
          <cell r="U817" t="str">
            <v>ГРП</v>
          </cell>
          <cell r="W817" t="str">
            <v>УГИС. ОПЗ НТПН. ГДИ</v>
          </cell>
          <cell r="AD817">
            <v>37854</v>
          </cell>
          <cell r="AE817">
            <v>37868</v>
          </cell>
          <cell r="AF817">
            <v>14</v>
          </cell>
          <cell r="AG817">
            <v>-75750</v>
          </cell>
          <cell r="AH817">
            <v>-151500</v>
          </cell>
        </row>
        <row r="818">
          <cell r="B818">
            <v>11047</v>
          </cell>
          <cell r="C818" t="str">
            <v>302б</v>
          </cell>
          <cell r="G818">
            <v>235</v>
          </cell>
          <cell r="H818" t="str">
            <v>ШГН</v>
          </cell>
          <cell r="I818" t="str">
            <v>действ.</v>
          </cell>
          <cell r="K818">
            <v>1</v>
          </cell>
          <cell r="L818">
            <v>0.7</v>
          </cell>
          <cell r="M818">
            <v>8</v>
          </cell>
          <cell r="N818">
            <v>6</v>
          </cell>
          <cell r="O818">
            <v>4.2</v>
          </cell>
          <cell r="P818">
            <v>14</v>
          </cell>
          <cell r="Q818">
            <v>5</v>
          </cell>
          <cell r="R818">
            <v>3.5</v>
          </cell>
          <cell r="S818">
            <v>13.6</v>
          </cell>
          <cell r="T818">
            <v>37140</v>
          </cell>
          <cell r="U818" t="str">
            <v>ОПЗ</v>
          </cell>
          <cell r="W818" t="str">
            <v>УГИС. ОПЗ НТПН. ГДИ</v>
          </cell>
          <cell r="AD818">
            <v>37134</v>
          </cell>
          <cell r="AE818">
            <v>37148</v>
          </cell>
          <cell r="AF818">
            <v>14</v>
          </cell>
          <cell r="AG818">
            <v>-111465</v>
          </cell>
          <cell r="AH818">
            <v>-148620</v>
          </cell>
        </row>
        <row r="819">
          <cell r="B819">
            <v>11040</v>
          </cell>
          <cell r="C819" t="str">
            <v>302б</v>
          </cell>
          <cell r="G819">
            <v>250</v>
          </cell>
          <cell r="H819" t="str">
            <v>ШГН</v>
          </cell>
          <cell r="I819" t="str">
            <v>действ.</v>
          </cell>
          <cell r="K819">
            <v>2</v>
          </cell>
          <cell r="L819">
            <v>1.5</v>
          </cell>
          <cell r="M819">
            <v>7</v>
          </cell>
          <cell r="N819">
            <v>6</v>
          </cell>
          <cell r="O819">
            <v>4.5</v>
          </cell>
          <cell r="P819">
            <v>8</v>
          </cell>
          <cell r="Q819">
            <v>4</v>
          </cell>
          <cell r="R819">
            <v>3</v>
          </cell>
          <cell r="S819">
            <v>7.4</v>
          </cell>
          <cell r="T819">
            <v>37155</v>
          </cell>
          <cell r="U819" t="str">
            <v>ОПЗ</v>
          </cell>
          <cell r="W819" t="str">
            <v>УГИС. ОПЗ НТПН. ГДИ</v>
          </cell>
          <cell r="AD819">
            <v>37149</v>
          </cell>
          <cell r="AE819">
            <v>37163</v>
          </cell>
          <cell r="AF819">
            <v>14</v>
          </cell>
          <cell r="AG819">
            <v>-92925</v>
          </cell>
          <cell r="AH819">
            <v>-148680</v>
          </cell>
        </row>
        <row r="820">
          <cell r="B820">
            <v>11043</v>
          </cell>
          <cell r="C820" t="str">
            <v>302б</v>
          </cell>
          <cell r="G820">
            <v>230</v>
          </cell>
          <cell r="H820" t="str">
            <v>ШГН</v>
          </cell>
          <cell r="I820" t="str">
            <v>действ.</v>
          </cell>
          <cell r="K820">
            <v>3</v>
          </cell>
          <cell r="L820">
            <v>2</v>
          </cell>
          <cell r="M820">
            <v>19</v>
          </cell>
          <cell r="N820">
            <v>7</v>
          </cell>
          <cell r="O820">
            <v>4.5</v>
          </cell>
          <cell r="P820">
            <v>21</v>
          </cell>
          <cell r="Q820">
            <v>4</v>
          </cell>
          <cell r="R820">
            <v>2.5</v>
          </cell>
          <cell r="S820">
            <v>22.8</v>
          </cell>
          <cell r="T820">
            <v>37170</v>
          </cell>
          <cell r="U820" t="str">
            <v>ОПЗ</v>
          </cell>
          <cell r="W820" t="str">
            <v>УГИС. ОПЗ НТПН. ГДИ</v>
          </cell>
          <cell r="AD820">
            <v>37164</v>
          </cell>
          <cell r="AE820">
            <v>37189</v>
          </cell>
          <cell r="AF820">
            <v>25</v>
          </cell>
          <cell r="AG820">
            <v>-371960</v>
          </cell>
          <cell r="AH820">
            <v>-557940</v>
          </cell>
        </row>
        <row r="821">
          <cell r="B821">
            <v>4974</v>
          </cell>
          <cell r="C821" t="str">
            <v>205б</v>
          </cell>
          <cell r="G821">
            <v>220</v>
          </cell>
          <cell r="H821" t="str">
            <v>ШГН</v>
          </cell>
          <cell r="I821" t="str">
            <v>бд</v>
          </cell>
          <cell r="K821">
            <v>6</v>
          </cell>
          <cell r="L821">
            <v>4.5999999999999996</v>
          </cell>
          <cell r="M821">
            <v>6</v>
          </cell>
          <cell r="N821">
            <v>15</v>
          </cell>
          <cell r="O821">
            <v>10</v>
          </cell>
          <cell r="P821">
            <v>18</v>
          </cell>
          <cell r="Q821">
            <v>15</v>
          </cell>
          <cell r="R821">
            <v>10</v>
          </cell>
          <cell r="S821">
            <v>17.7</v>
          </cell>
          <cell r="T821">
            <v>37196</v>
          </cell>
          <cell r="U821" t="str">
            <v>ГРП</v>
          </cell>
          <cell r="W821" t="str">
            <v>ГРП (ОПЗ КСПЭО.) Спуск ЭЦН-30</v>
          </cell>
          <cell r="Y821" t="str">
            <v>зумпф-1м (нижн. интерв.изолир.)</v>
          </cell>
          <cell r="Z821">
            <v>2733.6</v>
          </cell>
          <cell r="AA821">
            <v>73</v>
          </cell>
          <cell r="AB821">
            <v>39541</v>
          </cell>
          <cell r="AC821">
            <v>223.1</v>
          </cell>
          <cell r="AD821">
            <v>37118</v>
          </cell>
          <cell r="AE821">
            <v>37154</v>
          </cell>
          <cell r="AF821">
            <v>36</v>
          </cell>
          <cell r="AG821">
            <v>0</v>
          </cell>
          <cell r="AH821">
            <v>-4458840</v>
          </cell>
        </row>
        <row r="822">
          <cell r="B822">
            <v>5373</v>
          </cell>
          <cell r="C822">
            <v>103</v>
          </cell>
          <cell r="G822">
            <v>223.1</v>
          </cell>
          <cell r="H822" t="str">
            <v>нагнет.</v>
          </cell>
          <cell r="I822" t="str">
            <v>конс.</v>
          </cell>
          <cell r="N822">
            <v>120</v>
          </cell>
          <cell r="Q822">
            <v>120</v>
          </cell>
          <cell r="R822">
            <v>0</v>
          </cell>
          <cell r="T822">
            <v>37157</v>
          </cell>
          <cell r="U822" t="str">
            <v>нг</v>
          </cell>
          <cell r="W822" t="str">
            <v>ОТСК. ГИС-3. Ликвидация ЗКЦ?</v>
          </cell>
          <cell r="Y822" t="str">
            <v>+19</v>
          </cell>
          <cell r="Z822">
            <v>2767</v>
          </cell>
          <cell r="AC822">
            <v>224.5</v>
          </cell>
          <cell r="AD822">
            <v>37155</v>
          </cell>
          <cell r="AE822">
            <v>37190</v>
          </cell>
          <cell r="AF822">
            <v>35</v>
          </cell>
          <cell r="AG822">
            <v>0</v>
          </cell>
          <cell r="AH822">
            <v>-4463160</v>
          </cell>
        </row>
        <row r="823">
          <cell r="B823">
            <v>5374</v>
          </cell>
          <cell r="C823">
            <v>103</v>
          </cell>
          <cell r="G823">
            <v>224.5</v>
          </cell>
          <cell r="H823" t="str">
            <v>нагнет.</v>
          </cell>
          <cell r="I823" t="str">
            <v>бд</v>
          </cell>
          <cell r="N823">
            <v>120</v>
          </cell>
          <cell r="Q823">
            <v>120</v>
          </cell>
          <cell r="R823">
            <v>0</v>
          </cell>
          <cell r="T823">
            <v>37193</v>
          </cell>
          <cell r="U823" t="str">
            <v>нг</v>
          </cell>
          <cell r="W823" t="str">
            <v>ВЗ. ОТСК</v>
          </cell>
          <cell r="Y823" t="str">
            <v>При ПРС полёт Э-80 без лов.головки</v>
          </cell>
          <cell r="AD823">
            <v>37191</v>
          </cell>
          <cell r="AE823">
            <v>37221</v>
          </cell>
          <cell r="AF823">
            <v>30</v>
          </cell>
        </row>
        <row r="824">
          <cell r="B824">
            <v>5400</v>
          </cell>
          <cell r="C824">
            <v>103</v>
          </cell>
          <cell r="G824">
            <v>240</v>
          </cell>
          <cell r="H824" t="str">
            <v>ЭЦН</v>
          </cell>
          <cell r="I824" t="str">
            <v>бд</v>
          </cell>
          <cell r="N824">
            <v>100</v>
          </cell>
          <cell r="O824">
            <v>1.6</v>
          </cell>
          <cell r="P824">
            <v>98</v>
          </cell>
          <cell r="Q824">
            <v>100</v>
          </cell>
          <cell r="R824">
            <v>1.6</v>
          </cell>
          <cell r="S824">
            <v>98</v>
          </cell>
          <cell r="T824">
            <v>37228</v>
          </cell>
          <cell r="U824" t="str">
            <v>ЛА</v>
          </cell>
          <cell r="W824" t="str">
            <v>Извл.ЭЦН-80,Восст.Нз ГЖ,ГДИ сп.ЭЦН.</v>
          </cell>
          <cell r="AD824">
            <v>37222</v>
          </cell>
          <cell r="AE824">
            <v>37252</v>
          </cell>
          <cell r="AF824">
            <v>30</v>
          </cell>
        </row>
        <row r="825">
          <cell r="B825" t="str">
            <v>5402б</v>
          </cell>
          <cell r="C825">
            <v>103</v>
          </cell>
          <cell r="G825">
            <v>255</v>
          </cell>
          <cell r="H825" t="str">
            <v>ЭЦН</v>
          </cell>
          <cell r="I825" t="str">
            <v>бд</v>
          </cell>
          <cell r="N825">
            <v>50</v>
          </cell>
          <cell r="O825">
            <v>4.0999999999999996</v>
          </cell>
          <cell r="P825">
            <v>90</v>
          </cell>
          <cell r="Q825">
            <v>50</v>
          </cell>
          <cell r="R825">
            <v>4.0999999999999996</v>
          </cell>
          <cell r="S825">
            <v>89.9</v>
          </cell>
          <cell r="W825" t="str">
            <v>ВЦ,ВЗ УГИС ,ГДИ</v>
          </cell>
          <cell r="Y825" t="str">
            <v>В скважине низ пакера+хвоставик из НКТ 3"</v>
          </cell>
          <cell r="AD825">
            <v>37253</v>
          </cell>
          <cell r="AE825">
            <v>37283</v>
          </cell>
          <cell r="AF825">
            <v>30</v>
          </cell>
        </row>
        <row r="826">
          <cell r="B826">
            <v>5428</v>
          </cell>
          <cell r="C826">
            <v>103</v>
          </cell>
          <cell r="G826">
            <v>235</v>
          </cell>
          <cell r="H826" t="str">
            <v>ЭЦН</v>
          </cell>
          <cell r="I826" t="str">
            <v>бд</v>
          </cell>
          <cell r="N826">
            <v>80</v>
          </cell>
          <cell r="O826">
            <v>3.3</v>
          </cell>
          <cell r="P826">
            <v>95</v>
          </cell>
          <cell r="Q826">
            <v>80</v>
          </cell>
          <cell r="R826">
            <v>3.3</v>
          </cell>
          <cell r="S826">
            <v>94.9</v>
          </cell>
          <cell r="W826" t="str">
            <v>ВЦ,ВЗ,(извл.НКТ 3")ПП УГИС.  ГДИ</v>
          </cell>
          <cell r="X826" t="str">
            <v>В ППД с 6.83 по 09.84г.</v>
          </cell>
        </row>
        <row r="827">
          <cell r="B827">
            <v>5347</v>
          </cell>
          <cell r="C827">
            <v>103</v>
          </cell>
          <cell r="G827">
            <v>270</v>
          </cell>
          <cell r="H827" t="str">
            <v>ЭЦН</v>
          </cell>
          <cell r="I827" t="str">
            <v>бд</v>
          </cell>
          <cell r="N827">
            <v>80</v>
          </cell>
          <cell r="O827">
            <v>3.3</v>
          </cell>
          <cell r="P827">
            <v>95</v>
          </cell>
          <cell r="Q827">
            <v>80</v>
          </cell>
          <cell r="R827">
            <v>3.3</v>
          </cell>
          <cell r="S827">
            <v>94.9</v>
          </cell>
          <cell r="U827" t="str">
            <v>ЛА</v>
          </cell>
          <cell r="W827" t="str">
            <v>Извл.проволки,восст.Нз ГЖ,ГДИ сп.ЭЦН.</v>
          </cell>
        </row>
        <row r="828">
          <cell r="B828">
            <v>5838</v>
          </cell>
          <cell r="C828" t="str">
            <v>168б</v>
          </cell>
          <cell r="H828" t="str">
            <v>фон</v>
          </cell>
          <cell r="U828" t="str">
            <v>ОПЗ</v>
          </cell>
          <cell r="W828" t="str">
            <v>ЛА ПП,УГИС,ОПЗ ИХН ГДИ (ГРП)</v>
          </cell>
          <cell r="X828" t="str">
            <v>В скажине МСУ-400+2720 проволки</v>
          </cell>
        </row>
        <row r="829">
          <cell r="B829" t="str">
            <v>5845б</v>
          </cell>
          <cell r="C829" t="str">
            <v>168б</v>
          </cell>
          <cell r="H829" t="str">
            <v>фон</v>
          </cell>
          <cell r="U829" t="str">
            <v>ОПЗ</v>
          </cell>
          <cell r="W829" t="str">
            <v>УГИС,ОПЗ НТПН, ГДИ</v>
          </cell>
        </row>
        <row r="830">
          <cell r="B830">
            <v>5849</v>
          </cell>
          <cell r="C830" t="str">
            <v>168б</v>
          </cell>
          <cell r="H830" t="str">
            <v>фон</v>
          </cell>
          <cell r="U830" t="str">
            <v>ОПЗ</v>
          </cell>
          <cell r="W830" t="str">
            <v>ВЦ,(ПП) УГИС ОПЗ ИХН,ГДИ</v>
          </cell>
        </row>
        <row r="831">
          <cell r="B831">
            <v>4120</v>
          </cell>
          <cell r="C831">
            <v>311</v>
          </cell>
          <cell r="H831" t="str">
            <v>эцн</v>
          </cell>
          <cell r="U831" t="str">
            <v>ЛА</v>
          </cell>
          <cell r="W831" t="str">
            <v>ВЦ.ВЗ.УГИС ГДИ</v>
          </cell>
        </row>
        <row r="832">
          <cell r="B832">
            <v>4119</v>
          </cell>
          <cell r="C832">
            <v>311</v>
          </cell>
          <cell r="H832" t="str">
            <v>эцн</v>
          </cell>
          <cell r="U832" t="str">
            <v>ЛА</v>
          </cell>
          <cell r="W832" t="str">
            <v>ВЦ.ВЗ.УГИС ГДИ</v>
          </cell>
        </row>
        <row r="833">
          <cell r="B833">
            <v>5589</v>
          </cell>
          <cell r="C833">
            <v>118</v>
          </cell>
          <cell r="H833" t="str">
            <v>эцн</v>
          </cell>
          <cell r="U833" t="str">
            <v>ЛА</v>
          </cell>
          <cell r="W833" t="str">
            <v>ВЦ?.ВЗ.УГИС ГДИ</v>
          </cell>
        </row>
        <row r="834">
          <cell r="B834">
            <v>5388</v>
          </cell>
          <cell r="C834">
            <v>107</v>
          </cell>
          <cell r="H834" t="str">
            <v>нагнет.</v>
          </cell>
          <cell r="U834" t="str">
            <v>нг</v>
          </cell>
          <cell r="W834" t="str">
            <v>Изоляция ЮК-11,ОПЗ ЮК-10 пуск под зак.</v>
          </cell>
        </row>
        <row r="835">
          <cell r="B835">
            <v>5386</v>
          </cell>
          <cell r="C835">
            <v>107</v>
          </cell>
          <cell r="H835" t="str">
            <v>нагнет.</v>
          </cell>
          <cell r="U835" t="str">
            <v>нг</v>
          </cell>
          <cell r="W835" t="str">
            <v>Изоляция ЮК-11,ОПЗ ЮК-10 пуск под зак.</v>
          </cell>
        </row>
        <row r="836">
          <cell r="B836">
            <v>5384</v>
          </cell>
          <cell r="C836">
            <v>107</v>
          </cell>
          <cell r="H836" t="str">
            <v>нагнет.</v>
          </cell>
          <cell r="U836" t="str">
            <v>нг</v>
          </cell>
          <cell r="W836" t="str">
            <v>УГИС, ГИС-3 пуск под закачку</v>
          </cell>
          <cell r="Z836">
            <v>2810</v>
          </cell>
          <cell r="AA836">
            <v>73</v>
          </cell>
          <cell r="AB836">
            <v>36810</v>
          </cell>
          <cell r="AD836">
            <v>37171</v>
          </cell>
          <cell r="AE836">
            <v>37182</v>
          </cell>
          <cell r="AF836">
            <v>11</v>
          </cell>
          <cell r="AG836">
            <v>0</v>
          </cell>
          <cell r="AH836">
            <v>-9296250</v>
          </cell>
        </row>
        <row r="837">
          <cell r="B837">
            <v>3282</v>
          </cell>
          <cell r="C837" t="str">
            <v>70б</v>
          </cell>
          <cell r="G837">
            <v>275</v>
          </cell>
          <cell r="H837" t="str">
            <v>нагнет.</v>
          </cell>
          <cell r="I837" t="str">
            <v>конс.</v>
          </cell>
          <cell r="N837">
            <v>250</v>
          </cell>
          <cell r="Q837">
            <v>250</v>
          </cell>
          <cell r="R837">
            <v>0</v>
          </cell>
          <cell r="T837">
            <v>37185</v>
          </cell>
          <cell r="U837" t="str">
            <v>нг</v>
          </cell>
          <cell r="W837" t="str">
            <v>Спуск и привязка пакера, опред. прием.ЮК11</v>
          </cell>
          <cell r="X837" t="str">
            <v>Утилизация</v>
          </cell>
          <cell r="Y837" t="str">
            <v>+14</v>
          </cell>
          <cell r="Z837">
            <v>2888</v>
          </cell>
          <cell r="AA837">
            <v>73</v>
          </cell>
          <cell r="AB837">
            <v>36763</v>
          </cell>
          <cell r="AD837">
            <v>37183</v>
          </cell>
          <cell r="AE837">
            <v>37194</v>
          </cell>
          <cell r="AF837">
            <v>11</v>
          </cell>
          <cell r="AG837">
            <v>0</v>
          </cell>
          <cell r="AH837">
            <v>-13018950</v>
          </cell>
        </row>
        <row r="838">
          <cell r="B838">
            <v>3301</v>
          </cell>
          <cell r="C838" t="str">
            <v>70б</v>
          </cell>
          <cell r="G838">
            <v>290</v>
          </cell>
          <cell r="H838" t="str">
            <v>нагнет.</v>
          </cell>
          <cell r="I838" t="str">
            <v>действ.</v>
          </cell>
          <cell r="K838">
            <v>580</v>
          </cell>
          <cell r="N838">
            <v>350</v>
          </cell>
          <cell r="Q838">
            <v>350</v>
          </cell>
          <cell r="R838">
            <v>0</v>
          </cell>
          <cell r="T838">
            <v>37197</v>
          </cell>
          <cell r="U838" t="str">
            <v>нг</v>
          </cell>
          <cell r="W838" t="str">
            <v>Ревизия и привязка пакера</v>
          </cell>
          <cell r="X838" t="str">
            <v>Утилизация</v>
          </cell>
          <cell r="Y838" t="str">
            <v>На забое "перо" с шаблоном 73мм + шламоуловитель(сверху)</v>
          </cell>
          <cell r="AD838">
            <v>37195</v>
          </cell>
          <cell r="AE838">
            <v>37195</v>
          </cell>
        </row>
        <row r="839">
          <cell r="B839">
            <v>2613</v>
          </cell>
          <cell r="C839">
            <v>157</v>
          </cell>
          <cell r="G839">
            <v>240</v>
          </cell>
          <cell r="H839" t="str">
            <v>ШГН</v>
          </cell>
          <cell r="I839" t="str">
            <v>бд</v>
          </cell>
          <cell r="J839">
            <v>34180</v>
          </cell>
          <cell r="N839">
            <v>24</v>
          </cell>
          <cell r="O839">
            <v>14</v>
          </cell>
          <cell r="P839">
            <v>28.5</v>
          </cell>
          <cell r="Q839">
            <v>24</v>
          </cell>
          <cell r="R839">
            <v>14</v>
          </cell>
          <cell r="S839">
            <v>28</v>
          </cell>
          <cell r="T839">
            <v>37202</v>
          </cell>
          <cell r="U839" t="str">
            <v>ГРП</v>
          </cell>
          <cell r="W839" t="str">
            <v>ЛА (НКТ). СО-каротаж. Дострел п."б".ГРП</v>
          </cell>
          <cell r="AD839">
            <v>37196</v>
          </cell>
          <cell r="AE839">
            <v>37196</v>
          </cell>
        </row>
        <row r="840">
          <cell r="B840">
            <v>2595</v>
          </cell>
          <cell r="C840">
            <v>157</v>
          </cell>
          <cell r="G840">
            <v>240</v>
          </cell>
          <cell r="H840" t="str">
            <v>Ф/ШГН</v>
          </cell>
          <cell r="N840">
            <v>12</v>
          </cell>
          <cell r="O840">
            <v>4.5</v>
          </cell>
          <cell r="P840">
            <v>54</v>
          </cell>
          <cell r="Q840">
            <v>12</v>
          </cell>
          <cell r="R840">
            <v>4.5</v>
          </cell>
          <cell r="S840">
            <v>53.7</v>
          </cell>
          <cell r="T840">
            <v>37203</v>
          </cell>
          <cell r="U840" t="str">
            <v>ОПЗ</v>
          </cell>
          <cell r="W840" t="str">
            <v>ЛА (НКТ). ОПЗ (НТПН)</v>
          </cell>
          <cell r="X840" t="str">
            <v>Прихват НКТ</v>
          </cell>
          <cell r="AD840">
            <v>37226</v>
          </cell>
          <cell r="AE840">
            <v>37263</v>
          </cell>
          <cell r="AF840">
            <v>37</v>
          </cell>
        </row>
        <row r="841">
          <cell r="B841">
            <v>2533</v>
          </cell>
          <cell r="C841">
            <v>150</v>
          </cell>
          <cell r="H841" t="str">
            <v>ШГН</v>
          </cell>
          <cell r="I841" t="str">
            <v>действ.</v>
          </cell>
          <cell r="K841">
            <v>11</v>
          </cell>
          <cell r="L841">
            <v>5.2</v>
          </cell>
          <cell r="M841">
            <v>42</v>
          </cell>
          <cell r="N841">
            <v>40</v>
          </cell>
          <cell r="O841">
            <v>13</v>
          </cell>
          <cell r="P841">
            <v>60</v>
          </cell>
          <cell r="Q841">
            <v>29</v>
          </cell>
          <cell r="R841">
            <v>7.8</v>
          </cell>
          <cell r="S841">
            <v>66.8</v>
          </cell>
          <cell r="T841">
            <v>37270</v>
          </cell>
          <cell r="U841" t="str">
            <v>ГРП</v>
          </cell>
          <cell r="W841" t="str">
            <v>ИР ЮК-11. ПП ЮК-10. ГРП</v>
          </cell>
          <cell r="Y841" t="str">
            <v>Прихват НКТ</v>
          </cell>
          <cell r="AD841">
            <v>37263</v>
          </cell>
          <cell r="AE841">
            <v>37293</v>
          </cell>
          <cell r="AF841">
            <v>30</v>
          </cell>
        </row>
        <row r="842">
          <cell r="B842">
            <v>2595</v>
          </cell>
          <cell r="C842">
            <v>157</v>
          </cell>
          <cell r="H842" t="str">
            <v>ШГН</v>
          </cell>
          <cell r="I842" t="str">
            <v>бд</v>
          </cell>
          <cell r="J842">
            <v>33710</v>
          </cell>
          <cell r="N842">
            <v>20</v>
          </cell>
          <cell r="O842">
            <v>13</v>
          </cell>
          <cell r="P842">
            <v>20</v>
          </cell>
          <cell r="Q842">
            <v>20</v>
          </cell>
          <cell r="R842">
            <v>13</v>
          </cell>
          <cell r="S842">
            <v>19.8</v>
          </cell>
          <cell r="U842" t="str">
            <v>ГРП</v>
          </cell>
          <cell r="W842" t="str">
            <v>ЛА, ГИС(ЗКЦ), ликв.ЗКЦ, ГРП</v>
          </cell>
          <cell r="Y842" t="str">
            <v>Сложная авария</v>
          </cell>
          <cell r="AD842">
            <v>37293</v>
          </cell>
          <cell r="AE842">
            <v>37338</v>
          </cell>
          <cell r="AF842">
            <v>45</v>
          </cell>
        </row>
        <row r="843">
          <cell r="B843">
            <v>2613</v>
          </cell>
          <cell r="C843">
            <v>157</v>
          </cell>
          <cell r="H843" t="str">
            <v>ШГН</v>
          </cell>
          <cell r="I843" t="str">
            <v>бд</v>
          </cell>
          <cell r="J843">
            <v>34180</v>
          </cell>
          <cell r="N843">
            <v>20</v>
          </cell>
          <cell r="O843">
            <v>10</v>
          </cell>
          <cell r="P843">
            <v>38.5</v>
          </cell>
          <cell r="Q843">
            <v>20</v>
          </cell>
          <cell r="R843">
            <v>10</v>
          </cell>
          <cell r="S843">
            <v>38.299999999999997</v>
          </cell>
          <cell r="U843" t="str">
            <v>ГРП</v>
          </cell>
          <cell r="W843" t="str">
            <v>ЛА(ВЗ), ГРП</v>
          </cell>
        </row>
        <row r="844">
          <cell r="B844">
            <v>5850</v>
          </cell>
          <cell r="C844">
            <v>169</v>
          </cell>
          <cell r="H844" t="str">
            <v>ФОН</v>
          </cell>
          <cell r="I844" t="str">
            <v>конс.</v>
          </cell>
          <cell r="J844">
            <v>34151</v>
          </cell>
          <cell r="N844">
            <v>50</v>
          </cell>
          <cell r="O844">
            <v>4</v>
          </cell>
          <cell r="P844">
            <v>90.1</v>
          </cell>
          <cell r="Q844">
            <v>50</v>
          </cell>
          <cell r="R844">
            <v>4</v>
          </cell>
          <cell r="S844">
            <v>90.1</v>
          </cell>
          <cell r="U844" t="str">
            <v>ОПЗ</v>
          </cell>
          <cell r="W844" t="str">
            <v>ВЦ, УГИС, ПП через УГИС в кислотной среде</v>
          </cell>
        </row>
        <row r="845">
          <cell r="B845">
            <v>2649</v>
          </cell>
          <cell r="C845" t="str">
            <v>157б</v>
          </cell>
          <cell r="H845" t="str">
            <v xml:space="preserve">ШГН </v>
          </cell>
          <cell r="I845" t="str">
            <v>действ.</v>
          </cell>
          <cell r="R845">
            <v>5</v>
          </cell>
          <cell r="W845" t="str">
            <v xml:space="preserve"> ДП ЮК-10 2797-2802, ПП ЮК-10 сп. НН. Инт.2654-2662, при наличии нефти  в ЮК-2 и воды в ЮК-10 ГРП</v>
          </cell>
        </row>
        <row r="846">
          <cell r="B846">
            <v>2750</v>
          </cell>
          <cell r="C846">
            <v>146</v>
          </cell>
          <cell r="R846">
            <v>5.5</v>
          </cell>
          <cell r="W846" t="str">
            <v>ПП, спЭ-45, L-2100м</v>
          </cell>
        </row>
        <row r="847">
          <cell r="B847">
            <v>2751</v>
          </cell>
          <cell r="C847">
            <v>146</v>
          </cell>
          <cell r="R847">
            <v>4.5</v>
          </cell>
          <cell r="W847" t="str">
            <v>ВЗ, ПП, ЮК-10-11, сп.Э-50</v>
          </cell>
        </row>
        <row r="848">
          <cell r="B848">
            <v>2754</v>
          </cell>
          <cell r="C848">
            <v>145</v>
          </cell>
          <cell r="I848" t="str">
            <v>конс.</v>
          </cell>
          <cell r="J848">
            <v>32843</v>
          </cell>
          <cell r="K848">
            <v>6</v>
          </cell>
          <cell r="L848">
            <v>0.5</v>
          </cell>
          <cell r="M848">
            <v>90</v>
          </cell>
          <cell r="N848">
            <v>30</v>
          </cell>
          <cell r="O848">
            <v>12</v>
          </cell>
          <cell r="P848">
            <v>51</v>
          </cell>
          <cell r="Q848">
            <v>30</v>
          </cell>
          <cell r="R848">
            <v>12</v>
          </cell>
          <cell r="S848">
            <v>50.6</v>
          </cell>
          <cell r="U848" t="str">
            <v>ГРП</v>
          </cell>
          <cell r="W848" t="str">
            <v>ГРП, возможно приобщение ЮК-11</v>
          </cell>
        </row>
        <row r="849">
          <cell r="B849">
            <v>2755</v>
          </cell>
          <cell r="C849">
            <v>145</v>
          </cell>
          <cell r="I849" t="str">
            <v>бд</v>
          </cell>
          <cell r="J849">
            <v>33968</v>
          </cell>
          <cell r="K849">
            <v>40</v>
          </cell>
          <cell r="L849">
            <v>1.6</v>
          </cell>
          <cell r="M849">
            <v>95</v>
          </cell>
          <cell r="N849">
            <v>30</v>
          </cell>
          <cell r="O849">
            <v>12</v>
          </cell>
          <cell r="P849">
            <v>51</v>
          </cell>
          <cell r="Q849">
            <v>30</v>
          </cell>
          <cell r="R849">
            <v>12</v>
          </cell>
          <cell r="S849">
            <v>50.6</v>
          </cell>
          <cell r="U849" t="str">
            <v>ГРП</v>
          </cell>
          <cell r="W849" t="str">
            <v>ГИС-2(и.о.) РИР ЮК-11, ГРП с отсыпкой низа ЮК-10</v>
          </cell>
        </row>
        <row r="850">
          <cell r="B850">
            <v>2756</v>
          </cell>
          <cell r="C850">
            <v>145</v>
          </cell>
          <cell r="I850" t="str">
            <v>бд</v>
          </cell>
          <cell r="J850">
            <v>35786</v>
          </cell>
          <cell r="K850">
            <v>70</v>
          </cell>
          <cell r="L850">
            <v>10.8</v>
          </cell>
          <cell r="M850">
            <v>81</v>
          </cell>
          <cell r="N850">
            <v>50</v>
          </cell>
          <cell r="O850">
            <v>10</v>
          </cell>
          <cell r="P850">
            <v>75.400000000000006</v>
          </cell>
          <cell r="Q850">
            <v>50</v>
          </cell>
          <cell r="R850">
            <v>10</v>
          </cell>
          <cell r="S850">
            <v>75.3</v>
          </cell>
          <cell r="U850" t="str">
            <v>РИР</v>
          </cell>
          <cell r="W850" t="str">
            <v>РИР Э/К 2562-2673, ПП-ЮК-10 с ОПЗ</v>
          </cell>
        </row>
        <row r="851">
          <cell r="B851">
            <v>2784</v>
          </cell>
          <cell r="C851">
            <v>145</v>
          </cell>
          <cell r="R851">
            <v>5</v>
          </cell>
          <cell r="W851" t="str">
            <v>ЛА, ГИС-2(и.о.)при отс.ЗКЦ с ЮК-11 ПП п.А с ОПЗ, сп.ЭЦН, при наличии ЗКЦ в консервацию</v>
          </cell>
        </row>
        <row r="852">
          <cell r="B852">
            <v>2920</v>
          </cell>
          <cell r="C852">
            <v>43</v>
          </cell>
          <cell r="R852">
            <v>10</v>
          </cell>
          <cell r="W852" t="str">
            <v>ВЦ,дострел 2812-2816м,2820-2825м,ГРП</v>
          </cell>
        </row>
        <row r="853">
          <cell r="B853">
            <v>2982</v>
          </cell>
          <cell r="C853">
            <v>50</v>
          </cell>
          <cell r="F853" t="str">
            <v>УПНПиКРС</v>
          </cell>
          <cell r="G853">
            <v>260</v>
          </cell>
          <cell r="H853" t="str">
            <v>ШГН</v>
          </cell>
          <cell r="I853" t="str">
            <v>конс.</v>
          </cell>
          <cell r="J853">
            <v>34335</v>
          </cell>
          <cell r="K853">
            <v>0</v>
          </cell>
          <cell r="L853">
            <v>0</v>
          </cell>
          <cell r="M853">
            <v>0</v>
          </cell>
          <cell r="N853">
            <v>40</v>
          </cell>
          <cell r="O853">
            <v>25.5</v>
          </cell>
          <cell r="P853">
            <v>21.8</v>
          </cell>
          <cell r="Q853">
            <v>40</v>
          </cell>
          <cell r="R853">
            <v>25.5</v>
          </cell>
          <cell r="S853">
            <v>21.8</v>
          </cell>
          <cell r="T853">
            <v>37905</v>
          </cell>
          <cell r="U853" t="str">
            <v>грп</v>
          </cell>
          <cell r="W853" t="str">
            <v>ВЦ,ПР,ГРП ЮК-10,осв.</v>
          </cell>
          <cell r="AD853">
            <v>37893</v>
          </cell>
          <cell r="AE853">
            <v>37898</v>
          </cell>
        </row>
        <row r="854">
          <cell r="B854">
            <v>3034</v>
          </cell>
          <cell r="C854">
            <v>51</v>
          </cell>
          <cell r="H854" t="str">
            <v>ШГН</v>
          </cell>
          <cell r="I854" t="str">
            <v>конс.</v>
          </cell>
          <cell r="N854">
            <v>50</v>
          </cell>
          <cell r="O854">
            <v>5</v>
          </cell>
          <cell r="P854">
            <v>87.7</v>
          </cell>
          <cell r="Q854">
            <v>50</v>
          </cell>
          <cell r="R854">
            <v>5</v>
          </cell>
          <cell r="S854">
            <v>87.7</v>
          </cell>
          <cell r="W854" t="str">
            <v>ВЦ,ПП ЮК-11,сп Э-50</v>
          </cell>
        </row>
        <row r="855">
          <cell r="B855">
            <v>5435</v>
          </cell>
          <cell r="C855">
            <v>106</v>
          </cell>
          <cell r="R855">
            <v>6</v>
          </cell>
          <cell r="W855" t="str">
            <v>ЛА ( НКТ ),ПП, сп Э-50</v>
          </cell>
        </row>
        <row r="856">
          <cell r="B856">
            <v>5615</v>
          </cell>
          <cell r="C856">
            <v>116</v>
          </cell>
          <cell r="R856">
            <v>5</v>
          </cell>
          <cell r="W856" t="str">
            <v>ВЦ,ПП,ОПЗ,сп Э-50</v>
          </cell>
        </row>
        <row r="857">
          <cell r="B857">
            <v>5583</v>
          </cell>
          <cell r="C857">
            <v>116</v>
          </cell>
          <cell r="H857" t="str">
            <v>ЭЦН</v>
          </cell>
          <cell r="I857" t="str">
            <v>конс.</v>
          </cell>
          <cell r="N857">
            <v>50</v>
          </cell>
          <cell r="O857">
            <v>5</v>
          </cell>
          <cell r="P857">
            <v>87.7</v>
          </cell>
          <cell r="Q857">
            <v>50</v>
          </cell>
          <cell r="R857">
            <v>5</v>
          </cell>
          <cell r="S857">
            <v>87.7</v>
          </cell>
          <cell r="W857" t="str">
            <v>ВЦ,ПП, сп Э-50 ( ООО прогр.)</v>
          </cell>
        </row>
        <row r="858">
          <cell r="B858" t="str">
            <v>5402б</v>
          </cell>
          <cell r="C858">
            <v>103</v>
          </cell>
          <cell r="H858" t="str">
            <v>ЭЦН</v>
          </cell>
          <cell r="I858" t="str">
            <v>конс.</v>
          </cell>
          <cell r="N858">
            <v>80</v>
          </cell>
          <cell r="O858">
            <v>5</v>
          </cell>
          <cell r="P858">
            <v>92.3</v>
          </cell>
          <cell r="Q858">
            <v>80</v>
          </cell>
          <cell r="R858">
            <v>5</v>
          </cell>
          <cell r="S858">
            <v>92.3</v>
          </cell>
          <cell r="W858" t="str">
            <v>ВЦ,ПП с ОПЗ сп Э-80 ( ООО э/прогрев )</v>
          </cell>
        </row>
        <row r="859">
          <cell r="B859">
            <v>2596</v>
          </cell>
          <cell r="C859">
            <v>150</v>
          </cell>
          <cell r="F859" t="str">
            <v>УПНПиКРС</v>
          </cell>
          <cell r="G859">
            <v>250</v>
          </cell>
          <cell r="H859" t="str">
            <v>ШГН</v>
          </cell>
          <cell r="I859" t="str">
            <v>конс.</v>
          </cell>
          <cell r="J859">
            <v>34304</v>
          </cell>
          <cell r="K859">
            <v>3</v>
          </cell>
          <cell r="L859">
            <v>1</v>
          </cell>
          <cell r="M859">
            <v>60</v>
          </cell>
          <cell r="N859">
            <v>30</v>
          </cell>
          <cell r="O859">
            <v>12</v>
          </cell>
          <cell r="P859">
            <v>50.8</v>
          </cell>
          <cell r="Q859">
            <v>30</v>
          </cell>
          <cell r="R859">
            <v>12</v>
          </cell>
          <cell r="S859">
            <v>50.6</v>
          </cell>
          <cell r="T859" t="e">
            <v>#REF!</v>
          </cell>
          <cell r="U859" t="str">
            <v>ГРП</v>
          </cell>
          <cell r="V859">
            <v>2</v>
          </cell>
          <cell r="W859" t="str">
            <v>ВЦ, ИР ЮК-10, ПР к ГРП и ГРП ЮК-2-3</v>
          </cell>
          <cell r="AD859" t="e">
            <v>#REF!</v>
          </cell>
          <cell r="AE859" t="e">
            <v>#REF!</v>
          </cell>
          <cell r="AF859">
            <v>45</v>
          </cell>
          <cell r="AG859">
            <v>28</v>
          </cell>
          <cell r="AH859">
            <v>60</v>
          </cell>
        </row>
        <row r="860">
          <cell r="B860">
            <v>2704</v>
          </cell>
          <cell r="C860" t="str">
            <v>160б</v>
          </cell>
          <cell r="F860" t="str">
            <v>УПНПиКРС</v>
          </cell>
          <cell r="G860">
            <v>270</v>
          </cell>
          <cell r="H860" t="str">
            <v>ФОН</v>
          </cell>
          <cell r="I860" t="str">
            <v>конс.</v>
          </cell>
          <cell r="J860">
            <v>34364</v>
          </cell>
          <cell r="K860">
            <v>29</v>
          </cell>
          <cell r="L860">
            <v>1.2</v>
          </cell>
          <cell r="M860">
            <v>95</v>
          </cell>
          <cell r="N860">
            <v>30</v>
          </cell>
          <cell r="O860">
            <v>12</v>
          </cell>
          <cell r="P860">
            <v>51</v>
          </cell>
          <cell r="Q860">
            <v>30</v>
          </cell>
          <cell r="R860">
            <v>12</v>
          </cell>
          <cell r="S860">
            <v>50.6</v>
          </cell>
          <cell r="T860">
            <v>37932</v>
          </cell>
          <cell r="U860" t="str">
            <v>ГРП</v>
          </cell>
          <cell r="V860">
            <v>5</v>
          </cell>
          <cell r="W860" t="str">
            <v>ЛА,ИР ЮК-11,ПП ЮК-10 ГРП</v>
          </cell>
          <cell r="Y860" t="str">
            <v>КВ есть</v>
          </cell>
          <cell r="AD860">
            <v>37926</v>
          </cell>
          <cell r="AE860">
            <v>37966</v>
          </cell>
          <cell r="AF860">
            <v>40</v>
          </cell>
        </row>
        <row r="861">
          <cell r="B861">
            <v>5858</v>
          </cell>
          <cell r="C861">
            <v>169</v>
          </cell>
          <cell r="F861" t="str">
            <v>УПНПиКРС</v>
          </cell>
          <cell r="G861">
            <v>270</v>
          </cell>
          <cell r="H861" t="str">
            <v>ФОН</v>
          </cell>
          <cell r="I861" t="str">
            <v>бд</v>
          </cell>
          <cell r="J861">
            <v>36649</v>
          </cell>
          <cell r="K861">
            <v>7</v>
          </cell>
          <cell r="L861">
            <v>1</v>
          </cell>
          <cell r="M861">
            <v>82</v>
          </cell>
          <cell r="N861">
            <v>30</v>
          </cell>
          <cell r="O861">
            <v>12</v>
          </cell>
          <cell r="P861">
            <v>51</v>
          </cell>
          <cell r="Q861">
            <v>30</v>
          </cell>
          <cell r="R861">
            <v>12</v>
          </cell>
          <cell r="S861">
            <v>50.6</v>
          </cell>
          <cell r="T861">
            <v>37849</v>
          </cell>
          <cell r="U861" t="str">
            <v>ГРП</v>
          </cell>
          <cell r="V861">
            <v>4</v>
          </cell>
          <cell r="W861" t="str">
            <v xml:space="preserve">инт.ЮК-5  2613-2628м,РИР ЮК-10,ГРП </v>
          </cell>
          <cell r="AD861" t="e">
            <v>#REF!</v>
          </cell>
          <cell r="AE861" t="e">
            <v>#REF!</v>
          </cell>
          <cell r="AF861">
            <v>40</v>
          </cell>
        </row>
        <row r="862">
          <cell r="B862">
            <v>5345</v>
          </cell>
          <cell r="C862">
            <v>102</v>
          </cell>
          <cell r="F862" t="str">
            <v>УПНПиКРС</v>
          </cell>
          <cell r="G862">
            <v>250</v>
          </cell>
          <cell r="H862" t="str">
            <v>ШГН</v>
          </cell>
          <cell r="I862" t="str">
            <v>бд</v>
          </cell>
          <cell r="J862">
            <v>37216</v>
          </cell>
          <cell r="K862">
            <v>14</v>
          </cell>
          <cell r="L862">
            <v>0.5</v>
          </cell>
          <cell r="M862">
            <v>96</v>
          </cell>
          <cell r="N862">
            <v>30</v>
          </cell>
          <cell r="O862">
            <v>12</v>
          </cell>
          <cell r="P862">
            <v>51</v>
          </cell>
          <cell r="Q862">
            <v>30</v>
          </cell>
          <cell r="R862">
            <v>12</v>
          </cell>
          <cell r="S862">
            <v>50.6</v>
          </cell>
          <cell r="T862" t="e">
            <v>#REF!</v>
          </cell>
          <cell r="U862" t="str">
            <v>ГРП</v>
          </cell>
          <cell r="V862">
            <v>2</v>
          </cell>
          <cell r="W862" t="str">
            <v>ИР ЮК-10, ДП ЮК-2,ГРП ЮК-2-3</v>
          </cell>
          <cell r="Y862" t="str">
            <v>Н/пр-444м, по печати пост.предмет</v>
          </cell>
          <cell r="AA862">
            <v>73</v>
          </cell>
          <cell r="AB862" t="str">
            <v>-</v>
          </cell>
          <cell r="AD862" t="e">
            <v>#REF!</v>
          </cell>
          <cell r="AE862" t="e">
            <v>#REF!</v>
          </cell>
          <cell r="AF862">
            <v>35</v>
          </cell>
          <cell r="AG862" t="e">
            <v>#REF!</v>
          </cell>
          <cell r="AH862" t="e">
            <v>#REF!</v>
          </cell>
        </row>
        <row r="863">
          <cell r="B863">
            <v>5455</v>
          </cell>
          <cell r="C863">
            <v>102</v>
          </cell>
          <cell r="F863" t="str">
            <v>УПНПиКРС</v>
          </cell>
          <cell r="G863">
            <v>240</v>
          </cell>
          <cell r="H863" t="str">
            <v>ШГН</v>
          </cell>
          <cell r="I863" t="str">
            <v>конс.</v>
          </cell>
          <cell r="J863">
            <v>32843</v>
          </cell>
          <cell r="K863">
            <v>7</v>
          </cell>
          <cell r="L863">
            <v>5</v>
          </cell>
          <cell r="M863">
            <v>12</v>
          </cell>
          <cell r="N863">
            <v>21</v>
          </cell>
          <cell r="O863">
            <v>12</v>
          </cell>
          <cell r="P863">
            <v>30</v>
          </cell>
          <cell r="Q863">
            <v>21</v>
          </cell>
          <cell r="R863">
            <v>12</v>
          </cell>
          <cell r="S863">
            <v>29.5</v>
          </cell>
          <cell r="T863" t="e">
            <v>#REF!</v>
          </cell>
          <cell r="U863" t="str">
            <v>ГРП</v>
          </cell>
          <cell r="V863">
            <v>3</v>
          </cell>
          <cell r="W863" t="str">
            <v>ВЦ. ИР ЮК-10. ГДИ. ПП ДН. ГРП ЮК 2-3</v>
          </cell>
        </row>
        <row r="864">
          <cell r="B864">
            <v>5543</v>
          </cell>
          <cell r="C864">
            <v>114</v>
          </cell>
          <cell r="H864" t="str">
            <v>ШГН</v>
          </cell>
          <cell r="I864" t="str">
            <v>бд</v>
          </cell>
          <cell r="J864">
            <v>37258</v>
          </cell>
          <cell r="K864">
            <v>3</v>
          </cell>
          <cell r="L864">
            <v>1.7</v>
          </cell>
          <cell r="M864">
            <v>29</v>
          </cell>
          <cell r="N864">
            <v>24</v>
          </cell>
          <cell r="O864">
            <v>13.7</v>
          </cell>
          <cell r="P864">
            <v>30</v>
          </cell>
          <cell r="Q864">
            <v>24</v>
          </cell>
          <cell r="R864">
            <v>13.7</v>
          </cell>
          <cell r="S864">
            <v>29.5</v>
          </cell>
          <cell r="U864" t="str">
            <v>ГРП</v>
          </cell>
          <cell r="V864">
            <v>4</v>
          </cell>
          <cell r="W864" t="str">
            <v>повт.ГРП ( до 30т проп.)</v>
          </cell>
          <cell r="AD864" t="e">
            <v>#REF!</v>
          </cell>
          <cell r="AE864" t="e">
            <v>#REF!</v>
          </cell>
        </row>
        <row r="865">
          <cell r="B865">
            <v>2649</v>
          </cell>
          <cell r="C865" t="str">
            <v>157б</v>
          </cell>
          <cell r="F865" t="str">
            <v>УПНПиКРС</v>
          </cell>
          <cell r="G865">
            <v>235</v>
          </cell>
          <cell r="H865" t="str">
            <v>ШГН</v>
          </cell>
          <cell r="I865" t="str">
            <v>действ.</v>
          </cell>
          <cell r="K865">
            <v>4</v>
          </cell>
          <cell r="L865">
            <v>3.1</v>
          </cell>
          <cell r="M865">
            <v>6</v>
          </cell>
          <cell r="N865">
            <v>12</v>
          </cell>
          <cell r="O865">
            <v>8.1</v>
          </cell>
          <cell r="P865">
            <v>17</v>
          </cell>
          <cell r="Q865">
            <v>8</v>
          </cell>
          <cell r="R865">
            <v>5</v>
          </cell>
          <cell r="S865">
            <v>22.8</v>
          </cell>
          <cell r="T865" t="e">
            <v>#REF!</v>
          </cell>
          <cell r="U865" t="str">
            <v>ОПЗ</v>
          </cell>
          <cell r="V865">
            <v>5</v>
          </cell>
          <cell r="W865" t="str">
            <v>ДП ЮК-100,ПП, ЮК-10,ОПЗ,ГДИ</v>
          </cell>
          <cell r="Y865" t="str">
            <v xml:space="preserve">на забое ЭЦН-50/1550+103шт.60мм НКТ+кабель </v>
          </cell>
          <cell r="AD865" t="e">
            <v>#REF!</v>
          </cell>
          <cell r="AE865" t="e">
            <v>#REF!</v>
          </cell>
          <cell r="AF865">
            <v>45</v>
          </cell>
        </row>
        <row r="866">
          <cell r="B866">
            <v>5241</v>
          </cell>
          <cell r="C866">
            <v>134</v>
          </cell>
          <cell r="F866" t="str">
            <v>УПНПиКРС</v>
          </cell>
          <cell r="G866">
            <v>255</v>
          </cell>
          <cell r="H866" t="str">
            <v>ЭЦН</v>
          </cell>
          <cell r="I866" t="str">
            <v>бд</v>
          </cell>
          <cell r="J866">
            <v>34547</v>
          </cell>
          <cell r="K866">
            <v>21</v>
          </cell>
          <cell r="L866">
            <v>0.2</v>
          </cell>
          <cell r="M866">
            <v>99</v>
          </cell>
          <cell r="N866">
            <v>30</v>
          </cell>
          <cell r="O866">
            <v>12</v>
          </cell>
          <cell r="P866">
            <v>51</v>
          </cell>
          <cell r="Q866">
            <v>30</v>
          </cell>
          <cell r="R866">
            <v>12</v>
          </cell>
          <cell r="S866">
            <v>50.6</v>
          </cell>
          <cell r="T866" t="e">
            <v>#REF!</v>
          </cell>
          <cell r="U866" t="str">
            <v>ГРП</v>
          </cell>
          <cell r="V866">
            <v>2</v>
          </cell>
          <cell r="W866" t="str">
            <v xml:space="preserve">ВЦ, ГИС-2 ( источ. обвод.), при подтверждении воды и герм. э/колонны -ДП. ЮК-2 2478-2488м, РИР ЮК-10, ГРП ЮК-2 </v>
          </cell>
          <cell r="X866" t="str">
            <v>ЭП выполнен, ЭЦН с КРБК на забое</v>
          </cell>
          <cell r="Y866" t="str">
            <v>ПРС май 95г., Реагирует:42/2857,2877,44б/3094 Qн=10т/сут</v>
          </cell>
        </row>
        <row r="867">
          <cell r="B867">
            <v>2895</v>
          </cell>
          <cell r="C867">
            <v>42</v>
          </cell>
          <cell r="G867">
            <v>290</v>
          </cell>
          <cell r="H867" t="str">
            <v>нагнет.</v>
          </cell>
          <cell r="I867" t="str">
            <v>бд</v>
          </cell>
          <cell r="J867">
            <v>36418</v>
          </cell>
          <cell r="K867">
            <v>50</v>
          </cell>
          <cell r="N867">
            <v>100</v>
          </cell>
          <cell r="Q867">
            <v>100</v>
          </cell>
          <cell r="U867" t="str">
            <v>нг</v>
          </cell>
          <cell r="W867" t="str">
            <v>Извл.воронки, ВЗ, реизия Ф/А пуск под закачку</v>
          </cell>
          <cell r="Y867" t="str">
            <v>КРС июнь 91г.</v>
          </cell>
        </row>
        <row r="868">
          <cell r="B868">
            <v>2897</v>
          </cell>
          <cell r="C868">
            <v>42</v>
          </cell>
          <cell r="G868">
            <v>300</v>
          </cell>
          <cell r="H868" t="str">
            <v>нагнет.</v>
          </cell>
          <cell r="I868" t="str">
            <v>действ.</v>
          </cell>
          <cell r="K868">
            <v>150</v>
          </cell>
          <cell r="N868">
            <v>150</v>
          </cell>
          <cell r="Q868">
            <v>150</v>
          </cell>
          <cell r="U868" t="str">
            <v>нг</v>
          </cell>
          <cell r="W868" t="str">
            <v>Извл.воронки, ВЗ, реизия Ф/А пуск под закачку</v>
          </cell>
          <cell r="Y868" t="str">
            <v>КРС август 88г.</v>
          </cell>
        </row>
        <row r="869">
          <cell r="B869">
            <v>2898</v>
          </cell>
          <cell r="C869">
            <v>42</v>
          </cell>
          <cell r="G869">
            <v>300</v>
          </cell>
          <cell r="H869" t="str">
            <v>нагнет.</v>
          </cell>
          <cell r="I869" t="str">
            <v>действ.</v>
          </cell>
          <cell r="K869">
            <v>150</v>
          </cell>
          <cell r="N869">
            <v>150</v>
          </cell>
          <cell r="Q869">
            <v>150</v>
          </cell>
          <cell r="U869" t="str">
            <v>нг</v>
          </cell>
          <cell r="W869" t="str">
            <v>Извл.воронки, ВЗ, реизия Ф/А пуск под закачку</v>
          </cell>
          <cell r="Y869" t="str">
            <v>Бурение 2-го ствола (3.01.95-24.09.95).Пoлет ЭЦН, При ликвидации аварии обнаружено нарушение Э/К на гл.1562-1573м(6.08-7.09.98)</v>
          </cell>
        </row>
        <row r="870">
          <cell r="B870">
            <v>2756</v>
          </cell>
          <cell r="C870">
            <v>145</v>
          </cell>
          <cell r="I870" t="str">
            <v>бд</v>
          </cell>
          <cell r="J870">
            <v>35786</v>
          </cell>
          <cell r="K870">
            <v>70</v>
          </cell>
          <cell r="L870">
            <v>10.8</v>
          </cell>
          <cell r="M870">
            <v>81</v>
          </cell>
          <cell r="N870">
            <v>50</v>
          </cell>
          <cell r="O870">
            <v>10</v>
          </cell>
          <cell r="P870">
            <v>75.400000000000006</v>
          </cell>
          <cell r="Q870">
            <v>50</v>
          </cell>
          <cell r="R870">
            <v>10</v>
          </cell>
          <cell r="S870">
            <v>75.3</v>
          </cell>
          <cell r="U870" t="str">
            <v>РИР</v>
          </cell>
          <cell r="W870" t="str">
            <v>РИР Э/К 2562-2673, ПП-ЮК-10 с ОПЗ</v>
          </cell>
          <cell r="Y870" t="str">
            <v xml:space="preserve">При ПРС (ГЖ) пересыпает забой, Восстановить не смогли. Предположительно нарушение Э/К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 Рзаб и Кпр"/>
      <sheetName val="NEG02"/>
      <sheetName val="индикаторная"/>
      <sheetName val="ГДХ скважины"/>
      <sheetName val="справочник"/>
      <sheetName val="потери на трение в НКТ"/>
      <sheetName val="допустимый угол "/>
      <sheetName val="КВУ"/>
      <sheetName val="потенциал"/>
      <sheetName val="потенциал-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02"/>
      <sheetName val="Расчет Рзаб и Кпр"/>
      <sheetName val="индикаторная"/>
      <sheetName val="ГДХ скважины"/>
      <sheetName val="справочник"/>
      <sheetName val="потери на трение в НКТ"/>
      <sheetName val="допустимый угол "/>
      <sheetName val="КВУ"/>
      <sheetName val="потенциал"/>
      <sheetName val="потенциал-2"/>
      <sheetName val="Расчет_Рзаб_и_Кпр"/>
      <sheetName val="ГДХ_скважины"/>
      <sheetName val="потери_на_трение_в_НКТ"/>
      <sheetName val="допустимый_угол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дикаторная"/>
      <sheetName val="ВАХ_Ю11"/>
      <sheetName val="ВАХ_Ю1_2_3"/>
      <sheetName val="ВАХ_Ю22"/>
      <sheetName val="СЕВ_Б9"/>
      <sheetName val="сев_Б7"/>
      <sheetName val="СЕВ_Б4"/>
      <sheetName val="сов_А1"/>
      <sheetName val="сов_Б"/>
      <sheetName val="стр_Ю1"/>
      <sheetName val="З_П  А1,А2"/>
      <sheetName val="З_П_Ю1"/>
      <sheetName val="ЧК_Ю1"/>
      <sheetName val="М_Ю"/>
      <sheetName val="Н_В_Б10"/>
      <sheetName val="ЧКЛ PZ"/>
      <sheetName val="свод плотностей"/>
      <sheetName val="Модуль1"/>
      <sheetName val="З_П__А1,А2"/>
      <sheetName val="ЧКЛ_PZ"/>
      <sheetName val="свод_плотносте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P5" t="str">
            <v xml:space="preserve"> +-нефть</v>
          </cell>
          <cell r="Q5" t="str">
            <v xml:space="preserve"> -+ жид-ть</v>
          </cell>
          <cell r="T5" t="str">
            <v>шифр</v>
          </cell>
        </row>
        <row r="7">
          <cell r="P7">
            <v>-0.71720000000000805</v>
          </cell>
          <cell r="Q7">
            <v>-2</v>
          </cell>
          <cell r="T7" t="str">
            <v>уточ.режима</v>
          </cell>
        </row>
        <row r="8">
          <cell r="P8">
            <v>-0.90465000000000018</v>
          </cell>
          <cell r="Q8">
            <v>2</v>
          </cell>
          <cell r="T8">
            <v>0</v>
          </cell>
        </row>
        <row r="9">
          <cell r="P9">
            <v>-0.13040000000000007</v>
          </cell>
          <cell r="Q9">
            <v>0</v>
          </cell>
          <cell r="T9">
            <v>0</v>
          </cell>
        </row>
        <row r="10">
          <cell r="P10">
            <v>-5.4116000000000026</v>
          </cell>
          <cell r="Q10">
            <v>-9</v>
          </cell>
          <cell r="T10" t="str">
            <v>ипп</v>
          </cell>
        </row>
        <row r="11">
          <cell r="P11">
            <v>-8.9649999999999341E-2</v>
          </cell>
          <cell r="Q11">
            <v>-1</v>
          </cell>
          <cell r="T11">
            <v>0</v>
          </cell>
        </row>
        <row r="12">
          <cell r="P12">
            <v>-0.82314999999999827</v>
          </cell>
          <cell r="Q12">
            <v>-2</v>
          </cell>
          <cell r="T12">
            <v>0</v>
          </cell>
        </row>
        <row r="13">
          <cell r="P13">
            <v>1.3447499999999977</v>
          </cell>
          <cell r="Q13">
            <v>0</v>
          </cell>
          <cell r="T13" t="str">
            <v>уточ.режима</v>
          </cell>
        </row>
        <row r="14">
          <cell r="P14">
            <v>1.5322000000000007</v>
          </cell>
          <cell r="Q14">
            <v>-2</v>
          </cell>
          <cell r="T14" t="str">
            <v>уточ.режима</v>
          </cell>
        </row>
        <row r="15">
          <cell r="P15">
            <v>0.13854999999999862</v>
          </cell>
          <cell r="Q15">
            <v>-1</v>
          </cell>
          <cell r="T15">
            <v>0</v>
          </cell>
        </row>
        <row r="16">
          <cell r="P16">
            <v>-2.7873000000000019</v>
          </cell>
          <cell r="Q16">
            <v>-3</v>
          </cell>
          <cell r="T16" t="str">
            <v>вода</v>
          </cell>
        </row>
        <row r="17">
          <cell r="P17">
            <v>4.0749999999999957</v>
          </cell>
          <cell r="Q17">
            <v>4</v>
          </cell>
          <cell r="T17" t="str">
            <v>уточ.режима</v>
          </cell>
        </row>
        <row r="18">
          <cell r="P18">
            <v>-0.83130000000000237</v>
          </cell>
          <cell r="Q18">
            <v>-5</v>
          </cell>
          <cell r="T18">
            <v>0</v>
          </cell>
        </row>
        <row r="19">
          <cell r="P19">
            <v>-9.7800000000000331E-2</v>
          </cell>
          <cell r="Q19">
            <v>-3</v>
          </cell>
          <cell r="T19">
            <v>0</v>
          </cell>
        </row>
        <row r="20">
          <cell r="P20">
            <v>0</v>
          </cell>
          <cell r="Q20">
            <v>0</v>
          </cell>
          <cell r="T20">
            <v>0</v>
          </cell>
        </row>
        <row r="21">
          <cell r="P21">
            <v>-5.7050000000000267E-2</v>
          </cell>
          <cell r="Q21">
            <v>1</v>
          </cell>
          <cell r="T21">
            <v>0</v>
          </cell>
        </row>
        <row r="22">
          <cell r="P22">
            <v>0</v>
          </cell>
          <cell r="Q22">
            <v>0</v>
          </cell>
          <cell r="T22">
            <v>0</v>
          </cell>
        </row>
        <row r="23">
          <cell r="P23">
            <v>0</v>
          </cell>
          <cell r="Q23">
            <v>0</v>
          </cell>
          <cell r="T23">
            <v>0</v>
          </cell>
        </row>
        <row r="24">
          <cell r="P24">
            <v>0</v>
          </cell>
          <cell r="Q24">
            <v>0</v>
          </cell>
          <cell r="T24">
            <v>0</v>
          </cell>
        </row>
        <row r="25">
          <cell r="P25">
            <v>-0.27709999999999724</v>
          </cell>
          <cell r="Q25">
            <v>-1</v>
          </cell>
          <cell r="T25">
            <v>0</v>
          </cell>
        </row>
        <row r="26">
          <cell r="P26">
            <v>-4.8900000000001942E-2</v>
          </cell>
          <cell r="Q26">
            <v>-2</v>
          </cell>
          <cell r="T26">
            <v>0</v>
          </cell>
        </row>
        <row r="27">
          <cell r="P27">
            <v>0.92095000000000216</v>
          </cell>
          <cell r="Q27">
            <v>-1</v>
          </cell>
          <cell r="T27">
            <v>0</v>
          </cell>
        </row>
        <row r="28">
          <cell r="P28">
            <v>-0.81500000000000128</v>
          </cell>
          <cell r="Q28">
            <v>-2</v>
          </cell>
          <cell r="T28">
            <v>0</v>
          </cell>
        </row>
        <row r="29">
          <cell r="P29">
            <v>-1.2387999999999852</v>
          </cell>
          <cell r="Q29">
            <v>-6</v>
          </cell>
          <cell r="T29" t="str">
            <v>уточ.режима</v>
          </cell>
        </row>
        <row r="30">
          <cell r="P30">
            <v>-0.20375000000000032</v>
          </cell>
          <cell r="Q30">
            <v>0</v>
          </cell>
          <cell r="T30">
            <v>0</v>
          </cell>
        </row>
        <row r="31">
          <cell r="P31">
            <v>-0.39119999999999999</v>
          </cell>
          <cell r="Q31">
            <v>-2</v>
          </cell>
          <cell r="T31">
            <v>0</v>
          </cell>
        </row>
        <row r="32">
          <cell r="P32">
            <v>0.41564999999999808</v>
          </cell>
          <cell r="Q32">
            <v>-2</v>
          </cell>
          <cell r="T32">
            <v>0</v>
          </cell>
        </row>
        <row r="33">
          <cell r="P33" t="e">
            <v>#N/A</v>
          </cell>
          <cell r="Q33" t="e">
            <v>#N/A</v>
          </cell>
          <cell r="T33" t="e">
            <v>#N/A</v>
          </cell>
        </row>
        <row r="34">
          <cell r="P34">
            <v>0</v>
          </cell>
          <cell r="Q34">
            <v>0</v>
          </cell>
          <cell r="T34">
            <v>0</v>
          </cell>
        </row>
        <row r="35">
          <cell r="P35">
            <v>0</v>
          </cell>
          <cell r="Q35">
            <v>0</v>
          </cell>
          <cell r="T35">
            <v>0</v>
          </cell>
        </row>
        <row r="36">
          <cell r="P36">
            <v>0</v>
          </cell>
          <cell r="Q36">
            <v>0</v>
          </cell>
          <cell r="T36">
            <v>0</v>
          </cell>
        </row>
        <row r="37">
          <cell r="P37">
            <v>0</v>
          </cell>
          <cell r="Q37">
            <v>0</v>
          </cell>
          <cell r="T37">
            <v>0</v>
          </cell>
        </row>
        <row r="38">
          <cell r="P38">
            <v>0.92910000000000048</v>
          </cell>
          <cell r="Q38">
            <v>0</v>
          </cell>
          <cell r="T38">
            <v>0</v>
          </cell>
        </row>
        <row r="39">
          <cell r="P39">
            <v>-0.32600000000000029</v>
          </cell>
          <cell r="Q39">
            <v>0</v>
          </cell>
          <cell r="T39">
            <v>0</v>
          </cell>
        </row>
        <row r="40">
          <cell r="P40">
            <v>-6.6400000000000237E-2</v>
          </cell>
          <cell r="Q40">
            <v>0</v>
          </cell>
          <cell r="T40">
            <v>0</v>
          </cell>
        </row>
        <row r="41">
          <cell r="P41">
            <v>0</v>
          </cell>
          <cell r="Q41">
            <v>0</v>
          </cell>
          <cell r="T41">
            <v>0</v>
          </cell>
        </row>
        <row r="42">
          <cell r="P42">
            <v>-6.5200000000004588E-2</v>
          </cell>
          <cell r="Q42">
            <v>-2</v>
          </cell>
          <cell r="T42">
            <v>0</v>
          </cell>
        </row>
        <row r="43">
          <cell r="P43">
            <v>-0.74980000000000047</v>
          </cell>
          <cell r="Q43">
            <v>1</v>
          </cell>
          <cell r="T43">
            <v>0</v>
          </cell>
        </row>
        <row r="44">
          <cell r="P44">
            <v>-6.5199999999999925E-2</v>
          </cell>
          <cell r="Q44">
            <v>0</v>
          </cell>
          <cell r="T44">
            <v>0</v>
          </cell>
        </row>
        <row r="45">
          <cell r="P45">
            <v>0.1711500000000008</v>
          </cell>
          <cell r="Q45">
            <v>-7</v>
          </cell>
          <cell r="T45">
            <v>0</v>
          </cell>
        </row>
        <row r="46">
          <cell r="P46">
            <v>0.68459999999999965</v>
          </cell>
          <cell r="Q46">
            <v>3</v>
          </cell>
          <cell r="T46">
            <v>0</v>
          </cell>
        </row>
        <row r="47">
          <cell r="P47">
            <v>0.97800000000000065</v>
          </cell>
          <cell r="Q47">
            <v>7</v>
          </cell>
          <cell r="T47">
            <v>0</v>
          </cell>
        </row>
        <row r="48">
          <cell r="P48">
            <v>1.0594999999999999</v>
          </cell>
          <cell r="Q48">
            <v>2</v>
          </cell>
          <cell r="T48" t="str">
            <v>уточ.режима</v>
          </cell>
        </row>
        <row r="49">
          <cell r="P49">
            <v>1.5403500000000001</v>
          </cell>
          <cell r="Q49">
            <v>7</v>
          </cell>
          <cell r="T49" t="str">
            <v>прс</v>
          </cell>
        </row>
        <row r="50">
          <cell r="P50">
            <v>0.75794999999999924</v>
          </cell>
          <cell r="Q50">
            <v>0</v>
          </cell>
          <cell r="T50">
            <v>0</v>
          </cell>
        </row>
        <row r="51">
          <cell r="P51">
            <v>0.85575000000000045</v>
          </cell>
          <cell r="Q51">
            <v>0</v>
          </cell>
          <cell r="T51">
            <v>0</v>
          </cell>
        </row>
        <row r="52">
          <cell r="P52">
            <v>0</v>
          </cell>
          <cell r="Q52">
            <v>0</v>
          </cell>
          <cell r="T52">
            <v>0</v>
          </cell>
        </row>
        <row r="53">
          <cell r="P53">
            <v>0.26895000000000113</v>
          </cell>
          <cell r="Q53">
            <v>0</v>
          </cell>
          <cell r="T53">
            <v>0</v>
          </cell>
        </row>
        <row r="54">
          <cell r="P54">
            <v>-0.24450000000000038</v>
          </cell>
          <cell r="Q54">
            <v>2</v>
          </cell>
          <cell r="T54">
            <v>0</v>
          </cell>
        </row>
        <row r="55">
          <cell r="P55">
            <v>0</v>
          </cell>
          <cell r="Q55">
            <v>0</v>
          </cell>
          <cell r="T55">
            <v>0</v>
          </cell>
        </row>
        <row r="56">
          <cell r="P56">
            <v>-0.88019999999999898</v>
          </cell>
          <cell r="Q56">
            <v>-3</v>
          </cell>
          <cell r="T56">
            <v>0</v>
          </cell>
        </row>
        <row r="57">
          <cell r="P57">
            <v>-0.36675000000000235</v>
          </cell>
          <cell r="Q57">
            <v>0</v>
          </cell>
          <cell r="T57">
            <v>0</v>
          </cell>
        </row>
        <row r="58">
          <cell r="P58">
            <v>0.19560000000000244</v>
          </cell>
          <cell r="Q58">
            <v>-20</v>
          </cell>
          <cell r="T58" t="str">
            <v>сн.грп</v>
          </cell>
        </row>
        <row r="59">
          <cell r="P59">
            <v>0.24450000000000038</v>
          </cell>
          <cell r="Q59">
            <v>1</v>
          </cell>
          <cell r="T59" t="str">
            <v>уточ.режима</v>
          </cell>
        </row>
        <row r="60">
          <cell r="P60">
            <v>0.12224999999999975</v>
          </cell>
          <cell r="Q60">
            <v>0</v>
          </cell>
          <cell r="T60">
            <v>0</v>
          </cell>
        </row>
        <row r="61">
          <cell r="P61">
            <v>-0.65200000000000058</v>
          </cell>
          <cell r="Q61">
            <v>-3</v>
          </cell>
          <cell r="T61">
            <v>0</v>
          </cell>
        </row>
        <row r="62">
          <cell r="P62">
            <v>0</v>
          </cell>
          <cell r="Q62">
            <v>0</v>
          </cell>
          <cell r="T62">
            <v>0</v>
          </cell>
        </row>
        <row r="63">
          <cell r="P63">
            <v>0.49714999999999954</v>
          </cell>
          <cell r="Q63">
            <v>0</v>
          </cell>
          <cell r="T63">
            <v>0</v>
          </cell>
        </row>
        <row r="64">
          <cell r="P64">
            <v>0.45640000000000169</v>
          </cell>
          <cell r="Q64">
            <v>8</v>
          </cell>
          <cell r="T64">
            <v>0</v>
          </cell>
        </row>
        <row r="65">
          <cell r="P65">
            <v>0.22820000000000107</v>
          </cell>
          <cell r="Q65">
            <v>14</v>
          </cell>
          <cell r="T65" t="str">
            <v>уточ.режима</v>
          </cell>
        </row>
        <row r="66">
          <cell r="P66">
            <v>0</v>
          </cell>
          <cell r="Q66">
            <v>0</v>
          </cell>
          <cell r="T66">
            <v>0</v>
          </cell>
        </row>
        <row r="67">
          <cell r="P67">
            <v>1.2225000000000055</v>
          </cell>
          <cell r="Q67">
            <v>10</v>
          </cell>
          <cell r="T67" t="str">
            <v>уточ.режима</v>
          </cell>
        </row>
        <row r="68">
          <cell r="P68">
            <v>0.11409999999999965</v>
          </cell>
          <cell r="Q68">
            <v>2</v>
          </cell>
          <cell r="T68">
            <v>0</v>
          </cell>
        </row>
        <row r="69">
          <cell r="P69">
            <v>0</v>
          </cell>
          <cell r="Q69">
            <v>0</v>
          </cell>
          <cell r="T69">
            <v>0</v>
          </cell>
        </row>
        <row r="70">
          <cell r="P70">
            <v>0.18745000000000012</v>
          </cell>
          <cell r="Q70">
            <v>0</v>
          </cell>
          <cell r="T70">
            <v>0</v>
          </cell>
        </row>
        <row r="71">
          <cell r="P71">
            <v>-8.1500000000001016E-2</v>
          </cell>
          <cell r="Q71">
            <v>-1</v>
          </cell>
          <cell r="T71" t="str">
            <v>уточ.режима</v>
          </cell>
        </row>
        <row r="72">
          <cell r="P72">
            <v>4.0750000000009834E-2</v>
          </cell>
          <cell r="Q72">
            <v>1</v>
          </cell>
          <cell r="T72">
            <v>0</v>
          </cell>
        </row>
        <row r="73">
          <cell r="P73">
            <v>-0.35859999999999914</v>
          </cell>
          <cell r="Q73">
            <v>-1</v>
          </cell>
          <cell r="T73" t="str">
            <v>уточ.режима</v>
          </cell>
        </row>
        <row r="74">
          <cell r="P74">
            <v>-0.8312999999999966</v>
          </cell>
          <cell r="Q74">
            <v>23</v>
          </cell>
          <cell r="T74" t="str">
            <v>прс</v>
          </cell>
        </row>
        <row r="75">
          <cell r="P75">
            <v>0.61124999999999918</v>
          </cell>
          <cell r="Q75">
            <v>0</v>
          </cell>
          <cell r="T75">
            <v>0</v>
          </cell>
        </row>
        <row r="76">
          <cell r="P76">
            <v>-9.7800000000002996E-2</v>
          </cell>
          <cell r="Q76">
            <v>-1</v>
          </cell>
          <cell r="T76">
            <v>0</v>
          </cell>
        </row>
        <row r="77">
          <cell r="P77">
            <v>-0.8312999999999966</v>
          </cell>
          <cell r="Q77">
            <v>-2</v>
          </cell>
          <cell r="T77">
            <v>0</v>
          </cell>
        </row>
        <row r="78">
          <cell r="P78">
            <v>9.7799999999997667E-2</v>
          </cell>
          <cell r="Q78">
            <v>-3</v>
          </cell>
          <cell r="T78">
            <v>0</v>
          </cell>
        </row>
        <row r="79">
          <cell r="P79">
            <v>-2.1026999999999987</v>
          </cell>
          <cell r="Q79">
            <v>-7</v>
          </cell>
          <cell r="T79" t="str">
            <v>сн.опт</v>
          </cell>
        </row>
        <row r="80">
          <cell r="P80">
            <v>-0.94540000000000113</v>
          </cell>
          <cell r="Q80">
            <v>-4</v>
          </cell>
          <cell r="T80">
            <v>0</v>
          </cell>
        </row>
        <row r="81">
          <cell r="P81">
            <v>-0.24450000000000083</v>
          </cell>
          <cell r="Q81">
            <v>-2</v>
          </cell>
          <cell r="T81">
            <v>0</v>
          </cell>
        </row>
        <row r="82">
          <cell r="P82">
            <v>0.30154999999999799</v>
          </cell>
          <cell r="Q82">
            <v>10</v>
          </cell>
          <cell r="T82" t="str">
            <v>уточ.режима</v>
          </cell>
        </row>
        <row r="83">
          <cell r="P83">
            <v>-0.21189999999999998</v>
          </cell>
          <cell r="Q83">
            <v>0</v>
          </cell>
          <cell r="T83">
            <v>0</v>
          </cell>
        </row>
        <row r="84">
          <cell r="P84">
            <v>-0.52160000000000029</v>
          </cell>
          <cell r="Q84">
            <v>-1</v>
          </cell>
          <cell r="T84">
            <v>0</v>
          </cell>
        </row>
        <row r="85">
          <cell r="P85">
            <v>0.5460499999999997</v>
          </cell>
          <cell r="Q85">
            <v>2</v>
          </cell>
          <cell r="T85">
            <v>0</v>
          </cell>
        </row>
        <row r="86">
          <cell r="P86">
            <v>5.8028000000000004</v>
          </cell>
          <cell r="Q86">
            <v>9</v>
          </cell>
          <cell r="T86" t="str">
            <v>опт</v>
          </cell>
        </row>
        <row r="87">
          <cell r="P87">
            <v>-0.85575000000000911</v>
          </cell>
          <cell r="Q87">
            <v>-6</v>
          </cell>
          <cell r="T87">
            <v>0</v>
          </cell>
        </row>
        <row r="88">
          <cell r="P88">
            <v>-0.54605000000000148</v>
          </cell>
          <cell r="Q88">
            <v>-1</v>
          </cell>
          <cell r="T88">
            <v>0</v>
          </cell>
        </row>
        <row r="89">
          <cell r="P89">
            <v>3.2437000000000147</v>
          </cell>
          <cell r="Q89">
            <v>43</v>
          </cell>
          <cell r="T89" t="str">
            <v>опт</v>
          </cell>
        </row>
        <row r="90">
          <cell r="P90">
            <v>-0.65200000000000102</v>
          </cell>
          <cell r="Q90">
            <v>-5</v>
          </cell>
          <cell r="T90">
            <v>0</v>
          </cell>
        </row>
        <row r="91">
          <cell r="P91">
            <v>6.5199999999999925E-2</v>
          </cell>
          <cell r="Q91">
            <v>-2</v>
          </cell>
          <cell r="T91">
            <v>0</v>
          </cell>
        </row>
        <row r="92">
          <cell r="P92">
            <v>-1.0431999999999952</v>
          </cell>
          <cell r="Q92">
            <v>-25</v>
          </cell>
          <cell r="T92" t="str">
            <v>сн.опт</v>
          </cell>
        </row>
        <row r="93">
          <cell r="P93">
            <v>-1.1410000000000018</v>
          </cell>
          <cell r="Q93">
            <v>-5</v>
          </cell>
          <cell r="T93" t="str">
            <v>сн.грп</v>
          </cell>
        </row>
        <row r="94">
          <cell r="P94">
            <v>0.83944999999999936</v>
          </cell>
          <cell r="Q94">
            <v>1</v>
          </cell>
          <cell r="T94">
            <v>0</v>
          </cell>
        </row>
        <row r="95">
          <cell r="P95">
            <v>1.0024500000000032</v>
          </cell>
          <cell r="Q95">
            <v>18</v>
          </cell>
          <cell r="T95">
            <v>0</v>
          </cell>
        </row>
        <row r="96">
          <cell r="P96">
            <v>0.26894999999999847</v>
          </cell>
          <cell r="Q96">
            <v>-3</v>
          </cell>
          <cell r="T96">
            <v>0</v>
          </cell>
        </row>
        <row r="97">
          <cell r="P97">
            <v>4.3194999999999997</v>
          </cell>
          <cell r="Q97">
            <v>19</v>
          </cell>
          <cell r="T97" t="str">
            <v>опт</v>
          </cell>
        </row>
        <row r="98">
          <cell r="P98">
            <v>-0.37490000000000112</v>
          </cell>
          <cell r="Q98">
            <v>0</v>
          </cell>
          <cell r="T98">
            <v>0</v>
          </cell>
        </row>
        <row r="99">
          <cell r="P99">
            <v>3.3659499999999998</v>
          </cell>
          <cell r="Q99">
            <v>21</v>
          </cell>
          <cell r="T99" t="str">
            <v>прс</v>
          </cell>
        </row>
        <row r="100">
          <cell r="P100">
            <v>0.18744999999999756</v>
          </cell>
          <cell r="Q100">
            <v>-12</v>
          </cell>
          <cell r="T100" t="str">
            <v>сн.опт</v>
          </cell>
        </row>
        <row r="101">
          <cell r="P101">
            <v>-0.62754999999999672</v>
          </cell>
          <cell r="Q101">
            <v>0</v>
          </cell>
          <cell r="T101">
            <v>0</v>
          </cell>
        </row>
        <row r="102">
          <cell r="P102">
            <v>-1.3365999999999998</v>
          </cell>
          <cell r="Q102">
            <v>-6</v>
          </cell>
          <cell r="T102" t="str">
            <v>уточ.режима</v>
          </cell>
        </row>
        <row r="103">
          <cell r="P103">
            <v>0</v>
          </cell>
          <cell r="Q103">
            <v>0</v>
          </cell>
          <cell r="T103">
            <v>0</v>
          </cell>
        </row>
        <row r="104">
          <cell r="P104">
            <v>-0.88834999999999997</v>
          </cell>
          <cell r="Q104">
            <v>-7</v>
          </cell>
          <cell r="T104">
            <v>0</v>
          </cell>
        </row>
        <row r="105">
          <cell r="P105">
            <v>0.49714999999999865</v>
          </cell>
          <cell r="Q105">
            <v>-1</v>
          </cell>
          <cell r="T105">
            <v>0</v>
          </cell>
        </row>
        <row r="106">
          <cell r="P106">
            <v>-4.8900000000001942E-2</v>
          </cell>
          <cell r="Q106">
            <v>-2</v>
          </cell>
          <cell r="T106">
            <v>0</v>
          </cell>
        </row>
        <row r="107">
          <cell r="P107">
            <v>0.33415000000000283</v>
          </cell>
          <cell r="Q107">
            <v>0</v>
          </cell>
          <cell r="T107">
            <v>0</v>
          </cell>
        </row>
        <row r="108">
          <cell r="P108">
            <v>-0.19560000000000066</v>
          </cell>
          <cell r="Q108">
            <v>0</v>
          </cell>
          <cell r="T108">
            <v>0</v>
          </cell>
        </row>
        <row r="109">
          <cell r="P109">
            <v>-1.4425500000000024</v>
          </cell>
          <cell r="Q109">
            <v>-5</v>
          </cell>
          <cell r="T109" t="str">
            <v>уточ.режима</v>
          </cell>
        </row>
        <row r="110">
          <cell r="P110">
            <v>9.7799999999980791E-2</v>
          </cell>
          <cell r="Q110">
            <v>2</v>
          </cell>
          <cell r="T110">
            <v>0</v>
          </cell>
        </row>
        <row r="111">
          <cell r="P111">
            <v>1.0187500000000003</v>
          </cell>
          <cell r="Q111">
            <v>-5</v>
          </cell>
          <cell r="T111" t="str">
            <v>уточ.режима</v>
          </cell>
        </row>
        <row r="112">
          <cell r="P112">
            <v>0.22820000000000107</v>
          </cell>
          <cell r="Q112">
            <v>0</v>
          </cell>
          <cell r="T112">
            <v>0</v>
          </cell>
        </row>
        <row r="113">
          <cell r="P113">
            <v>0</v>
          </cell>
          <cell r="Q113">
            <v>0</v>
          </cell>
          <cell r="T113">
            <v>0</v>
          </cell>
        </row>
        <row r="114">
          <cell r="P114">
            <v>-5.3056499999999982</v>
          </cell>
          <cell r="Q114">
            <v>-9</v>
          </cell>
          <cell r="T114" t="str">
            <v>уточ.режима</v>
          </cell>
        </row>
        <row r="115">
          <cell r="P115">
            <v>-2.5672499999999996</v>
          </cell>
          <cell r="Q115">
            <v>-5</v>
          </cell>
          <cell r="T115" t="str">
            <v>уточ.режима</v>
          </cell>
        </row>
        <row r="116">
          <cell r="P116">
            <v>0</v>
          </cell>
          <cell r="Q116">
            <v>0</v>
          </cell>
          <cell r="T116">
            <v>0</v>
          </cell>
        </row>
        <row r="117">
          <cell r="P117">
            <v>0.22819999999999796</v>
          </cell>
          <cell r="Q117">
            <v>0</v>
          </cell>
          <cell r="T117">
            <v>0</v>
          </cell>
        </row>
        <row r="118">
          <cell r="P118">
            <v>0.22820000000000107</v>
          </cell>
          <cell r="Q118">
            <v>4</v>
          </cell>
          <cell r="T118">
            <v>0</v>
          </cell>
        </row>
        <row r="119">
          <cell r="P119">
            <v>0</v>
          </cell>
          <cell r="Q119">
            <v>0</v>
          </cell>
          <cell r="T119">
            <v>0</v>
          </cell>
        </row>
        <row r="120">
          <cell r="P120">
            <v>1.6707499999999857</v>
          </cell>
          <cell r="Q120">
            <v>-4</v>
          </cell>
          <cell r="T120" t="str">
            <v>уточ.режима</v>
          </cell>
        </row>
        <row r="121">
          <cell r="P121">
            <v>1.0676500000000018</v>
          </cell>
          <cell r="Q121">
            <v>2</v>
          </cell>
          <cell r="T121" t="str">
            <v>уточ.режима</v>
          </cell>
        </row>
        <row r="122">
          <cell r="P122">
            <v>0.33415000000000306</v>
          </cell>
          <cell r="Q122">
            <v>0</v>
          </cell>
          <cell r="T122">
            <v>0</v>
          </cell>
        </row>
        <row r="123">
          <cell r="P123">
            <v>-0.63570000000000038</v>
          </cell>
          <cell r="Q123">
            <v>0</v>
          </cell>
          <cell r="T123">
            <v>0</v>
          </cell>
        </row>
        <row r="124">
          <cell r="P124">
            <v>0</v>
          </cell>
          <cell r="Q124">
            <v>0</v>
          </cell>
          <cell r="T124">
            <v>0</v>
          </cell>
        </row>
        <row r="125">
          <cell r="P125">
            <v>-1.3114000000000001</v>
          </cell>
          <cell r="Q125">
            <v>-2</v>
          </cell>
          <cell r="T125" t="str">
            <v>уточ.режима</v>
          </cell>
        </row>
        <row r="126">
          <cell r="P126">
            <v>0.56235000000000213</v>
          </cell>
          <cell r="Q126">
            <v>1</v>
          </cell>
          <cell r="T126">
            <v>0</v>
          </cell>
        </row>
        <row r="127">
          <cell r="P127">
            <v>0.3749000000000009</v>
          </cell>
          <cell r="Q127">
            <v>-1</v>
          </cell>
          <cell r="T127">
            <v>0</v>
          </cell>
        </row>
        <row r="128">
          <cell r="P128">
            <v>0.3178500000000124</v>
          </cell>
          <cell r="Q128">
            <v>-21</v>
          </cell>
          <cell r="T128" t="str">
            <v>уточ.режима</v>
          </cell>
        </row>
        <row r="129">
          <cell r="P129">
            <v>0.24449999999999994</v>
          </cell>
          <cell r="Q129">
            <v>0</v>
          </cell>
          <cell r="T129">
            <v>0</v>
          </cell>
        </row>
        <row r="130">
          <cell r="P130">
            <v>-0.47310000000000008</v>
          </cell>
          <cell r="Q130">
            <v>-1</v>
          </cell>
          <cell r="T130">
            <v>0</v>
          </cell>
        </row>
        <row r="131">
          <cell r="P131">
            <v>0</v>
          </cell>
          <cell r="Q131">
            <v>0</v>
          </cell>
          <cell r="T131">
            <v>0</v>
          </cell>
        </row>
        <row r="132">
          <cell r="P132">
            <v>2.3654999999999999</v>
          </cell>
          <cell r="Q132">
            <v>3</v>
          </cell>
          <cell r="T132" t="str">
            <v>уточ.режима</v>
          </cell>
        </row>
        <row r="133">
          <cell r="P133">
            <v>-1.5935999999999997</v>
          </cell>
          <cell r="Q133">
            <v>-2</v>
          </cell>
          <cell r="T133" t="str">
            <v>уточ.режима</v>
          </cell>
        </row>
        <row r="134">
          <cell r="P134">
            <v>0</v>
          </cell>
          <cell r="Q134">
            <v>0</v>
          </cell>
          <cell r="T134">
            <v>0</v>
          </cell>
        </row>
        <row r="135">
          <cell r="P135">
            <v>-0.89649999999999563</v>
          </cell>
          <cell r="Q135">
            <v>0</v>
          </cell>
          <cell r="T135">
            <v>0</v>
          </cell>
        </row>
        <row r="136">
          <cell r="P136">
            <v>-0.35045000000000037</v>
          </cell>
          <cell r="Q136">
            <v>-2</v>
          </cell>
          <cell r="T136">
            <v>0</v>
          </cell>
        </row>
        <row r="137">
          <cell r="P137">
            <v>0</v>
          </cell>
          <cell r="Q137">
            <v>0</v>
          </cell>
          <cell r="T137">
            <v>0</v>
          </cell>
        </row>
        <row r="138">
          <cell r="P138">
            <v>10.252699999999994</v>
          </cell>
          <cell r="Q138">
            <v>96</v>
          </cell>
          <cell r="T138" t="str">
            <v>грп</v>
          </cell>
        </row>
        <row r="139">
          <cell r="P139">
            <v>-1.2062000000000026</v>
          </cell>
          <cell r="Q139">
            <v>-3</v>
          </cell>
          <cell r="T139" t="str">
            <v>уточ.режима</v>
          </cell>
        </row>
        <row r="140">
          <cell r="P140">
            <v>-0.2200500000000023</v>
          </cell>
          <cell r="Q140">
            <v>-3</v>
          </cell>
          <cell r="T140">
            <v>0</v>
          </cell>
        </row>
        <row r="141">
          <cell r="P141">
            <v>9.7800000000000331E-2</v>
          </cell>
          <cell r="Q141">
            <v>-2</v>
          </cell>
          <cell r="T141">
            <v>0</v>
          </cell>
        </row>
        <row r="142">
          <cell r="P142">
            <v>0</v>
          </cell>
          <cell r="Q142">
            <v>0</v>
          </cell>
          <cell r="T142">
            <v>0</v>
          </cell>
        </row>
        <row r="143">
          <cell r="P143">
            <v>0.13854999999999951</v>
          </cell>
          <cell r="Q143">
            <v>0</v>
          </cell>
          <cell r="T143">
            <v>0</v>
          </cell>
        </row>
        <row r="144">
          <cell r="P144">
            <v>0.39120000000000033</v>
          </cell>
          <cell r="Q144">
            <v>0</v>
          </cell>
          <cell r="T144">
            <v>0</v>
          </cell>
        </row>
        <row r="145">
          <cell r="P145">
            <v>-1.9722999999999984</v>
          </cell>
          <cell r="Q145">
            <v>0</v>
          </cell>
          <cell r="T145" t="str">
            <v>уточ.режима</v>
          </cell>
        </row>
        <row r="146">
          <cell r="P146">
            <v>-0.45640000000000214</v>
          </cell>
          <cell r="Q146">
            <v>0</v>
          </cell>
          <cell r="T146">
            <v>0</v>
          </cell>
        </row>
        <row r="147">
          <cell r="P147">
            <v>-4.1157499999999976</v>
          </cell>
          <cell r="Q147">
            <v>-2</v>
          </cell>
          <cell r="T147" t="str">
            <v>уточ.режима</v>
          </cell>
        </row>
        <row r="148">
          <cell r="P148">
            <v>2.8199000000000005</v>
          </cell>
          <cell r="Q148">
            <v>1</v>
          </cell>
          <cell r="T148" t="str">
            <v>уточ.режима</v>
          </cell>
        </row>
        <row r="149">
          <cell r="P149">
            <v>0.45639999999999681</v>
          </cell>
          <cell r="Q149">
            <v>2</v>
          </cell>
          <cell r="T149">
            <v>0</v>
          </cell>
        </row>
        <row r="150">
          <cell r="P150">
            <v>0.91280000000000427</v>
          </cell>
          <cell r="Q150">
            <v>1</v>
          </cell>
          <cell r="T150">
            <v>0</v>
          </cell>
        </row>
        <row r="151">
          <cell r="P151">
            <v>-1.5158999999999985</v>
          </cell>
          <cell r="Q151">
            <v>-6</v>
          </cell>
          <cell r="T151" t="str">
            <v>сн.грп</v>
          </cell>
        </row>
        <row r="152">
          <cell r="P152">
            <v>0.14669999999999561</v>
          </cell>
          <cell r="Q152">
            <v>1</v>
          </cell>
          <cell r="T152">
            <v>0</v>
          </cell>
        </row>
        <row r="153">
          <cell r="P153">
            <v>0.75794999999999391</v>
          </cell>
          <cell r="Q153">
            <v>0</v>
          </cell>
          <cell r="T153">
            <v>0</v>
          </cell>
        </row>
        <row r="154">
          <cell r="P154">
            <v>0.48900000000000077</v>
          </cell>
          <cell r="Q154">
            <v>2</v>
          </cell>
          <cell r="T154">
            <v>0</v>
          </cell>
        </row>
        <row r="155">
          <cell r="P155">
            <v>-0.70089999999999986</v>
          </cell>
          <cell r="Q155">
            <v>-3</v>
          </cell>
          <cell r="T155">
            <v>0</v>
          </cell>
        </row>
        <row r="156">
          <cell r="P156">
            <v>0.47269999999999834</v>
          </cell>
          <cell r="Q156">
            <v>0</v>
          </cell>
          <cell r="T156">
            <v>0</v>
          </cell>
        </row>
        <row r="157">
          <cell r="P157">
            <v>-1.1328500000000012</v>
          </cell>
          <cell r="Q157">
            <v>-6</v>
          </cell>
          <cell r="T157" t="str">
            <v>вода грп</v>
          </cell>
        </row>
        <row r="158">
          <cell r="P158">
            <v>-1.3610500000000059</v>
          </cell>
          <cell r="Q158">
            <v>-20</v>
          </cell>
          <cell r="T158" t="str">
            <v>сн.грп</v>
          </cell>
        </row>
        <row r="159">
          <cell r="P159">
            <v>-0.26079999999999437</v>
          </cell>
          <cell r="Q159">
            <v>-15</v>
          </cell>
          <cell r="T159" t="str">
            <v>сн.грп</v>
          </cell>
        </row>
        <row r="160">
          <cell r="P160">
            <v>-9.7800000000003884E-2</v>
          </cell>
          <cell r="Q160">
            <v>-2</v>
          </cell>
          <cell r="T160">
            <v>0</v>
          </cell>
        </row>
        <row r="161">
          <cell r="P161">
            <v>0.62755000000000827</v>
          </cell>
          <cell r="Q161">
            <v>7</v>
          </cell>
          <cell r="T161">
            <v>0</v>
          </cell>
        </row>
        <row r="162">
          <cell r="P162">
            <v>1.0106000000000011</v>
          </cell>
          <cell r="Q162">
            <v>0</v>
          </cell>
          <cell r="T162">
            <v>0</v>
          </cell>
        </row>
        <row r="163">
          <cell r="P163">
            <v>0</v>
          </cell>
          <cell r="Q163">
            <v>0</v>
          </cell>
          <cell r="T163">
            <v>0</v>
          </cell>
        </row>
        <row r="164">
          <cell r="P164">
            <v>0.21190000000000087</v>
          </cell>
          <cell r="Q164">
            <v>1</v>
          </cell>
          <cell r="T164">
            <v>0</v>
          </cell>
        </row>
        <row r="165">
          <cell r="P165">
            <v>-1.0956000000000001</v>
          </cell>
          <cell r="Q165">
            <v>-3</v>
          </cell>
          <cell r="T165" t="str">
            <v>уточ.режима</v>
          </cell>
        </row>
        <row r="166">
          <cell r="P166">
            <v>0</v>
          </cell>
          <cell r="Q166">
            <v>0</v>
          </cell>
          <cell r="T166" t="str">
            <v>уточ.режима</v>
          </cell>
        </row>
        <row r="167">
          <cell r="P167">
            <v>0</v>
          </cell>
          <cell r="Q167">
            <v>0</v>
          </cell>
          <cell r="T167">
            <v>0</v>
          </cell>
        </row>
        <row r="168">
          <cell r="P168">
            <v>-3.4610999999999996</v>
          </cell>
          <cell r="Q168">
            <v>-7</v>
          </cell>
          <cell r="T168" t="str">
            <v>уточ.режима</v>
          </cell>
        </row>
        <row r="169">
          <cell r="P169">
            <v>0</v>
          </cell>
          <cell r="Q169">
            <v>0</v>
          </cell>
          <cell r="T169">
            <v>0</v>
          </cell>
        </row>
        <row r="170">
          <cell r="P170">
            <v>0.46455000000000091</v>
          </cell>
          <cell r="Q170">
            <v>0</v>
          </cell>
          <cell r="T170">
            <v>0</v>
          </cell>
        </row>
        <row r="171">
          <cell r="P171">
            <v>2.200499999999999</v>
          </cell>
          <cell r="Q171">
            <v>0</v>
          </cell>
          <cell r="T171" t="str">
            <v>уточ.режима</v>
          </cell>
        </row>
        <row r="172">
          <cell r="P172">
            <v>-9.780000000000344E-2</v>
          </cell>
          <cell r="Q172">
            <v>-2</v>
          </cell>
          <cell r="T172">
            <v>0</v>
          </cell>
        </row>
        <row r="173">
          <cell r="P173">
            <v>-1.4425499999999998</v>
          </cell>
          <cell r="Q173">
            <v>-3</v>
          </cell>
          <cell r="T173" t="str">
            <v>уточ.режима</v>
          </cell>
        </row>
        <row r="174">
          <cell r="P174">
            <v>0</v>
          </cell>
          <cell r="Q174">
            <v>0</v>
          </cell>
          <cell r="T174">
            <v>0</v>
          </cell>
        </row>
        <row r="175">
          <cell r="P175">
            <v>0.42329999999999757</v>
          </cell>
          <cell r="Q175">
            <v>0</v>
          </cell>
          <cell r="T175">
            <v>0</v>
          </cell>
        </row>
        <row r="176">
          <cell r="P176">
            <v>-0.31785000000000041</v>
          </cell>
          <cell r="Q176">
            <v>1</v>
          </cell>
          <cell r="T176">
            <v>0</v>
          </cell>
        </row>
        <row r="177">
          <cell r="P177">
            <v>0.28525000000000111</v>
          </cell>
          <cell r="Q177">
            <v>-1</v>
          </cell>
          <cell r="T177">
            <v>0</v>
          </cell>
        </row>
        <row r="178">
          <cell r="P178">
            <v>0.96984999999999788</v>
          </cell>
          <cell r="Q178">
            <v>13</v>
          </cell>
          <cell r="T178" t="str">
            <v>прс</v>
          </cell>
        </row>
        <row r="179">
          <cell r="P179">
            <v>-0.40670000000000028</v>
          </cell>
          <cell r="Q179">
            <v>-1</v>
          </cell>
          <cell r="T179">
            <v>0</v>
          </cell>
        </row>
        <row r="180">
          <cell r="P180">
            <v>-0.17930000000000046</v>
          </cell>
          <cell r="Q180">
            <v>-1</v>
          </cell>
          <cell r="T180">
            <v>0</v>
          </cell>
        </row>
        <row r="181">
          <cell r="P181">
            <v>-0.22820000000000107</v>
          </cell>
          <cell r="Q181">
            <v>-4</v>
          </cell>
          <cell r="T181">
            <v>0</v>
          </cell>
        </row>
        <row r="182">
          <cell r="P182">
            <v>-0.3423000000000016</v>
          </cell>
          <cell r="Q182">
            <v>0</v>
          </cell>
          <cell r="T182">
            <v>0</v>
          </cell>
        </row>
        <row r="183">
          <cell r="P183">
            <v>-0.11410000000000053</v>
          </cell>
          <cell r="Q183">
            <v>-2</v>
          </cell>
          <cell r="T183">
            <v>0</v>
          </cell>
        </row>
        <row r="184">
          <cell r="P184">
            <v>8.1500000000001016E-2</v>
          </cell>
          <cell r="Q184">
            <v>1</v>
          </cell>
          <cell r="T184">
            <v>0</v>
          </cell>
        </row>
        <row r="185">
          <cell r="P185">
            <v>-1.6300000000000008</v>
          </cell>
          <cell r="Q185">
            <v>0</v>
          </cell>
          <cell r="T185" t="str">
            <v>уточ.режима</v>
          </cell>
        </row>
        <row r="186">
          <cell r="P186">
            <v>-5.1833999999999989</v>
          </cell>
          <cell r="Q186">
            <v>-16</v>
          </cell>
          <cell r="T186" t="str">
            <v>сн.грп</v>
          </cell>
        </row>
        <row r="187">
          <cell r="P187">
            <v>-0.17930000000000179</v>
          </cell>
          <cell r="Q187">
            <v>0</v>
          </cell>
          <cell r="T187">
            <v>0</v>
          </cell>
        </row>
        <row r="188">
          <cell r="P188">
            <v>-0.17079999999999917</v>
          </cell>
          <cell r="Q188">
            <v>2</v>
          </cell>
          <cell r="T188">
            <v>0</v>
          </cell>
        </row>
        <row r="189">
          <cell r="P189">
            <v>0</v>
          </cell>
          <cell r="Q189">
            <v>0</v>
          </cell>
          <cell r="T189">
            <v>0</v>
          </cell>
        </row>
        <row r="190">
          <cell r="P190">
            <v>-0.44009999999999927</v>
          </cell>
          <cell r="Q190">
            <v>0</v>
          </cell>
          <cell r="T190">
            <v>0</v>
          </cell>
        </row>
        <row r="191">
          <cell r="P191">
            <v>-0.97800000000000242</v>
          </cell>
          <cell r="Q191">
            <v>0</v>
          </cell>
          <cell r="T191">
            <v>0</v>
          </cell>
        </row>
        <row r="192">
          <cell r="P192">
            <v>-0.16299999999999937</v>
          </cell>
          <cell r="Q192">
            <v>0</v>
          </cell>
          <cell r="T192">
            <v>0</v>
          </cell>
        </row>
        <row r="193">
          <cell r="P193">
            <v>-0.44009999999999927</v>
          </cell>
          <cell r="Q193">
            <v>2</v>
          </cell>
          <cell r="T193">
            <v>0</v>
          </cell>
        </row>
        <row r="194">
          <cell r="P194">
            <v>-0.19560000000000155</v>
          </cell>
          <cell r="Q194">
            <v>-2</v>
          </cell>
          <cell r="T194">
            <v>0</v>
          </cell>
        </row>
        <row r="195">
          <cell r="P195">
            <v>0</v>
          </cell>
          <cell r="Q195">
            <v>0</v>
          </cell>
          <cell r="T195">
            <v>0</v>
          </cell>
        </row>
        <row r="196">
          <cell r="P196">
            <v>-0.3586000000000098</v>
          </cell>
          <cell r="Q196">
            <v>-11</v>
          </cell>
          <cell r="T196" t="str">
            <v>сн.прс</v>
          </cell>
        </row>
        <row r="197">
          <cell r="P197">
            <v>-1.6299999999999759E-2</v>
          </cell>
          <cell r="Q197">
            <v>1</v>
          </cell>
          <cell r="T197">
            <v>0</v>
          </cell>
        </row>
        <row r="198">
          <cell r="P198">
            <v>0.11410000000000053</v>
          </cell>
          <cell r="Q198">
            <v>2</v>
          </cell>
          <cell r="T198">
            <v>0</v>
          </cell>
        </row>
        <row r="199">
          <cell r="P199">
            <v>0</v>
          </cell>
          <cell r="Q199">
            <v>0</v>
          </cell>
          <cell r="T199">
            <v>0</v>
          </cell>
        </row>
        <row r="200">
          <cell r="P200">
            <v>5.1240000000002173E-2</v>
          </cell>
          <cell r="Q200">
            <v>2</v>
          </cell>
          <cell r="T200">
            <v>0</v>
          </cell>
        </row>
        <row r="201">
          <cell r="P201">
            <v>0.29339999999999922</v>
          </cell>
          <cell r="Q201">
            <v>2</v>
          </cell>
          <cell r="T201">
            <v>0</v>
          </cell>
        </row>
        <row r="202">
          <cell r="P202">
            <v>0.51345000000000152</v>
          </cell>
          <cell r="Q202">
            <v>0</v>
          </cell>
          <cell r="T202">
            <v>0</v>
          </cell>
        </row>
        <row r="203">
          <cell r="P203">
            <v>-0.66830000000000611</v>
          </cell>
          <cell r="Q203">
            <v>0</v>
          </cell>
          <cell r="T203">
            <v>0</v>
          </cell>
        </row>
        <row r="204">
          <cell r="P204">
            <v>1.2714000000000019</v>
          </cell>
          <cell r="Q204">
            <v>0</v>
          </cell>
          <cell r="T204">
            <v>0</v>
          </cell>
        </row>
        <row r="205">
          <cell r="P205">
            <v>0.80684999999999896</v>
          </cell>
          <cell r="Q205">
            <v>0</v>
          </cell>
          <cell r="T205">
            <v>0</v>
          </cell>
        </row>
        <row r="206">
          <cell r="P206">
            <v>-0.60310000000000752</v>
          </cell>
          <cell r="Q206">
            <v>0</v>
          </cell>
          <cell r="T206">
            <v>0</v>
          </cell>
        </row>
        <row r="207">
          <cell r="P207">
            <v>-0.32600000000000184</v>
          </cell>
          <cell r="Q207">
            <v>-4</v>
          </cell>
          <cell r="T207">
            <v>0</v>
          </cell>
        </row>
        <row r="208">
          <cell r="P208">
            <v>0</v>
          </cell>
          <cell r="Q208">
            <v>0</v>
          </cell>
          <cell r="T208">
            <v>0</v>
          </cell>
        </row>
        <row r="209">
          <cell r="P209">
            <v>0</v>
          </cell>
          <cell r="Q209">
            <v>0</v>
          </cell>
          <cell r="T209">
            <v>0</v>
          </cell>
        </row>
        <row r="210">
          <cell r="P210">
            <v>0</v>
          </cell>
          <cell r="Q210">
            <v>0</v>
          </cell>
          <cell r="T210">
            <v>0</v>
          </cell>
        </row>
        <row r="211">
          <cell r="P211">
            <v>0.63570000000000082</v>
          </cell>
          <cell r="Q211">
            <v>-2</v>
          </cell>
          <cell r="T211">
            <v>0</v>
          </cell>
        </row>
        <row r="212">
          <cell r="P212">
            <v>0.96169999999999334</v>
          </cell>
          <cell r="Q212">
            <v>-17</v>
          </cell>
          <cell r="T212" t="str">
            <v>уточ.режима</v>
          </cell>
        </row>
        <row r="213">
          <cell r="P213">
            <v>7.3350000000003135E-2</v>
          </cell>
          <cell r="Q213">
            <v>1</v>
          </cell>
          <cell r="T213">
            <v>0</v>
          </cell>
        </row>
        <row r="214">
          <cell r="P214">
            <v>0.44824999999999982</v>
          </cell>
          <cell r="Q214">
            <v>0</v>
          </cell>
          <cell r="T214">
            <v>0</v>
          </cell>
        </row>
        <row r="215">
          <cell r="P215">
            <v>-0.45640000000000036</v>
          </cell>
          <cell r="Q215">
            <v>-2</v>
          </cell>
          <cell r="T215">
            <v>0</v>
          </cell>
        </row>
        <row r="216">
          <cell r="P216">
            <v>0.8964999999999983</v>
          </cell>
          <cell r="Q216">
            <v>10</v>
          </cell>
          <cell r="T216" t="str">
            <v>прс</v>
          </cell>
        </row>
        <row r="217">
          <cell r="P217">
            <v>0</v>
          </cell>
          <cell r="Q217">
            <v>0</v>
          </cell>
          <cell r="T217">
            <v>0</v>
          </cell>
        </row>
        <row r="218">
          <cell r="P218">
            <v>0</v>
          </cell>
          <cell r="Q218">
            <v>0</v>
          </cell>
          <cell r="T218">
            <v>0</v>
          </cell>
        </row>
        <row r="219">
          <cell r="P219">
            <v>-8.1500000000000572E-2</v>
          </cell>
          <cell r="Q219">
            <v>0</v>
          </cell>
          <cell r="T219">
            <v>0</v>
          </cell>
        </row>
        <row r="220">
          <cell r="P220">
            <v>-1.621850000000002</v>
          </cell>
          <cell r="Q220">
            <v>-12</v>
          </cell>
          <cell r="T220" t="str">
            <v>уточ.режима</v>
          </cell>
        </row>
        <row r="221">
          <cell r="P221">
            <v>6.5199999999999925E-2</v>
          </cell>
          <cell r="Q221">
            <v>0</v>
          </cell>
          <cell r="T221">
            <v>0</v>
          </cell>
        </row>
        <row r="222">
          <cell r="P222">
            <v>-0.22005000000000052</v>
          </cell>
          <cell r="Q222">
            <v>0</v>
          </cell>
          <cell r="T222">
            <v>0</v>
          </cell>
        </row>
        <row r="223">
          <cell r="P223">
            <v>0</v>
          </cell>
          <cell r="Q223">
            <v>0</v>
          </cell>
          <cell r="T223">
            <v>0</v>
          </cell>
        </row>
        <row r="224">
          <cell r="P224">
            <v>-0.61939999999999884</v>
          </cell>
          <cell r="Q224">
            <v>-1</v>
          </cell>
          <cell r="T224">
            <v>0</v>
          </cell>
        </row>
        <row r="225">
          <cell r="P225">
            <v>0</v>
          </cell>
          <cell r="Q225">
            <v>0</v>
          </cell>
          <cell r="T225">
            <v>0</v>
          </cell>
        </row>
        <row r="226">
          <cell r="P226">
            <v>-0.22819999999999929</v>
          </cell>
          <cell r="Q226">
            <v>1</v>
          </cell>
          <cell r="T226">
            <v>0</v>
          </cell>
        </row>
        <row r="227">
          <cell r="P227">
            <v>-0.14670000000000005</v>
          </cell>
          <cell r="Q227">
            <v>-2</v>
          </cell>
          <cell r="T227">
            <v>0</v>
          </cell>
        </row>
        <row r="228">
          <cell r="P228">
            <v>0.2770999999999999</v>
          </cell>
          <cell r="Q228">
            <v>0</v>
          </cell>
          <cell r="T228">
            <v>0</v>
          </cell>
        </row>
        <row r="229">
          <cell r="P229">
            <v>0.8557499999999969</v>
          </cell>
          <cell r="Q229">
            <v>3</v>
          </cell>
          <cell r="T229">
            <v>0</v>
          </cell>
        </row>
        <row r="230">
          <cell r="P230">
            <v>-0.12225000000000463</v>
          </cell>
          <cell r="Q230">
            <v>-3</v>
          </cell>
          <cell r="T230">
            <v>0</v>
          </cell>
        </row>
        <row r="231">
          <cell r="P231">
            <v>0.9617</v>
          </cell>
          <cell r="Q231">
            <v>0</v>
          </cell>
          <cell r="T231">
            <v>0</v>
          </cell>
        </row>
        <row r="232">
          <cell r="P232">
            <v>-0.58680000000000199</v>
          </cell>
          <cell r="Q232">
            <v>0</v>
          </cell>
          <cell r="T232">
            <v>0</v>
          </cell>
        </row>
        <row r="233">
          <cell r="P233">
            <v>0.32599999999999874</v>
          </cell>
          <cell r="Q233">
            <v>0</v>
          </cell>
          <cell r="T233">
            <v>0</v>
          </cell>
        </row>
        <row r="234">
          <cell r="P234">
            <v>0.5541999999999998</v>
          </cell>
          <cell r="Q234">
            <v>-20</v>
          </cell>
          <cell r="T234" t="str">
            <v>сн.грп</v>
          </cell>
        </row>
        <row r="235">
          <cell r="P235">
            <v>-5.7131499999999988</v>
          </cell>
          <cell r="Q235">
            <v>-11</v>
          </cell>
          <cell r="T235" t="str">
            <v>сн.грп</v>
          </cell>
        </row>
        <row r="236">
          <cell r="P236">
            <v>0</v>
          </cell>
          <cell r="Q236">
            <v>0</v>
          </cell>
          <cell r="T236">
            <v>0</v>
          </cell>
        </row>
        <row r="237">
          <cell r="P237">
            <v>-0.77424999999999944</v>
          </cell>
          <cell r="Q237">
            <v>0</v>
          </cell>
          <cell r="T237">
            <v>0</v>
          </cell>
        </row>
        <row r="238">
          <cell r="P238">
            <v>-1.0757999999999939</v>
          </cell>
          <cell r="Q238">
            <v>-12</v>
          </cell>
          <cell r="T238" t="str">
            <v>сн.опт</v>
          </cell>
        </row>
        <row r="239">
          <cell r="P239">
            <v>0.82315000000000005</v>
          </cell>
          <cell r="Q239">
            <v>4</v>
          </cell>
          <cell r="T239">
            <v>0</v>
          </cell>
        </row>
        <row r="240">
          <cell r="P240">
            <v>-0.79870000000000285</v>
          </cell>
          <cell r="Q240">
            <v>0</v>
          </cell>
          <cell r="T240">
            <v>0</v>
          </cell>
        </row>
        <row r="241">
          <cell r="P241">
            <v>0.383049999999999</v>
          </cell>
          <cell r="Q241">
            <v>0</v>
          </cell>
          <cell r="T241">
            <v>0</v>
          </cell>
        </row>
        <row r="242">
          <cell r="P242">
            <v>-0.58679999999999843</v>
          </cell>
          <cell r="Q242">
            <v>-9</v>
          </cell>
          <cell r="T242">
            <v>0</v>
          </cell>
        </row>
        <row r="243">
          <cell r="P243">
            <v>-0.97800000000000242</v>
          </cell>
          <cell r="Q243">
            <v>0</v>
          </cell>
          <cell r="T243">
            <v>0</v>
          </cell>
        </row>
        <row r="244">
          <cell r="P244">
            <v>-0.16299999999999981</v>
          </cell>
          <cell r="Q244">
            <v>0</v>
          </cell>
          <cell r="T244">
            <v>0</v>
          </cell>
        </row>
        <row r="245">
          <cell r="P245">
            <v>-0.31785000000000085</v>
          </cell>
          <cell r="Q245">
            <v>-3</v>
          </cell>
          <cell r="T245">
            <v>0</v>
          </cell>
        </row>
        <row r="246">
          <cell r="P246">
            <v>0</v>
          </cell>
          <cell r="Q246">
            <v>0</v>
          </cell>
          <cell r="T246">
            <v>0</v>
          </cell>
        </row>
        <row r="247">
          <cell r="P247">
            <v>0</v>
          </cell>
          <cell r="Q247">
            <v>0</v>
          </cell>
          <cell r="T247">
            <v>0</v>
          </cell>
        </row>
        <row r="248">
          <cell r="P248">
            <v>-2.3737999999999992</v>
          </cell>
          <cell r="Q248">
            <v>-2</v>
          </cell>
          <cell r="T248" t="str">
            <v>ипп</v>
          </cell>
        </row>
        <row r="249">
          <cell r="P249">
            <v>15.216049999999999</v>
          </cell>
          <cell r="Q249">
            <v>76</v>
          </cell>
          <cell r="T249" t="str">
            <v>грп</v>
          </cell>
        </row>
        <row r="250">
          <cell r="P250">
            <v>0.28524999999999956</v>
          </cell>
          <cell r="Q250">
            <v>-5</v>
          </cell>
          <cell r="T250">
            <v>0</v>
          </cell>
        </row>
        <row r="251">
          <cell r="P251">
            <v>-3.1290999999999993</v>
          </cell>
          <cell r="Q251">
            <v>-4</v>
          </cell>
          <cell r="T251" t="str">
            <v>уточ.режима</v>
          </cell>
        </row>
        <row r="252">
          <cell r="P252">
            <v>0</v>
          </cell>
          <cell r="Q252">
            <v>0</v>
          </cell>
          <cell r="T252">
            <v>0</v>
          </cell>
        </row>
        <row r="253">
          <cell r="P253">
            <v>-9.7799999999999887E-2</v>
          </cell>
          <cell r="Q253">
            <v>0</v>
          </cell>
          <cell r="T253">
            <v>0</v>
          </cell>
        </row>
        <row r="254">
          <cell r="P254">
            <v>-0.70550000000000068</v>
          </cell>
          <cell r="Q254">
            <v>-1</v>
          </cell>
          <cell r="T254">
            <v>0</v>
          </cell>
        </row>
        <row r="255">
          <cell r="P255">
            <v>0</v>
          </cell>
          <cell r="Q255">
            <v>0</v>
          </cell>
          <cell r="T255">
            <v>0</v>
          </cell>
        </row>
        <row r="256">
          <cell r="P256">
            <v>2.1414000000000004</v>
          </cell>
          <cell r="Q256">
            <v>3</v>
          </cell>
          <cell r="T256" t="str">
            <v>прс</v>
          </cell>
        </row>
        <row r="257">
          <cell r="P257">
            <v>0.99599999999999955</v>
          </cell>
          <cell r="Q257">
            <v>0</v>
          </cell>
          <cell r="T257" t="str">
            <v>уточ.режима</v>
          </cell>
        </row>
        <row r="258">
          <cell r="P258">
            <v>0.33199999999999985</v>
          </cell>
          <cell r="Q258">
            <v>0</v>
          </cell>
          <cell r="T258">
            <v>0</v>
          </cell>
        </row>
        <row r="259">
          <cell r="P259">
            <v>-0.52974999999999883</v>
          </cell>
          <cell r="Q259">
            <v>-13</v>
          </cell>
          <cell r="T259" t="str">
            <v>уточ.режима</v>
          </cell>
        </row>
        <row r="260">
          <cell r="P260">
            <v>0.34860000000000069</v>
          </cell>
          <cell r="Q260">
            <v>0</v>
          </cell>
          <cell r="T260">
            <v>0</v>
          </cell>
        </row>
        <row r="261">
          <cell r="P261">
            <v>0</v>
          </cell>
          <cell r="Q261">
            <v>0</v>
          </cell>
          <cell r="T261">
            <v>0</v>
          </cell>
        </row>
        <row r="262">
          <cell r="P262">
            <v>-0.91300000000000026</v>
          </cell>
          <cell r="Q262">
            <v>-1</v>
          </cell>
          <cell r="T262">
            <v>0</v>
          </cell>
        </row>
        <row r="263">
          <cell r="P263">
            <v>-1.6137000000000032</v>
          </cell>
          <cell r="Q263">
            <v>0</v>
          </cell>
          <cell r="T263" t="str">
            <v>уточ.режима</v>
          </cell>
        </row>
        <row r="264">
          <cell r="P264">
            <v>-0.9698500000000041</v>
          </cell>
          <cell r="Q264">
            <v>-11</v>
          </cell>
          <cell r="T264" t="str">
            <v>сн.опт</v>
          </cell>
        </row>
        <row r="265">
          <cell r="P265">
            <v>0</v>
          </cell>
          <cell r="Q265">
            <v>0</v>
          </cell>
          <cell r="T265">
            <v>0</v>
          </cell>
        </row>
        <row r="266">
          <cell r="P266">
            <v>-5.2567499999999994</v>
          </cell>
          <cell r="Q266">
            <v>-15</v>
          </cell>
          <cell r="T266" t="str">
            <v>сн.грп</v>
          </cell>
        </row>
        <row r="267">
          <cell r="P267">
            <v>-0.18745000000000012</v>
          </cell>
          <cell r="Q267">
            <v>1</v>
          </cell>
          <cell r="T267">
            <v>0</v>
          </cell>
        </row>
        <row r="268">
          <cell r="P268">
            <v>-2.1516000000000002</v>
          </cell>
          <cell r="Q268">
            <v>-2</v>
          </cell>
          <cell r="T268" t="str">
            <v>вода.опт</v>
          </cell>
        </row>
        <row r="269">
          <cell r="P269">
            <v>-0.39120000000000044</v>
          </cell>
          <cell r="Q269">
            <v>1</v>
          </cell>
          <cell r="T269">
            <v>0</v>
          </cell>
        </row>
        <row r="270">
          <cell r="P270">
            <v>1.10025</v>
          </cell>
          <cell r="Q270">
            <v>-1</v>
          </cell>
          <cell r="T270">
            <v>0</v>
          </cell>
        </row>
        <row r="271">
          <cell r="P271">
            <v>0.18745000000000012</v>
          </cell>
          <cell r="Q271">
            <v>-2</v>
          </cell>
          <cell r="T271">
            <v>0</v>
          </cell>
        </row>
        <row r="272">
          <cell r="P272">
            <v>4.9144500000000049</v>
          </cell>
          <cell r="Q272">
            <v>162</v>
          </cell>
          <cell r="T272" t="str">
            <v>грп</v>
          </cell>
        </row>
        <row r="273">
          <cell r="P273">
            <v>-0.2607999999999997</v>
          </cell>
          <cell r="Q273">
            <v>-2</v>
          </cell>
          <cell r="T273">
            <v>0</v>
          </cell>
        </row>
        <row r="274">
          <cell r="P274">
            <v>-1.9722999999999997</v>
          </cell>
          <cell r="Q274">
            <v>-4</v>
          </cell>
          <cell r="T274" t="str">
            <v>сн.опт</v>
          </cell>
        </row>
        <row r="275">
          <cell r="P275">
            <v>-1.3447500000000012</v>
          </cell>
          <cell r="Q275">
            <v>-3</v>
          </cell>
          <cell r="T275" t="str">
            <v>уточ.режима</v>
          </cell>
        </row>
        <row r="276">
          <cell r="P276">
            <v>-2.5020500000000006</v>
          </cell>
          <cell r="Q276">
            <v>-2</v>
          </cell>
          <cell r="T276" t="str">
            <v>уточ.режима</v>
          </cell>
        </row>
        <row r="277">
          <cell r="P277">
            <v>-2.0212000000000003</v>
          </cell>
          <cell r="Q277">
            <v>-2</v>
          </cell>
          <cell r="T277" t="str">
            <v>уточ.режима</v>
          </cell>
        </row>
        <row r="278">
          <cell r="P278">
            <v>14.374999999999996</v>
          </cell>
          <cell r="Q278">
            <v>56</v>
          </cell>
          <cell r="T278" t="str">
            <v>грп</v>
          </cell>
        </row>
        <row r="279">
          <cell r="P279">
            <v>-0.53790000000000049</v>
          </cell>
          <cell r="Q279">
            <v>-3</v>
          </cell>
          <cell r="T279">
            <v>0</v>
          </cell>
        </row>
        <row r="280">
          <cell r="P280">
            <v>0.70550000000000068</v>
          </cell>
          <cell r="Q280">
            <v>1</v>
          </cell>
          <cell r="T280">
            <v>0</v>
          </cell>
        </row>
        <row r="281">
          <cell r="P281">
            <v>1.4751499999999989</v>
          </cell>
          <cell r="Q281">
            <v>3</v>
          </cell>
          <cell r="T281" t="str">
            <v>уточ.режима</v>
          </cell>
        </row>
        <row r="282">
          <cell r="P282">
            <v>1.0431999999999988</v>
          </cell>
          <cell r="Q282">
            <v>2</v>
          </cell>
          <cell r="T282" t="str">
            <v>уточ.режима</v>
          </cell>
        </row>
        <row r="283">
          <cell r="P283">
            <v>7.5957999999999988</v>
          </cell>
          <cell r="Q283">
            <v>-12</v>
          </cell>
          <cell r="T283" t="str">
            <v>грп</v>
          </cell>
        </row>
        <row r="284">
          <cell r="P284">
            <v>0</v>
          </cell>
          <cell r="Q284">
            <v>0</v>
          </cell>
          <cell r="T284">
            <v>0</v>
          </cell>
        </row>
        <row r="285">
          <cell r="P285">
            <v>-2.2249500000000033</v>
          </cell>
          <cell r="Q285">
            <v>-2</v>
          </cell>
          <cell r="T285" t="str">
            <v>ипп</v>
          </cell>
        </row>
        <row r="286">
          <cell r="P286">
            <v>0.187450000000001</v>
          </cell>
          <cell r="Q286">
            <v>1</v>
          </cell>
          <cell r="T286">
            <v>0</v>
          </cell>
        </row>
        <row r="287">
          <cell r="P287">
            <v>8.3000000000000185E-2</v>
          </cell>
          <cell r="Q287">
            <v>0</v>
          </cell>
          <cell r="T287">
            <v>0</v>
          </cell>
        </row>
        <row r="288">
          <cell r="P288">
            <v>0</v>
          </cell>
          <cell r="Q288">
            <v>0</v>
          </cell>
          <cell r="T288">
            <v>0</v>
          </cell>
        </row>
        <row r="289">
          <cell r="P289">
            <v>-0.5215999999999994</v>
          </cell>
          <cell r="Q289">
            <v>-1</v>
          </cell>
          <cell r="T289">
            <v>0</v>
          </cell>
        </row>
        <row r="290">
          <cell r="P290">
            <v>-2.3064500000000003</v>
          </cell>
          <cell r="Q290">
            <v>-6</v>
          </cell>
          <cell r="T290" t="str">
            <v>вода</v>
          </cell>
        </row>
        <row r="291">
          <cell r="P291">
            <v>2.9665999999999997</v>
          </cell>
          <cell r="Q291">
            <v>1</v>
          </cell>
          <cell r="T291" t="str">
            <v>уточ.режима</v>
          </cell>
        </row>
        <row r="292">
          <cell r="P292">
            <v>-0.1711500000000008</v>
          </cell>
          <cell r="Q292">
            <v>-2</v>
          </cell>
          <cell r="T292">
            <v>0</v>
          </cell>
        </row>
        <row r="293">
          <cell r="P293">
            <v>0.39119999999999955</v>
          </cell>
          <cell r="Q293">
            <v>-1</v>
          </cell>
          <cell r="T293">
            <v>0</v>
          </cell>
        </row>
        <row r="294">
          <cell r="P294">
            <v>0.71720000000000184</v>
          </cell>
          <cell r="Q294">
            <v>-4</v>
          </cell>
          <cell r="T294">
            <v>0</v>
          </cell>
        </row>
        <row r="295">
          <cell r="P295">
            <v>-2.0782499999999997</v>
          </cell>
          <cell r="Q295">
            <v>-5</v>
          </cell>
          <cell r="T295" t="str">
            <v>сн.опт</v>
          </cell>
        </row>
        <row r="296">
          <cell r="P296">
            <v>-2.1678999999999995</v>
          </cell>
          <cell r="Q296">
            <v>-7</v>
          </cell>
          <cell r="T296" t="str">
            <v>уточ.режима</v>
          </cell>
        </row>
        <row r="297">
          <cell r="P297">
            <v>-0.98614999999999498</v>
          </cell>
          <cell r="Q297">
            <v>-4</v>
          </cell>
          <cell r="T297" t="str">
            <v>уточ.режима</v>
          </cell>
        </row>
        <row r="298">
          <cell r="P298">
            <v>-0.96169999999999978</v>
          </cell>
          <cell r="Q298">
            <v>-6</v>
          </cell>
          <cell r="T298">
            <v>0</v>
          </cell>
        </row>
        <row r="299">
          <cell r="P299">
            <v>-0.29339999999999944</v>
          </cell>
          <cell r="Q299">
            <v>-6</v>
          </cell>
          <cell r="T299">
            <v>0</v>
          </cell>
        </row>
        <row r="300">
          <cell r="P300">
            <v>-0.21189999999999998</v>
          </cell>
          <cell r="Q300">
            <v>-3</v>
          </cell>
          <cell r="T300">
            <v>0</v>
          </cell>
        </row>
        <row r="301">
          <cell r="P301">
            <v>1.3447499999999986</v>
          </cell>
          <cell r="Q301">
            <v>0</v>
          </cell>
          <cell r="T301" t="str">
            <v>уточ.режима</v>
          </cell>
        </row>
        <row r="302">
          <cell r="P302">
            <v>19.144349999999999</v>
          </cell>
          <cell r="Q302">
            <v>29</v>
          </cell>
          <cell r="T302" t="str">
            <v>грп</v>
          </cell>
        </row>
        <row r="303">
          <cell r="P303">
            <v>0</v>
          </cell>
          <cell r="Q303">
            <v>0</v>
          </cell>
          <cell r="T303">
            <v>0</v>
          </cell>
        </row>
        <row r="304">
          <cell r="P304">
            <v>-0.17934000000000694</v>
          </cell>
          <cell r="Q304">
            <v>-7</v>
          </cell>
          <cell r="T304">
            <v>0</v>
          </cell>
        </row>
        <row r="305">
          <cell r="P305">
            <v>1.3528999999999969</v>
          </cell>
          <cell r="Q305">
            <v>-3</v>
          </cell>
          <cell r="T305">
            <v>0</v>
          </cell>
        </row>
        <row r="306">
          <cell r="P306">
            <v>-2.5183499999999999</v>
          </cell>
          <cell r="Q306">
            <v>-3</v>
          </cell>
          <cell r="T306" t="str">
            <v>вода</v>
          </cell>
        </row>
        <row r="307">
          <cell r="P307">
            <v>0.30969999999999942</v>
          </cell>
          <cell r="Q307">
            <v>2</v>
          </cell>
          <cell r="T307">
            <v>0</v>
          </cell>
        </row>
        <row r="308">
          <cell r="P308">
            <v>0</v>
          </cell>
          <cell r="Q308">
            <v>0</v>
          </cell>
          <cell r="T308">
            <v>0</v>
          </cell>
        </row>
        <row r="309">
          <cell r="P309">
            <v>0.48900000000000099</v>
          </cell>
          <cell r="Q309">
            <v>-1</v>
          </cell>
          <cell r="T309">
            <v>0</v>
          </cell>
        </row>
        <row r="310">
          <cell r="P310">
            <v>0.2607999999999997</v>
          </cell>
          <cell r="Q310">
            <v>-2</v>
          </cell>
          <cell r="T310">
            <v>0</v>
          </cell>
        </row>
        <row r="311">
          <cell r="P311">
            <v>-0.33415000000000017</v>
          </cell>
          <cell r="Q311">
            <v>-1</v>
          </cell>
          <cell r="T311">
            <v>0</v>
          </cell>
        </row>
        <row r="312">
          <cell r="P312">
            <v>0.72534999999999972</v>
          </cell>
          <cell r="Q312">
            <v>1</v>
          </cell>
          <cell r="T312">
            <v>0</v>
          </cell>
        </row>
        <row r="313">
          <cell r="P313">
            <v>-0.39119999999999777</v>
          </cell>
          <cell r="Q313">
            <v>-2</v>
          </cell>
          <cell r="T313" t="str">
            <v>уточ.режима</v>
          </cell>
        </row>
        <row r="314">
          <cell r="P314">
            <v>-1.7115000000000009</v>
          </cell>
          <cell r="Q314">
            <v>0</v>
          </cell>
          <cell r="T314" t="str">
            <v>уточ.режима</v>
          </cell>
        </row>
        <row r="315">
          <cell r="P315">
            <v>-4.9063000000000034</v>
          </cell>
          <cell r="Q315">
            <v>-22</v>
          </cell>
          <cell r="T315" t="str">
            <v>сн.грп</v>
          </cell>
        </row>
        <row r="316">
          <cell r="P316">
            <v>4.9144499999999987</v>
          </cell>
          <cell r="Q316">
            <v>9</v>
          </cell>
          <cell r="T316" t="str">
            <v>прс</v>
          </cell>
        </row>
        <row r="317">
          <cell r="P317">
            <v>-1.3936499999999974</v>
          </cell>
          <cell r="Q317">
            <v>2</v>
          </cell>
          <cell r="T317" t="str">
            <v>ипп</v>
          </cell>
        </row>
        <row r="318">
          <cell r="P318">
            <v>-2.5020500000000001</v>
          </cell>
          <cell r="Q318">
            <v>-4</v>
          </cell>
          <cell r="T318" t="str">
            <v>вода</v>
          </cell>
        </row>
        <row r="319">
          <cell r="P319">
            <v>0</v>
          </cell>
          <cell r="Q319">
            <v>0</v>
          </cell>
          <cell r="T319">
            <v>0</v>
          </cell>
        </row>
        <row r="320">
          <cell r="P320">
            <v>-2.5102000000000011</v>
          </cell>
          <cell r="Q320">
            <v>-4</v>
          </cell>
          <cell r="T320" t="str">
            <v>сн.грп</v>
          </cell>
        </row>
        <row r="321">
          <cell r="P321">
            <v>-5.2078499999999988</v>
          </cell>
          <cell r="Q321">
            <v>-11</v>
          </cell>
          <cell r="T321" t="str">
            <v>сн.грп</v>
          </cell>
        </row>
        <row r="322">
          <cell r="P322">
            <v>-0.8149999999999995</v>
          </cell>
          <cell r="Q322">
            <v>0</v>
          </cell>
          <cell r="T322">
            <v>0</v>
          </cell>
        </row>
        <row r="323">
          <cell r="P323">
            <v>-0.53790000000000138</v>
          </cell>
          <cell r="Q323">
            <v>0</v>
          </cell>
          <cell r="T323">
            <v>0</v>
          </cell>
        </row>
        <row r="324">
          <cell r="P324">
            <v>0.42379999999999995</v>
          </cell>
          <cell r="Q324">
            <v>0</v>
          </cell>
          <cell r="T324">
            <v>0</v>
          </cell>
        </row>
        <row r="325">
          <cell r="P325">
            <v>5.7050000000000267E-2</v>
          </cell>
          <cell r="Q325">
            <v>-1</v>
          </cell>
          <cell r="T325">
            <v>0</v>
          </cell>
        </row>
        <row r="326">
          <cell r="P326">
            <v>0.39934999999999832</v>
          </cell>
          <cell r="Q326">
            <v>-1</v>
          </cell>
          <cell r="T326">
            <v>0</v>
          </cell>
        </row>
        <row r="327">
          <cell r="P327">
            <v>-11.475200000000005</v>
          </cell>
          <cell r="Q327">
            <v>-52</v>
          </cell>
          <cell r="T327" t="str">
            <v>сн.грп</v>
          </cell>
        </row>
        <row r="328">
          <cell r="P328">
            <v>5.7376000000000049</v>
          </cell>
          <cell r="Q328">
            <v>28</v>
          </cell>
          <cell r="T328" t="str">
            <v>опт</v>
          </cell>
        </row>
        <row r="329">
          <cell r="P329">
            <v>1.1204999999999996</v>
          </cell>
          <cell r="Q329">
            <v>1</v>
          </cell>
          <cell r="T329" t="str">
            <v>уточ.режима</v>
          </cell>
        </row>
        <row r="330">
          <cell r="P330">
            <v>0.22004999999999963</v>
          </cell>
          <cell r="Q330">
            <v>-1</v>
          </cell>
          <cell r="T330">
            <v>0</v>
          </cell>
        </row>
        <row r="331">
          <cell r="P331">
            <v>1.1619999999999999</v>
          </cell>
          <cell r="Q331">
            <v>0</v>
          </cell>
          <cell r="T331" t="str">
            <v>уточ.режима</v>
          </cell>
        </row>
        <row r="332">
          <cell r="P332">
            <v>0</v>
          </cell>
          <cell r="Q332">
            <v>0</v>
          </cell>
          <cell r="T332">
            <v>0</v>
          </cell>
        </row>
        <row r="333">
          <cell r="P333">
            <v>1.173600000000004</v>
          </cell>
          <cell r="Q333">
            <v>-12</v>
          </cell>
          <cell r="T333" t="str">
            <v>сн.грп</v>
          </cell>
        </row>
        <row r="334">
          <cell r="P334">
            <v>0</v>
          </cell>
          <cell r="Q334">
            <v>0</v>
          </cell>
          <cell r="T334">
            <v>0</v>
          </cell>
        </row>
        <row r="335">
          <cell r="P335">
            <v>-0.36674999999999081</v>
          </cell>
          <cell r="Q335">
            <v>-15</v>
          </cell>
          <cell r="T335" t="str">
            <v>уточ.режима</v>
          </cell>
        </row>
        <row r="336">
          <cell r="P336">
            <v>0</v>
          </cell>
          <cell r="Q336">
            <v>0</v>
          </cell>
          <cell r="T336">
            <v>0</v>
          </cell>
        </row>
        <row r="337">
          <cell r="P337">
            <v>0.52160000000000029</v>
          </cell>
          <cell r="Q337">
            <v>0</v>
          </cell>
          <cell r="T337">
            <v>0</v>
          </cell>
        </row>
        <row r="338">
          <cell r="P338">
            <v>0.76610000000000378</v>
          </cell>
          <cell r="Q338">
            <v>0</v>
          </cell>
          <cell r="T338">
            <v>0</v>
          </cell>
        </row>
        <row r="339">
          <cell r="P339">
            <v>1.2225000000000001</v>
          </cell>
          <cell r="Q339">
            <v>-10</v>
          </cell>
          <cell r="T339" t="str">
            <v>уточ.режима</v>
          </cell>
        </row>
        <row r="340">
          <cell r="P340">
            <v>0.56234999999999813</v>
          </cell>
          <cell r="Q340">
            <v>-5</v>
          </cell>
          <cell r="T340">
            <v>0</v>
          </cell>
        </row>
        <row r="341">
          <cell r="P341">
            <v>-1.3040000000000067</v>
          </cell>
          <cell r="Q341">
            <v>-20</v>
          </cell>
          <cell r="T341" t="str">
            <v>сн.опт</v>
          </cell>
        </row>
        <row r="342">
          <cell r="P342">
            <v>-6.5199999999998592E-2</v>
          </cell>
          <cell r="Q342">
            <v>-2</v>
          </cell>
          <cell r="T342">
            <v>0</v>
          </cell>
        </row>
        <row r="343">
          <cell r="P343">
            <v>1.0920999999999996</v>
          </cell>
          <cell r="Q343">
            <v>11</v>
          </cell>
          <cell r="T343" t="str">
            <v>уточ.режима</v>
          </cell>
        </row>
        <row r="344">
          <cell r="P344">
            <v>0</v>
          </cell>
          <cell r="Q344">
            <v>0</v>
          </cell>
          <cell r="T344">
            <v>0</v>
          </cell>
        </row>
        <row r="345">
          <cell r="P345">
            <v>0.11619999999999919</v>
          </cell>
          <cell r="Q345">
            <v>-2</v>
          </cell>
          <cell r="T345">
            <v>0</v>
          </cell>
        </row>
        <row r="346">
          <cell r="P346">
            <v>0.65200000000000902</v>
          </cell>
          <cell r="Q346">
            <v>40</v>
          </cell>
          <cell r="T346" t="str">
            <v>уточ.режима</v>
          </cell>
        </row>
        <row r="347">
          <cell r="P347">
            <v>0.78240000000000087</v>
          </cell>
          <cell r="Q347">
            <v>0</v>
          </cell>
          <cell r="T347">
            <v>0</v>
          </cell>
        </row>
        <row r="348">
          <cell r="P348">
            <v>0</v>
          </cell>
          <cell r="Q348">
            <v>0</v>
          </cell>
          <cell r="T348">
            <v>0</v>
          </cell>
        </row>
        <row r="349">
          <cell r="P349">
            <v>1.0106000000000019</v>
          </cell>
          <cell r="Q349">
            <v>2</v>
          </cell>
          <cell r="T349">
            <v>0</v>
          </cell>
        </row>
        <row r="350">
          <cell r="P350">
            <v>-0.39119999999999733</v>
          </cell>
          <cell r="Q350">
            <v>-8</v>
          </cell>
          <cell r="T350">
            <v>0</v>
          </cell>
        </row>
        <row r="351">
          <cell r="P351">
            <v>0</v>
          </cell>
          <cell r="Q351">
            <v>0</v>
          </cell>
          <cell r="T351">
            <v>0</v>
          </cell>
        </row>
        <row r="352">
          <cell r="P352">
            <v>1.7595999999999989</v>
          </cell>
          <cell r="Q352">
            <v>2</v>
          </cell>
          <cell r="T352" t="str">
            <v>уточ.режима</v>
          </cell>
        </row>
        <row r="353">
          <cell r="P353">
            <v>9.9599999999998801E-2</v>
          </cell>
          <cell r="Q353">
            <v>0</v>
          </cell>
          <cell r="T353">
            <v>0</v>
          </cell>
        </row>
        <row r="354">
          <cell r="P354">
            <v>0.68890000000000118</v>
          </cell>
          <cell r="Q354">
            <v>1</v>
          </cell>
          <cell r="T354">
            <v>0</v>
          </cell>
        </row>
        <row r="355">
          <cell r="P355">
            <v>-0.26895000000000202</v>
          </cell>
          <cell r="Q355">
            <v>-1</v>
          </cell>
          <cell r="T355">
            <v>0</v>
          </cell>
        </row>
        <row r="356">
          <cell r="P356">
            <v>1.6463000000000001</v>
          </cell>
          <cell r="Q356">
            <v>-2</v>
          </cell>
          <cell r="T356" t="str">
            <v>уточ.режима</v>
          </cell>
        </row>
        <row r="357">
          <cell r="P357">
            <v>0</v>
          </cell>
          <cell r="Q357">
            <v>0</v>
          </cell>
          <cell r="T357">
            <v>0</v>
          </cell>
        </row>
        <row r="358">
          <cell r="P358">
            <v>-1.7929999999999993</v>
          </cell>
          <cell r="Q358">
            <v>-2</v>
          </cell>
          <cell r="T358" t="str">
            <v>ипп</v>
          </cell>
        </row>
        <row r="359">
          <cell r="P359">
            <v>0.88020000000000032</v>
          </cell>
          <cell r="Q359">
            <v>2</v>
          </cell>
          <cell r="T359">
            <v>0</v>
          </cell>
        </row>
        <row r="360">
          <cell r="P360">
            <v>-2.665049999999999</v>
          </cell>
          <cell r="Q360">
            <v>-10</v>
          </cell>
          <cell r="T360" t="str">
            <v>уточ.режима</v>
          </cell>
        </row>
        <row r="361">
          <cell r="P361">
            <v>1.9885999999999999</v>
          </cell>
          <cell r="Q361">
            <v>4</v>
          </cell>
          <cell r="T361" t="str">
            <v>уточ.режима</v>
          </cell>
        </row>
        <row r="362">
          <cell r="P362">
            <v>-2.2738499999999995</v>
          </cell>
          <cell r="Q362">
            <v>-3</v>
          </cell>
          <cell r="T362" t="str">
            <v>ипп</v>
          </cell>
        </row>
        <row r="363">
          <cell r="P363">
            <v>0.86389999999999922</v>
          </cell>
          <cell r="Q363">
            <v>1</v>
          </cell>
          <cell r="T363">
            <v>0</v>
          </cell>
        </row>
        <row r="364">
          <cell r="P364">
            <v>0</v>
          </cell>
          <cell r="Q364">
            <v>0</v>
          </cell>
          <cell r="T364">
            <v>0</v>
          </cell>
        </row>
        <row r="365">
          <cell r="P365">
            <v>1.8093000000000004</v>
          </cell>
          <cell r="Q365">
            <v>2</v>
          </cell>
          <cell r="T365" t="str">
            <v>уточ.режима</v>
          </cell>
        </row>
        <row r="366">
          <cell r="P366">
            <v>0.85575000000000045</v>
          </cell>
          <cell r="Q366">
            <v>0</v>
          </cell>
          <cell r="T366">
            <v>0</v>
          </cell>
        </row>
        <row r="367">
          <cell r="P367">
            <v>0</v>
          </cell>
          <cell r="Q367">
            <v>0</v>
          </cell>
          <cell r="T367">
            <v>0</v>
          </cell>
        </row>
        <row r="368">
          <cell r="P368">
            <v>1.7848500000000005</v>
          </cell>
          <cell r="Q368">
            <v>-1</v>
          </cell>
          <cell r="T368" t="str">
            <v>уточ.режима</v>
          </cell>
        </row>
        <row r="369">
          <cell r="P369">
            <v>-2.4449999999998973E-2</v>
          </cell>
          <cell r="Q369">
            <v>1</v>
          </cell>
          <cell r="T369">
            <v>0</v>
          </cell>
        </row>
        <row r="370">
          <cell r="P370">
            <v>-0.88019999999999854</v>
          </cell>
          <cell r="Q370">
            <v>-4</v>
          </cell>
          <cell r="T370">
            <v>0</v>
          </cell>
        </row>
        <row r="371">
          <cell r="P371">
            <v>-0.58679999999999932</v>
          </cell>
          <cell r="Q371">
            <v>-3</v>
          </cell>
          <cell r="T371">
            <v>0</v>
          </cell>
        </row>
        <row r="372">
          <cell r="P372">
            <v>-1.9234000000000009</v>
          </cell>
          <cell r="Q372">
            <v>-6</v>
          </cell>
          <cell r="T372" t="str">
            <v>уточ.режима</v>
          </cell>
        </row>
        <row r="373">
          <cell r="P373">
            <v>-3.0969999999999978</v>
          </cell>
          <cell r="Q373">
            <v>-10</v>
          </cell>
          <cell r="T373" t="str">
            <v>ипп</v>
          </cell>
        </row>
        <row r="374">
          <cell r="P374">
            <v>-2.2412500000000009</v>
          </cell>
          <cell r="Q374">
            <v>-4</v>
          </cell>
          <cell r="T374" t="str">
            <v>ипп</v>
          </cell>
        </row>
        <row r="375">
          <cell r="P375">
            <v>0</v>
          </cell>
          <cell r="Q375">
            <v>0</v>
          </cell>
          <cell r="T375">
            <v>0</v>
          </cell>
        </row>
        <row r="376">
          <cell r="P376">
            <v>-5.7457499999999992</v>
          </cell>
          <cell r="Q376">
            <v>-15</v>
          </cell>
          <cell r="T376" t="str">
            <v>ипп</v>
          </cell>
        </row>
        <row r="377">
          <cell r="P377">
            <v>-3.0806999999999993</v>
          </cell>
          <cell r="Q377">
            <v>-13</v>
          </cell>
          <cell r="T377" t="str">
            <v>сн.грп</v>
          </cell>
        </row>
        <row r="378">
          <cell r="P378">
            <v>-0.59759999999999902</v>
          </cell>
          <cell r="Q378">
            <v>-1</v>
          </cell>
          <cell r="T378">
            <v>0</v>
          </cell>
        </row>
        <row r="379">
          <cell r="P379">
            <v>1.7848500000000007</v>
          </cell>
          <cell r="Q379">
            <v>9</v>
          </cell>
          <cell r="T379" t="str">
            <v>прс</v>
          </cell>
        </row>
        <row r="380">
          <cell r="P380">
            <v>-0.97799999999999976</v>
          </cell>
          <cell r="Q380">
            <v>-4</v>
          </cell>
          <cell r="T380">
            <v>0</v>
          </cell>
        </row>
        <row r="381">
          <cell r="P381">
            <v>0</v>
          </cell>
          <cell r="Q381">
            <v>0</v>
          </cell>
          <cell r="T381">
            <v>0</v>
          </cell>
        </row>
        <row r="382">
          <cell r="P382">
            <v>0</v>
          </cell>
          <cell r="Q382">
            <v>0</v>
          </cell>
          <cell r="T382">
            <v>0</v>
          </cell>
        </row>
        <row r="383">
          <cell r="P383">
            <v>1.3692000000000011</v>
          </cell>
          <cell r="Q383">
            <v>8</v>
          </cell>
          <cell r="T383" t="str">
            <v>уточ.режима</v>
          </cell>
        </row>
        <row r="384">
          <cell r="P384">
            <v>0.45640000000000169</v>
          </cell>
          <cell r="Q384">
            <v>-2</v>
          </cell>
          <cell r="T384">
            <v>0</v>
          </cell>
        </row>
        <row r="385">
          <cell r="P385">
            <v>-0.22820000000000107</v>
          </cell>
          <cell r="Q385">
            <v>-2</v>
          </cell>
          <cell r="T385">
            <v>0</v>
          </cell>
        </row>
        <row r="386">
          <cell r="P386">
            <v>-0.11620000000000008</v>
          </cell>
          <cell r="Q386">
            <v>0</v>
          </cell>
          <cell r="T386">
            <v>0</v>
          </cell>
        </row>
        <row r="387">
          <cell r="P387">
            <v>0.37349999999999994</v>
          </cell>
          <cell r="Q387">
            <v>0</v>
          </cell>
          <cell r="T387">
            <v>0</v>
          </cell>
        </row>
        <row r="388">
          <cell r="P388">
            <v>-0.81500000000000039</v>
          </cell>
          <cell r="Q388">
            <v>-4</v>
          </cell>
          <cell r="T388">
            <v>0</v>
          </cell>
        </row>
        <row r="389">
          <cell r="P389">
            <v>0</v>
          </cell>
          <cell r="Q389">
            <v>0</v>
          </cell>
          <cell r="T389">
            <v>0</v>
          </cell>
        </row>
        <row r="390">
          <cell r="P390">
            <v>0</v>
          </cell>
          <cell r="Q390">
            <v>0</v>
          </cell>
          <cell r="T390">
            <v>0</v>
          </cell>
        </row>
        <row r="391">
          <cell r="P391">
            <v>0</v>
          </cell>
          <cell r="Q391">
            <v>0</v>
          </cell>
          <cell r="T391">
            <v>0</v>
          </cell>
        </row>
        <row r="392">
          <cell r="P392">
            <v>0</v>
          </cell>
          <cell r="Q392">
            <v>0</v>
          </cell>
          <cell r="T392">
            <v>0</v>
          </cell>
        </row>
        <row r="393">
          <cell r="P393">
            <v>-0.21579999999999977</v>
          </cell>
          <cell r="Q393">
            <v>0</v>
          </cell>
          <cell r="T393">
            <v>0</v>
          </cell>
        </row>
        <row r="394">
          <cell r="P394">
            <v>0</v>
          </cell>
          <cell r="Q394">
            <v>0</v>
          </cell>
          <cell r="T394">
            <v>0</v>
          </cell>
        </row>
        <row r="395">
          <cell r="P395">
            <v>-0.14669999999999961</v>
          </cell>
          <cell r="Q395">
            <v>0</v>
          </cell>
          <cell r="T395">
            <v>0</v>
          </cell>
        </row>
        <row r="396">
          <cell r="P396">
            <v>2.1271499999999968</v>
          </cell>
          <cell r="Q396">
            <v>3</v>
          </cell>
          <cell r="T396" t="str">
            <v>уточ.режима</v>
          </cell>
        </row>
        <row r="397">
          <cell r="P397">
            <v>-1.5485000000000015</v>
          </cell>
          <cell r="Q397">
            <v>0</v>
          </cell>
          <cell r="T397" t="str">
            <v>уточ.режима</v>
          </cell>
        </row>
        <row r="398">
          <cell r="P398">
            <v>-0.19559999999999889</v>
          </cell>
          <cell r="Q398">
            <v>0</v>
          </cell>
          <cell r="T398">
            <v>0</v>
          </cell>
        </row>
        <row r="399">
          <cell r="P399">
            <v>0.42379999999999951</v>
          </cell>
          <cell r="Q399">
            <v>0</v>
          </cell>
          <cell r="T399">
            <v>0</v>
          </cell>
        </row>
        <row r="400">
          <cell r="P400">
            <v>8.9649999999998897E-2</v>
          </cell>
          <cell r="Q400">
            <v>12</v>
          </cell>
          <cell r="T400">
            <v>0</v>
          </cell>
        </row>
        <row r="401">
          <cell r="P401">
            <v>0.78240000000000087</v>
          </cell>
          <cell r="Q401">
            <v>0</v>
          </cell>
          <cell r="T401">
            <v>0</v>
          </cell>
        </row>
        <row r="402">
          <cell r="P402">
            <v>-0.63570000000000082</v>
          </cell>
          <cell r="Q402">
            <v>-2</v>
          </cell>
          <cell r="T402">
            <v>0</v>
          </cell>
        </row>
        <row r="403">
          <cell r="P403">
            <v>2.0701000000000001</v>
          </cell>
          <cell r="Q403">
            <v>5</v>
          </cell>
          <cell r="T403" t="str">
            <v>уточ.режима</v>
          </cell>
        </row>
        <row r="404">
          <cell r="P404">
            <v>-1.5974000000000004</v>
          </cell>
          <cell r="Q404">
            <v>-2</v>
          </cell>
          <cell r="T404" t="str">
            <v>уточ.режима</v>
          </cell>
        </row>
        <row r="405">
          <cell r="P405">
            <v>-0.84759999999999924</v>
          </cell>
          <cell r="Q405">
            <v>34</v>
          </cell>
          <cell r="T405" t="str">
            <v>уточ.режима</v>
          </cell>
        </row>
        <row r="406">
          <cell r="P406">
            <v>-0.35860000000000092</v>
          </cell>
          <cell r="Q406">
            <v>-4</v>
          </cell>
          <cell r="T406">
            <v>0</v>
          </cell>
        </row>
        <row r="407">
          <cell r="P407">
            <v>3.1041999999999996</v>
          </cell>
          <cell r="Q407">
            <v>4</v>
          </cell>
          <cell r="T407" t="str">
            <v>уточ.режима</v>
          </cell>
        </row>
        <row r="408">
          <cell r="P408">
            <v>-0.62754999999999939</v>
          </cell>
          <cell r="Q408">
            <v>-1</v>
          </cell>
          <cell r="T408">
            <v>0</v>
          </cell>
        </row>
        <row r="409">
          <cell r="P409">
            <v>0.62755000000000294</v>
          </cell>
          <cell r="Q409">
            <v>1</v>
          </cell>
          <cell r="T409">
            <v>0</v>
          </cell>
        </row>
        <row r="410">
          <cell r="P410">
            <v>-1.9315500000000005</v>
          </cell>
          <cell r="Q410">
            <v>-8</v>
          </cell>
          <cell r="T410" t="str">
            <v>уточ.режима</v>
          </cell>
        </row>
        <row r="411">
          <cell r="P411">
            <v>0.84760000000000169</v>
          </cell>
          <cell r="Q411">
            <v>7</v>
          </cell>
          <cell r="T411">
            <v>0</v>
          </cell>
        </row>
        <row r="412">
          <cell r="P412">
            <v>-2.9258500000000023</v>
          </cell>
          <cell r="Q412">
            <v>-18</v>
          </cell>
          <cell r="T412" t="str">
            <v>уточ.режима</v>
          </cell>
        </row>
        <row r="413">
          <cell r="P413">
            <v>0.60309999999999597</v>
          </cell>
          <cell r="Q413">
            <v>-7</v>
          </cell>
          <cell r="T413">
            <v>0</v>
          </cell>
        </row>
        <row r="414">
          <cell r="P414">
            <v>-0.81499999999999995</v>
          </cell>
          <cell r="Q414">
            <v>0</v>
          </cell>
          <cell r="T414">
            <v>0</v>
          </cell>
        </row>
        <row r="415">
          <cell r="P415">
            <v>0.50530000000000097</v>
          </cell>
          <cell r="Q415">
            <v>0</v>
          </cell>
          <cell r="T415">
            <v>0</v>
          </cell>
        </row>
        <row r="416">
          <cell r="P416">
            <v>0</v>
          </cell>
          <cell r="Q416">
            <v>0</v>
          </cell>
          <cell r="T416" t="str">
            <v>уточ.режима</v>
          </cell>
        </row>
        <row r="417">
          <cell r="P417" t="e">
            <v>#N/A</v>
          </cell>
          <cell r="Q417" t="e">
            <v>#N/A</v>
          </cell>
          <cell r="T417" t="e">
            <v>#N/A</v>
          </cell>
        </row>
        <row r="418">
          <cell r="P418">
            <v>0</v>
          </cell>
          <cell r="Q418">
            <v>0</v>
          </cell>
          <cell r="T418">
            <v>0</v>
          </cell>
        </row>
        <row r="419">
          <cell r="P419">
            <v>0.6520000000000028</v>
          </cell>
          <cell r="Q419">
            <v>2</v>
          </cell>
          <cell r="T419">
            <v>0</v>
          </cell>
        </row>
        <row r="420">
          <cell r="P420">
            <v>0</v>
          </cell>
          <cell r="Q420">
            <v>0</v>
          </cell>
          <cell r="T420">
            <v>0</v>
          </cell>
        </row>
        <row r="421">
          <cell r="P421">
            <v>-0.48900000000000077</v>
          </cell>
          <cell r="Q421">
            <v>-3</v>
          </cell>
          <cell r="T421">
            <v>0</v>
          </cell>
        </row>
        <row r="422">
          <cell r="P422">
            <v>0.47269999999999968</v>
          </cell>
          <cell r="Q422">
            <v>-1</v>
          </cell>
          <cell r="T422">
            <v>0</v>
          </cell>
        </row>
        <row r="423">
          <cell r="P423">
            <v>0</v>
          </cell>
          <cell r="Q423">
            <v>0</v>
          </cell>
          <cell r="T423">
            <v>0</v>
          </cell>
        </row>
        <row r="424">
          <cell r="P424">
            <v>-5.7050000000000267E-2</v>
          </cell>
          <cell r="Q424">
            <v>-1</v>
          </cell>
          <cell r="T424">
            <v>0</v>
          </cell>
        </row>
        <row r="425">
          <cell r="P425">
            <v>-0.86389999999999567</v>
          </cell>
          <cell r="Q425">
            <v>-5</v>
          </cell>
          <cell r="T425">
            <v>0</v>
          </cell>
        </row>
        <row r="427">
          <cell r="P427" t="e">
            <v>#N/A</v>
          </cell>
          <cell r="Q427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P5" t="str">
            <v xml:space="preserve"> +-нефть</v>
          </cell>
          <cell r="Q5" t="str">
            <v xml:space="preserve"> -+ жид-ть</v>
          </cell>
          <cell r="T5" t="str">
            <v>шифр</v>
          </cell>
        </row>
        <row r="7">
          <cell r="P7">
            <v>-0.71720000000000805</v>
          </cell>
          <cell r="Q7">
            <v>-2</v>
          </cell>
          <cell r="T7" t="str">
            <v>уточ.режима</v>
          </cell>
        </row>
        <row r="8">
          <cell r="P8">
            <v>-0.90465000000000018</v>
          </cell>
          <cell r="Q8">
            <v>2</v>
          </cell>
          <cell r="T8">
            <v>0</v>
          </cell>
        </row>
        <row r="9">
          <cell r="P9">
            <v>-0.13040000000000007</v>
          </cell>
          <cell r="Q9">
            <v>0</v>
          </cell>
          <cell r="T9">
            <v>0</v>
          </cell>
        </row>
        <row r="10">
          <cell r="P10">
            <v>-5.4116000000000026</v>
          </cell>
          <cell r="Q10">
            <v>-9</v>
          </cell>
          <cell r="T10" t="str">
            <v>ипп</v>
          </cell>
        </row>
        <row r="11">
          <cell r="P11">
            <v>-8.9649999999999341E-2</v>
          </cell>
          <cell r="Q11">
            <v>-1</v>
          </cell>
          <cell r="T11">
            <v>0</v>
          </cell>
        </row>
        <row r="12">
          <cell r="P12">
            <v>-0.82314999999999827</v>
          </cell>
          <cell r="Q12">
            <v>-2</v>
          </cell>
          <cell r="T12">
            <v>0</v>
          </cell>
        </row>
        <row r="13">
          <cell r="P13">
            <v>1.3447499999999977</v>
          </cell>
          <cell r="Q13">
            <v>0</v>
          </cell>
          <cell r="T13" t="str">
            <v>уточ.режима</v>
          </cell>
        </row>
        <row r="14">
          <cell r="P14">
            <v>1.5322000000000007</v>
          </cell>
          <cell r="Q14">
            <v>-2</v>
          </cell>
          <cell r="T14" t="str">
            <v>уточ.режима</v>
          </cell>
        </row>
        <row r="15">
          <cell r="P15">
            <v>0.13854999999999862</v>
          </cell>
          <cell r="Q15">
            <v>-1</v>
          </cell>
          <cell r="T15">
            <v>0</v>
          </cell>
        </row>
        <row r="16">
          <cell r="P16">
            <v>-2.7873000000000019</v>
          </cell>
          <cell r="Q16">
            <v>-3</v>
          </cell>
          <cell r="T16" t="str">
            <v>вода</v>
          </cell>
        </row>
        <row r="17">
          <cell r="P17">
            <v>4.0749999999999957</v>
          </cell>
          <cell r="Q17">
            <v>4</v>
          </cell>
          <cell r="T17" t="str">
            <v>уточ.режима</v>
          </cell>
        </row>
        <row r="18">
          <cell r="P18">
            <v>-0.83130000000000237</v>
          </cell>
          <cell r="Q18">
            <v>-5</v>
          </cell>
          <cell r="T18">
            <v>0</v>
          </cell>
        </row>
        <row r="19">
          <cell r="P19">
            <v>-9.7800000000000331E-2</v>
          </cell>
          <cell r="Q19">
            <v>-3</v>
          </cell>
          <cell r="T19">
            <v>0</v>
          </cell>
        </row>
        <row r="20">
          <cell r="P20">
            <v>0</v>
          </cell>
          <cell r="Q20">
            <v>0</v>
          </cell>
          <cell r="T20">
            <v>0</v>
          </cell>
        </row>
        <row r="21">
          <cell r="P21">
            <v>-5.7050000000000267E-2</v>
          </cell>
          <cell r="Q21">
            <v>1</v>
          </cell>
          <cell r="T21">
            <v>0</v>
          </cell>
        </row>
        <row r="22">
          <cell r="P22">
            <v>0</v>
          </cell>
          <cell r="Q22">
            <v>0</v>
          </cell>
          <cell r="T22">
            <v>0</v>
          </cell>
        </row>
        <row r="23">
          <cell r="P23">
            <v>0</v>
          </cell>
          <cell r="Q23">
            <v>0</v>
          </cell>
          <cell r="T23">
            <v>0</v>
          </cell>
        </row>
        <row r="24">
          <cell r="P24">
            <v>0</v>
          </cell>
          <cell r="Q24">
            <v>0</v>
          </cell>
          <cell r="T24">
            <v>0</v>
          </cell>
        </row>
        <row r="25">
          <cell r="P25">
            <v>-0.27709999999999724</v>
          </cell>
          <cell r="Q25">
            <v>-1</v>
          </cell>
          <cell r="T25">
            <v>0</v>
          </cell>
        </row>
        <row r="26">
          <cell r="P26">
            <v>-4.8900000000001942E-2</v>
          </cell>
          <cell r="Q26">
            <v>-2</v>
          </cell>
          <cell r="T26">
            <v>0</v>
          </cell>
        </row>
        <row r="27">
          <cell r="P27">
            <v>0.92095000000000216</v>
          </cell>
          <cell r="Q27">
            <v>-1</v>
          </cell>
          <cell r="T27">
            <v>0</v>
          </cell>
        </row>
        <row r="28">
          <cell r="P28">
            <v>-0.81500000000000128</v>
          </cell>
          <cell r="Q28">
            <v>-2</v>
          </cell>
          <cell r="T28">
            <v>0</v>
          </cell>
        </row>
        <row r="29">
          <cell r="P29">
            <v>-1.2387999999999852</v>
          </cell>
          <cell r="Q29">
            <v>-6</v>
          </cell>
          <cell r="T29" t="str">
            <v>уточ.режима</v>
          </cell>
        </row>
        <row r="30">
          <cell r="P30">
            <v>-0.20375000000000032</v>
          </cell>
          <cell r="Q30">
            <v>0</v>
          </cell>
          <cell r="T30">
            <v>0</v>
          </cell>
        </row>
        <row r="31">
          <cell r="P31">
            <v>-0.39119999999999999</v>
          </cell>
          <cell r="Q31">
            <v>-2</v>
          </cell>
          <cell r="T31">
            <v>0</v>
          </cell>
        </row>
        <row r="32">
          <cell r="P32">
            <v>0.41564999999999808</v>
          </cell>
          <cell r="Q32">
            <v>-2</v>
          </cell>
          <cell r="T32">
            <v>0</v>
          </cell>
        </row>
        <row r="33">
          <cell r="P33" t="e">
            <v>#N/A</v>
          </cell>
          <cell r="Q33" t="e">
            <v>#N/A</v>
          </cell>
          <cell r="T33" t="e">
            <v>#N/A</v>
          </cell>
        </row>
        <row r="34">
          <cell r="P34">
            <v>0</v>
          </cell>
          <cell r="Q34">
            <v>0</v>
          </cell>
          <cell r="T34">
            <v>0</v>
          </cell>
        </row>
        <row r="35">
          <cell r="P35">
            <v>0</v>
          </cell>
          <cell r="Q35">
            <v>0</v>
          </cell>
          <cell r="T35">
            <v>0</v>
          </cell>
        </row>
        <row r="36">
          <cell r="P36">
            <v>0</v>
          </cell>
          <cell r="Q36">
            <v>0</v>
          </cell>
          <cell r="T36">
            <v>0</v>
          </cell>
        </row>
        <row r="37">
          <cell r="P37">
            <v>0</v>
          </cell>
          <cell r="Q37">
            <v>0</v>
          </cell>
          <cell r="T37">
            <v>0</v>
          </cell>
        </row>
        <row r="38">
          <cell r="P38">
            <v>0.92910000000000048</v>
          </cell>
          <cell r="Q38">
            <v>0</v>
          </cell>
          <cell r="T38">
            <v>0</v>
          </cell>
        </row>
        <row r="39">
          <cell r="P39">
            <v>-0.32600000000000029</v>
          </cell>
          <cell r="Q39">
            <v>0</v>
          </cell>
          <cell r="T39">
            <v>0</v>
          </cell>
        </row>
        <row r="40">
          <cell r="P40">
            <v>-6.6400000000000237E-2</v>
          </cell>
          <cell r="Q40">
            <v>0</v>
          </cell>
          <cell r="T40">
            <v>0</v>
          </cell>
        </row>
        <row r="41">
          <cell r="P41">
            <v>0</v>
          </cell>
          <cell r="Q41">
            <v>0</v>
          </cell>
          <cell r="T41">
            <v>0</v>
          </cell>
        </row>
        <row r="42">
          <cell r="P42">
            <v>-6.5200000000004588E-2</v>
          </cell>
          <cell r="Q42">
            <v>-2</v>
          </cell>
          <cell r="T42">
            <v>0</v>
          </cell>
        </row>
        <row r="43">
          <cell r="P43">
            <v>-0.74980000000000047</v>
          </cell>
          <cell r="Q43">
            <v>1</v>
          </cell>
          <cell r="T43">
            <v>0</v>
          </cell>
        </row>
        <row r="44">
          <cell r="P44">
            <v>-6.5199999999999925E-2</v>
          </cell>
          <cell r="Q44">
            <v>0</v>
          </cell>
          <cell r="T44">
            <v>0</v>
          </cell>
        </row>
        <row r="45">
          <cell r="P45">
            <v>0.1711500000000008</v>
          </cell>
          <cell r="Q45">
            <v>-7</v>
          </cell>
          <cell r="T45">
            <v>0</v>
          </cell>
        </row>
        <row r="46">
          <cell r="P46">
            <v>0.68459999999999965</v>
          </cell>
          <cell r="Q46">
            <v>3</v>
          </cell>
          <cell r="T46">
            <v>0</v>
          </cell>
        </row>
        <row r="47">
          <cell r="P47">
            <v>0.97800000000000065</v>
          </cell>
          <cell r="Q47">
            <v>7</v>
          </cell>
          <cell r="T47">
            <v>0</v>
          </cell>
        </row>
        <row r="48">
          <cell r="P48">
            <v>1.0594999999999999</v>
          </cell>
          <cell r="Q48">
            <v>2</v>
          </cell>
          <cell r="T48" t="str">
            <v>уточ.режима</v>
          </cell>
        </row>
        <row r="49">
          <cell r="P49">
            <v>1.5403500000000001</v>
          </cell>
          <cell r="Q49">
            <v>7</v>
          </cell>
          <cell r="T49" t="str">
            <v>прс</v>
          </cell>
        </row>
        <row r="50">
          <cell r="P50">
            <v>0.75794999999999924</v>
          </cell>
          <cell r="Q50">
            <v>0</v>
          </cell>
          <cell r="T50">
            <v>0</v>
          </cell>
        </row>
        <row r="51">
          <cell r="P51">
            <v>0.85575000000000045</v>
          </cell>
          <cell r="Q51">
            <v>0</v>
          </cell>
          <cell r="T51">
            <v>0</v>
          </cell>
        </row>
        <row r="52">
          <cell r="P52">
            <v>0</v>
          </cell>
          <cell r="Q52">
            <v>0</v>
          </cell>
          <cell r="T52">
            <v>0</v>
          </cell>
        </row>
        <row r="53">
          <cell r="P53">
            <v>0.26895000000000113</v>
          </cell>
          <cell r="Q53">
            <v>0</v>
          </cell>
          <cell r="T53">
            <v>0</v>
          </cell>
        </row>
        <row r="54">
          <cell r="P54">
            <v>-0.24450000000000038</v>
          </cell>
          <cell r="Q54">
            <v>2</v>
          </cell>
          <cell r="T54">
            <v>0</v>
          </cell>
        </row>
        <row r="55">
          <cell r="P55">
            <v>0</v>
          </cell>
          <cell r="Q55">
            <v>0</v>
          </cell>
          <cell r="T55">
            <v>0</v>
          </cell>
        </row>
        <row r="56">
          <cell r="P56">
            <v>-0.88019999999999898</v>
          </cell>
          <cell r="Q56">
            <v>-3</v>
          </cell>
          <cell r="T56">
            <v>0</v>
          </cell>
        </row>
        <row r="57">
          <cell r="P57">
            <v>-0.36675000000000235</v>
          </cell>
          <cell r="Q57">
            <v>0</v>
          </cell>
          <cell r="T57">
            <v>0</v>
          </cell>
        </row>
        <row r="58">
          <cell r="P58">
            <v>0.19560000000000244</v>
          </cell>
          <cell r="Q58">
            <v>-20</v>
          </cell>
          <cell r="T58" t="str">
            <v>сн.грп</v>
          </cell>
        </row>
        <row r="59">
          <cell r="P59">
            <v>0.24450000000000038</v>
          </cell>
          <cell r="Q59">
            <v>1</v>
          </cell>
          <cell r="T59" t="str">
            <v>уточ.режима</v>
          </cell>
        </row>
        <row r="60">
          <cell r="P60">
            <v>0.12224999999999975</v>
          </cell>
          <cell r="Q60">
            <v>0</v>
          </cell>
          <cell r="T60">
            <v>0</v>
          </cell>
        </row>
        <row r="61">
          <cell r="P61">
            <v>-0.65200000000000058</v>
          </cell>
          <cell r="Q61">
            <v>-3</v>
          </cell>
          <cell r="T61">
            <v>0</v>
          </cell>
        </row>
        <row r="62">
          <cell r="P62">
            <v>0</v>
          </cell>
          <cell r="Q62">
            <v>0</v>
          </cell>
          <cell r="T62">
            <v>0</v>
          </cell>
        </row>
        <row r="63">
          <cell r="P63">
            <v>0.49714999999999954</v>
          </cell>
          <cell r="Q63">
            <v>0</v>
          </cell>
          <cell r="T63">
            <v>0</v>
          </cell>
        </row>
        <row r="64">
          <cell r="P64">
            <v>0.45640000000000169</v>
          </cell>
          <cell r="Q64">
            <v>8</v>
          </cell>
          <cell r="T64">
            <v>0</v>
          </cell>
        </row>
        <row r="65">
          <cell r="P65">
            <v>0.22820000000000107</v>
          </cell>
          <cell r="Q65">
            <v>14</v>
          </cell>
          <cell r="T65" t="str">
            <v>уточ.режима</v>
          </cell>
        </row>
        <row r="66">
          <cell r="P66">
            <v>0</v>
          </cell>
          <cell r="Q66">
            <v>0</v>
          </cell>
          <cell r="T66">
            <v>0</v>
          </cell>
        </row>
        <row r="67">
          <cell r="P67">
            <v>1.2225000000000055</v>
          </cell>
          <cell r="Q67">
            <v>10</v>
          </cell>
          <cell r="T67" t="str">
            <v>уточ.режима</v>
          </cell>
        </row>
        <row r="68">
          <cell r="P68">
            <v>0.11409999999999965</v>
          </cell>
          <cell r="Q68">
            <v>2</v>
          </cell>
          <cell r="T68">
            <v>0</v>
          </cell>
        </row>
        <row r="69">
          <cell r="P69">
            <v>0</v>
          </cell>
          <cell r="Q69">
            <v>0</v>
          </cell>
          <cell r="T69">
            <v>0</v>
          </cell>
        </row>
        <row r="70">
          <cell r="P70">
            <v>0.18745000000000012</v>
          </cell>
          <cell r="Q70">
            <v>0</v>
          </cell>
          <cell r="T70">
            <v>0</v>
          </cell>
        </row>
        <row r="71">
          <cell r="P71">
            <v>-8.1500000000001016E-2</v>
          </cell>
          <cell r="Q71">
            <v>-1</v>
          </cell>
          <cell r="T71" t="str">
            <v>уточ.режима</v>
          </cell>
        </row>
        <row r="72">
          <cell r="P72">
            <v>4.0750000000009834E-2</v>
          </cell>
          <cell r="Q72">
            <v>1</v>
          </cell>
          <cell r="T72">
            <v>0</v>
          </cell>
        </row>
        <row r="73">
          <cell r="P73">
            <v>-0.35859999999999914</v>
          </cell>
          <cell r="Q73">
            <v>-1</v>
          </cell>
          <cell r="T73" t="str">
            <v>уточ.режима</v>
          </cell>
        </row>
        <row r="74">
          <cell r="P74">
            <v>-0.8312999999999966</v>
          </cell>
          <cell r="Q74">
            <v>23</v>
          </cell>
          <cell r="T74" t="str">
            <v>прс</v>
          </cell>
        </row>
        <row r="75">
          <cell r="P75">
            <v>0.61124999999999918</v>
          </cell>
          <cell r="Q75">
            <v>0</v>
          </cell>
          <cell r="T75">
            <v>0</v>
          </cell>
        </row>
        <row r="76">
          <cell r="P76">
            <v>-9.7800000000002996E-2</v>
          </cell>
          <cell r="Q76">
            <v>-1</v>
          </cell>
          <cell r="T76">
            <v>0</v>
          </cell>
        </row>
        <row r="77">
          <cell r="P77">
            <v>-0.8312999999999966</v>
          </cell>
          <cell r="Q77">
            <v>-2</v>
          </cell>
          <cell r="T77">
            <v>0</v>
          </cell>
        </row>
        <row r="78">
          <cell r="P78">
            <v>9.7799999999997667E-2</v>
          </cell>
          <cell r="Q78">
            <v>-3</v>
          </cell>
          <cell r="T78">
            <v>0</v>
          </cell>
        </row>
        <row r="79">
          <cell r="P79">
            <v>-2.1026999999999987</v>
          </cell>
          <cell r="Q79">
            <v>-7</v>
          </cell>
          <cell r="T79" t="str">
            <v>сн.опт</v>
          </cell>
        </row>
        <row r="80">
          <cell r="P80">
            <v>-0.94540000000000113</v>
          </cell>
          <cell r="Q80">
            <v>-4</v>
          </cell>
          <cell r="T80">
            <v>0</v>
          </cell>
        </row>
        <row r="81">
          <cell r="P81">
            <v>-0.24450000000000083</v>
          </cell>
          <cell r="Q81">
            <v>-2</v>
          </cell>
          <cell r="T81">
            <v>0</v>
          </cell>
        </row>
        <row r="82">
          <cell r="P82">
            <v>0.30154999999999799</v>
          </cell>
          <cell r="Q82">
            <v>10</v>
          </cell>
          <cell r="T82" t="str">
            <v>уточ.режима</v>
          </cell>
        </row>
        <row r="83">
          <cell r="P83">
            <v>-0.21189999999999998</v>
          </cell>
          <cell r="Q83">
            <v>0</v>
          </cell>
          <cell r="T83">
            <v>0</v>
          </cell>
        </row>
        <row r="84">
          <cell r="P84">
            <v>-0.52160000000000029</v>
          </cell>
          <cell r="Q84">
            <v>-1</v>
          </cell>
          <cell r="T84">
            <v>0</v>
          </cell>
        </row>
        <row r="85">
          <cell r="P85">
            <v>0.5460499999999997</v>
          </cell>
          <cell r="Q85">
            <v>2</v>
          </cell>
          <cell r="T85">
            <v>0</v>
          </cell>
        </row>
        <row r="86">
          <cell r="P86">
            <v>5.8028000000000004</v>
          </cell>
          <cell r="Q86">
            <v>9</v>
          </cell>
          <cell r="T86" t="str">
            <v>опт</v>
          </cell>
        </row>
        <row r="87">
          <cell r="P87">
            <v>-0.85575000000000911</v>
          </cell>
          <cell r="Q87">
            <v>-6</v>
          </cell>
          <cell r="T87">
            <v>0</v>
          </cell>
        </row>
        <row r="88">
          <cell r="P88">
            <v>-0.54605000000000148</v>
          </cell>
          <cell r="Q88">
            <v>-1</v>
          </cell>
          <cell r="T88">
            <v>0</v>
          </cell>
        </row>
        <row r="89">
          <cell r="P89">
            <v>3.2437000000000147</v>
          </cell>
          <cell r="Q89">
            <v>43</v>
          </cell>
          <cell r="T89" t="str">
            <v>опт</v>
          </cell>
        </row>
        <row r="90">
          <cell r="P90">
            <v>-0.65200000000000102</v>
          </cell>
          <cell r="Q90">
            <v>-5</v>
          </cell>
          <cell r="T90">
            <v>0</v>
          </cell>
        </row>
        <row r="91">
          <cell r="P91">
            <v>6.5199999999999925E-2</v>
          </cell>
          <cell r="Q91">
            <v>-2</v>
          </cell>
          <cell r="T91">
            <v>0</v>
          </cell>
        </row>
        <row r="92">
          <cell r="P92">
            <v>-1.0431999999999952</v>
          </cell>
          <cell r="Q92">
            <v>-25</v>
          </cell>
          <cell r="T92" t="str">
            <v>сн.опт</v>
          </cell>
        </row>
        <row r="93">
          <cell r="P93">
            <v>-1.1410000000000018</v>
          </cell>
          <cell r="Q93">
            <v>-5</v>
          </cell>
          <cell r="T93" t="str">
            <v>сн.грп</v>
          </cell>
        </row>
        <row r="94">
          <cell r="P94">
            <v>0.83944999999999936</v>
          </cell>
          <cell r="Q94">
            <v>1</v>
          </cell>
          <cell r="T94">
            <v>0</v>
          </cell>
        </row>
        <row r="95">
          <cell r="P95">
            <v>1.0024500000000032</v>
          </cell>
          <cell r="Q95">
            <v>18</v>
          </cell>
          <cell r="T95">
            <v>0</v>
          </cell>
        </row>
        <row r="96">
          <cell r="P96">
            <v>0.26894999999999847</v>
          </cell>
          <cell r="Q96">
            <v>-3</v>
          </cell>
          <cell r="T96">
            <v>0</v>
          </cell>
        </row>
        <row r="97">
          <cell r="P97">
            <v>4.3194999999999997</v>
          </cell>
          <cell r="Q97">
            <v>19</v>
          </cell>
          <cell r="T97" t="str">
            <v>опт</v>
          </cell>
        </row>
        <row r="98">
          <cell r="P98">
            <v>-0.37490000000000112</v>
          </cell>
          <cell r="Q98">
            <v>0</v>
          </cell>
          <cell r="T98">
            <v>0</v>
          </cell>
        </row>
        <row r="99">
          <cell r="P99">
            <v>3.3659499999999998</v>
          </cell>
          <cell r="Q99">
            <v>21</v>
          </cell>
          <cell r="T99" t="str">
            <v>прс</v>
          </cell>
        </row>
        <row r="100">
          <cell r="P100">
            <v>0.18744999999999756</v>
          </cell>
          <cell r="Q100">
            <v>-12</v>
          </cell>
          <cell r="T100" t="str">
            <v>сн.опт</v>
          </cell>
        </row>
        <row r="101">
          <cell r="P101">
            <v>-0.62754999999999672</v>
          </cell>
          <cell r="Q101">
            <v>0</v>
          </cell>
          <cell r="T101">
            <v>0</v>
          </cell>
        </row>
        <row r="102">
          <cell r="P102">
            <v>-1.3365999999999998</v>
          </cell>
          <cell r="Q102">
            <v>-6</v>
          </cell>
          <cell r="T102" t="str">
            <v>уточ.режима</v>
          </cell>
        </row>
        <row r="103">
          <cell r="P103">
            <v>0</v>
          </cell>
          <cell r="Q103">
            <v>0</v>
          </cell>
          <cell r="T103">
            <v>0</v>
          </cell>
        </row>
        <row r="104">
          <cell r="P104">
            <v>-0.88834999999999997</v>
          </cell>
          <cell r="Q104">
            <v>-7</v>
          </cell>
          <cell r="T104">
            <v>0</v>
          </cell>
        </row>
        <row r="105">
          <cell r="P105">
            <v>0.49714999999999865</v>
          </cell>
          <cell r="Q105">
            <v>-1</v>
          </cell>
          <cell r="T105">
            <v>0</v>
          </cell>
        </row>
        <row r="106">
          <cell r="P106">
            <v>-4.8900000000001942E-2</v>
          </cell>
          <cell r="Q106">
            <v>-2</v>
          </cell>
          <cell r="T106">
            <v>0</v>
          </cell>
        </row>
        <row r="107">
          <cell r="P107">
            <v>0.33415000000000283</v>
          </cell>
          <cell r="Q107">
            <v>0</v>
          </cell>
          <cell r="T107">
            <v>0</v>
          </cell>
        </row>
        <row r="108">
          <cell r="P108">
            <v>-0.19560000000000066</v>
          </cell>
          <cell r="Q108">
            <v>0</v>
          </cell>
          <cell r="T108">
            <v>0</v>
          </cell>
        </row>
        <row r="109">
          <cell r="P109">
            <v>-1.4425500000000024</v>
          </cell>
          <cell r="Q109">
            <v>-5</v>
          </cell>
          <cell r="T109" t="str">
            <v>уточ.режима</v>
          </cell>
        </row>
        <row r="110">
          <cell r="P110">
            <v>9.7799999999980791E-2</v>
          </cell>
          <cell r="Q110">
            <v>2</v>
          </cell>
          <cell r="T110">
            <v>0</v>
          </cell>
        </row>
        <row r="111">
          <cell r="P111">
            <v>1.0187500000000003</v>
          </cell>
          <cell r="Q111">
            <v>-5</v>
          </cell>
          <cell r="T111" t="str">
            <v>уточ.режима</v>
          </cell>
        </row>
        <row r="112">
          <cell r="P112">
            <v>0.22820000000000107</v>
          </cell>
          <cell r="Q112">
            <v>0</v>
          </cell>
          <cell r="T112">
            <v>0</v>
          </cell>
        </row>
        <row r="113">
          <cell r="P113">
            <v>0</v>
          </cell>
          <cell r="Q113">
            <v>0</v>
          </cell>
          <cell r="T113">
            <v>0</v>
          </cell>
        </row>
        <row r="114">
          <cell r="P114">
            <v>-5.3056499999999982</v>
          </cell>
          <cell r="Q114">
            <v>-9</v>
          </cell>
          <cell r="T114" t="str">
            <v>уточ.режима</v>
          </cell>
        </row>
        <row r="115">
          <cell r="P115">
            <v>-2.5672499999999996</v>
          </cell>
          <cell r="Q115">
            <v>-5</v>
          </cell>
          <cell r="T115" t="str">
            <v>уточ.режима</v>
          </cell>
        </row>
        <row r="116">
          <cell r="P116">
            <v>0</v>
          </cell>
          <cell r="Q116">
            <v>0</v>
          </cell>
          <cell r="T116">
            <v>0</v>
          </cell>
        </row>
        <row r="117">
          <cell r="P117">
            <v>0.22819999999999796</v>
          </cell>
          <cell r="Q117">
            <v>0</v>
          </cell>
          <cell r="T117">
            <v>0</v>
          </cell>
        </row>
        <row r="118">
          <cell r="P118">
            <v>0.22820000000000107</v>
          </cell>
          <cell r="Q118">
            <v>4</v>
          </cell>
          <cell r="T118">
            <v>0</v>
          </cell>
        </row>
        <row r="119">
          <cell r="P119">
            <v>0</v>
          </cell>
          <cell r="Q119">
            <v>0</v>
          </cell>
          <cell r="T119">
            <v>0</v>
          </cell>
        </row>
        <row r="120">
          <cell r="P120">
            <v>1.6707499999999857</v>
          </cell>
          <cell r="Q120">
            <v>-4</v>
          </cell>
          <cell r="T120" t="str">
            <v>уточ.режима</v>
          </cell>
        </row>
        <row r="121">
          <cell r="P121">
            <v>1.0676500000000018</v>
          </cell>
          <cell r="Q121">
            <v>2</v>
          </cell>
          <cell r="T121" t="str">
            <v>уточ.режима</v>
          </cell>
        </row>
        <row r="122">
          <cell r="P122">
            <v>0.33415000000000306</v>
          </cell>
          <cell r="Q122">
            <v>0</v>
          </cell>
          <cell r="T122">
            <v>0</v>
          </cell>
        </row>
        <row r="123">
          <cell r="P123">
            <v>-0.63570000000000038</v>
          </cell>
          <cell r="Q123">
            <v>0</v>
          </cell>
          <cell r="T123">
            <v>0</v>
          </cell>
        </row>
        <row r="124">
          <cell r="P124">
            <v>0</v>
          </cell>
          <cell r="Q124">
            <v>0</v>
          </cell>
          <cell r="T124">
            <v>0</v>
          </cell>
        </row>
        <row r="125">
          <cell r="P125">
            <v>-1.3114000000000001</v>
          </cell>
          <cell r="Q125">
            <v>-2</v>
          </cell>
          <cell r="T125" t="str">
            <v>уточ.режима</v>
          </cell>
        </row>
        <row r="126">
          <cell r="P126">
            <v>0.56235000000000213</v>
          </cell>
          <cell r="Q126">
            <v>1</v>
          </cell>
          <cell r="T126">
            <v>0</v>
          </cell>
        </row>
        <row r="127">
          <cell r="P127">
            <v>0.3749000000000009</v>
          </cell>
          <cell r="Q127">
            <v>-1</v>
          </cell>
          <cell r="T127">
            <v>0</v>
          </cell>
        </row>
        <row r="128">
          <cell r="P128">
            <v>0.3178500000000124</v>
          </cell>
          <cell r="Q128">
            <v>-21</v>
          </cell>
          <cell r="T128" t="str">
            <v>уточ.режима</v>
          </cell>
        </row>
        <row r="129">
          <cell r="P129">
            <v>0.24449999999999994</v>
          </cell>
          <cell r="Q129">
            <v>0</v>
          </cell>
          <cell r="T129">
            <v>0</v>
          </cell>
        </row>
        <row r="130">
          <cell r="P130">
            <v>-0.47310000000000008</v>
          </cell>
          <cell r="Q130">
            <v>-1</v>
          </cell>
          <cell r="T130">
            <v>0</v>
          </cell>
        </row>
        <row r="131">
          <cell r="P131">
            <v>0</v>
          </cell>
          <cell r="Q131">
            <v>0</v>
          </cell>
          <cell r="T131">
            <v>0</v>
          </cell>
        </row>
        <row r="132">
          <cell r="P132">
            <v>2.3654999999999999</v>
          </cell>
          <cell r="Q132">
            <v>3</v>
          </cell>
          <cell r="T132" t="str">
            <v>уточ.режима</v>
          </cell>
        </row>
        <row r="133">
          <cell r="P133">
            <v>-1.5935999999999997</v>
          </cell>
          <cell r="Q133">
            <v>-2</v>
          </cell>
          <cell r="T133" t="str">
            <v>уточ.режима</v>
          </cell>
        </row>
        <row r="134">
          <cell r="P134">
            <v>0</v>
          </cell>
          <cell r="Q134">
            <v>0</v>
          </cell>
          <cell r="T134">
            <v>0</v>
          </cell>
        </row>
        <row r="135">
          <cell r="P135">
            <v>-0.89649999999999563</v>
          </cell>
          <cell r="Q135">
            <v>0</v>
          </cell>
          <cell r="T135">
            <v>0</v>
          </cell>
        </row>
        <row r="136">
          <cell r="P136">
            <v>-0.35045000000000037</v>
          </cell>
          <cell r="Q136">
            <v>-2</v>
          </cell>
          <cell r="T136">
            <v>0</v>
          </cell>
        </row>
        <row r="137">
          <cell r="P137">
            <v>0</v>
          </cell>
          <cell r="Q137">
            <v>0</v>
          </cell>
          <cell r="T137">
            <v>0</v>
          </cell>
        </row>
        <row r="138">
          <cell r="P138">
            <v>10.252699999999994</v>
          </cell>
          <cell r="Q138">
            <v>96</v>
          </cell>
          <cell r="T138" t="str">
            <v>грп</v>
          </cell>
        </row>
        <row r="139">
          <cell r="P139">
            <v>-1.2062000000000026</v>
          </cell>
          <cell r="Q139">
            <v>-3</v>
          </cell>
          <cell r="T139" t="str">
            <v>уточ.режима</v>
          </cell>
        </row>
        <row r="140">
          <cell r="P140">
            <v>-0.2200500000000023</v>
          </cell>
          <cell r="Q140">
            <v>-3</v>
          </cell>
          <cell r="T140">
            <v>0</v>
          </cell>
        </row>
        <row r="141">
          <cell r="P141">
            <v>9.7800000000000331E-2</v>
          </cell>
          <cell r="Q141">
            <v>-2</v>
          </cell>
          <cell r="T141">
            <v>0</v>
          </cell>
        </row>
        <row r="142">
          <cell r="P142">
            <v>0</v>
          </cell>
          <cell r="Q142">
            <v>0</v>
          </cell>
          <cell r="T142">
            <v>0</v>
          </cell>
        </row>
        <row r="143">
          <cell r="P143">
            <v>0.13854999999999951</v>
          </cell>
          <cell r="Q143">
            <v>0</v>
          </cell>
          <cell r="T143">
            <v>0</v>
          </cell>
        </row>
        <row r="144">
          <cell r="P144">
            <v>0.39120000000000033</v>
          </cell>
          <cell r="Q144">
            <v>0</v>
          </cell>
          <cell r="T144">
            <v>0</v>
          </cell>
        </row>
        <row r="145">
          <cell r="P145">
            <v>-1.9722999999999984</v>
          </cell>
          <cell r="Q145">
            <v>0</v>
          </cell>
          <cell r="T145" t="str">
            <v>уточ.режима</v>
          </cell>
        </row>
        <row r="146">
          <cell r="P146">
            <v>-0.45640000000000214</v>
          </cell>
          <cell r="Q146">
            <v>0</v>
          </cell>
          <cell r="T146">
            <v>0</v>
          </cell>
        </row>
        <row r="147">
          <cell r="P147">
            <v>-4.1157499999999976</v>
          </cell>
          <cell r="Q147">
            <v>-2</v>
          </cell>
          <cell r="T147" t="str">
            <v>уточ.режима</v>
          </cell>
        </row>
        <row r="148">
          <cell r="P148">
            <v>2.8199000000000005</v>
          </cell>
          <cell r="Q148">
            <v>1</v>
          </cell>
          <cell r="T148" t="str">
            <v>уточ.режима</v>
          </cell>
        </row>
        <row r="149">
          <cell r="P149">
            <v>0.45639999999999681</v>
          </cell>
          <cell r="Q149">
            <v>2</v>
          </cell>
          <cell r="T149">
            <v>0</v>
          </cell>
        </row>
        <row r="150">
          <cell r="P150">
            <v>0.91280000000000427</v>
          </cell>
          <cell r="Q150">
            <v>1</v>
          </cell>
          <cell r="T150">
            <v>0</v>
          </cell>
        </row>
        <row r="151">
          <cell r="P151">
            <v>-1.5158999999999985</v>
          </cell>
          <cell r="Q151">
            <v>-6</v>
          </cell>
          <cell r="T151" t="str">
            <v>сн.грп</v>
          </cell>
        </row>
        <row r="152">
          <cell r="P152">
            <v>0.14669999999999561</v>
          </cell>
          <cell r="Q152">
            <v>1</v>
          </cell>
          <cell r="T152">
            <v>0</v>
          </cell>
        </row>
        <row r="153">
          <cell r="P153">
            <v>0.75794999999999391</v>
          </cell>
          <cell r="Q153">
            <v>0</v>
          </cell>
          <cell r="T153">
            <v>0</v>
          </cell>
        </row>
        <row r="154">
          <cell r="P154">
            <v>0.48900000000000077</v>
          </cell>
          <cell r="Q154">
            <v>2</v>
          </cell>
          <cell r="T154">
            <v>0</v>
          </cell>
        </row>
        <row r="155">
          <cell r="P155">
            <v>-0.70089999999999986</v>
          </cell>
          <cell r="Q155">
            <v>-3</v>
          </cell>
          <cell r="T155">
            <v>0</v>
          </cell>
        </row>
        <row r="156">
          <cell r="P156">
            <v>0.47269999999999834</v>
          </cell>
          <cell r="Q156">
            <v>0</v>
          </cell>
          <cell r="T156">
            <v>0</v>
          </cell>
        </row>
        <row r="157">
          <cell r="P157">
            <v>-1.1328500000000012</v>
          </cell>
          <cell r="Q157">
            <v>-6</v>
          </cell>
          <cell r="T157" t="str">
            <v>вода грп</v>
          </cell>
        </row>
        <row r="158">
          <cell r="P158">
            <v>-1.3610500000000059</v>
          </cell>
          <cell r="Q158">
            <v>-20</v>
          </cell>
          <cell r="T158" t="str">
            <v>сн.грп</v>
          </cell>
        </row>
        <row r="159">
          <cell r="P159">
            <v>-0.26079999999999437</v>
          </cell>
          <cell r="Q159">
            <v>-15</v>
          </cell>
          <cell r="T159" t="str">
            <v>сн.грп</v>
          </cell>
        </row>
        <row r="160">
          <cell r="P160">
            <v>-9.7800000000003884E-2</v>
          </cell>
          <cell r="Q160">
            <v>-2</v>
          </cell>
          <cell r="T160">
            <v>0</v>
          </cell>
        </row>
        <row r="161">
          <cell r="P161">
            <v>0.62755000000000827</v>
          </cell>
          <cell r="Q161">
            <v>7</v>
          </cell>
          <cell r="T161">
            <v>0</v>
          </cell>
        </row>
        <row r="162">
          <cell r="P162">
            <v>1.0106000000000011</v>
          </cell>
          <cell r="Q162">
            <v>0</v>
          </cell>
          <cell r="T162">
            <v>0</v>
          </cell>
        </row>
        <row r="163">
          <cell r="P163">
            <v>0</v>
          </cell>
          <cell r="Q163">
            <v>0</v>
          </cell>
          <cell r="T163">
            <v>0</v>
          </cell>
        </row>
        <row r="164">
          <cell r="P164">
            <v>0.21190000000000087</v>
          </cell>
          <cell r="Q164">
            <v>1</v>
          </cell>
          <cell r="T164">
            <v>0</v>
          </cell>
        </row>
        <row r="165">
          <cell r="P165">
            <v>-1.0956000000000001</v>
          </cell>
          <cell r="Q165">
            <v>-3</v>
          </cell>
          <cell r="T165" t="str">
            <v>уточ.режима</v>
          </cell>
        </row>
        <row r="166">
          <cell r="P166">
            <v>0</v>
          </cell>
          <cell r="Q166">
            <v>0</v>
          </cell>
          <cell r="T166" t="str">
            <v>уточ.режима</v>
          </cell>
        </row>
        <row r="167">
          <cell r="P167">
            <v>0</v>
          </cell>
          <cell r="Q167">
            <v>0</v>
          </cell>
          <cell r="T167">
            <v>0</v>
          </cell>
        </row>
        <row r="168">
          <cell r="P168">
            <v>-3.4610999999999996</v>
          </cell>
          <cell r="Q168">
            <v>-7</v>
          </cell>
          <cell r="T168" t="str">
            <v>уточ.режима</v>
          </cell>
        </row>
        <row r="169">
          <cell r="P169">
            <v>0</v>
          </cell>
          <cell r="Q169">
            <v>0</v>
          </cell>
          <cell r="T169">
            <v>0</v>
          </cell>
        </row>
        <row r="170">
          <cell r="P170">
            <v>0.46455000000000091</v>
          </cell>
          <cell r="Q170">
            <v>0</v>
          </cell>
          <cell r="T170">
            <v>0</v>
          </cell>
        </row>
        <row r="171">
          <cell r="P171">
            <v>2.200499999999999</v>
          </cell>
          <cell r="Q171">
            <v>0</v>
          </cell>
          <cell r="T171" t="str">
            <v>уточ.режима</v>
          </cell>
        </row>
        <row r="172">
          <cell r="P172">
            <v>-9.780000000000344E-2</v>
          </cell>
          <cell r="Q172">
            <v>-2</v>
          </cell>
          <cell r="T172">
            <v>0</v>
          </cell>
        </row>
        <row r="173">
          <cell r="P173">
            <v>-1.4425499999999998</v>
          </cell>
          <cell r="Q173">
            <v>-3</v>
          </cell>
          <cell r="T173" t="str">
            <v>уточ.режима</v>
          </cell>
        </row>
        <row r="174">
          <cell r="P174">
            <v>0</v>
          </cell>
          <cell r="Q174">
            <v>0</v>
          </cell>
          <cell r="T174">
            <v>0</v>
          </cell>
        </row>
        <row r="175">
          <cell r="P175">
            <v>0.42329999999999757</v>
          </cell>
          <cell r="Q175">
            <v>0</v>
          </cell>
          <cell r="T175">
            <v>0</v>
          </cell>
        </row>
        <row r="176">
          <cell r="P176">
            <v>-0.31785000000000041</v>
          </cell>
          <cell r="Q176">
            <v>1</v>
          </cell>
          <cell r="T176">
            <v>0</v>
          </cell>
        </row>
        <row r="177">
          <cell r="P177">
            <v>0.28525000000000111</v>
          </cell>
          <cell r="Q177">
            <v>-1</v>
          </cell>
          <cell r="T177">
            <v>0</v>
          </cell>
        </row>
        <row r="178">
          <cell r="P178">
            <v>0.96984999999999788</v>
          </cell>
          <cell r="Q178">
            <v>13</v>
          </cell>
          <cell r="T178" t="str">
            <v>прс</v>
          </cell>
        </row>
        <row r="179">
          <cell r="P179">
            <v>-0.40670000000000028</v>
          </cell>
          <cell r="Q179">
            <v>-1</v>
          </cell>
          <cell r="T179">
            <v>0</v>
          </cell>
        </row>
        <row r="180">
          <cell r="P180">
            <v>-0.17930000000000046</v>
          </cell>
          <cell r="Q180">
            <v>-1</v>
          </cell>
          <cell r="T180">
            <v>0</v>
          </cell>
        </row>
        <row r="181">
          <cell r="P181">
            <v>-0.22820000000000107</v>
          </cell>
          <cell r="Q181">
            <v>-4</v>
          </cell>
          <cell r="T181">
            <v>0</v>
          </cell>
        </row>
        <row r="182">
          <cell r="P182">
            <v>-0.3423000000000016</v>
          </cell>
          <cell r="Q182">
            <v>0</v>
          </cell>
          <cell r="T182">
            <v>0</v>
          </cell>
        </row>
        <row r="183">
          <cell r="P183">
            <v>-0.11410000000000053</v>
          </cell>
          <cell r="Q183">
            <v>-2</v>
          </cell>
          <cell r="T183">
            <v>0</v>
          </cell>
        </row>
        <row r="184">
          <cell r="P184">
            <v>8.1500000000001016E-2</v>
          </cell>
          <cell r="Q184">
            <v>1</v>
          </cell>
          <cell r="T184">
            <v>0</v>
          </cell>
        </row>
        <row r="185">
          <cell r="P185">
            <v>-1.6300000000000008</v>
          </cell>
          <cell r="Q185">
            <v>0</v>
          </cell>
          <cell r="T185" t="str">
            <v>уточ.режима</v>
          </cell>
        </row>
        <row r="186">
          <cell r="P186">
            <v>-5.1833999999999989</v>
          </cell>
          <cell r="Q186">
            <v>-16</v>
          </cell>
          <cell r="T186" t="str">
            <v>сн.грп</v>
          </cell>
        </row>
        <row r="187">
          <cell r="P187">
            <v>-0.17930000000000179</v>
          </cell>
          <cell r="Q187">
            <v>0</v>
          </cell>
          <cell r="T187">
            <v>0</v>
          </cell>
        </row>
        <row r="188">
          <cell r="P188">
            <v>-0.17079999999999917</v>
          </cell>
          <cell r="Q188">
            <v>2</v>
          </cell>
          <cell r="T188">
            <v>0</v>
          </cell>
        </row>
        <row r="189">
          <cell r="P189">
            <v>0</v>
          </cell>
          <cell r="Q189">
            <v>0</v>
          </cell>
          <cell r="T189">
            <v>0</v>
          </cell>
        </row>
        <row r="190">
          <cell r="P190">
            <v>-0.44009999999999927</v>
          </cell>
          <cell r="Q190">
            <v>0</v>
          </cell>
          <cell r="T190">
            <v>0</v>
          </cell>
        </row>
        <row r="191">
          <cell r="P191">
            <v>-0.97800000000000242</v>
          </cell>
          <cell r="Q191">
            <v>0</v>
          </cell>
          <cell r="T191">
            <v>0</v>
          </cell>
        </row>
        <row r="192">
          <cell r="P192">
            <v>-0.16299999999999937</v>
          </cell>
          <cell r="Q192">
            <v>0</v>
          </cell>
          <cell r="T192">
            <v>0</v>
          </cell>
        </row>
        <row r="193">
          <cell r="P193">
            <v>-0.44009999999999927</v>
          </cell>
          <cell r="Q193">
            <v>2</v>
          </cell>
          <cell r="T193">
            <v>0</v>
          </cell>
        </row>
        <row r="194">
          <cell r="P194">
            <v>-0.19560000000000155</v>
          </cell>
          <cell r="Q194">
            <v>-2</v>
          </cell>
          <cell r="T194">
            <v>0</v>
          </cell>
        </row>
        <row r="195">
          <cell r="P195">
            <v>0</v>
          </cell>
          <cell r="Q195">
            <v>0</v>
          </cell>
          <cell r="T195">
            <v>0</v>
          </cell>
        </row>
        <row r="196">
          <cell r="P196">
            <v>-0.3586000000000098</v>
          </cell>
          <cell r="Q196">
            <v>-11</v>
          </cell>
          <cell r="T196" t="str">
            <v>сн.прс</v>
          </cell>
        </row>
        <row r="197">
          <cell r="P197">
            <v>-1.6299999999999759E-2</v>
          </cell>
          <cell r="Q197">
            <v>1</v>
          </cell>
          <cell r="T197">
            <v>0</v>
          </cell>
        </row>
        <row r="198">
          <cell r="P198">
            <v>0.11410000000000053</v>
          </cell>
          <cell r="Q198">
            <v>2</v>
          </cell>
          <cell r="T198">
            <v>0</v>
          </cell>
        </row>
        <row r="199">
          <cell r="P199">
            <v>0</v>
          </cell>
          <cell r="Q199">
            <v>0</v>
          </cell>
          <cell r="T199">
            <v>0</v>
          </cell>
        </row>
        <row r="200">
          <cell r="P200">
            <v>5.1240000000002173E-2</v>
          </cell>
          <cell r="Q200">
            <v>2</v>
          </cell>
          <cell r="T200">
            <v>0</v>
          </cell>
        </row>
        <row r="201">
          <cell r="P201">
            <v>0.29339999999999922</v>
          </cell>
          <cell r="Q201">
            <v>2</v>
          </cell>
          <cell r="T201">
            <v>0</v>
          </cell>
        </row>
        <row r="202">
          <cell r="P202">
            <v>0.51345000000000152</v>
          </cell>
          <cell r="Q202">
            <v>0</v>
          </cell>
          <cell r="T202">
            <v>0</v>
          </cell>
        </row>
        <row r="203">
          <cell r="P203">
            <v>-0.66830000000000611</v>
          </cell>
          <cell r="Q203">
            <v>0</v>
          </cell>
          <cell r="T203">
            <v>0</v>
          </cell>
        </row>
        <row r="204">
          <cell r="P204">
            <v>1.2714000000000019</v>
          </cell>
          <cell r="Q204">
            <v>0</v>
          </cell>
          <cell r="T204">
            <v>0</v>
          </cell>
        </row>
        <row r="205">
          <cell r="P205">
            <v>0.80684999999999896</v>
          </cell>
          <cell r="Q205">
            <v>0</v>
          </cell>
          <cell r="T205">
            <v>0</v>
          </cell>
        </row>
        <row r="206">
          <cell r="P206">
            <v>-0.60310000000000752</v>
          </cell>
          <cell r="Q206">
            <v>0</v>
          </cell>
          <cell r="T206">
            <v>0</v>
          </cell>
        </row>
        <row r="207">
          <cell r="P207">
            <v>-0.32600000000000184</v>
          </cell>
          <cell r="Q207">
            <v>-4</v>
          </cell>
          <cell r="T207">
            <v>0</v>
          </cell>
        </row>
        <row r="208">
          <cell r="P208">
            <v>0</v>
          </cell>
          <cell r="Q208">
            <v>0</v>
          </cell>
          <cell r="T208">
            <v>0</v>
          </cell>
        </row>
        <row r="209">
          <cell r="P209">
            <v>0</v>
          </cell>
          <cell r="Q209">
            <v>0</v>
          </cell>
          <cell r="T209">
            <v>0</v>
          </cell>
        </row>
        <row r="210">
          <cell r="P210">
            <v>0</v>
          </cell>
          <cell r="Q210">
            <v>0</v>
          </cell>
          <cell r="T210">
            <v>0</v>
          </cell>
        </row>
        <row r="211">
          <cell r="P211">
            <v>0.63570000000000082</v>
          </cell>
          <cell r="Q211">
            <v>-2</v>
          </cell>
          <cell r="T211">
            <v>0</v>
          </cell>
        </row>
        <row r="212">
          <cell r="P212">
            <v>0.96169999999999334</v>
          </cell>
          <cell r="Q212">
            <v>-17</v>
          </cell>
          <cell r="T212" t="str">
            <v>уточ.режима</v>
          </cell>
        </row>
        <row r="213">
          <cell r="P213">
            <v>7.3350000000003135E-2</v>
          </cell>
          <cell r="Q213">
            <v>1</v>
          </cell>
          <cell r="T213">
            <v>0</v>
          </cell>
        </row>
        <row r="214">
          <cell r="P214">
            <v>0.44824999999999982</v>
          </cell>
          <cell r="Q214">
            <v>0</v>
          </cell>
          <cell r="T214">
            <v>0</v>
          </cell>
        </row>
        <row r="215">
          <cell r="P215">
            <v>-0.45640000000000036</v>
          </cell>
          <cell r="Q215">
            <v>-2</v>
          </cell>
          <cell r="T215">
            <v>0</v>
          </cell>
        </row>
        <row r="216">
          <cell r="P216">
            <v>0.8964999999999983</v>
          </cell>
          <cell r="Q216">
            <v>10</v>
          </cell>
          <cell r="T216" t="str">
            <v>прс</v>
          </cell>
        </row>
        <row r="217">
          <cell r="P217">
            <v>0</v>
          </cell>
          <cell r="Q217">
            <v>0</v>
          </cell>
          <cell r="T217">
            <v>0</v>
          </cell>
        </row>
        <row r="218">
          <cell r="P218">
            <v>0</v>
          </cell>
          <cell r="Q218">
            <v>0</v>
          </cell>
          <cell r="T218">
            <v>0</v>
          </cell>
        </row>
        <row r="219">
          <cell r="P219">
            <v>-8.1500000000000572E-2</v>
          </cell>
          <cell r="Q219">
            <v>0</v>
          </cell>
          <cell r="T219">
            <v>0</v>
          </cell>
        </row>
        <row r="220">
          <cell r="P220">
            <v>-1.621850000000002</v>
          </cell>
          <cell r="Q220">
            <v>-12</v>
          </cell>
          <cell r="T220" t="str">
            <v>уточ.режима</v>
          </cell>
        </row>
        <row r="221">
          <cell r="P221">
            <v>6.5199999999999925E-2</v>
          </cell>
          <cell r="Q221">
            <v>0</v>
          </cell>
          <cell r="T221">
            <v>0</v>
          </cell>
        </row>
        <row r="222">
          <cell r="P222">
            <v>-0.22005000000000052</v>
          </cell>
          <cell r="Q222">
            <v>0</v>
          </cell>
          <cell r="T222">
            <v>0</v>
          </cell>
        </row>
        <row r="223">
          <cell r="P223">
            <v>0</v>
          </cell>
          <cell r="Q223">
            <v>0</v>
          </cell>
          <cell r="T223">
            <v>0</v>
          </cell>
        </row>
        <row r="224">
          <cell r="P224">
            <v>-0.61939999999999884</v>
          </cell>
          <cell r="Q224">
            <v>-1</v>
          </cell>
          <cell r="T224">
            <v>0</v>
          </cell>
        </row>
        <row r="225">
          <cell r="P225">
            <v>0</v>
          </cell>
          <cell r="Q225">
            <v>0</v>
          </cell>
          <cell r="T225">
            <v>0</v>
          </cell>
        </row>
        <row r="226">
          <cell r="P226">
            <v>-0.22819999999999929</v>
          </cell>
          <cell r="Q226">
            <v>1</v>
          </cell>
          <cell r="T226">
            <v>0</v>
          </cell>
        </row>
        <row r="227">
          <cell r="P227">
            <v>-0.14670000000000005</v>
          </cell>
          <cell r="Q227">
            <v>-2</v>
          </cell>
          <cell r="T227">
            <v>0</v>
          </cell>
        </row>
        <row r="228">
          <cell r="P228">
            <v>0.2770999999999999</v>
          </cell>
          <cell r="Q228">
            <v>0</v>
          </cell>
          <cell r="T228">
            <v>0</v>
          </cell>
        </row>
        <row r="229">
          <cell r="P229">
            <v>0.8557499999999969</v>
          </cell>
          <cell r="Q229">
            <v>3</v>
          </cell>
          <cell r="T229">
            <v>0</v>
          </cell>
        </row>
        <row r="230">
          <cell r="P230">
            <v>-0.12225000000000463</v>
          </cell>
          <cell r="Q230">
            <v>-3</v>
          </cell>
          <cell r="T230">
            <v>0</v>
          </cell>
        </row>
        <row r="231">
          <cell r="P231">
            <v>0.9617</v>
          </cell>
          <cell r="Q231">
            <v>0</v>
          </cell>
          <cell r="T231">
            <v>0</v>
          </cell>
        </row>
        <row r="232">
          <cell r="P232">
            <v>-0.58680000000000199</v>
          </cell>
          <cell r="Q232">
            <v>0</v>
          </cell>
          <cell r="T232">
            <v>0</v>
          </cell>
        </row>
        <row r="233">
          <cell r="P233">
            <v>0.32599999999999874</v>
          </cell>
          <cell r="Q233">
            <v>0</v>
          </cell>
          <cell r="T233">
            <v>0</v>
          </cell>
        </row>
        <row r="234">
          <cell r="P234">
            <v>0.5541999999999998</v>
          </cell>
          <cell r="Q234">
            <v>-20</v>
          </cell>
          <cell r="T234" t="str">
            <v>сн.грп</v>
          </cell>
        </row>
        <row r="235">
          <cell r="P235">
            <v>-5.7131499999999988</v>
          </cell>
          <cell r="Q235">
            <v>-11</v>
          </cell>
          <cell r="T235" t="str">
            <v>сн.грп</v>
          </cell>
        </row>
        <row r="236">
          <cell r="P236">
            <v>0</v>
          </cell>
          <cell r="Q236">
            <v>0</v>
          </cell>
          <cell r="T236">
            <v>0</v>
          </cell>
        </row>
        <row r="237">
          <cell r="P237">
            <v>-0.77424999999999944</v>
          </cell>
          <cell r="Q237">
            <v>0</v>
          </cell>
          <cell r="T237">
            <v>0</v>
          </cell>
        </row>
        <row r="238">
          <cell r="P238">
            <v>-1.0757999999999939</v>
          </cell>
          <cell r="Q238">
            <v>-12</v>
          </cell>
          <cell r="T238" t="str">
            <v>сн.опт</v>
          </cell>
        </row>
        <row r="239">
          <cell r="P239">
            <v>0.82315000000000005</v>
          </cell>
          <cell r="Q239">
            <v>4</v>
          </cell>
          <cell r="T239">
            <v>0</v>
          </cell>
        </row>
        <row r="240">
          <cell r="P240">
            <v>-0.79870000000000285</v>
          </cell>
          <cell r="Q240">
            <v>0</v>
          </cell>
          <cell r="T240">
            <v>0</v>
          </cell>
        </row>
        <row r="241">
          <cell r="P241">
            <v>0.383049999999999</v>
          </cell>
          <cell r="Q241">
            <v>0</v>
          </cell>
          <cell r="T241">
            <v>0</v>
          </cell>
        </row>
        <row r="242">
          <cell r="P242">
            <v>-0.58679999999999843</v>
          </cell>
          <cell r="Q242">
            <v>-9</v>
          </cell>
          <cell r="T242">
            <v>0</v>
          </cell>
        </row>
        <row r="243">
          <cell r="P243">
            <v>-0.97800000000000242</v>
          </cell>
          <cell r="Q243">
            <v>0</v>
          </cell>
          <cell r="T243">
            <v>0</v>
          </cell>
        </row>
        <row r="244">
          <cell r="P244">
            <v>-0.16299999999999981</v>
          </cell>
          <cell r="Q244">
            <v>0</v>
          </cell>
          <cell r="T244">
            <v>0</v>
          </cell>
        </row>
        <row r="245">
          <cell r="P245">
            <v>-0.31785000000000085</v>
          </cell>
          <cell r="Q245">
            <v>-3</v>
          </cell>
          <cell r="T245">
            <v>0</v>
          </cell>
        </row>
        <row r="246">
          <cell r="P246">
            <v>0</v>
          </cell>
          <cell r="Q246">
            <v>0</v>
          </cell>
          <cell r="T246">
            <v>0</v>
          </cell>
        </row>
        <row r="247">
          <cell r="P247">
            <v>0</v>
          </cell>
          <cell r="Q247">
            <v>0</v>
          </cell>
          <cell r="T247">
            <v>0</v>
          </cell>
        </row>
        <row r="248">
          <cell r="P248">
            <v>-2.3737999999999992</v>
          </cell>
          <cell r="Q248">
            <v>-2</v>
          </cell>
          <cell r="T248" t="str">
            <v>ипп</v>
          </cell>
        </row>
        <row r="249">
          <cell r="P249">
            <v>15.216049999999999</v>
          </cell>
          <cell r="Q249">
            <v>76</v>
          </cell>
          <cell r="T249" t="str">
            <v>грп</v>
          </cell>
        </row>
        <row r="250">
          <cell r="P250">
            <v>0.28524999999999956</v>
          </cell>
          <cell r="Q250">
            <v>-5</v>
          </cell>
          <cell r="T250">
            <v>0</v>
          </cell>
        </row>
        <row r="251">
          <cell r="P251">
            <v>-3.1290999999999993</v>
          </cell>
          <cell r="Q251">
            <v>-4</v>
          </cell>
          <cell r="T251" t="str">
            <v>уточ.режима</v>
          </cell>
        </row>
        <row r="252">
          <cell r="P252">
            <v>0</v>
          </cell>
          <cell r="Q252">
            <v>0</v>
          </cell>
          <cell r="T252">
            <v>0</v>
          </cell>
        </row>
        <row r="253">
          <cell r="P253">
            <v>-9.7799999999999887E-2</v>
          </cell>
          <cell r="Q253">
            <v>0</v>
          </cell>
          <cell r="T253">
            <v>0</v>
          </cell>
        </row>
        <row r="254">
          <cell r="P254">
            <v>-0.70550000000000068</v>
          </cell>
          <cell r="Q254">
            <v>-1</v>
          </cell>
          <cell r="T254">
            <v>0</v>
          </cell>
        </row>
        <row r="255">
          <cell r="P255">
            <v>0</v>
          </cell>
          <cell r="Q255">
            <v>0</v>
          </cell>
          <cell r="T255">
            <v>0</v>
          </cell>
        </row>
        <row r="256">
          <cell r="P256">
            <v>2.1414000000000004</v>
          </cell>
          <cell r="Q256">
            <v>3</v>
          </cell>
          <cell r="T256" t="str">
            <v>прс</v>
          </cell>
        </row>
        <row r="257">
          <cell r="P257">
            <v>0.99599999999999955</v>
          </cell>
          <cell r="Q257">
            <v>0</v>
          </cell>
          <cell r="T257" t="str">
            <v>уточ.режима</v>
          </cell>
        </row>
        <row r="258">
          <cell r="P258">
            <v>0.33199999999999985</v>
          </cell>
          <cell r="Q258">
            <v>0</v>
          </cell>
          <cell r="T258">
            <v>0</v>
          </cell>
        </row>
        <row r="259">
          <cell r="P259">
            <v>-0.52974999999999883</v>
          </cell>
          <cell r="Q259">
            <v>-13</v>
          </cell>
          <cell r="T259" t="str">
            <v>уточ.режима</v>
          </cell>
        </row>
        <row r="260">
          <cell r="P260">
            <v>0.34860000000000069</v>
          </cell>
          <cell r="Q260">
            <v>0</v>
          </cell>
          <cell r="T260">
            <v>0</v>
          </cell>
        </row>
        <row r="261">
          <cell r="P261">
            <v>0</v>
          </cell>
          <cell r="Q261">
            <v>0</v>
          </cell>
          <cell r="T261">
            <v>0</v>
          </cell>
        </row>
        <row r="262">
          <cell r="P262">
            <v>-0.91300000000000026</v>
          </cell>
          <cell r="Q262">
            <v>-1</v>
          </cell>
          <cell r="T262">
            <v>0</v>
          </cell>
        </row>
        <row r="263">
          <cell r="P263">
            <v>-1.6137000000000032</v>
          </cell>
          <cell r="Q263">
            <v>0</v>
          </cell>
          <cell r="T263" t="str">
            <v>уточ.режима</v>
          </cell>
        </row>
        <row r="264">
          <cell r="P264">
            <v>-0.9698500000000041</v>
          </cell>
          <cell r="Q264">
            <v>-11</v>
          </cell>
          <cell r="T264" t="str">
            <v>сн.опт</v>
          </cell>
        </row>
        <row r="265">
          <cell r="P265">
            <v>0</v>
          </cell>
          <cell r="Q265">
            <v>0</v>
          </cell>
          <cell r="T265">
            <v>0</v>
          </cell>
        </row>
        <row r="266">
          <cell r="P266">
            <v>-5.2567499999999994</v>
          </cell>
          <cell r="Q266">
            <v>-15</v>
          </cell>
          <cell r="T266" t="str">
            <v>сн.грп</v>
          </cell>
        </row>
        <row r="267">
          <cell r="P267">
            <v>-0.18745000000000012</v>
          </cell>
          <cell r="Q267">
            <v>1</v>
          </cell>
          <cell r="T267">
            <v>0</v>
          </cell>
        </row>
        <row r="268">
          <cell r="P268">
            <v>-2.1516000000000002</v>
          </cell>
          <cell r="Q268">
            <v>-2</v>
          </cell>
          <cell r="T268" t="str">
            <v>вода.опт</v>
          </cell>
        </row>
        <row r="269">
          <cell r="P269">
            <v>-0.39120000000000044</v>
          </cell>
          <cell r="Q269">
            <v>1</v>
          </cell>
          <cell r="T269">
            <v>0</v>
          </cell>
        </row>
        <row r="270">
          <cell r="P270">
            <v>1.10025</v>
          </cell>
          <cell r="Q270">
            <v>-1</v>
          </cell>
          <cell r="T270">
            <v>0</v>
          </cell>
        </row>
        <row r="271">
          <cell r="P271">
            <v>0.18745000000000012</v>
          </cell>
          <cell r="Q271">
            <v>-2</v>
          </cell>
          <cell r="T271">
            <v>0</v>
          </cell>
        </row>
        <row r="272">
          <cell r="P272">
            <v>4.9144500000000049</v>
          </cell>
          <cell r="Q272">
            <v>162</v>
          </cell>
          <cell r="T272" t="str">
            <v>грп</v>
          </cell>
        </row>
        <row r="273">
          <cell r="P273">
            <v>-0.2607999999999997</v>
          </cell>
          <cell r="Q273">
            <v>-2</v>
          </cell>
          <cell r="T273">
            <v>0</v>
          </cell>
        </row>
        <row r="274">
          <cell r="P274">
            <v>-1.9722999999999997</v>
          </cell>
          <cell r="Q274">
            <v>-4</v>
          </cell>
          <cell r="T274" t="str">
            <v>сн.опт</v>
          </cell>
        </row>
        <row r="275">
          <cell r="P275">
            <v>-1.3447500000000012</v>
          </cell>
          <cell r="Q275">
            <v>-3</v>
          </cell>
          <cell r="T275" t="str">
            <v>уточ.режима</v>
          </cell>
        </row>
        <row r="276">
          <cell r="P276">
            <v>-2.5020500000000006</v>
          </cell>
          <cell r="Q276">
            <v>-2</v>
          </cell>
          <cell r="T276" t="str">
            <v>уточ.режима</v>
          </cell>
        </row>
        <row r="277">
          <cell r="P277">
            <v>-2.0212000000000003</v>
          </cell>
          <cell r="Q277">
            <v>-2</v>
          </cell>
          <cell r="T277" t="str">
            <v>уточ.режима</v>
          </cell>
        </row>
        <row r="278">
          <cell r="P278">
            <v>14.374999999999996</v>
          </cell>
          <cell r="Q278">
            <v>56</v>
          </cell>
          <cell r="T278" t="str">
            <v>грп</v>
          </cell>
        </row>
        <row r="279">
          <cell r="P279">
            <v>-0.53790000000000049</v>
          </cell>
          <cell r="Q279">
            <v>-3</v>
          </cell>
          <cell r="T279">
            <v>0</v>
          </cell>
        </row>
        <row r="280">
          <cell r="P280">
            <v>0.70550000000000068</v>
          </cell>
          <cell r="Q280">
            <v>1</v>
          </cell>
          <cell r="T280">
            <v>0</v>
          </cell>
        </row>
        <row r="281">
          <cell r="P281">
            <v>1.4751499999999989</v>
          </cell>
          <cell r="Q281">
            <v>3</v>
          </cell>
          <cell r="T281" t="str">
            <v>уточ.режима</v>
          </cell>
        </row>
        <row r="282">
          <cell r="P282">
            <v>1.0431999999999988</v>
          </cell>
          <cell r="Q282">
            <v>2</v>
          </cell>
          <cell r="T282" t="str">
            <v>уточ.режима</v>
          </cell>
        </row>
        <row r="283">
          <cell r="P283">
            <v>7.5957999999999988</v>
          </cell>
          <cell r="Q283">
            <v>-12</v>
          </cell>
          <cell r="T283" t="str">
            <v>грп</v>
          </cell>
        </row>
        <row r="284">
          <cell r="P284">
            <v>0</v>
          </cell>
          <cell r="Q284">
            <v>0</v>
          </cell>
          <cell r="T284">
            <v>0</v>
          </cell>
        </row>
        <row r="285">
          <cell r="P285">
            <v>-2.2249500000000033</v>
          </cell>
          <cell r="Q285">
            <v>-2</v>
          </cell>
          <cell r="T285" t="str">
            <v>ипп</v>
          </cell>
        </row>
        <row r="286">
          <cell r="P286">
            <v>0.187450000000001</v>
          </cell>
          <cell r="Q286">
            <v>1</v>
          </cell>
          <cell r="T286">
            <v>0</v>
          </cell>
        </row>
        <row r="287">
          <cell r="P287">
            <v>8.3000000000000185E-2</v>
          </cell>
          <cell r="Q287">
            <v>0</v>
          </cell>
          <cell r="T287">
            <v>0</v>
          </cell>
        </row>
        <row r="288">
          <cell r="P288">
            <v>0</v>
          </cell>
          <cell r="Q288">
            <v>0</v>
          </cell>
          <cell r="T288">
            <v>0</v>
          </cell>
        </row>
        <row r="289">
          <cell r="P289">
            <v>-0.5215999999999994</v>
          </cell>
          <cell r="Q289">
            <v>-1</v>
          </cell>
          <cell r="T289">
            <v>0</v>
          </cell>
        </row>
        <row r="290">
          <cell r="P290">
            <v>-2.3064500000000003</v>
          </cell>
          <cell r="Q290">
            <v>-6</v>
          </cell>
          <cell r="T290" t="str">
            <v>вода</v>
          </cell>
        </row>
        <row r="291">
          <cell r="P291">
            <v>2.9665999999999997</v>
          </cell>
          <cell r="Q291">
            <v>1</v>
          </cell>
          <cell r="T291" t="str">
            <v>уточ.режима</v>
          </cell>
        </row>
        <row r="292">
          <cell r="P292">
            <v>-0.1711500000000008</v>
          </cell>
          <cell r="Q292">
            <v>-2</v>
          </cell>
          <cell r="T292">
            <v>0</v>
          </cell>
        </row>
        <row r="293">
          <cell r="P293">
            <v>0.39119999999999955</v>
          </cell>
          <cell r="Q293">
            <v>-1</v>
          </cell>
          <cell r="T293">
            <v>0</v>
          </cell>
        </row>
        <row r="294">
          <cell r="P294">
            <v>0.71720000000000184</v>
          </cell>
          <cell r="Q294">
            <v>-4</v>
          </cell>
          <cell r="T294">
            <v>0</v>
          </cell>
        </row>
        <row r="295">
          <cell r="P295">
            <v>-2.0782499999999997</v>
          </cell>
          <cell r="Q295">
            <v>-5</v>
          </cell>
          <cell r="T295" t="str">
            <v>сн.опт</v>
          </cell>
        </row>
        <row r="296">
          <cell r="P296">
            <v>-2.1678999999999995</v>
          </cell>
          <cell r="Q296">
            <v>-7</v>
          </cell>
          <cell r="T296" t="str">
            <v>уточ.режима</v>
          </cell>
        </row>
        <row r="297">
          <cell r="P297">
            <v>-0.98614999999999498</v>
          </cell>
          <cell r="Q297">
            <v>-4</v>
          </cell>
          <cell r="T297" t="str">
            <v>уточ.режима</v>
          </cell>
        </row>
        <row r="298">
          <cell r="P298">
            <v>-0.96169999999999978</v>
          </cell>
          <cell r="Q298">
            <v>-6</v>
          </cell>
          <cell r="T298">
            <v>0</v>
          </cell>
        </row>
        <row r="299">
          <cell r="P299">
            <v>-0.29339999999999944</v>
          </cell>
          <cell r="Q299">
            <v>-6</v>
          </cell>
          <cell r="T299">
            <v>0</v>
          </cell>
        </row>
        <row r="300">
          <cell r="P300">
            <v>-0.21189999999999998</v>
          </cell>
          <cell r="Q300">
            <v>-3</v>
          </cell>
          <cell r="T300">
            <v>0</v>
          </cell>
        </row>
        <row r="301">
          <cell r="P301">
            <v>1.3447499999999986</v>
          </cell>
          <cell r="Q301">
            <v>0</v>
          </cell>
          <cell r="T301" t="str">
            <v>уточ.режима</v>
          </cell>
        </row>
        <row r="302">
          <cell r="P302">
            <v>19.144349999999999</v>
          </cell>
          <cell r="Q302">
            <v>29</v>
          </cell>
          <cell r="T302" t="str">
            <v>грп</v>
          </cell>
        </row>
        <row r="303">
          <cell r="P303">
            <v>0</v>
          </cell>
          <cell r="Q303">
            <v>0</v>
          </cell>
          <cell r="T303">
            <v>0</v>
          </cell>
        </row>
        <row r="304">
          <cell r="P304">
            <v>-0.17934000000000694</v>
          </cell>
          <cell r="Q304">
            <v>-7</v>
          </cell>
          <cell r="T304">
            <v>0</v>
          </cell>
        </row>
        <row r="305">
          <cell r="P305">
            <v>1.3528999999999969</v>
          </cell>
          <cell r="Q305">
            <v>-3</v>
          </cell>
          <cell r="T305">
            <v>0</v>
          </cell>
        </row>
        <row r="306">
          <cell r="P306">
            <v>-2.5183499999999999</v>
          </cell>
          <cell r="Q306">
            <v>-3</v>
          </cell>
          <cell r="T306" t="str">
            <v>вода</v>
          </cell>
        </row>
        <row r="307">
          <cell r="P307">
            <v>0.30969999999999942</v>
          </cell>
          <cell r="Q307">
            <v>2</v>
          </cell>
          <cell r="T307">
            <v>0</v>
          </cell>
        </row>
        <row r="308">
          <cell r="P308">
            <v>0</v>
          </cell>
          <cell r="Q308">
            <v>0</v>
          </cell>
          <cell r="T308">
            <v>0</v>
          </cell>
        </row>
        <row r="309">
          <cell r="P309">
            <v>0.48900000000000099</v>
          </cell>
          <cell r="Q309">
            <v>-1</v>
          </cell>
          <cell r="T309">
            <v>0</v>
          </cell>
        </row>
        <row r="310">
          <cell r="P310">
            <v>0.2607999999999997</v>
          </cell>
          <cell r="Q310">
            <v>-2</v>
          </cell>
          <cell r="T310">
            <v>0</v>
          </cell>
        </row>
        <row r="311">
          <cell r="P311">
            <v>-0.33415000000000017</v>
          </cell>
          <cell r="Q311">
            <v>-1</v>
          </cell>
          <cell r="T311">
            <v>0</v>
          </cell>
        </row>
        <row r="312">
          <cell r="P312">
            <v>0.72534999999999972</v>
          </cell>
          <cell r="Q312">
            <v>1</v>
          </cell>
          <cell r="T312">
            <v>0</v>
          </cell>
        </row>
        <row r="313">
          <cell r="P313">
            <v>-0.39119999999999777</v>
          </cell>
          <cell r="Q313">
            <v>-2</v>
          </cell>
          <cell r="T313" t="str">
            <v>уточ.режима</v>
          </cell>
        </row>
        <row r="314">
          <cell r="P314">
            <v>-1.7115000000000009</v>
          </cell>
          <cell r="Q314">
            <v>0</v>
          </cell>
          <cell r="T314" t="str">
            <v>уточ.режима</v>
          </cell>
        </row>
        <row r="315">
          <cell r="P315">
            <v>-4.9063000000000034</v>
          </cell>
          <cell r="Q315">
            <v>-22</v>
          </cell>
          <cell r="T315" t="str">
            <v>сн.грп</v>
          </cell>
        </row>
        <row r="316">
          <cell r="P316">
            <v>4.9144499999999987</v>
          </cell>
          <cell r="Q316">
            <v>9</v>
          </cell>
          <cell r="T316" t="str">
            <v>прс</v>
          </cell>
        </row>
        <row r="317">
          <cell r="P317">
            <v>-1.3936499999999974</v>
          </cell>
          <cell r="Q317">
            <v>2</v>
          </cell>
          <cell r="T317" t="str">
            <v>ипп</v>
          </cell>
        </row>
        <row r="318">
          <cell r="P318">
            <v>-2.5020500000000001</v>
          </cell>
          <cell r="Q318">
            <v>-4</v>
          </cell>
          <cell r="T318" t="str">
            <v>вода</v>
          </cell>
        </row>
        <row r="319">
          <cell r="P319">
            <v>0</v>
          </cell>
          <cell r="Q319">
            <v>0</v>
          </cell>
          <cell r="T319">
            <v>0</v>
          </cell>
        </row>
        <row r="320">
          <cell r="P320">
            <v>-2.5102000000000011</v>
          </cell>
          <cell r="Q320">
            <v>-4</v>
          </cell>
          <cell r="T320" t="str">
            <v>сн.грп</v>
          </cell>
        </row>
        <row r="321">
          <cell r="P321">
            <v>-5.2078499999999988</v>
          </cell>
          <cell r="Q321">
            <v>-11</v>
          </cell>
          <cell r="T321" t="str">
            <v>сн.грп</v>
          </cell>
        </row>
        <row r="322">
          <cell r="P322">
            <v>-0.8149999999999995</v>
          </cell>
          <cell r="Q322">
            <v>0</v>
          </cell>
          <cell r="T322">
            <v>0</v>
          </cell>
        </row>
        <row r="323">
          <cell r="P323">
            <v>-0.53790000000000138</v>
          </cell>
          <cell r="Q323">
            <v>0</v>
          </cell>
          <cell r="T323">
            <v>0</v>
          </cell>
        </row>
        <row r="324">
          <cell r="P324">
            <v>0.42379999999999995</v>
          </cell>
          <cell r="Q324">
            <v>0</v>
          </cell>
          <cell r="T324">
            <v>0</v>
          </cell>
        </row>
        <row r="325">
          <cell r="P325">
            <v>5.7050000000000267E-2</v>
          </cell>
          <cell r="Q325">
            <v>-1</v>
          </cell>
          <cell r="T325">
            <v>0</v>
          </cell>
        </row>
        <row r="326">
          <cell r="P326">
            <v>0.39934999999999832</v>
          </cell>
          <cell r="Q326">
            <v>-1</v>
          </cell>
          <cell r="T326">
            <v>0</v>
          </cell>
        </row>
        <row r="327">
          <cell r="P327">
            <v>-11.475200000000005</v>
          </cell>
          <cell r="Q327">
            <v>-52</v>
          </cell>
          <cell r="T327" t="str">
            <v>сн.грп</v>
          </cell>
        </row>
        <row r="328">
          <cell r="P328">
            <v>5.7376000000000049</v>
          </cell>
          <cell r="Q328">
            <v>28</v>
          </cell>
          <cell r="T328" t="str">
            <v>опт</v>
          </cell>
        </row>
        <row r="329">
          <cell r="P329">
            <v>1.1204999999999996</v>
          </cell>
          <cell r="Q329">
            <v>1</v>
          </cell>
          <cell r="T329" t="str">
            <v>уточ.режима</v>
          </cell>
        </row>
        <row r="330">
          <cell r="P330">
            <v>0.22004999999999963</v>
          </cell>
          <cell r="Q330">
            <v>-1</v>
          </cell>
          <cell r="T330">
            <v>0</v>
          </cell>
        </row>
        <row r="331">
          <cell r="P331">
            <v>1.1619999999999999</v>
          </cell>
          <cell r="Q331">
            <v>0</v>
          </cell>
          <cell r="T331" t="str">
            <v>уточ.режима</v>
          </cell>
        </row>
        <row r="332">
          <cell r="P332">
            <v>0</v>
          </cell>
          <cell r="Q332">
            <v>0</v>
          </cell>
          <cell r="T332">
            <v>0</v>
          </cell>
        </row>
        <row r="333">
          <cell r="P333">
            <v>1.173600000000004</v>
          </cell>
          <cell r="Q333">
            <v>-12</v>
          </cell>
          <cell r="T333" t="str">
            <v>сн.грп</v>
          </cell>
        </row>
        <row r="334">
          <cell r="P334">
            <v>0</v>
          </cell>
          <cell r="Q334">
            <v>0</v>
          </cell>
          <cell r="T334">
            <v>0</v>
          </cell>
        </row>
        <row r="335">
          <cell r="P335">
            <v>-0.36674999999999081</v>
          </cell>
          <cell r="Q335">
            <v>-15</v>
          </cell>
          <cell r="T335" t="str">
            <v>уточ.режима</v>
          </cell>
        </row>
        <row r="336">
          <cell r="P336">
            <v>0</v>
          </cell>
          <cell r="Q336">
            <v>0</v>
          </cell>
          <cell r="T336">
            <v>0</v>
          </cell>
        </row>
        <row r="337">
          <cell r="P337">
            <v>0.52160000000000029</v>
          </cell>
          <cell r="Q337">
            <v>0</v>
          </cell>
          <cell r="T337">
            <v>0</v>
          </cell>
        </row>
        <row r="338">
          <cell r="P338">
            <v>0.76610000000000378</v>
          </cell>
          <cell r="Q338">
            <v>0</v>
          </cell>
          <cell r="T338">
            <v>0</v>
          </cell>
        </row>
        <row r="339">
          <cell r="P339">
            <v>1.2225000000000001</v>
          </cell>
          <cell r="Q339">
            <v>-10</v>
          </cell>
          <cell r="T339" t="str">
            <v>уточ.режима</v>
          </cell>
        </row>
        <row r="340">
          <cell r="P340">
            <v>0.56234999999999813</v>
          </cell>
          <cell r="Q340">
            <v>-5</v>
          </cell>
          <cell r="T340">
            <v>0</v>
          </cell>
        </row>
        <row r="341">
          <cell r="P341">
            <v>-1.3040000000000067</v>
          </cell>
          <cell r="Q341">
            <v>-20</v>
          </cell>
          <cell r="T341" t="str">
            <v>сн.опт</v>
          </cell>
        </row>
        <row r="342">
          <cell r="P342">
            <v>-6.5199999999998592E-2</v>
          </cell>
          <cell r="Q342">
            <v>-2</v>
          </cell>
          <cell r="T342">
            <v>0</v>
          </cell>
        </row>
        <row r="343">
          <cell r="P343">
            <v>1.0920999999999996</v>
          </cell>
          <cell r="Q343">
            <v>11</v>
          </cell>
          <cell r="T343" t="str">
            <v>уточ.режима</v>
          </cell>
        </row>
        <row r="344">
          <cell r="P344">
            <v>0</v>
          </cell>
          <cell r="Q344">
            <v>0</v>
          </cell>
          <cell r="T344">
            <v>0</v>
          </cell>
        </row>
        <row r="345">
          <cell r="P345">
            <v>0.11619999999999919</v>
          </cell>
          <cell r="Q345">
            <v>-2</v>
          </cell>
          <cell r="T345">
            <v>0</v>
          </cell>
        </row>
        <row r="346">
          <cell r="P346">
            <v>0.65200000000000902</v>
          </cell>
          <cell r="Q346">
            <v>40</v>
          </cell>
          <cell r="T346" t="str">
            <v>уточ.режима</v>
          </cell>
        </row>
        <row r="347">
          <cell r="P347">
            <v>0.78240000000000087</v>
          </cell>
          <cell r="Q347">
            <v>0</v>
          </cell>
          <cell r="T347">
            <v>0</v>
          </cell>
        </row>
        <row r="348">
          <cell r="P348">
            <v>0</v>
          </cell>
          <cell r="Q348">
            <v>0</v>
          </cell>
          <cell r="T348">
            <v>0</v>
          </cell>
        </row>
        <row r="349">
          <cell r="P349">
            <v>1.0106000000000019</v>
          </cell>
          <cell r="Q349">
            <v>2</v>
          </cell>
          <cell r="T349">
            <v>0</v>
          </cell>
        </row>
        <row r="350">
          <cell r="P350">
            <v>-0.39119999999999733</v>
          </cell>
          <cell r="Q350">
            <v>-8</v>
          </cell>
          <cell r="T350">
            <v>0</v>
          </cell>
        </row>
        <row r="351">
          <cell r="P351">
            <v>0</v>
          </cell>
          <cell r="Q351">
            <v>0</v>
          </cell>
          <cell r="T351">
            <v>0</v>
          </cell>
        </row>
        <row r="352">
          <cell r="P352">
            <v>1.7595999999999989</v>
          </cell>
          <cell r="Q352">
            <v>2</v>
          </cell>
          <cell r="T352" t="str">
            <v>уточ.режима</v>
          </cell>
        </row>
        <row r="353">
          <cell r="P353">
            <v>9.9599999999998801E-2</v>
          </cell>
          <cell r="Q353">
            <v>0</v>
          </cell>
          <cell r="T353">
            <v>0</v>
          </cell>
        </row>
        <row r="354">
          <cell r="P354">
            <v>0.68890000000000118</v>
          </cell>
          <cell r="Q354">
            <v>1</v>
          </cell>
          <cell r="T354">
            <v>0</v>
          </cell>
        </row>
        <row r="355">
          <cell r="P355">
            <v>-0.26895000000000202</v>
          </cell>
          <cell r="Q355">
            <v>-1</v>
          </cell>
          <cell r="T355">
            <v>0</v>
          </cell>
        </row>
        <row r="356">
          <cell r="P356">
            <v>1.6463000000000001</v>
          </cell>
          <cell r="Q356">
            <v>-2</v>
          </cell>
          <cell r="T356" t="str">
            <v>уточ.режима</v>
          </cell>
        </row>
        <row r="357">
          <cell r="P357">
            <v>0</v>
          </cell>
          <cell r="Q357">
            <v>0</v>
          </cell>
          <cell r="T357">
            <v>0</v>
          </cell>
        </row>
        <row r="358">
          <cell r="P358">
            <v>-1.7929999999999993</v>
          </cell>
          <cell r="Q358">
            <v>-2</v>
          </cell>
          <cell r="T358" t="str">
            <v>ипп</v>
          </cell>
        </row>
        <row r="359">
          <cell r="P359">
            <v>0.88020000000000032</v>
          </cell>
          <cell r="Q359">
            <v>2</v>
          </cell>
          <cell r="T359">
            <v>0</v>
          </cell>
        </row>
        <row r="360">
          <cell r="P360">
            <v>-2.665049999999999</v>
          </cell>
          <cell r="Q360">
            <v>-10</v>
          </cell>
          <cell r="T360" t="str">
            <v>уточ.режима</v>
          </cell>
        </row>
        <row r="361">
          <cell r="P361">
            <v>1.9885999999999999</v>
          </cell>
          <cell r="Q361">
            <v>4</v>
          </cell>
          <cell r="T361" t="str">
            <v>уточ.режима</v>
          </cell>
        </row>
        <row r="362">
          <cell r="P362">
            <v>-2.2738499999999995</v>
          </cell>
          <cell r="Q362">
            <v>-3</v>
          </cell>
          <cell r="T362" t="str">
            <v>ипп</v>
          </cell>
        </row>
        <row r="363">
          <cell r="P363">
            <v>0.86389999999999922</v>
          </cell>
          <cell r="Q363">
            <v>1</v>
          </cell>
          <cell r="T363">
            <v>0</v>
          </cell>
        </row>
        <row r="364">
          <cell r="P364">
            <v>0</v>
          </cell>
          <cell r="Q364">
            <v>0</v>
          </cell>
          <cell r="T364">
            <v>0</v>
          </cell>
        </row>
        <row r="365">
          <cell r="P365">
            <v>1.8093000000000004</v>
          </cell>
          <cell r="Q365">
            <v>2</v>
          </cell>
          <cell r="T365" t="str">
            <v>уточ.режима</v>
          </cell>
        </row>
        <row r="366">
          <cell r="P366">
            <v>0.85575000000000045</v>
          </cell>
          <cell r="Q366">
            <v>0</v>
          </cell>
          <cell r="T366">
            <v>0</v>
          </cell>
        </row>
        <row r="367">
          <cell r="P367">
            <v>0</v>
          </cell>
          <cell r="Q367">
            <v>0</v>
          </cell>
          <cell r="T367">
            <v>0</v>
          </cell>
        </row>
        <row r="368">
          <cell r="P368">
            <v>1.7848500000000005</v>
          </cell>
          <cell r="Q368">
            <v>-1</v>
          </cell>
          <cell r="T368" t="str">
            <v>уточ.режима</v>
          </cell>
        </row>
        <row r="369">
          <cell r="P369">
            <v>-2.4449999999998973E-2</v>
          </cell>
          <cell r="Q369">
            <v>1</v>
          </cell>
          <cell r="T369">
            <v>0</v>
          </cell>
        </row>
        <row r="370">
          <cell r="P370">
            <v>-0.88019999999999854</v>
          </cell>
          <cell r="Q370">
            <v>-4</v>
          </cell>
          <cell r="T370">
            <v>0</v>
          </cell>
        </row>
        <row r="371">
          <cell r="P371">
            <v>-0.58679999999999932</v>
          </cell>
          <cell r="Q371">
            <v>-3</v>
          </cell>
          <cell r="T371">
            <v>0</v>
          </cell>
        </row>
        <row r="372">
          <cell r="P372">
            <v>-1.9234000000000009</v>
          </cell>
          <cell r="Q372">
            <v>-6</v>
          </cell>
          <cell r="T372" t="str">
            <v>уточ.режима</v>
          </cell>
        </row>
        <row r="373">
          <cell r="P373">
            <v>-3.0969999999999978</v>
          </cell>
          <cell r="Q373">
            <v>-10</v>
          </cell>
          <cell r="T373" t="str">
            <v>ипп</v>
          </cell>
        </row>
        <row r="374">
          <cell r="P374">
            <v>-2.2412500000000009</v>
          </cell>
          <cell r="Q374">
            <v>-4</v>
          </cell>
          <cell r="T374" t="str">
            <v>ипп</v>
          </cell>
        </row>
        <row r="375">
          <cell r="P375">
            <v>0</v>
          </cell>
          <cell r="Q375">
            <v>0</v>
          </cell>
          <cell r="T375">
            <v>0</v>
          </cell>
        </row>
        <row r="376">
          <cell r="P376">
            <v>-5.7457499999999992</v>
          </cell>
          <cell r="Q376">
            <v>-15</v>
          </cell>
          <cell r="T376" t="str">
            <v>ипп</v>
          </cell>
        </row>
        <row r="377">
          <cell r="P377">
            <v>-3.0806999999999993</v>
          </cell>
          <cell r="Q377">
            <v>-13</v>
          </cell>
          <cell r="T377" t="str">
            <v>сн.грп</v>
          </cell>
        </row>
        <row r="378">
          <cell r="P378">
            <v>-0.59759999999999902</v>
          </cell>
          <cell r="Q378">
            <v>-1</v>
          </cell>
          <cell r="T378">
            <v>0</v>
          </cell>
        </row>
        <row r="379">
          <cell r="P379">
            <v>1.7848500000000007</v>
          </cell>
          <cell r="Q379">
            <v>9</v>
          </cell>
          <cell r="T379" t="str">
            <v>прс</v>
          </cell>
        </row>
        <row r="380">
          <cell r="P380">
            <v>-0.97799999999999976</v>
          </cell>
          <cell r="Q380">
            <v>-4</v>
          </cell>
          <cell r="T380">
            <v>0</v>
          </cell>
        </row>
        <row r="381">
          <cell r="P381">
            <v>0</v>
          </cell>
          <cell r="Q381">
            <v>0</v>
          </cell>
          <cell r="T381">
            <v>0</v>
          </cell>
        </row>
        <row r="382">
          <cell r="P382">
            <v>0</v>
          </cell>
          <cell r="Q382">
            <v>0</v>
          </cell>
          <cell r="T382">
            <v>0</v>
          </cell>
        </row>
        <row r="383">
          <cell r="P383">
            <v>1.3692000000000011</v>
          </cell>
          <cell r="Q383">
            <v>8</v>
          </cell>
          <cell r="T383" t="str">
            <v>уточ.режима</v>
          </cell>
        </row>
        <row r="384">
          <cell r="P384">
            <v>0.45640000000000169</v>
          </cell>
          <cell r="Q384">
            <v>-2</v>
          </cell>
          <cell r="T384">
            <v>0</v>
          </cell>
        </row>
        <row r="385">
          <cell r="P385">
            <v>-0.22820000000000107</v>
          </cell>
          <cell r="Q385">
            <v>-2</v>
          </cell>
          <cell r="T385">
            <v>0</v>
          </cell>
        </row>
        <row r="386">
          <cell r="P386">
            <v>-0.11620000000000008</v>
          </cell>
          <cell r="Q386">
            <v>0</v>
          </cell>
          <cell r="T386">
            <v>0</v>
          </cell>
        </row>
        <row r="387">
          <cell r="P387">
            <v>0.37349999999999994</v>
          </cell>
          <cell r="Q387">
            <v>0</v>
          </cell>
          <cell r="T387">
            <v>0</v>
          </cell>
        </row>
        <row r="388">
          <cell r="P388">
            <v>-0.81500000000000039</v>
          </cell>
          <cell r="Q388">
            <v>-4</v>
          </cell>
          <cell r="T388">
            <v>0</v>
          </cell>
        </row>
        <row r="389">
          <cell r="P389">
            <v>0</v>
          </cell>
          <cell r="Q389">
            <v>0</v>
          </cell>
          <cell r="T389">
            <v>0</v>
          </cell>
        </row>
        <row r="390">
          <cell r="P390">
            <v>0</v>
          </cell>
          <cell r="Q390">
            <v>0</v>
          </cell>
          <cell r="T390">
            <v>0</v>
          </cell>
        </row>
        <row r="391">
          <cell r="P391">
            <v>0</v>
          </cell>
          <cell r="Q391">
            <v>0</v>
          </cell>
          <cell r="T391">
            <v>0</v>
          </cell>
        </row>
        <row r="392">
          <cell r="P392">
            <v>0</v>
          </cell>
          <cell r="Q392">
            <v>0</v>
          </cell>
          <cell r="T392">
            <v>0</v>
          </cell>
        </row>
        <row r="393">
          <cell r="P393">
            <v>-0.21579999999999977</v>
          </cell>
          <cell r="Q393">
            <v>0</v>
          </cell>
          <cell r="T393">
            <v>0</v>
          </cell>
        </row>
        <row r="394">
          <cell r="P394">
            <v>0</v>
          </cell>
          <cell r="Q394">
            <v>0</v>
          </cell>
          <cell r="T394">
            <v>0</v>
          </cell>
        </row>
        <row r="395">
          <cell r="P395">
            <v>-0.14669999999999961</v>
          </cell>
          <cell r="Q395">
            <v>0</v>
          </cell>
          <cell r="T395">
            <v>0</v>
          </cell>
        </row>
        <row r="396">
          <cell r="P396">
            <v>2.1271499999999968</v>
          </cell>
          <cell r="Q396">
            <v>3</v>
          </cell>
          <cell r="T396" t="str">
            <v>уточ.режима</v>
          </cell>
        </row>
        <row r="397">
          <cell r="P397">
            <v>-1.5485000000000015</v>
          </cell>
          <cell r="Q397">
            <v>0</v>
          </cell>
          <cell r="T397" t="str">
            <v>уточ.режима</v>
          </cell>
        </row>
        <row r="398">
          <cell r="P398">
            <v>-0.19559999999999889</v>
          </cell>
          <cell r="Q398">
            <v>0</v>
          </cell>
          <cell r="T398">
            <v>0</v>
          </cell>
        </row>
        <row r="399">
          <cell r="P399">
            <v>0.42379999999999951</v>
          </cell>
          <cell r="Q399">
            <v>0</v>
          </cell>
          <cell r="T399">
            <v>0</v>
          </cell>
        </row>
        <row r="400">
          <cell r="P400">
            <v>8.9649999999998897E-2</v>
          </cell>
          <cell r="Q400">
            <v>12</v>
          </cell>
          <cell r="T400">
            <v>0</v>
          </cell>
        </row>
        <row r="401">
          <cell r="P401">
            <v>0.78240000000000087</v>
          </cell>
          <cell r="Q401">
            <v>0</v>
          </cell>
          <cell r="T401">
            <v>0</v>
          </cell>
        </row>
        <row r="402">
          <cell r="P402">
            <v>-0.63570000000000082</v>
          </cell>
          <cell r="Q402">
            <v>-2</v>
          </cell>
          <cell r="T402">
            <v>0</v>
          </cell>
        </row>
        <row r="403">
          <cell r="P403">
            <v>2.0701000000000001</v>
          </cell>
          <cell r="Q403">
            <v>5</v>
          </cell>
          <cell r="T403" t="str">
            <v>уточ.режима</v>
          </cell>
        </row>
        <row r="404">
          <cell r="P404">
            <v>-1.5974000000000004</v>
          </cell>
          <cell r="Q404">
            <v>-2</v>
          </cell>
          <cell r="T404" t="str">
            <v>уточ.режима</v>
          </cell>
        </row>
        <row r="405">
          <cell r="P405">
            <v>-0.84759999999999924</v>
          </cell>
          <cell r="Q405">
            <v>34</v>
          </cell>
          <cell r="T405" t="str">
            <v>уточ.режима</v>
          </cell>
        </row>
        <row r="406">
          <cell r="P406">
            <v>-0.35860000000000092</v>
          </cell>
          <cell r="Q406">
            <v>-4</v>
          </cell>
          <cell r="T406">
            <v>0</v>
          </cell>
        </row>
        <row r="407">
          <cell r="P407">
            <v>3.1041999999999996</v>
          </cell>
          <cell r="Q407">
            <v>4</v>
          </cell>
          <cell r="T407" t="str">
            <v>уточ.режима</v>
          </cell>
        </row>
        <row r="408">
          <cell r="P408">
            <v>-0.62754999999999939</v>
          </cell>
          <cell r="Q408">
            <v>-1</v>
          </cell>
          <cell r="T408">
            <v>0</v>
          </cell>
        </row>
        <row r="409">
          <cell r="P409">
            <v>0.62755000000000294</v>
          </cell>
          <cell r="Q409">
            <v>1</v>
          </cell>
          <cell r="T409">
            <v>0</v>
          </cell>
        </row>
        <row r="410">
          <cell r="P410">
            <v>-1.9315500000000005</v>
          </cell>
          <cell r="Q410">
            <v>-8</v>
          </cell>
          <cell r="T410" t="str">
            <v>уточ.режима</v>
          </cell>
        </row>
        <row r="411">
          <cell r="P411">
            <v>0.84760000000000169</v>
          </cell>
          <cell r="Q411">
            <v>7</v>
          </cell>
          <cell r="T411">
            <v>0</v>
          </cell>
        </row>
        <row r="412">
          <cell r="P412">
            <v>-2.9258500000000023</v>
          </cell>
          <cell r="Q412">
            <v>-18</v>
          </cell>
          <cell r="T412" t="str">
            <v>уточ.режима</v>
          </cell>
        </row>
        <row r="413">
          <cell r="P413">
            <v>0.60309999999999597</v>
          </cell>
          <cell r="Q413">
            <v>-7</v>
          </cell>
          <cell r="T413">
            <v>0</v>
          </cell>
        </row>
        <row r="414">
          <cell r="P414">
            <v>-0.81499999999999995</v>
          </cell>
          <cell r="Q414">
            <v>0</v>
          </cell>
          <cell r="T414">
            <v>0</v>
          </cell>
        </row>
        <row r="415">
          <cell r="P415">
            <v>0.50530000000000097</v>
          </cell>
          <cell r="Q415">
            <v>0</v>
          </cell>
          <cell r="T415">
            <v>0</v>
          </cell>
        </row>
        <row r="416">
          <cell r="P416">
            <v>0</v>
          </cell>
          <cell r="Q416">
            <v>0</v>
          </cell>
          <cell r="T416" t="str">
            <v>уточ.режима</v>
          </cell>
        </row>
        <row r="417">
          <cell r="P417" t="e">
            <v>#N/A</v>
          </cell>
          <cell r="Q417" t="e">
            <v>#N/A</v>
          </cell>
          <cell r="T417" t="e">
            <v>#N/A</v>
          </cell>
        </row>
        <row r="418">
          <cell r="P418">
            <v>0</v>
          </cell>
          <cell r="Q418">
            <v>0</v>
          </cell>
          <cell r="T418">
            <v>0</v>
          </cell>
        </row>
        <row r="419">
          <cell r="P419">
            <v>0.6520000000000028</v>
          </cell>
          <cell r="Q419">
            <v>2</v>
          </cell>
          <cell r="T419">
            <v>0</v>
          </cell>
        </row>
        <row r="420">
          <cell r="P420">
            <v>0</v>
          </cell>
          <cell r="Q420">
            <v>0</v>
          </cell>
          <cell r="T420">
            <v>0</v>
          </cell>
        </row>
        <row r="421">
          <cell r="P421">
            <v>-0.48900000000000077</v>
          </cell>
          <cell r="Q421">
            <v>-3</v>
          </cell>
          <cell r="T421">
            <v>0</v>
          </cell>
        </row>
        <row r="422">
          <cell r="P422">
            <v>0.47269999999999968</v>
          </cell>
          <cell r="Q422">
            <v>-1</v>
          </cell>
          <cell r="T422">
            <v>0</v>
          </cell>
        </row>
        <row r="423">
          <cell r="P423">
            <v>0</v>
          </cell>
          <cell r="Q423">
            <v>0</v>
          </cell>
          <cell r="T423">
            <v>0</v>
          </cell>
        </row>
        <row r="424">
          <cell r="P424">
            <v>-5.7050000000000267E-2</v>
          </cell>
          <cell r="Q424">
            <v>-1</v>
          </cell>
          <cell r="T424">
            <v>0</v>
          </cell>
        </row>
        <row r="425">
          <cell r="P425">
            <v>-0.86389999999999567</v>
          </cell>
          <cell r="Q425">
            <v>-5</v>
          </cell>
          <cell r="T425">
            <v>0</v>
          </cell>
        </row>
        <row r="427">
          <cell r="P427" t="e">
            <v>#N/A</v>
          </cell>
          <cell r="Q427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Графики"/>
      <sheetName val="таблица руководству"/>
      <sheetName val="суточная сводка"/>
      <sheetName val="Суточная добыча за неделю"/>
      <sheetName val="Лист3"/>
      <sheetName val="СНГДУ-1"/>
      <sheetName val="Input Assumptions"/>
      <sheetName val="В работе"/>
      <sheetName val="потери по ГТМ 2003г"/>
      <sheetName val="Список ГТМ "/>
      <sheetName val="15 August no challenges"/>
      <sheetName val="26 July flat"/>
      <sheetName val="26 July no challenges"/>
      <sheetName val="Возвраты и приобщения"/>
      <sheetName val="ИТОГ"/>
      <sheetName val="ст ГТМ"/>
      <sheetName val="ВКЕ"/>
      <sheetName val="Гаршино (2)"/>
      <sheetName val="2003"/>
      <sheetName val="Остановки"/>
      <sheetName val="Ф-2"/>
      <sheetName val="Бурение"/>
      <sheetName val="обзор"/>
      <sheetName val="System"/>
      <sheetName val="Control"/>
      <sheetName val="Лист1"/>
      <sheetName val="Группы закупок - ТС"/>
      <sheetName val="форма сводки"/>
      <sheetName val="MAIN_PARAMETERS"/>
      <sheetName val="Capacity"/>
      <sheetName val="Modes"/>
      <sheetName val="ТНК-ВР"/>
      <sheetName val="Суточная сводкаМай 2003"/>
      <sheetName val="Сут. сводка за неделю"/>
      <sheetName val="Суточная сводкаМай 2003 (2)"/>
      <sheetName val="таблица руководству (2)"/>
      <sheetName val="СНГДУ 1"/>
      <sheetName val="Добыча"/>
      <sheetName val="2.98"/>
      <sheetName val="3.98"/>
      <sheetName val="СПРАВОЧНИК НФ"/>
      <sheetName val="NPIP"/>
      <sheetName val="PIP"/>
      <sheetName val="таблица_руководству"/>
      <sheetName val="суточная_сводка"/>
      <sheetName val="Суточная_добыча_за_неделю"/>
      <sheetName val="Input_Assumptions"/>
      <sheetName val="В_работе"/>
      <sheetName val="потери_по_ГТМ_2003г"/>
      <sheetName val="Список_ГТМ_"/>
      <sheetName val="Возвраты_и_приобщения"/>
      <sheetName val="15_August_no_challenges"/>
      <sheetName val="26_July_flat"/>
      <sheetName val="26_July_no_challenges"/>
      <sheetName val="ст_ГТМ"/>
      <sheetName val="Гаршино_(2)"/>
      <sheetName val="Группы_закупок_-_ТС"/>
      <sheetName val="форма_сводки"/>
      <sheetName val="производст"/>
      <sheetName val="ФОТ"/>
      <sheetName val="Смета"/>
      <sheetName val="3.3.31."/>
      <sheetName val="sapactivexlhiddensheet"/>
      <sheetName val="Структура_файла"/>
      <sheetName val="ВНУТР ПЕРЕРАСПР  2015_РАСШИФР"/>
      <sheetName val="Production and Spend"/>
      <sheetName val="Насосы"/>
      <sheetName val="ОКЕИ"/>
      <sheetName val="Основная таблица"/>
      <sheetName val="Транспорт"/>
      <sheetName val="исходные данные"/>
      <sheetName val="мсн"/>
      <sheetName val="6.2.1 Пр. произв. услуги"/>
      <sheetName val="УСЛУГИ"/>
      <sheetName val="СНГ"/>
      <sheetName val="EKDEB90"/>
      <sheetName val="Данные"/>
      <sheetName val="топография"/>
      <sheetName val="data"/>
      <sheetName val="пятилетка"/>
      <sheetName val="мониторинг"/>
      <sheetName val="Анализ"/>
      <sheetName val="ГАЗ"/>
      <sheetName val="ГРП, Оптимизация"/>
      <sheetName val="Итоги"/>
      <sheetName val="Простои"/>
      <sheetName val="Работа бригад ТКРС"/>
      <sheetName val="Рапорт"/>
      <sheetName val="Потери"/>
      <sheetName val="1.401.2"/>
      <sheetName val="Лист2"/>
      <sheetName val="отказы"/>
      <sheetName val="таблица_руководству1"/>
      <sheetName val="суточная_сводка1"/>
      <sheetName val="Суточная_добыча_за_неделю1"/>
      <sheetName val="Input_Assumptions1"/>
      <sheetName val="В_работе1"/>
      <sheetName val="потери_по_ГТМ_2003г1"/>
      <sheetName val="Список_ГТМ_1"/>
      <sheetName val="Возвраты_и_приобщения1"/>
      <sheetName val="15_August_no_challenges1"/>
      <sheetName val="26_July_flat1"/>
      <sheetName val="26_July_no_challenges1"/>
      <sheetName val="ст_ГТМ1"/>
      <sheetName val="Гаршино_(2)1"/>
      <sheetName val="Группы_закупок_-_ТС1"/>
      <sheetName val="форма_сводки1"/>
      <sheetName val="СПРАВОЧНИК_НФ"/>
      <sheetName val="3_3_31_"/>
      <sheetName val="ВНУТР_ПЕРЕРАСПР__2015_РАСШИФР"/>
      <sheetName val="Production_and_Spend"/>
      <sheetName val="исходные_данные"/>
      <sheetName val="6_2_1_Пр__произв__услуги"/>
      <sheetName val="001_баланс"/>
      <sheetName val=""/>
      <sheetName val="Суточная_сводкаМай_2003"/>
      <sheetName val="Сут__сводка_за_неделю"/>
      <sheetName val="Суточная_сводкаМай_2003_(2)"/>
      <sheetName val="таблица_руководству_(2)"/>
      <sheetName val="СНГДУ_1"/>
      <sheetName val="2_98"/>
      <sheetName val="3_98"/>
      <sheetName val="Основная_таблица"/>
      <sheetName val="ГРП,_Оптимизация"/>
      <sheetName val="Работа_бригад_ТКРС"/>
      <sheetName val="1_401_2"/>
    </sheetNames>
    <sheetDataSet>
      <sheetData sheetId="0" refreshError="1"/>
      <sheetData sheetId="1" refreshError="1"/>
      <sheetData sheetId="2" refreshError="1">
        <row r="1">
          <cell r="J1" t="b">
            <v>1</v>
          </cell>
        </row>
        <row r="2">
          <cell r="Y2">
            <v>189.708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Графики"/>
      <sheetName val="ТНК-ВР"/>
      <sheetName val="таблица руководству"/>
      <sheetName val="суточная сводка"/>
      <sheetName val="Суточная сводкаМай 2003"/>
      <sheetName val="Сут. сводка за неделю"/>
      <sheetName val="Суточная добыча за неделю"/>
      <sheetName val="Суточная сводкаМай 2003 (2)"/>
      <sheetName val="таблица руководству (2)"/>
      <sheetName val="СНГДУ 1"/>
      <sheetName val="2003"/>
      <sheetName val="Добыча"/>
      <sheetName val="2.98"/>
      <sheetName val="3.98"/>
    </sheetNames>
    <sheetDataSet>
      <sheetData sheetId="0"/>
      <sheetData sheetId="1"/>
      <sheetData sheetId="2"/>
      <sheetData sheetId="3" refreshError="1">
        <row r="2">
          <cell r="Y2">
            <v>189.708</v>
          </cell>
        </row>
      </sheetData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таблица руководству"/>
      <sheetName val="Лист2"/>
      <sheetName val="изм"/>
      <sheetName val="отказы"/>
      <sheetName val="2.98"/>
      <sheetName val="3.98"/>
      <sheetName val="СНГДУ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таблица руководству"/>
      <sheetName val="Лист2"/>
      <sheetName val="исходные данные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Первоначальный"/>
      <sheetName val="изм"/>
      <sheetName val="сброс"/>
      <sheetName val="совмесные замеры"/>
      <sheetName val="совмесные замеры (2)"/>
    </sheetNames>
    <sheetDataSet>
      <sheetData sheetId="0"/>
      <sheetData sheetId="1">
        <row r="5">
          <cell r="Q5" t="str">
            <v xml:space="preserve"> -+ жид-ть</v>
          </cell>
        </row>
        <row r="7">
          <cell r="Q7">
            <v>0</v>
          </cell>
        </row>
        <row r="8">
          <cell r="Q8">
            <v>-6</v>
          </cell>
        </row>
        <row r="9">
          <cell r="Q9">
            <v>-1</v>
          </cell>
        </row>
        <row r="10">
          <cell r="Q10">
            <v>-2</v>
          </cell>
        </row>
        <row r="11">
          <cell r="Q11">
            <v>0</v>
          </cell>
        </row>
        <row r="12">
          <cell r="Q12">
            <v>-2</v>
          </cell>
        </row>
        <row r="13">
          <cell r="Q13">
            <v>2</v>
          </cell>
        </row>
        <row r="14">
          <cell r="Q14">
            <v>-1</v>
          </cell>
        </row>
        <row r="15">
          <cell r="Q15">
            <v>-2</v>
          </cell>
        </row>
        <row r="16">
          <cell r="Q16">
            <v>1</v>
          </cell>
        </row>
        <row r="17">
          <cell r="Q17">
            <v>-8</v>
          </cell>
        </row>
        <row r="18">
          <cell r="Q18">
            <v>-7</v>
          </cell>
        </row>
        <row r="19">
          <cell r="Q19">
            <v>-5</v>
          </cell>
        </row>
        <row r="20">
          <cell r="Q20">
            <v>0</v>
          </cell>
        </row>
        <row r="21">
          <cell r="Q21">
            <v>0</v>
          </cell>
        </row>
        <row r="22">
          <cell r="Q22">
            <v>57</v>
          </cell>
        </row>
        <row r="23">
          <cell r="Q23">
            <v>-2</v>
          </cell>
        </row>
        <row r="24">
          <cell r="Q24">
            <v>-6</v>
          </cell>
        </row>
        <row r="25">
          <cell r="Q25">
            <v>0</v>
          </cell>
        </row>
        <row r="26">
          <cell r="Q26">
            <v>-4</v>
          </cell>
        </row>
        <row r="27">
          <cell r="Q27">
            <v>-2</v>
          </cell>
        </row>
        <row r="28">
          <cell r="Q28">
            <v>0</v>
          </cell>
        </row>
        <row r="29">
          <cell r="Q29">
            <v>-1</v>
          </cell>
        </row>
        <row r="30">
          <cell r="Q30">
            <v>15</v>
          </cell>
        </row>
        <row r="31">
          <cell r="Q31">
            <v>-2</v>
          </cell>
        </row>
        <row r="32">
          <cell r="Q32">
            <v>-5</v>
          </cell>
        </row>
        <row r="33">
          <cell r="Q33">
            <v>5</v>
          </cell>
        </row>
        <row r="34">
          <cell r="Q34">
            <v>-4</v>
          </cell>
        </row>
        <row r="35">
          <cell r="Q35">
            <v>-12</v>
          </cell>
        </row>
        <row r="36">
          <cell r="Q36">
            <v>0</v>
          </cell>
        </row>
        <row r="37">
          <cell r="Q37">
            <v>4</v>
          </cell>
        </row>
        <row r="38">
          <cell r="Q38">
            <v>5</v>
          </cell>
        </row>
        <row r="39">
          <cell r="Q39">
            <v>0</v>
          </cell>
        </row>
        <row r="40">
          <cell r="Q40">
            <v>0</v>
          </cell>
        </row>
        <row r="41">
          <cell r="Q41">
            <v>0</v>
          </cell>
        </row>
        <row r="42">
          <cell r="Q42">
            <v>-3</v>
          </cell>
        </row>
        <row r="43">
          <cell r="Q43">
            <v>-1</v>
          </cell>
        </row>
        <row r="44">
          <cell r="Q44">
            <v>-3</v>
          </cell>
        </row>
        <row r="45">
          <cell r="Q45">
            <v>-1</v>
          </cell>
        </row>
        <row r="46">
          <cell r="Q46">
            <v>-1</v>
          </cell>
        </row>
        <row r="47">
          <cell r="Q47">
            <v>-2</v>
          </cell>
        </row>
        <row r="48">
          <cell r="Q48">
            <v>-12</v>
          </cell>
        </row>
        <row r="49">
          <cell r="Q49">
            <v>0</v>
          </cell>
        </row>
        <row r="50">
          <cell r="Q50">
            <v>1</v>
          </cell>
        </row>
        <row r="51">
          <cell r="Q51">
            <v>-1</v>
          </cell>
        </row>
        <row r="52">
          <cell r="Q52">
            <v>0</v>
          </cell>
        </row>
        <row r="53">
          <cell r="Q53">
            <v>0</v>
          </cell>
        </row>
        <row r="54">
          <cell r="Q54">
            <v>0</v>
          </cell>
        </row>
        <row r="55">
          <cell r="Q55">
            <v>1</v>
          </cell>
        </row>
        <row r="56">
          <cell r="Q56">
            <v>-3</v>
          </cell>
        </row>
        <row r="57">
          <cell r="Q57">
            <v>0</v>
          </cell>
        </row>
        <row r="58">
          <cell r="Q58">
            <v>0</v>
          </cell>
        </row>
        <row r="59">
          <cell r="Q59">
            <v>-1</v>
          </cell>
        </row>
        <row r="60">
          <cell r="Q60">
            <v>1</v>
          </cell>
        </row>
        <row r="61">
          <cell r="Q61">
            <v>-13</v>
          </cell>
        </row>
        <row r="62">
          <cell r="Q62">
            <v>-1</v>
          </cell>
        </row>
        <row r="63">
          <cell r="Q63">
            <v>-4</v>
          </cell>
        </row>
        <row r="64">
          <cell r="Q64">
            <v>8</v>
          </cell>
        </row>
        <row r="65">
          <cell r="Q65">
            <v>2</v>
          </cell>
        </row>
        <row r="66">
          <cell r="Q66">
            <v>98</v>
          </cell>
        </row>
        <row r="67">
          <cell r="Q67">
            <v>2</v>
          </cell>
        </row>
        <row r="68">
          <cell r="Q68">
            <v>-2</v>
          </cell>
        </row>
        <row r="69">
          <cell r="Q69">
            <v>-1</v>
          </cell>
        </row>
        <row r="70">
          <cell r="Q70">
            <v>-14</v>
          </cell>
        </row>
        <row r="71">
          <cell r="Q71">
            <v>9</v>
          </cell>
        </row>
        <row r="72">
          <cell r="Q72">
            <v>-5</v>
          </cell>
        </row>
        <row r="73">
          <cell r="Q73">
            <v>-7</v>
          </cell>
        </row>
        <row r="74">
          <cell r="Q74">
            <v>-1</v>
          </cell>
        </row>
        <row r="75">
          <cell r="Q75">
            <v>0</v>
          </cell>
        </row>
        <row r="76">
          <cell r="Q76">
            <v>2</v>
          </cell>
        </row>
        <row r="77">
          <cell r="Q77">
            <v>-1</v>
          </cell>
        </row>
        <row r="78">
          <cell r="Q78">
            <v>0</v>
          </cell>
        </row>
        <row r="79">
          <cell r="Q79">
            <v>-2</v>
          </cell>
        </row>
        <row r="80">
          <cell r="Q80">
            <v>2</v>
          </cell>
        </row>
        <row r="81">
          <cell r="Q81">
            <v>0</v>
          </cell>
        </row>
        <row r="82">
          <cell r="Q82">
            <v>-1</v>
          </cell>
        </row>
        <row r="83">
          <cell r="Q83">
            <v>6</v>
          </cell>
        </row>
        <row r="84">
          <cell r="Q84">
            <v>-1</v>
          </cell>
        </row>
        <row r="85">
          <cell r="Q85">
            <v>-1</v>
          </cell>
        </row>
        <row r="86">
          <cell r="Q86">
            <v>0</v>
          </cell>
        </row>
        <row r="87">
          <cell r="Q87">
            <v>-2</v>
          </cell>
        </row>
        <row r="88">
          <cell r="Q88">
            <v>-3</v>
          </cell>
        </row>
        <row r="89">
          <cell r="Q89">
            <v>-2</v>
          </cell>
        </row>
        <row r="90">
          <cell r="Q90">
            <v>0</v>
          </cell>
        </row>
        <row r="91">
          <cell r="Q91">
            <v>0</v>
          </cell>
        </row>
        <row r="92">
          <cell r="Q92">
            <v>0</v>
          </cell>
        </row>
        <row r="93">
          <cell r="Q93">
            <v>-1</v>
          </cell>
        </row>
        <row r="94">
          <cell r="Q94">
            <v>1</v>
          </cell>
        </row>
        <row r="95">
          <cell r="Q95">
            <v>0</v>
          </cell>
        </row>
        <row r="96">
          <cell r="Q96">
            <v>2</v>
          </cell>
        </row>
        <row r="97">
          <cell r="Q97">
            <v>-1</v>
          </cell>
        </row>
        <row r="98">
          <cell r="Q98">
            <v>0</v>
          </cell>
        </row>
        <row r="99">
          <cell r="Q99">
            <v>-4</v>
          </cell>
        </row>
        <row r="100">
          <cell r="Q100">
            <v>0</v>
          </cell>
        </row>
        <row r="101">
          <cell r="Q101">
            <v>-3</v>
          </cell>
        </row>
        <row r="102">
          <cell r="Q102">
            <v>-8</v>
          </cell>
        </row>
        <row r="103">
          <cell r="Q103">
            <v>-1</v>
          </cell>
        </row>
        <row r="104">
          <cell r="Q104">
            <v>-10</v>
          </cell>
        </row>
        <row r="105">
          <cell r="Q105">
            <v>0</v>
          </cell>
        </row>
        <row r="106">
          <cell r="Q106">
            <v>0</v>
          </cell>
        </row>
        <row r="107">
          <cell r="Q107">
            <v>4</v>
          </cell>
        </row>
        <row r="108">
          <cell r="Q108">
            <v>-4</v>
          </cell>
        </row>
        <row r="109">
          <cell r="Q109">
            <v>5</v>
          </cell>
        </row>
        <row r="110">
          <cell r="Q110">
            <v>4</v>
          </cell>
        </row>
        <row r="111">
          <cell r="Q111">
            <v>0</v>
          </cell>
        </row>
        <row r="112">
          <cell r="Q112">
            <v>15</v>
          </cell>
        </row>
        <row r="113">
          <cell r="Q113">
            <v>-4</v>
          </cell>
        </row>
        <row r="114">
          <cell r="Q114">
            <v>2</v>
          </cell>
        </row>
        <row r="115">
          <cell r="Q115">
            <v>0</v>
          </cell>
        </row>
        <row r="116">
          <cell r="Q116">
            <v>0</v>
          </cell>
        </row>
        <row r="117">
          <cell r="Q117">
            <v>0</v>
          </cell>
        </row>
        <row r="118">
          <cell r="Q118">
            <v>7</v>
          </cell>
        </row>
        <row r="119">
          <cell r="Q119">
            <v>0</v>
          </cell>
        </row>
        <row r="120">
          <cell r="Q120">
            <v>3</v>
          </cell>
        </row>
        <row r="121">
          <cell r="Q121">
            <v>2</v>
          </cell>
        </row>
        <row r="122">
          <cell r="Q122">
            <v>-3</v>
          </cell>
        </row>
        <row r="123">
          <cell r="Q123">
            <v>2</v>
          </cell>
        </row>
        <row r="124">
          <cell r="Q124" t="e">
            <v>#N/A</v>
          </cell>
        </row>
        <row r="125">
          <cell r="Q125">
            <v>-1</v>
          </cell>
        </row>
        <row r="126">
          <cell r="Q126">
            <v>-21</v>
          </cell>
        </row>
        <row r="127">
          <cell r="Q127">
            <v>0</v>
          </cell>
        </row>
        <row r="128">
          <cell r="Q128">
            <v>-2</v>
          </cell>
        </row>
        <row r="129">
          <cell r="Q129">
            <v>2</v>
          </cell>
        </row>
        <row r="130">
          <cell r="Q130">
            <v>0</v>
          </cell>
        </row>
        <row r="131">
          <cell r="Q131">
            <v>-14</v>
          </cell>
        </row>
        <row r="132">
          <cell r="Q132">
            <v>-1</v>
          </cell>
        </row>
        <row r="133">
          <cell r="Q133">
            <v>-4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Q136">
            <v>1</v>
          </cell>
        </row>
        <row r="137">
          <cell r="Q137">
            <v>0</v>
          </cell>
        </row>
        <row r="138">
          <cell r="Q138">
            <v>-2</v>
          </cell>
        </row>
        <row r="139">
          <cell r="Q139">
            <v>16</v>
          </cell>
        </row>
        <row r="140">
          <cell r="Q140">
            <v>-3</v>
          </cell>
        </row>
        <row r="141">
          <cell r="Q141">
            <v>-16</v>
          </cell>
        </row>
        <row r="142">
          <cell r="Q142">
            <v>-3</v>
          </cell>
        </row>
        <row r="143">
          <cell r="Q143">
            <v>-1</v>
          </cell>
        </row>
        <row r="144">
          <cell r="Q144">
            <v>0</v>
          </cell>
        </row>
        <row r="145">
          <cell r="Q145">
            <v>10</v>
          </cell>
        </row>
        <row r="146">
          <cell r="Q146">
            <v>-1</v>
          </cell>
        </row>
        <row r="147">
          <cell r="Q147">
            <v>-1</v>
          </cell>
        </row>
        <row r="148">
          <cell r="Q148">
            <v>0</v>
          </cell>
        </row>
        <row r="149">
          <cell r="Q149">
            <v>2</v>
          </cell>
        </row>
        <row r="150">
          <cell r="Q150">
            <v>0</v>
          </cell>
        </row>
        <row r="151">
          <cell r="Q151">
            <v>-9</v>
          </cell>
        </row>
        <row r="152">
          <cell r="Q152">
            <v>-3</v>
          </cell>
        </row>
        <row r="153">
          <cell r="Q153">
            <v>-1</v>
          </cell>
        </row>
        <row r="154">
          <cell r="Q154">
            <v>-3</v>
          </cell>
        </row>
        <row r="155"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-2</v>
          </cell>
        </row>
        <row r="160">
          <cell r="Q160">
            <v>-9</v>
          </cell>
        </row>
        <row r="161">
          <cell r="Q161">
            <v>-2</v>
          </cell>
        </row>
        <row r="162">
          <cell r="Q162">
            <v>-1</v>
          </cell>
        </row>
        <row r="163">
          <cell r="Q163">
            <v>-5</v>
          </cell>
        </row>
        <row r="164">
          <cell r="Q164">
            <v>-2</v>
          </cell>
        </row>
        <row r="165">
          <cell r="Q165">
            <v>0</v>
          </cell>
        </row>
        <row r="166">
          <cell r="Q166">
            <v>-5</v>
          </cell>
        </row>
        <row r="167">
          <cell r="Q167">
            <v>-2</v>
          </cell>
        </row>
        <row r="168">
          <cell r="Q168">
            <v>0</v>
          </cell>
        </row>
        <row r="169">
          <cell r="Q169">
            <v>1</v>
          </cell>
        </row>
        <row r="170">
          <cell r="Q170">
            <v>0</v>
          </cell>
        </row>
        <row r="171">
          <cell r="Q171">
            <v>-2</v>
          </cell>
        </row>
        <row r="172">
          <cell r="Q172">
            <v>0</v>
          </cell>
        </row>
        <row r="173">
          <cell r="Q173">
            <v>0</v>
          </cell>
        </row>
        <row r="174">
          <cell r="Q174">
            <v>0</v>
          </cell>
        </row>
        <row r="175">
          <cell r="Q175">
            <v>0</v>
          </cell>
        </row>
        <row r="176">
          <cell r="Q176">
            <v>-2</v>
          </cell>
        </row>
        <row r="177">
          <cell r="Q177">
            <v>-9</v>
          </cell>
        </row>
        <row r="178">
          <cell r="Q178">
            <v>-1</v>
          </cell>
        </row>
        <row r="179">
          <cell r="Q179">
            <v>1</v>
          </cell>
        </row>
        <row r="180">
          <cell r="Q180">
            <v>0</v>
          </cell>
        </row>
        <row r="181">
          <cell r="Q181">
            <v>-1</v>
          </cell>
        </row>
        <row r="182">
          <cell r="Q182">
            <v>-1</v>
          </cell>
        </row>
        <row r="183">
          <cell r="Q183">
            <v>0</v>
          </cell>
        </row>
        <row r="184">
          <cell r="Q184">
            <v>-4</v>
          </cell>
        </row>
        <row r="185">
          <cell r="Q185">
            <v>1</v>
          </cell>
        </row>
        <row r="186">
          <cell r="Q186" t="e">
            <v>#N/A</v>
          </cell>
        </row>
        <row r="187">
          <cell r="Q187">
            <v>7</v>
          </cell>
        </row>
        <row r="188">
          <cell r="Q188">
            <v>0</v>
          </cell>
        </row>
        <row r="189">
          <cell r="Q189">
            <v>-3</v>
          </cell>
        </row>
        <row r="190">
          <cell r="Q190">
            <v>0</v>
          </cell>
        </row>
        <row r="191">
          <cell r="Q191">
            <v>-1</v>
          </cell>
        </row>
        <row r="192">
          <cell r="Q192">
            <v>-1</v>
          </cell>
        </row>
        <row r="193">
          <cell r="Q193">
            <v>-3</v>
          </cell>
        </row>
        <row r="194">
          <cell r="Q194">
            <v>0</v>
          </cell>
        </row>
        <row r="195">
          <cell r="Q195">
            <v>-2</v>
          </cell>
        </row>
        <row r="196">
          <cell r="Q196">
            <v>-4</v>
          </cell>
        </row>
        <row r="197">
          <cell r="Q197">
            <v>-4</v>
          </cell>
        </row>
        <row r="198">
          <cell r="Q198">
            <v>0</v>
          </cell>
        </row>
        <row r="199">
          <cell r="Q199">
            <v>-13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Q202">
            <v>-5</v>
          </cell>
        </row>
        <row r="203">
          <cell r="Q203">
            <v>-4</v>
          </cell>
        </row>
        <row r="204">
          <cell r="Q204">
            <v>-1</v>
          </cell>
        </row>
        <row r="205">
          <cell r="Q205">
            <v>-2</v>
          </cell>
        </row>
        <row r="206">
          <cell r="Q206">
            <v>-12</v>
          </cell>
        </row>
        <row r="207">
          <cell r="Q207">
            <v>-2</v>
          </cell>
        </row>
        <row r="208">
          <cell r="Q208">
            <v>2</v>
          </cell>
        </row>
        <row r="209">
          <cell r="Q209">
            <v>-3</v>
          </cell>
        </row>
        <row r="210">
          <cell r="Q210">
            <v>0</v>
          </cell>
        </row>
        <row r="211">
          <cell r="Q211">
            <v>0</v>
          </cell>
        </row>
        <row r="212">
          <cell r="Q212">
            <v>0</v>
          </cell>
        </row>
        <row r="213">
          <cell r="Q213">
            <v>0</v>
          </cell>
        </row>
        <row r="214">
          <cell r="Q214">
            <v>0</v>
          </cell>
        </row>
        <row r="215">
          <cell r="Q215">
            <v>0</v>
          </cell>
        </row>
        <row r="216">
          <cell r="Q216">
            <v>-1</v>
          </cell>
        </row>
        <row r="217">
          <cell r="Q217">
            <v>-1</v>
          </cell>
        </row>
        <row r="218">
          <cell r="Q218">
            <v>0</v>
          </cell>
        </row>
        <row r="219">
          <cell r="Q219">
            <v>-2</v>
          </cell>
        </row>
        <row r="220">
          <cell r="Q220">
            <v>0</v>
          </cell>
        </row>
        <row r="221">
          <cell r="Q221">
            <v>-5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Q224">
            <v>0</v>
          </cell>
        </row>
        <row r="225">
          <cell r="Q225">
            <v>0</v>
          </cell>
        </row>
        <row r="226">
          <cell r="Q226">
            <v>13</v>
          </cell>
        </row>
        <row r="227">
          <cell r="Q227">
            <v>0</v>
          </cell>
        </row>
        <row r="228">
          <cell r="Q228">
            <v>0</v>
          </cell>
        </row>
        <row r="229">
          <cell r="Q229">
            <v>1</v>
          </cell>
        </row>
        <row r="230">
          <cell r="Q230">
            <v>-2</v>
          </cell>
        </row>
        <row r="231">
          <cell r="Q231">
            <v>1</v>
          </cell>
        </row>
        <row r="232">
          <cell r="Q232">
            <v>2</v>
          </cell>
        </row>
        <row r="233">
          <cell r="Q233">
            <v>3</v>
          </cell>
        </row>
        <row r="234">
          <cell r="Q234">
            <v>1</v>
          </cell>
        </row>
        <row r="235">
          <cell r="Q235">
            <v>-1</v>
          </cell>
        </row>
        <row r="236">
          <cell r="Q236">
            <v>-25</v>
          </cell>
        </row>
        <row r="237">
          <cell r="Q237">
            <v>2</v>
          </cell>
        </row>
        <row r="238">
          <cell r="Q238">
            <v>3</v>
          </cell>
        </row>
        <row r="239">
          <cell r="Q239">
            <v>-11</v>
          </cell>
        </row>
        <row r="240">
          <cell r="Q240">
            <v>-1</v>
          </cell>
        </row>
        <row r="241">
          <cell r="Q241">
            <v>-3</v>
          </cell>
        </row>
        <row r="242">
          <cell r="Q242">
            <v>-4</v>
          </cell>
        </row>
        <row r="243">
          <cell r="Q243">
            <v>8</v>
          </cell>
        </row>
        <row r="244">
          <cell r="Q244">
            <v>-9</v>
          </cell>
        </row>
        <row r="245">
          <cell r="Q245">
            <v>0</v>
          </cell>
        </row>
        <row r="246">
          <cell r="Q246">
            <v>0</v>
          </cell>
        </row>
        <row r="247">
          <cell r="Q247">
            <v>-2</v>
          </cell>
        </row>
        <row r="248">
          <cell r="Q248">
            <v>-6</v>
          </cell>
        </row>
        <row r="249">
          <cell r="Q249">
            <v>0</v>
          </cell>
        </row>
        <row r="250">
          <cell r="Q250">
            <v>0</v>
          </cell>
        </row>
        <row r="251">
          <cell r="Q251">
            <v>8</v>
          </cell>
        </row>
        <row r="252">
          <cell r="Q252">
            <v>0</v>
          </cell>
        </row>
        <row r="253">
          <cell r="Q253">
            <v>0</v>
          </cell>
        </row>
        <row r="254">
          <cell r="Q254">
            <v>0</v>
          </cell>
        </row>
        <row r="255">
          <cell r="Q255">
            <v>0</v>
          </cell>
        </row>
        <row r="256">
          <cell r="Q256">
            <v>0</v>
          </cell>
        </row>
        <row r="257">
          <cell r="Q257">
            <v>-3</v>
          </cell>
        </row>
        <row r="258">
          <cell r="Q258">
            <v>-1</v>
          </cell>
        </row>
        <row r="259">
          <cell r="Q259">
            <v>-2</v>
          </cell>
        </row>
        <row r="260">
          <cell r="Q260">
            <v>0</v>
          </cell>
        </row>
        <row r="261">
          <cell r="Q261">
            <v>6</v>
          </cell>
        </row>
        <row r="262">
          <cell r="Q262">
            <v>-1</v>
          </cell>
        </row>
        <row r="263">
          <cell r="Q263">
            <v>0</v>
          </cell>
        </row>
        <row r="264">
          <cell r="Q264">
            <v>-1</v>
          </cell>
        </row>
        <row r="265">
          <cell r="Q265">
            <v>0</v>
          </cell>
        </row>
        <row r="266">
          <cell r="Q266">
            <v>0</v>
          </cell>
        </row>
        <row r="267">
          <cell r="Q267">
            <v>24</v>
          </cell>
        </row>
        <row r="268">
          <cell r="Q268">
            <v>-3</v>
          </cell>
        </row>
        <row r="269">
          <cell r="Q269">
            <v>-1</v>
          </cell>
        </row>
        <row r="270">
          <cell r="Q270">
            <v>-1</v>
          </cell>
        </row>
        <row r="271">
          <cell r="Q271">
            <v>0</v>
          </cell>
        </row>
        <row r="272">
          <cell r="Q272">
            <v>54</v>
          </cell>
        </row>
        <row r="273">
          <cell r="Q273">
            <v>0</v>
          </cell>
        </row>
        <row r="274">
          <cell r="Q274">
            <v>-8</v>
          </cell>
        </row>
        <row r="275">
          <cell r="Q275">
            <v>11</v>
          </cell>
        </row>
        <row r="276">
          <cell r="Q276">
            <v>-4</v>
          </cell>
        </row>
        <row r="277">
          <cell r="Q277">
            <v>7</v>
          </cell>
        </row>
        <row r="278">
          <cell r="Q278">
            <v>1</v>
          </cell>
        </row>
        <row r="279">
          <cell r="Q279">
            <v>0</v>
          </cell>
        </row>
        <row r="280">
          <cell r="Q280">
            <v>-5</v>
          </cell>
        </row>
        <row r="281">
          <cell r="Q281">
            <v>-1</v>
          </cell>
        </row>
        <row r="282">
          <cell r="Q282">
            <v>-1</v>
          </cell>
        </row>
        <row r="283">
          <cell r="Q283">
            <v>-12</v>
          </cell>
        </row>
        <row r="284">
          <cell r="Q284">
            <v>1</v>
          </cell>
        </row>
        <row r="285">
          <cell r="Q285">
            <v>0</v>
          </cell>
        </row>
        <row r="286">
          <cell r="Q286">
            <v>-12</v>
          </cell>
        </row>
        <row r="287">
          <cell r="Q287">
            <v>-6</v>
          </cell>
        </row>
        <row r="288">
          <cell r="Q288">
            <v>-2</v>
          </cell>
        </row>
        <row r="289">
          <cell r="Q289">
            <v>0</v>
          </cell>
        </row>
        <row r="290">
          <cell r="Q290">
            <v>0</v>
          </cell>
        </row>
        <row r="291">
          <cell r="Q291">
            <v>2</v>
          </cell>
        </row>
        <row r="292">
          <cell r="Q292">
            <v>-3</v>
          </cell>
        </row>
        <row r="293">
          <cell r="Q293">
            <v>-10</v>
          </cell>
        </row>
        <row r="294">
          <cell r="Q294">
            <v>36</v>
          </cell>
        </row>
        <row r="295">
          <cell r="Q295">
            <v>-2</v>
          </cell>
        </row>
        <row r="296">
          <cell r="Q296">
            <v>4</v>
          </cell>
        </row>
        <row r="297">
          <cell r="Q297">
            <v>-2</v>
          </cell>
        </row>
        <row r="298">
          <cell r="Q298">
            <v>-1</v>
          </cell>
        </row>
        <row r="299">
          <cell r="Q299">
            <v>-3</v>
          </cell>
        </row>
        <row r="300">
          <cell r="Q300">
            <v>-29</v>
          </cell>
        </row>
        <row r="301">
          <cell r="Q301">
            <v>0</v>
          </cell>
        </row>
        <row r="302">
          <cell r="Q302">
            <v>0</v>
          </cell>
        </row>
        <row r="303">
          <cell r="Q303">
            <v>5</v>
          </cell>
        </row>
        <row r="304">
          <cell r="Q304">
            <v>0</v>
          </cell>
        </row>
        <row r="305">
          <cell r="Q305">
            <v>0</v>
          </cell>
        </row>
        <row r="306">
          <cell r="Q306">
            <v>0</v>
          </cell>
        </row>
        <row r="307">
          <cell r="Q307">
            <v>-6</v>
          </cell>
        </row>
        <row r="308">
          <cell r="Q308">
            <v>0</v>
          </cell>
        </row>
        <row r="309">
          <cell r="Q309">
            <v>-15</v>
          </cell>
        </row>
        <row r="310">
          <cell r="Q310">
            <v>-3</v>
          </cell>
        </row>
        <row r="311">
          <cell r="Q311">
            <v>1</v>
          </cell>
        </row>
        <row r="312">
          <cell r="Q312">
            <v>-3</v>
          </cell>
        </row>
        <row r="313">
          <cell r="Q313">
            <v>5</v>
          </cell>
        </row>
        <row r="314">
          <cell r="Q314">
            <v>0</v>
          </cell>
        </row>
        <row r="315">
          <cell r="Q315">
            <v>0</v>
          </cell>
        </row>
        <row r="316">
          <cell r="Q316">
            <v>0</v>
          </cell>
        </row>
        <row r="317">
          <cell r="Q317">
            <v>1</v>
          </cell>
        </row>
        <row r="318">
          <cell r="Q318">
            <v>10</v>
          </cell>
        </row>
        <row r="319">
          <cell r="Q319">
            <v>-3</v>
          </cell>
        </row>
        <row r="320">
          <cell r="Q320">
            <v>-2</v>
          </cell>
        </row>
        <row r="321">
          <cell r="Q321">
            <v>-3</v>
          </cell>
        </row>
        <row r="322">
          <cell r="Q322">
            <v>1</v>
          </cell>
        </row>
        <row r="323">
          <cell r="Q323">
            <v>-2</v>
          </cell>
        </row>
        <row r="324">
          <cell r="Q324">
            <v>1</v>
          </cell>
        </row>
        <row r="325">
          <cell r="Q325">
            <v>0</v>
          </cell>
        </row>
        <row r="326">
          <cell r="Q326">
            <v>-1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Q329">
            <v>0</v>
          </cell>
        </row>
        <row r="330">
          <cell r="Q330">
            <v>0</v>
          </cell>
        </row>
        <row r="331">
          <cell r="Q331">
            <v>-1</v>
          </cell>
        </row>
        <row r="332">
          <cell r="Q332">
            <v>3</v>
          </cell>
        </row>
        <row r="333">
          <cell r="Q333">
            <v>-1</v>
          </cell>
        </row>
        <row r="334">
          <cell r="Q334">
            <v>0</v>
          </cell>
        </row>
        <row r="335">
          <cell r="Q335">
            <v>4</v>
          </cell>
        </row>
        <row r="336">
          <cell r="Q336">
            <v>1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Q339">
            <v>0</v>
          </cell>
        </row>
        <row r="340">
          <cell r="Q340">
            <v>-2</v>
          </cell>
        </row>
        <row r="341">
          <cell r="Q341">
            <v>-10</v>
          </cell>
        </row>
        <row r="342">
          <cell r="Q342">
            <v>0</v>
          </cell>
        </row>
        <row r="343">
          <cell r="Q343">
            <v>0</v>
          </cell>
        </row>
        <row r="344">
          <cell r="Q344">
            <v>0</v>
          </cell>
        </row>
        <row r="345">
          <cell r="Q345">
            <v>-4</v>
          </cell>
        </row>
        <row r="346">
          <cell r="Q346">
            <v>-1</v>
          </cell>
        </row>
        <row r="347">
          <cell r="Q347">
            <v>2</v>
          </cell>
        </row>
        <row r="348">
          <cell r="Q348">
            <v>2</v>
          </cell>
        </row>
        <row r="349">
          <cell r="Q349">
            <v>0</v>
          </cell>
        </row>
        <row r="350">
          <cell r="Q350">
            <v>-2</v>
          </cell>
        </row>
        <row r="351">
          <cell r="Q351">
            <v>-46</v>
          </cell>
        </row>
        <row r="352">
          <cell r="Q352">
            <v>-1</v>
          </cell>
        </row>
        <row r="353">
          <cell r="Q353">
            <v>0</v>
          </cell>
        </row>
        <row r="354">
          <cell r="Q354">
            <v>-2</v>
          </cell>
        </row>
        <row r="355">
          <cell r="Q355">
            <v>0</v>
          </cell>
        </row>
        <row r="356">
          <cell r="Q356">
            <v>2</v>
          </cell>
        </row>
        <row r="357">
          <cell r="Q357">
            <v>0</v>
          </cell>
        </row>
        <row r="358">
          <cell r="Q358">
            <v>0</v>
          </cell>
        </row>
        <row r="359">
          <cell r="Q359">
            <v>0</v>
          </cell>
        </row>
        <row r="360"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Q363">
            <v>-24</v>
          </cell>
        </row>
        <row r="364">
          <cell r="Q364">
            <v>-7</v>
          </cell>
        </row>
        <row r="365">
          <cell r="Q365">
            <v>0</v>
          </cell>
        </row>
        <row r="366">
          <cell r="Q366">
            <v>0</v>
          </cell>
        </row>
        <row r="367">
          <cell r="Q367">
            <v>0</v>
          </cell>
        </row>
        <row r="368">
          <cell r="Q368">
            <v>3</v>
          </cell>
        </row>
        <row r="369">
          <cell r="Q369">
            <v>12</v>
          </cell>
        </row>
        <row r="370">
          <cell r="Q370">
            <v>0</v>
          </cell>
        </row>
        <row r="371">
          <cell r="Q371">
            <v>1</v>
          </cell>
        </row>
        <row r="372">
          <cell r="Q372">
            <v>0</v>
          </cell>
        </row>
        <row r="373">
          <cell r="Q373">
            <v>-1</v>
          </cell>
        </row>
        <row r="374">
          <cell r="Q374">
            <v>9</v>
          </cell>
        </row>
        <row r="375">
          <cell r="Q375">
            <v>0</v>
          </cell>
        </row>
        <row r="376">
          <cell r="Q376">
            <v>-1</v>
          </cell>
        </row>
        <row r="377">
          <cell r="Q377">
            <v>0</v>
          </cell>
        </row>
        <row r="378">
          <cell r="Q378">
            <v>-3</v>
          </cell>
        </row>
        <row r="379">
          <cell r="Q379">
            <v>-6</v>
          </cell>
        </row>
        <row r="380">
          <cell r="Q380">
            <v>-4</v>
          </cell>
        </row>
        <row r="381">
          <cell r="Q381">
            <v>-2</v>
          </cell>
        </row>
        <row r="382">
          <cell r="Q382">
            <v>-2</v>
          </cell>
        </row>
        <row r="383">
          <cell r="Q383">
            <v>0</v>
          </cell>
        </row>
        <row r="384">
          <cell r="Q384">
            <v>-7</v>
          </cell>
        </row>
        <row r="385">
          <cell r="Q385">
            <v>-3</v>
          </cell>
        </row>
        <row r="386">
          <cell r="Q386">
            <v>0</v>
          </cell>
        </row>
        <row r="387">
          <cell r="Q387">
            <v>-1</v>
          </cell>
        </row>
        <row r="388">
          <cell r="Q388">
            <v>-3</v>
          </cell>
        </row>
        <row r="389">
          <cell r="Q389">
            <v>0</v>
          </cell>
        </row>
        <row r="390">
          <cell r="Q390">
            <v>-1</v>
          </cell>
        </row>
        <row r="391">
          <cell r="Q391">
            <v>0</v>
          </cell>
        </row>
        <row r="392">
          <cell r="Q392">
            <v>0</v>
          </cell>
        </row>
        <row r="393">
          <cell r="Q393">
            <v>0</v>
          </cell>
        </row>
        <row r="394">
          <cell r="Q394">
            <v>0</v>
          </cell>
        </row>
        <row r="395">
          <cell r="Q395">
            <v>-1</v>
          </cell>
        </row>
        <row r="396">
          <cell r="Q396">
            <v>0</v>
          </cell>
        </row>
        <row r="397">
          <cell r="Q397">
            <v>2</v>
          </cell>
        </row>
        <row r="398">
          <cell r="Q398">
            <v>-5</v>
          </cell>
        </row>
        <row r="399">
          <cell r="Q399">
            <v>-3</v>
          </cell>
        </row>
        <row r="400">
          <cell r="Q400">
            <v>3</v>
          </cell>
        </row>
        <row r="401">
          <cell r="Q401">
            <v>0</v>
          </cell>
        </row>
        <row r="402">
          <cell r="Q402">
            <v>-1</v>
          </cell>
        </row>
        <row r="403">
          <cell r="Q403">
            <v>1</v>
          </cell>
        </row>
        <row r="404">
          <cell r="Q404">
            <v>5</v>
          </cell>
        </row>
        <row r="405">
          <cell r="Q405">
            <v>1</v>
          </cell>
        </row>
        <row r="406">
          <cell r="Q406">
            <v>0</v>
          </cell>
        </row>
        <row r="407"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Q410">
            <v>-1</v>
          </cell>
        </row>
        <row r="411">
          <cell r="Q411">
            <v>-7</v>
          </cell>
        </row>
        <row r="412">
          <cell r="Q412">
            <v>0</v>
          </cell>
        </row>
        <row r="413">
          <cell r="Q413">
            <v>0</v>
          </cell>
        </row>
        <row r="414">
          <cell r="Q414">
            <v>-2</v>
          </cell>
        </row>
        <row r="415">
          <cell r="Q415">
            <v>-1</v>
          </cell>
        </row>
        <row r="416">
          <cell r="Q416">
            <v>0</v>
          </cell>
        </row>
        <row r="417">
          <cell r="Q417">
            <v>1</v>
          </cell>
        </row>
        <row r="418">
          <cell r="Q418">
            <v>-2</v>
          </cell>
        </row>
        <row r="419">
          <cell r="Q419">
            <v>2</v>
          </cell>
        </row>
        <row r="420">
          <cell r="Q420">
            <v>-13</v>
          </cell>
        </row>
        <row r="421">
          <cell r="Q421">
            <v>0</v>
          </cell>
        </row>
        <row r="422">
          <cell r="Q422">
            <v>1</v>
          </cell>
        </row>
        <row r="423">
          <cell r="Q423">
            <v>-7</v>
          </cell>
        </row>
        <row r="424">
          <cell r="Q424">
            <v>0</v>
          </cell>
        </row>
        <row r="425">
          <cell r="Q425">
            <v>1</v>
          </cell>
        </row>
        <row r="426">
          <cell r="Q426">
            <v>-1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1</v>
          </cell>
        </row>
        <row r="435">
          <cell r="Q435" t="e">
            <v>#N/A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0</v>
          </cell>
          <cell r="T7">
            <v>0</v>
          </cell>
        </row>
        <row r="8">
          <cell r="Q8">
            <v>-4</v>
          </cell>
          <cell r="T8" t="str">
            <v>вода</v>
          </cell>
        </row>
        <row r="9">
          <cell r="Q9">
            <v>0</v>
          </cell>
          <cell r="T9">
            <v>0</v>
          </cell>
        </row>
        <row r="10">
          <cell r="Q10">
            <v>0</v>
          </cell>
          <cell r="T10">
            <v>0</v>
          </cell>
        </row>
        <row r="11">
          <cell r="Q11">
            <v>0</v>
          </cell>
          <cell r="T11" t="str">
            <v>уточ.режима</v>
          </cell>
        </row>
        <row r="12">
          <cell r="Q12">
            <v>-1</v>
          </cell>
          <cell r="T12" t="str">
            <v>уточ.режима</v>
          </cell>
        </row>
        <row r="13">
          <cell r="Q13">
            <v>1</v>
          </cell>
          <cell r="T13">
            <v>0</v>
          </cell>
        </row>
        <row r="14">
          <cell r="Q14">
            <v>-1</v>
          </cell>
          <cell r="T14">
            <v>0</v>
          </cell>
        </row>
        <row r="15">
          <cell r="Q15">
            <v>1</v>
          </cell>
          <cell r="T15">
            <v>0</v>
          </cell>
        </row>
        <row r="16">
          <cell r="Q16">
            <v>0</v>
          </cell>
          <cell r="T16">
            <v>0</v>
          </cell>
        </row>
        <row r="17">
          <cell r="Q17">
            <v>0</v>
          </cell>
          <cell r="T17">
            <v>0</v>
          </cell>
        </row>
        <row r="18">
          <cell r="Q18">
            <v>3</v>
          </cell>
          <cell r="T18">
            <v>0</v>
          </cell>
        </row>
        <row r="19">
          <cell r="Q19">
            <v>-4</v>
          </cell>
          <cell r="T19">
            <v>0</v>
          </cell>
        </row>
        <row r="20">
          <cell r="Q20">
            <v>-2</v>
          </cell>
          <cell r="T20">
            <v>0</v>
          </cell>
        </row>
        <row r="21">
          <cell r="Q21">
            <v>2</v>
          </cell>
          <cell r="T21">
            <v>0</v>
          </cell>
        </row>
        <row r="22">
          <cell r="Q22">
            <v>0</v>
          </cell>
          <cell r="T22">
            <v>0</v>
          </cell>
        </row>
        <row r="23">
          <cell r="Q23">
            <v>-6</v>
          </cell>
          <cell r="T23">
            <v>0</v>
          </cell>
        </row>
        <row r="24">
          <cell r="Q24">
            <v>-74</v>
          </cell>
          <cell r="T24">
            <v>0</v>
          </cell>
        </row>
        <row r="25">
          <cell r="Q25">
            <v>35</v>
          </cell>
          <cell r="T25" t="str">
            <v>прс</v>
          </cell>
        </row>
        <row r="26">
          <cell r="Q26">
            <v>-6</v>
          </cell>
          <cell r="T26" t="str">
            <v>уточ.режима</v>
          </cell>
        </row>
        <row r="27">
          <cell r="Q27">
            <v>-5</v>
          </cell>
          <cell r="T27" t="str">
            <v>ипп</v>
          </cell>
        </row>
        <row r="28">
          <cell r="Q28">
            <v>-4</v>
          </cell>
          <cell r="T28">
            <v>0</v>
          </cell>
        </row>
        <row r="29">
          <cell r="Q29">
            <v>1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-7</v>
          </cell>
          <cell r="T32">
            <v>0</v>
          </cell>
        </row>
        <row r="33">
          <cell r="Q33">
            <v>-1</v>
          </cell>
          <cell r="T33">
            <v>0</v>
          </cell>
        </row>
        <row r="34">
          <cell r="Q34">
            <v>-3</v>
          </cell>
          <cell r="T34">
            <v>0</v>
          </cell>
        </row>
        <row r="35">
          <cell r="Q35">
            <v>0</v>
          </cell>
          <cell r="T35">
            <v>0</v>
          </cell>
        </row>
        <row r="36">
          <cell r="Q36">
            <v>0</v>
          </cell>
          <cell r="T36">
            <v>0</v>
          </cell>
        </row>
        <row r="37">
          <cell r="Q37">
            <v>-1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 t="str">
            <v>уточ.режима</v>
          </cell>
        </row>
        <row r="40">
          <cell r="Q40">
            <v>1</v>
          </cell>
          <cell r="T40">
            <v>0</v>
          </cell>
        </row>
        <row r="41">
          <cell r="Q41">
            <v>0</v>
          </cell>
          <cell r="T41">
            <v>0</v>
          </cell>
        </row>
        <row r="42">
          <cell r="Q42">
            <v>0</v>
          </cell>
          <cell r="T42" t="str">
            <v>уточ.режима</v>
          </cell>
        </row>
        <row r="43">
          <cell r="Q43">
            <v>1</v>
          </cell>
          <cell r="T43">
            <v>0</v>
          </cell>
        </row>
        <row r="44">
          <cell r="Q44">
            <v>-5</v>
          </cell>
          <cell r="T44" t="str">
            <v>вода грп</v>
          </cell>
        </row>
        <row r="45">
          <cell r="Q45">
            <v>-2</v>
          </cell>
          <cell r="T45">
            <v>0</v>
          </cell>
        </row>
        <row r="46">
          <cell r="Q46">
            <v>-2</v>
          </cell>
          <cell r="T46">
            <v>0</v>
          </cell>
        </row>
        <row r="47">
          <cell r="Q47">
            <v>-1</v>
          </cell>
          <cell r="T47">
            <v>0</v>
          </cell>
        </row>
        <row r="48">
          <cell r="Q48">
            <v>2</v>
          </cell>
          <cell r="T48">
            <v>0</v>
          </cell>
        </row>
        <row r="49">
          <cell r="Q49">
            <v>0</v>
          </cell>
          <cell r="T49">
            <v>0</v>
          </cell>
        </row>
        <row r="50">
          <cell r="Q50">
            <v>0</v>
          </cell>
          <cell r="T50" t="str">
            <v>вода</v>
          </cell>
        </row>
        <row r="51">
          <cell r="Q51">
            <v>1</v>
          </cell>
          <cell r="T51">
            <v>0</v>
          </cell>
        </row>
        <row r="52">
          <cell r="Q52">
            <v>1</v>
          </cell>
          <cell r="T52">
            <v>0</v>
          </cell>
        </row>
        <row r="53">
          <cell r="Q53">
            <v>-1</v>
          </cell>
          <cell r="T53">
            <v>0</v>
          </cell>
        </row>
        <row r="54">
          <cell r="Q54">
            <v>-3</v>
          </cell>
          <cell r="T54">
            <v>0</v>
          </cell>
        </row>
        <row r="55">
          <cell r="Q55">
            <v>0</v>
          </cell>
          <cell r="T55">
            <v>0</v>
          </cell>
        </row>
        <row r="56">
          <cell r="Q56">
            <v>8</v>
          </cell>
          <cell r="T56" t="str">
            <v>прс</v>
          </cell>
        </row>
        <row r="57">
          <cell r="Q57">
            <v>-1</v>
          </cell>
          <cell r="T57">
            <v>0</v>
          </cell>
        </row>
        <row r="58">
          <cell r="Q58">
            <v>3</v>
          </cell>
          <cell r="T58">
            <v>0</v>
          </cell>
        </row>
        <row r="59">
          <cell r="Q59">
            <v>-4</v>
          </cell>
          <cell r="T59">
            <v>0</v>
          </cell>
        </row>
        <row r="60">
          <cell r="Q60">
            <v>-2</v>
          </cell>
          <cell r="T60" t="str">
            <v>уточ.режима</v>
          </cell>
        </row>
        <row r="61">
          <cell r="Q61">
            <v>-13</v>
          </cell>
          <cell r="T61" t="str">
            <v>уточ.режима</v>
          </cell>
        </row>
        <row r="62">
          <cell r="Q62">
            <v>-3</v>
          </cell>
          <cell r="T62" t="str">
            <v>уточ.режима</v>
          </cell>
        </row>
        <row r="63">
          <cell r="Q63">
            <v>-6</v>
          </cell>
          <cell r="T63">
            <v>0</v>
          </cell>
        </row>
        <row r="64">
          <cell r="Q64">
            <v>0</v>
          </cell>
          <cell r="T64" t="str">
            <v>уточ.режима</v>
          </cell>
        </row>
        <row r="65">
          <cell r="Q65">
            <v>0</v>
          </cell>
          <cell r="T65" t="str">
            <v>уточ.режима</v>
          </cell>
        </row>
        <row r="66">
          <cell r="Q66">
            <v>-1</v>
          </cell>
          <cell r="T66">
            <v>0</v>
          </cell>
        </row>
        <row r="67">
          <cell r="Q67">
            <v>0</v>
          </cell>
          <cell r="T67">
            <v>0</v>
          </cell>
        </row>
        <row r="68">
          <cell r="Q68">
            <v>-2</v>
          </cell>
          <cell r="T68" t="str">
            <v>уточ.режима</v>
          </cell>
        </row>
        <row r="69">
          <cell r="Q69">
            <v>0</v>
          </cell>
          <cell r="T69">
            <v>0</v>
          </cell>
        </row>
        <row r="70">
          <cell r="Q70">
            <v>3</v>
          </cell>
          <cell r="T70">
            <v>0</v>
          </cell>
        </row>
        <row r="71">
          <cell r="Q71">
            <v>1</v>
          </cell>
          <cell r="T71">
            <v>0</v>
          </cell>
        </row>
        <row r="72">
          <cell r="Q72">
            <v>-27</v>
          </cell>
          <cell r="T72" t="str">
            <v>ипп</v>
          </cell>
        </row>
        <row r="73">
          <cell r="Q73">
            <v>0</v>
          </cell>
          <cell r="T73">
            <v>0</v>
          </cell>
        </row>
        <row r="74">
          <cell r="Q74">
            <v>-1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-4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-2</v>
          </cell>
          <cell r="T78">
            <v>0</v>
          </cell>
        </row>
        <row r="79">
          <cell r="Q79">
            <v>-2</v>
          </cell>
          <cell r="T79">
            <v>0</v>
          </cell>
        </row>
        <row r="80">
          <cell r="Q80">
            <v>-2</v>
          </cell>
          <cell r="T80">
            <v>0</v>
          </cell>
        </row>
        <row r="81">
          <cell r="Q81">
            <v>-1</v>
          </cell>
          <cell r="T81">
            <v>0</v>
          </cell>
        </row>
        <row r="82">
          <cell r="Q82">
            <v>0</v>
          </cell>
          <cell r="T82">
            <v>0</v>
          </cell>
        </row>
        <row r="83">
          <cell r="Q83">
            <v>-6</v>
          </cell>
          <cell r="T83">
            <v>0</v>
          </cell>
        </row>
        <row r="84">
          <cell r="Q84">
            <v>16</v>
          </cell>
          <cell r="T84">
            <v>0</v>
          </cell>
        </row>
        <row r="85">
          <cell r="Q85">
            <v>2</v>
          </cell>
          <cell r="T85" t="str">
            <v>уточ.режима</v>
          </cell>
        </row>
        <row r="86">
          <cell r="Q86">
            <v>-3</v>
          </cell>
          <cell r="T86" t="str">
            <v>вода</v>
          </cell>
        </row>
        <row r="87">
          <cell r="Q87">
            <v>1</v>
          </cell>
          <cell r="T87">
            <v>0</v>
          </cell>
        </row>
        <row r="88">
          <cell r="Q88">
            <v>0</v>
          </cell>
          <cell r="T88">
            <v>0</v>
          </cell>
        </row>
        <row r="89">
          <cell r="Q89">
            <v>6</v>
          </cell>
          <cell r="T89">
            <v>0</v>
          </cell>
        </row>
        <row r="90">
          <cell r="Q90">
            <v>-2</v>
          </cell>
          <cell r="T90">
            <v>0</v>
          </cell>
        </row>
        <row r="91">
          <cell r="Q91">
            <v>2</v>
          </cell>
          <cell r="T91">
            <v>0</v>
          </cell>
        </row>
        <row r="92">
          <cell r="Q92">
            <v>11</v>
          </cell>
          <cell r="T92" t="str">
            <v>прс</v>
          </cell>
        </row>
        <row r="93">
          <cell r="Q93">
            <v>21</v>
          </cell>
          <cell r="T93" t="str">
            <v>прс</v>
          </cell>
        </row>
        <row r="94">
          <cell r="Q94">
            <v>-1</v>
          </cell>
          <cell r="T94">
            <v>0</v>
          </cell>
        </row>
        <row r="95">
          <cell r="Q95">
            <v>0</v>
          </cell>
          <cell r="T95">
            <v>0</v>
          </cell>
        </row>
        <row r="96">
          <cell r="Q96">
            <v>-1</v>
          </cell>
          <cell r="T96">
            <v>0</v>
          </cell>
        </row>
        <row r="97">
          <cell r="Q97">
            <v>-12</v>
          </cell>
          <cell r="T97" t="str">
            <v>по</v>
          </cell>
        </row>
        <row r="98">
          <cell r="Q98">
            <v>0</v>
          </cell>
          <cell r="T98">
            <v>0</v>
          </cell>
        </row>
        <row r="99">
          <cell r="Q99">
            <v>-2</v>
          </cell>
          <cell r="T99">
            <v>0</v>
          </cell>
        </row>
        <row r="100">
          <cell r="Q100">
            <v>9</v>
          </cell>
          <cell r="T100" t="str">
            <v>прс</v>
          </cell>
        </row>
        <row r="101">
          <cell r="Q101">
            <v>2</v>
          </cell>
          <cell r="T101">
            <v>0</v>
          </cell>
        </row>
        <row r="102">
          <cell r="Q102">
            <v>1</v>
          </cell>
          <cell r="T102">
            <v>0</v>
          </cell>
        </row>
        <row r="103">
          <cell r="Q103" t="e">
            <v>#N/A</v>
          </cell>
          <cell r="T103" t="e">
            <v>#N/A</v>
          </cell>
        </row>
        <row r="104">
          <cell r="Q104">
            <v>0</v>
          </cell>
          <cell r="T104" t="str">
            <v>вода</v>
          </cell>
        </row>
        <row r="105">
          <cell r="Q105">
            <v>-1</v>
          </cell>
          <cell r="T105" t="str">
            <v>уточ.режима</v>
          </cell>
        </row>
        <row r="106">
          <cell r="Q106">
            <v>-1</v>
          </cell>
          <cell r="T106">
            <v>0</v>
          </cell>
        </row>
        <row r="107">
          <cell r="Q107">
            <v>-1</v>
          </cell>
          <cell r="T107">
            <v>0</v>
          </cell>
        </row>
        <row r="108">
          <cell r="Q108">
            <v>2</v>
          </cell>
          <cell r="T108">
            <v>0</v>
          </cell>
        </row>
        <row r="109">
          <cell r="Q109">
            <v>1</v>
          </cell>
          <cell r="T109">
            <v>0</v>
          </cell>
        </row>
        <row r="110">
          <cell r="Q110">
            <v>9</v>
          </cell>
          <cell r="T110">
            <v>0</v>
          </cell>
        </row>
        <row r="111">
          <cell r="Q111">
            <v>-6</v>
          </cell>
          <cell r="T111">
            <v>0</v>
          </cell>
        </row>
        <row r="112">
          <cell r="Q112">
            <v>3</v>
          </cell>
          <cell r="T112">
            <v>0</v>
          </cell>
        </row>
        <row r="113">
          <cell r="Q113">
            <v>0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-2</v>
          </cell>
          <cell r="T115">
            <v>0</v>
          </cell>
        </row>
        <row r="116">
          <cell r="Q116">
            <v>-2</v>
          </cell>
          <cell r="T116">
            <v>0</v>
          </cell>
        </row>
        <row r="117">
          <cell r="Q117">
            <v>-3</v>
          </cell>
          <cell r="T117">
            <v>0</v>
          </cell>
        </row>
        <row r="118">
          <cell r="Q118">
            <v>1</v>
          </cell>
          <cell r="T118">
            <v>0</v>
          </cell>
        </row>
        <row r="119">
          <cell r="Q119">
            <v>11</v>
          </cell>
          <cell r="T119">
            <v>0</v>
          </cell>
        </row>
        <row r="120">
          <cell r="Q120">
            <v>-18</v>
          </cell>
          <cell r="T120">
            <v>0</v>
          </cell>
        </row>
        <row r="121">
          <cell r="Q121">
            <v>0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-3</v>
          </cell>
          <cell r="T123">
            <v>0</v>
          </cell>
        </row>
        <row r="124">
          <cell r="Q124">
            <v>-3</v>
          </cell>
          <cell r="T124">
            <v>0</v>
          </cell>
        </row>
        <row r="125">
          <cell r="Q125">
            <v>0</v>
          </cell>
          <cell r="T125">
            <v>0</v>
          </cell>
        </row>
        <row r="126">
          <cell r="Q126">
            <v>-4</v>
          </cell>
          <cell r="T126">
            <v>0</v>
          </cell>
        </row>
        <row r="127">
          <cell r="Q127">
            <v>-1</v>
          </cell>
          <cell r="T127">
            <v>0</v>
          </cell>
        </row>
        <row r="128">
          <cell r="Q128">
            <v>1</v>
          </cell>
          <cell r="T128">
            <v>0</v>
          </cell>
        </row>
        <row r="129">
          <cell r="Q129">
            <v>-1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1</v>
          </cell>
          <cell r="T132">
            <v>0</v>
          </cell>
        </row>
        <row r="133">
          <cell r="Q133">
            <v>1</v>
          </cell>
          <cell r="T133">
            <v>0</v>
          </cell>
        </row>
        <row r="134">
          <cell r="Q134">
            <v>11</v>
          </cell>
          <cell r="T134" t="str">
            <v>опт</v>
          </cell>
        </row>
        <row r="135">
          <cell r="Q135">
            <v>0</v>
          </cell>
          <cell r="T135">
            <v>0</v>
          </cell>
        </row>
        <row r="136">
          <cell r="Q136">
            <v>-3</v>
          </cell>
          <cell r="T136" t="str">
            <v>уточ.режима</v>
          </cell>
        </row>
        <row r="137">
          <cell r="Q137">
            <v>-2</v>
          </cell>
          <cell r="T137" t="str">
            <v>уточ.режима</v>
          </cell>
        </row>
        <row r="138">
          <cell r="Q138">
            <v>-1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-5</v>
          </cell>
          <cell r="T140" t="str">
            <v>уточ.режима</v>
          </cell>
        </row>
        <row r="141">
          <cell r="Q141">
            <v>-1</v>
          </cell>
          <cell r="T141">
            <v>0</v>
          </cell>
        </row>
        <row r="142">
          <cell r="Q142">
            <v>0</v>
          </cell>
          <cell r="T142">
            <v>0</v>
          </cell>
        </row>
        <row r="143">
          <cell r="Q143">
            <v>-2</v>
          </cell>
          <cell r="T143">
            <v>0</v>
          </cell>
        </row>
        <row r="144">
          <cell r="Q144">
            <v>6</v>
          </cell>
          <cell r="T144">
            <v>0</v>
          </cell>
        </row>
        <row r="145">
          <cell r="Q145">
            <v>-3</v>
          </cell>
          <cell r="T145">
            <v>0</v>
          </cell>
        </row>
        <row r="146">
          <cell r="Q146">
            <v>0</v>
          </cell>
          <cell r="T146" t="str">
            <v>уточ.режима</v>
          </cell>
        </row>
        <row r="147">
          <cell r="Q147">
            <v>-1</v>
          </cell>
          <cell r="T147">
            <v>0</v>
          </cell>
        </row>
        <row r="148">
          <cell r="Q148">
            <v>-4</v>
          </cell>
          <cell r="T148">
            <v>0</v>
          </cell>
        </row>
        <row r="149">
          <cell r="Q149">
            <v>-4</v>
          </cell>
          <cell r="T149">
            <v>0</v>
          </cell>
        </row>
        <row r="150">
          <cell r="Q150">
            <v>0</v>
          </cell>
          <cell r="T150">
            <v>0</v>
          </cell>
        </row>
        <row r="151">
          <cell r="Q151">
            <v>0</v>
          </cell>
          <cell r="T151">
            <v>0</v>
          </cell>
        </row>
        <row r="152">
          <cell r="Q152">
            <v>19</v>
          </cell>
          <cell r="T152" t="str">
            <v>прс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-9</v>
          </cell>
          <cell r="T154" t="str">
            <v>сн.грп</v>
          </cell>
        </row>
        <row r="155">
          <cell r="Q155">
            <v>0</v>
          </cell>
          <cell r="T155">
            <v>0</v>
          </cell>
        </row>
        <row r="156">
          <cell r="Q156">
            <v>-68</v>
          </cell>
          <cell r="T156" t="str">
            <v>сн.грп</v>
          </cell>
        </row>
        <row r="157">
          <cell r="Q157" t="e">
            <v>#N/A</v>
          </cell>
          <cell r="T157" t="e">
            <v>#N/A</v>
          </cell>
        </row>
        <row r="158">
          <cell r="Q158">
            <v>1</v>
          </cell>
          <cell r="T158">
            <v>0</v>
          </cell>
        </row>
        <row r="159">
          <cell r="Q159">
            <v>-10</v>
          </cell>
          <cell r="T159" t="str">
            <v>ипп</v>
          </cell>
        </row>
        <row r="160">
          <cell r="Q160">
            <v>0</v>
          </cell>
          <cell r="T160">
            <v>0</v>
          </cell>
        </row>
        <row r="161">
          <cell r="Q161">
            <v>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0</v>
          </cell>
          <cell r="T163">
            <v>0</v>
          </cell>
        </row>
        <row r="164">
          <cell r="Q164">
            <v>-3</v>
          </cell>
          <cell r="T164" t="str">
            <v>уточ.режима</v>
          </cell>
        </row>
        <row r="165">
          <cell r="Q165">
            <v>0</v>
          </cell>
          <cell r="T165">
            <v>0</v>
          </cell>
        </row>
        <row r="166">
          <cell r="Q166">
            <v>0</v>
          </cell>
          <cell r="T166">
            <v>0</v>
          </cell>
        </row>
        <row r="167">
          <cell r="Q167">
            <v>0</v>
          </cell>
          <cell r="T167">
            <v>0</v>
          </cell>
        </row>
        <row r="168">
          <cell r="Q168">
            <v>4</v>
          </cell>
          <cell r="T168">
            <v>0</v>
          </cell>
        </row>
        <row r="169">
          <cell r="Q169">
            <v>11</v>
          </cell>
          <cell r="T169">
            <v>0</v>
          </cell>
        </row>
        <row r="170">
          <cell r="Q170">
            <v>12</v>
          </cell>
          <cell r="T170" t="str">
            <v>вода</v>
          </cell>
        </row>
        <row r="171">
          <cell r="Q171">
            <v>-5</v>
          </cell>
          <cell r="T171" t="str">
            <v>уточ.режима</v>
          </cell>
        </row>
        <row r="172">
          <cell r="Q172">
            <v>-7</v>
          </cell>
          <cell r="T172">
            <v>0</v>
          </cell>
        </row>
        <row r="173">
          <cell r="Q173">
            <v>1</v>
          </cell>
          <cell r="T173" t="str">
            <v>уточ.режима</v>
          </cell>
        </row>
        <row r="174">
          <cell r="Q174">
            <v>-5</v>
          </cell>
          <cell r="T174">
            <v>0</v>
          </cell>
        </row>
        <row r="175">
          <cell r="Q175">
            <v>-1</v>
          </cell>
          <cell r="T175">
            <v>0</v>
          </cell>
        </row>
        <row r="176">
          <cell r="Q176">
            <v>2</v>
          </cell>
          <cell r="T176">
            <v>0</v>
          </cell>
        </row>
        <row r="177">
          <cell r="Q177">
            <v>-8</v>
          </cell>
          <cell r="T177" t="str">
            <v>ипп</v>
          </cell>
        </row>
        <row r="178">
          <cell r="Q178">
            <v>-1</v>
          </cell>
          <cell r="T178">
            <v>0</v>
          </cell>
        </row>
        <row r="179">
          <cell r="Q179">
            <v>11</v>
          </cell>
          <cell r="T179" t="str">
            <v>прс</v>
          </cell>
        </row>
        <row r="180">
          <cell r="Q180">
            <v>-1</v>
          </cell>
          <cell r="T180">
            <v>0</v>
          </cell>
        </row>
        <row r="181">
          <cell r="Q181">
            <v>0</v>
          </cell>
          <cell r="T181">
            <v>0</v>
          </cell>
        </row>
        <row r="182">
          <cell r="Q182">
            <v>0</v>
          </cell>
          <cell r="T182">
            <v>0</v>
          </cell>
        </row>
        <row r="183">
          <cell r="Q183">
            <v>-1</v>
          </cell>
          <cell r="T183">
            <v>0</v>
          </cell>
        </row>
        <row r="184">
          <cell r="Q184">
            <v>0</v>
          </cell>
          <cell r="T184">
            <v>0</v>
          </cell>
        </row>
        <row r="185">
          <cell r="Q185">
            <v>-1</v>
          </cell>
          <cell r="T185">
            <v>0</v>
          </cell>
        </row>
        <row r="186">
          <cell r="Q186">
            <v>0</v>
          </cell>
          <cell r="T186">
            <v>0</v>
          </cell>
        </row>
        <row r="187">
          <cell r="Q187">
            <v>4</v>
          </cell>
          <cell r="T187">
            <v>0</v>
          </cell>
        </row>
        <row r="188">
          <cell r="Q188">
            <v>-1</v>
          </cell>
          <cell r="T188">
            <v>0</v>
          </cell>
        </row>
        <row r="189">
          <cell r="Q189">
            <v>-1</v>
          </cell>
          <cell r="T189" t="str">
            <v>вода</v>
          </cell>
        </row>
        <row r="190">
          <cell r="Q190">
            <v>0</v>
          </cell>
          <cell r="T190">
            <v>0</v>
          </cell>
        </row>
        <row r="191">
          <cell r="Q191">
            <v>11</v>
          </cell>
          <cell r="T191" t="str">
            <v>уточ.режима</v>
          </cell>
        </row>
        <row r="192">
          <cell r="Q192">
            <v>2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-19</v>
          </cell>
          <cell r="T194" t="str">
            <v>уточ.режима</v>
          </cell>
        </row>
        <row r="195">
          <cell r="Q195">
            <v>0</v>
          </cell>
          <cell r="T195" t="str">
            <v>уточ.режима</v>
          </cell>
        </row>
        <row r="196">
          <cell r="Q196">
            <v>1</v>
          </cell>
          <cell r="T196" t="str">
            <v>уточ.режима</v>
          </cell>
        </row>
        <row r="197">
          <cell r="Q197">
            <v>1</v>
          </cell>
          <cell r="T197">
            <v>0</v>
          </cell>
        </row>
        <row r="198">
          <cell r="Q198">
            <v>-3</v>
          </cell>
          <cell r="T198" t="str">
            <v>вода</v>
          </cell>
        </row>
        <row r="199">
          <cell r="Q199">
            <v>-1</v>
          </cell>
          <cell r="T199">
            <v>0</v>
          </cell>
        </row>
        <row r="200">
          <cell r="Q200">
            <v>0</v>
          </cell>
          <cell r="T200" t="str">
            <v>уточ.режима</v>
          </cell>
        </row>
        <row r="201">
          <cell r="Q201">
            <v>0</v>
          </cell>
          <cell r="T201">
            <v>0</v>
          </cell>
        </row>
        <row r="202">
          <cell r="Q202">
            <v>0</v>
          </cell>
          <cell r="T202" t="str">
            <v>уточ.режима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-2</v>
          </cell>
          <cell r="T205">
            <v>0</v>
          </cell>
        </row>
        <row r="206">
          <cell r="Q206">
            <v>0</v>
          </cell>
          <cell r="T206" t="str">
            <v>уточ.режима</v>
          </cell>
        </row>
        <row r="207">
          <cell r="Q207">
            <v>0</v>
          </cell>
          <cell r="T207">
            <v>0</v>
          </cell>
        </row>
        <row r="208">
          <cell r="Q208">
            <v>-1</v>
          </cell>
          <cell r="T208">
            <v>0</v>
          </cell>
        </row>
        <row r="209">
          <cell r="Q209">
            <v>4</v>
          </cell>
          <cell r="T209">
            <v>0</v>
          </cell>
        </row>
        <row r="210">
          <cell r="Q210">
            <v>0</v>
          </cell>
          <cell r="T210">
            <v>0</v>
          </cell>
        </row>
        <row r="211">
          <cell r="Q211">
            <v>2</v>
          </cell>
          <cell r="T211">
            <v>0</v>
          </cell>
        </row>
        <row r="212">
          <cell r="Q212" t="e">
            <v>#N/A</v>
          </cell>
          <cell r="T212" t="e">
            <v>#N/A</v>
          </cell>
        </row>
        <row r="213">
          <cell r="Q213">
            <v>-1</v>
          </cell>
          <cell r="T213">
            <v>0</v>
          </cell>
        </row>
        <row r="214">
          <cell r="Q214">
            <v>0</v>
          </cell>
          <cell r="T214">
            <v>0</v>
          </cell>
        </row>
        <row r="215">
          <cell r="Q215">
            <v>-1</v>
          </cell>
          <cell r="T215">
            <v>0</v>
          </cell>
        </row>
        <row r="216">
          <cell r="Q216">
            <v>0</v>
          </cell>
          <cell r="T216">
            <v>0</v>
          </cell>
        </row>
        <row r="217">
          <cell r="Q217">
            <v>31</v>
          </cell>
          <cell r="T217" t="str">
            <v>уточ.режима</v>
          </cell>
        </row>
        <row r="218">
          <cell r="Q218">
            <v>0</v>
          </cell>
          <cell r="T218">
            <v>0</v>
          </cell>
        </row>
        <row r="219">
          <cell r="Q219">
            <v>0</v>
          </cell>
          <cell r="T219" t="str">
            <v>уточ.режима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-2</v>
          </cell>
          <cell r="T222">
            <v>0</v>
          </cell>
        </row>
        <row r="223">
          <cell r="Q223">
            <v>1</v>
          </cell>
          <cell r="T223" t="str">
            <v>уточ.режима</v>
          </cell>
        </row>
        <row r="224">
          <cell r="Q224">
            <v>0</v>
          </cell>
          <cell r="T224">
            <v>0</v>
          </cell>
        </row>
        <row r="225">
          <cell r="Q225">
            <v>-6</v>
          </cell>
          <cell r="T225">
            <v>0</v>
          </cell>
        </row>
        <row r="226">
          <cell r="Q226">
            <v>2</v>
          </cell>
          <cell r="T226">
            <v>0</v>
          </cell>
        </row>
        <row r="227">
          <cell r="Q227">
            <v>50</v>
          </cell>
          <cell r="T227" t="str">
            <v>грп</v>
          </cell>
        </row>
        <row r="228">
          <cell r="Q228">
            <v>3</v>
          </cell>
          <cell r="T228" t="str">
            <v>вода</v>
          </cell>
        </row>
        <row r="229">
          <cell r="Q229">
            <v>-1</v>
          </cell>
          <cell r="T229">
            <v>0</v>
          </cell>
        </row>
        <row r="230">
          <cell r="Q230">
            <v>-3</v>
          </cell>
          <cell r="T230">
            <v>0</v>
          </cell>
        </row>
        <row r="231">
          <cell r="Q231">
            <v>-2</v>
          </cell>
          <cell r="T231">
            <v>0</v>
          </cell>
        </row>
        <row r="232">
          <cell r="Q232">
            <v>-3</v>
          </cell>
          <cell r="T232" t="str">
            <v>уточ.режима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-1</v>
          </cell>
          <cell r="T235" t="str">
            <v>уточ.режима</v>
          </cell>
        </row>
        <row r="236">
          <cell r="Q236">
            <v>0</v>
          </cell>
          <cell r="T236" t="str">
            <v>уточ.режима</v>
          </cell>
        </row>
        <row r="237">
          <cell r="Q237">
            <v>0</v>
          </cell>
          <cell r="T237">
            <v>0</v>
          </cell>
        </row>
        <row r="238">
          <cell r="Q238">
            <v>2</v>
          </cell>
          <cell r="T238">
            <v>0</v>
          </cell>
        </row>
        <row r="239">
          <cell r="Q239">
            <v>-1</v>
          </cell>
          <cell r="T239">
            <v>0</v>
          </cell>
        </row>
        <row r="240">
          <cell r="Q240">
            <v>-1</v>
          </cell>
          <cell r="T240">
            <v>0</v>
          </cell>
        </row>
        <row r="241">
          <cell r="Q241">
            <v>-1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-1</v>
          </cell>
          <cell r="T243">
            <v>0</v>
          </cell>
        </row>
        <row r="244">
          <cell r="Q244">
            <v>-2</v>
          </cell>
          <cell r="T244">
            <v>0</v>
          </cell>
        </row>
        <row r="245">
          <cell r="Q245">
            <v>-1</v>
          </cell>
          <cell r="T245">
            <v>0</v>
          </cell>
        </row>
        <row r="246">
          <cell r="Q246">
            <v>-1</v>
          </cell>
          <cell r="T246">
            <v>0</v>
          </cell>
        </row>
        <row r="247">
          <cell r="Q247">
            <v>0</v>
          </cell>
          <cell r="T247" t="str">
            <v>уточ.режима</v>
          </cell>
        </row>
        <row r="248">
          <cell r="Q248">
            <v>7</v>
          </cell>
          <cell r="T248" t="str">
            <v>уточ.режима</v>
          </cell>
        </row>
        <row r="249">
          <cell r="Q249">
            <v>0</v>
          </cell>
          <cell r="T249">
            <v>0</v>
          </cell>
        </row>
        <row r="250">
          <cell r="Q250">
            <v>0</v>
          </cell>
          <cell r="T250">
            <v>0</v>
          </cell>
        </row>
        <row r="251">
          <cell r="Q251">
            <v>0</v>
          </cell>
          <cell r="T251">
            <v>0</v>
          </cell>
        </row>
        <row r="252">
          <cell r="Q252">
            <v>0</v>
          </cell>
          <cell r="T252">
            <v>0</v>
          </cell>
        </row>
        <row r="253">
          <cell r="Q253">
            <v>0</v>
          </cell>
          <cell r="T253">
            <v>0</v>
          </cell>
        </row>
        <row r="254">
          <cell r="Q254">
            <v>-1</v>
          </cell>
          <cell r="T254">
            <v>0</v>
          </cell>
        </row>
        <row r="255">
          <cell r="Q255">
            <v>0</v>
          </cell>
          <cell r="T255">
            <v>0</v>
          </cell>
        </row>
        <row r="256">
          <cell r="Q256">
            <v>0</v>
          </cell>
          <cell r="T256">
            <v>0</v>
          </cell>
        </row>
        <row r="257">
          <cell r="Q257">
            <v>0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-6</v>
          </cell>
          <cell r="T259">
            <v>0</v>
          </cell>
        </row>
        <row r="260">
          <cell r="Q260">
            <v>1</v>
          </cell>
          <cell r="T260">
            <v>0</v>
          </cell>
        </row>
        <row r="261">
          <cell r="Q261">
            <v>0</v>
          </cell>
          <cell r="T261" t="str">
            <v>вода</v>
          </cell>
        </row>
        <row r="262">
          <cell r="Q262">
            <v>45</v>
          </cell>
          <cell r="T262">
            <v>0</v>
          </cell>
        </row>
        <row r="263">
          <cell r="Q263">
            <v>1</v>
          </cell>
          <cell r="T263">
            <v>0</v>
          </cell>
        </row>
        <row r="264">
          <cell r="Q264">
            <v>72</v>
          </cell>
          <cell r="T264" t="str">
            <v>грп</v>
          </cell>
        </row>
        <row r="265">
          <cell r="Q265">
            <v>-1</v>
          </cell>
          <cell r="T265">
            <v>0</v>
          </cell>
        </row>
        <row r="266">
          <cell r="Q266">
            <v>0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-1</v>
          </cell>
          <cell r="T268" t="str">
            <v>уточ.режима</v>
          </cell>
        </row>
        <row r="269">
          <cell r="Q269">
            <v>2</v>
          </cell>
          <cell r="T269">
            <v>0</v>
          </cell>
        </row>
        <row r="270">
          <cell r="Q270">
            <v>-2</v>
          </cell>
          <cell r="T270">
            <v>0</v>
          </cell>
        </row>
        <row r="271">
          <cell r="Q271">
            <v>20</v>
          </cell>
          <cell r="T271" t="str">
            <v>опт</v>
          </cell>
        </row>
        <row r="272">
          <cell r="Q272">
            <v>-1</v>
          </cell>
          <cell r="T272" t="str">
            <v>уточ.режима</v>
          </cell>
        </row>
        <row r="273">
          <cell r="Q273">
            <v>0</v>
          </cell>
          <cell r="T273">
            <v>0</v>
          </cell>
        </row>
        <row r="274">
          <cell r="Q274">
            <v>-11</v>
          </cell>
          <cell r="T274" t="str">
            <v>сн.опт</v>
          </cell>
        </row>
        <row r="275">
          <cell r="Q275">
            <v>-2</v>
          </cell>
          <cell r="T275">
            <v>0</v>
          </cell>
        </row>
        <row r="276">
          <cell r="Q276">
            <v>0</v>
          </cell>
          <cell r="T276">
            <v>0</v>
          </cell>
        </row>
        <row r="277">
          <cell r="Q277">
            <v>-2</v>
          </cell>
          <cell r="T277">
            <v>0</v>
          </cell>
        </row>
        <row r="278">
          <cell r="Q278">
            <v>-5</v>
          </cell>
          <cell r="T278" t="str">
            <v>по</v>
          </cell>
        </row>
        <row r="279">
          <cell r="Q279">
            <v>0</v>
          </cell>
          <cell r="T279">
            <v>0</v>
          </cell>
        </row>
        <row r="280">
          <cell r="Q280">
            <v>-3</v>
          </cell>
          <cell r="T280" t="str">
            <v>вода</v>
          </cell>
        </row>
        <row r="281">
          <cell r="Q281">
            <v>31</v>
          </cell>
          <cell r="T281" t="str">
            <v>уточ.режима</v>
          </cell>
        </row>
        <row r="282">
          <cell r="Q282">
            <v>-1</v>
          </cell>
          <cell r="T282">
            <v>0</v>
          </cell>
        </row>
        <row r="283">
          <cell r="Q283">
            <v>-2</v>
          </cell>
          <cell r="T283" t="str">
            <v>уточ.режима</v>
          </cell>
        </row>
        <row r="284">
          <cell r="Q284">
            <v>4</v>
          </cell>
          <cell r="T284">
            <v>0</v>
          </cell>
        </row>
        <row r="285">
          <cell r="Q285">
            <v>-15</v>
          </cell>
          <cell r="T285" t="str">
            <v>по</v>
          </cell>
        </row>
        <row r="286">
          <cell r="Q286">
            <v>-2</v>
          </cell>
          <cell r="T286">
            <v>0</v>
          </cell>
        </row>
        <row r="287">
          <cell r="Q287">
            <v>-1</v>
          </cell>
          <cell r="T287">
            <v>0</v>
          </cell>
        </row>
        <row r="288">
          <cell r="Q288">
            <v>-2</v>
          </cell>
          <cell r="T288">
            <v>0</v>
          </cell>
        </row>
        <row r="289">
          <cell r="Q289">
            <v>4</v>
          </cell>
          <cell r="T289">
            <v>0</v>
          </cell>
        </row>
        <row r="290">
          <cell r="Q290">
            <v>3</v>
          </cell>
          <cell r="T290" t="str">
            <v>уточ.режима</v>
          </cell>
        </row>
        <row r="291">
          <cell r="Q291">
            <v>-4</v>
          </cell>
          <cell r="T291" t="str">
            <v>сн.опт</v>
          </cell>
        </row>
        <row r="292">
          <cell r="Q292">
            <v>-1</v>
          </cell>
          <cell r="T292" t="str">
            <v>уточ.режима</v>
          </cell>
        </row>
        <row r="293">
          <cell r="Q293">
            <v>-3</v>
          </cell>
          <cell r="T293">
            <v>0</v>
          </cell>
        </row>
        <row r="294">
          <cell r="Q294">
            <v>-1</v>
          </cell>
          <cell r="T294">
            <v>0</v>
          </cell>
        </row>
        <row r="295">
          <cell r="Q295">
            <v>-4</v>
          </cell>
          <cell r="T295">
            <v>0</v>
          </cell>
        </row>
        <row r="296">
          <cell r="Q296">
            <v>1</v>
          </cell>
          <cell r="T296">
            <v>0</v>
          </cell>
        </row>
        <row r="297">
          <cell r="Q297">
            <v>6</v>
          </cell>
          <cell r="T297" t="str">
            <v>уточ.режима</v>
          </cell>
        </row>
        <row r="298">
          <cell r="Q298">
            <v>-7</v>
          </cell>
          <cell r="T298" t="str">
            <v>уточ.режима</v>
          </cell>
        </row>
        <row r="299">
          <cell r="Q299">
            <v>0</v>
          </cell>
          <cell r="T299">
            <v>0</v>
          </cell>
        </row>
        <row r="300">
          <cell r="Q300">
            <v>-2</v>
          </cell>
          <cell r="T300">
            <v>0</v>
          </cell>
        </row>
        <row r="301">
          <cell r="Q301">
            <v>-5</v>
          </cell>
          <cell r="T301" t="str">
            <v>уточ.режима</v>
          </cell>
        </row>
        <row r="302">
          <cell r="Q302">
            <v>4</v>
          </cell>
          <cell r="T302">
            <v>0</v>
          </cell>
        </row>
        <row r="303">
          <cell r="Q303">
            <v>0</v>
          </cell>
          <cell r="T303" t="str">
            <v>уточ.режима</v>
          </cell>
        </row>
        <row r="304">
          <cell r="Q304">
            <v>-5</v>
          </cell>
          <cell r="T304" t="str">
            <v>уточ.режима</v>
          </cell>
        </row>
        <row r="305">
          <cell r="Q305">
            <v>0</v>
          </cell>
          <cell r="T305">
            <v>0</v>
          </cell>
        </row>
        <row r="306">
          <cell r="Q306">
            <v>0</v>
          </cell>
          <cell r="T306">
            <v>0</v>
          </cell>
        </row>
        <row r="307">
          <cell r="Q307">
            <v>-1</v>
          </cell>
          <cell r="T307">
            <v>0</v>
          </cell>
        </row>
        <row r="308">
          <cell r="Q308">
            <v>0</v>
          </cell>
          <cell r="T308">
            <v>0</v>
          </cell>
        </row>
        <row r="309">
          <cell r="Q309">
            <v>2</v>
          </cell>
          <cell r="T309">
            <v>0</v>
          </cell>
        </row>
        <row r="310">
          <cell r="Q310">
            <v>-8</v>
          </cell>
          <cell r="T310" t="str">
            <v>уточ.режима</v>
          </cell>
        </row>
        <row r="311">
          <cell r="Q311">
            <v>0</v>
          </cell>
          <cell r="T311">
            <v>0</v>
          </cell>
        </row>
        <row r="312">
          <cell r="Q312">
            <v>1</v>
          </cell>
          <cell r="T312" t="str">
            <v>уточ.режима</v>
          </cell>
        </row>
        <row r="313">
          <cell r="Q313">
            <v>-2</v>
          </cell>
          <cell r="T313">
            <v>0</v>
          </cell>
        </row>
        <row r="314">
          <cell r="Q314">
            <v>0</v>
          </cell>
          <cell r="T314" t="str">
            <v>прс</v>
          </cell>
        </row>
        <row r="315">
          <cell r="Q315">
            <v>0</v>
          </cell>
          <cell r="T315">
            <v>0</v>
          </cell>
        </row>
        <row r="316">
          <cell r="Q316">
            <v>0</v>
          </cell>
          <cell r="T316" t="str">
            <v>уточ.режима</v>
          </cell>
        </row>
        <row r="317">
          <cell r="Q317">
            <v>-15</v>
          </cell>
          <cell r="T317" t="str">
            <v>ипп</v>
          </cell>
        </row>
        <row r="318">
          <cell r="Q318">
            <v>1</v>
          </cell>
          <cell r="T318">
            <v>0</v>
          </cell>
        </row>
        <row r="319">
          <cell r="Q319">
            <v>0</v>
          </cell>
          <cell r="T319">
            <v>0</v>
          </cell>
        </row>
        <row r="320">
          <cell r="Q320">
            <v>0</v>
          </cell>
          <cell r="T320">
            <v>0</v>
          </cell>
        </row>
        <row r="321">
          <cell r="Q321">
            <v>-2</v>
          </cell>
          <cell r="T321">
            <v>0</v>
          </cell>
        </row>
        <row r="322">
          <cell r="Q322">
            <v>0</v>
          </cell>
          <cell r="T322">
            <v>0</v>
          </cell>
        </row>
        <row r="323">
          <cell r="Q323">
            <v>0</v>
          </cell>
          <cell r="T323">
            <v>0</v>
          </cell>
        </row>
        <row r="324">
          <cell r="Q324">
            <v>2</v>
          </cell>
          <cell r="T324" t="str">
            <v>уточ.режима</v>
          </cell>
        </row>
        <row r="325">
          <cell r="Q325">
            <v>2</v>
          </cell>
          <cell r="T325">
            <v>0</v>
          </cell>
        </row>
        <row r="326">
          <cell r="Q326">
            <v>0</v>
          </cell>
          <cell r="T326">
            <v>0</v>
          </cell>
        </row>
        <row r="327">
          <cell r="Q327">
            <v>0</v>
          </cell>
          <cell r="T327" t="str">
            <v>вода</v>
          </cell>
        </row>
        <row r="328">
          <cell r="Q328">
            <v>0</v>
          </cell>
          <cell r="T328">
            <v>0</v>
          </cell>
        </row>
        <row r="329">
          <cell r="Q329">
            <v>-3</v>
          </cell>
          <cell r="T329">
            <v>0</v>
          </cell>
        </row>
        <row r="330">
          <cell r="Q330">
            <v>-2</v>
          </cell>
          <cell r="T330">
            <v>0</v>
          </cell>
        </row>
        <row r="331">
          <cell r="Q331">
            <v>-22</v>
          </cell>
          <cell r="T331" t="str">
            <v>ипп</v>
          </cell>
        </row>
        <row r="332">
          <cell r="Q332">
            <v>-5</v>
          </cell>
          <cell r="T332">
            <v>0</v>
          </cell>
        </row>
        <row r="333">
          <cell r="Q333">
            <v>24</v>
          </cell>
          <cell r="T333">
            <v>0</v>
          </cell>
        </row>
        <row r="334">
          <cell r="Q334">
            <v>-2</v>
          </cell>
          <cell r="T334">
            <v>0</v>
          </cell>
        </row>
        <row r="335">
          <cell r="Q335">
            <v>20</v>
          </cell>
          <cell r="T335">
            <v>0</v>
          </cell>
        </row>
        <row r="336">
          <cell r="Q336">
            <v>2</v>
          </cell>
          <cell r="T336">
            <v>0</v>
          </cell>
        </row>
        <row r="337">
          <cell r="Q337">
            <v>10</v>
          </cell>
          <cell r="T337" t="str">
            <v>уточ.режима</v>
          </cell>
        </row>
        <row r="338">
          <cell r="Q338">
            <v>-2</v>
          </cell>
          <cell r="T338" t="str">
            <v>уточ.режима</v>
          </cell>
        </row>
        <row r="339">
          <cell r="Q339">
            <v>2</v>
          </cell>
          <cell r="T339">
            <v>0</v>
          </cell>
        </row>
        <row r="340">
          <cell r="Q340">
            <v>1</v>
          </cell>
          <cell r="T340">
            <v>0</v>
          </cell>
        </row>
        <row r="341">
          <cell r="Q341">
            <v>-15</v>
          </cell>
          <cell r="T341">
            <v>0</v>
          </cell>
        </row>
        <row r="342">
          <cell r="Q342">
            <v>0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-12</v>
          </cell>
          <cell r="T344">
            <v>0</v>
          </cell>
        </row>
        <row r="345">
          <cell r="Q345">
            <v>-8</v>
          </cell>
          <cell r="T345" t="str">
            <v>вода</v>
          </cell>
        </row>
        <row r="346">
          <cell r="Q346">
            <v>-3</v>
          </cell>
          <cell r="T346">
            <v>0</v>
          </cell>
        </row>
        <row r="347">
          <cell r="Q347">
            <v>0</v>
          </cell>
          <cell r="T347">
            <v>0</v>
          </cell>
        </row>
        <row r="348">
          <cell r="Q348">
            <v>0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3</v>
          </cell>
          <cell r="T350">
            <v>0</v>
          </cell>
        </row>
        <row r="351">
          <cell r="Q351">
            <v>0</v>
          </cell>
          <cell r="T351">
            <v>0</v>
          </cell>
        </row>
        <row r="352">
          <cell r="Q352">
            <v>-1</v>
          </cell>
          <cell r="T352" t="str">
            <v>уточ.режима</v>
          </cell>
        </row>
        <row r="353">
          <cell r="Q353">
            <v>0</v>
          </cell>
          <cell r="T353">
            <v>0</v>
          </cell>
        </row>
        <row r="354">
          <cell r="Q354">
            <v>2</v>
          </cell>
          <cell r="T354" t="str">
            <v>уточ.режима</v>
          </cell>
        </row>
        <row r="355">
          <cell r="Q355">
            <v>2</v>
          </cell>
          <cell r="T355">
            <v>0</v>
          </cell>
        </row>
        <row r="356">
          <cell r="Q356">
            <v>5</v>
          </cell>
          <cell r="T356" t="str">
            <v>уточ.режима</v>
          </cell>
        </row>
        <row r="357">
          <cell r="Q357">
            <v>1</v>
          </cell>
          <cell r="T357">
            <v>0</v>
          </cell>
        </row>
        <row r="358">
          <cell r="Q358">
            <v>1</v>
          </cell>
          <cell r="T358">
            <v>0</v>
          </cell>
        </row>
        <row r="359">
          <cell r="Q359">
            <v>2</v>
          </cell>
          <cell r="T359">
            <v>0</v>
          </cell>
        </row>
        <row r="360">
          <cell r="Q360">
            <v>-1</v>
          </cell>
          <cell r="T360">
            <v>0</v>
          </cell>
        </row>
        <row r="361">
          <cell r="Q361">
            <v>-5</v>
          </cell>
          <cell r="T361" t="str">
            <v>уточ.режима</v>
          </cell>
        </row>
        <row r="362">
          <cell r="Q362">
            <v>-3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-5</v>
          </cell>
          <cell r="T364" t="str">
            <v>уточ.режима</v>
          </cell>
        </row>
        <row r="365">
          <cell r="Q365">
            <v>1</v>
          </cell>
          <cell r="T365" t="str">
            <v>уточ.режима</v>
          </cell>
        </row>
        <row r="366">
          <cell r="Q366">
            <v>-1</v>
          </cell>
          <cell r="T366">
            <v>0</v>
          </cell>
        </row>
        <row r="367">
          <cell r="Q367">
            <v>-1</v>
          </cell>
          <cell r="T367" t="str">
            <v>уточ.режима</v>
          </cell>
        </row>
        <row r="368">
          <cell r="Q368">
            <v>10</v>
          </cell>
          <cell r="T368" t="str">
            <v>уточ.режима</v>
          </cell>
        </row>
        <row r="369">
          <cell r="Q369">
            <v>-4</v>
          </cell>
          <cell r="T369" t="str">
            <v>уточ.режима</v>
          </cell>
        </row>
        <row r="370">
          <cell r="Q370">
            <v>-2</v>
          </cell>
          <cell r="T370" t="str">
            <v>прс</v>
          </cell>
        </row>
        <row r="371">
          <cell r="Q371">
            <v>0</v>
          </cell>
          <cell r="T371" t="str">
            <v>сн.грп</v>
          </cell>
        </row>
        <row r="372">
          <cell r="Q372">
            <v>-2</v>
          </cell>
          <cell r="T372">
            <v>0</v>
          </cell>
        </row>
        <row r="373">
          <cell r="Q373">
            <v>0</v>
          </cell>
          <cell r="T373" t="str">
            <v>уточ.режима</v>
          </cell>
        </row>
        <row r="374">
          <cell r="Q374">
            <v>-1</v>
          </cell>
          <cell r="T374">
            <v>0</v>
          </cell>
        </row>
        <row r="375">
          <cell r="Q375">
            <v>-1</v>
          </cell>
          <cell r="T375">
            <v>0</v>
          </cell>
        </row>
        <row r="376">
          <cell r="Q376">
            <v>1</v>
          </cell>
          <cell r="T376">
            <v>0</v>
          </cell>
        </row>
        <row r="377">
          <cell r="Q377">
            <v>-2</v>
          </cell>
          <cell r="T377">
            <v>0</v>
          </cell>
        </row>
        <row r="378">
          <cell r="Q378">
            <v>-7</v>
          </cell>
          <cell r="T378">
            <v>0</v>
          </cell>
        </row>
        <row r="379">
          <cell r="Q379">
            <v>-2</v>
          </cell>
          <cell r="T379">
            <v>0</v>
          </cell>
        </row>
        <row r="380">
          <cell r="Q380">
            <v>0</v>
          </cell>
          <cell r="T380">
            <v>0</v>
          </cell>
        </row>
        <row r="381">
          <cell r="Q381">
            <v>0</v>
          </cell>
          <cell r="T381">
            <v>0</v>
          </cell>
        </row>
        <row r="382">
          <cell r="Q382">
            <v>-4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-1</v>
          </cell>
          <cell r="T385">
            <v>0</v>
          </cell>
        </row>
        <row r="386">
          <cell r="Q386">
            <v>0</v>
          </cell>
          <cell r="T386">
            <v>0</v>
          </cell>
        </row>
        <row r="387">
          <cell r="Q387">
            <v>0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 t="str">
            <v>уточ.режима</v>
          </cell>
        </row>
        <row r="391">
          <cell r="Q391">
            <v>0</v>
          </cell>
          <cell r="T391">
            <v>0</v>
          </cell>
        </row>
        <row r="392">
          <cell r="Q392">
            <v>3</v>
          </cell>
          <cell r="T392" t="str">
            <v>уточ.режима</v>
          </cell>
        </row>
        <row r="393">
          <cell r="Q393">
            <v>5</v>
          </cell>
          <cell r="T393" t="str">
            <v>прс</v>
          </cell>
        </row>
        <row r="394">
          <cell r="Q394">
            <v>-2</v>
          </cell>
          <cell r="T394">
            <v>0</v>
          </cell>
        </row>
        <row r="395">
          <cell r="Q395">
            <v>1</v>
          </cell>
          <cell r="T395" t="str">
            <v>уточ.режима</v>
          </cell>
        </row>
        <row r="396">
          <cell r="Q396">
            <v>-2</v>
          </cell>
          <cell r="T396" t="str">
            <v>уточ.режима</v>
          </cell>
        </row>
        <row r="397">
          <cell r="Q397">
            <v>3</v>
          </cell>
          <cell r="T397" t="str">
            <v>уточ.режима</v>
          </cell>
        </row>
        <row r="398">
          <cell r="Q398">
            <v>-2</v>
          </cell>
          <cell r="T398">
            <v>0</v>
          </cell>
        </row>
        <row r="399">
          <cell r="Q399">
            <v>-1</v>
          </cell>
          <cell r="T399">
            <v>0</v>
          </cell>
        </row>
        <row r="400">
          <cell r="Q400">
            <v>0</v>
          </cell>
          <cell r="T400">
            <v>0</v>
          </cell>
        </row>
        <row r="401">
          <cell r="Q401">
            <v>-2</v>
          </cell>
          <cell r="T401" t="str">
            <v>ипп</v>
          </cell>
        </row>
        <row r="402">
          <cell r="Q402">
            <v>1</v>
          </cell>
          <cell r="T402">
            <v>0</v>
          </cell>
        </row>
        <row r="403">
          <cell r="Q403">
            <v>-20</v>
          </cell>
          <cell r="T403" t="str">
            <v>уточ.режима</v>
          </cell>
        </row>
        <row r="404">
          <cell r="Q404">
            <v>-5</v>
          </cell>
          <cell r="T404" t="str">
            <v>уточ.режима</v>
          </cell>
        </row>
        <row r="405">
          <cell r="Q405">
            <v>-18</v>
          </cell>
          <cell r="T405" t="str">
            <v>уточ.режима</v>
          </cell>
        </row>
        <row r="406">
          <cell r="Q406">
            <v>-12</v>
          </cell>
          <cell r="T406" t="str">
            <v>уточ.режима</v>
          </cell>
        </row>
        <row r="407">
          <cell r="Q407">
            <v>0</v>
          </cell>
          <cell r="T407" t="str">
            <v>вода</v>
          </cell>
        </row>
        <row r="408">
          <cell r="Q408">
            <v>0</v>
          </cell>
          <cell r="T408">
            <v>0</v>
          </cell>
        </row>
        <row r="409">
          <cell r="Q409">
            <v>0</v>
          </cell>
          <cell r="T409">
            <v>0</v>
          </cell>
        </row>
        <row r="410">
          <cell r="Q410">
            <v>0</v>
          </cell>
          <cell r="T410">
            <v>0</v>
          </cell>
        </row>
        <row r="411">
          <cell r="Q411">
            <v>0</v>
          </cell>
          <cell r="T411">
            <v>0</v>
          </cell>
        </row>
        <row r="412">
          <cell r="Q412">
            <v>0</v>
          </cell>
          <cell r="T412">
            <v>0</v>
          </cell>
        </row>
        <row r="413">
          <cell r="Q413">
            <v>0</v>
          </cell>
          <cell r="T413">
            <v>0</v>
          </cell>
        </row>
        <row r="414">
          <cell r="Q414">
            <v>-3</v>
          </cell>
          <cell r="T414">
            <v>0</v>
          </cell>
        </row>
        <row r="415">
          <cell r="Q415">
            <v>-1</v>
          </cell>
          <cell r="T415">
            <v>0</v>
          </cell>
        </row>
        <row r="416">
          <cell r="Q416">
            <v>1</v>
          </cell>
          <cell r="T416">
            <v>0</v>
          </cell>
        </row>
        <row r="417">
          <cell r="Q417">
            <v>0</v>
          </cell>
          <cell r="T417">
            <v>0</v>
          </cell>
        </row>
        <row r="418">
          <cell r="Q418">
            <v>0</v>
          </cell>
          <cell r="T418">
            <v>0</v>
          </cell>
        </row>
        <row r="419">
          <cell r="Q419">
            <v>0</v>
          </cell>
          <cell r="T419">
            <v>0</v>
          </cell>
        </row>
        <row r="421">
          <cell r="Q421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0</v>
          </cell>
          <cell r="T7">
            <v>0</v>
          </cell>
        </row>
        <row r="8">
          <cell r="Q8">
            <v>-4</v>
          </cell>
          <cell r="T8" t="str">
            <v>вода</v>
          </cell>
        </row>
        <row r="9">
          <cell r="Q9">
            <v>0</v>
          </cell>
          <cell r="T9">
            <v>0</v>
          </cell>
        </row>
        <row r="10">
          <cell r="Q10">
            <v>0</v>
          </cell>
          <cell r="T10">
            <v>0</v>
          </cell>
        </row>
        <row r="11">
          <cell r="Q11">
            <v>0</v>
          </cell>
          <cell r="T11" t="str">
            <v>уточ.режима</v>
          </cell>
        </row>
        <row r="12">
          <cell r="Q12">
            <v>-1</v>
          </cell>
          <cell r="T12" t="str">
            <v>уточ.режима</v>
          </cell>
        </row>
        <row r="13">
          <cell r="Q13">
            <v>1</v>
          </cell>
          <cell r="T13">
            <v>0</v>
          </cell>
        </row>
        <row r="14">
          <cell r="Q14">
            <v>-1</v>
          </cell>
          <cell r="T14">
            <v>0</v>
          </cell>
        </row>
        <row r="15">
          <cell r="Q15">
            <v>1</v>
          </cell>
          <cell r="T15">
            <v>0</v>
          </cell>
        </row>
        <row r="16">
          <cell r="Q16">
            <v>0</v>
          </cell>
          <cell r="T16">
            <v>0</v>
          </cell>
        </row>
        <row r="17">
          <cell r="Q17">
            <v>0</v>
          </cell>
          <cell r="T17">
            <v>0</v>
          </cell>
        </row>
        <row r="18">
          <cell r="Q18">
            <v>3</v>
          </cell>
          <cell r="T18">
            <v>0</v>
          </cell>
        </row>
        <row r="19">
          <cell r="Q19">
            <v>-4</v>
          </cell>
          <cell r="T19">
            <v>0</v>
          </cell>
        </row>
        <row r="20">
          <cell r="Q20">
            <v>-2</v>
          </cell>
          <cell r="T20">
            <v>0</v>
          </cell>
        </row>
        <row r="21">
          <cell r="Q21">
            <v>2</v>
          </cell>
          <cell r="T21">
            <v>0</v>
          </cell>
        </row>
        <row r="22">
          <cell r="Q22">
            <v>0</v>
          </cell>
          <cell r="T22">
            <v>0</v>
          </cell>
        </row>
        <row r="23">
          <cell r="Q23">
            <v>-6</v>
          </cell>
          <cell r="T23">
            <v>0</v>
          </cell>
        </row>
        <row r="24">
          <cell r="Q24">
            <v>-74</v>
          </cell>
          <cell r="T24">
            <v>0</v>
          </cell>
        </row>
        <row r="25">
          <cell r="Q25">
            <v>35</v>
          </cell>
          <cell r="T25" t="str">
            <v>прс</v>
          </cell>
        </row>
        <row r="26">
          <cell r="Q26">
            <v>-6</v>
          </cell>
          <cell r="T26" t="str">
            <v>уточ.режима</v>
          </cell>
        </row>
        <row r="27">
          <cell r="Q27">
            <v>-5</v>
          </cell>
          <cell r="T27" t="str">
            <v>ипп</v>
          </cell>
        </row>
        <row r="28">
          <cell r="Q28">
            <v>-4</v>
          </cell>
          <cell r="T28">
            <v>0</v>
          </cell>
        </row>
        <row r="29">
          <cell r="Q29">
            <v>1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-7</v>
          </cell>
          <cell r="T32">
            <v>0</v>
          </cell>
        </row>
        <row r="33">
          <cell r="Q33">
            <v>-1</v>
          </cell>
          <cell r="T33">
            <v>0</v>
          </cell>
        </row>
        <row r="34">
          <cell r="Q34">
            <v>-3</v>
          </cell>
          <cell r="T34">
            <v>0</v>
          </cell>
        </row>
        <row r="35">
          <cell r="Q35">
            <v>0</v>
          </cell>
          <cell r="T35">
            <v>0</v>
          </cell>
        </row>
        <row r="36">
          <cell r="Q36">
            <v>0</v>
          </cell>
          <cell r="T36">
            <v>0</v>
          </cell>
        </row>
        <row r="37">
          <cell r="Q37">
            <v>-1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 t="str">
            <v>уточ.режима</v>
          </cell>
        </row>
        <row r="40">
          <cell r="Q40">
            <v>1</v>
          </cell>
          <cell r="T40">
            <v>0</v>
          </cell>
        </row>
        <row r="41">
          <cell r="Q41">
            <v>0</v>
          </cell>
          <cell r="T41">
            <v>0</v>
          </cell>
        </row>
        <row r="42">
          <cell r="Q42">
            <v>0</v>
          </cell>
          <cell r="T42" t="str">
            <v>уточ.режима</v>
          </cell>
        </row>
        <row r="43">
          <cell r="Q43">
            <v>1</v>
          </cell>
          <cell r="T43">
            <v>0</v>
          </cell>
        </row>
        <row r="44">
          <cell r="Q44">
            <v>-5</v>
          </cell>
          <cell r="T44" t="str">
            <v>вода грп</v>
          </cell>
        </row>
        <row r="45">
          <cell r="Q45">
            <v>-2</v>
          </cell>
          <cell r="T45">
            <v>0</v>
          </cell>
        </row>
        <row r="46">
          <cell r="Q46">
            <v>-2</v>
          </cell>
          <cell r="T46">
            <v>0</v>
          </cell>
        </row>
        <row r="47">
          <cell r="Q47">
            <v>-1</v>
          </cell>
          <cell r="T47">
            <v>0</v>
          </cell>
        </row>
        <row r="48">
          <cell r="Q48">
            <v>2</v>
          </cell>
          <cell r="T48">
            <v>0</v>
          </cell>
        </row>
        <row r="49">
          <cell r="Q49">
            <v>0</v>
          </cell>
          <cell r="T49">
            <v>0</v>
          </cell>
        </row>
        <row r="50">
          <cell r="Q50">
            <v>0</v>
          </cell>
          <cell r="T50" t="str">
            <v>вода</v>
          </cell>
        </row>
        <row r="51">
          <cell r="Q51">
            <v>1</v>
          </cell>
          <cell r="T51">
            <v>0</v>
          </cell>
        </row>
        <row r="52">
          <cell r="Q52">
            <v>1</v>
          </cell>
          <cell r="T52">
            <v>0</v>
          </cell>
        </row>
        <row r="53">
          <cell r="Q53">
            <v>-1</v>
          </cell>
          <cell r="T53">
            <v>0</v>
          </cell>
        </row>
        <row r="54">
          <cell r="Q54">
            <v>-3</v>
          </cell>
          <cell r="T54">
            <v>0</v>
          </cell>
        </row>
        <row r="55">
          <cell r="Q55">
            <v>0</v>
          </cell>
          <cell r="T55">
            <v>0</v>
          </cell>
        </row>
        <row r="56">
          <cell r="Q56">
            <v>8</v>
          </cell>
          <cell r="T56" t="str">
            <v>прс</v>
          </cell>
        </row>
        <row r="57">
          <cell r="Q57">
            <v>-1</v>
          </cell>
          <cell r="T57">
            <v>0</v>
          </cell>
        </row>
        <row r="58">
          <cell r="Q58">
            <v>3</v>
          </cell>
          <cell r="T58">
            <v>0</v>
          </cell>
        </row>
        <row r="59">
          <cell r="Q59">
            <v>-4</v>
          </cell>
          <cell r="T59">
            <v>0</v>
          </cell>
        </row>
        <row r="60">
          <cell r="Q60">
            <v>-2</v>
          </cell>
          <cell r="T60" t="str">
            <v>уточ.режима</v>
          </cell>
        </row>
        <row r="61">
          <cell r="Q61">
            <v>-13</v>
          </cell>
          <cell r="T61" t="str">
            <v>уточ.режима</v>
          </cell>
        </row>
        <row r="62">
          <cell r="Q62">
            <v>-3</v>
          </cell>
          <cell r="T62" t="str">
            <v>уточ.режима</v>
          </cell>
        </row>
        <row r="63">
          <cell r="Q63">
            <v>-6</v>
          </cell>
          <cell r="T63">
            <v>0</v>
          </cell>
        </row>
        <row r="64">
          <cell r="Q64">
            <v>0</v>
          </cell>
          <cell r="T64" t="str">
            <v>уточ.режима</v>
          </cell>
        </row>
        <row r="65">
          <cell r="Q65">
            <v>0</v>
          </cell>
          <cell r="T65" t="str">
            <v>уточ.режима</v>
          </cell>
        </row>
        <row r="66">
          <cell r="Q66">
            <v>-1</v>
          </cell>
          <cell r="T66">
            <v>0</v>
          </cell>
        </row>
        <row r="67">
          <cell r="Q67">
            <v>0</v>
          </cell>
          <cell r="T67">
            <v>0</v>
          </cell>
        </row>
        <row r="68">
          <cell r="Q68">
            <v>-2</v>
          </cell>
          <cell r="T68" t="str">
            <v>уточ.режима</v>
          </cell>
        </row>
        <row r="69">
          <cell r="Q69">
            <v>0</v>
          </cell>
          <cell r="T69">
            <v>0</v>
          </cell>
        </row>
        <row r="70">
          <cell r="Q70">
            <v>3</v>
          </cell>
          <cell r="T70">
            <v>0</v>
          </cell>
        </row>
        <row r="71">
          <cell r="Q71">
            <v>1</v>
          </cell>
          <cell r="T71">
            <v>0</v>
          </cell>
        </row>
        <row r="72">
          <cell r="Q72">
            <v>-27</v>
          </cell>
          <cell r="T72" t="str">
            <v>ипп</v>
          </cell>
        </row>
        <row r="73">
          <cell r="Q73">
            <v>0</v>
          </cell>
          <cell r="T73">
            <v>0</v>
          </cell>
        </row>
        <row r="74">
          <cell r="Q74">
            <v>-1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-4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-2</v>
          </cell>
          <cell r="T78">
            <v>0</v>
          </cell>
        </row>
        <row r="79">
          <cell r="Q79">
            <v>-2</v>
          </cell>
          <cell r="T79">
            <v>0</v>
          </cell>
        </row>
        <row r="80">
          <cell r="Q80">
            <v>-2</v>
          </cell>
          <cell r="T80">
            <v>0</v>
          </cell>
        </row>
        <row r="81">
          <cell r="Q81">
            <v>-1</v>
          </cell>
          <cell r="T81">
            <v>0</v>
          </cell>
        </row>
        <row r="82">
          <cell r="Q82">
            <v>0</v>
          </cell>
          <cell r="T82">
            <v>0</v>
          </cell>
        </row>
        <row r="83">
          <cell r="Q83">
            <v>-6</v>
          </cell>
          <cell r="T83">
            <v>0</v>
          </cell>
        </row>
        <row r="84">
          <cell r="Q84">
            <v>16</v>
          </cell>
          <cell r="T84">
            <v>0</v>
          </cell>
        </row>
        <row r="85">
          <cell r="Q85">
            <v>2</v>
          </cell>
          <cell r="T85" t="str">
            <v>уточ.режима</v>
          </cell>
        </row>
        <row r="86">
          <cell r="Q86">
            <v>-3</v>
          </cell>
          <cell r="T86" t="str">
            <v>вода</v>
          </cell>
        </row>
        <row r="87">
          <cell r="Q87">
            <v>1</v>
          </cell>
          <cell r="T87">
            <v>0</v>
          </cell>
        </row>
        <row r="88">
          <cell r="Q88">
            <v>0</v>
          </cell>
          <cell r="T88">
            <v>0</v>
          </cell>
        </row>
        <row r="89">
          <cell r="Q89">
            <v>6</v>
          </cell>
          <cell r="T89">
            <v>0</v>
          </cell>
        </row>
        <row r="90">
          <cell r="Q90">
            <v>-2</v>
          </cell>
          <cell r="T90">
            <v>0</v>
          </cell>
        </row>
        <row r="91">
          <cell r="Q91">
            <v>2</v>
          </cell>
          <cell r="T91">
            <v>0</v>
          </cell>
        </row>
        <row r="92">
          <cell r="Q92">
            <v>11</v>
          </cell>
          <cell r="T92" t="str">
            <v>прс</v>
          </cell>
        </row>
        <row r="93">
          <cell r="Q93">
            <v>21</v>
          </cell>
          <cell r="T93" t="str">
            <v>прс</v>
          </cell>
        </row>
        <row r="94">
          <cell r="Q94">
            <v>-1</v>
          </cell>
          <cell r="T94">
            <v>0</v>
          </cell>
        </row>
        <row r="95">
          <cell r="Q95">
            <v>0</v>
          </cell>
          <cell r="T95">
            <v>0</v>
          </cell>
        </row>
        <row r="96">
          <cell r="Q96">
            <v>-1</v>
          </cell>
          <cell r="T96">
            <v>0</v>
          </cell>
        </row>
        <row r="97">
          <cell r="Q97">
            <v>-12</v>
          </cell>
          <cell r="T97" t="str">
            <v>по</v>
          </cell>
        </row>
        <row r="98">
          <cell r="Q98">
            <v>0</v>
          </cell>
          <cell r="T98">
            <v>0</v>
          </cell>
        </row>
        <row r="99">
          <cell r="Q99">
            <v>-2</v>
          </cell>
          <cell r="T99">
            <v>0</v>
          </cell>
        </row>
        <row r="100">
          <cell r="Q100">
            <v>9</v>
          </cell>
          <cell r="T100" t="str">
            <v>прс</v>
          </cell>
        </row>
        <row r="101">
          <cell r="Q101">
            <v>2</v>
          </cell>
          <cell r="T101">
            <v>0</v>
          </cell>
        </row>
        <row r="102">
          <cell r="Q102">
            <v>1</v>
          </cell>
          <cell r="T102">
            <v>0</v>
          </cell>
        </row>
        <row r="103">
          <cell r="Q103" t="e">
            <v>#N/A</v>
          </cell>
          <cell r="T103" t="e">
            <v>#N/A</v>
          </cell>
        </row>
        <row r="104">
          <cell r="Q104">
            <v>0</v>
          </cell>
          <cell r="T104" t="str">
            <v>вода</v>
          </cell>
        </row>
        <row r="105">
          <cell r="Q105">
            <v>-1</v>
          </cell>
          <cell r="T105" t="str">
            <v>уточ.режима</v>
          </cell>
        </row>
        <row r="106">
          <cell r="Q106">
            <v>-1</v>
          </cell>
          <cell r="T106">
            <v>0</v>
          </cell>
        </row>
        <row r="107">
          <cell r="Q107">
            <v>-1</v>
          </cell>
          <cell r="T107">
            <v>0</v>
          </cell>
        </row>
        <row r="108">
          <cell r="Q108">
            <v>2</v>
          </cell>
          <cell r="T108">
            <v>0</v>
          </cell>
        </row>
        <row r="109">
          <cell r="Q109">
            <v>1</v>
          </cell>
          <cell r="T109">
            <v>0</v>
          </cell>
        </row>
        <row r="110">
          <cell r="Q110">
            <v>9</v>
          </cell>
          <cell r="T110">
            <v>0</v>
          </cell>
        </row>
        <row r="111">
          <cell r="Q111">
            <v>-6</v>
          </cell>
          <cell r="T111">
            <v>0</v>
          </cell>
        </row>
        <row r="112">
          <cell r="Q112">
            <v>3</v>
          </cell>
          <cell r="T112">
            <v>0</v>
          </cell>
        </row>
        <row r="113">
          <cell r="Q113">
            <v>0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-2</v>
          </cell>
          <cell r="T115">
            <v>0</v>
          </cell>
        </row>
        <row r="116">
          <cell r="Q116">
            <v>-2</v>
          </cell>
          <cell r="T116">
            <v>0</v>
          </cell>
        </row>
        <row r="117">
          <cell r="Q117">
            <v>-3</v>
          </cell>
          <cell r="T117">
            <v>0</v>
          </cell>
        </row>
        <row r="118">
          <cell r="Q118">
            <v>1</v>
          </cell>
          <cell r="T118">
            <v>0</v>
          </cell>
        </row>
        <row r="119">
          <cell r="Q119">
            <v>11</v>
          </cell>
          <cell r="T119">
            <v>0</v>
          </cell>
        </row>
        <row r="120">
          <cell r="Q120">
            <v>-18</v>
          </cell>
          <cell r="T120">
            <v>0</v>
          </cell>
        </row>
        <row r="121">
          <cell r="Q121">
            <v>0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-3</v>
          </cell>
          <cell r="T123">
            <v>0</v>
          </cell>
        </row>
        <row r="124">
          <cell r="Q124">
            <v>-3</v>
          </cell>
          <cell r="T124">
            <v>0</v>
          </cell>
        </row>
        <row r="125">
          <cell r="Q125">
            <v>0</v>
          </cell>
          <cell r="T125">
            <v>0</v>
          </cell>
        </row>
        <row r="126">
          <cell r="Q126">
            <v>-4</v>
          </cell>
          <cell r="T126">
            <v>0</v>
          </cell>
        </row>
        <row r="127">
          <cell r="Q127">
            <v>-1</v>
          </cell>
          <cell r="T127">
            <v>0</v>
          </cell>
        </row>
        <row r="128">
          <cell r="Q128">
            <v>1</v>
          </cell>
          <cell r="T128">
            <v>0</v>
          </cell>
        </row>
        <row r="129">
          <cell r="Q129">
            <v>-1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1</v>
          </cell>
          <cell r="T132">
            <v>0</v>
          </cell>
        </row>
        <row r="133">
          <cell r="Q133">
            <v>1</v>
          </cell>
          <cell r="T133">
            <v>0</v>
          </cell>
        </row>
        <row r="134">
          <cell r="Q134">
            <v>11</v>
          </cell>
          <cell r="T134" t="str">
            <v>опт</v>
          </cell>
        </row>
        <row r="135">
          <cell r="Q135">
            <v>0</v>
          </cell>
          <cell r="T135">
            <v>0</v>
          </cell>
        </row>
        <row r="136">
          <cell r="Q136">
            <v>-3</v>
          </cell>
          <cell r="T136" t="str">
            <v>уточ.режима</v>
          </cell>
        </row>
        <row r="137">
          <cell r="Q137">
            <v>-2</v>
          </cell>
          <cell r="T137" t="str">
            <v>уточ.режима</v>
          </cell>
        </row>
        <row r="138">
          <cell r="Q138">
            <v>-1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-5</v>
          </cell>
          <cell r="T140" t="str">
            <v>уточ.режима</v>
          </cell>
        </row>
        <row r="141">
          <cell r="Q141">
            <v>-1</v>
          </cell>
          <cell r="T141">
            <v>0</v>
          </cell>
        </row>
        <row r="142">
          <cell r="Q142">
            <v>0</v>
          </cell>
          <cell r="T142">
            <v>0</v>
          </cell>
        </row>
        <row r="143">
          <cell r="Q143">
            <v>-2</v>
          </cell>
          <cell r="T143">
            <v>0</v>
          </cell>
        </row>
        <row r="144">
          <cell r="Q144">
            <v>6</v>
          </cell>
          <cell r="T144">
            <v>0</v>
          </cell>
        </row>
        <row r="145">
          <cell r="Q145">
            <v>-3</v>
          </cell>
          <cell r="T145">
            <v>0</v>
          </cell>
        </row>
        <row r="146">
          <cell r="Q146">
            <v>0</v>
          </cell>
          <cell r="T146" t="str">
            <v>уточ.режима</v>
          </cell>
        </row>
        <row r="147">
          <cell r="Q147">
            <v>-1</v>
          </cell>
          <cell r="T147">
            <v>0</v>
          </cell>
        </row>
        <row r="148">
          <cell r="Q148">
            <v>-4</v>
          </cell>
          <cell r="T148">
            <v>0</v>
          </cell>
        </row>
        <row r="149">
          <cell r="Q149">
            <v>-4</v>
          </cell>
          <cell r="T149">
            <v>0</v>
          </cell>
        </row>
        <row r="150">
          <cell r="Q150">
            <v>0</v>
          </cell>
          <cell r="T150">
            <v>0</v>
          </cell>
        </row>
        <row r="151">
          <cell r="Q151">
            <v>0</v>
          </cell>
          <cell r="T151">
            <v>0</v>
          </cell>
        </row>
        <row r="152">
          <cell r="Q152">
            <v>19</v>
          </cell>
          <cell r="T152" t="str">
            <v>прс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-9</v>
          </cell>
          <cell r="T154" t="str">
            <v>сн.грп</v>
          </cell>
        </row>
        <row r="155">
          <cell r="Q155">
            <v>0</v>
          </cell>
          <cell r="T155">
            <v>0</v>
          </cell>
        </row>
        <row r="156">
          <cell r="Q156">
            <v>-68</v>
          </cell>
          <cell r="T156" t="str">
            <v>сн.грп</v>
          </cell>
        </row>
        <row r="157">
          <cell r="Q157" t="e">
            <v>#N/A</v>
          </cell>
          <cell r="T157" t="e">
            <v>#N/A</v>
          </cell>
        </row>
        <row r="158">
          <cell r="Q158">
            <v>1</v>
          </cell>
          <cell r="T158">
            <v>0</v>
          </cell>
        </row>
        <row r="159">
          <cell r="Q159">
            <v>-10</v>
          </cell>
          <cell r="T159" t="str">
            <v>ипп</v>
          </cell>
        </row>
        <row r="160">
          <cell r="Q160">
            <v>0</v>
          </cell>
          <cell r="T160">
            <v>0</v>
          </cell>
        </row>
        <row r="161">
          <cell r="Q161">
            <v>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0</v>
          </cell>
          <cell r="T163">
            <v>0</v>
          </cell>
        </row>
        <row r="164">
          <cell r="Q164">
            <v>-3</v>
          </cell>
          <cell r="T164" t="str">
            <v>уточ.режима</v>
          </cell>
        </row>
        <row r="165">
          <cell r="Q165">
            <v>0</v>
          </cell>
          <cell r="T165">
            <v>0</v>
          </cell>
        </row>
        <row r="166">
          <cell r="Q166">
            <v>0</v>
          </cell>
          <cell r="T166">
            <v>0</v>
          </cell>
        </row>
        <row r="167">
          <cell r="Q167">
            <v>0</v>
          </cell>
          <cell r="T167">
            <v>0</v>
          </cell>
        </row>
        <row r="168">
          <cell r="Q168">
            <v>4</v>
          </cell>
          <cell r="T168">
            <v>0</v>
          </cell>
        </row>
        <row r="169">
          <cell r="Q169">
            <v>11</v>
          </cell>
          <cell r="T169">
            <v>0</v>
          </cell>
        </row>
        <row r="170">
          <cell r="Q170">
            <v>12</v>
          </cell>
          <cell r="T170" t="str">
            <v>вода</v>
          </cell>
        </row>
        <row r="171">
          <cell r="Q171">
            <v>-5</v>
          </cell>
          <cell r="T171" t="str">
            <v>уточ.режима</v>
          </cell>
        </row>
        <row r="172">
          <cell r="Q172">
            <v>-7</v>
          </cell>
          <cell r="T172">
            <v>0</v>
          </cell>
        </row>
        <row r="173">
          <cell r="Q173">
            <v>1</v>
          </cell>
          <cell r="T173" t="str">
            <v>уточ.режима</v>
          </cell>
        </row>
        <row r="174">
          <cell r="Q174">
            <v>-5</v>
          </cell>
          <cell r="T174">
            <v>0</v>
          </cell>
        </row>
        <row r="175">
          <cell r="Q175">
            <v>-1</v>
          </cell>
          <cell r="T175">
            <v>0</v>
          </cell>
        </row>
        <row r="176">
          <cell r="Q176">
            <v>2</v>
          </cell>
          <cell r="T176">
            <v>0</v>
          </cell>
        </row>
        <row r="177">
          <cell r="Q177">
            <v>-8</v>
          </cell>
          <cell r="T177" t="str">
            <v>ипп</v>
          </cell>
        </row>
        <row r="178">
          <cell r="Q178">
            <v>-1</v>
          </cell>
          <cell r="T178">
            <v>0</v>
          </cell>
        </row>
        <row r="179">
          <cell r="Q179">
            <v>11</v>
          </cell>
          <cell r="T179" t="str">
            <v>прс</v>
          </cell>
        </row>
        <row r="180">
          <cell r="Q180">
            <v>-1</v>
          </cell>
          <cell r="T180">
            <v>0</v>
          </cell>
        </row>
        <row r="181">
          <cell r="Q181">
            <v>0</v>
          </cell>
          <cell r="T181">
            <v>0</v>
          </cell>
        </row>
        <row r="182">
          <cell r="Q182">
            <v>0</v>
          </cell>
          <cell r="T182">
            <v>0</v>
          </cell>
        </row>
        <row r="183">
          <cell r="Q183">
            <v>-1</v>
          </cell>
          <cell r="T183">
            <v>0</v>
          </cell>
        </row>
        <row r="184">
          <cell r="Q184">
            <v>0</v>
          </cell>
          <cell r="T184">
            <v>0</v>
          </cell>
        </row>
        <row r="185">
          <cell r="Q185">
            <v>-1</v>
          </cell>
          <cell r="T185">
            <v>0</v>
          </cell>
        </row>
        <row r="186">
          <cell r="Q186">
            <v>0</v>
          </cell>
          <cell r="T186">
            <v>0</v>
          </cell>
        </row>
        <row r="187">
          <cell r="Q187">
            <v>4</v>
          </cell>
          <cell r="T187">
            <v>0</v>
          </cell>
        </row>
        <row r="188">
          <cell r="Q188">
            <v>-1</v>
          </cell>
          <cell r="T188">
            <v>0</v>
          </cell>
        </row>
        <row r="189">
          <cell r="Q189">
            <v>-1</v>
          </cell>
          <cell r="T189" t="str">
            <v>вода</v>
          </cell>
        </row>
        <row r="190">
          <cell r="Q190">
            <v>0</v>
          </cell>
          <cell r="T190">
            <v>0</v>
          </cell>
        </row>
        <row r="191">
          <cell r="Q191">
            <v>11</v>
          </cell>
          <cell r="T191" t="str">
            <v>уточ.режима</v>
          </cell>
        </row>
        <row r="192">
          <cell r="Q192">
            <v>2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-19</v>
          </cell>
          <cell r="T194" t="str">
            <v>уточ.режима</v>
          </cell>
        </row>
        <row r="195">
          <cell r="Q195">
            <v>0</v>
          </cell>
          <cell r="T195" t="str">
            <v>уточ.режима</v>
          </cell>
        </row>
        <row r="196">
          <cell r="Q196">
            <v>1</v>
          </cell>
          <cell r="T196" t="str">
            <v>уточ.режима</v>
          </cell>
        </row>
        <row r="197">
          <cell r="Q197">
            <v>1</v>
          </cell>
          <cell r="T197">
            <v>0</v>
          </cell>
        </row>
        <row r="198">
          <cell r="Q198">
            <v>-3</v>
          </cell>
          <cell r="T198" t="str">
            <v>вода</v>
          </cell>
        </row>
        <row r="199">
          <cell r="Q199">
            <v>-1</v>
          </cell>
          <cell r="T199">
            <v>0</v>
          </cell>
        </row>
        <row r="200">
          <cell r="Q200">
            <v>0</v>
          </cell>
          <cell r="T200" t="str">
            <v>уточ.режима</v>
          </cell>
        </row>
        <row r="201">
          <cell r="Q201">
            <v>0</v>
          </cell>
          <cell r="T201">
            <v>0</v>
          </cell>
        </row>
        <row r="202">
          <cell r="Q202">
            <v>0</v>
          </cell>
          <cell r="T202" t="str">
            <v>уточ.режима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-2</v>
          </cell>
          <cell r="T205">
            <v>0</v>
          </cell>
        </row>
        <row r="206">
          <cell r="Q206">
            <v>0</v>
          </cell>
          <cell r="T206" t="str">
            <v>уточ.режима</v>
          </cell>
        </row>
        <row r="207">
          <cell r="Q207">
            <v>0</v>
          </cell>
          <cell r="T207">
            <v>0</v>
          </cell>
        </row>
        <row r="208">
          <cell r="Q208">
            <v>-1</v>
          </cell>
          <cell r="T208">
            <v>0</v>
          </cell>
        </row>
        <row r="209">
          <cell r="Q209">
            <v>4</v>
          </cell>
          <cell r="T209">
            <v>0</v>
          </cell>
        </row>
        <row r="210">
          <cell r="Q210">
            <v>0</v>
          </cell>
          <cell r="T210">
            <v>0</v>
          </cell>
        </row>
        <row r="211">
          <cell r="Q211">
            <v>2</v>
          </cell>
          <cell r="T211">
            <v>0</v>
          </cell>
        </row>
        <row r="212">
          <cell r="Q212" t="e">
            <v>#N/A</v>
          </cell>
          <cell r="T212" t="e">
            <v>#N/A</v>
          </cell>
        </row>
        <row r="213">
          <cell r="Q213">
            <v>-1</v>
          </cell>
          <cell r="T213">
            <v>0</v>
          </cell>
        </row>
        <row r="214">
          <cell r="Q214">
            <v>0</v>
          </cell>
          <cell r="T214">
            <v>0</v>
          </cell>
        </row>
        <row r="215">
          <cell r="Q215">
            <v>-1</v>
          </cell>
          <cell r="T215">
            <v>0</v>
          </cell>
        </row>
        <row r="216">
          <cell r="Q216">
            <v>0</v>
          </cell>
          <cell r="T216">
            <v>0</v>
          </cell>
        </row>
        <row r="217">
          <cell r="Q217">
            <v>31</v>
          </cell>
          <cell r="T217" t="str">
            <v>уточ.режима</v>
          </cell>
        </row>
        <row r="218">
          <cell r="Q218">
            <v>0</v>
          </cell>
          <cell r="T218">
            <v>0</v>
          </cell>
        </row>
        <row r="219">
          <cell r="Q219">
            <v>0</v>
          </cell>
          <cell r="T219" t="str">
            <v>уточ.режима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-2</v>
          </cell>
          <cell r="T222">
            <v>0</v>
          </cell>
        </row>
        <row r="223">
          <cell r="Q223">
            <v>1</v>
          </cell>
          <cell r="T223" t="str">
            <v>уточ.режима</v>
          </cell>
        </row>
        <row r="224">
          <cell r="Q224">
            <v>0</v>
          </cell>
          <cell r="T224">
            <v>0</v>
          </cell>
        </row>
        <row r="225">
          <cell r="Q225">
            <v>-6</v>
          </cell>
          <cell r="T225">
            <v>0</v>
          </cell>
        </row>
        <row r="226">
          <cell r="Q226">
            <v>2</v>
          </cell>
          <cell r="T226">
            <v>0</v>
          </cell>
        </row>
        <row r="227">
          <cell r="Q227">
            <v>50</v>
          </cell>
          <cell r="T227" t="str">
            <v>грп</v>
          </cell>
        </row>
        <row r="228">
          <cell r="Q228">
            <v>3</v>
          </cell>
          <cell r="T228" t="str">
            <v>вода</v>
          </cell>
        </row>
        <row r="229">
          <cell r="Q229">
            <v>-1</v>
          </cell>
          <cell r="T229">
            <v>0</v>
          </cell>
        </row>
        <row r="230">
          <cell r="Q230">
            <v>-3</v>
          </cell>
          <cell r="T230">
            <v>0</v>
          </cell>
        </row>
        <row r="231">
          <cell r="Q231">
            <v>-2</v>
          </cell>
          <cell r="T231">
            <v>0</v>
          </cell>
        </row>
        <row r="232">
          <cell r="Q232">
            <v>-3</v>
          </cell>
          <cell r="T232" t="str">
            <v>уточ.режима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-1</v>
          </cell>
          <cell r="T235" t="str">
            <v>уточ.режима</v>
          </cell>
        </row>
        <row r="236">
          <cell r="Q236">
            <v>0</v>
          </cell>
          <cell r="T236" t="str">
            <v>уточ.режима</v>
          </cell>
        </row>
        <row r="237">
          <cell r="Q237">
            <v>0</v>
          </cell>
          <cell r="T237">
            <v>0</v>
          </cell>
        </row>
        <row r="238">
          <cell r="Q238">
            <v>2</v>
          </cell>
          <cell r="T238">
            <v>0</v>
          </cell>
        </row>
        <row r="239">
          <cell r="Q239">
            <v>-1</v>
          </cell>
          <cell r="T239">
            <v>0</v>
          </cell>
        </row>
        <row r="240">
          <cell r="Q240">
            <v>-1</v>
          </cell>
          <cell r="T240">
            <v>0</v>
          </cell>
        </row>
        <row r="241">
          <cell r="Q241">
            <v>-1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-1</v>
          </cell>
          <cell r="T243">
            <v>0</v>
          </cell>
        </row>
        <row r="244">
          <cell r="Q244">
            <v>-2</v>
          </cell>
          <cell r="T244">
            <v>0</v>
          </cell>
        </row>
        <row r="245">
          <cell r="Q245">
            <v>-1</v>
          </cell>
          <cell r="T245">
            <v>0</v>
          </cell>
        </row>
        <row r="246">
          <cell r="Q246">
            <v>-1</v>
          </cell>
          <cell r="T246">
            <v>0</v>
          </cell>
        </row>
        <row r="247">
          <cell r="Q247">
            <v>0</v>
          </cell>
          <cell r="T247" t="str">
            <v>уточ.режима</v>
          </cell>
        </row>
        <row r="248">
          <cell r="Q248">
            <v>7</v>
          </cell>
          <cell r="T248" t="str">
            <v>уточ.режима</v>
          </cell>
        </row>
        <row r="249">
          <cell r="Q249">
            <v>0</v>
          </cell>
          <cell r="T249">
            <v>0</v>
          </cell>
        </row>
        <row r="250">
          <cell r="Q250">
            <v>0</v>
          </cell>
          <cell r="T250">
            <v>0</v>
          </cell>
        </row>
        <row r="251">
          <cell r="Q251">
            <v>0</v>
          </cell>
          <cell r="T251">
            <v>0</v>
          </cell>
        </row>
        <row r="252">
          <cell r="Q252">
            <v>0</v>
          </cell>
          <cell r="T252">
            <v>0</v>
          </cell>
        </row>
        <row r="253">
          <cell r="Q253">
            <v>0</v>
          </cell>
          <cell r="T253">
            <v>0</v>
          </cell>
        </row>
        <row r="254">
          <cell r="Q254">
            <v>-1</v>
          </cell>
          <cell r="T254">
            <v>0</v>
          </cell>
        </row>
        <row r="255">
          <cell r="Q255">
            <v>0</v>
          </cell>
          <cell r="T255">
            <v>0</v>
          </cell>
        </row>
        <row r="256">
          <cell r="Q256">
            <v>0</v>
          </cell>
          <cell r="T256">
            <v>0</v>
          </cell>
        </row>
        <row r="257">
          <cell r="Q257">
            <v>0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-6</v>
          </cell>
          <cell r="T259">
            <v>0</v>
          </cell>
        </row>
        <row r="260">
          <cell r="Q260">
            <v>1</v>
          </cell>
          <cell r="T260">
            <v>0</v>
          </cell>
        </row>
        <row r="261">
          <cell r="Q261">
            <v>0</v>
          </cell>
          <cell r="T261" t="str">
            <v>вода</v>
          </cell>
        </row>
        <row r="262">
          <cell r="Q262">
            <v>45</v>
          </cell>
          <cell r="T262">
            <v>0</v>
          </cell>
        </row>
        <row r="263">
          <cell r="Q263">
            <v>1</v>
          </cell>
          <cell r="T263">
            <v>0</v>
          </cell>
        </row>
        <row r="264">
          <cell r="Q264">
            <v>72</v>
          </cell>
          <cell r="T264" t="str">
            <v>грп</v>
          </cell>
        </row>
        <row r="265">
          <cell r="Q265">
            <v>-1</v>
          </cell>
          <cell r="T265">
            <v>0</v>
          </cell>
        </row>
        <row r="266">
          <cell r="Q266">
            <v>0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-1</v>
          </cell>
          <cell r="T268" t="str">
            <v>уточ.режима</v>
          </cell>
        </row>
        <row r="269">
          <cell r="Q269">
            <v>2</v>
          </cell>
          <cell r="T269">
            <v>0</v>
          </cell>
        </row>
        <row r="270">
          <cell r="Q270">
            <v>-2</v>
          </cell>
          <cell r="T270">
            <v>0</v>
          </cell>
        </row>
        <row r="271">
          <cell r="Q271">
            <v>20</v>
          </cell>
          <cell r="T271" t="str">
            <v>опт</v>
          </cell>
        </row>
        <row r="272">
          <cell r="Q272">
            <v>-1</v>
          </cell>
          <cell r="T272" t="str">
            <v>уточ.режима</v>
          </cell>
        </row>
        <row r="273">
          <cell r="Q273">
            <v>0</v>
          </cell>
          <cell r="T273">
            <v>0</v>
          </cell>
        </row>
        <row r="274">
          <cell r="Q274">
            <v>-11</v>
          </cell>
          <cell r="T274" t="str">
            <v>сн.опт</v>
          </cell>
        </row>
        <row r="275">
          <cell r="Q275">
            <v>-2</v>
          </cell>
          <cell r="T275">
            <v>0</v>
          </cell>
        </row>
        <row r="276">
          <cell r="Q276">
            <v>0</v>
          </cell>
          <cell r="T276">
            <v>0</v>
          </cell>
        </row>
        <row r="277">
          <cell r="Q277">
            <v>-2</v>
          </cell>
          <cell r="T277">
            <v>0</v>
          </cell>
        </row>
        <row r="278">
          <cell r="Q278">
            <v>-5</v>
          </cell>
          <cell r="T278" t="str">
            <v>по</v>
          </cell>
        </row>
        <row r="279">
          <cell r="Q279">
            <v>0</v>
          </cell>
          <cell r="T279">
            <v>0</v>
          </cell>
        </row>
        <row r="280">
          <cell r="Q280">
            <v>-3</v>
          </cell>
          <cell r="T280" t="str">
            <v>вода</v>
          </cell>
        </row>
        <row r="281">
          <cell r="Q281">
            <v>31</v>
          </cell>
          <cell r="T281" t="str">
            <v>уточ.режима</v>
          </cell>
        </row>
        <row r="282">
          <cell r="Q282">
            <v>-1</v>
          </cell>
          <cell r="T282">
            <v>0</v>
          </cell>
        </row>
        <row r="283">
          <cell r="Q283">
            <v>-2</v>
          </cell>
          <cell r="T283" t="str">
            <v>уточ.режима</v>
          </cell>
        </row>
        <row r="284">
          <cell r="Q284">
            <v>4</v>
          </cell>
          <cell r="T284">
            <v>0</v>
          </cell>
        </row>
        <row r="285">
          <cell r="Q285">
            <v>-15</v>
          </cell>
          <cell r="T285" t="str">
            <v>по</v>
          </cell>
        </row>
        <row r="286">
          <cell r="Q286">
            <v>-2</v>
          </cell>
          <cell r="T286">
            <v>0</v>
          </cell>
        </row>
        <row r="287">
          <cell r="Q287">
            <v>-1</v>
          </cell>
          <cell r="T287">
            <v>0</v>
          </cell>
        </row>
        <row r="288">
          <cell r="Q288">
            <v>-2</v>
          </cell>
          <cell r="T288">
            <v>0</v>
          </cell>
        </row>
        <row r="289">
          <cell r="Q289">
            <v>4</v>
          </cell>
          <cell r="T289">
            <v>0</v>
          </cell>
        </row>
        <row r="290">
          <cell r="Q290">
            <v>3</v>
          </cell>
          <cell r="T290" t="str">
            <v>уточ.режима</v>
          </cell>
        </row>
        <row r="291">
          <cell r="Q291">
            <v>-4</v>
          </cell>
          <cell r="T291" t="str">
            <v>сн.опт</v>
          </cell>
        </row>
        <row r="292">
          <cell r="Q292">
            <v>-1</v>
          </cell>
          <cell r="T292" t="str">
            <v>уточ.режима</v>
          </cell>
        </row>
        <row r="293">
          <cell r="Q293">
            <v>-3</v>
          </cell>
          <cell r="T293">
            <v>0</v>
          </cell>
        </row>
        <row r="294">
          <cell r="Q294">
            <v>-1</v>
          </cell>
          <cell r="T294">
            <v>0</v>
          </cell>
        </row>
        <row r="295">
          <cell r="Q295">
            <v>-4</v>
          </cell>
          <cell r="T295">
            <v>0</v>
          </cell>
        </row>
        <row r="296">
          <cell r="Q296">
            <v>1</v>
          </cell>
          <cell r="T296">
            <v>0</v>
          </cell>
        </row>
        <row r="297">
          <cell r="Q297">
            <v>6</v>
          </cell>
          <cell r="T297" t="str">
            <v>уточ.режима</v>
          </cell>
        </row>
        <row r="298">
          <cell r="Q298">
            <v>-7</v>
          </cell>
          <cell r="T298" t="str">
            <v>уточ.режима</v>
          </cell>
        </row>
        <row r="299">
          <cell r="Q299">
            <v>0</v>
          </cell>
          <cell r="T299">
            <v>0</v>
          </cell>
        </row>
        <row r="300">
          <cell r="Q300">
            <v>-2</v>
          </cell>
          <cell r="T300">
            <v>0</v>
          </cell>
        </row>
        <row r="301">
          <cell r="Q301">
            <v>-5</v>
          </cell>
          <cell r="T301" t="str">
            <v>уточ.режима</v>
          </cell>
        </row>
        <row r="302">
          <cell r="Q302">
            <v>4</v>
          </cell>
          <cell r="T302">
            <v>0</v>
          </cell>
        </row>
        <row r="303">
          <cell r="Q303">
            <v>0</v>
          </cell>
          <cell r="T303" t="str">
            <v>уточ.режима</v>
          </cell>
        </row>
        <row r="304">
          <cell r="Q304">
            <v>-5</v>
          </cell>
          <cell r="T304" t="str">
            <v>уточ.режима</v>
          </cell>
        </row>
        <row r="305">
          <cell r="Q305">
            <v>0</v>
          </cell>
          <cell r="T305">
            <v>0</v>
          </cell>
        </row>
        <row r="306">
          <cell r="Q306">
            <v>0</v>
          </cell>
          <cell r="T306">
            <v>0</v>
          </cell>
        </row>
        <row r="307">
          <cell r="Q307">
            <v>-1</v>
          </cell>
          <cell r="T307">
            <v>0</v>
          </cell>
        </row>
        <row r="308">
          <cell r="Q308">
            <v>0</v>
          </cell>
          <cell r="T308">
            <v>0</v>
          </cell>
        </row>
        <row r="309">
          <cell r="Q309">
            <v>2</v>
          </cell>
          <cell r="T309">
            <v>0</v>
          </cell>
        </row>
        <row r="310">
          <cell r="Q310">
            <v>-8</v>
          </cell>
          <cell r="T310" t="str">
            <v>уточ.режима</v>
          </cell>
        </row>
        <row r="311">
          <cell r="Q311">
            <v>0</v>
          </cell>
          <cell r="T311">
            <v>0</v>
          </cell>
        </row>
        <row r="312">
          <cell r="Q312">
            <v>1</v>
          </cell>
          <cell r="T312" t="str">
            <v>уточ.режима</v>
          </cell>
        </row>
        <row r="313">
          <cell r="Q313">
            <v>-2</v>
          </cell>
          <cell r="T313">
            <v>0</v>
          </cell>
        </row>
        <row r="314">
          <cell r="Q314">
            <v>0</v>
          </cell>
          <cell r="T314" t="str">
            <v>прс</v>
          </cell>
        </row>
        <row r="315">
          <cell r="Q315">
            <v>0</v>
          </cell>
          <cell r="T315">
            <v>0</v>
          </cell>
        </row>
        <row r="316">
          <cell r="Q316">
            <v>0</v>
          </cell>
          <cell r="T316" t="str">
            <v>уточ.режима</v>
          </cell>
        </row>
        <row r="317">
          <cell r="Q317">
            <v>-15</v>
          </cell>
          <cell r="T317" t="str">
            <v>ипп</v>
          </cell>
        </row>
        <row r="318">
          <cell r="Q318">
            <v>1</v>
          </cell>
          <cell r="T318">
            <v>0</v>
          </cell>
        </row>
        <row r="319">
          <cell r="Q319">
            <v>0</v>
          </cell>
          <cell r="T319">
            <v>0</v>
          </cell>
        </row>
        <row r="320">
          <cell r="Q320">
            <v>0</v>
          </cell>
          <cell r="T320">
            <v>0</v>
          </cell>
        </row>
        <row r="321">
          <cell r="Q321">
            <v>-2</v>
          </cell>
          <cell r="T321">
            <v>0</v>
          </cell>
        </row>
        <row r="322">
          <cell r="Q322">
            <v>0</v>
          </cell>
          <cell r="T322">
            <v>0</v>
          </cell>
        </row>
        <row r="323">
          <cell r="Q323">
            <v>0</v>
          </cell>
          <cell r="T323">
            <v>0</v>
          </cell>
        </row>
        <row r="324">
          <cell r="Q324">
            <v>2</v>
          </cell>
          <cell r="T324" t="str">
            <v>уточ.режима</v>
          </cell>
        </row>
        <row r="325">
          <cell r="Q325">
            <v>2</v>
          </cell>
          <cell r="T325">
            <v>0</v>
          </cell>
        </row>
        <row r="326">
          <cell r="Q326">
            <v>0</v>
          </cell>
          <cell r="T326">
            <v>0</v>
          </cell>
        </row>
        <row r="327">
          <cell r="Q327">
            <v>0</v>
          </cell>
          <cell r="T327" t="str">
            <v>вода</v>
          </cell>
        </row>
        <row r="328">
          <cell r="Q328">
            <v>0</v>
          </cell>
          <cell r="T328">
            <v>0</v>
          </cell>
        </row>
        <row r="329">
          <cell r="Q329">
            <v>-3</v>
          </cell>
          <cell r="T329">
            <v>0</v>
          </cell>
        </row>
        <row r="330">
          <cell r="Q330">
            <v>-2</v>
          </cell>
          <cell r="T330">
            <v>0</v>
          </cell>
        </row>
        <row r="331">
          <cell r="Q331">
            <v>-22</v>
          </cell>
          <cell r="T331" t="str">
            <v>ипп</v>
          </cell>
        </row>
        <row r="332">
          <cell r="Q332">
            <v>-5</v>
          </cell>
          <cell r="T332">
            <v>0</v>
          </cell>
        </row>
        <row r="333">
          <cell r="Q333">
            <v>24</v>
          </cell>
          <cell r="T333">
            <v>0</v>
          </cell>
        </row>
        <row r="334">
          <cell r="Q334">
            <v>-2</v>
          </cell>
          <cell r="T334">
            <v>0</v>
          </cell>
        </row>
        <row r="335">
          <cell r="Q335">
            <v>20</v>
          </cell>
          <cell r="T335">
            <v>0</v>
          </cell>
        </row>
        <row r="336">
          <cell r="Q336">
            <v>2</v>
          </cell>
          <cell r="T336">
            <v>0</v>
          </cell>
        </row>
        <row r="337">
          <cell r="Q337">
            <v>10</v>
          </cell>
          <cell r="T337" t="str">
            <v>уточ.режима</v>
          </cell>
        </row>
        <row r="338">
          <cell r="Q338">
            <v>-2</v>
          </cell>
          <cell r="T338" t="str">
            <v>уточ.режима</v>
          </cell>
        </row>
        <row r="339">
          <cell r="Q339">
            <v>2</v>
          </cell>
          <cell r="T339">
            <v>0</v>
          </cell>
        </row>
        <row r="340">
          <cell r="Q340">
            <v>1</v>
          </cell>
          <cell r="T340">
            <v>0</v>
          </cell>
        </row>
        <row r="341">
          <cell r="Q341">
            <v>-15</v>
          </cell>
          <cell r="T341">
            <v>0</v>
          </cell>
        </row>
        <row r="342">
          <cell r="Q342">
            <v>0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-12</v>
          </cell>
          <cell r="T344">
            <v>0</v>
          </cell>
        </row>
        <row r="345">
          <cell r="Q345">
            <v>-8</v>
          </cell>
          <cell r="T345" t="str">
            <v>вода</v>
          </cell>
        </row>
        <row r="346">
          <cell r="Q346">
            <v>-3</v>
          </cell>
          <cell r="T346">
            <v>0</v>
          </cell>
        </row>
        <row r="347">
          <cell r="Q347">
            <v>0</v>
          </cell>
          <cell r="T347">
            <v>0</v>
          </cell>
        </row>
        <row r="348">
          <cell r="Q348">
            <v>0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3</v>
          </cell>
          <cell r="T350">
            <v>0</v>
          </cell>
        </row>
        <row r="351">
          <cell r="Q351">
            <v>0</v>
          </cell>
          <cell r="T351">
            <v>0</v>
          </cell>
        </row>
        <row r="352">
          <cell r="Q352">
            <v>-1</v>
          </cell>
          <cell r="T352" t="str">
            <v>уточ.режима</v>
          </cell>
        </row>
        <row r="353">
          <cell r="Q353">
            <v>0</v>
          </cell>
          <cell r="T353">
            <v>0</v>
          </cell>
        </row>
        <row r="354">
          <cell r="Q354">
            <v>2</v>
          </cell>
          <cell r="T354" t="str">
            <v>уточ.режима</v>
          </cell>
        </row>
        <row r="355">
          <cell r="Q355">
            <v>2</v>
          </cell>
          <cell r="T355">
            <v>0</v>
          </cell>
        </row>
        <row r="356">
          <cell r="Q356">
            <v>5</v>
          </cell>
          <cell r="T356" t="str">
            <v>уточ.режима</v>
          </cell>
        </row>
        <row r="357">
          <cell r="Q357">
            <v>1</v>
          </cell>
          <cell r="T357">
            <v>0</v>
          </cell>
        </row>
        <row r="358">
          <cell r="Q358">
            <v>1</v>
          </cell>
          <cell r="T358">
            <v>0</v>
          </cell>
        </row>
        <row r="359">
          <cell r="Q359">
            <v>2</v>
          </cell>
          <cell r="T359">
            <v>0</v>
          </cell>
        </row>
        <row r="360">
          <cell r="Q360">
            <v>-1</v>
          </cell>
          <cell r="T360">
            <v>0</v>
          </cell>
        </row>
        <row r="361">
          <cell r="Q361">
            <v>-5</v>
          </cell>
          <cell r="T361" t="str">
            <v>уточ.режима</v>
          </cell>
        </row>
        <row r="362">
          <cell r="Q362">
            <v>-3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-5</v>
          </cell>
          <cell r="T364" t="str">
            <v>уточ.режима</v>
          </cell>
        </row>
        <row r="365">
          <cell r="Q365">
            <v>1</v>
          </cell>
          <cell r="T365" t="str">
            <v>уточ.режима</v>
          </cell>
        </row>
        <row r="366">
          <cell r="Q366">
            <v>-1</v>
          </cell>
          <cell r="T366">
            <v>0</v>
          </cell>
        </row>
        <row r="367">
          <cell r="Q367">
            <v>-1</v>
          </cell>
          <cell r="T367" t="str">
            <v>уточ.режима</v>
          </cell>
        </row>
        <row r="368">
          <cell r="Q368">
            <v>10</v>
          </cell>
          <cell r="T368" t="str">
            <v>уточ.режима</v>
          </cell>
        </row>
        <row r="369">
          <cell r="Q369">
            <v>-4</v>
          </cell>
          <cell r="T369" t="str">
            <v>уточ.режима</v>
          </cell>
        </row>
        <row r="370">
          <cell r="Q370">
            <v>-2</v>
          </cell>
          <cell r="T370" t="str">
            <v>прс</v>
          </cell>
        </row>
        <row r="371">
          <cell r="Q371">
            <v>0</v>
          </cell>
          <cell r="T371" t="str">
            <v>сн.грп</v>
          </cell>
        </row>
        <row r="372">
          <cell r="Q372">
            <v>-2</v>
          </cell>
          <cell r="T372">
            <v>0</v>
          </cell>
        </row>
        <row r="373">
          <cell r="Q373">
            <v>0</v>
          </cell>
          <cell r="T373" t="str">
            <v>уточ.режима</v>
          </cell>
        </row>
        <row r="374">
          <cell r="Q374">
            <v>-1</v>
          </cell>
          <cell r="T374">
            <v>0</v>
          </cell>
        </row>
        <row r="375">
          <cell r="Q375">
            <v>-1</v>
          </cell>
          <cell r="T375">
            <v>0</v>
          </cell>
        </row>
        <row r="376">
          <cell r="Q376">
            <v>1</v>
          </cell>
          <cell r="T376">
            <v>0</v>
          </cell>
        </row>
        <row r="377">
          <cell r="Q377">
            <v>-2</v>
          </cell>
          <cell r="T377">
            <v>0</v>
          </cell>
        </row>
        <row r="378">
          <cell r="Q378">
            <v>-7</v>
          </cell>
          <cell r="T378">
            <v>0</v>
          </cell>
        </row>
        <row r="379">
          <cell r="Q379">
            <v>-2</v>
          </cell>
          <cell r="T379">
            <v>0</v>
          </cell>
        </row>
        <row r="380">
          <cell r="Q380">
            <v>0</v>
          </cell>
          <cell r="T380">
            <v>0</v>
          </cell>
        </row>
        <row r="381">
          <cell r="Q381">
            <v>0</v>
          </cell>
          <cell r="T381">
            <v>0</v>
          </cell>
        </row>
        <row r="382">
          <cell r="Q382">
            <v>-4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-1</v>
          </cell>
          <cell r="T385">
            <v>0</v>
          </cell>
        </row>
        <row r="386">
          <cell r="Q386">
            <v>0</v>
          </cell>
          <cell r="T386">
            <v>0</v>
          </cell>
        </row>
        <row r="387">
          <cell r="Q387">
            <v>0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 t="str">
            <v>уточ.режима</v>
          </cell>
        </row>
        <row r="391">
          <cell r="Q391">
            <v>0</v>
          </cell>
          <cell r="T391">
            <v>0</v>
          </cell>
        </row>
        <row r="392">
          <cell r="Q392">
            <v>3</v>
          </cell>
          <cell r="T392" t="str">
            <v>уточ.режима</v>
          </cell>
        </row>
        <row r="393">
          <cell r="Q393">
            <v>5</v>
          </cell>
          <cell r="T393" t="str">
            <v>прс</v>
          </cell>
        </row>
        <row r="394">
          <cell r="Q394">
            <v>-2</v>
          </cell>
          <cell r="T394">
            <v>0</v>
          </cell>
        </row>
        <row r="395">
          <cell r="Q395">
            <v>1</v>
          </cell>
          <cell r="T395" t="str">
            <v>уточ.режима</v>
          </cell>
        </row>
        <row r="396">
          <cell r="Q396">
            <v>-2</v>
          </cell>
          <cell r="T396" t="str">
            <v>уточ.режима</v>
          </cell>
        </row>
        <row r="397">
          <cell r="Q397">
            <v>3</v>
          </cell>
          <cell r="T397" t="str">
            <v>уточ.режима</v>
          </cell>
        </row>
        <row r="398">
          <cell r="Q398">
            <v>-2</v>
          </cell>
          <cell r="T398">
            <v>0</v>
          </cell>
        </row>
        <row r="399">
          <cell r="Q399">
            <v>-1</v>
          </cell>
          <cell r="T399">
            <v>0</v>
          </cell>
        </row>
        <row r="400">
          <cell r="Q400">
            <v>0</v>
          </cell>
          <cell r="T400">
            <v>0</v>
          </cell>
        </row>
        <row r="401">
          <cell r="Q401">
            <v>-2</v>
          </cell>
          <cell r="T401" t="str">
            <v>ипп</v>
          </cell>
        </row>
        <row r="402">
          <cell r="Q402">
            <v>1</v>
          </cell>
          <cell r="T402">
            <v>0</v>
          </cell>
        </row>
        <row r="403">
          <cell r="Q403">
            <v>-20</v>
          </cell>
          <cell r="T403" t="str">
            <v>уточ.режима</v>
          </cell>
        </row>
        <row r="404">
          <cell r="Q404">
            <v>-5</v>
          </cell>
          <cell r="T404" t="str">
            <v>уточ.режима</v>
          </cell>
        </row>
        <row r="405">
          <cell r="Q405">
            <v>-18</v>
          </cell>
          <cell r="T405" t="str">
            <v>уточ.режима</v>
          </cell>
        </row>
        <row r="406">
          <cell r="Q406">
            <v>-12</v>
          </cell>
          <cell r="T406" t="str">
            <v>уточ.режима</v>
          </cell>
        </row>
        <row r="407">
          <cell r="Q407">
            <v>0</v>
          </cell>
          <cell r="T407" t="str">
            <v>вода</v>
          </cell>
        </row>
        <row r="408">
          <cell r="Q408">
            <v>0</v>
          </cell>
          <cell r="T408">
            <v>0</v>
          </cell>
        </row>
        <row r="409">
          <cell r="Q409">
            <v>0</v>
          </cell>
          <cell r="T409">
            <v>0</v>
          </cell>
        </row>
        <row r="410">
          <cell r="Q410">
            <v>0</v>
          </cell>
          <cell r="T410">
            <v>0</v>
          </cell>
        </row>
        <row r="411">
          <cell r="Q411">
            <v>0</v>
          </cell>
          <cell r="T411">
            <v>0</v>
          </cell>
        </row>
        <row r="412">
          <cell r="Q412">
            <v>0</v>
          </cell>
          <cell r="T412">
            <v>0</v>
          </cell>
        </row>
        <row r="413">
          <cell r="Q413">
            <v>0</v>
          </cell>
          <cell r="T413">
            <v>0</v>
          </cell>
        </row>
        <row r="414">
          <cell r="Q414">
            <v>-3</v>
          </cell>
          <cell r="T414">
            <v>0</v>
          </cell>
        </row>
        <row r="415">
          <cell r="Q415">
            <v>-1</v>
          </cell>
          <cell r="T415">
            <v>0</v>
          </cell>
        </row>
        <row r="416">
          <cell r="Q416">
            <v>1</v>
          </cell>
          <cell r="T416">
            <v>0</v>
          </cell>
        </row>
        <row r="417">
          <cell r="Q417">
            <v>0</v>
          </cell>
          <cell r="T417">
            <v>0</v>
          </cell>
        </row>
        <row r="418">
          <cell r="Q418">
            <v>0</v>
          </cell>
          <cell r="T418">
            <v>0</v>
          </cell>
        </row>
        <row r="419">
          <cell r="Q419">
            <v>0</v>
          </cell>
          <cell r="T419">
            <v>0</v>
          </cell>
        </row>
        <row r="421">
          <cell r="Q421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3</v>
          </cell>
          <cell r="T7" t="str">
            <v>уточ.режима</v>
          </cell>
        </row>
        <row r="8">
          <cell r="Q8">
            <v>4</v>
          </cell>
          <cell r="T8" t="str">
            <v>вода</v>
          </cell>
        </row>
        <row r="9">
          <cell r="Q9">
            <v>0</v>
          </cell>
          <cell r="T9" t="str">
            <v>вода</v>
          </cell>
        </row>
        <row r="10">
          <cell r="Q10">
            <v>-7</v>
          </cell>
          <cell r="T10">
            <v>0</v>
          </cell>
        </row>
        <row r="11">
          <cell r="Q11">
            <v>1</v>
          </cell>
          <cell r="T11" t="str">
            <v>уточ.режима</v>
          </cell>
        </row>
        <row r="12">
          <cell r="Q12">
            <v>6</v>
          </cell>
          <cell r="T12" t="str">
            <v>уточ.режима</v>
          </cell>
        </row>
        <row r="13">
          <cell r="Q13">
            <v>-19</v>
          </cell>
          <cell r="T13" t="str">
            <v>ипп</v>
          </cell>
        </row>
        <row r="14">
          <cell r="Q14">
            <v>-1</v>
          </cell>
          <cell r="T14">
            <v>0</v>
          </cell>
        </row>
        <row r="15">
          <cell r="Q15">
            <v>3</v>
          </cell>
          <cell r="T15" t="str">
            <v>уточ.режима</v>
          </cell>
        </row>
        <row r="16">
          <cell r="Q16">
            <v>-2</v>
          </cell>
          <cell r="T16" t="str">
            <v>уточ.режима</v>
          </cell>
        </row>
        <row r="17">
          <cell r="Q17">
            <v>-7</v>
          </cell>
          <cell r="T17" t="str">
            <v>ипп</v>
          </cell>
        </row>
        <row r="18">
          <cell r="Q18">
            <v>0</v>
          </cell>
          <cell r="T18">
            <v>0</v>
          </cell>
        </row>
        <row r="19">
          <cell r="Q19">
            <v>0</v>
          </cell>
          <cell r="T19">
            <v>0</v>
          </cell>
        </row>
        <row r="20">
          <cell r="Q20">
            <v>-1</v>
          </cell>
          <cell r="T20">
            <v>0</v>
          </cell>
        </row>
        <row r="21">
          <cell r="Q21" t="e">
            <v>#N/A</v>
          </cell>
          <cell r="T21" t="e">
            <v>#N/A</v>
          </cell>
        </row>
        <row r="22">
          <cell r="Q22">
            <v>0</v>
          </cell>
          <cell r="T22">
            <v>0</v>
          </cell>
        </row>
        <row r="23">
          <cell r="Q23">
            <v>-1</v>
          </cell>
          <cell r="T23">
            <v>0</v>
          </cell>
        </row>
        <row r="24">
          <cell r="Q24">
            <v>-7</v>
          </cell>
          <cell r="T24">
            <v>0</v>
          </cell>
        </row>
        <row r="25">
          <cell r="Q25">
            <v>11</v>
          </cell>
          <cell r="T25" t="str">
            <v>прс</v>
          </cell>
        </row>
        <row r="26">
          <cell r="Q26">
            <v>-5</v>
          </cell>
          <cell r="T26" t="str">
            <v>по</v>
          </cell>
        </row>
        <row r="27">
          <cell r="Q27">
            <v>-5</v>
          </cell>
          <cell r="T27">
            <v>0</v>
          </cell>
        </row>
        <row r="28">
          <cell r="Q28">
            <v>-2</v>
          </cell>
          <cell r="T28">
            <v>0</v>
          </cell>
        </row>
        <row r="29">
          <cell r="Q29">
            <v>3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-1</v>
          </cell>
          <cell r="T32" t="str">
            <v>уточ.режима</v>
          </cell>
        </row>
        <row r="33">
          <cell r="Q33">
            <v>1</v>
          </cell>
          <cell r="T33">
            <v>0</v>
          </cell>
        </row>
        <row r="34">
          <cell r="Q34">
            <v>0</v>
          </cell>
          <cell r="T34">
            <v>0</v>
          </cell>
        </row>
        <row r="35">
          <cell r="Q35">
            <v>2</v>
          </cell>
          <cell r="T35">
            <v>0</v>
          </cell>
        </row>
        <row r="36">
          <cell r="Q36">
            <v>7</v>
          </cell>
          <cell r="T36">
            <v>0</v>
          </cell>
        </row>
        <row r="37">
          <cell r="Q37">
            <v>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>
            <v>0</v>
          </cell>
        </row>
        <row r="40">
          <cell r="Q40">
            <v>2</v>
          </cell>
          <cell r="T40">
            <v>0</v>
          </cell>
        </row>
        <row r="41">
          <cell r="Q41">
            <v>7</v>
          </cell>
          <cell r="T41">
            <v>0</v>
          </cell>
        </row>
        <row r="42">
          <cell r="Q42">
            <v>0</v>
          </cell>
          <cell r="T42">
            <v>0</v>
          </cell>
        </row>
        <row r="43">
          <cell r="Q43">
            <v>-49</v>
          </cell>
          <cell r="T43" t="str">
            <v>сн.грп</v>
          </cell>
        </row>
        <row r="44">
          <cell r="Q44">
            <v>-1</v>
          </cell>
          <cell r="T44">
            <v>0</v>
          </cell>
        </row>
        <row r="45">
          <cell r="Q45">
            <v>-2</v>
          </cell>
          <cell r="T45">
            <v>0</v>
          </cell>
        </row>
        <row r="46">
          <cell r="Q46">
            <v>0</v>
          </cell>
          <cell r="T46">
            <v>0</v>
          </cell>
        </row>
        <row r="47">
          <cell r="Q47">
            <v>1</v>
          </cell>
          <cell r="T47">
            <v>0</v>
          </cell>
        </row>
        <row r="48">
          <cell r="Q48">
            <v>4</v>
          </cell>
          <cell r="T48">
            <v>0</v>
          </cell>
        </row>
        <row r="49">
          <cell r="Q49">
            <v>2</v>
          </cell>
          <cell r="T49">
            <v>0</v>
          </cell>
        </row>
        <row r="50">
          <cell r="Q50">
            <v>3</v>
          </cell>
          <cell r="T50">
            <v>0</v>
          </cell>
        </row>
        <row r="51">
          <cell r="Q51">
            <v>-3</v>
          </cell>
          <cell r="T51">
            <v>0</v>
          </cell>
        </row>
        <row r="52">
          <cell r="Q52">
            <v>6</v>
          </cell>
          <cell r="T52">
            <v>0</v>
          </cell>
        </row>
        <row r="53">
          <cell r="Q53">
            <v>3</v>
          </cell>
          <cell r="T53">
            <v>0</v>
          </cell>
        </row>
        <row r="54">
          <cell r="Q54">
            <v>-1</v>
          </cell>
          <cell r="T54">
            <v>0</v>
          </cell>
        </row>
        <row r="55">
          <cell r="Q55">
            <v>5</v>
          </cell>
          <cell r="T55" t="str">
            <v>уточ.режима</v>
          </cell>
        </row>
        <row r="56">
          <cell r="Q56">
            <v>0</v>
          </cell>
          <cell r="T56">
            <v>0</v>
          </cell>
        </row>
        <row r="57">
          <cell r="Q57">
            <v>-1</v>
          </cell>
          <cell r="T57">
            <v>0</v>
          </cell>
        </row>
        <row r="58">
          <cell r="Q58">
            <v>-1</v>
          </cell>
          <cell r="T58">
            <v>0</v>
          </cell>
        </row>
        <row r="59">
          <cell r="Q59">
            <v>0</v>
          </cell>
          <cell r="T59">
            <v>0</v>
          </cell>
        </row>
        <row r="60">
          <cell r="Q60">
            <v>0</v>
          </cell>
          <cell r="T60">
            <v>0</v>
          </cell>
        </row>
        <row r="61">
          <cell r="Q61">
            <v>-2</v>
          </cell>
          <cell r="T61">
            <v>0</v>
          </cell>
        </row>
        <row r="62">
          <cell r="Q62">
            <v>-2</v>
          </cell>
          <cell r="T62">
            <v>0</v>
          </cell>
        </row>
        <row r="63">
          <cell r="Q63">
            <v>-3</v>
          </cell>
          <cell r="T63" t="str">
            <v>вода</v>
          </cell>
        </row>
        <row r="64">
          <cell r="Q64">
            <v>2</v>
          </cell>
          <cell r="T64">
            <v>0</v>
          </cell>
        </row>
        <row r="65">
          <cell r="Q65">
            <v>4</v>
          </cell>
          <cell r="T65">
            <v>0</v>
          </cell>
        </row>
        <row r="66">
          <cell r="Q66">
            <v>4</v>
          </cell>
          <cell r="T66">
            <v>0</v>
          </cell>
        </row>
        <row r="67">
          <cell r="Q67">
            <v>14</v>
          </cell>
          <cell r="T67">
            <v>0</v>
          </cell>
        </row>
        <row r="68">
          <cell r="Q68">
            <v>7</v>
          </cell>
          <cell r="T68">
            <v>0</v>
          </cell>
        </row>
        <row r="69">
          <cell r="Q69">
            <v>0</v>
          </cell>
          <cell r="T69">
            <v>0</v>
          </cell>
        </row>
        <row r="70">
          <cell r="Q70">
            <v>0</v>
          </cell>
          <cell r="T70">
            <v>0</v>
          </cell>
        </row>
        <row r="71">
          <cell r="Q71">
            <v>-16</v>
          </cell>
          <cell r="T71" t="str">
            <v>ипп</v>
          </cell>
        </row>
        <row r="72">
          <cell r="Q72">
            <v>-2</v>
          </cell>
          <cell r="T72">
            <v>0</v>
          </cell>
        </row>
        <row r="73">
          <cell r="Q73">
            <v>-2</v>
          </cell>
          <cell r="T73">
            <v>0</v>
          </cell>
        </row>
        <row r="74">
          <cell r="Q74">
            <v>-4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-5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-1</v>
          </cell>
          <cell r="T78">
            <v>0</v>
          </cell>
        </row>
        <row r="79">
          <cell r="Q79">
            <v>-11</v>
          </cell>
          <cell r="T79" t="str">
            <v>уточ.режима</v>
          </cell>
        </row>
        <row r="80">
          <cell r="Q80">
            <v>-2</v>
          </cell>
          <cell r="T80">
            <v>0</v>
          </cell>
        </row>
        <row r="81">
          <cell r="Q81">
            <v>0</v>
          </cell>
          <cell r="T81">
            <v>0</v>
          </cell>
        </row>
        <row r="82">
          <cell r="Q82">
            <v>113</v>
          </cell>
          <cell r="T82">
            <v>0</v>
          </cell>
        </row>
        <row r="83">
          <cell r="Q83">
            <v>2</v>
          </cell>
          <cell r="T83">
            <v>0</v>
          </cell>
        </row>
        <row r="84">
          <cell r="Q84">
            <v>6</v>
          </cell>
          <cell r="T84" t="str">
            <v>вода</v>
          </cell>
        </row>
        <row r="85">
          <cell r="Q85">
            <v>-9</v>
          </cell>
          <cell r="T85" t="str">
            <v>ипп</v>
          </cell>
        </row>
        <row r="86">
          <cell r="Q86">
            <v>-6</v>
          </cell>
          <cell r="T86" t="str">
            <v>ипп</v>
          </cell>
        </row>
        <row r="87">
          <cell r="Q87">
            <v>0</v>
          </cell>
          <cell r="T87">
            <v>0</v>
          </cell>
        </row>
        <row r="88">
          <cell r="Q88">
            <v>-3</v>
          </cell>
          <cell r="T88" t="str">
            <v>вода</v>
          </cell>
        </row>
        <row r="89">
          <cell r="Q89">
            <v>0</v>
          </cell>
          <cell r="T89">
            <v>0</v>
          </cell>
        </row>
        <row r="90">
          <cell r="Q90">
            <v>-3</v>
          </cell>
          <cell r="T90" t="str">
            <v>уточ.режима</v>
          </cell>
        </row>
        <row r="91">
          <cell r="Q91">
            <v>-5</v>
          </cell>
          <cell r="T91">
            <v>0</v>
          </cell>
        </row>
        <row r="92">
          <cell r="Q92">
            <v>0</v>
          </cell>
          <cell r="T92">
            <v>0</v>
          </cell>
        </row>
        <row r="93">
          <cell r="Q93">
            <v>-2</v>
          </cell>
          <cell r="T93" t="str">
            <v>уточ.режима</v>
          </cell>
        </row>
        <row r="94">
          <cell r="Q94" t="e">
            <v>#N/A</v>
          </cell>
          <cell r="T94" t="e">
            <v>#N/A</v>
          </cell>
        </row>
        <row r="95">
          <cell r="Q95">
            <v>-3</v>
          </cell>
          <cell r="T95" t="str">
            <v>по</v>
          </cell>
        </row>
        <row r="96">
          <cell r="Q96">
            <v>0</v>
          </cell>
          <cell r="T96">
            <v>0</v>
          </cell>
        </row>
        <row r="97">
          <cell r="Q97">
            <v>-3</v>
          </cell>
          <cell r="T97">
            <v>0</v>
          </cell>
        </row>
        <row r="98">
          <cell r="Q98">
            <v>0</v>
          </cell>
          <cell r="T98">
            <v>0</v>
          </cell>
        </row>
        <row r="99">
          <cell r="Q99">
            <v>0</v>
          </cell>
          <cell r="T99">
            <v>0</v>
          </cell>
        </row>
        <row r="100">
          <cell r="Q100">
            <v>-1</v>
          </cell>
          <cell r="T100">
            <v>0</v>
          </cell>
        </row>
        <row r="101">
          <cell r="Q101">
            <v>0</v>
          </cell>
          <cell r="T101" t="str">
            <v>вода</v>
          </cell>
        </row>
        <row r="102">
          <cell r="Q102">
            <v>1</v>
          </cell>
          <cell r="T102">
            <v>0</v>
          </cell>
        </row>
        <row r="103">
          <cell r="Q103">
            <v>0</v>
          </cell>
          <cell r="T103">
            <v>0</v>
          </cell>
        </row>
        <row r="104">
          <cell r="Q104">
            <v>1</v>
          </cell>
          <cell r="T104" t="str">
            <v>вода</v>
          </cell>
        </row>
        <row r="105">
          <cell r="Q105">
            <v>-1</v>
          </cell>
          <cell r="T105">
            <v>0</v>
          </cell>
        </row>
        <row r="106">
          <cell r="Q106">
            <v>-2</v>
          </cell>
          <cell r="T106">
            <v>0</v>
          </cell>
        </row>
        <row r="107">
          <cell r="Q107">
            <v>2</v>
          </cell>
          <cell r="T107">
            <v>0</v>
          </cell>
        </row>
        <row r="108">
          <cell r="Q108">
            <v>-2</v>
          </cell>
          <cell r="T108">
            <v>0</v>
          </cell>
        </row>
        <row r="109">
          <cell r="Q109">
            <v>-1</v>
          </cell>
          <cell r="T109">
            <v>0</v>
          </cell>
        </row>
        <row r="110">
          <cell r="Q110">
            <v>-4</v>
          </cell>
          <cell r="T110" t="str">
            <v>вода</v>
          </cell>
        </row>
        <row r="111">
          <cell r="Q111">
            <v>2</v>
          </cell>
          <cell r="T111" t="str">
            <v>уточ.режима</v>
          </cell>
        </row>
        <row r="112">
          <cell r="Q112">
            <v>4</v>
          </cell>
          <cell r="T112">
            <v>0</v>
          </cell>
        </row>
        <row r="113">
          <cell r="Q113">
            <v>2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-1</v>
          </cell>
          <cell r="T115">
            <v>0</v>
          </cell>
        </row>
        <row r="116">
          <cell r="Q116">
            <v>-4</v>
          </cell>
          <cell r="T116">
            <v>0</v>
          </cell>
        </row>
        <row r="117">
          <cell r="Q117">
            <v>3</v>
          </cell>
          <cell r="T117">
            <v>0</v>
          </cell>
        </row>
        <row r="118">
          <cell r="Q118">
            <v>-5</v>
          </cell>
          <cell r="T118">
            <v>0</v>
          </cell>
        </row>
        <row r="119">
          <cell r="Q119">
            <v>-13</v>
          </cell>
          <cell r="T119" t="str">
            <v>уточ.режима</v>
          </cell>
        </row>
        <row r="120">
          <cell r="Q120">
            <v>0</v>
          </cell>
          <cell r="T120">
            <v>0</v>
          </cell>
        </row>
        <row r="121">
          <cell r="Q121">
            <v>-2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-2</v>
          </cell>
          <cell r="T123" t="str">
            <v>уточ.режима</v>
          </cell>
        </row>
        <row r="124">
          <cell r="Q124">
            <v>0</v>
          </cell>
          <cell r="T124">
            <v>0</v>
          </cell>
        </row>
        <row r="125">
          <cell r="Q125">
            <v>-1</v>
          </cell>
          <cell r="T125">
            <v>0</v>
          </cell>
        </row>
        <row r="126">
          <cell r="Q126">
            <v>8</v>
          </cell>
          <cell r="T126" t="str">
            <v>вода</v>
          </cell>
        </row>
        <row r="127">
          <cell r="Q127">
            <v>0</v>
          </cell>
          <cell r="T127">
            <v>0</v>
          </cell>
        </row>
        <row r="128">
          <cell r="Q128">
            <v>0</v>
          </cell>
          <cell r="T128">
            <v>0</v>
          </cell>
        </row>
        <row r="129">
          <cell r="Q129">
            <v>0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0</v>
          </cell>
          <cell r="T132">
            <v>0</v>
          </cell>
        </row>
        <row r="133">
          <cell r="Q133">
            <v>0</v>
          </cell>
          <cell r="T133">
            <v>0</v>
          </cell>
        </row>
        <row r="134">
          <cell r="Q134" t="e">
            <v>#N/A</v>
          </cell>
          <cell r="T134" t="e">
            <v>#N/A</v>
          </cell>
        </row>
        <row r="135">
          <cell r="Q135">
            <v>0</v>
          </cell>
          <cell r="T135">
            <v>0</v>
          </cell>
        </row>
        <row r="136">
          <cell r="Q136">
            <v>0</v>
          </cell>
          <cell r="T136">
            <v>0</v>
          </cell>
        </row>
        <row r="137">
          <cell r="Q137">
            <v>-3</v>
          </cell>
          <cell r="T137" t="str">
            <v>уточ.режима</v>
          </cell>
        </row>
        <row r="138">
          <cell r="Q138">
            <v>0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4</v>
          </cell>
          <cell r="T140" t="str">
            <v>уточ.режима</v>
          </cell>
        </row>
        <row r="141">
          <cell r="Q141">
            <v>4</v>
          </cell>
          <cell r="T141" t="str">
            <v>уточ.режима</v>
          </cell>
        </row>
        <row r="142">
          <cell r="Q142">
            <v>-3</v>
          </cell>
          <cell r="T142">
            <v>0</v>
          </cell>
        </row>
        <row r="143">
          <cell r="Q143">
            <v>-1</v>
          </cell>
          <cell r="T143">
            <v>0</v>
          </cell>
        </row>
        <row r="144">
          <cell r="Q144">
            <v>-3</v>
          </cell>
          <cell r="T144" t="str">
            <v>уточ.режима</v>
          </cell>
        </row>
        <row r="145">
          <cell r="Q145">
            <v>-2</v>
          </cell>
          <cell r="T145" t="str">
            <v>уточ.режима</v>
          </cell>
        </row>
        <row r="146">
          <cell r="Q146">
            <v>-3</v>
          </cell>
          <cell r="T146">
            <v>0</v>
          </cell>
        </row>
        <row r="147">
          <cell r="Q147">
            <v>0</v>
          </cell>
          <cell r="T147" t="str">
            <v>уточ.режима</v>
          </cell>
        </row>
        <row r="148">
          <cell r="Q148">
            <v>-6</v>
          </cell>
          <cell r="T148" t="str">
            <v>ипп</v>
          </cell>
        </row>
        <row r="149">
          <cell r="Q149">
            <v>0</v>
          </cell>
          <cell r="T149">
            <v>0</v>
          </cell>
        </row>
        <row r="150">
          <cell r="Q150">
            <v>8</v>
          </cell>
          <cell r="T150" t="str">
            <v>уточ.режима</v>
          </cell>
        </row>
        <row r="151">
          <cell r="Q151">
            <v>-1</v>
          </cell>
          <cell r="T151">
            <v>0</v>
          </cell>
        </row>
        <row r="152">
          <cell r="Q152">
            <v>-1</v>
          </cell>
          <cell r="T152">
            <v>0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0</v>
          </cell>
          <cell r="T154">
            <v>0</v>
          </cell>
        </row>
        <row r="155">
          <cell r="Q155">
            <v>71</v>
          </cell>
          <cell r="T155" t="str">
            <v>грп</v>
          </cell>
        </row>
        <row r="156">
          <cell r="Q156">
            <v>-3</v>
          </cell>
          <cell r="T156">
            <v>0</v>
          </cell>
        </row>
        <row r="157">
          <cell r="Q157">
            <v>0</v>
          </cell>
          <cell r="T157">
            <v>0</v>
          </cell>
        </row>
        <row r="158">
          <cell r="Q158" t="e">
            <v>#N/A</v>
          </cell>
          <cell r="T158" t="e">
            <v>#N/A</v>
          </cell>
        </row>
        <row r="159">
          <cell r="Q159">
            <v>-16</v>
          </cell>
          <cell r="T159">
            <v>0</v>
          </cell>
        </row>
        <row r="160">
          <cell r="Q160">
            <v>-6</v>
          </cell>
          <cell r="T160" t="str">
            <v>уточ.режима</v>
          </cell>
        </row>
        <row r="161">
          <cell r="Q161">
            <v>-1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4</v>
          </cell>
          <cell r="T163" t="str">
            <v>прс</v>
          </cell>
        </row>
        <row r="164">
          <cell r="Q164">
            <v>0</v>
          </cell>
          <cell r="T164">
            <v>0</v>
          </cell>
        </row>
        <row r="165">
          <cell r="Q165">
            <v>4</v>
          </cell>
          <cell r="T165">
            <v>0</v>
          </cell>
        </row>
        <row r="166">
          <cell r="Q166">
            <v>9</v>
          </cell>
          <cell r="T166">
            <v>0</v>
          </cell>
        </row>
        <row r="167">
          <cell r="Q167">
            <v>3</v>
          </cell>
          <cell r="T167">
            <v>0</v>
          </cell>
        </row>
        <row r="168">
          <cell r="Q168">
            <v>0</v>
          </cell>
          <cell r="T168">
            <v>0</v>
          </cell>
        </row>
        <row r="169">
          <cell r="Q169">
            <v>8</v>
          </cell>
          <cell r="T169">
            <v>0</v>
          </cell>
        </row>
        <row r="170">
          <cell r="Q170">
            <v>0</v>
          </cell>
          <cell r="T170">
            <v>0</v>
          </cell>
        </row>
        <row r="171">
          <cell r="Q171">
            <v>-3</v>
          </cell>
          <cell r="T171">
            <v>0</v>
          </cell>
        </row>
        <row r="172">
          <cell r="Q172">
            <v>2</v>
          </cell>
          <cell r="T172" t="str">
            <v>уточ.режима</v>
          </cell>
        </row>
        <row r="173">
          <cell r="Q173">
            <v>0</v>
          </cell>
          <cell r="T173">
            <v>0</v>
          </cell>
        </row>
        <row r="174">
          <cell r="Q174">
            <v>1</v>
          </cell>
          <cell r="T174" t="str">
            <v>уточ.режима</v>
          </cell>
        </row>
        <row r="175">
          <cell r="Q175">
            <v>0</v>
          </cell>
          <cell r="T175">
            <v>0</v>
          </cell>
        </row>
        <row r="176">
          <cell r="Q176">
            <v>-1</v>
          </cell>
          <cell r="T176">
            <v>0</v>
          </cell>
        </row>
        <row r="177">
          <cell r="Q177">
            <v>-3</v>
          </cell>
          <cell r="T177">
            <v>0</v>
          </cell>
        </row>
        <row r="178">
          <cell r="Q178">
            <v>3</v>
          </cell>
          <cell r="T178">
            <v>0</v>
          </cell>
        </row>
        <row r="179">
          <cell r="Q179">
            <v>-3</v>
          </cell>
          <cell r="T179">
            <v>0</v>
          </cell>
        </row>
        <row r="180">
          <cell r="Q180">
            <v>-5</v>
          </cell>
          <cell r="T180" t="str">
            <v>уточ.режима</v>
          </cell>
        </row>
        <row r="181">
          <cell r="Q181">
            <v>0</v>
          </cell>
          <cell r="T181">
            <v>0</v>
          </cell>
        </row>
        <row r="182">
          <cell r="Q182">
            <v>-2</v>
          </cell>
          <cell r="T182">
            <v>0</v>
          </cell>
        </row>
        <row r="183">
          <cell r="Q183">
            <v>0</v>
          </cell>
          <cell r="T183">
            <v>0</v>
          </cell>
        </row>
        <row r="184">
          <cell r="Q184">
            <v>-5</v>
          </cell>
          <cell r="T184">
            <v>0</v>
          </cell>
        </row>
        <row r="185">
          <cell r="Q185">
            <v>0</v>
          </cell>
          <cell r="T185">
            <v>0</v>
          </cell>
        </row>
        <row r="186">
          <cell r="Q186">
            <v>-6</v>
          </cell>
          <cell r="T186" t="str">
            <v>ипп</v>
          </cell>
        </row>
        <row r="187">
          <cell r="Q187">
            <v>0</v>
          </cell>
          <cell r="T187">
            <v>0</v>
          </cell>
        </row>
        <row r="188">
          <cell r="Q188">
            <v>0</v>
          </cell>
          <cell r="T188">
            <v>0</v>
          </cell>
        </row>
        <row r="189">
          <cell r="Q189">
            <v>-5</v>
          </cell>
          <cell r="T189">
            <v>0</v>
          </cell>
        </row>
        <row r="190">
          <cell r="Q190">
            <v>-3</v>
          </cell>
          <cell r="T190">
            <v>0</v>
          </cell>
        </row>
        <row r="191">
          <cell r="Q191">
            <v>-9</v>
          </cell>
          <cell r="T191">
            <v>0</v>
          </cell>
        </row>
        <row r="192">
          <cell r="Q192">
            <v>0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3</v>
          </cell>
          <cell r="T194">
            <v>0</v>
          </cell>
        </row>
        <row r="195">
          <cell r="Q195">
            <v>-3</v>
          </cell>
          <cell r="T195">
            <v>0</v>
          </cell>
        </row>
        <row r="196">
          <cell r="Q196">
            <v>0</v>
          </cell>
          <cell r="T196">
            <v>0</v>
          </cell>
        </row>
        <row r="197">
          <cell r="Q197">
            <v>2</v>
          </cell>
          <cell r="T197">
            <v>0</v>
          </cell>
        </row>
        <row r="198">
          <cell r="Q198">
            <v>0</v>
          </cell>
          <cell r="T198">
            <v>0</v>
          </cell>
        </row>
        <row r="199">
          <cell r="Q199">
            <v>-2</v>
          </cell>
          <cell r="T199">
            <v>0</v>
          </cell>
        </row>
        <row r="200">
          <cell r="Q200">
            <v>0</v>
          </cell>
          <cell r="T200">
            <v>0</v>
          </cell>
        </row>
        <row r="201">
          <cell r="Q201">
            <v>-1</v>
          </cell>
          <cell r="T201">
            <v>0</v>
          </cell>
        </row>
        <row r="202">
          <cell r="Q202">
            <v>1</v>
          </cell>
          <cell r="T202">
            <v>0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-3</v>
          </cell>
          <cell r="T205" t="str">
            <v>уточ.режима</v>
          </cell>
        </row>
        <row r="206">
          <cell r="Q206">
            <v>2</v>
          </cell>
          <cell r="T206">
            <v>0</v>
          </cell>
        </row>
        <row r="207">
          <cell r="Q207">
            <v>0</v>
          </cell>
          <cell r="T207">
            <v>0</v>
          </cell>
        </row>
        <row r="208">
          <cell r="Q208">
            <v>1</v>
          </cell>
          <cell r="T208" t="str">
            <v>уточ.режима</v>
          </cell>
        </row>
        <row r="209">
          <cell r="Q209">
            <v>0</v>
          </cell>
          <cell r="T209">
            <v>0</v>
          </cell>
        </row>
        <row r="210">
          <cell r="Q210">
            <v>-5</v>
          </cell>
          <cell r="T210">
            <v>0</v>
          </cell>
        </row>
        <row r="211">
          <cell r="Q211">
            <v>0</v>
          </cell>
          <cell r="T211" t="str">
            <v>уточ.режима</v>
          </cell>
        </row>
        <row r="212">
          <cell r="Q212">
            <v>0</v>
          </cell>
          <cell r="T212">
            <v>0</v>
          </cell>
        </row>
        <row r="213">
          <cell r="Q213">
            <v>-1</v>
          </cell>
          <cell r="T213">
            <v>0</v>
          </cell>
        </row>
        <row r="214">
          <cell r="Q214">
            <v>-1</v>
          </cell>
          <cell r="T214">
            <v>0</v>
          </cell>
        </row>
        <row r="215">
          <cell r="Q215">
            <v>0</v>
          </cell>
          <cell r="T215">
            <v>0</v>
          </cell>
        </row>
        <row r="216">
          <cell r="Q216">
            <v>2</v>
          </cell>
          <cell r="T216">
            <v>0</v>
          </cell>
        </row>
        <row r="217">
          <cell r="Q217">
            <v>-1</v>
          </cell>
          <cell r="T217">
            <v>0</v>
          </cell>
        </row>
        <row r="218">
          <cell r="Q218">
            <v>-3</v>
          </cell>
          <cell r="T218" t="str">
            <v>уточ.режима</v>
          </cell>
        </row>
        <row r="219">
          <cell r="Q219">
            <v>-1</v>
          </cell>
          <cell r="T219">
            <v>0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-1</v>
          </cell>
          <cell r="T222">
            <v>0</v>
          </cell>
        </row>
        <row r="223">
          <cell r="Q223">
            <v>2</v>
          </cell>
          <cell r="T223">
            <v>0</v>
          </cell>
        </row>
        <row r="224">
          <cell r="Q224">
            <v>0</v>
          </cell>
          <cell r="T224">
            <v>0</v>
          </cell>
        </row>
        <row r="225">
          <cell r="Q225">
            <v>0</v>
          </cell>
          <cell r="T225">
            <v>0</v>
          </cell>
        </row>
        <row r="226">
          <cell r="Q226">
            <v>-3</v>
          </cell>
          <cell r="T226">
            <v>0</v>
          </cell>
        </row>
        <row r="227">
          <cell r="Q227">
            <v>-1</v>
          </cell>
          <cell r="T227">
            <v>0</v>
          </cell>
        </row>
        <row r="228">
          <cell r="Q228">
            <v>0</v>
          </cell>
          <cell r="T228" t="str">
            <v>вода</v>
          </cell>
        </row>
        <row r="229">
          <cell r="Q229">
            <v>-5</v>
          </cell>
          <cell r="T229">
            <v>0</v>
          </cell>
        </row>
        <row r="230">
          <cell r="Q230">
            <v>-2</v>
          </cell>
          <cell r="T230" t="str">
            <v>уточ.режима</v>
          </cell>
        </row>
        <row r="231">
          <cell r="Q231">
            <v>-6</v>
          </cell>
          <cell r="T231" t="str">
            <v>ипп</v>
          </cell>
        </row>
        <row r="232">
          <cell r="Q232">
            <v>-2</v>
          </cell>
          <cell r="T232">
            <v>0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0</v>
          </cell>
          <cell r="T235">
            <v>0</v>
          </cell>
        </row>
        <row r="236">
          <cell r="Q236">
            <v>0</v>
          </cell>
          <cell r="T236">
            <v>0</v>
          </cell>
        </row>
        <row r="237">
          <cell r="Q237">
            <v>0</v>
          </cell>
          <cell r="T237">
            <v>0</v>
          </cell>
        </row>
        <row r="238">
          <cell r="Q238">
            <v>0</v>
          </cell>
          <cell r="T238">
            <v>0</v>
          </cell>
        </row>
        <row r="239">
          <cell r="Q239">
            <v>1</v>
          </cell>
          <cell r="T239" t="str">
            <v>уточ.режима</v>
          </cell>
        </row>
        <row r="240">
          <cell r="Q240">
            <v>-1</v>
          </cell>
          <cell r="T240">
            <v>0</v>
          </cell>
        </row>
        <row r="241">
          <cell r="Q241">
            <v>0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0</v>
          </cell>
          <cell r="T243">
            <v>0</v>
          </cell>
        </row>
        <row r="244">
          <cell r="Q244">
            <v>-6</v>
          </cell>
          <cell r="T244">
            <v>0</v>
          </cell>
        </row>
        <row r="245">
          <cell r="Q245">
            <v>0</v>
          </cell>
          <cell r="T245">
            <v>0</v>
          </cell>
        </row>
        <row r="246">
          <cell r="Q246">
            <v>3</v>
          </cell>
          <cell r="T246" t="str">
            <v>прс</v>
          </cell>
        </row>
        <row r="247">
          <cell r="Q247">
            <v>0</v>
          </cell>
          <cell r="T247">
            <v>0</v>
          </cell>
        </row>
        <row r="248">
          <cell r="Q248">
            <v>0</v>
          </cell>
          <cell r="T248">
            <v>0</v>
          </cell>
        </row>
        <row r="249">
          <cell r="Q249">
            <v>1</v>
          </cell>
          <cell r="T249">
            <v>0</v>
          </cell>
        </row>
        <row r="250">
          <cell r="Q250">
            <v>-2</v>
          </cell>
          <cell r="T250">
            <v>0</v>
          </cell>
        </row>
        <row r="251">
          <cell r="Q251">
            <v>0</v>
          </cell>
          <cell r="T251" t="str">
            <v>уточ.режима</v>
          </cell>
        </row>
        <row r="252">
          <cell r="Q252">
            <v>0</v>
          </cell>
          <cell r="T252">
            <v>0</v>
          </cell>
        </row>
        <row r="253">
          <cell r="Q253">
            <v>1</v>
          </cell>
          <cell r="T253">
            <v>0</v>
          </cell>
        </row>
        <row r="254">
          <cell r="Q254">
            <v>-4</v>
          </cell>
          <cell r="T254" t="str">
            <v>уточ.режима</v>
          </cell>
        </row>
        <row r="255">
          <cell r="Q255">
            <v>-6</v>
          </cell>
          <cell r="T255">
            <v>0</v>
          </cell>
        </row>
        <row r="256">
          <cell r="Q256">
            <v>3</v>
          </cell>
          <cell r="T256">
            <v>0</v>
          </cell>
        </row>
        <row r="257">
          <cell r="Q257">
            <v>-2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-9</v>
          </cell>
          <cell r="T259" t="str">
            <v>сн.опт</v>
          </cell>
        </row>
        <row r="260">
          <cell r="Q260" t="e">
            <v>#N/A</v>
          </cell>
          <cell r="T260" t="e">
            <v>#N/A</v>
          </cell>
        </row>
        <row r="261">
          <cell r="Q261">
            <v>4</v>
          </cell>
          <cell r="T261" t="str">
            <v>уточ.режима</v>
          </cell>
        </row>
        <row r="262">
          <cell r="Q262">
            <v>-1</v>
          </cell>
          <cell r="T262">
            <v>0</v>
          </cell>
        </row>
        <row r="263">
          <cell r="Q263">
            <v>-1</v>
          </cell>
          <cell r="T263">
            <v>0</v>
          </cell>
        </row>
        <row r="264">
          <cell r="Q264">
            <v>0</v>
          </cell>
          <cell r="T264">
            <v>0</v>
          </cell>
        </row>
        <row r="265">
          <cell r="Q265">
            <v>1</v>
          </cell>
          <cell r="T265">
            <v>0</v>
          </cell>
        </row>
        <row r="266">
          <cell r="Q266">
            <v>3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9</v>
          </cell>
          <cell r="T268">
            <v>0</v>
          </cell>
        </row>
        <row r="269">
          <cell r="Q269">
            <v>1</v>
          </cell>
          <cell r="T269">
            <v>0</v>
          </cell>
        </row>
        <row r="270">
          <cell r="Q270">
            <v>-1</v>
          </cell>
          <cell r="T270">
            <v>0</v>
          </cell>
        </row>
        <row r="271">
          <cell r="Q271">
            <v>-1</v>
          </cell>
          <cell r="T271">
            <v>0</v>
          </cell>
        </row>
        <row r="272">
          <cell r="Q272">
            <v>3</v>
          </cell>
          <cell r="T272" t="str">
            <v>уточ.режима</v>
          </cell>
        </row>
        <row r="273">
          <cell r="Q273">
            <v>0</v>
          </cell>
          <cell r="T273" t="str">
            <v>уточ.режима</v>
          </cell>
        </row>
        <row r="274">
          <cell r="Q274">
            <v>-1</v>
          </cell>
          <cell r="T274">
            <v>0</v>
          </cell>
        </row>
        <row r="275">
          <cell r="Q275">
            <v>1</v>
          </cell>
          <cell r="T275">
            <v>0</v>
          </cell>
        </row>
        <row r="276">
          <cell r="Q276">
            <v>1</v>
          </cell>
          <cell r="T276">
            <v>0</v>
          </cell>
        </row>
        <row r="277">
          <cell r="Q277">
            <v>0</v>
          </cell>
          <cell r="T277">
            <v>0</v>
          </cell>
        </row>
        <row r="278">
          <cell r="Q278">
            <v>0</v>
          </cell>
          <cell r="T278" t="str">
            <v>уточ.режима</v>
          </cell>
        </row>
        <row r="279">
          <cell r="Q279">
            <v>-2</v>
          </cell>
          <cell r="T279">
            <v>0</v>
          </cell>
        </row>
        <row r="280">
          <cell r="Q280">
            <v>0</v>
          </cell>
          <cell r="T280">
            <v>0</v>
          </cell>
        </row>
        <row r="281">
          <cell r="Q281">
            <v>-3</v>
          </cell>
          <cell r="T281">
            <v>0</v>
          </cell>
        </row>
        <row r="282">
          <cell r="Q282">
            <v>0</v>
          </cell>
          <cell r="T282" t="str">
            <v>вода</v>
          </cell>
        </row>
        <row r="283">
          <cell r="Q283">
            <v>-7</v>
          </cell>
          <cell r="T283">
            <v>0</v>
          </cell>
        </row>
        <row r="284">
          <cell r="Q284">
            <v>-2</v>
          </cell>
          <cell r="T284" t="str">
            <v>уточ.режима</v>
          </cell>
        </row>
        <row r="285">
          <cell r="Q285">
            <v>1</v>
          </cell>
          <cell r="T285">
            <v>0</v>
          </cell>
        </row>
        <row r="286">
          <cell r="Q286">
            <v>-9</v>
          </cell>
          <cell r="T286">
            <v>0</v>
          </cell>
        </row>
        <row r="287">
          <cell r="Q287" t="e">
            <v>#N/A</v>
          </cell>
          <cell r="T287" t="e">
            <v>#N/A</v>
          </cell>
        </row>
        <row r="288">
          <cell r="Q288">
            <v>-2</v>
          </cell>
          <cell r="T288">
            <v>0</v>
          </cell>
        </row>
        <row r="289">
          <cell r="Q289">
            <v>0</v>
          </cell>
          <cell r="T289" t="str">
            <v>уточ.режима</v>
          </cell>
        </row>
        <row r="290">
          <cell r="Q290">
            <v>-26</v>
          </cell>
          <cell r="T290" t="str">
            <v>уточ.режима</v>
          </cell>
        </row>
        <row r="291">
          <cell r="Q291">
            <v>-1</v>
          </cell>
          <cell r="T291" t="str">
            <v>уточ.режима</v>
          </cell>
        </row>
        <row r="292">
          <cell r="Q292">
            <v>1</v>
          </cell>
          <cell r="T292" t="str">
            <v>вода</v>
          </cell>
        </row>
        <row r="293">
          <cell r="Q293">
            <v>1</v>
          </cell>
          <cell r="T293">
            <v>0</v>
          </cell>
        </row>
        <row r="294">
          <cell r="Q294">
            <v>0</v>
          </cell>
          <cell r="T294">
            <v>0</v>
          </cell>
        </row>
        <row r="295">
          <cell r="Q295">
            <v>-48</v>
          </cell>
          <cell r="T295" t="str">
            <v>сн.грп</v>
          </cell>
        </row>
        <row r="296">
          <cell r="Q296">
            <v>0</v>
          </cell>
          <cell r="T296">
            <v>0</v>
          </cell>
        </row>
        <row r="297">
          <cell r="Q297">
            <v>0</v>
          </cell>
          <cell r="T297">
            <v>0</v>
          </cell>
        </row>
        <row r="298">
          <cell r="Q298" t="e">
            <v>#N/A</v>
          </cell>
          <cell r="T298" t="e">
            <v>#N/A</v>
          </cell>
        </row>
        <row r="299">
          <cell r="Q299">
            <v>-9</v>
          </cell>
          <cell r="T299" t="str">
            <v>ипп</v>
          </cell>
        </row>
        <row r="300">
          <cell r="Q300">
            <v>-1</v>
          </cell>
          <cell r="T300" t="str">
            <v>уточ.режима</v>
          </cell>
        </row>
        <row r="301">
          <cell r="Q301">
            <v>0</v>
          </cell>
          <cell r="T301">
            <v>0</v>
          </cell>
        </row>
        <row r="302">
          <cell r="Q302">
            <v>-1</v>
          </cell>
          <cell r="T302">
            <v>0</v>
          </cell>
        </row>
        <row r="303">
          <cell r="Q303">
            <v>-13</v>
          </cell>
          <cell r="T303" t="str">
            <v>сн.грп</v>
          </cell>
        </row>
        <row r="304">
          <cell r="Q304">
            <v>-19</v>
          </cell>
          <cell r="T304" t="str">
            <v>сн.грп</v>
          </cell>
        </row>
        <row r="305">
          <cell r="Q305">
            <v>-11</v>
          </cell>
          <cell r="T305" t="str">
            <v>ипп</v>
          </cell>
        </row>
        <row r="306">
          <cell r="Q306">
            <v>-1</v>
          </cell>
          <cell r="T306">
            <v>0</v>
          </cell>
        </row>
        <row r="307">
          <cell r="Q307">
            <v>0</v>
          </cell>
          <cell r="T307">
            <v>0</v>
          </cell>
        </row>
        <row r="308">
          <cell r="Q308">
            <v>-6</v>
          </cell>
          <cell r="T308" t="str">
            <v>сн.грп</v>
          </cell>
        </row>
        <row r="309">
          <cell r="Q309">
            <v>0</v>
          </cell>
          <cell r="T309">
            <v>0</v>
          </cell>
        </row>
        <row r="310">
          <cell r="Q310">
            <v>2</v>
          </cell>
          <cell r="T310">
            <v>0</v>
          </cell>
        </row>
        <row r="311">
          <cell r="Q311">
            <v>-1</v>
          </cell>
          <cell r="T311">
            <v>0</v>
          </cell>
        </row>
        <row r="312">
          <cell r="Q312">
            <v>0</v>
          </cell>
          <cell r="T312">
            <v>0</v>
          </cell>
        </row>
        <row r="313">
          <cell r="Q313">
            <v>2</v>
          </cell>
          <cell r="T313" t="str">
            <v>уточ.режима</v>
          </cell>
        </row>
        <row r="314">
          <cell r="Q314">
            <v>0</v>
          </cell>
          <cell r="T314">
            <v>0</v>
          </cell>
        </row>
        <row r="315">
          <cell r="Q315">
            <v>1</v>
          </cell>
          <cell r="T315">
            <v>0</v>
          </cell>
        </row>
        <row r="316">
          <cell r="Q316">
            <v>-1</v>
          </cell>
          <cell r="T316">
            <v>0</v>
          </cell>
        </row>
        <row r="317">
          <cell r="Q317">
            <v>154</v>
          </cell>
          <cell r="T317" t="str">
            <v>прс</v>
          </cell>
        </row>
        <row r="318">
          <cell r="Q318">
            <v>1</v>
          </cell>
          <cell r="T318">
            <v>0</v>
          </cell>
        </row>
        <row r="319">
          <cell r="Q319">
            <v>-8</v>
          </cell>
          <cell r="T319" t="str">
            <v>уточ.режима</v>
          </cell>
        </row>
        <row r="320">
          <cell r="Q320">
            <v>3</v>
          </cell>
          <cell r="T320">
            <v>0</v>
          </cell>
        </row>
        <row r="321">
          <cell r="Q321">
            <v>-21</v>
          </cell>
          <cell r="T321" t="str">
            <v>по</v>
          </cell>
        </row>
        <row r="322">
          <cell r="Q322">
            <v>-9</v>
          </cell>
          <cell r="T322" t="str">
            <v>уточ.режима</v>
          </cell>
        </row>
        <row r="323">
          <cell r="Q323">
            <v>3</v>
          </cell>
          <cell r="T323">
            <v>0</v>
          </cell>
        </row>
        <row r="324">
          <cell r="Q324">
            <v>-3</v>
          </cell>
          <cell r="T324">
            <v>0</v>
          </cell>
        </row>
        <row r="325">
          <cell r="Q325">
            <v>0</v>
          </cell>
          <cell r="T325" t="str">
            <v>уточ.режима</v>
          </cell>
        </row>
        <row r="326">
          <cell r="Q326">
            <v>4</v>
          </cell>
          <cell r="T326">
            <v>0</v>
          </cell>
        </row>
        <row r="327">
          <cell r="Q327">
            <v>0</v>
          </cell>
          <cell r="T327">
            <v>0</v>
          </cell>
        </row>
        <row r="328">
          <cell r="Q328">
            <v>0</v>
          </cell>
          <cell r="T328">
            <v>0</v>
          </cell>
        </row>
        <row r="329">
          <cell r="Q329">
            <v>0</v>
          </cell>
          <cell r="T329">
            <v>0</v>
          </cell>
        </row>
        <row r="330">
          <cell r="Q330">
            <v>0</v>
          </cell>
          <cell r="T330">
            <v>0</v>
          </cell>
        </row>
        <row r="331">
          <cell r="Q331">
            <v>0</v>
          </cell>
          <cell r="T331">
            <v>0</v>
          </cell>
        </row>
        <row r="332">
          <cell r="Q332">
            <v>0</v>
          </cell>
          <cell r="T332">
            <v>0</v>
          </cell>
        </row>
        <row r="333">
          <cell r="Q333">
            <v>4</v>
          </cell>
          <cell r="T333">
            <v>0</v>
          </cell>
        </row>
        <row r="334">
          <cell r="Q334">
            <v>0</v>
          </cell>
          <cell r="T334">
            <v>0</v>
          </cell>
        </row>
        <row r="335">
          <cell r="Q335">
            <v>0</v>
          </cell>
          <cell r="T335">
            <v>0</v>
          </cell>
        </row>
        <row r="336">
          <cell r="Q336">
            <v>0</v>
          </cell>
          <cell r="T336">
            <v>0</v>
          </cell>
        </row>
        <row r="337">
          <cell r="Q337">
            <v>-1</v>
          </cell>
          <cell r="T337">
            <v>0</v>
          </cell>
        </row>
        <row r="338">
          <cell r="Q338">
            <v>0</v>
          </cell>
          <cell r="T338">
            <v>0</v>
          </cell>
        </row>
        <row r="339">
          <cell r="Q339">
            <v>-1</v>
          </cell>
          <cell r="T339">
            <v>0</v>
          </cell>
        </row>
        <row r="340">
          <cell r="Q340">
            <v>-6</v>
          </cell>
          <cell r="T340">
            <v>0</v>
          </cell>
        </row>
        <row r="341">
          <cell r="Q341">
            <v>-8</v>
          </cell>
          <cell r="T341" t="str">
            <v>по</v>
          </cell>
        </row>
        <row r="342">
          <cell r="Q342">
            <v>-8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-4</v>
          </cell>
          <cell r="T344" t="str">
            <v>вода</v>
          </cell>
        </row>
        <row r="345">
          <cell r="Q345">
            <v>0</v>
          </cell>
          <cell r="T345">
            <v>0</v>
          </cell>
        </row>
        <row r="346">
          <cell r="Q346">
            <v>-4</v>
          </cell>
          <cell r="T346" t="str">
            <v>уточ.режима</v>
          </cell>
        </row>
        <row r="347">
          <cell r="Q347">
            <v>0</v>
          </cell>
          <cell r="T347">
            <v>0</v>
          </cell>
        </row>
        <row r="348">
          <cell r="Q348">
            <v>-2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-1</v>
          </cell>
          <cell r="T350">
            <v>0</v>
          </cell>
        </row>
        <row r="351">
          <cell r="Q351">
            <v>1</v>
          </cell>
          <cell r="T351">
            <v>0</v>
          </cell>
        </row>
        <row r="352">
          <cell r="Q352">
            <v>0</v>
          </cell>
          <cell r="T352">
            <v>0</v>
          </cell>
        </row>
        <row r="353">
          <cell r="Q353">
            <v>-7</v>
          </cell>
          <cell r="T353" t="str">
            <v>ипп</v>
          </cell>
        </row>
        <row r="354">
          <cell r="Q354">
            <v>5</v>
          </cell>
          <cell r="T354">
            <v>0</v>
          </cell>
        </row>
        <row r="355">
          <cell r="Q355">
            <v>0</v>
          </cell>
          <cell r="T355">
            <v>0</v>
          </cell>
        </row>
        <row r="356">
          <cell r="Q356">
            <v>-1</v>
          </cell>
          <cell r="T356">
            <v>0</v>
          </cell>
        </row>
        <row r="357">
          <cell r="Q357">
            <v>-1</v>
          </cell>
          <cell r="T357" t="str">
            <v>уточ.режима</v>
          </cell>
        </row>
        <row r="358">
          <cell r="Q358">
            <v>7</v>
          </cell>
          <cell r="T358" t="str">
            <v>уточ.режима</v>
          </cell>
        </row>
        <row r="359">
          <cell r="Q359">
            <v>-11</v>
          </cell>
          <cell r="T359" t="str">
            <v>уточ.режима</v>
          </cell>
        </row>
        <row r="360">
          <cell r="Q360">
            <v>1</v>
          </cell>
          <cell r="T360">
            <v>0</v>
          </cell>
        </row>
        <row r="361">
          <cell r="Q361">
            <v>3</v>
          </cell>
          <cell r="T361">
            <v>0</v>
          </cell>
        </row>
        <row r="362">
          <cell r="Q362">
            <v>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0</v>
          </cell>
          <cell r="T364">
            <v>0</v>
          </cell>
        </row>
        <row r="365">
          <cell r="Q365">
            <v>-1</v>
          </cell>
          <cell r="T365">
            <v>0</v>
          </cell>
        </row>
        <row r="366">
          <cell r="Q366">
            <v>-2</v>
          </cell>
          <cell r="T366">
            <v>0</v>
          </cell>
        </row>
        <row r="367">
          <cell r="Q367">
            <v>1</v>
          </cell>
          <cell r="T367">
            <v>0</v>
          </cell>
        </row>
        <row r="368">
          <cell r="Q368">
            <v>-2</v>
          </cell>
          <cell r="T368">
            <v>0</v>
          </cell>
        </row>
        <row r="369">
          <cell r="Q369">
            <v>-6</v>
          </cell>
          <cell r="T369">
            <v>0</v>
          </cell>
        </row>
        <row r="370">
          <cell r="Q370">
            <v>1</v>
          </cell>
          <cell r="T370" t="str">
            <v>уточ.режима</v>
          </cell>
        </row>
        <row r="371">
          <cell r="Q371">
            <v>-2</v>
          </cell>
          <cell r="T371" t="str">
            <v>уточ.режима</v>
          </cell>
        </row>
        <row r="372">
          <cell r="Q372">
            <v>5</v>
          </cell>
          <cell r="T372" t="str">
            <v>уточ.режима</v>
          </cell>
        </row>
        <row r="373">
          <cell r="Q373">
            <v>0</v>
          </cell>
          <cell r="T373">
            <v>0</v>
          </cell>
        </row>
        <row r="374">
          <cell r="Q374">
            <v>0</v>
          </cell>
          <cell r="T374">
            <v>0</v>
          </cell>
        </row>
        <row r="375">
          <cell r="Q375">
            <v>-2</v>
          </cell>
          <cell r="T375">
            <v>0</v>
          </cell>
        </row>
        <row r="376">
          <cell r="Q376">
            <v>0</v>
          </cell>
          <cell r="T376" t="str">
            <v>уточ.режима</v>
          </cell>
        </row>
        <row r="377">
          <cell r="Q377">
            <v>0</v>
          </cell>
          <cell r="T377">
            <v>0</v>
          </cell>
        </row>
        <row r="378">
          <cell r="Q378" t="e">
            <v>#N/A</v>
          </cell>
          <cell r="T378" t="e">
            <v>#N/A</v>
          </cell>
        </row>
        <row r="379">
          <cell r="Q379">
            <v>0</v>
          </cell>
          <cell r="T379" t="str">
            <v>уточ.режима</v>
          </cell>
        </row>
        <row r="380">
          <cell r="Q380">
            <v>0</v>
          </cell>
          <cell r="T380" t="str">
            <v>уточ.режима</v>
          </cell>
        </row>
        <row r="381">
          <cell r="Q381">
            <v>0</v>
          </cell>
          <cell r="T381">
            <v>0</v>
          </cell>
        </row>
        <row r="382">
          <cell r="Q382">
            <v>0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0</v>
          </cell>
          <cell r="T385" t="str">
            <v>уточ.режима</v>
          </cell>
        </row>
        <row r="386">
          <cell r="Q386">
            <v>0</v>
          </cell>
          <cell r="T386">
            <v>0</v>
          </cell>
        </row>
        <row r="387">
          <cell r="Q387">
            <v>-2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>
            <v>0</v>
          </cell>
        </row>
        <row r="391">
          <cell r="Q391">
            <v>0</v>
          </cell>
          <cell r="T391">
            <v>0</v>
          </cell>
        </row>
        <row r="392">
          <cell r="Q392">
            <v>0</v>
          </cell>
          <cell r="T392">
            <v>0</v>
          </cell>
        </row>
        <row r="393">
          <cell r="Q393">
            <v>-3</v>
          </cell>
          <cell r="T393">
            <v>0</v>
          </cell>
        </row>
        <row r="394">
          <cell r="Q394">
            <v>0</v>
          </cell>
          <cell r="T394" t="str">
            <v>уточ.режима</v>
          </cell>
        </row>
        <row r="395">
          <cell r="Q395">
            <v>0</v>
          </cell>
          <cell r="T395">
            <v>0</v>
          </cell>
        </row>
        <row r="396">
          <cell r="Q396">
            <v>-1</v>
          </cell>
          <cell r="T396">
            <v>0</v>
          </cell>
        </row>
        <row r="397">
          <cell r="Q397">
            <v>0</v>
          </cell>
          <cell r="T397">
            <v>0</v>
          </cell>
        </row>
        <row r="398">
          <cell r="Q398">
            <v>0</v>
          </cell>
          <cell r="T398">
            <v>0</v>
          </cell>
        </row>
        <row r="399">
          <cell r="Q399">
            <v>-1</v>
          </cell>
          <cell r="T399" t="str">
            <v>уточ.режима</v>
          </cell>
        </row>
        <row r="400">
          <cell r="Q400">
            <v>5</v>
          </cell>
          <cell r="T400" t="str">
            <v>уточ.режима</v>
          </cell>
        </row>
        <row r="401">
          <cell r="Q401">
            <v>-5</v>
          </cell>
          <cell r="T401" t="str">
            <v>вода</v>
          </cell>
        </row>
        <row r="402">
          <cell r="Q402">
            <v>-17</v>
          </cell>
          <cell r="T402" t="str">
            <v>ипп</v>
          </cell>
        </row>
        <row r="403">
          <cell r="Q403">
            <v>15</v>
          </cell>
          <cell r="T403" t="str">
            <v>прс</v>
          </cell>
        </row>
        <row r="404">
          <cell r="Q404">
            <v>-43</v>
          </cell>
          <cell r="T404" t="str">
            <v>по</v>
          </cell>
        </row>
        <row r="405">
          <cell r="Q405">
            <v>0</v>
          </cell>
          <cell r="T405">
            <v>0</v>
          </cell>
        </row>
        <row r="406">
          <cell r="Q406">
            <v>-2</v>
          </cell>
          <cell r="T406">
            <v>0</v>
          </cell>
        </row>
        <row r="407">
          <cell r="Q407">
            <v>0</v>
          </cell>
          <cell r="T407">
            <v>0</v>
          </cell>
        </row>
        <row r="408">
          <cell r="Q408">
            <v>0</v>
          </cell>
          <cell r="T408">
            <v>0</v>
          </cell>
        </row>
        <row r="409">
          <cell r="Q409">
            <v>-1</v>
          </cell>
          <cell r="T409">
            <v>0</v>
          </cell>
        </row>
        <row r="410">
          <cell r="Q410">
            <v>-4</v>
          </cell>
          <cell r="T410">
            <v>0</v>
          </cell>
        </row>
        <row r="411">
          <cell r="Q411">
            <v>20</v>
          </cell>
          <cell r="T411" t="str">
            <v>уточ.режима</v>
          </cell>
        </row>
        <row r="412">
          <cell r="Q412">
            <v>-8</v>
          </cell>
          <cell r="T412" t="str">
            <v>ипп</v>
          </cell>
        </row>
        <row r="413">
          <cell r="Q413">
            <v>0</v>
          </cell>
          <cell r="T413">
            <v>0</v>
          </cell>
        </row>
        <row r="414">
          <cell r="Q414">
            <v>0</v>
          </cell>
          <cell r="T414">
            <v>0</v>
          </cell>
        </row>
        <row r="415">
          <cell r="Q415">
            <v>0</v>
          </cell>
          <cell r="T415" t="str">
            <v>уточ.режима</v>
          </cell>
        </row>
        <row r="416">
          <cell r="Q416">
            <v>-22</v>
          </cell>
          <cell r="T416" t="str">
            <v>уточ.режима</v>
          </cell>
        </row>
        <row r="417">
          <cell r="Q417">
            <v>1</v>
          </cell>
          <cell r="T417">
            <v>0</v>
          </cell>
        </row>
        <row r="418">
          <cell r="Q418">
            <v>-2</v>
          </cell>
          <cell r="T418">
            <v>0</v>
          </cell>
        </row>
        <row r="419">
          <cell r="Q419">
            <v>-3</v>
          </cell>
          <cell r="T419">
            <v>0</v>
          </cell>
        </row>
        <row r="420">
          <cell r="Q420">
            <v>0</v>
          </cell>
          <cell r="T420" t="str">
            <v>уточ.режима</v>
          </cell>
        </row>
        <row r="421">
          <cell r="Q421">
            <v>3</v>
          </cell>
          <cell r="T421">
            <v>0</v>
          </cell>
        </row>
        <row r="422">
          <cell r="Q422">
            <v>0</v>
          </cell>
          <cell r="T422">
            <v>0</v>
          </cell>
        </row>
        <row r="423">
          <cell r="Q423">
            <v>0</v>
          </cell>
          <cell r="T423">
            <v>0</v>
          </cell>
        </row>
        <row r="424">
          <cell r="Q424">
            <v>0</v>
          </cell>
          <cell r="T424">
            <v>0</v>
          </cell>
        </row>
        <row r="426">
          <cell r="Q426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 refreshError="1">
        <row r="5">
          <cell r="Q5" t="str">
            <v xml:space="preserve"> -+ жид-ть</v>
          </cell>
          <cell r="T5" t="str">
            <v>шифр</v>
          </cell>
        </row>
        <row r="7">
          <cell r="Q7">
            <v>3</v>
          </cell>
          <cell r="T7" t="str">
            <v>уточ.режима</v>
          </cell>
        </row>
        <row r="8">
          <cell r="Q8">
            <v>4</v>
          </cell>
          <cell r="T8" t="str">
            <v>вода</v>
          </cell>
        </row>
        <row r="9">
          <cell r="Q9">
            <v>0</v>
          </cell>
          <cell r="T9" t="str">
            <v>вода</v>
          </cell>
        </row>
        <row r="10">
          <cell r="Q10">
            <v>-7</v>
          </cell>
          <cell r="T10">
            <v>0</v>
          </cell>
        </row>
        <row r="11">
          <cell r="Q11">
            <v>1</v>
          </cell>
          <cell r="T11" t="str">
            <v>уточ.режима</v>
          </cell>
        </row>
        <row r="12">
          <cell r="Q12">
            <v>6</v>
          </cell>
          <cell r="T12" t="str">
            <v>уточ.режима</v>
          </cell>
        </row>
        <row r="13">
          <cell r="Q13">
            <v>-19</v>
          </cell>
          <cell r="T13" t="str">
            <v>ипп</v>
          </cell>
        </row>
        <row r="14">
          <cell r="Q14">
            <v>-1</v>
          </cell>
          <cell r="T14">
            <v>0</v>
          </cell>
        </row>
        <row r="15">
          <cell r="Q15">
            <v>3</v>
          </cell>
          <cell r="T15" t="str">
            <v>уточ.режима</v>
          </cell>
        </row>
        <row r="16">
          <cell r="Q16">
            <v>-2</v>
          </cell>
          <cell r="T16" t="str">
            <v>уточ.режима</v>
          </cell>
        </row>
        <row r="17">
          <cell r="Q17">
            <v>-7</v>
          </cell>
          <cell r="T17" t="str">
            <v>ипп</v>
          </cell>
        </row>
        <row r="18">
          <cell r="Q18">
            <v>0</v>
          </cell>
          <cell r="T18">
            <v>0</v>
          </cell>
        </row>
        <row r="19">
          <cell r="Q19">
            <v>0</v>
          </cell>
          <cell r="T19">
            <v>0</v>
          </cell>
        </row>
        <row r="20">
          <cell r="Q20">
            <v>-1</v>
          </cell>
          <cell r="T20">
            <v>0</v>
          </cell>
        </row>
        <row r="21">
          <cell r="Q21" t="e">
            <v>#N/A</v>
          </cell>
          <cell r="T21" t="e">
            <v>#N/A</v>
          </cell>
        </row>
        <row r="22">
          <cell r="Q22">
            <v>0</v>
          </cell>
          <cell r="T22">
            <v>0</v>
          </cell>
        </row>
        <row r="23">
          <cell r="Q23">
            <v>-1</v>
          </cell>
          <cell r="T23">
            <v>0</v>
          </cell>
        </row>
        <row r="24">
          <cell r="Q24">
            <v>-7</v>
          </cell>
          <cell r="T24">
            <v>0</v>
          </cell>
        </row>
        <row r="25">
          <cell r="Q25">
            <v>11</v>
          </cell>
          <cell r="T25" t="str">
            <v>прс</v>
          </cell>
        </row>
        <row r="26">
          <cell r="Q26">
            <v>-5</v>
          </cell>
          <cell r="T26" t="str">
            <v>по</v>
          </cell>
        </row>
        <row r="27">
          <cell r="Q27">
            <v>-5</v>
          </cell>
          <cell r="T27">
            <v>0</v>
          </cell>
        </row>
        <row r="28">
          <cell r="Q28">
            <v>-2</v>
          </cell>
          <cell r="T28">
            <v>0</v>
          </cell>
        </row>
        <row r="29">
          <cell r="Q29">
            <v>3</v>
          </cell>
          <cell r="T29">
            <v>0</v>
          </cell>
        </row>
        <row r="30">
          <cell r="Q30">
            <v>0</v>
          </cell>
          <cell r="T30">
            <v>0</v>
          </cell>
        </row>
        <row r="31">
          <cell r="Q31">
            <v>0</v>
          </cell>
          <cell r="T31">
            <v>0</v>
          </cell>
        </row>
        <row r="32">
          <cell r="Q32">
            <v>-1</v>
          </cell>
          <cell r="T32" t="str">
            <v>уточ.режима</v>
          </cell>
        </row>
        <row r="33">
          <cell r="Q33">
            <v>1</v>
          </cell>
          <cell r="T33">
            <v>0</v>
          </cell>
        </row>
        <row r="34">
          <cell r="Q34">
            <v>0</v>
          </cell>
          <cell r="T34">
            <v>0</v>
          </cell>
        </row>
        <row r="35">
          <cell r="Q35">
            <v>2</v>
          </cell>
          <cell r="T35">
            <v>0</v>
          </cell>
        </row>
        <row r="36">
          <cell r="Q36">
            <v>7</v>
          </cell>
          <cell r="T36">
            <v>0</v>
          </cell>
        </row>
        <row r="37">
          <cell r="Q37">
            <v>1</v>
          </cell>
          <cell r="T37">
            <v>0</v>
          </cell>
        </row>
        <row r="38">
          <cell r="Q38">
            <v>0</v>
          </cell>
          <cell r="T38">
            <v>0</v>
          </cell>
        </row>
        <row r="39">
          <cell r="Q39">
            <v>2</v>
          </cell>
          <cell r="T39">
            <v>0</v>
          </cell>
        </row>
        <row r="40">
          <cell r="Q40">
            <v>2</v>
          </cell>
          <cell r="T40">
            <v>0</v>
          </cell>
        </row>
        <row r="41">
          <cell r="Q41">
            <v>7</v>
          </cell>
          <cell r="T41">
            <v>0</v>
          </cell>
        </row>
        <row r="42">
          <cell r="Q42">
            <v>0</v>
          </cell>
          <cell r="T42">
            <v>0</v>
          </cell>
        </row>
        <row r="43">
          <cell r="Q43">
            <v>-49</v>
          </cell>
          <cell r="T43" t="str">
            <v>сн.грп</v>
          </cell>
        </row>
        <row r="44">
          <cell r="Q44">
            <v>-1</v>
          </cell>
          <cell r="T44">
            <v>0</v>
          </cell>
        </row>
        <row r="45">
          <cell r="Q45">
            <v>-2</v>
          </cell>
          <cell r="T45">
            <v>0</v>
          </cell>
        </row>
        <row r="46">
          <cell r="Q46">
            <v>0</v>
          </cell>
          <cell r="T46">
            <v>0</v>
          </cell>
        </row>
        <row r="47">
          <cell r="Q47">
            <v>1</v>
          </cell>
          <cell r="T47">
            <v>0</v>
          </cell>
        </row>
        <row r="48">
          <cell r="Q48">
            <v>4</v>
          </cell>
          <cell r="T48">
            <v>0</v>
          </cell>
        </row>
        <row r="49">
          <cell r="Q49">
            <v>2</v>
          </cell>
          <cell r="T49">
            <v>0</v>
          </cell>
        </row>
        <row r="50">
          <cell r="Q50">
            <v>3</v>
          </cell>
          <cell r="T50">
            <v>0</v>
          </cell>
        </row>
        <row r="51">
          <cell r="Q51">
            <v>-3</v>
          </cell>
          <cell r="T51">
            <v>0</v>
          </cell>
        </row>
        <row r="52">
          <cell r="Q52">
            <v>6</v>
          </cell>
          <cell r="T52">
            <v>0</v>
          </cell>
        </row>
        <row r="53">
          <cell r="Q53">
            <v>3</v>
          </cell>
          <cell r="T53">
            <v>0</v>
          </cell>
        </row>
        <row r="54">
          <cell r="Q54">
            <v>-1</v>
          </cell>
          <cell r="T54">
            <v>0</v>
          </cell>
        </row>
        <row r="55">
          <cell r="Q55">
            <v>5</v>
          </cell>
          <cell r="T55" t="str">
            <v>уточ.режима</v>
          </cell>
        </row>
        <row r="56">
          <cell r="Q56">
            <v>0</v>
          </cell>
          <cell r="T56">
            <v>0</v>
          </cell>
        </row>
        <row r="57">
          <cell r="Q57">
            <v>-1</v>
          </cell>
          <cell r="T57">
            <v>0</v>
          </cell>
        </row>
        <row r="58">
          <cell r="Q58">
            <v>-1</v>
          </cell>
          <cell r="T58">
            <v>0</v>
          </cell>
        </row>
        <row r="59">
          <cell r="Q59">
            <v>0</v>
          </cell>
          <cell r="T59">
            <v>0</v>
          </cell>
        </row>
        <row r="60">
          <cell r="Q60">
            <v>0</v>
          </cell>
          <cell r="T60">
            <v>0</v>
          </cell>
        </row>
        <row r="61">
          <cell r="Q61">
            <v>-2</v>
          </cell>
          <cell r="T61">
            <v>0</v>
          </cell>
        </row>
        <row r="62">
          <cell r="Q62">
            <v>-2</v>
          </cell>
          <cell r="T62">
            <v>0</v>
          </cell>
        </row>
        <row r="63">
          <cell r="Q63">
            <v>-3</v>
          </cell>
          <cell r="T63" t="str">
            <v>вода</v>
          </cell>
        </row>
        <row r="64">
          <cell r="Q64">
            <v>2</v>
          </cell>
          <cell r="T64">
            <v>0</v>
          </cell>
        </row>
        <row r="65">
          <cell r="Q65">
            <v>4</v>
          </cell>
          <cell r="T65">
            <v>0</v>
          </cell>
        </row>
        <row r="66">
          <cell r="Q66">
            <v>4</v>
          </cell>
          <cell r="T66">
            <v>0</v>
          </cell>
        </row>
        <row r="67">
          <cell r="Q67">
            <v>14</v>
          </cell>
          <cell r="T67">
            <v>0</v>
          </cell>
        </row>
        <row r="68">
          <cell r="Q68">
            <v>7</v>
          </cell>
          <cell r="T68">
            <v>0</v>
          </cell>
        </row>
        <row r="69">
          <cell r="Q69">
            <v>0</v>
          </cell>
          <cell r="T69">
            <v>0</v>
          </cell>
        </row>
        <row r="70">
          <cell r="Q70">
            <v>0</v>
          </cell>
          <cell r="T70">
            <v>0</v>
          </cell>
        </row>
        <row r="71">
          <cell r="Q71">
            <v>-16</v>
          </cell>
          <cell r="T71" t="str">
            <v>ипп</v>
          </cell>
        </row>
        <row r="72">
          <cell r="Q72">
            <v>-2</v>
          </cell>
          <cell r="T72">
            <v>0</v>
          </cell>
        </row>
        <row r="73">
          <cell r="Q73">
            <v>-2</v>
          </cell>
          <cell r="T73">
            <v>0</v>
          </cell>
        </row>
        <row r="74">
          <cell r="Q74">
            <v>-4</v>
          </cell>
          <cell r="T74">
            <v>0</v>
          </cell>
        </row>
        <row r="75">
          <cell r="Q75">
            <v>0</v>
          </cell>
          <cell r="T75">
            <v>0</v>
          </cell>
        </row>
        <row r="76">
          <cell r="Q76">
            <v>-5</v>
          </cell>
          <cell r="T76">
            <v>0</v>
          </cell>
        </row>
        <row r="77">
          <cell r="Q77">
            <v>-3</v>
          </cell>
          <cell r="T77">
            <v>0</v>
          </cell>
        </row>
        <row r="78">
          <cell r="Q78">
            <v>-1</v>
          </cell>
          <cell r="T78">
            <v>0</v>
          </cell>
        </row>
        <row r="79">
          <cell r="Q79">
            <v>-11</v>
          </cell>
          <cell r="T79" t="str">
            <v>уточ.режима</v>
          </cell>
        </row>
        <row r="80">
          <cell r="Q80">
            <v>-2</v>
          </cell>
          <cell r="T80">
            <v>0</v>
          </cell>
        </row>
        <row r="81">
          <cell r="Q81">
            <v>0</v>
          </cell>
          <cell r="T81">
            <v>0</v>
          </cell>
        </row>
        <row r="82">
          <cell r="Q82">
            <v>113</v>
          </cell>
          <cell r="T82">
            <v>0</v>
          </cell>
        </row>
        <row r="83">
          <cell r="Q83">
            <v>2</v>
          </cell>
          <cell r="T83">
            <v>0</v>
          </cell>
        </row>
        <row r="84">
          <cell r="Q84">
            <v>6</v>
          </cell>
          <cell r="T84" t="str">
            <v>вода</v>
          </cell>
        </row>
        <row r="85">
          <cell r="Q85">
            <v>-9</v>
          </cell>
          <cell r="T85" t="str">
            <v>ипп</v>
          </cell>
        </row>
        <row r="86">
          <cell r="Q86">
            <v>-6</v>
          </cell>
          <cell r="T86" t="str">
            <v>ипп</v>
          </cell>
        </row>
        <row r="87">
          <cell r="Q87">
            <v>0</v>
          </cell>
          <cell r="T87">
            <v>0</v>
          </cell>
        </row>
        <row r="88">
          <cell r="Q88">
            <v>-3</v>
          </cell>
          <cell r="T88" t="str">
            <v>вода</v>
          </cell>
        </row>
        <row r="89">
          <cell r="Q89">
            <v>0</v>
          </cell>
          <cell r="T89">
            <v>0</v>
          </cell>
        </row>
        <row r="90">
          <cell r="Q90">
            <v>-3</v>
          </cell>
          <cell r="T90" t="str">
            <v>уточ.режима</v>
          </cell>
        </row>
        <row r="91">
          <cell r="Q91">
            <v>-5</v>
          </cell>
          <cell r="T91">
            <v>0</v>
          </cell>
        </row>
        <row r="92">
          <cell r="Q92">
            <v>0</v>
          </cell>
          <cell r="T92">
            <v>0</v>
          </cell>
        </row>
        <row r="93">
          <cell r="Q93">
            <v>-2</v>
          </cell>
          <cell r="T93" t="str">
            <v>уточ.режима</v>
          </cell>
        </row>
        <row r="94">
          <cell r="Q94" t="e">
            <v>#N/A</v>
          </cell>
          <cell r="T94" t="e">
            <v>#N/A</v>
          </cell>
        </row>
        <row r="95">
          <cell r="Q95">
            <v>-3</v>
          </cell>
          <cell r="T95" t="str">
            <v>по</v>
          </cell>
        </row>
        <row r="96">
          <cell r="Q96">
            <v>0</v>
          </cell>
          <cell r="T96">
            <v>0</v>
          </cell>
        </row>
        <row r="97">
          <cell r="Q97">
            <v>-3</v>
          </cell>
          <cell r="T97">
            <v>0</v>
          </cell>
        </row>
        <row r="98">
          <cell r="Q98">
            <v>0</v>
          </cell>
          <cell r="T98">
            <v>0</v>
          </cell>
        </row>
        <row r="99">
          <cell r="Q99">
            <v>0</v>
          </cell>
          <cell r="T99">
            <v>0</v>
          </cell>
        </row>
        <row r="100">
          <cell r="Q100">
            <v>-1</v>
          </cell>
          <cell r="T100">
            <v>0</v>
          </cell>
        </row>
        <row r="101">
          <cell r="Q101">
            <v>0</v>
          </cell>
          <cell r="T101" t="str">
            <v>вода</v>
          </cell>
        </row>
        <row r="102">
          <cell r="Q102">
            <v>1</v>
          </cell>
          <cell r="T102">
            <v>0</v>
          </cell>
        </row>
        <row r="103">
          <cell r="Q103">
            <v>0</v>
          </cell>
          <cell r="T103">
            <v>0</v>
          </cell>
        </row>
        <row r="104">
          <cell r="Q104">
            <v>1</v>
          </cell>
          <cell r="T104" t="str">
            <v>вода</v>
          </cell>
        </row>
        <row r="105">
          <cell r="Q105">
            <v>-1</v>
          </cell>
          <cell r="T105">
            <v>0</v>
          </cell>
        </row>
        <row r="106">
          <cell r="Q106">
            <v>-2</v>
          </cell>
          <cell r="T106">
            <v>0</v>
          </cell>
        </row>
        <row r="107">
          <cell r="Q107">
            <v>2</v>
          </cell>
          <cell r="T107">
            <v>0</v>
          </cell>
        </row>
        <row r="108">
          <cell r="Q108">
            <v>-2</v>
          </cell>
          <cell r="T108">
            <v>0</v>
          </cell>
        </row>
        <row r="109">
          <cell r="Q109">
            <v>-1</v>
          </cell>
          <cell r="T109">
            <v>0</v>
          </cell>
        </row>
        <row r="110">
          <cell r="Q110">
            <v>-4</v>
          </cell>
          <cell r="T110" t="str">
            <v>вода</v>
          </cell>
        </row>
        <row r="111">
          <cell r="Q111">
            <v>2</v>
          </cell>
          <cell r="T111" t="str">
            <v>уточ.режима</v>
          </cell>
        </row>
        <row r="112">
          <cell r="Q112">
            <v>4</v>
          </cell>
          <cell r="T112">
            <v>0</v>
          </cell>
        </row>
        <row r="113">
          <cell r="Q113">
            <v>2</v>
          </cell>
          <cell r="T113">
            <v>0</v>
          </cell>
        </row>
        <row r="114">
          <cell r="Q114">
            <v>0</v>
          </cell>
          <cell r="T114">
            <v>0</v>
          </cell>
        </row>
        <row r="115">
          <cell r="Q115">
            <v>-1</v>
          </cell>
          <cell r="T115">
            <v>0</v>
          </cell>
        </row>
        <row r="116">
          <cell r="Q116">
            <v>-4</v>
          </cell>
          <cell r="T116">
            <v>0</v>
          </cell>
        </row>
        <row r="117">
          <cell r="Q117">
            <v>3</v>
          </cell>
          <cell r="T117">
            <v>0</v>
          </cell>
        </row>
        <row r="118">
          <cell r="Q118">
            <v>-5</v>
          </cell>
          <cell r="T118">
            <v>0</v>
          </cell>
        </row>
        <row r="119">
          <cell r="Q119">
            <v>-13</v>
          </cell>
          <cell r="T119" t="str">
            <v>уточ.режима</v>
          </cell>
        </row>
        <row r="120">
          <cell r="Q120">
            <v>0</v>
          </cell>
          <cell r="T120">
            <v>0</v>
          </cell>
        </row>
        <row r="121">
          <cell r="Q121">
            <v>-2</v>
          </cell>
          <cell r="T121">
            <v>0</v>
          </cell>
        </row>
        <row r="122">
          <cell r="Q122">
            <v>0</v>
          </cell>
          <cell r="T122">
            <v>0</v>
          </cell>
        </row>
        <row r="123">
          <cell r="Q123">
            <v>-2</v>
          </cell>
          <cell r="T123" t="str">
            <v>уточ.режима</v>
          </cell>
        </row>
        <row r="124">
          <cell r="Q124">
            <v>0</v>
          </cell>
          <cell r="T124">
            <v>0</v>
          </cell>
        </row>
        <row r="125">
          <cell r="Q125">
            <v>-1</v>
          </cell>
          <cell r="T125">
            <v>0</v>
          </cell>
        </row>
        <row r="126">
          <cell r="Q126">
            <v>8</v>
          </cell>
          <cell r="T126" t="str">
            <v>вода</v>
          </cell>
        </row>
        <row r="127">
          <cell r="Q127">
            <v>0</v>
          </cell>
          <cell r="T127">
            <v>0</v>
          </cell>
        </row>
        <row r="128">
          <cell r="Q128">
            <v>0</v>
          </cell>
          <cell r="T128">
            <v>0</v>
          </cell>
        </row>
        <row r="129">
          <cell r="Q129">
            <v>0</v>
          </cell>
          <cell r="T129">
            <v>0</v>
          </cell>
        </row>
        <row r="130">
          <cell r="Q130">
            <v>0</v>
          </cell>
          <cell r="T130">
            <v>0</v>
          </cell>
        </row>
        <row r="131">
          <cell r="Q131">
            <v>0</v>
          </cell>
          <cell r="T131">
            <v>0</v>
          </cell>
        </row>
        <row r="132">
          <cell r="Q132">
            <v>0</v>
          </cell>
          <cell r="T132">
            <v>0</v>
          </cell>
        </row>
        <row r="133">
          <cell r="Q133">
            <v>0</v>
          </cell>
          <cell r="T133">
            <v>0</v>
          </cell>
        </row>
        <row r="134">
          <cell r="Q134" t="e">
            <v>#N/A</v>
          </cell>
          <cell r="T134" t="e">
            <v>#N/A</v>
          </cell>
        </row>
        <row r="135">
          <cell r="Q135">
            <v>0</v>
          </cell>
          <cell r="T135">
            <v>0</v>
          </cell>
        </row>
        <row r="136">
          <cell r="Q136">
            <v>0</v>
          </cell>
          <cell r="T136">
            <v>0</v>
          </cell>
        </row>
        <row r="137">
          <cell r="Q137">
            <v>-3</v>
          </cell>
          <cell r="T137" t="str">
            <v>уточ.режима</v>
          </cell>
        </row>
        <row r="138">
          <cell r="Q138">
            <v>0</v>
          </cell>
          <cell r="T138" t="str">
            <v>уточ.режима</v>
          </cell>
        </row>
        <row r="139">
          <cell r="Q139">
            <v>0</v>
          </cell>
          <cell r="T139">
            <v>0</v>
          </cell>
        </row>
        <row r="140">
          <cell r="Q140">
            <v>4</v>
          </cell>
          <cell r="T140" t="str">
            <v>уточ.режима</v>
          </cell>
        </row>
        <row r="141">
          <cell r="Q141">
            <v>4</v>
          </cell>
          <cell r="T141" t="str">
            <v>уточ.режима</v>
          </cell>
        </row>
        <row r="142">
          <cell r="Q142">
            <v>-3</v>
          </cell>
          <cell r="T142">
            <v>0</v>
          </cell>
        </row>
        <row r="143">
          <cell r="Q143">
            <v>-1</v>
          </cell>
          <cell r="T143">
            <v>0</v>
          </cell>
        </row>
        <row r="144">
          <cell r="Q144">
            <v>-3</v>
          </cell>
          <cell r="T144" t="str">
            <v>уточ.режима</v>
          </cell>
        </row>
        <row r="145">
          <cell r="Q145">
            <v>-2</v>
          </cell>
          <cell r="T145" t="str">
            <v>уточ.режима</v>
          </cell>
        </row>
        <row r="146">
          <cell r="Q146">
            <v>-3</v>
          </cell>
          <cell r="T146">
            <v>0</v>
          </cell>
        </row>
        <row r="147">
          <cell r="Q147">
            <v>0</v>
          </cell>
          <cell r="T147" t="str">
            <v>уточ.режима</v>
          </cell>
        </row>
        <row r="148">
          <cell r="Q148">
            <v>-6</v>
          </cell>
          <cell r="T148" t="str">
            <v>ипп</v>
          </cell>
        </row>
        <row r="149">
          <cell r="Q149">
            <v>0</v>
          </cell>
          <cell r="T149">
            <v>0</v>
          </cell>
        </row>
        <row r="150">
          <cell r="Q150">
            <v>8</v>
          </cell>
          <cell r="T150" t="str">
            <v>уточ.режима</v>
          </cell>
        </row>
        <row r="151">
          <cell r="Q151">
            <v>-1</v>
          </cell>
          <cell r="T151">
            <v>0</v>
          </cell>
        </row>
        <row r="152">
          <cell r="Q152">
            <v>-1</v>
          </cell>
          <cell r="T152">
            <v>0</v>
          </cell>
        </row>
        <row r="153">
          <cell r="Q153">
            <v>-2</v>
          </cell>
          <cell r="T153" t="str">
            <v>уточ.режима</v>
          </cell>
        </row>
        <row r="154">
          <cell r="Q154">
            <v>0</v>
          </cell>
          <cell r="T154">
            <v>0</v>
          </cell>
        </row>
        <row r="155">
          <cell r="Q155">
            <v>71</v>
          </cell>
          <cell r="T155" t="str">
            <v>грп</v>
          </cell>
        </row>
        <row r="156">
          <cell r="Q156">
            <v>-3</v>
          </cell>
          <cell r="T156">
            <v>0</v>
          </cell>
        </row>
        <row r="157">
          <cell r="Q157">
            <v>0</v>
          </cell>
          <cell r="T157">
            <v>0</v>
          </cell>
        </row>
        <row r="158">
          <cell r="Q158" t="e">
            <v>#N/A</v>
          </cell>
          <cell r="T158" t="e">
            <v>#N/A</v>
          </cell>
        </row>
        <row r="159">
          <cell r="Q159">
            <v>-16</v>
          </cell>
          <cell r="T159">
            <v>0</v>
          </cell>
        </row>
        <row r="160">
          <cell r="Q160">
            <v>-6</v>
          </cell>
          <cell r="T160" t="str">
            <v>уточ.режима</v>
          </cell>
        </row>
        <row r="161">
          <cell r="Q161">
            <v>-1</v>
          </cell>
          <cell r="T161">
            <v>0</v>
          </cell>
        </row>
        <row r="162">
          <cell r="Q162">
            <v>0</v>
          </cell>
          <cell r="T162">
            <v>0</v>
          </cell>
        </row>
        <row r="163">
          <cell r="Q163">
            <v>4</v>
          </cell>
          <cell r="T163" t="str">
            <v>прс</v>
          </cell>
        </row>
        <row r="164">
          <cell r="Q164">
            <v>0</v>
          </cell>
          <cell r="T164">
            <v>0</v>
          </cell>
        </row>
        <row r="165">
          <cell r="Q165">
            <v>4</v>
          </cell>
          <cell r="T165">
            <v>0</v>
          </cell>
        </row>
        <row r="166">
          <cell r="Q166">
            <v>9</v>
          </cell>
          <cell r="T166">
            <v>0</v>
          </cell>
        </row>
        <row r="167">
          <cell r="Q167">
            <v>3</v>
          </cell>
          <cell r="T167">
            <v>0</v>
          </cell>
        </row>
        <row r="168">
          <cell r="Q168">
            <v>0</v>
          </cell>
          <cell r="T168">
            <v>0</v>
          </cell>
        </row>
        <row r="169">
          <cell r="Q169">
            <v>8</v>
          </cell>
          <cell r="T169">
            <v>0</v>
          </cell>
        </row>
        <row r="170">
          <cell r="Q170">
            <v>0</v>
          </cell>
          <cell r="T170">
            <v>0</v>
          </cell>
        </row>
        <row r="171">
          <cell r="Q171">
            <v>-3</v>
          </cell>
          <cell r="T171">
            <v>0</v>
          </cell>
        </row>
        <row r="172">
          <cell r="Q172">
            <v>2</v>
          </cell>
          <cell r="T172" t="str">
            <v>уточ.режима</v>
          </cell>
        </row>
        <row r="173">
          <cell r="Q173">
            <v>0</v>
          </cell>
          <cell r="T173">
            <v>0</v>
          </cell>
        </row>
        <row r="174">
          <cell r="Q174">
            <v>1</v>
          </cell>
          <cell r="T174" t="str">
            <v>уточ.режима</v>
          </cell>
        </row>
        <row r="175">
          <cell r="Q175">
            <v>0</v>
          </cell>
          <cell r="T175">
            <v>0</v>
          </cell>
        </row>
        <row r="176">
          <cell r="Q176">
            <v>-1</v>
          </cell>
          <cell r="T176">
            <v>0</v>
          </cell>
        </row>
        <row r="177">
          <cell r="Q177">
            <v>-3</v>
          </cell>
          <cell r="T177">
            <v>0</v>
          </cell>
        </row>
        <row r="178">
          <cell r="Q178">
            <v>3</v>
          </cell>
          <cell r="T178">
            <v>0</v>
          </cell>
        </row>
        <row r="179">
          <cell r="Q179">
            <v>-3</v>
          </cell>
          <cell r="T179">
            <v>0</v>
          </cell>
        </row>
        <row r="180">
          <cell r="Q180">
            <v>-5</v>
          </cell>
          <cell r="T180" t="str">
            <v>уточ.режима</v>
          </cell>
        </row>
        <row r="181">
          <cell r="Q181">
            <v>0</v>
          </cell>
          <cell r="T181">
            <v>0</v>
          </cell>
        </row>
        <row r="182">
          <cell r="Q182">
            <v>-2</v>
          </cell>
          <cell r="T182">
            <v>0</v>
          </cell>
        </row>
        <row r="183">
          <cell r="Q183">
            <v>0</v>
          </cell>
          <cell r="T183">
            <v>0</v>
          </cell>
        </row>
        <row r="184">
          <cell r="Q184">
            <v>-5</v>
          </cell>
          <cell r="T184">
            <v>0</v>
          </cell>
        </row>
        <row r="185">
          <cell r="Q185">
            <v>0</v>
          </cell>
          <cell r="T185">
            <v>0</v>
          </cell>
        </row>
        <row r="186">
          <cell r="Q186">
            <v>-6</v>
          </cell>
          <cell r="T186" t="str">
            <v>ипп</v>
          </cell>
        </row>
        <row r="187">
          <cell r="Q187">
            <v>0</v>
          </cell>
          <cell r="T187">
            <v>0</v>
          </cell>
        </row>
        <row r="188">
          <cell r="Q188">
            <v>0</v>
          </cell>
          <cell r="T188">
            <v>0</v>
          </cell>
        </row>
        <row r="189">
          <cell r="Q189">
            <v>-5</v>
          </cell>
          <cell r="T189">
            <v>0</v>
          </cell>
        </row>
        <row r="190">
          <cell r="Q190">
            <v>-3</v>
          </cell>
          <cell r="T190">
            <v>0</v>
          </cell>
        </row>
        <row r="191">
          <cell r="Q191">
            <v>-9</v>
          </cell>
          <cell r="T191">
            <v>0</v>
          </cell>
        </row>
        <row r="192">
          <cell r="Q192">
            <v>0</v>
          </cell>
          <cell r="T192">
            <v>0</v>
          </cell>
        </row>
        <row r="193">
          <cell r="Q193">
            <v>0</v>
          </cell>
          <cell r="T193">
            <v>0</v>
          </cell>
        </row>
        <row r="194">
          <cell r="Q194">
            <v>3</v>
          </cell>
          <cell r="T194">
            <v>0</v>
          </cell>
        </row>
        <row r="195">
          <cell r="Q195">
            <v>-3</v>
          </cell>
          <cell r="T195">
            <v>0</v>
          </cell>
        </row>
        <row r="196">
          <cell r="Q196">
            <v>0</v>
          </cell>
          <cell r="T196">
            <v>0</v>
          </cell>
        </row>
        <row r="197">
          <cell r="Q197">
            <v>2</v>
          </cell>
          <cell r="T197">
            <v>0</v>
          </cell>
        </row>
        <row r="198">
          <cell r="Q198">
            <v>0</v>
          </cell>
          <cell r="T198">
            <v>0</v>
          </cell>
        </row>
        <row r="199">
          <cell r="Q199">
            <v>-2</v>
          </cell>
          <cell r="T199">
            <v>0</v>
          </cell>
        </row>
        <row r="200">
          <cell r="Q200">
            <v>0</v>
          </cell>
          <cell r="T200">
            <v>0</v>
          </cell>
        </row>
        <row r="201">
          <cell r="Q201">
            <v>-1</v>
          </cell>
          <cell r="T201">
            <v>0</v>
          </cell>
        </row>
        <row r="202">
          <cell r="Q202">
            <v>1</v>
          </cell>
          <cell r="T202">
            <v>0</v>
          </cell>
        </row>
        <row r="203">
          <cell r="Q203">
            <v>0</v>
          </cell>
          <cell r="T203">
            <v>0</v>
          </cell>
        </row>
        <row r="204">
          <cell r="Q204">
            <v>0</v>
          </cell>
          <cell r="T204">
            <v>0</v>
          </cell>
        </row>
        <row r="205">
          <cell r="Q205">
            <v>-3</v>
          </cell>
          <cell r="T205" t="str">
            <v>уточ.режима</v>
          </cell>
        </row>
        <row r="206">
          <cell r="Q206">
            <v>2</v>
          </cell>
          <cell r="T206">
            <v>0</v>
          </cell>
        </row>
        <row r="207">
          <cell r="Q207">
            <v>0</v>
          </cell>
          <cell r="T207">
            <v>0</v>
          </cell>
        </row>
        <row r="208">
          <cell r="Q208">
            <v>1</v>
          </cell>
          <cell r="T208" t="str">
            <v>уточ.режима</v>
          </cell>
        </row>
        <row r="209">
          <cell r="Q209">
            <v>0</v>
          </cell>
          <cell r="T209">
            <v>0</v>
          </cell>
        </row>
        <row r="210">
          <cell r="Q210">
            <v>-5</v>
          </cell>
          <cell r="T210">
            <v>0</v>
          </cell>
        </row>
        <row r="211">
          <cell r="Q211">
            <v>0</v>
          </cell>
          <cell r="T211" t="str">
            <v>уточ.режима</v>
          </cell>
        </row>
        <row r="212">
          <cell r="Q212">
            <v>0</v>
          </cell>
          <cell r="T212">
            <v>0</v>
          </cell>
        </row>
        <row r="213">
          <cell r="Q213">
            <v>-1</v>
          </cell>
          <cell r="T213">
            <v>0</v>
          </cell>
        </row>
        <row r="214">
          <cell r="Q214">
            <v>-1</v>
          </cell>
          <cell r="T214">
            <v>0</v>
          </cell>
        </row>
        <row r="215">
          <cell r="Q215">
            <v>0</v>
          </cell>
          <cell r="T215">
            <v>0</v>
          </cell>
        </row>
        <row r="216">
          <cell r="Q216">
            <v>2</v>
          </cell>
          <cell r="T216">
            <v>0</v>
          </cell>
        </row>
        <row r="217">
          <cell r="Q217">
            <v>-1</v>
          </cell>
          <cell r="T217">
            <v>0</v>
          </cell>
        </row>
        <row r="218">
          <cell r="Q218">
            <v>-3</v>
          </cell>
          <cell r="T218" t="str">
            <v>уточ.режима</v>
          </cell>
        </row>
        <row r="219">
          <cell r="Q219">
            <v>-1</v>
          </cell>
          <cell r="T219">
            <v>0</v>
          </cell>
        </row>
        <row r="220">
          <cell r="Q220">
            <v>0</v>
          </cell>
          <cell r="T220">
            <v>0</v>
          </cell>
        </row>
        <row r="221">
          <cell r="Q221">
            <v>2</v>
          </cell>
          <cell r="T221">
            <v>0</v>
          </cell>
        </row>
        <row r="222">
          <cell r="Q222">
            <v>-1</v>
          </cell>
          <cell r="T222">
            <v>0</v>
          </cell>
        </row>
        <row r="223">
          <cell r="Q223">
            <v>2</v>
          </cell>
          <cell r="T223">
            <v>0</v>
          </cell>
        </row>
        <row r="224">
          <cell r="Q224">
            <v>0</v>
          </cell>
          <cell r="T224">
            <v>0</v>
          </cell>
        </row>
        <row r="225">
          <cell r="Q225">
            <v>0</v>
          </cell>
          <cell r="T225">
            <v>0</v>
          </cell>
        </row>
        <row r="226">
          <cell r="Q226">
            <v>-3</v>
          </cell>
          <cell r="T226">
            <v>0</v>
          </cell>
        </row>
        <row r="227">
          <cell r="Q227">
            <v>-1</v>
          </cell>
          <cell r="T227">
            <v>0</v>
          </cell>
        </row>
        <row r="228">
          <cell r="Q228">
            <v>0</v>
          </cell>
          <cell r="T228" t="str">
            <v>вода</v>
          </cell>
        </row>
        <row r="229">
          <cell r="Q229">
            <v>-5</v>
          </cell>
          <cell r="T229">
            <v>0</v>
          </cell>
        </row>
        <row r="230">
          <cell r="Q230">
            <v>-2</v>
          </cell>
          <cell r="T230" t="str">
            <v>уточ.режима</v>
          </cell>
        </row>
        <row r="231">
          <cell r="Q231">
            <v>-6</v>
          </cell>
          <cell r="T231" t="str">
            <v>ипп</v>
          </cell>
        </row>
        <row r="232">
          <cell r="Q232">
            <v>-2</v>
          </cell>
          <cell r="T232">
            <v>0</v>
          </cell>
        </row>
        <row r="233">
          <cell r="Q233">
            <v>0</v>
          </cell>
          <cell r="T233">
            <v>0</v>
          </cell>
        </row>
        <row r="234">
          <cell r="Q234">
            <v>0</v>
          </cell>
          <cell r="T234">
            <v>0</v>
          </cell>
        </row>
        <row r="235">
          <cell r="Q235">
            <v>0</v>
          </cell>
          <cell r="T235">
            <v>0</v>
          </cell>
        </row>
        <row r="236">
          <cell r="Q236">
            <v>0</v>
          </cell>
          <cell r="T236">
            <v>0</v>
          </cell>
        </row>
        <row r="237">
          <cell r="Q237">
            <v>0</v>
          </cell>
          <cell r="T237">
            <v>0</v>
          </cell>
        </row>
        <row r="238">
          <cell r="Q238">
            <v>0</v>
          </cell>
          <cell r="T238">
            <v>0</v>
          </cell>
        </row>
        <row r="239">
          <cell r="Q239">
            <v>1</v>
          </cell>
          <cell r="T239" t="str">
            <v>уточ.режима</v>
          </cell>
        </row>
        <row r="240">
          <cell r="Q240">
            <v>-1</v>
          </cell>
          <cell r="T240">
            <v>0</v>
          </cell>
        </row>
        <row r="241">
          <cell r="Q241">
            <v>0</v>
          </cell>
          <cell r="T241">
            <v>0</v>
          </cell>
        </row>
        <row r="242">
          <cell r="Q242">
            <v>0</v>
          </cell>
          <cell r="T242">
            <v>0</v>
          </cell>
        </row>
        <row r="243">
          <cell r="Q243">
            <v>0</v>
          </cell>
          <cell r="T243">
            <v>0</v>
          </cell>
        </row>
        <row r="244">
          <cell r="Q244">
            <v>-6</v>
          </cell>
          <cell r="T244">
            <v>0</v>
          </cell>
        </row>
        <row r="245">
          <cell r="Q245">
            <v>0</v>
          </cell>
          <cell r="T245">
            <v>0</v>
          </cell>
        </row>
        <row r="246">
          <cell r="Q246">
            <v>3</v>
          </cell>
          <cell r="T246" t="str">
            <v>прс</v>
          </cell>
        </row>
        <row r="247">
          <cell r="Q247">
            <v>0</v>
          </cell>
          <cell r="T247">
            <v>0</v>
          </cell>
        </row>
        <row r="248">
          <cell r="Q248">
            <v>0</v>
          </cell>
          <cell r="T248">
            <v>0</v>
          </cell>
        </row>
        <row r="249">
          <cell r="Q249">
            <v>1</v>
          </cell>
          <cell r="T249">
            <v>0</v>
          </cell>
        </row>
        <row r="250">
          <cell r="Q250">
            <v>-2</v>
          </cell>
          <cell r="T250">
            <v>0</v>
          </cell>
        </row>
        <row r="251">
          <cell r="Q251">
            <v>0</v>
          </cell>
          <cell r="T251" t="str">
            <v>уточ.режима</v>
          </cell>
        </row>
        <row r="252">
          <cell r="Q252">
            <v>0</v>
          </cell>
          <cell r="T252">
            <v>0</v>
          </cell>
        </row>
        <row r="253">
          <cell r="Q253">
            <v>1</v>
          </cell>
          <cell r="T253">
            <v>0</v>
          </cell>
        </row>
        <row r="254">
          <cell r="Q254">
            <v>-4</v>
          </cell>
          <cell r="T254" t="str">
            <v>уточ.режима</v>
          </cell>
        </row>
        <row r="255">
          <cell r="Q255">
            <v>-6</v>
          </cell>
          <cell r="T255">
            <v>0</v>
          </cell>
        </row>
        <row r="256">
          <cell r="Q256">
            <v>3</v>
          </cell>
          <cell r="T256">
            <v>0</v>
          </cell>
        </row>
        <row r="257">
          <cell r="Q257">
            <v>-2</v>
          </cell>
          <cell r="T257">
            <v>0</v>
          </cell>
        </row>
        <row r="258">
          <cell r="Q258">
            <v>0</v>
          </cell>
          <cell r="T258">
            <v>0</v>
          </cell>
        </row>
        <row r="259">
          <cell r="Q259">
            <v>-9</v>
          </cell>
          <cell r="T259" t="str">
            <v>сн.опт</v>
          </cell>
        </row>
        <row r="260">
          <cell r="Q260" t="e">
            <v>#N/A</v>
          </cell>
          <cell r="T260" t="e">
            <v>#N/A</v>
          </cell>
        </row>
        <row r="261">
          <cell r="Q261">
            <v>4</v>
          </cell>
          <cell r="T261" t="str">
            <v>уточ.режима</v>
          </cell>
        </row>
        <row r="262">
          <cell r="Q262">
            <v>-1</v>
          </cell>
          <cell r="T262">
            <v>0</v>
          </cell>
        </row>
        <row r="263">
          <cell r="Q263">
            <v>-1</v>
          </cell>
          <cell r="T263">
            <v>0</v>
          </cell>
        </row>
        <row r="264">
          <cell r="Q264">
            <v>0</v>
          </cell>
          <cell r="T264">
            <v>0</v>
          </cell>
        </row>
        <row r="265">
          <cell r="Q265">
            <v>1</v>
          </cell>
          <cell r="T265">
            <v>0</v>
          </cell>
        </row>
        <row r="266">
          <cell r="Q266">
            <v>3</v>
          </cell>
          <cell r="T266">
            <v>0</v>
          </cell>
        </row>
        <row r="267">
          <cell r="Q267">
            <v>0</v>
          </cell>
          <cell r="T267">
            <v>0</v>
          </cell>
        </row>
        <row r="268">
          <cell r="Q268">
            <v>9</v>
          </cell>
          <cell r="T268">
            <v>0</v>
          </cell>
        </row>
        <row r="269">
          <cell r="Q269">
            <v>1</v>
          </cell>
          <cell r="T269">
            <v>0</v>
          </cell>
        </row>
        <row r="270">
          <cell r="Q270">
            <v>-1</v>
          </cell>
          <cell r="T270">
            <v>0</v>
          </cell>
        </row>
        <row r="271">
          <cell r="Q271">
            <v>-1</v>
          </cell>
          <cell r="T271">
            <v>0</v>
          </cell>
        </row>
        <row r="272">
          <cell r="Q272">
            <v>3</v>
          </cell>
          <cell r="T272" t="str">
            <v>уточ.режима</v>
          </cell>
        </row>
        <row r="273">
          <cell r="Q273">
            <v>0</v>
          </cell>
          <cell r="T273" t="str">
            <v>уточ.режима</v>
          </cell>
        </row>
        <row r="274">
          <cell r="Q274">
            <v>-1</v>
          </cell>
          <cell r="T274">
            <v>0</v>
          </cell>
        </row>
        <row r="275">
          <cell r="Q275">
            <v>1</v>
          </cell>
          <cell r="T275">
            <v>0</v>
          </cell>
        </row>
        <row r="276">
          <cell r="Q276">
            <v>1</v>
          </cell>
          <cell r="T276">
            <v>0</v>
          </cell>
        </row>
        <row r="277">
          <cell r="Q277">
            <v>0</v>
          </cell>
          <cell r="T277">
            <v>0</v>
          </cell>
        </row>
        <row r="278">
          <cell r="Q278">
            <v>0</v>
          </cell>
          <cell r="T278" t="str">
            <v>уточ.режима</v>
          </cell>
        </row>
        <row r="279">
          <cell r="Q279">
            <v>-2</v>
          </cell>
          <cell r="T279">
            <v>0</v>
          </cell>
        </row>
        <row r="280">
          <cell r="Q280">
            <v>0</v>
          </cell>
          <cell r="T280">
            <v>0</v>
          </cell>
        </row>
        <row r="281">
          <cell r="Q281">
            <v>-3</v>
          </cell>
          <cell r="T281">
            <v>0</v>
          </cell>
        </row>
        <row r="282">
          <cell r="Q282">
            <v>0</v>
          </cell>
          <cell r="T282" t="str">
            <v>вода</v>
          </cell>
        </row>
        <row r="283">
          <cell r="Q283">
            <v>-7</v>
          </cell>
          <cell r="T283">
            <v>0</v>
          </cell>
        </row>
        <row r="284">
          <cell r="Q284">
            <v>-2</v>
          </cell>
          <cell r="T284" t="str">
            <v>уточ.режима</v>
          </cell>
        </row>
        <row r="285">
          <cell r="Q285">
            <v>1</v>
          </cell>
          <cell r="T285">
            <v>0</v>
          </cell>
        </row>
        <row r="286">
          <cell r="Q286">
            <v>-9</v>
          </cell>
          <cell r="T286">
            <v>0</v>
          </cell>
        </row>
        <row r="287">
          <cell r="Q287" t="e">
            <v>#N/A</v>
          </cell>
          <cell r="T287" t="e">
            <v>#N/A</v>
          </cell>
        </row>
        <row r="288">
          <cell r="Q288">
            <v>-2</v>
          </cell>
          <cell r="T288">
            <v>0</v>
          </cell>
        </row>
        <row r="289">
          <cell r="Q289">
            <v>0</v>
          </cell>
          <cell r="T289" t="str">
            <v>уточ.режима</v>
          </cell>
        </row>
        <row r="290">
          <cell r="Q290">
            <v>-26</v>
          </cell>
          <cell r="T290" t="str">
            <v>уточ.режима</v>
          </cell>
        </row>
        <row r="291">
          <cell r="Q291">
            <v>-1</v>
          </cell>
          <cell r="T291" t="str">
            <v>уточ.режима</v>
          </cell>
        </row>
        <row r="292">
          <cell r="Q292">
            <v>1</v>
          </cell>
          <cell r="T292" t="str">
            <v>вода</v>
          </cell>
        </row>
        <row r="293">
          <cell r="Q293">
            <v>1</v>
          </cell>
          <cell r="T293">
            <v>0</v>
          </cell>
        </row>
        <row r="294">
          <cell r="Q294">
            <v>0</v>
          </cell>
          <cell r="T294">
            <v>0</v>
          </cell>
        </row>
        <row r="295">
          <cell r="Q295">
            <v>-48</v>
          </cell>
          <cell r="T295" t="str">
            <v>сн.грп</v>
          </cell>
        </row>
        <row r="296">
          <cell r="Q296">
            <v>0</v>
          </cell>
          <cell r="T296">
            <v>0</v>
          </cell>
        </row>
        <row r="297">
          <cell r="Q297">
            <v>0</v>
          </cell>
          <cell r="T297">
            <v>0</v>
          </cell>
        </row>
        <row r="298">
          <cell r="Q298" t="e">
            <v>#N/A</v>
          </cell>
          <cell r="T298" t="e">
            <v>#N/A</v>
          </cell>
        </row>
        <row r="299">
          <cell r="Q299">
            <v>-9</v>
          </cell>
          <cell r="T299" t="str">
            <v>ипп</v>
          </cell>
        </row>
        <row r="300">
          <cell r="Q300">
            <v>-1</v>
          </cell>
          <cell r="T300" t="str">
            <v>уточ.режима</v>
          </cell>
        </row>
        <row r="301">
          <cell r="Q301">
            <v>0</v>
          </cell>
          <cell r="T301">
            <v>0</v>
          </cell>
        </row>
        <row r="302">
          <cell r="Q302">
            <v>-1</v>
          </cell>
          <cell r="T302">
            <v>0</v>
          </cell>
        </row>
        <row r="303">
          <cell r="Q303">
            <v>-13</v>
          </cell>
          <cell r="T303" t="str">
            <v>сн.грп</v>
          </cell>
        </row>
        <row r="304">
          <cell r="Q304">
            <v>-19</v>
          </cell>
          <cell r="T304" t="str">
            <v>сн.грп</v>
          </cell>
        </row>
        <row r="305">
          <cell r="Q305">
            <v>-11</v>
          </cell>
          <cell r="T305" t="str">
            <v>ипп</v>
          </cell>
        </row>
        <row r="306">
          <cell r="Q306">
            <v>-1</v>
          </cell>
          <cell r="T306">
            <v>0</v>
          </cell>
        </row>
        <row r="307">
          <cell r="Q307">
            <v>0</v>
          </cell>
          <cell r="T307">
            <v>0</v>
          </cell>
        </row>
        <row r="308">
          <cell r="Q308">
            <v>-6</v>
          </cell>
          <cell r="T308" t="str">
            <v>сн.грп</v>
          </cell>
        </row>
        <row r="309">
          <cell r="Q309">
            <v>0</v>
          </cell>
          <cell r="T309">
            <v>0</v>
          </cell>
        </row>
        <row r="310">
          <cell r="Q310">
            <v>2</v>
          </cell>
          <cell r="T310">
            <v>0</v>
          </cell>
        </row>
        <row r="311">
          <cell r="Q311">
            <v>-1</v>
          </cell>
          <cell r="T311">
            <v>0</v>
          </cell>
        </row>
        <row r="312">
          <cell r="Q312">
            <v>0</v>
          </cell>
          <cell r="T312">
            <v>0</v>
          </cell>
        </row>
        <row r="313">
          <cell r="Q313">
            <v>2</v>
          </cell>
          <cell r="T313" t="str">
            <v>уточ.режима</v>
          </cell>
        </row>
        <row r="314">
          <cell r="Q314">
            <v>0</v>
          </cell>
          <cell r="T314">
            <v>0</v>
          </cell>
        </row>
        <row r="315">
          <cell r="Q315">
            <v>1</v>
          </cell>
          <cell r="T315">
            <v>0</v>
          </cell>
        </row>
        <row r="316">
          <cell r="Q316">
            <v>-1</v>
          </cell>
          <cell r="T316">
            <v>0</v>
          </cell>
        </row>
        <row r="317">
          <cell r="Q317">
            <v>154</v>
          </cell>
          <cell r="T317" t="str">
            <v>прс</v>
          </cell>
        </row>
        <row r="318">
          <cell r="Q318">
            <v>1</v>
          </cell>
          <cell r="T318">
            <v>0</v>
          </cell>
        </row>
        <row r="319">
          <cell r="Q319">
            <v>-8</v>
          </cell>
          <cell r="T319" t="str">
            <v>уточ.режима</v>
          </cell>
        </row>
        <row r="320">
          <cell r="Q320">
            <v>3</v>
          </cell>
          <cell r="T320">
            <v>0</v>
          </cell>
        </row>
        <row r="321">
          <cell r="Q321">
            <v>-21</v>
          </cell>
          <cell r="T321" t="str">
            <v>по</v>
          </cell>
        </row>
        <row r="322">
          <cell r="Q322">
            <v>-9</v>
          </cell>
          <cell r="T322" t="str">
            <v>уточ.режима</v>
          </cell>
        </row>
        <row r="323">
          <cell r="Q323">
            <v>3</v>
          </cell>
          <cell r="T323">
            <v>0</v>
          </cell>
        </row>
        <row r="324">
          <cell r="Q324">
            <v>-3</v>
          </cell>
          <cell r="T324">
            <v>0</v>
          </cell>
        </row>
        <row r="325">
          <cell r="Q325">
            <v>0</v>
          </cell>
          <cell r="T325" t="str">
            <v>уточ.режима</v>
          </cell>
        </row>
        <row r="326">
          <cell r="Q326">
            <v>4</v>
          </cell>
          <cell r="T326">
            <v>0</v>
          </cell>
        </row>
        <row r="327">
          <cell r="Q327">
            <v>0</v>
          </cell>
          <cell r="T327">
            <v>0</v>
          </cell>
        </row>
        <row r="328">
          <cell r="Q328">
            <v>0</v>
          </cell>
          <cell r="T328">
            <v>0</v>
          </cell>
        </row>
        <row r="329">
          <cell r="Q329">
            <v>0</v>
          </cell>
          <cell r="T329">
            <v>0</v>
          </cell>
        </row>
        <row r="330">
          <cell r="Q330">
            <v>0</v>
          </cell>
          <cell r="T330">
            <v>0</v>
          </cell>
        </row>
        <row r="331">
          <cell r="Q331">
            <v>0</v>
          </cell>
          <cell r="T331">
            <v>0</v>
          </cell>
        </row>
        <row r="332">
          <cell r="Q332">
            <v>0</v>
          </cell>
          <cell r="T332">
            <v>0</v>
          </cell>
        </row>
        <row r="333">
          <cell r="Q333">
            <v>4</v>
          </cell>
          <cell r="T333">
            <v>0</v>
          </cell>
        </row>
        <row r="334">
          <cell r="Q334">
            <v>0</v>
          </cell>
          <cell r="T334">
            <v>0</v>
          </cell>
        </row>
        <row r="335">
          <cell r="Q335">
            <v>0</v>
          </cell>
          <cell r="T335">
            <v>0</v>
          </cell>
        </row>
        <row r="336">
          <cell r="Q336">
            <v>0</v>
          </cell>
          <cell r="T336">
            <v>0</v>
          </cell>
        </row>
        <row r="337">
          <cell r="Q337">
            <v>-1</v>
          </cell>
          <cell r="T337">
            <v>0</v>
          </cell>
        </row>
        <row r="338">
          <cell r="Q338">
            <v>0</v>
          </cell>
          <cell r="T338">
            <v>0</v>
          </cell>
        </row>
        <row r="339">
          <cell r="Q339">
            <v>-1</v>
          </cell>
          <cell r="T339">
            <v>0</v>
          </cell>
        </row>
        <row r="340">
          <cell r="Q340">
            <v>-6</v>
          </cell>
          <cell r="T340">
            <v>0</v>
          </cell>
        </row>
        <row r="341">
          <cell r="Q341">
            <v>-8</v>
          </cell>
          <cell r="T341" t="str">
            <v>по</v>
          </cell>
        </row>
        <row r="342">
          <cell r="Q342">
            <v>-8</v>
          </cell>
          <cell r="T342">
            <v>0</v>
          </cell>
        </row>
        <row r="343">
          <cell r="Q343">
            <v>0</v>
          </cell>
          <cell r="T343">
            <v>0</v>
          </cell>
        </row>
        <row r="344">
          <cell r="Q344">
            <v>-4</v>
          </cell>
          <cell r="T344" t="str">
            <v>вода</v>
          </cell>
        </row>
        <row r="345">
          <cell r="Q345">
            <v>0</v>
          </cell>
          <cell r="T345">
            <v>0</v>
          </cell>
        </row>
        <row r="346">
          <cell r="Q346">
            <v>-4</v>
          </cell>
          <cell r="T346" t="str">
            <v>уточ.режима</v>
          </cell>
        </row>
        <row r="347">
          <cell r="Q347">
            <v>0</v>
          </cell>
          <cell r="T347">
            <v>0</v>
          </cell>
        </row>
        <row r="348">
          <cell r="Q348">
            <v>-2</v>
          </cell>
          <cell r="T348">
            <v>0</v>
          </cell>
        </row>
        <row r="349">
          <cell r="Q349">
            <v>0</v>
          </cell>
          <cell r="T349">
            <v>0</v>
          </cell>
        </row>
        <row r="350">
          <cell r="Q350">
            <v>-1</v>
          </cell>
          <cell r="T350">
            <v>0</v>
          </cell>
        </row>
        <row r="351">
          <cell r="Q351">
            <v>1</v>
          </cell>
          <cell r="T351">
            <v>0</v>
          </cell>
        </row>
        <row r="352">
          <cell r="Q352">
            <v>0</v>
          </cell>
          <cell r="T352">
            <v>0</v>
          </cell>
        </row>
        <row r="353">
          <cell r="Q353">
            <v>-7</v>
          </cell>
          <cell r="T353" t="str">
            <v>ипп</v>
          </cell>
        </row>
        <row r="354">
          <cell r="Q354">
            <v>5</v>
          </cell>
          <cell r="T354">
            <v>0</v>
          </cell>
        </row>
        <row r="355">
          <cell r="Q355">
            <v>0</v>
          </cell>
          <cell r="T355">
            <v>0</v>
          </cell>
        </row>
        <row r="356">
          <cell r="Q356">
            <v>-1</v>
          </cell>
          <cell r="T356">
            <v>0</v>
          </cell>
        </row>
        <row r="357">
          <cell r="Q357">
            <v>-1</v>
          </cell>
          <cell r="T357" t="str">
            <v>уточ.режима</v>
          </cell>
        </row>
        <row r="358">
          <cell r="Q358">
            <v>7</v>
          </cell>
          <cell r="T358" t="str">
            <v>уточ.режима</v>
          </cell>
        </row>
        <row r="359">
          <cell r="Q359">
            <v>-11</v>
          </cell>
          <cell r="T359" t="str">
            <v>уточ.режима</v>
          </cell>
        </row>
        <row r="360">
          <cell r="Q360">
            <v>1</v>
          </cell>
          <cell r="T360">
            <v>0</v>
          </cell>
        </row>
        <row r="361">
          <cell r="Q361">
            <v>3</v>
          </cell>
          <cell r="T361">
            <v>0</v>
          </cell>
        </row>
        <row r="362">
          <cell r="Q362">
            <v>3</v>
          </cell>
          <cell r="T362">
            <v>0</v>
          </cell>
        </row>
        <row r="363">
          <cell r="Q363">
            <v>4</v>
          </cell>
          <cell r="T363" t="str">
            <v>прс</v>
          </cell>
        </row>
        <row r="364">
          <cell r="Q364">
            <v>0</v>
          </cell>
          <cell r="T364">
            <v>0</v>
          </cell>
        </row>
        <row r="365">
          <cell r="Q365">
            <v>-1</v>
          </cell>
          <cell r="T365">
            <v>0</v>
          </cell>
        </row>
        <row r="366">
          <cell r="Q366">
            <v>-2</v>
          </cell>
          <cell r="T366">
            <v>0</v>
          </cell>
        </row>
        <row r="367">
          <cell r="Q367">
            <v>1</v>
          </cell>
          <cell r="T367">
            <v>0</v>
          </cell>
        </row>
        <row r="368">
          <cell r="Q368">
            <v>-2</v>
          </cell>
          <cell r="T368">
            <v>0</v>
          </cell>
        </row>
        <row r="369">
          <cell r="Q369">
            <v>-6</v>
          </cell>
          <cell r="T369">
            <v>0</v>
          </cell>
        </row>
        <row r="370">
          <cell r="Q370">
            <v>1</v>
          </cell>
          <cell r="T370" t="str">
            <v>уточ.режима</v>
          </cell>
        </row>
        <row r="371">
          <cell r="Q371">
            <v>-2</v>
          </cell>
          <cell r="T371" t="str">
            <v>уточ.режима</v>
          </cell>
        </row>
        <row r="372">
          <cell r="Q372">
            <v>5</v>
          </cell>
          <cell r="T372" t="str">
            <v>уточ.режима</v>
          </cell>
        </row>
        <row r="373">
          <cell r="Q373">
            <v>0</v>
          </cell>
          <cell r="T373">
            <v>0</v>
          </cell>
        </row>
        <row r="374">
          <cell r="Q374">
            <v>0</v>
          </cell>
          <cell r="T374">
            <v>0</v>
          </cell>
        </row>
        <row r="375">
          <cell r="Q375">
            <v>-2</v>
          </cell>
          <cell r="T375">
            <v>0</v>
          </cell>
        </row>
        <row r="376">
          <cell r="Q376">
            <v>0</v>
          </cell>
          <cell r="T376" t="str">
            <v>уточ.режима</v>
          </cell>
        </row>
        <row r="377">
          <cell r="Q377">
            <v>0</v>
          </cell>
          <cell r="T377">
            <v>0</v>
          </cell>
        </row>
        <row r="378">
          <cell r="Q378" t="e">
            <v>#N/A</v>
          </cell>
          <cell r="T378" t="e">
            <v>#N/A</v>
          </cell>
        </row>
        <row r="379">
          <cell r="Q379">
            <v>0</v>
          </cell>
          <cell r="T379" t="str">
            <v>уточ.режима</v>
          </cell>
        </row>
        <row r="380">
          <cell r="Q380">
            <v>0</v>
          </cell>
          <cell r="T380" t="str">
            <v>уточ.режима</v>
          </cell>
        </row>
        <row r="381">
          <cell r="Q381">
            <v>0</v>
          </cell>
          <cell r="T381">
            <v>0</v>
          </cell>
        </row>
        <row r="382">
          <cell r="Q382">
            <v>0</v>
          </cell>
          <cell r="T382">
            <v>0</v>
          </cell>
        </row>
        <row r="383">
          <cell r="Q383">
            <v>0</v>
          </cell>
          <cell r="T383">
            <v>0</v>
          </cell>
        </row>
        <row r="384">
          <cell r="Q384">
            <v>0</v>
          </cell>
          <cell r="T384">
            <v>0</v>
          </cell>
        </row>
        <row r="385">
          <cell r="Q385">
            <v>0</v>
          </cell>
          <cell r="T385" t="str">
            <v>уточ.режима</v>
          </cell>
        </row>
        <row r="386">
          <cell r="Q386">
            <v>0</v>
          </cell>
          <cell r="T386">
            <v>0</v>
          </cell>
        </row>
        <row r="387">
          <cell r="Q387">
            <v>-2</v>
          </cell>
          <cell r="T387">
            <v>0</v>
          </cell>
        </row>
        <row r="388">
          <cell r="Q388">
            <v>0</v>
          </cell>
          <cell r="T388">
            <v>0</v>
          </cell>
        </row>
        <row r="389">
          <cell r="Q389">
            <v>0</v>
          </cell>
          <cell r="T389">
            <v>0</v>
          </cell>
        </row>
        <row r="390">
          <cell r="Q390">
            <v>0</v>
          </cell>
          <cell r="T390">
            <v>0</v>
          </cell>
        </row>
        <row r="391">
          <cell r="Q391">
            <v>0</v>
          </cell>
          <cell r="T391">
            <v>0</v>
          </cell>
        </row>
        <row r="392">
          <cell r="Q392">
            <v>0</v>
          </cell>
          <cell r="T392">
            <v>0</v>
          </cell>
        </row>
        <row r="393">
          <cell r="Q393">
            <v>-3</v>
          </cell>
          <cell r="T393">
            <v>0</v>
          </cell>
        </row>
        <row r="394">
          <cell r="Q394">
            <v>0</v>
          </cell>
          <cell r="T394" t="str">
            <v>уточ.режима</v>
          </cell>
        </row>
        <row r="395">
          <cell r="Q395">
            <v>0</v>
          </cell>
          <cell r="T395">
            <v>0</v>
          </cell>
        </row>
        <row r="396">
          <cell r="Q396">
            <v>-1</v>
          </cell>
          <cell r="T396">
            <v>0</v>
          </cell>
        </row>
        <row r="397">
          <cell r="Q397">
            <v>0</v>
          </cell>
          <cell r="T397">
            <v>0</v>
          </cell>
        </row>
        <row r="398">
          <cell r="Q398">
            <v>0</v>
          </cell>
          <cell r="T398">
            <v>0</v>
          </cell>
        </row>
        <row r="399">
          <cell r="Q399">
            <v>-1</v>
          </cell>
          <cell r="T399" t="str">
            <v>уточ.режима</v>
          </cell>
        </row>
        <row r="400">
          <cell r="Q400">
            <v>5</v>
          </cell>
          <cell r="T400" t="str">
            <v>уточ.режима</v>
          </cell>
        </row>
        <row r="401">
          <cell r="Q401">
            <v>-5</v>
          </cell>
          <cell r="T401" t="str">
            <v>вода</v>
          </cell>
        </row>
        <row r="402">
          <cell r="Q402">
            <v>-17</v>
          </cell>
          <cell r="T402" t="str">
            <v>ипп</v>
          </cell>
        </row>
        <row r="403">
          <cell r="Q403">
            <v>15</v>
          </cell>
          <cell r="T403" t="str">
            <v>прс</v>
          </cell>
        </row>
        <row r="404">
          <cell r="Q404">
            <v>-43</v>
          </cell>
          <cell r="T404" t="str">
            <v>по</v>
          </cell>
        </row>
        <row r="405">
          <cell r="Q405">
            <v>0</v>
          </cell>
          <cell r="T405">
            <v>0</v>
          </cell>
        </row>
        <row r="406">
          <cell r="Q406">
            <v>-2</v>
          </cell>
          <cell r="T406">
            <v>0</v>
          </cell>
        </row>
        <row r="407">
          <cell r="Q407">
            <v>0</v>
          </cell>
          <cell r="T407">
            <v>0</v>
          </cell>
        </row>
        <row r="408">
          <cell r="Q408">
            <v>0</v>
          </cell>
          <cell r="T408">
            <v>0</v>
          </cell>
        </row>
        <row r="409">
          <cell r="Q409">
            <v>-1</v>
          </cell>
          <cell r="T409">
            <v>0</v>
          </cell>
        </row>
        <row r="410">
          <cell r="Q410">
            <v>-4</v>
          </cell>
          <cell r="T410">
            <v>0</v>
          </cell>
        </row>
        <row r="411">
          <cell r="Q411">
            <v>20</v>
          </cell>
          <cell r="T411" t="str">
            <v>уточ.режима</v>
          </cell>
        </row>
        <row r="412">
          <cell r="Q412">
            <v>-8</v>
          </cell>
          <cell r="T412" t="str">
            <v>ипп</v>
          </cell>
        </row>
        <row r="413">
          <cell r="Q413">
            <v>0</v>
          </cell>
          <cell r="T413">
            <v>0</v>
          </cell>
        </row>
        <row r="414">
          <cell r="Q414">
            <v>0</v>
          </cell>
          <cell r="T414">
            <v>0</v>
          </cell>
        </row>
        <row r="415">
          <cell r="Q415">
            <v>0</v>
          </cell>
          <cell r="T415" t="str">
            <v>уточ.режима</v>
          </cell>
        </row>
        <row r="416">
          <cell r="Q416">
            <v>-22</v>
          </cell>
          <cell r="T416" t="str">
            <v>уточ.режима</v>
          </cell>
        </row>
        <row r="417">
          <cell r="Q417">
            <v>1</v>
          </cell>
          <cell r="T417">
            <v>0</v>
          </cell>
        </row>
        <row r="418">
          <cell r="Q418">
            <v>-2</v>
          </cell>
          <cell r="T418">
            <v>0</v>
          </cell>
        </row>
        <row r="419">
          <cell r="Q419">
            <v>-3</v>
          </cell>
          <cell r="T419">
            <v>0</v>
          </cell>
        </row>
        <row r="420">
          <cell r="Q420">
            <v>0</v>
          </cell>
          <cell r="T420" t="str">
            <v>уточ.режима</v>
          </cell>
        </row>
        <row r="421">
          <cell r="Q421">
            <v>3</v>
          </cell>
          <cell r="T421">
            <v>0</v>
          </cell>
        </row>
        <row r="422">
          <cell r="Q422">
            <v>0</v>
          </cell>
          <cell r="T422">
            <v>0</v>
          </cell>
        </row>
        <row r="423">
          <cell r="Q423">
            <v>0</v>
          </cell>
          <cell r="T423">
            <v>0</v>
          </cell>
        </row>
        <row r="424">
          <cell r="Q424">
            <v>0</v>
          </cell>
          <cell r="T424">
            <v>0</v>
          </cell>
        </row>
        <row r="426">
          <cell r="Q426" t="e">
            <v>#N/A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м-09.02"/>
      <sheetName val="доб"/>
      <sheetName val="доб 8"/>
      <sheetName val="Techreg format"/>
      <sheetName val="Techreg format 8"/>
      <sheetName val="изм"/>
      <sheetName val="изм-09.02 (2)"/>
      <sheetName val="булг"/>
      <sheetName val="ДНС"/>
    </sheetNames>
    <sheetDataSet>
      <sheetData sheetId="0" refreshError="1">
        <row r="7">
          <cell r="K7">
            <v>2.9</v>
          </cell>
        </row>
        <row r="8">
          <cell r="K8">
            <v>2.2999999999999998</v>
          </cell>
          <cell r="W8">
            <v>20.7</v>
          </cell>
        </row>
        <row r="9">
          <cell r="K9">
            <v>20.5</v>
          </cell>
          <cell r="W9">
            <v>266.5</v>
          </cell>
        </row>
        <row r="10">
          <cell r="K10">
            <v>5.5</v>
          </cell>
        </row>
        <row r="11">
          <cell r="K11">
            <v>0.1</v>
          </cell>
        </row>
        <row r="12">
          <cell r="K12">
            <v>3.3</v>
          </cell>
        </row>
        <row r="13">
          <cell r="K13">
            <v>3.9</v>
          </cell>
        </row>
        <row r="14">
          <cell r="K14">
            <v>5.7</v>
          </cell>
        </row>
        <row r="15">
          <cell r="K15">
            <v>8.1999999999999993</v>
          </cell>
        </row>
        <row r="16">
          <cell r="K16">
            <v>3.9</v>
          </cell>
        </row>
        <row r="17">
          <cell r="K17">
            <v>5.6</v>
          </cell>
        </row>
        <row r="18">
          <cell r="K18">
            <v>21.4</v>
          </cell>
        </row>
        <row r="19">
          <cell r="K19">
            <v>6.9</v>
          </cell>
        </row>
        <row r="20">
          <cell r="K20">
            <v>15.5</v>
          </cell>
          <cell r="W20">
            <v>232.5</v>
          </cell>
        </row>
        <row r="21">
          <cell r="K21">
            <v>18</v>
          </cell>
          <cell r="W21">
            <v>450</v>
          </cell>
        </row>
        <row r="22">
          <cell r="K22">
            <v>1.5</v>
          </cell>
        </row>
        <row r="23">
          <cell r="K23">
            <v>0.9</v>
          </cell>
        </row>
        <row r="24">
          <cell r="K24">
            <v>26.6</v>
          </cell>
        </row>
        <row r="25">
          <cell r="K25">
            <v>4.0999999999999996</v>
          </cell>
        </row>
        <row r="26">
          <cell r="K26">
            <v>9.4</v>
          </cell>
        </row>
        <row r="27">
          <cell r="K27">
            <v>24.2</v>
          </cell>
        </row>
        <row r="28">
          <cell r="K28">
            <v>17.600000000000001</v>
          </cell>
        </row>
        <row r="29">
          <cell r="K29">
            <v>15.3</v>
          </cell>
        </row>
        <row r="30">
          <cell r="K30">
            <v>6.3</v>
          </cell>
        </row>
        <row r="31">
          <cell r="K31">
            <v>3.3</v>
          </cell>
          <cell r="W31">
            <v>29.7</v>
          </cell>
        </row>
        <row r="32">
          <cell r="K32">
            <v>18.899999999999999</v>
          </cell>
        </row>
        <row r="33">
          <cell r="K33">
            <v>3.1</v>
          </cell>
        </row>
        <row r="34">
          <cell r="K34">
            <v>13.6</v>
          </cell>
        </row>
        <row r="35">
          <cell r="K35">
            <v>5.9</v>
          </cell>
        </row>
        <row r="36">
          <cell r="K36">
            <v>4.4000000000000004</v>
          </cell>
        </row>
        <row r="37">
          <cell r="K37">
            <v>3.1</v>
          </cell>
        </row>
        <row r="38">
          <cell r="K38">
            <v>1.7</v>
          </cell>
        </row>
        <row r="39">
          <cell r="K39">
            <v>10.4</v>
          </cell>
        </row>
        <row r="40">
          <cell r="K40">
            <v>4.7</v>
          </cell>
        </row>
        <row r="41">
          <cell r="K41">
            <v>6.7</v>
          </cell>
        </row>
        <row r="42">
          <cell r="K42">
            <v>6.2</v>
          </cell>
        </row>
        <row r="43">
          <cell r="K43">
            <v>22.2</v>
          </cell>
        </row>
        <row r="44">
          <cell r="K44">
            <v>4.8</v>
          </cell>
        </row>
        <row r="45">
          <cell r="K45">
            <v>5.6</v>
          </cell>
        </row>
        <row r="46">
          <cell r="K46">
            <v>7.9</v>
          </cell>
        </row>
        <row r="47">
          <cell r="K47">
            <v>8.3000000000000007</v>
          </cell>
        </row>
        <row r="48">
          <cell r="K48">
            <v>0.3</v>
          </cell>
        </row>
        <row r="49">
          <cell r="K49">
            <v>2.4</v>
          </cell>
        </row>
        <row r="50">
          <cell r="K50">
            <v>8.5</v>
          </cell>
        </row>
        <row r="51">
          <cell r="K51">
            <v>6.4</v>
          </cell>
        </row>
        <row r="52">
          <cell r="K52">
            <v>1</v>
          </cell>
        </row>
        <row r="53">
          <cell r="K53">
            <v>4.7</v>
          </cell>
        </row>
        <row r="54">
          <cell r="K54">
            <v>13.4</v>
          </cell>
        </row>
        <row r="55">
          <cell r="K55">
            <v>3.6</v>
          </cell>
        </row>
        <row r="56">
          <cell r="K56">
            <v>3.8</v>
          </cell>
        </row>
        <row r="57">
          <cell r="K57">
            <v>3.3</v>
          </cell>
        </row>
        <row r="58">
          <cell r="K58">
            <v>3.2</v>
          </cell>
        </row>
        <row r="59">
          <cell r="K59">
            <v>18.8</v>
          </cell>
        </row>
        <row r="60">
          <cell r="K60">
            <v>3.1</v>
          </cell>
        </row>
        <row r="61">
          <cell r="K61">
            <v>8.1</v>
          </cell>
        </row>
        <row r="62">
          <cell r="K62">
            <v>5.8</v>
          </cell>
        </row>
        <row r="63">
          <cell r="K63">
            <v>1.5</v>
          </cell>
        </row>
        <row r="64">
          <cell r="K64">
            <v>3.9</v>
          </cell>
        </row>
        <row r="65">
          <cell r="K65">
            <v>11</v>
          </cell>
        </row>
        <row r="66">
          <cell r="K66">
            <v>17.7</v>
          </cell>
        </row>
        <row r="67">
          <cell r="K67">
            <v>15.6</v>
          </cell>
        </row>
        <row r="68">
          <cell r="K68">
            <v>4.0999999999999996</v>
          </cell>
        </row>
        <row r="69">
          <cell r="K69">
            <v>8.1999999999999993</v>
          </cell>
        </row>
        <row r="70">
          <cell r="K70">
            <v>4.2</v>
          </cell>
        </row>
        <row r="71">
          <cell r="K71">
            <v>8.4</v>
          </cell>
        </row>
        <row r="72">
          <cell r="K72">
            <v>23.5</v>
          </cell>
        </row>
        <row r="73">
          <cell r="K73">
            <v>4.8</v>
          </cell>
        </row>
        <row r="74">
          <cell r="K74">
            <v>21.3</v>
          </cell>
        </row>
        <row r="75">
          <cell r="K75">
            <v>11.7</v>
          </cell>
        </row>
        <row r="76">
          <cell r="K76">
            <v>5.2</v>
          </cell>
        </row>
        <row r="77">
          <cell r="K77">
            <v>8.3000000000000007</v>
          </cell>
        </row>
        <row r="78">
          <cell r="K78">
            <v>4.4000000000000004</v>
          </cell>
        </row>
        <row r="79">
          <cell r="K79">
            <v>5.0999999999999996</v>
          </cell>
        </row>
        <row r="80">
          <cell r="K80">
            <v>22.6</v>
          </cell>
        </row>
        <row r="81">
          <cell r="K81">
            <v>3.9</v>
          </cell>
        </row>
        <row r="82">
          <cell r="K82">
            <v>0.9</v>
          </cell>
        </row>
        <row r="83">
          <cell r="K83">
            <v>3.5</v>
          </cell>
        </row>
        <row r="84">
          <cell r="K84">
            <v>6.3</v>
          </cell>
        </row>
        <row r="85">
          <cell r="K85">
            <v>11.1</v>
          </cell>
        </row>
        <row r="86">
          <cell r="K86">
            <v>5.2</v>
          </cell>
        </row>
        <row r="87">
          <cell r="K87">
            <v>7.7</v>
          </cell>
        </row>
        <row r="88">
          <cell r="K88">
            <v>7.6</v>
          </cell>
        </row>
        <row r="89">
          <cell r="K89">
            <v>1.2</v>
          </cell>
        </row>
        <row r="90">
          <cell r="K90">
            <v>5.7</v>
          </cell>
        </row>
        <row r="91">
          <cell r="K91">
            <v>2.2000000000000002</v>
          </cell>
        </row>
        <row r="92">
          <cell r="K92">
            <v>1.9</v>
          </cell>
        </row>
        <row r="93">
          <cell r="K93">
            <v>20.2</v>
          </cell>
        </row>
        <row r="94">
          <cell r="K94">
            <v>4.9000000000000004</v>
          </cell>
        </row>
        <row r="95">
          <cell r="K95">
            <v>5.0999999999999996</v>
          </cell>
        </row>
        <row r="96">
          <cell r="K96">
            <v>9</v>
          </cell>
        </row>
        <row r="97">
          <cell r="K97">
            <v>0.4</v>
          </cell>
        </row>
        <row r="98">
          <cell r="K98">
            <v>11</v>
          </cell>
        </row>
        <row r="99">
          <cell r="K99">
            <v>9.1</v>
          </cell>
        </row>
        <row r="100">
          <cell r="K100">
            <v>3.7</v>
          </cell>
        </row>
        <row r="101">
          <cell r="K101">
            <v>2.1</v>
          </cell>
        </row>
        <row r="102">
          <cell r="K102">
            <v>5</v>
          </cell>
        </row>
        <row r="103">
          <cell r="K103">
            <v>1.9</v>
          </cell>
        </row>
        <row r="104">
          <cell r="K104">
            <v>11.1</v>
          </cell>
        </row>
        <row r="105">
          <cell r="K105">
            <v>36.799999999999997</v>
          </cell>
        </row>
        <row r="106">
          <cell r="K106">
            <v>2.2999999999999998</v>
          </cell>
        </row>
        <row r="107">
          <cell r="K107">
            <v>7.4</v>
          </cell>
        </row>
        <row r="108">
          <cell r="K108">
            <v>1.4</v>
          </cell>
        </row>
        <row r="109">
          <cell r="K109">
            <v>6.2</v>
          </cell>
        </row>
        <row r="110">
          <cell r="K110">
            <v>7.7</v>
          </cell>
        </row>
        <row r="111">
          <cell r="K111">
            <v>5.6</v>
          </cell>
        </row>
        <row r="112">
          <cell r="K112">
            <v>4.5</v>
          </cell>
        </row>
        <row r="113">
          <cell r="K113">
            <v>9.9</v>
          </cell>
        </row>
        <row r="114">
          <cell r="K114">
            <v>9.1999999999999993</v>
          </cell>
        </row>
        <row r="115">
          <cell r="K115">
            <v>3.8</v>
          </cell>
        </row>
        <row r="116">
          <cell r="K116">
            <v>3.4</v>
          </cell>
        </row>
        <row r="117">
          <cell r="K117">
            <v>0.8</v>
          </cell>
        </row>
        <row r="118">
          <cell r="K118">
            <v>6.2</v>
          </cell>
        </row>
        <row r="119">
          <cell r="K119">
            <v>2.5</v>
          </cell>
        </row>
        <row r="120">
          <cell r="K120">
            <v>1.5</v>
          </cell>
        </row>
        <row r="121">
          <cell r="K121">
            <v>2.4</v>
          </cell>
        </row>
        <row r="122">
          <cell r="K122">
            <v>11.7</v>
          </cell>
        </row>
        <row r="123">
          <cell r="K123">
            <v>1.1000000000000001</v>
          </cell>
        </row>
        <row r="124">
          <cell r="K124">
            <v>2.4</v>
          </cell>
        </row>
        <row r="125">
          <cell r="K125">
            <v>7.6</v>
          </cell>
        </row>
        <row r="126">
          <cell r="K126">
            <v>5.5</v>
          </cell>
        </row>
        <row r="127">
          <cell r="K127">
            <v>8.6</v>
          </cell>
        </row>
        <row r="128">
          <cell r="K128">
            <v>7.5</v>
          </cell>
        </row>
        <row r="129">
          <cell r="K129">
            <v>3.8</v>
          </cell>
        </row>
        <row r="130">
          <cell r="K130">
            <v>9.4</v>
          </cell>
        </row>
        <row r="131">
          <cell r="K131">
            <v>5.5</v>
          </cell>
        </row>
        <row r="132">
          <cell r="K132">
            <v>1.2</v>
          </cell>
        </row>
        <row r="133">
          <cell r="K133">
            <v>3.1</v>
          </cell>
        </row>
        <row r="134">
          <cell r="K134">
            <v>13.1</v>
          </cell>
        </row>
        <row r="135">
          <cell r="K135">
            <v>5.4</v>
          </cell>
        </row>
        <row r="136">
          <cell r="K136">
            <v>1.4</v>
          </cell>
        </row>
        <row r="137">
          <cell r="K137">
            <v>2.2000000000000002</v>
          </cell>
        </row>
        <row r="138">
          <cell r="K138">
            <v>1.8</v>
          </cell>
        </row>
        <row r="139">
          <cell r="K139">
            <v>1.7</v>
          </cell>
        </row>
        <row r="140">
          <cell r="K140">
            <v>1.5</v>
          </cell>
        </row>
        <row r="141">
          <cell r="K141">
            <v>2.5</v>
          </cell>
        </row>
        <row r="142">
          <cell r="K142">
            <v>3.1</v>
          </cell>
        </row>
        <row r="143">
          <cell r="K143">
            <v>5.2</v>
          </cell>
        </row>
        <row r="144">
          <cell r="K144">
            <v>7.7</v>
          </cell>
        </row>
        <row r="145">
          <cell r="K145">
            <v>4.0999999999999996</v>
          </cell>
        </row>
        <row r="146">
          <cell r="K146">
            <v>2.4</v>
          </cell>
        </row>
        <row r="147">
          <cell r="K147">
            <v>4</v>
          </cell>
        </row>
        <row r="148">
          <cell r="K148">
            <v>5.6</v>
          </cell>
        </row>
        <row r="149">
          <cell r="K149">
            <v>5.8</v>
          </cell>
        </row>
        <row r="150">
          <cell r="K150">
            <v>1.1000000000000001</v>
          </cell>
        </row>
        <row r="151">
          <cell r="K151">
            <v>0.7</v>
          </cell>
        </row>
        <row r="152">
          <cell r="K152">
            <v>1.4</v>
          </cell>
        </row>
        <row r="153">
          <cell r="K153">
            <v>1.2</v>
          </cell>
        </row>
        <row r="154">
          <cell r="K154">
            <v>0.7</v>
          </cell>
        </row>
        <row r="155">
          <cell r="K155">
            <v>0.7</v>
          </cell>
        </row>
        <row r="156">
          <cell r="K156">
            <v>3.2</v>
          </cell>
        </row>
        <row r="157">
          <cell r="K157">
            <v>1.1000000000000001</v>
          </cell>
        </row>
        <row r="158">
          <cell r="K158">
            <v>4</v>
          </cell>
        </row>
        <row r="159">
          <cell r="K159">
            <v>2.1</v>
          </cell>
        </row>
        <row r="160">
          <cell r="K160">
            <v>2.2000000000000002</v>
          </cell>
        </row>
        <row r="161">
          <cell r="K161">
            <v>14.5</v>
          </cell>
        </row>
        <row r="162">
          <cell r="K162">
            <v>13.3</v>
          </cell>
        </row>
        <row r="163">
          <cell r="K163">
            <v>5.0999999999999996</v>
          </cell>
        </row>
        <row r="164">
          <cell r="K164">
            <v>5.7</v>
          </cell>
        </row>
        <row r="165">
          <cell r="K165">
            <v>8.3000000000000007</v>
          </cell>
        </row>
        <row r="166">
          <cell r="K166">
            <v>1.2</v>
          </cell>
        </row>
        <row r="167">
          <cell r="K167">
            <v>14.3</v>
          </cell>
        </row>
        <row r="168">
          <cell r="K168">
            <v>2.8</v>
          </cell>
        </row>
        <row r="169">
          <cell r="K169">
            <v>6.8</v>
          </cell>
        </row>
        <row r="170">
          <cell r="K170">
            <v>3.1</v>
          </cell>
        </row>
        <row r="171">
          <cell r="K171">
            <v>0.8</v>
          </cell>
        </row>
        <row r="172">
          <cell r="K172">
            <v>1</v>
          </cell>
        </row>
        <row r="173">
          <cell r="K173">
            <v>2.5</v>
          </cell>
        </row>
        <row r="174">
          <cell r="K174">
            <v>3.8</v>
          </cell>
        </row>
        <row r="175">
          <cell r="K175">
            <v>7.8</v>
          </cell>
        </row>
        <row r="176">
          <cell r="K176">
            <v>8.5</v>
          </cell>
        </row>
        <row r="177">
          <cell r="K177">
            <v>1.5</v>
          </cell>
        </row>
        <row r="178">
          <cell r="K178">
            <v>5.9</v>
          </cell>
        </row>
        <row r="179">
          <cell r="K179">
            <v>3.4</v>
          </cell>
        </row>
        <row r="180">
          <cell r="K180">
            <v>3.6</v>
          </cell>
        </row>
        <row r="181">
          <cell r="K181">
            <v>3.7</v>
          </cell>
        </row>
        <row r="182">
          <cell r="K182">
            <v>0.7</v>
          </cell>
        </row>
        <row r="183">
          <cell r="K183">
            <v>1</v>
          </cell>
        </row>
        <row r="184">
          <cell r="K184">
            <v>2.2000000000000002</v>
          </cell>
        </row>
        <row r="185">
          <cell r="K185">
            <v>3.2</v>
          </cell>
        </row>
        <row r="186">
          <cell r="K186">
            <v>2.8</v>
          </cell>
        </row>
        <row r="187">
          <cell r="K187">
            <v>11.7</v>
          </cell>
        </row>
        <row r="188">
          <cell r="K188">
            <v>4.5999999999999996</v>
          </cell>
        </row>
        <row r="189">
          <cell r="K189">
            <v>9.1999999999999993</v>
          </cell>
        </row>
        <row r="190">
          <cell r="K190">
            <v>2.2999999999999998</v>
          </cell>
        </row>
        <row r="191">
          <cell r="K191">
            <v>1.7</v>
          </cell>
        </row>
        <row r="192">
          <cell r="K192">
            <v>1.1000000000000001</v>
          </cell>
        </row>
        <row r="193">
          <cell r="K193">
            <v>6.1</v>
          </cell>
        </row>
        <row r="194">
          <cell r="K194">
            <v>2</v>
          </cell>
        </row>
        <row r="195">
          <cell r="K195">
            <v>3.4</v>
          </cell>
        </row>
        <row r="196">
          <cell r="K196">
            <v>7.5</v>
          </cell>
        </row>
        <row r="197">
          <cell r="K197">
            <v>40.299999999999997</v>
          </cell>
        </row>
        <row r="198">
          <cell r="K198">
            <v>0</v>
          </cell>
        </row>
        <row r="199">
          <cell r="K199">
            <v>1.2</v>
          </cell>
        </row>
        <row r="200">
          <cell r="K200">
            <v>13.1</v>
          </cell>
        </row>
        <row r="201">
          <cell r="K201">
            <v>5.7</v>
          </cell>
        </row>
        <row r="202">
          <cell r="K202">
            <v>4.8</v>
          </cell>
        </row>
        <row r="203">
          <cell r="K203">
            <v>0.7</v>
          </cell>
        </row>
        <row r="204">
          <cell r="K204">
            <v>6.7</v>
          </cell>
        </row>
        <row r="205">
          <cell r="K205">
            <v>0.8</v>
          </cell>
        </row>
        <row r="206">
          <cell r="K206">
            <v>0.7</v>
          </cell>
        </row>
        <row r="207">
          <cell r="K207">
            <v>6.8</v>
          </cell>
        </row>
        <row r="208">
          <cell r="K208">
            <v>5.7</v>
          </cell>
        </row>
        <row r="209">
          <cell r="K209">
            <v>12.8</v>
          </cell>
        </row>
        <row r="210">
          <cell r="K210">
            <v>11</v>
          </cell>
        </row>
        <row r="211">
          <cell r="K211">
            <v>1.6</v>
          </cell>
        </row>
        <row r="212">
          <cell r="K212">
            <v>2.4</v>
          </cell>
        </row>
        <row r="213">
          <cell r="K213">
            <v>1.5</v>
          </cell>
        </row>
        <row r="214">
          <cell r="K214">
            <v>21.6</v>
          </cell>
        </row>
        <row r="215">
          <cell r="K21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доб 8"/>
      <sheetName val="Techreg format"/>
      <sheetName val="Techreg format 8"/>
      <sheetName val="изм"/>
      <sheetName val="изм-09.02"/>
      <sheetName val="изм-09.02 (2)"/>
      <sheetName val="булг"/>
      <sheetName val="ДНС"/>
    </sheetNames>
    <sheetDataSet>
      <sheetData sheetId="0"/>
      <sheetData sheetId="1"/>
      <sheetData sheetId="2"/>
      <sheetData sheetId="3"/>
      <sheetData sheetId="4"/>
      <sheetData sheetId="5" refreshError="1">
        <row r="7">
          <cell r="K7">
            <v>2.9</v>
          </cell>
        </row>
        <row r="8">
          <cell r="K8">
            <v>2.2999999999999998</v>
          </cell>
          <cell r="W8">
            <v>20.7</v>
          </cell>
        </row>
        <row r="9">
          <cell r="K9">
            <v>20.5</v>
          </cell>
          <cell r="W9">
            <v>266.5</v>
          </cell>
        </row>
        <row r="10">
          <cell r="K10">
            <v>5.5</v>
          </cell>
        </row>
        <row r="11">
          <cell r="K11">
            <v>0.1</v>
          </cell>
        </row>
        <row r="12">
          <cell r="K12">
            <v>3.3</v>
          </cell>
        </row>
        <row r="13">
          <cell r="K13">
            <v>3.9</v>
          </cell>
        </row>
        <row r="14">
          <cell r="K14">
            <v>5.7</v>
          </cell>
        </row>
        <row r="15">
          <cell r="K15">
            <v>8.1999999999999993</v>
          </cell>
        </row>
        <row r="16">
          <cell r="K16">
            <v>3.9</v>
          </cell>
        </row>
        <row r="17">
          <cell r="K17">
            <v>5.6</v>
          </cell>
        </row>
        <row r="18">
          <cell r="K18">
            <v>21.4</v>
          </cell>
        </row>
        <row r="19">
          <cell r="K19">
            <v>6.9</v>
          </cell>
        </row>
        <row r="20">
          <cell r="K20">
            <v>15.5</v>
          </cell>
          <cell r="W20">
            <v>232.5</v>
          </cell>
        </row>
        <row r="21">
          <cell r="K21">
            <v>18</v>
          </cell>
          <cell r="W21">
            <v>450</v>
          </cell>
        </row>
        <row r="22">
          <cell r="K22">
            <v>1.5</v>
          </cell>
        </row>
        <row r="23">
          <cell r="K23">
            <v>0.9</v>
          </cell>
        </row>
        <row r="24">
          <cell r="K24">
            <v>26.6</v>
          </cell>
        </row>
        <row r="25">
          <cell r="K25">
            <v>4.0999999999999996</v>
          </cell>
        </row>
        <row r="26">
          <cell r="K26">
            <v>9.4</v>
          </cell>
        </row>
        <row r="27">
          <cell r="K27">
            <v>24.2</v>
          </cell>
        </row>
        <row r="28">
          <cell r="K28">
            <v>17.600000000000001</v>
          </cell>
        </row>
        <row r="29">
          <cell r="K29">
            <v>15.3</v>
          </cell>
        </row>
        <row r="30">
          <cell r="K30">
            <v>6.3</v>
          </cell>
        </row>
        <row r="31">
          <cell r="K31">
            <v>3.3</v>
          </cell>
          <cell r="W31">
            <v>29.7</v>
          </cell>
        </row>
        <row r="32">
          <cell r="K32">
            <v>18.899999999999999</v>
          </cell>
        </row>
        <row r="33">
          <cell r="K33">
            <v>3.1</v>
          </cell>
        </row>
        <row r="34">
          <cell r="K34">
            <v>13.6</v>
          </cell>
        </row>
        <row r="35">
          <cell r="K35">
            <v>5.9</v>
          </cell>
        </row>
        <row r="36">
          <cell r="K36">
            <v>4.4000000000000004</v>
          </cell>
        </row>
        <row r="37">
          <cell r="K37">
            <v>3.1</v>
          </cell>
        </row>
        <row r="38">
          <cell r="K38">
            <v>1.7</v>
          </cell>
        </row>
        <row r="39">
          <cell r="K39">
            <v>10.4</v>
          </cell>
        </row>
        <row r="40">
          <cell r="K40">
            <v>4.7</v>
          </cell>
        </row>
        <row r="41">
          <cell r="K41">
            <v>6.7</v>
          </cell>
        </row>
        <row r="42">
          <cell r="K42">
            <v>6.2</v>
          </cell>
        </row>
        <row r="43">
          <cell r="K43">
            <v>22.2</v>
          </cell>
        </row>
        <row r="44">
          <cell r="K44">
            <v>4.8</v>
          </cell>
        </row>
        <row r="45">
          <cell r="K45">
            <v>5.6</v>
          </cell>
        </row>
        <row r="46">
          <cell r="K46">
            <v>7.9</v>
          </cell>
        </row>
        <row r="47">
          <cell r="K47">
            <v>8.3000000000000007</v>
          </cell>
        </row>
        <row r="48">
          <cell r="K48">
            <v>0.3</v>
          </cell>
        </row>
        <row r="49">
          <cell r="K49">
            <v>2.4</v>
          </cell>
        </row>
        <row r="50">
          <cell r="K50">
            <v>8.5</v>
          </cell>
        </row>
        <row r="51">
          <cell r="K51">
            <v>6.4</v>
          </cell>
        </row>
        <row r="52">
          <cell r="K52">
            <v>1</v>
          </cell>
        </row>
        <row r="53">
          <cell r="K53">
            <v>4.7</v>
          </cell>
        </row>
        <row r="54">
          <cell r="K54">
            <v>13.4</v>
          </cell>
        </row>
        <row r="55">
          <cell r="K55">
            <v>3.6</v>
          </cell>
        </row>
        <row r="56">
          <cell r="K56">
            <v>3.8</v>
          </cell>
        </row>
        <row r="57">
          <cell r="K57">
            <v>3.3</v>
          </cell>
        </row>
        <row r="58">
          <cell r="K58">
            <v>3.2</v>
          </cell>
        </row>
        <row r="59">
          <cell r="K59">
            <v>18.8</v>
          </cell>
        </row>
        <row r="60">
          <cell r="K60">
            <v>3.1</v>
          </cell>
        </row>
        <row r="61">
          <cell r="K61">
            <v>8.1</v>
          </cell>
        </row>
        <row r="62">
          <cell r="K62">
            <v>5.8</v>
          </cell>
        </row>
        <row r="63">
          <cell r="K63">
            <v>1.5</v>
          </cell>
        </row>
        <row r="64">
          <cell r="K64">
            <v>3.9</v>
          </cell>
        </row>
        <row r="65">
          <cell r="K65">
            <v>11</v>
          </cell>
        </row>
        <row r="66">
          <cell r="K66">
            <v>17.7</v>
          </cell>
        </row>
        <row r="67">
          <cell r="K67">
            <v>15.6</v>
          </cell>
        </row>
        <row r="68">
          <cell r="K68">
            <v>4.0999999999999996</v>
          </cell>
        </row>
        <row r="69">
          <cell r="K69">
            <v>8.1999999999999993</v>
          </cell>
        </row>
        <row r="70">
          <cell r="K70">
            <v>4.2</v>
          </cell>
        </row>
        <row r="71">
          <cell r="K71">
            <v>8.4</v>
          </cell>
        </row>
        <row r="72">
          <cell r="K72">
            <v>23.5</v>
          </cell>
        </row>
        <row r="73">
          <cell r="K73">
            <v>4.8</v>
          </cell>
        </row>
        <row r="74">
          <cell r="K74">
            <v>21.3</v>
          </cell>
        </row>
        <row r="75">
          <cell r="K75">
            <v>11.7</v>
          </cell>
        </row>
        <row r="76">
          <cell r="K76">
            <v>5.2</v>
          </cell>
        </row>
        <row r="77">
          <cell r="K77">
            <v>8.3000000000000007</v>
          </cell>
        </row>
        <row r="78">
          <cell r="K78">
            <v>4.4000000000000004</v>
          </cell>
        </row>
        <row r="79">
          <cell r="K79">
            <v>5.0999999999999996</v>
          </cell>
        </row>
        <row r="80">
          <cell r="K80">
            <v>22.6</v>
          </cell>
        </row>
        <row r="81">
          <cell r="K81">
            <v>3.9</v>
          </cell>
        </row>
        <row r="82">
          <cell r="K82">
            <v>0.9</v>
          </cell>
        </row>
        <row r="83">
          <cell r="K83">
            <v>3.5</v>
          </cell>
        </row>
        <row r="84">
          <cell r="K84">
            <v>6.3</v>
          </cell>
        </row>
        <row r="85">
          <cell r="K85">
            <v>11.1</v>
          </cell>
        </row>
        <row r="86">
          <cell r="K86">
            <v>5.2</v>
          </cell>
        </row>
        <row r="87">
          <cell r="K87">
            <v>7.7</v>
          </cell>
        </row>
        <row r="88">
          <cell r="K88">
            <v>7.6</v>
          </cell>
        </row>
        <row r="89">
          <cell r="K89">
            <v>1.2</v>
          </cell>
        </row>
        <row r="90">
          <cell r="K90">
            <v>5.7</v>
          </cell>
        </row>
        <row r="91">
          <cell r="K91">
            <v>2.2000000000000002</v>
          </cell>
        </row>
        <row r="92">
          <cell r="K92">
            <v>1.9</v>
          </cell>
        </row>
        <row r="93">
          <cell r="K93">
            <v>20.2</v>
          </cell>
        </row>
        <row r="94">
          <cell r="K94">
            <v>4.9000000000000004</v>
          </cell>
        </row>
        <row r="95">
          <cell r="K95">
            <v>5.0999999999999996</v>
          </cell>
        </row>
        <row r="96">
          <cell r="K96">
            <v>9</v>
          </cell>
        </row>
        <row r="97">
          <cell r="K97">
            <v>0.4</v>
          </cell>
        </row>
        <row r="98">
          <cell r="K98">
            <v>11</v>
          </cell>
        </row>
        <row r="99">
          <cell r="K99">
            <v>9.1</v>
          </cell>
        </row>
        <row r="100">
          <cell r="K100">
            <v>3.7</v>
          </cell>
        </row>
        <row r="101">
          <cell r="K101">
            <v>2.1</v>
          </cell>
        </row>
        <row r="102">
          <cell r="K102">
            <v>5</v>
          </cell>
        </row>
        <row r="103">
          <cell r="K103">
            <v>1.9</v>
          </cell>
        </row>
        <row r="104">
          <cell r="K104">
            <v>11.1</v>
          </cell>
        </row>
        <row r="105">
          <cell r="K105">
            <v>36.799999999999997</v>
          </cell>
        </row>
        <row r="106">
          <cell r="K106">
            <v>2.2999999999999998</v>
          </cell>
        </row>
        <row r="107">
          <cell r="K107">
            <v>7.4</v>
          </cell>
        </row>
        <row r="108">
          <cell r="K108">
            <v>1.4</v>
          </cell>
        </row>
        <row r="109">
          <cell r="K109">
            <v>6.2</v>
          </cell>
        </row>
        <row r="110">
          <cell r="K110">
            <v>7.7</v>
          </cell>
        </row>
        <row r="111">
          <cell r="K111">
            <v>5.6</v>
          </cell>
        </row>
        <row r="112">
          <cell r="K112">
            <v>4.5</v>
          </cell>
        </row>
        <row r="113">
          <cell r="K113">
            <v>9.9</v>
          </cell>
        </row>
        <row r="114">
          <cell r="K114">
            <v>9.1999999999999993</v>
          </cell>
        </row>
        <row r="115">
          <cell r="K115">
            <v>3.8</v>
          </cell>
        </row>
        <row r="116">
          <cell r="K116">
            <v>3.4</v>
          </cell>
        </row>
        <row r="117">
          <cell r="K117">
            <v>0.8</v>
          </cell>
        </row>
        <row r="118">
          <cell r="K118">
            <v>6.2</v>
          </cell>
        </row>
        <row r="119">
          <cell r="K119">
            <v>2.5</v>
          </cell>
        </row>
        <row r="120">
          <cell r="K120">
            <v>1.5</v>
          </cell>
        </row>
        <row r="121">
          <cell r="K121">
            <v>2.4</v>
          </cell>
        </row>
        <row r="122">
          <cell r="K122">
            <v>11.7</v>
          </cell>
        </row>
        <row r="123">
          <cell r="K123">
            <v>1.1000000000000001</v>
          </cell>
        </row>
        <row r="124">
          <cell r="K124">
            <v>2.4</v>
          </cell>
        </row>
        <row r="125">
          <cell r="K125">
            <v>7.6</v>
          </cell>
        </row>
        <row r="126">
          <cell r="K126">
            <v>5.5</v>
          </cell>
        </row>
        <row r="127">
          <cell r="K127">
            <v>8.6</v>
          </cell>
        </row>
        <row r="128">
          <cell r="K128">
            <v>7.5</v>
          </cell>
        </row>
        <row r="129">
          <cell r="K129">
            <v>3.8</v>
          </cell>
        </row>
        <row r="130">
          <cell r="K130">
            <v>9.4</v>
          </cell>
        </row>
        <row r="131">
          <cell r="K131">
            <v>5.5</v>
          </cell>
        </row>
        <row r="132">
          <cell r="K132">
            <v>1.2</v>
          </cell>
        </row>
        <row r="133">
          <cell r="K133">
            <v>3.1</v>
          </cell>
        </row>
        <row r="134">
          <cell r="K134">
            <v>13.1</v>
          </cell>
        </row>
        <row r="135">
          <cell r="K135">
            <v>5.4</v>
          </cell>
        </row>
        <row r="136">
          <cell r="K136">
            <v>1.4</v>
          </cell>
        </row>
        <row r="137">
          <cell r="K137">
            <v>2.2000000000000002</v>
          </cell>
        </row>
        <row r="138">
          <cell r="K138">
            <v>1.8</v>
          </cell>
        </row>
        <row r="139">
          <cell r="K139">
            <v>1.7</v>
          </cell>
        </row>
        <row r="140">
          <cell r="K140">
            <v>1.5</v>
          </cell>
        </row>
        <row r="141">
          <cell r="K141">
            <v>2.5</v>
          </cell>
        </row>
        <row r="142">
          <cell r="K142">
            <v>3.1</v>
          </cell>
        </row>
        <row r="143">
          <cell r="K143">
            <v>5.2</v>
          </cell>
        </row>
        <row r="144">
          <cell r="K144">
            <v>7.7</v>
          </cell>
        </row>
        <row r="145">
          <cell r="K145">
            <v>4.0999999999999996</v>
          </cell>
        </row>
        <row r="146">
          <cell r="K146">
            <v>2.4</v>
          </cell>
        </row>
        <row r="147">
          <cell r="K147">
            <v>4</v>
          </cell>
        </row>
        <row r="148">
          <cell r="K148">
            <v>5.6</v>
          </cell>
        </row>
        <row r="149">
          <cell r="K149">
            <v>5.8</v>
          </cell>
        </row>
        <row r="150">
          <cell r="K150">
            <v>1.1000000000000001</v>
          </cell>
        </row>
        <row r="151">
          <cell r="K151">
            <v>0.7</v>
          </cell>
        </row>
        <row r="152">
          <cell r="K152">
            <v>1.4</v>
          </cell>
        </row>
        <row r="153">
          <cell r="K153">
            <v>1.2</v>
          </cell>
        </row>
        <row r="154">
          <cell r="K154">
            <v>0.7</v>
          </cell>
        </row>
        <row r="155">
          <cell r="K155">
            <v>0.7</v>
          </cell>
        </row>
        <row r="156">
          <cell r="K156">
            <v>3.2</v>
          </cell>
        </row>
        <row r="157">
          <cell r="K157">
            <v>1.1000000000000001</v>
          </cell>
        </row>
        <row r="158">
          <cell r="K158">
            <v>4</v>
          </cell>
        </row>
        <row r="159">
          <cell r="K159">
            <v>2.1</v>
          </cell>
        </row>
        <row r="160">
          <cell r="K160">
            <v>2.2000000000000002</v>
          </cell>
        </row>
        <row r="161">
          <cell r="K161">
            <v>14.5</v>
          </cell>
        </row>
        <row r="162">
          <cell r="K162">
            <v>13.3</v>
          </cell>
        </row>
        <row r="163">
          <cell r="K163">
            <v>5.0999999999999996</v>
          </cell>
        </row>
        <row r="164">
          <cell r="K164">
            <v>5.7</v>
          </cell>
        </row>
        <row r="165">
          <cell r="K165">
            <v>8.3000000000000007</v>
          </cell>
        </row>
        <row r="166">
          <cell r="K166">
            <v>1.2</v>
          </cell>
        </row>
        <row r="167">
          <cell r="K167">
            <v>14.3</v>
          </cell>
        </row>
        <row r="168">
          <cell r="K168">
            <v>2.8</v>
          </cell>
        </row>
        <row r="169">
          <cell r="K169">
            <v>6.8</v>
          </cell>
        </row>
        <row r="170">
          <cell r="K170">
            <v>3.1</v>
          </cell>
        </row>
        <row r="171">
          <cell r="K171">
            <v>0.8</v>
          </cell>
        </row>
        <row r="172">
          <cell r="K172">
            <v>1</v>
          </cell>
        </row>
        <row r="173">
          <cell r="K173">
            <v>2.5</v>
          </cell>
        </row>
        <row r="174">
          <cell r="K174">
            <v>3.8</v>
          </cell>
        </row>
        <row r="175">
          <cell r="K175">
            <v>7.8</v>
          </cell>
        </row>
        <row r="176">
          <cell r="K176">
            <v>8.5</v>
          </cell>
        </row>
        <row r="177">
          <cell r="K177">
            <v>1.5</v>
          </cell>
        </row>
        <row r="178">
          <cell r="K178">
            <v>5.9</v>
          </cell>
        </row>
        <row r="179">
          <cell r="K179">
            <v>3.4</v>
          </cell>
        </row>
        <row r="180">
          <cell r="K180">
            <v>3.6</v>
          </cell>
        </row>
        <row r="181">
          <cell r="K181">
            <v>3.7</v>
          </cell>
        </row>
        <row r="182">
          <cell r="K182">
            <v>0.7</v>
          </cell>
        </row>
        <row r="183">
          <cell r="K183">
            <v>1</v>
          </cell>
        </row>
        <row r="184">
          <cell r="K184">
            <v>2.2000000000000002</v>
          </cell>
        </row>
        <row r="185">
          <cell r="K185">
            <v>3.2</v>
          </cell>
        </row>
        <row r="186">
          <cell r="K186">
            <v>2.8</v>
          </cell>
        </row>
        <row r="187">
          <cell r="K187">
            <v>11.7</v>
          </cell>
        </row>
        <row r="188">
          <cell r="K188">
            <v>4.5999999999999996</v>
          </cell>
        </row>
        <row r="189">
          <cell r="K189">
            <v>9.1999999999999993</v>
          </cell>
        </row>
        <row r="190">
          <cell r="K190">
            <v>2.2999999999999998</v>
          </cell>
        </row>
        <row r="191">
          <cell r="K191">
            <v>1.7</v>
          </cell>
        </row>
        <row r="192">
          <cell r="K192">
            <v>1.1000000000000001</v>
          </cell>
        </row>
        <row r="193">
          <cell r="K193">
            <v>6.1</v>
          </cell>
        </row>
        <row r="194">
          <cell r="K194">
            <v>2</v>
          </cell>
        </row>
        <row r="195">
          <cell r="K195">
            <v>3.4</v>
          </cell>
        </row>
        <row r="196">
          <cell r="K196">
            <v>7.5</v>
          </cell>
        </row>
        <row r="197">
          <cell r="K197">
            <v>40.299999999999997</v>
          </cell>
        </row>
        <row r="198">
          <cell r="K198">
            <v>0</v>
          </cell>
        </row>
        <row r="199">
          <cell r="K199">
            <v>1.2</v>
          </cell>
        </row>
        <row r="200">
          <cell r="K200">
            <v>13.1</v>
          </cell>
        </row>
        <row r="201">
          <cell r="K201">
            <v>5.7</v>
          </cell>
        </row>
        <row r="202">
          <cell r="K202">
            <v>4.8</v>
          </cell>
        </row>
        <row r="203">
          <cell r="K203">
            <v>0.7</v>
          </cell>
        </row>
        <row r="204">
          <cell r="K204">
            <v>6.7</v>
          </cell>
        </row>
        <row r="205">
          <cell r="K205">
            <v>0.8</v>
          </cell>
        </row>
        <row r="206">
          <cell r="K206">
            <v>0.7</v>
          </cell>
        </row>
        <row r="207">
          <cell r="K207">
            <v>6.8</v>
          </cell>
        </row>
        <row r="208">
          <cell r="K208">
            <v>5.7</v>
          </cell>
        </row>
        <row r="209">
          <cell r="K209">
            <v>12.8</v>
          </cell>
        </row>
        <row r="210">
          <cell r="K210">
            <v>11</v>
          </cell>
        </row>
        <row r="211">
          <cell r="K211">
            <v>1.6</v>
          </cell>
        </row>
        <row r="212">
          <cell r="K212">
            <v>2.4</v>
          </cell>
        </row>
        <row r="213">
          <cell r="K213">
            <v>1.5</v>
          </cell>
        </row>
        <row r="214">
          <cell r="K214">
            <v>21.6</v>
          </cell>
        </row>
        <row r="215">
          <cell r="K215">
            <v>3</v>
          </cell>
        </row>
      </sheetData>
      <sheetData sheetId="6"/>
      <sheetData sheetId="7"/>
      <sheetData sheetId="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УТОЧНЫЙ РАПОРТ"/>
      <sheetName val="HSE"/>
      <sheetName val="ЖИДКОСТЬ,НЕФТЬ"/>
      <sheetName val="Графики нефть"/>
      <sheetName val="ГАЗ"/>
      <sheetName val="Графики газ"/>
      <sheetName val="Баланс нефти"/>
      <sheetName val="Баланс газа"/>
      <sheetName val="Графики наличие"/>
      <sheetName val="ГТМ"/>
      <sheetName val="Бурение"/>
      <sheetName val="База"/>
      <sheetName val="gas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УТОЧНЫЙ РАПОРТ"/>
      <sheetName val="HSE"/>
      <sheetName val="ЖИДКОСТЬ,НЕФТЬ"/>
      <sheetName val="Графики нефть"/>
      <sheetName val="ГАЗ"/>
      <sheetName val="Графики газ"/>
      <sheetName val="Баланс нефти"/>
      <sheetName val="Баланс газа"/>
      <sheetName val="Графики наличие"/>
      <sheetName val="ГТМ"/>
      <sheetName val="Бурение"/>
      <sheetName val="База"/>
      <sheetName val="gas"/>
      <sheetName val="hel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-изм"/>
      <sheetName val="реж.бр."/>
      <sheetName val="пояснительная"/>
      <sheetName val="доб"/>
      <sheetName val="изм.по бриг."/>
      <sheetName val="изм"/>
      <sheetName val="Расчет-01-02"/>
      <sheetName val="Лист1"/>
    </sheetNames>
    <sheetDataSet>
      <sheetData sheetId="0" refreshError="1">
        <row r="7">
          <cell r="O7" t="str">
            <v>м3/с</v>
          </cell>
        </row>
        <row r="9">
          <cell r="O9">
            <v>-1</v>
          </cell>
        </row>
        <row r="10">
          <cell r="O10">
            <v>3</v>
          </cell>
        </row>
        <row r="11">
          <cell r="O11">
            <v>-2</v>
          </cell>
        </row>
        <row r="12">
          <cell r="O12">
            <v>0</v>
          </cell>
        </row>
        <row r="13">
          <cell r="O13">
            <v>-1</v>
          </cell>
        </row>
        <row r="14">
          <cell r="O14">
            <v>-16</v>
          </cell>
        </row>
        <row r="15">
          <cell r="O15">
            <v>-4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-2</v>
          </cell>
        </row>
        <row r="19">
          <cell r="O19">
            <v>0</v>
          </cell>
        </row>
        <row r="20">
          <cell r="O20">
            <v>12</v>
          </cell>
        </row>
        <row r="21">
          <cell r="O21">
            <v>-3</v>
          </cell>
        </row>
        <row r="22">
          <cell r="O22">
            <v>-5</v>
          </cell>
        </row>
        <row r="23">
          <cell r="O23">
            <v>-3</v>
          </cell>
        </row>
        <row r="24">
          <cell r="O24">
            <v>-17</v>
          </cell>
        </row>
        <row r="25">
          <cell r="O25">
            <v>-4</v>
          </cell>
        </row>
        <row r="26">
          <cell r="O26">
            <v>-1</v>
          </cell>
        </row>
        <row r="27">
          <cell r="O27">
            <v>-2</v>
          </cell>
        </row>
        <row r="28">
          <cell r="O28">
            <v>2</v>
          </cell>
        </row>
        <row r="29">
          <cell r="O29">
            <v>0</v>
          </cell>
        </row>
        <row r="30">
          <cell r="O30">
            <v>-8</v>
          </cell>
        </row>
        <row r="31">
          <cell r="O31">
            <v>-2</v>
          </cell>
        </row>
        <row r="32">
          <cell r="O32">
            <v>5</v>
          </cell>
        </row>
        <row r="33">
          <cell r="O33">
            <v>-2</v>
          </cell>
        </row>
        <row r="34">
          <cell r="O34">
            <v>2</v>
          </cell>
        </row>
        <row r="35">
          <cell r="O35">
            <v>3</v>
          </cell>
        </row>
        <row r="36">
          <cell r="O36">
            <v>-10</v>
          </cell>
        </row>
        <row r="37">
          <cell r="O37">
            <v>-7</v>
          </cell>
        </row>
        <row r="38">
          <cell r="O38">
            <v>2</v>
          </cell>
        </row>
        <row r="39">
          <cell r="O39">
            <v>-2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-5</v>
          </cell>
        </row>
        <row r="44">
          <cell r="O44">
            <v>0</v>
          </cell>
        </row>
        <row r="45">
          <cell r="O45">
            <v>9</v>
          </cell>
        </row>
        <row r="46">
          <cell r="O46">
            <v>-3</v>
          </cell>
        </row>
        <row r="47">
          <cell r="O47">
            <v>0</v>
          </cell>
        </row>
        <row r="48">
          <cell r="O48">
            <v>-2</v>
          </cell>
        </row>
        <row r="49">
          <cell r="O49">
            <v>-15</v>
          </cell>
        </row>
        <row r="50">
          <cell r="O50">
            <v>5</v>
          </cell>
        </row>
        <row r="51">
          <cell r="O51">
            <v>-3</v>
          </cell>
        </row>
        <row r="52">
          <cell r="O52">
            <v>1</v>
          </cell>
        </row>
        <row r="53">
          <cell r="O53">
            <v>-6</v>
          </cell>
        </row>
        <row r="54">
          <cell r="O54">
            <v>-4</v>
          </cell>
        </row>
        <row r="55">
          <cell r="O55">
            <v>-10</v>
          </cell>
        </row>
        <row r="56">
          <cell r="O56">
            <v>-5</v>
          </cell>
        </row>
        <row r="57">
          <cell r="O57">
            <v>19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7</v>
          </cell>
        </row>
        <row r="63">
          <cell r="O63">
            <v>-1</v>
          </cell>
        </row>
        <row r="64">
          <cell r="O64">
            <v>-3</v>
          </cell>
        </row>
        <row r="65">
          <cell r="O65">
            <v>-6</v>
          </cell>
        </row>
        <row r="66">
          <cell r="O66">
            <v>4</v>
          </cell>
        </row>
        <row r="67">
          <cell r="O67">
            <v>-2</v>
          </cell>
        </row>
        <row r="68">
          <cell r="O68">
            <v>8</v>
          </cell>
        </row>
        <row r="69">
          <cell r="O69">
            <v>3</v>
          </cell>
        </row>
        <row r="70">
          <cell r="O70">
            <v>1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-3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-1</v>
          </cell>
        </row>
        <row r="77">
          <cell r="O77">
            <v>-2</v>
          </cell>
        </row>
        <row r="78">
          <cell r="O78">
            <v>-2</v>
          </cell>
        </row>
        <row r="79">
          <cell r="O79">
            <v>-6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1</v>
          </cell>
        </row>
        <row r="83">
          <cell r="O83">
            <v>-3</v>
          </cell>
        </row>
        <row r="84">
          <cell r="O84">
            <v>-5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-1</v>
          </cell>
        </row>
        <row r="88">
          <cell r="O88">
            <v>-5</v>
          </cell>
        </row>
        <row r="89">
          <cell r="O89">
            <v>-17</v>
          </cell>
        </row>
        <row r="90">
          <cell r="O90">
            <v>-1</v>
          </cell>
        </row>
        <row r="91">
          <cell r="O91">
            <v>-1</v>
          </cell>
        </row>
        <row r="92">
          <cell r="O92">
            <v>-1</v>
          </cell>
        </row>
        <row r="93">
          <cell r="O93">
            <v>0</v>
          </cell>
        </row>
        <row r="94">
          <cell r="O94">
            <v>4</v>
          </cell>
        </row>
        <row r="95">
          <cell r="O95">
            <v>-2</v>
          </cell>
        </row>
        <row r="96">
          <cell r="O96">
            <v>7</v>
          </cell>
        </row>
        <row r="97">
          <cell r="O97">
            <v>-3</v>
          </cell>
        </row>
        <row r="98">
          <cell r="O98">
            <v>-4</v>
          </cell>
        </row>
        <row r="99">
          <cell r="O99">
            <v>-5</v>
          </cell>
        </row>
        <row r="100">
          <cell r="O100">
            <v>26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-1</v>
          </cell>
        </row>
        <row r="104">
          <cell r="O104">
            <v>-4</v>
          </cell>
        </row>
        <row r="105">
          <cell r="O105">
            <v>0</v>
          </cell>
        </row>
        <row r="106">
          <cell r="O106">
            <v>-1</v>
          </cell>
        </row>
        <row r="107">
          <cell r="O107">
            <v>1</v>
          </cell>
        </row>
        <row r="108">
          <cell r="O108">
            <v>-5</v>
          </cell>
        </row>
        <row r="109">
          <cell r="O109">
            <v>-8</v>
          </cell>
        </row>
        <row r="110">
          <cell r="O110">
            <v>8</v>
          </cell>
        </row>
        <row r="111">
          <cell r="O111">
            <v>0</v>
          </cell>
        </row>
        <row r="112">
          <cell r="O112">
            <v>2</v>
          </cell>
        </row>
        <row r="113">
          <cell r="O113">
            <v>17</v>
          </cell>
        </row>
        <row r="114">
          <cell r="O114">
            <v>-4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-2</v>
          </cell>
        </row>
        <row r="118">
          <cell r="O118">
            <v>-4</v>
          </cell>
        </row>
        <row r="119">
          <cell r="O119">
            <v>-5</v>
          </cell>
        </row>
        <row r="120">
          <cell r="O120">
            <v>-2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-4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-7</v>
          </cell>
        </row>
        <row r="128">
          <cell r="O128">
            <v>-4</v>
          </cell>
        </row>
        <row r="129">
          <cell r="O129">
            <v>-1</v>
          </cell>
        </row>
        <row r="130">
          <cell r="O130">
            <v>0</v>
          </cell>
        </row>
        <row r="131">
          <cell r="O131">
            <v>-2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16</v>
          </cell>
        </row>
        <row r="135">
          <cell r="O135">
            <v>-2</v>
          </cell>
        </row>
        <row r="136">
          <cell r="O136">
            <v>8</v>
          </cell>
        </row>
        <row r="137">
          <cell r="O137">
            <v>-2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-5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-4</v>
          </cell>
        </row>
        <row r="144">
          <cell r="O144">
            <v>-2</v>
          </cell>
        </row>
        <row r="145">
          <cell r="O145">
            <v>2</v>
          </cell>
        </row>
        <row r="146">
          <cell r="O146">
            <v>8</v>
          </cell>
        </row>
        <row r="147">
          <cell r="O147">
            <v>-7</v>
          </cell>
        </row>
        <row r="148">
          <cell r="O148">
            <v>2</v>
          </cell>
        </row>
        <row r="149">
          <cell r="O149">
            <v>-3</v>
          </cell>
        </row>
        <row r="150">
          <cell r="O150">
            <v>-1</v>
          </cell>
        </row>
        <row r="151">
          <cell r="O151">
            <v>3</v>
          </cell>
        </row>
        <row r="152">
          <cell r="O152">
            <v>2</v>
          </cell>
        </row>
        <row r="153">
          <cell r="O153">
            <v>0</v>
          </cell>
        </row>
        <row r="154">
          <cell r="O154">
            <v>4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6</v>
          </cell>
        </row>
        <row r="158">
          <cell r="O158">
            <v>-2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-3</v>
          </cell>
        </row>
        <row r="162">
          <cell r="O162">
            <v>3</v>
          </cell>
        </row>
        <row r="163">
          <cell r="O163">
            <v>0</v>
          </cell>
        </row>
        <row r="164">
          <cell r="O164">
            <v>3</v>
          </cell>
        </row>
        <row r="165">
          <cell r="O165">
            <v>-5</v>
          </cell>
        </row>
        <row r="166">
          <cell r="O166">
            <v>-6</v>
          </cell>
        </row>
        <row r="167">
          <cell r="O167">
            <v>-5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4</v>
          </cell>
        </row>
        <row r="173">
          <cell r="O173">
            <v>-2</v>
          </cell>
        </row>
        <row r="174">
          <cell r="O174">
            <v>-5</v>
          </cell>
        </row>
        <row r="175">
          <cell r="O175">
            <v>-2</v>
          </cell>
        </row>
        <row r="176">
          <cell r="O176">
            <v>4</v>
          </cell>
        </row>
        <row r="177">
          <cell r="O177">
            <v>10</v>
          </cell>
        </row>
        <row r="178">
          <cell r="O178">
            <v>-2</v>
          </cell>
        </row>
        <row r="179">
          <cell r="O179">
            <v>0</v>
          </cell>
        </row>
        <row r="180">
          <cell r="O180">
            <v>7</v>
          </cell>
        </row>
        <row r="181">
          <cell r="O181">
            <v>0</v>
          </cell>
        </row>
        <row r="182">
          <cell r="O182">
            <v>2</v>
          </cell>
        </row>
        <row r="183">
          <cell r="O183">
            <v>2</v>
          </cell>
        </row>
        <row r="184">
          <cell r="O184">
            <v>-0.5</v>
          </cell>
        </row>
        <row r="185">
          <cell r="O185">
            <v>0</v>
          </cell>
        </row>
        <row r="186">
          <cell r="O186">
            <v>-6</v>
          </cell>
        </row>
        <row r="187">
          <cell r="O187">
            <v>-1</v>
          </cell>
        </row>
        <row r="188">
          <cell r="O188">
            <v>-10</v>
          </cell>
        </row>
        <row r="189">
          <cell r="O189">
            <v>0</v>
          </cell>
        </row>
        <row r="190">
          <cell r="O190">
            <v>0</v>
          </cell>
        </row>
        <row r="191">
          <cell r="O191">
            <v>6</v>
          </cell>
        </row>
        <row r="192">
          <cell r="O192">
            <v>-1</v>
          </cell>
        </row>
        <row r="193">
          <cell r="O193">
            <v>0</v>
          </cell>
        </row>
        <row r="194">
          <cell r="O194">
            <v>0</v>
          </cell>
        </row>
        <row r="195">
          <cell r="O195">
            <v>0</v>
          </cell>
        </row>
        <row r="196">
          <cell r="O196">
            <v>-15</v>
          </cell>
        </row>
        <row r="197">
          <cell r="O197">
            <v>1</v>
          </cell>
        </row>
        <row r="198">
          <cell r="O198">
            <v>-11</v>
          </cell>
        </row>
        <row r="199">
          <cell r="O199">
            <v>-1</v>
          </cell>
        </row>
        <row r="200">
          <cell r="O200">
            <v>9</v>
          </cell>
        </row>
        <row r="201">
          <cell r="O201">
            <v>-2</v>
          </cell>
        </row>
        <row r="202">
          <cell r="O202">
            <v>1</v>
          </cell>
        </row>
        <row r="203">
          <cell r="O203">
            <v>0</v>
          </cell>
        </row>
        <row r="204">
          <cell r="O204">
            <v>-15</v>
          </cell>
        </row>
        <row r="205">
          <cell r="O205">
            <v>0</v>
          </cell>
        </row>
        <row r="206">
          <cell r="O206">
            <v>6</v>
          </cell>
        </row>
        <row r="207">
          <cell r="O207">
            <v>-1</v>
          </cell>
        </row>
        <row r="208">
          <cell r="O208">
            <v>0</v>
          </cell>
        </row>
        <row r="209">
          <cell r="O209">
            <v>-3</v>
          </cell>
        </row>
        <row r="210">
          <cell r="O210">
            <v>0</v>
          </cell>
        </row>
        <row r="211">
          <cell r="O211">
            <v>-1</v>
          </cell>
        </row>
        <row r="212">
          <cell r="O212">
            <v>0</v>
          </cell>
        </row>
        <row r="213">
          <cell r="O213">
            <v>-4</v>
          </cell>
        </row>
        <row r="214">
          <cell r="O214">
            <v>4</v>
          </cell>
        </row>
        <row r="215">
          <cell r="O215">
            <v>0</v>
          </cell>
        </row>
        <row r="216">
          <cell r="O216">
            <v>3</v>
          </cell>
        </row>
        <row r="217">
          <cell r="O217">
            <v>3</v>
          </cell>
        </row>
        <row r="218">
          <cell r="O218">
            <v>0</v>
          </cell>
        </row>
        <row r="219">
          <cell r="O219">
            <v>1</v>
          </cell>
        </row>
        <row r="220">
          <cell r="O220">
            <v>-2</v>
          </cell>
        </row>
        <row r="221">
          <cell r="O221">
            <v>0</v>
          </cell>
        </row>
        <row r="222">
          <cell r="O222">
            <v>-14</v>
          </cell>
        </row>
        <row r="223">
          <cell r="O223">
            <v>-3</v>
          </cell>
        </row>
        <row r="224">
          <cell r="O224">
            <v>0</v>
          </cell>
        </row>
        <row r="225">
          <cell r="O225">
            <v>-11</v>
          </cell>
        </row>
        <row r="226">
          <cell r="O226">
            <v>11</v>
          </cell>
        </row>
        <row r="227">
          <cell r="O227">
            <v>0</v>
          </cell>
        </row>
        <row r="228">
          <cell r="O228">
            <v>0</v>
          </cell>
        </row>
        <row r="229">
          <cell r="O229">
            <v>0</v>
          </cell>
        </row>
        <row r="230">
          <cell r="O230">
            <v>4</v>
          </cell>
        </row>
        <row r="231">
          <cell r="O231">
            <v>0</v>
          </cell>
        </row>
        <row r="232">
          <cell r="O232">
            <v>-8</v>
          </cell>
        </row>
        <row r="233">
          <cell r="O233">
            <v>-1</v>
          </cell>
        </row>
        <row r="234">
          <cell r="O234">
            <v>0</v>
          </cell>
        </row>
        <row r="235">
          <cell r="O235">
            <v>2</v>
          </cell>
        </row>
        <row r="236">
          <cell r="O236">
            <v>0</v>
          </cell>
        </row>
        <row r="237">
          <cell r="O237">
            <v>0</v>
          </cell>
        </row>
        <row r="238">
          <cell r="O238">
            <v>0</v>
          </cell>
        </row>
        <row r="239">
          <cell r="O239">
            <v>0</v>
          </cell>
        </row>
        <row r="240">
          <cell r="O240">
            <v>0</v>
          </cell>
        </row>
        <row r="241">
          <cell r="O241">
            <v>0</v>
          </cell>
        </row>
        <row r="242">
          <cell r="O242">
            <v>15</v>
          </cell>
        </row>
        <row r="243">
          <cell r="O243">
            <v>-4</v>
          </cell>
        </row>
        <row r="244">
          <cell r="O244">
            <v>0</v>
          </cell>
        </row>
        <row r="245">
          <cell r="O245">
            <v>4</v>
          </cell>
        </row>
        <row r="246">
          <cell r="O246">
            <v>0</v>
          </cell>
        </row>
        <row r="247">
          <cell r="O247">
            <v>9</v>
          </cell>
        </row>
        <row r="248">
          <cell r="O248">
            <v>0</v>
          </cell>
        </row>
        <row r="249">
          <cell r="O249">
            <v>0</v>
          </cell>
        </row>
        <row r="250">
          <cell r="O250">
            <v>0</v>
          </cell>
        </row>
        <row r="251">
          <cell r="O251">
            <v>-14</v>
          </cell>
        </row>
        <row r="252">
          <cell r="O252">
            <v>-9</v>
          </cell>
        </row>
        <row r="253">
          <cell r="O253">
            <v>1</v>
          </cell>
        </row>
        <row r="254">
          <cell r="O254">
            <v>0</v>
          </cell>
        </row>
        <row r="255">
          <cell r="O255">
            <v>-1</v>
          </cell>
        </row>
        <row r="256">
          <cell r="O256">
            <v>0</v>
          </cell>
        </row>
        <row r="257">
          <cell r="O257">
            <v>0</v>
          </cell>
        </row>
        <row r="258">
          <cell r="O258">
            <v>-9</v>
          </cell>
        </row>
        <row r="259">
          <cell r="O259">
            <v>0</v>
          </cell>
        </row>
        <row r="260">
          <cell r="O260">
            <v>0</v>
          </cell>
        </row>
        <row r="261">
          <cell r="O261">
            <v>0</v>
          </cell>
        </row>
        <row r="262">
          <cell r="O262">
            <v>0</v>
          </cell>
        </row>
        <row r="263">
          <cell r="O263">
            <v>-10</v>
          </cell>
        </row>
        <row r="264">
          <cell r="O264">
            <v>0</v>
          </cell>
        </row>
        <row r="265">
          <cell r="O265">
            <v>0</v>
          </cell>
        </row>
        <row r="266">
          <cell r="O266">
            <v>0</v>
          </cell>
        </row>
        <row r="267">
          <cell r="O267">
            <v>4</v>
          </cell>
        </row>
        <row r="268">
          <cell r="O268">
            <v>3</v>
          </cell>
        </row>
        <row r="269">
          <cell r="O269">
            <v>6</v>
          </cell>
        </row>
        <row r="270">
          <cell r="O270">
            <v>-4</v>
          </cell>
        </row>
        <row r="271">
          <cell r="O271">
            <v>0</v>
          </cell>
        </row>
        <row r="272">
          <cell r="O272">
            <v>7</v>
          </cell>
        </row>
        <row r="273">
          <cell r="O273">
            <v>2</v>
          </cell>
        </row>
        <row r="274">
          <cell r="O274">
            <v>-6</v>
          </cell>
        </row>
        <row r="275">
          <cell r="O275">
            <v>-1</v>
          </cell>
        </row>
        <row r="276">
          <cell r="O276">
            <v>0</v>
          </cell>
        </row>
        <row r="277">
          <cell r="O277">
            <v>1</v>
          </cell>
        </row>
        <row r="278">
          <cell r="O278">
            <v>13</v>
          </cell>
        </row>
        <row r="279">
          <cell r="O279">
            <v>-2</v>
          </cell>
        </row>
        <row r="280">
          <cell r="O280">
            <v>0</v>
          </cell>
        </row>
        <row r="281">
          <cell r="O281">
            <v>0</v>
          </cell>
        </row>
        <row r="282">
          <cell r="O282">
            <v>-1</v>
          </cell>
        </row>
        <row r="283">
          <cell r="O283">
            <v>1</v>
          </cell>
        </row>
        <row r="284">
          <cell r="O284">
            <v>-11</v>
          </cell>
        </row>
        <row r="285">
          <cell r="O285">
            <v>-2</v>
          </cell>
        </row>
        <row r="286">
          <cell r="O286">
            <v>0</v>
          </cell>
        </row>
        <row r="287">
          <cell r="O287">
            <v>0</v>
          </cell>
        </row>
        <row r="288">
          <cell r="O288">
            <v>-2</v>
          </cell>
        </row>
        <row r="289">
          <cell r="O289">
            <v>2</v>
          </cell>
        </row>
        <row r="290">
          <cell r="O290">
            <v>16</v>
          </cell>
        </row>
        <row r="291">
          <cell r="O291">
            <v>0</v>
          </cell>
        </row>
        <row r="292">
          <cell r="O292">
            <v>0</v>
          </cell>
        </row>
        <row r="293">
          <cell r="O293">
            <v>0</v>
          </cell>
        </row>
        <row r="294">
          <cell r="O294">
            <v>-5</v>
          </cell>
        </row>
        <row r="295">
          <cell r="O295">
            <v>0</v>
          </cell>
        </row>
        <row r="296">
          <cell r="O296">
            <v>-1</v>
          </cell>
        </row>
        <row r="297">
          <cell r="O297">
            <v>-2</v>
          </cell>
        </row>
        <row r="298">
          <cell r="O298">
            <v>0</v>
          </cell>
        </row>
        <row r="299">
          <cell r="O299">
            <v>0</v>
          </cell>
        </row>
        <row r="300">
          <cell r="O300">
            <v>-8</v>
          </cell>
        </row>
        <row r="301">
          <cell r="O301">
            <v>-14</v>
          </cell>
        </row>
        <row r="302">
          <cell r="O302">
            <v>32</v>
          </cell>
        </row>
        <row r="303">
          <cell r="O303">
            <v>0</v>
          </cell>
        </row>
        <row r="304">
          <cell r="O304">
            <v>0</v>
          </cell>
        </row>
        <row r="305">
          <cell r="O305">
            <v>-2</v>
          </cell>
        </row>
        <row r="306">
          <cell r="O306">
            <v>-5</v>
          </cell>
        </row>
        <row r="307">
          <cell r="O307">
            <v>0</v>
          </cell>
        </row>
        <row r="308">
          <cell r="O308">
            <v>0</v>
          </cell>
        </row>
        <row r="309">
          <cell r="O309">
            <v>-2</v>
          </cell>
        </row>
        <row r="310">
          <cell r="O310">
            <v>0</v>
          </cell>
        </row>
        <row r="311">
          <cell r="O311">
            <v>-3</v>
          </cell>
        </row>
        <row r="312">
          <cell r="O312">
            <v>0</v>
          </cell>
        </row>
        <row r="313">
          <cell r="O313">
            <v>0</v>
          </cell>
        </row>
        <row r="314">
          <cell r="O314">
            <v>0</v>
          </cell>
        </row>
        <row r="315">
          <cell r="O315">
            <v>0</v>
          </cell>
        </row>
        <row r="316">
          <cell r="O316">
            <v>-2</v>
          </cell>
        </row>
        <row r="317">
          <cell r="O317">
            <v>-5</v>
          </cell>
        </row>
        <row r="318">
          <cell r="O318">
            <v>-2</v>
          </cell>
        </row>
        <row r="319">
          <cell r="O319">
            <v>5</v>
          </cell>
        </row>
        <row r="320">
          <cell r="O320">
            <v>0</v>
          </cell>
        </row>
        <row r="321">
          <cell r="O321">
            <v>9</v>
          </cell>
        </row>
        <row r="322">
          <cell r="O322">
            <v>0</v>
          </cell>
        </row>
        <row r="323">
          <cell r="O323">
            <v>1</v>
          </cell>
        </row>
        <row r="324">
          <cell r="O324">
            <v>0</v>
          </cell>
        </row>
        <row r="325">
          <cell r="O325">
            <v>0</v>
          </cell>
        </row>
        <row r="326">
          <cell r="O326">
            <v>-1</v>
          </cell>
        </row>
        <row r="327">
          <cell r="O327">
            <v>-2</v>
          </cell>
        </row>
        <row r="328">
          <cell r="O328">
            <v>3</v>
          </cell>
        </row>
        <row r="329">
          <cell r="O329">
            <v>0</v>
          </cell>
        </row>
        <row r="330">
          <cell r="O330">
            <v>0</v>
          </cell>
        </row>
        <row r="331">
          <cell r="O331">
            <v>0</v>
          </cell>
        </row>
        <row r="332">
          <cell r="O332">
            <v>0</v>
          </cell>
        </row>
        <row r="333">
          <cell r="O333">
            <v>0</v>
          </cell>
        </row>
        <row r="334">
          <cell r="O334">
            <v>-2</v>
          </cell>
        </row>
        <row r="335">
          <cell r="O335">
            <v>-2.8999999999999986</v>
          </cell>
        </row>
        <row r="336">
          <cell r="O336">
            <v>4</v>
          </cell>
        </row>
        <row r="337">
          <cell r="O337">
            <v>-2</v>
          </cell>
        </row>
        <row r="338">
          <cell r="O338">
            <v>1</v>
          </cell>
        </row>
        <row r="339">
          <cell r="O339">
            <v>-3</v>
          </cell>
        </row>
        <row r="340">
          <cell r="O340">
            <v>-1</v>
          </cell>
        </row>
        <row r="341">
          <cell r="O341">
            <v>0</v>
          </cell>
        </row>
        <row r="342">
          <cell r="O342">
            <v>-15</v>
          </cell>
        </row>
        <row r="343">
          <cell r="O343">
            <v>0</v>
          </cell>
        </row>
        <row r="344">
          <cell r="O344">
            <v>-2</v>
          </cell>
        </row>
        <row r="345">
          <cell r="O345">
            <v>0</v>
          </cell>
        </row>
        <row r="346">
          <cell r="O346">
            <v>0</v>
          </cell>
        </row>
        <row r="347">
          <cell r="O347">
            <v>5</v>
          </cell>
        </row>
        <row r="348">
          <cell r="O348">
            <v>-2</v>
          </cell>
        </row>
        <row r="349">
          <cell r="O349">
            <v>-1</v>
          </cell>
        </row>
        <row r="350">
          <cell r="O350">
            <v>0</v>
          </cell>
        </row>
        <row r="351">
          <cell r="O351">
            <v>-1</v>
          </cell>
        </row>
        <row r="352">
          <cell r="O352">
            <v>-3</v>
          </cell>
        </row>
        <row r="353">
          <cell r="O353">
            <v>0</v>
          </cell>
        </row>
        <row r="354">
          <cell r="O354">
            <v>0</v>
          </cell>
        </row>
        <row r="355">
          <cell r="O355">
            <v>23</v>
          </cell>
        </row>
        <row r="356">
          <cell r="O356">
            <v>11</v>
          </cell>
        </row>
        <row r="357">
          <cell r="O357">
            <v>0</v>
          </cell>
        </row>
        <row r="358">
          <cell r="O358">
            <v>0</v>
          </cell>
        </row>
        <row r="359">
          <cell r="O359">
            <v>-1</v>
          </cell>
        </row>
        <row r="360">
          <cell r="O360">
            <v>3</v>
          </cell>
        </row>
        <row r="361">
          <cell r="O361">
            <v>-2</v>
          </cell>
        </row>
        <row r="362">
          <cell r="O362">
            <v>0</v>
          </cell>
        </row>
        <row r="363">
          <cell r="O363">
            <v>1</v>
          </cell>
        </row>
        <row r="364">
          <cell r="O364">
            <v>-1</v>
          </cell>
        </row>
        <row r="365">
          <cell r="O365">
            <v>0</v>
          </cell>
        </row>
        <row r="366">
          <cell r="O366">
            <v>-19</v>
          </cell>
        </row>
        <row r="367">
          <cell r="O367">
            <v>2</v>
          </cell>
        </row>
        <row r="368">
          <cell r="O368">
            <v>5</v>
          </cell>
        </row>
        <row r="369">
          <cell r="O369">
            <v>-2</v>
          </cell>
        </row>
        <row r="370">
          <cell r="O370">
            <v>-6</v>
          </cell>
        </row>
        <row r="371">
          <cell r="O371">
            <v>1</v>
          </cell>
        </row>
        <row r="372">
          <cell r="O372">
            <v>-5</v>
          </cell>
        </row>
        <row r="373">
          <cell r="O373">
            <v>-2</v>
          </cell>
        </row>
        <row r="374">
          <cell r="O374">
            <v>-5</v>
          </cell>
        </row>
        <row r="375">
          <cell r="O375">
            <v>0</v>
          </cell>
        </row>
        <row r="376">
          <cell r="O376">
            <v>0</v>
          </cell>
        </row>
        <row r="377">
          <cell r="O377">
            <v>0</v>
          </cell>
        </row>
        <row r="378">
          <cell r="O378">
            <v>-4</v>
          </cell>
        </row>
        <row r="379">
          <cell r="O379">
            <v>-5</v>
          </cell>
        </row>
        <row r="380">
          <cell r="O380">
            <v>-4</v>
          </cell>
        </row>
        <row r="381">
          <cell r="O381">
            <v>9</v>
          </cell>
        </row>
        <row r="382">
          <cell r="O382">
            <v>0</v>
          </cell>
        </row>
        <row r="383">
          <cell r="O383">
            <v>-6</v>
          </cell>
        </row>
        <row r="384">
          <cell r="O384">
            <v>-1</v>
          </cell>
        </row>
        <row r="385">
          <cell r="O385">
            <v>-2</v>
          </cell>
        </row>
        <row r="386">
          <cell r="O386">
            <v>0</v>
          </cell>
        </row>
        <row r="387">
          <cell r="O387">
            <v>-2</v>
          </cell>
        </row>
        <row r="388">
          <cell r="O388">
            <v>-3</v>
          </cell>
        </row>
        <row r="389">
          <cell r="O389">
            <v>0</v>
          </cell>
        </row>
        <row r="390">
          <cell r="O390">
            <v>0</v>
          </cell>
        </row>
        <row r="391">
          <cell r="O391">
            <v>-1.5</v>
          </cell>
        </row>
        <row r="392">
          <cell r="O392">
            <v>-1</v>
          </cell>
        </row>
        <row r="393">
          <cell r="O393">
            <v>-4</v>
          </cell>
        </row>
        <row r="394">
          <cell r="O394">
            <v>0</v>
          </cell>
        </row>
        <row r="395">
          <cell r="O395">
            <v>0</v>
          </cell>
        </row>
        <row r="396">
          <cell r="O396">
            <v>-1</v>
          </cell>
        </row>
        <row r="397">
          <cell r="O397">
            <v>0</v>
          </cell>
        </row>
        <row r="398">
          <cell r="O398">
            <v>-1</v>
          </cell>
        </row>
        <row r="399">
          <cell r="O399">
            <v>-1</v>
          </cell>
        </row>
        <row r="400">
          <cell r="O400">
            <v>9</v>
          </cell>
        </row>
        <row r="401">
          <cell r="O401">
            <v>0</v>
          </cell>
        </row>
        <row r="402">
          <cell r="O402">
            <v>5</v>
          </cell>
        </row>
        <row r="403">
          <cell r="O403">
            <v>0</v>
          </cell>
        </row>
        <row r="404">
          <cell r="O404">
            <v>0</v>
          </cell>
        </row>
        <row r="405">
          <cell r="O405">
            <v>-2</v>
          </cell>
        </row>
        <row r="406">
          <cell r="O406">
            <v>0</v>
          </cell>
        </row>
        <row r="407">
          <cell r="O407">
            <v>0</v>
          </cell>
        </row>
        <row r="408">
          <cell r="O408">
            <v>-5</v>
          </cell>
        </row>
        <row r="409">
          <cell r="O409">
            <v>0</v>
          </cell>
        </row>
        <row r="410">
          <cell r="O410">
            <v>-1</v>
          </cell>
        </row>
        <row r="411">
          <cell r="O411">
            <v>0</v>
          </cell>
        </row>
        <row r="412">
          <cell r="O412">
            <v>0</v>
          </cell>
        </row>
        <row r="413">
          <cell r="O413">
            <v>-3</v>
          </cell>
        </row>
        <row r="414">
          <cell r="O414">
            <v>0</v>
          </cell>
        </row>
        <row r="415">
          <cell r="O415">
            <v>0</v>
          </cell>
        </row>
        <row r="416">
          <cell r="O416">
            <v>0</v>
          </cell>
        </row>
        <row r="417">
          <cell r="O417">
            <v>14</v>
          </cell>
        </row>
        <row r="418">
          <cell r="O418">
            <v>0</v>
          </cell>
        </row>
        <row r="419">
          <cell r="O419">
            <v>-3</v>
          </cell>
        </row>
        <row r="420">
          <cell r="O420">
            <v>3</v>
          </cell>
        </row>
        <row r="421">
          <cell r="O421">
            <v>-3</v>
          </cell>
        </row>
        <row r="422">
          <cell r="O422">
            <v>-3</v>
          </cell>
        </row>
        <row r="423">
          <cell r="O423">
            <v>0</v>
          </cell>
        </row>
        <row r="424">
          <cell r="O424">
            <v>-4</v>
          </cell>
        </row>
        <row r="425">
          <cell r="O425">
            <v>-4</v>
          </cell>
        </row>
        <row r="426">
          <cell r="O426">
            <v>-3</v>
          </cell>
        </row>
        <row r="427">
          <cell r="O427">
            <v>-1</v>
          </cell>
        </row>
        <row r="428">
          <cell r="O428">
            <v>-2</v>
          </cell>
        </row>
        <row r="429">
          <cell r="O429">
            <v>-6</v>
          </cell>
        </row>
        <row r="430">
          <cell r="O430">
            <v>0</v>
          </cell>
        </row>
        <row r="431">
          <cell r="O431">
            <v>-2</v>
          </cell>
        </row>
        <row r="432">
          <cell r="O432">
            <v>-6</v>
          </cell>
        </row>
        <row r="433">
          <cell r="O433">
            <v>15</v>
          </cell>
        </row>
        <row r="434">
          <cell r="O434">
            <v>0</v>
          </cell>
        </row>
        <row r="435">
          <cell r="O435">
            <v>0</v>
          </cell>
        </row>
        <row r="436">
          <cell r="O436">
            <v>-4</v>
          </cell>
        </row>
        <row r="437">
          <cell r="O437">
            <v>-5</v>
          </cell>
        </row>
        <row r="438">
          <cell r="O438">
            <v>0</v>
          </cell>
        </row>
        <row r="439">
          <cell r="O439">
            <v>0</v>
          </cell>
        </row>
        <row r="440">
          <cell r="O440">
            <v>0</v>
          </cell>
        </row>
        <row r="441">
          <cell r="O441">
            <v>-2</v>
          </cell>
        </row>
        <row r="442">
          <cell r="O442">
            <v>0</v>
          </cell>
        </row>
        <row r="443">
          <cell r="O443">
            <v>26</v>
          </cell>
        </row>
        <row r="444">
          <cell r="O444">
            <v>9</v>
          </cell>
        </row>
        <row r="445">
          <cell r="O445">
            <v>-3</v>
          </cell>
        </row>
        <row r="446">
          <cell r="O446">
            <v>0</v>
          </cell>
        </row>
        <row r="447">
          <cell r="O447">
            <v>-4</v>
          </cell>
        </row>
        <row r="448">
          <cell r="O448">
            <v>-1</v>
          </cell>
        </row>
        <row r="449">
          <cell r="O449">
            <v>1</v>
          </cell>
        </row>
        <row r="450">
          <cell r="O450">
            <v>1</v>
          </cell>
        </row>
        <row r="451">
          <cell r="O451">
            <v>0</v>
          </cell>
        </row>
        <row r="452">
          <cell r="O452">
            <v>-3</v>
          </cell>
        </row>
        <row r="453">
          <cell r="O453">
            <v>0</v>
          </cell>
        </row>
        <row r="454">
          <cell r="O454">
            <v>0</v>
          </cell>
        </row>
        <row r="455">
          <cell r="O455">
            <v>0</v>
          </cell>
        </row>
        <row r="456">
          <cell r="O456">
            <v>0</v>
          </cell>
        </row>
        <row r="457">
          <cell r="O457">
            <v>0</v>
          </cell>
        </row>
        <row r="458">
          <cell r="O458">
            <v>-1</v>
          </cell>
        </row>
        <row r="459">
          <cell r="O459">
            <v>-1</v>
          </cell>
        </row>
        <row r="460">
          <cell r="O460">
            <v>-1</v>
          </cell>
        </row>
        <row r="461">
          <cell r="O461">
            <v>0</v>
          </cell>
        </row>
        <row r="462">
          <cell r="O462">
            <v>0</v>
          </cell>
        </row>
        <row r="463">
          <cell r="O463">
            <v>-15</v>
          </cell>
        </row>
        <row r="464">
          <cell r="O464">
            <v>11</v>
          </cell>
        </row>
        <row r="465">
          <cell r="O465">
            <v>-9</v>
          </cell>
        </row>
        <row r="466">
          <cell r="O466">
            <v>0</v>
          </cell>
        </row>
        <row r="467">
          <cell r="O467">
            <v>-11</v>
          </cell>
        </row>
        <row r="468">
          <cell r="O468">
            <v>-1</v>
          </cell>
        </row>
        <row r="469">
          <cell r="O469">
            <v>0</v>
          </cell>
        </row>
        <row r="470">
          <cell r="O470">
            <v>1</v>
          </cell>
        </row>
        <row r="471">
          <cell r="O471">
            <v>0</v>
          </cell>
        </row>
        <row r="472">
          <cell r="O472">
            <v>0</v>
          </cell>
        </row>
        <row r="473">
          <cell r="O473">
            <v>0</v>
          </cell>
        </row>
        <row r="474">
          <cell r="O474">
            <v>-2</v>
          </cell>
        </row>
        <row r="475">
          <cell r="O475">
            <v>-3</v>
          </cell>
        </row>
        <row r="476">
          <cell r="O476">
            <v>1</v>
          </cell>
        </row>
        <row r="477">
          <cell r="O477">
            <v>-2</v>
          </cell>
        </row>
        <row r="478">
          <cell r="O478">
            <v>0</v>
          </cell>
        </row>
        <row r="479">
          <cell r="O479">
            <v>8</v>
          </cell>
        </row>
        <row r="480">
          <cell r="O480">
            <v>9</v>
          </cell>
        </row>
        <row r="481">
          <cell r="O481">
            <v>-5</v>
          </cell>
        </row>
        <row r="482">
          <cell r="O482">
            <v>13</v>
          </cell>
        </row>
        <row r="483">
          <cell r="O483">
            <v>2</v>
          </cell>
        </row>
        <row r="484">
          <cell r="O484">
            <v>20</v>
          </cell>
        </row>
        <row r="485">
          <cell r="O485">
            <v>-8</v>
          </cell>
        </row>
        <row r="486">
          <cell r="O486">
            <v>-1</v>
          </cell>
        </row>
        <row r="487">
          <cell r="O487">
            <v>0</v>
          </cell>
        </row>
        <row r="488">
          <cell r="O488">
            <v>0</v>
          </cell>
        </row>
        <row r="489">
          <cell r="O489">
            <v>-4</v>
          </cell>
        </row>
        <row r="490">
          <cell r="O490">
            <v>0</v>
          </cell>
        </row>
        <row r="491">
          <cell r="O491">
            <v>-10</v>
          </cell>
        </row>
        <row r="492">
          <cell r="O492">
            <v>0</v>
          </cell>
        </row>
        <row r="493">
          <cell r="O493">
            <v>11</v>
          </cell>
        </row>
        <row r="494">
          <cell r="O494">
            <v>-7</v>
          </cell>
        </row>
        <row r="495">
          <cell r="O495">
            <v>0</v>
          </cell>
        </row>
        <row r="496">
          <cell r="O496">
            <v>-4</v>
          </cell>
        </row>
        <row r="497">
          <cell r="O497">
            <v>0</v>
          </cell>
        </row>
        <row r="498">
          <cell r="O498">
            <v>0</v>
          </cell>
        </row>
        <row r="499">
          <cell r="O499">
            <v>0</v>
          </cell>
        </row>
        <row r="500">
          <cell r="O500">
            <v>-1</v>
          </cell>
        </row>
        <row r="501">
          <cell r="O501">
            <v>0</v>
          </cell>
        </row>
        <row r="502">
          <cell r="O502">
            <v>0</v>
          </cell>
        </row>
        <row r="503">
          <cell r="O503">
            <v>-10</v>
          </cell>
        </row>
        <row r="504">
          <cell r="O504">
            <v>-4</v>
          </cell>
        </row>
        <row r="505">
          <cell r="O505">
            <v>-4</v>
          </cell>
        </row>
        <row r="506">
          <cell r="O506">
            <v>0</v>
          </cell>
        </row>
        <row r="507">
          <cell r="O507">
            <v>0</v>
          </cell>
        </row>
        <row r="508">
          <cell r="O508">
            <v>2</v>
          </cell>
        </row>
        <row r="509">
          <cell r="O509">
            <v>-6</v>
          </cell>
        </row>
        <row r="510">
          <cell r="O510">
            <v>-5</v>
          </cell>
        </row>
        <row r="511">
          <cell r="O511">
            <v>-1</v>
          </cell>
        </row>
        <row r="512">
          <cell r="O512">
            <v>11</v>
          </cell>
        </row>
        <row r="513">
          <cell r="O513">
            <v>4</v>
          </cell>
        </row>
        <row r="514">
          <cell r="O514">
            <v>0</v>
          </cell>
        </row>
        <row r="515">
          <cell r="O515">
            <v>0</v>
          </cell>
        </row>
        <row r="516">
          <cell r="O516">
            <v>0</v>
          </cell>
        </row>
        <row r="517">
          <cell r="O517">
            <v>3</v>
          </cell>
        </row>
        <row r="518">
          <cell r="O518">
            <v>-2</v>
          </cell>
        </row>
        <row r="519">
          <cell r="O519">
            <v>-2</v>
          </cell>
        </row>
        <row r="520">
          <cell r="O520">
            <v>0</v>
          </cell>
        </row>
        <row r="521">
          <cell r="O521">
            <v>2</v>
          </cell>
        </row>
        <row r="522">
          <cell r="O522">
            <v>0</v>
          </cell>
        </row>
        <row r="523">
          <cell r="O523">
            <v>7</v>
          </cell>
        </row>
        <row r="524">
          <cell r="O524">
            <v>44.5</v>
          </cell>
        </row>
        <row r="525">
          <cell r="O525">
            <v>0</v>
          </cell>
        </row>
        <row r="526">
          <cell r="O526">
            <v>-7</v>
          </cell>
        </row>
        <row r="527">
          <cell r="O527">
            <v>-3</v>
          </cell>
        </row>
        <row r="528">
          <cell r="O528">
            <v>-2</v>
          </cell>
        </row>
        <row r="529">
          <cell r="O529">
            <v>-1</v>
          </cell>
        </row>
        <row r="530">
          <cell r="O530">
            <v>-5</v>
          </cell>
        </row>
        <row r="531">
          <cell r="O531">
            <v>0</v>
          </cell>
        </row>
        <row r="532">
          <cell r="O532">
            <v>0</v>
          </cell>
        </row>
        <row r="533">
          <cell r="O533">
            <v>1</v>
          </cell>
        </row>
        <row r="534">
          <cell r="O534">
            <v>-8</v>
          </cell>
        </row>
        <row r="535">
          <cell r="O535">
            <v>-6</v>
          </cell>
        </row>
        <row r="536">
          <cell r="O536">
            <v>0</v>
          </cell>
        </row>
        <row r="537">
          <cell r="O537">
            <v>-2</v>
          </cell>
        </row>
        <row r="538">
          <cell r="O538">
            <v>-1</v>
          </cell>
        </row>
        <row r="539">
          <cell r="O539">
            <v>2</v>
          </cell>
        </row>
        <row r="540">
          <cell r="O540">
            <v>0</v>
          </cell>
        </row>
        <row r="541">
          <cell r="O541">
            <v>2</v>
          </cell>
        </row>
        <row r="542">
          <cell r="O542">
            <v>-1</v>
          </cell>
        </row>
        <row r="543">
          <cell r="O543">
            <v>-3</v>
          </cell>
        </row>
        <row r="544">
          <cell r="O544">
            <v>0</v>
          </cell>
        </row>
        <row r="545">
          <cell r="O545">
            <v>2</v>
          </cell>
        </row>
        <row r="546">
          <cell r="O546">
            <v>25</v>
          </cell>
        </row>
        <row r="547">
          <cell r="O547">
            <v>-2</v>
          </cell>
        </row>
        <row r="548">
          <cell r="O548">
            <v>1</v>
          </cell>
        </row>
        <row r="549">
          <cell r="O549">
            <v>-3</v>
          </cell>
        </row>
        <row r="550">
          <cell r="O550">
            <v>1</v>
          </cell>
        </row>
        <row r="551">
          <cell r="O551">
            <v>0</v>
          </cell>
        </row>
        <row r="552">
          <cell r="O552">
            <v>-2</v>
          </cell>
        </row>
        <row r="553">
          <cell r="O553">
            <v>1</v>
          </cell>
        </row>
        <row r="554">
          <cell r="O554">
            <v>-1</v>
          </cell>
        </row>
        <row r="555">
          <cell r="O555">
            <v>0</v>
          </cell>
        </row>
        <row r="556">
          <cell r="O556">
            <v>-2</v>
          </cell>
        </row>
        <row r="557">
          <cell r="O557">
            <v>-1</v>
          </cell>
        </row>
        <row r="558">
          <cell r="O558">
            <v>0</v>
          </cell>
        </row>
        <row r="559">
          <cell r="O559">
            <v>2</v>
          </cell>
        </row>
        <row r="560">
          <cell r="O560">
            <v>8</v>
          </cell>
        </row>
        <row r="561">
          <cell r="O561">
            <v>0</v>
          </cell>
        </row>
        <row r="562">
          <cell r="O562">
            <v>0</v>
          </cell>
        </row>
        <row r="563">
          <cell r="O563">
            <v>0</v>
          </cell>
        </row>
        <row r="564">
          <cell r="O564">
            <v>3</v>
          </cell>
        </row>
        <row r="565">
          <cell r="O565">
            <v>2</v>
          </cell>
        </row>
        <row r="566">
          <cell r="O566">
            <v>0</v>
          </cell>
        </row>
        <row r="567">
          <cell r="O567">
            <v>102</v>
          </cell>
        </row>
        <row r="568">
          <cell r="O568">
            <v>0</v>
          </cell>
        </row>
        <row r="569">
          <cell r="O569">
            <v>9</v>
          </cell>
        </row>
        <row r="570">
          <cell r="O570">
            <v>0</v>
          </cell>
        </row>
        <row r="571">
          <cell r="O571">
            <v>0</v>
          </cell>
        </row>
        <row r="572">
          <cell r="O572">
            <v>2</v>
          </cell>
        </row>
        <row r="573">
          <cell r="O573">
            <v>-8</v>
          </cell>
        </row>
        <row r="574">
          <cell r="O574">
            <v>0</v>
          </cell>
        </row>
        <row r="575">
          <cell r="O575">
            <v>0</v>
          </cell>
        </row>
        <row r="576">
          <cell r="O576">
            <v>0</v>
          </cell>
        </row>
        <row r="577">
          <cell r="O577">
            <v>0</v>
          </cell>
        </row>
        <row r="578">
          <cell r="O578">
            <v>-9</v>
          </cell>
        </row>
        <row r="579">
          <cell r="O579">
            <v>-59.400000000000006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.бр."/>
      <sheetName val="пояснительная"/>
      <sheetName val="доб"/>
      <sheetName val="изм.по бриг."/>
      <sheetName val="изм"/>
      <sheetName val="01-изм"/>
      <sheetName val="Расчет-01-02"/>
      <sheetName val="Лист1"/>
      <sheetName val="реж_бр_"/>
      <sheetName val="изм_по_бриг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O7" t="str">
            <v>м3/с</v>
          </cell>
        </row>
        <row r="9">
          <cell r="O9">
            <v>-1</v>
          </cell>
        </row>
        <row r="10">
          <cell r="O10">
            <v>3</v>
          </cell>
        </row>
        <row r="11">
          <cell r="O11">
            <v>-2</v>
          </cell>
        </row>
        <row r="12">
          <cell r="O12">
            <v>0</v>
          </cell>
        </row>
        <row r="13">
          <cell r="O13">
            <v>-1</v>
          </cell>
        </row>
        <row r="14">
          <cell r="O14">
            <v>-16</v>
          </cell>
        </row>
        <row r="15">
          <cell r="O15">
            <v>-4</v>
          </cell>
        </row>
        <row r="16">
          <cell r="O16">
            <v>0</v>
          </cell>
        </row>
        <row r="17">
          <cell r="O17">
            <v>0</v>
          </cell>
        </row>
        <row r="18">
          <cell r="O18">
            <v>-2</v>
          </cell>
        </row>
        <row r="19">
          <cell r="O19">
            <v>0</v>
          </cell>
        </row>
        <row r="20">
          <cell r="O20">
            <v>12</v>
          </cell>
        </row>
        <row r="21">
          <cell r="O21">
            <v>-3</v>
          </cell>
        </row>
        <row r="22">
          <cell r="O22">
            <v>-5</v>
          </cell>
        </row>
        <row r="23">
          <cell r="O23">
            <v>-3</v>
          </cell>
        </row>
        <row r="24">
          <cell r="O24">
            <v>-17</v>
          </cell>
        </row>
        <row r="25">
          <cell r="O25">
            <v>-4</v>
          </cell>
        </row>
        <row r="26">
          <cell r="O26">
            <v>-1</v>
          </cell>
        </row>
        <row r="27">
          <cell r="O27">
            <v>-2</v>
          </cell>
        </row>
        <row r="28">
          <cell r="O28">
            <v>2</v>
          </cell>
        </row>
        <row r="29">
          <cell r="O29">
            <v>0</v>
          </cell>
        </row>
        <row r="30">
          <cell r="O30">
            <v>-8</v>
          </cell>
        </row>
        <row r="31">
          <cell r="O31">
            <v>-2</v>
          </cell>
        </row>
        <row r="32">
          <cell r="O32">
            <v>5</v>
          </cell>
        </row>
        <row r="33">
          <cell r="O33">
            <v>-2</v>
          </cell>
        </row>
        <row r="34">
          <cell r="O34">
            <v>2</v>
          </cell>
        </row>
        <row r="35">
          <cell r="O35">
            <v>3</v>
          </cell>
        </row>
        <row r="36">
          <cell r="O36">
            <v>-10</v>
          </cell>
        </row>
        <row r="37">
          <cell r="O37">
            <v>-7</v>
          </cell>
        </row>
        <row r="38">
          <cell r="O38">
            <v>2</v>
          </cell>
        </row>
        <row r="39">
          <cell r="O39">
            <v>-2</v>
          </cell>
        </row>
        <row r="40">
          <cell r="O40">
            <v>0</v>
          </cell>
        </row>
        <row r="41">
          <cell r="O41">
            <v>0</v>
          </cell>
        </row>
        <row r="42">
          <cell r="O42">
            <v>0</v>
          </cell>
        </row>
        <row r="43">
          <cell r="O43">
            <v>-5</v>
          </cell>
        </row>
        <row r="44">
          <cell r="O44">
            <v>0</v>
          </cell>
        </row>
        <row r="45">
          <cell r="O45">
            <v>9</v>
          </cell>
        </row>
        <row r="46">
          <cell r="O46">
            <v>-3</v>
          </cell>
        </row>
        <row r="47">
          <cell r="O47">
            <v>0</v>
          </cell>
        </row>
        <row r="48">
          <cell r="O48">
            <v>-2</v>
          </cell>
        </row>
        <row r="49">
          <cell r="O49">
            <v>-15</v>
          </cell>
        </row>
        <row r="50">
          <cell r="O50">
            <v>5</v>
          </cell>
        </row>
        <row r="51">
          <cell r="O51">
            <v>-3</v>
          </cell>
        </row>
        <row r="52">
          <cell r="O52">
            <v>1</v>
          </cell>
        </row>
        <row r="53">
          <cell r="O53">
            <v>-6</v>
          </cell>
        </row>
        <row r="54">
          <cell r="O54">
            <v>-4</v>
          </cell>
        </row>
        <row r="55">
          <cell r="O55">
            <v>-10</v>
          </cell>
        </row>
        <row r="56">
          <cell r="O56">
            <v>-5</v>
          </cell>
        </row>
        <row r="57">
          <cell r="O57">
            <v>19</v>
          </cell>
        </row>
        <row r="58">
          <cell r="O58">
            <v>0</v>
          </cell>
        </row>
        <row r="59">
          <cell r="O59">
            <v>0</v>
          </cell>
        </row>
        <row r="60">
          <cell r="O60">
            <v>0</v>
          </cell>
        </row>
        <row r="61">
          <cell r="O61">
            <v>0</v>
          </cell>
        </row>
        <row r="62">
          <cell r="O62">
            <v>7</v>
          </cell>
        </row>
        <row r="63">
          <cell r="O63">
            <v>-1</v>
          </cell>
        </row>
        <row r="64">
          <cell r="O64">
            <v>-3</v>
          </cell>
        </row>
        <row r="65">
          <cell r="O65">
            <v>-6</v>
          </cell>
        </row>
        <row r="66">
          <cell r="O66">
            <v>4</v>
          </cell>
        </row>
        <row r="67">
          <cell r="O67">
            <v>-2</v>
          </cell>
        </row>
        <row r="68">
          <cell r="O68">
            <v>8</v>
          </cell>
        </row>
        <row r="69">
          <cell r="O69">
            <v>3</v>
          </cell>
        </row>
        <row r="70">
          <cell r="O70">
            <v>1</v>
          </cell>
        </row>
        <row r="71">
          <cell r="O71">
            <v>0</v>
          </cell>
        </row>
        <row r="72">
          <cell r="O72">
            <v>0</v>
          </cell>
        </row>
        <row r="73">
          <cell r="O73">
            <v>-3</v>
          </cell>
        </row>
        <row r="74">
          <cell r="O74">
            <v>0</v>
          </cell>
        </row>
        <row r="75">
          <cell r="O75">
            <v>0</v>
          </cell>
        </row>
        <row r="76">
          <cell r="O76">
            <v>-1</v>
          </cell>
        </row>
        <row r="77">
          <cell r="O77">
            <v>-2</v>
          </cell>
        </row>
        <row r="78">
          <cell r="O78">
            <v>-2</v>
          </cell>
        </row>
        <row r="79">
          <cell r="O79">
            <v>-6</v>
          </cell>
        </row>
        <row r="80">
          <cell r="O80">
            <v>0</v>
          </cell>
        </row>
        <row r="81">
          <cell r="O81">
            <v>0</v>
          </cell>
        </row>
        <row r="82">
          <cell r="O82">
            <v>1</v>
          </cell>
        </row>
        <row r="83">
          <cell r="O83">
            <v>-3</v>
          </cell>
        </row>
        <row r="84">
          <cell r="O84">
            <v>-5</v>
          </cell>
        </row>
        <row r="85">
          <cell r="O85">
            <v>0</v>
          </cell>
        </row>
        <row r="86">
          <cell r="O86">
            <v>0</v>
          </cell>
        </row>
        <row r="87">
          <cell r="O87">
            <v>-1</v>
          </cell>
        </row>
        <row r="88">
          <cell r="O88">
            <v>-5</v>
          </cell>
        </row>
        <row r="89">
          <cell r="O89">
            <v>-17</v>
          </cell>
        </row>
        <row r="90">
          <cell r="O90">
            <v>-1</v>
          </cell>
        </row>
        <row r="91">
          <cell r="O91">
            <v>-1</v>
          </cell>
        </row>
        <row r="92">
          <cell r="O92">
            <v>-1</v>
          </cell>
        </row>
        <row r="93">
          <cell r="O93">
            <v>0</v>
          </cell>
        </row>
        <row r="94">
          <cell r="O94">
            <v>4</v>
          </cell>
        </row>
        <row r="95">
          <cell r="O95">
            <v>-2</v>
          </cell>
        </row>
        <row r="96">
          <cell r="O96">
            <v>7</v>
          </cell>
        </row>
        <row r="97">
          <cell r="O97">
            <v>-3</v>
          </cell>
        </row>
        <row r="98">
          <cell r="O98">
            <v>-4</v>
          </cell>
        </row>
        <row r="99">
          <cell r="O99">
            <v>-5</v>
          </cell>
        </row>
        <row r="100">
          <cell r="O100">
            <v>26</v>
          </cell>
        </row>
        <row r="101">
          <cell r="O101">
            <v>0</v>
          </cell>
        </row>
        <row r="102">
          <cell r="O102">
            <v>0</v>
          </cell>
        </row>
        <row r="103">
          <cell r="O103">
            <v>-1</v>
          </cell>
        </row>
        <row r="104">
          <cell r="O104">
            <v>-4</v>
          </cell>
        </row>
        <row r="105">
          <cell r="O105">
            <v>0</v>
          </cell>
        </row>
        <row r="106">
          <cell r="O106">
            <v>-1</v>
          </cell>
        </row>
        <row r="107">
          <cell r="O107">
            <v>1</v>
          </cell>
        </row>
        <row r="108">
          <cell r="O108">
            <v>-5</v>
          </cell>
        </row>
        <row r="109">
          <cell r="O109">
            <v>-8</v>
          </cell>
        </row>
        <row r="110">
          <cell r="O110">
            <v>8</v>
          </cell>
        </row>
        <row r="111">
          <cell r="O111">
            <v>0</v>
          </cell>
        </row>
        <row r="112">
          <cell r="O112">
            <v>2</v>
          </cell>
        </row>
        <row r="113">
          <cell r="O113">
            <v>17</v>
          </cell>
        </row>
        <row r="114">
          <cell r="O114">
            <v>-4</v>
          </cell>
        </row>
        <row r="115">
          <cell r="O115">
            <v>0</v>
          </cell>
        </row>
        <row r="116">
          <cell r="O116">
            <v>0</v>
          </cell>
        </row>
        <row r="117">
          <cell r="O117">
            <v>-2</v>
          </cell>
        </row>
        <row r="118">
          <cell r="O118">
            <v>-4</v>
          </cell>
        </row>
        <row r="119">
          <cell r="O119">
            <v>-5</v>
          </cell>
        </row>
        <row r="120">
          <cell r="O120">
            <v>-2</v>
          </cell>
        </row>
        <row r="121">
          <cell r="O121">
            <v>0</v>
          </cell>
        </row>
        <row r="122">
          <cell r="O122">
            <v>0</v>
          </cell>
        </row>
        <row r="123">
          <cell r="O123">
            <v>0</v>
          </cell>
        </row>
        <row r="124">
          <cell r="O124">
            <v>-4</v>
          </cell>
        </row>
        <row r="125">
          <cell r="O125">
            <v>0</v>
          </cell>
        </row>
        <row r="126">
          <cell r="O126">
            <v>0</v>
          </cell>
        </row>
        <row r="127">
          <cell r="O127">
            <v>-7</v>
          </cell>
        </row>
        <row r="128">
          <cell r="O128">
            <v>-4</v>
          </cell>
        </row>
        <row r="129">
          <cell r="O129">
            <v>-1</v>
          </cell>
        </row>
        <row r="130">
          <cell r="O130">
            <v>0</v>
          </cell>
        </row>
        <row r="131">
          <cell r="O131">
            <v>-2</v>
          </cell>
        </row>
        <row r="132">
          <cell r="O132">
            <v>0</v>
          </cell>
        </row>
        <row r="133">
          <cell r="O133">
            <v>0</v>
          </cell>
        </row>
        <row r="134">
          <cell r="O134">
            <v>16</v>
          </cell>
        </row>
        <row r="135">
          <cell r="O135">
            <v>-2</v>
          </cell>
        </row>
        <row r="136">
          <cell r="O136">
            <v>8</v>
          </cell>
        </row>
        <row r="137">
          <cell r="O137">
            <v>-2</v>
          </cell>
        </row>
        <row r="138">
          <cell r="O138">
            <v>0</v>
          </cell>
        </row>
        <row r="139">
          <cell r="O139">
            <v>0</v>
          </cell>
        </row>
        <row r="140">
          <cell r="O140">
            <v>-5</v>
          </cell>
        </row>
        <row r="141">
          <cell r="O141">
            <v>0</v>
          </cell>
        </row>
        <row r="142">
          <cell r="O142">
            <v>0</v>
          </cell>
        </row>
        <row r="143">
          <cell r="O143">
            <v>-4</v>
          </cell>
        </row>
        <row r="144">
          <cell r="O144">
            <v>-2</v>
          </cell>
        </row>
        <row r="145">
          <cell r="O145">
            <v>2</v>
          </cell>
        </row>
        <row r="146">
          <cell r="O146">
            <v>8</v>
          </cell>
        </row>
        <row r="147">
          <cell r="O147">
            <v>-7</v>
          </cell>
        </row>
        <row r="148">
          <cell r="O148">
            <v>2</v>
          </cell>
        </row>
        <row r="149">
          <cell r="O149">
            <v>-3</v>
          </cell>
        </row>
        <row r="150">
          <cell r="O150">
            <v>-1</v>
          </cell>
        </row>
        <row r="151">
          <cell r="O151">
            <v>3</v>
          </cell>
        </row>
        <row r="152">
          <cell r="O152">
            <v>2</v>
          </cell>
        </row>
        <row r="153">
          <cell r="O153">
            <v>0</v>
          </cell>
        </row>
        <row r="154">
          <cell r="O154">
            <v>4</v>
          </cell>
        </row>
        <row r="155">
          <cell r="O155">
            <v>0</v>
          </cell>
        </row>
        <row r="156">
          <cell r="O156">
            <v>0</v>
          </cell>
        </row>
        <row r="157">
          <cell r="O157">
            <v>6</v>
          </cell>
        </row>
        <row r="158">
          <cell r="O158">
            <v>-2</v>
          </cell>
        </row>
        <row r="159">
          <cell r="O159">
            <v>0</v>
          </cell>
        </row>
        <row r="160">
          <cell r="O160">
            <v>0</v>
          </cell>
        </row>
        <row r="161">
          <cell r="O161">
            <v>-3</v>
          </cell>
        </row>
        <row r="162">
          <cell r="O162">
            <v>3</v>
          </cell>
        </row>
        <row r="163">
          <cell r="O163">
            <v>0</v>
          </cell>
        </row>
        <row r="164">
          <cell r="O164">
            <v>3</v>
          </cell>
        </row>
        <row r="165">
          <cell r="O165">
            <v>-5</v>
          </cell>
        </row>
        <row r="166">
          <cell r="O166">
            <v>-6</v>
          </cell>
        </row>
        <row r="167">
          <cell r="O167">
            <v>-5</v>
          </cell>
        </row>
        <row r="168">
          <cell r="O168">
            <v>0</v>
          </cell>
        </row>
        <row r="169">
          <cell r="O169">
            <v>0</v>
          </cell>
        </row>
        <row r="170">
          <cell r="O170">
            <v>0</v>
          </cell>
        </row>
        <row r="171">
          <cell r="O171">
            <v>0</v>
          </cell>
        </row>
        <row r="172">
          <cell r="O172">
            <v>4</v>
          </cell>
        </row>
        <row r="173">
          <cell r="O173">
            <v>-2</v>
          </cell>
        </row>
        <row r="174">
          <cell r="O174">
            <v>-5</v>
          </cell>
        </row>
        <row r="175">
          <cell r="O175">
            <v>-2</v>
          </cell>
        </row>
        <row r="176">
          <cell r="O176">
            <v>4</v>
          </cell>
        </row>
        <row r="177">
          <cell r="O177">
            <v>10</v>
          </cell>
        </row>
        <row r="178">
          <cell r="O178">
            <v>-2</v>
          </cell>
        </row>
        <row r="179">
          <cell r="O179">
            <v>0</v>
          </cell>
        </row>
        <row r="180">
          <cell r="O180">
            <v>7</v>
          </cell>
        </row>
        <row r="181">
          <cell r="O181">
            <v>0</v>
          </cell>
        </row>
        <row r="182">
          <cell r="O182">
            <v>2</v>
          </cell>
        </row>
        <row r="183">
          <cell r="O183">
            <v>2</v>
          </cell>
        </row>
        <row r="184">
          <cell r="O184">
            <v>-0.5</v>
          </cell>
        </row>
        <row r="185">
          <cell r="O185">
            <v>0</v>
          </cell>
        </row>
        <row r="186">
          <cell r="O186">
            <v>-6</v>
          </cell>
        </row>
        <row r="187">
          <cell r="O187">
            <v>-1</v>
          </cell>
        </row>
        <row r="188">
          <cell r="O188">
            <v>-10</v>
          </cell>
        </row>
        <row r="189">
          <cell r="O189">
            <v>0</v>
          </cell>
        </row>
        <row r="190">
          <cell r="O190">
            <v>0</v>
          </cell>
        </row>
        <row r="191">
          <cell r="O191">
            <v>6</v>
          </cell>
        </row>
        <row r="192">
          <cell r="O192">
            <v>-1</v>
          </cell>
        </row>
        <row r="193">
          <cell r="O193">
            <v>0</v>
          </cell>
        </row>
        <row r="194">
          <cell r="O194">
            <v>0</v>
          </cell>
        </row>
        <row r="195">
          <cell r="O195">
            <v>0</v>
          </cell>
        </row>
        <row r="196">
          <cell r="O196">
            <v>-15</v>
          </cell>
        </row>
        <row r="197">
          <cell r="O197">
            <v>1</v>
          </cell>
        </row>
        <row r="198">
          <cell r="O198">
            <v>-11</v>
          </cell>
        </row>
        <row r="199">
          <cell r="O199">
            <v>-1</v>
          </cell>
        </row>
        <row r="200">
          <cell r="O200">
            <v>9</v>
          </cell>
        </row>
        <row r="201">
          <cell r="O201">
            <v>-2</v>
          </cell>
        </row>
        <row r="202">
          <cell r="O202">
            <v>1</v>
          </cell>
        </row>
        <row r="203">
          <cell r="O203">
            <v>0</v>
          </cell>
        </row>
        <row r="204">
          <cell r="O204">
            <v>-15</v>
          </cell>
        </row>
        <row r="205">
          <cell r="O205">
            <v>0</v>
          </cell>
        </row>
        <row r="206">
          <cell r="O206">
            <v>6</v>
          </cell>
        </row>
        <row r="207">
          <cell r="O207">
            <v>-1</v>
          </cell>
        </row>
        <row r="208">
          <cell r="O208">
            <v>0</v>
          </cell>
        </row>
        <row r="209">
          <cell r="O209">
            <v>-3</v>
          </cell>
        </row>
        <row r="210">
          <cell r="O210">
            <v>0</v>
          </cell>
        </row>
        <row r="211">
          <cell r="O211">
            <v>-1</v>
          </cell>
        </row>
        <row r="212">
          <cell r="O212">
            <v>0</v>
          </cell>
        </row>
        <row r="213">
          <cell r="O213">
            <v>-4</v>
          </cell>
        </row>
        <row r="214">
          <cell r="O214">
            <v>4</v>
          </cell>
        </row>
        <row r="215">
          <cell r="O215">
            <v>0</v>
          </cell>
        </row>
        <row r="216">
          <cell r="O216">
            <v>3</v>
          </cell>
        </row>
        <row r="217">
          <cell r="O217">
            <v>3</v>
          </cell>
        </row>
        <row r="218">
          <cell r="O218">
            <v>0</v>
          </cell>
        </row>
        <row r="219">
          <cell r="O219">
            <v>1</v>
          </cell>
        </row>
        <row r="220">
          <cell r="O220">
            <v>-2</v>
          </cell>
        </row>
        <row r="221">
          <cell r="O221">
            <v>0</v>
          </cell>
        </row>
        <row r="222">
          <cell r="O222">
            <v>-14</v>
          </cell>
        </row>
        <row r="223">
          <cell r="O223">
            <v>-3</v>
          </cell>
        </row>
        <row r="224">
          <cell r="O224">
            <v>0</v>
          </cell>
        </row>
        <row r="225">
          <cell r="O225">
            <v>-11</v>
          </cell>
        </row>
        <row r="226">
          <cell r="O226">
            <v>11</v>
          </cell>
        </row>
        <row r="227">
          <cell r="O227">
            <v>0</v>
          </cell>
        </row>
        <row r="228">
          <cell r="O228">
            <v>0</v>
          </cell>
        </row>
        <row r="229">
          <cell r="O229">
            <v>0</v>
          </cell>
        </row>
        <row r="230">
          <cell r="O230">
            <v>4</v>
          </cell>
        </row>
        <row r="231">
          <cell r="O231">
            <v>0</v>
          </cell>
        </row>
        <row r="232">
          <cell r="O232">
            <v>-8</v>
          </cell>
        </row>
        <row r="233">
          <cell r="O233">
            <v>-1</v>
          </cell>
        </row>
        <row r="234">
          <cell r="O234">
            <v>0</v>
          </cell>
        </row>
        <row r="235">
          <cell r="O235">
            <v>2</v>
          </cell>
        </row>
        <row r="236">
          <cell r="O236">
            <v>0</v>
          </cell>
        </row>
        <row r="237">
          <cell r="O237">
            <v>0</v>
          </cell>
        </row>
        <row r="238">
          <cell r="O238">
            <v>0</v>
          </cell>
        </row>
        <row r="239">
          <cell r="O239">
            <v>0</v>
          </cell>
        </row>
        <row r="240">
          <cell r="O240">
            <v>0</v>
          </cell>
        </row>
        <row r="241">
          <cell r="O241">
            <v>0</v>
          </cell>
        </row>
        <row r="242">
          <cell r="O242">
            <v>15</v>
          </cell>
        </row>
        <row r="243">
          <cell r="O243">
            <v>-4</v>
          </cell>
        </row>
        <row r="244">
          <cell r="O244">
            <v>0</v>
          </cell>
        </row>
        <row r="245">
          <cell r="O245">
            <v>4</v>
          </cell>
        </row>
        <row r="246">
          <cell r="O246">
            <v>0</v>
          </cell>
        </row>
        <row r="247">
          <cell r="O247">
            <v>9</v>
          </cell>
        </row>
        <row r="248">
          <cell r="O248">
            <v>0</v>
          </cell>
        </row>
        <row r="249">
          <cell r="O249">
            <v>0</v>
          </cell>
        </row>
        <row r="250">
          <cell r="O250">
            <v>0</v>
          </cell>
        </row>
        <row r="251">
          <cell r="O251">
            <v>-14</v>
          </cell>
        </row>
        <row r="252">
          <cell r="O252">
            <v>-9</v>
          </cell>
        </row>
        <row r="253">
          <cell r="O253">
            <v>1</v>
          </cell>
        </row>
        <row r="254">
          <cell r="O254">
            <v>0</v>
          </cell>
        </row>
        <row r="255">
          <cell r="O255">
            <v>-1</v>
          </cell>
        </row>
        <row r="256">
          <cell r="O256">
            <v>0</v>
          </cell>
        </row>
        <row r="257">
          <cell r="O257">
            <v>0</v>
          </cell>
        </row>
        <row r="258">
          <cell r="O258">
            <v>-9</v>
          </cell>
        </row>
        <row r="259">
          <cell r="O259">
            <v>0</v>
          </cell>
        </row>
        <row r="260">
          <cell r="O260">
            <v>0</v>
          </cell>
        </row>
        <row r="261">
          <cell r="O261">
            <v>0</v>
          </cell>
        </row>
        <row r="262">
          <cell r="O262">
            <v>0</v>
          </cell>
        </row>
        <row r="263">
          <cell r="O263">
            <v>-10</v>
          </cell>
        </row>
        <row r="264">
          <cell r="O264">
            <v>0</v>
          </cell>
        </row>
        <row r="265">
          <cell r="O265">
            <v>0</v>
          </cell>
        </row>
        <row r="266">
          <cell r="O266">
            <v>0</v>
          </cell>
        </row>
        <row r="267">
          <cell r="O267">
            <v>4</v>
          </cell>
        </row>
        <row r="268">
          <cell r="O268">
            <v>3</v>
          </cell>
        </row>
        <row r="269">
          <cell r="O269">
            <v>6</v>
          </cell>
        </row>
        <row r="270">
          <cell r="O270">
            <v>-4</v>
          </cell>
        </row>
        <row r="271">
          <cell r="O271">
            <v>0</v>
          </cell>
        </row>
        <row r="272">
          <cell r="O272">
            <v>7</v>
          </cell>
        </row>
        <row r="273">
          <cell r="O273">
            <v>2</v>
          </cell>
        </row>
        <row r="274">
          <cell r="O274">
            <v>-6</v>
          </cell>
        </row>
        <row r="275">
          <cell r="O275">
            <v>-1</v>
          </cell>
        </row>
        <row r="276">
          <cell r="O276">
            <v>0</v>
          </cell>
        </row>
        <row r="277">
          <cell r="O277">
            <v>1</v>
          </cell>
        </row>
        <row r="278">
          <cell r="O278">
            <v>13</v>
          </cell>
        </row>
        <row r="279">
          <cell r="O279">
            <v>-2</v>
          </cell>
        </row>
        <row r="280">
          <cell r="O280">
            <v>0</v>
          </cell>
        </row>
        <row r="281">
          <cell r="O281">
            <v>0</v>
          </cell>
        </row>
        <row r="282">
          <cell r="O282">
            <v>-1</v>
          </cell>
        </row>
        <row r="283">
          <cell r="O283">
            <v>1</v>
          </cell>
        </row>
        <row r="284">
          <cell r="O284">
            <v>-11</v>
          </cell>
        </row>
        <row r="285">
          <cell r="O285">
            <v>-2</v>
          </cell>
        </row>
        <row r="286">
          <cell r="O286">
            <v>0</v>
          </cell>
        </row>
        <row r="287">
          <cell r="O287">
            <v>0</v>
          </cell>
        </row>
        <row r="288">
          <cell r="O288">
            <v>-2</v>
          </cell>
        </row>
        <row r="289">
          <cell r="O289">
            <v>2</v>
          </cell>
        </row>
        <row r="290">
          <cell r="O290">
            <v>16</v>
          </cell>
        </row>
        <row r="291">
          <cell r="O291">
            <v>0</v>
          </cell>
        </row>
        <row r="292">
          <cell r="O292">
            <v>0</v>
          </cell>
        </row>
        <row r="293">
          <cell r="O293">
            <v>0</v>
          </cell>
        </row>
        <row r="294">
          <cell r="O294">
            <v>-5</v>
          </cell>
        </row>
        <row r="295">
          <cell r="O295">
            <v>0</v>
          </cell>
        </row>
        <row r="296">
          <cell r="O296">
            <v>-1</v>
          </cell>
        </row>
        <row r="297">
          <cell r="O297">
            <v>-2</v>
          </cell>
        </row>
        <row r="298">
          <cell r="O298">
            <v>0</v>
          </cell>
        </row>
        <row r="299">
          <cell r="O299">
            <v>0</v>
          </cell>
        </row>
        <row r="300">
          <cell r="O300">
            <v>-8</v>
          </cell>
        </row>
        <row r="301">
          <cell r="O301">
            <v>-14</v>
          </cell>
        </row>
        <row r="302">
          <cell r="O302">
            <v>32</v>
          </cell>
        </row>
        <row r="303">
          <cell r="O303">
            <v>0</v>
          </cell>
        </row>
        <row r="304">
          <cell r="O304">
            <v>0</v>
          </cell>
        </row>
        <row r="305">
          <cell r="O305">
            <v>-2</v>
          </cell>
        </row>
        <row r="306">
          <cell r="O306">
            <v>-5</v>
          </cell>
        </row>
        <row r="307">
          <cell r="O307">
            <v>0</v>
          </cell>
        </row>
        <row r="308">
          <cell r="O308">
            <v>0</v>
          </cell>
        </row>
        <row r="309">
          <cell r="O309">
            <v>-2</v>
          </cell>
        </row>
        <row r="310">
          <cell r="O310">
            <v>0</v>
          </cell>
        </row>
        <row r="311">
          <cell r="O311">
            <v>-3</v>
          </cell>
        </row>
        <row r="312">
          <cell r="O312">
            <v>0</v>
          </cell>
        </row>
        <row r="313">
          <cell r="O313">
            <v>0</v>
          </cell>
        </row>
        <row r="314">
          <cell r="O314">
            <v>0</v>
          </cell>
        </row>
        <row r="315">
          <cell r="O315">
            <v>0</v>
          </cell>
        </row>
        <row r="316">
          <cell r="O316">
            <v>-2</v>
          </cell>
        </row>
        <row r="317">
          <cell r="O317">
            <v>-5</v>
          </cell>
        </row>
        <row r="318">
          <cell r="O318">
            <v>-2</v>
          </cell>
        </row>
        <row r="319">
          <cell r="O319">
            <v>5</v>
          </cell>
        </row>
        <row r="320">
          <cell r="O320">
            <v>0</v>
          </cell>
        </row>
        <row r="321">
          <cell r="O321">
            <v>9</v>
          </cell>
        </row>
        <row r="322">
          <cell r="O322">
            <v>0</v>
          </cell>
        </row>
        <row r="323">
          <cell r="O323">
            <v>1</v>
          </cell>
        </row>
        <row r="324">
          <cell r="O324">
            <v>0</v>
          </cell>
        </row>
        <row r="325">
          <cell r="O325">
            <v>0</v>
          </cell>
        </row>
        <row r="326">
          <cell r="O326">
            <v>-1</v>
          </cell>
        </row>
        <row r="327">
          <cell r="O327">
            <v>-2</v>
          </cell>
        </row>
        <row r="328">
          <cell r="O328">
            <v>3</v>
          </cell>
        </row>
        <row r="329">
          <cell r="O329">
            <v>0</v>
          </cell>
        </row>
        <row r="330">
          <cell r="O330">
            <v>0</v>
          </cell>
        </row>
        <row r="331">
          <cell r="O331">
            <v>0</v>
          </cell>
        </row>
        <row r="332">
          <cell r="O332">
            <v>0</v>
          </cell>
        </row>
        <row r="333">
          <cell r="O333">
            <v>0</v>
          </cell>
        </row>
        <row r="334">
          <cell r="O334">
            <v>-2</v>
          </cell>
        </row>
        <row r="335">
          <cell r="O335">
            <v>-2.8999999999999986</v>
          </cell>
        </row>
        <row r="336">
          <cell r="O336">
            <v>4</v>
          </cell>
        </row>
        <row r="337">
          <cell r="O337">
            <v>-2</v>
          </cell>
        </row>
        <row r="338">
          <cell r="O338">
            <v>1</v>
          </cell>
        </row>
        <row r="339">
          <cell r="O339">
            <v>-3</v>
          </cell>
        </row>
        <row r="340">
          <cell r="O340">
            <v>-1</v>
          </cell>
        </row>
        <row r="341">
          <cell r="O341">
            <v>0</v>
          </cell>
        </row>
        <row r="342">
          <cell r="O342">
            <v>-15</v>
          </cell>
        </row>
        <row r="343">
          <cell r="O343">
            <v>0</v>
          </cell>
        </row>
        <row r="344">
          <cell r="O344">
            <v>-2</v>
          </cell>
        </row>
        <row r="345">
          <cell r="O345">
            <v>0</v>
          </cell>
        </row>
        <row r="346">
          <cell r="O346">
            <v>0</v>
          </cell>
        </row>
        <row r="347">
          <cell r="O347">
            <v>5</v>
          </cell>
        </row>
        <row r="348">
          <cell r="O348">
            <v>-2</v>
          </cell>
        </row>
        <row r="349">
          <cell r="O349">
            <v>-1</v>
          </cell>
        </row>
        <row r="350">
          <cell r="O350">
            <v>0</v>
          </cell>
        </row>
        <row r="351">
          <cell r="O351">
            <v>-1</v>
          </cell>
        </row>
        <row r="352">
          <cell r="O352">
            <v>-3</v>
          </cell>
        </row>
        <row r="353">
          <cell r="O353">
            <v>0</v>
          </cell>
        </row>
        <row r="354">
          <cell r="O354">
            <v>0</v>
          </cell>
        </row>
        <row r="355">
          <cell r="O355">
            <v>23</v>
          </cell>
        </row>
        <row r="356">
          <cell r="O356">
            <v>11</v>
          </cell>
        </row>
        <row r="357">
          <cell r="O357">
            <v>0</v>
          </cell>
        </row>
        <row r="358">
          <cell r="O358">
            <v>0</v>
          </cell>
        </row>
        <row r="359">
          <cell r="O359">
            <v>-1</v>
          </cell>
        </row>
        <row r="360">
          <cell r="O360">
            <v>3</v>
          </cell>
        </row>
        <row r="361">
          <cell r="O361">
            <v>-2</v>
          </cell>
        </row>
        <row r="362">
          <cell r="O362">
            <v>0</v>
          </cell>
        </row>
        <row r="363">
          <cell r="O363">
            <v>1</v>
          </cell>
        </row>
        <row r="364">
          <cell r="O364">
            <v>-1</v>
          </cell>
        </row>
        <row r="365">
          <cell r="O365">
            <v>0</v>
          </cell>
        </row>
        <row r="366">
          <cell r="O366">
            <v>-19</v>
          </cell>
        </row>
        <row r="367">
          <cell r="O367">
            <v>2</v>
          </cell>
        </row>
        <row r="368">
          <cell r="O368">
            <v>5</v>
          </cell>
        </row>
        <row r="369">
          <cell r="O369">
            <v>-2</v>
          </cell>
        </row>
        <row r="370">
          <cell r="O370">
            <v>-6</v>
          </cell>
        </row>
        <row r="371">
          <cell r="O371">
            <v>1</v>
          </cell>
        </row>
        <row r="372">
          <cell r="O372">
            <v>-5</v>
          </cell>
        </row>
        <row r="373">
          <cell r="O373">
            <v>-2</v>
          </cell>
        </row>
        <row r="374">
          <cell r="O374">
            <v>-5</v>
          </cell>
        </row>
        <row r="375">
          <cell r="O375">
            <v>0</v>
          </cell>
        </row>
        <row r="376">
          <cell r="O376">
            <v>0</v>
          </cell>
        </row>
        <row r="377">
          <cell r="O377">
            <v>0</v>
          </cell>
        </row>
        <row r="378">
          <cell r="O378">
            <v>-4</v>
          </cell>
        </row>
        <row r="379">
          <cell r="O379">
            <v>-5</v>
          </cell>
        </row>
        <row r="380">
          <cell r="O380">
            <v>-4</v>
          </cell>
        </row>
        <row r="381">
          <cell r="O381">
            <v>9</v>
          </cell>
        </row>
        <row r="382">
          <cell r="O382">
            <v>0</v>
          </cell>
        </row>
        <row r="383">
          <cell r="O383">
            <v>-6</v>
          </cell>
        </row>
        <row r="384">
          <cell r="O384">
            <v>-1</v>
          </cell>
        </row>
        <row r="385">
          <cell r="O385">
            <v>-2</v>
          </cell>
        </row>
        <row r="386">
          <cell r="O386">
            <v>0</v>
          </cell>
        </row>
        <row r="387">
          <cell r="O387">
            <v>-2</v>
          </cell>
        </row>
        <row r="388">
          <cell r="O388">
            <v>-3</v>
          </cell>
        </row>
        <row r="389">
          <cell r="O389">
            <v>0</v>
          </cell>
        </row>
        <row r="390">
          <cell r="O390">
            <v>0</v>
          </cell>
        </row>
        <row r="391">
          <cell r="O391">
            <v>-1.5</v>
          </cell>
        </row>
        <row r="392">
          <cell r="O392">
            <v>-1</v>
          </cell>
        </row>
        <row r="393">
          <cell r="O393">
            <v>-4</v>
          </cell>
        </row>
        <row r="394">
          <cell r="O394">
            <v>0</v>
          </cell>
        </row>
        <row r="395">
          <cell r="O395">
            <v>0</v>
          </cell>
        </row>
        <row r="396">
          <cell r="O396">
            <v>-1</v>
          </cell>
        </row>
        <row r="397">
          <cell r="O397">
            <v>0</v>
          </cell>
        </row>
        <row r="398">
          <cell r="O398">
            <v>-1</v>
          </cell>
        </row>
        <row r="399">
          <cell r="O399">
            <v>-1</v>
          </cell>
        </row>
        <row r="400">
          <cell r="O400">
            <v>9</v>
          </cell>
        </row>
        <row r="401">
          <cell r="O401">
            <v>0</v>
          </cell>
        </row>
        <row r="402">
          <cell r="O402">
            <v>5</v>
          </cell>
        </row>
        <row r="403">
          <cell r="O403">
            <v>0</v>
          </cell>
        </row>
        <row r="404">
          <cell r="O404">
            <v>0</v>
          </cell>
        </row>
        <row r="405">
          <cell r="O405">
            <v>-2</v>
          </cell>
        </row>
        <row r="406">
          <cell r="O406">
            <v>0</v>
          </cell>
        </row>
        <row r="407">
          <cell r="O407">
            <v>0</v>
          </cell>
        </row>
        <row r="408">
          <cell r="O408">
            <v>-5</v>
          </cell>
        </row>
        <row r="409">
          <cell r="O409">
            <v>0</v>
          </cell>
        </row>
        <row r="410">
          <cell r="O410">
            <v>-1</v>
          </cell>
        </row>
        <row r="411">
          <cell r="O411">
            <v>0</v>
          </cell>
        </row>
        <row r="412">
          <cell r="O412">
            <v>0</v>
          </cell>
        </row>
        <row r="413">
          <cell r="O413">
            <v>-3</v>
          </cell>
        </row>
        <row r="414">
          <cell r="O414">
            <v>0</v>
          </cell>
        </row>
        <row r="415">
          <cell r="O415">
            <v>0</v>
          </cell>
        </row>
        <row r="416">
          <cell r="O416">
            <v>0</v>
          </cell>
        </row>
        <row r="417">
          <cell r="O417">
            <v>14</v>
          </cell>
        </row>
        <row r="418">
          <cell r="O418">
            <v>0</v>
          </cell>
        </row>
        <row r="419">
          <cell r="O419">
            <v>-3</v>
          </cell>
        </row>
        <row r="420">
          <cell r="O420">
            <v>3</v>
          </cell>
        </row>
        <row r="421">
          <cell r="O421">
            <v>-3</v>
          </cell>
        </row>
        <row r="422">
          <cell r="O422">
            <v>-3</v>
          </cell>
        </row>
        <row r="423">
          <cell r="O423">
            <v>0</v>
          </cell>
        </row>
        <row r="424">
          <cell r="O424">
            <v>-4</v>
          </cell>
        </row>
        <row r="425">
          <cell r="O425">
            <v>-4</v>
          </cell>
        </row>
        <row r="426">
          <cell r="O426">
            <v>-3</v>
          </cell>
        </row>
        <row r="427">
          <cell r="O427">
            <v>-1</v>
          </cell>
        </row>
        <row r="428">
          <cell r="O428">
            <v>-2</v>
          </cell>
        </row>
        <row r="429">
          <cell r="O429">
            <v>-6</v>
          </cell>
        </row>
        <row r="430">
          <cell r="O430">
            <v>0</v>
          </cell>
        </row>
        <row r="431">
          <cell r="O431">
            <v>-2</v>
          </cell>
        </row>
        <row r="432">
          <cell r="O432">
            <v>-6</v>
          </cell>
        </row>
        <row r="433">
          <cell r="O433">
            <v>15</v>
          </cell>
        </row>
        <row r="434">
          <cell r="O434">
            <v>0</v>
          </cell>
        </row>
        <row r="435">
          <cell r="O435">
            <v>0</v>
          </cell>
        </row>
        <row r="436">
          <cell r="O436">
            <v>-4</v>
          </cell>
        </row>
        <row r="437">
          <cell r="O437">
            <v>-5</v>
          </cell>
        </row>
        <row r="438">
          <cell r="O438">
            <v>0</v>
          </cell>
        </row>
        <row r="439">
          <cell r="O439">
            <v>0</v>
          </cell>
        </row>
        <row r="440">
          <cell r="O440">
            <v>0</v>
          </cell>
        </row>
        <row r="441">
          <cell r="O441">
            <v>-2</v>
          </cell>
        </row>
        <row r="442">
          <cell r="O442">
            <v>0</v>
          </cell>
        </row>
        <row r="443">
          <cell r="O443">
            <v>26</v>
          </cell>
        </row>
        <row r="444">
          <cell r="O444">
            <v>9</v>
          </cell>
        </row>
        <row r="445">
          <cell r="O445">
            <v>-3</v>
          </cell>
        </row>
        <row r="446">
          <cell r="O446">
            <v>0</v>
          </cell>
        </row>
        <row r="447">
          <cell r="O447">
            <v>-4</v>
          </cell>
        </row>
        <row r="448">
          <cell r="O448">
            <v>-1</v>
          </cell>
        </row>
        <row r="449">
          <cell r="O449">
            <v>1</v>
          </cell>
        </row>
        <row r="450">
          <cell r="O450">
            <v>1</v>
          </cell>
        </row>
        <row r="451">
          <cell r="O451">
            <v>0</v>
          </cell>
        </row>
        <row r="452">
          <cell r="O452">
            <v>-3</v>
          </cell>
        </row>
        <row r="453">
          <cell r="O453">
            <v>0</v>
          </cell>
        </row>
        <row r="454">
          <cell r="O454">
            <v>0</v>
          </cell>
        </row>
        <row r="455">
          <cell r="O455">
            <v>0</v>
          </cell>
        </row>
        <row r="456">
          <cell r="O456">
            <v>0</v>
          </cell>
        </row>
        <row r="457">
          <cell r="O457">
            <v>0</v>
          </cell>
        </row>
        <row r="458">
          <cell r="O458">
            <v>-1</v>
          </cell>
        </row>
        <row r="459">
          <cell r="O459">
            <v>-1</v>
          </cell>
        </row>
        <row r="460">
          <cell r="O460">
            <v>-1</v>
          </cell>
        </row>
        <row r="461">
          <cell r="O461">
            <v>0</v>
          </cell>
        </row>
        <row r="462">
          <cell r="O462">
            <v>0</v>
          </cell>
        </row>
        <row r="463">
          <cell r="O463">
            <v>-15</v>
          </cell>
        </row>
        <row r="464">
          <cell r="O464">
            <v>11</v>
          </cell>
        </row>
        <row r="465">
          <cell r="O465">
            <v>-9</v>
          </cell>
        </row>
        <row r="466">
          <cell r="O466">
            <v>0</v>
          </cell>
        </row>
        <row r="467">
          <cell r="O467">
            <v>-11</v>
          </cell>
        </row>
        <row r="468">
          <cell r="O468">
            <v>-1</v>
          </cell>
        </row>
        <row r="469">
          <cell r="O469">
            <v>0</v>
          </cell>
        </row>
        <row r="470">
          <cell r="O470">
            <v>1</v>
          </cell>
        </row>
        <row r="471">
          <cell r="O471">
            <v>0</v>
          </cell>
        </row>
        <row r="472">
          <cell r="O472">
            <v>0</v>
          </cell>
        </row>
        <row r="473">
          <cell r="O473">
            <v>0</v>
          </cell>
        </row>
        <row r="474">
          <cell r="O474">
            <v>-2</v>
          </cell>
        </row>
        <row r="475">
          <cell r="O475">
            <v>-3</v>
          </cell>
        </row>
        <row r="476">
          <cell r="O476">
            <v>1</v>
          </cell>
        </row>
        <row r="477">
          <cell r="O477">
            <v>-2</v>
          </cell>
        </row>
        <row r="478">
          <cell r="O478">
            <v>0</v>
          </cell>
        </row>
        <row r="479">
          <cell r="O479">
            <v>8</v>
          </cell>
        </row>
        <row r="480">
          <cell r="O480">
            <v>9</v>
          </cell>
        </row>
        <row r="481">
          <cell r="O481">
            <v>-5</v>
          </cell>
        </row>
        <row r="482">
          <cell r="O482">
            <v>13</v>
          </cell>
        </row>
        <row r="483">
          <cell r="O483">
            <v>2</v>
          </cell>
        </row>
        <row r="484">
          <cell r="O484">
            <v>20</v>
          </cell>
        </row>
        <row r="485">
          <cell r="O485">
            <v>-8</v>
          </cell>
        </row>
        <row r="486">
          <cell r="O486">
            <v>-1</v>
          </cell>
        </row>
        <row r="487">
          <cell r="O487">
            <v>0</v>
          </cell>
        </row>
        <row r="488">
          <cell r="O488">
            <v>0</v>
          </cell>
        </row>
        <row r="489">
          <cell r="O489">
            <v>-4</v>
          </cell>
        </row>
        <row r="490">
          <cell r="O490">
            <v>0</v>
          </cell>
        </row>
        <row r="491">
          <cell r="O491">
            <v>-10</v>
          </cell>
        </row>
        <row r="492">
          <cell r="O492">
            <v>0</v>
          </cell>
        </row>
        <row r="493">
          <cell r="O493">
            <v>11</v>
          </cell>
        </row>
        <row r="494">
          <cell r="O494">
            <v>-7</v>
          </cell>
        </row>
        <row r="495">
          <cell r="O495">
            <v>0</v>
          </cell>
        </row>
        <row r="496">
          <cell r="O496">
            <v>-4</v>
          </cell>
        </row>
        <row r="497">
          <cell r="O497">
            <v>0</v>
          </cell>
        </row>
        <row r="498">
          <cell r="O498">
            <v>0</v>
          </cell>
        </row>
        <row r="499">
          <cell r="O499">
            <v>0</v>
          </cell>
        </row>
        <row r="500">
          <cell r="O500">
            <v>-1</v>
          </cell>
        </row>
        <row r="501">
          <cell r="O501">
            <v>0</v>
          </cell>
        </row>
        <row r="502">
          <cell r="O502">
            <v>0</v>
          </cell>
        </row>
        <row r="503">
          <cell r="O503">
            <v>-10</v>
          </cell>
        </row>
        <row r="504">
          <cell r="O504">
            <v>-4</v>
          </cell>
        </row>
        <row r="505">
          <cell r="O505">
            <v>-4</v>
          </cell>
        </row>
        <row r="506">
          <cell r="O506">
            <v>0</v>
          </cell>
        </row>
        <row r="507">
          <cell r="O507">
            <v>0</v>
          </cell>
        </row>
        <row r="508">
          <cell r="O508">
            <v>2</v>
          </cell>
        </row>
        <row r="509">
          <cell r="O509">
            <v>-6</v>
          </cell>
        </row>
        <row r="510">
          <cell r="O510">
            <v>-5</v>
          </cell>
        </row>
        <row r="511">
          <cell r="O511">
            <v>-1</v>
          </cell>
        </row>
        <row r="512">
          <cell r="O512">
            <v>11</v>
          </cell>
        </row>
        <row r="513">
          <cell r="O513">
            <v>4</v>
          </cell>
        </row>
        <row r="514">
          <cell r="O514">
            <v>0</v>
          </cell>
        </row>
        <row r="515">
          <cell r="O515">
            <v>0</v>
          </cell>
        </row>
        <row r="516">
          <cell r="O516">
            <v>0</v>
          </cell>
        </row>
        <row r="517">
          <cell r="O517">
            <v>3</v>
          </cell>
        </row>
        <row r="518">
          <cell r="O518">
            <v>-2</v>
          </cell>
        </row>
        <row r="519">
          <cell r="O519">
            <v>-2</v>
          </cell>
        </row>
        <row r="520">
          <cell r="O520">
            <v>0</v>
          </cell>
        </row>
        <row r="521">
          <cell r="O521">
            <v>2</v>
          </cell>
        </row>
        <row r="522">
          <cell r="O522">
            <v>0</v>
          </cell>
        </row>
        <row r="523">
          <cell r="O523">
            <v>7</v>
          </cell>
        </row>
        <row r="524">
          <cell r="O524">
            <v>44.5</v>
          </cell>
        </row>
        <row r="525">
          <cell r="O525">
            <v>0</v>
          </cell>
        </row>
        <row r="526">
          <cell r="O526">
            <v>-7</v>
          </cell>
        </row>
        <row r="527">
          <cell r="O527">
            <v>-3</v>
          </cell>
        </row>
        <row r="528">
          <cell r="O528">
            <v>-2</v>
          </cell>
        </row>
        <row r="529">
          <cell r="O529">
            <v>-1</v>
          </cell>
        </row>
        <row r="530">
          <cell r="O530">
            <v>-5</v>
          </cell>
        </row>
        <row r="531">
          <cell r="O531">
            <v>0</v>
          </cell>
        </row>
        <row r="532">
          <cell r="O532">
            <v>0</v>
          </cell>
        </row>
        <row r="533">
          <cell r="O533">
            <v>1</v>
          </cell>
        </row>
        <row r="534">
          <cell r="O534">
            <v>-8</v>
          </cell>
        </row>
        <row r="535">
          <cell r="O535">
            <v>-6</v>
          </cell>
        </row>
        <row r="536">
          <cell r="O536">
            <v>0</v>
          </cell>
        </row>
        <row r="537">
          <cell r="O537">
            <v>-2</v>
          </cell>
        </row>
        <row r="538">
          <cell r="O538">
            <v>-1</v>
          </cell>
        </row>
        <row r="539">
          <cell r="O539">
            <v>2</v>
          </cell>
        </row>
        <row r="540">
          <cell r="O540">
            <v>0</v>
          </cell>
        </row>
        <row r="541">
          <cell r="O541">
            <v>2</v>
          </cell>
        </row>
        <row r="542">
          <cell r="O542">
            <v>-1</v>
          </cell>
        </row>
        <row r="543">
          <cell r="O543">
            <v>-3</v>
          </cell>
        </row>
        <row r="544">
          <cell r="O544">
            <v>0</v>
          </cell>
        </row>
        <row r="545">
          <cell r="O545">
            <v>2</v>
          </cell>
        </row>
        <row r="546">
          <cell r="O546">
            <v>25</v>
          </cell>
        </row>
        <row r="547">
          <cell r="O547">
            <v>-2</v>
          </cell>
        </row>
        <row r="548">
          <cell r="O548">
            <v>1</v>
          </cell>
        </row>
        <row r="549">
          <cell r="O549">
            <v>-3</v>
          </cell>
        </row>
        <row r="550">
          <cell r="O550">
            <v>1</v>
          </cell>
        </row>
        <row r="551">
          <cell r="O551">
            <v>0</v>
          </cell>
        </row>
        <row r="552">
          <cell r="O552">
            <v>-2</v>
          </cell>
        </row>
        <row r="553">
          <cell r="O553">
            <v>1</v>
          </cell>
        </row>
        <row r="554">
          <cell r="O554">
            <v>-1</v>
          </cell>
        </row>
        <row r="555">
          <cell r="O555">
            <v>0</v>
          </cell>
        </row>
        <row r="556">
          <cell r="O556">
            <v>-2</v>
          </cell>
        </row>
        <row r="557">
          <cell r="O557">
            <v>-1</v>
          </cell>
        </row>
        <row r="558">
          <cell r="O558">
            <v>0</v>
          </cell>
        </row>
        <row r="559">
          <cell r="O559">
            <v>2</v>
          </cell>
        </row>
        <row r="560">
          <cell r="O560">
            <v>8</v>
          </cell>
        </row>
        <row r="561">
          <cell r="O561">
            <v>0</v>
          </cell>
        </row>
        <row r="562">
          <cell r="O562">
            <v>0</v>
          </cell>
        </row>
        <row r="563">
          <cell r="O563">
            <v>0</v>
          </cell>
        </row>
        <row r="564">
          <cell r="O564">
            <v>3</v>
          </cell>
        </row>
        <row r="565">
          <cell r="O565">
            <v>2</v>
          </cell>
        </row>
        <row r="566">
          <cell r="O566">
            <v>0</v>
          </cell>
        </row>
        <row r="567">
          <cell r="O567">
            <v>102</v>
          </cell>
        </row>
        <row r="568">
          <cell r="O568">
            <v>0</v>
          </cell>
        </row>
        <row r="569">
          <cell r="O569">
            <v>9</v>
          </cell>
        </row>
        <row r="570">
          <cell r="O570">
            <v>0</v>
          </cell>
        </row>
        <row r="571">
          <cell r="O571">
            <v>0</v>
          </cell>
        </row>
        <row r="572">
          <cell r="O572">
            <v>2</v>
          </cell>
        </row>
        <row r="573">
          <cell r="O573">
            <v>-8</v>
          </cell>
        </row>
        <row r="574">
          <cell r="O574">
            <v>0</v>
          </cell>
        </row>
        <row r="575">
          <cell r="O575">
            <v>0</v>
          </cell>
        </row>
        <row r="576">
          <cell r="O576">
            <v>0</v>
          </cell>
        </row>
        <row r="577">
          <cell r="O577">
            <v>0</v>
          </cell>
        </row>
        <row r="578">
          <cell r="O578">
            <v>-9</v>
          </cell>
        </row>
        <row r="579">
          <cell r="O579">
            <v>-59.400000000000006</v>
          </cell>
        </row>
      </sheetData>
      <sheetData sheetId="6" refreshError="1"/>
      <sheetData sheetId="7" refreshError="1"/>
      <sheetData sheetId="8"/>
      <sheetData sheetId="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</row>
        <row r="7">
          <cell r="Q7">
            <v>0</v>
          </cell>
        </row>
        <row r="8">
          <cell r="Q8">
            <v>0</v>
          </cell>
        </row>
        <row r="9">
          <cell r="Q9">
            <v>0</v>
          </cell>
        </row>
        <row r="10">
          <cell r="Q10">
            <v>-2</v>
          </cell>
        </row>
        <row r="11">
          <cell r="Q11">
            <v>-1</v>
          </cell>
        </row>
        <row r="12">
          <cell r="Q12">
            <v>-1</v>
          </cell>
        </row>
        <row r="13">
          <cell r="Q13">
            <v>0</v>
          </cell>
        </row>
        <row r="14">
          <cell r="Q14">
            <v>0</v>
          </cell>
        </row>
        <row r="15">
          <cell r="Q15">
            <v>0</v>
          </cell>
        </row>
        <row r="16">
          <cell r="Q16">
            <v>3</v>
          </cell>
        </row>
        <row r="17">
          <cell r="Q17">
            <v>-1</v>
          </cell>
        </row>
        <row r="18">
          <cell r="Q18">
            <v>0</v>
          </cell>
        </row>
        <row r="19">
          <cell r="Q19">
            <v>0</v>
          </cell>
        </row>
        <row r="20">
          <cell r="Q20">
            <v>0</v>
          </cell>
        </row>
        <row r="21">
          <cell r="Q21">
            <v>0</v>
          </cell>
        </row>
        <row r="22">
          <cell r="Q22">
            <v>0</v>
          </cell>
        </row>
        <row r="23">
          <cell r="Q23">
            <v>0</v>
          </cell>
        </row>
        <row r="24">
          <cell r="Q24">
            <v>-1</v>
          </cell>
        </row>
        <row r="25">
          <cell r="Q25">
            <v>-3</v>
          </cell>
        </row>
        <row r="26">
          <cell r="Q26">
            <v>-5</v>
          </cell>
        </row>
        <row r="27">
          <cell r="Q27">
            <v>2</v>
          </cell>
        </row>
        <row r="28">
          <cell r="Q28">
            <v>-2</v>
          </cell>
        </row>
        <row r="29">
          <cell r="Q29">
            <v>-1</v>
          </cell>
        </row>
        <row r="30">
          <cell r="Q30">
            <v>-29</v>
          </cell>
        </row>
        <row r="31">
          <cell r="Q31">
            <v>2</v>
          </cell>
        </row>
        <row r="32">
          <cell r="Q32">
            <v>4</v>
          </cell>
        </row>
        <row r="33">
          <cell r="Q33">
            <v>0</v>
          </cell>
        </row>
        <row r="34">
          <cell r="Q34">
            <v>-1</v>
          </cell>
        </row>
        <row r="35">
          <cell r="Q35">
            <v>-4</v>
          </cell>
        </row>
        <row r="36">
          <cell r="Q36">
            <v>0</v>
          </cell>
        </row>
        <row r="37">
          <cell r="Q37">
            <v>2</v>
          </cell>
        </row>
        <row r="38">
          <cell r="Q38">
            <v>0</v>
          </cell>
        </row>
        <row r="39">
          <cell r="Q39">
            <v>0</v>
          </cell>
        </row>
        <row r="40">
          <cell r="Q40">
            <v>0</v>
          </cell>
        </row>
        <row r="41">
          <cell r="Q41">
            <v>0</v>
          </cell>
        </row>
        <row r="42">
          <cell r="Q42">
            <v>-4</v>
          </cell>
        </row>
        <row r="43">
          <cell r="Q43">
            <v>-2</v>
          </cell>
        </row>
        <row r="44">
          <cell r="Q44">
            <v>-7</v>
          </cell>
        </row>
        <row r="45">
          <cell r="Q45">
            <v>0</v>
          </cell>
        </row>
        <row r="46">
          <cell r="Q46">
            <v>-3</v>
          </cell>
        </row>
        <row r="47">
          <cell r="Q47">
            <v>2</v>
          </cell>
        </row>
        <row r="48">
          <cell r="Q48">
            <v>-3</v>
          </cell>
        </row>
        <row r="49">
          <cell r="Q49">
            <v>-1</v>
          </cell>
        </row>
        <row r="50">
          <cell r="Q50">
            <v>28</v>
          </cell>
        </row>
        <row r="51">
          <cell r="Q51">
            <v>-4</v>
          </cell>
        </row>
        <row r="52">
          <cell r="Q52">
            <v>0</v>
          </cell>
        </row>
        <row r="53">
          <cell r="Q53">
            <v>-1</v>
          </cell>
        </row>
        <row r="54">
          <cell r="Q54">
            <v>0</v>
          </cell>
        </row>
        <row r="55">
          <cell r="Q55">
            <v>0</v>
          </cell>
        </row>
        <row r="56">
          <cell r="Q56">
            <v>0</v>
          </cell>
        </row>
        <row r="57">
          <cell r="Q57">
            <v>0</v>
          </cell>
        </row>
        <row r="58">
          <cell r="Q58">
            <v>0</v>
          </cell>
        </row>
        <row r="59">
          <cell r="Q59">
            <v>0</v>
          </cell>
        </row>
        <row r="60">
          <cell r="Q60">
            <v>-1</v>
          </cell>
        </row>
        <row r="61">
          <cell r="Q61">
            <v>0</v>
          </cell>
        </row>
        <row r="62">
          <cell r="Q62">
            <v>11</v>
          </cell>
        </row>
        <row r="63">
          <cell r="Q63">
            <v>-13</v>
          </cell>
        </row>
        <row r="64">
          <cell r="Q64">
            <v>2</v>
          </cell>
        </row>
        <row r="65">
          <cell r="Q65">
            <v>-5</v>
          </cell>
        </row>
        <row r="66">
          <cell r="Q66">
            <v>3</v>
          </cell>
        </row>
        <row r="67">
          <cell r="Q67">
            <v>0</v>
          </cell>
        </row>
        <row r="68">
          <cell r="Q68">
            <v>0</v>
          </cell>
        </row>
        <row r="69">
          <cell r="Q69">
            <v>0</v>
          </cell>
        </row>
        <row r="70">
          <cell r="Q70">
            <v>0</v>
          </cell>
        </row>
        <row r="71">
          <cell r="Q71">
            <v>2</v>
          </cell>
        </row>
        <row r="72">
          <cell r="Q72">
            <v>0</v>
          </cell>
        </row>
        <row r="73">
          <cell r="Q73">
            <v>0</v>
          </cell>
        </row>
        <row r="74">
          <cell r="Q74">
            <v>0</v>
          </cell>
        </row>
        <row r="75">
          <cell r="Q75">
            <v>4</v>
          </cell>
        </row>
        <row r="76">
          <cell r="Q76">
            <v>-2</v>
          </cell>
        </row>
        <row r="77">
          <cell r="Q77">
            <v>-2</v>
          </cell>
        </row>
        <row r="78">
          <cell r="Q78">
            <v>5</v>
          </cell>
        </row>
        <row r="79">
          <cell r="Q79">
            <v>3</v>
          </cell>
        </row>
        <row r="80">
          <cell r="Q80">
            <v>1</v>
          </cell>
        </row>
        <row r="81">
          <cell r="Q81">
            <v>0</v>
          </cell>
        </row>
        <row r="82">
          <cell r="Q82">
            <v>-14</v>
          </cell>
        </row>
        <row r="83">
          <cell r="Q83">
            <v>-1</v>
          </cell>
        </row>
        <row r="84">
          <cell r="Q84">
            <v>2</v>
          </cell>
        </row>
        <row r="85">
          <cell r="Q85">
            <v>2</v>
          </cell>
        </row>
        <row r="86">
          <cell r="Q86">
            <v>0</v>
          </cell>
        </row>
        <row r="87">
          <cell r="Q87">
            <v>0</v>
          </cell>
        </row>
        <row r="88">
          <cell r="Q88">
            <v>1</v>
          </cell>
        </row>
        <row r="89">
          <cell r="Q89">
            <v>-4</v>
          </cell>
        </row>
        <row r="90">
          <cell r="Q90">
            <v>9</v>
          </cell>
        </row>
        <row r="91">
          <cell r="Q91">
            <v>4</v>
          </cell>
        </row>
        <row r="92">
          <cell r="Q92">
            <v>5</v>
          </cell>
        </row>
        <row r="93">
          <cell r="Q93">
            <v>0</v>
          </cell>
        </row>
        <row r="94">
          <cell r="Q94">
            <v>0</v>
          </cell>
        </row>
        <row r="95">
          <cell r="Q95">
            <v>0</v>
          </cell>
        </row>
        <row r="96">
          <cell r="Q96">
            <v>-2</v>
          </cell>
        </row>
        <row r="97">
          <cell r="Q97">
            <v>0</v>
          </cell>
        </row>
        <row r="98">
          <cell r="Q98">
            <v>4</v>
          </cell>
        </row>
        <row r="99">
          <cell r="Q99">
            <v>0</v>
          </cell>
        </row>
        <row r="100">
          <cell r="Q100">
            <v>-3</v>
          </cell>
        </row>
        <row r="101">
          <cell r="Q101">
            <v>4</v>
          </cell>
        </row>
        <row r="102">
          <cell r="Q102">
            <v>0</v>
          </cell>
        </row>
        <row r="103">
          <cell r="Q103">
            <v>21</v>
          </cell>
        </row>
        <row r="104">
          <cell r="Q104">
            <v>0</v>
          </cell>
        </row>
        <row r="105">
          <cell r="Q105">
            <v>-2</v>
          </cell>
        </row>
        <row r="106">
          <cell r="Q106">
            <v>0</v>
          </cell>
        </row>
        <row r="107">
          <cell r="Q107">
            <v>-1</v>
          </cell>
        </row>
        <row r="108">
          <cell r="Q108">
            <v>4</v>
          </cell>
        </row>
        <row r="109">
          <cell r="Q109">
            <v>3</v>
          </cell>
        </row>
        <row r="110">
          <cell r="Q110">
            <v>-2</v>
          </cell>
        </row>
        <row r="111">
          <cell r="Q111">
            <v>1</v>
          </cell>
        </row>
        <row r="112">
          <cell r="Q112">
            <v>-16</v>
          </cell>
        </row>
        <row r="113">
          <cell r="Q113">
            <v>-4</v>
          </cell>
        </row>
        <row r="114">
          <cell r="Q114">
            <v>-3</v>
          </cell>
        </row>
        <row r="115">
          <cell r="Q115">
            <v>3</v>
          </cell>
        </row>
        <row r="116">
          <cell r="Q116">
            <v>0</v>
          </cell>
        </row>
        <row r="117">
          <cell r="Q117">
            <v>-3</v>
          </cell>
        </row>
        <row r="118">
          <cell r="Q118">
            <v>0</v>
          </cell>
        </row>
        <row r="119">
          <cell r="Q119">
            <v>0</v>
          </cell>
        </row>
        <row r="120">
          <cell r="Q120">
            <v>0</v>
          </cell>
        </row>
        <row r="121">
          <cell r="Q121">
            <v>0</v>
          </cell>
        </row>
        <row r="122">
          <cell r="Q122">
            <v>0</v>
          </cell>
        </row>
        <row r="123">
          <cell r="Q123">
            <v>0</v>
          </cell>
        </row>
        <row r="124">
          <cell r="Q124">
            <v>0</v>
          </cell>
        </row>
        <row r="125">
          <cell r="Q125">
            <v>0</v>
          </cell>
        </row>
        <row r="126">
          <cell r="Q126">
            <v>0</v>
          </cell>
        </row>
        <row r="127">
          <cell r="Q127">
            <v>0</v>
          </cell>
        </row>
        <row r="128">
          <cell r="Q128">
            <v>0</v>
          </cell>
        </row>
        <row r="129">
          <cell r="Q129">
            <v>0</v>
          </cell>
        </row>
        <row r="130">
          <cell r="Q130">
            <v>-1</v>
          </cell>
        </row>
        <row r="131">
          <cell r="Q131">
            <v>-5</v>
          </cell>
        </row>
        <row r="132">
          <cell r="Q132">
            <v>-5</v>
          </cell>
        </row>
        <row r="133"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Q136">
            <v>0</v>
          </cell>
        </row>
        <row r="137">
          <cell r="Q137">
            <v>0</v>
          </cell>
        </row>
        <row r="138">
          <cell r="Q138">
            <v>-1</v>
          </cell>
        </row>
        <row r="139">
          <cell r="Q139">
            <v>-1</v>
          </cell>
        </row>
        <row r="140">
          <cell r="Q140">
            <v>-1</v>
          </cell>
        </row>
        <row r="141">
          <cell r="Q141">
            <v>-2</v>
          </cell>
        </row>
        <row r="142">
          <cell r="Q142">
            <v>-1</v>
          </cell>
        </row>
        <row r="143">
          <cell r="Q143">
            <v>1</v>
          </cell>
        </row>
        <row r="144">
          <cell r="Q144">
            <v>-1</v>
          </cell>
        </row>
        <row r="145">
          <cell r="Q145">
            <v>1</v>
          </cell>
        </row>
        <row r="146">
          <cell r="Q146">
            <v>-3</v>
          </cell>
        </row>
        <row r="147">
          <cell r="Q147">
            <v>0</v>
          </cell>
        </row>
        <row r="148">
          <cell r="Q148">
            <v>-1</v>
          </cell>
        </row>
        <row r="149">
          <cell r="Q149">
            <v>1</v>
          </cell>
        </row>
        <row r="150">
          <cell r="Q150">
            <v>0</v>
          </cell>
        </row>
        <row r="151">
          <cell r="Q151">
            <v>-1</v>
          </cell>
        </row>
        <row r="152">
          <cell r="Q152">
            <v>-5</v>
          </cell>
        </row>
        <row r="153">
          <cell r="Q153">
            <v>-4</v>
          </cell>
        </row>
        <row r="154">
          <cell r="Q154">
            <v>-8</v>
          </cell>
        </row>
        <row r="155">
          <cell r="Q155">
            <v>-12</v>
          </cell>
        </row>
        <row r="156">
          <cell r="Q156">
            <v>-3</v>
          </cell>
        </row>
        <row r="157">
          <cell r="Q157">
            <v>-3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Q160">
            <v>1</v>
          </cell>
        </row>
        <row r="161">
          <cell r="Q161">
            <v>1</v>
          </cell>
        </row>
        <row r="162">
          <cell r="Q162">
            <v>-11</v>
          </cell>
        </row>
        <row r="163">
          <cell r="Q163">
            <v>0</v>
          </cell>
        </row>
        <row r="164">
          <cell r="Q164">
            <v>0</v>
          </cell>
        </row>
        <row r="165">
          <cell r="Q165">
            <v>-7</v>
          </cell>
        </row>
        <row r="166">
          <cell r="Q166">
            <v>0</v>
          </cell>
        </row>
        <row r="167">
          <cell r="Q167">
            <v>-9</v>
          </cell>
        </row>
        <row r="168">
          <cell r="Q168">
            <v>1</v>
          </cell>
        </row>
        <row r="169">
          <cell r="Q169">
            <v>1</v>
          </cell>
        </row>
        <row r="170">
          <cell r="Q170">
            <v>9</v>
          </cell>
        </row>
        <row r="171">
          <cell r="Q171">
            <v>0</v>
          </cell>
        </row>
        <row r="172">
          <cell r="Q172">
            <v>-2</v>
          </cell>
        </row>
        <row r="173">
          <cell r="Q173">
            <v>0</v>
          </cell>
        </row>
        <row r="174">
          <cell r="Q174">
            <v>0</v>
          </cell>
        </row>
        <row r="175">
          <cell r="Q175">
            <v>4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Q178">
            <v>8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Q181">
            <v>-7</v>
          </cell>
        </row>
        <row r="182">
          <cell r="Q182">
            <v>1</v>
          </cell>
        </row>
        <row r="183">
          <cell r="Q183">
            <v>0</v>
          </cell>
        </row>
        <row r="184">
          <cell r="Q184">
            <v>-4</v>
          </cell>
        </row>
        <row r="185">
          <cell r="Q185">
            <v>-4</v>
          </cell>
        </row>
        <row r="186">
          <cell r="Q186">
            <v>-3</v>
          </cell>
        </row>
        <row r="187">
          <cell r="Q187">
            <v>5</v>
          </cell>
        </row>
        <row r="188">
          <cell r="Q188">
            <v>6</v>
          </cell>
        </row>
        <row r="189">
          <cell r="Q189">
            <v>3</v>
          </cell>
        </row>
        <row r="190">
          <cell r="Q190">
            <v>0</v>
          </cell>
        </row>
        <row r="191">
          <cell r="Q191">
            <v>-11</v>
          </cell>
        </row>
        <row r="192">
          <cell r="Q192">
            <v>-1</v>
          </cell>
        </row>
        <row r="193">
          <cell r="Q193">
            <v>-1</v>
          </cell>
        </row>
        <row r="194">
          <cell r="Q194">
            <v>-8</v>
          </cell>
        </row>
        <row r="195">
          <cell r="Q195">
            <v>0</v>
          </cell>
        </row>
        <row r="196">
          <cell r="Q196">
            <v>0</v>
          </cell>
        </row>
        <row r="197">
          <cell r="Q197">
            <v>-1</v>
          </cell>
        </row>
        <row r="198">
          <cell r="Q198">
            <v>0</v>
          </cell>
        </row>
        <row r="199">
          <cell r="Q199">
            <v>3</v>
          </cell>
        </row>
        <row r="200">
          <cell r="Q200">
            <v>-9</v>
          </cell>
        </row>
        <row r="201">
          <cell r="Q201">
            <v>0</v>
          </cell>
        </row>
        <row r="202">
          <cell r="Q202">
            <v>0</v>
          </cell>
        </row>
        <row r="203">
          <cell r="Q203">
            <v>0</v>
          </cell>
        </row>
        <row r="204">
          <cell r="Q204">
            <v>0</v>
          </cell>
        </row>
        <row r="205">
          <cell r="Q205">
            <v>0</v>
          </cell>
        </row>
        <row r="206">
          <cell r="Q206">
            <v>-7</v>
          </cell>
        </row>
        <row r="207">
          <cell r="Q207">
            <v>-26</v>
          </cell>
        </row>
        <row r="208">
          <cell r="Q208">
            <v>-3</v>
          </cell>
        </row>
        <row r="209">
          <cell r="Q209">
            <v>-1</v>
          </cell>
        </row>
        <row r="210">
          <cell r="Q210">
            <v>3</v>
          </cell>
        </row>
        <row r="211">
          <cell r="Q211">
            <v>0</v>
          </cell>
        </row>
        <row r="212">
          <cell r="Q212">
            <v>0</v>
          </cell>
        </row>
        <row r="213">
          <cell r="Q213">
            <v>-3</v>
          </cell>
        </row>
        <row r="214">
          <cell r="Q214">
            <v>8</v>
          </cell>
        </row>
        <row r="215">
          <cell r="Q215">
            <v>0</v>
          </cell>
        </row>
        <row r="216">
          <cell r="Q216">
            <v>-8</v>
          </cell>
        </row>
        <row r="217">
          <cell r="Q217">
            <v>0</v>
          </cell>
        </row>
        <row r="218">
          <cell r="Q218">
            <v>-3</v>
          </cell>
        </row>
        <row r="219">
          <cell r="Q219">
            <v>-3</v>
          </cell>
        </row>
        <row r="220">
          <cell r="Q220">
            <v>-9</v>
          </cell>
        </row>
        <row r="221">
          <cell r="Q221">
            <v>1</v>
          </cell>
        </row>
        <row r="222">
          <cell r="Q222">
            <v>1</v>
          </cell>
        </row>
        <row r="223">
          <cell r="Q223">
            <v>-3</v>
          </cell>
        </row>
        <row r="224">
          <cell r="Q224">
            <v>-1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Q227">
            <v>0</v>
          </cell>
        </row>
        <row r="228">
          <cell r="Q228">
            <v>0</v>
          </cell>
        </row>
        <row r="229">
          <cell r="Q229">
            <v>2</v>
          </cell>
        </row>
        <row r="230">
          <cell r="Q230">
            <v>1</v>
          </cell>
        </row>
        <row r="231">
          <cell r="Q231">
            <v>1</v>
          </cell>
        </row>
        <row r="232">
          <cell r="Q232">
            <v>-45</v>
          </cell>
        </row>
        <row r="233">
          <cell r="Q233">
            <v>-12</v>
          </cell>
        </row>
        <row r="234">
          <cell r="Q234">
            <v>-8</v>
          </cell>
        </row>
        <row r="235">
          <cell r="Q235">
            <v>-1</v>
          </cell>
        </row>
        <row r="236">
          <cell r="Q236">
            <v>-9</v>
          </cell>
        </row>
        <row r="237">
          <cell r="Q237">
            <v>-2</v>
          </cell>
        </row>
        <row r="238">
          <cell r="Q238">
            <v>11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Q241">
            <v>-3</v>
          </cell>
        </row>
        <row r="242">
          <cell r="Q242">
            <v>6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Q245">
            <v>-18</v>
          </cell>
        </row>
        <row r="246">
          <cell r="Q246">
            <v>0</v>
          </cell>
        </row>
        <row r="247">
          <cell r="Q247">
            <v>-3</v>
          </cell>
        </row>
        <row r="248">
          <cell r="Q248">
            <v>0</v>
          </cell>
        </row>
        <row r="249">
          <cell r="Q249">
            <v>-1</v>
          </cell>
        </row>
        <row r="250">
          <cell r="Q250">
            <v>0</v>
          </cell>
        </row>
        <row r="251">
          <cell r="Q251">
            <v>0</v>
          </cell>
        </row>
        <row r="252">
          <cell r="Q252">
            <v>0</v>
          </cell>
        </row>
        <row r="253">
          <cell r="Q253">
            <v>0</v>
          </cell>
        </row>
        <row r="254">
          <cell r="Q254">
            <v>1</v>
          </cell>
        </row>
        <row r="255">
          <cell r="Q255">
            <v>0</v>
          </cell>
        </row>
        <row r="256">
          <cell r="Q256">
            <v>-1</v>
          </cell>
        </row>
        <row r="257">
          <cell r="Q257">
            <v>0</v>
          </cell>
        </row>
        <row r="258">
          <cell r="Q258">
            <v>0</v>
          </cell>
        </row>
        <row r="259">
          <cell r="Q259">
            <v>-2</v>
          </cell>
        </row>
        <row r="260">
          <cell r="Q260">
            <v>1</v>
          </cell>
        </row>
        <row r="261">
          <cell r="Q261">
            <v>-2</v>
          </cell>
        </row>
        <row r="262">
          <cell r="Q262">
            <v>7</v>
          </cell>
        </row>
        <row r="263">
          <cell r="Q263">
            <v>6</v>
          </cell>
        </row>
        <row r="264">
          <cell r="Q264">
            <v>-1</v>
          </cell>
        </row>
        <row r="265">
          <cell r="Q265">
            <v>-2</v>
          </cell>
        </row>
        <row r="266">
          <cell r="Q266">
            <v>-6</v>
          </cell>
        </row>
        <row r="267">
          <cell r="Q267">
            <v>5</v>
          </cell>
        </row>
        <row r="268">
          <cell r="Q268">
            <v>-10</v>
          </cell>
        </row>
        <row r="269">
          <cell r="Q269">
            <v>-1</v>
          </cell>
        </row>
        <row r="270">
          <cell r="Q270">
            <v>0</v>
          </cell>
        </row>
        <row r="271">
          <cell r="Q271">
            <v>-5</v>
          </cell>
        </row>
        <row r="272">
          <cell r="Q272">
            <v>-5</v>
          </cell>
        </row>
        <row r="273">
          <cell r="Q273">
            <v>7</v>
          </cell>
        </row>
        <row r="274">
          <cell r="Q274">
            <v>-6</v>
          </cell>
        </row>
        <row r="275">
          <cell r="Q275">
            <v>0</v>
          </cell>
        </row>
        <row r="276">
          <cell r="Q276">
            <v>1</v>
          </cell>
        </row>
        <row r="277">
          <cell r="Q277">
            <v>-7</v>
          </cell>
        </row>
        <row r="278">
          <cell r="Q278">
            <v>2</v>
          </cell>
        </row>
        <row r="279">
          <cell r="Q279">
            <v>1</v>
          </cell>
        </row>
        <row r="280">
          <cell r="Q280">
            <v>51</v>
          </cell>
        </row>
        <row r="281">
          <cell r="Q281">
            <v>-1</v>
          </cell>
        </row>
        <row r="282">
          <cell r="Q282">
            <v>-39</v>
          </cell>
        </row>
        <row r="283">
          <cell r="Q283">
            <v>-8</v>
          </cell>
        </row>
        <row r="284">
          <cell r="Q284">
            <v>0</v>
          </cell>
        </row>
        <row r="285">
          <cell r="Q285">
            <v>6</v>
          </cell>
        </row>
        <row r="286">
          <cell r="Q286">
            <v>2</v>
          </cell>
        </row>
        <row r="287">
          <cell r="Q287">
            <v>-2</v>
          </cell>
        </row>
        <row r="288">
          <cell r="Q288">
            <v>-14</v>
          </cell>
        </row>
        <row r="289">
          <cell r="Q289">
            <v>-1</v>
          </cell>
        </row>
        <row r="290">
          <cell r="Q290">
            <v>-1</v>
          </cell>
        </row>
        <row r="291">
          <cell r="Q291">
            <v>-1</v>
          </cell>
        </row>
        <row r="292">
          <cell r="Q292">
            <v>-1</v>
          </cell>
        </row>
        <row r="293">
          <cell r="Q293">
            <v>2</v>
          </cell>
        </row>
        <row r="294">
          <cell r="Q294">
            <v>0</v>
          </cell>
        </row>
        <row r="295">
          <cell r="Q295">
            <v>-3</v>
          </cell>
        </row>
        <row r="296">
          <cell r="Q296">
            <v>8</v>
          </cell>
        </row>
        <row r="297">
          <cell r="Q297">
            <v>-4</v>
          </cell>
        </row>
        <row r="298">
          <cell r="Q298">
            <v>0</v>
          </cell>
        </row>
        <row r="299">
          <cell r="Q299">
            <v>-3</v>
          </cell>
        </row>
        <row r="300">
          <cell r="Q300">
            <v>4</v>
          </cell>
        </row>
        <row r="301">
          <cell r="Q301">
            <v>-2</v>
          </cell>
        </row>
        <row r="302">
          <cell r="Q302">
            <v>2</v>
          </cell>
        </row>
        <row r="303">
          <cell r="Q303">
            <v>0</v>
          </cell>
        </row>
        <row r="304">
          <cell r="Q304">
            <v>-2</v>
          </cell>
        </row>
        <row r="305">
          <cell r="Q305">
            <v>3</v>
          </cell>
        </row>
        <row r="306">
          <cell r="Q306">
            <v>0</v>
          </cell>
        </row>
        <row r="307">
          <cell r="Q307">
            <v>0</v>
          </cell>
        </row>
        <row r="308">
          <cell r="Q308">
            <v>-2</v>
          </cell>
        </row>
        <row r="309">
          <cell r="Q309">
            <v>-4</v>
          </cell>
        </row>
        <row r="310">
          <cell r="Q310">
            <v>0</v>
          </cell>
        </row>
        <row r="311">
          <cell r="Q311">
            <v>-5</v>
          </cell>
        </row>
        <row r="312">
          <cell r="Q312">
            <v>6</v>
          </cell>
        </row>
        <row r="313">
          <cell r="Q313">
            <v>-4</v>
          </cell>
        </row>
        <row r="314">
          <cell r="Q314">
            <v>-9</v>
          </cell>
        </row>
        <row r="315">
          <cell r="Q315">
            <v>-6</v>
          </cell>
        </row>
        <row r="316">
          <cell r="Q316">
            <v>-4</v>
          </cell>
        </row>
        <row r="317">
          <cell r="Q317">
            <v>1</v>
          </cell>
        </row>
        <row r="318">
          <cell r="Q318">
            <v>0</v>
          </cell>
        </row>
        <row r="319">
          <cell r="Q319">
            <v>-3</v>
          </cell>
        </row>
        <row r="320">
          <cell r="Q320">
            <v>-2</v>
          </cell>
        </row>
        <row r="321">
          <cell r="Q321">
            <v>-8</v>
          </cell>
        </row>
        <row r="322">
          <cell r="Q322">
            <v>3</v>
          </cell>
        </row>
        <row r="323">
          <cell r="Q323">
            <v>2</v>
          </cell>
        </row>
        <row r="324">
          <cell r="Q324">
            <v>-1</v>
          </cell>
        </row>
        <row r="325">
          <cell r="Q325">
            <v>-18</v>
          </cell>
        </row>
        <row r="326">
          <cell r="Q326">
            <v>-1</v>
          </cell>
        </row>
        <row r="327">
          <cell r="Q327">
            <v>-8</v>
          </cell>
        </row>
        <row r="328">
          <cell r="Q328">
            <v>-3</v>
          </cell>
        </row>
        <row r="329">
          <cell r="Q329">
            <v>0</v>
          </cell>
        </row>
        <row r="330">
          <cell r="Q330">
            <v>-2</v>
          </cell>
        </row>
        <row r="331">
          <cell r="Q331">
            <v>0</v>
          </cell>
        </row>
        <row r="332">
          <cell r="Q332">
            <v>0</v>
          </cell>
        </row>
        <row r="333">
          <cell r="Q333">
            <v>-5</v>
          </cell>
        </row>
        <row r="334">
          <cell r="Q334">
            <v>4</v>
          </cell>
        </row>
        <row r="335">
          <cell r="Q335">
            <v>0</v>
          </cell>
        </row>
        <row r="336">
          <cell r="Q336">
            <v>22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Q339">
            <v>0</v>
          </cell>
        </row>
        <row r="340">
          <cell r="Q340">
            <v>-1</v>
          </cell>
        </row>
        <row r="341">
          <cell r="Q341">
            <v>1</v>
          </cell>
        </row>
        <row r="342">
          <cell r="Q342">
            <v>0</v>
          </cell>
        </row>
        <row r="343">
          <cell r="Q343">
            <v>-2</v>
          </cell>
        </row>
        <row r="344">
          <cell r="Q344">
            <v>0</v>
          </cell>
        </row>
        <row r="345">
          <cell r="Q345">
            <v>2</v>
          </cell>
        </row>
        <row r="346">
          <cell r="Q346">
            <v>21</v>
          </cell>
        </row>
        <row r="347">
          <cell r="Q347">
            <v>0</v>
          </cell>
        </row>
        <row r="348">
          <cell r="Q348">
            <v>0</v>
          </cell>
        </row>
        <row r="349">
          <cell r="Q349">
            <v>0</v>
          </cell>
        </row>
        <row r="350">
          <cell r="Q350">
            <v>0</v>
          </cell>
        </row>
        <row r="351">
          <cell r="Q351">
            <v>0</v>
          </cell>
        </row>
        <row r="352">
          <cell r="Q352">
            <v>0</v>
          </cell>
        </row>
        <row r="353">
          <cell r="Q353">
            <v>0</v>
          </cell>
        </row>
        <row r="354">
          <cell r="Q354">
            <v>0</v>
          </cell>
        </row>
        <row r="355">
          <cell r="Q355">
            <v>-4</v>
          </cell>
        </row>
        <row r="356">
          <cell r="Q356">
            <v>0</v>
          </cell>
        </row>
        <row r="357">
          <cell r="Q357">
            <v>1</v>
          </cell>
        </row>
        <row r="358">
          <cell r="Q358">
            <v>2</v>
          </cell>
        </row>
        <row r="359">
          <cell r="Q359">
            <v>1</v>
          </cell>
        </row>
        <row r="360">
          <cell r="Q360">
            <v>10</v>
          </cell>
        </row>
        <row r="361">
          <cell r="Q361">
            <v>-3</v>
          </cell>
        </row>
        <row r="362">
          <cell r="Q362">
            <v>0</v>
          </cell>
        </row>
        <row r="363">
          <cell r="Q363">
            <v>15</v>
          </cell>
        </row>
        <row r="364">
          <cell r="Q364">
            <v>29</v>
          </cell>
        </row>
        <row r="365">
          <cell r="Q365">
            <v>0</v>
          </cell>
        </row>
        <row r="366">
          <cell r="Q366">
            <v>-3</v>
          </cell>
        </row>
        <row r="367">
          <cell r="Q367">
            <v>-1</v>
          </cell>
        </row>
        <row r="368">
          <cell r="Q368">
            <v>-1</v>
          </cell>
        </row>
        <row r="369">
          <cell r="Q369">
            <v>0</v>
          </cell>
        </row>
        <row r="370">
          <cell r="Q370">
            <v>-12</v>
          </cell>
        </row>
        <row r="371">
          <cell r="Q371">
            <v>-2</v>
          </cell>
        </row>
        <row r="372">
          <cell r="Q372">
            <v>-2</v>
          </cell>
        </row>
        <row r="373">
          <cell r="Q373">
            <v>2</v>
          </cell>
        </row>
        <row r="374">
          <cell r="Q374">
            <v>-4</v>
          </cell>
        </row>
        <row r="375">
          <cell r="Q375">
            <v>4</v>
          </cell>
        </row>
        <row r="376">
          <cell r="Q376">
            <v>-3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Q379">
            <v>-2</v>
          </cell>
        </row>
        <row r="380">
          <cell r="Q380">
            <v>0</v>
          </cell>
        </row>
        <row r="381">
          <cell r="Q381">
            <v>-4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-1</v>
          </cell>
        </row>
        <row r="389">
          <cell r="Q389">
            <v>0</v>
          </cell>
        </row>
        <row r="390">
          <cell r="Q390">
            <v>0</v>
          </cell>
        </row>
        <row r="391">
          <cell r="Q391">
            <v>3</v>
          </cell>
        </row>
        <row r="392">
          <cell r="Q392">
            <v>0</v>
          </cell>
        </row>
        <row r="393">
          <cell r="Q393">
            <v>1</v>
          </cell>
        </row>
        <row r="394">
          <cell r="Q394">
            <v>2</v>
          </cell>
        </row>
        <row r="395">
          <cell r="Q395">
            <v>2</v>
          </cell>
        </row>
        <row r="396">
          <cell r="Q396">
            <v>1</v>
          </cell>
        </row>
        <row r="397">
          <cell r="Q397">
            <v>0</v>
          </cell>
        </row>
        <row r="398">
          <cell r="Q398">
            <v>1</v>
          </cell>
        </row>
        <row r="399">
          <cell r="Q399">
            <v>0</v>
          </cell>
        </row>
        <row r="400">
          <cell r="Q400">
            <v>1</v>
          </cell>
        </row>
        <row r="401">
          <cell r="Q401">
            <v>5</v>
          </cell>
        </row>
        <row r="402">
          <cell r="Q402">
            <v>-1</v>
          </cell>
        </row>
        <row r="403">
          <cell r="Q403">
            <v>-7</v>
          </cell>
        </row>
        <row r="404">
          <cell r="Q404">
            <v>0</v>
          </cell>
        </row>
        <row r="405">
          <cell r="Q405">
            <v>-1</v>
          </cell>
        </row>
        <row r="406">
          <cell r="Q406">
            <v>1</v>
          </cell>
        </row>
        <row r="407">
          <cell r="Q407">
            <v>-8</v>
          </cell>
        </row>
        <row r="408">
          <cell r="Q408">
            <v>0</v>
          </cell>
        </row>
        <row r="409">
          <cell r="Q409">
            <v>-1</v>
          </cell>
        </row>
        <row r="410">
          <cell r="Q410">
            <v>-3</v>
          </cell>
        </row>
        <row r="411">
          <cell r="Q411">
            <v>3</v>
          </cell>
        </row>
        <row r="412">
          <cell r="Q412">
            <v>-9</v>
          </cell>
        </row>
        <row r="413">
          <cell r="Q413">
            <v>-9</v>
          </cell>
        </row>
        <row r="414">
          <cell r="Q414">
            <v>-13</v>
          </cell>
        </row>
        <row r="415">
          <cell r="Q415">
            <v>-1</v>
          </cell>
        </row>
        <row r="416">
          <cell r="Q416">
            <v>1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Q419">
            <v>-2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Q422">
            <v>0</v>
          </cell>
        </row>
        <row r="423">
          <cell r="Q423">
            <v>0</v>
          </cell>
        </row>
        <row r="424">
          <cell r="Q424">
            <v>4</v>
          </cell>
        </row>
        <row r="425">
          <cell r="Q425">
            <v>0</v>
          </cell>
        </row>
        <row r="426">
          <cell r="Q426">
            <v>0</v>
          </cell>
        </row>
        <row r="428">
          <cell r="Q428">
            <v>-297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изм 04-05"/>
      <sheetName val="изм 04-05 (2)"/>
      <sheetName val="изм"/>
      <sheetName val="сброс"/>
      <sheetName val="совмесные замеры"/>
      <sheetName val="совмесные замеры (2)"/>
    </sheetNames>
    <sheetDataSet>
      <sheetData sheetId="0" refreshError="1"/>
      <sheetData sheetId="1">
        <row r="5">
          <cell r="Q5" t="str">
            <v xml:space="preserve"> -+ жид-ть</v>
          </cell>
        </row>
        <row r="7">
          <cell r="Q7">
            <v>0</v>
          </cell>
        </row>
        <row r="8">
          <cell r="Q8">
            <v>0</v>
          </cell>
        </row>
        <row r="9">
          <cell r="Q9">
            <v>0</v>
          </cell>
        </row>
        <row r="10">
          <cell r="Q10">
            <v>-2</v>
          </cell>
        </row>
        <row r="11">
          <cell r="Q11">
            <v>-1</v>
          </cell>
        </row>
        <row r="12">
          <cell r="Q12">
            <v>-1</v>
          </cell>
        </row>
        <row r="13">
          <cell r="Q13">
            <v>0</v>
          </cell>
        </row>
        <row r="14">
          <cell r="Q14">
            <v>0</v>
          </cell>
        </row>
        <row r="15">
          <cell r="Q15">
            <v>0</v>
          </cell>
        </row>
        <row r="16">
          <cell r="Q16">
            <v>3</v>
          </cell>
        </row>
        <row r="17">
          <cell r="Q17">
            <v>-1</v>
          </cell>
        </row>
        <row r="18">
          <cell r="Q18">
            <v>0</v>
          </cell>
        </row>
        <row r="19">
          <cell r="Q19">
            <v>0</v>
          </cell>
        </row>
        <row r="20">
          <cell r="Q20">
            <v>0</v>
          </cell>
        </row>
        <row r="21">
          <cell r="Q21">
            <v>0</v>
          </cell>
        </row>
        <row r="22">
          <cell r="Q22">
            <v>0</v>
          </cell>
        </row>
        <row r="23">
          <cell r="Q23">
            <v>0</v>
          </cell>
        </row>
        <row r="24">
          <cell r="Q24">
            <v>-1</v>
          </cell>
        </row>
        <row r="25">
          <cell r="Q25">
            <v>-3</v>
          </cell>
        </row>
        <row r="26">
          <cell r="Q26">
            <v>-5</v>
          </cell>
        </row>
        <row r="27">
          <cell r="Q27">
            <v>2</v>
          </cell>
        </row>
        <row r="28">
          <cell r="Q28">
            <v>-2</v>
          </cell>
        </row>
        <row r="29">
          <cell r="Q29">
            <v>-1</v>
          </cell>
        </row>
        <row r="30">
          <cell r="Q30">
            <v>-29</v>
          </cell>
        </row>
        <row r="31">
          <cell r="Q31">
            <v>2</v>
          </cell>
        </row>
        <row r="32">
          <cell r="Q32">
            <v>4</v>
          </cell>
        </row>
        <row r="33">
          <cell r="Q33">
            <v>0</v>
          </cell>
        </row>
        <row r="34">
          <cell r="Q34">
            <v>-1</v>
          </cell>
        </row>
        <row r="35">
          <cell r="Q35">
            <v>-4</v>
          </cell>
        </row>
        <row r="36">
          <cell r="Q36">
            <v>0</v>
          </cell>
        </row>
        <row r="37">
          <cell r="Q37">
            <v>2</v>
          </cell>
        </row>
        <row r="38">
          <cell r="Q38">
            <v>0</v>
          </cell>
        </row>
        <row r="39">
          <cell r="Q39">
            <v>0</v>
          </cell>
        </row>
        <row r="40">
          <cell r="Q40">
            <v>0</v>
          </cell>
        </row>
        <row r="41">
          <cell r="Q41">
            <v>0</v>
          </cell>
        </row>
        <row r="42">
          <cell r="Q42">
            <v>-4</v>
          </cell>
        </row>
        <row r="43">
          <cell r="Q43">
            <v>-2</v>
          </cell>
        </row>
        <row r="44">
          <cell r="Q44">
            <v>-7</v>
          </cell>
        </row>
        <row r="45">
          <cell r="Q45">
            <v>0</v>
          </cell>
        </row>
        <row r="46">
          <cell r="Q46">
            <v>-3</v>
          </cell>
        </row>
        <row r="47">
          <cell r="Q47">
            <v>2</v>
          </cell>
        </row>
        <row r="48">
          <cell r="Q48">
            <v>-3</v>
          </cell>
        </row>
        <row r="49">
          <cell r="Q49">
            <v>-1</v>
          </cell>
        </row>
        <row r="50">
          <cell r="Q50">
            <v>28</v>
          </cell>
        </row>
        <row r="51">
          <cell r="Q51">
            <v>-4</v>
          </cell>
        </row>
        <row r="52">
          <cell r="Q52">
            <v>0</v>
          </cell>
        </row>
        <row r="53">
          <cell r="Q53">
            <v>-1</v>
          </cell>
        </row>
        <row r="54">
          <cell r="Q54">
            <v>0</v>
          </cell>
        </row>
        <row r="55">
          <cell r="Q55">
            <v>0</v>
          </cell>
        </row>
        <row r="56">
          <cell r="Q56">
            <v>0</v>
          </cell>
        </row>
        <row r="57">
          <cell r="Q57">
            <v>0</v>
          </cell>
        </row>
        <row r="58">
          <cell r="Q58">
            <v>0</v>
          </cell>
        </row>
        <row r="59">
          <cell r="Q59">
            <v>0</v>
          </cell>
        </row>
        <row r="60">
          <cell r="Q60">
            <v>-1</v>
          </cell>
        </row>
        <row r="61">
          <cell r="Q61">
            <v>0</v>
          </cell>
        </row>
        <row r="62">
          <cell r="Q62">
            <v>11</v>
          </cell>
        </row>
        <row r="63">
          <cell r="Q63">
            <v>-13</v>
          </cell>
        </row>
        <row r="64">
          <cell r="Q64">
            <v>2</v>
          </cell>
        </row>
        <row r="65">
          <cell r="Q65">
            <v>-5</v>
          </cell>
        </row>
        <row r="66">
          <cell r="Q66">
            <v>3</v>
          </cell>
        </row>
        <row r="67">
          <cell r="Q67">
            <v>0</v>
          </cell>
        </row>
        <row r="68">
          <cell r="Q68">
            <v>0</v>
          </cell>
        </row>
        <row r="69">
          <cell r="Q69">
            <v>0</v>
          </cell>
        </row>
        <row r="70">
          <cell r="Q70">
            <v>0</v>
          </cell>
        </row>
        <row r="71">
          <cell r="Q71">
            <v>2</v>
          </cell>
        </row>
        <row r="72">
          <cell r="Q72">
            <v>0</v>
          </cell>
        </row>
        <row r="73">
          <cell r="Q73">
            <v>0</v>
          </cell>
        </row>
        <row r="74">
          <cell r="Q74">
            <v>0</v>
          </cell>
        </row>
        <row r="75">
          <cell r="Q75">
            <v>4</v>
          </cell>
        </row>
        <row r="76">
          <cell r="Q76">
            <v>-2</v>
          </cell>
        </row>
        <row r="77">
          <cell r="Q77">
            <v>-2</v>
          </cell>
        </row>
        <row r="78">
          <cell r="Q78">
            <v>5</v>
          </cell>
        </row>
        <row r="79">
          <cell r="Q79">
            <v>3</v>
          </cell>
        </row>
        <row r="80">
          <cell r="Q80">
            <v>1</v>
          </cell>
        </row>
        <row r="81">
          <cell r="Q81">
            <v>0</v>
          </cell>
        </row>
        <row r="82">
          <cell r="Q82">
            <v>-14</v>
          </cell>
        </row>
        <row r="83">
          <cell r="Q83">
            <v>-1</v>
          </cell>
        </row>
        <row r="84">
          <cell r="Q84">
            <v>2</v>
          </cell>
        </row>
        <row r="85">
          <cell r="Q85">
            <v>2</v>
          </cell>
        </row>
        <row r="86">
          <cell r="Q86">
            <v>0</v>
          </cell>
        </row>
        <row r="87">
          <cell r="Q87">
            <v>0</v>
          </cell>
        </row>
        <row r="88">
          <cell r="Q88">
            <v>1</v>
          </cell>
        </row>
        <row r="89">
          <cell r="Q89">
            <v>-4</v>
          </cell>
        </row>
        <row r="90">
          <cell r="Q90">
            <v>9</v>
          </cell>
        </row>
        <row r="91">
          <cell r="Q91">
            <v>4</v>
          </cell>
        </row>
        <row r="92">
          <cell r="Q92">
            <v>5</v>
          </cell>
        </row>
        <row r="93">
          <cell r="Q93">
            <v>0</v>
          </cell>
        </row>
        <row r="94">
          <cell r="Q94">
            <v>0</v>
          </cell>
        </row>
        <row r="95">
          <cell r="Q95">
            <v>0</v>
          </cell>
        </row>
        <row r="96">
          <cell r="Q96">
            <v>-2</v>
          </cell>
        </row>
        <row r="97">
          <cell r="Q97">
            <v>0</v>
          </cell>
        </row>
        <row r="98">
          <cell r="Q98">
            <v>4</v>
          </cell>
        </row>
        <row r="99">
          <cell r="Q99">
            <v>0</v>
          </cell>
        </row>
        <row r="100">
          <cell r="Q100">
            <v>-3</v>
          </cell>
        </row>
        <row r="101">
          <cell r="Q101">
            <v>4</v>
          </cell>
        </row>
        <row r="102">
          <cell r="Q102">
            <v>0</v>
          </cell>
        </row>
        <row r="103">
          <cell r="Q103">
            <v>21</v>
          </cell>
        </row>
        <row r="104">
          <cell r="Q104">
            <v>0</v>
          </cell>
        </row>
        <row r="105">
          <cell r="Q105">
            <v>-2</v>
          </cell>
        </row>
        <row r="106">
          <cell r="Q106">
            <v>0</v>
          </cell>
        </row>
        <row r="107">
          <cell r="Q107">
            <v>-1</v>
          </cell>
        </row>
        <row r="108">
          <cell r="Q108">
            <v>4</v>
          </cell>
        </row>
        <row r="109">
          <cell r="Q109">
            <v>3</v>
          </cell>
        </row>
        <row r="110">
          <cell r="Q110">
            <v>-2</v>
          </cell>
        </row>
        <row r="111">
          <cell r="Q111">
            <v>1</v>
          </cell>
        </row>
        <row r="112">
          <cell r="Q112">
            <v>-16</v>
          </cell>
        </row>
        <row r="113">
          <cell r="Q113">
            <v>-4</v>
          </cell>
        </row>
        <row r="114">
          <cell r="Q114">
            <v>-3</v>
          </cell>
        </row>
        <row r="115">
          <cell r="Q115">
            <v>3</v>
          </cell>
        </row>
        <row r="116">
          <cell r="Q116">
            <v>0</v>
          </cell>
        </row>
        <row r="117">
          <cell r="Q117">
            <v>-3</v>
          </cell>
        </row>
        <row r="118">
          <cell r="Q118">
            <v>0</v>
          </cell>
        </row>
        <row r="119">
          <cell r="Q119">
            <v>0</v>
          </cell>
        </row>
        <row r="120">
          <cell r="Q120">
            <v>0</v>
          </cell>
        </row>
        <row r="121">
          <cell r="Q121">
            <v>0</v>
          </cell>
        </row>
        <row r="122">
          <cell r="Q122">
            <v>0</v>
          </cell>
        </row>
        <row r="123">
          <cell r="Q123">
            <v>0</v>
          </cell>
        </row>
        <row r="124">
          <cell r="Q124">
            <v>0</v>
          </cell>
        </row>
        <row r="125">
          <cell r="Q125">
            <v>0</v>
          </cell>
        </row>
        <row r="126">
          <cell r="Q126">
            <v>0</v>
          </cell>
        </row>
        <row r="127">
          <cell r="Q127">
            <v>0</v>
          </cell>
        </row>
        <row r="128">
          <cell r="Q128">
            <v>0</v>
          </cell>
        </row>
        <row r="129">
          <cell r="Q129">
            <v>0</v>
          </cell>
        </row>
        <row r="130">
          <cell r="Q130">
            <v>-1</v>
          </cell>
        </row>
        <row r="131">
          <cell r="Q131">
            <v>-5</v>
          </cell>
        </row>
        <row r="132">
          <cell r="Q132">
            <v>-5</v>
          </cell>
        </row>
        <row r="133"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Q136">
            <v>0</v>
          </cell>
        </row>
        <row r="137">
          <cell r="Q137">
            <v>0</v>
          </cell>
        </row>
        <row r="138">
          <cell r="Q138">
            <v>-1</v>
          </cell>
        </row>
        <row r="139">
          <cell r="Q139">
            <v>-1</v>
          </cell>
        </row>
        <row r="140">
          <cell r="Q140">
            <v>-1</v>
          </cell>
        </row>
        <row r="141">
          <cell r="Q141">
            <v>-2</v>
          </cell>
        </row>
        <row r="142">
          <cell r="Q142">
            <v>-1</v>
          </cell>
        </row>
        <row r="143">
          <cell r="Q143">
            <v>1</v>
          </cell>
        </row>
        <row r="144">
          <cell r="Q144">
            <v>-1</v>
          </cell>
        </row>
        <row r="145">
          <cell r="Q145">
            <v>1</v>
          </cell>
        </row>
        <row r="146">
          <cell r="Q146">
            <v>-3</v>
          </cell>
        </row>
        <row r="147">
          <cell r="Q147">
            <v>0</v>
          </cell>
        </row>
        <row r="148">
          <cell r="Q148">
            <v>-1</v>
          </cell>
        </row>
        <row r="149">
          <cell r="Q149">
            <v>1</v>
          </cell>
        </row>
        <row r="150">
          <cell r="Q150">
            <v>0</v>
          </cell>
        </row>
        <row r="151">
          <cell r="Q151">
            <v>-1</v>
          </cell>
        </row>
        <row r="152">
          <cell r="Q152">
            <v>-5</v>
          </cell>
        </row>
        <row r="153">
          <cell r="Q153">
            <v>-4</v>
          </cell>
        </row>
        <row r="154">
          <cell r="Q154">
            <v>-8</v>
          </cell>
        </row>
        <row r="155">
          <cell r="Q155">
            <v>-12</v>
          </cell>
        </row>
        <row r="156">
          <cell r="Q156">
            <v>-3</v>
          </cell>
        </row>
        <row r="157">
          <cell r="Q157">
            <v>-3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Q160">
            <v>1</v>
          </cell>
        </row>
        <row r="161">
          <cell r="Q161">
            <v>1</v>
          </cell>
        </row>
        <row r="162">
          <cell r="Q162">
            <v>-11</v>
          </cell>
        </row>
        <row r="163">
          <cell r="Q163">
            <v>0</v>
          </cell>
        </row>
        <row r="164">
          <cell r="Q164">
            <v>0</v>
          </cell>
        </row>
        <row r="165">
          <cell r="Q165">
            <v>-7</v>
          </cell>
        </row>
        <row r="166">
          <cell r="Q166">
            <v>0</v>
          </cell>
        </row>
        <row r="167">
          <cell r="Q167">
            <v>-9</v>
          </cell>
        </row>
        <row r="168">
          <cell r="Q168">
            <v>1</v>
          </cell>
        </row>
        <row r="169">
          <cell r="Q169">
            <v>1</v>
          </cell>
        </row>
        <row r="170">
          <cell r="Q170">
            <v>9</v>
          </cell>
        </row>
        <row r="171">
          <cell r="Q171">
            <v>0</v>
          </cell>
        </row>
        <row r="172">
          <cell r="Q172">
            <v>-2</v>
          </cell>
        </row>
        <row r="173">
          <cell r="Q173">
            <v>0</v>
          </cell>
        </row>
        <row r="174">
          <cell r="Q174">
            <v>0</v>
          </cell>
        </row>
        <row r="175">
          <cell r="Q175">
            <v>4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Q178">
            <v>8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Q181">
            <v>-7</v>
          </cell>
        </row>
        <row r="182">
          <cell r="Q182">
            <v>1</v>
          </cell>
        </row>
        <row r="183">
          <cell r="Q183">
            <v>0</v>
          </cell>
        </row>
        <row r="184">
          <cell r="Q184">
            <v>-4</v>
          </cell>
        </row>
        <row r="185">
          <cell r="Q185">
            <v>-4</v>
          </cell>
        </row>
        <row r="186">
          <cell r="Q186">
            <v>-3</v>
          </cell>
        </row>
        <row r="187">
          <cell r="Q187">
            <v>5</v>
          </cell>
        </row>
        <row r="188">
          <cell r="Q188">
            <v>6</v>
          </cell>
        </row>
        <row r="189">
          <cell r="Q189">
            <v>3</v>
          </cell>
        </row>
        <row r="190">
          <cell r="Q190">
            <v>0</v>
          </cell>
        </row>
        <row r="191">
          <cell r="Q191">
            <v>-11</v>
          </cell>
        </row>
        <row r="192">
          <cell r="Q192">
            <v>-1</v>
          </cell>
        </row>
        <row r="193">
          <cell r="Q193">
            <v>-1</v>
          </cell>
        </row>
        <row r="194">
          <cell r="Q194">
            <v>-8</v>
          </cell>
        </row>
        <row r="195">
          <cell r="Q195">
            <v>0</v>
          </cell>
        </row>
        <row r="196">
          <cell r="Q196">
            <v>0</v>
          </cell>
        </row>
        <row r="197">
          <cell r="Q197">
            <v>-1</v>
          </cell>
        </row>
        <row r="198">
          <cell r="Q198">
            <v>0</v>
          </cell>
        </row>
        <row r="199">
          <cell r="Q199">
            <v>3</v>
          </cell>
        </row>
        <row r="200">
          <cell r="Q200">
            <v>-9</v>
          </cell>
        </row>
        <row r="201">
          <cell r="Q201">
            <v>0</v>
          </cell>
        </row>
        <row r="202">
          <cell r="Q202">
            <v>0</v>
          </cell>
        </row>
        <row r="203">
          <cell r="Q203">
            <v>0</v>
          </cell>
        </row>
        <row r="204">
          <cell r="Q204">
            <v>0</v>
          </cell>
        </row>
        <row r="205">
          <cell r="Q205">
            <v>0</v>
          </cell>
        </row>
        <row r="206">
          <cell r="Q206">
            <v>-7</v>
          </cell>
        </row>
        <row r="207">
          <cell r="Q207">
            <v>-26</v>
          </cell>
        </row>
        <row r="208">
          <cell r="Q208">
            <v>-3</v>
          </cell>
        </row>
        <row r="209">
          <cell r="Q209">
            <v>-1</v>
          </cell>
        </row>
        <row r="210">
          <cell r="Q210">
            <v>3</v>
          </cell>
        </row>
        <row r="211">
          <cell r="Q211">
            <v>0</v>
          </cell>
        </row>
        <row r="212">
          <cell r="Q212">
            <v>0</v>
          </cell>
        </row>
        <row r="213">
          <cell r="Q213">
            <v>-3</v>
          </cell>
        </row>
        <row r="214">
          <cell r="Q214">
            <v>8</v>
          </cell>
        </row>
        <row r="215">
          <cell r="Q215">
            <v>0</v>
          </cell>
        </row>
        <row r="216">
          <cell r="Q216">
            <v>-8</v>
          </cell>
        </row>
        <row r="217">
          <cell r="Q217">
            <v>0</v>
          </cell>
        </row>
        <row r="218">
          <cell r="Q218">
            <v>-3</v>
          </cell>
        </row>
        <row r="219">
          <cell r="Q219">
            <v>-3</v>
          </cell>
        </row>
        <row r="220">
          <cell r="Q220">
            <v>-9</v>
          </cell>
        </row>
        <row r="221">
          <cell r="Q221">
            <v>1</v>
          </cell>
        </row>
        <row r="222">
          <cell r="Q222">
            <v>1</v>
          </cell>
        </row>
        <row r="223">
          <cell r="Q223">
            <v>-3</v>
          </cell>
        </row>
        <row r="224">
          <cell r="Q224">
            <v>-1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Q227">
            <v>0</v>
          </cell>
        </row>
        <row r="228">
          <cell r="Q228">
            <v>0</v>
          </cell>
        </row>
        <row r="229">
          <cell r="Q229">
            <v>2</v>
          </cell>
        </row>
        <row r="230">
          <cell r="Q230">
            <v>1</v>
          </cell>
        </row>
        <row r="231">
          <cell r="Q231">
            <v>1</v>
          </cell>
        </row>
        <row r="232">
          <cell r="Q232">
            <v>-45</v>
          </cell>
        </row>
        <row r="233">
          <cell r="Q233">
            <v>-12</v>
          </cell>
        </row>
        <row r="234">
          <cell r="Q234">
            <v>-8</v>
          </cell>
        </row>
        <row r="235">
          <cell r="Q235">
            <v>-1</v>
          </cell>
        </row>
        <row r="236">
          <cell r="Q236">
            <v>-9</v>
          </cell>
        </row>
        <row r="237">
          <cell r="Q237">
            <v>-2</v>
          </cell>
        </row>
        <row r="238">
          <cell r="Q238">
            <v>11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Q241">
            <v>-3</v>
          </cell>
        </row>
        <row r="242">
          <cell r="Q242">
            <v>6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Q245">
            <v>-18</v>
          </cell>
        </row>
        <row r="246">
          <cell r="Q246">
            <v>0</v>
          </cell>
        </row>
        <row r="247">
          <cell r="Q247">
            <v>-3</v>
          </cell>
        </row>
        <row r="248">
          <cell r="Q248">
            <v>0</v>
          </cell>
        </row>
        <row r="249">
          <cell r="Q249">
            <v>-1</v>
          </cell>
        </row>
        <row r="250">
          <cell r="Q250">
            <v>0</v>
          </cell>
        </row>
        <row r="251">
          <cell r="Q251">
            <v>0</v>
          </cell>
        </row>
        <row r="252">
          <cell r="Q252">
            <v>0</v>
          </cell>
        </row>
        <row r="253">
          <cell r="Q253">
            <v>0</v>
          </cell>
        </row>
        <row r="254">
          <cell r="Q254">
            <v>1</v>
          </cell>
        </row>
        <row r="255">
          <cell r="Q255">
            <v>0</v>
          </cell>
        </row>
        <row r="256">
          <cell r="Q256">
            <v>-1</v>
          </cell>
        </row>
        <row r="257">
          <cell r="Q257">
            <v>0</v>
          </cell>
        </row>
        <row r="258">
          <cell r="Q258">
            <v>0</v>
          </cell>
        </row>
        <row r="259">
          <cell r="Q259">
            <v>-2</v>
          </cell>
        </row>
        <row r="260">
          <cell r="Q260">
            <v>1</v>
          </cell>
        </row>
        <row r="261">
          <cell r="Q261">
            <v>-2</v>
          </cell>
        </row>
        <row r="262">
          <cell r="Q262">
            <v>7</v>
          </cell>
        </row>
        <row r="263">
          <cell r="Q263">
            <v>6</v>
          </cell>
        </row>
        <row r="264">
          <cell r="Q264">
            <v>-1</v>
          </cell>
        </row>
        <row r="265">
          <cell r="Q265">
            <v>-2</v>
          </cell>
        </row>
        <row r="266">
          <cell r="Q266">
            <v>-6</v>
          </cell>
        </row>
        <row r="267">
          <cell r="Q267">
            <v>5</v>
          </cell>
        </row>
        <row r="268">
          <cell r="Q268">
            <v>-10</v>
          </cell>
        </row>
        <row r="269">
          <cell r="Q269">
            <v>-1</v>
          </cell>
        </row>
        <row r="270">
          <cell r="Q270">
            <v>0</v>
          </cell>
        </row>
        <row r="271">
          <cell r="Q271">
            <v>-5</v>
          </cell>
        </row>
        <row r="272">
          <cell r="Q272">
            <v>-5</v>
          </cell>
        </row>
        <row r="273">
          <cell r="Q273">
            <v>7</v>
          </cell>
        </row>
        <row r="274">
          <cell r="Q274">
            <v>-6</v>
          </cell>
        </row>
        <row r="275">
          <cell r="Q275">
            <v>0</v>
          </cell>
        </row>
        <row r="276">
          <cell r="Q276">
            <v>1</v>
          </cell>
        </row>
        <row r="277">
          <cell r="Q277">
            <v>-7</v>
          </cell>
        </row>
        <row r="278">
          <cell r="Q278">
            <v>2</v>
          </cell>
        </row>
        <row r="279">
          <cell r="Q279">
            <v>1</v>
          </cell>
        </row>
        <row r="280">
          <cell r="Q280">
            <v>51</v>
          </cell>
        </row>
        <row r="281">
          <cell r="Q281">
            <v>-1</v>
          </cell>
        </row>
        <row r="282">
          <cell r="Q282">
            <v>-39</v>
          </cell>
        </row>
        <row r="283">
          <cell r="Q283">
            <v>-8</v>
          </cell>
        </row>
        <row r="284">
          <cell r="Q284">
            <v>0</v>
          </cell>
        </row>
        <row r="285">
          <cell r="Q285">
            <v>6</v>
          </cell>
        </row>
        <row r="286">
          <cell r="Q286">
            <v>2</v>
          </cell>
        </row>
        <row r="287">
          <cell r="Q287">
            <v>-2</v>
          </cell>
        </row>
        <row r="288">
          <cell r="Q288">
            <v>-14</v>
          </cell>
        </row>
        <row r="289">
          <cell r="Q289">
            <v>-1</v>
          </cell>
        </row>
        <row r="290">
          <cell r="Q290">
            <v>-1</v>
          </cell>
        </row>
        <row r="291">
          <cell r="Q291">
            <v>-1</v>
          </cell>
        </row>
        <row r="292">
          <cell r="Q292">
            <v>-1</v>
          </cell>
        </row>
        <row r="293">
          <cell r="Q293">
            <v>2</v>
          </cell>
        </row>
        <row r="294">
          <cell r="Q294">
            <v>0</v>
          </cell>
        </row>
        <row r="295">
          <cell r="Q295">
            <v>-3</v>
          </cell>
        </row>
        <row r="296">
          <cell r="Q296">
            <v>8</v>
          </cell>
        </row>
        <row r="297">
          <cell r="Q297">
            <v>-4</v>
          </cell>
        </row>
        <row r="298">
          <cell r="Q298">
            <v>0</v>
          </cell>
        </row>
        <row r="299">
          <cell r="Q299">
            <v>-3</v>
          </cell>
        </row>
        <row r="300">
          <cell r="Q300">
            <v>4</v>
          </cell>
        </row>
        <row r="301">
          <cell r="Q301">
            <v>-2</v>
          </cell>
        </row>
        <row r="302">
          <cell r="Q302">
            <v>2</v>
          </cell>
        </row>
        <row r="303">
          <cell r="Q303">
            <v>0</v>
          </cell>
        </row>
        <row r="304">
          <cell r="Q304">
            <v>-2</v>
          </cell>
        </row>
        <row r="305">
          <cell r="Q305">
            <v>3</v>
          </cell>
        </row>
        <row r="306">
          <cell r="Q306">
            <v>0</v>
          </cell>
        </row>
        <row r="307">
          <cell r="Q307">
            <v>0</v>
          </cell>
        </row>
        <row r="308">
          <cell r="Q308">
            <v>-2</v>
          </cell>
        </row>
        <row r="309">
          <cell r="Q309">
            <v>-4</v>
          </cell>
        </row>
        <row r="310">
          <cell r="Q310">
            <v>0</v>
          </cell>
        </row>
        <row r="311">
          <cell r="Q311">
            <v>-5</v>
          </cell>
        </row>
        <row r="312">
          <cell r="Q312">
            <v>6</v>
          </cell>
        </row>
        <row r="313">
          <cell r="Q313">
            <v>-4</v>
          </cell>
        </row>
        <row r="314">
          <cell r="Q314">
            <v>-9</v>
          </cell>
        </row>
        <row r="315">
          <cell r="Q315">
            <v>-6</v>
          </cell>
        </row>
        <row r="316">
          <cell r="Q316">
            <v>-4</v>
          </cell>
        </row>
        <row r="317">
          <cell r="Q317">
            <v>1</v>
          </cell>
        </row>
        <row r="318">
          <cell r="Q318">
            <v>0</v>
          </cell>
        </row>
        <row r="319">
          <cell r="Q319">
            <v>-3</v>
          </cell>
        </row>
        <row r="320">
          <cell r="Q320">
            <v>-2</v>
          </cell>
        </row>
        <row r="321">
          <cell r="Q321">
            <v>-8</v>
          </cell>
        </row>
        <row r="322">
          <cell r="Q322">
            <v>3</v>
          </cell>
        </row>
        <row r="323">
          <cell r="Q323">
            <v>2</v>
          </cell>
        </row>
        <row r="324">
          <cell r="Q324">
            <v>-1</v>
          </cell>
        </row>
        <row r="325">
          <cell r="Q325">
            <v>-18</v>
          </cell>
        </row>
        <row r="326">
          <cell r="Q326">
            <v>-1</v>
          </cell>
        </row>
        <row r="327">
          <cell r="Q327">
            <v>-8</v>
          </cell>
        </row>
        <row r="328">
          <cell r="Q328">
            <v>-3</v>
          </cell>
        </row>
        <row r="329">
          <cell r="Q329">
            <v>0</v>
          </cell>
        </row>
        <row r="330">
          <cell r="Q330">
            <v>-2</v>
          </cell>
        </row>
        <row r="331">
          <cell r="Q331">
            <v>0</v>
          </cell>
        </row>
        <row r="332">
          <cell r="Q332">
            <v>0</v>
          </cell>
        </row>
        <row r="333">
          <cell r="Q333">
            <v>-5</v>
          </cell>
        </row>
        <row r="334">
          <cell r="Q334">
            <v>4</v>
          </cell>
        </row>
        <row r="335">
          <cell r="Q335">
            <v>0</v>
          </cell>
        </row>
        <row r="336">
          <cell r="Q336">
            <v>22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Q339">
            <v>0</v>
          </cell>
        </row>
        <row r="340">
          <cell r="Q340">
            <v>-1</v>
          </cell>
        </row>
        <row r="341">
          <cell r="Q341">
            <v>1</v>
          </cell>
        </row>
        <row r="342">
          <cell r="Q342">
            <v>0</v>
          </cell>
        </row>
        <row r="343">
          <cell r="Q343">
            <v>-2</v>
          </cell>
        </row>
        <row r="344">
          <cell r="Q344">
            <v>0</v>
          </cell>
        </row>
        <row r="345">
          <cell r="Q345">
            <v>2</v>
          </cell>
        </row>
        <row r="346">
          <cell r="Q346">
            <v>21</v>
          </cell>
        </row>
        <row r="347">
          <cell r="Q347">
            <v>0</v>
          </cell>
        </row>
        <row r="348">
          <cell r="Q348">
            <v>0</v>
          </cell>
        </row>
        <row r="349">
          <cell r="Q349">
            <v>0</v>
          </cell>
        </row>
        <row r="350">
          <cell r="Q350">
            <v>0</v>
          </cell>
        </row>
        <row r="351">
          <cell r="Q351">
            <v>0</v>
          </cell>
        </row>
        <row r="352">
          <cell r="Q352">
            <v>0</v>
          </cell>
        </row>
        <row r="353">
          <cell r="Q353">
            <v>0</v>
          </cell>
        </row>
        <row r="354">
          <cell r="Q354">
            <v>0</v>
          </cell>
        </row>
        <row r="355">
          <cell r="Q355">
            <v>-4</v>
          </cell>
        </row>
        <row r="356">
          <cell r="Q356">
            <v>0</v>
          </cell>
        </row>
        <row r="357">
          <cell r="Q357">
            <v>1</v>
          </cell>
        </row>
        <row r="358">
          <cell r="Q358">
            <v>2</v>
          </cell>
        </row>
        <row r="359">
          <cell r="Q359">
            <v>1</v>
          </cell>
        </row>
        <row r="360">
          <cell r="Q360">
            <v>10</v>
          </cell>
        </row>
        <row r="361">
          <cell r="Q361">
            <v>-3</v>
          </cell>
        </row>
        <row r="362">
          <cell r="Q362">
            <v>0</v>
          </cell>
        </row>
        <row r="363">
          <cell r="Q363">
            <v>15</v>
          </cell>
        </row>
        <row r="364">
          <cell r="Q364">
            <v>29</v>
          </cell>
        </row>
        <row r="365">
          <cell r="Q365">
            <v>0</v>
          </cell>
        </row>
        <row r="366">
          <cell r="Q366">
            <v>-3</v>
          </cell>
        </row>
        <row r="367">
          <cell r="Q367">
            <v>-1</v>
          </cell>
        </row>
        <row r="368">
          <cell r="Q368">
            <v>-1</v>
          </cell>
        </row>
        <row r="369">
          <cell r="Q369">
            <v>0</v>
          </cell>
        </row>
        <row r="370">
          <cell r="Q370">
            <v>-12</v>
          </cell>
        </row>
        <row r="371">
          <cell r="Q371">
            <v>-2</v>
          </cell>
        </row>
        <row r="372">
          <cell r="Q372">
            <v>-2</v>
          </cell>
        </row>
        <row r="373">
          <cell r="Q373">
            <v>2</v>
          </cell>
        </row>
        <row r="374">
          <cell r="Q374">
            <v>-4</v>
          </cell>
        </row>
        <row r="375">
          <cell r="Q375">
            <v>4</v>
          </cell>
        </row>
        <row r="376">
          <cell r="Q376">
            <v>-3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Q379">
            <v>-2</v>
          </cell>
        </row>
        <row r="380">
          <cell r="Q380">
            <v>0</v>
          </cell>
        </row>
        <row r="381">
          <cell r="Q381">
            <v>-4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-1</v>
          </cell>
        </row>
        <row r="389">
          <cell r="Q389">
            <v>0</v>
          </cell>
        </row>
        <row r="390">
          <cell r="Q390">
            <v>0</v>
          </cell>
        </row>
        <row r="391">
          <cell r="Q391">
            <v>3</v>
          </cell>
        </row>
        <row r="392">
          <cell r="Q392">
            <v>0</v>
          </cell>
        </row>
        <row r="393">
          <cell r="Q393">
            <v>1</v>
          </cell>
        </row>
        <row r="394">
          <cell r="Q394">
            <v>2</v>
          </cell>
        </row>
        <row r="395">
          <cell r="Q395">
            <v>2</v>
          </cell>
        </row>
        <row r="396">
          <cell r="Q396">
            <v>1</v>
          </cell>
        </row>
        <row r="397">
          <cell r="Q397">
            <v>0</v>
          </cell>
        </row>
        <row r="398">
          <cell r="Q398">
            <v>1</v>
          </cell>
        </row>
        <row r="399">
          <cell r="Q399">
            <v>0</v>
          </cell>
        </row>
        <row r="400">
          <cell r="Q400">
            <v>1</v>
          </cell>
        </row>
        <row r="401">
          <cell r="Q401">
            <v>5</v>
          </cell>
        </row>
        <row r="402">
          <cell r="Q402">
            <v>-1</v>
          </cell>
        </row>
        <row r="403">
          <cell r="Q403">
            <v>-7</v>
          </cell>
        </row>
        <row r="404">
          <cell r="Q404">
            <v>0</v>
          </cell>
        </row>
        <row r="405">
          <cell r="Q405">
            <v>-1</v>
          </cell>
        </row>
        <row r="406">
          <cell r="Q406">
            <v>1</v>
          </cell>
        </row>
        <row r="407">
          <cell r="Q407">
            <v>-8</v>
          </cell>
        </row>
        <row r="408">
          <cell r="Q408">
            <v>0</v>
          </cell>
        </row>
        <row r="409">
          <cell r="Q409">
            <v>-1</v>
          </cell>
        </row>
        <row r="410">
          <cell r="Q410">
            <v>-3</v>
          </cell>
        </row>
        <row r="411">
          <cell r="Q411">
            <v>3</v>
          </cell>
        </row>
        <row r="412">
          <cell r="Q412">
            <v>-9</v>
          </cell>
        </row>
        <row r="413">
          <cell r="Q413">
            <v>-9</v>
          </cell>
        </row>
        <row r="414">
          <cell r="Q414">
            <v>-13</v>
          </cell>
        </row>
        <row r="415">
          <cell r="Q415">
            <v>-1</v>
          </cell>
        </row>
        <row r="416">
          <cell r="Q416">
            <v>1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Q419">
            <v>-2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Q422">
            <v>0</v>
          </cell>
        </row>
        <row r="423">
          <cell r="Q423">
            <v>0</v>
          </cell>
        </row>
        <row r="424">
          <cell r="Q424">
            <v>4</v>
          </cell>
        </row>
        <row r="425">
          <cell r="Q425">
            <v>0</v>
          </cell>
        </row>
        <row r="426">
          <cell r="Q426">
            <v>0</v>
          </cell>
        </row>
        <row r="428">
          <cell r="Q428">
            <v>-297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изменение режима"/>
      <sheetName val="Лист3"/>
      <sheetName val="Технологические режимы"/>
      <sheetName val=" свод ГТМ"/>
      <sheetName val=" изменение режима (2)"/>
      <sheetName val="СБРОС"/>
    </sheetNames>
    <sheetDataSet>
      <sheetData sheetId="0">
        <row r="6">
          <cell r="W6" t="str">
            <v>Примечание (шифр)</v>
          </cell>
        </row>
        <row r="8">
          <cell r="W8" t="str">
            <v>вода</v>
          </cell>
        </row>
        <row r="9">
          <cell r="W9" t="str">
            <v>вода</v>
          </cell>
        </row>
        <row r="10">
          <cell r="W10">
            <v>0</v>
          </cell>
        </row>
        <row r="11">
          <cell r="W11" t="str">
            <v>вода</v>
          </cell>
        </row>
        <row r="12">
          <cell r="W12" t="str">
            <v>вода</v>
          </cell>
        </row>
        <row r="13">
          <cell r="W13" t="str">
            <v>вода</v>
          </cell>
        </row>
        <row r="14">
          <cell r="W14">
            <v>0</v>
          </cell>
        </row>
        <row r="15">
          <cell r="W15" t="str">
            <v>крс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0</v>
          </cell>
        </row>
        <row r="19">
          <cell r="W19" t="str">
            <v>вода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>
            <v>0</v>
          </cell>
        </row>
        <row r="23">
          <cell r="W23" t="str">
            <v>вода</v>
          </cell>
        </row>
        <row r="24">
          <cell r="W24" t="str">
            <v>ут.реж</v>
          </cell>
        </row>
        <row r="25">
          <cell r="W25">
            <v>0</v>
          </cell>
        </row>
        <row r="26">
          <cell r="W26" t="str">
            <v>прс</v>
          </cell>
        </row>
        <row r="27">
          <cell r="W27" t="str">
            <v>вода</v>
          </cell>
        </row>
        <row r="28">
          <cell r="W28">
            <v>0</v>
          </cell>
        </row>
        <row r="29">
          <cell r="W29">
            <v>0</v>
          </cell>
        </row>
        <row r="30">
          <cell r="W30">
            <v>0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вода</v>
          </cell>
        </row>
        <row r="34">
          <cell r="W34">
            <v>0</v>
          </cell>
        </row>
        <row r="35">
          <cell r="W35" t="str">
            <v>нов</v>
          </cell>
        </row>
        <row r="36">
          <cell r="W36">
            <v>0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>
            <v>0</v>
          </cell>
        </row>
        <row r="40">
          <cell r="W40" t="str">
            <v>ут.реж</v>
          </cell>
        </row>
        <row r="41">
          <cell r="W41" t="str">
            <v>ут.реж</v>
          </cell>
        </row>
        <row r="42">
          <cell r="W42">
            <v>0</v>
          </cell>
        </row>
        <row r="43">
          <cell r="W43" t="str">
            <v>вода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ут.реж</v>
          </cell>
        </row>
        <row r="47">
          <cell r="W47">
            <v>0</v>
          </cell>
        </row>
        <row r="48">
          <cell r="W48">
            <v>0</v>
          </cell>
        </row>
        <row r="49">
          <cell r="W49" t="str">
            <v>вода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>
            <v>0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ут.реж</v>
          </cell>
        </row>
        <row r="56">
          <cell r="W56">
            <v>0</v>
          </cell>
        </row>
        <row r="57">
          <cell r="W57">
            <v>0</v>
          </cell>
        </row>
        <row r="58">
          <cell r="W58" t="str">
            <v>ут.реж</v>
          </cell>
        </row>
        <row r="59">
          <cell r="W59">
            <v>0</v>
          </cell>
        </row>
        <row r="60">
          <cell r="W60">
            <v>0</v>
          </cell>
        </row>
        <row r="61">
          <cell r="W61">
            <v>0</v>
          </cell>
        </row>
        <row r="62">
          <cell r="W62" t="str">
            <v>ут.реж</v>
          </cell>
        </row>
        <row r="63">
          <cell r="W63">
            <v>0</v>
          </cell>
        </row>
        <row r="64">
          <cell r="W64">
            <v>0</v>
          </cell>
        </row>
        <row r="65">
          <cell r="W65">
            <v>0</v>
          </cell>
        </row>
        <row r="66">
          <cell r="W66">
            <v>0</v>
          </cell>
        </row>
        <row r="67">
          <cell r="W67">
            <v>0</v>
          </cell>
        </row>
        <row r="68">
          <cell r="W68" t="str">
            <v>вода</v>
          </cell>
        </row>
        <row r="69">
          <cell r="W69" t="str">
            <v>вода</v>
          </cell>
        </row>
        <row r="70">
          <cell r="W70">
            <v>0</v>
          </cell>
        </row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 t="str">
            <v>вода</v>
          </cell>
        </row>
        <row r="77">
          <cell r="W77">
            <v>0</v>
          </cell>
        </row>
        <row r="78">
          <cell r="W78">
            <v>0</v>
          </cell>
        </row>
        <row r="79">
          <cell r="W79" t="str">
            <v>крс</v>
          </cell>
        </row>
        <row r="80">
          <cell r="W80">
            <v>0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6">
          <cell r="W86">
            <v>0</v>
          </cell>
        </row>
        <row r="87">
          <cell r="W87">
            <v>0</v>
          </cell>
        </row>
        <row r="88">
          <cell r="W88" t="str">
            <v>прс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>
            <v>0</v>
          </cell>
        </row>
        <row r="92">
          <cell r="W92" t="str">
            <v>по</v>
          </cell>
        </row>
        <row r="93">
          <cell r="W93">
            <v>0</v>
          </cell>
        </row>
        <row r="94">
          <cell r="W94" t="str">
            <v>ут.реж</v>
          </cell>
        </row>
        <row r="95">
          <cell r="W95">
            <v>0</v>
          </cell>
        </row>
        <row r="96">
          <cell r="W96" t="str">
            <v>вода</v>
          </cell>
        </row>
        <row r="97">
          <cell r="W97">
            <v>0</v>
          </cell>
        </row>
        <row r="98">
          <cell r="W98" t="str">
            <v>ут.реж</v>
          </cell>
        </row>
        <row r="99">
          <cell r="W99">
            <v>0</v>
          </cell>
        </row>
        <row r="100">
          <cell r="W100" t="str">
            <v>вода</v>
          </cell>
        </row>
        <row r="101">
          <cell r="W101" t="str">
            <v>вода</v>
          </cell>
        </row>
        <row r="102">
          <cell r="W102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>
            <v>0</v>
          </cell>
        </row>
        <row r="108">
          <cell r="W108">
            <v>0</v>
          </cell>
        </row>
        <row r="109">
          <cell r="W109">
            <v>0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 t="str">
            <v>вода</v>
          </cell>
        </row>
        <row r="113">
          <cell r="W113">
            <v>0</v>
          </cell>
        </row>
        <row r="114">
          <cell r="W114">
            <v>0</v>
          </cell>
        </row>
        <row r="115">
          <cell r="W115">
            <v>0</v>
          </cell>
        </row>
        <row r="116">
          <cell r="W116">
            <v>0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 t="str">
            <v>ут.реж</v>
          </cell>
        </row>
        <row r="120">
          <cell r="W120" t="str">
            <v>ут.реж</v>
          </cell>
        </row>
        <row r="121">
          <cell r="W121" t="str">
            <v>ут.реж</v>
          </cell>
        </row>
        <row r="122">
          <cell r="W122">
            <v>0</v>
          </cell>
        </row>
        <row r="123">
          <cell r="W123">
            <v>0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>
            <v>0</v>
          </cell>
        </row>
        <row r="128">
          <cell r="W128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2">
          <cell r="W132">
            <v>0</v>
          </cell>
        </row>
        <row r="133">
          <cell r="W133">
            <v>0</v>
          </cell>
        </row>
        <row r="134">
          <cell r="W134" t="str">
            <v>ут.реж</v>
          </cell>
        </row>
        <row r="135">
          <cell r="W135">
            <v>0</v>
          </cell>
        </row>
        <row r="136">
          <cell r="W136">
            <v>0</v>
          </cell>
        </row>
        <row r="137">
          <cell r="W137">
            <v>0</v>
          </cell>
        </row>
        <row r="138">
          <cell r="W138" t="str">
            <v>вода</v>
          </cell>
        </row>
        <row r="139">
          <cell r="W139">
            <v>0</v>
          </cell>
        </row>
        <row r="140">
          <cell r="W140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>
            <v>0</v>
          </cell>
        </row>
        <row r="146">
          <cell r="W146" t="str">
            <v>по</v>
          </cell>
        </row>
        <row r="147">
          <cell r="W147">
            <v>0</v>
          </cell>
        </row>
        <row r="148">
          <cell r="W148">
            <v>0</v>
          </cell>
        </row>
        <row r="149">
          <cell r="W149" t="str">
            <v>ут.реж</v>
          </cell>
        </row>
        <row r="150">
          <cell r="W150" t="str">
            <v>вода</v>
          </cell>
        </row>
        <row r="151">
          <cell r="W151">
            <v>0</v>
          </cell>
        </row>
        <row r="152">
          <cell r="W152">
            <v>0</v>
          </cell>
        </row>
        <row r="153">
          <cell r="W153" t="str">
            <v>прс</v>
          </cell>
        </row>
        <row r="154">
          <cell r="W154" t="str">
            <v>ут.реж</v>
          </cell>
        </row>
        <row r="155">
          <cell r="W155">
            <v>0</v>
          </cell>
        </row>
        <row r="156">
          <cell r="W156" t="str">
            <v>ут.реж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>
            <v>0</v>
          </cell>
        </row>
        <row r="164">
          <cell r="W164">
            <v>0</v>
          </cell>
        </row>
        <row r="165">
          <cell r="W165">
            <v>0</v>
          </cell>
        </row>
        <row r="166">
          <cell r="W166" t="str">
            <v>ут.реж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ут.реж</v>
          </cell>
        </row>
        <row r="173">
          <cell r="W173">
            <v>0</v>
          </cell>
        </row>
        <row r="174">
          <cell r="W174">
            <v>0</v>
          </cell>
        </row>
        <row r="175">
          <cell r="W175" t="str">
            <v>вода</v>
          </cell>
        </row>
        <row r="176">
          <cell r="W176">
            <v>0</v>
          </cell>
        </row>
        <row r="177">
          <cell r="W177" t="str">
            <v>ут.реж</v>
          </cell>
        </row>
        <row r="178">
          <cell r="W178" t="str">
            <v>ут.реж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>
            <v>0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 t="str">
            <v>ут.реж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 t="str">
            <v>ут.реж</v>
          </cell>
        </row>
        <row r="191">
          <cell r="W191">
            <v>0</v>
          </cell>
        </row>
        <row r="192">
          <cell r="W192">
            <v>0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>
            <v>0</v>
          </cell>
        </row>
        <row r="196">
          <cell r="W196" t="str">
            <v>прс</v>
          </cell>
        </row>
        <row r="197">
          <cell r="W197">
            <v>0</v>
          </cell>
        </row>
        <row r="198">
          <cell r="W198">
            <v>0</v>
          </cell>
        </row>
        <row r="199">
          <cell r="W199">
            <v>0</v>
          </cell>
        </row>
        <row r="200">
          <cell r="W200" t="str">
            <v>сн.грп</v>
          </cell>
        </row>
        <row r="201">
          <cell r="W201">
            <v>0</v>
          </cell>
        </row>
        <row r="202">
          <cell r="W202">
            <v>0</v>
          </cell>
        </row>
        <row r="203">
          <cell r="W203">
            <v>0</v>
          </cell>
        </row>
        <row r="204">
          <cell r="W204">
            <v>0</v>
          </cell>
        </row>
        <row r="205">
          <cell r="W205">
            <v>0</v>
          </cell>
        </row>
        <row r="206">
          <cell r="W206">
            <v>0</v>
          </cell>
        </row>
        <row r="207">
          <cell r="W207" t="str">
            <v>ут.реж</v>
          </cell>
        </row>
        <row r="208">
          <cell r="W208">
            <v>0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ут.реж</v>
          </cell>
        </row>
        <row r="212">
          <cell r="W212">
            <v>0</v>
          </cell>
        </row>
        <row r="213">
          <cell r="W213">
            <v>0</v>
          </cell>
        </row>
        <row r="214">
          <cell r="W214" t="str">
            <v>вода</v>
          </cell>
        </row>
        <row r="215">
          <cell r="W215">
            <v>0</v>
          </cell>
        </row>
        <row r="216">
          <cell r="W216">
            <v>0</v>
          </cell>
        </row>
        <row r="217">
          <cell r="W217">
            <v>0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 t="str">
            <v>прс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 t="str">
            <v>вода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>
            <v>0</v>
          </cell>
        </row>
        <row r="229">
          <cell r="W229" t="str">
            <v>вода</v>
          </cell>
        </row>
        <row r="230">
          <cell r="W230">
            <v>0</v>
          </cell>
        </row>
        <row r="231">
          <cell r="W231">
            <v>0</v>
          </cell>
        </row>
        <row r="232">
          <cell r="W232">
            <v>0</v>
          </cell>
        </row>
        <row r="233">
          <cell r="W233">
            <v>0</v>
          </cell>
        </row>
        <row r="234">
          <cell r="W234">
            <v>0</v>
          </cell>
        </row>
        <row r="235">
          <cell r="W235">
            <v>0</v>
          </cell>
        </row>
        <row r="236">
          <cell r="W236">
            <v>0</v>
          </cell>
        </row>
        <row r="237">
          <cell r="W237">
            <v>0</v>
          </cell>
        </row>
        <row r="238">
          <cell r="W238" t="str">
            <v>ут.реж</v>
          </cell>
        </row>
        <row r="239">
          <cell r="W239" t="str">
            <v>вода</v>
          </cell>
        </row>
        <row r="240">
          <cell r="W240">
            <v>0</v>
          </cell>
        </row>
        <row r="241">
          <cell r="W241">
            <v>0</v>
          </cell>
        </row>
        <row r="242">
          <cell r="W242" t="str">
            <v>прс</v>
          </cell>
        </row>
        <row r="243">
          <cell r="W243">
            <v>0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>
            <v>0</v>
          </cell>
        </row>
        <row r="247">
          <cell r="W247">
            <v>0</v>
          </cell>
        </row>
        <row r="248">
          <cell r="W248" t="str">
            <v>вода</v>
          </cell>
        </row>
        <row r="249">
          <cell r="W249" t="str">
            <v>ут.реж</v>
          </cell>
        </row>
        <row r="250">
          <cell r="W250">
            <v>0</v>
          </cell>
        </row>
        <row r="251">
          <cell r="W251" t="str">
            <v>ут.реж</v>
          </cell>
        </row>
        <row r="252">
          <cell r="W252" t="str">
            <v>ут.реж</v>
          </cell>
        </row>
        <row r="253">
          <cell r="W253">
            <v>0</v>
          </cell>
        </row>
        <row r="254">
          <cell r="W254">
            <v>0</v>
          </cell>
        </row>
        <row r="255">
          <cell r="W255">
            <v>0</v>
          </cell>
        </row>
        <row r="256">
          <cell r="W256">
            <v>0</v>
          </cell>
        </row>
        <row r="257">
          <cell r="W257">
            <v>0</v>
          </cell>
        </row>
        <row r="258">
          <cell r="W258" t="str">
            <v>по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>
            <v>0</v>
          </cell>
        </row>
        <row r="262">
          <cell r="W262">
            <v>0</v>
          </cell>
        </row>
        <row r="263">
          <cell r="W263" t="str">
            <v>прс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 t="str">
            <v>вода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 t="str">
            <v>вода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 t="str">
            <v>ут.реж</v>
          </cell>
        </row>
        <row r="277">
          <cell r="W277" t="str">
            <v>по</v>
          </cell>
        </row>
        <row r="278">
          <cell r="W278">
            <v>0</v>
          </cell>
        </row>
        <row r="279">
          <cell r="W279">
            <v>0</v>
          </cell>
        </row>
        <row r="280">
          <cell r="W280">
            <v>0</v>
          </cell>
        </row>
        <row r="281">
          <cell r="W281">
            <v>0</v>
          </cell>
        </row>
        <row r="282">
          <cell r="W282">
            <v>0</v>
          </cell>
        </row>
        <row r="283">
          <cell r="W283">
            <v>0</v>
          </cell>
        </row>
        <row r="284">
          <cell r="W284">
            <v>0</v>
          </cell>
        </row>
        <row r="285">
          <cell r="W285" t="str">
            <v>опз</v>
          </cell>
        </row>
        <row r="286">
          <cell r="W286">
            <v>0</v>
          </cell>
        </row>
        <row r="287">
          <cell r="W287" t="str">
            <v>вода</v>
          </cell>
        </row>
        <row r="288">
          <cell r="W288">
            <v>0</v>
          </cell>
        </row>
        <row r="289">
          <cell r="W289" t="str">
            <v>вода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>
            <v>0</v>
          </cell>
        </row>
        <row r="293">
          <cell r="W293" t="str">
            <v>вода</v>
          </cell>
        </row>
        <row r="294">
          <cell r="W294">
            <v>0</v>
          </cell>
        </row>
        <row r="295">
          <cell r="W295">
            <v>0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>
            <v>0</v>
          </cell>
        </row>
        <row r="299">
          <cell r="W299" t="str">
            <v>сн.опз</v>
          </cell>
        </row>
        <row r="300">
          <cell r="W300">
            <v>0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 t="str">
            <v>вода</v>
          </cell>
        </row>
        <row r="304">
          <cell r="W304" t="str">
            <v>прс</v>
          </cell>
        </row>
        <row r="305">
          <cell r="W305" t="str">
            <v>вода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 t="str">
            <v>вода</v>
          </cell>
        </row>
        <row r="310">
          <cell r="W310" t="str">
            <v>вода</v>
          </cell>
        </row>
        <row r="311">
          <cell r="W311" t="str">
            <v>вода</v>
          </cell>
        </row>
        <row r="312">
          <cell r="W312" t="str">
            <v>вода</v>
          </cell>
        </row>
        <row r="313">
          <cell r="W313" t="str">
            <v>вода</v>
          </cell>
        </row>
        <row r="314">
          <cell r="W314">
            <v>0</v>
          </cell>
        </row>
        <row r="315">
          <cell r="W315">
            <v>0</v>
          </cell>
        </row>
        <row r="316">
          <cell r="W316" t="str">
            <v>вода</v>
          </cell>
        </row>
        <row r="317">
          <cell r="W317">
            <v>0</v>
          </cell>
        </row>
        <row r="318">
          <cell r="W318">
            <v>0</v>
          </cell>
        </row>
        <row r="319">
          <cell r="W319">
            <v>0</v>
          </cell>
        </row>
        <row r="320">
          <cell r="W320" t="str">
            <v>ут.реж</v>
          </cell>
        </row>
        <row r="321">
          <cell r="W321" t="str">
            <v>вода</v>
          </cell>
        </row>
        <row r="322">
          <cell r="W322" t="str">
            <v>прс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>
            <v>0</v>
          </cell>
        </row>
        <row r="327">
          <cell r="W327" t="str">
            <v>вода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 t="str">
            <v>по</v>
          </cell>
        </row>
        <row r="331">
          <cell r="W331" t="str">
            <v>ут.реж</v>
          </cell>
        </row>
        <row r="332">
          <cell r="W332">
            <v>0</v>
          </cell>
        </row>
        <row r="333">
          <cell r="W333">
            <v>0</v>
          </cell>
        </row>
        <row r="334">
          <cell r="W334" t="str">
            <v>опз</v>
          </cell>
        </row>
        <row r="335">
          <cell r="W335" t="str">
            <v>вода</v>
          </cell>
        </row>
        <row r="336">
          <cell r="W336" t="str">
            <v>вода</v>
          </cell>
        </row>
        <row r="337">
          <cell r="W337" t="str">
            <v>ипп</v>
          </cell>
        </row>
        <row r="338">
          <cell r="W338" t="str">
            <v>вода</v>
          </cell>
        </row>
        <row r="339">
          <cell r="W339">
            <v>0</v>
          </cell>
        </row>
        <row r="340">
          <cell r="W340" t="str">
            <v>крс</v>
          </cell>
        </row>
        <row r="341">
          <cell r="W341">
            <v>0</v>
          </cell>
        </row>
        <row r="342">
          <cell r="W342">
            <v>0</v>
          </cell>
        </row>
        <row r="343">
          <cell r="W343">
            <v>0</v>
          </cell>
        </row>
        <row r="344">
          <cell r="W344">
            <v>0</v>
          </cell>
        </row>
        <row r="345">
          <cell r="W345" t="str">
            <v>сн.грп</v>
          </cell>
        </row>
        <row r="346">
          <cell r="W346" t="str">
            <v>ут.реж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вода</v>
          </cell>
        </row>
        <row r="350">
          <cell r="W350">
            <v>0</v>
          </cell>
        </row>
        <row r="351">
          <cell r="W351" t="str">
            <v>вода</v>
          </cell>
        </row>
        <row r="352">
          <cell r="W352" t="str">
            <v>прс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>
            <v>0</v>
          </cell>
        </row>
        <row r="356">
          <cell r="W356" t="str">
            <v>ут.реж</v>
          </cell>
        </row>
        <row r="357">
          <cell r="W357">
            <v>0</v>
          </cell>
        </row>
        <row r="358">
          <cell r="W358" t="str">
            <v>вода</v>
          </cell>
        </row>
        <row r="359">
          <cell r="W359" t="str">
            <v>вода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вода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>
            <v>0</v>
          </cell>
        </row>
        <row r="367">
          <cell r="W367">
            <v>0</v>
          </cell>
        </row>
        <row r="368">
          <cell r="W368">
            <v>0</v>
          </cell>
        </row>
        <row r="369">
          <cell r="W369">
            <v>0</v>
          </cell>
        </row>
        <row r="370">
          <cell r="W370">
            <v>0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 t="str">
            <v>ипп</v>
          </cell>
        </row>
        <row r="375">
          <cell r="W375" t="str">
            <v>ипп</v>
          </cell>
        </row>
        <row r="376">
          <cell r="W376" t="str">
            <v>прс</v>
          </cell>
        </row>
        <row r="377">
          <cell r="W377" t="str">
            <v>ут.реж</v>
          </cell>
        </row>
        <row r="378">
          <cell r="W378" t="str">
            <v>прс</v>
          </cell>
        </row>
        <row r="379">
          <cell r="W379">
            <v>0</v>
          </cell>
        </row>
        <row r="380">
          <cell r="W380" t="str">
            <v>вода</v>
          </cell>
        </row>
        <row r="381">
          <cell r="W381">
            <v>0</v>
          </cell>
        </row>
        <row r="382">
          <cell r="W382">
            <v>0</v>
          </cell>
        </row>
        <row r="383">
          <cell r="W383" t="str">
            <v>по</v>
          </cell>
        </row>
        <row r="384">
          <cell r="W384">
            <v>0</v>
          </cell>
        </row>
        <row r="385">
          <cell r="W385" t="str">
            <v>ипп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>
            <v>0</v>
          </cell>
        </row>
        <row r="389">
          <cell r="W389">
            <v>0</v>
          </cell>
        </row>
        <row r="390">
          <cell r="W390" t="str">
            <v>вода</v>
          </cell>
        </row>
        <row r="391">
          <cell r="W391">
            <v>0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>
            <v>0</v>
          </cell>
        </row>
        <row r="395">
          <cell r="W395" t="str">
            <v>вода</v>
          </cell>
        </row>
        <row r="396">
          <cell r="W396">
            <v>0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>
            <v>0</v>
          </cell>
        </row>
        <row r="401">
          <cell r="W401" t="str">
            <v>сн.грп</v>
          </cell>
        </row>
        <row r="402">
          <cell r="W402">
            <v>0</v>
          </cell>
        </row>
        <row r="403">
          <cell r="W403">
            <v>0</v>
          </cell>
        </row>
        <row r="404">
          <cell r="W404">
            <v>0</v>
          </cell>
        </row>
        <row r="405">
          <cell r="W405">
            <v>0</v>
          </cell>
        </row>
        <row r="406">
          <cell r="W406" t="str">
            <v>ут.реж</v>
          </cell>
        </row>
        <row r="407">
          <cell r="W407" t="str">
            <v>сн.грп</v>
          </cell>
        </row>
        <row r="408">
          <cell r="W408">
            <v>0</v>
          </cell>
        </row>
        <row r="409">
          <cell r="W409">
            <v>0</v>
          </cell>
        </row>
        <row r="410">
          <cell r="W410" t="str">
            <v>по</v>
          </cell>
        </row>
        <row r="411">
          <cell r="W411" t="str">
            <v>ут.реж</v>
          </cell>
        </row>
        <row r="412">
          <cell r="W412">
            <v>0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>
            <v>0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>
            <v>0</v>
          </cell>
        </row>
        <row r="422">
          <cell r="W422" t="str">
            <v>ут.реж</v>
          </cell>
        </row>
        <row r="423">
          <cell r="W423" t="str">
            <v>сн.грп</v>
          </cell>
        </row>
        <row r="424">
          <cell r="W424" t="str">
            <v>вода</v>
          </cell>
        </row>
        <row r="425">
          <cell r="W425">
            <v>0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>
            <v>0</v>
          </cell>
        </row>
        <row r="429">
          <cell r="W429">
            <v>0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 t="str">
            <v>ут.реж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>
            <v>0</v>
          </cell>
        </row>
        <row r="436">
          <cell r="W436" t="str">
            <v>ут.реж</v>
          </cell>
        </row>
        <row r="437">
          <cell r="W437" t="str">
            <v>вода</v>
          </cell>
        </row>
        <row r="438">
          <cell r="W438">
            <v>0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>
            <v>0</v>
          </cell>
        </row>
        <row r="442">
          <cell r="W442">
            <v>0</v>
          </cell>
        </row>
        <row r="443">
          <cell r="W443">
            <v>0</v>
          </cell>
        </row>
        <row r="444">
          <cell r="W444">
            <v>0</v>
          </cell>
        </row>
        <row r="445">
          <cell r="W445">
            <v>0</v>
          </cell>
        </row>
        <row r="446">
          <cell r="W446">
            <v>0</v>
          </cell>
        </row>
        <row r="447">
          <cell r="W447">
            <v>0</v>
          </cell>
        </row>
        <row r="448">
          <cell r="W448">
            <v>0</v>
          </cell>
        </row>
        <row r="449">
          <cell r="W449" t="str">
            <v>ипп</v>
          </cell>
        </row>
        <row r="450">
          <cell r="W450">
            <v>0</v>
          </cell>
        </row>
        <row r="451">
          <cell r="W451">
            <v>0</v>
          </cell>
        </row>
        <row r="452">
          <cell r="W452" t="str">
            <v>вода</v>
          </cell>
        </row>
        <row r="453">
          <cell r="W453" t="str">
            <v>нов</v>
          </cell>
        </row>
        <row r="454">
          <cell r="W454" t="str">
            <v>нов</v>
          </cell>
        </row>
        <row r="455">
          <cell r="W455" t="str">
            <v>прс</v>
          </cell>
        </row>
        <row r="456">
          <cell r="W456">
            <v>0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>
            <v>0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вода</v>
          </cell>
        </row>
        <row r="463">
          <cell r="W463" t="str">
            <v>вода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 t="str">
            <v>по</v>
          </cell>
        </row>
        <row r="469">
          <cell r="W469">
            <v>0</v>
          </cell>
        </row>
        <row r="470">
          <cell r="W470" t="str">
            <v>нов</v>
          </cell>
        </row>
        <row r="471">
          <cell r="W471" t="str">
            <v>вода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>
            <v>0</v>
          </cell>
        </row>
        <row r="475">
          <cell r="W475" t="str">
            <v>вода</v>
          </cell>
        </row>
        <row r="476">
          <cell r="W476">
            <v>0</v>
          </cell>
        </row>
        <row r="477">
          <cell r="W477">
            <v>0</v>
          </cell>
        </row>
        <row r="478">
          <cell r="W478">
            <v>0</v>
          </cell>
        </row>
        <row r="479">
          <cell r="W479">
            <v>0</v>
          </cell>
        </row>
        <row r="480">
          <cell r="W480">
            <v>0</v>
          </cell>
        </row>
        <row r="481">
          <cell r="W481">
            <v>0</v>
          </cell>
        </row>
        <row r="482">
          <cell r="W482" t="str">
            <v>ут.реж</v>
          </cell>
        </row>
        <row r="483">
          <cell r="W483" t="str">
            <v>ут.реж</v>
          </cell>
        </row>
        <row r="484">
          <cell r="W484" t="str">
            <v>ут.реж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>
            <v>0</v>
          </cell>
        </row>
        <row r="492">
          <cell r="W492">
            <v>0</v>
          </cell>
        </row>
        <row r="493">
          <cell r="W493">
            <v>0</v>
          </cell>
        </row>
        <row r="494">
          <cell r="W494">
            <v>0</v>
          </cell>
        </row>
        <row r="495">
          <cell r="W495">
            <v>0</v>
          </cell>
        </row>
        <row r="496">
          <cell r="W496" t="str">
            <v>прс</v>
          </cell>
        </row>
        <row r="497">
          <cell r="W497">
            <v>0</v>
          </cell>
        </row>
        <row r="498">
          <cell r="W498">
            <v>0</v>
          </cell>
        </row>
        <row r="499">
          <cell r="W499">
            <v>0</v>
          </cell>
        </row>
        <row r="500">
          <cell r="W500" t="str">
            <v>вода</v>
          </cell>
        </row>
        <row r="501">
          <cell r="W501" t="str">
            <v>вода</v>
          </cell>
        </row>
        <row r="502">
          <cell r="W502" t="str">
            <v>прс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>
            <v>0</v>
          </cell>
        </row>
        <row r="506">
          <cell r="W506">
            <v>0</v>
          </cell>
        </row>
        <row r="507">
          <cell r="W507" t="str">
            <v>вода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>
            <v>0</v>
          </cell>
        </row>
        <row r="511">
          <cell r="W511">
            <v>0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>
            <v>0</v>
          </cell>
        </row>
        <row r="515">
          <cell r="W515">
            <v>0</v>
          </cell>
        </row>
        <row r="516">
          <cell r="W516" t="str">
            <v>опз</v>
          </cell>
        </row>
        <row r="517">
          <cell r="W517">
            <v>0</v>
          </cell>
        </row>
        <row r="518">
          <cell r="W518">
            <v>0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 t="str">
            <v>сн.грп</v>
          </cell>
        </row>
        <row r="522">
          <cell r="W522">
            <v>0</v>
          </cell>
        </row>
        <row r="523">
          <cell r="W523">
            <v>0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 t="str">
            <v>вода</v>
          </cell>
        </row>
        <row r="531">
          <cell r="W531">
            <v>0</v>
          </cell>
        </row>
        <row r="532">
          <cell r="W532" t="str">
            <v>ут.реж</v>
          </cell>
        </row>
        <row r="533">
          <cell r="W533">
            <v>0</v>
          </cell>
        </row>
        <row r="534">
          <cell r="W534">
            <v>0</v>
          </cell>
        </row>
        <row r="535">
          <cell r="W535">
            <v>0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>
            <v>0</v>
          </cell>
        </row>
        <row r="539">
          <cell r="W539">
            <v>0</v>
          </cell>
        </row>
        <row r="540">
          <cell r="W540">
            <v>0</v>
          </cell>
        </row>
        <row r="541">
          <cell r="W541">
            <v>0</v>
          </cell>
        </row>
        <row r="542">
          <cell r="W542">
            <v>0</v>
          </cell>
        </row>
        <row r="543">
          <cell r="W543" t="str">
            <v>ут.реж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>
            <v>0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вода</v>
          </cell>
        </row>
        <row r="552">
          <cell r="W552">
            <v>0</v>
          </cell>
        </row>
        <row r="553">
          <cell r="W553">
            <v>0</v>
          </cell>
        </row>
        <row r="554">
          <cell r="W554">
            <v>0</v>
          </cell>
        </row>
        <row r="555">
          <cell r="W555">
            <v>0</v>
          </cell>
        </row>
        <row r="556">
          <cell r="W556">
            <v>0</v>
          </cell>
        </row>
        <row r="557">
          <cell r="W557">
            <v>0</v>
          </cell>
        </row>
        <row r="558">
          <cell r="W558">
            <v>0</v>
          </cell>
        </row>
        <row r="559">
          <cell r="W559">
            <v>0</v>
          </cell>
        </row>
        <row r="560">
          <cell r="W560">
            <v>0</v>
          </cell>
        </row>
        <row r="561">
          <cell r="W561">
            <v>0</v>
          </cell>
        </row>
        <row r="562">
          <cell r="W562" t="str">
            <v>ут.реж</v>
          </cell>
        </row>
        <row r="563">
          <cell r="W563">
            <v>0</v>
          </cell>
        </row>
        <row r="564">
          <cell r="W564" t="str">
            <v>по</v>
          </cell>
        </row>
        <row r="565">
          <cell r="W565">
            <v>0</v>
          </cell>
        </row>
        <row r="566">
          <cell r="W566">
            <v>0</v>
          </cell>
        </row>
        <row r="567">
          <cell r="W567">
            <v>0</v>
          </cell>
        </row>
        <row r="568">
          <cell r="W568" t="str">
            <v>ут.реж</v>
          </cell>
        </row>
        <row r="569">
          <cell r="W569">
            <v>0</v>
          </cell>
        </row>
        <row r="570">
          <cell r="W570">
            <v>0</v>
          </cell>
        </row>
        <row r="571">
          <cell r="W571">
            <v>0</v>
          </cell>
        </row>
        <row r="572">
          <cell r="W572" t="str">
            <v>ут.реж</v>
          </cell>
        </row>
        <row r="573">
          <cell r="W573" t="str">
            <v>ут.реж</v>
          </cell>
        </row>
        <row r="574">
          <cell r="W574">
            <v>0</v>
          </cell>
        </row>
        <row r="575">
          <cell r="W575" t="str">
            <v>вода</v>
          </cell>
        </row>
        <row r="576">
          <cell r="W576">
            <v>0</v>
          </cell>
        </row>
        <row r="577">
          <cell r="W577">
            <v>0</v>
          </cell>
        </row>
        <row r="578">
          <cell r="W578">
            <v>0</v>
          </cell>
        </row>
        <row r="579">
          <cell r="W579">
            <v>0</v>
          </cell>
        </row>
        <row r="580">
          <cell r="W580" t="str">
            <v>ут.реж</v>
          </cell>
        </row>
        <row r="581">
          <cell r="W581">
            <v>0</v>
          </cell>
        </row>
        <row r="582">
          <cell r="W582">
            <v>0</v>
          </cell>
        </row>
        <row r="583">
          <cell r="W583">
            <v>0</v>
          </cell>
        </row>
        <row r="584">
          <cell r="W584">
            <v>0</v>
          </cell>
        </row>
        <row r="585">
          <cell r="W585">
            <v>0</v>
          </cell>
        </row>
        <row r="586">
          <cell r="W586" t="str">
            <v>прс</v>
          </cell>
        </row>
        <row r="587">
          <cell r="W587" t="str">
            <v>ут.реж</v>
          </cell>
        </row>
        <row r="588">
          <cell r="W588">
            <v>0</v>
          </cell>
        </row>
        <row r="589">
          <cell r="W589">
            <v>0</v>
          </cell>
        </row>
        <row r="590">
          <cell r="W590" t="str">
            <v>по</v>
          </cell>
        </row>
        <row r="591">
          <cell r="W591">
            <v>0</v>
          </cell>
        </row>
        <row r="592">
          <cell r="W592">
            <v>0</v>
          </cell>
        </row>
        <row r="593">
          <cell r="W593">
            <v>0</v>
          </cell>
        </row>
        <row r="594">
          <cell r="W594">
            <v>0</v>
          </cell>
        </row>
        <row r="595">
          <cell r="W595">
            <v>0</v>
          </cell>
        </row>
        <row r="596">
          <cell r="W596" t="str">
            <v>вода</v>
          </cell>
        </row>
        <row r="597">
          <cell r="W597">
            <v>0</v>
          </cell>
        </row>
        <row r="598">
          <cell r="W598">
            <v>0</v>
          </cell>
        </row>
        <row r="599">
          <cell r="W599" t="str">
            <v>ут.реж</v>
          </cell>
        </row>
        <row r="600">
          <cell r="W600">
            <v>0</v>
          </cell>
        </row>
        <row r="601">
          <cell r="W601" t="str">
            <v>сн.грп</v>
          </cell>
        </row>
        <row r="602">
          <cell r="W602" t="str">
            <v>вода</v>
          </cell>
        </row>
        <row r="603">
          <cell r="W603" t="str">
            <v>вода</v>
          </cell>
        </row>
        <row r="604">
          <cell r="W604">
            <v>0</v>
          </cell>
        </row>
        <row r="605">
          <cell r="W605">
            <v>0</v>
          </cell>
        </row>
        <row r="606">
          <cell r="W606">
            <v>0</v>
          </cell>
        </row>
        <row r="607">
          <cell r="W607" t="str">
            <v>ут.реж</v>
          </cell>
        </row>
        <row r="608">
          <cell r="W608" t="str">
            <v>вода</v>
          </cell>
        </row>
        <row r="609">
          <cell r="W609" t="str">
            <v>ипп</v>
          </cell>
        </row>
        <row r="610">
          <cell r="W610" t="str">
            <v>ут.реж</v>
          </cell>
        </row>
        <row r="611">
          <cell r="W611" t="str">
            <v>вода</v>
          </cell>
        </row>
        <row r="612">
          <cell r="W612">
            <v>0</v>
          </cell>
        </row>
        <row r="613">
          <cell r="W613" t="str">
            <v>вода</v>
          </cell>
        </row>
        <row r="614">
          <cell r="W614">
            <v>0</v>
          </cell>
        </row>
        <row r="615">
          <cell r="W615">
            <v>0</v>
          </cell>
        </row>
        <row r="616">
          <cell r="W616">
            <v>0</v>
          </cell>
        </row>
        <row r="617">
          <cell r="W617">
            <v>0</v>
          </cell>
        </row>
        <row r="618">
          <cell r="W618">
            <v>0</v>
          </cell>
        </row>
        <row r="619">
          <cell r="W619" t="str">
            <v>вода</v>
          </cell>
        </row>
        <row r="620">
          <cell r="W620">
            <v>0</v>
          </cell>
        </row>
        <row r="621">
          <cell r="W621">
            <v>0</v>
          </cell>
        </row>
        <row r="622">
          <cell r="W622">
            <v>0</v>
          </cell>
        </row>
        <row r="623">
          <cell r="W623">
            <v>0</v>
          </cell>
        </row>
        <row r="624">
          <cell r="W624" t="str">
            <v>вода</v>
          </cell>
        </row>
        <row r="625">
          <cell r="W625" t="str">
            <v>ипп</v>
          </cell>
        </row>
        <row r="626">
          <cell r="W626">
            <v>0</v>
          </cell>
        </row>
        <row r="627">
          <cell r="W627" t="str">
            <v>вода</v>
          </cell>
        </row>
        <row r="628">
          <cell r="W628">
            <v>0</v>
          </cell>
        </row>
        <row r="629">
          <cell r="W629" t="str">
            <v>ипп</v>
          </cell>
        </row>
        <row r="630">
          <cell r="W630">
            <v>0</v>
          </cell>
        </row>
        <row r="631">
          <cell r="W631">
            <v>0</v>
          </cell>
        </row>
        <row r="632">
          <cell r="W632">
            <v>0</v>
          </cell>
        </row>
        <row r="633">
          <cell r="W633">
            <v>0</v>
          </cell>
        </row>
        <row r="634">
          <cell r="W634">
            <v>0</v>
          </cell>
        </row>
        <row r="635">
          <cell r="W635">
            <v>0</v>
          </cell>
        </row>
        <row r="636">
          <cell r="W636">
            <v>0</v>
          </cell>
        </row>
        <row r="637">
          <cell r="W637" t="str">
            <v>прс</v>
          </cell>
        </row>
        <row r="638">
          <cell r="W638">
            <v>0</v>
          </cell>
        </row>
        <row r="639">
          <cell r="W639">
            <v>0</v>
          </cell>
        </row>
        <row r="640">
          <cell r="W640">
            <v>0</v>
          </cell>
        </row>
        <row r="641">
          <cell r="W641" t="str">
            <v>по</v>
          </cell>
        </row>
        <row r="642">
          <cell r="W642" t="str">
            <v>прс</v>
          </cell>
        </row>
        <row r="643">
          <cell r="W643" t="str">
            <v>вода</v>
          </cell>
        </row>
        <row r="644">
          <cell r="W644" t="str">
            <v>ут.реж</v>
          </cell>
        </row>
        <row r="645">
          <cell r="W645">
            <v>0</v>
          </cell>
        </row>
        <row r="646">
          <cell r="W646">
            <v>0</v>
          </cell>
        </row>
        <row r="647">
          <cell r="W647">
            <v>0</v>
          </cell>
        </row>
        <row r="648">
          <cell r="W648">
            <v>0</v>
          </cell>
        </row>
        <row r="649">
          <cell r="W649">
            <v>0</v>
          </cell>
        </row>
        <row r="650">
          <cell r="W650" t="str">
            <v>прс</v>
          </cell>
        </row>
        <row r="651">
          <cell r="W651" t="str">
            <v>уход в бд</v>
          </cell>
        </row>
        <row r="652">
          <cell r="W652">
            <v>0</v>
          </cell>
        </row>
        <row r="653">
          <cell r="W653" t="str">
            <v>по</v>
          </cell>
        </row>
        <row r="654">
          <cell r="W654">
            <v>0</v>
          </cell>
        </row>
        <row r="655">
          <cell r="W655" t="str">
            <v>ут.реж</v>
          </cell>
        </row>
        <row r="656">
          <cell r="W656">
            <v>0</v>
          </cell>
        </row>
        <row r="657">
          <cell r="W657" t="str">
            <v>крс</v>
          </cell>
        </row>
        <row r="658">
          <cell r="W658">
            <v>0</v>
          </cell>
        </row>
        <row r="659">
          <cell r="W659">
            <v>0</v>
          </cell>
        </row>
        <row r="660">
          <cell r="W660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хнологические режимы"/>
      <sheetName val=" изменение режима"/>
      <sheetName val=" свод ГТМ"/>
      <sheetName val=" изменение режима (2)"/>
      <sheetName val="СБРОС"/>
    </sheetNames>
    <sheetDataSet>
      <sheetData sheetId="0"/>
      <sheetData sheetId="1"/>
      <sheetData sheetId="2">
        <row r="6">
          <cell r="W6" t="str">
            <v>Примечание (шифр)</v>
          </cell>
        </row>
        <row r="8">
          <cell r="W8" t="str">
            <v>вода</v>
          </cell>
        </row>
        <row r="9">
          <cell r="W9" t="str">
            <v>вода</v>
          </cell>
        </row>
        <row r="10">
          <cell r="W10">
            <v>0</v>
          </cell>
        </row>
        <row r="11">
          <cell r="W11" t="str">
            <v>вода</v>
          </cell>
        </row>
        <row r="12">
          <cell r="W12" t="str">
            <v>вода</v>
          </cell>
        </row>
        <row r="13">
          <cell r="W13" t="str">
            <v>вода</v>
          </cell>
        </row>
        <row r="14">
          <cell r="W14">
            <v>0</v>
          </cell>
        </row>
        <row r="15">
          <cell r="W15" t="str">
            <v>крс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0</v>
          </cell>
        </row>
        <row r="19">
          <cell r="W19" t="str">
            <v>вода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>
            <v>0</v>
          </cell>
        </row>
        <row r="23">
          <cell r="W23" t="str">
            <v>вода</v>
          </cell>
        </row>
        <row r="24">
          <cell r="W24" t="str">
            <v>ут.реж</v>
          </cell>
        </row>
        <row r="25">
          <cell r="W25">
            <v>0</v>
          </cell>
        </row>
        <row r="26">
          <cell r="W26" t="str">
            <v>прс</v>
          </cell>
        </row>
        <row r="27">
          <cell r="W27" t="str">
            <v>вода</v>
          </cell>
        </row>
        <row r="28">
          <cell r="W28">
            <v>0</v>
          </cell>
        </row>
        <row r="29">
          <cell r="W29">
            <v>0</v>
          </cell>
        </row>
        <row r="30">
          <cell r="W30">
            <v>0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вода</v>
          </cell>
        </row>
        <row r="34">
          <cell r="W34">
            <v>0</v>
          </cell>
        </row>
        <row r="35">
          <cell r="W35" t="str">
            <v>нов</v>
          </cell>
        </row>
        <row r="36">
          <cell r="W36">
            <v>0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>
            <v>0</v>
          </cell>
        </row>
        <row r="40">
          <cell r="W40" t="str">
            <v>ут.реж</v>
          </cell>
        </row>
        <row r="41">
          <cell r="W41" t="str">
            <v>ут.реж</v>
          </cell>
        </row>
        <row r="42">
          <cell r="W42">
            <v>0</v>
          </cell>
        </row>
        <row r="43">
          <cell r="W43" t="str">
            <v>вода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ут.реж</v>
          </cell>
        </row>
        <row r="47">
          <cell r="W47">
            <v>0</v>
          </cell>
        </row>
        <row r="48">
          <cell r="W48">
            <v>0</v>
          </cell>
        </row>
        <row r="49">
          <cell r="W49" t="str">
            <v>вода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>
            <v>0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ут.реж</v>
          </cell>
        </row>
        <row r="56">
          <cell r="W56">
            <v>0</v>
          </cell>
        </row>
        <row r="57">
          <cell r="W57">
            <v>0</v>
          </cell>
        </row>
        <row r="58">
          <cell r="W58" t="str">
            <v>ут.реж</v>
          </cell>
        </row>
        <row r="59">
          <cell r="W59">
            <v>0</v>
          </cell>
        </row>
        <row r="60">
          <cell r="W60">
            <v>0</v>
          </cell>
        </row>
        <row r="61">
          <cell r="W61">
            <v>0</v>
          </cell>
        </row>
        <row r="62">
          <cell r="W62" t="str">
            <v>ут.реж</v>
          </cell>
        </row>
        <row r="63">
          <cell r="W63">
            <v>0</v>
          </cell>
        </row>
        <row r="64">
          <cell r="W64">
            <v>0</v>
          </cell>
        </row>
        <row r="65">
          <cell r="W65">
            <v>0</v>
          </cell>
        </row>
        <row r="66">
          <cell r="W66">
            <v>0</v>
          </cell>
        </row>
        <row r="67">
          <cell r="W67">
            <v>0</v>
          </cell>
        </row>
        <row r="68">
          <cell r="W68" t="str">
            <v>вода</v>
          </cell>
        </row>
        <row r="69">
          <cell r="W69" t="str">
            <v>вода</v>
          </cell>
        </row>
        <row r="70">
          <cell r="W70">
            <v>0</v>
          </cell>
        </row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 t="str">
            <v>вода</v>
          </cell>
        </row>
        <row r="77">
          <cell r="W77">
            <v>0</v>
          </cell>
        </row>
        <row r="78">
          <cell r="W78">
            <v>0</v>
          </cell>
        </row>
        <row r="79">
          <cell r="W79" t="str">
            <v>крс</v>
          </cell>
        </row>
        <row r="80">
          <cell r="W80">
            <v>0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6">
          <cell r="W86">
            <v>0</v>
          </cell>
        </row>
        <row r="87">
          <cell r="W87">
            <v>0</v>
          </cell>
        </row>
        <row r="88">
          <cell r="W88" t="str">
            <v>прс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>
            <v>0</v>
          </cell>
        </row>
        <row r="92">
          <cell r="W92" t="str">
            <v>по</v>
          </cell>
        </row>
        <row r="93">
          <cell r="W93">
            <v>0</v>
          </cell>
        </row>
        <row r="94">
          <cell r="W94" t="str">
            <v>ут.реж</v>
          </cell>
        </row>
        <row r="95">
          <cell r="W95">
            <v>0</v>
          </cell>
        </row>
        <row r="96">
          <cell r="W96" t="str">
            <v>вода</v>
          </cell>
        </row>
        <row r="97">
          <cell r="W97">
            <v>0</v>
          </cell>
        </row>
        <row r="98">
          <cell r="W98" t="str">
            <v>ут.реж</v>
          </cell>
        </row>
        <row r="99">
          <cell r="W99">
            <v>0</v>
          </cell>
        </row>
        <row r="100">
          <cell r="W100" t="str">
            <v>вода</v>
          </cell>
        </row>
        <row r="101">
          <cell r="W101" t="str">
            <v>вода</v>
          </cell>
        </row>
        <row r="102">
          <cell r="W102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>
            <v>0</v>
          </cell>
        </row>
        <row r="108">
          <cell r="W108">
            <v>0</v>
          </cell>
        </row>
        <row r="109">
          <cell r="W109">
            <v>0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 t="str">
            <v>вода</v>
          </cell>
        </row>
        <row r="113">
          <cell r="W113">
            <v>0</v>
          </cell>
        </row>
        <row r="114">
          <cell r="W114">
            <v>0</v>
          </cell>
        </row>
        <row r="115">
          <cell r="W115">
            <v>0</v>
          </cell>
        </row>
        <row r="116">
          <cell r="W116">
            <v>0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 t="str">
            <v>ут.реж</v>
          </cell>
        </row>
        <row r="120">
          <cell r="W120" t="str">
            <v>ут.реж</v>
          </cell>
        </row>
        <row r="121">
          <cell r="W121" t="str">
            <v>ут.реж</v>
          </cell>
        </row>
        <row r="122">
          <cell r="W122">
            <v>0</v>
          </cell>
        </row>
        <row r="123">
          <cell r="W123">
            <v>0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>
            <v>0</v>
          </cell>
        </row>
        <row r="128">
          <cell r="W128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2">
          <cell r="W132">
            <v>0</v>
          </cell>
        </row>
        <row r="133">
          <cell r="W133">
            <v>0</v>
          </cell>
        </row>
        <row r="134">
          <cell r="W134" t="str">
            <v>ут.реж</v>
          </cell>
        </row>
        <row r="135">
          <cell r="W135">
            <v>0</v>
          </cell>
        </row>
        <row r="136">
          <cell r="W136">
            <v>0</v>
          </cell>
        </row>
        <row r="137">
          <cell r="W137">
            <v>0</v>
          </cell>
        </row>
        <row r="138">
          <cell r="W138" t="str">
            <v>вода</v>
          </cell>
        </row>
        <row r="139">
          <cell r="W139">
            <v>0</v>
          </cell>
        </row>
        <row r="140">
          <cell r="W140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>
            <v>0</v>
          </cell>
        </row>
        <row r="146">
          <cell r="W146" t="str">
            <v>по</v>
          </cell>
        </row>
        <row r="147">
          <cell r="W147">
            <v>0</v>
          </cell>
        </row>
        <row r="148">
          <cell r="W148">
            <v>0</v>
          </cell>
        </row>
        <row r="149">
          <cell r="W149" t="str">
            <v>ут.реж</v>
          </cell>
        </row>
        <row r="150">
          <cell r="W150" t="str">
            <v>вода</v>
          </cell>
        </row>
        <row r="151">
          <cell r="W151">
            <v>0</v>
          </cell>
        </row>
        <row r="152">
          <cell r="W152">
            <v>0</v>
          </cell>
        </row>
        <row r="153">
          <cell r="W153" t="str">
            <v>прс</v>
          </cell>
        </row>
        <row r="154">
          <cell r="W154" t="str">
            <v>ут.реж</v>
          </cell>
        </row>
        <row r="155">
          <cell r="W155">
            <v>0</v>
          </cell>
        </row>
        <row r="156">
          <cell r="W156" t="str">
            <v>ут.реж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>
            <v>0</v>
          </cell>
        </row>
        <row r="164">
          <cell r="W164">
            <v>0</v>
          </cell>
        </row>
        <row r="165">
          <cell r="W165">
            <v>0</v>
          </cell>
        </row>
        <row r="166">
          <cell r="W166" t="str">
            <v>ут.реж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ут.реж</v>
          </cell>
        </row>
        <row r="173">
          <cell r="W173">
            <v>0</v>
          </cell>
        </row>
        <row r="174">
          <cell r="W174">
            <v>0</v>
          </cell>
        </row>
        <row r="175">
          <cell r="W175" t="str">
            <v>вода</v>
          </cell>
        </row>
        <row r="176">
          <cell r="W176">
            <v>0</v>
          </cell>
        </row>
        <row r="177">
          <cell r="W177" t="str">
            <v>ут.реж</v>
          </cell>
        </row>
        <row r="178">
          <cell r="W178" t="str">
            <v>ут.реж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>
            <v>0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 t="str">
            <v>ут.реж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 t="str">
            <v>ут.реж</v>
          </cell>
        </row>
        <row r="191">
          <cell r="W191">
            <v>0</v>
          </cell>
        </row>
        <row r="192">
          <cell r="W192">
            <v>0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>
            <v>0</v>
          </cell>
        </row>
        <row r="196">
          <cell r="W196" t="str">
            <v>прс</v>
          </cell>
        </row>
        <row r="197">
          <cell r="W197">
            <v>0</v>
          </cell>
        </row>
        <row r="198">
          <cell r="W198">
            <v>0</v>
          </cell>
        </row>
        <row r="199">
          <cell r="W199">
            <v>0</v>
          </cell>
        </row>
        <row r="200">
          <cell r="W200" t="str">
            <v>сн.грп</v>
          </cell>
        </row>
        <row r="201">
          <cell r="W201">
            <v>0</v>
          </cell>
        </row>
        <row r="202">
          <cell r="W202">
            <v>0</v>
          </cell>
        </row>
        <row r="203">
          <cell r="W203">
            <v>0</v>
          </cell>
        </row>
        <row r="204">
          <cell r="W204">
            <v>0</v>
          </cell>
        </row>
        <row r="205">
          <cell r="W205">
            <v>0</v>
          </cell>
        </row>
        <row r="206">
          <cell r="W206">
            <v>0</v>
          </cell>
        </row>
        <row r="207">
          <cell r="W207" t="str">
            <v>ут.реж</v>
          </cell>
        </row>
        <row r="208">
          <cell r="W208">
            <v>0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ут.реж</v>
          </cell>
        </row>
        <row r="212">
          <cell r="W212">
            <v>0</v>
          </cell>
        </row>
        <row r="213">
          <cell r="W213">
            <v>0</v>
          </cell>
        </row>
        <row r="214">
          <cell r="W214" t="str">
            <v>вода</v>
          </cell>
        </row>
        <row r="215">
          <cell r="W215">
            <v>0</v>
          </cell>
        </row>
        <row r="216">
          <cell r="W216">
            <v>0</v>
          </cell>
        </row>
        <row r="217">
          <cell r="W217">
            <v>0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 t="str">
            <v>прс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 t="str">
            <v>вода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>
            <v>0</v>
          </cell>
        </row>
        <row r="229">
          <cell r="W229" t="str">
            <v>вода</v>
          </cell>
        </row>
        <row r="230">
          <cell r="W230">
            <v>0</v>
          </cell>
        </row>
        <row r="231">
          <cell r="W231">
            <v>0</v>
          </cell>
        </row>
        <row r="232">
          <cell r="W232">
            <v>0</v>
          </cell>
        </row>
        <row r="233">
          <cell r="W233">
            <v>0</v>
          </cell>
        </row>
        <row r="234">
          <cell r="W234">
            <v>0</v>
          </cell>
        </row>
        <row r="235">
          <cell r="W235">
            <v>0</v>
          </cell>
        </row>
        <row r="236">
          <cell r="W236">
            <v>0</v>
          </cell>
        </row>
        <row r="237">
          <cell r="W237">
            <v>0</v>
          </cell>
        </row>
        <row r="238">
          <cell r="W238" t="str">
            <v>ут.реж</v>
          </cell>
        </row>
        <row r="239">
          <cell r="W239" t="str">
            <v>вода</v>
          </cell>
        </row>
        <row r="240">
          <cell r="W240">
            <v>0</v>
          </cell>
        </row>
        <row r="241">
          <cell r="W241">
            <v>0</v>
          </cell>
        </row>
        <row r="242">
          <cell r="W242" t="str">
            <v>прс</v>
          </cell>
        </row>
        <row r="243">
          <cell r="W243">
            <v>0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>
            <v>0</v>
          </cell>
        </row>
        <row r="247">
          <cell r="W247">
            <v>0</v>
          </cell>
        </row>
        <row r="248">
          <cell r="W248" t="str">
            <v>вода</v>
          </cell>
        </row>
        <row r="249">
          <cell r="W249" t="str">
            <v>ут.реж</v>
          </cell>
        </row>
        <row r="250">
          <cell r="W250">
            <v>0</v>
          </cell>
        </row>
        <row r="251">
          <cell r="W251" t="str">
            <v>ут.реж</v>
          </cell>
        </row>
        <row r="252">
          <cell r="W252" t="str">
            <v>ут.реж</v>
          </cell>
        </row>
        <row r="253">
          <cell r="W253">
            <v>0</v>
          </cell>
        </row>
        <row r="254">
          <cell r="W254">
            <v>0</v>
          </cell>
        </row>
        <row r="255">
          <cell r="W255">
            <v>0</v>
          </cell>
        </row>
        <row r="256">
          <cell r="W256">
            <v>0</v>
          </cell>
        </row>
        <row r="257">
          <cell r="W257">
            <v>0</v>
          </cell>
        </row>
        <row r="258">
          <cell r="W258" t="str">
            <v>по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>
            <v>0</v>
          </cell>
        </row>
        <row r="262">
          <cell r="W262">
            <v>0</v>
          </cell>
        </row>
        <row r="263">
          <cell r="W263" t="str">
            <v>прс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 t="str">
            <v>вода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 t="str">
            <v>вода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 t="str">
            <v>ут.реж</v>
          </cell>
        </row>
        <row r="277">
          <cell r="W277" t="str">
            <v>по</v>
          </cell>
        </row>
        <row r="278">
          <cell r="W278">
            <v>0</v>
          </cell>
        </row>
        <row r="279">
          <cell r="W279">
            <v>0</v>
          </cell>
        </row>
        <row r="280">
          <cell r="W280">
            <v>0</v>
          </cell>
        </row>
        <row r="281">
          <cell r="W281">
            <v>0</v>
          </cell>
        </row>
        <row r="282">
          <cell r="W282">
            <v>0</v>
          </cell>
        </row>
        <row r="283">
          <cell r="W283">
            <v>0</v>
          </cell>
        </row>
        <row r="284">
          <cell r="W284">
            <v>0</v>
          </cell>
        </row>
        <row r="285">
          <cell r="W285" t="str">
            <v>опз</v>
          </cell>
        </row>
        <row r="286">
          <cell r="W286">
            <v>0</v>
          </cell>
        </row>
        <row r="287">
          <cell r="W287" t="str">
            <v>вода</v>
          </cell>
        </row>
        <row r="288">
          <cell r="W288">
            <v>0</v>
          </cell>
        </row>
        <row r="289">
          <cell r="W289" t="str">
            <v>вода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>
            <v>0</v>
          </cell>
        </row>
        <row r="293">
          <cell r="W293" t="str">
            <v>вода</v>
          </cell>
        </row>
        <row r="294">
          <cell r="W294">
            <v>0</v>
          </cell>
        </row>
        <row r="295">
          <cell r="W295">
            <v>0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>
            <v>0</v>
          </cell>
        </row>
        <row r="299">
          <cell r="W299" t="str">
            <v>сн.опз</v>
          </cell>
        </row>
        <row r="300">
          <cell r="W300">
            <v>0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 t="str">
            <v>вода</v>
          </cell>
        </row>
        <row r="304">
          <cell r="W304" t="str">
            <v>прс</v>
          </cell>
        </row>
        <row r="305">
          <cell r="W305" t="str">
            <v>вода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 t="str">
            <v>вода</v>
          </cell>
        </row>
        <row r="310">
          <cell r="W310" t="str">
            <v>вода</v>
          </cell>
        </row>
        <row r="311">
          <cell r="W311" t="str">
            <v>вода</v>
          </cell>
        </row>
        <row r="312">
          <cell r="W312" t="str">
            <v>вода</v>
          </cell>
        </row>
        <row r="313">
          <cell r="W313" t="str">
            <v>вода</v>
          </cell>
        </row>
        <row r="314">
          <cell r="W314">
            <v>0</v>
          </cell>
        </row>
        <row r="315">
          <cell r="W315">
            <v>0</v>
          </cell>
        </row>
        <row r="316">
          <cell r="W316" t="str">
            <v>вода</v>
          </cell>
        </row>
        <row r="317">
          <cell r="W317">
            <v>0</v>
          </cell>
        </row>
        <row r="318">
          <cell r="W318">
            <v>0</v>
          </cell>
        </row>
        <row r="319">
          <cell r="W319">
            <v>0</v>
          </cell>
        </row>
        <row r="320">
          <cell r="W320" t="str">
            <v>ут.реж</v>
          </cell>
        </row>
        <row r="321">
          <cell r="W321" t="str">
            <v>вода</v>
          </cell>
        </row>
        <row r="322">
          <cell r="W322" t="str">
            <v>прс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>
            <v>0</v>
          </cell>
        </row>
        <row r="327">
          <cell r="W327" t="str">
            <v>вода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 t="str">
            <v>по</v>
          </cell>
        </row>
        <row r="331">
          <cell r="W331" t="str">
            <v>ут.реж</v>
          </cell>
        </row>
        <row r="332">
          <cell r="W332">
            <v>0</v>
          </cell>
        </row>
        <row r="333">
          <cell r="W333">
            <v>0</v>
          </cell>
        </row>
        <row r="334">
          <cell r="W334" t="str">
            <v>опз</v>
          </cell>
        </row>
        <row r="335">
          <cell r="W335" t="str">
            <v>вода</v>
          </cell>
        </row>
        <row r="336">
          <cell r="W336" t="str">
            <v>вода</v>
          </cell>
        </row>
        <row r="337">
          <cell r="W337" t="str">
            <v>ипп</v>
          </cell>
        </row>
        <row r="338">
          <cell r="W338" t="str">
            <v>вода</v>
          </cell>
        </row>
        <row r="339">
          <cell r="W339">
            <v>0</v>
          </cell>
        </row>
        <row r="340">
          <cell r="W340" t="str">
            <v>крс</v>
          </cell>
        </row>
        <row r="341">
          <cell r="W341">
            <v>0</v>
          </cell>
        </row>
        <row r="342">
          <cell r="W342">
            <v>0</v>
          </cell>
        </row>
        <row r="343">
          <cell r="W343">
            <v>0</v>
          </cell>
        </row>
        <row r="344">
          <cell r="W344">
            <v>0</v>
          </cell>
        </row>
        <row r="345">
          <cell r="W345" t="str">
            <v>сн.грп</v>
          </cell>
        </row>
        <row r="346">
          <cell r="W346" t="str">
            <v>ут.реж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вода</v>
          </cell>
        </row>
        <row r="350">
          <cell r="W350">
            <v>0</v>
          </cell>
        </row>
        <row r="351">
          <cell r="W351" t="str">
            <v>вода</v>
          </cell>
        </row>
        <row r="352">
          <cell r="W352" t="str">
            <v>прс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>
            <v>0</v>
          </cell>
        </row>
        <row r="356">
          <cell r="W356" t="str">
            <v>ут.реж</v>
          </cell>
        </row>
        <row r="357">
          <cell r="W357">
            <v>0</v>
          </cell>
        </row>
        <row r="358">
          <cell r="W358" t="str">
            <v>вода</v>
          </cell>
        </row>
        <row r="359">
          <cell r="W359" t="str">
            <v>вода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вода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>
            <v>0</v>
          </cell>
        </row>
        <row r="367">
          <cell r="W367">
            <v>0</v>
          </cell>
        </row>
        <row r="368">
          <cell r="W368">
            <v>0</v>
          </cell>
        </row>
        <row r="369">
          <cell r="W369">
            <v>0</v>
          </cell>
        </row>
        <row r="370">
          <cell r="W370">
            <v>0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 t="str">
            <v>ипп</v>
          </cell>
        </row>
        <row r="375">
          <cell r="W375" t="str">
            <v>ипп</v>
          </cell>
        </row>
        <row r="376">
          <cell r="W376" t="str">
            <v>прс</v>
          </cell>
        </row>
        <row r="377">
          <cell r="W377" t="str">
            <v>ут.реж</v>
          </cell>
        </row>
        <row r="378">
          <cell r="W378" t="str">
            <v>прс</v>
          </cell>
        </row>
        <row r="379">
          <cell r="W379">
            <v>0</v>
          </cell>
        </row>
        <row r="380">
          <cell r="W380" t="str">
            <v>вода</v>
          </cell>
        </row>
        <row r="381">
          <cell r="W381">
            <v>0</v>
          </cell>
        </row>
        <row r="382">
          <cell r="W382">
            <v>0</v>
          </cell>
        </row>
        <row r="383">
          <cell r="W383" t="str">
            <v>по</v>
          </cell>
        </row>
        <row r="384">
          <cell r="W384">
            <v>0</v>
          </cell>
        </row>
        <row r="385">
          <cell r="W385" t="str">
            <v>ипп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>
            <v>0</v>
          </cell>
        </row>
        <row r="389">
          <cell r="W389">
            <v>0</v>
          </cell>
        </row>
        <row r="390">
          <cell r="W390" t="str">
            <v>вода</v>
          </cell>
        </row>
        <row r="391">
          <cell r="W391">
            <v>0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>
            <v>0</v>
          </cell>
        </row>
        <row r="395">
          <cell r="W395" t="str">
            <v>вода</v>
          </cell>
        </row>
        <row r="396">
          <cell r="W396">
            <v>0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>
            <v>0</v>
          </cell>
        </row>
        <row r="401">
          <cell r="W401" t="str">
            <v>сн.грп</v>
          </cell>
        </row>
        <row r="402">
          <cell r="W402">
            <v>0</v>
          </cell>
        </row>
        <row r="403">
          <cell r="W403">
            <v>0</v>
          </cell>
        </row>
        <row r="404">
          <cell r="W404">
            <v>0</v>
          </cell>
        </row>
        <row r="405">
          <cell r="W405">
            <v>0</v>
          </cell>
        </row>
        <row r="406">
          <cell r="W406" t="str">
            <v>ут.реж</v>
          </cell>
        </row>
        <row r="407">
          <cell r="W407" t="str">
            <v>сн.грп</v>
          </cell>
        </row>
        <row r="408">
          <cell r="W408">
            <v>0</v>
          </cell>
        </row>
        <row r="409">
          <cell r="W409">
            <v>0</v>
          </cell>
        </row>
        <row r="410">
          <cell r="W410" t="str">
            <v>по</v>
          </cell>
        </row>
        <row r="411">
          <cell r="W411" t="str">
            <v>ут.реж</v>
          </cell>
        </row>
        <row r="412">
          <cell r="W412">
            <v>0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>
            <v>0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>
            <v>0</v>
          </cell>
        </row>
        <row r="422">
          <cell r="W422" t="str">
            <v>ут.реж</v>
          </cell>
        </row>
        <row r="423">
          <cell r="W423" t="str">
            <v>сн.грп</v>
          </cell>
        </row>
        <row r="424">
          <cell r="W424" t="str">
            <v>вода</v>
          </cell>
        </row>
        <row r="425">
          <cell r="W425">
            <v>0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>
            <v>0</v>
          </cell>
        </row>
        <row r="429">
          <cell r="W429">
            <v>0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 t="str">
            <v>ут.реж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>
            <v>0</v>
          </cell>
        </row>
        <row r="436">
          <cell r="W436" t="str">
            <v>ут.реж</v>
          </cell>
        </row>
        <row r="437">
          <cell r="W437" t="str">
            <v>вода</v>
          </cell>
        </row>
        <row r="438">
          <cell r="W438">
            <v>0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>
            <v>0</v>
          </cell>
        </row>
        <row r="442">
          <cell r="W442">
            <v>0</v>
          </cell>
        </row>
        <row r="443">
          <cell r="W443">
            <v>0</v>
          </cell>
        </row>
        <row r="444">
          <cell r="W444">
            <v>0</v>
          </cell>
        </row>
        <row r="445">
          <cell r="W445">
            <v>0</v>
          </cell>
        </row>
        <row r="446">
          <cell r="W446">
            <v>0</v>
          </cell>
        </row>
        <row r="447">
          <cell r="W447">
            <v>0</v>
          </cell>
        </row>
        <row r="448">
          <cell r="W448">
            <v>0</v>
          </cell>
        </row>
        <row r="449">
          <cell r="W449" t="str">
            <v>ипп</v>
          </cell>
        </row>
        <row r="450">
          <cell r="W450">
            <v>0</v>
          </cell>
        </row>
        <row r="451">
          <cell r="W451">
            <v>0</v>
          </cell>
        </row>
        <row r="452">
          <cell r="W452" t="str">
            <v>вода</v>
          </cell>
        </row>
        <row r="453">
          <cell r="W453" t="str">
            <v>нов</v>
          </cell>
        </row>
        <row r="454">
          <cell r="W454" t="str">
            <v>нов</v>
          </cell>
        </row>
        <row r="455">
          <cell r="W455" t="str">
            <v>прс</v>
          </cell>
        </row>
        <row r="456">
          <cell r="W456">
            <v>0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>
            <v>0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вода</v>
          </cell>
        </row>
        <row r="463">
          <cell r="W463" t="str">
            <v>вода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 t="str">
            <v>по</v>
          </cell>
        </row>
        <row r="469">
          <cell r="W469">
            <v>0</v>
          </cell>
        </row>
        <row r="470">
          <cell r="W470" t="str">
            <v>нов</v>
          </cell>
        </row>
        <row r="471">
          <cell r="W471" t="str">
            <v>вода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>
            <v>0</v>
          </cell>
        </row>
        <row r="475">
          <cell r="W475" t="str">
            <v>вода</v>
          </cell>
        </row>
        <row r="476">
          <cell r="W476">
            <v>0</v>
          </cell>
        </row>
        <row r="477">
          <cell r="W477">
            <v>0</v>
          </cell>
        </row>
        <row r="478">
          <cell r="W478">
            <v>0</v>
          </cell>
        </row>
        <row r="479">
          <cell r="W479">
            <v>0</v>
          </cell>
        </row>
        <row r="480">
          <cell r="W480">
            <v>0</v>
          </cell>
        </row>
        <row r="481">
          <cell r="W481">
            <v>0</v>
          </cell>
        </row>
        <row r="482">
          <cell r="W482" t="str">
            <v>ут.реж</v>
          </cell>
        </row>
        <row r="483">
          <cell r="W483" t="str">
            <v>ут.реж</v>
          </cell>
        </row>
        <row r="484">
          <cell r="W484" t="str">
            <v>ут.реж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>
            <v>0</v>
          </cell>
        </row>
        <row r="492">
          <cell r="W492">
            <v>0</v>
          </cell>
        </row>
        <row r="493">
          <cell r="W493">
            <v>0</v>
          </cell>
        </row>
        <row r="494">
          <cell r="W494">
            <v>0</v>
          </cell>
        </row>
        <row r="495">
          <cell r="W495">
            <v>0</v>
          </cell>
        </row>
        <row r="496">
          <cell r="W496" t="str">
            <v>прс</v>
          </cell>
        </row>
        <row r="497">
          <cell r="W497">
            <v>0</v>
          </cell>
        </row>
        <row r="498">
          <cell r="W498">
            <v>0</v>
          </cell>
        </row>
        <row r="499">
          <cell r="W499">
            <v>0</v>
          </cell>
        </row>
        <row r="500">
          <cell r="W500" t="str">
            <v>вода</v>
          </cell>
        </row>
        <row r="501">
          <cell r="W501" t="str">
            <v>вода</v>
          </cell>
        </row>
        <row r="502">
          <cell r="W502" t="str">
            <v>прс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>
            <v>0</v>
          </cell>
        </row>
        <row r="506">
          <cell r="W506">
            <v>0</v>
          </cell>
        </row>
        <row r="507">
          <cell r="W507" t="str">
            <v>вода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>
            <v>0</v>
          </cell>
        </row>
        <row r="511">
          <cell r="W511">
            <v>0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>
            <v>0</v>
          </cell>
        </row>
        <row r="515">
          <cell r="W515">
            <v>0</v>
          </cell>
        </row>
        <row r="516">
          <cell r="W516" t="str">
            <v>опз</v>
          </cell>
        </row>
        <row r="517">
          <cell r="W517">
            <v>0</v>
          </cell>
        </row>
        <row r="518">
          <cell r="W518">
            <v>0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 t="str">
            <v>сн.грп</v>
          </cell>
        </row>
        <row r="522">
          <cell r="W522">
            <v>0</v>
          </cell>
        </row>
        <row r="523">
          <cell r="W523">
            <v>0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 t="str">
            <v>вода</v>
          </cell>
        </row>
        <row r="531">
          <cell r="W531">
            <v>0</v>
          </cell>
        </row>
        <row r="532">
          <cell r="W532" t="str">
            <v>ут.реж</v>
          </cell>
        </row>
        <row r="533">
          <cell r="W533">
            <v>0</v>
          </cell>
        </row>
        <row r="534">
          <cell r="W534">
            <v>0</v>
          </cell>
        </row>
        <row r="535">
          <cell r="W535">
            <v>0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>
            <v>0</v>
          </cell>
        </row>
        <row r="539">
          <cell r="W539">
            <v>0</v>
          </cell>
        </row>
        <row r="540">
          <cell r="W540">
            <v>0</v>
          </cell>
        </row>
        <row r="541">
          <cell r="W541">
            <v>0</v>
          </cell>
        </row>
        <row r="542">
          <cell r="W542">
            <v>0</v>
          </cell>
        </row>
        <row r="543">
          <cell r="W543" t="str">
            <v>ут.реж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>
            <v>0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вода</v>
          </cell>
        </row>
        <row r="552">
          <cell r="W552">
            <v>0</v>
          </cell>
        </row>
        <row r="553">
          <cell r="W553">
            <v>0</v>
          </cell>
        </row>
        <row r="554">
          <cell r="W554">
            <v>0</v>
          </cell>
        </row>
        <row r="555">
          <cell r="W555">
            <v>0</v>
          </cell>
        </row>
        <row r="556">
          <cell r="W556">
            <v>0</v>
          </cell>
        </row>
        <row r="557">
          <cell r="W557">
            <v>0</v>
          </cell>
        </row>
        <row r="558">
          <cell r="W558">
            <v>0</v>
          </cell>
        </row>
        <row r="559">
          <cell r="W559">
            <v>0</v>
          </cell>
        </row>
        <row r="560">
          <cell r="W560">
            <v>0</v>
          </cell>
        </row>
        <row r="561">
          <cell r="W561">
            <v>0</v>
          </cell>
        </row>
        <row r="562">
          <cell r="W562" t="str">
            <v>ут.реж</v>
          </cell>
        </row>
        <row r="563">
          <cell r="W563">
            <v>0</v>
          </cell>
        </row>
        <row r="564">
          <cell r="W564" t="str">
            <v>по</v>
          </cell>
        </row>
        <row r="565">
          <cell r="W565">
            <v>0</v>
          </cell>
        </row>
        <row r="566">
          <cell r="W566">
            <v>0</v>
          </cell>
        </row>
        <row r="567">
          <cell r="W567">
            <v>0</v>
          </cell>
        </row>
        <row r="568">
          <cell r="W568" t="str">
            <v>ут.реж</v>
          </cell>
        </row>
        <row r="569">
          <cell r="W569">
            <v>0</v>
          </cell>
        </row>
        <row r="570">
          <cell r="W570">
            <v>0</v>
          </cell>
        </row>
        <row r="571">
          <cell r="W571">
            <v>0</v>
          </cell>
        </row>
        <row r="572">
          <cell r="W572" t="str">
            <v>ут.реж</v>
          </cell>
        </row>
        <row r="573">
          <cell r="W573" t="str">
            <v>ут.реж</v>
          </cell>
        </row>
        <row r="574">
          <cell r="W574">
            <v>0</v>
          </cell>
        </row>
        <row r="575">
          <cell r="W575" t="str">
            <v>вода</v>
          </cell>
        </row>
        <row r="576">
          <cell r="W576">
            <v>0</v>
          </cell>
        </row>
        <row r="577">
          <cell r="W577">
            <v>0</v>
          </cell>
        </row>
        <row r="578">
          <cell r="W578">
            <v>0</v>
          </cell>
        </row>
        <row r="579">
          <cell r="W579">
            <v>0</v>
          </cell>
        </row>
        <row r="580">
          <cell r="W580" t="str">
            <v>ут.реж</v>
          </cell>
        </row>
        <row r="581">
          <cell r="W581">
            <v>0</v>
          </cell>
        </row>
        <row r="582">
          <cell r="W582">
            <v>0</v>
          </cell>
        </row>
        <row r="583">
          <cell r="W583">
            <v>0</v>
          </cell>
        </row>
        <row r="584">
          <cell r="W584">
            <v>0</v>
          </cell>
        </row>
        <row r="585">
          <cell r="W585">
            <v>0</v>
          </cell>
        </row>
        <row r="586">
          <cell r="W586" t="str">
            <v>прс</v>
          </cell>
        </row>
        <row r="587">
          <cell r="W587" t="str">
            <v>ут.реж</v>
          </cell>
        </row>
        <row r="588">
          <cell r="W588">
            <v>0</v>
          </cell>
        </row>
        <row r="589">
          <cell r="W589">
            <v>0</v>
          </cell>
        </row>
        <row r="590">
          <cell r="W590" t="str">
            <v>по</v>
          </cell>
        </row>
        <row r="591">
          <cell r="W591">
            <v>0</v>
          </cell>
        </row>
        <row r="592">
          <cell r="W592">
            <v>0</v>
          </cell>
        </row>
        <row r="593">
          <cell r="W593">
            <v>0</v>
          </cell>
        </row>
        <row r="594">
          <cell r="W594">
            <v>0</v>
          </cell>
        </row>
        <row r="595">
          <cell r="W595">
            <v>0</v>
          </cell>
        </row>
        <row r="596">
          <cell r="W596" t="str">
            <v>вода</v>
          </cell>
        </row>
        <row r="597">
          <cell r="W597">
            <v>0</v>
          </cell>
        </row>
        <row r="598">
          <cell r="W598">
            <v>0</v>
          </cell>
        </row>
        <row r="599">
          <cell r="W599" t="str">
            <v>ут.реж</v>
          </cell>
        </row>
        <row r="600">
          <cell r="W600">
            <v>0</v>
          </cell>
        </row>
        <row r="601">
          <cell r="W601" t="str">
            <v>сн.грп</v>
          </cell>
        </row>
        <row r="602">
          <cell r="W602" t="str">
            <v>вода</v>
          </cell>
        </row>
        <row r="603">
          <cell r="W603" t="str">
            <v>вода</v>
          </cell>
        </row>
        <row r="604">
          <cell r="W604">
            <v>0</v>
          </cell>
        </row>
        <row r="605">
          <cell r="W605">
            <v>0</v>
          </cell>
        </row>
        <row r="606">
          <cell r="W606">
            <v>0</v>
          </cell>
        </row>
        <row r="607">
          <cell r="W607" t="str">
            <v>ут.реж</v>
          </cell>
        </row>
        <row r="608">
          <cell r="W608" t="str">
            <v>вода</v>
          </cell>
        </row>
        <row r="609">
          <cell r="W609" t="str">
            <v>ипп</v>
          </cell>
        </row>
        <row r="610">
          <cell r="W610" t="str">
            <v>ут.реж</v>
          </cell>
        </row>
        <row r="611">
          <cell r="W611" t="str">
            <v>вода</v>
          </cell>
        </row>
        <row r="612">
          <cell r="W612">
            <v>0</v>
          </cell>
        </row>
        <row r="613">
          <cell r="W613" t="str">
            <v>вода</v>
          </cell>
        </row>
        <row r="614">
          <cell r="W614">
            <v>0</v>
          </cell>
        </row>
        <row r="615">
          <cell r="W615">
            <v>0</v>
          </cell>
        </row>
        <row r="616">
          <cell r="W616">
            <v>0</v>
          </cell>
        </row>
        <row r="617">
          <cell r="W617">
            <v>0</v>
          </cell>
        </row>
        <row r="618">
          <cell r="W618">
            <v>0</v>
          </cell>
        </row>
        <row r="619">
          <cell r="W619" t="str">
            <v>вода</v>
          </cell>
        </row>
        <row r="620">
          <cell r="W620">
            <v>0</v>
          </cell>
        </row>
        <row r="621">
          <cell r="W621">
            <v>0</v>
          </cell>
        </row>
        <row r="622">
          <cell r="W622">
            <v>0</v>
          </cell>
        </row>
        <row r="623">
          <cell r="W623">
            <v>0</v>
          </cell>
        </row>
        <row r="624">
          <cell r="W624" t="str">
            <v>вода</v>
          </cell>
        </row>
        <row r="625">
          <cell r="W625" t="str">
            <v>ипп</v>
          </cell>
        </row>
        <row r="626">
          <cell r="W626">
            <v>0</v>
          </cell>
        </row>
        <row r="627">
          <cell r="W627" t="str">
            <v>вода</v>
          </cell>
        </row>
        <row r="628">
          <cell r="W628">
            <v>0</v>
          </cell>
        </row>
        <row r="629">
          <cell r="W629" t="str">
            <v>ипп</v>
          </cell>
        </row>
        <row r="630">
          <cell r="W630">
            <v>0</v>
          </cell>
        </row>
        <row r="631">
          <cell r="W631">
            <v>0</v>
          </cell>
        </row>
        <row r="632">
          <cell r="W632">
            <v>0</v>
          </cell>
        </row>
        <row r="633">
          <cell r="W633">
            <v>0</v>
          </cell>
        </row>
        <row r="634">
          <cell r="W634">
            <v>0</v>
          </cell>
        </row>
        <row r="635">
          <cell r="W635">
            <v>0</v>
          </cell>
        </row>
        <row r="636">
          <cell r="W636">
            <v>0</v>
          </cell>
        </row>
        <row r="637">
          <cell r="W637" t="str">
            <v>прс</v>
          </cell>
        </row>
        <row r="638">
          <cell r="W638">
            <v>0</v>
          </cell>
        </row>
        <row r="639">
          <cell r="W639">
            <v>0</v>
          </cell>
        </row>
        <row r="640">
          <cell r="W640">
            <v>0</v>
          </cell>
        </row>
        <row r="641">
          <cell r="W641" t="str">
            <v>по</v>
          </cell>
        </row>
        <row r="642">
          <cell r="W642" t="str">
            <v>прс</v>
          </cell>
        </row>
        <row r="643">
          <cell r="W643" t="str">
            <v>вода</v>
          </cell>
        </row>
        <row r="644">
          <cell r="W644" t="str">
            <v>ут.реж</v>
          </cell>
        </row>
        <row r="645">
          <cell r="W645">
            <v>0</v>
          </cell>
        </row>
        <row r="646">
          <cell r="W646">
            <v>0</v>
          </cell>
        </row>
        <row r="647">
          <cell r="W647">
            <v>0</v>
          </cell>
        </row>
        <row r="648">
          <cell r="W648">
            <v>0</v>
          </cell>
        </row>
        <row r="649">
          <cell r="W649">
            <v>0</v>
          </cell>
        </row>
        <row r="650">
          <cell r="W650" t="str">
            <v>прс</v>
          </cell>
        </row>
        <row r="651">
          <cell r="W651" t="str">
            <v>уход в бд</v>
          </cell>
        </row>
        <row r="652">
          <cell r="W652">
            <v>0</v>
          </cell>
        </row>
        <row r="653">
          <cell r="W653" t="str">
            <v>по</v>
          </cell>
        </row>
        <row r="654">
          <cell r="W654">
            <v>0</v>
          </cell>
        </row>
        <row r="655">
          <cell r="W655" t="str">
            <v>ут.реж</v>
          </cell>
        </row>
        <row r="656">
          <cell r="W656">
            <v>0</v>
          </cell>
        </row>
        <row r="657">
          <cell r="W657" t="str">
            <v>крс</v>
          </cell>
        </row>
        <row r="658">
          <cell r="W658">
            <v>0</v>
          </cell>
        </row>
        <row r="659">
          <cell r="W659">
            <v>0</v>
          </cell>
        </row>
        <row r="660">
          <cell r="W660">
            <v>0</v>
          </cell>
        </row>
      </sheetData>
      <sheetData sheetId="3"/>
      <sheetData sheetId="4"/>
      <sheetData sheetId="5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рганизации"/>
      <sheetName val="Расчет"/>
      <sheetName val="Ввод"/>
      <sheetName val="ННП"/>
      <sheetName val="СНГ"/>
      <sheetName val="УНП"/>
      <sheetName val="База"/>
      <sheetName val="Корректировка"/>
      <sheetName val="План"/>
      <sheetName val="Даты"/>
      <sheetName val="бланк на нач мес"/>
      <sheetName val="Модуль1"/>
      <sheetName val="Модуль2"/>
      <sheetName val="Модуль3"/>
      <sheetName val="Куда"/>
      <sheetName val="Параметры"/>
      <sheetName val="O_ANALIZ"/>
    </sheetNames>
    <sheetDataSet>
      <sheetData sheetId="0" refreshError="1">
        <row r="3">
          <cell r="B3" t="str">
            <v>НН</v>
          </cell>
          <cell r="C3" t="str">
            <v>ННП</v>
          </cell>
        </row>
        <row r="4">
          <cell r="B4" t="str">
            <v>СН</v>
          </cell>
          <cell r="C4" t="str">
            <v>СНГДУ-1</v>
          </cell>
        </row>
        <row r="5">
          <cell r="B5" t="str">
            <v>БН</v>
          </cell>
          <cell r="C5" t="str">
            <v>СНГДУ-2</v>
          </cell>
        </row>
        <row r="6">
          <cell r="B6" t="str">
            <v>УН</v>
          </cell>
          <cell r="C6" t="str">
            <v>УНП-3</v>
          </cell>
        </row>
        <row r="7">
          <cell r="B7" t="str">
            <v>ННП</v>
          </cell>
          <cell r="C7" t="str">
            <v>ННП</v>
          </cell>
        </row>
        <row r="8">
          <cell r="B8" t="str">
            <v>СНГ</v>
          </cell>
          <cell r="C8" t="str">
            <v>Самотлорнефтегаз</v>
          </cell>
        </row>
      </sheetData>
      <sheetData sheetId="1" refreshError="1">
        <row r="2">
          <cell r="E2" t="str">
            <v>Об-ние2</v>
          </cell>
          <cell r="F2" t="str">
            <v>ВД</v>
          </cell>
          <cell r="G2" t="str">
            <v>ФД</v>
          </cell>
          <cell r="H2" t="str">
            <v>ФД_Д</v>
          </cell>
          <cell r="I2" t="str">
            <v>ФМ_Д</v>
          </cell>
          <cell r="J2" t="str">
            <v>ФПМ</v>
          </cell>
          <cell r="K2" t="str">
            <v>ФМ</v>
          </cell>
        </row>
        <row r="3">
          <cell r="E3" t="str">
            <v>НН_ПР_СКВ</v>
          </cell>
          <cell r="F3">
            <v>6</v>
          </cell>
          <cell r="G3">
            <v>6</v>
          </cell>
          <cell r="H3">
            <v>6</v>
          </cell>
          <cell r="I3">
            <v>20</v>
          </cell>
          <cell r="J3">
            <v>30</v>
          </cell>
          <cell r="K3">
            <v>26</v>
          </cell>
        </row>
        <row r="4">
          <cell r="E4" t="str">
            <v>НН_ПРО_СКВ</v>
          </cell>
          <cell r="F4">
            <v>75</v>
          </cell>
          <cell r="G4">
            <v>75</v>
          </cell>
          <cell r="H4">
            <v>75</v>
          </cell>
          <cell r="I4">
            <v>385</v>
          </cell>
          <cell r="J4">
            <v>366</v>
          </cell>
          <cell r="K4">
            <v>460</v>
          </cell>
        </row>
        <row r="5">
          <cell r="E5" t="str">
            <v>НН_ОСТМ_СКВ</v>
          </cell>
          <cell r="F5">
            <v>16</v>
          </cell>
          <cell r="G5">
            <v>16</v>
          </cell>
          <cell r="H5">
            <v>12</v>
          </cell>
          <cell r="I5">
            <v>38</v>
          </cell>
          <cell r="J5">
            <v>138</v>
          </cell>
          <cell r="K5">
            <v>54</v>
          </cell>
        </row>
        <row r="6">
          <cell r="E6" t="str">
            <v>НН_ОСТ_СКВ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0</v>
          </cell>
        </row>
        <row r="7">
          <cell r="E7" t="str">
            <v>НН_ООС_СКВ</v>
          </cell>
          <cell r="F7">
            <v>16</v>
          </cell>
          <cell r="G7">
            <v>16</v>
          </cell>
          <cell r="H7">
            <v>12</v>
          </cell>
          <cell r="I7">
            <v>38</v>
          </cell>
          <cell r="J7">
            <v>137</v>
          </cell>
          <cell r="K7">
            <v>54</v>
          </cell>
        </row>
        <row r="8">
          <cell r="E8" t="str">
            <v>НН_БЕН_СКВ</v>
          </cell>
          <cell r="F8">
            <v>415</v>
          </cell>
          <cell r="G8">
            <v>415</v>
          </cell>
          <cell r="H8">
            <v>415</v>
          </cell>
          <cell r="I8">
            <v>2075</v>
          </cell>
          <cell r="J8">
            <v>2340</v>
          </cell>
          <cell r="K8">
            <v>2490</v>
          </cell>
        </row>
        <row r="9">
          <cell r="E9" t="str">
            <v>НН_БЕЗ_СКВ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6</v>
          </cell>
          <cell r="K9">
            <v>2</v>
          </cell>
        </row>
        <row r="10">
          <cell r="E10" t="str">
            <v>НН_БЕО_СКВ</v>
          </cell>
          <cell r="F10">
            <v>414</v>
          </cell>
          <cell r="G10">
            <v>414</v>
          </cell>
          <cell r="H10">
            <v>414</v>
          </cell>
          <cell r="I10">
            <v>2074</v>
          </cell>
          <cell r="J10">
            <v>2334</v>
          </cell>
          <cell r="K10">
            <v>2488</v>
          </cell>
        </row>
        <row r="11">
          <cell r="E11" t="str">
            <v>НН_ДФ_СКВ</v>
          </cell>
          <cell r="F11">
            <v>909</v>
          </cell>
          <cell r="G11">
            <v>909</v>
          </cell>
          <cell r="H11">
            <v>913</v>
          </cell>
          <cell r="I11">
            <v>4573</v>
          </cell>
          <cell r="J11">
            <v>5623</v>
          </cell>
          <cell r="K11">
            <v>5482</v>
          </cell>
        </row>
        <row r="12">
          <cell r="E12" t="str">
            <v>НН_НЕР_СКВ</v>
          </cell>
          <cell r="F12">
            <v>524</v>
          </cell>
          <cell r="G12">
            <v>524</v>
          </cell>
          <cell r="H12">
            <v>520</v>
          </cell>
          <cell r="I12">
            <v>2592</v>
          </cell>
          <cell r="J12">
            <v>2951</v>
          </cell>
          <cell r="K12">
            <v>3116</v>
          </cell>
        </row>
        <row r="13">
          <cell r="E13" t="str">
            <v>НН_КОНС_СКВ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E14" t="str">
            <v>НН_КОНО_СКВ</v>
          </cell>
          <cell r="F14">
            <v>164</v>
          </cell>
          <cell r="G14">
            <v>164</v>
          </cell>
          <cell r="H14">
            <v>164</v>
          </cell>
          <cell r="I14">
            <v>820</v>
          </cell>
          <cell r="J14">
            <v>984</v>
          </cell>
          <cell r="K14">
            <v>984</v>
          </cell>
        </row>
        <row r="15">
          <cell r="E15" t="str">
            <v>НН_ЗАП_СКВ</v>
          </cell>
          <cell r="F15">
            <v>7</v>
          </cell>
          <cell r="G15">
            <v>7</v>
          </cell>
          <cell r="H15">
            <v>7</v>
          </cell>
          <cell r="I15">
            <v>21</v>
          </cell>
          <cell r="J15">
            <v>37</v>
          </cell>
          <cell r="K15">
            <v>28</v>
          </cell>
        </row>
        <row r="16">
          <cell r="E16" t="str">
            <v>НН_ПРСП_СКВ</v>
          </cell>
          <cell r="F16">
            <v>25</v>
          </cell>
          <cell r="G16">
            <v>25</v>
          </cell>
          <cell r="H16">
            <v>21</v>
          </cell>
          <cell r="I16">
            <v>65</v>
          </cell>
          <cell r="J16">
            <v>63</v>
          </cell>
          <cell r="K16">
            <v>90</v>
          </cell>
        </row>
        <row r="17">
          <cell r="E17" t="str">
            <v>НН_ПРСФ_СКВ</v>
          </cell>
          <cell r="F17">
            <v>7</v>
          </cell>
          <cell r="G17">
            <v>7</v>
          </cell>
          <cell r="H17">
            <v>7</v>
          </cell>
          <cell r="I17">
            <v>21</v>
          </cell>
          <cell r="J17">
            <v>32</v>
          </cell>
          <cell r="K17">
            <v>28</v>
          </cell>
        </row>
        <row r="18">
          <cell r="E18" t="str">
            <v>НН_КРСП_СКВ</v>
          </cell>
          <cell r="F18">
            <v>3</v>
          </cell>
          <cell r="G18">
            <v>3</v>
          </cell>
          <cell r="H18">
            <v>3</v>
          </cell>
          <cell r="I18">
            <v>7</v>
          </cell>
          <cell r="J18">
            <v>0</v>
          </cell>
          <cell r="K18">
            <v>10</v>
          </cell>
        </row>
        <row r="19">
          <cell r="E19" t="str">
            <v>НН_КРСФ_СКВ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E20" t="str">
            <v>НН_МЕРП_СКВ</v>
          </cell>
          <cell r="F20">
            <v>34</v>
          </cell>
          <cell r="G20">
            <v>34</v>
          </cell>
          <cell r="H20">
            <v>28</v>
          </cell>
          <cell r="I20">
            <v>81</v>
          </cell>
          <cell r="J20">
            <v>63</v>
          </cell>
          <cell r="K20">
            <v>115</v>
          </cell>
        </row>
        <row r="21">
          <cell r="E21" t="str">
            <v>НН_МЕРФ_СКВ</v>
          </cell>
          <cell r="F21">
            <v>7</v>
          </cell>
          <cell r="G21">
            <v>7</v>
          </cell>
          <cell r="H21">
            <v>7</v>
          </cell>
          <cell r="I21">
            <v>21</v>
          </cell>
          <cell r="J21">
            <v>37</v>
          </cell>
          <cell r="K21">
            <v>28</v>
          </cell>
        </row>
        <row r="22">
          <cell r="E22" t="str">
            <v>НН_СУММ_СКВ</v>
          </cell>
          <cell r="F22" t="str">
            <v>НЕТ</v>
          </cell>
          <cell r="G22">
            <v>1680</v>
          </cell>
          <cell r="H22">
            <v>1670</v>
          </cell>
          <cell r="I22">
            <v>8201</v>
          </cell>
          <cell r="J22">
            <v>9790</v>
          </cell>
          <cell r="K22">
            <v>9881</v>
          </cell>
        </row>
        <row r="23">
          <cell r="E23" t="str">
            <v>НН_ПР_Т</v>
          </cell>
          <cell r="F23">
            <v>56</v>
          </cell>
          <cell r="G23">
            <v>56</v>
          </cell>
          <cell r="H23">
            <v>45</v>
          </cell>
          <cell r="I23">
            <v>147</v>
          </cell>
          <cell r="J23">
            <v>316</v>
          </cell>
          <cell r="K23">
            <v>203</v>
          </cell>
        </row>
        <row r="24">
          <cell r="E24" t="str">
            <v>НН_ПРО_Т</v>
          </cell>
          <cell r="F24">
            <v>556.9</v>
          </cell>
          <cell r="G24">
            <v>556.9</v>
          </cell>
          <cell r="H24">
            <v>556.9</v>
          </cell>
          <cell r="I24">
            <v>2935.5</v>
          </cell>
          <cell r="J24">
            <v>1983.8</v>
          </cell>
          <cell r="K24">
            <v>3492.4</v>
          </cell>
        </row>
        <row r="25">
          <cell r="E25" t="str">
            <v>НН_ОСТМ_Т</v>
          </cell>
          <cell r="F25">
            <v>208.9</v>
          </cell>
          <cell r="G25">
            <v>208.9</v>
          </cell>
          <cell r="H25">
            <v>158.9</v>
          </cell>
          <cell r="I25">
            <v>424.5</v>
          </cell>
          <cell r="J25">
            <v>1731</v>
          </cell>
          <cell r="K25">
            <v>633.4</v>
          </cell>
        </row>
        <row r="26">
          <cell r="E26" t="str">
            <v>НН_ОСТ_Т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0</v>
          </cell>
        </row>
        <row r="27">
          <cell r="E27" t="str">
            <v>НН_ООС_Т</v>
          </cell>
          <cell r="F27">
            <v>208.9</v>
          </cell>
          <cell r="G27">
            <v>208.9</v>
          </cell>
          <cell r="H27">
            <v>158.9</v>
          </cell>
          <cell r="I27">
            <v>424.5</v>
          </cell>
          <cell r="J27">
            <v>1730</v>
          </cell>
          <cell r="K27">
            <v>633.4</v>
          </cell>
        </row>
        <row r="28">
          <cell r="E28" t="str">
            <v>НН_БЕН_Т</v>
          </cell>
          <cell r="F28">
            <v>856</v>
          </cell>
          <cell r="G28">
            <v>856</v>
          </cell>
          <cell r="H28">
            <v>856</v>
          </cell>
          <cell r="I28">
            <v>4280</v>
          </cell>
          <cell r="J28">
            <v>4899.6000000000004</v>
          </cell>
          <cell r="K28">
            <v>5136</v>
          </cell>
        </row>
        <row r="29">
          <cell r="E29" t="str">
            <v>НН_БЕЗ_Т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156</v>
          </cell>
          <cell r="K29">
            <v>2</v>
          </cell>
        </row>
        <row r="30">
          <cell r="E30" t="str">
            <v>НН_БЕО_Т</v>
          </cell>
          <cell r="F30">
            <v>855</v>
          </cell>
          <cell r="G30">
            <v>855</v>
          </cell>
          <cell r="H30">
            <v>855</v>
          </cell>
          <cell r="I30">
            <v>4279</v>
          </cell>
          <cell r="J30">
            <v>4743.6000000000004</v>
          </cell>
          <cell r="K30">
            <v>5134</v>
          </cell>
        </row>
        <row r="31">
          <cell r="E31" t="str">
            <v>НН_ДФ_Т</v>
          </cell>
          <cell r="F31">
            <v>13248.1</v>
          </cell>
          <cell r="G31">
            <v>13248.1</v>
          </cell>
          <cell r="H31">
            <v>13287.1</v>
          </cell>
          <cell r="I31">
            <v>66723.5</v>
          </cell>
          <cell r="J31">
            <v>82102</v>
          </cell>
          <cell r="K31">
            <v>79971.600000000006</v>
          </cell>
        </row>
        <row r="32">
          <cell r="E32" t="str">
            <v>НН_НЕР_Т</v>
          </cell>
          <cell r="F32">
            <v>1620.8</v>
          </cell>
          <cell r="G32">
            <v>1620.8</v>
          </cell>
          <cell r="H32">
            <v>1570.8</v>
          </cell>
          <cell r="I32">
            <v>7639</v>
          </cell>
          <cell r="J32">
            <v>8457.4</v>
          </cell>
          <cell r="K32">
            <v>9259.7999999999993</v>
          </cell>
        </row>
        <row r="33">
          <cell r="E33" t="str">
            <v>НН_КОНС_Т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 t="str">
            <v>НН_КОНО_Т</v>
          </cell>
          <cell r="F34">
            <v>67</v>
          </cell>
          <cell r="G34">
            <v>67</v>
          </cell>
          <cell r="H34">
            <v>67</v>
          </cell>
          <cell r="I34">
            <v>335</v>
          </cell>
          <cell r="J34">
            <v>618</v>
          </cell>
          <cell r="K34">
            <v>402</v>
          </cell>
        </row>
        <row r="35">
          <cell r="E35" t="str">
            <v>НН_ЗАП_Т</v>
          </cell>
          <cell r="F35">
            <v>57</v>
          </cell>
          <cell r="G35">
            <v>57</v>
          </cell>
          <cell r="H35">
            <v>46</v>
          </cell>
          <cell r="I35">
            <v>148</v>
          </cell>
          <cell r="J35">
            <v>475</v>
          </cell>
          <cell r="K35">
            <v>205</v>
          </cell>
        </row>
        <row r="36">
          <cell r="E36" t="str">
            <v>НН_ПРСП_Т</v>
          </cell>
          <cell r="F36">
            <v>344</v>
          </cell>
          <cell r="G36">
            <v>344</v>
          </cell>
          <cell r="H36">
            <v>297</v>
          </cell>
          <cell r="I36">
            <v>852</v>
          </cell>
          <cell r="J36">
            <v>639</v>
          </cell>
          <cell r="K36">
            <v>1196</v>
          </cell>
        </row>
        <row r="37">
          <cell r="E37" t="str">
            <v>НН_ПРСФ_Т</v>
          </cell>
          <cell r="F37">
            <v>57</v>
          </cell>
          <cell r="G37">
            <v>57</v>
          </cell>
          <cell r="H37">
            <v>46</v>
          </cell>
          <cell r="I37">
            <v>148</v>
          </cell>
          <cell r="J37">
            <v>435</v>
          </cell>
          <cell r="K37">
            <v>205</v>
          </cell>
        </row>
        <row r="38">
          <cell r="E38" t="str">
            <v>НН_КРСП_Т</v>
          </cell>
          <cell r="F38">
            <v>9</v>
          </cell>
          <cell r="G38">
            <v>9</v>
          </cell>
          <cell r="H38">
            <v>9</v>
          </cell>
          <cell r="I38">
            <v>27</v>
          </cell>
          <cell r="J38">
            <v>0</v>
          </cell>
          <cell r="K38">
            <v>36</v>
          </cell>
        </row>
        <row r="39">
          <cell r="E39" t="str">
            <v>НН_КРСФ_Т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E40" t="str">
            <v>НН_МЕРП_Т</v>
          </cell>
          <cell r="F40">
            <v>587</v>
          </cell>
          <cell r="G40">
            <v>587</v>
          </cell>
          <cell r="H40">
            <v>441</v>
          </cell>
          <cell r="I40">
            <v>1036</v>
          </cell>
          <cell r="J40">
            <v>639</v>
          </cell>
          <cell r="K40">
            <v>1623</v>
          </cell>
        </row>
        <row r="41">
          <cell r="E41" t="str">
            <v>НН_МЕРФ_Т</v>
          </cell>
          <cell r="F41">
            <v>57</v>
          </cell>
          <cell r="G41">
            <v>57</v>
          </cell>
          <cell r="H41">
            <v>46</v>
          </cell>
          <cell r="I41">
            <v>148</v>
          </cell>
          <cell r="J41">
            <v>475</v>
          </cell>
          <cell r="K41">
            <v>205</v>
          </cell>
        </row>
        <row r="42">
          <cell r="E42" t="str">
            <v>НН_СУММ_Т</v>
          </cell>
          <cell r="F42" t="str">
            <v>НЕТ</v>
          </cell>
          <cell r="G42">
            <v>16046.9</v>
          </cell>
          <cell r="H42">
            <v>15809.9</v>
          </cell>
          <cell r="I42">
            <v>77056.5</v>
          </cell>
          <cell r="J42">
            <v>93840.4</v>
          </cell>
          <cell r="K42">
            <v>93103.400000000009</v>
          </cell>
        </row>
        <row r="43">
          <cell r="E43" t="str">
            <v>СН_ПР_СКВ</v>
          </cell>
          <cell r="F43">
            <v>17</v>
          </cell>
          <cell r="G43">
            <v>17</v>
          </cell>
          <cell r="H43">
            <v>11</v>
          </cell>
          <cell r="I43">
            <v>30</v>
          </cell>
          <cell r="J43">
            <v>46</v>
          </cell>
          <cell r="K43">
            <v>47</v>
          </cell>
        </row>
        <row r="44">
          <cell r="E44" t="str">
            <v>СН_ПРО_СКВ</v>
          </cell>
          <cell r="F44">
            <v>119</v>
          </cell>
          <cell r="G44">
            <v>119</v>
          </cell>
          <cell r="H44">
            <v>125</v>
          </cell>
          <cell r="I44">
            <v>651</v>
          </cell>
          <cell r="J44">
            <v>578</v>
          </cell>
          <cell r="K44">
            <v>770</v>
          </cell>
        </row>
        <row r="45">
          <cell r="E45" t="str">
            <v>СН_ОСТМ_СКВ</v>
          </cell>
          <cell r="F45">
            <v>35</v>
          </cell>
          <cell r="G45">
            <v>35</v>
          </cell>
          <cell r="H45">
            <v>27</v>
          </cell>
          <cell r="I45">
            <v>70</v>
          </cell>
          <cell r="J45">
            <v>91</v>
          </cell>
          <cell r="K45">
            <v>105</v>
          </cell>
        </row>
        <row r="46">
          <cell r="E46" t="str">
            <v>СН_ОСТ_СКВ</v>
          </cell>
          <cell r="F46">
            <v>1</v>
          </cell>
          <cell r="G46">
            <v>1</v>
          </cell>
          <cell r="H46">
            <v>0</v>
          </cell>
          <cell r="I46">
            <v>0</v>
          </cell>
          <cell r="J46">
            <v>3</v>
          </cell>
          <cell r="K46">
            <v>1</v>
          </cell>
        </row>
        <row r="47">
          <cell r="E47" t="str">
            <v>СН_ООС_СКВ</v>
          </cell>
          <cell r="F47">
            <v>34</v>
          </cell>
          <cell r="G47">
            <v>34</v>
          </cell>
          <cell r="H47">
            <v>27</v>
          </cell>
          <cell r="I47">
            <v>70</v>
          </cell>
          <cell r="J47">
            <v>88</v>
          </cell>
          <cell r="K47">
            <v>104</v>
          </cell>
        </row>
        <row r="48">
          <cell r="E48" t="str">
            <v>СН_БЕН_СКВ</v>
          </cell>
          <cell r="F48">
            <v>1574</v>
          </cell>
          <cell r="G48">
            <v>1574</v>
          </cell>
          <cell r="H48">
            <v>1574</v>
          </cell>
          <cell r="I48">
            <v>7870</v>
          </cell>
          <cell r="J48">
            <v>9396</v>
          </cell>
          <cell r="K48">
            <v>9444</v>
          </cell>
        </row>
        <row r="49">
          <cell r="E49" t="str">
            <v>СН_БЕЗ_СКВ</v>
          </cell>
          <cell r="F49">
            <v>4</v>
          </cell>
          <cell r="G49">
            <v>4</v>
          </cell>
          <cell r="H49">
            <v>3</v>
          </cell>
          <cell r="I49">
            <v>11</v>
          </cell>
          <cell r="J49">
            <v>12</v>
          </cell>
          <cell r="K49">
            <v>15</v>
          </cell>
        </row>
        <row r="50">
          <cell r="E50" t="str">
            <v>СН_БЕО_СКВ</v>
          </cell>
          <cell r="F50">
            <v>1571</v>
          </cell>
          <cell r="G50">
            <v>1571</v>
          </cell>
          <cell r="H50">
            <v>1571</v>
          </cell>
          <cell r="I50">
            <v>7862</v>
          </cell>
          <cell r="J50">
            <v>9386</v>
          </cell>
          <cell r="K50">
            <v>9433</v>
          </cell>
        </row>
        <row r="51">
          <cell r="E51" t="str">
            <v>СН_ДФ_СКВ</v>
          </cell>
          <cell r="F51">
            <v>2507</v>
          </cell>
          <cell r="G51">
            <v>2507</v>
          </cell>
          <cell r="H51">
            <v>2507</v>
          </cell>
          <cell r="I51">
            <v>12567</v>
          </cell>
          <cell r="J51">
            <v>15318</v>
          </cell>
          <cell r="K51">
            <v>15074</v>
          </cell>
        </row>
        <row r="52">
          <cell r="E52" t="str">
            <v>СН_НЕР_СКВ</v>
          </cell>
          <cell r="F52">
            <v>1731</v>
          </cell>
          <cell r="G52">
            <v>1731</v>
          </cell>
          <cell r="H52">
            <v>1730</v>
          </cell>
          <cell r="I52">
            <v>8618</v>
          </cell>
          <cell r="J52">
            <v>10094</v>
          </cell>
          <cell r="K52">
            <v>10349</v>
          </cell>
        </row>
        <row r="53">
          <cell r="E53" t="str">
            <v>СН_КОНС_СКВ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E54" t="str">
            <v>СН_КОНО_СКВ</v>
          </cell>
          <cell r="F54">
            <v>723</v>
          </cell>
          <cell r="G54">
            <v>723</v>
          </cell>
          <cell r="H54">
            <v>724</v>
          </cell>
          <cell r="I54">
            <v>3620</v>
          </cell>
          <cell r="J54">
            <v>4360</v>
          </cell>
          <cell r="K54">
            <v>4343</v>
          </cell>
        </row>
        <row r="55">
          <cell r="E55" t="str">
            <v>СН_ЗАП_СКВ</v>
          </cell>
          <cell r="F55">
            <v>22</v>
          </cell>
          <cell r="G55">
            <v>22</v>
          </cell>
          <cell r="H55">
            <v>14</v>
          </cell>
          <cell r="I55">
            <v>37</v>
          </cell>
          <cell r="J55">
            <v>61</v>
          </cell>
          <cell r="K55">
            <v>59</v>
          </cell>
        </row>
        <row r="56">
          <cell r="E56" t="str">
            <v>СН_ПРСП_СКВ</v>
          </cell>
          <cell r="F56">
            <v>32</v>
          </cell>
          <cell r="G56">
            <v>32</v>
          </cell>
          <cell r="H56">
            <v>24</v>
          </cell>
          <cell r="I56">
            <v>54</v>
          </cell>
          <cell r="J56">
            <v>56</v>
          </cell>
          <cell r="K56">
            <v>86</v>
          </cell>
        </row>
        <row r="57">
          <cell r="E57" t="str">
            <v>СН_ПРСФ_СКВ</v>
          </cell>
          <cell r="F57">
            <v>17</v>
          </cell>
          <cell r="G57">
            <v>17</v>
          </cell>
          <cell r="H57">
            <v>9</v>
          </cell>
          <cell r="I57">
            <v>24</v>
          </cell>
          <cell r="J57">
            <v>54</v>
          </cell>
          <cell r="K57">
            <v>41</v>
          </cell>
        </row>
        <row r="58">
          <cell r="E58" t="str">
            <v>СН_КРСП_СКВ</v>
          </cell>
          <cell r="F58">
            <v>4</v>
          </cell>
          <cell r="G58">
            <v>4</v>
          </cell>
          <cell r="H58">
            <v>3</v>
          </cell>
          <cell r="I58">
            <v>8</v>
          </cell>
          <cell r="J58">
            <v>7</v>
          </cell>
          <cell r="K58">
            <v>12</v>
          </cell>
        </row>
        <row r="59">
          <cell r="E59" t="str">
            <v>СН_КРСФ_СКВ</v>
          </cell>
          <cell r="F59">
            <v>2</v>
          </cell>
          <cell r="G59">
            <v>2</v>
          </cell>
          <cell r="H59">
            <v>2</v>
          </cell>
          <cell r="I59">
            <v>5</v>
          </cell>
          <cell r="J59">
            <v>7</v>
          </cell>
          <cell r="K59">
            <v>7</v>
          </cell>
        </row>
        <row r="60">
          <cell r="E60" t="str">
            <v>СН_МЕРП_СКВ</v>
          </cell>
          <cell r="F60">
            <v>36</v>
          </cell>
          <cell r="G60">
            <v>36</v>
          </cell>
          <cell r="H60">
            <v>27</v>
          </cell>
          <cell r="I60">
            <v>62</v>
          </cell>
          <cell r="J60">
            <v>63</v>
          </cell>
          <cell r="K60">
            <v>98</v>
          </cell>
        </row>
        <row r="61">
          <cell r="E61" t="str">
            <v>СН_МЕРФ_СКВ</v>
          </cell>
          <cell r="F61">
            <v>22</v>
          </cell>
          <cell r="G61">
            <v>22</v>
          </cell>
          <cell r="H61">
            <v>14</v>
          </cell>
          <cell r="I61">
            <v>37</v>
          </cell>
          <cell r="J61">
            <v>61</v>
          </cell>
          <cell r="K61">
            <v>59</v>
          </cell>
        </row>
        <row r="62">
          <cell r="E62" t="str">
            <v>СН_СУММ_СКВ</v>
          </cell>
          <cell r="F62" t="str">
            <v>НЕТ</v>
          </cell>
          <cell r="G62">
            <v>5096</v>
          </cell>
          <cell r="H62">
            <v>5054</v>
          </cell>
          <cell r="I62">
            <v>25032</v>
          </cell>
          <cell r="J62">
            <v>30081</v>
          </cell>
          <cell r="K62">
            <v>30128</v>
          </cell>
        </row>
        <row r="63">
          <cell r="E63" t="str">
            <v>СН_ПР_Т</v>
          </cell>
          <cell r="F63">
            <v>153</v>
          </cell>
          <cell r="G63">
            <v>153</v>
          </cell>
          <cell r="H63">
            <v>107</v>
          </cell>
          <cell r="I63">
            <v>276</v>
          </cell>
          <cell r="J63">
            <v>528</v>
          </cell>
          <cell r="K63">
            <v>429</v>
          </cell>
        </row>
        <row r="64">
          <cell r="E64" t="str">
            <v>СН_ПРО_Т</v>
          </cell>
          <cell r="F64">
            <v>590</v>
          </cell>
          <cell r="G64">
            <v>590</v>
          </cell>
          <cell r="H64">
            <v>636</v>
          </cell>
          <cell r="I64">
            <v>3453</v>
          </cell>
          <cell r="J64">
            <v>4176</v>
          </cell>
          <cell r="K64">
            <v>4043</v>
          </cell>
        </row>
        <row r="65">
          <cell r="E65" t="str">
            <v>СН_ОСТМ_Т</v>
          </cell>
          <cell r="F65">
            <v>302</v>
          </cell>
          <cell r="G65">
            <v>302</v>
          </cell>
          <cell r="H65">
            <v>247</v>
          </cell>
          <cell r="I65">
            <v>613</v>
          </cell>
          <cell r="J65">
            <v>830</v>
          </cell>
          <cell r="K65">
            <v>915</v>
          </cell>
        </row>
        <row r="66">
          <cell r="E66" t="str">
            <v>СН_ОСТ_Т</v>
          </cell>
          <cell r="F66">
            <v>10</v>
          </cell>
          <cell r="G66">
            <v>10</v>
          </cell>
          <cell r="H66">
            <v>0</v>
          </cell>
          <cell r="I66">
            <v>0</v>
          </cell>
          <cell r="J66">
            <v>18</v>
          </cell>
          <cell r="K66">
            <v>10</v>
          </cell>
        </row>
        <row r="67">
          <cell r="E67" t="str">
            <v>СН_ООС_Т</v>
          </cell>
          <cell r="F67">
            <v>292</v>
          </cell>
          <cell r="G67">
            <v>292</v>
          </cell>
          <cell r="H67">
            <v>247</v>
          </cell>
          <cell r="I67">
            <v>613</v>
          </cell>
          <cell r="J67">
            <v>812</v>
          </cell>
          <cell r="K67">
            <v>905</v>
          </cell>
        </row>
        <row r="68">
          <cell r="E68" t="str">
            <v>СН_БЕН_Т</v>
          </cell>
          <cell r="F68">
            <v>4174</v>
          </cell>
          <cell r="G68">
            <v>4174</v>
          </cell>
          <cell r="H68">
            <v>4174</v>
          </cell>
          <cell r="I68">
            <v>20870</v>
          </cell>
          <cell r="J68">
            <v>24966</v>
          </cell>
          <cell r="K68">
            <v>25044</v>
          </cell>
        </row>
        <row r="69">
          <cell r="E69" t="str">
            <v>СН_БЕЗ_Т</v>
          </cell>
          <cell r="F69">
            <v>17</v>
          </cell>
          <cell r="G69">
            <v>17</v>
          </cell>
          <cell r="H69">
            <v>15</v>
          </cell>
          <cell r="I69">
            <v>78</v>
          </cell>
          <cell r="J69">
            <v>56</v>
          </cell>
          <cell r="K69">
            <v>95</v>
          </cell>
        </row>
        <row r="70">
          <cell r="E70" t="str">
            <v>СН_БЕО_Т</v>
          </cell>
          <cell r="F70">
            <v>4162</v>
          </cell>
          <cell r="G70">
            <v>4162</v>
          </cell>
          <cell r="H70">
            <v>4159</v>
          </cell>
          <cell r="I70">
            <v>20841</v>
          </cell>
          <cell r="J70">
            <v>24910</v>
          </cell>
          <cell r="K70">
            <v>25003</v>
          </cell>
        </row>
        <row r="71">
          <cell r="E71" t="str">
            <v>СН_ДФ_Т</v>
          </cell>
          <cell r="F71">
            <v>22706</v>
          </cell>
          <cell r="G71">
            <v>22706</v>
          </cell>
          <cell r="H71">
            <v>22700</v>
          </cell>
          <cell r="I71">
            <v>113820</v>
          </cell>
          <cell r="J71">
            <v>138511</v>
          </cell>
          <cell r="K71">
            <v>136526</v>
          </cell>
        </row>
        <row r="72">
          <cell r="E72" t="str">
            <v>СН_НЕР_Т</v>
          </cell>
          <cell r="F72">
            <v>5044</v>
          </cell>
          <cell r="G72">
            <v>5044</v>
          </cell>
          <cell r="H72">
            <v>5042</v>
          </cell>
          <cell r="I72">
            <v>24907</v>
          </cell>
          <cell r="J72">
            <v>29898</v>
          </cell>
          <cell r="K72">
            <v>29951</v>
          </cell>
        </row>
        <row r="73">
          <cell r="E73" t="str">
            <v>СН_КОНС_Т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 t="str">
            <v>СН_КОНО_Т</v>
          </cell>
          <cell r="F74">
            <v>737</v>
          </cell>
          <cell r="G74">
            <v>737</v>
          </cell>
          <cell r="H74">
            <v>737</v>
          </cell>
          <cell r="I74">
            <v>3685</v>
          </cell>
          <cell r="J74">
            <v>4452</v>
          </cell>
          <cell r="K74">
            <v>4422</v>
          </cell>
        </row>
        <row r="75">
          <cell r="E75" t="str">
            <v>СН_ЗАП_Т</v>
          </cell>
          <cell r="F75">
            <v>178</v>
          </cell>
          <cell r="G75">
            <v>178</v>
          </cell>
          <cell r="H75">
            <v>117</v>
          </cell>
          <cell r="I75">
            <v>283</v>
          </cell>
          <cell r="J75">
            <v>663</v>
          </cell>
          <cell r="K75">
            <v>461</v>
          </cell>
        </row>
        <row r="76">
          <cell r="E76" t="str">
            <v>СН_ПРСП_Т</v>
          </cell>
          <cell r="F76">
            <v>309</v>
          </cell>
          <cell r="G76">
            <v>309</v>
          </cell>
          <cell r="H76">
            <v>215</v>
          </cell>
          <cell r="I76">
            <v>488</v>
          </cell>
          <cell r="J76">
            <v>515</v>
          </cell>
          <cell r="K76">
            <v>797</v>
          </cell>
        </row>
        <row r="77">
          <cell r="E77" t="str">
            <v>СН_ПРСФ_Т</v>
          </cell>
          <cell r="F77">
            <v>155</v>
          </cell>
          <cell r="G77">
            <v>155</v>
          </cell>
          <cell r="H77">
            <v>102</v>
          </cell>
          <cell r="I77">
            <v>252</v>
          </cell>
          <cell r="J77">
            <v>629</v>
          </cell>
          <cell r="K77">
            <v>407</v>
          </cell>
        </row>
        <row r="78">
          <cell r="E78" t="str">
            <v>СН_КРСП_Т</v>
          </cell>
          <cell r="F78">
            <v>36</v>
          </cell>
          <cell r="G78">
            <v>36</v>
          </cell>
          <cell r="H78">
            <v>31</v>
          </cell>
          <cell r="I78">
            <v>73</v>
          </cell>
          <cell r="J78">
            <v>41</v>
          </cell>
          <cell r="K78">
            <v>109</v>
          </cell>
        </row>
        <row r="79">
          <cell r="E79" t="str">
            <v>СН_КРСФ_Т</v>
          </cell>
          <cell r="F79">
            <v>10</v>
          </cell>
          <cell r="G79">
            <v>10</v>
          </cell>
          <cell r="H79">
            <v>2</v>
          </cell>
          <cell r="I79">
            <v>8</v>
          </cell>
          <cell r="J79">
            <v>34</v>
          </cell>
          <cell r="K79">
            <v>18</v>
          </cell>
        </row>
        <row r="80">
          <cell r="E80" t="str">
            <v>СН_МЕРП_Т</v>
          </cell>
          <cell r="F80">
            <v>345</v>
          </cell>
          <cell r="G80">
            <v>345</v>
          </cell>
          <cell r="H80">
            <v>246</v>
          </cell>
          <cell r="I80">
            <v>561</v>
          </cell>
          <cell r="J80">
            <v>556</v>
          </cell>
          <cell r="K80">
            <v>906</v>
          </cell>
        </row>
        <row r="81">
          <cell r="E81" t="str">
            <v>СН_МЕРФ_Т</v>
          </cell>
          <cell r="F81">
            <v>178</v>
          </cell>
          <cell r="G81">
            <v>178</v>
          </cell>
          <cell r="H81">
            <v>117</v>
          </cell>
          <cell r="I81">
            <v>283</v>
          </cell>
          <cell r="J81">
            <v>663</v>
          </cell>
          <cell r="K81">
            <v>461</v>
          </cell>
        </row>
        <row r="82">
          <cell r="E82" t="str">
            <v>СН_СУММ_Т</v>
          </cell>
          <cell r="F82" t="str">
            <v>НЕТ</v>
          </cell>
          <cell r="G82">
            <v>29698</v>
          </cell>
          <cell r="H82">
            <v>29309</v>
          </cell>
          <cell r="I82">
            <v>144360</v>
          </cell>
          <cell r="J82">
            <v>175962</v>
          </cell>
          <cell r="K82">
            <v>174058</v>
          </cell>
        </row>
        <row r="83">
          <cell r="E83" t="str">
            <v>БН_ПР_СКВ</v>
          </cell>
          <cell r="F83">
            <v>21</v>
          </cell>
          <cell r="G83">
            <v>21</v>
          </cell>
          <cell r="H83">
            <v>17</v>
          </cell>
          <cell r="I83">
            <v>41</v>
          </cell>
          <cell r="J83">
            <v>51</v>
          </cell>
          <cell r="K83">
            <v>62</v>
          </cell>
        </row>
        <row r="84">
          <cell r="E84" t="str">
            <v>БН_ПРО_СКВ</v>
          </cell>
          <cell r="F84">
            <v>142</v>
          </cell>
          <cell r="G84">
            <v>142</v>
          </cell>
          <cell r="H84">
            <v>146</v>
          </cell>
          <cell r="I84">
            <v>774</v>
          </cell>
          <cell r="J84">
            <v>927</v>
          </cell>
          <cell r="K84">
            <v>916</v>
          </cell>
        </row>
        <row r="85">
          <cell r="E85" t="str">
            <v>БН_ОСТМ_СКВ</v>
          </cell>
          <cell r="F85">
            <v>50</v>
          </cell>
          <cell r="G85">
            <v>50</v>
          </cell>
          <cell r="H85">
            <v>40</v>
          </cell>
          <cell r="I85">
            <v>105</v>
          </cell>
          <cell r="J85">
            <v>117</v>
          </cell>
          <cell r="K85">
            <v>155</v>
          </cell>
        </row>
        <row r="86">
          <cell r="E86" t="str">
            <v>БН_ОСТ_СКВ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1</v>
          </cell>
          <cell r="K86">
            <v>0</v>
          </cell>
        </row>
        <row r="87">
          <cell r="E87" t="str">
            <v>БН_ООС_СКВ</v>
          </cell>
          <cell r="F87">
            <v>50</v>
          </cell>
          <cell r="G87">
            <v>50</v>
          </cell>
          <cell r="H87">
            <v>40</v>
          </cell>
          <cell r="I87">
            <v>105</v>
          </cell>
          <cell r="J87">
            <v>116</v>
          </cell>
          <cell r="K87">
            <v>155</v>
          </cell>
        </row>
        <row r="88">
          <cell r="E88" t="str">
            <v>БН_БЕН_СКВ</v>
          </cell>
          <cell r="F88">
            <v>1316</v>
          </cell>
          <cell r="G88">
            <v>1316</v>
          </cell>
          <cell r="H88">
            <v>1316</v>
          </cell>
          <cell r="I88">
            <v>6580</v>
          </cell>
          <cell r="J88">
            <v>7590</v>
          </cell>
          <cell r="K88">
            <v>7896</v>
          </cell>
        </row>
        <row r="89">
          <cell r="E89" t="str">
            <v>БН_БЕЗ_СКВ</v>
          </cell>
          <cell r="F89">
            <v>5</v>
          </cell>
          <cell r="G89">
            <v>5</v>
          </cell>
          <cell r="H89">
            <v>3</v>
          </cell>
          <cell r="I89">
            <v>8</v>
          </cell>
          <cell r="J89">
            <v>4</v>
          </cell>
          <cell r="K89">
            <v>13</v>
          </cell>
        </row>
        <row r="90">
          <cell r="E90" t="str">
            <v>БН_БЕО_СКВ</v>
          </cell>
          <cell r="F90">
            <v>1311</v>
          </cell>
          <cell r="G90">
            <v>1311</v>
          </cell>
          <cell r="H90">
            <v>1313</v>
          </cell>
          <cell r="I90">
            <v>6572</v>
          </cell>
          <cell r="J90">
            <v>7586</v>
          </cell>
          <cell r="K90">
            <v>7883</v>
          </cell>
        </row>
        <row r="91">
          <cell r="E91" t="str">
            <v>БН_ДФ_СКВ</v>
          </cell>
          <cell r="F91">
            <v>2353</v>
          </cell>
          <cell r="G91">
            <v>2353</v>
          </cell>
          <cell r="H91">
            <v>2356</v>
          </cell>
          <cell r="I91">
            <v>11824</v>
          </cell>
          <cell r="J91">
            <v>14437</v>
          </cell>
          <cell r="K91">
            <v>14177</v>
          </cell>
        </row>
        <row r="92">
          <cell r="E92" t="str">
            <v>БН_НЕР_СКВ</v>
          </cell>
          <cell r="F92">
            <v>1527</v>
          </cell>
          <cell r="G92">
            <v>1527</v>
          </cell>
          <cell r="H92">
            <v>1523</v>
          </cell>
          <cell r="I92">
            <v>7571</v>
          </cell>
          <cell r="J92">
            <v>8797</v>
          </cell>
          <cell r="K92">
            <v>9098</v>
          </cell>
        </row>
        <row r="93">
          <cell r="E93" t="str">
            <v>БН_КОНС_СКВ</v>
          </cell>
          <cell r="F93">
            <v>1</v>
          </cell>
          <cell r="G93">
            <v>1</v>
          </cell>
          <cell r="H93">
            <v>0</v>
          </cell>
          <cell r="I93">
            <v>0</v>
          </cell>
          <cell r="J93">
            <v>0</v>
          </cell>
          <cell r="K93">
            <v>1</v>
          </cell>
        </row>
        <row r="94">
          <cell r="E94" t="str">
            <v>БН_КОНО_СКВ</v>
          </cell>
          <cell r="F94">
            <v>1055</v>
          </cell>
          <cell r="G94">
            <v>1055</v>
          </cell>
          <cell r="H94">
            <v>1056</v>
          </cell>
          <cell r="I94">
            <v>5280</v>
          </cell>
          <cell r="J94">
            <v>6382</v>
          </cell>
          <cell r="K94">
            <v>6335</v>
          </cell>
        </row>
        <row r="95">
          <cell r="E95" t="str">
            <v>БН_ЗАП_СКВ</v>
          </cell>
          <cell r="F95">
            <v>27</v>
          </cell>
          <cell r="G95">
            <v>27</v>
          </cell>
          <cell r="H95">
            <v>20</v>
          </cell>
          <cell r="I95">
            <v>49</v>
          </cell>
          <cell r="J95">
            <v>58</v>
          </cell>
          <cell r="K95">
            <v>76</v>
          </cell>
        </row>
        <row r="96">
          <cell r="E96" t="str">
            <v>БН_ПРСП_СКВ</v>
          </cell>
          <cell r="F96">
            <v>44</v>
          </cell>
          <cell r="G96">
            <v>44</v>
          </cell>
          <cell r="H96">
            <v>33</v>
          </cell>
          <cell r="I96">
            <v>79</v>
          </cell>
          <cell r="J96">
            <v>140</v>
          </cell>
          <cell r="K96">
            <v>123</v>
          </cell>
        </row>
        <row r="97">
          <cell r="E97" t="str">
            <v>БН_ПРСФ_СКВ</v>
          </cell>
          <cell r="F97">
            <v>24</v>
          </cell>
          <cell r="G97">
            <v>24</v>
          </cell>
          <cell r="H97">
            <v>19</v>
          </cell>
          <cell r="I97">
            <v>48</v>
          </cell>
          <cell r="J97">
            <v>54</v>
          </cell>
          <cell r="K97">
            <v>72</v>
          </cell>
        </row>
        <row r="98">
          <cell r="E98" t="str">
            <v>БН_КРСП_СКВ</v>
          </cell>
          <cell r="F98">
            <v>1</v>
          </cell>
          <cell r="G98">
            <v>1</v>
          </cell>
          <cell r="H98">
            <v>1</v>
          </cell>
          <cell r="I98">
            <v>1</v>
          </cell>
          <cell r="J98">
            <v>2</v>
          </cell>
          <cell r="K98">
            <v>2</v>
          </cell>
        </row>
        <row r="99">
          <cell r="E99" t="str">
            <v>БН_КРСФ_СКВ</v>
          </cell>
          <cell r="F99">
            <v>2</v>
          </cell>
          <cell r="G99">
            <v>2</v>
          </cell>
          <cell r="H99">
            <v>0</v>
          </cell>
          <cell r="I99">
            <v>0</v>
          </cell>
          <cell r="J99">
            <v>4</v>
          </cell>
          <cell r="K99">
            <v>2</v>
          </cell>
        </row>
        <row r="100">
          <cell r="E100" t="str">
            <v>БН_МЕРП_СКВ</v>
          </cell>
          <cell r="F100">
            <v>45</v>
          </cell>
          <cell r="G100">
            <v>45</v>
          </cell>
          <cell r="H100">
            <v>34</v>
          </cell>
          <cell r="I100">
            <v>80</v>
          </cell>
          <cell r="J100">
            <v>142</v>
          </cell>
          <cell r="K100">
            <v>125</v>
          </cell>
        </row>
        <row r="101">
          <cell r="E101" t="str">
            <v>БН_МЕРФ_СКВ</v>
          </cell>
          <cell r="F101">
            <v>27</v>
          </cell>
          <cell r="G101">
            <v>27</v>
          </cell>
          <cell r="H101">
            <v>20</v>
          </cell>
          <cell r="I101">
            <v>49</v>
          </cell>
          <cell r="J101">
            <v>58</v>
          </cell>
          <cell r="K101">
            <v>76</v>
          </cell>
        </row>
        <row r="102">
          <cell r="E102" t="str">
            <v>БН_СУММ_СКВ</v>
          </cell>
          <cell r="F102" t="str">
            <v>НЕТ</v>
          </cell>
          <cell r="G102">
            <v>5106</v>
          </cell>
          <cell r="H102">
            <v>5062</v>
          </cell>
          <cell r="I102">
            <v>24981</v>
          </cell>
          <cell r="J102">
            <v>30074</v>
          </cell>
          <cell r="K102">
            <v>30087</v>
          </cell>
        </row>
        <row r="103">
          <cell r="E103" t="str">
            <v>БН_ПР_Т</v>
          </cell>
          <cell r="F103">
            <v>158</v>
          </cell>
          <cell r="G103">
            <v>158</v>
          </cell>
          <cell r="H103">
            <v>123</v>
          </cell>
          <cell r="I103">
            <v>325</v>
          </cell>
          <cell r="J103">
            <v>497</v>
          </cell>
          <cell r="K103">
            <v>483</v>
          </cell>
        </row>
        <row r="104">
          <cell r="E104" t="str">
            <v>БН_ПРО_Т</v>
          </cell>
          <cell r="F104">
            <v>1111</v>
          </cell>
          <cell r="G104">
            <v>1111</v>
          </cell>
          <cell r="H104">
            <v>1123</v>
          </cell>
          <cell r="I104">
            <v>5969</v>
          </cell>
          <cell r="J104">
            <v>8251</v>
          </cell>
          <cell r="K104">
            <v>7080</v>
          </cell>
        </row>
        <row r="105">
          <cell r="E105" t="str">
            <v>БН_ОСТМ_Т</v>
          </cell>
          <cell r="F105">
            <v>542</v>
          </cell>
          <cell r="G105">
            <v>542</v>
          </cell>
          <cell r="H105">
            <v>402</v>
          </cell>
          <cell r="I105">
            <v>1212</v>
          </cell>
          <cell r="J105">
            <v>2023</v>
          </cell>
          <cell r="K105">
            <v>1754</v>
          </cell>
        </row>
        <row r="106">
          <cell r="E106" t="str">
            <v>БН_ОСТ_Т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2</v>
          </cell>
          <cell r="K106">
            <v>0</v>
          </cell>
        </row>
        <row r="107">
          <cell r="E107" t="str">
            <v>БН_ООС_Т</v>
          </cell>
          <cell r="F107">
            <v>542</v>
          </cell>
          <cell r="G107">
            <v>542</v>
          </cell>
          <cell r="H107">
            <v>402</v>
          </cell>
          <cell r="I107">
            <v>1212</v>
          </cell>
          <cell r="J107">
            <v>2022</v>
          </cell>
          <cell r="K107">
            <v>1754</v>
          </cell>
        </row>
        <row r="108">
          <cell r="E108" t="str">
            <v>БН_БЕН_Т</v>
          </cell>
          <cell r="F108">
            <v>4992</v>
          </cell>
          <cell r="G108">
            <v>4992</v>
          </cell>
          <cell r="H108">
            <v>4992</v>
          </cell>
          <cell r="I108">
            <v>24960</v>
          </cell>
          <cell r="J108">
            <v>28494</v>
          </cell>
          <cell r="K108">
            <v>29952</v>
          </cell>
        </row>
        <row r="109">
          <cell r="E109" t="str">
            <v>БН_БЕЗ_Т</v>
          </cell>
          <cell r="F109">
            <v>35</v>
          </cell>
          <cell r="G109">
            <v>35</v>
          </cell>
          <cell r="H109">
            <v>15</v>
          </cell>
          <cell r="I109">
            <v>43</v>
          </cell>
          <cell r="J109">
            <v>54</v>
          </cell>
          <cell r="K109">
            <v>78</v>
          </cell>
        </row>
        <row r="110">
          <cell r="E110" t="str">
            <v>БН_БЕО_Т</v>
          </cell>
          <cell r="F110">
            <v>4957</v>
          </cell>
          <cell r="G110">
            <v>4957</v>
          </cell>
          <cell r="H110">
            <v>4977</v>
          </cell>
          <cell r="I110">
            <v>24917</v>
          </cell>
          <cell r="J110">
            <v>28440</v>
          </cell>
          <cell r="K110">
            <v>29874</v>
          </cell>
        </row>
        <row r="111">
          <cell r="E111" t="str">
            <v>БН_ДФ_Т</v>
          </cell>
          <cell r="F111">
            <v>18538</v>
          </cell>
          <cell r="G111">
            <v>18538</v>
          </cell>
          <cell r="H111">
            <v>18621</v>
          </cell>
          <cell r="I111">
            <v>93581</v>
          </cell>
          <cell r="J111">
            <v>114862</v>
          </cell>
          <cell r="K111">
            <v>112119</v>
          </cell>
        </row>
        <row r="112">
          <cell r="E112" t="str">
            <v>БН_НЕР_Т</v>
          </cell>
          <cell r="F112">
            <v>6650</v>
          </cell>
          <cell r="G112">
            <v>6650</v>
          </cell>
          <cell r="H112">
            <v>6542</v>
          </cell>
          <cell r="I112">
            <v>32298</v>
          </cell>
          <cell r="J112">
            <v>39043</v>
          </cell>
          <cell r="K112">
            <v>38948</v>
          </cell>
        </row>
        <row r="113">
          <cell r="E113" t="str">
            <v>БН_КОНС_Т</v>
          </cell>
          <cell r="F113">
            <v>2</v>
          </cell>
          <cell r="G113">
            <v>2</v>
          </cell>
          <cell r="H113">
            <v>0</v>
          </cell>
          <cell r="I113">
            <v>0</v>
          </cell>
          <cell r="J113">
            <v>0</v>
          </cell>
          <cell r="K113">
            <v>2</v>
          </cell>
        </row>
        <row r="114">
          <cell r="E114" t="str">
            <v>БН_КОНО_Т</v>
          </cell>
          <cell r="F114">
            <v>762</v>
          </cell>
          <cell r="G114">
            <v>762</v>
          </cell>
          <cell r="H114">
            <v>762</v>
          </cell>
          <cell r="I114">
            <v>3810</v>
          </cell>
          <cell r="J114">
            <v>4562</v>
          </cell>
          <cell r="K114">
            <v>4572</v>
          </cell>
        </row>
        <row r="115">
          <cell r="E115" t="str">
            <v>БН_ЗАП_Т</v>
          </cell>
          <cell r="F115">
            <v>195</v>
          </cell>
          <cell r="G115">
            <v>195</v>
          </cell>
          <cell r="H115">
            <v>138</v>
          </cell>
          <cell r="I115">
            <v>368</v>
          </cell>
          <cell r="J115">
            <v>563</v>
          </cell>
          <cell r="K115">
            <v>563</v>
          </cell>
        </row>
        <row r="116">
          <cell r="E116" t="str">
            <v>БН_ПРСП_Т</v>
          </cell>
          <cell r="F116">
            <v>464</v>
          </cell>
          <cell r="G116">
            <v>464</v>
          </cell>
          <cell r="H116">
            <v>346</v>
          </cell>
          <cell r="I116">
            <v>814</v>
          </cell>
          <cell r="J116">
            <v>1266</v>
          </cell>
          <cell r="K116">
            <v>1278</v>
          </cell>
        </row>
        <row r="117">
          <cell r="E117" t="str">
            <v>БН_ПРСФ_Т</v>
          </cell>
          <cell r="F117">
            <v>165</v>
          </cell>
          <cell r="G117">
            <v>165</v>
          </cell>
          <cell r="H117">
            <v>136</v>
          </cell>
          <cell r="I117">
            <v>366</v>
          </cell>
          <cell r="J117">
            <v>501</v>
          </cell>
          <cell r="K117">
            <v>531</v>
          </cell>
        </row>
        <row r="118">
          <cell r="E118" t="str">
            <v>БН_КРСП_Т</v>
          </cell>
          <cell r="F118">
            <v>8</v>
          </cell>
          <cell r="G118">
            <v>8</v>
          </cell>
          <cell r="H118">
            <v>8</v>
          </cell>
          <cell r="I118">
            <v>8</v>
          </cell>
          <cell r="J118">
            <v>21</v>
          </cell>
          <cell r="K118">
            <v>16</v>
          </cell>
        </row>
        <row r="119">
          <cell r="E119" t="str">
            <v>БН_КРСФ_Т</v>
          </cell>
          <cell r="F119">
            <v>20</v>
          </cell>
          <cell r="G119">
            <v>20</v>
          </cell>
          <cell r="H119">
            <v>0</v>
          </cell>
          <cell r="I119">
            <v>0</v>
          </cell>
          <cell r="J119">
            <v>62</v>
          </cell>
          <cell r="K119">
            <v>20</v>
          </cell>
        </row>
        <row r="120">
          <cell r="E120" t="str">
            <v>БН_МЕРП_Т</v>
          </cell>
          <cell r="F120">
            <v>472</v>
          </cell>
          <cell r="G120">
            <v>472</v>
          </cell>
          <cell r="H120">
            <v>354</v>
          </cell>
          <cell r="I120">
            <v>822</v>
          </cell>
          <cell r="J120">
            <v>1287</v>
          </cell>
          <cell r="K120">
            <v>1294</v>
          </cell>
        </row>
        <row r="121">
          <cell r="E121" t="str">
            <v>БН_МЕРФ_Т</v>
          </cell>
          <cell r="F121">
            <v>195</v>
          </cell>
          <cell r="G121">
            <v>195</v>
          </cell>
          <cell r="H121">
            <v>138</v>
          </cell>
          <cell r="I121">
            <v>368</v>
          </cell>
          <cell r="J121">
            <v>563</v>
          </cell>
          <cell r="K121">
            <v>563</v>
          </cell>
        </row>
        <row r="122">
          <cell r="E122" t="str">
            <v>БН_СУММ_Т</v>
          </cell>
          <cell r="F122" t="str">
            <v>НЕТ</v>
          </cell>
          <cell r="G122">
            <v>27471</v>
          </cell>
          <cell r="H122">
            <v>27045</v>
          </cell>
          <cell r="I122">
            <v>132435</v>
          </cell>
          <cell r="J122">
            <v>162730</v>
          </cell>
          <cell r="K122">
            <v>159906</v>
          </cell>
        </row>
        <row r="123">
          <cell r="E123" t="str">
            <v>УН_ПР_СКВ</v>
          </cell>
          <cell r="F123">
            <v>2</v>
          </cell>
          <cell r="G123">
            <v>2</v>
          </cell>
          <cell r="H123">
            <v>0</v>
          </cell>
          <cell r="I123">
            <v>0</v>
          </cell>
          <cell r="J123">
            <v>0</v>
          </cell>
          <cell r="K123">
            <v>2</v>
          </cell>
        </row>
        <row r="124">
          <cell r="E124" t="str">
            <v>УН_ПРО_СКВ</v>
          </cell>
          <cell r="F124">
            <v>18</v>
          </cell>
          <cell r="G124">
            <v>18</v>
          </cell>
          <cell r="H124">
            <v>20</v>
          </cell>
          <cell r="I124">
            <v>100</v>
          </cell>
          <cell r="J124">
            <v>84</v>
          </cell>
          <cell r="K124">
            <v>118</v>
          </cell>
        </row>
        <row r="125">
          <cell r="E125" t="str">
            <v>УН_ОСТМ_СКВ</v>
          </cell>
          <cell r="F125">
            <v>10</v>
          </cell>
          <cell r="G125">
            <v>10</v>
          </cell>
          <cell r="H125">
            <v>7</v>
          </cell>
          <cell r="I125">
            <v>17</v>
          </cell>
          <cell r="J125">
            <v>36</v>
          </cell>
          <cell r="K125">
            <v>27</v>
          </cell>
        </row>
        <row r="126">
          <cell r="E126" t="str">
            <v>УН_ОСТ_СКВ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0</v>
          </cell>
          <cell r="K126">
            <v>2</v>
          </cell>
        </row>
        <row r="127">
          <cell r="E127" t="str">
            <v>УН_ООС_СКВ</v>
          </cell>
          <cell r="F127">
            <v>9</v>
          </cell>
          <cell r="G127">
            <v>9</v>
          </cell>
          <cell r="H127">
            <v>6</v>
          </cell>
          <cell r="I127">
            <v>16</v>
          </cell>
          <cell r="J127">
            <v>36</v>
          </cell>
          <cell r="K127">
            <v>25</v>
          </cell>
        </row>
        <row r="128">
          <cell r="E128" t="str">
            <v>УН_БЕН_СКВ</v>
          </cell>
          <cell r="F128">
            <v>151</v>
          </cell>
          <cell r="G128">
            <v>151</v>
          </cell>
          <cell r="H128">
            <v>151</v>
          </cell>
          <cell r="I128">
            <v>755</v>
          </cell>
          <cell r="J128">
            <v>882</v>
          </cell>
          <cell r="K128">
            <v>906</v>
          </cell>
        </row>
        <row r="129">
          <cell r="E129" t="str">
            <v>УН_БЕЗ_СКВ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3</v>
          </cell>
          <cell r="K129">
            <v>0</v>
          </cell>
        </row>
        <row r="130">
          <cell r="E130" t="str">
            <v>УН_БЕО_СКВ</v>
          </cell>
          <cell r="F130">
            <v>151</v>
          </cell>
          <cell r="G130">
            <v>151</v>
          </cell>
          <cell r="H130">
            <v>151</v>
          </cell>
          <cell r="I130">
            <v>755</v>
          </cell>
          <cell r="J130">
            <v>879</v>
          </cell>
          <cell r="K130">
            <v>906</v>
          </cell>
        </row>
        <row r="131">
          <cell r="E131" t="str">
            <v>УН_ДФ_СКВ</v>
          </cell>
          <cell r="F131">
            <v>476</v>
          </cell>
          <cell r="G131">
            <v>476</v>
          </cell>
          <cell r="H131">
            <v>477</v>
          </cell>
          <cell r="I131">
            <v>2399</v>
          </cell>
          <cell r="J131">
            <v>2919</v>
          </cell>
          <cell r="K131">
            <v>2875</v>
          </cell>
        </row>
        <row r="132">
          <cell r="E132" t="str">
            <v>УН_НЕР_СКВ</v>
          </cell>
          <cell r="F132">
            <v>185</v>
          </cell>
          <cell r="G132">
            <v>185</v>
          </cell>
          <cell r="H132">
            <v>184</v>
          </cell>
          <cell r="I132">
            <v>906</v>
          </cell>
          <cell r="J132">
            <v>1041</v>
          </cell>
          <cell r="K132">
            <v>1091</v>
          </cell>
        </row>
        <row r="133">
          <cell r="E133" t="str">
            <v>УН_КОНС_СКВ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E134" t="str">
            <v>УН_КОНО_СКВ</v>
          </cell>
          <cell r="F134">
            <v>153</v>
          </cell>
          <cell r="G134">
            <v>153</v>
          </cell>
          <cell r="H134">
            <v>153</v>
          </cell>
          <cell r="I134">
            <v>765</v>
          </cell>
          <cell r="J134">
            <v>918</v>
          </cell>
          <cell r="K134">
            <v>918</v>
          </cell>
        </row>
        <row r="135">
          <cell r="E135" t="str">
            <v>УН_ЗАП_СКВ</v>
          </cell>
          <cell r="F135">
            <v>3</v>
          </cell>
          <cell r="G135">
            <v>3</v>
          </cell>
          <cell r="H135">
            <v>1</v>
          </cell>
          <cell r="I135">
            <v>1</v>
          </cell>
          <cell r="J135">
            <v>3</v>
          </cell>
          <cell r="K135">
            <v>4</v>
          </cell>
        </row>
        <row r="136">
          <cell r="E136" t="str">
            <v>УН_ПРСП_СКВ</v>
          </cell>
          <cell r="F136">
            <v>7</v>
          </cell>
          <cell r="G136">
            <v>7</v>
          </cell>
          <cell r="H136">
            <v>6</v>
          </cell>
          <cell r="I136">
            <v>18</v>
          </cell>
          <cell r="J136">
            <v>21</v>
          </cell>
          <cell r="K136">
            <v>25</v>
          </cell>
        </row>
        <row r="137">
          <cell r="E137" t="str">
            <v>УН_ПРСФ_СКВ</v>
          </cell>
          <cell r="F137">
            <v>3</v>
          </cell>
          <cell r="G137">
            <v>3</v>
          </cell>
          <cell r="H137">
            <v>1</v>
          </cell>
          <cell r="I137">
            <v>1</v>
          </cell>
          <cell r="J137">
            <v>3</v>
          </cell>
          <cell r="K137">
            <v>4</v>
          </cell>
        </row>
        <row r="138">
          <cell r="E138" t="str">
            <v>УН_КРСП_СКВ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E139" t="str">
            <v>УН_КРСФ_СКВ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E140" t="str">
            <v>УН_МЕРП_СКВ</v>
          </cell>
          <cell r="F140">
            <v>7</v>
          </cell>
          <cell r="G140">
            <v>7</v>
          </cell>
          <cell r="H140">
            <v>6</v>
          </cell>
          <cell r="I140">
            <v>18</v>
          </cell>
          <cell r="J140">
            <v>23</v>
          </cell>
          <cell r="K140">
            <v>25</v>
          </cell>
        </row>
        <row r="141">
          <cell r="E141" t="str">
            <v>УН_МЕРФ_СКВ</v>
          </cell>
          <cell r="F141">
            <v>3</v>
          </cell>
          <cell r="G141">
            <v>3</v>
          </cell>
          <cell r="H141">
            <v>1</v>
          </cell>
          <cell r="I141">
            <v>1</v>
          </cell>
          <cell r="J141">
            <v>3</v>
          </cell>
          <cell r="K141">
            <v>4</v>
          </cell>
        </row>
        <row r="142">
          <cell r="E142" t="str">
            <v>УН_СУММ_СКВ</v>
          </cell>
          <cell r="F142" t="str">
            <v>НЕТ</v>
          </cell>
          <cell r="G142">
            <v>837</v>
          </cell>
          <cell r="H142">
            <v>829</v>
          </cell>
          <cell r="I142">
            <v>4109</v>
          </cell>
          <cell r="J142">
            <v>4931</v>
          </cell>
          <cell r="K142">
            <v>4946</v>
          </cell>
        </row>
        <row r="143">
          <cell r="E143" t="str">
            <v>УН_ПР_Т</v>
          </cell>
          <cell r="F143">
            <v>11</v>
          </cell>
          <cell r="G143">
            <v>11</v>
          </cell>
          <cell r="H143">
            <v>0</v>
          </cell>
          <cell r="I143">
            <v>0</v>
          </cell>
          <cell r="J143">
            <v>0</v>
          </cell>
          <cell r="K143">
            <v>11</v>
          </cell>
        </row>
        <row r="144">
          <cell r="E144" t="str">
            <v>УН_ПРО_Т</v>
          </cell>
          <cell r="F144">
            <v>112</v>
          </cell>
          <cell r="G144">
            <v>112</v>
          </cell>
          <cell r="H144">
            <v>123</v>
          </cell>
          <cell r="I144">
            <v>615</v>
          </cell>
          <cell r="J144">
            <v>702</v>
          </cell>
          <cell r="K144">
            <v>727</v>
          </cell>
        </row>
        <row r="145">
          <cell r="E145" t="str">
            <v>УН_ОСТМ_Т</v>
          </cell>
          <cell r="F145">
            <v>51</v>
          </cell>
          <cell r="G145">
            <v>51</v>
          </cell>
          <cell r="H145">
            <v>28</v>
          </cell>
          <cell r="I145">
            <v>66</v>
          </cell>
          <cell r="J145">
            <v>229</v>
          </cell>
          <cell r="K145">
            <v>117</v>
          </cell>
        </row>
        <row r="146">
          <cell r="E146" t="str">
            <v>УН_ОСТ_Т</v>
          </cell>
          <cell r="F146">
            <v>6</v>
          </cell>
          <cell r="G146">
            <v>6</v>
          </cell>
          <cell r="H146">
            <v>6</v>
          </cell>
          <cell r="I146">
            <v>6</v>
          </cell>
          <cell r="J146">
            <v>0</v>
          </cell>
          <cell r="K146">
            <v>12</v>
          </cell>
        </row>
        <row r="147">
          <cell r="E147" t="str">
            <v>УН_ООС_Т</v>
          </cell>
          <cell r="F147">
            <v>45</v>
          </cell>
          <cell r="G147">
            <v>45</v>
          </cell>
          <cell r="H147">
            <v>22</v>
          </cell>
          <cell r="I147">
            <v>60</v>
          </cell>
          <cell r="J147">
            <v>229</v>
          </cell>
          <cell r="K147">
            <v>105</v>
          </cell>
        </row>
        <row r="148">
          <cell r="E148" t="str">
            <v>УН_БЕН_Т</v>
          </cell>
          <cell r="F148">
            <v>241.7</v>
          </cell>
          <cell r="G148">
            <v>241.7</v>
          </cell>
          <cell r="H148">
            <v>241.7</v>
          </cell>
          <cell r="I148">
            <v>1208.5</v>
          </cell>
          <cell r="J148">
            <v>1272</v>
          </cell>
          <cell r="K148">
            <v>1450.2</v>
          </cell>
        </row>
        <row r="149">
          <cell r="E149" t="str">
            <v>УН_БЕЗ_Т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3</v>
          </cell>
          <cell r="K149">
            <v>0</v>
          </cell>
        </row>
        <row r="150">
          <cell r="E150" t="str">
            <v>УН_БЕО_Т</v>
          </cell>
          <cell r="F150">
            <v>241.7</v>
          </cell>
          <cell r="G150">
            <v>241.7</v>
          </cell>
          <cell r="H150">
            <v>241.7</v>
          </cell>
          <cell r="I150">
            <v>1208.5</v>
          </cell>
          <cell r="J150">
            <v>1268.0999999999999</v>
          </cell>
          <cell r="K150">
            <v>1450.2</v>
          </cell>
        </row>
        <row r="151">
          <cell r="E151" t="str">
            <v>УН_ДФ_Т</v>
          </cell>
          <cell r="F151">
            <v>4179</v>
          </cell>
          <cell r="G151">
            <v>4179</v>
          </cell>
          <cell r="H151">
            <v>4191</v>
          </cell>
          <cell r="I151">
            <v>21005</v>
          </cell>
          <cell r="J151">
            <v>25436</v>
          </cell>
          <cell r="K151">
            <v>25184</v>
          </cell>
        </row>
        <row r="152">
          <cell r="E152" t="str">
            <v>УН_НЕР_Т</v>
          </cell>
          <cell r="F152">
            <v>398.7</v>
          </cell>
          <cell r="G152">
            <v>398.7</v>
          </cell>
          <cell r="H152">
            <v>386.7</v>
          </cell>
          <cell r="I152">
            <v>1883.5</v>
          </cell>
          <cell r="J152">
            <v>2199.1</v>
          </cell>
          <cell r="K152">
            <v>2282.1999999999998</v>
          </cell>
        </row>
        <row r="153">
          <cell r="E153" t="str">
            <v>УН_КОНС_Т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E154" t="str">
            <v>УН_КОНО_Т</v>
          </cell>
          <cell r="F154">
            <v>100</v>
          </cell>
          <cell r="G154">
            <v>100</v>
          </cell>
          <cell r="H154">
            <v>100</v>
          </cell>
          <cell r="I154">
            <v>500</v>
          </cell>
          <cell r="J154">
            <v>600</v>
          </cell>
          <cell r="K154">
            <v>600</v>
          </cell>
        </row>
        <row r="155">
          <cell r="E155" t="str">
            <v>УН_ЗАП_Т</v>
          </cell>
          <cell r="F155">
            <v>17</v>
          </cell>
          <cell r="G155">
            <v>17</v>
          </cell>
          <cell r="H155">
            <v>6</v>
          </cell>
          <cell r="I155">
            <v>6</v>
          </cell>
          <cell r="J155">
            <v>3</v>
          </cell>
          <cell r="K155">
            <v>23</v>
          </cell>
        </row>
        <row r="156">
          <cell r="E156" t="str">
            <v>УН_ПРСП_Т</v>
          </cell>
          <cell r="F156">
            <v>67</v>
          </cell>
          <cell r="G156">
            <v>67</v>
          </cell>
          <cell r="H156">
            <v>55</v>
          </cell>
          <cell r="I156">
            <v>161</v>
          </cell>
          <cell r="J156">
            <v>218</v>
          </cell>
          <cell r="K156">
            <v>228</v>
          </cell>
        </row>
        <row r="157">
          <cell r="E157" t="str">
            <v>УН_ПРСФ_Т</v>
          </cell>
          <cell r="F157">
            <v>17</v>
          </cell>
          <cell r="G157">
            <v>17</v>
          </cell>
          <cell r="H157">
            <v>6</v>
          </cell>
          <cell r="I157">
            <v>6</v>
          </cell>
          <cell r="J157">
            <v>3</v>
          </cell>
          <cell r="K157">
            <v>23</v>
          </cell>
        </row>
        <row r="158">
          <cell r="E158" t="str">
            <v>УН_КРСП_Т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E159" t="str">
            <v>УН_КРСФ_Т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E160" t="str">
            <v>УН_МЕРП_Т</v>
          </cell>
          <cell r="F160">
            <v>67</v>
          </cell>
          <cell r="G160">
            <v>67</v>
          </cell>
          <cell r="H160">
            <v>55</v>
          </cell>
          <cell r="I160">
            <v>161</v>
          </cell>
          <cell r="J160">
            <v>268</v>
          </cell>
          <cell r="K160">
            <v>228</v>
          </cell>
        </row>
        <row r="161">
          <cell r="E161" t="str">
            <v>УН_МЕРФ_Т</v>
          </cell>
          <cell r="F161">
            <v>17</v>
          </cell>
          <cell r="G161">
            <v>17</v>
          </cell>
          <cell r="H161">
            <v>6</v>
          </cell>
          <cell r="I161">
            <v>6</v>
          </cell>
          <cell r="J161">
            <v>3</v>
          </cell>
          <cell r="K161">
            <v>23</v>
          </cell>
        </row>
        <row r="162">
          <cell r="E162" t="str">
            <v>УН_СУММ_Т</v>
          </cell>
          <cell r="F162" t="str">
            <v>НЕТ</v>
          </cell>
          <cell r="G162">
            <v>4862.7</v>
          </cell>
          <cell r="H162">
            <v>4805.7</v>
          </cell>
          <cell r="I162">
            <v>23728.5</v>
          </cell>
          <cell r="J162">
            <v>28730.1</v>
          </cell>
          <cell r="K162">
            <v>28591.200000000001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ННП"/>
      <sheetName val="СНГ"/>
      <sheetName val="УНП"/>
      <sheetName val="База"/>
      <sheetName val="Расчет"/>
      <sheetName val="Корректировка"/>
      <sheetName val="План"/>
      <sheetName val="Даты"/>
      <sheetName val="бланк на нач мес"/>
      <sheetName val="Модуль1"/>
      <sheetName val="Модуль2"/>
      <sheetName val="Модуль3"/>
      <sheetName val="Куда"/>
      <sheetName val="Организации"/>
      <sheetName val="Параметры"/>
      <sheetName val="O_ANALIZ"/>
    </sheetNames>
    <sheetDataSet>
      <sheetData sheetId="0"/>
      <sheetData sheetId="1"/>
      <sheetData sheetId="2"/>
      <sheetData sheetId="3"/>
      <sheetData sheetId="4"/>
      <sheetData sheetId="5" refreshError="1">
        <row r="2">
          <cell r="E2" t="str">
            <v>Об-ние2</v>
          </cell>
          <cell r="F2" t="str">
            <v>ВД</v>
          </cell>
          <cell r="G2" t="str">
            <v>ФД</v>
          </cell>
          <cell r="H2" t="str">
            <v>ФД_Д</v>
          </cell>
          <cell r="I2" t="str">
            <v>ФМ_Д</v>
          </cell>
          <cell r="J2" t="str">
            <v>ФПМ</v>
          </cell>
          <cell r="K2" t="str">
            <v>ФМ</v>
          </cell>
        </row>
        <row r="3">
          <cell r="E3" t="str">
            <v>НН_ПР_СКВ</v>
          </cell>
          <cell r="F3">
            <v>6</v>
          </cell>
          <cell r="G3">
            <v>6</v>
          </cell>
          <cell r="H3">
            <v>6</v>
          </cell>
          <cell r="I3">
            <v>20</v>
          </cell>
          <cell r="J3">
            <v>30</v>
          </cell>
          <cell r="K3">
            <v>26</v>
          </cell>
        </row>
        <row r="4">
          <cell r="E4" t="str">
            <v>НН_ПРО_СКВ</v>
          </cell>
          <cell r="F4">
            <v>75</v>
          </cell>
          <cell r="G4">
            <v>75</v>
          </cell>
          <cell r="H4">
            <v>75</v>
          </cell>
          <cell r="I4">
            <v>385</v>
          </cell>
          <cell r="J4">
            <v>366</v>
          </cell>
          <cell r="K4">
            <v>460</v>
          </cell>
        </row>
        <row r="5">
          <cell r="E5" t="str">
            <v>НН_ОСТМ_СКВ</v>
          </cell>
          <cell r="F5">
            <v>16</v>
          </cell>
          <cell r="G5">
            <v>16</v>
          </cell>
          <cell r="H5">
            <v>12</v>
          </cell>
          <cell r="I5">
            <v>38</v>
          </cell>
          <cell r="J5">
            <v>138</v>
          </cell>
          <cell r="K5">
            <v>54</v>
          </cell>
        </row>
        <row r="6">
          <cell r="E6" t="str">
            <v>НН_ОСТ_СКВ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0</v>
          </cell>
        </row>
        <row r="7">
          <cell r="E7" t="str">
            <v>НН_ООС_СКВ</v>
          </cell>
          <cell r="F7">
            <v>16</v>
          </cell>
          <cell r="G7">
            <v>16</v>
          </cell>
          <cell r="H7">
            <v>12</v>
          </cell>
          <cell r="I7">
            <v>38</v>
          </cell>
          <cell r="J7">
            <v>137</v>
          </cell>
          <cell r="K7">
            <v>54</v>
          </cell>
        </row>
        <row r="8">
          <cell r="E8" t="str">
            <v>НН_БЕН_СКВ</v>
          </cell>
          <cell r="F8">
            <v>415</v>
          </cell>
          <cell r="G8">
            <v>415</v>
          </cell>
          <cell r="H8">
            <v>415</v>
          </cell>
          <cell r="I8">
            <v>2075</v>
          </cell>
          <cell r="J8">
            <v>2340</v>
          </cell>
          <cell r="K8">
            <v>2490</v>
          </cell>
        </row>
        <row r="9">
          <cell r="E9" t="str">
            <v>НН_БЕЗ_СКВ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6</v>
          </cell>
          <cell r="K9">
            <v>2</v>
          </cell>
        </row>
        <row r="10">
          <cell r="E10" t="str">
            <v>НН_БЕО_СКВ</v>
          </cell>
          <cell r="F10">
            <v>414</v>
          </cell>
          <cell r="G10">
            <v>414</v>
          </cell>
          <cell r="H10">
            <v>414</v>
          </cell>
          <cell r="I10">
            <v>2074</v>
          </cell>
          <cell r="J10">
            <v>2334</v>
          </cell>
          <cell r="K10">
            <v>2488</v>
          </cell>
        </row>
        <row r="11">
          <cell r="E11" t="str">
            <v>НН_ДФ_СКВ</v>
          </cell>
          <cell r="F11">
            <v>909</v>
          </cell>
          <cell r="G11">
            <v>909</v>
          </cell>
          <cell r="H11">
            <v>913</v>
          </cell>
          <cell r="I11">
            <v>4573</v>
          </cell>
          <cell r="J11">
            <v>5623</v>
          </cell>
          <cell r="K11">
            <v>5482</v>
          </cell>
        </row>
        <row r="12">
          <cell r="E12" t="str">
            <v>НН_НЕР_СКВ</v>
          </cell>
          <cell r="F12">
            <v>524</v>
          </cell>
          <cell r="G12">
            <v>524</v>
          </cell>
          <cell r="H12">
            <v>520</v>
          </cell>
          <cell r="I12">
            <v>2592</v>
          </cell>
          <cell r="J12">
            <v>2951</v>
          </cell>
          <cell r="K12">
            <v>3116</v>
          </cell>
        </row>
        <row r="13">
          <cell r="E13" t="str">
            <v>НН_КОНС_СКВ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E14" t="str">
            <v>НН_КОНО_СКВ</v>
          </cell>
          <cell r="F14">
            <v>164</v>
          </cell>
          <cell r="G14">
            <v>164</v>
          </cell>
          <cell r="H14">
            <v>164</v>
          </cell>
          <cell r="I14">
            <v>820</v>
          </cell>
          <cell r="J14">
            <v>984</v>
          </cell>
          <cell r="K14">
            <v>984</v>
          </cell>
        </row>
        <row r="15">
          <cell r="E15" t="str">
            <v>НН_ЗАП_СКВ</v>
          </cell>
          <cell r="F15">
            <v>7</v>
          </cell>
          <cell r="G15">
            <v>7</v>
          </cell>
          <cell r="H15">
            <v>7</v>
          </cell>
          <cell r="I15">
            <v>21</v>
          </cell>
          <cell r="J15">
            <v>37</v>
          </cell>
          <cell r="K15">
            <v>28</v>
          </cell>
        </row>
        <row r="16">
          <cell r="E16" t="str">
            <v>НН_ПРСП_СКВ</v>
          </cell>
          <cell r="F16">
            <v>25</v>
          </cell>
          <cell r="G16">
            <v>25</v>
          </cell>
          <cell r="H16">
            <v>21</v>
          </cell>
          <cell r="I16">
            <v>65</v>
          </cell>
          <cell r="J16">
            <v>63</v>
          </cell>
          <cell r="K16">
            <v>90</v>
          </cell>
        </row>
        <row r="17">
          <cell r="E17" t="str">
            <v>НН_ПРСФ_СКВ</v>
          </cell>
          <cell r="F17">
            <v>7</v>
          </cell>
          <cell r="G17">
            <v>7</v>
          </cell>
          <cell r="H17">
            <v>7</v>
          </cell>
          <cell r="I17">
            <v>21</v>
          </cell>
          <cell r="J17">
            <v>32</v>
          </cell>
          <cell r="K17">
            <v>28</v>
          </cell>
        </row>
        <row r="18">
          <cell r="E18" t="str">
            <v>НН_КРСП_СКВ</v>
          </cell>
          <cell r="F18">
            <v>3</v>
          </cell>
          <cell r="G18">
            <v>3</v>
          </cell>
          <cell r="H18">
            <v>3</v>
          </cell>
          <cell r="I18">
            <v>7</v>
          </cell>
          <cell r="J18">
            <v>0</v>
          </cell>
          <cell r="K18">
            <v>10</v>
          </cell>
        </row>
        <row r="19">
          <cell r="E19" t="str">
            <v>НН_КРСФ_СКВ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E20" t="str">
            <v>НН_МЕРП_СКВ</v>
          </cell>
          <cell r="F20">
            <v>34</v>
          </cell>
          <cell r="G20">
            <v>34</v>
          </cell>
          <cell r="H20">
            <v>28</v>
          </cell>
          <cell r="I20">
            <v>81</v>
          </cell>
          <cell r="J20">
            <v>63</v>
          </cell>
          <cell r="K20">
            <v>115</v>
          </cell>
        </row>
        <row r="21">
          <cell r="E21" t="str">
            <v>НН_МЕРФ_СКВ</v>
          </cell>
          <cell r="F21">
            <v>7</v>
          </cell>
          <cell r="G21">
            <v>7</v>
          </cell>
          <cell r="H21">
            <v>7</v>
          </cell>
          <cell r="I21">
            <v>21</v>
          </cell>
          <cell r="J21">
            <v>37</v>
          </cell>
          <cell r="K21">
            <v>28</v>
          </cell>
        </row>
        <row r="22">
          <cell r="E22" t="str">
            <v>НН_СУММ_СКВ</v>
          </cell>
          <cell r="F22" t="str">
            <v>НЕТ</v>
          </cell>
          <cell r="G22">
            <v>1680</v>
          </cell>
          <cell r="H22">
            <v>1670</v>
          </cell>
          <cell r="I22">
            <v>8201</v>
          </cell>
          <cell r="J22">
            <v>9790</v>
          </cell>
          <cell r="K22">
            <v>9881</v>
          </cell>
        </row>
        <row r="23">
          <cell r="E23" t="str">
            <v>НН_ПР_Т</v>
          </cell>
          <cell r="F23">
            <v>56</v>
          </cell>
          <cell r="G23">
            <v>56</v>
          </cell>
          <cell r="H23">
            <v>45</v>
          </cell>
          <cell r="I23">
            <v>147</v>
          </cell>
          <cell r="J23">
            <v>316</v>
          </cell>
          <cell r="K23">
            <v>203</v>
          </cell>
        </row>
        <row r="24">
          <cell r="E24" t="str">
            <v>НН_ПРО_Т</v>
          </cell>
          <cell r="F24">
            <v>556.9</v>
          </cell>
          <cell r="G24">
            <v>556.9</v>
          </cell>
          <cell r="H24">
            <v>556.9</v>
          </cell>
          <cell r="I24">
            <v>2935.5</v>
          </cell>
          <cell r="J24">
            <v>1983.8</v>
          </cell>
          <cell r="K24">
            <v>3492.4</v>
          </cell>
        </row>
        <row r="25">
          <cell r="E25" t="str">
            <v>НН_ОСТМ_Т</v>
          </cell>
          <cell r="F25">
            <v>208.9</v>
          </cell>
          <cell r="G25">
            <v>208.9</v>
          </cell>
          <cell r="H25">
            <v>158.9</v>
          </cell>
          <cell r="I25">
            <v>424.5</v>
          </cell>
          <cell r="J25">
            <v>1731</v>
          </cell>
          <cell r="K25">
            <v>633.4</v>
          </cell>
        </row>
        <row r="26">
          <cell r="E26" t="str">
            <v>НН_ОСТ_Т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3</v>
          </cell>
          <cell r="K26">
            <v>0</v>
          </cell>
        </row>
        <row r="27">
          <cell r="E27" t="str">
            <v>НН_ООС_Т</v>
          </cell>
          <cell r="F27">
            <v>208.9</v>
          </cell>
          <cell r="G27">
            <v>208.9</v>
          </cell>
          <cell r="H27">
            <v>158.9</v>
          </cell>
          <cell r="I27">
            <v>424.5</v>
          </cell>
          <cell r="J27">
            <v>1730</v>
          </cell>
          <cell r="K27">
            <v>633.4</v>
          </cell>
        </row>
        <row r="28">
          <cell r="E28" t="str">
            <v>НН_БЕН_Т</v>
          </cell>
          <cell r="F28">
            <v>856</v>
          </cell>
          <cell r="G28">
            <v>856</v>
          </cell>
          <cell r="H28">
            <v>856</v>
          </cell>
          <cell r="I28">
            <v>4280</v>
          </cell>
          <cell r="J28">
            <v>4899.6000000000004</v>
          </cell>
          <cell r="K28">
            <v>5136</v>
          </cell>
        </row>
        <row r="29">
          <cell r="E29" t="str">
            <v>НН_БЕЗ_Т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156</v>
          </cell>
          <cell r="K29">
            <v>2</v>
          </cell>
        </row>
        <row r="30">
          <cell r="E30" t="str">
            <v>НН_БЕО_Т</v>
          </cell>
          <cell r="F30">
            <v>855</v>
          </cell>
          <cell r="G30">
            <v>855</v>
          </cell>
          <cell r="H30">
            <v>855</v>
          </cell>
          <cell r="I30">
            <v>4279</v>
          </cell>
          <cell r="J30">
            <v>4743.6000000000004</v>
          </cell>
          <cell r="K30">
            <v>5134</v>
          </cell>
        </row>
        <row r="31">
          <cell r="E31" t="str">
            <v>НН_ДФ_Т</v>
          </cell>
          <cell r="F31">
            <v>13248.1</v>
          </cell>
          <cell r="G31">
            <v>13248.1</v>
          </cell>
          <cell r="H31">
            <v>13287.1</v>
          </cell>
          <cell r="I31">
            <v>66723.5</v>
          </cell>
          <cell r="J31">
            <v>82102</v>
          </cell>
          <cell r="K31">
            <v>79971.600000000006</v>
          </cell>
        </row>
        <row r="32">
          <cell r="E32" t="str">
            <v>НН_НЕР_Т</v>
          </cell>
          <cell r="F32">
            <v>1620.8</v>
          </cell>
          <cell r="G32">
            <v>1620.8</v>
          </cell>
          <cell r="H32">
            <v>1570.8</v>
          </cell>
          <cell r="I32">
            <v>7639</v>
          </cell>
          <cell r="J32">
            <v>8457.4</v>
          </cell>
          <cell r="K32">
            <v>9259.7999999999993</v>
          </cell>
        </row>
        <row r="33">
          <cell r="E33" t="str">
            <v>НН_КОНС_Т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E34" t="str">
            <v>НН_КОНО_Т</v>
          </cell>
          <cell r="F34">
            <v>67</v>
          </cell>
          <cell r="G34">
            <v>67</v>
          </cell>
          <cell r="H34">
            <v>67</v>
          </cell>
          <cell r="I34">
            <v>335</v>
          </cell>
          <cell r="J34">
            <v>618</v>
          </cell>
          <cell r="K34">
            <v>402</v>
          </cell>
        </row>
        <row r="35">
          <cell r="E35" t="str">
            <v>НН_ЗАП_Т</v>
          </cell>
          <cell r="F35">
            <v>57</v>
          </cell>
          <cell r="G35">
            <v>57</v>
          </cell>
          <cell r="H35">
            <v>46</v>
          </cell>
          <cell r="I35">
            <v>148</v>
          </cell>
          <cell r="J35">
            <v>475</v>
          </cell>
          <cell r="K35">
            <v>205</v>
          </cell>
        </row>
        <row r="36">
          <cell r="E36" t="str">
            <v>НН_ПРСП_Т</v>
          </cell>
          <cell r="F36">
            <v>344</v>
          </cell>
          <cell r="G36">
            <v>344</v>
          </cell>
          <cell r="H36">
            <v>297</v>
          </cell>
          <cell r="I36">
            <v>852</v>
          </cell>
          <cell r="J36">
            <v>639</v>
          </cell>
          <cell r="K36">
            <v>1196</v>
          </cell>
        </row>
        <row r="37">
          <cell r="E37" t="str">
            <v>НН_ПРСФ_Т</v>
          </cell>
          <cell r="F37">
            <v>57</v>
          </cell>
          <cell r="G37">
            <v>57</v>
          </cell>
          <cell r="H37">
            <v>46</v>
          </cell>
          <cell r="I37">
            <v>148</v>
          </cell>
          <cell r="J37">
            <v>435</v>
          </cell>
          <cell r="K37">
            <v>205</v>
          </cell>
        </row>
        <row r="38">
          <cell r="E38" t="str">
            <v>НН_КРСП_Т</v>
          </cell>
          <cell r="F38">
            <v>9</v>
          </cell>
          <cell r="G38">
            <v>9</v>
          </cell>
          <cell r="H38">
            <v>9</v>
          </cell>
          <cell r="I38">
            <v>27</v>
          </cell>
          <cell r="J38">
            <v>0</v>
          </cell>
          <cell r="K38">
            <v>36</v>
          </cell>
        </row>
        <row r="39">
          <cell r="E39" t="str">
            <v>НН_КРСФ_Т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E40" t="str">
            <v>НН_МЕРП_Т</v>
          </cell>
          <cell r="F40">
            <v>587</v>
          </cell>
          <cell r="G40">
            <v>587</v>
          </cell>
          <cell r="H40">
            <v>441</v>
          </cell>
          <cell r="I40">
            <v>1036</v>
          </cell>
          <cell r="J40">
            <v>639</v>
          </cell>
          <cell r="K40">
            <v>1623</v>
          </cell>
        </row>
        <row r="41">
          <cell r="E41" t="str">
            <v>НН_МЕРФ_Т</v>
          </cell>
          <cell r="F41">
            <v>57</v>
          </cell>
          <cell r="G41">
            <v>57</v>
          </cell>
          <cell r="H41">
            <v>46</v>
          </cell>
          <cell r="I41">
            <v>148</v>
          </cell>
          <cell r="J41">
            <v>475</v>
          </cell>
          <cell r="K41">
            <v>205</v>
          </cell>
        </row>
        <row r="42">
          <cell r="E42" t="str">
            <v>НН_СУММ_Т</v>
          </cell>
          <cell r="F42" t="str">
            <v>НЕТ</v>
          </cell>
          <cell r="G42">
            <v>16046.9</v>
          </cell>
          <cell r="H42">
            <v>15809.9</v>
          </cell>
          <cell r="I42">
            <v>77056.5</v>
          </cell>
          <cell r="J42">
            <v>93840.4</v>
          </cell>
          <cell r="K42">
            <v>93103.400000000009</v>
          </cell>
        </row>
        <row r="43">
          <cell r="E43" t="str">
            <v>СН_ПР_СКВ</v>
          </cell>
          <cell r="F43">
            <v>17</v>
          </cell>
          <cell r="G43">
            <v>17</v>
          </cell>
          <cell r="H43">
            <v>11</v>
          </cell>
          <cell r="I43">
            <v>30</v>
          </cell>
          <cell r="J43">
            <v>46</v>
          </cell>
          <cell r="K43">
            <v>47</v>
          </cell>
        </row>
        <row r="44">
          <cell r="E44" t="str">
            <v>СН_ПРО_СКВ</v>
          </cell>
          <cell r="F44">
            <v>119</v>
          </cell>
          <cell r="G44">
            <v>119</v>
          </cell>
          <cell r="H44">
            <v>125</v>
          </cell>
          <cell r="I44">
            <v>651</v>
          </cell>
          <cell r="J44">
            <v>578</v>
          </cell>
          <cell r="K44">
            <v>770</v>
          </cell>
        </row>
        <row r="45">
          <cell r="E45" t="str">
            <v>СН_ОСТМ_СКВ</v>
          </cell>
          <cell r="F45">
            <v>35</v>
          </cell>
          <cell r="G45">
            <v>35</v>
          </cell>
          <cell r="H45">
            <v>27</v>
          </cell>
          <cell r="I45">
            <v>70</v>
          </cell>
          <cell r="J45">
            <v>91</v>
          </cell>
          <cell r="K45">
            <v>105</v>
          </cell>
        </row>
        <row r="46">
          <cell r="E46" t="str">
            <v>СН_ОСТ_СКВ</v>
          </cell>
          <cell r="F46">
            <v>1</v>
          </cell>
          <cell r="G46">
            <v>1</v>
          </cell>
          <cell r="H46">
            <v>0</v>
          </cell>
          <cell r="I46">
            <v>0</v>
          </cell>
          <cell r="J46">
            <v>3</v>
          </cell>
          <cell r="K46">
            <v>1</v>
          </cell>
        </row>
        <row r="47">
          <cell r="E47" t="str">
            <v>СН_ООС_СКВ</v>
          </cell>
          <cell r="F47">
            <v>34</v>
          </cell>
          <cell r="G47">
            <v>34</v>
          </cell>
          <cell r="H47">
            <v>27</v>
          </cell>
          <cell r="I47">
            <v>70</v>
          </cell>
          <cell r="J47">
            <v>88</v>
          </cell>
          <cell r="K47">
            <v>104</v>
          </cell>
        </row>
        <row r="48">
          <cell r="E48" t="str">
            <v>СН_БЕН_СКВ</v>
          </cell>
          <cell r="F48">
            <v>1574</v>
          </cell>
          <cell r="G48">
            <v>1574</v>
          </cell>
          <cell r="H48">
            <v>1574</v>
          </cell>
          <cell r="I48">
            <v>7870</v>
          </cell>
          <cell r="J48">
            <v>9396</v>
          </cell>
          <cell r="K48">
            <v>9444</v>
          </cell>
        </row>
        <row r="49">
          <cell r="E49" t="str">
            <v>СН_БЕЗ_СКВ</v>
          </cell>
          <cell r="F49">
            <v>4</v>
          </cell>
          <cell r="G49">
            <v>4</v>
          </cell>
          <cell r="H49">
            <v>3</v>
          </cell>
          <cell r="I49">
            <v>11</v>
          </cell>
          <cell r="J49">
            <v>12</v>
          </cell>
          <cell r="K49">
            <v>15</v>
          </cell>
        </row>
        <row r="50">
          <cell r="E50" t="str">
            <v>СН_БЕО_СКВ</v>
          </cell>
          <cell r="F50">
            <v>1571</v>
          </cell>
          <cell r="G50">
            <v>1571</v>
          </cell>
          <cell r="H50">
            <v>1571</v>
          </cell>
          <cell r="I50">
            <v>7862</v>
          </cell>
          <cell r="J50">
            <v>9386</v>
          </cell>
          <cell r="K50">
            <v>9433</v>
          </cell>
        </row>
        <row r="51">
          <cell r="E51" t="str">
            <v>СН_ДФ_СКВ</v>
          </cell>
          <cell r="F51">
            <v>2507</v>
          </cell>
          <cell r="G51">
            <v>2507</v>
          </cell>
          <cell r="H51">
            <v>2507</v>
          </cell>
          <cell r="I51">
            <v>12567</v>
          </cell>
          <cell r="J51">
            <v>15318</v>
          </cell>
          <cell r="K51">
            <v>15074</v>
          </cell>
        </row>
        <row r="52">
          <cell r="E52" t="str">
            <v>СН_НЕР_СКВ</v>
          </cell>
          <cell r="F52">
            <v>1731</v>
          </cell>
          <cell r="G52">
            <v>1731</v>
          </cell>
          <cell r="H52">
            <v>1730</v>
          </cell>
          <cell r="I52">
            <v>8618</v>
          </cell>
          <cell r="J52">
            <v>10094</v>
          </cell>
          <cell r="K52">
            <v>10349</v>
          </cell>
        </row>
        <row r="53">
          <cell r="E53" t="str">
            <v>СН_КОНС_СКВ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E54" t="str">
            <v>СН_КОНО_СКВ</v>
          </cell>
          <cell r="F54">
            <v>723</v>
          </cell>
          <cell r="G54">
            <v>723</v>
          </cell>
          <cell r="H54">
            <v>724</v>
          </cell>
          <cell r="I54">
            <v>3620</v>
          </cell>
          <cell r="J54">
            <v>4360</v>
          </cell>
          <cell r="K54">
            <v>4343</v>
          </cell>
        </row>
        <row r="55">
          <cell r="E55" t="str">
            <v>СН_ЗАП_СКВ</v>
          </cell>
          <cell r="F55">
            <v>22</v>
          </cell>
          <cell r="G55">
            <v>22</v>
          </cell>
          <cell r="H55">
            <v>14</v>
          </cell>
          <cell r="I55">
            <v>37</v>
          </cell>
          <cell r="J55">
            <v>61</v>
          </cell>
          <cell r="K55">
            <v>59</v>
          </cell>
        </row>
        <row r="56">
          <cell r="E56" t="str">
            <v>СН_ПРСП_СКВ</v>
          </cell>
          <cell r="F56">
            <v>32</v>
          </cell>
          <cell r="G56">
            <v>32</v>
          </cell>
          <cell r="H56">
            <v>24</v>
          </cell>
          <cell r="I56">
            <v>54</v>
          </cell>
          <cell r="J56">
            <v>56</v>
          </cell>
          <cell r="K56">
            <v>86</v>
          </cell>
        </row>
        <row r="57">
          <cell r="E57" t="str">
            <v>СН_ПРСФ_СКВ</v>
          </cell>
          <cell r="F57">
            <v>17</v>
          </cell>
          <cell r="G57">
            <v>17</v>
          </cell>
          <cell r="H57">
            <v>9</v>
          </cell>
          <cell r="I57">
            <v>24</v>
          </cell>
          <cell r="J57">
            <v>54</v>
          </cell>
          <cell r="K57">
            <v>41</v>
          </cell>
        </row>
        <row r="58">
          <cell r="E58" t="str">
            <v>СН_КРСП_СКВ</v>
          </cell>
          <cell r="F58">
            <v>4</v>
          </cell>
          <cell r="G58">
            <v>4</v>
          </cell>
          <cell r="H58">
            <v>3</v>
          </cell>
          <cell r="I58">
            <v>8</v>
          </cell>
          <cell r="J58">
            <v>7</v>
          </cell>
          <cell r="K58">
            <v>12</v>
          </cell>
        </row>
        <row r="59">
          <cell r="E59" t="str">
            <v>СН_КРСФ_СКВ</v>
          </cell>
          <cell r="F59">
            <v>2</v>
          </cell>
          <cell r="G59">
            <v>2</v>
          </cell>
          <cell r="H59">
            <v>2</v>
          </cell>
          <cell r="I59">
            <v>5</v>
          </cell>
          <cell r="J59">
            <v>7</v>
          </cell>
          <cell r="K59">
            <v>7</v>
          </cell>
        </row>
        <row r="60">
          <cell r="E60" t="str">
            <v>СН_МЕРП_СКВ</v>
          </cell>
          <cell r="F60">
            <v>36</v>
          </cell>
          <cell r="G60">
            <v>36</v>
          </cell>
          <cell r="H60">
            <v>27</v>
          </cell>
          <cell r="I60">
            <v>62</v>
          </cell>
          <cell r="J60">
            <v>63</v>
          </cell>
          <cell r="K60">
            <v>98</v>
          </cell>
        </row>
        <row r="61">
          <cell r="E61" t="str">
            <v>СН_МЕРФ_СКВ</v>
          </cell>
          <cell r="F61">
            <v>22</v>
          </cell>
          <cell r="G61">
            <v>22</v>
          </cell>
          <cell r="H61">
            <v>14</v>
          </cell>
          <cell r="I61">
            <v>37</v>
          </cell>
          <cell r="J61">
            <v>61</v>
          </cell>
          <cell r="K61">
            <v>59</v>
          </cell>
        </row>
        <row r="62">
          <cell r="E62" t="str">
            <v>СН_СУММ_СКВ</v>
          </cell>
          <cell r="F62" t="str">
            <v>НЕТ</v>
          </cell>
          <cell r="G62">
            <v>5096</v>
          </cell>
          <cell r="H62">
            <v>5054</v>
          </cell>
          <cell r="I62">
            <v>25032</v>
          </cell>
          <cell r="J62">
            <v>30081</v>
          </cell>
          <cell r="K62">
            <v>30128</v>
          </cell>
        </row>
        <row r="63">
          <cell r="E63" t="str">
            <v>СН_ПР_Т</v>
          </cell>
          <cell r="F63">
            <v>153</v>
          </cell>
          <cell r="G63">
            <v>153</v>
          </cell>
          <cell r="H63">
            <v>107</v>
          </cell>
          <cell r="I63">
            <v>276</v>
          </cell>
          <cell r="J63">
            <v>528</v>
          </cell>
          <cell r="K63">
            <v>429</v>
          </cell>
        </row>
        <row r="64">
          <cell r="E64" t="str">
            <v>СН_ПРО_Т</v>
          </cell>
          <cell r="F64">
            <v>590</v>
          </cell>
          <cell r="G64">
            <v>590</v>
          </cell>
          <cell r="H64">
            <v>636</v>
          </cell>
          <cell r="I64">
            <v>3453</v>
          </cell>
          <cell r="J64">
            <v>4176</v>
          </cell>
          <cell r="K64">
            <v>4043</v>
          </cell>
        </row>
        <row r="65">
          <cell r="E65" t="str">
            <v>СН_ОСТМ_Т</v>
          </cell>
          <cell r="F65">
            <v>302</v>
          </cell>
          <cell r="G65">
            <v>302</v>
          </cell>
          <cell r="H65">
            <v>247</v>
          </cell>
          <cell r="I65">
            <v>613</v>
          </cell>
          <cell r="J65">
            <v>830</v>
          </cell>
          <cell r="K65">
            <v>915</v>
          </cell>
        </row>
        <row r="66">
          <cell r="E66" t="str">
            <v>СН_ОСТ_Т</v>
          </cell>
          <cell r="F66">
            <v>10</v>
          </cell>
          <cell r="G66">
            <v>10</v>
          </cell>
          <cell r="H66">
            <v>0</v>
          </cell>
          <cell r="I66">
            <v>0</v>
          </cell>
          <cell r="J66">
            <v>18</v>
          </cell>
          <cell r="K66">
            <v>10</v>
          </cell>
        </row>
        <row r="67">
          <cell r="E67" t="str">
            <v>СН_ООС_Т</v>
          </cell>
          <cell r="F67">
            <v>292</v>
          </cell>
          <cell r="G67">
            <v>292</v>
          </cell>
          <cell r="H67">
            <v>247</v>
          </cell>
          <cell r="I67">
            <v>613</v>
          </cell>
          <cell r="J67">
            <v>812</v>
          </cell>
          <cell r="K67">
            <v>905</v>
          </cell>
        </row>
        <row r="68">
          <cell r="E68" t="str">
            <v>СН_БЕН_Т</v>
          </cell>
          <cell r="F68">
            <v>4174</v>
          </cell>
          <cell r="G68">
            <v>4174</v>
          </cell>
          <cell r="H68">
            <v>4174</v>
          </cell>
          <cell r="I68">
            <v>20870</v>
          </cell>
          <cell r="J68">
            <v>24966</v>
          </cell>
          <cell r="K68">
            <v>25044</v>
          </cell>
        </row>
        <row r="69">
          <cell r="E69" t="str">
            <v>СН_БЕЗ_Т</v>
          </cell>
          <cell r="F69">
            <v>17</v>
          </cell>
          <cell r="G69">
            <v>17</v>
          </cell>
          <cell r="H69">
            <v>15</v>
          </cell>
          <cell r="I69">
            <v>78</v>
          </cell>
          <cell r="J69">
            <v>56</v>
          </cell>
          <cell r="K69">
            <v>95</v>
          </cell>
        </row>
        <row r="70">
          <cell r="E70" t="str">
            <v>СН_БЕО_Т</v>
          </cell>
          <cell r="F70">
            <v>4162</v>
          </cell>
          <cell r="G70">
            <v>4162</v>
          </cell>
          <cell r="H70">
            <v>4159</v>
          </cell>
          <cell r="I70">
            <v>20841</v>
          </cell>
          <cell r="J70">
            <v>24910</v>
          </cell>
          <cell r="K70">
            <v>25003</v>
          </cell>
        </row>
        <row r="71">
          <cell r="E71" t="str">
            <v>СН_ДФ_Т</v>
          </cell>
          <cell r="F71">
            <v>22706</v>
          </cell>
          <cell r="G71">
            <v>22706</v>
          </cell>
          <cell r="H71">
            <v>22700</v>
          </cell>
          <cell r="I71">
            <v>113820</v>
          </cell>
          <cell r="J71">
            <v>138511</v>
          </cell>
          <cell r="K71">
            <v>136526</v>
          </cell>
        </row>
        <row r="72">
          <cell r="E72" t="str">
            <v>СН_НЕР_Т</v>
          </cell>
          <cell r="F72">
            <v>5044</v>
          </cell>
          <cell r="G72">
            <v>5044</v>
          </cell>
          <cell r="H72">
            <v>5042</v>
          </cell>
          <cell r="I72">
            <v>24907</v>
          </cell>
          <cell r="J72">
            <v>29898</v>
          </cell>
          <cell r="K72">
            <v>29951</v>
          </cell>
        </row>
        <row r="73">
          <cell r="E73" t="str">
            <v>СН_КОНС_Т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E74" t="str">
            <v>СН_КОНО_Т</v>
          </cell>
          <cell r="F74">
            <v>737</v>
          </cell>
          <cell r="G74">
            <v>737</v>
          </cell>
          <cell r="H74">
            <v>737</v>
          </cell>
          <cell r="I74">
            <v>3685</v>
          </cell>
          <cell r="J74">
            <v>4452</v>
          </cell>
          <cell r="K74">
            <v>4422</v>
          </cell>
        </row>
        <row r="75">
          <cell r="E75" t="str">
            <v>СН_ЗАП_Т</v>
          </cell>
          <cell r="F75">
            <v>178</v>
          </cell>
          <cell r="G75">
            <v>178</v>
          </cell>
          <cell r="H75">
            <v>117</v>
          </cell>
          <cell r="I75">
            <v>283</v>
          </cell>
          <cell r="J75">
            <v>663</v>
          </cell>
          <cell r="K75">
            <v>461</v>
          </cell>
        </row>
        <row r="76">
          <cell r="E76" t="str">
            <v>СН_ПРСП_Т</v>
          </cell>
          <cell r="F76">
            <v>309</v>
          </cell>
          <cell r="G76">
            <v>309</v>
          </cell>
          <cell r="H76">
            <v>215</v>
          </cell>
          <cell r="I76">
            <v>488</v>
          </cell>
          <cell r="J76">
            <v>515</v>
          </cell>
          <cell r="K76">
            <v>797</v>
          </cell>
        </row>
        <row r="77">
          <cell r="E77" t="str">
            <v>СН_ПРСФ_Т</v>
          </cell>
          <cell r="F77">
            <v>155</v>
          </cell>
          <cell r="G77">
            <v>155</v>
          </cell>
          <cell r="H77">
            <v>102</v>
          </cell>
          <cell r="I77">
            <v>252</v>
          </cell>
          <cell r="J77">
            <v>629</v>
          </cell>
          <cell r="K77">
            <v>407</v>
          </cell>
        </row>
        <row r="78">
          <cell r="E78" t="str">
            <v>СН_КРСП_Т</v>
          </cell>
          <cell r="F78">
            <v>36</v>
          </cell>
          <cell r="G78">
            <v>36</v>
          </cell>
          <cell r="H78">
            <v>31</v>
          </cell>
          <cell r="I78">
            <v>73</v>
          </cell>
          <cell r="J78">
            <v>41</v>
          </cell>
          <cell r="K78">
            <v>109</v>
          </cell>
        </row>
        <row r="79">
          <cell r="E79" t="str">
            <v>СН_КРСФ_Т</v>
          </cell>
          <cell r="F79">
            <v>10</v>
          </cell>
          <cell r="G79">
            <v>10</v>
          </cell>
          <cell r="H79">
            <v>2</v>
          </cell>
          <cell r="I79">
            <v>8</v>
          </cell>
          <cell r="J79">
            <v>34</v>
          </cell>
          <cell r="K79">
            <v>18</v>
          </cell>
        </row>
        <row r="80">
          <cell r="E80" t="str">
            <v>СН_МЕРП_Т</v>
          </cell>
          <cell r="F80">
            <v>345</v>
          </cell>
          <cell r="G80">
            <v>345</v>
          </cell>
          <cell r="H80">
            <v>246</v>
          </cell>
          <cell r="I80">
            <v>561</v>
          </cell>
          <cell r="J80">
            <v>556</v>
          </cell>
          <cell r="K80">
            <v>906</v>
          </cell>
        </row>
        <row r="81">
          <cell r="E81" t="str">
            <v>СН_МЕРФ_Т</v>
          </cell>
          <cell r="F81">
            <v>178</v>
          </cell>
          <cell r="G81">
            <v>178</v>
          </cell>
          <cell r="H81">
            <v>117</v>
          </cell>
          <cell r="I81">
            <v>283</v>
          </cell>
          <cell r="J81">
            <v>663</v>
          </cell>
          <cell r="K81">
            <v>461</v>
          </cell>
        </row>
        <row r="82">
          <cell r="E82" t="str">
            <v>СН_СУММ_Т</v>
          </cell>
          <cell r="F82" t="str">
            <v>НЕТ</v>
          </cell>
          <cell r="G82">
            <v>29698</v>
          </cell>
          <cell r="H82">
            <v>29309</v>
          </cell>
          <cell r="I82">
            <v>144360</v>
          </cell>
          <cell r="J82">
            <v>175962</v>
          </cell>
          <cell r="K82">
            <v>174058</v>
          </cell>
        </row>
        <row r="83">
          <cell r="E83" t="str">
            <v>БН_ПР_СКВ</v>
          </cell>
          <cell r="F83">
            <v>21</v>
          </cell>
          <cell r="G83">
            <v>21</v>
          </cell>
          <cell r="H83">
            <v>17</v>
          </cell>
          <cell r="I83">
            <v>41</v>
          </cell>
          <cell r="J83">
            <v>51</v>
          </cell>
          <cell r="K83">
            <v>62</v>
          </cell>
        </row>
        <row r="84">
          <cell r="E84" t="str">
            <v>БН_ПРО_СКВ</v>
          </cell>
          <cell r="F84">
            <v>142</v>
          </cell>
          <cell r="G84">
            <v>142</v>
          </cell>
          <cell r="H84">
            <v>146</v>
          </cell>
          <cell r="I84">
            <v>774</v>
          </cell>
          <cell r="J84">
            <v>927</v>
          </cell>
          <cell r="K84">
            <v>916</v>
          </cell>
        </row>
        <row r="85">
          <cell r="E85" t="str">
            <v>БН_ОСТМ_СКВ</v>
          </cell>
          <cell r="F85">
            <v>50</v>
          </cell>
          <cell r="G85">
            <v>50</v>
          </cell>
          <cell r="H85">
            <v>40</v>
          </cell>
          <cell r="I85">
            <v>105</v>
          </cell>
          <cell r="J85">
            <v>117</v>
          </cell>
          <cell r="K85">
            <v>155</v>
          </cell>
        </row>
        <row r="86">
          <cell r="E86" t="str">
            <v>БН_ОСТ_СКВ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1</v>
          </cell>
          <cell r="K86">
            <v>0</v>
          </cell>
        </row>
        <row r="87">
          <cell r="E87" t="str">
            <v>БН_ООС_СКВ</v>
          </cell>
          <cell r="F87">
            <v>50</v>
          </cell>
          <cell r="G87">
            <v>50</v>
          </cell>
          <cell r="H87">
            <v>40</v>
          </cell>
          <cell r="I87">
            <v>105</v>
          </cell>
          <cell r="J87">
            <v>116</v>
          </cell>
          <cell r="K87">
            <v>155</v>
          </cell>
        </row>
        <row r="88">
          <cell r="E88" t="str">
            <v>БН_БЕН_СКВ</v>
          </cell>
          <cell r="F88">
            <v>1316</v>
          </cell>
          <cell r="G88">
            <v>1316</v>
          </cell>
          <cell r="H88">
            <v>1316</v>
          </cell>
          <cell r="I88">
            <v>6580</v>
          </cell>
          <cell r="J88">
            <v>7590</v>
          </cell>
          <cell r="K88">
            <v>7896</v>
          </cell>
        </row>
        <row r="89">
          <cell r="E89" t="str">
            <v>БН_БЕЗ_СКВ</v>
          </cell>
          <cell r="F89">
            <v>5</v>
          </cell>
          <cell r="G89">
            <v>5</v>
          </cell>
          <cell r="H89">
            <v>3</v>
          </cell>
          <cell r="I89">
            <v>8</v>
          </cell>
          <cell r="J89">
            <v>4</v>
          </cell>
          <cell r="K89">
            <v>13</v>
          </cell>
        </row>
        <row r="90">
          <cell r="E90" t="str">
            <v>БН_БЕО_СКВ</v>
          </cell>
          <cell r="F90">
            <v>1311</v>
          </cell>
          <cell r="G90">
            <v>1311</v>
          </cell>
          <cell r="H90">
            <v>1313</v>
          </cell>
          <cell r="I90">
            <v>6572</v>
          </cell>
          <cell r="J90">
            <v>7586</v>
          </cell>
          <cell r="K90">
            <v>7883</v>
          </cell>
        </row>
        <row r="91">
          <cell r="E91" t="str">
            <v>БН_ДФ_СКВ</v>
          </cell>
          <cell r="F91">
            <v>2353</v>
          </cell>
          <cell r="G91">
            <v>2353</v>
          </cell>
          <cell r="H91">
            <v>2356</v>
          </cell>
          <cell r="I91">
            <v>11824</v>
          </cell>
          <cell r="J91">
            <v>14437</v>
          </cell>
          <cell r="K91">
            <v>14177</v>
          </cell>
        </row>
        <row r="92">
          <cell r="E92" t="str">
            <v>БН_НЕР_СКВ</v>
          </cell>
          <cell r="F92">
            <v>1527</v>
          </cell>
          <cell r="G92">
            <v>1527</v>
          </cell>
          <cell r="H92">
            <v>1523</v>
          </cell>
          <cell r="I92">
            <v>7571</v>
          </cell>
          <cell r="J92">
            <v>8797</v>
          </cell>
          <cell r="K92">
            <v>9098</v>
          </cell>
        </row>
        <row r="93">
          <cell r="E93" t="str">
            <v>БН_КОНС_СКВ</v>
          </cell>
          <cell r="F93">
            <v>1</v>
          </cell>
          <cell r="G93">
            <v>1</v>
          </cell>
          <cell r="H93">
            <v>0</v>
          </cell>
          <cell r="I93">
            <v>0</v>
          </cell>
          <cell r="J93">
            <v>0</v>
          </cell>
          <cell r="K93">
            <v>1</v>
          </cell>
        </row>
        <row r="94">
          <cell r="E94" t="str">
            <v>БН_КОНО_СКВ</v>
          </cell>
          <cell r="F94">
            <v>1055</v>
          </cell>
          <cell r="G94">
            <v>1055</v>
          </cell>
          <cell r="H94">
            <v>1056</v>
          </cell>
          <cell r="I94">
            <v>5280</v>
          </cell>
          <cell r="J94">
            <v>6382</v>
          </cell>
          <cell r="K94">
            <v>6335</v>
          </cell>
        </row>
        <row r="95">
          <cell r="E95" t="str">
            <v>БН_ЗАП_СКВ</v>
          </cell>
          <cell r="F95">
            <v>27</v>
          </cell>
          <cell r="G95">
            <v>27</v>
          </cell>
          <cell r="H95">
            <v>20</v>
          </cell>
          <cell r="I95">
            <v>49</v>
          </cell>
          <cell r="J95">
            <v>58</v>
          </cell>
          <cell r="K95">
            <v>76</v>
          </cell>
        </row>
        <row r="96">
          <cell r="E96" t="str">
            <v>БН_ПРСП_СКВ</v>
          </cell>
          <cell r="F96">
            <v>44</v>
          </cell>
          <cell r="G96">
            <v>44</v>
          </cell>
          <cell r="H96">
            <v>33</v>
          </cell>
          <cell r="I96">
            <v>79</v>
          </cell>
          <cell r="J96">
            <v>140</v>
          </cell>
          <cell r="K96">
            <v>123</v>
          </cell>
        </row>
        <row r="97">
          <cell r="E97" t="str">
            <v>БН_ПРСФ_СКВ</v>
          </cell>
          <cell r="F97">
            <v>24</v>
          </cell>
          <cell r="G97">
            <v>24</v>
          </cell>
          <cell r="H97">
            <v>19</v>
          </cell>
          <cell r="I97">
            <v>48</v>
          </cell>
          <cell r="J97">
            <v>54</v>
          </cell>
          <cell r="K97">
            <v>72</v>
          </cell>
        </row>
        <row r="98">
          <cell r="E98" t="str">
            <v>БН_КРСП_СКВ</v>
          </cell>
          <cell r="F98">
            <v>1</v>
          </cell>
          <cell r="G98">
            <v>1</v>
          </cell>
          <cell r="H98">
            <v>1</v>
          </cell>
          <cell r="I98">
            <v>1</v>
          </cell>
          <cell r="J98">
            <v>2</v>
          </cell>
          <cell r="K98">
            <v>2</v>
          </cell>
        </row>
        <row r="99">
          <cell r="E99" t="str">
            <v>БН_КРСФ_СКВ</v>
          </cell>
          <cell r="F99">
            <v>2</v>
          </cell>
          <cell r="G99">
            <v>2</v>
          </cell>
          <cell r="H99">
            <v>0</v>
          </cell>
          <cell r="I99">
            <v>0</v>
          </cell>
          <cell r="J99">
            <v>4</v>
          </cell>
          <cell r="K99">
            <v>2</v>
          </cell>
        </row>
        <row r="100">
          <cell r="E100" t="str">
            <v>БН_МЕРП_СКВ</v>
          </cell>
          <cell r="F100">
            <v>45</v>
          </cell>
          <cell r="G100">
            <v>45</v>
          </cell>
          <cell r="H100">
            <v>34</v>
          </cell>
          <cell r="I100">
            <v>80</v>
          </cell>
          <cell r="J100">
            <v>142</v>
          </cell>
          <cell r="K100">
            <v>125</v>
          </cell>
        </row>
        <row r="101">
          <cell r="E101" t="str">
            <v>БН_МЕРФ_СКВ</v>
          </cell>
          <cell r="F101">
            <v>27</v>
          </cell>
          <cell r="G101">
            <v>27</v>
          </cell>
          <cell r="H101">
            <v>20</v>
          </cell>
          <cell r="I101">
            <v>49</v>
          </cell>
          <cell r="J101">
            <v>58</v>
          </cell>
          <cell r="K101">
            <v>76</v>
          </cell>
        </row>
        <row r="102">
          <cell r="E102" t="str">
            <v>БН_СУММ_СКВ</v>
          </cell>
          <cell r="F102" t="str">
            <v>НЕТ</v>
          </cell>
          <cell r="G102">
            <v>5106</v>
          </cell>
          <cell r="H102">
            <v>5062</v>
          </cell>
          <cell r="I102">
            <v>24981</v>
          </cell>
          <cell r="J102">
            <v>30074</v>
          </cell>
          <cell r="K102">
            <v>30087</v>
          </cell>
        </row>
        <row r="103">
          <cell r="E103" t="str">
            <v>БН_ПР_Т</v>
          </cell>
          <cell r="F103">
            <v>158</v>
          </cell>
          <cell r="G103">
            <v>158</v>
          </cell>
          <cell r="H103">
            <v>123</v>
          </cell>
          <cell r="I103">
            <v>325</v>
          </cell>
          <cell r="J103">
            <v>497</v>
          </cell>
          <cell r="K103">
            <v>483</v>
          </cell>
        </row>
        <row r="104">
          <cell r="E104" t="str">
            <v>БН_ПРО_Т</v>
          </cell>
          <cell r="F104">
            <v>1111</v>
          </cell>
          <cell r="G104">
            <v>1111</v>
          </cell>
          <cell r="H104">
            <v>1123</v>
          </cell>
          <cell r="I104">
            <v>5969</v>
          </cell>
          <cell r="J104">
            <v>8251</v>
          </cell>
          <cell r="K104">
            <v>7080</v>
          </cell>
        </row>
        <row r="105">
          <cell r="E105" t="str">
            <v>БН_ОСТМ_Т</v>
          </cell>
          <cell r="F105">
            <v>542</v>
          </cell>
          <cell r="G105">
            <v>542</v>
          </cell>
          <cell r="H105">
            <v>402</v>
          </cell>
          <cell r="I105">
            <v>1212</v>
          </cell>
          <cell r="J105">
            <v>2023</v>
          </cell>
          <cell r="K105">
            <v>1754</v>
          </cell>
        </row>
        <row r="106">
          <cell r="E106" t="str">
            <v>БН_ОСТ_Т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2</v>
          </cell>
          <cell r="K106">
            <v>0</v>
          </cell>
        </row>
        <row r="107">
          <cell r="E107" t="str">
            <v>БН_ООС_Т</v>
          </cell>
          <cell r="F107">
            <v>542</v>
          </cell>
          <cell r="G107">
            <v>542</v>
          </cell>
          <cell r="H107">
            <v>402</v>
          </cell>
          <cell r="I107">
            <v>1212</v>
          </cell>
          <cell r="J107">
            <v>2022</v>
          </cell>
          <cell r="K107">
            <v>1754</v>
          </cell>
        </row>
        <row r="108">
          <cell r="E108" t="str">
            <v>БН_БЕН_Т</v>
          </cell>
          <cell r="F108">
            <v>4992</v>
          </cell>
          <cell r="G108">
            <v>4992</v>
          </cell>
          <cell r="H108">
            <v>4992</v>
          </cell>
          <cell r="I108">
            <v>24960</v>
          </cell>
          <cell r="J108">
            <v>28494</v>
          </cell>
          <cell r="K108">
            <v>29952</v>
          </cell>
        </row>
        <row r="109">
          <cell r="E109" t="str">
            <v>БН_БЕЗ_Т</v>
          </cell>
          <cell r="F109">
            <v>35</v>
          </cell>
          <cell r="G109">
            <v>35</v>
          </cell>
          <cell r="H109">
            <v>15</v>
          </cell>
          <cell r="I109">
            <v>43</v>
          </cell>
          <cell r="J109">
            <v>54</v>
          </cell>
          <cell r="K109">
            <v>78</v>
          </cell>
        </row>
        <row r="110">
          <cell r="E110" t="str">
            <v>БН_БЕО_Т</v>
          </cell>
          <cell r="F110">
            <v>4957</v>
          </cell>
          <cell r="G110">
            <v>4957</v>
          </cell>
          <cell r="H110">
            <v>4977</v>
          </cell>
          <cell r="I110">
            <v>24917</v>
          </cell>
          <cell r="J110">
            <v>28440</v>
          </cell>
          <cell r="K110">
            <v>29874</v>
          </cell>
        </row>
        <row r="111">
          <cell r="E111" t="str">
            <v>БН_ДФ_Т</v>
          </cell>
          <cell r="F111">
            <v>18538</v>
          </cell>
          <cell r="G111">
            <v>18538</v>
          </cell>
          <cell r="H111">
            <v>18621</v>
          </cell>
          <cell r="I111">
            <v>93581</v>
          </cell>
          <cell r="J111">
            <v>114862</v>
          </cell>
          <cell r="K111">
            <v>112119</v>
          </cell>
        </row>
        <row r="112">
          <cell r="E112" t="str">
            <v>БН_НЕР_Т</v>
          </cell>
          <cell r="F112">
            <v>6650</v>
          </cell>
          <cell r="G112">
            <v>6650</v>
          </cell>
          <cell r="H112">
            <v>6542</v>
          </cell>
          <cell r="I112">
            <v>32298</v>
          </cell>
          <cell r="J112">
            <v>39043</v>
          </cell>
          <cell r="K112">
            <v>38948</v>
          </cell>
        </row>
        <row r="113">
          <cell r="E113" t="str">
            <v>БН_КОНС_Т</v>
          </cell>
          <cell r="F113">
            <v>2</v>
          </cell>
          <cell r="G113">
            <v>2</v>
          </cell>
          <cell r="H113">
            <v>0</v>
          </cell>
          <cell r="I113">
            <v>0</v>
          </cell>
          <cell r="J113">
            <v>0</v>
          </cell>
          <cell r="K113">
            <v>2</v>
          </cell>
        </row>
        <row r="114">
          <cell r="E114" t="str">
            <v>БН_КОНО_Т</v>
          </cell>
          <cell r="F114">
            <v>762</v>
          </cell>
          <cell r="G114">
            <v>762</v>
          </cell>
          <cell r="H114">
            <v>762</v>
          </cell>
          <cell r="I114">
            <v>3810</v>
          </cell>
          <cell r="J114">
            <v>4562</v>
          </cell>
          <cell r="K114">
            <v>4572</v>
          </cell>
        </row>
        <row r="115">
          <cell r="E115" t="str">
            <v>БН_ЗАП_Т</v>
          </cell>
          <cell r="F115">
            <v>195</v>
          </cell>
          <cell r="G115">
            <v>195</v>
          </cell>
          <cell r="H115">
            <v>138</v>
          </cell>
          <cell r="I115">
            <v>368</v>
          </cell>
          <cell r="J115">
            <v>563</v>
          </cell>
          <cell r="K115">
            <v>563</v>
          </cell>
        </row>
        <row r="116">
          <cell r="E116" t="str">
            <v>БН_ПРСП_Т</v>
          </cell>
          <cell r="F116">
            <v>464</v>
          </cell>
          <cell r="G116">
            <v>464</v>
          </cell>
          <cell r="H116">
            <v>346</v>
          </cell>
          <cell r="I116">
            <v>814</v>
          </cell>
          <cell r="J116">
            <v>1266</v>
          </cell>
          <cell r="K116">
            <v>1278</v>
          </cell>
        </row>
        <row r="117">
          <cell r="E117" t="str">
            <v>БН_ПРСФ_Т</v>
          </cell>
          <cell r="F117">
            <v>165</v>
          </cell>
          <cell r="G117">
            <v>165</v>
          </cell>
          <cell r="H117">
            <v>136</v>
          </cell>
          <cell r="I117">
            <v>366</v>
          </cell>
          <cell r="J117">
            <v>501</v>
          </cell>
          <cell r="K117">
            <v>531</v>
          </cell>
        </row>
        <row r="118">
          <cell r="E118" t="str">
            <v>БН_КРСП_Т</v>
          </cell>
          <cell r="F118">
            <v>8</v>
          </cell>
          <cell r="G118">
            <v>8</v>
          </cell>
          <cell r="H118">
            <v>8</v>
          </cell>
          <cell r="I118">
            <v>8</v>
          </cell>
          <cell r="J118">
            <v>21</v>
          </cell>
          <cell r="K118">
            <v>16</v>
          </cell>
        </row>
        <row r="119">
          <cell r="E119" t="str">
            <v>БН_КРСФ_Т</v>
          </cell>
          <cell r="F119">
            <v>20</v>
          </cell>
          <cell r="G119">
            <v>20</v>
          </cell>
          <cell r="H119">
            <v>0</v>
          </cell>
          <cell r="I119">
            <v>0</v>
          </cell>
          <cell r="J119">
            <v>62</v>
          </cell>
          <cell r="K119">
            <v>20</v>
          </cell>
        </row>
        <row r="120">
          <cell r="E120" t="str">
            <v>БН_МЕРП_Т</v>
          </cell>
          <cell r="F120">
            <v>472</v>
          </cell>
          <cell r="G120">
            <v>472</v>
          </cell>
          <cell r="H120">
            <v>354</v>
          </cell>
          <cell r="I120">
            <v>822</v>
          </cell>
          <cell r="J120">
            <v>1287</v>
          </cell>
          <cell r="K120">
            <v>1294</v>
          </cell>
        </row>
        <row r="121">
          <cell r="E121" t="str">
            <v>БН_МЕРФ_Т</v>
          </cell>
          <cell r="F121">
            <v>195</v>
          </cell>
          <cell r="G121">
            <v>195</v>
          </cell>
          <cell r="H121">
            <v>138</v>
          </cell>
          <cell r="I121">
            <v>368</v>
          </cell>
          <cell r="J121">
            <v>563</v>
          </cell>
          <cell r="K121">
            <v>563</v>
          </cell>
        </row>
        <row r="122">
          <cell r="E122" t="str">
            <v>БН_СУММ_Т</v>
          </cell>
          <cell r="F122" t="str">
            <v>НЕТ</v>
          </cell>
          <cell r="G122">
            <v>27471</v>
          </cell>
          <cell r="H122">
            <v>27045</v>
          </cell>
          <cell r="I122">
            <v>132435</v>
          </cell>
          <cell r="J122">
            <v>162730</v>
          </cell>
          <cell r="K122">
            <v>159906</v>
          </cell>
        </row>
        <row r="123">
          <cell r="E123" t="str">
            <v>УН_ПР_СКВ</v>
          </cell>
          <cell r="F123">
            <v>2</v>
          </cell>
          <cell r="G123">
            <v>2</v>
          </cell>
          <cell r="H123">
            <v>0</v>
          </cell>
          <cell r="I123">
            <v>0</v>
          </cell>
          <cell r="J123">
            <v>0</v>
          </cell>
          <cell r="K123">
            <v>2</v>
          </cell>
        </row>
        <row r="124">
          <cell r="E124" t="str">
            <v>УН_ПРО_СКВ</v>
          </cell>
          <cell r="F124">
            <v>18</v>
          </cell>
          <cell r="G124">
            <v>18</v>
          </cell>
          <cell r="H124">
            <v>20</v>
          </cell>
          <cell r="I124">
            <v>100</v>
          </cell>
          <cell r="J124">
            <v>84</v>
          </cell>
          <cell r="K124">
            <v>118</v>
          </cell>
        </row>
        <row r="125">
          <cell r="E125" t="str">
            <v>УН_ОСТМ_СКВ</v>
          </cell>
          <cell r="F125">
            <v>10</v>
          </cell>
          <cell r="G125">
            <v>10</v>
          </cell>
          <cell r="H125">
            <v>7</v>
          </cell>
          <cell r="I125">
            <v>17</v>
          </cell>
          <cell r="J125">
            <v>36</v>
          </cell>
          <cell r="K125">
            <v>27</v>
          </cell>
        </row>
        <row r="126">
          <cell r="E126" t="str">
            <v>УН_ОСТ_СКВ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0</v>
          </cell>
          <cell r="K126">
            <v>2</v>
          </cell>
        </row>
        <row r="127">
          <cell r="E127" t="str">
            <v>УН_ООС_СКВ</v>
          </cell>
          <cell r="F127">
            <v>9</v>
          </cell>
          <cell r="G127">
            <v>9</v>
          </cell>
          <cell r="H127">
            <v>6</v>
          </cell>
          <cell r="I127">
            <v>16</v>
          </cell>
          <cell r="J127">
            <v>36</v>
          </cell>
          <cell r="K127">
            <v>25</v>
          </cell>
        </row>
        <row r="128">
          <cell r="E128" t="str">
            <v>УН_БЕН_СКВ</v>
          </cell>
          <cell r="F128">
            <v>151</v>
          </cell>
          <cell r="G128">
            <v>151</v>
          </cell>
          <cell r="H128">
            <v>151</v>
          </cell>
          <cell r="I128">
            <v>755</v>
          </cell>
          <cell r="J128">
            <v>882</v>
          </cell>
          <cell r="K128">
            <v>906</v>
          </cell>
        </row>
        <row r="129">
          <cell r="E129" t="str">
            <v>УН_БЕЗ_СКВ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3</v>
          </cell>
          <cell r="K129">
            <v>0</v>
          </cell>
        </row>
        <row r="130">
          <cell r="E130" t="str">
            <v>УН_БЕО_СКВ</v>
          </cell>
          <cell r="F130">
            <v>151</v>
          </cell>
          <cell r="G130">
            <v>151</v>
          </cell>
          <cell r="H130">
            <v>151</v>
          </cell>
          <cell r="I130">
            <v>755</v>
          </cell>
          <cell r="J130">
            <v>879</v>
          </cell>
          <cell r="K130">
            <v>906</v>
          </cell>
        </row>
        <row r="131">
          <cell r="E131" t="str">
            <v>УН_ДФ_СКВ</v>
          </cell>
          <cell r="F131">
            <v>476</v>
          </cell>
          <cell r="G131">
            <v>476</v>
          </cell>
          <cell r="H131">
            <v>477</v>
          </cell>
          <cell r="I131">
            <v>2399</v>
          </cell>
          <cell r="J131">
            <v>2919</v>
          </cell>
          <cell r="K131">
            <v>2875</v>
          </cell>
        </row>
        <row r="132">
          <cell r="E132" t="str">
            <v>УН_НЕР_СКВ</v>
          </cell>
          <cell r="F132">
            <v>185</v>
          </cell>
          <cell r="G132">
            <v>185</v>
          </cell>
          <cell r="H132">
            <v>184</v>
          </cell>
          <cell r="I132">
            <v>906</v>
          </cell>
          <cell r="J132">
            <v>1041</v>
          </cell>
          <cell r="K132">
            <v>1091</v>
          </cell>
        </row>
        <row r="133">
          <cell r="E133" t="str">
            <v>УН_КОНС_СКВ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E134" t="str">
            <v>УН_КОНО_СКВ</v>
          </cell>
          <cell r="F134">
            <v>153</v>
          </cell>
          <cell r="G134">
            <v>153</v>
          </cell>
          <cell r="H134">
            <v>153</v>
          </cell>
          <cell r="I134">
            <v>765</v>
          </cell>
          <cell r="J134">
            <v>918</v>
          </cell>
          <cell r="K134">
            <v>918</v>
          </cell>
        </row>
        <row r="135">
          <cell r="E135" t="str">
            <v>УН_ЗАП_СКВ</v>
          </cell>
          <cell r="F135">
            <v>3</v>
          </cell>
          <cell r="G135">
            <v>3</v>
          </cell>
          <cell r="H135">
            <v>1</v>
          </cell>
          <cell r="I135">
            <v>1</v>
          </cell>
          <cell r="J135">
            <v>3</v>
          </cell>
          <cell r="K135">
            <v>4</v>
          </cell>
        </row>
        <row r="136">
          <cell r="E136" t="str">
            <v>УН_ПРСП_СКВ</v>
          </cell>
          <cell r="F136">
            <v>7</v>
          </cell>
          <cell r="G136">
            <v>7</v>
          </cell>
          <cell r="H136">
            <v>6</v>
          </cell>
          <cell r="I136">
            <v>18</v>
          </cell>
          <cell r="J136">
            <v>21</v>
          </cell>
          <cell r="K136">
            <v>25</v>
          </cell>
        </row>
        <row r="137">
          <cell r="E137" t="str">
            <v>УН_ПРСФ_СКВ</v>
          </cell>
          <cell r="F137">
            <v>3</v>
          </cell>
          <cell r="G137">
            <v>3</v>
          </cell>
          <cell r="H137">
            <v>1</v>
          </cell>
          <cell r="I137">
            <v>1</v>
          </cell>
          <cell r="J137">
            <v>3</v>
          </cell>
          <cell r="K137">
            <v>4</v>
          </cell>
        </row>
        <row r="138">
          <cell r="E138" t="str">
            <v>УН_КРСП_СКВ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E139" t="str">
            <v>УН_КРСФ_СКВ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E140" t="str">
            <v>УН_МЕРП_СКВ</v>
          </cell>
          <cell r="F140">
            <v>7</v>
          </cell>
          <cell r="G140">
            <v>7</v>
          </cell>
          <cell r="H140">
            <v>6</v>
          </cell>
          <cell r="I140">
            <v>18</v>
          </cell>
          <cell r="J140">
            <v>23</v>
          </cell>
          <cell r="K140">
            <v>25</v>
          </cell>
        </row>
        <row r="141">
          <cell r="E141" t="str">
            <v>УН_МЕРФ_СКВ</v>
          </cell>
          <cell r="F141">
            <v>3</v>
          </cell>
          <cell r="G141">
            <v>3</v>
          </cell>
          <cell r="H141">
            <v>1</v>
          </cell>
          <cell r="I141">
            <v>1</v>
          </cell>
          <cell r="J141">
            <v>3</v>
          </cell>
          <cell r="K141">
            <v>4</v>
          </cell>
        </row>
        <row r="142">
          <cell r="E142" t="str">
            <v>УН_СУММ_СКВ</v>
          </cell>
          <cell r="F142" t="str">
            <v>НЕТ</v>
          </cell>
          <cell r="G142">
            <v>837</v>
          </cell>
          <cell r="H142">
            <v>829</v>
          </cell>
          <cell r="I142">
            <v>4109</v>
          </cell>
          <cell r="J142">
            <v>4931</v>
          </cell>
          <cell r="K142">
            <v>4946</v>
          </cell>
        </row>
        <row r="143">
          <cell r="E143" t="str">
            <v>УН_ПР_Т</v>
          </cell>
          <cell r="F143">
            <v>11</v>
          </cell>
          <cell r="G143">
            <v>11</v>
          </cell>
          <cell r="H143">
            <v>0</v>
          </cell>
          <cell r="I143">
            <v>0</v>
          </cell>
          <cell r="J143">
            <v>0</v>
          </cell>
          <cell r="K143">
            <v>11</v>
          </cell>
        </row>
        <row r="144">
          <cell r="E144" t="str">
            <v>УН_ПРО_Т</v>
          </cell>
          <cell r="F144">
            <v>112</v>
          </cell>
          <cell r="G144">
            <v>112</v>
          </cell>
          <cell r="H144">
            <v>123</v>
          </cell>
          <cell r="I144">
            <v>615</v>
          </cell>
          <cell r="J144">
            <v>702</v>
          </cell>
          <cell r="K144">
            <v>727</v>
          </cell>
        </row>
        <row r="145">
          <cell r="E145" t="str">
            <v>УН_ОСТМ_Т</v>
          </cell>
          <cell r="F145">
            <v>51</v>
          </cell>
          <cell r="G145">
            <v>51</v>
          </cell>
          <cell r="H145">
            <v>28</v>
          </cell>
          <cell r="I145">
            <v>66</v>
          </cell>
          <cell r="J145">
            <v>229</v>
          </cell>
          <cell r="K145">
            <v>117</v>
          </cell>
        </row>
        <row r="146">
          <cell r="E146" t="str">
            <v>УН_ОСТ_Т</v>
          </cell>
          <cell r="F146">
            <v>6</v>
          </cell>
          <cell r="G146">
            <v>6</v>
          </cell>
          <cell r="H146">
            <v>6</v>
          </cell>
          <cell r="I146">
            <v>6</v>
          </cell>
          <cell r="J146">
            <v>0</v>
          </cell>
          <cell r="K146">
            <v>12</v>
          </cell>
        </row>
        <row r="147">
          <cell r="E147" t="str">
            <v>УН_ООС_Т</v>
          </cell>
          <cell r="F147">
            <v>45</v>
          </cell>
          <cell r="G147">
            <v>45</v>
          </cell>
          <cell r="H147">
            <v>22</v>
          </cell>
          <cell r="I147">
            <v>60</v>
          </cell>
          <cell r="J147">
            <v>229</v>
          </cell>
          <cell r="K147">
            <v>105</v>
          </cell>
        </row>
        <row r="148">
          <cell r="E148" t="str">
            <v>УН_БЕН_Т</v>
          </cell>
          <cell r="F148">
            <v>241.7</v>
          </cell>
          <cell r="G148">
            <v>241.7</v>
          </cell>
          <cell r="H148">
            <v>241.7</v>
          </cell>
          <cell r="I148">
            <v>1208.5</v>
          </cell>
          <cell r="J148">
            <v>1272</v>
          </cell>
          <cell r="K148">
            <v>1450.2</v>
          </cell>
        </row>
        <row r="149">
          <cell r="E149" t="str">
            <v>УН_БЕЗ_Т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3</v>
          </cell>
          <cell r="K149">
            <v>0</v>
          </cell>
        </row>
        <row r="150">
          <cell r="E150" t="str">
            <v>УН_БЕО_Т</v>
          </cell>
          <cell r="F150">
            <v>241.7</v>
          </cell>
          <cell r="G150">
            <v>241.7</v>
          </cell>
          <cell r="H150">
            <v>241.7</v>
          </cell>
          <cell r="I150">
            <v>1208.5</v>
          </cell>
          <cell r="J150">
            <v>1268.0999999999999</v>
          </cell>
          <cell r="K150">
            <v>1450.2</v>
          </cell>
        </row>
        <row r="151">
          <cell r="E151" t="str">
            <v>УН_ДФ_Т</v>
          </cell>
          <cell r="F151">
            <v>4179</v>
          </cell>
          <cell r="G151">
            <v>4179</v>
          </cell>
          <cell r="H151">
            <v>4191</v>
          </cell>
          <cell r="I151">
            <v>21005</v>
          </cell>
          <cell r="J151">
            <v>25436</v>
          </cell>
          <cell r="K151">
            <v>25184</v>
          </cell>
        </row>
        <row r="152">
          <cell r="E152" t="str">
            <v>УН_НЕР_Т</v>
          </cell>
          <cell r="F152">
            <v>398.7</v>
          </cell>
          <cell r="G152">
            <v>398.7</v>
          </cell>
          <cell r="H152">
            <v>386.7</v>
          </cell>
          <cell r="I152">
            <v>1883.5</v>
          </cell>
          <cell r="J152">
            <v>2199.1</v>
          </cell>
          <cell r="K152">
            <v>2282.1999999999998</v>
          </cell>
        </row>
        <row r="153">
          <cell r="E153" t="str">
            <v>УН_КОНС_Т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E154" t="str">
            <v>УН_КОНО_Т</v>
          </cell>
          <cell r="F154">
            <v>100</v>
          </cell>
          <cell r="G154">
            <v>100</v>
          </cell>
          <cell r="H154">
            <v>100</v>
          </cell>
          <cell r="I154">
            <v>500</v>
          </cell>
          <cell r="J154">
            <v>600</v>
          </cell>
          <cell r="K154">
            <v>600</v>
          </cell>
        </row>
        <row r="155">
          <cell r="E155" t="str">
            <v>УН_ЗАП_Т</v>
          </cell>
          <cell r="F155">
            <v>17</v>
          </cell>
          <cell r="G155">
            <v>17</v>
          </cell>
          <cell r="H155">
            <v>6</v>
          </cell>
          <cell r="I155">
            <v>6</v>
          </cell>
          <cell r="J155">
            <v>3</v>
          </cell>
          <cell r="K155">
            <v>23</v>
          </cell>
        </row>
        <row r="156">
          <cell r="E156" t="str">
            <v>УН_ПРСП_Т</v>
          </cell>
          <cell r="F156">
            <v>67</v>
          </cell>
          <cell r="G156">
            <v>67</v>
          </cell>
          <cell r="H156">
            <v>55</v>
          </cell>
          <cell r="I156">
            <v>161</v>
          </cell>
          <cell r="J156">
            <v>218</v>
          </cell>
          <cell r="K156">
            <v>228</v>
          </cell>
        </row>
        <row r="157">
          <cell r="E157" t="str">
            <v>УН_ПРСФ_Т</v>
          </cell>
          <cell r="F157">
            <v>17</v>
          </cell>
          <cell r="G157">
            <v>17</v>
          </cell>
          <cell r="H157">
            <v>6</v>
          </cell>
          <cell r="I157">
            <v>6</v>
          </cell>
          <cell r="J157">
            <v>3</v>
          </cell>
          <cell r="K157">
            <v>23</v>
          </cell>
        </row>
        <row r="158">
          <cell r="E158" t="str">
            <v>УН_КРСП_Т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E159" t="str">
            <v>УН_КРСФ_Т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E160" t="str">
            <v>УН_МЕРП_Т</v>
          </cell>
          <cell r="F160">
            <v>67</v>
          </cell>
          <cell r="G160">
            <v>67</v>
          </cell>
          <cell r="H160">
            <v>55</v>
          </cell>
          <cell r="I160">
            <v>161</v>
          </cell>
          <cell r="J160">
            <v>268</v>
          </cell>
          <cell r="K160">
            <v>228</v>
          </cell>
        </row>
        <row r="161">
          <cell r="E161" t="str">
            <v>УН_МЕРФ_Т</v>
          </cell>
          <cell r="F161">
            <v>17</v>
          </cell>
          <cell r="G161">
            <v>17</v>
          </cell>
          <cell r="H161">
            <v>6</v>
          </cell>
          <cell r="I161">
            <v>6</v>
          </cell>
          <cell r="J161">
            <v>3</v>
          </cell>
          <cell r="K161">
            <v>23</v>
          </cell>
        </row>
        <row r="162">
          <cell r="E162" t="str">
            <v>УН_СУММ_Т</v>
          </cell>
          <cell r="F162" t="str">
            <v>НЕТ</v>
          </cell>
          <cell r="G162">
            <v>4862.7</v>
          </cell>
          <cell r="H162">
            <v>4805.7</v>
          </cell>
          <cell r="I162">
            <v>23728.5</v>
          </cell>
          <cell r="J162">
            <v>28730.1</v>
          </cell>
          <cell r="K162">
            <v>28591.200000000001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>
        <row r="3">
          <cell r="B3" t="str">
            <v>НН</v>
          </cell>
          <cell r="C3" t="str">
            <v>ННП</v>
          </cell>
        </row>
        <row r="4">
          <cell r="B4" t="str">
            <v>СН</v>
          </cell>
          <cell r="C4" t="str">
            <v>СНГДУ-1</v>
          </cell>
        </row>
        <row r="5">
          <cell r="B5" t="str">
            <v>БН</v>
          </cell>
          <cell r="C5" t="str">
            <v>СНГДУ-2</v>
          </cell>
        </row>
        <row r="6">
          <cell r="B6" t="str">
            <v>УН</v>
          </cell>
          <cell r="C6" t="str">
            <v>УНП-3</v>
          </cell>
        </row>
        <row r="7">
          <cell r="B7" t="str">
            <v>ННП</v>
          </cell>
          <cell r="C7" t="str">
            <v>ННП</v>
          </cell>
        </row>
        <row r="8">
          <cell r="B8" t="str">
            <v>СНГ</v>
          </cell>
          <cell r="C8" t="str">
            <v>Самотлорнефтегаз</v>
          </cell>
        </row>
      </sheetData>
      <sheetData sheetId="15"/>
      <sheetData sheetId="16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доб-8"/>
      <sheetName val="Techreg format"/>
      <sheetName val="Techreg format-8т"/>
      <sheetName val="изм"/>
      <sheetName val="изм-0603"/>
      <sheetName val="изм-0603 (2)"/>
      <sheetName val="булг"/>
      <sheetName val="график 38"/>
      <sheetName val="отчет к план гр.37"/>
      <sheetName val="отчет к граф.37"/>
      <sheetName val="дин"/>
      <sheetName val="режим"/>
      <sheetName val="техкат"/>
      <sheetName val="быстр.расч.глушен."/>
      <sheetName val="скв"/>
      <sheetName val="Лист1 (2)"/>
      <sheetName val="скв. под ПРС"/>
      <sheetName val="Расчет глушения"/>
      <sheetName val="отчёт к графику 36"/>
      <sheetName val="отчёт к графику 35"/>
      <sheetName val="отчёт к графику 34"/>
      <sheetName val="отчет к графику 33"/>
      <sheetName val="отчёт к графику 32"/>
      <sheetName val="отчёт к графику 31"/>
      <sheetName val="отчет к граф.30"/>
      <sheetName val="отчет к граф.29"/>
      <sheetName val="отчет к графику 28"/>
      <sheetName val="ИМПОР"/>
      <sheetName val="дебит"/>
      <sheetName val="ГТИ"/>
      <sheetName val="спр"/>
      <sheetName val="глуш"/>
      <sheetName val="ЭЦН"/>
      <sheetName val="ШГН"/>
      <sheetName val="ОСН"/>
      <sheetName val="График-автом"/>
      <sheetName val="График (2)"/>
      <sheetName val="Технологические режимы"/>
      <sheetName val="ввод из БД 2006г."/>
      <sheetName val="Свод"/>
      <sheetName val="Буфер"/>
      <sheetName val="Прирост от ГТМ"/>
      <sheetName val="Режим работы скважины"/>
    </sheetNames>
    <sheetDataSet>
      <sheetData sheetId="0" refreshError="1">
        <row r="13">
          <cell r="A13">
            <v>1</v>
          </cell>
        </row>
        <row r="14">
          <cell r="A14">
            <v>2</v>
          </cell>
        </row>
        <row r="15">
          <cell r="A15">
            <v>3</v>
          </cell>
        </row>
        <row r="16">
          <cell r="A16">
            <v>4</v>
          </cell>
        </row>
        <row r="17">
          <cell r="A17">
            <v>5</v>
          </cell>
        </row>
        <row r="18">
          <cell r="A18">
            <v>6</v>
          </cell>
        </row>
        <row r="19">
          <cell r="A19">
            <v>7</v>
          </cell>
        </row>
        <row r="20">
          <cell r="A20">
            <v>8</v>
          </cell>
        </row>
        <row r="21">
          <cell r="A21">
            <v>9</v>
          </cell>
        </row>
        <row r="22">
          <cell r="A22">
            <v>10</v>
          </cell>
        </row>
        <row r="23">
          <cell r="A23">
            <v>11</v>
          </cell>
        </row>
        <row r="24">
          <cell r="A24">
            <v>12</v>
          </cell>
        </row>
        <row r="25">
          <cell r="A25">
            <v>13</v>
          </cell>
        </row>
        <row r="26">
          <cell r="A26">
            <v>14</v>
          </cell>
        </row>
        <row r="27">
          <cell r="A27">
            <v>15</v>
          </cell>
        </row>
        <row r="28">
          <cell r="A28">
            <v>16</v>
          </cell>
        </row>
        <row r="29">
          <cell r="A29">
            <v>17</v>
          </cell>
        </row>
        <row r="30">
          <cell r="A30">
            <v>18</v>
          </cell>
        </row>
        <row r="31">
          <cell r="A31">
            <v>19</v>
          </cell>
        </row>
        <row r="32">
          <cell r="A32">
            <v>20</v>
          </cell>
        </row>
        <row r="33">
          <cell r="A33">
            <v>21</v>
          </cell>
        </row>
        <row r="34">
          <cell r="A34">
            <v>22</v>
          </cell>
        </row>
        <row r="35">
          <cell r="A35">
            <v>23</v>
          </cell>
        </row>
        <row r="36">
          <cell r="A36">
            <v>24</v>
          </cell>
        </row>
        <row r="37">
          <cell r="A37">
            <v>25</v>
          </cell>
        </row>
        <row r="38">
          <cell r="A38">
            <v>26</v>
          </cell>
        </row>
        <row r="39">
          <cell r="A39">
            <v>27</v>
          </cell>
        </row>
        <row r="40">
          <cell r="A40">
            <v>28</v>
          </cell>
        </row>
        <row r="41">
          <cell r="A41">
            <v>29</v>
          </cell>
        </row>
        <row r="42">
          <cell r="A42">
            <v>30</v>
          </cell>
        </row>
        <row r="43">
          <cell r="A43">
            <v>31</v>
          </cell>
        </row>
        <row r="44">
          <cell r="A44">
            <v>32</v>
          </cell>
        </row>
        <row r="45">
          <cell r="A45">
            <v>33</v>
          </cell>
        </row>
        <row r="46">
          <cell r="A46">
            <v>34</v>
          </cell>
        </row>
        <row r="47">
          <cell r="A47">
            <v>35</v>
          </cell>
        </row>
        <row r="48">
          <cell r="A48">
            <v>36</v>
          </cell>
        </row>
        <row r="49">
          <cell r="A49">
            <v>37</v>
          </cell>
        </row>
        <row r="50">
          <cell r="A50">
            <v>38</v>
          </cell>
        </row>
        <row r="51">
          <cell r="A51">
            <v>39</v>
          </cell>
        </row>
        <row r="52">
          <cell r="A52">
            <v>40</v>
          </cell>
        </row>
        <row r="53">
          <cell r="A53">
            <v>41</v>
          </cell>
        </row>
        <row r="54">
          <cell r="A54">
            <v>42</v>
          </cell>
        </row>
        <row r="55">
          <cell r="A55">
            <v>43</v>
          </cell>
        </row>
        <row r="56">
          <cell r="A56">
            <v>44</v>
          </cell>
        </row>
        <row r="57">
          <cell r="A57">
            <v>45</v>
          </cell>
        </row>
        <row r="58">
          <cell r="A58">
            <v>46</v>
          </cell>
        </row>
        <row r="59">
          <cell r="A59">
            <v>47</v>
          </cell>
        </row>
        <row r="60">
          <cell r="A60">
            <v>48</v>
          </cell>
        </row>
        <row r="61">
          <cell r="A61">
            <v>49</v>
          </cell>
        </row>
        <row r="62">
          <cell r="A62">
            <v>50</v>
          </cell>
        </row>
        <row r="63">
          <cell r="A63">
            <v>51</v>
          </cell>
        </row>
        <row r="64">
          <cell r="A64">
            <v>52</v>
          </cell>
        </row>
        <row r="65">
          <cell r="A65">
            <v>53</v>
          </cell>
        </row>
        <row r="66">
          <cell r="A66">
            <v>54</v>
          </cell>
        </row>
        <row r="67">
          <cell r="A67">
            <v>55</v>
          </cell>
        </row>
        <row r="68">
          <cell r="A68">
            <v>56</v>
          </cell>
        </row>
        <row r="69">
          <cell r="A69">
            <v>57</v>
          </cell>
        </row>
        <row r="70">
          <cell r="A70">
            <v>58</v>
          </cell>
        </row>
        <row r="71">
          <cell r="A71">
            <v>59</v>
          </cell>
        </row>
        <row r="72">
          <cell r="A72">
            <v>60</v>
          </cell>
        </row>
        <row r="73">
          <cell r="A73">
            <v>61</v>
          </cell>
        </row>
        <row r="74">
          <cell r="A74">
            <v>62</v>
          </cell>
        </row>
        <row r="75">
          <cell r="A75">
            <v>63</v>
          </cell>
        </row>
        <row r="76">
          <cell r="A76">
            <v>64</v>
          </cell>
        </row>
        <row r="77">
          <cell r="A77">
            <v>65</v>
          </cell>
        </row>
        <row r="78">
          <cell r="A78">
            <v>66</v>
          </cell>
        </row>
        <row r="79">
          <cell r="A79">
            <v>67</v>
          </cell>
        </row>
        <row r="80">
          <cell r="A80">
            <v>68</v>
          </cell>
        </row>
        <row r="81">
          <cell r="A81">
            <v>69</v>
          </cell>
        </row>
        <row r="82">
          <cell r="A82">
            <v>70</v>
          </cell>
        </row>
        <row r="83">
          <cell r="A83">
            <v>71</v>
          </cell>
        </row>
        <row r="84">
          <cell r="A84">
            <v>72</v>
          </cell>
        </row>
        <row r="85">
          <cell r="A85">
            <v>73</v>
          </cell>
        </row>
        <row r="86">
          <cell r="A86">
            <v>74</v>
          </cell>
        </row>
        <row r="87">
          <cell r="A87">
            <v>75</v>
          </cell>
        </row>
        <row r="88">
          <cell r="A88">
            <v>76</v>
          </cell>
        </row>
        <row r="89">
          <cell r="A89">
            <v>77</v>
          </cell>
        </row>
        <row r="90">
          <cell r="A90">
            <v>78</v>
          </cell>
        </row>
        <row r="91">
          <cell r="A91">
            <v>79</v>
          </cell>
        </row>
        <row r="92">
          <cell r="A92">
            <v>80</v>
          </cell>
        </row>
        <row r="93">
          <cell r="A93">
            <v>81</v>
          </cell>
        </row>
        <row r="94">
          <cell r="A94">
            <v>82</v>
          </cell>
        </row>
        <row r="95">
          <cell r="A95">
            <v>83</v>
          </cell>
        </row>
        <row r="96">
          <cell r="A96">
            <v>84</v>
          </cell>
        </row>
        <row r="97">
          <cell r="A97">
            <v>85</v>
          </cell>
        </row>
        <row r="98">
          <cell r="A98">
            <v>86</v>
          </cell>
        </row>
        <row r="99">
          <cell r="A99">
            <v>87</v>
          </cell>
        </row>
        <row r="100">
          <cell r="A100">
            <v>88</v>
          </cell>
        </row>
        <row r="101">
          <cell r="A101">
            <v>89</v>
          </cell>
        </row>
        <row r="102">
          <cell r="A102">
            <v>90</v>
          </cell>
        </row>
        <row r="103">
          <cell r="A103">
            <v>91</v>
          </cell>
        </row>
        <row r="104">
          <cell r="A104">
            <v>92</v>
          </cell>
        </row>
        <row r="105">
          <cell r="A105">
            <v>93</v>
          </cell>
        </row>
        <row r="106">
          <cell r="A106">
            <v>94</v>
          </cell>
        </row>
        <row r="107">
          <cell r="A107">
            <v>95</v>
          </cell>
        </row>
        <row r="108">
          <cell r="A108">
            <v>96</v>
          </cell>
        </row>
        <row r="109">
          <cell r="A109">
            <v>97</v>
          </cell>
        </row>
        <row r="110">
          <cell r="A110">
            <v>98</v>
          </cell>
        </row>
        <row r="111">
          <cell r="A111">
            <v>99</v>
          </cell>
        </row>
        <row r="112">
          <cell r="A112">
            <v>100</v>
          </cell>
        </row>
        <row r="113">
          <cell r="A113">
            <v>101</v>
          </cell>
        </row>
        <row r="114">
          <cell r="A114">
            <v>102</v>
          </cell>
        </row>
        <row r="115">
          <cell r="A115">
            <v>103</v>
          </cell>
        </row>
        <row r="116">
          <cell r="A116">
            <v>104</v>
          </cell>
        </row>
        <row r="117">
          <cell r="A117">
            <v>105</v>
          </cell>
        </row>
        <row r="118">
          <cell r="A118">
            <v>106</v>
          </cell>
        </row>
        <row r="119">
          <cell r="A119">
            <v>107</v>
          </cell>
        </row>
        <row r="120">
          <cell r="A120">
            <v>108</v>
          </cell>
        </row>
        <row r="121">
          <cell r="A121">
            <v>109</v>
          </cell>
        </row>
        <row r="122">
          <cell r="A122">
            <v>110</v>
          </cell>
        </row>
        <row r="123">
          <cell r="A123">
            <v>111</v>
          </cell>
        </row>
        <row r="124">
          <cell r="A124">
            <v>112</v>
          </cell>
        </row>
        <row r="125">
          <cell r="A125">
            <v>113</v>
          </cell>
        </row>
        <row r="126">
          <cell r="A126">
            <v>114</v>
          </cell>
        </row>
        <row r="127">
          <cell r="A127">
            <v>115</v>
          </cell>
        </row>
        <row r="128">
          <cell r="A128">
            <v>116</v>
          </cell>
        </row>
        <row r="129">
          <cell r="A129">
            <v>117</v>
          </cell>
        </row>
        <row r="130">
          <cell r="A130">
            <v>118</v>
          </cell>
        </row>
        <row r="131">
          <cell r="A131">
            <v>119</v>
          </cell>
        </row>
        <row r="132">
          <cell r="A132">
            <v>120</v>
          </cell>
        </row>
        <row r="133">
          <cell r="A133">
            <v>121</v>
          </cell>
        </row>
        <row r="134">
          <cell r="A134">
            <v>122</v>
          </cell>
        </row>
        <row r="135">
          <cell r="A135">
            <v>123</v>
          </cell>
        </row>
        <row r="136">
          <cell r="A136">
            <v>124</v>
          </cell>
        </row>
        <row r="137">
          <cell r="A137">
            <v>125</v>
          </cell>
        </row>
        <row r="138">
          <cell r="A138">
            <v>126</v>
          </cell>
        </row>
        <row r="139">
          <cell r="A139">
            <v>127</v>
          </cell>
        </row>
        <row r="140">
          <cell r="A140">
            <v>128</v>
          </cell>
        </row>
        <row r="141">
          <cell r="A141">
            <v>129</v>
          </cell>
        </row>
        <row r="142">
          <cell r="A142">
            <v>130</v>
          </cell>
        </row>
        <row r="143">
          <cell r="A143">
            <v>131</v>
          </cell>
        </row>
        <row r="144">
          <cell r="A144">
            <v>132</v>
          </cell>
        </row>
        <row r="145">
          <cell r="A145">
            <v>133</v>
          </cell>
        </row>
        <row r="146">
          <cell r="A146">
            <v>134</v>
          </cell>
        </row>
        <row r="147">
          <cell r="A147">
            <v>135</v>
          </cell>
        </row>
        <row r="148">
          <cell r="A148">
            <v>136</v>
          </cell>
        </row>
        <row r="149">
          <cell r="A149">
            <v>137</v>
          </cell>
        </row>
        <row r="150">
          <cell r="A150">
            <v>138</v>
          </cell>
        </row>
        <row r="151">
          <cell r="A151">
            <v>139</v>
          </cell>
        </row>
        <row r="152">
          <cell r="A152">
            <v>140</v>
          </cell>
        </row>
        <row r="153">
          <cell r="A153">
            <v>141</v>
          </cell>
        </row>
        <row r="154">
          <cell r="A154">
            <v>142</v>
          </cell>
        </row>
        <row r="155">
          <cell r="A155">
            <v>143</v>
          </cell>
        </row>
        <row r="156">
          <cell r="A156">
            <v>144</v>
          </cell>
        </row>
        <row r="157">
          <cell r="A157">
            <v>145</v>
          </cell>
        </row>
        <row r="158">
          <cell r="A158">
            <v>146</v>
          </cell>
        </row>
        <row r="159">
          <cell r="A159">
            <v>147</v>
          </cell>
        </row>
        <row r="160">
          <cell r="A160">
            <v>148</v>
          </cell>
        </row>
        <row r="161">
          <cell r="A161">
            <v>149</v>
          </cell>
        </row>
        <row r="162">
          <cell r="A162">
            <v>150</v>
          </cell>
        </row>
        <row r="163">
          <cell r="A163">
            <v>151</v>
          </cell>
        </row>
        <row r="164">
          <cell r="A164">
            <v>152</v>
          </cell>
        </row>
        <row r="165">
          <cell r="A165">
            <v>153</v>
          </cell>
        </row>
        <row r="166">
          <cell r="A166">
            <v>154</v>
          </cell>
        </row>
        <row r="167">
          <cell r="A167">
            <v>155</v>
          </cell>
        </row>
        <row r="168">
          <cell r="A168">
            <v>156</v>
          </cell>
        </row>
        <row r="169">
          <cell r="A169">
            <v>157</v>
          </cell>
        </row>
        <row r="170">
          <cell r="A170">
            <v>158</v>
          </cell>
        </row>
        <row r="171">
          <cell r="A171">
            <v>159</v>
          </cell>
        </row>
        <row r="172">
          <cell r="A172">
            <v>160</v>
          </cell>
        </row>
        <row r="173">
          <cell r="A173">
            <v>161</v>
          </cell>
        </row>
        <row r="174">
          <cell r="A174">
            <v>162</v>
          </cell>
        </row>
        <row r="175">
          <cell r="A175">
            <v>163</v>
          </cell>
        </row>
        <row r="176">
          <cell r="A176">
            <v>164</v>
          </cell>
        </row>
        <row r="177">
          <cell r="A177">
            <v>165</v>
          </cell>
        </row>
        <row r="178">
          <cell r="A178">
            <v>166</v>
          </cell>
        </row>
        <row r="179">
          <cell r="A179">
            <v>167</v>
          </cell>
        </row>
        <row r="180">
          <cell r="A180">
            <v>168</v>
          </cell>
        </row>
        <row r="181">
          <cell r="A181">
            <v>169</v>
          </cell>
        </row>
        <row r="182">
          <cell r="A182">
            <v>170</v>
          </cell>
        </row>
        <row r="183">
          <cell r="A183">
            <v>171</v>
          </cell>
        </row>
        <row r="184">
          <cell r="A184">
            <v>172</v>
          </cell>
        </row>
        <row r="185">
          <cell r="A185">
            <v>173</v>
          </cell>
        </row>
        <row r="186">
          <cell r="A186">
            <v>174</v>
          </cell>
        </row>
        <row r="187">
          <cell r="A187">
            <v>175</v>
          </cell>
        </row>
        <row r="188">
          <cell r="A188">
            <v>176</v>
          </cell>
        </row>
        <row r="189">
          <cell r="A189">
            <v>177</v>
          </cell>
        </row>
        <row r="190">
          <cell r="A190">
            <v>178</v>
          </cell>
        </row>
        <row r="191">
          <cell r="A191">
            <v>179</v>
          </cell>
        </row>
        <row r="192">
          <cell r="A192">
            <v>180</v>
          </cell>
        </row>
        <row r="193">
          <cell r="A193">
            <v>181</v>
          </cell>
        </row>
        <row r="194">
          <cell r="A194">
            <v>182</v>
          </cell>
        </row>
        <row r="195">
          <cell r="A195">
            <v>183</v>
          </cell>
        </row>
        <row r="196">
          <cell r="A196">
            <v>184</v>
          </cell>
        </row>
        <row r="197">
          <cell r="A197">
            <v>185</v>
          </cell>
        </row>
        <row r="198">
          <cell r="A198">
            <v>186</v>
          </cell>
        </row>
        <row r="199">
          <cell r="A199">
            <v>187</v>
          </cell>
        </row>
        <row r="200">
          <cell r="A200">
            <v>188</v>
          </cell>
        </row>
        <row r="201">
          <cell r="A201">
            <v>189</v>
          </cell>
        </row>
        <row r="202">
          <cell r="A202">
            <v>190</v>
          </cell>
        </row>
        <row r="203">
          <cell r="A203">
            <v>191</v>
          </cell>
        </row>
        <row r="204">
          <cell r="A204">
            <v>192</v>
          </cell>
        </row>
        <row r="205">
          <cell r="A205">
            <v>193</v>
          </cell>
        </row>
        <row r="206">
          <cell r="A206">
            <v>194</v>
          </cell>
        </row>
        <row r="207">
          <cell r="A207">
            <v>195</v>
          </cell>
        </row>
        <row r="208">
          <cell r="A208">
            <v>196</v>
          </cell>
        </row>
        <row r="209">
          <cell r="A209">
            <v>197</v>
          </cell>
        </row>
        <row r="210">
          <cell r="A210">
            <v>198</v>
          </cell>
        </row>
        <row r="211">
          <cell r="A211">
            <v>199</v>
          </cell>
        </row>
        <row r="212">
          <cell r="A212">
            <v>200</v>
          </cell>
        </row>
        <row r="213">
          <cell r="A213">
            <v>201</v>
          </cell>
        </row>
        <row r="214">
          <cell r="A214">
            <v>202</v>
          </cell>
        </row>
        <row r="215">
          <cell r="A215">
            <v>203</v>
          </cell>
        </row>
        <row r="216">
          <cell r="A216">
            <v>204</v>
          </cell>
        </row>
        <row r="217">
          <cell r="A217">
            <v>205</v>
          </cell>
        </row>
        <row r="218">
          <cell r="A218">
            <v>206</v>
          </cell>
        </row>
        <row r="219">
          <cell r="A219">
            <v>207</v>
          </cell>
        </row>
        <row r="220">
          <cell r="A220">
            <v>208</v>
          </cell>
        </row>
        <row r="221">
          <cell r="A221">
            <v>209</v>
          </cell>
        </row>
        <row r="222">
          <cell r="A222">
            <v>210</v>
          </cell>
        </row>
        <row r="223">
          <cell r="A223">
            <v>211</v>
          </cell>
        </row>
        <row r="224">
          <cell r="A224">
            <v>212</v>
          </cell>
        </row>
        <row r="225">
          <cell r="A225">
            <v>213</v>
          </cell>
        </row>
        <row r="226">
          <cell r="A226">
            <v>214</v>
          </cell>
        </row>
        <row r="227">
          <cell r="A227">
            <v>215</v>
          </cell>
        </row>
        <row r="228">
          <cell r="A228">
            <v>216</v>
          </cell>
        </row>
        <row r="229">
          <cell r="A229">
            <v>217</v>
          </cell>
        </row>
        <row r="230">
          <cell r="A230">
            <v>218</v>
          </cell>
        </row>
        <row r="231">
          <cell r="A231">
            <v>219</v>
          </cell>
        </row>
        <row r="232">
          <cell r="A232">
            <v>220</v>
          </cell>
        </row>
        <row r="233">
          <cell r="A233">
            <v>221</v>
          </cell>
        </row>
        <row r="234">
          <cell r="A234">
            <v>222</v>
          </cell>
        </row>
        <row r="235">
          <cell r="A235">
            <v>223</v>
          </cell>
        </row>
        <row r="236">
          <cell r="A236">
            <v>224</v>
          </cell>
        </row>
        <row r="237">
          <cell r="A237">
            <v>225</v>
          </cell>
        </row>
        <row r="238">
          <cell r="A238">
            <v>226</v>
          </cell>
        </row>
        <row r="239">
          <cell r="A239">
            <v>227</v>
          </cell>
        </row>
        <row r="240">
          <cell r="A240">
            <v>228</v>
          </cell>
        </row>
        <row r="241">
          <cell r="A241">
            <v>229</v>
          </cell>
        </row>
        <row r="242">
          <cell r="A242">
            <v>230</v>
          </cell>
        </row>
        <row r="243">
          <cell r="A243">
            <v>231</v>
          </cell>
        </row>
        <row r="244">
          <cell r="A244">
            <v>232</v>
          </cell>
        </row>
        <row r="245">
          <cell r="A245">
            <v>233</v>
          </cell>
        </row>
        <row r="246">
          <cell r="A246">
            <v>234</v>
          </cell>
        </row>
        <row r="247">
          <cell r="A247">
            <v>235</v>
          </cell>
        </row>
        <row r="248">
          <cell r="A248">
            <v>236</v>
          </cell>
        </row>
        <row r="249">
          <cell r="A249">
            <v>237</v>
          </cell>
        </row>
        <row r="250">
          <cell r="A250">
            <v>238</v>
          </cell>
        </row>
        <row r="251">
          <cell r="A251">
            <v>239</v>
          </cell>
        </row>
        <row r="253">
          <cell r="A253" t="str">
            <v>Всего по фонтанным</v>
          </cell>
        </row>
        <row r="254">
          <cell r="A254" t="str">
            <v>Всего по ЭЦН</v>
          </cell>
        </row>
        <row r="255">
          <cell r="A255" t="str">
            <v>Всего по ШГН</v>
          </cell>
        </row>
        <row r="256">
          <cell r="A256" t="str">
            <v>Всего по ЭДН</v>
          </cell>
        </row>
        <row r="259">
          <cell r="A259" t="str">
            <v>Всего по 1 бригаде</v>
          </cell>
        </row>
        <row r="260">
          <cell r="A260" t="str">
            <v>Всего по 2 бригаде</v>
          </cell>
        </row>
        <row r="261">
          <cell r="A261" t="str">
            <v>Всего по 3 бригаде</v>
          </cell>
        </row>
        <row r="264">
          <cell r="A264" t="str">
            <v>Всего по ДНС-1</v>
          </cell>
        </row>
        <row r="265">
          <cell r="A265" t="str">
            <v>Всего по ДНС-9</v>
          </cell>
        </row>
        <row r="266">
          <cell r="A266" t="str">
            <v>Всего по ДНС-10</v>
          </cell>
        </row>
        <row r="267">
          <cell r="A267" t="str">
            <v>Всего по ДНС-12</v>
          </cell>
        </row>
        <row r="268">
          <cell r="A268" t="str">
            <v>Всего по ДНС-4</v>
          </cell>
        </row>
        <row r="271">
          <cell r="A271" t="str">
            <v>Всего по ЮК-1</v>
          </cell>
        </row>
        <row r="272">
          <cell r="A272" t="str">
            <v>Всего по ЮК-2-9</v>
          </cell>
        </row>
        <row r="273">
          <cell r="A273" t="str">
            <v>Всего по ЮК-10</v>
          </cell>
        </row>
        <row r="274">
          <cell r="A274" t="str">
            <v>Всего по ЮК-10-11</v>
          </cell>
        </row>
        <row r="290">
          <cell r="A290" t="str">
            <v xml:space="preserve">    Мастер бр. ДНГ №</v>
          </cell>
        </row>
        <row r="292">
          <cell r="A292" t="str">
            <v xml:space="preserve">    Мастер бр. ДНГ №</v>
          </cell>
        </row>
        <row r="294">
          <cell r="A294" t="str">
            <v xml:space="preserve">    Мастер бр. ДНГ №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доб-8"/>
      <sheetName val="Techreg format"/>
      <sheetName val="Techreg format-8т"/>
      <sheetName val="изм"/>
      <sheetName val="изм-0603"/>
      <sheetName val="изм-0603 (2)"/>
      <sheetName val="булг"/>
      <sheetName val="график 38"/>
      <sheetName val="отчет к план гр.37"/>
      <sheetName val="отчет к граф.37"/>
      <sheetName val="дин"/>
      <sheetName val="режим"/>
      <sheetName val="техкат"/>
      <sheetName val="быстр.расч.глушен."/>
      <sheetName val="скв"/>
      <sheetName val="Лист1 (2)"/>
      <sheetName val="скв. под ПРС"/>
      <sheetName val="Расчет глушения"/>
      <sheetName val="отчёт к графику 36"/>
      <sheetName val="отчёт к графику 35"/>
      <sheetName val="отчёт к графику 34"/>
      <sheetName val="отчет к графику 33"/>
      <sheetName val="отчёт к графику 32"/>
      <sheetName val="отчёт к графику 31"/>
      <sheetName val="отчет к граф.30"/>
      <sheetName val="отчет к граф.29"/>
      <sheetName val="отчет к графику 28"/>
      <sheetName val="ИМПОР"/>
      <sheetName val="дебит"/>
      <sheetName val="ГТИ"/>
      <sheetName val="спр"/>
      <sheetName val="глуш"/>
      <sheetName val="ЭЦН"/>
      <sheetName val="ШГН"/>
      <sheetName val="ОСН"/>
      <sheetName val="График-автом"/>
      <sheetName val="График (2)"/>
      <sheetName val="Технологические режимы"/>
      <sheetName val="ввод из БД 2006г."/>
      <sheetName val="Свод"/>
      <sheetName val="Буфер"/>
      <sheetName val="Прирост от ГТМ"/>
      <sheetName val="Режим работы скважины"/>
    </sheetNames>
    <sheetDataSet>
      <sheetData sheetId="0" refreshError="1">
        <row r="13">
          <cell r="A13">
            <v>1</v>
          </cell>
        </row>
        <row r="14">
          <cell r="A14">
            <v>2</v>
          </cell>
        </row>
        <row r="15">
          <cell r="A15">
            <v>3</v>
          </cell>
        </row>
        <row r="16">
          <cell r="A16">
            <v>4</v>
          </cell>
        </row>
        <row r="17">
          <cell r="A17">
            <v>5</v>
          </cell>
        </row>
        <row r="18">
          <cell r="A18">
            <v>6</v>
          </cell>
        </row>
        <row r="19">
          <cell r="A19">
            <v>7</v>
          </cell>
        </row>
        <row r="20">
          <cell r="A20">
            <v>8</v>
          </cell>
        </row>
        <row r="21">
          <cell r="A21">
            <v>9</v>
          </cell>
        </row>
        <row r="22">
          <cell r="A22">
            <v>10</v>
          </cell>
        </row>
        <row r="23">
          <cell r="A23">
            <v>11</v>
          </cell>
        </row>
        <row r="24">
          <cell r="A24">
            <v>12</v>
          </cell>
        </row>
        <row r="25">
          <cell r="A25">
            <v>13</v>
          </cell>
        </row>
        <row r="26">
          <cell r="A26">
            <v>14</v>
          </cell>
        </row>
        <row r="27">
          <cell r="A27">
            <v>15</v>
          </cell>
        </row>
        <row r="28">
          <cell r="A28">
            <v>16</v>
          </cell>
        </row>
        <row r="29">
          <cell r="A29">
            <v>17</v>
          </cell>
        </row>
        <row r="30">
          <cell r="A30">
            <v>18</v>
          </cell>
        </row>
        <row r="31">
          <cell r="A31">
            <v>19</v>
          </cell>
        </row>
        <row r="32">
          <cell r="A32">
            <v>20</v>
          </cell>
        </row>
        <row r="33">
          <cell r="A33">
            <v>21</v>
          </cell>
        </row>
        <row r="34">
          <cell r="A34">
            <v>22</v>
          </cell>
        </row>
        <row r="35">
          <cell r="A35">
            <v>23</v>
          </cell>
        </row>
        <row r="36">
          <cell r="A36">
            <v>24</v>
          </cell>
        </row>
        <row r="37">
          <cell r="A37">
            <v>25</v>
          </cell>
        </row>
        <row r="38">
          <cell r="A38">
            <v>26</v>
          </cell>
        </row>
        <row r="39">
          <cell r="A39">
            <v>27</v>
          </cell>
        </row>
        <row r="40">
          <cell r="A40">
            <v>28</v>
          </cell>
        </row>
        <row r="41">
          <cell r="A41">
            <v>29</v>
          </cell>
        </row>
        <row r="42">
          <cell r="A42">
            <v>30</v>
          </cell>
        </row>
        <row r="43">
          <cell r="A43">
            <v>31</v>
          </cell>
        </row>
        <row r="44">
          <cell r="A44">
            <v>32</v>
          </cell>
        </row>
        <row r="45">
          <cell r="A45">
            <v>33</v>
          </cell>
        </row>
        <row r="46">
          <cell r="A46">
            <v>34</v>
          </cell>
        </row>
        <row r="47">
          <cell r="A47">
            <v>35</v>
          </cell>
        </row>
        <row r="48">
          <cell r="A48">
            <v>36</v>
          </cell>
        </row>
        <row r="49">
          <cell r="A49">
            <v>37</v>
          </cell>
        </row>
        <row r="50">
          <cell r="A50">
            <v>38</v>
          </cell>
        </row>
        <row r="51">
          <cell r="A51">
            <v>39</v>
          </cell>
        </row>
        <row r="52">
          <cell r="A52">
            <v>40</v>
          </cell>
        </row>
        <row r="53">
          <cell r="A53">
            <v>41</v>
          </cell>
        </row>
        <row r="54">
          <cell r="A54">
            <v>42</v>
          </cell>
        </row>
        <row r="55">
          <cell r="A55">
            <v>43</v>
          </cell>
        </row>
        <row r="56">
          <cell r="A56">
            <v>44</v>
          </cell>
        </row>
        <row r="57">
          <cell r="A57">
            <v>45</v>
          </cell>
        </row>
        <row r="58">
          <cell r="A58">
            <v>46</v>
          </cell>
        </row>
        <row r="59">
          <cell r="A59">
            <v>47</v>
          </cell>
        </row>
        <row r="60">
          <cell r="A60">
            <v>48</v>
          </cell>
        </row>
        <row r="61">
          <cell r="A61">
            <v>49</v>
          </cell>
        </row>
        <row r="62">
          <cell r="A62">
            <v>50</v>
          </cell>
        </row>
        <row r="63">
          <cell r="A63">
            <v>51</v>
          </cell>
        </row>
        <row r="64">
          <cell r="A64">
            <v>52</v>
          </cell>
        </row>
        <row r="65">
          <cell r="A65">
            <v>53</v>
          </cell>
        </row>
        <row r="66">
          <cell r="A66">
            <v>54</v>
          </cell>
        </row>
        <row r="67">
          <cell r="A67">
            <v>55</v>
          </cell>
        </row>
        <row r="68">
          <cell r="A68">
            <v>56</v>
          </cell>
        </row>
        <row r="69">
          <cell r="A69">
            <v>57</v>
          </cell>
        </row>
        <row r="70">
          <cell r="A70">
            <v>58</v>
          </cell>
        </row>
        <row r="71">
          <cell r="A71">
            <v>59</v>
          </cell>
        </row>
        <row r="72">
          <cell r="A72">
            <v>60</v>
          </cell>
        </row>
        <row r="73">
          <cell r="A73">
            <v>61</v>
          </cell>
        </row>
        <row r="74">
          <cell r="A74">
            <v>62</v>
          </cell>
        </row>
        <row r="75">
          <cell r="A75">
            <v>63</v>
          </cell>
        </row>
        <row r="76">
          <cell r="A76">
            <v>64</v>
          </cell>
        </row>
        <row r="77">
          <cell r="A77">
            <v>65</v>
          </cell>
        </row>
        <row r="78">
          <cell r="A78">
            <v>66</v>
          </cell>
        </row>
        <row r="79">
          <cell r="A79">
            <v>67</v>
          </cell>
        </row>
        <row r="80">
          <cell r="A80">
            <v>68</v>
          </cell>
        </row>
        <row r="81">
          <cell r="A81">
            <v>69</v>
          </cell>
        </row>
        <row r="82">
          <cell r="A82">
            <v>70</v>
          </cell>
        </row>
        <row r="83">
          <cell r="A83">
            <v>71</v>
          </cell>
        </row>
        <row r="84">
          <cell r="A84">
            <v>72</v>
          </cell>
        </row>
        <row r="85">
          <cell r="A85">
            <v>73</v>
          </cell>
        </row>
        <row r="86">
          <cell r="A86">
            <v>74</v>
          </cell>
        </row>
        <row r="87">
          <cell r="A87">
            <v>75</v>
          </cell>
        </row>
        <row r="88">
          <cell r="A88">
            <v>76</v>
          </cell>
        </row>
        <row r="89">
          <cell r="A89">
            <v>77</v>
          </cell>
        </row>
        <row r="90">
          <cell r="A90">
            <v>78</v>
          </cell>
        </row>
        <row r="91">
          <cell r="A91">
            <v>79</v>
          </cell>
        </row>
        <row r="92">
          <cell r="A92">
            <v>80</v>
          </cell>
        </row>
        <row r="93">
          <cell r="A93">
            <v>81</v>
          </cell>
        </row>
        <row r="94">
          <cell r="A94">
            <v>82</v>
          </cell>
        </row>
        <row r="95">
          <cell r="A95">
            <v>83</v>
          </cell>
        </row>
        <row r="96">
          <cell r="A96">
            <v>84</v>
          </cell>
        </row>
        <row r="97">
          <cell r="A97">
            <v>85</v>
          </cell>
        </row>
        <row r="98">
          <cell r="A98">
            <v>86</v>
          </cell>
        </row>
        <row r="99">
          <cell r="A99">
            <v>87</v>
          </cell>
        </row>
        <row r="100">
          <cell r="A100">
            <v>88</v>
          </cell>
        </row>
        <row r="101">
          <cell r="A101">
            <v>89</v>
          </cell>
        </row>
        <row r="102">
          <cell r="A102">
            <v>90</v>
          </cell>
        </row>
        <row r="103">
          <cell r="A103">
            <v>91</v>
          </cell>
        </row>
        <row r="104">
          <cell r="A104">
            <v>92</v>
          </cell>
        </row>
        <row r="105">
          <cell r="A105">
            <v>93</v>
          </cell>
        </row>
        <row r="106">
          <cell r="A106">
            <v>94</v>
          </cell>
        </row>
        <row r="107">
          <cell r="A107">
            <v>95</v>
          </cell>
        </row>
        <row r="108">
          <cell r="A108">
            <v>96</v>
          </cell>
        </row>
        <row r="109">
          <cell r="A109">
            <v>97</v>
          </cell>
        </row>
        <row r="110">
          <cell r="A110">
            <v>98</v>
          </cell>
        </row>
        <row r="111">
          <cell r="A111">
            <v>99</v>
          </cell>
        </row>
        <row r="112">
          <cell r="A112">
            <v>100</v>
          </cell>
        </row>
        <row r="113">
          <cell r="A113">
            <v>101</v>
          </cell>
        </row>
        <row r="114">
          <cell r="A114">
            <v>102</v>
          </cell>
        </row>
        <row r="115">
          <cell r="A115">
            <v>103</v>
          </cell>
        </row>
        <row r="116">
          <cell r="A116">
            <v>104</v>
          </cell>
        </row>
        <row r="117">
          <cell r="A117">
            <v>105</v>
          </cell>
        </row>
        <row r="118">
          <cell r="A118">
            <v>106</v>
          </cell>
        </row>
        <row r="119">
          <cell r="A119">
            <v>107</v>
          </cell>
        </row>
        <row r="120">
          <cell r="A120">
            <v>108</v>
          </cell>
        </row>
        <row r="121">
          <cell r="A121">
            <v>109</v>
          </cell>
        </row>
        <row r="122">
          <cell r="A122">
            <v>110</v>
          </cell>
        </row>
        <row r="123">
          <cell r="A123">
            <v>111</v>
          </cell>
        </row>
        <row r="124">
          <cell r="A124">
            <v>112</v>
          </cell>
        </row>
        <row r="125">
          <cell r="A125">
            <v>113</v>
          </cell>
        </row>
        <row r="126">
          <cell r="A126">
            <v>114</v>
          </cell>
        </row>
        <row r="127">
          <cell r="A127">
            <v>115</v>
          </cell>
        </row>
        <row r="128">
          <cell r="A128">
            <v>116</v>
          </cell>
        </row>
        <row r="129">
          <cell r="A129">
            <v>117</v>
          </cell>
        </row>
        <row r="130">
          <cell r="A130">
            <v>118</v>
          </cell>
        </row>
        <row r="131">
          <cell r="A131">
            <v>119</v>
          </cell>
        </row>
        <row r="132">
          <cell r="A132">
            <v>120</v>
          </cell>
        </row>
        <row r="133">
          <cell r="A133">
            <v>121</v>
          </cell>
        </row>
        <row r="134">
          <cell r="A134">
            <v>122</v>
          </cell>
        </row>
        <row r="135">
          <cell r="A135">
            <v>123</v>
          </cell>
        </row>
        <row r="136">
          <cell r="A136">
            <v>124</v>
          </cell>
        </row>
        <row r="137">
          <cell r="A137">
            <v>125</v>
          </cell>
        </row>
        <row r="138">
          <cell r="A138">
            <v>126</v>
          </cell>
        </row>
        <row r="139">
          <cell r="A139">
            <v>127</v>
          </cell>
        </row>
        <row r="140">
          <cell r="A140">
            <v>128</v>
          </cell>
        </row>
        <row r="141">
          <cell r="A141">
            <v>129</v>
          </cell>
        </row>
        <row r="142">
          <cell r="A142">
            <v>130</v>
          </cell>
        </row>
        <row r="143">
          <cell r="A143">
            <v>131</v>
          </cell>
        </row>
        <row r="144">
          <cell r="A144">
            <v>132</v>
          </cell>
        </row>
        <row r="145">
          <cell r="A145">
            <v>133</v>
          </cell>
        </row>
        <row r="146">
          <cell r="A146">
            <v>134</v>
          </cell>
        </row>
        <row r="147">
          <cell r="A147">
            <v>135</v>
          </cell>
        </row>
        <row r="148">
          <cell r="A148">
            <v>136</v>
          </cell>
        </row>
        <row r="149">
          <cell r="A149">
            <v>137</v>
          </cell>
        </row>
        <row r="150">
          <cell r="A150">
            <v>138</v>
          </cell>
        </row>
        <row r="151">
          <cell r="A151">
            <v>139</v>
          </cell>
        </row>
        <row r="152">
          <cell r="A152">
            <v>140</v>
          </cell>
        </row>
        <row r="153">
          <cell r="A153">
            <v>141</v>
          </cell>
        </row>
        <row r="154">
          <cell r="A154">
            <v>142</v>
          </cell>
        </row>
        <row r="155">
          <cell r="A155">
            <v>143</v>
          </cell>
        </row>
        <row r="156">
          <cell r="A156">
            <v>144</v>
          </cell>
        </row>
        <row r="157">
          <cell r="A157">
            <v>145</v>
          </cell>
        </row>
        <row r="158">
          <cell r="A158">
            <v>146</v>
          </cell>
        </row>
        <row r="159">
          <cell r="A159">
            <v>147</v>
          </cell>
        </row>
        <row r="160">
          <cell r="A160">
            <v>148</v>
          </cell>
        </row>
        <row r="161">
          <cell r="A161">
            <v>149</v>
          </cell>
        </row>
        <row r="162">
          <cell r="A162">
            <v>150</v>
          </cell>
        </row>
        <row r="163">
          <cell r="A163">
            <v>151</v>
          </cell>
        </row>
        <row r="164">
          <cell r="A164">
            <v>152</v>
          </cell>
        </row>
        <row r="165">
          <cell r="A165">
            <v>153</v>
          </cell>
        </row>
        <row r="166">
          <cell r="A166">
            <v>154</v>
          </cell>
        </row>
        <row r="167">
          <cell r="A167">
            <v>155</v>
          </cell>
        </row>
        <row r="168">
          <cell r="A168">
            <v>156</v>
          </cell>
        </row>
        <row r="169">
          <cell r="A169">
            <v>157</v>
          </cell>
        </row>
        <row r="170">
          <cell r="A170">
            <v>158</v>
          </cell>
        </row>
        <row r="171">
          <cell r="A171">
            <v>159</v>
          </cell>
        </row>
        <row r="172">
          <cell r="A172">
            <v>160</v>
          </cell>
        </row>
        <row r="173">
          <cell r="A173">
            <v>161</v>
          </cell>
        </row>
        <row r="174">
          <cell r="A174">
            <v>162</v>
          </cell>
        </row>
        <row r="175">
          <cell r="A175">
            <v>163</v>
          </cell>
        </row>
        <row r="176">
          <cell r="A176">
            <v>164</v>
          </cell>
        </row>
        <row r="177">
          <cell r="A177">
            <v>165</v>
          </cell>
        </row>
        <row r="178">
          <cell r="A178">
            <v>166</v>
          </cell>
        </row>
        <row r="179">
          <cell r="A179">
            <v>167</v>
          </cell>
        </row>
        <row r="180">
          <cell r="A180">
            <v>168</v>
          </cell>
        </row>
        <row r="181">
          <cell r="A181">
            <v>169</v>
          </cell>
        </row>
        <row r="182">
          <cell r="A182">
            <v>170</v>
          </cell>
        </row>
        <row r="183">
          <cell r="A183">
            <v>171</v>
          </cell>
        </row>
        <row r="184">
          <cell r="A184">
            <v>172</v>
          </cell>
        </row>
        <row r="185">
          <cell r="A185">
            <v>173</v>
          </cell>
        </row>
        <row r="186">
          <cell r="A186">
            <v>174</v>
          </cell>
        </row>
        <row r="187">
          <cell r="A187">
            <v>175</v>
          </cell>
        </row>
        <row r="188">
          <cell r="A188">
            <v>176</v>
          </cell>
        </row>
        <row r="189">
          <cell r="A189">
            <v>177</v>
          </cell>
        </row>
        <row r="190">
          <cell r="A190">
            <v>178</v>
          </cell>
        </row>
        <row r="191">
          <cell r="A191">
            <v>179</v>
          </cell>
        </row>
        <row r="192">
          <cell r="A192">
            <v>180</v>
          </cell>
        </row>
        <row r="193">
          <cell r="A193">
            <v>181</v>
          </cell>
        </row>
        <row r="194">
          <cell r="A194">
            <v>182</v>
          </cell>
        </row>
        <row r="195">
          <cell r="A195">
            <v>183</v>
          </cell>
        </row>
        <row r="196">
          <cell r="A196">
            <v>184</v>
          </cell>
        </row>
        <row r="197">
          <cell r="A197">
            <v>185</v>
          </cell>
        </row>
        <row r="198">
          <cell r="A198">
            <v>186</v>
          </cell>
        </row>
        <row r="199">
          <cell r="A199">
            <v>187</v>
          </cell>
        </row>
        <row r="200">
          <cell r="A200">
            <v>188</v>
          </cell>
        </row>
        <row r="201">
          <cell r="A201">
            <v>189</v>
          </cell>
        </row>
        <row r="202">
          <cell r="A202">
            <v>190</v>
          </cell>
        </row>
        <row r="203">
          <cell r="A203">
            <v>191</v>
          </cell>
        </row>
        <row r="204">
          <cell r="A204">
            <v>192</v>
          </cell>
        </row>
        <row r="205">
          <cell r="A205">
            <v>193</v>
          </cell>
        </row>
        <row r="206">
          <cell r="A206">
            <v>194</v>
          </cell>
        </row>
        <row r="207">
          <cell r="A207">
            <v>195</v>
          </cell>
        </row>
        <row r="208">
          <cell r="A208">
            <v>196</v>
          </cell>
        </row>
        <row r="209">
          <cell r="A209">
            <v>197</v>
          </cell>
        </row>
        <row r="210">
          <cell r="A210">
            <v>198</v>
          </cell>
        </row>
        <row r="211">
          <cell r="A211">
            <v>199</v>
          </cell>
        </row>
        <row r="212">
          <cell r="A212">
            <v>200</v>
          </cell>
        </row>
        <row r="213">
          <cell r="A213">
            <v>201</v>
          </cell>
        </row>
        <row r="214">
          <cell r="A214">
            <v>202</v>
          </cell>
        </row>
        <row r="215">
          <cell r="A215">
            <v>203</v>
          </cell>
        </row>
        <row r="216">
          <cell r="A216">
            <v>204</v>
          </cell>
        </row>
        <row r="217">
          <cell r="A217">
            <v>205</v>
          </cell>
        </row>
        <row r="218">
          <cell r="A218">
            <v>206</v>
          </cell>
        </row>
        <row r="219">
          <cell r="A219">
            <v>207</v>
          </cell>
        </row>
        <row r="220">
          <cell r="A220">
            <v>208</v>
          </cell>
        </row>
        <row r="221">
          <cell r="A221">
            <v>209</v>
          </cell>
        </row>
        <row r="222">
          <cell r="A222">
            <v>210</v>
          </cell>
        </row>
        <row r="223">
          <cell r="A223">
            <v>211</v>
          </cell>
        </row>
        <row r="224">
          <cell r="A224">
            <v>212</v>
          </cell>
        </row>
        <row r="225">
          <cell r="A225">
            <v>213</v>
          </cell>
        </row>
        <row r="226">
          <cell r="A226">
            <v>214</v>
          </cell>
        </row>
        <row r="227">
          <cell r="A227">
            <v>215</v>
          </cell>
        </row>
        <row r="228">
          <cell r="A228">
            <v>216</v>
          </cell>
        </row>
        <row r="229">
          <cell r="A229">
            <v>217</v>
          </cell>
        </row>
        <row r="230">
          <cell r="A230">
            <v>218</v>
          </cell>
        </row>
        <row r="231">
          <cell r="A231">
            <v>219</v>
          </cell>
        </row>
        <row r="232">
          <cell r="A232">
            <v>220</v>
          </cell>
        </row>
        <row r="233">
          <cell r="A233">
            <v>221</v>
          </cell>
        </row>
        <row r="234">
          <cell r="A234">
            <v>222</v>
          </cell>
        </row>
        <row r="235">
          <cell r="A235">
            <v>223</v>
          </cell>
        </row>
        <row r="236">
          <cell r="A236">
            <v>224</v>
          </cell>
        </row>
        <row r="237">
          <cell r="A237">
            <v>225</v>
          </cell>
        </row>
        <row r="238">
          <cell r="A238">
            <v>226</v>
          </cell>
        </row>
        <row r="239">
          <cell r="A239">
            <v>227</v>
          </cell>
        </row>
        <row r="240">
          <cell r="A240">
            <v>228</v>
          </cell>
        </row>
        <row r="241">
          <cell r="A241">
            <v>229</v>
          </cell>
        </row>
        <row r="242">
          <cell r="A242">
            <v>230</v>
          </cell>
        </row>
        <row r="243">
          <cell r="A243">
            <v>231</v>
          </cell>
        </row>
        <row r="244">
          <cell r="A244">
            <v>232</v>
          </cell>
        </row>
        <row r="245">
          <cell r="A245">
            <v>233</v>
          </cell>
        </row>
        <row r="246">
          <cell r="A246">
            <v>234</v>
          </cell>
        </row>
        <row r="247">
          <cell r="A247">
            <v>235</v>
          </cell>
        </row>
        <row r="248">
          <cell r="A248">
            <v>236</v>
          </cell>
        </row>
        <row r="249">
          <cell r="A249">
            <v>237</v>
          </cell>
        </row>
        <row r="250">
          <cell r="A250">
            <v>238</v>
          </cell>
        </row>
        <row r="251">
          <cell r="A251">
            <v>239</v>
          </cell>
        </row>
        <row r="253">
          <cell r="A253" t="str">
            <v>Всего по фонтанным</v>
          </cell>
        </row>
        <row r="254">
          <cell r="A254" t="str">
            <v>Всего по ЭЦН</v>
          </cell>
        </row>
        <row r="255">
          <cell r="A255" t="str">
            <v>Всего по ШГН</v>
          </cell>
        </row>
        <row r="256">
          <cell r="A256" t="str">
            <v>Всего по ЭДН</v>
          </cell>
        </row>
        <row r="259">
          <cell r="A259" t="str">
            <v>Всего по 1 бригаде</v>
          </cell>
        </row>
        <row r="260">
          <cell r="A260" t="str">
            <v>Всего по 2 бригаде</v>
          </cell>
        </row>
        <row r="261">
          <cell r="A261" t="str">
            <v>Всего по 3 бригаде</v>
          </cell>
        </row>
        <row r="264">
          <cell r="A264" t="str">
            <v>Всего по ДНС-1</v>
          </cell>
        </row>
        <row r="265">
          <cell r="A265" t="str">
            <v>Всего по ДНС-9</v>
          </cell>
        </row>
        <row r="266">
          <cell r="A266" t="str">
            <v>Всего по ДНС-10</v>
          </cell>
        </row>
        <row r="267">
          <cell r="A267" t="str">
            <v>Всего по ДНС-12</v>
          </cell>
        </row>
        <row r="268">
          <cell r="A268" t="str">
            <v>Всего по ДНС-4</v>
          </cell>
        </row>
        <row r="271">
          <cell r="A271" t="str">
            <v>Всего по ЮК-1</v>
          </cell>
        </row>
        <row r="272">
          <cell r="A272" t="str">
            <v>Всего по ЮК-2-9</v>
          </cell>
        </row>
        <row r="273">
          <cell r="A273" t="str">
            <v>Всего по ЮК-10</v>
          </cell>
        </row>
        <row r="274">
          <cell r="A274" t="str">
            <v>Всего по ЮК-10-11</v>
          </cell>
        </row>
        <row r="290">
          <cell r="A290" t="str">
            <v xml:space="preserve">    Мастер бр. ДНГ №</v>
          </cell>
        </row>
        <row r="292">
          <cell r="A292" t="str">
            <v xml:space="preserve">    Мастер бр. ДНГ №</v>
          </cell>
        </row>
        <row r="294">
          <cell r="A294" t="str">
            <v xml:space="preserve">    Мастер бр. ДНГ №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-изм"/>
      <sheetName val="Бр.реж."/>
      <sheetName val="доб"/>
      <sheetName val="изм.по бриг."/>
      <sheetName val="изм"/>
      <sheetName val="Расчет-01-02"/>
      <sheetName val="Лист1"/>
    </sheetNames>
    <sheetDataSet>
      <sheetData sheetId="0" refreshError="1">
        <row r="6">
          <cell r="N6" t="str">
            <v>Изменение</v>
          </cell>
        </row>
        <row r="7">
          <cell r="N7" t="str">
            <v>т/с</v>
          </cell>
          <cell r="T7" t="str">
            <v>Примечание (шифр)</v>
          </cell>
        </row>
        <row r="9">
          <cell r="N9">
            <v>0.60000000000000009</v>
          </cell>
          <cell r="T9" t="str">
            <v>по</v>
          </cell>
        </row>
        <row r="10">
          <cell r="N10">
            <v>0</v>
          </cell>
          <cell r="T10">
            <v>0</v>
          </cell>
        </row>
        <row r="11">
          <cell r="N11">
            <v>-1.7999999999999998</v>
          </cell>
          <cell r="T11" t="str">
            <v>вода</v>
          </cell>
        </row>
        <row r="12">
          <cell r="N12">
            <v>0</v>
          </cell>
          <cell r="T12">
            <v>0</v>
          </cell>
        </row>
        <row r="13">
          <cell r="N13">
            <v>0</v>
          </cell>
          <cell r="T13">
            <v>0</v>
          </cell>
        </row>
        <row r="14">
          <cell r="N14">
            <v>2.7</v>
          </cell>
          <cell r="T14" t="str">
            <v>ут.реж.</v>
          </cell>
        </row>
        <row r="15">
          <cell r="N15">
            <v>0.60000000000000009</v>
          </cell>
          <cell r="T15" t="str">
            <v>по</v>
          </cell>
        </row>
        <row r="16">
          <cell r="N16">
            <v>-1.8000000000000007</v>
          </cell>
          <cell r="T16" t="str">
            <v>ут.реж.</v>
          </cell>
        </row>
        <row r="17">
          <cell r="N17">
            <v>0</v>
          </cell>
          <cell r="T17">
            <v>0</v>
          </cell>
        </row>
        <row r="18">
          <cell r="N18">
            <v>-2.1999999999999993</v>
          </cell>
          <cell r="T18" t="str">
            <v>см</v>
          </cell>
        </row>
        <row r="19">
          <cell r="N19">
            <v>-0.20000000000000018</v>
          </cell>
          <cell r="T19">
            <v>0</v>
          </cell>
        </row>
        <row r="20">
          <cell r="N20">
            <v>-1.4000000000000004</v>
          </cell>
          <cell r="T20" t="str">
            <v>ипп</v>
          </cell>
        </row>
        <row r="21">
          <cell r="N21">
            <v>-0.5</v>
          </cell>
          <cell r="T21" t="str">
            <v>ут.реж.</v>
          </cell>
        </row>
        <row r="22">
          <cell r="N22">
            <v>-0.5</v>
          </cell>
          <cell r="T22" t="str">
            <v>ут.реж.</v>
          </cell>
        </row>
        <row r="23">
          <cell r="N23">
            <v>0</v>
          </cell>
          <cell r="T23">
            <v>0</v>
          </cell>
        </row>
        <row r="24">
          <cell r="N24">
            <v>-0.5</v>
          </cell>
          <cell r="T24" t="str">
            <v>по</v>
          </cell>
        </row>
        <row r="25">
          <cell r="N25">
            <v>-1.6999999999999993</v>
          </cell>
          <cell r="T25" t="str">
            <v>вода</v>
          </cell>
        </row>
        <row r="26">
          <cell r="N26">
            <v>-0.30000000000000071</v>
          </cell>
          <cell r="T26">
            <v>0</v>
          </cell>
        </row>
        <row r="27">
          <cell r="N27">
            <v>0.10000000000000053</v>
          </cell>
          <cell r="T27">
            <v>0</v>
          </cell>
        </row>
        <row r="28">
          <cell r="N28">
            <v>3.5000000000000009</v>
          </cell>
          <cell r="T28" t="str">
            <v>прс</v>
          </cell>
        </row>
        <row r="29">
          <cell r="N29">
            <v>-9.9999999999999645E-2</v>
          </cell>
          <cell r="T29">
            <v>0</v>
          </cell>
        </row>
        <row r="30">
          <cell r="N30">
            <v>0</v>
          </cell>
          <cell r="T30">
            <v>0</v>
          </cell>
        </row>
        <row r="31">
          <cell r="N31">
            <v>0</v>
          </cell>
          <cell r="T31">
            <v>0</v>
          </cell>
        </row>
        <row r="32">
          <cell r="N32">
            <v>-0.70000000000000107</v>
          </cell>
          <cell r="T32" t="str">
            <v>ут.реж.</v>
          </cell>
        </row>
        <row r="33">
          <cell r="N33">
            <v>-3.8999999999999995</v>
          </cell>
          <cell r="T33" t="str">
            <v>ипп</v>
          </cell>
        </row>
        <row r="34">
          <cell r="N34">
            <v>-0.69999999999999929</v>
          </cell>
          <cell r="T34" t="str">
            <v>прс</v>
          </cell>
        </row>
        <row r="35">
          <cell r="N35">
            <v>0.30000000000000071</v>
          </cell>
          <cell r="T35">
            <v>0</v>
          </cell>
        </row>
        <row r="36">
          <cell r="N36">
            <v>4</v>
          </cell>
          <cell r="T36" t="str">
            <v>прс</v>
          </cell>
        </row>
        <row r="37">
          <cell r="N37">
            <v>-9.9999999999999645E-2</v>
          </cell>
          <cell r="T37">
            <v>0</v>
          </cell>
        </row>
        <row r="38">
          <cell r="N38">
            <v>0</v>
          </cell>
          <cell r="T38">
            <v>0</v>
          </cell>
        </row>
        <row r="39">
          <cell r="N39">
            <v>-0.70000000000000018</v>
          </cell>
          <cell r="T39" t="str">
            <v>по</v>
          </cell>
        </row>
        <row r="40">
          <cell r="N40">
            <v>-5.4</v>
          </cell>
          <cell r="T40" t="str">
            <v>по</v>
          </cell>
        </row>
        <row r="41">
          <cell r="N41">
            <v>-0.70000000000000018</v>
          </cell>
          <cell r="T41" t="str">
            <v>ут.реж.</v>
          </cell>
        </row>
        <row r="42">
          <cell r="N42">
            <v>0</v>
          </cell>
          <cell r="T42" t="str">
            <v>уход в б/д</v>
          </cell>
        </row>
        <row r="43">
          <cell r="N43">
            <v>-2.5999999999999996</v>
          </cell>
          <cell r="T43" t="str">
            <v>ипп</v>
          </cell>
        </row>
        <row r="44">
          <cell r="N44">
            <v>0.59999999999999964</v>
          </cell>
          <cell r="T44" t="str">
            <v>по</v>
          </cell>
        </row>
        <row r="45">
          <cell r="N45">
            <v>-3.4000000000000004</v>
          </cell>
          <cell r="T45" t="str">
            <v>ипп</v>
          </cell>
        </row>
        <row r="46">
          <cell r="N46">
            <v>2.0999999999999996</v>
          </cell>
          <cell r="T46" t="str">
            <v>по</v>
          </cell>
        </row>
        <row r="47">
          <cell r="N47">
            <v>4.5</v>
          </cell>
          <cell r="T47" t="str">
            <v>по</v>
          </cell>
        </row>
        <row r="48">
          <cell r="N48">
            <v>-1.1999999999999993</v>
          </cell>
          <cell r="T48" t="str">
            <v>вода</v>
          </cell>
        </row>
        <row r="49">
          <cell r="N49">
            <v>4.5</v>
          </cell>
          <cell r="T49" t="str">
            <v>по</v>
          </cell>
        </row>
        <row r="50">
          <cell r="N50">
            <v>-9.9999999999999645E-2</v>
          </cell>
          <cell r="T50">
            <v>0</v>
          </cell>
        </row>
        <row r="51">
          <cell r="N51">
            <v>-3.3999999999999986</v>
          </cell>
          <cell r="T51" t="str">
            <v>ут.реж.</v>
          </cell>
        </row>
        <row r="52">
          <cell r="N52">
            <v>-0.5</v>
          </cell>
          <cell r="T52" t="str">
            <v>вода</v>
          </cell>
        </row>
        <row r="53">
          <cell r="N53">
            <v>0.59999999999999964</v>
          </cell>
          <cell r="T53" t="str">
            <v>вода</v>
          </cell>
        </row>
        <row r="54">
          <cell r="N54">
            <v>-1.1000000000000014</v>
          </cell>
          <cell r="T54" t="str">
            <v>ипп</v>
          </cell>
        </row>
        <row r="55">
          <cell r="N55">
            <v>0</v>
          </cell>
          <cell r="T55">
            <v>0</v>
          </cell>
        </row>
        <row r="56">
          <cell r="N56">
            <v>-0.69999999999999929</v>
          </cell>
          <cell r="T56" t="str">
            <v>вода</v>
          </cell>
        </row>
        <row r="57">
          <cell r="N57">
            <v>-0.10000000000000009</v>
          </cell>
          <cell r="T57" t="str">
            <v>ут.реж.</v>
          </cell>
        </row>
        <row r="58">
          <cell r="N58">
            <v>-0.39999999999999947</v>
          </cell>
          <cell r="T58" t="str">
            <v>вода</v>
          </cell>
        </row>
        <row r="59">
          <cell r="N59">
            <v>0</v>
          </cell>
          <cell r="T59">
            <v>0</v>
          </cell>
        </row>
        <row r="60">
          <cell r="N60">
            <v>-3.1999999999999993</v>
          </cell>
          <cell r="T60" t="str">
            <v>ипп</v>
          </cell>
        </row>
        <row r="61">
          <cell r="N61">
            <v>0</v>
          </cell>
          <cell r="T61">
            <v>0</v>
          </cell>
        </row>
        <row r="62">
          <cell r="N62">
            <v>9.9999999999999645E-2</v>
          </cell>
          <cell r="T62">
            <v>0</v>
          </cell>
        </row>
        <row r="63">
          <cell r="N63">
            <v>-4.1999999999999993</v>
          </cell>
          <cell r="T63" t="str">
            <v>ут.реж.</v>
          </cell>
        </row>
        <row r="64">
          <cell r="N64">
            <v>-0.60000000000000053</v>
          </cell>
          <cell r="T64" t="str">
            <v>ипп</v>
          </cell>
        </row>
        <row r="65">
          <cell r="N65">
            <v>-0.40000000000000036</v>
          </cell>
          <cell r="T65" t="str">
            <v>ут.реж.</v>
          </cell>
        </row>
        <row r="66">
          <cell r="N66">
            <v>-1.8999999999999986</v>
          </cell>
          <cell r="T66" t="str">
            <v>вода</v>
          </cell>
        </row>
        <row r="67">
          <cell r="N67">
            <v>1</v>
          </cell>
          <cell r="T67" t="str">
            <v>по</v>
          </cell>
        </row>
        <row r="68">
          <cell r="N68">
            <v>2.1000000000000014</v>
          </cell>
          <cell r="T68" t="str">
            <v>по</v>
          </cell>
        </row>
        <row r="69">
          <cell r="N69">
            <v>-0.40000000000000036</v>
          </cell>
          <cell r="T69" t="str">
            <v>см</v>
          </cell>
        </row>
        <row r="70">
          <cell r="N70">
            <v>0</v>
          </cell>
          <cell r="T70">
            <v>0</v>
          </cell>
        </row>
        <row r="71">
          <cell r="N71">
            <v>0.19999999999999929</v>
          </cell>
          <cell r="T71">
            <v>0</v>
          </cell>
        </row>
        <row r="72">
          <cell r="N72">
            <v>1.5</v>
          </cell>
          <cell r="T72" t="str">
            <v>по</v>
          </cell>
        </row>
        <row r="73">
          <cell r="N73">
            <v>0</v>
          </cell>
          <cell r="T73" t="str">
            <v>уход в б/д</v>
          </cell>
        </row>
        <row r="74">
          <cell r="N74">
            <v>-5.5</v>
          </cell>
          <cell r="T74" t="str">
            <v>см</v>
          </cell>
        </row>
        <row r="75">
          <cell r="N75">
            <v>-2.8</v>
          </cell>
          <cell r="T75" t="str">
            <v>по</v>
          </cell>
        </row>
        <row r="76">
          <cell r="N76">
            <v>-1.5</v>
          </cell>
          <cell r="T76" t="str">
            <v>ипп</v>
          </cell>
        </row>
        <row r="77">
          <cell r="N77">
            <v>0</v>
          </cell>
          <cell r="T77">
            <v>0</v>
          </cell>
        </row>
        <row r="78">
          <cell r="N78">
            <v>-4.7000000000000011</v>
          </cell>
          <cell r="T78" t="str">
            <v>см</v>
          </cell>
        </row>
        <row r="79">
          <cell r="N79">
            <v>4.1000000000000014</v>
          </cell>
          <cell r="T79" t="str">
            <v>прс</v>
          </cell>
        </row>
        <row r="80">
          <cell r="N80">
            <v>3.8999999999999986</v>
          </cell>
          <cell r="T80" t="str">
            <v>ипп</v>
          </cell>
        </row>
        <row r="81">
          <cell r="N81">
            <v>-5</v>
          </cell>
          <cell r="T81" t="str">
            <v>ипп</v>
          </cell>
        </row>
        <row r="82">
          <cell r="N82">
            <v>-0.80000000000000071</v>
          </cell>
          <cell r="T82" t="str">
            <v>по</v>
          </cell>
        </row>
        <row r="83">
          <cell r="N83">
            <v>6.4</v>
          </cell>
          <cell r="T83" t="str">
            <v>прс</v>
          </cell>
        </row>
        <row r="84">
          <cell r="N84">
            <v>-9.9999999999999978E-2</v>
          </cell>
          <cell r="T84">
            <v>0</v>
          </cell>
        </row>
        <row r="85">
          <cell r="N85">
            <v>0.30000000000000004</v>
          </cell>
          <cell r="T85">
            <v>0</v>
          </cell>
        </row>
        <row r="86">
          <cell r="N86">
            <v>0</v>
          </cell>
          <cell r="T86">
            <v>0</v>
          </cell>
        </row>
        <row r="87">
          <cell r="N87">
            <v>-0.5</v>
          </cell>
          <cell r="T87" t="str">
            <v>ипп</v>
          </cell>
        </row>
        <row r="88">
          <cell r="N88">
            <v>-2.9000000000000004</v>
          </cell>
          <cell r="T88" t="str">
            <v>вода</v>
          </cell>
        </row>
        <row r="89">
          <cell r="N89">
            <v>0</v>
          </cell>
          <cell r="T89">
            <v>0</v>
          </cell>
        </row>
        <row r="90">
          <cell r="N90">
            <v>0.80000000000000027</v>
          </cell>
          <cell r="T90" t="str">
            <v>ут.реж.</v>
          </cell>
        </row>
        <row r="91">
          <cell r="N91">
            <v>-1.5000000000000018</v>
          </cell>
          <cell r="T91" t="str">
            <v>ут.реж.</v>
          </cell>
        </row>
        <row r="92">
          <cell r="N92">
            <v>-2.5999999999999979</v>
          </cell>
          <cell r="T92" t="str">
            <v>вода</v>
          </cell>
        </row>
        <row r="93">
          <cell r="N93">
            <v>0</v>
          </cell>
          <cell r="T93">
            <v>0</v>
          </cell>
        </row>
        <row r="94">
          <cell r="N94">
            <v>0</v>
          </cell>
          <cell r="T94">
            <v>0</v>
          </cell>
        </row>
        <row r="95">
          <cell r="N95">
            <v>0</v>
          </cell>
          <cell r="T95">
            <v>0</v>
          </cell>
        </row>
        <row r="96">
          <cell r="N96">
            <v>-3.1000000000000005</v>
          </cell>
          <cell r="T96" t="str">
            <v>см</v>
          </cell>
        </row>
        <row r="97">
          <cell r="N97">
            <v>0.5</v>
          </cell>
          <cell r="T97" t="str">
            <v>вода</v>
          </cell>
        </row>
        <row r="98">
          <cell r="N98">
            <v>-0.30000000000000071</v>
          </cell>
          <cell r="T98">
            <v>0</v>
          </cell>
        </row>
        <row r="99">
          <cell r="N99">
            <v>0.30000000000000071</v>
          </cell>
          <cell r="T99">
            <v>0</v>
          </cell>
        </row>
        <row r="100">
          <cell r="N100">
            <v>0</v>
          </cell>
          <cell r="T100">
            <v>0</v>
          </cell>
        </row>
        <row r="101">
          <cell r="N101">
            <v>0</v>
          </cell>
          <cell r="T101">
            <v>0</v>
          </cell>
        </row>
        <row r="102">
          <cell r="N102">
            <v>-6.6</v>
          </cell>
          <cell r="T102" t="str">
            <v>ипп</v>
          </cell>
        </row>
        <row r="103">
          <cell r="N103">
            <v>1.3999999999999995</v>
          </cell>
          <cell r="T103" t="str">
            <v>ут.реж.</v>
          </cell>
        </row>
        <row r="104">
          <cell r="N104">
            <v>-0.4</v>
          </cell>
          <cell r="T104" t="str">
            <v>уход в б/д</v>
          </cell>
        </row>
        <row r="105">
          <cell r="N105">
            <v>0</v>
          </cell>
          <cell r="T105" t="str">
            <v>уход в б/д</v>
          </cell>
        </row>
        <row r="106">
          <cell r="N106">
            <v>-1.2999999999999989</v>
          </cell>
          <cell r="T106" t="str">
            <v>ипп</v>
          </cell>
        </row>
        <row r="107">
          <cell r="N107">
            <v>-0.29999999999999982</v>
          </cell>
          <cell r="T107">
            <v>0</v>
          </cell>
        </row>
        <row r="108">
          <cell r="N108">
            <v>-0.10000000000000009</v>
          </cell>
          <cell r="T108">
            <v>0</v>
          </cell>
        </row>
        <row r="109">
          <cell r="N109">
            <v>0.29999999999999893</v>
          </cell>
          <cell r="T109">
            <v>0</v>
          </cell>
        </row>
        <row r="110">
          <cell r="N110">
            <v>-0.40000000000000036</v>
          </cell>
          <cell r="T110" t="str">
            <v>вода</v>
          </cell>
        </row>
        <row r="111">
          <cell r="N111">
            <v>0</v>
          </cell>
          <cell r="T111">
            <v>0</v>
          </cell>
        </row>
        <row r="112">
          <cell r="N112">
            <v>0</v>
          </cell>
          <cell r="T112">
            <v>0</v>
          </cell>
        </row>
        <row r="113">
          <cell r="N113">
            <v>-3.3000000000000007</v>
          </cell>
          <cell r="T113" t="str">
            <v>не уч.</v>
          </cell>
        </row>
        <row r="114">
          <cell r="N114">
            <v>0.69999999999999973</v>
          </cell>
          <cell r="T114" t="str">
            <v>ут.реж.</v>
          </cell>
        </row>
        <row r="115">
          <cell r="N115">
            <v>0</v>
          </cell>
          <cell r="T115" t="str">
            <v>уход в б/д</v>
          </cell>
        </row>
        <row r="116">
          <cell r="N116">
            <v>2.5</v>
          </cell>
          <cell r="T116" t="str">
            <v>ут.реж.</v>
          </cell>
        </row>
        <row r="117">
          <cell r="N117">
            <v>4.4000000000000004</v>
          </cell>
          <cell r="T117" t="str">
            <v>прс</v>
          </cell>
        </row>
        <row r="118">
          <cell r="N118">
            <v>2.4000000000000004</v>
          </cell>
          <cell r="T118" t="str">
            <v>по</v>
          </cell>
        </row>
        <row r="119">
          <cell r="N119">
            <v>-2.8000000000000007</v>
          </cell>
          <cell r="T119" t="str">
            <v>ипп</v>
          </cell>
        </row>
        <row r="120">
          <cell r="N120">
            <v>0</v>
          </cell>
          <cell r="T120">
            <v>0</v>
          </cell>
        </row>
        <row r="121">
          <cell r="N121">
            <v>4.4000000000000021</v>
          </cell>
          <cell r="T121" t="str">
            <v>ут.реж.</v>
          </cell>
        </row>
        <row r="122">
          <cell r="N122">
            <v>9.9999999999999645E-2</v>
          </cell>
          <cell r="T122">
            <v>0</v>
          </cell>
        </row>
        <row r="123">
          <cell r="N123">
            <v>-0.29999999999999982</v>
          </cell>
          <cell r="T123">
            <v>0</v>
          </cell>
        </row>
        <row r="124">
          <cell r="N124">
            <v>-0.20000000000000018</v>
          </cell>
          <cell r="T124" t="str">
            <v>по</v>
          </cell>
        </row>
        <row r="125">
          <cell r="N125">
            <v>-2.7000000000000011</v>
          </cell>
          <cell r="T125" t="str">
            <v>ипп</v>
          </cell>
        </row>
        <row r="126">
          <cell r="N126">
            <v>0</v>
          </cell>
          <cell r="T126">
            <v>0</v>
          </cell>
        </row>
        <row r="127">
          <cell r="N127">
            <v>-0.30000000000000071</v>
          </cell>
          <cell r="T127">
            <v>0</v>
          </cell>
        </row>
        <row r="128">
          <cell r="N128">
            <v>-1.5000000000000004</v>
          </cell>
          <cell r="T128" t="str">
            <v>см</v>
          </cell>
        </row>
        <row r="129">
          <cell r="N129">
            <v>-0.19999999999999973</v>
          </cell>
          <cell r="T129">
            <v>0</v>
          </cell>
        </row>
        <row r="130">
          <cell r="N130">
            <v>1.3000000000000007</v>
          </cell>
          <cell r="T130" t="str">
            <v>ут.реж.</v>
          </cell>
        </row>
        <row r="131">
          <cell r="N131">
            <v>1.3999999999999986</v>
          </cell>
          <cell r="T131" t="str">
            <v>ут.реж.</v>
          </cell>
        </row>
        <row r="132">
          <cell r="N132">
            <v>0.90000000000000036</v>
          </cell>
          <cell r="T132" t="str">
            <v>ут.реж.</v>
          </cell>
        </row>
        <row r="133">
          <cell r="N133">
            <v>1.1000000000000005</v>
          </cell>
          <cell r="T133">
            <v>0</v>
          </cell>
        </row>
        <row r="134">
          <cell r="N134">
            <v>-1.5000000000000018</v>
          </cell>
          <cell r="T134" t="str">
            <v>ипп</v>
          </cell>
        </row>
        <row r="135">
          <cell r="N135">
            <v>-1.4000000000000004</v>
          </cell>
          <cell r="T135" t="str">
            <v>ипп</v>
          </cell>
        </row>
        <row r="136">
          <cell r="N136">
            <v>-1.6999999999999993</v>
          </cell>
          <cell r="T136" t="str">
            <v>вода</v>
          </cell>
        </row>
        <row r="137">
          <cell r="N137">
            <v>4.8000000000000007</v>
          </cell>
          <cell r="T137" t="str">
            <v>прс</v>
          </cell>
        </row>
        <row r="138">
          <cell r="N138">
            <v>0</v>
          </cell>
          <cell r="T138">
            <v>0</v>
          </cell>
        </row>
        <row r="139">
          <cell r="N139">
            <v>0</v>
          </cell>
          <cell r="T139">
            <v>0</v>
          </cell>
        </row>
        <row r="140">
          <cell r="N140">
            <v>1.3000000000000003</v>
          </cell>
          <cell r="T140" t="str">
            <v>прс</v>
          </cell>
        </row>
        <row r="141">
          <cell r="N141">
            <v>0.69999999999999929</v>
          </cell>
          <cell r="T141" t="str">
            <v>ут.реж.</v>
          </cell>
        </row>
        <row r="142">
          <cell r="N142">
            <v>0.69999999999999929</v>
          </cell>
          <cell r="T142" t="str">
            <v>ут.реж.</v>
          </cell>
        </row>
        <row r="143">
          <cell r="N143">
            <v>-0.19999999999999929</v>
          </cell>
          <cell r="T143">
            <v>0</v>
          </cell>
        </row>
        <row r="144">
          <cell r="N144">
            <v>0</v>
          </cell>
          <cell r="T144">
            <v>0</v>
          </cell>
        </row>
        <row r="145">
          <cell r="N145">
            <v>0</v>
          </cell>
          <cell r="T145">
            <v>0</v>
          </cell>
        </row>
        <row r="146">
          <cell r="N146">
            <v>5.3000000000000007</v>
          </cell>
          <cell r="T146" t="str">
            <v>прс</v>
          </cell>
        </row>
        <row r="147">
          <cell r="N147">
            <v>0</v>
          </cell>
          <cell r="T147">
            <v>0</v>
          </cell>
        </row>
        <row r="148">
          <cell r="N148">
            <v>-3.1000000000000014</v>
          </cell>
          <cell r="T148" t="str">
            <v>вода</v>
          </cell>
        </row>
        <row r="149">
          <cell r="N149">
            <v>0</v>
          </cell>
          <cell r="T149">
            <v>0</v>
          </cell>
        </row>
        <row r="150">
          <cell r="N150">
            <v>-0.60000000000000009</v>
          </cell>
          <cell r="T150" t="str">
            <v>вода</v>
          </cell>
        </row>
        <row r="151">
          <cell r="N151">
            <v>0</v>
          </cell>
          <cell r="T151" t="str">
            <v>см</v>
          </cell>
        </row>
        <row r="152">
          <cell r="N152">
            <v>0.60000000000000142</v>
          </cell>
          <cell r="T152" t="str">
            <v>по</v>
          </cell>
        </row>
        <row r="153">
          <cell r="N153">
            <v>-0.19999999999999973</v>
          </cell>
          <cell r="T153">
            <v>0</v>
          </cell>
        </row>
        <row r="154">
          <cell r="N154">
            <v>0</v>
          </cell>
          <cell r="T154">
            <v>0</v>
          </cell>
        </row>
        <row r="155">
          <cell r="N155">
            <v>0</v>
          </cell>
          <cell r="T155">
            <v>0</v>
          </cell>
        </row>
        <row r="156">
          <cell r="N156">
            <v>0</v>
          </cell>
          <cell r="T156">
            <v>0</v>
          </cell>
        </row>
        <row r="157">
          <cell r="N157">
            <v>0</v>
          </cell>
          <cell r="T157">
            <v>0</v>
          </cell>
        </row>
        <row r="158">
          <cell r="N158">
            <v>-0.5</v>
          </cell>
          <cell r="T158" t="str">
            <v>ут.реж.</v>
          </cell>
        </row>
        <row r="159">
          <cell r="N159">
            <v>-0.79999999999999982</v>
          </cell>
          <cell r="T159" t="str">
            <v>ут.реж.</v>
          </cell>
        </row>
        <row r="160">
          <cell r="N160">
            <v>0</v>
          </cell>
          <cell r="T160">
            <v>0</v>
          </cell>
        </row>
        <row r="161">
          <cell r="N161">
            <v>0</v>
          </cell>
          <cell r="T161">
            <v>0</v>
          </cell>
        </row>
        <row r="162">
          <cell r="N162">
            <v>-1</v>
          </cell>
          <cell r="T162" t="str">
            <v>вода</v>
          </cell>
        </row>
        <row r="163">
          <cell r="N163">
            <v>0</v>
          </cell>
          <cell r="T163">
            <v>0</v>
          </cell>
        </row>
        <row r="164">
          <cell r="N164">
            <v>5.4</v>
          </cell>
          <cell r="T164" t="str">
            <v>прс</v>
          </cell>
        </row>
        <row r="165">
          <cell r="N165">
            <v>-0.40000000000000036</v>
          </cell>
          <cell r="T165" t="str">
            <v>вода</v>
          </cell>
        </row>
        <row r="166">
          <cell r="N166">
            <v>6.8000000000000007</v>
          </cell>
          <cell r="T166" t="str">
            <v>прс</v>
          </cell>
        </row>
        <row r="167">
          <cell r="N167">
            <v>0</v>
          </cell>
          <cell r="T167">
            <v>0</v>
          </cell>
        </row>
        <row r="168">
          <cell r="N168">
            <v>0</v>
          </cell>
          <cell r="T168">
            <v>0</v>
          </cell>
        </row>
        <row r="169">
          <cell r="N169">
            <v>9.9999999999999978E-2</v>
          </cell>
          <cell r="T169">
            <v>0</v>
          </cell>
        </row>
        <row r="170">
          <cell r="N170">
            <v>-1.1000000000000005</v>
          </cell>
          <cell r="T170" t="str">
            <v>вода</v>
          </cell>
        </row>
        <row r="171">
          <cell r="N171">
            <v>-1.3999999999999995</v>
          </cell>
          <cell r="T171" t="str">
            <v>вода</v>
          </cell>
        </row>
        <row r="172">
          <cell r="N172">
            <v>-1.3000000000000007</v>
          </cell>
          <cell r="T172" t="str">
            <v>ипп</v>
          </cell>
        </row>
        <row r="173">
          <cell r="N173">
            <v>-1.2000000000000002</v>
          </cell>
          <cell r="T173" t="str">
            <v>вода</v>
          </cell>
        </row>
        <row r="174">
          <cell r="N174">
            <v>0.30000000000000071</v>
          </cell>
          <cell r="T174">
            <v>0</v>
          </cell>
        </row>
        <row r="175">
          <cell r="N175">
            <v>-3.8000000000000007</v>
          </cell>
          <cell r="T175" t="str">
            <v>прс</v>
          </cell>
        </row>
        <row r="176">
          <cell r="N176">
            <v>-1.1000000000000014</v>
          </cell>
          <cell r="T176" t="str">
            <v>вода</v>
          </cell>
        </row>
        <row r="177">
          <cell r="N177">
            <v>0</v>
          </cell>
          <cell r="T177">
            <v>0</v>
          </cell>
        </row>
        <row r="178">
          <cell r="N178">
            <v>-0.19999999999999929</v>
          </cell>
          <cell r="T178">
            <v>0</v>
          </cell>
        </row>
        <row r="179">
          <cell r="N179">
            <v>1.5</v>
          </cell>
          <cell r="T179" t="str">
            <v>вода</v>
          </cell>
        </row>
        <row r="180">
          <cell r="N180">
            <v>0</v>
          </cell>
          <cell r="T180">
            <v>0</v>
          </cell>
        </row>
        <row r="181">
          <cell r="N181">
            <v>0</v>
          </cell>
          <cell r="T181">
            <v>0</v>
          </cell>
        </row>
        <row r="182">
          <cell r="N182">
            <v>-2.2000000000000011</v>
          </cell>
          <cell r="T182" t="str">
            <v>ут.реж.</v>
          </cell>
        </row>
        <row r="183">
          <cell r="N183">
            <v>-2</v>
          </cell>
          <cell r="T183" t="str">
            <v>ипп</v>
          </cell>
        </row>
        <row r="184">
          <cell r="N184">
            <v>0.10000000000000009</v>
          </cell>
          <cell r="T184">
            <v>0</v>
          </cell>
        </row>
        <row r="185">
          <cell r="N185">
            <v>0</v>
          </cell>
          <cell r="T185">
            <v>0</v>
          </cell>
        </row>
        <row r="186">
          <cell r="N186">
            <v>-2.3000000000000007</v>
          </cell>
          <cell r="T186" t="str">
            <v>вода</v>
          </cell>
        </row>
        <row r="187">
          <cell r="N187">
            <v>1.8000000000000007</v>
          </cell>
          <cell r="T187" t="str">
            <v>вода</v>
          </cell>
        </row>
        <row r="188">
          <cell r="N188">
            <v>0</v>
          </cell>
          <cell r="T188">
            <v>0</v>
          </cell>
        </row>
        <row r="189">
          <cell r="N189">
            <v>0</v>
          </cell>
          <cell r="T189">
            <v>0</v>
          </cell>
        </row>
        <row r="190">
          <cell r="N190">
            <v>0.59999999999999964</v>
          </cell>
          <cell r="T190" t="str">
            <v>вода</v>
          </cell>
        </row>
        <row r="191">
          <cell r="N191">
            <v>0.5</v>
          </cell>
          <cell r="T191" t="str">
            <v>вода</v>
          </cell>
        </row>
        <row r="192">
          <cell r="N192">
            <v>0</v>
          </cell>
          <cell r="T192">
            <v>0</v>
          </cell>
        </row>
        <row r="193">
          <cell r="N193">
            <v>-7.5</v>
          </cell>
          <cell r="T193" t="str">
            <v>вода</v>
          </cell>
        </row>
        <row r="194">
          <cell r="N194">
            <v>0.19999999999999929</v>
          </cell>
          <cell r="T194">
            <v>0</v>
          </cell>
        </row>
        <row r="195">
          <cell r="N195">
            <v>-2.1999999999999993</v>
          </cell>
          <cell r="T195" t="str">
            <v>прс</v>
          </cell>
        </row>
        <row r="196">
          <cell r="N196">
            <v>0.19999999999999929</v>
          </cell>
          <cell r="T196">
            <v>0</v>
          </cell>
        </row>
        <row r="197">
          <cell r="N197">
            <v>1.6999999999999993</v>
          </cell>
          <cell r="T197" t="str">
            <v>по</v>
          </cell>
        </row>
        <row r="198">
          <cell r="N198">
            <v>0</v>
          </cell>
          <cell r="T198">
            <v>0</v>
          </cell>
        </row>
        <row r="199">
          <cell r="N199">
            <v>-1.8000000000000007</v>
          </cell>
          <cell r="T199" t="str">
            <v>вода</v>
          </cell>
        </row>
        <row r="200">
          <cell r="N200">
            <v>0.60000000000000053</v>
          </cell>
          <cell r="T200" t="str">
            <v>вода</v>
          </cell>
        </row>
        <row r="201">
          <cell r="N201">
            <v>-1.8000000000000007</v>
          </cell>
          <cell r="T201" t="str">
            <v>по</v>
          </cell>
        </row>
        <row r="202">
          <cell r="N202">
            <v>-0.70000000000000018</v>
          </cell>
          <cell r="T202" t="str">
            <v>вода</v>
          </cell>
        </row>
        <row r="203">
          <cell r="N203">
            <v>-0.5</v>
          </cell>
          <cell r="T203" t="str">
            <v>см</v>
          </cell>
        </row>
        <row r="204">
          <cell r="N204">
            <v>0</v>
          </cell>
          <cell r="T204">
            <v>0</v>
          </cell>
        </row>
        <row r="205">
          <cell r="N205">
            <v>-1.3</v>
          </cell>
          <cell r="T205" t="str">
            <v>см</v>
          </cell>
        </row>
        <row r="206">
          <cell r="N206">
            <v>-9.9999999999999978E-2</v>
          </cell>
          <cell r="T206">
            <v>0</v>
          </cell>
        </row>
        <row r="207">
          <cell r="N207">
            <v>0.89999999999999858</v>
          </cell>
          <cell r="T207" t="str">
            <v>вода</v>
          </cell>
        </row>
        <row r="208">
          <cell r="N208">
            <v>-2</v>
          </cell>
          <cell r="T208" t="str">
            <v>ипп</v>
          </cell>
        </row>
        <row r="209">
          <cell r="N209">
            <v>-0.30000000000000071</v>
          </cell>
          <cell r="T209">
            <v>0</v>
          </cell>
        </row>
        <row r="210">
          <cell r="N210">
            <v>2.3000000000000007</v>
          </cell>
          <cell r="T210" t="str">
            <v>вода</v>
          </cell>
        </row>
        <row r="211">
          <cell r="N211">
            <v>-0.79999999999999982</v>
          </cell>
          <cell r="T211" t="str">
            <v>ПРС</v>
          </cell>
        </row>
        <row r="212">
          <cell r="N212">
            <v>-0.70000000000000018</v>
          </cell>
          <cell r="T212" t="str">
            <v>по</v>
          </cell>
        </row>
        <row r="213">
          <cell r="N213">
            <v>-3.1000000000000014</v>
          </cell>
          <cell r="T213" t="str">
            <v>ут.реж.</v>
          </cell>
        </row>
        <row r="214">
          <cell r="N214">
            <v>-0.19999999999999996</v>
          </cell>
          <cell r="T214">
            <v>0</v>
          </cell>
        </row>
        <row r="215">
          <cell r="N215">
            <v>0</v>
          </cell>
          <cell r="T215">
            <v>0</v>
          </cell>
        </row>
        <row r="216">
          <cell r="N216">
            <v>0.39999999999999991</v>
          </cell>
          <cell r="T216" t="str">
            <v>по</v>
          </cell>
        </row>
        <row r="217">
          <cell r="N217">
            <v>9.9999999999999867E-2</v>
          </cell>
          <cell r="T217">
            <v>0</v>
          </cell>
        </row>
        <row r="218">
          <cell r="N218">
            <v>1.5000000000000004</v>
          </cell>
          <cell r="T218" t="str">
            <v>прс</v>
          </cell>
        </row>
        <row r="219">
          <cell r="N219">
            <v>-9.9999999999999978E-2</v>
          </cell>
          <cell r="T219">
            <v>0</v>
          </cell>
        </row>
        <row r="220">
          <cell r="N220">
            <v>0</v>
          </cell>
          <cell r="T220">
            <v>0</v>
          </cell>
        </row>
        <row r="221">
          <cell r="N221">
            <v>-1.2999999999999998</v>
          </cell>
          <cell r="T221" t="str">
            <v>вода</v>
          </cell>
        </row>
        <row r="222">
          <cell r="N222">
            <v>-2.6999999999999993</v>
          </cell>
          <cell r="T222" t="str">
            <v>ут.реж.</v>
          </cell>
        </row>
        <row r="223">
          <cell r="N223">
            <v>0</v>
          </cell>
          <cell r="T223">
            <v>0</v>
          </cell>
        </row>
        <row r="224">
          <cell r="N224">
            <v>1.0999999999999996</v>
          </cell>
          <cell r="T224" t="str">
            <v>вода</v>
          </cell>
        </row>
        <row r="225">
          <cell r="N225">
            <v>-1.3999999999999986</v>
          </cell>
          <cell r="T225" t="str">
            <v>ут.реж.</v>
          </cell>
        </row>
        <row r="226">
          <cell r="N226">
            <v>0</v>
          </cell>
          <cell r="T226">
            <v>0</v>
          </cell>
        </row>
        <row r="227">
          <cell r="N227">
            <v>-0.89999999999999858</v>
          </cell>
          <cell r="T227" t="str">
            <v>ипп</v>
          </cell>
        </row>
        <row r="228">
          <cell r="N228">
            <v>0</v>
          </cell>
          <cell r="T228">
            <v>0</v>
          </cell>
        </row>
        <row r="229">
          <cell r="N229">
            <v>-0.10000000000000053</v>
          </cell>
          <cell r="T229">
            <v>0</v>
          </cell>
        </row>
        <row r="230">
          <cell r="N230">
            <v>0</v>
          </cell>
          <cell r="T230">
            <v>0</v>
          </cell>
        </row>
        <row r="231">
          <cell r="N231">
            <v>-0.79999999999999982</v>
          </cell>
          <cell r="T231" t="str">
            <v>по</v>
          </cell>
        </row>
        <row r="232">
          <cell r="N232">
            <v>-0.10000000000000003</v>
          </cell>
          <cell r="T232">
            <v>0</v>
          </cell>
        </row>
        <row r="233">
          <cell r="N233">
            <v>0.59999999999999964</v>
          </cell>
          <cell r="T233" t="str">
            <v>по</v>
          </cell>
        </row>
        <row r="234">
          <cell r="N234">
            <v>0</v>
          </cell>
          <cell r="T234">
            <v>0</v>
          </cell>
        </row>
        <row r="235">
          <cell r="N235">
            <v>0</v>
          </cell>
          <cell r="T235">
            <v>0</v>
          </cell>
        </row>
        <row r="236">
          <cell r="N236">
            <v>5.6</v>
          </cell>
          <cell r="T236" t="str">
            <v>КРС</v>
          </cell>
        </row>
        <row r="237">
          <cell r="N237">
            <v>1.6999999999999993</v>
          </cell>
          <cell r="T237" t="str">
            <v>ипп</v>
          </cell>
        </row>
        <row r="238">
          <cell r="N238">
            <v>0.5</v>
          </cell>
          <cell r="T238" t="str">
            <v>вода</v>
          </cell>
        </row>
        <row r="239">
          <cell r="N239">
            <v>0.5</v>
          </cell>
          <cell r="T239" t="str">
            <v>вода</v>
          </cell>
        </row>
        <row r="240">
          <cell r="N240">
            <v>-0.40000000000000036</v>
          </cell>
          <cell r="T240" t="str">
            <v>вода</v>
          </cell>
        </row>
        <row r="241">
          <cell r="N241">
            <v>2.9000000000000021</v>
          </cell>
          <cell r="T241" t="str">
            <v>ипп</v>
          </cell>
        </row>
        <row r="242">
          <cell r="N242">
            <v>-0.10000000000000053</v>
          </cell>
          <cell r="T242">
            <v>0</v>
          </cell>
        </row>
        <row r="243">
          <cell r="N243">
            <v>0</v>
          </cell>
          <cell r="T243">
            <v>0</v>
          </cell>
        </row>
        <row r="244">
          <cell r="N244">
            <v>0.30000000000000071</v>
          </cell>
          <cell r="T244">
            <v>0</v>
          </cell>
        </row>
        <row r="245">
          <cell r="N245">
            <v>1.2999999999999998</v>
          </cell>
          <cell r="T245">
            <v>0</v>
          </cell>
        </row>
        <row r="246">
          <cell r="N246">
            <v>-0.29999999999999893</v>
          </cell>
          <cell r="T246">
            <v>0</v>
          </cell>
        </row>
        <row r="247">
          <cell r="N247">
            <v>0</v>
          </cell>
          <cell r="T247">
            <v>0</v>
          </cell>
        </row>
        <row r="248">
          <cell r="N248">
            <v>-0.20000000000000107</v>
          </cell>
          <cell r="T248">
            <v>0</v>
          </cell>
        </row>
        <row r="249">
          <cell r="N249">
            <v>0.39999999999999947</v>
          </cell>
          <cell r="T249" t="str">
            <v>вода</v>
          </cell>
        </row>
        <row r="250">
          <cell r="N250">
            <v>1.6999999999999993</v>
          </cell>
          <cell r="T250" t="str">
            <v>ипп</v>
          </cell>
        </row>
        <row r="251">
          <cell r="N251">
            <v>3.1999999999999997</v>
          </cell>
          <cell r="T251" t="str">
            <v>ипп</v>
          </cell>
        </row>
        <row r="252">
          <cell r="N252">
            <v>0</v>
          </cell>
          <cell r="T252">
            <v>0</v>
          </cell>
        </row>
        <row r="253">
          <cell r="N253">
            <v>-0.30000000000000004</v>
          </cell>
          <cell r="T253">
            <v>0</v>
          </cell>
        </row>
        <row r="254">
          <cell r="N254">
            <v>0</v>
          </cell>
          <cell r="T254">
            <v>0</v>
          </cell>
        </row>
        <row r="255">
          <cell r="N255">
            <v>0</v>
          </cell>
          <cell r="T255">
            <v>0</v>
          </cell>
        </row>
        <row r="256">
          <cell r="N256">
            <v>0</v>
          </cell>
          <cell r="T256">
            <v>0</v>
          </cell>
        </row>
        <row r="257">
          <cell r="N257">
            <v>-1</v>
          </cell>
          <cell r="T257" t="str">
            <v>по</v>
          </cell>
        </row>
        <row r="258">
          <cell r="N258">
            <v>0</v>
          </cell>
          <cell r="T258">
            <v>0</v>
          </cell>
        </row>
        <row r="259">
          <cell r="N259">
            <v>-0.20000000000000018</v>
          </cell>
          <cell r="T259">
            <v>0</v>
          </cell>
        </row>
        <row r="260">
          <cell r="N260">
            <v>-7.2000000000000011</v>
          </cell>
          <cell r="T260" t="str">
            <v>по</v>
          </cell>
        </row>
        <row r="261">
          <cell r="N261">
            <v>2.4000000000000004</v>
          </cell>
          <cell r="T261" t="str">
            <v>ипп</v>
          </cell>
        </row>
        <row r="262">
          <cell r="N262">
            <v>-0.10000000000000009</v>
          </cell>
          <cell r="T262">
            <v>0</v>
          </cell>
        </row>
        <row r="263">
          <cell r="N263">
            <v>-0.10000000000000009</v>
          </cell>
          <cell r="T263">
            <v>0</v>
          </cell>
        </row>
        <row r="264">
          <cell r="N264">
            <v>-0.29999999999999982</v>
          </cell>
          <cell r="T264">
            <v>0</v>
          </cell>
        </row>
        <row r="265">
          <cell r="N265">
            <v>1.2000000000000002</v>
          </cell>
          <cell r="T265" t="str">
            <v>вода</v>
          </cell>
        </row>
        <row r="266">
          <cell r="N266">
            <v>0.90000000000000036</v>
          </cell>
          <cell r="T266" t="str">
            <v>вода</v>
          </cell>
        </row>
        <row r="267">
          <cell r="N267">
            <v>-0.19999999999999574</v>
          </cell>
          <cell r="T267">
            <v>0</v>
          </cell>
        </row>
        <row r="268">
          <cell r="N268">
            <v>-2.0000000000000036</v>
          </cell>
          <cell r="T268" t="str">
            <v>ипп</v>
          </cell>
        </row>
        <row r="269">
          <cell r="N269">
            <v>0</v>
          </cell>
          <cell r="T269">
            <v>0</v>
          </cell>
        </row>
        <row r="270">
          <cell r="N270">
            <v>0.40000000000000036</v>
          </cell>
          <cell r="T270" t="str">
            <v>вода</v>
          </cell>
        </row>
        <row r="271">
          <cell r="N271">
            <v>-1.1000000000000014</v>
          </cell>
          <cell r="T271" t="str">
            <v>ипп</v>
          </cell>
        </row>
        <row r="272">
          <cell r="N272">
            <v>11.5</v>
          </cell>
          <cell r="T272" t="str">
            <v>по</v>
          </cell>
        </row>
        <row r="273">
          <cell r="N273">
            <v>0</v>
          </cell>
          <cell r="T273">
            <v>0</v>
          </cell>
        </row>
        <row r="274">
          <cell r="N274">
            <v>0</v>
          </cell>
          <cell r="T274">
            <v>0</v>
          </cell>
        </row>
        <row r="275">
          <cell r="N275">
            <v>-9.9999999999999867E-2</v>
          </cell>
          <cell r="T275">
            <v>0</v>
          </cell>
        </row>
        <row r="276">
          <cell r="N276">
            <v>0.5</v>
          </cell>
          <cell r="T276" t="str">
            <v>ут.реж.</v>
          </cell>
        </row>
        <row r="277">
          <cell r="N277">
            <v>-0.60000000000000053</v>
          </cell>
          <cell r="T277" t="str">
            <v>по</v>
          </cell>
        </row>
        <row r="278">
          <cell r="N278">
            <v>-0.60000000000000009</v>
          </cell>
          <cell r="T278" t="str">
            <v>ипп</v>
          </cell>
        </row>
        <row r="279">
          <cell r="N279">
            <v>0.4</v>
          </cell>
          <cell r="T279" t="str">
            <v>ут.реж.</v>
          </cell>
        </row>
        <row r="280">
          <cell r="N280">
            <v>0</v>
          </cell>
          <cell r="T280">
            <v>0</v>
          </cell>
        </row>
        <row r="281">
          <cell r="N281">
            <v>0</v>
          </cell>
          <cell r="T281">
            <v>0</v>
          </cell>
        </row>
        <row r="282">
          <cell r="N282">
            <v>-1.6999999999999993</v>
          </cell>
          <cell r="T282" t="str">
            <v>ут.реж.</v>
          </cell>
        </row>
        <row r="283">
          <cell r="N283">
            <v>1.7999999999999989</v>
          </cell>
          <cell r="T283" t="str">
            <v>вода</v>
          </cell>
        </row>
        <row r="284">
          <cell r="N284">
            <v>-1.7000000000000002</v>
          </cell>
          <cell r="T284" t="str">
            <v>вода</v>
          </cell>
        </row>
        <row r="285">
          <cell r="N285">
            <v>3.4999999999999991</v>
          </cell>
          <cell r="T285" t="str">
            <v>прс</v>
          </cell>
        </row>
        <row r="286">
          <cell r="N286">
            <v>9.9999999999999978E-2</v>
          </cell>
          <cell r="T286">
            <v>0</v>
          </cell>
        </row>
        <row r="287">
          <cell r="N287">
            <v>0</v>
          </cell>
          <cell r="T287">
            <v>0</v>
          </cell>
        </row>
        <row r="288">
          <cell r="N288">
            <v>-2.9000000000000021</v>
          </cell>
          <cell r="T288" t="str">
            <v>ут.реж.</v>
          </cell>
        </row>
        <row r="289">
          <cell r="N289">
            <v>0</v>
          </cell>
          <cell r="T289">
            <v>0</v>
          </cell>
        </row>
        <row r="290">
          <cell r="N290">
            <v>0.39999999999999991</v>
          </cell>
          <cell r="T290" t="str">
            <v>ут.реж.</v>
          </cell>
        </row>
        <row r="291">
          <cell r="N291">
            <v>-1.5</v>
          </cell>
          <cell r="T291" t="str">
            <v>по</v>
          </cell>
        </row>
        <row r="292">
          <cell r="N292">
            <v>1</v>
          </cell>
          <cell r="T292" t="str">
            <v>ут.реж.</v>
          </cell>
        </row>
        <row r="293">
          <cell r="N293">
            <v>-0.5</v>
          </cell>
          <cell r="T293" t="str">
            <v>по</v>
          </cell>
        </row>
        <row r="294">
          <cell r="N294">
            <v>-4.3000000000000007</v>
          </cell>
          <cell r="T294" t="str">
            <v>по</v>
          </cell>
        </row>
        <row r="295">
          <cell r="N295">
            <v>0</v>
          </cell>
          <cell r="T295">
            <v>0</v>
          </cell>
        </row>
        <row r="296">
          <cell r="N296">
            <v>0.70000000000000018</v>
          </cell>
          <cell r="T296" t="str">
            <v>вода</v>
          </cell>
        </row>
        <row r="297">
          <cell r="N297">
            <v>0.4</v>
          </cell>
          <cell r="T297" t="str">
            <v>ут.реж.</v>
          </cell>
        </row>
        <row r="298">
          <cell r="N298">
            <v>0.60000000000000009</v>
          </cell>
          <cell r="T298" t="str">
            <v>вода</v>
          </cell>
        </row>
        <row r="299">
          <cell r="N299">
            <v>4.2999999999999989</v>
          </cell>
          <cell r="T299" t="str">
            <v>ПРС</v>
          </cell>
        </row>
        <row r="300">
          <cell r="N300">
            <v>1.1000000000000005</v>
          </cell>
          <cell r="T300" t="str">
            <v>ут.реж.</v>
          </cell>
        </row>
        <row r="301">
          <cell r="N301">
            <v>0.10000000000000009</v>
          </cell>
          <cell r="T301">
            <v>0</v>
          </cell>
        </row>
        <row r="302">
          <cell r="N302">
            <v>0</v>
          </cell>
          <cell r="T302">
            <v>0</v>
          </cell>
        </row>
        <row r="303">
          <cell r="N303">
            <v>-0.5</v>
          </cell>
          <cell r="T303" t="str">
            <v>вода</v>
          </cell>
        </row>
        <row r="304">
          <cell r="N304">
            <v>-0.10000000000000009</v>
          </cell>
          <cell r="T304">
            <v>0</v>
          </cell>
        </row>
        <row r="305">
          <cell r="N305">
            <v>0</v>
          </cell>
          <cell r="T305">
            <v>0</v>
          </cell>
        </row>
        <row r="306">
          <cell r="N306">
            <v>0</v>
          </cell>
          <cell r="T306">
            <v>0</v>
          </cell>
        </row>
        <row r="307">
          <cell r="N307">
            <v>-4.1999999999999993</v>
          </cell>
          <cell r="T307" t="str">
            <v>ипп</v>
          </cell>
        </row>
        <row r="308">
          <cell r="N308">
            <v>0</v>
          </cell>
          <cell r="T308">
            <v>0</v>
          </cell>
        </row>
        <row r="309">
          <cell r="N309">
            <v>0</v>
          </cell>
          <cell r="T309">
            <v>0</v>
          </cell>
        </row>
        <row r="310">
          <cell r="N310">
            <v>-0.5</v>
          </cell>
          <cell r="T310" t="str">
            <v>вода</v>
          </cell>
        </row>
        <row r="311">
          <cell r="N311">
            <v>0.80000000000000027</v>
          </cell>
          <cell r="T311" t="str">
            <v>ипп</v>
          </cell>
        </row>
        <row r="312">
          <cell r="N312">
            <v>0</v>
          </cell>
          <cell r="T312">
            <v>0</v>
          </cell>
        </row>
        <row r="313">
          <cell r="N313">
            <v>-0.20000000000000018</v>
          </cell>
          <cell r="T313">
            <v>0</v>
          </cell>
        </row>
        <row r="314">
          <cell r="N314">
            <v>0</v>
          </cell>
          <cell r="T314">
            <v>0</v>
          </cell>
        </row>
        <row r="315">
          <cell r="N315">
            <v>-3.9000000000000004</v>
          </cell>
          <cell r="T315" t="str">
            <v>по</v>
          </cell>
        </row>
        <row r="316">
          <cell r="N316">
            <v>0</v>
          </cell>
          <cell r="T316" t="str">
            <v>по</v>
          </cell>
        </row>
        <row r="317">
          <cell r="N317">
            <v>-0.39999999999999991</v>
          </cell>
          <cell r="T317" t="str">
            <v>по</v>
          </cell>
        </row>
        <row r="318">
          <cell r="N318">
            <v>-1.0999999999999979</v>
          </cell>
          <cell r="T318" t="str">
            <v>вода</v>
          </cell>
        </row>
        <row r="319">
          <cell r="N319">
            <v>-3.9000000000000004</v>
          </cell>
          <cell r="T319" t="str">
            <v>ут.реж.</v>
          </cell>
        </row>
        <row r="320">
          <cell r="N320">
            <v>-2.0999999999999996</v>
          </cell>
          <cell r="T320" t="str">
            <v>вода</v>
          </cell>
        </row>
        <row r="321">
          <cell r="N321">
            <v>0</v>
          </cell>
          <cell r="T321">
            <v>0</v>
          </cell>
        </row>
        <row r="322">
          <cell r="N322">
            <v>-2.8000000000000007</v>
          </cell>
          <cell r="T322" t="str">
            <v>ипп</v>
          </cell>
        </row>
        <row r="323">
          <cell r="N323">
            <v>-0.5</v>
          </cell>
          <cell r="T323" t="str">
            <v>вода</v>
          </cell>
        </row>
        <row r="324">
          <cell r="N324">
            <v>-1</v>
          </cell>
          <cell r="T324" t="str">
            <v>вода</v>
          </cell>
        </row>
        <row r="325">
          <cell r="N325">
            <v>0.29999999999999982</v>
          </cell>
          <cell r="T325">
            <v>0</v>
          </cell>
        </row>
        <row r="326">
          <cell r="N326">
            <v>-0.20000000000000018</v>
          </cell>
          <cell r="T326">
            <v>0</v>
          </cell>
        </row>
        <row r="327">
          <cell r="N327">
            <v>0</v>
          </cell>
          <cell r="T327">
            <v>0</v>
          </cell>
        </row>
        <row r="328">
          <cell r="N328">
            <v>-1.2000000000000002</v>
          </cell>
          <cell r="T328" t="str">
            <v>по</v>
          </cell>
        </row>
        <row r="329">
          <cell r="N329">
            <v>0</v>
          </cell>
          <cell r="T329">
            <v>0</v>
          </cell>
        </row>
        <row r="330">
          <cell r="N330">
            <v>0.30000000000000004</v>
          </cell>
          <cell r="T330">
            <v>0</v>
          </cell>
        </row>
        <row r="331">
          <cell r="N331">
            <v>0</v>
          </cell>
          <cell r="T331" t="str">
            <v>уход в б/д</v>
          </cell>
        </row>
        <row r="332">
          <cell r="N332">
            <v>14.9</v>
          </cell>
          <cell r="T332" t="str">
            <v>КРС</v>
          </cell>
        </row>
        <row r="333">
          <cell r="N333">
            <v>-1.6999999999999993</v>
          </cell>
          <cell r="T333" t="str">
            <v>по</v>
          </cell>
        </row>
        <row r="334">
          <cell r="N334">
            <v>0.5</v>
          </cell>
          <cell r="T334" t="str">
            <v>ут.реж.</v>
          </cell>
        </row>
        <row r="335">
          <cell r="N335">
            <v>-3.0999999999999979</v>
          </cell>
          <cell r="T335" t="str">
            <v>ут.реж.</v>
          </cell>
        </row>
        <row r="336">
          <cell r="N336">
            <v>0.10000000000000009</v>
          </cell>
          <cell r="T336">
            <v>0</v>
          </cell>
        </row>
        <row r="337">
          <cell r="N337">
            <v>-4.5</v>
          </cell>
          <cell r="T337" t="str">
            <v>ут.реж.</v>
          </cell>
        </row>
        <row r="338">
          <cell r="N338">
            <v>2</v>
          </cell>
          <cell r="T338" t="str">
            <v>ПРС</v>
          </cell>
        </row>
        <row r="339">
          <cell r="N339">
            <v>-0.10000000000000009</v>
          </cell>
          <cell r="T339">
            <v>0</v>
          </cell>
        </row>
        <row r="340">
          <cell r="N340">
            <v>0</v>
          </cell>
          <cell r="T340">
            <v>0</v>
          </cell>
        </row>
        <row r="341">
          <cell r="N341">
            <v>-0.60000000000000053</v>
          </cell>
          <cell r="T341" t="str">
            <v>вода</v>
          </cell>
        </row>
        <row r="342">
          <cell r="N342">
            <v>-0.70000000000000018</v>
          </cell>
          <cell r="T342" t="str">
            <v>ут.реж.</v>
          </cell>
        </row>
        <row r="343">
          <cell r="N343">
            <v>-1.5</v>
          </cell>
          <cell r="T343" t="str">
            <v>вода</v>
          </cell>
        </row>
        <row r="344">
          <cell r="N344">
            <v>0</v>
          </cell>
          <cell r="T344">
            <v>0</v>
          </cell>
        </row>
        <row r="345">
          <cell r="N345">
            <v>0</v>
          </cell>
          <cell r="T345">
            <v>0</v>
          </cell>
        </row>
        <row r="346">
          <cell r="N346">
            <v>-0.5</v>
          </cell>
          <cell r="T346" t="str">
            <v>ипп</v>
          </cell>
        </row>
        <row r="347">
          <cell r="N347">
            <v>-1.3000000000000003</v>
          </cell>
          <cell r="T347" t="str">
            <v>вода</v>
          </cell>
        </row>
        <row r="348">
          <cell r="N348">
            <v>0.10000000000000009</v>
          </cell>
          <cell r="T348">
            <v>0</v>
          </cell>
        </row>
        <row r="349">
          <cell r="N349">
            <v>0</v>
          </cell>
          <cell r="T349">
            <v>0</v>
          </cell>
        </row>
        <row r="350">
          <cell r="N350">
            <v>-8.2000000000000028</v>
          </cell>
          <cell r="T350" t="str">
            <v>ипп</v>
          </cell>
        </row>
        <row r="351">
          <cell r="N351">
            <v>-3</v>
          </cell>
          <cell r="T351" t="str">
            <v>вода</v>
          </cell>
        </row>
        <row r="352">
          <cell r="N352">
            <v>0.10000000000000009</v>
          </cell>
          <cell r="T352" t="str">
            <v>см</v>
          </cell>
        </row>
        <row r="353">
          <cell r="N353">
            <v>0</v>
          </cell>
          <cell r="T353" t="str">
            <v>уход в б/д</v>
          </cell>
        </row>
        <row r="354">
          <cell r="N354">
            <v>-1.5</v>
          </cell>
          <cell r="T354" t="str">
            <v>вода</v>
          </cell>
        </row>
        <row r="355">
          <cell r="N355">
            <v>-4</v>
          </cell>
          <cell r="T355" t="str">
            <v>вода</v>
          </cell>
        </row>
        <row r="356">
          <cell r="N356">
            <v>0</v>
          </cell>
          <cell r="T356">
            <v>0</v>
          </cell>
        </row>
        <row r="357">
          <cell r="N357">
            <v>0</v>
          </cell>
          <cell r="T357">
            <v>0</v>
          </cell>
        </row>
        <row r="358">
          <cell r="N358">
            <v>-0.10000000000000009</v>
          </cell>
          <cell r="T358">
            <v>0</v>
          </cell>
        </row>
        <row r="359">
          <cell r="N359">
            <v>0.90000000000000036</v>
          </cell>
          <cell r="T359" t="str">
            <v>вода</v>
          </cell>
        </row>
        <row r="360">
          <cell r="N360">
            <v>0</v>
          </cell>
          <cell r="T360">
            <v>0</v>
          </cell>
        </row>
        <row r="361">
          <cell r="N361">
            <v>0</v>
          </cell>
          <cell r="T361">
            <v>0</v>
          </cell>
        </row>
        <row r="362">
          <cell r="N362">
            <v>0</v>
          </cell>
          <cell r="T362">
            <v>0</v>
          </cell>
        </row>
        <row r="363">
          <cell r="N363">
            <v>-0.10000000000000009</v>
          </cell>
          <cell r="T363">
            <v>0</v>
          </cell>
        </row>
        <row r="364">
          <cell r="N364">
            <v>0.70000000000000018</v>
          </cell>
          <cell r="T364" t="str">
            <v>вода</v>
          </cell>
        </row>
        <row r="365">
          <cell r="N365">
            <v>3</v>
          </cell>
          <cell r="T365" t="str">
            <v>по</v>
          </cell>
        </row>
        <row r="366">
          <cell r="N366">
            <v>0</v>
          </cell>
          <cell r="T366">
            <v>0</v>
          </cell>
        </row>
        <row r="367">
          <cell r="N367">
            <v>-1.4999999999999991</v>
          </cell>
          <cell r="T367" t="str">
            <v>вода</v>
          </cell>
        </row>
        <row r="368">
          <cell r="N368">
            <v>0</v>
          </cell>
          <cell r="T368">
            <v>0</v>
          </cell>
        </row>
        <row r="369">
          <cell r="N369">
            <v>0</v>
          </cell>
          <cell r="T369">
            <v>0</v>
          </cell>
        </row>
        <row r="370">
          <cell r="N370">
            <v>-2.0999999999999996</v>
          </cell>
          <cell r="T370" t="str">
            <v>см</v>
          </cell>
        </row>
        <row r="371">
          <cell r="N371">
            <v>0</v>
          </cell>
          <cell r="T371">
            <v>0</v>
          </cell>
        </row>
        <row r="372">
          <cell r="N372">
            <v>-1.2000000000000002</v>
          </cell>
          <cell r="T372" t="str">
            <v>ипп</v>
          </cell>
        </row>
        <row r="373">
          <cell r="N373">
            <v>-1</v>
          </cell>
          <cell r="T373" t="str">
            <v>ут.реж.</v>
          </cell>
        </row>
        <row r="374">
          <cell r="N374">
            <v>0.20000000000000107</v>
          </cell>
          <cell r="T374">
            <v>0</v>
          </cell>
        </row>
        <row r="375">
          <cell r="N375">
            <v>0</v>
          </cell>
          <cell r="T375">
            <v>0</v>
          </cell>
        </row>
        <row r="376">
          <cell r="N376">
            <v>14.5</v>
          </cell>
          <cell r="T376" t="str">
            <v>КРС</v>
          </cell>
        </row>
        <row r="377">
          <cell r="N377">
            <v>0</v>
          </cell>
          <cell r="T377">
            <v>0</v>
          </cell>
        </row>
        <row r="378">
          <cell r="N378">
            <v>-4.1999999999999993</v>
          </cell>
          <cell r="T378" t="str">
            <v>вода</v>
          </cell>
        </row>
        <row r="379">
          <cell r="N379">
            <v>0</v>
          </cell>
          <cell r="T379">
            <v>0</v>
          </cell>
        </row>
        <row r="380">
          <cell r="N380">
            <v>0</v>
          </cell>
          <cell r="T380">
            <v>0</v>
          </cell>
        </row>
        <row r="381">
          <cell r="N381">
            <v>-1.7000000000000011</v>
          </cell>
          <cell r="T381" t="str">
            <v>вода</v>
          </cell>
        </row>
        <row r="382">
          <cell r="N382">
            <v>-3.2000000000000011</v>
          </cell>
          <cell r="T382" t="str">
            <v>вода</v>
          </cell>
        </row>
        <row r="383">
          <cell r="N383">
            <v>-9.5</v>
          </cell>
          <cell r="T383" t="str">
            <v>ут.реж.</v>
          </cell>
        </row>
        <row r="384">
          <cell r="N384">
            <v>-2.1999999999999993</v>
          </cell>
          <cell r="T384" t="str">
            <v>вода</v>
          </cell>
        </row>
        <row r="385">
          <cell r="N385">
            <v>-0.20000000000000007</v>
          </cell>
          <cell r="T385">
            <v>0</v>
          </cell>
        </row>
        <row r="386">
          <cell r="N386">
            <v>-1.2999999999999989</v>
          </cell>
          <cell r="T386" t="str">
            <v>вода</v>
          </cell>
        </row>
        <row r="387">
          <cell r="N387">
            <v>1.0999999999999996</v>
          </cell>
          <cell r="T387" t="str">
            <v>вода</v>
          </cell>
        </row>
        <row r="388">
          <cell r="N388">
            <v>-0.19999999999999973</v>
          </cell>
          <cell r="T388">
            <v>0</v>
          </cell>
        </row>
        <row r="389">
          <cell r="N389">
            <v>-2.2000000000000011</v>
          </cell>
          <cell r="T389" t="str">
            <v>по</v>
          </cell>
        </row>
        <row r="390">
          <cell r="N390">
            <v>0</v>
          </cell>
          <cell r="T390" t="str">
            <v>уход в б/д</v>
          </cell>
        </row>
        <row r="391">
          <cell r="N391">
            <v>-0.19999999999999996</v>
          </cell>
          <cell r="T391">
            <v>0</v>
          </cell>
        </row>
        <row r="392">
          <cell r="N392">
            <v>-0.29999999999999893</v>
          </cell>
          <cell r="T392">
            <v>0</v>
          </cell>
        </row>
        <row r="393">
          <cell r="N393">
            <v>0</v>
          </cell>
          <cell r="T393">
            <v>0</v>
          </cell>
        </row>
        <row r="394">
          <cell r="N394">
            <v>-1.2999999999999998</v>
          </cell>
          <cell r="T394" t="str">
            <v>по</v>
          </cell>
        </row>
        <row r="395">
          <cell r="N395">
            <v>0</v>
          </cell>
          <cell r="T395">
            <v>0</v>
          </cell>
        </row>
        <row r="396">
          <cell r="N396">
            <v>-0.50000000000000022</v>
          </cell>
          <cell r="T396" t="str">
            <v>по</v>
          </cell>
        </row>
        <row r="397">
          <cell r="N397">
            <v>0.30000000000000004</v>
          </cell>
          <cell r="T397" t="str">
            <v>вода</v>
          </cell>
        </row>
        <row r="398">
          <cell r="N398">
            <v>0.6</v>
          </cell>
          <cell r="T398" t="str">
            <v>ипп</v>
          </cell>
        </row>
        <row r="399">
          <cell r="N399">
            <v>9.9999999999999645E-2</v>
          </cell>
          <cell r="T399">
            <v>0</v>
          </cell>
        </row>
        <row r="400">
          <cell r="N400">
            <v>-0.59999999999999987</v>
          </cell>
          <cell r="T400" t="str">
            <v>ипп</v>
          </cell>
        </row>
        <row r="401">
          <cell r="N401">
            <v>0.19999999999999996</v>
          </cell>
          <cell r="T401">
            <v>0</v>
          </cell>
        </row>
        <row r="402">
          <cell r="N402">
            <v>-1.1999999999999993</v>
          </cell>
          <cell r="T402" t="str">
            <v>вода</v>
          </cell>
        </row>
        <row r="403">
          <cell r="N403">
            <v>2.9000000000000004</v>
          </cell>
          <cell r="T403" t="str">
            <v>по</v>
          </cell>
        </row>
        <row r="404">
          <cell r="N404">
            <v>3.3000000000000007</v>
          </cell>
          <cell r="T404" t="str">
            <v>прс</v>
          </cell>
        </row>
        <row r="405">
          <cell r="N405">
            <v>0</v>
          </cell>
          <cell r="T405">
            <v>0</v>
          </cell>
        </row>
        <row r="406">
          <cell r="N406">
            <v>0</v>
          </cell>
          <cell r="T406">
            <v>0</v>
          </cell>
        </row>
        <row r="407">
          <cell r="N407">
            <v>1.5000000000000009</v>
          </cell>
          <cell r="T407" t="str">
            <v>по</v>
          </cell>
        </row>
        <row r="408">
          <cell r="N408">
            <v>-0.90000000000000036</v>
          </cell>
          <cell r="T408" t="str">
            <v>по</v>
          </cell>
        </row>
        <row r="409">
          <cell r="N409">
            <v>-2.0999999999999996</v>
          </cell>
          <cell r="T409" t="str">
            <v>вода</v>
          </cell>
        </row>
        <row r="410">
          <cell r="N410">
            <v>0</v>
          </cell>
          <cell r="T410">
            <v>0</v>
          </cell>
        </row>
        <row r="411">
          <cell r="N411">
            <v>-2</v>
          </cell>
          <cell r="T411" t="str">
            <v>ипп</v>
          </cell>
        </row>
        <row r="412">
          <cell r="N412">
            <v>0</v>
          </cell>
          <cell r="T412">
            <v>0</v>
          </cell>
        </row>
        <row r="413">
          <cell r="N413">
            <v>0</v>
          </cell>
          <cell r="T413">
            <v>0</v>
          </cell>
        </row>
        <row r="414">
          <cell r="N414">
            <v>-4.3999999999999986</v>
          </cell>
          <cell r="T414" t="str">
            <v>ипп</v>
          </cell>
        </row>
        <row r="415">
          <cell r="N415">
            <v>0</v>
          </cell>
          <cell r="T415">
            <v>0</v>
          </cell>
        </row>
        <row r="416">
          <cell r="N416">
            <v>0</v>
          </cell>
          <cell r="T416" t="str">
            <v>см</v>
          </cell>
        </row>
        <row r="417">
          <cell r="N417">
            <v>-3.7999999999999989</v>
          </cell>
          <cell r="T417" t="str">
            <v>по</v>
          </cell>
        </row>
        <row r="418">
          <cell r="N418">
            <v>-0.79999999999999893</v>
          </cell>
          <cell r="T418" t="str">
            <v>ипп</v>
          </cell>
        </row>
        <row r="419">
          <cell r="N419">
            <v>-0.19999999999999973</v>
          </cell>
          <cell r="T419">
            <v>0</v>
          </cell>
        </row>
        <row r="420">
          <cell r="N420">
            <v>0</v>
          </cell>
          <cell r="T420">
            <v>0</v>
          </cell>
        </row>
        <row r="421">
          <cell r="N421">
            <v>0</v>
          </cell>
          <cell r="T421">
            <v>0</v>
          </cell>
        </row>
        <row r="422">
          <cell r="N422">
            <v>-4.4000000000000004</v>
          </cell>
          <cell r="T422" t="str">
            <v>по</v>
          </cell>
        </row>
        <row r="423">
          <cell r="N423">
            <v>-2.6000000000000005</v>
          </cell>
          <cell r="T423" t="str">
            <v>ипп</v>
          </cell>
        </row>
        <row r="424">
          <cell r="N424">
            <v>-8.0999999999999979</v>
          </cell>
          <cell r="T424" t="str">
            <v>ут.реж.</v>
          </cell>
        </row>
        <row r="425">
          <cell r="N425">
            <v>0</v>
          </cell>
          <cell r="T425">
            <v>0</v>
          </cell>
        </row>
        <row r="426">
          <cell r="N426">
            <v>-2.4000000000000004</v>
          </cell>
          <cell r="T426" t="str">
            <v>вода</v>
          </cell>
        </row>
        <row r="427">
          <cell r="N427">
            <v>0</v>
          </cell>
          <cell r="T427">
            <v>0</v>
          </cell>
        </row>
        <row r="428">
          <cell r="N428">
            <v>-1.7999999999999989</v>
          </cell>
          <cell r="T428" t="str">
            <v>вода</v>
          </cell>
        </row>
        <row r="429">
          <cell r="N429">
            <v>0.79999999999999893</v>
          </cell>
          <cell r="T429" t="str">
            <v>вода</v>
          </cell>
        </row>
        <row r="430">
          <cell r="N430">
            <v>0</v>
          </cell>
          <cell r="T430">
            <v>0</v>
          </cell>
        </row>
        <row r="431">
          <cell r="N431">
            <v>2.8000000000000007</v>
          </cell>
          <cell r="T431" t="str">
            <v>ут.реж.</v>
          </cell>
        </row>
        <row r="432">
          <cell r="N432">
            <v>0</v>
          </cell>
          <cell r="T432" t="str">
            <v>см</v>
          </cell>
        </row>
        <row r="433">
          <cell r="N433">
            <v>0</v>
          </cell>
          <cell r="T433">
            <v>0</v>
          </cell>
        </row>
        <row r="434">
          <cell r="N434">
            <v>0.19999999999999973</v>
          </cell>
          <cell r="T434">
            <v>0</v>
          </cell>
        </row>
        <row r="435">
          <cell r="N435">
            <v>-2.1999999999999993</v>
          </cell>
          <cell r="T435" t="str">
            <v>по</v>
          </cell>
        </row>
        <row r="436">
          <cell r="N436">
            <v>-0.70000000000000107</v>
          </cell>
          <cell r="T436" t="str">
            <v>вода</v>
          </cell>
        </row>
        <row r="437">
          <cell r="N437">
            <v>-8.5</v>
          </cell>
          <cell r="T437" t="str">
            <v>по</v>
          </cell>
        </row>
        <row r="438">
          <cell r="N438">
            <v>0.10000000000000009</v>
          </cell>
          <cell r="T438">
            <v>0</v>
          </cell>
        </row>
        <row r="439">
          <cell r="N439">
            <v>-0.5</v>
          </cell>
          <cell r="T439" t="str">
            <v>вода</v>
          </cell>
        </row>
        <row r="440">
          <cell r="N440">
            <v>-0.70000000000000107</v>
          </cell>
          <cell r="T440" t="str">
            <v>ут.реж.</v>
          </cell>
        </row>
        <row r="441">
          <cell r="N441">
            <v>0</v>
          </cell>
          <cell r="T441" t="str">
            <v>по</v>
          </cell>
        </row>
        <row r="442">
          <cell r="N442">
            <v>-2.0000000000000018</v>
          </cell>
          <cell r="T442" t="str">
            <v>ут.реж.</v>
          </cell>
        </row>
        <row r="443">
          <cell r="N443">
            <v>-2.4000000000000004</v>
          </cell>
          <cell r="T443" t="str">
            <v>ут.реж.</v>
          </cell>
        </row>
        <row r="444">
          <cell r="N444">
            <v>1</v>
          </cell>
          <cell r="T444" t="str">
            <v>ут.реж.</v>
          </cell>
        </row>
        <row r="445">
          <cell r="N445">
            <v>2.5</v>
          </cell>
          <cell r="T445" t="str">
            <v>ут.реж.</v>
          </cell>
        </row>
        <row r="446">
          <cell r="N446">
            <v>-0.79999999999999982</v>
          </cell>
          <cell r="T446" t="str">
            <v>вода</v>
          </cell>
        </row>
        <row r="447">
          <cell r="N447">
            <v>1.2999999999999998</v>
          </cell>
          <cell r="T447" t="str">
            <v>прс</v>
          </cell>
        </row>
        <row r="448">
          <cell r="N448">
            <v>-2.8000000000000007</v>
          </cell>
          <cell r="T448" t="str">
            <v>см</v>
          </cell>
        </row>
        <row r="449">
          <cell r="N449">
            <v>0.5</v>
          </cell>
          <cell r="T449" t="str">
            <v>ипп</v>
          </cell>
        </row>
        <row r="450">
          <cell r="N450">
            <v>-0.40000000000000036</v>
          </cell>
          <cell r="T450" t="str">
            <v>ут.реж.</v>
          </cell>
        </row>
        <row r="451">
          <cell r="N451">
            <v>0</v>
          </cell>
          <cell r="T451">
            <v>0</v>
          </cell>
        </row>
        <row r="452">
          <cell r="N452">
            <v>1.2000000000000011</v>
          </cell>
          <cell r="T452" t="str">
            <v>прс</v>
          </cell>
        </row>
        <row r="453">
          <cell r="N453">
            <v>0</v>
          </cell>
          <cell r="T453">
            <v>0</v>
          </cell>
        </row>
        <row r="454">
          <cell r="N454">
            <v>-9.9999999999999978E-2</v>
          </cell>
          <cell r="T454">
            <v>0</v>
          </cell>
        </row>
        <row r="455">
          <cell r="N455">
            <v>0</v>
          </cell>
          <cell r="T455">
            <v>0</v>
          </cell>
        </row>
        <row r="456">
          <cell r="N456">
            <v>0.5</v>
          </cell>
          <cell r="T456" t="str">
            <v>ут.реж.</v>
          </cell>
        </row>
        <row r="457">
          <cell r="N457">
            <v>-1.7000000000000002</v>
          </cell>
          <cell r="T457" t="str">
            <v>см</v>
          </cell>
        </row>
        <row r="458">
          <cell r="N458">
            <v>-3.6999999999999993</v>
          </cell>
          <cell r="T458" t="str">
            <v>ут.реж.</v>
          </cell>
        </row>
        <row r="459">
          <cell r="N459">
            <v>-0.30000000000000004</v>
          </cell>
          <cell r="T459">
            <v>0</v>
          </cell>
        </row>
        <row r="460">
          <cell r="N460">
            <v>0</v>
          </cell>
          <cell r="T460">
            <v>0</v>
          </cell>
        </row>
        <row r="461">
          <cell r="N461">
            <v>0</v>
          </cell>
          <cell r="T461">
            <v>0</v>
          </cell>
        </row>
        <row r="462">
          <cell r="N462">
            <v>6.5</v>
          </cell>
          <cell r="T462" t="str">
            <v>ут.реж.</v>
          </cell>
        </row>
        <row r="463">
          <cell r="N463">
            <v>-1.7000000000000011</v>
          </cell>
          <cell r="T463" t="str">
            <v>ипп</v>
          </cell>
        </row>
        <row r="464">
          <cell r="N464">
            <v>1.6999999999999993</v>
          </cell>
          <cell r="T464" t="str">
            <v>ут.реж.</v>
          </cell>
        </row>
        <row r="465">
          <cell r="N465">
            <v>-6.9999999999999991</v>
          </cell>
          <cell r="T465" t="str">
            <v>по</v>
          </cell>
        </row>
        <row r="466">
          <cell r="N466">
            <v>-0.10000000000000142</v>
          </cell>
          <cell r="T466">
            <v>0</v>
          </cell>
        </row>
        <row r="467">
          <cell r="N467">
            <v>0.39999999999999858</v>
          </cell>
          <cell r="T467" t="str">
            <v>ут.реж.</v>
          </cell>
        </row>
        <row r="468">
          <cell r="N468">
            <v>-2.2999999999999989</v>
          </cell>
          <cell r="T468" t="str">
            <v>ут.реж.</v>
          </cell>
        </row>
        <row r="469">
          <cell r="N469">
            <v>0.5</v>
          </cell>
          <cell r="T469" t="str">
            <v>прс</v>
          </cell>
        </row>
        <row r="470">
          <cell r="N470">
            <v>0</v>
          </cell>
          <cell r="T470">
            <v>0</v>
          </cell>
        </row>
        <row r="471">
          <cell r="N471">
            <v>-9.9999999999999867E-2</v>
          </cell>
          <cell r="T471">
            <v>0</v>
          </cell>
        </row>
        <row r="472">
          <cell r="N472">
            <v>-1.1999999999999993</v>
          </cell>
          <cell r="T472" t="str">
            <v>вода</v>
          </cell>
        </row>
        <row r="473">
          <cell r="N473">
            <v>-1.4000000000000004</v>
          </cell>
          <cell r="T473" t="str">
            <v>вода</v>
          </cell>
        </row>
        <row r="474">
          <cell r="N474">
            <v>2.1999999999999993</v>
          </cell>
          <cell r="T474" t="str">
            <v>ут.реж.</v>
          </cell>
        </row>
        <row r="475">
          <cell r="N475">
            <v>0</v>
          </cell>
          <cell r="T475">
            <v>0</v>
          </cell>
        </row>
        <row r="476">
          <cell r="N476">
            <v>-0.40000000000000213</v>
          </cell>
          <cell r="T476" t="str">
            <v>ут.реж.</v>
          </cell>
        </row>
        <row r="477">
          <cell r="N477">
            <v>-4.8</v>
          </cell>
          <cell r="T477" t="str">
            <v>по</v>
          </cell>
        </row>
        <row r="478">
          <cell r="N478">
            <v>-0.5</v>
          </cell>
          <cell r="T478" t="str">
            <v>вода</v>
          </cell>
        </row>
        <row r="479">
          <cell r="N479">
            <v>0</v>
          </cell>
          <cell r="T479">
            <v>0</v>
          </cell>
        </row>
        <row r="480">
          <cell r="N480">
            <v>-2.4000000000000004</v>
          </cell>
          <cell r="T480" t="str">
            <v>вода</v>
          </cell>
        </row>
        <row r="481">
          <cell r="N481">
            <v>-1.8000000000000007</v>
          </cell>
          <cell r="T481" t="str">
            <v>ут.реж.</v>
          </cell>
        </row>
        <row r="482">
          <cell r="N482">
            <v>-0.20000000000000018</v>
          </cell>
          <cell r="T482">
            <v>0</v>
          </cell>
        </row>
        <row r="483">
          <cell r="N483">
            <v>-0.19999999999999929</v>
          </cell>
          <cell r="T483">
            <v>0</v>
          </cell>
        </row>
        <row r="484">
          <cell r="N484">
            <v>0.6</v>
          </cell>
          <cell r="T484" t="str">
            <v>ут.реж.</v>
          </cell>
        </row>
        <row r="485">
          <cell r="N485">
            <v>0</v>
          </cell>
          <cell r="T485">
            <v>0</v>
          </cell>
        </row>
        <row r="486">
          <cell r="N486">
            <v>-1</v>
          </cell>
          <cell r="T486" t="str">
            <v>вода</v>
          </cell>
        </row>
        <row r="487">
          <cell r="N487">
            <v>0.50000000000000011</v>
          </cell>
          <cell r="T487" t="str">
            <v>вода</v>
          </cell>
        </row>
        <row r="488">
          <cell r="N488">
            <v>0.10000000000000009</v>
          </cell>
          <cell r="T488">
            <v>0</v>
          </cell>
        </row>
        <row r="489">
          <cell r="N489">
            <v>0</v>
          </cell>
          <cell r="T489">
            <v>0</v>
          </cell>
        </row>
        <row r="490">
          <cell r="N490">
            <v>0.20000000000000107</v>
          </cell>
          <cell r="T490">
            <v>0</v>
          </cell>
        </row>
        <row r="491">
          <cell r="N491">
            <v>0</v>
          </cell>
          <cell r="T491">
            <v>0</v>
          </cell>
        </row>
        <row r="492">
          <cell r="N492">
            <v>-5</v>
          </cell>
          <cell r="T492" t="str">
            <v>см</v>
          </cell>
        </row>
        <row r="493">
          <cell r="N493">
            <v>2.3000000000000007</v>
          </cell>
          <cell r="T493" t="str">
            <v>по</v>
          </cell>
        </row>
        <row r="494">
          <cell r="N494">
            <v>-0.20000000000000284</v>
          </cell>
          <cell r="T494">
            <v>0</v>
          </cell>
        </row>
        <row r="495">
          <cell r="N495">
            <v>-0.20000000000000018</v>
          </cell>
          <cell r="T495">
            <v>0</v>
          </cell>
        </row>
        <row r="496">
          <cell r="N496">
            <v>0</v>
          </cell>
          <cell r="T496">
            <v>0</v>
          </cell>
        </row>
        <row r="497">
          <cell r="N497">
            <v>-1.4000000000000001</v>
          </cell>
          <cell r="T497" t="str">
            <v>ипп</v>
          </cell>
        </row>
        <row r="498">
          <cell r="N498">
            <v>-1.5</v>
          </cell>
          <cell r="T498" t="str">
            <v>ипп</v>
          </cell>
        </row>
        <row r="499">
          <cell r="N499">
            <v>-0.10000000000000009</v>
          </cell>
          <cell r="T499">
            <v>0</v>
          </cell>
        </row>
        <row r="500">
          <cell r="N500">
            <v>-0.80000000000000071</v>
          </cell>
          <cell r="T500" t="str">
            <v>вода</v>
          </cell>
        </row>
        <row r="501">
          <cell r="N501">
            <v>0.69999999999999929</v>
          </cell>
          <cell r="T501" t="str">
            <v>вода</v>
          </cell>
        </row>
        <row r="502">
          <cell r="N502">
            <v>0.19999999999999929</v>
          </cell>
          <cell r="T502">
            <v>0</v>
          </cell>
        </row>
        <row r="503">
          <cell r="N503">
            <v>-0.30000000000000027</v>
          </cell>
          <cell r="T503">
            <v>0</v>
          </cell>
        </row>
        <row r="504">
          <cell r="N504">
            <v>-1.5999999999999996</v>
          </cell>
          <cell r="T504" t="str">
            <v>вода</v>
          </cell>
        </row>
        <row r="505">
          <cell r="N505">
            <v>0.19999999999999996</v>
          </cell>
          <cell r="T505">
            <v>0</v>
          </cell>
        </row>
        <row r="506">
          <cell r="N506">
            <v>-0.4</v>
          </cell>
          <cell r="T506" t="str">
            <v>вода</v>
          </cell>
        </row>
        <row r="507">
          <cell r="N507">
            <v>0</v>
          </cell>
          <cell r="T507">
            <v>0</v>
          </cell>
        </row>
        <row r="508">
          <cell r="N508">
            <v>2.2999999999999998</v>
          </cell>
          <cell r="T508" t="str">
            <v>прс</v>
          </cell>
        </row>
        <row r="509">
          <cell r="N509">
            <v>-2.1999999999999993</v>
          </cell>
          <cell r="T509" t="str">
            <v>по</v>
          </cell>
        </row>
        <row r="510">
          <cell r="N510">
            <v>0</v>
          </cell>
          <cell r="T510">
            <v>0</v>
          </cell>
        </row>
        <row r="511">
          <cell r="N511">
            <v>-1.6999999999999993</v>
          </cell>
          <cell r="T511" t="str">
            <v>ут.реж.</v>
          </cell>
        </row>
        <row r="512">
          <cell r="N512">
            <v>0.29999999999999982</v>
          </cell>
          <cell r="T512">
            <v>0</v>
          </cell>
        </row>
        <row r="513">
          <cell r="N513">
            <v>-1</v>
          </cell>
          <cell r="T513" t="str">
            <v>вода</v>
          </cell>
        </row>
        <row r="514">
          <cell r="N514">
            <v>1.3000000000000007</v>
          </cell>
          <cell r="T514" t="str">
            <v>прс</v>
          </cell>
        </row>
        <row r="515">
          <cell r="N515">
            <v>-0.19999999999999996</v>
          </cell>
          <cell r="T515">
            <v>0</v>
          </cell>
        </row>
        <row r="516">
          <cell r="N516">
            <v>0.10000000000000053</v>
          </cell>
          <cell r="T516">
            <v>0</v>
          </cell>
        </row>
        <row r="517">
          <cell r="N517">
            <v>-0.30000000000000071</v>
          </cell>
          <cell r="T517">
            <v>0</v>
          </cell>
        </row>
        <row r="518">
          <cell r="N518">
            <v>0</v>
          </cell>
          <cell r="T518">
            <v>0</v>
          </cell>
        </row>
        <row r="519">
          <cell r="N519">
            <v>1.2000000000000028</v>
          </cell>
          <cell r="T519" t="str">
            <v>ипп</v>
          </cell>
        </row>
        <row r="520">
          <cell r="N520">
            <v>-2.5</v>
          </cell>
          <cell r="T520" t="str">
            <v>ут.реж.</v>
          </cell>
        </row>
        <row r="521">
          <cell r="N521">
            <v>0.79999999999999893</v>
          </cell>
          <cell r="T521" t="str">
            <v>по</v>
          </cell>
        </row>
        <row r="522">
          <cell r="N522">
            <v>0.80000000000000071</v>
          </cell>
          <cell r="T522" t="str">
            <v>вода</v>
          </cell>
        </row>
        <row r="523">
          <cell r="N523">
            <v>-9.2000000000000011</v>
          </cell>
          <cell r="T523" t="str">
            <v>ут.реж.</v>
          </cell>
        </row>
        <row r="524">
          <cell r="N524">
            <v>0</v>
          </cell>
          <cell r="T524">
            <v>0</v>
          </cell>
        </row>
        <row r="525">
          <cell r="N525">
            <v>-0.40000000000000036</v>
          </cell>
          <cell r="T525" t="str">
            <v>ПРС</v>
          </cell>
        </row>
        <row r="526">
          <cell r="N526">
            <v>-1.5999999999999996</v>
          </cell>
          <cell r="T526" t="str">
            <v>ипп</v>
          </cell>
        </row>
        <row r="527">
          <cell r="N527">
            <v>-2.4000000000000004</v>
          </cell>
          <cell r="T527" t="str">
            <v>ут.реж.</v>
          </cell>
        </row>
        <row r="528">
          <cell r="N528">
            <v>2.0999999999999996</v>
          </cell>
          <cell r="T528" t="str">
            <v>вода</v>
          </cell>
        </row>
        <row r="529">
          <cell r="N529">
            <v>0</v>
          </cell>
          <cell r="T529">
            <v>0</v>
          </cell>
        </row>
        <row r="530">
          <cell r="N530">
            <v>0</v>
          </cell>
          <cell r="T530">
            <v>0</v>
          </cell>
        </row>
        <row r="531">
          <cell r="N531">
            <v>-1.2999999999999998</v>
          </cell>
          <cell r="T531" t="str">
            <v>ипп</v>
          </cell>
        </row>
        <row r="532">
          <cell r="N532">
            <v>-2.7999999999999989</v>
          </cell>
          <cell r="T532" t="str">
            <v>по</v>
          </cell>
        </row>
        <row r="533">
          <cell r="N533">
            <v>0.60000000000000142</v>
          </cell>
          <cell r="T533" t="str">
            <v>ут.реж.</v>
          </cell>
        </row>
        <row r="534">
          <cell r="N534">
            <v>-0.40000000000000013</v>
          </cell>
          <cell r="T534" t="str">
            <v>ут.реж.</v>
          </cell>
        </row>
        <row r="535">
          <cell r="N535">
            <v>0.7</v>
          </cell>
          <cell r="T535" t="str">
            <v>ипп</v>
          </cell>
        </row>
        <row r="536">
          <cell r="N536">
            <v>0</v>
          </cell>
          <cell r="T536">
            <v>0</v>
          </cell>
        </row>
        <row r="537">
          <cell r="N537">
            <v>-0.10000000000000009</v>
          </cell>
          <cell r="T537">
            <v>0</v>
          </cell>
        </row>
        <row r="538">
          <cell r="N538">
            <v>0.39999999999999991</v>
          </cell>
          <cell r="T538" t="str">
            <v>по</v>
          </cell>
        </row>
        <row r="539">
          <cell r="N539">
            <v>-1.1000000000000001</v>
          </cell>
          <cell r="T539" t="str">
            <v>по</v>
          </cell>
        </row>
        <row r="540">
          <cell r="N540">
            <v>-0.39999999999999991</v>
          </cell>
          <cell r="T540" t="str">
            <v>по</v>
          </cell>
        </row>
        <row r="541">
          <cell r="N541">
            <v>0</v>
          </cell>
          <cell r="T541">
            <v>0</v>
          </cell>
        </row>
        <row r="542">
          <cell r="N542">
            <v>0.19999999999999996</v>
          </cell>
          <cell r="T542" t="str">
            <v>вода</v>
          </cell>
        </row>
        <row r="543">
          <cell r="N543">
            <v>-0.99999999999999978</v>
          </cell>
          <cell r="T543" t="str">
            <v>ут.реж.</v>
          </cell>
        </row>
        <row r="544">
          <cell r="N544">
            <v>-1.6999999999999993</v>
          </cell>
          <cell r="T544" t="str">
            <v>ут.реж.</v>
          </cell>
        </row>
        <row r="545">
          <cell r="N545">
            <v>0</v>
          </cell>
          <cell r="T545">
            <v>0</v>
          </cell>
        </row>
        <row r="546">
          <cell r="N546">
            <v>-1.4000000000000004</v>
          </cell>
          <cell r="T546" t="str">
            <v>вода</v>
          </cell>
        </row>
        <row r="547">
          <cell r="N547">
            <v>-1.4</v>
          </cell>
          <cell r="T547" t="str">
            <v>по</v>
          </cell>
        </row>
        <row r="548">
          <cell r="N548">
            <v>0.39999999999999991</v>
          </cell>
          <cell r="T548" t="str">
            <v>ут.реж.</v>
          </cell>
        </row>
        <row r="549">
          <cell r="N549">
            <v>0.20000000000000018</v>
          </cell>
          <cell r="T549">
            <v>0</v>
          </cell>
        </row>
        <row r="550">
          <cell r="N550">
            <v>-0.90000000000000036</v>
          </cell>
          <cell r="T550" t="str">
            <v>вода</v>
          </cell>
        </row>
        <row r="551">
          <cell r="N551">
            <v>-2.9999999999999982</v>
          </cell>
          <cell r="T551" t="str">
            <v>ипп</v>
          </cell>
        </row>
        <row r="552">
          <cell r="N552">
            <v>0.29999999999999982</v>
          </cell>
          <cell r="T552">
            <v>0</v>
          </cell>
        </row>
        <row r="553">
          <cell r="N553">
            <v>-0.70000000000000018</v>
          </cell>
          <cell r="T553" t="str">
            <v>ипп</v>
          </cell>
        </row>
        <row r="554">
          <cell r="N554">
            <v>0</v>
          </cell>
          <cell r="T554">
            <v>0</v>
          </cell>
        </row>
        <row r="555">
          <cell r="N555">
            <v>-0.60000000000000009</v>
          </cell>
          <cell r="T555" t="str">
            <v>по</v>
          </cell>
        </row>
        <row r="556">
          <cell r="N556">
            <v>0.5</v>
          </cell>
          <cell r="T556" t="str">
            <v>по</v>
          </cell>
        </row>
        <row r="557">
          <cell r="N557">
            <v>-0.30000000000000004</v>
          </cell>
          <cell r="T557">
            <v>0</v>
          </cell>
        </row>
        <row r="558">
          <cell r="N558">
            <v>2.6999999999999993</v>
          </cell>
          <cell r="T558" t="str">
            <v>вода</v>
          </cell>
        </row>
        <row r="559">
          <cell r="N559">
            <v>-0.10000000000000053</v>
          </cell>
          <cell r="T559">
            <v>0</v>
          </cell>
        </row>
        <row r="560">
          <cell r="N560">
            <v>0</v>
          </cell>
          <cell r="T560">
            <v>0</v>
          </cell>
        </row>
        <row r="561">
          <cell r="N561">
            <v>0</v>
          </cell>
          <cell r="T561">
            <v>0</v>
          </cell>
        </row>
        <row r="562">
          <cell r="N562">
            <v>1.2000000000000002</v>
          </cell>
          <cell r="T562" t="str">
            <v>по</v>
          </cell>
        </row>
        <row r="563">
          <cell r="N563">
            <v>-0.20000000000000018</v>
          </cell>
          <cell r="T563">
            <v>0</v>
          </cell>
        </row>
        <row r="564">
          <cell r="N564">
            <v>0</v>
          </cell>
          <cell r="T564">
            <v>0</v>
          </cell>
        </row>
        <row r="565">
          <cell r="N565">
            <v>4.2000000000000028</v>
          </cell>
          <cell r="T565" t="str">
            <v>вода</v>
          </cell>
        </row>
        <row r="566">
          <cell r="N566">
            <v>0</v>
          </cell>
          <cell r="T566">
            <v>0</v>
          </cell>
        </row>
        <row r="567">
          <cell r="N567">
            <v>-2.5</v>
          </cell>
          <cell r="T567" t="str">
            <v>вода</v>
          </cell>
        </row>
        <row r="568">
          <cell r="N568">
            <v>0.4</v>
          </cell>
          <cell r="T568" t="str">
            <v>вода</v>
          </cell>
        </row>
        <row r="569">
          <cell r="N569">
            <v>0</v>
          </cell>
          <cell r="T569">
            <v>0</v>
          </cell>
        </row>
        <row r="570">
          <cell r="N570">
            <v>0</v>
          </cell>
          <cell r="T570">
            <v>0</v>
          </cell>
        </row>
        <row r="571">
          <cell r="N571">
            <v>0</v>
          </cell>
          <cell r="T571">
            <v>0</v>
          </cell>
        </row>
        <row r="572">
          <cell r="N572">
            <v>1.5</v>
          </cell>
          <cell r="T572" t="str">
            <v>ипп</v>
          </cell>
        </row>
        <row r="573">
          <cell r="N573">
            <v>-0.60000000000000053</v>
          </cell>
          <cell r="T573" t="str">
            <v>ипп</v>
          </cell>
        </row>
        <row r="574">
          <cell r="N574">
            <v>0</v>
          </cell>
          <cell r="T574">
            <v>0</v>
          </cell>
        </row>
        <row r="575">
          <cell r="N575">
            <v>-0.79999999999999982</v>
          </cell>
          <cell r="T575" t="str">
            <v>по</v>
          </cell>
        </row>
        <row r="576">
          <cell r="N576">
            <v>0</v>
          </cell>
          <cell r="T576">
            <v>0</v>
          </cell>
        </row>
        <row r="577">
          <cell r="N577">
            <v>-51.499999999999993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.реж."/>
      <sheetName val="доб"/>
      <sheetName val="изм.по бриг."/>
      <sheetName val="изм"/>
      <sheetName val="01-изм"/>
      <sheetName val="Расчет-01-02"/>
      <sheetName val="Лист1"/>
      <sheetName val="дебит"/>
      <sheetName val=""/>
      <sheetName val="Бр_реж_"/>
      <sheetName val="изм_по_бриг_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N6" t="str">
            <v>Изменение</v>
          </cell>
        </row>
        <row r="7">
          <cell r="N7" t="str">
            <v>т/с</v>
          </cell>
          <cell r="T7" t="str">
            <v>Примечание (шифр)</v>
          </cell>
        </row>
        <row r="9">
          <cell r="N9">
            <v>0.60000000000000009</v>
          </cell>
          <cell r="T9" t="str">
            <v>по</v>
          </cell>
        </row>
        <row r="10">
          <cell r="N10">
            <v>0</v>
          </cell>
          <cell r="T10">
            <v>0</v>
          </cell>
        </row>
        <row r="11">
          <cell r="N11">
            <v>-1.7999999999999998</v>
          </cell>
          <cell r="T11" t="str">
            <v>вода</v>
          </cell>
        </row>
        <row r="12">
          <cell r="N12">
            <v>0</v>
          </cell>
          <cell r="T12">
            <v>0</v>
          </cell>
        </row>
        <row r="13">
          <cell r="N13">
            <v>0</v>
          </cell>
          <cell r="T13">
            <v>0</v>
          </cell>
        </row>
        <row r="14">
          <cell r="N14">
            <v>2.7</v>
          </cell>
          <cell r="T14" t="str">
            <v>ут.реж.</v>
          </cell>
        </row>
        <row r="15">
          <cell r="N15">
            <v>0.60000000000000009</v>
          </cell>
          <cell r="T15" t="str">
            <v>по</v>
          </cell>
        </row>
        <row r="16">
          <cell r="N16">
            <v>-1.8000000000000007</v>
          </cell>
          <cell r="T16" t="str">
            <v>ут.реж.</v>
          </cell>
        </row>
        <row r="17">
          <cell r="N17">
            <v>0</v>
          </cell>
          <cell r="T17">
            <v>0</v>
          </cell>
        </row>
        <row r="18">
          <cell r="N18">
            <v>-2.1999999999999993</v>
          </cell>
          <cell r="T18" t="str">
            <v>см</v>
          </cell>
        </row>
        <row r="19">
          <cell r="N19">
            <v>-0.20000000000000018</v>
          </cell>
          <cell r="T19">
            <v>0</v>
          </cell>
        </row>
        <row r="20">
          <cell r="N20">
            <v>-1.4000000000000004</v>
          </cell>
          <cell r="T20" t="str">
            <v>ипп</v>
          </cell>
        </row>
        <row r="21">
          <cell r="N21">
            <v>-0.5</v>
          </cell>
          <cell r="T21" t="str">
            <v>ут.реж.</v>
          </cell>
        </row>
        <row r="22">
          <cell r="N22">
            <v>-0.5</v>
          </cell>
          <cell r="T22" t="str">
            <v>ут.реж.</v>
          </cell>
        </row>
        <row r="23">
          <cell r="N23">
            <v>0</v>
          </cell>
          <cell r="T23">
            <v>0</v>
          </cell>
        </row>
        <row r="24">
          <cell r="N24">
            <v>-0.5</v>
          </cell>
          <cell r="T24" t="str">
            <v>по</v>
          </cell>
        </row>
        <row r="25">
          <cell r="N25">
            <v>-1.6999999999999993</v>
          </cell>
          <cell r="T25" t="str">
            <v>вода</v>
          </cell>
        </row>
        <row r="26">
          <cell r="N26">
            <v>-0.30000000000000071</v>
          </cell>
          <cell r="T26">
            <v>0</v>
          </cell>
        </row>
        <row r="27">
          <cell r="N27">
            <v>0.10000000000000053</v>
          </cell>
          <cell r="T27">
            <v>0</v>
          </cell>
        </row>
        <row r="28">
          <cell r="N28">
            <v>3.5000000000000009</v>
          </cell>
          <cell r="T28" t="str">
            <v>прс</v>
          </cell>
        </row>
        <row r="29">
          <cell r="N29">
            <v>-9.9999999999999645E-2</v>
          </cell>
          <cell r="T29">
            <v>0</v>
          </cell>
        </row>
        <row r="30">
          <cell r="N30">
            <v>0</v>
          </cell>
          <cell r="T30">
            <v>0</v>
          </cell>
        </row>
        <row r="31">
          <cell r="N31">
            <v>0</v>
          </cell>
          <cell r="T31">
            <v>0</v>
          </cell>
        </row>
        <row r="32">
          <cell r="N32">
            <v>-0.70000000000000107</v>
          </cell>
          <cell r="T32" t="str">
            <v>ут.реж.</v>
          </cell>
        </row>
        <row r="33">
          <cell r="N33">
            <v>-3.8999999999999995</v>
          </cell>
          <cell r="T33" t="str">
            <v>ипп</v>
          </cell>
        </row>
        <row r="34">
          <cell r="N34">
            <v>-0.69999999999999929</v>
          </cell>
          <cell r="T34" t="str">
            <v>прс</v>
          </cell>
        </row>
        <row r="35">
          <cell r="N35">
            <v>0.30000000000000071</v>
          </cell>
          <cell r="T35">
            <v>0</v>
          </cell>
        </row>
        <row r="36">
          <cell r="N36">
            <v>4</v>
          </cell>
          <cell r="T36" t="str">
            <v>прс</v>
          </cell>
        </row>
        <row r="37">
          <cell r="N37">
            <v>-9.9999999999999645E-2</v>
          </cell>
          <cell r="T37">
            <v>0</v>
          </cell>
        </row>
        <row r="38">
          <cell r="N38">
            <v>0</v>
          </cell>
          <cell r="T38">
            <v>0</v>
          </cell>
        </row>
        <row r="39">
          <cell r="N39">
            <v>-0.70000000000000018</v>
          </cell>
          <cell r="T39" t="str">
            <v>по</v>
          </cell>
        </row>
        <row r="40">
          <cell r="N40">
            <v>-5.4</v>
          </cell>
          <cell r="T40" t="str">
            <v>по</v>
          </cell>
        </row>
        <row r="41">
          <cell r="N41">
            <v>-0.70000000000000018</v>
          </cell>
          <cell r="T41" t="str">
            <v>ут.реж.</v>
          </cell>
        </row>
        <row r="42">
          <cell r="N42">
            <v>0</v>
          </cell>
          <cell r="T42" t="str">
            <v>уход в б/д</v>
          </cell>
        </row>
        <row r="43">
          <cell r="N43">
            <v>-2.5999999999999996</v>
          </cell>
          <cell r="T43" t="str">
            <v>ипп</v>
          </cell>
        </row>
        <row r="44">
          <cell r="N44">
            <v>0.59999999999999964</v>
          </cell>
          <cell r="T44" t="str">
            <v>по</v>
          </cell>
        </row>
        <row r="45">
          <cell r="N45">
            <v>-3.4000000000000004</v>
          </cell>
          <cell r="T45" t="str">
            <v>ипп</v>
          </cell>
        </row>
        <row r="46">
          <cell r="N46">
            <v>2.0999999999999996</v>
          </cell>
          <cell r="T46" t="str">
            <v>по</v>
          </cell>
        </row>
        <row r="47">
          <cell r="N47">
            <v>4.5</v>
          </cell>
          <cell r="T47" t="str">
            <v>по</v>
          </cell>
        </row>
        <row r="48">
          <cell r="N48">
            <v>-1.1999999999999993</v>
          </cell>
          <cell r="T48" t="str">
            <v>вода</v>
          </cell>
        </row>
        <row r="49">
          <cell r="N49">
            <v>4.5</v>
          </cell>
          <cell r="T49" t="str">
            <v>по</v>
          </cell>
        </row>
        <row r="50">
          <cell r="N50">
            <v>-9.9999999999999645E-2</v>
          </cell>
          <cell r="T50">
            <v>0</v>
          </cell>
        </row>
        <row r="51">
          <cell r="N51">
            <v>-3.3999999999999986</v>
          </cell>
          <cell r="T51" t="str">
            <v>ут.реж.</v>
          </cell>
        </row>
        <row r="52">
          <cell r="N52">
            <v>-0.5</v>
          </cell>
          <cell r="T52" t="str">
            <v>вода</v>
          </cell>
        </row>
        <row r="53">
          <cell r="N53">
            <v>0.59999999999999964</v>
          </cell>
          <cell r="T53" t="str">
            <v>вода</v>
          </cell>
        </row>
        <row r="54">
          <cell r="N54">
            <v>-1.1000000000000014</v>
          </cell>
          <cell r="T54" t="str">
            <v>ипп</v>
          </cell>
        </row>
        <row r="55">
          <cell r="N55">
            <v>0</v>
          </cell>
          <cell r="T55">
            <v>0</v>
          </cell>
        </row>
        <row r="56">
          <cell r="N56">
            <v>-0.69999999999999929</v>
          </cell>
          <cell r="T56" t="str">
            <v>вода</v>
          </cell>
        </row>
        <row r="57">
          <cell r="N57">
            <v>-0.10000000000000009</v>
          </cell>
          <cell r="T57" t="str">
            <v>ут.реж.</v>
          </cell>
        </row>
        <row r="58">
          <cell r="N58">
            <v>-0.39999999999999947</v>
          </cell>
          <cell r="T58" t="str">
            <v>вода</v>
          </cell>
        </row>
        <row r="59">
          <cell r="N59">
            <v>0</v>
          </cell>
          <cell r="T59">
            <v>0</v>
          </cell>
        </row>
        <row r="60">
          <cell r="N60">
            <v>-3.1999999999999993</v>
          </cell>
          <cell r="T60" t="str">
            <v>ипп</v>
          </cell>
        </row>
        <row r="61">
          <cell r="N61">
            <v>0</v>
          </cell>
          <cell r="T61">
            <v>0</v>
          </cell>
        </row>
        <row r="62">
          <cell r="N62">
            <v>9.9999999999999645E-2</v>
          </cell>
          <cell r="T62">
            <v>0</v>
          </cell>
        </row>
        <row r="63">
          <cell r="N63">
            <v>-4.1999999999999993</v>
          </cell>
          <cell r="T63" t="str">
            <v>ут.реж.</v>
          </cell>
        </row>
        <row r="64">
          <cell r="N64">
            <v>-0.60000000000000053</v>
          </cell>
          <cell r="T64" t="str">
            <v>ипп</v>
          </cell>
        </row>
        <row r="65">
          <cell r="N65">
            <v>-0.40000000000000036</v>
          </cell>
          <cell r="T65" t="str">
            <v>ут.реж.</v>
          </cell>
        </row>
        <row r="66">
          <cell r="N66">
            <v>-1.8999999999999986</v>
          </cell>
          <cell r="T66" t="str">
            <v>вода</v>
          </cell>
        </row>
        <row r="67">
          <cell r="N67">
            <v>1</v>
          </cell>
          <cell r="T67" t="str">
            <v>по</v>
          </cell>
        </row>
        <row r="68">
          <cell r="N68">
            <v>2.1000000000000014</v>
          </cell>
          <cell r="T68" t="str">
            <v>по</v>
          </cell>
        </row>
        <row r="69">
          <cell r="N69">
            <v>-0.40000000000000036</v>
          </cell>
          <cell r="T69" t="str">
            <v>см</v>
          </cell>
        </row>
        <row r="70">
          <cell r="N70">
            <v>0</v>
          </cell>
          <cell r="T70">
            <v>0</v>
          </cell>
        </row>
        <row r="71">
          <cell r="N71">
            <v>0.19999999999999929</v>
          </cell>
          <cell r="T71">
            <v>0</v>
          </cell>
        </row>
        <row r="72">
          <cell r="N72">
            <v>1.5</v>
          </cell>
          <cell r="T72" t="str">
            <v>по</v>
          </cell>
        </row>
        <row r="73">
          <cell r="N73">
            <v>0</v>
          </cell>
          <cell r="T73" t="str">
            <v>уход в б/д</v>
          </cell>
        </row>
        <row r="74">
          <cell r="N74">
            <v>-5.5</v>
          </cell>
          <cell r="T74" t="str">
            <v>см</v>
          </cell>
        </row>
        <row r="75">
          <cell r="N75">
            <v>-2.8</v>
          </cell>
          <cell r="T75" t="str">
            <v>по</v>
          </cell>
        </row>
        <row r="76">
          <cell r="N76">
            <v>-1.5</v>
          </cell>
          <cell r="T76" t="str">
            <v>ипп</v>
          </cell>
        </row>
        <row r="77">
          <cell r="N77">
            <v>0</v>
          </cell>
          <cell r="T77">
            <v>0</v>
          </cell>
        </row>
        <row r="78">
          <cell r="N78">
            <v>-4.7000000000000011</v>
          </cell>
          <cell r="T78" t="str">
            <v>см</v>
          </cell>
        </row>
        <row r="79">
          <cell r="N79">
            <v>4.1000000000000014</v>
          </cell>
          <cell r="T79" t="str">
            <v>прс</v>
          </cell>
        </row>
        <row r="80">
          <cell r="N80">
            <v>3.8999999999999986</v>
          </cell>
          <cell r="T80" t="str">
            <v>ипп</v>
          </cell>
        </row>
        <row r="81">
          <cell r="N81">
            <v>-5</v>
          </cell>
          <cell r="T81" t="str">
            <v>ипп</v>
          </cell>
        </row>
        <row r="82">
          <cell r="N82">
            <v>-0.80000000000000071</v>
          </cell>
          <cell r="T82" t="str">
            <v>по</v>
          </cell>
        </row>
        <row r="83">
          <cell r="N83">
            <v>6.4</v>
          </cell>
          <cell r="T83" t="str">
            <v>прс</v>
          </cell>
        </row>
        <row r="84">
          <cell r="N84">
            <v>-9.9999999999999978E-2</v>
          </cell>
          <cell r="T84">
            <v>0</v>
          </cell>
        </row>
        <row r="85">
          <cell r="N85">
            <v>0.30000000000000004</v>
          </cell>
          <cell r="T85">
            <v>0</v>
          </cell>
        </row>
        <row r="86">
          <cell r="N86">
            <v>0</v>
          </cell>
          <cell r="T86">
            <v>0</v>
          </cell>
        </row>
        <row r="87">
          <cell r="N87">
            <v>-0.5</v>
          </cell>
          <cell r="T87" t="str">
            <v>ипп</v>
          </cell>
        </row>
        <row r="88">
          <cell r="N88">
            <v>-2.9000000000000004</v>
          </cell>
          <cell r="T88" t="str">
            <v>вода</v>
          </cell>
        </row>
        <row r="89">
          <cell r="N89">
            <v>0</v>
          </cell>
          <cell r="T89">
            <v>0</v>
          </cell>
        </row>
        <row r="90">
          <cell r="N90">
            <v>0.80000000000000027</v>
          </cell>
          <cell r="T90" t="str">
            <v>ут.реж.</v>
          </cell>
        </row>
        <row r="91">
          <cell r="N91">
            <v>-1.5000000000000018</v>
          </cell>
          <cell r="T91" t="str">
            <v>ут.реж.</v>
          </cell>
        </row>
        <row r="92">
          <cell r="N92">
            <v>-2.5999999999999979</v>
          </cell>
          <cell r="T92" t="str">
            <v>вода</v>
          </cell>
        </row>
        <row r="93">
          <cell r="N93">
            <v>0</v>
          </cell>
          <cell r="T93">
            <v>0</v>
          </cell>
        </row>
        <row r="94">
          <cell r="N94">
            <v>0</v>
          </cell>
          <cell r="T94">
            <v>0</v>
          </cell>
        </row>
        <row r="95">
          <cell r="N95">
            <v>0</v>
          </cell>
          <cell r="T95">
            <v>0</v>
          </cell>
        </row>
        <row r="96">
          <cell r="N96">
            <v>-3.1000000000000005</v>
          </cell>
          <cell r="T96" t="str">
            <v>см</v>
          </cell>
        </row>
        <row r="97">
          <cell r="N97">
            <v>0.5</v>
          </cell>
          <cell r="T97" t="str">
            <v>вода</v>
          </cell>
        </row>
        <row r="98">
          <cell r="N98">
            <v>-0.30000000000000071</v>
          </cell>
          <cell r="T98">
            <v>0</v>
          </cell>
        </row>
        <row r="99">
          <cell r="N99">
            <v>0.30000000000000071</v>
          </cell>
          <cell r="T99">
            <v>0</v>
          </cell>
        </row>
        <row r="100">
          <cell r="N100">
            <v>0</v>
          </cell>
          <cell r="T100">
            <v>0</v>
          </cell>
        </row>
        <row r="101">
          <cell r="N101">
            <v>0</v>
          </cell>
          <cell r="T101">
            <v>0</v>
          </cell>
        </row>
        <row r="102">
          <cell r="N102">
            <v>-6.6</v>
          </cell>
          <cell r="T102" t="str">
            <v>ипп</v>
          </cell>
        </row>
        <row r="103">
          <cell r="N103">
            <v>1.3999999999999995</v>
          </cell>
          <cell r="T103" t="str">
            <v>ут.реж.</v>
          </cell>
        </row>
        <row r="104">
          <cell r="N104">
            <v>-0.4</v>
          </cell>
          <cell r="T104" t="str">
            <v>уход в б/д</v>
          </cell>
        </row>
        <row r="105">
          <cell r="N105">
            <v>0</v>
          </cell>
          <cell r="T105" t="str">
            <v>уход в б/д</v>
          </cell>
        </row>
        <row r="106">
          <cell r="N106">
            <v>-1.2999999999999989</v>
          </cell>
          <cell r="T106" t="str">
            <v>ипп</v>
          </cell>
        </row>
        <row r="107">
          <cell r="N107">
            <v>-0.29999999999999982</v>
          </cell>
          <cell r="T107">
            <v>0</v>
          </cell>
        </row>
        <row r="108">
          <cell r="N108">
            <v>-0.10000000000000009</v>
          </cell>
          <cell r="T108">
            <v>0</v>
          </cell>
        </row>
        <row r="109">
          <cell r="N109">
            <v>0.29999999999999893</v>
          </cell>
          <cell r="T109">
            <v>0</v>
          </cell>
        </row>
        <row r="110">
          <cell r="N110">
            <v>-0.40000000000000036</v>
          </cell>
          <cell r="T110" t="str">
            <v>вода</v>
          </cell>
        </row>
        <row r="111">
          <cell r="N111">
            <v>0</v>
          </cell>
          <cell r="T111">
            <v>0</v>
          </cell>
        </row>
        <row r="112">
          <cell r="N112">
            <v>0</v>
          </cell>
          <cell r="T112">
            <v>0</v>
          </cell>
        </row>
        <row r="113">
          <cell r="N113">
            <v>-3.3000000000000007</v>
          </cell>
          <cell r="T113" t="str">
            <v>не уч.</v>
          </cell>
        </row>
        <row r="114">
          <cell r="N114">
            <v>0.69999999999999973</v>
          </cell>
          <cell r="T114" t="str">
            <v>ут.реж.</v>
          </cell>
        </row>
        <row r="115">
          <cell r="N115">
            <v>0</v>
          </cell>
          <cell r="T115" t="str">
            <v>уход в б/д</v>
          </cell>
        </row>
        <row r="116">
          <cell r="N116">
            <v>2.5</v>
          </cell>
          <cell r="T116" t="str">
            <v>ут.реж.</v>
          </cell>
        </row>
        <row r="117">
          <cell r="N117">
            <v>4.4000000000000004</v>
          </cell>
          <cell r="T117" t="str">
            <v>прс</v>
          </cell>
        </row>
        <row r="118">
          <cell r="N118">
            <v>2.4000000000000004</v>
          </cell>
          <cell r="T118" t="str">
            <v>по</v>
          </cell>
        </row>
        <row r="119">
          <cell r="N119">
            <v>-2.8000000000000007</v>
          </cell>
          <cell r="T119" t="str">
            <v>ипп</v>
          </cell>
        </row>
        <row r="120">
          <cell r="N120">
            <v>0</v>
          </cell>
          <cell r="T120">
            <v>0</v>
          </cell>
        </row>
        <row r="121">
          <cell r="N121">
            <v>4.4000000000000021</v>
          </cell>
          <cell r="T121" t="str">
            <v>ут.реж.</v>
          </cell>
        </row>
        <row r="122">
          <cell r="N122">
            <v>9.9999999999999645E-2</v>
          </cell>
          <cell r="T122">
            <v>0</v>
          </cell>
        </row>
        <row r="123">
          <cell r="N123">
            <v>-0.29999999999999982</v>
          </cell>
          <cell r="T123">
            <v>0</v>
          </cell>
        </row>
        <row r="124">
          <cell r="N124">
            <v>-0.20000000000000018</v>
          </cell>
          <cell r="T124" t="str">
            <v>по</v>
          </cell>
        </row>
        <row r="125">
          <cell r="N125">
            <v>-2.7000000000000011</v>
          </cell>
          <cell r="T125" t="str">
            <v>ипп</v>
          </cell>
        </row>
        <row r="126">
          <cell r="N126">
            <v>0</v>
          </cell>
          <cell r="T126">
            <v>0</v>
          </cell>
        </row>
        <row r="127">
          <cell r="N127">
            <v>-0.30000000000000071</v>
          </cell>
          <cell r="T127">
            <v>0</v>
          </cell>
        </row>
        <row r="128">
          <cell r="N128">
            <v>-1.5000000000000004</v>
          </cell>
          <cell r="T128" t="str">
            <v>см</v>
          </cell>
        </row>
        <row r="129">
          <cell r="N129">
            <v>-0.19999999999999973</v>
          </cell>
          <cell r="T129">
            <v>0</v>
          </cell>
        </row>
        <row r="130">
          <cell r="N130">
            <v>1.3000000000000007</v>
          </cell>
          <cell r="T130" t="str">
            <v>ут.реж.</v>
          </cell>
        </row>
        <row r="131">
          <cell r="N131">
            <v>1.3999999999999986</v>
          </cell>
          <cell r="T131" t="str">
            <v>ут.реж.</v>
          </cell>
        </row>
        <row r="132">
          <cell r="N132">
            <v>0.90000000000000036</v>
          </cell>
          <cell r="T132" t="str">
            <v>ут.реж.</v>
          </cell>
        </row>
        <row r="133">
          <cell r="N133">
            <v>1.1000000000000005</v>
          </cell>
          <cell r="T133">
            <v>0</v>
          </cell>
        </row>
        <row r="134">
          <cell r="N134">
            <v>-1.5000000000000018</v>
          </cell>
          <cell r="T134" t="str">
            <v>ипп</v>
          </cell>
        </row>
        <row r="135">
          <cell r="N135">
            <v>-1.4000000000000004</v>
          </cell>
          <cell r="T135" t="str">
            <v>ипп</v>
          </cell>
        </row>
        <row r="136">
          <cell r="N136">
            <v>-1.6999999999999993</v>
          </cell>
          <cell r="T136" t="str">
            <v>вода</v>
          </cell>
        </row>
        <row r="137">
          <cell r="N137">
            <v>4.8000000000000007</v>
          </cell>
          <cell r="T137" t="str">
            <v>прс</v>
          </cell>
        </row>
        <row r="138">
          <cell r="N138">
            <v>0</v>
          </cell>
          <cell r="T138">
            <v>0</v>
          </cell>
        </row>
        <row r="139">
          <cell r="N139">
            <v>0</v>
          </cell>
          <cell r="T139">
            <v>0</v>
          </cell>
        </row>
        <row r="140">
          <cell r="N140">
            <v>1.3000000000000003</v>
          </cell>
          <cell r="T140" t="str">
            <v>прс</v>
          </cell>
        </row>
        <row r="141">
          <cell r="N141">
            <v>0.69999999999999929</v>
          </cell>
          <cell r="T141" t="str">
            <v>ут.реж.</v>
          </cell>
        </row>
        <row r="142">
          <cell r="N142">
            <v>0.69999999999999929</v>
          </cell>
          <cell r="T142" t="str">
            <v>ут.реж.</v>
          </cell>
        </row>
        <row r="143">
          <cell r="N143">
            <v>-0.19999999999999929</v>
          </cell>
          <cell r="T143">
            <v>0</v>
          </cell>
        </row>
        <row r="144">
          <cell r="N144">
            <v>0</v>
          </cell>
          <cell r="T144">
            <v>0</v>
          </cell>
        </row>
        <row r="145">
          <cell r="N145">
            <v>0</v>
          </cell>
          <cell r="T145">
            <v>0</v>
          </cell>
        </row>
        <row r="146">
          <cell r="N146">
            <v>5.3000000000000007</v>
          </cell>
          <cell r="T146" t="str">
            <v>прс</v>
          </cell>
        </row>
        <row r="147">
          <cell r="N147">
            <v>0</v>
          </cell>
          <cell r="T147">
            <v>0</v>
          </cell>
        </row>
        <row r="148">
          <cell r="N148">
            <v>-3.1000000000000014</v>
          </cell>
          <cell r="T148" t="str">
            <v>вода</v>
          </cell>
        </row>
        <row r="149">
          <cell r="N149">
            <v>0</v>
          </cell>
          <cell r="T149">
            <v>0</v>
          </cell>
        </row>
        <row r="150">
          <cell r="N150">
            <v>-0.60000000000000009</v>
          </cell>
          <cell r="T150" t="str">
            <v>вода</v>
          </cell>
        </row>
        <row r="151">
          <cell r="N151">
            <v>0</v>
          </cell>
          <cell r="T151" t="str">
            <v>см</v>
          </cell>
        </row>
        <row r="152">
          <cell r="N152">
            <v>0.60000000000000142</v>
          </cell>
          <cell r="T152" t="str">
            <v>по</v>
          </cell>
        </row>
        <row r="153">
          <cell r="N153">
            <v>-0.19999999999999973</v>
          </cell>
          <cell r="T153">
            <v>0</v>
          </cell>
        </row>
        <row r="154">
          <cell r="N154">
            <v>0</v>
          </cell>
          <cell r="T154">
            <v>0</v>
          </cell>
        </row>
        <row r="155">
          <cell r="N155">
            <v>0</v>
          </cell>
          <cell r="T155">
            <v>0</v>
          </cell>
        </row>
        <row r="156">
          <cell r="N156">
            <v>0</v>
          </cell>
          <cell r="T156">
            <v>0</v>
          </cell>
        </row>
        <row r="157">
          <cell r="N157">
            <v>0</v>
          </cell>
          <cell r="T157">
            <v>0</v>
          </cell>
        </row>
        <row r="158">
          <cell r="N158">
            <v>-0.5</v>
          </cell>
          <cell r="T158" t="str">
            <v>ут.реж.</v>
          </cell>
        </row>
        <row r="159">
          <cell r="N159">
            <v>-0.79999999999999982</v>
          </cell>
          <cell r="T159" t="str">
            <v>ут.реж.</v>
          </cell>
        </row>
        <row r="160">
          <cell r="N160">
            <v>0</v>
          </cell>
          <cell r="T160">
            <v>0</v>
          </cell>
        </row>
        <row r="161">
          <cell r="N161">
            <v>0</v>
          </cell>
          <cell r="T161">
            <v>0</v>
          </cell>
        </row>
        <row r="162">
          <cell r="N162">
            <v>-1</v>
          </cell>
          <cell r="T162" t="str">
            <v>вода</v>
          </cell>
        </row>
        <row r="163">
          <cell r="N163">
            <v>0</v>
          </cell>
          <cell r="T163">
            <v>0</v>
          </cell>
        </row>
        <row r="164">
          <cell r="N164">
            <v>5.4</v>
          </cell>
          <cell r="T164" t="str">
            <v>прс</v>
          </cell>
        </row>
        <row r="165">
          <cell r="N165">
            <v>-0.40000000000000036</v>
          </cell>
          <cell r="T165" t="str">
            <v>вода</v>
          </cell>
        </row>
        <row r="166">
          <cell r="N166">
            <v>6.8000000000000007</v>
          </cell>
          <cell r="T166" t="str">
            <v>прс</v>
          </cell>
        </row>
        <row r="167">
          <cell r="N167">
            <v>0</v>
          </cell>
          <cell r="T167">
            <v>0</v>
          </cell>
        </row>
        <row r="168">
          <cell r="N168">
            <v>0</v>
          </cell>
          <cell r="T168">
            <v>0</v>
          </cell>
        </row>
        <row r="169">
          <cell r="N169">
            <v>9.9999999999999978E-2</v>
          </cell>
          <cell r="T169">
            <v>0</v>
          </cell>
        </row>
        <row r="170">
          <cell r="N170">
            <v>-1.1000000000000005</v>
          </cell>
          <cell r="T170" t="str">
            <v>вода</v>
          </cell>
        </row>
        <row r="171">
          <cell r="N171">
            <v>-1.3999999999999995</v>
          </cell>
          <cell r="T171" t="str">
            <v>вода</v>
          </cell>
        </row>
        <row r="172">
          <cell r="N172">
            <v>-1.3000000000000007</v>
          </cell>
          <cell r="T172" t="str">
            <v>ипп</v>
          </cell>
        </row>
        <row r="173">
          <cell r="N173">
            <v>-1.2000000000000002</v>
          </cell>
          <cell r="T173" t="str">
            <v>вода</v>
          </cell>
        </row>
        <row r="174">
          <cell r="N174">
            <v>0.30000000000000071</v>
          </cell>
          <cell r="T174">
            <v>0</v>
          </cell>
        </row>
        <row r="175">
          <cell r="N175">
            <v>-3.8000000000000007</v>
          </cell>
          <cell r="T175" t="str">
            <v>прс</v>
          </cell>
        </row>
        <row r="176">
          <cell r="N176">
            <v>-1.1000000000000014</v>
          </cell>
          <cell r="T176" t="str">
            <v>вода</v>
          </cell>
        </row>
        <row r="177">
          <cell r="N177">
            <v>0</v>
          </cell>
          <cell r="T177">
            <v>0</v>
          </cell>
        </row>
        <row r="178">
          <cell r="N178">
            <v>-0.19999999999999929</v>
          </cell>
          <cell r="T178">
            <v>0</v>
          </cell>
        </row>
        <row r="179">
          <cell r="N179">
            <v>1.5</v>
          </cell>
          <cell r="T179" t="str">
            <v>вода</v>
          </cell>
        </row>
        <row r="180">
          <cell r="N180">
            <v>0</v>
          </cell>
          <cell r="T180">
            <v>0</v>
          </cell>
        </row>
        <row r="181">
          <cell r="N181">
            <v>0</v>
          </cell>
          <cell r="T181">
            <v>0</v>
          </cell>
        </row>
        <row r="182">
          <cell r="N182">
            <v>-2.2000000000000011</v>
          </cell>
          <cell r="T182" t="str">
            <v>ут.реж.</v>
          </cell>
        </row>
        <row r="183">
          <cell r="N183">
            <v>-2</v>
          </cell>
          <cell r="T183" t="str">
            <v>ипп</v>
          </cell>
        </row>
        <row r="184">
          <cell r="N184">
            <v>0.10000000000000009</v>
          </cell>
          <cell r="T184">
            <v>0</v>
          </cell>
        </row>
        <row r="185">
          <cell r="N185">
            <v>0</v>
          </cell>
          <cell r="T185">
            <v>0</v>
          </cell>
        </row>
        <row r="186">
          <cell r="N186">
            <v>-2.3000000000000007</v>
          </cell>
          <cell r="T186" t="str">
            <v>вода</v>
          </cell>
        </row>
        <row r="187">
          <cell r="N187">
            <v>1.8000000000000007</v>
          </cell>
          <cell r="T187" t="str">
            <v>вода</v>
          </cell>
        </row>
        <row r="188">
          <cell r="N188">
            <v>0</v>
          </cell>
          <cell r="T188">
            <v>0</v>
          </cell>
        </row>
        <row r="189">
          <cell r="N189">
            <v>0</v>
          </cell>
          <cell r="T189">
            <v>0</v>
          </cell>
        </row>
        <row r="190">
          <cell r="N190">
            <v>0.59999999999999964</v>
          </cell>
          <cell r="T190" t="str">
            <v>вода</v>
          </cell>
        </row>
        <row r="191">
          <cell r="N191">
            <v>0.5</v>
          </cell>
          <cell r="T191" t="str">
            <v>вода</v>
          </cell>
        </row>
        <row r="192">
          <cell r="N192">
            <v>0</v>
          </cell>
          <cell r="T192">
            <v>0</v>
          </cell>
        </row>
        <row r="193">
          <cell r="N193">
            <v>-7.5</v>
          </cell>
          <cell r="T193" t="str">
            <v>вода</v>
          </cell>
        </row>
        <row r="194">
          <cell r="N194">
            <v>0.19999999999999929</v>
          </cell>
          <cell r="T194">
            <v>0</v>
          </cell>
        </row>
        <row r="195">
          <cell r="N195">
            <v>-2.1999999999999993</v>
          </cell>
          <cell r="T195" t="str">
            <v>прс</v>
          </cell>
        </row>
        <row r="196">
          <cell r="N196">
            <v>0.19999999999999929</v>
          </cell>
          <cell r="T196">
            <v>0</v>
          </cell>
        </row>
        <row r="197">
          <cell r="N197">
            <v>1.6999999999999993</v>
          </cell>
          <cell r="T197" t="str">
            <v>по</v>
          </cell>
        </row>
        <row r="198">
          <cell r="N198">
            <v>0</v>
          </cell>
          <cell r="T198">
            <v>0</v>
          </cell>
        </row>
        <row r="199">
          <cell r="N199">
            <v>-1.8000000000000007</v>
          </cell>
          <cell r="T199" t="str">
            <v>вода</v>
          </cell>
        </row>
        <row r="200">
          <cell r="N200">
            <v>0.60000000000000053</v>
          </cell>
          <cell r="T200" t="str">
            <v>вода</v>
          </cell>
        </row>
        <row r="201">
          <cell r="N201">
            <v>-1.8000000000000007</v>
          </cell>
          <cell r="T201" t="str">
            <v>по</v>
          </cell>
        </row>
        <row r="202">
          <cell r="N202">
            <v>-0.70000000000000018</v>
          </cell>
          <cell r="T202" t="str">
            <v>вода</v>
          </cell>
        </row>
        <row r="203">
          <cell r="N203">
            <v>-0.5</v>
          </cell>
          <cell r="T203" t="str">
            <v>см</v>
          </cell>
        </row>
        <row r="204">
          <cell r="N204">
            <v>0</v>
          </cell>
          <cell r="T204">
            <v>0</v>
          </cell>
        </row>
        <row r="205">
          <cell r="N205">
            <v>-1.3</v>
          </cell>
          <cell r="T205" t="str">
            <v>см</v>
          </cell>
        </row>
        <row r="206">
          <cell r="N206">
            <v>-9.9999999999999978E-2</v>
          </cell>
          <cell r="T206">
            <v>0</v>
          </cell>
        </row>
        <row r="207">
          <cell r="N207">
            <v>0.89999999999999858</v>
          </cell>
          <cell r="T207" t="str">
            <v>вода</v>
          </cell>
        </row>
        <row r="208">
          <cell r="N208">
            <v>-2</v>
          </cell>
          <cell r="T208" t="str">
            <v>ипп</v>
          </cell>
        </row>
        <row r="209">
          <cell r="N209">
            <v>-0.30000000000000071</v>
          </cell>
          <cell r="T209">
            <v>0</v>
          </cell>
        </row>
        <row r="210">
          <cell r="N210">
            <v>2.3000000000000007</v>
          </cell>
          <cell r="T210" t="str">
            <v>вода</v>
          </cell>
        </row>
        <row r="211">
          <cell r="N211">
            <v>-0.79999999999999982</v>
          </cell>
          <cell r="T211" t="str">
            <v>ПРС</v>
          </cell>
        </row>
        <row r="212">
          <cell r="N212">
            <v>-0.70000000000000018</v>
          </cell>
          <cell r="T212" t="str">
            <v>по</v>
          </cell>
        </row>
        <row r="213">
          <cell r="N213">
            <v>-3.1000000000000014</v>
          </cell>
          <cell r="T213" t="str">
            <v>ут.реж.</v>
          </cell>
        </row>
        <row r="214">
          <cell r="N214">
            <v>-0.19999999999999996</v>
          </cell>
          <cell r="T214">
            <v>0</v>
          </cell>
        </row>
        <row r="215">
          <cell r="N215">
            <v>0</v>
          </cell>
          <cell r="T215">
            <v>0</v>
          </cell>
        </row>
        <row r="216">
          <cell r="N216">
            <v>0.39999999999999991</v>
          </cell>
          <cell r="T216" t="str">
            <v>по</v>
          </cell>
        </row>
        <row r="217">
          <cell r="N217">
            <v>9.9999999999999867E-2</v>
          </cell>
          <cell r="T217">
            <v>0</v>
          </cell>
        </row>
        <row r="218">
          <cell r="N218">
            <v>1.5000000000000004</v>
          </cell>
          <cell r="T218" t="str">
            <v>прс</v>
          </cell>
        </row>
        <row r="219">
          <cell r="N219">
            <v>-9.9999999999999978E-2</v>
          </cell>
          <cell r="T219">
            <v>0</v>
          </cell>
        </row>
        <row r="220">
          <cell r="N220">
            <v>0</v>
          </cell>
          <cell r="T220">
            <v>0</v>
          </cell>
        </row>
        <row r="221">
          <cell r="N221">
            <v>-1.2999999999999998</v>
          </cell>
          <cell r="T221" t="str">
            <v>вода</v>
          </cell>
        </row>
        <row r="222">
          <cell r="N222">
            <v>-2.6999999999999993</v>
          </cell>
          <cell r="T222" t="str">
            <v>ут.реж.</v>
          </cell>
        </row>
        <row r="223">
          <cell r="N223">
            <v>0</v>
          </cell>
          <cell r="T223">
            <v>0</v>
          </cell>
        </row>
        <row r="224">
          <cell r="N224">
            <v>1.0999999999999996</v>
          </cell>
          <cell r="T224" t="str">
            <v>вода</v>
          </cell>
        </row>
        <row r="225">
          <cell r="N225">
            <v>-1.3999999999999986</v>
          </cell>
          <cell r="T225" t="str">
            <v>ут.реж.</v>
          </cell>
        </row>
        <row r="226">
          <cell r="N226">
            <v>0</v>
          </cell>
          <cell r="T226">
            <v>0</v>
          </cell>
        </row>
        <row r="227">
          <cell r="N227">
            <v>-0.89999999999999858</v>
          </cell>
          <cell r="T227" t="str">
            <v>ипп</v>
          </cell>
        </row>
        <row r="228">
          <cell r="N228">
            <v>0</v>
          </cell>
          <cell r="T228">
            <v>0</v>
          </cell>
        </row>
        <row r="229">
          <cell r="N229">
            <v>-0.10000000000000053</v>
          </cell>
          <cell r="T229">
            <v>0</v>
          </cell>
        </row>
        <row r="230">
          <cell r="N230">
            <v>0</v>
          </cell>
          <cell r="T230">
            <v>0</v>
          </cell>
        </row>
        <row r="231">
          <cell r="N231">
            <v>-0.79999999999999982</v>
          </cell>
          <cell r="T231" t="str">
            <v>по</v>
          </cell>
        </row>
        <row r="232">
          <cell r="N232">
            <v>-0.10000000000000003</v>
          </cell>
          <cell r="T232">
            <v>0</v>
          </cell>
        </row>
        <row r="233">
          <cell r="N233">
            <v>0.59999999999999964</v>
          </cell>
          <cell r="T233" t="str">
            <v>по</v>
          </cell>
        </row>
        <row r="234">
          <cell r="N234">
            <v>0</v>
          </cell>
          <cell r="T234">
            <v>0</v>
          </cell>
        </row>
        <row r="235">
          <cell r="N235">
            <v>0</v>
          </cell>
          <cell r="T235">
            <v>0</v>
          </cell>
        </row>
        <row r="236">
          <cell r="N236">
            <v>5.6</v>
          </cell>
          <cell r="T236" t="str">
            <v>КРС</v>
          </cell>
        </row>
        <row r="237">
          <cell r="N237">
            <v>1.6999999999999993</v>
          </cell>
          <cell r="T237" t="str">
            <v>ипп</v>
          </cell>
        </row>
        <row r="238">
          <cell r="N238">
            <v>0.5</v>
          </cell>
          <cell r="T238" t="str">
            <v>вода</v>
          </cell>
        </row>
        <row r="239">
          <cell r="N239">
            <v>0.5</v>
          </cell>
          <cell r="T239" t="str">
            <v>вода</v>
          </cell>
        </row>
        <row r="240">
          <cell r="N240">
            <v>-0.40000000000000036</v>
          </cell>
          <cell r="T240" t="str">
            <v>вода</v>
          </cell>
        </row>
        <row r="241">
          <cell r="N241">
            <v>2.9000000000000021</v>
          </cell>
          <cell r="T241" t="str">
            <v>ипп</v>
          </cell>
        </row>
        <row r="242">
          <cell r="N242">
            <v>-0.10000000000000053</v>
          </cell>
          <cell r="T242">
            <v>0</v>
          </cell>
        </row>
        <row r="243">
          <cell r="N243">
            <v>0</v>
          </cell>
          <cell r="T243">
            <v>0</v>
          </cell>
        </row>
        <row r="244">
          <cell r="N244">
            <v>0.30000000000000071</v>
          </cell>
          <cell r="T244">
            <v>0</v>
          </cell>
        </row>
        <row r="245">
          <cell r="N245">
            <v>1.2999999999999998</v>
          </cell>
          <cell r="T245">
            <v>0</v>
          </cell>
        </row>
        <row r="246">
          <cell r="N246">
            <v>-0.29999999999999893</v>
          </cell>
          <cell r="T246">
            <v>0</v>
          </cell>
        </row>
        <row r="247">
          <cell r="N247">
            <v>0</v>
          </cell>
          <cell r="T247">
            <v>0</v>
          </cell>
        </row>
        <row r="248">
          <cell r="N248">
            <v>-0.20000000000000107</v>
          </cell>
          <cell r="T248">
            <v>0</v>
          </cell>
        </row>
        <row r="249">
          <cell r="N249">
            <v>0.39999999999999947</v>
          </cell>
          <cell r="T249" t="str">
            <v>вода</v>
          </cell>
        </row>
        <row r="250">
          <cell r="N250">
            <v>1.6999999999999993</v>
          </cell>
          <cell r="T250" t="str">
            <v>ипп</v>
          </cell>
        </row>
        <row r="251">
          <cell r="N251">
            <v>3.1999999999999997</v>
          </cell>
          <cell r="T251" t="str">
            <v>ипп</v>
          </cell>
        </row>
        <row r="252">
          <cell r="N252">
            <v>0</v>
          </cell>
          <cell r="T252">
            <v>0</v>
          </cell>
        </row>
        <row r="253">
          <cell r="N253">
            <v>-0.30000000000000004</v>
          </cell>
          <cell r="T253">
            <v>0</v>
          </cell>
        </row>
        <row r="254">
          <cell r="N254">
            <v>0</v>
          </cell>
          <cell r="T254">
            <v>0</v>
          </cell>
        </row>
        <row r="255">
          <cell r="N255">
            <v>0</v>
          </cell>
          <cell r="T255">
            <v>0</v>
          </cell>
        </row>
        <row r="256">
          <cell r="N256">
            <v>0</v>
          </cell>
          <cell r="T256">
            <v>0</v>
          </cell>
        </row>
        <row r="257">
          <cell r="N257">
            <v>-1</v>
          </cell>
          <cell r="T257" t="str">
            <v>по</v>
          </cell>
        </row>
        <row r="258">
          <cell r="N258">
            <v>0</v>
          </cell>
          <cell r="T258">
            <v>0</v>
          </cell>
        </row>
        <row r="259">
          <cell r="N259">
            <v>-0.20000000000000018</v>
          </cell>
          <cell r="T259">
            <v>0</v>
          </cell>
        </row>
        <row r="260">
          <cell r="N260">
            <v>-7.2000000000000011</v>
          </cell>
          <cell r="T260" t="str">
            <v>по</v>
          </cell>
        </row>
        <row r="261">
          <cell r="N261">
            <v>2.4000000000000004</v>
          </cell>
          <cell r="T261" t="str">
            <v>ипп</v>
          </cell>
        </row>
        <row r="262">
          <cell r="N262">
            <v>-0.10000000000000009</v>
          </cell>
          <cell r="T262">
            <v>0</v>
          </cell>
        </row>
        <row r="263">
          <cell r="N263">
            <v>-0.10000000000000009</v>
          </cell>
          <cell r="T263">
            <v>0</v>
          </cell>
        </row>
        <row r="264">
          <cell r="N264">
            <v>-0.29999999999999982</v>
          </cell>
          <cell r="T264">
            <v>0</v>
          </cell>
        </row>
        <row r="265">
          <cell r="N265">
            <v>1.2000000000000002</v>
          </cell>
          <cell r="T265" t="str">
            <v>вода</v>
          </cell>
        </row>
        <row r="266">
          <cell r="N266">
            <v>0.90000000000000036</v>
          </cell>
          <cell r="T266" t="str">
            <v>вода</v>
          </cell>
        </row>
        <row r="267">
          <cell r="N267">
            <v>-0.19999999999999574</v>
          </cell>
          <cell r="T267">
            <v>0</v>
          </cell>
        </row>
        <row r="268">
          <cell r="N268">
            <v>-2.0000000000000036</v>
          </cell>
          <cell r="T268" t="str">
            <v>ипп</v>
          </cell>
        </row>
        <row r="269">
          <cell r="N269">
            <v>0</v>
          </cell>
          <cell r="T269">
            <v>0</v>
          </cell>
        </row>
        <row r="270">
          <cell r="N270">
            <v>0.40000000000000036</v>
          </cell>
          <cell r="T270" t="str">
            <v>вода</v>
          </cell>
        </row>
        <row r="271">
          <cell r="N271">
            <v>-1.1000000000000014</v>
          </cell>
          <cell r="T271" t="str">
            <v>ипп</v>
          </cell>
        </row>
        <row r="272">
          <cell r="N272">
            <v>11.5</v>
          </cell>
          <cell r="T272" t="str">
            <v>по</v>
          </cell>
        </row>
        <row r="273">
          <cell r="N273">
            <v>0</v>
          </cell>
          <cell r="T273">
            <v>0</v>
          </cell>
        </row>
        <row r="274">
          <cell r="N274">
            <v>0</v>
          </cell>
          <cell r="T274">
            <v>0</v>
          </cell>
        </row>
        <row r="275">
          <cell r="N275">
            <v>-9.9999999999999867E-2</v>
          </cell>
          <cell r="T275">
            <v>0</v>
          </cell>
        </row>
        <row r="276">
          <cell r="N276">
            <v>0.5</v>
          </cell>
          <cell r="T276" t="str">
            <v>ут.реж.</v>
          </cell>
        </row>
        <row r="277">
          <cell r="N277">
            <v>-0.60000000000000053</v>
          </cell>
          <cell r="T277" t="str">
            <v>по</v>
          </cell>
        </row>
        <row r="278">
          <cell r="N278">
            <v>-0.60000000000000009</v>
          </cell>
          <cell r="T278" t="str">
            <v>ипп</v>
          </cell>
        </row>
        <row r="279">
          <cell r="N279">
            <v>0.4</v>
          </cell>
          <cell r="T279" t="str">
            <v>ут.реж.</v>
          </cell>
        </row>
        <row r="280">
          <cell r="N280">
            <v>0</v>
          </cell>
          <cell r="T280">
            <v>0</v>
          </cell>
        </row>
        <row r="281">
          <cell r="N281">
            <v>0</v>
          </cell>
          <cell r="T281">
            <v>0</v>
          </cell>
        </row>
        <row r="282">
          <cell r="N282">
            <v>-1.6999999999999993</v>
          </cell>
          <cell r="T282" t="str">
            <v>ут.реж.</v>
          </cell>
        </row>
        <row r="283">
          <cell r="N283">
            <v>1.7999999999999989</v>
          </cell>
          <cell r="T283" t="str">
            <v>вода</v>
          </cell>
        </row>
        <row r="284">
          <cell r="N284">
            <v>-1.7000000000000002</v>
          </cell>
          <cell r="T284" t="str">
            <v>вода</v>
          </cell>
        </row>
        <row r="285">
          <cell r="N285">
            <v>3.4999999999999991</v>
          </cell>
          <cell r="T285" t="str">
            <v>прс</v>
          </cell>
        </row>
        <row r="286">
          <cell r="N286">
            <v>9.9999999999999978E-2</v>
          </cell>
          <cell r="T286">
            <v>0</v>
          </cell>
        </row>
        <row r="287">
          <cell r="N287">
            <v>0</v>
          </cell>
          <cell r="T287">
            <v>0</v>
          </cell>
        </row>
        <row r="288">
          <cell r="N288">
            <v>-2.9000000000000021</v>
          </cell>
          <cell r="T288" t="str">
            <v>ут.реж.</v>
          </cell>
        </row>
        <row r="289">
          <cell r="N289">
            <v>0</v>
          </cell>
          <cell r="T289">
            <v>0</v>
          </cell>
        </row>
        <row r="290">
          <cell r="N290">
            <v>0.39999999999999991</v>
          </cell>
          <cell r="T290" t="str">
            <v>ут.реж.</v>
          </cell>
        </row>
        <row r="291">
          <cell r="N291">
            <v>-1.5</v>
          </cell>
          <cell r="T291" t="str">
            <v>по</v>
          </cell>
        </row>
        <row r="292">
          <cell r="N292">
            <v>1</v>
          </cell>
          <cell r="T292" t="str">
            <v>ут.реж.</v>
          </cell>
        </row>
        <row r="293">
          <cell r="N293">
            <v>-0.5</v>
          </cell>
          <cell r="T293" t="str">
            <v>по</v>
          </cell>
        </row>
        <row r="294">
          <cell r="N294">
            <v>-4.3000000000000007</v>
          </cell>
          <cell r="T294" t="str">
            <v>по</v>
          </cell>
        </row>
        <row r="295">
          <cell r="N295">
            <v>0</v>
          </cell>
          <cell r="T295">
            <v>0</v>
          </cell>
        </row>
        <row r="296">
          <cell r="N296">
            <v>0.70000000000000018</v>
          </cell>
          <cell r="T296" t="str">
            <v>вода</v>
          </cell>
        </row>
        <row r="297">
          <cell r="N297">
            <v>0.4</v>
          </cell>
          <cell r="T297" t="str">
            <v>ут.реж.</v>
          </cell>
        </row>
        <row r="298">
          <cell r="N298">
            <v>0.60000000000000009</v>
          </cell>
          <cell r="T298" t="str">
            <v>вода</v>
          </cell>
        </row>
        <row r="299">
          <cell r="N299">
            <v>4.2999999999999989</v>
          </cell>
          <cell r="T299" t="str">
            <v>ПРС</v>
          </cell>
        </row>
        <row r="300">
          <cell r="N300">
            <v>1.1000000000000005</v>
          </cell>
          <cell r="T300" t="str">
            <v>ут.реж.</v>
          </cell>
        </row>
        <row r="301">
          <cell r="N301">
            <v>0.10000000000000009</v>
          </cell>
          <cell r="T301">
            <v>0</v>
          </cell>
        </row>
        <row r="302">
          <cell r="N302">
            <v>0</v>
          </cell>
          <cell r="T302">
            <v>0</v>
          </cell>
        </row>
        <row r="303">
          <cell r="N303">
            <v>-0.5</v>
          </cell>
          <cell r="T303" t="str">
            <v>вода</v>
          </cell>
        </row>
        <row r="304">
          <cell r="N304">
            <v>-0.10000000000000009</v>
          </cell>
          <cell r="T304">
            <v>0</v>
          </cell>
        </row>
        <row r="305">
          <cell r="N305">
            <v>0</v>
          </cell>
          <cell r="T305">
            <v>0</v>
          </cell>
        </row>
        <row r="306">
          <cell r="N306">
            <v>0</v>
          </cell>
          <cell r="T306">
            <v>0</v>
          </cell>
        </row>
        <row r="307">
          <cell r="N307">
            <v>-4.1999999999999993</v>
          </cell>
          <cell r="T307" t="str">
            <v>ипп</v>
          </cell>
        </row>
        <row r="308">
          <cell r="N308">
            <v>0</v>
          </cell>
          <cell r="T308">
            <v>0</v>
          </cell>
        </row>
        <row r="309">
          <cell r="N309">
            <v>0</v>
          </cell>
          <cell r="T309">
            <v>0</v>
          </cell>
        </row>
        <row r="310">
          <cell r="N310">
            <v>-0.5</v>
          </cell>
          <cell r="T310" t="str">
            <v>вода</v>
          </cell>
        </row>
        <row r="311">
          <cell r="N311">
            <v>0.80000000000000027</v>
          </cell>
          <cell r="T311" t="str">
            <v>ипп</v>
          </cell>
        </row>
        <row r="312">
          <cell r="N312">
            <v>0</v>
          </cell>
          <cell r="T312">
            <v>0</v>
          </cell>
        </row>
        <row r="313">
          <cell r="N313">
            <v>-0.20000000000000018</v>
          </cell>
          <cell r="T313">
            <v>0</v>
          </cell>
        </row>
        <row r="314">
          <cell r="N314">
            <v>0</v>
          </cell>
          <cell r="T314">
            <v>0</v>
          </cell>
        </row>
        <row r="315">
          <cell r="N315">
            <v>-3.9000000000000004</v>
          </cell>
          <cell r="T315" t="str">
            <v>по</v>
          </cell>
        </row>
        <row r="316">
          <cell r="N316">
            <v>0</v>
          </cell>
          <cell r="T316" t="str">
            <v>по</v>
          </cell>
        </row>
        <row r="317">
          <cell r="N317">
            <v>-0.39999999999999991</v>
          </cell>
          <cell r="T317" t="str">
            <v>по</v>
          </cell>
        </row>
        <row r="318">
          <cell r="N318">
            <v>-1.0999999999999979</v>
          </cell>
          <cell r="T318" t="str">
            <v>вода</v>
          </cell>
        </row>
        <row r="319">
          <cell r="N319">
            <v>-3.9000000000000004</v>
          </cell>
          <cell r="T319" t="str">
            <v>ут.реж.</v>
          </cell>
        </row>
        <row r="320">
          <cell r="N320">
            <v>-2.0999999999999996</v>
          </cell>
          <cell r="T320" t="str">
            <v>вода</v>
          </cell>
        </row>
        <row r="321">
          <cell r="N321">
            <v>0</v>
          </cell>
          <cell r="T321">
            <v>0</v>
          </cell>
        </row>
        <row r="322">
          <cell r="N322">
            <v>-2.8000000000000007</v>
          </cell>
          <cell r="T322" t="str">
            <v>ипп</v>
          </cell>
        </row>
        <row r="323">
          <cell r="N323">
            <v>-0.5</v>
          </cell>
          <cell r="T323" t="str">
            <v>вода</v>
          </cell>
        </row>
        <row r="324">
          <cell r="N324">
            <v>-1</v>
          </cell>
          <cell r="T324" t="str">
            <v>вода</v>
          </cell>
        </row>
        <row r="325">
          <cell r="N325">
            <v>0.29999999999999982</v>
          </cell>
          <cell r="T325">
            <v>0</v>
          </cell>
        </row>
        <row r="326">
          <cell r="N326">
            <v>-0.20000000000000018</v>
          </cell>
          <cell r="T326">
            <v>0</v>
          </cell>
        </row>
        <row r="327">
          <cell r="N327">
            <v>0</v>
          </cell>
          <cell r="T327">
            <v>0</v>
          </cell>
        </row>
        <row r="328">
          <cell r="N328">
            <v>-1.2000000000000002</v>
          </cell>
          <cell r="T328" t="str">
            <v>по</v>
          </cell>
        </row>
        <row r="329">
          <cell r="N329">
            <v>0</v>
          </cell>
          <cell r="T329">
            <v>0</v>
          </cell>
        </row>
        <row r="330">
          <cell r="N330">
            <v>0.30000000000000004</v>
          </cell>
          <cell r="T330">
            <v>0</v>
          </cell>
        </row>
        <row r="331">
          <cell r="N331">
            <v>0</v>
          </cell>
          <cell r="T331" t="str">
            <v>уход в б/д</v>
          </cell>
        </row>
        <row r="332">
          <cell r="N332">
            <v>14.9</v>
          </cell>
          <cell r="T332" t="str">
            <v>КРС</v>
          </cell>
        </row>
        <row r="333">
          <cell r="N333">
            <v>-1.6999999999999993</v>
          </cell>
          <cell r="T333" t="str">
            <v>по</v>
          </cell>
        </row>
        <row r="334">
          <cell r="N334">
            <v>0.5</v>
          </cell>
          <cell r="T334" t="str">
            <v>ут.реж.</v>
          </cell>
        </row>
        <row r="335">
          <cell r="N335">
            <v>-3.0999999999999979</v>
          </cell>
          <cell r="T335" t="str">
            <v>ут.реж.</v>
          </cell>
        </row>
        <row r="336">
          <cell r="N336">
            <v>0.10000000000000009</v>
          </cell>
          <cell r="T336">
            <v>0</v>
          </cell>
        </row>
        <row r="337">
          <cell r="N337">
            <v>-4.5</v>
          </cell>
          <cell r="T337" t="str">
            <v>ут.реж.</v>
          </cell>
        </row>
        <row r="338">
          <cell r="N338">
            <v>2</v>
          </cell>
          <cell r="T338" t="str">
            <v>ПРС</v>
          </cell>
        </row>
        <row r="339">
          <cell r="N339">
            <v>-0.10000000000000009</v>
          </cell>
          <cell r="T339">
            <v>0</v>
          </cell>
        </row>
        <row r="340">
          <cell r="N340">
            <v>0</v>
          </cell>
          <cell r="T340">
            <v>0</v>
          </cell>
        </row>
        <row r="341">
          <cell r="N341">
            <v>-0.60000000000000053</v>
          </cell>
          <cell r="T341" t="str">
            <v>вода</v>
          </cell>
        </row>
        <row r="342">
          <cell r="N342">
            <v>-0.70000000000000018</v>
          </cell>
          <cell r="T342" t="str">
            <v>ут.реж.</v>
          </cell>
        </row>
        <row r="343">
          <cell r="N343">
            <v>-1.5</v>
          </cell>
          <cell r="T343" t="str">
            <v>вода</v>
          </cell>
        </row>
        <row r="344">
          <cell r="N344">
            <v>0</v>
          </cell>
          <cell r="T344">
            <v>0</v>
          </cell>
        </row>
        <row r="345">
          <cell r="N345">
            <v>0</v>
          </cell>
          <cell r="T345">
            <v>0</v>
          </cell>
        </row>
        <row r="346">
          <cell r="N346">
            <v>-0.5</v>
          </cell>
          <cell r="T346" t="str">
            <v>ипп</v>
          </cell>
        </row>
        <row r="347">
          <cell r="N347">
            <v>-1.3000000000000003</v>
          </cell>
          <cell r="T347" t="str">
            <v>вода</v>
          </cell>
        </row>
        <row r="348">
          <cell r="N348">
            <v>0.10000000000000009</v>
          </cell>
          <cell r="T348">
            <v>0</v>
          </cell>
        </row>
        <row r="349">
          <cell r="N349">
            <v>0</v>
          </cell>
          <cell r="T349">
            <v>0</v>
          </cell>
        </row>
        <row r="350">
          <cell r="N350">
            <v>-8.2000000000000028</v>
          </cell>
          <cell r="T350" t="str">
            <v>ипп</v>
          </cell>
        </row>
        <row r="351">
          <cell r="N351">
            <v>-3</v>
          </cell>
          <cell r="T351" t="str">
            <v>вода</v>
          </cell>
        </row>
        <row r="352">
          <cell r="N352">
            <v>0.10000000000000009</v>
          </cell>
          <cell r="T352" t="str">
            <v>см</v>
          </cell>
        </row>
        <row r="353">
          <cell r="N353">
            <v>0</v>
          </cell>
          <cell r="T353" t="str">
            <v>уход в б/д</v>
          </cell>
        </row>
        <row r="354">
          <cell r="N354">
            <v>-1.5</v>
          </cell>
          <cell r="T354" t="str">
            <v>вода</v>
          </cell>
        </row>
        <row r="355">
          <cell r="N355">
            <v>-4</v>
          </cell>
          <cell r="T355" t="str">
            <v>вода</v>
          </cell>
        </row>
        <row r="356">
          <cell r="N356">
            <v>0</v>
          </cell>
          <cell r="T356">
            <v>0</v>
          </cell>
        </row>
        <row r="357">
          <cell r="N357">
            <v>0</v>
          </cell>
          <cell r="T357">
            <v>0</v>
          </cell>
        </row>
        <row r="358">
          <cell r="N358">
            <v>-0.10000000000000009</v>
          </cell>
          <cell r="T358">
            <v>0</v>
          </cell>
        </row>
        <row r="359">
          <cell r="N359">
            <v>0.90000000000000036</v>
          </cell>
          <cell r="T359" t="str">
            <v>вода</v>
          </cell>
        </row>
        <row r="360">
          <cell r="N360">
            <v>0</v>
          </cell>
          <cell r="T360">
            <v>0</v>
          </cell>
        </row>
        <row r="361">
          <cell r="N361">
            <v>0</v>
          </cell>
          <cell r="T361">
            <v>0</v>
          </cell>
        </row>
        <row r="362">
          <cell r="N362">
            <v>0</v>
          </cell>
          <cell r="T362">
            <v>0</v>
          </cell>
        </row>
        <row r="363">
          <cell r="N363">
            <v>-0.10000000000000009</v>
          </cell>
          <cell r="T363">
            <v>0</v>
          </cell>
        </row>
        <row r="364">
          <cell r="N364">
            <v>0.70000000000000018</v>
          </cell>
          <cell r="T364" t="str">
            <v>вода</v>
          </cell>
        </row>
        <row r="365">
          <cell r="N365">
            <v>3</v>
          </cell>
          <cell r="T365" t="str">
            <v>по</v>
          </cell>
        </row>
        <row r="366">
          <cell r="N366">
            <v>0</v>
          </cell>
          <cell r="T366">
            <v>0</v>
          </cell>
        </row>
        <row r="367">
          <cell r="N367">
            <v>-1.4999999999999991</v>
          </cell>
          <cell r="T367" t="str">
            <v>вода</v>
          </cell>
        </row>
        <row r="368">
          <cell r="N368">
            <v>0</v>
          </cell>
          <cell r="T368">
            <v>0</v>
          </cell>
        </row>
        <row r="369">
          <cell r="N369">
            <v>0</v>
          </cell>
          <cell r="T369">
            <v>0</v>
          </cell>
        </row>
        <row r="370">
          <cell r="N370">
            <v>-2.0999999999999996</v>
          </cell>
          <cell r="T370" t="str">
            <v>см</v>
          </cell>
        </row>
        <row r="371">
          <cell r="N371">
            <v>0</v>
          </cell>
          <cell r="T371">
            <v>0</v>
          </cell>
        </row>
        <row r="372">
          <cell r="N372">
            <v>-1.2000000000000002</v>
          </cell>
          <cell r="T372" t="str">
            <v>ипп</v>
          </cell>
        </row>
        <row r="373">
          <cell r="N373">
            <v>-1</v>
          </cell>
          <cell r="T373" t="str">
            <v>ут.реж.</v>
          </cell>
        </row>
        <row r="374">
          <cell r="N374">
            <v>0.20000000000000107</v>
          </cell>
          <cell r="T374">
            <v>0</v>
          </cell>
        </row>
        <row r="375">
          <cell r="N375">
            <v>0</v>
          </cell>
          <cell r="T375">
            <v>0</v>
          </cell>
        </row>
        <row r="376">
          <cell r="N376">
            <v>14.5</v>
          </cell>
          <cell r="T376" t="str">
            <v>КРС</v>
          </cell>
        </row>
        <row r="377">
          <cell r="N377">
            <v>0</v>
          </cell>
          <cell r="T377">
            <v>0</v>
          </cell>
        </row>
        <row r="378">
          <cell r="N378">
            <v>-4.1999999999999993</v>
          </cell>
          <cell r="T378" t="str">
            <v>вода</v>
          </cell>
        </row>
        <row r="379">
          <cell r="N379">
            <v>0</v>
          </cell>
          <cell r="T379">
            <v>0</v>
          </cell>
        </row>
        <row r="380">
          <cell r="N380">
            <v>0</v>
          </cell>
          <cell r="T380">
            <v>0</v>
          </cell>
        </row>
        <row r="381">
          <cell r="N381">
            <v>-1.7000000000000011</v>
          </cell>
          <cell r="T381" t="str">
            <v>вода</v>
          </cell>
        </row>
        <row r="382">
          <cell r="N382">
            <v>-3.2000000000000011</v>
          </cell>
          <cell r="T382" t="str">
            <v>вода</v>
          </cell>
        </row>
        <row r="383">
          <cell r="N383">
            <v>-9.5</v>
          </cell>
          <cell r="T383" t="str">
            <v>ут.реж.</v>
          </cell>
        </row>
        <row r="384">
          <cell r="N384">
            <v>-2.1999999999999993</v>
          </cell>
          <cell r="T384" t="str">
            <v>вода</v>
          </cell>
        </row>
        <row r="385">
          <cell r="N385">
            <v>-0.20000000000000007</v>
          </cell>
          <cell r="T385">
            <v>0</v>
          </cell>
        </row>
        <row r="386">
          <cell r="N386">
            <v>-1.2999999999999989</v>
          </cell>
          <cell r="T386" t="str">
            <v>вода</v>
          </cell>
        </row>
        <row r="387">
          <cell r="N387">
            <v>1.0999999999999996</v>
          </cell>
          <cell r="T387" t="str">
            <v>вода</v>
          </cell>
        </row>
        <row r="388">
          <cell r="N388">
            <v>-0.19999999999999973</v>
          </cell>
          <cell r="T388">
            <v>0</v>
          </cell>
        </row>
        <row r="389">
          <cell r="N389">
            <v>-2.2000000000000011</v>
          </cell>
          <cell r="T389" t="str">
            <v>по</v>
          </cell>
        </row>
        <row r="390">
          <cell r="N390">
            <v>0</v>
          </cell>
          <cell r="T390" t="str">
            <v>уход в б/д</v>
          </cell>
        </row>
        <row r="391">
          <cell r="N391">
            <v>-0.19999999999999996</v>
          </cell>
          <cell r="T391">
            <v>0</v>
          </cell>
        </row>
        <row r="392">
          <cell r="N392">
            <v>-0.29999999999999893</v>
          </cell>
          <cell r="T392">
            <v>0</v>
          </cell>
        </row>
        <row r="393">
          <cell r="N393">
            <v>0</v>
          </cell>
          <cell r="T393">
            <v>0</v>
          </cell>
        </row>
        <row r="394">
          <cell r="N394">
            <v>-1.2999999999999998</v>
          </cell>
          <cell r="T394" t="str">
            <v>по</v>
          </cell>
        </row>
        <row r="395">
          <cell r="N395">
            <v>0</v>
          </cell>
          <cell r="T395">
            <v>0</v>
          </cell>
        </row>
        <row r="396">
          <cell r="N396">
            <v>-0.50000000000000022</v>
          </cell>
          <cell r="T396" t="str">
            <v>по</v>
          </cell>
        </row>
        <row r="397">
          <cell r="N397">
            <v>0.30000000000000004</v>
          </cell>
          <cell r="T397" t="str">
            <v>вода</v>
          </cell>
        </row>
        <row r="398">
          <cell r="N398">
            <v>0.6</v>
          </cell>
          <cell r="T398" t="str">
            <v>ипп</v>
          </cell>
        </row>
        <row r="399">
          <cell r="N399">
            <v>9.9999999999999645E-2</v>
          </cell>
          <cell r="T399">
            <v>0</v>
          </cell>
        </row>
        <row r="400">
          <cell r="N400">
            <v>-0.59999999999999987</v>
          </cell>
          <cell r="T400" t="str">
            <v>ипп</v>
          </cell>
        </row>
        <row r="401">
          <cell r="N401">
            <v>0.19999999999999996</v>
          </cell>
          <cell r="T401">
            <v>0</v>
          </cell>
        </row>
        <row r="402">
          <cell r="N402">
            <v>-1.1999999999999993</v>
          </cell>
          <cell r="T402" t="str">
            <v>вода</v>
          </cell>
        </row>
        <row r="403">
          <cell r="N403">
            <v>2.9000000000000004</v>
          </cell>
          <cell r="T403" t="str">
            <v>по</v>
          </cell>
        </row>
        <row r="404">
          <cell r="N404">
            <v>3.3000000000000007</v>
          </cell>
          <cell r="T404" t="str">
            <v>прс</v>
          </cell>
        </row>
        <row r="405">
          <cell r="N405">
            <v>0</v>
          </cell>
          <cell r="T405">
            <v>0</v>
          </cell>
        </row>
        <row r="406">
          <cell r="N406">
            <v>0</v>
          </cell>
          <cell r="T406">
            <v>0</v>
          </cell>
        </row>
        <row r="407">
          <cell r="N407">
            <v>1.5000000000000009</v>
          </cell>
          <cell r="T407" t="str">
            <v>по</v>
          </cell>
        </row>
        <row r="408">
          <cell r="N408">
            <v>-0.90000000000000036</v>
          </cell>
          <cell r="T408" t="str">
            <v>по</v>
          </cell>
        </row>
        <row r="409">
          <cell r="N409">
            <v>-2.0999999999999996</v>
          </cell>
          <cell r="T409" t="str">
            <v>вода</v>
          </cell>
        </row>
        <row r="410">
          <cell r="N410">
            <v>0</v>
          </cell>
          <cell r="T410">
            <v>0</v>
          </cell>
        </row>
        <row r="411">
          <cell r="N411">
            <v>-2</v>
          </cell>
          <cell r="T411" t="str">
            <v>ипп</v>
          </cell>
        </row>
        <row r="412">
          <cell r="N412">
            <v>0</v>
          </cell>
          <cell r="T412">
            <v>0</v>
          </cell>
        </row>
        <row r="413">
          <cell r="N413">
            <v>0</v>
          </cell>
          <cell r="T413">
            <v>0</v>
          </cell>
        </row>
        <row r="414">
          <cell r="N414">
            <v>-4.3999999999999986</v>
          </cell>
          <cell r="T414" t="str">
            <v>ипп</v>
          </cell>
        </row>
        <row r="415">
          <cell r="N415">
            <v>0</v>
          </cell>
          <cell r="T415">
            <v>0</v>
          </cell>
        </row>
        <row r="416">
          <cell r="N416">
            <v>0</v>
          </cell>
          <cell r="T416" t="str">
            <v>см</v>
          </cell>
        </row>
        <row r="417">
          <cell r="N417">
            <v>-3.7999999999999989</v>
          </cell>
          <cell r="T417" t="str">
            <v>по</v>
          </cell>
        </row>
        <row r="418">
          <cell r="N418">
            <v>-0.79999999999999893</v>
          </cell>
          <cell r="T418" t="str">
            <v>ипп</v>
          </cell>
        </row>
        <row r="419">
          <cell r="N419">
            <v>-0.19999999999999973</v>
          </cell>
          <cell r="T419">
            <v>0</v>
          </cell>
        </row>
        <row r="420">
          <cell r="N420">
            <v>0</v>
          </cell>
          <cell r="T420">
            <v>0</v>
          </cell>
        </row>
        <row r="421">
          <cell r="N421">
            <v>0</v>
          </cell>
          <cell r="T421">
            <v>0</v>
          </cell>
        </row>
        <row r="422">
          <cell r="N422">
            <v>-4.4000000000000004</v>
          </cell>
          <cell r="T422" t="str">
            <v>по</v>
          </cell>
        </row>
        <row r="423">
          <cell r="N423">
            <v>-2.6000000000000005</v>
          </cell>
          <cell r="T423" t="str">
            <v>ипп</v>
          </cell>
        </row>
        <row r="424">
          <cell r="N424">
            <v>-8.0999999999999979</v>
          </cell>
          <cell r="T424" t="str">
            <v>ут.реж.</v>
          </cell>
        </row>
        <row r="425">
          <cell r="N425">
            <v>0</v>
          </cell>
          <cell r="T425">
            <v>0</v>
          </cell>
        </row>
        <row r="426">
          <cell r="N426">
            <v>-2.4000000000000004</v>
          </cell>
          <cell r="T426" t="str">
            <v>вода</v>
          </cell>
        </row>
        <row r="427">
          <cell r="N427">
            <v>0</v>
          </cell>
          <cell r="T427">
            <v>0</v>
          </cell>
        </row>
        <row r="428">
          <cell r="N428">
            <v>-1.7999999999999989</v>
          </cell>
          <cell r="T428" t="str">
            <v>вода</v>
          </cell>
        </row>
        <row r="429">
          <cell r="N429">
            <v>0.79999999999999893</v>
          </cell>
          <cell r="T429" t="str">
            <v>вода</v>
          </cell>
        </row>
        <row r="430">
          <cell r="N430">
            <v>0</v>
          </cell>
          <cell r="T430">
            <v>0</v>
          </cell>
        </row>
        <row r="431">
          <cell r="N431">
            <v>2.8000000000000007</v>
          </cell>
          <cell r="T431" t="str">
            <v>ут.реж.</v>
          </cell>
        </row>
        <row r="432">
          <cell r="N432">
            <v>0</v>
          </cell>
          <cell r="T432" t="str">
            <v>см</v>
          </cell>
        </row>
        <row r="433">
          <cell r="N433">
            <v>0</v>
          </cell>
          <cell r="T433">
            <v>0</v>
          </cell>
        </row>
        <row r="434">
          <cell r="N434">
            <v>0.19999999999999973</v>
          </cell>
          <cell r="T434">
            <v>0</v>
          </cell>
        </row>
        <row r="435">
          <cell r="N435">
            <v>-2.1999999999999993</v>
          </cell>
          <cell r="T435" t="str">
            <v>по</v>
          </cell>
        </row>
        <row r="436">
          <cell r="N436">
            <v>-0.70000000000000107</v>
          </cell>
          <cell r="T436" t="str">
            <v>вода</v>
          </cell>
        </row>
        <row r="437">
          <cell r="N437">
            <v>-8.5</v>
          </cell>
          <cell r="T437" t="str">
            <v>по</v>
          </cell>
        </row>
        <row r="438">
          <cell r="N438">
            <v>0.10000000000000009</v>
          </cell>
          <cell r="T438">
            <v>0</v>
          </cell>
        </row>
        <row r="439">
          <cell r="N439">
            <v>-0.5</v>
          </cell>
          <cell r="T439" t="str">
            <v>вода</v>
          </cell>
        </row>
        <row r="440">
          <cell r="N440">
            <v>-0.70000000000000107</v>
          </cell>
          <cell r="T440" t="str">
            <v>ут.реж.</v>
          </cell>
        </row>
        <row r="441">
          <cell r="N441">
            <v>0</v>
          </cell>
          <cell r="T441" t="str">
            <v>по</v>
          </cell>
        </row>
        <row r="442">
          <cell r="N442">
            <v>-2.0000000000000018</v>
          </cell>
          <cell r="T442" t="str">
            <v>ут.реж.</v>
          </cell>
        </row>
        <row r="443">
          <cell r="N443">
            <v>-2.4000000000000004</v>
          </cell>
          <cell r="T443" t="str">
            <v>ут.реж.</v>
          </cell>
        </row>
        <row r="444">
          <cell r="N444">
            <v>1</v>
          </cell>
          <cell r="T444" t="str">
            <v>ут.реж.</v>
          </cell>
        </row>
        <row r="445">
          <cell r="N445">
            <v>2.5</v>
          </cell>
          <cell r="T445" t="str">
            <v>ут.реж.</v>
          </cell>
        </row>
        <row r="446">
          <cell r="N446">
            <v>-0.79999999999999982</v>
          </cell>
          <cell r="T446" t="str">
            <v>вода</v>
          </cell>
        </row>
        <row r="447">
          <cell r="N447">
            <v>1.2999999999999998</v>
          </cell>
          <cell r="T447" t="str">
            <v>прс</v>
          </cell>
        </row>
        <row r="448">
          <cell r="N448">
            <v>-2.8000000000000007</v>
          </cell>
          <cell r="T448" t="str">
            <v>см</v>
          </cell>
        </row>
        <row r="449">
          <cell r="N449">
            <v>0.5</v>
          </cell>
          <cell r="T449" t="str">
            <v>ипп</v>
          </cell>
        </row>
        <row r="450">
          <cell r="N450">
            <v>-0.40000000000000036</v>
          </cell>
          <cell r="T450" t="str">
            <v>ут.реж.</v>
          </cell>
        </row>
        <row r="451">
          <cell r="N451">
            <v>0</v>
          </cell>
          <cell r="T451">
            <v>0</v>
          </cell>
        </row>
        <row r="452">
          <cell r="N452">
            <v>1.2000000000000011</v>
          </cell>
          <cell r="T452" t="str">
            <v>прс</v>
          </cell>
        </row>
        <row r="453">
          <cell r="N453">
            <v>0</v>
          </cell>
          <cell r="T453">
            <v>0</v>
          </cell>
        </row>
        <row r="454">
          <cell r="N454">
            <v>-9.9999999999999978E-2</v>
          </cell>
          <cell r="T454">
            <v>0</v>
          </cell>
        </row>
        <row r="455">
          <cell r="N455">
            <v>0</v>
          </cell>
          <cell r="T455">
            <v>0</v>
          </cell>
        </row>
        <row r="456">
          <cell r="N456">
            <v>0.5</v>
          </cell>
          <cell r="T456" t="str">
            <v>ут.реж.</v>
          </cell>
        </row>
        <row r="457">
          <cell r="N457">
            <v>-1.7000000000000002</v>
          </cell>
          <cell r="T457" t="str">
            <v>см</v>
          </cell>
        </row>
        <row r="458">
          <cell r="N458">
            <v>-3.6999999999999993</v>
          </cell>
          <cell r="T458" t="str">
            <v>ут.реж.</v>
          </cell>
        </row>
        <row r="459">
          <cell r="N459">
            <v>-0.30000000000000004</v>
          </cell>
          <cell r="T459">
            <v>0</v>
          </cell>
        </row>
        <row r="460">
          <cell r="N460">
            <v>0</v>
          </cell>
          <cell r="T460">
            <v>0</v>
          </cell>
        </row>
        <row r="461">
          <cell r="N461">
            <v>0</v>
          </cell>
          <cell r="T461">
            <v>0</v>
          </cell>
        </row>
        <row r="462">
          <cell r="N462">
            <v>6.5</v>
          </cell>
          <cell r="T462" t="str">
            <v>ут.реж.</v>
          </cell>
        </row>
        <row r="463">
          <cell r="N463">
            <v>-1.7000000000000011</v>
          </cell>
          <cell r="T463" t="str">
            <v>ипп</v>
          </cell>
        </row>
        <row r="464">
          <cell r="N464">
            <v>1.6999999999999993</v>
          </cell>
          <cell r="T464" t="str">
            <v>ут.реж.</v>
          </cell>
        </row>
        <row r="465">
          <cell r="N465">
            <v>-6.9999999999999991</v>
          </cell>
          <cell r="T465" t="str">
            <v>по</v>
          </cell>
        </row>
        <row r="466">
          <cell r="N466">
            <v>-0.10000000000000142</v>
          </cell>
          <cell r="T466">
            <v>0</v>
          </cell>
        </row>
        <row r="467">
          <cell r="N467">
            <v>0.39999999999999858</v>
          </cell>
          <cell r="T467" t="str">
            <v>ут.реж.</v>
          </cell>
        </row>
        <row r="468">
          <cell r="N468">
            <v>-2.2999999999999989</v>
          </cell>
          <cell r="T468" t="str">
            <v>ут.реж.</v>
          </cell>
        </row>
        <row r="469">
          <cell r="N469">
            <v>0.5</v>
          </cell>
          <cell r="T469" t="str">
            <v>прс</v>
          </cell>
        </row>
        <row r="470">
          <cell r="N470">
            <v>0</v>
          </cell>
          <cell r="T470">
            <v>0</v>
          </cell>
        </row>
        <row r="471">
          <cell r="N471">
            <v>-9.9999999999999867E-2</v>
          </cell>
          <cell r="T471">
            <v>0</v>
          </cell>
        </row>
        <row r="472">
          <cell r="N472">
            <v>-1.1999999999999993</v>
          </cell>
          <cell r="T472" t="str">
            <v>вода</v>
          </cell>
        </row>
        <row r="473">
          <cell r="N473">
            <v>-1.4000000000000004</v>
          </cell>
          <cell r="T473" t="str">
            <v>вода</v>
          </cell>
        </row>
        <row r="474">
          <cell r="N474">
            <v>2.1999999999999993</v>
          </cell>
          <cell r="T474" t="str">
            <v>ут.реж.</v>
          </cell>
        </row>
        <row r="475">
          <cell r="N475">
            <v>0</v>
          </cell>
          <cell r="T475">
            <v>0</v>
          </cell>
        </row>
        <row r="476">
          <cell r="N476">
            <v>-0.40000000000000213</v>
          </cell>
          <cell r="T476" t="str">
            <v>ут.реж.</v>
          </cell>
        </row>
        <row r="477">
          <cell r="N477">
            <v>-4.8</v>
          </cell>
          <cell r="T477" t="str">
            <v>по</v>
          </cell>
        </row>
        <row r="478">
          <cell r="N478">
            <v>-0.5</v>
          </cell>
          <cell r="T478" t="str">
            <v>вода</v>
          </cell>
        </row>
        <row r="479">
          <cell r="N479">
            <v>0</v>
          </cell>
          <cell r="T479">
            <v>0</v>
          </cell>
        </row>
        <row r="480">
          <cell r="N480">
            <v>-2.4000000000000004</v>
          </cell>
          <cell r="T480" t="str">
            <v>вода</v>
          </cell>
        </row>
        <row r="481">
          <cell r="N481">
            <v>-1.8000000000000007</v>
          </cell>
          <cell r="T481" t="str">
            <v>ут.реж.</v>
          </cell>
        </row>
        <row r="482">
          <cell r="N482">
            <v>-0.20000000000000018</v>
          </cell>
          <cell r="T482">
            <v>0</v>
          </cell>
        </row>
        <row r="483">
          <cell r="N483">
            <v>-0.19999999999999929</v>
          </cell>
          <cell r="T483">
            <v>0</v>
          </cell>
        </row>
        <row r="484">
          <cell r="N484">
            <v>0.6</v>
          </cell>
          <cell r="T484" t="str">
            <v>ут.реж.</v>
          </cell>
        </row>
        <row r="485">
          <cell r="N485">
            <v>0</v>
          </cell>
          <cell r="T485">
            <v>0</v>
          </cell>
        </row>
        <row r="486">
          <cell r="N486">
            <v>-1</v>
          </cell>
          <cell r="T486" t="str">
            <v>вода</v>
          </cell>
        </row>
        <row r="487">
          <cell r="N487">
            <v>0.50000000000000011</v>
          </cell>
          <cell r="T487" t="str">
            <v>вода</v>
          </cell>
        </row>
        <row r="488">
          <cell r="N488">
            <v>0.10000000000000009</v>
          </cell>
          <cell r="T488">
            <v>0</v>
          </cell>
        </row>
        <row r="489">
          <cell r="N489">
            <v>0</v>
          </cell>
          <cell r="T489">
            <v>0</v>
          </cell>
        </row>
        <row r="490">
          <cell r="N490">
            <v>0.20000000000000107</v>
          </cell>
          <cell r="T490">
            <v>0</v>
          </cell>
        </row>
        <row r="491">
          <cell r="N491">
            <v>0</v>
          </cell>
          <cell r="T491">
            <v>0</v>
          </cell>
        </row>
        <row r="492">
          <cell r="N492">
            <v>-5</v>
          </cell>
          <cell r="T492" t="str">
            <v>см</v>
          </cell>
        </row>
        <row r="493">
          <cell r="N493">
            <v>2.3000000000000007</v>
          </cell>
          <cell r="T493" t="str">
            <v>по</v>
          </cell>
        </row>
        <row r="494">
          <cell r="N494">
            <v>-0.20000000000000284</v>
          </cell>
          <cell r="T494">
            <v>0</v>
          </cell>
        </row>
        <row r="495">
          <cell r="N495">
            <v>-0.20000000000000018</v>
          </cell>
          <cell r="T495">
            <v>0</v>
          </cell>
        </row>
        <row r="496">
          <cell r="N496">
            <v>0</v>
          </cell>
          <cell r="T496">
            <v>0</v>
          </cell>
        </row>
        <row r="497">
          <cell r="N497">
            <v>-1.4000000000000001</v>
          </cell>
          <cell r="T497" t="str">
            <v>ипп</v>
          </cell>
        </row>
        <row r="498">
          <cell r="N498">
            <v>-1.5</v>
          </cell>
          <cell r="T498" t="str">
            <v>ипп</v>
          </cell>
        </row>
        <row r="499">
          <cell r="N499">
            <v>-0.10000000000000009</v>
          </cell>
          <cell r="T499">
            <v>0</v>
          </cell>
        </row>
        <row r="500">
          <cell r="N500">
            <v>-0.80000000000000071</v>
          </cell>
          <cell r="T500" t="str">
            <v>вода</v>
          </cell>
        </row>
        <row r="501">
          <cell r="N501">
            <v>0.69999999999999929</v>
          </cell>
          <cell r="T501" t="str">
            <v>вода</v>
          </cell>
        </row>
        <row r="502">
          <cell r="N502">
            <v>0.19999999999999929</v>
          </cell>
          <cell r="T502">
            <v>0</v>
          </cell>
        </row>
        <row r="503">
          <cell r="N503">
            <v>-0.30000000000000027</v>
          </cell>
          <cell r="T503">
            <v>0</v>
          </cell>
        </row>
        <row r="504">
          <cell r="N504">
            <v>-1.5999999999999996</v>
          </cell>
          <cell r="T504" t="str">
            <v>вода</v>
          </cell>
        </row>
        <row r="505">
          <cell r="N505">
            <v>0.19999999999999996</v>
          </cell>
          <cell r="T505">
            <v>0</v>
          </cell>
        </row>
        <row r="506">
          <cell r="N506">
            <v>-0.4</v>
          </cell>
          <cell r="T506" t="str">
            <v>вода</v>
          </cell>
        </row>
        <row r="507">
          <cell r="N507">
            <v>0</v>
          </cell>
          <cell r="T507">
            <v>0</v>
          </cell>
        </row>
        <row r="508">
          <cell r="N508">
            <v>2.2999999999999998</v>
          </cell>
          <cell r="T508" t="str">
            <v>прс</v>
          </cell>
        </row>
        <row r="509">
          <cell r="N509">
            <v>-2.1999999999999993</v>
          </cell>
          <cell r="T509" t="str">
            <v>по</v>
          </cell>
        </row>
        <row r="510">
          <cell r="N510">
            <v>0</v>
          </cell>
          <cell r="T510">
            <v>0</v>
          </cell>
        </row>
        <row r="511">
          <cell r="N511">
            <v>-1.6999999999999993</v>
          </cell>
          <cell r="T511" t="str">
            <v>ут.реж.</v>
          </cell>
        </row>
        <row r="512">
          <cell r="N512">
            <v>0.29999999999999982</v>
          </cell>
          <cell r="T512">
            <v>0</v>
          </cell>
        </row>
        <row r="513">
          <cell r="N513">
            <v>-1</v>
          </cell>
          <cell r="T513" t="str">
            <v>вода</v>
          </cell>
        </row>
        <row r="514">
          <cell r="N514">
            <v>1.3000000000000007</v>
          </cell>
          <cell r="T514" t="str">
            <v>прс</v>
          </cell>
        </row>
        <row r="515">
          <cell r="N515">
            <v>-0.19999999999999996</v>
          </cell>
          <cell r="T515">
            <v>0</v>
          </cell>
        </row>
        <row r="516">
          <cell r="N516">
            <v>0.10000000000000053</v>
          </cell>
          <cell r="T516">
            <v>0</v>
          </cell>
        </row>
        <row r="517">
          <cell r="N517">
            <v>-0.30000000000000071</v>
          </cell>
          <cell r="T517">
            <v>0</v>
          </cell>
        </row>
        <row r="518">
          <cell r="N518">
            <v>0</v>
          </cell>
          <cell r="T518">
            <v>0</v>
          </cell>
        </row>
        <row r="519">
          <cell r="N519">
            <v>1.2000000000000028</v>
          </cell>
          <cell r="T519" t="str">
            <v>ипп</v>
          </cell>
        </row>
        <row r="520">
          <cell r="N520">
            <v>-2.5</v>
          </cell>
          <cell r="T520" t="str">
            <v>ут.реж.</v>
          </cell>
        </row>
        <row r="521">
          <cell r="N521">
            <v>0.79999999999999893</v>
          </cell>
          <cell r="T521" t="str">
            <v>по</v>
          </cell>
        </row>
        <row r="522">
          <cell r="N522">
            <v>0.80000000000000071</v>
          </cell>
          <cell r="T522" t="str">
            <v>вода</v>
          </cell>
        </row>
        <row r="523">
          <cell r="N523">
            <v>-9.2000000000000011</v>
          </cell>
          <cell r="T523" t="str">
            <v>ут.реж.</v>
          </cell>
        </row>
        <row r="524">
          <cell r="N524">
            <v>0</v>
          </cell>
          <cell r="T524">
            <v>0</v>
          </cell>
        </row>
        <row r="525">
          <cell r="N525">
            <v>-0.40000000000000036</v>
          </cell>
          <cell r="T525" t="str">
            <v>ПРС</v>
          </cell>
        </row>
        <row r="526">
          <cell r="N526">
            <v>-1.5999999999999996</v>
          </cell>
          <cell r="T526" t="str">
            <v>ипп</v>
          </cell>
        </row>
        <row r="527">
          <cell r="N527">
            <v>-2.4000000000000004</v>
          </cell>
          <cell r="T527" t="str">
            <v>ут.реж.</v>
          </cell>
        </row>
        <row r="528">
          <cell r="N528">
            <v>2.0999999999999996</v>
          </cell>
          <cell r="T528" t="str">
            <v>вода</v>
          </cell>
        </row>
        <row r="529">
          <cell r="N529">
            <v>0</v>
          </cell>
          <cell r="T529">
            <v>0</v>
          </cell>
        </row>
        <row r="530">
          <cell r="N530">
            <v>0</v>
          </cell>
          <cell r="T530">
            <v>0</v>
          </cell>
        </row>
        <row r="531">
          <cell r="N531">
            <v>-1.2999999999999998</v>
          </cell>
          <cell r="T531" t="str">
            <v>ипп</v>
          </cell>
        </row>
        <row r="532">
          <cell r="N532">
            <v>-2.7999999999999989</v>
          </cell>
          <cell r="T532" t="str">
            <v>по</v>
          </cell>
        </row>
        <row r="533">
          <cell r="N533">
            <v>0.60000000000000142</v>
          </cell>
          <cell r="T533" t="str">
            <v>ут.реж.</v>
          </cell>
        </row>
        <row r="534">
          <cell r="N534">
            <v>-0.40000000000000013</v>
          </cell>
          <cell r="T534" t="str">
            <v>ут.реж.</v>
          </cell>
        </row>
        <row r="535">
          <cell r="N535">
            <v>0.7</v>
          </cell>
          <cell r="T535" t="str">
            <v>ипп</v>
          </cell>
        </row>
        <row r="536">
          <cell r="N536">
            <v>0</v>
          </cell>
          <cell r="T536">
            <v>0</v>
          </cell>
        </row>
        <row r="537">
          <cell r="N537">
            <v>-0.10000000000000009</v>
          </cell>
          <cell r="T537">
            <v>0</v>
          </cell>
        </row>
        <row r="538">
          <cell r="N538">
            <v>0.39999999999999991</v>
          </cell>
          <cell r="T538" t="str">
            <v>по</v>
          </cell>
        </row>
        <row r="539">
          <cell r="N539">
            <v>-1.1000000000000001</v>
          </cell>
          <cell r="T539" t="str">
            <v>по</v>
          </cell>
        </row>
        <row r="540">
          <cell r="N540">
            <v>-0.39999999999999991</v>
          </cell>
          <cell r="T540" t="str">
            <v>по</v>
          </cell>
        </row>
        <row r="541">
          <cell r="N541">
            <v>0</v>
          </cell>
          <cell r="T541">
            <v>0</v>
          </cell>
        </row>
        <row r="542">
          <cell r="N542">
            <v>0.19999999999999996</v>
          </cell>
          <cell r="T542" t="str">
            <v>вода</v>
          </cell>
        </row>
        <row r="543">
          <cell r="N543">
            <v>-0.99999999999999978</v>
          </cell>
          <cell r="T543" t="str">
            <v>ут.реж.</v>
          </cell>
        </row>
        <row r="544">
          <cell r="N544">
            <v>-1.6999999999999993</v>
          </cell>
          <cell r="T544" t="str">
            <v>ут.реж.</v>
          </cell>
        </row>
        <row r="545">
          <cell r="N545">
            <v>0</v>
          </cell>
          <cell r="T545">
            <v>0</v>
          </cell>
        </row>
        <row r="546">
          <cell r="N546">
            <v>-1.4000000000000004</v>
          </cell>
          <cell r="T546" t="str">
            <v>вода</v>
          </cell>
        </row>
        <row r="547">
          <cell r="N547">
            <v>-1.4</v>
          </cell>
          <cell r="T547" t="str">
            <v>по</v>
          </cell>
        </row>
        <row r="548">
          <cell r="N548">
            <v>0.39999999999999991</v>
          </cell>
          <cell r="T548" t="str">
            <v>ут.реж.</v>
          </cell>
        </row>
        <row r="549">
          <cell r="N549">
            <v>0.20000000000000018</v>
          </cell>
          <cell r="T549">
            <v>0</v>
          </cell>
        </row>
        <row r="550">
          <cell r="N550">
            <v>-0.90000000000000036</v>
          </cell>
          <cell r="T550" t="str">
            <v>вода</v>
          </cell>
        </row>
        <row r="551">
          <cell r="N551">
            <v>-2.9999999999999982</v>
          </cell>
          <cell r="T551" t="str">
            <v>ипп</v>
          </cell>
        </row>
        <row r="552">
          <cell r="N552">
            <v>0.29999999999999982</v>
          </cell>
          <cell r="T552">
            <v>0</v>
          </cell>
        </row>
        <row r="553">
          <cell r="N553">
            <v>-0.70000000000000018</v>
          </cell>
          <cell r="T553" t="str">
            <v>ипп</v>
          </cell>
        </row>
        <row r="554">
          <cell r="N554">
            <v>0</v>
          </cell>
          <cell r="T554">
            <v>0</v>
          </cell>
        </row>
        <row r="555">
          <cell r="N555">
            <v>-0.60000000000000009</v>
          </cell>
          <cell r="T555" t="str">
            <v>по</v>
          </cell>
        </row>
        <row r="556">
          <cell r="N556">
            <v>0.5</v>
          </cell>
          <cell r="T556" t="str">
            <v>по</v>
          </cell>
        </row>
        <row r="557">
          <cell r="N557">
            <v>-0.30000000000000004</v>
          </cell>
          <cell r="T557">
            <v>0</v>
          </cell>
        </row>
        <row r="558">
          <cell r="N558">
            <v>2.6999999999999993</v>
          </cell>
          <cell r="T558" t="str">
            <v>вода</v>
          </cell>
        </row>
        <row r="559">
          <cell r="N559">
            <v>-0.10000000000000053</v>
          </cell>
          <cell r="T559">
            <v>0</v>
          </cell>
        </row>
        <row r="560">
          <cell r="N560">
            <v>0</v>
          </cell>
          <cell r="T560">
            <v>0</v>
          </cell>
        </row>
        <row r="561">
          <cell r="N561">
            <v>0</v>
          </cell>
          <cell r="T561">
            <v>0</v>
          </cell>
        </row>
        <row r="562">
          <cell r="N562">
            <v>1.2000000000000002</v>
          </cell>
          <cell r="T562" t="str">
            <v>по</v>
          </cell>
        </row>
        <row r="563">
          <cell r="N563">
            <v>-0.20000000000000018</v>
          </cell>
          <cell r="T563">
            <v>0</v>
          </cell>
        </row>
        <row r="564">
          <cell r="N564">
            <v>0</v>
          </cell>
          <cell r="T564">
            <v>0</v>
          </cell>
        </row>
        <row r="565">
          <cell r="N565">
            <v>4.2000000000000028</v>
          </cell>
          <cell r="T565" t="str">
            <v>вода</v>
          </cell>
        </row>
        <row r="566">
          <cell r="N566">
            <v>0</v>
          </cell>
          <cell r="T566">
            <v>0</v>
          </cell>
        </row>
        <row r="567">
          <cell r="N567">
            <v>-2.5</v>
          </cell>
          <cell r="T567" t="str">
            <v>вода</v>
          </cell>
        </row>
        <row r="568">
          <cell r="N568">
            <v>0.4</v>
          </cell>
          <cell r="T568" t="str">
            <v>вода</v>
          </cell>
        </row>
        <row r="569">
          <cell r="N569">
            <v>0</v>
          </cell>
          <cell r="T569">
            <v>0</v>
          </cell>
        </row>
        <row r="570">
          <cell r="N570">
            <v>0</v>
          </cell>
          <cell r="T570">
            <v>0</v>
          </cell>
        </row>
        <row r="571">
          <cell r="N571">
            <v>0</v>
          </cell>
          <cell r="T571">
            <v>0</v>
          </cell>
        </row>
        <row r="572">
          <cell r="N572">
            <v>1.5</v>
          </cell>
          <cell r="T572" t="str">
            <v>ипп</v>
          </cell>
        </row>
        <row r="573">
          <cell r="N573">
            <v>-0.60000000000000053</v>
          </cell>
          <cell r="T573" t="str">
            <v>ипп</v>
          </cell>
        </row>
        <row r="574">
          <cell r="N574">
            <v>0</v>
          </cell>
          <cell r="T574">
            <v>0</v>
          </cell>
        </row>
        <row r="575">
          <cell r="N575">
            <v>-0.79999999999999982</v>
          </cell>
          <cell r="T575" t="str">
            <v>по</v>
          </cell>
        </row>
        <row r="576">
          <cell r="N576">
            <v>0</v>
          </cell>
          <cell r="T576">
            <v>0</v>
          </cell>
        </row>
        <row r="577">
          <cell r="N577">
            <v>-51.499999999999993</v>
          </cell>
        </row>
      </sheetData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т.эцн,шгн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изменение режима"/>
      <sheetName val="Технологические режимы"/>
      <sheetName val=" свод ГТМ"/>
      <sheetName val=" изменение режима (2)"/>
    </sheetNames>
    <sheetDataSet>
      <sheetData sheetId="0">
        <row r="6">
          <cell r="W6" t="str">
            <v>Примечание (шифр)</v>
          </cell>
        </row>
        <row r="8">
          <cell r="W8">
            <v>0</v>
          </cell>
        </row>
        <row r="9">
          <cell r="W9">
            <v>0</v>
          </cell>
        </row>
        <row r="10">
          <cell r="W10" t="str">
            <v>ут.реж</v>
          </cell>
        </row>
        <row r="11">
          <cell r="W11" t="str">
            <v>ипп</v>
          </cell>
        </row>
        <row r="12">
          <cell r="W12">
            <v>0</v>
          </cell>
        </row>
        <row r="13">
          <cell r="W13" t="str">
            <v>ут.реж</v>
          </cell>
        </row>
        <row r="14">
          <cell r="W14" t="str">
            <v>прс</v>
          </cell>
        </row>
        <row r="15">
          <cell r="W15">
            <v>0</v>
          </cell>
        </row>
        <row r="16">
          <cell r="W16">
            <v>0</v>
          </cell>
        </row>
        <row r="17">
          <cell r="W17" t="str">
            <v>ут.реж</v>
          </cell>
        </row>
        <row r="18">
          <cell r="W18">
            <v>0</v>
          </cell>
        </row>
        <row r="19">
          <cell r="W19">
            <v>0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 t="str">
            <v>ут.реж</v>
          </cell>
        </row>
        <row r="23">
          <cell r="W23" t="str">
            <v>вода</v>
          </cell>
        </row>
        <row r="24">
          <cell r="W24">
            <v>0</v>
          </cell>
        </row>
        <row r="25">
          <cell r="W25">
            <v>0</v>
          </cell>
        </row>
        <row r="26">
          <cell r="W26" t="str">
            <v>ут.реж</v>
          </cell>
        </row>
        <row r="27">
          <cell r="W27">
            <v>0</v>
          </cell>
        </row>
        <row r="28">
          <cell r="W28">
            <v>0</v>
          </cell>
        </row>
        <row r="29">
          <cell r="W29" t="str">
            <v>вода</v>
          </cell>
        </row>
        <row r="30">
          <cell r="W30" t="str">
            <v>сн.грп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ут.реж</v>
          </cell>
        </row>
        <row r="34">
          <cell r="W34" t="str">
            <v>ппд</v>
          </cell>
        </row>
        <row r="35">
          <cell r="W35">
            <v>0</v>
          </cell>
        </row>
        <row r="36">
          <cell r="W36" t="str">
            <v>вода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 t="str">
            <v>ут.реж</v>
          </cell>
        </row>
        <row r="40">
          <cell r="W40">
            <v>0</v>
          </cell>
        </row>
        <row r="41">
          <cell r="W41">
            <v>0</v>
          </cell>
        </row>
        <row r="42">
          <cell r="W42">
            <v>0</v>
          </cell>
        </row>
        <row r="43">
          <cell r="W43" t="str">
            <v>ут.реж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вода</v>
          </cell>
        </row>
        <row r="47">
          <cell r="W47" t="str">
            <v>прс</v>
          </cell>
        </row>
        <row r="48">
          <cell r="W48">
            <v>0</v>
          </cell>
        </row>
        <row r="49">
          <cell r="W49" t="str">
            <v>ут.реж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 t="str">
            <v>ут.реж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вода</v>
          </cell>
        </row>
        <row r="56">
          <cell r="W56">
            <v>0</v>
          </cell>
        </row>
        <row r="57">
          <cell r="W57" t="str">
            <v>ут.реж</v>
          </cell>
        </row>
        <row r="58">
          <cell r="W58" t="str">
            <v>опз</v>
          </cell>
        </row>
        <row r="59">
          <cell r="W59" t="str">
            <v>ипп</v>
          </cell>
        </row>
        <row r="60">
          <cell r="W60" t="str">
            <v>сн.грп</v>
          </cell>
        </row>
        <row r="61">
          <cell r="W61">
            <v>0</v>
          </cell>
        </row>
        <row r="62">
          <cell r="W62">
            <v>0</v>
          </cell>
        </row>
        <row r="63">
          <cell r="W63" t="str">
            <v>ипп</v>
          </cell>
        </row>
        <row r="64">
          <cell r="W64" t="str">
            <v>ут.реж</v>
          </cell>
        </row>
        <row r="65">
          <cell r="W65" t="str">
            <v>уход в бд</v>
          </cell>
        </row>
        <row r="66">
          <cell r="W66" t="str">
            <v>крс</v>
          </cell>
        </row>
        <row r="67">
          <cell r="W67" t="str">
            <v>ут.реж</v>
          </cell>
        </row>
        <row r="68">
          <cell r="W68" t="str">
            <v>вода</v>
          </cell>
        </row>
        <row r="69">
          <cell r="W69" t="str">
            <v>прс</v>
          </cell>
        </row>
        <row r="70">
          <cell r="W70" t="str">
            <v>ут.реж</v>
          </cell>
        </row>
        <row r="71">
          <cell r="W71">
            <v>0</v>
          </cell>
        </row>
        <row r="72">
          <cell r="W72" t="str">
            <v>ут.реж</v>
          </cell>
        </row>
        <row r="73">
          <cell r="W73" t="str">
            <v>ут.реж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8">
          <cell r="W78" t="str">
            <v>ут.реж</v>
          </cell>
        </row>
        <row r="79">
          <cell r="W79">
            <v>0</v>
          </cell>
        </row>
        <row r="80">
          <cell r="W80" t="str">
            <v>ут.реж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 t="str">
            <v>ут.реж</v>
          </cell>
        </row>
        <row r="85">
          <cell r="W85">
            <v>0</v>
          </cell>
        </row>
        <row r="86">
          <cell r="W86" t="str">
            <v>вода</v>
          </cell>
        </row>
        <row r="87">
          <cell r="W87">
            <v>0</v>
          </cell>
        </row>
        <row r="88">
          <cell r="W88" t="str">
            <v>вода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 t="str">
            <v>ут.реж</v>
          </cell>
        </row>
        <row r="92">
          <cell r="W92">
            <v>0</v>
          </cell>
        </row>
        <row r="93">
          <cell r="W93">
            <v>0</v>
          </cell>
        </row>
        <row r="94">
          <cell r="W94">
            <v>0</v>
          </cell>
        </row>
        <row r="95">
          <cell r="W95" t="str">
            <v>ут.реж</v>
          </cell>
        </row>
        <row r="96">
          <cell r="W96" t="str">
            <v>вода</v>
          </cell>
        </row>
        <row r="97">
          <cell r="W97" t="str">
            <v>ут.реж</v>
          </cell>
        </row>
        <row r="98">
          <cell r="W98" t="str">
            <v>прс</v>
          </cell>
        </row>
        <row r="99">
          <cell r="W99">
            <v>0</v>
          </cell>
        </row>
        <row r="100">
          <cell r="W100">
            <v>0</v>
          </cell>
        </row>
        <row r="101">
          <cell r="W101" t="str">
            <v>ут.реж</v>
          </cell>
        </row>
        <row r="102">
          <cell r="W102" t="str">
            <v>прс</v>
          </cell>
        </row>
        <row r="103">
          <cell r="W103">
            <v>0</v>
          </cell>
        </row>
        <row r="104">
          <cell r="W104" t="str">
            <v>ут.реж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 t="str">
            <v>вода</v>
          </cell>
        </row>
        <row r="108">
          <cell r="W108" t="str">
            <v>ут.реж</v>
          </cell>
        </row>
        <row r="109">
          <cell r="W109" t="str">
            <v>ипп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 t="str">
            <v>по</v>
          </cell>
        </row>
        <row r="114">
          <cell r="W114">
            <v>0</v>
          </cell>
        </row>
        <row r="115">
          <cell r="W115" t="str">
            <v>ипп</v>
          </cell>
        </row>
        <row r="116">
          <cell r="W116" t="str">
            <v>ут.реж</v>
          </cell>
        </row>
        <row r="117">
          <cell r="W117" t="str">
            <v>ут.реж</v>
          </cell>
        </row>
        <row r="118">
          <cell r="W118" t="str">
            <v>опт</v>
          </cell>
        </row>
        <row r="119">
          <cell r="W119">
            <v>0</v>
          </cell>
        </row>
        <row r="120">
          <cell r="W120">
            <v>0</v>
          </cell>
        </row>
        <row r="121">
          <cell r="W121">
            <v>0</v>
          </cell>
        </row>
        <row r="122">
          <cell r="W122" t="str">
            <v>ут.реж</v>
          </cell>
        </row>
        <row r="123">
          <cell r="W123" t="str">
            <v>ут.реж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 t="str">
            <v>ут.реж</v>
          </cell>
        </row>
        <row r="128">
          <cell r="W128">
            <v>0</v>
          </cell>
        </row>
        <row r="129">
          <cell r="W129" t="str">
            <v>ут.реж</v>
          </cell>
        </row>
        <row r="130">
          <cell r="W130" t="str">
            <v>прс</v>
          </cell>
        </row>
        <row r="131">
          <cell r="W131">
            <v>0</v>
          </cell>
        </row>
        <row r="132">
          <cell r="W132" t="str">
            <v>ут.реж</v>
          </cell>
        </row>
        <row r="133">
          <cell r="W133" t="str">
            <v>ут.реж</v>
          </cell>
        </row>
        <row r="134">
          <cell r="W134" t="str">
            <v>ут.реж</v>
          </cell>
        </row>
        <row r="135">
          <cell r="W135" t="str">
            <v>ут.реж</v>
          </cell>
        </row>
        <row r="136">
          <cell r="W136" t="str">
            <v>вода</v>
          </cell>
        </row>
        <row r="137">
          <cell r="W137" t="str">
            <v>ут.реж</v>
          </cell>
        </row>
        <row r="138">
          <cell r="W138" t="str">
            <v>вода</v>
          </cell>
        </row>
        <row r="139">
          <cell r="W139" t="str">
            <v>ут.реж</v>
          </cell>
        </row>
        <row r="140">
          <cell r="W140" t="str">
            <v>по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 t="str">
            <v>прс</v>
          </cell>
        </row>
        <row r="146">
          <cell r="W146">
            <v>0</v>
          </cell>
        </row>
        <row r="147">
          <cell r="W147" t="str">
            <v>вода</v>
          </cell>
        </row>
        <row r="148">
          <cell r="W148">
            <v>0</v>
          </cell>
        </row>
        <row r="149">
          <cell r="W149" t="str">
            <v>вода</v>
          </cell>
        </row>
        <row r="150">
          <cell r="W150" t="str">
            <v>ут.реж</v>
          </cell>
        </row>
        <row r="151">
          <cell r="W151" t="str">
            <v>ут.реж</v>
          </cell>
        </row>
        <row r="152">
          <cell r="W152" t="str">
            <v>прс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6">
          <cell r="W156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 t="str">
            <v>прс</v>
          </cell>
        </row>
        <row r="164">
          <cell r="W164">
            <v>0</v>
          </cell>
        </row>
        <row r="165">
          <cell r="W165" t="str">
            <v>вода</v>
          </cell>
        </row>
        <row r="166">
          <cell r="W166" t="str">
            <v>вода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вода</v>
          </cell>
        </row>
        <row r="173">
          <cell r="W173">
            <v>0</v>
          </cell>
        </row>
        <row r="174">
          <cell r="W174" t="str">
            <v>ут.реж</v>
          </cell>
        </row>
        <row r="175">
          <cell r="W175" t="str">
            <v>ут.реж</v>
          </cell>
        </row>
        <row r="176">
          <cell r="W176">
            <v>0</v>
          </cell>
        </row>
        <row r="177">
          <cell r="W177">
            <v>0</v>
          </cell>
        </row>
        <row r="178">
          <cell r="W178" t="str">
            <v>вода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 t="str">
            <v>сн.опз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>
            <v>0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>
            <v>0</v>
          </cell>
        </row>
        <row r="191">
          <cell r="W191">
            <v>0</v>
          </cell>
        </row>
        <row r="192">
          <cell r="W192" t="str">
            <v>прс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 t="str">
            <v>ут.реж</v>
          </cell>
        </row>
        <row r="196">
          <cell r="W196" t="str">
            <v>вода</v>
          </cell>
        </row>
        <row r="197">
          <cell r="W197" t="str">
            <v>крс</v>
          </cell>
        </row>
        <row r="198">
          <cell r="W198">
            <v>0</v>
          </cell>
        </row>
        <row r="199">
          <cell r="W199" t="str">
            <v>ут.реж</v>
          </cell>
        </row>
        <row r="200">
          <cell r="W200">
            <v>0</v>
          </cell>
        </row>
        <row r="201">
          <cell r="W201" t="str">
            <v>ут.реж</v>
          </cell>
        </row>
        <row r="202">
          <cell r="W202" t="str">
            <v>ут.реж</v>
          </cell>
        </row>
        <row r="203">
          <cell r="W203">
            <v>0</v>
          </cell>
        </row>
        <row r="204">
          <cell r="W204" t="str">
            <v>ут.реж</v>
          </cell>
        </row>
        <row r="205">
          <cell r="W205">
            <v>0</v>
          </cell>
        </row>
        <row r="206">
          <cell r="W206" t="str">
            <v>ут.реж</v>
          </cell>
        </row>
        <row r="207">
          <cell r="W207" t="str">
            <v>ут.реж</v>
          </cell>
        </row>
        <row r="208">
          <cell r="W208" t="str">
            <v>ут.реж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ипп</v>
          </cell>
        </row>
        <row r="212">
          <cell r="W212" t="str">
            <v>ут.реж</v>
          </cell>
        </row>
        <row r="213">
          <cell r="W213" t="str">
            <v>вода</v>
          </cell>
        </row>
        <row r="214">
          <cell r="W214">
            <v>0</v>
          </cell>
        </row>
        <row r="215">
          <cell r="W215" t="str">
            <v>по</v>
          </cell>
        </row>
        <row r="216">
          <cell r="W216" t="str">
            <v>уход в бд</v>
          </cell>
        </row>
        <row r="217">
          <cell r="W217" t="str">
            <v>прс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>
            <v>0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>
            <v>0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 t="str">
            <v>прс</v>
          </cell>
        </row>
        <row r="229">
          <cell r="W229">
            <v>0</v>
          </cell>
        </row>
        <row r="230">
          <cell r="W230" t="str">
            <v>прс</v>
          </cell>
        </row>
        <row r="231">
          <cell r="W231">
            <v>0</v>
          </cell>
        </row>
        <row r="232">
          <cell r="W232" t="str">
            <v>вода</v>
          </cell>
        </row>
        <row r="233">
          <cell r="W233" t="str">
            <v>по</v>
          </cell>
        </row>
        <row r="234">
          <cell r="W234">
            <v>0</v>
          </cell>
        </row>
        <row r="235">
          <cell r="W235" t="str">
            <v>прс</v>
          </cell>
        </row>
        <row r="236">
          <cell r="W236" t="str">
            <v>ипп</v>
          </cell>
        </row>
        <row r="237">
          <cell r="W237">
            <v>0</v>
          </cell>
        </row>
        <row r="238">
          <cell r="W238">
            <v>0</v>
          </cell>
        </row>
        <row r="239">
          <cell r="W239">
            <v>0</v>
          </cell>
        </row>
        <row r="240">
          <cell r="W240">
            <v>0</v>
          </cell>
        </row>
        <row r="241">
          <cell r="W241" t="str">
            <v>ут.реж</v>
          </cell>
        </row>
        <row r="242">
          <cell r="W242">
            <v>0</v>
          </cell>
        </row>
        <row r="243">
          <cell r="W243" t="str">
            <v>прс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 t="str">
            <v>вода</v>
          </cell>
        </row>
        <row r="247">
          <cell r="W247" t="str">
            <v>вода</v>
          </cell>
        </row>
        <row r="248">
          <cell r="W248">
            <v>0</v>
          </cell>
        </row>
        <row r="249">
          <cell r="W249">
            <v>0</v>
          </cell>
        </row>
        <row r="250">
          <cell r="W250" t="str">
            <v>ут.реж</v>
          </cell>
        </row>
        <row r="251">
          <cell r="W251">
            <v>0</v>
          </cell>
        </row>
        <row r="252">
          <cell r="W252">
            <v>0</v>
          </cell>
        </row>
        <row r="253">
          <cell r="W253" t="str">
            <v>опз</v>
          </cell>
        </row>
        <row r="254">
          <cell r="W254">
            <v>0</v>
          </cell>
        </row>
        <row r="255">
          <cell r="W255" t="str">
            <v>прс</v>
          </cell>
        </row>
        <row r="256">
          <cell r="W256" t="str">
            <v>вода</v>
          </cell>
        </row>
        <row r="257">
          <cell r="W257">
            <v>0</v>
          </cell>
        </row>
        <row r="258">
          <cell r="W258" t="str">
            <v>прс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 t="str">
            <v>прс</v>
          </cell>
        </row>
        <row r="262">
          <cell r="W262">
            <v>0</v>
          </cell>
        </row>
        <row r="263">
          <cell r="W263">
            <v>0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>
            <v>0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>
            <v>0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>
            <v>0</v>
          </cell>
        </row>
        <row r="277">
          <cell r="W277">
            <v>0</v>
          </cell>
        </row>
        <row r="278">
          <cell r="W278" t="str">
            <v>прс</v>
          </cell>
        </row>
        <row r="279">
          <cell r="W279" t="str">
            <v>прс</v>
          </cell>
        </row>
        <row r="280">
          <cell r="W280" t="str">
            <v>вода</v>
          </cell>
        </row>
        <row r="281">
          <cell r="W281" t="str">
            <v>вода</v>
          </cell>
        </row>
        <row r="282">
          <cell r="W282">
            <v>0</v>
          </cell>
        </row>
        <row r="283">
          <cell r="W283" t="str">
            <v>ипп</v>
          </cell>
        </row>
        <row r="284">
          <cell r="W284">
            <v>0</v>
          </cell>
        </row>
        <row r="285">
          <cell r="W285">
            <v>0</v>
          </cell>
        </row>
        <row r="286">
          <cell r="W286">
            <v>0</v>
          </cell>
        </row>
        <row r="287">
          <cell r="W287">
            <v>0</v>
          </cell>
        </row>
        <row r="288">
          <cell r="W288">
            <v>0</v>
          </cell>
        </row>
        <row r="289">
          <cell r="W289" t="str">
            <v>ут.реж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 t="str">
            <v>прс</v>
          </cell>
        </row>
        <row r="293">
          <cell r="W293">
            <v>0</v>
          </cell>
        </row>
        <row r="294">
          <cell r="W294" t="str">
            <v>вода</v>
          </cell>
        </row>
        <row r="295">
          <cell r="W295" t="str">
            <v>вода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 t="str">
            <v>вода</v>
          </cell>
        </row>
        <row r="299">
          <cell r="W299">
            <v>0</v>
          </cell>
        </row>
        <row r="300">
          <cell r="W300" t="str">
            <v>ут.реж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>
            <v>0</v>
          </cell>
        </row>
        <row r="304">
          <cell r="W304">
            <v>0</v>
          </cell>
        </row>
        <row r="305">
          <cell r="W305">
            <v>0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>
            <v>0</v>
          </cell>
        </row>
        <row r="310">
          <cell r="W310">
            <v>0</v>
          </cell>
        </row>
        <row r="311">
          <cell r="W311">
            <v>0</v>
          </cell>
        </row>
        <row r="312">
          <cell r="W312">
            <v>0</v>
          </cell>
        </row>
        <row r="313">
          <cell r="W313" t="str">
            <v>вода</v>
          </cell>
        </row>
        <row r="314">
          <cell r="W314" t="str">
            <v>крс</v>
          </cell>
        </row>
        <row r="315">
          <cell r="W315">
            <v>0</v>
          </cell>
        </row>
        <row r="316">
          <cell r="W316">
            <v>0</v>
          </cell>
        </row>
        <row r="317">
          <cell r="W317">
            <v>0</v>
          </cell>
        </row>
        <row r="318">
          <cell r="W318" t="str">
            <v>ут.реж</v>
          </cell>
        </row>
        <row r="319">
          <cell r="W319">
            <v>0</v>
          </cell>
        </row>
        <row r="320">
          <cell r="W320" t="str">
            <v>вода</v>
          </cell>
        </row>
        <row r="321">
          <cell r="W321">
            <v>0</v>
          </cell>
        </row>
        <row r="322">
          <cell r="W322">
            <v>0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 t="str">
            <v>прс</v>
          </cell>
        </row>
        <row r="327">
          <cell r="W327" t="str">
            <v>прс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>
            <v>0</v>
          </cell>
        </row>
        <row r="331">
          <cell r="W331" t="str">
            <v>прс</v>
          </cell>
        </row>
        <row r="332">
          <cell r="W332" t="str">
            <v>ипп</v>
          </cell>
        </row>
        <row r="333">
          <cell r="W333">
            <v>0</v>
          </cell>
        </row>
        <row r="334">
          <cell r="W334" t="str">
            <v>прс</v>
          </cell>
        </row>
        <row r="335">
          <cell r="W335">
            <v>0</v>
          </cell>
        </row>
        <row r="336">
          <cell r="W336" t="str">
            <v>прс</v>
          </cell>
        </row>
        <row r="337">
          <cell r="W337">
            <v>0</v>
          </cell>
        </row>
        <row r="338">
          <cell r="W338">
            <v>0</v>
          </cell>
        </row>
        <row r="339">
          <cell r="W339" t="str">
            <v>по</v>
          </cell>
        </row>
        <row r="340">
          <cell r="W340">
            <v>0</v>
          </cell>
        </row>
        <row r="341">
          <cell r="W341" t="str">
            <v>ипп</v>
          </cell>
        </row>
        <row r="342">
          <cell r="W342" t="str">
            <v>ут.реж</v>
          </cell>
        </row>
        <row r="343">
          <cell r="W343">
            <v>0</v>
          </cell>
        </row>
        <row r="344">
          <cell r="W344" t="str">
            <v>ут.реж</v>
          </cell>
        </row>
        <row r="345">
          <cell r="W345">
            <v>0</v>
          </cell>
        </row>
        <row r="346">
          <cell r="W346">
            <v>0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ипп</v>
          </cell>
        </row>
        <row r="350">
          <cell r="W350" t="str">
            <v>ипп</v>
          </cell>
        </row>
        <row r="351">
          <cell r="W351">
            <v>0</v>
          </cell>
        </row>
        <row r="352">
          <cell r="W352">
            <v>0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 t="str">
            <v>ут.реж</v>
          </cell>
        </row>
        <row r="356">
          <cell r="W356">
            <v>0</v>
          </cell>
        </row>
        <row r="357">
          <cell r="W357">
            <v>0</v>
          </cell>
        </row>
        <row r="358">
          <cell r="W358">
            <v>0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ут.реж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 t="str">
            <v>ут.реж</v>
          </cell>
        </row>
        <row r="367">
          <cell r="W367" t="str">
            <v>крс</v>
          </cell>
        </row>
        <row r="368">
          <cell r="W368" t="str">
            <v>ут.реж</v>
          </cell>
        </row>
        <row r="369">
          <cell r="W369">
            <v>0</v>
          </cell>
        </row>
        <row r="370">
          <cell r="W370" t="str">
            <v>прс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>
            <v>0</v>
          </cell>
        </row>
        <row r="375">
          <cell r="W375">
            <v>0</v>
          </cell>
        </row>
        <row r="376">
          <cell r="W376">
            <v>0</v>
          </cell>
        </row>
        <row r="377">
          <cell r="W377">
            <v>0</v>
          </cell>
        </row>
        <row r="378">
          <cell r="W378">
            <v>0</v>
          </cell>
        </row>
        <row r="379">
          <cell r="W379">
            <v>0</v>
          </cell>
        </row>
        <row r="380">
          <cell r="W380">
            <v>0</v>
          </cell>
        </row>
        <row r="381">
          <cell r="W381">
            <v>0</v>
          </cell>
        </row>
        <row r="382">
          <cell r="W382" t="str">
            <v>ут.реж</v>
          </cell>
        </row>
        <row r="383">
          <cell r="W383">
            <v>0</v>
          </cell>
        </row>
        <row r="384">
          <cell r="W384">
            <v>0</v>
          </cell>
        </row>
        <row r="385">
          <cell r="W385">
            <v>0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 t="str">
            <v>по</v>
          </cell>
        </row>
        <row r="389">
          <cell r="W389" t="str">
            <v>вода</v>
          </cell>
        </row>
        <row r="390">
          <cell r="W390">
            <v>0</v>
          </cell>
        </row>
        <row r="391">
          <cell r="W391" t="str">
            <v>ипп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 t="str">
            <v>ут.реж</v>
          </cell>
        </row>
        <row r="395">
          <cell r="W395">
            <v>0</v>
          </cell>
        </row>
        <row r="396">
          <cell r="W396" t="str">
            <v>вода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 t="str">
            <v>крс</v>
          </cell>
        </row>
        <row r="401">
          <cell r="W401">
            <v>0</v>
          </cell>
        </row>
        <row r="402">
          <cell r="W402">
            <v>0</v>
          </cell>
        </row>
        <row r="403">
          <cell r="W403" t="str">
            <v>ут.реж</v>
          </cell>
        </row>
        <row r="404">
          <cell r="W404">
            <v>0</v>
          </cell>
        </row>
        <row r="405">
          <cell r="W405" t="str">
            <v>по</v>
          </cell>
        </row>
        <row r="406">
          <cell r="W406" t="str">
            <v>ипп</v>
          </cell>
        </row>
        <row r="407">
          <cell r="W407" t="str">
            <v>ут.реж</v>
          </cell>
        </row>
        <row r="408">
          <cell r="W408" t="str">
            <v>вода</v>
          </cell>
        </row>
        <row r="409">
          <cell r="W409" t="str">
            <v>ут.реж</v>
          </cell>
        </row>
        <row r="410">
          <cell r="W410" t="str">
            <v>ут.реж</v>
          </cell>
        </row>
        <row r="411">
          <cell r="W411" t="str">
            <v>ут.реж</v>
          </cell>
        </row>
        <row r="412">
          <cell r="W412" t="str">
            <v>прс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 t="str">
            <v>ут.реж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 t="str">
            <v>ут.реж</v>
          </cell>
        </row>
        <row r="422">
          <cell r="W422">
            <v>0</v>
          </cell>
        </row>
        <row r="423">
          <cell r="W423">
            <v>0</v>
          </cell>
        </row>
        <row r="424">
          <cell r="W424">
            <v>0</v>
          </cell>
        </row>
        <row r="425">
          <cell r="W425" t="str">
            <v>ут.реж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 t="str">
            <v>вода</v>
          </cell>
        </row>
        <row r="429">
          <cell r="W429" t="str">
            <v>ут.реж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>
            <v>0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 t="str">
            <v>ут.реж</v>
          </cell>
        </row>
        <row r="436">
          <cell r="W436" t="str">
            <v>вода</v>
          </cell>
        </row>
        <row r="437">
          <cell r="W437">
            <v>0</v>
          </cell>
        </row>
        <row r="438">
          <cell r="W438" t="str">
            <v>ут.реж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 t="str">
            <v>ут.реж</v>
          </cell>
        </row>
        <row r="442">
          <cell r="W442">
            <v>0</v>
          </cell>
        </row>
        <row r="443">
          <cell r="W443" t="str">
            <v>ут.реж</v>
          </cell>
        </row>
        <row r="444">
          <cell r="W444" t="str">
            <v>крс</v>
          </cell>
        </row>
        <row r="445">
          <cell r="W445" t="str">
            <v>ут.реж</v>
          </cell>
        </row>
        <row r="446">
          <cell r="W446" t="str">
            <v>ут.реж</v>
          </cell>
        </row>
        <row r="447">
          <cell r="W447" t="str">
            <v>ут.реж</v>
          </cell>
        </row>
        <row r="448">
          <cell r="W448">
            <v>0</v>
          </cell>
        </row>
        <row r="449">
          <cell r="W449">
            <v>0</v>
          </cell>
        </row>
        <row r="450">
          <cell r="W450" t="str">
            <v>ут.реж</v>
          </cell>
        </row>
        <row r="451">
          <cell r="W451">
            <v>0</v>
          </cell>
        </row>
        <row r="452">
          <cell r="W452">
            <v>0</v>
          </cell>
        </row>
        <row r="453">
          <cell r="W453" t="str">
            <v>ут.реж</v>
          </cell>
        </row>
        <row r="454">
          <cell r="W454" t="str">
            <v>ут.реж</v>
          </cell>
        </row>
        <row r="455">
          <cell r="W455">
            <v>0</v>
          </cell>
        </row>
        <row r="456">
          <cell r="W456" t="str">
            <v>ут.реж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 t="str">
            <v>ут.реж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ут.реж</v>
          </cell>
        </row>
        <row r="463">
          <cell r="W463" t="str">
            <v>крс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>
            <v>0</v>
          </cell>
        </row>
        <row r="469">
          <cell r="W469">
            <v>0</v>
          </cell>
        </row>
        <row r="470">
          <cell r="W470" t="str">
            <v>ут.реж</v>
          </cell>
        </row>
        <row r="471">
          <cell r="W471">
            <v>0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 t="str">
            <v>ут.реж</v>
          </cell>
        </row>
        <row r="475">
          <cell r="W475" t="str">
            <v>прс</v>
          </cell>
        </row>
        <row r="476">
          <cell r="W476">
            <v>0</v>
          </cell>
        </row>
        <row r="477">
          <cell r="W477" t="str">
            <v>ут.реж</v>
          </cell>
        </row>
        <row r="478">
          <cell r="W478">
            <v>0</v>
          </cell>
        </row>
        <row r="479">
          <cell r="W479" t="str">
            <v>вода</v>
          </cell>
        </row>
        <row r="480">
          <cell r="W480" t="str">
            <v>ут.реж</v>
          </cell>
        </row>
        <row r="481">
          <cell r="W481">
            <v>0</v>
          </cell>
        </row>
        <row r="482">
          <cell r="W482" t="str">
            <v>вода</v>
          </cell>
        </row>
        <row r="483">
          <cell r="W483">
            <v>0</v>
          </cell>
        </row>
        <row r="484">
          <cell r="W484">
            <v>0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 t="str">
            <v>вода</v>
          </cell>
        </row>
        <row r="492">
          <cell r="W492">
            <v>0</v>
          </cell>
        </row>
        <row r="493">
          <cell r="W493" t="str">
            <v>сн.грп</v>
          </cell>
        </row>
        <row r="494">
          <cell r="W494">
            <v>0</v>
          </cell>
        </row>
        <row r="495">
          <cell r="W495" t="str">
            <v>ут.реж</v>
          </cell>
        </row>
        <row r="496">
          <cell r="W496" t="str">
            <v>вода</v>
          </cell>
        </row>
        <row r="497">
          <cell r="W497" t="str">
            <v>ут.реж</v>
          </cell>
        </row>
        <row r="498">
          <cell r="W498" t="str">
            <v>ут.реж</v>
          </cell>
        </row>
        <row r="499">
          <cell r="W499">
            <v>0</v>
          </cell>
        </row>
        <row r="500">
          <cell r="W500">
            <v>0</v>
          </cell>
        </row>
        <row r="501">
          <cell r="W501" t="str">
            <v>прс</v>
          </cell>
        </row>
        <row r="502">
          <cell r="W502" t="str">
            <v>вода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 t="str">
            <v>вода</v>
          </cell>
        </row>
        <row r="506">
          <cell r="W506" t="str">
            <v>ут.реж</v>
          </cell>
        </row>
        <row r="507">
          <cell r="W507">
            <v>0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 t="str">
            <v>ут.реж</v>
          </cell>
        </row>
        <row r="511">
          <cell r="W511" t="str">
            <v>прс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 t="str">
            <v>ут.реж</v>
          </cell>
        </row>
        <row r="515">
          <cell r="W515">
            <v>0</v>
          </cell>
        </row>
        <row r="516">
          <cell r="W516" t="str">
            <v>прс</v>
          </cell>
        </row>
        <row r="517">
          <cell r="W517" t="str">
            <v>ут.реж</v>
          </cell>
        </row>
        <row r="518">
          <cell r="W518" t="str">
            <v>прс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>
            <v>0</v>
          </cell>
        </row>
        <row r="522">
          <cell r="W522">
            <v>0</v>
          </cell>
        </row>
        <row r="523">
          <cell r="W523" t="str">
            <v>прс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>
            <v>0</v>
          </cell>
        </row>
        <row r="531">
          <cell r="W531" t="str">
            <v>ипп</v>
          </cell>
        </row>
        <row r="532">
          <cell r="W532" t="str">
            <v>прс</v>
          </cell>
        </row>
        <row r="533">
          <cell r="W533" t="str">
            <v>ипп</v>
          </cell>
        </row>
        <row r="534">
          <cell r="W534">
            <v>0</v>
          </cell>
        </row>
        <row r="535">
          <cell r="W535" t="str">
            <v>вода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 t="str">
            <v>ут.реж</v>
          </cell>
        </row>
        <row r="539">
          <cell r="W539" t="str">
            <v>уход в бд</v>
          </cell>
        </row>
        <row r="540">
          <cell r="W540">
            <v>0</v>
          </cell>
        </row>
        <row r="541">
          <cell r="W541" t="str">
            <v>ут.реж</v>
          </cell>
        </row>
        <row r="542">
          <cell r="W542">
            <v>0</v>
          </cell>
        </row>
        <row r="543">
          <cell r="W543">
            <v>0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 t="str">
            <v>ут.реж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сн.опз</v>
          </cell>
        </row>
        <row r="552">
          <cell r="W552" t="str">
            <v>крс</v>
          </cell>
        </row>
        <row r="553">
          <cell r="W553" t="str">
            <v>опз</v>
          </cell>
        </row>
        <row r="554">
          <cell r="W554" t="str">
            <v>крс</v>
          </cell>
        </row>
        <row r="555">
          <cell r="W555" t="str">
            <v>крс</v>
          </cell>
        </row>
        <row r="556">
          <cell r="W556" t="str">
            <v>опз</v>
          </cell>
        </row>
        <row r="557">
          <cell r="W557">
            <v>0</v>
          </cell>
        </row>
        <row r="558">
          <cell r="W558" t="str">
            <v>опз</v>
          </cell>
        </row>
        <row r="559">
          <cell r="W559" t="str">
            <v>крс</v>
          </cell>
        </row>
        <row r="560">
          <cell r="W560">
            <v>0</v>
          </cell>
        </row>
        <row r="561">
          <cell r="W561" t="str">
            <v>ипп</v>
          </cell>
        </row>
        <row r="562">
          <cell r="W562">
            <v>0</v>
          </cell>
        </row>
        <row r="563">
          <cell r="W563">
            <v>0</v>
          </cell>
        </row>
        <row r="564">
          <cell r="W564">
            <v>0</v>
          </cell>
        </row>
        <row r="565">
          <cell r="W565" t="str">
            <v>ут.реж</v>
          </cell>
        </row>
        <row r="566">
          <cell r="W566">
            <v>0</v>
          </cell>
        </row>
      </sheetData>
      <sheetData sheetId="1"/>
      <sheetData sheetId="2"/>
      <sheetData sheetId="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хнологические режимы"/>
      <sheetName val=" изменение режима"/>
      <sheetName val=" свод ГТМ"/>
      <sheetName val=" изменение режима (2)"/>
    </sheetNames>
    <sheetDataSet>
      <sheetData sheetId="0"/>
      <sheetData sheetId="1">
        <row r="6">
          <cell r="W6" t="str">
            <v>Примечание (шифр)</v>
          </cell>
        </row>
        <row r="8">
          <cell r="W8">
            <v>0</v>
          </cell>
        </row>
        <row r="9">
          <cell r="W9">
            <v>0</v>
          </cell>
        </row>
        <row r="10">
          <cell r="W10" t="str">
            <v>ут.реж</v>
          </cell>
        </row>
        <row r="11">
          <cell r="W11" t="str">
            <v>ипп</v>
          </cell>
        </row>
        <row r="12">
          <cell r="W12">
            <v>0</v>
          </cell>
        </row>
        <row r="13">
          <cell r="W13" t="str">
            <v>ут.реж</v>
          </cell>
        </row>
        <row r="14">
          <cell r="W14" t="str">
            <v>прс</v>
          </cell>
        </row>
        <row r="15">
          <cell r="W15">
            <v>0</v>
          </cell>
        </row>
        <row r="16">
          <cell r="W16">
            <v>0</v>
          </cell>
        </row>
        <row r="17">
          <cell r="W17" t="str">
            <v>ут.реж</v>
          </cell>
        </row>
        <row r="18">
          <cell r="W18">
            <v>0</v>
          </cell>
        </row>
        <row r="19">
          <cell r="W19">
            <v>0</v>
          </cell>
        </row>
        <row r="20">
          <cell r="W20">
            <v>0</v>
          </cell>
        </row>
        <row r="21">
          <cell r="W21" t="str">
            <v>вода</v>
          </cell>
        </row>
        <row r="22">
          <cell r="W22" t="str">
            <v>ут.реж</v>
          </cell>
        </row>
        <row r="23">
          <cell r="W23" t="str">
            <v>вода</v>
          </cell>
        </row>
        <row r="24">
          <cell r="W24">
            <v>0</v>
          </cell>
        </row>
        <row r="25">
          <cell r="W25">
            <v>0</v>
          </cell>
        </row>
        <row r="26">
          <cell r="W26" t="str">
            <v>ут.реж</v>
          </cell>
        </row>
        <row r="27">
          <cell r="W27">
            <v>0</v>
          </cell>
        </row>
        <row r="28">
          <cell r="W28">
            <v>0</v>
          </cell>
        </row>
        <row r="29">
          <cell r="W29" t="str">
            <v>вода</v>
          </cell>
        </row>
        <row r="30">
          <cell r="W30" t="str">
            <v>сн.грп</v>
          </cell>
        </row>
        <row r="31">
          <cell r="W31">
            <v>0</v>
          </cell>
        </row>
        <row r="32">
          <cell r="W32">
            <v>0</v>
          </cell>
        </row>
        <row r="33">
          <cell r="W33" t="str">
            <v>ут.реж</v>
          </cell>
        </row>
        <row r="34">
          <cell r="W34" t="str">
            <v>ппд</v>
          </cell>
        </row>
        <row r="35">
          <cell r="W35">
            <v>0</v>
          </cell>
        </row>
        <row r="36">
          <cell r="W36" t="str">
            <v>вода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 t="str">
            <v>ут.реж</v>
          </cell>
        </row>
        <row r="40">
          <cell r="W40">
            <v>0</v>
          </cell>
        </row>
        <row r="41">
          <cell r="W41">
            <v>0</v>
          </cell>
        </row>
        <row r="42">
          <cell r="W42">
            <v>0</v>
          </cell>
        </row>
        <row r="43">
          <cell r="W43" t="str">
            <v>ут.реж</v>
          </cell>
        </row>
        <row r="44">
          <cell r="W44">
            <v>0</v>
          </cell>
        </row>
        <row r="45">
          <cell r="W45">
            <v>0</v>
          </cell>
        </row>
        <row r="46">
          <cell r="W46" t="str">
            <v>вода</v>
          </cell>
        </row>
        <row r="47">
          <cell r="W47" t="str">
            <v>прс</v>
          </cell>
        </row>
        <row r="48">
          <cell r="W48">
            <v>0</v>
          </cell>
        </row>
        <row r="49">
          <cell r="W49" t="str">
            <v>ут.реж</v>
          </cell>
        </row>
        <row r="50">
          <cell r="W50" t="str">
            <v>ут.реж</v>
          </cell>
        </row>
        <row r="51">
          <cell r="W51">
            <v>0</v>
          </cell>
        </row>
        <row r="52">
          <cell r="W52" t="str">
            <v>ут.реж</v>
          </cell>
        </row>
        <row r="53">
          <cell r="W53">
            <v>0</v>
          </cell>
        </row>
        <row r="54">
          <cell r="W54">
            <v>0</v>
          </cell>
        </row>
        <row r="55">
          <cell r="W55" t="str">
            <v>вода</v>
          </cell>
        </row>
        <row r="56">
          <cell r="W56">
            <v>0</v>
          </cell>
        </row>
        <row r="57">
          <cell r="W57" t="str">
            <v>ут.реж</v>
          </cell>
        </row>
        <row r="58">
          <cell r="W58" t="str">
            <v>опз</v>
          </cell>
        </row>
        <row r="59">
          <cell r="W59" t="str">
            <v>ипп</v>
          </cell>
        </row>
        <row r="60">
          <cell r="W60" t="str">
            <v>сн.грп</v>
          </cell>
        </row>
        <row r="61">
          <cell r="W61">
            <v>0</v>
          </cell>
        </row>
        <row r="62">
          <cell r="W62">
            <v>0</v>
          </cell>
        </row>
        <row r="63">
          <cell r="W63" t="str">
            <v>ипп</v>
          </cell>
        </row>
        <row r="64">
          <cell r="W64" t="str">
            <v>ут.реж</v>
          </cell>
        </row>
        <row r="65">
          <cell r="W65" t="str">
            <v>уход в бд</v>
          </cell>
        </row>
        <row r="66">
          <cell r="W66" t="str">
            <v>крс</v>
          </cell>
        </row>
        <row r="67">
          <cell r="W67" t="str">
            <v>ут.реж</v>
          </cell>
        </row>
        <row r="68">
          <cell r="W68" t="str">
            <v>вода</v>
          </cell>
        </row>
        <row r="69">
          <cell r="W69" t="str">
            <v>прс</v>
          </cell>
        </row>
        <row r="70">
          <cell r="W70" t="str">
            <v>ут.реж</v>
          </cell>
        </row>
        <row r="71">
          <cell r="W71">
            <v>0</v>
          </cell>
        </row>
        <row r="72">
          <cell r="W72" t="str">
            <v>ут.реж</v>
          </cell>
        </row>
        <row r="73">
          <cell r="W73" t="str">
            <v>ут.реж</v>
          </cell>
        </row>
        <row r="74">
          <cell r="W74" t="str">
            <v>вода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8">
          <cell r="W78" t="str">
            <v>ут.реж</v>
          </cell>
        </row>
        <row r="79">
          <cell r="W79">
            <v>0</v>
          </cell>
        </row>
        <row r="80">
          <cell r="W80" t="str">
            <v>ут.реж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 t="str">
            <v>ут.реж</v>
          </cell>
        </row>
        <row r="85">
          <cell r="W85">
            <v>0</v>
          </cell>
        </row>
        <row r="86">
          <cell r="W86" t="str">
            <v>вода</v>
          </cell>
        </row>
        <row r="87">
          <cell r="W87">
            <v>0</v>
          </cell>
        </row>
        <row r="88">
          <cell r="W88" t="str">
            <v>вода</v>
          </cell>
        </row>
        <row r="89">
          <cell r="W89">
            <v>0</v>
          </cell>
        </row>
        <row r="90">
          <cell r="W90">
            <v>0</v>
          </cell>
        </row>
        <row r="91">
          <cell r="W91" t="str">
            <v>ут.реж</v>
          </cell>
        </row>
        <row r="92">
          <cell r="W92">
            <v>0</v>
          </cell>
        </row>
        <row r="93">
          <cell r="W93">
            <v>0</v>
          </cell>
        </row>
        <row r="94">
          <cell r="W94">
            <v>0</v>
          </cell>
        </row>
        <row r="95">
          <cell r="W95" t="str">
            <v>ут.реж</v>
          </cell>
        </row>
        <row r="96">
          <cell r="W96" t="str">
            <v>вода</v>
          </cell>
        </row>
        <row r="97">
          <cell r="W97" t="str">
            <v>ут.реж</v>
          </cell>
        </row>
        <row r="98">
          <cell r="W98" t="str">
            <v>прс</v>
          </cell>
        </row>
        <row r="99">
          <cell r="W99">
            <v>0</v>
          </cell>
        </row>
        <row r="100">
          <cell r="W100">
            <v>0</v>
          </cell>
        </row>
        <row r="101">
          <cell r="W101" t="str">
            <v>ут.реж</v>
          </cell>
        </row>
        <row r="102">
          <cell r="W102" t="str">
            <v>прс</v>
          </cell>
        </row>
        <row r="103">
          <cell r="W103">
            <v>0</v>
          </cell>
        </row>
        <row r="104">
          <cell r="W104" t="str">
            <v>ут.реж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 t="str">
            <v>вода</v>
          </cell>
        </row>
        <row r="108">
          <cell r="W108" t="str">
            <v>ут.реж</v>
          </cell>
        </row>
        <row r="109">
          <cell r="W109" t="str">
            <v>ипп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 t="str">
            <v>по</v>
          </cell>
        </row>
        <row r="114">
          <cell r="W114">
            <v>0</v>
          </cell>
        </row>
        <row r="115">
          <cell r="W115" t="str">
            <v>ипп</v>
          </cell>
        </row>
        <row r="116">
          <cell r="W116" t="str">
            <v>ут.реж</v>
          </cell>
        </row>
        <row r="117">
          <cell r="W117" t="str">
            <v>ут.реж</v>
          </cell>
        </row>
        <row r="118">
          <cell r="W118" t="str">
            <v>опт</v>
          </cell>
        </row>
        <row r="119">
          <cell r="W119">
            <v>0</v>
          </cell>
        </row>
        <row r="120">
          <cell r="W120">
            <v>0</v>
          </cell>
        </row>
        <row r="121">
          <cell r="W121">
            <v>0</v>
          </cell>
        </row>
        <row r="122">
          <cell r="W122" t="str">
            <v>ут.реж</v>
          </cell>
        </row>
        <row r="123">
          <cell r="W123" t="str">
            <v>ут.реж</v>
          </cell>
        </row>
        <row r="124">
          <cell r="W124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 t="str">
            <v>ут.реж</v>
          </cell>
        </row>
        <row r="128">
          <cell r="W128">
            <v>0</v>
          </cell>
        </row>
        <row r="129">
          <cell r="W129" t="str">
            <v>ут.реж</v>
          </cell>
        </row>
        <row r="130">
          <cell r="W130" t="str">
            <v>прс</v>
          </cell>
        </row>
        <row r="131">
          <cell r="W131">
            <v>0</v>
          </cell>
        </row>
        <row r="132">
          <cell r="W132" t="str">
            <v>ут.реж</v>
          </cell>
        </row>
        <row r="133">
          <cell r="W133" t="str">
            <v>ут.реж</v>
          </cell>
        </row>
        <row r="134">
          <cell r="W134" t="str">
            <v>ут.реж</v>
          </cell>
        </row>
        <row r="135">
          <cell r="W135" t="str">
            <v>ут.реж</v>
          </cell>
        </row>
        <row r="136">
          <cell r="W136" t="str">
            <v>вода</v>
          </cell>
        </row>
        <row r="137">
          <cell r="W137" t="str">
            <v>ут.реж</v>
          </cell>
        </row>
        <row r="138">
          <cell r="W138" t="str">
            <v>вода</v>
          </cell>
        </row>
        <row r="139">
          <cell r="W139" t="str">
            <v>ут.реж</v>
          </cell>
        </row>
        <row r="140">
          <cell r="W140" t="str">
            <v>по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0</v>
          </cell>
        </row>
        <row r="145">
          <cell r="W145" t="str">
            <v>прс</v>
          </cell>
        </row>
        <row r="146">
          <cell r="W146">
            <v>0</v>
          </cell>
        </row>
        <row r="147">
          <cell r="W147" t="str">
            <v>вода</v>
          </cell>
        </row>
        <row r="148">
          <cell r="W148">
            <v>0</v>
          </cell>
        </row>
        <row r="149">
          <cell r="W149" t="str">
            <v>вода</v>
          </cell>
        </row>
        <row r="150">
          <cell r="W150" t="str">
            <v>ут.реж</v>
          </cell>
        </row>
        <row r="151">
          <cell r="W151" t="str">
            <v>ут.реж</v>
          </cell>
        </row>
        <row r="152">
          <cell r="W152" t="str">
            <v>прс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6">
          <cell r="W156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 t="str">
            <v>ут.реж</v>
          </cell>
        </row>
        <row r="163">
          <cell r="W163" t="str">
            <v>прс</v>
          </cell>
        </row>
        <row r="164">
          <cell r="W164">
            <v>0</v>
          </cell>
        </row>
        <row r="165">
          <cell r="W165" t="str">
            <v>вода</v>
          </cell>
        </row>
        <row r="166">
          <cell r="W166" t="str">
            <v>вода</v>
          </cell>
        </row>
        <row r="167">
          <cell r="W167">
            <v>0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2">
          <cell r="W172" t="str">
            <v>вода</v>
          </cell>
        </row>
        <row r="173">
          <cell r="W173">
            <v>0</v>
          </cell>
        </row>
        <row r="174">
          <cell r="W174" t="str">
            <v>ут.реж</v>
          </cell>
        </row>
        <row r="175">
          <cell r="W175" t="str">
            <v>ут.реж</v>
          </cell>
        </row>
        <row r="176">
          <cell r="W176">
            <v>0</v>
          </cell>
        </row>
        <row r="177">
          <cell r="W177">
            <v>0</v>
          </cell>
        </row>
        <row r="178">
          <cell r="W178" t="str">
            <v>вода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 t="str">
            <v>сн.опз</v>
          </cell>
        </row>
        <row r="183">
          <cell r="W183" t="str">
            <v>ут.реж</v>
          </cell>
        </row>
        <row r="184">
          <cell r="W184">
            <v>0</v>
          </cell>
        </row>
        <row r="185">
          <cell r="W185" t="str">
            <v>вода</v>
          </cell>
        </row>
        <row r="186">
          <cell r="W186">
            <v>0</v>
          </cell>
        </row>
        <row r="187">
          <cell r="W187">
            <v>0</v>
          </cell>
        </row>
        <row r="188">
          <cell r="W188">
            <v>0</v>
          </cell>
        </row>
        <row r="189">
          <cell r="W189">
            <v>0</v>
          </cell>
        </row>
        <row r="190">
          <cell r="W190">
            <v>0</v>
          </cell>
        </row>
        <row r="191">
          <cell r="W191">
            <v>0</v>
          </cell>
        </row>
        <row r="192">
          <cell r="W192" t="str">
            <v>прс</v>
          </cell>
        </row>
        <row r="193">
          <cell r="W193">
            <v>0</v>
          </cell>
        </row>
        <row r="194">
          <cell r="W194" t="str">
            <v>ут.реж</v>
          </cell>
        </row>
        <row r="195">
          <cell r="W195" t="str">
            <v>ут.реж</v>
          </cell>
        </row>
        <row r="196">
          <cell r="W196" t="str">
            <v>вода</v>
          </cell>
        </row>
        <row r="197">
          <cell r="W197" t="str">
            <v>крс</v>
          </cell>
        </row>
        <row r="198">
          <cell r="W198">
            <v>0</v>
          </cell>
        </row>
        <row r="199">
          <cell r="W199" t="str">
            <v>ут.реж</v>
          </cell>
        </row>
        <row r="200">
          <cell r="W200">
            <v>0</v>
          </cell>
        </row>
        <row r="201">
          <cell r="W201" t="str">
            <v>ут.реж</v>
          </cell>
        </row>
        <row r="202">
          <cell r="W202" t="str">
            <v>ут.реж</v>
          </cell>
        </row>
        <row r="203">
          <cell r="W203">
            <v>0</v>
          </cell>
        </row>
        <row r="204">
          <cell r="W204" t="str">
            <v>ут.реж</v>
          </cell>
        </row>
        <row r="205">
          <cell r="W205">
            <v>0</v>
          </cell>
        </row>
        <row r="206">
          <cell r="W206" t="str">
            <v>ут.реж</v>
          </cell>
        </row>
        <row r="207">
          <cell r="W207" t="str">
            <v>ут.реж</v>
          </cell>
        </row>
        <row r="208">
          <cell r="W208" t="str">
            <v>ут.реж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 t="str">
            <v>ипп</v>
          </cell>
        </row>
        <row r="212">
          <cell r="W212" t="str">
            <v>ут.реж</v>
          </cell>
        </row>
        <row r="213">
          <cell r="W213" t="str">
            <v>вода</v>
          </cell>
        </row>
        <row r="214">
          <cell r="W214">
            <v>0</v>
          </cell>
        </row>
        <row r="215">
          <cell r="W215" t="str">
            <v>по</v>
          </cell>
        </row>
        <row r="216">
          <cell r="W216" t="str">
            <v>уход в бд</v>
          </cell>
        </row>
        <row r="217">
          <cell r="W217" t="str">
            <v>прс</v>
          </cell>
        </row>
        <row r="218">
          <cell r="W218">
            <v>0</v>
          </cell>
        </row>
        <row r="219">
          <cell r="W219" t="str">
            <v>вода</v>
          </cell>
        </row>
        <row r="220">
          <cell r="W220">
            <v>0</v>
          </cell>
        </row>
        <row r="221">
          <cell r="W221">
            <v>0</v>
          </cell>
        </row>
        <row r="222">
          <cell r="W222">
            <v>0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>
            <v>0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 t="str">
            <v>прс</v>
          </cell>
        </row>
        <row r="229">
          <cell r="W229">
            <v>0</v>
          </cell>
        </row>
        <row r="230">
          <cell r="W230" t="str">
            <v>прс</v>
          </cell>
        </row>
        <row r="231">
          <cell r="W231">
            <v>0</v>
          </cell>
        </row>
        <row r="232">
          <cell r="W232" t="str">
            <v>вода</v>
          </cell>
        </row>
        <row r="233">
          <cell r="W233" t="str">
            <v>по</v>
          </cell>
        </row>
        <row r="234">
          <cell r="W234">
            <v>0</v>
          </cell>
        </row>
        <row r="235">
          <cell r="W235" t="str">
            <v>прс</v>
          </cell>
        </row>
        <row r="236">
          <cell r="W236" t="str">
            <v>ипп</v>
          </cell>
        </row>
        <row r="237">
          <cell r="W237">
            <v>0</v>
          </cell>
        </row>
        <row r="238">
          <cell r="W238">
            <v>0</v>
          </cell>
        </row>
        <row r="239">
          <cell r="W239">
            <v>0</v>
          </cell>
        </row>
        <row r="240">
          <cell r="W240">
            <v>0</v>
          </cell>
        </row>
        <row r="241">
          <cell r="W241" t="str">
            <v>ут.реж</v>
          </cell>
        </row>
        <row r="242">
          <cell r="W242">
            <v>0</v>
          </cell>
        </row>
        <row r="243">
          <cell r="W243" t="str">
            <v>прс</v>
          </cell>
        </row>
        <row r="244">
          <cell r="W244">
            <v>0</v>
          </cell>
        </row>
        <row r="245">
          <cell r="W245">
            <v>0</v>
          </cell>
        </row>
        <row r="246">
          <cell r="W246" t="str">
            <v>вода</v>
          </cell>
        </row>
        <row r="247">
          <cell r="W247" t="str">
            <v>вода</v>
          </cell>
        </row>
        <row r="248">
          <cell r="W248">
            <v>0</v>
          </cell>
        </row>
        <row r="249">
          <cell r="W249">
            <v>0</v>
          </cell>
        </row>
        <row r="250">
          <cell r="W250" t="str">
            <v>ут.реж</v>
          </cell>
        </row>
        <row r="251">
          <cell r="W251">
            <v>0</v>
          </cell>
        </row>
        <row r="252">
          <cell r="W252">
            <v>0</v>
          </cell>
        </row>
        <row r="253">
          <cell r="W253" t="str">
            <v>опз</v>
          </cell>
        </row>
        <row r="254">
          <cell r="W254">
            <v>0</v>
          </cell>
        </row>
        <row r="255">
          <cell r="W255" t="str">
            <v>прс</v>
          </cell>
        </row>
        <row r="256">
          <cell r="W256" t="str">
            <v>вода</v>
          </cell>
        </row>
        <row r="257">
          <cell r="W257">
            <v>0</v>
          </cell>
        </row>
        <row r="258">
          <cell r="W258" t="str">
            <v>прс</v>
          </cell>
        </row>
        <row r="259">
          <cell r="W259">
            <v>0</v>
          </cell>
        </row>
        <row r="260">
          <cell r="W260">
            <v>0</v>
          </cell>
        </row>
        <row r="261">
          <cell r="W261" t="str">
            <v>прс</v>
          </cell>
        </row>
        <row r="262">
          <cell r="W262">
            <v>0</v>
          </cell>
        </row>
        <row r="263">
          <cell r="W263">
            <v>0</v>
          </cell>
        </row>
        <row r="264">
          <cell r="W264">
            <v>0</v>
          </cell>
        </row>
        <row r="265">
          <cell r="W265">
            <v>0</v>
          </cell>
        </row>
        <row r="266">
          <cell r="W266">
            <v>0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>
            <v>0</v>
          </cell>
        </row>
        <row r="270">
          <cell r="W270">
            <v>0</v>
          </cell>
        </row>
        <row r="271">
          <cell r="W271">
            <v>0</v>
          </cell>
        </row>
        <row r="272">
          <cell r="W272">
            <v>0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>
            <v>0</v>
          </cell>
        </row>
        <row r="277">
          <cell r="W277">
            <v>0</v>
          </cell>
        </row>
        <row r="278">
          <cell r="W278" t="str">
            <v>прс</v>
          </cell>
        </row>
        <row r="279">
          <cell r="W279" t="str">
            <v>прс</v>
          </cell>
        </row>
        <row r="280">
          <cell r="W280" t="str">
            <v>вода</v>
          </cell>
        </row>
        <row r="281">
          <cell r="W281" t="str">
            <v>вода</v>
          </cell>
        </row>
        <row r="282">
          <cell r="W282">
            <v>0</v>
          </cell>
        </row>
        <row r="283">
          <cell r="W283" t="str">
            <v>ипп</v>
          </cell>
        </row>
        <row r="284">
          <cell r="W284">
            <v>0</v>
          </cell>
        </row>
        <row r="285">
          <cell r="W285">
            <v>0</v>
          </cell>
        </row>
        <row r="286">
          <cell r="W286">
            <v>0</v>
          </cell>
        </row>
        <row r="287">
          <cell r="W287">
            <v>0</v>
          </cell>
        </row>
        <row r="288">
          <cell r="W288">
            <v>0</v>
          </cell>
        </row>
        <row r="289">
          <cell r="W289" t="str">
            <v>ут.реж</v>
          </cell>
        </row>
        <row r="290">
          <cell r="W290">
            <v>0</v>
          </cell>
        </row>
        <row r="291">
          <cell r="W291">
            <v>0</v>
          </cell>
        </row>
        <row r="292">
          <cell r="W292" t="str">
            <v>прс</v>
          </cell>
        </row>
        <row r="293">
          <cell r="W293">
            <v>0</v>
          </cell>
        </row>
        <row r="294">
          <cell r="W294" t="str">
            <v>вода</v>
          </cell>
        </row>
        <row r="295">
          <cell r="W295" t="str">
            <v>вода</v>
          </cell>
        </row>
        <row r="296">
          <cell r="W296">
            <v>0</v>
          </cell>
        </row>
        <row r="297">
          <cell r="W297">
            <v>0</v>
          </cell>
        </row>
        <row r="298">
          <cell r="W298" t="str">
            <v>вода</v>
          </cell>
        </row>
        <row r="299">
          <cell r="W299">
            <v>0</v>
          </cell>
        </row>
        <row r="300">
          <cell r="W300" t="str">
            <v>ут.реж</v>
          </cell>
        </row>
        <row r="301">
          <cell r="W301">
            <v>0</v>
          </cell>
        </row>
        <row r="302">
          <cell r="W302">
            <v>0</v>
          </cell>
        </row>
        <row r="303">
          <cell r="W303">
            <v>0</v>
          </cell>
        </row>
        <row r="304">
          <cell r="W304">
            <v>0</v>
          </cell>
        </row>
        <row r="305">
          <cell r="W305">
            <v>0</v>
          </cell>
        </row>
        <row r="306">
          <cell r="W306" t="str">
            <v>вода</v>
          </cell>
        </row>
        <row r="307">
          <cell r="W307">
            <v>0</v>
          </cell>
        </row>
        <row r="308">
          <cell r="W308">
            <v>0</v>
          </cell>
        </row>
        <row r="309">
          <cell r="W309">
            <v>0</v>
          </cell>
        </row>
        <row r="310">
          <cell r="W310">
            <v>0</v>
          </cell>
        </row>
        <row r="311">
          <cell r="W311">
            <v>0</v>
          </cell>
        </row>
        <row r="312">
          <cell r="W312">
            <v>0</v>
          </cell>
        </row>
        <row r="313">
          <cell r="W313" t="str">
            <v>вода</v>
          </cell>
        </row>
        <row r="314">
          <cell r="W314" t="str">
            <v>крс</v>
          </cell>
        </row>
        <row r="315">
          <cell r="W315">
            <v>0</v>
          </cell>
        </row>
        <row r="316">
          <cell r="W316">
            <v>0</v>
          </cell>
        </row>
        <row r="317">
          <cell r="W317">
            <v>0</v>
          </cell>
        </row>
        <row r="318">
          <cell r="W318" t="str">
            <v>ут.реж</v>
          </cell>
        </row>
        <row r="319">
          <cell r="W319">
            <v>0</v>
          </cell>
        </row>
        <row r="320">
          <cell r="W320" t="str">
            <v>вода</v>
          </cell>
        </row>
        <row r="321">
          <cell r="W321">
            <v>0</v>
          </cell>
        </row>
        <row r="322">
          <cell r="W322">
            <v>0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 t="str">
            <v>прс</v>
          </cell>
        </row>
        <row r="327">
          <cell r="W327" t="str">
            <v>прс</v>
          </cell>
        </row>
        <row r="328">
          <cell r="W328" t="str">
            <v>прс</v>
          </cell>
        </row>
        <row r="329">
          <cell r="W329">
            <v>0</v>
          </cell>
        </row>
        <row r="330">
          <cell r="W330">
            <v>0</v>
          </cell>
        </row>
        <row r="331">
          <cell r="W331" t="str">
            <v>прс</v>
          </cell>
        </row>
        <row r="332">
          <cell r="W332" t="str">
            <v>ипп</v>
          </cell>
        </row>
        <row r="333">
          <cell r="W333">
            <v>0</v>
          </cell>
        </row>
        <row r="334">
          <cell r="W334" t="str">
            <v>прс</v>
          </cell>
        </row>
        <row r="335">
          <cell r="W335">
            <v>0</v>
          </cell>
        </row>
        <row r="336">
          <cell r="W336" t="str">
            <v>прс</v>
          </cell>
        </row>
        <row r="337">
          <cell r="W337">
            <v>0</v>
          </cell>
        </row>
        <row r="338">
          <cell r="W338">
            <v>0</v>
          </cell>
        </row>
        <row r="339">
          <cell r="W339" t="str">
            <v>по</v>
          </cell>
        </row>
        <row r="340">
          <cell r="W340">
            <v>0</v>
          </cell>
        </row>
        <row r="341">
          <cell r="W341" t="str">
            <v>ипп</v>
          </cell>
        </row>
        <row r="342">
          <cell r="W342" t="str">
            <v>ут.реж</v>
          </cell>
        </row>
        <row r="343">
          <cell r="W343">
            <v>0</v>
          </cell>
        </row>
        <row r="344">
          <cell r="W344" t="str">
            <v>ут.реж</v>
          </cell>
        </row>
        <row r="345">
          <cell r="W345">
            <v>0</v>
          </cell>
        </row>
        <row r="346">
          <cell r="W346">
            <v>0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 t="str">
            <v>ипп</v>
          </cell>
        </row>
        <row r="350">
          <cell r="W350" t="str">
            <v>ипп</v>
          </cell>
        </row>
        <row r="351">
          <cell r="W351">
            <v>0</v>
          </cell>
        </row>
        <row r="352">
          <cell r="W352">
            <v>0</v>
          </cell>
        </row>
        <row r="353">
          <cell r="W353">
            <v>0</v>
          </cell>
        </row>
        <row r="354">
          <cell r="W354">
            <v>0</v>
          </cell>
        </row>
        <row r="355">
          <cell r="W355" t="str">
            <v>ут.реж</v>
          </cell>
        </row>
        <row r="356">
          <cell r="W356">
            <v>0</v>
          </cell>
        </row>
        <row r="357">
          <cell r="W357">
            <v>0</v>
          </cell>
        </row>
        <row r="358">
          <cell r="W358">
            <v>0</v>
          </cell>
        </row>
        <row r="360">
          <cell r="W360">
            <v>0</v>
          </cell>
        </row>
        <row r="361">
          <cell r="W361">
            <v>0</v>
          </cell>
        </row>
        <row r="362">
          <cell r="W362" t="str">
            <v>ут.реж</v>
          </cell>
        </row>
        <row r="363">
          <cell r="W363" t="str">
            <v>вода</v>
          </cell>
        </row>
        <row r="364">
          <cell r="W364">
            <v>0</v>
          </cell>
        </row>
        <row r="365">
          <cell r="W365" t="str">
            <v>ут.реж</v>
          </cell>
        </row>
        <row r="366">
          <cell r="W366" t="str">
            <v>ут.реж</v>
          </cell>
        </row>
        <row r="367">
          <cell r="W367" t="str">
            <v>крс</v>
          </cell>
        </row>
        <row r="368">
          <cell r="W368" t="str">
            <v>ут.реж</v>
          </cell>
        </row>
        <row r="369">
          <cell r="W369">
            <v>0</v>
          </cell>
        </row>
        <row r="370">
          <cell r="W370" t="str">
            <v>прс</v>
          </cell>
        </row>
        <row r="371">
          <cell r="W371">
            <v>0</v>
          </cell>
        </row>
        <row r="372">
          <cell r="W372" t="str">
            <v>вода</v>
          </cell>
        </row>
        <row r="373">
          <cell r="W373">
            <v>0</v>
          </cell>
        </row>
        <row r="374">
          <cell r="W374">
            <v>0</v>
          </cell>
        </row>
        <row r="375">
          <cell r="W375">
            <v>0</v>
          </cell>
        </row>
        <row r="376">
          <cell r="W376">
            <v>0</v>
          </cell>
        </row>
        <row r="377">
          <cell r="W377">
            <v>0</v>
          </cell>
        </row>
        <row r="378">
          <cell r="W378">
            <v>0</v>
          </cell>
        </row>
        <row r="379">
          <cell r="W379">
            <v>0</v>
          </cell>
        </row>
        <row r="380">
          <cell r="W380">
            <v>0</v>
          </cell>
        </row>
        <row r="381">
          <cell r="W381">
            <v>0</v>
          </cell>
        </row>
        <row r="382">
          <cell r="W382" t="str">
            <v>ут.реж</v>
          </cell>
        </row>
        <row r="383">
          <cell r="W383">
            <v>0</v>
          </cell>
        </row>
        <row r="384">
          <cell r="W384">
            <v>0</v>
          </cell>
        </row>
        <row r="385">
          <cell r="W385">
            <v>0</v>
          </cell>
        </row>
        <row r="386">
          <cell r="W386" t="str">
            <v>вода</v>
          </cell>
        </row>
        <row r="387">
          <cell r="W387">
            <v>0</v>
          </cell>
        </row>
        <row r="388">
          <cell r="W388" t="str">
            <v>по</v>
          </cell>
        </row>
        <row r="389">
          <cell r="W389" t="str">
            <v>вода</v>
          </cell>
        </row>
        <row r="390">
          <cell r="W390">
            <v>0</v>
          </cell>
        </row>
        <row r="391">
          <cell r="W391" t="str">
            <v>ипп</v>
          </cell>
        </row>
        <row r="392">
          <cell r="W392">
            <v>0</v>
          </cell>
        </row>
        <row r="393">
          <cell r="W393">
            <v>0</v>
          </cell>
        </row>
        <row r="394">
          <cell r="W394" t="str">
            <v>ут.реж</v>
          </cell>
        </row>
        <row r="395">
          <cell r="W395">
            <v>0</v>
          </cell>
        </row>
        <row r="396">
          <cell r="W396" t="str">
            <v>вода</v>
          </cell>
        </row>
        <row r="397">
          <cell r="W397">
            <v>0</v>
          </cell>
        </row>
        <row r="398">
          <cell r="W398">
            <v>0</v>
          </cell>
        </row>
        <row r="399">
          <cell r="W399">
            <v>0</v>
          </cell>
        </row>
        <row r="400">
          <cell r="W400" t="str">
            <v>крс</v>
          </cell>
        </row>
        <row r="401">
          <cell r="W401">
            <v>0</v>
          </cell>
        </row>
        <row r="402">
          <cell r="W402">
            <v>0</v>
          </cell>
        </row>
        <row r="403">
          <cell r="W403" t="str">
            <v>ут.реж</v>
          </cell>
        </row>
        <row r="404">
          <cell r="W404">
            <v>0</v>
          </cell>
        </row>
        <row r="405">
          <cell r="W405" t="str">
            <v>по</v>
          </cell>
        </row>
        <row r="406">
          <cell r="W406" t="str">
            <v>ипп</v>
          </cell>
        </row>
        <row r="407">
          <cell r="W407" t="str">
            <v>ут.реж</v>
          </cell>
        </row>
        <row r="408">
          <cell r="W408" t="str">
            <v>вода</v>
          </cell>
        </row>
        <row r="409">
          <cell r="W409" t="str">
            <v>ут.реж</v>
          </cell>
        </row>
        <row r="410">
          <cell r="W410" t="str">
            <v>ут.реж</v>
          </cell>
        </row>
        <row r="411">
          <cell r="W411" t="str">
            <v>ут.реж</v>
          </cell>
        </row>
        <row r="412">
          <cell r="W412" t="str">
            <v>прс</v>
          </cell>
        </row>
        <row r="413">
          <cell r="W413">
            <v>0</v>
          </cell>
        </row>
        <row r="414">
          <cell r="W414">
            <v>0</v>
          </cell>
        </row>
        <row r="415">
          <cell r="W415">
            <v>0</v>
          </cell>
        </row>
        <row r="416">
          <cell r="W416" t="str">
            <v>ут.реж</v>
          </cell>
        </row>
        <row r="417">
          <cell r="W417">
            <v>0</v>
          </cell>
        </row>
        <row r="418">
          <cell r="W418">
            <v>0</v>
          </cell>
        </row>
        <row r="419">
          <cell r="W419">
            <v>0</v>
          </cell>
        </row>
        <row r="420">
          <cell r="W420">
            <v>0</v>
          </cell>
        </row>
        <row r="421">
          <cell r="W421" t="str">
            <v>ут.реж</v>
          </cell>
        </row>
        <row r="422">
          <cell r="W422">
            <v>0</v>
          </cell>
        </row>
        <row r="423">
          <cell r="W423">
            <v>0</v>
          </cell>
        </row>
        <row r="424">
          <cell r="W424">
            <v>0</v>
          </cell>
        </row>
        <row r="425">
          <cell r="W425" t="str">
            <v>ут.реж</v>
          </cell>
        </row>
        <row r="426">
          <cell r="W426" t="str">
            <v>ут.реж</v>
          </cell>
        </row>
        <row r="427">
          <cell r="W427">
            <v>0</v>
          </cell>
        </row>
        <row r="428">
          <cell r="W428" t="str">
            <v>вода</v>
          </cell>
        </row>
        <row r="429">
          <cell r="W429" t="str">
            <v>ут.реж</v>
          </cell>
        </row>
        <row r="430">
          <cell r="W430">
            <v>0</v>
          </cell>
        </row>
        <row r="431">
          <cell r="W431">
            <v>0</v>
          </cell>
        </row>
        <row r="432">
          <cell r="W432">
            <v>0</v>
          </cell>
        </row>
        <row r="433">
          <cell r="W433">
            <v>0</v>
          </cell>
        </row>
        <row r="434">
          <cell r="W434">
            <v>0</v>
          </cell>
        </row>
        <row r="435">
          <cell r="W435" t="str">
            <v>ут.реж</v>
          </cell>
        </row>
        <row r="436">
          <cell r="W436" t="str">
            <v>вода</v>
          </cell>
        </row>
        <row r="437">
          <cell r="W437">
            <v>0</v>
          </cell>
        </row>
        <row r="438">
          <cell r="W438" t="str">
            <v>ут.реж</v>
          </cell>
        </row>
        <row r="439">
          <cell r="W439">
            <v>0</v>
          </cell>
        </row>
        <row r="440">
          <cell r="W440">
            <v>0</v>
          </cell>
        </row>
        <row r="441">
          <cell r="W441" t="str">
            <v>ут.реж</v>
          </cell>
        </row>
        <row r="442">
          <cell r="W442">
            <v>0</v>
          </cell>
        </row>
        <row r="443">
          <cell r="W443" t="str">
            <v>ут.реж</v>
          </cell>
        </row>
        <row r="444">
          <cell r="W444" t="str">
            <v>крс</v>
          </cell>
        </row>
        <row r="445">
          <cell r="W445" t="str">
            <v>ут.реж</v>
          </cell>
        </row>
        <row r="446">
          <cell r="W446" t="str">
            <v>ут.реж</v>
          </cell>
        </row>
        <row r="447">
          <cell r="W447" t="str">
            <v>ут.реж</v>
          </cell>
        </row>
        <row r="448">
          <cell r="W448">
            <v>0</v>
          </cell>
        </row>
        <row r="449">
          <cell r="W449">
            <v>0</v>
          </cell>
        </row>
        <row r="450">
          <cell r="W450" t="str">
            <v>ут.реж</v>
          </cell>
        </row>
        <row r="451">
          <cell r="W451">
            <v>0</v>
          </cell>
        </row>
        <row r="452">
          <cell r="W452">
            <v>0</v>
          </cell>
        </row>
        <row r="453">
          <cell r="W453" t="str">
            <v>ут.реж</v>
          </cell>
        </row>
        <row r="454">
          <cell r="W454" t="str">
            <v>ут.реж</v>
          </cell>
        </row>
        <row r="455">
          <cell r="W455">
            <v>0</v>
          </cell>
        </row>
        <row r="456">
          <cell r="W456" t="str">
            <v>ут.реж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 t="str">
            <v>ут.реж</v>
          </cell>
        </row>
        <row r="460">
          <cell r="W460">
            <v>0</v>
          </cell>
        </row>
        <row r="461">
          <cell r="W461">
            <v>0</v>
          </cell>
        </row>
        <row r="462">
          <cell r="W462" t="str">
            <v>ут.реж</v>
          </cell>
        </row>
        <row r="463">
          <cell r="W463" t="str">
            <v>крс</v>
          </cell>
        </row>
        <row r="464">
          <cell r="W464">
            <v>0</v>
          </cell>
        </row>
        <row r="465">
          <cell r="W465">
            <v>0</v>
          </cell>
        </row>
        <row r="466">
          <cell r="W466">
            <v>0</v>
          </cell>
        </row>
        <row r="467">
          <cell r="W467">
            <v>0</v>
          </cell>
        </row>
        <row r="468">
          <cell r="W468">
            <v>0</v>
          </cell>
        </row>
        <row r="469">
          <cell r="W469">
            <v>0</v>
          </cell>
        </row>
        <row r="470">
          <cell r="W470" t="str">
            <v>ут.реж</v>
          </cell>
        </row>
        <row r="471">
          <cell r="W471">
            <v>0</v>
          </cell>
        </row>
        <row r="472">
          <cell r="W472">
            <v>0</v>
          </cell>
        </row>
        <row r="473">
          <cell r="W473">
            <v>0</v>
          </cell>
        </row>
        <row r="474">
          <cell r="W474" t="str">
            <v>ут.реж</v>
          </cell>
        </row>
        <row r="475">
          <cell r="W475" t="str">
            <v>прс</v>
          </cell>
        </row>
        <row r="476">
          <cell r="W476">
            <v>0</v>
          </cell>
        </row>
        <row r="477">
          <cell r="W477" t="str">
            <v>ут.реж</v>
          </cell>
        </row>
        <row r="478">
          <cell r="W478">
            <v>0</v>
          </cell>
        </row>
        <row r="479">
          <cell r="W479" t="str">
            <v>вода</v>
          </cell>
        </row>
        <row r="480">
          <cell r="W480" t="str">
            <v>ут.реж</v>
          </cell>
        </row>
        <row r="481">
          <cell r="W481">
            <v>0</v>
          </cell>
        </row>
        <row r="482">
          <cell r="W482" t="str">
            <v>вода</v>
          </cell>
        </row>
        <row r="483">
          <cell r="W483">
            <v>0</v>
          </cell>
        </row>
        <row r="484">
          <cell r="W484">
            <v>0</v>
          </cell>
        </row>
        <row r="485">
          <cell r="W485">
            <v>0</v>
          </cell>
        </row>
        <row r="486">
          <cell r="W486">
            <v>0</v>
          </cell>
        </row>
        <row r="487">
          <cell r="W487">
            <v>0</v>
          </cell>
        </row>
        <row r="488">
          <cell r="W488">
            <v>0</v>
          </cell>
        </row>
        <row r="489">
          <cell r="W489">
            <v>0</v>
          </cell>
        </row>
        <row r="490">
          <cell r="W490">
            <v>0</v>
          </cell>
        </row>
        <row r="491">
          <cell r="W491" t="str">
            <v>вода</v>
          </cell>
        </row>
        <row r="492">
          <cell r="W492">
            <v>0</v>
          </cell>
        </row>
        <row r="493">
          <cell r="W493" t="str">
            <v>сн.грп</v>
          </cell>
        </row>
        <row r="494">
          <cell r="W494">
            <v>0</v>
          </cell>
        </row>
        <row r="495">
          <cell r="W495" t="str">
            <v>ут.реж</v>
          </cell>
        </row>
        <row r="496">
          <cell r="W496" t="str">
            <v>вода</v>
          </cell>
        </row>
        <row r="497">
          <cell r="W497" t="str">
            <v>ут.реж</v>
          </cell>
        </row>
        <row r="498">
          <cell r="W498" t="str">
            <v>ут.реж</v>
          </cell>
        </row>
        <row r="499">
          <cell r="W499">
            <v>0</v>
          </cell>
        </row>
        <row r="500">
          <cell r="W500">
            <v>0</v>
          </cell>
        </row>
        <row r="501">
          <cell r="W501" t="str">
            <v>прс</v>
          </cell>
        </row>
        <row r="502">
          <cell r="W502" t="str">
            <v>вода</v>
          </cell>
        </row>
        <row r="503">
          <cell r="W503">
            <v>0</v>
          </cell>
        </row>
        <row r="504">
          <cell r="W504">
            <v>0</v>
          </cell>
        </row>
        <row r="505">
          <cell r="W505" t="str">
            <v>вода</v>
          </cell>
        </row>
        <row r="506">
          <cell r="W506" t="str">
            <v>ут.реж</v>
          </cell>
        </row>
        <row r="507">
          <cell r="W507">
            <v>0</v>
          </cell>
        </row>
        <row r="508">
          <cell r="W508">
            <v>0</v>
          </cell>
        </row>
        <row r="509">
          <cell r="W509">
            <v>0</v>
          </cell>
        </row>
        <row r="510">
          <cell r="W510" t="str">
            <v>ут.реж</v>
          </cell>
        </row>
        <row r="511">
          <cell r="W511" t="str">
            <v>прс</v>
          </cell>
        </row>
        <row r="512">
          <cell r="W512">
            <v>0</v>
          </cell>
        </row>
        <row r="513">
          <cell r="W513">
            <v>0</v>
          </cell>
        </row>
        <row r="514">
          <cell r="W514" t="str">
            <v>ут.реж</v>
          </cell>
        </row>
        <row r="515">
          <cell r="W515">
            <v>0</v>
          </cell>
        </row>
        <row r="516">
          <cell r="W516" t="str">
            <v>прс</v>
          </cell>
        </row>
        <row r="517">
          <cell r="W517" t="str">
            <v>ут.реж</v>
          </cell>
        </row>
        <row r="518">
          <cell r="W518" t="str">
            <v>прс</v>
          </cell>
        </row>
        <row r="519">
          <cell r="W519">
            <v>0</v>
          </cell>
        </row>
        <row r="520">
          <cell r="W520">
            <v>0</v>
          </cell>
        </row>
        <row r="521">
          <cell r="W521">
            <v>0</v>
          </cell>
        </row>
        <row r="522">
          <cell r="W522">
            <v>0</v>
          </cell>
        </row>
        <row r="523">
          <cell r="W523" t="str">
            <v>прс</v>
          </cell>
        </row>
        <row r="524">
          <cell r="W524">
            <v>0</v>
          </cell>
        </row>
        <row r="525">
          <cell r="W525">
            <v>0</v>
          </cell>
        </row>
        <row r="526">
          <cell r="W526">
            <v>0</v>
          </cell>
        </row>
        <row r="527">
          <cell r="W527">
            <v>0</v>
          </cell>
        </row>
        <row r="528">
          <cell r="W528">
            <v>0</v>
          </cell>
        </row>
        <row r="529">
          <cell r="W529">
            <v>0</v>
          </cell>
        </row>
        <row r="530">
          <cell r="W530">
            <v>0</v>
          </cell>
        </row>
        <row r="531">
          <cell r="W531" t="str">
            <v>ипп</v>
          </cell>
        </row>
        <row r="532">
          <cell r="W532" t="str">
            <v>прс</v>
          </cell>
        </row>
        <row r="533">
          <cell r="W533" t="str">
            <v>ипп</v>
          </cell>
        </row>
        <row r="534">
          <cell r="W534">
            <v>0</v>
          </cell>
        </row>
        <row r="535">
          <cell r="W535" t="str">
            <v>вода</v>
          </cell>
        </row>
        <row r="536">
          <cell r="W536" t="str">
            <v>вода</v>
          </cell>
        </row>
        <row r="537">
          <cell r="W537">
            <v>0</v>
          </cell>
        </row>
        <row r="538">
          <cell r="W538" t="str">
            <v>ут.реж</v>
          </cell>
        </row>
        <row r="539">
          <cell r="W539" t="str">
            <v>уход в бд</v>
          </cell>
        </row>
        <row r="540">
          <cell r="W540">
            <v>0</v>
          </cell>
        </row>
        <row r="541">
          <cell r="W541" t="str">
            <v>ут.реж</v>
          </cell>
        </row>
        <row r="542">
          <cell r="W542">
            <v>0</v>
          </cell>
        </row>
        <row r="543">
          <cell r="W543">
            <v>0</v>
          </cell>
        </row>
        <row r="544">
          <cell r="W544">
            <v>0</v>
          </cell>
        </row>
        <row r="545">
          <cell r="W545">
            <v>0</v>
          </cell>
        </row>
        <row r="546">
          <cell r="W546" t="str">
            <v>ут.реж</v>
          </cell>
        </row>
        <row r="547">
          <cell r="W547">
            <v>0</v>
          </cell>
        </row>
        <row r="548">
          <cell r="W548">
            <v>0</v>
          </cell>
        </row>
        <row r="549">
          <cell r="W549">
            <v>0</v>
          </cell>
        </row>
        <row r="550">
          <cell r="W550">
            <v>0</v>
          </cell>
        </row>
        <row r="551">
          <cell r="W551" t="str">
            <v>сн.опз</v>
          </cell>
        </row>
        <row r="552">
          <cell r="W552" t="str">
            <v>крс</v>
          </cell>
        </row>
        <row r="553">
          <cell r="W553" t="str">
            <v>опз</v>
          </cell>
        </row>
        <row r="554">
          <cell r="W554" t="str">
            <v>крс</v>
          </cell>
        </row>
        <row r="555">
          <cell r="W555" t="str">
            <v>крс</v>
          </cell>
        </row>
        <row r="556">
          <cell r="W556" t="str">
            <v>опз</v>
          </cell>
        </row>
        <row r="557">
          <cell r="W557">
            <v>0</v>
          </cell>
        </row>
        <row r="558">
          <cell r="W558" t="str">
            <v>опз</v>
          </cell>
        </row>
        <row r="559">
          <cell r="W559" t="str">
            <v>крс</v>
          </cell>
        </row>
        <row r="560">
          <cell r="W560">
            <v>0</v>
          </cell>
        </row>
        <row r="561">
          <cell r="W561" t="str">
            <v>ипп</v>
          </cell>
        </row>
        <row r="562">
          <cell r="W562">
            <v>0</v>
          </cell>
        </row>
        <row r="563">
          <cell r="W563">
            <v>0</v>
          </cell>
        </row>
        <row r="564">
          <cell r="W564">
            <v>0</v>
          </cell>
        </row>
        <row r="565">
          <cell r="W565" t="str">
            <v>ут.реж</v>
          </cell>
        </row>
        <row r="566">
          <cell r="W566">
            <v>0</v>
          </cell>
        </row>
      </sheetData>
      <sheetData sheetId="2"/>
      <sheetData sheetId="3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 руководству"/>
      <sheetName val="Суточная добыча за неделю"/>
      <sheetName val="1"/>
      <sheetName val="Графики"/>
      <sheetName val="суточная сводка"/>
      <sheetName val="2003"/>
      <sheetName val="ControlList"/>
      <sheetName val="Лист3"/>
      <sheetName val="В работ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Графики"/>
      <sheetName val="таблица руководству"/>
      <sheetName val="суточная сводка"/>
      <sheetName val="Суточная добыча за неделю"/>
      <sheetName val="2003"/>
      <sheetName val="ControlList"/>
      <sheetName val="Лист3"/>
      <sheetName val="В работе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вл и нерентаб. "/>
      <sheetName val="доп.потери"/>
      <sheetName val="Краснолен."/>
      <sheetName val="август"/>
      <sheetName val="Фонд с"/>
      <sheetName val="Ост.под ислед."/>
      <sheetName val="Ост.под ислед. (2)"/>
      <sheetName val="титул"/>
      <sheetName val="словарь"/>
      <sheetName val="база"/>
      <sheetName val="время"/>
      <sheetName val="база-п "/>
      <sheetName val="Потен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B1" t="str">
            <v>№ скважины</v>
          </cell>
          <cell r="C1" t="str">
            <v>№ куста</v>
          </cell>
          <cell r="D1" t="str">
            <v>№ бригады</v>
          </cell>
          <cell r="E1" t="str">
            <v>движение</v>
          </cell>
          <cell r="F1" t="str">
            <v>Подрядчик</v>
          </cell>
          <cell r="G1" t="str">
            <v>Рпл, атм</v>
          </cell>
          <cell r="H1" t="str">
            <v>Способ экспл.</v>
          </cell>
          <cell r="I1" t="str">
            <v>Состояние по фонду</v>
          </cell>
          <cell r="J1" t="str">
            <v>Дата остановки скв.</v>
          </cell>
          <cell r="K1" t="str">
            <v>Дебит до КРС, м3/сут</v>
          </cell>
          <cell r="L1" t="str">
            <v>Дебит до КРС, т/сут</v>
          </cell>
          <cell r="M1" t="str">
            <v>% воды</v>
          </cell>
          <cell r="N1" t="str">
            <v>Ожидаемый дебит, м3/сут</v>
          </cell>
          <cell r="O1" t="str">
            <v>Ожидаемый дебит, т/сут</v>
          </cell>
          <cell r="P1" t="str">
            <v>% воды</v>
          </cell>
          <cell r="Q1" t="str">
            <v>Прирост, м3/сут</v>
          </cell>
          <cell r="R1" t="str">
            <v>Прирост, т/сут</v>
          </cell>
          <cell r="S1" t="str">
            <v>%воды</v>
          </cell>
          <cell r="T1" t="str">
            <v>Дата ввода</v>
          </cell>
          <cell r="U1" t="str">
            <v>Шифр ГТМ</v>
          </cell>
          <cell r="V1" t="str">
            <v>№ п/п</v>
          </cell>
          <cell r="W1" t="str">
            <v>Вид работ</v>
          </cell>
          <cell r="X1" t="str">
            <v>Примечания</v>
          </cell>
        </row>
        <row r="2">
          <cell r="B2">
            <v>5315</v>
          </cell>
          <cell r="C2">
            <v>133</v>
          </cell>
          <cell r="F2" t="str">
            <v>УПНП</v>
          </cell>
          <cell r="G2">
            <v>230</v>
          </cell>
          <cell r="H2" t="str">
            <v>ШГН</v>
          </cell>
          <cell r="I2" t="str">
            <v>бдт</v>
          </cell>
          <cell r="J2">
            <v>37464</v>
          </cell>
          <cell r="K2">
            <v>0</v>
          </cell>
          <cell r="L2">
            <v>0</v>
          </cell>
          <cell r="M2">
            <v>0</v>
          </cell>
          <cell r="N2">
            <v>12</v>
          </cell>
          <cell r="O2">
            <v>8.8000000000000007</v>
          </cell>
          <cell r="P2">
            <v>10</v>
          </cell>
          <cell r="Q2">
            <v>12</v>
          </cell>
          <cell r="R2">
            <v>8.8000000000000007</v>
          </cell>
          <cell r="S2">
            <v>9.5</v>
          </cell>
          <cell r="T2">
            <v>37589</v>
          </cell>
          <cell r="U2" t="str">
            <v>вцд</v>
          </cell>
          <cell r="W2" t="str">
            <v>ВЦ КОПС,рев.НВ-44</v>
          </cell>
        </row>
        <row r="3">
          <cell r="B3">
            <v>5681</v>
          </cell>
          <cell r="C3">
            <v>124</v>
          </cell>
          <cell r="F3" t="str">
            <v>УПНП</v>
          </cell>
          <cell r="G3">
            <v>265</v>
          </cell>
          <cell r="H3" t="str">
            <v>ЭЦН</v>
          </cell>
          <cell r="I3" t="str">
            <v>конс.</v>
          </cell>
          <cell r="J3">
            <v>34213</v>
          </cell>
          <cell r="K3">
            <v>0</v>
          </cell>
          <cell r="L3">
            <v>0</v>
          </cell>
          <cell r="M3">
            <v>0</v>
          </cell>
          <cell r="N3">
            <v>80</v>
          </cell>
          <cell r="O3">
            <v>16.3</v>
          </cell>
          <cell r="P3">
            <v>75</v>
          </cell>
          <cell r="Q3">
            <v>80</v>
          </cell>
          <cell r="R3">
            <v>16.3</v>
          </cell>
          <cell r="S3">
            <v>74.8</v>
          </cell>
          <cell r="T3">
            <v>37597</v>
          </cell>
          <cell r="U3" t="str">
            <v>ОВП</v>
          </cell>
          <cell r="W3" t="str">
            <v>ВЦ,ВЗ,ГИС,РИР (низ ЮК-10),ДП,ПП</v>
          </cell>
        </row>
        <row r="4">
          <cell r="B4">
            <v>3080</v>
          </cell>
          <cell r="C4">
            <v>51</v>
          </cell>
          <cell r="F4" t="str">
            <v>УПНП</v>
          </cell>
          <cell r="G4">
            <v>260</v>
          </cell>
          <cell r="H4" t="str">
            <v>ЭЦН</v>
          </cell>
          <cell r="I4" t="str">
            <v>конс.</v>
          </cell>
          <cell r="J4">
            <v>34304</v>
          </cell>
          <cell r="K4">
            <v>0</v>
          </cell>
          <cell r="L4">
            <v>0</v>
          </cell>
          <cell r="M4">
            <v>0</v>
          </cell>
          <cell r="N4">
            <v>80</v>
          </cell>
          <cell r="O4">
            <v>9.8000000000000007</v>
          </cell>
          <cell r="P4">
            <v>85</v>
          </cell>
          <cell r="Q4">
            <v>80</v>
          </cell>
          <cell r="R4">
            <v>9.8000000000000007</v>
          </cell>
          <cell r="S4">
            <v>84.9</v>
          </cell>
          <cell r="T4">
            <v>37601</v>
          </cell>
          <cell r="U4" t="str">
            <v>ВВ</v>
          </cell>
          <cell r="W4" t="str">
            <v>ВЦ,ДП ЮК-10</v>
          </cell>
        </row>
        <row r="5">
          <cell r="B5">
            <v>3191</v>
          </cell>
          <cell r="C5">
            <v>55</v>
          </cell>
          <cell r="F5" t="str">
            <v>БлУНП</v>
          </cell>
          <cell r="G5">
            <v>265</v>
          </cell>
          <cell r="H5" t="str">
            <v>ЭЦН</v>
          </cell>
          <cell r="I5" t="str">
            <v>конс.</v>
          </cell>
          <cell r="J5">
            <v>34304</v>
          </cell>
          <cell r="K5">
            <v>0</v>
          </cell>
          <cell r="L5">
            <v>0</v>
          </cell>
          <cell r="M5">
            <v>0</v>
          </cell>
          <cell r="N5">
            <v>50</v>
          </cell>
          <cell r="O5">
            <v>10.199999999999999</v>
          </cell>
          <cell r="P5">
            <v>75</v>
          </cell>
          <cell r="Q5">
            <v>50</v>
          </cell>
          <cell r="R5">
            <v>10.199999999999999</v>
          </cell>
          <cell r="S5">
            <v>74.8</v>
          </cell>
          <cell r="U5" t="str">
            <v>ВВ</v>
          </cell>
          <cell r="W5" t="str">
            <v>ВЦ,ВЗ,ДП ЮК-10</v>
          </cell>
          <cell r="X5" t="str">
            <v>11,12,02 не вып.</v>
          </cell>
        </row>
        <row r="6">
          <cell r="B6">
            <v>2934</v>
          </cell>
          <cell r="C6">
            <v>43</v>
          </cell>
          <cell r="F6" t="str">
            <v>БлУНП</v>
          </cell>
          <cell r="G6">
            <v>291</v>
          </cell>
          <cell r="H6" t="str">
            <v>ЭЦН</v>
          </cell>
          <cell r="I6" t="str">
            <v>бдт</v>
          </cell>
          <cell r="J6">
            <v>37323</v>
          </cell>
          <cell r="K6">
            <v>0</v>
          </cell>
          <cell r="L6">
            <v>0</v>
          </cell>
          <cell r="M6">
            <v>0</v>
          </cell>
          <cell r="N6">
            <v>50</v>
          </cell>
          <cell r="O6">
            <v>12.2</v>
          </cell>
          <cell r="P6">
            <v>70</v>
          </cell>
          <cell r="Q6">
            <v>50</v>
          </cell>
          <cell r="R6">
            <v>12.2</v>
          </cell>
          <cell r="S6">
            <v>69.900000000000006</v>
          </cell>
          <cell r="T6">
            <v>37590</v>
          </cell>
          <cell r="U6" t="str">
            <v>ВВ</v>
          </cell>
          <cell r="W6" t="str">
            <v>Ликвид.грифона, ДП ЮК-11</v>
          </cell>
        </row>
        <row r="7">
          <cell r="B7">
            <v>5599</v>
          </cell>
          <cell r="C7">
            <v>120</v>
          </cell>
          <cell r="F7" t="str">
            <v>БлУНП</v>
          </cell>
          <cell r="G7">
            <v>270</v>
          </cell>
          <cell r="H7" t="str">
            <v>ЭЦН</v>
          </cell>
          <cell r="I7" t="str">
            <v>конс.</v>
          </cell>
          <cell r="J7">
            <v>32843</v>
          </cell>
          <cell r="K7">
            <v>0</v>
          </cell>
          <cell r="L7">
            <v>0</v>
          </cell>
          <cell r="M7">
            <v>0</v>
          </cell>
          <cell r="N7">
            <v>30</v>
          </cell>
          <cell r="O7">
            <v>7.3</v>
          </cell>
          <cell r="P7">
            <v>70</v>
          </cell>
          <cell r="Q7">
            <v>30</v>
          </cell>
          <cell r="R7">
            <v>7.3</v>
          </cell>
          <cell r="S7">
            <v>70</v>
          </cell>
          <cell r="T7">
            <v>37616</v>
          </cell>
          <cell r="U7" t="str">
            <v>ЛА</v>
          </cell>
          <cell r="W7" t="str">
            <v>ВЦ,извлечение НКТ</v>
          </cell>
        </row>
        <row r="8">
          <cell r="B8">
            <v>5564</v>
          </cell>
          <cell r="C8">
            <v>120</v>
          </cell>
          <cell r="F8" t="str">
            <v>БлУНП</v>
          </cell>
          <cell r="G8">
            <v>270</v>
          </cell>
          <cell r="H8" t="str">
            <v>ЭЦН</v>
          </cell>
          <cell r="I8" t="str">
            <v>бд</v>
          </cell>
          <cell r="J8">
            <v>36885</v>
          </cell>
          <cell r="K8">
            <v>0</v>
          </cell>
          <cell r="L8">
            <v>0</v>
          </cell>
          <cell r="M8">
            <v>0</v>
          </cell>
          <cell r="N8">
            <v>125</v>
          </cell>
          <cell r="O8">
            <v>6.1</v>
          </cell>
          <cell r="P8">
            <v>94</v>
          </cell>
          <cell r="Q8">
            <v>125</v>
          </cell>
          <cell r="R8">
            <v>6.1</v>
          </cell>
          <cell r="S8">
            <v>94</v>
          </cell>
          <cell r="T8">
            <v>37596</v>
          </cell>
          <cell r="U8" t="str">
            <v>ЛА</v>
          </cell>
          <cell r="W8" t="str">
            <v xml:space="preserve"> ЛА, ГИС-2,ПП, сп Э-125</v>
          </cell>
        </row>
        <row r="10">
          <cell r="B10">
            <v>2880</v>
          </cell>
          <cell r="C10">
            <v>127</v>
          </cell>
          <cell r="F10" t="str">
            <v>УПНП</v>
          </cell>
          <cell r="G10">
            <v>260</v>
          </cell>
          <cell r="H10" t="str">
            <v>ЭЦН</v>
          </cell>
          <cell r="I10" t="str">
            <v>бд</v>
          </cell>
          <cell r="J10">
            <v>36019</v>
          </cell>
          <cell r="K10">
            <v>0</v>
          </cell>
          <cell r="L10">
            <v>0</v>
          </cell>
          <cell r="M10">
            <v>0</v>
          </cell>
          <cell r="N10">
            <v>80</v>
          </cell>
          <cell r="O10">
            <v>16.3</v>
          </cell>
          <cell r="P10">
            <v>75</v>
          </cell>
          <cell r="Q10">
            <v>80</v>
          </cell>
          <cell r="R10">
            <v>16.3</v>
          </cell>
          <cell r="S10">
            <v>74.8</v>
          </cell>
          <cell r="T10">
            <v>37592</v>
          </cell>
          <cell r="U10" t="str">
            <v>ЛА</v>
          </cell>
          <cell r="W10" t="str">
            <v xml:space="preserve">ЛА,ОТСК,ПП,сп.Э-80 </v>
          </cell>
        </row>
        <row r="11">
          <cell r="B11">
            <v>2863</v>
          </cell>
          <cell r="C11">
            <v>131</v>
          </cell>
          <cell r="F11" t="str">
            <v>УПНП</v>
          </cell>
          <cell r="G11">
            <v>265</v>
          </cell>
          <cell r="H11" t="str">
            <v>ЭЦН</v>
          </cell>
          <cell r="I11" t="str">
            <v>бд</v>
          </cell>
          <cell r="J11">
            <v>33635</v>
          </cell>
          <cell r="K11">
            <v>0</v>
          </cell>
          <cell r="L11">
            <v>0</v>
          </cell>
          <cell r="M11">
            <v>0</v>
          </cell>
          <cell r="N11">
            <v>50</v>
          </cell>
          <cell r="O11">
            <v>12.2</v>
          </cell>
          <cell r="P11">
            <v>70</v>
          </cell>
          <cell r="Q11">
            <v>50</v>
          </cell>
          <cell r="R11">
            <v>12.2</v>
          </cell>
          <cell r="S11">
            <v>69.900000000000006</v>
          </cell>
          <cell r="T11">
            <v>37613</v>
          </cell>
          <cell r="U11" t="str">
            <v>ЛА</v>
          </cell>
          <cell r="W11" t="str">
            <v>ЛА. ПП, ОПЗ</v>
          </cell>
        </row>
        <row r="12">
          <cell r="B12">
            <v>5650</v>
          </cell>
          <cell r="C12">
            <v>124</v>
          </cell>
          <cell r="F12" t="str">
            <v>УПНП</v>
          </cell>
          <cell r="G12">
            <v>260</v>
          </cell>
          <cell r="H12" t="str">
            <v>ЭЦН</v>
          </cell>
          <cell r="I12" t="str">
            <v>конс.</v>
          </cell>
          <cell r="J12">
            <v>35433</v>
          </cell>
          <cell r="K12">
            <v>0</v>
          </cell>
          <cell r="L12">
            <v>0</v>
          </cell>
          <cell r="M12">
            <v>0</v>
          </cell>
          <cell r="N12">
            <v>80</v>
          </cell>
          <cell r="O12">
            <v>6.5</v>
          </cell>
          <cell r="P12">
            <v>90</v>
          </cell>
          <cell r="Q12">
            <v>80</v>
          </cell>
          <cell r="R12">
            <v>6.5</v>
          </cell>
          <cell r="S12">
            <v>90</v>
          </cell>
          <cell r="T12">
            <v>37607</v>
          </cell>
          <cell r="U12" t="str">
            <v>ВВ</v>
          </cell>
          <cell r="W12" t="str">
            <v>ВЦ,ПП,ДП,ОПЗ,сп.Э-80</v>
          </cell>
        </row>
        <row r="13">
          <cell r="B13">
            <v>5596</v>
          </cell>
          <cell r="C13">
            <v>120</v>
          </cell>
          <cell r="F13" t="str">
            <v>УПНП</v>
          </cell>
          <cell r="G13">
            <v>280</v>
          </cell>
          <cell r="H13" t="str">
            <v>ЭЦН</v>
          </cell>
          <cell r="I13" t="str">
            <v>бд</v>
          </cell>
          <cell r="J13">
            <v>33583</v>
          </cell>
          <cell r="K13">
            <v>0</v>
          </cell>
          <cell r="L13">
            <v>0</v>
          </cell>
          <cell r="M13">
            <v>0</v>
          </cell>
          <cell r="N13">
            <v>50</v>
          </cell>
          <cell r="O13">
            <v>8.1999999999999993</v>
          </cell>
          <cell r="P13">
            <v>80</v>
          </cell>
          <cell r="Q13">
            <v>50</v>
          </cell>
          <cell r="R13">
            <v>8.1999999999999993</v>
          </cell>
          <cell r="S13">
            <v>79.8</v>
          </cell>
          <cell r="T13">
            <v>37611</v>
          </cell>
          <cell r="U13" t="str">
            <v>ВЦ</v>
          </cell>
          <cell r="W13" t="str">
            <v>ВЦ,ПП ЮК-10,сп Э-50</v>
          </cell>
        </row>
        <row r="14">
          <cell r="B14">
            <v>5848</v>
          </cell>
          <cell r="C14">
            <v>168</v>
          </cell>
          <cell r="F14" t="str">
            <v>УПНП</v>
          </cell>
          <cell r="G14">
            <v>280</v>
          </cell>
          <cell r="H14" t="str">
            <v>ЭЦН</v>
          </cell>
          <cell r="I14" t="str">
            <v>бд</v>
          </cell>
          <cell r="J14">
            <v>35733</v>
          </cell>
          <cell r="K14">
            <v>0</v>
          </cell>
          <cell r="L14">
            <v>0</v>
          </cell>
          <cell r="M14">
            <v>0</v>
          </cell>
          <cell r="N14">
            <v>24</v>
          </cell>
          <cell r="O14">
            <v>12.1</v>
          </cell>
          <cell r="P14">
            <v>38</v>
          </cell>
          <cell r="Q14">
            <v>24</v>
          </cell>
          <cell r="R14">
            <v>12.1</v>
          </cell>
          <cell r="S14">
            <v>37.799999999999997</v>
          </cell>
          <cell r="T14">
            <v>37596</v>
          </cell>
          <cell r="U14" t="str">
            <v>ВЦ</v>
          </cell>
          <cell r="W14" t="str">
            <v>ВЦ, ПП, ОПЗ сп Э-30</v>
          </cell>
        </row>
        <row r="15">
          <cell r="B15">
            <v>2693</v>
          </cell>
          <cell r="C15">
            <v>161</v>
          </cell>
          <cell r="F15" t="str">
            <v>УПНП</v>
          </cell>
          <cell r="G15">
            <v>250</v>
          </cell>
          <cell r="H15" t="str">
            <v>ЭЦН</v>
          </cell>
          <cell r="I15" t="str">
            <v>конс.</v>
          </cell>
          <cell r="J15">
            <v>34274</v>
          </cell>
          <cell r="K15">
            <v>0</v>
          </cell>
          <cell r="L15">
            <v>0</v>
          </cell>
          <cell r="M15">
            <v>0</v>
          </cell>
          <cell r="N15">
            <v>30</v>
          </cell>
          <cell r="O15">
            <v>12.2</v>
          </cell>
          <cell r="P15">
            <v>50</v>
          </cell>
          <cell r="Q15">
            <v>30</v>
          </cell>
          <cell r="R15">
            <v>12.2</v>
          </cell>
          <cell r="S15">
            <v>49.8</v>
          </cell>
          <cell r="T15">
            <v>37627</v>
          </cell>
          <cell r="U15" t="str">
            <v>ВВ</v>
          </cell>
          <cell r="W15" t="str">
            <v>ВЦ, ВЗ, ДП сп Э-30</v>
          </cell>
        </row>
        <row r="16">
          <cell r="B16">
            <v>5825</v>
          </cell>
          <cell r="C16">
            <v>142</v>
          </cell>
          <cell r="F16" t="str">
            <v>УПНП</v>
          </cell>
          <cell r="G16">
            <v>275</v>
          </cell>
          <cell r="H16" t="str">
            <v>ШГН</v>
          </cell>
          <cell r="I16" t="str">
            <v>конс.</v>
          </cell>
          <cell r="J16">
            <v>33420</v>
          </cell>
          <cell r="K16">
            <v>0</v>
          </cell>
          <cell r="L16">
            <v>0</v>
          </cell>
          <cell r="M16">
            <v>0</v>
          </cell>
          <cell r="N16">
            <v>15</v>
          </cell>
          <cell r="O16">
            <v>7.9</v>
          </cell>
          <cell r="P16">
            <v>35</v>
          </cell>
          <cell r="Q16">
            <v>15</v>
          </cell>
          <cell r="R16">
            <v>7.9</v>
          </cell>
          <cell r="S16">
            <v>35</v>
          </cell>
          <cell r="T16">
            <v>37621</v>
          </cell>
          <cell r="U16" t="str">
            <v>ВЦ</v>
          </cell>
          <cell r="W16" t="str">
            <v>ВЦ.ВЗ,ПП</v>
          </cell>
        </row>
        <row r="17">
          <cell r="B17">
            <v>5435</v>
          </cell>
          <cell r="C17">
            <v>106</v>
          </cell>
          <cell r="F17" t="str">
            <v>УПНП</v>
          </cell>
          <cell r="G17">
            <v>275</v>
          </cell>
          <cell r="H17" t="str">
            <v>ЭЦН</v>
          </cell>
          <cell r="I17" t="str">
            <v>бд</v>
          </cell>
          <cell r="J17">
            <v>34790</v>
          </cell>
          <cell r="K17">
            <v>0</v>
          </cell>
          <cell r="L17">
            <v>0</v>
          </cell>
          <cell r="M17">
            <v>0</v>
          </cell>
          <cell r="N17">
            <v>30</v>
          </cell>
          <cell r="O17">
            <v>12.2</v>
          </cell>
          <cell r="P17">
            <v>50</v>
          </cell>
          <cell r="Q17">
            <v>30</v>
          </cell>
          <cell r="R17">
            <v>12.2</v>
          </cell>
          <cell r="S17">
            <v>49.8</v>
          </cell>
          <cell r="T17">
            <v>37601</v>
          </cell>
          <cell r="U17" t="str">
            <v>ЛА</v>
          </cell>
          <cell r="W17" t="str">
            <v>ЛА(извл.НКТ),ВЗ,ПП,ГДИ,сп.Э-30</v>
          </cell>
        </row>
        <row r="19">
          <cell r="B19">
            <v>3447</v>
          </cell>
          <cell r="C19">
            <v>92</v>
          </cell>
          <cell r="F19" t="str">
            <v>УПНП</v>
          </cell>
          <cell r="G19">
            <v>240</v>
          </cell>
          <cell r="H19" t="str">
            <v>фон</v>
          </cell>
          <cell r="I19" t="str">
            <v>конс.</v>
          </cell>
          <cell r="J19">
            <v>34060</v>
          </cell>
          <cell r="K19">
            <v>0</v>
          </cell>
          <cell r="L19">
            <v>0</v>
          </cell>
          <cell r="M19">
            <v>0</v>
          </cell>
          <cell r="N19">
            <v>12</v>
          </cell>
          <cell r="O19">
            <v>7.9</v>
          </cell>
          <cell r="P19">
            <v>18.899999999999999</v>
          </cell>
          <cell r="Q19">
            <v>12</v>
          </cell>
          <cell r="R19">
            <v>7.9</v>
          </cell>
          <cell r="S19">
            <v>18.7</v>
          </cell>
          <cell r="T19">
            <v>7</v>
          </cell>
        </row>
        <row r="20">
          <cell r="B20">
            <v>5291</v>
          </cell>
          <cell r="C20">
            <v>134</v>
          </cell>
          <cell r="F20" t="str">
            <v>УПНП</v>
          </cell>
          <cell r="G20">
            <v>220</v>
          </cell>
          <cell r="H20" t="str">
            <v>ЭЦН</v>
          </cell>
          <cell r="I20" t="str">
            <v>действ.</v>
          </cell>
          <cell r="J20">
            <v>37561</v>
          </cell>
          <cell r="K20">
            <v>0</v>
          </cell>
          <cell r="L20">
            <v>0</v>
          </cell>
          <cell r="M20">
            <v>0</v>
          </cell>
          <cell r="N20">
            <v>15</v>
          </cell>
          <cell r="O20">
            <v>9.3000000000000007</v>
          </cell>
          <cell r="P20">
            <v>24</v>
          </cell>
          <cell r="Q20">
            <v>15</v>
          </cell>
          <cell r="R20">
            <v>9.3000000000000007</v>
          </cell>
          <cell r="S20">
            <v>23.5</v>
          </cell>
          <cell r="T20">
            <v>37635</v>
          </cell>
          <cell r="U20" t="str">
            <v>ЛА</v>
          </cell>
          <cell r="W20" t="str">
            <v>ЛА. См.Э-60/Н-44</v>
          </cell>
        </row>
        <row r="21">
          <cell r="B21">
            <v>5710</v>
          </cell>
          <cell r="C21">
            <v>124</v>
          </cell>
          <cell r="F21" t="str">
            <v>Э-прогрев</v>
          </cell>
          <cell r="G21">
            <v>250</v>
          </cell>
          <cell r="H21" t="str">
            <v>ЭЦН</v>
          </cell>
          <cell r="I21" t="str">
            <v>конс.</v>
          </cell>
          <cell r="J21">
            <v>34213</v>
          </cell>
          <cell r="K21">
            <v>0</v>
          </cell>
          <cell r="L21">
            <v>0</v>
          </cell>
          <cell r="M21">
            <v>0</v>
          </cell>
          <cell r="N21">
            <v>50</v>
          </cell>
          <cell r="O21">
            <v>6.1</v>
          </cell>
          <cell r="P21">
            <v>85</v>
          </cell>
          <cell r="Q21">
            <v>50</v>
          </cell>
          <cell r="R21">
            <v>6.1</v>
          </cell>
          <cell r="S21">
            <v>84.9</v>
          </cell>
          <cell r="T21">
            <v>37634</v>
          </cell>
          <cell r="U21" t="str">
            <v>ВЦД</v>
          </cell>
          <cell r="W21" t="str">
            <v>ВЦ</v>
          </cell>
        </row>
        <row r="22">
          <cell r="B22">
            <v>5319</v>
          </cell>
          <cell r="C22">
            <v>134</v>
          </cell>
          <cell r="F22" t="str">
            <v>УПНП</v>
          </cell>
          <cell r="G22">
            <v>250</v>
          </cell>
          <cell r="H22" t="str">
            <v>ЭЦН</v>
          </cell>
          <cell r="I22" t="str">
            <v>действ.</v>
          </cell>
          <cell r="K22">
            <v>52</v>
          </cell>
          <cell r="L22">
            <v>1.7</v>
          </cell>
          <cell r="M22">
            <v>96</v>
          </cell>
          <cell r="N22">
            <v>40</v>
          </cell>
          <cell r="O22">
            <v>25.1</v>
          </cell>
          <cell r="P22">
            <v>23</v>
          </cell>
          <cell r="Q22">
            <v>-12</v>
          </cell>
          <cell r="R22">
            <v>23.400000000000002</v>
          </cell>
          <cell r="S22">
            <v>23</v>
          </cell>
          <cell r="U22" t="str">
            <v>ГРП</v>
          </cell>
          <cell r="W22" t="str">
            <v>ИР ЮК-10,ДП ЮК-2,ГРП.осв.</v>
          </cell>
        </row>
        <row r="27">
          <cell r="B27">
            <v>5351</v>
          </cell>
          <cell r="C27">
            <v>104</v>
          </cell>
          <cell r="F27" t="str">
            <v>УПНП</v>
          </cell>
          <cell r="G27">
            <v>270</v>
          </cell>
          <cell r="H27" t="str">
            <v>ШГН</v>
          </cell>
          <cell r="I27" t="str">
            <v>бд</v>
          </cell>
          <cell r="J27">
            <v>30869</v>
          </cell>
          <cell r="K27">
            <v>0</v>
          </cell>
          <cell r="L27">
            <v>0</v>
          </cell>
          <cell r="M27">
            <v>0</v>
          </cell>
          <cell r="N27">
            <v>50</v>
          </cell>
          <cell r="O27">
            <v>20.399999999999999</v>
          </cell>
          <cell r="P27">
            <v>50</v>
          </cell>
          <cell r="Q27">
            <v>50</v>
          </cell>
          <cell r="R27">
            <v>20.399999999999999</v>
          </cell>
          <cell r="S27">
            <v>49.6</v>
          </cell>
          <cell r="T27">
            <v>37809</v>
          </cell>
          <cell r="U27" t="str">
            <v>ЛА</v>
          </cell>
          <cell r="W27" t="str">
            <v>ВЦ, ЛА, ВЗ, ОТСК, ПП, сп.Э-50</v>
          </cell>
        </row>
        <row r="28">
          <cell r="B28">
            <v>5562</v>
          </cell>
          <cell r="C28">
            <v>119</v>
          </cell>
          <cell r="F28" t="str">
            <v>УПНП</v>
          </cell>
          <cell r="G28">
            <v>260</v>
          </cell>
          <cell r="H28" t="str">
            <v>ШГН</v>
          </cell>
          <cell r="I28" t="str">
            <v>бд</v>
          </cell>
          <cell r="J28">
            <v>36896</v>
          </cell>
          <cell r="K28">
            <v>0</v>
          </cell>
          <cell r="L28">
            <v>0</v>
          </cell>
          <cell r="M28">
            <v>0</v>
          </cell>
          <cell r="N28">
            <v>30</v>
          </cell>
          <cell r="O28">
            <v>11</v>
          </cell>
          <cell r="P28">
            <v>55</v>
          </cell>
          <cell r="Q28">
            <v>30</v>
          </cell>
          <cell r="R28">
            <v>11</v>
          </cell>
          <cell r="S28">
            <v>54.7</v>
          </cell>
          <cell r="T28">
            <v>37784</v>
          </cell>
          <cell r="U28" t="str">
            <v>ВЦ</v>
          </cell>
          <cell r="W28" t="str">
            <v>ВЦ,ПП ЮК-10,сп Э-30</v>
          </cell>
        </row>
        <row r="29">
          <cell r="B29">
            <v>2938</v>
          </cell>
          <cell r="C29" t="str">
            <v>43б</v>
          </cell>
          <cell r="F29" t="str">
            <v>ПРС</v>
          </cell>
          <cell r="H29" t="str">
            <v>ШГН</v>
          </cell>
          <cell r="I29" t="str">
            <v>действ.</v>
          </cell>
          <cell r="K29">
            <v>35</v>
          </cell>
          <cell r="L29">
            <v>18</v>
          </cell>
          <cell r="M29">
            <v>37</v>
          </cell>
          <cell r="N29">
            <v>46</v>
          </cell>
          <cell r="O29">
            <v>23.6</v>
          </cell>
          <cell r="P29">
            <v>37</v>
          </cell>
          <cell r="Q29">
            <v>11</v>
          </cell>
          <cell r="R29">
            <v>5.6000000000000014</v>
          </cell>
          <cell r="S29">
            <v>37.1</v>
          </cell>
          <cell r="T29">
            <v>37795</v>
          </cell>
          <cell r="U29" t="str">
            <v>опт</v>
          </cell>
          <cell r="W29" t="str">
            <v>Оптимизация Э-30/50</v>
          </cell>
        </row>
        <row r="30">
          <cell r="B30">
            <v>2683</v>
          </cell>
          <cell r="C30" t="str">
            <v>145б</v>
          </cell>
          <cell r="F30" t="str">
            <v>УПНП</v>
          </cell>
          <cell r="G30">
            <v>260</v>
          </cell>
          <cell r="H30" t="str">
            <v>ЭЦН</v>
          </cell>
          <cell r="I30" t="str">
            <v>бд</v>
          </cell>
          <cell r="J30">
            <v>34648</v>
          </cell>
          <cell r="K30">
            <v>0</v>
          </cell>
          <cell r="L30">
            <v>0</v>
          </cell>
          <cell r="M30">
            <v>0</v>
          </cell>
          <cell r="N30">
            <v>30</v>
          </cell>
          <cell r="O30">
            <v>18.3</v>
          </cell>
          <cell r="P30">
            <v>25</v>
          </cell>
          <cell r="Q30">
            <v>30</v>
          </cell>
          <cell r="R30">
            <v>18.3</v>
          </cell>
          <cell r="S30">
            <v>24.7</v>
          </cell>
          <cell r="T30">
            <v>37753</v>
          </cell>
          <cell r="U30" t="str">
            <v>ЛА</v>
          </cell>
          <cell r="W30" t="str">
            <v>ВЗ,ЛА,ОПЗ ,ИДН ( ГЖ+пакер),сп Э-30</v>
          </cell>
        </row>
        <row r="31">
          <cell r="B31">
            <v>2784</v>
          </cell>
          <cell r="C31">
            <v>145</v>
          </cell>
          <cell r="F31" t="str">
            <v>УПНП</v>
          </cell>
          <cell r="G31">
            <v>280</v>
          </cell>
          <cell r="H31" t="str">
            <v>ф/Э</v>
          </cell>
          <cell r="I31" t="str">
            <v>бд</v>
          </cell>
          <cell r="J31">
            <v>32932</v>
          </cell>
          <cell r="K31">
            <v>0</v>
          </cell>
          <cell r="L31">
            <v>0</v>
          </cell>
          <cell r="M31">
            <v>0</v>
          </cell>
          <cell r="N31">
            <v>80</v>
          </cell>
          <cell r="O31">
            <v>19.600000000000001</v>
          </cell>
          <cell r="P31">
            <v>70</v>
          </cell>
          <cell r="Q31">
            <v>80</v>
          </cell>
          <cell r="R31">
            <v>19.600000000000001</v>
          </cell>
          <cell r="S31">
            <v>69.8</v>
          </cell>
          <cell r="T31">
            <v>37758</v>
          </cell>
          <cell r="U31" t="str">
            <v>ЛА</v>
          </cell>
          <cell r="W31" t="str">
            <v>Л.А.ПП,ОПЗ,спЭ-80</v>
          </cell>
        </row>
        <row r="32">
          <cell r="B32">
            <v>2756</v>
          </cell>
          <cell r="C32">
            <v>145</v>
          </cell>
          <cell r="F32" t="str">
            <v>УПНП</v>
          </cell>
          <cell r="G32">
            <v>270</v>
          </cell>
          <cell r="H32" t="str">
            <v>ЭЦН</v>
          </cell>
          <cell r="I32" t="str">
            <v>бд</v>
          </cell>
          <cell r="J32">
            <v>35786</v>
          </cell>
          <cell r="K32">
            <v>0</v>
          </cell>
          <cell r="L32">
            <v>0</v>
          </cell>
          <cell r="M32">
            <v>0</v>
          </cell>
          <cell r="N32">
            <v>50</v>
          </cell>
          <cell r="O32">
            <v>10.199999999999999</v>
          </cell>
          <cell r="P32">
            <v>75</v>
          </cell>
          <cell r="Q32">
            <v>50</v>
          </cell>
          <cell r="R32">
            <v>10.199999999999999</v>
          </cell>
          <cell r="S32">
            <v>74.8</v>
          </cell>
          <cell r="T32">
            <v>37763</v>
          </cell>
          <cell r="U32" t="str">
            <v>ЛА</v>
          </cell>
          <cell r="W32" t="str">
            <v>ЛА, ГДИ, сп.Э-80</v>
          </cell>
        </row>
        <row r="33">
          <cell r="B33">
            <v>2983</v>
          </cell>
          <cell r="C33">
            <v>45</v>
          </cell>
          <cell r="F33" t="str">
            <v>УПНП</v>
          </cell>
          <cell r="G33">
            <v>280</v>
          </cell>
          <cell r="H33" t="str">
            <v>Ф/Э</v>
          </cell>
          <cell r="I33" t="str">
            <v>бд</v>
          </cell>
          <cell r="J33">
            <v>34849</v>
          </cell>
          <cell r="K33">
            <v>0</v>
          </cell>
          <cell r="L33">
            <v>0</v>
          </cell>
          <cell r="M33">
            <v>0</v>
          </cell>
          <cell r="N33">
            <v>30</v>
          </cell>
          <cell r="O33">
            <v>12.2</v>
          </cell>
          <cell r="P33">
            <v>50</v>
          </cell>
          <cell r="Q33">
            <v>30</v>
          </cell>
          <cell r="R33">
            <v>12.2</v>
          </cell>
          <cell r="S33">
            <v>49.8</v>
          </cell>
          <cell r="T33">
            <v>37755</v>
          </cell>
          <cell r="U33" t="str">
            <v>ЛА</v>
          </cell>
          <cell r="W33" t="str">
            <v>ЛА,ВЗ ГЖ,ПП,сп Э-30</v>
          </cell>
        </row>
        <row r="34">
          <cell r="B34">
            <v>2984</v>
          </cell>
          <cell r="C34">
            <v>45</v>
          </cell>
          <cell r="F34" t="str">
            <v>УПНП</v>
          </cell>
          <cell r="G34">
            <v>280</v>
          </cell>
          <cell r="H34" t="str">
            <v>ШГН</v>
          </cell>
          <cell r="I34" t="str">
            <v>бд</v>
          </cell>
          <cell r="J34">
            <v>34080</v>
          </cell>
          <cell r="K34">
            <v>0</v>
          </cell>
          <cell r="L34">
            <v>0</v>
          </cell>
          <cell r="M34">
            <v>0</v>
          </cell>
          <cell r="N34">
            <v>15</v>
          </cell>
          <cell r="O34">
            <v>12.2</v>
          </cell>
          <cell r="P34">
            <v>0</v>
          </cell>
          <cell r="Q34">
            <v>15</v>
          </cell>
          <cell r="R34">
            <v>12.2</v>
          </cell>
          <cell r="S34">
            <v>0</v>
          </cell>
          <cell r="T34">
            <v>7</v>
          </cell>
          <cell r="U34" t="str">
            <v>ЛА</v>
          </cell>
          <cell r="W34" t="str">
            <v>ЛА,ВЗ ГЖ,ОПЗ,ПП,сп Н-32</v>
          </cell>
        </row>
        <row r="35">
          <cell r="B35">
            <v>3214</v>
          </cell>
          <cell r="C35" t="str">
            <v>55б</v>
          </cell>
          <cell r="F35" t="str">
            <v>УПНП</v>
          </cell>
          <cell r="G35">
            <v>270</v>
          </cell>
          <cell r="H35" t="str">
            <v>фон</v>
          </cell>
          <cell r="I35" t="str">
            <v>конс.</v>
          </cell>
          <cell r="J35">
            <v>35065</v>
          </cell>
          <cell r="K35">
            <v>0</v>
          </cell>
          <cell r="L35">
            <v>0</v>
          </cell>
          <cell r="M35">
            <v>0</v>
          </cell>
          <cell r="N35">
            <v>50</v>
          </cell>
          <cell r="O35">
            <v>20.399999999999999</v>
          </cell>
          <cell r="P35">
            <v>50</v>
          </cell>
          <cell r="Q35">
            <v>50</v>
          </cell>
          <cell r="R35">
            <v>20.399999999999999</v>
          </cell>
          <cell r="S35">
            <v>49.6</v>
          </cell>
          <cell r="T35">
            <v>37763</v>
          </cell>
          <cell r="W35" t="str">
            <v>ВЦ, ДП ЮК-10, сп.Э-50</v>
          </cell>
        </row>
        <row r="36">
          <cell r="B36">
            <v>3191</v>
          </cell>
          <cell r="C36">
            <v>55</v>
          </cell>
          <cell r="F36" t="str">
            <v>УПНП</v>
          </cell>
          <cell r="G36">
            <v>260</v>
          </cell>
          <cell r="H36" t="str">
            <v>ШГН</v>
          </cell>
          <cell r="I36" t="str">
            <v>конс.</v>
          </cell>
          <cell r="J36">
            <v>32964</v>
          </cell>
          <cell r="K36">
            <v>0</v>
          </cell>
          <cell r="L36">
            <v>0</v>
          </cell>
          <cell r="M36">
            <v>0</v>
          </cell>
          <cell r="N36">
            <v>50</v>
          </cell>
          <cell r="O36">
            <v>10.199999999999999</v>
          </cell>
          <cell r="P36">
            <v>75</v>
          </cell>
          <cell r="Q36">
            <v>50</v>
          </cell>
          <cell r="R36">
            <v>10.199999999999999</v>
          </cell>
          <cell r="S36">
            <v>74.8</v>
          </cell>
          <cell r="T36">
            <v>37746</v>
          </cell>
          <cell r="W36" t="str">
            <v>ВЦ, ВЗ, ДП ЮК-11, сп Э-50</v>
          </cell>
        </row>
        <row r="37">
          <cell r="B37">
            <v>3249</v>
          </cell>
          <cell r="C37">
            <v>70</v>
          </cell>
          <cell r="F37" t="str">
            <v>УПНП</v>
          </cell>
          <cell r="G37">
            <v>282</v>
          </cell>
          <cell r="H37" t="str">
            <v>Ф/Э</v>
          </cell>
          <cell r="I37" t="str">
            <v>конс.</v>
          </cell>
          <cell r="J37">
            <v>33878</v>
          </cell>
          <cell r="K37">
            <v>0</v>
          </cell>
          <cell r="L37">
            <v>0</v>
          </cell>
          <cell r="M37">
            <v>0</v>
          </cell>
          <cell r="N37">
            <v>30</v>
          </cell>
          <cell r="O37">
            <v>9.8000000000000007</v>
          </cell>
          <cell r="P37">
            <v>60</v>
          </cell>
          <cell r="Q37">
            <v>30</v>
          </cell>
          <cell r="R37">
            <v>9.8000000000000007</v>
          </cell>
          <cell r="S37">
            <v>59.7</v>
          </cell>
          <cell r="T37">
            <v>37755</v>
          </cell>
          <cell r="U37" t="str">
            <v>ВВ</v>
          </cell>
          <cell r="W37" t="str">
            <v>ВЦ, ВЗ, ПП ЮК-10, ДП ЮК-11</v>
          </cell>
        </row>
        <row r="38">
          <cell r="B38">
            <v>11054</v>
          </cell>
          <cell r="C38" t="str">
            <v>100б</v>
          </cell>
          <cell r="F38" t="str">
            <v>УПНП</v>
          </cell>
          <cell r="G38">
            <v>230</v>
          </cell>
          <cell r="H38" t="str">
            <v>фон</v>
          </cell>
          <cell r="I38" t="str">
            <v>конс.</v>
          </cell>
          <cell r="J38">
            <v>32874</v>
          </cell>
          <cell r="K38">
            <v>0</v>
          </cell>
          <cell r="L38">
            <v>0</v>
          </cell>
          <cell r="M38">
            <v>0</v>
          </cell>
          <cell r="N38">
            <v>30</v>
          </cell>
          <cell r="O38">
            <v>12.2</v>
          </cell>
          <cell r="P38">
            <v>50</v>
          </cell>
          <cell r="Q38">
            <v>30</v>
          </cell>
          <cell r="R38">
            <v>12.2</v>
          </cell>
          <cell r="S38">
            <v>49.8</v>
          </cell>
          <cell r="T38">
            <v>37757</v>
          </cell>
          <cell r="U38" t="str">
            <v>мд</v>
          </cell>
          <cell r="W38" t="str">
            <v>ВЦ,ВЗ,ПП ЮК-10 ПК-105С,ОПЗ,сп Э-30</v>
          </cell>
        </row>
        <row r="39">
          <cell r="B39">
            <v>5643</v>
          </cell>
          <cell r="C39">
            <v>126</v>
          </cell>
          <cell r="F39" t="str">
            <v>УПНП</v>
          </cell>
          <cell r="G39">
            <v>230</v>
          </cell>
          <cell r="H39" t="str">
            <v>фон</v>
          </cell>
          <cell r="I39" t="str">
            <v>бд</v>
          </cell>
          <cell r="J39">
            <v>35796</v>
          </cell>
          <cell r="K39">
            <v>0</v>
          </cell>
          <cell r="L39">
            <v>0</v>
          </cell>
          <cell r="M39">
            <v>0</v>
          </cell>
          <cell r="N39">
            <v>30</v>
          </cell>
          <cell r="O39">
            <v>12.2</v>
          </cell>
          <cell r="P39">
            <v>50</v>
          </cell>
          <cell r="Q39">
            <v>30</v>
          </cell>
          <cell r="R39">
            <v>12.2</v>
          </cell>
          <cell r="S39">
            <v>49.8</v>
          </cell>
          <cell r="T39">
            <v>37745</v>
          </cell>
          <cell r="U39" t="str">
            <v>ОПЗ</v>
          </cell>
          <cell r="W39" t="str">
            <v>ГТМ прошлого месяца.ПП,ОПЗ,спуск ЭЦН</v>
          </cell>
        </row>
        <row r="40">
          <cell r="B40">
            <v>11053</v>
          </cell>
          <cell r="C40" t="str">
            <v>100б</v>
          </cell>
          <cell r="F40" t="str">
            <v>УПНП</v>
          </cell>
          <cell r="G40">
            <v>230</v>
          </cell>
          <cell r="H40" t="str">
            <v>ЭЦН</v>
          </cell>
          <cell r="I40" t="str">
            <v>бд</v>
          </cell>
          <cell r="J40">
            <v>35957</v>
          </cell>
          <cell r="K40">
            <v>0</v>
          </cell>
          <cell r="L40">
            <v>0</v>
          </cell>
          <cell r="M40">
            <v>0</v>
          </cell>
          <cell r="N40">
            <v>30</v>
          </cell>
          <cell r="O40">
            <v>12.2</v>
          </cell>
          <cell r="P40">
            <v>50</v>
          </cell>
          <cell r="Q40">
            <v>30</v>
          </cell>
          <cell r="R40">
            <v>12.2</v>
          </cell>
          <cell r="S40">
            <v>49.8</v>
          </cell>
          <cell r="T40">
            <v>37763</v>
          </cell>
          <cell r="U40" t="str">
            <v>ЛА</v>
          </cell>
          <cell r="W40" t="str">
            <v xml:space="preserve">ЛА, ПП,ОПЗ, сп Э-30 </v>
          </cell>
        </row>
        <row r="41">
          <cell r="B41">
            <v>2917</v>
          </cell>
          <cell r="C41">
            <v>43</v>
          </cell>
          <cell r="F41" t="str">
            <v>УПНП</v>
          </cell>
          <cell r="G41">
            <v>275</v>
          </cell>
          <cell r="H41" t="str">
            <v>ЭЦН</v>
          </cell>
          <cell r="I41" t="str">
            <v>конс.</v>
          </cell>
          <cell r="J41">
            <v>34029</v>
          </cell>
          <cell r="K41">
            <v>0</v>
          </cell>
          <cell r="L41">
            <v>0</v>
          </cell>
          <cell r="M41">
            <v>0</v>
          </cell>
          <cell r="N41">
            <v>30</v>
          </cell>
          <cell r="O41">
            <v>9.8000000000000007</v>
          </cell>
          <cell r="P41">
            <v>60</v>
          </cell>
          <cell r="Q41">
            <v>30</v>
          </cell>
          <cell r="R41">
            <v>9.8000000000000007</v>
          </cell>
          <cell r="S41">
            <v>59.7</v>
          </cell>
          <cell r="T41">
            <v>37784</v>
          </cell>
          <cell r="U41" t="str">
            <v>ВЦ</v>
          </cell>
          <cell r="W41" t="str">
            <v>ВЦ,ВЗ МШУ,ГДИ,спуск Э-30</v>
          </cell>
        </row>
        <row r="42">
          <cell r="B42">
            <v>5354</v>
          </cell>
          <cell r="C42">
            <v>105</v>
          </cell>
          <cell r="F42" t="str">
            <v>УПНП</v>
          </cell>
          <cell r="G42">
            <v>280</v>
          </cell>
          <cell r="H42" t="str">
            <v>ЭЦН</v>
          </cell>
          <cell r="I42" t="str">
            <v>бд</v>
          </cell>
          <cell r="J42">
            <v>35111</v>
          </cell>
          <cell r="K42">
            <v>0</v>
          </cell>
          <cell r="L42">
            <v>0</v>
          </cell>
          <cell r="M42">
            <v>0</v>
          </cell>
          <cell r="N42">
            <v>80</v>
          </cell>
          <cell r="O42">
            <v>16.3</v>
          </cell>
          <cell r="P42">
            <v>75</v>
          </cell>
          <cell r="Q42">
            <v>80</v>
          </cell>
          <cell r="R42">
            <v>16.3</v>
          </cell>
          <cell r="S42">
            <v>74.8</v>
          </cell>
          <cell r="T42">
            <v>37804</v>
          </cell>
          <cell r="U42" t="str">
            <v>ЛА</v>
          </cell>
          <cell r="W42" t="str">
            <v>Извл.ЭЦН,ПП,спуск ЭЦН</v>
          </cell>
        </row>
        <row r="43">
          <cell r="B43">
            <v>5353</v>
          </cell>
          <cell r="C43">
            <v>105</v>
          </cell>
          <cell r="F43" t="str">
            <v>УПНП</v>
          </cell>
          <cell r="G43">
            <v>280</v>
          </cell>
          <cell r="H43" t="str">
            <v>ЭЦН</v>
          </cell>
          <cell r="I43" t="str">
            <v>бд</v>
          </cell>
          <cell r="J43">
            <v>34458</v>
          </cell>
          <cell r="K43">
            <v>0</v>
          </cell>
          <cell r="L43">
            <v>0</v>
          </cell>
          <cell r="M43">
            <v>0</v>
          </cell>
          <cell r="N43">
            <v>80</v>
          </cell>
          <cell r="O43">
            <v>16.3</v>
          </cell>
          <cell r="P43">
            <v>75</v>
          </cell>
          <cell r="Q43">
            <v>80</v>
          </cell>
          <cell r="R43">
            <v>16.3</v>
          </cell>
          <cell r="S43">
            <v>74.8</v>
          </cell>
          <cell r="T43">
            <v>7</v>
          </cell>
          <cell r="U43" t="str">
            <v>ЛА</v>
          </cell>
          <cell r="W43" t="str">
            <v>Извл.ЭЦН,ОТСК,ПП,спуск ЭЦН</v>
          </cell>
        </row>
        <row r="44">
          <cell r="B44">
            <v>2893</v>
          </cell>
          <cell r="C44">
            <v>158</v>
          </cell>
          <cell r="F44" t="str">
            <v>УПНП</v>
          </cell>
          <cell r="G44">
            <v>240</v>
          </cell>
          <cell r="H44" t="str">
            <v>ШГН</v>
          </cell>
          <cell r="I44" t="str">
            <v>конс.</v>
          </cell>
          <cell r="J44">
            <v>34973</v>
          </cell>
          <cell r="K44">
            <v>0</v>
          </cell>
          <cell r="L44">
            <v>0</v>
          </cell>
          <cell r="M44">
            <v>0</v>
          </cell>
          <cell r="N44">
            <v>30</v>
          </cell>
          <cell r="O44">
            <v>12</v>
          </cell>
          <cell r="P44">
            <v>51</v>
          </cell>
          <cell r="Q44">
            <v>30</v>
          </cell>
          <cell r="R44">
            <v>12</v>
          </cell>
          <cell r="S44">
            <v>50.6</v>
          </cell>
          <cell r="T44">
            <v>37803</v>
          </cell>
          <cell r="U44" t="str">
            <v>вв</v>
          </cell>
          <cell r="W44" t="str">
            <v>ВЦ.ИР ЮК-10,Испыт.Bg+Ab</v>
          </cell>
        </row>
        <row r="45">
          <cell r="B45">
            <v>5532</v>
          </cell>
          <cell r="C45">
            <v>119</v>
          </cell>
          <cell r="F45" t="str">
            <v>УПНП</v>
          </cell>
          <cell r="G45">
            <v>270</v>
          </cell>
          <cell r="H45" t="str">
            <v>ЭЦН</v>
          </cell>
          <cell r="I45" t="str">
            <v>конс.</v>
          </cell>
          <cell r="J45">
            <v>35218</v>
          </cell>
          <cell r="K45">
            <v>0</v>
          </cell>
          <cell r="L45">
            <v>0</v>
          </cell>
          <cell r="M45">
            <v>0</v>
          </cell>
          <cell r="N45">
            <v>50</v>
          </cell>
          <cell r="O45">
            <v>9</v>
          </cell>
          <cell r="P45">
            <v>78</v>
          </cell>
          <cell r="Q45">
            <v>50</v>
          </cell>
          <cell r="R45">
            <v>9</v>
          </cell>
          <cell r="S45">
            <v>77.8</v>
          </cell>
          <cell r="T45">
            <v>37802</v>
          </cell>
          <cell r="U45" t="str">
            <v>ОВП</v>
          </cell>
          <cell r="W45" t="str">
            <v>ВЦ.ИР ЮК-11,ПП ЮК-10,спуск ЭЦН</v>
          </cell>
        </row>
        <row r="46">
          <cell r="B46">
            <v>5612</v>
          </cell>
          <cell r="C46">
            <v>115</v>
          </cell>
          <cell r="F46" t="str">
            <v>УПНП</v>
          </cell>
          <cell r="G46">
            <v>255</v>
          </cell>
          <cell r="H46" t="str">
            <v>нагнет.</v>
          </cell>
          <cell r="I46" t="str">
            <v>бд</v>
          </cell>
          <cell r="J46">
            <v>33876</v>
          </cell>
          <cell r="K46">
            <v>0</v>
          </cell>
          <cell r="L46">
            <v>0</v>
          </cell>
          <cell r="M46">
            <v>0</v>
          </cell>
          <cell r="N46">
            <v>37</v>
          </cell>
          <cell r="O46">
            <v>28.6</v>
          </cell>
          <cell r="P46">
            <v>5</v>
          </cell>
          <cell r="Q46">
            <v>37</v>
          </cell>
          <cell r="R46">
            <v>28.6</v>
          </cell>
          <cell r="S46">
            <v>4.5999999999999996</v>
          </cell>
          <cell r="T46">
            <v>37804</v>
          </cell>
          <cell r="U46" t="str">
            <v>ГРП</v>
          </cell>
          <cell r="W46" t="str">
            <v>ЛА. ИР ЮК-10,ГРП ЮК-2</v>
          </cell>
        </row>
        <row r="47">
          <cell r="B47">
            <v>5675</v>
          </cell>
          <cell r="C47">
            <v>126</v>
          </cell>
          <cell r="F47" t="str">
            <v>УПНП</v>
          </cell>
          <cell r="G47">
            <v>250</v>
          </cell>
          <cell r="H47" t="str">
            <v>ШГН</v>
          </cell>
          <cell r="I47" t="str">
            <v>конс.</v>
          </cell>
          <cell r="J47">
            <v>35585</v>
          </cell>
          <cell r="K47">
            <v>0</v>
          </cell>
          <cell r="L47">
            <v>0</v>
          </cell>
          <cell r="M47">
            <v>0</v>
          </cell>
          <cell r="N47">
            <v>30</v>
          </cell>
          <cell r="O47">
            <v>12.2</v>
          </cell>
          <cell r="P47">
            <v>50</v>
          </cell>
          <cell r="Q47">
            <v>30</v>
          </cell>
          <cell r="R47">
            <v>12.2</v>
          </cell>
          <cell r="S47">
            <v>49.8</v>
          </cell>
          <cell r="T47">
            <v>37768</v>
          </cell>
          <cell r="U47" t="str">
            <v>ОПЗ</v>
          </cell>
          <cell r="W47" t="str">
            <v>ВЦ,ПП ЮК-10,ОПЗ,ГИС-2,сп Э-30</v>
          </cell>
        </row>
        <row r="48">
          <cell r="B48">
            <v>5441</v>
          </cell>
          <cell r="C48">
            <v>108</v>
          </cell>
          <cell r="F48" t="str">
            <v>УПНП</v>
          </cell>
          <cell r="G48">
            <v>270</v>
          </cell>
          <cell r="H48" t="str">
            <v>ШГН</v>
          </cell>
          <cell r="I48" t="str">
            <v>бд</v>
          </cell>
          <cell r="J48">
            <v>34834</v>
          </cell>
          <cell r="K48">
            <v>0</v>
          </cell>
          <cell r="L48">
            <v>0</v>
          </cell>
          <cell r="M48">
            <v>0</v>
          </cell>
          <cell r="N48">
            <v>30</v>
          </cell>
          <cell r="O48">
            <v>12</v>
          </cell>
          <cell r="P48">
            <v>51</v>
          </cell>
          <cell r="Q48">
            <v>30</v>
          </cell>
          <cell r="R48">
            <v>12</v>
          </cell>
          <cell r="S48">
            <v>50.6</v>
          </cell>
          <cell r="T48">
            <v>37802</v>
          </cell>
          <cell r="U48" t="str">
            <v>ОВП</v>
          </cell>
          <cell r="W48" t="str">
            <v>ВЦ , ОТСК Э/К, РИР ЗКЦ ЮК-11,  ПП ЮК-10 сп Э-50</v>
          </cell>
        </row>
        <row r="49">
          <cell r="B49" t="str">
            <v>5484б</v>
          </cell>
          <cell r="C49">
            <v>115</v>
          </cell>
          <cell r="F49" t="str">
            <v>УПНП</v>
          </cell>
          <cell r="G49">
            <v>220</v>
          </cell>
          <cell r="H49" t="str">
            <v>ЭЦН</v>
          </cell>
          <cell r="I49" t="str">
            <v>действ.</v>
          </cell>
          <cell r="T49">
            <v>37841</v>
          </cell>
          <cell r="U49" t="str">
            <v>нг</v>
          </cell>
          <cell r="W49" t="str">
            <v>Перевод в ППД</v>
          </cell>
        </row>
        <row r="50">
          <cell r="B50">
            <v>5546</v>
          </cell>
          <cell r="C50">
            <v>115</v>
          </cell>
          <cell r="F50" t="str">
            <v>УПНП</v>
          </cell>
          <cell r="G50">
            <v>240</v>
          </cell>
          <cell r="H50" t="str">
            <v>нагн.</v>
          </cell>
          <cell r="I50" t="str">
            <v>б/д</v>
          </cell>
          <cell r="J50">
            <v>34261</v>
          </cell>
          <cell r="K50">
            <v>0</v>
          </cell>
          <cell r="L50">
            <v>0</v>
          </cell>
          <cell r="M50">
            <v>0</v>
          </cell>
          <cell r="N50">
            <v>37</v>
          </cell>
          <cell r="O50">
            <v>28.6</v>
          </cell>
          <cell r="P50">
            <v>5</v>
          </cell>
          <cell r="Q50">
            <v>37</v>
          </cell>
          <cell r="R50">
            <v>28.6</v>
          </cell>
          <cell r="S50">
            <v>5</v>
          </cell>
          <cell r="T50">
            <v>37804</v>
          </cell>
          <cell r="U50" t="str">
            <v>ГРП</v>
          </cell>
          <cell r="W50" t="str">
            <v xml:space="preserve">ОТСК.Изоляция ЮК10.ГРП ЮК-2 </v>
          </cell>
        </row>
        <row r="51">
          <cell r="B51">
            <v>3659</v>
          </cell>
          <cell r="C51" t="str">
            <v>76б</v>
          </cell>
          <cell r="F51" t="str">
            <v>УПНП</v>
          </cell>
          <cell r="G51">
            <v>260</v>
          </cell>
          <cell r="H51" t="str">
            <v>ЭЦН</v>
          </cell>
          <cell r="I51" t="str">
            <v>бд</v>
          </cell>
          <cell r="J51">
            <v>35214</v>
          </cell>
          <cell r="K51">
            <v>0</v>
          </cell>
          <cell r="L51">
            <v>0</v>
          </cell>
          <cell r="M51">
            <v>0</v>
          </cell>
          <cell r="N51">
            <v>125</v>
          </cell>
          <cell r="O51">
            <v>7.1</v>
          </cell>
          <cell r="P51">
            <v>93</v>
          </cell>
          <cell r="Q51">
            <v>125</v>
          </cell>
          <cell r="R51">
            <v>7.1</v>
          </cell>
          <cell r="S51">
            <v>93</v>
          </cell>
          <cell r="T51">
            <v>37784</v>
          </cell>
          <cell r="U51" t="str">
            <v>ВВ</v>
          </cell>
          <cell r="W51" t="str">
            <v>ВЦ,ДП КВ.СКО.ГДИ.Спуск Э-125.</v>
          </cell>
        </row>
        <row r="52">
          <cell r="B52">
            <v>3009</v>
          </cell>
          <cell r="C52">
            <v>51</v>
          </cell>
          <cell r="F52" t="str">
            <v>УПНП</v>
          </cell>
          <cell r="G52">
            <v>250</v>
          </cell>
          <cell r="H52" t="str">
            <v>ЭЦН</v>
          </cell>
          <cell r="I52" t="str">
            <v>действ.</v>
          </cell>
          <cell r="K52">
            <v>0</v>
          </cell>
          <cell r="L52">
            <v>0</v>
          </cell>
          <cell r="M52">
            <v>0</v>
          </cell>
          <cell r="N52">
            <v>30</v>
          </cell>
          <cell r="O52">
            <v>12</v>
          </cell>
          <cell r="P52">
            <v>51</v>
          </cell>
          <cell r="Q52">
            <v>30</v>
          </cell>
          <cell r="R52">
            <v>12</v>
          </cell>
          <cell r="S52">
            <v>50.6</v>
          </cell>
          <cell r="T52">
            <v>37833</v>
          </cell>
          <cell r="U52" t="str">
            <v>ВВ</v>
          </cell>
          <cell r="W52" t="str">
            <v>ГРП ЮК-1,освоение</v>
          </cell>
        </row>
        <row r="53">
          <cell r="B53">
            <v>2941</v>
          </cell>
          <cell r="C53">
            <v>46</v>
          </cell>
          <cell r="F53" t="str">
            <v>УПНП</v>
          </cell>
          <cell r="G53">
            <v>250</v>
          </cell>
          <cell r="H53" t="str">
            <v>ЭЦН</v>
          </cell>
          <cell r="I53" t="str">
            <v>конс.</v>
          </cell>
          <cell r="J53">
            <v>34455</v>
          </cell>
          <cell r="K53">
            <v>0</v>
          </cell>
          <cell r="L53">
            <v>0</v>
          </cell>
          <cell r="M53">
            <v>0</v>
          </cell>
          <cell r="N53">
            <v>16</v>
          </cell>
          <cell r="O53">
            <v>13</v>
          </cell>
          <cell r="P53">
            <v>0</v>
          </cell>
          <cell r="Q53">
            <v>16</v>
          </cell>
          <cell r="R53">
            <v>13</v>
          </cell>
          <cell r="S53">
            <v>-0.3</v>
          </cell>
          <cell r="T53">
            <v>37801</v>
          </cell>
          <cell r="U53" t="str">
            <v>ВВ</v>
          </cell>
          <cell r="W53" t="str">
            <v>ВЦ,ОТСК,ИР ЮК-11,ДП ЮК-10,ГДИ,сп Э-30</v>
          </cell>
        </row>
        <row r="54">
          <cell r="B54">
            <v>5516</v>
          </cell>
          <cell r="C54">
            <v>115</v>
          </cell>
          <cell r="F54" t="str">
            <v>УПНП</v>
          </cell>
          <cell r="G54">
            <v>240</v>
          </cell>
          <cell r="H54" t="str">
            <v>нагн.</v>
          </cell>
          <cell r="I54" t="str">
            <v>бд</v>
          </cell>
          <cell r="J54">
            <v>37081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e">
            <v>#DIV/0!</v>
          </cell>
          <cell r="T54">
            <v>37773</v>
          </cell>
          <cell r="U54" t="str">
            <v>ГРП</v>
          </cell>
          <cell r="W54" t="str">
            <v>ИР ЮК-10,ГРП ЮК-2</v>
          </cell>
        </row>
        <row r="55">
          <cell r="B55">
            <v>2815</v>
          </cell>
          <cell r="C55">
            <v>145</v>
          </cell>
          <cell r="F55" t="str">
            <v>УПНП</v>
          </cell>
          <cell r="G55">
            <v>280</v>
          </cell>
          <cell r="H55" t="str">
            <v>ШГН</v>
          </cell>
          <cell r="I55" t="str">
            <v>бд</v>
          </cell>
          <cell r="J55">
            <v>33146</v>
          </cell>
          <cell r="K55">
            <v>0</v>
          </cell>
          <cell r="L55">
            <v>0</v>
          </cell>
          <cell r="M55">
            <v>0</v>
          </cell>
          <cell r="N55">
            <v>50</v>
          </cell>
          <cell r="O55">
            <v>9</v>
          </cell>
          <cell r="P55">
            <v>78</v>
          </cell>
          <cell r="Q55">
            <v>50</v>
          </cell>
          <cell r="R55">
            <v>9</v>
          </cell>
          <cell r="S55">
            <v>77.8</v>
          </cell>
          <cell r="T55">
            <v>37762</v>
          </cell>
          <cell r="U55" t="str">
            <v>ВВ</v>
          </cell>
          <cell r="W55" t="str">
            <v>ВЦ,ВЗ,ПП,ДП ЮК-4,ОПЗ,сп.Э-50</v>
          </cell>
        </row>
        <row r="56">
          <cell r="B56">
            <v>2931</v>
          </cell>
          <cell r="C56">
            <v>44</v>
          </cell>
          <cell r="F56" t="str">
            <v>УПНП</v>
          </cell>
          <cell r="G56">
            <v>260</v>
          </cell>
          <cell r="H56" t="str">
            <v>нагнет.</v>
          </cell>
          <cell r="I56" t="str">
            <v>бд</v>
          </cell>
          <cell r="J56">
            <v>34234</v>
          </cell>
          <cell r="K56">
            <v>0</v>
          </cell>
          <cell r="L56">
            <v>0</v>
          </cell>
          <cell r="M56">
            <v>0</v>
          </cell>
          <cell r="T56">
            <v>3</v>
          </cell>
          <cell r="U56" t="str">
            <v>ЗБС</v>
          </cell>
          <cell r="W56" t="str">
            <v>Подготовка к ЗБГС</v>
          </cell>
        </row>
        <row r="57">
          <cell r="B57">
            <v>2949</v>
          </cell>
          <cell r="C57">
            <v>44</v>
          </cell>
          <cell r="F57" t="str">
            <v>УПНП</v>
          </cell>
          <cell r="G57">
            <v>270</v>
          </cell>
          <cell r="H57" t="str">
            <v>ШГН</v>
          </cell>
          <cell r="I57" t="str">
            <v>бд</v>
          </cell>
          <cell r="J57">
            <v>34455</v>
          </cell>
          <cell r="K57">
            <v>0</v>
          </cell>
          <cell r="L57">
            <v>0</v>
          </cell>
          <cell r="M57">
            <v>0</v>
          </cell>
          <cell r="N57">
            <v>15</v>
          </cell>
          <cell r="O57">
            <v>9.8000000000000007</v>
          </cell>
          <cell r="P57">
            <v>20</v>
          </cell>
          <cell r="Q57">
            <v>15</v>
          </cell>
          <cell r="R57">
            <v>9.8000000000000007</v>
          </cell>
          <cell r="S57">
            <v>19.3</v>
          </cell>
          <cell r="T57">
            <v>37796</v>
          </cell>
          <cell r="U57" t="str">
            <v>ЛА</v>
          </cell>
          <cell r="W57" t="str">
            <v>ВЦ,ЛА,ВЗ,ПП ЮК-10,сп Н-44</v>
          </cell>
        </row>
        <row r="58">
          <cell r="B58">
            <v>2925</v>
          </cell>
          <cell r="C58">
            <v>132</v>
          </cell>
          <cell r="F58" t="str">
            <v>УПНП</v>
          </cell>
          <cell r="G58">
            <v>255</v>
          </cell>
          <cell r="H58" t="str">
            <v>ЭЦН</v>
          </cell>
          <cell r="I58" t="str">
            <v>конс.</v>
          </cell>
          <cell r="J58">
            <v>34271</v>
          </cell>
          <cell r="K58">
            <v>0</v>
          </cell>
          <cell r="L58">
            <v>0</v>
          </cell>
          <cell r="M58">
            <v>0</v>
          </cell>
          <cell r="N58">
            <v>30</v>
          </cell>
          <cell r="O58">
            <v>12</v>
          </cell>
          <cell r="P58">
            <v>51</v>
          </cell>
          <cell r="Q58">
            <v>30</v>
          </cell>
          <cell r="R58">
            <v>12</v>
          </cell>
          <cell r="S58">
            <v>50.6</v>
          </cell>
          <cell r="T58">
            <v>37801</v>
          </cell>
          <cell r="U58" t="str">
            <v>ВВ</v>
          </cell>
          <cell r="W58" t="str">
            <v>ВЦ,уст.цем. Моста(РИР ЮК-10),исп.Ab</v>
          </cell>
        </row>
        <row r="59">
          <cell r="B59">
            <v>5707</v>
          </cell>
          <cell r="C59">
            <v>125</v>
          </cell>
          <cell r="F59" t="str">
            <v>УПНП</v>
          </cell>
          <cell r="G59">
            <v>250</v>
          </cell>
          <cell r="H59" t="str">
            <v>ШГН</v>
          </cell>
          <cell r="I59" t="str">
            <v>бд</v>
          </cell>
          <cell r="J59">
            <v>32843</v>
          </cell>
          <cell r="K59">
            <v>0</v>
          </cell>
          <cell r="L59">
            <v>0</v>
          </cell>
          <cell r="M59">
            <v>0</v>
          </cell>
          <cell r="N59">
            <v>15</v>
          </cell>
          <cell r="O59">
            <v>9.8000000000000007</v>
          </cell>
          <cell r="P59">
            <v>20</v>
          </cell>
          <cell r="Q59">
            <v>15</v>
          </cell>
          <cell r="R59">
            <v>9.8000000000000007</v>
          </cell>
          <cell r="S59">
            <v>19.3</v>
          </cell>
          <cell r="T59">
            <v>37898</v>
          </cell>
          <cell r="U59" t="str">
            <v>ЛА</v>
          </cell>
          <cell r="W59" t="str">
            <v>ЛА,РИР низа ЮК-10,ПП,2796.5-2806.5,сп.НН</v>
          </cell>
        </row>
        <row r="60">
          <cell r="B60">
            <v>5711</v>
          </cell>
          <cell r="C60">
            <v>127</v>
          </cell>
          <cell r="F60" t="str">
            <v>УПНП</v>
          </cell>
          <cell r="G60">
            <v>260</v>
          </cell>
          <cell r="H60" t="str">
            <v>ЭЦН</v>
          </cell>
          <cell r="I60" t="str">
            <v>бд</v>
          </cell>
          <cell r="J60">
            <v>33781</v>
          </cell>
          <cell r="K60">
            <v>0</v>
          </cell>
          <cell r="L60">
            <v>0</v>
          </cell>
          <cell r="M60">
            <v>0</v>
          </cell>
          <cell r="N60">
            <v>125</v>
          </cell>
          <cell r="O60">
            <v>9.6999999999999993</v>
          </cell>
          <cell r="P60">
            <v>90.5</v>
          </cell>
          <cell r="Q60">
            <v>125</v>
          </cell>
          <cell r="R60">
            <v>9.6999999999999993</v>
          </cell>
          <cell r="S60">
            <v>90.4</v>
          </cell>
          <cell r="T60">
            <v>37871</v>
          </cell>
          <cell r="U60" t="str">
            <v>ЛА</v>
          </cell>
          <cell r="W60" t="str">
            <v>Л.А.,ВЗ,ОТСК,ГИС(и.о.)по результатам РИР,сп.Э-125</v>
          </cell>
        </row>
        <row r="61">
          <cell r="B61">
            <v>2940</v>
          </cell>
          <cell r="C61">
            <v>46</v>
          </cell>
          <cell r="F61" t="str">
            <v>УПНП</v>
          </cell>
          <cell r="G61">
            <v>260</v>
          </cell>
          <cell r="H61" t="str">
            <v>ШГН</v>
          </cell>
          <cell r="I61" t="str">
            <v>бд</v>
          </cell>
          <cell r="J61">
            <v>34514</v>
          </cell>
          <cell r="K61">
            <v>0</v>
          </cell>
          <cell r="L61">
            <v>0</v>
          </cell>
          <cell r="M61">
            <v>0</v>
          </cell>
          <cell r="N61">
            <v>30</v>
          </cell>
          <cell r="O61">
            <v>7.3</v>
          </cell>
          <cell r="P61">
            <v>70</v>
          </cell>
          <cell r="Q61">
            <v>30</v>
          </cell>
          <cell r="R61">
            <v>7.3</v>
          </cell>
          <cell r="S61">
            <v>70</v>
          </cell>
          <cell r="T61">
            <v>37848</v>
          </cell>
          <cell r="U61" t="str">
            <v>ВЦ</v>
          </cell>
          <cell r="W61" t="str">
            <v>ВЦ,ПП ЮК-10,сп Э-50</v>
          </cell>
        </row>
        <row r="62">
          <cell r="B62">
            <v>5549</v>
          </cell>
          <cell r="C62">
            <v>116</v>
          </cell>
          <cell r="F62" t="str">
            <v>УПНП</v>
          </cell>
          <cell r="G62">
            <v>250</v>
          </cell>
          <cell r="H62" t="str">
            <v>ЭЦН</v>
          </cell>
          <cell r="I62" t="str">
            <v>действ.</v>
          </cell>
          <cell r="K62">
            <v>86</v>
          </cell>
          <cell r="L62">
            <v>2.1</v>
          </cell>
          <cell r="M62">
            <v>97</v>
          </cell>
          <cell r="N62">
            <v>30</v>
          </cell>
          <cell r="O62">
            <v>12</v>
          </cell>
          <cell r="P62">
            <v>51</v>
          </cell>
          <cell r="Q62">
            <v>-56</v>
          </cell>
          <cell r="R62">
            <v>9.9</v>
          </cell>
          <cell r="S62">
            <v>12</v>
          </cell>
          <cell r="T62">
            <v>37863</v>
          </cell>
          <cell r="U62" t="str">
            <v>ВВ</v>
          </cell>
          <cell r="W62" t="str">
            <v>ВЦ,ИР ЮК-10,исп.Bg+Ab</v>
          </cell>
        </row>
        <row r="63">
          <cell r="B63">
            <v>2687</v>
          </cell>
          <cell r="C63">
            <v>160</v>
          </cell>
          <cell r="F63" t="str">
            <v>УПНП</v>
          </cell>
          <cell r="G63">
            <v>240</v>
          </cell>
          <cell r="H63" t="str">
            <v>фон</v>
          </cell>
          <cell r="I63" t="str">
            <v>бд</v>
          </cell>
          <cell r="J63">
            <v>32843</v>
          </cell>
          <cell r="K63">
            <v>0</v>
          </cell>
          <cell r="L63">
            <v>0</v>
          </cell>
          <cell r="M63">
            <v>0</v>
          </cell>
          <cell r="N63">
            <v>50</v>
          </cell>
          <cell r="O63">
            <v>11</v>
          </cell>
          <cell r="P63">
            <v>73</v>
          </cell>
          <cell r="Q63">
            <v>50</v>
          </cell>
          <cell r="R63">
            <v>11</v>
          </cell>
          <cell r="S63">
            <v>72.8</v>
          </cell>
          <cell r="T63">
            <v>37852</v>
          </cell>
          <cell r="U63" t="str">
            <v>ВЦ</v>
          </cell>
          <cell r="W63" t="str">
            <v>ВЦ.ЛА. ДП ЮК-10,ПП ЮК-10,спуск ЭЦН</v>
          </cell>
        </row>
        <row r="64">
          <cell r="B64">
            <v>5846</v>
          </cell>
          <cell r="C64">
            <v>168</v>
          </cell>
          <cell r="F64" t="str">
            <v>УПНП</v>
          </cell>
          <cell r="G64">
            <v>275</v>
          </cell>
          <cell r="H64" t="str">
            <v>ЭЦН</v>
          </cell>
          <cell r="I64" t="str">
            <v>действ.</v>
          </cell>
          <cell r="K64">
            <v>19</v>
          </cell>
          <cell r="L64">
            <v>2</v>
          </cell>
          <cell r="M64">
            <v>87</v>
          </cell>
          <cell r="N64">
            <v>30</v>
          </cell>
          <cell r="O64">
            <v>12</v>
          </cell>
          <cell r="P64">
            <v>51</v>
          </cell>
          <cell r="Q64">
            <v>11</v>
          </cell>
          <cell r="R64">
            <v>10</v>
          </cell>
          <cell r="S64">
            <v>-12.2</v>
          </cell>
          <cell r="T64">
            <v>37866</v>
          </cell>
          <cell r="U64" t="str">
            <v>ВВ</v>
          </cell>
          <cell r="W64" t="str">
            <v>ВЦ,ИР ЮК-10,исп.Bg+Ab</v>
          </cell>
        </row>
        <row r="65">
          <cell r="B65">
            <v>5468</v>
          </cell>
          <cell r="C65">
            <v>108</v>
          </cell>
          <cell r="F65" t="str">
            <v>УПНП</v>
          </cell>
          <cell r="G65">
            <v>270</v>
          </cell>
          <cell r="H65" t="str">
            <v>ЭЦН</v>
          </cell>
          <cell r="I65" t="str">
            <v>бд</v>
          </cell>
          <cell r="J65">
            <v>34849</v>
          </cell>
          <cell r="K65">
            <v>0</v>
          </cell>
          <cell r="L65">
            <v>0</v>
          </cell>
          <cell r="M65">
            <v>0</v>
          </cell>
          <cell r="N65">
            <v>80</v>
          </cell>
          <cell r="O65">
            <v>9.1</v>
          </cell>
          <cell r="P65">
            <v>86</v>
          </cell>
          <cell r="Q65">
            <v>80</v>
          </cell>
          <cell r="R65">
            <v>9.1</v>
          </cell>
          <cell r="S65">
            <v>86</v>
          </cell>
          <cell r="T65">
            <v>37911</v>
          </cell>
          <cell r="U65" t="str">
            <v>ОВП</v>
          </cell>
          <cell r="W65" t="str">
            <v>ЛА, ИР ЮК-11, ПП ЮК-10.ДП ЮК-10</v>
          </cell>
        </row>
        <row r="66">
          <cell r="B66">
            <v>2700</v>
          </cell>
          <cell r="C66" t="str">
            <v>145б</v>
          </cell>
          <cell r="F66" t="str">
            <v>УПНП</v>
          </cell>
          <cell r="G66">
            <v>260</v>
          </cell>
          <cell r="H66" t="str">
            <v>ШГН</v>
          </cell>
          <cell r="I66" t="str">
            <v>бд</v>
          </cell>
          <cell r="J66">
            <v>37306</v>
          </cell>
          <cell r="K66">
            <v>0</v>
          </cell>
          <cell r="L66">
            <v>0</v>
          </cell>
          <cell r="M66">
            <v>0</v>
          </cell>
          <cell r="N66">
            <v>40</v>
          </cell>
          <cell r="O66">
            <v>28.7</v>
          </cell>
          <cell r="P66">
            <v>12</v>
          </cell>
          <cell r="Q66">
            <v>16</v>
          </cell>
          <cell r="R66">
            <v>10.199999999999999</v>
          </cell>
          <cell r="S66">
            <v>21.3</v>
          </cell>
          <cell r="T66">
            <v>37858</v>
          </cell>
          <cell r="U66" t="str">
            <v>ГРП</v>
          </cell>
          <cell r="W66" t="str">
            <v>ОТСК,РИР Э/К, ГРП ЮК-10,осв.</v>
          </cell>
        </row>
        <row r="67">
          <cell r="B67">
            <v>2651</v>
          </cell>
          <cell r="C67" t="str">
            <v>157б</v>
          </cell>
          <cell r="F67" t="str">
            <v>УПНПиКРС</v>
          </cell>
          <cell r="G67">
            <v>270</v>
          </cell>
          <cell r="H67" t="str">
            <v>ШГН</v>
          </cell>
          <cell r="I67" t="str">
            <v>конс.</v>
          </cell>
          <cell r="J67">
            <v>35073</v>
          </cell>
          <cell r="K67">
            <v>0</v>
          </cell>
          <cell r="L67">
            <v>0</v>
          </cell>
          <cell r="M67">
            <v>0</v>
          </cell>
          <cell r="N67">
            <v>40</v>
          </cell>
          <cell r="O67">
            <v>28.7</v>
          </cell>
          <cell r="P67">
            <v>12</v>
          </cell>
          <cell r="Q67">
            <v>40</v>
          </cell>
          <cell r="R67">
            <v>28.7</v>
          </cell>
          <cell r="S67">
            <v>11.4</v>
          </cell>
          <cell r="T67">
            <v>37849</v>
          </cell>
          <cell r="U67" t="str">
            <v>ГРП</v>
          </cell>
          <cell r="W67" t="str">
            <v>ВЦ,РИР ЮК-11, щел.перф.ПП ЮК-10, ГРП</v>
          </cell>
        </row>
        <row r="68">
          <cell r="B68">
            <v>5363</v>
          </cell>
          <cell r="C68">
            <v>109</v>
          </cell>
          <cell r="F68" t="str">
            <v>УПНПиКРС</v>
          </cell>
          <cell r="G68">
            <v>270</v>
          </cell>
          <cell r="H68" t="str">
            <v>фон</v>
          </cell>
          <cell r="I68" t="str">
            <v>бд</v>
          </cell>
          <cell r="J68">
            <v>33999</v>
          </cell>
          <cell r="K68">
            <v>0</v>
          </cell>
          <cell r="L68">
            <v>0</v>
          </cell>
          <cell r="M68">
            <v>0</v>
          </cell>
          <cell r="N68">
            <v>50</v>
          </cell>
          <cell r="O68">
            <v>8.1999999999999993</v>
          </cell>
          <cell r="P68">
            <v>80</v>
          </cell>
          <cell r="Q68">
            <v>50</v>
          </cell>
          <cell r="R68">
            <v>8.1999999999999993</v>
          </cell>
          <cell r="S68">
            <v>79.8</v>
          </cell>
          <cell r="T68">
            <v>37845</v>
          </cell>
          <cell r="U68" t="str">
            <v>ОВП</v>
          </cell>
          <cell r="W68" t="str">
            <v>ВЗ,ОТСК,ИР ЮК-11.ПП ЮК-10.ОПЗ.Спуск ЭЦН</v>
          </cell>
        </row>
        <row r="69">
          <cell r="B69">
            <v>5530</v>
          </cell>
          <cell r="C69">
            <v>119</v>
          </cell>
          <cell r="F69" t="str">
            <v>УПНПиКРС</v>
          </cell>
          <cell r="G69">
            <v>275</v>
          </cell>
          <cell r="H69" t="str">
            <v>ЭЦН</v>
          </cell>
          <cell r="I69" t="str">
            <v>конс.</v>
          </cell>
          <cell r="J69">
            <v>34370</v>
          </cell>
          <cell r="K69">
            <v>0</v>
          </cell>
          <cell r="L69">
            <v>0</v>
          </cell>
          <cell r="M69">
            <v>0</v>
          </cell>
          <cell r="N69">
            <v>50</v>
          </cell>
          <cell r="O69">
            <v>9.8000000000000007</v>
          </cell>
          <cell r="P69">
            <v>76</v>
          </cell>
          <cell r="Q69">
            <v>50</v>
          </cell>
          <cell r="R69">
            <v>9.8000000000000007</v>
          </cell>
          <cell r="S69">
            <v>75.8</v>
          </cell>
          <cell r="T69">
            <v>37871</v>
          </cell>
          <cell r="U69" t="str">
            <v>ОВП</v>
          </cell>
          <cell r="W69" t="str">
            <v>ВЦ.ВЗ.ИР ЮК-11.ГДИ.Спуск ЭЦН</v>
          </cell>
        </row>
        <row r="70">
          <cell r="B70">
            <v>5345</v>
          </cell>
          <cell r="C70">
            <v>102</v>
          </cell>
          <cell r="F70" t="str">
            <v>УПНПиКРС</v>
          </cell>
          <cell r="G70">
            <v>250</v>
          </cell>
          <cell r="H70" t="str">
            <v>ЭЦН</v>
          </cell>
          <cell r="I70" t="str">
            <v>бд</v>
          </cell>
          <cell r="J70">
            <v>37209</v>
          </cell>
          <cell r="K70">
            <v>0</v>
          </cell>
          <cell r="L70">
            <v>0</v>
          </cell>
          <cell r="M70">
            <v>0</v>
          </cell>
          <cell r="N70">
            <v>50</v>
          </cell>
          <cell r="O70">
            <v>24.5</v>
          </cell>
          <cell r="P70">
            <v>40</v>
          </cell>
          <cell r="Q70">
            <v>50</v>
          </cell>
          <cell r="R70">
            <v>24.5</v>
          </cell>
          <cell r="S70">
            <v>39.5</v>
          </cell>
          <cell r="T70">
            <v>37837</v>
          </cell>
          <cell r="U70" t="str">
            <v>ГРП</v>
          </cell>
          <cell r="W70" t="str">
            <v>ИР ЮК-10, ПР и ГРП ЮК-2</v>
          </cell>
        </row>
        <row r="71">
          <cell r="B71">
            <v>3187</v>
          </cell>
          <cell r="C71">
            <v>70</v>
          </cell>
          <cell r="F71" t="str">
            <v>УПНПиКРС</v>
          </cell>
          <cell r="G71">
            <v>260</v>
          </cell>
          <cell r="H71" t="str">
            <v>ШГН</v>
          </cell>
          <cell r="I71" t="str">
            <v>конс.</v>
          </cell>
          <cell r="J71">
            <v>33939</v>
          </cell>
          <cell r="K71">
            <v>0</v>
          </cell>
          <cell r="L71">
            <v>0</v>
          </cell>
          <cell r="M71">
            <v>0</v>
          </cell>
          <cell r="N71">
            <v>30</v>
          </cell>
          <cell r="O71">
            <v>11</v>
          </cell>
          <cell r="P71">
            <v>55</v>
          </cell>
          <cell r="Q71">
            <v>30</v>
          </cell>
          <cell r="R71">
            <v>11</v>
          </cell>
          <cell r="S71">
            <v>54.7</v>
          </cell>
          <cell r="T71">
            <v>37868</v>
          </cell>
          <cell r="U71" t="str">
            <v>ВВ</v>
          </cell>
          <cell r="W71" t="str">
            <v>ВЦ. ДП ЮК-11,спуск ЭЦН</v>
          </cell>
        </row>
        <row r="72">
          <cell r="B72">
            <v>2705</v>
          </cell>
          <cell r="C72" t="str">
            <v>160б</v>
          </cell>
          <cell r="F72" t="str">
            <v>УПНПиКРС</v>
          </cell>
          <cell r="G72">
            <v>260</v>
          </cell>
          <cell r="H72" t="str">
            <v>ШГН</v>
          </cell>
          <cell r="I72" t="str">
            <v>бд</v>
          </cell>
          <cell r="J72">
            <v>36332</v>
          </cell>
          <cell r="K72">
            <v>0</v>
          </cell>
          <cell r="L72">
            <v>0</v>
          </cell>
          <cell r="M72">
            <v>0</v>
          </cell>
          <cell r="N72">
            <v>30</v>
          </cell>
          <cell r="O72">
            <v>8.6</v>
          </cell>
          <cell r="P72">
            <v>65</v>
          </cell>
          <cell r="Q72">
            <v>30</v>
          </cell>
          <cell r="R72">
            <v>8.6</v>
          </cell>
          <cell r="S72">
            <v>64.599999999999994</v>
          </cell>
          <cell r="T72">
            <v>37850</v>
          </cell>
          <cell r="U72" t="str">
            <v>ОПЗ</v>
          </cell>
          <cell r="W72" t="str">
            <v>ВЦ, ПП ЮК-10,ОПЗ,ГДИ,Спуск ЭЦН</v>
          </cell>
        </row>
        <row r="73">
          <cell r="B73">
            <v>2757</v>
          </cell>
          <cell r="C73">
            <v>144</v>
          </cell>
          <cell r="F73" t="str">
            <v>УПНПиКРС</v>
          </cell>
          <cell r="G73">
            <v>270</v>
          </cell>
          <cell r="H73" t="str">
            <v>ЭЦН</v>
          </cell>
          <cell r="I73" t="str">
            <v>действ.</v>
          </cell>
          <cell r="K73">
            <v>16</v>
          </cell>
          <cell r="L73">
            <v>1.8</v>
          </cell>
          <cell r="M73">
            <v>86</v>
          </cell>
          <cell r="N73">
            <v>80</v>
          </cell>
          <cell r="O73">
            <v>13</v>
          </cell>
          <cell r="P73">
            <v>80</v>
          </cell>
          <cell r="Q73">
            <v>64</v>
          </cell>
          <cell r="R73">
            <v>11.2</v>
          </cell>
          <cell r="S73">
            <v>78.400000000000006</v>
          </cell>
          <cell r="T73">
            <v>37861</v>
          </cell>
          <cell r="U73" t="str">
            <v>ВВ</v>
          </cell>
          <cell r="W73" t="str">
            <v>ПП ЮК-10,ДП ЮК-11,ГДИ спск ЭЦН</v>
          </cell>
        </row>
        <row r="74">
          <cell r="B74">
            <v>2649</v>
          </cell>
          <cell r="C74" t="str">
            <v>157б</v>
          </cell>
          <cell r="F74" t="str">
            <v>УПНПиКРС</v>
          </cell>
          <cell r="G74">
            <v>235</v>
          </cell>
          <cell r="H74" t="str">
            <v>ШГН</v>
          </cell>
          <cell r="I74" t="str">
            <v>действ.</v>
          </cell>
          <cell r="K74">
            <v>7</v>
          </cell>
          <cell r="L74">
            <v>5.5</v>
          </cell>
          <cell r="M74">
            <v>3</v>
          </cell>
          <cell r="N74">
            <v>40</v>
          </cell>
          <cell r="O74">
            <v>28.7</v>
          </cell>
          <cell r="P74">
            <v>12</v>
          </cell>
          <cell r="Q74">
            <v>33</v>
          </cell>
          <cell r="R74">
            <v>23.2</v>
          </cell>
          <cell r="S74">
            <v>13.2</v>
          </cell>
          <cell r="T74">
            <v>37832</v>
          </cell>
          <cell r="U74" t="str">
            <v>ГРП</v>
          </cell>
          <cell r="W74" t="str">
            <v>ПП ЮК-10,ГРП,осв.</v>
          </cell>
        </row>
        <row r="75">
          <cell r="B75">
            <v>5677</v>
          </cell>
          <cell r="C75">
            <v>125</v>
          </cell>
          <cell r="F75" t="str">
            <v>УПНПиКРС</v>
          </cell>
          <cell r="G75">
            <v>260</v>
          </cell>
          <cell r="H75" t="str">
            <v>ШГН</v>
          </cell>
          <cell r="I75" t="str">
            <v>бд</v>
          </cell>
          <cell r="J75">
            <v>35170</v>
          </cell>
          <cell r="K75">
            <v>0</v>
          </cell>
          <cell r="L75">
            <v>0</v>
          </cell>
          <cell r="M75">
            <v>0</v>
          </cell>
          <cell r="N75">
            <v>50</v>
          </cell>
          <cell r="O75">
            <v>11</v>
          </cell>
          <cell r="P75">
            <v>73</v>
          </cell>
          <cell r="Q75">
            <v>50</v>
          </cell>
          <cell r="R75">
            <v>11</v>
          </cell>
          <cell r="S75">
            <v>72.8</v>
          </cell>
          <cell r="T75">
            <v>37871</v>
          </cell>
          <cell r="U75" t="str">
            <v>ВВ</v>
          </cell>
          <cell r="W75" t="str">
            <v>ЛА.ЛЗКЦ.ПП,ДП,ОПЗ,СП ЭЦН</v>
          </cell>
        </row>
        <row r="76">
          <cell r="B76">
            <v>5642</v>
          </cell>
          <cell r="C76">
            <v>126</v>
          </cell>
          <cell r="F76" t="str">
            <v>УПНПиКРС</v>
          </cell>
          <cell r="G76">
            <v>230</v>
          </cell>
          <cell r="H76" t="str">
            <v>ШГН</v>
          </cell>
          <cell r="I76" t="str">
            <v>бд</v>
          </cell>
          <cell r="J76">
            <v>36997</v>
          </cell>
          <cell r="K76">
            <v>0</v>
          </cell>
          <cell r="L76">
            <v>0</v>
          </cell>
          <cell r="M76">
            <v>0</v>
          </cell>
          <cell r="N76">
            <v>13</v>
          </cell>
          <cell r="O76">
            <v>9.9</v>
          </cell>
          <cell r="P76">
            <v>7</v>
          </cell>
          <cell r="Q76">
            <v>13</v>
          </cell>
          <cell r="R76">
            <v>9.9</v>
          </cell>
          <cell r="S76">
            <v>6</v>
          </cell>
          <cell r="T76">
            <v>37877</v>
          </cell>
          <cell r="U76" t="str">
            <v>ВЦ</v>
          </cell>
          <cell r="W76" t="str">
            <v>ВЦ ,ОПЗ МШУ.ГДИ.Сп.НВ-44</v>
          </cell>
        </row>
        <row r="77">
          <cell r="B77" t="str">
            <v>5237б</v>
          </cell>
          <cell r="C77">
            <v>141</v>
          </cell>
          <cell r="F77" t="str">
            <v>УПНПиКРС</v>
          </cell>
          <cell r="G77">
            <v>230</v>
          </cell>
          <cell r="H77" t="str">
            <v>ШГН</v>
          </cell>
          <cell r="I77" t="str">
            <v>бд</v>
          </cell>
          <cell r="J77">
            <v>35636</v>
          </cell>
          <cell r="K77">
            <v>0</v>
          </cell>
          <cell r="L77">
            <v>0</v>
          </cell>
          <cell r="M77">
            <v>0</v>
          </cell>
          <cell r="N77">
            <v>30</v>
          </cell>
          <cell r="O77">
            <v>11</v>
          </cell>
          <cell r="P77">
            <v>55</v>
          </cell>
          <cell r="Q77">
            <v>30</v>
          </cell>
          <cell r="R77">
            <v>11</v>
          </cell>
          <cell r="S77">
            <v>54.7</v>
          </cell>
          <cell r="T77">
            <v>37912</v>
          </cell>
          <cell r="U77" t="str">
            <v>ВВ</v>
          </cell>
          <cell r="W77" t="str">
            <v>ВЗ(Из.НКТ).ПП ЮК10.ДП ЮК-11</v>
          </cell>
        </row>
        <row r="78">
          <cell r="B78">
            <v>5401</v>
          </cell>
          <cell r="C78">
            <v>103</v>
          </cell>
          <cell r="F78" t="str">
            <v>УПНПиКРС</v>
          </cell>
          <cell r="G78">
            <v>265</v>
          </cell>
          <cell r="H78" t="str">
            <v>ШГН</v>
          </cell>
          <cell r="I78" t="str">
            <v>конс.</v>
          </cell>
          <cell r="J78">
            <v>32843</v>
          </cell>
          <cell r="K78">
            <v>0</v>
          </cell>
          <cell r="L78">
            <v>0</v>
          </cell>
          <cell r="M78">
            <v>0</v>
          </cell>
          <cell r="N78">
            <v>30</v>
          </cell>
          <cell r="O78">
            <v>12.2</v>
          </cell>
          <cell r="P78">
            <v>50</v>
          </cell>
          <cell r="Q78">
            <v>30</v>
          </cell>
          <cell r="R78">
            <v>12.2</v>
          </cell>
          <cell r="S78">
            <v>49.8</v>
          </cell>
          <cell r="T78">
            <v>37921</v>
          </cell>
          <cell r="U78" t="str">
            <v>ВЦ</v>
          </cell>
          <cell r="W78" t="str">
            <v>ВЦ,ИР ЮК-10,ОПР ЮК-1,ОПЗ,ГДИ</v>
          </cell>
        </row>
        <row r="79">
          <cell r="B79">
            <v>2684</v>
          </cell>
          <cell r="C79" t="str">
            <v>145б</v>
          </cell>
          <cell r="D79">
            <v>1</v>
          </cell>
          <cell r="F79" t="str">
            <v>УПНПиКРС</v>
          </cell>
          <cell r="G79">
            <v>260</v>
          </cell>
          <cell r="H79" t="str">
            <v>фон</v>
          </cell>
          <cell r="I79" t="str">
            <v>бд</v>
          </cell>
          <cell r="J79">
            <v>34243</v>
          </cell>
          <cell r="K79">
            <v>3.3</v>
          </cell>
          <cell r="L79">
            <v>2.7</v>
          </cell>
          <cell r="M79">
            <v>0</v>
          </cell>
          <cell r="N79">
            <v>30</v>
          </cell>
          <cell r="O79">
            <v>9.8000000000000007</v>
          </cell>
          <cell r="P79">
            <v>60</v>
          </cell>
          <cell r="Q79">
            <v>30</v>
          </cell>
          <cell r="R79">
            <v>9.8000000000000007</v>
          </cell>
          <cell r="S79">
            <v>59.7</v>
          </cell>
          <cell r="T79">
            <v>37893</v>
          </cell>
          <cell r="U79" t="str">
            <v>ОВП</v>
          </cell>
          <cell r="W79" t="str">
            <v>ОТСК, РИР не герм.Э/К, ПП ЮК10.Сп.Э-30</v>
          </cell>
        </row>
        <row r="80">
          <cell r="B80">
            <v>3745</v>
          </cell>
          <cell r="C80">
            <v>76</v>
          </cell>
          <cell r="F80" t="str">
            <v>УПНПиКРС</v>
          </cell>
          <cell r="G80">
            <v>230</v>
          </cell>
          <cell r="H80" t="str">
            <v>ЭЦН</v>
          </cell>
          <cell r="I80" t="str">
            <v>бд</v>
          </cell>
          <cell r="J80">
            <v>37653</v>
          </cell>
          <cell r="K80">
            <v>44</v>
          </cell>
          <cell r="L80">
            <v>3.2</v>
          </cell>
          <cell r="M80">
            <v>91</v>
          </cell>
          <cell r="N80">
            <v>44</v>
          </cell>
          <cell r="O80">
            <v>3.2</v>
          </cell>
          <cell r="P80">
            <v>91</v>
          </cell>
          <cell r="Q80">
            <v>44</v>
          </cell>
          <cell r="R80">
            <v>3.2</v>
          </cell>
          <cell r="S80">
            <v>91</v>
          </cell>
          <cell r="T80">
            <v>37876</v>
          </cell>
          <cell r="U80" t="str">
            <v>ЛА</v>
          </cell>
          <cell r="W80" t="str">
            <v>ОТСК.ЛА.Сп.ЭЦН</v>
          </cell>
        </row>
        <row r="81">
          <cell r="B81">
            <v>2816</v>
          </cell>
          <cell r="C81">
            <v>145</v>
          </cell>
          <cell r="F81" t="str">
            <v>УПНПиКРС</v>
          </cell>
          <cell r="G81">
            <v>270</v>
          </cell>
          <cell r="H81" t="str">
            <v>Ф/Э</v>
          </cell>
          <cell r="I81" t="str">
            <v>конс.</v>
          </cell>
          <cell r="J81">
            <v>34060</v>
          </cell>
          <cell r="K81">
            <v>0</v>
          </cell>
          <cell r="L81">
            <v>0</v>
          </cell>
          <cell r="M81">
            <v>0</v>
          </cell>
          <cell r="N81">
            <v>50</v>
          </cell>
          <cell r="O81">
            <v>8.1999999999999993</v>
          </cell>
          <cell r="P81">
            <v>80</v>
          </cell>
          <cell r="Q81">
            <v>50</v>
          </cell>
          <cell r="R81">
            <v>8.1999999999999993</v>
          </cell>
          <cell r="S81">
            <v>79.8</v>
          </cell>
          <cell r="T81">
            <v>37901</v>
          </cell>
          <cell r="U81" t="str">
            <v>ВЦ</v>
          </cell>
          <cell r="W81" t="str">
            <v>ВЦ.ПП.ЮК10</v>
          </cell>
        </row>
        <row r="82">
          <cell r="B82">
            <v>2689</v>
          </cell>
          <cell r="C82">
            <v>160</v>
          </cell>
          <cell r="F82" t="str">
            <v>УПНПиКРС</v>
          </cell>
          <cell r="G82">
            <v>240</v>
          </cell>
          <cell r="H82" t="str">
            <v>ШГН</v>
          </cell>
          <cell r="I82" t="str">
            <v>конс.</v>
          </cell>
          <cell r="J82">
            <v>33239</v>
          </cell>
          <cell r="K82">
            <v>0</v>
          </cell>
          <cell r="L82">
            <v>0</v>
          </cell>
          <cell r="M82">
            <v>0</v>
          </cell>
          <cell r="N82">
            <v>40</v>
          </cell>
          <cell r="O82">
            <v>28.7</v>
          </cell>
          <cell r="P82">
            <v>12</v>
          </cell>
          <cell r="Q82">
            <v>40</v>
          </cell>
          <cell r="R82">
            <v>28.7</v>
          </cell>
          <cell r="S82">
            <v>11.4</v>
          </cell>
          <cell r="T82">
            <v>37904</v>
          </cell>
          <cell r="U82" t="str">
            <v>грп</v>
          </cell>
          <cell r="W82" t="str">
            <v>ВЦ,ГИС,ИР т.з.,ПР ГРП ЮК-10,осв.</v>
          </cell>
        </row>
        <row r="83">
          <cell r="B83">
            <v>5592</v>
          </cell>
          <cell r="C83" t="str">
            <v>119б</v>
          </cell>
          <cell r="F83" t="str">
            <v>УПНПиКРС</v>
          </cell>
          <cell r="G83">
            <v>260</v>
          </cell>
          <cell r="H83" t="str">
            <v>ЭЦН</v>
          </cell>
          <cell r="I83" t="str">
            <v>действ.</v>
          </cell>
          <cell r="K83">
            <v>26</v>
          </cell>
          <cell r="L83">
            <v>14.6</v>
          </cell>
          <cell r="M83">
            <v>31</v>
          </cell>
          <cell r="N83">
            <v>50</v>
          </cell>
          <cell r="O83">
            <v>39.5</v>
          </cell>
          <cell r="P83">
            <v>3</v>
          </cell>
          <cell r="Q83">
            <v>24</v>
          </cell>
          <cell r="R83">
            <v>24.9</v>
          </cell>
          <cell r="S83">
            <v>-28.1</v>
          </cell>
          <cell r="T83">
            <v>37889</v>
          </cell>
          <cell r="U83" t="str">
            <v>ГРП</v>
          </cell>
          <cell r="W83" t="str">
            <v>ПР к ГРП.ГРП ЮК10</v>
          </cell>
        </row>
        <row r="84">
          <cell r="B84">
            <v>3141</v>
          </cell>
          <cell r="C84" t="str">
            <v>50б</v>
          </cell>
          <cell r="F84" t="str">
            <v>УПНПиКРС</v>
          </cell>
          <cell r="G84">
            <v>260</v>
          </cell>
          <cell r="H84" t="str">
            <v>ЭЦН</v>
          </cell>
          <cell r="I84" t="str">
            <v>конс.</v>
          </cell>
          <cell r="J84">
            <v>34943</v>
          </cell>
          <cell r="K84">
            <v>0</v>
          </cell>
          <cell r="L84">
            <v>0</v>
          </cell>
          <cell r="M84">
            <v>0</v>
          </cell>
          <cell r="N84">
            <v>30</v>
          </cell>
          <cell r="O84">
            <v>11</v>
          </cell>
          <cell r="P84">
            <v>55</v>
          </cell>
          <cell r="Q84">
            <v>30</v>
          </cell>
          <cell r="R84">
            <v>11</v>
          </cell>
          <cell r="S84">
            <v>54.7</v>
          </cell>
          <cell r="T84">
            <v>37882</v>
          </cell>
          <cell r="U84" t="str">
            <v>ВВ</v>
          </cell>
          <cell r="W84" t="str">
            <v>ВЦ.ОТСК.ПП ЮК10.ДП ЮК 2-3</v>
          </cell>
        </row>
        <row r="85">
          <cell r="B85">
            <v>5397</v>
          </cell>
          <cell r="C85">
            <v>102</v>
          </cell>
          <cell r="F85" t="str">
            <v>УПНПиКРС</v>
          </cell>
          <cell r="G85">
            <v>250</v>
          </cell>
          <cell r="H85" t="str">
            <v>Ф/Э</v>
          </cell>
          <cell r="I85" t="str">
            <v>бд</v>
          </cell>
          <cell r="J85">
            <v>33967</v>
          </cell>
          <cell r="K85">
            <v>0</v>
          </cell>
          <cell r="L85">
            <v>0</v>
          </cell>
          <cell r="M85">
            <v>0</v>
          </cell>
          <cell r="N85">
            <v>80</v>
          </cell>
          <cell r="O85">
            <v>9.8000000000000007</v>
          </cell>
          <cell r="P85">
            <v>85</v>
          </cell>
          <cell r="Q85">
            <v>80</v>
          </cell>
          <cell r="R85">
            <v>9.8000000000000007</v>
          </cell>
          <cell r="S85">
            <v>84.9</v>
          </cell>
          <cell r="T85">
            <v>37847</v>
          </cell>
          <cell r="U85" t="str">
            <v>ЛА</v>
          </cell>
          <cell r="W85" t="str">
            <v>ЛА.(из.ЭЦН).Сп. Э-80.</v>
          </cell>
        </row>
        <row r="86">
          <cell r="B86">
            <v>3209</v>
          </cell>
          <cell r="C86">
            <v>70</v>
          </cell>
          <cell r="F86" t="str">
            <v>УПНПиКРС</v>
          </cell>
          <cell r="G86">
            <v>250</v>
          </cell>
          <cell r="H86" t="str">
            <v>ШГН</v>
          </cell>
          <cell r="I86" t="str">
            <v>конс.</v>
          </cell>
          <cell r="J86">
            <v>32843</v>
          </cell>
          <cell r="K86">
            <v>0</v>
          </cell>
          <cell r="L86">
            <v>0</v>
          </cell>
          <cell r="M86">
            <v>0</v>
          </cell>
          <cell r="N86">
            <v>15</v>
          </cell>
          <cell r="O86">
            <v>9.9</v>
          </cell>
          <cell r="P86">
            <v>19</v>
          </cell>
          <cell r="Q86">
            <v>15</v>
          </cell>
          <cell r="R86">
            <v>9.9</v>
          </cell>
          <cell r="S86">
            <v>18.5</v>
          </cell>
          <cell r="T86">
            <v>37883</v>
          </cell>
          <cell r="U86" t="str">
            <v>ОПЗ</v>
          </cell>
          <cell r="W86" t="str">
            <v>ВЦ.ПП.ОПЗ МШУ.ГДИ</v>
          </cell>
        </row>
        <row r="87">
          <cell r="B87">
            <v>2696</v>
          </cell>
          <cell r="C87">
            <v>163</v>
          </cell>
          <cell r="F87" t="str">
            <v>УПНПиКРС</v>
          </cell>
          <cell r="G87">
            <v>250</v>
          </cell>
          <cell r="H87" t="str">
            <v>ЭЦН</v>
          </cell>
          <cell r="I87" t="str">
            <v>действ.</v>
          </cell>
          <cell r="J87">
            <v>36070</v>
          </cell>
          <cell r="K87">
            <v>12</v>
          </cell>
          <cell r="L87">
            <v>9.3000000000000007</v>
          </cell>
          <cell r="M87">
            <v>5</v>
          </cell>
          <cell r="N87">
            <v>50</v>
          </cell>
          <cell r="O87">
            <v>34.6</v>
          </cell>
          <cell r="P87">
            <v>15</v>
          </cell>
          <cell r="Q87">
            <v>38</v>
          </cell>
          <cell r="R87">
            <v>25.3</v>
          </cell>
          <cell r="S87">
            <v>17.8</v>
          </cell>
          <cell r="T87">
            <v>37887</v>
          </cell>
          <cell r="U87" t="str">
            <v>ГРП</v>
          </cell>
          <cell r="W87" t="str">
            <v>ОТСК.ГРП ЮК10</v>
          </cell>
        </row>
        <row r="88">
          <cell r="B88">
            <v>2860</v>
          </cell>
          <cell r="C88">
            <v>127</v>
          </cell>
          <cell r="F88" t="str">
            <v>УПНПиКРС</v>
          </cell>
          <cell r="G88">
            <v>270</v>
          </cell>
          <cell r="H88" t="str">
            <v>ШГН</v>
          </cell>
          <cell r="I88" t="str">
            <v>конс.</v>
          </cell>
          <cell r="J88">
            <v>34608</v>
          </cell>
          <cell r="K88">
            <v>0</v>
          </cell>
          <cell r="L88">
            <v>0</v>
          </cell>
          <cell r="M88">
            <v>0</v>
          </cell>
          <cell r="N88">
            <v>50</v>
          </cell>
          <cell r="O88">
            <v>8.1999999999999993</v>
          </cell>
          <cell r="P88">
            <v>80</v>
          </cell>
          <cell r="Q88">
            <v>50</v>
          </cell>
          <cell r="R88">
            <v>8.1999999999999993</v>
          </cell>
          <cell r="S88">
            <v>79.8</v>
          </cell>
          <cell r="T88">
            <v>37913</v>
          </cell>
          <cell r="U88" t="str">
            <v>ВЦ</v>
          </cell>
          <cell r="W88" t="str">
            <v>ВЦ.ВЗ.ПП.Сп. Э-50</v>
          </cell>
        </row>
        <row r="89">
          <cell r="B89">
            <v>2926</v>
          </cell>
          <cell r="C89">
            <v>132</v>
          </cell>
          <cell r="F89" t="str">
            <v>УПНПиКРС</v>
          </cell>
          <cell r="G89">
            <v>260</v>
          </cell>
          <cell r="H89" t="str">
            <v>ШГН</v>
          </cell>
          <cell r="I89" t="str">
            <v>конс.</v>
          </cell>
          <cell r="J89">
            <v>34608</v>
          </cell>
          <cell r="K89">
            <v>0</v>
          </cell>
          <cell r="L89">
            <v>0</v>
          </cell>
          <cell r="M89">
            <v>0</v>
          </cell>
          <cell r="N89">
            <v>50</v>
          </cell>
          <cell r="O89">
            <v>9.8000000000000007</v>
          </cell>
          <cell r="P89">
            <v>76</v>
          </cell>
          <cell r="Q89">
            <v>50</v>
          </cell>
          <cell r="R89">
            <v>9.8000000000000007</v>
          </cell>
          <cell r="S89">
            <v>75.8</v>
          </cell>
          <cell r="T89">
            <v>37914</v>
          </cell>
          <cell r="U89" t="str">
            <v>ЛА</v>
          </cell>
          <cell r="W89" t="str">
            <v>ЛА(прихват),ПП ЮК-10,сп.Э-50</v>
          </cell>
        </row>
        <row r="90">
          <cell r="B90">
            <v>2918</v>
          </cell>
          <cell r="C90">
            <v>43</v>
          </cell>
          <cell r="F90" t="str">
            <v>Уват УПНПиКРС</v>
          </cell>
          <cell r="G90">
            <v>270</v>
          </cell>
          <cell r="H90" t="str">
            <v>ШГН</v>
          </cell>
          <cell r="I90" t="str">
            <v>бд</v>
          </cell>
          <cell r="J90">
            <v>37010</v>
          </cell>
          <cell r="K90">
            <v>0</v>
          </cell>
          <cell r="L90">
            <v>0</v>
          </cell>
          <cell r="M90">
            <v>0</v>
          </cell>
          <cell r="N90">
            <v>12</v>
          </cell>
          <cell r="O90">
            <v>6.8</v>
          </cell>
          <cell r="P90">
            <v>30</v>
          </cell>
          <cell r="Q90">
            <v>12</v>
          </cell>
          <cell r="R90">
            <v>6.8</v>
          </cell>
          <cell r="S90">
            <v>30</v>
          </cell>
          <cell r="T90">
            <v>37871</v>
          </cell>
          <cell r="U90" t="str">
            <v>ВЦ</v>
          </cell>
          <cell r="W90" t="str">
            <v>ВЦ.ПП.ДМШУ с пак.</v>
          </cell>
        </row>
        <row r="91">
          <cell r="B91">
            <v>5533</v>
          </cell>
          <cell r="C91">
            <v>110</v>
          </cell>
          <cell r="F91" t="str">
            <v>Уват УПНПиКРС</v>
          </cell>
          <cell r="G91">
            <v>255</v>
          </cell>
          <cell r="H91" t="str">
            <v>ЭЦН</v>
          </cell>
          <cell r="I91" t="str">
            <v>конс.</v>
          </cell>
          <cell r="J91">
            <v>33572</v>
          </cell>
          <cell r="K91">
            <v>0</v>
          </cell>
          <cell r="L91">
            <v>0</v>
          </cell>
          <cell r="M91">
            <v>0</v>
          </cell>
          <cell r="N91">
            <v>50</v>
          </cell>
          <cell r="O91">
            <v>10</v>
          </cell>
          <cell r="P91">
            <v>75.5</v>
          </cell>
          <cell r="Q91">
            <v>50</v>
          </cell>
          <cell r="R91">
            <v>10</v>
          </cell>
          <cell r="S91">
            <v>75.3</v>
          </cell>
          <cell r="T91">
            <v>37843</v>
          </cell>
          <cell r="U91" t="str">
            <v>ОВП</v>
          </cell>
          <cell r="W91" t="str">
            <v>РИР Э/К.ПП ЮК-10.сп.ЭЦН</v>
          </cell>
        </row>
        <row r="92">
          <cell r="B92">
            <v>5653</v>
          </cell>
          <cell r="C92">
            <v>123</v>
          </cell>
          <cell r="F92" t="str">
            <v>Уват УПНПиКРС</v>
          </cell>
          <cell r="G92">
            <v>260</v>
          </cell>
          <cell r="H92" t="str">
            <v>ЭЦН</v>
          </cell>
          <cell r="I92" t="str">
            <v>бд</v>
          </cell>
          <cell r="J92">
            <v>35125</v>
          </cell>
          <cell r="K92">
            <v>0</v>
          </cell>
          <cell r="L92">
            <v>0</v>
          </cell>
          <cell r="M92">
            <v>0</v>
          </cell>
          <cell r="N92">
            <v>80</v>
          </cell>
          <cell r="O92">
            <v>11.1</v>
          </cell>
          <cell r="P92">
            <v>83</v>
          </cell>
          <cell r="Q92">
            <v>80</v>
          </cell>
          <cell r="R92">
            <v>11.1</v>
          </cell>
          <cell r="S92">
            <v>82.9</v>
          </cell>
          <cell r="T92">
            <v>37874</v>
          </cell>
          <cell r="U92" t="str">
            <v>ВВ</v>
          </cell>
          <cell r="W92" t="str">
            <v>ГИС-2.РИР.ДП.ЮК2-3.Сп.ЭЦН</v>
          </cell>
        </row>
        <row r="93">
          <cell r="B93">
            <v>5656</v>
          </cell>
          <cell r="C93">
            <v>123</v>
          </cell>
          <cell r="F93" t="str">
            <v>Уват УПНПиКРС</v>
          </cell>
          <cell r="G93">
            <v>270</v>
          </cell>
          <cell r="H93" t="str">
            <v>фон</v>
          </cell>
          <cell r="I93" t="str">
            <v>конс.</v>
          </cell>
          <cell r="J93">
            <v>35096</v>
          </cell>
          <cell r="K93">
            <v>0</v>
          </cell>
          <cell r="L93">
            <v>0</v>
          </cell>
          <cell r="M93">
            <v>0</v>
          </cell>
          <cell r="N93">
            <v>90</v>
          </cell>
          <cell r="O93">
            <v>9.8000000000000007</v>
          </cell>
          <cell r="P93">
            <v>86.575000000000003</v>
          </cell>
          <cell r="Q93">
            <v>90</v>
          </cell>
          <cell r="R93">
            <v>9.8000000000000007</v>
          </cell>
          <cell r="S93">
            <v>86.6</v>
          </cell>
          <cell r="T93">
            <v>37915</v>
          </cell>
          <cell r="U93" t="str">
            <v>ЛА</v>
          </cell>
          <cell r="W93" t="str">
            <v>ВЗ,РИР ЮК-11,ПП ЮК-10</v>
          </cell>
        </row>
        <row r="94">
          <cell r="B94">
            <v>2753</v>
          </cell>
          <cell r="C94">
            <v>145</v>
          </cell>
          <cell r="F94" t="str">
            <v>Уват УПНПиКРС</v>
          </cell>
          <cell r="G94">
            <v>280</v>
          </cell>
          <cell r="H94" t="str">
            <v>ЭЦН</v>
          </cell>
          <cell r="I94" t="str">
            <v>бд</v>
          </cell>
          <cell r="J94">
            <v>33056</v>
          </cell>
          <cell r="K94">
            <v>0</v>
          </cell>
          <cell r="L94">
            <v>0</v>
          </cell>
          <cell r="M94">
            <v>0</v>
          </cell>
          <cell r="N94">
            <v>80</v>
          </cell>
          <cell r="O94">
            <v>10</v>
          </cell>
          <cell r="P94">
            <v>84.6</v>
          </cell>
          <cell r="Q94">
            <v>80</v>
          </cell>
          <cell r="R94">
            <v>10</v>
          </cell>
          <cell r="S94">
            <v>80</v>
          </cell>
          <cell r="T94">
            <v>37851</v>
          </cell>
          <cell r="U94" t="str">
            <v>ВВ</v>
          </cell>
          <cell r="W94" t="str">
            <v>ВЦ, ПП ЮК-10,ДП ЮК-11.ГИС-2</v>
          </cell>
        </row>
        <row r="95">
          <cell r="B95">
            <v>5416</v>
          </cell>
          <cell r="C95">
            <v>109</v>
          </cell>
          <cell r="F95" t="str">
            <v>УПНПиКРС</v>
          </cell>
          <cell r="G95">
            <v>275</v>
          </cell>
          <cell r="H95" t="str">
            <v>ЭЦН</v>
          </cell>
          <cell r="I95" t="str">
            <v>бд</v>
          </cell>
          <cell r="J95">
            <v>32964</v>
          </cell>
          <cell r="K95">
            <v>0</v>
          </cell>
          <cell r="L95">
            <v>0</v>
          </cell>
          <cell r="M95">
            <v>0</v>
          </cell>
          <cell r="N95">
            <v>50</v>
          </cell>
          <cell r="O95">
            <v>11</v>
          </cell>
          <cell r="P95">
            <v>73</v>
          </cell>
          <cell r="Q95">
            <v>50</v>
          </cell>
          <cell r="R95">
            <v>11</v>
          </cell>
          <cell r="S95">
            <v>81</v>
          </cell>
          <cell r="T95">
            <v>37908</v>
          </cell>
          <cell r="U95" t="str">
            <v>ВЦ</v>
          </cell>
          <cell r="W95" t="str">
            <v xml:space="preserve">ВЦ.ЛА, ВЗ.ОТСК, ПП ЮК10. </v>
          </cell>
        </row>
        <row r="96">
          <cell r="B96">
            <v>3094</v>
          </cell>
          <cell r="C96" t="str">
            <v>44б</v>
          </cell>
          <cell r="F96" t="str">
            <v>Уват УПНПиКРС</v>
          </cell>
          <cell r="G96">
            <v>265</v>
          </cell>
          <cell r="H96" t="str">
            <v>ШГН</v>
          </cell>
          <cell r="I96" t="str">
            <v>бд</v>
          </cell>
          <cell r="K96">
            <v>0</v>
          </cell>
          <cell r="L96">
            <v>0</v>
          </cell>
          <cell r="M96">
            <v>0</v>
          </cell>
          <cell r="N96">
            <v>15</v>
          </cell>
          <cell r="O96">
            <v>10</v>
          </cell>
          <cell r="P96">
            <v>18</v>
          </cell>
          <cell r="Q96">
            <v>15</v>
          </cell>
          <cell r="R96">
            <v>10</v>
          </cell>
          <cell r="S96">
            <v>17.7</v>
          </cell>
          <cell r="T96">
            <v>37888</v>
          </cell>
          <cell r="U96" t="str">
            <v>ВЦ</v>
          </cell>
          <cell r="V96">
            <v>1</v>
          </cell>
          <cell r="W96" t="str">
            <v>ВЦ.ВЗ.ПП.ОПЗ (МШУ)</v>
          </cell>
        </row>
        <row r="97">
          <cell r="B97">
            <v>2915</v>
          </cell>
          <cell r="C97">
            <v>44</v>
          </cell>
          <cell r="F97" t="str">
            <v>Уват УПНПиКРС</v>
          </cell>
          <cell r="G97">
            <v>270</v>
          </cell>
          <cell r="H97" t="str">
            <v>ШГН</v>
          </cell>
          <cell r="I97" t="str">
            <v>конс.</v>
          </cell>
          <cell r="J97">
            <v>34060</v>
          </cell>
          <cell r="K97">
            <v>0</v>
          </cell>
          <cell r="L97">
            <v>0</v>
          </cell>
          <cell r="M97">
            <v>0</v>
          </cell>
          <cell r="N97">
            <v>15</v>
          </cell>
          <cell r="O97">
            <v>8.1999999999999993</v>
          </cell>
          <cell r="P97">
            <v>33</v>
          </cell>
          <cell r="Q97">
            <v>15</v>
          </cell>
          <cell r="R97">
            <v>8.1999999999999993</v>
          </cell>
          <cell r="S97">
            <v>32.5</v>
          </cell>
          <cell r="T97">
            <v>37903</v>
          </cell>
          <cell r="U97" t="str">
            <v>ВЦ</v>
          </cell>
          <cell r="W97" t="str">
            <v>ВЦ,ВЗ,ПП,ОПЗ,сп.Н-44</v>
          </cell>
        </row>
        <row r="98">
          <cell r="B98">
            <v>2772</v>
          </cell>
          <cell r="C98">
            <v>165</v>
          </cell>
          <cell r="F98" t="str">
            <v>ПРС</v>
          </cell>
          <cell r="G98">
            <v>270</v>
          </cell>
          <cell r="H98" t="str">
            <v>ШГН</v>
          </cell>
          <cell r="I98" t="str">
            <v>бд</v>
          </cell>
          <cell r="J98">
            <v>37712</v>
          </cell>
          <cell r="K98">
            <v>0</v>
          </cell>
          <cell r="L98">
            <v>0</v>
          </cell>
          <cell r="M98">
            <v>0</v>
          </cell>
          <cell r="N98">
            <v>8</v>
          </cell>
          <cell r="O98">
            <v>3.9</v>
          </cell>
          <cell r="P98">
            <v>40</v>
          </cell>
          <cell r="Q98">
            <v>8</v>
          </cell>
          <cell r="R98">
            <v>3.9</v>
          </cell>
          <cell r="S98">
            <v>39.799999999999997</v>
          </cell>
          <cell r="T98">
            <v>37909</v>
          </cell>
          <cell r="U98" t="str">
            <v>вцд</v>
          </cell>
          <cell r="W98" t="str">
            <v>ВЦ "Э-пр",см.ШГН</v>
          </cell>
        </row>
        <row r="99">
          <cell r="B99">
            <v>11084</v>
          </cell>
          <cell r="C99" t="str">
            <v>308б</v>
          </cell>
          <cell r="F99" t="str">
            <v>ПРС</v>
          </cell>
          <cell r="G99">
            <v>240</v>
          </cell>
          <cell r="H99" t="str">
            <v>фон</v>
          </cell>
          <cell r="I99" t="str">
            <v>бд</v>
          </cell>
          <cell r="J99">
            <v>34455</v>
          </cell>
          <cell r="K99">
            <v>0</v>
          </cell>
          <cell r="L99">
            <v>0</v>
          </cell>
          <cell r="M99">
            <v>0</v>
          </cell>
          <cell r="N99">
            <v>50</v>
          </cell>
          <cell r="O99">
            <v>4.0999999999999996</v>
          </cell>
          <cell r="P99">
            <v>90</v>
          </cell>
          <cell r="Q99">
            <v>50</v>
          </cell>
          <cell r="R99">
            <v>4.0999999999999996</v>
          </cell>
          <cell r="S99">
            <v>89.9</v>
          </cell>
          <cell r="T99">
            <v>37897</v>
          </cell>
          <cell r="U99" t="str">
            <v>мд</v>
          </cell>
          <cell r="W99" t="str">
            <v>ВЦ КОПС,см.вор/Э-50</v>
          </cell>
        </row>
        <row r="100">
          <cell r="B100">
            <v>5531</v>
          </cell>
          <cell r="C100" t="str">
            <v>199б</v>
          </cell>
          <cell r="F100" t="str">
            <v>УПНПиКРС</v>
          </cell>
          <cell r="G100">
            <v>270</v>
          </cell>
          <cell r="H100" t="str">
            <v>ЭЦН</v>
          </cell>
          <cell r="I100" t="str">
            <v>бд</v>
          </cell>
          <cell r="J100">
            <v>34698</v>
          </cell>
          <cell r="K100">
            <v>0</v>
          </cell>
          <cell r="L100">
            <v>0</v>
          </cell>
          <cell r="M100">
            <v>0</v>
          </cell>
          <cell r="N100">
            <v>50</v>
          </cell>
          <cell r="O100">
            <v>6.1</v>
          </cell>
          <cell r="P100">
            <v>85</v>
          </cell>
          <cell r="Q100">
            <v>50</v>
          </cell>
          <cell r="R100">
            <v>6.1</v>
          </cell>
          <cell r="S100">
            <v>84.9</v>
          </cell>
          <cell r="T100">
            <v>37915</v>
          </cell>
          <cell r="U100" t="str">
            <v>ВЦ</v>
          </cell>
          <cell r="W100" t="str">
            <v>ВЦ,ВЗ,ГИС-2,сп.Э-50</v>
          </cell>
        </row>
        <row r="101">
          <cell r="B101">
            <v>11097</v>
          </cell>
          <cell r="C101" t="str">
            <v>308б</v>
          </cell>
          <cell r="F101" t="str">
            <v>ПРС</v>
          </cell>
          <cell r="G101">
            <v>240</v>
          </cell>
          <cell r="H101" t="str">
            <v>Фон</v>
          </cell>
          <cell r="I101" t="str">
            <v>конс.</v>
          </cell>
          <cell r="J101">
            <v>34700</v>
          </cell>
          <cell r="K101">
            <v>0</v>
          </cell>
          <cell r="L101">
            <v>0</v>
          </cell>
          <cell r="M101">
            <v>0</v>
          </cell>
          <cell r="N101">
            <v>30</v>
          </cell>
          <cell r="O101">
            <v>3.8</v>
          </cell>
          <cell r="P101">
            <v>84.6</v>
          </cell>
          <cell r="Q101">
            <v>30</v>
          </cell>
          <cell r="R101">
            <v>3.8</v>
          </cell>
          <cell r="S101">
            <v>80</v>
          </cell>
          <cell r="T101">
            <v>37835</v>
          </cell>
          <cell r="U101" t="str">
            <v>ВЦД</v>
          </cell>
          <cell r="W101" t="str">
            <v>ВЦ "Электропрогрев"</v>
          </cell>
        </row>
        <row r="102">
          <cell r="B102">
            <v>5426</v>
          </cell>
          <cell r="C102">
            <v>102</v>
          </cell>
          <cell r="F102" t="str">
            <v>КРС</v>
          </cell>
          <cell r="H102" t="str">
            <v>нагнет.</v>
          </cell>
          <cell r="I102" t="str">
            <v>бд</v>
          </cell>
          <cell r="J102">
            <v>35525</v>
          </cell>
          <cell r="K102">
            <v>0</v>
          </cell>
          <cell r="L102">
            <v>0</v>
          </cell>
          <cell r="M102">
            <v>0</v>
          </cell>
          <cell r="N102">
            <v>40</v>
          </cell>
          <cell r="O102">
            <v>25.1</v>
          </cell>
          <cell r="P102">
            <v>23</v>
          </cell>
          <cell r="Q102">
            <v>40</v>
          </cell>
          <cell r="R102">
            <v>25.1</v>
          </cell>
          <cell r="S102">
            <v>23</v>
          </cell>
          <cell r="T102">
            <v>37830</v>
          </cell>
          <cell r="U102" t="str">
            <v>ГРП</v>
          </cell>
          <cell r="W102" t="str">
            <v>ИР ЮК-10,ДП ЮК-2,подг.к ГРП ЮК2-9,осв.</v>
          </cell>
        </row>
        <row r="103">
          <cell r="B103">
            <v>5819</v>
          </cell>
          <cell r="C103">
            <v>142</v>
          </cell>
          <cell r="F103" t="str">
            <v>УПНПиКРС</v>
          </cell>
          <cell r="G103">
            <v>285</v>
          </cell>
          <cell r="H103" t="str">
            <v>нагнет.</v>
          </cell>
          <cell r="I103" t="str">
            <v>бд</v>
          </cell>
          <cell r="J103">
            <v>37084</v>
          </cell>
          <cell r="N103">
            <v>150</v>
          </cell>
          <cell r="Q103">
            <v>150</v>
          </cell>
          <cell r="T103">
            <v>37596</v>
          </cell>
          <cell r="U103" t="str">
            <v>нг</v>
          </cell>
          <cell r="W103" t="str">
            <v>Ревизия пакера</v>
          </cell>
        </row>
        <row r="104">
          <cell r="B104">
            <v>5821</v>
          </cell>
          <cell r="C104">
            <v>167</v>
          </cell>
          <cell r="F104" t="str">
            <v>БлКРС</v>
          </cell>
          <cell r="G104">
            <v>300</v>
          </cell>
          <cell r="H104" t="str">
            <v>нагнет.</v>
          </cell>
          <cell r="I104" t="str">
            <v>бд</v>
          </cell>
          <cell r="J104">
            <v>37453</v>
          </cell>
          <cell r="N104">
            <v>190</v>
          </cell>
          <cell r="Q104">
            <v>190</v>
          </cell>
          <cell r="T104" t="e">
            <v>#REF!</v>
          </cell>
          <cell r="U104" t="str">
            <v>нг</v>
          </cell>
          <cell r="W104" t="str">
            <v>ОТСК, ревизия пакера</v>
          </cell>
        </row>
        <row r="105">
          <cell r="B105">
            <v>5807</v>
          </cell>
          <cell r="C105" t="str">
            <v>166б</v>
          </cell>
          <cell r="F105" t="str">
            <v>БлКРС</v>
          </cell>
          <cell r="G105">
            <v>290</v>
          </cell>
          <cell r="H105" t="str">
            <v>нагнет.</v>
          </cell>
          <cell r="I105" t="str">
            <v>бд</v>
          </cell>
          <cell r="J105">
            <v>37474</v>
          </cell>
          <cell r="N105">
            <v>150</v>
          </cell>
          <cell r="Q105">
            <v>150</v>
          </cell>
          <cell r="T105" t="e">
            <v>#REF!</v>
          </cell>
          <cell r="U105" t="str">
            <v>нг</v>
          </cell>
          <cell r="W105" t="str">
            <v>Ревизия пакера</v>
          </cell>
        </row>
        <row r="106">
          <cell r="B106">
            <v>5800</v>
          </cell>
          <cell r="C106">
            <v>141</v>
          </cell>
          <cell r="F106" t="str">
            <v>БлКРС</v>
          </cell>
          <cell r="G106">
            <v>295</v>
          </cell>
          <cell r="H106" t="str">
            <v>нагнет.</v>
          </cell>
          <cell r="I106" t="str">
            <v>бд</v>
          </cell>
          <cell r="J106">
            <v>37474</v>
          </cell>
          <cell r="N106">
            <v>190</v>
          </cell>
          <cell r="Q106">
            <v>190</v>
          </cell>
          <cell r="T106" t="e">
            <v>#REF!</v>
          </cell>
          <cell r="U106" t="str">
            <v>нг</v>
          </cell>
          <cell r="W106" t="str">
            <v>Ревизия пакера</v>
          </cell>
        </row>
        <row r="107">
          <cell r="B107">
            <v>5221</v>
          </cell>
          <cell r="C107">
            <v>126</v>
          </cell>
          <cell r="F107" t="str">
            <v>БлКРС</v>
          </cell>
          <cell r="G107">
            <v>245</v>
          </cell>
          <cell r="H107" t="str">
            <v>ШГН</v>
          </cell>
          <cell r="I107" t="str">
            <v>действ.</v>
          </cell>
          <cell r="K107">
            <v>4</v>
          </cell>
          <cell r="L107">
            <v>2.9</v>
          </cell>
          <cell r="M107">
            <v>12</v>
          </cell>
          <cell r="N107">
            <v>150</v>
          </cell>
          <cell r="Q107">
            <v>150</v>
          </cell>
          <cell r="T107" t="str">
            <v>перех.</v>
          </cell>
          <cell r="U107" t="str">
            <v>нг</v>
          </cell>
          <cell r="W107" t="str">
            <v>Ревизия пакера.ГИС-3</v>
          </cell>
        </row>
        <row r="108">
          <cell r="B108">
            <v>5242</v>
          </cell>
          <cell r="C108">
            <v>134</v>
          </cell>
          <cell r="F108" t="str">
            <v>УПНПиКРС</v>
          </cell>
          <cell r="G108">
            <v>230</v>
          </cell>
          <cell r="H108" t="str">
            <v>нагнет.</v>
          </cell>
          <cell r="I108" t="str">
            <v>действ.</v>
          </cell>
          <cell r="T108">
            <v>37918</v>
          </cell>
          <cell r="U108" t="str">
            <v>нг</v>
          </cell>
          <cell r="W108" t="str">
            <v>Перевод под нагнетание ЮК 2-3</v>
          </cell>
          <cell r="X108" t="str">
            <v>Строительство водовода</v>
          </cell>
        </row>
        <row r="110">
          <cell r="B110">
            <v>2897</v>
          </cell>
          <cell r="C110">
            <v>42</v>
          </cell>
          <cell r="F110" t="str">
            <v>УПНПиКРС</v>
          </cell>
          <cell r="G110">
            <v>295</v>
          </cell>
          <cell r="H110" t="str">
            <v>нагнет.</v>
          </cell>
          <cell r="I110" t="str">
            <v>бд</v>
          </cell>
          <cell r="J110">
            <v>37463</v>
          </cell>
          <cell r="N110">
            <v>150</v>
          </cell>
          <cell r="Q110">
            <v>150</v>
          </cell>
          <cell r="U110" t="str">
            <v>нг</v>
          </cell>
          <cell r="W110" t="str">
            <v>ОТСК, ревизия пакера</v>
          </cell>
        </row>
        <row r="111">
          <cell r="B111">
            <v>2898</v>
          </cell>
          <cell r="C111">
            <v>42</v>
          </cell>
          <cell r="F111" t="str">
            <v>УПНПиКРС</v>
          </cell>
          <cell r="G111">
            <v>295</v>
          </cell>
          <cell r="H111" t="str">
            <v>нагнет.</v>
          </cell>
          <cell r="I111" t="str">
            <v>под закачкой</v>
          </cell>
          <cell r="K111">
            <v>180</v>
          </cell>
          <cell r="N111">
            <v>180</v>
          </cell>
          <cell r="Q111">
            <v>0</v>
          </cell>
          <cell r="U111" t="str">
            <v>нг</v>
          </cell>
          <cell r="W111" t="str">
            <v>ОТСК</v>
          </cell>
        </row>
        <row r="112">
          <cell r="B112">
            <v>5380</v>
          </cell>
          <cell r="C112">
            <v>105</v>
          </cell>
          <cell r="F112" t="str">
            <v>УПНПиКРС</v>
          </cell>
          <cell r="G112">
            <v>300</v>
          </cell>
          <cell r="H112" t="str">
            <v>нагнет.</v>
          </cell>
          <cell r="I112" t="str">
            <v>под закачкой</v>
          </cell>
          <cell r="K112">
            <v>280</v>
          </cell>
          <cell r="N112">
            <v>280</v>
          </cell>
          <cell r="Q112">
            <v>0</v>
          </cell>
          <cell r="U112" t="str">
            <v>нг</v>
          </cell>
          <cell r="W112" t="str">
            <v>ОТСК</v>
          </cell>
        </row>
        <row r="113">
          <cell r="B113">
            <v>5740</v>
          </cell>
          <cell r="C113">
            <v>127</v>
          </cell>
          <cell r="F113" t="str">
            <v>УПНПиКРС</v>
          </cell>
          <cell r="G113">
            <v>290</v>
          </cell>
          <cell r="H113" t="str">
            <v>нагнет.</v>
          </cell>
          <cell r="I113" t="str">
            <v>под закачкой</v>
          </cell>
          <cell r="K113">
            <v>190</v>
          </cell>
          <cell r="N113">
            <v>190</v>
          </cell>
          <cell r="Q113">
            <v>0</v>
          </cell>
          <cell r="U113" t="str">
            <v>нг</v>
          </cell>
          <cell r="W113" t="str">
            <v>ОТСК</v>
          </cell>
        </row>
        <row r="115">
          <cell r="B115">
            <v>5858</v>
          </cell>
          <cell r="C115">
            <v>169</v>
          </cell>
          <cell r="F115" t="str">
            <v>УПНПиКРС</v>
          </cell>
          <cell r="G115">
            <v>270</v>
          </cell>
          <cell r="H115" t="str">
            <v>фон</v>
          </cell>
          <cell r="I115" t="str">
            <v>бд</v>
          </cell>
          <cell r="J115">
            <v>36649</v>
          </cell>
          <cell r="K115">
            <v>7</v>
          </cell>
          <cell r="L115">
            <v>1</v>
          </cell>
          <cell r="M115">
            <v>82</v>
          </cell>
          <cell r="N115">
            <v>30</v>
          </cell>
          <cell r="O115">
            <v>12</v>
          </cell>
          <cell r="P115">
            <v>51</v>
          </cell>
          <cell r="Q115">
            <v>30</v>
          </cell>
          <cell r="R115">
            <v>12</v>
          </cell>
          <cell r="S115">
            <v>50.6</v>
          </cell>
          <cell r="T115">
            <v>7</v>
          </cell>
          <cell r="U115" t="str">
            <v>ГРП</v>
          </cell>
          <cell r="W115" t="str">
            <v xml:space="preserve">инт.ЮК-5  2613-2628м,РИР ЮК-10,ГРП </v>
          </cell>
        </row>
        <row r="116">
          <cell r="B116">
            <v>5853</v>
          </cell>
          <cell r="C116">
            <v>169</v>
          </cell>
          <cell r="F116" t="str">
            <v>УПНПиКРС</v>
          </cell>
          <cell r="G116">
            <v>270</v>
          </cell>
          <cell r="H116" t="str">
            <v>фон</v>
          </cell>
          <cell r="I116" t="str">
            <v>конс.</v>
          </cell>
          <cell r="J116">
            <v>35401</v>
          </cell>
          <cell r="K116">
            <v>1</v>
          </cell>
          <cell r="L116">
            <v>0.8</v>
          </cell>
          <cell r="M116">
            <v>0</v>
          </cell>
          <cell r="N116">
            <v>30</v>
          </cell>
          <cell r="O116">
            <v>12</v>
          </cell>
          <cell r="P116">
            <v>51</v>
          </cell>
          <cell r="Q116">
            <v>30</v>
          </cell>
          <cell r="R116">
            <v>12</v>
          </cell>
          <cell r="S116">
            <v>50.6</v>
          </cell>
          <cell r="T116">
            <v>7</v>
          </cell>
          <cell r="U116" t="str">
            <v>ГРП</v>
          </cell>
          <cell r="W116" t="str">
            <v xml:space="preserve">инт.ЮК-5  2601-2619м,РИР ЮК-10,ГРП </v>
          </cell>
        </row>
        <row r="117">
          <cell r="B117">
            <v>2608</v>
          </cell>
          <cell r="C117" t="str">
            <v>168б</v>
          </cell>
          <cell r="F117" t="str">
            <v>УПНПиКРС</v>
          </cell>
          <cell r="G117">
            <v>240</v>
          </cell>
          <cell r="H117" t="str">
            <v>ШГН</v>
          </cell>
          <cell r="I117" t="str">
            <v>действ.</v>
          </cell>
          <cell r="K117">
            <v>3</v>
          </cell>
          <cell r="L117">
            <v>2.2999999999999998</v>
          </cell>
          <cell r="M117">
            <v>5</v>
          </cell>
          <cell r="N117">
            <v>30</v>
          </cell>
          <cell r="O117">
            <v>14.3</v>
          </cell>
          <cell r="P117">
            <v>41.4</v>
          </cell>
          <cell r="Q117">
            <v>27</v>
          </cell>
          <cell r="R117">
            <v>12</v>
          </cell>
          <cell r="S117">
            <v>45.1</v>
          </cell>
          <cell r="T117">
            <v>37367</v>
          </cell>
          <cell r="U117" t="str">
            <v>ГРП</v>
          </cell>
          <cell r="V117">
            <v>2</v>
          </cell>
          <cell r="W117" t="str">
            <v>инт.ЮК 4-5 2569-2578, 2582-2592м,ГРП</v>
          </cell>
        </row>
        <row r="118">
          <cell r="B118">
            <v>2604</v>
          </cell>
          <cell r="C118">
            <v>167</v>
          </cell>
          <cell r="F118" t="str">
            <v>УПНПиКРС</v>
          </cell>
          <cell r="G118">
            <v>235</v>
          </cell>
          <cell r="H118" t="str">
            <v>ШГН</v>
          </cell>
          <cell r="I118" t="str">
            <v>конс.</v>
          </cell>
          <cell r="J118">
            <v>34243</v>
          </cell>
          <cell r="K118">
            <v>2</v>
          </cell>
          <cell r="L118">
            <v>1.6</v>
          </cell>
          <cell r="M118">
            <v>5</v>
          </cell>
          <cell r="N118">
            <v>30</v>
          </cell>
          <cell r="O118">
            <v>14.3</v>
          </cell>
          <cell r="P118">
            <v>41.4</v>
          </cell>
          <cell r="Q118">
            <v>30</v>
          </cell>
          <cell r="R118">
            <v>14.3</v>
          </cell>
          <cell r="S118">
            <v>41.2</v>
          </cell>
          <cell r="U118" t="str">
            <v>ГРП</v>
          </cell>
          <cell r="W118" t="str">
            <v>инт.ЮК 4-5 2598-2624м,ВЦ,ПП,ОПЗ</v>
          </cell>
        </row>
        <row r="119">
          <cell r="B119">
            <v>5587</v>
          </cell>
          <cell r="C119">
            <v>118</v>
          </cell>
          <cell r="F119" t="str">
            <v>УПНПиКРС</v>
          </cell>
          <cell r="G119">
            <v>250</v>
          </cell>
          <cell r="H119" t="str">
            <v>Ф/ЭЦН</v>
          </cell>
          <cell r="I119" t="str">
            <v>бд</v>
          </cell>
          <cell r="J119">
            <v>34883</v>
          </cell>
          <cell r="K119">
            <v>17</v>
          </cell>
          <cell r="L119">
            <v>1</v>
          </cell>
          <cell r="M119">
            <v>93</v>
          </cell>
          <cell r="N119">
            <v>30</v>
          </cell>
          <cell r="O119">
            <v>12</v>
          </cell>
          <cell r="P119">
            <v>51</v>
          </cell>
          <cell r="Q119">
            <v>30</v>
          </cell>
          <cell r="R119">
            <v>12</v>
          </cell>
          <cell r="S119">
            <v>50.6</v>
          </cell>
          <cell r="T119">
            <v>10</v>
          </cell>
          <cell r="U119" t="str">
            <v>ГРП</v>
          </cell>
          <cell r="W119" t="str">
            <v>ВЗ,ПП,ОПЗ,сп Э-50 интер.ЮК 3-4 2693-2716м</v>
          </cell>
        </row>
        <row r="120">
          <cell r="B120">
            <v>5455</v>
          </cell>
          <cell r="C120">
            <v>102</v>
          </cell>
          <cell r="F120" t="str">
            <v>УПНПиКРС</v>
          </cell>
          <cell r="H120" t="str">
            <v>ШГН</v>
          </cell>
          <cell r="I120" t="str">
            <v>конс.</v>
          </cell>
          <cell r="N120">
            <v>50</v>
          </cell>
          <cell r="O120">
            <v>30</v>
          </cell>
          <cell r="P120">
            <v>26.5</v>
          </cell>
          <cell r="Q120">
            <v>50</v>
          </cell>
          <cell r="R120">
            <v>30</v>
          </cell>
          <cell r="S120">
            <v>25.9</v>
          </cell>
          <cell r="U120" t="str">
            <v>ГРП</v>
          </cell>
          <cell r="W120" t="str">
            <v>Л.А.ВЦ, РИР ЮК-10, ПР к ГРП, ГРП ЮК-2, осв.</v>
          </cell>
        </row>
        <row r="121">
          <cell r="B121">
            <v>5263</v>
          </cell>
          <cell r="C121">
            <v>133</v>
          </cell>
          <cell r="F121" t="str">
            <v>УПНПиКРС</v>
          </cell>
          <cell r="G121">
            <v>255</v>
          </cell>
          <cell r="H121" t="str">
            <v>ЭЦН</v>
          </cell>
          <cell r="I121" t="str">
            <v>бд</v>
          </cell>
          <cell r="J121">
            <v>33725</v>
          </cell>
          <cell r="K121">
            <v>10</v>
          </cell>
          <cell r="L121">
            <v>1.6</v>
          </cell>
          <cell r="M121">
            <v>80</v>
          </cell>
          <cell r="N121">
            <v>30</v>
          </cell>
          <cell r="O121">
            <v>12</v>
          </cell>
          <cell r="P121">
            <v>51</v>
          </cell>
          <cell r="Q121">
            <v>30</v>
          </cell>
          <cell r="R121">
            <v>12</v>
          </cell>
          <cell r="S121">
            <v>50.6</v>
          </cell>
          <cell r="T121">
            <v>13</v>
          </cell>
          <cell r="U121" t="str">
            <v>ГРП</v>
          </cell>
          <cell r="W121" t="str">
            <v>ЛА ( с НКТ ),инт.ЮК-4 2454-2462,ЮК-5 2408-2493м,при невозм.ЛА-ЗБС 2-го ( двустволка ),ЮК-10-2т,ЮК-4-12 т</v>
          </cell>
        </row>
        <row r="123">
          <cell r="B123">
            <v>3054</v>
          </cell>
          <cell r="C123">
            <v>51</v>
          </cell>
          <cell r="F123" t="str">
            <v>УПНПиКРС</v>
          </cell>
          <cell r="G123">
            <v>300</v>
          </cell>
          <cell r="H123" t="str">
            <v>нагнет.</v>
          </cell>
          <cell r="I123" t="str">
            <v>бд</v>
          </cell>
          <cell r="J123">
            <v>37016</v>
          </cell>
          <cell r="K123">
            <v>950</v>
          </cell>
          <cell r="L123">
            <v>0</v>
          </cell>
          <cell r="M123">
            <v>0</v>
          </cell>
          <cell r="N123">
            <v>30</v>
          </cell>
          <cell r="O123">
            <v>12</v>
          </cell>
          <cell r="P123">
            <v>51</v>
          </cell>
          <cell r="Q123">
            <v>30</v>
          </cell>
          <cell r="R123">
            <v>12</v>
          </cell>
          <cell r="S123">
            <v>50.6</v>
          </cell>
          <cell r="U123" t="str">
            <v>ГРП</v>
          </cell>
          <cell r="W123" t="str">
            <v>Инт. 2676-2688</v>
          </cell>
        </row>
        <row r="124">
          <cell r="B124">
            <v>2974</v>
          </cell>
          <cell r="C124">
            <v>46</v>
          </cell>
          <cell r="F124" t="str">
            <v>УПНПиКРС</v>
          </cell>
          <cell r="G124">
            <v>295</v>
          </cell>
          <cell r="H124" t="str">
            <v>нагнет.</v>
          </cell>
          <cell r="I124" t="str">
            <v>бд</v>
          </cell>
          <cell r="J124">
            <v>36210</v>
          </cell>
          <cell r="K124">
            <v>360</v>
          </cell>
          <cell r="L124">
            <v>0</v>
          </cell>
          <cell r="N124">
            <v>30</v>
          </cell>
          <cell r="O124">
            <v>12</v>
          </cell>
          <cell r="P124">
            <v>51</v>
          </cell>
          <cell r="Q124">
            <v>30</v>
          </cell>
          <cell r="R124">
            <v>12</v>
          </cell>
          <cell r="S124">
            <v>50.6</v>
          </cell>
          <cell r="U124" t="str">
            <v>ГРП</v>
          </cell>
          <cell r="W124" t="str">
            <v>РИР Э/К, ГИС (и.о.) интерп2556-2580</v>
          </cell>
        </row>
        <row r="125">
          <cell r="B125">
            <v>2956</v>
          </cell>
          <cell r="C125">
            <v>46</v>
          </cell>
          <cell r="F125" t="str">
            <v>УПНПиКРС</v>
          </cell>
          <cell r="G125">
            <v>265</v>
          </cell>
          <cell r="H125" t="str">
            <v>фон</v>
          </cell>
          <cell r="I125" t="str">
            <v>бд</v>
          </cell>
          <cell r="J125">
            <v>34851</v>
          </cell>
          <cell r="K125">
            <v>3</v>
          </cell>
          <cell r="L125">
            <v>2.2999999999999998</v>
          </cell>
          <cell r="N125">
            <v>30</v>
          </cell>
          <cell r="O125">
            <v>12</v>
          </cell>
          <cell r="P125">
            <v>51</v>
          </cell>
          <cell r="Q125">
            <v>30</v>
          </cell>
          <cell r="R125">
            <v>12</v>
          </cell>
          <cell r="S125">
            <v>50.6</v>
          </cell>
          <cell r="U125" t="str">
            <v>ГРП</v>
          </cell>
          <cell r="W125" t="str">
            <v>РИР ЮК-11,перевод на ЮК-10 ,сп Н-57,интер.ЮК-3 2500-2520м</v>
          </cell>
        </row>
        <row r="127">
          <cell r="B127">
            <v>2836</v>
          </cell>
          <cell r="C127">
            <v>125</v>
          </cell>
          <cell r="F127" t="str">
            <v>УПНПиКРС</v>
          </cell>
          <cell r="G127">
            <v>240</v>
          </cell>
          <cell r="H127" t="str">
            <v>ШГН</v>
          </cell>
          <cell r="I127" t="str">
            <v>конс.</v>
          </cell>
          <cell r="J127">
            <v>35684</v>
          </cell>
          <cell r="K127">
            <v>4</v>
          </cell>
          <cell r="L127">
            <v>1.1000000000000001</v>
          </cell>
          <cell r="N127">
            <v>30</v>
          </cell>
          <cell r="O127">
            <v>12</v>
          </cell>
          <cell r="P127">
            <v>51</v>
          </cell>
          <cell r="Q127">
            <v>30</v>
          </cell>
          <cell r="R127">
            <v>12</v>
          </cell>
          <cell r="S127">
            <v>50.6</v>
          </cell>
          <cell r="U127" t="str">
            <v>ГРП</v>
          </cell>
          <cell r="W127" t="str">
            <v>ГИС-2,при отс.перетоков-опытно-пром.работы,ГРП п.А</v>
          </cell>
        </row>
        <row r="128">
          <cell r="B128">
            <v>2725</v>
          </cell>
          <cell r="C128">
            <v>146</v>
          </cell>
          <cell r="F128" t="str">
            <v>УПНПиКРС</v>
          </cell>
          <cell r="G128">
            <v>350</v>
          </cell>
          <cell r="H128" t="str">
            <v>нагнет.</v>
          </cell>
          <cell r="I128" t="str">
            <v>бд</v>
          </cell>
          <cell r="J128">
            <v>36627</v>
          </cell>
          <cell r="K128">
            <v>134</v>
          </cell>
          <cell r="L128">
            <v>0</v>
          </cell>
          <cell r="N128">
            <v>30</v>
          </cell>
          <cell r="O128">
            <v>12</v>
          </cell>
          <cell r="P128">
            <v>51</v>
          </cell>
          <cell r="Q128">
            <v>30</v>
          </cell>
          <cell r="R128">
            <v>12</v>
          </cell>
          <cell r="S128">
            <v>50.6</v>
          </cell>
          <cell r="U128" t="str">
            <v>ГРП</v>
          </cell>
          <cell r="W128" t="str">
            <v>ИР ЮК-10,ДП 2593-2602,2620-2630 ГРП</v>
          </cell>
        </row>
        <row r="129">
          <cell r="B129">
            <v>5318</v>
          </cell>
          <cell r="C129">
            <v>134</v>
          </cell>
          <cell r="F129" t="str">
            <v>УПНПиКРС</v>
          </cell>
          <cell r="G129">
            <v>242</v>
          </cell>
          <cell r="H129" t="str">
            <v>нагнет.</v>
          </cell>
          <cell r="I129" t="str">
            <v>бд</v>
          </cell>
          <cell r="J129">
            <v>36799</v>
          </cell>
          <cell r="K129">
            <v>120</v>
          </cell>
          <cell r="N129">
            <v>150</v>
          </cell>
          <cell r="Q129">
            <v>150</v>
          </cell>
          <cell r="R129">
            <v>0</v>
          </cell>
          <cell r="U129" t="str">
            <v>нг</v>
          </cell>
          <cell r="W129" t="str">
            <v>Спуск и привязка пакера, Запуск в ППД</v>
          </cell>
        </row>
        <row r="130">
          <cell r="B130">
            <v>5338</v>
          </cell>
          <cell r="C130">
            <v>141</v>
          </cell>
          <cell r="F130" t="str">
            <v>УПНПиКРС</v>
          </cell>
          <cell r="G130">
            <v>275</v>
          </cell>
          <cell r="H130" t="str">
            <v>нагнет.</v>
          </cell>
          <cell r="I130" t="str">
            <v>бд</v>
          </cell>
          <cell r="J130">
            <v>36711</v>
          </cell>
          <cell r="K130">
            <v>230</v>
          </cell>
          <cell r="N130">
            <v>230</v>
          </cell>
          <cell r="Q130">
            <v>230</v>
          </cell>
          <cell r="U130" t="str">
            <v>нг</v>
          </cell>
          <cell r="W130" t="str">
            <v>Ревизия пакера</v>
          </cell>
        </row>
        <row r="131">
          <cell r="B131">
            <v>5840</v>
          </cell>
          <cell r="C131">
            <v>109</v>
          </cell>
          <cell r="F131" t="str">
            <v>УПНПиКРС</v>
          </cell>
          <cell r="G131">
            <v>285</v>
          </cell>
          <cell r="H131" t="str">
            <v>нагнет.</v>
          </cell>
          <cell r="I131" t="str">
            <v>конс.</v>
          </cell>
          <cell r="J131">
            <v>35333</v>
          </cell>
          <cell r="K131">
            <v>30</v>
          </cell>
          <cell r="Q131">
            <v>0</v>
          </cell>
          <cell r="U131" t="str">
            <v>нг</v>
          </cell>
          <cell r="W131" t="str">
            <v>Прмывка забоя, пуск под закачку</v>
          </cell>
        </row>
        <row r="132">
          <cell r="B132">
            <v>5371</v>
          </cell>
          <cell r="C132">
            <v>102</v>
          </cell>
          <cell r="F132" t="str">
            <v>УПНПиКРС</v>
          </cell>
          <cell r="G132">
            <v>255</v>
          </cell>
          <cell r="H132" t="str">
            <v>нагнет.</v>
          </cell>
          <cell r="I132" t="str">
            <v>бд</v>
          </cell>
          <cell r="J132">
            <v>35779</v>
          </cell>
          <cell r="K132">
            <v>240</v>
          </cell>
          <cell r="L132">
            <v>0</v>
          </cell>
          <cell r="Q132">
            <v>0</v>
          </cell>
          <cell r="U132" t="str">
            <v>нг</v>
          </cell>
          <cell r="W132" t="str">
            <v>Прмывка забоя, пуск под закачку</v>
          </cell>
        </row>
        <row r="133">
          <cell r="B133">
            <v>5372</v>
          </cell>
          <cell r="C133">
            <v>102</v>
          </cell>
          <cell r="F133" t="str">
            <v>УПНПиКРС</v>
          </cell>
          <cell r="G133">
            <v>250</v>
          </cell>
          <cell r="H133" t="str">
            <v>нагнет.</v>
          </cell>
          <cell r="I133" t="str">
            <v>бд</v>
          </cell>
          <cell r="J133">
            <v>32843</v>
          </cell>
          <cell r="K133">
            <v>130</v>
          </cell>
          <cell r="L133">
            <v>0</v>
          </cell>
          <cell r="Q133">
            <v>0</v>
          </cell>
          <cell r="U133" t="str">
            <v>нг</v>
          </cell>
          <cell r="W133" t="str">
            <v>Л,А. Прмывка забоя, пуск под закачку</v>
          </cell>
        </row>
        <row r="134">
          <cell r="B134">
            <v>5373</v>
          </cell>
          <cell r="C134">
            <v>103</v>
          </cell>
          <cell r="F134" t="str">
            <v>УПНПиКРС</v>
          </cell>
          <cell r="G134">
            <v>239</v>
          </cell>
          <cell r="H134" t="str">
            <v>нагнет.</v>
          </cell>
          <cell r="I134" t="str">
            <v>конс.</v>
          </cell>
          <cell r="J134">
            <v>34474</v>
          </cell>
          <cell r="K134">
            <v>375</v>
          </cell>
          <cell r="L134">
            <v>0</v>
          </cell>
          <cell r="Q134">
            <v>0</v>
          </cell>
          <cell r="U134" t="str">
            <v>нг</v>
          </cell>
          <cell r="W134" t="str">
            <v>Прмывка забоя, пуск под закачку</v>
          </cell>
        </row>
        <row r="135">
          <cell r="B135">
            <v>5374</v>
          </cell>
          <cell r="C135">
            <v>103</v>
          </cell>
          <cell r="F135" t="str">
            <v>УПНПиКРС</v>
          </cell>
          <cell r="G135">
            <v>241</v>
          </cell>
          <cell r="H135" t="str">
            <v>нагнет.</v>
          </cell>
          <cell r="I135" t="str">
            <v>конс.</v>
          </cell>
          <cell r="J135">
            <v>34474</v>
          </cell>
          <cell r="K135">
            <v>180</v>
          </cell>
          <cell r="L135">
            <v>0</v>
          </cell>
          <cell r="Q135">
            <v>0</v>
          </cell>
          <cell r="U135" t="str">
            <v>нг</v>
          </cell>
          <cell r="W135" t="str">
            <v>Прмывка забоя, пуск под закачку</v>
          </cell>
        </row>
        <row r="136">
          <cell r="B136">
            <v>5626</v>
          </cell>
          <cell r="C136">
            <v>119</v>
          </cell>
          <cell r="G136">
            <v>252</v>
          </cell>
          <cell r="H136" t="str">
            <v>нагнет.</v>
          </cell>
          <cell r="I136" t="str">
            <v>бд</v>
          </cell>
          <cell r="N136">
            <v>150</v>
          </cell>
          <cell r="Q136">
            <v>150</v>
          </cell>
          <cell r="T136">
            <v>37391</v>
          </cell>
          <cell r="U136" t="str">
            <v>нг</v>
          </cell>
          <cell r="W136" t="str">
            <v>Прмывка забоя, пуск под закачку</v>
          </cell>
        </row>
        <row r="137">
          <cell r="B137">
            <v>5629</v>
          </cell>
          <cell r="C137">
            <v>120</v>
          </cell>
          <cell r="G137">
            <v>255</v>
          </cell>
          <cell r="H137" t="str">
            <v>нагнет.</v>
          </cell>
          <cell r="I137" t="str">
            <v>бд</v>
          </cell>
          <cell r="N137">
            <v>150</v>
          </cell>
          <cell r="Q137">
            <v>150</v>
          </cell>
          <cell r="T137">
            <v>37386</v>
          </cell>
          <cell r="U137" t="str">
            <v>нг</v>
          </cell>
          <cell r="W137" t="str">
            <v>Прмывка забоя, пуск под закачку</v>
          </cell>
        </row>
        <row r="138">
          <cell r="B138">
            <v>5631</v>
          </cell>
          <cell r="C138">
            <v>120</v>
          </cell>
          <cell r="G138">
            <v>261</v>
          </cell>
          <cell r="H138" t="str">
            <v>нагнет.</v>
          </cell>
          <cell r="I138" t="str">
            <v>бд</v>
          </cell>
          <cell r="N138">
            <v>150</v>
          </cell>
          <cell r="Q138">
            <v>150</v>
          </cell>
          <cell r="T138">
            <v>37386</v>
          </cell>
          <cell r="U138" t="str">
            <v>нг</v>
          </cell>
          <cell r="W138" t="str">
            <v>Прмывка забоя, пуск под закачку</v>
          </cell>
        </row>
        <row r="144">
          <cell r="B144" t="str">
            <v>Начальник ГО Красноленинского УНП</v>
          </cell>
          <cell r="W144" t="str">
            <v>И.Н.Авсянко</v>
          </cell>
        </row>
        <row r="146">
          <cell r="B146">
            <v>1</v>
          </cell>
          <cell r="C146">
            <v>2</v>
          </cell>
          <cell r="D146">
            <v>3</v>
          </cell>
          <cell r="E146">
            <v>4</v>
          </cell>
          <cell r="F146">
            <v>5</v>
          </cell>
          <cell r="G146">
            <v>6</v>
          </cell>
          <cell r="H146">
            <v>7</v>
          </cell>
          <cell r="I146">
            <v>8</v>
          </cell>
          <cell r="J146">
            <v>9</v>
          </cell>
          <cell r="K146">
            <v>10</v>
          </cell>
          <cell r="L146">
            <v>11</v>
          </cell>
          <cell r="M146">
            <v>12</v>
          </cell>
          <cell r="N146">
            <v>13</v>
          </cell>
          <cell r="O146">
            <v>14</v>
          </cell>
          <cell r="P146">
            <v>15</v>
          </cell>
          <cell r="Q146">
            <v>16</v>
          </cell>
          <cell r="R146">
            <v>17</v>
          </cell>
          <cell r="S146">
            <v>18</v>
          </cell>
          <cell r="T146">
            <v>19</v>
          </cell>
          <cell r="U146">
            <v>20</v>
          </cell>
          <cell r="W146">
            <v>22</v>
          </cell>
          <cell r="X146">
            <v>23</v>
          </cell>
        </row>
        <row r="147">
          <cell r="B147">
            <v>3170</v>
          </cell>
          <cell r="C147">
            <v>55</v>
          </cell>
          <cell r="F147" t="str">
            <v>прс</v>
          </cell>
          <cell r="H147" t="str">
            <v>эцн</v>
          </cell>
          <cell r="I147" t="str">
            <v>конс.</v>
          </cell>
          <cell r="K147">
            <v>0</v>
          </cell>
          <cell r="L147">
            <v>0</v>
          </cell>
          <cell r="M147">
            <v>0</v>
          </cell>
          <cell r="N147">
            <v>50</v>
          </cell>
          <cell r="O147">
            <v>4.0999999999999996</v>
          </cell>
          <cell r="P147">
            <v>90</v>
          </cell>
          <cell r="Q147">
            <v>14</v>
          </cell>
          <cell r="R147">
            <v>8.1</v>
          </cell>
          <cell r="S147">
            <v>29</v>
          </cell>
          <cell r="T147">
            <v>37862</v>
          </cell>
          <cell r="W147" t="str">
            <v>ВЦ,см.Э-50</v>
          </cell>
        </row>
        <row r="148">
          <cell r="B148">
            <v>3402</v>
          </cell>
          <cell r="C148">
            <v>68</v>
          </cell>
          <cell r="F148" t="str">
            <v>прс</v>
          </cell>
          <cell r="H148" t="str">
            <v>эцн</v>
          </cell>
          <cell r="I148" t="str">
            <v>действ.</v>
          </cell>
          <cell r="K148">
            <v>120</v>
          </cell>
          <cell r="L148">
            <v>6.8</v>
          </cell>
          <cell r="M148">
            <v>93</v>
          </cell>
          <cell r="N148">
            <v>208</v>
          </cell>
          <cell r="O148">
            <v>11.9</v>
          </cell>
          <cell r="P148">
            <v>93</v>
          </cell>
          <cell r="Q148">
            <v>88</v>
          </cell>
          <cell r="R148">
            <v>5.1000000000000005</v>
          </cell>
          <cell r="S148">
            <v>92.8</v>
          </cell>
          <cell r="T148">
            <v>37884</v>
          </cell>
          <cell r="U148" t="str">
            <v>опт</v>
          </cell>
          <cell r="W148" t="str">
            <v>Смена  Э-125/Э-200</v>
          </cell>
        </row>
        <row r="149">
          <cell r="B149">
            <v>5267</v>
          </cell>
          <cell r="T149">
            <v>37811</v>
          </cell>
          <cell r="X149">
            <v>37823</v>
          </cell>
        </row>
        <row r="150">
          <cell r="B150">
            <v>4378</v>
          </cell>
          <cell r="C150" t="str">
            <v>216б</v>
          </cell>
          <cell r="F150" t="str">
            <v>ПРС</v>
          </cell>
          <cell r="H150" t="str">
            <v>ШГН</v>
          </cell>
          <cell r="I150" t="str">
            <v>действ.</v>
          </cell>
          <cell r="X150" t="str">
            <v>15,/07/2003</v>
          </cell>
        </row>
        <row r="151">
          <cell r="B151">
            <v>11051</v>
          </cell>
          <cell r="C151" t="str">
            <v>100б</v>
          </cell>
          <cell r="F151" t="str">
            <v>ПРС</v>
          </cell>
          <cell r="H151" t="str">
            <v>фон</v>
          </cell>
          <cell r="I151" t="str">
            <v>конс.</v>
          </cell>
          <cell r="U151" t="str">
            <v>ВЦ</v>
          </cell>
          <cell r="W151" t="str">
            <v>ВЦ,см.вор/Э-30</v>
          </cell>
        </row>
        <row r="152">
          <cell r="B152">
            <v>11083</v>
          </cell>
          <cell r="C152" t="str">
            <v>308б</v>
          </cell>
          <cell r="F152" t="str">
            <v>ПРС</v>
          </cell>
          <cell r="H152" t="str">
            <v>ЭЦН</v>
          </cell>
          <cell r="I152" t="str">
            <v>бд</v>
          </cell>
          <cell r="U152" t="str">
            <v>ВЦ</v>
          </cell>
          <cell r="W152" t="str">
            <v>ВЦ,см.Э-50/Э-30</v>
          </cell>
        </row>
        <row r="153">
          <cell r="B153">
            <v>3503</v>
          </cell>
          <cell r="C153" t="str">
            <v>98б</v>
          </cell>
          <cell r="F153" t="str">
            <v>ПРС</v>
          </cell>
          <cell r="H153" t="str">
            <v>ЭЦН</v>
          </cell>
          <cell r="I153" t="str">
            <v>конс.</v>
          </cell>
          <cell r="U153" t="str">
            <v>ВЦ</v>
          </cell>
          <cell r="W153" t="str">
            <v>ВЦ КОПС,см.вор/Э-30</v>
          </cell>
        </row>
        <row r="154">
          <cell r="B154">
            <v>2787</v>
          </cell>
          <cell r="C154">
            <v>145</v>
          </cell>
          <cell r="F154" t="str">
            <v>ПРС</v>
          </cell>
          <cell r="H154" t="str">
            <v>ШГН</v>
          </cell>
          <cell r="I154" t="str">
            <v>бдт</v>
          </cell>
          <cell r="J154">
            <v>37671</v>
          </cell>
          <cell r="K154">
            <v>0</v>
          </cell>
          <cell r="L154">
            <v>0</v>
          </cell>
          <cell r="M154">
            <v>0</v>
          </cell>
          <cell r="N154">
            <v>14</v>
          </cell>
          <cell r="O154">
            <v>8.1</v>
          </cell>
          <cell r="P154">
            <v>29</v>
          </cell>
          <cell r="Q154">
            <v>14</v>
          </cell>
          <cell r="R154">
            <v>8.1</v>
          </cell>
          <cell r="S154">
            <v>29</v>
          </cell>
          <cell r="T154">
            <v>37725</v>
          </cell>
          <cell r="U154" t="str">
            <v>ВЦД</v>
          </cell>
          <cell r="W154" t="str">
            <v>Смена НВ-44,"Э-пр"</v>
          </cell>
        </row>
        <row r="155">
          <cell r="B155">
            <v>5224</v>
          </cell>
          <cell r="C155">
            <v>145</v>
          </cell>
          <cell r="F155" t="str">
            <v>ПРС</v>
          </cell>
          <cell r="H155" t="str">
            <v>ЭЦН</v>
          </cell>
          <cell r="I155" t="str">
            <v>конс.</v>
          </cell>
          <cell r="J155" t="str">
            <v>95г.</v>
          </cell>
          <cell r="K155">
            <v>0</v>
          </cell>
          <cell r="L155">
            <v>0</v>
          </cell>
          <cell r="M155">
            <v>0</v>
          </cell>
          <cell r="N155">
            <v>50</v>
          </cell>
          <cell r="O155">
            <v>4.0999999999999996</v>
          </cell>
          <cell r="P155">
            <v>90</v>
          </cell>
          <cell r="Q155">
            <v>50</v>
          </cell>
          <cell r="R155">
            <v>4.0999999999999996</v>
          </cell>
          <cell r="S155">
            <v>90</v>
          </cell>
          <cell r="T155">
            <v>37734</v>
          </cell>
          <cell r="U155" t="str">
            <v>ВЦ</v>
          </cell>
          <cell r="W155" t="str">
            <v>смена Э-50</v>
          </cell>
        </row>
        <row r="156">
          <cell r="B156">
            <v>3837</v>
          </cell>
          <cell r="C156">
            <v>97</v>
          </cell>
          <cell r="F156" t="str">
            <v>ПРС</v>
          </cell>
          <cell r="H156" t="str">
            <v>ЭЦН</v>
          </cell>
          <cell r="I156" t="str">
            <v>бд</v>
          </cell>
          <cell r="K156">
            <v>0</v>
          </cell>
          <cell r="L156">
            <v>0</v>
          </cell>
          <cell r="M156">
            <v>0</v>
          </cell>
          <cell r="N156">
            <v>80</v>
          </cell>
          <cell r="O156">
            <v>4.5999999999999996</v>
          </cell>
          <cell r="P156">
            <v>93</v>
          </cell>
          <cell r="Q156">
            <v>80</v>
          </cell>
          <cell r="R156">
            <v>4.5999999999999996</v>
          </cell>
          <cell r="S156">
            <v>93</v>
          </cell>
          <cell r="T156">
            <v>37718</v>
          </cell>
          <cell r="U156" t="str">
            <v>ВЦД</v>
          </cell>
          <cell r="W156" t="str">
            <v>Смена Э80/Э-80</v>
          </cell>
        </row>
        <row r="157">
          <cell r="B157">
            <v>5565</v>
          </cell>
          <cell r="C157">
            <v>120</v>
          </cell>
          <cell r="F157" t="str">
            <v>ПРС</v>
          </cell>
          <cell r="H157" t="str">
            <v>ЭЦН</v>
          </cell>
          <cell r="I157" t="str">
            <v>бд</v>
          </cell>
          <cell r="K157">
            <v>0</v>
          </cell>
          <cell r="L157">
            <v>0</v>
          </cell>
          <cell r="M157">
            <v>0</v>
          </cell>
          <cell r="N157">
            <v>32</v>
          </cell>
          <cell r="O157">
            <v>3.1</v>
          </cell>
          <cell r="P157">
            <v>88</v>
          </cell>
          <cell r="Q157">
            <v>32</v>
          </cell>
          <cell r="R157">
            <v>3.1</v>
          </cell>
          <cell r="S157">
            <v>88</v>
          </cell>
          <cell r="T157">
            <v>37671</v>
          </cell>
          <cell r="U157" t="str">
            <v>бдп</v>
          </cell>
          <cell r="W157" t="str">
            <v>Смена Э50/Э-30</v>
          </cell>
        </row>
        <row r="158">
          <cell r="B158">
            <v>4262</v>
          </cell>
          <cell r="C158">
            <v>200</v>
          </cell>
          <cell r="F158" t="str">
            <v>ПРС</v>
          </cell>
          <cell r="H158" t="str">
            <v>ЭЦН</v>
          </cell>
          <cell r="I158" t="str">
            <v>действ.</v>
          </cell>
          <cell r="K158">
            <v>268</v>
          </cell>
          <cell r="L158">
            <v>15.3</v>
          </cell>
          <cell r="M158">
            <v>93</v>
          </cell>
          <cell r="N158">
            <v>398</v>
          </cell>
          <cell r="O158">
            <v>22.7</v>
          </cell>
          <cell r="P158">
            <v>93</v>
          </cell>
          <cell r="Q158">
            <v>130</v>
          </cell>
          <cell r="R158">
            <v>7.3999999999999986</v>
          </cell>
          <cell r="S158">
            <v>93</v>
          </cell>
          <cell r="T158">
            <v>37695</v>
          </cell>
          <cell r="U158" t="str">
            <v>опт</v>
          </cell>
          <cell r="W158" t="str">
            <v>Смена Э-250/400</v>
          </cell>
        </row>
        <row r="159">
          <cell r="B159">
            <v>3666</v>
          </cell>
          <cell r="C159">
            <v>301</v>
          </cell>
          <cell r="F159" t="str">
            <v>ПРС</v>
          </cell>
          <cell r="H159" t="str">
            <v>ЭЦН</v>
          </cell>
          <cell r="I159" t="str">
            <v>действ.</v>
          </cell>
          <cell r="K159">
            <v>85</v>
          </cell>
          <cell r="L159">
            <v>4.2</v>
          </cell>
          <cell r="M159">
            <v>94</v>
          </cell>
          <cell r="N159">
            <v>237</v>
          </cell>
          <cell r="O159">
            <v>11.7</v>
          </cell>
          <cell r="P159">
            <v>93.95</v>
          </cell>
          <cell r="Q159">
            <v>152</v>
          </cell>
          <cell r="R159">
            <v>7.4999999999999991</v>
          </cell>
          <cell r="S159">
            <v>93.9</v>
          </cell>
          <cell r="T159">
            <v>37686</v>
          </cell>
          <cell r="U159" t="str">
            <v>опт</v>
          </cell>
          <cell r="W159" t="str">
            <v>Смена Э-125/250</v>
          </cell>
        </row>
        <row r="160">
          <cell r="B160">
            <v>3027</v>
          </cell>
          <cell r="C160">
            <v>52</v>
          </cell>
          <cell r="F160" t="str">
            <v>ПРС</v>
          </cell>
          <cell r="H160" t="str">
            <v>ЭЦН</v>
          </cell>
          <cell r="I160" t="str">
            <v>действ.</v>
          </cell>
          <cell r="K160">
            <v>19</v>
          </cell>
          <cell r="L160">
            <v>9.3000000000000007</v>
          </cell>
          <cell r="M160">
            <v>40</v>
          </cell>
          <cell r="N160">
            <v>29.6</v>
          </cell>
          <cell r="O160">
            <v>14.5</v>
          </cell>
          <cell r="P160">
            <v>40</v>
          </cell>
          <cell r="Q160">
            <v>10.600000000000001</v>
          </cell>
          <cell r="R160">
            <v>5.1999999999999993</v>
          </cell>
          <cell r="S160">
            <v>39.4</v>
          </cell>
          <cell r="T160">
            <v>37721</v>
          </cell>
          <cell r="U160" t="str">
            <v>опт</v>
          </cell>
          <cell r="W160" t="str">
            <v>Смена НВ-44/Э-30</v>
          </cell>
        </row>
        <row r="161">
          <cell r="B161">
            <v>2857</v>
          </cell>
          <cell r="C161">
            <v>42</v>
          </cell>
          <cell r="F161" t="str">
            <v>ПРС</v>
          </cell>
          <cell r="H161" t="str">
            <v>ШГН</v>
          </cell>
          <cell r="I161" t="str">
            <v>действ.</v>
          </cell>
          <cell r="K161">
            <v>42</v>
          </cell>
          <cell r="L161">
            <v>22.6</v>
          </cell>
          <cell r="M161">
            <v>34</v>
          </cell>
          <cell r="N161">
            <v>54.1</v>
          </cell>
          <cell r="O161">
            <v>29.1</v>
          </cell>
          <cell r="P161">
            <v>34</v>
          </cell>
          <cell r="Q161">
            <v>12.100000000000001</v>
          </cell>
          <cell r="R161">
            <v>6.5</v>
          </cell>
          <cell r="S161">
            <v>33.700000000000003</v>
          </cell>
          <cell r="T161">
            <v>37848</v>
          </cell>
          <cell r="U161" t="str">
            <v>опт</v>
          </cell>
          <cell r="W161" t="str">
            <v>Смена Э-30/50</v>
          </cell>
        </row>
        <row r="162">
          <cell r="B162">
            <v>5322</v>
          </cell>
          <cell r="C162">
            <v>135</v>
          </cell>
          <cell r="F162" t="str">
            <v>ПРС</v>
          </cell>
          <cell r="H162" t="str">
            <v>ЭЦН</v>
          </cell>
          <cell r="I162" t="str">
            <v>действ.</v>
          </cell>
          <cell r="K162">
            <v>138</v>
          </cell>
          <cell r="L162">
            <v>12.4</v>
          </cell>
          <cell r="M162">
            <v>89</v>
          </cell>
          <cell r="N162">
            <v>216</v>
          </cell>
          <cell r="O162">
            <v>17.600000000000001</v>
          </cell>
          <cell r="P162">
            <v>90</v>
          </cell>
          <cell r="Q162">
            <v>78</v>
          </cell>
          <cell r="R162">
            <v>5.2000000000000011</v>
          </cell>
          <cell r="S162">
            <v>91.8</v>
          </cell>
          <cell r="T162">
            <v>37731</v>
          </cell>
          <cell r="U162" t="str">
            <v>опт</v>
          </cell>
          <cell r="W162" t="str">
            <v>Смена Э-125/200</v>
          </cell>
        </row>
        <row r="163">
          <cell r="B163">
            <v>3815</v>
          </cell>
          <cell r="C163">
            <v>87</v>
          </cell>
          <cell r="F163" t="str">
            <v>ПРС</v>
          </cell>
          <cell r="H163" t="str">
            <v>фон</v>
          </cell>
          <cell r="I163" t="str">
            <v>бд</v>
          </cell>
          <cell r="K163">
            <v>0</v>
          </cell>
          <cell r="L163">
            <v>0</v>
          </cell>
          <cell r="M163">
            <v>0</v>
          </cell>
          <cell r="N163">
            <v>80</v>
          </cell>
          <cell r="O163">
            <v>4.5999999999999996</v>
          </cell>
          <cell r="P163">
            <v>93</v>
          </cell>
          <cell r="Q163">
            <v>80</v>
          </cell>
          <cell r="R163">
            <v>4.5999999999999996</v>
          </cell>
          <cell r="S163">
            <v>92.9</v>
          </cell>
          <cell r="T163">
            <v>37741</v>
          </cell>
          <cell r="U163" t="str">
            <v>ВЦД</v>
          </cell>
          <cell r="W163" t="str">
            <v>ВЦ,смена вор./Э-80</v>
          </cell>
        </row>
        <row r="164">
          <cell r="B164">
            <v>5240</v>
          </cell>
          <cell r="C164">
            <v>134</v>
          </cell>
          <cell r="F164" t="str">
            <v>ПРС</v>
          </cell>
          <cell r="H164" t="str">
            <v>ШГН</v>
          </cell>
          <cell r="I164" t="str">
            <v>бдт</v>
          </cell>
          <cell r="K164">
            <v>0</v>
          </cell>
          <cell r="L164">
            <v>0</v>
          </cell>
          <cell r="M164">
            <v>0</v>
          </cell>
          <cell r="N164">
            <v>9</v>
          </cell>
          <cell r="O164">
            <v>6.6</v>
          </cell>
          <cell r="P164">
            <v>10</v>
          </cell>
          <cell r="Q164">
            <v>9</v>
          </cell>
          <cell r="R164">
            <v>6.6</v>
          </cell>
          <cell r="S164">
            <v>9.5</v>
          </cell>
          <cell r="T164">
            <v>37679</v>
          </cell>
          <cell r="U164" t="str">
            <v>бдт</v>
          </cell>
          <cell r="W164" t="str">
            <v>Смена вор/Н-44</v>
          </cell>
        </row>
        <row r="165">
          <cell r="B165">
            <v>5644</v>
          </cell>
          <cell r="C165">
            <v>126</v>
          </cell>
          <cell r="F165" t="str">
            <v>КРС</v>
          </cell>
          <cell r="H165" t="str">
            <v>ЭЦН</v>
          </cell>
          <cell r="I165" t="str">
            <v>действ.</v>
          </cell>
          <cell r="K165">
            <v>18</v>
          </cell>
          <cell r="L165">
            <v>12.8</v>
          </cell>
          <cell r="M165">
            <v>13</v>
          </cell>
          <cell r="N165">
            <v>25</v>
          </cell>
          <cell r="O165">
            <v>17.7</v>
          </cell>
          <cell r="P165">
            <v>13</v>
          </cell>
          <cell r="Q165">
            <v>7</v>
          </cell>
          <cell r="R165">
            <v>4.8999999999999986</v>
          </cell>
          <cell r="S165">
            <v>13.6</v>
          </cell>
          <cell r="T165">
            <v>37650</v>
          </cell>
          <cell r="U165" t="str">
            <v>ОПЗД</v>
          </cell>
        </row>
        <row r="166">
          <cell r="B166">
            <v>2695</v>
          </cell>
          <cell r="C166">
            <v>163</v>
          </cell>
          <cell r="F166" t="str">
            <v>ПРС</v>
          </cell>
          <cell r="H166" t="str">
            <v>фон</v>
          </cell>
          <cell r="I166" t="str">
            <v>конс.</v>
          </cell>
          <cell r="J166">
            <v>33725</v>
          </cell>
          <cell r="K166">
            <v>0</v>
          </cell>
          <cell r="L166">
            <v>0</v>
          </cell>
          <cell r="M166">
            <v>0</v>
          </cell>
          <cell r="N166">
            <v>15</v>
          </cell>
          <cell r="O166">
            <v>8.6</v>
          </cell>
          <cell r="P166">
            <v>30</v>
          </cell>
          <cell r="Q166">
            <v>15</v>
          </cell>
          <cell r="R166">
            <v>8.6</v>
          </cell>
          <cell r="S166">
            <v>29.2</v>
          </cell>
          <cell r="T166">
            <v>37650</v>
          </cell>
          <cell r="U166" t="str">
            <v>опт</v>
          </cell>
          <cell r="W166" t="str">
            <v>смена Н-57/Э-30</v>
          </cell>
        </row>
        <row r="167">
          <cell r="B167">
            <v>3626</v>
          </cell>
          <cell r="C167">
            <v>301</v>
          </cell>
          <cell r="F167" t="str">
            <v>ПРС</v>
          </cell>
          <cell r="G167">
            <v>240</v>
          </cell>
          <cell r="H167" t="str">
            <v>ЭЦН</v>
          </cell>
          <cell r="I167" t="str">
            <v>бд</v>
          </cell>
          <cell r="J167">
            <v>34121</v>
          </cell>
          <cell r="K167">
            <v>0</v>
          </cell>
          <cell r="L167">
            <v>0</v>
          </cell>
          <cell r="M167">
            <v>0</v>
          </cell>
          <cell r="N167">
            <v>125</v>
          </cell>
          <cell r="O167">
            <v>5.0999999999999996</v>
          </cell>
          <cell r="P167">
            <v>95</v>
          </cell>
          <cell r="Q167">
            <v>125</v>
          </cell>
          <cell r="R167">
            <v>5.0999999999999996</v>
          </cell>
          <cell r="S167">
            <v>95</v>
          </cell>
          <cell r="T167">
            <v>37664</v>
          </cell>
          <cell r="U167" t="str">
            <v>бдп</v>
          </cell>
        </row>
        <row r="168">
          <cell r="B168">
            <v>5611</v>
          </cell>
          <cell r="C168">
            <v>115</v>
          </cell>
          <cell r="F168" t="str">
            <v>ПРС</v>
          </cell>
          <cell r="H168" t="str">
            <v>ШГН</v>
          </cell>
          <cell r="I168" t="str">
            <v>действ.</v>
          </cell>
          <cell r="J168">
            <v>37640</v>
          </cell>
          <cell r="K168">
            <v>18</v>
          </cell>
          <cell r="L168">
            <v>8.1999999999999993</v>
          </cell>
          <cell r="M168">
            <v>44</v>
          </cell>
          <cell r="N168">
            <v>29</v>
          </cell>
          <cell r="O168">
            <v>13.2</v>
          </cell>
          <cell r="P168">
            <v>44</v>
          </cell>
          <cell r="Q168">
            <v>11</v>
          </cell>
          <cell r="R168">
            <v>5</v>
          </cell>
          <cell r="S168">
            <v>43.9</v>
          </cell>
          <cell r="T168">
            <v>37670</v>
          </cell>
          <cell r="U168" t="str">
            <v>опт</v>
          </cell>
        </row>
        <row r="169">
          <cell r="B169">
            <v>3424</v>
          </cell>
          <cell r="C169">
            <v>68</v>
          </cell>
          <cell r="F169" t="str">
            <v>Э-прогрев</v>
          </cell>
          <cell r="G169">
            <v>240</v>
          </cell>
          <cell r="H169" t="str">
            <v>ЭЦН</v>
          </cell>
          <cell r="I169" t="str">
            <v>конс.</v>
          </cell>
          <cell r="J169">
            <v>33939</v>
          </cell>
          <cell r="K169">
            <v>0</v>
          </cell>
          <cell r="L169">
            <v>0</v>
          </cell>
          <cell r="M169">
            <v>0</v>
          </cell>
          <cell r="N169">
            <v>125</v>
          </cell>
          <cell r="O169">
            <v>5.0999999999999996</v>
          </cell>
          <cell r="P169">
            <v>95</v>
          </cell>
          <cell r="Q169">
            <v>125</v>
          </cell>
          <cell r="R169">
            <v>5.0999999999999996</v>
          </cell>
          <cell r="S169">
            <v>95</v>
          </cell>
          <cell r="T169">
            <v>37657</v>
          </cell>
          <cell r="U169" t="str">
            <v>ВЦД</v>
          </cell>
          <cell r="W169" t="str">
            <v>ВЦ</v>
          </cell>
        </row>
        <row r="170">
          <cell r="B170">
            <v>5714</v>
          </cell>
          <cell r="C170">
            <v>128</v>
          </cell>
          <cell r="F170" t="str">
            <v>Э-прогрев</v>
          </cell>
          <cell r="G170">
            <v>280</v>
          </cell>
          <cell r="H170" t="str">
            <v>ЭЦН</v>
          </cell>
          <cell r="I170" t="str">
            <v>бд</v>
          </cell>
          <cell r="J170">
            <v>35753</v>
          </cell>
          <cell r="K170">
            <v>0</v>
          </cell>
          <cell r="L170">
            <v>0</v>
          </cell>
          <cell r="M170">
            <v>0</v>
          </cell>
          <cell r="N170">
            <v>50</v>
          </cell>
          <cell r="O170">
            <v>6.1</v>
          </cell>
          <cell r="P170">
            <v>85</v>
          </cell>
          <cell r="Q170">
            <v>50</v>
          </cell>
          <cell r="R170">
            <v>6.1</v>
          </cell>
          <cell r="S170">
            <v>84.9</v>
          </cell>
          <cell r="T170">
            <v>37673</v>
          </cell>
          <cell r="U170" t="str">
            <v>ВЦД</v>
          </cell>
          <cell r="W170" t="str">
            <v>ВЦ</v>
          </cell>
        </row>
        <row r="171">
          <cell r="B171">
            <v>5856</v>
          </cell>
          <cell r="C171">
            <v>169</v>
          </cell>
          <cell r="F171" t="str">
            <v>ПРС</v>
          </cell>
          <cell r="H171" t="str">
            <v>фон.</v>
          </cell>
          <cell r="I171" t="str">
            <v>бд</v>
          </cell>
          <cell r="J171">
            <v>36585</v>
          </cell>
          <cell r="K171">
            <v>0</v>
          </cell>
          <cell r="L171">
            <v>0</v>
          </cell>
          <cell r="M171">
            <v>0</v>
          </cell>
          <cell r="N171">
            <v>30</v>
          </cell>
          <cell r="O171">
            <v>3.7</v>
          </cell>
          <cell r="P171">
            <v>85</v>
          </cell>
          <cell r="Q171">
            <v>30</v>
          </cell>
          <cell r="R171">
            <v>3.7</v>
          </cell>
          <cell r="S171">
            <v>84.8</v>
          </cell>
          <cell r="T171">
            <v>37636</v>
          </cell>
          <cell r="U171" t="str">
            <v>бдп</v>
          </cell>
          <cell r="W171" t="str">
            <v>Смена вор./Э-30</v>
          </cell>
        </row>
        <row r="172">
          <cell r="B172">
            <v>3888</v>
          </cell>
          <cell r="C172">
            <v>99</v>
          </cell>
          <cell r="F172" t="str">
            <v>Э-прогрев</v>
          </cell>
          <cell r="G172">
            <v>240</v>
          </cell>
          <cell r="H172" t="str">
            <v>ЭЦН</v>
          </cell>
          <cell r="I172" t="str">
            <v>конс.</v>
          </cell>
          <cell r="J172">
            <v>34274</v>
          </cell>
          <cell r="K172">
            <v>0</v>
          </cell>
          <cell r="L172">
            <v>0</v>
          </cell>
          <cell r="M172">
            <v>0</v>
          </cell>
          <cell r="N172">
            <v>50</v>
          </cell>
          <cell r="O172">
            <v>4.0999999999999996</v>
          </cell>
          <cell r="P172">
            <v>90</v>
          </cell>
          <cell r="Q172">
            <v>50</v>
          </cell>
          <cell r="R172">
            <v>4.0999999999999996</v>
          </cell>
          <cell r="S172">
            <v>89.9</v>
          </cell>
          <cell r="T172">
            <v>37685</v>
          </cell>
          <cell r="U172" t="str">
            <v>ВЦД</v>
          </cell>
          <cell r="W172" t="str">
            <v>ВЦ</v>
          </cell>
        </row>
        <row r="173">
          <cell r="B173">
            <v>5855</v>
          </cell>
          <cell r="C173">
            <v>169</v>
          </cell>
          <cell r="F173" t="str">
            <v>ПРС</v>
          </cell>
          <cell r="H173" t="str">
            <v>фон</v>
          </cell>
          <cell r="I173" t="str">
            <v>конс.</v>
          </cell>
          <cell r="J173">
            <v>35401</v>
          </cell>
          <cell r="K173">
            <v>0</v>
          </cell>
          <cell r="L173">
            <v>0</v>
          </cell>
          <cell r="M173">
            <v>0</v>
          </cell>
          <cell r="N173">
            <v>30</v>
          </cell>
          <cell r="O173">
            <v>12.2</v>
          </cell>
          <cell r="P173">
            <v>50</v>
          </cell>
          <cell r="Q173">
            <v>30</v>
          </cell>
          <cell r="R173">
            <v>12.2</v>
          </cell>
          <cell r="S173">
            <v>49.8</v>
          </cell>
          <cell r="T173">
            <v>37593</v>
          </cell>
          <cell r="U173" t="str">
            <v>вцд</v>
          </cell>
          <cell r="W173" t="str">
            <v>Смена вор./Э-30</v>
          </cell>
        </row>
        <row r="174">
          <cell r="B174">
            <v>5851</v>
          </cell>
          <cell r="C174">
            <v>169</v>
          </cell>
          <cell r="F174" t="str">
            <v>ПРС</v>
          </cell>
          <cell r="H174" t="str">
            <v>фон</v>
          </cell>
          <cell r="I174" t="str">
            <v>бд</v>
          </cell>
          <cell r="J174">
            <v>36840</v>
          </cell>
          <cell r="K174">
            <v>0</v>
          </cell>
          <cell r="L174">
            <v>0</v>
          </cell>
          <cell r="M174">
            <v>0</v>
          </cell>
          <cell r="N174">
            <v>80</v>
          </cell>
          <cell r="O174">
            <v>3.3</v>
          </cell>
          <cell r="P174">
            <v>95</v>
          </cell>
          <cell r="Q174">
            <v>80</v>
          </cell>
          <cell r="R174">
            <v>3.3</v>
          </cell>
          <cell r="S174">
            <v>94.9</v>
          </cell>
          <cell r="T174">
            <v>37607</v>
          </cell>
          <cell r="U174" t="str">
            <v>бдп</v>
          </cell>
          <cell r="W174" t="str">
            <v>Смена вор./Э-80</v>
          </cell>
        </row>
        <row r="175">
          <cell r="B175">
            <v>5715</v>
          </cell>
          <cell r="C175">
            <v>128</v>
          </cell>
          <cell r="F175" t="str">
            <v>ПРС</v>
          </cell>
          <cell r="H175" t="str">
            <v>фон</v>
          </cell>
          <cell r="I175" t="str">
            <v>бд</v>
          </cell>
          <cell r="J175">
            <v>32006</v>
          </cell>
          <cell r="K175">
            <v>0</v>
          </cell>
          <cell r="L175">
            <v>0</v>
          </cell>
          <cell r="M175">
            <v>0</v>
          </cell>
          <cell r="N175">
            <v>50</v>
          </cell>
          <cell r="O175">
            <v>8.1999999999999993</v>
          </cell>
          <cell r="P175">
            <v>80</v>
          </cell>
          <cell r="Q175">
            <v>50</v>
          </cell>
          <cell r="R175">
            <v>8.1999999999999993</v>
          </cell>
          <cell r="S175">
            <v>79.8</v>
          </cell>
          <cell r="T175">
            <v>37593</v>
          </cell>
          <cell r="U175" t="str">
            <v>вцд</v>
          </cell>
          <cell r="W175" t="str">
            <v>Смена вор./Э-50</v>
          </cell>
        </row>
        <row r="176">
          <cell r="B176">
            <v>2991</v>
          </cell>
          <cell r="C176">
            <v>48</v>
          </cell>
          <cell r="F176" t="str">
            <v>ПРС</v>
          </cell>
          <cell r="G176">
            <v>255</v>
          </cell>
          <cell r="H176" t="str">
            <v>ЭЦН</v>
          </cell>
          <cell r="I176" t="str">
            <v>действ.</v>
          </cell>
          <cell r="K176">
            <v>82</v>
          </cell>
          <cell r="L176">
            <v>10.7</v>
          </cell>
          <cell r="M176">
            <v>84</v>
          </cell>
          <cell r="N176">
            <v>118</v>
          </cell>
          <cell r="O176">
            <v>15.4</v>
          </cell>
          <cell r="P176">
            <v>84</v>
          </cell>
          <cell r="Q176">
            <v>36</v>
          </cell>
          <cell r="R176">
            <v>4.7000000000000011</v>
          </cell>
          <cell r="S176">
            <v>83.9</v>
          </cell>
          <cell r="T176">
            <v>37601</v>
          </cell>
          <cell r="U176" t="str">
            <v>опт</v>
          </cell>
          <cell r="W176" t="str">
            <v>Смена Э-80/Э-125</v>
          </cell>
        </row>
        <row r="177">
          <cell r="B177">
            <v>2921</v>
          </cell>
          <cell r="C177" t="str">
            <v>43б</v>
          </cell>
          <cell r="F177" t="str">
            <v>ПРС</v>
          </cell>
          <cell r="H177" t="str">
            <v>ШГН</v>
          </cell>
          <cell r="I177" t="str">
            <v>действ.</v>
          </cell>
          <cell r="K177">
            <v>26</v>
          </cell>
          <cell r="L177">
            <v>13.8</v>
          </cell>
          <cell r="M177">
            <v>35</v>
          </cell>
          <cell r="N177">
            <v>37</v>
          </cell>
          <cell r="O177">
            <v>19.8</v>
          </cell>
          <cell r="P177">
            <v>35</v>
          </cell>
          <cell r="Q177">
            <v>11</v>
          </cell>
          <cell r="R177">
            <v>6</v>
          </cell>
          <cell r="S177">
            <v>32.700000000000003</v>
          </cell>
          <cell r="T177">
            <v>37605</v>
          </cell>
          <cell r="U177" t="str">
            <v>опт</v>
          </cell>
          <cell r="W177" t="str">
            <v>Смена Н-44/Э-30</v>
          </cell>
        </row>
        <row r="178">
          <cell r="B178">
            <v>5553</v>
          </cell>
          <cell r="C178">
            <v>117</v>
          </cell>
          <cell r="F178" t="str">
            <v>ПРС</v>
          </cell>
          <cell r="H178" t="str">
            <v>ШГН</v>
          </cell>
          <cell r="I178" t="str">
            <v>конс.</v>
          </cell>
          <cell r="J178">
            <v>33178</v>
          </cell>
          <cell r="K178">
            <v>0</v>
          </cell>
          <cell r="L178">
            <v>0</v>
          </cell>
          <cell r="M178">
            <v>0</v>
          </cell>
          <cell r="N178">
            <v>30</v>
          </cell>
          <cell r="O178">
            <v>8.6</v>
          </cell>
          <cell r="P178">
            <v>65</v>
          </cell>
          <cell r="Q178">
            <v>30</v>
          </cell>
          <cell r="R178">
            <v>8.6</v>
          </cell>
          <cell r="S178">
            <v>64.599999999999994</v>
          </cell>
          <cell r="T178">
            <v>37921</v>
          </cell>
          <cell r="U178" t="str">
            <v>ВЦ</v>
          </cell>
          <cell r="W178" t="str">
            <v>в.ц.,в.з.(г/ж),НН-57/Э-50</v>
          </cell>
          <cell r="X178" t="str">
            <v>непроход</v>
          </cell>
        </row>
        <row r="179">
          <cell r="B179">
            <v>2817</v>
          </cell>
          <cell r="C179">
            <v>145</v>
          </cell>
          <cell r="F179" t="str">
            <v>ПРС</v>
          </cell>
          <cell r="H179" t="str">
            <v>Ф/Э</v>
          </cell>
          <cell r="I179" t="str">
            <v>бд</v>
          </cell>
          <cell r="J179">
            <v>34282</v>
          </cell>
          <cell r="K179">
            <v>0</v>
          </cell>
          <cell r="L179">
            <v>0</v>
          </cell>
          <cell r="M179">
            <v>0</v>
          </cell>
          <cell r="N179">
            <v>50</v>
          </cell>
          <cell r="O179">
            <v>4.0999999999999996</v>
          </cell>
          <cell r="P179">
            <v>90</v>
          </cell>
          <cell r="Q179">
            <v>50</v>
          </cell>
          <cell r="R179">
            <v>4.0999999999999996</v>
          </cell>
          <cell r="S179">
            <v>89.9</v>
          </cell>
          <cell r="T179">
            <v>37585</v>
          </cell>
          <cell r="U179" t="str">
            <v>ВЦД</v>
          </cell>
          <cell r="W179" t="str">
            <v>в.ц.,в.з.(г/ж),рев.ЭЦН-50</v>
          </cell>
          <cell r="X179" t="str">
            <v>Прихват ЭЦН</v>
          </cell>
        </row>
        <row r="180">
          <cell r="B180">
            <v>3034</v>
          </cell>
          <cell r="C180">
            <v>51</v>
          </cell>
          <cell r="F180" t="str">
            <v>УПНПиКРС</v>
          </cell>
          <cell r="G180">
            <v>265</v>
          </cell>
          <cell r="H180" t="str">
            <v>ШГН</v>
          </cell>
          <cell r="I180" t="str">
            <v>конс.</v>
          </cell>
          <cell r="J180">
            <v>32933</v>
          </cell>
          <cell r="K180">
            <v>0</v>
          </cell>
          <cell r="L180">
            <v>0</v>
          </cell>
          <cell r="M180">
            <v>0</v>
          </cell>
          <cell r="N180">
            <v>30</v>
          </cell>
          <cell r="O180">
            <v>9.8000000000000007</v>
          </cell>
          <cell r="P180">
            <v>60</v>
          </cell>
          <cell r="Q180">
            <v>30</v>
          </cell>
          <cell r="R180">
            <v>9.8000000000000007</v>
          </cell>
          <cell r="S180">
            <v>59.7</v>
          </cell>
          <cell r="T180">
            <v>37913</v>
          </cell>
          <cell r="U180" t="str">
            <v>ВЦ</v>
          </cell>
          <cell r="W180" t="str">
            <v>ВЦ (ЭП-120м),ВЗМШУ,сп.Э-30</v>
          </cell>
          <cell r="X180" t="str">
            <v>непроход</v>
          </cell>
        </row>
        <row r="181">
          <cell r="B181">
            <v>5704</v>
          </cell>
          <cell r="C181">
            <v>126</v>
          </cell>
          <cell r="F181" t="str">
            <v>ПРС</v>
          </cell>
          <cell r="H181" t="str">
            <v>ШГН</v>
          </cell>
          <cell r="I181" t="str">
            <v>бд</v>
          </cell>
          <cell r="J181">
            <v>37174</v>
          </cell>
          <cell r="K181">
            <v>0</v>
          </cell>
          <cell r="L181">
            <v>0</v>
          </cell>
          <cell r="M181">
            <v>0</v>
          </cell>
          <cell r="N181">
            <v>10</v>
          </cell>
          <cell r="O181">
            <v>8.1999999999999993</v>
          </cell>
          <cell r="P181">
            <v>0</v>
          </cell>
          <cell r="Q181">
            <v>10</v>
          </cell>
          <cell r="R181">
            <v>8.1999999999999993</v>
          </cell>
          <cell r="S181">
            <v>-1.2</v>
          </cell>
          <cell r="W181" t="str">
            <v>ВЦ КОПС,ВЗ(ГЖ)рев.НВ-44</v>
          </cell>
        </row>
        <row r="182">
          <cell r="B182">
            <v>5339</v>
          </cell>
          <cell r="C182">
            <v>141</v>
          </cell>
          <cell r="F182" t="str">
            <v>ПРС</v>
          </cell>
          <cell r="H182" t="str">
            <v>ШГН</v>
          </cell>
          <cell r="I182" t="str">
            <v>бд</v>
          </cell>
          <cell r="J182">
            <v>36126</v>
          </cell>
          <cell r="K182">
            <v>0</v>
          </cell>
          <cell r="L182">
            <v>0</v>
          </cell>
          <cell r="M182">
            <v>0</v>
          </cell>
          <cell r="N182">
            <v>10</v>
          </cell>
          <cell r="O182">
            <v>6.1</v>
          </cell>
          <cell r="P182">
            <v>25</v>
          </cell>
          <cell r="Q182">
            <v>10</v>
          </cell>
          <cell r="R182">
            <v>6.1</v>
          </cell>
          <cell r="S182">
            <v>24.7</v>
          </cell>
          <cell r="W182" t="str">
            <v>в.ц.,в.з.(г/ж),рев.НВ-44</v>
          </cell>
        </row>
        <row r="183">
          <cell r="B183">
            <v>5545</v>
          </cell>
          <cell r="C183">
            <v>115</v>
          </cell>
          <cell r="F183" t="str">
            <v>ПРС</v>
          </cell>
          <cell r="H183" t="str">
            <v>ЭЦН</v>
          </cell>
          <cell r="I183" t="str">
            <v>бд</v>
          </cell>
          <cell r="J183">
            <v>34484</v>
          </cell>
          <cell r="K183">
            <v>0</v>
          </cell>
          <cell r="L183">
            <v>0</v>
          </cell>
          <cell r="M183">
            <v>0</v>
          </cell>
          <cell r="N183">
            <v>250</v>
          </cell>
          <cell r="O183">
            <v>6.1</v>
          </cell>
          <cell r="P183">
            <v>97</v>
          </cell>
          <cell r="Q183">
            <v>250</v>
          </cell>
          <cell r="R183">
            <v>6.1</v>
          </cell>
          <cell r="S183">
            <v>97</v>
          </cell>
          <cell r="W183" t="str">
            <v>ВЗ(ГЖ),шабл.Э/К,см.Э-125/Э-250</v>
          </cell>
        </row>
        <row r="184">
          <cell r="B184">
            <v>5219</v>
          </cell>
          <cell r="C184">
            <v>135</v>
          </cell>
          <cell r="F184" t="str">
            <v>ПРС</v>
          </cell>
          <cell r="H184" t="str">
            <v>ЭЦН</v>
          </cell>
          <cell r="I184" t="str">
            <v>конс.</v>
          </cell>
          <cell r="J184">
            <v>34366</v>
          </cell>
          <cell r="K184">
            <v>0</v>
          </cell>
          <cell r="L184">
            <v>0</v>
          </cell>
          <cell r="M184">
            <v>0</v>
          </cell>
          <cell r="N184">
            <v>80</v>
          </cell>
          <cell r="O184">
            <v>5.2</v>
          </cell>
          <cell r="P184">
            <v>92</v>
          </cell>
          <cell r="Q184">
            <v>80</v>
          </cell>
          <cell r="R184">
            <v>5.2</v>
          </cell>
          <cell r="S184">
            <v>92</v>
          </cell>
          <cell r="W184" t="str">
            <v>в.ц.,в.з.(г/ж),Э-50/Э-80</v>
          </cell>
        </row>
        <row r="185">
          <cell r="B185">
            <v>5591</v>
          </cell>
          <cell r="C185">
            <v>118</v>
          </cell>
          <cell r="F185" t="str">
            <v>ПРС</v>
          </cell>
          <cell r="H185" t="str">
            <v>ШГН</v>
          </cell>
          <cell r="I185" t="str">
            <v>конс.</v>
          </cell>
          <cell r="J185">
            <v>34153</v>
          </cell>
          <cell r="K185">
            <v>0</v>
          </cell>
          <cell r="L185">
            <v>0</v>
          </cell>
          <cell r="M185">
            <v>0</v>
          </cell>
          <cell r="N185">
            <v>125</v>
          </cell>
          <cell r="O185">
            <v>5.0999999999999996</v>
          </cell>
          <cell r="P185">
            <v>95</v>
          </cell>
          <cell r="Q185">
            <v>125</v>
          </cell>
          <cell r="R185">
            <v>5.0999999999999996</v>
          </cell>
          <cell r="S185">
            <v>95</v>
          </cell>
          <cell r="W185" t="str">
            <v>в.ц.,рев.Э-125</v>
          </cell>
        </row>
        <row r="186">
          <cell r="B186">
            <v>5589</v>
          </cell>
          <cell r="C186">
            <v>118</v>
          </cell>
          <cell r="F186" t="str">
            <v>ПРС</v>
          </cell>
          <cell r="H186" t="str">
            <v>Ф/Э</v>
          </cell>
          <cell r="I186" t="str">
            <v>конс.</v>
          </cell>
          <cell r="J186">
            <v>32843</v>
          </cell>
          <cell r="K186">
            <v>0</v>
          </cell>
          <cell r="L186">
            <v>0</v>
          </cell>
          <cell r="M186">
            <v>0</v>
          </cell>
          <cell r="N186">
            <v>125</v>
          </cell>
          <cell r="O186">
            <v>5.0999999999999996</v>
          </cell>
          <cell r="P186">
            <v>95</v>
          </cell>
          <cell r="Q186">
            <v>125</v>
          </cell>
          <cell r="R186">
            <v>5.0999999999999996</v>
          </cell>
          <cell r="S186">
            <v>95</v>
          </cell>
          <cell r="W186" t="str">
            <v>в.ц.,в.з.(г/ж),рев.ЭЦН-125</v>
          </cell>
        </row>
        <row r="187">
          <cell r="B187">
            <v>5675</v>
          </cell>
          <cell r="C187">
            <v>126</v>
          </cell>
          <cell r="F187" t="str">
            <v>ПРС</v>
          </cell>
          <cell r="H187" t="str">
            <v>ШГН</v>
          </cell>
          <cell r="I187" t="str">
            <v>конс.</v>
          </cell>
          <cell r="J187">
            <v>35585</v>
          </cell>
          <cell r="K187">
            <v>0</v>
          </cell>
          <cell r="L187">
            <v>0</v>
          </cell>
          <cell r="M187">
            <v>0</v>
          </cell>
          <cell r="N187">
            <v>10</v>
          </cell>
          <cell r="O187">
            <v>4.9000000000000004</v>
          </cell>
          <cell r="P187">
            <v>40</v>
          </cell>
          <cell r="Q187">
            <v>10</v>
          </cell>
          <cell r="R187">
            <v>4.9000000000000004</v>
          </cell>
          <cell r="S187">
            <v>39.5</v>
          </cell>
          <cell r="W187" t="str">
            <v>в.ц.,в.з.(г/ж),рев.НВ-44</v>
          </cell>
        </row>
        <row r="188">
          <cell r="B188">
            <v>5493</v>
          </cell>
          <cell r="C188">
            <v>106</v>
          </cell>
          <cell r="F188" t="str">
            <v>ПРС</v>
          </cell>
          <cell r="H188" t="str">
            <v>ШГН</v>
          </cell>
          <cell r="I188" t="str">
            <v>конс.</v>
          </cell>
          <cell r="J188">
            <v>35247</v>
          </cell>
          <cell r="K188">
            <v>0</v>
          </cell>
          <cell r="L188">
            <v>0</v>
          </cell>
          <cell r="M188">
            <v>0</v>
          </cell>
          <cell r="N188">
            <v>12</v>
          </cell>
          <cell r="O188">
            <v>4.9000000000000004</v>
          </cell>
          <cell r="P188">
            <v>50</v>
          </cell>
          <cell r="Q188">
            <v>12</v>
          </cell>
          <cell r="R188">
            <v>4.9000000000000004</v>
          </cell>
          <cell r="S188">
            <v>49.6</v>
          </cell>
          <cell r="W188" t="str">
            <v>в.ц.,рев.НВ-44</v>
          </cell>
        </row>
        <row r="189">
          <cell r="B189">
            <v>5587</v>
          </cell>
          <cell r="C189">
            <v>118</v>
          </cell>
          <cell r="F189" t="str">
            <v>ПРС</v>
          </cell>
          <cell r="H189" t="str">
            <v>Ф/Э</v>
          </cell>
          <cell r="I189" t="str">
            <v>бд</v>
          </cell>
          <cell r="J189">
            <v>34883</v>
          </cell>
          <cell r="K189">
            <v>0</v>
          </cell>
          <cell r="L189">
            <v>0</v>
          </cell>
          <cell r="M189">
            <v>0</v>
          </cell>
          <cell r="N189">
            <v>50</v>
          </cell>
          <cell r="O189">
            <v>4.9000000000000004</v>
          </cell>
          <cell r="P189">
            <v>88</v>
          </cell>
          <cell r="Q189">
            <v>50</v>
          </cell>
          <cell r="R189">
            <v>4.9000000000000004</v>
          </cell>
          <cell r="S189">
            <v>87.9</v>
          </cell>
          <cell r="W189" t="str">
            <v>в.ц.,в.з.(г/ж),вор./Э-50</v>
          </cell>
        </row>
        <row r="190">
          <cell r="B190">
            <v>5495</v>
          </cell>
          <cell r="C190">
            <v>106</v>
          </cell>
          <cell r="F190" t="str">
            <v>ПРС</v>
          </cell>
          <cell r="H190" t="str">
            <v>ЭЦН</v>
          </cell>
          <cell r="I190" t="str">
            <v>бд</v>
          </cell>
          <cell r="J190">
            <v>33755</v>
          </cell>
          <cell r="K190">
            <v>0</v>
          </cell>
          <cell r="L190">
            <v>0</v>
          </cell>
          <cell r="M190">
            <v>0</v>
          </cell>
          <cell r="N190">
            <v>50</v>
          </cell>
          <cell r="O190">
            <v>4.9000000000000004</v>
          </cell>
          <cell r="P190">
            <v>88</v>
          </cell>
          <cell r="Q190">
            <v>50</v>
          </cell>
          <cell r="R190">
            <v>4.9000000000000004</v>
          </cell>
          <cell r="S190">
            <v>87.9</v>
          </cell>
          <cell r="T190">
            <v>37583</v>
          </cell>
          <cell r="U190" t="str">
            <v>ВЦД</v>
          </cell>
          <cell r="W190" t="str">
            <v>в.ц.,в.з.(г/ж),рев.ЭЦН-50</v>
          </cell>
          <cell r="X190" t="str">
            <v>Низкий приток</v>
          </cell>
        </row>
        <row r="191">
          <cell r="B191">
            <v>5553</v>
          </cell>
          <cell r="C191">
            <v>117</v>
          </cell>
          <cell r="F191" t="str">
            <v>ПРС</v>
          </cell>
          <cell r="H191" t="str">
            <v>ШГН</v>
          </cell>
          <cell r="I191" t="str">
            <v>конс.</v>
          </cell>
          <cell r="J191">
            <v>33178</v>
          </cell>
          <cell r="K191">
            <v>0</v>
          </cell>
          <cell r="L191">
            <v>0</v>
          </cell>
          <cell r="M191">
            <v>0</v>
          </cell>
          <cell r="N191">
            <v>50</v>
          </cell>
          <cell r="O191">
            <v>4.9000000000000004</v>
          </cell>
          <cell r="P191">
            <v>88</v>
          </cell>
          <cell r="Q191">
            <v>50</v>
          </cell>
          <cell r="R191">
            <v>4.9000000000000004</v>
          </cell>
          <cell r="S191">
            <v>87.9</v>
          </cell>
          <cell r="W191" t="str">
            <v>в.ц.,в.з.(г/ж),НН-57/Э-50</v>
          </cell>
        </row>
        <row r="192">
          <cell r="B192">
            <v>5462</v>
          </cell>
          <cell r="C192">
            <v>104</v>
          </cell>
          <cell r="F192" t="str">
            <v>ПРС</v>
          </cell>
          <cell r="H192" t="str">
            <v>ЭЦН</v>
          </cell>
          <cell r="I192" t="str">
            <v>бд</v>
          </cell>
          <cell r="J192">
            <v>34851</v>
          </cell>
          <cell r="K192">
            <v>0</v>
          </cell>
          <cell r="L192">
            <v>0</v>
          </cell>
          <cell r="M192">
            <v>0</v>
          </cell>
          <cell r="N192">
            <v>80</v>
          </cell>
          <cell r="O192">
            <v>4.5999999999999996</v>
          </cell>
          <cell r="P192">
            <v>93</v>
          </cell>
          <cell r="Q192">
            <v>80</v>
          </cell>
          <cell r="R192">
            <v>4.5999999999999996</v>
          </cell>
          <cell r="S192">
            <v>92.9</v>
          </cell>
          <cell r="W192" t="str">
            <v>в.ц.,в.з.(г/ж),рев.ЭЦН-80</v>
          </cell>
        </row>
        <row r="193">
          <cell r="B193" t="str">
            <v>5411б</v>
          </cell>
          <cell r="C193">
            <v>107</v>
          </cell>
          <cell r="F193" t="str">
            <v>ПРС</v>
          </cell>
          <cell r="H193" t="str">
            <v>ШГН</v>
          </cell>
          <cell r="I193" t="str">
            <v>бд</v>
          </cell>
          <cell r="J193">
            <v>35992</v>
          </cell>
          <cell r="K193">
            <v>0</v>
          </cell>
          <cell r="L193">
            <v>0</v>
          </cell>
          <cell r="M193">
            <v>0</v>
          </cell>
          <cell r="N193">
            <v>6</v>
          </cell>
          <cell r="O193">
            <v>4.4000000000000004</v>
          </cell>
          <cell r="P193">
            <v>10</v>
          </cell>
          <cell r="Q193">
            <v>6</v>
          </cell>
          <cell r="R193">
            <v>4.4000000000000004</v>
          </cell>
          <cell r="S193">
            <v>9.5</v>
          </cell>
          <cell r="W193" t="str">
            <v>в.ц.,рев.НВ-32</v>
          </cell>
        </row>
        <row r="194">
          <cell r="B194">
            <v>2862</v>
          </cell>
          <cell r="C194">
            <v>127</v>
          </cell>
          <cell r="F194" t="str">
            <v>ПРС</v>
          </cell>
          <cell r="H194" t="str">
            <v>ШГН</v>
          </cell>
          <cell r="I194" t="str">
            <v>бд</v>
          </cell>
          <cell r="J194">
            <v>37142</v>
          </cell>
          <cell r="K194">
            <v>0</v>
          </cell>
          <cell r="L194">
            <v>0</v>
          </cell>
          <cell r="M194">
            <v>0</v>
          </cell>
          <cell r="N194">
            <v>50</v>
          </cell>
          <cell r="O194">
            <v>4.0999999999999996</v>
          </cell>
          <cell r="P194">
            <v>90</v>
          </cell>
          <cell r="Q194">
            <v>50</v>
          </cell>
          <cell r="R194">
            <v>4.0999999999999996</v>
          </cell>
          <cell r="S194">
            <v>89.9</v>
          </cell>
          <cell r="W194" t="str">
            <v>в.ц.,НН-57/Э-50</v>
          </cell>
        </row>
        <row r="195">
          <cell r="B195">
            <v>2861</v>
          </cell>
          <cell r="C195">
            <v>127</v>
          </cell>
          <cell r="F195" t="str">
            <v>ПРС</v>
          </cell>
          <cell r="H195" t="str">
            <v>ШГН</v>
          </cell>
          <cell r="I195" t="str">
            <v>бд</v>
          </cell>
          <cell r="J195">
            <v>35455</v>
          </cell>
          <cell r="K195">
            <v>0</v>
          </cell>
          <cell r="L195">
            <v>0</v>
          </cell>
          <cell r="M195">
            <v>0</v>
          </cell>
          <cell r="N195">
            <v>50</v>
          </cell>
          <cell r="O195">
            <v>4.0999999999999996</v>
          </cell>
          <cell r="P195">
            <v>90</v>
          </cell>
          <cell r="Q195">
            <v>50</v>
          </cell>
          <cell r="R195">
            <v>4.0999999999999996</v>
          </cell>
          <cell r="S195">
            <v>89.9</v>
          </cell>
          <cell r="W195" t="str">
            <v>в.ц.,в.з.(г/ж),НН-57/Э-50</v>
          </cell>
        </row>
        <row r="196">
          <cell r="B196">
            <v>5224</v>
          </cell>
          <cell r="C196">
            <v>145</v>
          </cell>
          <cell r="F196" t="str">
            <v>ПРС</v>
          </cell>
          <cell r="H196" t="str">
            <v>Ф/Э</v>
          </cell>
          <cell r="I196" t="str">
            <v>конс.</v>
          </cell>
          <cell r="J196">
            <v>34883</v>
          </cell>
          <cell r="K196">
            <v>0</v>
          </cell>
          <cell r="L196">
            <v>0</v>
          </cell>
          <cell r="M196">
            <v>0</v>
          </cell>
          <cell r="N196">
            <v>50</v>
          </cell>
          <cell r="O196">
            <v>4.0999999999999996</v>
          </cell>
          <cell r="P196">
            <v>90</v>
          </cell>
          <cell r="Q196">
            <v>50</v>
          </cell>
          <cell r="R196">
            <v>4.0999999999999996</v>
          </cell>
          <cell r="S196">
            <v>89.9</v>
          </cell>
          <cell r="W196" t="str">
            <v>рев.Э-50</v>
          </cell>
        </row>
        <row r="197">
          <cell r="B197">
            <v>5583</v>
          </cell>
          <cell r="C197">
            <v>116</v>
          </cell>
          <cell r="F197" t="str">
            <v>ПРС</v>
          </cell>
          <cell r="H197" t="str">
            <v>Ф/Э</v>
          </cell>
          <cell r="I197" t="str">
            <v>конс.</v>
          </cell>
          <cell r="J197">
            <v>34883</v>
          </cell>
          <cell r="K197">
            <v>0</v>
          </cell>
          <cell r="L197">
            <v>0</v>
          </cell>
          <cell r="M197">
            <v>0</v>
          </cell>
          <cell r="N197">
            <v>50</v>
          </cell>
          <cell r="O197">
            <v>4.0999999999999996</v>
          </cell>
          <cell r="P197">
            <v>90</v>
          </cell>
          <cell r="Q197">
            <v>50</v>
          </cell>
          <cell r="R197">
            <v>4.0999999999999996</v>
          </cell>
          <cell r="S197">
            <v>89.9</v>
          </cell>
          <cell r="T197">
            <v>37870</v>
          </cell>
          <cell r="U197" t="str">
            <v>ВЦД</v>
          </cell>
          <cell r="W197" t="str">
            <v>ВЦ.Смена Э-50</v>
          </cell>
        </row>
        <row r="198">
          <cell r="B198">
            <v>5461</v>
          </cell>
          <cell r="C198">
            <v>104</v>
          </cell>
          <cell r="F198" t="str">
            <v>ПРС</v>
          </cell>
          <cell r="H198" t="str">
            <v>ЭЦН</v>
          </cell>
          <cell r="I198" t="str">
            <v>конс.</v>
          </cell>
          <cell r="J198">
            <v>34851</v>
          </cell>
          <cell r="K198">
            <v>0</v>
          </cell>
          <cell r="L198">
            <v>0</v>
          </cell>
          <cell r="M198">
            <v>0</v>
          </cell>
          <cell r="N198">
            <v>50</v>
          </cell>
          <cell r="O198">
            <v>4.0999999999999996</v>
          </cell>
          <cell r="P198">
            <v>90</v>
          </cell>
          <cell r="Q198">
            <v>50</v>
          </cell>
          <cell r="R198">
            <v>4.0999999999999996</v>
          </cell>
          <cell r="S198">
            <v>89.9</v>
          </cell>
          <cell r="W198" t="str">
            <v>в.ц.,в.з.(г/ж),ЭЦН-80/Э-50</v>
          </cell>
        </row>
        <row r="199">
          <cell r="B199">
            <v>5352</v>
          </cell>
          <cell r="C199">
            <v>104</v>
          </cell>
          <cell r="F199" t="str">
            <v>ПРС</v>
          </cell>
          <cell r="H199" t="str">
            <v>ЭЦН</v>
          </cell>
          <cell r="I199" t="str">
            <v>бд</v>
          </cell>
          <cell r="J199">
            <v>34001</v>
          </cell>
          <cell r="K199">
            <v>0</v>
          </cell>
          <cell r="L199">
            <v>0</v>
          </cell>
          <cell r="M199">
            <v>0</v>
          </cell>
          <cell r="N199">
            <v>50</v>
          </cell>
          <cell r="O199">
            <v>4.0999999999999996</v>
          </cell>
          <cell r="P199">
            <v>90</v>
          </cell>
          <cell r="Q199">
            <v>50</v>
          </cell>
          <cell r="R199">
            <v>4.0999999999999996</v>
          </cell>
          <cell r="S199">
            <v>89.9</v>
          </cell>
          <cell r="W199" t="str">
            <v>в.ц.,в.з.(г/ж),ЭЦН-80/Э-50</v>
          </cell>
        </row>
        <row r="200">
          <cell r="B200">
            <v>5309</v>
          </cell>
          <cell r="C200">
            <v>140</v>
          </cell>
          <cell r="F200" t="str">
            <v>ПРС</v>
          </cell>
          <cell r="H200" t="str">
            <v>ШГН</v>
          </cell>
          <cell r="I200" t="str">
            <v>бд</v>
          </cell>
          <cell r="J200">
            <v>35443</v>
          </cell>
          <cell r="K200">
            <v>0</v>
          </cell>
          <cell r="L200">
            <v>0</v>
          </cell>
          <cell r="M200">
            <v>0</v>
          </cell>
          <cell r="N200">
            <v>5</v>
          </cell>
          <cell r="O200">
            <v>3.7</v>
          </cell>
          <cell r="P200">
            <v>10</v>
          </cell>
          <cell r="Q200">
            <v>5</v>
          </cell>
          <cell r="R200">
            <v>3.7</v>
          </cell>
          <cell r="S200">
            <v>8.6</v>
          </cell>
          <cell r="W200" t="str">
            <v>в.ц.,в.з.(г/ж),вор./НВ-32</v>
          </cell>
        </row>
        <row r="201">
          <cell r="B201">
            <v>5454</v>
          </cell>
          <cell r="C201">
            <v>102</v>
          </cell>
          <cell r="F201" t="str">
            <v>ПРС</v>
          </cell>
          <cell r="H201" t="str">
            <v>Ф/Э</v>
          </cell>
          <cell r="I201" t="str">
            <v>бд</v>
          </cell>
          <cell r="J201">
            <v>34771</v>
          </cell>
          <cell r="K201">
            <v>0</v>
          </cell>
          <cell r="L201">
            <v>0</v>
          </cell>
          <cell r="M201">
            <v>0</v>
          </cell>
          <cell r="N201">
            <v>80</v>
          </cell>
          <cell r="O201">
            <v>3.3</v>
          </cell>
          <cell r="P201">
            <v>95</v>
          </cell>
          <cell r="Q201">
            <v>80</v>
          </cell>
          <cell r="R201">
            <v>3.3</v>
          </cell>
          <cell r="S201">
            <v>94.9</v>
          </cell>
          <cell r="W201" t="str">
            <v>отб.заб.,при (-)в.з.(г/ж), Э-80/Э-80</v>
          </cell>
        </row>
        <row r="202">
          <cell r="B202">
            <v>2758</v>
          </cell>
          <cell r="C202">
            <v>144</v>
          </cell>
          <cell r="F202" t="str">
            <v>ПРС</v>
          </cell>
          <cell r="H202" t="str">
            <v>ШГН</v>
          </cell>
          <cell r="I202" t="str">
            <v>конс.</v>
          </cell>
          <cell r="J202">
            <v>34425</v>
          </cell>
          <cell r="K202">
            <v>0</v>
          </cell>
          <cell r="L202">
            <v>0</v>
          </cell>
          <cell r="M202">
            <v>0</v>
          </cell>
          <cell r="N202">
            <v>12</v>
          </cell>
          <cell r="O202">
            <v>2.9</v>
          </cell>
          <cell r="P202">
            <v>70</v>
          </cell>
          <cell r="Q202">
            <v>12</v>
          </cell>
          <cell r="R202">
            <v>2.9</v>
          </cell>
          <cell r="S202">
            <v>70.2</v>
          </cell>
          <cell r="W202" t="str">
            <v>в.з.(г/ж), вор/НВ-44</v>
          </cell>
        </row>
        <row r="203">
          <cell r="B203">
            <v>3567</v>
          </cell>
          <cell r="C203">
            <v>93</v>
          </cell>
          <cell r="F203" t="str">
            <v>ПРС</v>
          </cell>
          <cell r="H203" t="str">
            <v>ЭЦН</v>
          </cell>
          <cell r="I203" t="str">
            <v>действ.</v>
          </cell>
          <cell r="K203">
            <v>112</v>
          </cell>
          <cell r="L203">
            <v>5.5</v>
          </cell>
          <cell r="M203">
            <v>94</v>
          </cell>
          <cell r="N203">
            <v>233</v>
          </cell>
          <cell r="O203">
            <v>11.4</v>
          </cell>
          <cell r="P203">
            <v>94</v>
          </cell>
          <cell r="Q203">
            <v>121</v>
          </cell>
          <cell r="R203">
            <v>5.9</v>
          </cell>
          <cell r="S203">
            <v>94</v>
          </cell>
          <cell r="U203" t="str">
            <v>опт</v>
          </cell>
          <cell r="W203" t="str">
            <v>Оптимизация Э-125/Э-250</v>
          </cell>
        </row>
        <row r="204">
          <cell r="B204">
            <v>2681</v>
          </cell>
          <cell r="C204" t="str">
            <v>145б</v>
          </cell>
          <cell r="F204" t="str">
            <v>ПРС</v>
          </cell>
          <cell r="H204" t="str">
            <v>ШГН</v>
          </cell>
          <cell r="I204" t="str">
            <v>простой</v>
          </cell>
          <cell r="N204">
            <v>7</v>
          </cell>
          <cell r="O204">
            <v>5.5</v>
          </cell>
          <cell r="P204">
            <v>3</v>
          </cell>
          <cell r="Q204">
            <v>7</v>
          </cell>
          <cell r="R204">
            <v>5.5</v>
          </cell>
          <cell r="S204">
            <v>3</v>
          </cell>
          <cell r="U204" t="str">
            <v>ВЦД</v>
          </cell>
          <cell r="W204" t="str">
            <v>Электропрогрев</v>
          </cell>
        </row>
        <row r="205">
          <cell r="B205" t="str">
            <v>2821б</v>
          </cell>
          <cell r="C205">
            <v>144</v>
          </cell>
          <cell r="F205" t="str">
            <v>ПРС</v>
          </cell>
          <cell r="H205" t="str">
            <v>ШГН</v>
          </cell>
          <cell r="I205" t="str">
            <v>действ.</v>
          </cell>
          <cell r="K205">
            <v>20</v>
          </cell>
          <cell r="L205">
            <v>13.5</v>
          </cell>
          <cell r="M205">
            <v>17</v>
          </cell>
          <cell r="N205">
            <v>27.8</v>
          </cell>
          <cell r="O205">
            <v>18.8</v>
          </cell>
          <cell r="P205">
            <v>17</v>
          </cell>
          <cell r="Q205">
            <v>7.8000000000000007</v>
          </cell>
          <cell r="R205">
            <v>5.3000000000000007</v>
          </cell>
          <cell r="S205">
            <v>16.100000000000001</v>
          </cell>
          <cell r="T205">
            <v>37525</v>
          </cell>
          <cell r="U205" t="str">
            <v>опт</v>
          </cell>
          <cell r="W205" t="str">
            <v>Оптимизация Н-57/Э-30</v>
          </cell>
        </row>
        <row r="206">
          <cell r="B206" t="str">
            <v>136р</v>
          </cell>
          <cell r="F206" t="str">
            <v>ДНГ</v>
          </cell>
          <cell r="H206" t="str">
            <v>ФОН</v>
          </cell>
          <cell r="I206" t="str">
            <v>бд</v>
          </cell>
          <cell r="K206">
            <v>0</v>
          </cell>
          <cell r="L206">
            <v>0</v>
          </cell>
          <cell r="M206">
            <v>0</v>
          </cell>
          <cell r="N206">
            <v>27</v>
          </cell>
          <cell r="O206">
            <v>20.5</v>
          </cell>
          <cell r="P206">
            <v>7</v>
          </cell>
          <cell r="Q206">
            <v>27</v>
          </cell>
          <cell r="R206">
            <v>20.5</v>
          </cell>
          <cell r="S206">
            <v>6.3</v>
          </cell>
          <cell r="T206">
            <v>37518</v>
          </cell>
          <cell r="U206" t="str">
            <v>БДД</v>
          </cell>
          <cell r="W206" t="str">
            <v>На ёмкость</v>
          </cell>
        </row>
        <row r="207">
          <cell r="B207" t="str">
            <v>104р</v>
          </cell>
          <cell r="F207" t="str">
            <v>ДНГ</v>
          </cell>
          <cell r="H207" t="str">
            <v>ФОН</v>
          </cell>
          <cell r="I207" t="str">
            <v>бд</v>
          </cell>
          <cell r="K207">
            <v>0</v>
          </cell>
          <cell r="L207">
            <v>0</v>
          </cell>
          <cell r="M207">
            <v>0</v>
          </cell>
          <cell r="N207">
            <v>3</v>
          </cell>
          <cell r="O207">
            <v>2.4</v>
          </cell>
          <cell r="P207">
            <v>2</v>
          </cell>
          <cell r="Q207">
            <v>3</v>
          </cell>
          <cell r="R207">
            <v>2.4</v>
          </cell>
          <cell r="S207">
            <v>1.2</v>
          </cell>
          <cell r="T207">
            <v>37522</v>
          </cell>
          <cell r="U207" t="str">
            <v>БДД</v>
          </cell>
          <cell r="W207" t="str">
            <v>На ёмкость</v>
          </cell>
        </row>
        <row r="208">
          <cell r="B208">
            <v>5644</v>
          </cell>
          <cell r="C208">
            <v>126</v>
          </cell>
          <cell r="F208" t="str">
            <v>КРС</v>
          </cell>
          <cell r="H208" t="str">
            <v>ЭЦН</v>
          </cell>
          <cell r="I208" t="str">
            <v>бд</v>
          </cell>
          <cell r="K208">
            <v>0</v>
          </cell>
          <cell r="L208">
            <v>0</v>
          </cell>
          <cell r="M208">
            <v>0</v>
          </cell>
          <cell r="N208">
            <v>27</v>
          </cell>
          <cell r="O208">
            <v>19.8</v>
          </cell>
          <cell r="P208">
            <v>10</v>
          </cell>
          <cell r="Q208">
            <v>27</v>
          </cell>
          <cell r="R208">
            <v>19.8</v>
          </cell>
          <cell r="S208">
            <v>9.5</v>
          </cell>
          <cell r="T208">
            <v>37529</v>
          </cell>
          <cell r="U208" t="str">
            <v>ЗБС</v>
          </cell>
          <cell r="W208" t="str">
            <v>ЗБГС</v>
          </cell>
        </row>
        <row r="209">
          <cell r="B209">
            <v>5659</v>
          </cell>
          <cell r="C209" t="str">
            <v>122б</v>
          </cell>
          <cell r="F209" t="str">
            <v>ПРС</v>
          </cell>
          <cell r="H209" t="str">
            <v>ЭЦН</v>
          </cell>
          <cell r="I209" t="str">
            <v>бд</v>
          </cell>
          <cell r="J209">
            <v>37465</v>
          </cell>
          <cell r="K209">
            <v>0</v>
          </cell>
          <cell r="L209">
            <v>0</v>
          </cell>
          <cell r="M209">
            <v>0</v>
          </cell>
          <cell r="N209">
            <v>30</v>
          </cell>
          <cell r="O209">
            <v>22</v>
          </cell>
          <cell r="P209">
            <v>10</v>
          </cell>
          <cell r="Q209">
            <v>30</v>
          </cell>
          <cell r="R209">
            <v>22</v>
          </cell>
          <cell r="S209">
            <v>9.5</v>
          </cell>
          <cell r="T209">
            <v>37559</v>
          </cell>
          <cell r="U209" t="str">
            <v>БДт</v>
          </cell>
          <cell r="W209" t="str">
            <v>Подъем вор.,ОПЗ СКО (V-30м3), сп.Э-30</v>
          </cell>
        </row>
        <row r="210">
          <cell r="B210">
            <v>5451</v>
          </cell>
          <cell r="C210">
            <v>101</v>
          </cell>
          <cell r="F210" t="str">
            <v>ПРС</v>
          </cell>
          <cell r="H210" t="str">
            <v>ШГН</v>
          </cell>
          <cell r="I210" t="str">
            <v>бд</v>
          </cell>
          <cell r="J210">
            <v>35708</v>
          </cell>
          <cell r="K210">
            <v>0</v>
          </cell>
          <cell r="L210">
            <v>0</v>
          </cell>
          <cell r="M210">
            <v>0</v>
          </cell>
          <cell r="N210">
            <v>10</v>
          </cell>
          <cell r="O210">
            <v>7.6</v>
          </cell>
          <cell r="P210">
            <v>7.1</v>
          </cell>
          <cell r="Q210">
            <v>10</v>
          </cell>
          <cell r="R210">
            <v>7.6</v>
          </cell>
          <cell r="S210">
            <v>6.2</v>
          </cell>
          <cell r="T210">
            <v>37559</v>
          </cell>
          <cell r="U210" t="str">
            <v>БДП</v>
          </cell>
          <cell r="W210" t="str">
            <v>Смена Н-44</v>
          </cell>
        </row>
        <row r="211">
          <cell r="B211">
            <v>2923</v>
          </cell>
          <cell r="C211">
            <v>132</v>
          </cell>
          <cell r="F211" t="str">
            <v>ПРС</v>
          </cell>
          <cell r="H211" t="str">
            <v>ШГН</v>
          </cell>
          <cell r="I211" t="str">
            <v>действ.</v>
          </cell>
          <cell r="K211">
            <v>20</v>
          </cell>
          <cell r="L211">
            <v>7.2</v>
          </cell>
          <cell r="M211">
            <v>56</v>
          </cell>
          <cell r="N211">
            <v>33</v>
          </cell>
          <cell r="O211">
            <v>11.8</v>
          </cell>
          <cell r="P211">
            <v>56</v>
          </cell>
          <cell r="Q211">
            <v>13</v>
          </cell>
          <cell r="R211">
            <v>4.6000000000000005</v>
          </cell>
          <cell r="S211">
            <v>56.3</v>
          </cell>
          <cell r="T211">
            <v>37590</v>
          </cell>
          <cell r="U211" t="str">
            <v>опт</v>
          </cell>
          <cell r="W211" t="str">
            <v>Смена Н-44/Э-30</v>
          </cell>
        </row>
        <row r="212">
          <cell r="B212">
            <v>3099</v>
          </cell>
          <cell r="C212">
            <v>52</v>
          </cell>
          <cell r="F212" t="str">
            <v>ПРС</v>
          </cell>
          <cell r="H212" t="str">
            <v>ШГН</v>
          </cell>
          <cell r="I212" t="str">
            <v>бдт</v>
          </cell>
          <cell r="J212">
            <v>37352</v>
          </cell>
          <cell r="K212">
            <v>0</v>
          </cell>
          <cell r="L212">
            <v>0</v>
          </cell>
          <cell r="M212">
            <v>0</v>
          </cell>
          <cell r="N212">
            <v>50</v>
          </cell>
          <cell r="O212">
            <v>4.0999999999999996</v>
          </cell>
          <cell r="P212">
            <v>90</v>
          </cell>
          <cell r="Q212">
            <v>50</v>
          </cell>
          <cell r="R212">
            <v>4.0999999999999996</v>
          </cell>
          <cell r="S212">
            <v>89.9</v>
          </cell>
          <cell r="T212">
            <v>37593</v>
          </cell>
          <cell r="U212" t="str">
            <v>бдп</v>
          </cell>
          <cell r="W212" t="str">
            <v>См.Н-57/Э-50</v>
          </cell>
        </row>
        <row r="213">
          <cell r="B213">
            <v>5399</v>
          </cell>
          <cell r="C213">
            <v>102</v>
          </cell>
          <cell r="F213" t="str">
            <v>ПРС</v>
          </cell>
          <cell r="H213" t="str">
            <v>ЭЦН</v>
          </cell>
          <cell r="I213" t="str">
            <v>бд</v>
          </cell>
          <cell r="J213">
            <v>34243</v>
          </cell>
          <cell r="K213">
            <v>0</v>
          </cell>
          <cell r="L213">
            <v>0</v>
          </cell>
          <cell r="M213">
            <v>0</v>
          </cell>
          <cell r="N213">
            <v>50</v>
          </cell>
          <cell r="O213">
            <v>4.0999999999999996</v>
          </cell>
          <cell r="P213">
            <v>90</v>
          </cell>
          <cell r="Q213">
            <v>50</v>
          </cell>
          <cell r="R213">
            <v>4.0999999999999996</v>
          </cell>
          <cell r="S213">
            <v>89.9</v>
          </cell>
          <cell r="T213">
            <v>37601</v>
          </cell>
          <cell r="U213" t="str">
            <v>бдп</v>
          </cell>
          <cell r="W213" t="str">
            <v>Подъем вор.,сп.Э-30</v>
          </cell>
        </row>
        <row r="214">
          <cell r="B214">
            <v>3859</v>
          </cell>
          <cell r="C214" t="str">
            <v>306б</v>
          </cell>
          <cell r="F214" t="str">
            <v>ПРС</v>
          </cell>
          <cell r="H214" t="str">
            <v>ЭЦН</v>
          </cell>
          <cell r="I214" t="str">
            <v>бдт</v>
          </cell>
          <cell r="J214">
            <v>37501</v>
          </cell>
          <cell r="K214">
            <v>0</v>
          </cell>
          <cell r="L214">
            <v>0</v>
          </cell>
          <cell r="M214">
            <v>0</v>
          </cell>
          <cell r="N214">
            <v>31</v>
          </cell>
          <cell r="O214">
            <v>3</v>
          </cell>
          <cell r="P214">
            <v>88</v>
          </cell>
          <cell r="Q214">
            <v>31</v>
          </cell>
          <cell r="R214">
            <v>3</v>
          </cell>
          <cell r="S214">
            <v>88.1</v>
          </cell>
          <cell r="T214">
            <v>37583</v>
          </cell>
          <cell r="U214" t="str">
            <v>бдп</v>
          </cell>
          <cell r="W214" t="str">
            <v>Ревизия Э-50</v>
          </cell>
        </row>
        <row r="215">
          <cell r="B215">
            <v>5463</v>
          </cell>
          <cell r="C215">
            <v>106</v>
          </cell>
          <cell r="F215" t="str">
            <v>ПРС</v>
          </cell>
          <cell r="G215">
            <v>270</v>
          </cell>
          <cell r="H215" t="str">
            <v>ЭЦН</v>
          </cell>
          <cell r="I215" t="str">
            <v>конс.</v>
          </cell>
          <cell r="J215">
            <v>33878</v>
          </cell>
          <cell r="K215">
            <v>0</v>
          </cell>
          <cell r="L215">
            <v>0</v>
          </cell>
          <cell r="M215">
            <v>0</v>
          </cell>
          <cell r="N215">
            <v>35</v>
          </cell>
          <cell r="O215">
            <v>10</v>
          </cell>
          <cell r="P215">
            <v>65</v>
          </cell>
          <cell r="Q215">
            <v>35</v>
          </cell>
          <cell r="R215">
            <v>10</v>
          </cell>
          <cell r="S215">
            <v>64.7</v>
          </cell>
          <cell r="T215">
            <v>37593</v>
          </cell>
          <cell r="U215" t="str">
            <v>вцд</v>
          </cell>
          <cell r="W215" t="str">
            <v>ВЦ,смена Э-50/30</v>
          </cell>
        </row>
        <row r="216">
          <cell r="B216">
            <v>5481</v>
          </cell>
          <cell r="C216">
            <v>114</v>
          </cell>
          <cell r="F216" t="str">
            <v>ПРС</v>
          </cell>
          <cell r="H216" t="str">
            <v>ШГН</v>
          </cell>
          <cell r="I216" t="str">
            <v>действ.</v>
          </cell>
          <cell r="K216">
            <v>25</v>
          </cell>
          <cell r="L216">
            <v>6.1</v>
          </cell>
          <cell r="M216">
            <v>70</v>
          </cell>
          <cell r="N216">
            <v>44</v>
          </cell>
          <cell r="O216">
            <v>10.8</v>
          </cell>
          <cell r="P216">
            <v>70</v>
          </cell>
          <cell r="Q216">
            <v>19</v>
          </cell>
          <cell r="R216">
            <v>4.5</v>
          </cell>
          <cell r="S216">
            <v>70.8</v>
          </cell>
          <cell r="T216">
            <v>37610</v>
          </cell>
          <cell r="U216" t="str">
            <v>опт</v>
          </cell>
          <cell r="W216" t="str">
            <v>Смена Н-57/Э-50</v>
          </cell>
        </row>
        <row r="217">
          <cell r="W217" t="str">
            <v>Выполненые ГТМ</v>
          </cell>
        </row>
        <row r="218">
          <cell r="W218" t="str">
            <v>ПРС</v>
          </cell>
        </row>
        <row r="219">
          <cell r="B219">
            <v>3632</v>
          </cell>
          <cell r="C219">
            <v>93</v>
          </cell>
          <cell r="F219" t="str">
            <v>ПРС</v>
          </cell>
          <cell r="H219" t="str">
            <v>ЭЦН</v>
          </cell>
          <cell r="I219" t="str">
            <v>действ.</v>
          </cell>
          <cell r="K219">
            <v>227</v>
          </cell>
          <cell r="L219">
            <v>14.8</v>
          </cell>
          <cell r="M219">
            <v>92</v>
          </cell>
          <cell r="N219">
            <v>385</v>
          </cell>
          <cell r="O219">
            <v>25.1</v>
          </cell>
          <cell r="P219">
            <v>92</v>
          </cell>
          <cell r="Q219">
            <v>158</v>
          </cell>
          <cell r="R219">
            <v>10.3</v>
          </cell>
          <cell r="S219">
            <v>92</v>
          </cell>
          <cell r="T219">
            <v>37499</v>
          </cell>
          <cell r="U219" t="str">
            <v>опт</v>
          </cell>
          <cell r="W219" t="str">
            <v>Оптимизация Э-250/Э-400</v>
          </cell>
        </row>
        <row r="220">
          <cell r="B220">
            <v>2682</v>
          </cell>
          <cell r="C220" t="str">
            <v>145б</v>
          </cell>
          <cell r="F220" t="str">
            <v>ПРС</v>
          </cell>
          <cell r="H220" t="str">
            <v>ЭЦН</v>
          </cell>
          <cell r="I220" t="str">
            <v>бд</v>
          </cell>
          <cell r="J220">
            <v>37424</v>
          </cell>
          <cell r="K220">
            <v>0</v>
          </cell>
          <cell r="L220">
            <v>0</v>
          </cell>
          <cell r="M220">
            <v>0</v>
          </cell>
          <cell r="N220">
            <v>10</v>
          </cell>
          <cell r="O220">
            <v>6.9</v>
          </cell>
          <cell r="P220">
            <v>15</v>
          </cell>
          <cell r="Q220">
            <v>10</v>
          </cell>
          <cell r="R220">
            <v>6.9</v>
          </cell>
          <cell r="S220">
            <v>14.8</v>
          </cell>
          <cell r="T220">
            <v>37559</v>
          </cell>
          <cell r="U220" t="str">
            <v>БДт</v>
          </cell>
          <cell r="W220" t="str">
            <v>Смена вор./Н-44</v>
          </cell>
        </row>
        <row r="221">
          <cell r="B221">
            <v>2932</v>
          </cell>
          <cell r="C221">
            <v>44</v>
          </cell>
          <cell r="F221" t="str">
            <v>ПРС</v>
          </cell>
          <cell r="H221" t="str">
            <v>ШГН</v>
          </cell>
          <cell r="I221" t="str">
            <v>действ.</v>
          </cell>
          <cell r="K221">
            <v>17</v>
          </cell>
          <cell r="L221">
            <v>6.2</v>
          </cell>
          <cell r="M221">
            <v>55</v>
          </cell>
          <cell r="N221">
            <v>36.460183709538867</v>
          </cell>
          <cell r="O221">
            <v>13.4</v>
          </cell>
          <cell r="P221">
            <v>55</v>
          </cell>
          <cell r="Q221">
            <v>19.460183709538867</v>
          </cell>
          <cell r="R221">
            <v>7.2</v>
          </cell>
          <cell r="S221">
            <v>54.3</v>
          </cell>
          <cell r="T221">
            <v>37496</v>
          </cell>
          <cell r="U221" t="str">
            <v>опт</v>
          </cell>
          <cell r="W221" t="str">
            <v>Оптимизация Н-57/Э-30</v>
          </cell>
        </row>
        <row r="222">
          <cell r="B222">
            <v>3011</v>
          </cell>
          <cell r="C222">
            <v>51</v>
          </cell>
          <cell r="F222" t="str">
            <v>ПРС</v>
          </cell>
          <cell r="H222" t="str">
            <v>ЭЦН</v>
          </cell>
          <cell r="I222" t="str">
            <v>конс.</v>
          </cell>
          <cell r="N222">
            <v>50</v>
          </cell>
          <cell r="O222">
            <v>5.0999999999999996</v>
          </cell>
          <cell r="P222">
            <v>87.6</v>
          </cell>
          <cell r="Q222">
            <v>50</v>
          </cell>
          <cell r="R222">
            <v>5.0999999999999996</v>
          </cell>
          <cell r="S222">
            <v>87.4</v>
          </cell>
          <cell r="T222">
            <v>37493</v>
          </cell>
          <cell r="U222" t="str">
            <v>ВЦД</v>
          </cell>
          <cell r="W222" t="str">
            <v>ВЦ ревизия</v>
          </cell>
        </row>
        <row r="223">
          <cell r="B223">
            <v>11003</v>
          </cell>
          <cell r="C223" t="str">
            <v>123б</v>
          </cell>
          <cell r="F223" t="str">
            <v>ПРС</v>
          </cell>
          <cell r="H223" t="str">
            <v>ЭЦН</v>
          </cell>
          <cell r="I223" t="str">
            <v>действ.</v>
          </cell>
          <cell r="K223">
            <v>130</v>
          </cell>
          <cell r="L223">
            <v>7.4</v>
          </cell>
          <cell r="M223">
            <v>93</v>
          </cell>
          <cell r="N223">
            <v>230</v>
          </cell>
          <cell r="O223">
            <v>11.2</v>
          </cell>
          <cell r="P223">
            <v>94</v>
          </cell>
          <cell r="Q223">
            <v>100</v>
          </cell>
          <cell r="R223">
            <v>3.8</v>
          </cell>
          <cell r="S223">
            <v>95.3</v>
          </cell>
          <cell r="T223">
            <v>37485</v>
          </cell>
          <cell r="U223" t="str">
            <v>опт</v>
          </cell>
          <cell r="W223" t="str">
            <v>Оптимизация Э-125/Э-250</v>
          </cell>
        </row>
        <row r="224">
          <cell r="B224">
            <v>3117</v>
          </cell>
          <cell r="C224" t="str">
            <v>44б</v>
          </cell>
          <cell r="F224" t="str">
            <v>ПРС</v>
          </cell>
          <cell r="H224" t="str">
            <v>ШГН</v>
          </cell>
          <cell r="I224" t="str">
            <v>действ.</v>
          </cell>
          <cell r="K224">
            <v>14</v>
          </cell>
          <cell r="L224">
            <v>11</v>
          </cell>
          <cell r="M224">
            <v>4</v>
          </cell>
          <cell r="N224">
            <v>24</v>
          </cell>
          <cell r="O224">
            <v>18.7</v>
          </cell>
          <cell r="P224">
            <v>4</v>
          </cell>
          <cell r="Q224">
            <v>10</v>
          </cell>
          <cell r="R224">
            <v>7.7</v>
          </cell>
          <cell r="S224">
            <v>4</v>
          </cell>
          <cell r="T224">
            <v>37748</v>
          </cell>
          <cell r="U224" t="str">
            <v>опт</v>
          </cell>
          <cell r="W224" t="str">
            <v>Оптимизация НН-57/Э-30</v>
          </cell>
        </row>
        <row r="225">
          <cell r="B225">
            <v>5660</v>
          </cell>
          <cell r="C225" t="str">
            <v>122б</v>
          </cell>
          <cell r="F225" t="str">
            <v>ПРС</v>
          </cell>
          <cell r="H225" t="str">
            <v>ЭЦН</v>
          </cell>
          <cell r="I225" t="str">
            <v>действ.</v>
          </cell>
          <cell r="K225">
            <v>110</v>
          </cell>
          <cell r="L225">
            <v>5.4</v>
          </cell>
          <cell r="M225">
            <v>94</v>
          </cell>
          <cell r="N225">
            <v>212</v>
          </cell>
          <cell r="O225">
            <v>10.4</v>
          </cell>
          <cell r="P225">
            <v>94</v>
          </cell>
          <cell r="Q225">
            <v>102</v>
          </cell>
          <cell r="R225">
            <v>5</v>
          </cell>
          <cell r="S225">
            <v>94</v>
          </cell>
          <cell r="T225">
            <v>37753</v>
          </cell>
          <cell r="U225" t="str">
            <v>опт</v>
          </cell>
          <cell r="W225" t="str">
            <v>Оптимизация Э-80/250</v>
          </cell>
        </row>
        <row r="226">
          <cell r="B226">
            <v>11034</v>
          </cell>
          <cell r="C226" t="str">
            <v>301б</v>
          </cell>
          <cell r="F226" t="str">
            <v>ПРС</v>
          </cell>
          <cell r="H226" t="str">
            <v>ШГН</v>
          </cell>
          <cell r="I226" t="str">
            <v>действ.</v>
          </cell>
          <cell r="K226">
            <v>33.5</v>
          </cell>
          <cell r="L226">
            <v>8.5</v>
          </cell>
          <cell r="M226">
            <v>69</v>
          </cell>
          <cell r="N226">
            <v>80</v>
          </cell>
          <cell r="O226">
            <v>20.2</v>
          </cell>
          <cell r="P226">
            <v>69</v>
          </cell>
          <cell r="Q226">
            <v>46.5</v>
          </cell>
          <cell r="R226">
            <v>11.7</v>
          </cell>
          <cell r="S226">
            <v>69</v>
          </cell>
          <cell r="T226">
            <v>37766</v>
          </cell>
          <cell r="U226" t="str">
            <v>опт</v>
          </cell>
          <cell r="W226" t="str">
            <v>Оптимизация Н-57/Э-80</v>
          </cell>
        </row>
        <row r="227">
          <cell r="B227">
            <v>5702</v>
          </cell>
          <cell r="C227">
            <v>126</v>
          </cell>
          <cell r="F227" t="str">
            <v>ПРС</v>
          </cell>
          <cell r="H227" t="str">
            <v>ШГН</v>
          </cell>
          <cell r="I227" t="str">
            <v>действ.</v>
          </cell>
          <cell r="K227">
            <v>17</v>
          </cell>
          <cell r="L227">
            <v>10.1</v>
          </cell>
          <cell r="M227">
            <v>27</v>
          </cell>
          <cell r="N227">
            <v>50</v>
          </cell>
          <cell r="O227">
            <v>28.5</v>
          </cell>
          <cell r="P227">
            <v>30</v>
          </cell>
          <cell r="Q227">
            <v>33</v>
          </cell>
          <cell r="R227">
            <v>18.399999999999999</v>
          </cell>
          <cell r="S227">
            <v>31.2</v>
          </cell>
          <cell r="T227">
            <v>37482</v>
          </cell>
          <cell r="U227" t="str">
            <v>опт</v>
          </cell>
          <cell r="W227" t="str">
            <v>Оптимизация Н-44/Э-30</v>
          </cell>
        </row>
        <row r="228">
          <cell r="B228">
            <v>5221</v>
          </cell>
          <cell r="C228">
            <v>126</v>
          </cell>
          <cell r="F228" t="str">
            <v>ПРС</v>
          </cell>
          <cell r="H228" t="str">
            <v>ШГН</v>
          </cell>
          <cell r="I228" t="str">
            <v>бд</v>
          </cell>
          <cell r="N228">
            <v>4</v>
          </cell>
          <cell r="O228">
            <v>2.8</v>
          </cell>
          <cell r="P228">
            <v>13</v>
          </cell>
          <cell r="Q228">
            <v>4</v>
          </cell>
          <cell r="R228">
            <v>2.8</v>
          </cell>
          <cell r="S228">
            <v>13.6</v>
          </cell>
          <cell r="T228">
            <v>37482</v>
          </cell>
          <cell r="U228" t="str">
            <v>БДП</v>
          </cell>
          <cell r="W228" t="str">
            <v>ГО</v>
          </cell>
        </row>
        <row r="229">
          <cell r="B229">
            <v>4272</v>
          </cell>
          <cell r="C229">
            <v>218</v>
          </cell>
          <cell r="F229" t="str">
            <v>ПРС</v>
          </cell>
          <cell r="H229" t="str">
            <v>ЭЦН</v>
          </cell>
          <cell r="I229" t="str">
            <v>бд</v>
          </cell>
          <cell r="N229">
            <v>50</v>
          </cell>
          <cell r="O229">
            <v>2</v>
          </cell>
          <cell r="P229">
            <v>95</v>
          </cell>
          <cell r="Q229">
            <v>50</v>
          </cell>
          <cell r="R229">
            <v>2</v>
          </cell>
          <cell r="S229">
            <v>95.1</v>
          </cell>
          <cell r="T229">
            <v>37463</v>
          </cell>
          <cell r="U229" t="str">
            <v>БДП</v>
          </cell>
          <cell r="W229" t="str">
            <v>См.вор./э-50</v>
          </cell>
        </row>
        <row r="230">
          <cell r="B230">
            <v>4123</v>
          </cell>
          <cell r="C230">
            <v>314</v>
          </cell>
          <cell r="F230" t="str">
            <v>ПРС</v>
          </cell>
          <cell r="H230" t="str">
            <v>ШГН</v>
          </cell>
          <cell r="I230" t="str">
            <v>бд</v>
          </cell>
          <cell r="N230">
            <v>4</v>
          </cell>
          <cell r="O230">
            <v>3</v>
          </cell>
          <cell r="P230">
            <v>7.9754601226993849</v>
          </cell>
          <cell r="Q230">
            <v>4</v>
          </cell>
          <cell r="R230">
            <v>3</v>
          </cell>
          <cell r="S230">
            <v>7.4</v>
          </cell>
          <cell r="T230">
            <v>37458</v>
          </cell>
          <cell r="U230" t="str">
            <v>БДП</v>
          </cell>
          <cell r="W230" t="str">
            <v>Ревизия</v>
          </cell>
        </row>
        <row r="231">
          <cell r="B231">
            <v>3530</v>
          </cell>
          <cell r="C231" t="str">
            <v>98б</v>
          </cell>
          <cell r="F231" t="str">
            <v>ПРС</v>
          </cell>
          <cell r="H231" t="str">
            <v>ЭЦН</v>
          </cell>
          <cell r="I231" t="str">
            <v>действ.</v>
          </cell>
          <cell r="K231">
            <v>27</v>
          </cell>
          <cell r="L231">
            <v>11.4</v>
          </cell>
          <cell r="M231">
            <v>48</v>
          </cell>
          <cell r="N231">
            <v>42</v>
          </cell>
          <cell r="O231">
            <v>16.100000000000001</v>
          </cell>
          <cell r="P231">
            <v>53</v>
          </cell>
          <cell r="Q231">
            <v>15</v>
          </cell>
          <cell r="R231">
            <v>4.7000000000000011</v>
          </cell>
          <cell r="S231">
            <v>61.3</v>
          </cell>
          <cell r="T231">
            <v>37453</v>
          </cell>
          <cell r="U231" t="str">
            <v>опт</v>
          </cell>
          <cell r="W231" t="str">
            <v>Оптимизация Э-30/Э-50</v>
          </cell>
        </row>
        <row r="232">
          <cell r="B232">
            <v>3982</v>
          </cell>
          <cell r="C232" t="str">
            <v>196б</v>
          </cell>
          <cell r="F232" t="str">
            <v>ПРС</v>
          </cell>
          <cell r="H232" t="str">
            <v>ЭЦН</v>
          </cell>
          <cell r="I232" t="str">
            <v>действ.</v>
          </cell>
          <cell r="K232">
            <v>91</v>
          </cell>
          <cell r="L232">
            <v>17.8</v>
          </cell>
          <cell r="M232">
            <v>76</v>
          </cell>
          <cell r="N232">
            <v>117</v>
          </cell>
          <cell r="O232">
            <v>21</v>
          </cell>
          <cell r="P232">
            <v>78</v>
          </cell>
          <cell r="Q232">
            <v>26</v>
          </cell>
          <cell r="R232">
            <v>3.1999999999999993</v>
          </cell>
          <cell r="S232">
            <v>84.8</v>
          </cell>
          <cell r="T232">
            <v>37443</v>
          </cell>
          <cell r="U232" t="str">
            <v>опт</v>
          </cell>
          <cell r="W232" t="str">
            <v>Оптимизация Э-80/125</v>
          </cell>
        </row>
        <row r="233">
          <cell r="B233">
            <v>5491</v>
          </cell>
          <cell r="C233">
            <v>117</v>
          </cell>
          <cell r="F233" t="str">
            <v>ПРС</v>
          </cell>
          <cell r="H233" t="str">
            <v>ЭЦН</v>
          </cell>
          <cell r="I233" t="str">
            <v>конс.</v>
          </cell>
          <cell r="N233">
            <v>16</v>
          </cell>
          <cell r="O233">
            <v>7.4</v>
          </cell>
          <cell r="P233">
            <v>43</v>
          </cell>
          <cell r="Q233">
            <v>16</v>
          </cell>
          <cell r="R233">
            <v>7.4</v>
          </cell>
          <cell r="S233">
            <v>42.9</v>
          </cell>
          <cell r="T233">
            <v>37441</v>
          </cell>
          <cell r="U233" t="str">
            <v>ВЦД</v>
          </cell>
          <cell r="W233" t="str">
            <v>ВЦ, См.вор./э-50</v>
          </cell>
        </row>
        <row r="234">
          <cell r="B234">
            <v>2629</v>
          </cell>
          <cell r="C234" t="str">
            <v>157б</v>
          </cell>
          <cell r="F234" t="str">
            <v>ПРС</v>
          </cell>
          <cell r="H234" t="str">
            <v>ШГН</v>
          </cell>
          <cell r="I234" t="str">
            <v>бд</v>
          </cell>
          <cell r="N234">
            <v>5</v>
          </cell>
          <cell r="O234">
            <v>3.6</v>
          </cell>
          <cell r="P234">
            <v>12</v>
          </cell>
          <cell r="Q234">
            <v>5</v>
          </cell>
          <cell r="R234">
            <v>3.6</v>
          </cell>
          <cell r="S234">
            <v>11.1</v>
          </cell>
          <cell r="T234">
            <v>37832</v>
          </cell>
          <cell r="U234" t="str">
            <v>ГРП</v>
          </cell>
          <cell r="W234" t="str">
            <v>Ревизия</v>
          </cell>
        </row>
        <row r="235">
          <cell r="B235">
            <v>5464</v>
          </cell>
          <cell r="C235">
            <v>106</v>
          </cell>
          <cell r="F235" t="str">
            <v>ПРС</v>
          </cell>
          <cell r="G235">
            <v>265</v>
          </cell>
          <cell r="H235" t="str">
            <v>ЭЦН</v>
          </cell>
          <cell r="I235" t="str">
            <v>действ.</v>
          </cell>
          <cell r="K235">
            <v>55</v>
          </cell>
          <cell r="L235">
            <v>25.1</v>
          </cell>
          <cell r="M235">
            <v>44</v>
          </cell>
          <cell r="N235">
            <v>80</v>
          </cell>
          <cell r="O235">
            <v>32.6</v>
          </cell>
          <cell r="P235">
            <v>50</v>
          </cell>
          <cell r="Q235">
            <v>25</v>
          </cell>
          <cell r="R235">
            <v>7.5</v>
          </cell>
          <cell r="S235">
            <v>63</v>
          </cell>
          <cell r="T235">
            <v>37434</v>
          </cell>
          <cell r="U235" t="str">
            <v>опт</v>
          </cell>
          <cell r="W235" t="str">
            <v>Оптимизация Э-50/Э-80</v>
          </cell>
        </row>
        <row r="236">
          <cell r="B236">
            <v>4022</v>
          </cell>
          <cell r="C236">
            <v>314</v>
          </cell>
          <cell r="F236" t="str">
            <v>ПРС</v>
          </cell>
          <cell r="G236">
            <v>255</v>
          </cell>
          <cell r="H236" t="str">
            <v>ШГН</v>
          </cell>
          <cell r="I236" t="str">
            <v>действ.</v>
          </cell>
          <cell r="K236">
            <v>15</v>
          </cell>
          <cell r="L236">
            <v>0.2</v>
          </cell>
          <cell r="M236">
            <v>98</v>
          </cell>
          <cell r="N236">
            <v>45</v>
          </cell>
          <cell r="O236">
            <v>2.2000000000000002</v>
          </cell>
          <cell r="P236">
            <v>94</v>
          </cell>
          <cell r="Q236">
            <v>30</v>
          </cell>
          <cell r="R236">
            <v>2</v>
          </cell>
          <cell r="S236">
            <v>91.8</v>
          </cell>
          <cell r="T236">
            <v>37428</v>
          </cell>
          <cell r="U236" t="str">
            <v>опт</v>
          </cell>
          <cell r="W236" t="str">
            <v>Оптимизация Н-57/Э-50</v>
          </cell>
        </row>
        <row r="237">
          <cell r="B237" t="str">
            <v>5593б</v>
          </cell>
          <cell r="C237">
            <v>141</v>
          </cell>
          <cell r="F237" t="str">
            <v>ПРС</v>
          </cell>
          <cell r="G237">
            <v>260</v>
          </cell>
          <cell r="H237" t="str">
            <v>ЭЦН</v>
          </cell>
          <cell r="I237" t="str">
            <v>действ.</v>
          </cell>
          <cell r="K237">
            <v>25</v>
          </cell>
          <cell r="L237">
            <v>14.7</v>
          </cell>
          <cell r="M237">
            <v>28</v>
          </cell>
          <cell r="N237">
            <v>40</v>
          </cell>
          <cell r="O237">
            <v>22.2</v>
          </cell>
          <cell r="P237">
            <v>32</v>
          </cell>
          <cell r="Q237">
            <v>15</v>
          </cell>
          <cell r="R237">
            <v>7.5</v>
          </cell>
          <cell r="S237">
            <v>38.299999999999997</v>
          </cell>
          <cell r="T237">
            <v>37426</v>
          </cell>
          <cell r="U237" t="str">
            <v>опт</v>
          </cell>
          <cell r="W237" t="str">
            <v>Оптимизация Э-30/Э-50</v>
          </cell>
        </row>
        <row r="238">
          <cell r="B238">
            <v>3494</v>
          </cell>
          <cell r="C238">
            <v>92</v>
          </cell>
          <cell r="F238" t="str">
            <v>ПРС</v>
          </cell>
          <cell r="G238">
            <v>245</v>
          </cell>
          <cell r="H238" t="str">
            <v>ЭЦН</v>
          </cell>
          <cell r="I238" t="str">
            <v>действ.</v>
          </cell>
          <cell r="K238">
            <v>150</v>
          </cell>
          <cell r="L238">
            <v>11</v>
          </cell>
          <cell r="M238">
            <v>91</v>
          </cell>
          <cell r="N238">
            <v>275</v>
          </cell>
          <cell r="O238">
            <v>24.7</v>
          </cell>
          <cell r="P238">
            <v>89</v>
          </cell>
          <cell r="Q238">
            <v>125</v>
          </cell>
          <cell r="R238">
            <v>13.7</v>
          </cell>
          <cell r="S238">
            <v>86.5</v>
          </cell>
          <cell r="T238">
            <v>37421</v>
          </cell>
          <cell r="U238" t="str">
            <v>опт</v>
          </cell>
          <cell r="W238" t="str">
            <v>Оптимизация Э-125/Э-250</v>
          </cell>
        </row>
        <row r="239">
          <cell r="B239">
            <v>5437</v>
          </cell>
          <cell r="C239">
            <v>106</v>
          </cell>
          <cell r="F239" t="str">
            <v>ПРС</v>
          </cell>
          <cell r="G239">
            <v>275</v>
          </cell>
          <cell r="H239" t="str">
            <v>ЭЦН</v>
          </cell>
          <cell r="I239" t="str">
            <v>конс.</v>
          </cell>
          <cell r="K239">
            <v>0</v>
          </cell>
          <cell r="L239">
            <v>0</v>
          </cell>
          <cell r="M239">
            <v>0</v>
          </cell>
          <cell r="N239">
            <v>24</v>
          </cell>
          <cell r="O239">
            <v>5.9</v>
          </cell>
          <cell r="P239">
            <v>70</v>
          </cell>
          <cell r="Q239">
            <v>24</v>
          </cell>
          <cell r="R239">
            <v>5.9</v>
          </cell>
          <cell r="S239">
            <v>69.7</v>
          </cell>
          <cell r="T239">
            <v>37415</v>
          </cell>
          <cell r="U239" t="str">
            <v>ВЦД</v>
          </cell>
          <cell r="W239" t="str">
            <v>ВЦ, ГДИ, сп.ЭЦН</v>
          </cell>
        </row>
        <row r="240">
          <cell r="B240">
            <v>2850</v>
          </cell>
          <cell r="C240">
            <v>129</v>
          </cell>
          <cell r="F240" t="str">
            <v>ПРС</v>
          </cell>
          <cell r="G240">
            <v>260</v>
          </cell>
          <cell r="H240" t="str">
            <v>ШГН</v>
          </cell>
          <cell r="I240" t="str">
            <v>бд</v>
          </cell>
          <cell r="K240">
            <v>0</v>
          </cell>
          <cell r="L240">
            <v>0</v>
          </cell>
          <cell r="M240">
            <v>0</v>
          </cell>
          <cell r="N240">
            <v>3</v>
          </cell>
          <cell r="O240">
            <v>1.5</v>
          </cell>
          <cell r="P240">
            <v>39</v>
          </cell>
          <cell r="Q240">
            <v>3</v>
          </cell>
          <cell r="R240">
            <v>1.5</v>
          </cell>
          <cell r="S240">
            <v>38.299999999999997</v>
          </cell>
          <cell r="T240">
            <v>37414</v>
          </cell>
          <cell r="U240" t="str">
            <v>БДП</v>
          </cell>
          <cell r="W240" t="str">
            <v>ПРС, ост.на зиму</v>
          </cell>
        </row>
        <row r="241">
          <cell r="B241">
            <v>5404</v>
          </cell>
          <cell r="C241">
            <v>104</v>
          </cell>
          <cell r="F241" t="str">
            <v>ПРС</v>
          </cell>
          <cell r="G241">
            <v>250</v>
          </cell>
          <cell r="H241" t="str">
            <v>ШГН</v>
          </cell>
          <cell r="I241" t="str">
            <v>бд</v>
          </cell>
          <cell r="K241">
            <v>0</v>
          </cell>
          <cell r="L241">
            <v>0</v>
          </cell>
          <cell r="M241">
            <v>0</v>
          </cell>
          <cell r="N241">
            <v>6</v>
          </cell>
          <cell r="O241">
            <v>4.4000000000000004</v>
          </cell>
          <cell r="P241">
            <v>10</v>
          </cell>
          <cell r="Q241">
            <v>6</v>
          </cell>
          <cell r="R241">
            <v>4.4000000000000004</v>
          </cell>
          <cell r="S241">
            <v>9.5</v>
          </cell>
          <cell r="T241">
            <v>37908</v>
          </cell>
          <cell r="U241" t="str">
            <v>вцд</v>
          </cell>
          <cell r="W241" t="str">
            <v>ВЦ "Э-пр"см.шгн</v>
          </cell>
        </row>
        <row r="242">
          <cell r="B242">
            <v>3100</v>
          </cell>
          <cell r="C242">
            <v>52</v>
          </cell>
          <cell r="F242" t="str">
            <v>ПРС</v>
          </cell>
          <cell r="G242">
            <v>297</v>
          </cell>
          <cell r="H242" t="str">
            <v>ШГН</v>
          </cell>
          <cell r="I242" t="str">
            <v>действ.</v>
          </cell>
          <cell r="K242">
            <v>26</v>
          </cell>
          <cell r="L242">
            <v>6.4</v>
          </cell>
          <cell r="M242">
            <v>70</v>
          </cell>
          <cell r="N242">
            <v>72</v>
          </cell>
          <cell r="O242">
            <v>16.399999999999999</v>
          </cell>
          <cell r="P242">
            <v>72</v>
          </cell>
          <cell r="Q242">
            <v>46</v>
          </cell>
          <cell r="R242">
            <v>9.9999999999999982</v>
          </cell>
          <cell r="S242">
            <v>73.2</v>
          </cell>
          <cell r="T242">
            <v>37402</v>
          </cell>
          <cell r="U242" t="str">
            <v>опт</v>
          </cell>
          <cell r="W242" t="str">
            <v>Оптимизация Н-57/Э-50</v>
          </cell>
        </row>
        <row r="243">
          <cell r="B243">
            <v>5551</v>
          </cell>
          <cell r="C243">
            <v>117</v>
          </cell>
          <cell r="F243" t="str">
            <v>ПРС</v>
          </cell>
          <cell r="G243">
            <v>247</v>
          </cell>
          <cell r="H243" t="str">
            <v>ЭЦН</v>
          </cell>
          <cell r="I243" t="str">
            <v>бд</v>
          </cell>
          <cell r="K243" t="e">
            <v>#N/A</v>
          </cell>
          <cell r="L243" t="e">
            <v>#N/A</v>
          </cell>
          <cell r="M243" t="e">
            <v>#N/A</v>
          </cell>
          <cell r="N243">
            <v>61</v>
          </cell>
          <cell r="O243">
            <v>2.5</v>
          </cell>
          <cell r="P243">
            <v>95</v>
          </cell>
          <cell r="Q243">
            <v>61</v>
          </cell>
          <cell r="R243">
            <v>2.5</v>
          </cell>
          <cell r="S243">
            <v>94.9</v>
          </cell>
          <cell r="T243">
            <v>37397</v>
          </cell>
          <cell r="U243" t="str">
            <v>БДП</v>
          </cell>
          <cell r="W243" t="str">
            <v>Из ост.на зиму</v>
          </cell>
        </row>
        <row r="244">
          <cell r="B244">
            <v>4074</v>
          </cell>
          <cell r="C244">
            <v>314</v>
          </cell>
          <cell r="F244" t="str">
            <v>ПРС</v>
          </cell>
          <cell r="G244">
            <v>245</v>
          </cell>
          <cell r="H244" t="str">
            <v>ШГН</v>
          </cell>
          <cell r="I244" t="str">
            <v>бд</v>
          </cell>
          <cell r="K244">
            <v>0</v>
          </cell>
          <cell r="L244">
            <v>0</v>
          </cell>
          <cell r="M244">
            <v>0</v>
          </cell>
          <cell r="N244">
            <v>6</v>
          </cell>
          <cell r="O244">
            <v>4.7</v>
          </cell>
          <cell r="P244">
            <v>3</v>
          </cell>
          <cell r="Q244">
            <v>6</v>
          </cell>
          <cell r="R244">
            <v>4.7</v>
          </cell>
          <cell r="S244">
            <v>3.3</v>
          </cell>
          <cell r="T244">
            <v>37396</v>
          </cell>
          <cell r="U244" t="str">
            <v>ВЦД</v>
          </cell>
          <cell r="W244" t="str">
            <v>ВЦ, ревизия Н-44</v>
          </cell>
        </row>
        <row r="245">
          <cell r="B245" t="str">
            <v>5367б</v>
          </cell>
          <cell r="C245">
            <v>101</v>
          </cell>
          <cell r="F245" t="str">
            <v>ПРС</v>
          </cell>
          <cell r="G245">
            <v>252</v>
          </cell>
          <cell r="H245" t="str">
            <v>ЭЦН</v>
          </cell>
          <cell r="I245" t="str">
            <v>бд</v>
          </cell>
          <cell r="K245">
            <v>8</v>
          </cell>
          <cell r="L245">
            <v>4.3</v>
          </cell>
          <cell r="M245">
            <v>34</v>
          </cell>
          <cell r="N245">
            <v>8</v>
          </cell>
          <cell r="O245">
            <v>4.5999999999999996</v>
          </cell>
          <cell r="P245">
            <v>29</v>
          </cell>
          <cell r="Q245">
            <v>8</v>
          </cell>
          <cell r="R245">
            <v>4.5999999999999996</v>
          </cell>
          <cell r="S245">
            <v>29</v>
          </cell>
          <cell r="T245">
            <v>37396</v>
          </cell>
          <cell r="U245" t="str">
            <v>ВЦД</v>
          </cell>
          <cell r="W245" t="str">
            <v>Восст.цирк</v>
          </cell>
        </row>
        <row r="246">
          <cell r="B246">
            <v>2991</v>
          </cell>
          <cell r="C246">
            <v>48</v>
          </cell>
          <cell r="F246" t="str">
            <v>ПРС</v>
          </cell>
          <cell r="G246">
            <v>255</v>
          </cell>
          <cell r="H246" t="str">
            <v>ЭЦН</v>
          </cell>
          <cell r="I246" t="str">
            <v>действ.</v>
          </cell>
          <cell r="K246">
            <v>53</v>
          </cell>
          <cell r="L246">
            <v>7.3</v>
          </cell>
          <cell r="M246">
            <v>83</v>
          </cell>
          <cell r="N246">
            <v>90</v>
          </cell>
          <cell r="O246">
            <v>9.5</v>
          </cell>
          <cell r="P246">
            <v>87</v>
          </cell>
          <cell r="Q246">
            <v>37</v>
          </cell>
          <cell r="R246">
            <v>2.2000000000000002</v>
          </cell>
          <cell r="S246">
            <v>92.7</v>
          </cell>
          <cell r="T246">
            <v>37392</v>
          </cell>
          <cell r="W246" t="str">
            <v>Ревизия Э-80 с углублением до 2200м</v>
          </cell>
        </row>
        <row r="247">
          <cell r="B247">
            <v>4212</v>
          </cell>
          <cell r="C247">
            <v>311</v>
          </cell>
          <cell r="F247" t="str">
            <v>ПРС</v>
          </cell>
          <cell r="G247">
            <v>251</v>
          </cell>
          <cell r="H247" t="str">
            <v>ЭЦН</v>
          </cell>
          <cell r="I247" t="str">
            <v>действ.</v>
          </cell>
          <cell r="K247">
            <v>84</v>
          </cell>
          <cell r="L247">
            <v>2.7</v>
          </cell>
          <cell r="M247">
            <v>96</v>
          </cell>
          <cell r="N247">
            <v>160</v>
          </cell>
          <cell r="O247">
            <v>3.9</v>
          </cell>
          <cell r="P247">
            <v>97</v>
          </cell>
          <cell r="Q247">
            <v>76</v>
          </cell>
          <cell r="R247">
            <v>1.1999999999999997</v>
          </cell>
          <cell r="S247">
            <v>98.1</v>
          </cell>
          <cell r="T247">
            <v>37392</v>
          </cell>
          <cell r="U247" t="str">
            <v>опт</v>
          </cell>
          <cell r="W247" t="str">
            <v>Оптимизация Э-80/125</v>
          </cell>
        </row>
        <row r="248">
          <cell r="B248">
            <v>2905</v>
          </cell>
          <cell r="C248">
            <v>132</v>
          </cell>
          <cell r="F248" t="str">
            <v>ПРС</v>
          </cell>
          <cell r="G248">
            <v>250</v>
          </cell>
          <cell r="H248" t="str">
            <v>ЭЦН</v>
          </cell>
          <cell r="I248" t="str">
            <v>действ.</v>
          </cell>
          <cell r="K248">
            <v>65</v>
          </cell>
          <cell r="L248">
            <v>2.1</v>
          </cell>
          <cell r="M248">
            <v>96</v>
          </cell>
          <cell r="N248">
            <v>85</v>
          </cell>
          <cell r="O248">
            <v>2.8</v>
          </cell>
          <cell r="P248">
            <v>96</v>
          </cell>
          <cell r="Q248">
            <v>20</v>
          </cell>
          <cell r="R248">
            <v>0.69999999999999973</v>
          </cell>
          <cell r="S248">
            <v>95.7</v>
          </cell>
          <cell r="T248">
            <v>37389</v>
          </cell>
          <cell r="U248" t="str">
            <v>опт</v>
          </cell>
          <cell r="W248" t="str">
            <v>Оптимизация Э-80</v>
          </cell>
        </row>
        <row r="249">
          <cell r="B249">
            <v>4263</v>
          </cell>
          <cell r="C249">
            <v>200</v>
          </cell>
          <cell r="F249" t="str">
            <v>ПРС</v>
          </cell>
          <cell r="G249">
            <v>224</v>
          </cell>
          <cell r="H249" t="str">
            <v>ЭЦН</v>
          </cell>
          <cell r="I249" t="str">
            <v>действ.</v>
          </cell>
          <cell r="K249">
            <v>68</v>
          </cell>
          <cell r="L249">
            <v>2.2000000000000002</v>
          </cell>
          <cell r="M249">
            <v>96</v>
          </cell>
          <cell r="N249">
            <v>160</v>
          </cell>
          <cell r="O249">
            <v>3.9</v>
          </cell>
          <cell r="P249">
            <v>97</v>
          </cell>
          <cell r="Q249">
            <v>92</v>
          </cell>
          <cell r="R249">
            <v>1.6999999999999997</v>
          </cell>
          <cell r="S249">
            <v>97.7</v>
          </cell>
          <cell r="T249">
            <v>37384</v>
          </cell>
          <cell r="U249" t="str">
            <v>опт</v>
          </cell>
          <cell r="W249" t="str">
            <v>Оптимизация Э-50/Э-125 УОПР-800, из ППД</v>
          </cell>
        </row>
        <row r="250">
          <cell r="B250">
            <v>5319</v>
          </cell>
          <cell r="C250">
            <v>134</v>
          </cell>
          <cell r="F250" t="str">
            <v>ПРС</v>
          </cell>
          <cell r="G250">
            <v>249</v>
          </cell>
          <cell r="H250" t="str">
            <v>ЭЦН</v>
          </cell>
          <cell r="I250" t="str">
            <v>действ.</v>
          </cell>
          <cell r="K250">
            <v>45</v>
          </cell>
          <cell r="L250">
            <v>1.5</v>
          </cell>
          <cell r="M250">
            <v>96</v>
          </cell>
          <cell r="N250">
            <v>80</v>
          </cell>
          <cell r="O250">
            <v>3.3</v>
          </cell>
          <cell r="P250">
            <v>95</v>
          </cell>
          <cell r="Q250">
            <v>35</v>
          </cell>
          <cell r="R250">
            <v>1.7999999999999998</v>
          </cell>
          <cell r="S250">
            <v>93.7</v>
          </cell>
          <cell r="T250">
            <v>37384</v>
          </cell>
          <cell r="U250" t="str">
            <v>опт</v>
          </cell>
          <cell r="W250" t="str">
            <v>Оптимизация Э-50/Э-80</v>
          </cell>
        </row>
        <row r="251">
          <cell r="B251">
            <v>2819</v>
          </cell>
          <cell r="C251">
            <v>144</v>
          </cell>
          <cell r="F251" t="str">
            <v>ПРС</v>
          </cell>
          <cell r="G251">
            <v>248</v>
          </cell>
          <cell r="H251" t="str">
            <v>ЭЦН</v>
          </cell>
          <cell r="I251" t="str">
            <v>действ.</v>
          </cell>
          <cell r="K251">
            <v>20</v>
          </cell>
          <cell r="L251">
            <v>1.6</v>
          </cell>
          <cell r="M251">
            <v>90</v>
          </cell>
          <cell r="N251">
            <v>50</v>
          </cell>
          <cell r="O251">
            <v>2.9</v>
          </cell>
          <cell r="P251">
            <v>93</v>
          </cell>
          <cell r="Q251">
            <v>30</v>
          </cell>
          <cell r="R251">
            <v>1.2999999999999998</v>
          </cell>
          <cell r="S251">
            <v>94.7</v>
          </cell>
          <cell r="T251">
            <v>37383</v>
          </cell>
          <cell r="U251" t="str">
            <v>опт</v>
          </cell>
          <cell r="W251" t="str">
            <v>Оптимизация Н-57/Э-50</v>
          </cell>
        </row>
        <row r="253">
          <cell r="B253">
            <v>3632</v>
          </cell>
          <cell r="C253">
            <v>93</v>
          </cell>
          <cell r="F253" t="str">
            <v>ПРС</v>
          </cell>
          <cell r="G253">
            <v>265</v>
          </cell>
          <cell r="H253" t="str">
            <v>ЭЦН</v>
          </cell>
          <cell r="I253" t="str">
            <v>действ.</v>
          </cell>
          <cell r="K253">
            <v>180</v>
          </cell>
          <cell r="L253">
            <v>10.3</v>
          </cell>
          <cell r="M253">
            <v>93</v>
          </cell>
          <cell r="N253">
            <v>250</v>
          </cell>
          <cell r="O253">
            <v>19.600000000000001</v>
          </cell>
          <cell r="P253">
            <v>90.4</v>
          </cell>
          <cell r="Q253">
            <v>70</v>
          </cell>
          <cell r="R253">
            <v>9.3000000000000007</v>
          </cell>
          <cell r="S253">
            <v>83.6</v>
          </cell>
          <cell r="T253">
            <v>37377</v>
          </cell>
          <cell r="U253" t="str">
            <v>опт</v>
          </cell>
          <cell r="V253">
            <v>2</v>
          </cell>
          <cell r="W253" t="str">
            <v>Ревизия Э-250</v>
          </cell>
        </row>
        <row r="254">
          <cell r="B254">
            <v>2933</v>
          </cell>
          <cell r="C254">
            <v>44</v>
          </cell>
          <cell r="F254" t="str">
            <v>ПРС</v>
          </cell>
          <cell r="G254">
            <v>265</v>
          </cell>
          <cell r="H254" t="str">
            <v>ШГН</v>
          </cell>
          <cell r="I254" t="str">
            <v>бд</v>
          </cell>
          <cell r="L254">
            <v>0</v>
          </cell>
          <cell r="N254">
            <v>12</v>
          </cell>
          <cell r="O254">
            <v>7</v>
          </cell>
          <cell r="P254">
            <v>28</v>
          </cell>
          <cell r="Q254">
            <v>12</v>
          </cell>
          <cell r="R254">
            <v>7</v>
          </cell>
          <cell r="S254">
            <v>28</v>
          </cell>
          <cell r="T254">
            <v>37373</v>
          </cell>
          <cell r="U254" t="str">
            <v>ВЦД</v>
          </cell>
          <cell r="V254">
            <v>1</v>
          </cell>
          <cell r="W254" t="str">
            <v>Ревизия НН-57</v>
          </cell>
        </row>
        <row r="255">
          <cell r="B255">
            <v>5284</v>
          </cell>
          <cell r="C255">
            <v>140</v>
          </cell>
          <cell r="F255" t="str">
            <v>ПРС</v>
          </cell>
          <cell r="H255" t="str">
            <v>ШГН</v>
          </cell>
          <cell r="I255" t="str">
            <v>действ.</v>
          </cell>
          <cell r="K255">
            <v>20</v>
          </cell>
          <cell r="L255">
            <v>14</v>
          </cell>
          <cell r="M255">
            <v>14</v>
          </cell>
          <cell r="N255">
            <v>53</v>
          </cell>
          <cell r="O255">
            <v>16</v>
          </cell>
          <cell r="P255">
            <v>63</v>
          </cell>
          <cell r="Q255">
            <v>33</v>
          </cell>
          <cell r="R255">
            <v>2</v>
          </cell>
          <cell r="S255">
            <v>92.5</v>
          </cell>
          <cell r="T255">
            <v>37365</v>
          </cell>
          <cell r="U255" t="str">
            <v>опт</v>
          </cell>
          <cell r="V255">
            <v>1</v>
          </cell>
          <cell r="W255" t="str">
            <v>Опт.Н-44/Э-30</v>
          </cell>
        </row>
        <row r="256">
          <cell r="B256">
            <v>5609</v>
          </cell>
          <cell r="C256">
            <v>114</v>
          </cell>
          <cell r="F256" t="str">
            <v>ПРС</v>
          </cell>
          <cell r="G256">
            <v>230</v>
          </cell>
          <cell r="H256" t="str">
            <v>ШГН</v>
          </cell>
          <cell r="I256" t="str">
            <v>бд</v>
          </cell>
          <cell r="J256">
            <v>37064</v>
          </cell>
          <cell r="K256">
            <v>2</v>
          </cell>
          <cell r="L256">
            <v>1.6</v>
          </cell>
          <cell r="M256">
            <v>0</v>
          </cell>
          <cell r="N256">
            <v>4</v>
          </cell>
          <cell r="O256">
            <v>2.1</v>
          </cell>
          <cell r="P256">
            <v>35</v>
          </cell>
          <cell r="Q256">
            <v>4</v>
          </cell>
          <cell r="R256">
            <v>2.1</v>
          </cell>
          <cell r="S256">
            <v>35.200000000000003</v>
          </cell>
          <cell r="T256">
            <v>37360</v>
          </cell>
          <cell r="U256" t="str">
            <v>БДП</v>
          </cell>
          <cell r="V256">
            <v>1</v>
          </cell>
          <cell r="W256" t="str">
            <v>ВЦ,ревизия НВ-32</v>
          </cell>
        </row>
        <row r="257">
          <cell r="B257">
            <v>3712</v>
          </cell>
          <cell r="C257">
            <v>303</v>
          </cell>
          <cell r="F257" t="str">
            <v>ПРС</v>
          </cell>
          <cell r="H257" t="str">
            <v>ШГН</v>
          </cell>
          <cell r="I257" t="str">
            <v>действ.</v>
          </cell>
          <cell r="K257">
            <v>150</v>
          </cell>
          <cell r="L257">
            <v>6.1</v>
          </cell>
          <cell r="M257">
            <v>95</v>
          </cell>
          <cell r="N257">
            <v>175</v>
          </cell>
          <cell r="O257">
            <v>8.1</v>
          </cell>
          <cell r="P257">
            <v>94.3</v>
          </cell>
          <cell r="Q257">
            <v>25</v>
          </cell>
          <cell r="R257">
            <v>2</v>
          </cell>
          <cell r="S257">
            <v>90.1</v>
          </cell>
          <cell r="T257">
            <v>37360</v>
          </cell>
          <cell r="U257" t="str">
            <v>опт</v>
          </cell>
          <cell r="V257">
            <v>1</v>
          </cell>
          <cell r="W257" t="str">
            <v>Опт.Э-160/Э-200</v>
          </cell>
        </row>
        <row r="258">
          <cell r="B258">
            <v>5528</v>
          </cell>
          <cell r="C258" t="str">
            <v>119б</v>
          </cell>
          <cell r="F258" t="str">
            <v>ПРС</v>
          </cell>
          <cell r="G258">
            <v>250</v>
          </cell>
          <cell r="H258" t="str">
            <v>ШГН</v>
          </cell>
          <cell r="I258" t="str">
            <v>бд</v>
          </cell>
          <cell r="L258">
            <v>0</v>
          </cell>
          <cell r="N258">
            <v>8</v>
          </cell>
          <cell r="O258">
            <v>5.5</v>
          </cell>
          <cell r="P258">
            <v>15</v>
          </cell>
          <cell r="Q258">
            <v>8</v>
          </cell>
          <cell r="R258">
            <v>5.5</v>
          </cell>
          <cell r="S258">
            <v>15.1</v>
          </cell>
          <cell r="T258">
            <v>37356</v>
          </cell>
          <cell r="U258" t="str">
            <v>БДП</v>
          </cell>
          <cell r="V258">
            <v>1</v>
          </cell>
        </row>
        <row r="259">
          <cell r="B259">
            <v>2721</v>
          </cell>
          <cell r="C259">
            <v>166</v>
          </cell>
          <cell r="F259" t="str">
            <v>ПРС</v>
          </cell>
          <cell r="G259">
            <v>265</v>
          </cell>
          <cell r="H259" t="str">
            <v>ШГН</v>
          </cell>
          <cell r="I259" t="str">
            <v>бд</v>
          </cell>
          <cell r="L259">
            <v>0</v>
          </cell>
          <cell r="N259">
            <v>4</v>
          </cell>
          <cell r="O259">
            <v>2.6</v>
          </cell>
          <cell r="P259">
            <v>20</v>
          </cell>
          <cell r="Q259">
            <v>4</v>
          </cell>
          <cell r="R259">
            <v>2.6</v>
          </cell>
          <cell r="S259">
            <v>19.8</v>
          </cell>
          <cell r="T259">
            <v>37333</v>
          </cell>
          <cell r="U259" t="str">
            <v>БДП</v>
          </cell>
          <cell r="W259" t="str">
            <v>Ревизия НН-44</v>
          </cell>
        </row>
        <row r="260">
          <cell r="B260">
            <v>2681</v>
          </cell>
          <cell r="C260" t="str">
            <v>145б</v>
          </cell>
          <cell r="F260" t="str">
            <v>ПРС</v>
          </cell>
          <cell r="G260">
            <v>265</v>
          </cell>
          <cell r="H260" t="str">
            <v>ШГН</v>
          </cell>
          <cell r="I260" t="str">
            <v>бд</v>
          </cell>
          <cell r="L260">
            <v>0</v>
          </cell>
          <cell r="N260">
            <v>5</v>
          </cell>
          <cell r="O260">
            <v>4</v>
          </cell>
          <cell r="P260">
            <v>3</v>
          </cell>
          <cell r="Q260">
            <v>5</v>
          </cell>
          <cell r="R260">
            <v>4</v>
          </cell>
          <cell r="S260">
            <v>1.2</v>
          </cell>
          <cell r="T260">
            <v>37311</v>
          </cell>
          <cell r="U260" t="str">
            <v>ВЦД</v>
          </cell>
          <cell r="W260" t="str">
            <v>Ревизия НН-44</v>
          </cell>
        </row>
        <row r="261">
          <cell r="B261" t="str">
            <v>136р</v>
          </cell>
          <cell r="G261">
            <v>250</v>
          </cell>
          <cell r="H261" t="str">
            <v>фон</v>
          </cell>
          <cell r="I261" t="str">
            <v>конс.</v>
          </cell>
          <cell r="L261">
            <v>0</v>
          </cell>
          <cell r="N261">
            <v>14</v>
          </cell>
          <cell r="O261">
            <v>10.8</v>
          </cell>
          <cell r="P261">
            <v>5</v>
          </cell>
          <cell r="Q261">
            <v>14</v>
          </cell>
          <cell r="R261">
            <v>10.8</v>
          </cell>
          <cell r="S261">
            <v>4.8</v>
          </cell>
          <cell r="T261">
            <v>37306</v>
          </cell>
          <cell r="U261" t="str">
            <v>БДД</v>
          </cell>
          <cell r="W261" t="str">
            <v>Пуск в работу</v>
          </cell>
        </row>
        <row r="262">
          <cell r="B262">
            <v>2710</v>
          </cell>
          <cell r="C262">
            <v>161</v>
          </cell>
          <cell r="F262" t="str">
            <v>ПРС</v>
          </cell>
          <cell r="H262" t="str">
            <v>ШГН</v>
          </cell>
          <cell r="I262" t="str">
            <v>действ.</v>
          </cell>
          <cell r="K262">
            <v>13</v>
          </cell>
          <cell r="L262">
            <v>6.3</v>
          </cell>
          <cell r="M262">
            <v>41</v>
          </cell>
          <cell r="N262">
            <v>37</v>
          </cell>
          <cell r="O262">
            <v>16</v>
          </cell>
          <cell r="P262">
            <v>47</v>
          </cell>
          <cell r="Q262">
            <v>24</v>
          </cell>
          <cell r="R262">
            <v>9.6999999999999993</v>
          </cell>
          <cell r="S262">
            <v>50.1</v>
          </cell>
          <cell r="T262">
            <v>37533</v>
          </cell>
          <cell r="U262" t="str">
            <v>опт</v>
          </cell>
          <cell r="W262" t="str">
            <v>Оптимизация Н-57/Э-30</v>
          </cell>
        </row>
        <row r="263">
          <cell r="B263">
            <v>2566</v>
          </cell>
          <cell r="C263">
            <v>167</v>
          </cell>
          <cell r="F263" t="str">
            <v>ПРС</v>
          </cell>
          <cell r="H263" t="str">
            <v>фон</v>
          </cell>
          <cell r="I263" t="str">
            <v>бд</v>
          </cell>
          <cell r="J263">
            <v>37389</v>
          </cell>
          <cell r="K263">
            <v>0</v>
          </cell>
          <cell r="L263">
            <v>0</v>
          </cell>
          <cell r="M263">
            <v>0</v>
          </cell>
          <cell r="N263">
            <v>33</v>
          </cell>
          <cell r="O263">
            <v>4.5999999999999996</v>
          </cell>
          <cell r="P263">
            <v>83</v>
          </cell>
          <cell r="Q263">
            <v>33</v>
          </cell>
          <cell r="R263">
            <v>4.5999999999999996</v>
          </cell>
          <cell r="S263">
            <v>82.8</v>
          </cell>
          <cell r="T263">
            <v>37550</v>
          </cell>
          <cell r="U263" t="str">
            <v>ВЦД</v>
          </cell>
          <cell r="W263" t="str">
            <v>ВЦ,ВЗ(ГЖ)сп.Э-80</v>
          </cell>
        </row>
        <row r="264">
          <cell r="B264">
            <v>2755</v>
          </cell>
          <cell r="C264">
            <v>145</v>
          </cell>
          <cell r="F264" t="str">
            <v>ПРС</v>
          </cell>
          <cell r="H264" t="str">
            <v>ЭЦН</v>
          </cell>
          <cell r="I264" t="str">
            <v>бд</v>
          </cell>
          <cell r="J264">
            <v>33968</v>
          </cell>
          <cell r="K264">
            <v>0</v>
          </cell>
          <cell r="L264">
            <v>0</v>
          </cell>
          <cell r="M264">
            <v>0</v>
          </cell>
          <cell r="N264">
            <v>30</v>
          </cell>
          <cell r="O264">
            <v>10.3</v>
          </cell>
          <cell r="P264">
            <v>58</v>
          </cell>
          <cell r="Q264">
            <v>30</v>
          </cell>
          <cell r="R264">
            <v>10.3</v>
          </cell>
          <cell r="S264">
            <v>57.6</v>
          </cell>
          <cell r="T264">
            <v>37551</v>
          </cell>
          <cell r="U264" t="str">
            <v>ВЦД</v>
          </cell>
          <cell r="W264" t="str">
            <v>в.ц.,в.з.(г/ж),Э-60</v>
          </cell>
        </row>
        <row r="265">
          <cell r="B265">
            <v>5585</v>
          </cell>
          <cell r="C265">
            <v>117</v>
          </cell>
          <cell r="F265" t="str">
            <v>ПРС</v>
          </cell>
          <cell r="H265" t="str">
            <v>ЭЦН</v>
          </cell>
          <cell r="I265" t="str">
            <v>бд</v>
          </cell>
          <cell r="J265">
            <v>35610</v>
          </cell>
          <cell r="K265">
            <v>0</v>
          </cell>
          <cell r="L265">
            <v>0</v>
          </cell>
          <cell r="M265">
            <v>0</v>
          </cell>
          <cell r="N265">
            <v>80</v>
          </cell>
          <cell r="O265">
            <v>2</v>
          </cell>
          <cell r="P265">
            <v>97</v>
          </cell>
          <cell r="Q265">
            <v>80</v>
          </cell>
          <cell r="R265">
            <v>2</v>
          </cell>
          <cell r="S265">
            <v>96.9</v>
          </cell>
          <cell r="T265">
            <v>37537</v>
          </cell>
          <cell r="U265" t="str">
            <v>БДП</v>
          </cell>
          <cell r="W265" t="str">
            <v>ВЗ(ГЖ)см.вор./Э-80</v>
          </cell>
        </row>
        <row r="266">
          <cell r="B266">
            <v>5586</v>
          </cell>
          <cell r="C266">
            <v>117</v>
          </cell>
          <cell r="F266" t="str">
            <v>ПРС</v>
          </cell>
          <cell r="H266" t="str">
            <v>ЭЦН</v>
          </cell>
          <cell r="I266" t="str">
            <v>бд</v>
          </cell>
          <cell r="J266">
            <v>35378</v>
          </cell>
          <cell r="K266">
            <v>0</v>
          </cell>
          <cell r="L266">
            <v>0</v>
          </cell>
          <cell r="M266">
            <v>0</v>
          </cell>
          <cell r="N266">
            <v>125</v>
          </cell>
          <cell r="O266">
            <v>5.0999999999999996</v>
          </cell>
          <cell r="P266">
            <v>95</v>
          </cell>
          <cell r="Q266">
            <v>125</v>
          </cell>
          <cell r="R266">
            <v>5.0999999999999996</v>
          </cell>
          <cell r="S266">
            <v>95</v>
          </cell>
          <cell r="T266">
            <v>37544</v>
          </cell>
          <cell r="U266" t="str">
            <v>БДП</v>
          </cell>
          <cell r="W266" t="str">
            <v>в.з.(г/ж), рев.Э-125</v>
          </cell>
        </row>
        <row r="267">
          <cell r="B267">
            <v>2877</v>
          </cell>
          <cell r="C267">
            <v>42</v>
          </cell>
          <cell r="F267" t="str">
            <v>ПРС</v>
          </cell>
          <cell r="H267" t="str">
            <v>ШГН</v>
          </cell>
          <cell r="I267" t="str">
            <v>бд</v>
          </cell>
          <cell r="J267">
            <v>36895</v>
          </cell>
          <cell r="K267">
            <v>0</v>
          </cell>
          <cell r="L267">
            <v>0</v>
          </cell>
          <cell r="M267">
            <v>0</v>
          </cell>
          <cell r="N267">
            <v>11</v>
          </cell>
          <cell r="O267">
            <v>0.7</v>
          </cell>
          <cell r="P267">
            <v>92</v>
          </cell>
          <cell r="Q267">
            <v>11</v>
          </cell>
          <cell r="R267">
            <v>0.7</v>
          </cell>
          <cell r="S267">
            <v>92.1</v>
          </cell>
          <cell r="T267">
            <v>37538</v>
          </cell>
          <cell r="U267" t="str">
            <v>БДП</v>
          </cell>
          <cell r="W267" t="str">
            <v>См.НВ-32/НВ-44, ВЗ(ГЖ)</v>
          </cell>
        </row>
        <row r="268">
          <cell r="B268" t="str">
            <v>5402б</v>
          </cell>
          <cell r="C268">
            <v>103</v>
          </cell>
          <cell r="F268" t="str">
            <v>ПРС</v>
          </cell>
          <cell r="H268" t="str">
            <v>ЭЦН</v>
          </cell>
          <cell r="I268" t="str">
            <v>конс.</v>
          </cell>
          <cell r="J268">
            <v>34099</v>
          </cell>
          <cell r="K268">
            <v>0</v>
          </cell>
          <cell r="L268">
            <v>0</v>
          </cell>
          <cell r="M268">
            <v>0</v>
          </cell>
          <cell r="N268">
            <v>29</v>
          </cell>
          <cell r="O268">
            <v>3.8</v>
          </cell>
          <cell r="P268">
            <v>84</v>
          </cell>
          <cell r="Q268">
            <v>29</v>
          </cell>
          <cell r="R268">
            <v>3.8</v>
          </cell>
          <cell r="S268">
            <v>83.8</v>
          </cell>
          <cell r="T268">
            <v>37550</v>
          </cell>
          <cell r="U268" t="str">
            <v>ВЦД</v>
          </cell>
          <cell r="W268" t="str">
            <v>ВЦ,ВЗ(ГЖ)сп.Э-80</v>
          </cell>
        </row>
        <row r="269">
          <cell r="B269">
            <v>5718</v>
          </cell>
          <cell r="C269" t="str">
            <v>122б</v>
          </cell>
          <cell r="F269" t="str">
            <v>ПРС</v>
          </cell>
          <cell r="H269" t="str">
            <v>ЭЦН</v>
          </cell>
          <cell r="I269" t="str">
            <v>действ.</v>
          </cell>
          <cell r="K269">
            <v>141</v>
          </cell>
          <cell r="L269">
            <v>10.3</v>
          </cell>
          <cell r="M269">
            <v>91</v>
          </cell>
          <cell r="N269">
            <v>200</v>
          </cell>
          <cell r="O269">
            <v>16.3</v>
          </cell>
          <cell r="P269">
            <v>90</v>
          </cell>
          <cell r="Q269">
            <v>59</v>
          </cell>
          <cell r="R269">
            <v>6</v>
          </cell>
          <cell r="S269">
            <v>87.4</v>
          </cell>
          <cell r="T269">
            <v>37574</v>
          </cell>
          <cell r="U269" t="str">
            <v>опт</v>
          </cell>
          <cell r="W269" t="str">
            <v>Смена Э-125/Э-200</v>
          </cell>
        </row>
        <row r="270">
          <cell r="B270">
            <v>5641</v>
          </cell>
          <cell r="C270">
            <v>126</v>
          </cell>
          <cell r="F270" t="str">
            <v>ПРС</v>
          </cell>
          <cell r="H270" t="str">
            <v>ЭЦН</v>
          </cell>
          <cell r="I270" t="str">
            <v>действ.</v>
          </cell>
          <cell r="K270">
            <v>96</v>
          </cell>
          <cell r="L270">
            <v>45.4</v>
          </cell>
          <cell r="M270">
            <v>42</v>
          </cell>
          <cell r="N270">
            <v>120</v>
          </cell>
          <cell r="O270">
            <v>54.8</v>
          </cell>
          <cell r="P270">
            <v>44</v>
          </cell>
          <cell r="Q270">
            <v>24</v>
          </cell>
          <cell r="R270">
            <v>9.3999999999999986</v>
          </cell>
          <cell r="S270">
            <v>51.6</v>
          </cell>
          <cell r="T270">
            <v>37573</v>
          </cell>
          <cell r="U270" t="str">
            <v>опт</v>
          </cell>
          <cell r="W270" t="str">
            <v>Смена Э-80/Э-125</v>
          </cell>
        </row>
        <row r="271">
          <cell r="B271">
            <v>5826</v>
          </cell>
          <cell r="C271">
            <v>167</v>
          </cell>
          <cell r="F271" t="str">
            <v>ПРС</v>
          </cell>
          <cell r="H271" t="str">
            <v>ШГН</v>
          </cell>
          <cell r="I271" t="str">
            <v>действ.</v>
          </cell>
          <cell r="K271">
            <v>39</v>
          </cell>
          <cell r="L271">
            <v>21</v>
          </cell>
          <cell r="M271">
            <v>34</v>
          </cell>
          <cell r="N271">
            <v>50.3</v>
          </cell>
          <cell r="O271">
            <v>27.1</v>
          </cell>
          <cell r="P271">
            <v>34</v>
          </cell>
          <cell r="Q271">
            <v>11.299999999999997</v>
          </cell>
          <cell r="R271">
            <v>6.1000000000000014</v>
          </cell>
          <cell r="S271">
            <v>33.4</v>
          </cell>
          <cell r="T271">
            <v>37843</v>
          </cell>
          <cell r="U271" t="str">
            <v>опт</v>
          </cell>
          <cell r="W271" t="str">
            <v>Оптимизация Э-30/50</v>
          </cell>
        </row>
        <row r="272">
          <cell r="B272">
            <v>5690</v>
          </cell>
          <cell r="C272" t="str">
            <v>122б</v>
          </cell>
          <cell r="F272" t="str">
            <v>ПРС</v>
          </cell>
          <cell r="H272" t="str">
            <v>ЭЦН</v>
          </cell>
          <cell r="I272" t="str">
            <v>бдт</v>
          </cell>
          <cell r="J272">
            <v>37523</v>
          </cell>
          <cell r="K272">
            <v>0</v>
          </cell>
          <cell r="L272">
            <v>0</v>
          </cell>
          <cell r="M272">
            <v>0</v>
          </cell>
          <cell r="N272">
            <v>30</v>
          </cell>
          <cell r="O272">
            <v>5.0999999999999996</v>
          </cell>
          <cell r="P272">
            <v>79</v>
          </cell>
          <cell r="Q272">
            <v>30</v>
          </cell>
          <cell r="R272">
            <v>5.0999999999999996</v>
          </cell>
          <cell r="S272">
            <v>79</v>
          </cell>
          <cell r="T272">
            <v>37577</v>
          </cell>
          <cell r="U272" t="str">
            <v>бдп</v>
          </cell>
          <cell r="W272" t="str">
            <v>См.Э-50/Э-30</v>
          </cell>
        </row>
        <row r="273">
          <cell r="B273">
            <v>5253</v>
          </cell>
          <cell r="C273">
            <v>138</v>
          </cell>
          <cell r="F273" t="str">
            <v>ПРС</v>
          </cell>
          <cell r="H273" t="str">
            <v>ЭЦН</v>
          </cell>
          <cell r="I273" t="str">
            <v>конс.</v>
          </cell>
          <cell r="J273">
            <v>34881</v>
          </cell>
          <cell r="K273">
            <v>0</v>
          </cell>
          <cell r="L273">
            <v>0</v>
          </cell>
          <cell r="M273">
            <v>0</v>
          </cell>
          <cell r="N273">
            <v>48</v>
          </cell>
          <cell r="O273">
            <v>6.2</v>
          </cell>
          <cell r="P273">
            <v>84.2</v>
          </cell>
          <cell r="Q273">
            <v>48</v>
          </cell>
          <cell r="R273">
            <v>6.2</v>
          </cell>
          <cell r="S273">
            <v>84.1</v>
          </cell>
          <cell r="T273">
            <v>37584</v>
          </cell>
          <cell r="U273" t="str">
            <v>бдп</v>
          </cell>
          <cell r="W273" t="str">
            <v>Смена вор./Э-50</v>
          </cell>
        </row>
        <row r="274">
          <cell r="B274" t="str">
            <v>11024б</v>
          </cell>
          <cell r="C274" t="str">
            <v>97б</v>
          </cell>
          <cell r="F274" t="str">
            <v>ПРС</v>
          </cell>
          <cell r="H274" t="str">
            <v>ЭЦН</v>
          </cell>
          <cell r="I274" t="str">
            <v>бд</v>
          </cell>
          <cell r="J274">
            <v>35121</v>
          </cell>
          <cell r="K274">
            <v>0</v>
          </cell>
          <cell r="L274">
            <v>0</v>
          </cell>
          <cell r="M274">
            <v>0</v>
          </cell>
          <cell r="N274">
            <v>50</v>
          </cell>
          <cell r="O274">
            <v>4.0999999999999996</v>
          </cell>
          <cell r="P274">
            <v>90</v>
          </cell>
          <cell r="Q274">
            <v>50</v>
          </cell>
          <cell r="R274">
            <v>4.0999999999999996</v>
          </cell>
          <cell r="S274">
            <v>90</v>
          </cell>
          <cell r="T274">
            <v>37706</v>
          </cell>
          <cell r="U274" t="str">
            <v>ВЦД</v>
          </cell>
          <cell r="W274" t="str">
            <v>ВЦ,ВЗ ГЖ,сп Э-50</v>
          </cell>
        </row>
        <row r="276">
          <cell r="W276" t="str">
            <v>КРС</v>
          </cell>
        </row>
        <row r="277">
          <cell r="B277">
            <v>2629</v>
          </cell>
          <cell r="C277" t="str">
            <v>157б</v>
          </cell>
          <cell r="F277" t="str">
            <v>ЛРС</v>
          </cell>
          <cell r="H277" t="str">
            <v>ШГН</v>
          </cell>
          <cell r="I277" t="str">
            <v>дающая</v>
          </cell>
          <cell r="J277">
            <v>34883</v>
          </cell>
          <cell r="K277">
            <v>9</v>
          </cell>
          <cell r="L277">
            <v>7</v>
          </cell>
          <cell r="M277">
            <v>4</v>
          </cell>
          <cell r="T277">
            <v>37832</v>
          </cell>
          <cell r="U277" t="str">
            <v>ГРП</v>
          </cell>
          <cell r="W277" t="str">
            <v>ПП ЮК-10,ГРП ЮК-10,осв.</v>
          </cell>
        </row>
        <row r="278">
          <cell r="B278">
            <v>5594</v>
          </cell>
          <cell r="C278">
            <v>119</v>
          </cell>
          <cell r="F278" t="str">
            <v>КРС</v>
          </cell>
          <cell r="H278" t="str">
            <v>ЭДН</v>
          </cell>
          <cell r="I278" t="str">
            <v>бд</v>
          </cell>
          <cell r="J278">
            <v>37201</v>
          </cell>
          <cell r="K278">
            <v>0</v>
          </cell>
          <cell r="L278">
            <v>0</v>
          </cell>
          <cell r="M278">
            <v>0</v>
          </cell>
          <cell r="T278">
            <v>37812</v>
          </cell>
          <cell r="U278" t="str">
            <v>ВЦ</v>
          </cell>
          <cell r="W278" t="str">
            <v>ПП ЮК-10,сп.Э-50</v>
          </cell>
        </row>
        <row r="279">
          <cell r="B279">
            <v>3870</v>
          </cell>
          <cell r="C279">
            <v>197</v>
          </cell>
          <cell r="F279" t="str">
            <v>ПРС</v>
          </cell>
          <cell r="H279" t="str">
            <v>Ф/Э</v>
          </cell>
          <cell r="I279" t="str">
            <v>конс.</v>
          </cell>
          <cell r="J279">
            <v>34883</v>
          </cell>
          <cell r="K279">
            <v>0</v>
          </cell>
          <cell r="L279">
            <v>0</v>
          </cell>
          <cell r="M279">
            <v>0</v>
          </cell>
          <cell r="N279">
            <v>80</v>
          </cell>
          <cell r="O279">
            <v>5.2</v>
          </cell>
          <cell r="P279">
            <v>92</v>
          </cell>
          <cell r="Q279">
            <v>80</v>
          </cell>
          <cell r="R279">
            <v>5.2</v>
          </cell>
          <cell r="S279">
            <v>92</v>
          </cell>
          <cell r="T279">
            <v>37810</v>
          </cell>
          <cell r="U279" t="str">
            <v>ВЦД</v>
          </cell>
          <cell r="W279" t="str">
            <v>ВЦ,смЭ/Э-80</v>
          </cell>
        </row>
        <row r="280">
          <cell r="B280">
            <v>3103</v>
          </cell>
          <cell r="C280">
            <v>55</v>
          </cell>
          <cell r="F280" t="str">
            <v>ПРС</v>
          </cell>
          <cell r="H280" t="str">
            <v>Ф/Э</v>
          </cell>
          <cell r="I280" t="str">
            <v>конс.</v>
          </cell>
          <cell r="J280">
            <v>33970</v>
          </cell>
          <cell r="K280">
            <v>0</v>
          </cell>
          <cell r="L280">
            <v>0</v>
          </cell>
          <cell r="M280">
            <v>0</v>
          </cell>
          <cell r="N280">
            <v>50</v>
          </cell>
          <cell r="O280">
            <v>4.0999999999999996</v>
          </cell>
          <cell r="P280">
            <v>90</v>
          </cell>
          <cell r="Q280">
            <v>50</v>
          </cell>
          <cell r="R280">
            <v>4.0999999999999996</v>
          </cell>
          <cell r="S280">
            <v>90</v>
          </cell>
          <cell r="T280">
            <v>37835</v>
          </cell>
          <cell r="U280" t="str">
            <v>ВЦД</v>
          </cell>
          <cell r="W280" t="str">
            <v>ВЦ,смЭ/Э-50</v>
          </cell>
        </row>
        <row r="281">
          <cell r="B281">
            <v>3102</v>
          </cell>
          <cell r="C281">
            <v>55</v>
          </cell>
          <cell r="F281" t="str">
            <v>ПРС</v>
          </cell>
          <cell r="H281" t="str">
            <v>фон</v>
          </cell>
          <cell r="I281" t="str">
            <v>конс.</v>
          </cell>
          <cell r="J281">
            <v>34335</v>
          </cell>
          <cell r="K281">
            <v>0</v>
          </cell>
          <cell r="L281">
            <v>0</v>
          </cell>
          <cell r="M281">
            <v>0</v>
          </cell>
          <cell r="N281">
            <v>50</v>
          </cell>
          <cell r="O281">
            <v>4.0999999999999996</v>
          </cell>
          <cell r="P281">
            <v>90</v>
          </cell>
          <cell r="Q281">
            <v>50</v>
          </cell>
          <cell r="R281">
            <v>4.0999999999999996</v>
          </cell>
          <cell r="S281">
            <v>90</v>
          </cell>
          <cell r="T281">
            <v>37879</v>
          </cell>
          <cell r="U281" t="str">
            <v>ВЦД</v>
          </cell>
          <cell r="W281" t="str">
            <v>ВЦ "Элетропрогрев"</v>
          </cell>
        </row>
        <row r="282">
          <cell r="B282">
            <v>11026</v>
          </cell>
          <cell r="C282" t="str">
            <v>96б</v>
          </cell>
          <cell r="F282" t="str">
            <v>ПРС</v>
          </cell>
          <cell r="H282" t="str">
            <v>фонт</v>
          </cell>
          <cell r="I282" t="str">
            <v>бд</v>
          </cell>
          <cell r="J282">
            <v>34390</v>
          </cell>
          <cell r="K282">
            <v>0</v>
          </cell>
          <cell r="L282">
            <v>0</v>
          </cell>
          <cell r="M282">
            <v>0</v>
          </cell>
          <cell r="N282">
            <v>50</v>
          </cell>
          <cell r="O282">
            <v>7.3</v>
          </cell>
          <cell r="P282">
            <v>90</v>
          </cell>
          <cell r="Q282">
            <v>50</v>
          </cell>
          <cell r="R282">
            <v>4.0999999999999996</v>
          </cell>
          <cell r="S282">
            <v>90</v>
          </cell>
          <cell r="T282">
            <v>37812</v>
          </cell>
          <cell r="U282" t="str">
            <v>ВЦД</v>
          </cell>
          <cell r="W282" t="str">
            <v>ВЦ,см.вор/Э-50</v>
          </cell>
        </row>
        <row r="283">
          <cell r="B283">
            <v>2614</v>
          </cell>
          <cell r="C283">
            <v>157</v>
          </cell>
          <cell r="F283" t="str">
            <v>КРС</v>
          </cell>
          <cell r="H283" t="str">
            <v>ШГН</v>
          </cell>
          <cell r="I283" t="str">
            <v>конс.</v>
          </cell>
          <cell r="J283">
            <v>33786</v>
          </cell>
          <cell r="K283">
            <v>0</v>
          </cell>
          <cell r="L283">
            <v>0</v>
          </cell>
          <cell r="M283">
            <v>0</v>
          </cell>
          <cell r="N283">
            <v>30</v>
          </cell>
          <cell r="O283">
            <v>11</v>
          </cell>
          <cell r="P283">
            <v>55</v>
          </cell>
          <cell r="Q283">
            <v>30</v>
          </cell>
          <cell r="R283">
            <v>11</v>
          </cell>
          <cell r="S283">
            <v>55</v>
          </cell>
          <cell r="T283">
            <v>37823</v>
          </cell>
          <cell r="U283" t="str">
            <v>ВВ</v>
          </cell>
          <cell r="W283" t="str">
            <v>ДП ЮК-11,ПП ЮК-10,ГИС-2</v>
          </cell>
        </row>
        <row r="284">
          <cell r="B284">
            <v>5648</v>
          </cell>
          <cell r="C284">
            <v>125</v>
          </cell>
          <cell r="F284" t="str">
            <v>КРС</v>
          </cell>
          <cell r="H284" t="str">
            <v>Ф/Ш</v>
          </cell>
          <cell r="I284" t="str">
            <v>конс.</v>
          </cell>
          <cell r="J284">
            <v>33786</v>
          </cell>
          <cell r="K284">
            <v>0</v>
          </cell>
          <cell r="L284">
            <v>0</v>
          </cell>
          <cell r="M284">
            <v>0</v>
          </cell>
          <cell r="N284">
            <v>100</v>
          </cell>
          <cell r="O284">
            <v>32.6</v>
          </cell>
          <cell r="P284">
            <v>60</v>
          </cell>
          <cell r="Q284">
            <v>100</v>
          </cell>
          <cell r="R284">
            <v>32.6</v>
          </cell>
          <cell r="S284">
            <v>60</v>
          </cell>
          <cell r="T284">
            <v>37823</v>
          </cell>
          <cell r="U284" t="str">
            <v>ГРП</v>
          </cell>
          <cell r="W284" t="str">
            <v>ВЦ,ГИС-2,,подг.к ГРП ЮК-10</v>
          </cell>
        </row>
        <row r="285">
          <cell r="B285">
            <v>5440</v>
          </cell>
          <cell r="C285">
            <v>108</v>
          </cell>
          <cell r="F285" t="str">
            <v>КРС</v>
          </cell>
          <cell r="H285" t="str">
            <v>ЭЦН</v>
          </cell>
          <cell r="I285" t="str">
            <v>бд</v>
          </cell>
          <cell r="J285">
            <v>34365</v>
          </cell>
          <cell r="K285">
            <v>0</v>
          </cell>
          <cell r="L285">
            <v>0</v>
          </cell>
          <cell r="M285">
            <v>0</v>
          </cell>
          <cell r="N285">
            <v>30</v>
          </cell>
          <cell r="O285">
            <v>7.3</v>
          </cell>
          <cell r="P285">
            <v>70</v>
          </cell>
          <cell r="Q285">
            <v>30</v>
          </cell>
          <cell r="R285">
            <v>7.3</v>
          </cell>
          <cell r="S285">
            <v>70</v>
          </cell>
          <cell r="T285">
            <v>37825</v>
          </cell>
          <cell r="U285" t="str">
            <v>ВЦ</v>
          </cell>
          <cell r="W285" t="str">
            <v>ВЦ,ГИС-2,ПП ЮК-10</v>
          </cell>
        </row>
        <row r="286">
          <cell r="B286">
            <v>5443</v>
          </cell>
          <cell r="C286">
            <v>108</v>
          </cell>
          <cell r="F286" t="str">
            <v>КРС</v>
          </cell>
          <cell r="H286" t="str">
            <v>ШГН</v>
          </cell>
          <cell r="I286" t="str">
            <v>бд</v>
          </cell>
          <cell r="J286">
            <v>35097</v>
          </cell>
          <cell r="K286">
            <v>0</v>
          </cell>
          <cell r="L286">
            <v>0</v>
          </cell>
          <cell r="M286">
            <v>0</v>
          </cell>
          <cell r="N286">
            <v>50</v>
          </cell>
          <cell r="O286">
            <v>9</v>
          </cell>
          <cell r="P286">
            <v>78</v>
          </cell>
          <cell r="Q286">
            <v>50</v>
          </cell>
          <cell r="R286">
            <v>9</v>
          </cell>
          <cell r="S286">
            <v>78</v>
          </cell>
          <cell r="T286">
            <v>37832</v>
          </cell>
          <cell r="U286" t="str">
            <v>ЛА</v>
          </cell>
          <cell r="W286" t="str">
            <v>ВЦ,ВЗ, ПП ЮК-10,сп.ЭЦН</v>
          </cell>
        </row>
        <row r="287">
          <cell r="B287">
            <v>5579</v>
          </cell>
          <cell r="C287">
            <v>115</v>
          </cell>
          <cell r="F287" t="str">
            <v>КРС</v>
          </cell>
          <cell r="H287" t="str">
            <v>Ф/Э</v>
          </cell>
          <cell r="I287" t="str">
            <v>конс.</v>
          </cell>
          <cell r="J287">
            <v>34883</v>
          </cell>
          <cell r="K287">
            <v>0</v>
          </cell>
          <cell r="L287">
            <v>0</v>
          </cell>
          <cell r="M287">
            <v>0</v>
          </cell>
          <cell r="N287">
            <v>50</v>
          </cell>
          <cell r="O287">
            <v>20.399999999999999</v>
          </cell>
          <cell r="P287">
            <v>50</v>
          </cell>
          <cell r="Q287">
            <v>50</v>
          </cell>
          <cell r="R287">
            <v>20.399999999999999</v>
          </cell>
          <cell r="S287">
            <v>50</v>
          </cell>
          <cell r="T287">
            <v>37813</v>
          </cell>
          <cell r="U287" t="str">
            <v>ГРП</v>
          </cell>
          <cell r="W287" t="str">
            <v>ВЦ,ВЗ,ИР ЮК-10,повт.ГРП ЮК-2,осв.</v>
          </cell>
        </row>
        <row r="288">
          <cell r="B288" t="str">
            <v>5484б</v>
          </cell>
          <cell r="C288">
            <v>115</v>
          </cell>
          <cell r="F288" t="str">
            <v>КРС</v>
          </cell>
          <cell r="H288" t="str">
            <v>ЭЦН</v>
          </cell>
          <cell r="I288" t="str">
            <v>дающая</v>
          </cell>
          <cell r="J288" t="e">
            <v>#REF!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37814</v>
          </cell>
          <cell r="U288" t="str">
            <v>нг</v>
          </cell>
          <cell r="W288" t="str">
            <v>перевод в ППД</v>
          </cell>
        </row>
        <row r="289">
          <cell r="B289">
            <v>5563</v>
          </cell>
          <cell r="C289">
            <v>119</v>
          </cell>
          <cell r="F289" t="str">
            <v>КРС</v>
          </cell>
          <cell r="H289" t="str">
            <v>ЭЦН</v>
          </cell>
          <cell r="I289" t="str">
            <v>бд</v>
          </cell>
          <cell r="J289">
            <v>36418</v>
          </cell>
          <cell r="K289">
            <v>0</v>
          </cell>
          <cell r="L289">
            <v>0</v>
          </cell>
          <cell r="M289">
            <v>0</v>
          </cell>
          <cell r="N289">
            <v>50</v>
          </cell>
          <cell r="O289">
            <v>6.1</v>
          </cell>
          <cell r="P289">
            <v>85</v>
          </cell>
          <cell r="Q289">
            <v>50</v>
          </cell>
          <cell r="R289">
            <v>6.1</v>
          </cell>
          <cell r="S289">
            <v>85</v>
          </cell>
          <cell r="T289">
            <v>37829</v>
          </cell>
          <cell r="U289" t="str">
            <v>ЛА</v>
          </cell>
          <cell r="W289" t="str">
            <v>Изв.ЭЦН,ПП ЮК-10</v>
          </cell>
        </row>
        <row r="290">
          <cell r="B290">
            <v>5469</v>
          </cell>
          <cell r="C290">
            <v>108</v>
          </cell>
          <cell r="F290" t="str">
            <v>КРС</v>
          </cell>
          <cell r="H290" t="str">
            <v>Ф/Э</v>
          </cell>
          <cell r="I290" t="str">
            <v>бд</v>
          </cell>
          <cell r="J290">
            <v>34303</v>
          </cell>
          <cell r="K290">
            <v>0</v>
          </cell>
          <cell r="L290">
            <v>0</v>
          </cell>
          <cell r="M290">
            <v>0</v>
          </cell>
          <cell r="N290">
            <v>50</v>
          </cell>
          <cell r="O290">
            <v>8.1999999999999993</v>
          </cell>
          <cell r="P290">
            <v>80</v>
          </cell>
          <cell r="Q290">
            <v>50</v>
          </cell>
          <cell r="R290">
            <v>8.1999999999999993</v>
          </cell>
          <cell r="S290">
            <v>80</v>
          </cell>
          <cell r="T290">
            <v>37832</v>
          </cell>
          <cell r="U290" t="str">
            <v>ОВП</v>
          </cell>
          <cell r="W290" t="str">
            <v>ВЦ,ИР ЮК-11,ГИС-2,ПП ЮК-10</v>
          </cell>
        </row>
        <row r="291">
          <cell r="B291">
            <v>5646</v>
          </cell>
          <cell r="C291">
            <v>125</v>
          </cell>
          <cell r="F291" t="str">
            <v>КРС</v>
          </cell>
          <cell r="H291" t="str">
            <v>ШГН</v>
          </cell>
          <cell r="I291" t="str">
            <v>бд</v>
          </cell>
          <cell r="J291">
            <v>36933</v>
          </cell>
          <cell r="K291">
            <v>0</v>
          </cell>
          <cell r="L291">
            <v>0</v>
          </cell>
          <cell r="M291">
            <v>0</v>
          </cell>
          <cell r="N291">
            <v>40</v>
          </cell>
          <cell r="O291">
            <v>28.7</v>
          </cell>
          <cell r="P291">
            <v>12</v>
          </cell>
          <cell r="Q291">
            <v>40</v>
          </cell>
          <cell r="R291">
            <v>28.7</v>
          </cell>
          <cell r="S291">
            <v>12</v>
          </cell>
          <cell r="T291">
            <v>37816</v>
          </cell>
          <cell r="U291" t="str">
            <v>ГРП</v>
          </cell>
          <cell r="W291" t="str">
            <v>ВЦ,ГИС-2,подг.к ГРП,ЮК-10,осв.</v>
          </cell>
        </row>
        <row r="292">
          <cell r="B292">
            <v>2925</v>
          </cell>
          <cell r="C292">
            <v>132</v>
          </cell>
          <cell r="F292" t="str">
            <v>КРС</v>
          </cell>
          <cell r="H292" t="str">
            <v>фон</v>
          </cell>
          <cell r="I292" t="str">
            <v>конс.</v>
          </cell>
          <cell r="J292">
            <v>34271</v>
          </cell>
          <cell r="K292">
            <v>0</v>
          </cell>
          <cell r="L292">
            <v>0</v>
          </cell>
          <cell r="M292">
            <v>0</v>
          </cell>
          <cell r="N292">
            <v>30</v>
          </cell>
          <cell r="O292">
            <v>7.3</v>
          </cell>
          <cell r="P292">
            <v>70</v>
          </cell>
          <cell r="Q292">
            <v>30</v>
          </cell>
          <cell r="R292">
            <v>7.3</v>
          </cell>
          <cell r="S292">
            <v>70</v>
          </cell>
          <cell r="T292">
            <v>37807</v>
          </cell>
          <cell r="U292" t="str">
            <v>ВВ</v>
          </cell>
          <cell r="W292" t="str">
            <v>ИР ЮК-10,ОПР</v>
          </cell>
        </row>
        <row r="293">
          <cell r="B293">
            <v>5242</v>
          </cell>
          <cell r="C293">
            <v>134</v>
          </cell>
          <cell r="F293" t="str">
            <v>КРС</v>
          </cell>
          <cell r="H293" t="str">
            <v>нагнет.</v>
          </cell>
          <cell r="I293" t="str">
            <v>под закачкой</v>
          </cell>
          <cell r="J293" t="e">
            <v>#REF!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37811</v>
          </cell>
          <cell r="U293" t="str">
            <v>нг</v>
          </cell>
          <cell r="W293" t="str">
            <v>Ревизия пакера ГИС-3</v>
          </cell>
        </row>
        <row r="294">
          <cell r="B294">
            <v>5267</v>
          </cell>
          <cell r="C294">
            <v>134</v>
          </cell>
          <cell r="F294" t="str">
            <v>КРС</v>
          </cell>
          <cell r="H294" t="str">
            <v>ШГН</v>
          </cell>
          <cell r="I294" t="str">
            <v>простой</v>
          </cell>
          <cell r="J294">
            <v>37798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37821</v>
          </cell>
          <cell r="U294" t="str">
            <v>нг</v>
          </cell>
          <cell r="W294" t="str">
            <v>перевод в ППД</v>
          </cell>
        </row>
        <row r="295">
          <cell r="B295">
            <v>2716</v>
          </cell>
          <cell r="C295">
            <v>165</v>
          </cell>
          <cell r="F295" t="str">
            <v>КРС</v>
          </cell>
          <cell r="H295" t="str">
            <v>ШГН</v>
          </cell>
          <cell r="I295" t="str">
            <v>бд</v>
          </cell>
          <cell r="J295">
            <v>37217</v>
          </cell>
          <cell r="K295">
            <v>0</v>
          </cell>
          <cell r="L295">
            <v>0</v>
          </cell>
          <cell r="M295">
            <v>0</v>
          </cell>
          <cell r="N295">
            <v>30</v>
          </cell>
          <cell r="O295">
            <v>12.2</v>
          </cell>
          <cell r="P295">
            <v>50</v>
          </cell>
          <cell r="Q295">
            <v>30</v>
          </cell>
          <cell r="R295">
            <v>12.2</v>
          </cell>
          <cell r="S295">
            <v>50</v>
          </cell>
          <cell r="T295">
            <v>37824</v>
          </cell>
          <cell r="U295" t="str">
            <v>ВВ</v>
          </cell>
          <cell r="W295" t="str">
            <v>ВЦ,ДП ЮК-11,ПП ЮК-10,ГИС-2</v>
          </cell>
        </row>
        <row r="296">
          <cell r="B296">
            <v>5473</v>
          </cell>
          <cell r="C296">
            <v>110</v>
          </cell>
          <cell r="F296" t="str">
            <v>КРС</v>
          </cell>
          <cell r="H296" t="str">
            <v>ЭЦН</v>
          </cell>
          <cell r="I296" t="str">
            <v>конс.</v>
          </cell>
          <cell r="J296">
            <v>36014</v>
          </cell>
          <cell r="K296">
            <v>0</v>
          </cell>
          <cell r="L296">
            <v>0</v>
          </cell>
          <cell r="M296">
            <v>0</v>
          </cell>
          <cell r="N296">
            <v>80</v>
          </cell>
          <cell r="O296">
            <v>9.1</v>
          </cell>
          <cell r="P296">
            <v>86</v>
          </cell>
          <cell r="Q296">
            <v>80</v>
          </cell>
          <cell r="R296">
            <v>9.1</v>
          </cell>
          <cell r="S296">
            <v>86</v>
          </cell>
          <cell r="T296">
            <v>37821</v>
          </cell>
          <cell r="U296" t="str">
            <v>ВЦ</v>
          </cell>
          <cell r="W296" t="str">
            <v>ВЦ,ГИС-2,ПП ЮК-10</v>
          </cell>
        </row>
        <row r="298">
          <cell r="B298">
            <v>2881</v>
          </cell>
          <cell r="C298">
            <v>127</v>
          </cell>
          <cell r="F298" t="str">
            <v>УПНП</v>
          </cell>
          <cell r="G298">
            <v>280</v>
          </cell>
          <cell r="H298" t="str">
            <v>ЭЦН</v>
          </cell>
          <cell r="I298" t="str">
            <v>конс.</v>
          </cell>
          <cell r="J298">
            <v>35677</v>
          </cell>
          <cell r="K298">
            <v>0</v>
          </cell>
          <cell r="L298">
            <v>0</v>
          </cell>
          <cell r="M298">
            <v>0</v>
          </cell>
          <cell r="N298">
            <v>52</v>
          </cell>
          <cell r="O298">
            <v>8.1</v>
          </cell>
          <cell r="P298">
            <v>81</v>
          </cell>
          <cell r="Q298">
            <v>52</v>
          </cell>
          <cell r="R298">
            <v>8.1</v>
          </cell>
          <cell r="S298">
            <v>80.8</v>
          </cell>
          <cell r="T298">
            <v>37578</v>
          </cell>
          <cell r="U298" t="str">
            <v>ОВП</v>
          </cell>
          <cell r="W298" t="str">
            <v>ОТСК,РИР ЮК-10,ПП,ДП</v>
          </cell>
        </row>
        <row r="299">
          <cell r="B299">
            <v>5651</v>
          </cell>
          <cell r="C299">
            <v>124</v>
          </cell>
          <cell r="F299" t="str">
            <v>УПНП</v>
          </cell>
          <cell r="G299">
            <v>260</v>
          </cell>
          <cell r="H299" t="str">
            <v>ЭЦН</v>
          </cell>
          <cell r="I299" t="str">
            <v>конс.</v>
          </cell>
          <cell r="J299">
            <v>35433</v>
          </cell>
          <cell r="K299">
            <v>0</v>
          </cell>
          <cell r="L299">
            <v>0</v>
          </cell>
          <cell r="M299">
            <v>0</v>
          </cell>
          <cell r="N299">
            <v>65</v>
          </cell>
          <cell r="O299">
            <v>23.3</v>
          </cell>
          <cell r="P299">
            <v>56</v>
          </cell>
          <cell r="Q299">
            <v>65</v>
          </cell>
          <cell r="R299">
            <v>23.3</v>
          </cell>
          <cell r="S299">
            <v>55.7</v>
          </cell>
          <cell r="T299">
            <v>37572</v>
          </cell>
          <cell r="U299" t="str">
            <v>ОВП</v>
          </cell>
          <cell r="W299" t="str">
            <v>ВЦ,ГИС,РИР (ЗКЦ ЮК-11),ПП</v>
          </cell>
        </row>
        <row r="300">
          <cell r="B300">
            <v>5241</v>
          </cell>
          <cell r="C300">
            <v>134</v>
          </cell>
          <cell r="D300">
            <v>6</v>
          </cell>
          <cell r="E300">
            <v>60</v>
          </cell>
          <cell r="F300" t="str">
            <v>УПНПиКРС</v>
          </cell>
          <cell r="G300">
            <v>258</v>
          </cell>
          <cell r="H300" t="str">
            <v>ЭЦН</v>
          </cell>
          <cell r="I300" t="str">
            <v>бд</v>
          </cell>
          <cell r="J300">
            <v>34547</v>
          </cell>
          <cell r="K300">
            <v>21</v>
          </cell>
          <cell r="L300">
            <v>0.2</v>
          </cell>
          <cell r="M300">
            <v>99</v>
          </cell>
          <cell r="N300">
            <v>6</v>
          </cell>
          <cell r="O300">
            <v>3.7</v>
          </cell>
          <cell r="P300">
            <v>25</v>
          </cell>
          <cell r="Q300">
            <v>6</v>
          </cell>
          <cell r="R300">
            <v>3.7</v>
          </cell>
          <cell r="S300">
            <v>30</v>
          </cell>
          <cell r="T300">
            <v>37690</v>
          </cell>
          <cell r="U300" t="str">
            <v>бдп</v>
          </cell>
          <cell r="V300">
            <v>2</v>
          </cell>
          <cell r="W300" t="str">
            <v xml:space="preserve">ВЦ, ГИС-2 ( источ. обвод.), при подтверждении воды и герм. э/колонны  </v>
          </cell>
          <cell r="X300" t="str">
            <v>ЭП выполнен, ЭЦН с КРБК на забое</v>
          </cell>
        </row>
        <row r="301">
          <cell r="B301">
            <v>5241</v>
          </cell>
          <cell r="C301">
            <v>134</v>
          </cell>
          <cell r="D301">
            <v>6</v>
          </cell>
          <cell r="E301">
            <v>60</v>
          </cell>
          <cell r="F301" t="str">
            <v>УПНПиКРС</v>
          </cell>
          <cell r="G301">
            <v>258</v>
          </cell>
          <cell r="H301" t="str">
            <v>ЭЦН</v>
          </cell>
          <cell r="I301" t="str">
            <v>бд</v>
          </cell>
          <cell r="J301">
            <v>34547</v>
          </cell>
          <cell r="K301">
            <v>21</v>
          </cell>
          <cell r="L301">
            <v>0.2</v>
          </cell>
          <cell r="M301">
            <v>99</v>
          </cell>
          <cell r="N301">
            <v>30</v>
          </cell>
          <cell r="O301">
            <v>12</v>
          </cell>
          <cell r="P301">
            <v>51</v>
          </cell>
          <cell r="Q301">
            <v>30</v>
          </cell>
          <cell r="R301">
            <v>12</v>
          </cell>
          <cell r="S301">
            <v>50.6</v>
          </cell>
          <cell r="T301">
            <v>37465</v>
          </cell>
          <cell r="U301" t="str">
            <v>ГРП</v>
          </cell>
          <cell r="V301">
            <v>2</v>
          </cell>
          <cell r="W301" t="str">
            <v>СО-каротаж, ПР к ГРП, ГРП ЮК-2, осв.</v>
          </cell>
          <cell r="X301" t="str">
            <v>ЭП выполнен, ЭЦН с КРБК на забое</v>
          </cell>
        </row>
        <row r="302">
          <cell r="B302">
            <v>2790</v>
          </cell>
          <cell r="C302">
            <v>144</v>
          </cell>
          <cell r="D302">
            <v>3</v>
          </cell>
          <cell r="E302">
            <v>30</v>
          </cell>
          <cell r="F302" t="str">
            <v>УПНПиКРС</v>
          </cell>
          <cell r="G302">
            <v>270</v>
          </cell>
          <cell r="H302" t="str">
            <v>нагнет.</v>
          </cell>
          <cell r="I302" t="str">
            <v>действ.</v>
          </cell>
          <cell r="J302">
            <v>37421</v>
          </cell>
          <cell r="K302">
            <v>150</v>
          </cell>
          <cell r="N302">
            <v>150</v>
          </cell>
          <cell r="Q302">
            <v>150</v>
          </cell>
          <cell r="T302">
            <v>37463</v>
          </cell>
          <cell r="U302" t="str">
            <v>нг</v>
          </cell>
          <cell r="W302" t="str">
            <v>Ревизия пакера</v>
          </cell>
        </row>
        <row r="303">
          <cell r="B303">
            <v>5290</v>
          </cell>
          <cell r="C303">
            <v>133</v>
          </cell>
          <cell r="D303">
            <v>4</v>
          </cell>
          <cell r="E303">
            <v>40</v>
          </cell>
          <cell r="F303" t="str">
            <v>УПНПиКРС</v>
          </cell>
          <cell r="H303" t="str">
            <v>ШГН</v>
          </cell>
          <cell r="I303" t="str">
            <v>бд</v>
          </cell>
          <cell r="N303">
            <v>65</v>
          </cell>
          <cell r="O303">
            <v>37.1</v>
          </cell>
          <cell r="P303">
            <v>30</v>
          </cell>
          <cell r="Q303">
            <v>65</v>
          </cell>
          <cell r="R303">
            <v>37.1</v>
          </cell>
          <cell r="S303">
            <v>29.5</v>
          </cell>
          <cell r="T303">
            <v>37455</v>
          </cell>
          <cell r="U303" t="str">
            <v>ГРП</v>
          </cell>
          <cell r="W303" t="str">
            <v>ВЦ, РИР ЮК-10, ПР к ГРП, ГРП ЮК-2, осв.</v>
          </cell>
        </row>
        <row r="304">
          <cell r="B304">
            <v>5483</v>
          </cell>
          <cell r="C304">
            <v>115</v>
          </cell>
          <cell r="D304">
            <v>4</v>
          </cell>
          <cell r="E304">
            <v>41</v>
          </cell>
          <cell r="F304" t="str">
            <v>УПНПиКРС</v>
          </cell>
          <cell r="G304">
            <v>250</v>
          </cell>
          <cell r="H304" t="str">
            <v>ЭЦН</v>
          </cell>
          <cell r="I304" t="str">
            <v>действ.</v>
          </cell>
          <cell r="J304">
            <v>34274</v>
          </cell>
          <cell r="K304">
            <v>20</v>
          </cell>
          <cell r="L304">
            <v>13.3</v>
          </cell>
          <cell r="M304">
            <v>18.2</v>
          </cell>
          <cell r="N304">
            <v>47</v>
          </cell>
          <cell r="O304">
            <v>33.700000000000003</v>
          </cell>
          <cell r="P304">
            <v>12</v>
          </cell>
          <cell r="Q304">
            <v>27</v>
          </cell>
          <cell r="R304">
            <v>20.400000000000002</v>
          </cell>
          <cell r="S304">
            <v>6.7</v>
          </cell>
          <cell r="T304">
            <v>37445</v>
          </cell>
          <cell r="U304" t="str">
            <v>опт</v>
          </cell>
          <cell r="V304">
            <v>3</v>
          </cell>
          <cell r="W304" t="str">
            <v>Подъём пакера , осв.после ГРП, сп.Э-50</v>
          </cell>
        </row>
        <row r="305">
          <cell r="B305">
            <v>2979</v>
          </cell>
          <cell r="C305">
            <v>50</v>
          </cell>
          <cell r="D305">
            <v>3</v>
          </cell>
          <cell r="E305">
            <v>30</v>
          </cell>
          <cell r="F305" t="str">
            <v>УПНПиКРС</v>
          </cell>
          <cell r="G305">
            <v>240</v>
          </cell>
          <cell r="H305" t="str">
            <v>ЭЦН</v>
          </cell>
          <cell r="I305" t="str">
            <v>бд</v>
          </cell>
          <cell r="J305">
            <v>37421</v>
          </cell>
          <cell r="K305">
            <v>44</v>
          </cell>
          <cell r="L305">
            <v>24.7</v>
          </cell>
          <cell r="M305">
            <v>31</v>
          </cell>
          <cell r="N305">
            <v>40</v>
          </cell>
          <cell r="O305">
            <v>18.600000000000001</v>
          </cell>
          <cell r="P305">
            <v>43</v>
          </cell>
          <cell r="Q305">
            <v>40</v>
          </cell>
          <cell r="R305">
            <v>18.600000000000001</v>
          </cell>
          <cell r="S305">
            <v>42.6</v>
          </cell>
          <cell r="T305">
            <v>37439</v>
          </cell>
          <cell r="U305" t="str">
            <v>ЛА</v>
          </cell>
          <cell r="V305">
            <v>2</v>
          </cell>
          <cell r="W305" t="str">
            <v>ЛА</v>
          </cell>
        </row>
        <row r="306">
          <cell r="B306">
            <v>5266</v>
          </cell>
          <cell r="C306">
            <v>134</v>
          </cell>
          <cell r="D306">
            <v>21</v>
          </cell>
          <cell r="E306">
            <v>210</v>
          </cell>
          <cell r="F306" t="str">
            <v>УПНПиКРС</v>
          </cell>
          <cell r="H306" t="str">
            <v>нагнет.</v>
          </cell>
          <cell r="I306" t="str">
            <v>бд</v>
          </cell>
          <cell r="N306">
            <v>50</v>
          </cell>
          <cell r="O306">
            <v>30</v>
          </cell>
          <cell r="P306">
            <v>26.5</v>
          </cell>
          <cell r="Q306">
            <v>50</v>
          </cell>
          <cell r="R306">
            <v>30</v>
          </cell>
          <cell r="S306">
            <v>25.9</v>
          </cell>
          <cell r="T306">
            <v>37436</v>
          </cell>
          <cell r="U306" t="str">
            <v>ГРП</v>
          </cell>
          <cell r="W306" t="str">
            <v>ОТСК, РИР ЮК-10, ПР к ГРП, ГРП ЮК-2, осв.</v>
          </cell>
        </row>
        <row r="307">
          <cell r="B307">
            <v>5266</v>
          </cell>
          <cell r="C307">
            <v>134</v>
          </cell>
          <cell r="D307">
            <v>21</v>
          </cell>
          <cell r="E307">
            <v>210</v>
          </cell>
          <cell r="F307" t="str">
            <v>УПНПиКРС</v>
          </cell>
          <cell r="H307" t="str">
            <v>нагнет.</v>
          </cell>
          <cell r="I307" t="str">
            <v>бд</v>
          </cell>
          <cell r="N307">
            <v>50</v>
          </cell>
          <cell r="O307">
            <v>30</v>
          </cell>
          <cell r="P307">
            <v>26.5</v>
          </cell>
          <cell r="Q307">
            <v>50</v>
          </cell>
          <cell r="R307">
            <v>30</v>
          </cell>
          <cell r="S307">
            <v>25.9</v>
          </cell>
          <cell r="T307">
            <v>37436</v>
          </cell>
          <cell r="U307" t="str">
            <v>ГРП</v>
          </cell>
          <cell r="W307" t="str">
            <v>ОТСК, РИР ЮК-10, ПР к ГРП, ГРП ЮК-2, осв.</v>
          </cell>
        </row>
        <row r="308">
          <cell r="B308">
            <v>5515</v>
          </cell>
          <cell r="C308">
            <v>115</v>
          </cell>
          <cell r="D308">
            <v>3</v>
          </cell>
          <cell r="E308">
            <v>30</v>
          </cell>
          <cell r="F308" t="str">
            <v>УПНПиКРС</v>
          </cell>
          <cell r="G308">
            <v>240</v>
          </cell>
          <cell r="H308" t="str">
            <v>ЭЦН</v>
          </cell>
          <cell r="I308" t="str">
            <v>действ.</v>
          </cell>
          <cell r="J308">
            <v>37370</v>
          </cell>
          <cell r="K308">
            <v>34</v>
          </cell>
          <cell r="L308">
            <v>25.5</v>
          </cell>
          <cell r="M308">
            <v>8</v>
          </cell>
          <cell r="N308">
            <v>40</v>
          </cell>
          <cell r="O308">
            <v>29.3</v>
          </cell>
          <cell r="P308">
            <v>10</v>
          </cell>
          <cell r="Q308">
            <v>6</v>
          </cell>
          <cell r="R308">
            <v>3.8000000000000007</v>
          </cell>
          <cell r="S308">
            <v>21.8</v>
          </cell>
          <cell r="T308">
            <v>37426</v>
          </cell>
          <cell r="U308" t="str">
            <v>опт</v>
          </cell>
          <cell r="V308">
            <v>2</v>
          </cell>
          <cell r="W308" t="str">
            <v>Подъём пакера , осв.после ГРП, сп.Э-50</v>
          </cell>
        </row>
        <row r="309">
          <cell r="B309">
            <v>5739</v>
          </cell>
          <cell r="C309">
            <v>127</v>
          </cell>
          <cell r="D309">
            <v>3</v>
          </cell>
          <cell r="E309">
            <v>31</v>
          </cell>
          <cell r="F309" t="str">
            <v>УПНПиКРС</v>
          </cell>
          <cell r="G309">
            <v>280</v>
          </cell>
          <cell r="H309" t="str">
            <v>нагнет.</v>
          </cell>
          <cell r="I309" t="str">
            <v>бд</v>
          </cell>
          <cell r="N309">
            <v>50</v>
          </cell>
          <cell r="O309">
            <v>11.4</v>
          </cell>
          <cell r="P309">
            <v>72</v>
          </cell>
          <cell r="Q309">
            <v>50</v>
          </cell>
          <cell r="R309">
            <v>11.4</v>
          </cell>
          <cell r="S309">
            <v>71.900000000000006</v>
          </cell>
          <cell r="T309">
            <v>37424</v>
          </cell>
          <cell r="U309" t="str">
            <v>ГРП</v>
          </cell>
        </row>
        <row r="310">
          <cell r="B310">
            <v>3055</v>
          </cell>
          <cell r="C310">
            <v>51</v>
          </cell>
          <cell r="D310">
            <v>19</v>
          </cell>
          <cell r="E310">
            <v>190</v>
          </cell>
          <cell r="F310" t="str">
            <v>УПНПиКРС</v>
          </cell>
          <cell r="H310" t="str">
            <v>нагнет.</v>
          </cell>
          <cell r="I310" t="str">
            <v>бд</v>
          </cell>
          <cell r="N310">
            <v>20</v>
          </cell>
          <cell r="O310">
            <v>12.2</v>
          </cell>
          <cell r="P310">
            <v>25</v>
          </cell>
          <cell r="Q310">
            <v>20</v>
          </cell>
          <cell r="R310">
            <v>12.2</v>
          </cell>
          <cell r="S310">
            <v>24.7</v>
          </cell>
          <cell r="T310">
            <v>37422</v>
          </cell>
          <cell r="U310" t="str">
            <v>ГРП</v>
          </cell>
          <cell r="W310" t="str">
            <v>ВЗ ИР ЮК-11, ПР к ГРП и ГРП ЮК-3</v>
          </cell>
        </row>
        <row r="311">
          <cell r="B311">
            <v>2963</v>
          </cell>
          <cell r="C311">
            <v>20</v>
          </cell>
          <cell r="D311">
            <v>4</v>
          </cell>
          <cell r="E311">
            <v>40</v>
          </cell>
          <cell r="F311" t="str">
            <v>УПНПиКРС</v>
          </cell>
          <cell r="G311">
            <v>291</v>
          </cell>
          <cell r="H311" t="str">
            <v>нагнет.</v>
          </cell>
          <cell r="I311" t="str">
            <v>конс.</v>
          </cell>
          <cell r="N311">
            <v>49</v>
          </cell>
          <cell r="O311">
            <v>37.9</v>
          </cell>
          <cell r="P311">
            <v>5</v>
          </cell>
          <cell r="Q311">
            <v>49</v>
          </cell>
          <cell r="R311">
            <v>37.9</v>
          </cell>
          <cell r="S311">
            <v>4.5</v>
          </cell>
          <cell r="T311">
            <v>37417</v>
          </cell>
          <cell r="U311" t="str">
            <v>ГРП</v>
          </cell>
          <cell r="W311" t="str">
            <v xml:space="preserve"> РИР ЮК-10, ПР к ГРП, ГРП ЮК-2, осв.</v>
          </cell>
        </row>
        <row r="312">
          <cell r="B312">
            <v>2820</v>
          </cell>
          <cell r="C312">
            <v>144</v>
          </cell>
          <cell r="D312">
            <v>9</v>
          </cell>
          <cell r="E312">
            <v>90</v>
          </cell>
          <cell r="F312" t="str">
            <v>УПНПиКРС</v>
          </cell>
          <cell r="H312" t="str">
            <v>ФОН</v>
          </cell>
          <cell r="I312" t="str">
            <v>действ.</v>
          </cell>
          <cell r="K312">
            <v>32</v>
          </cell>
          <cell r="L312">
            <v>21.4</v>
          </cell>
          <cell r="M312">
            <v>18</v>
          </cell>
          <cell r="N312">
            <v>40</v>
          </cell>
          <cell r="O312">
            <v>28.4</v>
          </cell>
          <cell r="P312">
            <v>13</v>
          </cell>
          <cell r="Q312">
            <v>8</v>
          </cell>
          <cell r="R312">
            <v>7</v>
          </cell>
          <cell r="S312">
            <v>-8</v>
          </cell>
          <cell r="T312">
            <v>37415</v>
          </cell>
          <cell r="U312" t="str">
            <v>опт</v>
          </cell>
          <cell r="W312" t="str">
            <v>Подъём пакера , осв.после ГРП, сп.Э-50</v>
          </cell>
        </row>
        <row r="313">
          <cell r="B313">
            <v>5242</v>
          </cell>
          <cell r="C313">
            <v>134</v>
          </cell>
          <cell r="D313">
            <v>21</v>
          </cell>
          <cell r="E313">
            <v>210</v>
          </cell>
          <cell r="F313" t="str">
            <v>УПНПиКРС</v>
          </cell>
          <cell r="H313" t="str">
            <v>ШГН</v>
          </cell>
          <cell r="I313" t="str">
            <v>конс.</v>
          </cell>
          <cell r="N313">
            <v>40</v>
          </cell>
          <cell r="O313">
            <v>28.4</v>
          </cell>
          <cell r="P313">
            <v>13</v>
          </cell>
          <cell r="Q313">
            <v>40</v>
          </cell>
          <cell r="R313">
            <v>28.4</v>
          </cell>
          <cell r="S313">
            <v>12.3</v>
          </cell>
          <cell r="T313">
            <v>37412</v>
          </cell>
          <cell r="V313">
            <v>3</v>
          </cell>
          <cell r="W313" t="str">
            <v>ВЦ, РИР ЮК-10, ПР к ГРП, ГРП ЮК-2, осв.</v>
          </cell>
        </row>
        <row r="314">
          <cell r="B314">
            <v>5218</v>
          </cell>
          <cell r="C314">
            <v>134</v>
          </cell>
          <cell r="D314">
            <v>21</v>
          </cell>
          <cell r="E314">
            <v>210</v>
          </cell>
          <cell r="F314" t="str">
            <v>УПНПиКРС</v>
          </cell>
          <cell r="G314">
            <v>245</v>
          </cell>
          <cell r="H314" t="str">
            <v>ШГН</v>
          </cell>
          <cell r="I314" t="str">
            <v>конс.</v>
          </cell>
          <cell r="J314">
            <v>32843</v>
          </cell>
          <cell r="N314">
            <v>50</v>
          </cell>
          <cell r="O314">
            <v>30</v>
          </cell>
          <cell r="P314">
            <v>26.5</v>
          </cell>
          <cell r="Q314">
            <v>50</v>
          </cell>
          <cell r="R314">
            <v>30</v>
          </cell>
          <cell r="S314">
            <v>25.9</v>
          </cell>
          <cell r="T314">
            <v>37407</v>
          </cell>
          <cell r="U314" t="str">
            <v>ГРП</v>
          </cell>
          <cell r="V314">
            <v>2</v>
          </cell>
          <cell r="W314" t="str">
            <v>ВЦ, ИР ЮК-10, ПР к ГРП и ГРП ЮК-2-3</v>
          </cell>
        </row>
        <row r="315">
          <cell r="B315">
            <v>2682</v>
          </cell>
          <cell r="C315" t="str">
            <v>145б</v>
          </cell>
          <cell r="D315">
            <v>9</v>
          </cell>
          <cell r="E315">
            <v>90</v>
          </cell>
          <cell r="F315" t="str">
            <v>УПНПиКРС</v>
          </cell>
          <cell r="G315">
            <v>260</v>
          </cell>
          <cell r="H315" t="str">
            <v>ЭЦН</v>
          </cell>
          <cell r="I315" t="str">
            <v>конс.</v>
          </cell>
          <cell r="J315">
            <v>34304</v>
          </cell>
          <cell r="K315">
            <v>0</v>
          </cell>
          <cell r="M315">
            <v>0</v>
          </cell>
          <cell r="N315">
            <v>50</v>
          </cell>
          <cell r="O315">
            <v>30</v>
          </cell>
          <cell r="P315">
            <v>26.5</v>
          </cell>
          <cell r="Q315">
            <v>50</v>
          </cell>
          <cell r="R315">
            <v>30</v>
          </cell>
          <cell r="S315">
            <v>25.9</v>
          </cell>
          <cell r="T315">
            <v>37406</v>
          </cell>
          <cell r="U315" t="str">
            <v>ГРП</v>
          </cell>
          <cell r="V315">
            <v>2</v>
          </cell>
          <cell r="W315" t="str">
            <v>ГИС-2(и.о.) ,при герм.Э/К и отс. ЗКЦ ДП 2554-2562, РИР ЮК-10, ГРП ЮК 3-4 V=30т</v>
          </cell>
          <cell r="X315" t="str">
            <v>Необходима СК?</v>
          </cell>
        </row>
        <row r="316">
          <cell r="B316">
            <v>5483</v>
          </cell>
          <cell r="C316">
            <v>115</v>
          </cell>
          <cell r="D316">
            <v>3</v>
          </cell>
          <cell r="E316">
            <v>31</v>
          </cell>
          <cell r="F316" t="str">
            <v>УПНПиКРС</v>
          </cell>
          <cell r="G316">
            <v>250</v>
          </cell>
          <cell r="H316" t="str">
            <v>ЭЦН</v>
          </cell>
          <cell r="I316" t="str">
            <v>конс.</v>
          </cell>
          <cell r="J316">
            <v>34274</v>
          </cell>
          <cell r="K316">
            <v>30</v>
          </cell>
          <cell r="L316">
            <v>23.5</v>
          </cell>
          <cell r="M316">
            <v>4</v>
          </cell>
          <cell r="N316">
            <v>30</v>
          </cell>
          <cell r="O316">
            <v>22.1</v>
          </cell>
          <cell r="P316">
            <v>9.5</v>
          </cell>
          <cell r="Q316">
            <v>30</v>
          </cell>
          <cell r="R316">
            <v>22.1</v>
          </cell>
          <cell r="S316">
            <v>9.1</v>
          </cell>
          <cell r="T316">
            <v>37393</v>
          </cell>
          <cell r="U316" t="str">
            <v>ГРП</v>
          </cell>
          <cell r="V316">
            <v>3</v>
          </cell>
          <cell r="W316" t="str">
            <v xml:space="preserve"> пр к ГРП, ГРП</v>
          </cell>
        </row>
        <row r="317">
          <cell r="B317">
            <v>5425</v>
          </cell>
          <cell r="C317">
            <v>102</v>
          </cell>
          <cell r="D317">
            <v>3</v>
          </cell>
          <cell r="E317">
            <v>30</v>
          </cell>
          <cell r="F317" t="str">
            <v>УПНПиКРС</v>
          </cell>
          <cell r="G317">
            <v>230</v>
          </cell>
          <cell r="H317" t="str">
            <v>ЭЦН</v>
          </cell>
          <cell r="I317" t="str">
            <v>действ.</v>
          </cell>
          <cell r="J317">
            <v>37355</v>
          </cell>
          <cell r="K317">
            <v>21</v>
          </cell>
          <cell r="L317">
            <v>15.6</v>
          </cell>
          <cell r="M317">
            <v>9</v>
          </cell>
          <cell r="N317">
            <v>35</v>
          </cell>
          <cell r="O317">
            <v>27.1</v>
          </cell>
          <cell r="P317">
            <v>5</v>
          </cell>
          <cell r="Q317">
            <v>14</v>
          </cell>
          <cell r="R317">
            <v>11.500000000000002</v>
          </cell>
          <cell r="S317">
            <v>-1.4</v>
          </cell>
          <cell r="T317">
            <v>37390</v>
          </cell>
          <cell r="U317" t="str">
            <v>опт</v>
          </cell>
          <cell r="V317">
            <v>2</v>
          </cell>
          <cell r="W317" t="str">
            <v>Подъём пакера , осв.после ГРП, сп.Э-50</v>
          </cell>
        </row>
        <row r="318">
          <cell r="B318" t="str">
            <v>5321б</v>
          </cell>
          <cell r="C318">
            <v>135</v>
          </cell>
          <cell r="D318">
            <v>4</v>
          </cell>
          <cell r="E318">
            <v>40</v>
          </cell>
          <cell r="F318" t="str">
            <v>УПНПиКРС</v>
          </cell>
          <cell r="G318">
            <v>245</v>
          </cell>
          <cell r="H318" t="str">
            <v>ШГН</v>
          </cell>
          <cell r="I318" t="str">
            <v>бд</v>
          </cell>
          <cell r="J318">
            <v>37681</v>
          </cell>
          <cell r="K318">
            <v>8</v>
          </cell>
          <cell r="L318">
            <v>4.9000000000000004</v>
          </cell>
          <cell r="M318">
            <v>25</v>
          </cell>
          <cell r="N318">
            <v>8</v>
          </cell>
          <cell r="O318">
            <v>4.9000000000000004</v>
          </cell>
          <cell r="P318">
            <v>25</v>
          </cell>
          <cell r="Q318">
            <v>8</v>
          </cell>
          <cell r="R318">
            <v>4.9000000000000004</v>
          </cell>
          <cell r="S318">
            <v>24.4</v>
          </cell>
          <cell r="T318">
            <v>37763</v>
          </cell>
          <cell r="U318" t="str">
            <v>вц</v>
          </cell>
          <cell r="V318">
            <v>2</v>
          </cell>
          <cell r="W318" t="str">
            <v>вц</v>
          </cell>
        </row>
        <row r="319">
          <cell r="B319">
            <v>5800</v>
          </cell>
          <cell r="C319">
            <v>141</v>
          </cell>
          <cell r="D319">
            <v>21</v>
          </cell>
          <cell r="E319">
            <v>211</v>
          </cell>
          <cell r="F319" t="str">
            <v>УПНПиКРС</v>
          </cell>
          <cell r="G319">
            <v>287</v>
          </cell>
          <cell r="H319" t="str">
            <v>нагнет.</v>
          </cell>
          <cell r="I319" t="str">
            <v>бд</v>
          </cell>
          <cell r="J319">
            <v>36641</v>
          </cell>
          <cell r="K319">
            <v>150</v>
          </cell>
          <cell r="N319">
            <v>150</v>
          </cell>
          <cell r="Q319">
            <v>150</v>
          </cell>
          <cell r="T319">
            <v>37366</v>
          </cell>
          <cell r="V319">
            <v>2</v>
          </cell>
          <cell r="W319" t="str">
            <v>Ревизия пакера</v>
          </cell>
        </row>
        <row r="320">
          <cell r="B320">
            <v>5418</v>
          </cell>
          <cell r="C320">
            <v>109</v>
          </cell>
          <cell r="D320">
            <v>3</v>
          </cell>
          <cell r="E320">
            <v>30</v>
          </cell>
          <cell r="F320" t="str">
            <v>УПНПиКРС</v>
          </cell>
          <cell r="G320">
            <v>275</v>
          </cell>
          <cell r="H320" t="str">
            <v>ЭЦН</v>
          </cell>
          <cell r="I320" t="str">
            <v>бд</v>
          </cell>
          <cell r="J320">
            <v>35823</v>
          </cell>
          <cell r="K320">
            <v>30</v>
          </cell>
          <cell r="L320">
            <v>4.2</v>
          </cell>
          <cell r="M320">
            <v>83</v>
          </cell>
          <cell r="N320">
            <v>32</v>
          </cell>
          <cell r="O320">
            <v>7.8</v>
          </cell>
          <cell r="P320">
            <v>70</v>
          </cell>
          <cell r="Q320">
            <v>32</v>
          </cell>
          <cell r="R320">
            <v>7.8</v>
          </cell>
          <cell r="S320">
            <v>69.900000000000006</v>
          </cell>
          <cell r="T320">
            <v>37356</v>
          </cell>
          <cell r="U320" t="str">
            <v>ГРП</v>
          </cell>
          <cell r="V320">
            <v>2</v>
          </cell>
          <cell r="W320" t="str">
            <v>ВЦ. РИР ЮК-11. ПП ЮК-10. ГРП</v>
          </cell>
        </row>
        <row r="321">
          <cell r="B321">
            <v>2533</v>
          </cell>
          <cell r="C321">
            <v>150</v>
          </cell>
          <cell r="D321">
            <v>4</v>
          </cell>
          <cell r="E321">
            <v>40</v>
          </cell>
          <cell r="F321" t="str">
            <v>УПНПиКРС</v>
          </cell>
          <cell r="G321">
            <v>250</v>
          </cell>
          <cell r="H321" t="str">
            <v>ШГН</v>
          </cell>
          <cell r="I321" t="str">
            <v>бд</v>
          </cell>
          <cell r="K321">
            <v>6</v>
          </cell>
          <cell r="L321">
            <v>0.5</v>
          </cell>
          <cell r="M321">
            <v>90</v>
          </cell>
          <cell r="N321">
            <v>55</v>
          </cell>
          <cell r="O321">
            <v>29.6</v>
          </cell>
          <cell r="P321">
            <v>34</v>
          </cell>
          <cell r="Q321">
            <v>55</v>
          </cell>
          <cell r="R321">
            <v>29.6</v>
          </cell>
          <cell r="S321">
            <v>33.6</v>
          </cell>
          <cell r="T321">
            <v>37351</v>
          </cell>
          <cell r="U321" t="str">
            <v>ГРП</v>
          </cell>
          <cell r="V321">
            <v>2</v>
          </cell>
          <cell r="W321" t="str">
            <v>ИР ЮК-11. ПП ЮК-10. ГРП</v>
          </cell>
          <cell r="X321" t="str">
            <v>нет СК и карточки?</v>
          </cell>
        </row>
        <row r="322">
          <cell r="B322">
            <v>2993</v>
          </cell>
          <cell r="C322">
            <v>42</v>
          </cell>
          <cell r="D322">
            <v>7</v>
          </cell>
          <cell r="E322">
            <v>70</v>
          </cell>
          <cell r="F322" t="str">
            <v>УПНПиКРС</v>
          </cell>
          <cell r="G322">
            <v>250</v>
          </cell>
          <cell r="H322" t="str">
            <v>ШГН</v>
          </cell>
          <cell r="I322" t="str">
            <v>бд</v>
          </cell>
          <cell r="J322">
            <v>35217</v>
          </cell>
          <cell r="K322">
            <v>2</v>
          </cell>
          <cell r="L322">
            <v>0.2</v>
          </cell>
          <cell r="M322">
            <v>86</v>
          </cell>
          <cell r="N322">
            <v>36</v>
          </cell>
          <cell r="O322">
            <v>26.7</v>
          </cell>
          <cell r="P322">
            <v>9</v>
          </cell>
          <cell r="Q322">
            <v>36</v>
          </cell>
          <cell r="R322">
            <v>26.7</v>
          </cell>
          <cell r="S322">
            <v>8.4</v>
          </cell>
          <cell r="T322">
            <v>37350</v>
          </cell>
          <cell r="U322" t="str">
            <v>ГРП</v>
          </cell>
          <cell r="V322">
            <v>2</v>
          </cell>
          <cell r="W322" t="str">
            <v>ВЗ. РИР ЮК-10. ГИС-2. ГРП ЮК-4-5</v>
          </cell>
          <cell r="X322" t="str">
            <v>отсутствие аварийного инструмента</v>
          </cell>
        </row>
        <row r="323">
          <cell r="B323">
            <v>2787</v>
          </cell>
          <cell r="C323">
            <v>145</v>
          </cell>
          <cell r="D323">
            <v>11</v>
          </cell>
          <cell r="E323">
            <v>110</v>
          </cell>
          <cell r="F323" t="str">
            <v>УПНПиКРС</v>
          </cell>
          <cell r="G323">
            <v>250</v>
          </cell>
          <cell r="H323" t="str">
            <v>ЭЦН</v>
          </cell>
          <cell r="I323" t="str">
            <v>действ.</v>
          </cell>
          <cell r="J323">
            <v>33786</v>
          </cell>
          <cell r="K323">
            <v>16</v>
          </cell>
          <cell r="L323">
            <v>12.4</v>
          </cell>
          <cell r="M323">
            <v>5</v>
          </cell>
          <cell r="N323">
            <v>25</v>
          </cell>
          <cell r="O323">
            <v>14.3</v>
          </cell>
          <cell r="P323">
            <v>30</v>
          </cell>
          <cell r="Q323">
            <v>9</v>
          </cell>
          <cell r="R323">
            <v>1.9000000000000004</v>
          </cell>
          <cell r="S323">
            <v>73.900000000000006</v>
          </cell>
          <cell r="V323">
            <v>1</v>
          </cell>
          <cell r="W323" t="str">
            <v>Срыв пакера, ГДИ, сп.ЭЦН</v>
          </cell>
        </row>
        <row r="324">
          <cell r="B324" t="str">
            <v>5845б</v>
          </cell>
          <cell r="C324" t="str">
            <v>168б</v>
          </cell>
          <cell r="D324">
            <v>11</v>
          </cell>
          <cell r="E324">
            <v>110</v>
          </cell>
          <cell r="F324" t="str">
            <v>УПНПиКРС</v>
          </cell>
          <cell r="G324">
            <v>253</v>
          </cell>
          <cell r="H324" t="str">
            <v>ЭЦН</v>
          </cell>
          <cell r="I324" t="str">
            <v>действ.</v>
          </cell>
          <cell r="K324">
            <v>63</v>
          </cell>
          <cell r="L324">
            <v>4.5999999999999996</v>
          </cell>
          <cell r="M324">
            <v>91</v>
          </cell>
          <cell r="N324">
            <v>93</v>
          </cell>
          <cell r="O324">
            <v>7.6</v>
          </cell>
          <cell r="P324">
            <v>90</v>
          </cell>
          <cell r="Q324">
            <v>30</v>
          </cell>
          <cell r="R324">
            <v>3</v>
          </cell>
          <cell r="S324">
            <v>87.7</v>
          </cell>
          <cell r="T324">
            <v>37338</v>
          </cell>
          <cell r="U324" t="str">
            <v>опт</v>
          </cell>
          <cell r="V324">
            <v>2</v>
          </cell>
        </row>
        <row r="325">
          <cell r="B325">
            <v>5525</v>
          </cell>
          <cell r="C325">
            <v>118</v>
          </cell>
          <cell r="D325">
            <v>21</v>
          </cell>
          <cell r="E325">
            <v>212</v>
          </cell>
          <cell r="G325">
            <v>270</v>
          </cell>
          <cell r="H325" t="str">
            <v>ШГН</v>
          </cell>
          <cell r="I325" t="str">
            <v>конс.</v>
          </cell>
          <cell r="J325">
            <v>33208</v>
          </cell>
          <cell r="K325">
            <v>5</v>
          </cell>
          <cell r="L325">
            <v>0.2</v>
          </cell>
          <cell r="M325">
            <v>96</v>
          </cell>
          <cell r="N325">
            <v>4</v>
          </cell>
          <cell r="O325">
            <v>1.6</v>
          </cell>
          <cell r="P325">
            <v>50</v>
          </cell>
          <cell r="Q325">
            <v>4</v>
          </cell>
          <cell r="R325">
            <v>1.6</v>
          </cell>
          <cell r="S325">
            <v>50.6</v>
          </cell>
          <cell r="T325">
            <v>37322</v>
          </cell>
          <cell r="U325" t="str">
            <v>ОПЗ</v>
          </cell>
          <cell r="W325" t="str">
            <v>ПП ДН п."б". ОПЗ (НТПН). ГДИ</v>
          </cell>
          <cell r="X325" t="str">
            <v>Необходима СК</v>
          </cell>
        </row>
        <row r="327">
          <cell r="B327" t="str">
            <v>5845б</v>
          </cell>
          <cell r="C327" t="str">
            <v>168б</v>
          </cell>
          <cell r="D327">
            <v>11</v>
          </cell>
          <cell r="E327">
            <v>110</v>
          </cell>
          <cell r="F327" t="str">
            <v>УПНПиКРС</v>
          </cell>
          <cell r="G327">
            <v>253</v>
          </cell>
          <cell r="H327" t="str">
            <v>ЭЦН</v>
          </cell>
          <cell r="I327" t="str">
            <v>конс.</v>
          </cell>
          <cell r="J327">
            <v>35401</v>
          </cell>
          <cell r="N327">
            <v>93</v>
          </cell>
          <cell r="O327">
            <v>10.6</v>
          </cell>
          <cell r="P327">
            <v>86</v>
          </cell>
          <cell r="Q327">
            <v>93</v>
          </cell>
          <cell r="R327">
            <v>10.6</v>
          </cell>
          <cell r="S327">
            <v>85.9</v>
          </cell>
          <cell r="T327">
            <v>37317</v>
          </cell>
          <cell r="U327" t="str">
            <v>ГРП</v>
          </cell>
          <cell r="V327">
            <v>2</v>
          </cell>
        </row>
        <row r="328">
          <cell r="B328">
            <v>5425</v>
          </cell>
          <cell r="C328">
            <v>102</v>
          </cell>
          <cell r="D328">
            <v>9</v>
          </cell>
          <cell r="E328">
            <v>90</v>
          </cell>
          <cell r="F328" t="str">
            <v>УПНПиКРС</v>
          </cell>
          <cell r="G328">
            <v>230</v>
          </cell>
          <cell r="H328" t="str">
            <v>ЭЦН</v>
          </cell>
          <cell r="I328" t="str">
            <v>бд</v>
          </cell>
          <cell r="K328">
            <v>73</v>
          </cell>
          <cell r="L328">
            <v>1.8</v>
          </cell>
          <cell r="M328">
            <v>97</v>
          </cell>
          <cell r="N328">
            <v>25</v>
          </cell>
          <cell r="O328">
            <v>19.399999999999999</v>
          </cell>
          <cell r="P328">
            <v>5</v>
          </cell>
          <cell r="Q328">
            <v>25</v>
          </cell>
          <cell r="R328">
            <v>19.399999999999999</v>
          </cell>
          <cell r="S328">
            <v>4.2</v>
          </cell>
          <cell r="T328">
            <v>37296</v>
          </cell>
          <cell r="U328" t="str">
            <v>ГРП</v>
          </cell>
          <cell r="V328">
            <v>2</v>
          </cell>
          <cell r="W328" t="str">
            <v xml:space="preserve"> ИР ЮК-10, ПР к ГРП и ГРП ЮК-2-3 </v>
          </cell>
        </row>
        <row r="329">
          <cell r="B329">
            <v>2720</v>
          </cell>
          <cell r="C329">
            <v>166</v>
          </cell>
          <cell r="D329">
            <v>80</v>
          </cell>
          <cell r="E329">
            <v>801</v>
          </cell>
          <cell r="F329" t="str">
            <v>ЗАО "УПКРС"</v>
          </cell>
          <cell r="G329">
            <v>265</v>
          </cell>
          <cell r="H329" t="str">
            <v>ШГН</v>
          </cell>
          <cell r="I329" t="str">
            <v>действ.</v>
          </cell>
          <cell r="K329">
            <v>16</v>
          </cell>
          <cell r="L329">
            <v>12</v>
          </cell>
          <cell r="M329">
            <v>8</v>
          </cell>
          <cell r="N329">
            <v>30</v>
          </cell>
          <cell r="O329">
            <v>13.7</v>
          </cell>
          <cell r="P329">
            <v>44</v>
          </cell>
          <cell r="Q329">
            <v>14</v>
          </cell>
          <cell r="R329">
            <v>1.6999999999999993</v>
          </cell>
          <cell r="S329">
            <v>85</v>
          </cell>
          <cell r="T329">
            <v>37294</v>
          </cell>
          <cell r="U329" t="str">
            <v>опт</v>
          </cell>
          <cell r="V329">
            <v>2</v>
          </cell>
          <cell r="W329" t="str">
            <v>Опт.Н-44/Э-30</v>
          </cell>
        </row>
        <row r="330">
          <cell r="B330">
            <v>5515</v>
          </cell>
          <cell r="C330">
            <v>115</v>
          </cell>
          <cell r="D330">
            <v>21</v>
          </cell>
          <cell r="E330">
            <v>211</v>
          </cell>
          <cell r="F330" t="str">
            <v>УПНПиКРС</v>
          </cell>
          <cell r="G330">
            <v>240</v>
          </cell>
          <cell r="H330" t="str">
            <v>ЭЦН</v>
          </cell>
          <cell r="I330" t="str">
            <v>конс.</v>
          </cell>
          <cell r="J330">
            <v>33910</v>
          </cell>
          <cell r="N330">
            <v>36</v>
          </cell>
          <cell r="O330">
            <v>25.8</v>
          </cell>
          <cell r="P330">
            <v>12</v>
          </cell>
          <cell r="Q330">
            <v>36</v>
          </cell>
          <cell r="R330">
            <v>25.8</v>
          </cell>
          <cell r="S330">
            <v>11.5</v>
          </cell>
          <cell r="T330">
            <v>37291</v>
          </cell>
          <cell r="U330" t="str">
            <v>ГРП</v>
          </cell>
          <cell r="V330">
            <v>2</v>
          </cell>
          <cell r="W330" t="str">
            <v>ВЦ, ИР ЮК-10, ПР к ГРП и ГРП ЮК-2-3 Сваб</v>
          </cell>
        </row>
        <row r="331">
          <cell r="B331">
            <v>5315</v>
          </cell>
          <cell r="C331">
            <v>133</v>
          </cell>
          <cell r="H331" t="str">
            <v>ШГН</v>
          </cell>
          <cell r="I331" t="str">
            <v>бд</v>
          </cell>
          <cell r="N331">
            <v>15</v>
          </cell>
          <cell r="O331">
            <v>10</v>
          </cell>
          <cell r="P331">
            <v>18</v>
          </cell>
          <cell r="Q331">
            <v>15</v>
          </cell>
          <cell r="R331">
            <v>10</v>
          </cell>
          <cell r="S331">
            <v>17.7</v>
          </cell>
          <cell r="T331">
            <v>37285</v>
          </cell>
          <cell r="U331" t="str">
            <v>ВЦД</v>
          </cell>
          <cell r="W331" t="str">
            <v>ВЦ</v>
          </cell>
        </row>
        <row r="332">
          <cell r="B332">
            <v>5311</v>
          </cell>
          <cell r="C332">
            <v>140</v>
          </cell>
          <cell r="F332" t="str">
            <v>ПРС</v>
          </cell>
          <cell r="G332">
            <v>260</v>
          </cell>
          <cell r="H332" t="str">
            <v>ШГН</v>
          </cell>
          <cell r="I332" t="str">
            <v>бд</v>
          </cell>
          <cell r="N332">
            <v>20</v>
          </cell>
          <cell r="O332">
            <v>2</v>
          </cell>
          <cell r="P332">
            <v>88</v>
          </cell>
          <cell r="Q332">
            <v>20</v>
          </cell>
          <cell r="R332">
            <v>2</v>
          </cell>
          <cell r="S332">
            <v>87.7</v>
          </cell>
          <cell r="T332">
            <v>37283</v>
          </cell>
          <cell r="U332" t="str">
            <v>БДД</v>
          </cell>
        </row>
        <row r="333">
          <cell r="B333">
            <v>5702</v>
          </cell>
          <cell r="C333">
            <v>126</v>
          </cell>
          <cell r="D333">
            <v>21</v>
          </cell>
          <cell r="E333">
            <v>213</v>
          </cell>
          <cell r="F333" t="str">
            <v>УПНПиКРС</v>
          </cell>
          <cell r="G333">
            <v>230</v>
          </cell>
          <cell r="H333" t="str">
            <v>ШГН</v>
          </cell>
          <cell r="I333" t="str">
            <v>действ.</v>
          </cell>
          <cell r="N333">
            <v>12</v>
          </cell>
          <cell r="O333">
            <v>7.9</v>
          </cell>
          <cell r="P333">
            <v>19</v>
          </cell>
          <cell r="Q333">
            <v>12</v>
          </cell>
          <cell r="R333">
            <v>7.9</v>
          </cell>
          <cell r="S333">
            <v>18.7</v>
          </cell>
          <cell r="T333">
            <v>37280</v>
          </cell>
          <cell r="U333" t="str">
            <v>БДП</v>
          </cell>
          <cell r="W333" t="str">
            <v>ВЦ, ревизия Н-57</v>
          </cell>
          <cell r="X333" t="str">
            <v>Перестрел верха</v>
          </cell>
        </row>
        <row r="334">
          <cell r="B334">
            <v>5560</v>
          </cell>
          <cell r="C334" t="str">
            <v>119б</v>
          </cell>
          <cell r="D334">
            <v>4</v>
          </cell>
          <cell r="E334">
            <v>42</v>
          </cell>
          <cell r="F334" t="str">
            <v>УПНПиКРС</v>
          </cell>
          <cell r="G334">
            <v>265</v>
          </cell>
          <cell r="H334" t="str">
            <v>ШГН</v>
          </cell>
          <cell r="I334" t="str">
            <v>бд</v>
          </cell>
          <cell r="J334">
            <v>36544</v>
          </cell>
          <cell r="K334">
            <v>2</v>
          </cell>
          <cell r="L334">
            <v>1</v>
          </cell>
          <cell r="M334">
            <v>40</v>
          </cell>
          <cell r="N334">
            <v>12</v>
          </cell>
          <cell r="O334">
            <v>2</v>
          </cell>
          <cell r="P334">
            <v>80</v>
          </cell>
          <cell r="Q334">
            <v>12</v>
          </cell>
          <cell r="R334">
            <v>2</v>
          </cell>
          <cell r="S334">
            <v>79.400000000000006</v>
          </cell>
          <cell r="T334">
            <v>37278</v>
          </cell>
          <cell r="U334" t="str">
            <v>ОПЗ</v>
          </cell>
          <cell r="W334" t="str">
            <v>ВЦ ПП. ОПЗ НТПН. ГДИ</v>
          </cell>
          <cell r="X334" t="str">
            <v>ВЦ субподрядом</v>
          </cell>
        </row>
        <row r="335">
          <cell r="B335">
            <v>2979</v>
          </cell>
          <cell r="C335">
            <v>50</v>
          </cell>
          <cell r="H335" t="str">
            <v>ШГН</v>
          </cell>
          <cell r="I335" t="str">
            <v>действ.</v>
          </cell>
          <cell r="K335">
            <v>20</v>
          </cell>
          <cell r="L335">
            <v>10.6</v>
          </cell>
          <cell r="M335">
            <v>35</v>
          </cell>
          <cell r="N335">
            <v>33</v>
          </cell>
          <cell r="O335">
            <v>15</v>
          </cell>
          <cell r="P335">
            <v>44.3</v>
          </cell>
          <cell r="Q335">
            <v>13</v>
          </cell>
          <cell r="R335">
            <v>4.4000000000000004</v>
          </cell>
          <cell r="S335">
            <v>58.2</v>
          </cell>
          <cell r="T335">
            <v>37277</v>
          </cell>
          <cell r="U335" t="str">
            <v>опт</v>
          </cell>
          <cell r="W335" t="str">
            <v>опт.Н-57/Э-45</v>
          </cell>
        </row>
        <row r="336">
          <cell r="B336">
            <v>5643</v>
          </cell>
          <cell r="C336">
            <v>126</v>
          </cell>
          <cell r="D336">
            <v>9</v>
          </cell>
          <cell r="E336">
            <v>90</v>
          </cell>
          <cell r="F336" t="str">
            <v>УПНПиКРС</v>
          </cell>
          <cell r="G336">
            <v>230</v>
          </cell>
          <cell r="H336" t="str">
            <v>ШГН</v>
          </cell>
          <cell r="O336">
            <v>0</v>
          </cell>
          <cell r="Q336">
            <v>0</v>
          </cell>
          <cell r="R336">
            <v>0</v>
          </cell>
          <cell r="T336">
            <v>37277</v>
          </cell>
          <cell r="U336" t="str">
            <v>ЗБС</v>
          </cell>
          <cell r="W336" t="str">
            <v>ПР К ЗБС</v>
          </cell>
        </row>
        <row r="337">
          <cell r="B337">
            <v>4212</v>
          </cell>
          <cell r="C337">
            <v>311</v>
          </cell>
          <cell r="H337" t="str">
            <v>ЭЦН</v>
          </cell>
          <cell r="I337" t="str">
            <v>действ.</v>
          </cell>
          <cell r="K337">
            <v>60</v>
          </cell>
          <cell r="L337">
            <v>0.5</v>
          </cell>
          <cell r="M337">
            <v>99</v>
          </cell>
          <cell r="N337">
            <v>80</v>
          </cell>
          <cell r="O337">
            <v>2</v>
          </cell>
          <cell r="P337">
            <v>97</v>
          </cell>
          <cell r="Q337">
            <v>20</v>
          </cell>
          <cell r="R337">
            <v>1.5</v>
          </cell>
          <cell r="S337">
            <v>90.7</v>
          </cell>
          <cell r="T337">
            <v>37277</v>
          </cell>
          <cell r="U337" t="str">
            <v>опт</v>
          </cell>
          <cell r="W337" t="str">
            <v>Опт.Э-50/Э-80</v>
          </cell>
        </row>
        <row r="338">
          <cell r="B338">
            <v>2720</v>
          </cell>
          <cell r="C338">
            <v>166</v>
          </cell>
          <cell r="D338">
            <v>80</v>
          </cell>
          <cell r="E338">
            <v>801</v>
          </cell>
          <cell r="F338" t="str">
            <v>ЗАО "УПКРС"</v>
          </cell>
          <cell r="G338">
            <v>265</v>
          </cell>
          <cell r="H338" t="str">
            <v>ШГН</v>
          </cell>
          <cell r="I338" t="str">
            <v>бд</v>
          </cell>
          <cell r="J338">
            <v>35746</v>
          </cell>
          <cell r="N338">
            <v>17</v>
          </cell>
          <cell r="O338">
            <v>12</v>
          </cell>
          <cell r="P338">
            <v>13.5</v>
          </cell>
          <cell r="Q338">
            <v>17</v>
          </cell>
          <cell r="R338">
            <v>12</v>
          </cell>
          <cell r="S338">
            <v>12.9</v>
          </cell>
          <cell r="T338">
            <v>37268</v>
          </cell>
          <cell r="U338" t="str">
            <v>ГРП</v>
          </cell>
          <cell r="W338" t="str">
            <v>ВЦ. Извлечение НКТ с НГН-44. ГРП ЮК-10</v>
          </cell>
        </row>
        <row r="339">
          <cell r="B339">
            <v>2722</v>
          </cell>
          <cell r="C339">
            <v>166</v>
          </cell>
          <cell r="F339" t="str">
            <v>ПРС</v>
          </cell>
          <cell r="G339">
            <v>260</v>
          </cell>
          <cell r="H339" t="str">
            <v>ШГН</v>
          </cell>
          <cell r="I339" t="str">
            <v>бд</v>
          </cell>
          <cell r="L339">
            <v>0</v>
          </cell>
          <cell r="N339">
            <v>6</v>
          </cell>
          <cell r="O339">
            <v>4.7</v>
          </cell>
          <cell r="P339">
            <v>4</v>
          </cell>
          <cell r="Q339">
            <v>6</v>
          </cell>
          <cell r="R339">
            <v>4.7</v>
          </cell>
          <cell r="S339">
            <v>3.3</v>
          </cell>
          <cell r="T339">
            <v>37264</v>
          </cell>
          <cell r="U339" t="str">
            <v>БДД</v>
          </cell>
        </row>
        <row r="340">
          <cell r="B340">
            <v>4123</v>
          </cell>
          <cell r="C340">
            <v>314</v>
          </cell>
          <cell r="H340" t="str">
            <v>ШГН</v>
          </cell>
          <cell r="I340" t="str">
            <v>конс.</v>
          </cell>
          <cell r="N340">
            <v>5</v>
          </cell>
          <cell r="O340">
            <v>2</v>
          </cell>
          <cell r="P340">
            <v>49.8</v>
          </cell>
          <cell r="Q340">
            <v>5</v>
          </cell>
          <cell r="R340">
            <v>2</v>
          </cell>
          <cell r="S340">
            <v>50.6</v>
          </cell>
          <cell r="T340">
            <v>37260</v>
          </cell>
          <cell r="U340" t="str">
            <v>ОВП</v>
          </cell>
          <cell r="V340">
            <v>1</v>
          </cell>
        </row>
        <row r="341">
          <cell r="B341">
            <v>5336</v>
          </cell>
          <cell r="C341">
            <v>140</v>
          </cell>
          <cell r="D341">
            <v>9</v>
          </cell>
          <cell r="E341">
            <v>91</v>
          </cell>
          <cell r="F341" t="str">
            <v>УПНПиКРС</v>
          </cell>
          <cell r="G341">
            <v>270</v>
          </cell>
          <cell r="H341" t="str">
            <v>ШГН</v>
          </cell>
          <cell r="I341" t="str">
            <v>бд</v>
          </cell>
          <cell r="J341">
            <v>34366</v>
          </cell>
          <cell r="K341">
            <v>3.5</v>
          </cell>
          <cell r="L341">
            <v>2.7</v>
          </cell>
          <cell r="M341">
            <v>5</v>
          </cell>
          <cell r="N341">
            <v>6</v>
          </cell>
          <cell r="O341">
            <v>2.9</v>
          </cell>
          <cell r="P341">
            <v>40</v>
          </cell>
          <cell r="Q341">
            <v>6</v>
          </cell>
          <cell r="R341">
            <v>2.9</v>
          </cell>
          <cell r="S341">
            <v>40.299999999999997</v>
          </cell>
          <cell r="T341">
            <v>37255</v>
          </cell>
          <cell r="U341" t="str">
            <v>ОПЗ</v>
          </cell>
          <cell r="W341" t="str">
            <v xml:space="preserve">Ликв.негерм.ЭК. ИР ЮК-11. ГИС. ПП п."б". </v>
          </cell>
          <cell r="X341" t="str">
            <v>СК есть</v>
          </cell>
        </row>
        <row r="342">
          <cell r="B342">
            <v>11007</v>
          </cell>
          <cell r="C342" t="str">
            <v>123б</v>
          </cell>
          <cell r="H342" t="str">
            <v>ЭЦН</v>
          </cell>
          <cell r="N342">
            <v>50</v>
          </cell>
          <cell r="O342">
            <v>2</v>
          </cell>
          <cell r="P342">
            <v>95</v>
          </cell>
          <cell r="Q342">
            <v>50</v>
          </cell>
          <cell r="R342">
            <v>2</v>
          </cell>
          <cell r="S342">
            <v>95.1</v>
          </cell>
          <cell r="T342">
            <v>37254</v>
          </cell>
          <cell r="U342" t="str">
            <v>ВЦД</v>
          </cell>
          <cell r="W342" t="str">
            <v>ВЦ Электропрогрев</v>
          </cell>
        </row>
        <row r="343">
          <cell r="B343">
            <v>4015</v>
          </cell>
          <cell r="C343">
            <v>310</v>
          </cell>
          <cell r="H343" t="str">
            <v>ШГН</v>
          </cell>
          <cell r="I343" t="str">
            <v>конс.</v>
          </cell>
          <cell r="J343">
            <v>34274</v>
          </cell>
          <cell r="N343">
            <v>6</v>
          </cell>
          <cell r="O343">
            <v>2.1</v>
          </cell>
          <cell r="P343">
            <v>58</v>
          </cell>
          <cell r="Q343">
            <v>6</v>
          </cell>
          <cell r="R343">
            <v>2.1</v>
          </cell>
          <cell r="S343">
            <v>56.8</v>
          </cell>
          <cell r="T343">
            <v>37250</v>
          </cell>
          <cell r="U343" t="str">
            <v>ОВП</v>
          </cell>
          <cell r="X343" t="str">
            <v>УОПР-800, после обустройства</v>
          </cell>
        </row>
        <row r="344">
          <cell r="B344">
            <v>5543</v>
          </cell>
          <cell r="C344">
            <v>114</v>
          </cell>
          <cell r="H344" t="str">
            <v>ШГН</v>
          </cell>
          <cell r="N344">
            <v>3</v>
          </cell>
          <cell r="O344">
            <v>1.7</v>
          </cell>
          <cell r="P344">
            <v>29</v>
          </cell>
          <cell r="Q344">
            <v>3</v>
          </cell>
          <cell r="R344">
            <v>1.7</v>
          </cell>
          <cell r="S344">
            <v>30</v>
          </cell>
          <cell r="T344">
            <v>37249</v>
          </cell>
          <cell r="U344" t="str">
            <v>ОПЗ</v>
          </cell>
          <cell r="W344" t="str">
            <v>ВЗ,ОПЗ КСПЭО, ГДИ</v>
          </cell>
        </row>
        <row r="345">
          <cell r="B345">
            <v>2878</v>
          </cell>
          <cell r="C345">
            <v>42</v>
          </cell>
          <cell r="D345">
            <v>3</v>
          </cell>
          <cell r="E345">
            <v>32</v>
          </cell>
          <cell r="F345" t="str">
            <v>ЗАО "УПКРС"</v>
          </cell>
          <cell r="G345">
            <v>260</v>
          </cell>
          <cell r="H345" t="str">
            <v>ШГН</v>
          </cell>
          <cell r="I345" t="str">
            <v>бдт</v>
          </cell>
          <cell r="N345">
            <v>12</v>
          </cell>
          <cell r="O345">
            <v>2.2999999999999998</v>
          </cell>
          <cell r="P345">
            <v>76</v>
          </cell>
          <cell r="Q345">
            <v>12</v>
          </cell>
          <cell r="R345">
            <v>2.2999999999999998</v>
          </cell>
          <cell r="S345">
            <v>76.3</v>
          </cell>
          <cell r="T345">
            <v>37247</v>
          </cell>
          <cell r="U345" t="str">
            <v>бдп</v>
          </cell>
        </row>
        <row r="346">
          <cell r="B346">
            <v>2675</v>
          </cell>
          <cell r="C346">
            <v>161</v>
          </cell>
          <cell r="H346" t="str">
            <v>ШГН</v>
          </cell>
          <cell r="I346" t="str">
            <v>бдт</v>
          </cell>
          <cell r="N346">
            <v>12</v>
          </cell>
          <cell r="O346">
            <v>1</v>
          </cell>
          <cell r="P346">
            <v>90</v>
          </cell>
          <cell r="Q346">
            <v>12</v>
          </cell>
          <cell r="R346">
            <v>1</v>
          </cell>
          <cell r="S346">
            <v>89.7</v>
          </cell>
          <cell r="T346">
            <v>37247</v>
          </cell>
          <cell r="U346" t="str">
            <v>бдп</v>
          </cell>
        </row>
        <row r="347">
          <cell r="B347">
            <v>4022</v>
          </cell>
          <cell r="C347">
            <v>313</v>
          </cell>
          <cell r="H347" t="str">
            <v>ШГН</v>
          </cell>
          <cell r="I347" t="str">
            <v>конс.</v>
          </cell>
          <cell r="J347">
            <v>33848</v>
          </cell>
          <cell r="N347">
            <v>29</v>
          </cell>
          <cell r="O347">
            <v>1.2</v>
          </cell>
          <cell r="P347">
            <v>95</v>
          </cell>
          <cell r="Q347">
            <v>29</v>
          </cell>
          <cell r="R347">
            <v>1.2</v>
          </cell>
          <cell r="S347">
            <v>94.9</v>
          </cell>
          <cell r="T347">
            <v>37245</v>
          </cell>
          <cell r="U347" t="str">
            <v>ОВП</v>
          </cell>
          <cell r="X347" t="str">
            <v>УОПР-800, после обустройства</v>
          </cell>
        </row>
        <row r="348">
          <cell r="B348">
            <v>2787</v>
          </cell>
          <cell r="C348">
            <v>145</v>
          </cell>
          <cell r="D348">
            <v>4</v>
          </cell>
          <cell r="E348">
            <v>40</v>
          </cell>
          <cell r="G348">
            <v>275</v>
          </cell>
          <cell r="H348" t="str">
            <v>ЭЦН</v>
          </cell>
          <cell r="I348" t="str">
            <v>конс.</v>
          </cell>
          <cell r="J348">
            <v>33848</v>
          </cell>
          <cell r="K348">
            <v>60</v>
          </cell>
          <cell r="L348">
            <v>8.3000000000000007</v>
          </cell>
          <cell r="M348">
            <v>83</v>
          </cell>
          <cell r="N348">
            <v>16</v>
          </cell>
          <cell r="O348">
            <v>12.5</v>
          </cell>
          <cell r="P348">
            <v>4</v>
          </cell>
          <cell r="Q348">
            <v>16</v>
          </cell>
          <cell r="R348">
            <v>12.5</v>
          </cell>
          <cell r="S348">
            <v>3.5</v>
          </cell>
          <cell r="W348" t="str">
            <v>ВЦ. ИР ЮК-11. ГИС-2. ГРП ЮК-10. Спуск ЭЦН</v>
          </cell>
        </row>
        <row r="349">
          <cell r="B349">
            <v>2857</v>
          </cell>
          <cell r="C349">
            <v>42</v>
          </cell>
          <cell r="H349" t="str">
            <v>ШГН</v>
          </cell>
          <cell r="I349" t="str">
            <v>бдт</v>
          </cell>
          <cell r="N349">
            <v>11</v>
          </cell>
          <cell r="O349">
            <v>7.2</v>
          </cell>
          <cell r="P349">
            <v>20</v>
          </cell>
          <cell r="Q349">
            <v>11</v>
          </cell>
          <cell r="R349">
            <v>7.2</v>
          </cell>
          <cell r="S349">
            <v>19.2</v>
          </cell>
          <cell r="T349">
            <v>37233</v>
          </cell>
          <cell r="U349" t="str">
            <v>ВЦД</v>
          </cell>
        </row>
        <row r="350">
          <cell r="B350">
            <v>4168</v>
          </cell>
          <cell r="C350">
            <v>314</v>
          </cell>
          <cell r="H350" t="str">
            <v>ЭЦН</v>
          </cell>
          <cell r="I350" t="str">
            <v>бдт</v>
          </cell>
          <cell r="N350">
            <v>60</v>
          </cell>
          <cell r="O350">
            <v>1</v>
          </cell>
          <cell r="P350">
            <v>98</v>
          </cell>
          <cell r="Q350">
            <v>60</v>
          </cell>
          <cell r="R350">
            <v>1</v>
          </cell>
          <cell r="S350">
            <v>97.9</v>
          </cell>
          <cell r="T350">
            <v>37231</v>
          </cell>
          <cell r="U350" t="str">
            <v>бдп</v>
          </cell>
        </row>
        <row r="351">
          <cell r="B351">
            <v>5349</v>
          </cell>
          <cell r="C351">
            <v>103</v>
          </cell>
          <cell r="H351" t="str">
            <v>ЭЦН</v>
          </cell>
          <cell r="I351" t="str">
            <v>бдт</v>
          </cell>
          <cell r="N351">
            <v>46</v>
          </cell>
          <cell r="O351">
            <v>1.1000000000000001</v>
          </cell>
          <cell r="P351">
            <v>97</v>
          </cell>
          <cell r="Q351">
            <v>46</v>
          </cell>
          <cell r="R351">
            <v>1.1000000000000001</v>
          </cell>
          <cell r="S351">
            <v>97</v>
          </cell>
          <cell r="T351">
            <v>37229</v>
          </cell>
          <cell r="U351" t="str">
            <v>бдп</v>
          </cell>
        </row>
        <row r="352">
          <cell r="B352">
            <v>5344</v>
          </cell>
          <cell r="C352">
            <v>102</v>
          </cell>
          <cell r="H352" t="str">
            <v>ЭДН</v>
          </cell>
          <cell r="I352" t="str">
            <v>бдт</v>
          </cell>
          <cell r="J352">
            <v>37124</v>
          </cell>
          <cell r="N352">
            <v>5</v>
          </cell>
          <cell r="O352">
            <v>3</v>
          </cell>
          <cell r="P352">
            <v>27</v>
          </cell>
          <cell r="Q352">
            <v>5</v>
          </cell>
          <cell r="R352">
            <v>3</v>
          </cell>
          <cell r="S352">
            <v>25.9</v>
          </cell>
          <cell r="T352">
            <v>37224</v>
          </cell>
          <cell r="U352" t="str">
            <v>бдп</v>
          </cell>
        </row>
        <row r="353">
          <cell r="B353">
            <v>5365</v>
          </cell>
          <cell r="C353">
            <v>109</v>
          </cell>
          <cell r="D353">
            <v>23</v>
          </cell>
          <cell r="G353">
            <v>275</v>
          </cell>
          <cell r="H353" t="str">
            <v>ШГН</v>
          </cell>
          <cell r="I353" t="str">
            <v>конс.</v>
          </cell>
          <cell r="J353">
            <v>33178</v>
          </cell>
          <cell r="N353">
            <v>20</v>
          </cell>
          <cell r="O353">
            <v>2</v>
          </cell>
          <cell r="P353">
            <v>88</v>
          </cell>
          <cell r="Q353">
            <v>20</v>
          </cell>
          <cell r="R353">
            <v>2</v>
          </cell>
          <cell r="S353">
            <v>87.7</v>
          </cell>
          <cell r="T353">
            <v>37224</v>
          </cell>
          <cell r="U353" t="str">
            <v>ОПЗ</v>
          </cell>
          <cell r="W353" t="str">
            <v>ВЦ. РИР ЮК-11. ПП УГИС. ГДИ</v>
          </cell>
        </row>
        <row r="354">
          <cell r="B354">
            <v>11047</v>
          </cell>
          <cell r="C354" t="str">
            <v>302б</v>
          </cell>
          <cell r="H354" t="str">
            <v>ШГН</v>
          </cell>
          <cell r="I354" t="str">
            <v>бдт</v>
          </cell>
          <cell r="N354">
            <v>3</v>
          </cell>
          <cell r="O354">
            <v>1.5</v>
          </cell>
          <cell r="P354">
            <v>40</v>
          </cell>
          <cell r="Q354">
            <v>3</v>
          </cell>
          <cell r="R354">
            <v>1.5</v>
          </cell>
          <cell r="S354">
            <v>38.299999999999997</v>
          </cell>
          <cell r="T354">
            <v>37215</v>
          </cell>
          <cell r="U354" t="str">
            <v>бдп</v>
          </cell>
        </row>
        <row r="355">
          <cell r="B355">
            <v>2762</v>
          </cell>
          <cell r="C355">
            <v>143</v>
          </cell>
          <cell r="H355" t="str">
            <v>ШГН</v>
          </cell>
          <cell r="I355" t="str">
            <v>бдт</v>
          </cell>
          <cell r="N355">
            <v>12</v>
          </cell>
          <cell r="O355">
            <v>3</v>
          </cell>
          <cell r="P355">
            <v>69</v>
          </cell>
          <cell r="Q355">
            <v>12</v>
          </cell>
          <cell r="R355">
            <v>3</v>
          </cell>
          <cell r="S355">
            <v>69.099999999999994</v>
          </cell>
          <cell r="T355">
            <v>37208</v>
          </cell>
          <cell r="U355" t="str">
            <v>бдп</v>
          </cell>
        </row>
        <row r="356">
          <cell r="B356">
            <v>5513</v>
          </cell>
          <cell r="C356">
            <v>114</v>
          </cell>
          <cell r="D356">
            <v>36</v>
          </cell>
          <cell r="E356">
            <v>351</v>
          </cell>
          <cell r="G356">
            <v>250</v>
          </cell>
          <cell r="H356" t="str">
            <v>ЭЦН</v>
          </cell>
          <cell r="I356" t="str">
            <v>бд</v>
          </cell>
          <cell r="J356">
            <v>35073</v>
          </cell>
          <cell r="N356">
            <v>15</v>
          </cell>
          <cell r="O356">
            <v>5</v>
          </cell>
          <cell r="P356">
            <v>59</v>
          </cell>
          <cell r="Q356">
            <v>15</v>
          </cell>
          <cell r="R356">
            <v>5</v>
          </cell>
          <cell r="S356">
            <v>58.8</v>
          </cell>
          <cell r="T356">
            <v>37207</v>
          </cell>
          <cell r="U356" t="str">
            <v>ОПЗ</v>
          </cell>
          <cell r="W356" t="str">
            <v>ЛА (ЭЦН и НКТ). ИР ЮК10. ГИС-2. ГРП ЮК 4-5</v>
          </cell>
          <cell r="X356" t="str">
            <v>Ликвидация аварии (ЭЦН+НКТ)</v>
          </cell>
        </row>
        <row r="357">
          <cell r="B357">
            <v>5820</v>
          </cell>
          <cell r="C357">
            <v>167</v>
          </cell>
          <cell r="H357" t="str">
            <v>ШГН</v>
          </cell>
          <cell r="I357" t="str">
            <v>бд</v>
          </cell>
          <cell r="N357">
            <v>17</v>
          </cell>
          <cell r="O357">
            <v>1.5</v>
          </cell>
          <cell r="P357">
            <v>89</v>
          </cell>
          <cell r="Q357">
            <v>17</v>
          </cell>
          <cell r="R357">
            <v>1.5</v>
          </cell>
          <cell r="S357">
            <v>89.1</v>
          </cell>
          <cell r="T357">
            <v>37207</v>
          </cell>
          <cell r="U357" t="str">
            <v>ВЦД</v>
          </cell>
        </row>
        <row r="358">
          <cell r="B358">
            <v>4212</v>
          </cell>
          <cell r="C358">
            <v>311</v>
          </cell>
          <cell r="H358" t="str">
            <v>ЭЦН</v>
          </cell>
          <cell r="N358">
            <v>50</v>
          </cell>
          <cell r="O358">
            <v>2</v>
          </cell>
          <cell r="P358">
            <v>95</v>
          </cell>
          <cell r="Q358">
            <v>50</v>
          </cell>
          <cell r="R358">
            <v>2</v>
          </cell>
          <cell r="S358">
            <v>95.1</v>
          </cell>
          <cell r="T358">
            <v>37207</v>
          </cell>
          <cell r="U358" t="str">
            <v>ВЦ</v>
          </cell>
          <cell r="W358" t="str">
            <v>ВЦ ПРС промывка забоя</v>
          </cell>
        </row>
        <row r="359">
          <cell r="B359">
            <v>2818</v>
          </cell>
          <cell r="C359">
            <v>144</v>
          </cell>
          <cell r="H359" t="str">
            <v>ШГН</v>
          </cell>
          <cell r="I359" t="str">
            <v>конс.</v>
          </cell>
          <cell r="J359">
            <v>33239</v>
          </cell>
          <cell r="N359">
            <v>10</v>
          </cell>
          <cell r="O359">
            <v>1</v>
          </cell>
          <cell r="P359">
            <v>88</v>
          </cell>
          <cell r="Q359">
            <v>10</v>
          </cell>
          <cell r="R359">
            <v>1</v>
          </cell>
          <cell r="S359">
            <v>87.7</v>
          </cell>
          <cell r="T359">
            <v>37203</v>
          </cell>
          <cell r="U359" t="str">
            <v>ВЦД</v>
          </cell>
        </row>
        <row r="360">
          <cell r="B360" t="str">
            <v>5519б</v>
          </cell>
          <cell r="C360">
            <v>116</v>
          </cell>
          <cell r="H360" t="str">
            <v>ЭЦН</v>
          </cell>
          <cell r="I360" t="str">
            <v>бдт</v>
          </cell>
          <cell r="N360">
            <v>54</v>
          </cell>
          <cell r="O360">
            <v>5</v>
          </cell>
          <cell r="P360">
            <v>88.6</v>
          </cell>
          <cell r="Q360">
            <v>54</v>
          </cell>
          <cell r="R360">
            <v>5</v>
          </cell>
          <cell r="S360">
            <v>88.6</v>
          </cell>
          <cell r="T360">
            <v>37203</v>
          </cell>
          <cell r="U360" t="str">
            <v>бдп</v>
          </cell>
        </row>
        <row r="361">
          <cell r="B361">
            <v>2739</v>
          </cell>
          <cell r="C361">
            <v>163</v>
          </cell>
          <cell r="H361" t="str">
            <v>ШГН</v>
          </cell>
          <cell r="I361" t="str">
            <v>бдт</v>
          </cell>
          <cell r="N361">
            <v>11</v>
          </cell>
          <cell r="O361">
            <v>1</v>
          </cell>
          <cell r="P361">
            <v>89</v>
          </cell>
          <cell r="Q361">
            <v>11</v>
          </cell>
          <cell r="R361">
            <v>1</v>
          </cell>
          <cell r="S361">
            <v>88.8</v>
          </cell>
          <cell r="T361">
            <v>37200</v>
          </cell>
          <cell r="U361" t="str">
            <v>бдп</v>
          </cell>
        </row>
        <row r="362">
          <cell r="B362">
            <v>3859</v>
          </cell>
          <cell r="C362" t="str">
            <v>306б</v>
          </cell>
          <cell r="H362" t="str">
            <v>ЭЦН</v>
          </cell>
          <cell r="I362" t="str">
            <v>бд</v>
          </cell>
          <cell r="J362">
            <v>35859</v>
          </cell>
          <cell r="N362">
            <v>22</v>
          </cell>
          <cell r="O362">
            <v>6</v>
          </cell>
          <cell r="P362">
            <v>66.3</v>
          </cell>
          <cell r="Q362">
            <v>22</v>
          </cell>
          <cell r="R362">
            <v>6</v>
          </cell>
          <cell r="S362">
            <v>66.3</v>
          </cell>
          <cell r="T362">
            <v>37200</v>
          </cell>
          <cell r="U362" t="str">
            <v>ВЦД</v>
          </cell>
        </row>
        <row r="363">
          <cell r="B363">
            <v>5221</v>
          </cell>
          <cell r="C363">
            <v>126</v>
          </cell>
          <cell r="D363">
            <v>21</v>
          </cell>
          <cell r="E363">
            <v>211</v>
          </cell>
          <cell r="G363">
            <v>240</v>
          </cell>
          <cell r="H363" t="str">
            <v>ШГН</v>
          </cell>
          <cell r="I363" t="str">
            <v>бд</v>
          </cell>
          <cell r="J363">
            <v>35706</v>
          </cell>
          <cell r="K363">
            <v>8</v>
          </cell>
          <cell r="L363">
            <v>6.1</v>
          </cell>
          <cell r="M363">
            <v>6</v>
          </cell>
          <cell r="N363">
            <v>4</v>
          </cell>
          <cell r="O363">
            <v>1</v>
          </cell>
          <cell r="P363">
            <v>68</v>
          </cell>
          <cell r="Q363">
            <v>4</v>
          </cell>
          <cell r="R363">
            <v>1</v>
          </cell>
          <cell r="S363">
            <v>69.099999999999994</v>
          </cell>
          <cell r="T363">
            <v>37199</v>
          </cell>
          <cell r="U363" t="str">
            <v>ГРП</v>
          </cell>
          <cell r="W363" t="str">
            <v>ПП. ОПЗ НТПН. УГИС. ГРП</v>
          </cell>
        </row>
        <row r="364">
          <cell r="B364">
            <v>5350</v>
          </cell>
          <cell r="C364">
            <v>104</v>
          </cell>
          <cell r="H364" t="str">
            <v>ЭЦН</v>
          </cell>
          <cell r="I364" t="str">
            <v>действ.</v>
          </cell>
          <cell r="K364">
            <v>105</v>
          </cell>
          <cell r="L364">
            <v>7.7</v>
          </cell>
          <cell r="M364">
            <v>91</v>
          </cell>
          <cell r="N364">
            <v>150</v>
          </cell>
          <cell r="O364">
            <v>9</v>
          </cell>
          <cell r="P364">
            <v>92.6</v>
          </cell>
          <cell r="Q364">
            <v>45</v>
          </cell>
          <cell r="R364">
            <v>1.2999999999999998</v>
          </cell>
          <cell r="S364">
            <v>0</v>
          </cell>
          <cell r="T364">
            <v>37193</v>
          </cell>
          <cell r="U364" t="str">
            <v>опт</v>
          </cell>
        </row>
        <row r="365">
          <cell r="B365">
            <v>2922</v>
          </cell>
          <cell r="C365" t="str">
            <v>43б</v>
          </cell>
          <cell r="H365" t="str">
            <v>ЭЦН</v>
          </cell>
          <cell r="I365" t="str">
            <v>действ.</v>
          </cell>
          <cell r="K365">
            <v>10</v>
          </cell>
          <cell r="L365">
            <v>6.4</v>
          </cell>
          <cell r="M365">
            <v>21</v>
          </cell>
          <cell r="N365">
            <v>33</v>
          </cell>
          <cell r="O365">
            <v>8</v>
          </cell>
          <cell r="P365">
            <v>70.2</v>
          </cell>
          <cell r="Q365">
            <v>23</v>
          </cell>
          <cell r="R365">
            <v>1.5999999999999996</v>
          </cell>
          <cell r="T365">
            <v>37187</v>
          </cell>
          <cell r="U365" t="str">
            <v>опт</v>
          </cell>
        </row>
        <row r="366">
          <cell r="B366">
            <v>2932</v>
          </cell>
          <cell r="C366">
            <v>44</v>
          </cell>
          <cell r="D366">
            <v>0</v>
          </cell>
          <cell r="G366">
            <v>265</v>
          </cell>
          <cell r="H366" t="str">
            <v>ШГН</v>
          </cell>
          <cell r="I366" t="str">
            <v>бдт</v>
          </cell>
          <cell r="J366">
            <v>37045</v>
          </cell>
          <cell r="K366">
            <v>15</v>
          </cell>
          <cell r="L366">
            <v>10.3</v>
          </cell>
          <cell r="M366">
            <v>16</v>
          </cell>
          <cell r="N366">
            <v>35</v>
          </cell>
          <cell r="O366">
            <v>12</v>
          </cell>
          <cell r="P366">
            <v>57.8</v>
          </cell>
          <cell r="Q366">
            <v>35</v>
          </cell>
          <cell r="R366">
            <v>12</v>
          </cell>
          <cell r="S366">
            <v>57.7</v>
          </cell>
          <cell r="T366">
            <v>37183</v>
          </cell>
          <cell r="U366" t="str">
            <v>ОПЗ</v>
          </cell>
          <cell r="W366" t="str">
            <v>ВЦ. ПП ДН. ОПЗ НТПН</v>
          </cell>
        </row>
        <row r="367">
          <cell r="B367">
            <v>4077</v>
          </cell>
          <cell r="C367">
            <v>315</v>
          </cell>
          <cell r="H367" t="str">
            <v>ШГН</v>
          </cell>
          <cell r="I367" t="str">
            <v>бд</v>
          </cell>
          <cell r="J367">
            <v>36091</v>
          </cell>
          <cell r="N367">
            <v>4</v>
          </cell>
          <cell r="O367">
            <v>0.2</v>
          </cell>
          <cell r="P367">
            <v>93.5</v>
          </cell>
          <cell r="Q367">
            <v>4</v>
          </cell>
          <cell r="R367">
            <v>0.2</v>
          </cell>
          <cell r="S367">
            <v>93.8</v>
          </cell>
          <cell r="T367">
            <v>37181</v>
          </cell>
          <cell r="U367" t="str">
            <v>ОВП</v>
          </cell>
          <cell r="X367" t="str">
            <v>УОПР-800, после обустройства</v>
          </cell>
        </row>
        <row r="368">
          <cell r="B368">
            <v>5835</v>
          </cell>
          <cell r="C368">
            <v>168</v>
          </cell>
          <cell r="H368" t="str">
            <v>ШГН</v>
          </cell>
          <cell r="I368" t="str">
            <v>бдт</v>
          </cell>
          <cell r="J368">
            <v>37122</v>
          </cell>
          <cell r="N368">
            <v>12</v>
          </cell>
          <cell r="O368">
            <v>6</v>
          </cell>
          <cell r="P368">
            <v>39</v>
          </cell>
          <cell r="Q368">
            <v>12</v>
          </cell>
          <cell r="R368">
            <v>6</v>
          </cell>
          <cell r="S368">
            <v>38.299999999999997</v>
          </cell>
          <cell r="T368">
            <v>37179</v>
          </cell>
          <cell r="U368" t="str">
            <v>бдп</v>
          </cell>
        </row>
        <row r="369">
          <cell r="B369">
            <v>5310</v>
          </cell>
          <cell r="C369">
            <v>140</v>
          </cell>
          <cell r="D369">
            <v>9</v>
          </cell>
          <cell r="G369">
            <v>240</v>
          </cell>
          <cell r="H369" t="str">
            <v>ШГН</v>
          </cell>
          <cell r="I369" t="str">
            <v>бд</v>
          </cell>
          <cell r="J369">
            <v>34274</v>
          </cell>
          <cell r="N369">
            <v>16</v>
          </cell>
          <cell r="O369">
            <v>1</v>
          </cell>
          <cell r="P369">
            <v>92</v>
          </cell>
          <cell r="Q369">
            <v>16</v>
          </cell>
          <cell r="R369">
            <v>1</v>
          </cell>
          <cell r="S369">
            <v>92.3</v>
          </cell>
          <cell r="T369">
            <v>37177</v>
          </cell>
          <cell r="U369" t="str">
            <v>ВЗ</v>
          </cell>
          <cell r="W369" t="str">
            <v>ВЦ. ГИС. ИР ЮК-11. ГИС. ПП ЮК-10. ГРП</v>
          </cell>
        </row>
        <row r="370">
          <cell r="B370">
            <v>2791</v>
          </cell>
          <cell r="C370">
            <v>144</v>
          </cell>
          <cell r="D370">
            <v>4</v>
          </cell>
          <cell r="G370">
            <v>280</v>
          </cell>
          <cell r="H370" t="str">
            <v>ШГН</v>
          </cell>
          <cell r="I370" t="str">
            <v>бдт</v>
          </cell>
          <cell r="J370">
            <v>37124</v>
          </cell>
          <cell r="K370">
            <v>9</v>
          </cell>
          <cell r="L370">
            <v>5.2</v>
          </cell>
          <cell r="M370">
            <v>29</v>
          </cell>
          <cell r="N370">
            <v>20</v>
          </cell>
          <cell r="O370">
            <v>11</v>
          </cell>
          <cell r="P370">
            <v>32.299999999999997</v>
          </cell>
          <cell r="Q370">
            <v>20</v>
          </cell>
          <cell r="R370">
            <v>11</v>
          </cell>
          <cell r="S370">
            <v>32.1</v>
          </cell>
          <cell r="T370">
            <v>37175</v>
          </cell>
          <cell r="U370" t="str">
            <v>ГРП</v>
          </cell>
          <cell r="W370" t="str">
            <v>ПР ГРП. ГРП</v>
          </cell>
        </row>
        <row r="371">
          <cell r="B371">
            <v>4074</v>
          </cell>
          <cell r="C371">
            <v>314</v>
          </cell>
          <cell r="H371" t="str">
            <v>ШГН</v>
          </cell>
          <cell r="I371" t="str">
            <v>бдт</v>
          </cell>
          <cell r="N371">
            <v>14</v>
          </cell>
          <cell r="O371">
            <v>9</v>
          </cell>
          <cell r="P371">
            <v>21</v>
          </cell>
          <cell r="Q371">
            <v>14</v>
          </cell>
          <cell r="R371">
            <v>9</v>
          </cell>
          <cell r="S371">
            <v>20.6</v>
          </cell>
          <cell r="T371">
            <v>37174</v>
          </cell>
          <cell r="U371" t="str">
            <v>бдп</v>
          </cell>
          <cell r="X371" t="str">
            <v>Запуск ШГН</v>
          </cell>
        </row>
        <row r="372">
          <cell r="B372">
            <v>5476</v>
          </cell>
          <cell r="C372">
            <v>110</v>
          </cell>
          <cell r="H372" t="str">
            <v>ЭЦН</v>
          </cell>
          <cell r="I372" t="str">
            <v>бдт</v>
          </cell>
          <cell r="J372">
            <v>37123</v>
          </cell>
          <cell r="N372">
            <v>55</v>
          </cell>
          <cell r="O372">
            <v>2</v>
          </cell>
          <cell r="P372">
            <v>95.5</v>
          </cell>
          <cell r="Q372">
            <v>55</v>
          </cell>
          <cell r="R372">
            <v>2</v>
          </cell>
          <cell r="S372">
            <v>95.5</v>
          </cell>
          <cell r="T372">
            <v>37174</v>
          </cell>
          <cell r="U372" t="str">
            <v>бдп</v>
          </cell>
        </row>
        <row r="373">
          <cell r="B373">
            <v>5341</v>
          </cell>
          <cell r="C373">
            <v>101</v>
          </cell>
          <cell r="H373" t="str">
            <v>ШГН</v>
          </cell>
          <cell r="I373" t="str">
            <v>бд</v>
          </cell>
          <cell r="J373">
            <v>35653</v>
          </cell>
          <cell r="N373">
            <v>10</v>
          </cell>
          <cell r="O373">
            <v>8</v>
          </cell>
          <cell r="P373">
            <v>2</v>
          </cell>
          <cell r="Q373">
            <v>10</v>
          </cell>
          <cell r="R373">
            <v>8</v>
          </cell>
          <cell r="S373">
            <v>1.2</v>
          </cell>
          <cell r="T373">
            <v>37168</v>
          </cell>
          <cell r="U373" t="str">
            <v>бдп</v>
          </cell>
        </row>
        <row r="374">
          <cell r="B374">
            <v>11003</v>
          </cell>
          <cell r="C374" t="str">
            <v>123б</v>
          </cell>
          <cell r="H374" t="str">
            <v>ЭЦН</v>
          </cell>
          <cell r="I374" t="str">
            <v>действ.</v>
          </cell>
          <cell r="K374">
            <v>60</v>
          </cell>
          <cell r="L374">
            <v>5.9</v>
          </cell>
          <cell r="M374">
            <v>88</v>
          </cell>
          <cell r="N374">
            <v>161</v>
          </cell>
          <cell r="O374">
            <v>10</v>
          </cell>
          <cell r="P374">
            <v>92.4</v>
          </cell>
          <cell r="Q374">
            <v>101</v>
          </cell>
          <cell r="R374">
            <v>4.0999999999999996</v>
          </cell>
          <cell r="S374">
            <v>0</v>
          </cell>
          <cell r="T374">
            <v>37166</v>
          </cell>
          <cell r="U374" t="str">
            <v>опт</v>
          </cell>
        </row>
        <row r="375">
          <cell r="B375">
            <v>2942</v>
          </cell>
          <cell r="C375">
            <v>47</v>
          </cell>
          <cell r="D375">
            <v>35</v>
          </cell>
          <cell r="G375">
            <v>250</v>
          </cell>
          <cell r="H375" t="str">
            <v>ШГН</v>
          </cell>
          <cell r="I375" t="str">
            <v>действ.</v>
          </cell>
          <cell r="J375">
            <v>37116</v>
          </cell>
          <cell r="K375">
            <v>5</v>
          </cell>
          <cell r="L375">
            <v>3.7</v>
          </cell>
          <cell r="M375">
            <v>8</v>
          </cell>
          <cell r="N375">
            <v>10</v>
          </cell>
          <cell r="O375">
            <v>8</v>
          </cell>
          <cell r="P375">
            <v>2</v>
          </cell>
          <cell r="Q375">
            <v>5</v>
          </cell>
          <cell r="R375">
            <v>4.3</v>
          </cell>
          <cell r="T375">
            <v>37157</v>
          </cell>
          <cell r="U375" t="str">
            <v>ОПЗ</v>
          </cell>
          <cell r="W375" t="str">
            <v>УГИС. ОПЗ НТПН. ГДИ</v>
          </cell>
        </row>
        <row r="376">
          <cell r="B376">
            <v>2757</v>
          </cell>
          <cell r="C376">
            <v>144</v>
          </cell>
          <cell r="I376" t="str">
            <v>бд</v>
          </cell>
          <cell r="N376">
            <v>40</v>
          </cell>
          <cell r="O376">
            <v>3</v>
          </cell>
          <cell r="P376">
            <v>90.7</v>
          </cell>
          <cell r="Q376">
            <v>40</v>
          </cell>
          <cell r="R376">
            <v>3</v>
          </cell>
          <cell r="S376">
            <v>90.7</v>
          </cell>
          <cell r="T376">
            <v>37156</v>
          </cell>
          <cell r="U376" t="str">
            <v>ВЦ</v>
          </cell>
        </row>
        <row r="377">
          <cell r="B377">
            <v>4126</v>
          </cell>
          <cell r="C377">
            <v>315</v>
          </cell>
          <cell r="I377" t="str">
            <v>бдт</v>
          </cell>
          <cell r="N377">
            <v>58</v>
          </cell>
          <cell r="O377">
            <v>3.5</v>
          </cell>
          <cell r="P377">
            <v>92.5</v>
          </cell>
          <cell r="Q377">
            <v>58</v>
          </cell>
          <cell r="R377">
            <v>3.5</v>
          </cell>
          <cell r="S377">
            <v>92.6</v>
          </cell>
          <cell r="T377">
            <v>37151</v>
          </cell>
          <cell r="U377" t="str">
            <v>бдп</v>
          </cell>
        </row>
        <row r="378">
          <cell r="B378">
            <v>5807</v>
          </cell>
          <cell r="C378" t="str">
            <v>166б</v>
          </cell>
          <cell r="I378" t="str">
            <v>бд</v>
          </cell>
          <cell r="N378">
            <v>150</v>
          </cell>
          <cell r="Q378">
            <v>150</v>
          </cell>
          <cell r="R378">
            <v>0</v>
          </cell>
          <cell r="S378">
            <v>100</v>
          </cell>
          <cell r="T378">
            <v>37147</v>
          </cell>
          <cell r="U378" t="str">
            <v>нг</v>
          </cell>
        </row>
        <row r="379">
          <cell r="B379">
            <v>2865</v>
          </cell>
          <cell r="C379">
            <v>131</v>
          </cell>
          <cell r="I379" t="str">
            <v>действ.</v>
          </cell>
          <cell r="K379">
            <v>15</v>
          </cell>
          <cell r="L379">
            <v>5.5</v>
          </cell>
          <cell r="M379">
            <v>55</v>
          </cell>
          <cell r="N379">
            <v>63</v>
          </cell>
          <cell r="O379">
            <v>11.5</v>
          </cell>
          <cell r="P379">
            <v>77.599999999999994</v>
          </cell>
          <cell r="Q379">
            <v>48</v>
          </cell>
          <cell r="R379">
            <v>6</v>
          </cell>
          <cell r="T379">
            <v>37141</v>
          </cell>
          <cell r="U379" t="str">
            <v>опт</v>
          </cell>
        </row>
        <row r="380">
          <cell r="B380" t="str">
            <v>5484б</v>
          </cell>
          <cell r="C380">
            <v>115</v>
          </cell>
          <cell r="H380" t="str">
            <v>ШГН</v>
          </cell>
          <cell r="I380" t="str">
            <v>конс.</v>
          </cell>
          <cell r="N380">
            <v>7</v>
          </cell>
          <cell r="O380">
            <v>4</v>
          </cell>
          <cell r="P380">
            <v>30</v>
          </cell>
          <cell r="Q380">
            <v>7</v>
          </cell>
          <cell r="R380">
            <v>4</v>
          </cell>
          <cell r="S380">
            <v>29.5</v>
          </cell>
          <cell r="T380">
            <v>37138</v>
          </cell>
          <cell r="U380" t="str">
            <v>ГРП</v>
          </cell>
        </row>
        <row r="381">
          <cell r="B381">
            <v>5391</v>
          </cell>
          <cell r="C381">
            <v>109</v>
          </cell>
          <cell r="D381">
            <v>4</v>
          </cell>
          <cell r="E381">
            <v>40</v>
          </cell>
          <cell r="F381" t="str">
            <v>УПНПиКРС</v>
          </cell>
          <cell r="G381">
            <v>291</v>
          </cell>
          <cell r="H381" t="str">
            <v>нагнет.</v>
          </cell>
          <cell r="I381" t="str">
            <v>бд</v>
          </cell>
          <cell r="J381">
            <v>34426</v>
          </cell>
          <cell r="O381">
            <v>0</v>
          </cell>
          <cell r="U381" t="str">
            <v>нг</v>
          </cell>
          <cell r="W381" t="str">
            <v>ИР ЮК-11, ПП ЮК-10 пуск под закачку</v>
          </cell>
        </row>
        <row r="382">
          <cell r="B382">
            <v>5398</v>
          </cell>
          <cell r="C382">
            <v>102</v>
          </cell>
          <cell r="D382">
            <v>9</v>
          </cell>
          <cell r="E382">
            <v>90</v>
          </cell>
          <cell r="F382" t="str">
            <v>УПНПиКРС</v>
          </cell>
          <cell r="G382">
            <v>240</v>
          </cell>
          <cell r="H382" t="str">
            <v>ФОН</v>
          </cell>
          <cell r="I382" t="str">
            <v>бд</v>
          </cell>
          <cell r="J382">
            <v>33572</v>
          </cell>
          <cell r="K382">
            <v>15</v>
          </cell>
          <cell r="L382">
            <v>1.2</v>
          </cell>
          <cell r="M382">
            <v>90</v>
          </cell>
          <cell r="N382">
            <v>30</v>
          </cell>
          <cell r="O382">
            <v>12</v>
          </cell>
          <cell r="P382">
            <v>51</v>
          </cell>
          <cell r="Q382">
            <v>30</v>
          </cell>
          <cell r="R382">
            <v>12</v>
          </cell>
          <cell r="S382">
            <v>50.6</v>
          </cell>
          <cell r="U382" t="str">
            <v>ГРП</v>
          </cell>
          <cell r="V382">
            <v>2</v>
          </cell>
          <cell r="W382" t="str">
            <v>ЛА,ИР ЮК-10,ПП ЮК-2-3 пр к ГРП</v>
          </cell>
        </row>
        <row r="383">
          <cell r="B383">
            <v>2701</v>
          </cell>
          <cell r="C383" t="str">
            <v>145б</v>
          </cell>
          <cell r="H383" t="str">
            <v>ЭЦН</v>
          </cell>
          <cell r="I383" t="str">
            <v>конс.</v>
          </cell>
          <cell r="N383">
            <v>45</v>
          </cell>
          <cell r="O383">
            <v>3</v>
          </cell>
          <cell r="P383">
            <v>91.9</v>
          </cell>
          <cell r="Q383">
            <v>45</v>
          </cell>
          <cell r="R383">
            <v>3</v>
          </cell>
          <cell r="S383">
            <v>91.8</v>
          </cell>
          <cell r="U383" t="str">
            <v>ВЦ</v>
          </cell>
        </row>
        <row r="384">
          <cell r="B384">
            <v>5290</v>
          </cell>
          <cell r="C384">
            <v>133</v>
          </cell>
          <cell r="H384" t="str">
            <v>ШГН</v>
          </cell>
          <cell r="I384" t="str">
            <v>бдт</v>
          </cell>
          <cell r="J384">
            <v>37111</v>
          </cell>
          <cell r="N384">
            <v>8</v>
          </cell>
          <cell r="O384">
            <v>4.5</v>
          </cell>
          <cell r="P384">
            <v>31</v>
          </cell>
          <cell r="Q384">
            <v>8</v>
          </cell>
          <cell r="R384">
            <v>4.5</v>
          </cell>
          <cell r="S384">
            <v>30.6</v>
          </cell>
          <cell r="U384" t="str">
            <v>бдп</v>
          </cell>
        </row>
        <row r="385">
          <cell r="B385">
            <v>5528</v>
          </cell>
          <cell r="C385" t="str">
            <v>119б</v>
          </cell>
          <cell r="H385" t="str">
            <v>ШГН</v>
          </cell>
          <cell r="I385" t="str">
            <v>бдт</v>
          </cell>
          <cell r="N385">
            <v>6</v>
          </cell>
          <cell r="O385">
            <v>3</v>
          </cell>
          <cell r="P385">
            <v>38</v>
          </cell>
          <cell r="Q385">
            <v>6</v>
          </cell>
          <cell r="R385">
            <v>3</v>
          </cell>
          <cell r="S385">
            <v>38.299999999999997</v>
          </cell>
          <cell r="U385" t="str">
            <v>ВЦД</v>
          </cell>
        </row>
        <row r="386">
          <cell r="B386">
            <v>2787</v>
          </cell>
          <cell r="C386">
            <v>145</v>
          </cell>
          <cell r="D386">
            <v>4</v>
          </cell>
          <cell r="E386">
            <v>40</v>
          </cell>
          <cell r="F386" t="str">
            <v>УПНПиКРС</v>
          </cell>
          <cell r="G386">
            <v>270</v>
          </cell>
          <cell r="H386" t="str">
            <v>ШГН</v>
          </cell>
          <cell r="I386" t="str">
            <v>действ.</v>
          </cell>
          <cell r="K386">
            <v>17</v>
          </cell>
          <cell r="L386">
            <v>13.2</v>
          </cell>
          <cell r="M386">
            <v>5</v>
          </cell>
          <cell r="N386">
            <v>25</v>
          </cell>
          <cell r="O386">
            <v>19.399999999999999</v>
          </cell>
          <cell r="P386">
            <v>5</v>
          </cell>
          <cell r="Q386">
            <v>8</v>
          </cell>
          <cell r="R386">
            <v>6.1999999999999993</v>
          </cell>
          <cell r="S386">
            <v>4.3</v>
          </cell>
          <cell r="U386" t="str">
            <v>ГРП</v>
          </cell>
          <cell r="V386">
            <v>3</v>
          </cell>
          <cell r="W386" t="str">
            <v>Вымыв пропанта, освоение после ГРП</v>
          </cell>
        </row>
        <row r="387">
          <cell r="B387">
            <v>5644</v>
          </cell>
          <cell r="C387">
            <v>126</v>
          </cell>
          <cell r="D387">
            <v>21</v>
          </cell>
          <cell r="E387">
            <v>210</v>
          </cell>
          <cell r="F387" t="str">
            <v>УПНПиКРС</v>
          </cell>
          <cell r="G387">
            <v>230</v>
          </cell>
          <cell r="H387" t="str">
            <v>ШГН</v>
          </cell>
          <cell r="I387" t="str">
            <v>бд</v>
          </cell>
          <cell r="J387">
            <v>35340</v>
          </cell>
          <cell r="N387">
            <v>30</v>
          </cell>
          <cell r="O387">
            <v>15</v>
          </cell>
          <cell r="P387">
            <v>38.799999999999997</v>
          </cell>
          <cell r="Q387">
            <v>30</v>
          </cell>
          <cell r="R387">
            <v>15</v>
          </cell>
          <cell r="S387">
            <v>38.299999999999997</v>
          </cell>
          <cell r="T387">
            <v>37521</v>
          </cell>
          <cell r="U387" t="str">
            <v>ЗБС</v>
          </cell>
          <cell r="W387" t="str">
            <v>ПР К ЗБС</v>
          </cell>
        </row>
        <row r="388">
          <cell r="B388">
            <v>2576</v>
          </cell>
          <cell r="C388">
            <v>150</v>
          </cell>
          <cell r="D388">
            <v>3</v>
          </cell>
          <cell r="E388">
            <v>1</v>
          </cell>
          <cell r="F388" t="str">
            <v>УПНПиКРС</v>
          </cell>
          <cell r="H388" t="str">
            <v>нагнет.</v>
          </cell>
          <cell r="I388" t="str">
            <v>бд</v>
          </cell>
          <cell r="N388">
            <v>150</v>
          </cell>
          <cell r="Q388">
            <v>150</v>
          </cell>
          <cell r="T388">
            <v>37459</v>
          </cell>
          <cell r="U388" t="str">
            <v>нг</v>
          </cell>
          <cell r="W388" t="str">
            <v>Ревизия пакера</v>
          </cell>
        </row>
        <row r="389">
          <cell r="B389">
            <v>5241</v>
          </cell>
          <cell r="C389">
            <v>134</v>
          </cell>
          <cell r="D389">
            <v>6</v>
          </cell>
          <cell r="E389">
            <v>60</v>
          </cell>
          <cell r="F389" t="str">
            <v>УПНПиКРС</v>
          </cell>
          <cell r="G389">
            <v>258</v>
          </cell>
          <cell r="H389" t="str">
            <v>ЭЦН</v>
          </cell>
          <cell r="I389" t="str">
            <v>бд</v>
          </cell>
          <cell r="J389">
            <v>34547</v>
          </cell>
          <cell r="K389">
            <v>21</v>
          </cell>
          <cell r="L389">
            <v>0.2</v>
          </cell>
          <cell r="M389">
            <v>99</v>
          </cell>
          <cell r="N389">
            <v>30</v>
          </cell>
          <cell r="O389">
            <v>12</v>
          </cell>
          <cell r="P389">
            <v>51</v>
          </cell>
          <cell r="Q389">
            <v>30</v>
          </cell>
          <cell r="R389">
            <v>12</v>
          </cell>
          <cell r="S389">
            <v>50.6</v>
          </cell>
          <cell r="T389">
            <v>37467</v>
          </cell>
          <cell r="U389" t="str">
            <v>ГРП</v>
          </cell>
          <cell r="V389">
            <v>2</v>
          </cell>
          <cell r="W389" t="str">
            <v>СО-каротаж, ПР к ГРП, ГРП ЮК-4, осв.</v>
          </cell>
          <cell r="X389" t="str">
            <v>ЭП выполнен, ЭЦН с КРБК на забое</v>
          </cell>
        </row>
        <row r="390">
          <cell r="B390">
            <v>5267</v>
          </cell>
          <cell r="C390">
            <v>134</v>
          </cell>
          <cell r="D390">
            <v>21</v>
          </cell>
          <cell r="E390">
            <v>210</v>
          </cell>
          <cell r="F390" t="str">
            <v>УПНПиКРС</v>
          </cell>
          <cell r="H390" t="str">
            <v>ЭЦН</v>
          </cell>
          <cell r="I390" t="str">
            <v>конс.</v>
          </cell>
          <cell r="N390">
            <v>50</v>
          </cell>
          <cell r="O390">
            <v>30</v>
          </cell>
          <cell r="P390">
            <v>26.5</v>
          </cell>
          <cell r="Q390">
            <v>50</v>
          </cell>
          <cell r="R390">
            <v>30</v>
          </cell>
          <cell r="S390">
            <v>25.9</v>
          </cell>
          <cell r="T390">
            <v>37466</v>
          </cell>
          <cell r="U390" t="str">
            <v>ГРП</v>
          </cell>
          <cell r="W390" t="str">
            <v>ВЦ, РИР ЮК-10, ПР к ГРП, ГРП ЮК-2, осв.</v>
          </cell>
        </row>
        <row r="391">
          <cell r="B391">
            <v>5241</v>
          </cell>
          <cell r="C391">
            <v>134</v>
          </cell>
          <cell r="D391">
            <v>6</v>
          </cell>
          <cell r="E391">
            <v>60</v>
          </cell>
          <cell r="F391" t="str">
            <v>УПНПиКРС</v>
          </cell>
          <cell r="G391">
            <v>258</v>
          </cell>
          <cell r="H391" t="str">
            <v>ЭЦН</v>
          </cell>
          <cell r="I391" t="str">
            <v>бд</v>
          </cell>
          <cell r="J391">
            <v>34547</v>
          </cell>
          <cell r="K391">
            <v>21</v>
          </cell>
          <cell r="L391">
            <v>0.2</v>
          </cell>
          <cell r="M391">
            <v>99</v>
          </cell>
          <cell r="N391">
            <v>50</v>
          </cell>
          <cell r="O391">
            <v>30</v>
          </cell>
          <cell r="P391">
            <v>26.5</v>
          </cell>
          <cell r="Q391">
            <v>50</v>
          </cell>
          <cell r="R391">
            <v>30</v>
          </cell>
          <cell r="S391">
            <v>25.9</v>
          </cell>
          <cell r="T391">
            <v>37465</v>
          </cell>
          <cell r="U391" t="str">
            <v>ГРП</v>
          </cell>
          <cell r="V391">
            <v>2</v>
          </cell>
          <cell r="W391" t="str">
            <v xml:space="preserve">ВЦ, ГИС-2 ( источ. обвод.), при подтверждении воды и герм. э/колонны  </v>
          </cell>
          <cell r="X391" t="str">
            <v>ЭП выполнен, ЭЦН с КРБК на забое</v>
          </cell>
        </row>
        <row r="393">
          <cell r="B393">
            <v>11029</v>
          </cell>
          <cell r="C393" t="str">
            <v>97б</v>
          </cell>
          <cell r="D393">
            <v>3</v>
          </cell>
          <cell r="F393" t="str">
            <v>УПНПиКРС</v>
          </cell>
          <cell r="H393" t="str">
            <v>ЭЦН</v>
          </cell>
          <cell r="I393" t="str">
            <v>действ.</v>
          </cell>
          <cell r="K393">
            <v>71</v>
          </cell>
          <cell r="L393">
            <v>11.6</v>
          </cell>
          <cell r="M393">
            <v>80</v>
          </cell>
          <cell r="N393">
            <v>128</v>
          </cell>
          <cell r="O393">
            <v>20.9</v>
          </cell>
          <cell r="P393">
            <v>80</v>
          </cell>
          <cell r="Q393">
            <v>57</v>
          </cell>
          <cell r="R393">
            <v>9.2999999999999989</v>
          </cell>
          <cell r="S393">
            <v>79.900000000000006</v>
          </cell>
          <cell r="T393">
            <v>37759</v>
          </cell>
          <cell r="U393" t="str">
            <v>опт</v>
          </cell>
          <cell r="W393" t="str">
            <v>Дополн.Оптимизация Э-50/125</v>
          </cell>
        </row>
        <row r="394">
          <cell r="B394">
            <v>5240</v>
          </cell>
          <cell r="C394">
            <v>134</v>
          </cell>
          <cell r="D394">
            <v>21</v>
          </cell>
          <cell r="F394" t="str">
            <v>УПНПиКРС</v>
          </cell>
          <cell r="H394" t="str">
            <v>ЭЦН</v>
          </cell>
          <cell r="I394" t="str">
            <v>конс.</v>
          </cell>
          <cell r="N394">
            <v>34</v>
          </cell>
          <cell r="O394">
            <v>15.5</v>
          </cell>
          <cell r="P394">
            <v>44</v>
          </cell>
          <cell r="Q394">
            <v>34</v>
          </cell>
          <cell r="R394">
            <v>15.5</v>
          </cell>
          <cell r="S394">
            <v>43.7</v>
          </cell>
          <cell r="T394">
            <v>37516</v>
          </cell>
          <cell r="U394" t="str">
            <v>ГРП</v>
          </cell>
          <cell r="W394" t="str">
            <v>ВЦ, РИР ЮК-10, ПР к ГРП, ГРП ЮК-2, осв.</v>
          </cell>
        </row>
        <row r="395">
          <cell r="B395">
            <v>5614</v>
          </cell>
          <cell r="C395">
            <v>116</v>
          </cell>
          <cell r="D395">
            <v>4</v>
          </cell>
          <cell r="F395" t="str">
            <v>УПНПиКРС</v>
          </cell>
          <cell r="H395" t="str">
            <v>нагнет.</v>
          </cell>
          <cell r="I395" t="str">
            <v>бд</v>
          </cell>
          <cell r="N395">
            <v>120</v>
          </cell>
          <cell r="Q395">
            <v>120</v>
          </cell>
          <cell r="T395" t="e">
            <v>#REF!</v>
          </cell>
          <cell r="U395" t="str">
            <v>ЛА</v>
          </cell>
          <cell r="W395" t="str">
            <v>ЛА, пуск под закачку</v>
          </cell>
        </row>
        <row r="400">
          <cell r="W400" t="str">
            <v>Отложенные:</v>
          </cell>
        </row>
        <row r="401">
          <cell r="B401">
            <v>2612</v>
          </cell>
          <cell r="C401" t="str">
            <v>157б</v>
          </cell>
          <cell r="F401" t="str">
            <v>УПНПиКРС</v>
          </cell>
          <cell r="G401">
            <v>260</v>
          </cell>
          <cell r="H401" t="str">
            <v>ШГН</v>
          </cell>
          <cell r="I401" t="str">
            <v>бд</v>
          </cell>
          <cell r="J401">
            <v>36112</v>
          </cell>
          <cell r="K401">
            <v>3</v>
          </cell>
          <cell r="L401">
            <v>2.2999999999999998</v>
          </cell>
          <cell r="M401">
            <v>5</v>
          </cell>
          <cell r="N401">
            <v>10</v>
          </cell>
          <cell r="O401">
            <v>7.3</v>
          </cell>
          <cell r="P401">
            <v>10</v>
          </cell>
          <cell r="Q401">
            <v>10</v>
          </cell>
          <cell r="R401">
            <v>7.3</v>
          </cell>
          <cell r="S401">
            <v>9.9</v>
          </cell>
          <cell r="T401">
            <v>7</v>
          </cell>
          <cell r="U401" t="str">
            <v>ОПЗ</v>
          </cell>
          <cell r="W401" t="str">
            <v>Л.А. УГИС. ОПЗ НТПН.( ГРП 2631,2611) ГДИ</v>
          </cell>
        </row>
        <row r="402">
          <cell r="B402">
            <v>2669</v>
          </cell>
          <cell r="C402">
            <v>160</v>
          </cell>
          <cell r="H402" t="str">
            <v>ШГН</v>
          </cell>
          <cell r="I402" t="str">
            <v>бд</v>
          </cell>
          <cell r="J402">
            <v>33020</v>
          </cell>
          <cell r="N402">
            <v>15</v>
          </cell>
          <cell r="O402">
            <v>10</v>
          </cell>
          <cell r="P402">
            <v>18</v>
          </cell>
          <cell r="Q402">
            <v>15</v>
          </cell>
          <cell r="R402">
            <v>10</v>
          </cell>
          <cell r="S402">
            <v>17.7</v>
          </cell>
          <cell r="U402" t="str">
            <v>ГРП</v>
          </cell>
          <cell r="W402" t="str">
            <v>ВЦ. ИР ЮК-11, ДП ЮК-10 ГРП</v>
          </cell>
        </row>
        <row r="403">
          <cell r="B403">
            <v>2670</v>
          </cell>
          <cell r="C403">
            <v>160</v>
          </cell>
          <cell r="H403" t="str">
            <v>ШГН</v>
          </cell>
          <cell r="I403" t="str">
            <v>конс.</v>
          </cell>
          <cell r="J403">
            <v>34274</v>
          </cell>
          <cell r="N403">
            <v>15</v>
          </cell>
          <cell r="O403">
            <v>4</v>
          </cell>
          <cell r="P403">
            <v>67</v>
          </cell>
          <cell r="Q403">
            <v>15</v>
          </cell>
          <cell r="R403">
            <v>4</v>
          </cell>
          <cell r="S403">
            <v>67.099999999999994</v>
          </cell>
          <cell r="U403" t="str">
            <v>ОПЗ</v>
          </cell>
          <cell r="W403" t="str">
            <v>ВЦ. ОПЗ НТПН ГДИ</v>
          </cell>
        </row>
        <row r="404">
          <cell r="B404">
            <v>2671</v>
          </cell>
          <cell r="C404">
            <v>160</v>
          </cell>
          <cell r="H404" t="str">
            <v>ШГН</v>
          </cell>
          <cell r="I404" t="str">
            <v>конс.</v>
          </cell>
          <cell r="J404">
            <v>33178</v>
          </cell>
          <cell r="N404">
            <v>10</v>
          </cell>
          <cell r="O404">
            <v>4</v>
          </cell>
          <cell r="P404">
            <v>51</v>
          </cell>
          <cell r="Q404">
            <v>10</v>
          </cell>
          <cell r="R404">
            <v>4</v>
          </cell>
          <cell r="S404">
            <v>50.6</v>
          </cell>
          <cell r="U404" t="str">
            <v>ОПЗ</v>
          </cell>
          <cell r="W404" t="str">
            <v>ВЦ. ОПЗ НТПН ГДИ</v>
          </cell>
        </row>
        <row r="405">
          <cell r="B405">
            <v>2672</v>
          </cell>
          <cell r="C405">
            <v>160</v>
          </cell>
          <cell r="H405" t="str">
            <v>ШГН</v>
          </cell>
          <cell r="I405" t="str">
            <v>бд</v>
          </cell>
          <cell r="J405">
            <v>36659</v>
          </cell>
          <cell r="N405">
            <v>5</v>
          </cell>
          <cell r="O405">
            <v>2</v>
          </cell>
          <cell r="P405">
            <v>50</v>
          </cell>
          <cell r="Q405">
            <v>5</v>
          </cell>
          <cell r="R405">
            <v>2</v>
          </cell>
          <cell r="S405">
            <v>50.6</v>
          </cell>
          <cell r="U405" t="str">
            <v>ВЦ</v>
          </cell>
          <cell r="W405" t="str">
            <v>ВЦ. ГДИ. Ревизия НН</v>
          </cell>
        </row>
        <row r="406">
          <cell r="B406">
            <v>2681</v>
          </cell>
          <cell r="C406" t="str">
            <v>145б</v>
          </cell>
          <cell r="F406" t="str">
            <v>УПНПиКРС</v>
          </cell>
          <cell r="G406">
            <v>255</v>
          </cell>
          <cell r="H406" t="str">
            <v>ШГН</v>
          </cell>
          <cell r="I406" t="str">
            <v>бд</v>
          </cell>
          <cell r="K406">
            <v>6</v>
          </cell>
          <cell r="L406">
            <v>4</v>
          </cell>
          <cell r="M406">
            <v>18</v>
          </cell>
          <cell r="N406">
            <v>8</v>
          </cell>
          <cell r="O406">
            <v>6</v>
          </cell>
          <cell r="P406">
            <v>8</v>
          </cell>
          <cell r="Q406">
            <v>8</v>
          </cell>
          <cell r="R406">
            <v>6</v>
          </cell>
          <cell r="S406">
            <v>7.4</v>
          </cell>
          <cell r="U406" t="str">
            <v>ВВ</v>
          </cell>
          <cell r="W406" t="str">
            <v>ВЦ. ПП ДН. Ревизия ШГН</v>
          </cell>
        </row>
        <row r="407">
          <cell r="B407">
            <v>2690</v>
          </cell>
          <cell r="C407">
            <v>160</v>
          </cell>
          <cell r="H407" t="str">
            <v>ШГН</v>
          </cell>
          <cell r="I407" t="str">
            <v>бд</v>
          </cell>
          <cell r="J407">
            <v>32825</v>
          </cell>
          <cell r="N407">
            <v>12</v>
          </cell>
          <cell r="O407">
            <v>7</v>
          </cell>
          <cell r="P407">
            <v>28</v>
          </cell>
          <cell r="Q407">
            <v>12</v>
          </cell>
          <cell r="R407">
            <v>7</v>
          </cell>
          <cell r="S407">
            <v>28</v>
          </cell>
          <cell r="U407" t="str">
            <v>ЛА</v>
          </cell>
          <cell r="W407" t="str">
            <v>ЛА. ИДН.сп.НН</v>
          </cell>
        </row>
        <row r="408">
          <cell r="B408">
            <v>2702</v>
          </cell>
          <cell r="C408" t="str">
            <v>145б</v>
          </cell>
          <cell r="F408" t="str">
            <v>УПНПиКРС</v>
          </cell>
          <cell r="G408">
            <v>275</v>
          </cell>
          <cell r="H408" t="str">
            <v>ЭЦН</v>
          </cell>
          <cell r="I408" t="str">
            <v>бд</v>
          </cell>
          <cell r="K408">
            <v>45</v>
          </cell>
          <cell r="L408">
            <v>2.2000000000000002</v>
          </cell>
          <cell r="M408">
            <v>94</v>
          </cell>
          <cell r="N408">
            <v>50</v>
          </cell>
          <cell r="O408">
            <v>4</v>
          </cell>
          <cell r="P408">
            <v>90.1</v>
          </cell>
          <cell r="Q408">
            <v>50</v>
          </cell>
          <cell r="R408">
            <v>4</v>
          </cell>
          <cell r="S408">
            <v>90.1</v>
          </cell>
          <cell r="U408" t="str">
            <v>ВЦ</v>
          </cell>
          <cell r="W408" t="str">
            <v>ВЦ. ГДИ. УГИС. Спуск ЭЦН</v>
          </cell>
        </row>
        <row r="409">
          <cell r="B409">
            <v>2706</v>
          </cell>
          <cell r="C409">
            <v>160</v>
          </cell>
          <cell r="H409" t="str">
            <v>ШГН</v>
          </cell>
          <cell r="I409" t="str">
            <v>бд</v>
          </cell>
          <cell r="J409">
            <v>36869</v>
          </cell>
          <cell r="N409">
            <v>6</v>
          </cell>
          <cell r="O409">
            <v>4</v>
          </cell>
          <cell r="P409">
            <v>19</v>
          </cell>
          <cell r="Q409">
            <v>6</v>
          </cell>
          <cell r="R409">
            <v>4</v>
          </cell>
          <cell r="S409">
            <v>17.7</v>
          </cell>
          <cell r="U409" t="str">
            <v>ВЦ</v>
          </cell>
          <cell r="W409" t="str">
            <v>ВЦ. Рев.НН</v>
          </cell>
        </row>
        <row r="410">
          <cell r="B410">
            <v>2707</v>
          </cell>
          <cell r="C410">
            <v>160</v>
          </cell>
          <cell r="H410" t="str">
            <v>ШГН</v>
          </cell>
          <cell r="I410" t="str">
            <v>конс.</v>
          </cell>
          <cell r="J410">
            <v>32843</v>
          </cell>
          <cell r="N410">
            <v>15</v>
          </cell>
          <cell r="O410">
            <v>4</v>
          </cell>
          <cell r="P410">
            <v>67</v>
          </cell>
          <cell r="Q410">
            <v>15</v>
          </cell>
          <cell r="R410">
            <v>4</v>
          </cell>
          <cell r="S410">
            <v>67.099999999999994</v>
          </cell>
          <cell r="U410" t="str">
            <v>ОПЗ</v>
          </cell>
          <cell r="W410" t="str">
            <v>ВЦ. ОПЗ НТПН ГДИ</v>
          </cell>
        </row>
        <row r="411">
          <cell r="B411">
            <v>2708</v>
          </cell>
          <cell r="C411">
            <v>160</v>
          </cell>
          <cell r="H411" t="str">
            <v>ШГН</v>
          </cell>
          <cell r="I411" t="str">
            <v>бд</v>
          </cell>
          <cell r="J411">
            <v>36856</v>
          </cell>
          <cell r="N411">
            <v>6</v>
          </cell>
          <cell r="O411">
            <v>4</v>
          </cell>
          <cell r="P411">
            <v>18</v>
          </cell>
          <cell r="Q411">
            <v>6</v>
          </cell>
          <cell r="R411">
            <v>4</v>
          </cell>
          <cell r="S411">
            <v>17.7</v>
          </cell>
          <cell r="U411" t="str">
            <v>ОПЗ</v>
          </cell>
          <cell r="W411" t="str">
            <v>ВЦ. ИДН. НН</v>
          </cell>
        </row>
        <row r="412">
          <cell r="B412">
            <v>2729</v>
          </cell>
          <cell r="C412">
            <v>144</v>
          </cell>
          <cell r="E412">
            <v>1</v>
          </cell>
          <cell r="F412" t="str">
            <v>УПНПиКРС</v>
          </cell>
          <cell r="G412">
            <v>295</v>
          </cell>
          <cell r="H412" t="str">
            <v>нагнет.</v>
          </cell>
          <cell r="I412" t="str">
            <v>конс.</v>
          </cell>
          <cell r="J412">
            <v>33879</v>
          </cell>
          <cell r="N412">
            <v>100</v>
          </cell>
          <cell r="Q412">
            <v>100</v>
          </cell>
          <cell r="T412">
            <v>3</v>
          </cell>
          <cell r="U412" t="str">
            <v>нг</v>
          </cell>
          <cell r="W412" t="str">
            <v>Увеличение приём. спуск пакера</v>
          </cell>
        </row>
        <row r="413">
          <cell r="B413">
            <v>2757</v>
          </cell>
          <cell r="C413">
            <v>144</v>
          </cell>
          <cell r="E413">
            <v>58</v>
          </cell>
          <cell r="F413" t="str">
            <v>УПНПиКРС</v>
          </cell>
          <cell r="G413">
            <v>270</v>
          </cell>
          <cell r="H413" t="str">
            <v>ШГН</v>
          </cell>
          <cell r="I413" t="str">
            <v>действ.</v>
          </cell>
          <cell r="K413">
            <v>0.8</v>
          </cell>
          <cell r="L413">
            <v>0.1</v>
          </cell>
          <cell r="M413">
            <v>91</v>
          </cell>
          <cell r="N413">
            <v>15</v>
          </cell>
          <cell r="O413">
            <v>6.1</v>
          </cell>
          <cell r="P413">
            <v>50.5</v>
          </cell>
          <cell r="Q413">
            <v>14.2</v>
          </cell>
          <cell r="R413">
            <v>6</v>
          </cell>
          <cell r="S413">
            <v>47.8</v>
          </cell>
          <cell r="T413">
            <v>7</v>
          </cell>
          <cell r="U413" t="str">
            <v>ОПЗ</v>
          </cell>
          <cell r="W413" t="str">
            <v>ГДИ. ПП (п."а"). ОПЗ КСПЭО. ГДИ</v>
          </cell>
          <cell r="X413" t="str">
            <v>Пока отложить</v>
          </cell>
        </row>
        <row r="414">
          <cell r="B414">
            <v>2758</v>
          </cell>
          <cell r="C414">
            <v>144</v>
          </cell>
          <cell r="E414">
            <v>55</v>
          </cell>
          <cell r="F414" t="str">
            <v>УПНПиКРС</v>
          </cell>
          <cell r="G414">
            <v>270</v>
          </cell>
          <cell r="H414" t="str">
            <v>ШГН</v>
          </cell>
          <cell r="I414" t="str">
            <v>конс.</v>
          </cell>
          <cell r="J414">
            <v>34425</v>
          </cell>
          <cell r="K414">
            <v>11</v>
          </cell>
          <cell r="L414">
            <v>0.7</v>
          </cell>
          <cell r="M414">
            <v>92</v>
          </cell>
          <cell r="N414">
            <v>20</v>
          </cell>
          <cell r="O414">
            <v>9.8000000000000007</v>
          </cell>
          <cell r="P414">
            <v>40</v>
          </cell>
          <cell r="Q414">
            <v>20</v>
          </cell>
          <cell r="R414">
            <v>9.8000000000000007</v>
          </cell>
          <cell r="S414">
            <v>39.5</v>
          </cell>
          <cell r="T414">
            <v>7</v>
          </cell>
          <cell r="U414" t="str">
            <v>ГРП</v>
          </cell>
          <cell r="W414" t="str">
            <v>РИР низа ЮК-10. ГРП</v>
          </cell>
          <cell r="X414" t="str">
            <v>Необходима СК</v>
          </cell>
        </row>
        <row r="415">
          <cell r="B415">
            <v>2788</v>
          </cell>
          <cell r="C415">
            <v>144</v>
          </cell>
          <cell r="E415">
            <v>57</v>
          </cell>
          <cell r="F415" t="str">
            <v>УПНПиКРС</v>
          </cell>
          <cell r="G415">
            <v>270</v>
          </cell>
          <cell r="H415" t="str">
            <v>ШГН</v>
          </cell>
          <cell r="I415" t="str">
            <v>бд</v>
          </cell>
          <cell r="J415">
            <v>36630</v>
          </cell>
          <cell r="K415">
            <v>2</v>
          </cell>
          <cell r="L415">
            <v>1.4</v>
          </cell>
          <cell r="M415">
            <v>15</v>
          </cell>
          <cell r="N415">
            <v>18</v>
          </cell>
          <cell r="O415">
            <v>10</v>
          </cell>
          <cell r="P415">
            <v>31.5</v>
          </cell>
          <cell r="Q415">
            <v>18</v>
          </cell>
          <cell r="R415">
            <v>10</v>
          </cell>
          <cell r="S415">
            <v>31.4</v>
          </cell>
          <cell r="T415">
            <v>7</v>
          </cell>
          <cell r="W415" t="str">
            <v>ЛА. ПР ГРП. ГРП</v>
          </cell>
          <cell r="X415" t="str">
            <v>КРС-2000 не завершен</v>
          </cell>
        </row>
        <row r="416">
          <cell r="B416">
            <v>2789</v>
          </cell>
          <cell r="C416">
            <v>144</v>
          </cell>
          <cell r="E416">
            <v>58</v>
          </cell>
          <cell r="F416" t="str">
            <v>УПНПиКРС</v>
          </cell>
          <cell r="G416">
            <v>285</v>
          </cell>
          <cell r="H416" t="str">
            <v>ШГН</v>
          </cell>
          <cell r="I416" t="str">
            <v>бд</v>
          </cell>
          <cell r="J416">
            <v>34246</v>
          </cell>
          <cell r="N416">
            <v>6</v>
          </cell>
          <cell r="O416">
            <v>4.5</v>
          </cell>
          <cell r="P416">
            <v>8</v>
          </cell>
          <cell r="Q416">
            <v>6</v>
          </cell>
          <cell r="R416">
            <v>4.5</v>
          </cell>
          <cell r="S416">
            <v>7.4</v>
          </cell>
          <cell r="T416">
            <v>7</v>
          </cell>
          <cell r="U416" t="str">
            <v>ЛА</v>
          </cell>
          <cell r="W416" t="str">
            <v>Ликв.прихвата. ПП на депресии</v>
          </cell>
        </row>
        <row r="417">
          <cell r="B417">
            <v>2790</v>
          </cell>
          <cell r="C417">
            <v>144</v>
          </cell>
          <cell r="F417" t="str">
            <v>УПНПиКРС</v>
          </cell>
          <cell r="G417">
            <v>295</v>
          </cell>
          <cell r="H417" t="str">
            <v>нагнет.</v>
          </cell>
          <cell r="I417" t="str">
            <v>действ.</v>
          </cell>
          <cell r="N417">
            <v>150</v>
          </cell>
          <cell r="Q417">
            <v>150</v>
          </cell>
          <cell r="U417" t="str">
            <v>нг</v>
          </cell>
          <cell r="W417" t="str">
            <v>ГИС-3. ВПП ГАЛКА</v>
          </cell>
          <cell r="X417" t="str">
            <v>ГИС-3 уточнить отдельно</v>
          </cell>
        </row>
        <row r="418">
          <cell r="B418">
            <v>2792</v>
          </cell>
          <cell r="C418">
            <v>144</v>
          </cell>
          <cell r="E418">
            <v>1</v>
          </cell>
          <cell r="F418" t="str">
            <v>УПНПиКРС</v>
          </cell>
          <cell r="G418">
            <v>285</v>
          </cell>
          <cell r="H418" t="str">
            <v>ШГН</v>
          </cell>
          <cell r="I418" t="str">
            <v>действ.</v>
          </cell>
          <cell r="J418">
            <v>0</v>
          </cell>
          <cell r="K418">
            <v>14</v>
          </cell>
          <cell r="L418">
            <v>9.1</v>
          </cell>
          <cell r="M418">
            <v>20</v>
          </cell>
          <cell r="N418">
            <v>40</v>
          </cell>
          <cell r="O418">
            <v>26.1</v>
          </cell>
          <cell r="P418">
            <v>20</v>
          </cell>
          <cell r="Q418">
            <v>26</v>
          </cell>
          <cell r="R418">
            <v>17</v>
          </cell>
          <cell r="S418">
            <v>19.3</v>
          </cell>
          <cell r="T418">
            <v>7</v>
          </cell>
          <cell r="U418" t="str">
            <v>ГРП</v>
          </cell>
          <cell r="W418" t="str">
            <v>ПР ГРП. ГРП ЮК-10</v>
          </cell>
          <cell r="X418" t="str">
            <v>ГРП повторный</v>
          </cell>
        </row>
        <row r="419">
          <cell r="B419">
            <v>2802</v>
          </cell>
          <cell r="C419" t="str">
            <v>166б</v>
          </cell>
          <cell r="E419">
            <v>71</v>
          </cell>
          <cell r="F419" t="str">
            <v>ЗАО "УПКРС"</v>
          </cell>
          <cell r="G419">
            <v>290</v>
          </cell>
          <cell r="H419" t="str">
            <v>нагнет.</v>
          </cell>
          <cell r="I419" t="str">
            <v>бд</v>
          </cell>
          <cell r="J419">
            <v>36725</v>
          </cell>
          <cell r="N419">
            <v>100</v>
          </cell>
          <cell r="Q419">
            <v>100</v>
          </cell>
          <cell r="T419">
            <v>3</v>
          </cell>
          <cell r="U419" t="str">
            <v>нг</v>
          </cell>
          <cell r="V419">
            <v>1</v>
          </cell>
          <cell r="W419" t="str">
            <v>Ревизия и привязка пакера, каверномер.</v>
          </cell>
        </row>
        <row r="420">
          <cell r="B420">
            <v>2818</v>
          </cell>
          <cell r="C420">
            <v>144</v>
          </cell>
          <cell r="E420">
            <v>56</v>
          </cell>
          <cell r="F420" t="str">
            <v>УПНПиКРС</v>
          </cell>
          <cell r="G420">
            <v>255</v>
          </cell>
          <cell r="H420" t="str">
            <v>ШГН</v>
          </cell>
          <cell r="I420" t="str">
            <v>конс.</v>
          </cell>
          <cell r="J420">
            <v>33239</v>
          </cell>
          <cell r="N420">
            <v>8</v>
          </cell>
          <cell r="O420">
            <v>4</v>
          </cell>
          <cell r="P420">
            <v>39</v>
          </cell>
          <cell r="Q420">
            <v>8</v>
          </cell>
          <cell r="R420">
            <v>4</v>
          </cell>
          <cell r="S420">
            <v>38.299999999999997</v>
          </cell>
          <cell r="U420" t="str">
            <v>ОПЗ</v>
          </cell>
          <cell r="W420" t="str">
            <v>ВЦ. ГИС-2. ПП. ОПЗ. КСПЭО</v>
          </cell>
          <cell r="X420" t="str">
            <v>Возможна РИР ЗКЦ</v>
          </cell>
        </row>
        <row r="421">
          <cell r="B421">
            <v>2836</v>
          </cell>
          <cell r="C421">
            <v>125</v>
          </cell>
          <cell r="H421" t="str">
            <v>ШГН</v>
          </cell>
          <cell r="I421" t="str">
            <v>конс.</v>
          </cell>
          <cell r="J421">
            <v>35684</v>
          </cell>
          <cell r="K421">
            <v>4</v>
          </cell>
          <cell r="L421">
            <v>1.1000000000000001</v>
          </cell>
          <cell r="M421">
            <v>66</v>
          </cell>
          <cell r="N421">
            <v>20</v>
          </cell>
          <cell r="O421">
            <v>8.1999999999999993</v>
          </cell>
          <cell r="P421">
            <v>50</v>
          </cell>
          <cell r="Q421">
            <v>20</v>
          </cell>
          <cell r="R421">
            <v>8.1999999999999993</v>
          </cell>
          <cell r="S421">
            <v>49.4</v>
          </cell>
          <cell r="T421">
            <v>37270</v>
          </cell>
          <cell r="U421" t="str">
            <v>ГРП</v>
          </cell>
          <cell r="W421" t="str">
            <v>Ликвидация аварии, ИР ЮК-10, пр и ГРП ЮК-2-5</v>
          </cell>
        </row>
        <row r="422">
          <cell r="B422">
            <v>2848</v>
          </cell>
          <cell r="C422">
            <v>129</v>
          </cell>
          <cell r="E422">
            <v>1</v>
          </cell>
          <cell r="F422" t="str">
            <v>ЗАО "УПКРС"</v>
          </cell>
          <cell r="G422">
            <v>260</v>
          </cell>
          <cell r="H422" t="str">
            <v>ЭЦН</v>
          </cell>
          <cell r="K422">
            <v>29</v>
          </cell>
          <cell r="L422">
            <v>0.2</v>
          </cell>
          <cell r="M422">
            <v>99</v>
          </cell>
          <cell r="N422">
            <v>30</v>
          </cell>
          <cell r="O422">
            <v>3.5</v>
          </cell>
          <cell r="P422">
            <v>85.5</v>
          </cell>
          <cell r="Q422">
            <v>30</v>
          </cell>
          <cell r="R422">
            <v>3.5</v>
          </cell>
          <cell r="S422">
            <v>85.6</v>
          </cell>
          <cell r="T422">
            <v>7</v>
          </cell>
          <cell r="U422" t="str">
            <v>ОПЗ</v>
          </cell>
          <cell r="W422" t="str">
            <v>ВЦ. ПП (ОПЗ УГИС)</v>
          </cell>
        </row>
        <row r="423">
          <cell r="B423">
            <v>2849</v>
          </cell>
          <cell r="C423">
            <v>129</v>
          </cell>
          <cell r="E423">
            <v>2</v>
          </cell>
          <cell r="F423" t="str">
            <v>ЗАО "УПКРС"</v>
          </cell>
          <cell r="G423">
            <v>255</v>
          </cell>
          <cell r="H423" t="str">
            <v>ШГН</v>
          </cell>
          <cell r="I423" t="str">
            <v>конс.</v>
          </cell>
          <cell r="J423">
            <v>35705</v>
          </cell>
          <cell r="N423">
            <v>40</v>
          </cell>
          <cell r="O423">
            <v>12</v>
          </cell>
          <cell r="P423">
            <v>63.2</v>
          </cell>
          <cell r="Q423">
            <v>40</v>
          </cell>
          <cell r="R423">
            <v>12</v>
          </cell>
          <cell r="S423">
            <v>63</v>
          </cell>
          <cell r="T423">
            <v>7</v>
          </cell>
          <cell r="U423" t="str">
            <v>ГРП</v>
          </cell>
          <cell r="V423">
            <v>4</v>
          </cell>
          <cell r="W423" t="str">
            <v>ВЦ. ВЗ. ПП ГРП ЮК-10. ГДИ</v>
          </cell>
        </row>
        <row r="424">
          <cell r="B424">
            <v>2850</v>
          </cell>
          <cell r="C424">
            <v>129</v>
          </cell>
          <cell r="E424">
            <v>3</v>
          </cell>
          <cell r="F424" t="str">
            <v>ЗАО "УПКРС"</v>
          </cell>
          <cell r="G424">
            <v>230</v>
          </cell>
          <cell r="H424" t="str">
            <v>ШГН</v>
          </cell>
          <cell r="I424" t="str">
            <v>действ.</v>
          </cell>
          <cell r="J424">
            <v>0</v>
          </cell>
          <cell r="K424">
            <v>3</v>
          </cell>
          <cell r="L424">
            <v>1.5</v>
          </cell>
          <cell r="M424">
            <v>40</v>
          </cell>
          <cell r="N424">
            <v>40</v>
          </cell>
          <cell r="O424">
            <v>13</v>
          </cell>
          <cell r="P424">
            <v>60</v>
          </cell>
          <cell r="Q424">
            <v>37</v>
          </cell>
          <cell r="R424">
            <v>11.5</v>
          </cell>
          <cell r="S424">
            <v>61.6</v>
          </cell>
          <cell r="T424">
            <v>7</v>
          </cell>
          <cell r="U424" t="str">
            <v>ГРП</v>
          </cell>
          <cell r="W424" t="str">
            <v>ПР ГРП. ГРП. ЮК-10 ЭЦН-50</v>
          </cell>
          <cell r="X424" t="str">
            <v>Дважды перфорирована</v>
          </cell>
        </row>
        <row r="425">
          <cell r="B425">
            <v>2858</v>
          </cell>
          <cell r="C425">
            <v>42</v>
          </cell>
          <cell r="F425" t="str">
            <v>ЗАО "УПКРС"</v>
          </cell>
          <cell r="G425">
            <v>240</v>
          </cell>
          <cell r="H425" t="str">
            <v>ШГН</v>
          </cell>
          <cell r="I425" t="str">
            <v>бд</v>
          </cell>
          <cell r="J425">
            <v>35455</v>
          </cell>
          <cell r="N425">
            <v>12</v>
          </cell>
          <cell r="O425">
            <v>4.9000000000000004</v>
          </cell>
          <cell r="P425">
            <v>50</v>
          </cell>
          <cell r="Q425">
            <v>12</v>
          </cell>
          <cell r="R425">
            <v>4.9000000000000004</v>
          </cell>
          <cell r="S425">
            <v>49.6</v>
          </cell>
          <cell r="T425">
            <v>7</v>
          </cell>
          <cell r="U425" t="str">
            <v>ОПЗ</v>
          </cell>
          <cell r="W425" t="str">
            <v>ВЦ, ПП, ОПЗ НТПН, УГИС</v>
          </cell>
        </row>
        <row r="426">
          <cell r="B426">
            <v>2861</v>
          </cell>
          <cell r="C426">
            <v>127</v>
          </cell>
          <cell r="H426" t="str">
            <v>ШГН</v>
          </cell>
          <cell r="I426" t="str">
            <v>бд</v>
          </cell>
          <cell r="J426">
            <v>37018</v>
          </cell>
          <cell r="K426">
            <v>0</v>
          </cell>
          <cell r="L426">
            <v>0</v>
          </cell>
          <cell r="M426">
            <v>0</v>
          </cell>
          <cell r="N426">
            <v>40</v>
          </cell>
          <cell r="O426">
            <v>6.5</v>
          </cell>
          <cell r="P426">
            <v>80</v>
          </cell>
          <cell r="Q426">
            <v>40</v>
          </cell>
          <cell r="R426">
            <v>6.5</v>
          </cell>
          <cell r="S426">
            <v>79.900000000000006</v>
          </cell>
          <cell r="T426">
            <v>37268</v>
          </cell>
          <cell r="U426" t="str">
            <v>ОПЗ</v>
          </cell>
          <cell r="W426" t="str">
            <v>ВЦ, ГИС(ЗКЦ). Ликв.ЗКЦ ПП через УГИС в кислотной среде</v>
          </cell>
        </row>
        <row r="427">
          <cell r="B427">
            <v>3079</v>
          </cell>
          <cell r="C427">
            <v>51</v>
          </cell>
          <cell r="F427" t="str">
            <v>УПНП</v>
          </cell>
          <cell r="G427">
            <v>265</v>
          </cell>
          <cell r="H427" t="str">
            <v>ЭЦН</v>
          </cell>
          <cell r="I427" t="str">
            <v>конс.</v>
          </cell>
          <cell r="J427">
            <v>33635</v>
          </cell>
          <cell r="K427">
            <v>0</v>
          </cell>
          <cell r="L427">
            <v>0</v>
          </cell>
          <cell r="M427">
            <v>0</v>
          </cell>
          <cell r="N427">
            <v>50</v>
          </cell>
          <cell r="O427">
            <v>11</v>
          </cell>
          <cell r="P427">
            <v>73</v>
          </cell>
          <cell r="Q427">
            <v>50</v>
          </cell>
          <cell r="R427">
            <v>11</v>
          </cell>
          <cell r="S427">
            <v>72.8</v>
          </cell>
          <cell r="U427" t="str">
            <v>ВВ</v>
          </cell>
          <cell r="W427" t="str">
            <v>ВЦ,ВЗ,ДП ЮК-10</v>
          </cell>
        </row>
        <row r="429">
          <cell r="B429">
            <v>2866</v>
          </cell>
          <cell r="C429">
            <v>131</v>
          </cell>
          <cell r="E429" t="e">
            <v>#REF!</v>
          </cell>
          <cell r="F429" t="str">
            <v>ЗАО "УПКРС"</v>
          </cell>
          <cell r="G429">
            <v>250</v>
          </cell>
          <cell r="H429" t="str">
            <v>ЭЦН</v>
          </cell>
          <cell r="I429" t="str">
            <v>конс.</v>
          </cell>
          <cell r="J429">
            <v>34883</v>
          </cell>
          <cell r="N429">
            <v>16</v>
          </cell>
          <cell r="O429">
            <v>2.5</v>
          </cell>
          <cell r="P429">
            <v>81</v>
          </cell>
          <cell r="Q429">
            <v>16</v>
          </cell>
          <cell r="R429">
            <v>2.5</v>
          </cell>
          <cell r="S429">
            <v>80.7</v>
          </cell>
          <cell r="T429">
            <v>7</v>
          </cell>
          <cell r="U429" t="str">
            <v>ЛА</v>
          </cell>
          <cell r="W429" t="str">
            <v>ЛА. РИР ЮК-11. ПП. Сваб (УГИС)</v>
          </cell>
        </row>
        <row r="430">
          <cell r="B430">
            <v>2869</v>
          </cell>
          <cell r="C430">
            <v>129</v>
          </cell>
          <cell r="E430" t="e">
            <v>#REF!</v>
          </cell>
          <cell r="F430" t="str">
            <v>ЗАО "УПКРС"</v>
          </cell>
          <cell r="G430">
            <v>255</v>
          </cell>
          <cell r="H430" t="str">
            <v>ЭЦН</v>
          </cell>
          <cell r="I430" t="str">
            <v>конс.</v>
          </cell>
          <cell r="J430">
            <v>34912</v>
          </cell>
          <cell r="N430">
            <v>40</v>
          </cell>
          <cell r="O430">
            <v>12</v>
          </cell>
          <cell r="P430">
            <v>63.3</v>
          </cell>
          <cell r="Q430">
            <v>40</v>
          </cell>
          <cell r="R430">
            <v>12</v>
          </cell>
          <cell r="S430">
            <v>63</v>
          </cell>
          <cell r="T430">
            <v>7</v>
          </cell>
          <cell r="U430" t="str">
            <v>ГРП</v>
          </cell>
          <cell r="V430">
            <v>3</v>
          </cell>
          <cell r="W430" t="str">
            <v>ЛА. РИР ЮК-11. ПП.ГРП</v>
          </cell>
        </row>
        <row r="431">
          <cell r="B431">
            <v>2877</v>
          </cell>
          <cell r="C431">
            <v>42</v>
          </cell>
          <cell r="F431" t="str">
            <v>ЗАО "УПКРС"</v>
          </cell>
          <cell r="G431">
            <v>250</v>
          </cell>
          <cell r="H431" t="str">
            <v>ШГН</v>
          </cell>
          <cell r="I431" t="str">
            <v>бд</v>
          </cell>
          <cell r="J431">
            <v>36895</v>
          </cell>
          <cell r="N431">
            <v>30</v>
          </cell>
          <cell r="O431">
            <v>10</v>
          </cell>
          <cell r="P431">
            <v>59</v>
          </cell>
          <cell r="Q431">
            <v>30</v>
          </cell>
          <cell r="R431">
            <v>10</v>
          </cell>
          <cell r="S431">
            <v>58.8</v>
          </cell>
          <cell r="T431">
            <v>7</v>
          </cell>
          <cell r="U431" t="str">
            <v>ГРП</v>
          </cell>
          <cell r="W431" t="str">
            <v>ПР к ГРП, ГРП</v>
          </cell>
        </row>
        <row r="432">
          <cell r="B432">
            <v>2878</v>
          </cell>
          <cell r="C432">
            <v>42</v>
          </cell>
          <cell r="F432" t="str">
            <v>ЗАО "УПКРС"</v>
          </cell>
          <cell r="G432">
            <v>260</v>
          </cell>
          <cell r="H432" t="str">
            <v>ШГН</v>
          </cell>
          <cell r="I432" t="str">
            <v>действ.</v>
          </cell>
          <cell r="K432">
            <v>5</v>
          </cell>
          <cell r="L432">
            <v>1.1000000000000001</v>
          </cell>
          <cell r="M432">
            <v>73</v>
          </cell>
          <cell r="N432">
            <v>30</v>
          </cell>
          <cell r="O432">
            <v>10</v>
          </cell>
          <cell r="P432">
            <v>59</v>
          </cell>
          <cell r="Q432">
            <v>25</v>
          </cell>
          <cell r="R432">
            <v>8.9</v>
          </cell>
          <cell r="S432">
            <v>56</v>
          </cell>
          <cell r="T432">
            <v>7</v>
          </cell>
          <cell r="U432" t="str">
            <v>ГРП</v>
          </cell>
          <cell r="W432" t="str">
            <v>ПР к ГРП, ГРП(повторное) (ОПЗ НТПН)</v>
          </cell>
        </row>
        <row r="435">
          <cell r="B435">
            <v>2884</v>
          </cell>
          <cell r="C435">
            <v>131</v>
          </cell>
          <cell r="F435" t="str">
            <v>УПНПиКРС</v>
          </cell>
          <cell r="G435">
            <v>280</v>
          </cell>
          <cell r="H435" t="str">
            <v>ЭЦН</v>
          </cell>
          <cell r="I435" t="str">
            <v>действ.</v>
          </cell>
          <cell r="K435">
            <v>40</v>
          </cell>
          <cell r="L435">
            <v>3.9</v>
          </cell>
          <cell r="M435">
            <v>88</v>
          </cell>
          <cell r="N435">
            <v>50</v>
          </cell>
          <cell r="O435">
            <v>5.9</v>
          </cell>
          <cell r="P435">
            <v>85.5</v>
          </cell>
          <cell r="Q435">
            <v>10</v>
          </cell>
          <cell r="R435">
            <v>2.0000000000000004</v>
          </cell>
          <cell r="S435">
            <v>75.3</v>
          </cell>
          <cell r="U435" t="str">
            <v>ОВП</v>
          </cell>
          <cell r="W435" t="str">
            <v>ГИС-2. ОВП МЕТКА</v>
          </cell>
          <cell r="X435" t="str">
            <v>ИХН АН</v>
          </cell>
        </row>
        <row r="436">
          <cell r="B436">
            <v>2884</v>
          </cell>
          <cell r="C436">
            <v>131</v>
          </cell>
          <cell r="E436">
            <v>1</v>
          </cell>
          <cell r="F436" t="str">
            <v>ЗАО "УПКРС"</v>
          </cell>
          <cell r="G436">
            <v>260</v>
          </cell>
          <cell r="H436" t="str">
            <v>ЭЦН</v>
          </cell>
          <cell r="I436" t="str">
            <v>действ.</v>
          </cell>
          <cell r="K436">
            <v>30</v>
          </cell>
          <cell r="L436">
            <v>1.5</v>
          </cell>
          <cell r="M436">
            <v>94</v>
          </cell>
          <cell r="N436">
            <v>50</v>
          </cell>
          <cell r="O436">
            <v>4.5</v>
          </cell>
          <cell r="P436">
            <v>89</v>
          </cell>
          <cell r="Q436">
            <v>20</v>
          </cell>
          <cell r="R436">
            <v>3</v>
          </cell>
          <cell r="S436">
            <v>81.5</v>
          </cell>
          <cell r="T436">
            <v>7</v>
          </cell>
          <cell r="U436" t="str">
            <v>ОПЗ</v>
          </cell>
          <cell r="W436" t="str">
            <v>ГИС-2. УГИС (ОПЗ)</v>
          </cell>
        </row>
        <row r="437">
          <cell r="B437">
            <v>2886</v>
          </cell>
          <cell r="C437">
            <v>131</v>
          </cell>
          <cell r="E437">
            <v>2</v>
          </cell>
          <cell r="F437" t="str">
            <v>ЗАО "УПКРС"</v>
          </cell>
          <cell r="G437">
            <v>255</v>
          </cell>
          <cell r="H437" t="str">
            <v>ШГН</v>
          </cell>
          <cell r="K437">
            <v>24</v>
          </cell>
          <cell r="L437">
            <v>0.2</v>
          </cell>
          <cell r="M437">
            <v>99</v>
          </cell>
          <cell r="N437">
            <v>50</v>
          </cell>
          <cell r="O437">
            <v>4</v>
          </cell>
          <cell r="P437">
            <v>90.3</v>
          </cell>
          <cell r="Q437">
            <v>50</v>
          </cell>
          <cell r="R437">
            <v>4</v>
          </cell>
          <cell r="S437">
            <v>90.1</v>
          </cell>
          <cell r="T437">
            <v>7</v>
          </cell>
          <cell r="U437" t="str">
            <v>ОПЗ</v>
          </cell>
          <cell r="W437" t="str">
            <v>ГИС-2. УГИС (ОПЗ)</v>
          </cell>
        </row>
        <row r="438">
          <cell r="B438">
            <v>2904</v>
          </cell>
          <cell r="C438">
            <v>131</v>
          </cell>
          <cell r="F438" t="str">
            <v>УПНПиКРС</v>
          </cell>
          <cell r="G438">
            <v>295</v>
          </cell>
          <cell r="H438" t="str">
            <v>нагнет.</v>
          </cell>
          <cell r="I438" t="str">
            <v>действ.</v>
          </cell>
          <cell r="K438">
            <v>330</v>
          </cell>
          <cell r="N438">
            <v>250</v>
          </cell>
          <cell r="Q438">
            <v>250</v>
          </cell>
          <cell r="R438">
            <v>0</v>
          </cell>
          <cell r="U438" t="str">
            <v>ВВП</v>
          </cell>
          <cell r="W438" t="str">
            <v>ГИС-3. ВПП ГАЛКА</v>
          </cell>
          <cell r="X438" t="str">
            <v>ИХН АН</v>
          </cell>
        </row>
        <row r="439">
          <cell r="B439">
            <v>2905</v>
          </cell>
          <cell r="C439">
            <v>132</v>
          </cell>
          <cell r="F439" t="str">
            <v>УПНПиКРС</v>
          </cell>
          <cell r="G439">
            <v>290</v>
          </cell>
          <cell r="H439" t="str">
            <v>ЭЦН</v>
          </cell>
          <cell r="I439" t="str">
            <v>действ.</v>
          </cell>
          <cell r="K439">
            <v>50</v>
          </cell>
          <cell r="L439">
            <v>5.3</v>
          </cell>
          <cell r="M439">
            <v>87</v>
          </cell>
          <cell r="N439">
            <v>50</v>
          </cell>
          <cell r="O439">
            <v>8.1999999999999993</v>
          </cell>
          <cell r="P439">
            <v>80</v>
          </cell>
          <cell r="Q439">
            <v>0</v>
          </cell>
          <cell r="R439">
            <v>2.8999999999999995</v>
          </cell>
          <cell r="U439" t="str">
            <v>ОВП</v>
          </cell>
          <cell r="W439" t="str">
            <v>ГИС-2. ОВП МЕТКА.</v>
          </cell>
          <cell r="X439" t="str">
            <v>ИХН АН</v>
          </cell>
        </row>
        <row r="440">
          <cell r="B440">
            <v>2933</v>
          </cell>
          <cell r="C440">
            <v>44</v>
          </cell>
          <cell r="E440">
            <v>60</v>
          </cell>
          <cell r="F440" t="str">
            <v>ЗАО "УПКРС"</v>
          </cell>
          <cell r="G440">
            <v>265</v>
          </cell>
          <cell r="H440" t="str">
            <v>ШГН</v>
          </cell>
          <cell r="I440" t="str">
            <v>бд</v>
          </cell>
          <cell r="J440">
            <v>36935</v>
          </cell>
          <cell r="K440">
            <v>10</v>
          </cell>
          <cell r="L440">
            <v>5.0999999999999996</v>
          </cell>
          <cell r="M440">
            <v>37</v>
          </cell>
          <cell r="N440">
            <v>10</v>
          </cell>
          <cell r="O440">
            <v>5</v>
          </cell>
          <cell r="P440">
            <v>38.5</v>
          </cell>
          <cell r="Q440">
            <v>10</v>
          </cell>
          <cell r="R440">
            <v>5</v>
          </cell>
          <cell r="S440">
            <v>38.299999999999997</v>
          </cell>
          <cell r="T440">
            <v>12</v>
          </cell>
          <cell r="U440" t="str">
            <v>ВЦ</v>
          </cell>
          <cell r="V440">
            <v>2</v>
          </cell>
          <cell r="W440" t="str">
            <v xml:space="preserve">ВЦ, Ликв.грифона </v>
          </cell>
        </row>
        <row r="441">
          <cell r="B441">
            <v>3002</v>
          </cell>
          <cell r="C441">
            <v>50</v>
          </cell>
          <cell r="H441" t="str">
            <v>ШГН</v>
          </cell>
          <cell r="I441" t="str">
            <v>конс.</v>
          </cell>
          <cell r="J441">
            <v>34514</v>
          </cell>
          <cell r="K441">
            <v>5</v>
          </cell>
          <cell r="L441">
            <v>0.5</v>
          </cell>
          <cell r="M441">
            <v>88</v>
          </cell>
          <cell r="N441">
            <v>5</v>
          </cell>
          <cell r="O441">
            <v>0.5</v>
          </cell>
          <cell r="P441">
            <v>88</v>
          </cell>
          <cell r="Q441">
            <v>5</v>
          </cell>
          <cell r="R441">
            <v>0.5</v>
          </cell>
          <cell r="S441">
            <v>87.7</v>
          </cell>
          <cell r="W441" t="str">
            <v>ВЦ, ПП, ОПЗ НТПН, ГДИ, сп.НН</v>
          </cell>
        </row>
        <row r="442">
          <cell r="B442">
            <v>3003</v>
          </cell>
          <cell r="C442">
            <v>50</v>
          </cell>
          <cell r="H442" t="str">
            <v>нагн</v>
          </cell>
          <cell r="I442" t="str">
            <v>конс.</v>
          </cell>
          <cell r="J442">
            <v>32903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e">
            <v>#DIV/0!</v>
          </cell>
          <cell r="U442" t="str">
            <v>ГРП</v>
          </cell>
          <cell r="W442" t="str">
            <v>ВЦ, ПП, ГРП (ОПЗ НТПН), ГДИ, сп.НН</v>
          </cell>
        </row>
        <row r="443">
          <cell r="B443">
            <v>3026</v>
          </cell>
          <cell r="C443">
            <v>53</v>
          </cell>
          <cell r="H443" t="str">
            <v>ШГН</v>
          </cell>
          <cell r="I443" t="str">
            <v>конс.</v>
          </cell>
          <cell r="J443">
            <v>34493</v>
          </cell>
          <cell r="K443">
            <v>13</v>
          </cell>
          <cell r="L443">
            <v>10.6</v>
          </cell>
          <cell r="M443">
            <v>0</v>
          </cell>
          <cell r="N443">
            <v>13</v>
          </cell>
          <cell r="O443">
            <v>10.6</v>
          </cell>
          <cell r="P443">
            <v>0</v>
          </cell>
          <cell r="Q443">
            <v>13</v>
          </cell>
          <cell r="R443">
            <v>10.6</v>
          </cell>
          <cell r="S443">
            <v>-0.7</v>
          </cell>
          <cell r="U443" t="str">
            <v>ГРП</v>
          </cell>
          <cell r="W443" t="str">
            <v>ВЦ, ПП, ОПЗ НТПН, ГДИ, сп.НН</v>
          </cell>
        </row>
        <row r="444">
          <cell r="B444">
            <v>3027</v>
          </cell>
          <cell r="C444">
            <v>52</v>
          </cell>
          <cell r="H444" t="str">
            <v>ШГН</v>
          </cell>
          <cell r="I444" t="str">
            <v>бд</v>
          </cell>
          <cell r="J444">
            <v>36971</v>
          </cell>
          <cell r="K444">
            <v>10</v>
          </cell>
          <cell r="L444">
            <v>2.2000000000000002</v>
          </cell>
          <cell r="M444">
            <v>73</v>
          </cell>
          <cell r="N444">
            <v>20</v>
          </cell>
          <cell r="O444">
            <v>6.5</v>
          </cell>
          <cell r="P444">
            <v>60</v>
          </cell>
          <cell r="Q444">
            <v>20</v>
          </cell>
          <cell r="R444">
            <v>6.5</v>
          </cell>
          <cell r="S444">
            <v>59.9</v>
          </cell>
          <cell r="W444" t="str">
            <v>ВЦ, ЛА, ПП, ОПЗ НТПН, УГИС</v>
          </cell>
        </row>
        <row r="445">
          <cell r="B445">
            <v>3029</v>
          </cell>
          <cell r="C445">
            <v>52</v>
          </cell>
          <cell r="H445" t="str">
            <v>ЭЦН</v>
          </cell>
          <cell r="I445" t="str">
            <v>бд</v>
          </cell>
          <cell r="J445">
            <v>36795</v>
          </cell>
          <cell r="K445">
            <v>4</v>
          </cell>
          <cell r="L445">
            <v>1.9</v>
          </cell>
          <cell r="M445">
            <v>41</v>
          </cell>
          <cell r="N445">
            <v>4</v>
          </cell>
          <cell r="O445">
            <v>1.9</v>
          </cell>
          <cell r="P445">
            <v>41</v>
          </cell>
          <cell r="Q445">
            <v>4</v>
          </cell>
          <cell r="R445">
            <v>1.9</v>
          </cell>
          <cell r="S445">
            <v>41.4</v>
          </cell>
          <cell r="W445" t="str">
            <v>ВЦ, ПП, ОПЗ НТПН, ГДИ, сп.НН</v>
          </cell>
        </row>
        <row r="446">
          <cell r="B446">
            <v>3072</v>
          </cell>
          <cell r="C446">
            <v>53</v>
          </cell>
          <cell r="H446" t="str">
            <v>ШГН</v>
          </cell>
          <cell r="I446" t="str">
            <v>конс.</v>
          </cell>
          <cell r="J446">
            <v>33848</v>
          </cell>
          <cell r="K446">
            <v>2</v>
          </cell>
          <cell r="L446">
            <v>1.6</v>
          </cell>
          <cell r="M446">
            <v>0</v>
          </cell>
          <cell r="N446">
            <v>2</v>
          </cell>
          <cell r="O446">
            <v>1.6</v>
          </cell>
          <cell r="P446">
            <v>0</v>
          </cell>
          <cell r="Q446">
            <v>2</v>
          </cell>
          <cell r="R446">
            <v>1.6</v>
          </cell>
          <cell r="S446">
            <v>1.2</v>
          </cell>
          <cell r="W446" t="str">
            <v>ВЦ, ПП, ОПЗ НТПН, ГДИ, сп.НН</v>
          </cell>
        </row>
        <row r="447">
          <cell r="B447">
            <v>3073</v>
          </cell>
          <cell r="C447">
            <v>53</v>
          </cell>
          <cell r="H447" t="str">
            <v>ШГН</v>
          </cell>
          <cell r="I447" t="str">
            <v>бд</v>
          </cell>
          <cell r="J447">
            <v>36834</v>
          </cell>
          <cell r="K447">
            <v>3</v>
          </cell>
          <cell r="L447">
            <v>0.9</v>
          </cell>
          <cell r="M447">
            <v>65</v>
          </cell>
          <cell r="N447">
            <v>3</v>
          </cell>
          <cell r="O447">
            <v>0.9</v>
          </cell>
          <cell r="P447">
            <v>65</v>
          </cell>
          <cell r="Q447">
            <v>3</v>
          </cell>
          <cell r="R447">
            <v>0.9</v>
          </cell>
          <cell r="S447">
            <v>63</v>
          </cell>
          <cell r="W447" t="str">
            <v>ВЦ, ПП, ОПЗ НТПН, ГДИ, сп.НН</v>
          </cell>
        </row>
        <row r="448">
          <cell r="B448">
            <v>3096</v>
          </cell>
          <cell r="C448">
            <v>53</v>
          </cell>
          <cell r="H448" t="str">
            <v>ШГН</v>
          </cell>
          <cell r="I448" t="str">
            <v>бд</v>
          </cell>
          <cell r="J448">
            <v>36246</v>
          </cell>
          <cell r="K448">
            <v>6</v>
          </cell>
          <cell r="L448">
            <v>3.3</v>
          </cell>
          <cell r="M448">
            <v>33</v>
          </cell>
          <cell r="N448">
            <v>6</v>
          </cell>
          <cell r="O448">
            <v>3.3</v>
          </cell>
          <cell r="P448">
            <v>33</v>
          </cell>
          <cell r="Q448">
            <v>6</v>
          </cell>
          <cell r="R448">
            <v>3.3</v>
          </cell>
          <cell r="S448">
            <v>32.1</v>
          </cell>
          <cell r="W448" t="str">
            <v>ВЦ, ПП, ОПЗ НТПН, ГДИ, сп.НН</v>
          </cell>
        </row>
        <row r="449">
          <cell r="B449">
            <v>3097</v>
          </cell>
          <cell r="C449">
            <v>53</v>
          </cell>
          <cell r="H449" t="str">
            <v>ШГН</v>
          </cell>
          <cell r="I449" t="str">
            <v>бд</v>
          </cell>
          <cell r="J449">
            <v>36244</v>
          </cell>
          <cell r="K449">
            <v>6</v>
          </cell>
          <cell r="L449">
            <v>3.6</v>
          </cell>
          <cell r="M449">
            <v>26</v>
          </cell>
          <cell r="N449">
            <v>6</v>
          </cell>
          <cell r="O449">
            <v>3.6</v>
          </cell>
          <cell r="P449">
            <v>26</v>
          </cell>
          <cell r="Q449">
            <v>6</v>
          </cell>
          <cell r="R449">
            <v>3.6</v>
          </cell>
          <cell r="S449">
            <v>25.9</v>
          </cell>
          <cell r="W449" t="str">
            <v>ВЦ, ПП, ОПЗ НТПН, ГДИ, сп.НН</v>
          </cell>
        </row>
        <row r="450">
          <cell r="B450">
            <v>3952</v>
          </cell>
          <cell r="C450">
            <v>308</v>
          </cell>
          <cell r="G450">
            <v>245</v>
          </cell>
          <cell r="H450" t="str">
            <v>нагнет.</v>
          </cell>
          <cell r="I450" t="str">
            <v>бд</v>
          </cell>
          <cell r="N450">
            <v>250</v>
          </cell>
          <cell r="Q450">
            <v>250</v>
          </cell>
          <cell r="R450">
            <v>0</v>
          </cell>
          <cell r="W450" t="str">
            <v>Спуск пакера, определение прием.ЮК11</v>
          </cell>
          <cell r="X450" t="str">
            <v>утилизация</v>
          </cell>
        </row>
        <row r="451">
          <cell r="B451">
            <v>3959</v>
          </cell>
          <cell r="C451">
            <v>198</v>
          </cell>
          <cell r="G451">
            <v>226</v>
          </cell>
          <cell r="H451" t="str">
            <v>нагнет.</v>
          </cell>
          <cell r="I451" t="str">
            <v>конс.</v>
          </cell>
          <cell r="N451">
            <v>250</v>
          </cell>
          <cell r="Q451">
            <v>250</v>
          </cell>
          <cell r="R451">
            <v>0</v>
          </cell>
          <cell r="W451" t="str">
            <v>Спуск пакера, определение прием.ЮК11</v>
          </cell>
          <cell r="X451" t="str">
            <v>утилизация</v>
          </cell>
        </row>
        <row r="452">
          <cell r="B452">
            <v>4018</v>
          </cell>
          <cell r="C452">
            <v>314</v>
          </cell>
          <cell r="F452" t="str">
            <v>УПНПиКРС</v>
          </cell>
          <cell r="G452">
            <v>250</v>
          </cell>
          <cell r="H452" t="str">
            <v>Ф/ЭЦН</v>
          </cell>
          <cell r="I452" t="str">
            <v>конс.</v>
          </cell>
          <cell r="J452">
            <v>34335</v>
          </cell>
          <cell r="L452">
            <v>0</v>
          </cell>
          <cell r="N452">
            <v>30</v>
          </cell>
          <cell r="O452">
            <v>1</v>
          </cell>
          <cell r="P452">
            <v>96</v>
          </cell>
          <cell r="Q452">
            <v>30</v>
          </cell>
          <cell r="R452">
            <v>1</v>
          </cell>
          <cell r="S452">
            <v>95.9</v>
          </cell>
          <cell r="T452">
            <v>7</v>
          </cell>
          <cell r="U452" t="str">
            <v>ЛА</v>
          </cell>
          <cell r="W452" t="str">
            <v>ВЦ. ЛА. ГИС-2. УГИС</v>
          </cell>
          <cell r="X452" t="str">
            <v>УОПР-800</v>
          </cell>
        </row>
        <row r="453">
          <cell r="B453">
            <v>4020</v>
          </cell>
          <cell r="C453">
            <v>314</v>
          </cell>
          <cell r="F453" t="str">
            <v>УПНПиКРС</v>
          </cell>
          <cell r="G453">
            <v>220</v>
          </cell>
          <cell r="H453" t="str">
            <v>фон</v>
          </cell>
          <cell r="I453" t="str">
            <v>конс.</v>
          </cell>
          <cell r="J453">
            <v>34486</v>
          </cell>
          <cell r="L453">
            <v>0</v>
          </cell>
          <cell r="N453">
            <v>50</v>
          </cell>
          <cell r="O453">
            <v>2</v>
          </cell>
          <cell r="P453">
            <v>95</v>
          </cell>
          <cell r="Q453">
            <v>50</v>
          </cell>
          <cell r="R453">
            <v>2</v>
          </cell>
          <cell r="S453">
            <v>95.1</v>
          </cell>
          <cell r="T453">
            <v>7</v>
          </cell>
          <cell r="U453" t="str">
            <v>ЛН</v>
          </cell>
          <cell r="W453" t="str">
            <v>РИР (негерм. ЭК -1078-79 м). ГИС-2. ИДН</v>
          </cell>
          <cell r="X453" t="str">
            <v>УОПР-800</v>
          </cell>
        </row>
        <row r="454">
          <cell r="B454">
            <v>4021</v>
          </cell>
          <cell r="C454">
            <v>314</v>
          </cell>
          <cell r="F454" t="str">
            <v>УПНПиКРС</v>
          </cell>
          <cell r="G454">
            <v>220</v>
          </cell>
          <cell r="H454" t="str">
            <v>фон</v>
          </cell>
          <cell r="I454" t="str">
            <v>конс.</v>
          </cell>
          <cell r="J454">
            <v>34425</v>
          </cell>
          <cell r="L454">
            <v>0</v>
          </cell>
          <cell r="N454">
            <v>20</v>
          </cell>
          <cell r="O454">
            <v>1</v>
          </cell>
          <cell r="P454">
            <v>94</v>
          </cell>
          <cell r="Q454">
            <v>20</v>
          </cell>
          <cell r="R454">
            <v>1</v>
          </cell>
          <cell r="S454">
            <v>93.8</v>
          </cell>
          <cell r="T454">
            <v>7</v>
          </cell>
          <cell r="U454" t="str">
            <v>ЛА</v>
          </cell>
          <cell r="W454" t="str">
            <v>ВЦ. ЛА. ГИС-2. РИР (ЗКЦ). УГИС</v>
          </cell>
          <cell r="X454" t="str">
            <v>УОПР-800</v>
          </cell>
        </row>
        <row r="455">
          <cell r="B455">
            <v>4122</v>
          </cell>
          <cell r="C455">
            <v>314</v>
          </cell>
          <cell r="F455" t="str">
            <v>УПНПиКРС</v>
          </cell>
          <cell r="G455">
            <v>250</v>
          </cell>
          <cell r="H455" t="str">
            <v>Ф/ЭЦН</v>
          </cell>
          <cell r="I455" t="str">
            <v>бд</v>
          </cell>
          <cell r="J455">
            <v>34485</v>
          </cell>
          <cell r="L455">
            <v>0</v>
          </cell>
          <cell r="N455">
            <v>20</v>
          </cell>
          <cell r="O455">
            <v>2</v>
          </cell>
          <cell r="P455">
            <v>88</v>
          </cell>
          <cell r="Q455">
            <v>20</v>
          </cell>
          <cell r="R455">
            <v>2</v>
          </cell>
          <cell r="S455">
            <v>87.7</v>
          </cell>
          <cell r="T455">
            <v>37242</v>
          </cell>
          <cell r="U455" t="str">
            <v>ОПЗ</v>
          </cell>
          <cell r="W455" t="str">
            <v>ГИС-2. ПП. УГИС</v>
          </cell>
          <cell r="X455" t="str">
            <v>УОПР-800</v>
          </cell>
        </row>
        <row r="456">
          <cell r="B456">
            <v>4125</v>
          </cell>
          <cell r="C456">
            <v>315</v>
          </cell>
          <cell r="F456" t="str">
            <v>УПНПиКРС</v>
          </cell>
          <cell r="G456">
            <v>250</v>
          </cell>
          <cell r="H456" t="str">
            <v>Ф/ЭЦН</v>
          </cell>
          <cell r="I456" t="str">
            <v>бд</v>
          </cell>
          <cell r="J456">
            <v>33147</v>
          </cell>
          <cell r="L456">
            <v>0</v>
          </cell>
          <cell r="N456">
            <v>20</v>
          </cell>
          <cell r="O456">
            <v>1</v>
          </cell>
          <cell r="P456">
            <v>93.6</v>
          </cell>
          <cell r="Q456">
            <v>20</v>
          </cell>
          <cell r="R456">
            <v>1</v>
          </cell>
          <cell r="S456">
            <v>93.8</v>
          </cell>
          <cell r="T456">
            <v>7</v>
          </cell>
          <cell r="U456" t="str">
            <v>ОВП</v>
          </cell>
          <cell r="W456" t="str">
            <v>ЛА (Полет ЭЦН). ГИС-2. ИР</v>
          </cell>
          <cell r="X456" t="str">
            <v>ИР нижнего интервала?</v>
          </cell>
        </row>
        <row r="457">
          <cell r="B457">
            <v>4127</v>
          </cell>
          <cell r="C457">
            <v>315</v>
          </cell>
          <cell r="F457" t="str">
            <v>УПНПиКРС</v>
          </cell>
          <cell r="G457">
            <v>245</v>
          </cell>
          <cell r="H457" t="str">
            <v>ЭЦН</v>
          </cell>
          <cell r="I457" t="str">
            <v>бд</v>
          </cell>
          <cell r="J457">
            <v>35432</v>
          </cell>
          <cell r="L457">
            <v>0</v>
          </cell>
          <cell r="N457">
            <v>17</v>
          </cell>
          <cell r="O457">
            <v>1</v>
          </cell>
          <cell r="P457">
            <v>93</v>
          </cell>
          <cell r="Q457">
            <v>17</v>
          </cell>
          <cell r="R457">
            <v>1</v>
          </cell>
          <cell r="S457">
            <v>92.7</v>
          </cell>
          <cell r="T457">
            <v>7</v>
          </cell>
          <cell r="U457" t="str">
            <v>ОВП</v>
          </cell>
          <cell r="W457" t="str">
            <v>ЛА (прихват ЭЦН). СИ. ПП. ГИС-2. ШГН</v>
          </cell>
          <cell r="X457" t="str">
            <v>СИ (ниже 2728). ПП 2720-24</v>
          </cell>
        </row>
        <row r="458">
          <cell r="B458">
            <v>4128</v>
          </cell>
          <cell r="C458">
            <v>315</v>
          </cell>
          <cell r="G458">
            <v>250</v>
          </cell>
          <cell r="H458" t="str">
            <v>ЭЦН</v>
          </cell>
          <cell r="I458" t="str">
            <v>действ.</v>
          </cell>
          <cell r="K458">
            <v>44</v>
          </cell>
          <cell r="L458">
            <v>0.9</v>
          </cell>
          <cell r="M458">
            <v>97.5</v>
          </cell>
          <cell r="N458">
            <v>60</v>
          </cell>
          <cell r="O458">
            <v>2.9</v>
          </cell>
          <cell r="P458">
            <v>94</v>
          </cell>
          <cell r="Q458">
            <v>16</v>
          </cell>
          <cell r="R458">
            <v>2</v>
          </cell>
          <cell r="W458" t="str">
            <v>ГИС-2. ОВП МЕТКА.</v>
          </cell>
          <cell r="X458" t="str">
            <v>ИХН АН</v>
          </cell>
        </row>
        <row r="459">
          <cell r="B459">
            <v>4155</v>
          </cell>
          <cell r="C459">
            <v>172</v>
          </cell>
          <cell r="G459">
            <v>250</v>
          </cell>
          <cell r="H459" t="str">
            <v>нагнет.</v>
          </cell>
          <cell r="I459" t="str">
            <v>конс.</v>
          </cell>
          <cell r="N459">
            <v>250</v>
          </cell>
          <cell r="Q459">
            <v>250</v>
          </cell>
          <cell r="R459">
            <v>0</v>
          </cell>
          <cell r="W459" t="str">
            <v>ОТСК, дострел ЮК11</v>
          </cell>
          <cell r="X459" t="str">
            <v>утилизация</v>
          </cell>
        </row>
        <row r="460">
          <cell r="B460">
            <v>4156</v>
          </cell>
          <cell r="C460">
            <v>172</v>
          </cell>
          <cell r="G460">
            <v>250</v>
          </cell>
          <cell r="H460" t="str">
            <v>нагнет.</v>
          </cell>
          <cell r="I460" t="str">
            <v>конс.</v>
          </cell>
          <cell r="Q460">
            <v>0</v>
          </cell>
          <cell r="W460" t="str">
            <v>ОТСК, дострел ЮК11</v>
          </cell>
        </row>
        <row r="461">
          <cell r="B461">
            <v>4215</v>
          </cell>
          <cell r="C461" t="str">
            <v>314б</v>
          </cell>
          <cell r="G461">
            <v>255</v>
          </cell>
          <cell r="H461" t="str">
            <v>фон</v>
          </cell>
          <cell r="I461" t="str">
            <v>бд</v>
          </cell>
          <cell r="J461">
            <v>35716</v>
          </cell>
          <cell r="L461">
            <v>0</v>
          </cell>
          <cell r="N461">
            <v>30</v>
          </cell>
          <cell r="O461">
            <v>1</v>
          </cell>
          <cell r="P461">
            <v>95.8</v>
          </cell>
          <cell r="Q461">
            <v>30</v>
          </cell>
          <cell r="R461">
            <v>1</v>
          </cell>
          <cell r="S461">
            <v>95.9</v>
          </cell>
          <cell r="T461">
            <v>37378</v>
          </cell>
          <cell r="U461" t="str">
            <v>ОВП</v>
          </cell>
          <cell r="W461" t="str">
            <v>СИ 2810 и ниже</v>
          </cell>
          <cell r="X461" t="str">
            <v>УОПР-800</v>
          </cell>
        </row>
        <row r="462">
          <cell r="B462">
            <v>4216</v>
          </cell>
          <cell r="C462" t="str">
            <v>314б</v>
          </cell>
          <cell r="G462">
            <v>255</v>
          </cell>
          <cell r="H462" t="str">
            <v>ЭЦН</v>
          </cell>
          <cell r="I462" t="str">
            <v>конс.</v>
          </cell>
          <cell r="J462">
            <v>35716</v>
          </cell>
          <cell r="L462">
            <v>0</v>
          </cell>
          <cell r="N462">
            <v>50</v>
          </cell>
          <cell r="O462">
            <v>1</v>
          </cell>
          <cell r="P462">
            <v>97.6</v>
          </cell>
          <cell r="Q462">
            <v>50</v>
          </cell>
          <cell r="R462">
            <v>1</v>
          </cell>
          <cell r="S462">
            <v>97.5</v>
          </cell>
          <cell r="T462">
            <v>37213</v>
          </cell>
          <cell r="U462" t="str">
            <v>бдк</v>
          </cell>
          <cell r="W462" t="str">
            <v>ГИС-2</v>
          </cell>
          <cell r="X462" t="str">
            <v>УОПР-800</v>
          </cell>
        </row>
        <row r="463">
          <cell r="B463">
            <v>4217</v>
          </cell>
          <cell r="C463" t="str">
            <v>314б</v>
          </cell>
          <cell r="G463">
            <v>255</v>
          </cell>
          <cell r="H463" t="str">
            <v>ЭЦН</v>
          </cell>
          <cell r="I463" t="str">
            <v>конс.</v>
          </cell>
          <cell r="J463">
            <v>34304</v>
          </cell>
          <cell r="L463">
            <v>0</v>
          </cell>
          <cell r="N463">
            <v>60</v>
          </cell>
          <cell r="O463">
            <v>1</v>
          </cell>
          <cell r="P463">
            <v>97.892720306513411</v>
          </cell>
          <cell r="Q463">
            <v>60</v>
          </cell>
          <cell r="R463">
            <v>1</v>
          </cell>
          <cell r="S463">
            <v>97.9</v>
          </cell>
          <cell r="T463">
            <v>37230</v>
          </cell>
          <cell r="U463" t="str">
            <v>бдк</v>
          </cell>
          <cell r="W463" t="str">
            <v>УГИС. ЭЦН</v>
          </cell>
          <cell r="X463" t="str">
            <v>УОПР-800</v>
          </cell>
        </row>
        <row r="464">
          <cell r="B464">
            <v>4218</v>
          </cell>
          <cell r="C464" t="str">
            <v>314б</v>
          </cell>
          <cell r="G464">
            <v>255</v>
          </cell>
          <cell r="H464" t="str">
            <v>ЭЦН</v>
          </cell>
          <cell r="I464" t="str">
            <v>конс.</v>
          </cell>
          <cell r="J464">
            <v>35716</v>
          </cell>
          <cell r="L464">
            <v>0</v>
          </cell>
          <cell r="N464">
            <v>50</v>
          </cell>
          <cell r="O464">
            <v>1</v>
          </cell>
          <cell r="P464">
            <v>97.47126436781609</v>
          </cell>
          <cell r="Q464">
            <v>50</v>
          </cell>
          <cell r="R464">
            <v>1</v>
          </cell>
          <cell r="S464">
            <v>97.5</v>
          </cell>
          <cell r="T464">
            <v>37356</v>
          </cell>
          <cell r="U464" t="str">
            <v>бдк</v>
          </cell>
          <cell r="W464" t="str">
            <v>ГДИ ЦНИПР. УГИС</v>
          </cell>
          <cell r="X464" t="str">
            <v>УОПР-800</v>
          </cell>
        </row>
        <row r="465">
          <cell r="B465">
            <v>4266</v>
          </cell>
          <cell r="C465">
            <v>219</v>
          </cell>
          <cell r="G465">
            <v>255</v>
          </cell>
          <cell r="H465" t="str">
            <v>ЭЦН</v>
          </cell>
          <cell r="I465" t="str">
            <v>бд</v>
          </cell>
          <cell r="J465">
            <v>35158</v>
          </cell>
          <cell r="L465">
            <v>0</v>
          </cell>
          <cell r="N465">
            <v>15</v>
          </cell>
          <cell r="O465">
            <v>1.5</v>
          </cell>
          <cell r="P465">
            <v>88</v>
          </cell>
          <cell r="Q465">
            <v>15</v>
          </cell>
          <cell r="R465">
            <v>1.5</v>
          </cell>
          <cell r="S465">
            <v>87.7</v>
          </cell>
          <cell r="T465">
            <v>37284</v>
          </cell>
          <cell r="U465" t="str">
            <v>ЛА</v>
          </cell>
          <cell r="W465" t="str">
            <v>ВЦ. ЛА (на забое ЭЦН). СИ низа. ПП. ОПЗ</v>
          </cell>
          <cell r="X465" t="str">
            <v>Освоение УГИС. УОПР-800</v>
          </cell>
        </row>
        <row r="466">
          <cell r="B466">
            <v>4268</v>
          </cell>
          <cell r="C466">
            <v>219</v>
          </cell>
          <cell r="G466">
            <v>250</v>
          </cell>
          <cell r="H466" t="str">
            <v>Ф/ЭЦН</v>
          </cell>
          <cell r="I466" t="str">
            <v>конс.</v>
          </cell>
          <cell r="J466">
            <v>35596</v>
          </cell>
          <cell r="L466">
            <v>0</v>
          </cell>
          <cell r="N466">
            <v>40</v>
          </cell>
          <cell r="O466">
            <v>1.5</v>
          </cell>
          <cell r="P466">
            <v>95.3</v>
          </cell>
          <cell r="Q466">
            <v>40</v>
          </cell>
          <cell r="R466">
            <v>1.5</v>
          </cell>
          <cell r="S466">
            <v>95.4</v>
          </cell>
          <cell r="T466">
            <v>37334</v>
          </cell>
          <cell r="U466" t="str">
            <v>ОВП</v>
          </cell>
          <cell r="W466" t="str">
            <v>ВЗ. СИ низа. ПП 2743-48, УГИС, ГИС-2</v>
          </cell>
          <cell r="X466" t="str">
            <v>УОПР-800</v>
          </cell>
        </row>
        <row r="467">
          <cell r="B467">
            <v>4319</v>
          </cell>
          <cell r="C467">
            <v>219</v>
          </cell>
          <cell r="G467">
            <v>255</v>
          </cell>
          <cell r="H467" t="str">
            <v>ЭЦН</v>
          </cell>
          <cell r="I467" t="str">
            <v>бд</v>
          </cell>
          <cell r="J467">
            <v>34850</v>
          </cell>
          <cell r="L467">
            <v>0</v>
          </cell>
          <cell r="N467">
            <v>20</v>
          </cell>
          <cell r="O467">
            <v>1</v>
          </cell>
          <cell r="P467">
            <v>94</v>
          </cell>
          <cell r="Q467">
            <v>20</v>
          </cell>
          <cell r="R467">
            <v>1</v>
          </cell>
          <cell r="S467">
            <v>93.8</v>
          </cell>
          <cell r="T467">
            <v>37312</v>
          </cell>
          <cell r="U467" t="str">
            <v>ОВП</v>
          </cell>
          <cell r="W467" t="str">
            <v>ГИС-2. СИ. ПП ДН. ГДИ</v>
          </cell>
          <cell r="X467" t="str">
            <v>УОПР-800</v>
          </cell>
        </row>
        <row r="468">
          <cell r="B468">
            <v>4321</v>
          </cell>
          <cell r="C468">
            <v>219</v>
          </cell>
          <cell r="G468">
            <v>240</v>
          </cell>
          <cell r="H468" t="str">
            <v>ЭЦН</v>
          </cell>
          <cell r="I468" t="str">
            <v>конс.</v>
          </cell>
          <cell r="J468">
            <v>33970</v>
          </cell>
          <cell r="L468">
            <v>0</v>
          </cell>
          <cell r="N468">
            <v>30</v>
          </cell>
          <cell r="O468">
            <v>1.5</v>
          </cell>
          <cell r="P468">
            <v>93.8</v>
          </cell>
          <cell r="Q468">
            <v>30</v>
          </cell>
          <cell r="R468">
            <v>1.5</v>
          </cell>
          <cell r="S468">
            <v>93.8</v>
          </cell>
          <cell r="T468">
            <v>37251</v>
          </cell>
          <cell r="U468" t="str">
            <v>ОВП</v>
          </cell>
          <cell r="W468" t="str">
            <v>ВЦ. СИ 2676 и ниже, УГИС</v>
          </cell>
          <cell r="X468" t="str">
            <v>УОПР-800</v>
          </cell>
        </row>
        <row r="469">
          <cell r="B469">
            <v>4323</v>
          </cell>
          <cell r="C469">
            <v>218</v>
          </cell>
          <cell r="G469">
            <v>250</v>
          </cell>
          <cell r="H469" t="str">
            <v>ЭЦН</v>
          </cell>
          <cell r="I469" t="str">
            <v>действ.</v>
          </cell>
          <cell r="K469">
            <v>60</v>
          </cell>
          <cell r="L469">
            <v>1</v>
          </cell>
          <cell r="M469">
            <v>98</v>
          </cell>
          <cell r="N469">
            <v>125</v>
          </cell>
          <cell r="O469">
            <v>5.0999999999999996</v>
          </cell>
          <cell r="P469">
            <v>95</v>
          </cell>
          <cell r="Q469">
            <v>65</v>
          </cell>
          <cell r="R469">
            <v>4.0999999999999996</v>
          </cell>
          <cell r="W469" t="str">
            <v>ГИС-2. ОВП МЕТКА.</v>
          </cell>
          <cell r="X469" t="str">
            <v>ИХН АН</v>
          </cell>
        </row>
        <row r="470">
          <cell r="B470">
            <v>5218</v>
          </cell>
          <cell r="C470">
            <v>134</v>
          </cell>
          <cell r="F470" t="str">
            <v>УПНПиКРС</v>
          </cell>
          <cell r="G470">
            <v>245</v>
          </cell>
          <cell r="H470" t="str">
            <v>ШГН</v>
          </cell>
          <cell r="I470" t="str">
            <v>конс.</v>
          </cell>
          <cell r="K470">
            <v>21</v>
          </cell>
          <cell r="L470">
            <v>0.9</v>
          </cell>
          <cell r="M470">
            <v>95</v>
          </cell>
          <cell r="N470">
            <v>20</v>
          </cell>
          <cell r="O470">
            <v>3</v>
          </cell>
          <cell r="P470">
            <v>81.5</v>
          </cell>
          <cell r="Q470">
            <v>20</v>
          </cell>
          <cell r="R470">
            <v>3</v>
          </cell>
          <cell r="S470">
            <v>81.5</v>
          </cell>
          <cell r="U470" t="str">
            <v>ОПЗ</v>
          </cell>
          <cell r="W470" t="str">
            <v>ВЦ. ГИС-2. ИДН</v>
          </cell>
          <cell r="X470" t="str">
            <v>Возм.перевод на выш.пласт</v>
          </cell>
        </row>
        <row r="471">
          <cell r="B471">
            <v>5234</v>
          </cell>
          <cell r="C471">
            <v>140</v>
          </cell>
          <cell r="F471" t="str">
            <v>УПНПиКРС</v>
          </cell>
          <cell r="G471">
            <v>290</v>
          </cell>
          <cell r="H471" t="str">
            <v>нагнет.</v>
          </cell>
          <cell r="I471" t="str">
            <v>действ.</v>
          </cell>
          <cell r="K471">
            <v>340</v>
          </cell>
          <cell r="N471">
            <v>250</v>
          </cell>
          <cell r="Q471">
            <v>250</v>
          </cell>
          <cell r="R471">
            <v>0</v>
          </cell>
          <cell r="U471" t="str">
            <v>ВВП</v>
          </cell>
          <cell r="W471" t="str">
            <v>ГИС-3. ВПП ГАЛКА. ГИС-3</v>
          </cell>
          <cell r="X471" t="str">
            <v>крайний срок - 20 октября</v>
          </cell>
        </row>
        <row r="472">
          <cell r="B472">
            <v>5240</v>
          </cell>
          <cell r="C472">
            <v>134</v>
          </cell>
          <cell r="F472" t="str">
            <v>УПНПиКРС</v>
          </cell>
          <cell r="G472">
            <v>255</v>
          </cell>
          <cell r="H472" t="str">
            <v>ЭЦН</v>
          </cell>
          <cell r="I472" t="str">
            <v>конс.</v>
          </cell>
          <cell r="K472">
            <v>69</v>
          </cell>
          <cell r="L472">
            <v>1.7</v>
          </cell>
          <cell r="M472">
            <v>97</v>
          </cell>
          <cell r="N472">
            <v>80</v>
          </cell>
          <cell r="O472">
            <v>3.1</v>
          </cell>
          <cell r="P472">
            <v>95.3</v>
          </cell>
          <cell r="Q472">
            <v>80</v>
          </cell>
          <cell r="R472">
            <v>3.1</v>
          </cell>
          <cell r="S472">
            <v>95.2</v>
          </cell>
          <cell r="U472" t="str">
            <v>ВЦ</v>
          </cell>
          <cell r="W472" t="str">
            <v>ВЦ. ГИС-2. Спуск ЭЦН</v>
          </cell>
          <cell r="X472" t="str">
            <v>Электропрогрев выполнен (лом -620)</v>
          </cell>
        </row>
        <row r="473">
          <cell r="B473">
            <v>5241</v>
          </cell>
          <cell r="C473">
            <v>134</v>
          </cell>
          <cell r="F473" t="str">
            <v>УПНПиКРС</v>
          </cell>
          <cell r="G473">
            <v>255</v>
          </cell>
          <cell r="H473" t="str">
            <v>ЭЦН</v>
          </cell>
          <cell r="I473" t="str">
            <v>конс.</v>
          </cell>
          <cell r="K473">
            <v>41</v>
          </cell>
          <cell r="L473">
            <v>1.7</v>
          </cell>
          <cell r="M473">
            <v>95</v>
          </cell>
          <cell r="N473">
            <v>50</v>
          </cell>
          <cell r="O473">
            <v>4</v>
          </cell>
          <cell r="P473">
            <v>90.2</v>
          </cell>
          <cell r="Q473">
            <v>50</v>
          </cell>
          <cell r="R473">
            <v>4</v>
          </cell>
          <cell r="S473">
            <v>90.1</v>
          </cell>
          <cell r="U473" t="str">
            <v>ВЦ</v>
          </cell>
          <cell r="W473" t="str">
            <v>ВЦ. ГИС-2. Спуск ЭЦН</v>
          </cell>
          <cell r="X473" t="str">
            <v>ЭП выполнен, ЭЦН с КРБК на забое</v>
          </cell>
        </row>
        <row r="474">
          <cell r="B474">
            <v>5281</v>
          </cell>
          <cell r="C474">
            <v>139</v>
          </cell>
          <cell r="F474" t="str">
            <v>УПНПиКРС</v>
          </cell>
          <cell r="G474">
            <v>280</v>
          </cell>
          <cell r="H474" t="str">
            <v>ШГН</v>
          </cell>
          <cell r="I474" t="str">
            <v>конс.</v>
          </cell>
          <cell r="K474">
            <v>5</v>
          </cell>
          <cell r="L474">
            <v>4</v>
          </cell>
          <cell r="M474">
            <v>1</v>
          </cell>
          <cell r="N474">
            <v>7</v>
          </cell>
          <cell r="O474">
            <v>5</v>
          </cell>
          <cell r="P474">
            <v>12</v>
          </cell>
          <cell r="Q474">
            <v>7</v>
          </cell>
          <cell r="R474">
            <v>5</v>
          </cell>
          <cell r="S474">
            <v>11.8</v>
          </cell>
          <cell r="U474" t="str">
            <v>ОПЗ</v>
          </cell>
          <cell r="W474" t="str">
            <v>ЛА. ИДН. УГИС</v>
          </cell>
          <cell r="X474" t="str">
            <v>Полет НКТ (был КРС), сужение колонны?</v>
          </cell>
        </row>
        <row r="475">
          <cell r="B475">
            <v>5285</v>
          </cell>
          <cell r="C475">
            <v>140</v>
          </cell>
          <cell r="F475" t="str">
            <v>УПНПиКРС</v>
          </cell>
          <cell r="G475">
            <v>235</v>
          </cell>
          <cell r="H475" t="str">
            <v>ЭЦН</v>
          </cell>
          <cell r="I475" t="str">
            <v>бд</v>
          </cell>
          <cell r="N475">
            <v>80</v>
          </cell>
          <cell r="O475">
            <v>19.600000000000001</v>
          </cell>
          <cell r="P475">
            <v>70</v>
          </cell>
          <cell r="Q475">
            <v>80</v>
          </cell>
          <cell r="R475">
            <v>19.600000000000001</v>
          </cell>
          <cell r="S475">
            <v>69.8</v>
          </cell>
          <cell r="W475" t="str">
            <v>ПР ЗБС</v>
          </cell>
        </row>
        <row r="476">
          <cell r="B476">
            <v>5287</v>
          </cell>
          <cell r="C476">
            <v>141</v>
          </cell>
          <cell r="F476" t="str">
            <v>УПНПиКРС</v>
          </cell>
          <cell r="G476">
            <v>270</v>
          </cell>
          <cell r="H476" t="str">
            <v>ЭЦН</v>
          </cell>
          <cell r="I476" t="str">
            <v>бд</v>
          </cell>
          <cell r="N476">
            <v>50</v>
          </cell>
          <cell r="O476">
            <v>20.399999999999999</v>
          </cell>
          <cell r="P476">
            <v>50</v>
          </cell>
          <cell r="Q476">
            <v>50</v>
          </cell>
          <cell r="R476">
            <v>20.399999999999999</v>
          </cell>
          <cell r="S476">
            <v>49.6</v>
          </cell>
          <cell r="U476" t="str">
            <v>збс</v>
          </cell>
          <cell r="W476" t="str">
            <v>ПР ЗБС,ЗБС</v>
          </cell>
        </row>
        <row r="477">
          <cell r="B477">
            <v>5289</v>
          </cell>
          <cell r="C477">
            <v>133</v>
          </cell>
          <cell r="F477" t="str">
            <v>УПНПиКРС</v>
          </cell>
          <cell r="G477">
            <v>245</v>
          </cell>
          <cell r="H477" t="str">
            <v>ШГН</v>
          </cell>
          <cell r="I477" t="str">
            <v>конс.</v>
          </cell>
          <cell r="K477">
            <v>2</v>
          </cell>
          <cell r="L477">
            <v>1.6</v>
          </cell>
          <cell r="M477">
            <v>0</v>
          </cell>
          <cell r="N477">
            <v>10</v>
          </cell>
          <cell r="O477">
            <v>5.0999999999999996</v>
          </cell>
          <cell r="P477">
            <v>38</v>
          </cell>
          <cell r="Q477">
            <v>10</v>
          </cell>
          <cell r="R477">
            <v>5.0999999999999996</v>
          </cell>
          <cell r="S477">
            <v>37</v>
          </cell>
          <cell r="U477" t="str">
            <v>ЛА</v>
          </cell>
          <cell r="W477" t="str">
            <v>ЛА. ГИС-2. ПП. УГИС. (Либо, возврат ЮК-2-9)</v>
          </cell>
          <cell r="X477" t="str">
            <v>Извлечение НКТ</v>
          </cell>
        </row>
        <row r="478">
          <cell r="B478">
            <v>5291</v>
          </cell>
          <cell r="C478">
            <v>134</v>
          </cell>
          <cell r="F478" t="str">
            <v>УПНПиКРС</v>
          </cell>
          <cell r="G478">
            <v>220</v>
          </cell>
          <cell r="H478" t="str">
            <v>ЭЦН</v>
          </cell>
          <cell r="I478" t="str">
            <v>действ.</v>
          </cell>
          <cell r="K478">
            <v>15</v>
          </cell>
          <cell r="L478">
            <v>9.3000000000000007</v>
          </cell>
          <cell r="M478">
            <v>24</v>
          </cell>
          <cell r="N478">
            <v>15</v>
          </cell>
          <cell r="O478">
            <v>9.3000000000000007</v>
          </cell>
          <cell r="P478">
            <v>24</v>
          </cell>
          <cell r="Q478">
            <v>0</v>
          </cell>
          <cell r="R478">
            <v>0</v>
          </cell>
          <cell r="S478" t="e">
            <v>#DIV/0!</v>
          </cell>
          <cell r="U478" t="str">
            <v>ЛА</v>
          </cell>
          <cell r="W478" t="str">
            <v>ЛА.сп. НН-44</v>
          </cell>
        </row>
        <row r="479">
          <cell r="B479">
            <v>5292</v>
          </cell>
          <cell r="C479">
            <v>134</v>
          </cell>
          <cell r="F479" t="str">
            <v>УПНПиКРС</v>
          </cell>
          <cell r="G479">
            <v>270</v>
          </cell>
          <cell r="H479" t="str">
            <v>ЭЦН</v>
          </cell>
          <cell r="I479" t="str">
            <v>действ.</v>
          </cell>
          <cell r="K479">
            <v>155</v>
          </cell>
          <cell r="L479">
            <v>3.8</v>
          </cell>
          <cell r="M479">
            <v>97</v>
          </cell>
          <cell r="N479">
            <v>155</v>
          </cell>
          <cell r="O479">
            <v>7.6</v>
          </cell>
          <cell r="P479">
            <v>94</v>
          </cell>
          <cell r="Q479">
            <v>0</v>
          </cell>
          <cell r="R479">
            <v>3.8</v>
          </cell>
          <cell r="U479" t="str">
            <v>ОВП</v>
          </cell>
          <cell r="W479" t="str">
            <v>ГИС-2. ОВП (ЭМКО)</v>
          </cell>
          <cell r="X479" t="str">
            <v>ПермНИПИ</v>
          </cell>
        </row>
        <row r="480">
          <cell r="B480">
            <v>5293</v>
          </cell>
          <cell r="C480">
            <v>134</v>
          </cell>
          <cell r="F480" t="str">
            <v>УПНПиКРС</v>
          </cell>
          <cell r="G480">
            <v>270</v>
          </cell>
          <cell r="H480" t="str">
            <v>ЭЦН</v>
          </cell>
          <cell r="I480" t="str">
            <v>конс.</v>
          </cell>
          <cell r="K480">
            <v>53</v>
          </cell>
          <cell r="L480">
            <v>0.9</v>
          </cell>
          <cell r="M480">
            <v>98</v>
          </cell>
          <cell r="N480">
            <v>50</v>
          </cell>
          <cell r="O480">
            <v>3.1</v>
          </cell>
          <cell r="P480">
            <v>92.5</v>
          </cell>
          <cell r="Q480">
            <v>50</v>
          </cell>
          <cell r="R480">
            <v>3.1</v>
          </cell>
          <cell r="S480">
            <v>92.3</v>
          </cell>
          <cell r="U480" t="str">
            <v>ОВП</v>
          </cell>
          <cell r="W480" t="str">
            <v>ВЦ. ГИС-2. ОВП (МЕТКА). ГИС-2</v>
          </cell>
          <cell r="X480" t="str">
            <v>Электропрогрев выполнен</v>
          </cell>
        </row>
        <row r="481">
          <cell r="B481">
            <v>5309</v>
          </cell>
          <cell r="C481">
            <v>140</v>
          </cell>
          <cell r="F481" t="str">
            <v>УПНПиКРС</v>
          </cell>
          <cell r="G481">
            <v>275</v>
          </cell>
          <cell r="H481" t="str">
            <v>ШГН</v>
          </cell>
          <cell r="I481" t="str">
            <v>бд</v>
          </cell>
          <cell r="J481">
            <v>35443</v>
          </cell>
          <cell r="K481">
            <v>1.5</v>
          </cell>
          <cell r="L481">
            <v>0.9</v>
          </cell>
          <cell r="M481">
            <v>26.5</v>
          </cell>
          <cell r="N481">
            <v>8</v>
          </cell>
          <cell r="O481">
            <v>5</v>
          </cell>
          <cell r="P481">
            <v>24</v>
          </cell>
          <cell r="Q481">
            <v>8</v>
          </cell>
          <cell r="R481">
            <v>5</v>
          </cell>
          <cell r="S481">
            <v>22.8</v>
          </cell>
          <cell r="T481">
            <v>7</v>
          </cell>
          <cell r="U481" t="str">
            <v>ОПЗ</v>
          </cell>
          <cell r="W481" t="str">
            <v>ВЦ. ГИС-2. ИР ЮК-11. ПП. ОПЗ КСПЭО</v>
          </cell>
          <cell r="X481" t="str">
            <v>Почему не обводнен ЮК-11?</v>
          </cell>
        </row>
        <row r="482">
          <cell r="B482">
            <v>5313</v>
          </cell>
          <cell r="C482">
            <v>141</v>
          </cell>
          <cell r="F482" t="str">
            <v>УПНПиКРС</v>
          </cell>
          <cell r="G482">
            <v>270</v>
          </cell>
          <cell r="H482" t="str">
            <v>ЭЦН</v>
          </cell>
          <cell r="I482" t="str">
            <v>бд</v>
          </cell>
          <cell r="N482">
            <v>50</v>
          </cell>
          <cell r="O482">
            <v>20.399999999999999</v>
          </cell>
          <cell r="P482">
            <v>50</v>
          </cell>
          <cell r="Q482">
            <v>50</v>
          </cell>
          <cell r="R482">
            <v>20.399999999999999</v>
          </cell>
          <cell r="S482">
            <v>49.6</v>
          </cell>
          <cell r="U482" t="str">
            <v>збс</v>
          </cell>
          <cell r="W482" t="str">
            <v>ПР ЗБС,ЗБС</v>
          </cell>
        </row>
        <row r="483">
          <cell r="B483">
            <v>5318</v>
          </cell>
          <cell r="C483">
            <v>134</v>
          </cell>
          <cell r="G483">
            <v>232.4</v>
          </cell>
          <cell r="H483" t="str">
            <v>нагнет.</v>
          </cell>
          <cell r="I483" t="str">
            <v>бд</v>
          </cell>
          <cell r="N483">
            <v>300</v>
          </cell>
          <cell r="Q483">
            <v>300</v>
          </cell>
          <cell r="R483">
            <v>0</v>
          </cell>
          <cell r="U483" t="str">
            <v>нг</v>
          </cell>
          <cell r="W483" t="str">
            <v>Спуск и привязка пакера, Запуск в ППД</v>
          </cell>
          <cell r="X483" t="str">
            <v>Уменьшить штуцер через 3 мес.</v>
          </cell>
        </row>
        <row r="484">
          <cell r="B484">
            <v>5331</v>
          </cell>
          <cell r="C484">
            <v>139</v>
          </cell>
          <cell r="H484" t="str">
            <v>ШГН</v>
          </cell>
          <cell r="I484" t="str">
            <v>действ.</v>
          </cell>
          <cell r="K484">
            <v>13</v>
          </cell>
          <cell r="L484">
            <v>9.9</v>
          </cell>
          <cell r="M484">
            <v>7</v>
          </cell>
          <cell r="N484">
            <v>30</v>
          </cell>
          <cell r="O484">
            <v>19</v>
          </cell>
          <cell r="P484">
            <v>22.2</v>
          </cell>
          <cell r="Q484">
            <v>17</v>
          </cell>
          <cell r="R484">
            <v>9.1</v>
          </cell>
          <cell r="S484">
            <v>33.9</v>
          </cell>
          <cell r="U484" t="str">
            <v>ГРП</v>
          </cell>
          <cell r="W484" t="str">
            <v>ГРП</v>
          </cell>
        </row>
        <row r="485">
          <cell r="B485">
            <v>5333</v>
          </cell>
          <cell r="C485">
            <v>139</v>
          </cell>
          <cell r="H485" t="str">
            <v>ШГН</v>
          </cell>
          <cell r="I485" t="str">
            <v>бд</v>
          </cell>
          <cell r="J485">
            <v>37119</v>
          </cell>
          <cell r="K485">
            <v>1</v>
          </cell>
          <cell r="L485">
            <v>0.7</v>
          </cell>
          <cell r="M485">
            <v>10</v>
          </cell>
          <cell r="N485">
            <v>30</v>
          </cell>
          <cell r="O485">
            <v>13</v>
          </cell>
          <cell r="P485">
            <v>47</v>
          </cell>
          <cell r="Q485">
            <v>30</v>
          </cell>
          <cell r="R485">
            <v>13</v>
          </cell>
          <cell r="S485">
            <v>46.5</v>
          </cell>
          <cell r="U485" t="str">
            <v>ГРП</v>
          </cell>
          <cell r="W485" t="str">
            <v>ГРП</v>
          </cell>
        </row>
        <row r="486">
          <cell r="B486">
            <v>5335</v>
          </cell>
          <cell r="C486">
            <v>140</v>
          </cell>
          <cell r="F486" t="str">
            <v>УПНПиКРС</v>
          </cell>
          <cell r="G486">
            <v>270</v>
          </cell>
          <cell r="H486" t="str">
            <v>ШГН</v>
          </cell>
          <cell r="I486" t="str">
            <v>конс.</v>
          </cell>
          <cell r="J486">
            <v>34943</v>
          </cell>
          <cell r="K486">
            <v>5</v>
          </cell>
          <cell r="L486">
            <v>2.4</v>
          </cell>
          <cell r="M486">
            <v>40</v>
          </cell>
          <cell r="N486">
            <v>18</v>
          </cell>
          <cell r="O486">
            <v>5</v>
          </cell>
          <cell r="P486">
            <v>66</v>
          </cell>
          <cell r="Q486">
            <v>18</v>
          </cell>
          <cell r="R486">
            <v>5</v>
          </cell>
          <cell r="S486">
            <v>65.7</v>
          </cell>
          <cell r="T486">
            <v>7</v>
          </cell>
          <cell r="U486" t="str">
            <v>ОПЗ</v>
          </cell>
          <cell r="W486" t="str">
            <v>ВЗ. ГИС. ПП ЮК11. УГИС</v>
          </cell>
          <cell r="X486" t="str">
            <v>Проверить циркуляцию</v>
          </cell>
        </row>
        <row r="487">
          <cell r="B487">
            <v>5338</v>
          </cell>
          <cell r="C487">
            <v>141</v>
          </cell>
          <cell r="F487" t="str">
            <v>УПНПиКРС</v>
          </cell>
          <cell r="G487">
            <v>281</v>
          </cell>
          <cell r="H487" t="str">
            <v>нагнет.</v>
          </cell>
          <cell r="I487" t="str">
            <v>бд</v>
          </cell>
          <cell r="J487">
            <v>36711</v>
          </cell>
          <cell r="N487">
            <v>100</v>
          </cell>
          <cell r="Q487">
            <v>100</v>
          </cell>
          <cell r="T487">
            <v>3</v>
          </cell>
          <cell r="U487" t="str">
            <v>нг</v>
          </cell>
          <cell r="W487" t="str">
            <v>Ревизия и привязка пакера</v>
          </cell>
        </row>
        <row r="488">
          <cell r="B488">
            <v>5339</v>
          </cell>
          <cell r="C488">
            <v>141</v>
          </cell>
          <cell r="F488" t="str">
            <v>УПНПиКРС</v>
          </cell>
          <cell r="G488">
            <v>265</v>
          </cell>
          <cell r="H488" t="str">
            <v>ШГН</v>
          </cell>
          <cell r="I488" t="str">
            <v>бд</v>
          </cell>
          <cell r="J488">
            <v>36126</v>
          </cell>
          <cell r="K488">
            <v>9</v>
          </cell>
          <cell r="L488">
            <v>4</v>
          </cell>
          <cell r="M488">
            <v>45</v>
          </cell>
          <cell r="N488">
            <v>8</v>
          </cell>
          <cell r="O488">
            <v>4.5</v>
          </cell>
          <cell r="P488">
            <v>31</v>
          </cell>
          <cell r="Q488">
            <v>8</v>
          </cell>
          <cell r="R488">
            <v>4.5</v>
          </cell>
          <cell r="S488">
            <v>30.6</v>
          </cell>
          <cell r="T488">
            <v>7</v>
          </cell>
          <cell r="U488" t="str">
            <v>ОПЗ</v>
          </cell>
          <cell r="W488" t="str">
            <v>ВЦ. ИР ЮК11. ОПЗ КСПЭО. ГДИ</v>
          </cell>
        </row>
        <row r="489">
          <cell r="B489">
            <v>5362</v>
          </cell>
          <cell r="C489">
            <v>109</v>
          </cell>
          <cell r="F489" t="str">
            <v>УПНПиКРС</v>
          </cell>
          <cell r="G489">
            <v>275</v>
          </cell>
          <cell r="H489" t="str">
            <v>ШГН</v>
          </cell>
          <cell r="I489" t="str">
            <v>конс.</v>
          </cell>
          <cell r="K489">
            <v>9</v>
          </cell>
          <cell r="L489">
            <v>0.3</v>
          </cell>
          <cell r="M489">
            <v>96</v>
          </cell>
          <cell r="N489">
            <v>30</v>
          </cell>
          <cell r="O489">
            <v>5</v>
          </cell>
          <cell r="P489">
            <v>79.5</v>
          </cell>
          <cell r="Q489">
            <v>30</v>
          </cell>
          <cell r="R489">
            <v>5</v>
          </cell>
          <cell r="S489">
            <v>79.400000000000006</v>
          </cell>
          <cell r="T489">
            <v>37837</v>
          </cell>
          <cell r="U489" t="str">
            <v>ОВП</v>
          </cell>
          <cell r="W489" t="str">
            <v>ИРЮК11. ГИС-2. ПП (УГИС)</v>
          </cell>
        </row>
        <row r="490">
          <cell r="B490">
            <v>5364</v>
          </cell>
          <cell r="C490">
            <v>109</v>
          </cell>
          <cell r="F490" t="str">
            <v>УПНПиКРС</v>
          </cell>
          <cell r="G490">
            <v>275</v>
          </cell>
          <cell r="H490" t="str">
            <v>ШГН</v>
          </cell>
          <cell r="I490" t="str">
            <v>действ.</v>
          </cell>
          <cell r="J490">
            <v>0</v>
          </cell>
          <cell r="K490">
            <v>3</v>
          </cell>
          <cell r="L490">
            <v>2.1</v>
          </cell>
          <cell r="M490">
            <v>15</v>
          </cell>
          <cell r="N490">
            <v>12</v>
          </cell>
          <cell r="O490">
            <v>6.8</v>
          </cell>
          <cell r="P490">
            <v>30</v>
          </cell>
          <cell r="Q490">
            <v>9</v>
          </cell>
          <cell r="R490">
            <v>4.6999999999999993</v>
          </cell>
          <cell r="S490">
            <v>35.5</v>
          </cell>
          <cell r="T490">
            <v>7</v>
          </cell>
          <cell r="U490" t="str">
            <v>ОПЗ</v>
          </cell>
          <cell r="W490" t="str">
            <v>ГИС-2. ИР ЮК-11. ПП. ОПЗ КСПЭО. УГИС</v>
          </cell>
        </row>
        <row r="491">
          <cell r="B491">
            <v>5371</v>
          </cell>
          <cell r="C491">
            <v>102</v>
          </cell>
          <cell r="F491" t="str">
            <v>ЗАО "УПКРС"</v>
          </cell>
          <cell r="G491">
            <v>250</v>
          </cell>
          <cell r="H491" t="str">
            <v>нагнет.</v>
          </cell>
          <cell r="I491" t="str">
            <v>бд</v>
          </cell>
          <cell r="J491">
            <v>35779</v>
          </cell>
          <cell r="N491">
            <v>120</v>
          </cell>
          <cell r="Q491">
            <v>120</v>
          </cell>
          <cell r="R491">
            <v>0</v>
          </cell>
          <cell r="T491">
            <v>3</v>
          </cell>
          <cell r="U491" t="str">
            <v>нг</v>
          </cell>
          <cell r="V491">
            <v>4</v>
          </cell>
          <cell r="W491" t="str">
            <v>ОТСК. Запуск ППД</v>
          </cell>
        </row>
        <row r="492">
          <cell r="B492">
            <v>5372</v>
          </cell>
          <cell r="C492">
            <v>102</v>
          </cell>
          <cell r="F492" t="str">
            <v>ЗАО "УПКРС"</v>
          </cell>
          <cell r="G492">
            <v>250</v>
          </cell>
          <cell r="H492" t="str">
            <v>нагнет.</v>
          </cell>
          <cell r="I492" t="str">
            <v>конс.</v>
          </cell>
          <cell r="J492">
            <v>32843</v>
          </cell>
          <cell r="N492">
            <v>120</v>
          </cell>
          <cell r="Q492">
            <v>120</v>
          </cell>
          <cell r="R492">
            <v>0</v>
          </cell>
          <cell r="T492">
            <v>8</v>
          </cell>
          <cell r="U492" t="str">
            <v>нг</v>
          </cell>
          <cell r="W492" t="str">
            <v>ЛА (извлечение НКТ). ОТСК. Запуск ППД</v>
          </cell>
          <cell r="X492" t="str">
            <v>Забой - 120 м</v>
          </cell>
        </row>
        <row r="493">
          <cell r="B493">
            <v>5373</v>
          </cell>
          <cell r="C493">
            <v>103</v>
          </cell>
          <cell r="F493" t="str">
            <v>ЗАО "УПКРС"</v>
          </cell>
          <cell r="G493">
            <v>233</v>
          </cell>
          <cell r="H493" t="str">
            <v>нагнет.</v>
          </cell>
          <cell r="I493" t="str">
            <v>конс.</v>
          </cell>
          <cell r="J493">
            <v>34474</v>
          </cell>
          <cell r="N493">
            <v>120</v>
          </cell>
          <cell r="Q493">
            <v>120</v>
          </cell>
          <cell r="R493">
            <v>0</v>
          </cell>
          <cell r="T493">
            <v>3</v>
          </cell>
          <cell r="U493" t="str">
            <v>нг</v>
          </cell>
          <cell r="W493" t="str">
            <v>ОТСК. ГИС-3. Ликвидация ЗКЦ?</v>
          </cell>
        </row>
        <row r="494">
          <cell r="B494">
            <v>5374</v>
          </cell>
          <cell r="C494">
            <v>103</v>
          </cell>
          <cell r="F494" t="str">
            <v>ЗАО "УПКРС"</v>
          </cell>
          <cell r="G494">
            <v>234</v>
          </cell>
          <cell r="H494" t="str">
            <v>нагнет.</v>
          </cell>
          <cell r="I494" t="str">
            <v>бд</v>
          </cell>
          <cell r="J494">
            <v>34474</v>
          </cell>
          <cell r="N494">
            <v>120</v>
          </cell>
          <cell r="Q494">
            <v>120</v>
          </cell>
          <cell r="R494">
            <v>0</v>
          </cell>
          <cell r="T494">
            <v>3</v>
          </cell>
          <cell r="U494" t="str">
            <v>нг</v>
          </cell>
          <cell r="W494" t="str">
            <v>ВЗ. ОТСК</v>
          </cell>
        </row>
        <row r="495">
          <cell r="B495">
            <v>5389</v>
          </cell>
          <cell r="C495">
            <v>109</v>
          </cell>
          <cell r="F495" t="str">
            <v>УПНПиКРС</v>
          </cell>
          <cell r="G495">
            <v>280</v>
          </cell>
          <cell r="H495" t="str">
            <v>нагнет.</v>
          </cell>
          <cell r="I495" t="str">
            <v>бд</v>
          </cell>
          <cell r="J495">
            <v>36458</v>
          </cell>
          <cell r="N495">
            <v>100</v>
          </cell>
          <cell r="Q495">
            <v>100</v>
          </cell>
          <cell r="T495">
            <v>3</v>
          </cell>
          <cell r="U495" t="str">
            <v>нг</v>
          </cell>
          <cell r="W495" t="str">
            <v xml:space="preserve">ОПЗ </v>
          </cell>
          <cell r="X495" t="str">
            <v>Закачка от КНС-1</v>
          </cell>
        </row>
        <row r="496">
          <cell r="B496">
            <v>5391</v>
          </cell>
          <cell r="C496">
            <v>109</v>
          </cell>
          <cell r="F496" t="str">
            <v>УПНПиКРС</v>
          </cell>
          <cell r="G496">
            <v>285</v>
          </cell>
          <cell r="H496" t="str">
            <v>нагнет.</v>
          </cell>
          <cell r="I496" t="str">
            <v>бд</v>
          </cell>
          <cell r="J496">
            <v>34426</v>
          </cell>
          <cell r="N496">
            <v>100</v>
          </cell>
          <cell r="Q496">
            <v>100</v>
          </cell>
          <cell r="T496">
            <v>3</v>
          </cell>
          <cell r="U496" t="str">
            <v>нг</v>
          </cell>
          <cell r="W496" t="str">
            <v>ИР ЮК-11. ОПЗ. Пуск под закачку</v>
          </cell>
          <cell r="X496" t="str">
            <v>Закачка от КНС-1</v>
          </cell>
        </row>
        <row r="497">
          <cell r="B497">
            <v>5394</v>
          </cell>
          <cell r="C497">
            <v>101</v>
          </cell>
          <cell r="F497" t="str">
            <v>УПНПиКРС</v>
          </cell>
          <cell r="G497">
            <v>250</v>
          </cell>
          <cell r="H497" t="str">
            <v>фон</v>
          </cell>
          <cell r="I497" t="str">
            <v>бд</v>
          </cell>
          <cell r="J497">
            <v>34881</v>
          </cell>
          <cell r="K497">
            <v>5</v>
          </cell>
          <cell r="L497">
            <v>4.0999999999999996</v>
          </cell>
          <cell r="M497">
            <v>0</v>
          </cell>
          <cell r="N497">
            <v>7</v>
          </cell>
          <cell r="O497">
            <v>4</v>
          </cell>
          <cell r="P497">
            <v>30</v>
          </cell>
          <cell r="Q497">
            <v>7</v>
          </cell>
          <cell r="R497">
            <v>4</v>
          </cell>
          <cell r="S497">
            <v>29.5</v>
          </cell>
          <cell r="U497" t="str">
            <v>ОПЗ</v>
          </cell>
          <cell r="W497" t="str">
            <v>ЛА. ПП. ОПЗ КСПЭО. ГДИ</v>
          </cell>
        </row>
        <row r="498">
          <cell r="B498">
            <v>5415</v>
          </cell>
          <cell r="C498">
            <v>109</v>
          </cell>
          <cell r="F498" t="str">
            <v>УПНПиКРС</v>
          </cell>
          <cell r="G498">
            <v>275</v>
          </cell>
          <cell r="H498" t="str">
            <v>ЭЦН</v>
          </cell>
          <cell r="I498" t="str">
            <v>конс.</v>
          </cell>
          <cell r="J498">
            <v>32964</v>
          </cell>
          <cell r="K498">
            <v>30</v>
          </cell>
          <cell r="L498">
            <v>4.9000000000000004</v>
          </cell>
          <cell r="M498">
            <v>80</v>
          </cell>
          <cell r="N498">
            <v>50</v>
          </cell>
          <cell r="O498">
            <v>6</v>
          </cell>
          <cell r="P498">
            <v>85.3</v>
          </cell>
          <cell r="Q498">
            <v>50</v>
          </cell>
          <cell r="R498">
            <v>6</v>
          </cell>
          <cell r="S498">
            <v>85.2</v>
          </cell>
          <cell r="T498">
            <v>7</v>
          </cell>
          <cell r="U498" t="str">
            <v>ВЦ</v>
          </cell>
          <cell r="W498" t="str">
            <v>ВЦ. ВЗ. УГИС</v>
          </cell>
        </row>
        <row r="500">
          <cell r="B500">
            <v>5423</v>
          </cell>
          <cell r="C500">
            <v>101</v>
          </cell>
          <cell r="H500" t="str">
            <v>ФОН</v>
          </cell>
          <cell r="I500" t="str">
            <v>бд</v>
          </cell>
          <cell r="J500">
            <v>33605</v>
          </cell>
          <cell r="N500">
            <v>20</v>
          </cell>
          <cell r="O500">
            <v>8.1999999999999993</v>
          </cell>
          <cell r="P500">
            <v>50</v>
          </cell>
          <cell r="Q500">
            <v>20</v>
          </cell>
          <cell r="R500">
            <v>8.1999999999999993</v>
          </cell>
          <cell r="S500">
            <v>49.4</v>
          </cell>
          <cell r="U500" t="str">
            <v>ГРП</v>
          </cell>
          <cell r="W500" t="str">
            <v>ИР ЮК-10, ПР и ГРП ЮК-2</v>
          </cell>
        </row>
        <row r="501">
          <cell r="B501">
            <v>5428</v>
          </cell>
          <cell r="C501">
            <v>103</v>
          </cell>
          <cell r="H501" t="str">
            <v>ШГН</v>
          </cell>
          <cell r="I501" t="str">
            <v>конс.</v>
          </cell>
          <cell r="J501">
            <v>32843</v>
          </cell>
          <cell r="Q501">
            <v>0</v>
          </cell>
          <cell r="R501">
            <v>0</v>
          </cell>
          <cell r="U501" t="str">
            <v>ГРП</v>
          </cell>
          <cell r="W501" t="str">
            <v>ВЦ, ГИС-2(ОТСК), ИР ЮК-10, ПР к ГРП и ГРП</v>
          </cell>
        </row>
        <row r="502">
          <cell r="B502">
            <v>5440</v>
          </cell>
          <cell r="C502">
            <v>108</v>
          </cell>
          <cell r="H502" t="str">
            <v>ЭЦН</v>
          </cell>
          <cell r="I502" t="str">
            <v>бд</v>
          </cell>
          <cell r="J502">
            <v>34365</v>
          </cell>
          <cell r="N502">
            <v>30</v>
          </cell>
          <cell r="O502">
            <v>10</v>
          </cell>
          <cell r="P502">
            <v>59</v>
          </cell>
          <cell r="Q502">
            <v>30</v>
          </cell>
          <cell r="R502">
            <v>10</v>
          </cell>
          <cell r="S502">
            <v>58.8</v>
          </cell>
          <cell r="U502" t="str">
            <v>ГРП</v>
          </cell>
          <cell r="W502" t="str">
            <v xml:space="preserve"> ВЦ ИР ЮК-11,ГРП</v>
          </cell>
        </row>
        <row r="504">
          <cell r="B504">
            <v>5443</v>
          </cell>
          <cell r="C504">
            <v>108</v>
          </cell>
          <cell r="H504" t="str">
            <v>ШГН</v>
          </cell>
          <cell r="I504" t="str">
            <v>бд</v>
          </cell>
          <cell r="J504">
            <v>35097</v>
          </cell>
          <cell r="N504">
            <v>30</v>
          </cell>
          <cell r="O504">
            <v>10</v>
          </cell>
          <cell r="P504">
            <v>59</v>
          </cell>
          <cell r="Q504">
            <v>30</v>
          </cell>
          <cell r="R504">
            <v>10</v>
          </cell>
          <cell r="S504">
            <v>58.8</v>
          </cell>
          <cell r="U504" t="str">
            <v>ГРП</v>
          </cell>
          <cell r="W504" t="str">
            <v>ВЦ, ВЗ, ИР ЮК-11, ГРП</v>
          </cell>
        </row>
        <row r="505">
          <cell r="B505">
            <v>5444</v>
          </cell>
          <cell r="C505">
            <v>109</v>
          </cell>
          <cell r="F505" t="str">
            <v>ЗАО "УПКРС"</v>
          </cell>
          <cell r="G505">
            <v>270</v>
          </cell>
          <cell r="H505" t="str">
            <v>ЭЦН</v>
          </cell>
          <cell r="I505" t="str">
            <v>бд</v>
          </cell>
          <cell r="J505">
            <v>33784</v>
          </cell>
          <cell r="N505">
            <v>15</v>
          </cell>
          <cell r="O505">
            <v>6</v>
          </cell>
          <cell r="P505">
            <v>51</v>
          </cell>
          <cell r="Q505">
            <v>15</v>
          </cell>
          <cell r="R505">
            <v>6</v>
          </cell>
          <cell r="S505">
            <v>50.6</v>
          </cell>
          <cell r="T505">
            <v>37410</v>
          </cell>
          <cell r="U505" t="str">
            <v>ОПЗ</v>
          </cell>
          <cell r="W505" t="str">
            <v>ВЗ. ИР ЮК11. ГИС-2. ПП ЮК10. ОПЗ</v>
          </cell>
        </row>
        <row r="506">
          <cell r="B506">
            <v>5451</v>
          </cell>
          <cell r="C506">
            <v>101</v>
          </cell>
          <cell r="F506" t="str">
            <v>УПНПиКРС</v>
          </cell>
          <cell r="G506">
            <v>250</v>
          </cell>
          <cell r="H506" t="str">
            <v>ШГН</v>
          </cell>
          <cell r="I506" t="str">
            <v>бд</v>
          </cell>
          <cell r="J506">
            <v>35648</v>
          </cell>
          <cell r="N506">
            <v>21</v>
          </cell>
          <cell r="O506">
            <v>5.0999999999999996</v>
          </cell>
          <cell r="P506">
            <v>70</v>
          </cell>
          <cell r="Q506">
            <v>21</v>
          </cell>
          <cell r="R506">
            <v>5.0999999999999996</v>
          </cell>
          <cell r="S506">
            <v>70</v>
          </cell>
          <cell r="U506" t="str">
            <v>ОПЗ</v>
          </cell>
          <cell r="W506" t="str">
            <v>ВЦ,ВЗ ДП УГИС. ОПЗ НТПН. ГДИ</v>
          </cell>
          <cell r="X506" t="str">
            <v>Необходима СК</v>
          </cell>
        </row>
        <row r="507">
          <cell r="B507">
            <v>5454</v>
          </cell>
          <cell r="C507">
            <v>102</v>
          </cell>
          <cell r="F507" t="str">
            <v>УПНПиКРС</v>
          </cell>
          <cell r="G507">
            <v>250</v>
          </cell>
          <cell r="H507" t="str">
            <v>ЭЦН</v>
          </cell>
          <cell r="I507" t="str">
            <v>конс.</v>
          </cell>
          <cell r="K507">
            <v>17</v>
          </cell>
          <cell r="L507">
            <v>0.1</v>
          </cell>
          <cell r="M507">
            <v>99</v>
          </cell>
          <cell r="N507">
            <v>30</v>
          </cell>
          <cell r="O507">
            <v>2</v>
          </cell>
          <cell r="P507">
            <v>91.8</v>
          </cell>
          <cell r="Q507">
            <v>30</v>
          </cell>
          <cell r="R507">
            <v>2</v>
          </cell>
          <cell r="S507">
            <v>91.8</v>
          </cell>
          <cell r="U507" t="str">
            <v>ОПЗ</v>
          </cell>
          <cell r="W507" t="str">
            <v>ВЦ. ГИС-2. Освоение УГИС</v>
          </cell>
          <cell r="X507" t="str">
            <v>в НКТ - на 170 м металл</v>
          </cell>
        </row>
        <row r="508">
          <cell r="B508">
            <v>5455</v>
          </cell>
          <cell r="C508">
            <v>102</v>
          </cell>
          <cell r="G508">
            <v>240</v>
          </cell>
          <cell r="H508" t="str">
            <v>ШГН</v>
          </cell>
          <cell r="I508" t="str">
            <v>конс.</v>
          </cell>
          <cell r="J508">
            <v>32843</v>
          </cell>
          <cell r="K508">
            <v>7</v>
          </cell>
          <cell r="L508">
            <v>5</v>
          </cell>
          <cell r="M508">
            <v>12</v>
          </cell>
          <cell r="N508">
            <v>18</v>
          </cell>
          <cell r="O508">
            <v>10</v>
          </cell>
          <cell r="P508">
            <v>31.5</v>
          </cell>
          <cell r="Q508">
            <v>18</v>
          </cell>
          <cell r="R508">
            <v>10</v>
          </cell>
          <cell r="S508">
            <v>31.4</v>
          </cell>
          <cell r="W508" t="str">
            <v>ВЦ. ИР ЮК-10. ГДИ. ПП ДН. ГРП ЮК 2-3</v>
          </cell>
        </row>
        <row r="509">
          <cell r="B509">
            <v>5460</v>
          </cell>
          <cell r="C509">
            <v>104</v>
          </cell>
          <cell r="G509">
            <v>275</v>
          </cell>
          <cell r="H509" t="str">
            <v>ЭЦН</v>
          </cell>
          <cell r="I509" t="str">
            <v>бд</v>
          </cell>
          <cell r="J509">
            <v>34138</v>
          </cell>
          <cell r="K509">
            <v>28</v>
          </cell>
          <cell r="L509">
            <v>5.9</v>
          </cell>
          <cell r="M509">
            <v>74</v>
          </cell>
          <cell r="N509">
            <v>10</v>
          </cell>
          <cell r="O509">
            <v>0.5</v>
          </cell>
          <cell r="P509">
            <v>94</v>
          </cell>
          <cell r="Q509">
            <v>10</v>
          </cell>
          <cell r="R509">
            <v>0.5</v>
          </cell>
          <cell r="S509">
            <v>93.8</v>
          </cell>
          <cell r="U509" t="str">
            <v>ОВП</v>
          </cell>
          <cell r="W509" t="str">
            <v>ВЦ. ОТСК. Ликв.грифона. ГИС-2. ОВП. ГИС-2</v>
          </cell>
          <cell r="X509" t="str">
            <v>ВЦ субподрядом. МЕТКА</v>
          </cell>
        </row>
        <row r="510">
          <cell r="B510">
            <v>5461</v>
          </cell>
          <cell r="C510">
            <v>104</v>
          </cell>
          <cell r="F510" t="str">
            <v>УПНПиКРС</v>
          </cell>
          <cell r="G510">
            <v>280</v>
          </cell>
          <cell r="H510" t="str">
            <v>ЭЦН</v>
          </cell>
          <cell r="I510" t="str">
            <v>конс.</v>
          </cell>
          <cell r="K510">
            <v>14</v>
          </cell>
          <cell r="L510">
            <v>0.6</v>
          </cell>
          <cell r="M510">
            <v>95</v>
          </cell>
          <cell r="N510">
            <v>50</v>
          </cell>
          <cell r="O510">
            <v>3.1</v>
          </cell>
          <cell r="P510">
            <v>92.5</v>
          </cell>
          <cell r="Q510">
            <v>50</v>
          </cell>
          <cell r="R510">
            <v>3.1</v>
          </cell>
          <cell r="S510">
            <v>92.3</v>
          </cell>
          <cell r="W510" t="str">
            <v>ВЦ. ВЗ. ГИС-2. Спуск ЭЦН</v>
          </cell>
          <cell r="X510" t="str">
            <v>ОВП по результатам эксплуатации</v>
          </cell>
        </row>
        <row r="511">
          <cell r="B511">
            <v>5473</v>
          </cell>
          <cell r="C511">
            <v>110</v>
          </cell>
          <cell r="H511" t="str">
            <v>ЭЦН</v>
          </cell>
          <cell r="I511" t="str">
            <v>конс.</v>
          </cell>
          <cell r="J511">
            <v>36014</v>
          </cell>
          <cell r="N511">
            <v>20</v>
          </cell>
          <cell r="O511">
            <v>10</v>
          </cell>
          <cell r="P511">
            <v>38.5</v>
          </cell>
          <cell r="Q511">
            <v>20</v>
          </cell>
          <cell r="R511">
            <v>10</v>
          </cell>
          <cell r="S511">
            <v>38.299999999999997</v>
          </cell>
          <cell r="U511" t="str">
            <v>ГРП</v>
          </cell>
          <cell r="W511" t="str">
            <v>ВЦ, ГИС, ИР ЮК-11, ГРП верх ЮК-10</v>
          </cell>
        </row>
        <row r="512">
          <cell r="B512">
            <v>5475</v>
          </cell>
          <cell r="C512">
            <v>110</v>
          </cell>
          <cell r="H512" t="str">
            <v>нагн</v>
          </cell>
          <cell r="I512" t="str">
            <v>конс.</v>
          </cell>
          <cell r="J512">
            <v>33603</v>
          </cell>
          <cell r="N512">
            <v>40</v>
          </cell>
          <cell r="O512">
            <v>16</v>
          </cell>
          <cell r="P512">
            <v>51</v>
          </cell>
          <cell r="Q512">
            <v>40</v>
          </cell>
          <cell r="R512">
            <v>16</v>
          </cell>
          <cell r="S512">
            <v>50.6</v>
          </cell>
          <cell r="U512" t="str">
            <v>ГРП</v>
          </cell>
          <cell r="W512" t="str">
            <v>ВЦ, ГИС, ГРП  ЮК-10( ЗБГС в напр.5474)</v>
          </cell>
        </row>
        <row r="513">
          <cell r="B513">
            <v>5482</v>
          </cell>
          <cell r="C513">
            <v>114</v>
          </cell>
          <cell r="F513" t="str">
            <v>УПНПиКРС</v>
          </cell>
          <cell r="G513">
            <v>216</v>
          </cell>
          <cell r="H513" t="str">
            <v>ШГН</v>
          </cell>
          <cell r="I513" t="str">
            <v>конс.</v>
          </cell>
          <cell r="L513">
            <v>0</v>
          </cell>
          <cell r="N513">
            <v>18</v>
          </cell>
          <cell r="O513">
            <v>10</v>
          </cell>
          <cell r="P513">
            <v>31.5</v>
          </cell>
          <cell r="Q513">
            <v>18</v>
          </cell>
          <cell r="R513">
            <v>10</v>
          </cell>
          <cell r="S513">
            <v>31.4</v>
          </cell>
          <cell r="U513" t="str">
            <v>ВВ</v>
          </cell>
          <cell r="W513" t="str">
            <v>ИР ЮК10. ДП(ДН), ГРП ЮК-2-6</v>
          </cell>
          <cell r="X513" t="str">
            <v>Отложена</v>
          </cell>
        </row>
        <row r="514">
          <cell r="B514">
            <v>5483</v>
          </cell>
          <cell r="C514">
            <v>115</v>
          </cell>
          <cell r="H514" t="str">
            <v>ЭЦН</v>
          </cell>
          <cell r="I514" t="str">
            <v>конс.</v>
          </cell>
          <cell r="J514">
            <v>34274</v>
          </cell>
          <cell r="N514">
            <v>20</v>
          </cell>
          <cell r="O514">
            <v>8.1999999999999993</v>
          </cell>
          <cell r="P514">
            <v>50</v>
          </cell>
          <cell r="Q514">
            <v>20</v>
          </cell>
          <cell r="R514">
            <v>8.1999999999999993</v>
          </cell>
          <cell r="S514">
            <v>49.4</v>
          </cell>
          <cell r="U514" t="str">
            <v>ГРП</v>
          </cell>
          <cell r="W514" t="str">
            <v>ВЦ, ГИС-2(ОТСК), ИР ЮК-10, ПР к ГРП и ГРП</v>
          </cell>
        </row>
        <row r="515">
          <cell r="B515">
            <v>5511</v>
          </cell>
          <cell r="C515">
            <v>114</v>
          </cell>
          <cell r="F515" t="str">
            <v>ЗАО "УПКРС"</v>
          </cell>
          <cell r="G515">
            <v>245</v>
          </cell>
          <cell r="H515" t="str">
            <v>ШГН</v>
          </cell>
          <cell r="I515" t="str">
            <v>действ.</v>
          </cell>
          <cell r="K515">
            <v>4</v>
          </cell>
          <cell r="L515">
            <v>1.7</v>
          </cell>
          <cell r="M515">
            <v>47</v>
          </cell>
          <cell r="N515">
            <v>10</v>
          </cell>
          <cell r="O515">
            <v>4.3</v>
          </cell>
          <cell r="P515">
            <v>47</v>
          </cell>
          <cell r="Q515">
            <v>6</v>
          </cell>
          <cell r="R515">
            <v>2.5999999999999996</v>
          </cell>
          <cell r="S515">
            <v>46.5</v>
          </cell>
          <cell r="U515" t="str">
            <v>ОПЗ</v>
          </cell>
          <cell r="W515" t="str">
            <v>УГИС. ОПЗ НТПН. ГДИ</v>
          </cell>
        </row>
        <row r="516">
          <cell r="B516">
            <v>5561</v>
          </cell>
          <cell r="C516">
            <v>119</v>
          </cell>
          <cell r="F516" t="str">
            <v>УПНПиКРС</v>
          </cell>
          <cell r="G516">
            <v>235</v>
          </cell>
          <cell r="H516" t="str">
            <v>ШГН</v>
          </cell>
          <cell r="I516" t="str">
            <v>бд</v>
          </cell>
          <cell r="J516">
            <v>37123</v>
          </cell>
          <cell r="K516">
            <v>8</v>
          </cell>
          <cell r="L516">
            <v>1.6</v>
          </cell>
          <cell r="M516">
            <v>75</v>
          </cell>
          <cell r="N516">
            <v>50</v>
          </cell>
          <cell r="O516">
            <v>8.1</v>
          </cell>
          <cell r="P516">
            <v>80</v>
          </cell>
          <cell r="Q516">
            <v>50</v>
          </cell>
          <cell r="R516">
            <v>8.1</v>
          </cell>
          <cell r="T516">
            <v>37277</v>
          </cell>
          <cell r="U516" t="str">
            <v>ОПЗ</v>
          </cell>
          <cell r="V516">
            <v>2</v>
          </cell>
          <cell r="W516" t="str">
            <v>ОПЗ КСПЭО. УГИС</v>
          </cell>
          <cell r="X516" t="str">
            <v>ЮК-10 перф-н многократно</v>
          </cell>
        </row>
        <row r="517">
          <cell r="B517">
            <v>5562</v>
          </cell>
          <cell r="C517">
            <v>119</v>
          </cell>
          <cell r="F517" t="str">
            <v>УПНПиКРС</v>
          </cell>
          <cell r="G517">
            <v>255</v>
          </cell>
          <cell r="H517" t="str">
            <v>ШГН</v>
          </cell>
          <cell r="I517" t="str">
            <v>бд</v>
          </cell>
          <cell r="J517">
            <v>36896</v>
          </cell>
          <cell r="K517">
            <v>14</v>
          </cell>
          <cell r="L517">
            <v>4.0999999999999996</v>
          </cell>
          <cell r="M517">
            <v>64</v>
          </cell>
          <cell r="N517">
            <v>16</v>
          </cell>
          <cell r="O517">
            <v>4</v>
          </cell>
          <cell r="P517">
            <v>69</v>
          </cell>
          <cell r="Q517">
            <v>16</v>
          </cell>
          <cell r="R517">
            <v>4</v>
          </cell>
          <cell r="S517">
            <v>69.099999999999994</v>
          </cell>
          <cell r="T517">
            <v>37342</v>
          </cell>
          <cell r="U517" t="str">
            <v>ОПЗ</v>
          </cell>
          <cell r="V517">
            <v>4</v>
          </cell>
          <cell r="W517" t="str">
            <v>ВЦ РИР ЮК-11 ПП. ОПЗ НТПН. ГДИ</v>
          </cell>
          <cell r="X517" t="str">
            <v>РИР 2770</v>
          </cell>
        </row>
        <row r="518">
          <cell r="B518">
            <v>5563</v>
          </cell>
          <cell r="C518">
            <v>119</v>
          </cell>
          <cell r="F518" t="str">
            <v>УПНПиКРС</v>
          </cell>
          <cell r="G518">
            <v>255</v>
          </cell>
          <cell r="H518" t="str">
            <v>ЭЦН</v>
          </cell>
          <cell r="I518" t="str">
            <v>бд</v>
          </cell>
          <cell r="J518">
            <v>36418</v>
          </cell>
          <cell r="K518">
            <v>40</v>
          </cell>
          <cell r="L518">
            <v>6.5</v>
          </cell>
          <cell r="M518">
            <v>80</v>
          </cell>
          <cell r="N518">
            <v>50</v>
          </cell>
          <cell r="O518">
            <v>8</v>
          </cell>
          <cell r="P518">
            <v>80.400000000000006</v>
          </cell>
          <cell r="Q518">
            <v>50</v>
          </cell>
          <cell r="R518">
            <v>8</v>
          </cell>
          <cell r="S518">
            <v>80.2</v>
          </cell>
          <cell r="T518">
            <v>37311</v>
          </cell>
          <cell r="U518" t="str">
            <v>ОПЗ</v>
          </cell>
          <cell r="V518">
            <v>3</v>
          </cell>
          <cell r="W518" t="str">
            <v>ЛА. ПП. УГИС</v>
          </cell>
        </row>
        <row r="519">
          <cell r="B519">
            <v>5578</v>
          </cell>
          <cell r="C519">
            <v>115</v>
          </cell>
          <cell r="F519" t="str">
            <v>УПНПиКРС</v>
          </cell>
          <cell r="G519">
            <v>245</v>
          </cell>
          <cell r="H519" t="str">
            <v>ЭЦН</v>
          </cell>
          <cell r="I519" t="str">
            <v>бд</v>
          </cell>
          <cell r="J519">
            <v>36473</v>
          </cell>
          <cell r="K519">
            <v>50</v>
          </cell>
          <cell r="L519">
            <v>0.4</v>
          </cell>
          <cell r="M519">
            <v>99</v>
          </cell>
          <cell r="N519">
            <v>50</v>
          </cell>
          <cell r="O519">
            <v>4</v>
          </cell>
          <cell r="P519">
            <v>90.2</v>
          </cell>
          <cell r="Q519">
            <v>50</v>
          </cell>
          <cell r="R519">
            <v>4</v>
          </cell>
          <cell r="S519">
            <v>90.1</v>
          </cell>
          <cell r="T519">
            <v>7</v>
          </cell>
          <cell r="U519" t="str">
            <v>ОПЗ</v>
          </cell>
          <cell r="W519" t="str">
            <v>ГИС-2. ПП ДН. УГИС</v>
          </cell>
        </row>
        <row r="520">
          <cell r="B520">
            <v>5579</v>
          </cell>
          <cell r="C520">
            <v>115</v>
          </cell>
          <cell r="F520" t="str">
            <v>УПНПиКРС</v>
          </cell>
          <cell r="G520">
            <v>245</v>
          </cell>
          <cell r="H520" t="str">
            <v>ЭЦН</v>
          </cell>
          <cell r="I520" t="str">
            <v>конс.</v>
          </cell>
          <cell r="J520">
            <v>34883</v>
          </cell>
          <cell r="K520">
            <v>46</v>
          </cell>
          <cell r="L520">
            <v>1.9</v>
          </cell>
          <cell r="M520">
            <v>95</v>
          </cell>
          <cell r="N520">
            <v>50</v>
          </cell>
          <cell r="O520">
            <v>4</v>
          </cell>
          <cell r="P520">
            <v>90.2</v>
          </cell>
          <cell r="Q520">
            <v>50</v>
          </cell>
          <cell r="R520">
            <v>4</v>
          </cell>
          <cell r="S520">
            <v>90.1</v>
          </cell>
          <cell r="T520">
            <v>7</v>
          </cell>
          <cell r="U520" t="str">
            <v>ВЦ</v>
          </cell>
          <cell r="W520" t="str">
            <v>ВЦ. ВЗ. ГИС-2. УГИС. ЭЦН</v>
          </cell>
          <cell r="X520" t="str">
            <v>нет СК и карточки?</v>
          </cell>
        </row>
        <row r="521">
          <cell r="B521">
            <v>5583</v>
          </cell>
          <cell r="C521">
            <v>116</v>
          </cell>
          <cell r="F521" t="str">
            <v>УПНПиКРС</v>
          </cell>
          <cell r="G521">
            <v>250</v>
          </cell>
          <cell r="H521" t="str">
            <v>ЭЦН</v>
          </cell>
          <cell r="I521" t="str">
            <v>конс.</v>
          </cell>
          <cell r="K521">
            <v>50</v>
          </cell>
          <cell r="L521">
            <v>1.6</v>
          </cell>
          <cell r="M521">
            <v>96</v>
          </cell>
          <cell r="N521">
            <v>30</v>
          </cell>
          <cell r="O521">
            <v>4</v>
          </cell>
          <cell r="P521">
            <v>83.5</v>
          </cell>
          <cell r="Q521">
            <v>30</v>
          </cell>
          <cell r="R521">
            <v>4</v>
          </cell>
          <cell r="S521">
            <v>83.5</v>
          </cell>
          <cell r="T521">
            <v>7</v>
          </cell>
          <cell r="U521" t="str">
            <v>ОПЗ</v>
          </cell>
          <cell r="W521" t="str">
            <v>ВЦ. ОПЗ КСПЭО. ГДИ</v>
          </cell>
        </row>
        <row r="522">
          <cell r="B522">
            <v>5613</v>
          </cell>
          <cell r="C522">
            <v>115</v>
          </cell>
          <cell r="F522" t="str">
            <v>УПНПиКРС</v>
          </cell>
          <cell r="G522">
            <v>240</v>
          </cell>
          <cell r="H522" t="str">
            <v>ЭЦН</v>
          </cell>
          <cell r="I522" t="str">
            <v>конс.</v>
          </cell>
          <cell r="J522">
            <v>34883</v>
          </cell>
          <cell r="K522">
            <v>52</v>
          </cell>
          <cell r="L522">
            <v>1.7</v>
          </cell>
          <cell r="M522">
            <v>96</v>
          </cell>
          <cell r="N522">
            <v>50</v>
          </cell>
          <cell r="O522">
            <v>4</v>
          </cell>
          <cell r="P522">
            <v>90.2</v>
          </cell>
          <cell r="Q522">
            <v>50</v>
          </cell>
          <cell r="R522">
            <v>4</v>
          </cell>
          <cell r="S522">
            <v>90.1</v>
          </cell>
          <cell r="T522">
            <v>37808</v>
          </cell>
          <cell r="U522" t="str">
            <v>ОВП</v>
          </cell>
          <cell r="W522" t="str">
            <v>ВЗ. ГИС-2 (ЗКЦ). ИР. ПП. ОПЗ</v>
          </cell>
          <cell r="X522" t="str">
            <v>Что на забое?</v>
          </cell>
        </row>
        <row r="523">
          <cell r="B523">
            <v>5642</v>
          </cell>
          <cell r="C523">
            <v>126</v>
          </cell>
          <cell r="F523" t="str">
            <v>УПНПиКРС</v>
          </cell>
          <cell r="G523">
            <v>230</v>
          </cell>
          <cell r="H523" t="str">
            <v>ШГН</v>
          </cell>
          <cell r="I523" t="str">
            <v>действ.</v>
          </cell>
          <cell r="K523">
            <v>7</v>
          </cell>
          <cell r="L523">
            <v>3.1</v>
          </cell>
          <cell r="M523">
            <v>45</v>
          </cell>
          <cell r="N523">
            <v>18</v>
          </cell>
          <cell r="O523">
            <v>10</v>
          </cell>
          <cell r="P523">
            <v>31.5</v>
          </cell>
          <cell r="Q523">
            <v>11</v>
          </cell>
          <cell r="R523">
            <v>6.9</v>
          </cell>
          <cell r="S523">
            <v>22.6</v>
          </cell>
          <cell r="U523" t="str">
            <v>ВВ</v>
          </cell>
          <cell r="W523" t="str">
            <v>ИР ЮК10-11, ДП(ДН), ГРП ЮК-4-5</v>
          </cell>
          <cell r="X523" t="str">
            <v>Целесообразность?</v>
          </cell>
        </row>
        <row r="524">
          <cell r="B524">
            <v>5642</v>
          </cell>
          <cell r="C524">
            <v>126</v>
          </cell>
          <cell r="F524" t="str">
            <v>УПНПиКРС</v>
          </cell>
          <cell r="G524">
            <v>230</v>
          </cell>
          <cell r="H524" t="str">
            <v>ШГН</v>
          </cell>
          <cell r="I524" t="str">
            <v>бд</v>
          </cell>
          <cell r="J524">
            <v>36997</v>
          </cell>
          <cell r="N524">
            <v>8</v>
          </cell>
          <cell r="O524">
            <v>4</v>
          </cell>
          <cell r="P524">
            <v>38</v>
          </cell>
          <cell r="Q524">
            <v>8</v>
          </cell>
          <cell r="R524">
            <v>4</v>
          </cell>
          <cell r="S524">
            <v>38.299999999999997</v>
          </cell>
          <cell r="T524">
            <v>37317</v>
          </cell>
          <cell r="U524" t="str">
            <v>ОПЗ</v>
          </cell>
          <cell r="W524" t="str">
            <v>ВЦ. ОПЗ НТПН. УГИС</v>
          </cell>
        </row>
        <row r="525">
          <cell r="B525">
            <v>5645</v>
          </cell>
          <cell r="C525">
            <v>126</v>
          </cell>
          <cell r="F525" t="str">
            <v>УПНПиКРС</v>
          </cell>
          <cell r="G525">
            <v>230</v>
          </cell>
          <cell r="H525" t="str">
            <v>ШГН</v>
          </cell>
          <cell r="I525" t="str">
            <v>конс.</v>
          </cell>
          <cell r="J525">
            <v>35435</v>
          </cell>
          <cell r="N525">
            <v>30</v>
          </cell>
          <cell r="O525">
            <v>5</v>
          </cell>
          <cell r="P525">
            <v>79.5</v>
          </cell>
          <cell r="Q525">
            <v>30</v>
          </cell>
          <cell r="R525">
            <v>5</v>
          </cell>
          <cell r="S525">
            <v>79.400000000000006</v>
          </cell>
          <cell r="T525">
            <v>11</v>
          </cell>
          <cell r="U525" t="str">
            <v>ОПЗ</v>
          </cell>
          <cell r="W525" t="str">
            <v>ВЦ. ПП (перфосреда). ЭЦН</v>
          </cell>
        </row>
        <row r="526">
          <cell r="B526">
            <v>5646</v>
          </cell>
          <cell r="C526">
            <v>125</v>
          </cell>
          <cell r="F526" t="str">
            <v>УПНПиКРС</v>
          </cell>
          <cell r="G526">
            <v>255</v>
          </cell>
          <cell r="H526" t="str">
            <v>ШГН</v>
          </cell>
          <cell r="I526" t="str">
            <v>бд</v>
          </cell>
          <cell r="J526">
            <v>36933</v>
          </cell>
          <cell r="K526">
            <v>6</v>
          </cell>
          <cell r="L526">
            <v>4.5999999999999996</v>
          </cell>
          <cell r="M526">
            <v>6</v>
          </cell>
          <cell r="N526">
            <v>8</v>
          </cell>
          <cell r="O526">
            <v>5</v>
          </cell>
          <cell r="P526">
            <v>24</v>
          </cell>
          <cell r="Q526">
            <v>8</v>
          </cell>
          <cell r="R526">
            <v>5</v>
          </cell>
          <cell r="S526">
            <v>22.8</v>
          </cell>
          <cell r="T526">
            <v>37347</v>
          </cell>
          <cell r="U526" t="str">
            <v>ОПЗ</v>
          </cell>
          <cell r="W526" t="str">
            <v>ВЦ. ПП (перфосреда). ОПЗ НТПН</v>
          </cell>
        </row>
        <row r="527">
          <cell r="B527">
            <v>5647</v>
          </cell>
          <cell r="C527">
            <v>125</v>
          </cell>
          <cell r="F527" t="str">
            <v>УПНПиКРС</v>
          </cell>
          <cell r="G527">
            <v>230</v>
          </cell>
          <cell r="H527" t="str">
            <v>ШГН</v>
          </cell>
          <cell r="I527" t="str">
            <v>бд</v>
          </cell>
          <cell r="N527">
            <v>12</v>
          </cell>
          <cell r="O527">
            <v>2.9</v>
          </cell>
          <cell r="P527">
            <v>70</v>
          </cell>
          <cell r="Q527">
            <v>12</v>
          </cell>
          <cell r="R527">
            <v>2.9</v>
          </cell>
          <cell r="S527">
            <v>70.2</v>
          </cell>
          <cell r="U527" t="str">
            <v>ОПЗ</v>
          </cell>
          <cell r="W527" t="str">
            <v>ВЦ. ПП (перфосреда) ОПЗ НТПН</v>
          </cell>
          <cell r="X527" t="str">
            <v>в эксп.не была</v>
          </cell>
        </row>
        <row r="528">
          <cell r="B528">
            <v>5704</v>
          </cell>
          <cell r="C528">
            <v>126</v>
          </cell>
          <cell r="F528" t="str">
            <v>УПНПиКРС</v>
          </cell>
          <cell r="G528">
            <v>230</v>
          </cell>
          <cell r="H528" t="str">
            <v>ШГН</v>
          </cell>
          <cell r="I528" t="str">
            <v>действ.</v>
          </cell>
          <cell r="K528">
            <v>3</v>
          </cell>
          <cell r="L528">
            <v>2.1</v>
          </cell>
          <cell r="M528">
            <v>16</v>
          </cell>
          <cell r="N528">
            <v>10</v>
          </cell>
          <cell r="O528">
            <v>6.6</v>
          </cell>
          <cell r="P528">
            <v>19</v>
          </cell>
          <cell r="Q528">
            <v>7</v>
          </cell>
          <cell r="R528">
            <v>4.5</v>
          </cell>
          <cell r="S528">
            <v>20.6</v>
          </cell>
          <cell r="T528" t="e">
            <v>#REF!</v>
          </cell>
          <cell r="U528" t="str">
            <v>ОПЗ</v>
          </cell>
          <cell r="W528" t="str">
            <v>ПП. ОПЗ КСПЭО. ГДИ</v>
          </cell>
          <cell r="X528" t="str">
            <v>Перестрел верха</v>
          </cell>
        </row>
        <row r="529">
          <cell r="B529">
            <v>5706</v>
          </cell>
          <cell r="C529">
            <v>125</v>
          </cell>
          <cell r="F529" t="str">
            <v>УПНПиКРС</v>
          </cell>
          <cell r="G529">
            <v>250</v>
          </cell>
          <cell r="H529" t="str">
            <v>ШГН</v>
          </cell>
          <cell r="K529">
            <v>1.5</v>
          </cell>
          <cell r="L529">
            <v>1.2</v>
          </cell>
          <cell r="M529">
            <v>0</v>
          </cell>
          <cell r="N529">
            <v>10</v>
          </cell>
          <cell r="O529">
            <v>4.5</v>
          </cell>
          <cell r="P529">
            <v>45</v>
          </cell>
          <cell r="Q529">
            <v>10</v>
          </cell>
          <cell r="R529">
            <v>4.5</v>
          </cell>
          <cell r="S529">
            <v>44.4</v>
          </cell>
          <cell r="T529">
            <v>37412</v>
          </cell>
          <cell r="U529" t="str">
            <v>ОПЗ</v>
          </cell>
          <cell r="W529" t="str">
            <v>ВЦ. УГИС (ПП)</v>
          </cell>
        </row>
        <row r="530">
          <cell r="B530">
            <v>5713</v>
          </cell>
          <cell r="C530">
            <v>127</v>
          </cell>
          <cell r="H530" t="str">
            <v>ЭЦН</v>
          </cell>
          <cell r="I530" t="str">
            <v>конс.</v>
          </cell>
          <cell r="J530">
            <v>35457</v>
          </cell>
          <cell r="N530">
            <v>50</v>
          </cell>
          <cell r="O530">
            <v>6.1</v>
          </cell>
          <cell r="P530">
            <v>85</v>
          </cell>
          <cell r="Q530">
            <v>50</v>
          </cell>
          <cell r="R530">
            <v>6.1</v>
          </cell>
          <cell r="S530">
            <v>84.9</v>
          </cell>
          <cell r="U530" t="str">
            <v>ОПЗ</v>
          </cell>
          <cell r="W530" t="str">
            <v>ВЦ, ОПЗ НТПН, УГИС</v>
          </cell>
        </row>
        <row r="531">
          <cell r="B531">
            <v>5742</v>
          </cell>
          <cell r="C531">
            <v>128</v>
          </cell>
          <cell r="F531" t="str">
            <v>ЗАО "УПКРС"</v>
          </cell>
          <cell r="G531">
            <v>265</v>
          </cell>
          <cell r="H531" t="str">
            <v>ЭЦН</v>
          </cell>
          <cell r="K531">
            <v>20</v>
          </cell>
          <cell r="L531">
            <v>1</v>
          </cell>
          <cell r="M531">
            <v>94</v>
          </cell>
          <cell r="N531">
            <v>30</v>
          </cell>
          <cell r="O531">
            <v>4</v>
          </cell>
          <cell r="P531">
            <v>83.5</v>
          </cell>
          <cell r="Q531">
            <v>30</v>
          </cell>
          <cell r="R531">
            <v>4</v>
          </cell>
          <cell r="S531">
            <v>83.5</v>
          </cell>
          <cell r="T531">
            <v>7</v>
          </cell>
          <cell r="U531" t="str">
            <v>ОВП</v>
          </cell>
          <cell r="W531" t="str">
            <v>ИР ЮК11. ГИС-2. ПП ЮК10 (УГИС)</v>
          </cell>
        </row>
        <row r="532">
          <cell r="B532">
            <v>5800</v>
          </cell>
          <cell r="C532">
            <v>141</v>
          </cell>
          <cell r="F532" t="str">
            <v>ЗАО "УПКРС"</v>
          </cell>
          <cell r="G532">
            <v>281</v>
          </cell>
          <cell r="H532" t="str">
            <v>нагнет.</v>
          </cell>
          <cell r="I532" t="str">
            <v>бд</v>
          </cell>
          <cell r="J532">
            <v>36641</v>
          </cell>
          <cell r="N532">
            <v>150</v>
          </cell>
          <cell r="Q532">
            <v>150</v>
          </cell>
          <cell r="T532">
            <v>8</v>
          </cell>
          <cell r="U532" t="str">
            <v>нг</v>
          </cell>
          <cell r="V532">
            <v>2</v>
          </cell>
          <cell r="W532" t="str">
            <v>Ревизия и привязка пакера, каверномер.</v>
          </cell>
        </row>
        <row r="533">
          <cell r="B533">
            <v>5807</v>
          </cell>
          <cell r="C533" t="str">
            <v>166б</v>
          </cell>
          <cell r="F533" t="str">
            <v>ЗАО "УПКРС"</v>
          </cell>
          <cell r="G533">
            <v>290</v>
          </cell>
          <cell r="H533" t="str">
            <v>нагнет.</v>
          </cell>
          <cell r="I533" t="str">
            <v>простой</v>
          </cell>
          <cell r="J533">
            <v>37166</v>
          </cell>
          <cell r="N533">
            <v>200</v>
          </cell>
          <cell r="Q533">
            <v>200</v>
          </cell>
          <cell r="T533">
            <v>11</v>
          </cell>
          <cell r="U533" t="str">
            <v>нг</v>
          </cell>
          <cell r="V533">
            <v>2</v>
          </cell>
          <cell r="W533" t="str">
            <v>Ревизия и привязка пакера, каверномер.</v>
          </cell>
        </row>
        <row r="534">
          <cell r="B534">
            <v>5808</v>
          </cell>
          <cell r="C534">
            <v>141</v>
          </cell>
          <cell r="F534" t="str">
            <v>УПНПиКРС</v>
          </cell>
          <cell r="G534">
            <v>260</v>
          </cell>
          <cell r="H534" t="str">
            <v>ШГН</v>
          </cell>
          <cell r="I534" t="str">
            <v>бд</v>
          </cell>
          <cell r="J534">
            <v>33755</v>
          </cell>
          <cell r="K534">
            <v>3</v>
          </cell>
          <cell r="L534">
            <v>2.1</v>
          </cell>
          <cell r="M534">
            <v>15</v>
          </cell>
          <cell r="N534">
            <v>24</v>
          </cell>
          <cell r="O534">
            <v>10.5</v>
          </cell>
          <cell r="P534">
            <v>46.5</v>
          </cell>
          <cell r="Q534">
            <v>24</v>
          </cell>
          <cell r="R534">
            <v>10.5</v>
          </cell>
          <cell r="S534">
            <v>46</v>
          </cell>
          <cell r="T534">
            <v>15</v>
          </cell>
          <cell r="U534" t="str">
            <v>ГРП</v>
          </cell>
          <cell r="W534" t="str">
            <v>ЛН. ПР ГРП. ГРП ЮК-10</v>
          </cell>
        </row>
        <row r="535">
          <cell r="B535">
            <v>5822</v>
          </cell>
          <cell r="C535">
            <v>141</v>
          </cell>
          <cell r="F535" t="str">
            <v>УПНПиКРС</v>
          </cell>
          <cell r="G535">
            <v>245</v>
          </cell>
          <cell r="H535" t="str">
            <v>ШГН</v>
          </cell>
          <cell r="I535" t="str">
            <v>бд</v>
          </cell>
          <cell r="J535">
            <v>36854</v>
          </cell>
          <cell r="K535">
            <v>12</v>
          </cell>
          <cell r="L535">
            <v>9.1</v>
          </cell>
          <cell r="M535">
            <v>7</v>
          </cell>
          <cell r="N535">
            <v>10</v>
          </cell>
          <cell r="O535">
            <v>7</v>
          </cell>
          <cell r="P535">
            <v>13.6</v>
          </cell>
          <cell r="Q535">
            <v>10</v>
          </cell>
          <cell r="R535">
            <v>7</v>
          </cell>
          <cell r="S535">
            <v>13.6</v>
          </cell>
          <cell r="T535">
            <v>15</v>
          </cell>
          <cell r="U535" t="str">
            <v>ОПЗ</v>
          </cell>
          <cell r="W535" t="str">
            <v>ВЦ. ПП. ОПЗ КСПЭО</v>
          </cell>
        </row>
        <row r="536">
          <cell r="B536" t="str">
            <v>2868б</v>
          </cell>
          <cell r="C536">
            <v>129</v>
          </cell>
          <cell r="F536" t="str">
            <v>ЗАО "УПКРС"</v>
          </cell>
          <cell r="G536">
            <v>255</v>
          </cell>
          <cell r="H536" t="str">
            <v>ШГН</v>
          </cell>
          <cell r="I536" t="str">
            <v>конс.</v>
          </cell>
          <cell r="J536">
            <v>34029</v>
          </cell>
          <cell r="N536">
            <v>35</v>
          </cell>
          <cell r="O536">
            <v>4</v>
          </cell>
          <cell r="P536">
            <v>86</v>
          </cell>
          <cell r="Q536">
            <v>35</v>
          </cell>
          <cell r="R536">
            <v>4</v>
          </cell>
          <cell r="S536">
            <v>85.9</v>
          </cell>
          <cell r="T536">
            <v>15</v>
          </cell>
          <cell r="U536" t="str">
            <v>ОПЗ</v>
          </cell>
          <cell r="V536">
            <v>3</v>
          </cell>
          <cell r="W536" t="str">
            <v>ВЦ. ГИС (гироскоп). ПП. ОПЗ(ГРП). УГИС</v>
          </cell>
        </row>
        <row r="537">
          <cell r="B537">
            <v>2614</v>
          </cell>
          <cell r="C537">
            <v>157</v>
          </cell>
          <cell r="D537">
            <v>11</v>
          </cell>
          <cell r="E537">
            <v>111</v>
          </cell>
          <cell r="F537" t="str">
            <v>УПНПиКРС</v>
          </cell>
          <cell r="G537">
            <v>230</v>
          </cell>
          <cell r="H537" t="str">
            <v>ШГН</v>
          </cell>
          <cell r="I537" t="str">
            <v>конс.</v>
          </cell>
          <cell r="J537">
            <v>33786</v>
          </cell>
          <cell r="N537">
            <v>30</v>
          </cell>
          <cell r="O537">
            <v>12</v>
          </cell>
          <cell r="P537">
            <v>51</v>
          </cell>
          <cell r="Q537">
            <v>30</v>
          </cell>
          <cell r="R537">
            <v>12</v>
          </cell>
          <cell r="S537">
            <v>50.6</v>
          </cell>
          <cell r="T537">
            <v>37363</v>
          </cell>
          <cell r="U537" t="str">
            <v>ГРП</v>
          </cell>
          <cell r="V537">
            <v>2</v>
          </cell>
          <cell r="W537" t="str">
            <v>ВЦ,ПП, ГРП</v>
          </cell>
        </row>
        <row r="538">
          <cell r="B538">
            <v>5575</v>
          </cell>
          <cell r="C538">
            <v>114</v>
          </cell>
          <cell r="D538">
            <v>1</v>
          </cell>
          <cell r="H538" t="str">
            <v>ШГН</v>
          </cell>
          <cell r="I538" t="str">
            <v>конс.</v>
          </cell>
          <cell r="J538">
            <v>35034</v>
          </cell>
          <cell r="K538">
            <v>1</v>
          </cell>
          <cell r="L538">
            <v>0</v>
          </cell>
          <cell r="M538">
            <v>99</v>
          </cell>
          <cell r="N538">
            <v>30</v>
          </cell>
          <cell r="O538">
            <v>12</v>
          </cell>
          <cell r="P538">
            <v>51</v>
          </cell>
          <cell r="Q538">
            <v>30</v>
          </cell>
          <cell r="R538">
            <v>12</v>
          </cell>
          <cell r="S538">
            <v>50.6</v>
          </cell>
          <cell r="U538" t="str">
            <v>ГРП</v>
          </cell>
          <cell r="W538" t="str">
            <v>РИР э/к,ГИС-2,ОТСК,ГРП.Переинт.2574-258м по гл.2364м,при наличии воды по ЮК-10 -ГРП ЮК-2</v>
          </cell>
        </row>
        <row r="539">
          <cell r="B539">
            <v>5579</v>
          </cell>
          <cell r="C539">
            <v>115</v>
          </cell>
          <cell r="D539">
            <v>1</v>
          </cell>
          <cell r="I539" t="str">
            <v>конс.</v>
          </cell>
          <cell r="J539">
            <v>34883</v>
          </cell>
          <cell r="K539">
            <v>17</v>
          </cell>
          <cell r="L539">
            <v>1</v>
          </cell>
          <cell r="M539">
            <v>93</v>
          </cell>
          <cell r="O539">
            <v>0</v>
          </cell>
          <cell r="Q539">
            <v>0</v>
          </cell>
          <cell r="R539">
            <v>0</v>
          </cell>
          <cell r="S539" t="e">
            <v>#DIV/0!</v>
          </cell>
          <cell r="W539" t="str">
            <v>ВЦ,ВЗ,при наличии Нз-сп Э-50 (ГИС-2),при невозм.ВЗ-переинт.ЮК-2- 2490-2498м-ГРП</v>
          </cell>
        </row>
        <row r="540">
          <cell r="B540">
            <v>5513</v>
          </cell>
          <cell r="C540">
            <v>114</v>
          </cell>
          <cell r="D540">
            <v>2</v>
          </cell>
          <cell r="G540">
            <v>250</v>
          </cell>
          <cell r="H540" t="str">
            <v>ЭЦН</v>
          </cell>
          <cell r="I540" t="str">
            <v>действ.</v>
          </cell>
          <cell r="J540">
            <v>0</v>
          </cell>
          <cell r="K540">
            <v>17</v>
          </cell>
          <cell r="L540">
            <v>4</v>
          </cell>
          <cell r="M540">
            <v>71</v>
          </cell>
          <cell r="N540">
            <v>35</v>
          </cell>
          <cell r="O540">
            <v>15.1</v>
          </cell>
          <cell r="P540">
            <v>47</v>
          </cell>
          <cell r="Q540">
            <v>18</v>
          </cell>
          <cell r="R540">
            <v>11.1</v>
          </cell>
          <cell r="S540">
            <v>23.9</v>
          </cell>
          <cell r="U540" t="str">
            <v>ГРП</v>
          </cell>
          <cell r="W540" t="str">
            <v>опытно-пром,работы,ГРП,по обв,скважины ( ГРП 40т проп.)</v>
          </cell>
          <cell r="X540" t="str">
            <v>Ликвидация аварии (ЭЦН+НКТ)</v>
          </cell>
        </row>
        <row r="543">
          <cell r="B543">
            <v>5671</v>
          </cell>
          <cell r="C543">
            <v>126</v>
          </cell>
          <cell r="D543">
            <v>2</v>
          </cell>
          <cell r="H543" t="str">
            <v>ШГН</v>
          </cell>
          <cell r="I543" t="str">
            <v>конс.</v>
          </cell>
          <cell r="J543">
            <v>35648</v>
          </cell>
          <cell r="K543">
            <v>3</v>
          </cell>
          <cell r="L543">
            <v>2.4</v>
          </cell>
          <cell r="M543">
            <v>2</v>
          </cell>
          <cell r="N543">
            <v>30</v>
          </cell>
          <cell r="O543">
            <v>12</v>
          </cell>
          <cell r="P543">
            <v>51</v>
          </cell>
          <cell r="Q543">
            <v>30</v>
          </cell>
          <cell r="R543">
            <v>12</v>
          </cell>
          <cell r="S543">
            <v>50.6</v>
          </cell>
          <cell r="U543" t="str">
            <v>ГРП</v>
          </cell>
          <cell r="W543" t="str">
            <v>ВЦ,ГРП (+12 т ),интер.ЮК-4 2746-2752м</v>
          </cell>
        </row>
        <row r="544">
          <cell r="B544">
            <v>2754</v>
          </cell>
          <cell r="C544">
            <v>145</v>
          </cell>
          <cell r="D544">
            <v>3</v>
          </cell>
          <cell r="I544" t="str">
            <v>конс.</v>
          </cell>
          <cell r="J544">
            <v>32843</v>
          </cell>
          <cell r="K544">
            <v>6</v>
          </cell>
          <cell r="L544">
            <v>0.5</v>
          </cell>
          <cell r="M544">
            <v>90</v>
          </cell>
          <cell r="N544">
            <v>30</v>
          </cell>
          <cell r="O544">
            <v>12</v>
          </cell>
          <cell r="P544">
            <v>51</v>
          </cell>
          <cell r="Q544">
            <v>30</v>
          </cell>
          <cell r="R544">
            <v>12</v>
          </cell>
          <cell r="S544">
            <v>50.6</v>
          </cell>
          <cell r="U544" t="str">
            <v>ГРП</v>
          </cell>
          <cell r="W544" t="str">
            <v>ГРП, возможно приобщение ЮК-11</v>
          </cell>
        </row>
        <row r="545">
          <cell r="B545">
            <v>2755</v>
          </cell>
          <cell r="C545">
            <v>145</v>
          </cell>
          <cell r="D545">
            <v>3</v>
          </cell>
          <cell r="I545" t="str">
            <v>бд</v>
          </cell>
          <cell r="J545">
            <v>33968</v>
          </cell>
          <cell r="K545">
            <v>40</v>
          </cell>
          <cell r="L545">
            <v>1.6</v>
          </cell>
          <cell r="M545">
            <v>95</v>
          </cell>
          <cell r="N545">
            <v>30</v>
          </cell>
          <cell r="O545">
            <v>12</v>
          </cell>
          <cell r="P545">
            <v>51</v>
          </cell>
          <cell r="Q545">
            <v>30</v>
          </cell>
          <cell r="R545">
            <v>12</v>
          </cell>
          <cell r="S545">
            <v>50.6</v>
          </cell>
          <cell r="U545" t="str">
            <v>ГРП</v>
          </cell>
          <cell r="W545" t="str">
            <v>ГИС-2(и.о.) РИР ЮК-11, ГРП с отсыпкой низа ЮК-10</v>
          </cell>
        </row>
        <row r="546">
          <cell r="B546">
            <v>2756</v>
          </cell>
          <cell r="C546">
            <v>145</v>
          </cell>
          <cell r="D546">
            <v>3</v>
          </cell>
          <cell r="I546" t="str">
            <v>бд</v>
          </cell>
          <cell r="J546">
            <v>35786</v>
          </cell>
          <cell r="K546">
            <v>70</v>
          </cell>
          <cell r="L546">
            <v>10.8</v>
          </cell>
          <cell r="M546">
            <v>81</v>
          </cell>
          <cell r="N546">
            <v>50</v>
          </cell>
          <cell r="O546">
            <v>10</v>
          </cell>
          <cell r="P546">
            <v>75.400000000000006</v>
          </cell>
          <cell r="Q546">
            <v>50</v>
          </cell>
          <cell r="R546">
            <v>10</v>
          </cell>
          <cell r="S546">
            <v>75.3</v>
          </cell>
          <cell r="U546" t="str">
            <v>РИР</v>
          </cell>
          <cell r="W546" t="str">
            <v>РИР Э/К 2562-2673, ПП-ЮК-10 с ОПЗ</v>
          </cell>
        </row>
        <row r="547">
          <cell r="B547">
            <v>2686</v>
          </cell>
          <cell r="C547" t="str">
            <v>160б</v>
          </cell>
          <cell r="H547" t="str">
            <v>ШГН</v>
          </cell>
          <cell r="I547" t="str">
            <v>конс.</v>
          </cell>
          <cell r="J547">
            <v>34060</v>
          </cell>
          <cell r="K547">
            <v>1</v>
          </cell>
          <cell r="L547">
            <v>0.8</v>
          </cell>
          <cell r="M547">
            <v>0</v>
          </cell>
          <cell r="N547">
            <v>30</v>
          </cell>
          <cell r="O547">
            <v>12</v>
          </cell>
          <cell r="P547">
            <v>51</v>
          </cell>
          <cell r="Q547">
            <v>30</v>
          </cell>
          <cell r="R547">
            <v>12</v>
          </cell>
          <cell r="S547">
            <v>50.6</v>
          </cell>
          <cell r="U547" t="str">
            <v>ГРП</v>
          </cell>
          <cell r="W547" t="str">
            <v>ВЦ,ВЗ,ДП ЮК-11,сп.Э</v>
          </cell>
        </row>
        <row r="548">
          <cell r="B548">
            <v>2836</v>
          </cell>
          <cell r="C548">
            <v>125</v>
          </cell>
          <cell r="I548" t="str">
            <v>конс.</v>
          </cell>
          <cell r="J548">
            <v>35684</v>
          </cell>
          <cell r="K548">
            <v>4</v>
          </cell>
          <cell r="L548">
            <v>1.1000000000000001</v>
          </cell>
          <cell r="M548">
            <v>66</v>
          </cell>
          <cell r="O548">
            <v>0</v>
          </cell>
          <cell r="Q548">
            <v>0</v>
          </cell>
          <cell r="R548">
            <v>0</v>
          </cell>
          <cell r="S548" t="e">
            <v>#DIV/0!</v>
          </cell>
          <cell r="W548" t="str">
            <v>ГИС-2,при отс.перетоков-опытно-пром.работы,ГРП п.А</v>
          </cell>
        </row>
        <row r="549">
          <cell r="B549">
            <v>5239</v>
          </cell>
          <cell r="C549">
            <v>133</v>
          </cell>
          <cell r="H549" t="str">
            <v>ШГН</v>
          </cell>
          <cell r="I549" t="str">
            <v>бд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6</v>
          </cell>
          <cell r="O549">
            <v>4</v>
          </cell>
          <cell r="P549">
            <v>19</v>
          </cell>
          <cell r="Q549">
            <v>6</v>
          </cell>
          <cell r="R549">
            <v>4</v>
          </cell>
          <cell r="S549">
            <v>17.7</v>
          </cell>
          <cell r="T549">
            <v>37884</v>
          </cell>
          <cell r="U549" t="str">
            <v>ВЦД</v>
          </cell>
          <cell r="W549" t="str">
            <v>ВЦ "Электропрогрев"</v>
          </cell>
        </row>
        <row r="550">
          <cell r="B550">
            <v>5394</v>
          </cell>
          <cell r="C550">
            <v>102</v>
          </cell>
          <cell r="I550" t="str">
            <v>бд</v>
          </cell>
          <cell r="J550">
            <v>34881</v>
          </cell>
          <cell r="K550">
            <v>50</v>
          </cell>
          <cell r="L550">
            <v>0.4</v>
          </cell>
          <cell r="M550">
            <v>99</v>
          </cell>
          <cell r="N550">
            <v>30</v>
          </cell>
          <cell r="O550">
            <v>12</v>
          </cell>
          <cell r="P550">
            <v>51</v>
          </cell>
          <cell r="Q550">
            <v>30</v>
          </cell>
          <cell r="R550">
            <v>12</v>
          </cell>
          <cell r="S550">
            <v>50.6</v>
          </cell>
          <cell r="U550" t="str">
            <v>ГРП</v>
          </cell>
          <cell r="W550" t="str">
            <v>ЛА( полет НКТ ),ПП,при Q меньше 10м3/с-ГРП-+15т</v>
          </cell>
        </row>
        <row r="551">
          <cell r="B551">
            <v>5410</v>
          </cell>
          <cell r="C551">
            <v>105</v>
          </cell>
          <cell r="I551" t="str">
            <v>бд</v>
          </cell>
          <cell r="J551">
            <v>35361</v>
          </cell>
          <cell r="K551">
            <v>10</v>
          </cell>
          <cell r="L551">
            <v>6.5</v>
          </cell>
          <cell r="M551">
            <v>20</v>
          </cell>
          <cell r="O551">
            <v>0</v>
          </cell>
          <cell r="Q551">
            <v>0</v>
          </cell>
          <cell r="R551">
            <v>0</v>
          </cell>
          <cell r="S551" t="e">
            <v>#DIV/0!</v>
          </cell>
          <cell r="W551" t="str">
            <v>ВЦ,ГРП п.А</v>
          </cell>
        </row>
        <row r="552">
          <cell r="B552">
            <v>5577</v>
          </cell>
          <cell r="C552">
            <v>114</v>
          </cell>
          <cell r="D552">
            <v>1</v>
          </cell>
          <cell r="I552" t="str">
            <v>конс.</v>
          </cell>
          <cell r="J552">
            <v>33848</v>
          </cell>
          <cell r="K552">
            <v>3</v>
          </cell>
          <cell r="L552">
            <v>2.4</v>
          </cell>
          <cell r="M552">
            <v>0</v>
          </cell>
          <cell r="N552">
            <v>8</v>
          </cell>
          <cell r="O552">
            <v>6.2</v>
          </cell>
          <cell r="P552">
            <v>5</v>
          </cell>
          <cell r="Q552">
            <v>8</v>
          </cell>
          <cell r="R552">
            <v>6.2</v>
          </cell>
          <cell r="S552">
            <v>4.3</v>
          </cell>
          <cell r="W552" t="str">
            <v>ВЦ,сп Э-50,переинт.ЮК-2 2618-2624м,при наличии воды-перевод без ГРП,по гл.2350м</v>
          </cell>
        </row>
        <row r="553">
          <cell r="B553">
            <v>5578</v>
          </cell>
          <cell r="C553">
            <v>115</v>
          </cell>
          <cell r="I553" t="str">
            <v>бд</v>
          </cell>
          <cell r="J553">
            <v>36473</v>
          </cell>
          <cell r="K553">
            <v>52</v>
          </cell>
          <cell r="L553">
            <v>0.8</v>
          </cell>
          <cell r="M553">
            <v>98</v>
          </cell>
          <cell r="O553">
            <v>0</v>
          </cell>
          <cell r="Q553">
            <v>0</v>
          </cell>
          <cell r="R553">
            <v>0</v>
          </cell>
          <cell r="S553" t="e">
            <v>#DIV/0!</v>
          </cell>
          <cell r="W553" t="str">
            <v>РИР,негерм.э/к,инт.2576-2582м,ГРП</v>
          </cell>
        </row>
        <row r="554">
          <cell r="B554">
            <v>5647</v>
          </cell>
          <cell r="C554">
            <v>125</v>
          </cell>
          <cell r="I554" t="str">
            <v>бд</v>
          </cell>
          <cell r="J554">
            <v>35401</v>
          </cell>
          <cell r="K554">
            <v>5</v>
          </cell>
          <cell r="L554">
            <v>0</v>
          </cell>
          <cell r="M554">
            <v>99</v>
          </cell>
          <cell r="O554">
            <v>0</v>
          </cell>
          <cell r="Q554">
            <v>0</v>
          </cell>
          <cell r="R554">
            <v>0</v>
          </cell>
          <cell r="S554" t="e">
            <v>#DIV/0!</v>
          </cell>
          <cell r="W554" t="str">
            <v>ЛА ( полет БТ ),РИР ниж.п.ЮК-10,перф.п.А,ГРП</v>
          </cell>
        </row>
        <row r="555">
          <cell r="B555">
            <v>5648</v>
          </cell>
          <cell r="C555">
            <v>125</v>
          </cell>
          <cell r="I555" t="str">
            <v>конс.</v>
          </cell>
          <cell r="J555">
            <v>33786</v>
          </cell>
          <cell r="K555">
            <v>10</v>
          </cell>
          <cell r="L555">
            <v>0.1</v>
          </cell>
          <cell r="M555">
            <v>99</v>
          </cell>
          <cell r="O555">
            <v>0</v>
          </cell>
          <cell r="Q555">
            <v>0</v>
          </cell>
          <cell r="R555">
            <v>0</v>
          </cell>
          <cell r="S555" t="e">
            <v>#DIV/0!</v>
          </cell>
          <cell r="W555" t="str">
            <v>ЛА (НГН со шт.),опытно-пром.работы,ПП п.А,отсыпка нижней пачки,ГРП,сп Э-80</v>
          </cell>
        </row>
        <row r="556">
          <cell r="B556">
            <v>5704</v>
          </cell>
          <cell r="C556">
            <v>126</v>
          </cell>
          <cell r="G556">
            <v>230</v>
          </cell>
          <cell r="H556" t="str">
            <v>ШГН</v>
          </cell>
          <cell r="I556" t="str">
            <v>бд</v>
          </cell>
          <cell r="J556">
            <v>37174</v>
          </cell>
          <cell r="K556">
            <v>2</v>
          </cell>
          <cell r="L556">
            <v>1.5</v>
          </cell>
          <cell r="M556">
            <v>5</v>
          </cell>
          <cell r="N556">
            <v>30</v>
          </cell>
          <cell r="O556">
            <v>12</v>
          </cell>
          <cell r="P556">
            <v>51</v>
          </cell>
          <cell r="Q556">
            <v>30</v>
          </cell>
          <cell r="R556">
            <v>12</v>
          </cell>
          <cell r="S556">
            <v>50.6</v>
          </cell>
          <cell r="U556" t="str">
            <v>ГРП</v>
          </cell>
          <cell r="W556" t="str">
            <v>ГРП п.А</v>
          </cell>
          <cell r="X556" t="str">
            <v>Перестрел верха</v>
          </cell>
        </row>
        <row r="557">
          <cell r="B557">
            <v>5815</v>
          </cell>
          <cell r="C557">
            <v>141</v>
          </cell>
          <cell r="H557" t="str">
            <v>ШГН</v>
          </cell>
          <cell r="I557" t="str">
            <v>действ.</v>
          </cell>
          <cell r="J557">
            <v>0</v>
          </cell>
          <cell r="K557">
            <v>11</v>
          </cell>
          <cell r="L557">
            <v>8.3000000000000007</v>
          </cell>
          <cell r="M557">
            <v>7</v>
          </cell>
          <cell r="N557">
            <v>30</v>
          </cell>
          <cell r="O557">
            <v>20.3</v>
          </cell>
          <cell r="P557">
            <v>17</v>
          </cell>
          <cell r="Q557">
            <v>19</v>
          </cell>
          <cell r="R557">
            <v>12</v>
          </cell>
          <cell r="S557">
            <v>22</v>
          </cell>
          <cell r="U557" t="str">
            <v>ГРП</v>
          </cell>
          <cell r="W557" t="str">
            <v xml:space="preserve">РИР (отсыпка)ЮК-11,ПП ЮК-10, ГРП </v>
          </cell>
        </row>
        <row r="558">
          <cell r="B558">
            <v>5483</v>
          </cell>
          <cell r="C558">
            <v>115</v>
          </cell>
          <cell r="D558">
            <v>21</v>
          </cell>
          <cell r="E558">
            <v>210</v>
          </cell>
          <cell r="F558" t="str">
            <v>УПНПиКРС</v>
          </cell>
          <cell r="G558">
            <v>250</v>
          </cell>
          <cell r="H558" t="str">
            <v>ЭЦН</v>
          </cell>
          <cell r="I558" t="str">
            <v>конс.</v>
          </cell>
          <cell r="J558">
            <v>34274</v>
          </cell>
          <cell r="N558">
            <v>30</v>
          </cell>
          <cell r="O558">
            <v>18.3</v>
          </cell>
          <cell r="P558">
            <v>25</v>
          </cell>
          <cell r="Q558">
            <v>30</v>
          </cell>
          <cell r="R558">
            <v>18.3</v>
          </cell>
          <cell r="S558">
            <v>24.7</v>
          </cell>
          <cell r="U558" t="str">
            <v>ГРП</v>
          </cell>
          <cell r="V558">
            <v>1</v>
          </cell>
          <cell r="W558" t="str">
            <v>ВЦ, ГИС-2(ОТСК), ИР ЮК-10, ПР к ГРП,ГРП(ПГРП сделано,ГРП отменили)</v>
          </cell>
        </row>
        <row r="560">
          <cell r="B560">
            <v>5371</v>
          </cell>
          <cell r="C560">
            <v>102</v>
          </cell>
          <cell r="G560">
            <v>250</v>
          </cell>
          <cell r="H560" t="str">
            <v>нагнет.</v>
          </cell>
          <cell r="I560" t="str">
            <v>бд</v>
          </cell>
          <cell r="J560">
            <v>35779</v>
          </cell>
          <cell r="K560">
            <v>240</v>
          </cell>
          <cell r="N560">
            <v>120</v>
          </cell>
          <cell r="Q560">
            <v>120</v>
          </cell>
          <cell r="R560">
            <v>0</v>
          </cell>
          <cell r="U560" t="str">
            <v>нг</v>
          </cell>
          <cell r="V560">
            <v>4</v>
          </cell>
          <cell r="W560" t="str">
            <v>ОТСК. Запуск ППД</v>
          </cell>
        </row>
        <row r="561">
          <cell r="B561">
            <v>5372</v>
          </cell>
          <cell r="C561">
            <v>102</v>
          </cell>
          <cell r="G561">
            <v>250</v>
          </cell>
          <cell r="H561" t="str">
            <v>нагнет.</v>
          </cell>
          <cell r="I561" t="str">
            <v>бд</v>
          </cell>
          <cell r="J561">
            <v>32843</v>
          </cell>
          <cell r="K561">
            <v>130</v>
          </cell>
          <cell r="N561">
            <v>120</v>
          </cell>
          <cell r="Q561">
            <v>120</v>
          </cell>
          <cell r="R561">
            <v>0</v>
          </cell>
          <cell r="U561" t="str">
            <v>нг</v>
          </cell>
          <cell r="W561" t="str">
            <v>ЛА (извлечение НКТ). ОТСК. Запуск ППД</v>
          </cell>
          <cell r="X561" t="str">
            <v>Забой - 120 м</v>
          </cell>
        </row>
        <row r="562">
          <cell r="B562">
            <v>5373</v>
          </cell>
          <cell r="C562">
            <v>103</v>
          </cell>
          <cell r="G562">
            <v>233</v>
          </cell>
          <cell r="H562" t="str">
            <v>нагнет.</v>
          </cell>
          <cell r="I562" t="str">
            <v>конс.</v>
          </cell>
          <cell r="J562">
            <v>34474</v>
          </cell>
          <cell r="K562">
            <v>375</v>
          </cell>
          <cell r="N562">
            <v>120</v>
          </cell>
          <cell r="Q562">
            <v>120</v>
          </cell>
          <cell r="R562">
            <v>0</v>
          </cell>
          <cell r="U562" t="str">
            <v>нг</v>
          </cell>
          <cell r="W562" t="str">
            <v>ОТСК. ГИС-3. Ликвидация ЗКЦ?</v>
          </cell>
        </row>
        <row r="563">
          <cell r="B563">
            <v>5374</v>
          </cell>
          <cell r="C563">
            <v>103</v>
          </cell>
          <cell r="G563">
            <v>234</v>
          </cell>
          <cell r="H563" t="str">
            <v>нагнет.</v>
          </cell>
          <cell r="I563" t="str">
            <v>конс.</v>
          </cell>
          <cell r="J563">
            <v>34474</v>
          </cell>
          <cell r="K563">
            <v>180</v>
          </cell>
          <cell r="N563">
            <v>120</v>
          </cell>
          <cell r="Q563">
            <v>120</v>
          </cell>
          <cell r="R563">
            <v>0</v>
          </cell>
          <cell r="U563" t="str">
            <v>нг</v>
          </cell>
          <cell r="W563" t="str">
            <v>ВЗ. ОТСК</v>
          </cell>
        </row>
        <row r="564">
          <cell r="B564">
            <v>5389</v>
          </cell>
          <cell r="C564">
            <v>109</v>
          </cell>
          <cell r="G564">
            <v>280</v>
          </cell>
          <cell r="H564" t="str">
            <v>нагнет.</v>
          </cell>
          <cell r="I564" t="str">
            <v>бд</v>
          </cell>
          <cell r="J564">
            <v>36458</v>
          </cell>
          <cell r="K564">
            <v>175</v>
          </cell>
          <cell r="N564">
            <v>100</v>
          </cell>
          <cell r="Q564">
            <v>100</v>
          </cell>
          <cell r="U564" t="str">
            <v>нг</v>
          </cell>
          <cell r="W564" t="str">
            <v xml:space="preserve">ОПЗ </v>
          </cell>
          <cell r="X564" t="str">
            <v>Закачка от КНС-1</v>
          </cell>
        </row>
        <row r="565">
          <cell r="B565">
            <v>5391</v>
          </cell>
          <cell r="C565">
            <v>109</v>
          </cell>
          <cell r="G565">
            <v>285</v>
          </cell>
          <cell r="H565" t="str">
            <v>нагнет.</v>
          </cell>
          <cell r="I565" t="str">
            <v>бд</v>
          </cell>
          <cell r="J565">
            <v>34426</v>
          </cell>
          <cell r="K565">
            <v>240</v>
          </cell>
          <cell r="N565">
            <v>100</v>
          </cell>
          <cell r="Q565">
            <v>100</v>
          </cell>
          <cell r="U565" t="str">
            <v>нг</v>
          </cell>
          <cell r="W565" t="str">
            <v>ИР ЮК-11. ОПЗ. Пуск под закачку</v>
          </cell>
          <cell r="X565" t="str">
            <v>Закачка от КНС-1</v>
          </cell>
        </row>
        <row r="566">
          <cell r="B566">
            <v>5216</v>
          </cell>
          <cell r="C566">
            <v>134</v>
          </cell>
          <cell r="D566">
            <v>6</v>
          </cell>
          <cell r="E566">
            <v>61</v>
          </cell>
          <cell r="F566" t="str">
            <v>УПНПиКРС</v>
          </cell>
          <cell r="H566" t="str">
            <v>ШГН</v>
          </cell>
          <cell r="I566" t="str">
            <v>конс.</v>
          </cell>
          <cell r="N566">
            <v>50</v>
          </cell>
          <cell r="O566">
            <v>30</v>
          </cell>
          <cell r="P566">
            <v>26.5</v>
          </cell>
          <cell r="Q566">
            <v>50</v>
          </cell>
          <cell r="R566">
            <v>30</v>
          </cell>
          <cell r="S566">
            <v>25.9</v>
          </cell>
          <cell r="U566" t="str">
            <v>ГРП</v>
          </cell>
          <cell r="W566" t="str">
            <v>ВЦ, РИР ЮК-10, СО-каротаж ПР к ГРП, ГРП ЮК-2, осв.</v>
          </cell>
        </row>
        <row r="567">
          <cell r="B567">
            <v>2958</v>
          </cell>
          <cell r="C567">
            <v>46</v>
          </cell>
          <cell r="D567">
            <v>7</v>
          </cell>
          <cell r="E567">
            <v>70</v>
          </cell>
          <cell r="F567" t="str">
            <v>УПНПиКРС</v>
          </cell>
          <cell r="H567" t="str">
            <v>ШГН</v>
          </cell>
          <cell r="I567" t="str">
            <v>бд</v>
          </cell>
          <cell r="N567">
            <v>50</v>
          </cell>
          <cell r="O567">
            <v>30</v>
          </cell>
          <cell r="P567">
            <v>26.5</v>
          </cell>
          <cell r="Q567">
            <v>50</v>
          </cell>
          <cell r="R567">
            <v>30</v>
          </cell>
          <cell r="S567">
            <v>25.9</v>
          </cell>
          <cell r="T567">
            <v>37450</v>
          </cell>
          <cell r="U567" t="str">
            <v>ГРП</v>
          </cell>
          <cell r="W567" t="str">
            <v xml:space="preserve"> РИР ЮК-10, ПР к ГРП, ГРП ЮК-2, осв.</v>
          </cell>
        </row>
        <row r="568">
          <cell r="B568">
            <v>5368</v>
          </cell>
          <cell r="C568">
            <v>101</v>
          </cell>
          <cell r="D568">
            <v>0</v>
          </cell>
          <cell r="E568">
            <v>0</v>
          </cell>
          <cell r="F568" t="str">
            <v>УПНПиКРС</v>
          </cell>
          <cell r="H568" t="str">
            <v>нагнет.</v>
          </cell>
          <cell r="I568" t="str">
            <v>конс.</v>
          </cell>
          <cell r="N568">
            <v>50</v>
          </cell>
          <cell r="O568">
            <v>20</v>
          </cell>
          <cell r="P568">
            <v>51</v>
          </cell>
          <cell r="Q568">
            <v>50</v>
          </cell>
          <cell r="R568">
            <v>20</v>
          </cell>
          <cell r="S568">
            <v>50.6</v>
          </cell>
          <cell r="T568">
            <v>37435</v>
          </cell>
          <cell r="U568" t="str">
            <v>ГРП</v>
          </cell>
          <cell r="W568" t="str">
            <v>Извл.НКТ, РИР ЮК-10, ПР к ГРП, ГРП ЮК-2, осв.</v>
          </cell>
        </row>
        <row r="569">
          <cell r="B569">
            <v>5264</v>
          </cell>
          <cell r="C569">
            <v>133</v>
          </cell>
          <cell r="D569">
            <v>0</v>
          </cell>
          <cell r="E569">
            <v>0</v>
          </cell>
          <cell r="F569" t="str">
            <v>УПНПиКРС</v>
          </cell>
          <cell r="H569" t="str">
            <v>нагнет.</v>
          </cell>
          <cell r="I569" t="str">
            <v>конс.</v>
          </cell>
          <cell r="N569">
            <v>50</v>
          </cell>
          <cell r="O569">
            <v>20</v>
          </cell>
          <cell r="P569">
            <v>51</v>
          </cell>
          <cell r="Q569">
            <v>50</v>
          </cell>
          <cell r="R569">
            <v>20</v>
          </cell>
          <cell r="S569">
            <v>50.6</v>
          </cell>
          <cell r="T569">
            <v>37466</v>
          </cell>
          <cell r="U569" t="str">
            <v>ГРП</v>
          </cell>
          <cell r="W569" t="str">
            <v>ВЦ, РИР ЮК-10, ПР к ГРП, ГРП ЮК-2, осв.</v>
          </cell>
        </row>
        <row r="570">
          <cell r="B570">
            <v>3060</v>
          </cell>
          <cell r="C570">
            <v>67</v>
          </cell>
          <cell r="D570">
            <v>0</v>
          </cell>
          <cell r="E570">
            <v>0</v>
          </cell>
          <cell r="F570" t="str">
            <v>УПНПиКРС</v>
          </cell>
          <cell r="H570" t="str">
            <v>нагнет.</v>
          </cell>
          <cell r="I570" t="str">
            <v>конс.</v>
          </cell>
          <cell r="N570">
            <v>50</v>
          </cell>
          <cell r="O570">
            <v>30</v>
          </cell>
          <cell r="P570">
            <v>26.5</v>
          </cell>
          <cell r="Q570">
            <v>50</v>
          </cell>
          <cell r="R570">
            <v>30</v>
          </cell>
          <cell r="S570">
            <v>25.9</v>
          </cell>
          <cell r="T570">
            <v>37389</v>
          </cell>
          <cell r="U570" t="str">
            <v>ГРП</v>
          </cell>
          <cell r="W570" t="str">
            <v>РИР ЮК-11, ПР к ГРП и ГРП ЮК-2</v>
          </cell>
        </row>
        <row r="571">
          <cell r="B571">
            <v>4366</v>
          </cell>
          <cell r="C571">
            <v>200</v>
          </cell>
          <cell r="D571">
            <v>4</v>
          </cell>
          <cell r="E571">
            <v>40</v>
          </cell>
          <cell r="F571" t="str">
            <v>УПНПиКРС</v>
          </cell>
          <cell r="H571" t="str">
            <v>нагнет.</v>
          </cell>
          <cell r="I571" t="str">
            <v>бд</v>
          </cell>
          <cell r="N571">
            <v>50</v>
          </cell>
          <cell r="O571">
            <v>30</v>
          </cell>
          <cell r="P571">
            <v>26.5</v>
          </cell>
          <cell r="Q571">
            <v>50</v>
          </cell>
          <cell r="R571">
            <v>30</v>
          </cell>
          <cell r="S571">
            <v>25.9</v>
          </cell>
          <cell r="T571">
            <v>37506</v>
          </cell>
          <cell r="U571" t="str">
            <v>нг</v>
          </cell>
          <cell r="W571" t="str">
            <v>Извл.НКТ, РИР ЮК-10, ПР к ГРП, ГРП ЮК-2, осв.</v>
          </cell>
        </row>
        <row r="572">
          <cell r="B572">
            <v>2725</v>
          </cell>
          <cell r="C572">
            <v>146</v>
          </cell>
          <cell r="D572">
            <v>3</v>
          </cell>
          <cell r="E572">
            <v>2</v>
          </cell>
          <cell r="F572" t="str">
            <v>УПНПиКРС</v>
          </cell>
          <cell r="H572" t="str">
            <v>нагнет.</v>
          </cell>
          <cell r="I572" t="str">
            <v>бд</v>
          </cell>
          <cell r="N572">
            <v>50</v>
          </cell>
          <cell r="O572">
            <v>30</v>
          </cell>
          <cell r="P572">
            <v>26.5</v>
          </cell>
          <cell r="Q572">
            <v>50</v>
          </cell>
          <cell r="R572">
            <v>30</v>
          </cell>
          <cell r="S572">
            <v>25.9</v>
          </cell>
          <cell r="T572">
            <v>37497</v>
          </cell>
          <cell r="U572" t="str">
            <v>ГРП</v>
          </cell>
          <cell r="W572" t="str">
            <v>ОТСК, РИР ЮК-10, ПР к ГРП, ГРП ЮК-2, осв.</v>
          </cell>
        </row>
        <row r="576">
          <cell r="W576" t="str">
            <v>Нерасмотренные:</v>
          </cell>
        </row>
        <row r="577">
          <cell r="B577">
            <v>3228</v>
          </cell>
          <cell r="C577">
            <v>70</v>
          </cell>
          <cell r="H577" t="str">
            <v>нагнет.</v>
          </cell>
          <cell r="I577" t="str">
            <v>конс.</v>
          </cell>
          <cell r="Q577">
            <v>0</v>
          </cell>
          <cell r="R577">
            <v>0</v>
          </cell>
          <cell r="T577">
            <v>37864</v>
          </cell>
          <cell r="U577" t="str">
            <v>нг</v>
          </cell>
          <cell r="W577" t="str">
            <v>ВЦ, ОТСК, достр.ЮК-11</v>
          </cell>
          <cell r="X577" t="str">
            <v>утилизация</v>
          </cell>
        </row>
        <row r="578">
          <cell r="B578" t="str">
            <v>5402б</v>
          </cell>
          <cell r="C578">
            <v>103</v>
          </cell>
          <cell r="H578" t="str">
            <v>ЭЦН</v>
          </cell>
          <cell r="I578" t="str">
            <v>конс.</v>
          </cell>
          <cell r="K578">
            <v>84</v>
          </cell>
          <cell r="L578">
            <v>2.7</v>
          </cell>
          <cell r="M578">
            <v>96</v>
          </cell>
          <cell r="N578">
            <v>80</v>
          </cell>
          <cell r="O578">
            <v>3</v>
          </cell>
          <cell r="P578">
            <v>95.4</v>
          </cell>
          <cell r="Q578">
            <v>80</v>
          </cell>
          <cell r="R578">
            <v>3</v>
          </cell>
          <cell r="S578">
            <v>95.4</v>
          </cell>
          <cell r="T578">
            <v>37050</v>
          </cell>
          <cell r="U578" t="str">
            <v>ВЦ</v>
          </cell>
          <cell r="W578" t="str">
            <v>ВЦ. ГИС-2</v>
          </cell>
          <cell r="X578" t="str">
            <v>ВЦ ООО "Электропрогрев"</v>
          </cell>
        </row>
        <row r="579">
          <cell r="B579">
            <v>5428</v>
          </cell>
          <cell r="C579">
            <v>103</v>
          </cell>
          <cell r="H579" t="str">
            <v>ШГН</v>
          </cell>
          <cell r="I579" t="str">
            <v>конс.</v>
          </cell>
          <cell r="O579">
            <v>0</v>
          </cell>
          <cell r="Q579">
            <v>0</v>
          </cell>
          <cell r="R579">
            <v>0</v>
          </cell>
          <cell r="S579" t="e">
            <v>#DIV/0!</v>
          </cell>
          <cell r="T579">
            <v>37921</v>
          </cell>
          <cell r="U579" t="str">
            <v>ОПЗ</v>
          </cell>
          <cell r="W579" t="str">
            <v>ВЦ. ГИС-2. ИДН</v>
          </cell>
        </row>
        <row r="580">
          <cell r="B580" t="str">
            <v>5321б</v>
          </cell>
          <cell r="C580">
            <v>135</v>
          </cell>
          <cell r="H580" t="str">
            <v>ЭЦН</v>
          </cell>
          <cell r="I580" t="str">
            <v>конс.</v>
          </cell>
          <cell r="L580">
            <v>0</v>
          </cell>
          <cell r="N580">
            <v>50</v>
          </cell>
          <cell r="O580">
            <v>4</v>
          </cell>
          <cell r="P580">
            <v>90.1</v>
          </cell>
          <cell r="Q580">
            <v>50</v>
          </cell>
          <cell r="R580">
            <v>4</v>
          </cell>
          <cell r="T580">
            <v>36966</v>
          </cell>
          <cell r="W580" t="str">
            <v>ВЦ. Ревизия ЭЦН</v>
          </cell>
          <cell r="X580" t="str">
            <v>ВЦ ООО "Электропрогрев"</v>
          </cell>
        </row>
        <row r="581">
          <cell r="B581">
            <v>5219</v>
          </cell>
          <cell r="C581">
            <v>135</v>
          </cell>
          <cell r="H581" t="str">
            <v>ЭЦН</v>
          </cell>
          <cell r="I581" t="str">
            <v>конс.</v>
          </cell>
          <cell r="L581">
            <v>0</v>
          </cell>
          <cell r="N581">
            <v>40</v>
          </cell>
          <cell r="O581">
            <v>2.1</v>
          </cell>
          <cell r="P581">
            <v>93.7</v>
          </cell>
          <cell r="Q581">
            <v>40</v>
          </cell>
          <cell r="R581">
            <v>2.1</v>
          </cell>
          <cell r="T581">
            <v>36967</v>
          </cell>
          <cell r="W581" t="str">
            <v>ВЦ. Ревизия ЭЦН</v>
          </cell>
          <cell r="X581" t="str">
            <v>ВЦ ООО "Электропрогрев"</v>
          </cell>
        </row>
        <row r="582">
          <cell r="B582">
            <v>5269</v>
          </cell>
          <cell r="C582">
            <v>135</v>
          </cell>
          <cell r="H582" t="str">
            <v>ЭЦН</v>
          </cell>
          <cell r="I582" t="str">
            <v>конс.</v>
          </cell>
          <cell r="L582">
            <v>0</v>
          </cell>
          <cell r="N582">
            <v>45</v>
          </cell>
          <cell r="O582">
            <v>3</v>
          </cell>
          <cell r="P582">
            <v>91.7</v>
          </cell>
          <cell r="Q582">
            <v>45</v>
          </cell>
          <cell r="R582">
            <v>3</v>
          </cell>
          <cell r="T582">
            <v>36968</v>
          </cell>
          <cell r="W582" t="str">
            <v>ВЦ. Ревизия ЭЦН</v>
          </cell>
          <cell r="X582" t="str">
            <v>ВЦ ООО "Электропрогрев"</v>
          </cell>
        </row>
        <row r="583">
          <cell r="B583">
            <v>5295</v>
          </cell>
          <cell r="C583">
            <v>135</v>
          </cell>
          <cell r="H583" t="str">
            <v>ЭЦН</v>
          </cell>
          <cell r="I583" t="str">
            <v>конс.</v>
          </cell>
          <cell r="L583">
            <v>0</v>
          </cell>
          <cell r="N583">
            <v>50</v>
          </cell>
          <cell r="O583">
            <v>2</v>
          </cell>
          <cell r="P583">
            <v>95.1</v>
          </cell>
          <cell r="Q583">
            <v>50</v>
          </cell>
          <cell r="R583">
            <v>2</v>
          </cell>
          <cell r="T583">
            <v>36969</v>
          </cell>
          <cell r="W583" t="str">
            <v>ВЦ. Ревизия ЭЦН</v>
          </cell>
          <cell r="X583" t="str">
            <v>ВЦ ООО "Электропрогрев"</v>
          </cell>
        </row>
        <row r="584">
          <cell r="B584">
            <v>5318</v>
          </cell>
          <cell r="C584">
            <v>134</v>
          </cell>
          <cell r="H584" t="str">
            <v>нагнет.</v>
          </cell>
          <cell r="I584" t="str">
            <v>бд</v>
          </cell>
          <cell r="N584">
            <v>300</v>
          </cell>
          <cell r="Q584">
            <v>300</v>
          </cell>
          <cell r="W584" t="str">
            <v>Спуск и привязка пакера, Запуск в ППД</v>
          </cell>
          <cell r="X584" t="str">
            <v>Уменьшить штуцер через 3 мес.</v>
          </cell>
        </row>
        <row r="585">
          <cell r="B585">
            <v>2895</v>
          </cell>
          <cell r="C585">
            <v>42</v>
          </cell>
          <cell r="G585">
            <v>285</v>
          </cell>
          <cell r="H585" t="str">
            <v>нагнет.</v>
          </cell>
          <cell r="I585" t="str">
            <v>бд</v>
          </cell>
          <cell r="K585">
            <v>50</v>
          </cell>
          <cell r="N585">
            <v>150</v>
          </cell>
          <cell r="Q585">
            <v>150</v>
          </cell>
          <cell r="T585">
            <v>36958</v>
          </cell>
          <cell r="W585" t="str">
            <v>Интенсификация прием. НТПН</v>
          </cell>
          <cell r="X585" t="str">
            <v>НТПН</v>
          </cell>
        </row>
        <row r="586">
          <cell r="B586">
            <v>2897</v>
          </cell>
          <cell r="C586">
            <v>42</v>
          </cell>
          <cell r="G586">
            <v>290</v>
          </cell>
          <cell r="H586" t="str">
            <v>нагнет.</v>
          </cell>
          <cell r="I586" t="str">
            <v>действ.</v>
          </cell>
          <cell r="K586">
            <v>100</v>
          </cell>
          <cell r="N586">
            <v>200</v>
          </cell>
          <cell r="Q586">
            <v>200</v>
          </cell>
          <cell r="T586">
            <v>36959</v>
          </cell>
          <cell r="W586" t="str">
            <v>Интенсификация прием. НТПН</v>
          </cell>
          <cell r="X586" t="str">
            <v>НТПН</v>
          </cell>
        </row>
        <row r="587">
          <cell r="B587">
            <v>2993</v>
          </cell>
          <cell r="C587">
            <v>42</v>
          </cell>
          <cell r="G587">
            <v>310</v>
          </cell>
          <cell r="H587" t="str">
            <v>ШГН</v>
          </cell>
          <cell r="I587" t="str">
            <v>конс.</v>
          </cell>
          <cell r="K587">
            <v>7</v>
          </cell>
          <cell r="L587">
            <v>5.0999999999999996</v>
          </cell>
          <cell r="M587">
            <v>10</v>
          </cell>
          <cell r="N587">
            <v>7</v>
          </cell>
          <cell r="O587">
            <v>4.8</v>
          </cell>
          <cell r="P587">
            <v>15</v>
          </cell>
          <cell r="Q587">
            <v>7</v>
          </cell>
          <cell r="R587">
            <v>4.8</v>
          </cell>
          <cell r="T587">
            <v>36962</v>
          </cell>
          <cell r="W587" t="str">
            <v>ВЦ. ПП и ОПЗ. УГИС. Спуск ШГН</v>
          </cell>
        </row>
        <row r="588">
          <cell r="B588">
            <v>5440</v>
          </cell>
          <cell r="C588">
            <v>108</v>
          </cell>
          <cell r="G588">
            <v>275</v>
          </cell>
          <cell r="H588" t="str">
            <v>ЭЦН</v>
          </cell>
          <cell r="I588" t="str">
            <v>бд</v>
          </cell>
          <cell r="K588">
            <v>21</v>
          </cell>
          <cell r="L588">
            <v>13</v>
          </cell>
          <cell r="M588">
            <v>24</v>
          </cell>
          <cell r="N588">
            <v>20</v>
          </cell>
          <cell r="O588">
            <v>3</v>
          </cell>
          <cell r="P588">
            <v>81.5</v>
          </cell>
          <cell r="Q588">
            <v>20</v>
          </cell>
          <cell r="R588">
            <v>3</v>
          </cell>
          <cell r="T588">
            <v>36963</v>
          </cell>
          <cell r="W588" t="str">
            <v>ВЦ. ГИС-2. ОВП (НТПН). ГИС-2. Спуск ЭЦН</v>
          </cell>
          <cell r="X588" t="str">
            <v>НТПН-2000</v>
          </cell>
        </row>
        <row r="589">
          <cell r="B589">
            <v>5470</v>
          </cell>
          <cell r="C589">
            <v>108</v>
          </cell>
          <cell r="G589">
            <v>275</v>
          </cell>
          <cell r="H589" t="str">
            <v>ЭЦН</v>
          </cell>
          <cell r="I589" t="str">
            <v>конс.</v>
          </cell>
          <cell r="K589">
            <v>41</v>
          </cell>
          <cell r="L589">
            <v>3.7</v>
          </cell>
          <cell r="M589">
            <v>89</v>
          </cell>
          <cell r="N589">
            <v>20</v>
          </cell>
          <cell r="O589">
            <v>3</v>
          </cell>
          <cell r="P589">
            <v>81.5</v>
          </cell>
          <cell r="Q589">
            <v>20</v>
          </cell>
          <cell r="R589">
            <v>3</v>
          </cell>
          <cell r="T589">
            <v>36964</v>
          </cell>
          <cell r="W589" t="str">
            <v>ВЦ. ГИС-2. ОВП (НТПН). ГИС-2. Спуск ЭЦН</v>
          </cell>
          <cell r="X589" t="str">
            <v>НТПН-2000</v>
          </cell>
        </row>
        <row r="590">
          <cell r="B590">
            <v>5451</v>
          </cell>
          <cell r="C590">
            <v>101</v>
          </cell>
          <cell r="H590" t="str">
            <v>ШГН</v>
          </cell>
          <cell r="I590" t="str">
            <v>бд</v>
          </cell>
          <cell r="U590" t="str">
            <v>ОПЗ</v>
          </cell>
          <cell r="W590" t="str">
            <v>ВЦ,ДП УГИС. ОПЗ НТПН. ГДИ</v>
          </cell>
        </row>
        <row r="591">
          <cell r="B591">
            <v>5453</v>
          </cell>
          <cell r="C591">
            <v>101</v>
          </cell>
          <cell r="H591" t="str">
            <v>ШГН</v>
          </cell>
          <cell r="U591" t="str">
            <v>ОПЗ</v>
          </cell>
          <cell r="W591" t="str">
            <v>ВЦ,ПП УГИС.  ГДИ</v>
          </cell>
        </row>
        <row r="592">
          <cell r="B592">
            <v>5456</v>
          </cell>
          <cell r="C592">
            <v>102</v>
          </cell>
          <cell r="H592" t="str">
            <v>ШГН</v>
          </cell>
          <cell r="U592" t="str">
            <v>ЛА</v>
          </cell>
          <cell r="W592" t="str">
            <v>Восст.Нз,УГИС ГДИ сп.ЭЦН</v>
          </cell>
        </row>
        <row r="593">
          <cell r="B593">
            <v>5370</v>
          </cell>
          <cell r="C593">
            <v>102</v>
          </cell>
          <cell r="U593" t="str">
            <v>ЛА</v>
          </cell>
          <cell r="W593" t="str">
            <v>Извл.аварийных НКТ</v>
          </cell>
        </row>
        <row r="594">
          <cell r="B594">
            <v>5400</v>
          </cell>
          <cell r="C594">
            <v>103</v>
          </cell>
          <cell r="U594" t="str">
            <v>ЛА</v>
          </cell>
          <cell r="W594" t="str">
            <v>Извл.ЭЦН-80,Восст.Нз ГЖ,ГДИ сп.ЭЦН.</v>
          </cell>
        </row>
        <row r="595">
          <cell r="B595">
            <v>5428</v>
          </cell>
          <cell r="C595">
            <v>103</v>
          </cell>
          <cell r="W595" t="str">
            <v>ВЦ,ВЗ,(извл.НКТ 3")ПП УГИС.  ГДИ</v>
          </cell>
          <cell r="X595" t="str">
            <v>В ППД с 6.83 по 09.84г.</v>
          </cell>
        </row>
        <row r="596">
          <cell r="B596">
            <v>5347</v>
          </cell>
          <cell r="C596">
            <v>103</v>
          </cell>
          <cell r="U596" t="str">
            <v>ЛА</v>
          </cell>
          <cell r="W596" t="str">
            <v>Извл.проволки,восст.Нз ГЖ,ГДИ сп.ЭЦН.</v>
          </cell>
        </row>
        <row r="597">
          <cell r="B597">
            <v>5429</v>
          </cell>
          <cell r="C597">
            <v>103</v>
          </cell>
          <cell r="U597" t="str">
            <v>ЛА</v>
          </cell>
          <cell r="W597" t="str">
            <v>Извл.проволки,ЭЦН-50,Восст.Нз ГЖ,ГДИ сп.ЭЦН.</v>
          </cell>
          <cell r="X597" t="str">
            <v>Полёт ЭЦН+проволка ЦНИПР и шаблон</v>
          </cell>
        </row>
        <row r="598">
          <cell r="B598" t="str">
            <v>5402б</v>
          </cell>
          <cell r="C598">
            <v>103</v>
          </cell>
          <cell r="U598" t="str">
            <v>ВЦ</v>
          </cell>
          <cell r="W598" t="str">
            <v>ВЦ ПРС промывка забоя</v>
          </cell>
        </row>
        <row r="599">
          <cell r="B599">
            <v>4119</v>
          </cell>
          <cell r="C599">
            <v>311</v>
          </cell>
          <cell r="U599" t="str">
            <v>ВЦ</v>
          </cell>
          <cell r="W599" t="str">
            <v>ВЦ ПРС промывка забоя</v>
          </cell>
        </row>
        <row r="600">
          <cell r="B600">
            <v>4120</v>
          </cell>
          <cell r="C600">
            <v>311</v>
          </cell>
          <cell r="U600" t="str">
            <v>ВЦ</v>
          </cell>
          <cell r="W600" t="str">
            <v>ВЦ ПРС промывка забоя</v>
          </cell>
        </row>
        <row r="601">
          <cell r="B601">
            <v>4212</v>
          </cell>
          <cell r="C601">
            <v>311</v>
          </cell>
          <cell r="U601" t="str">
            <v>ВЦ</v>
          </cell>
          <cell r="W601" t="str">
            <v>ВЦ ПРС промывка забоя</v>
          </cell>
        </row>
        <row r="602">
          <cell r="B602">
            <v>2895</v>
          </cell>
          <cell r="C602">
            <v>42</v>
          </cell>
          <cell r="D602">
            <v>0</v>
          </cell>
          <cell r="E602">
            <v>1</v>
          </cell>
          <cell r="G602">
            <v>280</v>
          </cell>
          <cell r="H602" t="str">
            <v>нагнет.</v>
          </cell>
          <cell r="I602" t="str">
            <v>бд</v>
          </cell>
          <cell r="N602">
            <v>150</v>
          </cell>
          <cell r="Q602">
            <v>150</v>
          </cell>
          <cell r="T602">
            <v>26</v>
          </cell>
          <cell r="U602" t="str">
            <v>ОПЗ</v>
          </cell>
          <cell r="W602" t="str">
            <v>ВЗ УГИС,ОПЗ ИХН, ГИС-3 пуск под закачку</v>
          </cell>
        </row>
        <row r="603">
          <cell r="B603">
            <v>2897</v>
          </cell>
          <cell r="C603">
            <v>42</v>
          </cell>
          <cell r="D603">
            <v>0</v>
          </cell>
          <cell r="E603">
            <v>2</v>
          </cell>
          <cell r="G603">
            <v>295</v>
          </cell>
          <cell r="H603" t="str">
            <v>нагнет.</v>
          </cell>
          <cell r="I603" t="str">
            <v>бд</v>
          </cell>
          <cell r="N603">
            <v>150</v>
          </cell>
          <cell r="Q603">
            <v>150</v>
          </cell>
          <cell r="T603">
            <v>38</v>
          </cell>
          <cell r="U603" t="str">
            <v>нг</v>
          </cell>
          <cell r="W603" t="str">
            <v>Ревизия лифта,промывка Нз,ГИС-3</v>
          </cell>
        </row>
        <row r="604">
          <cell r="B604">
            <v>2974</v>
          </cell>
          <cell r="C604">
            <v>46</v>
          </cell>
          <cell r="D604">
            <v>0</v>
          </cell>
          <cell r="E604">
            <v>3</v>
          </cell>
          <cell r="G604">
            <v>280</v>
          </cell>
          <cell r="H604" t="str">
            <v>нагнет.</v>
          </cell>
          <cell r="I604" t="str">
            <v>бд</v>
          </cell>
          <cell r="N604">
            <v>150</v>
          </cell>
          <cell r="Q604">
            <v>150</v>
          </cell>
          <cell r="T604">
            <v>50</v>
          </cell>
          <cell r="U604" t="str">
            <v>нг</v>
          </cell>
          <cell r="W604" t="str">
            <v>Ревизия лифта,промывка Нз</v>
          </cell>
        </row>
        <row r="605">
          <cell r="B605">
            <v>5731</v>
          </cell>
          <cell r="C605">
            <v>125</v>
          </cell>
          <cell r="D605">
            <v>21</v>
          </cell>
          <cell r="E605">
            <v>4</v>
          </cell>
          <cell r="G605">
            <v>245</v>
          </cell>
          <cell r="H605" t="str">
            <v>нагнет.</v>
          </cell>
          <cell r="I605" t="str">
            <v>конс.</v>
          </cell>
          <cell r="N605">
            <v>120</v>
          </cell>
          <cell r="Q605">
            <v>120</v>
          </cell>
          <cell r="T605">
            <v>63</v>
          </cell>
          <cell r="U605" t="str">
            <v>нг</v>
          </cell>
          <cell r="W605" t="str">
            <v>Ревизия лифта,ВЗГИС-3,пуск под закачку</v>
          </cell>
        </row>
        <row r="606">
          <cell r="B606">
            <v>5732</v>
          </cell>
          <cell r="C606">
            <v>125</v>
          </cell>
          <cell r="D606">
            <v>21</v>
          </cell>
          <cell r="E606">
            <v>5</v>
          </cell>
          <cell r="G606">
            <v>245</v>
          </cell>
          <cell r="H606" t="str">
            <v>нагнет.</v>
          </cell>
          <cell r="I606" t="str">
            <v>конс.</v>
          </cell>
          <cell r="Q606">
            <v>0</v>
          </cell>
          <cell r="T606">
            <v>76</v>
          </cell>
          <cell r="U606" t="str">
            <v>нг</v>
          </cell>
          <cell r="W606" t="str">
            <v>Ревизия лифта,ВЗГИС-3,пуск под закачку</v>
          </cell>
        </row>
        <row r="607">
          <cell r="B607">
            <v>5733</v>
          </cell>
          <cell r="C607">
            <v>125</v>
          </cell>
          <cell r="D607">
            <v>21</v>
          </cell>
          <cell r="E607">
            <v>6</v>
          </cell>
          <cell r="G607">
            <v>245</v>
          </cell>
          <cell r="H607" t="str">
            <v>нагнет.</v>
          </cell>
          <cell r="I607" t="str">
            <v>конс.</v>
          </cell>
          <cell r="Q607">
            <v>0</v>
          </cell>
          <cell r="T607">
            <v>89</v>
          </cell>
          <cell r="U607" t="str">
            <v>нг</v>
          </cell>
          <cell r="W607" t="str">
            <v>Ревизия лифта,ВЗГИС-3,пуск под закачку</v>
          </cell>
        </row>
        <row r="608">
          <cell r="B608">
            <v>5371</v>
          </cell>
          <cell r="C608">
            <v>102</v>
          </cell>
          <cell r="D608">
            <v>21</v>
          </cell>
          <cell r="E608">
            <v>7</v>
          </cell>
          <cell r="G608">
            <v>255</v>
          </cell>
          <cell r="H608" t="str">
            <v>нагнет.</v>
          </cell>
          <cell r="I608" t="str">
            <v>бд</v>
          </cell>
          <cell r="N608">
            <v>120</v>
          </cell>
          <cell r="Q608">
            <v>120</v>
          </cell>
          <cell r="R608">
            <v>0</v>
          </cell>
          <cell r="T608">
            <v>107</v>
          </cell>
          <cell r="U608" t="str">
            <v>нг</v>
          </cell>
          <cell r="W608" t="str">
            <v>ОТСК. Запуск ППД</v>
          </cell>
        </row>
        <row r="609">
          <cell r="B609">
            <v>5372</v>
          </cell>
          <cell r="C609">
            <v>102</v>
          </cell>
          <cell r="D609">
            <v>21</v>
          </cell>
          <cell r="E609">
            <v>8</v>
          </cell>
          <cell r="G609">
            <v>250</v>
          </cell>
          <cell r="H609" t="str">
            <v>нагнет.</v>
          </cell>
          <cell r="I609" t="str">
            <v>конс.</v>
          </cell>
          <cell r="N609">
            <v>120</v>
          </cell>
          <cell r="Q609">
            <v>120</v>
          </cell>
          <cell r="R609">
            <v>0</v>
          </cell>
          <cell r="T609">
            <v>134</v>
          </cell>
          <cell r="U609" t="str">
            <v>нг</v>
          </cell>
          <cell r="W609" t="str">
            <v>ЛА (извлечение НКТ). ОТСК. Запуск ППД</v>
          </cell>
          <cell r="X609" t="str">
            <v>Забой - 120 м</v>
          </cell>
        </row>
        <row r="610">
          <cell r="B610">
            <v>5456</v>
          </cell>
          <cell r="C610">
            <v>102</v>
          </cell>
          <cell r="D610">
            <v>21</v>
          </cell>
          <cell r="E610">
            <v>9</v>
          </cell>
          <cell r="G610">
            <v>235</v>
          </cell>
          <cell r="H610" t="str">
            <v>ШГН</v>
          </cell>
          <cell r="I610" t="str">
            <v>бд</v>
          </cell>
          <cell r="N610">
            <v>50</v>
          </cell>
          <cell r="O610">
            <v>3.3</v>
          </cell>
          <cell r="P610">
            <v>92</v>
          </cell>
          <cell r="Q610">
            <v>50</v>
          </cell>
          <cell r="R610">
            <v>3.3</v>
          </cell>
          <cell r="S610">
            <v>91.9</v>
          </cell>
          <cell r="T610">
            <v>161</v>
          </cell>
          <cell r="U610" t="str">
            <v>ЛА</v>
          </cell>
          <cell r="W610" t="str">
            <v>Восст.Нз,УГИС ГДИ сп.ЭЦН</v>
          </cell>
        </row>
        <row r="611">
          <cell r="B611">
            <v>5370</v>
          </cell>
          <cell r="C611">
            <v>102</v>
          </cell>
          <cell r="D611">
            <v>21</v>
          </cell>
          <cell r="E611">
            <v>10</v>
          </cell>
          <cell r="G611">
            <v>255</v>
          </cell>
          <cell r="H611" t="str">
            <v>ШГН</v>
          </cell>
          <cell r="I611" t="str">
            <v>бд</v>
          </cell>
          <cell r="N611">
            <v>50</v>
          </cell>
          <cell r="O611">
            <v>4.0999999999999996</v>
          </cell>
          <cell r="P611">
            <v>90</v>
          </cell>
          <cell r="Q611">
            <v>50</v>
          </cell>
          <cell r="R611">
            <v>4.0999999999999996</v>
          </cell>
          <cell r="S611">
            <v>89.9</v>
          </cell>
          <cell r="T611">
            <v>198</v>
          </cell>
          <cell r="U611" t="str">
            <v>ЛА</v>
          </cell>
          <cell r="W611" t="str">
            <v>Извл.аварийных НКТ</v>
          </cell>
          <cell r="X611" t="str">
            <v>Брошена КРС Отс.лов.инструмента,на Нз 59нкт".Нз.т.-2315м.</v>
          </cell>
        </row>
        <row r="612">
          <cell r="B612">
            <v>5318</v>
          </cell>
          <cell r="C612">
            <v>134</v>
          </cell>
          <cell r="D612">
            <v>21</v>
          </cell>
          <cell r="E612">
            <v>11</v>
          </cell>
          <cell r="G612">
            <v>260</v>
          </cell>
          <cell r="H612" t="str">
            <v>нагнет.</v>
          </cell>
          <cell r="I612" t="str">
            <v>бд</v>
          </cell>
          <cell r="N612">
            <v>150</v>
          </cell>
          <cell r="Q612">
            <v>150</v>
          </cell>
          <cell r="U612" t="str">
            <v>нг</v>
          </cell>
          <cell r="W612" t="str">
            <v>Спуск пакера ,пуск под закачку.</v>
          </cell>
          <cell r="X612" t="str">
            <v>После РИР</v>
          </cell>
        </row>
        <row r="613">
          <cell r="B613">
            <v>2713</v>
          </cell>
          <cell r="C613">
            <v>163</v>
          </cell>
          <cell r="D613">
            <v>0</v>
          </cell>
          <cell r="E613">
            <v>1</v>
          </cell>
          <cell r="G613">
            <v>270</v>
          </cell>
          <cell r="H613" t="str">
            <v>ШГН</v>
          </cell>
          <cell r="I613" t="str">
            <v>действ.</v>
          </cell>
          <cell r="K613">
            <v>3</v>
          </cell>
          <cell r="L613">
            <v>2.4</v>
          </cell>
          <cell r="M613">
            <v>2</v>
          </cell>
          <cell r="N613">
            <v>6</v>
          </cell>
          <cell r="O613">
            <v>4.4000000000000004</v>
          </cell>
          <cell r="P613">
            <v>10</v>
          </cell>
          <cell r="Q613">
            <v>3</v>
          </cell>
          <cell r="R613">
            <v>2.0000000000000004</v>
          </cell>
          <cell r="S613">
            <v>17.7</v>
          </cell>
          <cell r="T613">
            <v>37832</v>
          </cell>
          <cell r="U613" t="str">
            <v>ОПЗ</v>
          </cell>
          <cell r="W613" t="str">
            <v>УГИС. ОПЗ НТПН. ГДИ</v>
          </cell>
        </row>
        <row r="614">
          <cell r="B614">
            <v>2768</v>
          </cell>
          <cell r="C614">
            <v>164</v>
          </cell>
          <cell r="D614">
            <v>0</v>
          </cell>
          <cell r="E614">
            <v>2</v>
          </cell>
          <cell r="G614">
            <v>275</v>
          </cell>
          <cell r="H614" t="str">
            <v>ШГН</v>
          </cell>
          <cell r="I614" t="str">
            <v>действ.</v>
          </cell>
          <cell r="K614">
            <v>5</v>
          </cell>
          <cell r="L614">
            <v>2.4</v>
          </cell>
          <cell r="M614">
            <v>42</v>
          </cell>
          <cell r="N614">
            <v>10</v>
          </cell>
          <cell r="O614">
            <v>4.4000000000000004</v>
          </cell>
          <cell r="P614">
            <v>46.5</v>
          </cell>
          <cell r="Q614">
            <v>5</v>
          </cell>
          <cell r="R614">
            <v>2.0000000000000004</v>
          </cell>
          <cell r="S614">
            <v>50.6</v>
          </cell>
          <cell r="T614">
            <v>37845</v>
          </cell>
          <cell r="U614" t="str">
            <v>ОПЗ</v>
          </cell>
          <cell r="W614" t="str">
            <v>УГИС. ОПЗ НТПН. ГДИ</v>
          </cell>
        </row>
        <row r="615">
          <cell r="B615">
            <v>3004</v>
          </cell>
          <cell r="C615">
            <v>50</v>
          </cell>
          <cell r="D615">
            <v>0</v>
          </cell>
          <cell r="E615">
            <v>3</v>
          </cell>
          <cell r="G615">
            <v>265</v>
          </cell>
          <cell r="H615" t="str">
            <v>ШГН</v>
          </cell>
          <cell r="I615" t="str">
            <v>действ.</v>
          </cell>
          <cell r="K615">
            <v>3</v>
          </cell>
          <cell r="L615">
            <v>2</v>
          </cell>
          <cell r="M615">
            <v>20</v>
          </cell>
          <cell r="N615">
            <v>7</v>
          </cell>
          <cell r="O615">
            <v>4.4000000000000004</v>
          </cell>
          <cell r="P615">
            <v>22</v>
          </cell>
          <cell r="Q615">
            <v>4</v>
          </cell>
          <cell r="R615">
            <v>2.4000000000000004</v>
          </cell>
          <cell r="S615">
            <v>25.9</v>
          </cell>
          <cell r="T615">
            <v>37860</v>
          </cell>
          <cell r="U615" t="str">
            <v>ОПЗ</v>
          </cell>
          <cell r="W615" t="str">
            <v>УГИС. ОПЗ НТПН. ГДИ</v>
          </cell>
        </row>
        <row r="616">
          <cell r="B616">
            <v>3014</v>
          </cell>
          <cell r="C616">
            <v>48</v>
          </cell>
          <cell r="D616">
            <v>0</v>
          </cell>
          <cell r="E616">
            <v>4</v>
          </cell>
          <cell r="G616">
            <v>260</v>
          </cell>
          <cell r="H616" t="str">
            <v>ШГН</v>
          </cell>
          <cell r="I616" t="str">
            <v>действ.</v>
          </cell>
          <cell r="K616">
            <v>3</v>
          </cell>
          <cell r="L616">
            <v>1.7</v>
          </cell>
          <cell r="M616">
            <v>32</v>
          </cell>
          <cell r="N616">
            <v>7</v>
          </cell>
          <cell r="O616">
            <v>3.7</v>
          </cell>
          <cell r="P616">
            <v>35</v>
          </cell>
          <cell r="Q616">
            <v>4</v>
          </cell>
          <cell r="R616">
            <v>2</v>
          </cell>
          <cell r="S616">
            <v>38.299999999999997</v>
          </cell>
          <cell r="T616">
            <v>37875</v>
          </cell>
          <cell r="U616" t="str">
            <v>ОПЗ</v>
          </cell>
          <cell r="W616" t="str">
            <v>УГИС. ОПЗ НТПН. ГДИ</v>
          </cell>
        </row>
        <row r="617">
          <cell r="B617">
            <v>11047</v>
          </cell>
          <cell r="C617" t="str">
            <v>302б</v>
          </cell>
          <cell r="D617">
            <v>40</v>
          </cell>
          <cell r="E617">
            <v>402</v>
          </cell>
          <cell r="G617">
            <v>235</v>
          </cell>
          <cell r="H617" t="str">
            <v>ШГН</v>
          </cell>
          <cell r="I617" t="str">
            <v>действ.</v>
          </cell>
          <cell r="K617">
            <v>1</v>
          </cell>
          <cell r="L617">
            <v>0.7</v>
          </cell>
          <cell r="M617">
            <v>8</v>
          </cell>
          <cell r="N617">
            <v>6</v>
          </cell>
          <cell r="O617">
            <v>4.2</v>
          </cell>
          <cell r="P617">
            <v>14</v>
          </cell>
          <cell r="Q617">
            <v>5</v>
          </cell>
          <cell r="R617">
            <v>3.5</v>
          </cell>
          <cell r="S617">
            <v>13.6</v>
          </cell>
          <cell r="T617">
            <v>37140</v>
          </cell>
          <cell r="U617" t="str">
            <v>ОПЗ</v>
          </cell>
          <cell r="W617" t="str">
            <v>УГИС. ОПЗ НТПН. ГДИ</v>
          </cell>
        </row>
        <row r="618">
          <cell r="B618">
            <v>11040</v>
          </cell>
          <cell r="C618" t="str">
            <v>302б</v>
          </cell>
          <cell r="D618">
            <v>40</v>
          </cell>
          <cell r="E618">
            <v>403</v>
          </cell>
          <cell r="G618">
            <v>250</v>
          </cell>
          <cell r="H618" t="str">
            <v>ШГН</v>
          </cell>
          <cell r="I618" t="str">
            <v>действ.</v>
          </cell>
          <cell r="K618">
            <v>2</v>
          </cell>
          <cell r="L618">
            <v>1.5</v>
          </cell>
          <cell r="M618">
            <v>7</v>
          </cell>
          <cell r="N618">
            <v>6</v>
          </cell>
          <cell r="O618">
            <v>4.5</v>
          </cell>
          <cell r="P618">
            <v>8</v>
          </cell>
          <cell r="Q618">
            <v>4</v>
          </cell>
          <cell r="R618">
            <v>3</v>
          </cell>
          <cell r="S618">
            <v>7.4</v>
          </cell>
          <cell r="T618">
            <v>37155</v>
          </cell>
          <cell r="U618" t="str">
            <v>ОПЗ</v>
          </cell>
          <cell r="W618" t="str">
            <v>УГИС. ОПЗ НТПН. ГДИ</v>
          </cell>
        </row>
        <row r="619">
          <cell r="B619">
            <v>11043</v>
          </cell>
          <cell r="C619" t="str">
            <v>302б</v>
          </cell>
          <cell r="D619">
            <v>40</v>
          </cell>
          <cell r="E619">
            <v>404</v>
          </cell>
          <cell r="G619">
            <v>230</v>
          </cell>
          <cell r="H619" t="str">
            <v>ШГН</v>
          </cell>
          <cell r="I619" t="str">
            <v>действ.</v>
          </cell>
          <cell r="K619">
            <v>3</v>
          </cell>
          <cell r="L619">
            <v>2</v>
          </cell>
          <cell r="M619">
            <v>19</v>
          </cell>
          <cell r="N619">
            <v>7</v>
          </cell>
          <cell r="O619">
            <v>4.5</v>
          </cell>
          <cell r="P619">
            <v>21</v>
          </cell>
          <cell r="Q619">
            <v>4</v>
          </cell>
          <cell r="R619">
            <v>2.5</v>
          </cell>
          <cell r="S619">
            <v>22.8</v>
          </cell>
          <cell r="T619">
            <v>37170</v>
          </cell>
          <cell r="U619" t="str">
            <v>ОПЗ</v>
          </cell>
          <cell r="W619" t="str">
            <v>УГИС. ОПЗ НТПН. ГДИ</v>
          </cell>
        </row>
        <row r="620">
          <cell r="B620">
            <v>4974</v>
          </cell>
          <cell r="C620" t="str">
            <v>205б</v>
          </cell>
          <cell r="D620">
            <v>40</v>
          </cell>
          <cell r="E620">
            <v>401</v>
          </cell>
          <cell r="G620">
            <v>220</v>
          </cell>
          <cell r="H620" t="str">
            <v>ШГН</v>
          </cell>
          <cell r="I620" t="str">
            <v>бд</v>
          </cell>
          <cell r="K620">
            <v>6</v>
          </cell>
          <cell r="L620">
            <v>4.5999999999999996</v>
          </cell>
          <cell r="M620">
            <v>6</v>
          </cell>
          <cell r="N620">
            <v>15</v>
          </cell>
          <cell r="O620">
            <v>10</v>
          </cell>
          <cell r="P620">
            <v>18</v>
          </cell>
          <cell r="Q620">
            <v>15</v>
          </cell>
          <cell r="R620">
            <v>10</v>
          </cell>
          <cell r="S620">
            <v>17.7</v>
          </cell>
          <cell r="T620">
            <v>37196</v>
          </cell>
          <cell r="U620" t="str">
            <v>ГРП</v>
          </cell>
          <cell r="W620" t="str">
            <v>ГРП (ОПЗ КСПЭО.) Спуск ЭЦН-30</v>
          </cell>
        </row>
        <row r="621">
          <cell r="B621">
            <v>5373</v>
          </cell>
          <cell r="C621">
            <v>103</v>
          </cell>
          <cell r="D621">
            <v>50</v>
          </cell>
          <cell r="E621">
            <v>501</v>
          </cell>
          <cell r="G621">
            <v>223.1</v>
          </cell>
          <cell r="H621" t="str">
            <v>нагнет.</v>
          </cell>
          <cell r="I621" t="str">
            <v>конс.</v>
          </cell>
          <cell r="N621">
            <v>120</v>
          </cell>
          <cell r="Q621">
            <v>120</v>
          </cell>
          <cell r="R621">
            <v>0</v>
          </cell>
          <cell r="T621">
            <v>37157</v>
          </cell>
          <cell r="U621" t="str">
            <v>нг</v>
          </cell>
          <cell r="W621" t="str">
            <v>ОТСК. ГИС-3. Ликвидация ЗКЦ?</v>
          </cell>
        </row>
        <row r="622">
          <cell r="B622">
            <v>5374</v>
          </cell>
          <cell r="C622">
            <v>103</v>
          </cell>
          <cell r="D622">
            <v>50</v>
          </cell>
          <cell r="E622">
            <v>502</v>
          </cell>
          <cell r="G622">
            <v>224.5</v>
          </cell>
          <cell r="H622" t="str">
            <v>нагнет.</v>
          </cell>
          <cell r="I622" t="str">
            <v>бд</v>
          </cell>
          <cell r="N622">
            <v>120</v>
          </cell>
          <cell r="Q622">
            <v>120</v>
          </cell>
          <cell r="R622">
            <v>0</v>
          </cell>
          <cell r="T622">
            <v>37193</v>
          </cell>
          <cell r="U622" t="str">
            <v>нг</v>
          </cell>
          <cell r="W622" t="str">
            <v>ВЗ. ОТСК</v>
          </cell>
        </row>
        <row r="623">
          <cell r="B623">
            <v>5400</v>
          </cell>
          <cell r="C623">
            <v>103</v>
          </cell>
          <cell r="D623">
            <v>50</v>
          </cell>
          <cell r="E623">
            <v>502</v>
          </cell>
          <cell r="G623">
            <v>240</v>
          </cell>
          <cell r="H623" t="str">
            <v>ЭЦН</v>
          </cell>
          <cell r="I623" t="str">
            <v>бд</v>
          </cell>
          <cell r="N623">
            <v>100</v>
          </cell>
          <cell r="O623">
            <v>1.6</v>
          </cell>
          <cell r="P623">
            <v>98</v>
          </cell>
          <cell r="Q623">
            <v>100</v>
          </cell>
          <cell r="R623">
            <v>1.6</v>
          </cell>
          <cell r="S623">
            <v>98</v>
          </cell>
          <cell r="T623">
            <v>37228</v>
          </cell>
          <cell r="U623" t="str">
            <v>ЛА</v>
          </cell>
          <cell r="W623" t="str">
            <v>Извл.ЭЦН-80,Восст.Нз ГЖ,ГДИ сп.ЭЦН.</v>
          </cell>
        </row>
        <row r="624">
          <cell r="B624" t="str">
            <v>5402б</v>
          </cell>
          <cell r="C624">
            <v>103</v>
          </cell>
          <cell r="D624">
            <v>50</v>
          </cell>
          <cell r="E624">
            <v>502</v>
          </cell>
          <cell r="G624">
            <v>255</v>
          </cell>
          <cell r="H624" t="str">
            <v>ЭЦН</v>
          </cell>
          <cell r="I624" t="str">
            <v>бд</v>
          </cell>
          <cell r="N624">
            <v>50</v>
          </cell>
          <cell r="O624">
            <v>4.0999999999999996</v>
          </cell>
          <cell r="P624">
            <v>90</v>
          </cell>
          <cell r="Q624">
            <v>50</v>
          </cell>
          <cell r="R624">
            <v>4.0999999999999996</v>
          </cell>
          <cell r="S624">
            <v>89.9</v>
          </cell>
          <cell r="W624" t="str">
            <v>ВЦ,ВЗ УГИС ,ГДИ</v>
          </cell>
        </row>
        <row r="625">
          <cell r="B625">
            <v>5428</v>
          </cell>
          <cell r="C625">
            <v>103</v>
          </cell>
          <cell r="D625">
            <v>50</v>
          </cell>
          <cell r="E625">
            <v>502</v>
          </cell>
          <cell r="G625">
            <v>235</v>
          </cell>
          <cell r="H625" t="str">
            <v>ЭЦН</v>
          </cell>
          <cell r="I625" t="str">
            <v>бд</v>
          </cell>
          <cell r="N625">
            <v>80</v>
          </cell>
          <cell r="O625">
            <v>3.3</v>
          </cell>
          <cell r="P625">
            <v>95</v>
          </cell>
          <cell r="Q625">
            <v>80</v>
          </cell>
          <cell r="R625">
            <v>3.3</v>
          </cell>
          <cell r="S625">
            <v>94.9</v>
          </cell>
          <cell r="W625" t="str">
            <v>ВЦ,ВЗ,(извл.НКТ 3")ПП УГИС.  ГДИ</v>
          </cell>
          <cell r="X625" t="str">
            <v>В ППД с 6.83 по 09.84г.</v>
          </cell>
        </row>
        <row r="626">
          <cell r="B626">
            <v>5347</v>
          </cell>
          <cell r="C626">
            <v>103</v>
          </cell>
          <cell r="D626">
            <v>50</v>
          </cell>
          <cell r="E626">
            <v>502</v>
          </cell>
          <cell r="G626">
            <v>270</v>
          </cell>
          <cell r="H626" t="str">
            <v>ЭЦН</v>
          </cell>
          <cell r="I626" t="str">
            <v>бд</v>
          </cell>
          <cell r="N626">
            <v>80</v>
          </cell>
          <cell r="O626">
            <v>3.3</v>
          </cell>
          <cell r="P626">
            <v>95</v>
          </cell>
          <cell r="Q626">
            <v>80</v>
          </cell>
          <cell r="R626">
            <v>3.3</v>
          </cell>
          <cell r="S626">
            <v>94.9</v>
          </cell>
          <cell r="U626" t="str">
            <v>ЛА</v>
          </cell>
          <cell r="W626" t="str">
            <v>Извл.проволки,восст.Нз ГЖ,ГДИ сп.ЭЦН.</v>
          </cell>
        </row>
        <row r="627">
          <cell r="B627">
            <v>5838</v>
          </cell>
          <cell r="C627" t="str">
            <v>168б</v>
          </cell>
          <cell r="H627" t="str">
            <v>фон</v>
          </cell>
          <cell r="U627" t="str">
            <v>ОПЗ</v>
          </cell>
          <cell r="W627" t="str">
            <v>ЛА ПП,УГИС,ОПЗ ИХН ГДИ (ГРП)</v>
          </cell>
          <cell r="X627" t="str">
            <v>В скажине МСУ-400+2720 проволки</v>
          </cell>
        </row>
        <row r="628">
          <cell r="B628" t="str">
            <v>5845б</v>
          </cell>
          <cell r="C628" t="str">
            <v>168б</v>
          </cell>
          <cell r="H628" t="str">
            <v>фон</v>
          </cell>
          <cell r="U628" t="str">
            <v>ОПЗ</v>
          </cell>
          <cell r="W628" t="str">
            <v>УГИС,ОПЗ НТПН, ГДИ</v>
          </cell>
        </row>
        <row r="629">
          <cell r="B629">
            <v>5849</v>
          </cell>
          <cell r="C629" t="str">
            <v>168б</v>
          </cell>
          <cell r="H629" t="str">
            <v>фон</v>
          </cell>
          <cell r="U629" t="str">
            <v>ОПЗ</v>
          </cell>
          <cell r="W629" t="str">
            <v>ВЦ,(ПП) УГИС ОПЗ ИХН,ГДИ</v>
          </cell>
        </row>
        <row r="630">
          <cell r="B630">
            <v>4120</v>
          </cell>
          <cell r="C630">
            <v>311</v>
          </cell>
          <cell r="H630" t="str">
            <v>эцн</v>
          </cell>
          <cell r="U630" t="str">
            <v>ЛА</v>
          </cell>
          <cell r="W630" t="str">
            <v>ВЦ.ВЗ.УГИС ГДИ</v>
          </cell>
        </row>
        <row r="631">
          <cell r="B631">
            <v>4119</v>
          </cell>
          <cell r="C631">
            <v>311</v>
          </cell>
          <cell r="H631" t="str">
            <v>эцн</v>
          </cell>
          <cell r="U631" t="str">
            <v>ЛА</v>
          </cell>
          <cell r="W631" t="str">
            <v>ВЦ.ВЗ.УГИС ГДИ</v>
          </cell>
        </row>
        <row r="632">
          <cell r="B632">
            <v>5589</v>
          </cell>
          <cell r="C632">
            <v>118</v>
          </cell>
          <cell r="H632" t="str">
            <v>эцн</v>
          </cell>
          <cell r="U632" t="str">
            <v>ЛА</v>
          </cell>
          <cell r="W632" t="str">
            <v>ВЦ?.ВЗ.УГИС ГДИ</v>
          </cell>
        </row>
        <row r="633">
          <cell r="B633">
            <v>5591</v>
          </cell>
          <cell r="C633">
            <v>118</v>
          </cell>
          <cell r="H633" t="str">
            <v>шгн</v>
          </cell>
          <cell r="U633" t="str">
            <v>ЛА</v>
          </cell>
          <cell r="W633" t="str">
            <v>ВЦ.ВЗ.УГИС ГДИ</v>
          </cell>
        </row>
        <row r="634">
          <cell r="B634">
            <v>5388</v>
          </cell>
          <cell r="C634">
            <v>107</v>
          </cell>
          <cell r="H634" t="str">
            <v>нагнет.</v>
          </cell>
          <cell r="U634" t="str">
            <v>нг</v>
          </cell>
          <cell r="W634" t="str">
            <v>Изоляция ЮК-11,ОПЗ ЮК-10 пуск под зак.</v>
          </cell>
        </row>
        <row r="635">
          <cell r="B635">
            <v>5386</v>
          </cell>
          <cell r="C635">
            <v>107</v>
          </cell>
          <cell r="H635" t="str">
            <v>нагнет.</v>
          </cell>
          <cell r="U635" t="str">
            <v>нг</v>
          </cell>
          <cell r="W635" t="str">
            <v>Изоляция ЮК-11,ОПЗ ЮК-10 пуск под зак.</v>
          </cell>
        </row>
        <row r="636">
          <cell r="B636">
            <v>5384</v>
          </cell>
          <cell r="C636">
            <v>107</v>
          </cell>
          <cell r="H636" t="str">
            <v>нагнет.</v>
          </cell>
          <cell r="U636" t="str">
            <v>нг</v>
          </cell>
          <cell r="W636" t="str">
            <v>УГИС, ГИС-3 пуск под закачку</v>
          </cell>
        </row>
        <row r="637">
          <cell r="B637">
            <v>3282</v>
          </cell>
          <cell r="C637" t="str">
            <v>70б</v>
          </cell>
          <cell r="D637">
            <v>10</v>
          </cell>
          <cell r="E637">
            <v>106</v>
          </cell>
          <cell r="G637">
            <v>275</v>
          </cell>
          <cell r="H637" t="str">
            <v>нагнет.</v>
          </cell>
          <cell r="I637" t="str">
            <v>конс.</v>
          </cell>
          <cell r="N637">
            <v>250</v>
          </cell>
          <cell r="Q637">
            <v>250</v>
          </cell>
          <cell r="R637">
            <v>0</v>
          </cell>
          <cell r="T637">
            <v>37185</v>
          </cell>
          <cell r="U637" t="str">
            <v>нг</v>
          </cell>
          <cell r="W637" t="str">
            <v>Спуск и привязка пакера, опред. прием.ЮК11</v>
          </cell>
          <cell r="X637" t="str">
            <v>Утилизация</v>
          </cell>
        </row>
        <row r="638">
          <cell r="B638">
            <v>3301</v>
          </cell>
          <cell r="C638" t="str">
            <v>70б</v>
          </cell>
          <cell r="D638">
            <v>10</v>
          </cell>
          <cell r="E638">
            <v>107</v>
          </cell>
          <cell r="G638">
            <v>290</v>
          </cell>
          <cell r="H638" t="str">
            <v>нагнет.</v>
          </cell>
          <cell r="I638" t="str">
            <v>действ.</v>
          </cell>
          <cell r="K638">
            <v>580</v>
          </cell>
          <cell r="N638">
            <v>350</v>
          </cell>
          <cell r="Q638">
            <v>350</v>
          </cell>
          <cell r="R638">
            <v>0</v>
          </cell>
          <cell r="T638">
            <v>37197</v>
          </cell>
          <cell r="U638" t="str">
            <v>нг</v>
          </cell>
          <cell r="W638" t="str">
            <v>Ревизия и привязка пакера</v>
          </cell>
          <cell r="X638" t="str">
            <v>Утилизация</v>
          </cell>
        </row>
        <row r="639">
          <cell r="B639">
            <v>2613</v>
          </cell>
          <cell r="C639">
            <v>157</v>
          </cell>
          <cell r="D639">
            <v>10</v>
          </cell>
          <cell r="E639">
            <v>108</v>
          </cell>
          <cell r="G639">
            <v>240</v>
          </cell>
          <cell r="H639" t="str">
            <v>ШГН</v>
          </cell>
          <cell r="I639" t="str">
            <v>бд</v>
          </cell>
          <cell r="J639">
            <v>34180</v>
          </cell>
          <cell r="N639">
            <v>24</v>
          </cell>
          <cell r="O639">
            <v>14</v>
          </cell>
          <cell r="P639">
            <v>28.5</v>
          </cell>
          <cell r="Q639">
            <v>24</v>
          </cell>
          <cell r="R639">
            <v>14</v>
          </cell>
          <cell r="S639">
            <v>28</v>
          </cell>
          <cell r="T639">
            <v>37202</v>
          </cell>
          <cell r="U639" t="str">
            <v>ГРП</v>
          </cell>
          <cell r="W639" t="str">
            <v>ЛА (НКТ). СО-каротаж. Дострел п."б".ГРП</v>
          </cell>
        </row>
        <row r="640">
          <cell r="B640">
            <v>2595</v>
          </cell>
          <cell r="C640">
            <v>157</v>
          </cell>
          <cell r="D640">
            <v>10</v>
          </cell>
          <cell r="E640">
            <v>109</v>
          </cell>
          <cell r="G640">
            <v>240</v>
          </cell>
          <cell r="H640" t="str">
            <v>Ф/ШГН</v>
          </cell>
          <cell r="N640">
            <v>12</v>
          </cell>
          <cell r="O640">
            <v>4.5</v>
          </cell>
          <cell r="P640">
            <v>54</v>
          </cell>
          <cell r="Q640">
            <v>12</v>
          </cell>
          <cell r="R640">
            <v>4.5</v>
          </cell>
          <cell r="S640">
            <v>53.7</v>
          </cell>
          <cell r="T640">
            <v>37203</v>
          </cell>
          <cell r="U640" t="str">
            <v>ОПЗ</v>
          </cell>
          <cell r="W640" t="str">
            <v>ЛА (НКТ). ОПЗ (НТПН)</v>
          </cell>
          <cell r="X640" t="str">
            <v>Прихват НКТ</v>
          </cell>
        </row>
        <row r="641">
          <cell r="B641">
            <v>2533</v>
          </cell>
          <cell r="C641">
            <v>150</v>
          </cell>
          <cell r="D641">
            <v>17</v>
          </cell>
          <cell r="H641" t="str">
            <v>ШГН</v>
          </cell>
          <cell r="I641" t="str">
            <v>действ.</v>
          </cell>
          <cell r="K641">
            <v>11</v>
          </cell>
          <cell r="L641">
            <v>5.2</v>
          </cell>
          <cell r="M641">
            <v>42</v>
          </cell>
          <cell r="N641">
            <v>40</v>
          </cell>
          <cell r="O641">
            <v>13</v>
          </cell>
          <cell r="P641">
            <v>60</v>
          </cell>
          <cell r="Q641">
            <v>29</v>
          </cell>
          <cell r="R641">
            <v>7.8</v>
          </cell>
          <cell r="S641">
            <v>66.8</v>
          </cell>
          <cell r="T641">
            <v>37270</v>
          </cell>
          <cell r="U641" t="str">
            <v>ГРП</v>
          </cell>
          <cell r="W641" t="str">
            <v>ИР ЮК-11. ПП ЮК-10. ГРП</v>
          </cell>
        </row>
        <row r="642">
          <cell r="B642">
            <v>2595</v>
          </cell>
          <cell r="C642">
            <v>157</v>
          </cell>
          <cell r="D642">
            <v>17</v>
          </cell>
          <cell r="H642" t="str">
            <v>ШГН</v>
          </cell>
          <cell r="I642" t="str">
            <v>бд</v>
          </cell>
          <cell r="J642">
            <v>33710</v>
          </cell>
          <cell r="N642">
            <v>20</v>
          </cell>
          <cell r="O642">
            <v>13</v>
          </cell>
          <cell r="P642">
            <v>20</v>
          </cell>
          <cell r="Q642">
            <v>20</v>
          </cell>
          <cell r="R642">
            <v>13</v>
          </cell>
          <cell r="S642">
            <v>19.8</v>
          </cell>
          <cell r="U642" t="str">
            <v>ГРП</v>
          </cell>
          <cell r="W642" t="str">
            <v>ЛА, ГИС(ЗКЦ), ликв.ЗКЦ, ГРП</v>
          </cell>
        </row>
        <row r="643">
          <cell r="B643">
            <v>2613</v>
          </cell>
          <cell r="C643">
            <v>157</v>
          </cell>
          <cell r="D643">
            <v>17</v>
          </cell>
          <cell r="H643" t="str">
            <v>ШГН</v>
          </cell>
          <cell r="I643" t="str">
            <v>бд</v>
          </cell>
          <cell r="J643">
            <v>34180</v>
          </cell>
          <cell r="N643">
            <v>20</v>
          </cell>
          <cell r="O643">
            <v>10</v>
          </cell>
          <cell r="P643">
            <v>38.5</v>
          </cell>
          <cell r="Q643">
            <v>20</v>
          </cell>
          <cell r="R643">
            <v>10</v>
          </cell>
          <cell r="S643">
            <v>38.299999999999997</v>
          </cell>
          <cell r="U643" t="str">
            <v>ГРП</v>
          </cell>
          <cell r="W643" t="str">
            <v>ЛА(ВЗ), ГРП</v>
          </cell>
        </row>
        <row r="644">
          <cell r="B644">
            <v>2716</v>
          </cell>
          <cell r="C644">
            <v>165</v>
          </cell>
          <cell r="D644">
            <v>17</v>
          </cell>
          <cell r="H644" t="str">
            <v>ШГН</v>
          </cell>
          <cell r="I644" t="str">
            <v>действ.</v>
          </cell>
          <cell r="K644">
            <v>2</v>
          </cell>
          <cell r="L644">
            <v>0.1</v>
          </cell>
          <cell r="M644">
            <v>96</v>
          </cell>
          <cell r="N644">
            <v>20</v>
          </cell>
          <cell r="O644">
            <v>10.1</v>
          </cell>
          <cell r="P644">
            <v>38</v>
          </cell>
          <cell r="Q644">
            <v>18</v>
          </cell>
          <cell r="R644">
            <v>10</v>
          </cell>
          <cell r="S644">
            <v>31.4</v>
          </cell>
          <cell r="U644" t="str">
            <v>ГРП</v>
          </cell>
          <cell r="W644" t="str">
            <v>ГИС(ЗКЦ), ИР низ ЮК-10, ГРП  пачки А3</v>
          </cell>
        </row>
        <row r="645">
          <cell r="B645">
            <v>5850</v>
          </cell>
          <cell r="C645">
            <v>169</v>
          </cell>
          <cell r="D645">
            <v>17</v>
          </cell>
          <cell r="H645" t="str">
            <v>ФОН</v>
          </cell>
          <cell r="I645" t="str">
            <v>конс.</v>
          </cell>
          <cell r="J645">
            <v>34151</v>
          </cell>
          <cell r="N645">
            <v>50</v>
          </cell>
          <cell r="O645">
            <v>4</v>
          </cell>
          <cell r="P645">
            <v>90.1</v>
          </cell>
          <cell r="Q645">
            <v>50</v>
          </cell>
          <cell r="R645">
            <v>4</v>
          </cell>
          <cell r="S645">
            <v>90.1</v>
          </cell>
          <cell r="U645" t="str">
            <v>ОПЗ</v>
          </cell>
          <cell r="W645" t="str">
            <v>ВЦ, УГИС, ПП через УГИС в кислотной среде</v>
          </cell>
        </row>
        <row r="653">
          <cell r="W653" t="str">
            <v>Резерв</v>
          </cell>
        </row>
        <row r="654">
          <cell r="B654">
            <v>2631</v>
          </cell>
          <cell r="C654" t="str">
            <v>157б</v>
          </cell>
          <cell r="R654">
            <v>10</v>
          </cell>
          <cell r="W654" t="str">
            <v>ЛА, ВЗ, ПП ЮК-11 DN, сп.ЭЦН-50</v>
          </cell>
        </row>
        <row r="655">
          <cell r="B655">
            <v>2649</v>
          </cell>
          <cell r="C655" t="str">
            <v>157б</v>
          </cell>
          <cell r="H655" t="str">
            <v xml:space="preserve">ШГН </v>
          </cell>
          <cell r="I655" t="str">
            <v>действ.</v>
          </cell>
          <cell r="R655">
            <v>5</v>
          </cell>
          <cell r="W655" t="str">
            <v xml:space="preserve"> ДП ЮК-10 2797-2802, ПП ЮК-10 сп. НН. Инт.2654-2662, при наличии нефти  в ЮК-2 и воды в ЮК-10 ГРП</v>
          </cell>
        </row>
        <row r="656">
          <cell r="B656">
            <v>2685</v>
          </cell>
          <cell r="C656" t="str">
            <v>160б</v>
          </cell>
          <cell r="H656" t="str">
            <v>ФОН</v>
          </cell>
          <cell r="I656" t="str">
            <v>конс.</v>
          </cell>
          <cell r="R656">
            <v>5</v>
          </cell>
          <cell r="W656" t="str">
            <v>ВЦ,ГИС-2,ПП ЮК-10,дополнительная</v>
          </cell>
        </row>
        <row r="657">
          <cell r="B657">
            <v>2704</v>
          </cell>
          <cell r="C657" t="str">
            <v>160б</v>
          </cell>
          <cell r="D657">
            <v>4</v>
          </cell>
          <cell r="E657">
            <v>43</v>
          </cell>
          <cell r="F657" t="str">
            <v>УПНПиКРС</v>
          </cell>
          <cell r="R657">
            <v>12</v>
          </cell>
          <cell r="W657" t="str">
            <v>ЛА, РИР, ПП ЮК-10 ГРП</v>
          </cell>
        </row>
        <row r="658">
          <cell r="B658">
            <v>2750</v>
          </cell>
          <cell r="C658">
            <v>146</v>
          </cell>
          <cell r="R658">
            <v>5.5</v>
          </cell>
          <cell r="W658" t="str">
            <v>ПП, спЭ-45, L-2100м</v>
          </cell>
        </row>
        <row r="659">
          <cell r="B659">
            <v>2751</v>
          </cell>
          <cell r="C659">
            <v>146</v>
          </cell>
          <cell r="R659">
            <v>4.5</v>
          </cell>
          <cell r="W659" t="str">
            <v>ВЗ, ПП, ЮК-10-11, сп.Э-50</v>
          </cell>
        </row>
        <row r="660">
          <cell r="B660">
            <v>2754</v>
          </cell>
          <cell r="C660">
            <v>145</v>
          </cell>
          <cell r="D660">
            <v>3</v>
          </cell>
          <cell r="I660" t="str">
            <v>конс.</v>
          </cell>
          <cell r="J660">
            <v>32843</v>
          </cell>
          <cell r="K660">
            <v>6</v>
          </cell>
          <cell r="L660">
            <v>0.5</v>
          </cell>
          <cell r="M660">
            <v>90</v>
          </cell>
          <cell r="N660">
            <v>30</v>
          </cell>
          <cell r="O660">
            <v>12</v>
          </cell>
          <cell r="P660">
            <v>51</v>
          </cell>
          <cell r="Q660">
            <v>30</v>
          </cell>
          <cell r="R660">
            <v>12</v>
          </cell>
          <cell r="S660">
            <v>50.6</v>
          </cell>
          <cell r="U660" t="str">
            <v>ГРП</v>
          </cell>
          <cell r="W660" t="str">
            <v>ГРП, возможно приобщение ЮК-11</v>
          </cell>
        </row>
        <row r="661">
          <cell r="B661">
            <v>2755</v>
          </cell>
          <cell r="C661">
            <v>145</v>
          </cell>
          <cell r="D661">
            <v>3</v>
          </cell>
          <cell r="I661" t="str">
            <v>бд</v>
          </cell>
          <cell r="J661">
            <v>33968</v>
          </cell>
          <cell r="K661">
            <v>40</v>
          </cell>
          <cell r="L661">
            <v>1.6</v>
          </cell>
          <cell r="M661">
            <v>95</v>
          </cell>
          <cell r="N661">
            <v>30</v>
          </cell>
          <cell r="O661">
            <v>12</v>
          </cell>
          <cell r="P661">
            <v>51</v>
          </cell>
          <cell r="Q661">
            <v>30</v>
          </cell>
          <cell r="R661">
            <v>12</v>
          </cell>
          <cell r="S661">
            <v>50.6</v>
          </cell>
          <cell r="U661" t="str">
            <v>ГРП</v>
          </cell>
          <cell r="W661" t="str">
            <v>ГИС-2(и.о.) РИР ЮК-11, ГРП с отсыпкой низа ЮК-10</v>
          </cell>
        </row>
        <row r="662">
          <cell r="B662">
            <v>2756</v>
          </cell>
          <cell r="C662">
            <v>145</v>
          </cell>
          <cell r="D662">
            <v>3</v>
          </cell>
          <cell r="I662" t="str">
            <v>бд</v>
          </cell>
          <cell r="J662">
            <v>35786</v>
          </cell>
          <cell r="K662">
            <v>70</v>
          </cell>
          <cell r="L662">
            <v>10.8</v>
          </cell>
          <cell r="M662">
            <v>81</v>
          </cell>
          <cell r="N662">
            <v>50</v>
          </cell>
          <cell r="O662">
            <v>10</v>
          </cell>
          <cell r="P662">
            <v>75.400000000000006</v>
          </cell>
          <cell r="Q662">
            <v>50</v>
          </cell>
          <cell r="R662">
            <v>10</v>
          </cell>
          <cell r="S662">
            <v>75.3</v>
          </cell>
          <cell r="U662" t="str">
            <v>РИР</v>
          </cell>
          <cell r="W662" t="str">
            <v>РИР Э/К 2562-2673, ПП-ЮК-10 с ОПЗ</v>
          </cell>
        </row>
        <row r="663">
          <cell r="B663">
            <v>2784</v>
          </cell>
          <cell r="C663">
            <v>145</v>
          </cell>
          <cell r="R663">
            <v>5</v>
          </cell>
          <cell r="W663" t="str">
            <v>ЛА, ГИС-2(и.о.)при отс.ЗКЦ с ЮК-11 ПП п.А с ОПЗ, сп.ЭЦН, при наличии ЗКЦ в консервацию</v>
          </cell>
        </row>
        <row r="664">
          <cell r="B664">
            <v>2920</v>
          </cell>
          <cell r="C664">
            <v>43</v>
          </cell>
          <cell r="R664">
            <v>10</v>
          </cell>
          <cell r="W664" t="str">
            <v>ВЦ,дострел 2812-2816м,2820-2825м,ГРП</v>
          </cell>
        </row>
        <row r="665">
          <cell r="B665">
            <v>2956</v>
          </cell>
          <cell r="C665">
            <v>46</v>
          </cell>
          <cell r="R665">
            <v>4</v>
          </cell>
          <cell r="W665" t="str">
            <v>РИР ЮК-11,перевод на ЮК-10 ,сп Н-57,интер.ЮК-3 2500-2520м</v>
          </cell>
        </row>
        <row r="666">
          <cell r="B666">
            <v>2982</v>
          </cell>
          <cell r="C666">
            <v>50</v>
          </cell>
          <cell r="F666" t="str">
            <v>УПНПиКРС</v>
          </cell>
          <cell r="G666">
            <v>260</v>
          </cell>
          <cell r="H666" t="str">
            <v>ШГН</v>
          </cell>
          <cell r="I666" t="str">
            <v>конс.</v>
          </cell>
          <cell r="J666">
            <v>34335</v>
          </cell>
          <cell r="K666">
            <v>0</v>
          </cell>
          <cell r="L666">
            <v>0</v>
          </cell>
          <cell r="M666">
            <v>0</v>
          </cell>
          <cell r="N666">
            <v>40</v>
          </cell>
          <cell r="O666">
            <v>26.1</v>
          </cell>
          <cell r="P666">
            <v>20</v>
          </cell>
          <cell r="Q666">
            <v>40</v>
          </cell>
          <cell r="R666">
            <v>26.1</v>
          </cell>
          <cell r="S666">
            <v>19.399999999999999</v>
          </cell>
          <cell r="T666">
            <v>37905</v>
          </cell>
          <cell r="U666" t="str">
            <v>грп</v>
          </cell>
          <cell r="W666" t="str">
            <v>ВЦ,ПР,ГРП ЮК-10,осв.</v>
          </cell>
        </row>
        <row r="667">
          <cell r="B667">
            <v>2962</v>
          </cell>
          <cell r="C667" t="str">
            <v>50б</v>
          </cell>
          <cell r="F667" t="str">
            <v>УПНПиКРС</v>
          </cell>
          <cell r="G667">
            <v>258</v>
          </cell>
          <cell r="H667" t="str">
            <v>фон</v>
          </cell>
          <cell r="I667" t="str">
            <v>конс.</v>
          </cell>
          <cell r="J667">
            <v>34335</v>
          </cell>
          <cell r="K667">
            <v>0</v>
          </cell>
          <cell r="L667">
            <v>0</v>
          </cell>
          <cell r="M667">
            <v>0</v>
          </cell>
          <cell r="N667">
            <v>30</v>
          </cell>
          <cell r="O667">
            <v>9.8000000000000007</v>
          </cell>
          <cell r="P667">
            <v>60</v>
          </cell>
          <cell r="Q667">
            <v>30</v>
          </cell>
          <cell r="R667">
            <v>9.8000000000000007</v>
          </cell>
          <cell r="S667">
            <v>59.7</v>
          </cell>
          <cell r="T667">
            <v>37897</v>
          </cell>
          <cell r="U667" t="str">
            <v>ВВ</v>
          </cell>
          <cell r="W667" t="str">
            <v>ПП+ДП,сп Э-30</v>
          </cell>
        </row>
        <row r="668">
          <cell r="B668">
            <v>3034</v>
          </cell>
          <cell r="C668">
            <v>51</v>
          </cell>
          <cell r="H668" t="str">
            <v>ШГН</v>
          </cell>
          <cell r="I668" t="str">
            <v>конс.</v>
          </cell>
          <cell r="N668">
            <v>50</v>
          </cell>
          <cell r="O668">
            <v>5</v>
          </cell>
          <cell r="P668">
            <v>87.7</v>
          </cell>
          <cell r="Q668">
            <v>50</v>
          </cell>
          <cell r="R668">
            <v>5</v>
          </cell>
          <cell r="S668">
            <v>87.7</v>
          </cell>
          <cell r="W668" t="str">
            <v>ВЦ,ПП ЮК-11,сп Э-50</v>
          </cell>
        </row>
        <row r="669">
          <cell r="B669">
            <v>5341</v>
          </cell>
          <cell r="C669">
            <v>101</v>
          </cell>
          <cell r="R669">
            <v>6</v>
          </cell>
          <cell r="W669" t="str">
            <v>приобщение ЮК-11 (3016-3018м,3019-3023м)</v>
          </cell>
        </row>
        <row r="670">
          <cell r="B670">
            <v>5342</v>
          </cell>
          <cell r="C670">
            <v>101</v>
          </cell>
          <cell r="R670">
            <v>6</v>
          </cell>
          <cell r="W670" t="str">
            <v>ВЗ,ОТСК,ВЦ,ДП 2942-2950м,ПП,ОПЗ</v>
          </cell>
        </row>
        <row r="671">
          <cell r="B671">
            <v>5412</v>
          </cell>
          <cell r="C671">
            <v>107</v>
          </cell>
          <cell r="R671">
            <v>4.5</v>
          </cell>
          <cell r="W671" t="str">
            <v>РИР ЮК-11,ПП с ОПЗ,сп Н-57</v>
          </cell>
        </row>
        <row r="672">
          <cell r="B672">
            <v>5435</v>
          </cell>
          <cell r="C672">
            <v>106</v>
          </cell>
          <cell r="R672">
            <v>6</v>
          </cell>
          <cell r="W672" t="str">
            <v>ЛА ( НКТ ),ПП, сп Э-50</v>
          </cell>
        </row>
        <row r="673">
          <cell r="B673">
            <v>5615</v>
          </cell>
          <cell r="C673">
            <v>116</v>
          </cell>
          <cell r="R673">
            <v>5</v>
          </cell>
          <cell r="W673" t="str">
            <v>ВЦ,ПП,ОПЗ,сп Э-50</v>
          </cell>
        </row>
        <row r="674">
          <cell r="B674">
            <v>5583</v>
          </cell>
          <cell r="C674">
            <v>116</v>
          </cell>
          <cell r="H674" t="str">
            <v>ЭЦН</v>
          </cell>
          <cell r="I674" t="str">
            <v>конс.</v>
          </cell>
          <cell r="N674">
            <v>50</v>
          </cell>
          <cell r="O674">
            <v>5</v>
          </cell>
          <cell r="P674">
            <v>87.7</v>
          </cell>
          <cell r="Q674">
            <v>50</v>
          </cell>
          <cell r="R674">
            <v>5</v>
          </cell>
          <cell r="S674">
            <v>87.7</v>
          </cell>
          <cell r="W674" t="str">
            <v>ВЦ,ПП, сп Э-50 ( ООО прогр.)</v>
          </cell>
        </row>
        <row r="675">
          <cell r="B675" t="str">
            <v>5402б</v>
          </cell>
          <cell r="C675">
            <v>103</v>
          </cell>
          <cell r="H675" t="str">
            <v>ЭЦН</v>
          </cell>
          <cell r="I675" t="str">
            <v>конс.</v>
          </cell>
          <cell r="N675">
            <v>80</v>
          </cell>
          <cell r="O675">
            <v>5</v>
          </cell>
          <cell r="P675">
            <v>92.3</v>
          </cell>
          <cell r="Q675">
            <v>80</v>
          </cell>
          <cell r="R675">
            <v>5</v>
          </cell>
          <cell r="S675">
            <v>92.3</v>
          </cell>
          <cell r="W675" t="str">
            <v>ВЦ,ПП с ОПЗ сп Э-80 ( ООО э/прогрев )</v>
          </cell>
        </row>
        <row r="676">
          <cell r="B676" t="str">
            <v>5491б</v>
          </cell>
          <cell r="C676">
            <v>117</v>
          </cell>
          <cell r="R676">
            <v>5</v>
          </cell>
          <cell r="W676" t="str">
            <v>ВЦ,ПП,ОПЗ,ГИС-2,ОТСК,сп Э-50</v>
          </cell>
        </row>
        <row r="677">
          <cell r="B677">
            <v>5338</v>
          </cell>
          <cell r="C677">
            <v>141</v>
          </cell>
          <cell r="D677" t="e">
            <v>#REF!</v>
          </cell>
          <cell r="E677" t="e">
            <v>#REF!</v>
          </cell>
          <cell r="F677" t="str">
            <v>УПНПиКРС</v>
          </cell>
          <cell r="G677">
            <v>280</v>
          </cell>
          <cell r="H677" t="str">
            <v>нагнет.</v>
          </cell>
          <cell r="I677" t="str">
            <v>бд</v>
          </cell>
          <cell r="J677">
            <v>36711</v>
          </cell>
          <cell r="K677">
            <v>230</v>
          </cell>
          <cell r="N677">
            <v>230</v>
          </cell>
          <cell r="Q677">
            <v>230</v>
          </cell>
          <cell r="V677">
            <v>3</v>
          </cell>
          <cell r="W677" t="str">
            <v>Ревизия пакера</v>
          </cell>
        </row>
        <row r="678">
          <cell r="B678">
            <v>2608</v>
          </cell>
          <cell r="C678" t="str">
            <v>168б</v>
          </cell>
          <cell r="D678">
            <v>5</v>
          </cell>
          <cell r="E678">
            <v>50</v>
          </cell>
          <cell r="F678" t="str">
            <v>УПНПиКРС</v>
          </cell>
          <cell r="G678">
            <v>240</v>
          </cell>
          <cell r="H678" t="str">
            <v>ШГН</v>
          </cell>
          <cell r="I678" t="str">
            <v>действ.</v>
          </cell>
          <cell r="K678">
            <v>3</v>
          </cell>
          <cell r="L678">
            <v>2.2999999999999998</v>
          </cell>
          <cell r="M678">
            <v>5</v>
          </cell>
          <cell r="N678">
            <v>30</v>
          </cell>
          <cell r="O678">
            <v>14.3</v>
          </cell>
          <cell r="P678">
            <v>41.4</v>
          </cell>
          <cell r="Q678">
            <v>27</v>
          </cell>
          <cell r="R678">
            <v>12</v>
          </cell>
          <cell r="S678">
            <v>45.1</v>
          </cell>
          <cell r="T678">
            <v>37367</v>
          </cell>
          <cell r="U678" t="str">
            <v>ГРП</v>
          </cell>
          <cell r="V678">
            <v>2</v>
          </cell>
          <cell r="W678" t="str">
            <v>инт.ЮК 4-5 2569-2578, 2582-2592м,ГРП</v>
          </cell>
        </row>
        <row r="679">
          <cell r="B679">
            <v>2596</v>
          </cell>
          <cell r="C679">
            <v>150</v>
          </cell>
          <cell r="D679" t="e">
            <v>#REF!</v>
          </cell>
          <cell r="E679" t="e">
            <v>#REF!</v>
          </cell>
          <cell r="F679" t="str">
            <v>УПНПиКРС</v>
          </cell>
          <cell r="G679">
            <v>250</v>
          </cell>
          <cell r="H679" t="str">
            <v>ШГН</v>
          </cell>
          <cell r="I679" t="str">
            <v>конс.</v>
          </cell>
          <cell r="J679">
            <v>34304</v>
          </cell>
          <cell r="K679">
            <v>3</v>
          </cell>
          <cell r="L679">
            <v>1</v>
          </cell>
          <cell r="M679">
            <v>60</v>
          </cell>
          <cell r="N679">
            <v>30</v>
          </cell>
          <cell r="O679">
            <v>12</v>
          </cell>
          <cell r="P679">
            <v>50.8</v>
          </cell>
          <cell r="Q679">
            <v>30</v>
          </cell>
          <cell r="R679">
            <v>12</v>
          </cell>
          <cell r="S679">
            <v>50.6</v>
          </cell>
          <cell r="T679" t="e">
            <v>#REF!</v>
          </cell>
          <cell r="U679" t="str">
            <v>ГРП</v>
          </cell>
          <cell r="V679">
            <v>2</v>
          </cell>
          <cell r="W679" t="str">
            <v>ВЦ, ИР ЮК-10, ПР к ГРП и ГРП ЮК-2-3</v>
          </cell>
        </row>
        <row r="680">
          <cell r="B680">
            <v>2668</v>
          </cell>
          <cell r="C680" t="str">
            <v>160б</v>
          </cell>
          <cell r="D680" t="e">
            <v>#REF!</v>
          </cell>
          <cell r="E680" t="e">
            <v>#REF!</v>
          </cell>
          <cell r="F680" t="str">
            <v>УПНПиКРС</v>
          </cell>
          <cell r="G680">
            <v>250</v>
          </cell>
          <cell r="H680" t="str">
            <v>ШГН</v>
          </cell>
          <cell r="I680" t="str">
            <v>конс.</v>
          </cell>
          <cell r="J680">
            <v>34243</v>
          </cell>
          <cell r="K680">
            <v>0.7</v>
          </cell>
          <cell r="L680">
            <v>0.6</v>
          </cell>
          <cell r="M680">
            <v>0</v>
          </cell>
          <cell r="N680">
            <v>30</v>
          </cell>
          <cell r="O680">
            <v>14</v>
          </cell>
          <cell r="P680">
            <v>42.8</v>
          </cell>
          <cell r="Q680">
            <v>30</v>
          </cell>
          <cell r="R680">
            <v>14</v>
          </cell>
          <cell r="S680">
            <v>42.4</v>
          </cell>
          <cell r="T680" t="e">
            <v>#REF!</v>
          </cell>
          <cell r="U680" t="str">
            <v>ГРП</v>
          </cell>
          <cell r="V680">
            <v>4</v>
          </cell>
          <cell r="W680" t="str">
            <v>ВЦ,ПП, ГРП ЮК-10</v>
          </cell>
        </row>
        <row r="681">
          <cell r="B681">
            <v>2704</v>
          </cell>
          <cell r="C681" t="str">
            <v>160б</v>
          </cell>
          <cell r="D681" t="e">
            <v>#REF!</v>
          </cell>
          <cell r="E681" t="e">
            <v>#REF!</v>
          </cell>
          <cell r="F681" t="str">
            <v>УПНПиКРС</v>
          </cell>
          <cell r="G681">
            <v>270</v>
          </cell>
          <cell r="H681" t="str">
            <v>ФОН</v>
          </cell>
          <cell r="I681" t="str">
            <v>конс.</v>
          </cell>
          <cell r="J681">
            <v>34364</v>
          </cell>
          <cell r="K681">
            <v>29</v>
          </cell>
          <cell r="L681">
            <v>1.2</v>
          </cell>
          <cell r="M681">
            <v>95</v>
          </cell>
          <cell r="N681">
            <v>30</v>
          </cell>
          <cell r="O681">
            <v>12</v>
          </cell>
          <cell r="P681">
            <v>51</v>
          </cell>
          <cell r="Q681">
            <v>30</v>
          </cell>
          <cell r="R681">
            <v>12</v>
          </cell>
          <cell r="S681">
            <v>50.6</v>
          </cell>
          <cell r="T681" t="e">
            <v>#REF!</v>
          </cell>
          <cell r="U681" t="str">
            <v>ГРП</v>
          </cell>
          <cell r="V681">
            <v>5</v>
          </cell>
          <cell r="W681" t="str">
            <v>ЛА,ИР ЮК-11,ПП ЮК-10 ГРП</v>
          </cell>
        </row>
        <row r="682">
          <cell r="B682">
            <v>2705</v>
          </cell>
          <cell r="C682" t="str">
            <v>160б</v>
          </cell>
          <cell r="D682" t="e">
            <v>#REF!</v>
          </cell>
          <cell r="E682" t="e">
            <v>#REF!</v>
          </cell>
          <cell r="F682" t="str">
            <v>УПНПиКРС</v>
          </cell>
          <cell r="G682">
            <v>260</v>
          </cell>
          <cell r="H682" t="str">
            <v>ШГН</v>
          </cell>
          <cell r="I682" t="str">
            <v>бд</v>
          </cell>
          <cell r="J682">
            <v>36332</v>
          </cell>
          <cell r="K682">
            <v>2</v>
          </cell>
          <cell r="L682">
            <v>1.6</v>
          </cell>
          <cell r="M682">
            <v>3</v>
          </cell>
          <cell r="N682">
            <v>40</v>
          </cell>
          <cell r="O682">
            <v>7</v>
          </cell>
          <cell r="P682">
            <v>78.5</v>
          </cell>
          <cell r="Q682">
            <v>40</v>
          </cell>
          <cell r="R682">
            <v>7</v>
          </cell>
          <cell r="S682">
            <v>78.400000000000006</v>
          </cell>
          <cell r="T682" t="e">
            <v>#REF!</v>
          </cell>
          <cell r="U682" t="str">
            <v>ОПЗ</v>
          </cell>
          <cell r="V682">
            <v>6</v>
          </cell>
          <cell r="W682" t="str">
            <v xml:space="preserve">ВЦ,ПП п.А, ОПЗ,ГДИ </v>
          </cell>
        </row>
        <row r="683">
          <cell r="B683">
            <v>5858</v>
          </cell>
          <cell r="C683">
            <v>169</v>
          </cell>
          <cell r="D683">
            <v>7</v>
          </cell>
          <cell r="E683">
            <v>72</v>
          </cell>
          <cell r="F683" t="str">
            <v>УПНПиКРС</v>
          </cell>
          <cell r="G683">
            <v>270</v>
          </cell>
          <cell r="H683" t="str">
            <v>ФОН</v>
          </cell>
          <cell r="I683" t="str">
            <v>бд</v>
          </cell>
          <cell r="J683">
            <v>36649</v>
          </cell>
          <cell r="K683">
            <v>7</v>
          </cell>
          <cell r="L683">
            <v>1</v>
          </cell>
          <cell r="M683">
            <v>82</v>
          </cell>
          <cell r="N683">
            <v>30</v>
          </cell>
          <cell r="O683">
            <v>12</v>
          </cell>
          <cell r="P683">
            <v>51</v>
          </cell>
          <cell r="Q683">
            <v>30</v>
          </cell>
          <cell r="R683">
            <v>12</v>
          </cell>
          <cell r="S683">
            <v>50.6</v>
          </cell>
          <cell r="T683">
            <v>37849</v>
          </cell>
          <cell r="U683" t="str">
            <v>ГРП</v>
          </cell>
          <cell r="V683">
            <v>4</v>
          </cell>
          <cell r="W683" t="str">
            <v xml:space="preserve">инт.ЮК-5  2613-2628м,РИР ЮК-10,ГРП </v>
          </cell>
        </row>
        <row r="684">
          <cell r="B684">
            <v>5345</v>
          </cell>
          <cell r="C684">
            <v>102</v>
          </cell>
          <cell r="D684" t="e">
            <v>#REF!</v>
          </cell>
          <cell r="E684" t="e">
            <v>#REF!</v>
          </cell>
          <cell r="F684" t="str">
            <v>УПНПиКРС</v>
          </cell>
          <cell r="G684">
            <v>250</v>
          </cell>
          <cell r="H684" t="str">
            <v>ШГН</v>
          </cell>
          <cell r="I684" t="str">
            <v>бд</v>
          </cell>
          <cell r="J684">
            <v>37216</v>
          </cell>
          <cell r="K684">
            <v>14</v>
          </cell>
          <cell r="L684">
            <v>0.5</v>
          </cell>
          <cell r="M684">
            <v>96</v>
          </cell>
          <cell r="N684">
            <v>30</v>
          </cell>
          <cell r="O684">
            <v>12</v>
          </cell>
          <cell r="P684">
            <v>51</v>
          </cell>
          <cell r="Q684">
            <v>30</v>
          </cell>
          <cell r="R684">
            <v>12</v>
          </cell>
          <cell r="S684">
            <v>50.6</v>
          </cell>
          <cell r="T684" t="e">
            <v>#REF!</v>
          </cell>
          <cell r="U684" t="str">
            <v>ГРП</v>
          </cell>
          <cell r="V684">
            <v>2</v>
          </cell>
          <cell r="W684" t="str">
            <v>ИР ЮК-10, ДП ЮК-2,ГРП ЮК-2-3</v>
          </cell>
        </row>
        <row r="685">
          <cell r="B685">
            <v>5455</v>
          </cell>
          <cell r="C685">
            <v>102</v>
          </cell>
          <cell r="F685" t="str">
            <v>УПНПиКРС</v>
          </cell>
          <cell r="G685">
            <v>240</v>
          </cell>
          <cell r="H685" t="str">
            <v>ШГН</v>
          </cell>
          <cell r="I685" t="str">
            <v>конс.</v>
          </cell>
          <cell r="J685">
            <v>32843</v>
          </cell>
          <cell r="K685">
            <v>7</v>
          </cell>
          <cell r="L685">
            <v>5</v>
          </cell>
          <cell r="M685">
            <v>12</v>
          </cell>
          <cell r="N685">
            <v>21</v>
          </cell>
          <cell r="O685">
            <v>12</v>
          </cell>
          <cell r="P685">
            <v>30</v>
          </cell>
          <cell r="Q685">
            <v>21</v>
          </cell>
          <cell r="R685">
            <v>12</v>
          </cell>
          <cell r="S685">
            <v>29.5</v>
          </cell>
          <cell r="T685" t="e">
            <v>#REF!</v>
          </cell>
          <cell r="U685" t="str">
            <v>ГРП</v>
          </cell>
          <cell r="V685">
            <v>3</v>
          </cell>
          <cell r="W685" t="str">
            <v>ВЦ. ИР ЮК-10. ГДИ. ПП ДН. ГРП ЮК 2-3</v>
          </cell>
        </row>
        <row r="686">
          <cell r="B686">
            <v>5656</v>
          </cell>
          <cell r="C686">
            <v>123</v>
          </cell>
          <cell r="D686">
            <v>0</v>
          </cell>
          <cell r="E686">
            <v>1</v>
          </cell>
          <cell r="F686" t="str">
            <v>УПНПиКРС</v>
          </cell>
          <cell r="G686">
            <v>265</v>
          </cell>
          <cell r="H686" t="str">
            <v>ФОН</v>
          </cell>
          <cell r="I686" t="str">
            <v>конс.</v>
          </cell>
          <cell r="J686">
            <v>35096</v>
          </cell>
          <cell r="K686">
            <v>10</v>
          </cell>
          <cell r="L686">
            <v>0.1</v>
          </cell>
          <cell r="M686">
            <v>99</v>
          </cell>
          <cell r="N686">
            <v>25</v>
          </cell>
          <cell r="O686">
            <v>12</v>
          </cell>
          <cell r="P686">
            <v>41</v>
          </cell>
          <cell r="Q686">
            <v>25</v>
          </cell>
          <cell r="R686">
            <v>12</v>
          </cell>
          <cell r="S686">
            <v>40.700000000000003</v>
          </cell>
          <cell r="T686">
            <v>7</v>
          </cell>
          <cell r="U686" t="str">
            <v>ГРП</v>
          </cell>
          <cell r="V686">
            <v>4</v>
          </cell>
          <cell r="W686" t="str">
            <v>ИР ЮК-10 инт.2618-2636 ГРП ЮК 2-3</v>
          </cell>
        </row>
        <row r="687">
          <cell r="B687" t="str">
            <v>5243б</v>
          </cell>
          <cell r="C687">
            <v>135</v>
          </cell>
          <cell r="D687">
            <v>10</v>
          </cell>
          <cell r="E687" t="e">
            <v>#REF!</v>
          </cell>
          <cell r="F687" t="str">
            <v>УПНПиКРС</v>
          </cell>
          <cell r="G687">
            <v>290</v>
          </cell>
          <cell r="H687" t="str">
            <v>ЭЦН</v>
          </cell>
          <cell r="I687" t="str">
            <v>конс.</v>
          </cell>
          <cell r="J687">
            <v>34669</v>
          </cell>
          <cell r="K687">
            <v>3</v>
          </cell>
          <cell r="L687">
            <v>0.7</v>
          </cell>
          <cell r="M687">
            <v>73</v>
          </cell>
          <cell r="N687">
            <v>30</v>
          </cell>
          <cell r="O687">
            <v>12</v>
          </cell>
          <cell r="P687">
            <v>51</v>
          </cell>
          <cell r="Q687">
            <v>30</v>
          </cell>
          <cell r="R687">
            <v>12</v>
          </cell>
          <cell r="S687">
            <v>50.6</v>
          </cell>
          <cell r="T687" t="e">
            <v>#REF!</v>
          </cell>
          <cell r="U687" t="str">
            <v>ГРП</v>
          </cell>
          <cell r="V687">
            <v>2</v>
          </cell>
          <cell r="W687" t="str">
            <v>ВЗ, РИР ЮК-10ДП ЮК 2-3-2558-2569м,ГРП</v>
          </cell>
        </row>
        <row r="688">
          <cell r="B688">
            <v>2958</v>
          </cell>
          <cell r="C688">
            <v>46</v>
          </cell>
          <cell r="D688">
            <v>11</v>
          </cell>
          <cell r="E688" t="e">
            <v>#REF!</v>
          </cell>
          <cell r="F688" t="str">
            <v>УПНПиКРС</v>
          </cell>
          <cell r="G688">
            <v>250</v>
          </cell>
          <cell r="I688" t="str">
            <v>бд</v>
          </cell>
          <cell r="J688">
            <v>35749</v>
          </cell>
          <cell r="K688">
            <v>3</v>
          </cell>
          <cell r="L688">
            <v>2.4</v>
          </cell>
          <cell r="M688">
            <v>3</v>
          </cell>
          <cell r="N688">
            <v>30</v>
          </cell>
          <cell r="O688">
            <v>12</v>
          </cell>
          <cell r="P688">
            <v>51</v>
          </cell>
          <cell r="Q688">
            <v>30</v>
          </cell>
          <cell r="R688">
            <v>12</v>
          </cell>
          <cell r="S688">
            <v>50.6</v>
          </cell>
          <cell r="T688">
            <v>37871</v>
          </cell>
          <cell r="U688" t="str">
            <v>ГРП</v>
          </cell>
          <cell r="V688">
            <v>2</v>
          </cell>
          <cell r="W688" t="str">
            <v xml:space="preserve">РИР ЮК-10,ДП ЮК-3 2596-2618м,ГРП </v>
          </cell>
        </row>
        <row r="689">
          <cell r="B689">
            <v>5609</v>
          </cell>
          <cell r="C689">
            <v>114</v>
          </cell>
          <cell r="D689">
            <v>11</v>
          </cell>
          <cell r="E689" t="e">
            <v>#REF!</v>
          </cell>
          <cell r="F689" t="str">
            <v>УПНПиКРС</v>
          </cell>
          <cell r="G689">
            <v>230</v>
          </cell>
          <cell r="H689" t="str">
            <v>ШГН</v>
          </cell>
          <cell r="I689" t="str">
            <v>бд</v>
          </cell>
          <cell r="J689">
            <v>37064</v>
          </cell>
          <cell r="K689">
            <v>2</v>
          </cell>
          <cell r="L689">
            <v>1.6</v>
          </cell>
          <cell r="M689">
            <v>0</v>
          </cell>
          <cell r="N689">
            <v>4</v>
          </cell>
          <cell r="O689">
            <v>2.9</v>
          </cell>
          <cell r="P689">
            <v>10</v>
          </cell>
          <cell r="Q689">
            <v>4</v>
          </cell>
          <cell r="R689">
            <v>2.9</v>
          </cell>
          <cell r="S689">
            <v>10.5</v>
          </cell>
          <cell r="T689">
            <v>37372</v>
          </cell>
          <cell r="U689" t="str">
            <v>БДП</v>
          </cell>
          <cell r="V689">
            <v>3</v>
          </cell>
          <cell r="W689" t="str">
            <v>ВЦ,ревизия НВ-32</v>
          </cell>
        </row>
        <row r="690">
          <cell r="B690">
            <v>5543</v>
          </cell>
          <cell r="C690">
            <v>114</v>
          </cell>
          <cell r="D690">
            <v>11</v>
          </cell>
          <cell r="E690" t="e">
            <v>#REF!</v>
          </cell>
          <cell r="H690" t="str">
            <v>ШГН</v>
          </cell>
          <cell r="I690" t="str">
            <v>бд</v>
          </cell>
          <cell r="J690">
            <v>37258</v>
          </cell>
          <cell r="K690">
            <v>3</v>
          </cell>
          <cell r="L690">
            <v>1.7</v>
          </cell>
          <cell r="M690">
            <v>29</v>
          </cell>
          <cell r="N690">
            <v>24</v>
          </cell>
          <cell r="O690">
            <v>13.7</v>
          </cell>
          <cell r="P690">
            <v>30</v>
          </cell>
          <cell r="Q690">
            <v>24</v>
          </cell>
          <cell r="R690">
            <v>13.7</v>
          </cell>
          <cell r="S690">
            <v>29.5</v>
          </cell>
          <cell r="U690" t="str">
            <v>ГРП</v>
          </cell>
          <cell r="V690">
            <v>4</v>
          </cell>
          <cell r="W690" t="str">
            <v>повт.ГРП ( до 30т проп.)</v>
          </cell>
        </row>
        <row r="691">
          <cell r="B691">
            <v>2649</v>
          </cell>
          <cell r="C691" t="str">
            <v>157б</v>
          </cell>
          <cell r="D691">
            <v>11</v>
          </cell>
          <cell r="E691" t="e">
            <v>#REF!</v>
          </cell>
          <cell r="F691" t="str">
            <v>УПНПиКРС</v>
          </cell>
          <cell r="G691">
            <v>235</v>
          </cell>
          <cell r="H691" t="str">
            <v>ШГН</v>
          </cell>
          <cell r="I691" t="str">
            <v>действ.</v>
          </cell>
          <cell r="K691">
            <v>4</v>
          </cell>
          <cell r="L691">
            <v>3.1</v>
          </cell>
          <cell r="M691">
            <v>6</v>
          </cell>
          <cell r="N691">
            <v>12</v>
          </cell>
          <cell r="O691">
            <v>8.1</v>
          </cell>
          <cell r="P691">
            <v>17</v>
          </cell>
          <cell r="Q691">
            <v>8</v>
          </cell>
          <cell r="R691">
            <v>5</v>
          </cell>
          <cell r="S691">
            <v>22.8</v>
          </cell>
          <cell r="T691" t="e">
            <v>#REF!</v>
          </cell>
          <cell r="U691" t="str">
            <v>ОПЗ</v>
          </cell>
          <cell r="V691">
            <v>5</v>
          </cell>
          <cell r="W691" t="str">
            <v>ДП ЮК-100,ПП, ЮК-10,ОПЗ,ГДИ</v>
          </cell>
        </row>
        <row r="692">
          <cell r="B692">
            <v>5241</v>
          </cell>
          <cell r="C692">
            <v>134</v>
          </cell>
          <cell r="D692" t="e">
            <v>#REF!</v>
          </cell>
          <cell r="E692" t="e">
            <v>#REF!</v>
          </cell>
          <cell r="F692" t="str">
            <v>УПНПиКРС</v>
          </cell>
          <cell r="G692">
            <v>255</v>
          </cell>
          <cell r="H692" t="str">
            <v>ЭЦН</v>
          </cell>
          <cell r="I692" t="str">
            <v>бд</v>
          </cell>
          <cell r="J692">
            <v>34547</v>
          </cell>
          <cell r="K692">
            <v>21</v>
          </cell>
          <cell r="L692">
            <v>0.2</v>
          </cell>
          <cell r="M692">
            <v>99</v>
          </cell>
          <cell r="N692">
            <v>30</v>
          </cell>
          <cell r="O692">
            <v>12</v>
          </cell>
          <cell r="P692">
            <v>51</v>
          </cell>
          <cell r="Q692">
            <v>30</v>
          </cell>
          <cell r="R692">
            <v>12</v>
          </cell>
          <cell r="S692">
            <v>50.6</v>
          </cell>
          <cell r="T692" t="e">
            <v>#REF!</v>
          </cell>
          <cell r="U692" t="str">
            <v>ГРП</v>
          </cell>
          <cell r="V692">
            <v>2</v>
          </cell>
          <cell r="W692" t="str">
            <v xml:space="preserve">ВЦ, ГИС-2 ( источ. обвод.), при подтверждении воды и герм. э/колонны -ДП. ЮК-2 2478-2488м, РИР ЮК-10, ГРП ЮК-2 </v>
          </cell>
          <cell r="X692" t="str">
            <v>ЭП выполнен, ЭЦН с КРБК на забое</v>
          </cell>
        </row>
        <row r="693">
          <cell r="B693">
            <v>2895</v>
          </cell>
          <cell r="C693">
            <v>42</v>
          </cell>
          <cell r="G693">
            <v>290</v>
          </cell>
          <cell r="H693" t="str">
            <v>нагнет.</v>
          </cell>
          <cell r="I693" t="str">
            <v>бд</v>
          </cell>
          <cell r="J693">
            <v>36418</v>
          </cell>
          <cell r="K693">
            <v>50</v>
          </cell>
          <cell r="N693">
            <v>100</v>
          </cell>
          <cell r="Q693">
            <v>100</v>
          </cell>
          <cell r="U693" t="str">
            <v>нг</v>
          </cell>
          <cell r="W693" t="str">
            <v>Извл.воронки, ВЗ, реизия Ф/А пуск под закачку</v>
          </cell>
        </row>
        <row r="694">
          <cell r="B694">
            <v>2897</v>
          </cell>
          <cell r="C694">
            <v>42</v>
          </cell>
          <cell r="G694">
            <v>300</v>
          </cell>
          <cell r="H694" t="str">
            <v>нагнет.</v>
          </cell>
          <cell r="I694" t="str">
            <v>действ.</v>
          </cell>
          <cell r="K694">
            <v>150</v>
          </cell>
          <cell r="N694">
            <v>150</v>
          </cell>
          <cell r="Q694">
            <v>150</v>
          </cell>
          <cell r="U694" t="str">
            <v>нг</v>
          </cell>
          <cell r="W694" t="str">
            <v>Извл.воронки, ВЗ, реизия Ф/А пуск под закачку</v>
          </cell>
        </row>
        <row r="695">
          <cell r="B695">
            <v>2898</v>
          </cell>
          <cell r="C695">
            <v>42</v>
          </cell>
          <cell r="G695">
            <v>300</v>
          </cell>
          <cell r="H695" t="str">
            <v>нагнет.</v>
          </cell>
          <cell r="I695" t="str">
            <v>действ.</v>
          </cell>
          <cell r="K695">
            <v>150</v>
          </cell>
          <cell r="N695">
            <v>150</v>
          </cell>
          <cell r="Q695">
            <v>150</v>
          </cell>
          <cell r="U695" t="str">
            <v>нг</v>
          </cell>
          <cell r="W695" t="str">
            <v>Извл.воронки, ВЗ, реизия Ф/А пуск под закачку</v>
          </cell>
        </row>
        <row r="696">
          <cell r="B696">
            <v>2756</v>
          </cell>
          <cell r="C696">
            <v>145</v>
          </cell>
          <cell r="I696" t="str">
            <v>бд</v>
          </cell>
          <cell r="J696">
            <v>35786</v>
          </cell>
          <cell r="K696">
            <v>70</v>
          </cell>
          <cell r="L696">
            <v>10.8</v>
          </cell>
          <cell r="M696">
            <v>81</v>
          </cell>
          <cell r="N696">
            <v>50</v>
          </cell>
          <cell r="O696">
            <v>10</v>
          </cell>
          <cell r="P696">
            <v>75.400000000000006</v>
          </cell>
          <cell r="Q696">
            <v>50</v>
          </cell>
          <cell r="R696">
            <v>10</v>
          </cell>
          <cell r="S696">
            <v>75.3</v>
          </cell>
          <cell r="U696" t="str">
            <v>РИР</v>
          </cell>
          <cell r="W696" t="str">
            <v>РИР Э/К 2562-2673, ПП-ЮК-10 с ОПЗ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Протокол"/>
    </sheetNames>
    <sheetDataSet>
      <sheetData sheetId="0" refreshError="1">
        <row r="28">
          <cell r="J28" t="str">
            <v>1р</v>
          </cell>
          <cell r="K28" t="str">
            <v>Без куста</v>
          </cell>
          <cell r="L28">
            <v>41495</v>
          </cell>
          <cell r="M28" t="str">
            <v>Верт.</v>
          </cell>
          <cell r="N28" t="str">
            <v>P4+5+6_Block1_yug</v>
          </cell>
          <cell r="O28" t="str">
            <v>Действующий</v>
          </cell>
          <cell r="P28" t="str">
            <v>В работе</v>
          </cell>
          <cell r="Q28">
            <v>-4</v>
          </cell>
          <cell r="R28" t="str">
            <v xml:space="preserve"> </v>
          </cell>
          <cell r="S28" t="str">
            <v xml:space="preserve"> </v>
          </cell>
          <cell r="U28">
            <v>203</v>
          </cell>
          <cell r="V28">
            <v>218.2</v>
          </cell>
          <cell r="W28">
            <v>0.98</v>
          </cell>
          <cell r="X28">
            <v>1.66</v>
          </cell>
          <cell r="Y28">
            <v>0.98120581919949812</v>
          </cell>
          <cell r="Z28">
            <v>1.454</v>
          </cell>
          <cell r="AA28">
            <v>0.83599999999999997</v>
          </cell>
          <cell r="AB28">
            <v>0.72</v>
          </cell>
          <cell r="AC28">
            <v>34.299999999999997</v>
          </cell>
          <cell r="AD28">
            <v>1.17</v>
          </cell>
          <cell r="AE28">
            <v>139.69999999999999</v>
          </cell>
          <cell r="AF28">
            <v>7.72</v>
          </cell>
          <cell r="AG28">
            <v>1985</v>
          </cell>
          <cell r="AH28">
            <v>1910</v>
          </cell>
          <cell r="AI28">
            <v>1908.3</v>
          </cell>
          <cell r="AJ28">
            <v>43686</v>
          </cell>
          <cell r="AM28" t="str">
            <v>закрытый</v>
          </cell>
          <cell r="AN28" t="str">
            <v>1836-1839;   1844-1850;   1854-1858;
1861-1868; 1872-1876, 1894-1908,3; 1910-1975;1910-1947</v>
          </cell>
          <cell r="AO28">
            <v>72.239999999999995</v>
          </cell>
          <cell r="AP28">
            <v>1836</v>
          </cell>
          <cell r="AQ28">
            <v>0.5</v>
          </cell>
          <cell r="AU28" t="str">
            <v>Газлифт</v>
          </cell>
          <cell r="AV28">
            <v>399.99999374999999</v>
          </cell>
          <cell r="AW28" t="str">
            <v>ГП</v>
          </cell>
          <cell r="AX28">
            <v>709.99997402300005</v>
          </cell>
          <cell r="AY28" t="str">
            <v>ГП</v>
          </cell>
          <cell r="AZ28">
            <v>949.99998515599998</v>
          </cell>
          <cell r="BA28" t="str">
            <v>ГП</v>
          </cell>
          <cell r="BB28">
            <v>1120.0000271480001</v>
          </cell>
          <cell r="BC28" t="str">
            <v>ГП</v>
          </cell>
          <cell r="BD28">
            <v>1290.000069141</v>
          </cell>
          <cell r="BE28" t="str">
            <v>ГК 79 5/32</v>
          </cell>
          <cell r="BF28" t="str">
            <v>-</v>
          </cell>
          <cell r="BG28" t="str">
            <v>-</v>
          </cell>
          <cell r="BH28">
            <v>1770</v>
          </cell>
          <cell r="BI28" t="str">
            <v>открыт</v>
          </cell>
        </row>
        <row r="29">
          <cell r="J29" t="str">
            <v>2р</v>
          </cell>
          <cell r="K29" t="str">
            <v>Без куста</v>
          </cell>
          <cell r="L29">
            <v>38268</v>
          </cell>
          <cell r="M29" t="str">
            <v>Верт.</v>
          </cell>
          <cell r="N29" t="str">
            <v>P4+5+6_Block1_yug</v>
          </cell>
          <cell r="O29" t="str">
            <v>Действующий</v>
          </cell>
          <cell r="P29" t="str">
            <v>В работе</v>
          </cell>
          <cell r="Q29">
            <v>-4</v>
          </cell>
          <cell r="R29">
            <v>41535</v>
          </cell>
          <cell r="S29" t="str">
            <v>Slb</v>
          </cell>
          <cell r="T29" t="str">
            <v>КГРП 64м3 15% HCL</v>
          </cell>
          <cell r="U29">
            <v>203</v>
          </cell>
          <cell r="V29">
            <v>218.2</v>
          </cell>
          <cell r="W29">
            <v>0.98</v>
          </cell>
          <cell r="X29">
            <v>1.66</v>
          </cell>
          <cell r="Y29">
            <v>0.98052215758271255</v>
          </cell>
          <cell r="Z29">
            <v>1.454</v>
          </cell>
          <cell r="AA29">
            <v>0.83599999999999997</v>
          </cell>
          <cell r="AB29">
            <v>0.72</v>
          </cell>
          <cell r="AC29">
            <v>34.299999999999997</v>
          </cell>
          <cell r="AD29">
            <v>1.17</v>
          </cell>
          <cell r="AE29" t="str">
            <v>177,8;139,7</v>
          </cell>
          <cell r="AF29" t="str">
            <v>10,06; 7,72</v>
          </cell>
          <cell r="AG29" t="str">
            <v>0-1555; 1555-1898</v>
          </cell>
          <cell r="AH29">
            <v>1887</v>
          </cell>
          <cell r="AI29">
            <v>1880</v>
          </cell>
          <cell r="AJ29">
            <v>38268</v>
          </cell>
          <cell r="AM29" t="str">
            <v>закрытый</v>
          </cell>
          <cell r="AN29" t="str">
            <v>1795-1822; 1831-1833; 1839-1851; 
1870-1873; 1875-1877; 1878-1880</v>
          </cell>
          <cell r="AO29">
            <v>85</v>
          </cell>
          <cell r="AP29">
            <v>1795</v>
          </cell>
          <cell r="AQ29">
            <v>0.33</v>
          </cell>
          <cell r="AU29" t="str">
            <v>Газлифт</v>
          </cell>
          <cell r="AV29">
            <v>519.98879999999997</v>
          </cell>
          <cell r="AW29" t="str">
            <v>ГК 84 1/8</v>
          </cell>
          <cell r="AX29">
            <v>929.94479999999999</v>
          </cell>
          <cell r="AY29" t="str">
            <v>ГК 86 1/8</v>
          </cell>
          <cell r="AZ29">
            <v>1260.0432000000001</v>
          </cell>
          <cell r="BA29" t="str">
            <v>ГК 84 5/32</v>
          </cell>
          <cell r="BB29">
            <v>1545.0311999999999</v>
          </cell>
          <cell r="BC29" t="str">
            <v>ГК 86 5/32</v>
          </cell>
          <cell r="BD29">
            <v>1730.0447999999999</v>
          </cell>
          <cell r="BE29" t="str">
            <v>ЦКсОК 5/16</v>
          </cell>
          <cell r="BF29" t="str">
            <v>-</v>
          </cell>
          <cell r="BG29" t="str">
            <v>-</v>
          </cell>
          <cell r="BH29">
            <v>1740</v>
          </cell>
          <cell r="BI29" t="str">
            <v>закрыт</v>
          </cell>
        </row>
        <row r="30">
          <cell r="J30" t="str">
            <v>2-2</v>
          </cell>
          <cell r="K30" t="str">
            <v>Куст скважины-2</v>
          </cell>
          <cell r="L30">
            <v>37294</v>
          </cell>
          <cell r="M30" t="str">
            <v>Гор.</v>
          </cell>
          <cell r="N30" t="str">
            <v>Р4+5_Block3</v>
          </cell>
          <cell r="O30" t="str">
            <v>Действующий</v>
          </cell>
          <cell r="P30" t="str">
            <v>Остановлена</v>
          </cell>
          <cell r="Q30">
            <v>-4</v>
          </cell>
          <cell r="U30">
            <v>203</v>
          </cell>
          <cell r="V30">
            <v>218.2</v>
          </cell>
          <cell r="W30">
            <v>0.98</v>
          </cell>
          <cell r="X30">
            <v>1.66</v>
          </cell>
          <cell r="Y30">
            <v>1.1232882765935115</v>
          </cell>
          <cell r="Z30">
            <v>1.454</v>
          </cell>
          <cell r="AA30">
            <v>0.83599999999999997</v>
          </cell>
          <cell r="AB30">
            <v>0.72</v>
          </cell>
          <cell r="AC30">
            <v>34.299999999999997</v>
          </cell>
          <cell r="AD30">
            <v>1.17</v>
          </cell>
          <cell r="AE30">
            <v>139.69999999999999</v>
          </cell>
          <cell r="AF30">
            <v>7.72</v>
          </cell>
          <cell r="AG30">
            <v>1935</v>
          </cell>
          <cell r="AH30">
            <v>2767</v>
          </cell>
          <cell r="AI30">
            <v>2767</v>
          </cell>
          <cell r="AJ30">
            <v>41244</v>
          </cell>
          <cell r="AM30" t="str">
            <v>открытый</v>
          </cell>
          <cell r="AN30" t="str">
            <v xml:space="preserve">1935-2767 </v>
          </cell>
          <cell r="AO30">
            <v>1.0099999999999909</v>
          </cell>
          <cell r="AP30">
            <v>1935</v>
          </cell>
          <cell r="AQ30">
            <v>19.7</v>
          </cell>
          <cell r="AU30" t="str">
            <v>Газлифт</v>
          </cell>
          <cell r="AV30">
            <v>468.00001054699999</v>
          </cell>
          <cell r="AW30" t="str">
            <v>ГП</v>
          </cell>
          <cell r="AX30">
            <v>865.00000136699998</v>
          </cell>
          <cell r="AY30" t="str">
            <v>ГК 87 1/8</v>
          </cell>
          <cell r="AZ30">
            <v>1196.9999783200001</v>
          </cell>
          <cell r="BA30" t="str">
            <v>ГК 86 1/8</v>
          </cell>
          <cell r="BB30">
            <v>1472.000048438</v>
          </cell>
          <cell r="BC30" t="str">
            <v>ГК 86 1/8</v>
          </cell>
          <cell r="BD30">
            <v>1712.9999613279999</v>
          </cell>
          <cell r="BE30" t="str">
            <v>ЦКсОК 5/16</v>
          </cell>
          <cell r="BF30" t="str">
            <v>-</v>
          </cell>
          <cell r="BG30" t="str">
            <v>-</v>
          </cell>
          <cell r="BH30">
            <v>1821</v>
          </cell>
          <cell r="BI30" t="str">
            <v>открыт</v>
          </cell>
        </row>
        <row r="31">
          <cell r="J31" t="str">
            <v>3-2</v>
          </cell>
          <cell r="K31" t="str">
            <v>Куст скважины-3</v>
          </cell>
          <cell r="L31">
            <v>35238</v>
          </cell>
          <cell r="M31" t="str">
            <v>Гор.</v>
          </cell>
          <cell r="N31" t="str">
            <v>Р4+5+6_Block2</v>
          </cell>
          <cell r="O31" t="str">
            <v>Действующий</v>
          </cell>
          <cell r="P31" t="str">
            <v>В работе</v>
          </cell>
          <cell r="Q31">
            <v>-4</v>
          </cell>
          <cell r="R31" t="str">
            <v xml:space="preserve"> </v>
          </cell>
          <cell r="U31">
            <v>203</v>
          </cell>
          <cell r="V31">
            <v>218.2</v>
          </cell>
          <cell r="W31">
            <v>0.98</v>
          </cell>
          <cell r="X31">
            <v>1.66</v>
          </cell>
          <cell r="Y31">
            <v>0.98036143445655866</v>
          </cell>
          <cell r="Z31">
            <v>1.454</v>
          </cell>
          <cell r="AA31">
            <v>0.83599999999999997</v>
          </cell>
          <cell r="AB31">
            <v>0.72</v>
          </cell>
          <cell r="AC31">
            <v>34.299999999999997</v>
          </cell>
          <cell r="AD31">
            <v>1.17</v>
          </cell>
          <cell r="AE31" t="str">
            <v>177,8;139,7</v>
          </cell>
          <cell r="AF31" t="str">
            <v>8,05; 7,72</v>
          </cell>
          <cell r="AG31" t="str">
            <v>0-1818; 1818-2588</v>
          </cell>
          <cell r="AH31">
            <v>2596</v>
          </cell>
          <cell r="AI31">
            <v>2596</v>
          </cell>
          <cell r="AM31" t="str">
            <v>закрытый</v>
          </cell>
          <cell r="AN31" t="str">
            <v>1818-2588(фильтр хвостовик)</v>
          </cell>
          <cell r="AO31">
            <v>144.85</v>
          </cell>
          <cell r="AP31">
            <v>1818</v>
          </cell>
          <cell r="AQ31">
            <v>13.8</v>
          </cell>
          <cell r="AR31" t="str">
            <v>1818-2588</v>
          </cell>
          <cell r="AS31">
            <v>139.69999999999999</v>
          </cell>
          <cell r="AT31">
            <v>7.72</v>
          </cell>
          <cell r="AU31" t="str">
            <v>Фон.</v>
          </cell>
          <cell r="AV31">
            <v>786</v>
          </cell>
          <cell r="AW31" t="str">
            <v>ГК 77 1/8</v>
          </cell>
          <cell r="AX31">
            <v>1386</v>
          </cell>
          <cell r="AY31" t="str">
            <v>ГК 77 1/8</v>
          </cell>
          <cell r="AZ31">
            <v>1784</v>
          </cell>
          <cell r="BA31" t="str">
            <v>ЦКсОК 5/16</v>
          </cell>
          <cell r="BB31" t="str">
            <v>-</v>
          </cell>
          <cell r="BC31" t="str">
            <v>-</v>
          </cell>
          <cell r="BD31" t="str">
            <v>-</v>
          </cell>
          <cell r="BE31" t="str">
            <v>-</v>
          </cell>
          <cell r="BF31" t="str">
            <v>-</v>
          </cell>
          <cell r="BG31" t="str">
            <v>-</v>
          </cell>
          <cell r="BH31">
            <v>1797</v>
          </cell>
          <cell r="BI31" t="str">
            <v>закрыт</v>
          </cell>
        </row>
        <row r="32">
          <cell r="J32" t="str">
            <v>3-3</v>
          </cell>
          <cell r="K32" t="str">
            <v>Куст скважины-3</v>
          </cell>
          <cell r="L32">
            <v>35327</v>
          </cell>
          <cell r="M32" t="str">
            <v>Гор.</v>
          </cell>
          <cell r="N32" t="str">
            <v>Р4+5+6_Block2</v>
          </cell>
          <cell r="O32" t="str">
            <v>Действующий</v>
          </cell>
          <cell r="P32" t="str">
            <v>В работе</v>
          </cell>
          <cell r="Q32">
            <v>-4</v>
          </cell>
          <cell r="U32">
            <v>203</v>
          </cell>
          <cell r="V32">
            <v>218.2</v>
          </cell>
          <cell r="W32">
            <v>0.98</v>
          </cell>
          <cell r="X32">
            <v>1.66</v>
          </cell>
          <cell r="Y32">
            <v>1.2583539603960394</v>
          </cell>
          <cell r="Z32">
            <v>1.454</v>
          </cell>
          <cell r="AA32">
            <v>0.83599999999999997</v>
          </cell>
          <cell r="AB32">
            <v>0.72</v>
          </cell>
          <cell r="AC32">
            <v>34.299999999999997</v>
          </cell>
          <cell r="AD32">
            <v>1.17</v>
          </cell>
          <cell r="AE32" t="str">
            <v>139,7/102</v>
          </cell>
          <cell r="AF32" t="str">
            <v>7,72/6,5</v>
          </cell>
          <cell r="AG32">
            <v>2147</v>
          </cell>
          <cell r="AH32">
            <v>2550</v>
          </cell>
          <cell r="AI32">
            <v>2550</v>
          </cell>
          <cell r="AM32" t="str">
            <v>открытый</v>
          </cell>
          <cell r="AN32" t="str">
            <v>1919-2550</v>
          </cell>
          <cell r="AO32">
            <v>30.67</v>
          </cell>
          <cell r="AP32">
            <v>1919</v>
          </cell>
          <cell r="AQ32">
            <v>42</v>
          </cell>
          <cell r="AR32" t="str">
            <v>1470-1919</v>
          </cell>
          <cell r="AS32">
            <v>102</v>
          </cell>
          <cell r="AT32">
            <v>6.5</v>
          </cell>
          <cell r="AU32" t="str">
            <v>Газлифт</v>
          </cell>
          <cell r="AV32">
            <v>519.99999931599996</v>
          </cell>
          <cell r="AW32" t="str">
            <v>ГП</v>
          </cell>
          <cell r="AX32">
            <v>930.00001523399999</v>
          </cell>
          <cell r="AY32" t="str">
            <v>ГК 77 1/8</v>
          </cell>
          <cell r="AZ32">
            <v>1260.000039844</v>
          </cell>
          <cell r="BA32" t="str">
            <v>ГК 79 5/32</v>
          </cell>
          <cell r="BB32">
            <v>1430.000007422</v>
          </cell>
          <cell r="BC32" t="str">
            <v>ЦКсОК 5/16</v>
          </cell>
          <cell r="BD32" t="str">
            <v>-</v>
          </cell>
          <cell r="BE32" t="str">
            <v>-</v>
          </cell>
          <cell r="BF32" t="str">
            <v>-</v>
          </cell>
          <cell r="BG32" t="str">
            <v>-</v>
          </cell>
          <cell r="BH32">
            <v>1440</v>
          </cell>
          <cell r="BI32" t="str">
            <v>закрыт</v>
          </cell>
        </row>
        <row r="33">
          <cell r="J33" t="str">
            <v>4-2</v>
          </cell>
          <cell r="K33" t="str">
            <v>Куст скважины-4</v>
          </cell>
          <cell r="L33">
            <v>35292</v>
          </cell>
          <cell r="M33" t="str">
            <v>Гор.</v>
          </cell>
          <cell r="N33" t="str">
            <v>Р4+5+6_Block2</v>
          </cell>
          <cell r="O33" t="str">
            <v>Действующий</v>
          </cell>
          <cell r="P33" t="str">
            <v>Остановлена</v>
          </cell>
          <cell r="Q33">
            <v>-4</v>
          </cell>
          <cell r="R33" t="str">
            <v xml:space="preserve"> </v>
          </cell>
          <cell r="S33" t="str">
            <v xml:space="preserve"> </v>
          </cell>
          <cell r="U33">
            <v>203</v>
          </cell>
          <cell r="V33">
            <v>218.2</v>
          </cell>
          <cell r="W33">
            <v>0.98</v>
          </cell>
          <cell r="X33">
            <v>1.66</v>
          </cell>
          <cell r="Y33">
            <v>0.98185013688444245</v>
          </cell>
          <cell r="Z33">
            <v>1.454</v>
          </cell>
          <cell r="AA33">
            <v>0.83599999999999997</v>
          </cell>
          <cell r="AB33">
            <v>0.72</v>
          </cell>
          <cell r="AC33">
            <v>34.299999999999997</v>
          </cell>
          <cell r="AD33">
            <v>1.17</v>
          </cell>
          <cell r="AE33">
            <v>177.8</v>
          </cell>
          <cell r="AF33">
            <v>8.0500000000000007</v>
          </cell>
          <cell r="AG33" t="str">
            <v>0-1879</v>
          </cell>
          <cell r="AH33">
            <v>2432</v>
          </cell>
          <cell r="AI33">
            <v>2432</v>
          </cell>
          <cell r="AM33" t="str">
            <v>закрытый</v>
          </cell>
          <cell r="AN33" t="str">
            <v>1879-2429 (фильтр хвостовик)</v>
          </cell>
          <cell r="AO33">
            <v>88.42</v>
          </cell>
          <cell r="AP33">
            <v>1879</v>
          </cell>
          <cell r="AQ33">
            <v>15.5</v>
          </cell>
          <cell r="AR33" t="str">
            <v>1879-2429</v>
          </cell>
          <cell r="AS33">
            <v>139.69999999999999</v>
          </cell>
          <cell r="AT33">
            <v>7.72</v>
          </cell>
          <cell r="AU33" t="str">
            <v>Газлифт</v>
          </cell>
          <cell r="AV33">
            <v>509.93040000000002</v>
          </cell>
          <cell r="AW33" t="str">
            <v>ГК 80 1/8</v>
          </cell>
          <cell r="AX33">
            <v>900.07439999999997</v>
          </cell>
          <cell r="AY33" t="str">
            <v>ГК 80 1/8</v>
          </cell>
          <cell r="AZ33">
            <v>1210.056</v>
          </cell>
          <cell r="BA33" t="str">
            <v>ГК 78 1/8</v>
          </cell>
          <cell r="BB33">
            <v>1459.992</v>
          </cell>
          <cell r="BC33" t="str">
            <v>ГК 75 1/8</v>
          </cell>
          <cell r="BD33">
            <v>1699.8696</v>
          </cell>
          <cell r="BE33" t="str">
            <v>ЦКсОК 5/16</v>
          </cell>
          <cell r="BF33" t="str">
            <v>-</v>
          </cell>
          <cell r="BG33" t="str">
            <v>-</v>
          </cell>
          <cell r="BH33">
            <v>1810</v>
          </cell>
          <cell r="BI33" t="str">
            <v xml:space="preserve">закрыт </v>
          </cell>
        </row>
        <row r="34">
          <cell r="J34" t="str">
            <v>4-1</v>
          </cell>
          <cell r="K34" t="str">
            <v>Куст скважины-4</v>
          </cell>
          <cell r="L34">
            <v>34795</v>
          </cell>
          <cell r="M34" t="str">
            <v>Гор.</v>
          </cell>
          <cell r="N34" t="str">
            <v>Р4+5+6_Block2</v>
          </cell>
          <cell r="O34" t="str">
            <v>Действующий</v>
          </cell>
          <cell r="P34" t="str">
            <v>В работе</v>
          </cell>
          <cell r="Q34">
            <v>-4</v>
          </cell>
          <cell r="R34">
            <v>35396</v>
          </cell>
          <cell r="S34" t="str">
            <v>Halli</v>
          </cell>
          <cell r="U34">
            <v>203</v>
          </cell>
          <cell r="V34">
            <v>218.2</v>
          </cell>
          <cell r="W34">
            <v>0.98</v>
          </cell>
          <cell r="X34">
            <v>1.66</v>
          </cell>
          <cell r="Y34">
            <v>0.98160841861363191</v>
          </cell>
          <cell r="Z34">
            <v>1.454</v>
          </cell>
          <cell r="AA34">
            <v>0.83599999999999997</v>
          </cell>
          <cell r="AB34">
            <v>0.72</v>
          </cell>
          <cell r="AC34">
            <v>34.299999999999997</v>
          </cell>
          <cell r="AD34">
            <v>1.17</v>
          </cell>
          <cell r="AE34" t="str">
            <v>177,8;139,7</v>
          </cell>
          <cell r="AF34" t="str">
            <v>8,05; 7,72</v>
          </cell>
          <cell r="AG34" t="str">
            <v>0-1976; 1976-2517</v>
          </cell>
          <cell r="AH34">
            <v>2517</v>
          </cell>
          <cell r="AI34">
            <v>2517</v>
          </cell>
          <cell r="AM34" t="str">
            <v>открытый</v>
          </cell>
          <cell r="AN34" t="str">
            <v>2038-2493</v>
          </cell>
          <cell r="AO34">
            <v>45.019999999999982</v>
          </cell>
          <cell r="AP34">
            <v>1976</v>
          </cell>
          <cell r="AQ34">
            <v>70.94</v>
          </cell>
          <cell r="AR34" t="str">
            <v>1976-2517</v>
          </cell>
          <cell r="AS34">
            <v>139.69999999999999</v>
          </cell>
          <cell r="AT34">
            <v>7.72</v>
          </cell>
          <cell r="AU34" t="str">
            <v>Газлифт</v>
          </cell>
          <cell r="AV34">
            <v>619.99999775399999</v>
          </cell>
          <cell r="AW34" t="str">
            <v>ГП</v>
          </cell>
          <cell r="AX34">
            <v>1130.000012109</v>
          </cell>
          <cell r="AY34" t="str">
            <v>ГП</v>
          </cell>
          <cell r="AZ34">
            <v>1524.9999761720001</v>
          </cell>
          <cell r="BA34" t="str">
            <v>ГК 85 5/32</v>
          </cell>
          <cell r="BB34">
            <v>1787.999960156</v>
          </cell>
          <cell r="BC34" t="str">
            <v>ЦКсОК 5/16</v>
          </cell>
          <cell r="BD34" t="str">
            <v>-</v>
          </cell>
          <cell r="BE34" t="str">
            <v>-</v>
          </cell>
          <cell r="BF34" t="str">
            <v>-</v>
          </cell>
          <cell r="BG34" t="str">
            <v>-</v>
          </cell>
          <cell r="BH34">
            <v>1780</v>
          </cell>
          <cell r="BI34" t="str">
            <v>открыт</v>
          </cell>
        </row>
        <row r="35">
          <cell r="J35" t="str">
            <v>4-3</v>
          </cell>
          <cell r="K35" t="str">
            <v>Куст скважины-4</v>
          </cell>
          <cell r="L35">
            <v>35019</v>
          </cell>
          <cell r="M35" t="str">
            <v>Гор.</v>
          </cell>
          <cell r="N35" t="str">
            <v>Р4+5+6_Block2</v>
          </cell>
          <cell r="O35" t="str">
            <v>Действующий</v>
          </cell>
          <cell r="P35" t="str">
            <v>Остановлена</v>
          </cell>
          <cell r="Q35">
            <v>-4</v>
          </cell>
          <cell r="U35">
            <v>203</v>
          </cell>
          <cell r="V35">
            <v>218.2</v>
          </cell>
          <cell r="W35">
            <v>0.98</v>
          </cell>
          <cell r="X35">
            <v>1.66</v>
          </cell>
          <cell r="Y35">
            <v>0.98516559114780144</v>
          </cell>
          <cell r="Z35">
            <v>1.454</v>
          </cell>
          <cell r="AA35">
            <v>0.83599999999999997</v>
          </cell>
          <cell r="AB35">
            <v>0.72</v>
          </cell>
          <cell r="AC35">
            <v>34.299999999999997</v>
          </cell>
          <cell r="AD35">
            <v>1.17</v>
          </cell>
          <cell r="AE35" t="str">
            <v>177,8; 114</v>
          </cell>
          <cell r="AF35">
            <v>9.19</v>
          </cell>
          <cell r="AG35">
            <v>1863</v>
          </cell>
          <cell r="AH35" t="str">
            <v>1 ств:1640 (ЦМ)
2 ств:2605</v>
          </cell>
          <cell r="AI35">
            <v>2605</v>
          </cell>
          <cell r="AM35" t="str">
            <v>открытый</v>
          </cell>
          <cell r="AN35" t="str">
            <v>2031,9-2605</v>
          </cell>
          <cell r="AO35">
            <v>10.39</v>
          </cell>
          <cell r="AP35">
            <v>2031.9</v>
          </cell>
          <cell r="AQ35">
            <v>115.33</v>
          </cell>
          <cell r="AR35" t="str">
            <v>1562-2031</v>
          </cell>
          <cell r="AS35">
            <v>114</v>
          </cell>
          <cell r="AT35">
            <v>7.72</v>
          </cell>
          <cell r="AU35" t="str">
            <v>Газлифт</v>
          </cell>
          <cell r="AV35">
            <v>519.98879999999997</v>
          </cell>
          <cell r="AW35" t="str">
            <v>ГП</v>
          </cell>
          <cell r="AX35">
            <v>940.00319999999999</v>
          </cell>
          <cell r="AY35" t="str">
            <v>ГП</v>
          </cell>
          <cell r="AZ35">
            <v>1299.972</v>
          </cell>
          <cell r="BA35" t="str">
            <v>ГК 82 1/8</v>
          </cell>
          <cell r="BB35">
            <v>1530.096</v>
          </cell>
          <cell r="BC35" t="str">
            <v>ЦКсОК 5/16</v>
          </cell>
          <cell r="BD35" t="str">
            <v>-</v>
          </cell>
          <cell r="BE35" t="str">
            <v>-</v>
          </cell>
          <cell r="BF35" t="str">
            <v>-</v>
          </cell>
          <cell r="BG35" t="str">
            <v>-</v>
          </cell>
          <cell r="BH35" t="str">
            <v>-</v>
          </cell>
          <cell r="BI35" t="str">
            <v>-</v>
          </cell>
        </row>
        <row r="36">
          <cell r="J36" t="str">
            <v>5р</v>
          </cell>
          <cell r="K36" t="str">
            <v>Без куста</v>
          </cell>
          <cell r="L36">
            <v>34677</v>
          </cell>
          <cell r="M36" t="str">
            <v>Гор.</v>
          </cell>
          <cell r="N36" t="str">
            <v>Р4+5+6_Block2</v>
          </cell>
          <cell r="O36" t="str">
            <v>Действующий</v>
          </cell>
          <cell r="P36" t="str">
            <v>В работе</v>
          </cell>
          <cell r="Q36">
            <v>-4</v>
          </cell>
          <cell r="R36" t="str">
            <v xml:space="preserve"> </v>
          </cell>
          <cell r="S36" t="str">
            <v xml:space="preserve"> </v>
          </cell>
          <cell r="U36">
            <v>203</v>
          </cell>
          <cell r="V36">
            <v>218.2</v>
          </cell>
          <cell r="W36">
            <v>0.98</v>
          </cell>
          <cell r="X36">
            <v>1.66</v>
          </cell>
          <cell r="Y36">
            <v>0.98646550887746187</v>
          </cell>
          <cell r="Z36">
            <v>1.454</v>
          </cell>
          <cell r="AA36">
            <v>0.83599999999999997</v>
          </cell>
          <cell r="AB36">
            <v>0.72</v>
          </cell>
          <cell r="AC36">
            <v>34.299999999999997</v>
          </cell>
          <cell r="AD36">
            <v>1.17</v>
          </cell>
          <cell r="AE36" t="str">
            <v>139,7; 114</v>
          </cell>
          <cell r="AF36">
            <v>7.72</v>
          </cell>
          <cell r="AG36">
            <v>2017</v>
          </cell>
          <cell r="AH36">
            <v>2170</v>
          </cell>
          <cell r="AI36">
            <v>2170</v>
          </cell>
          <cell r="AM36" t="str">
            <v>открытый</v>
          </cell>
          <cell r="AN36" t="str">
            <v xml:space="preserve">2033-2170                                     </v>
          </cell>
          <cell r="AO36">
            <v>4.4800000000000004</v>
          </cell>
          <cell r="AP36">
            <v>2033</v>
          </cell>
          <cell r="AQ36">
            <v>122.48</v>
          </cell>
          <cell r="AR36" t="str">
            <v>1656,09-2033</v>
          </cell>
          <cell r="AS36">
            <v>114</v>
          </cell>
          <cell r="AT36">
            <v>7.4</v>
          </cell>
          <cell r="AU36" t="str">
            <v>Газлифт</v>
          </cell>
          <cell r="AV36">
            <v>602.000017383</v>
          </cell>
          <cell r="AW36" t="str">
            <v>ГП</v>
          </cell>
          <cell r="AX36">
            <v>1099.9999828130001</v>
          </cell>
          <cell r="AY36" t="str">
            <v>ГК 82 1/8</v>
          </cell>
          <cell r="AZ36">
            <v>1587.999963281</v>
          </cell>
          <cell r="BA36" t="str">
            <v>ЦКсОК 5/16</v>
          </cell>
          <cell r="BB36" t="str">
            <v>-</v>
          </cell>
          <cell r="BC36" t="str">
            <v>-</v>
          </cell>
          <cell r="BD36" t="str">
            <v>-</v>
          </cell>
          <cell r="BE36" t="str">
            <v>-</v>
          </cell>
          <cell r="BF36" t="str">
            <v>-</v>
          </cell>
          <cell r="BG36" t="str">
            <v>-</v>
          </cell>
          <cell r="BH36">
            <v>1638</v>
          </cell>
          <cell r="BI36" t="str">
            <v>закрыт</v>
          </cell>
        </row>
        <row r="37">
          <cell r="J37" t="str">
            <v>5-2</v>
          </cell>
          <cell r="K37" t="str">
            <v>Куст скважины-5</v>
          </cell>
          <cell r="L37">
            <v>37414</v>
          </cell>
          <cell r="M37" t="str">
            <v>Гор.</v>
          </cell>
          <cell r="N37" t="str">
            <v>Р4+5+6_Block2</v>
          </cell>
          <cell r="O37" t="str">
            <v>Действующий</v>
          </cell>
          <cell r="P37" t="str">
            <v>В работе</v>
          </cell>
          <cell r="Q37">
            <v>-4</v>
          </cell>
          <cell r="R37" t="str">
            <v xml:space="preserve"> </v>
          </cell>
          <cell r="S37" t="str">
            <v xml:space="preserve"> </v>
          </cell>
          <cell r="U37">
            <v>203</v>
          </cell>
          <cell r="V37">
            <v>218.2</v>
          </cell>
          <cell r="W37">
            <v>0.98</v>
          </cell>
          <cell r="X37">
            <v>1.66</v>
          </cell>
          <cell r="Y37">
            <v>0.98727970092731943</v>
          </cell>
          <cell r="Z37">
            <v>1.454</v>
          </cell>
          <cell r="AA37">
            <v>0.83599999999999997</v>
          </cell>
          <cell r="AB37">
            <v>0.72</v>
          </cell>
          <cell r="AC37">
            <v>34.299999999999997</v>
          </cell>
          <cell r="AD37">
            <v>1.17</v>
          </cell>
          <cell r="AE37" t="str">
            <v>139,7; 114</v>
          </cell>
          <cell r="AF37">
            <v>7.72</v>
          </cell>
          <cell r="AG37">
            <v>1990</v>
          </cell>
          <cell r="AH37" t="str">
            <v xml:space="preserve">1 ств 2586
2 ств 2620 </v>
          </cell>
          <cell r="AI37" t="str">
            <v xml:space="preserve">1 ств 2586
2 ств 2620 </v>
          </cell>
          <cell r="AM37" t="str">
            <v>открытый</v>
          </cell>
          <cell r="AN37" t="str">
            <v>1875-2586; 1875-2620</v>
          </cell>
          <cell r="AO37">
            <v>15</v>
          </cell>
          <cell r="AP37">
            <v>1990</v>
          </cell>
          <cell r="AQ37">
            <v>72.099999999999994</v>
          </cell>
          <cell r="AU37" t="str">
            <v>Газлифт</v>
          </cell>
          <cell r="AV37">
            <v>519.99999931599996</v>
          </cell>
          <cell r="AW37" t="str">
            <v>ГП</v>
          </cell>
          <cell r="AX37">
            <v>949.99998515599998</v>
          </cell>
          <cell r="AY37" t="str">
            <v>ГП</v>
          </cell>
          <cell r="AZ37">
            <v>1299.9999796879999</v>
          </cell>
          <cell r="BA37" t="str">
            <v>ГК 77 5/32</v>
          </cell>
          <cell r="BB37">
            <v>1560.000035156</v>
          </cell>
          <cell r="BC37" t="str">
            <v xml:space="preserve">ЦКсОК </v>
          </cell>
          <cell r="BD37" t="str">
            <v>-</v>
          </cell>
          <cell r="BE37" t="str">
            <v>-</v>
          </cell>
          <cell r="BF37" t="str">
            <v>-</v>
          </cell>
          <cell r="BG37" t="str">
            <v>-</v>
          </cell>
          <cell r="BH37">
            <v>1703</v>
          </cell>
          <cell r="BI37" t="str">
            <v>закрыт</v>
          </cell>
        </row>
        <row r="38">
          <cell r="J38" t="str">
            <v>5-1</v>
          </cell>
          <cell r="K38" t="str">
            <v>Куст скважины-5</v>
          </cell>
          <cell r="L38">
            <v>37385</v>
          </cell>
          <cell r="M38" t="str">
            <v>Гор.</v>
          </cell>
          <cell r="N38" t="str">
            <v>Р4+5+6_Block2</v>
          </cell>
          <cell r="O38" t="str">
            <v>Действующий</v>
          </cell>
          <cell r="P38" t="str">
            <v>В работе</v>
          </cell>
          <cell r="Q38">
            <v>-4</v>
          </cell>
          <cell r="R38" t="str">
            <v xml:space="preserve"> </v>
          </cell>
          <cell r="S38" t="str">
            <v xml:space="preserve"> </v>
          </cell>
          <cell r="U38">
            <v>203</v>
          </cell>
          <cell r="V38">
            <v>218.2</v>
          </cell>
          <cell r="W38">
            <v>0.98</v>
          </cell>
          <cell r="X38">
            <v>1.66</v>
          </cell>
          <cell r="Y38">
            <v>0.98</v>
          </cell>
          <cell r="Z38">
            <v>1.454</v>
          </cell>
          <cell r="AA38">
            <v>0.83599999999999997</v>
          </cell>
          <cell r="AB38">
            <v>0.72</v>
          </cell>
          <cell r="AC38">
            <v>34.299999999999997</v>
          </cell>
          <cell r="AD38">
            <v>1.17</v>
          </cell>
          <cell r="AE38">
            <v>139.69999999999999</v>
          </cell>
          <cell r="AF38">
            <v>7.72</v>
          </cell>
          <cell r="AG38">
            <v>1984</v>
          </cell>
          <cell r="AH38">
            <v>2500</v>
          </cell>
          <cell r="AI38">
            <v>2500</v>
          </cell>
          <cell r="AM38" t="str">
            <v>открытый</v>
          </cell>
          <cell r="AN38" t="str">
            <v xml:space="preserve">1984-2500 </v>
          </cell>
          <cell r="AO38">
            <v>16.079999999999998</v>
          </cell>
          <cell r="AP38">
            <v>1912.82</v>
          </cell>
          <cell r="AQ38">
            <v>71.180000000000007</v>
          </cell>
          <cell r="AU38" t="str">
            <v>Газлифт</v>
          </cell>
          <cell r="AV38">
            <v>599.00001445299995</v>
          </cell>
          <cell r="AW38" t="str">
            <v>ГП</v>
          </cell>
          <cell r="AX38">
            <v>1199.000005078</v>
          </cell>
          <cell r="AY38" t="str">
            <v>ГК 80 1/8</v>
          </cell>
          <cell r="AZ38">
            <v>1802.0000730469999</v>
          </cell>
          <cell r="BA38" t="str">
            <v>ЦКсОК 5/32</v>
          </cell>
          <cell r="BB38" t="str">
            <v>-</v>
          </cell>
          <cell r="BC38" t="str">
            <v>-</v>
          </cell>
          <cell r="BD38" t="str">
            <v>-</v>
          </cell>
          <cell r="BE38" t="str">
            <v>-</v>
          </cell>
          <cell r="BF38" t="str">
            <v>-</v>
          </cell>
          <cell r="BG38" t="str">
            <v>-</v>
          </cell>
          <cell r="BH38">
            <v>1813</v>
          </cell>
          <cell r="BI38" t="str">
            <v>закрыт</v>
          </cell>
        </row>
        <row r="39">
          <cell r="J39" t="str">
            <v>6р</v>
          </cell>
          <cell r="K39" t="str">
            <v>Без куста</v>
          </cell>
          <cell r="L39">
            <v>34875</v>
          </cell>
          <cell r="M39" t="str">
            <v>Верт.</v>
          </cell>
          <cell r="N39" t="str">
            <v>Р4+5_Block3</v>
          </cell>
          <cell r="O39" t="str">
            <v>Действующий</v>
          </cell>
          <cell r="P39" t="str">
            <v>В работе</v>
          </cell>
          <cell r="Q39">
            <v>-4</v>
          </cell>
          <cell r="R39">
            <v>41551</v>
          </cell>
          <cell r="S39" t="str">
            <v>Slb</v>
          </cell>
          <cell r="T39" t="str">
            <v>КГРП 64м3 15% HCL</v>
          </cell>
          <cell r="U39">
            <v>203</v>
          </cell>
          <cell r="V39">
            <v>218.2</v>
          </cell>
          <cell r="W39">
            <v>0.98</v>
          </cell>
          <cell r="X39">
            <v>1.66</v>
          </cell>
          <cell r="Y39">
            <v>0.98080354989630048</v>
          </cell>
          <cell r="Z39">
            <v>1.454</v>
          </cell>
          <cell r="AA39">
            <v>0.83599999999999997</v>
          </cell>
          <cell r="AB39">
            <v>0.72</v>
          </cell>
          <cell r="AC39">
            <v>34.299999999999997</v>
          </cell>
          <cell r="AD39">
            <v>1.17</v>
          </cell>
          <cell r="AE39">
            <v>139.69999999999999</v>
          </cell>
          <cell r="AF39">
            <v>7.72</v>
          </cell>
          <cell r="AG39">
            <v>1995</v>
          </cell>
          <cell r="AH39">
            <v>1950</v>
          </cell>
          <cell r="AI39">
            <v>1950</v>
          </cell>
          <cell r="AM39" t="str">
            <v>закрытый</v>
          </cell>
          <cell r="AN39" t="str">
            <v>1862-1900; 1901-1944;(ЗПКС-80)</v>
          </cell>
          <cell r="AO39">
            <v>81.650000000000006</v>
          </cell>
          <cell r="AP39">
            <v>1862</v>
          </cell>
          <cell r="AQ39">
            <v>1.75</v>
          </cell>
          <cell r="AU39" t="str">
            <v>Газлифт</v>
          </cell>
          <cell r="AV39">
            <v>549.85919999999999</v>
          </cell>
          <cell r="AW39" t="str">
            <v>ГК 78 1/8</v>
          </cell>
          <cell r="AX39">
            <v>1239.9264000000001</v>
          </cell>
          <cell r="AY39" t="str">
            <v>ГК 76 1/8</v>
          </cell>
          <cell r="AZ39">
            <v>1748.9423999999999</v>
          </cell>
          <cell r="BA39" t="str">
            <v>ЦКсОК 5/16</v>
          </cell>
          <cell r="BB39" t="str">
            <v>-</v>
          </cell>
          <cell r="BC39" t="str">
            <v>-</v>
          </cell>
          <cell r="BD39" t="str">
            <v>-</v>
          </cell>
          <cell r="BE39" t="str">
            <v>-</v>
          </cell>
          <cell r="BF39" t="str">
            <v>-</v>
          </cell>
          <cell r="BG39" t="str">
            <v>-</v>
          </cell>
          <cell r="BH39">
            <v>1768</v>
          </cell>
          <cell r="BI39" t="str">
            <v>закрыт</v>
          </cell>
        </row>
        <row r="40">
          <cell r="J40" t="str">
            <v>10-1</v>
          </cell>
          <cell r="K40" t="str">
            <v>Без куста</v>
          </cell>
          <cell r="L40">
            <v>37547</v>
          </cell>
          <cell r="M40" t="str">
            <v>Гор.</v>
          </cell>
          <cell r="N40" t="str">
            <v>Р4+5+6_Block2</v>
          </cell>
          <cell r="O40" t="str">
            <v>Действующий</v>
          </cell>
          <cell r="P40" t="str">
            <v>В работе</v>
          </cell>
          <cell r="Q40">
            <v>-4</v>
          </cell>
          <cell r="U40">
            <v>203</v>
          </cell>
          <cell r="V40">
            <v>218.2</v>
          </cell>
          <cell r="W40">
            <v>0.98</v>
          </cell>
          <cell r="X40">
            <v>1.66</v>
          </cell>
          <cell r="Y40">
            <v>0.98140707761730661</v>
          </cell>
          <cell r="Z40">
            <v>1.454</v>
          </cell>
          <cell r="AA40">
            <v>0.83599999999999997</v>
          </cell>
          <cell r="AB40">
            <v>0.72</v>
          </cell>
          <cell r="AC40">
            <v>34.299999999999997</v>
          </cell>
          <cell r="AD40">
            <v>1.17</v>
          </cell>
          <cell r="AE40" t="str">
            <v>139,7; 114</v>
          </cell>
          <cell r="AF40">
            <v>7.72</v>
          </cell>
          <cell r="AG40">
            <v>1982</v>
          </cell>
          <cell r="AH40">
            <v>2606</v>
          </cell>
          <cell r="AI40">
            <v>2606</v>
          </cell>
          <cell r="AM40" t="str">
            <v>открытый</v>
          </cell>
          <cell r="AN40" t="str">
            <v>1970-2606</v>
          </cell>
          <cell r="AO40">
            <v>41.77</v>
          </cell>
          <cell r="AP40">
            <v>1970</v>
          </cell>
          <cell r="AQ40">
            <v>58</v>
          </cell>
          <cell r="AR40" t="str">
            <v>1637-1970</v>
          </cell>
          <cell r="AS40">
            <v>102</v>
          </cell>
          <cell r="AT40">
            <v>6.5</v>
          </cell>
          <cell r="AU40" t="str">
            <v>Газлифт</v>
          </cell>
          <cell r="AV40">
            <v>499.87200000000001</v>
          </cell>
          <cell r="AW40" t="str">
            <v>ГП</v>
          </cell>
          <cell r="AX40">
            <v>890.01599999999996</v>
          </cell>
          <cell r="AY40" t="str">
            <v>ГП</v>
          </cell>
          <cell r="AZ40">
            <v>1210.056</v>
          </cell>
          <cell r="BA40" t="str">
            <v>ГП</v>
          </cell>
          <cell r="BB40">
            <v>1449.9336000000001</v>
          </cell>
          <cell r="BC40" t="str">
            <v>ГК 100 1/8</v>
          </cell>
          <cell r="BD40">
            <v>1599.8951999999999</v>
          </cell>
          <cell r="BE40" t="str">
            <v>ЦКсОК 5/16</v>
          </cell>
          <cell r="BF40" t="str">
            <v>-</v>
          </cell>
          <cell r="BG40" t="str">
            <v>-</v>
          </cell>
          <cell r="BH40">
            <v>1610</v>
          </cell>
          <cell r="BI40" t="str">
            <v>закрыт</v>
          </cell>
        </row>
        <row r="41">
          <cell r="J41" t="str">
            <v>12-1</v>
          </cell>
          <cell r="K41" t="str">
            <v>Куст скважины-12</v>
          </cell>
          <cell r="L41">
            <v>35748</v>
          </cell>
          <cell r="M41" t="str">
            <v>Гор.</v>
          </cell>
          <cell r="N41" t="str">
            <v>Р4+5+6_Block2</v>
          </cell>
          <cell r="O41" t="str">
            <v>Действующий</v>
          </cell>
          <cell r="P41" t="str">
            <v>Остановлена</v>
          </cell>
          <cell r="Q41">
            <v>-4</v>
          </cell>
          <cell r="R41" t="str">
            <v xml:space="preserve"> </v>
          </cell>
          <cell r="S41" t="str">
            <v xml:space="preserve"> </v>
          </cell>
          <cell r="U41">
            <v>203</v>
          </cell>
          <cell r="V41">
            <v>218.2</v>
          </cell>
          <cell r="W41">
            <v>0.98</v>
          </cell>
          <cell r="X41">
            <v>1.66</v>
          </cell>
          <cell r="Y41">
            <v>0.98012044853704894</v>
          </cell>
          <cell r="Z41">
            <v>1.454</v>
          </cell>
          <cell r="AA41">
            <v>0.83599999999999997</v>
          </cell>
          <cell r="AB41">
            <v>0.72</v>
          </cell>
          <cell r="AC41">
            <v>34.299999999999997</v>
          </cell>
          <cell r="AD41">
            <v>1.17</v>
          </cell>
          <cell r="AE41">
            <v>139.69999999999999</v>
          </cell>
          <cell r="AF41">
            <v>7.72</v>
          </cell>
          <cell r="AG41">
            <v>1921</v>
          </cell>
          <cell r="AH41">
            <v>2505</v>
          </cell>
          <cell r="AI41">
            <v>2505</v>
          </cell>
          <cell r="AM41" t="str">
            <v>открытый</v>
          </cell>
          <cell r="AN41" t="str">
            <v>1921-2505</v>
          </cell>
          <cell r="AO41">
            <v>28.53</v>
          </cell>
          <cell r="AP41">
            <v>1921</v>
          </cell>
          <cell r="AQ41">
            <v>19.53</v>
          </cell>
          <cell r="AU41" t="str">
            <v>Газлифт</v>
          </cell>
          <cell r="AV41">
            <v>627.70003007800005</v>
          </cell>
          <cell r="AW41" t="str">
            <v>ГП</v>
          </cell>
          <cell r="AX41">
            <v>1130.5299890629999</v>
          </cell>
          <cell r="AY41" t="str">
            <v>ГП</v>
          </cell>
          <cell r="AZ41">
            <v>1531.0300453130001</v>
          </cell>
          <cell r="BA41" t="str">
            <v>ГК 85 1/8</v>
          </cell>
          <cell r="BB41">
            <v>1774.90993125</v>
          </cell>
          <cell r="BC41" t="str">
            <v>ЦКсОК 5/16</v>
          </cell>
          <cell r="BD41" t="str">
            <v>-</v>
          </cell>
          <cell r="BE41" t="str">
            <v>-</v>
          </cell>
          <cell r="BF41" t="str">
            <v>-</v>
          </cell>
          <cell r="BG41" t="str">
            <v>-</v>
          </cell>
          <cell r="BH41">
            <v>1785</v>
          </cell>
          <cell r="BI41" t="str">
            <v>закрыт</v>
          </cell>
        </row>
        <row r="42">
          <cell r="J42" t="str">
            <v>12-2</v>
          </cell>
          <cell r="K42" t="str">
            <v>Куст скважины-12</v>
          </cell>
          <cell r="L42">
            <v>37498</v>
          </cell>
          <cell r="M42" t="str">
            <v>Гор.</v>
          </cell>
          <cell r="N42" t="str">
            <v>Р4+5+6_Block2</v>
          </cell>
          <cell r="O42" t="str">
            <v>Действующий</v>
          </cell>
          <cell r="P42" t="str">
            <v>В работе</v>
          </cell>
          <cell r="Q42">
            <v>-4</v>
          </cell>
          <cell r="U42">
            <v>203</v>
          </cell>
          <cell r="V42">
            <v>218.2</v>
          </cell>
          <cell r="W42">
            <v>0.98</v>
          </cell>
          <cell r="X42">
            <v>1.66</v>
          </cell>
          <cell r="Y42">
            <v>0.98281820159010158</v>
          </cell>
          <cell r="Z42">
            <v>1.454</v>
          </cell>
          <cell r="AA42">
            <v>0.83599999999999997</v>
          </cell>
          <cell r="AB42">
            <v>0.72</v>
          </cell>
          <cell r="AC42">
            <v>34.299999999999997</v>
          </cell>
          <cell r="AD42">
            <v>1.17</v>
          </cell>
          <cell r="AE42">
            <v>139.69999999999999</v>
          </cell>
          <cell r="AF42">
            <v>7.72</v>
          </cell>
          <cell r="AG42">
            <v>1910</v>
          </cell>
          <cell r="AH42">
            <v>2500</v>
          </cell>
          <cell r="AI42">
            <v>2500</v>
          </cell>
          <cell r="AM42" t="str">
            <v>открытый</v>
          </cell>
          <cell r="AN42" t="str">
            <v>1910-2500</v>
          </cell>
          <cell r="AO42">
            <v>45</v>
          </cell>
          <cell r="AP42">
            <v>1910</v>
          </cell>
          <cell r="AQ42">
            <v>22.39</v>
          </cell>
          <cell r="AU42" t="str">
            <v>Газлифт</v>
          </cell>
          <cell r="AV42">
            <v>599.99999062500001</v>
          </cell>
          <cell r="AW42" t="str">
            <v>ГК 81 1/8</v>
          </cell>
          <cell r="AX42">
            <v>1100.0000572270001</v>
          </cell>
          <cell r="AY42" t="str">
            <v>ГК 83 5/32</v>
          </cell>
          <cell r="AZ42">
            <v>1449.9999773439999</v>
          </cell>
          <cell r="BA42" t="str">
            <v>ГК 84 5/32</v>
          </cell>
          <cell r="BB42">
            <v>1760.000032031</v>
          </cell>
          <cell r="BC42" t="str">
            <v>ЦКсОК 5/16</v>
          </cell>
          <cell r="BD42" t="str">
            <v>-</v>
          </cell>
          <cell r="BE42" t="str">
            <v>-</v>
          </cell>
          <cell r="BF42" t="str">
            <v>-</v>
          </cell>
          <cell r="BG42" t="str">
            <v>-</v>
          </cell>
          <cell r="BH42">
            <v>1790</v>
          </cell>
          <cell r="BI42" t="str">
            <v>закрыт</v>
          </cell>
        </row>
        <row r="43">
          <cell r="J43" t="str">
            <v>13-3</v>
          </cell>
          <cell r="K43" t="str">
            <v>Без куста</v>
          </cell>
          <cell r="L43">
            <v>35399</v>
          </cell>
          <cell r="M43" t="str">
            <v>Гор.</v>
          </cell>
          <cell r="N43" t="str">
            <v>Р4+5+6_Block2</v>
          </cell>
          <cell r="O43" t="str">
            <v>Действующий</v>
          </cell>
          <cell r="P43" t="str">
            <v>В работе</v>
          </cell>
          <cell r="AM43" t="str">
            <v>закрытый</v>
          </cell>
          <cell r="AN43" t="str">
            <v>2204,76-2205,56; 2423,95-2424,75; 2543,67-2544,47; 2651,62-2652,52</v>
          </cell>
          <cell r="AU43" t="str">
            <v>Газлифт</v>
          </cell>
          <cell r="AV43">
            <v>550</v>
          </cell>
          <cell r="AW43" t="str">
            <v>ГП</v>
          </cell>
          <cell r="AX43">
            <v>1010</v>
          </cell>
          <cell r="AY43" t="str">
            <v>ГК 80 1/8</v>
          </cell>
          <cell r="AZ43">
            <v>1400</v>
          </cell>
          <cell r="BA43" t="str">
            <v>ГК 80 1/8</v>
          </cell>
          <cell r="BB43">
            <v>1603</v>
          </cell>
          <cell r="BC43" t="str">
            <v>ЦКсОК 5/16</v>
          </cell>
          <cell r="BD43" t="str">
            <v>-</v>
          </cell>
          <cell r="BE43" t="str">
            <v>-</v>
          </cell>
          <cell r="BF43" t="str">
            <v>-</v>
          </cell>
          <cell r="BG43" t="str">
            <v>-</v>
          </cell>
          <cell r="BH43">
            <v>1613</v>
          </cell>
          <cell r="BI43" t="str">
            <v>закрыт</v>
          </cell>
          <cell r="BJ43">
            <v>33.729999999999997</v>
          </cell>
        </row>
        <row r="44">
          <cell r="J44" t="str">
            <v>14-1</v>
          </cell>
          <cell r="K44" t="str">
            <v>Куст скважины-14</v>
          </cell>
          <cell r="L44">
            <v>35671</v>
          </cell>
          <cell r="M44" t="str">
            <v>Гор.</v>
          </cell>
          <cell r="N44" t="str">
            <v>Р4+5+6_Block2</v>
          </cell>
          <cell r="O44" t="str">
            <v>Действующий</v>
          </cell>
          <cell r="P44" t="str">
            <v>В работе</v>
          </cell>
          <cell r="Q44">
            <v>-4</v>
          </cell>
          <cell r="R44" t="str">
            <v xml:space="preserve"> </v>
          </cell>
          <cell r="S44" t="str">
            <v xml:space="preserve"> </v>
          </cell>
          <cell r="U44">
            <v>203</v>
          </cell>
          <cell r="V44">
            <v>218.2</v>
          </cell>
          <cell r="W44">
            <v>0.98</v>
          </cell>
          <cell r="X44">
            <v>1.66</v>
          </cell>
          <cell r="Y44">
            <v>0.99059096898648913</v>
          </cell>
          <cell r="Z44">
            <v>1.454</v>
          </cell>
          <cell r="AA44">
            <v>0.83599999999999997</v>
          </cell>
          <cell r="AB44">
            <v>0.72</v>
          </cell>
          <cell r="AC44">
            <v>34.299999999999997</v>
          </cell>
          <cell r="AD44">
            <v>1.17</v>
          </cell>
          <cell r="AE44">
            <v>139.69999999999999</v>
          </cell>
          <cell r="AF44">
            <v>7.72</v>
          </cell>
          <cell r="AG44">
            <v>1858</v>
          </cell>
          <cell r="AH44">
            <v>2762</v>
          </cell>
          <cell r="AI44">
            <v>2762</v>
          </cell>
          <cell r="AM44" t="str">
            <v>открытый</v>
          </cell>
          <cell r="AN44" t="str">
            <v>2060-2790</v>
          </cell>
          <cell r="AO44">
            <v>79.779399999999896</v>
          </cell>
          <cell r="AP44">
            <v>1858</v>
          </cell>
          <cell r="AQ44">
            <v>2.7</v>
          </cell>
          <cell r="AU44" t="str">
            <v>Газлифт</v>
          </cell>
          <cell r="AV44">
            <v>599.99999062500001</v>
          </cell>
          <cell r="AW44" t="str">
            <v>ГК 81 1/8</v>
          </cell>
          <cell r="AX44">
            <v>1089.999997852</v>
          </cell>
          <cell r="AY44" t="str">
            <v>ГК 82 1/8</v>
          </cell>
          <cell r="AZ44">
            <v>1490.0000660159999</v>
          </cell>
          <cell r="BA44" t="str">
            <v>ГК 82 1/8</v>
          </cell>
          <cell r="BB44">
            <v>1619.9999449219999</v>
          </cell>
          <cell r="BC44" t="str">
            <v>ЦКсОК 5/16</v>
          </cell>
          <cell r="BD44" t="str">
            <v>-</v>
          </cell>
          <cell r="BE44" t="str">
            <v>-</v>
          </cell>
          <cell r="BF44" t="str">
            <v>-</v>
          </cell>
          <cell r="BG44" t="str">
            <v>-</v>
          </cell>
          <cell r="BH44" t="str">
            <v>-</v>
          </cell>
          <cell r="BI44" t="str">
            <v>-</v>
          </cell>
        </row>
        <row r="45">
          <cell r="J45" t="str">
            <v>15-1</v>
          </cell>
          <cell r="K45" t="str">
            <v>Без куста</v>
          </cell>
          <cell r="L45">
            <v>36997</v>
          </cell>
          <cell r="M45" t="str">
            <v>Гор.</v>
          </cell>
          <cell r="N45" t="str">
            <v>Р4+5+6_Block2</v>
          </cell>
          <cell r="O45" t="str">
            <v>Действующий</v>
          </cell>
          <cell r="P45" t="str">
            <v>В работе</v>
          </cell>
          <cell r="Q45">
            <v>-4</v>
          </cell>
          <cell r="R45" t="str">
            <v xml:space="preserve"> </v>
          </cell>
          <cell r="S45" t="str">
            <v xml:space="preserve"> </v>
          </cell>
          <cell r="U45">
            <v>203</v>
          </cell>
          <cell r="V45">
            <v>218.2</v>
          </cell>
          <cell r="W45">
            <v>0.98</v>
          </cell>
          <cell r="X45">
            <v>1.66</v>
          </cell>
          <cell r="Y45">
            <v>0.98</v>
          </cell>
          <cell r="Z45">
            <v>1.454</v>
          </cell>
          <cell r="AA45">
            <v>0.83599999999999997</v>
          </cell>
          <cell r="AB45">
            <v>0.72</v>
          </cell>
          <cell r="AC45">
            <v>34.299999999999997</v>
          </cell>
          <cell r="AD45">
            <v>1.17</v>
          </cell>
          <cell r="AE45">
            <v>139.69999999999999</v>
          </cell>
          <cell r="AF45">
            <v>7.72</v>
          </cell>
          <cell r="AG45">
            <v>1874</v>
          </cell>
          <cell r="AH45" t="str">
            <v>1 ств 1657
2 ств 2425 
3 ств 1974</v>
          </cell>
          <cell r="AI45" t="str">
            <v>1 ств 2467
2 ств 2425 
3 ств 1974</v>
          </cell>
          <cell r="AM45" t="str">
            <v>закрытый</v>
          </cell>
          <cell r="AN45" t="str">
            <v>1917-2425; 1904,59-1905,39; 1960,38-1961,48; 1974-2341</v>
          </cell>
          <cell r="AO45">
            <v>19.91</v>
          </cell>
          <cell r="AP45">
            <v>1904.59</v>
          </cell>
          <cell r="AQ45">
            <v>13.37</v>
          </cell>
          <cell r="AU45" t="str">
            <v>Газлифт</v>
          </cell>
          <cell r="AV45">
            <v>549.99999140600005</v>
          </cell>
          <cell r="AW45" t="str">
            <v>ГК 83 1/8</v>
          </cell>
          <cell r="AX45">
            <v>989.99999941399994</v>
          </cell>
          <cell r="AY45" t="str">
            <v>ГК 84 1/8</v>
          </cell>
          <cell r="AZ45">
            <v>1330.000008984</v>
          </cell>
          <cell r="BA45" t="str">
            <v>ГК 85 5/32</v>
          </cell>
          <cell r="BB45">
            <v>1560.000035156</v>
          </cell>
          <cell r="BC45" t="str">
            <v>ЦКсОК 5/16</v>
          </cell>
          <cell r="BD45" t="str">
            <v>-</v>
          </cell>
          <cell r="BE45" t="str">
            <v>-</v>
          </cell>
          <cell r="BF45" t="str">
            <v>-</v>
          </cell>
          <cell r="BG45" t="str">
            <v>-</v>
          </cell>
          <cell r="BH45" t="str">
            <v>-</v>
          </cell>
          <cell r="BI45" t="str">
            <v>-</v>
          </cell>
        </row>
        <row r="46">
          <cell r="J46" t="str">
            <v>19-1</v>
          </cell>
          <cell r="K46" t="str">
            <v>Без куста</v>
          </cell>
          <cell r="L46">
            <v>37344</v>
          </cell>
          <cell r="M46" t="str">
            <v>Гор.</v>
          </cell>
          <cell r="N46" t="str">
            <v>Р4+5+6_Block2</v>
          </cell>
          <cell r="O46" t="str">
            <v>Действующий</v>
          </cell>
          <cell r="P46" t="str">
            <v>В работе</v>
          </cell>
          <cell r="Q46">
            <v>-4</v>
          </cell>
          <cell r="R46" t="str">
            <v xml:space="preserve"> </v>
          </cell>
          <cell r="S46" t="str">
            <v xml:space="preserve"> </v>
          </cell>
          <cell r="U46">
            <v>203</v>
          </cell>
          <cell r="V46">
            <v>218.2</v>
          </cell>
          <cell r="W46">
            <v>0.98</v>
          </cell>
          <cell r="X46">
            <v>1.66</v>
          </cell>
          <cell r="Y46">
            <v>0.98</v>
          </cell>
          <cell r="Z46">
            <v>1.454</v>
          </cell>
          <cell r="AA46">
            <v>0.83599999999999997</v>
          </cell>
          <cell r="AB46">
            <v>0.72</v>
          </cell>
          <cell r="AC46">
            <v>34.299999999999997</v>
          </cell>
          <cell r="AD46">
            <v>1.17</v>
          </cell>
          <cell r="AE46">
            <v>139.69999999999999</v>
          </cell>
          <cell r="AF46">
            <v>7.72</v>
          </cell>
          <cell r="AG46">
            <v>1978</v>
          </cell>
          <cell r="AH46" t="str">
            <v>1 ств 2467
2 ств 2600 
3 ств 2610</v>
          </cell>
          <cell r="AI46" t="str">
            <v>1 ств 2467
2 ств 2600 
3 ств 2610</v>
          </cell>
          <cell r="AM46" t="str">
            <v>открытый</v>
          </cell>
          <cell r="AN46" t="str">
            <v>1978-2467; 2350-2600; 2460-2610</v>
          </cell>
          <cell r="AO46">
            <v>75.83</v>
          </cell>
          <cell r="AP46">
            <v>1918</v>
          </cell>
          <cell r="AQ46">
            <v>62.2</v>
          </cell>
          <cell r="AU46" t="str">
            <v>Газлифт</v>
          </cell>
          <cell r="AV46">
            <v>530.04719999999998</v>
          </cell>
          <cell r="AW46" t="str">
            <v>ГП</v>
          </cell>
          <cell r="AX46">
            <v>940.00319999999999</v>
          </cell>
          <cell r="AY46" t="str">
            <v>ГП</v>
          </cell>
          <cell r="AZ46">
            <v>1279.8552</v>
          </cell>
          <cell r="BA46" t="str">
            <v>ГК 82 1/8</v>
          </cell>
          <cell r="BB46">
            <v>1530.096</v>
          </cell>
          <cell r="BC46" t="str">
            <v>ГК 77 5/32</v>
          </cell>
          <cell r="BD46">
            <v>1690.116</v>
          </cell>
          <cell r="BE46" t="str">
            <v>ЦКсОК 5/16</v>
          </cell>
          <cell r="BF46" t="str">
            <v>-</v>
          </cell>
          <cell r="BG46" t="str">
            <v>-</v>
          </cell>
          <cell r="BH46">
            <v>1700</v>
          </cell>
          <cell r="BI46" t="str">
            <v>закрыт</v>
          </cell>
        </row>
        <row r="47">
          <cell r="J47" t="str">
            <v>20-1</v>
          </cell>
          <cell r="K47" t="str">
            <v>Куст скважины-20</v>
          </cell>
          <cell r="L47">
            <v>34964</v>
          </cell>
          <cell r="M47" t="str">
            <v>Гор.</v>
          </cell>
          <cell r="N47" t="str">
            <v>Р4+5+6_Block2</v>
          </cell>
          <cell r="O47" t="str">
            <v>Действующий</v>
          </cell>
          <cell r="P47" t="str">
            <v>В работе</v>
          </cell>
          <cell r="Q47">
            <v>-4</v>
          </cell>
          <cell r="U47">
            <v>203</v>
          </cell>
          <cell r="V47">
            <v>218.2</v>
          </cell>
          <cell r="W47">
            <v>0.98</v>
          </cell>
          <cell r="X47">
            <v>1.66</v>
          </cell>
          <cell r="Y47">
            <v>1.1198704728127828</v>
          </cell>
          <cell r="Z47">
            <v>1.454</v>
          </cell>
          <cell r="AA47">
            <v>0.83599999999999997</v>
          </cell>
          <cell r="AB47">
            <v>0.72</v>
          </cell>
          <cell r="AC47">
            <v>34.299999999999997</v>
          </cell>
          <cell r="AD47">
            <v>1.17</v>
          </cell>
          <cell r="AE47">
            <v>139.69999999999999</v>
          </cell>
          <cell r="AF47">
            <v>7.72</v>
          </cell>
          <cell r="AG47">
            <v>1877</v>
          </cell>
          <cell r="AH47">
            <v>2561</v>
          </cell>
          <cell r="AI47">
            <v>2561</v>
          </cell>
          <cell r="AM47" t="str">
            <v>открытый</v>
          </cell>
          <cell r="AN47" t="str">
            <v>1878-2535</v>
          </cell>
          <cell r="AO47">
            <v>78.685819999999921</v>
          </cell>
          <cell r="AP47">
            <v>1878</v>
          </cell>
          <cell r="AQ47">
            <v>10</v>
          </cell>
          <cell r="AU47" t="str">
            <v>Газлифт</v>
          </cell>
          <cell r="AV47">
            <v>674.99998945300001</v>
          </cell>
          <cell r="AW47" t="str">
            <v>ГП</v>
          </cell>
          <cell r="AX47">
            <v>1149.9999820309999</v>
          </cell>
          <cell r="AY47" t="str">
            <v>ГК 80 1/8</v>
          </cell>
          <cell r="AZ47">
            <v>1519.999946484</v>
          </cell>
          <cell r="BA47" t="str">
            <v>ЦКсОК 5/16</v>
          </cell>
          <cell r="BB47" t="str">
            <v>-</v>
          </cell>
          <cell r="BC47" t="str">
            <v>-</v>
          </cell>
          <cell r="BD47" t="str">
            <v>-</v>
          </cell>
          <cell r="BE47" t="str">
            <v>-</v>
          </cell>
          <cell r="BF47" t="str">
            <v>-</v>
          </cell>
          <cell r="BG47" t="str">
            <v>-</v>
          </cell>
          <cell r="BH47">
            <v>1890</v>
          </cell>
          <cell r="BI47" t="str">
            <v>закрыт</v>
          </cell>
        </row>
        <row r="48">
          <cell r="J48" t="str">
            <v>20-2</v>
          </cell>
          <cell r="K48" t="str">
            <v>Куст скважины-20</v>
          </cell>
          <cell r="L48">
            <v>35735</v>
          </cell>
          <cell r="M48" t="str">
            <v>Гор.</v>
          </cell>
          <cell r="N48" t="str">
            <v>Р4+5+6_Block2</v>
          </cell>
          <cell r="O48" t="str">
            <v>Действующий</v>
          </cell>
          <cell r="P48" t="str">
            <v>В работе</v>
          </cell>
          <cell r="Q48">
            <v>-4</v>
          </cell>
          <cell r="R48" t="str">
            <v xml:space="preserve"> </v>
          </cell>
          <cell r="S48" t="str">
            <v xml:space="preserve"> </v>
          </cell>
          <cell r="U48">
            <v>203</v>
          </cell>
          <cell r="V48">
            <v>218.2</v>
          </cell>
          <cell r="W48">
            <v>0.98</v>
          </cell>
          <cell r="X48">
            <v>1.66</v>
          </cell>
          <cell r="Y48">
            <v>1.051640813075823</v>
          </cell>
          <cell r="Z48">
            <v>1.454</v>
          </cell>
          <cell r="AA48">
            <v>0.83599999999999997</v>
          </cell>
          <cell r="AB48">
            <v>0.72</v>
          </cell>
          <cell r="AC48">
            <v>34.299999999999997</v>
          </cell>
          <cell r="AD48">
            <v>1.17</v>
          </cell>
          <cell r="AE48" t="str">
            <v>177,8;
139,7</v>
          </cell>
          <cell r="AF48" t="str">
            <v>8,05;
7,72</v>
          </cell>
          <cell r="AG48" t="str">
            <v>0-1851;
1851-2396</v>
          </cell>
          <cell r="AH48">
            <v>2390</v>
          </cell>
          <cell r="AI48">
            <v>2390</v>
          </cell>
          <cell r="AM48" t="str">
            <v>закрытый</v>
          </cell>
          <cell r="AN48" t="str">
            <v>1902-2384(фильтр хвостовик)</v>
          </cell>
          <cell r="AO48">
            <v>78.61</v>
          </cell>
          <cell r="AP48">
            <v>1902</v>
          </cell>
          <cell r="AQ48">
            <v>33.1</v>
          </cell>
          <cell r="AR48" t="str">
            <v>1902-2384
фильтр-"хвостовик"</v>
          </cell>
          <cell r="AS48">
            <v>139.69999999999999</v>
          </cell>
          <cell r="AT48">
            <v>7.72</v>
          </cell>
          <cell r="AU48" t="str">
            <v>Газлифт</v>
          </cell>
          <cell r="AV48">
            <v>549.99999140600005</v>
          </cell>
          <cell r="AW48">
            <v>78.125</v>
          </cell>
          <cell r="AX48">
            <v>980.00001445299995</v>
          </cell>
          <cell r="AY48">
            <v>78.125</v>
          </cell>
          <cell r="AZ48">
            <v>1349.999978906</v>
          </cell>
          <cell r="BA48">
            <v>78.125</v>
          </cell>
          <cell r="BB48">
            <v>1649.999974219</v>
          </cell>
          <cell r="BC48" t="str">
            <v>ЦКсОК 5/16</v>
          </cell>
          <cell r="BD48" t="str">
            <v>-</v>
          </cell>
          <cell r="BE48" t="str">
            <v>-</v>
          </cell>
          <cell r="BF48" t="str">
            <v>-</v>
          </cell>
          <cell r="BG48" t="str">
            <v>-</v>
          </cell>
          <cell r="BH48">
            <v>1790</v>
          </cell>
          <cell r="BI48" t="str">
            <v>закрыт</v>
          </cell>
        </row>
        <row r="49">
          <cell r="J49" t="str">
            <v>21-1</v>
          </cell>
          <cell r="K49" t="str">
            <v>Без куста</v>
          </cell>
          <cell r="L49">
            <v>36115</v>
          </cell>
          <cell r="M49" t="str">
            <v>Гор.</v>
          </cell>
          <cell r="N49" t="str">
            <v>Р4+5+6_Block2</v>
          </cell>
          <cell r="O49" t="str">
            <v>Действующий</v>
          </cell>
          <cell r="P49" t="str">
            <v>В работе</v>
          </cell>
          <cell r="Q49">
            <v>-4</v>
          </cell>
          <cell r="R49" t="str">
            <v xml:space="preserve"> </v>
          </cell>
          <cell r="S49" t="str">
            <v xml:space="preserve"> </v>
          </cell>
          <cell r="U49">
            <v>203</v>
          </cell>
          <cell r="V49">
            <v>218.2</v>
          </cell>
          <cell r="W49">
            <v>0.98</v>
          </cell>
          <cell r="X49">
            <v>1.66</v>
          </cell>
          <cell r="Y49">
            <v>1.0004920049200492</v>
          </cell>
          <cell r="Z49">
            <v>1.454</v>
          </cell>
          <cell r="AA49">
            <v>0.83599999999999997</v>
          </cell>
          <cell r="AB49">
            <v>0.72</v>
          </cell>
          <cell r="AC49">
            <v>34.299999999999997</v>
          </cell>
          <cell r="AD49">
            <v>1.17</v>
          </cell>
          <cell r="AE49" t="str">
            <v>177,8;114,3</v>
          </cell>
          <cell r="AF49" t="str">
            <v>9,19; 7,72</v>
          </cell>
          <cell r="AG49" t="str">
            <v>0-1905;
1812-2367</v>
          </cell>
          <cell r="AH49" t="str">
            <v>1 ств 2358;
2 ств 2367;</v>
          </cell>
          <cell r="AI49" t="str">
            <v>1 ств 2358;
2 ств 2367;</v>
          </cell>
          <cell r="AM49" t="str">
            <v>откр.ствол / закрытый</v>
          </cell>
          <cell r="AN49" t="str">
            <v>1911-2358; 1812-2367</v>
          </cell>
          <cell r="AO49" t="str">
            <v>45,43;138,6</v>
          </cell>
          <cell r="AP49">
            <v>1812</v>
          </cell>
          <cell r="AQ49">
            <v>16.100000000000001</v>
          </cell>
          <cell r="AR49" t="str">
            <v>1812-2367</v>
          </cell>
          <cell r="AS49">
            <v>114.3</v>
          </cell>
          <cell r="AT49">
            <v>7.72</v>
          </cell>
          <cell r="AU49" t="str">
            <v>Газлифт</v>
          </cell>
          <cell r="AV49">
            <v>843.99998085899995</v>
          </cell>
          <cell r="AW49" t="str">
            <v>ГК 83 1/8</v>
          </cell>
          <cell r="AX49">
            <v>1343.9999730469999</v>
          </cell>
          <cell r="AY49" t="str">
            <v>ГК 91 1/8</v>
          </cell>
          <cell r="AZ49">
            <v>1750.999948828</v>
          </cell>
          <cell r="BA49" t="str">
            <v>ЦКсОК 5/16</v>
          </cell>
          <cell r="BB49" t="str">
            <v>-</v>
          </cell>
          <cell r="BC49" t="str">
            <v>-</v>
          </cell>
          <cell r="BD49" t="str">
            <v>-</v>
          </cell>
          <cell r="BE49" t="str">
            <v>-</v>
          </cell>
          <cell r="BF49" t="str">
            <v>-</v>
          </cell>
          <cell r="BG49" t="str">
            <v>-</v>
          </cell>
          <cell r="BH49">
            <v>1764</v>
          </cell>
          <cell r="BI49" t="str">
            <v>закрыт</v>
          </cell>
        </row>
        <row r="50">
          <cell r="J50" t="str">
            <v>23-2</v>
          </cell>
          <cell r="K50" t="str">
            <v>Куст скважины-23</v>
          </cell>
          <cell r="L50">
            <v>37363</v>
          </cell>
          <cell r="M50" t="str">
            <v>Гор.</v>
          </cell>
          <cell r="N50" t="str">
            <v>Р4+5+6_Block2</v>
          </cell>
          <cell r="O50" t="str">
            <v>Действующий</v>
          </cell>
          <cell r="P50" t="str">
            <v>В работе</v>
          </cell>
          <cell r="Q50">
            <v>-4</v>
          </cell>
          <cell r="U50">
            <v>203</v>
          </cell>
          <cell r="V50">
            <v>218.2</v>
          </cell>
          <cell r="W50">
            <v>0.98</v>
          </cell>
          <cell r="X50">
            <v>1.66</v>
          </cell>
          <cell r="Y50">
            <v>0.98403097023953534</v>
          </cell>
          <cell r="Z50">
            <v>1.454</v>
          </cell>
          <cell r="AA50">
            <v>0.83599999999999997</v>
          </cell>
          <cell r="AB50">
            <v>0.72</v>
          </cell>
          <cell r="AC50">
            <v>34.299999999999997</v>
          </cell>
          <cell r="AD50">
            <v>1.17</v>
          </cell>
          <cell r="AE50">
            <v>139.69999999999999</v>
          </cell>
          <cell r="AF50">
            <v>7.72</v>
          </cell>
          <cell r="AG50">
            <v>1933</v>
          </cell>
          <cell r="AH50">
            <v>2350</v>
          </cell>
          <cell r="AI50">
            <v>2350</v>
          </cell>
          <cell r="AM50" t="str">
            <v>открытый</v>
          </cell>
          <cell r="AN50" t="str">
            <v xml:space="preserve">1933-2350 </v>
          </cell>
          <cell r="AO50">
            <v>55.14</v>
          </cell>
          <cell r="AP50">
            <v>1933</v>
          </cell>
          <cell r="AQ50">
            <v>22.5</v>
          </cell>
          <cell r="AU50" t="str">
            <v>Газлифт</v>
          </cell>
          <cell r="AV50">
            <v>580.03440000000001</v>
          </cell>
          <cell r="AW50" t="str">
            <v>ГП</v>
          </cell>
          <cell r="AX50">
            <v>1039.9775999999999</v>
          </cell>
          <cell r="AY50" t="str">
            <v>ГП</v>
          </cell>
          <cell r="AZ50">
            <v>1430.1215999999999</v>
          </cell>
          <cell r="BA50" t="str">
            <v>ГК 95 1/8</v>
          </cell>
          <cell r="BB50">
            <v>1744.0655999999999</v>
          </cell>
          <cell r="BC50" t="str">
            <v>ЦКсОК 5/32</v>
          </cell>
          <cell r="BD50" t="str">
            <v>-</v>
          </cell>
          <cell r="BE50" t="str">
            <v>-</v>
          </cell>
          <cell r="BF50" t="str">
            <v>-</v>
          </cell>
          <cell r="BG50" t="str">
            <v>-</v>
          </cell>
          <cell r="BH50">
            <v>1740</v>
          </cell>
          <cell r="BI50" t="str">
            <v>закрыт</v>
          </cell>
        </row>
        <row r="51">
          <cell r="J51" t="str">
            <v>28-1</v>
          </cell>
          <cell r="K51" t="str">
            <v>Куст скважины-28</v>
          </cell>
          <cell r="L51">
            <v>35024</v>
          </cell>
          <cell r="M51" t="str">
            <v>Гор.</v>
          </cell>
          <cell r="N51" t="str">
            <v>Р4+5+6_Block2</v>
          </cell>
          <cell r="O51" t="str">
            <v>Действующий</v>
          </cell>
          <cell r="P51" t="str">
            <v>В работе</v>
          </cell>
          <cell r="Q51">
            <v>-4</v>
          </cell>
          <cell r="R51" t="str">
            <v xml:space="preserve"> </v>
          </cell>
          <cell r="S51" t="str">
            <v xml:space="preserve"> </v>
          </cell>
          <cell r="U51">
            <v>203</v>
          </cell>
          <cell r="V51">
            <v>218.2</v>
          </cell>
          <cell r="W51">
            <v>0.98</v>
          </cell>
          <cell r="X51">
            <v>1.66</v>
          </cell>
          <cell r="Y51">
            <v>0.99487518193715663</v>
          </cell>
          <cell r="Z51">
            <v>1.454</v>
          </cell>
          <cell r="AA51">
            <v>0.83599999999999997</v>
          </cell>
          <cell r="AB51">
            <v>0.72</v>
          </cell>
          <cell r="AC51">
            <v>34.299999999999997</v>
          </cell>
          <cell r="AD51">
            <v>1.17</v>
          </cell>
          <cell r="AE51" t="str">
            <v>177,8;
139,7</v>
          </cell>
          <cell r="AF51" t="str">
            <v>9,19;
6,4;</v>
          </cell>
          <cell r="AG51" t="str">
            <v>2039; 1860;</v>
          </cell>
          <cell r="AH51">
            <v>2550</v>
          </cell>
          <cell r="AI51">
            <v>2550</v>
          </cell>
          <cell r="AM51" t="str">
            <v>открытый</v>
          </cell>
          <cell r="AN51" t="str">
            <v>1860-2550</v>
          </cell>
          <cell r="AO51">
            <v>107.03</v>
          </cell>
          <cell r="AP51">
            <v>1860</v>
          </cell>
          <cell r="AQ51">
            <v>14.72</v>
          </cell>
          <cell r="AU51" t="str">
            <v>Газлифт</v>
          </cell>
          <cell r="AV51">
            <v>649.99998984399997</v>
          </cell>
          <cell r="AW51" t="str">
            <v>ГП</v>
          </cell>
          <cell r="AX51">
            <v>1149.9999820309999</v>
          </cell>
          <cell r="AY51" t="str">
            <v>ГК 89 1/8</v>
          </cell>
          <cell r="AZ51">
            <v>1569.9999457030001</v>
          </cell>
          <cell r="BA51" t="str">
            <v>ЦКсОК 5/16</v>
          </cell>
          <cell r="BB51" t="str">
            <v>-</v>
          </cell>
          <cell r="BC51" t="str">
            <v>-</v>
          </cell>
          <cell r="BD51" t="str">
            <v>-</v>
          </cell>
          <cell r="BE51" t="str">
            <v>-</v>
          </cell>
          <cell r="BF51" t="str">
            <v>-</v>
          </cell>
          <cell r="BG51" t="str">
            <v>-</v>
          </cell>
          <cell r="BH51">
            <v>1590</v>
          </cell>
          <cell r="BI51" t="str">
            <v>закрыт</v>
          </cell>
        </row>
        <row r="52">
          <cell r="J52" t="str">
            <v>29-2</v>
          </cell>
          <cell r="K52" t="str">
            <v>Куст скважины-29</v>
          </cell>
          <cell r="L52">
            <v>35298</v>
          </cell>
          <cell r="M52" t="str">
            <v>Гор.</v>
          </cell>
          <cell r="N52" t="str">
            <v>Р4+5+6_Block2</v>
          </cell>
          <cell r="O52" t="str">
            <v>Действующий</v>
          </cell>
          <cell r="P52" t="str">
            <v>Остановлена</v>
          </cell>
          <cell r="Q52">
            <v>-4</v>
          </cell>
          <cell r="R52" t="str">
            <v xml:space="preserve"> </v>
          </cell>
          <cell r="S52" t="str">
            <v xml:space="preserve"> </v>
          </cell>
          <cell r="U52">
            <v>203</v>
          </cell>
          <cell r="V52">
            <v>218.2</v>
          </cell>
          <cell r="W52">
            <v>0.98</v>
          </cell>
          <cell r="X52">
            <v>1.66</v>
          </cell>
          <cell r="Y52">
            <v>0.9809241960497721</v>
          </cell>
          <cell r="Z52">
            <v>1.454</v>
          </cell>
          <cell r="AA52">
            <v>0.83599999999999997</v>
          </cell>
          <cell r="AB52">
            <v>0.72</v>
          </cell>
          <cell r="AC52">
            <v>34.299999999999997</v>
          </cell>
          <cell r="AD52">
            <v>1.17</v>
          </cell>
          <cell r="AE52" t="str">
            <v>177,8;
139,7</v>
          </cell>
          <cell r="AF52">
            <v>9.19</v>
          </cell>
          <cell r="AG52" t="str">
            <v>1917; 2838;</v>
          </cell>
          <cell r="AH52">
            <v>2850</v>
          </cell>
          <cell r="AI52">
            <v>2850</v>
          </cell>
          <cell r="AM52" t="str">
            <v>открытый</v>
          </cell>
          <cell r="AN52" t="str">
            <v>1917-2850</v>
          </cell>
          <cell r="AO52">
            <v>46.6</v>
          </cell>
          <cell r="AP52">
            <v>1917</v>
          </cell>
          <cell r="AQ52">
            <v>46.3</v>
          </cell>
          <cell r="AU52" t="str">
            <v>Газлифт</v>
          </cell>
          <cell r="AV52">
            <v>780.99999375000004</v>
          </cell>
          <cell r="AW52" t="str">
            <v>ГК 95 1/8</v>
          </cell>
          <cell r="AX52">
            <v>1338.9999433590001</v>
          </cell>
          <cell r="AY52" t="str">
            <v>ГК 85 1/8</v>
          </cell>
          <cell r="AZ52">
            <v>1768.9999664060001</v>
          </cell>
          <cell r="BA52" t="str">
            <v>ЦКсОК 5/16</v>
          </cell>
          <cell r="BB52" t="str">
            <v>-</v>
          </cell>
          <cell r="BC52" t="str">
            <v>-</v>
          </cell>
          <cell r="BD52" t="str">
            <v>-</v>
          </cell>
          <cell r="BE52" t="str">
            <v>-</v>
          </cell>
          <cell r="BF52" t="str">
            <v>-</v>
          </cell>
          <cell r="BG52" t="str">
            <v>-</v>
          </cell>
          <cell r="BH52">
            <v>1784</v>
          </cell>
          <cell r="BI52" t="str">
            <v>закрыт</v>
          </cell>
        </row>
        <row r="53">
          <cell r="J53" t="str">
            <v>29-1</v>
          </cell>
          <cell r="K53" t="str">
            <v>Куст скважины-29</v>
          </cell>
          <cell r="L53">
            <v>34908</v>
          </cell>
          <cell r="M53" t="str">
            <v>Гор.</v>
          </cell>
          <cell r="N53" t="str">
            <v>Р4+5+6_Block2</v>
          </cell>
          <cell r="O53" t="str">
            <v>Действующий</v>
          </cell>
          <cell r="P53" t="str">
            <v>В работе</v>
          </cell>
          <cell r="Q53">
            <v>-4</v>
          </cell>
          <cell r="R53">
            <v>35148</v>
          </cell>
          <cell r="S53" t="str">
            <v xml:space="preserve"> Halli</v>
          </cell>
          <cell r="U53">
            <v>203</v>
          </cell>
          <cell r="V53">
            <v>218.2</v>
          </cell>
          <cell r="W53">
            <v>0.98</v>
          </cell>
          <cell r="X53">
            <v>1.66</v>
          </cell>
          <cell r="Y53">
            <v>0.99096025925294218</v>
          </cell>
          <cell r="Z53">
            <v>1.454</v>
          </cell>
          <cell r="AA53">
            <v>0.83599999999999997</v>
          </cell>
          <cell r="AB53">
            <v>0.72</v>
          </cell>
          <cell r="AC53">
            <v>34.299999999999997</v>
          </cell>
          <cell r="AD53">
            <v>1.17</v>
          </cell>
          <cell r="AE53" t="str">
            <v>177,8;
139,7</v>
          </cell>
          <cell r="AF53">
            <v>9.19</v>
          </cell>
          <cell r="AG53">
            <v>1851</v>
          </cell>
          <cell r="AH53">
            <v>2285</v>
          </cell>
          <cell r="AI53">
            <v>2285</v>
          </cell>
          <cell r="AM53" t="str">
            <v>закрытый</v>
          </cell>
          <cell r="AN53" t="str">
            <v>1853-2280(фильтр-хвостовик)</v>
          </cell>
          <cell r="AO53">
            <v>29.99</v>
          </cell>
          <cell r="AP53">
            <v>1853</v>
          </cell>
          <cell r="AQ53">
            <v>1.88</v>
          </cell>
          <cell r="AU53" t="str">
            <v>Газлифт</v>
          </cell>
          <cell r="AV53">
            <v>668.99998359400001</v>
          </cell>
          <cell r="AW53" t="str">
            <v>ГП</v>
          </cell>
          <cell r="AX53">
            <v>1212.9999691410001</v>
          </cell>
          <cell r="AY53" t="str">
            <v>ГК 82 1/8</v>
          </cell>
          <cell r="AZ53">
            <v>1562.9999636719999</v>
          </cell>
          <cell r="BA53" t="str">
            <v>ЦКсОК 5/16</v>
          </cell>
          <cell r="BB53" t="str">
            <v>-</v>
          </cell>
          <cell r="BC53" t="str">
            <v>-</v>
          </cell>
          <cell r="BD53" t="str">
            <v>-</v>
          </cell>
          <cell r="BE53" t="str">
            <v>-</v>
          </cell>
          <cell r="BF53" t="str">
            <v>-</v>
          </cell>
          <cell r="BG53" t="str">
            <v>-</v>
          </cell>
          <cell r="BH53">
            <v>1790</v>
          </cell>
          <cell r="BI53" t="str">
            <v>закрыт</v>
          </cell>
        </row>
        <row r="54">
          <cell r="J54" t="str">
            <v>30-2</v>
          </cell>
          <cell r="K54" t="str">
            <v>Куст скважины-30</v>
          </cell>
          <cell r="L54">
            <v>35955</v>
          </cell>
          <cell r="M54" t="str">
            <v>Гор.</v>
          </cell>
          <cell r="N54" t="str">
            <v>Р4+5+6_Block2</v>
          </cell>
          <cell r="O54" t="str">
            <v>Действующий</v>
          </cell>
          <cell r="P54" t="str">
            <v>В работе</v>
          </cell>
          <cell r="Q54">
            <v>-4</v>
          </cell>
          <cell r="R54" t="str">
            <v xml:space="preserve"> </v>
          </cell>
          <cell r="S54" t="str">
            <v xml:space="preserve"> </v>
          </cell>
          <cell r="U54">
            <v>203</v>
          </cell>
          <cell r="V54">
            <v>218.2</v>
          </cell>
          <cell r="W54">
            <v>0.98</v>
          </cell>
          <cell r="X54">
            <v>1.66</v>
          </cell>
          <cell r="Y54">
            <v>0.98048197186086639</v>
          </cell>
          <cell r="Z54">
            <v>1.454</v>
          </cell>
          <cell r="AA54">
            <v>0.83599999999999997</v>
          </cell>
          <cell r="AB54">
            <v>0.72</v>
          </cell>
          <cell r="AC54">
            <v>34.299999999999997</v>
          </cell>
          <cell r="AD54">
            <v>1.17</v>
          </cell>
          <cell r="AE54">
            <v>177.8</v>
          </cell>
          <cell r="AF54">
            <v>8.0500000000000007</v>
          </cell>
          <cell r="AG54">
            <v>1888</v>
          </cell>
          <cell r="AH54">
            <v>2690</v>
          </cell>
          <cell r="AI54">
            <v>2690</v>
          </cell>
          <cell r="AM54" t="str">
            <v>открытый</v>
          </cell>
          <cell r="AN54" t="str">
            <v>1888-2690</v>
          </cell>
          <cell r="AO54">
            <v>47.61</v>
          </cell>
          <cell r="AP54">
            <v>1888</v>
          </cell>
          <cell r="AQ54">
            <v>50.98</v>
          </cell>
          <cell r="AU54" t="str">
            <v>Газлифт</v>
          </cell>
          <cell r="AV54">
            <v>846.00000761700005</v>
          </cell>
          <cell r="AW54" t="str">
            <v>ГП</v>
          </cell>
          <cell r="AX54">
            <v>1193.9999753909999</v>
          </cell>
          <cell r="AY54" t="str">
            <v>ГК 82 1/8</v>
          </cell>
          <cell r="AZ54">
            <v>1773.0000199220001</v>
          </cell>
          <cell r="BA54" t="str">
            <v>ЦКсОК 5/16</v>
          </cell>
          <cell r="BB54" t="str">
            <v>-</v>
          </cell>
          <cell r="BC54" t="str">
            <v>-</v>
          </cell>
          <cell r="BD54" t="str">
            <v>-</v>
          </cell>
          <cell r="BE54" t="str">
            <v>-</v>
          </cell>
          <cell r="BF54" t="str">
            <v>-</v>
          </cell>
          <cell r="BG54" t="str">
            <v>-</v>
          </cell>
          <cell r="BH54">
            <v>1784</v>
          </cell>
          <cell r="BI54" t="str">
            <v>закрыт</v>
          </cell>
        </row>
        <row r="55">
          <cell r="J55" t="str">
            <v>35-1</v>
          </cell>
          <cell r="K55" t="str">
            <v>К-61</v>
          </cell>
          <cell r="L55">
            <v>37412</v>
          </cell>
          <cell r="M55" t="str">
            <v>Гор.</v>
          </cell>
          <cell r="N55" t="str">
            <v>Р4+5_Block3</v>
          </cell>
          <cell r="O55" t="str">
            <v>Действующий</v>
          </cell>
          <cell r="P55" t="str">
            <v>В работе</v>
          </cell>
          <cell r="Q55">
            <v>-4</v>
          </cell>
          <cell r="R55" t="str">
            <v xml:space="preserve"> </v>
          </cell>
          <cell r="S55" t="str">
            <v xml:space="preserve"> </v>
          </cell>
          <cell r="U55">
            <v>203</v>
          </cell>
          <cell r="V55">
            <v>218.2</v>
          </cell>
          <cell r="W55">
            <v>0.98</v>
          </cell>
          <cell r="X55">
            <v>1.66</v>
          </cell>
          <cell r="Y55">
            <v>0.98</v>
          </cell>
          <cell r="Z55">
            <v>1.454</v>
          </cell>
          <cell r="AA55">
            <v>0.83599999999999997</v>
          </cell>
          <cell r="AB55">
            <v>0.72</v>
          </cell>
          <cell r="AC55">
            <v>34.299999999999997</v>
          </cell>
          <cell r="AD55">
            <v>1.17</v>
          </cell>
          <cell r="AE55">
            <v>139.69999999999999</v>
          </cell>
          <cell r="AF55">
            <v>7.72</v>
          </cell>
          <cell r="AG55">
            <v>1888</v>
          </cell>
          <cell r="AH55" t="str">
            <v>1 ств 2549
2 ств 2410</v>
          </cell>
          <cell r="AI55" t="str">
            <v>1 ств 2549
2 ств 2410</v>
          </cell>
          <cell r="AM55" t="str">
            <v>открытый</v>
          </cell>
          <cell r="AN55" t="str">
            <v>1888-2549; 1891-2410;</v>
          </cell>
          <cell r="AO55" t="str">
            <v>1 ств 56,5
2 ств 10,2</v>
          </cell>
          <cell r="AP55">
            <v>1888</v>
          </cell>
          <cell r="AQ55">
            <v>14.92</v>
          </cell>
          <cell r="AU55" t="str">
            <v>Газлифт</v>
          </cell>
          <cell r="AV55">
            <v>529.99998427699995</v>
          </cell>
          <cell r="AW55" t="str">
            <v>ГК 80 1/8</v>
          </cell>
          <cell r="AX55">
            <v>980.00001445299995</v>
          </cell>
          <cell r="AY55" t="str">
            <v>ГК 80 1/8</v>
          </cell>
          <cell r="AZ55">
            <v>1299.9999796879999</v>
          </cell>
          <cell r="BA55" t="str">
            <v>ГК 79 1/8</v>
          </cell>
          <cell r="BB55">
            <v>1560.000035156</v>
          </cell>
          <cell r="BC55" t="str">
            <v>ГК 79 1/8</v>
          </cell>
          <cell r="BD55">
            <v>1730.000002734</v>
          </cell>
          <cell r="BE55" t="str">
            <v>ЦКсОК 5/16</v>
          </cell>
          <cell r="BF55" t="str">
            <v>-</v>
          </cell>
          <cell r="BG55" t="str">
            <v>-</v>
          </cell>
          <cell r="BH55">
            <v>1770</v>
          </cell>
          <cell r="BI55" t="str">
            <v>закрыт</v>
          </cell>
        </row>
        <row r="56">
          <cell r="J56" t="str">
            <v>40-1</v>
          </cell>
          <cell r="K56" t="str">
            <v>Без куста</v>
          </cell>
          <cell r="L56">
            <v>36730</v>
          </cell>
          <cell r="M56" t="str">
            <v>Гор.</v>
          </cell>
          <cell r="N56" t="str">
            <v>Р4+5_Block3</v>
          </cell>
          <cell r="O56" t="str">
            <v>Действующий</v>
          </cell>
          <cell r="P56" t="str">
            <v>В работе</v>
          </cell>
          <cell r="Q56">
            <v>-4</v>
          </cell>
          <cell r="U56">
            <v>203</v>
          </cell>
          <cell r="V56">
            <v>218.2</v>
          </cell>
          <cell r="W56">
            <v>0.98</v>
          </cell>
          <cell r="X56">
            <v>1.66</v>
          </cell>
          <cell r="Y56">
            <v>0.98403097023953534</v>
          </cell>
          <cell r="Z56">
            <v>1.454</v>
          </cell>
          <cell r="AA56">
            <v>0.83599999999999997</v>
          </cell>
          <cell r="AB56">
            <v>0.72</v>
          </cell>
          <cell r="AC56">
            <v>34.299999999999997</v>
          </cell>
          <cell r="AD56">
            <v>1.17</v>
          </cell>
          <cell r="AE56">
            <v>139.69999999999999</v>
          </cell>
          <cell r="AF56">
            <v>7.72</v>
          </cell>
          <cell r="AG56">
            <v>2093</v>
          </cell>
          <cell r="AH56">
            <v>2680</v>
          </cell>
          <cell r="AI56">
            <v>2680</v>
          </cell>
          <cell r="AM56" t="str">
            <v>открытый</v>
          </cell>
          <cell r="AN56" t="str">
            <v>1814-2680</v>
          </cell>
          <cell r="AO56">
            <v>171.22</v>
          </cell>
          <cell r="AP56">
            <v>2093</v>
          </cell>
          <cell r="AQ56">
            <v>3.2</v>
          </cell>
          <cell r="AU56" t="str">
            <v>Газлифт</v>
          </cell>
          <cell r="AV56">
            <v>529.99998427699995</v>
          </cell>
          <cell r="AW56" t="str">
            <v>ГП</v>
          </cell>
          <cell r="AX56">
            <v>930.00001523399999</v>
          </cell>
          <cell r="AY56" t="str">
            <v>ГП</v>
          </cell>
          <cell r="AZ56">
            <v>1239.999995508</v>
          </cell>
          <cell r="BA56" t="str">
            <v>ГК 82 1/8</v>
          </cell>
          <cell r="BB56">
            <v>1494.999946875</v>
          </cell>
          <cell r="BC56" t="str">
            <v>ГК 81 1/8</v>
          </cell>
          <cell r="BD56">
            <v>1735.000032422</v>
          </cell>
          <cell r="BE56" t="str">
            <v>ЦКсОК 5/16</v>
          </cell>
          <cell r="BF56" t="str">
            <v>-</v>
          </cell>
          <cell r="BG56" t="str">
            <v>-</v>
          </cell>
          <cell r="BH56">
            <v>1760</v>
          </cell>
          <cell r="BI56" t="str">
            <v>закрыт</v>
          </cell>
        </row>
        <row r="57">
          <cell r="J57" t="str">
            <v>41р</v>
          </cell>
          <cell r="K57" t="str">
            <v>Без куста</v>
          </cell>
          <cell r="L57">
            <v>37493</v>
          </cell>
          <cell r="M57" t="str">
            <v>Гор.</v>
          </cell>
          <cell r="N57" t="str">
            <v>Р4+5_Block3</v>
          </cell>
          <cell r="O57" t="str">
            <v>Действующий</v>
          </cell>
          <cell r="P57" t="str">
            <v>Остановлена</v>
          </cell>
          <cell r="Q57">
            <v>-4</v>
          </cell>
          <cell r="R57">
            <v>41399</v>
          </cell>
          <cell r="S57" t="str">
            <v>ЕВС</v>
          </cell>
          <cell r="T57" t="str">
            <v>15,5т</v>
          </cell>
          <cell r="U57">
            <v>203</v>
          </cell>
          <cell r="V57">
            <v>218.2</v>
          </cell>
          <cell r="W57">
            <v>0.98</v>
          </cell>
          <cell r="X57">
            <v>1.66</v>
          </cell>
          <cell r="Y57">
            <v>0.98040161029819439</v>
          </cell>
          <cell r="Z57">
            <v>1.454</v>
          </cell>
          <cell r="AA57">
            <v>0.83599999999999997</v>
          </cell>
          <cell r="AB57">
            <v>0.72</v>
          </cell>
          <cell r="AC57">
            <v>34.299999999999997</v>
          </cell>
          <cell r="AD57">
            <v>1.17</v>
          </cell>
          <cell r="AE57">
            <v>139.69999999999999</v>
          </cell>
          <cell r="AF57">
            <v>7.72</v>
          </cell>
          <cell r="AG57">
            <v>2220</v>
          </cell>
          <cell r="AH57">
            <v>1950</v>
          </cell>
          <cell r="AI57">
            <v>1950</v>
          </cell>
          <cell r="AM57" t="str">
            <v>закрытый</v>
          </cell>
          <cell r="AN57" t="str">
            <v>1863-1897; 1914-1945</v>
          </cell>
          <cell r="AO57">
            <v>82</v>
          </cell>
          <cell r="AP57">
            <v>1863</v>
          </cell>
          <cell r="AQ57">
            <v>0.8</v>
          </cell>
          <cell r="AU57" t="str">
            <v>Фон.</v>
          </cell>
          <cell r="AV57">
            <v>640</v>
          </cell>
          <cell r="AW57" t="str">
            <v>ГП</v>
          </cell>
          <cell r="AX57">
            <v>1150</v>
          </cell>
          <cell r="AY57" t="str">
            <v>ГП</v>
          </cell>
          <cell r="AZ57">
            <v>1500</v>
          </cell>
          <cell r="BA57" t="str">
            <v>ГК 981/8</v>
          </cell>
          <cell r="BB57">
            <v>1785</v>
          </cell>
          <cell r="BC57" t="str">
            <v>ЦКсОК 5/16</v>
          </cell>
          <cell r="BD57" t="str">
            <v>-</v>
          </cell>
          <cell r="BE57" t="str">
            <v>-</v>
          </cell>
          <cell r="BF57" t="str">
            <v>-</v>
          </cell>
          <cell r="BG57" t="str">
            <v>-</v>
          </cell>
          <cell r="BH57" t="str">
            <v>-</v>
          </cell>
          <cell r="BI57" t="str">
            <v>-</v>
          </cell>
        </row>
        <row r="58">
          <cell r="J58" t="str">
            <v>41-1</v>
          </cell>
          <cell r="K58" t="str">
            <v>Без куста</v>
          </cell>
          <cell r="L58">
            <v>37072</v>
          </cell>
          <cell r="M58" t="str">
            <v>Гор.</v>
          </cell>
          <cell r="N58" t="str">
            <v>Р4+5_Block3</v>
          </cell>
          <cell r="O58" t="str">
            <v>Действующий</v>
          </cell>
          <cell r="P58" t="str">
            <v>В работе</v>
          </cell>
          <cell r="Q58">
            <v>-4</v>
          </cell>
          <cell r="U58">
            <v>203</v>
          </cell>
          <cell r="V58">
            <v>218.2</v>
          </cell>
          <cell r="W58">
            <v>0.98</v>
          </cell>
          <cell r="X58">
            <v>1.66</v>
          </cell>
          <cell r="Y58">
            <v>0.98044178943282867</v>
          </cell>
          <cell r="Z58">
            <v>1.454</v>
          </cell>
          <cell r="AA58">
            <v>0.83599999999999997</v>
          </cell>
          <cell r="AB58">
            <v>0.72</v>
          </cell>
          <cell r="AC58">
            <v>34.299999999999997</v>
          </cell>
          <cell r="AD58">
            <v>1.17</v>
          </cell>
          <cell r="AE58">
            <v>139.69999999999999</v>
          </cell>
          <cell r="AF58">
            <v>7.72</v>
          </cell>
          <cell r="AG58">
            <v>1907</v>
          </cell>
          <cell r="AH58" t="str">
            <v>1 ств 2400
2 ств 2475 
3 ств 2493</v>
          </cell>
          <cell r="AI58" t="str">
            <v>1 ств 2400
2 ств 2475
3 ств 2493</v>
          </cell>
          <cell r="AM58" t="str">
            <v>открытый</v>
          </cell>
          <cell r="AN58" t="str">
            <v xml:space="preserve"> 1820-2400
 1890-2475
 2020-2493 </v>
          </cell>
          <cell r="AO58">
            <v>0</v>
          </cell>
          <cell r="AP58">
            <v>1820</v>
          </cell>
          <cell r="AQ58">
            <v>1.04</v>
          </cell>
          <cell r="AU58" t="str">
            <v>Газлифт</v>
          </cell>
          <cell r="AV58">
            <v>616.99999482400005</v>
          </cell>
          <cell r="AW58" t="str">
            <v>ГП</v>
          </cell>
          <cell r="AX58">
            <v>1080.0000128910001</v>
          </cell>
          <cell r="AY58" t="str">
            <v>ГК 80 1/8</v>
          </cell>
          <cell r="AZ58">
            <v>1451.9999296880001</v>
          </cell>
          <cell r="BA58" t="str">
            <v>ГК 80 5/32</v>
          </cell>
          <cell r="BB58">
            <v>1735.000032422</v>
          </cell>
          <cell r="BC58" t="str">
            <v>ЦКсОК 5/16</v>
          </cell>
          <cell r="BD58" t="str">
            <v>-</v>
          </cell>
          <cell r="BE58" t="str">
            <v>-</v>
          </cell>
          <cell r="BF58" t="str">
            <v>-</v>
          </cell>
          <cell r="BG58" t="str">
            <v>-</v>
          </cell>
          <cell r="BH58">
            <v>1765</v>
          </cell>
          <cell r="BI58" t="str">
            <v>закрыт</v>
          </cell>
        </row>
        <row r="59">
          <cell r="J59" t="str">
            <v>43р</v>
          </cell>
          <cell r="K59" t="str">
            <v>Без куста</v>
          </cell>
          <cell r="L59">
            <v>34957</v>
          </cell>
          <cell r="M59" t="str">
            <v>Гор.</v>
          </cell>
          <cell r="N59" t="str">
            <v>Р4+5_Block3</v>
          </cell>
          <cell r="O59" t="str">
            <v>Действующий</v>
          </cell>
          <cell r="P59" t="str">
            <v>В работе</v>
          </cell>
          <cell r="Q59">
            <v>-4</v>
          </cell>
          <cell r="S59" t="str">
            <v>ФилОрАм</v>
          </cell>
          <cell r="U59">
            <v>203</v>
          </cell>
          <cell r="V59">
            <v>218.2</v>
          </cell>
          <cell r="W59">
            <v>0.98</v>
          </cell>
          <cell r="X59">
            <v>1.66</v>
          </cell>
          <cell r="Y59">
            <v>0.98</v>
          </cell>
          <cell r="Z59">
            <v>1.454</v>
          </cell>
          <cell r="AA59">
            <v>0.83599999999999997</v>
          </cell>
          <cell r="AB59">
            <v>0.72</v>
          </cell>
          <cell r="AC59">
            <v>34.299999999999997</v>
          </cell>
          <cell r="AD59">
            <v>1.17</v>
          </cell>
          <cell r="AE59">
            <v>139.69999999999999</v>
          </cell>
          <cell r="AF59">
            <v>7.72</v>
          </cell>
          <cell r="AG59">
            <v>2362</v>
          </cell>
          <cell r="AH59">
            <v>2637</v>
          </cell>
          <cell r="AI59">
            <v>2637</v>
          </cell>
          <cell r="AM59" t="str">
            <v>открытый</v>
          </cell>
          <cell r="AN59" t="str">
            <v>1897-2637</v>
          </cell>
          <cell r="AO59">
            <v>25</v>
          </cell>
          <cell r="AP59">
            <v>1887</v>
          </cell>
          <cell r="AQ59">
            <v>7.0000000000000007E-2</v>
          </cell>
          <cell r="AR59" t="str">
            <v>1665-1887</v>
          </cell>
          <cell r="AS59">
            <v>102</v>
          </cell>
          <cell r="AT59">
            <v>6.5</v>
          </cell>
          <cell r="AU59" t="str">
            <v>Газлифт</v>
          </cell>
          <cell r="AV59">
            <v>599.99999062500001</v>
          </cell>
          <cell r="AW59" t="str">
            <v>ГП</v>
          </cell>
          <cell r="AX59">
            <v>1199.99998125</v>
          </cell>
          <cell r="AY59" t="str">
            <v>ГК 82 1/8</v>
          </cell>
          <cell r="AZ59">
            <v>1615.0000640630001</v>
          </cell>
          <cell r="BA59" t="str">
            <v>ЦКсОК 5/16</v>
          </cell>
          <cell r="BB59" t="str">
            <v>-</v>
          </cell>
          <cell r="BC59" t="str">
            <v>-</v>
          </cell>
          <cell r="BD59" t="str">
            <v>-</v>
          </cell>
          <cell r="BE59" t="str">
            <v>-</v>
          </cell>
          <cell r="BF59" t="str">
            <v>-</v>
          </cell>
          <cell r="BG59" t="str">
            <v>-</v>
          </cell>
          <cell r="BH59">
            <v>1631</v>
          </cell>
          <cell r="BI59" t="str">
            <v>закрыт</v>
          </cell>
        </row>
        <row r="60">
          <cell r="J60" t="str">
            <v>44р</v>
          </cell>
          <cell r="K60" t="str">
            <v>Без куста</v>
          </cell>
          <cell r="L60">
            <v>34886</v>
          </cell>
          <cell r="M60" t="str">
            <v>Гор.</v>
          </cell>
          <cell r="N60" t="str">
            <v>Р4+5+6_Block2</v>
          </cell>
          <cell r="O60" t="str">
            <v>Действующий</v>
          </cell>
          <cell r="P60" t="str">
            <v>В работе</v>
          </cell>
          <cell r="Q60">
            <v>-4</v>
          </cell>
          <cell r="R60" t="str">
            <v xml:space="preserve"> </v>
          </cell>
          <cell r="S60" t="str">
            <v xml:space="preserve"> </v>
          </cell>
          <cell r="U60">
            <v>203</v>
          </cell>
          <cell r="V60">
            <v>218.2</v>
          </cell>
          <cell r="W60">
            <v>0.98</v>
          </cell>
          <cell r="X60">
            <v>1.66</v>
          </cell>
          <cell r="Y60">
            <v>0.98544965532280904</v>
          </cell>
          <cell r="Z60">
            <v>1.454</v>
          </cell>
          <cell r="AA60">
            <v>0.83599999999999997</v>
          </cell>
          <cell r="AB60">
            <v>0.72</v>
          </cell>
          <cell r="AC60">
            <v>34.299999999999997</v>
          </cell>
          <cell r="AD60">
            <v>1.17</v>
          </cell>
          <cell r="AE60">
            <v>139.69999999999999</v>
          </cell>
          <cell r="AF60">
            <v>7.72</v>
          </cell>
          <cell r="AG60">
            <v>2006</v>
          </cell>
          <cell r="AH60" t="str">
            <v>1 ств 2275
2 ств 2600</v>
          </cell>
          <cell r="AI60" t="str">
            <v>1ств 2275
2ств 2600</v>
          </cell>
          <cell r="AM60" t="str">
            <v>открытый</v>
          </cell>
          <cell r="AN60" t="str">
            <v>2006-2275; 2050-2600</v>
          </cell>
          <cell r="AO60">
            <v>30</v>
          </cell>
          <cell r="AP60">
            <v>2006</v>
          </cell>
          <cell r="AQ60">
            <v>0.13</v>
          </cell>
          <cell r="AU60" t="str">
            <v>Газлифт</v>
          </cell>
          <cell r="AV60">
            <v>565.99998222700003</v>
          </cell>
          <cell r="AW60" t="str">
            <v>ГП</v>
          </cell>
          <cell r="AX60">
            <v>996.999981445</v>
          </cell>
          <cell r="AY60" t="str">
            <v>ГК 91 5/16</v>
          </cell>
          <cell r="AZ60">
            <v>1363.9999429689999</v>
          </cell>
          <cell r="BA60" t="str">
            <v>ГК 91 5/16</v>
          </cell>
          <cell r="BB60">
            <v>1578.0000527340001</v>
          </cell>
          <cell r="BC60" t="str">
            <v>ГК 91 5/16</v>
          </cell>
          <cell r="BD60">
            <v>1778.0000496089999</v>
          </cell>
          <cell r="BE60" t="str">
            <v>ЦКсОК 5/16</v>
          </cell>
          <cell r="BF60" t="str">
            <v>-</v>
          </cell>
          <cell r="BG60" t="str">
            <v>-</v>
          </cell>
          <cell r="BH60">
            <v>1762</v>
          </cell>
          <cell r="BI60" t="str">
            <v>закрыт</v>
          </cell>
        </row>
        <row r="61">
          <cell r="J61" t="str">
            <v>45р</v>
          </cell>
          <cell r="K61" t="str">
            <v>Без куста</v>
          </cell>
          <cell r="L61">
            <v>34964</v>
          </cell>
          <cell r="M61" t="str">
            <v>Гор.</v>
          </cell>
          <cell r="N61" t="str">
            <v>Р4+5+6_Block2</v>
          </cell>
          <cell r="O61" t="str">
            <v>Действующий</v>
          </cell>
          <cell r="P61" t="str">
            <v>Остановлена</v>
          </cell>
          <cell r="Q61">
            <v>-4</v>
          </cell>
          <cell r="R61">
            <v>41476</v>
          </cell>
          <cell r="S61" t="str">
            <v>ЕВС</v>
          </cell>
          <cell r="T61" t="str">
            <v>45,5т</v>
          </cell>
          <cell r="U61">
            <v>203</v>
          </cell>
          <cell r="V61">
            <v>218.2</v>
          </cell>
          <cell r="W61">
            <v>0.98</v>
          </cell>
          <cell r="X61">
            <v>1.66</v>
          </cell>
          <cell r="Y61">
            <v>0.98403097023953534</v>
          </cell>
          <cell r="Z61">
            <v>1.454</v>
          </cell>
          <cell r="AA61">
            <v>0.83599999999999997</v>
          </cell>
          <cell r="AB61">
            <v>0.72</v>
          </cell>
          <cell r="AC61">
            <v>34.299999999999997</v>
          </cell>
          <cell r="AD61">
            <v>1.17</v>
          </cell>
          <cell r="AE61">
            <v>177.8</v>
          </cell>
          <cell r="AF61">
            <v>9.19</v>
          </cell>
          <cell r="AG61">
            <v>1998</v>
          </cell>
          <cell r="AH61">
            <v>2133</v>
          </cell>
          <cell r="AI61">
            <v>2133</v>
          </cell>
          <cell r="AM61" t="str">
            <v>закрытый</v>
          </cell>
          <cell r="AN61" t="str">
            <v>1848,48-1849,91; 1945,82-1947,25; 1995,86-1997,29; 2034,13-2035,56; 2118,97-2120,2</v>
          </cell>
          <cell r="AO61" t="str">
            <v>1ств 49,92  2ств 80,87  3ств 110,7</v>
          </cell>
          <cell r="AP61">
            <v>1848.48</v>
          </cell>
          <cell r="AQ61">
            <v>37.58</v>
          </cell>
          <cell r="AU61" t="str">
            <v>Газлифт</v>
          </cell>
          <cell r="AV61">
            <v>598.00000107400001</v>
          </cell>
          <cell r="AW61" t="str">
            <v>ГК 81 1/8</v>
          </cell>
          <cell r="AX61">
            <v>1127.00000918</v>
          </cell>
          <cell r="AY61" t="str">
            <v>ГК 83 5/32</v>
          </cell>
          <cell r="AZ61">
            <v>1540.000065234</v>
          </cell>
          <cell r="BA61" t="str">
            <v>ЦКсОК 5/16</v>
          </cell>
          <cell r="BB61" t="str">
            <v>-</v>
          </cell>
          <cell r="BC61" t="str">
            <v>-</v>
          </cell>
          <cell r="BD61" t="str">
            <v>-</v>
          </cell>
          <cell r="BE61" t="str">
            <v>-</v>
          </cell>
          <cell r="BF61" t="str">
            <v>-</v>
          </cell>
          <cell r="BG61" t="str">
            <v>-</v>
          </cell>
          <cell r="BH61" t="str">
            <v>-</v>
          </cell>
          <cell r="BI61" t="str">
            <v>-</v>
          </cell>
        </row>
        <row r="62">
          <cell r="J62" t="str">
            <v>47р</v>
          </cell>
          <cell r="K62" t="str">
            <v>Без куста</v>
          </cell>
          <cell r="L62">
            <v>37522</v>
          </cell>
          <cell r="M62" t="str">
            <v>Гор.</v>
          </cell>
          <cell r="N62" t="str">
            <v>Р4+5_Block3</v>
          </cell>
          <cell r="O62" t="str">
            <v>Действующий</v>
          </cell>
          <cell r="P62" t="str">
            <v>В работе</v>
          </cell>
          <cell r="Q62">
            <v>-4</v>
          </cell>
          <cell r="U62">
            <v>203</v>
          </cell>
          <cell r="V62">
            <v>218.2</v>
          </cell>
          <cell r="W62">
            <v>0.98</v>
          </cell>
          <cell r="X62">
            <v>1.66</v>
          </cell>
          <cell r="Y62">
            <v>0.98</v>
          </cell>
          <cell r="Z62">
            <v>1.454</v>
          </cell>
          <cell r="AA62">
            <v>0.83599999999999997</v>
          </cell>
          <cell r="AB62">
            <v>0.72</v>
          </cell>
          <cell r="AC62">
            <v>34.299999999999997</v>
          </cell>
          <cell r="AD62">
            <v>1.17</v>
          </cell>
          <cell r="AE62">
            <v>139.69999999999999</v>
          </cell>
          <cell r="AF62">
            <v>7.72</v>
          </cell>
          <cell r="AG62">
            <v>2047</v>
          </cell>
          <cell r="AH62">
            <v>2464</v>
          </cell>
          <cell r="AI62">
            <v>2464</v>
          </cell>
          <cell r="AM62" t="str">
            <v>открытый</v>
          </cell>
          <cell r="AN62" t="str">
            <v>1838-2464</v>
          </cell>
          <cell r="AO62">
            <v>25</v>
          </cell>
          <cell r="AP62">
            <v>1838</v>
          </cell>
          <cell r="AQ62">
            <v>1.4</v>
          </cell>
          <cell r="AU62" t="str">
            <v>Газлифт</v>
          </cell>
          <cell r="AV62">
            <v>496.00001308600002</v>
          </cell>
          <cell r="AW62" t="str">
            <v>ГП</v>
          </cell>
          <cell r="AX62">
            <v>899.00000976599995</v>
          </cell>
          <cell r="AY62" t="str">
            <v>ГП</v>
          </cell>
          <cell r="AZ62">
            <v>1231.999962891</v>
          </cell>
          <cell r="BA62" t="str">
            <v>ГП</v>
          </cell>
          <cell r="BB62">
            <v>1497.0000480470001</v>
          </cell>
          <cell r="BC62" t="str">
            <v>ГП</v>
          </cell>
          <cell r="BD62">
            <v>1646.000069531</v>
          </cell>
          <cell r="BE62" t="str">
            <v>ЦКсОК 5/16</v>
          </cell>
          <cell r="BF62" t="str">
            <v>-</v>
          </cell>
          <cell r="BG62" t="str">
            <v>-</v>
          </cell>
          <cell r="BH62">
            <v>1800</v>
          </cell>
          <cell r="BI62" t="str">
            <v>закрыт</v>
          </cell>
        </row>
        <row r="63">
          <cell r="J63" t="str">
            <v>62-2</v>
          </cell>
          <cell r="K63" t="str">
            <v>Куст скважины-62</v>
          </cell>
          <cell r="L63">
            <v>37868</v>
          </cell>
          <cell r="M63" t="str">
            <v>Гор.</v>
          </cell>
          <cell r="N63" t="str">
            <v>Р4+5_Block3</v>
          </cell>
          <cell r="O63" t="str">
            <v>Действующий</v>
          </cell>
          <cell r="P63" t="str">
            <v>Остановлена</v>
          </cell>
          <cell r="Q63">
            <v>-4</v>
          </cell>
          <cell r="R63" t="str">
            <v xml:space="preserve"> </v>
          </cell>
          <cell r="S63" t="str">
            <v xml:space="preserve"> </v>
          </cell>
          <cell r="U63">
            <v>203</v>
          </cell>
          <cell r="V63">
            <v>218.2</v>
          </cell>
          <cell r="W63">
            <v>0.98</v>
          </cell>
          <cell r="X63">
            <v>1.66</v>
          </cell>
          <cell r="Y63">
            <v>0.98</v>
          </cell>
          <cell r="Z63">
            <v>1.454</v>
          </cell>
          <cell r="AA63">
            <v>0.83599999999999997</v>
          </cell>
          <cell r="AB63">
            <v>0.72</v>
          </cell>
          <cell r="AC63">
            <v>34.299999999999997</v>
          </cell>
          <cell r="AD63">
            <v>1.17</v>
          </cell>
          <cell r="AE63">
            <v>139.69999999999999</v>
          </cell>
          <cell r="AF63">
            <v>7.72</v>
          </cell>
          <cell r="AG63">
            <v>1906</v>
          </cell>
          <cell r="AH63">
            <v>2500</v>
          </cell>
          <cell r="AI63">
            <v>2500</v>
          </cell>
          <cell r="AM63" t="str">
            <v>открытый</v>
          </cell>
          <cell r="AN63" t="str">
            <v xml:space="preserve">1906-2500 </v>
          </cell>
          <cell r="AO63">
            <v>8.11</v>
          </cell>
          <cell r="AP63">
            <v>1906</v>
          </cell>
          <cell r="AQ63">
            <v>47.7</v>
          </cell>
          <cell r="AU63" t="str">
            <v>Газлифт</v>
          </cell>
          <cell r="AV63">
            <v>529.99998427699995</v>
          </cell>
          <cell r="AW63" t="str">
            <v>ГК 82 1/8</v>
          </cell>
          <cell r="AX63">
            <v>970.00002949199995</v>
          </cell>
          <cell r="AY63" t="str">
            <v>ГК 81 1/8</v>
          </cell>
          <cell r="AZ63">
            <v>1260.000039844</v>
          </cell>
          <cell r="BA63" t="str">
            <v>ГК 80 5/32</v>
          </cell>
          <cell r="BB63">
            <v>1480.000006641</v>
          </cell>
          <cell r="BC63" t="str">
            <v>ГК 79 5/32</v>
          </cell>
          <cell r="BD63">
            <v>1680.0000035160001</v>
          </cell>
          <cell r="BE63" t="str">
            <v>ЦКсОК 5/16</v>
          </cell>
          <cell r="BF63" t="str">
            <v>-</v>
          </cell>
          <cell r="BG63" t="str">
            <v>-</v>
          </cell>
          <cell r="BH63">
            <v>1747</v>
          </cell>
          <cell r="BI63" t="str">
            <v>закрыт</v>
          </cell>
        </row>
        <row r="64">
          <cell r="J64" t="str">
            <v>62-1</v>
          </cell>
          <cell r="K64" t="str">
            <v>Куст скважины-62</v>
          </cell>
          <cell r="L64">
            <v>37980</v>
          </cell>
          <cell r="M64" t="str">
            <v>Гор.</v>
          </cell>
          <cell r="N64" t="str">
            <v>Р4+5_Block3</v>
          </cell>
          <cell r="O64" t="str">
            <v>Действующий</v>
          </cell>
          <cell r="P64" t="str">
            <v>В работе</v>
          </cell>
          <cell r="Q64">
            <v>-4</v>
          </cell>
          <cell r="R64" t="str">
            <v xml:space="preserve"> </v>
          </cell>
          <cell r="S64" t="str">
            <v xml:space="preserve"> </v>
          </cell>
          <cell r="U64">
            <v>203</v>
          </cell>
          <cell r="V64">
            <v>218.2</v>
          </cell>
          <cell r="W64">
            <v>0.98</v>
          </cell>
          <cell r="X64">
            <v>1.66</v>
          </cell>
          <cell r="Y64">
            <v>0.9832221255197755</v>
          </cell>
          <cell r="Z64">
            <v>1.454</v>
          </cell>
          <cell r="AA64">
            <v>0.83599999999999997</v>
          </cell>
          <cell r="AB64">
            <v>0.72</v>
          </cell>
          <cell r="AC64">
            <v>34.299999999999997</v>
          </cell>
          <cell r="AD64">
            <v>1.17</v>
          </cell>
          <cell r="AE64">
            <v>139.69999999999999</v>
          </cell>
          <cell r="AF64">
            <v>7.72</v>
          </cell>
          <cell r="AG64">
            <v>1903</v>
          </cell>
          <cell r="AH64">
            <v>2500</v>
          </cell>
          <cell r="AI64">
            <v>2500</v>
          </cell>
          <cell r="AM64" t="str">
            <v>открытый</v>
          </cell>
          <cell r="AN64" t="str">
            <v>1918-2500</v>
          </cell>
          <cell r="AO64">
            <v>34.200000000000003</v>
          </cell>
          <cell r="AP64">
            <v>1918</v>
          </cell>
          <cell r="AQ64">
            <v>49.76</v>
          </cell>
          <cell r="AU64" t="str">
            <v>Фон.</v>
          </cell>
          <cell r="AV64">
            <v>595</v>
          </cell>
          <cell r="AW64" t="str">
            <v>ГП</v>
          </cell>
          <cell r="AX64">
            <v>1193</v>
          </cell>
          <cell r="AY64" t="str">
            <v>ГП</v>
          </cell>
          <cell r="AZ64">
            <v>1730</v>
          </cell>
          <cell r="BA64" t="str">
            <v>ЦКсОК 5/16</v>
          </cell>
          <cell r="BB64" t="str">
            <v>-</v>
          </cell>
          <cell r="BC64" t="str">
            <v>-</v>
          </cell>
          <cell r="BD64" t="str">
            <v>-</v>
          </cell>
          <cell r="BE64" t="str">
            <v>-</v>
          </cell>
          <cell r="BF64" t="str">
            <v>-</v>
          </cell>
          <cell r="BG64" t="str">
            <v>-</v>
          </cell>
          <cell r="BH64">
            <v>1741</v>
          </cell>
          <cell r="BI64" t="str">
            <v>закрыт</v>
          </cell>
        </row>
        <row r="65">
          <cell r="J65" t="str">
            <v>62-3</v>
          </cell>
          <cell r="K65" t="str">
            <v>Куст скважины-62</v>
          </cell>
          <cell r="L65">
            <v>37766</v>
          </cell>
          <cell r="M65" t="str">
            <v>Гор.</v>
          </cell>
          <cell r="N65" t="str">
            <v>Р4+5_Block3, P5i</v>
          </cell>
          <cell r="O65" t="str">
            <v>Действующий</v>
          </cell>
          <cell r="P65" t="str">
            <v>В работе</v>
          </cell>
          <cell r="Q65">
            <v>-4</v>
          </cell>
          <cell r="U65">
            <v>203</v>
          </cell>
          <cell r="V65">
            <v>218.2</v>
          </cell>
          <cell r="W65">
            <v>0.98</v>
          </cell>
          <cell r="X65">
            <v>1.66</v>
          </cell>
          <cell r="Y65">
            <v>0.98012044853704894</v>
          </cell>
          <cell r="Z65">
            <v>1.454</v>
          </cell>
          <cell r="AA65">
            <v>0.83599999999999997</v>
          </cell>
          <cell r="AB65">
            <v>0.72</v>
          </cell>
          <cell r="AC65">
            <v>34.299999999999997</v>
          </cell>
          <cell r="AD65">
            <v>1.17</v>
          </cell>
          <cell r="AE65">
            <v>139.69999999999999</v>
          </cell>
          <cell r="AF65">
            <v>7.72</v>
          </cell>
          <cell r="AG65">
            <v>1928</v>
          </cell>
          <cell r="AH65">
            <v>2600</v>
          </cell>
          <cell r="AI65">
            <v>2600</v>
          </cell>
          <cell r="AM65" t="str">
            <v>открытый</v>
          </cell>
          <cell r="AN65" t="str">
            <v>1954-2500</v>
          </cell>
          <cell r="AO65">
            <v>50.44</v>
          </cell>
          <cell r="AP65">
            <v>1954</v>
          </cell>
          <cell r="AQ65">
            <v>94.5</v>
          </cell>
          <cell r="AR65" t="str">
            <v>1504-1954</v>
          </cell>
          <cell r="AS65">
            <v>102</v>
          </cell>
          <cell r="AT65">
            <v>6.5</v>
          </cell>
          <cell r="AU65" t="str">
            <v>Фон.</v>
          </cell>
          <cell r="AV65">
            <v>670</v>
          </cell>
          <cell r="AW65" t="str">
            <v>ГК 81 1/8</v>
          </cell>
          <cell r="AX65">
            <v>1210</v>
          </cell>
          <cell r="AY65" t="str">
            <v>ГК 83 5/32</v>
          </cell>
          <cell r="AZ65">
            <v>1460</v>
          </cell>
          <cell r="BA65" t="str">
            <v>ЦКсОК 5/16</v>
          </cell>
          <cell r="BB65" t="str">
            <v>-</v>
          </cell>
          <cell r="BC65" t="str">
            <v>-</v>
          </cell>
          <cell r="BD65" t="str">
            <v>-</v>
          </cell>
          <cell r="BE65" t="str">
            <v>-</v>
          </cell>
          <cell r="BF65" t="str">
            <v>-</v>
          </cell>
          <cell r="BG65" t="str">
            <v>-</v>
          </cell>
          <cell r="BH65">
            <v>1470</v>
          </cell>
          <cell r="BI65" t="str">
            <v>закрыт</v>
          </cell>
        </row>
        <row r="66">
          <cell r="J66" t="str">
            <v>69р</v>
          </cell>
          <cell r="K66" t="str">
            <v>Без куста</v>
          </cell>
          <cell r="L66">
            <v>41455</v>
          </cell>
          <cell r="M66" t="str">
            <v>Верт.</v>
          </cell>
          <cell r="N66" t="str">
            <v>P4+5+6_Block1_yug</v>
          </cell>
          <cell r="O66" t="str">
            <v>Действующий</v>
          </cell>
          <cell r="P66" t="str">
            <v>В работе</v>
          </cell>
          <cell r="Q66">
            <v>-4</v>
          </cell>
          <cell r="R66" t="str">
            <v xml:space="preserve"> </v>
          </cell>
          <cell r="S66" t="str">
            <v xml:space="preserve"> </v>
          </cell>
          <cell r="U66">
            <v>203</v>
          </cell>
          <cell r="V66">
            <v>218.2</v>
          </cell>
          <cell r="W66">
            <v>0.98</v>
          </cell>
          <cell r="X66">
            <v>1.66</v>
          </cell>
          <cell r="Y66">
            <v>0.98</v>
          </cell>
          <cell r="Z66">
            <v>1.454</v>
          </cell>
          <cell r="AA66">
            <v>0.83599999999999997</v>
          </cell>
          <cell r="AB66">
            <v>0.72</v>
          </cell>
          <cell r="AC66">
            <v>34.299999999999997</v>
          </cell>
          <cell r="AD66">
            <v>1.17</v>
          </cell>
          <cell r="AE66">
            <v>139.69999999999999</v>
          </cell>
          <cell r="AF66">
            <v>7.72</v>
          </cell>
          <cell r="AG66">
            <v>2880</v>
          </cell>
          <cell r="AH66">
            <v>2268</v>
          </cell>
          <cell r="AI66">
            <v>1930</v>
          </cell>
          <cell r="AM66" t="str">
            <v>закрытый</v>
          </cell>
          <cell r="AN66" t="str">
            <v>1787-1791; 1865-1870; 1831-1840; 
1845-1850; 1860-1879; 1885-1890</v>
          </cell>
          <cell r="AO66">
            <v>0.5</v>
          </cell>
          <cell r="AP66">
            <v>1787</v>
          </cell>
          <cell r="AQ66">
            <v>0.12</v>
          </cell>
          <cell r="AU66" t="str">
            <v>Газлифт</v>
          </cell>
          <cell r="AV66">
            <v>460.00001513699999</v>
          </cell>
          <cell r="AW66" t="str">
            <v>ГП</v>
          </cell>
          <cell r="AX66">
            <v>830.00001679699994</v>
          </cell>
          <cell r="AY66" t="str">
            <v>ГК 74 1/8</v>
          </cell>
          <cell r="AZ66">
            <v>1130.000012109</v>
          </cell>
          <cell r="BA66" t="str">
            <v>ГК 74 1/8</v>
          </cell>
          <cell r="BB66">
            <v>1380.0000082030001</v>
          </cell>
          <cell r="BC66" t="str">
            <v>ГК 73 1/8</v>
          </cell>
          <cell r="BD66">
            <v>1580.000005078</v>
          </cell>
          <cell r="BE66" t="str">
            <v>ГК 72 1/8</v>
          </cell>
          <cell r="BF66">
            <v>1750</v>
          </cell>
          <cell r="BG66" t="str">
            <v>ЦКсОК 5/16</v>
          </cell>
          <cell r="BH66">
            <v>1765</v>
          </cell>
          <cell r="BI66" t="str">
            <v>закрыт</v>
          </cell>
        </row>
        <row r="67">
          <cell r="J67" t="str">
            <v>70-2</v>
          </cell>
          <cell r="K67" t="str">
            <v>Куст скважины-70</v>
          </cell>
          <cell r="L67">
            <v>37950</v>
          </cell>
          <cell r="M67" t="str">
            <v>Гор.</v>
          </cell>
          <cell r="N67" t="str">
            <v>Р4+5_Block3, P5i</v>
          </cell>
          <cell r="O67" t="str">
            <v>Действующий</v>
          </cell>
          <cell r="P67" t="str">
            <v>В работе</v>
          </cell>
          <cell r="Q67">
            <v>-4</v>
          </cell>
          <cell r="U67">
            <v>203</v>
          </cell>
          <cell r="V67">
            <v>218.2</v>
          </cell>
          <cell r="W67">
            <v>0.98</v>
          </cell>
          <cell r="X67">
            <v>1.66</v>
          </cell>
          <cell r="Y67">
            <v>0.99260488614453413</v>
          </cell>
          <cell r="Z67">
            <v>1.454</v>
          </cell>
          <cell r="AA67">
            <v>0.83599999999999997</v>
          </cell>
          <cell r="AB67">
            <v>0.72</v>
          </cell>
          <cell r="AC67">
            <v>34.299999999999997</v>
          </cell>
          <cell r="AD67">
            <v>1.17</v>
          </cell>
          <cell r="AE67" t="str">
            <v>139,7; 114</v>
          </cell>
          <cell r="AF67">
            <v>7.72</v>
          </cell>
          <cell r="AG67">
            <v>1985</v>
          </cell>
          <cell r="AH67" t="str">
            <v>2380;2489</v>
          </cell>
          <cell r="AI67" t="str">
            <v>2380;2489</v>
          </cell>
          <cell r="AM67" t="str">
            <v>открытый</v>
          </cell>
          <cell r="AN67" t="str">
            <v>1956-2380; 1956-2489</v>
          </cell>
          <cell r="AO67">
            <v>0.90000000000009095</v>
          </cell>
          <cell r="AP67">
            <v>1952</v>
          </cell>
          <cell r="AQ67">
            <v>79.400000000000006</v>
          </cell>
          <cell r="AR67" t="str">
            <v>1600-1952</v>
          </cell>
          <cell r="AS67">
            <v>114</v>
          </cell>
          <cell r="AT67">
            <v>6.5</v>
          </cell>
          <cell r="AU67" t="str">
            <v>Фон.</v>
          </cell>
          <cell r="AV67">
            <v>447</v>
          </cell>
          <cell r="AW67" t="str">
            <v>ГК 79 1/8</v>
          </cell>
          <cell r="AX67">
            <v>843</v>
          </cell>
          <cell r="AY67" t="str">
            <v>ГК 79 1/8</v>
          </cell>
          <cell r="AZ67">
            <v>1186</v>
          </cell>
          <cell r="BA67" t="str">
            <v>ГК 79 1/8</v>
          </cell>
          <cell r="BB67">
            <v>1460</v>
          </cell>
          <cell r="BC67" t="str">
            <v>ГК 78 1/8</v>
          </cell>
          <cell r="BD67" t="str">
            <v>-</v>
          </cell>
          <cell r="BE67" t="str">
            <v>-</v>
          </cell>
          <cell r="BF67" t="str">
            <v>-</v>
          </cell>
          <cell r="BG67" t="str">
            <v>-</v>
          </cell>
          <cell r="BH67">
            <v>1470</v>
          </cell>
          <cell r="BI67" t="str">
            <v>закрыт</v>
          </cell>
        </row>
        <row r="68">
          <cell r="J68" t="str">
            <v>70-1</v>
          </cell>
          <cell r="K68" t="str">
            <v>Куст скважины-70</v>
          </cell>
          <cell r="L68">
            <v>37767</v>
          </cell>
          <cell r="M68" t="str">
            <v>Гор.</v>
          </cell>
          <cell r="N68" t="str">
            <v>Р4+5_Block3</v>
          </cell>
          <cell r="O68" t="str">
            <v>Действующий</v>
          </cell>
          <cell r="P68" t="str">
            <v>В работе</v>
          </cell>
          <cell r="Q68">
            <v>-4</v>
          </cell>
          <cell r="R68" t="str">
            <v xml:space="preserve"> </v>
          </cell>
          <cell r="S68" t="str">
            <v xml:space="preserve"> </v>
          </cell>
          <cell r="U68">
            <v>203</v>
          </cell>
          <cell r="V68">
            <v>218.2</v>
          </cell>
          <cell r="W68">
            <v>0.98</v>
          </cell>
          <cell r="X68">
            <v>1.66</v>
          </cell>
          <cell r="Y68">
            <v>0.98</v>
          </cell>
          <cell r="Z68">
            <v>1.454</v>
          </cell>
          <cell r="AA68">
            <v>0.83599999999999997</v>
          </cell>
          <cell r="AB68">
            <v>0.72</v>
          </cell>
          <cell r="AC68">
            <v>34.299999999999997</v>
          </cell>
          <cell r="AD68">
            <v>1.17</v>
          </cell>
          <cell r="AE68">
            <v>139.69999999999999</v>
          </cell>
          <cell r="AF68">
            <v>7.72</v>
          </cell>
          <cell r="AG68">
            <v>1933</v>
          </cell>
          <cell r="AH68">
            <v>2344</v>
          </cell>
          <cell r="AI68">
            <v>2344</v>
          </cell>
          <cell r="AM68" t="str">
            <v>открытый</v>
          </cell>
          <cell r="AN68" t="str">
            <v>1916-2344</v>
          </cell>
          <cell r="AO68">
            <v>22.8</v>
          </cell>
          <cell r="AP68">
            <v>1916</v>
          </cell>
          <cell r="AQ68">
            <v>40.76</v>
          </cell>
          <cell r="AR68" t="str">
            <v>1646,2-1915,8</v>
          </cell>
          <cell r="AS68">
            <v>102</v>
          </cell>
          <cell r="AT68">
            <v>6.5</v>
          </cell>
          <cell r="AU68" t="str">
            <v>Фон.</v>
          </cell>
          <cell r="AV68">
            <v>540</v>
          </cell>
          <cell r="AW68" t="str">
            <v>ГК 65 1/8</v>
          </cell>
          <cell r="AX68">
            <v>1050</v>
          </cell>
          <cell r="AY68" t="str">
            <v>ГК 45 5/32</v>
          </cell>
          <cell r="AZ68">
            <v>1610</v>
          </cell>
          <cell r="BA68" t="str">
            <v>ЦКсОК</v>
          </cell>
          <cell r="BB68" t="str">
            <v>-</v>
          </cell>
          <cell r="BC68" t="str">
            <v>-</v>
          </cell>
          <cell r="BD68" t="str">
            <v>-</v>
          </cell>
          <cell r="BE68" t="str">
            <v>-</v>
          </cell>
          <cell r="BF68" t="str">
            <v>-</v>
          </cell>
          <cell r="BG68" t="str">
            <v>-</v>
          </cell>
          <cell r="BH68">
            <v>1620</v>
          </cell>
          <cell r="BI68" t="str">
            <v>закрыт</v>
          </cell>
        </row>
        <row r="69">
          <cell r="J69">
            <v>86</v>
          </cell>
          <cell r="K69" t="str">
            <v>Без куста</v>
          </cell>
          <cell r="L69">
            <v>42799</v>
          </cell>
          <cell r="M69" t="str">
            <v>Гор.</v>
          </cell>
          <cell r="N69" t="str">
            <v>P4+5+6_Block1_yug</v>
          </cell>
          <cell r="O69" t="str">
            <v>Действующий</v>
          </cell>
          <cell r="P69" t="str">
            <v>Остановлена</v>
          </cell>
          <cell r="Q69">
            <v>-4</v>
          </cell>
          <cell r="U69">
            <v>203</v>
          </cell>
          <cell r="V69">
            <v>218.2</v>
          </cell>
          <cell r="W69">
            <v>0.98</v>
          </cell>
          <cell r="X69">
            <v>1.66</v>
          </cell>
          <cell r="Y69">
            <v>1.0641304063423951</v>
          </cell>
          <cell r="Z69">
            <v>1.454</v>
          </cell>
          <cell r="AA69">
            <v>0.83599999999999997</v>
          </cell>
          <cell r="AB69">
            <v>0.72</v>
          </cell>
          <cell r="AC69">
            <v>34.299999999999997</v>
          </cell>
          <cell r="AD69">
            <v>1.17</v>
          </cell>
          <cell r="AE69">
            <v>139.69999999999999</v>
          </cell>
          <cell r="AF69">
            <v>7.72</v>
          </cell>
          <cell r="AG69">
            <v>1950</v>
          </cell>
          <cell r="AH69">
            <v>1910</v>
          </cell>
          <cell r="AI69">
            <v>1910</v>
          </cell>
          <cell r="AM69" t="str">
            <v>закрытый</v>
          </cell>
          <cell r="AN69" t="str">
            <v>1893-1900; 1878-1886; 1864-1872; 1850-1860; 1836-1840; 1832-1845; 1780-1800; 1812-1818; 1774-1778; 1802-1806;1810-1822;1826-1828;1832-1846;1857-1832;1864-1887;1893-1902.</v>
          </cell>
          <cell r="AO69">
            <v>119.76999999999998</v>
          </cell>
          <cell r="AP69">
            <v>1774</v>
          </cell>
          <cell r="AQ69">
            <v>6</v>
          </cell>
          <cell r="AU69" t="str">
            <v>Газлифт</v>
          </cell>
          <cell r="AV69">
            <v>499.99999218800002</v>
          </cell>
          <cell r="AW69" t="str">
            <v>ГП</v>
          </cell>
          <cell r="AX69">
            <v>909.99997089800002</v>
          </cell>
          <cell r="AY69" t="str">
            <v>ГК 86/1</v>
          </cell>
          <cell r="AZ69">
            <v>1230.0000105470001</v>
          </cell>
          <cell r="BA69" t="str">
            <v>ГК 85/1,5</v>
          </cell>
          <cell r="BB69">
            <v>1480.000006641</v>
          </cell>
          <cell r="BC69" t="str">
            <v>ГК 80/2</v>
          </cell>
          <cell r="BD69">
            <v>1635.0000339840001</v>
          </cell>
          <cell r="BE69" t="str">
            <v>ЦКсОК 5/16</v>
          </cell>
          <cell r="BF69" t="str">
            <v>-</v>
          </cell>
          <cell r="BG69" t="str">
            <v>-</v>
          </cell>
          <cell r="BH69">
            <v>1645</v>
          </cell>
          <cell r="BI69" t="str">
            <v>закрыт</v>
          </cell>
        </row>
        <row r="70">
          <cell r="J70" t="str">
            <v>95-2</v>
          </cell>
          <cell r="K70" t="str">
            <v>Куст скважины-95</v>
          </cell>
          <cell r="L70">
            <v>34986</v>
          </cell>
          <cell r="M70" t="str">
            <v>Гор.</v>
          </cell>
          <cell r="N70" t="str">
            <v>P4+5+6_Block1_yug</v>
          </cell>
          <cell r="O70" t="str">
            <v>Действующий</v>
          </cell>
          <cell r="P70" t="str">
            <v>В работе</v>
          </cell>
          <cell r="Q70">
            <v>-4</v>
          </cell>
          <cell r="R70">
            <v>35485</v>
          </cell>
          <cell r="S70" t="str">
            <v>Halli</v>
          </cell>
          <cell r="U70">
            <v>203</v>
          </cell>
          <cell r="V70">
            <v>218.2</v>
          </cell>
          <cell r="W70">
            <v>0.98</v>
          </cell>
          <cell r="X70">
            <v>1.66</v>
          </cell>
          <cell r="Y70">
            <v>1.0132037867463877</v>
          </cell>
          <cell r="Z70">
            <v>1.454</v>
          </cell>
          <cell r="AA70">
            <v>0.83599999999999997</v>
          </cell>
          <cell r="AB70">
            <v>0.72</v>
          </cell>
          <cell r="AC70">
            <v>34.299999999999997</v>
          </cell>
          <cell r="AD70">
            <v>1.17</v>
          </cell>
          <cell r="AE70" t="str">
            <v>177,8;139,7</v>
          </cell>
          <cell r="AF70" t="str">
            <v>9,19; 7,72</v>
          </cell>
          <cell r="AG70" t="str">
            <v>0-1919; 1919-2596</v>
          </cell>
          <cell r="AH70">
            <v>2596</v>
          </cell>
          <cell r="AI70">
            <v>2596</v>
          </cell>
          <cell r="AM70" t="str">
            <v>открытый</v>
          </cell>
          <cell r="AN70" t="str">
            <v>1919-2596</v>
          </cell>
          <cell r="AO70">
            <v>63.799999999999955</v>
          </cell>
          <cell r="AP70">
            <v>1919</v>
          </cell>
          <cell r="AQ70">
            <v>22.7</v>
          </cell>
          <cell r="AU70" t="str">
            <v>Газлифт</v>
          </cell>
          <cell r="AV70">
            <v>479.99998505899998</v>
          </cell>
          <cell r="AW70" t="str">
            <v>ГП</v>
          </cell>
          <cell r="AX70">
            <v>880.00001601600002</v>
          </cell>
          <cell r="AY70" t="str">
            <v>ГК 75 1/8</v>
          </cell>
          <cell r="AZ70">
            <v>1239.999995508</v>
          </cell>
          <cell r="BA70" t="str">
            <v>ГК 70 1/8</v>
          </cell>
          <cell r="BB70">
            <v>1499.999976563</v>
          </cell>
          <cell r="BC70" t="str">
            <v>ЦКсОК 5/16</v>
          </cell>
          <cell r="BD70" t="str">
            <v>-</v>
          </cell>
          <cell r="BE70" t="str">
            <v>-</v>
          </cell>
          <cell r="BF70" t="str">
            <v>-</v>
          </cell>
          <cell r="BG70" t="str">
            <v>-</v>
          </cell>
          <cell r="BH70">
            <v>1560</v>
          </cell>
          <cell r="BI70" t="str">
            <v>закрыт</v>
          </cell>
        </row>
        <row r="71">
          <cell r="J71" t="str">
            <v>95-1</v>
          </cell>
          <cell r="K71" t="str">
            <v>Куст скважины-95</v>
          </cell>
          <cell r="L71">
            <v>34991</v>
          </cell>
          <cell r="M71" t="str">
            <v>Гор.</v>
          </cell>
          <cell r="N71" t="str">
            <v>P4+5+6_Block1_yug</v>
          </cell>
          <cell r="O71" t="str">
            <v>Действующий</v>
          </cell>
          <cell r="P71" t="str">
            <v>В работе</v>
          </cell>
          <cell r="Q71">
            <v>-4</v>
          </cell>
          <cell r="R71">
            <v>35156</v>
          </cell>
          <cell r="S71" t="str">
            <v>Halli</v>
          </cell>
          <cell r="U71">
            <v>203</v>
          </cell>
          <cell r="V71">
            <v>218.2</v>
          </cell>
          <cell r="W71">
            <v>0.98</v>
          </cell>
          <cell r="X71">
            <v>1.66</v>
          </cell>
          <cell r="Y71">
            <v>0.98</v>
          </cell>
          <cell r="Z71">
            <v>1.454</v>
          </cell>
          <cell r="AA71">
            <v>0.83599999999999997</v>
          </cell>
          <cell r="AB71">
            <v>0.72</v>
          </cell>
          <cell r="AC71">
            <v>34.299999999999997</v>
          </cell>
          <cell r="AD71">
            <v>1.17</v>
          </cell>
          <cell r="AE71">
            <v>139.69999999999999</v>
          </cell>
          <cell r="AF71">
            <v>7.72</v>
          </cell>
          <cell r="AG71">
            <v>1901</v>
          </cell>
          <cell r="AH71">
            <v>2479</v>
          </cell>
          <cell r="AI71">
            <v>2479</v>
          </cell>
          <cell r="AM71" t="str">
            <v>открытый</v>
          </cell>
          <cell r="AN71" t="str">
            <v>1901-2479</v>
          </cell>
          <cell r="AO71">
            <v>64.5</v>
          </cell>
          <cell r="AP71">
            <v>1901</v>
          </cell>
          <cell r="AQ71">
            <v>2.8</v>
          </cell>
          <cell r="AU71" t="str">
            <v>Газлифт</v>
          </cell>
          <cell r="AV71">
            <v>599.99999062500001</v>
          </cell>
          <cell r="AW71" t="str">
            <v>ГП</v>
          </cell>
          <cell r="AX71">
            <v>949.99998515599998</v>
          </cell>
          <cell r="AY71" t="str">
            <v>ГК 83 5/32</v>
          </cell>
          <cell r="AZ71">
            <v>1399.9999781250001</v>
          </cell>
          <cell r="BA71" t="str">
            <v>ГК 83 5/32</v>
          </cell>
          <cell r="BB71">
            <v>1849.9999710940001</v>
          </cell>
          <cell r="BC71" t="str">
            <v>ЦКсОК 5/16</v>
          </cell>
          <cell r="BD71" t="str">
            <v>-</v>
          </cell>
          <cell r="BE71" t="str">
            <v>-</v>
          </cell>
          <cell r="BF71" t="str">
            <v>-</v>
          </cell>
          <cell r="BG71" t="str">
            <v>-</v>
          </cell>
          <cell r="BH71">
            <v>1855</v>
          </cell>
          <cell r="BI71" t="str">
            <v>закрыт</v>
          </cell>
        </row>
        <row r="72">
          <cell r="J72" t="str">
            <v>105-1Д</v>
          </cell>
          <cell r="K72" t="str">
            <v>Куст скважины-105</v>
          </cell>
          <cell r="L72">
            <v>35735</v>
          </cell>
          <cell r="M72" t="str">
            <v>Гор.</v>
          </cell>
          <cell r="N72" t="str">
            <v>P4+5+6_Block1_yug</v>
          </cell>
          <cell r="O72" t="str">
            <v>Действующий</v>
          </cell>
          <cell r="P72" t="str">
            <v>Остановлена</v>
          </cell>
          <cell r="Q72">
            <v>-4</v>
          </cell>
          <cell r="R72">
            <v>35491</v>
          </cell>
          <cell r="S72" t="str">
            <v>Halli</v>
          </cell>
          <cell r="U72">
            <v>203</v>
          </cell>
          <cell r="V72">
            <v>218.2</v>
          </cell>
          <cell r="W72">
            <v>0.98</v>
          </cell>
          <cell r="X72">
            <v>1.66</v>
          </cell>
          <cell r="Y72">
            <v>0.98036143445655866</v>
          </cell>
          <cell r="Z72">
            <v>1.454</v>
          </cell>
          <cell r="AA72">
            <v>0.83599999999999997</v>
          </cell>
          <cell r="AB72">
            <v>0.72</v>
          </cell>
          <cell r="AC72">
            <v>34.299999999999997</v>
          </cell>
          <cell r="AD72">
            <v>1.17</v>
          </cell>
          <cell r="AE72">
            <v>139.69999999999999</v>
          </cell>
          <cell r="AF72">
            <v>7.72</v>
          </cell>
          <cell r="AG72" t="str">
            <v>2631 фильтр 
1877,3-2174,7, 2208,4-2631</v>
          </cell>
          <cell r="AH72">
            <v>2691</v>
          </cell>
          <cell r="AI72">
            <v>2691</v>
          </cell>
          <cell r="AM72" t="str">
            <v>открытый</v>
          </cell>
          <cell r="AN72" t="str">
            <v>1641-2739; 1700-2691</v>
          </cell>
          <cell r="AO72">
            <v>52.17</v>
          </cell>
          <cell r="AP72">
            <v>1641</v>
          </cell>
          <cell r="AQ72">
            <v>11.85</v>
          </cell>
          <cell r="AU72" t="str">
            <v>Газлифт</v>
          </cell>
          <cell r="AV72">
            <v>549.85919999999999</v>
          </cell>
          <cell r="AW72" t="str">
            <v>ГК 79 1/8</v>
          </cell>
          <cell r="AX72">
            <v>1000.0488</v>
          </cell>
          <cell r="AY72" t="str">
            <v>ГК 80 1/8</v>
          </cell>
          <cell r="AZ72">
            <v>1339.9007999999999</v>
          </cell>
          <cell r="BA72" t="str">
            <v>ГК 84 5/32</v>
          </cell>
          <cell r="BB72">
            <v>1540.000065234</v>
          </cell>
          <cell r="BC72" t="str">
            <v>ЦКсОК 5/16</v>
          </cell>
          <cell r="BD72" t="str">
            <v>-</v>
          </cell>
          <cell r="BE72" t="str">
            <v>-</v>
          </cell>
          <cell r="BF72" t="str">
            <v>-</v>
          </cell>
          <cell r="BG72" t="str">
            <v>-</v>
          </cell>
          <cell r="BH72" t="str">
            <v>-</v>
          </cell>
          <cell r="BI72" t="str">
            <v>-</v>
          </cell>
        </row>
        <row r="73">
          <cell r="J73" t="str">
            <v>105-2</v>
          </cell>
          <cell r="K73" t="str">
            <v>Куст скважины-105</v>
          </cell>
          <cell r="L73">
            <v>37210</v>
          </cell>
          <cell r="M73" t="str">
            <v>Гор.</v>
          </cell>
          <cell r="N73" t="str">
            <v>P4+5+6_Block1_yug</v>
          </cell>
          <cell r="O73" t="str">
            <v>Действующий</v>
          </cell>
          <cell r="P73" t="str">
            <v>В работе</v>
          </cell>
          <cell r="Q73">
            <v>-4</v>
          </cell>
          <cell r="R73" t="str">
            <v xml:space="preserve"> </v>
          </cell>
          <cell r="S73" t="str">
            <v xml:space="preserve"> </v>
          </cell>
          <cell r="U73">
            <v>203</v>
          </cell>
          <cell r="V73">
            <v>218.2</v>
          </cell>
          <cell r="W73">
            <v>0.98</v>
          </cell>
          <cell r="X73">
            <v>1.66</v>
          </cell>
          <cell r="Y73">
            <v>0.99219321785801406</v>
          </cell>
          <cell r="Z73">
            <v>1.454</v>
          </cell>
          <cell r="AA73">
            <v>0.83599999999999997</v>
          </cell>
          <cell r="AB73">
            <v>0.72</v>
          </cell>
          <cell r="AC73">
            <v>34.299999999999997</v>
          </cell>
          <cell r="AD73">
            <v>1.17</v>
          </cell>
          <cell r="AE73">
            <v>139.69999999999999</v>
          </cell>
          <cell r="AF73">
            <v>7.72</v>
          </cell>
          <cell r="AG73">
            <v>1910</v>
          </cell>
          <cell r="AH73">
            <v>2683</v>
          </cell>
          <cell r="AI73">
            <v>2683</v>
          </cell>
          <cell r="AM73" t="str">
            <v>открытый</v>
          </cell>
          <cell r="AN73" t="str">
            <v>1853-2631 (фильтр-хвостовик)</v>
          </cell>
          <cell r="AO73">
            <v>53.901799999999866</v>
          </cell>
          <cell r="AP73">
            <v>1853</v>
          </cell>
          <cell r="AQ73">
            <v>18.3</v>
          </cell>
          <cell r="AU73" t="str">
            <v>Газлифт</v>
          </cell>
          <cell r="AV73">
            <v>842.00002851600004</v>
          </cell>
          <cell r="AW73" t="str">
            <v>ГК 70 1/8</v>
          </cell>
          <cell r="AX73">
            <v>1295.999926172</v>
          </cell>
          <cell r="AY73" t="str">
            <v>ГК 60 1/8</v>
          </cell>
          <cell r="AZ73">
            <v>1835.0000308589999</v>
          </cell>
          <cell r="BA73" t="str">
            <v>ЦКсОК 5/16</v>
          </cell>
          <cell r="BB73" t="str">
            <v>-</v>
          </cell>
          <cell r="BC73" t="str">
            <v>-</v>
          </cell>
          <cell r="BD73" t="str">
            <v>-</v>
          </cell>
          <cell r="BE73" t="str">
            <v>-</v>
          </cell>
          <cell r="BF73" t="str">
            <v>-</v>
          </cell>
          <cell r="BG73" t="str">
            <v>-</v>
          </cell>
          <cell r="BH73">
            <v>1835</v>
          </cell>
          <cell r="BI73" t="str">
            <v>открыт</v>
          </cell>
        </row>
        <row r="74">
          <cell r="J74" t="str">
            <v>106-1</v>
          </cell>
          <cell r="K74" t="str">
            <v>Без куста</v>
          </cell>
          <cell r="L74">
            <v>37178</v>
          </cell>
          <cell r="M74" t="str">
            <v>Гор.</v>
          </cell>
          <cell r="N74" t="str">
            <v>P4+5+6_Block1_yug</v>
          </cell>
          <cell r="O74" t="str">
            <v>Действующий</v>
          </cell>
          <cell r="P74" t="str">
            <v>В работе</v>
          </cell>
          <cell r="Q74">
            <v>-4</v>
          </cell>
          <cell r="R74" t="str">
            <v xml:space="preserve"> </v>
          </cell>
          <cell r="S74" t="str">
            <v xml:space="preserve"> </v>
          </cell>
          <cell r="U74">
            <v>203</v>
          </cell>
          <cell r="V74">
            <v>218.2</v>
          </cell>
          <cell r="W74">
            <v>0.98</v>
          </cell>
          <cell r="X74">
            <v>1.66</v>
          </cell>
          <cell r="Y74">
            <v>0.98403097023953534</v>
          </cell>
          <cell r="Z74">
            <v>1.454</v>
          </cell>
          <cell r="AA74">
            <v>0.83599999999999997</v>
          </cell>
          <cell r="AB74">
            <v>0.72</v>
          </cell>
          <cell r="AC74">
            <v>34.299999999999997</v>
          </cell>
          <cell r="AD74">
            <v>1.17</v>
          </cell>
          <cell r="AE74">
            <v>139.69999999999999</v>
          </cell>
          <cell r="AF74">
            <v>7.72</v>
          </cell>
          <cell r="AG74">
            <v>2063</v>
          </cell>
          <cell r="AH74">
            <v>2620</v>
          </cell>
          <cell r="AI74">
            <v>2620</v>
          </cell>
          <cell r="AM74" t="str">
            <v>открытый</v>
          </cell>
          <cell r="AN74" t="str">
            <v>2063-2620; 2121-2500</v>
          </cell>
          <cell r="AO74">
            <v>22.67</v>
          </cell>
          <cell r="AP74">
            <v>2063</v>
          </cell>
          <cell r="AQ74">
            <v>128</v>
          </cell>
          <cell r="AU74" t="str">
            <v>Газлифт</v>
          </cell>
          <cell r="AV74">
            <v>630.02160000000003</v>
          </cell>
          <cell r="AW74" t="str">
            <v>ГК 80 1/8</v>
          </cell>
          <cell r="AX74">
            <v>1100.0232000000001</v>
          </cell>
          <cell r="AY74" t="str">
            <v>ГК 83 1/8</v>
          </cell>
          <cell r="AZ74">
            <v>1480.1088</v>
          </cell>
          <cell r="BA74" t="str">
            <v>ГК 83 1/8</v>
          </cell>
          <cell r="BB74">
            <v>1749.8568</v>
          </cell>
          <cell r="BC74" t="str">
            <v>ЦКсОК 5/16</v>
          </cell>
          <cell r="BD74" t="str">
            <v>-</v>
          </cell>
          <cell r="BE74" t="str">
            <v>-</v>
          </cell>
          <cell r="BF74" t="str">
            <v>-</v>
          </cell>
          <cell r="BG74" t="str">
            <v>-</v>
          </cell>
          <cell r="BH74">
            <v>1760</v>
          </cell>
          <cell r="BI74" t="str">
            <v>закрыт</v>
          </cell>
        </row>
        <row r="75">
          <cell r="J75">
            <v>147</v>
          </cell>
          <cell r="K75" t="str">
            <v>Без куста</v>
          </cell>
          <cell r="L75">
            <v>35222</v>
          </cell>
          <cell r="M75" t="str">
            <v>Верт.</v>
          </cell>
          <cell r="N75" t="str">
            <v>Р4+5_Block3</v>
          </cell>
          <cell r="O75" t="str">
            <v>Действующий</v>
          </cell>
          <cell r="P75" t="str">
            <v>В работе</v>
          </cell>
          <cell r="Q75">
            <v>-4</v>
          </cell>
          <cell r="U75">
            <v>203</v>
          </cell>
          <cell r="V75">
            <v>218.2</v>
          </cell>
          <cell r="W75">
            <v>0.98</v>
          </cell>
          <cell r="X75">
            <v>1.66</v>
          </cell>
          <cell r="Y75">
            <v>0.98</v>
          </cell>
          <cell r="Z75">
            <v>1.454</v>
          </cell>
          <cell r="AA75">
            <v>0.83599999999999997</v>
          </cell>
          <cell r="AB75">
            <v>0.72</v>
          </cell>
          <cell r="AC75">
            <v>34.299999999999997</v>
          </cell>
          <cell r="AD75">
            <v>1.17</v>
          </cell>
          <cell r="AE75">
            <v>139.69999999999999</v>
          </cell>
          <cell r="AF75">
            <v>7.72</v>
          </cell>
          <cell r="AG75">
            <v>2014</v>
          </cell>
          <cell r="AH75">
            <v>2014</v>
          </cell>
          <cell r="AI75">
            <v>2014</v>
          </cell>
          <cell r="AM75" t="str">
            <v>закрытый</v>
          </cell>
          <cell r="AN75" t="str">
            <v>1890-1940; 1960-1997</v>
          </cell>
          <cell r="AO75">
            <v>106.74</v>
          </cell>
          <cell r="AP75">
            <v>1890</v>
          </cell>
          <cell r="AQ75">
            <v>2.68</v>
          </cell>
          <cell r="AU75" t="str">
            <v>Фон.</v>
          </cell>
          <cell r="AV75">
            <v>884</v>
          </cell>
          <cell r="AW75" t="str">
            <v>ЦКсОК 5/16</v>
          </cell>
          <cell r="AX75" t="str">
            <v>-</v>
          </cell>
          <cell r="AY75" t="str">
            <v>-</v>
          </cell>
          <cell r="AZ75" t="str">
            <v>-</v>
          </cell>
          <cell r="BA75" t="str">
            <v>-</v>
          </cell>
          <cell r="BB75" t="str">
            <v>-</v>
          </cell>
          <cell r="BC75" t="str">
            <v>-</v>
          </cell>
          <cell r="BD75" t="str">
            <v>-</v>
          </cell>
          <cell r="BE75" t="str">
            <v>-</v>
          </cell>
          <cell r="BF75" t="str">
            <v>-</v>
          </cell>
          <cell r="BG75" t="str">
            <v>-</v>
          </cell>
          <cell r="BH75">
            <v>1847</v>
          </cell>
          <cell r="BI75" t="str">
            <v>закрыт</v>
          </cell>
        </row>
        <row r="76">
          <cell r="J76">
            <v>152</v>
          </cell>
          <cell r="K76" t="str">
            <v>Без куста</v>
          </cell>
          <cell r="L76">
            <v>35139</v>
          </cell>
          <cell r="M76" t="str">
            <v>Гор.</v>
          </cell>
          <cell r="N76" t="str">
            <v>Р4+5_Block3</v>
          </cell>
          <cell r="O76" t="str">
            <v>Действующий</v>
          </cell>
          <cell r="P76" t="str">
            <v>В работе</v>
          </cell>
          <cell r="Q76">
            <v>-4</v>
          </cell>
          <cell r="U76">
            <v>203</v>
          </cell>
          <cell r="V76">
            <v>218.2</v>
          </cell>
          <cell r="W76">
            <v>0.98</v>
          </cell>
          <cell r="X76">
            <v>1.66</v>
          </cell>
          <cell r="Y76">
            <v>0.98</v>
          </cell>
          <cell r="Z76">
            <v>1.454</v>
          </cell>
          <cell r="AA76">
            <v>0.83599999999999997</v>
          </cell>
          <cell r="AB76">
            <v>0.72</v>
          </cell>
          <cell r="AC76">
            <v>34.299999999999997</v>
          </cell>
          <cell r="AD76">
            <v>1.17</v>
          </cell>
          <cell r="AE76">
            <v>139.69999999999999</v>
          </cell>
          <cell r="AF76">
            <v>7.72</v>
          </cell>
          <cell r="AG76">
            <v>2047</v>
          </cell>
          <cell r="AH76">
            <v>2350</v>
          </cell>
          <cell r="AI76">
            <v>2350</v>
          </cell>
          <cell r="AM76" t="str">
            <v>открытый</v>
          </cell>
          <cell r="AN76" t="str">
            <v>1753-2350</v>
          </cell>
          <cell r="AO76">
            <v>188.7</v>
          </cell>
          <cell r="AP76">
            <v>1753</v>
          </cell>
          <cell r="AQ76">
            <v>1.56</v>
          </cell>
          <cell r="AU76" t="str">
            <v>Газлифт</v>
          </cell>
          <cell r="AV76">
            <v>446.00001386700001</v>
          </cell>
          <cell r="AW76" t="str">
            <v>ГП</v>
          </cell>
          <cell r="AX76">
            <v>833.00001972699999</v>
          </cell>
          <cell r="AY76" t="str">
            <v>ГК 84 1/8</v>
          </cell>
          <cell r="AZ76">
            <v>1164.9999966800001</v>
          </cell>
          <cell r="BA76" t="str">
            <v>ГК 83 1/8</v>
          </cell>
          <cell r="BB76">
            <v>1446.0000726559999</v>
          </cell>
          <cell r="BC76" t="str">
            <v>ГК 83 1/8</v>
          </cell>
          <cell r="BD76">
            <v>1560.000035156</v>
          </cell>
          <cell r="BE76" t="str">
            <v>ЦКсОК 5/16</v>
          </cell>
          <cell r="BF76" t="str">
            <v>-</v>
          </cell>
          <cell r="BG76" t="str">
            <v>-</v>
          </cell>
          <cell r="BH76">
            <v>1743</v>
          </cell>
          <cell r="BI76" t="str">
            <v>закрыт</v>
          </cell>
        </row>
        <row r="77">
          <cell r="J77">
            <v>157</v>
          </cell>
          <cell r="K77" t="str">
            <v>Без куста</v>
          </cell>
          <cell r="L77">
            <v>34748</v>
          </cell>
          <cell r="M77" t="str">
            <v>Гор.</v>
          </cell>
          <cell r="N77" t="str">
            <v>Р4+5_Block3</v>
          </cell>
          <cell r="O77" t="str">
            <v>Действующий</v>
          </cell>
          <cell r="P77" t="str">
            <v>В работе</v>
          </cell>
          <cell r="Q77">
            <v>-4</v>
          </cell>
          <cell r="U77">
            <v>203</v>
          </cell>
          <cell r="V77">
            <v>218.2</v>
          </cell>
          <cell r="W77">
            <v>0.98</v>
          </cell>
          <cell r="X77">
            <v>1.66</v>
          </cell>
          <cell r="Y77">
            <v>0.98846266955403739</v>
          </cell>
          <cell r="Z77">
            <v>1.454</v>
          </cell>
          <cell r="AA77">
            <v>0.83599999999999997</v>
          </cell>
          <cell r="AB77">
            <v>0.72</v>
          </cell>
          <cell r="AC77">
            <v>34.299999999999997</v>
          </cell>
          <cell r="AD77">
            <v>1.17</v>
          </cell>
          <cell r="AE77">
            <v>139.69999999999999</v>
          </cell>
          <cell r="AF77">
            <v>7.72</v>
          </cell>
          <cell r="AG77">
            <v>2049</v>
          </cell>
          <cell r="AH77">
            <v>2487</v>
          </cell>
          <cell r="AI77">
            <v>2487</v>
          </cell>
          <cell r="AM77" t="str">
            <v>открытый</v>
          </cell>
          <cell r="AN77" t="str">
            <v>2110-2487</v>
          </cell>
          <cell r="AO77">
            <v>7.45</v>
          </cell>
          <cell r="AP77">
            <v>2110</v>
          </cell>
          <cell r="AQ77">
            <v>0.12</v>
          </cell>
          <cell r="AR77" t="str">
            <v>1625-2110</v>
          </cell>
          <cell r="AS77">
            <v>102</v>
          </cell>
          <cell r="AT77">
            <v>6.5</v>
          </cell>
          <cell r="AU77" t="str">
            <v>Газлифт</v>
          </cell>
          <cell r="AV77">
            <v>379.99998662100001</v>
          </cell>
          <cell r="AW77" t="str">
            <v>ГП</v>
          </cell>
          <cell r="AX77">
            <v>724.99998867199997</v>
          </cell>
          <cell r="AY77" t="str">
            <v>ГК 60 1/8</v>
          </cell>
          <cell r="AZ77">
            <v>1049.999983594</v>
          </cell>
          <cell r="BA77" t="str">
            <v>ГК 60 1/8</v>
          </cell>
          <cell r="BB77">
            <v>1355.0000085940001</v>
          </cell>
          <cell r="BC77" t="str">
            <v>ЦКсОК 5/16</v>
          </cell>
          <cell r="BD77" t="str">
            <v>-</v>
          </cell>
          <cell r="BE77" t="str">
            <v>-</v>
          </cell>
          <cell r="BF77" t="str">
            <v>-</v>
          </cell>
          <cell r="BG77" t="str">
            <v>-</v>
          </cell>
          <cell r="BH77">
            <v>1580</v>
          </cell>
          <cell r="BI77" t="str">
            <v>закрыт</v>
          </cell>
        </row>
        <row r="78">
          <cell r="J78" t="str">
            <v>157тг</v>
          </cell>
          <cell r="K78" t="str">
            <v>Без куста</v>
          </cell>
          <cell r="L78">
            <v>34614</v>
          </cell>
          <cell r="M78" t="str">
            <v>Гор.</v>
          </cell>
          <cell r="N78" t="str">
            <v>Р4+5_Block3</v>
          </cell>
          <cell r="O78" t="str">
            <v>Действующий</v>
          </cell>
          <cell r="P78" t="str">
            <v>Остановлена</v>
          </cell>
          <cell r="Q78">
            <v>-4</v>
          </cell>
          <cell r="U78">
            <v>203</v>
          </cell>
          <cell r="V78">
            <v>218.2</v>
          </cell>
          <cell r="W78">
            <v>0.98</v>
          </cell>
          <cell r="X78">
            <v>1.66</v>
          </cell>
          <cell r="Y78">
            <v>0.98973036114085466</v>
          </cell>
          <cell r="Z78">
            <v>1.454</v>
          </cell>
          <cell r="AA78">
            <v>0.83599999999999997</v>
          </cell>
          <cell r="AB78">
            <v>0.72</v>
          </cell>
          <cell r="AC78">
            <v>34.299999999999997</v>
          </cell>
          <cell r="AD78">
            <v>1.17</v>
          </cell>
          <cell r="AE78">
            <v>177.8</v>
          </cell>
          <cell r="AF78">
            <v>8.0500000000000007</v>
          </cell>
          <cell r="AG78">
            <v>1909</v>
          </cell>
          <cell r="AH78">
            <v>2205</v>
          </cell>
          <cell r="AI78">
            <v>2205</v>
          </cell>
          <cell r="AM78" t="str">
            <v>открытый</v>
          </cell>
          <cell r="AN78" t="str">
            <v>1909,6-2205</v>
          </cell>
          <cell r="AO78">
            <v>9.3199999999999363</v>
          </cell>
          <cell r="AP78">
            <v>1909</v>
          </cell>
          <cell r="AQ78">
            <v>0.12</v>
          </cell>
          <cell r="AU78" t="str">
            <v>Газлифт</v>
          </cell>
          <cell r="AV78">
            <v>549.99999140600005</v>
          </cell>
          <cell r="AW78" t="str">
            <v>ГП</v>
          </cell>
          <cell r="AX78">
            <v>980.00001445299995</v>
          </cell>
          <cell r="AY78" t="str">
            <v>ГК 89/1</v>
          </cell>
          <cell r="AZ78">
            <v>1335.0000386720001</v>
          </cell>
          <cell r="BA78" t="str">
            <v>ГК 77/2,5</v>
          </cell>
          <cell r="BB78">
            <v>1560.000035156</v>
          </cell>
          <cell r="BC78" t="str">
            <v>ЦКсОК 5/16</v>
          </cell>
          <cell r="BD78" t="str">
            <v>-</v>
          </cell>
          <cell r="BE78" t="str">
            <v>-</v>
          </cell>
          <cell r="BF78" t="str">
            <v>-</v>
          </cell>
          <cell r="BG78" t="str">
            <v>-</v>
          </cell>
          <cell r="BH78">
            <v>1570</v>
          </cell>
          <cell r="BI78" t="str">
            <v>закрыт</v>
          </cell>
        </row>
        <row r="79">
          <cell r="J79">
            <v>164</v>
          </cell>
          <cell r="K79" t="str">
            <v>Без куста</v>
          </cell>
          <cell r="L79">
            <v>34964</v>
          </cell>
          <cell r="M79" t="str">
            <v>Верт.</v>
          </cell>
          <cell r="N79" t="str">
            <v>Р4+5+6_Block2</v>
          </cell>
          <cell r="O79" t="str">
            <v>Действующий</v>
          </cell>
          <cell r="P79" t="str">
            <v>В работе</v>
          </cell>
          <cell r="Q79">
            <v>-4</v>
          </cell>
          <cell r="R79" t="str">
            <v xml:space="preserve"> </v>
          </cell>
          <cell r="S79" t="str">
            <v xml:space="preserve"> </v>
          </cell>
          <cell r="U79">
            <v>203</v>
          </cell>
          <cell r="V79">
            <v>218.2</v>
          </cell>
          <cell r="W79">
            <v>0.98</v>
          </cell>
          <cell r="X79">
            <v>1.66</v>
          </cell>
          <cell r="Y79">
            <v>1.1018694120834462</v>
          </cell>
          <cell r="Z79">
            <v>1.454</v>
          </cell>
          <cell r="AA79">
            <v>0.83599999999999997</v>
          </cell>
          <cell r="AB79">
            <v>0.72</v>
          </cell>
          <cell r="AC79">
            <v>34.299999999999997</v>
          </cell>
          <cell r="AD79">
            <v>1.17</v>
          </cell>
          <cell r="AE79" t="str">
            <v>177,8;
114,3</v>
          </cell>
          <cell r="AF79">
            <v>9.19</v>
          </cell>
          <cell r="AG79">
            <v>1961</v>
          </cell>
          <cell r="AH79">
            <v>2400</v>
          </cell>
          <cell r="AI79">
            <v>2400</v>
          </cell>
          <cell r="AM79" t="str">
            <v>открытый</v>
          </cell>
          <cell r="AN79" t="str">
            <v>2025-2400</v>
          </cell>
          <cell r="AO79">
            <v>5.7000000000000455</v>
          </cell>
          <cell r="AP79">
            <v>2025</v>
          </cell>
          <cell r="AQ79">
            <v>67</v>
          </cell>
          <cell r="AR79" t="str">
            <v>1497-2025</v>
          </cell>
          <cell r="AS79">
            <v>114</v>
          </cell>
          <cell r="AT79">
            <v>101.2</v>
          </cell>
          <cell r="AU79" t="str">
            <v>Газлифт</v>
          </cell>
          <cell r="AV79">
            <v>484.00000136699998</v>
          </cell>
          <cell r="AW79" t="str">
            <v>ГП</v>
          </cell>
          <cell r="AX79">
            <v>980.99999062500001</v>
          </cell>
          <cell r="AY79" t="str">
            <v>ГП</v>
          </cell>
          <cell r="AZ79">
            <v>1446.0000726559999</v>
          </cell>
          <cell r="BA79" t="str">
            <v>ЦКсОК 5/16</v>
          </cell>
          <cell r="BB79" t="str">
            <v>-</v>
          </cell>
          <cell r="BC79" t="str">
            <v>-</v>
          </cell>
          <cell r="BD79" t="str">
            <v>-</v>
          </cell>
          <cell r="BE79" t="str">
            <v>-</v>
          </cell>
          <cell r="BF79" t="str">
            <v>-</v>
          </cell>
          <cell r="BG79" t="str">
            <v>-</v>
          </cell>
          <cell r="BH79">
            <v>1465</v>
          </cell>
          <cell r="BI79" t="str">
            <v>закрыт</v>
          </cell>
        </row>
        <row r="80">
          <cell r="J80">
            <v>175</v>
          </cell>
          <cell r="K80" t="str">
            <v>Без куста</v>
          </cell>
          <cell r="L80">
            <v>37545</v>
          </cell>
          <cell r="M80" t="str">
            <v>Гор.</v>
          </cell>
          <cell r="N80" t="str">
            <v>Р4+5+6_Block2</v>
          </cell>
          <cell r="O80" t="str">
            <v>Действующий</v>
          </cell>
          <cell r="P80" t="str">
            <v>Остановлена</v>
          </cell>
          <cell r="Q80">
            <v>-4</v>
          </cell>
          <cell r="R80" t="str">
            <v xml:space="preserve"> </v>
          </cell>
          <cell r="S80" t="str">
            <v xml:space="preserve"> </v>
          </cell>
          <cell r="U80">
            <v>203</v>
          </cell>
          <cell r="V80">
            <v>218.2</v>
          </cell>
          <cell r="W80">
            <v>0.98</v>
          </cell>
          <cell r="X80">
            <v>1.66</v>
          </cell>
          <cell r="Y80">
            <v>0.98</v>
          </cell>
          <cell r="Z80">
            <v>1.454</v>
          </cell>
          <cell r="AA80">
            <v>0.83599999999999997</v>
          </cell>
          <cell r="AB80">
            <v>0.72</v>
          </cell>
          <cell r="AC80">
            <v>34.299999999999997</v>
          </cell>
          <cell r="AD80">
            <v>1.17</v>
          </cell>
          <cell r="AE80">
            <v>139.69999999999999</v>
          </cell>
          <cell r="AF80">
            <v>7.72</v>
          </cell>
          <cell r="AG80">
            <v>1808</v>
          </cell>
          <cell r="AH80">
            <v>2350</v>
          </cell>
          <cell r="AI80">
            <v>2350</v>
          </cell>
          <cell r="AM80" t="str">
            <v>открытый</v>
          </cell>
          <cell r="AN80" t="str">
            <v>1806-2350</v>
          </cell>
          <cell r="AO80">
            <v>126.40000000000009</v>
          </cell>
          <cell r="AP80">
            <v>1806</v>
          </cell>
          <cell r="AQ80">
            <v>0.4</v>
          </cell>
          <cell r="AU80" t="str">
            <v>Газлифт</v>
          </cell>
          <cell r="AV80">
            <v>435.00001552700002</v>
          </cell>
          <cell r="AW80" t="str">
            <v>ГК 60 1/4</v>
          </cell>
          <cell r="AX80">
            <v>815.00000214800002</v>
          </cell>
          <cell r="AY80" t="str">
            <v>ГК 60 1/8</v>
          </cell>
          <cell r="AZ80">
            <v>1139.9999970700001</v>
          </cell>
          <cell r="BA80" t="str">
            <v>ГК 60 1/8</v>
          </cell>
          <cell r="BB80">
            <v>1410.0000375</v>
          </cell>
          <cell r="BC80" t="str">
            <v>ЦКсОК 5/16</v>
          </cell>
          <cell r="BD80" t="str">
            <v>-</v>
          </cell>
          <cell r="BE80" t="str">
            <v>-</v>
          </cell>
          <cell r="BF80" t="str">
            <v>-</v>
          </cell>
          <cell r="BG80" t="str">
            <v>-</v>
          </cell>
          <cell r="BH80">
            <v>1740</v>
          </cell>
          <cell r="BI80" t="str">
            <v>закрыт</v>
          </cell>
        </row>
        <row r="81">
          <cell r="J81" t="str">
            <v>629а</v>
          </cell>
          <cell r="K81" t="str">
            <v>Без куста</v>
          </cell>
          <cell r="L81">
            <v>37154</v>
          </cell>
          <cell r="M81" t="str">
            <v>Верт.</v>
          </cell>
          <cell r="N81" t="str">
            <v>P4+5+6_Block1_yug</v>
          </cell>
          <cell r="O81" t="str">
            <v>Действующий</v>
          </cell>
          <cell r="P81" t="str">
            <v>В работе</v>
          </cell>
          <cell r="Q81">
            <v>-4</v>
          </cell>
          <cell r="R81" t="str">
            <v xml:space="preserve"> </v>
          </cell>
          <cell r="S81" t="str">
            <v xml:space="preserve"> </v>
          </cell>
          <cell r="U81">
            <v>203</v>
          </cell>
          <cell r="V81">
            <v>218.2</v>
          </cell>
          <cell r="W81">
            <v>0.98</v>
          </cell>
          <cell r="X81">
            <v>1.66</v>
          </cell>
          <cell r="Y81">
            <v>0.98597763792050108</v>
          </cell>
          <cell r="Z81">
            <v>1.454</v>
          </cell>
          <cell r="AA81">
            <v>0.83599999999999997</v>
          </cell>
          <cell r="AB81">
            <v>0.72</v>
          </cell>
          <cell r="AC81">
            <v>34.299999999999997</v>
          </cell>
          <cell r="AD81">
            <v>1.17</v>
          </cell>
          <cell r="AE81">
            <v>139.69999999999999</v>
          </cell>
          <cell r="AF81">
            <v>7.72</v>
          </cell>
          <cell r="AG81">
            <v>1934</v>
          </cell>
          <cell r="AH81">
            <v>1915</v>
          </cell>
          <cell r="AI81">
            <v>1915</v>
          </cell>
          <cell r="AM81" t="str">
            <v>закрытый</v>
          </cell>
          <cell r="AN81" t="str">
            <v>1845-1873; 1892-1906</v>
          </cell>
          <cell r="AO81">
            <v>50</v>
          </cell>
          <cell r="AP81">
            <v>1845</v>
          </cell>
          <cell r="AQ81">
            <v>0.36</v>
          </cell>
          <cell r="AU81" t="str">
            <v>Газлифт</v>
          </cell>
          <cell r="AV81">
            <v>599.99999062500001</v>
          </cell>
          <cell r="AW81" t="str">
            <v>ГК 84 1/8</v>
          </cell>
          <cell r="AX81">
            <v>1059.9999685549999</v>
          </cell>
          <cell r="AY81" t="str">
            <v>ГК 86 1/8</v>
          </cell>
          <cell r="AZ81">
            <v>1430.000007422</v>
          </cell>
          <cell r="BA81" t="str">
            <v>ГК 85 1/8</v>
          </cell>
          <cell r="BB81">
            <v>1740.0000621090001</v>
          </cell>
          <cell r="BC81" t="str">
            <v>ЦКсОК 5/16</v>
          </cell>
          <cell r="BD81" t="str">
            <v>-</v>
          </cell>
          <cell r="BE81" t="str">
            <v>-</v>
          </cell>
          <cell r="BF81" t="str">
            <v>-</v>
          </cell>
          <cell r="BG81" t="str">
            <v>-</v>
          </cell>
          <cell r="BH81">
            <v>1750</v>
          </cell>
          <cell r="BI81" t="str">
            <v>закрыт</v>
          </cell>
        </row>
        <row r="82">
          <cell r="J82">
            <v>663</v>
          </cell>
          <cell r="K82" t="str">
            <v>Без куста</v>
          </cell>
          <cell r="L82">
            <v>37145</v>
          </cell>
          <cell r="M82" t="str">
            <v>Гор.</v>
          </cell>
          <cell r="N82" t="str">
            <v>Р4+5_Block3</v>
          </cell>
          <cell r="O82" t="str">
            <v>Действующий</v>
          </cell>
          <cell r="P82" t="str">
            <v>Остановлена</v>
          </cell>
          <cell r="Q82">
            <v>-4</v>
          </cell>
          <cell r="R82" t="str">
            <v xml:space="preserve"> </v>
          </cell>
          <cell r="S82" t="str">
            <v xml:space="preserve"> </v>
          </cell>
          <cell r="U82">
            <v>203</v>
          </cell>
          <cell r="V82">
            <v>218.2</v>
          </cell>
          <cell r="W82">
            <v>0.98</v>
          </cell>
          <cell r="X82">
            <v>1.66</v>
          </cell>
          <cell r="Y82">
            <v>0.98289895982367259</v>
          </cell>
          <cell r="Z82">
            <v>1.454</v>
          </cell>
          <cell r="AA82">
            <v>0.83599999999999997</v>
          </cell>
          <cell r="AB82">
            <v>0.72</v>
          </cell>
          <cell r="AC82">
            <v>34.299999999999997</v>
          </cell>
          <cell r="AD82">
            <v>1.17</v>
          </cell>
          <cell r="AE82" t="str">
            <v>177,8; 114</v>
          </cell>
          <cell r="AF82">
            <v>9.19</v>
          </cell>
          <cell r="AG82">
            <v>2002</v>
          </cell>
          <cell r="AH82">
            <v>2420</v>
          </cell>
          <cell r="AI82">
            <v>2420</v>
          </cell>
          <cell r="AM82" t="str">
            <v>открытый</v>
          </cell>
          <cell r="AN82" t="str">
            <v>2002-2420</v>
          </cell>
          <cell r="AO82">
            <v>52.5</v>
          </cell>
          <cell r="AP82">
            <v>2002</v>
          </cell>
          <cell r="AQ82" t="str">
            <v>-</v>
          </cell>
          <cell r="AR82" t="str">
            <v>1511-1925 (изолирован)</v>
          </cell>
          <cell r="AS82">
            <v>114.3</v>
          </cell>
          <cell r="AT82">
            <v>7.72</v>
          </cell>
          <cell r="AU82" t="str">
            <v>Газлифт</v>
          </cell>
          <cell r="AV82">
            <v>599.99999062500001</v>
          </cell>
          <cell r="AW82" t="str">
            <v>ГК 85 1/8</v>
          </cell>
          <cell r="AX82">
            <v>1070.00002793</v>
          </cell>
          <cell r="AY82" t="str">
            <v>ГК 83 1/8</v>
          </cell>
          <cell r="AZ82">
            <v>1480.000006641</v>
          </cell>
          <cell r="BA82" t="str">
            <v>ГК 85 5/32</v>
          </cell>
          <cell r="BB82" t="str">
            <v>-</v>
          </cell>
          <cell r="BC82" t="str">
            <v>-</v>
          </cell>
          <cell r="BD82" t="str">
            <v>-</v>
          </cell>
          <cell r="BE82" t="str">
            <v>-</v>
          </cell>
          <cell r="BF82" t="str">
            <v>-</v>
          </cell>
          <cell r="BG82" t="str">
            <v>-</v>
          </cell>
          <cell r="BH82">
            <v>1490</v>
          </cell>
          <cell r="BI82" t="str">
            <v>закрыт</v>
          </cell>
        </row>
        <row r="83">
          <cell r="J83">
            <v>669</v>
          </cell>
          <cell r="K83" t="str">
            <v>Без куста</v>
          </cell>
          <cell r="L83">
            <v>37111</v>
          </cell>
          <cell r="M83" t="str">
            <v>Гор.</v>
          </cell>
          <cell r="N83" t="str">
            <v>Р4+5+6_Block2</v>
          </cell>
          <cell r="O83" t="str">
            <v>Действующий</v>
          </cell>
          <cell r="P83" t="str">
            <v>В работе</v>
          </cell>
          <cell r="Q83">
            <v>-4</v>
          </cell>
          <cell r="R83">
            <v>41453</v>
          </cell>
          <cell r="S83" t="str">
            <v>ЕВС</v>
          </cell>
          <cell r="T83" t="str">
            <v>29,5т</v>
          </cell>
          <cell r="U83">
            <v>203</v>
          </cell>
          <cell r="V83">
            <v>218.2</v>
          </cell>
          <cell r="W83">
            <v>0.98</v>
          </cell>
          <cell r="X83">
            <v>1.66</v>
          </cell>
          <cell r="Y83">
            <v>1.0013295253102226</v>
          </cell>
          <cell r="Z83">
            <v>1.454</v>
          </cell>
          <cell r="AA83">
            <v>0.83599999999999997</v>
          </cell>
          <cell r="AB83">
            <v>0.72</v>
          </cell>
          <cell r="AC83">
            <v>34.299999999999997</v>
          </cell>
          <cell r="AD83">
            <v>1.17</v>
          </cell>
          <cell r="AE83">
            <v>139.69999999999999</v>
          </cell>
          <cell r="AF83">
            <v>7.72</v>
          </cell>
          <cell r="AG83">
            <v>2047</v>
          </cell>
          <cell r="AH83">
            <v>1948</v>
          </cell>
          <cell r="AI83">
            <v>1948</v>
          </cell>
          <cell r="AM83" t="str">
            <v>закрытый</v>
          </cell>
          <cell r="AN83" t="str">
            <v>1891-1899, 1900-1903, 1922-1930, 1933-1937, 1942-1946</v>
          </cell>
          <cell r="AO83">
            <v>50</v>
          </cell>
          <cell r="AP83">
            <v>1891</v>
          </cell>
          <cell r="AQ83">
            <v>0.1</v>
          </cell>
          <cell r="AU83" t="str">
            <v>Газлифт</v>
          </cell>
          <cell r="AV83">
            <v>515.00000683600001</v>
          </cell>
          <cell r="AW83" t="str">
            <v>ГК 78 1/8</v>
          </cell>
          <cell r="AX83">
            <v>920.00003027299999</v>
          </cell>
          <cell r="AY83" t="str">
            <v>ГК 79 1/8</v>
          </cell>
          <cell r="AZ83">
            <v>1239.999995508</v>
          </cell>
          <cell r="BA83" t="str">
            <v>ГК 79 5/32</v>
          </cell>
          <cell r="BB83">
            <v>1540.000065234</v>
          </cell>
          <cell r="BC83" t="str">
            <v>ЦКсОК 5/16</v>
          </cell>
          <cell r="BD83" t="str">
            <v>-</v>
          </cell>
          <cell r="BE83" t="str">
            <v>-</v>
          </cell>
          <cell r="BF83" t="str">
            <v>-</v>
          </cell>
          <cell r="BG83" t="str">
            <v>-</v>
          </cell>
          <cell r="BH83">
            <v>1790</v>
          </cell>
          <cell r="BI83" t="str">
            <v>закрыт</v>
          </cell>
        </row>
        <row r="84">
          <cell r="J84">
            <v>1001</v>
          </cell>
          <cell r="K84" t="str">
            <v>Куст скважины-1001</v>
          </cell>
          <cell r="L84">
            <v>39912</v>
          </cell>
          <cell r="M84" t="str">
            <v>Гор.</v>
          </cell>
          <cell r="N84" t="str">
            <v>Р4+5_Block3</v>
          </cell>
          <cell r="O84" t="str">
            <v>Действующий</v>
          </cell>
          <cell r="P84" t="str">
            <v>В работе</v>
          </cell>
          <cell r="Q84">
            <v>-4</v>
          </cell>
          <cell r="R84" t="str">
            <v xml:space="preserve"> </v>
          </cell>
          <cell r="S84" t="str">
            <v xml:space="preserve"> </v>
          </cell>
          <cell r="U84">
            <v>203</v>
          </cell>
          <cell r="V84">
            <v>218.2</v>
          </cell>
          <cell r="W84">
            <v>0.98</v>
          </cell>
          <cell r="X84">
            <v>1.66</v>
          </cell>
          <cell r="Y84">
            <v>0.98040161029819439</v>
          </cell>
          <cell r="Z84">
            <v>1.454</v>
          </cell>
          <cell r="AA84">
            <v>0.83599999999999997</v>
          </cell>
          <cell r="AB84">
            <v>0.72</v>
          </cell>
          <cell r="AC84">
            <v>34.299999999999997</v>
          </cell>
          <cell r="AD84">
            <v>1.17</v>
          </cell>
          <cell r="AE84">
            <v>139.69999999999999</v>
          </cell>
          <cell r="AF84">
            <v>7.72</v>
          </cell>
          <cell r="AG84">
            <v>1851</v>
          </cell>
          <cell r="AH84">
            <v>2400</v>
          </cell>
          <cell r="AI84">
            <v>2400</v>
          </cell>
          <cell r="AM84" t="str">
            <v>открытый</v>
          </cell>
          <cell r="AN84" t="str">
            <v>1851 - 2400</v>
          </cell>
          <cell r="AO84">
            <v>4.4299999999998363</v>
          </cell>
          <cell r="AP84">
            <v>1851</v>
          </cell>
          <cell r="AQ84">
            <v>17.97</v>
          </cell>
          <cell r="AU84" t="str">
            <v>Фон.</v>
          </cell>
          <cell r="AV84">
            <v>600</v>
          </cell>
          <cell r="AW84" t="str">
            <v>ГП</v>
          </cell>
          <cell r="AX84">
            <v>1200</v>
          </cell>
          <cell r="AY84" t="str">
            <v>ГК 87 1/8</v>
          </cell>
          <cell r="AZ84">
            <v>1751</v>
          </cell>
          <cell r="BA84" t="str">
            <v>ЦКсОК 5/16</v>
          </cell>
          <cell r="BB84" t="str">
            <v>-</v>
          </cell>
          <cell r="BC84" t="str">
            <v>-</v>
          </cell>
          <cell r="BD84" t="str">
            <v>-</v>
          </cell>
          <cell r="BE84" t="str">
            <v>-</v>
          </cell>
          <cell r="BF84" t="str">
            <v>-</v>
          </cell>
          <cell r="BG84" t="str">
            <v>-</v>
          </cell>
          <cell r="BH84">
            <v>1763</v>
          </cell>
          <cell r="BI84" t="str">
            <v>закрыт</v>
          </cell>
        </row>
        <row r="85">
          <cell r="J85" t="str">
            <v>1001-2</v>
          </cell>
          <cell r="K85" t="str">
            <v>Куст скважины-1001</v>
          </cell>
          <cell r="L85">
            <v>40047</v>
          </cell>
          <cell r="M85" t="str">
            <v>Гор.</v>
          </cell>
          <cell r="N85" t="str">
            <v>Р4+5_Block3</v>
          </cell>
          <cell r="O85" t="str">
            <v>Действующий</v>
          </cell>
          <cell r="P85" t="str">
            <v>В работе</v>
          </cell>
          <cell r="Q85">
            <v>-4</v>
          </cell>
          <cell r="R85" t="str">
            <v xml:space="preserve"> </v>
          </cell>
          <cell r="S85" t="str">
            <v xml:space="preserve"> </v>
          </cell>
          <cell r="U85">
            <v>203</v>
          </cell>
          <cell r="V85">
            <v>218.2</v>
          </cell>
          <cell r="W85">
            <v>0.98</v>
          </cell>
          <cell r="X85">
            <v>1.66</v>
          </cell>
          <cell r="Y85">
            <v>1.0175131348511381</v>
          </cell>
          <cell r="Z85">
            <v>1.454</v>
          </cell>
          <cell r="AA85">
            <v>0.83599999999999997</v>
          </cell>
          <cell r="AB85">
            <v>0.72</v>
          </cell>
          <cell r="AC85">
            <v>34.299999999999997</v>
          </cell>
          <cell r="AD85">
            <v>1.17</v>
          </cell>
          <cell r="AE85">
            <v>139.69999999999999</v>
          </cell>
          <cell r="AF85">
            <v>7.72</v>
          </cell>
          <cell r="AG85">
            <v>1886</v>
          </cell>
          <cell r="AH85">
            <v>2514.8000000000002</v>
          </cell>
          <cell r="AI85">
            <v>2514.8000000000002</v>
          </cell>
          <cell r="AM85" t="str">
            <v>открытый</v>
          </cell>
          <cell r="AN85" t="str">
            <v>1577,5-2514,8</v>
          </cell>
          <cell r="AO85">
            <v>98.990000000000009</v>
          </cell>
          <cell r="AP85">
            <v>1577.5</v>
          </cell>
          <cell r="AQ85">
            <v>37.799999999999997</v>
          </cell>
          <cell r="AU85" t="str">
            <v>Газлифт</v>
          </cell>
          <cell r="AV85">
            <v>499.99999218800002</v>
          </cell>
          <cell r="AW85" t="str">
            <v>ГП</v>
          </cell>
          <cell r="AX85">
            <v>890.00000097700001</v>
          </cell>
          <cell r="AY85" t="str">
            <v>ГП</v>
          </cell>
          <cell r="AZ85">
            <v>1209.9999662109999</v>
          </cell>
          <cell r="BA85" t="str">
            <v>ГК 85 1/8</v>
          </cell>
          <cell r="BB85">
            <v>1530.0000058590001</v>
          </cell>
          <cell r="BC85" t="str">
            <v>ЦКсОК 5/16</v>
          </cell>
          <cell r="BD85" t="str">
            <v>-</v>
          </cell>
          <cell r="BE85" t="str">
            <v>-</v>
          </cell>
          <cell r="BF85" t="str">
            <v>-</v>
          </cell>
          <cell r="BG85" t="str">
            <v>-</v>
          </cell>
          <cell r="BH85">
            <v>1540</v>
          </cell>
          <cell r="BI85" t="str">
            <v>закрыт</v>
          </cell>
        </row>
        <row r="86">
          <cell r="J86">
            <v>1002</v>
          </cell>
          <cell r="K86" t="str">
            <v>Куст скважины-1002</v>
          </cell>
          <cell r="L86">
            <v>39717</v>
          </cell>
          <cell r="M86" t="str">
            <v>Гор.</v>
          </cell>
          <cell r="N86" t="str">
            <v>Р4+5_Block3</v>
          </cell>
          <cell r="O86" t="str">
            <v>Действующий</v>
          </cell>
          <cell r="P86" t="str">
            <v>В работе</v>
          </cell>
          <cell r="Q86">
            <v>-4</v>
          </cell>
          <cell r="R86" t="str">
            <v xml:space="preserve"> </v>
          </cell>
          <cell r="S86" t="str">
            <v xml:space="preserve"> </v>
          </cell>
          <cell r="U86">
            <v>203</v>
          </cell>
          <cell r="V86">
            <v>218.2</v>
          </cell>
          <cell r="W86">
            <v>0.98</v>
          </cell>
          <cell r="X86">
            <v>1.66</v>
          </cell>
          <cell r="Y86">
            <v>1.0138908278654195</v>
          </cell>
          <cell r="Z86">
            <v>1.454</v>
          </cell>
          <cell r="AA86">
            <v>0.83599999999999997</v>
          </cell>
          <cell r="AB86">
            <v>0.72</v>
          </cell>
          <cell r="AC86">
            <v>34.299999999999997</v>
          </cell>
          <cell r="AD86">
            <v>1.17</v>
          </cell>
          <cell r="AE86">
            <v>139.69999999999999</v>
          </cell>
          <cell r="AF86">
            <v>7.72</v>
          </cell>
          <cell r="AG86">
            <v>1875</v>
          </cell>
          <cell r="AH86">
            <v>2500</v>
          </cell>
          <cell r="AI86">
            <v>2500</v>
          </cell>
          <cell r="AM86" t="str">
            <v>открытый</v>
          </cell>
          <cell r="AN86" t="str">
            <v>1873-2500</v>
          </cell>
          <cell r="AO86">
            <v>15.210000000000036</v>
          </cell>
          <cell r="AP86">
            <v>1873</v>
          </cell>
          <cell r="AQ86">
            <v>26.57</v>
          </cell>
          <cell r="AU86" t="str">
            <v>Фон.</v>
          </cell>
          <cell r="AV86">
            <v>596</v>
          </cell>
          <cell r="AW86" t="str">
            <v>ГК 95/1</v>
          </cell>
          <cell r="AX86">
            <v>1199</v>
          </cell>
          <cell r="AY86" t="str">
            <v>ГК 95/1</v>
          </cell>
          <cell r="AZ86">
            <v>1731</v>
          </cell>
          <cell r="BA86" t="str">
            <v>ЦКсОК 5/16</v>
          </cell>
          <cell r="BB86" t="str">
            <v>-</v>
          </cell>
          <cell r="BC86" t="str">
            <v>-</v>
          </cell>
          <cell r="BD86" t="str">
            <v>-</v>
          </cell>
          <cell r="BE86" t="str">
            <v>-</v>
          </cell>
          <cell r="BF86" t="str">
            <v>-</v>
          </cell>
          <cell r="BG86" t="str">
            <v>-</v>
          </cell>
          <cell r="BH86">
            <v>1742</v>
          </cell>
          <cell r="BI86" t="str">
            <v>закрыт</v>
          </cell>
        </row>
        <row r="87">
          <cell r="J87" t="str">
            <v>1002-1</v>
          </cell>
          <cell r="K87" t="str">
            <v>Куст скважины-1002</v>
          </cell>
          <cell r="L87">
            <v>39812</v>
          </cell>
          <cell r="M87" t="str">
            <v>Гор.</v>
          </cell>
          <cell r="N87" t="str">
            <v>Р4+5_Block3</v>
          </cell>
          <cell r="O87" t="str">
            <v>Действующий</v>
          </cell>
          <cell r="P87" t="str">
            <v>В работе</v>
          </cell>
          <cell r="Q87">
            <v>-4</v>
          </cell>
          <cell r="R87" t="str">
            <v xml:space="preserve"> </v>
          </cell>
          <cell r="S87" t="str">
            <v xml:space="preserve"> </v>
          </cell>
          <cell r="U87">
            <v>203</v>
          </cell>
          <cell r="V87">
            <v>218.2</v>
          </cell>
          <cell r="W87">
            <v>0.98</v>
          </cell>
          <cell r="X87">
            <v>1.66</v>
          </cell>
          <cell r="Y87">
            <v>1.0046936758893281</v>
          </cell>
          <cell r="Z87">
            <v>1.454</v>
          </cell>
          <cell r="AA87">
            <v>0.83599999999999997</v>
          </cell>
          <cell r="AB87">
            <v>0.72</v>
          </cell>
          <cell r="AC87">
            <v>34.299999999999997</v>
          </cell>
          <cell r="AD87">
            <v>1.17</v>
          </cell>
          <cell r="AE87">
            <v>139.69999999999999</v>
          </cell>
          <cell r="AF87">
            <v>7.72</v>
          </cell>
          <cell r="AG87">
            <v>1873</v>
          </cell>
          <cell r="AH87">
            <v>2500</v>
          </cell>
          <cell r="AI87">
            <v>2500</v>
          </cell>
          <cell r="AM87" t="str">
            <v>открытый</v>
          </cell>
          <cell r="AN87" t="str">
            <v xml:space="preserve">1873-2500 </v>
          </cell>
          <cell r="AO87">
            <v>32.670000000000073</v>
          </cell>
          <cell r="AP87">
            <v>1873</v>
          </cell>
          <cell r="AQ87">
            <v>31.63</v>
          </cell>
          <cell r="AU87" t="str">
            <v>Фон.</v>
          </cell>
          <cell r="AV87">
            <v>500</v>
          </cell>
          <cell r="AW87" t="str">
            <v>ГК 78 1/8</v>
          </cell>
          <cell r="AX87">
            <v>890</v>
          </cell>
          <cell r="AY87" t="str">
            <v>ГК 85 1/8</v>
          </cell>
          <cell r="AZ87">
            <v>1210</v>
          </cell>
          <cell r="BA87" t="str">
            <v>ГК 85 1/8</v>
          </cell>
          <cell r="BB87">
            <v>1530</v>
          </cell>
          <cell r="BC87" t="str">
            <v>ЦКсОК 5/16</v>
          </cell>
          <cell r="BD87" t="str">
            <v>-</v>
          </cell>
          <cell r="BE87" t="str">
            <v>-</v>
          </cell>
          <cell r="BF87" t="str">
            <v>-</v>
          </cell>
          <cell r="BG87" t="str">
            <v>-</v>
          </cell>
          <cell r="BH87">
            <v>1540</v>
          </cell>
          <cell r="BI87" t="str">
            <v>закрыт</v>
          </cell>
        </row>
        <row r="88">
          <cell r="J88" t="str">
            <v>1004-2</v>
          </cell>
          <cell r="K88" t="str">
            <v>Без куста</v>
          </cell>
          <cell r="L88">
            <v>41202</v>
          </cell>
          <cell r="M88" t="str">
            <v>Гор.</v>
          </cell>
          <cell r="N88" t="str">
            <v>Р4+5_Block3</v>
          </cell>
          <cell r="O88" t="str">
            <v>Действующий</v>
          </cell>
          <cell r="P88" t="str">
            <v>В работе</v>
          </cell>
          <cell r="Q88">
            <v>-4</v>
          </cell>
          <cell r="R88" t="str">
            <v xml:space="preserve"> </v>
          </cell>
          <cell r="S88" t="str">
            <v xml:space="preserve"> </v>
          </cell>
          <cell r="U88">
            <v>203</v>
          </cell>
          <cell r="V88">
            <v>218.2</v>
          </cell>
          <cell r="W88">
            <v>0.98</v>
          </cell>
          <cell r="X88">
            <v>1.66</v>
          </cell>
          <cell r="Y88">
            <v>0.98403097023953534</v>
          </cell>
          <cell r="Z88">
            <v>1.454</v>
          </cell>
          <cell r="AA88">
            <v>0.83599999999999997</v>
          </cell>
          <cell r="AB88">
            <v>0.72</v>
          </cell>
          <cell r="AC88">
            <v>34.299999999999997</v>
          </cell>
          <cell r="AD88">
            <v>1.17</v>
          </cell>
          <cell r="AE88">
            <v>177.8</v>
          </cell>
          <cell r="AF88">
            <v>9.19</v>
          </cell>
          <cell r="AG88">
            <v>2090</v>
          </cell>
          <cell r="AH88">
            <v>2572</v>
          </cell>
          <cell r="AI88">
            <v>2572</v>
          </cell>
          <cell r="AM88" t="str">
            <v>открытый</v>
          </cell>
          <cell r="AN88" t="str">
            <v>2090 - 2572</v>
          </cell>
          <cell r="AO88">
            <v>14.929999999999801</v>
          </cell>
          <cell r="AP88">
            <v>2090</v>
          </cell>
          <cell r="AQ88">
            <v>214.11</v>
          </cell>
          <cell r="AU88" t="str">
            <v>Фон.</v>
          </cell>
          <cell r="AV88">
            <v>600</v>
          </cell>
          <cell r="AW88" t="str">
            <v>ГП</v>
          </cell>
          <cell r="AX88">
            <v>1200</v>
          </cell>
          <cell r="AY88" t="str">
            <v>ГК 86 1/8</v>
          </cell>
          <cell r="AZ88">
            <v>1595</v>
          </cell>
          <cell r="BA88" t="str">
            <v>ГК 86 5/32</v>
          </cell>
          <cell r="BB88" t="str">
            <v>-</v>
          </cell>
          <cell r="BC88" t="str">
            <v>-</v>
          </cell>
          <cell r="BD88" t="str">
            <v>-</v>
          </cell>
          <cell r="BE88" t="str">
            <v>-</v>
          </cell>
          <cell r="BF88" t="str">
            <v>-</v>
          </cell>
          <cell r="BG88" t="str">
            <v>-</v>
          </cell>
          <cell r="BH88" t="str">
            <v>-</v>
          </cell>
          <cell r="BI88" t="str">
            <v>-</v>
          </cell>
        </row>
        <row r="89">
          <cell r="J89" t="str">
            <v>1004-1</v>
          </cell>
          <cell r="K89" t="str">
            <v>Без куста</v>
          </cell>
          <cell r="L89">
            <v>39590</v>
          </cell>
          <cell r="M89" t="str">
            <v>Гор.</v>
          </cell>
          <cell r="N89" t="str">
            <v>Р4+5_Block3</v>
          </cell>
          <cell r="O89" t="str">
            <v>Действующий</v>
          </cell>
          <cell r="P89" t="str">
            <v>Остановлена</v>
          </cell>
          <cell r="Q89">
            <v>-4</v>
          </cell>
          <cell r="R89" t="str">
            <v xml:space="preserve"> </v>
          </cell>
          <cell r="S89" t="str">
            <v xml:space="preserve"> </v>
          </cell>
          <cell r="U89">
            <v>203</v>
          </cell>
          <cell r="V89">
            <v>218.2</v>
          </cell>
          <cell r="W89">
            <v>0.98</v>
          </cell>
          <cell r="X89">
            <v>1.66</v>
          </cell>
          <cell r="Y89">
            <v>1.0284486028575042</v>
          </cell>
          <cell r="Z89">
            <v>1.454</v>
          </cell>
          <cell r="AA89">
            <v>0.83599999999999997</v>
          </cell>
          <cell r="AB89">
            <v>0.72</v>
          </cell>
          <cell r="AC89">
            <v>34.299999999999997</v>
          </cell>
          <cell r="AD89">
            <v>1.17</v>
          </cell>
          <cell r="AE89">
            <v>139.69999999999999</v>
          </cell>
          <cell r="AF89">
            <v>7.72</v>
          </cell>
          <cell r="AG89">
            <v>1979</v>
          </cell>
          <cell r="AH89" t="str">
            <v>1 ств. 2500
2 ств. 2730</v>
          </cell>
          <cell r="AI89" t="str">
            <v>1 ств. 2500
2 ств. 2730</v>
          </cell>
          <cell r="AM89" t="str">
            <v>открытый</v>
          </cell>
          <cell r="AN89" t="str">
            <v>1979 - 2500; 2280-2730</v>
          </cell>
          <cell r="AO89">
            <v>49.49</v>
          </cell>
          <cell r="AP89">
            <v>1979</v>
          </cell>
          <cell r="AQ89">
            <v>83.6</v>
          </cell>
          <cell r="AU89" t="str">
            <v>Газлифт</v>
          </cell>
          <cell r="AV89">
            <v>530.04719999999998</v>
          </cell>
          <cell r="AW89" t="str">
            <v>ГП</v>
          </cell>
          <cell r="AX89">
            <v>1010.1072</v>
          </cell>
          <cell r="AY89" t="str">
            <v>ГК 86 1/8</v>
          </cell>
          <cell r="AZ89">
            <v>1310.0304000000001</v>
          </cell>
          <cell r="BA89" t="str">
            <v>ГК 86 5/32</v>
          </cell>
          <cell r="BB89">
            <v>1549.9079999999999</v>
          </cell>
          <cell r="BC89" t="str">
            <v>ГК 86 5/32</v>
          </cell>
          <cell r="BD89">
            <v>1755.9528</v>
          </cell>
          <cell r="BE89" t="str">
            <v>ЦКсОК 5/16</v>
          </cell>
          <cell r="BF89" t="str">
            <v>-</v>
          </cell>
          <cell r="BG89" t="str">
            <v>-</v>
          </cell>
          <cell r="BH89">
            <v>1770</v>
          </cell>
          <cell r="BI89" t="str">
            <v>закрыт</v>
          </cell>
        </row>
        <row r="90">
          <cell r="J90">
            <v>1007</v>
          </cell>
          <cell r="K90" t="str">
            <v>Куст скважины-1007</v>
          </cell>
          <cell r="L90">
            <v>41268</v>
          </cell>
          <cell r="M90" t="str">
            <v>Гор.</v>
          </cell>
          <cell r="N90" t="str">
            <v>Р4+5_Block3, P5i</v>
          </cell>
          <cell r="O90" t="str">
            <v>Действующий</v>
          </cell>
          <cell r="P90" t="str">
            <v>В работе</v>
          </cell>
          <cell r="Q90">
            <v>-4</v>
          </cell>
          <cell r="R90" t="str">
            <v xml:space="preserve"> </v>
          </cell>
          <cell r="S90" t="str">
            <v xml:space="preserve"> </v>
          </cell>
          <cell r="U90">
            <v>203</v>
          </cell>
          <cell r="V90">
            <v>218.2</v>
          </cell>
          <cell r="W90">
            <v>0.98</v>
          </cell>
          <cell r="X90">
            <v>1.66</v>
          </cell>
          <cell r="Y90">
            <v>0.98993513210899742</v>
          </cell>
          <cell r="Z90">
            <v>1.454</v>
          </cell>
          <cell r="AA90">
            <v>0.83599999999999997</v>
          </cell>
          <cell r="AB90">
            <v>0.72</v>
          </cell>
          <cell r="AC90">
            <v>34.299999999999997</v>
          </cell>
          <cell r="AD90">
            <v>1.17</v>
          </cell>
          <cell r="AE90">
            <v>177.8</v>
          </cell>
          <cell r="AF90">
            <v>9.19</v>
          </cell>
          <cell r="AG90">
            <v>1929</v>
          </cell>
          <cell r="AH90">
            <v>2730</v>
          </cell>
          <cell r="AI90">
            <v>2730</v>
          </cell>
          <cell r="AM90" t="str">
            <v>открытый</v>
          </cell>
          <cell r="AN90" t="str">
            <v xml:space="preserve">1929-2730 </v>
          </cell>
          <cell r="AO90">
            <v>6.3100000000001728</v>
          </cell>
          <cell r="AP90">
            <v>1929</v>
          </cell>
          <cell r="AQ90">
            <v>58.43</v>
          </cell>
          <cell r="AU90" t="str">
            <v>Фон.</v>
          </cell>
          <cell r="AV90">
            <v>583</v>
          </cell>
          <cell r="AW90" t="str">
            <v>ГП</v>
          </cell>
          <cell r="AX90">
            <v>1135</v>
          </cell>
          <cell r="AY90" t="str">
            <v>ГК 80 5/32</v>
          </cell>
          <cell r="AZ90">
            <v>1669</v>
          </cell>
          <cell r="BA90" t="str">
            <v>ГК 79 5/32</v>
          </cell>
          <cell r="BB90">
            <v>1820</v>
          </cell>
          <cell r="BC90" t="str">
            <v>ЦКсОК 5/16</v>
          </cell>
          <cell r="BD90" t="str">
            <v>-</v>
          </cell>
          <cell r="BE90" t="str">
            <v>-</v>
          </cell>
          <cell r="BF90" t="str">
            <v>-</v>
          </cell>
          <cell r="BG90" t="str">
            <v>-</v>
          </cell>
          <cell r="BH90" t="str">
            <v>-</v>
          </cell>
          <cell r="BI90" t="str">
            <v>-</v>
          </cell>
        </row>
        <row r="91">
          <cell r="J91" t="str">
            <v>1007-1</v>
          </cell>
          <cell r="K91" t="str">
            <v>Куст скважины-1007</v>
          </cell>
          <cell r="L91">
            <v>42166</v>
          </cell>
          <cell r="M91" t="str">
            <v>Гор.</v>
          </cell>
          <cell r="N91" t="str">
            <v>Р4+5_Block3, P5i</v>
          </cell>
          <cell r="O91" t="str">
            <v>Действующий</v>
          </cell>
          <cell r="P91" t="str">
            <v>В работе</v>
          </cell>
          <cell r="Q91">
            <v>-4</v>
          </cell>
          <cell r="U91">
            <v>203</v>
          </cell>
          <cell r="V91">
            <v>218.2</v>
          </cell>
          <cell r="W91">
            <v>0.98</v>
          </cell>
          <cell r="X91">
            <v>1.66</v>
          </cell>
          <cell r="Y91">
            <v>1.0722383337727392</v>
          </cell>
          <cell r="Z91">
            <v>1.454</v>
          </cell>
          <cell r="AA91">
            <v>0.83599999999999997</v>
          </cell>
          <cell r="AB91">
            <v>0.72</v>
          </cell>
          <cell r="AC91">
            <v>34.299999999999997</v>
          </cell>
          <cell r="AD91">
            <v>1.17</v>
          </cell>
          <cell r="AE91" t="str">
            <v>177,8/114</v>
          </cell>
          <cell r="AF91">
            <v>9.19</v>
          </cell>
          <cell r="AG91">
            <v>1979</v>
          </cell>
          <cell r="AH91">
            <v>2650</v>
          </cell>
          <cell r="AI91">
            <v>2650</v>
          </cell>
          <cell r="AM91" t="str">
            <v>открытый</v>
          </cell>
          <cell r="AN91" t="str">
            <v>1985-2650</v>
          </cell>
          <cell r="AO91">
            <v>85.212480000000141</v>
          </cell>
          <cell r="AP91">
            <v>1985</v>
          </cell>
          <cell r="AQ91">
            <v>32.51</v>
          </cell>
          <cell r="AR91" t="str">
            <v>1718-1985</v>
          </cell>
          <cell r="AS91">
            <v>114</v>
          </cell>
          <cell r="AT91">
            <v>6.5</v>
          </cell>
          <cell r="AU91" t="str">
            <v>Газлифт</v>
          </cell>
          <cell r="AV91">
            <v>379.99998662100001</v>
          </cell>
          <cell r="AW91" t="str">
            <v>ГП</v>
          </cell>
          <cell r="AX91">
            <v>720.00003339800003</v>
          </cell>
          <cell r="AY91" t="str">
            <v>ГП</v>
          </cell>
          <cell r="AZ91">
            <v>1020.000028711</v>
          </cell>
          <cell r="BA91" t="str">
            <v>ГП</v>
          </cell>
          <cell r="BB91">
            <v>1299.9999796879999</v>
          </cell>
          <cell r="BC91" t="str">
            <v>ГК 93/ 1,5</v>
          </cell>
          <cell r="BD91">
            <v>1540.000065234</v>
          </cell>
          <cell r="BE91" t="str">
            <v>ЦКсОК 5/16</v>
          </cell>
          <cell r="BF91" t="str">
            <v>-</v>
          </cell>
          <cell r="BG91" t="str">
            <v>-</v>
          </cell>
          <cell r="BH91">
            <v>1685</v>
          </cell>
          <cell r="BI91" t="str">
            <v>закрыт</v>
          </cell>
        </row>
        <row r="92">
          <cell r="J92" t="str">
            <v>1009-2</v>
          </cell>
          <cell r="K92" t="str">
            <v>Куст скважины-1009</v>
          </cell>
          <cell r="L92">
            <v>39211</v>
          </cell>
          <cell r="M92" t="str">
            <v>Гор.</v>
          </cell>
          <cell r="N92" t="str">
            <v>Р4+5_Block3</v>
          </cell>
          <cell r="O92" t="str">
            <v>Действующий</v>
          </cell>
          <cell r="P92" t="str">
            <v>Остановлена</v>
          </cell>
          <cell r="Q92">
            <v>-4</v>
          </cell>
          <cell r="R92" t="str">
            <v xml:space="preserve"> </v>
          </cell>
          <cell r="S92" t="str">
            <v xml:space="preserve"> </v>
          </cell>
          <cell r="U92">
            <v>203</v>
          </cell>
          <cell r="V92">
            <v>218.2</v>
          </cell>
          <cell r="W92">
            <v>0.98</v>
          </cell>
          <cell r="X92">
            <v>1.66</v>
          </cell>
          <cell r="Y92">
            <v>1.4195611123327643</v>
          </cell>
          <cell r="Z92">
            <v>1.454</v>
          </cell>
          <cell r="AA92">
            <v>0.83599999999999997</v>
          </cell>
          <cell r="AB92">
            <v>0.72</v>
          </cell>
          <cell r="AC92">
            <v>34.299999999999997</v>
          </cell>
          <cell r="AD92">
            <v>1.17</v>
          </cell>
          <cell r="AE92">
            <v>139.69999999999999</v>
          </cell>
          <cell r="AF92">
            <v>7.72</v>
          </cell>
          <cell r="AG92">
            <v>1913</v>
          </cell>
          <cell r="AH92">
            <v>2634</v>
          </cell>
          <cell r="AI92">
            <v>2634</v>
          </cell>
          <cell r="AM92" t="str">
            <v>открытый</v>
          </cell>
          <cell r="AN92" t="str">
            <v>2060-2634</v>
          </cell>
          <cell r="AO92">
            <v>60.310000000000173</v>
          </cell>
          <cell r="AP92">
            <v>2060</v>
          </cell>
          <cell r="AQ92">
            <v>173</v>
          </cell>
          <cell r="AU92" t="str">
            <v>Газлифт</v>
          </cell>
          <cell r="AV92">
            <v>558.00002402300004</v>
          </cell>
          <cell r="AW92" t="str">
            <v>ГП</v>
          </cell>
          <cell r="AX92">
            <v>1057.0000400389999</v>
          </cell>
          <cell r="AY92" t="str">
            <v>ГП</v>
          </cell>
          <cell r="AZ92">
            <v>1499.999976563</v>
          </cell>
          <cell r="BA92" t="str">
            <v>ЦКсОК 5/16</v>
          </cell>
          <cell r="BB92" t="str">
            <v>-</v>
          </cell>
          <cell r="BC92" t="str">
            <v>-</v>
          </cell>
          <cell r="BD92" t="str">
            <v>-</v>
          </cell>
          <cell r="BE92" t="str">
            <v>-</v>
          </cell>
          <cell r="BF92" t="str">
            <v>-</v>
          </cell>
          <cell r="BG92" t="str">
            <v>-</v>
          </cell>
          <cell r="BH92" t="str">
            <v>-</v>
          </cell>
          <cell r="BI92" t="str">
            <v>-</v>
          </cell>
        </row>
        <row r="93">
          <cell r="J93">
            <v>1010</v>
          </cell>
          <cell r="K93" t="str">
            <v>Куст скважины-1010</v>
          </cell>
          <cell r="L93">
            <v>39344</v>
          </cell>
          <cell r="M93" t="str">
            <v>Гор.</v>
          </cell>
          <cell r="N93" t="str">
            <v>Р4+5_Block3</v>
          </cell>
          <cell r="O93" t="str">
            <v>Действующий</v>
          </cell>
          <cell r="P93" t="str">
            <v>В работе</v>
          </cell>
          <cell r="Q93">
            <v>-4</v>
          </cell>
          <cell r="U93">
            <v>203</v>
          </cell>
          <cell r="V93">
            <v>218.2</v>
          </cell>
          <cell r="W93">
            <v>0.98</v>
          </cell>
          <cell r="X93">
            <v>1.66</v>
          </cell>
          <cell r="Y93">
            <v>1.4508988295060095</v>
          </cell>
          <cell r="Z93">
            <v>1.454</v>
          </cell>
          <cell r="AA93">
            <v>0.83599999999999997</v>
          </cell>
          <cell r="AB93">
            <v>0.72</v>
          </cell>
          <cell r="AC93">
            <v>34.299999999999997</v>
          </cell>
          <cell r="AD93">
            <v>1.17</v>
          </cell>
          <cell r="AE93" t="str">
            <v>139,7/102</v>
          </cell>
          <cell r="AF93">
            <v>7.72</v>
          </cell>
          <cell r="AG93">
            <v>1956.6</v>
          </cell>
          <cell r="AH93">
            <v>2541.6</v>
          </cell>
          <cell r="AI93">
            <v>2541.6</v>
          </cell>
          <cell r="AM93" t="str">
            <v>открытый</v>
          </cell>
          <cell r="AN93" t="str">
            <v>1941-2541,8</v>
          </cell>
          <cell r="AO93">
            <v>61.059999999999945</v>
          </cell>
          <cell r="AP93">
            <v>1941</v>
          </cell>
          <cell r="AQ93">
            <v>106.16</v>
          </cell>
          <cell r="AR93" t="str">
            <v>1796-1941</v>
          </cell>
          <cell r="AS93">
            <v>102</v>
          </cell>
          <cell r="AT93">
            <v>89</v>
          </cell>
          <cell r="AU93" t="str">
            <v>Газлифт</v>
          </cell>
          <cell r="AV93">
            <v>529.99998427699995</v>
          </cell>
          <cell r="AW93" t="str">
            <v>ГП</v>
          </cell>
          <cell r="AX93">
            <v>940.00000019499998</v>
          </cell>
          <cell r="AY93" t="str">
            <v>ГК 87 1/8</v>
          </cell>
          <cell r="AZ93">
            <v>1249.9999804690001</v>
          </cell>
          <cell r="BA93" t="str">
            <v>ГК 87 1/8</v>
          </cell>
          <cell r="BB93">
            <v>1499.999976563</v>
          </cell>
          <cell r="BC93" t="str">
            <v>ГК 86 5/32</v>
          </cell>
          <cell r="BD93">
            <v>1685.0000332029999</v>
          </cell>
          <cell r="BE93" t="str">
            <v>ЦКсОК 5/16</v>
          </cell>
          <cell r="BF93" t="str">
            <v>-</v>
          </cell>
          <cell r="BG93" t="str">
            <v>-</v>
          </cell>
          <cell r="BH93">
            <v>1695</v>
          </cell>
          <cell r="BI93" t="str">
            <v>закрыт</v>
          </cell>
        </row>
        <row r="94">
          <cell r="J94" t="str">
            <v>1010-1</v>
          </cell>
          <cell r="K94" t="str">
            <v>Куст скважины-1010</v>
          </cell>
          <cell r="L94">
            <v>39535</v>
          </cell>
          <cell r="M94" t="str">
            <v>Гор.</v>
          </cell>
          <cell r="N94" t="str">
            <v>Р4+5_Block3</v>
          </cell>
          <cell r="O94" t="str">
            <v>Действующий</v>
          </cell>
          <cell r="P94" t="str">
            <v>Остановлена</v>
          </cell>
          <cell r="Q94">
            <v>-4</v>
          </cell>
          <cell r="R94" t="str">
            <v xml:space="preserve"> </v>
          </cell>
          <cell r="S94" t="str">
            <v xml:space="preserve"> </v>
          </cell>
          <cell r="U94">
            <v>203</v>
          </cell>
          <cell r="V94">
            <v>218.2</v>
          </cell>
          <cell r="W94">
            <v>0.98</v>
          </cell>
          <cell r="X94">
            <v>1.66</v>
          </cell>
          <cell r="Y94">
            <v>0.98403097023953534</v>
          </cell>
          <cell r="Z94">
            <v>1.454</v>
          </cell>
          <cell r="AA94">
            <v>0.83599999999999997</v>
          </cell>
          <cell r="AB94">
            <v>0.72</v>
          </cell>
          <cell r="AC94">
            <v>34.299999999999997</v>
          </cell>
          <cell r="AD94">
            <v>1.17</v>
          </cell>
          <cell r="AE94">
            <v>139.69999999999999</v>
          </cell>
          <cell r="AF94">
            <v>7.72</v>
          </cell>
          <cell r="AG94">
            <v>1928</v>
          </cell>
          <cell r="AH94">
            <v>2500</v>
          </cell>
          <cell r="AI94">
            <v>2500</v>
          </cell>
          <cell r="AM94" t="str">
            <v>открытый</v>
          </cell>
          <cell r="AN94" t="str">
            <v xml:space="preserve">1928-2500 </v>
          </cell>
          <cell r="AO94">
            <v>39.139999999999873</v>
          </cell>
          <cell r="AP94">
            <v>1928</v>
          </cell>
          <cell r="AQ94">
            <v>65.5</v>
          </cell>
          <cell r="AU94" t="str">
            <v>Газлифт</v>
          </cell>
          <cell r="AV94">
            <v>596.00001152300001</v>
          </cell>
          <cell r="AW94" t="str">
            <v>ГП</v>
          </cell>
          <cell r="AX94">
            <v>1195.000025977</v>
          </cell>
          <cell r="AY94" t="str">
            <v>ГК 89 5/32</v>
          </cell>
          <cell r="AZ94">
            <v>1750.999948828</v>
          </cell>
          <cell r="BA94" t="str">
            <v>ЦКсОК 5/16</v>
          </cell>
          <cell r="BB94" t="str">
            <v>-</v>
          </cell>
          <cell r="BC94" t="str">
            <v>-</v>
          </cell>
          <cell r="BD94" t="str">
            <v>-</v>
          </cell>
          <cell r="BF94" t="str">
            <v>-</v>
          </cell>
          <cell r="BG94" t="str">
            <v>-</v>
          </cell>
          <cell r="BH94">
            <v>1761</v>
          </cell>
          <cell r="BI94" t="str">
            <v>закрыт</v>
          </cell>
        </row>
        <row r="95">
          <cell r="J95" t="str">
            <v>1012-2</v>
          </cell>
          <cell r="K95" t="str">
            <v>Куст скважины-1012</v>
          </cell>
          <cell r="L95">
            <v>40057</v>
          </cell>
          <cell r="M95" t="str">
            <v>Гор.</v>
          </cell>
          <cell r="N95" t="str">
            <v>Р4+5_Block3</v>
          </cell>
          <cell r="O95" t="str">
            <v>Действующий</v>
          </cell>
          <cell r="P95" t="str">
            <v>В работе</v>
          </cell>
          <cell r="Q95">
            <v>-4</v>
          </cell>
          <cell r="U95">
            <v>203</v>
          </cell>
          <cell r="V95">
            <v>218.2</v>
          </cell>
          <cell r="W95">
            <v>0.98</v>
          </cell>
          <cell r="X95">
            <v>1.66</v>
          </cell>
          <cell r="Y95">
            <v>1.0132037867463877</v>
          </cell>
          <cell r="Z95">
            <v>1.454</v>
          </cell>
          <cell r="AA95">
            <v>0.83599999999999997</v>
          </cell>
          <cell r="AB95">
            <v>0.72</v>
          </cell>
          <cell r="AC95">
            <v>34.299999999999997</v>
          </cell>
          <cell r="AD95">
            <v>1.17</v>
          </cell>
          <cell r="AE95">
            <v>139.69999999999999</v>
          </cell>
          <cell r="AF95">
            <v>7.72</v>
          </cell>
          <cell r="AG95">
            <v>1922</v>
          </cell>
          <cell r="AH95">
            <v>2500</v>
          </cell>
          <cell r="AI95">
            <v>2500</v>
          </cell>
          <cell r="AM95" t="str">
            <v>открытый</v>
          </cell>
          <cell r="AN95" t="str">
            <v xml:space="preserve">1922-2500 </v>
          </cell>
          <cell r="AO95">
            <v>9.16</v>
          </cell>
          <cell r="AP95">
            <v>1922</v>
          </cell>
          <cell r="AQ95">
            <v>65.91</v>
          </cell>
          <cell r="AU95" t="str">
            <v>Фон.</v>
          </cell>
          <cell r="AV95">
            <v>527</v>
          </cell>
          <cell r="AW95" t="str">
            <v>ГП</v>
          </cell>
          <cell r="AX95">
            <v>987</v>
          </cell>
          <cell r="AY95" t="str">
            <v>ГП</v>
          </cell>
          <cell r="AZ95">
            <v>1381</v>
          </cell>
          <cell r="BA95" t="str">
            <v>ГК 90 5/32</v>
          </cell>
          <cell r="BB95">
            <v>1647</v>
          </cell>
          <cell r="BC95" t="str">
            <v>ЦКсОК 5/16</v>
          </cell>
          <cell r="BD95" t="str">
            <v>-</v>
          </cell>
          <cell r="BE95" t="str">
            <v>-</v>
          </cell>
          <cell r="BF95" t="str">
            <v>-</v>
          </cell>
          <cell r="BG95" t="str">
            <v>-</v>
          </cell>
          <cell r="BH95" t="str">
            <v>-</v>
          </cell>
          <cell r="BI95" t="str">
            <v>-</v>
          </cell>
        </row>
        <row r="96">
          <cell r="J96" t="str">
            <v>1014-2</v>
          </cell>
          <cell r="K96" t="str">
            <v>Без куста</v>
          </cell>
          <cell r="L96">
            <v>42076</v>
          </cell>
          <cell r="M96" t="str">
            <v>Гор.</v>
          </cell>
          <cell r="N96" t="str">
            <v>Р4+5_Block3</v>
          </cell>
          <cell r="O96" t="str">
            <v>Действующий</v>
          </cell>
          <cell r="P96" t="str">
            <v>Остановлена</v>
          </cell>
          <cell r="Q96">
            <v>-4</v>
          </cell>
          <cell r="U96">
            <v>203</v>
          </cell>
          <cell r="V96">
            <v>218.2</v>
          </cell>
          <cell r="W96">
            <v>0.98</v>
          </cell>
          <cell r="X96">
            <v>1.66</v>
          </cell>
          <cell r="Y96">
            <v>1.0104222307797417</v>
          </cell>
          <cell r="Z96">
            <v>1.454</v>
          </cell>
          <cell r="AA96">
            <v>0.83599999999999997</v>
          </cell>
          <cell r="AB96">
            <v>0.72</v>
          </cell>
          <cell r="AC96">
            <v>34.299999999999997</v>
          </cell>
          <cell r="AD96">
            <v>1.17</v>
          </cell>
          <cell r="AE96">
            <v>177.8</v>
          </cell>
          <cell r="AF96">
            <v>9.19</v>
          </cell>
          <cell r="AG96">
            <v>2070</v>
          </cell>
          <cell r="AH96">
            <v>2970</v>
          </cell>
          <cell r="AI96">
            <v>2970</v>
          </cell>
          <cell r="AM96" t="str">
            <v>открытый</v>
          </cell>
          <cell r="AN96" t="str">
            <v>2080-2970</v>
          </cell>
          <cell r="AO96">
            <v>26.68</v>
          </cell>
          <cell r="AP96">
            <v>2080</v>
          </cell>
          <cell r="AQ96">
            <v>203.18</v>
          </cell>
          <cell r="AU96" t="str">
            <v>Газлифт</v>
          </cell>
          <cell r="AV96">
            <v>380.000023828</v>
          </cell>
          <cell r="AW96" t="str">
            <v>ГП</v>
          </cell>
          <cell r="AX96">
            <v>720.00003339800003</v>
          </cell>
          <cell r="AY96" t="str">
            <v>ГП</v>
          </cell>
          <cell r="AZ96">
            <v>1010.00004375</v>
          </cell>
          <cell r="BA96" t="str">
            <v>ГК 86 1/8</v>
          </cell>
          <cell r="BB96">
            <v>1229.9999361329999</v>
          </cell>
          <cell r="BC96" t="str">
            <v>ГК 85 1/8</v>
          </cell>
          <cell r="BD96">
            <v>1399.9999781250001</v>
          </cell>
          <cell r="BE96" t="str">
            <v>ГК 84 1/8</v>
          </cell>
          <cell r="BF96" t="str">
            <v>-</v>
          </cell>
          <cell r="BG96" t="str">
            <v>-</v>
          </cell>
          <cell r="BH96">
            <v>1670</v>
          </cell>
          <cell r="BI96" t="str">
            <v>закрыт</v>
          </cell>
        </row>
        <row r="97">
          <cell r="J97">
            <v>1015</v>
          </cell>
          <cell r="K97" t="str">
            <v>К-16</v>
          </cell>
          <cell r="L97">
            <v>41661</v>
          </cell>
          <cell r="M97" t="str">
            <v>Гор.</v>
          </cell>
          <cell r="N97" t="str">
            <v>Р4+5_Block3, P5i</v>
          </cell>
          <cell r="O97" t="str">
            <v>Действующий</v>
          </cell>
          <cell r="P97" t="str">
            <v>В работе</v>
          </cell>
          <cell r="Q97">
            <v>-4</v>
          </cell>
          <cell r="R97" t="str">
            <v xml:space="preserve"> </v>
          </cell>
          <cell r="S97" t="str">
            <v xml:space="preserve"> </v>
          </cell>
          <cell r="U97">
            <v>203</v>
          </cell>
          <cell r="V97">
            <v>218.2</v>
          </cell>
          <cell r="W97">
            <v>0.98</v>
          </cell>
          <cell r="X97">
            <v>1.66</v>
          </cell>
          <cell r="Y97">
            <v>0.98</v>
          </cell>
          <cell r="Z97">
            <v>1.454</v>
          </cell>
          <cell r="AA97">
            <v>0.83599999999999997</v>
          </cell>
          <cell r="AB97">
            <v>0.72</v>
          </cell>
          <cell r="AC97">
            <v>34.299999999999997</v>
          </cell>
          <cell r="AD97">
            <v>1.17</v>
          </cell>
          <cell r="AE97">
            <v>177.8</v>
          </cell>
          <cell r="AF97">
            <v>9.19</v>
          </cell>
          <cell r="AG97">
            <v>2107</v>
          </cell>
          <cell r="AH97">
            <v>2960</v>
          </cell>
          <cell r="AI97">
            <v>2960</v>
          </cell>
          <cell r="AM97" t="str">
            <v>открытый</v>
          </cell>
          <cell r="AN97" t="str">
            <v>2107-2960</v>
          </cell>
          <cell r="AO97">
            <v>11</v>
          </cell>
          <cell r="AP97">
            <v>2107</v>
          </cell>
          <cell r="AQ97">
            <v>119.86</v>
          </cell>
          <cell r="AU97" t="str">
            <v>Фон.</v>
          </cell>
          <cell r="AV97">
            <v>600</v>
          </cell>
          <cell r="AW97" t="str">
            <v>ГП</v>
          </cell>
          <cell r="AX97">
            <v>1200</v>
          </cell>
          <cell r="AY97" t="str">
            <v>ГП</v>
          </cell>
          <cell r="AZ97">
            <v>1760</v>
          </cell>
          <cell r="BA97" t="str">
            <v>ЦКсОК</v>
          </cell>
          <cell r="BB97" t="str">
            <v>-</v>
          </cell>
          <cell r="BC97" t="str">
            <v>-</v>
          </cell>
          <cell r="BD97" t="str">
            <v>-</v>
          </cell>
          <cell r="BE97" t="str">
            <v>-</v>
          </cell>
          <cell r="BF97" t="str">
            <v>-</v>
          </cell>
          <cell r="BG97" t="str">
            <v>-</v>
          </cell>
          <cell r="BH97">
            <v>1770</v>
          </cell>
          <cell r="BI97" t="str">
            <v>закрыт</v>
          </cell>
        </row>
        <row r="98">
          <cell r="J98" t="str">
            <v>1015-1</v>
          </cell>
          <cell r="K98" t="str">
            <v>Куст скважины-1015-1</v>
          </cell>
          <cell r="L98">
            <v>41932</v>
          </cell>
          <cell r="M98" t="str">
            <v>Гор.</v>
          </cell>
          <cell r="N98" t="str">
            <v>Р4+5_Block3</v>
          </cell>
          <cell r="O98" t="str">
            <v>Действующий</v>
          </cell>
          <cell r="P98" t="str">
            <v>Остановлена</v>
          </cell>
          <cell r="Q98">
            <v>-4</v>
          </cell>
          <cell r="U98">
            <v>203</v>
          </cell>
          <cell r="V98">
            <v>218.2</v>
          </cell>
          <cell r="W98">
            <v>0.98</v>
          </cell>
          <cell r="X98">
            <v>1.66</v>
          </cell>
          <cell r="Y98">
            <v>1.0004920049200492</v>
          </cell>
          <cell r="Z98">
            <v>1.454</v>
          </cell>
          <cell r="AA98">
            <v>0.83599999999999997</v>
          </cell>
          <cell r="AB98">
            <v>0.72</v>
          </cell>
          <cell r="AC98">
            <v>34.299999999999997</v>
          </cell>
          <cell r="AD98">
            <v>1.17</v>
          </cell>
          <cell r="AE98">
            <v>177.8</v>
          </cell>
          <cell r="AF98">
            <v>9.19</v>
          </cell>
          <cell r="AG98">
            <v>2118</v>
          </cell>
          <cell r="AH98" t="str">
            <v>1 ств 2650
2 ств 2700</v>
          </cell>
          <cell r="AI98" t="str">
            <v>1 ств 2650
2 ств 2700</v>
          </cell>
          <cell r="AM98" t="str">
            <v>открытый</v>
          </cell>
          <cell r="AN98" t="str">
            <v xml:space="preserve"> 2118-2650; 2118-2700</v>
          </cell>
          <cell r="AO98" t="str">
            <v>32,27;32,44</v>
          </cell>
          <cell r="AP98">
            <v>2118</v>
          </cell>
          <cell r="AQ98">
            <v>235.9</v>
          </cell>
          <cell r="AU98" t="str">
            <v>Газлифт</v>
          </cell>
          <cell r="AV98">
            <v>588.00001611300002</v>
          </cell>
          <cell r="AW98" t="str">
            <v>ГП</v>
          </cell>
          <cell r="AX98">
            <v>1195.000025977</v>
          </cell>
          <cell r="AY98" t="str">
            <v>ГП</v>
          </cell>
          <cell r="AZ98">
            <v>1499.999976563</v>
          </cell>
          <cell r="BA98" t="str">
            <v>ГК 90 /32</v>
          </cell>
          <cell r="BB98" t="str">
            <v>-</v>
          </cell>
          <cell r="BC98" t="str">
            <v>-</v>
          </cell>
          <cell r="BD98" t="str">
            <v>-</v>
          </cell>
          <cell r="BE98" t="str">
            <v>-</v>
          </cell>
          <cell r="BF98" t="str">
            <v>-</v>
          </cell>
          <cell r="BG98" t="str">
            <v>-</v>
          </cell>
          <cell r="BH98">
            <v>1747</v>
          </cell>
          <cell r="BI98" t="str">
            <v>закрыт</v>
          </cell>
        </row>
        <row r="99">
          <cell r="J99">
            <v>1016</v>
          </cell>
          <cell r="K99" t="str">
            <v>К-4</v>
          </cell>
          <cell r="L99">
            <v>41398</v>
          </cell>
          <cell r="M99" t="str">
            <v>Гор.</v>
          </cell>
          <cell r="N99" t="str">
            <v>Р4+5_Block3</v>
          </cell>
          <cell r="O99" t="str">
            <v>Действующий</v>
          </cell>
          <cell r="P99" t="str">
            <v>В работе</v>
          </cell>
          <cell r="Q99">
            <v>-4</v>
          </cell>
          <cell r="R99" t="str">
            <v xml:space="preserve"> </v>
          </cell>
          <cell r="S99" t="str">
            <v xml:space="preserve"> </v>
          </cell>
          <cell r="U99">
            <v>203</v>
          </cell>
          <cell r="V99">
            <v>218.2</v>
          </cell>
          <cell r="W99">
            <v>0.98</v>
          </cell>
          <cell r="X99">
            <v>1.66</v>
          </cell>
          <cell r="Y99">
            <v>1.2517697753154817</v>
          </cell>
          <cell r="Z99">
            <v>1.454</v>
          </cell>
          <cell r="AA99">
            <v>0.83599999999999997</v>
          </cell>
          <cell r="AB99">
            <v>0.72</v>
          </cell>
          <cell r="AC99">
            <v>34.299999999999997</v>
          </cell>
          <cell r="AD99">
            <v>1.17</v>
          </cell>
          <cell r="AE99">
            <v>177.8</v>
          </cell>
          <cell r="AF99">
            <v>9.19</v>
          </cell>
          <cell r="AG99">
            <v>2048</v>
          </cell>
          <cell r="AH99" t="str">
            <v>1 ств 2304
2 ств 2423</v>
          </cell>
          <cell r="AI99" t="str">
            <v>1 ств 2304
2 ств 2423</v>
          </cell>
          <cell r="AM99" t="str">
            <v>открытый</v>
          </cell>
          <cell r="AN99" t="str">
            <v xml:space="preserve">2048,6-2304; 2048,6-2423 </v>
          </cell>
          <cell r="AO99">
            <v>52.24</v>
          </cell>
          <cell r="AP99">
            <v>2048.6</v>
          </cell>
          <cell r="AQ99">
            <v>193</v>
          </cell>
          <cell r="AU99" t="str">
            <v>Фон.</v>
          </cell>
          <cell r="AV99">
            <v>600</v>
          </cell>
          <cell r="AW99" t="str">
            <v>ГП</v>
          </cell>
          <cell r="AX99">
            <v>1200</v>
          </cell>
          <cell r="AY99" t="str">
            <v>ГК 90 5/32</v>
          </cell>
          <cell r="AZ99">
            <v>1800</v>
          </cell>
          <cell r="BA99" t="str">
            <v>ЦКсОК 5/16</v>
          </cell>
          <cell r="BB99" t="str">
            <v>-</v>
          </cell>
          <cell r="BC99" t="str">
            <v>-</v>
          </cell>
          <cell r="BD99" t="str">
            <v>-</v>
          </cell>
          <cell r="BE99" t="str">
            <v>-</v>
          </cell>
          <cell r="BF99" t="str">
            <v>-</v>
          </cell>
          <cell r="BG99" t="str">
            <v>-</v>
          </cell>
          <cell r="BH99" t="str">
            <v>-</v>
          </cell>
          <cell r="BI99" t="str">
            <v>-</v>
          </cell>
        </row>
        <row r="100">
          <cell r="J100" t="str">
            <v>1017-2</v>
          </cell>
          <cell r="K100" t="str">
            <v>К-29</v>
          </cell>
          <cell r="L100">
            <v>41772</v>
          </cell>
          <cell r="M100" t="str">
            <v>Гор.</v>
          </cell>
          <cell r="N100" t="str">
            <v>Р4+5+6_Block2</v>
          </cell>
          <cell r="O100" t="str">
            <v>Действующий</v>
          </cell>
          <cell r="P100" t="str">
            <v>В работе</v>
          </cell>
          <cell r="Q100">
            <v>-4</v>
          </cell>
          <cell r="R100" t="str">
            <v xml:space="preserve"> </v>
          </cell>
          <cell r="S100" t="str">
            <v xml:space="preserve"> </v>
          </cell>
          <cell r="U100">
            <v>203</v>
          </cell>
          <cell r="V100">
            <v>218.2</v>
          </cell>
          <cell r="W100">
            <v>0.98</v>
          </cell>
          <cell r="X100">
            <v>1.66</v>
          </cell>
          <cell r="Y100">
            <v>0.98100464330941306</v>
          </cell>
          <cell r="Z100">
            <v>1.454</v>
          </cell>
          <cell r="AA100">
            <v>0.83599999999999997</v>
          </cell>
          <cell r="AB100">
            <v>0.72</v>
          </cell>
          <cell r="AC100">
            <v>34.299999999999997</v>
          </cell>
          <cell r="AD100">
            <v>1.17</v>
          </cell>
          <cell r="AE100">
            <v>177.8</v>
          </cell>
          <cell r="AF100">
            <v>9.19</v>
          </cell>
          <cell r="AG100">
            <v>2117.5</v>
          </cell>
          <cell r="AH100">
            <v>2969</v>
          </cell>
          <cell r="AI100">
            <v>2969</v>
          </cell>
          <cell r="AM100" t="str">
            <v>открытый</v>
          </cell>
          <cell r="AN100" t="str">
            <v>2117,5-2969</v>
          </cell>
          <cell r="AO100">
            <v>23</v>
          </cell>
          <cell r="AP100">
            <v>2117.5</v>
          </cell>
          <cell r="AQ100">
            <v>97.31</v>
          </cell>
          <cell r="AU100" t="str">
            <v>Газлифт</v>
          </cell>
          <cell r="AV100">
            <v>599.99999062500001</v>
          </cell>
          <cell r="AW100" t="str">
            <v>ГП</v>
          </cell>
          <cell r="AX100">
            <v>1199.99998125</v>
          </cell>
          <cell r="AY100" t="str">
            <v>ГК 81 1/8</v>
          </cell>
          <cell r="AZ100">
            <v>1865.000060156</v>
          </cell>
          <cell r="BA100" t="str">
            <v>ЦКсОК 5/16</v>
          </cell>
          <cell r="BB100" t="str">
            <v>-</v>
          </cell>
          <cell r="BC100" t="str">
            <v>-</v>
          </cell>
          <cell r="BD100" t="str">
            <v>-</v>
          </cell>
          <cell r="BE100" t="str">
            <v>-</v>
          </cell>
          <cell r="BF100" t="str">
            <v>-</v>
          </cell>
          <cell r="BG100" t="str">
            <v>-</v>
          </cell>
          <cell r="BH100">
            <v>1875</v>
          </cell>
          <cell r="BI100" t="str">
            <v xml:space="preserve">закрыт </v>
          </cell>
        </row>
        <row r="101">
          <cell r="J101">
            <v>1018</v>
          </cell>
          <cell r="K101" t="str">
            <v>Куст скважины-1018</v>
          </cell>
          <cell r="L101">
            <v>38849</v>
          </cell>
          <cell r="M101" t="str">
            <v>Гор.</v>
          </cell>
          <cell r="N101" t="str">
            <v>Р4+5_Block3</v>
          </cell>
          <cell r="O101" t="str">
            <v>Действующий</v>
          </cell>
          <cell r="P101" t="str">
            <v>В работе</v>
          </cell>
          <cell r="Q101">
            <v>-4</v>
          </cell>
          <cell r="R101" t="str">
            <v xml:space="preserve"> </v>
          </cell>
          <cell r="S101" t="str">
            <v xml:space="preserve"> </v>
          </cell>
          <cell r="U101">
            <v>203</v>
          </cell>
          <cell r="V101">
            <v>218.2</v>
          </cell>
          <cell r="W101">
            <v>0.98</v>
          </cell>
          <cell r="X101">
            <v>1.66</v>
          </cell>
          <cell r="Y101">
            <v>0.98809523809523803</v>
          </cell>
          <cell r="Z101">
            <v>1.454</v>
          </cell>
          <cell r="AA101">
            <v>0.83599999999999997</v>
          </cell>
          <cell r="AB101">
            <v>0.72</v>
          </cell>
          <cell r="AC101">
            <v>34.299999999999997</v>
          </cell>
          <cell r="AD101">
            <v>1.17</v>
          </cell>
          <cell r="AE101">
            <v>139.69999999999999</v>
          </cell>
          <cell r="AF101">
            <v>7.72</v>
          </cell>
          <cell r="AG101">
            <v>1916</v>
          </cell>
          <cell r="AH101">
            <v>2431</v>
          </cell>
          <cell r="AI101">
            <v>2431</v>
          </cell>
          <cell r="AM101" t="str">
            <v>открытый</v>
          </cell>
          <cell r="AN101" t="str">
            <v>1916-2431</v>
          </cell>
          <cell r="AO101">
            <v>44.32</v>
          </cell>
          <cell r="AP101">
            <v>1916</v>
          </cell>
          <cell r="AQ101">
            <v>48.62</v>
          </cell>
          <cell r="AU101" t="str">
            <v>Газлифт</v>
          </cell>
          <cell r="AV101">
            <v>599.99999062500001</v>
          </cell>
          <cell r="AW101" t="str">
            <v>ГП</v>
          </cell>
          <cell r="AX101">
            <v>1199.99998125</v>
          </cell>
          <cell r="AY101" t="str">
            <v>ГК 87 1/8</v>
          </cell>
          <cell r="AZ101">
            <v>1777.0000734380001</v>
          </cell>
          <cell r="BA101" t="str">
            <v>ЦКсОК 5/16</v>
          </cell>
          <cell r="BB101" t="str">
            <v>-</v>
          </cell>
          <cell r="BC101" t="str">
            <v>-</v>
          </cell>
          <cell r="BD101" t="str">
            <v>-</v>
          </cell>
          <cell r="BE101" t="str">
            <v>-</v>
          </cell>
          <cell r="BF101" t="str">
            <v>-</v>
          </cell>
          <cell r="BG101" t="str">
            <v>-</v>
          </cell>
          <cell r="BH101">
            <v>1788</v>
          </cell>
          <cell r="BI101" t="str">
            <v>открыт</v>
          </cell>
        </row>
        <row r="102">
          <cell r="J102" t="str">
            <v>1018-1</v>
          </cell>
          <cell r="K102" t="str">
            <v>Куст скважины-1018</v>
          </cell>
          <cell r="L102">
            <v>38953</v>
          </cell>
          <cell r="M102" t="str">
            <v>Гор.</v>
          </cell>
          <cell r="N102" t="str">
            <v>Р4+5_Block3</v>
          </cell>
          <cell r="O102" t="str">
            <v>Действующий</v>
          </cell>
          <cell r="P102" t="str">
            <v>Остановлена</v>
          </cell>
          <cell r="Q102">
            <v>-4</v>
          </cell>
          <cell r="U102">
            <v>203</v>
          </cell>
          <cell r="V102">
            <v>218.2</v>
          </cell>
          <cell r="W102">
            <v>0.98</v>
          </cell>
          <cell r="X102">
            <v>1.66</v>
          </cell>
          <cell r="Y102">
            <v>1.0110627719080172</v>
          </cell>
          <cell r="Z102">
            <v>1.454</v>
          </cell>
          <cell r="AA102">
            <v>0.83599999999999997</v>
          </cell>
          <cell r="AB102">
            <v>0.72</v>
          </cell>
          <cell r="AC102">
            <v>34.299999999999997</v>
          </cell>
          <cell r="AD102">
            <v>1.17</v>
          </cell>
          <cell r="AE102">
            <v>139.69999999999999</v>
          </cell>
          <cell r="AF102">
            <v>7.72</v>
          </cell>
          <cell r="AG102">
            <v>1970</v>
          </cell>
          <cell r="AH102" t="str">
            <v>1 ств 2496
2 ств 2224</v>
          </cell>
          <cell r="AI102" t="str">
            <v>1 ств 2496
2 ств 2224</v>
          </cell>
          <cell r="AM102" t="str">
            <v>открытый</v>
          </cell>
          <cell r="AN102" t="str">
            <v xml:space="preserve"> 2150-2496; 2048-2224</v>
          </cell>
          <cell r="AO102">
            <v>53.19</v>
          </cell>
          <cell r="AP102">
            <v>2048</v>
          </cell>
          <cell r="AQ102">
            <v>163.69999999999999</v>
          </cell>
          <cell r="AR102" t="str">
            <v>1890-2025</v>
          </cell>
          <cell r="AS102">
            <v>102</v>
          </cell>
          <cell r="AT102">
            <v>6.5</v>
          </cell>
          <cell r="AU102" t="str">
            <v>Фон.</v>
          </cell>
          <cell r="AV102">
            <v>500</v>
          </cell>
          <cell r="AW102" t="str">
            <v>ГК 77 1/8</v>
          </cell>
          <cell r="AX102">
            <v>910</v>
          </cell>
          <cell r="AY102" t="str">
            <v>ГК 79 1/8</v>
          </cell>
          <cell r="AZ102">
            <v>1240</v>
          </cell>
          <cell r="BA102" t="str">
            <v>ГК 78 5/32</v>
          </cell>
          <cell r="BB102">
            <v>1510</v>
          </cell>
          <cell r="BC102" t="str">
            <v>ГК 78 5/32</v>
          </cell>
          <cell r="BD102">
            <v>1680</v>
          </cell>
          <cell r="BE102" t="str">
            <v>ЦКсОК 5/16</v>
          </cell>
          <cell r="BF102" t="str">
            <v>-</v>
          </cell>
          <cell r="BG102" t="str">
            <v>-</v>
          </cell>
          <cell r="BH102">
            <v>1690</v>
          </cell>
          <cell r="BI102" t="str">
            <v>открыт</v>
          </cell>
        </row>
        <row r="103">
          <cell r="J103" t="str">
            <v>1018-2</v>
          </cell>
          <cell r="K103" t="str">
            <v>К-29</v>
          </cell>
          <cell r="L103">
            <v>41888</v>
          </cell>
          <cell r="M103" t="str">
            <v>Гор.</v>
          </cell>
          <cell r="N103" t="str">
            <v>Р4+5+6_Block2</v>
          </cell>
          <cell r="O103" t="str">
            <v>Действующий</v>
          </cell>
          <cell r="P103" t="str">
            <v>В работе</v>
          </cell>
          <cell r="Q103">
            <v>-4</v>
          </cell>
          <cell r="U103">
            <v>203</v>
          </cell>
          <cell r="V103">
            <v>218.2</v>
          </cell>
          <cell r="W103">
            <v>0.98</v>
          </cell>
          <cell r="X103">
            <v>1.66</v>
          </cell>
          <cell r="Y103">
            <v>1.0837010509262219</v>
          </cell>
          <cell r="Z103">
            <v>1.454</v>
          </cell>
          <cell r="AA103">
            <v>0.83599999999999997</v>
          </cell>
          <cell r="AB103">
            <v>0.72</v>
          </cell>
          <cell r="AC103">
            <v>34.299999999999997</v>
          </cell>
          <cell r="AD103">
            <v>1.17</v>
          </cell>
          <cell r="AE103">
            <v>177.8</v>
          </cell>
          <cell r="AF103">
            <v>9.19</v>
          </cell>
          <cell r="AG103">
            <v>2290.5100000000002</v>
          </cell>
          <cell r="AH103" t="str">
            <v>1 ств 3020 
2 ств 2872</v>
          </cell>
          <cell r="AI103" t="str">
            <v>1 ств 3020 
2 ств 2872</v>
          </cell>
          <cell r="AM103" t="str">
            <v>открытый</v>
          </cell>
          <cell r="AN103" t="str">
            <v xml:space="preserve"> 2290-3020; 2290-2872</v>
          </cell>
          <cell r="AO103">
            <v>6.7</v>
          </cell>
          <cell r="AP103">
            <v>2290</v>
          </cell>
          <cell r="AQ103">
            <v>338.9</v>
          </cell>
          <cell r="AU103" t="str">
            <v>Газлифт</v>
          </cell>
          <cell r="AV103">
            <v>599.99999062500001</v>
          </cell>
          <cell r="AW103" t="str">
            <v>ГК 82 1/8</v>
          </cell>
          <cell r="AX103">
            <v>1199.99998125</v>
          </cell>
          <cell r="AY103" t="str">
            <v>ГК 77 1/8</v>
          </cell>
          <cell r="AZ103">
            <v>1499.999976563</v>
          </cell>
          <cell r="BA103" t="str">
            <v>ГК 78 1/8</v>
          </cell>
          <cell r="BB103">
            <v>1899.9999703129999</v>
          </cell>
          <cell r="BC103" t="str">
            <v>ЦКсОК 5/16</v>
          </cell>
          <cell r="BD103" t="str">
            <v>-</v>
          </cell>
          <cell r="BE103" t="str">
            <v>-</v>
          </cell>
          <cell r="BF103" t="str">
            <v>-</v>
          </cell>
          <cell r="BG103" t="str">
            <v>-</v>
          </cell>
          <cell r="BH103">
            <v>1900</v>
          </cell>
          <cell r="BI103" t="str">
            <v>открыт</v>
          </cell>
        </row>
        <row r="104">
          <cell r="J104" t="str">
            <v>1019-1</v>
          </cell>
          <cell r="K104" t="str">
            <v>Куст скважины-1019</v>
          </cell>
          <cell r="L104">
            <v>38699</v>
          </cell>
          <cell r="M104" t="str">
            <v>Гор.</v>
          </cell>
          <cell r="N104" t="str">
            <v>Р4+5_Block3</v>
          </cell>
          <cell r="O104" t="str">
            <v>Действующий</v>
          </cell>
          <cell r="P104" t="str">
            <v>В работе</v>
          </cell>
          <cell r="Q104">
            <v>-4</v>
          </cell>
          <cell r="S104" t="str">
            <v xml:space="preserve"> </v>
          </cell>
          <cell r="U104">
            <v>203</v>
          </cell>
          <cell r="V104">
            <v>218.2</v>
          </cell>
          <cell r="W104">
            <v>0.98</v>
          </cell>
          <cell r="X104">
            <v>1.66</v>
          </cell>
          <cell r="Y104">
            <v>1.0968176914778855</v>
          </cell>
          <cell r="Z104">
            <v>1.454</v>
          </cell>
          <cell r="AA104">
            <v>0.83599999999999997</v>
          </cell>
          <cell r="AB104">
            <v>0.72</v>
          </cell>
          <cell r="AC104">
            <v>34.299999999999997</v>
          </cell>
          <cell r="AD104">
            <v>1.17</v>
          </cell>
          <cell r="AE104">
            <v>139.69999999999999</v>
          </cell>
          <cell r="AF104">
            <v>7.72</v>
          </cell>
          <cell r="AG104">
            <v>1937</v>
          </cell>
          <cell r="AH104">
            <v>2500</v>
          </cell>
          <cell r="AI104">
            <v>2500</v>
          </cell>
          <cell r="AM104" t="str">
            <v>открытый</v>
          </cell>
          <cell r="AN104" t="str">
            <v xml:space="preserve">1937-2500  </v>
          </cell>
          <cell r="AO104">
            <v>87.4</v>
          </cell>
          <cell r="AP104">
            <v>1937</v>
          </cell>
          <cell r="AQ104">
            <v>68.650000000000006</v>
          </cell>
          <cell r="AU104" t="str">
            <v>Газлифт</v>
          </cell>
          <cell r="AV104">
            <v>370.00000166000001</v>
          </cell>
          <cell r="AW104" t="str">
            <v>ГП</v>
          </cell>
          <cell r="AX104">
            <v>790.00000253899998</v>
          </cell>
          <cell r="AY104" t="str">
            <v>ГК 84 1/8</v>
          </cell>
          <cell r="AZ104">
            <v>1180.000011328</v>
          </cell>
          <cell r="BA104" t="str">
            <v>ГК 85 1/8</v>
          </cell>
          <cell r="BB104">
            <v>1549.9999757810001</v>
          </cell>
          <cell r="BC104" t="str">
            <v>ГК 86 5/32</v>
          </cell>
          <cell r="BD104">
            <v>1690.000062891</v>
          </cell>
          <cell r="BE104" t="str">
            <v>ЦКсОК 5/16</v>
          </cell>
          <cell r="BF104" t="str">
            <v>-</v>
          </cell>
          <cell r="BG104" t="str">
            <v>-</v>
          </cell>
          <cell r="BH104">
            <v>1725</v>
          </cell>
          <cell r="BI104" t="str">
            <v xml:space="preserve">закрыт </v>
          </cell>
        </row>
        <row r="105">
          <cell r="J105" t="str">
            <v>1019-2</v>
          </cell>
          <cell r="K105" t="str">
            <v>Куст скважины-1019</v>
          </cell>
          <cell r="L105">
            <v>38587</v>
          </cell>
          <cell r="M105" t="str">
            <v>Гор.</v>
          </cell>
          <cell r="N105" t="str">
            <v>Р4+5_Block3</v>
          </cell>
          <cell r="O105" t="str">
            <v>Действующий</v>
          </cell>
          <cell r="P105" t="str">
            <v>Остановлена</v>
          </cell>
          <cell r="Q105">
            <v>-4</v>
          </cell>
          <cell r="U105">
            <v>203</v>
          </cell>
          <cell r="V105">
            <v>218.2</v>
          </cell>
          <cell r="W105">
            <v>0.98</v>
          </cell>
          <cell r="X105">
            <v>1.66</v>
          </cell>
          <cell r="Y105">
            <v>0.98932107324430174</v>
          </cell>
          <cell r="Z105">
            <v>1.454</v>
          </cell>
          <cell r="AA105">
            <v>0.83599999999999997</v>
          </cell>
          <cell r="AB105">
            <v>0.72</v>
          </cell>
          <cell r="AC105">
            <v>34.299999999999997</v>
          </cell>
          <cell r="AD105">
            <v>1.17</v>
          </cell>
          <cell r="AE105">
            <v>139.69999999999999</v>
          </cell>
          <cell r="AF105">
            <v>7.72</v>
          </cell>
          <cell r="AG105">
            <v>1965</v>
          </cell>
          <cell r="AH105">
            <v>2500</v>
          </cell>
          <cell r="AI105">
            <v>2500</v>
          </cell>
          <cell r="AM105" t="str">
            <v>открытый</v>
          </cell>
          <cell r="AN105" t="str">
            <v>1965-2500</v>
          </cell>
          <cell r="AO105">
            <v>5.58</v>
          </cell>
          <cell r="AP105">
            <v>1965</v>
          </cell>
          <cell r="AQ105">
            <v>23.3</v>
          </cell>
          <cell r="AU105" t="str">
            <v>Фон.</v>
          </cell>
          <cell r="AV105">
            <v>450</v>
          </cell>
          <cell r="AW105" t="str">
            <v>ГП</v>
          </cell>
          <cell r="AX105">
            <v>890</v>
          </cell>
          <cell r="AY105" t="str">
            <v>ГП</v>
          </cell>
          <cell r="AZ105">
            <v>1300</v>
          </cell>
          <cell r="BA105" t="str">
            <v>ГК 82/3</v>
          </cell>
          <cell r="BB105">
            <v>1680</v>
          </cell>
          <cell r="BC105" t="str">
            <v>ЦКсОК 5/16</v>
          </cell>
          <cell r="BD105" t="str">
            <v>-</v>
          </cell>
          <cell r="BE105" t="str">
            <v>-</v>
          </cell>
          <cell r="BF105" t="str">
            <v>-</v>
          </cell>
          <cell r="BG105" t="str">
            <v>-</v>
          </cell>
          <cell r="BH105">
            <v>1750</v>
          </cell>
          <cell r="BI105" t="str">
            <v>открыт</v>
          </cell>
        </row>
        <row r="106">
          <cell r="J106">
            <v>1020</v>
          </cell>
          <cell r="K106" t="str">
            <v>Куст скважины-1020</v>
          </cell>
          <cell r="L106">
            <v>41176</v>
          </cell>
          <cell r="M106" t="str">
            <v>Гор.</v>
          </cell>
          <cell r="N106" t="str">
            <v>Р4+5_Block3</v>
          </cell>
          <cell r="O106" t="str">
            <v>Действующий</v>
          </cell>
          <cell r="P106" t="str">
            <v>Остановлена</v>
          </cell>
          <cell r="Q106">
            <v>-4</v>
          </cell>
          <cell r="R106" t="str">
            <v xml:space="preserve"> </v>
          </cell>
          <cell r="S106" t="str">
            <v xml:space="preserve"> </v>
          </cell>
          <cell r="U106">
            <v>203</v>
          </cell>
          <cell r="V106">
            <v>218.2</v>
          </cell>
          <cell r="W106">
            <v>0.98</v>
          </cell>
          <cell r="X106">
            <v>1.66</v>
          </cell>
          <cell r="Y106">
            <v>1.0262427453949028</v>
          </cell>
          <cell r="Z106">
            <v>1.454</v>
          </cell>
          <cell r="AA106">
            <v>0.83599999999999997</v>
          </cell>
          <cell r="AB106">
            <v>0.72</v>
          </cell>
          <cell r="AC106">
            <v>34.299999999999997</v>
          </cell>
          <cell r="AD106">
            <v>1.17</v>
          </cell>
          <cell r="AE106">
            <v>139.69999999999999</v>
          </cell>
          <cell r="AF106">
            <v>7.72</v>
          </cell>
          <cell r="AG106">
            <v>1929</v>
          </cell>
          <cell r="AH106">
            <v>2579</v>
          </cell>
          <cell r="AI106">
            <v>2579</v>
          </cell>
          <cell r="AM106" t="str">
            <v>открытый</v>
          </cell>
          <cell r="AN106" t="str">
            <v>1956-2579</v>
          </cell>
          <cell r="AO106">
            <v>102.5</v>
          </cell>
          <cell r="AP106">
            <v>1956</v>
          </cell>
          <cell r="AQ106">
            <v>10.28</v>
          </cell>
          <cell r="AU106" t="str">
            <v>Газлифт</v>
          </cell>
          <cell r="AV106">
            <v>490.00000722700003</v>
          </cell>
          <cell r="AW106" t="str">
            <v>ГК 83 1/8</v>
          </cell>
          <cell r="AX106">
            <v>859.99997168000004</v>
          </cell>
          <cell r="AY106" t="str">
            <v>ГК 83 1/8</v>
          </cell>
          <cell r="AZ106">
            <v>1149.9999820309999</v>
          </cell>
          <cell r="BA106" t="str">
            <v>ГК 83 1/8</v>
          </cell>
          <cell r="BB106">
            <v>1369.999948828</v>
          </cell>
          <cell r="BC106" t="str">
            <v>ГК 80 1/8</v>
          </cell>
          <cell r="BD106">
            <v>1560.000035156</v>
          </cell>
          <cell r="BE106" t="str">
            <v>ЦКсОК 5/16</v>
          </cell>
          <cell r="BF106" t="str">
            <v>-</v>
          </cell>
          <cell r="BG106" t="str">
            <v>-</v>
          </cell>
          <cell r="BH106">
            <v>1580</v>
          </cell>
          <cell r="BI106" t="str">
            <v>Закрыт</v>
          </cell>
        </row>
        <row r="107">
          <cell r="J107" t="str">
            <v>1020-2</v>
          </cell>
          <cell r="K107" t="str">
            <v>Куст скважины-1020</v>
          </cell>
          <cell r="L107">
            <v>41248</v>
          </cell>
          <cell r="M107" t="str">
            <v>Гор.</v>
          </cell>
          <cell r="N107" t="str">
            <v>Р4+5_Block3</v>
          </cell>
          <cell r="O107" t="str">
            <v>Действующий</v>
          </cell>
          <cell r="P107" t="str">
            <v>Остановлена</v>
          </cell>
          <cell r="Q107">
            <v>-4</v>
          </cell>
          <cell r="R107" t="str">
            <v xml:space="preserve"> </v>
          </cell>
          <cell r="S107" t="str">
            <v xml:space="preserve"> </v>
          </cell>
          <cell r="U107">
            <v>203</v>
          </cell>
          <cell r="V107">
            <v>218.2</v>
          </cell>
          <cell r="W107">
            <v>0.98</v>
          </cell>
          <cell r="X107">
            <v>1.66</v>
          </cell>
          <cell r="Y107">
            <v>0.99479244378456511</v>
          </cell>
          <cell r="Z107">
            <v>1.454</v>
          </cell>
          <cell r="AA107">
            <v>0.83599999999999997</v>
          </cell>
          <cell r="AB107">
            <v>0.72</v>
          </cell>
          <cell r="AC107">
            <v>34.299999999999997</v>
          </cell>
          <cell r="AD107">
            <v>1.17</v>
          </cell>
          <cell r="AE107">
            <v>177.8</v>
          </cell>
          <cell r="AF107">
            <v>9.19</v>
          </cell>
          <cell r="AG107">
            <v>1937</v>
          </cell>
          <cell r="AH107">
            <v>2595</v>
          </cell>
          <cell r="AI107">
            <v>2595</v>
          </cell>
          <cell r="AM107" t="str">
            <v>открытый</v>
          </cell>
          <cell r="AN107" t="str">
            <v>1937-2595</v>
          </cell>
          <cell r="AO107">
            <v>86.15</v>
          </cell>
          <cell r="AP107">
            <v>1937</v>
          </cell>
          <cell r="AQ107">
            <v>27.05</v>
          </cell>
          <cell r="AU107" t="str">
            <v>Газлифт</v>
          </cell>
          <cell r="AV107">
            <v>577.99999394500003</v>
          </cell>
          <cell r="AW107" t="str">
            <v>ГК 84 1/8</v>
          </cell>
          <cell r="AX107">
            <v>1058.9999923830001</v>
          </cell>
          <cell r="AY107" t="str">
            <v>ГК 84 1/8</v>
          </cell>
          <cell r="AZ107">
            <v>1417.999995703</v>
          </cell>
          <cell r="BA107" t="str">
            <v>ГК 85 1/8</v>
          </cell>
          <cell r="BB107">
            <v>1798.999995703</v>
          </cell>
          <cell r="BC107" t="str">
            <v>ЦКсОК 5/16</v>
          </cell>
          <cell r="BD107" t="str">
            <v>-</v>
          </cell>
          <cell r="BE107" t="str">
            <v>-</v>
          </cell>
          <cell r="BF107" t="str">
            <v>-</v>
          </cell>
          <cell r="BG107" t="str">
            <v>-</v>
          </cell>
          <cell r="BH107">
            <v>1780</v>
          </cell>
          <cell r="BI107" t="str">
            <v xml:space="preserve">открыт </v>
          </cell>
        </row>
        <row r="108">
          <cell r="J108" t="str">
            <v>1021-2</v>
          </cell>
          <cell r="K108" t="str">
            <v>К-103</v>
          </cell>
          <cell r="L108">
            <v>41636</v>
          </cell>
          <cell r="M108" t="str">
            <v>Гор.</v>
          </cell>
          <cell r="N108" t="str">
            <v>Р4+5_Block3</v>
          </cell>
          <cell r="O108" t="str">
            <v>Действующий</v>
          </cell>
          <cell r="P108" t="str">
            <v>Остановлена</v>
          </cell>
          <cell r="Q108">
            <v>-4</v>
          </cell>
          <cell r="R108">
            <v>41618</v>
          </cell>
          <cell r="S108" t="str">
            <v>Slb</v>
          </cell>
          <cell r="T108" t="str">
            <v>150м3 15% HCL 
 47м3 WF130</v>
          </cell>
          <cell r="U108">
            <v>203</v>
          </cell>
          <cell r="V108">
            <v>218.2</v>
          </cell>
          <cell r="W108">
            <v>0.98</v>
          </cell>
          <cell r="X108">
            <v>1.66</v>
          </cell>
          <cell r="Y108">
            <v>0.98120581919949812</v>
          </cell>
          <cell r="Z108">
            <v>1.454</v>
          </cell>
          <cell r="AA108">
            <v>0.83599999999999997</v>
          </cell>
          <cell r="AB108">
            <v>0.72</v>
          </cell>
          <cell r="AC108">
            <v>34.299999999999997</v>
          </cell>
          <cell r="AD108">
            <v>1.17</v>
          </cell>
          <cell r="AE108">
            <v>177.8</v>
          </cell>
          <cell r="AF108">
            <v>9.19</v>
          </cell>
          <cell r="AG108">
            <v>2215</v>
          </cell>
          <cell r="AH108">
            <v>2905</v>
          </cell>
          <cell r="AI108">
            <v>2905</v>
          </cell>
          <cell r="AM108" t="str">
            <v>закрытый</v>
          </cell>
          <cell r="AN108" t="str">
            <v>2338,38-2339,63; 2444-2445,27; 2549,69-2550,96; 2718,03-2719,3; 2893,73-2894,79</v>
          </cell>
          <cell r="AO108">
            <v>38</v>
          </cell>
          <cell r="AP108">
            <v>2342</v>
          </cell>
          <cell r="AQ108">
            <v>429</v>
          </cell>
          <cell r="AR108" t="str">
            <v>2127-2906</v>
          </cell>
          <cell r="AS108">
            <v>114.3</v>
          </cell>
          <cell r="AT108">
            <v>7.37</v>
          </cell>
          <cell r="AU108" t="str">
            <v>Газлифт</v>
          </cell>
          <cell r="AV108">
            <v>599.99999062500001</v>
          </cell>
          <cell r="AW108" t="str">
            <v>ГП</v>
          </cell>
          <cell r="AX108">
            <v>1199.99998125</v>
          </cell>
          <cell r="AY108" t="str">
            <v>ГК 83/2</v>
          </cell>
          <cell r="AZ108">
            <v>1880.000000391</v>
          </cell>
          <cell r="BA108" t="str">
            <v>ЦКсОК 5/16</v>
          </cell>
          <cell r="BB108" t="str">
            <v>-</v>
          </cell>
          <cell r="BC108" t="str">
            <v>-</v>
          </cell>
          <cell r="BD108" t="str">
            <v>-</v>
          </cell>
          <cell r="BE108" t="str">
            <v>-</v>
          </cell>
          <cell r="BF108" t="str">
            <v>-</v>
          </cell>
          <cell r="BG108" t="str">
            <v>-</v>
          </cell>
          <cell r="BH108">
            <v>1890</v>
          </cell>
          <cell r="BI108" t="str">
            <v>закрыт</v>
          </cell>
        </row>
        <row r="109">
          <cell r="J109" t="str">
            <v>1021-1</v>
          </cell>
          <cell r="K109" t="str">
            <v>К-2</v>
          </cell>
          <cell r="L109">
            <v>41415</v>
          </cell>
          <cell r="M109" t="str">
            <v>Гор.</v>
          </cell>
          <cell r="N109" t="str">
            <v>Р4+5_Block3</v>
          </cell>
          <cell r="O109" t="str">
            <v>Действующий</v>
          </cell>
          <cell r="P109" t="str">
            <v>В работе</v>
          </cell>
          <cell r="Q109">
            <v>-4</v>
          </cell>
          <cell r="U109">
            <v>203</v>
          </cell>
          <cell r="V109">
            <v>218.2</v>
          </cell>
          <cell r="W109">
            <v>0.98</v>
          </cell>
          <cell r="X109">
            <v>1.66</v>
          </cell>
          <cell r="Y109">
            <v>0.99305811599758742</v>
          </cell>
          <cell r="Z109">
            <v>1.454</v>
          </cell>
          <cell r="AA109">
            <v>0.83599999999999997</v>
          </cell>
          <cell r="AB109">
            <v>0.72</v>
          </cell>
          <cell r="AC109">
            <v>34.299999999999997</v>
          </cell>
          <cell r="AD109">
            <v>1.17</v>
          </cell>
          <cell r="AE109" t="str">
            <v>177,8;
114,3</v>
          </cell>
          <cell r="AF109">
            <v>9.19</v>
          </cell>
          <cell r="AG109">
            <v>2134</v>
          </cell>
          <cell r="AH109">
            <v>2648</v>
          </cell>
          <cell r="AI109">
            <v>2648</v>
          </cell>
          <cell r="AM109" t="str">
            <v>открытый</v>
          </cell>
          <cell r="AN109" t="str">
            <v>2030-2648</v>
          </cell>
          <cell r="AO109">
            <v>10.16</v>
          </cell>
          <cell r="AP109">
            <v>2030</v>
          </cell>
          <cell r="AQ109">
            <v>174</v>
          </cell>
          <cell r="AU109" t="str">
            <v>Газлифт</v>
          </cell>
          <cell r="AV109">
            <v>529.99998427699995</v>
          </cell>
          <cell r="AW109" t="str">
            <v>ГП</v>
          </cell>
          <cell r="AX109">
            <v>899.99998593800001</v>
          </cell>
          <cell r="AY109" t="str">
            <v>ГП</v>
          </cell>
          <cell r="AZ109">
            <v>1299.9999796879999</v>
          </cell>
          <cell r="BA109" t="str">
            <v>ГК 81 5/32</v>
          </cell>
          <cell r="BB109">
            <v>1630.000004297</v>
          </cell>
          <cell r="BC109" t="str">
            <v>ЦКсОК 5/16</v>
          </cell>
          <cell r="BD109" t="str">
            <v>-</v>
          </cell>
          <cell r="BE109" t="str">
            <v>-</v>
          </cell>
          <cell r="BF109" t="str">
            <v>-</v>
          </cell>
          <cell r="BG109" t="str">
            <v>-</v>
          </cell>
          <cell r="BH109">
            <v>1640</v>
          </cell>
          <cell r="BI109" t="str">
            <v>открыт</v>
          </cell>
        </row>
        <row r="110">
          <cell r="J110">
            <v>1022</v>
          </cell>
          <cell r="K110" t="str">
            <v>Куст скважины-1022</v>
          </cell>
          <cell r="L110">
            <v>40049</v>
          </cell>
          <cell r="M110" t="str">
            <v>Гор.</v>
          </cell>
          <cell r="N110" t="str">
            <v>Р4+5_Block3</v>
          </cell>
          <cell r="O110" t="str">
            <v>Действующий</v>
          </cell>
          <cell r="P110" t="str">
            <v>Остановлена</v>
          </cell>
          <cell r="Q110">
            <v>-4</v>
          </cell>
          <cell r="R110" t="str">
            <v xml:space="preserve"> </v>
          </cell>
          <cell r="S110" t="str">
            <v xml:space="preserve"> </v>
          </cell>
          <cell r="U110">
            <v>203</v>
          </cell>
          <cell r="V110">
            <v>218.2</v>
          </cell>
          <cell r="W110">
            <v>0.98</v>
          </cell>
          <cell r="X110">
            <v>1.66</v>
          </cell>
          <cell r="Y110">
            <v>0.98132656434360654</v>
          </cell>
          <cell r="Z110">
            <v>1.454</v>
          </cell>
          <cell r="AA110">
            <v>0.83599999999999997</v>
          </cell>
          <cell r="AB110">
            <v>0.72</v>
          </cell>
          <cell r="AC110">
            <v>34.299999999999997</v>
          </cell>
          <cell r="AD110">
            <v>1.17</v>
          </cell>
          <cell r="AE110">
            <v>139.69999999999999</v>
          </cell>
          <cell r="AF110">
            <v>7.72</v>
          </cell>
          <cell r="AG110">
            <v>1886</v>
          </cell>
          <cell r="AH110">
            <v>2745</v>
          </cell>
          <cell r="AI110">
            <v>2745</v>
          </cell>
          <cell r="AM110" t="str">
            <v>открытый</v>
          </cell>
          <cell r="AN110" t="str">
            <v xml:space="preserve">1886-2745 </v>
          </cell>
          <cell r="AO110">
            <v>120.76</v>
          </cell>
          <cell r="AP110">
            <v>1886</v>
          </cell>
          <cell r="AQ110">
            <v>39</v>
          </cell>
          <cell r="AU110" t="str">
            <v>Фон.</v>
          </cell>
          <cell r="AV110">
            <v>592</v>
          </cell>
          <cell r="AW110" t="str">
            <v>ГК 90 1/8</v>
          </cell>
          <cell r="AX110">
            <v>1197</v>
          </cell>
          <cell r="AY110" t="str">
            <v>ГК 90 1/8</v>
          </cell>
          <cell r="AZ110">
            <v>1717</v>
          </cell>
          <cell r="BA110" t="str">
            <v>ЦКсОК 5/16</v>
          </cell>
          <cell r="BB110" t="str">
            <v>-</v>
          </cell>
          <cell r="BC110" t="str">
            <v>-</v>
          </cell>
          <cell r="BD110" t="str">
            <v>-</v>
          </cell>
          <cell r="BE110" t="str">
            <v>-</v>
          </cell>
          <cell r="BF110" t="str">
            <v>-</v>
          </cell>
          <cell r="BG110" t="str">
            <v>-</v>
          </cell>
          <cell r="BH110">
            <v>1729</v>
          </cell>
          <cell r="BI110" t="str">
            <v>закрыт</v>
          </cell>
        </row>
        <row r="111">
          <cell r="J111" t="str">
            <v>1022-2</v>
          </cell>
          <cell r="K111" t="str">
            <v>Куст скважины-1022</v>
          </cell>
          <cell r="L111">
            <v>41240</v>
          </cell>
          <cell r="M111" t="str">
            <v>Гор.</v>
          </cell>
          <cell r="N111" t="str">
            <v>Р4+5_Block3</v>
          </cell>
          <cell r="O111" t="str">
            <v>Действующий</v>
          </cell>
          <cell r="P111" t="str">
            <v>Остановлена</v>
          </cell>
          <cell r="Q111">
            <v>-4</v>
          </cell>
          <cell r="R111" t="str">
            <v xml:space="preserve"> </v>
          </cell>
          <cell r="S111" t="str">
            <v xml:space="preserve"> </v>
          </cell>
          <cell r="U111">
            <v>203</v>
          </cell>
          <cell r="V111">
            <v>218.2</v>
          </cell>
          <cell r="W111">
            <v>0.98</v>
          </cell>
          <cell r="X111">
            <v>1.66</v>
          </cell>
          <cell r="Y111">
            <v>0.98004014622285718</v>
          </cell>
          <cell r="Z111">
            <v>1.454</v>
          </cell>
          <cell r="AA111">
            <v>0.83599999999999997</v>
          </cell>
          <cell r="AB111">
            <v>0.72</v>
          </cell>
          <cell r="AC111">
            <v>34.299999999999997</v>
          </cell>
          <cell r="AD111">
            <v>1.17</v>
          </cell>
          <cell r="AE111">
            <v>177.8</v>
          </cell>
          <cell r="AF111">
            <v>8.0500000000000007</v>
          </cell>
          <cell r="AG111">
            <v>1944</v>
          </cell>
          <cell r="AH111">
            <v>2695</v>
          </cell>
          <cell r="AI111">
            <v>2695</v>
          </cell>
          <cell r="AM111" t="str">
            <v>открытый</v>
          </cell>
          <cell r="AN111" t="str">
            <v xml:space="preserve">1944-2695 </v>
          </cell>
          <cell r="AO111">
            <v>78.650000000000006</v>
          </cell>
          <cell r="AP111">
            <v>1944</v>
          </cell>
          <cell r="AQ111">
            <v>94.69</v>
          </cell>
          <cell r="AU111" t="str">
            <v>Фон.</v>
          </cell>
          <cell r="AV111">
            <v>600</v>
          </cell>
          <cell r="AW111" t="str">
            <v>ГП</v>
          </cell>
          <cell r="AX111">
            <v>1200</v>
          </cell>
          <cell r="AY111" t="str">
            <v>ГК 90 1/8</v>
          </cell>
          <cell r="AZ111">
            <v>1665</v>
          </cell>
          <cell r="BA111" t="str">
            <v>ЦКсОК 5/16</v>
          </cell>
          <cell r="BB111" t="str">
            <v>-</v>
          </cell>
          <cell r="BC111" t="str">
            <v>-</v>
          </cell>
          <cell r="BD111" t="str">
            <v>-</v>
          </cell>
          <cell r="BE111" t="str">
            <v>-</v>
          </cell>
          <cell r="BF111" t="str">
            <v>-</v>
          </cell>
          <cell r="BG111" t="str">
            <v>-</v>
          </cell>
          <cell r="BH111">
            <v>1675</v>
          </cell>
          <cell r="BI111" t="str">
            <v>закрыт</v>
          </cell>
        </row>
        <row r="112">
          <cell r="J112" t="str">
            <v>1022-1</v>
          </cell>
          <cell r="K112" t="str">
            <v>Куст скважины-1022</v>
          </cell>
          <cell r="L112">
            <v>41166</v>
          </cell>
          <cell r="M112" t="str">
            <v>Гор.</v>
          </cell>
          <cell r="N112" t="str">
            <v>Р4+5_Block3</v>
          </cell>
          <cell r="O112" t="str">
            <v>Действующий</v>
          </cell>
          <cell r="P112" t="str">
            <v>В работе</v>
          </cell>
          <cell r="Q112">
            <v>-4</v>
          </cell>
          <cell r="R112" t="str">
            <v xml:space="preserve"> </v>
          </cell>
          <cell r="S112" t="str">
            <v xml:space="preserve"> </v>
          </cell>
          <cell r="U112">
            <v>203</v>
          </cell>
          <cell r="V112">
            <v>218.2</v>
          </cell>
          <cell r="W112">
            <v>0.98</v>
          </cell>
          <cell r="X112">
            <v>1.66</v>
          </cell>
          <cell r="Y112">
            <v>0.9983209944425897</v>
          </cell>
          <cell r="Z112">
            <v>1.454</v>
          </cell>
          <cell r="AA112">
            <v>0.83599999999999997</v>
          </cell>
          <cell r="AB112">
            <v>0.72</v>
          </cell>
          <cell r="AC112">
            <v>34.299999999999997</v>
          </cell>
          <cell r="AD112">
            <v>1.17</v>
          </cell>
          <cell r="AE112">
            <v>177.8</v>
          </cell>
          <cell r="AF112">
            <v>8.0500000000000007</v>
          </cell>
          <cell r="AG112">
            <v>1889</v>
          </cell>
          <cell r="AH112">
            <v>2500</v>
          </cell>
          <cell r="AI112">
            <v>2500</v>
          </cell>
          <cell r="AM112" t="str">
            <v>открытый</v>
          </cell>
          <cell r="AN112" t="str">
            <v xml:space="preserve">1889-2500 </v>
          </cell>
          <cell r="AO112">
            <v>97.43</v>
          </cell>
          <cell r="AP112">
            <v>1889</v>
          </cell>
          <cell r="AQ112">
            <v>43.14</v>
          </cell>
          <cell r="AU112" t="str">
            <v>Фон.</v>
          </cell>
          <cell r="AV112">
            <v>612</v>
          </cell>
          <cell r="AW112" t="str">
            <v>ГП</v>
          </cell>
          <cell r="AX112">
            <v>1212</v>
          </cell>
          <cell r="AY112" t="str">
            <v>ГП</v>
          </cell>
          <cell r="AZ112">
            <v>1707</v>
          </cell>
          <cell r="BA112" t="str">
            <v>ЦКсОК 5/16</v>
          </cell>
          <cell r="BB112" t="str">
            <v>-</v>
          </cell>
          <cell r="BC112" t="str">
            <v>-</v>
          </cell>
          <cell r="BD112" t="str">
            <v>-</v>
          </cell>
          <cell r="BE112" t="str">
            <v>-</v>
          </cell>
          <cell r="BF112" t="str">
            <v>-</v>
          </cell>
          <cell r="BG112" t="str">
            <v>-</v>
          </cell>
          <cell r="BH112">
            <v>1718</v>
          </cell>
          <cell r="BI112" t="str">
            <v>закрыт</v>
          </cell>
        </row>
        <row r="113">
          <cell r="J113">
            <v>1027</v>
          </cell>
          <cell r="K113" t="str">
            <v>Куст скважины-1027</v>
          </cell>
          <cell r="L113">
            <v>38512</v>
          </cell>
          <cell r="M113" t="str">
            <v>Гор.</v>
          </cell>
          <cell r="N113" t="str">
            <v>Р4+5_Block3</v>
          </cell>
          <cell r="O113" t="str">
            <v>Действующий</v>
          </cell>
          <cell r="P113" t="str">
            <v>Остановлена</v>
          </cell>
          <cell r="Q113">
            <v>-4</v>
          </cell>
          <cell r="U113">
            <v>203</v>
          </cell>
          <cell r="V113">
            <v>218.2</v>
          </cell>
          <cell r="W113">
            <v>0.98</v>
          </cell>
          <cell r="X113">
            <v>1.66</v>
          </cell>
          <cell r="Y113">
            <v>0.98403097023953534</v>
          </cell>
          <cell r="Z113">
            <v>1.454</v>
          </cell>
          <cell r="AA113">
            <v>0.83599999999999997</v>
          </cell>
          <cell r="AB113">
            <v>0.72</v>
          </cell>
          <cell r="AC113">
            <v>34.299999999999997</v>
          </cell>
          <cell r="AD113">
            <v>1.17</v>
          </cell>
          <cell r="AE113">
            <v>139.69999999999999</v>
          </cell>
          <cell r="AF113">
            <v>7.72</v>
          </cell>
          <cell r="AG113">
            <v>2050</v>
          </cell>
          <cell r="AH113">
            <v>2400</v>
          </cell>
          <cell r="AI113">
            <v>2400</v>
          </cell>
          <cell r="AM113" t="str">
            <v>открытый</v>
          </cell>
          <cell r="AN113" t="str">
            <v>2050-2400</v>
          </cell>
          <cell r="AO113">
            <v>16.45</v>
          </cell>
          <cell r="AP113">
            <v>2050</v>
          </cell>
          <cell r="AQ113">
            <v>200.1</v>
          </cell>
          <cell r="AR113">
            <v>1886</v>
          </cell>
          <cell r="AS113">
            <v>1996</v>
          </cell>
          <cell r="AT113">
            <v>110</v>
          </cell>
          <cell r="AU113" t="str">
            <v>Фон.</v>
          </cell>
          <cell r="AV113">
            <v>489</v>
          </cell>
          <cell r="AW113" t="str">
            <v>ГП</v>
          </cell>
          <cell r="AX113">
            <v>887</v>
          </cell>
          <cell r="AY113" t="str">
            <v>ГП</v>
          </cell>
          <cell r="AZ113">
            <v>1203</v>
          </cell>
          <cell r="BA113" t="str">
            <v>ГП</v>
          </cell>
          <cell r="BB113">
            <v>1445</v>
          </cell>
          <cell r="BC113" t="str">
            <v>ГК 75 1/8</v>
          </cell>
          <cell r="BD113">
            <v>1758</v>
          </cell>
          <cell r="BE113" t="str">
            <v>ЦКсОК 5/16</v>
          </cell>
          <cell r="BF113" t="str">
            <v>-</v>
          </cell>
          <cell r="BG113" t="str">
            <v>-</v>
          </cell>
          <cell r="BH113" t="str">
            <v>-</v>
          </cell>
          <cell r="BI113" t="str">
            <v>-</v>
          </cell>
        </row>
        <row r="114">
          <cell r="J114" t="str">
            <v>1027-2</v>
          </cell>
          <cell r="K114" t="str">
            <v>Куст скважины-1027</v>
          </cell>
          <cell r="L114">
            <v>38713</v>
          </cell>
          <cell r="M114" t="str">
            <v>Гор.</v>
          </cell>
          <cell r="N114" t="str">
            <v>Р4+5_Block3</v>
          </cell>
          <cell r="O114" t="str">
            <v>Действующий</v>
          </cell>
          <cell r="P114" t="str">
            <v>Остановлена</v>
          </cell>
          <cell r="Q114">
            <v>-4</v>
          </cell>
          <cell r="U114">
            <v>203</v>
          </cell>
          <cell r="V114">
            <v>218.2</v>
          </cell>
          <cell r="W114">
            <v>0.98</v>
          </cell>
          <cell r="X114">
            <v>1.66</v>
          </cell>
          <cell r="Y114">
            <v>0.98373154263715523</v>
          </cell>
          <cell r="Z114">
            <v>1.454</v>
          </cell>
          <cell r="AA114">
            <v>0.83599999999999997</v>
          </cell>
          <cell r="AB114">
            <v>0.72</v>
          </cell>
          <cell r="AC114">
            <v>34.299999999999997</v>
          </cell>
          <cell r="AD114">
            <v>1.17</v>
          </cell>
          <cell r="AE114">
            <v>139.69999999999999</v>
          </cell>
          <cell r="AF114">
            <v>7.72</v>
          </cell>
          <cell r="AG114">
            <v>1900</v>
          </cell>
          <cell r="AH114" t="str">
            <v>1 ств 2446
2 ств 2401</v>
          </cell>
          <cell r="AI114" t="str">
            <v>1 ств 2446
2 ств 2401</v>
          </cell>
          <cell r="AM114" t="str">
            <v>открытый</v>
          </cell>
          <cell r="AN114" t="str">
            <v>1790-1802; 1806-1811; 1813-1816; 1817-1821; 1823-1826; 1842-1852; 1854-1862; 1866-1874; 1878-1885 (газовая шапка);
 2290-3020; 2290-2872</v>
          </cell>
          <cell r="AO114">
            <v>13.35</v>
          </cell>
          <cell r="AP114">
            <v>1790</v>
          </cell>
          <cell r="AQ114">
            <v>60.3</v>
          </cell>
          <cell r="AU114" t="str">
            <v>Фон.</v>
          </cell>
          <cell r="AV114">
            <v>600</v>
          </cell>
          <cell r="AW114" t="str">
            <v>ГП</v>
          </cell>
          <cell r="AX114">
            <v>1200</v>
          </cell>
          <cell r="AY114" t="str">
            <v>ГП</v>
          </cell>
          <cell r="AZ114">
            <v>1730</v>
          </cell>
          <cell r="BA114" t="str">
            <v>ГК 78 1/8</v>
          </cell>
          <cell r="BB114" t="str">
            <v>-</v>
          </cell>
          <cell r="BC114" t="str">
            <v>-</v>
          </cell>
          <cell r="BD114" t="str">
            <v>-</v>
          </cell>
          <cell r="BE114" t="str">
            <v>-</v>
          </cell>
          <cell r="BF114" t="str">
            <v>-</v>
          </cell>
          <cell r="BG114" t="str">
            <v>-</v>
          </cell>
          <cell r="BH114">
            <v>1740</v>
          </cell>
          <cell r="BI114" t="str">
            <v>закрыт</v>
          </cell>
        </row>
        <row r="115">
          <cell r="J115" t="str">
            <v>1027-1</v>
          </cell>
          <cell r="K115" t="str">
            <v>Куст скважины-1027</v>
          </cell>
          <cell r="L115">
            <v>38615</v>
          </cell>
          <cell r="M115" t="str">
            <v>Гор.</v>
          </cell>
          <cell r="N115" t="str">
            <v>Р4+5_Block3</v>
          </cell>
          <cell r="O115" t="str">
            <v>Действующий</v>
          </cell>
          <cell r="P115" t="str">
            <v>Остановлена</v>
          </cell>
          <cell r="Q115">
            <v>-4</v>
          </cell>
          <cell r="U115">
            <v>203</v>
          </cell>
          <cell r="V115">
            <v>218.2</v>
          </cell>
          <cell r="W115">
            <v>0.98</v>
          </cell>
          <cell r="X115">
            <v>1.66</v>
          </cell>
          <cell r="Y115">
            <v>0.98471548211471449</v>
          </cell>
          <cell r="Z115">
            <v>1.454</v>
          </cell>
          <cell r="AA115">
            <v>0.83599999999999997</v>
          </cell>
          <cell r="AB115">
            <v>0.72</v>
          </cell>
          <cell r="AC115">
            <v>34.299999999999997</v>
          </cell>
          <cell r="AD115">
            <v>1.17</v>
          </cell>
          <cell r="AE115">
            <v>139.69999999999999</v>
          </cell>
          <cell r="AF115">
            <v>7.72</v>
          </cell>
          <cell r="AG115">
            <v>1919</v>
          </cell>
          <cell r="AH115">
            <v>2500</v>
          </cell>
          <cell r="AI115">
            <v>2500</v>
          </cell>
          <cell r="AM115" t="str">
            <v>открытый</v>
          </cell>
          <cell r="AN115" t="str">
            <v>1919-2500</v>
          </cell>
          <cell r="AO115">
            <v>79.84</v>
          </cell>
          <cell r="AP115">
            <v>1919</v>
          </cell>
          <cell r="AQ115">
            <v>37.799999999999997</v>
          </cell>
          <cell r="AU115" t="str">
            <v>Фон.</v>
          </cell>
          <cell r="AV115">
            <v>489</v>
          </cell>
          <cell r="AW115" t="str">
            <v>ГП</v>
          </cell>
          <cell r="AX115">
            <v>887</v>
          </cell>
          <cell r="AY115" t="str">
            <v>ГК 79 1/8</v>
          </cell>
          <cell r="AZ115">
            <v>1203</v>
          </cell>
          <cell r="BA115" t="str">
            <v>ГК 79 1/8</v>
          </cell>
          <cell r="BB115">
            <v>1445</v>
          </cell>
          <cell r="BC115" t="str">
            <v>ГК 79 1/8</v>
          </cell>
          <cell r="BD115">
            <v>1622</v>
          </cell>
          <cell r="BE115" t="str">
            <v>ГК 79 1/8</v>
          </cell>
          <cell r="BF115">
            <v>1730</v>
          </cell>
          <cell r="BG115" t="str">
            <v>ЦКсОК 5/16</v>
          </cell>
          <cell r="BH115">
            <v>1751</v>
          </cell>
          <cell r="BI115" t="str">
            <v>закрыт</v>
          </cell>
        </row>
        <row r="116">
          <cell r="J116" t="str">
            <v>1028-2</v>
          </cell>
          <cell r="K116" t="str">
            <v>К-29</v>
          </cell>
          <cell r="L116">
            <v>42003</v>
          </cell>
          <cell r="M116" t="str">
            <v>Гор.</v>
          </cell>
          <cell r="N116" t="str">
            <v>Р4+5+6_Block2</v>
          </cell>
          <cell r="O116" t="str">
            <v>Действующий</v>
          </cell>
          <cell r="P116" t="str">
            <v>В работе</v>
          </cell>
          <cell r="Q116">
            <v>-4</v>
          </cell>
          <cell r="U116">
            <v>203</v>
          </cell>
          <cell r="V116">
            <v>218.2</v>
          </cell>
          <cell r="W116">
            <v>0.98</v>
          </cell>
          <cell r="X116">
            <v>1.66</v>
          </cell>
          <cell r="Y116">
            <v>1.0450714359132491</v>
          </cell>
          <cell r="Z116">
            <v>1.454</v>
          </cell>
          <cell r="AA116">
            <v>0.83599999999999997</v>
          </cell>
          <cell r="AB116">
            <v>0.72</v>
          </cell>
          <cell r="AC116">
            <v>34.299999999999997</v>
          </cell>
          <cell r="AD116">
            <v>1.17</v>
          </cell>
          <cell r="AE116">
            <v>177.8</v>
          </cell>
          <cell r="AF116">
            <v>9.19</v>
          </cell>
          <cell r="AG116">
            <v>2120</v>
          </cell>
          <cell r="AH116">
            <v>2953</v>
          </cell>
          <cell r="AI116">
            <v>2953</v>
          </cell>
          <cell r="AM116" t="str">
            <v>открытый</v>
          </cell>
          <cell r="AN116" t="str">
            <v>2012-2953,5</v>
          </cell>
          <cell r="AO116">
            <v>40.119999999999997</v>
          </cell>
          <cell r="AP116">
            <v>2012</v>
          </cell>
          <cell r="AQ116">
            <v>104.5</v>
          </cell>
          <cell r="AU116" t="str">
            <v>Газлифт</v>
          </cell>
          <cell r="AV116">
            <v>479.99998505899998</v>
          </cell>
          <cell r="AW116" t="str">
            <v>ГП</v>
          </cell>
          <cell r="AX116">
            <v>849.99998671900005</v>
          </cell>
          <cell r="AY116" t="str">
            <v>ГП</v>
          </cell>
          <cell r="AZ116">
            <v>1159.9999669920001</v>
          </cell>
          <cell r="BA116" t="str">
            <v>ГП</v>
          </cell>
          <cell r="BB116">
            <v>1360.0000382809999</v>
          </cell>
          <cell r="BC116" t="str">
            <v>ГК 89 1/8</v>
          </cell>
          <cell r="BD116" t="str">
            <v>-</v>
          </cell>
          <cell r="BE116" t="str">
            <v>-</v>
          </cell>
          <cell r="BF116" t="str">
            <v>-</v>
          </cell>
          <cell r="BG116" t="str">
            <v>-</v>
          </cell>
          <cell r="BH116">
            <v>1830</v>
          </cell>
          <cell r="BI116" t="str">
            <v>открыт</v>
          </cell>
        </row>
        <row r="117">
          <cell r="J117" t="str">
            <v>1029-2</v>
          </cell>
          <cell r="K117" t="str">
            <v>К-35</v>
          </cell>
          <cell r="L117">
            <v>41686</v>
          </cell>
          <cell r="M117" t="str">
            <v>Гор.</v>
          </cell>
          <cell r="N117" t="str">
            <v>P4+5+6_Block1_yug</v>
          </cell>
          <cell r="O117" t="str">
            <v>Действующий</v>
          </cell>
          <cell r="P117" t="str">
            <v>В работе</v>
          </cell>
          <cell r="Q117">
            <v>-4</v>
          </cell>
          <cell r="R117" t="str">
            <v xml:space="preserve"> </v>
          </cell>
          <cell r="S117" t="str">
            <v xml:space="preserve"> </v>
          </cell>
          <cell r="U117">
            <v>203</v>
          </cell>
          <cell r="V117">
            <v>218.2</v>
          </cell>
          <cell r="W117">
            <v>0.98</v>
          </cell>
          <cell r="X117">
            <v>1.66</v>
          </cell>
          <cell r="Y117">
            <v>0.98136681932908965</v>
          </cell>
          <cell r="Z117">
            <v>1.454</v>
          </cell>
          <cell r="AA117">
            <v>0.83599999999999997</v>
          </cell>
          <cell r="AB117">
            <v>0.72</v>
          </cell>
          <cell r="AC117">
            <v>34.299999999999997</v>
          </cell>
          <cell r="AD117">
            <v>1.17</v>
          </cell>
          <cell r="AE117">
            <v>177.8</v>
          </cell>
          <cell r="AF117">
            <v>9.19</v>
          </cell>
          <cell r="AG117">
            <v>1846</v>
          </cell>
          <cell r="AH117">
            <v>2773</v>
          </cell>
          <cell r="AI117">
            <v>2773</v>
          </cell>
          <cell r="AM117" t="str">
            <v>открытый</v>
          </cell>
          <cell r="AN117" t="str">
            <v>1846-2773</v>
          </cell>
          <cell r="AO117">
            <v>33.5</v>
          </cell>
          <cell r="AP117">
            <v>2000</v>
          </cell>
          <cell r="AQ117">
            <v>182.47</v>
          </cell>
          <cell r="AU117" t="str">
            <v>Газлифт</v>
          </cell>
          <cell r="AV117">
            <v>449.999992969</v>
          </cell>
          <cell r="AW117" t="str">
            <v>ГП</v>
          </cell>
          <cell r="AX117">
            <v>899.99998593800001</v>
          </cell>
          <cell r="AY117" t="str">
            <v>ГП</v>
          </cell>
          <cell r="AZ117">
            <v>1349.999978906</v>
          </cell>
          <cell r="BA117" t="str">
            <v>ГК 77 1/8</v>
          </cell>
          <cell r="BB117">
            <v>1790.0000613279999</v>
          </cell>
          <cell r="BC117" t="str">
            <v>ЦКсОК 5/16</v>
          </cell>
          <cell r="BD117" t="str">
            <v>-</v>
          </cell>
          <cell r="BE117" t="str">
            <v>-</v>
          </cell>
          <cell r="BF117" t="str">
            <v>-</v>
          </cell>
          <cell r="BG117" t="str">
            <v>-</v>
          </cell>
          <cell r="BH117">
            <v>1800</v>
          </cell>
          <cell r="BI117" t="str">
            <v>закрыт</v>
          </cell>
        </row>
        <row r="118">
          <cell r="J118" t="str">
            <v>1029-1</v>
          </cell>
          <cell r="K118" t="str">
            <v>Без куста</v>
          </cell>
          <cell r="L118">
            <v>39102</v>
          </cell>
          <cell r="M118" t="str">
            <v>Гор.</v>
          </cell>
          <cell r="N118" t="str">
            <v>Р4+5_Block3</v>
          </cell>
          <cell r="O118" t="str">
            <v>Действующий</v>
          </cell>
          <cell r="P118" t="str">
            <v>Остановлена</v>
          </cell>
          <cell r="Q118">
            <v>-4</v>
          </cell>
          <cell r="R118" t="str">
            <v xml:space="preserve"> </v>
          </cell>
          <cell r="S118" t="str">
            <v xml:space="preserve"> </v>
          </cell>
          <cell r="U118">
            <v>203</v>
          </cell>
          <cell r="V118">
            <v>218.2</v>
          </cell>
          <cell r="W118">
            <v>0.98</v>
          </cell>
          <cell r="X118">
            <v>1.66</v>
          </cell>
          <cell r="Y118">
            <v>1.0004920049200492</v>
          </cell>
          <cell r="Z118">
            <v>1.454</v>
          </cell>
          <cell r="AA118">
            <v>0.83599999999999997</v>
          </cell>
          <cell r="AB118">
            <v>0.72</v>
          </cell>
          <cell r="AC118">
            <v>34.299999999999997</v>
          </cell>
          <cell r="AD118">
            <v>1.17</v>
          </cell>
          <cell r="AE118">
            <v>139.69999999999999</v>
          </cell>
          <cell r="AF118">
            <v>7.72</v>
          </cell>
          <cell r="AG118">
            <v>2019</v>
          </cell>
          <cell r="AH118">
            <v>2490</v>
          </cell>
          <cell r="AI118">
            <v>2490</v>
          </cell>
          <cell r="AM118" t="str">
            <v>открытый</v>
          </cell>
          <cell r="AN118" t="str">
            <v xml:space="preserve">2019-2490 </v>
          </cell>
          <cell r="AO118">
            <v>68.17</v>
          </cell>
          <cell r="AP118">
            <v>2019</v>
          </cell>
          <cell r="AQ118">
            <v>88.54</v>
          </cell>
          <cell r="AU118" t="str">
            <v>Фон.</v>
          </cell>
          <cell r="AV118">
            <v>602</v>
          </cell>
          <cell r="AW118" t="str">
            <v>ГП</v>
          </cell>
          <cell r="AX118">
            <v>1207</v>
          </cell>
          <cell r="AY118" t="str">
            <v>ГП</v>
          </cell>
          <cell r="AZ118">
            <v>1780</v>
          </cell>
          <cell r="BA118" t="str">
            <v>ЦКсОК 5/16</v>
          </cell>
          <cell r="BB118" t="str">
            <v>-</v>
          </cell>
          <cell r="BC118" t="str">
            <v>-</v>
          </cell>
          <cell r="BD118" t="str">
            <v>-</v>
          </cell>
          <cell r="BE118" t="str">
            <v>-</v>
          </cell>
          <cell r="BF118" t="str">
            <v>-</v>
          </cell>
          <cell r="BG118" t="str">
            <v>-</v>
          </cell>
          <cell r="BH118" t="str">
            <v>-</v>
          </cell>
          <cell r="BI118" t="str">
            <v>-</v>
          </cell>
        </row>
        <row r="119">
          <cell r="J119" t="str">
            <v>1030-2</v>
          </cell>
          <cell r="K119" t="str">
            <v>Куст скважины-1030</v>
          </cell>
          <cell r="L119">
            <v>38317</v>
          </cell>
          <cell r="M119" t="str">
            <v>Гор.</v>
          </cell>
          <cell r="N119" t="str">
            <v>Р4+5_Block3</v>
          </cell>
          <cell r="O119" t="str">
            <v>Действующий</v>
          </cell>
          <cell r="P119" t="str">
            <v>В работе</v>
          </cell>
          <cell r="Q119">
            <v>-4</v>
          </cell>
          <cell r="R119" t="str">
            <v xml:space="preserve"> </v>
          </cell>
          <cell r="S119" t="str">
            <v xml:space="preserve"> </v>
          </cell>
          <cell r="U119">
            <v>203</v>
          </cell>
          <cell r="V119">
            <v>218.2</v>
          </cell>
          <cell r="W119">
            <v>0.98</v>
          </cell>
          <cell r="X119">
            <v>1.66</v>
          </cell>
          <cell r="Y119">
            <v>1.0034294737361527</v>
          </cell>
          <cell r="Z119">
            <v>1.454</v>
          </cell>
          <cell r="AA119">
            <v>0.83599999999999997</v>
          </cell>
          <cell r="AB119">
            <v>0.72</v>
          </cell>
          <cell r="AC119">
            <v>34.299999999999997</v>
          </cell>
          <cell r="AD119">
            <v>1.17</v>
          </cell>
          <cell r="AE119">
            <v>139.69999999999999</v>
          </cell>
          <cell r="AF119">
            <v>7.72</v>
          </cell>
          <cell r="AG119">
            <v>1921</v>
          </cell>
          <cell r="AH119">
            <v>2450</v>
          </cell>
          <cell r="AI119">
            <v>2450</v>
          </cell>
          <cell r="AM119" t="str">
            <v>открытый</v>
          </cell>
          <cell r="AN119" t="str">
            <v>1889-2509</v>
          </cell>
          <cell r="AO119">
            <v>3.13</v>
          </cell>
          <cell r="AP119">
            <v>1889</v>
          </cell>
          <cell r="AQ119">
            <v>67.78</v>
          </cell>
          <cell r="AU119" t="str">
            <v>Фон.</v>
          </cell>
          <cell r="AV119">
            <v>550</v>
          </cell>
          <cell r="AW119" t="str">
            <v>ГК 79/3</v>
          </cell>
          <cell r="AX119">
            <v>990</v>
          </cell>
          <cell r="AY119" t="str">
            <v>ГК 80/3</v>
          </cell>
          <cell r="AZ119">
            <v>1340</v>
          </cell>
          <cell r="BA119" t="str">
            <v>ГК 80/4</v>
          </cell>
          <cell r="BB119">
            <v>1630</v>
          </cell>
          <cell r="BC119" t="str">
            <v>ЦКсОК 5/16</v>
          </cell>
          <cell r="BD119" t="str">
            <v>-</v>
          </cell>
          <cell r="BE119" t="str">
            <v>-</v>
          </cell>
          <cell r="BF119" t="str">
            <v>-</v>
          </cell>
          <cell r="BG119" t="str">
            <v>-</v>
          </cell>
          <cell r="BH119">
            <v>1640</v>
          </cell>
          <cell r="BI119" t="str">
            <v>закрыт</v>
          </cell>
        </row>
        <row r="120">
          <cell r="J120">
            <v>1033</v>
          </cell>
          <cell r="K120" t="str">
            <v>Куст скважины-1033</v>
          </cell>
          <cell r="L120">
            <v>39465</v>
          </cell>
          <cell r="M120" t="str">
            <v>Гор.</v>
          </cell>
          <cell r="N120" t="str">
            <v>Р4+5_Block3</v>
          </cell>
          <cell r="O120" t="str">
            <v>Действующий</v>
          </cell>
          <cell r="P120" t="str">
            <v>В работе</v>
          </cell>
          <cell r="Q120">
            <v>-4</v>
          </cell>
          <cell r="R120" t="str">
            <v xml:space="preserve"> </v>
          </cell>
          <cell r="S120" t="str">
            <v xml:space="preserve"> </v>
          </cell>
          <cell r="U120">
            <v>203</v>
          </cell>
          <cell r="V120">
            <v>218.2</v>
          </cell>
          <cell r="W120">
            <v>0.98</v>
          </cell>
          <cell r="X120">
            <v>1.66</v>
          </cell>
          <cell r="Y120">
            <v>0.98</v>
          </cell>
          <cell r="Z120">
            <v>1.454</v>
          </cell>
          <cell r="AA120">
            <v>0.83599999999999997</v>
          </cell>
          <cell r="AB120">
            <v>0.72</v>
          </cell>
          <cell r="AC120">
            <v>34.299999999999997</v>
          </cell>
          <cell r="AD120">
            <v>1.17</v>
          </cell>
          <cell r="AE120">
            <v>139.69999999999999</v>
          </cell>
          <cell r="AF120">
            <v>7.72</v>
          </cell>
          <cell r="AG120">
            <v>1933</v>
          </cell>
          <cell r="AH120">
            <v>2401</v>
          </cell>
          <cell r="AI120">
            <v>2401</v>
          </cell>
          <cell r="AM120" t="str">
            <v>открытый</v>
          </cell>
          <cell r="AN120" t="str">
            <v>1931-2401</v>
          </cell>
          <cell r="AO120">
            <v>24.7</v>
          </cell>
          <cell r="AP120">
            <v>1931</v>
          </cell>
          <cell r="AQ120">
            <v>80.64</v>
          </cell>
          <cell r="AU120" t="str">
            <v>Фон.</v>
          </cell>
          <cell r="AV120">
            <v>600</v>
          </cell>
          <cell r="AW120" t="str">
            <v>ГК 88 1/8</v>
          </cell>
          <cell r="AX120">
            <v>1200</v>
          </cell>
          <cell r="AY120" t="str">
            <v>ГП</v>
          </cell>
          <cell r="AZ120">
            <v>1700</v>
          </cell>
          <cell r="BA120" t="str">
            <v>ЦКсОК 5/16</v>
          </cell>
          <cell r="BB120" t="str">
            <v>-</v>
          </cell>
          <cell r="BC120" t="str">
            <v>-</v>
          </cell>
          <cell r="BD120" t="str">
            <v>-</v>
          </cell>
          <cell r="BE120" t="str">
            <v>-</v>
          </cell>
          <cell r="BF120" t="str">
            <v>-</v>
          </cell>
          <cell r="BG120" t="str">
            <v>-</v>
          </cell>
          <cell r="BH120">
            <v>1710</v>
          </cell>
          <cell r="BI120" t="str">
            <v>закрыт</v>
          </cell>
        </row>
        <row r="121">
          <cell r="J121" t="str">
            <v>1033-2</v>
          </cell>
          <cell r="K121" t="str">
            <v>Куст скважины-1033</v>
          </cell>
          <cell r="L121">
            <v>39749</v>
          </cell>
          <cell r="M121" t="str">
            <v>Гор.</v>
          </cell>
          <cell r="N121" t="str">
            <v>Р4+5_Block3</v>
          </cell>
          <cell r="O121" t="str">
            <v>Действующий</v>
          </cell>
          <cell r="P121" t="str">
            <v>В работе</v>
          </cell>
          <cell r="Q121">
            <v>-4</v>
          </cell>
          <cell r="R121" t="str">
            <v xml:space="preserve"> </v>
          </cell>
          <cell r="S121" t="str">
            <v xml:space="preserve"> </v>
          </cell>
          <cell r="U121">
            <v>203</v>
          </cell>
          <cell r="V121">
            <v>218.2</v>
          </cell>
          <cell r="W121">
            <v>0.98</v>
          </cell>
          <cell r="X121">
            <v>1.66</v>
          </cell>
          <cell r="Y121">
            <v>1.0048202713286505</v>
          </cell>
          <cell r="Z121">
            <v>1.454</v>
          </cell>
          <cell r="AA121">
            <v>0.83599999999999997</v>
          </cell>
          <cell r="AB121">
            <v>0.72</v>
          </cell>
          <cell r="AC121">
            <v>34.299999999999997</v>
          </cell>
          <cell r="AD121">
            <v>1.17</v>
          </cell>
          <cell r="AE121">
            <v>139.69999999999999</v>
          </cell>
          <cell r="AF121">
            <v>7.72</v>
          </cell>
          <cell r="AG121">
            <v>1947</v>
          </cell>
          <cell r="AH121">
            <v>1930</v>
          </cell>
          <cell r="AI121">
            <v>1930</v>
          </cell>
          <cell r="AM121" t="str">
            <v>закрытый</v>
          </cell>
          <cell r="AN121" t="str">
            <v>1803,8-1807,8; 1809,8-1813,8; 1815,8-1817,8; 1820,8-1823,8; 1825,8-1831,8; 1834,8-1865,8; 1869,8-1871,8; 1875,8-1881,8; 1887,8-1890,8; 1895,8-1898,8; 1900,8-1902,8; 1905,8-1925,8</v>
          </cell>
          <cell r="AO121">
            <v>64.37</v>
          </cell>
          <cell r="AP121">
            <v>1803.8</v>
          </cell>
          <cell r="AQ121">
            <v>99.4</v>
          </cell>
          <cell r="AU121" t="str">
            <v>Фон.</v>
          </cell>
          <cell r="AV121">
            <v>600</v>
          </cell>
          <cell r="AW121" t="str">
            <v>ГК 94/3</v>
          </cell>
          <cell r="AX121">
            <v>1200</v>
          </cell>
          <cell r="AY121" t="str">
            <v>ГК 97/4</v>
          </cell>
          <cell r="AZ121">
            <v>1730</v>
          </cell>
          <cell r="BA121" t="str">
            <v>ЦКсОК 5/16</v>
          </cell>
          <cell r="BB121" t="str">
            <v>-</v>
          </cell>
          <cell r="BC121" t="str">
            <v>-</v>
          </cell>
          <cell r="BD121" t="str">
            <v>-</v>
          </cell>
          <cell r="BE121" t="str">
            <v>-</v>
          </cell>
          <cell r="BF121" t="str">
            <v>-</v>
          </cell>
          <cell r="BG121" t="str">
            <v>-</v>
          </cell>
          <cell r="BH121">
            <v>1740</v>
          </cell>
          <cell r="BI121" t="str">
            <v>открыт</v>
          </cell>
        </row>
        <row r="122">
          <cell r="J122" t="str">
            <v>1033-1</v>
          </cell>
          <cell r="K122" t="str">
            <v>Куст скважины-1033</v>
          </cell>
          <cell r="L122">
            <v>39616</v>
          </cell>
          <cell r="M122" t="str">
            <v>Гор.</v>
          </cell>
          <cell r="N122" t="str">
            <v>Р4+5_Block3</v>
          </cell>
          <cell r="O122" t="str">
            <v>Действующий</v>
          </cell>
          <cell r="P122" t="str">
            <v>В работе</v>
          </cell>
          <cell r="Q122">
            <v>-4</v>
          </cell>
          <cell r="R122" t="str">
            <v xml:space="preserve"> </v>
          </cell>
          <cell r="S122" t="str">
            <v xml:space="preserve"> </v>
          </cell>
          <cell r="U122">
            <v>203</v>
          </cell>
          <cell r="V122">
            <v>218.2</v>
          </cell>
          <cell r="W122">
            <v>0.98</v>
          </cell>
          <cell r="X122">
            <v>1.66</v>
          </cell>
          <cell r="Y122">
            <v>1.3899521531100476</v>
          </cell>
          <cell r="Z122">
            <v>1.454</v>
          </cell>
          <cell r="AA122">
            <v>0.83599999999999997</v>
          </cell>
          <cell r="AB122">
            <v>0.72</v>
          </cell>
          <cell r="AC122">
            <v>34.299999999999997</v>
          </cell>
          <cell r="AD122">
            <v>1.17</v>
          </cell>
          <cell r="AE122" t="str">
            <v>139,7;
102</v>
          </cell>
          <cell r="AF122" t="str">
            <v>7,72;
6,5</v>
          </cell>
          <cell r="AG122" t="str">
            <v>1937;
1886,5</v>
          </cell>
          <cell r="AH122">
            <v>2481</v>
          </cell>
          <cell r="AI122">
            <v>2481</v>
          </cell>
          <cell r="AM122" t="str">
            <v>открытый</v>
          </cell>
          <cell r="AN122" t="str">
            <v>1886,5-2481</v>
          </cell>
          <cell r="AO122">
            <v>32.51</v>
          </cell>
          <cell r="AP122">
            <v>1886.5</v>
          </cell>
          <cell r="AQ122">
            <v>41.11</v>
          </cell>
          <cell r="AR122" t="str">
            <v>1565,9-1886,5</v>
          </cell>
          <cell r="AS122">
            <v>102</v>
          </cell>
          <cell r="AT122">
            <v>6.5</v>
          </cell>
          <cell r="AU122" t="str">
            <v>Газлифт</v>
          </cell>
          <cell r="AV122">
            <v>646.00001074199997</v>
          </cell>
          <cell r="AW122" t="str">
            <v>ГП</v>
          </cell>
          <cell r="AX122">
            <v>1208.9999900390001</v>
          </cell>
          <cell r="AY122" t="str">
            <v>ГК 88 1/4</v>
          </cell>
          <cell r="AZ122">
            <v>1540.000065234</v>
          </cell>
          <cell r="BA122" t="str">
            <v>ЦКсОК 5/16</v>
          </cell>
          <cell r="BB122" t="str">
            <v>-</v>
          </cell>
          <cell r="BC122" t="str">
            <v>-</v>
          </cell>
          <cell r="BD122" t="str">
            <v>-</v>
          </cell>
          <cell r="BE122" t="str">
            <v>-</v>
          </cell>
          <cell r="BF122" t="str">
            <v>-</v>
          </cell>
          <cell r="BG122" t="str">
            <v>-</v>
          </cell>
          <cell r="BH122">
            <v>1550</v>
          </cell>
          <cell r="BI122" t="str">
            <v>закрыт</v>
          </cell>
        </row>
        <row r="123">
          <cell r="J123" t="str">
            <v>1034-2</v>
          </cell>
          <cell r="K123" t="str">
            <v>Куст скважины-1034</v>
          </cell>
          <cell r="L123">
            <v>38980</v>
          </cell>
          <cell r="M123" t="str">
            <v>Верт.</v>
          </cell>
          <cell r="N123" t="str">
            <v>Р4+5_Block3, P5i</v>
          </cell>
          <cell r="O123" t="str">
            <v>Действующий</v>
          </cell>
          <cell r="P123" t="str">
            <v>В работе</v>
          </cell>
          <cell r="Q123">
            <v>-4</v>
          </cell>
          <cell r="R123" t="str">
            <v xml:space="preserve"> </v>
          </cell>
          <cell r="S123" t="str">
            <v xml:space="preserve"> </v>
          </cell>
          <cell r="U123">
            <v>203</v>
          </cell>
          <cell r="V123">
            <v>218.2</v>
          </cell>
          <cell r="W123">
            <v>0.98</v>
          </cell>
          <cell r="X123">
            <v>1.66</v>
          </cell>
          <cell r="Y123">
            <v>0.98</v>
          </cell>
          <cell r="Z123">
            <v>1.454</v>
          </cell>
          <cell r="AA123">
            <v>0.83599999999999997</v>
          </cell>
          <cell r="AB123">
            <v>0.72</v>
          </cell>
          <cell r="AC123">
            <v>34.299999999999997</v>
          </cell>
          <cell r="AD123">
            <v>1.17</v>
          </cell>
          <cell r="AE123">
            <v>139.69999999999999</v>
          </cell>
          <cell r="AF123">
            <v>7.72</v>
          </cell>
          <cell r="AG123">
            <v>2049</v>
          </cell>
          <cell r="AH123">
            <v>2500</v>
          </cell>
          <cell r="AI123">
            <v>1920</v>
          </cell>
          <cell r="AM123" t="str">
            <v>закрытый</v>
          </cell>
          <cell r="AN123" t="str">
            <v>1753-1761; 1763-1768; 1771-1785; 1793-1802 (газовая шапка); 1854-1862; 1866-1868; 1871-1875; 1882-1887; 1893-1895</v>
          </cell>
          <cell r="AO123">
            <v>37.81</v>
          </cell>
          <cell r="AP123">
            <v>1753</v>
          </cell>
          <cell r="AQ123">
            <v>0.64</v>
          </cell>
          <cell r="AU123" t="str">
            <v>Фон.</v>
          </cell>
          <cell r="AV123">
            <v>600</v>
          </cell>
          <cell r="AW123" t="str">
            <v>ГК 45 1/8</v>
          </cell>
          <cell r="AX123">
            <v>1200</v>
          </cell>
          <cell r="AY123" t="str">
            <v>ГП</v>
          </cell>
          <cell r="AZ123">
            <v>1690</v>
          </cell>
          <cell r="BA123" t="str">
            <v>ЦКсОК 5/16</v>
          </cell>
          <cell r="BB123" t="str">
            <v>-</v>
          </cell>
          <cell r="BC123" t="str">
            <v>-</v>
          </cell>
          <cell r="BD123" t="str">
            <v>-</v>
          </cell>
          <cell r="BE123" t="str">
            <v>-</v>
          </cell>
          <cell r="BF123" t="str">
            <v>-</v>
          </cell>
          <cell r="BG123" t="str">
            <v>-</v>
          </cell>
          <cell r="BH123">
            <v>1700</v>
          </cell>
          <cell r="BI123" t="str">
            <v>закрыт</v>
          </cell>
        </row>
        <row r="124">
          <cell r="J124" t="str">
            <v>1034-1</v>
          </cell>
          <cell r="K124" t="str">
            <v>Куст скважины-1034</v>
          </cell>
          <cell r="L124">
            <v>39025</v>
          </cell>
          <cell r="M124" t="str">
            <v>Гор.</v>
          </cell>
          <cell r="N124" t="str">
            <v>Р4+5_Block3, P5i</v>
          </cell>
          <cell r="O124" t="str">
            <v>Действующий</v>
          </cell>
          <cell r="P124" t="str">
            <v>В работе</v>
          </cell>
          <cell r="Q124">
            <v>-4</v>
          </cell>
          <cell r="R124" t="str">
            <v xml:space="preserve"> </v>
          </cell>
          <cell r="S124" t="str">
            <v xml:space="preserve"> </v>
          </cell>
          <cell r="U124">
            <v>203</v>
          </cell>
          <cell r="V124">
            <v>218.2</v>
          </cell>
          <cell r="W124">
            <v>0.98</v>
          </cell>
          <cell r="X124">
            <v>1.66</v>
          </cell>
          <cell r="Y124">
            <v>1.0868519508284338</v>
          </cell>
          <cell r="Z124">
            <v>1.454</v>
          </cell>
          <cell r="AA124">
            <v>0.83599999999999997</v>
          </cell>
          <cell r="AB124">
            <v>0.72</v>
          </cell>
          <cell r="AC124">
            <v>34.299999999999997</v>
          </cell>
          <cell r="AD124">
            <v>1.17</v>
          </cell>
          <cell r="AE124">
            <v>139.69999999999999</v>
          </cell>
          <cell r="AF124">
            <v>7.72</v>
          </cell>
          <cell r="AG124">
            <v>1947</v>
          </cell>
          <cell r="AH124">
            <v>2400</v>
          </cell>
          <cell r="AI124">
            <v>2400</v>
          </cell>
          <cell r="AM124" t="str">
            <v>открытый</v>
          </cell>
          <cell r="AN124" t="str">
            <v xml:space="preserve">1947-2400 </v>
          </cell>
          <cell r="AO124">
            <v>17.25</v>
          </cell>
          <cell r="AP124">
            <v>1947</v>
          </cell>
          <cell r="AQ124">
            <v>97.4</v>
          </cell>
          <cell r="AU124" t="str">
            <v>Фон.</v>
          </cell>
          <cell r="AV124">
            <v>597</v>
          </cell>
          <cell r="AW124" t="str">
            <v>ГК 45 1/8</v>
          </cell>
          <cell r="AX124">
            <v>1194</v>
          </cell>
          <cell r="AY124" t="str">
            <v>ГК 65 1/8</v>
          </cell>
          <cell r="AZ124">
            <v>1700</v>
          </cell>
          <cell r="BA124" t="str">
            <v>ЦКсОК 5/16</v>
          </cell>
          <cell r="BB124" t="str">
            <v>-</v>
          </cell>
          <cell r="BC124" t="str">
            <v>-</v>
          </cell>
          <cell r="BD124" t="str">
            <v>-</v>
          </cell>
          <cell r="BE124" t="str">
            <v>-</v>
          </cell>
          <cell r="BF124" t="str">
            <v>-</v>
          </cell>
          <cell r="BG124" t="str">
            <v>-</v>
          </cell>
          <cell r="BH124">
            <v>1711</v>
          </cell>
          <cell r="BI124" t="str">
            <v>закрыт</v>
          </cell>
        </row>
        <row r="125">
          <cell r="J125" t="str">
            <v>1034-3</v>
          </cell>
          <cell r="K125" t="str">
            <v>Куст скважины-1034</v>
          </cell>
          <cell r="L125">
            <v>39318</v>
          </cell>
          <cell r="M125" t="str">
            <v>Гор.</v>
          </cell>
          <cell r="N125" t="str">
            <v>Р4+5_Block3</v>
          </cell>
          <cell r="O125" t="str">
            <v>Действующий</v>
          </cell>
          <cell r="P125" t="str">
            <v>В работе</v>
          </cell>
          <cell r="Q125">
            <v>-4</v>
          </cell>
          <cell r="U125">
            <v>203</v>
          </cell>
          <cell r="V125">
            <v>218.2</v>
          </cell>
          <cell r="W125">
            <v>0.98</v>
          </cell>
          <cell r="X125">
            <v>1.66</v>
          </cell>
          <cell r="Y125">
            <v>1.1121137544435329</v>
          </cell>
          <cell r="Z125">
            <v>1.454</v>
          </cell>
          <cell r="AA125">
            <v>0.83599999999999997</v>
          </cell>
          <cell r="AB125">
            <v>0.72</v>
          </cell>
          <cell r="AC125">
            <v>34.299999999999997</v>
          </cell>
          <cell r="AD125">
            <v>1.17</v>
          </cell>
          <cell r="AE125">
            <v>139.69999999999999</v>
          </cell>
          <cell r="AF125">
            <v>7.72</v>
          </cell>
          <cell r="AG125">
            <v>1930</v>
          </cell>
          <cell r="AH125">
            <v>2500</v>
          </cell>
          <cell r="AI125">
            <v>2500</v>
          </cell>
          <cell r="AM125" t="str">
            <v>открытый</v>
          </cell>
          <cell r="AN125" t="str">
            <v>1905-2500</v>
          </cell>
          <cell r="AO125">
            <v>39</v>
          </cell>
          <cell r="AP125">
            <v>1905</v>
          </cell>
          <cell r="AQ125">
            <v>60.4</v>
          </cell>
          <cell r="AU125" t="str">
            <v>Фон.</v>
          </cell>
          <cell r="AV125">
            <v>505</v>
          </cell>
          <cell r="AW125" t="str">
            <v>ГП</v>
          </cell>
          <cell r="AX125">
            <v>905</v>
          </cell>
          <cell r="AY125" t="str">
            <v>ГП</v>
          </cell>
          <cell r="AZ125">
            <v>1205</v>
          </cell>
          <cell r="BA125" t="str">
            <v>ГП</v>
          </cell>
          <cell r="BB125">
            <v>1395</v>
          </cell>
          <cell r="BC125" t="str">
            <v>ГП</v>
          </cell>
          <cell r="BD125">
            <v>1485</v>
          </cell>
          <cell r="BE125" t="str">
            <v>ЦКсОК 5/16</v>
          </cell>
          <cell r="BF125" t="str">
            <v>-</v>
          </cell>
          <cell r="BG125" t="str">
            <v>-</v>
          </cell>
          <cell r="BH125">
            <v>1500</v>
          </cell>
          <cell r="BI125" t="str">
            <v>закрыт</v>
          </cell>
        </row>
        <row r="126">
          <cell r="J126" t="str">
            <v>1036-2</v>
          </cell>
          <cell r="K126" t="str">
            <v>К-4</v>
          </cell>
          <cell r="L126">
            <v>41641</v>
          </cell>
          <cell r="M126" t="str">
            <v>Гор.</v>
          </cell>
          <cell r="N126" t="str">
            <v>Р4+5_Block3</v>
          </cell>
          <cell r="O126" t="str">
            <v>Действующий</v>
          </cell>
          <cell r="P126" t="str">
            <v>В работе</v>
          </cell>
          <cell r="Q126">
            <v>-4</v>
          </cell>
          <cell r="S126" t="str">
            <v xml:space="preserve"> </v>
          </cell>
          <cell r="U126">
            <v>203</v>
          </cell>
          <cell r="V126">
            <v>218.2</v>
          </cell>
          <cell r="W126">
            <v>0.98</v>
          </cell>
          <cell r="X126">
            <v>1.66</v>
          </cell>
          <cell r="Y126">
            <v>0.98</v>
          </cell>
          <cell r="Z126">
            <v>1.454</v>
          </cell>
          <cell r="AA126">
            <v>0.83599999999999997</v>
          </cell>
          <cell r="AB126">
            <v>0.72</v>
          </cell>
          <cell r="AC126">
            <v>34.299999999999997</v>
          </cell>
          <cell r="AD126">
            <v>1.17</v>
          </cell>
          <cell r="AE126">
            <v>177.8</v>
          </cell>
          <cell r="AF126">
            <v>9.19</v>
          </cell>
          <cell r="AG126">
            <v>2060</v>
          </cell>
          <cell r="AH126" t="str">
            <v>1 ств 2640
2 ств 2623</v>
          </cell>
          <cell r="AI126" t="str">
            <v>1 ств 2640
2 ств 2623</v>
          </cell>
          <cell r="AM126" t="str">
            <v>открытый</v>
          </cell>
          <cell r="AN126" t="str">
            <v xml:space="preserve">  2060-2640;
  2099-2623 </v>
          </cell>
          <cell r="AO126">
            <v>18.47</v>
          </cell>
          <cell r="AP126">
            <v>2060</v>
          </cell>
          <cell r="AQ126">
            <v>203.07</v>
          </cell>
          <cell r="AU126" t="str">
            <v>Фон.</v>
          </cell>
          <cell r="AV126">
            <v>600</v>
          </cell>
          <cell r="AW126" t="str">
            <v>ГП</v>
          </cell>
          <cell r="AX126">
            <v>1200</v>
          </cell>
          <cell r="AY126" t="str">
            <v>ГП</v>
          </cell>
          <cell r="AZ126">
            <v>1800</v>
          </cell>
          <cell r="BA126" t="str">
            <v>ЦКсОК 5/16</v>
          </cell>
          <cell r="BB126" t="str">
            <v>-</v>
          </cell>
          <cell r="BC126" t="str">
            <v>-</v>
          </cell>
          <cell r="BD126" t="str">
            <v>-</v>
          </cell>
          <cell r="BE126" t="str">
            <v>-</v>
          </cell>
          <cell r="BF126" t="str">
            <v>-</v>
          </cell>
          <cell r="BG126" t="str">
            <v>-</v>
          </cell>
          <cell r="BH126" t="str">
            <v>-</v>
          </cell>
          <cell r="BI126" t="str">
            <v>-</v>
          </cell>
        </row>
        <row r="127">
          <cell r="J127" t="str">
            <v>1036-1</v>
          </cell>
          <cell r="K127" t="str">
            <v>К-4</v>
          </cell>
          <cell r="L127">
            <v>41588</v>
          </cell>
          <cell r="M127" t="str">
            <v>Гор.</v>
          </cell>
          <cell r="N127" t="str">
            <v>А4</v>
          </cell>
          <cell r="O127" t="str">
            <v>Действующий</v>
          </cell>
          <cell r="P127" t="str">
            <v>Остановлена</v>
          </cell>
          <cell r="Q127">
            <v>-4</v>
          </cell>
          <cell r="S127" t="str">
            <v xml:space="preserve"> </v>
          </cell>
          <cell r="U127">
            <v>203</v>
          </cell>
          <cell r="V127">
            <v>218.2</v>
          </cell>
          <cell r="W127">
            <v>0.98</v>
          </cell>
          <cell r="X127">
            <v>1.66</v>
          </cell>
          <cell r="Y127">
            <v>0.98024092668559493</v>
          </cell>
          <cell r="Z127">
            <v>1.454</v>
          </cell>
          <cell r="AA127">
            <v>0.83599999999999997</v>
          </cell>
          <cell r="AB127">
            <v>0.72</v>
          </cell>
          <cell r="AC127">
            <v>34.299999999999997</v>
          </cell>
          <cell r="AD127">
            <v>1.17</v>
          </cell>
          <cell r="AE127">
            <v>177.8</v>
          </cell>
          <cell r="AF127">
            <v>9.19</v>
          </cell>
          <cell r="AG127">
            <v>1978</v>
          </cell>
          <cell r="AH127">
            <v>2770</v>
          </cell>
          <cell r="AI127">
            <v>2770</v>
          </cell>
          <cell r="AM127" t="str">
            <v>открытый</v>
          </cell>
          <cell r="AN127" t="str">
            <v>1978-2770</v>
          </cell>
          <cell r="AO127">
            <v>50.79</v>
          </cell>
          <cell r="AP127">
            <v>1978</v>
          </cell>
          <cell r="AQ127">
            <v>120.7</v>
          </cell>
          <cell r="AU127" t="str">
            <v>Фон.</v>
          </cell>
          <cell r="AV127">
            <v>560</v>
          </cell>
          <cell r="AW127" t="str">
            <v>ГК 89 1/8</v>
          </cell>
          <cell r="AX127">
            <v>1000</v>
          </cell>
          <cell r="AY127" t="str">
            <v>ГК 87 1/8</v>
          </cell>
          <cell r="AZ127">
            <v>1349.999978906</v>
          </cell>
          <cell r="BA127" t="str">
            <v>ГК 86 1/8</v>
          </cell>
          <cell r="BB127">
            <v>1660.0000335939999</v>
          </cell>
          <cell r="BC127" t="str">
            <v>ГК 85 5/32</v>
          </cell>
          <cell r="BD127">
            <v>1957.999927734</v>
          </cell>
          <cell r="BE127" t="str">
            <v>ЦКсОК 5/16</v>
          </cell>
          <cell r="BF127" t="str">
            <v>-</v>
          </cell>
          <cell r="BG127" t="str">
            <v>-</v>
          </cell>
          <cell r="BH127">
            <v>1810</v>
          </cell>
          <cell r="BI127" t="str">
            <v>закрыт</v>
          </cell>
        </row>
        <row r="128">
          <cell r="J128" t="str">
            <v>1040-1</v>
          </cell>
          <cell r="K128" t="str">
            <v>Куст скважины-1040</v>
          </cell>
          <cell r="L128">
            <v>40444</v>
          </cell>
          <cell r="M128" t="str">
            <v>Гор.</v>
          </cell>
          <cell r="N128" t="str">
            <v>Р4+5_Block3, P5i</v>
          </cell>
          <cell r="O128" t="str">
            <v>Действующий</v>
          </cell>
          <cell r="P128" t="str">
            <v>Остановлена</v>
          </cell>
          <cell r="Q128">
            <v>-4</v>
          </cell>
          <cell r="U128">
            <v>203</v>
          </cell>
          <cell r="V128">
            <v>218.2</v>
          </cell>
          <cell r="W128">
            <v>0.98</v>
          </cell>
          <cell r="X128">
            <v>1.66</v>
          </cell>
          <cell r="Y128">
            <v>1.0004920049200492</v>
          </cell>
          <cell r="Z128">
            <v>1.454</v>
          </cell>
          <cell r="AA128">
            <v>0.83599999999999997</v>
          </cell>
          <cell r="AB128">
            <v>0.72</v>
          </cell>
          <cell r="AC128">
            <v>34.299999999999997</v>
          </cell>
          <cell r="AD128">
            <v>1.17</v>
          </cell>
          <cell r="AE128">
            <v>139.69999999999999</v>
          </cell>
          <cell r="AF128">
            <v>7.72</v>
          </cell>
          <cell r="AG128">
            <v>1989</v>
          </cell>
          <cell r="AH128">
            <v>2690</v>
          </cell>
          <cell r="AI128">
            <v>2690</v>
          </cell>
          <cell r="AM128" t="str">
            <v>открытый</v>
          </cell>
          <cell r="AN128" t="str">
            <v>1924-2690</v>
          </cell>
          <cell r="AO128">
            <v>32.299999999999997</v>
          </cell>
          <cell r="AP128">
            <v>1924</v>
          </cell>
          <cell r="AQ128">
            <v>22.11</v>
          </cell>
          <cell r="AR128" t="str">
            <v>1645-1924</v>
          </cell>
          <cell r="AS128">
            <v>102</v>
          </cell>
          <cell r="AT128">
            <v>6.5</v>
          </cell>
          <cell r="AU128" t="str">
            <v>Газлифт</v>
          </cell>
          <cell r="AV128">
            <v>529.99998427699995</v>
          </cell>
          <cell r="AW128" t="str">
            <v>ГП</v>
          </cell>
          <cell r="AX128">
            <v>949.99998515599998</v>
          </cell>
          <cell r="AY128" t="str">
            <v>ГП</v>
          </cell>
          <cell r="AZ128">
            <v>1299.9999796879999</v>
          </cell>
          <cell r="BA128" t="str">
            <v>ГК 84 1/8</v>
          </cell>
          <cell r="BB128">
            <v>1599.9999749999999</v>
          </cell>
          <cell r="BC128" t="str">
            <v>ЦКсОК 5/16</v>
          </cell>
          <cell r="BD128" t="str">
            <v>-</v>
          </cell>
          <cell r="BE128" t="str">
            <v>-</v>
          </cell>
          <cell r="BF128" t="str">
            <v>-</v>
          </cell>
          <cell r="BG128" t="str">
            <v>-</v>
          </cell>
          <cell r="BH128">
            <v>1610</v>
          </cell>
          <cell r="BI128" t="str">
            <v>закрыт</v>
          </cell>
        </row>
        <row r="129">
          <cell r="J129" t="str">
            <v>1040-2</v>
          </cell>
          <cell r="K129" t="str">
            <v>Куст скважины-1040</v>
          </cell>
          <cell r="L129">
            <v>40296</v>
          </cell>
          <cell r="M129" t="str">
            <v>Гор.</v>
          </cell>
          <cell r="N129" t="str">
            <v>Р4+5_Block3</v>
          </cell>
          <cell r="O129" t="str">
            <v>Действующий</v>
          </cell>
          <cell r="P129" t="str">
            <v>Остановлена</v>
          </cell>
          <cell r="Q129">
            <v>-4</v>
          </cell>
          <cell r="R129" t="str">
            <v xml:space="preserve"> </v>
          </cell>
          <cell r="S129" t="str">
            <v xml:space="preserve"> </v>
          </cell>
          <cell r="U129">
            <v>203</v>
          </cell>
          <cell r="V129">
            <v>218.2</v>
          </cell>
          <cell r="W129">
            <v>0.98</v>
          </cell>
          <cell r="X129">
            <v>1.66</v>
          </cell>
          <cell r="Y129">
            <v>0.98068293341628265</v>
          </cell>
          <cell r="Z129">
            <v>1.454</v>
          </cell>
          <cell r="AA129">
            <v>0.83599999999999997</v>
          </cell>
          <cell r="AB129">
            <v>0.72</v>
          </cell>
          <cell r="AC129">
            <v>34.299999999999997</v>
          </cell>
          <cell r="AD129">
            <v>1.17</v>
          </cell>
          <cell r="AE129">
            <v>139.69999999999999</v>
          </cell>
          <cell r="AF129">
            <v>7.72</v>
          </cell>
          <cell r="AG129">
            <v>1950.6</v>
          </cell>
          <cell r="AH129">
            <v>2400</v>
          </cell>
          <cell r="AI129">
            <v>2400</v>
          </cell>
          <cell r="AM129" t="str">
            <v>открытый</v>
          </cell>
          <cell r="AN129" t="str">
            <v>1950,6-2400</v>
          </cell>
          <cell r="AO129">
            <v>45.41</v>
          </cell>
          <cell r="AP129">
            <v>1950.6</v>
          </cell>
          <cell r="AQ129">
            <v>16.2</v>
          </cell>
          <cell r="AU129" t="str">
            <v>Газлифт</v>
          </cell>
          <cell r="AV129">
            <v>549.99999140600005</v>
          </cell>
          <cell r="AW129" t="str">
            <v>ГП</v>
          </cell>
          <cell r="AX129">
            <v>980.00001445299995</v>
          </cell>
          <cell r="AY129" t="str">
            <v>ГК 85 1/8</v>
          </cell>
          <cell r="AZ129">
            <v>1330.000008984</v>
          </cell>
          <cell r="BA129" t="str">
            <v>ГК 85 1/8</v>
          </cell>
          <cell r="BB129">
            <v>1610.000034375</v>
          </cell>
          <cell r="BC129" t="str">
            <v>ГК 84 1/8</v>
          </cell>
          <cell r="BD129">
            <v>1760</v>
          </cell>
          <cell r="BE129" t="str">
            <v>ЦКсОК 5/16</v>
          </cell>
          <cell r="BF129" t="str">
            <v>-</v>
          </cell>
          <cell r="BG129" t="str">
            <v>-</v>
          </cell>
          <cell r="BH129">
            <v>1780</v>
          </cell>
          <cell r="BI129" t="str">
            <v>закрыт</v>
          </cell>
        </row>
        <row r="130">
          <cell r="J130">
            <v>1044</v>
          </cell>
          <cell r="K130" t="str">
            <v>Куст скважины-1044</v>
          </cell>
          <cell r="L130">
            <v>41137</v>
          </cell>
          <cell r="M130" t="str">
            <v>Гор.</v>
          </cell>
          <cell r="N130" t="str">
            <v>Р4+5_Block3</v>
          </cell>
          <cell r="O130" t="str">
            <v>Действующий</v>
          </cell>
          <cell r="P130" t="str">
            <v>В работе</v>
          </cell>
          <cell r="Q130">
            <v>-4</v>
          </cell>
          <cell r="R130" t="str">
            <v xml:space="preserve"> </v>
          </cell>
          <cell r="S130" t="str">
            <v xml:space="preserve"> </v>
          </cell>
          <cell r="U130">
            <v>203</v>
          </cell>
          <cell r="V130">
            <v>218.2</v>
          </cell>
          <cell r="W130">
            <v>0.98</v>
          </cell>
          <cell r="X130">
            <v>1.66</v>
          </cell>
          <cell r="Y130">
            <v>1.0172967970284028</v>
          </cell>
          <cell r="Z130">
            <v>1.454</v>
          </cell>
          <cell r="AA130">
            <v>0.83599999999999997</v>
          </cell>
          <cell r="AB130">
            <v>0.72</v>
          </cell>
          <cell r="AC130">
            <v>34.299999999999997</v>
          </cell>
          <cell r="AD130">
            <v>1.17</v>
          </cell>
          <cell r="AE130">
            <v>139.69999999999999</v>
          </cell>
          <cell r="AF130">
            <v>7.72</v>
          </cell>
          <cell r="AG130">
            <v>1879</v>
          </cell>
          <cell r="AH130">
            <v>2500</v>
          </cell>
          <cell r="AI130">
            <v>2500</v>
          </cell>
          <cell r="AM130" t="str">
            <v>открытый</v>
          </cell>
          <cell r="AN130" t="str">
            <v>1880-2500</v>
          </cell>
          <cell r="AO130">
            <v>91.73</v>
          </cell>
          <cell r="AP130">
            <v>1880</v>
          </cell>
          <cell r="AQ130">
            <v>16.14</v>
          </cell>
          <cell r="AU130" t="str">
            <v>Газлифт</v>
          </cell>
          <cell r="AV130">
            <v>599.99999062500001</v>
          </cell>
          <cell r="AW130" t="str">
            <v>ГП</v>
          </cell>
          <cell r="AX130">
            <v>1199.99998125</v>
          </cell>
          <cell r="AY130" t="str">
            <v>ГП</v>
          </cell>
          <cell r="AZ130">
            <v>1771.000067578</v>
          </cell>
          <cell r="BA130" t="str">
            <v>ЦКсОК 5/16</v>
          </cell>
          <cell r="BB130" t="str">
            <v>-</v>
          </cell>
          <cell r="BC130" t="str">
            <v>-</v>
          </cell>
          <cell r="BD130" t="str">
            <v>-</v>
          </cell>
          <cell r="BE130" t="str">
            <v>-</v>
          </cell>
          <cell r="BF130" t="str">
            <v>-</v>
          </cell>
          <cell r="BG130" t="str">
            <v>-</v>
          </cell>
          <cell r="BH130">
            <v>1783</v>
          </cell>
          <cell r="BI130" t="str">
            <v>закрыт</v>
          </cell>
        </row>
        <row r="131">
          <cell r="J131" t="str">
            <v>1044-2</v>
          </cell>
          <cell r="K131" t="str">
            <v>Куст скважины-1044</v>
          </cell>
          <cell r="L131">
            <v>41015</v>
          </cell>
          <cell r="M131" t="str">
            <v>Гор.</v>
          </cell>
          <cell r="N131" t="str">
            <v>Р4+5_Block3</v>
          </cell>
          <cell r="O131" t="str">
            <v>Действующий</v>
          </cell>
          <cell r="P131" t="str">
            <v>Остановлена</v>
          </cell>
          <cell r="Q131">
            <v>-4</v>
          </cell>
          <cell r="R131" t="str">
            <v xml:space="preserve"> </v>
          </cell>
          <cell r="S131" t="str">
            <v xml:space="preserve"> </v>
          </cell>
          <cell r="U131">
            <v>203</v>
          </cell>
          <cell r="V131">
            <v>218.2</v>
          </cell>
          <cell r="W131">
            <v>0.98</v>
          </cell>
          <cell r="X131">
            <v>1.66</v>
          </cell>
          <cell r="Y131">
            <v>1.0631373399869819</v>
          </cell>
          <cell r="Z131">
            <v>1.454</v>
          </cell>
          <cell r="AA131">
            <v>0.83599999999999997</v>
          </cell>
          <cell r="AB131">
            <v>0.72</v>
          </cell>
          <cell r="AC131">
            <v>34.299999999999997</v>
          </cell>
          <cell r="AD131">
            <v>1.17</v>
          </cell>
          <cell r="AE131">
            <v>139.69999999999999</v>
          </cell>
          <cell r="AF131">
            <v>7.72</v>
          </cell>
          <cell r="AG131">
            <v>1880</v>
          </cell>
          <cell r="AH131">
            <v>2400</v>
          </cell>
          <cell r="AI131">
            <v>2400</v>
          </cell>
          <cell r="AM131" t="str">
            <v>открытый</v>
          </cell>
          <cell r="AN131" t="str">
            <v>1899-2400</v>
          </cell>
          <cell r="AO131">
            <v>53.79</v>
          </cell>
          <cell r="AP131">
            <v>1899</v>
          </cell>
          <cell r="AQ131">
            <v>32.090000000000003</v>
          </cell>
          <cell r="AU131" t="str">
            <v>Газлифт</v>
          </cell>
          <cell r="AV131">
            <v>379.99998662100001</v>
          </cell>
          <cell r="AW131" t="str">
            <v>ГП</v>
          </cell>
          <cell r="AX131">
            <v>720.00003339800003</v>
          </cell>
          <cell r="AY131" t="str">
            <v>ГП</v>
          </cell>
          <cell r="AZ131">
            <v>1080.0000128910001</v>
          </cell>
          <cell r="BA131" t="str">
            <v>ГП</v>
          </cell>
          <cell r="BB131">
            <v>1380.0000082030001</v>
          </cell>
          <cell r="BC131" t="str">
            <v>ГК 84 1/8</v>
          </cell>
          <cell r="BD131">
            <v>1640.0000636719999</v>
          </cell>
          <cell r="BE131" t="str">
            <v>ЦКсОК 5/16</v>
          </cell>
          <cell r="BF131" t="str">
            <v>-</v>
          </cell>
          <cell r="BG131" t="str">
            <v>-</v>
          </cell>
          <cell r="BH131">
            <v>1700</v>
          </cell>
          <cell r="BI131" t="str">
            <v>закрыт</v>
          </cell>
        </row>
        <row r="132">
          <cell r="J132" t="str">
            <v>1044-1</v>
          </cell>
          <cell r="K132" t="str">
            <v>Куст скважины-1044</v>
          </cell>
          <cell r="L132">
            <v>41082</v>
          </cell>
          <cell r="M132" t="str">
            <v>Гор.</v>
          </cell>
          <cell r="N132" t="str">
            <v>Р4+5_Block3</v>
          </cell>
          <cell r="O132" t="str">
            <v>Действующий</v>
          </cell>
          <cell r="P132" t="str">
            <v>В работе</v>
          </cell>
          <cell r="Q132">
            <v>-4</v>
          </cell>
          <cell r="R132" t="str">
            <v xml:space="preserve"> </v>
          </cell>
          <cell r="S132" t="str">
            <v xml:space="preserve"> </v>
          </cell>
          <cell r="U132">
            <v>203</v>
          </cell>
          <cell r="V132">
            <v>218.2</v>
          </cell>
          <cell r="W132">
            <v>0.98</v>
          </cell>
          <cell r="X132">
            <v>1.66</v>
          </cell>
          <cell r="Y132">
            <v>1.0175131348511381</v>
          </cell>
          <cell r="Z132">
            <v>1.454</v>
          </cell>
          <cell r="AA132">
            <v>0.83599999999999997</v>
          </cell>
          <cell r="AB132">
            <v>0.72</v>
          </cell>
          <cell r="AC132">
            <v>34.299999999999997</v>
          </cell>
          <cell r="AD132">
            <v>1.17</v>
          </cell>
          <cell r="AE132">
            <v>139.69999999999999</v>
          </cell>
          <cell r="AF132">
            <v>7.72</v>
          </cell>
          <cell r="AG132">
            <v>1880</v>
          </cell>
          <cell r="AH132">
            <v>2285</v>
          </cell>
          <cell r="AI132">
            <v>2285</v>
          </cell>
          <cell r="AM132" t="str">
            <v>открытый</v>
          </cell>
          <cell r="AN132" t="str">
            <v>1880-2285</v>
          </cell>
          <cell r="AO132">
            <v>65.7</v>
          </cell>
          <cell r="AP132">
            <v>1880</v>
          </cell>
          <cell r="AQ132">
            <v>20.78</v>
          </cell>
          <cell r="AU132" t="str">
            <v>Газлифт</v>
          </cell>
          <cell r="AV132">
            <v>510.00001435500002</v>
          </cell>
          <cell r="AW132" t="str">
            <v>ГП</v>
          </cell>
          <cell r="AX132">
            <v>940.00000019499998</v>
          </cell>
          <cell r="AY132" t="str">
            <v>ГК 80 1/8</v>
          </cell>
          <cell r="AZ132">
            <v>1299.9999796879999</v>
          </cell>
          <cell r="BA132" t="str">
            <v>ГК 79 1/8</v>
          </cell>
          <cell r="BB132">
            <v>1540.000065234</v>
          </cell>
          <cell r="BC132" t="str">
            <v>ГК 77 1/8</v>
          </cell>
          <cell r="BD132">
            <v>1730.000002734</v>
          </cell>
          <cell r="BE132" t="str">
            <v>ЦКсОК 5/16</v>
          </cell>
          <cell r="BF132" t="str">
            <v>-</v>
          </cell>
          <cell r="BG132" t="str">
            <v>-</v>
          </cell>
          <cell r="BH132">
            <v>1740</v>
          </cell>
          <cell r="BI132" t="str">
            <v>закрыт</v>
          </cell>
        </row>
        <row r="133">
          <cell r="J133">
            <v>1045</v>
          </cell>
          <cell r="K133" t="str">
            <v>Куст скважины-1045</v>
          </cell>
          <cell r="L133">
            <v>38618</v>
          </cell>
          <cell r="M133" t="str">
            <v>Гор.</v>
          </cell>
          <cell r="N133" t="str">
            <v>Р4+5_Block3</v>
          </cell>
          <cell r="O133" t="str">
            <v>Действующий</v>
          </cell>
          <cell r="P133" t="str">
            <v>В работе</v>
          </cell>
          <cell r="Q133">
            <v>-4</v>
          </cell>
          <cell r="R133" t="str">
            <v xml:space="preserve"> </v>
          </cell>
          <cell r="S133" t="str">
            <v xml:space="preserve"> </v>
          </cell>
          <cell r="U133">
            <v>203</v>
          </cell>
          <cell r="V133">
            <v>218.2</v>
          </cell>
          <cell r="W133">
            <v>0.98</v>
          </cell>
          <cell r="X133">
            <v>1.66</v>
          </cell>
          <cell r="Y133">
            <v>0.98973036114085466</v>
          </cell>
          <cell r="Z133">
            <v>1.454</v>
          </cell>
          <cell r="AA133">
            <v>0.83599999999999997</v>
          </cell>
          <cell r="AB133">
            <v>0.72</v>
          </cell>
          <cell r="AC133">
            <v>34.299999999999997</v>
          </cell>
          <cell r="AD133">
            <v>1.17</v>
          </cell>
          <cell r="AE133">
            <v>139.69999999999999</v>
          </cell>
          <cell r="AF133">
            <v>7.72</v>
          </cell>
          <cell r="AG133">
            <v>2047</v>
          </cell>
          <cell r="AH133">
            <v>2630</v>
          </cell>
          <cell r="AI133">
            <v>2630</v>
          </cell>
          <cell r="AM133" t="str">
            <v>закрытый</v>
          </cell>
          <cell r="AN133" t="str">
            <v>1920-2630</v>
          </cell>
          <cell r="AO133">
            <v>0</v>
          </cell>
          <cell r="AP133">
            <v>1920</v>
          </cell>
          <cell r="AQ133">
            <v>0.36</v>
          </cell>
          <cell r="AR133" t="str">
            <v>1617-1920</v>
          </cell>
          <cell r="AS133">
            <v>102</v>
          </cell>
          <cell r="AT133">
            <v>7.4</v>
          </cell>
          <cell r="AU133" t="str">
            <v>Фон.</v>
          </cell>
          <cell r="AV133">
            <v>597</v>
          </cell>
          <cell r="AW133" t="str">
            <v>ГП</v>
          </cell>
          <cell r="AX133">
            <v>1197</v>
          </cell>
          <cell r="AY133" t="str">
            <v>ГП</v>
          </cell>
          <cell r="AZ133">
            <v>1775</v>
          </cell>
          <cell r="BA133" t="str">
            <v>ЦКсОК 5/16</v>
          </cell>
          <cell r="BB133" t="str">
            <v>-</v>
          </cell>
          <cell r="BC133" t="str">
            <v>-</v>
          </cell>
          <cell r="BD133" t="str">
            <v>-</v>
          </cell>
          <cell r="BE133" t="str">
            <v>-</v>
          </cell>
          <cell r="BF133" t="str">
            <v>-</v>
          </cell>
          <cell r="BG133" t="str">
            <v>-</v>
          </cell>
          <cell r="BH133">
            <v>1887</v>
          </cell>
          <cell r="BI133" t="str">
            <v>закрыт</v>
          </cell>
        </row>
        <row r="134">
          <cell r="J134" t="str">
            <v>1045-1</v>
          </cell>
          <cell r="K134" t="str">
            <v>Куст скважины-1045</v>
          </cell>
          <cell r="L134">
            <v>38666</v>
          </cell>
          <cell r="M134" t="str">
            <v>Гор.</v>
          </cell>
          <cell r="N134" t="str">
            <v>Р4+5_Block3</v>
          </cell>
          <cell r="O134" t="str">
            <v>Действующий</v>
          </cell>
          <cell r="P134" t="str">
            <v>В работе</v>
          </cell>
          <cell r="Q134">
            <v>-4</v>
          </cell>
          <cell r="R134" t="str">
            <v xml:space="preserve"> </v>
          </cell>
          <cell r="S134" t="str">
            <v xml:space="preserve"> </v>
          </cell>
          <cell r="U134">
            <v>203</v>
          </cell>
          <cell r="V134">
            <v>218.2</v>
          </cell>
          <cell r="W134">
            <v>0.98</v>
          </cell>
          <cell r="X134">
            <v>1.66</v>
          </cell>
          <cell r="Y134">
            <v>0.98536847741550948</v>
          </cell>
          <cell r="Z134">
            <v>1.454</v>
          </cell>
          <cell r="AA134">
            <v>0.83599999999999997</v>
          </cell>
          <cell r="AB134">
            <v>0.72</v>
          </cell>
          <cell r="AC134">
            <v>34.299999999999997</v>
          </cell>
          <cell r="AD134">
            <v>1.17</v>
          </cell>
          <cell r="AE134">
            <v>139.69999999999999</v>
          </cell>
          <cell r="AF134">
            <v>7.72</v>
          </cell>
          <cell r="AG134">
            <v>1898.5</v>
          </cell>
          <cell r="AH134">
            <v>2426</v>
          </cell>
          <cell r="AI134">
            <v>2426</v>
          </cell>
          <cell r="AJ134">
            <v>43760</v>
          </cell>
          <cell r="AM134" t="str">
            <v>открытый</v>
          </cell>
          <cell r="AN134" t="str">
            <v>1898.5-2426</v>
          </cell>
          <cell r="AO134">
            <v>24.05</v>
          </cell>
          <cell r="AP134">
            <v>1899</v>
          </cell>
          <cell r="AQ134">
            <v>49.32</v>
          </cell>
          <cell r="AU134" t="str">
            <v>Фон.</v>
          </cell>
          <cell r="AV134">
            <v>600</v>
          </cell>
          <cell r="AW134" t="str">
            <v>ГК 82 1/8</v>
          </cell>
          <cell r="AX134">
            <v>1200</v>
          </cell>
          <cell r="AY134" t="str">
            <v>ГК 82 5/32</v>
          </cell>
          <cell r="AZ134">
            <v>1720</v>
          </cell>
          <cell r="BA134" t="str">
            <v>ЦКсОК 5/16</v>
          </cell>
          <cell r="BB134" t="str">
            <v>-</v>
          </cell>
          <cell r="BC134" t="str">
            <v>-</v>
          </cell>
          <cell r="BD134" t="str">
            <v>-</v>
          </cell>
          <cell r="BE134" t="str">
            <v>-</v>
          </cell>
          <cell r="BF134" t="str">
            <v>-</v>
          </cell>
          <cell r="BG134" t="str">
            <v>-</v>
          </cell>
          <cell r="BH134" t="str">
            <v>-</v>
          </cell>
          <cell r="BI134" t="str">
            <v>-</v>
          </cell>
        </row>
        <row r="135">
          <cell r="J135" t="str">
            <v>1046-2</v>
          </cell>
          <cell r="K135" t="str">
            <v>К-1</v>
          </cell>
          <cell r="L135">
            <v>41440</v>
          </cell>
          <cell r="M135" t="str">
            <v>Гор.</v>
          </cell>
          <cell r="N135" t="str">
            <v>Р4+5_Block3</v>
          </cell>
          <cell r="O135" t="str">
            <v>Действующий</v>
          </cell>
          <cell r="P135" t="str">
            <v>В работе</v>
          </cell>
          <cell r="Q135">
            <v>-4</v>
          </cell>
          <cell r="R135">
            <v>41986</v>
          </cell>
          <cell r="S135" t="str">
            <v>Slb</v>
          </cell>
          <cell r="T135" t="str">
            <v>КГРП: HCl 15%-96м3, 
WF-40м3, KCl 2%-29,3м3</v>
          </cell>
          <cell r="U135">
            <v>203</v>
          </cell>
          <cell r="V135">
            <v>218.2</v>
          </cell>
          <cell r="W135">
            <v>0.98</v>
          </cell>
          <cell r="X135">
            <v>1.66</v>
          </cell>
          <cell r="Y135">
            <v>0.98520616171721886</v>
          </cell>
          <cell r="Z135">
            <v>1.454</v>
          </cell>
          <cell r="AA135">
            <v>0.83599999999999997</v>
          </cell>
          <cell r="AB135">
            <v>0.72</v>
          </cell>
          <cell r="AC135">
            <v>34.299999999999997</v>
          </cell>
          <cell r="AD135">
            <v>1.17</v>
          </cell>
          <cell r="AE135">
            <v>177.8</v>
          </cell>
          <cell r="AF135">
            <v>9.19</v>
          </cell>
          <cell r="AG135">
            <v>2214</v>
          </cell>
          <cell r="AH135">
            <v>2780</v>
          </cell>
          <cell r="AI135">
            <v>2780</v>
          </cell>
          <cell r="AM135" t="str">
            <v>открытый</v>
          </cell>
          <cell r="AN135" t="str">
            <v>2110-2126; 2133-2162; 2166-2182; 2186-2198; 2214-2780</v>
          </cell>
          <cell r="AO135">
            <v>20</v>
          </cell>
          <cell r="AP135">
            <v>2110</v>
          </cell>
          <cell r="AQ135">
            <v>234.94</v>
          </cell>
          <cell r="AU135" t="str">
            <v>Газлифт</v>
          </cell>
          <cell r="AV135">
            <v>512.00000390599996</v>
          </cell>
          <cell r="AW135" t="str">
            <v>ГК 71 1/8</v>
          </cell>
          <cell r="AX135">
            <v>936.00002109399998</v>
          </cell>
          <cell r="AY135" t="str">
            <v>ГК 80 1/8</v>
          </cell>
          <cell r="AZ135">
            <v>1312.999967578</v>
          </cell>
          <cell r="BA135" t="str">
            <v>ГК 70 1/8</v>
          </cell>
          <cell r="BB135">
            <v>1615.0000640630001</v>
          </cell>
          <cell r="BC135" t="str">
            <v>ГК 69 1/8</v>
          </cell>
          <cell r="BD135">
            <v>1910.000029688</v>
          </cell>
          <cell r="BE135" t="str">
            <v>ЦКсОК 5/16</v>
          </cell>
          <cell r="BF135" t="str">
            <v>-</v>
          </cell>
          <cell r="BG135" t="str">
            <v>-</v>
          </cell>
          <cell r="BH135">
            <v>1714</v>
          </cell>
          <cell r="BI135" t="str">
            <v>закрыт</v>
          </cell>
        </row>
        <row r="136">
          <cell r="J136" t="str">
            <v>1046-1</v>
          </cell>
          <cell r="K136" t="str">
            <v>Куст скважины-1046</v>
          </cell>
          <cell r="L136">
            <v>40429</v>
          </cell>
          <cell r="M136" t="str">
            <v>Гор.</v>
          </cell>
          <cell r="N136" t="str">
            <v>Р4+5_Block3</v>
          </cell>
          <cell r="O136" t="str">
            <v>Действующий</v>
          </cell>
          <cell r="P136" t="str">
            <v>Остановлена</v>
          </cell>
          <cell r="Q136">
            <v>-4</v>
          </cell>
          <cell r="R136" t="str">
            <v xml:space="preserve"> </v>
          </cell>
          <cell r="S136" t="str">
            <v xml:space="preserve"> </v>
          </cell>
          <cell r="U136">
            <v>203</v>
          </cell>
          <cell r="V136">
            <v>218.2</v>
          </cell>
          <cell r="W136">
            <v>0.98</v>
          </cell>
          <cell r="X136">
            <v>1.66</v>
          </cell>
          <cell r="Y136">
            <v>0.99591057129563876</v>
          </cell>
          <cell r="Z136">
            <v>1.454</v>
          </cell>
          <cell r="AA136">
            <v>0.83599999999999997</v>
          </cell>
          <cell r="AB136">
            <v>0.72</v>
          </cell>
          <cell r="AC136">
            <v>34.299999999999997</v>
          </cell>
          <cell r="AD136">
            <v>1.17</v>
          </cell>
          <cell r="AE136">
            <v>139.69999999999999</v>
          </cell>
          <cell r="AF136">
            <v>7.72</v>
          </cell>
          <cell r="AG136">
            <v>1944</v>
          </cell>
          <cell r="AH136">
            <v>2500</v>
          </cell>
          <cell r="AI136">
            <v>2500</v>
          </cell>
          <cell r="AM136" t="str">
            <v>открытый</v>
          </cell>
          <cell r="AN136" t="str">
            <v>1944-2500</v>
          </cell>
          <cell r="AO136">
            <v>66.34</v>
          </cell>
          <cell r="AP136">
            <v>1944</v>
          </cell>
          <cell r="AQ136">
            <v>86.14</v>
          </cell>
          <cell r="AU136" t="str">
            <v>Фон.</v>
          </cell>
          <cell r="AV136">
            <v>510</v>
          </cell>
          <cell r="AW136" t="str">
            <v>ГК 78 1/8</v>
          </cell>
          <cell r="AX136">
            <v>970</v>
          </cell>
          <cell r="AY136" t="str">
            <v>ГК 78 1/8</v>
          </cell>
          <cell r="AZ136">
            <v>1400</v>
          </cell>
          <cell r="BA136" t="str">
            <v>ГК 78 1/8</v>
          </cell>
          <cell r="BB136">
            <v>1678</v>
          </cell>
          <cell r="BC136" t="str">
            <v>ГК 79 1/8</v>
          </cell>
          <cell r="BD136" t="str">
            <v>-</v>
          </cell>
          <cell r="BE136" t="str">
            <v>-</v>
          </cell>
          <cell r="BF136" t="str">
            <v>-</v>
          </cell>
          <cell r="BG136" t="str">
            <v>-</v>
          </cell>
          <cell r="BH136">
            <v>1717</v>
          </cell>
          <cell r="BI136" t="str">
            <v>закрыт</v>
          </cell>
        </row>
        <row r="137">
          <cell r="J137">
            <v>1049</v>
          </cell>
          <cell r="K137" t="str">
            <v>Куст скважины-1049</v>
          </cell>
          <cell r="L137">
            <v>38134</v>
          </cell>
          <cell r="M137" t="str">
            <v>Гор.</v>
          </cell>
          <cell r="N137" t="str">
            <v>Р4+5_Block3</v>
          </cell>
          <cell r="O137" t="str">
            <v>Действующий</v>
          </cell>
          <cell r="P137" t="str">
            <v>В работе</v>
          </cell>
          <cell r="Q137">
            <v>-4</v>
          </cell>
          <cell r="R137" t="str">
            <v xml:space="preserve"> </v>
          </cell>
          <cell r="S137" t="str">
            <v xml:space="preserve"> </v>
          </cell>
          <cell r="U137">
            <v>203</v>
          </cell>
          <cell r="V137">
            <v>218.2</v>
          </cell>
          <cell r="W137">
            <v>0.98</v>
          </cell>
          <cell r="X137">
            <v>1.66</v>
          </cell>
          <cell r="Y137">
            <v>0.98</v>
          </cell>
          <cell r="Z137">
            <v>1.454</v>
          </cell>
          <cell r="AA137">
            <v>0.83599999999999997</v>
          </cell>
          <cell r="AB137">
            <v>0.72</v>
          </cell>
          <cell r="AC137">
            <v>34.299999999999997</v>
          </cell>
          <cell r="AD137">
            <v>1.17</v>
          </cell>
          <cell r="AE137">
            <v>139.69999999999999</v>
          </cell>
          <cell r="AF137">
            <v>7.72</v>
          </cell>
          <cell r="AG137">
            <v>1990</v>
          </cell>
          <cell r="AH137">
            <v>2520</v>
          </cell>
          <cell r="AI137">
            <v>2520</v>
          </cell>
          <cell r="AM137" t="str">
            <v>открытый</v>
          </cell>
          <cell r="AN137" t="str">
            <v>2010-2520</v>
          </cell>
          <cell r="AO137">
            <v>3.82</v>
          </cell>
          <cell r="AP137">
            <v>2010</v>
          </cell>
          <cell r="AQ137">
            <v>129.94</v>
          </cell>
          <cell r="AU137" t="str">
            <v>Газлифт</v>
          </cell>
          <cell r="AV137">
            <v>440.00000800800001</v>
          </cell>
          <cell r="AW137" t="str">
            <v>ГП</v>
          </cell>
          <cell r="AX137">
            <v>880.00001601600002</v>
          </cell>
          <cell r="AY137" t="str">
            <v>ГП</v>
          </cell>
          <cell r="AZ137">
            <v>1199.99998125</v>
          </cell>
          <cell r="BA137" t="str">
            <v>ГП</v>
          </cell>
          <cell r="BB137">
            <v>1510.0000359380001</v>
          </cell>
          <cell r="BC137" t="str">
            <v>ЦКсОК 5/16</v>
          </cell>
          <cell r="BD137" t="str">
            <v>-</v>
          </cell>
          <cell r="BE137" t="str">
            <v>-</v>
          </cell>
          <cell r="BF137" t="str">
            <v>-</v>
          </cell>
          <cell r="BG137" t="str">
            <v>-</v>
          </cell>
          <cell r="BH137">
            <v>1530</v>
          </cell>
          <cell r="BI137" t="str">
            <v>закрыт</v>
          </cell>
        </row>
        <row r="138">
          <cell r="J138" t="str">
            <v>1049-2</v>
          </cell>
          <cell r="K138" t="str">
            <v>Куст скважины-1049</v>
          </cell>
          <cell r="L138">
            <v>38352</v>
          </cell>
          <cell r="M138" t="str">
            <v>Гор.</v>
          </cell>
          <cell r="N138" t="str">
            <v>Р4+5_Block3</v>
          </cell>
          <cell r="O138" t="str">
            <v>Действующий</v>
          </cell>
          <cell r="P138" t="str">
            <v>В работе</v>
          </cell>
          <cell r="Q138">
            <v>-4</v>
          </cell>
          <cell r="R138" t="str">
            <v xml:space="preserve"> </v>
          </cell>
          <cell r="S138" t="str">
            <v xml:space="preserve"> </v>
          </cell>
          <cell r="U138">
            <v>203</v>
          </cell>
          <cell r="V138">
            <v>218.2</v>
          </cell>
          <cell r="W138">
            <v>0.98</v>
          </cell>
          <cell r="X138">
            <v>1.66</v>
          </cell>
          <cell r="Y138">
            <v>0.98</v>
          </cell>
          <cell r="Z138">
            <v>1.454</v>
          </cell>
          <cell r="AA138">
            <v>0.83599999999999997</v>
          </cell>
          <cell r="AB138">
            <v>0.72</v>
          </cell>
          <cell r="AC138">
            <v>34.299999999999997</v>
          </cell>
          <cell r="AD138">
            <v>1.17</v>
          </cell>
          <cell r="AE138">
            <v>139.69999999999999</v>
          </cell>
          <cell r="AF138">
            <v>7.72</v>
          </cell>
          <cell r="AG138">
            <v>1932</v>
          </cell>
          <cell r="AH138">
            <v>2303</v>
          </cell>
          <cell r="AI138">
            <v>2303</v>
          </cell>
          <cell r="AM138" t="str">
            <v>открытый</v>
          </cell>
          <cell r="AN138" t="str">
            <v xml:space="preserve">1932-2303 </v>
          </cell>
          <cell r="AO138">
            <v>56.7</v>
          </cell>
          <cell r="AP138">
            <v>1932</v>
          </cell>
          <cell r="AQ138">
            <v>56.3</v>
          </cell>
          <cell r="AU138" t="str">
            <v>Газлифт</v>
          </cell>
          <cell r="AV138">
            <v>604.000006934</v>
          </cell>
          <cell r="AW138" t="str">
            <v>ГК 77 1/8</v>
          </cell>
          <cell r="AX138">
            <v>1062.9999714840001</v>
          </cell>
          <cell r="AY138" t="str">
            <v>ГК 77 1/8</v>
          </cell>
          <cell r="AZ138">
            <v>1421.0000730469999</v>
          </cell>
          <cell r="BA138" t="str">
            <v>ГК 77 1/8</v>
          </cell>
          <cell r="BB138">
            <v>1682.9999320310001</v>
          </cell>
          <cell r="BC138" t="str">
            <v>ГК 76 5/32</v>
          </cell>
          <cell r="BD138">
            <v>1860.000030469</v>
          </cell>
          <cell r="BE138" t="str">
            <v>ЦКсОК 5/16</v>
          </cell>
          <cell r="BF138" t="str">
            <v>-</v>
          </cell>
          <cell r="BG138" t="str">
            <v>-</v>
          </cell>
          <cell r="BH138" t="str">
            <v>-</v>
          </cell>
          <cell r="BI138" t="str">
            <v>-</v>
          </cell>
        </row>
        <row r="139">
          <cell r="J139">
            <v>1050</v>
          </cell>
          <cell r="K139" t="str">
            <v>Куст скважины-1050</v>
          </cell>
          <cell r="L139">
            <v>40005</v>
          </cell>
          <cell r="M139" t="str">
            <v>Верт.</v>
          </cell>
          <cell r="N139" t="str">
            <v>Р4+5_Block3</v>
          </cell>
          <cell r="O139" t="str">
            <v>Действующий</v>
          </cell>
          <cell r="P139" t="str">
            <v>В работе</v>
          </cell>
          <cell r="Q139">
            <v>-4</v>
          </cell>
          <cell r="R139">
            <v>42233</v>
          </cell>
          <cell r="S139" t="str">
            <v>МеКаМиНефть</v>
          </cell>
          <cell r="T139" t="str">
            <v>64м3 HCl 15%+МО-25</v>
          </cell>
          <cell r="U139">
            <v>203</v>
          </cell>
          <cell r="V139">
            <v>218.2</v>
          </cell>
          <cell r="W139">
            <v>0.98</v>
          </cell>
          <cell r="X139">
            <v>1.66</v>
          </cell>
          <cell r="Y139">
            <v>1.0999948611009682</v>
          </cell>
          <cell r="Z139">
            <v>1.454</v>
          </cell>
          <cell r="AA139">
            <v>0.83599999999999997</v>
          </cell>
          <cell r="AB139">
            <v>0.72</v>
          </cell>
          <cell r="AC139">
            <v>34.299999999999997</v>
          </cell>
          <cell r="AD139">
            <v>1.17</v>
          </cell>
          <cell r="AE139">
            <v>139.69999999999999</v>
          </cell>
          <cell r="AF139">
            <v>7.72</v>
          </cell>
          <cell r="AG139">
            <v>2049</v>
          </cell>
          <cell r="AH139">
            <v>2049</v>
          </cell>
          <cell r="AI139">
            <v>2049</v>
          </cell>
          <cell r="AM139" t="str">
            <v>закрытый</v>
          </cell>
          <cell r="AN139" t="str">
            <v>1887-1901; 1908-1914; 1920-1924; 1928-1930; 1933-1939; 1954-1957; 1961-1963; 1967-1978; 1986-2009</v>
          </cell>
          <cell r="AO139">
            <v>161.80000000000001</v>
          </cell>
          <cell r="AP139">
            <v>1887</v>
          </cell>
          <cell r="AQ139">
            <v>2.76</v>
          </cell>
          <cell r="AU139" t="str">
            <v>Газлифт</v>
          </cell>
          <cell r="AV139">
            <v>549.99999140600005</v>
          </cell>
          <cell r="AW139" t="str">
            <v>ГП</v>
          </cell>
          <cell r="AX139">
            <v>970.00002949199995</v>
          </cell>
          <cell r="AY139" t="str">
            <v>ГП</v>
          </cell>
          <cell r="AZ139">
            <v>1299.9999796879999</v>
          </cell>
          <cell r="BA139" t="str">
            <v>ГК 82 1/8</v>
          </cell>
          <cell r="BB139">
            <v>1560.000035156</v>
          </cell>
          <cell r="BC139" t="str">
            <v>ГК 82 1/8</v>
          </cell>
          <cell r="BD139">
            <v>1769.9999425779999</v>
          </cell>
          <cell r="BE139" t="str">
            <v>ЦКсОК 5/16</v>
          </cell>
          <cell r="BF139" t="str">
            <v>-</v>
          </cell>
          <cell r="BG139" t="str">
            <v>-</v>
          </cell>
          <cell r="BH139">
            <v>1780</v>
          </cell>
          <cell r="BI139" t="str">
            <v>закрыт</v>
          </cell>
        </row>
        <row r="140">
          <cell r="J140" t="str">
            <v>1050-1</v>
          </cell>
          <cell r="K140" t="str">
            <v>Куст скважины-1050</v>
          </cell>
          <cell r="L140">
            <v>40297</v>
          </cell>
          <cell r="M140" t="str">
            <v>Гор.</v>
          </cell>
          <cell r="N140" t="str">
            <v>Р4+5_Block3</v>
          </cell>
          <cell r="O140" t="str">
            <v>Действующий</v>
          </cell>
          <cell r="P140" t="str">
            <v>В работе</v>
          </cell>
          <cell r="Q140">
            <v>-4</v>
          </cell>
          <cell r="R140" t="str">
            <v xml:space="preserve"> </v>
          </cell>
          <cell r="S140" t="str">
            <v xml:space="preserve"> </v>
          </cell>
          <cell r="U140">
            <v>203</v>
          </cell>
          <cell r="V140">
            <v>218.2</v>
          </cell>
          <cell r="W140">
            <v>0.98</v>
          </cell>
          <cell r="X140">
            <v>1.66</v>
          </cell>
          <cell r="Y140">
            <v>0.98809523809523803</v>
          </cell>
          <cell r="Z140">
            <v>1.454</v>
          </cell>
          <cell r="AA140">
            <v>0.83599999999999997</v>
          </cell>
          <cell r="AB140">
            <v>0.72</v>
          </cell>
          <cell r="AC140">
            <v>34.299999999999997</v>
          </cell>
          <cell r="AD140">
            <v>1.17</v>
          </cell>
          <cell r="AE140">
            <v>139.69999999999999</v>
          </cell>
          <cell r="AF140">
            <v>7.72</v>
          </cell>
          <cell r="AG140">
            <v>1924</v>
          </cell>
          <cell r="AH140">
            <v>2500</v>
          </cell>
          <cell r="AI140">
            <v>2500</v>
          </cell>
          <cell r="AM140" t="str">
            <v>открытый</v>
          </cell>
          <cell r="AN140" t="str">
            <v xml:space="preserve">1924-2500 </v>
          </cell>
          <cell r="AO140">
            <v>25.1</v>
          </cell>
          <cell r="AP140">
            <v>1924</v>
          </cell>
          <cell r="AQ140">
            <v>55.3</v>
          </cell>
          <cell r="AU140" t="str">
            <v>Газлифт</v>
          </cell>
          <cell r="AV140">
            <v>598.00000107400001</v>
          </cell>
          <cell r="AW140" t="str">
            <v>ГП</v>
          </cell>
          <cell r="AX140">
            <v>1192.000023047</v>
          </cell>
          <cell r="AY140" t="str">
            <v>ГК 83 1/8</v>
          </cell>
          <cell r="AZ140">
            <v>1761.0000082030001</v>
          </cell>
          <cell r="BA140" t="str">
            <v>ЦКсОК 5/16</v>
          </cell>
          <cell r="BB140" t="str">
            <v>-</v>
          </cell>
          <cell r="BC140" t="str">
            <v>-</v>
          </cell>
          <cell r="BD140" t="str">
            <v>-</v>
          </cell>
          <cell r="BE140" t="str">
            <v>-</v>
          </cell>
          <cell r="BF140" t="str">
            <v>-</v>
          </cell>
          <cell r="BG140" t="str">
            <v>-</v>
          </cell>
          <cell r="BH140">
            <v>1774</v>
          </cell>
          <cell r="BI140" t="str">
            <v>закрыт</v>
          </cell>
        </row>
        <row r="141">
          <cell r="J141" t="str">
            <v>1050-2</v>
          </cell>
          <cell r="K141" t="str">
            <v>Куст скважины-1050</v>
          </cell>
          <cell r="L141">
            <v>40179</v>
          </cell>
          <cell r="M141" t="str">
            <v>Гор.</v>
          </cell>
          <cell r="N141" t="str">
            <v>Р4+5_Block3, P5i</v>
          </cell>
          <cell r="O141" t="str">
            <v>Действующий</v>
          </cell>
          <cell r="P141" t="str">
            <v>В работе</v>
          </cell>
          <cell r="Q141">
            <v>-4</v>
          </cell>
          <cell r="R141" t="str">
            <v xml:space="preserve"> </v>
          </cell>
          <cell r="S141" t="str">
            <v xml:space="preserve"> </v>
          </cell>
          <cell r="U141">
            <v>203</v>
          </cell>
          <cell r="V141">
            <v>218.2</v>
          </cell>
          <cell r="W141">
            <v>0.98</v>
          </cell>
          <cell r="X141">
            <v>1.66</v>
          </cell>
          <cell r="Y141">
            <v>0.98028109265066365</v>
          </cell>
          <cell r="Z141">
            <v>1.454</v>
          </cell>
          <cell r="AA141">
            <v>0.83599999999999997</v>
          </cell>
          <cell r="AB141">
            <v>0.72</v>
          </cell>
          <cell r="AC141">
            <v>34.299999999999997</v>
          </cell>
          <cell r="AD141">
            <v>1.17</v>
          </cell>
          <cell r="AE141">
            <v>139.69999999999999</v>
          </cell>
          <cell r="AF141">
            <v>7.72</v>
          </cell>
          <cell r="AG141">
            <v>1941</v>
          </cell>
          <cell r="AH141" t="str">
            <v>1 ств 2440;
2 ств 2538</v>
          </cell>
          <cell r="AI141" t="str">
            <v>1 ств 2440;
2 ств 2538</v>
          </cell>
          <cell r="AM141" t="str">
            <v>открытый</v>
          </cell>
          <cell r="AN141" t="str">
            <v xml:space="preserve">  1943,11-2440; 1943,11-2538 </v>
          </cell>
          <cell r="AO141" t="str">
            <v>86,46;95,61</v>
          </cell>
          <cell r="AP141">
            <v>1943</v>
          </cell>
          <cell r="AQ141">
            <v>61</v>
          </cell>
          <cell r="AR141" t="str">
            <v>1654-1943</v>
          </cell>
          <cell r="AS141">
            <v>102</v>
          </cell>
          <cell r="AT141">
            <v>6.5</v>
          </cell>
          <cell r="AU141" t="str">
            <v>Фон.</v>
          </cell>
          <cell r="AV141">
            <v>550</v>
          </cell>
          <cell r="AW141" t="str">
            <v>ГК 83 1/8</v>
          </cell>
          <cell r="AX141">
            <v>1000</v>
          </cell>
          <cell r="AY141" t="str">
            <v>ГК 84 1/8</v>
          </cell>
          <cell r="AZ141">
            <v>1350</v>
          </cell>
          <cell r="BA141" t="str">
            <v>ГК 86 1/8</v>
          </cell>
          <cell r="BB141">
            <v>1598</v>
          </cell>
          <cell r="BC141" t="str">
            <v>ЦКсОК 5/16</v>
          </cell>
          <cell r="BD141" t="str">
            <v>-</v>
          </cell>
          <cell r="BE141" t="str">
            <v>-</v>
          </cell>
          <cell r="BF141" t="str">
            <v>-</v>
          </cell>
          <cell r="BG141" t="str">
            <v>-</v>
          </cell>
          <cell r="BH141">
            <v>1608</v>
          </cell>
          <cell r="BI141" t="str">
            <v>закрыт</v>
          </cell>
        </row>
        <row r="142">
          <cell r="J142">
            <v>1051</v>
          </cell>
          <cell r="K142" t="str">
            <v>Куст скважины-1051</v>
          </cell>
          <cell r="L142">
            <v>40024</v>
          </cell>
          <cell r="M142" t="str">
            <v>Верт.</v>
          </cell>
          <cell r="N142" t="str">
            <v>Р4+5_Block3</v>
          </cell>
          <cell r="O142" t="str">
            <v>Действующий</v>
          </cell>
          <cell r="P142" t="str">
            <v>Остановлена</v>
          </cell>
          <cell r="Q142">
            <v>-4</v>
          </cell>
          <cell r="R142">
            <v>41838</v>
          </cell>
          <cell r="S142" t="str">
            <v>Slb</v>
          </cell>
          <cell r="T142" t="str">
            <v>64м3 15% HCL 
34м3 WF130</v>
          </cell>
          <cell r="U142">
            <v>203</v>
          </cell>
          <cell r="V142">
            <v>218.2</v>
          </cell>
          <cell r="W142">
            <v>0.98</v>
          </cell>
          <cell r="X142">
            <v>1.66</v>
          </cell>
          <cell r="Y142">
            <v>1.0015810549231883</v>
          </cell>
          <cell r="Z142">
            <v>1.454</v>
          </cell>
          <cell r="AA142">
            <v>0.83599999999999997</v>
          </cell>
          <cell r="AB142">
            <v>0.72</v>
          </cell>
          <cell r="AC142">
            <v>34.299999999999997</v>
          </cell>
          <cell r="AD142">
            <v>1.17</v>
          </cell>
          <cell r="AE142">
            <v>139.69999999999999</v>
          </cell>
          <cell r="AF142">
            <v>7.72</v>
          </cell>
          <cell r="AG142">
            <v>2048</v>
          </cell>
          <cell r="AH142">
            <v>2035</v>
          </cell>
          <cell r="AI142">
            <v>2035</v>
          </cell>
          <cell r="AM142" t="str">
            <v>закрытый</v>
          </cell>
          <cell r="AN142" t="str">
            <v>1892-1912; 1916-1918; 1920-1923; 1925-1928; 1931-1937; 1940-1943</v>
          </cell>
          <cell r="AO142">
            <v>50.98</v>
          </cell>
          <cell r="AP142">
            <v>1892</v>
          </cell>
          <cell r="AQ142">
            <v>0.28000000000000003</v>
          </cell>
          <cell r="AU142" t="str">
            <v>Газлифт</v>
          </cell>
          <cell r="AV142">
            <v>600.15120000000002</v>
          </cell>
          <cell r="AW142" t="str">
            <v>ГК 80 1/8</v>
          </cell>
          <cell r="AX142">
            <v>1160.0688</v>
          </cell>
          <cell r="AY142" t="str">
            <v>ГК 83 1/8</v>
          </cell>
          <cell r="AZ142">
            <v>1549.9079999999999</v>
          </cell>
          <cell r="BA142" t="str">
            <v>ГК 82 1/8</v>
          </cell>
          <cell r="BB142">
            <v>1830.0192</v>
          </cell>
          <cell r="BC142" t="str">
            <v>ЦКсОК 5/16</v>
          </cell>
          <cell r="BD142" t="str">
            <v>-</v>
          </cell>
          <cell r="BE142" t="str">
            <v>-</v>
          </cell>
          <cell r="BF142" t="str">
            <v>-</v>
          </cell>
          <cell r="BG142" t="str">
            <v>-</v>
          </cell>
          <cell r="BH142">
            <v>1840</v>
          </cell>
          <cell r="BI142" t="str">
            <v>закрыт</v>
          </cell>
        </row>
        <row r="143">
          <cell r="J143" t="str">
            <v>1051-1</v>
          </cell>
          <cell r="K143" t="str">
            <v>Куст скважины-1051</v>
          </cell>
          <cell r="L143">
            <v>40289</v>
          </cell>
          <cell r="M143" t="str">
            <v>Гор.</v>
          </cell>
          <cell r="N143" t="str">
            <v>Р4+5_Block3</v>
          </cell>
          <cell r="O143" t="str">
            <v>Действующий</v>
          </cell>
          <cell r="P143" t="str">
            <v>Остановлена</v>
          </cell>
          <cell r="Q143">
            <v>-4</v>
          </cell>
          <cell r="R143" t="str">
            <v xml:space="preserve"> </v>
          </cell>
          <cell r="S143" t="str">
            <v xml:space="preserve"> </v>
          </cell>
          <cell r="U143">
            <v>203</v>
          </cell>
          <cell r="V143">
            <v>218.2</v>
          </cell>
          <cell r="W143">
            <v>0.98</v>
          </cell>
          <cell r="X143">
            <v>1.66</v>
          </cell>
          <cell r="Y143">
            <v>0.99363555294951189</v>
          </cell>
          <cell r="Z143">
            <v>1.454</v>
          </cell>
          <cell r="AA143">
            <v>0.83599999999999997</v>
          </cell>
          <cell r="AB143">
            <v>0.72</v>
          </cell>
          <cell r="AC143">
            <v>34.299999999999997</v>
          </cell>
          <cell r="AD143">
            <v>1.17</v>
          </cell>
          <cell r="AE143">
            <v>139.69999999999999</v>
          </cell>
          <cell r="AF143">
            <v>7.72</v>
          </cell>
          <cell r="AG143">
            <v>1977</v>
          </cell>
          <cell r="AH143">
            <v>2500</v>
          </cell>
          <cell r="AI143">
            <v>2500</v>
          </cell>
          <cell r="AJ143">
            <v>44493</v>
          </cell>
          <cell r="AK143" t="str">
            <v>Уточнение райбером</v>
          </cell>
          <cell r="AM143" t="str">
            <v>закрытый</v>
          </cell>
          <cell r="AN143" t="str">
            <v>2055.15-2055.98, 2152.61-2153.41, 2263.1-2263.9, 2397.91-2398.71, 2471.71-2472.86</v>
          </cell>
          <cell r="AO143">
            <v>96.17</v>
          </cell>
          <cell r="AP143">
            <v>2055.15</v>
          </cell>
          <cell r="AQ143">
            <v>134.85</v>
          </cell>
          <cell r="AR143" t="str">
            <v>1883.74-2497</v>
          </cell>
          <cell r="AS143">
            <v>102</v>
          </cell>
          <cell r="AT143">
            <v>6.5</v>
          </cell>
          <cell r="AU143" t="str">
            <v>Газлифт</v>
          </cell>
          <cell r="AV143">
            <v>599.99999062500001</v>
          </cell>
          <cell r="AW143" t="str">
            <v>ГК 80 1/8</v>
          </cell>
          <cell r="AX143">
            <v>1099.9999828130001</v>
          </cell>
          <cell r="AY143" t="str">
            <v>ГК 80 5/32</v>
          </cell>
          <cell r="AZ143">
            <v>1390.000067578</v>
          </cell>
          <cell r="BA143" t="str">
            <v>ГК 80 3/16</v>
          </cell>
          <cell r="BB143">
            <v>1799.999971875</v>
          </cell>
          <cell r="BC143" t="str">
            <v>ЦКсОК 5/16</v>
          </cell>
          <cell r="BD143" t="str">
            <v>-</v>
          </cell>
          <cell r="BE143" t="str">
            <v>-</v>
          </cell>
          <cell r="BF143" t="str">
            <v>-</v>
          </cell>
          <cell r="BG143" t="str">
            <v>-</v>
          </cell>
          <cell r="BH143">
            <v>1879</v>
          </cell>
          <cell r="BI143" t="str">
            <v>закрыт</v>
          </cell>
        </row>
        <row r="144">
          <cell r="J144">
            <v>1052</v>
          </cell>
          <cell r="K144" t="str">
            <v>Куст скважины-1052</v>
          </cell>
          <cell r="L144">
            <v>39952</v>
          </cell>
          <cell r="M144" t="str">
            <v>Гор.</v>
          </cell>
          <cell r="N144" t="str">
            <v>Р4+5_Block3</v>
          </cell>
          <cell r="O144" t="str">
            <v>Действующий</v>
          </cell>
          <cell r="P144" t="str">
            <v>В работе</v>
          </cell>
          <cell r="Q144">
            <v>-4</v>
          </cell>
          <cell r="R144" t="str">
            <v xml:space="preserve"> </v>
          </cell>
          <cell r="S144" t="str">
            <v xml:space="preserve"> </v>
          </cell>
          <cell r="U144">
            <v>203</v>
          </cell>
          <cell r="V144">
            <v>218.2</v>
          </cell>
          <cell r="W144">
            <v>0.98</v>
          </cell>
          <cell r="X144">
            <v>1.66</v>
          </cell>
          <cell r="Y144">
            <v>1.4230230930720782</v>
          </cell>
          <cell r="Z144">
            <v>1.454</v>
          </cell>
          <cell r="AA144">
            <v>0.83599999999999997</v>
          </cell>
          <cell r="AB144">
            <v>0.72</v>
          </cell>
          <cell r="AC144">
            <v>34.299999999999997</v>
          </cell>
          <cell r="AD144">
            <v>1.17</v>
          </cell>
          <cell r="AE144">
            <v>139.69999999999999</v>
          </cell>
          <cell r="AF144">
            <v>7.72</v>
          </cell>
          <cell r="AG144">
            <v>1977</v>
          </cell>
          <cell r="AH144">
            <v>2469</v>
          </cell>
          <cell r="AI144">
            <v>2469</v>
          </cell>
          <cell r="AM144" t="str">
            <v>открытый</v>
          </cell>
          <cell r="AN144" t="str">
            <v>1977-2469</v>
          </cell>
          <cell r="AO144">
            <v>41.37</v>
          </cell>
          <cell r="AP144">
            <v>1977</v>
          </cell>
          <cell r="AQ144">
            <v>68.72</v>
          </cell>
          <cell r="AU144" t="str">
            <v>Газлифт</v>
          </cell>
          <cell r="AV144">
            <v>570.00003574200002</v>
          </cell>
          <cell r="AW144" t="str">
            <v>ГП</v>
          </cell>
          <cell r="AX144">
            <v>1010.00004375</v>
          </cell>
          <cell r="AY144" t="str">
            <v>ГП</v>
          </cell>
          <cell r="AZ144">
            <v>1360.0000382809999</v>
          </cell>
          <cell r="BA144" t="str">
            <v>ГК 83 1/8</v>
          </cell>
          <cell r="BB144">
            <v>1640.0000636719999</v>
          </cell>
          <cell r="BC144" t="str">
            <v>ГК 82 5/32</v>
          </cell>
          <cell r="BD144">
            <v>1825.000120313</v>
          </cell>
          <cell r="BE144" t="str">
            <v>ЦКсОК 5/16</v>
          </cell>
          <cell r="BF144" t="str">
            <v>-</v>
          </cell>
          <cell r="BG144" t="str">
            <v>-</v>
          </cell>
          <cell r="BH144" t="str">
            <v>-</v>
          </cell>
          <cell r="BI144" t="str">
            <v>-</v>
          </cell>
        </row>
        <row r="145">
          <cell r="J145" t="str">
            <v>1052-1</v>
          </cell>
          <cell r="K145" t="str">
            <v>Куст скважины-1052</v>
          </cell>
          <cell r="L145">
            <v>40061</v>
          </cell>
          <cell r="M145" t="str">
            <v>Гор.</v>
          </cell>
          <cell r="N145" t="str">
            <v>Р4+5_Block3, P5i</v>
          </cell>
          <cell r="O145" t="str">
            <v>Действующий</v>
          </cell>
          <cell r="P145" t="str">
            <v>Остановлена</v>
          </cell>
          <cell r="Q145">
            <v>-4</v>
          </cell>
          <cell r="R145" t="str">
            <v xml:space="preserve"> </v>
          </cell>
          <cell r="S145" t="str">
            <v xml:space="preserve"> </v>
          </cell>
          <cell r="U145">
            <v>203</v>
          </cell>
          <cell r="V145">
            <v>218.2</v>
          </cell>
          <cell r="W145">
            <v>0.98</v>
          </cell>
          <cell r="X145">
            <v>1.66</v>
          </cell>
          <cell r="Y145">
            <v>1.0150953945069536</v>
          </cell>
          <cell r="Z145">
            <v>1.454</v>
          </cell>
          <cell r="AA145">
            <v>0.83599999999999997</v>
          </cell>
          <cell r="AB145">
            <v>0.72</v>
          </cell>
          <cell r="AC145">
            <v>34.299999999999997</v>
          </cell>
          <cell r="AD145">
            <v>1.17</v>
          </cell>
          <cell r="AE145">
            <v>139.69999999999999</v>
          </cell>
          <cell r="AF145">
            <v>7.72</v>
          </cell>
          <cell r="AG145">
            <v>1942</v>
          </cell>
          <cell r="AH145">
            <v>2498</v>
          </cell>
          <cell r="AI145">
            <v>2498</v>
          </cell>
          <cell r="AM145" t="str">
            <v>открытый</v>
          </cell>
          <cell r="AN145" t="str">
            <v>1942-2498</v>
          </cell>
          <cell r="AO145">
            <v>81.459999999999994</v>
          </cell>
          <cell r="AP145">
            <v>1942</v>
          </cell>
          <cell r="AQ145">
            <v>65.8</v>
          </cell>
          <cell r="AU145" t="str">
            <v>Газлифт</v>
          </cell>
          <cell r="AV145">
            <v>582.99998642599996</v>
          </cell>
          <cell r="AW145" t="str">
            <v>ГП</v>
          </cell>
          <cell r="AX145">
            <v>1186.999993359</v>
          </cell>
          <cell r="AY145" t="str">
            <v>ГК 76 1/8</v>
          </cell>
          <cell r="AZ145">
            <v>1738.999937109</v>
          </cell>
          <cell r="BA145" t="str">
            <v>ЦКсОК 5/16</v>
          </cell>
          <cell r="BB145" t="str">
            <v>-</v>
          </cell>
          <cell r="BC145" t="str">
            <v>-</v>
          </cell>
          <cell r="BD145" t="str">
            <v>-</v>
          </cell>
          <cell r="BE145" t="str">
            <v>-</v>
          </cell>
          <cell r="BF145" t="str">
            <v>-</v>
          </cell>
          <cell r="BG145" t="str">
            <v>-</v>
          </cell>
          <cell r="BH145">
            <v>1751</v>
          </cell>
          <cell r="BI145" t="str">
            <v>открыт</v>
          </cell>
        </row>
        <row r="146">
          <cell r="J146" t="str">
            <v>1055-1</v>
          </cell>
          <cell r="K146" t="str">
            <v>К-35</v>
          </cell>
          <cell r="L146">
            <v>41756</v>
          </cell>
          <cell r="M146" t="str">
            <v>Гор.</v>
          </cell>
          <cell r="N146" t="str">
            <v>P4+5+6_Block1_yug</v>
          </cell>
          <cell r="O146" t="str">
            <v>Действующий</v>
          </cell>
          <cell r="P146" t="str">
            <v>В работе</v>
          </cell>
          <cell r="Q146">
            <v>-4</v>
          </cell>
          <cell r="R146" t="str">
            <v xml:space="preserve"> </v>
          </cell>
          <cell r="S146" t="str">
            <v xml:space="preserve"> </v>
          </cell>
          <cell r="U146">
            <v>203</v>
          </cell>
          <cell r="V146">
            <v>218.2</v>
          </cell>
          <cell r="W146">
            <v>0.98</v>
          </cell>
          <cell r="X146">
            <v>1.66</v>
          </cell>
          <cell r="Y146">
            <v>0.98012044853704894</v>
          </cell>
          <cell r="Z146">
            <v>1.454</v>
          </cell>
          <cell r="AA146">
            <v>0.83599999999999997</v>
          </cell>
          <cell r="AB146">
            <v>0.72</v>
          </cell>
          <cell r="AC146">
            <v>34.299999999999997</v>
          </cell>
          <cell r="AD146">
            <v>1.17</v>
          </cell>
          <cell r="AE146">
            <v>177.8</v>
          </cell>
          <cell r="AF146">
            <v>9.19</v>
          </cell>
          <cell r="AG146">
            <v>2053</v>
          </cell>
          <cell r="AH146">
            <v>2749</v>
          </cell>
          <cell r="AI146">
            <v>2749</v>
          </cell>
          <cell r="AM146" t="str">
            <v>открытый</v>
          </cell>
          <cell r="AN146" t="str">
            <v>2053-2749</v>
          </cell>
          <cell r="AO146">
            <v>38.1</v>
          </cell>
          <cell r="AP146">
            <v>2053.19</v>
          </cell>
          <cell r="AQ146">
            <v>248.55</v>
          </cell>
          <cell r="AU146" t="str">
            <v>Газлифт</v>
          </cell>
          <cell r="AV146">
            <v>599.99999062500001</v>
          </cell>
          <cell r="AW146" t="str">
            <v>ГК 78 1/8</v>
          </cell>
          <cell r="AX146">
            <v>1199.99998125</v>
          </cell>
          <cell r="AY146" t="str">
            <v>ГК 78 1/8</v>
          </cell>
          <cell r="AZ146">
            <v>1780.000001953</v>
          </cell>
          <cell r="BA146" t="str">
            <v>ЦКсОК 5/16</v>
          </cell>
          <cell r="BB146" t="str">
            <v>-</v>
          </cell>
          <cell r="BC146" t="str">
            <v>-</v>
          </cell>
          <cell r="BD146" t="str">
            <v>-</v>
          </cell>
          <cell r="BE146" t="str">
            <v>-</v>
          </cell>
          <cell r="BF146" t="str">
            <v>-</v>
          </cell>
          <cell r="BG146" t="str">
            <v>-</v>
          </cell>
          <cell r="BH146">
            <v>1790</v>
          </cell>
          <cell r="BI146" t="str">
            <v>закрыт</v>
          </cell>
        </row>
        <row r="147">
          <cell r="J147">
            <v>1056</v>
          </cell>
          <cell r="K147" t="str">
            <v>Куст скважины-1056</v>
          </cell>
          <cell r="L147">
            <v>41225</v>
          </cell>
          <cell r="M147" t="str">
            <v>Гор.</v>
          </cell>
          <cell r="N147" t="str">
            <v>Р4+5_Block3</v>
          </cell>
          <cell r="O147" t="str">
            <v>Действующий</v>
          </cell>
          <cell r="P147" t="str">
            <v>В работе</v>
          </cell>
          <cell r="Q147">
            <v>-4</v>
          </cell>
          <cell r="R147" t="str">
            <v xml:space="preserve"> </v>
          </cell>
          <cell r="S147" t="str">
            <v xml:space="preserve"> </v>
          </cell>
          <cell r="U147">
            <v>203</v>
          </cell>
          <cell r="V147">
            <v>218.2</v>
          </cell>
          <cell r="W147">
            <v>0.98</v>
          </cell>
          <cell r="X147">
            <v>1.66</v>
          </cell>
          <cell r="Y147">
            <v>1.0089307864053585</v>
          </cell>
          <cell r="Z147">
            <v>1.454</v>
          </cell>
          <cell r="AA147">
            <v>0.83599999999999997</v>
          </cell>
          <cell r="AB147">
            <v>0.72</v>
          </cell>
          <cell r="AC147">
            <v>34.299999999999997</v>
          </cell>
          <cell r="AD147">
            <v>1.17</v>
          </cell>
          <cell r="AE147">
            <v>139.69999999999999</v>
          </cell>
          <cell r="AF147">
            <v>7.72</v>
          </cell>
          <cell r="AG147">
            <v>1942</v>
          </cell>
          <cell r="AH147">
            <v>2500</v>
          </cell>
          <cell r="AI147">
            <v>2500</v>
          </cell>
          <cell r="AM147" t="str">
            <v>открытый</v>
          </cell>
          <cell r="AN147" t="str">
            <v xml:space="preserve">1942-2500 </v>
          </cell>
          <cell r="AO147">
            <v>37.909999999999997</v>
          </cell>
          <cell r="AP147">
            <v>1942</v>
          </cell>
          <cell r="AQ147">
            <v>33.25</v>
          </cell>
          <cell r="AU147" t="str">
            <v>Газлифт</v>
          </cell>
          <cell r="AV147">
            <v>599.99999062500001</v>
          </cell>
          <cell r="AW147" t="str">
            <v>ГП</v>
          </cell>
          <cell r="AX147">
            <v>1199.99998125</v>
          </cell>
          <cell r="AY147" t="str">
            <v>ГК 86 1/8</v>
          </cell>
          <cell r="AZ147">
            <v>1794.999942187</v>
          </cell>
          <cell r="BA147" t="str">
            <v>ЦКсОК 5/16</v>
          </cell>
          <cell r="BB147" t="str">
            <v>-</v>
          </cell>
          <cell r="BC147" t="str">
            <v>-</v>
          </cell>
          <cell r="BD147" t="str">
            <v>-</v>
          </cell>
          <cell r="BE147" t="str">
            <v>-</v>
          </cell>
          <cell r="BF147" t="str">
            <v>-</v>
          </cell>
          <cell r="BG147" t="str">
            <v>-</v>
          </cell>
          <cell r="BH147">
            <v>1805</v>
          </cell>
          <cell r="BI147" t="str">
            <v>закрыт</v>
          </cell>
        </row>
        <row r="148">
          <cell r="J148" t="str">
            <v>1056-2</v>
          </cell>
          <cell r="K148" t="str">
            <v>Куст скважины-1056</v>
          </cell>
          <cell r="L148">
            <v>41427</v>
          </cell>
          <cell r="M148" t="str">
            <v>Гор.</v>
          </cell>
          <cell r="N148" t="str">
            <v>Р4+5_Block3</v>
          </cell>
          <cell r="O148" t="str">
            <v>Действующий</v>
          </cell>
          <cell r="P148" t="str">
            <v>Остановлена</v>
          </cell>
          <cell r="Q148">
            <v>-4</v>
          </cell>
          <cell r="R148" t="str">
            <v xml:space="preserve"> </v>
          </cell>
          <cell r="S148" t="str">
            <v xml:space="preserve"> </v>
          </cell>
          <cell r="U148">
            <v>203</v>
          </cell>
          <cell r="V148">
            <v>218.2</v>
          </cell>
          <cell r="W148">
            <v>0.98</v>
          </cell>
          <cell r="X148">
            <v>1.66</v>
          </cell>
          <cell r="Y148">
            <v>1.0258466955729935</v>
          </cell>
          <cell r="Z148">
            <v>1.454</v>
          </cell>
          <cell r="AA148">
            <v>0.83599999999999997</v>
          </cell>
          <cell r="AB148">
            <v>0.72</v>
          </cell>
          <cell r="AC148">
            <v>34.299999999999997</v>
          </cell>
          <cell r="AD148">
            <v>1.17</v>
          </cell>
          <cell r="AE148">
            <v>177.8</v>
          </cell>
          <cell r="AF148">
            <v>9.19</v>
          </cell>
          <cell r="AG148">
            <v>2070</v>
          </cell>
          <cell r="AH148">
            <v>2500</v>
          </cell>
          <cell r="AI148">
            <v>2500</v>
          </cell>
          <cell r="AM148" t="str">
            <v>открытый</v>
          </cell>
          <cell r="AN148" t="str">
            <v xml:space="preserve">2070-2500 </v>
          </cell>
          <cell r="AO148">
            <v>20</v>
          </cell>
          <cell r="AP148">
            <v>2070</v>
          </cell>
          <cell r="AQ148">
            <v>139.27000000000001</v>
          </cell>
          <cell r="AU148" t="str">
            <v>Фон.</v>
          </cell>
          <cell r="AV148">
            <v>544</v>
          </cell>
          <cell r="AW148" t="str">
            <v>ГП</v>
          </cell>
          <cell r="AX148">
            <v>1043</v>
          </cell>
          <cell r="AY148" t="str">
            <v>ГП</v>
          </cell>
          <cell r="AZ148">
            <v>1480</v>
          </cell>
          <cell r="BA148" t="str">
            <v>ГК 81 5/32</v>
          </cell>
          <cell r="BB148">
            <v>1882</v>
          </cell>
          <cell r="BC148" t="str">
            <v>ЦКсОК 5/16</v>
          </cell>
          <cell r="BD148" t="str">
            <v>-</v>
          </cell>
          <cell r="BE148" t="str">
            <v>-</v>
          </cell>
          <cell r="BF148" t="str">
            <v>-</v>
          </cell>
          <cell r="BG148" t="str">
            <v>-</v>
          </cell>
          <cell r="BH148" t="str">
            <v>-</v>
          </cell>
          <cell r="BI148" t="str">
            <v>-</v>
          </cell>
        </row>
        <row r="149">
          <cell r="J149" t="str">
            <v>1056-1</v>
          </cell>
          <cell r="K149" t="str">
            <v>Куст скважины-1056</v>
          </cell>
          <cell r="L149">
            <v>41299</v>
          </cell>
          <cell r="M149" t="str">
            <v>Гор.</v>
          </cell>
          <cell r="N149" t="str">
            <v>Р4+5_Block3</v>
          </cell>
          <cell r="O149" t="str">
            <v>Действующий</v>
          </cell>
          <cell r="P149" t="str">
            <v>В работе</v>
          </cell>
          <cell r="Q149">
            <v>-4</v>
          </cell>
          <cell r="R149" t="str">
            <v xml:space="preserve"> </v>
          </cell>
          <cell r="S149" t="str">
            <v xml:space="preserve"> </v>
          </cell>
          <cell r="U149">
            <v>203</v>
          </cell>
          <cell r="V149">
            <v>218.2</v>
          </cell>
          <cell r="W149">
            <v>0.98</v>
          </cell>
          <cell r="X149">
            <v>1.66</v>
          </cell>
          <cell r="Y149">
            <v>1.1390657252406544</v>
          </cell>
          <cell r="Z149">
            <v>1.454</v>
          </cell>
          <cell r="AA149">
            <v>0.83599999999999997</v>
          </cell>
          <cell r="AB149">
            <v>0.72</v>
          </cell>
          <cell r="AC149">
            <v>34.299999999999997</v>
          </cell>
          <cell r="AD149">
            <v>1.17</v>
          </cell>
          <cell r="AE149">
            <v>177.8</v>
          </cell>
          <cell r="AF149">
            <v>9.19</v>
          </cell>
          <cell r="AG149">
            <v>1970</v>
          </cell>
          <cell r="AH149">
            <v>2500</v>
          </cell>
          <cell r="AI149">
            <v>2500</v>
          </cell>
          <cell r="AM149" t="str">
            <v>открытый</v>
          </cell>
          <cell r="AN149" t="str">
            <v>1970-2500</v>
          </cell>
          <cell r="AO149">
            <v>76.11</v>
          </cell>
          <cell r="AP149">
            <v>1970</v>
          </cell>
          <cell r="AQ149">
            <v>102.42</v>
          </cell>
          <cell r="AU149" t="str">
            <v>Газлифт</v>
          </cell>
          <cell r="AV149">
            <v>510.00001435500002</v>
          </cell>
          <cell r="AW149" t="str">
            <v>ГП</v>
          </cell>
          <cell r="AX149">
            <v>970.00002949199995</v>
          </cell>
          <cell r="AY149" t="str">
            <v>ГК 86 1/8</v>
          </cell>
          <cell r="AZ149">
            <v>1399.9999781250001</v>
          </cell>
          <cell r="BA149" t="str">
            <v>ГК 87 5/32</v>
          </cell>
          <cell r="BB149">
            <v>1678.000051172</v>
          </cell>
          <cell r="BC149" t="str">
            <v>ЦКсОК 5/16</v>
          </cell>
          <cell r="BD149" t="str">
            <v>-</v>
          </cell>
          <cell r="BE149" t="str">
            <v>-</v>
          </cell>
          <cell r="BF149" t="str">
            <v>-</v>
          </cell>
          <cell r="BG149" t="str">
            <v>-</v>
          </cell>
          <cell r="BH149">
            <v>1688</v>
          </cell>
          <cell r="BI149" t="str">
            <v xml:space="preserve">открыт </v>
          </cell>
        </row>
        <row r="150">
          <cell r="J150">
            <v>1057</v>
          </cell>
          <cell r="K150" t="str">
            <v>Куст скважины-1057</v>
          </cell>
          <cell r="L150">
            <v>38219</v>
          </cell>
          <cell r="M150" t="str">
            <v>Гор.</v>
          </cell>
          <cell r="N150" t="str">
            <v>Р4+5_Block3</v>
          </cell>
          <cell r="O150" t="str">
            <v>Действующий</v>
          </cell>
          <cell r="P150" t="str">
            <v>В работе</v>
          </cell>
          <cell r="Q150">
            <v>-4</v>
          </cell>
          <cell r="R150" t="str">
            <v xml:space="preserve"> </v>
          </cell>
          <cell r="S150" t="str">
            <v xml:space="preserve"> </v>
          </cell>
          <cell r="U150">
            <v>203</v>
          </cell>
          <cell r="V150">
            <v>218.2</v>
          </cell>
          <cell r="W150">
            <v>0.98</v>
          </cell>
          <cell r="X150">
            <v>1.66</v>
          </cell>
          <cell r="Y150">
            <v>0.98362638159963223</v>
          </cell>
          <cell r="Z150">
            <v>1.454</v>
          </cell>
          <cell r="AA150">
            <v>0.83599999999999997</v>
          </cell>
          <cell r="AB150">
            <v>0.72</v>
          </cell>
          <cell r="AC150">
            <v>34.299999999999997</v>
          </cell>
          <cell r="AD150">
            <v>1.17</v>
          </cell>
          <cell r="AE150">
            <v>139.69999999999999</v>
          </cell>
          <cell r="AF150">
            <v>7.72</v>
          </cell>
          <cell r="AG150">
            <v>2047</v>
          </cell>
          <cell r="AH150">
            <v>2464</v>
          </cell>
          <cell r="AI150">
            <v>2464</v>
          </cell>
          <cell r="AM150" t="str">
            <v>открытый</v>
          </cell>
          <cell r="AN150" t="str">
            <v>1965-2464</v>
          </cell>
          <cell r="AO150">
            <v>25</v>
          </cell>
          <cell r="AP150">
            <v>1965</v>
          </cell>
          <cell r="AQ150">
            <v>1.4</v>
          </cell>
          <cell r="AU150" t="str">
            <v>Фон.</v>
          </cell>
          <cell r="AV150">
            <v>640</v>
          </cell>
          <cell r="AW150" t="str">
            <v>ГП</v>
          </cell>
          <cell r="AX150">
            <v>1160</v>
          </cell>
          <cell r="AY150" t="str">
            <v>ГК 92 1/8</v>
          </cell>
          <cell r="AZ150">
            <v>1570</v>
          </cell>
          <cell r="BA150" t="str">
            <v>ЦКсОК 5/16</v>
          </cell>
          <cell r="BB150" t="str">
            <v>-</v>
          </cell>
          <cell r="BC150" t="str">
            <v>-</v>
          </cell>
          <cell r="BD150" t="str">
            <v>-</v>
          </cell>
          <cell r="BE150" t="str">
            <v>-</v>
          </cell>
          <cell r="BF150" t="str">
            <v>-</v>
          </cell>
          <cell r="BG150" t="str">
            <v>-</v>
          </cell>
          <cell r="BH150">
            <v>1580</v>
          </cell>
          <cell r="BI150" t="str">
            <v>закрыт</v>
          </cell>
        </row>
        <row r="151">
          <cell r="J151" t="str">
            <v>1057-1</v>
          </cell>
          <cell r="K151" t="str">
            <v>Куст скважины-1057</v>
          </cell>
          <cell r="L151">
            <v>38344</v>
          </cell>
          <cell r="M151" t="str">
            <v>Гор.</v>
          </cell>
          <cell r="N151" t="str">
            <v>Р4+5_Block3</v>
          </cell>
          <cell r="O151" t="str">
            <v>Действующий</v>
          </cell>
          <cell r="P151" t="str">
            <v>В работе</v>
          </cell>
          <cell r="Q151">
            <v>-4</v>
          </cell>
          <cell r="R151" t="str">
            <v xml:space="preserve"> </v>
          </cell>
          <cell r="S151" t="str">
            <v xml:space="preserve"> </v>
          </cell>
          <cell r="U151">
            <v>203</v>
          </cell>
          <cell r="V151">
            <v>218.2</v>
          </cell>
          <cell r="W151">
            <v>0.98</v>
          </cell>
          <cell r="X151">
            <v>1.66</v>
          </cell>
          <cell r="Y151">
            <v>0.98891212371735637</v>
          </cell>
          <cell r="Z151">
            <v>1.454</v>
          </cell>
          <cell r="AA151">
            <v>0.83599999999999997</v>
          </cell>
          <cell r="AB151">
            <v>0.72</v>
          </cell>
          <cell r="AC151">
            <v>34.299999999999997</v>
          </cell>
          <cell r="AD151">
            <v>1.17</v>
          </cell>
          <cell r="AE151">
            <v>139.69999999999999</v>
          </cell>
          <cell r="AF151">
            <v>7.72</v>
          </cell>
          <cell r="AG151">
            <v>1985</v>
          </cell>
          <cell r="AH151">
            <v>2500</v>
          </cell>
          <cell r="AI151">
            <v>2500</v>
          </cell>
          <cell r="AM151" t="str">
            <v>открытый</v>
          </cell>
          <cell r="AN151" t="str">
            <v xml:space="preserve">1985-2500 </v>
          </cell>
          <cell r="AO151">
            <v>8.23</v>
          </cell>
          <cell r="AP151">
            <v>1985</v>
          </cell>
          <cell r="AQ151">
            <v>218.6</v>
          </cell>
          <cell r="AU151" t="str">
            <v>Фон.</v>
          </cell>
          <cell r="AV151">
            <v>600</v>
          </cell>
          <cell r="AW151" t="str">
            <v>ГП</v>
          </cell>
          <cell r="AX151">
            <v>1199</v>
          </cell>
          <cell r="AY151" t="str">
            <v>ГП</v>
          </cell>
          <cell r="AZ151">
            <v>1765</v>
          </cell>
          <cell r="BA151" t="str">
            <v>ЦКсОК 5/16</v>
          </cell>
          <cell r="BB151" t="str">
            <v>-</v>
          </cell>
          <cell r="BC151" t="str">
            <v>-</v>
          </cell>
          <cell r="BD151" t="str">
            <v>-</v>
          </cell>
          <cell r="BE151" t="str">
            <v>-</v>
          </cell>
          <cell r="BF151" t="str">
            <v>-</v>
          </cell>
          <cell r="BG151" t="str">
            <v>-</v>
          </cell>
          <cell r="BH151" t="str">
            <v>-</v>
          </cell>
          <cell r="BI151" t="str">
            <v>-</v>
          </cell>
        </row>
        <row r="152">
          <cell r="J152" t="str">
            <v>1057-2</v>
          </cell>
          <cell r="K152" t="str">
            <v>Куст скважины-1057</v>
          </cell>
          <cell r="L152">
            <v>38492</v>
          </cell>
          <cell r="M152" t="str">
            <v>Гор.</v>
          </cell>
          <cell r="N152" t="str">
            <v>Р4+5_Block3</v>
          </cell>
          <cell r="O152" t="str">
            <v>Действующий</v>
          </cell>
          <cell r="P152" t="str">
            <v>В работе</v>
          </cell>
          <cell r="Q152">
            <v>-4</v>
          </cell>
          <cell r="U152">
            <v>203</v>
          </cell>
          <cell r="V152">
            <v>218.2</v>
          </cell>
          <cell r="W152">
            <v>0.98</v>
          </cell>
          <cell r="X152">
            <v>1.66</v>
          </cell>
          <cell r="Y152">
            <v>0.98080354989630048</v>
          </cell>
          <cell r="Z152">
            <v>1.454</v>
          </cell>
          <cell r="AA152">
            <v>0.83599999999999997</v>
          </cell>
          <cell r="AB152">
            <v>0.72</v>
          </cell>
          <cell r="AC152">
            <v>34.299999999999997</v>
          </cell>
          <cell r="AD152">
            <v>1.17</v>
          </cell>
          <cell r="AE152">
            <v>139.69999999999999</v>
          </cell>
          <cell r="AF152">
            <v>7.72</v>
          </cell>
          <cell r="AG152">
            <v>1957</v>
          </cell>
          <cell r="AH152">
            <v>2749</v>
          </cell>
          <cell r="AI152">
            <v>1940</v>
          </cell>
          <cell r="AM152" t="str">
            <v>закрытый</v>
          </cell>
          <cell r="AN152" t="str">
            <v>1786-1792; 1796-1806 ; 1846-1906; 1916-1927;  1940-2100;</v>
          </cell>
          <cell r="AO152">
            <v>73.98</v>
          </cell>
          <cell r="AP152">
            <v>1786</v>
          </cell>
          <cell r="AQ152">
            <v>6.2</v>
          </cell>
          <cell r="AU152" t="str">
            <v>Фон.</v>
          </cell>
          <cell r="AV152">
            <v>1692</v>
          </cell>
          <cell r="AW152" t="str">
            <v>ЦКсОК 5/16</v>
          </cell>
          <cell r="AX152" t="str">
            <v>-</v>
          </cell>
          <cell r="AY152" t="str">
            <v>-</v>
          </cell>
          <cell r="AZ152" t="str">
            <v>-</v>
          </cell>
          <cell r="BA152" t="str">
            <v>-</v>
          </cell>
          <cell r="BB152" t="str">
            <v>-</v>
          </cell>
          <cell r="BC152" t="str">
            <v>-</v>
          </cell>
          <cell r="BD152" t="str">
            <v>-</v>
          </cell>
          <cell r="BE152" t="str">
            <v>-</v>
          </cell>
          <cell r="BF152" t="str">
            <v>-</v>
          </cell>
          <cell r="BG152" t="str">
            <v>-</v>
          </cell>
          <cell r="BH152">
            <v>1702</v>
          </cell>
          <cell r="BI152" t="str">
            <v>закрыт</v>
          </cell>
        </row>
        <row r="153">
          <cell r="J153" t="str">
            <v>1058-2</v>
          </cell>
          <cell r="K153" t="str">
            <v>Куст скважины-1058</v>
          </cell>
          <cell r="L153">
            <v>39819</v>
          </cell>
          <cell r="M153" t="str">
            <v>Гор.</v>
          </cell>
          <cell r="N153" t="str">
            <v>Р4+5_Block3</v>
          </cell>
          <cell r="O153" t="str">
            <v>Действующий</v>
          </cell>
          <cell r="P153" t="str">
            <v>Остановлена</v>
          </cell>
          <cell r="Q153">
            <v>-4</v>
          </cell>
          <cell r="R153" t="str">
            <v xml:space="preserve"> </v>
          </cell>
          <cell r="S153" t="str">
            <v xml:space="preserve"> </v>
          </cell>
          <cell r="U153">
            <v>203</v>
          </cell>
          <cell r="V153">
            <v>218.2</v>
          </cell>
          <cell r="W153">
            <v>0.98</v>
          </cell>
          <cell r="X153">
            <v>1.66</v>
          </cell>
          <cell r="Y153">
            <v>1.3731978255731505</v>
          </cell>
          <cell r="Z153">
            <v>1.454</v>
          </cell>
          <cell r="AA153">
            <v>0.83599999999999997</v>
          </cell>
          <cell r="AB153">
            <v>0.72</v>
          </cell>
          <cell r="AC153">
            <v>34.299999999999997</v>
          </cell>
          <cell r="AD153">
            <v>1.17</v>
          </cell>
          <cell r="AE153">
            <v>139.69999999999999</v>
          </cell>
          <cell r="AF153">
            <v>7.72</v>
          </cell>
          <cell r="AG153">
            <v>1956</v>
          </cell>
          <cell r="AH153">
            <v>2310</v>
          </cell>
          <cell r="AI153">
            <v>2310</v>
          </cell>
          <cell r="AM153" t="str">
            <v>открытый</v>
          </cell>
          <cell r="AN153" t="str">
            <v xml:space="preserve">1956-2310 </v>
          </cell>
          <cell r="AO153">
            <v>72.64</v>
          </cell>
          <cell r="AP153">
            <v>1956</v>
          </cell>
          <cell r="AQ153">
            <v>70</v>
          </cell>
          <cell r="AU153" t="str">
            <v>Газлифт</v>
          </cell>
          <cell r="AV153">
            <v>410.00001591799997</v>
          </cell>
          <cell r="AW153" t="str">
            <v>ГП</v>
          </cell>
          <cell r="AX153">
            <v>820.00003183599995</v>
          </cell>
          <cell r="AY153" t="str">
            <v>ГК 86 1/8</v>
          </cell>
          <cell r="AZ153">
            <v>1209.9999662109999</v>
          </cell>
          <cell r="BA153" t="str">
            <v>ГК 86 1/8</v>
          </cell>
          <cell r="BB153">
            <v>1565.000064844</v>
          </cell>
          <cell r="BC153" t="str">
            <v>ГК 86 1/8</v>
          </cell>
          <cell r="BD153">
            <v>1730.000002734</v>
          </cell>
          <cell r="BE153" t="str">
            <v>ЦКсОК 5/16</v>
          </cell>
          <cell r="BF153" t="str">
            <v>-</v>
          </cell>
          <cell r="BG153" t="str">
            <v>-</v>
          </cell>
          <cell r="BH153">
            <v>1770</v>
          </cell>
          <cell r="BI153" t="str">
            <v>закрыт</v>
          </cell>
        </row>
        <row r="154">
          <cell r="J154" t="str">
            <v>1058-1</v>
          </cell>
          <cell r="K154" t="str">
            <v>Куст скважины-1058</v>
          </cell>
          <cell r="L154">
            <v>39720</v>
          </cell>
          <cell r="M154" t="str">
            <v>Гор.</v>
          </cell>
          <cell r="N154" t="str">
            <v>Р4+5_Block3</v>
          </cell>
          <cell r="O154" t="str">
            <v>Действующий</v>
          </cell>
          <cell r="P154" t="str">
            <v>В работе</v>
          </cell>
          <cell r="Q154">
            <v>-4</v>
          </cell>
          <cell r="R154">
            <v>39644</v>
          </cell>
          <cell r="S154" t="str">
            <v>ФилОрАм</v>
          </cell>
          <cell r="U154">
            <v>203</v>
          </cell>
          <cell r="V154">
            <v>218.2</v>
          </cell>
          <cell r="W154">
            <v>0.98</v>
          </cell>
          <cell r="X154">
            <v>1.66</v>
          </cell>
          <cell r="Y154">
            <v>0.98403097023953534</v>
          </cell>
          <cell r="Z154">
            <v>1.454</v>
          </cell>
          <cell r="AA154">
            <v>0.83599999999999997</v>
          </cell>
          <cell r="AB154">
            <v>0.72</v>
          </cell>
          <cell r="AC154">
            <v>34.299999999999997</v>
          </cell>
          <cell r="AD154">
            <v>1.17</v>
          </cell>
          <cell r="AE154">
            <v>139.69999999999999</v>
          </cell>
          <cell r="AF154">
            <v>7.72</v>
          </cell>
          <cell r="AG154">
            <v>1970</v>
          </cell>
          <cell r="AH154" t="str">
            <v>1 ств 2400
2 ств 2661</v>
          </cell>
          <cell r="AI154" t="str">
            <v>1 ств 2400
2 ств 2661</v>
          </cell>
          <cell r="AM154" t="str">
            <v>открытый</v>
          </cell>
          <cell r="AN154" t="str">
            <v xml:space="preserve">1970-2400; 2205-2661 </v>
          </cell>
          <cell r="AO154" t="str">
            <v>42,98;19,71</v>
          </cell>
          <cell r="AP154">
            <v>1970</v>
          </cell>
          <cell r="AQ154">
            <v>76.75</v>
          </cell>
          <cell r="AU154" t="str">
            <v>Газлифт</v>
          </cell>
          <cell r="AV154">
            <v>524.00001562499995</v>
          </cell>
          <cell r="AW154" t="str">
            <v>ГП</v>
          </cell>
          <cell r="AX154">
            <v>989.000023242</v>
          </cell>
          <cell r="AY154" t="str">
            <v>ГП</v>
          </cell>
          <cell r="AZ154">
            <v>1373.0000261719999</v>
          </cell>
          <cell r="BA154" t="str">
            <v>ГП</v>
          </cell>
          <cell r="BB154">
            <v>1673.999997656</v>
          </cell>
          <cell r="BC154" t="str">
            <v>ЦКсОК 5/16</v>
          </cell>
          <cell r="BD154" t="str">
            <v>-</v>
          </cell>
          <cell r="BE154" t="str">
            <v>-</v>
          </cell>
          <cell r="BF154" t="str">
            <v>-</v>
          </cell>
          <cell r="BG154" t="str">
            <v>-</v>
          </cell>
          <cell r="BH154">
            <v>1772</v>
          </cell>
          <cell r="BI154" t="str">
            <v>закрыт</v>
          </cell>
        </row>
        <row r="155">
          <cell r="J155" t="str">
            <v>1059-1</v>
          </cell>
          <cell r="K155" t="str">
            <v>Куст скважины-1059</v>
          </cell>
          <cell r="L155">
            <v>38382</v>
          </cell>
          <cell r="M155" t="str">
            <v>Гор.</v>
          </cell>
          <cell r="N155" t="str">
            <v>Р4+5_Block3, P5i</v>
          </cell>
          <cell r="O155" t="str">
            <v>Действующий</v>
          </cell>
          <cell r="P155" t="str">
            <v>В работе</v>
          </cell>
          <cell r="Q155">
            <v>-4</v>
          </cell>
          <cell r="U155">
            <v>203</v>
          </cell>
          <cell r="V155">
            <v>218.2</v>
          </cell>
          <cell r="W155">
            <v>0.98</v>
          </cell>
          <cell r="X155">
            <v>1.66</v>
          </cell>
          <cell r="Y155">
            <v>0.98</v>
          </cell>
          <cell r="Z155">
            <v>1.454</v>
          </cell>
          <cell r="AA155">
            <v>0.83599999999999997</v>
          </cell>
          <cell r="AB155">
            <v>0.72</v>
          </cell>
          <cell r="AC155">
            <v>34.299999999999997</v>
          </cell>
          <cell r="AD155">
            <v>1.17</v>
          </cell>
          <cell r="AE155" t="str">
            <v>139,7/102</v>
          </cell>
          <cell r="AF155">
            <v>7.72</v>
          </cell>
          <cell r="AG155">
            <v>1955</v>
          </cell>
          <cell r="AH155">
            <v>2620</v>
          </cell>
          <cell r="AI155">
            <v>2620</v>
          </cell>
          <cell r="AM155" t="str">
            <v>открытый</v>
          </cell>
          <cell r="AN155" t="str">
            <v>1962,5-2620</v>
          </cell>
          <cell r="AO155">
            <v>657.5</v>
          </cell>
          <cell r="AP155">
            <v>1962.5</v>
          </cell>
          <cell r="AQ155">
            <v>10.9</v>
          </cell>
          <cell r="AR155" t="str">
            <v>1509-1962,5</v>
          </cell>
          <cell r="AS155">
            <v>102</v>
          </cell>
          <cell r="AT155">
            <v>6.5</v>
          </cell>
          <cell r="AU155" t="str">
            <v>Фон.</v>
          </cell>
          <cell r="AV155">
            <v>550</v>
          </cell>
          <cell r="AW155" t="str">
            <v>ГК 90 1/8</v>
          </cell>
          <cell r="AX155">
            <v>1010</v>
          </cell>
          <cell r="AY155" t="str">
            <v>ГК 801/8</v>
          </cell>
          <cell r="AZ155">
            <v>1460</v>
          </cell>
          <cell r="BA155" t="str">
            <v>ЦКсОК 5/16</v>
          </cell>
          <cell r="BB155" t="str">
            <v>-</v>
          </cell>
          <cell r="BC155" t="str">
            <v>-</v>
          </cell>
          <cell r="BD155" t="str">
            <v>-</v>
          </cell>
          <cell r="BE155" t="str">
            <v>-</v>
          </cell>
          <cell r="BF155" t="str">
            <v>-</v>
          </cell>
          <cell r="BG155" t="str">
            <v>-</v>
          </cell>
          <cell r="BH155">
            <v>1485</v>
          </cell>
          <cell r="BI155" t="str">
            <v>закрыт</v>
          </cell>
        </row>
        <row r="156">
          <cell r="J156" t="str">
            <v>1059-2</v>
          </cell>
          <cell r="K156" t="str">
            <v>Куст скважины-1059</v>
          </cell>
          <cell r="L156">
            <v>38533</v>
          </cell>
          <cell r="M156" t="str">
            <v>Гор.</v>
          </cell>
          <cell r="N156" t="str">
            <v>Р4+5_Block3</v>
          </cell>
          <cell r="O156" t="str">
            <v>Действующий</v>
          </cell>
          <cell r="P156" t="str">
            <v>В работе</v>
          </cell>
          <cell r="Q156">
            <v>-4</v>
          </cell>
          <cell r="R156" t="str">
            <v xml:space="preserve"> </v>
          </cell>
          <cell r="S156" t="str">
            <v xml:space="preserve"> </v>
          </cell>
          <cell r="U156">
            <v>203</v>
          </cell>
          <cell r="V156">
            <v>218.2</v>
          </cell>
          <cell r="W156">
            <v>0.98</v>
          </cell>
          <cell r="X156">
            <v>1.66</v>
          </cell>
          <cell r="Y156">
            <v>0.98080354989630048</v>
          </cell>
          <cell r="Z156">
            <v>1.454</v>
          </cell>
          <cell r="AA156">
            <v>0.83599999999999997</v>
          </cell>
          <cell r="AB156">
            <v>0.72</v>
          </cell>
          <cell r="AC156">
            <v>34.299999999999997</v>
          </cell>
          <cell r="AD156">
            <v>1.17</v>
          </cell>
          <cell r="AE156">
            <v>139.69999999999999</v>
          </cell>
          <cell r="AF156">
            <v>7.72</v>
          </cell>
          <cell r="AG156">
            <v>1933</v>
          </cell>
          <cell r="AH156">
            <v>2451</v>
          </cell>
          <cell r="AI156">
            <v>2451</v>
          </cell>
          <cell r="AM156" t="str">
            <v>открытый</v>
          </cell>
          <cell r="AN156" t="str">
            <v>1832-1837; 1844-1850 ; 1864-1868; 1878-1882; 1888-1892; 1894-1898; 1906-1912</v>
          </cell>
          <cell r="AO156">
            <v>44.400000000000091</v>
          </cell>
          <cell r="AP156">
            <v>1832</v>
          </cell>
          <cell r="AQ156">
            <v>65.5</v>
          </cell>
          <cell r="AU156" t="str">
            <v>Фон.</v>
          </cell>
          <cell r="AV156">
            <v>600</v>
          </cell>
          <cell r="AW156" t="str">
            <v>ГК 80 1/8</v>
          </cell>
          <cell r="AX156">
            <v>1200</v>
          </cell>
          <cell r="AY156" t="str">
            <v>ГК 60 1/8</v>
          </cell>
          <cell r="AZ156">
            <v>1750</v>
          </cell>
          <cell r="BA156" t="str">
            <v>ЦКсОК 5/16</v>
          </cell>
          <cell r="BB156" t="str">
            <v>-</v>
          </cell>
          <cell r="BC156" t="str">
            <v>-</v>
          </cell>
          <cell r="BD156" t="str">
            <v>-</v>
          </cell>
          <cell r="BE156" t="str">
            <v>-</v>
          </cell>
          <cell r="BF156" t="str">
            <v>-</v>
          </cell>
          <cell r="BG156" t="str">
            <v>-</v>
          </cell>
          <cell r="BH156">
            <v>1760</v>
          </cell>
          <cell r="BI156" t="str">
            <v>закрыт</v>
          </cell>
        </row>
        <row r="157">
          <cell r="J157">
            <v>1060</v>
          </cell>
          <cell r="K157" t="str">
            <v>Куст скважины-1060</v>
          </cell>
          <cell r="L157">
            <v>38140</v>
          </cell>
          <cell r="M157" t="str">
            <v>Гор.</v>
          </cell>
          <cell r="N157" t="str">
            <v>Р4+5_Block3</v>
          </cell>
          <cell r="O157" t="str">
            <v>Действующий</v>
          </cell>
          <cell r="P157" t="str">
            <v>В работе</v>
          </cell>
          <cell r="Q157">
            <v>-4</v>
          </cell>
          <cell r="R157" t="str">
            <v xml:space="preserve"> </v>
          </cell>
          <cell r="S157" t="str">
            <v xml:space="preserve"> </v>
          </cell>
          <cell r="U157">
            <v>203</v>
          </cell>
          <cell r="V157">
            <v>218.2</v>
          </cell>
          <cell r="W157">
            <v>0.98</v>
          </cell>
          <cell r="X157">
            <v>1.66</v>
          </cell>
          <cell r="Y157">
            <v>0.98</v>
          </cell>
          <cell r="Z157">
            <v>1.454</v>
          </cell>
          <cell r="AA157">
            <v>0.83599999999999997</v>
          </cell>
          <cell r="AB157">
            <v>0.72</v>
          </cell>
          <cell r="AC157">
            <v>34.299999999999997</v>
          </cell>
          <cell r="AD157">
            <v>1.17</v>
          </cell>
          <cell r="AE157">
            <v>139.69999999999999</v>
          </cell>
          <cell r="AF157">
            <v>7.72</v>
          </cell>
          <cell r="AG157">
            <v>1990</v>
          </cell>
          <cell r="AH157" t="str">
            <v>1 ствол 2474
2 ствол 2398
3 ствол 1989 (отсечен)</v>
          </cell>
          <cell r="AI157" t="str">
            <v>1 ствол 2474
2 ствол 2398
3 ствол 1989 (отсечен)</v>
          </cell>
          <cell r="AM157" t="str">
            <v>закрытый</v>
          </cell>
          <cell r="AN157" t="str">
            <v>1636-1639, 1654-1955</v>
          </cell>
          <cell r="AO157">
            <v>91.46</v>
          </cell>
          <cell r="AP157">
            <v>1864</v>
          </cell>
          <cell r="AQ157">
            <v>0.4</v>
          </cell>
          <cell r="AU157" t="str">
            <v>Фон.</v>
          </cell>
          <cell r="AV157">
            <v>554</v>
          </cell>
          <cell r="AW157" t="str">
            <v>ГК 83 5/32</v>
          </cell>
          <cell r="AX157">
            <v>968</v>
          </cell>
          <cell r="AY157" t="str">
            <v>ГК 84 5/32</v>
          </cell>
          <cell r="AZ157">
            <v>1344</v>
          </cell>
          <cell r="BA157" t="str">
            <v>ГК 85 5/32</v>
          </cell>
          <cell r="BB157">
            <v>1478</v>
          </cell>
          <cell r="BC157" t="str">
            <v>ЦКсОК 5/16</v>
          </cell>
          <cell r="BD157" t="str">
            <v>-</v>
          </cell>
          <cell r="BE157" t="str">
            <v>-</v>
          </cell>
          <cell r="BF157" t="str">
            <v>-</v>
          </cell>
          <cell r="BG157" t="str">
            <v>-</v>
          </cell>
          <cell r="BH157">
            <v>1488</v>
          </cell>
          <cell r="BI157" t="str">
            <v>закрыт</v>
          </cell>
        </row>
        <row r="158">
          <cell r="J158" t="str">
            <v>1060-2</v>
          </cell>
          <cell r="K158" t="str">
            <v>Куст скважины-1060</v>
          </cell>
          <cell r="L158">
            <v>38434</v>
          </cell>
          <cell r="M158" t="str">
            <v>Гор.</v>
          </cell>
          <cell r="N158" t="str">
            <v>Р4+5_Block3</v>
          </cell>
          <cell r="O158" t="str">
            <v>Действующий</v>
          </cell>
          <cell r="P158" t="str">
            <v>В работе</v>
          </cell>
          <cell r="Q158">
            <v>-4</v>
          </cell>
          <cell r="R158" t="str">
            <v xml:space="preserve"> </v>
          </cell>
          <cell r="S158" t="str">
            <v xml:space="preserve"> </v>
          </cell>
          <cell r="U158">
            <v>203</v>
          </cell>
          <cell r="V158">
            <v>218.2</v>
          </cell>
          <cell r="W158">
            <v>0.98</v>
          </cell>
          <cell r="X158">
            <v>1.66</v>
          </cell>
          <cell r="Y158">
            <v>0.98</v>
          </cell>
          <cell r="Z158">
            <v>1.454</v>
          </cell>
          <cell r="AA158">
            <v>0.83599999999999997</v>
          </cell>
          <cell r="AB158">
            <v>0.72</v>
          </cell>
          <cell r="AC158">
            <v>34.299999999999997</v>
          </cell>
          <cell r="AD158">
            <v>1.17</v>
          </cell>
          <cell r="AE158">
            <v>139.69999999999999</v>
          </cell>
          <cell r="AF158">
            <v>7.72</v>
          </cell>
          <cell r="AG158">
            <v>1906</v>
          </cell>
          <cell r="AH158">
            <v>2439</v>
          </cell>
          <cell r="AI158">
            <v>2439</v>
          </cell>
          <cell r="AM158" t="str">
            <v>открытый</v>
          </cell>
          <cell r="AN158" t="str">
            <v xml:space="preserve">1906-2439 </v>
          </cell>
          <cell r="AO158">
            <v>46.13</v>
          </cell>
          <cell r="AP158">
            <v>1906</v>
          </cell>
          <cell r="AQ158">
            <v>41</v>
          </cell>
          <cell r="AU158" t="str">
            <v>Фон.</v>
          </cell>
          <cell r="AV158">
            <v>600</v>
          </cell>
          <cell r="AW158" t="str">
            <v>ГП</v>
          </cell>
          <cell r="AX158">
            <v>1200</v>
          </cell>
          <cell r="AY158" t="str">
            <v>ГП</v>
          </cell>
          <cell r="AZ158">
            <v>1720</v>
          </cell>
          <cell r="BA158" t="str">
            <v>ЦКсОК 5/16</v>
          </cell>
          <cell r="BB158" t="str">
            <v>-</v>
          </cell>
          <cell r="BC158" t="str">
            <v>-</v>
          </cell>
          <cell r="BD158" t="str">
            <v>-</v>
          </cell>
          <cell r="BE158" t="str">
            <v>-</v>
          </cell>
          <cell r="BF158" t="str">
            <v>-</v>
          </cell>
          <cell r="BG158" t="str">
            <v>-</v>
          </cell>
          <cell r="BH158">
            <v>1730</v>
          </cell>
          <cell r="BI158" t="str">
            <v>закрыт</v>
          </cell>
        </row>
        <row r="159">
          <cell r="J159">
            <v>1061</v>
          </cell>
          <cell r="K159" t="str">
            <v>Куст скважины-1061</v>
          </cell>
          <cell r="L159">
            <v>38717</v>
          </cell>
          <cell r="M159" t="str">
            <v>Верт.</v>
          </cell>
          <cell r="N159" t="str">
            <v>Р4+5_Block3</v>
          </cell>
          <cell r="O159" t="str">
            <v>Действующий</v>
          </cell>
          <cell r="P159" t="str">
            <v>Остановлена</v>
          </cell>
          <cell r="Q159">
            <v>-4</v>
          </cell>
          <cell r="R159" t="str">
            <v xml:space="preserve"> </v>
          </cell>
          <cell r="S159" t="str">
            <v xml:space="preserve"> </v>
          </cell>
          <cell r="U159">
            <v>203</v>
          </cell>
          <cell r="V159">
            <v>218.2</v>
          </cell>
          <cell r="W159">
            <v>0.98</v>
          </cell>
          <cell r="X159">
            <v>1.66</v>
          </cell>
          <cell r="Y159">
            <v>0.98012044853704894</v>
          </cell>
          <cell r="Z159">
            <v>1.454</v>
          </cell>
          <cell r="AA159">
            <v>0.83599999999999997</v>
          </cell>
          <cell r="AB159">
            <v>0.72</v>
          </cell>
          <cell r="AC159">
            <v>34.299999999999997</v>
          </cell>
          <cell r="AD159">
            <v>1.17</v>
          </cell>
          <cell r="AE159">
            <v>139.69999999999999</v>
          </cell>
          <cell r="AF159">
            <v>7.72</v>
          </cell>
          <cell r="AG159">
            <v>2048</v>
          </cell>
          <cell r="AH159">
            <v>2020</v>
          </cell>
          <cell r="AI159">
            <v>2020</v>
          </cell>
          <cell r="AM159" t="str">
            <v>открытый</v>
          </cell>
          <cell r="AN159" t="str">
            <v>1866-1922; 1927-1961</v>
          </cell>
          <cell r="AO159">
            <v>79.48</v>
          </cell>
          <cell r="AP159">
            <v>1874</v>
          </cell>
          <cell r="AQ159">
            <v>24.76</v>
          </cell>
          <cell r="AU159" t="str">
            <v>Газлифт</v>
          </cell>
          <cell r="AV159">
            <v>549.99999140600005</v>
          </cell>
          <cell r="AW159" t="str">
            <v>ГП</v>
          </cell>
          <cell r="AX159">
            <v>970.00002949199995</v>
          </cell>
          <cell r="AY159" t="str">
            <v>ГК 81 1/8</v>
          </cell>
          <cell r="AZ159">
            <v>1299.9999796879999</v>
          </cell>
          <cell r="BA159" t="str">
            <v>ГК 81 5/32</v>
          </cell>
          <cell r="BB159">
            <v>1560.000035156</v>
          </cell>
          <cell r="BC159" t="str">
            <v>ГК 81 5/32</v>
          </cell>
          <cell r="BD159">
            <v>1790.0000613279999</v>
          </cell>
          <cell r="BE159" t="str">
            <v>ЦКсОК 5/16</v>
          </cell>
          <cell r="BF159" t="str">
            <v>-</v>
          </cell>
          <cell r="BG159" t="str">
            <v>-</v>
          </cell>
          <cell r="BH159">
            <v>1800</v>
          </cell>
          <cell r="BI159" t="str">
            <v>закрыт</v>
          </cell>
        </row>
        <row r="160">
          <cell r="J160" t="str">
            <v>1061-1</v>
          </cell>
          <cell r="K160" t="str">
            <v>Куст скважины-1061</v>
          </cell>
          <cell r="L160">
            <v>38837</v>
          </cell>
          <cell r="M160" t="str">
            <v>Гор.</v>
          </cell>
          <cell r="N160" t="str">
            <v>Р4+5_Block3</v>
          </cell>
          <cell r="O160" t="str">
            <v>Действующий</v>
          </cell>
          <cell r="P160" t="str">
            <v>В работе</v>
          </cell>
          <cell r="Q160">
            <v>-4</v>
          </cell>
          <cell r="R160" t="str">
            <v xml:space="preserve"> </v>
          </cell>
          <cell r="S160" t="str">
            <v xml:space="preserve"> </v>
          </cell>
          <cell r="U160">
            <v>203</v>
          </cell>
          <cell r="V160">
            <v>218.2</v>
          </cell>
          <cell r="W160">
            <v>0.98</v>
          </cell>
          <cell r="X160">
            <v>1.66</v>
          </cell>
          <cell r="Y160">
            <v>0.98</v>
          </cell>
          <cell r="Z160">
            <v>1.454</v>
          </cell>
          <cell r="AA160">
            <v>0.83599999999999997</v>
          </cell>
          <cell r="AB160">
            <v>0.72</v>
          </cell>
          <cell r="AC160">
            <v>34.299999999999997</v>
          </cell>
          <cell r="AD160">
            <v>1.17</v>
          </cell>
          <cell r="AE160">
            <v>139.69999999999999</v>
          </cell>
          <cell r="AF160">
            <v>7.72</v>
          </cell>
          <cell r="AG160">
            <v>1929</v>
          </cell>
          <cell r="AH160">
            <v>2500</v>
          </cell>
          <cell r="AI160">
            <v>2500</v>
          </cell>
          <cell r="AM160" t="str">
            <v>открытый</v>
          </cell>
          <cell r="AN160" t="str">
            <v xml:space="preserve">1929-2500 </v>
          </cell>
          <cell r="AO160">
            <v>94.17</v>
          </cell>
          <cell r="AP160">
            <v>1929</v>
          </cell>
          <cell r="AQ160">
            <v>61.3</v>
          </cell>
          <cell r="AU160" t="str">
            <v>Фон.</v>
          </cell>
          <cell r="AV160">
            <v>602</v>
          </cell>
          <cell r="AW160" t="str">
            <v>ГП</v>
          </cell>
          <cell r="AX160">
            <v>1204</v>
          </cell>
          <cell r="AY160" t="str">
            <v>ГК 80 5/32</v>
          </cell>
          <cell r="AZ160">
            <v>1728</v>
          </cell>
          <cell r="BA160" t="str">
            <v>ЦКсОК 5/16</v>
          </cell>
          <cell r="BB160" t="str">
            <v>-</v>
          </cell>
          <cell r="BC160" t="str">
            <v>-</v>
          </cell>
          <cell r="BD160" t="str">
            <v>-</v>
          </cell>
          <cell r="BE160" t="str">
            <v>-</v>
          </cell>
          <cell r="BF160" t="str">
            <v>-</v>
          </cell>
          <cell r="BG160" t="str">
            <v>-</v>
          </cell>
          <cell r="BH160">
            <v>1739</v>
          </cell>
          <cell r="BI160" t="str">
            <v>закрыт</v>
          </cell>
        </row>
        <row r="161">
          <cell r="J161" t="str">
            <v>1061-2</v>
          </cell>
          <cell r="K161" t="str">
            <v>Куст скважины-1061</v>
          </cell>
          <cell r="L161">
            <v>38960</v>
          </cell>
          <cell r="M161" t="str">
            <v>Гор.</v>
          </cell>
          <cell r="N161" t="str">
            <v>Р4+5_Block3, P5i</v>
          </cell>
          <cell r="O161" t="str">
            <v>Действующий</v>
          </cell>
          <cell r="P161" t="str">
            <v>В работе</v>
          </cell>
          <cell r="Q161">
            <v>-4</v>
          </cell>
          <cell r="U161">
            <v>203</v>
          </cell>
          <cell r="V161">
            <v>218.2</v>
          </cell>
          <cell r="W161">
            <v>0.98</v>
          </cell>
          <cell r="X161">
            <v>1.66</v>
          </cell>
          <cell r="Y161">
            <v>0.98</v>
          </cell>
          <cell r="Z161">
            <v>1.454</v>
          </cell>
          <cell r="AA161">
            <v>0.83599999999999997</v>
          </cell>
          <cell r="AB161">
            <v>0.72</v>
          </cell>
          <cell r="AC161">
            <v>34.299999999999997</v>
          </cell>
          <cell r="AD161">
            <v>1.17</v>
          </cell>
          <cell r="AE161">
            <v>139.69999999999999</v>
          </cell>
          <cell r="AF161">
            <v>7.72</v>
          </cell>
          <cell r="AG161">
            <v>1973</v>
          </cell>
          <cell r="AH161">
            <v>2500</v>
          </cell>
          <cell r="AI161">
            <v>2500</v>
          </cell>
          <cell r="AM161" t="str">
            <v>открытый</v>
          </cell>
          <cell r="AN161" t="str">
            <v xml:space="preserve">1973-2500 </v>
          </cell>
          <cell r="AO161">
            <v>16.2</v>
          </cell>
          <cell r="AP161">
            <v>1973</v>
          </cell>
          <cell r="AQ161">
            <v>103</v>
          </cell>
          <cell r="AU161" t="str">
            <v>Фон.</v>
          </cell>
          <cell r="AV161">
            <v>444</v>
          </cell>
          <cell r="AW161" t="str">
            <v>ГП</v>
          </cell>
          <cell r="AX161">
            <v>816</v>
          </cell>
          <cell r="AY161" t="str">
            <v>ГП</v>
          </cell>
          <cell r="AZ161">
            <v>1124</v>
          </cell>
          <cell r="BA161" t="str">
            <v>ГК 87 1/8</v>
          </cell>
          <cell r="BB161">
            <v>1377</v>
          </cell>
          <cell r="BC161" t="str">
            <v>ГК 86 5/32</v>
          </cell>
          <cell r="BD161">
            <v>1560</v>
          </cell>
          <cell r="BE161" t="str">
            <v>ЦКсОК 5/16</v>
          </cell>
          <cell r="BF161" t="str">
            <v>-</v>
          </cell>
          <cell r="BG161" t="str">
            <v>-</v>
          </cell>
          <cell r="BH161">
            <v>1570</v>
          </cell>
          <cell r="BI161" t="str">
            <v>закрыт</v>
          </cell>
        </row>
        <row r="162">
          <cell r="J162" t="str">
            <v>1061-3</v>
          </cell>
          <cell r="K162" t="str">
            <v>Куст скважины-1061</v>
          </cell>
          <cell r="L162">
            <v>39100</v>
          </cell>
          <cell r="M162" t="str">
            <v>Гор.</v>
          </cell>
          <cell r="N162" t="str">
            <v>Р4+5_Block3</v>
          </cell>
          <cell r="O162" t="str">
            <v>Действующий</v>
          </cell>
          <cell r="P162" t="str">
            <v>Остановлена</v>
          </cell>
          <cell r="Q162">
            <v>-4</v>
          </cell>
          <cell r="S162" t="str">
            <v xml:space="preserve"> </v>
          </cell>
          <cell r="U162">
            <v>203</v>
          </cell>
          <cell r="V162">
            <v>218.2</v>
          </cell>
          <cell r="W162">
            <v>0.98</v>
          </cell>
          <cell r="X162">
            <v>1.66</v>
          </cell>
          <cell r="Y162">
            <v>0.98</v>
          </cell>
          <cell r="Z162">
            <v>1.454</v>
          </cell>
          <cell r="AA162">
            <v>0.83599999999999997</v>
          </cell>
          <cell r="AB162">
            <v>0.72</v>
          </cell>
          <cell r="AC162">
            <v>34.299999999999997</v>
          </cell>
          <cell r="AD162">
            <v>1.17</v>
          </cell>
          <cell r="AE162">
            <v>139.69999999999999</v>
          </cell>
          <cell r="AF162">
            <v>7.72</v>
          </cell>
          <cell r="AG162">
            <v>2024</v>
          </cell>
          <cell r="AH162">
            <v>2380</v>
          </cell>
          <cell r="AI162">
            <v>2380</v>
          </cell>
          <cell r="AM162" t="str">
            <v>открытый</v>
          </cell>
          <cell r="AN162" t="str">
            <v xml:space="preserve">2024-2380 </v>
          </cell>
          <cell r="AO162">
            <v>37.950000000000003</v>
          </cell>
          <cell r="AP162">
            <v>2024</v>
          </cell>
          <cell r="AQ162">
            <v>153.6</v>
          </cell>
          <cell r="AU162" t="str">
            <v>Фон.</v>
          </cell>
          <cell r="AV162">
            <v>599</v>
          </cell>
          <cell r="AW162" t="str">
            <v>ГП</v>
          </cell>
          <cell r="AX162">
            <v>1202</v>
          </cell>
          <cell r="AY162" t="str">
            <v>ГП</v>
          </cell>
          <cell r="AZ162">
            <v>1703</v>
          </cell>
          <cell r="BA162" t="str">
            <v>ЦКсОК 5/16</v>
          </cell>
          <cell r="BB162" t="str">
            <v>-</v>
          </cell>
          <cell r="BC162" t="str">
            <v>-</v>
          </cell>
          <cell r="BD162" t="str">
            <v>-</v>
          </cell>
          <cell r="BE162" t="str">
            <v>-</v>
          </cell>
          <cell r="BF162" t="str">
            <v>-</v>
          </cell>
          <cell r="BG162" t="str">
            <v>-</v>
          </cell>
          <cell r="BH162" t="str">
            <v>-</v>
          </cell>
          <cell r="BI162" t="str">
            <v>-</v>
          </cell>
        </row>
        <row r="163">
          <cell r="J163" t="str">
            <v>1063-2</v>
          </cell>
          <cell r="K163" t="str">
            <v>К-9</v>
          </cell>
          <cell r="L163">
            <v>41532</v>
          </cell>
          <cell r="M163" t="str">
            <v>Гор.</v>
          </cell>
          <cell r="N163" t="str">
            <v>Р4+5_Block3</v>
          </cell>
          <cell r="O163" t="str">
            <v>Действующий</v>
          </cell>
          <cell r="P163" t="str">
            <v>В работе</v>
          </cell>
          <cell r="Q163">
            <v>-4</v>
          </cell>
          <cell r="S163" t="str">
            <v xml:space="preserve"> </v>
          </cell>
          <cell r="U163">
            <v>203</v>
          </cell>
          <cell r="V163">
            <v>218.2</v>
          </cell>
          <cell r="W163">
            <v>0.98</v>
          </cell>
          <cell r="X163">
            <v>1.66</v>
          </cell>
          <cell r="Y163">
            <v>0.98</v>
          </cell>
          <cell r="Z163">
            <v>1.454</v>
          </cell>
          <cell r="AA163">
            <v>0.83599999999999997</v>
          </cell>
          <cell r="AB163">
            <v>0.72</v>
          </cell>
          <cell r="AC163">
            <v>34.299999999999997</v>
          </cell>
          <cell r="AD163">
            <v>1.17</v>
          </cell>
          <cell r="AE163">
            <v>177.8</v>
          </cell>
          <cell r="AF163">
            <v>9.19</v>
          </cell>
          <cell r="AG163">
            <v>2108</v>
          </cell>
          <cell r="AH163" t="str">
            <v>1 ств 2493
2 ств 2882</v>
          </cell>
          <cell r="AI163" t="str">
            <v>1 ств 2493
2 ств 2882</v>
          </cell>
          <cell r="AM163" t="str">
            <v>открытый</v>
          </cell>
          <cell r="AN163" t="str">
            <v xml:space="preserve"> 2108-2493; 2123-2882</v>
          </cell>
          <cell r="AO163">
            <v>26</v>
          </cell>
          <cell r="AP163">
            <v>2108</v>
          </cell>
          <cell r="AQ163">
            <v>216.52</v>
          </cell>
          <cell r="AU163" t="str">
            <v>Газлифт</v>
          </cell>
          <cell r="AV163">
            <v>549.85919999999999</v>
          </cell>
          <cell r="AW163" t="str">
            <v>ГК 86 1/8</v>
          </cell>
          <cell r="AX163">
            <v>979.93200000000002</v>
          </cell>
          <cell r="AY163" t="str">
            <v>ГК 87 1/8</v>
          </cell>
          <cell r="AZ163">
            <v>1320.0888</v>
          </cell>
          <cell r="BA163" t="str">
            <v>ГК 87 5/32</v>
          </cell>
          <cell r="BB163">
            <v>1605.0768</v>
          </cell>
          <cell r="BC163" t="str">
            <v>ГК 86 5/32</v>
          </cell>
          <cell r="BD163">
            <v>1880.0064</v>
          </cell>
          <cell r="BE163" t="str">
            <v>ЦКсОК 5/16</v>
          </cell>
          <cell r="BF163" t="str">
            <v>-</v>
          </cell>
          <cell r="BG163" t="str">
            <v>-</v>
          </cell>
          <cell r="BH163">
            <v>1890</v>
          </cell>
          <cell r="BI163" t="str">
            <v>закрыт</v>
          </cell>
        </row>
        <row r="164">
          <cell r="J164">
            <v>1065</v>
          </cell>
          <cell r="K164" t="str">
            <v>К-9</v>
          </cell>
          <cell r="L164">
            <v>41729</v>
          </cell>
          <cell r="M164" t="str">
            <v>Гор.</v>
          </cell>
          <cell r="N164" t="str">
            <v>Р4+5_Block3, P5i</v>
          </cell>
          <cell r="O164" t="str">
            <v>В бездействии прошлых лет</v>
          </cell>
          <cell r="P164" t="str">
            <v>Остановлена</v>
          </cell>
          <cell r="Q164">
            <v>-4</v>
          </cell>
          <cell r="S164" t="str">
            <v xml:space="preserve"> </v>
          </cell>
          <cell r="U164">
            <v>203</v>
          </cell>
          <cell r="V164">
            <v>218.2</v>
          </cell>
          <cell r="W164">
            <v>0.98</v>
          </cell>
          <cell r="X164">
            <v>1.66</v>
          </cell>
          <cell r="Y164">
            <v>0.98</v>
          </cell>
          <cell r="Z164">
            <v>1.454</v>
          </cell>
          <cell r="AA164">
            <v>0.83599999999999997</v>
          </cell>
          <cell r="AB164">
            <v>0.72</v>
          </cell>
          <cell r="AC164">
            <v>34.299999999999997</v>
          </cell>
          <cell r="AD164">
            <v>1.17</v>
          </cell>
          <cell r="AE164">
            <v>177.8</v>
          </cell>
          <cell r="AF164">
            <v>9.19</v>
          </cell>
          <cell r="AG164">
            <v>2074</v>
          </cell>
          <cell r="AH164">
            <v>2647</v>
          </cell>
          <cell r="AI164">
            <v>2647</v>
          </cell>
          <cell r="AM164" t="str">
            <v>открытый</v>
          </cell>
          <cell r="AN164" t="str">
            <v xml:space="preserve">2074-2647 </v>
          </cell>
          <cell r="AO164">
            <v>20</v>
          </cell>
          <cell r="AP164">
            <v>2074</v>
          </cell>
          <cell r="AQ164">
            <v>344</v>
          </cell>
          <cell r="AU164" t="str">
            <v>Фон.</v>
          </cell>
          <cell r="AV164">
            <v>600</v>
          </cell>
          <cell r="AW164" t="str">
            <v>ГК65/2</v>
          </cell>
          <cell r="AX164">
            <v>1200</v>
          </cell>
          <cell r="AY164" t="str">
            <v>ГК45</v>
          </cell>
          <cell r="AZ164">
            <v>1770</v>
          </cell>
          <cell r="BA164" t="str">
            <v>ЦКсОК</v>
          </cell>
          <cell r="BB164" t="str">
            <v>-</v>
          </cell>
          <cell r="BC164" t="str">
            <v>-</v>
          </cell>
          <cell r="BD164" t="str">
            <v>-</v>
          </cell>
          <cell r="BE164" t="str">
            <v>-</v>
          </cell>
          <cell r="BF164" t="str">
            <v>-</v>
          </cell>
          <cell r="BG164" t="str">
            <v>-</v>
          </cell>
          <cell r="BH164">
            <v>1780</v>
          </cell>
          <cell r="BI164" t="str">
            <v>закр</v>
          </cell>
        </row>
        <row r="165">
          <cell r="J165" t="str">
            <v>1065-2</v>
          </cell>
          <cell r="K165" t="str">
            <v>К-35</v>
          </cell>
          <cell r="L165">
            <v>41786</v>
          </cell>
          <cell r="M165" t="str">
            <v>Гор.</v>
          </cell>
          <cell r="N165" t="str">
            <v>P4+5+6_Block1_yug</v>
          </cell>
          <cell r="O165" t="str">
            <v>Действующий</v>
          </cell>
          <cell r="P165" t="str">
            <v>Остановлена</v>
          </cell>
          <cell r="Q165">
            <v>-4</v>
          </cell>
          <cell r="U165">
            <v>203</v>
          </cell>
          <cell r="V165">
            <v>218.2</v>
          </cell>
          <cell r="W165">
            <v>0.98</v>
          </cell>
          <cell r="X165">
            <v>1.66</v>
          </cell>
          <cell r="Y165">
            <v>0.98605891623227049</v>
          </cell>
          <cell r="Z165">
            <v>1.454</v>
          </cell>
          <cell r="AA165">
            <v>0.83599999999999997</v>
          </cell>
          <cell r="AB165">
            <v>0.72</v>
          </cell>
          <cell r="AC165">
            <v>34.299999999999997</v>
          </cell>
          <cell r="AD165">
            <v>1.17</v>
          </cell>
          <cell r="AE165">
            <v>177.8</v>
          </cell>
          <cell r="AF165">
            <v>9.19</v>
          </cell>
          <cell r="AG165">
            <v>2139</v>
          </cell>
          <cell r="AH165">
            <v>2960</v>
          </cell>
          <cell r="AI165">
            <v>2960</v>
          </cell>
          <cell r="AM165" t="str">
            <v>открытый</v>
          </cell>
          <cell r="AN165" t="str">
            <v>2139-2960</v>
          </cell>
          <cell r="AO165">
            <v>17</v>
          </cell>
          <cell r="AP165">
            <v>2139</v>
          </cell>
          <cell r="AQ165">
            <v>324</v>
          </cell>
          <cell r="AU165" t="str">
            <v>Газлифт</v>
          </cell>
          <cell r="AV165">
            <v>324.99999492199998</v>
          </cell>
          <cell r="AW165" t="str">
            <v>ГП</v>
          </cell>
          <cell r="AX165">
            <v>635.00004960900003</v>
          </cell>
          <cell r="AY165" t="str">
            <v>ГП</v>
          </cell>
          <cell r="AZ165">
            <v>960.00004453099996</v>
          </cell>
          <cell r="BA165" t="str">
            <v>ГП</v>
          </cell>
          <cell r="BB165">
            <v>1290.000069141</v>
          </cell>
          <cell r="BC165" t="str">
            <v>ГК 77 1/8</v>
          </cell>
          <cell r="BD165">
            <v>1549.9999757810001</v>
          </cell>
          <cell r="BE165" t="str">
            <v>ГК 77 1/8</v>
          </cell>
          <cell r="BF165" t="str">
            <v>-</v>
          </cell>
          <cell r="BG165" t="str">
            <v>-</v>
          </cell>
          <cell r="BH165">
            <v>1750</v>
          </cell>
          <cell r="BI165" t="str">
            <v>закрыт</v>
          </cell>
        </row>
        <row r="166">
          <cell r="J166">
            <v>1068</v>
          </cell>
          <cell r="K166" t="str">
            <v>Куст скважины-1068</v>
          </cell>
          <cell r="L166">
            <v>39269</v>
          </cell>
          <cell r="M166" t="str">
            <v>Гор.</v>
          </cell>
          <cell r="N166" t="str">
            <v>Р4+5_Block3</v>
          </cell>
          <cell r="O166" t="str">
            <v>Действующий</v>
          </cell>
          <cell r="P166" t="str">
            <v>Остановлена</v>
          </cell>
          <cell r="Q166">
            <v>-4</v>
          </cell>
          <cell r="R166" t="str">
            <v xml:space="preserve"> </v>
          </cell>
          <cell r="S166" t="str">
            <v xml:space="preserve"> </v>
          </cell>
          <cell r="U166">
            <v>203</v>
          </cell>
          <cell r="V166">
            <v>218.2</v>
          </cell>
          <cell r="W166">
            <v>0.98</v>
          </cell>
          <cell r="X166">
            <v>1.66</v>
          </cell>
          <cell r="Y166">
            <v>0.98120581919949812</v>
          </cell>
          <cell r="Z166">
            <v>1.454</v>
          </cell>
          <cell r="AA166">
            <v>0.83599999999999997</v>
          </cell>
          <cell r="AB166">
            <v>0.72</v>
          </cell>
          <cell r="AC166">
            <v>34.299999999999997</v>
          </cell>
          <cell r="AD166">
            <v>1.17</v>
          </cell>
          <cell r="AE166">
            <v>139.69999999999999</v>
          </cell>
          <cell r="AF166">
            <v>7.72</v>
          </cell>
          <cell r="AG166">
            <v>1945</v>
          </cell>
          <cell r="AH166">
            <v>2400</v>
          </cell>
          <cell r="AI166">
            <v>2400</v>
          </cell>
          <cell r="AM166" t="str">
            <v>открытый</v>
          </cell>
          <cell r="AN166" t="str">
            <v xml:space="preserve">1945-2400 </v>
          </cell>
          <cell r="AO166">
            <v>38.39</v>
          </cell>
          <cell r="AP166">
            <v>1945</v>
          </cell>
          <cell r="AQ166">
            <v>45.82</v>
          </cell>
          <cell r="AU166" t="str">
            <v>Газлифт</v>
          </cell>
          <cell r="AV166">
            <v>599.99999062500001</v>
          </cell>
          <cell r="AW166" t="str">
            <v>ГП</v>
          </cell>
          <cell r="AX166">
            <v>1199.99998125</v>
          </cell>
          <cell r="AY166" t="str">
            <v>ГК 95 1/8</v>
          </cell>
          <cell r="AZ166">
            <v>1749.999972656</v>
          </cell>
          <cell r="BA166" t="str">
            <v>ЦКсОК 5/16</v>
          </cell>
          <cell r="BB166" t="str">
            <v>-</v>
          </cell>
          <cell r="BC166" t="str">
            <v>-</v>
          </cell>
          <cell r="BD166" t="str">
            <v>-</v>
          </cell>
          <cell r="BE166" t="str">
            <v>-</v>
          </cell>
          <cell r="BF166" t="str">
            <v>-</v>
          </cell>
          <cell r="BG166" t="str">
            <v>-</v>
          </cell>
          <cell r="BH166">
            <v>1760</v>
          </cell>
          <cell r="BI166" t="str">
            <v>закрыт</v>
          </cell>
        </row>
        <row r="167">
          <cell r="J167" t="str">
            <v>1068-1</v>
          </cell>
          <cell r="K167" t="str">
            <v>Куст скважины-1068</v>
          </cell>
          <cell r="L167">
            <v>39480</v>
          </cell>
          <cell r="M167" t="str">
            <v>Гор.</v>
          </cell>
          <cell r="N167" t="str">
            <v>Р4+5_Block3</v>
          </cell>
          <cell r="O167" t="str">
            <v>Действующий</v>
          </cell>
          <cell r="P167" t="str">
            <v>В работе</v>
          </cell>
          <cell r="Q167">
            <v>-4</v>
          </cell>
          <cell r="R167" t="str">
            <v xml:space="preserve"> </v>
          </cell>
          <cell r="S167" t="str">
            <v xml:space="preserve"> </v>
          </cell>
          <cell r="U167">
            <v>203</v>
          </cell>
          <cell r="V167">
            <v>218.2</v>
          </cell>
          <cell r="W167">
            <v>0.98</v>
          </cell>
          <cell r="X167">
            <v>1.66</v>
          </cell>
          <cell r="Y167">
            <v>0.98838099450521399</v>
          </cell>
          <cell r="Z167">
            <v>1.454</v>
          </cell>
          <cell r="AA167">
            <v>0.83599999999999997</v>
          </cell>
          <cell r="AB167">
            <v>0.72</v>
          </cell>
          <cell r="AC167">
            <v>34.299999999999997</v>
          </cell>
          <cell r="AD167">
            <v>1.17</v>
          </cell>
          <cell r="AE167">
            <v>139.69999999999999</v>
          </cell>
          <cell r="AF167">
            <v>7.72</v>
          </cell>
          <cell r="AG167">
            <v>1953</v>
          </cell>
          <cell r="AH167">
            <v>2450</v>
          </cell>
          <cell r="AI167">
            <v>2450</v>
          </cell>
          <cell r="AM167" t="str">
            <v>открытый</v>
          </cell>
          <cell r="AN167" t="str">
            <v xml:space="preserve">1953-2450 </v>
          </cell>
          <cell r="AO167">
            <v>85.6</v>
          </cell>
          <cell r="AP167">
            <v>1953</v>
          </cell>
          <cell r="AQ167">
            <v>73.989999999999995</v>
          </cell>
          <cell r="AU167" t="str">
            <v>Фон.</v>
          </cell>
          <cell r="AV167">
            <v>550</v>
          </cell>
          <cell r="AW167" t="str">
            <v>ГК 82 1/8</v>
          </cell>
          <cell r="AX167">
            <v>960</v>
          </cell>
          <cell r="AY167" t="str">
            <v>ГК 82 1/8</v>
          </cell>
          <cell r="AZ167">
            <v>1275</v>
          </cell>
          <cell r="BA167" t="str">
            <v>ГК 83 5/32</v>
          </cell>
          <cell r="BB167">
            <v>1520</v>
          </cell>
          <cell r="BC167" t="str">
            <v>ГК 83 3/16</v>
          </cell>
          <cell r="BD167">
            <v>1740</v>
          </cell>
          <cell r="BE167" t="str">
            <v>ЦКсОК 5/16</v>
          </cell>
          <cell r="BF167" t="str">
            <v>-</v>
          </cell>
          <cell r="BG167" t="str">
            <v>-</v>
          </cell>
          <cell r="BH167">
            <v>1750</v>
          </cell>
          <cell r="BI167" t="str">
            <v>закрыт</v>
          </cell>
        </row>
        <row r="168">
          <cell r="J168">
            <v>1069</v>
          </cell>
          <cell r="K168" t="str">
            <v>Куст скважины-1069</v>
          </cell>
          <cell r="L168">
            <v>39123</v>
          </cell>
          <cell r="M168" t="str">
            <v>Гор.</v>
          </cell>
          <cell r="N168" t="str">
            <v>Р4+5_Block3</v>
          </cell>
          <cell r="O168" t="str">
            <v>Действующий</v>
          </cell>
          <cell r="P168" t="str">
            <v>В работе</v>
          </cell>
          <cell r="Q168">
            <v>-4</v>
          </cell>
          <cell r="R168" t="str">
            <v xml:space="preserve"> </v>
          </cell>
          <cell r="S168" t="str">
            <v xml:space="preserve"> </v>
          </cell>
          <cell r="U168">
            <v>203</v>
          </cell>
          <cell r="V168">
            <v>218.2</v>
          </cell>
          <cell r="W168">
            <v>0.98</v>
          </cell>
          <cell r="X168">
            <v>1.66</v>
          </cell>
          <cell r="Y168">
            <v>0.99338799776261755</v>
          </cell>
          <cell r="Z168">
            <v>1.454</v>
          </cell>
          <cell r="AA168">
            <v>0.83599999999999997</v>
          </cell>
          <cell r="AB168">
            <v>0.72</v>
          </cell>
          <cell r="AC168">
            <v>34.299999999999997</v>
          </cell>
          <cell r="AD168">
            <v>1.17</v>
          </cell>
          <cell r="AE168">
            <v>139.69999999999999</v>
          </cell>
          <cell r="AF168">
            <v>7.72</v>
          </cell>
          <cell r="AG168">
            <v>1966</v>
          </cell>
          <cell r="AH168">
            <v>2500</v>
          </cell>
          <cell r="AI168">
            <v>2500</v>
          </cell>
          <cell r="AM168" t="str">
            <v>открытый</v>
          </cell>
          <cell r="AN168" t="str">
            <v xml:space="preserve">1966-2500 </v>
          </cell>
          <cell r="AO168">
            <v>42.76</v>
          </cell>
          <cell r="AP168">
            <v>1966</v>
          </cell>
          <cell r="AQ168">
            <v>104.1</v>
          </cell>
          <cell r="AU168" t="str">
            <v>Фон.</v>
          </cell>
          <cell r="AV168">
            <v>596</v>
          </cell>
          <cell r="AW168" t="str">
            <v>ГП</v>
          </cell>
          <cell r="AX168">
            <v>1201</v>
          </cell>
          <cell r="AY168" t="str">
            <v>ГП</v>
          </cell>
          <cell r="AZ168">
            <v>1720</v>
          </cell>
          <cell r="BA168" t="str">
            <v>ЦКсОК 5/16</v>
          </cell>
          <cell r="BB168" t="str">
            <v>-</v>
          </cell>
          <cell r="BC168" t="str">
            <v>-</v>
          </cell>
          <cell r="BD168" t="str">
            <v>-</v>
          </cell>
          <cell r="BE168" t="str">
            <v>-</v>
          </cell>
          <cell r="BF168" t="str">
            <v>-</v>
          </cell>
          <cell r="BG168" t="str">
            <v>-</v>
          </cell>
          <cell r="BH168">
            <v>1731</v>
          </cell>
          <cell r="BI168" t="str">
            <v>закрыт</v>
          </cell>
        </row>
        <row r="169">
          <cell r="J169" t="str">
            <v>1069-2</v>
          </cell>
          <cell r="K169" t="str">
            <v>Куст скважины-1069</v>
          </cell>
          <cell r="L169">
            <v>39490</v>
          </cell>
          <cell r="M169" t="str">
            <v>Гор.</v>
          </cell>
          <cell r="N169" t="str">
            <v>Р4+5_Block3</v>
          </cell>
          <cell r="O169" t="str">
            <v>Действующий</v>
          </cell>
          <cell r="P169" t="str">
            <v>Остановлена</v>
          </cell>
          <cell r="Q169">
            <v>-4</v>
          </cell>
          <cell r="R169" t="str">
            <v xml:space="preserve"> </v>
          </cell>
          <cell r="S169" t="str">
            <v xml:space="preserve"> </v>
          </cell>
          <cell r="U169">
            <v>203</v>
          </cell>
          <cell r="V169">
            <v>218.2</v>
          </cell>
          <cell r="W169">
            <v>0.98</v>
          </cell>
          <cell r="X169">
            <v>1.66</v>
          </cell>
          <cell r="Y169">
            <v>1.0025044123011999</v>
          </cell>
          <cell r="Z169">
            <v>1.454</v>
          </cell>
          <cell r="AA169">
            <v>0.83599999999999997</v>
          </cell>
          <cell r="AB169">
            <v>0.72</v>
          </cell>
          <cell r="AC169">
            <v>34.299999999999997</v>
          </cell>
          <cell r="AD169">
            <v>1.17</v>
          </cell>
          <cell r="AE169">
            <v>139.69999999999999</v>
          </cell>
          <cell r="AF169">
            <v>7.72</v>
          </cell>
          <cell r="AG169">
            <v>1925</v>
          </cell>
          <cell r="AH169" t="str">
            <v>1 ств 2480
2 ств 2647
3 ств 2270</v>
          </cell>
          <cell r="AI169" t="str">
            <v>1 ств 2480
2 ств 2647
3 ств 2270</v>
          </cell>
          <cell r="AM169" t="str">
            <v>открытый</v>
          </cell>
          <cell r="AN169" t="str">
            <v xml:space="preserve"> 1925-2480; 1925-2647; 1925-2270</v>
          </cell>
          <cell r="AO169">
            <v>91.26</v>
          </cell>
          <cell r="AP169">
            <v>1925</v>
          </cell>
          <cell r="AQ169">
            <v>60.7</v>
          </cell>
          <cell r="AU169" t="str">
            <v>Фон.</v>
          </cell>
          <cell r="AV169">
            <v>600</v>
          </cell>
          <cell r="AW169" t="str">
            <v>ГП</v>
          </cell>
          <cell r="AX169">
            <v>1200</v>
          </cell>
          <cell r="AY169" t="str">
            <v>ГП</v>
          </cell>
          <cell r="AZ169">
            <v>1745</v>
          </cell>
          <cell r="BA169" t="str">
            <v>ЦКсОК 5/16</v>
          </cell>
          <cell r="BB169" t="str">
            <v>-</v>
          </cell>
          <cell r="BC169" t="str">
            <v>-</v>
          </cell>
          <cell r="BD169" t="str">
            <v>-</v>
          </cell>
          <cell r="BE169" t="str">
            <v>-</v>
          </cell>
          <cell r="BF169" t="str">
            <v>-</v>
          </cell>
          <cell r="BG169" t="str">
            <v>-</v>
          </cell>
          <cell r="BH169">
            <v>1757</v>
          </cell>
          <cell r="BI169" t="str">
            <v>закрыт</v>
          </cell>
        </row>
        <row r="170">
          <cell r="J170" t="str">
            <v>1070-2</v>
          </cell>
          <cell r="K170" t="str">
            <v>Куст скважины-1070</v>
          </cell>
          <cell r="L170">
            <v>38797</v>
          </cell>
          <cell r="M170" t="str">
            <v>Гор.</v>
          </cell>
          <cell r="N170" t="str">
            <v>Р4+5_Block3</v>
          </cell>
          <cell r="O170" t="str">
            <v>Действующий</v>
          </cell>
          <cell r="P170" t="str">
            <v>Остановлена</v>
          </cell>
          <cell r="Q170">
            <v>-4</v>
          </cell>
          <cell r="R170" t="str">
            <v xml:space="preserve"> </v>
          </cell>
          <cell r="S170" t="str">
            <v xml:space="preserve"> </v>
          </cell>
          <cell r="U170">
            <v>203</v>
          </cell>
          <cell r="V170">
            <v>218.2</v>
          </cell>
          <cell r="W170">
            <v>0.98</v>
          </cell>
          <cell r="X170">
            <v>1.66</v>
          </cell>
          <cell r="Y170">
            <v>1.0046936758893281</v>
          </cell>
          <cell r="Z170">
            <v>1.454</v>
          </cell>
          <cell r="AA170">
            <v>0.83599999999999997</v>
          </cell>
          <cell r="AB170">
            <v>0.72</v>
          </cell>
          <cell r="AC170">
            <v>34.299999999999997</v>
          </cell>
          <cell r="AD170">
            <v>1.17</v>
          </cell>
          <cell r="AE170">
            <v>139.69999999999999</v>
          </cell>
          <cell r="AF170">
            <v>7.72</v>
          </cell>
          <cell r="AG170">
            <v>1920</v>
          </cell>
          <cell r="AH170">
            <v>2400</v>
          </cell>
          <cell r="AI170">
            <v>2400</v>
          </cell>
          <cell r="AM170" t="str">
            <v>открытый</v>
          </cell>
          <cell r="AN170" t="str">
            <v>1827-1833; 1837-1839; 1845-1847; 1850-1858; 1864-1867; 1869-1885; 1887-1902; 1906-1917 (газ. шапка);
1920-2400 откр.ствол</v>
          </cell>
          <cell r="AO170">
            <v>89.78</v>
          </cell>
          <cell r="AP170">
            <v>1945</v>
          </cell>
          <cell r="AQ170">
            <v>54.9</v>
          </cell>
          <cell r="AU170" t="str">
            <v>Газлифт</v>
          </cell>
          <cell r="AV170">
            <v>621.00001113300004</v>
          </cell>
          <cell r="AW170" t="str">
            <v>ГП</v>
          </cell>
          <cell r="AX170">
            <v>1137.999970312</v>
          </cell>
          <cell r="AY170" t="str">
            <v>ГК 84 1/8</v>
          </cell>
          <cell r="AZ170">
            <v>1553.000053125</v>
          </cell>
          <cell r="BA170" t="str">
            <v>ГК 84 1/8</v>
          </cell>
          <cell r="BB170">
            <v>1790.0000613279999</v>
          </cell>
          <cell r="BC170" t="str">
            <v>ЦКсОК 5/16</v>
          </cell>
          <cell r="BD170" t="str">
            <v>-</v>
          </cell>
          <cell r="BE170" t="str">
            <v>-</v>
          </cell>
          <cell r="BF170" t="str">
            <v>-</v>
          </cell>
          <cell r="BG170" t="str">
            <v>-</v>
          </cell>
          <cell r="BH170">
            <v>1790</v>
          </cell>
          <cell r="BI170" t="str">
            <v>закрыт</v>
          </cell>
        </row>
        <row r="171">
          <cell r="J171" t="str">
            <v>1070-1</v>
          </cell>
          <cell r="K171" t="str">
            <v>Куст скважины-1070</v>
          </cell>
          <cell r="L171">
            <v>38939</v>
          </cell>
          <cell r="M171" t="str">
            <v>Гор.</v>
          </cell>
          <cell r="N171" t="str">
            <v>Р4+5_Block3</v>
          </cell>
          <cell r="O171" t="str">
            <v>Действующий</v>
          </cell>
          <cell r="P171" t="str">
            <v>В работе</v>
          </cell>
          <cell r="Q171">
            <v>-4</v>
          </cell>
          <cell r="R171" t="str">
            <v xml:space="preserve"> </v>
          </cell>
          <cell r="S171" t="str">
            <v xml:space="preserve"> </v>
          </cell>
          <cell r="U171">
            <v>203</v>
          </cell>
          <cell r="V171">
            <v>218.2</v>
          </cell>
          <cell r="W171">
            <v>0.98</v>
          </cell>
          <cell r="X171">
            <v>1.66</v>
          </cell>
          <cell r="Y171">
            <v>0.98</v>
          </cell>
          <cell r="Z171">
            <v>1.454</v>
          </cell>
          <cell r="AA171">
            <v>0.83599999999999997</v>
          </cell>
          <cell r="AB171">
            <v>0.72</v>
          </cell>
          <cell r="AC171">
            <v>34.299999999999997</v>
          </cell>
          <cell r="AD171">
            <v>1.17</v>
          </cell>
          <cell r="AE171">
            <v>139.69999999999999</v>
          </cell>
          <cell r="AF171">
            <v>7.72</v>
          </cell>
          <cell r="AG171">
            <v>1940</v>
          </cell>
          <cell r="AH171">
            <v>2500</v>
          </cell>
          <cell r="AI171">
            <v>2500</v>
          </cell>
          <cell r="AM171" t="str">
            <v>открытый</v>
          </cell>
          <cell r="AN171" t="str">
            <v xml:space="preserve">1940-2500 </v>
          </cell>
          <cell r="AO171">
            <v>56.12</v>
          </cell>
          <cell r="AP171">
            <v>1940</v>
          </cell>
          <cell r="AQ171">
            <v>73.2</v>
          </cell>
          <cell r="AU171" t="str">
            <v>Фон.</v>
          </cell>
          <cell r="AV171">
            <v>600</v>
          </cell>
          <cell r="AW171" t="str">
            <v>ГП</v>
          </cell>
          <cell r="AX171">
            <v>1200</v>
          </cell>
          <cell r="AY171" t="str">
            <v>ГК 82 1/8</v>
          </cell>
          <cell r="AZ171">
            <v>1740</v>
          </cell>
          <cell r="BA171" t="str">
            <v>ГК 81 1/8</v>
          </cell>
          <cell r="BB171">
            <v>1850</v>
          </cell>
          <cell r="BC171" t="str">
            <v>ЦКсОК 5/16</v>
          </cell>
          <cell r="BD171" t="str">
            <v>-</v>
          </cell>
          <cell r="BE171" t="str">
            <v>-</v>
          </cell>
          <cell r="BF171" t="str">
            <v>-</v>
          </cell>
          <cell r="BG171" t="str">
            <v>-</v>
          </cell>
          <cell r="BH171">
            <v>1750</v>
          </cell>
          <cell r="BI171" t="str">
            <v>открыт</v>
          </cell>
        </row>
        <row r="172">
          <cell r="J172">
            <v>1071</v>
          </cell>
          <cell r="K172" t="str">
            <v>Куст скважины-1071</v>
          </cell>
          <cell r="L172">
            <v>39724</v>
          </cell>
          <cell r="M172" t="str">
            <v>Гор.</v>
          </cell>
          <cell r="N172" t="str">
            <v>Р4+5_Block3</v>
          </cell>
          <cell r="O172" t="str">
            <v>Действующий</v>
          </cell>
          <cell r="P172" t="str">
            <v>В работе</v>
          </cell>
          <cell r="Q172">
            <v>-4</v>
          </cell>
          <cell r="R172" t="str">
            <v xml:space="preserve"> </v>
          </cell>
          <cell r="S172" t="str">
            <v xml:space="preserve"> </v>
          </cell>
          <cell r="U172">
            <v>203</v>
          </cell>
          <cell r="V172">
            <v>218.2</v>
          </cell>
          <cell r="W172">
            <v>0.98</v>
          </cell>
          <cell r="X172">
            <v>1.66</v>
          </cell>
          <cell r="Y172">
            <v>0.98160841861363191</v>
          </cell>
          <cell r="Z172">
            <v>1.454</v>
          </cell>
          <cell r="AA172">
            <v>0.83599999999999997</v>
          </cell>
          <cell r="AB172">
            <v>0.72</v>
          </cell>
          <cell r="AC172">
            <v>34.299999999999997</v>
          </cell>
          <cell r="AD172">
            <v>1.17</v>
          </cell>
          <cell r="AE172">
            <v>139.69999999999999</v>
          </cell>
          <cell r="AF172">
            <v>7.72</v>
          </cell>
          <cell r="AG172">
            <v>2002</v>
          </cell>
          <cell r="AH172" t="str">
            <v xml:space="preserve">1 ств 2400
2 ств 2756 </v>
          </cell>
          <cell r="AI172" t="str">
            <v xml:space="preserve">1 ств 2400
2 ств 2756 </v>
          </cell>
          <cell r="AM172" t="str">
            <v>открытый</v>
          </cell>
          <cell r="AN172" t="str">
            <v xml:space="preserve">2002-2400; 2002-2756 </v>
          </cell>
          <cell r="AO172" t="str">
            <v>35,18;12,31</v>
          </cell>
          <cell r="AP172">
            <v>2002</v>
          </cell>
          <cell r="AQ172">
            <v>121</v>
          </cell>
          <cell r="AU172" t="str">
            <v>Фон.</v>
          </cell>
          <cell r="AV172">
            <v>600</v>
          </cell>
          <cell r="AW172" t="str">
            <v>ГП</v>
          </cell>
          <cell r="AX172">
            <v>1202</v>
          </cell>
          <cell r="AY172" t="str">
            <v>ГК 88 1/8</v>
          </cell>
          <cell r="AZ172">
            <v>1744</v>
          </cell>
          <cell r="BA172" t="str">
            <v>ЦКсОК 5/16</v>
          </cell>
          <cell r="BB172" t="str">
            <v>-</v>
          </cell>
          <cell r="BC172" t="str">
            <v>-</v>
          </cell>
          <cell r="BD172" t="str">
            <v>-</v>
          </cell>
          <cell r="BE172" t="str">
            <v>-</v>
          </cell>
          <cell r="BF172" t="str">
            <v>-</v>
          </cell>
          <cell r="BG172" t="str">
            <v>-</v>
          </cell>
          <cell r="BH172">
            <v>1750</v>
          </cell>
          <cell r="BI172" t="str">
            <v>закрыт</v>
          </cell>
        </row>
        <row r="173">
          <cell r="J173" t="str">
            <v>1071-1</v>
          </cell>
          <cell r="K173" t="str">
            <v>Куст скважины-1071</v>
          </cell>
          <cell r="L173">
            <v>39858</v>
          </cell>
          <cell r="M173" t="str">
            <v>Гор.</v>
          </cell>
          <cell r="N173" t="str">
            <v>Р4+5_Block3</v>
          </cell>
          <cell r="O173" t="str">
            <v>Действующий</v>
          </cell>
          <cell r="P173" t="str">
            <v>В работе</v>
          </cell>
          <cell r="Q173">
            <v>-4</v>
          </cell>
          <cell r="R173" t="str">
            <v xml:space="preserve"> </v>
          </cell>
          <cell r="S173" t="str">
            <v xml:space="preserve"> </v>
          </cell>
          <cell r="U173">
            <v>203</v>
          </cell>
          <cell r="V173">
            <v>218.2</v>
          </cell>
          <cell r="W173">
            <v>0.98</v>
          </cell>
          <cell r="X173">
            <v>1.66</v>
          </cell>
          <cell r="Y173">
            <v>1.0441591784338895</v>
          </cell>
          <cell r="Z173">
            <v>1.454</v>
          </cell>
          <cell r="AA173">
            <v>0.83599999999999997</v>
          </cell>
          <cell r="AB173">
            <v>0.72</v>
          </cell>
          <cell r="AC173">
            <v>34.299999999999997</v>
          </cell>
          <cell r="AD173">
            <v>1.17</v>
          </cell>
          <cell r="AE173">
            <v>139.69999999999999</v>
          </cell>
          <cell r="AF173">
            <v>7.72</v>
          </cell>
          <cell r="AG173">
            <v>1961</v>
          </cell>
          <cell r="AH173" t="str">
            <v xml:space="preserve">1 ств 2500;
2 ств 2780 </v>
          </cell>
          <cell r="AI173" t="str">
            <v xml:space="preserve">1 ств 2500;
2 ств 2780 </v>
          </cell>
          <cell r="AM173" t="str">
            <v>открытый</v>
          </cell>
          <cell r="AN173" t="str">
            <v xml:space="preserve"> 1961-2500;
 2490-2780 </v>
          </cell>
          <cell r="AO173" t="str">
            <v>35,17;27,40</v>
          </cell>
          <cell r="AP173" t="str">
            <v>1961;
2490</v>
          </cell>
          <cell r="AQ173" t="str">
            <v>79;
87</v>
          </cell>
          <cell r="AU173" t="str">
            <v>Газлифт</v>
          </cell>
          <cell r="AV173">
            <v>560.00001357400004</v>
          </cell>
          <cell r="AW173" t="str">
            <v>ГП</v>
          </cell>
          <cell r="AX173">
            <v>1049.999983594</v>
          </cell>
          <cell r="AY173" t="str">
            <v>ГК 82 1/8</v>
          </cell>
          <cell r="AZ173">
            <v>1399.9999781250001</v>
          </cell>
          <cell r="BA173" t="str">
            <v>ГК 82 1/8</v>
          </cell>
          <cell r="BB173">
            <v>1649.999974219</v>
          </cell>
          <cell r="BC173" t="str">
            <v>ГК 81 1/8</v>
          </cell>
          <cell r="BD173">
            <v>1849.9999710940001</v>
          </cell>
          <cell r="BE173" t="str">
            <v>ЦКсОК 5/16</v>
          </cell>
          <cell r="BF173" t="str">
            <v>-</v>
          </cell>
          <cell r="BG173" t="str">
            <v>-</v>
          </cell>
          <cell r="BH173">
            <v>1740</v>
          </cell>
          <cell r="BI173" t="str">
            <v>закрыт</v>
          </cell>
        </row>
        <row r="174">
          <cell r="J174">
            <v>1073</v>
          </cell>
          <cell r="K174" t="str">
            <v>Куст скважины-1073</v>
          </cell>
          <cell r="L174">
            <v>40033</v>
          </cell>
          <cell r="M174" t="str">
            <v>Гор.</v>
          </cell>
          <cell r="N174" t="str">
            <v>Р4+5_Block3, P5i</v>
          </cell>
          <cell r="O174" t="str">
            <v>Действующий</v>
          </cell>
          <cell r="P174" t="str">
            <v>Остановлена</v>
          </cell>
          <cell r="Q174">
            <v>-4</v>
          </cell>
          <cell r="R174" t="str">
            <v xml:space="preserve"> </v>
          </cell>
          <cell r="S174" t="str">
            <v xml:space="preserve"> </v>
          </cell>
          <cell r="U174">
            <v>203</v>
          </cell>
          <cell r="V174">
            <v>218.2</v>
          </cell>
          <cell r="W174">
            <v>0.98</v>
          </cell>
          <cell r="X174">
            <v>1.66</v>
          </cell>
          <cell r="Y174">
            <v>1.0892767705769388</v>
          </cell>
          <cell r="Z174">
            <v>1.454</v>
          </cell>
          <cell r="AA174">
            <v>0.83599999999999997</v>
          </cell>
          <cell r="AB174">
            <v>0.72</v>
          </cell>
          <cell r="AC174">
            <v>34.299999999999997</v>
          </cell>
          <cell r="AD174">
            <v>1.17</v>
          </cell>
          <cell r="AE174">
            <v>139.69999999999999</v>
          </cell>
          <cell r="AF174">
            <v>7.72</v>
          </cell>
          <cell r="AG174">
            <v>1988</v>
          </cell>
          <cell r="AH174">
            <v>2843</v>
          </cell>
          <cell r="AI174">
            <v>2843</v>
          </cell>
          <cell r="AM174" t="str">
            <v>открытый</v>
          </cell>
          <cell r="AN174" t="str">
            <v>2100-2843</v>
          </cell>
          <cell r="AO174">
            <v>37.26</v>
          </cell>
          <cell r="AP174">
            <v>1988</v>
          </cell>
          <cell r="AQ174">
            <v>0.3</v>
          </cell>
          <cell r="AU174" t="str">
            <v>Фон.</v>
          </cell>
          <cell r="AV174">
            <v>598</v>
          </cell>
          <cell r="AW174" t="str">
            <v>ГП</v>
          </cell>
          <cell r="AX174">
            <v>1203</v>
          </cell>
          <cell r="AY174" t="str">
            <v>ГК 45/1,5</v>
          </cell>
          <cell r="AZ174">
            <v>1754</v>
          </cell>
          <cell r="BA174" t="str">
            <v>ЦКсОК 5/16</v>
          </cell>
          <cell r="BB174" t="str">
            <v>-</v>
          </cell>
          <cell r="BC174" t="str">
            <v>-</v>
          </cell>
          <cell r="BD174" t="str">
            <v>-</v>
          </cell>
          <cell r="BE174" t="str">
            <v>-</v>
          </cell>
          <cell r="BF174" t="str">
            <v>-</v>
          </cell>
          <cell r="BG174" t="str">
            <v>-</v>
          </cell>
          <cell r="BH174">
            <v>1769</v>
          </cell>
          <cell r="BI174" t="str">
            <v>закрыт</v>
          </cell>
        </row>
        <row r="175">
          <cell r="J175" t="str">
            <v>1073-2</v>
          </cell>
          <cell r="K175" t="str">
            <v>Куст скважины-1073</v>
          </cell>
          <cell r="L175">
            <v>40326</v>
          </cell>
          <cell r="M175" t="str">
            <v>Гор.</v>
          </cell>
          <cell r="N175" t="str">
            <v>Р4+5_Block3, P5i</v>
          </cell>
          <cell r="O175" t="str">
            <v>Действующий</v>
          </cell>
          <cell r="P175" t="str">
            <v>Остановлена</v>
          </cell>
          <cell r="Q175">
            <v>-4</v>
          </cell>
          <cell r="R175" t="str">
            <v xml:space="preserve"> </v>
          </cell>
          <cell r="S175" t="str">
            <v xml:space="preserve"> </v>
          </cell>
          <cell r="U175">
            <v>203</v>
          </cell>
          <cell r="V175">
            <v>218.2</v>
          </cell>
          <cell r="W175">
            <v>0.98</v>
          </cell>
          <cell r="X175">
            <v>1.66</v>
          </cell>
          <cell r="Y175">
            <v>0.99882116017486111</v>
          </cell>
          <cell r="Z175">
            <v>1.454</v>
          </cell>
          <cell r="AA175">
            <v>0.83599999999999997</v>
          </cell>
          <cell r="AB175">
            <v>0.72</v>
          </cell>
          <cell r="AC175">
            <v>34.299999999999997</v>
          </cell>
          <cell r="AD175">
            <v>1.17</v>
          </cell>
          <cell r="AE175">
            <v>139.69999999999999</v>
          </cell>
          <cell r="AF175">
            <v>7.72</v>
          </cell>
          <cell r="AG175">
            <v>1959</v>
          </cell>
          <cell r="AH175">
            <v>2508</v>
          </cell>
          <cell r="AI175">
            <v>2508</v>
          </cell>
          <cell r="AM175" t="str">
            <v>открытый</v>
          </cell>
          <cell r="AN175" t="str">
            <v>1960-2500; 1930-2515; 1930-2655; 1587-2508</v>
          </cell>
          <cell r="AO175">
            <v>306.18</v>
          </cell>
          <cell r="AP175">
            <v>1587</v>
          </cell>
          <cell r="AQ175">
            <v>2</v>
          </cell>
          <cell r="AU175" t="str">
            <v>Фон.</v>
          </cell>
          <cell r="AV175">
            <v>563.39</v>
          </cell>
          <cell r="AW175" t="str">
            <v>ГК 72 1/4</v>
          </cell>
          <cell r="AX175">
            <v>1017.56</v>
          </cell>
          <cell r="AY175" t="str">
            <v>ГК 74 1/4</v>
          </cell>
          <cell r="AZ175">
            <v>1357.05</v>
          </cell>
          <cell r="BA175" t="str">
            <v>ГК 75 1/4</v>
          </cell>
          <cell r="BB175">
            <v>1472.16</v>
          </cell>
          <cell r="BC175" t="str">
            <v>ЦКсОК 5/16</v>
          </cell>
          <cell r="BD175" t="str">
            <v>-</v>
          </cell>
          <cell r="BE175" t="str">
            <v>-</v>
          </cell>
          <cell r="BF175" t="str">
            <v>-</v>
          </cell>
          <cell r="BG175" t="str">
            <v>-</v>
          </cell>
          <cell r="BH175">
            <v>1490</v>
          </cell>
          <cell r="BI175" t="str">
            <v>закрыт</v>
          </cell>
        </row>
        <row r="176">
          <cell r="J176">
            <v>1074</v>
          </cell>
          <cell r="K176" t="str">
            <v>К-15</v>
          </cell>
          <cell r="L176">
            <v>41561</v>
          </cell>
          <cell r="M176" t="str">
            <v>Гор.</v>
          </cell>
          <cell r="N176" t="str">
            <v>P4+5+6_Block1_yug</v>
          </cell>
          <cell r="O176" t="str">
            <v>Действующий</v>
          </cell>
          <cell r="P176" t="str">
            <v>В работе</v>
          </cell>
          <cell r="Q176">
            <v>-4</v>
          </cell>
          <cell r="R176" t="str">
            <v xml:space="preserve"> </v>
          </cell>
          <cell r="S176" t="str">
            <v xml:space="preserve"> </v>
          </cell>
          <cell r="U176">
            <v>203</v>
          </cell>
          <cell r="V176">
            <v>218.2</v>
          </cell>
          <cell r="W176">
            <v>0.98</v>
          </cell>
          <cell r="X176">
            <v>1.66</v>
          </cell>
          <cell r="Y176">
            <v>1.5726991492652744</v>
          </cell>
          <cell r="Z176">
            <v>1.454</v>
          </cell>
          <cell r="AA176">
            <v>0.83599999999999997</v>
          </cell>
          <cell r="AB176">
            <v>0.72</v>
          </cell>
          <cell r="AC176">
            <v>34.299999999999997</v>
          </cell>
          <cell r="AD176">
            <v>1.17</v>
          </cell>
          <cell r="AE176">
            <v>177.8</v>
          </cell>
          <cell r="AF176">
            <v>9.19</v>
          </cell>
          <cell r="AG176">
            <v>2049</v>
          </cell>
          <cell r="AH176">
            <v>2559</v>
          </cell>
          <cell r="AI176">
            <v>2559</v>
          </cell>
          <cell r="AM176" t="str">
            <v>открытый</v>
          </cell>
          <cell r="AN176" t="str">
            <v>2049-2559</v>
          </cell>
          <cell r="AO176">
            <v>30</v>
          </cell>
          <cell r="AP176">
            <v>2049</v>
          </cell>
          <cell r="AQ176">
            <v>223</v>
          </cell>
          <cell r="AU176" t="str">
            <v>ЭЦН</v>
          </cell>
          <cell r="AV176">
            <v>300</v>
          </cell>
          <cell r="AW176" t="str">
            <v>ГП</v>
          </cell>
          <cell r="AX176" t="str">
            <v>-</v>
          </cell>
          <cell r="AY176" t="str">
            <v>-</v>
          </cell>
          <cell r="AZ176" t="str">
            <v>-</v>
          </cell>
          <cell r="BA176" t="str">
            <v>-</v>
          </cell>
          <cell r="BB176" t="str">
            <v>-</v>
          </cell>
          <cell r="BC176" t="str">
            <v>-</v>
          </cell>
          <cell r="BD176" t="str">
            <v>-</v>
          </cell>
          <cell r="BE176" t="str">
            <v>-</v>
          </cell>
          <cell r="BF176" t="str">
            <v>-</v>
          </cell>
          <cell r="BG176" t="str">
            <v>-</v>
          </cell>
          <cell r="BH176">
            <v>1850</v>
          </cell>
          <cell r="BI176" t="str">
            <v>открыт</v>
          </cell>
          <cell r="BJ176" t="str">
            <v xml:space="preserve">2 диспергатора </v>
          </cell>
          <cell r="BK176" t="str">
            <v>D1050N</v>
          </cell>
          <cell r="BM176">
            <v>1338</v>
          </cell>
          <cell r="BN176">
            <v>51</v>
          </cell>
          <cell r="BO176">
            <v>90</v>
          </cell>
        </row>
        <row r="177">
          <cell r="J177" t="str">
            <v>1077-1</v>
          </cell>
          <cell r="K177" t="str">
            <v>Куст скважины-1077</v>
          </cell>
          <cell r="L177">
            <v>39415</v>
          </cell>
          <cell r="M177" t="str">
            <v>Гор.</v>
          </cell>
          <cell r="N177" t="str">
            <v>Р4+5_Block3</v>
          </cell>
          <cell r="O177" t="str">
            <v>Действующий</v>
          </cell>
          <cell r="P177" t="str">
            <v>В работе</v>
          </cell>
          <cell r="Q177">
            <v>-4</v>
          </cell>
          <cell r="U177">
            <v>203</v>
          </cell>
          <cell r="V177">
            <v>218.2</v>
          </cell>
          <cell r="W177">
            <v>0.98</v>
          </cell>
          <cell r="X177">
            <v>1.66</v>
          </cell>
          <cell r="Y177">
            <v>0.98</v>
          </cell>
          <cell r="Z177">
            <v>1.454</v>
          </cell>
          <cell r="AA177">
            <v>0.83599999999999997</v>
          </cell>
          <cell r="AB177">
            <v>0.72</v>
          </cell>
          <cell r="AC177">
            <v>34.299999999999997</v>
          </cell>
          <cell r="AD177">
            <v>1.17</v>
          </cell>
          <cell r="AE177">
            <v>139.69999999999999</v>
          </cell>
          <cell r="AF177">
            <v>7.72</v>
          </cell>
          <cell r="AG177">
            <v>1933</v>
          </cell>
          <cell r="AH177">
            <v>2400</v>
          </cell>
          <cell r="AI177">
            <v>2400</v>
          </cell>
          <cell r="AM177" t="str">
            <v>открытый</v>
          </cell>
          <cell r="AN177" t="str">
            <v xml:space="preserve">1933-2400 </v>
          </cell>
          <cell r="AO177">
            <v>54</v>
          </cell>
          <cell r="AP177">
            <v>1933</v>
          </cell>
          <cell r="AQ177">
            <v>54</v>
          </cell>
          <cell r="AU177" t="str">
            <v>Газлифт</v>
          </cell>
          <cell r="AV177">
            <v>499.99999218800002</v>
          </cell>
          <cell r="AW177" t="str">
            <v>ГП</v>
          </cell>
          <cell r="AX177">
            <v>899.99998593800001</v>
          </cell>
          <cell r="AY177" t="str">
            <v>ГК 81 1/8</v>
          </cell>
          <cell r="AZ177">
            <v>1260.000039844</v>
          </cell>
          <cell r="BA177" t="str">
            <v>ГК 81 1/8</v>
          </cell>
          <cell r="BB177">
            <v>1469.9999472659999</v>
          </cell>
          <cell r="BC177" t="str">
            <v>ГК 81 1/8</v>
          </cell>
          <cell r="BD177">
            <v>1694.9999437500001</v>
          </cell>
          <cell r="BE177" t="str">
            <v>ЦКсОК 5/16</v>
          </cell>
          <cell r="BF177" t="str">
            <v>-</v>
          </cell>
          <cell r="BG177" t="str">
            <v>-</v>
          </cell>
          <cell r="BH177">
            <v>1773</v>
          </cell>
          <cell r="BI177" t="str">
            <v>закрыт</v>
          </cell>
        </row>
        <row r="178">
          <cell r="J178" t="str">
            <v>1077-2</v>
          </cell>
          <cell r="K178" t="str">
            <v>Куст скважины-1077</v>
          </cell>
          <cell r="L178">
            <v>39583</v>
          </cell>
          <cell r="M178" t="str">
            <v>Гор.</v>
          </cell>
          <cell r="N178" t="str">
            <v>Р4+5_Block3</v>
          </cell>
          <cell r="O178" t="str">
            <v>Действующий</v>
          </cell>
          <cell r="P178" t="str">
            <v>В работе</v>
          </cell>
          <cell r="Q178">
            <v>-4</v>
          </cell>
          <cell r="R178" t="str">
            <v xml:space="preserve"> </v>
          </cell>
          <cell r="S178" t="str">
            <v xml:space="preserve"> </v>
          </cell>
          <cell r="U178">
            <v>203</v>
          </cell>
          <cell r="V178">
            <v>218.2</v>
          </cell>
          <cell r="W178">
            <v>0.98</v>
          </cell>
          <cell r="X178">
            <v>1.66</v>
          </cell>
          <cell r="Y178">
            <v>0.98</v>
          </cell>
          <cell r="Z178">
            <v>1.454</v>
          </cell>
          <cell r="AA178">
            <v>0.83599999999999997</v>
          </cell>
          <cell r="AB178">
            <v>0.72</v>
          </cell>
          <cell r="AC178">
            <v>34.299999999999997</v>
          </cell>
          <cell r="AD178">
            <v>1.17</v>
          </cell>
          <cell r="AE178">
            <v>139.69999999999999</v>
          </cell>
          <cell r="AF178">
            <v>7.72</v>
          </cell>
          <cell r="AG178">
            <v>1966</v>
          </cell>
          <cell r="AH178">
            <v>2500</v>
          </cell>
          <cell r="AI178">
            <v>2500</v>
          </cell>
          <cell r="AM178" t="str">
            <v>открытый</v>
          </cell>
          <cell r="AN178" t="str">
            <v xml:space="preserve">1966-2500 </v>
          </cell>
          <cell r="AO178">
            <v>55.71</v>
          </cell>
          <cell r="AP178">
            <v>1966</v>
          </cell>
          <cell r="AQ178">
            <v>86.5</v>
          </cell>
          <cell r="AU178" t="str">
            <v>Газлифт</v>
          </cell>
          <cell r="AV178">
            <v>602.000017383</v>
          </cell>
          <cell r="AW178" t="str">
            <v>ГП</v>
          </cell>
          <cell r="AX178">
            <v>1196.000002148</v>
          </cell>
          <cell r="AY178" t="str">
            <v>ГК 83 1/8</v>
          </cell>
          <cell r="AZ178">
            <v>1742.0000144529999</v>
          </cell>
          <cell r="BA178" t="str">
            <v>ЦКсОК 5/16</v>
          </cell>
          <cell r="BB178" t="str">
            <v>-</v>
          </cell>
          <cell r="BC178" t="str">
            <v>-</v>
          </cell>
          <cell r="BD178" t="str">
            <v>-</v>
          </cell>
          <cell r="BE178" t="str">
            <v>-</v>
          </cell>
          <cell r="BF178" t="str">
            <v>-</v>
          </cell>
          <cell r="BG178" t="str">
            <v>-</v>
          </cell>
          <cell r="BH178">
            <v>1753</v>
          </cell>
          <cell r="BI178" t="str">
            <v>закрыт</v>
          </cell>
        </row>
        <row r="179">
          <cell r="J179" t="str">
            <v>1078-1</v>
          </cell>
          <cell r="K179" t="str">
            <v>Куст скважины-1078</v>
          </cell>
          <cell r="L179">
            <v>39072</v>
          </cell>
          <cell r="M179" t="str">
            <v>Гор.</v>
          </cell>
          <cell r="N179" t="str">
            <v>Р4+5_Block3</v>
          </cell>
          <cell r="O179" t="str">
            <v>Действующий</v>
          </cell>
          <cell r="P179" t="str">
            <v>В работе</v>
          </cell>
          <cell r="Q179">
            <v>-4</v>
          </cell>
          <cell r="R179" t="str">
            <v xml:space="preserve"> </v>
          </cell>
          <cell r="S179" t="str">
            <v xml:space="preserve"> </v>
          </cell>
          <cell r="U179">
            <v>203</v>
          </cell>
          <cell r="V179">
            <v>218.2</v>
          </cell>
          <cell r="W179">
            <v>0.98</v>
          </cell>
          <cell r="X179">
            <v>1.66</v>
          </cell>
          <cell r="Y179">
            <v>1.0770656779661016</v>
          </cell>
          <cell r="Z179">
            <v>1.454</v>
          </cell>
          <cell r="AA179">
            <v>0.83599999999999997</v>
          </cell>
          <cell r="AB179">
            <v>0.72</v>
          </cell>
          <cell r="AC179">
            <v>34.299999999999997</v>
          </cell>
          <cell r="AD179">
            <v>1.17</v>
          </cell>
          <cell r="AE179">
            <v>139.69999999999999</v>
          </cell>
          <cell r="AF179">
            <v>7.72</v>
          </cell>
          <cell r="AG179">
            <v>1927</v>
          </cell>
          <cell r="AH179">
            <v>2504</v>
          </cell>
          <cell r="AI179">
            <v>2504</v>
          </cell>
          <cell r="AM179" t="str">
            <v>открытый</v>
          </cell>
          <cell r="AN179" t="str">
            <v>1927-2504</v>
          </cell>
          <cell r="AO179">
            <v>25.48</v>
          </cell>
          <cell r="AP179">
            <v>1927</v>
          </cell>
          <cell r="AQ179">
            <v>50</v>
          </cell>
          <cell r="AU179" t="str">
            <v>Фон.</v>
          </cell>
          <cell r="AV179">
            <v>600</v>
          </cell>
          <cell r="AW179" t="str">
            <v>ГП</v>
          </cell>
          <cell r="AX179">
            <v>1200</v>
          </cell>
          <cell r="AY179" t="str">
            <v>ГП</v>
          </cell>
          <cell r="AZ179">
            <v>1747</v>
          </cell>
          <cell r="BA179" t="str">
            <v>ГК 85/3</v>
          </cell>
          <cell r="BB179">
            <v>1758</v>
          </cell>
          <cell r="BC179" t="str">
            <v>ГК 85/3</v>
          </cell>
          <cell r="BD179" t="str">
            <v>-</v>
          </cell>
          <cell r="BE179" t="str">
            <v>-</v>
          </cell>
          <cell r="BF179" t="str">
            <v>-</v>
          </cell>
          <cell r="BG179" t="str">
            <v>-</v>
          </cell>
          <cell r="BH179">
            <v>1758</v>
          </cell>
          <cell r="BI179" t="str">
            <v>закрыт</v>
          </cell>
        </row>
        <row r="180">
          <cell r="J180">
            <v>1080</v>
          </cell>
          <cell r="K180" t="str">
            <v>Куст скважины-1080</v>
          </cell>
          <cell r="L180">
            <v>39711</v>
          </cell>
          <cell r="M180" t="str">
            <v>Гор.</v>
          </cell>
          <cell r="N180" t="str">
            <v>Р4+5+6_Block2</v>
          </cell>
          <cell r="O180" t="str">
            <v>Действующий</v>
          </cell>
          <cell r="P180" t="str">
            <v>В работе</v>
          </cell>
          <cell r="Q180">
            <v>-4</v>
          </cell>
          <cell r="R180" t="str">
            <v xml:space="preserve"> </v>
          </cell>
          <cell r="S180" t="str">
            <v xml:space="preserve"> </v>
          </cell>
          <cell r="U180">
            <v>203</v>
          </cell>
          <cell r="V180">
            <v>218.2</v>
          </cell>
          <cell r="W180">
            <v>0.98</v>
          </cell>
          <cell r="X180">
            <v>1.66</v>
          </cell>
          <cell r="Y180">
            <v>0.98004014622285718</v>
          </cell>
          <cell r="Z180">
            <v>1.454</v>
          </cell>
          <cell r="AA180">
            <v>0.83599999999999997</v>
          </cell>
          <cell r="AB180">
            <v>0.72</v>
          </cell>
          <cell r="AC180">
            <v>34.299999999999997</v>
          </cell>
          <cell r="AD180">
            <v>1.17</v>
          </cell>
          <cell r="AE180">
            <v>139.69999999999999</v>
          </cell>
          <cell r="AF180">
            <v>7.72</v>
          </cell>
          <cell r="AG180">
            <v>1927</v>
          </cell>
          <cell r="AH180">
            <v>2400</v>
          </cell>
          <cell r="AI180">
            <v>2400</v>
          </cell>
          <cell r="AM180" t="str">
            <v>открытый</v>
          </cell>
          <cell r="AN180" t="str">
            <v xml:space="preserve">1927-2400 </v>
          </cell>
          <cell r="AO180">
            <v>87.13</v>
          </cell>
          <cell r="AP180">
            <v>1927</v>
          </cell>
          <cell r="AQ180">
            <v>21</v>
          </cell>
          <cell r="AU180" t="str">
            <v>Газлифт</v>
          </cell>
          <cell r="AV180">
            <v>608.99999941399994</v>
          </cell>
          <cell r="AW180" t="str">
            <v>ГК 80 1/8</v>
          </cell>
          <cell r="AX180">
            <v>1202.99998418</v>
          </cell>
          <cell r="AY180" t="str">
            <v>ГК 78 1/8</v>
          </cell>
          <cell r="AZ180">
            <v>1778.0000496089999</v>
          </cell>
          <cell r="BA180" t="str">
            <v>ЦКсОК 5/16</v>
          </cell>
          <cell r="BB180" t="str">
            <v>-</v>
          </cell>
          <cell r="BC180" t="str">
            <v>-</v>
          </cell>
          <cell r="BD180" t="str">
            <v>-</v>
          </cell>
          <cell r="BE180" t="str">
            <v>-</v>
          </cell>
          <cell r="BF180" t="str">
            <v>-</v>
          </cell>
          <cell r="BG180" t="str">
            <v>-</v>
          </cell>
          <cell r="BH180">
            <v>1789</v>
          </cell>
          <cell r="BI180" t="str">
            <v>закрыт</v>
          </cell>
        </row>
        <row r="181">
          <cell r="J181" t="str">
            <v>1080-2</v>
          </cell>
          <cell r="K181" t="str">
            <v>Куст скважины-1080</v>
          </cell>
          <cell r="L181">
            <v>39923</v>
          </cell>
          <cell r="M181" t="str">
            <v>Гор.</v>
          </cell>
          <cell r="N181" t="str">
            <v>Р4+5+6_Block2</v>
          </cell>
          <cell r="O181" t="str">
            <v>Действующий</v>
          </cell>
          <cell r="P181" t="str">
            <v>В работе</v>
          </cell>
          <cell r="Q181">
            <v>-4</v>
          </cell>
          <cell r="R181" t="str">
            <v xml:space="preserve"> </v>
          </cell>
          <cell r="S181" t="str">
            <v xml:space="preserve"> </v>
          </cell>
          <cell r="U181">
            <v>203</v>
          </cell>
          <cell r="V181">
            <v>218.2</v>
          </cell>
          <cell r="W181">
            <v>0.98</v>
          </cell>
          <cell r="X181">
            <v>1.66</v>
          </cell>
          <cell r="Y181">
            <v>0.98</v>
          </cell>
          <cell r="Z181">
            <v>1.454</v>
          </cell>
          <cell r="AA181">
            <v>0.83599999999999997</v>
          </cell>
          <cell r="AB181">
            <v>0.72</v>
          </cell>
          <cell r="AC181">
            <v>34.299999999999997</v>
          </cell>
          <cell r="AD181">
            <v>1.17</v>
          </cell>
          <cell r="AE181">
            <v>139.69999999999999</v>
          </cell>
          <cell r="AF181">
            <v>7.72</v>
          </cell>
          <cell r="AG181">
            <v>1921</v>
          </cell>
          <cell r="AH181">
            <v>2498</v>
          </cell>
          <cell r="AI181">
            <v>2498</v>
          </cell>
          <cell r="AM181" t="str">
            <v>открытый</v>
          </cell>
          <cell r="AN181" t="str">
            <v>1921-2498</v>
          </cell>
          <cell r="AO181">
            <v>56.1</v>
          </cell>
          <cell r="AP181">
            <v>1921</v>
          </cell>
          <cell r="AQ181">
            <v>29</v>
          </cell>
          <cell r="AU181" t="str">
            <v>Газлифт</v>
          </cell>
          <cell r="AV181">
            <v>610.000012793</v>
          </cell>
          <cell r="AW181" t="str">
            <v>ГП</v>
          </cell>
          <cell r="AX181">
            <v>1215.99997207</v>
          </cell>
          <cell r="AY181" t="str">
            <v>ГК 86 5/32</v>
          </cell>
          <cell r="AZ181">
            <v>1768.9999664060001</v>
          </cell>
          <cell r="BA181" t="str">
            <v>ЦКсОК 5/16</v>
          </cell>
          <cell r="BB181" t="str">
            <v>-</v>
          </cell>
          <cell r="BC181" t="str">
            <v>-</v>
          </cell>
          <cell r="BD181" t="str">
            <v>-</v>
          </cell>
          <cell r="BE181" t="str">
            <v>-</v>
          </cell>
          <cell r="BF181" t="str">
            <v>-</v>
          </cell>
          <cell r="BG181" t="str">
            <v>-</v>
          </cell>
          <cell r="BH181">
            <v>1781</v>
          </cell>
          <cell r="BI181" t="str">
            <v>Открыт</v>
          </cell>
        </row>
        <row r="182">
          <cell r="J182" t="str">
            <v>1080-1</v>
          </cell>
          <cell r="K182" t="str">
            <v>Куст скважины-1080</v>
          </cell>
          <cell r="L182">
            <v>39803</v>
          </cell>
          <cell r="M182" t="str">
            <v>Гор.</v>
          </cell>
          <cell r="N182" t="str">
            <v>Р4+5_Block3</v>
          </cell>
          <cell r="O182" t="str">
            <v>Действующий</v>
          </cell>
          <cell r="P182" t="str">
            <v>В работе</v>
          </cell>
          <cell r="Q182">
            <v>-4</v>
          </cell>
          <cell r="R182" t="str">
            <v xml:space="preserve"> </v>
          </cell>
          <cell r="S182" t="str">
            <v xml:space="preserve"> </v>
          </cell>
          <cell r="U182">
            <v>203</v>
          </cell>
          <cell r="V182">
            <v>218.2</v>
          </cell>
          <cell r="W182">
            <v>0.98</v>
          </cell>
          <cell r="X182">
            <v>1.66</v>
          </cell>
          <cell r="Y182">
            <v>1.0283601865056489</v>
          </cell>
          <cell r="Z182">
            <v>1.454</v>
          </cell>
          <cell r="AA182">
            <v>0.83599999999999997</v>
          </cell>
          <cell r="AB182">
            <v>0.72</v>
          </cell>
          <cell r="AC182">
            <v>34.299999999999997</v>
          </cell>
          <cell r="AD182">
            <v>1.17</v>
          </cell>
          <cell r="AE182">
            <v>139.69999999999999</v>
          </cell>
          <cell r="AF182">
            <v>7.72</v>
          </cell>
          <cell r="AG182">
            <v>1944</v>
          </cell>
          <cell r="AH182" t="str">
            <v>1 ств 2500
2 ств 2856</v>
          </cell>
          <cell r="AI182" t="str">
            <v>1 ств 2500
2 ств 2856</v>
          </cell>
          <cell r="AM182" t="str">
            <v>открытый</v>
          </cell>
          <cell r="AN182" t="str">
            <v xml:space="preserve"> 1944-2500;
 2450-2856</v>
          </cell>
          <cell r="AO182" t="str">
            <v>41,37;53,05</v>
          </cell>
          <cell r="AP182">
            <v>1944</v>
          </cell>
          <cell r="AQ182">
            <v>42.6</v>
          </cell>
          <cell r="AU182" t="str">
            <v>Газлифт</v>
          </cell>
          <cell r="AV182">
            <v>518.99998593800001</v>
          </cell>
          <cell r="AW182" t="str">
            <v>ГК 75 1/8</v>
          </cell>
          <cell r="AX182">
            <v>968.00000273399996</v>
          </cell>
          <cell r="AY182" t="str">
            <v>ГК 74 1/8</v>
          </cell>
          <cell r="AZ182">
            <v>1355.0000085940001</v>
          </cell>
          <cell r="BA182" t="str">
            <v>ГК 73 1/8</v>
          </cell>
          <cell r="BB182">
            <v>1662.9999621090001</v>
          </cell>
          <cell r="BC182" t="str">
            <v>ГК 72 5/32</v>
          </cell>
          <cell r="BD182">
            <v>1896.0000656249999</v>
          </cell>
          <cell r="BE182" t="str">
            <v>ЦКсОК 5/16</v>
          </cell>
          <cell r="BF182" t="str">
            <v>-</v>
          </cell>
          <cell r="BG182" t="str">
            <v>-</v>
          </cell>
          <cell r="BH182">
            <v>1782</v>
          </cell>
          <cell r="BI182" t="str">
            <v>закрыт</v>
          </cell>
        </row>
        <row r="183">
          <cell r="J183">
            <v>1081</v>
          </cell>
          <cell r="K183" t="str">
            <v>Куст скважины-1081</v>
          </cell>
          <cell r="L183">
            <v>39361</v>
          </cell>
          <cell r="M183" t="str">
            <v>Гор.</v>
          </cell>
          <cell r="N183" t="str">
            <v>Р4+5+6_Block2</v>
          </cell>
          <cell r="O183" t="str">
            <v>Действующий</v>
          </cell>
          <cell r="P183" t="str">
            <v>Остановлена</v>
          </cell>
          <cell r="Q183">
            <v>-4</v>
          </cell>
          <cell r="R183" t="str">
            <v xml:space="preserve"> </v>
          </cell>
          <cell r="S183" t="str">
            <v xml:space="preserve"> </v>
          </cell>
          <cell r="U183">
            <v>203</v>
          </cell>
          <cell r="V183">
            <v>218.2</v>
          </cell>
          <cell r="W183">
            <v>0.98</v>
          </cell>
          <cell r="X183">
            <v>1.66</v>
          </cell>
          <cell r="Y183">
            <v>1.0306639635073491</v>
          </cell>
          <cell r="Z183">
            <v>1.454</v>
          </cell>
          <cell r="AA183">
            <v>0.83599999999999997</v>
          </cell>
          <cell r="AB183">
            <v>0.72</v>
          </cell>
          <cell r="AC183">
            <v>34.299999999999997</v>
          </cell>
          <cell r="AD183">
            <v>1.17</v>
          </cell>
          <cell r="AE183">
            <v>139.69999999999999</v>
          </cell>
          <cell r="AF183">
            <v>7.72</v>
          </cell>
          <cell r="AG183">
            <v>1991.5</v>
          </cell>
          <cell r="AH183">
            <v>2376</v>
          </cell>
          <cell r="AI183">
            <v>2376</v>
          </cell>
          <cell r="AM183" t="str">
            <v>открытый</v>
          </cell>
          <cell r="AN183" t="str">
            <v>1942-1948; 1952-1986 ; 1992-2379</v>
          </cell>
          <cell r="AO183">
            <v>21.69</v>
          </cell>
          <cell r="AP183">
            <v>1942</v>
          </cell>
          <cell r="AQ183">
            <v>62.3</v>
          </cell>
          <cell r="AU183" t="str">
            <v>Фон.</v>
          </cell>
          <cell r="AV183">
            <v>365</v>
          </cell>
          <cell r="AW183" t="str">
            <v>ГП</v>
          </cell>
          <cell r="AX183">
            <v>700</v>
          </cell>
          <cell r="AY183" t="str">
            <v>ГП</v>
          </cell>
          <cell r="AZ183">
            <v>995</v>
          </cell>
          <cell r="BA183" t="str">
            <v>ГК 80 1/8</v>
          </cell>
          <cell r="BB183">
            <v>1245</v>
          </cell>
          <cell r="BC183" t="str">
            <v>ГК 79 1/8</v>
          </cell>
          <cell r="BD183">
            <v>1460</v>
          </cell>
          <cell r="BE183" t="str">
            <v>ЦКсОК 5/16</v>
          </cell>
          <cell r="BF183" t="str">
            <v>-</v>
          </cell>
          <cell r="BG183" t="str">
            <v>-</v>
          </cell>
          <cell r="BH183">
            <v>1540</v>
          </cell>
          <cell r="BI183" t="str">
            <v>закрыт</v>
          </cell>
        </row>
        <row r="184">
          <cell r="J184" t="str">
            <v>1081-2</v>
          </cell>
          <cell r="K184" t="str">
            <v>Куст скважины-1081</v>
          </cell>
          <cell r="L184">
            <v>39609</v>
          </cell>
          <cell r="M184" t="str">
            <v>Гор.</v>
          </cell>
          <cell r="N184" t="str">
            <v>Р4+5+6_Block2</v>
          </cell>
          <cell r="O184" t="str">
            <v>Действующий</v>
          </cell>
          <cell r="P184" t="str">
            <v>В работе</v>
          </cell>
          <cell r="Q184">
            <v>-4</v>
          </cell>
          <cell r="R184" t="str">
            <v xml:space="preserve"> </v>
          </cell>
          <cell r="S184" t="str">
            <v xml:space="preserve"> </v>
          </cell>
          <cell r="U184">
            <v>203</v>
          </cell>
          <cell r="V184">
            <v>218.2</v>
          </cell>
          <cell r="W184">
            <v>0.98</v>
          </cell>
          <cell r="X184">
            <v>1.66</v>
          </cell>
          <cell r="Y184">
            <v>0.98</v>
          </cell>
          <cell r="Z184">
            <v>1.454</v>
          </cell>
          <cell r="AA184">
            <v>0.83599999999999997</v>
          </cell>
          <cell r="AB184">
            <v>0.72</v>
          </cell>
          <cell r="AC184">
            <v>34.299999999999997</v>
          </cell>
          <cell r="AD184">
            <v>1.17</v>
          </cell>
          <cell r="AE184">
            <v>139.69999999999999</v>
          </cell>
          <cell r="AF184">
            <v>7.72</v>
          </cell>
          <cell r="AG184">
            <v>2032</v>
          </cell>
          <cell r="AH184" t="str">
            <v>1 ств 2500
2 ств 2125
3 ств 2174</v>
          </cell>
          <cell r="AI184" t="str">
            <v>1 ств 2500
2 ств 2125
3 ств 2174</v>
          </cell>
          <cell r="AM184" t="str">
            <v>открытый</v>
          </cell>
          <cell r="AN184" t="str">
            <v xml:space="preserve"> 2032-2500;
 2045-2125;
 2075-2174</v>
          </cell>
          <cell r="AO184" t="str">
            <v>39,50;8,37;18,59</v>
          </cell>
          <cell r="AP184">
            <v>2032</v>
          </cell>
          <cell r="AQ184">
            <v>136.1</v>
          </cell>
          <cell r="AU184" t="str">
            <v>Газлифт</v>
          </cell>
          <cell r="AV184">
            <v>599.99999062500001</v>
          </cell>
          <cell r="AW184" t="str">
            <v>ГП</v>
          </cell>
          <cell r="AX184">
            <v>1196.9999783200001</v>
          </cell>
          <cell r="AY184" t="str">
            <v>ГК 84 1/8</v>
          </cell>
          <cell r="AZ184">
            <v>1742.999990625</v>
          </cell>
          <cell r="BA184" t="str">
            <v>ЦКсОК 5/16</v>
          </cell>
          <cell r="BB184" t="str">
            <v>-</v>
          </cell>
          <cell r="BC184" t="str">
            <v>-</v>
          </cell>
          <cell r="BD184" t="str">
            <v>-</v>
          </cell>
          <cell r="BE184" t="str">
            <v>-</v>
          </cell>
          <cell r="BF184" t="str">
            <v>-</v>
          </cell>
          <cell r="BG184" t="str">
            <v>-</v>
          </cell>
          <cell r="BH184">
            <v>1755</v>
          </cell>
          <cell r="BI184" t="str">
            <v>закрыт</v>
          </cell>
        </row>
        <row r="185">
          <cell r="J185" t="str">
            <v>1081-1</v>
          </cell>
          <cell r="K185" t="str">
            <v>Куст скважины-1081</v>
          </cell>
          <cell r="L185">
            <v>39477</v>
          </cell>
          <cell r="M185" t="str">
            <v>Гор.</v>
          </cell>
          <cell r="N185" t="str">
            <v>Р4+5+6_Block2</v>
          </cell>
          <cell r="O185" t="str">
            <v>Действующий</v>
          </cell>
          <cell r="P185" t="str">
            <v>В работе</v>
          </cell>
          <cell r="Q185">
            <v>-4</v>
          </cell>
          <cell r="R185" t="str">
            <v xml:space="preserve"> </v>
          </cell>
          <cell r="S185" t="str">
            <v xml:space="preserve"> </v>
          </cell>
          <cell r="U185">
            <v>203</v>
          </cell>
          <cell r="V185">
            <v>218.2</v>
          </cell>
          <cell r="W185">
            <v>0.98</v>
          </cell>
          <cell r="X185">
            <v>1.66</v>
          </cell>
          <cell r="Y185">
            <v>0.98</v>
          </cell>
          <cell r="Z185">
            <v>1.454</v>
          </cell>
          <cell r="AA185">
            <v>0.83599999999999997</v>
          </cell>
          <cell r="AB185">
            <v>0.72</v>
          </cell>
          <cell r="AC185">
            <v>34.299999999999997</v>
          </cell>
          <cell r="AD185">
            <v>1.17</v>
          </cell>
          <cell r="AE185">
            <v>139.69999999999999</v>
          </cell>
          <cell r="AF185">
            <v>7.72</v>
          </cell>
          <cell r="AG185">
            <v>1932</v>
          </cell>
          <cell r="AH185" t="str">
            <v>1 ств 2400
2 ств 2650</v>
          </cell>
          <cell r="AI185" t="str">
            <v>1 ств 2400
2 ств 2650</v>
          </cell>
          <cell r="AM185" t="str">
            <v>открытый</v>
          </cell>
          <cell r="AN185" t="str">
            <v xml:space="preserve"> 1932-2400;
 2340-2650</v>
          </cell>
          <cell r="AO185" t="str">
            <v>23,54;12,68</v>
          </cell>
          <cell r="AP185">
            <v>1932</v>
          </cell>
          <cell r="AQ185">
            <v>116.8</v>
          </cell>
          <cell r="AU185" t="str">
            <v>Газлифт</v>
          </cell>
          <cell r="AV185">
            <v>535.99999013700005</v>
          </cell>
          <cell r="AW185" t="str">
            <v>ГК 78 1/8</v>
          </cell>
          <cell r="AX185">
            <v>1001.000034961</v>
          </cell>
          <cell r="AY185" t="str">
            <v>ГК 79 1/8</v>
          </cell>
          <cell r="AZ185">
            <v>1398.000025781</v>
          </cell>
          <cell r="BA185" t="str">
            <v>ГК 79 1/8</v>
          </cell>
          <cell r="BB185">
            <v>1719.9999433590001</v>
          </cell>
          <cell r="BC185" t="str">
            <v>ЦКсОК 5/16</v>
          </cell>
          <cell r="BD185" t="str">
            <v>-</v>
          </cell>
          <cell r="BE185" t="str">
            <v>-</v>
          </cell>
          <cell r="BF185" t="str">
            <v>-</v>
          </cell>
          <cell r="BG185" t="str">
            <v>-</v>
          </cell>
          <cell r="BH185">
            <v>1756</v>
          </cell>
          <cell r="BI185" t="str">
            <v>закрыт</v>
          </cell>
        </row>
        <row r="186">
          <cell r="J186">
            <v>1084</v>
          </cell>
          <cell r="K186" t="str">
            <v>Куст скважины-1084</v>
          </cell>
          <cell r="L186">
            <v>40073</v>
          </cell>
          <cell r="M186" t="str">
            <v>Гор.</v>
          </cell>
          <cell r="N186" t="str">
            <v>Р4+5+6_Block2</v>
          </cell>
          <cell r="O186" t="str">
            <v>Действующий</v>
          </cell>
          <cell r="P186" t="str">
            <v>В работе</v>
          </cell>
          <cell r="Q186">
            <v>-4</v>
          </cell>
          <cell r="R186" t="str">
            <v xml:space="preserve"> </v>
          </cell>
          <cell r="S186" t="str">
            <v xml:space="preserve"> </v>
          </cell>
          <cell r="U186">
            <v>203</v>
          </cell>
          <cell r="V186">
            <v>218.2</v>
          </cell>
          <cell r="W186">
            <v>0.98</v>
          </cell>
          <cell r="X186">
            <v>1.66</v>
          </cell>
          <cell r="Y186">
            <v>0.98</v>
          </cell>
          <cell r="Z186">
            <v>1.454</v>
          </cell>
          <cell r="AA186">
            <v>0.83599999999999997</v>
          </cell>
          <cell r="AB186">
            <v>0.72</v>
          </cell>
          <cell r="AC186">
            <v>34.299999999999997</v>
          </cell>
          <cell r="AD186">
            <v>1.17</v>
          </cell>
          <cell r="AE186">
            <v>139.69999999999999</v>
          </cell>
          <cell r="AF186">
            <v>7.72</v>
          </cell>
          <cell r="AG186">
            <v>1931</v>
          </cell>
          <cell r="AH186">
            <v>2600</v>
          </cell>
          <cell r="AI186">
            <v>2600</v>
          </cell>
          <cell r="AM186" t="str">
            <v>открытый</v>
          </cell>
          <cell r="AN186" t="str">
            <v xml:space="preserve">1917-2600 </v>
          </cell>
          <cell r="AO186">
            <v>42.16</v>
          </cell>
          <cell r="AP186">
            <v>1917</v>
          </cell>
          <cell r="AQ186">
            <v>28</v>
          </cell>
          <cell r="AR186" t="str">
            <v>1660-1917</v>
          </cell>
          <cell r="AS186">
            <v>102</v>
          </cell>
          <cell r="AT186">
            <v>6.5</v>
          </cell>
          <cell r="AU186" t="str">
            <v>Газлифт</v>
          </cell>
          <cell r="AV186">
            <v>360.00001669900001</v>
          </cell>
          <cell r="AW186" t="str">
            <v>ГП</v>
          </cell>
          <cell r="AX186">
            <v>599.99999062500001</v>
          </cell>
          <cell r="AY186" t="str">
            <v>ГП</v>
          </cell>
          <cell r="AZ186">
            <v>830.00001679699994</v>
          </cell>
          <cell r="BA186" t="str">
            <v>ГП</v>
          </cell>
          <cell r="BB186">
            <v>1039.9999986329999</v>
          </cell>
          <cell r="BC186" t="str">
            <v>ГК 80 1/8</v>
          </cell>
          <cell r="BD186">
            <v>1230.0000105470001</v>
          </cell>
          <cell r="BE186" t="str">
            <v>ГК 78 1/8</v>
          </cell>
          <cell r="BF186" t="str">
            <v>-</v>
          </cell>
          <cell r="BG186" t="str">
            <v>-</v>
          </cell>
          <cell r="BH186">
            <v>1600</v>
          </cell>
          <cell r="BI186" t="str">
            <v>открыт</v>
          </cell>
        </row>
        <row r="187">
          <cell r="J187">
            <v>1085</v>
          </cell>
          <cell r="K187" t="str">
            <v>Куст скважины-1085</v>
          </cell>
          <cell r="L187">
            <v>39770</v>
          </cell>
          <cell r="M187" t="str">
            <v>Гор.</v>
          </cell>
          <cell r="N187" t="str">
            <v>Р4+5+6_Block2</v>
          </cell>
          <cell r="O187" t="str">
            <v>Действующий</v>
          </cell>
          <cell r="P187" t="str">
            <v>В работе</v>
          </cell>
          <cell r="Q187">
            <v>-4</v>
          </cell>
          <cell r="R187" t="str">
            <v xml:space="preserve"> </v>
          </cell>
          <cell r="S187" t="str">
            <v xml:space="preserve"> </v>
          </cell>
          <cell r="U187">
            <v>203</v>
          </cell>
          <cell r="V187">
            <v>218.2</v>
          </cell>
          <cell r="W187">
            <v>0.98</v>
          </cell>
          <cell r="X187">
            <v>1.66</v>
          </cell>
          <cell r="Y187">
            <v>0.98</v>
          </cell>
          <cell r="Z187">
            <v>1.454</v>
          </cell>
          <cell r="AA187">
            <v>0.83599999999999997</v>
          </cell>
          <cell r="AB187">
            <v>0.72</v>
          </cell>
          <cell r="AC187">
            <v>34.299999999999997</v>
          </cell>
          <cell r="AD187">
            <v>1.17</v>
          </cell>
          <cell r="AE187">
            <v>139.69999999999999</v>
          </cell>
          <cell r="AF187">
            <v>7.72</v>
          </cell>
          <cell r="AG187">
            <v>1962</v>
          </cell>
          <cell r="AH187">
            <v>2500</v>
          </cell>
          <cell r="AI187">
            <v>2500</v>
          </cell>
          <cell r="AM187" t="str">
            <v>открытый</v>
          </cell>
          <cell r="AN187" t="str">
            <v xml:space="preserve">1962-2500 </v>
          </cell>
          <cell r="AO187">
            <v>38.71</v>
          </cell>
          <cell r="AP187">
            <v>1962</v>
          </cell>
          <cell r="AQ187">
            <v>65.599999999999994</v>
          </cell>
          <cell r="AU187" t="str">
            <v>Газлифт</v>
          </cell>
          <cell r="AV187">
            <v>485.00001474599998</v>
          </cell>
          <cell r="AW187" t="str">
            <v>ГП</v>
          </cell>
          <cell r="AX187">
            <v>899.99998593800001</v>
          </cell>
          <cell r="AY187" t="str">
            <v>ГП</v>
          </cell>
          <cell r="AZ187">
            <v>1260.000039844</v>
          </cell>
          <cell r="BA187" t="str">
            <v>ГК 78 1/8</v>
          </cell>
          <cell r="BB187">
            <v>1599.9999749999999</v>
          </cell>
          <cell r="BC187" t="str">
            <v>ЦКсОК 5/16</v>
          </cell>
          <cell r="BD187" t="str">
            <v>-</v>
          </cell>
          <cell r="BE187" t="str">
            <v>-</v>
          </cell>
          <cell r="BF187" t="str">
            <v>-</v>
          </cell>
          <cell r="BG187" t="str">
            <v>-</v>
          </cell>
          <cell r="BH187">
            <v>1650</v>
          </cell>
          <cell r="BI187" t="str">
            <v>закрыт</v>
          </cell>
        </row>
        <row r="188">
          <cell r="J188" t="str">
            <v>1085-2</v>
          </cell>
          <cell r="K188" t="str">
            <v>Куст скважины-1085</v>
          </cell>
          <cell r="L188">
            <v>40051</v>
          </cell>
          <cell r="M188" t="str">
            <v>Гор.</v>
          </cell>
          <cell r="N188" t="str">
            <v>Р4+5+6_Block2</v>
          </cell>
          <cell r="O188" t="str">
            <v>Действующий</v>
          </cell>
          <cell r="P188" t="str">
            <v>В работе</v>
          </cell>
          <cell r="Q188">
            <v>-4</v>
          </cell>
          <cell r="R188" t="str">
            <v xml:space="preserve"> </v>
          </cell>
          <cell r="S188" t="str">
            <v xml:space="preserve"> </v>
          </cell>
          <cell r="U188">
            <v>203</v>
          </cell>
          <cell r="V188">
            <v>218.2</v>
          </cell>
          <cell r="W188">
            <v>0.98</v>
          </cell>
          <cell r="X188">
            <v>1.66</v>
          </cell>
          <cell r="Y188">
            <v>0.98040161029819439</v>
          </cell>
          <cell r="Z188">
            <v>1.454</v>
          </cell>
          <cell r="AA188">
            <v>0.83599999999999997</v>
          </cell>
          <cell r="AB188">
            <v>0.72</v>
          </cell>
          <cell r="AC188">
            <v>34.299999999999997</v>
          </cell>
          <cell r="AD188">
            <v>1.17</v>
          </cell>
          <cell r="AE188">
            <v>139.69999999999999</v>
          </cell>
          <cell r="AF188">
            <v>7.72</v>
          </cell>
          <cell r="AG188">
            <v>1987</v>
          </cell>
          <cell r="AH188">
            <v>2500</v>
          </cell>
          <cell r="AI188">
            <v>2500</v>
          </cell>
          <cell r="AM188" t="str">
            <v>открытый</v>
          </cell>
          <cell r="AN188" t="str">
            <v xml:space="preserve">1987-2500 </v>
          </cell>
          <cell r="AO188">
            <v>25.91</v>
          </cell>
          <cell r="AP188">
            <v>1987</v>
          </cell>
          <cell r="AQ188">
            <v>95.2</v>
          </cell>
          <cell r="AU188" t="str">
            <v>Газлифт</v>
          </cell>
          <cell r="AV188">
            <v>599.99999062500001</v>
          </cell>
          <cell r="AW188" t="str">
            <v>ГК 79 1/8</v>
          </cell>
          <cell r="AX188">
            <v>1049.999983594</v>
          </cell>
          <cell r="AY188" t="str">
            <v>ГК 79 1/8</v>
          </cell>
          <cell r="AZ188">
            <v>1399.9999781250001</v>
          </cell>
          <cell r="BA188" t="str">
            <v>ГК 79 5/32</v>
          </cell>
          <cell r="BB188">
            <v>1690.000062891</v>
          </cell>
          <cell r="BC188" t="str">
            <v>ЦКсОК 5/16</v>
          </cell>
          <cell r="BD188" t="str">
            <v>-</v>
          </cell>
          <cell r="BE188" t="str">
            <v>-</v>
          </cell>
          <cell r="BF188" t="str">
            <v>-</v>
          </cell>
          <cell r="BG188" t="str">
            <v>-</v>
          </cell>
          <cell r="BH188">
            <v>1777</v>
          </cell>
          <cell r="BI188" t="str">
            <v>закрыт</v>
          </cell>
        </row>
        <row r="189">
          <cell r="J189" t="str">
            <v>1085-1</v>
          </cell>
          <cell r="K189" t="str">
            <v>Куст скважины-1085</v>
          </cell>
          <cell r="L189">
            <v>39903</v>
          </cell>
          <cell r="M189" t="str">
            <v>Гор.</v>
          </cell>
          <cell r="N189" t="str">
            <v>Р4+5+6_Block2</v>
          </cell>
          <cell r="O189" t="str">
            <v>Действующий</v>
          </cell>
          <cell r="P189" t="str">
            <v>В работе</v>
          </cell>
          <cell r="Q189">
            <v>-4</v>
          </cell>
          <cell r="R189" t="str">
            <v xml:space="preserve"> </v>
          </cell>
          <cell r="S189" t="str">
            <v xml:space="preserve"> </v>
          </cell>
          <cell r="U189">
            <v>203</v>
          </cell>
          <cell r="V189">
            <v>218.2</v>
          </cell>
          <cell r="W189">
            <v>0.98</v>
          </cell>
          <cell r="X189">
            <v>1.66</v>
          </cell>
          <cell r="Y189">
            <v>0.98032126190751667</v>
          </cell>
          <cell r="Z189">
            <v>1.454</v>
          </cell>
          <cell r="AA189">
            <v>0.83599999999999997</v>
          </cell>
          <cell r="AB189">
            <v>0.72</v>
          </cell>
          <cell r="AC189">
            <v>34.299999999999997</v>
          </cell>
          <cell r="AD189">
            <v>1.17</v>
          </cell>
          <cell r="AE189">
            <v>139.69999999999999</v>
          </cell>
          <cell r="AF189">
            <v>7.72</v>
          </cell>
          <cell r="AG189">
            <v>1999</v>
          </cell>
          <cell r="AH189" t="str">
            <v>1 ств 2500
2 ств 2370</v>
          </cell>
          <cell r="AI189" t="str">
            <v>1 ств 2500
2 ств 2370</v>
          </cell>
          <cell r="AM189" t="str">
            <v>открытый</v>
          </cell>
          <cell r="AN189" t="str">
            <v xml:space="preserve"> 1999-2500;
 2008-2370 </v>
          </cell>
          <cell r="AO189" t="str">
            <v>58,17;31,82</v>
          </cell>
          <cell r="AP189">
            <v>1999</v>
          </cell>
          <cell r="AQ189">
            <v>113.8</v>
          </cell>
          <cell r="AU189" t="str">
            <v>Газлифт</v>
          </cell>
          <cell r="AV189">
            <v>500.00002939500001</v>
          </cell>
          <cell r="AW189" t="str">
            <v>ГК 83 1/8</v>
          </cell>
          <cell r="AX189">
            <v>880.00001601600002</v>
          </cell>
          <cell r="AY189" t="str">
            <v>ГК 83 1/8</v>
          </cell>
          <cell r="AZ189">
            <v>1160.000041406</v>
          </cell>
          <cell r="BA189" t="str">
            <v>ГК 83 1/8</v>
          </cell>
          <cell r="BB189">
            <v>1449.9999773439999</v>
          </cell>
          <cell r="BC189" t="str">
            <v>ГК 83 5/32</v>
          </cell>
          <cell r="BD189">
            <v>1700.0001222660001</v>
          </cell>
          <cell r="BE189" t="str">
            <v>ЦКсОК 5/16</v>
          </cell>
          <cell r="BF189" t="str">
            <v>-</v>
          </cell>
          <cell r="BG189" t="str">
            <v>-</v>
          </cell>
          <cell r="BH189">
            <v>1729</v>
          </cell>
          <cell r="BI189" t="str">
            <v>закрыт</v>
          </cell>
        </row>
        <row r="190">
          <cell r="J190">
            <v>1092</v>
          </cell>
          <cell r="K190" t="str">
            <v>К-23</v>
          </cell>
          <cell r="L190">
            <v>41875</v>
          </cell>
          <cell r="M190" t="str">
            <v>Гор.</v>
          </cell>
          <cell r="N190" t="str">
            <v>Р4+5_Block3</v>
          </cell>
          <cell r="O190" t="str">
            <v>Действующий</v>
          </cell>
          <cell r="P190" t="str">
            <v>В работе</v>
          </cell>
          <cell r="Q190">
            <v>-4</v>
          </cell>
          <cell r="U190">
            <v>203</v>
          </cell>
          <cell r="V190">
            <v>218.2</v>
          </cell>
          <cell r="W190">
            <v>0.98</v>
          </cell>
          <cell r="X190">
            <v>1.66</v>
          </cell>
          <cell r="Y190">
            <v>0.98</v>
          </cell>
          <cell r="Z190">
            <v>1.454</v>
          </cell>
          <cell r="AA190">
            <v>0.83599999999999997</v>
          </cell>
          <cell r="AB190">
            <v>0.72</v>
          </cell>
          <cell r="AC190">
            <v>34.299999999999997</v>
          </cell>
          <cell r="AD190">
            <v>1.17</v>
          </cell>
          <cell r="AE190">
            <v>177.8</v>
          </cell>
          <cell r="AF190">
            <v>9.19</v>
          </cell>
          <cell r="AG190">
            <v>2063</v>
          </cell>
          <cell r="AH190">
            <v>3181</v>
          </cell>
          <cell r="AI190">
            <v>3181</v>
          </cell>
          <cell r="AM190" t="str">
            <v>открытый</v>
          </cell>
          <cell r="AN190" t="str">
            <v>2063-3181</v>
          </cell>
          <cell r="AO190">
            <v>15.8</v>
          </cell>
          <cell r="AP190">
            <v>2063</v>
          </cell>
          <cell r="AQ190">
            <v>156.49</v>
          </cell>
          <cell r="AU190" t="str">
            <v>Газлифт</v>
          </cell>
          <cell r="AV190">
            <v>579.99998349600003</v>
          </cell>
          <cell r="AW190" t="str">
            <v>ГП</v>
          </cell>
          <cell r="AX190">
            <v>1080.0000128910001</v>
          </cell>
          <cell r="AY190" t="str">
            <v>ГК 72 1/8</v>
          </cell>
          <cell r="AZ190">
            <v>1469.9999472659999</v>
          </cell>
          <cell r="BA190" t="str">
            <v>ГК 72 1/8</v>
          </cell>
          <cell r="BB190">
            <v>1810.0000312499999</v>
          </cell>
          <cell r="BC190" t="str">
            <v>ЦКсОК 5/16</v>
          </cell>
          <cell r="BD190" t="str">
            <v>-</v>
          </cell>
          <cell r="BE190" t="str">
            <v>-</v>
          </cell>
          <cell r="BF190" t="str">
            <v>-</v>
          </cell>
          <cell r="BG190" t="str">
            <v>-</v>
          </cell>
          <cell r="BH190">
            <v>1820</v>
          </cell>
          <cell r="BI190" t="str">
            <v>закрыт</v>
          </cell>
        </row>
        <row r="191">
          <cell r="J191" t="str">
            <v>1092-1</v>
          </cell>
          <cell r="K191" t="str">
            <v>К-23</v>
          </cell>
          <cell r="L191">
            <v>42581</v>
          </cell>
          <cell r="M191" t="str">
            <v>Гор.</v>
          </cell>
          <cell r="N191" t="str">
            <v>Р4+5_Block3</v>
          </cell>
          <cell r="O191" t="str">
            <v>Действующий</v>
          </cell>
          <cell r="P191" t="str">
            <v>В работе</v>
          </cell>
          <cell r="Q191">
            <v>-4</v>
          </cell>
          <cell r="U191">
            <v>203</v>
          </cell>
          <cell r="V191">
            <v>218.2</v>
          </cell>
          <cell r="W191">
            <v>0.98</v>
          </cell>
          <cell r="X191">
            <v>1.66</v>
          </cell>
          <cell r="Y191">
            <v>0.98</v>
          </cell>
          <cell r="Z191">
            <v>1.454</v>
          </cell>
          <cell r="AA191">
            <v>0.83599999999999997</v>
          </cell>
          <cell r="AB191">
            <v>0.72</v>
          </cell>
          <cell r="AC191">
            <v>34.299999999999997</v>
          </cell>
          <cell r="AD191">
            <v>1.17</v>
          </cell>
          <cell r="AE191">
            <v>177.8</v>
          </cell>
          <cell r="AF191">
            <v>9.19</v>
          </cell>
          <cell r="AG191">
            <v>2192</v>
          </cell>
          <cell r="AH191" t="str">
            <v>1 ств 2905,
2 ств 3020</v>
          </cell>
          <cell r="AI191" t="str">
            <v>1 ств 2905,
2 ств 3020</v>
          </cell>
          <cell r="AM191" t="str">
            <v>открытый</v>
          </cell>
          <cell r="AN191" t="str">
            <v>2192-2905; 2235-3020</v>
          </cell>
          <cell r="AO191" t="str">
            <v>34,76;20,5</v>
          </cell>
          <cell r="AP191">
            <v>2192</v>
          </cell>
          <cell r="AQ191">
            <v>293</v>
          </cell>
          <cell r="AU191" t="str">
            <v>Газлифт</v>
          </cell>
          <cell r="AV191">
            <v>573.00000146499997</v>
          </cell>
          <cell r="AW191" t="str">
            <v>ГК 80 1/8</v>
          </cell>
          <cell r="AX191">
            <v>1086.00001875</v>
          </cell>
          <cell r="AY191" t="str">
            <v>ГК 80 1/8</v>
          </cell>
          <cell r="AZ191">
            <v>1516.000041797</v>
          </cell>
          <cell r="BA191" t="str">
            <v>ГК 80 1/8</v>
          </cell>
          <cell r="BB191">
            <v>1849.9999710940001</v>
          </cell>
          <cell r="BC191" t="str">
            <v>ЦКсОК 5/16</v>
          </cell>
          <cell r="BD191" t="str">
            <v>-</v>
          </cell>
          <cell r="BE191" t="str">
            <v>-</v>
          </cell>
          <cell r="BF191" t="str">
            <v>-</v>
          </cell>
          <cell r="BG191" t="str">
            <v>-</v>
          </cell>
          <cell r="BH191" t="str">
            <v>-</v>
          </cell>
          <cell r="BI191" t="str">
            <v>-</v>
          </cell>
        </row>
        <row r="192">
          <cell r="J192" t="str">
            <v>1092-2</v>
          </cell>
          <cell r="K192" t="str">
            <v>К-23</v>
          </cell>
          <cell r="L192">
            <v>41814</v>
          </cell>
          <cell r="M192" t="str">
            <v>Гор.</v>
          </cell>
          <cell r="N192" t="str">
            <v>Р4+5_Block3</v>
          </cell>
          <cell r="O192" t="str">
            <v>Действующий</v>
          </cell>
          <cell r="P192" t="str">
            <v>В работе</v>
          </cell>
          <cell r="Q192">
            <v>-4</v>
          </cell>
          <cell r="R192">
            <v>41787</v>
          </cell>
          <cell r="S192" t="str">
            <v>Slb</v>
          </cell>
          <cell r="T192" t="str">
            <v>160м3 15% HCL 
 64м3 WF130</v>
          </cell>
          <cell r="U192">
            <v>203</v>
          </cell>
          <cell r="V192">
            <v>218.2</v>
          </cell>
          <cell r="W192">
            <v>0.98</v>
          </cell>
          <cell r="X192">
            <v>1.66</v>
          </cell>
          <cell r="Y192">
            <v>0.98</v>
          </cell>
          <cell r="Z192">
            <v>1.454</v>
          </cell>
          <cell r="AA192">
            <v>0.83599999999999997</v>
          </cell>
          <cell r="AB192">
            <v>0.72</v>
          </cell>
          <cell r="AC192">
            <v>34.299999999999997</v>
          </cell>
          <cell r="AD192">
            <v>1.17</v>
          </cell>
          <cell r="AE192">
            <v>177.8</v>
          </cell>
          <cell r="AF192">
            <v>9.19</v>
          </cell>
          <cell r="AG192">
            <v>2080</v>
          </cell>
          <cell r="AH192">
            <v>2700</v>
          </cell>
          <cell r="AI192">
            <v>2698</v>
          </cell>
          <cell r="AM192" t="str">
            <v>открытый</v>
          </cell>
          <cell r="AN192" t="str">
            <v>2080-2698</v>
          </cell>
          <cell r="AO192">
            <v>17</v>
          </cell>
          <cell r="AP192">
            <v>2080</v>
          </cell>
          <cell r="AQ192">
            <v>185.13</v>
          </cell>
          <cell r="AR192" t="str">
            <v>1987-2698</v>
          </cell>
          <cell r="AS192">
            <v>114.3</v>
          </cell>
          <cell r="AT192">
            <v>7.4</v>
          </cell>
          <cell r="AU192" t="str">
            <v>Газлифт</v>
          </cell>
          <cell r="AV192">
            <v>599.99999062500001</v>
          </cell>
          <cell r="AW192" t="str">
            <v>ГК 80 1/8</v>
          </cell>
          <cell r="AX192">
            <v>1199.99998125</v>
          </cell>
          <cell r="AY192" t="str">
            <v>ГК 80 1/8</v>
          </cell>
          <cell r="AZ192">
            <v>1780.000001953</v>
          </cell>
          <cell r="BA192" t="str">
            <v>ЦКсОК 5/16</v>
          </cell>
          <cell r="BB192" t="str">
            <v>-</v>
          </cell>
          <cell r="BC192" t="str">
            <v>-</v>
          </cell>
          <cell r="BD192" t="str">
            <v>-</v>
          </cell>
          <cell r="BE192" t="str">
            <v>-</v>
          </cell>
          <cell r="BF192" t="str">
            <v>-</v>
          </cell>
          <cell r="BG192" t="str">
            <v>-</v>
          </cell>
          <cell r="BH192">
            <v>1790</v>
          </cell>
          <cell r="BI192" t="str">
            <v>закрыт</v>
          </cell>
        </row>
        <row r="193">
          <cell r="J193">
            <v>1093</v>
          </cell>
          <cell r="K193" t="str">
            <v>Куст скважины-1093</v>
          </cell>
          <cell r="L193">
            <v>40231</v>
          </cell>
          <cell r="M193" t="str">
            <v>Гор.</v>
          </cell>
          <cell r="N193" t="str">
            <v>Р4+5+6_Block2</v>
          </cell>
          <cell r="O193" t="str">
            <v>Действующий</v>
          </cell>
          <cell r="P193" t="str">
            <v>Остановлена</v>
          </cell>
          <cell r="Q193">
            <v>-4</v>
          </cell>
          <cell r="R193" t="str">
            <v xml:space="preserve"> </v>
          </cell>
          <cell r="S193" t="str">
            <v xml:space="preserve"> </v>
          </cell>
          <cell r="U193">
            <v>203</v>
          </cell>
          <cell r="V193">
            <v>218.2</v>
          </cell>
          <cell r="W193">
            <v>0.98</v>
          </cell>
          <cell r="X193">
            <v>1.66</v>
          </cell>
          <cell r="Y193">
            <v>0.98</v>
          </cell>
          <cell r="Z193">
            <v>1.454</v>
          </cell>
          <cell r="AA193">
            <v>0.83599999999999997</v>
          </cell>
          <cell r="AB193">
            <v>0.72</v>
          </cell>
          <cell r="AC193">
            <v>34.299999999999997</v>
          </cell>
          <cell r="AD193">
            <v>1.17</v>
          </cell>
          <cell r="AE193">
            <v>139.69999999999999</v>
          </cell>
          <cell r="AF193">
            <v>7.72</v>
          </cell>
          <cell r="AG193">
            <v>1918</v>
          </cell>
          <cell r="AH193">
            <v>2433</v>
          </cell>
          <cell r="AI193">
            <v>2433</v>
          </cell>
          <cell r="AM193" t="str">
            <v>открытый</v>
          </cell>
          <cell r="AN193" t="str">
            <v xml:space="preserve">1918-2433 </v>
          </cell>
          <cell r="AO193">
            <v>25</v>
          </cell>
          <cell r="AP193">
            <v>1918</v>
          </cell>
          <cell r="AQ193">
            <v>11.4</v>
          </cell>
          <cell r="AU193" t="str">
            <v>Газлифт</v>
          </cell>
          <cell r="AV193">
            <v>599.99999062500001</v>
          </cell>
          <cell r="AW193" t="str">
            <v>ГП</v>
          </cell>
          <cell r="AX193">
            <v>1199.99998125</v>
          </cell>
          <cell r="AY193" t="str">
            <v>ГК 75 1/8</v>
          </cell>
          <cell r="AZ193">
            <v>1703.000050781</v>
          </cell>
          <cell r="BA193" t="str">
            <v>ЦКсОК 5/16</v>
          </cell>
          <cell r="BB193" t="str">
            <v>-</v>
          </cell>
          <cell r="BC193" t="str">
            <v>-</v>
          </cell>
          <cell r="BD193" t="str">
            <v>-</v>
          </cell>
          <cell r="BE193" t="str">
            <v>-</v>
          </cell>
          <cell r="BF193" t="str">
            <v>-</v>
          </cell>
          <cell r="BG193" t="str">
            <v>-</v>
          </cell>
          <cell r="BH193">
            <v>1713</v>
          </cell>
          <cell r="BI193" t="str">
            <v>открыт</v>
          </cell>
        </row>
        <row r="194">
          <cell r="J194" t="str">
            <v>1093-2</v>
          </cell>
          <cell r="K194" t="str">
            <v>Куст скважины-1093</v>
          </cell>
          <cell r="L194">
            <v>40474</v>
          </cell>
          <cell r="M194" t="str">
            <v>Гор.</v>
          </cell>
          <cell r="N194" t="str">
            <v>Р4+5+6_Block2</v>
          </cell>
          <cell r="O194" t="str">
            <v>Действующий</v>
          </cell>
          <cell r="P194" t="str">
            <v>В работе</v>
          </cell>
          <cell r="Q194">
            <v>-4</v>
          </cell>
          <cell r="R194" t="str">
            <v xml:space="preserve"> </v>
          </cell>
          <cell r="S194" t="str">
            <v xml:space="preserve"> </v>
          </cell>
          <cell r="U194">
            <v>203</v>
          </cell>
          <cell r="V194">
            <v>218.2</v>
          </cell>
          <cell r="W194">
            <v>0.98</v>
          </cell>
          <cell r="X194">
            <v>1.66</v>
          </cell>
          <cell r="Y194">
            <v>0.98</v>
          </cell>
          <cell r="Z194">
            <v>1.454</v>
          </cell>
          <cell r="AA194">
            <v>0.83599999999999997</v>
          </cell>
          <cell r="AB194">
            <v>0.72</v>
          </cell>
          <cell r="AC194">
            <v>34.299999999999997</v>
          </cell>
          <cell r="AD194">
            <v>1.17</v>
          </cell>
          <cell r="AE194">
            <v>139.69999999999999</v>
          </cell>
          <cell r="AF194">
            <v>7.72</v>
          </cell>
          <cell r="AG194">
            <v>1914</v>
          </cell>
          <cell r="AH194">
            <v>2500</v>
          </cell>
          <cell r="AI194">
            <v>2500</v>
          </cell>
          <cell r="AM194" t="str">
            <v>открытый</v>
          </cell>
          <cell r="AN194" t="str">
            <v>1914-2500</v>
          </cell>
          <cell r="AO194">
            <v>15.2</v>
          </cell>
          <cell r="AP194">
            <v>1914</v>
          </cell>
          <cell r="AQ194">
            <v>24.53</v>
          </cell>
          <cell r="AU194" t="str">
            <v>Газлифт</v>
          </cell>
          <cell r="AV194">
            <v>599.99999062500001</v>
          </cell>
          <cell r="AW194" t="str">
            <v>ГК 78 1/8</v>
          </cell>
          <cell r="AX194">
            <v>1205.0000109380001</v>
          </cell>
          <cell r="AY194" t="str">
            <v>ГК 79 1/8</v>
          </cell>
          <cell r="AZ194">
            <v>1784.000055469</v>
          </cell>
          <cell r="BA194" t="str">
            <v>ЦКсОК 5/16</v>
          </cell>
          <cell r="BB194" t="str">
            <v>-</v>
          </cell>
          <cell r="BC194" t="str">
            <v>-</v>
          </cell>
          <cell r="BD194" t="str">
            <v>-</v>
          </cell>
          <cell r="BE194" t="str">
            <v>-</v>
          </cell>
          <cell r="BF194" t="str">
            <v>-</v>
          </cell>
          <cell r="BG194" t="str">
            <v>-</v>
          </cell>
          <cell r="BH194">
            <v>1795</v>
          </cell>
          <cell r="BI194" t="str">
            <v>закрыт</v>
          </cell>
        </row>
        <row r="195">
          <cell r="J195" t="str">
            <v>1093-1</v>
          </cell>
          <cell r="K195" t="str">
            <v>Куст скважины-1093</v>
          </cell>
          <cell r="L195">
            <v>40340</v>
          </cell>
          <cell r="M195" t="str">
            <v>Гор.</v>
          </cell>
          <cell r="N195" t="str">
            <v>Р4+5+6_Block2</v>
          </cell>
          <cell r="O195" t="str">
            <v>Действующий</v>
          </cell>
          <cell r="P195" t="str">
            <v>Остановлена</v>
          </cell>
          <cell r="Q195">
            <v>-4</v>
          </cell>
          <cell r="R195" t="str">
            <v xml:space="preserve"> </v>
          </cell>
          <cell r="S195" t="str">
            <v xml:space="preserve"> </v>
          </cell>
          <cell r="U195">
            <v>203</v>
          </cell>
          <cell r="V195">
            <v>218.2</v>
          </cell>
          <cell r="W195">
            <v>0.98</v>
          </cell>
          <cell r="X195">
            <v>1.66</v>
          </cell>
          <cell r="Y195">
            <v>0.98</v>
          </cell>
          <cell r="Z195">
            <v>1.454</v>
          </cell>
          <cell r="AA195">
            <v>0.83599999999999997</v>
          </cell>
          <cell r="AB195">
            <v>0.72</v>
          </cell>
          <cell r="AC195">
            <v>34.299999999999997</v>
          </cell>
          <cell r="AD195">
            <v>1.17</v>
          </cell>
          <cell r="AE195">
            <v>139.69999999999999</v>
          </cell>
          <cell r="AF195">
            <v>7.72</v>
          </cell>
          <cell r="AG195">
            <v>1904</v>
          </cell>
          <cell r="AH195">
            <v>2500</v>
          </cell>
          <cell r="AI195">
            <v>2500</v>
          </cell>
          <cell r="AM195" t="str">
            <v>открытый</v>
          </cell>
          <cell r="AN195" t="str">
            <v>1904-2500</v>
          </cell>
          <cell r="AO195">
            <v>47.13</v>
          </cell>
          <cell r="AP195">
            <v>1904</v>
          </cell>
          <cell r="AQ195">
            <v>14.97</v>
          </cell>
          <cell r="AU195" t="str">
            <v>Газлифт</v>
          </cell>
          <cell r="AV195">
            <v>598.00000107400001</v>
          </cell>
          <cell r="AW195" t="str">
            <v>ГП</v>
          </cell>
          <cell r="AX195">
            <v>1196.9999783200001</v>
          </cell>
          <cell r="AY195" t="str">
            <v>ГК 80/1,5</v>
          </cell>
          <cell r="AZ195">
            <v>1780.000001953</v>
          </cell>
          <cell r="BA195" t="str">
            <v>ЦКсОК 5/16</v>
          </cell>
          <cell r="BB195" t="str">
            <v>-</v>
          </cell>
          <cell r="BC195" t="str">
            <v>-</v>
          </cell>
          <cell r="BD195" t="str">
            <v>-</v>
          </cell>
          <cell r="BE195" t="str">
            <v>-</v>
          </cell>
          <cell r="BF195" t="str">
            <v>-</v>
          </cell>
          <cell r="BG195" t="str">
            <v>-</v>
          </cell>
          <cell r="BH195">
            <v>1814</v>
          </cell>
          <cell r="BI195" t="str">
            <v>закрыт</v>
          </cell>
        </row>
        <row r="196">
          <cell r="J196">
            <v>1094</v>
          </cell>
          <cell r="K196" t="str">
            <v>Куст скважины-1094</v>
          </cell>
          <cell r="L196">
            <v>40466</v>
          </cell>
          <cell r="M196" t="str">
            <v>Гор.</v>
          </cell>
          <cell r="N196" t="str">
            <v>Р4+5+6_Block2</v>
          </cell>
          <cell r="O196" t="str">
            <v>Действующий</v>
          </cell>
          <cell r="P196" t="str">
            <v>В работе</v>
          </cell>
          <cell r="Q196">
            <v>-4</v>
          </cell>
          <cell r="R196" t="str">
            <v xml:space="preserve"> </v>
          </cell>
          <cell r="S196" t="str">
            <v xml:space="preserve"> </v>
          </cell>
          <cell r="U196">
            <v>203</v>
          </cell>
          <cell r="V196">
            <v>218.2</v>
          </cell>
          <cell r="W196">
            <v>0.98</v>
          </cell>
          <cell r="X196">
            <v>1.66</v>
          </cell>
          <cell r="Y196">
            <v>0.98561205127024476</v>
          </cell>
          <cell r="Z196">
            <v>1.454</v>
          </cell>
          <cell r="AA196">
            <v>0.83599999999999997</v>
          </cell>
          <cell r="AB196">
            <v>0.72</v>
          </cell>
          <cell r="AC196">
            <v>34.299999999999997</v>
          </cell>
          <cell r="AD196">
            <v>1.17</v>
          </cell>
          <cell r="AE196">
            <v>139.69999999999999</v>
          </cell>
          <cell r="AF196">
            <v>7.72</v>
          </cell>
          <cell r="AG196">
            <v>1953</v>
          </cell>
          <cell r="AH196">
            <v>2400</v>
          </cell>
          <cell r="AI196">
            <v>2400</v>
          </cell>
          <cell r="AM196" t="str">
            <v>открытый</v>
          </cell>
          <cell r="AN196" t="str">
            <v>1953-2400</v>
          </cell>
          <cell r="AO196">
            <v>98.1</v>
          </cell>
          <cell r="AP196">
            <v>1953</v>
          </cell>
          <cell r="AQ196">
            <v>72.3</v>
          </cell>
          <cell r="AU196" t="str">
            <v>Газлифт</v>
          </cell>
          <cell r="AV196">
            <v>449.999992969</v>
          </cell>
          <cell r="AW196" t="str">
            <v>ГП</v>
          </cell>
          <cell r="AX196">
            <v>849.99998671900005</v>
          </cell>
          <cell r="AY196" t="str">
            <v>ГК 78 1/8</v>
          </cell>
          <cell r="AZ196">
            <v>1220.000025586</v>
          </cell>
          <cell r="BA196" t="str">
            <v>ГК 77 1/8</v>
          </cell>
          <cell r="BB196">
            <v>1480.000006641</v>
          </cell>
          <cell r="BC196" t="str">
            <v>ГК 76 1/8</v>
          </cell>
          <cell r="BD196">
            <v>1730.000002734</v>
          </cell>
          <cell r="BE196" t="str">
            <v>ЦКсОК 5/16</v>
          </cell>
          <cell r="BF196" t="str">
            <v>-</v>
          </cell>
          <cell r="BG196" t="str">
            <v>-</v>
          </cell>
          <cell r="BH196">
            <v>1770</v>
          </cell>
          <cell r="BI196" t="str">
            <v>закрыт</v>
          </cell>
        </row>
        <row r="197">
          <cell r="J197" t="str">
            <v>1094-2</v>
          </cell>
          <cell r="K197" t="str">
            <v>Куст скважины-1094</v>
          </cell>
          <cell r="L197">
            <v>41151</v>
          </cell>
          <cell r="M197" t="str">
            <v>Гор.</v>
          </cell>
          <cell r="N197" t="str">
            <v>Р4+5+6_Block2</v>
          </cell>
          <cell r="O197" t="str">
            <v>Действующий</v>
          </cell>
          <cell r="P197" t="str">
            <v>Остановлена</v>
          </cell>
          <cell r="Q197">
            <v>-4</v>
          </cell>
          <cell r="R197" t="str">
            <v xml:space="preserve"> </v>
          </cell>
          <cell r="S197" t="str">
            <v xml:space="preserve"> </v>
          </cell>
          <cell r="U197">
            <v>203</v>
          </cell>
          <cell r="V197">
            <v>218.2</v>
          </cell>
          <cell r="W197">
            <v>0.98</v>
          </cell>
          <cell r="X197">
            <v>1.66</v>
          </cell>
          <cell r="Y197">
            <v>0.98</v>
          </cell>
          <cell r="Z197">
            <v>1.454</v>
          </cell>
          <cell r="AA197">
            <v>0.83599999999999997</v>
          </cell>
          <cell r="AB197">
            <v>0.72</v>
          </cell>
          <cell r="AC197">
            <v>34.299999999999997</v>
          </cell>
          <cell r="AD197">
            <v>1.17</v>
          </cell>
          <cell r="AE197">
            <v>177.8</v>
          </cell>
          <cell r="AF197">
            <v>8.0500000000000007</v>
          </cell>
          <cell r="AG197">
            <v>1899</v>
          </cell>
          <cell r="AH197">
            <v>2472</v>
          </cell>
          <cell r="AI197">
            <v>2472</v>
          </cell>
          <cell r="AM197" t="str">
            <v>открытый</v>
          </cell>
          <cell r="AN197" t="str">
            <v>1663-2472</v>
          </cell>
          <cell r="AO197">
            <v>18.760000000000002</v>
          </cell>
          <cell r="AP197">
            <v>1663</v>
          </cell>
          <cell r="AQ197">
            <v>0.26</v>
          </cell>
          <cell r="AU197" t="str">
            <v>Газлифт</v>
          </cell>
          <cell r="AV197">
            <v>449.999992969</v>
          </cell>
          <cell r="AW197" t="str">
            <v>ГП</v>
          </cell>
          <cell r="AX197">
            <v>820.00003183599995</v>
          </cell>
          <cell r="AY197" t="str">
            <v>ГП</v>
          </cell>
          <cell r="AZ197">
            <v>1120.0000271480001</v>
          </cell>
          <cell r="BA197" t="str">
            <v>ГК 73 1/8</v>
          </cell>
          <cell r="BB197">
            <v>1380.0000082030001</v>
          </cell>
          <cell r="BC197" t="str">
            <v>ГК 70 1/8</v>
          </cell>
          <cell r="BD197">
            <v>1599.9999749999999</v>
          </cell>
          <cell r="BE197" t="str">
            <v>ЦКсОК 5/16</v>
          </cell>
          <cell r="BF197" t="str">
            <v>-</v>
          </cell>
          <cell r="BG197" t="str">
            <v>-</v>
          </cell>
          <cell r="BH197">
            <v>1620</v>
          </cell>
          <cell r="BI197" t="str">
            <v>закрыт</v>
          </cell>
        </row>
        <row r="198">
          <cell r="J198" t="str">
            <v>1099-1</v>
          </cell>
          <cell r="K198" t="str">
            <v>Куст скважины-1099</v>
          </cell>
          <cell r="L198">
            <v>41243</v>
          </cell>
          <cell r="M198" t="str">
            <v>Гор.</v>
          </cell>
          <cell r="N198" t="str">
            <v>Р4+5+6_Block2</v>
          </cell>
          <cell r="O198" t="str">
            <v>Действующий</v>
          </cell>
          <cell r="P198" t="str">
            <v>Остановлена</v>
          </cell>
          <cell r="Q198">
            <v>-4</v>
          </cell>
          <cell r="U198">
            <v>203</v>
          </cell>
          <cell r="V198">
            <v>218.2</v>
          </cell>
          <cell r="W198">
            <v>0.98</v>
          </cell>
          <cell r="X198">
            <v>1.66</v>
          </cell>
          <cell r="Y198">
            <v>1.0190734875516176</v>
          </cell>
          <cell r="Z198">
            <v>1.454</v>
          </cell>
          <cell r="AA198">
            <v>0.83599999999999997</v>
          </cell>
          <cell r="AB198">
            <v>0.72</v>
          </cell>
          <cell r="AC198">
            <v>34.299999999999997</v>
          </cell>
          <cell r="AD198">
            <v>1.17</v>
          </cell>
          <cell r="AE198">
            <v>177.8</v>
          </cell>
          <cell r="AF198">
            <v>9.19</v>
          </cell>
          <cell r="AG198">
            <v>1808</v>
          </cell>
          <cell r="AH198">
            <v>2500</v>
          </cell>
          <cell r="AI198">
            <v>2500</v>
          </cell>
          <cell r="AM198" t="str">
            <v>открытый</v>
          </cell>
          <cell r="AN198" t="str">
            <v>1808-2500</v>
          </cell>
          <cell r="AO198">
            <v>17.34</v>
          </cell>
          <cell r="AP198">
            <v>1808</v>
          </cell>
          <cell r="AQ198">
            <v>52</v>
          </cell>
          <cell r="AU198" t="str">
            <v>Газлифт</v>
          </cell>
          <cell r="AV198">
            <v>470.00000009799999</v>
          </cell>
          <cell r="AW198" t="str">
            <v>ГП</v>
          </cell>
          <cell r="AX198">
            <v>909.99997089800002</v>
          </cell>
          <cell r="AY198" t="str">
            <v>ГК 81 1/8</v>
          </cell>
          <cell r="AZ198">
            <v>1239.999995508</v>
          </cell>
          <cell r="BA198" t="str">
            <v>ГК 79 5/32</v>
          </cell>
          <cell r="BB198">
            <v>1610.000034375</v>
          </cell>
          <cell r="BC198" t="str">
            <v>ЦКсОК 5/16</v>
          </cell>
          <cell r="BD198" t="str">
            <v>-</v>
          </cell>
          <cell r="BE198" t="str">
            <v>-</v>
          </cell>
          <cell r="BF198" t="str">
            <v>-</v>
          </cell>
          <cell r="BG198" t="str">
            <v>-</v>
          </cell>
          <cell r="BH198">
            <v>1765</v>
          </cell>
          <cell r="BI198" t="str">
            <v>закрыт</v>
          </cell>
        </row>
        <row r="199">
          <cell r="J199" t="str">
            <v>1100-1</v>
          </cell>
          <cell r="K199" t="str">
            <v>Без куста</v>
          </cell>
          <cell r="L199">
            <v>41280</v>
          </cell>
          <cell r="M199" t="str">
            <v>Гор.</v>
          </cell>
          <cell r="N199" t="str">
            <v>Р4+5+6_Block2</v>
          </cell>
          <cell r="O199" t="str">
            <v>Действующий</v>
          </cell>
          <cell r="P199" t="str">
            <v>В работе</v>
          </cell>
          <cell r="Q199">
            <v>-4</v>
          </cell>
          <cell r="U199">
            <v>203</v>
          </cell>
          <cell r="V199">
            <v>218.2</v>
          </cell>
          <cell r="W199">
            <v>0.98</v>
          </cell>
          <cell r="X199">
            <v>1.66</v>
          </cell>
          <cell r="Y199">
            <v>1.6442554154908506</v>
          </cell>
          <cell r="Z199">
            <v>1.454</v>
          </cell>
          <cell r="AA199">
            <v>0.83599999999999997</v>
          </cell>
          <cell r="AB199">
            <v>0.72</v>
          </cell>
          <cell r="AC199">
            <v>34.299999999999997</v>
          </cell>
          <cell r="AD199">
            <v>1.17</v>
          </cell>
          <cell r="AE199">
            <v>177.8</v>
          </cell>
          <cell r="AF199">
            <v>8.0500000000000007</v>
          </cell>
          <cell r="AG199">
            <v>2371</v>
          </cell>
          <cell r="AH199">
            <v>2957</v>
          </cell>
          <cell r="AI199">
            <v>2957</v>
          </cell>
          <cell r="AM199" t="str">
            <v>открытый</v>
          </cell>
          <cell r="AN199" t="str">
            <v>2371-2957</v>
          </cell>
          <cell r="AO199">
            <v>28.46</v>
          </cell>
          <cell r="AP199">
            <v>2371</v>
          </cell>
          <cell r="AQ199">
            <v>493.1</v>
          </cell>
          <cell r="AU199" t="str">
            <v>Газлифт</v>
          </cell>
          <cell r="AV199">
            <v>396.99999081999999</v>
          </cell>
          <cell r="AW199" t="str">
            <v>ГП</v>
          </cell>
          <cell r="AX199">
            <v>727.99999160200002</v>
          </cell>
          <cell r="AY199" t="str">
            <v>ГК 81 1/8</v>
          </cell>
          <cell r="AZ199">
            <v>999.00000820299999</v>
          </cell>
          <cell r="BA199" t="str">
            <v>ГК 75 5/32</v>
          </cell>
          <cell r="BB199">
            <v>1230.0000105470001</v>
          </cell>
          <cell r="BC199" t="str">
            <v>ГК 70 1/4</v>
          </cell>
          <cell r="BD199">
            <v>1434.0000609379999</v>
          </cell>
          <cell r="BE199" t="str">
            <v>ЦКсОК 5/16</v>
          </cell>
          <cell r="BF199" t="str">
            <v>-</v>
          </cell>
          <cell r="BG199" t="str">
            <v>-</v>
          </cell>
          <cell r="BH199">
            <v>1470</v>
          </cell>
          <cell r="BI199" t="str">
            <v>закрыт</v>
          </cell>
        </row>
        <row r="200">
          <cell r="J200" t="str">
            <v>1100-2</v>
          </cell>
          <cell r="K200" t="str">
            <v>К-40</v>
          </cell>
          <cell r="L200">
            <v>41820</v>
          </cell>
          <cell r="M200" t="str">
            <v>Гор.</v>
          </cell>
          <cell r="N200" t="str">
            <v>Р4+5_Block3</v>
          </cell>
          <cell r="O200" t="str">
            <v>Действующий</v>
          </cell>
          <cell r="P200" t="str">
            <v>Остановлена</v>
          </cell>
          <cell r="Q200">
            <v>-4</v>
          </cell>
          <cell r="R200">
            <v>41798</v>
          </cell>
          <cell r="S200" t="str">
            <v>Slb</v>
          </cell>
          <cell r="T200" t="str">
            <v>180м3 15% HCL 
 46м3 WF130</v>
          </cell>
          <cell r="U200">
            <v>203</v>
          </cell>
          <cell r="V200">
            <v>218.2</v>
          </cell>
          <cell r="W200">
            <v>0.98</v>
          </cell>
          <cell r="X200">
            <v>1.66</v>
          </cell>
          <cell r="Y200">
            <v>0.98148760410356906</v>
          </cell>
          <cell r="Z200">
            <v>1.454</v>
          </cell>
          <cell r="AA200">
            <v>0.83599999999999997</v>
          </cell>
          <cell r="AB200">
            <v>0.72</v>
          </cell>
          <cell r="AC200">
            <v>34.299999999999997</v>
          </cell>
          <cell r="AD200">
            <v>1.17</v>
          </cell>
          <cell r="AE200">
            <v>177.8</v>
          </cell>
          <cell r="AF200">
            <v>9.19</v>
          </cell>
          <cell r="AG200">
            <v>2091</v>
          </cell>
          <cell r="AH200">
            <v>2780</v>
          </cell>
          <cell r="AI200">
            <v>2780</v>
          </cell>
          <cell r="AM200" t="str">
            <v>закрытый</v>
          </cell>
          <cell r="AN200" t="str">
            <v>2211-2212; 2350-2351; 2503-2504; 2621-2622</v>
          </cell>
          <cell r="AO200">
            <v>32.1</v>
          </cell>
          <cell r="AP200">
            <v>2211</v>
          </cell>
          <cell r="AQ200">
            <v>328.14</v>
          </cell>
          <cell r="AR200" t="str">
            <v>2006-2780</v>
          </cell>
          <cell r="AS200">
            <v>114.3</v>
          </cell>
          <cell r="AT200">
            <v>7.4</v>
          </cell>
          <cell r="AU200" t="str">
            <v>Газлифт</v>
          </cell>
          <cell r="AV200">
            <v>599.99999062500001</v>
          </cell>
          <cell r="AW200" t="str">
            <v>ГП</v>
          </cell>
          <cell r="AX200">
            <v>1199.99998125</v>
          </cell>
          <cell r="AY200" t="str">
            <v>ГП</v>
          </cell>
          <cell r="AZ200">
            <v>1849.9999710940001</v>
          </cell>
          <cell r="BA200" t="str">
            <v>ЦКсОК 5/16</v>
          </cell>
          <cell r="BB200" t="str">
            <v>-</v>
          </cell>
          <cell r="BC200" t="str">
            <v>-</v>
          </cell>
          <cell r="BD200" t="str">
            <v>-</v>
          </cell>
          <cell r="BE200" t="str">
            <v>-</v>
          </cell>
          <cell r="BF200" t="str">
            <v>-</v>
          </cell>
          <cell r="BG200" t="str">
            <v>-</v>
          </cell>
          <cell r="BH200">
            <v>1860</v>
          </cell>
          <cell r="BI200" t="str">
            <v>закрыт</v>
          </cell>
        </row>
        <row r="201">
          <cell r="J201">
            <v>1101</v>
          </cell>
          <cell r="K201" t="str">
            <v>К-1</v>
          </cell>
          <cell r="L201">
            <v>41552</v>
          </cell>
          <cell r="M201" t="str">
            <v>Гор.</v>
          </cell>
          <cell r="N201" t="str">
            <v>Р4+5_Block3</v>
          </cell>
          <cell r="O201" t="str">
            <v>Действующий</v>
          </cell>
          <cell r="P201" t="str">
            <v>В работе</v>
          </cell>
          <cell r="Q201">
            <v>-4</v>
          </cell>
          <cell r="R201">
            <v>41533</v>
          </cell>
          <cell r="S201" t="str">
            <v>Slb</v>
          </cell>
          <cell r="T201" t="str">
            <v>200м3 15% HCL 
 80м3 WF130</v>
          </cell>
          <cell r="U201">
            <v>203</v>
          </cell>
          <cell r="V201">
            <v>218.2</v>
          </cell>
          <cell r="W201">
            <v>0.98</v>
          </cell>
          <cell r="X201">
            <v>1.66</v>
          </cell>
          <cell r="Y201">
            <v>0.98</v>
          </cell>
          <cell r="Z201">
            <v>1.454</v>
          </cell>
          <cell r="AA201">
            <v>0.83599999999999997</v>
          </cell>
          <cell r="AB201">
            <v>0.72</v>
          </cell>
          <cell r="AC201">
            <v>34.299999999999997</v>
          </cell>
          <cell r="AD201">
            <v>1.17</v>
          </cell>
          <cell r="AE201" t="str">
            <v>177,8;114,3</v>
          </cell>
          <cell r="AF201" t="str">
            <v>9,19; 7,4</v>
          </cell>
          <cell r="AG201" t="str">
            <v>0-2195; 2098-2677</v>
          </cell>
          <cell r="AH201">
            <v>2677</v>
          </cell>
          <cell r="AI201">
            <v>2677</v>
          </cell>
          <cell r="AM201" t="str">
            <v>Закрытый</v>
          </cell>
          <cell r="AN201" t="str">
            <v>2241-2240; 2334-2335; 2436-2437; 2538-2539; 2644-2645</v>
          </cell>
          <cell r="AO201">
            <v>40</v>
          </cell>
          <cell r="AP201">
            <v>2241</v>
          </cell>
          <cell r="AQ201">
            <v>353.5</v>
          </cell>
          <cell r="AU201" t="str">
            <v>Газлифт</v>
          </cell>
          <cell r="AV201">
            <v>599.99999062500001</v>
          </cell>
          <cell r="AW201" t="str">
            <v>ГП</v>
          </cell>
          <cell r="AX201">
            <v>1199.99998125</v>
          </cell>
          <cell r="AY201" t="str">
            <v>ГК 85 1/8</v>
          </cell>
          <cell r="AZ201">
            <v>1799.999971875</v>
          </cell>
          <cell r="BA201" t="str">
            <v>ЦКсОК 5/16</v>
          </cell>
          <cell r="BB201" t="str">
            <v>-</v>
          </cell>
          <cell r="BC201" t="str">
            <v>-</v>
          </cell>
          <cell r="BD201" t="str">
            <v>-</v>
          </cell>
          <cell r="BE201" t="str">
            <v>-</v>
          </cell>
          <cell r="BF201" t="str">
            <v>-</v>
          </cell>
          <cell r="BG201" t="str">
            <v>-</v>
          </cell>
          <cell r="BH201" t="str">
            <v>-</v>
          </cell>
          <cell r="BI201" t="str">
            <v>-</v>
          </cell>
        </row>
        <row r="202">
          <cell r="J202" t="str">
            <v>1101-2</v>
          </cell>
          <cell r="K202" t="str">
            <v>К-1</v>
          </cell>
          <cell r="L202">
            <v>41722</v>
          </cell>
          <cell r="M202" t="str">
            <v>Гор.</v>
          </cell>
          <cell r="N202" t="str">
            <v>Р4+5_Block3</v>
          </cell>
          <cell r="O202" t="str">
            <v>Действующий</v>
          </cell>
          <cell r="P202" t="str">
            <v>В работе</v>
          </cell>
          <cell r="Q202">
            <v>-4</v>
          </cell>
          <cell r="R202">
            <v>41698</v>
          </cell>
          <cell r="S202" t="str">
            <v>Slb</v>
          </cell>
          <cell r="T202" t="str">
            <v>280м3 15% HCL 
 112м3 WF130</v>
          </cell>
          <cell r="U202">
            <v>203</v>
          </cell>
          <cell r="V202">
            <v>218.2</v>
          </cell>
          <cell r="W202">
            <v>0.98</v>
          </cell>
          <cell r="X202">
            <v>1.66</v>
          </cell>
          <cell r="Y202">
            <v>0.98006825053600111</v>
          </cell>
          <cell r="Z202">
            <v>1.454</v>
          </cell>
          <cell r="AA202">
            <v>0.83599999999999997</v>
          </cell>
          <cell r="AB202">
            <v>0.72</v>
          </cell>
          <cell r="AC202">
            <v>34.299999999999997</v>
          </cell>
          <cell r="AD202">
            <v>1.17</v>
          </cell>
          <cell r="AE202" t="str">
            <v>177,8;114,3</v>
          </cell>
          <cell r="AF202" t="str">
            <v>9,19; 7,4</v>
          </cell>
          <cell r="AG202">
            <v>2040</v>
          </cell>
          <cell r="AH202">
            <v>2687</v>
          </cell>
          <cell r="AI202">
            <v>2687</v>
          </cell>
          <cell r="AM202" t="str">
            <v>открытый</v>
          </cell>
          <cell r="AN202" t="str">
            <v>1970-2687</v>
          </cell>
          <cell r="AO202">
            <v>26</v>
          </cell>
          <cell r="AP202">
            <v>1970</v>
          </cell>
          <cell r="AQ202">
            <v>233.2</v>
          </cell>
          <cell r="AR202" t="str">
            <v>1970-2687</v>
          </cell>
          <cell r="AS202">
            <v>114.3</v>
          </cell>
          <cell r="AT202">
            <v>7.37</v>
          </cell>
          <cell r="AU202" t="str">
            <v>Газлифт</v>
          </cell>
          <cell r="AV202">
            <v>599.99999062500001</v>
          </cell>
          <cell r="AW202" t="str">
            <v>ГП</v>
          </cell>
          <cell r="AX202">
            <v>1199.99998125</v>
          </cell>
          <cell r="AY202" t="str">
            <v>ГК 82 1/8</v>
          </cell>
          <cell r="AZ202">
            <v>1810.0000312499999</v>
          </cell>
          <cell r="BA202" t="str">
            <v>ЦКсОК 5/16</v>
          </cell>
          <cell r="BB202" t="str">
            <v>-</v>
          </cell>
          <cell r="BC202" t="str">
            <v>-</v>
          </cell>
          <cell r="BD202" t="str">
            <v>-</v>
          </cell>
          <cell r="BE202" t="str">
            <v>-</v>
          </cell>
          <cell r="BF202" t="str">
            <v>-</v>
          </cell>
          <cell r="BG202" t="str">
            <v>-</v>
          </cell>
          <cell r="BH202">
            <v>1820</v>
          </cell>
          <cell r="BI202" t="str">
            <v>закрыт</v>
          </cell>
        </row>
        <row r="203">
          <cell r="J203" t="str">
            <v>1101-1</v>
          </cell>
          <cell r="K203" t="str">
            <v>К-1</v>
          </cell>
          <cell r="L203">
            <v>41632</v>
          </cell>
          <cell r="M203" t="str">
            <v>Гор.</v>
          </cell>
          <cell r="N203" t="str">
            <v>Р4+5_Block3</v>
          </cell>
          <cell r="O203" t="str">
            <v>Действующий</v>
          </cell>
          <cell r="P203" t="str">
            <v>В работе</v>
          </cell>
          <cell r="Q203">
            <v>-4</v>
          </cell>
          <cell r="R203" t="str">
            <v xml:space="preserve"> </v>
          </cell>
          <cell r="S203" t="str">
            <v xml:space="preserve"> </v>
          </cell>
          <cell r="U203">
            <v>203</v>
          </cell>
          <cell r="V203">
            <v>218.2</v>
          </cell>
          <cell r="W203">
            <v>0.98</v>
          </cell>
          <cell r="X203">
            <v>1.66</v>
          </cell>
          <cell r="Y203">
            <v>0.99194638074936214</v>
          </cell>
          <cell r="Z203">
            <v>1.454</v>
          </cell>
          <cell r="AA203">
            <v>0.83599999999999997</v>
          </cell>
          <cell r="AB203">
            <v>0.72</v>
          </cell>
          <cell r="AC203">
            <v>34.299999999999997</v>
          </cell>
          <cell r="AD203">
            <v>1.17</v>
          </cell>
          <cell r="AE203">
            <v>177.8</v>
          </cell>
          <cell r="AF203">
            <v>9.19</v>
          </cell>
          <cell r="AG203">
            <v>2088</v>
          </cell>
          <cell r="AH203" t="str">
            <v>1 ств 2600
2 ств 2550
3 ств 2500</v>
          </cell>
          <cell r="AI203" t="str">
            <v>1 ств 2600
2 ств 2550
3 ств 2500</v>
          </cell>
          <cell r="AM203" t="str">
            <v>открытый</v>
          </cell>
          <cell r="AN203" t="str">
            <v xml:space="preserve"> 2094,8-2600;
2235,5-2550;
 2094,8-2500</v>
          </cell>
          <cell r="AO203">
            <v>30</v>
          </cell>
          <cell r="AP203">
            <v>2094</v>
          </cell>
          <cell r="AQ203">
            <v>203.7</v>
          </cell>
          <cell r="AU203" t="str">
            <v>Фон.</v>
          </cell>
          <cell r="AV203">
            <v>605</v>
          </cell>
          <cell r="AW203" t="str">
            <v>ГК 65 1/8</v>
          </cell>
          <cell r="AX203">
            <v>1206</v>
          </cell>
          <cell r="AY203" t="str">
            <v>ГК 45 1/8</v>
          </cell>
          <cell r="AZ203">
            <v>1779</v>
          </cell>
          <cell r="BA203" t="str">
            <v>ЦКсОК 5/16</v>
          </cell>
          <cell r="BB203" t="str">
            <v>-</v>
          </cell>
          <cell r="BC203" t="str">
            <v>-</v>
          </cell>
          <cell r="BD203" t="str">
            <v>-</v>
          </cell>
          <cell r="BE203" t="str">
            <v>-</v>
          </cell>
          <cell r="BF203" t="str">
            <v>-</v>
          </cell>
          <cell r="BG203" t="str">
            <v>-</v>
          </cell>
          <cell r="BH203">
            <v>1790</v>
          </cell>
          <cell r="BI203" t="str">
            <v>закрыт</v>
          </cell>
        </row>
        <row r="204">
          <cell r="J204">
            <v>1103</v>
          </cell>
          <cell r="K204" t="str">
            <v>К-10</v>
          </cell>
          <cell r="L204">
            <v>41528</v>
          </cell>
          <cell r="M204" t="str">
            <v>Гор.</v>
          </cell>
          <cell r="N204" t="str">
            <v>Р4+5+6_Block2</v>
          </cell>
          <cell r="O204" t="str">
            <v>В бездействии прошлых лет</v>
          </cell>
          <cell r="P204" t="str">
            <v>Остановлена</v>
          </cell>
          <cell r="Q204">
            <v>-4</v>
          </cell>
          <cell r="R204">
            <v>41508</v>
          </cell>
          <cell r="S204" t="str">
            <v>Slb</v>
          </cell>
          <cell r="T204" t="str">
            <v>160м3 15% HCL 
+ 80м3 WF130</v>
          </cell>
          <cell r="U204">
            <v>203</v>
          </cell>
          <cell r="V204">
            <v>218.2</v>
          </cell>
          <cell r="W204">
            <v>0.98</v>
          </cell>
          <cell r="X204">
            <v>1.66</v>
          </cell>
          <cell r="Y204">
            <v>0.98</v>
          </cell>
          <cell r="Z204">
            <v>1.454</v>
          </cell>
          <cell r="AA204">
            <v>0.83599999999999997</v>
          </cell>
          <cell r="AB204">
            <v>0.72</v>
          </cell>
          <cell r="AC204">
            <v>34.299999999999997</v>
          </cell>
          <cell r="AD204">
            <v>1.17</v>
          </cell>
          <cell r="AE204">
            <v>177.8</v>
          </cell>
          <cell r="AF204">
            <v>9.19</v>
          </cell>
          <cell r="AG204">
            <v>1983</v>
          </cell>
          <cell r="AH204">
            <v>2756</v>
          </cell>
          <cell r="AI204">
            <v>2745</v>
          </cell>
          <cell r="AM204" t="str">
            <v>открытый</v>
          </cell>
          <cell r="AN204" t="str">
            <v>1915-2745</v>
          </cell>
          <cell r="AO204">
            <v>20</v>
          </cell>
          <cell r="AP204">
            <v>1983</v>
          </cell>
          <cell r="AQ204">
            <v>239.3</v>
          </cell>
          <cell r="AR204" t="str">
            <v>1915-2745</v>
          </cell>
          <cell r="AS204">
            <v>114</v>
          </cell>
          <cell r="AT204">
            <v>7.4</v>
          </cell>
          <cell r="AU204" t="str">
            <v>ЭЦН</v>
          </cell>
          <cell r="AV204">
            <v>300</v>
          </cell>
          <cell r="AW204" t="str">
            <v>ГП</v>
          </cell>
          <cell r="AX204" t="str">
            <v>-</v>
          </cell>
          <cell r="AY204" t="str">
            <v>-</v>
          </cell>
          <cell r="AZ204" t="str">
            <v>-</v>
          </cell>
          <cell r="BA204" t="str">
            <v>-</v>
          </cell>
          <cell r="BB204" t="str">
            <v>-</v>
          </cell>
          <cell r="BC204" t="str">
            <v>-</v>
          </cell>
          <cell r="BD204" t="str">
            <v>-</v>
          </cell>
          <cell r="BE204" t="str">
            <v>-</v>
          </cell>
          <cell r="BF204" t="str">
            <v>-</v>
          </cell>
          <cell r="BG204" t="str">
            <v>-</v>
          </cell>
          <cell r="BH204">
            <v>1726</v>
          </cell>
          <cell r="BI204" t="str">
            <v>закр</v>
          </cell>
          <cell r="BK204" t="str">
            <v>D2400N</v>
          </cell>
          <cell r="BM204">
            <v>1450</v>
          </cell>
          <cell r="BN204">
            <v>53</v>
          </cell>
          <cell r="BO204">
            <v>140</v>
          </cell>
        </row>
        <row r="205">
          <cell r="J205" t="str">
            <v>1103-2</v>
          </cell>
          <cell r="K205" t="str">
            <v>К-40</v>
          </cell>
          <cell r="L205">
            <v>41892</v>
          </cell>
          <cell r="M205" t="str">
            <v>Гор.</v>
          </cell>
          <cell r="N205" t="str">
            <v>Р4+5_Block3</v>
          </cell>
          <cell r="O205" t="str">
            <v>Действующий</v>
          </cell>
          <cell r="P205" t="str">
            <v>В работе</v>
          </cell>
          <cell r="Q205">
            <v>-4</v>
          </cell>
          <cell r="U205">
            <v>203</v>
          </cell>
          <cell r="V205">
            <v>218.2</v>
          </cell>
          <cell r="W205">
            <v>0.98</v>
          </cell>
          <cell r="X205">
            <v>1.66</v>
          </cell>
          <cell r="Y205">
            <v>0.98008029573507216</v>
          </cell>
          <cell r="Z205">
            <v>1.454</v>
          </cell>
          <cell r="AA205">
            <v>0.83599999999999997</v>
          </cell>
          <cell r="AB205">
            <v>0.72</v>
          </cell>
          <cell r="AC205">
            <v>34.299999999999997</v>
          </cell>
          <cell r="AD205">
            <v>1.17</v>
          </cell>
          <cell r="AE205">
            <v>177.8</v>
          </cell>
          <cell r="AF205">
            <v>9.19</v>
          </cell>
          <cell r="AG205">
            <v>2092</v>
          </cell>
          <cell r="AH205">
            <v>2676</v>
          </cell>
          <cell r="AI205">
            <v>2676</v>
          </cell>
          <cell r="AM205" t="str">
            <v>открытый</v>
          </cell>
          <cell r="AN205" t="str">
            <v>2092-2676</v>
          </cell>
          <cell r="AO205">
            <v>45</v>
          </cell>
          <cell r="AP205">
            <v>2092</v>
          </cell>
          <cell r="AQ205">
            <v>388.65</v>
          </cell>
          <cell r="AU205" t="str">
            <v>Газлифт</v>
          </cell>
          <cell r="AV205">
            <v>418.00001132800003</v>
          </cell>
          <cell r="AW205" t="str">
            <v>ГК 77 1/8</v>
          </cell>
          <cell r="AX205">
            <v>809.99997246099997</v>
          </cell>
          <cell r="AY205" t="str">
            <v>ГК 78 1/8</v>
          </cell>
          <cell r="AZ205">
            <v>1176.000032227</v>
          </cell>
          <cell r="BA205" t="str">
            <v>ГК 76 1/8</v>
          </cell>
          <cell r="BB205">
            <v>1565.000064844</v>
          </cell>
          <cell r="BC205" t="str">
            <v>ГК 77 1/8</v>
          </cell>
          <cell r="BD205">
            <v>1799.999971875</v>
          </cell>
          <cell r="BE205" t="str">
            <v>ЦКсОК 5/16</v>
          </cell>
          <cell r="BF205" t="str">
            <v>-</v>
          </cell>
          <cell r="BG205" t="str">
            <v>-</v>
          </cell>
          <cell r="BH205">
            <v>1820</v>
          </cell>
          <cell r="BI205" t="str">
            <v>закрыт</v>
          </cell>
        </row>
        <row r="206">
          <cell r="J206" t="str">
            <v>1105-2</v>
          </cell>
          <cell r="K206" t="str">
            <v>К-5</v>
          </cell>
          <cell r="L206">
            <v>41445</v>
          </cell>
          <cell r="M206" t="str">
            <v>Гор.</v>
          </cell>
          <cell r="N206" t="str">
            <v>Р4+5+6_Block2</v>
          </cell>
          <cell r="O206" t="str">
            <v>Действующий</v>
          </cell>
          <cell r="P206" t="str">
            <v>В работе</v>
          </cell>
          <cell r="Q206">
            <v>-4</v>
          </cell>
          <cell r="R206" t="str">
            <v xml:space="preserve"> </v>
          </cell>
          <cell r="S206" t="str">
            <v xml:space="preserve"> </v>
          </cell>
          <cell r="U206">
            <v>203</v>
          </cell>
          <cell r="V206">
            <v>218.2</v>
          </cell>
          <cell r="W206">
            <v>0.98</v>
          </cell>
          <cell r="X206">
            <v>1.66</v>
          </cell>
          <cell r="Y206">
            <v>1.5275117370892017</v>
          </cell>
          <cell r="Z206">
            <v>1.454</v>
          </cell>
          <cell r="AA206">
            <v>0.83599999999999997</v>
          </cell>
          <cell r="AB206">
            <v>0.72</v>
          </cell>
          <cell r="AC206">
            <v>34.299999999999997</v>
          </cell>
          <cell r="AD206">
            <v>1.17</v>
          </cell>
          <cell r="AE206">
            <v>177.8</v>
          </cell>
          <cell r="AF206">
            <v>8.0500000000000007</v>
          </cell>
          <cell r="AG206">
            <v>1932</v>
          </cell>
          <cell r="AH206">
            <v>2496</v>
          </cell>
          <cell r="AI206">
            <v>2496</v>
          </cell>
          <cell r="AM206" t="str">
            <v>открытый</v>
          </cell>
          <cell r="AN206" t="str">
            <v xml:space="preserve">1932-2496 </v>
          </cell>
          <cell r="AO206">
            <v>26</v>
          </cell>
          <cell r="AP206">
            <v>1933</v>
          </cell>
          <cell r="AQ206">
            <v>88</v>
          </cell>
          <cell r="AU206" t="str">
            <v>ЭЦН</v>
          </cell>
          <cell r="AV206">
            <v>300</v>
          </cell>
          <cell r="AW206" t="str">
            <v>ГП</v>
          </cell>
          <cell r="AX206" t="str">
            <v>-</v>
          </cell>
          <cell r="AY206" t="str">
            <v>-</v>
          </cell>
          <cell r="AZ206" t="str">
            <v>-</v>
          </cell>
          <cell r="BA206" t="str">
            <v>-</v>
          </cell>
          <cell r="BB206" t="str">
            <v>-</v>
          </cell>
          <cell r="BC206" t="str">
            <v>-</v>
          </cell>
          <cell r="BD206" t="str">
            <v>-</v>
          </cell>
          <cell r="BE206" t="str">
            <v>-</v>
          </cell>
          <cell r="BF206" t="str">
            <v>-</v>
          </cell>
          <cell r="BG206" t="str">
            <v>-</v>
          </cell>
          <cell r="BH206">
            <v>1690</v>
          </cell>
          <cell r="BI206" t="str">
            <v>открыт</v>
          </cell>
          <cell r="BK206" t="str">
            <v>D1050N</v>
          </cell>
          <cell r="BM206">
            <v>1338</v>
          </cell>
          <cell r="BN206">
            <v>49</v>
          </cell>
          <cell r="BO206">
            <v>80</v>
          </cell>
        </row>
        <row r="207">
          <cell r="J207" t="str">
            <v>1105-1</v>
          </cell>
          <cell r="K207" t="str">
            <v>К-5</v>
          </cell>
          <cell r="L207">
            <v>41521</v>
          </cell>
          <cell r="M207" t="str">
            <v>Гор.</v>
          </cell>
          <cell r="N207" t="str">
            <v>Р4+5+6_Block2</v>
          </cell>
          <cell r="O207" t="str">
            <v>Действующий</v>
          </cell>
          <cell r="P207" t="str">
            <v>В работе</v>
          </cell>
          <cell r="Q207">
            <v>-4</v>
          </cell>
          <cell r="R207" t="str">
            <v xml:space="preserve"> </v>
          </cell>
          <cell r="S207" t="str">
            <v xml:space="preserve"> </v>
          </cell>
          <cell r="U207">
            <v>203</v>
          </cell>
          <cell r="V207">
            <v>218.2</v>
          </cell>
          <cell r="W207">
            <v>0.98</v>
          </cell>
          <cell r="X207">
            <v>1.66</v>
          </cell>
          <cell r="Y207">
            <v>1.6198734212507317</v>
          </cell>
          <cell r="Z207">
            <v>1.454</v>
          </cell>
          <cell r="AA207">
            <v>0.83599999999999997</v>
          </cell>
          <cell r="AB207">
            <v>0.72</v>
          </cell>
          <cell r="AC207">
            <v>34.299999999999997</v>
          </cell>
          <cell r="AD207">
            <v>1.17</v>
          </cell>
          <cell r="AE207">
            <v>177.8</v>
          </cell>
          <cell r="AF207">
            <v>9.19</v>
          </cell>
          <cell r="AG207">
            <v>2013</v>
          </cell>
          <cell r="AH207">
            <v>2550</v>
          </cell>
          <cell r="AI207">
            <v>2550</v>
          </cell>
          <cell r="AM207" t="str">
            <v>открытый</v>
          </cell>
          <cell r="AN207" t="str">
            <v>2013-2550</v>
          </cell>
          <cell r="AO207">
            <v>30</v>
          </cell>
          <cell r="AP207">
            <v>2013</v>
          </cell>
          <cell r="AQ207">
            <v>159.19999999999999</v>
          </cell>
          <cell r="AU207" t="str">
            <v>ЭЦН</v>
          </cell>
          <cell r="AV207">
            <v>300</v>
          </cell>
          <cell r="AW207" t="str">
            <v>ГП</v>
          </cell>
          <cell r="AX207" t="str">
            <v>-</v>
          </cell>
          <cell r="AY207" t="str">
            <v>-</v>
          </cell>
          <cell r="AZ207" t="str">
            <v>-</v>
          </cell>
          <cell r="BA207" t="str">
            <v>-</v>
          </cell>
          <cell r="BB207" t="str">
            <v>-</v>
          </cell>
          <cell r="BC207" t="str">
            <v>-</v>
          </cell>
          <cell r="BD207" t="str">
            <v>-</v>
          </cell>
          <cell r="BE207" t="str">
            <v>-</v>
          </cell>
          <cell r="BF207" t="str">
            <v>-</v>
          </cell>
          <cell r="BG207" t="str">
            <v>-</v>
          </cell>
          <cell r="BH207">
            <v>1700</v>
          </cell>
          <cell r="BI207" t="str">
            <v>закрыт</v>
          </cell>
          <cell r="BK207" t="str">
            <v>D2400N</v>
          </cell>
          <cell r="BM207">
            <v>1165</v>
          </cell>
          <cell r="BN207">
            <v>58</v>
          </cell>
          <cell r="BO207">
            <v>125</v>
          </cell>
        </row>
        <row r="208">
          <cell r="J208">
            <v>1106</v>
          </cell>
          <cell r="K208" t="str">
            <v>К-13</v>
          </cell>
          <cell r="L208">
            <v>41797</v>
          </cell>
          <cell r="M208" t="str">
            <v>Гор.</v>
          </cell>
          <cell r="N208" t="str">
            <v>P4+5+6_Block1_yug</v>
          </cell>
          <cell r="O208" t="str">
            <v>Действующий</v>
          </cell>
          <cell r="P208" t="str">
            <v>В работе</v>
          </cell>
          <cell r="Q208">
            <v>-4</v>
          </cell>
          <cell r="R208" t="str">
            <v xml:space="preserve"> </v>
          </cell>
          <cell r="S208" t="str">
            <v xml:space="preserve"> </v>
          </cell>
          <cell r="U208">
            <v>203</v>
          </cell>
          <cell r="V208">
            <v>218.2</v>
          </cell>
          <cell r="W208">
            <v>0.98</v>
          </cell>
          <cell r="X208">
            <v>1.66</v>
          </cell>
          <cell r="Y208">
            <v>0.98</v>
          </cell>
          <cell r="Z208">
            <v>1.454</v>
          </cell>
          <cell r="AA208">
            <v>0.83599999999999997</v>
          </cell>
          <cell r="AB208">
            <v>0.72</v>
          </cell>
          <cell r="AC208">
            <v>34.299999999999997</v>
          </cell>
          <cell r="AD208">
            <v>1.17</v>
          </cell>
          <cell r="AE208">
            <v>177.8</v>
          </cell>
          <cell r="AF208">
            <v>9.19</v>
          </cell>
          <cell r="AG208">
            <v>2114</v>
          </cell>
          <cell r="AH208">
            <v>2749</v>
          </cell>
          <cell r="AI208">
            <v>2749</v>
          </cell>
          <cell r="AM208" t="str">
            <v>открытый</v>
          </cell>
          <cell r="AN208" t="str">
            <v>2114-2749</v>
          </cell>
          <cell r="AO208">
            <v>13</v>
          </cell>
          <cell r="AP208">
            <v>2114</v>
          </cell>
          <cell r="AQ208">
            <v>265.3</v>
          </cell>
          <cell r="AU208" t="str">
            <v>Газлифт</v>
          </cell>
          <cell r="AV208">
            <v>499.99999218800002</v>
          </cell>
          <cell r="AW208" t="str">
            <v>ГК 82 1/8</v>
          </cell>
          <cell r="AX208">
            <v>899.99998593800001</v>
          </cell>
          <cell r="AY208" t="str">
            <v>ГК 85 1/8</v>
          </cell>
          <cell r="AZ208">
            <v>1230.0000105470001</v>
          </cell>
          <cell r="BA208" t="str">
            <v>ГК 84 1/8</v>
          </cell>
          <cell r="BB208">
            <v>1499.999976563</v>
          </cell>
          <cell r="BC208" t="str">
            <v>ГК 84 1/8</v>
          </cell>
          <cell r="BD208">
            <v>1799.999971875</v>
          </cell>
          <cell r="BE208" t="str">
            <v>ЦКсОК 5/16</v>
          </cell>
          <cell r="BF208" t="str">
            <v>-</v>
          </cell>
          <cell r="BG208" t="str">
            <v>-</v>
          </cell>
          <cell r="BH208" t="str">
            <v>-</v>
          </cell>
          <cell r="BI208" t="str">
            <v xml:space="preserve"> -</v>
          </cell>
        </row>
        <row r="209">
          <cell r="J209" t="str">
            <v>1106-2</v>
          </cell>
          <cell r="K209" t="str">
            <v>К-1106-1</v>
          </cell>
          <cell r="L209">
            <v>41954</v>
          </cell>
          <cell r="M209" t="str">
            <v>Гор.</v>
          </cell>
          <cell r="N209" t="str">
            <v>P4+5+6_Block1_yug</v>
          </cell>
          <cell r="O209" t="str">
            <v>Действующий</v>
          </cell>
          <cell r="P209" t="str">
            <v>В работе</v>
          </cell>
          <cell r="Q209">
            <v>-4</v>
          </cell>
          <cell r="U209">
            <v>203</v>
          </cell>
          <cell r="V209">
            <v>218.2</v>
          </cell>
          <cell r="W209">
            <v>0.98</v>
          </cell>
          <cell r="X209">
            <v>1.66</v>
          </cell>
          <cell r="Y209">
            <v>0.98403097023953534</v>
          </cell>
          <cell r="Z209">
            <v>1.454</v>
          </cell>
          <cell r="AA209">
            <v>0.83599999999999997</v>
          </cell>
          <cell r="AB209">
            <v>0.72</v>
          </cell>
          <cell r="AC209">
            <v>34.299999999999997</v>
          </cell>
          <cell r="AD209">
            <v>1.17</v>
          </cell>
          <cell r="AE209" t="str">
            <v>177,8;
114,3</v>
          </cell>
          <cell r="AF209">
            <v>9.19</v>
          </cell>
          <cell r="AG209">
            <v>2211.1</v>
          </cell>
          <cell r="AH209">
            <v>2957</v>
          </cell>
          <cell r="AI209">
            <v>2957</v>
          </cell>
          <cell r="AM209" t="str">
            <v>закрытый</v>
          </cell>
          <cell r="AN209" t="str">
            <v>2243,6-2245,4; 2374,4-2376,1; 2502,1-2503,8; 2655,2-2656,9; 2933,8-2934,8</v>
          </cell>
          <cell r="AO209">
            <v>108</v>
          </cell>
          <cell r="AP209">
            <v>2243.6</v>
          </cell>
          <cell r="AQ209">
            <v>440.25</v>
          </cell>
          <cell r="AR209" t="str">
            <v>2137--2957</v>
          </cell>
          <cell r="AS209">
            <v>114</v>
          </cell>
          <cell r="AT209">
            <v>7.37</v>
          </cell>
          <cell r="AU209" t="str">
            <v>Газлифт</v>
          </cell>
          <cell r="AV209">
            <v>599.99999062500001</v>
          </cell>
          <cell r="AW209" t="str">
            <v>ГК 82 1/8</v>
          </cell>
          <cell r="AX209">
            <v>1199.99998125</v>
          </cell>
          <cell r="AY209" t="str">
            <v>ГК 75 1/8</v>
          </cell>
          <cell r="AZ209">
            <v>1499.999976563</v>
          </cell>
          <cell r="BA209" t="str">
            <v>ГК 74 1/8</v>
          </cell>
          <cell r="BB209">
            <v>1699.9999734380001</v>
          </cell>
          <cell r="BC209" t="str">
            <v>ЦКсОК 5/16</v>
          </cell>
          <cell r="BD209" t="str">
            <v>-</v>
          </cell>
          <cell r="BE209" t="str">
            <v>-</v>
          </cell>
          <cell r="BF209" t="str">
            <v>-</v>
          </cell>
          <cell r="BG209" t="str">
            <v>-</v>
          </cell>
          <cell r="BH209">
            <v>1700</v>
          </cell>
          <cell r="BI209" t="str">
            <v>открыт</v>
          </cell>
        </row>
        <row r="210">
          <cell r="J210" t="str">
            <v>1106-1</v>
          </cell>
          <cell r="K210" t="str">
            <v>К-1106-1</v>
          </cell>
          <cell r="L210">
            <v>41901</v>
          </cell>
          <cell r="M210" t="str">
            <v>Гор.</v>
          </cell>
          <cell r="N210" t="str">
            <v>P4+5+6_Block1_yug</v>
          </cell>
          <cell r="O210" t="str">
            <v>Действующий</v>
          </cell>
          <cell r="P210" t="str">
            <v>Остановлена</v>
          </cell>
          <cell r="Q210">
            <v>-4</v>
          </cell>
          <cell r="U210">
            <v>203</v>
          </cell>
          <cell r="V210">
            <v>218.2</v>
          </cell>
          <cell r="W210">
            <v>0.98</v>
          </cell>
          <cell r="X210">
            <v>1.66</v>
          </cell>
          <cell r="Y210">
            <v>1.440155807365439</v>
          </cell>
          <cell r="Z210">
            <v>1.454</v>
          </cell>
          <cell r="AA210">
            <v>0.83599999999999997</v>
          </cell>
          <cell r="AB210">
            <v>0.72</v>
          </cell>
          <cell r="AC210">
            <v>34.299999999999997</v>
          </cell>
          <cell r="AD210">
            <v>1.17</v>
          </cell>
          <cell r="AE210">
            <v>177.8</v>
          </cell>
          <cell r="AF210">
            <v>9.19</v>
          </cell>
          <cell r="AG210">
            <v>2052</v>
          </cell>
          <cell r="AH210">
            <v>2660</v>
          </cell>
          <cell r="AI210">
            <v>2660</v>
          </cell>
          <cell r="AJ210">
            <v>44355</v>
          </cell>
          <cell r="AK210" t="str">
            <v>По спущенной компановке</v>
          </cell>
          <cell r="AM210" t="str">
            <v>открытый</v>
          </cell>
          <cell r="AN210" t="str">
            <v>2052-2660</v>
          </cell>
          <cell r="AO210">
            <v>17.100000000000001</v>
          </cell>
          <cell r="AP210">
            <v>2052</v>
          </cell>
          <cell r="AQ210">
            <v>192.29</v>
          </cell>
          <cell r="AU210" t="str">
            <v>Газлифт</v>
          </cell>
          <cell r="AV210">
            <v>499.99999218800002</v>
          </cell>
          <cell r="AW210" t="str">
            <v>ГП</v>
          </cell>
          <cell r="AX210">
            <v>930.00001523399999</v>
          </cell>
          <cell r="AY210" t="str">
            <v>ГП</v>
          </cell>
          <cell r="AZ210">
            <v>1310.000039063</v>
          </cell>
          <cell r="BA210" t="str">
            <v>ГК 79 1/8</v>
          </cell>
          <cell r="BB210">
            <v>1630.000004297</v>
          </cell>
          <cell r="BC210" t="str">
            <v>ГК 78 1/8</v>
          </cell>
          <cell r="BD210">
            <v>2010.000028125</v>
          </cell>
          <cell r="BE210" t="str">
            <v>ЦКсОК 5/16</v>
          </cell>
          <cell r="BF210" t="str">
            <v>-</v>
          </cell>
          <cell r="BG210" t="str">
            <v>-</v>
          </cell>
          <cell r="BH210">
            <v>1805</v>
          </cell>
          <cell r="BI210" t="str">
            <v>открыт</v>
          </cell>
        </row>
        <row r="211">
          <cell r="J211">
            <v>1108</v>
          </cell>
          <cell r="K211" t="str">
            <v>К-15</v>
          </cell>
          <cell r="L211">
            <v>41425</v>
          </cell>
          <cell r="M211" t="str">
            <v>Гор.</v>
          </cell>
          <cell r="N211" t="str">
            <v>P4+5+6_Block1_yug</v>
          </cell>
          <cell r="O211" t="str">
            <v>Действующий</v>
          </cell>
          <cell r="P211" t="str">
            <v>В работе</v>
          </cell>
          <cell r="Q211">
            <v>-4</v>
          </cell>
          <cell r="R211" t="str">
            <v xml:space="preserve"> </v>
          </cell>
          <cell r="S211" t="str">
            <v xml:space="preserve"> </v>
          </cell>
          <cell r="U211">
            <v>203</v>
          </cell>
          <cell r="V211">
            <v>218.2</v>
          </cell>
          <cell r="W211">
            <v>0.98</v>
          </cell>
          <cell r="X211">
            <v>1.66</v>
          </cell>
          <cell r="Y211">
            <v>1.6485610052695578</v>
          </cell>
          <cell r="Z211">
            <v>1.454</v>
          </cell>
          <cell r="AA211">
            <v>0.83599999999999997</v>
          </cell>
          <cell r="AB211">
            <v>0.72</v>
          </cell>
          <cell r="AC211">
            <v>34.299999999999997</v>
          </cell>
          <cell r="AD211">
            <v>1.17</v>
          </cell>
          <cell r="AE211">
            <v>177.8</v>
          </cell>
          <cell r="AF211">
            <v>9.19</v>
          </cell>
          <cell r="AG211">
            <v>2070</v>
          </cell>
          <cell r="AH211">
            <v>2820</v>
          </cell>
          <cell r="AI211">
            <v>2820</v>
          </cell>
          <cell r="AM211" t="str">
            <v>открытый</v>
          </cell>
          <cell r="AN211" t="str">
            <v xml:space="preserve">2176-2288 ; 2320-2820 </v>
          </cell>
          <cell r="AO211">
            <v>25</v>
          </cell>
          <cell r="AP211">
            <v>2176</v>
          </cell>
          <cell r="AQ211">
            <v>274.69</v>
          </cell>
          <cell r="AU211" t="str">
            <v>ЭЦН</v>
          </cell>
          <cell r="AV211">
            <v>300</v>
          </cell>
          <cell r="AW211" t="str">
            <v>ГП</v>
          </cell>
          <cell r="AX211" t="str">
            <v>-</v>
          </cell>
          <cell r="AY211" t="str">
            <v>-</v>
          </cell>
          <cell r="AZ211" t="str">
            <v>-</v>
          </cell>
          <cell r="BA211" t="str">
            <v>-</v>
          </cell>
          <cell r="BB211" t="str">
            <v>-</v>
          </cell>
          <cell r="BC211" t="str">
            <v>-</v>
          </cell>
          <cell r="BD211" t="str">
            <v>-</v>
          </cell>
          <cell r="BE211" t="str">
            <v>-</v>
          </cell>
          <cell r="BF211" t="str">
            <v>-</v>
          </cell>
          <cell r="BG211" t="str">
            <v>-</v>
          </cell>
          <cell r="BH211">
            <v>1238</v>
          </cell>
          <cell r="BI211" t="str">
            <v>закрыт</v>
          </cell>
          <cell r="BK211" t="str">
            <v>D1050N</v>
          </cell>
          <cell r="BM211">
            <v>1110</v>
          </cell>
          <cell r="BN211">
            <v>52</v>
          </cell>
          <cell r="BO211" t="str">
            <v>56-117</v>
          </cell>
        </row>
        <row r="212">
          <cell r="J212" t="str">
            <v>1108-2</v>
          </cell>
          <cell r="K212" t="str">
            <v>К-15</v>
          </cell>
          <cell r="L212">
            <v>41484</v>
          </cell>
          <cell r="M212" t="str">
            <v>Гор.</v>
          </cell>
          <cell r="N212" t="str">
            <v>P4+5+6_Block1_yug</v>
          </cell>
          <cell r="O212" t="str">
            <v>Действующий</v>
          </cell>
          <cell r="P212" t="str">
            <v>В работе</v>
          </cell>
          <cell r="Q212">
            <v>-4</v>
          </cell>
          <cell r="U212">
            <v>203</v>
          </cell>
          <cell r="V212">
            <v>218.2</v>
          </cell>
          <cell r="W212">
            <v>0.98</v>
          </cell>
          <cell r="X212">
            <v>1.66</v>
          </cell>
          <cell r="Y212">
            <v>1.5936520376175547</v>
          </cell>
          <cell r="Z212">
            <v>1.454</v>
          </cell>
          <cell r="AA212">
            <v>0.83599999999999997</v>
          </cell>
          <cell r="AB212">
            <v>0.72</v>
          </cell>
          <cell r="AC212">
            <v>34.299999999999997</v>
          </cell>
          <cell r="AD212">
            <v>1.17</v>
          </cell>
          <cell r="AE212">
            <v>177.8</v>
          </cell>
          <cell r="AF212">
            <v>9.19</v>
          </cell>
          <cell r="AG212">
            <v>2320</v>
          </cell>
          <cell r="AH212">
            <v>2970</v>
          </cell>
          <cell r="AI212">
            <v>2970</v>
          </cell>
          <cell r="AM212" t="str">
            <v>открытый</v>
          </cell>
          <cell r="AN212" t="str">
            <v>2236-2970</v>
          </cell>
          <cell r="AO212">
            <v>28.16</v>
          </cell>
          <cell r="AP212">
            <v>2236</v>
          </cell>
          <cell r="AQ212">
            <v>437</v>
          </cell>
          <cell r="AU212" t="str">
            <v>ЭЦН</v>
          </cell>
          <cell r="AV212">
            <v>300</v>
          </cell>
          <cell r="AW212" t="str">
            <v>ГК 45 15/16</v>
          </cell>
          <cell r="AX212" t="str">
            <v>-</v>
          </cell>
          <cell r="AY212" t="str">
            <v>-</v>
          </cell>
          <cell r="AZ212" t="str">
            <v>-</v>
          </cell>
          <cell r="BA212" t="str">
            <v>-</v>
          </cell>
          <cell r="BB212" t="str">
            <v>-</v>
          </cell>
          <cell r="BC212" t="str">
            <v>-</v>
          </cell>
          <cell r="BD212" t="str">
            <v>-</v>
          </cell>
          <cell r="BE212" t="str">
            <v>-</v>
          </cell>
          <cell r="BF212" t="str">
            <v>-</v>
          </cell>
          <cell r="BG212" t="str">
            <v>-</v>
          </cell>
          <cell r="BH212">
            <v>1753</v>
          </cell>
          <cell r="BI212" t="str">
            <v>закрыт</v>
          </cell>
          <cell r="BK212" t="str">
            <v>D1050N</v>
          </cell>
          <cell r="BM212">
            <v>1111</v>
          </cell>
          <cell r="BN212">
            <v>55</v>
          </cell>
          <cell r="BO212">
            <v>63</v>
          </cell>
        </row>
        <row r="213">
          <cell r="J213" t="str">
            <v>1110-1</v>
          </cell>
          <cell r="K213" t="str">
            <v>К-14</v>
          </cell>
          <cell r="L213">
            <v>41886</v>
          </cell>
          <cell r="M213" t="str">
            <v>Гор.</v>
          </cell>
          <cell r="N213" t="str">
            <v>P4+5+6_Block1_yug</v>
          </cell>
          <cell r="O213" t="str">
            <v>Действующий</v>
          </cell>
          <cell r="P213" t="str">
            <v>Остановлена</v>
          </cell>
          <cell r="Q213">
            <v>-4</v>
          </cell>
          <cell r="U213">
            <v>203</v>
          </cell>
          <cell r="V213">
            <v>218.2</v>
          </cell>
          <cell r="W213">
            <v>0.98</v>
          </cell>
          <cell r="X213">
            <v>1.66</v>
          </cell>
          <cell r="Y213">
            <v>1.3064567940893026</v>
          </cell>
          <cell r="Z213">
            <v>1.454</v>
          </cell>
          <cell r="AA213">
            <v>0.83599999999999997</v>
          </cell>
          <cell r="AB213">
            <v>0.72</v>
          </cell>
          <cell r="AC213">
            <v>34.299999999999997</v>
          </cell>
          <cell r="AD213">
            <v>1.17</v>
          </cell>
          <cell r="AE213">
            <v>177.8</v>
          </cell>
          <cell r="AF213">
            <v>9.19</v>
          </cell>
          <cell r="AG213">
            <v>2011</v>
          </cell>
          <cell r="AH213">
            <v>2700</v>
          </cell>
          <cell r="AI213">
            <v>2700</v>
          </cell>
          <cell r="AM213" t="str">
            <v>открытый</v>
          </cell>
          <cell r="AN213" t="str">
            <v>2011-2700</v>
          </cell>
          <cell r="AO213">
            <v>10</v>
          </cell>
          <cell r="AP213">
            <v>2011</v>
          </cell>
          <cell r="AQ213">
            <v>193.16</v>
          </cell>
          <cell r="AU213" t="str">
            <v>Газлифт</v>
          </cell>
          <cell r="AV213">
            <v>599.99999062500001</v>
          </cell>
          <cell r="AW213" t="str">
            <v>ГП</v>
          </cell>
          <cell r="AX213">
            <v>1199.99998125</v>
          </cell>
          <cell r="AY213" t="str">
            <v>ГК 81 1/8</v>
          </cell>
          <cell r="AZ213">
            <v>1499.999976563</v>
          </cell>
          <cell r="BA213" t="str">
            <v>ГК 80 1/8</v>
          </cell>
          <cell r="BD213" t="str">
            <v>-</v>
          </cell>
          <cell r="BE213" t="str">
            <v>-</v>
          </cell>
          <cell r="BF213" t="str">
            <v>-</v>
          </cell>
          <cell r="BG213" t="str">
            <v>-</v>
          </cell>
          <cell r="BH213">
            <v>1730</v>
          </cell>
          <cell r="BI213" t="str">
            <v>закрыт</v>
          </cell>
        </row>
        <row r="214">
          <cell r="J214">
            <v>1111</v>
          </cell>
          <cell r="K214" t="str">
            <v>К-3</v>
          </cell>
          <cell r="L214">
            <v>42004</v>
          </cell>
          <cell r="M214" t="str">
            <v>Гор.</v>
          </cell>
          <cell r="N214" t="str">
            <v>P4+5+6_Block1_yug</v>
          </cell>
          <cell r="O214" t="str">
            <v>Действующий</v>
          </cell>
          <cell r="P214" t="str">
            <v>В работе</v>
          </cell>
          <cell r="Q214">
            <v>-4</v>
          </cell>
          <cell r="U214">
            <v>203</v>
          </cell>
          <cell r="V214">
            <v>218.2</v>
          </cell>
          <cell r="W214">
            <v>0.98</v>
          </cell>
          <cell r="X214">
            <v>1.66</v>
          </cell>
          <cell r="Y214">
            <v>0.98</v>
          </cell>
          <cell r="Z214">
            <v>1.454</v>
          </cell>
          <cell r="AA214">
            <v>0.83599999999999997</v>
          </cell>
          <cell r="AB214">
            <v>0.72</v>
          </cell>
          <cell r="AC214">
            <v>34.299999999999997</v>
          </cell>
          <cell r="AD214">
            <v>1.17</v>
          </cell>
          <cell r="AE214">
            <v>177.8</v>
          </cell>
          <cell r="AF214">
            <v>9.19</v>
          </cell>
          <cell r="AG214">
            <v>1996</v>
          </cell>
          <cell r="AH214">
            <v>2870</v>
          </cell>
          <cell r="AI214">
            <v>2870</v>
          </cell>
          <cell r="AM214" t="str">
            <v>открытый</v>
          </cell>
          <cell r="AN214" t="str">
            <v>1996-2870</v>
          </cell>
          <cell r="AO214">
            <v>97.46</v>
          </cell>
          <cell r="AP214">
            <v>1996</v>
          </cell>
          <cell r="AQ214">
            <v>93</v>
          </cell>
          <cell r="AU214" t="str">
            <v>Газлифт</v>
          </cell>
          <cell r="AV214">
            <v>440.00000800800001</v>
          </cell>
          <cell r="AW214" t="str">
            <v>ГП</v>
          </cell>
          <cell r="AX214">
            <v>790.00000253899998</v>
          </cell>
          <cell r="AY214" t="str">
            <v>ГП</v>
          </cell>
          <cell r="AZ214">
            <v>1070.00002793</v>
          </cell>
          <cell r="BA214" t="str">
            <v>ГП</v>
          </cell>
          <cell r="BB214">
            <v>1299.9999796879999</v>
          </cell>
          <cell r="BC214" t="str">
            <v>ГК 81 1/8</v>
          </cell>
          <cell r="BD214" t="str">
            <v>-</v>
          </cell>
          <cell r="BE214" t="str">
            <v>-</v>
          </cell>
          <cell r="BF214" t="str">
            <v>-</v>
          </cell>
          <cell r="BG214" t="str">
            <v>-</v>
          </cell>
          <cell r="BH214">
            <v>1670</v>
          </cell>
          <cell r="BI214" t="str">
            <v>открыт</v>
          </cell>
        </row>
        <row r="215">
          <cell r="J215" t="str">
            <v>1111-2</v>
          </cell>
          <cell r="K215" t="str">
            <v>К-33</v>
          </cell>
          <cell r="L215">
            <v>41882</v>
          </cell>
          <cell r="M215" t="str">
            <v>Гор.</v>
          </cell>
          <cell r="N215" t="str">
            <v>P4+5+6_Block1_yug</v>
          </cell>
          <cell r="O215" t="str">
            <v>Действующий</v>
          </cell>
          <cell r="P215" t="str">
            <v>Остановлена</v>
          </cell>
          <cell r="Q215">
            <v>-4</v>
          </cell>
          <cell r="U215">
            <v>203</v>
          </cell>
          <cell r="V215">
            <v>218.2</v>
          </cell>
          <cell r="W215">
            <v>0.98</v>
          </cell>
          <cell r="X215">
            <v>1.66</v>
          </cell>
          <cell r="Y215">
            <v>0.9820113485452131</v>
          </cell>
          <cell r="Z215">
            <v>1.454</v>
          </cell>
          <cell r="AA215">
            <v>0.83599999999999997</v>
          </cell>
          <cell r="AB215">
            <v>0.72</v>
          </cell>
          <cell r="AC215">
            <v>34.299999999999997</v>
          </cell>
          <cell r="AD215">
            <v>1.17</v>
          </cell>
          <cell r="AE215">
            <v>177.8</v>
          </cell>
          <cell r="AF215">
            <v>9.19</v>
          </cell>
          <cell r="AG215">
            <v>2183</v>
          </cell>
          <cell r="AH215">
            <v>2839</v>
          </cell>
          <cell r="AI215">
            <v>2839</v>
          </cell>
          <cell r="AM215" t="str">
            <v>открытый</v>
          </cell>
          <cell r="AN215" t="str">
            <v>2183-2839</v>
          </cell>
          <cell r="AO215">
            <v>13.5</v>
          </cell>
          <cell r="AP215">
            <v>2183</v>
          </cell>
          <cell r="AQ215">
            <v>253.05</v>
          </cell>
          <cell r="AU215" t="str">
            <v>Газлифт</v>
          </cell>
          <cell r="AV215">
            <v>569.99999853500003</v>
          </cell>
          <cell r="AW215" t="str">
            <v>ГК 78 /3</v>
          </cell>
          <cell r="AX215">
            <v>999.99998437500005</v>
          </cell>
          <cell r="AY215" t="str">
            <v>ГК 79/3</v>
          </cell>
          <cell r="AZ215">
            <v>1394.999948438</v>
          </cell>
          <cell r="BA215" t="str">
            <v>ГК 80/3</v>
          </cell>
          <cell r="BB215">
            <v>1740.0000621090001</v>
          </cell>
          <cell r="BC215" t="str">
            <v>ГК 80/4</v>
          </cell>
          <cell r="BD215">
            <v>1969.999939453</v>
          </cell>
          <cell r="BE215" t="str">
            <v>ЦКсОК 5/16</v>
          </cell>
          <cell r="BF215" t="str">
            <v>-</v>
          </cell>
          <cell r="BG215" t="str">
            <v>-</v>
          </cell>
          <cell r="BH215" t="str">
            <v>-</v>
          </cell>
          <cell r="BI215" t="str">
            <v>-</v>
          </cell>
        </row>
        <row r="216">
          <cell r="J216" t="str">
            <v>1111-1</v>
          </cell>
          <cell r="K216" t="str">
            <v>К-33</v>
          </cell>
          <cell r="L216">
            <v>41814</v>
          </cell>
          <cell r="M216" t="str">
            <v>Гор.</v>
          </cell>
          <cell r="N216" t="str">
            <v>P4+5+6_Block1_yug</v>
          </cell>
          <cell r="O216" t="str">
            <v>Действующий</v>
          </cell>
          <cell r="P216" t="str">
            <v>Остановлена</v>
          </cell>
          <cell r="Q216">
            <v>-4</v>
          </cell>
          <cell r="S216" t="str">
            <v xml:space="preserve"> </v>
          </cell>
          <cell r="U216">
            <v>203</v>
          </cell>
          <cell r="V216">
            <v>218.2</v>
          </cell>
          <cell r="W216">
            <v>0.98</v>
          </cell>
          <cell r="X216">
            <v>1.66</v>
          </cell>
          <cell r="Y216">
            <v>0.98</v>
          </cell>
          <cell r="Z216">
            <v>1.454</v>
          </cell>
          <cell r="AA216">
            <v>0.83599999999999997</v>
          </cell>
          <cell r="AB216">
            <v>0.72</v>
          </cell>
          <cell r="AC216">
            <v>34.299999999999997</v>
          </cell>
          <cell r="AD216">
            <v>1.17</v>
          </cell>
          <cell r="AE216">
            <v>177.8</v>
          </cell>
          <cell r="AF216">
            <v>9.19</v>
          </cell>
          <cell r="AG216">
            <v>2183</v>
          </cell>
          <cell r="AH216">
            <v>2893</v>
          </cell>
          <cell r="AI216">
            <v>2893</v>
          </cell>
          <cell r="AM216" t="str">
            <v>открытый</v>
          </cell>
          <cell r="AN216" t="str">
            <v>2183-2893</v>
          </cell>
          <cell r="AO216">
            <v>22</v>
          </cell>
          <cell r="AP216">
            <v>2183</v>
          </cell>
          <cell r="AQ216">
            <v>268.82</v>
          </cell>
          <cell r="AU216" t="str">
            <v>Газлифт</v>
          </cell>
          <cell r="AV216">
            <v>599.99999062500001</v>
          </cell>
          <cell r="AW216" t="str">
            <v>ГП</v>
          </cell>
          <cell r="AX216">
            <v>1199.99998125</v>
          </cell>
          <cell r="AY216" t="str">
            <v>ГК 85/1,5</v>
          </cell>
          <cell r="AZ216">
            <v>1810.0000312499999</v>
          </cell>
          <cell r="BA216" t="str">
            <v>ЦКсОК 5/16</v>
          </cell>
          <cell r="BB216" t="str">
            <v>-</v>
          </cell>
          <cell r="BC216" t="str">
            <v>-</v>
          </cell>
          <cell r="BD216" t="str">
            <v>-</v>
          </cell>
          <cell r="BE216" t="str">
            <v>-</v>
          </cell>
          <cell r="BF216" t="str">
            <v>-</v>
          </cell>
          <cell r="BG216" t="str">
            <v>-</v>
          </cell>
          <cell r="BH216">
            <v>1820</v>
          </cell>
          <cell r="BI216" t="str">
            <v>закрыт</v>
          </cell>
        </row>
        <row r="217">
          <cell r="J217">
            <v>1112</v>
          </cell>
          <cell r="K217" t="str">
            <v>Куст скважины-1112</v>
          </cell>
          <cell r="L217">
            <v>40999</v>
          </cell>
          <cell r="M217" t="str">
            <v>Гор.</v>
          </cell>
          <cell r="N217" t="str">
            <v>P4+5+6_Block1_yug</v>
          </cell>
          <cell r="O217" t="str">
            <v>Действующий</v>
          </cell>
          <cell r="P217" t="str">
            <v>Остановлена</v>
          </cell>
          <cell r="Q217">
            <v>-4</v>
          </cell>
          <cell r="R217" t="str">
            <v xml:space="preserve"> </v>
          </cell>
          <cell r="S217" t="str">
            <v xml:space="preserve"> </v>
          </cell>
          <cell r="U217">
            <v>203</v>
          </cell>
          <cell r="V217">
            <v>218.2</v>
          </cell>
          <cell r="W217">
            <v>0.98</v>
          </cell>
          <cell r="X217">
            <v>1.66</v>
          </cell>
          <cell r="Y217">
            <v>0.98012044853704894</v>
          </cell>
          <cell r="Z217">
            <v>1.454</v>
          </cell>
          <cell r="AA217">
            <v>0.83599999999999997</v>
          </cell>
          <cell r="AB217">
            <v>0.72</v>
          </cell>
          <cell r="AC217">
            <v>34.299999999999997</v>
          </cell>
          <cell r="AD217">
            <v>1.17</v>
          </cell>
          <cell r="AE217">
            <v>139.69999999999999</v>
          </cell>
          <cell r="AF217">
            <v>7.72</v>
          </cell>
          <cell r="AG217">
            <v>1945</v>
          </cell>
          <cell r="AH217">
            <v>2400</v>
          </cell>
          <cell r="AI217">
            <v>2400</v>
          </cell>
          <cell r="AM217" t="str">
            <v>открытый</v>
          </cell>
          <cell r="AN217" t="str">
            <v xml:space="preserve">1945-2400 </v>
          </cell>
          <cell r="AO217">
            <v>129.30000000000001</v>
          </cell>
          <cell r="AP217">
            <v>1945</v>
          </cell>
          <cell r="AQ217">
            <v>3.46</v>
          </cell>
          <cell r="AU217" t="str">
            <v>Газлифт</v>
          </cell>
          <cell r="AV217">
            <v>599.99999062500001</v>
          </cell>
          <cell r="AW217" t="str">
            <v>ГК 78 1/8</v>
          </cell>
          <cell r="AX217">
            <v>1199.99998125</v>
          </cell>
          <cell r="AY217" t="str">
            <v>ГК 77 1/8</v>
          </cell>
          <cell r="AZ217">
            <v>1810.0000312499999</v>
          </cell>
          <cell r="BA217" t="str">
            <v>ЦКсОК 5/16</v>
          </cell>
          <cell r="BB217" t="str">
            <v>-</v>
          </cell>
          <cell r="BC217" t="str">
            <v>-</v>
          </cell>
          <cell r="BD217" t="str">
            <v>-</v>
          </cell>
          <cell r="BE217" t="str">
            <v>-</v>
          </cell>
          <cell r="BF217" t="str">
            <v>-</v>
          </cell>
          <cell r="BG217" t="str">
            <v>-</v>
          </cell>
          <cell r="BH217">
            <v>1820</v>
          </cell>
          <cell r="BI217" t="str">
            <v>закрыт</v>
          </cell>
        </row>
        <row r="218">
          <cell r="J218" t="str">
            <v>1112-2</v>
          </cell>
          <cell r="K218" t="str">
            <v>Куст скважины-1112</v>
          </cell>
          <cell r="L218">
            <v>41151</v>
          </cell>
          <cell r="M218" t="str">
            <v>Гор.</v>
          </cell>
          <cell r="N218" t="str">
            <v>P4+5+6_Block1_yug</v>
          </cell>
          <cell r="O218" t="str">
            <v>Действующий</v>
          </cell>
          <cell r="P218" t="str">
            <v>В работе</v>
          </cell>
          <cell r="Q218">
            <v>-4</v>
          </cell>
          <cell r="R218" t="str">
            <v xml:space="preserve"> </v>
          </cell>
          <cell r="S218" t="str">
            <v xml:space="preserve"> </v>
          </cell>
          <cell r="U218">
            <v>203</v>
          </cell>
          <cell r="V218">
            <v>218.2</v>
          </cell>
          <cell r="W218">
            <v>0.98</v>
          </cell>
          <cell r="X218">
            <v>1.66</v>
          </cell>
          <cell r="Y218">
            <v>0.99632533072023521</v>
          </cell>
          <cell r="Z218">
            <v>1.454</v>
          </cell>
          <cell r="AA218">
            <v>0.83599999999999997</v>
          </cell>
          <cell r="AB218">
            <v>0.72</v>
          </cell>
          <cell r="AC218">
            <v>34.299999999999997</v>
          </cell>
          <cell r="AD218">
            <v>1.17</v>
          </cell>
          <cell r="AE218">
            <v>177.8</v>
          </cell>
          <cell r="AF218">
            <v>8.0500000000000007</v>
          </cell>
          <cell r="AG218">
            <v>1945</v>
          </cell>
          <cell r="AH218">
            <v>2500</v>
          </cell>
          <cell r="AI218">
            <v>2500</v>
          </cell>
          <cell r="AM218" t="str">
            <v>открытый</v>
          </cell>
          <cell r="AN218" t="str">
            <v xml:space="preserve">1945-2500 </v>
          </cell>
          <cell r="AO218">
            <v>54.21</v>
          </cell>
          <cell r="AP218">
            <v>1945</v>
          </cell>
          <cell r="AQ218">
            <v>4.6900000000000004</v>
          </cell>
          <cell r="AU218" t="str">
            <v>Газлифт</v>
          </cell>
          <cell r="AV218">
            <v>549.99999140600005</v>
          </cell>
          <cell r="AW218" t="str">
            <v>ГП</v>
          </cell>
          <cell r="AX218">
            <v>980.00001445299995</v>
          </cell>
          <cell r="AY218" t="str">
            <v>ГП</v>
          </cell>
          <cell r="AZ218">
            <v>1290.000069141</v>
          </cell>
          <cell r="BA218" t="str">
            <v>ГП</v>
          </cell>
          <cell r="BB218">
            <v>1580.000005078</v>
          </cell>
          <cell r="BC218" t="str">
            <v>ЦКсОК 5/16</v>
          </cell>
          <cell r="BD218" t="str">
            <v>-</v>
          </cell>
          <cell r="BE218" t="str">
            <v>-</v>
          </cell>
          <cell r="BF218" t="str">
            <v>-</v>
          </cell>
          <cell r="BG218" t="str">
            <v>-</v>
          </cell>
          <cell r="BH218">
            <v>1783</v>
          </cell>
          <cell r="BI218" t="str">
            <v>закрыт</v>
          </cell>
        </row>
        <row r="219">
          <cell r="J219" t="str">
            <v>1112-1</v>
          </cell>
          <cell r="K219" t="str">
            <v>Куст скважины-1112</v>
          </cell>
          <cell r="L219">
            <v>41070</v>
          </cell>
          <cell r="M219" t="str">
            <v>Гор.</v>
          </cell>
          <cell r="N219" t="str">
            <v>P4+5+6_Block1_yug</v>
          </cell>
          <cell r="O219" t="str">
            <v>Действующий</v>
          </cell>
          <cell r="P219" t="str">
            <v>Остановлена</v>
          </cell>
          <cell r="Q219">
            <v>-4</v>
          </cell>
          <cell r="R219" t="str">
            <v xml:space="preserve"> </v>
          </cell>
          <cell r="S219" t="str">
            <v xml:space="preserve"> </v>
          </cell>
          <cell r="U219">
            <v>203</v>
          </cell>
          <cell r="V219">
            <v>218.2</v>
          </cell>
          <cell r="W219">
            <v>0.98</v>
          </cell>
          <cell r="X219">
            <v>1.66</v>
          </cell>
          <cell r="Y219">
            <v>1.0301757656660426</v>
          </cell>
          <cell r="Z219">
            <v>1.454</v>
          </cell>
          <cell r="AA219">
            <v>0.83599999999999997</v>
          </cell>
          <cell r="AB219">
            <v>0.72</v>
          </cell>
          <cell r="AC219">
            <v>34.299999999999997</v>
          </cell>
          <cell r="AD219">
            <v>1.17</v>
          </cell>
          <cell r="AE219">
            <v>139.69999999999999</v>
          </cell>
          <cell r="AF219">
            <v>7.72</v>
          </cell>
          <cell r="AG219">
            <v>1945</v>
          </cell>
          <cell r="AH219">
            <v>2607.5</v>
          </cell>
          <cell r="AI219">
            <v>2607.5</v>
          </cell>
          <cell r="AM219" t="str">
            <v>открытый</v>
          </cell>
          <cell r="AN219" t="str">
            <v>1953-2450; 1953-2261</v>
          </cell>
          <cell r="AO219">
            <v>320.24</v>
          </cell>
          <cell r="AP219">
            <v>1469.2</v>
          </cell>
          <cell r="AQ219">
            <v>2</v>
          </cell>
          <cell r="AU219" t="str">
            <v>Газлифт</v>
          </cell>
          <cell r="AV219">
            <v>560.00001357400004</v>
          </cell>
          <cell r="AW219" t="str">
            <v>ГП</v>
          </cell>
          <cell r="AX219">
            <v>1046.9999806640001</v>
          </cell>
          <cell r="AY219" t="str">
            <v>ГП</v>
          </cell>
          <cell r="AZ219">
            <v>1442.0000191409999</v>
          </cell>
          <cell r="BA219" t="str">
            <v>ЦКсОК 5/16</v>
          </cell>
          <cell r="BB219" t="str">
            <v>-</v>
          </cell>
          <cell r="BC219" t="str">
            <v>-</v>
          </cell>
          <cell r="BD219" t="str">
            <v>-</v>
          </cell>
          <cell r="BE219" t="str">
            <v>-</v>
          </cell>
          <cell r="BF219" t="str">
            <v>-</v>
          </cell>
          <cell r="BG219" t="str">
            <v>-</v>
          </cell>
          <cell r="BH219" t="str">
            <v>-</v>
          </cell>
          <cell r="BI219" t="str">
            <v>-</v>
          </cell>
        </row>
        <row r="220">
          <cell r="J220">
            <v>1113</v>
          </cell>
          <cell r="K220" t="str">
            <v>К-12</v>
          </cell>
          <cell r="L220">
            <v>41912</v>
          </cell>
          <cell r="M220" t="str">
            <v>Гор.</v>
          </cell>
          <cell r="N220" t="str">
            <v>P4+5+6_Block1_yug</v>
          </cell>
          <cell r="O220" t="str">
            <v>В бездействии прошлых лет</v>
          </cell>
          <cell r="P220" t="str">
            <v>Остановлена</v>
          </cell>
          <cell r="Q220">
            <v>-4</v>
          </cell>
          <cell r="U220">
            <v>203</v>
          </cell>
          <cell r="V220">
            <v>218.2</v>
          </cell>
          <cell r="W220">
            <v>0.98</v>
          </cell>
          <cell r="X220">
            <v>1.66</v>
          </cell>
          <cell r="Y220">
            <v>0.98</v>
          </cell>
          <cell r="Z220">
            <v>1.454</v>
          </cell>
          <cell r="AA220">
            <v>0.83599999999999997</v>
          </cell>
          <cell r="AB220">
            <v>0.72</v>
          </cell>
          <cell r="AC220">
            <v>34.299999999999997</v>
          </cell>
          <cell r="AD220">
            <v>1.17</v>
          </cell>
          <cell r="AE220">
            <v>177.8</v>
          </cell>
          <cell r="AF220">
            <v>9.19</v>
          </cell>
          <cell r="AG220">
            <v>2199</v>
          </cell>
          <cell r="AH220">
            <v>2817</v>
          </cell>
          <cell r="AI220">
            <v>2817</v>
          </cell>
          <cell r="AM220" t="str">
            <v>открытый</v>
          </cell>
          <cell r="AN220" t="str">
            <v>2199-2817</v>
          </cell>
          <cell r="AO220">
            <v>16.899999999999999</v>
          </cell>
          <cell r="AP220">
            <v>2199.5</v>
          </cell>
          <cell r="AQ220">
            <v>345.14</v>
          </cell>
          <cell r="AU220" t="str">
            <v>ЭЦН</v>
          </cell>
          <cell r="AV220">
            <v>300</v>
          </cell>
          <cell r="AW220" t="str">
            <v>ГП</v>
          </cell>
          <cell r="AX220" t="str">
            <v>-</v>
          </cell>
          <cell r="AY220" t="str">
            <v>-</v>
          </cell>
          <cell r="AZ220" t="str">
            <v>-</v>
          </cell>
          <cell r="BA220" t="str">
            <v>-</v>
          </cell>
          <cell r="BB220" t="str">
            <v>-</v>
          </cell>
          <cell r="BC220" t="str">
            <v>-</v>
          </cell>
          <cell r="BD220" t="str">
            <v>-</v>
          </cell>
          <cell r="BE220" t="str">
            <v>-</v>
          </cell>
          <cell r="BF220" t="str">
            <v>-</v>
          </cell>
          <cell r="BG220" t="str">
            <v>-</v>
          </cell>
          <cell r="BH220">
            <v>1700</v>
          </cell>
          <cell r="BI220" t="str">
            <v>закрыт</v>
          </cell>
          <cell r="BK220" t="str">
            <v>D2400N</v>
          </cell>
          <cell r="BM220">
            <v>583</v>
          </cell>
          <cell r="BN220">
            <v>64</v>
          </cell>
          <cell r="BO220" t="str">
            <v>83-116</v>
          </cell>
        </row>
        <row r="221">
          <cell r="J221" t="str">
            <v>1113-1</v>
          </cell>
          <cell r="K221" t="str">
            <v>К-12</v>
          </cell>
          <cell r="L221">
            <v>41814</v>
          </cell>
          <cell r="M221" t="str">
            <v>Гор.</v>
          </cell>
          <cell r="N221" t="str">
            <v>P4+5+6_Block1_yug</v>
          </cell>
          <cell r="O221" t="str">
            <v>Действующий</v>
          </cell>
          <cell r="P221" t="str">
            <v>В работе</v>
          </cell>
          <cell r="Q221">
            <v>-4</v>
          </cell>
          <cell r="U221">
            <v>203</v>
          </cell>
          <cell r="V221">
            <v>218.2</v>
          </cell>
          <cell r="W221">
            <v>0.98</v>
          </cell>
          <cell r="X221">
            <v>1.66</v>
          </cell>
          <cell r="Y221">
            <v>1.074984603429272</v>
          </cell>
          <cell r="Z221">
            <v>1.454</v>
          </cell>
          <cell r="AA221">
            <v>0.83599999999999997</v>
          </cell>
          <cell r="AB221">
            <v>0.72</v>
          </cell>
          <cell r="AC221">
            <v>34.299999999999997</v>
          </cell>
          <cell r="AD221">
            <v>1.17</v>
          </cell>
          <cell r="AE221" t="str">
            <v>177,8;114,3</v>
          </cell>
          <cell r="AF221">
            <v>9.19</v>
          </cell>
          <cell r="AG221" t="str">
            <v>0-2152 
1969-2722</v>
          </cell>
          <cell r="AH221">
            <v>2860</v>
          </cell>
          <cell r="AI221">
            <v>2860</v>
          </cell>
          <cell r="AM221" t="str">
            <v>открытый</v>
          </cell>
          <cell r="AN221" t="str">
            <v>2207-2860</v>
          </cell>
          <cell r="AO221">
            <v>15.3</v>
          </cell>
          <cell r="AP221">
            <v>2200</v>
          </cell>
          <cell r="AQ221">
            <v>352</v>
          </cell>
          <cell r="AU221" t="str">
            <v>Газлифт</v>
          </cell>
          <cell r="AV221">
            <v>560.00001357400004</v>
          </cell>
          <cell r="AW221" t="str">
            <v>ГП</v>
          </cell>
          <cell r="AX221">
            <v>1109.999967773</v>
          </cell>
          <cell r="AY221" t="str">
            <v>ГП</v>
          </cell>
          <cell r="AZ221">
            <v>1590.000064453</v>
          </cell>
          <cell r="BA221" t="str">
            <v>ГК 87 1/8</v>
          </cell>
          <cell r="BB221">
            <v>1999.9999687500001</v>
          </cell>
          <cell r="BC221" t="str">
            <v>ЦКсОК 5/16</v>
          </cell>
          <cell r="BD221" t="str">
            <v>-</v>
          </cell>
          <cell r="BE221" t="str">
            <v>-</v>
          </cell>
          <cell r="BF221" t="str">
            <v>-</v>
          </cell>
          <cell r="BG221" t="str">
            <v>-</v>
          </cell>
          <cell r="BH221">
            <v>1895</v>
          </cell>
          <cell r="BI221" t="str">
            <v>закрыт</v>
          </cell>
        </row>
        <row r="222">
          <cell r="J222">
            <v>1114</v>
          </cell>
          <cell r="K222" t="str">
            <v>К-18</v>
          </cell>
          <cell r="L222">
            <v>41680</v>
          </cell>
          <cell r="M222" t="str">
            <v>Гор.</v>
          </cell>
          <cell r="N222" t="str">
            <v>P4+5+6_Block1_yug</v>
          </cell>
          <cell r="O222" t="str">
            <v>Действующий</v>
          </cell>
          <cell r="P222" t="str">
            <v>В работе</v>
          </cell>
          <cell r="Q222">
            <v>-4</v>
          </cell>
          <cell r="R222" t="str">
            <v xml:space="preserve"> </v>
          </cell>
          <cell r="S222" t="str">
            <v xml:space="preserve"> </v>
          </cell>
          <cell r="U222">
            <v>203</v>
          </cell>
          <cell r="V222">
            <v>218.2</v>
          </cell>
          <cell r="W222">
            <v>0.98</v>
          </cell>
          <cell r="X222">
            <v>1.66</v>
          </cell>
          <cell r="Y222">
            <v>0.98809523809523803</v>
          </cell>
          <cell r="Z222">
            <v>1.454</v>
          </cell>
          <cell r="AA222">
            <v>0.83599999999999997</v>
          </cell>
          <cell r="AB222">
            <v>0.72</v>
          </cell>
          <cell r="AC222">
            <v>34.299999999999997</v>
          </cell>
          <cell r="AD222">
            <v>1.17</v>
          </cell>
          <cell r="AE222">
            <v>177.8</v>
          </cell>
          <cell r="AF222">
            <v>9.19</v>
          </cell>
          <cell r="AG222">
            <v>2472</v>
          </cell>
          <cell r="AH222">
            <v>3237</v>
          </cell>
          <cell r="AI222">
            <v>3237</v>
          </cell>
          <cell r="AM222" t="str">
            <v>открытый</v>
          </cell>
          <cell r="AN222" t="str">
            <v>2472-3237</v>
          </cell>
          <cell r="AO222">
            <v>18</v>
          </cell>
          <cell r="AP222">
            <v>2472</v>
          </cell>
          <cell r="AQ222">
            <v>639.79999999999995</v>
          </cell>
          <cell r="AU222" t="str">
            <v>Газлифт</v>
          </cell>
          <cell r="AV222">
            <v>479.99998505899998</v>
          </cell>
          <cell r="AW222" t="str">
            <v>ГП</v>
          </cell>
          <cell r="AX222">
            <v>859.99997168000004</v>
          </cell>
          <cell r="AY222" t="str">
            <v>ГП</v>
          </cell>
          <cell r="AZ222">
            <v>1170.0000263669999</v>
          </cell>
          <cell r="BA222" t="str">
            <v>ГП</v>
          </cell>
          <cell r="BB222">
            <v>1419.9999480470001</v>
          </cell>
          <cell r="BC222" t="str">
            <v>ГК 74 1/8</v>
          </cell>
          <cell r="BD222">
            <v>1619.9999449219999</v>
          </cell>
          <cell r="BE222" t="str">
            <v>ГК 77 5/32</v>
          </cell>
          <cell r="BF222">
            <v>1800</v>
          </cell>
          <cell r="BG222" t="str">
            <v>ЦКсОК 5/16</v>
          </cell>
          <cell r="BH222">
            <v>1890</v>
          </cell>
          <cell r="BI222" t="str">
            <v>закрыт</v>
          </cell>
        </row>
        <row r="223">
          <cell r="J223">
            <v>1117</v>
          </cell>
          <cell r="K223" t="str">
            <v>К-18</v>
          </cell>
          <cell r="L223">
            <v>41642</v>
          </cell>
          <cell r="M223" t="str">
            <v>Гор.</v>
          </cell>
          <cell r="N223" t="str">
            <v>P4+5+6_Block1_yug</v>
          </cell>
          <cell r="O223" t="str">
            <v>Действующий</v>
          </cell>
          <cell r="P223" t="str">
            <v>В работе</v>
          </cell>
          <cell r="Q223">
            <v>-4</v>
          </cell>
          <cell r="R223">
            <v>41627</v>
          </cell>
          <cell r="S223" t="str">
            <v>Slb</v>
          </cell>
          <cell r="T223" t="str">
            <v>90м3 15% HCL + 30м3 WF125</v>
          </cell>
          <cell r="U223">
            <v>203</v>
          </cell>
          <cell r="V223">
            <v>218.2</v>
          </cell>
          <cell r="W223">
            <v>0.98</v>
          </cell>
          <cell r="X223">
            <v>1.66</v>
          </cell>
          <cell r="Y223">
            <v>0.98</v>
          </cell>
          <cell r="Z223">
            <v>1.454</v>
          </cell>
          <cell r="AA223">
            <v>0.83599999999999997</v>
          </cell>
          <cell r="AB223">
            <v>0.72</v>
          </cell>
          <cell r="AC223">
            <v>34.299999999999997</v>
          </cell>
          <cell r="AD223">
            <v>1.17</v>
          </cell>
          <cell r="AE223">
            <v>177.8</v>
          </cell>
          <cell r="AF223">
            <v>9.19</v>
          </cell>
          <cell r="AG223">
            <v>2037.11</v>
          </cell>
          <cell r="AH223">
            <v>2845</v>
          </cell>
          <cell r="AI223">
            <v>2845</v>
          </cell>
          <cell r="AM223" t="str">
            <v>открытый</v>
          </cell>
          <cell r="AN223" t="str">
            <v>2037,11-2845</v>
          </cell>
          <cell r="AO223">
            <v>15</v>
          </cell>
          <cell r="AP223">
            <v>2037.11</v>
          </cell>
          <cell r="AQ223">
            <v>165.48</v>
          </cell>
          <cell r="AR223" t="str">
            <v>1646,9-2543,34</v>
          </cell>
          <cell r="AS223">
            <v>114</v>
          </cell>
          <cell r="AT223">
            <v>6.5</v>
          </cell>
          <cell r="AU223" t="str">
            <v>Газлифт</v>
          </cell>
          <cell r="AV223">
            <v>549.99999140600005</v>
          </cell>
          <cell r="AW223" t="str">
            <v>ГП</v>
          </cell>
          <cell r="AX223">
            <v>1030.000013672</v>
          </cell>
          <cell r="AY223" t="str">
            <v>ГП</v>
          </cell>
          <cell r="AZ223">
            <v>1380.0000082030001</v>
          </cell>
          <cell r="BA223" t="str">
            <v>ГК 71 1/8</v>
          </cell>
          <cell r="BB223">
            <v>1594.9999453129999</v>
          </cell>
          <cell r="BC223" t="str">
            <v>ЦКсОК 5/16</v>
          </cell>
          <cell r="BD223" t="str">
            <v>-</v>
          </cell>
          <cell r="BE223" t="str">
            <v>-</v>
          </cell>
          <cell r="BF223" t="str">
            <v>-</v>
          </cell>
          <cell r="BG223" t="str">
            <v>-</v>
          </cell>
          <cell r="BH223">
            <v>1605</v>
          </cell>
          <cell r="BI223" t="str">
            <v>закрыт</v>
          </cell>
        </row>
        <row r="224">
          <cell r="J224" t="str">
            <v>1117-1</v>
          </cell>
          <cell r="K224" t="str">
            <v>К-18</v>
          </cell>
          <cell r="L224">
            <v>41757</v>
          </cell>
          <cell r="M224" t="str">
            <v>Гор.</v>
          </cell>
          <cell r="N224" t="str">
            <v>P4+5+6_Block1_yug</v>
          </cell>
          <cell r="O224" t="str">
            <v>Действующий</v>
          </cell>
          <cell r="P224" t="str">
            <v>В работе</v>
          </cell>
          <cell r="Q224">
            <v>-4</v>
          </cell>
          <cell r="R224" t="str">
            <v xml:space="preserve"> </v>
          </cell>
          <cell r="S224" t="str">
            <v xml:space="preserve"> </v>
          </cell>
          <cell r="U224">
            <v>203</v>
          </cell>
          <cell r="V224">
            <v>218.2</v>
          </cell>
          <cell r="W224">
            <v>0.98</v>
          </cell>
          <cell r="X224">
            <v>1.66</v>
          </cell>
          <cell r="Y224">
            <v>0.98358594103321273</v>
          </cell>
          <cell r="Z224">
            <v>1.454</v>
          </cell>
          <cell r="AA224">
            <v>0.83599999999999997</v>
          </cell>
          <cell r="AB224">
            <v>0.72</v>
          </cell>
          <cell r="AC224">
            <v>34.299999999999997</v>
          </cell>
          <cell r="AD224">
            <v>1.17</v>
          </cell>
          <cell r="AE224">
            <v>177.8</v>
          </cell>
          <cell r="AF224">
            <v>9.19</v>
          </cell>
          <cell r="AG224">
            <v>1875</v>
          </cell>
          <cell r="AH224">
            <v>2490</v>
          </cell>
          <cell r="AI224">
            <v>2490</v>
          </cell>
          <cell r="AM224" t="str">
            <v>открытый</v>
          </cell>
          <cell r="AN224" t="str">
            <v>2088-2760</v>
          </cell>
          <cell r="AO224">
            <v>18</v>
          </cell>
          <cell r="AP224">
            <v>1875</v>
          </cell>
          <cell r="AQ224">
            <v>119.3</v>
          </cell>
          <cell r="AU224" t="str">
            <v>Газлифт</v>
          </cell>
          <cell r="AV224">
            <v>510.00001435500002</v>
          </cell>
          <cell r="AW224" t="str">
            <v>ГП</v>
          </cell>
          <cell r="AX224">
            <v>909.99997089800002</v>
          </cell>
          <cell r="AY224" t="str">
            <v>ГП</v>
          </cell>
          <cell r="AZ224">
            <v>1269.9999503910001</v>
          </cell>
          <cell r="BA224" t="str">
            <v>ГП</v>
          </cell>
          <cell r="BB224">
            <v>1610.000034375</v>
          </cell>
          <cell r="BC224" t="str">
            <v>ЦКсОК 5/16</v>
          </cell>
          <cell r="BD224" t="str">
            <v>-</v>
          </cell>
          <cell r="BE224" t="str">
            <v>-</v>
          </cell>
          <cell r="BF224" t="str">
            <v>-</v>
          </cell>
          <cell r="BG224" t="str">
            <v>-</v>
          </cell>
          <cell r="BH224">
            <v>1805</v>
          </cell>
          <cell r="BI224" t="str">
            <v>открыт</v>
          </cell>
        </row>
        <row r="225">
          <cell r="J225" t="str">
            <v>1117-2</v>
          </cell>
          <cell r="K225" t="str">
            <v>К-18</v>
          </cell>
          <cell r="L225">
            <v>41794</v>
          </cell>
          <cell r="M225" t="str">
            <v>Гор.</v>
          </cell>
          <cell r="N225" t="str">
            <v>P4+5+6_Block1_yug</v>
          </cell>
          <cell r="O225" t="str">
            <v>Действующий</v>
          </cell>
          <cell r="P225" t="str">
            <v>В работе</v>
          </cell>
          <cell r="Q225">
            <v>-4</v>
          </cell>
          <cell r="U225">
            <v>203</v>
          </cell>
          <cell r="V225">
            <v>218.2</v>
          </cell>
          <cell r="W225">
            <v>0.98</v>
          </cell>
          <cell r="X225">
            <v>1.66</v>
          </cell>
          <cell r="Y225">
            <v>1.0166483351664832</v>
          </cell>
          <cell r="Z225">
            <v>1.454</v>
          </cell>
          <cell r="AA225">
            <v>0.83599999999999997</v>
          </cell>
          <cell r="AB225">
            <v>0.72</v>
          </cell>
          <cell r="AC225">
            <v>34.299999999999997</v>
          </cell>
          <cell r="AD225">
            <v>1.17</v>
          </cell>
          <cell r="AE225">
            <v>177.8</v>
          </cell>
          <cell r="AF225">
            <v>9.19</v>
          </cell>
          <cell r="AG225">
            <v>2041</v>
          </cell>
          <cell r="AH225">
            <v>2740</v>
          </cell>
          <cell r="AI225">
            <v>2740</v>
          </cell>
          <cell r="AM225" t="str">
            <v>открытый</v>
          </cell>
          <cell r="AN225" t="str">
            <v>2041-2740</v>
          </cell>
          <cell r="AO225">
            <v>17</v>
          </cell>
          <cell r="AP225">
            <v>2041</v>
          </cell>
          <cell r="AQ225">
            <v>173</v>
          </cell>
          <cell r="AU225" t="str">
            <v>Газлифт</v>
          </cell>
          <cell r="AV225">
            <v>499.99999218800002</v>
          </cell>
          <cell r="AW225" t="str">
            <v>ГП</v>
          </cell>
          <cell r="AX225">
            <v>899.99998593800001</v>
          </cell>
          <cell r="AY225" t="str">
            <v>ГК 77 1/8</v>
          </cell>
          <cell r="AZ225">
            <v>1299.9999796879999</v>
          </cell>
          <cell r="BA225" t="str">
            <v>ГК 77 1/8</v>
          </cell>
          <cell r="BB225">
            <v>1560.000035156</v>
          </cell>
          <cell r="BC225" t="str">
            <v>ГК 77 5/32</v>
          </cell>
          <cell r="BD225">
            <v>1865.000060156</v>
          </cell>
          <cell r="BE225" t="str">
            <v>ЦКсОК 5/16</v>
          </cell>
          <cell r="BF225" t="str">
            <v>-</v>
          </cell>
          <cell r="BG225" t="str">
            <v>-</v>
          </cell>
          <cell r="BH225">
            <v>1750</v>
          </cell>
          <cell r="BI225" t="str">
            <v>закрыт</v>
          </cell>
        </row>
        <row r="226">
          <cell r="J226">
            <v>1118</v>
          </cell>
          <cell r="K226" t="str">
            <v>К-8</v>
          </cell>
          <cell r="L226">
            <v>41540</v>
          </cell>
          <cell r="M226" t="str">
            <v>Гор.</v>
          </cell>
          <cell r="N226" t="str">
            <v>P4+5+6_Block1_yug</v>
          </cell>
          <cell r="O226" t="str">
            <v>Действующий</v>
          </cell>
          <cell r="P226" t="str">
            <v>В работе</v>
          </cell>
          <cell r="Q226">
            <v>-4</v>
          </cell>
          <cell r="R226">
            <v>41490</v>
          </cell>
          <cell r="S226" t="str">
            <v>ЕВС</v>
          </cell>
          <cell r="T226" t="str">
            <v>32,5т</v>
          </cell>
          <cell r="U226">
            <v>203</v>
          </cell>
          <cell r="V226">
            <v>218.2</v>
          </cell>
          <cell r="W226">
            <v>0.98</v>
          </cell>
          <cell r="X226">
            <v>1.66</v>
          </cell>
          <cell r="Y226">
            <v>0.98</v>
          </cell>
          <cell r="Z226">
            <v>1.454</v>
          </cell>
          <cell r="AA226">
            <v>0.83599999999999997</v>
          </cell>
          <cell r="AB226">
            <v>0.72</v>
          </cell>
          <cell r="AC226">
            <v>34.299999999999997</v>
          </cell>
          <cell r="AD226">
            <v>1.17</v>
          </cell>
          <cell r="AE226" t="str">
            <v>177,8;114,3</v>
          </cell>
          <cell r="AF226">
            <v>9.19</v>
          </cell>
          <cell r="AG226">
            <v>2052</v>
          </cell>
          <cell r="AH226">
            <v>2756</v>
          </cell>
          <cell r="AI226">
            <v>2756</v>
          </cell>
          <cell r="AM226" t="str">
            <v>Закрытый</v>
          </cell>
          <cell r="AN226" t="str">
            <v>2115,95-2117,2; 2404,18-2405,43; 2682,66-2683,71</v>
          </cell>
          <cell r="AO226">
            <v>13</v>
          </cell>
          <cell r="AP226">
            <v>2115.9499999999998</v>
          </cell>
          <cell r="AQ226">
            <v>76.95</v>
          </cell>
          <cell r="AU226" t="str">
            <v>Газлифт</v>
          </cell>
          <cell r="AV226">
            <v>569.99999853500003</v>
          </cell>
          <cell r="AW226" t="str">
            <v>ГП</v>
          </cell>
          <cell r="AX226">
            <v>999.99998437500005</v>
          </cell>
          <cell r="AY226" t="str">
            <v>ГП</v>
          </cell>
          <cell r="AZ226">
            <v>1434.0000609379999</v>
          </cell>
          <cell r="BA226" t="str">
            <v>ГК 83 1/8</v>
          </cell>
          <cell r="BB226">
            <v>1760.000032031</v>
          </cell>
          <cell r="BC226" t="str">
            <v>ЦКсОК 5/16</v>
          </cell>
          <cell r="BD226" t="str">
            <v>-</v>
          </cell>
          <cell r="BE226" t="str">
            <v>-</v>
          </cell>
          <cell r="BF226" t="str">
            <v>-</v>
          </cell>
          <cell r="BG226" t="str">
            <v>-</v>
          </cell>
          <cell r="BH226" t="str">
            <v>-</v>
          </cell>
          <cell r="BI226" t="str">
            <v>-</v>
          </cell>
        </row>
        <row r="227">
          <cell r="J227">
            <v>1119</v>
          </cell>
          <cell r="K227" t="str">
            <v>К-19</v>
          </cell>
          <cell r="L227">
            <v>41798</v>
          </cell>
          <cell r="M227" t="str">
            <v>Гор.</v>
          </cell>
          <cell r="N227" t="str">
            <v>P4+5+6_Block1_yug</v>
          </cell>
          <cell r="O227" t="str">
            <v>Действующий</v>
          </cell>
          <cell r="P227" t="str">
            <v>В работе</v>
          </cell>
          <cell r="Q227">
            <v>-4</v>
          </cell>
          <cell r="R227" t="str">
            <v xml:space="preserve"> </v>
          </cell>
          <cell r="S227" t="str">
            <v xml:space="preserve"> </v>
          </cell>
          <cell r="U227">
            <v>203</v>
          </cell>
          <cell r="V227">
            <v>218.2</v>
          </cell>
          <cell r="W227">
            <v>0.98</v>
          </cell>
          <cell r="X227">
            <v>1.66</v>
          </cell>
          <cell r="Y227">
            <v>0.98</v>
          </cell>
          <cell r="Z227">
            <v>1.454</v>
          </cell>
          <cell r="AA227">
            <v>0.83599999999999997</v>
          </cell>
          <cell r="AB227">
            <v>0.72</v>
          </cell>
          <cell r="AC227">
            <v>34.299999999999997</v>
          </cell>
          <cell r="AD227">
            <v>1.17</v>
          </cell>
          <cell r="AE227">
            <v>177.8</v>
          </cell>
          <cell r="AF227">
            <v>9.19</v>
          </cell>
          <cell r="AG227">
            <v>2037</v>
          </cell>
          <cell r="AH227">
            <v>2661</v>
          </cell>
          <cell r="AI227">
            <v>2661</v>
          </cell>
          <cell r="AM227" t="str">
            <v>открытый</v>
          </cell>
          <cell r="AN227" t="str">
            <v>2037-2661</v>
          </cell>
          <cell r="AO227">
            <v>18</v>
          </cell>
          <cell r="AP227">
            <v>2037</v>
          </cell>
          <cell r="AQ227">
            <v>194.19</v>
          </cell>
          <cell r="AU227" t="str">
            <v>Газлифт</v>
          </cell>
          <cell r="AV227">
            <v>530.00002148399994</v>
          </cell>
          <cell r="AW227" t="str">
            <v>ГП</v>
          </cell>
          <cell r="AX227">
            <v>950.00005956999996</v>
          </cell>
          <cell r="AY227" t="str">
            <v>ГП</v>
          </cell>
          <cell r="AZ227">
            <v>1270.000099219</v>
          </cell>
          <cell r="BA227" t="str">
            <v>ГК 78 1/8</v>
          </cell>
          <cell r="BB227">
            <v>1530.0000058590001</v>
          </cell>
          <cell r="BC227" t="str">
            <v>ГК 77 5/32</v>
          </cell>
          <cell r="BD227">
            <v>1720.0000921880001</v>
          </cell>
          <cell r="BE227" t="str">
            <v>ЦКсОК 5/16</v>
          </cell>
          <cell r="BF227" t="str">
            <v>-</v>
          </cell>
          <cell r="BG227" t="str">
            <v>-</v>
          </cell>
          <cell r="BH227">
            <v>1730</v>
          </cell>
          <cell r="BI227" t="str">
            <v>закрыт</v>
          </cell>
        </row>
        <row r="228">
          <cell r="J228">
            <v>1122</v>
          </cell>
          <cell r="K228" t="str">
            <v>К-19</v>
          </cell>
          <cell r="L228">
            <v>41878</v>
          </cell>
          <cell r="M228" t="str">
            <v>Гор.</v>
          </cell>
          <cell r="N228" t="str">
            <v>P4+5+6_Block1_yug</v>
          </cell>
          <cell r="O228" t="str">
            <v>Действующий</v>
          </cell>
          <cell r="P228" t="str">
            <v>В работе</v>
          </cell>
          <cell r="Q228">
            <v>-4</v>
          </cell>
          <cell r="U228">
            <v>203</v>
          </cell>
          <cell r="V228">
            <v>218.2</v>
          </cell>
          <cell r="W228">
            <v>0.98</v>
          </cell>
          <cell r="X228">
            <v>1.66</v>
          </cell>
          <cell r="Y228">
            <v>0.9820113485452131</v>
          </cell>
          <cell r="Z228">
            <v>1.454</v>
          </cell>
          <cell r="AA228">
            <v>0.83599999999999997</v>
          </cell>
          <cell r="AB228">
            <v>0.72</v>
          </cell>
          <cell r="AC228">
            <v>34.299999999999997</v>
          </cell>
          <cell r="AD228">
            <v>1.17</v>
          </cell>
          <cell r="AE228">
            <v>177.8</v>
          </cell>
          <cell r="AF228">
            <v>9.19</v>
          </cell>
          <cell r="AG228">
            <v>2036</v>
          </cell>
          <cell r="AH228">
            <v>2700</v>
          </cell>
          <cell r="AI228">
            <v>2700</v>
          </cell>
          <cell r="AM228" t="str">
            <v>открытый</v>
          </cell>
          <cell r="AN228" t="str">
            <v>2036-2700</v>
          </cell>
          <cell r="AO228">
            <v>12</v>
          </cell>
          <cell r="AP228">
            <v>2036</v>
          </cell>
          <cell r="AQ228">
            <v>262.39</v>
          </cell>
          <cell r="AU228" t="str">
            <v>Газлифт</v>
          </cell>
          <cell r="AV228">
            <v>594.99999814499995</v>
          </cell>
          <cell r="AW228" t="str">
            <v>ГП</v>
          </cell>
          <cell r="AX228">
            <v>1024.999983984</v>
          </cell>
          <cell r="AY228" t="str">
            <v>ГП</v>
          </cell>
          <cell r="AZ228">
            <v>1344.999949219</v>
          </cell>
          <cell r="BA228" t="str">
            <v>ГК 81 1/8</v>
          </cell>
          <cell r="BB228">
            <v>1594.9999453129999</v>
          </cell>
          <cell r="BC228" t="str">
            <v>ГК 80 1/8</v>
          </cell>
          <cell r="BD228">
            <v>1755.000002344</v>
          </cell>
          <cell r="BE228" t="str">
            <v>ЦКсОК 5/16</v>
          </cell>
          <cell r="BF228" t="str">
            <v>-</v>
          </cell>
          <cell r="BG228" t="str">
            <v>-</v>
          </cell>
          <cell r="BH228">
            <v>1765</v>
          </cell>
          <cell r="BI228" t="str">
            <v>закрыт</v>
          </cell>
        </row>
        <row r="229">
          <cell r="J229">
            <v>1123</v>
          </cell>
          <cell r="K229" t="str">
            <v>Куст скважины-1123</v>
          </cell>
          <cell r="L229">
            <v>40510</v>
          </cell>
          <cell r="M229" t="str">
            <v>Гор.</v>
          </cell>
          <cell r="N229" t="str">
            <v>P4+5+6_Block1_yug</v>
          </cell>
          <cell r="O229" t="str">
            <v>Действующий</v>
          </cell>
          <cell r="P229" t="str">
            <v>Остановлена</v>
          </cell>
          <cell r="Q229">
            <v>-4</v>
          </cell>
          <cell r="R229" t="str">
            <v xml:space="preserve"> </v>
          </cell>
          <cell r="S229" t="str">
            <v xml:space="preserve"> </v>
          </cell>
          <cell r="U229">
            <v>203</v>
          </cell>
          <cell r="V229">
            <v>218.2</v>
          </cell>
          <cell r="W229">
            <v>0.98</v>
          </cell>
          <cell r="X229">
            <v>1.66</v>
          </cell>
          <cell r="Y229">
            <v>1.0004920049200492</v>
          </cell>
          <cell r="Z229">
            <v>1.454</v>
          </cell>
          <cell r="AA229">
            <v>0.83599999999999997</v>
          </cell>
          <cell r="AB229">
            <v>0.72</v>
          </cell>
          <cell r="AC229">
            <v>34.299999999999997</v>
          </cell>
          <cell r="AD229">
            <v>1.17</v>
          </cell>
          <cell r="AE229">
            <v>139.69999999999999</v>
          </cell>
          <cell r="AF229">
            <v>7.72</v>
          </cell>
          <cell r="AG229">
            <v>1839</v>
          </cell>
          <cell r="AH229">
            <v>2400</v>
          </cell>
          <cell r="AI229">
            <v>2400</v>
          </cell>
          <cell r="AM229" t="str">
            <v>открытый</v>
          </cell>
          <cell r="AN229" t="str">
            <v>1839-2400</v>
          </cell>
          <cell r="AO229">
            <v>31.78</v>
          </cell>
          <cell r="AP229">
            <v>1839</v>
          </cell>
          <cell r="AQ229">
            <v>10.3</v>
          </cell>
          <cell r="AU229" t="str">
            <v>Газлифт</v>
          </cell>
          <cell r="AV229">
            <v>599.99999062500001</v>
          </cell>
          <cell r="AW229" t="str">
            <v>ГП</v>
          </cell>
          <cell r="AX229">
            <v>1199.99998125</v>
          </cell>
          <cell r="AY229" t="str">
            <v>ГК 78 1/8</v>
          </cell>
          <cell r="AZ229">
            <v>1749.999972656</v>
          </cell>
          <cell r="BA229" t="str">
            <v>ЦКсОК 5/16</v>
          </cell>
          <cell r="BB229" t="str">
            <v>-</v>
          </cell>
          <cell r="BC229" t="str">
            <v>-</v>
          </cell>
          <cell r="BD229" t="str">
            <v>-</v>
          </cell>
          <cell r="BE229" t="str">
            <v>-</v>
          </cell>
          <cell r="BF229" t="str">
            <v>-</v>
          </cell>
          <cell r="BG229" t="str">
            <v>-</v>
          </cell>
          <cell r="BH229">
            <v>1767</v>
          </cell>
          <cell r="BI229" t="str">
            <v>закрыт</v>
          </cell>
        </row>
        <row r="230">
          <cell r="J230" t="str">
            <v>1123-1</v>
          </cell>
          <cell r="K230" t="str">
            <v>Куст скважины-1123</v>
          </cell>
          <cell r="L230">
            <v>40957</v>
          </cell>
          <cell r="M230" t="str">
            <v>Гор.</v>
          </cell>
          <cell r="N230" t="str">
            <v>P4+5+6_Block1_yug</v>
          </cell>
          <cell r="O230" t="str">
            <v>Действующий</v>
          </cell>
          <cell r="P230" t="str">
            <v>В работе</v>
          </cell>
          <cell r="Q230">
            <v>-4</v>
          </cell>
          <cell r="R230" t="str">
            <v xml:space="preserve"> </v>
          </cell>
          <cell r="S230" t="str">
            <v xml:space="preserve"> </v>
          </cell>
          <cell r="U230">
            <v>203</v>
          </cell>
          <cell r="V230">
            <v>218.2</v>
          </cell>
          <cell r="W230">
            <v>0.98</v>
          </cell>
          <cell r="X230">
            <v>1.66</v>
          </cell>
          <cell r="Y230">
            <v>0.98</v>
          </cell>
          <cell r="Z230">
            <v>1.454</v>
          </cell>
          <cell r="AA230">
            <v>0.83599999999999997</v>
          </cell>
          <cell r="AB230">
            <v>0.72</v>
          </cell>
          <cell r="AC230">
            <v>34.299999999999997</v>
          </cell>
          <cell r="AD230">
            <v>1.17</v>
          </cell>
          <cell r="AE230">
            <v>139.69999999999999</v>
          </cell>
          <cell r="AF230">
            <v>7.72</v>
          </cell>
          <cell r="AG230">
            <v>1840</v>
          </cell>
          <cell r="AH230">
            <v>2450</v>
          </cell>
          <cell r="AI230">
            <v>2450</v>
          </cell>
          <cell r="AM230" t="str">
            <v>открытый</v>
          </cell>
          <cell r="AN230" t="str">
            <v xml:space="preserve">1840-2450 </v>
          </cell>
          <cell r="AO230">
            <v>26.79</v>
          </cell>
          <cell r="AP230">
            <v>1840</v>
          </cell>
          <cell r="AQ230">
            <v>20.3</v>
          </cell>
          <cell r="AU230" t="str">
            <v>Газлифт</v>
          </cell>
          <cell r="AV230">
            <v>449.999992969</v>
          </cell>
          <cell r="AW230" t="str">
            <v>ГК 80 1/8</v>
          </cell>
          <cell r="AX230">
            <v>820.00003183599995</v>
          </cell>
          <cell r="AY230" t="str">
            <v>ГК 82 1/8</v>
          </cell>
          <cell r="AZ230">
            <v>1109.999967773</v>
          </cell>
          <cell r="BA230" t="str">
            <v>ГК 77 1/8</v>
          </cell>
          <cell r="BB230">
            <v>1340.0000683589999</v>
          </cell>
          <cell r="BC230" t="str">
            <v>ГК 75 1/8</v>
          </cell>
          <cell r="BD230">
            <v>1540.000065234</v>
          </cell>
          <cell r="BE230" t="str">
            <v>ГК 70 1/8</v>
          </cell>
          <cell r="BF230">
            <v>1700</v>
          </cell>
          <cell r="BG230" t="str">
            <v>ЦКсОК 5/16</v>
          </cell>
          <cell r="BH230">
            <v>1735</v>
          </cell>
          <cell r="BI230" t="str">
            <v>закрыт</v>
          </cell>
        </row>
        <row r="231">
          <cell r="J231" t="str">
            <v>1123-2</v>
          </cell>
          <cell r="K231" t="str">
            <v>Куст скважины-1123</v>
          </cell>
          <cell r="L231">
            <v>41044</v>
          </cell>
          <cell r="M231" t="str">
            <v>Гор.</v>
          </cell>
          <cell r="N231" t="str">
            <v>P4+5+6_Block1_yug</v>
          </cell>
          <cell r="O231" t="str">
            <v>В бездействии прошлых лет</v>
          </cell>
          <cell r="P231" t="str">
            <v>Остановлена</v>
          </cell>
          <cell r="Q231">
            <v>-4</v>
          </cell>
          <cell r="U231">
            <v>203</v>
          </cell>
          <cell r="V231">
            <v>218.2</v>
          </cell>
          <cell r="W231">
            <v>0.98</v>
          </cell>
          <cell r="X231">
            <v>1.66</v>
          </cell>
          <cell r="Y231">
            <v>0.98</v>
          </cell>
          <cell r="Z231">
            <v>1.454</v>
          </cell>
          <cell r="AA231">
            <v>0.83599999999999997</v>
          </cell>
          <cell r="AB231">
            <v>0.72</v>
          </cell>
          <cell r="AC231">
            <v>34.299999999999997</v>
          </cell>
          <cell r="AD231">
            <v>1.17</v>
          </cell>
          <cell r="AE231">
            <v>139.69999999999999</v>
          </cell>
          <cell r="AF231">
            <v>7.72</v>
          </cell>
          <cell r="AG231">
            <v>1910</v>
          </cell>
          <cell r="AH231">
            <v>2500</v>
          </cell>
          <cell r="AI231">
            <v>2500</v>
          </cell>
          <cell r="AM231" t="str">
            <v>открытый</v>
          </cell>
          <cell r="AN231" t="str">
            <v xml:space="preserve">1910-2500 </v>
          </cell>
          <cell r="AO231">
            <v>73.150000000000006</v>
          </cell>
          <cell r="AP231">
            <v>1910</v>
          </cell>
          <cell r="AQ231">
            <v>49.2</v>
          </cell>
          <cell r="AU231" t="str">
            <v>Газлифт</v>
          </cell>
          <cell r="AV231">
            <v>250</v>
          </cell>
          <cell r="AW231" t="str">
            <v>ГП</v>
          </cell>
          <cell r="AX231" t="str">
            <v>-</v>
          </cell>
          <cell r="AY231" t="str">
            <v>-</v>
          </cell>
          <cell r="AZ231" t="str">
            <v>-</v>
          </cell>
          <cell r="BA231" t="str">
            <v>-</v>
          </cell>
          <cell r="BB231" t="str">
            <v>-</v>
          </cell>
          <cell r="BC231" t="str">
            <v>-</v>
          </cell>
          <cell r="BD231" t="str">
            <v>-</v>
          </cell>
          <cell r="BE231" t="str">
            <v>-</v>
          </cell>
          <cell r="BF231" t="str">
            <v>-</v>
          </cell>
          <cell r="BG231" t="str">
            <v>-</v>
          </cell>
          <cell r="BH231">
            <v>1550</v>
          </cell>
          <cell r="BI231" t="str">
            <v>закрыт</v>
          </cell>
        </row>
        <row r="232">
          <cell r="J232">
            <v>1124</v>
          </cell>
          <cell r="K232" t="str">
            <v>К-55</v>
          </cell>
          <cell r="L232">
            <v>41837</v>
          </cell>
          <cell r="M232" t="str">
            <v>Гор.</v>
          </cell>
          <cell r="N232" t="str">
            <v>Р4+5+6_Block2</v>
          </cell>
          <cell r="O232" t="str">
            <v>Действующий</v>
          </cell>
          <cell r="P232" t="str">
            <v>В работе</v>
          </cell>
          <cell r="Q232">
            <v>-4</v>
          </cell>
          <cell r="R232">
            <v>41818</v>
          </cell>
          <cell r="S232" t="str">
            <v>Slb</v>
          </cell>
          <cell r="T232" t="str">
            <v>200м3 15% HCL 
 50м3 WF130</v>
          </cell>
          <cell r="U232">
            <v>203</v>
          </cell>
          <cell r="V232">
            <v>218.2</v>
          </cell>
          <cell r="W232">
            <v>0.98</v>
          </cell>
          <cell r="X232">
            <v>1.66</v>
          </cell>
          <cell r="Y232">
            <v>0.98088397736755528</v>
          </cell>
          <cell r="Z232">
            <v>1.454</v>
          </cell>
          <cell r="AA232">
            <v>0.83599999999999997</v>
          </cell>
          <cell r="AB232">
            <v>0.72</v>
          </cell>
          <cell r="AC232">
            <v>34.299999999999997</v>
          </cell>
          <cell r="AD232">
            <v>1.17</v>
          </cell>
          <cell r="AE232" t="str">
            <v>177,8;114,3</v>
          </cell>
          <cell r="AF232">
            <v>9.19</v>
          </cell>
          <cell r="AG232" t="str">
            <v>2114;
2032-2826</v>
          </cell>
          <cell r="AH232">
            <v>2830</v>
          </cell>
          <cell r="AI232">
            <v>2830</v>
          </cell>
          <cell r="AM232" t="str">
            <v>Закрытый</v>
          </cell>
          <cell r="AN232" t="str">
            <v>2303-2304; 2431-2432; 2558-2559; 2675-2676; 2800-2801</v>
          </cell>
          <cell r="AO232">
            <v>47</v>
          </cell>
          <cell r="AP232">
            <v>2303</v>
          </cell>
          <cell r="AQ232">
            <v>388.15</v>
          </cell>
          <cell r="AU232" t="str">
            <v>Газлифт</v>
          </cell>
          <cell r="AV232">
            <v>599.99999062500001</v>
          </cell>
          <cell r="AW232" t="str">
            <v>ГП</v>
          </cell>
          <cell r="AX232">
            <v>1199.99998125</v>
          </cell>
          <cell r="AY232" t="str">
            <v>ГК 80 1/8</v>
          </cell>
          <cell r="AZ232">
            <v>1840.000060547</v>
          </cell>
          <cell r="BA232" t="str">
            <v>ЦКсОК 5/16</v>
          </cell>
          <cell r="BB232" t="str">
            <v>-</v>
          </cell>
          <cell r="BC232" t="str">
            <v>-</v>
          </cell>
          <cell r="BD232" t="str">
            <v>-</v>
          </cell>
          <cell r="BE232" t="str">
            <v>-</v>
          </cell>
          <cell r="BF232" t="str">
            <v>-</v>
          </cell>
          <cell r="BG232" t="str">
            <v>-</v>
          </cell>
          <cell r="BH232">
            <v>1850</v>
          </cell>
          <cell r="BI232" t="str">
            <v>закрыт</v>
          </cell>
        </row>
        <row r="233">
          <cell r="J233" t="str">
            <v>1124-1</v>
          </cell>
          <cell r="K233" t="str">
            <v>К-3</v>
          </cell>
          <cell r="L233">
            <v>41908</v>
          </cell>
          <cell r="M233" t="str">
            <v>Гор.</v>
          </cell>
          <cell r="N233" t="str">
            <v>P4+5+6_Block1_yug</v>
          </cell>
          <cell r="O233" t="str">
            <v>Действующий</v>
          </cell>
          <cell r="P233" t="str">
            <v>В работе</v>
          </cell>
          <cell r="Q233">
            <v>-4</v>
          </cell>
          <cell r="U233">
            <v>203</v>
          </cell>
          <cell r="V233">
            <v>218.2</v>
          </cell>
          <cell r="W233">
            <v>0.98</v>
          </cell>
          <cell r="X233">
            <v>1.66</v>
          </cell>
          <cell r="Y233">
            <v>0.98</v>
          </cell>
          <cell r="Z233">
            <v>1.454</v>
          </cell>
          <cell r="AA233">
            <v>0.83599999999999997</v>
          </cell>
          <cell r="AB233">
            <v>0.72</v>
          </cell>
          <cell r="AC233">
            <v>34.299999999999997</v>
          </cell>
          <cell r="AD233">
            <v>1.17</v>
          </cell>
          <cell r="AE233">
            <v>177.8</v>
          </cell>
          <cell r="AF233">
            <v>9.19</v>
          </cell>
          <cell r="AG233">
            <v>2105</v>
          </cell>
          <cell r="AH233">
            <v>2841</v>
          </cell>
          <cell r="AI233">
            <v>2841</v>
          </cell>
          <cell r="AM233" t="str">
            <v>открытый</v>
          </cell>
          <cell r="AN233" t="str">
            <v>2105-2841</v>
          </cell>
          <cell r="AO233">
            <v>39</v>
          </cell>
          <cell r="AP233">
            <v>2105</v>
          </cell>
          <cell r="AQ233">
            <v>288.95</v>
          </cell>
          <cell r="AU233" t="str">
            <v>Газлифт</v>
          </cell>
          <cell r="AV233">
            <v>479.99998505899998</v>
          </cell>
          <cell r="AW233" t="str">
            <v>ГП</v>
          </cell>
          <cell r="AX233">
            <v>930.00001523399999</v>
          </cell>
          <cell r="AY233" t="str">
            <v>ГК 81 1/8</v>
          </cell>
          <cell r="AZ233">
            <v>1280.0000097659999</v>
          </cell>
          <cell r="BA233" t="str">
            <v>ГК 81 1/8</v>
          </cell>
          <cell r="BB233">
            <v>1540.000065234</v>
          </cell>
          <cell r="BC233" t="str">
            <v>ГК 79 1/8</v>
          </cell>
          <cell r="BD233">
            <v>1660.0000335939999</v>
          </cell>
          <cell r="BE233" t="str">
            <v>ЦКсОК 51/6</v>
          </cell>
          <cell r="BF233" t="str">
            <v>-</v>
          </cell>
          <cell r="BG233" t="str">
            <v>-</v>
          </cell>
          <cell r="BH233">
            <v>1670</v>
          </cell>
          <cell r="BI233" t="str">
            <v>закрыт</v>
          </cell>
        </row>
        <row r="234">
          <cell r="J234" t="str">
            <v>1124-2</v>
          </cell>
          <cell r="K234" t="str">
            <v>К-3</v>
          </cell>
          <cell r="L234">
            <v>42088</v>
          </cell>
          <cell r="M234" t="str">
            <v>Гор.</v>
          </cell>
          <cell r="N234" t="str">
            <v>P4+5+6_Block1_yug</v>
          </cell>
          <cell r="O234" t="str">
            <v>Действующий</v>
          </cell>
          <cell r="P234" t="str">
            <v>Остановлена</v>
          </cell>
          <cell r="Q234">
            <v>-4</v>
          </cell>
          <cell r="U234">
            <v>203</v>
          </cell>
          <cell r="V234">
            <v>218.2</v>
          </cell>
          <cell r="W234">
            <v>0.98</v>
          </cell>
          <cell r="X234">
            <v>1.66</v>
          </cell>
          <cell r="Y234">
            <v>1.0469007413509062</v>
          </cell>
          <cell r="Z234">
            <v>1.454</v>
          </cell>
          <cell r="AA234">
            <v>0.83599999999999997</v>
          </cell>
          <cell r="AB234">
            <v>0.72</v>
          </cell>
          <cell r="AC234">
            <v>34.299999999999997</v>
          </cell>
          <cell r="AD234">
            <v>1.17</v>
          </cell>
          <cell r="AE234">
            <v>177.8</v>
          </cell>
          <cell r="AF234">
            <v>9.19</v>
          </cell>
          <cell r="AG234">
            <v>2104</v>
          </cell>
          <cell r="AH234">
            <v>2970</v>
          </cell>
          <cell r="AI234">
            <v>2970</v>
          </cell>
          <cell r="AM234" t="str">
            <v>открытый</v>
          </cell>
          <cell r="AN234" t="str">
            <v>2104-2970</v>
          </cell>
          <cell r="AO234">
            <v>48.6</v>
          </cell>
          <cell r="AP234">
            <v>2104</v>
          </cell>
          <cell r="AQ234">
            <v>211.5</v>
          </cell>
          <cell r="AU234" t="str">
            <v>Газлифт</v>
          </cell>
          <cell r="AV234">
            <v>529.99998427699995</v>
          </cell>
          <cell r="AW234" t="str">
            <v>ГК  80 1/8</v>
          </cell>
          <cell r="AX234">
            <v>820.00003183599995</v>
          </cell>
          <cell r="AY234" t="str">
            <v>ГК 80 1/8</v>
          </cell>
          <cell r="AZ234">
            <v>1080.0000128910001</v>
          </cell>
          <cell r="BA234" t="str">
            <v>ГК 80 1/8</v>
          </cell>
          <cell r="BB234">
            <v>1310.000039063</v>
          </cell>
          <cell r="BC234" t="str">
            <v>ГК 79 1/8</v>
          </cell>
          <cell r="BD234">
            <v>1519.999946484</v>
          </cell>
          <cell r="BE234" t="str">
            <v>ЦКсОК 51/6</v>
          </cell>
          <cell r="BF234" t="str">
            <v>-</v>
          </cell>
          <cell r="BG234" t="str">
            <v>-</v>
          </cell>
          <cell r="BH234">
            <v>1700</v>
          </cell>
          <cell r="BI234" t="str">
            <v>закрыт</v>
          </cell>
        </row>
        <row r="235">
          <cell r="J235">
            <v>1129</v>
          </cell>
          <cell r="K235" t="str">
            <v>К-6</v>
          </cell>
          <cell r="L235">
            <v>41713</v>
          </cell>
          <cell r="M235" t="str">
            <v>Гор.</v>
          </cell>
          <cell r="N235" t="str">
            <v>P4+5+6_Block1_yug</v>
          </cell>
          <cell r="O235" t="str">
            <v>Действующий</v>
          </cell>
          <cell r="P235" t="str">
            <v>В работе</v>
          </cell>
          <cell r="Q235">
            <v>-4</v>
          </cell>
          <cell r="R235" t="str">
            <v xml:space="preserve"> </v>
          </cell>
          <cell r="S235" t="str">
            <v xml:space="preserve"> </v>
          </cell>
          <cell r="U235">
            <v>203</v>
          </cell>
          <cell r="V235">
            <v>218.2</v>
          </cell>
          <cell r="W235">
            <v>0.98</v>
          </cell>
          <cell r="X235">
            <v>1.66</v>
          </cell>
          <cell r="Y235">
            <v>0.98028109265066365</v>
          </cell>
          <cell r="Z235">
            <v>1.454</v>
          </cell>
          <cell r="AA235">
            <v>0.83599999999999997</v>
          </cell>
          <cell r="AB235">
            <v>0.72</v>
          </cell>
          <cell r="AC235">
            <v>34.299999999999997</v>
          </cell>
          <cell r="AD235">
            <v>1.17</v>
          </cell>
          <cell r="AE235">
            <v>177.8</v>
          </cell>
          <cell r="AF235">
            <v>9.19</v>
          </cell>
          <cell r="AG235">
            <v>1957</v>
          </cell>
          <cell r="AH235">
            <v>2741</v>
          </cell>
          <cell r="AI235">
            <v>2247</v>
          </cell>
          <cell r="AM235" t="str">
            <v>открытый</v>
          </cell>
          <cell r="AN235" t="str">
            <v xml:space="preserve">1957-2247 </v>
          </cell>
          <cell r="AO235">
            <v>12</v>
          </cell>
          <cell r="AP235">
            <v>1957</v>
          </cell>
          <cell r="AQ235">
            <v>157.05000000000001</v>
          </cell>
          <cell r="AU235" t="str">
            <v>Газлифт</v>
          </cell>
          <cell r="AV235">
            <v>499.99999218800002</v>
          </cell>
          <cell r="AW235" t="str">
            <v>ГП</v>
          </cell>
          <cell r="AX235">
            <v>884.99997128899997</v>
          </cell>
          <cell r="AY235" t="str">
            <v>ГК 81 1/8</v>
          </cell>
          <cell r="AZ235">
            <v>1199.99998125</v>
          </cell>
          <cell r="BA235" t="str">
            <v>ГК 80 5/32</v>
          </cell>
          <cell r="BB235">
            <v>1460.000036719</v>
          </cell>
          <cell r="BC235" t="str">
            <v>ГК 79 5/32</v>
          </cell>
          <cell r="BD235">
            <v>1699.9999734380001</v>
          </cell>
          <cell r="BE235" t="str">
            <v>ЦКсОК 51/6</v>
          </cell>
          <cell r="BF235" t="str">
            <v>-</v>
          </cell>
          <cell r="BG235" t="str">
            <v>-</v>
          </cell>
          <cell r="BH235">
            <v>1780</v>
          </cell>
          <cell r="BI235" t="str">
            <v>закрыт</v>
          </cell>
        </row>
        <row r="236">
          <cell r="J236" t="str">
            <v>1129-2</v>
          </cell>
          <cell r="K236" t="str">
            <v>К-6</v>
          </cell>
          <cell r="L236">
            <v>41891</v>
          </cell>
          <cell r="M236" t="str">
            <v>Гор.</v>
          </cell>
          <cell r="N236" t="str">
            <v>P4+5+6_Block1_yug</v>
          </cell>
          <cell r="O236" t="str">
            <v>Действующий</v>
          </cell>
          <cell r="P236" t="str">
            <v>В работе</v>
          </cell>
          <cell r="Q236">
            <v>-4</v>
          </cell>
          <cell r="U236">
            <v>203</v>
          </cell>
          <cell r="V236">
            <v>218.2</v>
          </cell>
          <cell r="W236">
            <v>0.98</v>
          </cell>
          <cell r="X236">
            <v>1.66</v>
          </cell>
          <cell r="Y236">
            <v>0.98</v>
          </cell>
          <cell r="Z236">
            <v>1.454</v>
          </cell>
          <cell r="AA236">
            <v>0.83599999999999997</v>
          </cell>
          <cell r="AB236">
            <v>0.72</v>
          </cell>
          <cell r="AC236">
            <v>34.299999999999997</v>
          </cell>
          <cell r="AD236">
            <v>1.17</v>
          </cell>
          <cell r="AE236">
            <v>177.8</v>
          </cell>
          <cell r="AF236">
            <v>9.19</v>
          </cell>
          <cell r="AG236">
            <v>2014</v>
          </cell>
          <cell r="AH236">
            <v>2850</v>
          </cell>
          <cell r="AI236">
            <v>2850</v>
          </cell>
          <cell r="AM236" t="str">
            <v>открытый</v>
          </cell>
          <cell r="AN236" t="str">
            <v>2014-2850</v>
          </cell>
          <cell r="AO236">
            <v>22</v>
          </cell>
          <cell r="AP236">
            <v>2014</v>
          </cell>
          <cell r="AQ236">
            <v>203.01</v>
          </cell>
          <cell r="AU236" t="str">
            <v>Газлифт</v>
          </cell>
          <cell r="AV236">
            <v>599.99999062500001</v>
          </cell>
          <cell r="AW236" t="str">
            <v>ГП</v>
          </cell>
          <cell r="AX236">
            <v>1199.99998125</v>
          </cell>
          <cell r="AY236" t="str">
            <v>ГК 85/1,5</v>
          </cell>
          <cell r="AZ236">
            <v>1499.999976563</v>
          </cell>
          <cell r="BA236" t="str">
            <v>ЦКсОК 5/16</v>
          </cell>
          <cell r="BB236" t="str">
            <v>-</v>
          </cell>
          <cell r="BC236" t="str">
            <v>-</v>
          </cell>
          <cell r="BD236" t="str">
            <v>-</v>
          </cell>
          <cell r="BE236" t="str">
            <v>-</v>
          </cell>
          <cell r="BF236" t="str">
            <v>-</v>
          </cell>
          <cell r="BG236" t="str">
            <v>-</v>
          </cell>
          <cell r="BH236">
            <v>1750</v>
          </cell>
          <cell r="BI236" t="str">
            <v xml:space="preserve">открыт </v>
          </cell>
        </row>
        <row r="237">
          <cell r="J237" t="str">
            <v>1129-1</v>
          </cell>
          <cell r="K237" t="str">
            <v>К-6</v>
          </cell>
          <cell r="L237">
            <v>41810</v>
          </cell>
          <cell r="M237" t="str">
            <v>Гор.</v>
          </cell>
          <cell r="N237" t="str">
            <v>P4+5+6_Block1_yug</v>
          </cell>
          <cell r="O237" t="str">
            <v>Действующий</v>
          </cell>
          <cell r="P237" t="str">
            <v>В работе</v>
          </cell>
          <cell r="Q237">
            <v>-4</v>
          </cell>
          <cell r="R237" t="str">
            <v xml:space="preserve"> </v>
          </cell>
          <cell r="S237" t="str">
            <v xml:space="preserve"> </v>
          </cell>
          <cell r="U237">
            <v>203</v>
          </cell>
          <cell r="V237">
            <v>218.2</v>
          </cell>
          <cell r="W237">
            <v>0.98</v>
          </cell>
          <cell r="X237">
            <v>1.66</v>
          </cell>
          <cell r="Y237">
            <v>0.98104487188764888</v>
          </cell>
          <cell r="Z237">
            <v>1.454</v>
          </cell>
          <cell r="AA237">
            <v>0.83599999999999997</v>
          </cell>
          <cell r="AB237">
            <v>0.72</v>
          </cell>
          <cell r="AC237">
            <v>34.299999999999997</v>
          </cell>
          <cell r="AD237">
            <v>1.17</v>
          </cell>
          <cell r="AE237">
            <v>177.8</v>
          </cell>
          <cell r="AF237">
            <v>9.19</v>
          </cell>
          <cell r="AG237">
            <v>2176</v>
          </cell>
          <cell r="AH237">
            <v>2980</v>
          </cell>
          <cell r="AI237">
            <v>2980</v>
          </cell>
          <cell r="AM237" t="str">
            <v>открытый</v>
          </cell>
          <cell r="AN237" t="str">
            <v>2176-2980</v>
          </cell>
          <cell r="AO237">
            <v>12</v>
          </cell>
          <cell r="AP237">
            <v>2176</v>
          </cell>
          <cell r="AQ237">
            <v>283.49</v>
          </cell>
          <cell r="AU237" t="str">
            <v>Газлифт</v>
          </cell>
          <cell r="AV237">
            <v>429.99998584000002</v>
          </cell>
          <cell r="AW237" t="str">
            <v>ГП</v>
          </cell>
          <cell r="AX237">
            <v>770.00003261699999</v>
          </cell>
          <cell r="AY237" t="str">
            <v>ГП</v>
          </cell>
          <cell r="AZ237">
            <v>1030.000013672</v>
          </cell>
          <cell r="BA237" t="str">
            <v>ГП</v>
          </cell>
          <cell r="BB237">
            <v>1260.000039844</v>
          </cell>
          <cell r="BC237" t="str">
            <v>ГП</v>
          </cell>
          <cell r="BD237">
            <v>1430.000007422</v>
          </cell>
          <cell r="BE237" t="str">
            <v>ГК 84/1,5</v>
          </cell>
          <cell r="BF237">
            <v>1600</v>
          </cell>
          <cell r="BG237" t="str">
            <v>ЦКсОК 5/16</v>
          </cell>
          <cell r="BH237">
            <v>1805</v>
          </cell>
          <cell r="BI237" t="str">
            <v>закрыт</v>
          </cell>
        </row>
        <row r="238">
          <cell r="J238">
            <v>1130</v>
          </cell>
          <cell r="K238" t="str">
            <v>К-6</v>
          </cell>
          <cell r="L238">
            <v>42006</v>
          </cell>
          <cell r="M238" t="str">
            <v>Гор.</v>
          </cell>
          <cell r="N238" t="str">
            <v>P4+5+6_Block1_yug</v>
          </cell>
          <cell r="O238" t="str">
            <v>Действующий</v>
          </cell>
          <cell r="P238" t="str">
            <v>В работе</v>
          </cell>
          <cell r="Q238">
            <v>-4</v>
          </cell>
          <cell r="U238">
            <v>203</v>
          </cell>
          <cell r="V238">
            <v>218.2</v>
          </cell>
          <cell r="W238">
            <v>0.98</v>
          </cell>
          <cell r="X238">
            <v>1.66</v>
          </cell>
          <cell r="Y238">
            <v>0.98008029573507216</v>
          </cell>
          <cell r="Z238">
            <v>1.454</v>
          </cell>
          <cell r="AA238">
            <v>0.83599999999999997</v>
          </cell>
          <cell r="AB238">
            <v>0.72</v>
          </cell>
          <cell r="AC238">
            <v>34.299999999999997</v>
          </cell>
          <cell r="AD238">
            <v>1.17</v>
          </cell>
          <cell r="AE238">
            <v>177.8</v>
          </cell>
          <cell r="AF238">
            <v>9.19</v>
          </cell>
          <cell r="AG238">
            <v>2779</v>
          </cell>
          <cell r="AH238">
            <v>3670</v>
          </cell>
          <cell r="AI238">
            <v>3670</v>
          </cell>
          <cell r="AM238" t="str">
            <v>открытый</v>
          </cell>
          <cell r="AN238" t="str">
            <v>2779-3670</v>
          </cell>
          <cell r="AO238">
            <v>33.479999999999997</v>
          </cell>
          <cell r="AP238">
            <v>2779</v>
          </cell>
          <cell r="AQ238">
            <v>960.33</v>
          </cell>
          <cell r="AU238" t="str">
            <v>Газлифт</v>
          </cell>
          <cell r="AV238">
            <v>524.99999179700001</v>
          </cell>
          <cell r="AW238" t="str">
            <v>ГП</v>
          </cell>
          <cell r="AX238">
            <v>1017.000025781</v>
          </cell>
          <cell r="AY238" t="str">
            <v>ГК 82 1/8</v>
          </cell>
          <cell r="AZ238">
            <v>1428.0000550780001</v>
          </cell>
          <cell r="BA238" t="str">
            <v>ГК  81 1/8</v>
          </cell>
          <cell r="BB238">
            <v>1742.0000144529999</v>
          </cell>
          <cell r="BC238" t="str">
            <v>ГП</v>
          </cell>
          <cell r="BD238">
            <v>1929.999999609</v>
          </cell>
          <cell r="BE238" t="str">
            <v>ЦКсОК 5/16</v>
          </cell>
          <cell r="BF238" t="str">
            <v>-</v>
          </cell>
          <cell r="BG238" t="str">
            <v>-</v>
          </cell>
          <cell r="BH238">
            <v>1730</v>
          </cell>
          <cell r="BI238" t="str">
            <v>закрыт</v>
          </cell>
        </row>
        <row r="239">
          <cell r="J239" t="str">
            <v>1130-2</v>
          </cell>
          <cell r="K239" t="str">
            <v>К-55</v>
          </cell>
          <cell r="L239">
            <v>41943</v>
          </cell>
          <cell r="M239" t="str">
            <v>Гор.</v>
          </cell>
          <cell r="N239" t="str">
            <v>Р4+5+6_Block2</v>
          </cell>
          <cell r="O239" t="str">
            <v>Действующий</v>
          </cell>
          <cell r="P239" t="str">
            <v>В работе</v>
          </cell>
          <cell r="Q239">
            <v>-4</v>
          </cell>
          <cell r="U239">
            <v>203</v>
          </cell>
          <cell r="V239">
            <v>218.2</v>
          </cell>
          <cell r="W239">
            <v>0.98</v>
          </cell>
          <cell r="X239">
            <v>1.66</v>
          </cell>
          <cell r="Y239">
            <v>0.98</v>
          </cell>
          <cell r="Z239">
            <v>1.454</v>
          </cell>
          <cell r="AA239">
            <v>0.83599999999999997</v>
          </cell>
          <cell r="AB239">
            <v>0.72</v>
          </cell>
          <cell r="AC239">
            <v>34.299999999999997</v>
          </cell>
          <cell r="AD239">
            <v>1.17</v>
          </cell>
          <cell r="AE239">
            <v>177.8</v>
          </cell>
          <cell r="AF239">
            <v>9.19</v>
          </cell>
          <cell r="AG239">
            <v>2146</v>
          </cell>
          <cell r="AH239" t="str">
            <v>1 ств 2577
2 ств 2824
3 ств 3100</v>
          </cell>
          <cell r="AI239" t="str">
            <v>1 ств 2577
2 ств 2824
3 ств 3100</v>
          </cell>
          <cell r="AM239" t="str">
            <v>открытый</v>
          </cell>
          <cell r="AN239" t="str">
            <v xml:space="preserve"> 2146-2577; 2146-2824; 2195-3100</v>
          </cell>
          <cell r="AO239" t="str">
            <v>12,76;27,55</v>
          </cell>
          <cell r="AP239">
            <v>2146</v>
          </cell>
          <cell r="AQ239">
            <v>259.3</v>
          </cell>
          <cell r="AU239" t="str">
            <v>Газлифт</v>
          </cell>
          <cell r="AV239">
            <v>480.06</v>
          </cell>
          <cell r="AW239" t="str">
            <v>ГП</v>
          </cell>
          <cell r="AX239">
            <v>879.95759999999996</v>
          </cell>
          <cell r="AY239" t="str">
            <v>ГК 76 1/8</v>
          </cell>
          <cell r="AZ239">
            <v>1530.096</v>
          </cell>
          <cell r="BA239" t="str">
            <v>ГК 77 1/8</v>
          </cell>
          <cell r="BB239">
            <v>1730.0447999999999</v>
          </cell>
          <cell r="BC239" t="str">
            <v>ГК 76 1/8</v>
          </cell>
          <cell r="BD239">
            <v>2000.0976000000001</v>
          </cell>
          <cell r="BE239" t="str">
            <v>ЦКсОК 5/16</v>
          </cell>
          <cell r="BF239" t="str">
            <v>-</v>
          </cell>
          <cell r="BG239" t="str">
            <v>-</v>
          </cell>
          <cell r="BH239" t="str">
            <v>-</v>
          </cell>
          <cell r="BI239" t="str">
            <v>-</v>
          </cell>
        </row>
        <row r="240">
          <cell r="J240" t="str">
            <v>1130-1</v>
          </cell>
          <cell r="K240" t="str">
            <v>К-6</v>
          </cell>
          <cell r="L240">
            <v>42080</v>
          </cell>
          <cell r="M240" t="str">
            <v>Гор.</v>
          </cell>
          <cell r="N240" t="str">
            <v>P4+5+6_Block1_yug</v>
          </cell>
          <cell r="O240" t="str">
            <v>Действующий</v>
          </cell>
          <cell r="P240" t="str">
            <v>Остановлена</v>
          </cell>
          <cell r="Q240">
            <v>-4</v>
          </cell>
          <cell r="U240">
            <v>203</v>
          </cell>
          <cell r="V240">
            <v>218.2</v>
          </cell>
          <cell r="W240">
            <v>0.98</v>
          </cell>
          <cell r="X240">
            <v>1.66</v>
          </cell>
          <cell r="Y240">
            <v>0.99067300970211603</v>
          </cell>
          <cell r="Z240">
            <v>1.454</v>
          </cell>
          <cell r="AA240">
            <v>0.83599999999999997</v>
          </cell>
          <cell r="AB240">
            <v>0.72</v>
          </cell>
          <cell r="AC240">
            <v>34.299999999999997</v>
          </cell>
          <cell r="AD240">
            <v>1.17</v>
          </cell>
          <cell r="AE240" t="str">
            <v>177,8;114,3</v>
          </cell>
          <cell r="AF240" t="str">
            <v>9,19; 7,4</v>
          </cell>
          <cell r="AG240" t="str">
            <v>2503;
2350-3269</v>
          </cell>
          <cell r="AH240">
            <v>3270</v>
          </cell>
          <cell r="AI240">
            <v>3270</v>
          </cell>
          <cell r="AM240" t="str">
            <v>Закрытый</v>
          </cell>
          <cell r="AN240" t="str">
            <v>2622-2623; 2804-2805; 2945-2946; 3077-3078; 3219-3220</v>
          </cell>
          <cell r="AO240">
            <v>48.32</v>
          </cell>
          <cell r="AP240">
            <v>2622</v>
          </cell>
          <cell r="AQ240">
            <v>1843</v>
          </cell>
          <cell r="AU240" t="str">
            <v>Газлифт</v>
          </cell>
          <cell r="AV240">
            <v>289.99999174800001</v>
          </cell>
          <cell r="AW240" t="str">
            <v>ГП</v>
          </cell>
          <cell r="AX240">
            <v>519.99999931599996</v>
          </cell>
          <cell r="AY240" t="str">
            <v>ГП</v>
          </cell>
          <cell r="AZ240">
            <v>834.99997207000001</v>
          </cell>
          <cell r="BA240" t="str">
            <v>ГП</v>
          </cell>
          <cell r="BB240">
            <v>1189.9999962889999</v>
          </cell>
          <cell r="BC240" t="str">
            <v>ГК 82 1/8</v>
          </cell>
          <cell r="BD240">
            <v>1524.9999761720001</v>
          </cell>
          <cell r="BE240" t="str">
            <v>ГК 79 5/32</v>
          </cell>
          <cell r="BF240" t="str">
            <v>-</v>
          </cell>
          <cell r="BG240" t="str">
            <v>-</v>
          </cell>
          <cell r="BH240">
            <v>1840</v>
          </cell>
          <cell r="BI240" t="str">
            <v>открыт</v>
          </cell>
        </row>
        <row r="241">
          <cell r="J241" t="str">
            <v>1131-1</v>
          </cell>
          <cell r="K241" t="str">
            <v>К-12</v>
          </cell>
          <cell r="L241">
            <v>41757</v>
          </cell>
          <cell r="M241" t="str">
            <v>Гор.</v>
          </cell>
          <cell r="N241" t="str">
            <v>P4+5+6_Block1_yug</v>
          </cell>
          <cell r="O241" t="str">
            <v>Действующий</v>
          </cell>
          <cell r="P241" t="str">
            <v>В работе</v>
          </cell>
          <cell r="Q241">
            <v>-4</v>
          </cell>
          <cell r="U241">
            <v>203</v>
          </cell>
          <cell r="V241">
            <v>218.2</v>
          </cell>
          <cell r="W241">
            <v>0.98</v>
          </cell>
          <cell r="X241">
            <v>1.66</v>
          </cell>
          <cell r="Y241">
            <v>0.98088397736755528</v>
          </cell>
          <cell r="Z241">
            <v>1.454</v>
          </cell>
          <cell r="AA241">
            <v>0.83599999999999997</v>
          </cell>
          <cell r="AB241">
            <v>0.72</v>
          </cell>
          <cell r="AC241">
            <v>34.299999999999997</v>
          </cell>
          <cell r="AD241">
            <v>1.17</v>
          </cell>
          <cell r="AE241">
            <v>177.8</v>
          </cell>
          <cell r="AF241">
            <v>9.19</v>
          </cell>
          <cell r="AG241">
            <v>2114</v>
          </cell>
          <cell r="AH241">
            <v>2900</v>
          </cell>
          <cell r="AI241">
            <v>2900</v>
          </cell>
          <cell r="AM241" t="str">
            <v>открытый</v>
          </cell>
          <cell r="AN241" t="str">
            <v>2114-2900</v>
          </cell>
          <cell r="AO241">
            <v>17</v>
          </cell>
          <cell r="AP241">
            <v>2114</v>
          </cell>
          <cell r="AQ241">
            <v>278.43</v>
          </cell>
          <cell r="AU241" t="str">
            <v>Газлифт</v>
          </cell>
          <cell r="AV241">
            <v>543.00000937499999</v>
          </cell>
          <cell r="AW241" t="str">
            <v>ГП</v>
          </cell>
          <cell r="AX241">
            <v>1109.999967773</v>
          </cell>
          <cell r="AY241" t="str">
            <v>ГП</v>
          </cell>
          <cell r="AZ241">
            <v>1636.0000101559999</v>
          </cell>
          <cell r="BA241" t="str">
            <v>ГК 85 1/8</v>
          </cell>
          <cell r="BB241">
            <v>1972.0000406250001</v>
          </cell>
          <cell r="BC241" t="str">
            <v>ЦКсОК 51/6</v>
          </cell>
          <cell r="BD241" t="str">
            <v>-</v>
          </cell>
          <cell r="BE241" t="str">
            <v>-</v>
          </cell>
          <cell r="BF241" t="str">
            <v>-</v>
          </cell>
          <cell r="BG241" t="str">
            <v>-</v>
          </cell>
          <cell r="BH241">
            <v>1982</v>
          </cell>
          <cell r="BI241" t="str">
            <v>закрыт</v>
          </cell>
        </row>
        <row r="242">
          <cell r="J242" t="str">
            <v>1131-2</v>
          </cell>
          <cell r="K242" t="str">
            <v>К-12</v>
          </cell>
          <cell r="L242">
            <v>41517</v>
          </cell>
          <cell r="M242" t="str">
            <v>Гор.</v>
          </cell>
          <cell r="N242" t="str">
            <v>P4+5+6_Block1_yug</v>
          </cell>
          <cell r="O242" t="str">
            <v>Действующий</v>
          </cell>
          <cell r="P242" t="str">
            <v>В работе</v>
          </cell>
          <cell r="Q242">
            <v>-4</v>
          </cell>
          <cell r="R242" t="str">
            <v xml:space="preserve"> </v>
          </cell>
          <cell r="S242" t="str">
            <v xml:space="preserve"> </v>
          </cell>
          <cell r="U242">
            <v>203</v>
          </cell>
          <cell r="V242">
            <v>218.2</v>
          </cell>
          <cell r="W242">
            <v>0.98</v>
          </cell>
          <cell r="X242">
            <v>1.66</v>
          </cell>
          <cell r="Y242">
            <v>1.3014816474127169</v>
          </cell>
          <cell r="Z242">
            <v>1.454</v>
          </cell>
          <cell r="AA242">
            <v>0.83599999999999997</v>
          </cell>
          <cell r="AB242">
            <v>0.72</v>
          </cell>
          <cell r="AC242">
            <v>34.299999999999997</v>
          </cell>
          <cell r="AD242">
            <v>1.17</v>
          </cell>
          <cell r="AE242">
            <v>177.8</v>
          </cell>
          <cell r="AF242">
            <v>9.19</v>
          </cell>
          <cell r="AG242">
            <v>2219</v>
          </cell>
          <cell r="AH242">
            <v>2805</v>
          </cell>
          <cell r="AI242">
            <v>2805</v>
          </cell>
          <cell r="AM242" t="str">
            <v>откр.ствол / закрытый</v>
          </cell>
          <cell r="AN242" t="str">
            <v xml:space="preserve">2064-2072; 2100-2108; 2130-2140; 2152-2172 ; 2219-2805 </v>
          </cell>
          <cell r="AO242">
            <v>21</v>
          </cell>
          <cell r="AP242">
            <v>2064</v>
          </cell>
          <cell r="AQ242">
            <v>289.62</v>
          </cell>
          <cell r="AU242" t="str">
            <v>Газлифт</v>
          </cell>
          <cell r="AV242">
            <v>510.00001435500002</v>
          </cell>
          <cell r="AW242" t="str">
            <v>ГП</v>
          </cell>
          <cell r="AX242">
            <v>905.00001562499995</v>
          </cell>
          <cell r="AY242" t="str">
            <v>ГП</v>
          </cell>
          <cell r="AZ242">
            <v>1205.0000109380001</v>
          </cell>
          <cell r="BA242" t="str">
            <v>ГК 87 1/8</v>
          </cell>
          <cell r="BB242">
            <v>1524.9999761720001</v>
          </cell>
          <cell r="BC242" t="str">
            <v>ГК 86 1/8</v>
          </cell>
          <cell r="BD242">
            <v>1790.0000613279999</v>
          </cell>
          <cell r="BE242" t="str">
            <v>ГК 86 1/4</v>
          </cell>
          <cell r="BF242">
            <v>1900</v>
          </cell>
          <cell r="BG242" t="str">
            <v>ЦКсОК 5/16</v>
          </cell>
          <cell r="BH242">
            <v>1910</v>
          </cell>
          <cell r="BI242" t="str">
            <v xml:space="preserve">открыт </v>
          </cell>
        </row>
        <row r="243">
          <cell r="J243">
            <v>1134</v>
          </cell>
          <cell r="K243" t="str">
            <v>К-55</v>
          </cell>
          <cell r="L243">
            <v>42014</v>
          </cell>
          <cell r="M243" t="str">
            <v>Гор.</v>
          </cell>
          <cell r="N243" t="str">
            <v>Р4+5+6_Block2</v>
          </cell>
          <cell r="O243" t="str">
            <v>Действующий</v>
          </cell>
          <cell r="P243" t="str">
            <v>В работе</v>
          </cell>
          <cell r="Q243">
            <v>-4</v>
          </cell>
          <cell r="U243">
            <v>203</v>
          </cell>
          <cell r="V243">
            <v>218.2</v>
          </cell>
          <cell r="W243">
            <v>0.98</v>
          </cell>
          <cell r="X243">
            <v>1.66</v>
          </cell>
          <cell r="Y243">
            <v>0.98040161029819439</v>
          </cell>
          <cell r="Z243">
            <v>1.454</v>
          </cell>
          <cell r="AA243">
            <v>0.83599999999999997</v>
          </cell>
          <cell r="AB243">
            <v>0.72</v>
          </cell>
          <cell r="AC243">
            <v>34.299999999999997</v>
          </cell>
          <cell r="AD243">
            <v>1.17</v>
          </cell>
          <cell r="AE243">
            <v>177.8</v>
          </cell>
          <cell r="AF243">
            <v>9.19</v>
          </cell>
          <cell r="AG243">
            <v>2255</v>
          </cell>
          <cell r="AH243">
            <v>2880</v>
          </cell>
          <cell r="AI243">
            <v>2880</v>
          </cell>
          <cell r="AM243" t="str">
            <v>открытый</v>
          </cell>
          <cell r="AN243" t="str">
            <v>2255-2880</v>
          </cell>
          <cell r="AO243">
            <v>65.13</v>
          </cell>
          <cell r="AP243">
            <v>2255</v>
          </cell>
          <cell r="AQ243">
            <v>337.5</v>
          </cell>
          <cell r="AU243" t="str">
            <v>Газлифт</v>
          </cell>
          <cell r="AV243">
            <v>405.99999960899999</v>
          </cell>
          <cell r="AW243" t="str">
            <v>ГП</v>
          </cell>
          <cell r="AX243">
            <v>865.00000136699998</v>
          </cell>
          <cell r="AY243" t="str">
            <v>ГП</v>
          </cell>
          <cell r="AZ243">
            <v>1307.9999378909999</v>
          </cell>
          <cell r="BA243" t="str">
            <v>ГК 78 1/8</v>
          </cell>
          <cell r="BB243">
            <v>1686.000009375</v>
          </cell>
          <cell r="BC243" t="str">
            <v>ГК 78 5/32</v>
          </cell>
          <cell r="BD243">
            <v>1994.9999390630001</v>
          </cell>
          <cell r="BE243" t="str">
            <v>ЦКсОК 5/16</v>
          </cell>
          <cell r="BF243" t="str">
            <v>-</v>
          </cell>
          <cell r="BG243" t="str">
            <v>-</v>
          </cell>
          <cell r="BH243">
            <v>1950</v>
          </cell>
          <cell r="BI243" t="str">
            <v xml:space="preserve">открыт </v>
          </cell>
        </row>
        <row r="244">
          <cell r="J244">
            <v>1135</v>
          </cell>
          <cell r="K244" t="str">
            <v>К-7</v>
          </cell>
          <cell r="L244">
            <v>41423</v>
          </cell>
          <cell r="M244" t="str">
            <v>Гор.</v>
          </cell>
          <cell r="N244" t="str">
            <v>P4+5+6_Block1_yug</v>
          </cell>
          <cell r="O244" t="str">
            <v>Действующий</v>
          </cell>
          <cell r="P244" t="str">
            <v>В работе</v>
          </cell>
          <cell r="Q244">
            <v>-4</v>
          </cell>
          <cell r="U244">
            <v>203</v>
          </cell>
          <cell r="V244">
            <v>218.2</v>
          </cell>
          <cell r="W244">
            <v>0.98</v>
          </cell>
          <cell r="X244">
            <v>1.66</v>
          </cell>
          <cell r="Y244">
            <v>1.0501174830230575</v>
          </cell>
          <cell r="Z244">
            <v>1.454</v>
          </cell>
          <cell r="AA244">
            <v>0.83599999999999997</v>
          </cell>
          <cell r="AB244">
            <v>0.72</v>
          </cell>
          <cell r="AC244">
            <v>34.299999999999997</v>
          </cell>
          <cell r="AD244">
            <v>1.17</v>
          </cell>
          <cell r="AE244">
            <v>177.8</v>
          </cell>
          <cell r="AF244">
            <v>9.19</v>
          </cell>
          <cell r="AG244">
            <v>2290</v>
          </cell>
          <cell r="AH244" t="str">
            <v>1 ств 2750
1 ств 2700</v>
          </cell>
          <cell r="AI244">
            <v>2250</v>
          </cell>
          <cell r="AM244" t="str">
            <v>открытый</v>
          </cell>
          <cell r="AN244" t="str">
            <v>2150-2182
2192-2220</v>
          </cell>
          <cell r="AO244">
            <v>51.2</v>
          </cell>
          <cell r="AP244">
            <v>2150</v>
          </cell>
          <cell r="AQ244">
            <v>418.5</v>
          </cell>
          <cell r="AU244" t="str">
            <v>Газлифт</v>
          </cell>
          <cell r="AV244">
            <v>519.99999931599996</v>
          </cell>
          <cell r="AW244" t="str">
            <v>ГП</v>
          </cell>
          <cell r="AX244">
            <v>920.00003027299999</v>
          </cell>
          <cell r="AY244" t="str">
            <v>ГК 84 1/8</v>
          </cell>
          <cell r="AZ244">
            <v>1245.000025195</v>
          </cell>
          <cell r="BA244" t="str">
            <v>ГК 82 1/8</v>
          </cell>
          <cell r="BB244">
            <v>1530.0000058590001</v>
          </cell>
          <cell r="BC244" t="str">
            <v>ГК 81 1/8</v>
          </cell>
          <cell r="BD244">
            <v>1730.000002734</v>
          </cell>
          <cell r="BE244" t="str">
            <v>ЦКсОК 5/16</v>
          </cell>
          <cell r="BF244" t="str">
            <v>-</v>
          </cell>
          <cell r="BG244" t="str">
            <v>-</v>
          </cell>
          <cell r="BH244">
            <v>1740</v>
          </cell>
          <cell r="BI244" t="str">
            <v>закрыт</v>
          </cell>
        </row>
        <row r="245">
          <cell r="J245" t="str">
            <v>1135-2</v>
          </cell>
          <cell r="K245" t="str">
            <v>К-7</v>
          </cell>
          <cell r="L245">
            <v>41582</v>
          </cell>
          <cell r="M245" t="str">
            <v>Гор.</v>
          </cell>
          <cell r="N245" t="str">
            <v>P4+5+6_Block1_yug</v>
          </cell>
          <cell r="O245" t="str">
            <v>Действующий</v>
          </cell>
          <cell r="P245" t="str">
            <v>В работе</v>
          </cell>
          <cell r="Q245">
            <v>-4</v>
          </cell>
          <cell r="R245" t="str">
            <v xml:space="preserve"> </v>
          </cell>
          <cell r="S245" t="str">
            <v xml:space="preserve"> </v>
          </cell>
          <cell r="U245">
            <v>203</v>
          </cell>
          <cell r="V245">
            <v>218.2</v>
          </cell>
          <cell r="W245">
            <v>0.98</v>
          </cell>
          <cell r="X245">
            <v>1.66</v>
          </cell>
          <cell r="Y245">
            <v>1.23726833542232</v>
          </cell>
          <cell r="Z245">
            <v>1.454</v>
          </cell>
          <cell r="AA245">
            <v>0.83599999999999997</v>
          </cell>
          <cell r="AB245">
            <v>0.72</v>
          </cell>
          <cell r="AC245">
            <v>34.299999999999997</v>
          </cell>
          <cell r="AD245">
            <v>1.17</v>
          </cell>
          <cell r="AE245" t="str">
            <v>177,8;114,3</v>
          </cell>
          <cell r="AF245" t="str">
            <v>9,19; 6,14</v>
          </cell>
          <cell r="AG245" t="str">
            <v>2020;
2045,34</v>
          </cell>
          <cell r="AH245">
            <v>2812</v>
          </cell>
          <cell r="AI245">
            <v>2812</v>
          </cell>
          <cell r="AM245" t="str">
            <v>открытый</v>
          </cell>
          <cell r="AN245" t="str">
            <v>2045,3-2812</v>
          </cell>
          <cell r="AO245">
            <v>17.100000000000001</v>
          </cell>
          <cell r="AP245">
            <v>2045.34</v>
          </cell>
          <cell r="AQ245">
            <v>184.8</v>
          </cell>
          <cell r="AU245" t="str">
            <v>Газлифт</v>
          </cell>
          <cell r="AV245">
            <v>540.00000644500005</v>
          </cell>
          <cell r="AW245" t="str">
            <v>ГП</v>
          </cell>
          <cell r="AX245">
            <v>1043.9999777339999</v>
          </cell>
          <cell r="AY245" t="str">
            <v>ГК 87 1/8</v>
          </cell>
          <cell r="AZ245">
            <v>1467.00001875</v>
          </cell>
          <cell r="BA245" t="str">
            <v>ГК 86 1/8</v>
          </cell>
          <cell r="BB245">
            <v>1730.000002734</v>
          </cell>
          <cell r="BC245" t="str">
            <v>ЦКсОК 5/16</v>
          </cell>
          <cell r="BD245" t="str">
            <v>-</v>
          </cell>
          <cell r="BE245" t="str">
            <v>-</v>
          </cell>
          <cell r="BF245" t="str">
            <v>-</v>
          </cell>
          <cell r="BG245" t="str">
            <v>-</v>
          </cell>
          <cell r="BH245">
            <v>1758</v>
          </cell>
          <cell r="BI245" t="str">
            <v>закрыт</v>
          </cell>
        </row>
        <row r="246">
          <cell r="J246">
            <v>1136</v>
          </cell>
          <cell r="K246" t="str">
            <v>К-12</v>
          </cell>
          <cell r="L246">
            <v>41670</v>
          </cell>
          <cell r="M246" t="str">
            <v>Гор.</v>
          </cell>
          <cell r="N246" t="str">
            <v>P4+5+6_Block1_yug</v>
          </cell>
          <cell r="O246" t="str">
            <v>Действующий</v>
          </cell>
          <cell r="P246" t="str">
            <v>Остановлена</v>
          </cell>
          <cell r="Q246">
            <v>-4</v>
          </cell>
          <cell r="R246" t="str">
            <v xml:space="preserve"> </v>
          </cell>
          <cell r="S246" t="str">
            <v xml:space="preserve"> </v>
          </cell>
          <cell r="U246">
            <v>203</v>
          </cell>
          <cell r="V246">
            <v>218.2</v>
          </cell>
          <cell r="W246">
            <v>0.98</v>
          </cell>
          <cell r="X246">
            <v>1.66</v>
          </cell>
          <cell r="Y246">
            <v>0.98172926287026052</v>
          </cell>
          <cell r="Z246">
            <v>1.454</v>
          </cell>
          <cell r="AA246">
            <v>0.83599999999999997</v>
          </cell>
          <cell r="AB246">
            <v>0.72</v>
          </cell>
          <cell r="AC246">
            <v>34.299999999999997</v>
          </cell>
          <cell r="AD246">
            <v>1.17</v>
          </cell>
          <cell r="AE246">
            <v>177.8</v>
          </cell>
          <cell r="AF246">
            <v>9.19</v>
          </cell>
          <cell r="AG246">
            <v>2108</v>
          </cell>
          <cell r="AH246">
            <v>2547.3000000000002</v>
          </cell>
          <cell r="AI246">
            <v>2547.3000000000002</v>
          </cell>
          <cell r="AM246" t="str">
            <v>закрытый</v>
          </cell>
          <cell r="AN246" t="str">
            <v xml:space="preserve">2199,14-2199,89; 2272,44-2273,19; 2355,99-2356,74; 2474,77-2475,52; 2523,11-2524,21; </v>
          </cell>
          <cell r="AO246">
            <v>4.99</v>
          </cell>
          <cell r="AP246">
            <v>2199.14</v>
          </cell>
          <cell r="AQ246">
            <v>330.09</v>
          </cell>
          <cell r="AR246" t="str">
            <v>2018-2548</v>
          </cell>
          <cell r="AS246">
            <v>114.3</v>
          </cell>
          <cell r="AT246">
            <v>7.4</v>
          </cell>
          <cell r="AU246" t="str">
            <v>Газлифт</v>
          </cell>
          <cell r="AV246">
            <v>549.99999140600005</v>
          </cell>
          <cell r="AW246" t="str">
            <v>ГП</v>
          </cell>
          <cell r="AX246">
            <v>1039.9999986329999</v>
          </cell>
          <cell r="AY246" t="str">
            <v>ГП</v>
          </cell>
          <cell r="AZ246">
            <v>1444.9999476559999</v>
          </cell>
          <cell r="BA246" t="str">
            <v>ГК 82 1/8</v>
          </cell>
          <cell r="BB246">
            <v>1755.000002344</v>
          </cell>
          <cell r="BC246" t="str">
            <v>ГК 81 1/8</v>
          </cell>
          <cell r="BD246">
            <v>1924.999969922</v>
          </cell>
          <cell r="BE246" t="str">
            <v>ЦКсОК 5/16</v>
          </cell>
          <cell r="BF246" t="str">
            <v>-</v>
          </cell>
          <cell r="BG246" t="str">
            <v>-</v>
          </cell>
          <cell r="BH246">
            <v>1935</v>
          </cell>
          <cell r="BI246" t="str">
            <v>закрыт</v>
          </cell>
        </row>
        <row r="247">
          <cell r="J247">
            <v>1538</v>
          </cell>
          <cell r="K247" t="str">
            <v>К-66</v>
          </cell>
          <cell r="L247">
            <v>43096</v>
          </cell>
          <cell r="M247" t="str">
            <v>Гор.</v>
          </cell>
          <cell r="N247" t="str">
            <v>P4+5+6_Block1_yug</v>
          </cell>
          <cell r="O247" t="str">
            <v>Действующий</v>
          </cell>
          <cell r="P247" t="str">
            <v>В работе</v>
          </cell>
          <cell r="Q247">
            <v>-4</v>
          </cell>
          <cell r="R247">
            <v>43087</v>
          </cell>
          <cell r="S247" t="str">
            <v>МеКаМиНефть</v>
          </cell>
          <cell r="T247" t="str">
            <v>КГРП 7ст.
450м3 15% HCl</v>
          </cell>
          <cell r="U247">
            <v>203</v>
          </cell>
          <cell r="V247">
            <v>218.2</v>
          </cell>
          <cell r="W247">
            <v>0.98</v>
          </cell>
          <cell r="X247">
            <v>1.66</v>
          </cell>
          <cell r="Y247">
            <v>0.98056234659877228</v>
          </cell>
          <cell r="Z247">
            <v>1.454</v>
          </cell>
          <cell r="AA247">
            <v>0.83599999999999997</v>
          </cell>
          <cell r="AB247">
            <v>0.72</v>
          </cell>
          <cell r="AC247">
            <v>34.299999999999997</v>
          </cell>
          <cell r="AD247">
            <v>1.17</v>
          </cell>
          <cell r="AE247">
            <v>177.8</v>
          </cell>
          <cell r="AF247">
            <v>9.19</v>
          </cell>
          <cell r="AG247">
            <v>2163.6999999999998</v>
          </cell>
          <cell r="AH247">
            <v>3060</v>
          </cell>
          <cell r="AI247">
            <v>3058</v>
          </cell>
          <cell r="AJ247">
            <v>43072</v>
          </cell>
          <cell r="AK247" t="str">
            <v>По спущенной компановке</v>
          </cell>
          <cell r="AM247" t="str">
            <v>Закрытый</v>
          </cell>
          <cell r="AN247" t="str">
            <v xml:space="preserve">2373,1-2374,5; 2457,77-2459,17; 2532,47-2533,87; 2618,68-2620,08; 2704,84-2706,24; 2779,51-2780,91; 2872,38-2873,78; 2962,53-2963,93; 3035,59-3036,81 </v>
          </cell>
          <cell r="AO247">
            <v>12.42</v>
          </cell>
          <cell r="AP247">
            <v>2373.1</v>
          </cell>
          <cell r="AQ247">
            <v>523.95000000000005</v>
          </cell>
          <cell r="AR247" t="str">
            <v>2109-3058</v>
          </cell>
          <cell r="AS247">
            <v>114</v>
          </cell>
          <cell r="AT247">
            <v>7.37</v>
          </cell>
          <cell r="AU247" t="str">
            <v>Газлифт</v>
          </cell>
          <cell r="AV247">
            <v>440.00000800800001</v>
          </cell>
          <cell r="AW247" t="str">
            <v>ГК 70 1/8</v>
          </cell>
          <cell r="AX247">
            <v>859.99997168000004</v>
          </cell>
          <cell r="AY247" t="str">
            <v>ГК 71 1/8</v>
          </cell>
          <cell r="AZ247">
            <v>1220.000025586</v>
          </cell>
          <cell r="BA247" t="str">
            <v>ГК 71 1/8</v>
          </cell>
          <cell r="BB247">
            <v>1519.999946484</v>
          </cell>
          <cell r="BC247" t="str">
            <v>ГК 69 5/32</v>
          </cell>
          <cell r="BD247">
            <v>1830.0000011720001</v>
          </cell>
          <cell r="BE247" t="str">
            <v>ЦКсОК 5/16</v>
          </cell>
          <cell r="BF247" t="str">
            <v>-</v>
          </cell>
          <cell r="BG247" t="str">
            <v>-</v>
          </cell>
          <cell r="BH247">
            <v>1840</v>
          </cell>
          <cell r="BI247" t="str">
            <v>закрыт</v>
          </cell>
        </row>
        <row r="248">
          <cell r="J248" t="str">
            <v>1136-2</v>
          </cell>
          <cell r="K248" t="str">
            <v>К-14</v>
          </cell>
          <cell r="L248">
            <v>43584</v>
          </cell>
          <cell r="M248" t="str">
            <v>Гор.</v>
          </cell>
          <cell r="N248" t="str">
            <v>P4+5+6_Block1_yug</v>
          </cell>
          <cell r="O248" t="str">
            <v>Действующий</v>
          </cell>
          <cell r="P248" t="str">
            <v>В работе</v>
          </cell>
          <cell r="Q248">
            <v>-4</v>
          </cell>
          <cell r="U248">
            <v>203</v>
          </cell>
          <cell r="V248">
            <v>218.2</v>
          </cell>
          <cell r="W248">
            <v>0.98</v>
          </cell>
          <cell r="X248">
            <v>1.66</v>
          </cell>
          <cell r="Y248">
            <v>0.98</v>
          </cell>
          <cell r="Z248">
            <v>1.454</v>
          </cell>
          <cell r="AA248">
            <v>0.83599999999999997</v>
          </cell>
          <cell r="AB248">
            <v>0.72</v>
          </cell>
          <cell r="AC248">
            <v>34.299999999999997</v>
          </cell>
          <cell r="AD248">
            <v>1.17</v>
          </cell>
          <cell r="AE248">
            <v>177.8</v>
          </cell>
          <cell r="AF248">
            <v>9.19</v>
          </cell>
          <cell r="AG248">
            <v>2143</v>
          </cell>
          <cell r="AH248">
            <v>2764</v>
          </cell>
          <cell r="AI248">
            <v>2764</v>
          </cell>
          <cell r="AM248" t="str">
            <v>Закрытый</v>
          </cell>
          <cell r="AN248" t="str">
            <v xml:space="preserve">2679,56-2680,76;2552,68-2553,88;2446,34-2447,54;2338,80-2340;2266,24-2267,44. </v>
          </cell>
          <cell r="AO248">
            <v>87.31</v>
          </cell>
          <cell r="AP248">
            <v>2679.56</v>
          </cell>
          <cell r="AQ248">
            <v>95.4</v>
          </cell>
          <cell r="AR248" t="str">
            <v>2650-2275</v>
          </cell>
          <cell r="AS248">
            <v>114</v>
          </cell>
          <cell r="AT248">
            <v>7.37</v>
          </cell>
          <cell r="AU248" t="str">
            <v>Газлифт</v>
          </cell>
          <cell r="AV248">
            <v>549.99999140600005</v>
          </cell>
          <cell r="AW248" t="str">
            <v>ГП</v>
          </cell>
          <cell r="AX248">
            <v>970.00002949199995</v>
          </cell>
          <cell r="AY248" t="str">
            <v>ГП</v>
          </cell>
          <cell r="AZ248">
            <v>1280.0000097659999</v>
          </cell>
          <cell r="BA248" t="str">
            <v>ГК 81 1/8</v>
          </cell>
          <cell r="BB248">
            <v>1540.000065234</v>
          </cell>
          <cell r="BC248" t="str">
            <v>ГК 80 1/8</v>
          </cell>
          <cell r="BD248">
            <v>1790.0000613279999</v>
          </cell>
          <cell r="BE248" t="str">
            <v>ЦКсОК 5/16</v>
          </cell>
          <cell r="BF248" t="str">
            <v>-</v>
          </cell>
          <cell r="BG248" t="str">
            <v>-</v>
          </cell>
          <cell r="BH248" t="str">
            <v>-</v>
          </cell>
          <cell r="BI248" t="str">
            <v>-</v>
          </cell>
        </row>
        <row r="249">
          <cell r="J249">
            <v>1141</v>
          </cell>
          <cell r="K249" t="str">
            <v>К-3</v>
          </cell>
          <cell r="L249">
            <v>41512</v>
          </cell>
          <cell r="M249" t="str">
            <v>Гор.</v>
          </cell>
          <cell r="N249" t="str">
            <v>P4+5+6_Block1_yug</v>
          </cell>
          <cell r="O249" t="str">
            <v>Действующий</v>
          </cell>
          <cell r="P249" t="str">
            <v>Остановлена</v>
          </cell>
          <cell r="Q249">
            <v>-4</v>
          </cell>
          <cell r="R249" t="str">
            <v xml:space="preserve"> </v>
          </cell>
          <cell r="S249" t="str">
            <v xml:space="preserve"> </v>
          </cell>
          <cell r="U249">
            <v>203</v>
          </cell>
          <cell r="V249">
            <v>218.2</v>
          </cell>
          <cell r="W249">
            <v>0.98</v>
          </cell>
          <cell r="X249">
            <v>1.66</v>
          </cell>
          <cell r="Y249">
            <v>1.1494642710779865</v>
          </cell>
          <cell r="Z249">
            <v>1.454</v>
          </cell>
          <cell r="AA249">
            <v>0.83599999999999997</v>
          </cell>
          <cell r="AB249">
            <v>0.72</v>
          </cell>
          <cell r="AC249">
            <v>34.299999999999997</v>
          </cell>
          <cell r="AD249">
            <v>1.17</v>
          </cell>
          <cell r="AE249">
            <v>177.8</v>
          </cell>
          <cell r="AF249">
            <v>8.0500000000000007</v>
          </cell>
          <cell r="AG249">
            <v>2202</v>
          </cell>
          <cell r="AH249">
            <v>2998</v>
          </cell>
          <cell r="AI249">
            <v>2998</v>
          </cell>
          <cell r="AM249" t="str">
            <v>открытый</v>
          </cell>
          <cell r="AN249" t="str">
            <v>2202-2998</v>
          </cell>
          <cell r="AO249">
            <v>18</v>
          </cell>
          <cell r="AP249">
            <v>2202</v>
          </cell>
          <cell r="AQ249">
            <v>386</v>
          </cell>
          <cell r="AU249" t="str">
            <v>ЭЦН</v>
          </cell>
          <cell r="AV249">
            <v>300</v>
          </cell>
          <cell r="AW249" t="str">
            <v>ГП</v>
          </cell>
          <cell r="AX249" t="str">
            <v>-</v>
          </cell>
          <cell r="AY249" t="str">
            <v>-</v>
          </cell>
          <cell r="AZ249" t="str">
            <v>-</v>
          </cell>
          <cell r="BA249" t="str">
            <v>-</v>
          </cell>
          <cell r="BB249" t="str">
            <v>-</v>
          </cell>
          <cell r="BC249" t="str">
            <v>-</v>
          </cell>
          <cell r="BD249" t="str">
            <v>-</v>
          </cell>
          <cell r="BE249" t="str">
            <v>-</v>
          </cell>
          <cell r="BF249" t="str">
            <v>-</v>
          </cell>
          <cell r="BG249" t="str">
            <v>-</v>
          </cell>
          <cell r="BH249">
            <v>1460</v>
          </cell>
          <cell r="BI249" t="str">
            <v>закрыт</v>
          </cell>
          <cell r="BK249" t="str">
            <v xml:space="preserve">D800N </v>
          </cell>
          <cell r="BM249">
            <v>1249</v>
          </cell>
          <cell r="BN249">
            <v>55</v>
          </cell>
          <cell r="BO249">
            <v>63</v>
          </cell>
        </row>
        <row r="250">
          <cell r="J250" t="str">
            <v>1145-2</v>
          </cell>
          <cell r="K250" t="str">
            <v>К-3</v>
          </cell>
          <cell r="L250">
            <v>41718</v>
          </cell>
          <cell r="M250" t="str">
            <v>Гор.</v>
          </cell>
          <cell r="N250" t="str">
            <v>P4+5+6_Block1_yug</v>
          </cell>
          <cell r="O250" t="str">
            <v>Действующий</v>
          </cell>
          <cell r="P250" t="str">
            <v>В работе</v>
          </cell>
          <cell r="Q250">
            <v>-4</v>
          </cell>
          <cell r="R250" t="str">
            <v xml:space="preserve"> </v>
          </cell>
          <cell r="S250" t="str">
            <v xml:space="preserve"> </v>
          </cell>
          <cell r="U250">
            <v>203</v>
          </cell>
          <cell r="V250">
            <v>218.2</v>
          </cell>
          <cell r="W250">
            <v>0.98</v>
          </cell>
          <cell r="X250">
            <v>1.66</v>
          </cell>
          <cell r="Y250">
            <v>1.0144927536231885</v>
          </cell>
          <cell r="Z250">
            <v>1.454</v>
          </cell>
          <cell r="AA250">
            <v>0.83599999999999997</v>
          </cell>
          <cell r="AB250">
            <v>0.72</v>
          </cell>
          <cell r="AC250">
            <v>34.299999999999997</v>
          </cell>
          <cell r="AD250">
            <v>1.17</v>
          </cell>
          <cell r="AE250">
            <v>177.8</v>
          </cell>
          <cell r="AF250">
            <v>9.19</v>
          </cell>
          <cell r="AG250">
            <v>1918</v>
          </cell>
          <cell r="AH250">
            <v>2433</v>
          </cell>
          <cell r="AI250">
            <v>2433</v>
          </cell>
          <cell r="AM250" t="str">
            <v>открытый</v>
          </cell>
          <cell r="AN250" t="str">
            <v xml:space="preserve">1918-2433 </v>
          </cell>
          <cell r="AO250">
            <v>25</v>
          </cell>
          <cell r="AP250">
            <v>1918</v>
          </cell>
          <cell r="AQ250">
            <v>134.51</v>
          </cell>
          <cell r="AU250" t="str">
            <v>Фон.</v>
          </cell>
          <cell r="AV250">
            <v>687</v>
          </cell>
          <cell r="AW250" t="str">
            <v>ГП</v>
          </cell>
          <cell r="AX250">
            <v>1180</v>
          </cell>
          <cell r="AY250" t="str">
            <v>ГП</v>
          </cell>
          <cell r="AZ250">
            <v>1734</v>
          </cell>
          <cell r="BA250" t="str">
            <v>ЦКсОК 5/16</v>
          </cell>
          <cell r="BB250" t="str">
            <v>-</v>
          </cell>
          <cell r="BC250" t="str">
            <v>-</v>
          </cell>
          <cell r="BD250" t="str">
            <v>-</v>
          </cell>
          <cell r="BE250" t="str">
            <v>-</v>
          </cell>
          <cell r="BF250" t="str">
            <v>-</v>
          </cell>
          <cell r="BG250" t="str">
            <v>-</v>
          </cell>
          <cell r="BH250">
            <v>1746</v>
          </cell>
          <cell r="BI250" t="str">
            <v>закрыт</v>
          </cell>
        </row>
        <row r="251">
          <cell r="J251" t="str">
            <v>1145-1</v>
          </cell>
          <cell r="K251" t="str">
            <v>К-3</v>
          </cell>
          <cell r="L251">
            <v>41822</v>
          </cell>
          <cell r="M251" t="str">
            <v>Гор.</v>
          </cell>
          <cell r="N251" t="str">
            <v>P4+5+6_Block1_yug</v>
          </cell>
          <cell r="O251" t="str">
            <v>Действующий</v>
          </cell>
          <cell r="P251" t="str">
            <v>В работе</v>
          </cell>
          <cell r="Q251">
            <v>-4</v>
          </cell>
          <cell r="R251" t="str">
            <v xml:space="preserve"> </v>
          </cell>
          <cell r="S251" t="str">
            <v xml:space="preserve"> </v>
          </cell>
          <cell r="U251">
            <v>203</v>
          </cell>
          <cell r="V251">
            <v>218.2</v>
          </cell>
          <cell r="W251">
            <v>0.98</v>
          </cell>
          <cell r="X251">
            <v>1.66</v>
          </cell>
          <cell r="Y251">
            <v>0.98</v>
          </cell>
          <cell r="Z251">
            <v>1.454</v>
          </cell>
          <cell r="AA251">
            <v>0.83599999999999997</v>
          </cell>
          <cell r="AB251">
            <v>0.72</v>
          </cell>
          <cell r="AC251">
            <v>34.299999999999997</v>
          </cell>
          <cell r="AD251">
            <v>1.17</v>
          </cell>
          <cell r="AE251">
            <v>177.8</v>
          </cell>
          <cell r="AF251">
            <v>9.19</v>
          </cell>
          <cell r="AG251">
            <v>2001</v>
          </cell>
          <cell r="AH251">
            <v>2665</v>
          </cell>
          <cell r="AI251">
            <v>2665</v>
          </cell>
          <cell r="AM251" t="str">
            <v>открытый</v>
          </cell>
          <cell r="AN251" t="str">
            <v>2001-2665</v>
          </cell>
          <cell r="AO251">
            <v>14</v>
          </cell>
          <cell r="AP251">
            <v>2001</v>
          </cell>
          <cell r="AQ251">
            <v>181.1</v>
          </cell>
          <cell r="AU251" t="str">
            <v>Газлифт</v>
          </cell>
          <cell r="AV251">
            <v>599.99999062500001</v>
          </cell>
          <cell r="AW251" t="str">
            <v>ГП</v>
          </cell>
          <cell r="AX251">
            <v>1199.99998125</v>
          </cell>
          <cell r="AY251" t="str">
            <v>ГК 76 1/8</v>
          </cell>
          <cell r="AZ251">
            <v>1719.9999433590001</v>
          </cell>
          <cell r="BA251" t="str">
            <v>ЦКсОК 5/16</v>
          </cell>
          <cell r="BB251" t="str">
            <v>-</v>
          </cell>
          <cell r="BC251" t="str">
            <v>-</v>
          </cell>
          <cell r="BD251" t="str">
            <v>-</v>
          </cell>
          <cell r="BE251" t="str">
            <v>-</v>
          </cell>
          <cell r="BF251" t="str">
            <v>-</v>
          </cell>
          <cell r="BG251" t="str">
            <v>-</v>
          </cell>
          <cell r="BH251">
            <v>1730</v>
          </cell>
          <cell r="BI251" t="str">
            <v>закрыт</v>
          </cell>
        </row>
        <row r="252">
          <cell r="J252">
            <v>1148</v>
          </cell>
          <cell r="K252" t="str">
            <v>К-26</v>
          </cell>
          <cell r="L252">
            <v>41768</v>
          </cell>
          <cell r="M252" t="str">
            <v>Гор.</v>
          </cell>
          <cell r="N252" t="str">
            <v>Р4+5_Block3</v>
          </cell>
          <cell r="O252" t="str">
            <v>Действующий</v>
          </cell>
          <cell r="P252" t="str">
            <v>В работе</v>
          </cell>
          <cell r="Q252">
            <v>-4</v>
          </cell>
          <cell r="U252">
            <v>203</v>
          </cell>
          <cell r="V252">
            <v>218.2</v>
          </cell>
          <cell r="W252">
            <v>0.98</v>
          </cell>
          <cell r="X252">
            <v>1.66</v>
          </cell>
          <cell r="Y252">
            <v>0.98020076401190581</v>
          </cell>
          <cell r="Z252">
            <v>1.454</v>
          </cell>
          <cell r="AA252">
            <v>0.83599999999999997</v>
          </cell>
          <cell r="AB252">
            <v>0.72</v>
          </cell>
          <cell r="AC252">
            <v>34.299999999999997</v>
          </cell>
          <cell r="AD252">
            <v>1.17</v>
          </cell>
          <cell r="AE252">
            <v>177.8</v>
          </cell>
          <cell r="AF252">
            <v>8.0500000000000007</v>
          </cell>
          <cell r="AG252">
            <v>2104</v>
          </cell>
          <cell r="AH252">
            <v>2593</v>
          </cell>
          <cell r="AI252">
            <v>2593</v>
          </cell>
          <cell r="AM252" t="str">
            <v>открытый</v>
          </cell>
          <cell r="AN252" t="str">
            <v>2104-2593</v>
          </cell>
          <cell r="AO252">
            <v>64.13</v>
          </cell>
          <cell r="AP252">
            <v>2104</v>
          </cell>
          <cell r="AQ252">
            <v>122.75</v>
          </cell>
          <cell r="AU252" t="str">
            <v>Газлифт</v>
          </cell>
          <cell r="AV252">
            <v>449.999992969</v>
          </cell>
          <cell r="AW252" t="str">
            <v>ГП</v>
          </cell>
          <cell r="AX252">
            <v>790.00000253899998</v>
          </cell>
          <cell r="AY252" t="str">
            <v>ГП</v>
          </cell>
          <cell r="AZ252">
            <v>1070.00002793</v>
          </cell>
          <cell r="BA252" t="str">
            <v>ГП</v>
          </cell>
          <cell r="BB252">
            <v>1299.9999796879999</v>
          </cell>
          <cell r="BC252" t="str">
            <v>ГК 100/1</v>
          </cell>
          <cell r="BD252">
            <v>1499.999976563</v>
          </cell>
          <cell r="BE252" t="str">
            <v>ЦКсОК 5/16</v>
          </cell>
          <cell r="BF252" t="str">
            <v>-</v>
          </cell>
          <cell r="BG252" t="str">
            <v>-</v>
          </cell>
          <cell r="BH252">
            <v>1520</v>
          </cell>
          <cell r="BI252" t="str">
            <v>закрыт</v>
          </cell>
        </row>
        <row r="253">
          <cell r="J253">
            <v>1151</v>
          </cell>
          <cell r="K253" t="str">
            <v>К-3</v>
          </cell>
          <cell r="L253">
            <v>42277</v>
          </cell>
          <cell r="M253" t="str">
            <v>Гор.</v>
          </cell>
          <cell r="N253" t="str">
            <v>P4+5+6_Block1_yug</v>
          </cell>
          <cell r="O253" t="str">
            <v>Действующий</v>
          </cell>
          <cell r="P253" t="str">
            <v>Остановлена</v>
          </cell>
          <cell r="Q253">
            <v>-4</v>
          </cell>
          <cell r="U253">
            <v>203</v>
          </cell>
          <cell r="V253">
            <v>218.2</v>
          </cell>
          <cell r="W253">
            <v>0.98</v>
          </cell>
          <cell r="X253">
            <v>1.66</v>
          </cell>
          <cell r="Y253">
            <v>0.98</v>
          </cell>
          <cell r="Z253">
            <v>1.454</v>
          </cell>
          <cell r="AA253">
            <v>0.83599999999999997</v>
          </cell>
          <cell r="AB253">
            <v>0.72</v>
          </cell>
          <cell r="AC253">
            <v>34.299999999999997</v>
          </cell>
          <cell r="AD253">
            <v>1.17</v>
          </cell>
          <cell r="AE253">
            <v>177.8</v>
          </cell>
          <cell r="AF253">
            <v>9.19</v>
          </cell>
          <cell r="AG253">
            <v>2155</v>
          </cell>
          <cell r="AH253">
            <v>2930</v>
          </cell>
          <cell r="AI253">
            <v>2930</v>
          </cell>
          <cell r="AM253" t="str">
            <v>открытый</v>
          </cell>
          <cell r="AN253" t="str">
            <v>2905-2930</v>
          </cell>
          <cell r="AO253">
            <v>14.67</v>
          </cell>
          <cell r="AP253">
            <v>2905</v>
          </cell>
          <cell r="AQ253">
            <v>540.41</v>
          </cell>
          <cell r="AR253" t="str">
            <v>1995,6-2905</v>
          </cell>
          <cell r="AS253">
            <v>114</v>
          </cell>
          <cell r="AT253">
            <v>101.2</v>
          </cell>
          <cell r="AU253" t="str">
            <v>Газлифт</v>
          </cell>
          <cell r="AV253">
            <v>485.99999091799998</v>
          </cell>
          <cell r="AW253" t="str">
            <v>ГП</v>
          </cell>
          <cell r="AX253">
            <v>931.999967578</v>
          </cell>
          <cell r="AY253" t="str">
            <v>ГК 78 1/8</v>
          </cell>
          <cell r="AZ253">
            <v>1303.0000570310001</v>
          </cell>
          <cell r="BA253" t="str">
            <v>ГК 76 1/8</v>
          </cell>
          <cell r="BB253">
            <v>1567.999993359</v>
          </cell>
          <cell r="BC253" t="str">
            <v>ГК 75 1/8</v>
          </cell>
          <cell r="BD253">
            <v>1761.9999843749999</v>
          </cell>
          <cell r="BE253" t="str">
            <v>ЦКсОК 5/16</v>
          </cell>
          <cell r="BF253" t="str">
            <v>-</v>
          </cell>
          <cell r="BG253" t="str">
            <v>-</v>
          </cell>
          <cell r="BH253">
            <v>1790</v>
          </cell>
          <cell r="BI253" t="str">
            <v>открыт</v>
          </cell>
        </row>
        <row r="254">
          <cell r="J254">
            <v>1158</v>
          </cell>
          <cell r="K254" t="str">
            <v>К-8</v>
          </cell>
          <cell r="L254">
            <v>41630</v>
          </cell>
          <cell r="M254" t="str">
            <v>Гор.</v>
          </cell>
          <cell r="N254" t="str">
            <v>P4+5+6_Block1_yug</v>
          </cell>
          <cell r="O254" t="str">
            <v>Действующий</v>
          </cell>
          <cell r="P254" t="str">
            <v>В работе</v>
          </cell>
          <cell r="Q254">
            <v>-4</v>
          </cell>
          <cell r="U254">
            <v>203</v>
          </cell>
          <cell r="V254">
            <v>218.2</v>
          </cell>
          <cell r="W254">
            <v>0.98</v>
          </cell>
          <cell r="X254">
            <v>1.66</v>
          </cell>
          <cell r="Y254">
            <v>0.98120581919949812</v>
          </cell>
          <cell r="Z254">
            <v>1.454</v>
          </cell>
          <cell r="AA254">
            <v>0.83599999999999997</v>
          </cell>
          <cell r="AB254">
            <v>0.72</v>
          </cell>
          <cell r="AC254">
            <v>34.299999999999997</v>
          </cell>
          <cell r="AD254">
            <v>1.17</v>
          </cell>
          <cell r="AE254">
            <v>177.8</v>
          </cell>
          <cell r="AF254">
            <v>9.19</v>
          </cell>
          <cell r="AG254">
            <v>2080</v>
          </cell>
          <cell r="AH254">
            <v>3780</v>
          </cell>
          <cell r="AI254">
            <v>3780</v>
          </cell>
          <cell r="AM254" t="str">
            <v>открытый</v>
          </cell>
          <cell r="AN254" t="str">
            <v>2080-3780</v>
          </cell>
          <cell r="AO254">
            <v>57.98</v>
          </cell>
          <cell r="AP254">
            <v>2080</v>
          </cell>
          <cell r="AQ254">
            <v>117.8</v>
          </cell>
          <cell r="AU254" t="str">
            <v>Газлифт</v>
          </cell>
          <cell r="AV254">
            <v>569.99999853500003</v>
          </cell>
          <cell r="AW254" t="str">
            <v>ГК 80 1/8</v>
          </cell>
          <cell r="AX254">
            <v>999.99998437500005</v>
          </cell>
          <cell r="AY254" t="str">
            <v>ГК 81 1/8</v>
          </cell>
          <cell r="AZ254">
            <v>1355.0000085940001</v>
          </cell>
          <cell r="BA254" t="str">
            <v>ГК 82 1/8</v>
          </cell>
          <cell r="BB254">
            <v>1690.000062891</v>
          </cell>
          <cell r="BC254" t="str">
            <v>ГК 84 5/32</v>
          </cell>
          <cell r="BD254">
            <v>1830.0000011720001</v>
          </cell>
          <cell r="BE254" t="str">
            <v>ЦКсОК 5/16</v>
          </cell>
          <cell r="BF254" t="str">
            <v>-</v>
          </cell>
          <cell r="BG254" t="str">
            <v>-</v>
          </cell>
          <cell r="BH254" t="str">
            <v>-</v>
          </cell>
          <cell r="BI254" t="str">
            <v>-</v>
          </cell>
        </row>
        <row r="255">
          <cell r="J255" t="str">
            <v>1158-1</v>
          </cell>
          <cell r="K255" t="str">
            <v>К-8</v>
          </cell>
          <cell r="L255">
            <v>41759</v>
          </cell>
          <cell r="M255" t="str">
            <v>Гор.</v>
          </cell>
          <cell r="N255" t="str">
            <v>P4+5+6_Block1_yug</v>
          </cell>
          <cell r="O255" t="str">
            <v>Действующий</v>
          </cell>
          <cell r="P255" t="str">
            <v>В работе</v>
          </cell>
          <cell r="Q255">
            <v>-4</v>
          </cell>
          <cell r="R255" t="str">
            <v xml:space="preserve"> </v>
          </cell>
          <cell r="S255" t="str">
            <v xml:space="preserve"> </v>
          </cell>
          <cell r="U255">
            <v>203</v>
          </cell>
          <cell r="V255">
            <v>218.2</v>
          </cell>
          <cell r="W255">
            <v>0.98</v>
          </cell>
          <cell r="X255">
            <v>1.66</v>
          </cell>
          <cell r="Y255">
            <v>0.98040161029819439</v>
          </cell>
          <cell r="Z255">
            <v>1.454</v>
          </cell>
          <cell r="AA255">
            <v>0.83599999999999997</v>
          </cell>
          <cell r="AB255">
            <v>0.72</v>
          </cell>
          <cell r="AC255">
            <v>34.299999999999997</v>
          </cell>
          <cell r="AD255">
            <v>1.17</v>
          </cell>
          <cell r="AE255">
            <v>177.8</v>
          </cell>
          <cell r="AF255">
            <v>9.19</v>
          </cell>
          <cell r="AG255">
            <v>1916</v>
          </cell>
          <cell r="AH255">
            <v>2590</v>
          </cell>
          <cell r="AI255">
            <v>2590</v>
          </cell>
          <cell r="AM255" t="str">
            <v>открытый</v>
          </cell>
          <cell r="AN255" t="str">
            <v xml:space="preserve">1916-2590  </v>
          </cell>
          <cell r="AO255">
            <v>12.5</v>
          </cell>
          <cell r="AP255">
            <v>1916</v>
          </cell>
          <cell r="AQ255">
            <v>146.54</v>
          </cell>
          <cell r="AU255" t="str">
            <v>Газлифт</v>
          </cell>
          <cell r="AV255">
            <v>599.99999062500001</v>
          </cell>
          <cell r="AW255" t="str">
            <v>ГП</v>
          </cell>
          <cell r="AX255">
            <v>1199.99998125</v>
          </cell>
          <cell r="AY255" t="str">
            <v>ГК 85 1/8</v>
          </cell>
          <cell r="AZ255">
            <v>1790.0000613279999</v>
          </cell>
          <cell r="BA255" t="str">
            <v>ЦКсОК 5/16</v>
          </cell>
          <cell r="BB255" t="str">
            <v>-</v>
          </cell>
          <cell r="BC255" t="str">
            <v>-</v>
          </cell>
          <cell r="BD255" t="str">
            <v>-</v>
          </cell>
          <cell r="BE255" t="str">
            <v>-</v>
          </cell>
          <cell r="BF255" t="str">
            <v>-</v>
          </cell>
          <cell r="BG255" t="str">
            <v>-</v>
          </cell>
          <cell r="BH255">
            <v>1800</v>
          </cell>
          <cell r="BI255" t="str">
            <v>закрыт</v>
          </cell>
        </row>
        <row r="256">
          <cell r="J256">
            <v>1162</v>
          </cell>
          <cell r="K256" t="str">
            <v>К-6</v>
          </cell>
          <cell r="L256">
            <v>41601</v>
          </cell>
          <cell r="M256" t="str">
            <v>Гор.</v>
          </cell>
          <cell r="N256" t="str">
            <v>P4+5+6_Block1_yug</v>
          </cell>
          <cell r="O256" t="str">
            <v>Действующий</v>
          </cell>
          <cell r="P256" t="str">
            <v>В работе</v>
          </cell>
          <cell r="Q256">
            <v>-4</v>
          </cell>
          <cell r="R256" t="str">
            <v xml:space="preserve"> </v>
          </cell>
          <cell r="S256" t="str">
            <v xml:space="preserve"> </v>
          </cell>
          <cell r="U256">
            <v>203</v>
          </cell>
          <cell r="V256">
            <v>218.2</v>
          </cell>
          <cell r="W256">
            <v>0.98</v>
          </cell>
          <cell r="X256">
            <v>1.66</v>
          </cell>
          <cell r="Y256">
            <v>0.98008029573507216</v>
          </cell>
          <cell r="Z256">
            <v>1.454</v>
          </cell>
          <cell r="AA256">
            <v>0.83599999999999997</v>
          </cell>
          <cell r="AB256">
            <v>0.72</v>
          </cell>
          <cell r="AC256">
            <v>34.299999999999997</v>
          </cell>
          <cell r="AD256">
            <v>1.17</v>
          </cell>
          <cell r="AE256">
            <v>177.8</v>
          </cell>
          <cell r="AF256">
            <v>9.19</v>
          </cell>
          <cell r="AG256">
            <v>1910</v>
          </cell>
          <cell r="AH256">
            <v>2683</v>
          </cell>
          <cell r="AI256">
            <v>2683</v>
          </cell>
          <cell r="AM256" t="str">
            <v>открытый</v>
          </cell>
          <cell r="AN256" t="str">
            <v>1910-2683; 2800-2900; 2766-2866; 2693-2793; 2656-2737; 2509-2575.5; 2458-2505;2495-2558; 2373-2473; 2345-2465; 2301-2392.8</v>
          </cell>
          <cell r="AO256">
            <v>61.47</v>
          </cell>
          <cell r="AP256">
            <v>1910</v>
          </cell>
          <cell r="AQ256">
            <v>207.12</v>
          </cell>
          <cell r="AU256" t="str">
            <v>Газлифт</v>
          </cell>
          <cell r="AV256">
            <v>599.99999062500001</v>
          </cell>
          <cell r="AW256" t="str">
            <v>ГП</v>
          </cell>
          <cell r="AX256">
            <v>1199.99998125</v>
          </cell>
          <cell r="AY256" t="str">
            <v>ГК 83 1/8</v>
          </cell>
          <cell r="AZ256">
            <v>1837.9999593749999</v>
          </cell>
          <cell r="BA256" t="str">
            <v>ЦКсОК 5/16</v>
          </cell>
          <cell r="BB256" t="str">
            <v>-</v>
          </cell>
          <cell r="BC256" t="str">
            <v>-</v>
          </cell>
          <cell r="BD256" t="str">
            <v>-</v>
          </cell>
          <cell r="BE256" t="str">
            <v>-</v>
          </cell>
          <cell r="BF256" t="str">
            <v>-</v>
          </cell>
          <cell r="BG256" t="str">
            <v>-</v>
          </cell>
          <cell r="BH256">
            <v>1848</v>
          </cell>
          <cell r="BI256" t="str">
            <v>закрыт</v>
          </cell>
        </row>
        <row r="257">
          <cell r="J257" t="str">
            <v>1162-1</v>
          </cell>
          <cell r="K257" t="str">
            <v>К-26</v>
          </cell>
          <cell r="L257">
            <v>41836</v>
          </cell>
          <cell r="M257" t="str">
            <v>Гор.</v>
          </cell>
          <cell r="N257" t="str">
            <v>Р4+5_Block3</v>
          </cell>
          <cell r="O257" t="str">
            <v>Действующий</v>
          </cell>
          <cell r="P257" t="str">
            <v>В работе</v>
          </cell>
          <cell r="Q257">
            <v>-4</v>
          </cell>
          <cell r="R257" t="str">
            <v xml:space="preserve"> </v>
          </cell>
          <cell r="S257" t="str">
            <v xml:space="preserve"> </v>
          </cell>
          <cell r="U257">
            <v>203</v>
          </cell>
          <cell r="V257">
            <v>218.2</v>
          </cell>
          <cell r="W257">
            <v>0.98</v>
          </cell>
          <cell r="X257">
            <v>1.66</v>
          </cell>
          <cell r="Y257">
            <v>1.2993610223642171</v>
          </cell>
          <cell r="Z257">
            <v>1.454</v>
          </cell>
          <cell r="AA257">
            <v>0.83599999999999997</v>
          </cell>
          <cell r="AB257">
            <v>0.72</v>
          </cell>
          <cell r="AC257">
            <v>34.299999999999997</v>
          </cell>
          <cell r="AD257">
            <v>1.17</v>
          </cell>
          <cell r="AE257">
            <v>177.8</v>
          </cell>
          <cell r="AF257">
            <v>9.19</v>
          </cell>
          <cell r="AG257">
            <v>2116</v>
          </cell>
          <cell r="AH257" t="str">
            <v>1 ств 2830 
2 ств 3136</v>
          </cell>
          <cell r="AI257" t="str">
            <v>1 ств 2830 
2 ств 3136</v>
          </cell>
          <cell r="AM257" t="str">
            <v>открытый</v>
          </cell>
          <cell r="AN257" t="str">
            <v xml:space="preserve">  2116-2830;
  2140-3136</v>
          </cell>
          <cell r="AO257">
            <v>9</v>
          </cell>
          <cell r="AP257">
            <v>2116</v>
          </cell>
          <cell r="AQ257">
            <v>205.61</v>
          </cell>
          <cell r="AU257" t="str">
            <v>ЭЦН</v>
          </cell>
          <cell r="AV257">
            <v>300</v>
          </cell>
          <cell r="AW257" t="str">
            <v>ГП</v>
          </cell>
          <cell r="AX257" t="str">
            <v>-</v>
          </cell>
          <cell r="AY257" t="str">
            <v>-</v>
          </cell>
          <cell r="AZ257" t="str">
            <v>-</v>
          </cell>
          <cell r="BA257" t="str">
            <v>-</v>
          </cell>
          <cell r="BB257" t="str">
            <v>-</v>
          </cell>
          <cell r="BC257" t="str">
            <v>-</v>
          </cell>
          <cell r="BD257" t="str">
            <v>-</v>
          </cell>
          <cell r="BE257" t="str">
            <v>-</v>
          </cell>
          <cell r="BF257" t="str">
            <v>-</v>
          </cell>
          <cell r="BG257" t="str">
            <v>-</v>
          </cell>
          <cell r="BH257">
            <v>1590</v>
          </cell>
          <cell r="BI257" t="str">
            <v>закрыт</v>
          </cell>
          <cell r="BK257" t="str">
            <v>D1050N</v>
          </cell>
          <cell r="BM257">
            <v>1110</v>
          </cell>
          <cell r="BN257">
            <v>54</v>
          </cell>
          <cell r="BO257">
            <v>48</v>
          </cell>
        </row>
        <row r="258">
          <cell r="J258">
            <v>1200</v>
          </cell>
          <cell r="K258" t="str">
            <v>К-10</v>
          </cell>
          <cell r="L258">
            <v>41417</v>
          </cell>
          <cell r="M258" t="str">
            <v>Гор.</v>
          </cell>
          <cell r="N258" t="str">
            <v>P4+5+6_Block1_yug</v>
          </cell>
          <cell r="O258" t="str">
            <v>Действующий</v>
          </cell>
          <cell r="P258" t="str">
            <v>В работе</v>
          </cell>
          <cell r="Q258">
            <v>-4</v>
          </cell>
          <cell r="R258" t="str">
            <v xml:space="preserve"> </v>
          </cell>
          <cell r="S258" t="str">
            <v xml:space="preserve"> </v>
          </cell>
          <cell r="U258">
            <v>203</v>
          </cell>
          <cell r="V258">
            <v>218.2</v>
          </cell>
          <cell r="W258">
            <v>0.98</v>
          </cell>
          <cell r="X258">
            <v>1.66</v>
          </cell>
          <cell r="Y258">
            <v>1.5402969247083773</v>
          </cell>
          <cell r="Z258">
            <v>1.454</v>
          </cell>
          <cell r="AA258">
            <v>0.83599999999999997</v>
          </cell>
          <cell r="AB258">
            <v>0.72</v>
          </cell>
          <cell r="AC258">
            <v>34.299999999999997</v>
          </cell>
          <cell r="AD258">
            <v>1.17</v>
          </cell>
          <cell r="AE258">
            <v>177.8</v>
          </cell>
          <cell r="AF258">
            <v>8.0500000000000007</v>
          </cell>
          <cell r="AG258">
            <v>2015</v>
          </cell>
          <cell r="AH258">
            <v>2360</v>
          </cell>
          <cell r="AI258">
            <v>2360</v>
          </cell>
          <cell r="AM258" t="str">
            <v>открытый</v>
          </cell>
          <cell r="AN258" t="str">
            <v>2015-2360</v>
          </cell>
          <cell r="AO258">
            <v>54.37</v>
          </cell>
          <cell r="AP258">
            <v>2015</v>
          </cell>
          <cell r="AQ258">
            <v>87</v>
          </cell>
          <cell r="AU258" t="str">
            <v>ЭЦН</v>
          </cell>
          <cell r="AV258">
            <v>300</v>
          </cell>
          <cell r="AW258" t="str">
            <v>ГП</v>
          </cell>
          <cell r="AX258" t="str">
            <v>-</v>
          </cell>
          <cell r="AY258" t="str">
            <v>-</v>
          </cell>
          <cell r="AZ258" t="str">
            <v>-</v>
          </cell>
          <cell r="BA258" t="str">
            <v>-</v>
          </cell>
          <cell r="BB258" t="str">
            <v>-</v>
          </cell>
          <cell r="BC258" t="str">
            <v>-</v>
          </cell>
          <cell r="BD258" t="str">
            <v>-</v>
          </cell>
          <cell r="BE258" t="str">
            <v>-</v>
          </cell>
          <cell r="BF258" t="str">
            <v>-</v>
          </cell>
          <cell r="BG258" t="str">
            <v>-</v>
          </cell>
          <cell r="BH258">
            <v>1789</v>
          </cell>
          <cell r="BI258" t="str">
            <v>закрыт</v>
          </cell>
          <cell r="BK258" t="str">
            <v>D1150N</v>
          </cell>
          <cell r="BM258">
            <v>1297</v>
          </cell>
          <cell r="BN258">
            <v>61</v>
          </cell>
          <cell r="BO258">
            <v>90</v>
          </cell>
        </row>
        <row r="259">
          <cell r="J259" t="str">
            <v>1200-1</v>
          </cell>
          <cell r="K259" t="str">
            <v>К-10</v>
          </cell>
          <cell r="L259">
            <v>41460</v>
          </cell>
          <cell r="M259" t="str">
            <v>Гор.</v>
          </cell>
          <cell r="N259" t="str">
            <v>Р4+5+6_Block2</v>
          </cell>
          <cell r="O259" t="str">
            <v>Действующий</v>
          </cell>
          <cell r="P259" t="str">
            <v>В работе</v>
          </cell>
          <cell r="Q259">
            <v>-4</v>
          </cell>
          <cell r="R259" t="str">
            <v xml:space="preserve"> </v>
          </cell>
          <cell r="S259" t="str">
            <v xml:space="preserve"> </v>
          </cell>
          <cell r="U259">
            <v>203</v>
          </cell>
          <cell r="V259">
            <v>218.2</v>
          </cell>
          <cell r="W259">
            <v>0.98</v>
          </cell>
          <cell r="X259">
            <v>1.66</v>
          </cell>
          <cell r="Y259">
            <v>1.3524703284570796</v>
          </cell>
          <cell r="Z259">
            <v>1.454</v>
          </cell>
          <cell r="AA259">
            <v>0.83599999999999997</v>
          </cell>
          <cell r="AB259">
            <v>0.72</v>
          </cell>
          <cell r="AC259">
            <v>34.299999999999997</v>
          </cell>
          <cell r="AD259">
            <v>1.17</v>
          </cell>
          <cell r="AE259">
            <v>177.8</v>
          </cell>
          <cell r="AF259">
            <v>8.0500000000000007</v>
          </cell>
          <cell r="AG259">
            <v>2128</v>
          </cell>
          <cell r="AH259">
            <v>2696</v>
          </cell>
          <cell r="AI259">
            <v>2696</v>
          </cell>
          <cell r="AM259" t="str">
            <v>открытый</v>
          </cell>
          <cell r="AN259" t="str">
            <v>2128-2696</v>
          </cell>
          <cell r="AO259">
            <v>26.7</v>
          </cell>
          <cell r="AP259">
            <v>2128</v>
          </cell>
          <cell r="AQ259">
            <v>280.7</v>
          </cell>
          <cell r="AU259" t="str">
            <v>ЭЦН</v>
          </cell>
          <cell r="AV259">
            <v>300</v>
          </cell>
          <cell r="AW259" t="str">
            <v>ГП</v>
          </cell>
          <cell r="AX259" t="str">
            <v>-</v>
          </cell>
          <cell r="AY259" t="str">
            <v>-</v>
          </cell>
          <cell r="AZ259" t="str">
            <v>-</v>
          </cell>
          <cell r="BA259" t="str">
            <v>-</v>
          </cell>
          <cell r="BB259" t="str">
            <v>-</v>
          </cell>
          <cell r="BC259" t="str">
            <v>-</v>
          </cell>
          <cell r="BD259" t="str">
            <v>-</v>
          </cell>
          <cell r="BE259" t="str">
            <v>-</v>
          </cell>
          <cell r="BF259" t="str">
            <v>-</v>
          </cell>
          <cell r="BG259" t="str">
            <v>-</v>
          </cell>
          <cell r="BH259">
            <v>1878</v>
          </cell>
          <cell r="BI259" t="str">
            <v>открыт</v>
          </cell>
          <cell r="BK259" t="str">
            <v>D1150N</v>
          </cell>
          <cell r="BM259">
            <v>1297</v>
          </cell>
          <cell r="BN259">
            <v>49</v>
          </cell>
          <cell r="BO259">
            <v>80</v>
          </cell>
        </row>
        <row r="260">
          <cell r="J260">
            <v>1201</v>
          </cell>
          <cell r="K260" t="str">
            <v>К-26</v>
          </cell>
          <cell r="L260">
            <v>41862</v>
          </cell>
          <cell r="M260" t="str">
            <v>Гор.</v>
          </cell>
          <cell r="N260" t="str">
            <v>Р4+5_Block3</v>
          </cell>
          <cell r="O260" t="str">
            <v>Действующий</v>
          </cell>
          <cell r="P260" t="str">
            <v>В работе</v>
          </cell>
          <cell r="Q260">
            <v>-4</v>
          </cell>
          <cell r="U260">
            <v>203</v>
          </cell>
          <cell r="V260">
            <v>218.2</v>
          </cell>
          <cell r="W260">
            <v>0.98</v>
          </cell>
          <cell r="X260">
            <v>1.66</v>
          </cell>
          <cell r="Y260">
            <v>1.1836437718277064</v>
          </cell>
          <cell r="Z260">
            <v>1.454</v>
          </cell>
          <cell r="AA260">
            <v>0.83599999999999997</v>
          </cell>
          <cell r="AB260">
            <v>0.72</v>
          </cell>
          <cell r="AC260">
            <v>34.299999999999997</v>
          </cell>
          <cell r="AD260">
            <v>1.17</v>
          </cell>
          <cell r="AE260">
            <v>177.8</v>
          </cell>
          <cell r="AF260">
            <v>9.19</v>
          </cell>
          <cell r="AG260">
            <v>2444</v>
          </cell>
          <cell r="AH260">
            <v>3259</v>
          </cell>
          <cell r="AI260">
            <v>3259</v>
          </cell>
          <cell r="AM260" t="str">
            <v>открытый</v>
          </cell>
          <cell r="AN260" t="str">
            <v>2450-3160</v>
          </cell>
          <cell r="AO260">
            <v>14</v>
          </cell>
          <cell r="AP260">
            <v>2450</v>
          </cell>
          <cell r="AQ260">
            <v>523.85</v>
          </cell>
          <cell r="AU260" t="str">
            <v>ЭЦН</v>
          </cell>
          <cell r="AV260">
            <v>300</v>
          </cell>
          <cell r="AW260" t="str">
            <v>ГП</v>
          </cell>
          <cell r="AX260" t="str">
            <v>-</v>
          </cell>
          <cell r="AY260" t="str">
            <v>-</v>
          </cell>
          <cell r="AZ260" t="str">
            <v>-</v>
          </cell>
          <cell r="BA260" t="str">
            <v>-</v>
          </cell>
          <cell r="BB260" t="str">
            <v>-</v>
          </cell>
          <cell r="BC260" t="str">
            <v>-</v>
          </cell>
          <cell r="BD260" t="str">
            <v>-</v>
          </cell>
          <cell r="BE260" t="str">
            <v>-</v>
          </cell>
          <cell r="BF260" t="str">
            <v>-</v>
          </cell>
          <cell r="BG260" t="str">
            <v>-</v>
          </cell>
          <cell r="BH260">
            <v>1710</v>
          </cell>
          <cell r="BI260" t="str">
            <v>закрыт</v>
          </cell>
          <cell r="BK260" t="str">
            <v xml:space="preserve">D800N </v>
          </cell>
          <cell r="BM260">
            <v>1250</v>
          </cell>
          <cell r="BN260">
            <v>55</v>
          </cell>
          <cell r="BO260">
            <v>63</v>
          </cell>
        </row>
        <row r="261">
          <cell r="J261">
            <v>1202</v>
          </cell>
          <cell r="K261" t="str">
            <v>К-2</v>
          </cell>
          <cell r="L261">
            <v>41566</v>
          </cell>
          <cell r="M261" t="str">
            <v>Гор.</v>
          </cell>
          <cell r="N261" t="str">
            <v>Р4+5_Block3</v>
          </cell>
          <cell r="O261" t="str">
            <v>Действующий</v>
          </cell>
          <cell r="P261" t="str">
            <v>В работе</v>
          </cell>
          <cell r="Q261">
            <v>-4</v>
          </cell>
          <cell r="S261" t="str">
            <v xml:space="preserve"> </v>
          </cell>
          <cell r="U261">
            <v>203</v>
          </cell>
          <cell r="V261">
            <v>218.2</v>
          </cell>
          <cell r="W261">
            <v>0.98</v>
          </cell>
          <cell r="X261">
            <v>1.66</v>
          </cell>
          <cell r="Y261">
            <v>0.98358594103321273</v>
          </cell>
          <cell r="Z261">
            <v>1.454</v>
          </cell>
          <cell r="AA261">
            <v>0.83599999999999997</v>
          </cell>
          <cell r="AB261">
            <v>0.72</v>
          </cell>
          <cell r="AC261">
            <v>34.299999999999997</v>
          </cell>
          <cell r="AD261">
            <v>1.17</v>
          </cell>
          <cell r="AE261">
            <v>177.8</v>
          </cell>
          <cell r="AF261">
            <v>8.0500000000000007</v>
          </cell>
          <cell r="AG261">
            <v>2161.8200000000002</v>
          </cell>
          <cell r="AH261">
            <v>2930</v>
          </cell>
          <cell r="AI261">
            <v>2930</v>
          </cell>
          <cell r="AM261" t="str">
            <v>открытый</v>
          </cell>
          <cell r="AN261" t="str">
            <v>2161,82-2930</v>
          </cell>
          <cell r="AO261">
            <v>75</v>
          </cell>
          <cell r="AP261">
            <v>2161.8200000000002</v>
          </cell>
          <cell r="AQ261">
            <v>321</v>
          </cell>
          <cell r="AU261" t="str">
            <v>Газлифт</v>
          </cell>
          <cell r="AV261">
            <v>569.99999853500003</v>
          </cell>
          <cell r="AW261" t="str">
            <v>ГП</v>
          </cell>
          <cell r="AX261">
            <v>1049.999983594</v>
          </cell>
          <cell r="AY261" t="str">
            <v>ГК 85 1/8</v>
          </cell>
          <cell r="AZ261">
            <v>1360.0000382809999</v>
          </cell>
          <cell r="BA261" t="str">
            <v>ГК 85 1/8</v>
          </cell>
          <cell r="BB261">
            <v>1619.9999449219999</v>
          </cell>
          <cell r="BC261" t="str">
            <v>ГК 85 1/8</v>
          </cell>
          <cell r="BD261">
            <v>1769.9999425779999</v>
          </cell>
          <cell r="BE261" t="str">
            <v>ГК 84 1/8</v>
          </cell>
          <cell r="BF261">
            <v>1930</v>
          </cell>
          <cell r="BG261" t="str">
            <v>ЦКсОК 5/16</v>
          </cell>
          <cell r="BH261" t="str">
            <v>-</v>
          </cell>
          <cell r="BI261" t="str">
            <v>-</v>
          </cell>
        </row>
        <row r="262">
          <cell r="J262" t="str">
            <v>1202-2</v>
          </cell>
          <cell r="K262" t="str">
            <v>К-2</v>
          </cell>
          <cell r="L262">
            <v>41449</v>
          </cell>
          <cell r="M262" t="str">
            <v>Гор.</v>
          </cell>
          <cell r="N262" t="str">
            <v>Р4+5_Block3</v>
          </cell>
          <cell r="O262" t="str">
            <v>Действующий</v>
          </cell>
          <cell r="P262" t="str">
            <v>В работе</v>
          </cell>
          <cell r="Q262">
            <v>-4</v>
          </cell>
          <cell r="S262" t="str">
            <v xml:space="preserve"> </v>
          </cell>
          <cell r="U262">
            <v>203</v>
          </cell>
          <cell r="V262">
            <v>218.2</v>
          </cell>
          <cell r="W262">
            <v>0.98</v>
          </cell>
          <cell r="X262">
            <v>1.66</v>
          </cell>
          <cell r="Y262">
            <v>0.99030393345702994</v>
          </cell>
          <cell r="Z262">
            <v>1.454</v>
          </cell>
          <cell r="AA262">
            <v>0.83599999999999997</v>
          </cell>
          <cell r="AB262">
            <v>0.72</v>
          </cell>
          <cell r="AC262">
            <v>34.299999999999997</v>
          </cell>
          <cell r="AD262">
            <v>1.17</v>
          </cell>
          <cell r="AE262">
            <v>177.8</v>
          </cell>
          <cell r="AF262">
            <v>8.0500000000000007</v>
          </cell>
          <cell r="AG262">
            <v>2034</v>
          </cell>
          <cell r="AH262">
            <v>2900</v>
          </cell>
          <cell r="AI262">
            <v>2900</v>
          </cell>
          <cell r="AM262" t="str">
            <v>открытый</v>
          </cell>
          <cell r="AN262" t="str">
            <v xml:space="preserve">2034-2900 </v>
          </cell>
          <cell r="AO262">
            <v>10</v>
          </cell>
          <cell r="AP262">
            <v>2034</v>
          </cell>
          <cell r="AQ262">
            <v>176.78</v>
          </cell>
          <cell r="AU262" t="str">
            <v>Фон.</v>
          </cell>
          <cell r="AV262">
            <v>600</v>
          </cell>
          <cell r="AW262" t="str">
            <v>ГП</v>
          </cell>
          <cell r="AX262">
            <v>1200</v>
          </cell>
          <cell r="AY262" t="str">
            <v>ГК 93 /1,5</v>
          </cell>
          <cell r="AZ262">
            <v>1768</v>
          </cell>
          <cell r="BA262" t="str">
            <v>ЦКсОК 5/16</v>
          </cell>
          <cell r="BB262" t="str">
            <v>-</v>
          </cell>
          <cell r="BC262" t="str">
            <v>-</v>
          </cell>
          <cell r="BD262" t="str">
            <v>-</v>
          </cell>
          <cell r="BE262" t="str">
            <v>-</v>
          </cell>
          <cell r="BF262" t="str">
            <v>-</v>
          </cell>
          <cell r="BG262" t="str">
            <v>-</v>
          </cell>
          <cell r="BH262">
            <v>1778</v>
          </cell>
          <cell r="BI262" t="str">
            <v>закрыт</v>
          </cell>
        </row>
        <row r="263">
          <cell r="J263" t="str">
            <v>1202-1</v>
          </cell>
          <cell r="K263" t="str">
            <v>К-2</v>
          </cell>
          <cell r="L263">
            <v>41498</v>
          </cell>
          <cell r="M263" t="str">
            <v>Гор.</v>
          </cell>
          <cell r="N263" t="str">
            <v>Р4+5_Block3</v>
          </cell>
          <cell r="O263" t="str">
            <v>Действующий</v>
          </cell>
          <cell r="P263" t="str">
            <v>В работе</v>
          </cell>
          <cell r="Q263">
            <v>-4</v>
          </cell>
          <cell r="S263" t="str">
            <v xml:space="preserve"> </v>
          </cell>
          <cell r="U263">
            <v>203</v>
          </cell>
          <cell r="V263">
            <v>218.2</v>
          </cell>
          <cell r="W263">
            <v>0.98</v>
          </cell>
          <cell r="X263">
            <v>1.66</v>
          </cell>
          <cell r="Y263">
            <v>1.0370079503092919</v>
          </cell>
          <cell r="Z263">
            <v>1.454</v>
          </cell>
          <cell r="AA263">
            <v>0.83599999999999997</v>
          </cell>
          <cell r="AB263">
            <v>0.72</v>
          </cell>
          <cell r="AC263">
            <v>34.299999999999997</v>
          </cell>
          <cell r="AD263">
            <v>1.17</v>
          </cell>
          <cell r="AE263">
            <v>177.8</v>
          </cell>
          <cell r="AF263">
            <v>8.0500000000000007</v>
          </cell>
          <cell r="AG263">
            <v>2516</v>
          </cell>
          <cell r="AH263">
            <v>2995</v>
          </cell>
          <cell r="AI263">
            <v>2995</v>
          </cell>
          <cell r="AM263" t="str">
            <v>открытый</v>
          </cell>
          <cell r="AN263" t="str">
            <v xml:space="preserve">2516-2995 </v>
          </cell>
          <cell r="AO263">
            <v>50</v>
          </cell>
          <cell r="AP263">
            <v>2516</v>
          </cell>
          <cell r="AQ263">
            <v>661.95</v>
          </cell>
          <cell r="AU263" t="str">
            <v>Газлифт</v>
          </cell>
          <cell r="AV263">
            <v>510.00001435500002</v>
          </cell>
          <cell r="AW263" t="str">
            <v>ГП</v>
          </cell>
          <cell r="AX263">
            <v>940.00000019499998</v>
          </cell>
          <cell r="AY263" t="str">
            <v>ГК 83 1/8</v>
          </cell>
          <cell r="AZ263">
            <v>1290.000069141</v>
          </cell>
          <cell r="BA263" t="str">
            <v>ГК 85 1/8</v>
          </cell>
          <cell r="BB263">
            <v>1499.999976563</v>
          </cell>
          <cell r="BC263" t="str">
            <v>ГК  85 1/8</v>
          </cell>
          <cell r="BD263">
            <v>1680.0000035160001</v>
          </cell>
          <cell r="BE263" t="str">
            <v>ГК 87 5/32</v>
          </cell>
          <cell r="BF263">
            <v>1910</v>
          </cell>
          <cell r="BG263" t="str">
            <v>ЦКсОК 5/16</v>
          </cell>
          <cell r="BH263" t="str">
            <v>-</v>
          </cell>
          <cell r="BI263" t="str">
            <v>-</v>
          </cell>
        </row>
        <row r="264">
          <cell r="J264">
            <v>1205</v>
          </cell>
          <cell r="K264" t="str">
            <v>К-13</v>
          </cell>
          <cell r="L264">
            <v>41737</v>
          </cell>
          <cell r="M264" t="str">
            <v>Гор.</v>
          </cell>
          <cell r="N264" t="str">
            <v>P4+5+6_Block1_yug</v>
          </cell>
          <cell r="O264" t="str">
            <v>Действующий</v>
          </cell>
          <cell r="P264" t="str">
            <v>В работе</v>
          </cell>
          <cell r="Q264">
            <v>-4</v>
          </cell>
          <cell r="S264" t="str">
            <v xml:space="preserve"> </v>
          </cell>
          <cell r="U264">
            <v>203</v>
          </cell>
          <cell r="V264">
            <v>218.2</v>
          </cell>
          <cell r="W264">
            <v>0.98</v>
          </cell>
          <cell r="X264">
            <v>1.66</v>
          </cell>
          <cell r="Y264">
            <v>0.98048197186086639</v>
          </cell>
          <cell r="Z264">
            <v>1.454</v>
          </cell>
          <cell r="AA264">
            <v>0.83599999999999997</v>
          </cell>
          <cell r="AB264">
            <v>0.72</v>
          </cell>
          <cell r="AC264">
            <v>34.299999999999997</v>
          </cell>
          <cell r="AD264">
            <v>1.17</v>
          </cell>
          <cell r="AE264">
            <v>177.8</v>
          </cell>
          <cell r="AF264">
            <v>9.19</v>
          </cell>
          <cell r="AG264">
            <v>1891</v>
          </cell>
          <cell r="AH264">
            <v>2592</v>
          </cell>
          <cell r="AI264">
            <v>2592</v>
          </cell>
          <cell r="AM264" t="str">
            <v>открытый</v>
          </cell>
          <cell r="AN264" t="str">
            <v xml:space="preserve">1891-2592 </v>
          </cell>
          <cell r="AO264">
            <v>16</v>
          </cell>
          <cell r="AP264">
            <v>1891</v>
          </cell>
          <cell r="AQ264">
            <v>76.11</v>
          </cell>
          <cell r="AU264" t="str">
            <v>Газлифт</v>
          </cell>
          <cell r="AV264">
            <v>541.99999599600005</v>
          </cell>
          <cell r="AW264" t="str">
            <v>ГП</v>
          </cell>
          <cell r="AX264">
            <v>999.00000820299999</v>
          </cell>
          <cell r="AY264" t="str">
            <v>ГП</v>
          </cell>
          <cell r="AZ264">
            <v>1399.9999781250001</v>
          </cell>
          <cell r="BA264" t="str">
            <v>ГК 82 1/8</v>
          </cell>
          <cell r="BB264">
            <v>1604.0000285159999</v>
          </cell>
          <cell r="BC264" t="str">
            <v>ЦКсОК 5/16</v>
          </cell>
          <cell r="BD264" t="str">
            <v>-</v>
          </cell>
          <cell r="BE264" t="str">
            <v>-</v>
          </cell>
          <cell r="BF264" t="str">
            <v>-</v>
          </cell>
          <cell r="BG264" t="str">
            <v>-</v>
          </cell>
          <cell r="BH264">
            <v>1614</v>
          </cell>
          <cell r="BI264" t="str">
            <v>закрыт</v>
          </cell>
        </row>
        <row r="265">
          <cell r="J265" t="str">
            <v>1209-2</v>
          </cell>
          <cell r="K265" t="str">
            <v>Без куста</v>
          </cell>
          <cell r="L265">
            <v>41743</v>
          </cell>
          <cell r="M265" t="str">
            <v>Гор.</v>
          </cell>
          <cell r="N265" t="str">
            <v>Р4+5_Block3, P5i</v>
          </cell>
          <cell r="O265" t="str">
            <v>Действующий</v>
          </cell>
          <cell r="P265" t="str">
            <v>В работе</v>
          </cell>
          <cell r="Q265">
            <v>-4</v>
          </cell>
          <cell r="S265" t="str">
            <v xml:space="preserve"> </v>
          </cell>
          <cell r="U265">
            <v>203</v>
          </cell>
          <cell r="V265">
            <v>218.2</v>
          </cell>
          <cell r="W265">
            <v>0.98</v>
          </cell>
          <cell r="X265">
            <v>1.66</v>
          </cell>
          <cell r="Y265">
            <v>0.98768730116327075</v>
          </cell>
          <cell r="Z265">
            <v>1.454</v>
          </cell>
          <cell r="AA265">
            <v>0.83599999999999997</v>
          </cell>
          <cell r="AB265">
            <v>0.72</v>
          </cell>
          <cell r="AC265">
            <v>34.299999999999997</v>
          </cell>
          <cell r="AD265">
            <v>1.17</v>
          </cell>
          <cell r="AE265">
            <v>177.8</v>
          </cell>
          <cell r="AF265">
            <v>9.19</v>
          </cell>
          <cell r="AG265">
            <v>2190</v>
          </cell>
          <cell r="AH265">
            <v>3080</v>
          </cell>
          <cell r="AI265">
            <v>3080</v>
          </cell>
          <cell r="AM265" t="str">
            <v>открытый</v>
          </cell>
          <cell r="AN265" t="str">
            <v>2190-3080</v>
          </cell>
          <cell r="AO265">
            <v>13</v>
          </cell>
          <cell r="AP265">
            <v>2190</v>
          </cell>
          <cell r="AQ265">
            <v>224.38</v>
          </cell>
          <cell r="AU265" t="str">
            <v>Фон.</v>
          </cell>
          <cell r="AV265">
            <v>450</v>
          </cell>
          <cell r="AW265" t="str">
            <v>ГП</v>
          </cell>
          <cell r="AX265">
            <v>900</v>
          </cell>
          <cell r="AY265" t="str">
            <v>ГП</v>
          </cell>
          <cell r="AZ265">
            <v>1400</v>
          </cell>
          <cell r="BA265" t="str">
            <v>ГК 80/1,5</v>
          </cell>
          <cell r="BB265">
            <v>1910</v>
          </cell>
          <cell r="BC265" t="str">
            <v>ЦКсОК 5/16</v>
          </cell>
          <cell r="BD265" t="str">
            <v>-</v>
          </cell>
          <cell r="BE265" t="str">
            <v>-</v>
          </cell>
          <cell r="BF265" t="str">
            <v>-</v>
          </cell>
          <cell r="BG265" t="str">
            <v>-</v>
          </cell>
          <cell r="BH265">
            <v>1920</v>
          </cell>
          <cell r="BI265" t="str">
            <v>закрыт</v>
          </cell>
        </row>
        <row r="266">
          <cell r="J266" t="str">
            <v>1209-1</v>
          </cell>
          <cell r="K266" t="str">
            <v>К-7</v>
          </cell>
          <cell r="L266">
            <v>41643</v>
          </cell>
          <cell r="M266" t="str">
            <v>Гор.</v>
          </cell>
          <cell r="N266" t="str">
            <v>P4+5+6_Block1_yug</v>
          </cell>
          <cell r="O266" t="str">
            <v>Действующий</v>
          </cell>
          <cell r="P266" t="str">
            <v>В работе</v>
          </cell>
          <cell r="Q266">
            <v>-4</v>
          </cell>
          <cell r="R266" t="str">
            <v xml:space="preserve"> </v>
          </cell>
          <cell r="S266" t="str">
            <v xml:space="preserve"> </v>
          </cell>
          <cell r="U266">
            <v>203</v>
          </cell>
          <cell r="V266">
            <v>218.2</v>
          </cell>
          <cell r="W266">
            <v>0.98</v>
          </cell>
          <cell r="X266">
            <v>1.66</v>
          </cell>
          <cell r="Y266">
            <v>0.98008029573507216</v>
          </cell>
          <cell r="Z266">
            <v>1.454</v>
          </cell>
          <cell r="AA266">
            <v>0.83599999999999997</v>
          </cell>
          <cell r="AB266">
            <v>0.72</v>
          </cell>
          <cell r="AC266">
            <v>34.299999999999997</v>
          </cell>
          <cell r="AD266">
            <v>1.17</v>
          </cell>
          <cell r="AE266">
            <v>177.8</v>
          </cell>
          <cell r="AF266">
            <v>9.19</v>
          </cell>
          <cell r="AG266">
            <v>1916</v>
          </cell>
          <cell r="AH266">
            <v>2644</v>
          </cell>
          <cell r="AI266">
            <v>2644</v>
          </cell>
          <cell r="AM266" t="str">
            <v>открытый</v>
          </cell>
          <cell r="AN266" t="str">
            <v xml:space="preserve">1916-2644  </v>
          </cell>
          <cell r="AO266">
            <v>17</v>
          </cell>
          <cell r="AP266">
            <v>1916</v>
          </cell>
          <cell r="AQ266">
            <v>103.48</v>
          </cell>
          <cell r="AU266" t="str">
            <v>Газлифт</v>
          </cell>
          <cell r="AV266">
            <v>540.00000644500005</v>
          </cell>
          <cell r="AW266" t="str">
            <v>ГП</v>
          </cell>
          <cell r="AX266">
            <v>980.00001445299995</v>
          </cell>
          <cell r="AY266" t="str">
            <v>ГП</v>
          </cell>
          <cell r="AZ266">
            <v>1324.999979297</v>
          </cell>
          <cell r="BA266" t="str">
            <v>ГК87 1/8</v>
          </cell>
          <cell r="BB266">
            <v>1610.000034375</v>
          </cell>
          <cell r="BC266" t="str">
            <v>ГК86 1/8</v>
          </cell>
          <cell r="BD266">
            <v>1760.000032031</v>
          </cell>
          <cell r="BE266" t="str">
            <v>ЦКсОК 5/16</v>
          </cell>
          <cell r="BF266" t="str">
            <v>-</v>
          </cell>
          <cell r="BG266" t="str">
            <v>-</v>
          </cell>
          <cell r="BH266">
            <v>1765</v>
          </cell>
          <cell r="BI266" t="str">
            <v>закрыт</v>
          </cell>
        </row>
        <row r="267">
          <cell r="J267">
            <v>1210</v>
          </cell>
          <cell r="K267" t="str">
            <v>К-13</v>
          </cell>
          <cell r="L267">
            <v>41840</v>
          </cell>
          <cell r="M267" t="str">
            <v>Гор.</v>
          </cell>
          <cell r="N267" t="str">
            <v>P4+5+6_Block1_yug</v>
          </cell>
          <cell r="O267" t="str">
            <v>Действующий</v>
          </cell>
          <cell r="P267" t="str">
            <v>В работе</v>
          </cell>
          <cell r="Q267">
            <v>-4</v>
          </cell>
          <cell r="R267">
            <v>41810</v>
          </cell>
          <cell r="S267" t="str">
            <v>Slb</v>
          </cell>
          <cell r="T267" t="str">
            <v>100м3 15% HCL</v>
          </cell>
          <cell r="U267">
            <v>203</v>
          </cell>
          <cell r="V267">
            <v>218.2</v>
          </cell>
          <cell r="W267">
            <v>0.98</v>
          </cell>
          <cell r="X267">
            <v>1.66</v>
          </cell>
          <cell r="Y267">
            <v>0.98</v>
          </cell>
          <cell r="Z267">
            <v>1.454</v>
          </cell>
          <cell r="AA267">
            <v>0.83599999999999997</v>
          </cell>
          <cell r="AB267">
            <v>0.72</v>
          </cell>
          <cell r="AC267">
            <v>34.299999999999997</v>
          </cell>
          <cell r="AD267">
            <v>1.17</v>
          </cell>
          <cell r="AE267" t="str">
            <v>177,8;114,3</v>
          </cell>
          <cell r="AF267">
            <v>9.19</v>
          </cell>
          <cell r="AG267">
            <v>2294</v>
          </cell>
          <cell r="AH267">
            <v>2858</v>
          </cell>
          <cell r="AI267">
            <v>2858</v>
          </cell>
          <cell r="AM267" t="str">
            <v>Закрытый</v>
          </cell>
          <cell r="AN267" t="str">
            <v>2379,08-2380,35; 2497,52-2498,79; 2623,79-2625,06; 2720,28-2721,55; 2824,12-2825,17</v>
          </cell>
          <cell r="AO267">
            <v>5.2</v>
          </cell>
          <cell r="AP267">
            <v>2379.08</v>
          </cell>
          <cell r="AQ267">
            <v>436.8</v>
          </cell>
          <cell r="AU267" t="str">
            <v>Газлифт</v>
          </cell>
          <cell r="AV267">
            <v>543.00000937499999</v>
          </cell>
          <cell r="AW267" t="str">
            <v>ГП</v>
          </cell>
          <cell r="AX267">
            <v>1079.000036719</v>
          </cell>
          <cell r="AY267" t="str">
            <v>ГП</v>
          </cell>
          <cell r="AZ267">
            <v>1572.000046875</v>
          </cell>
          <cell r="BA267" t="str">
            <v>ГК80 1/8</v>
          </cell>
          <cell r="BB267">
            <v>1816.000037109</v>
          </cell>
          <cell r="BC267" t="str">
            <v>ЦКсОК 5/16</v>
          </cell>
          <cell r="BD267" t="str">
            <v>-</v>
          </cell>
          <cell r="BE267" t="str">
            <v>-</v>
          </cell>
          <cell r="BF267" t="str">
            <v>-</v>
          </cell>
          <cell r="BG267" t="str">
            <v>-</v>
          </cell>
          <cell r="BH267" t="str">
            <v>-</v>
          </cell>
          <cell r="BI267" t="str">
            <v>-</v>
          </cell>
        </row>
        <row r="268">
          <cell r="J268" t="str">
            <v>1210-1</v>
          </cell>
          <cell r="K268" t="str">
            <v>К-17</v>
          </cell>
          <cell r="L268">
            <v>41952</v>
          </cell>
          <cell r="M268" t="str">
            <v>Гор.</v>
          </cell>
          <cell r="N268" t="str">
            <v>P4+5+6_Block1_yug</v>
          </cell>
          <cell r="O268" t="str">
            <v>Действующий</v>
          </cell>
          <cell r="P268" t="str">
            <v>В работе</v>
          </cell>
          <cell r="Q268">
            <v>-4</v>
          </cell>
          <cell r="U268">
            <v>203</v>
          </cell>
          <cell r="V268">
            <v>218.2</v>
          </cell>
          <cell r="W268">
            <v>0.98</v>
          </cell>
          <cell r="X268">
            <v>1.66</v>
          </cell>
          <cell r="Y268">
            <v>0.98</v>
          </cell>
          <cell r="Z268">
            <v>1.454</v>
          </cell>
          <cell r="AA268">
            <v>0.83599999999999997</v>
          </cell>
          <cell r="AB268">
            <v>0.72</v>
          </cell>
          <cell r="AC268">
            <v>34.299999999999997</v>
          </cell>
          <cell r="AD268">
            <v>1.17</v>
          </cell>
          <cell r="AE268">
            <v>177.8</v>
          </cell>
          <cell r="AF268">
            <v>9.19</v>
          </cell>
          <cell r="AG268">
            <v>2368</v>
          </cell>
          <cell r="AH268">
            <v>3140</v>
          </cell>
          <cell r="AI268">
            <v>3140</v>
          </cell>
          <cell r="AM268" t="str">
            <v>Закрытый</v>
          </cell>
          <cell r="AN268" t="str">
            <v>2417,77-2418,4; 2509,26-2509,89; 2590,96-2591,59; 2844,32-2844,95; 3027,41-3028,46</v>
          </cell>
          <cell r="AO268">
            <v>87.46</v>
          </cell>
          <cell r="AP268">
            <v>2417.77</v>
          </cell>
          <cell r="AQ268">
            <v>297</v>
          </cell>
          <cell r="AR268" t="str">
            <v>2279-3138</v>
          </cell>
          <cell r="AS268">
            <v>114</v>
          </cell>
          <cell r="AT268">
            <v>7.37</v>
          </cell>
          <cell r="AU268" t="str">
            <v>Газлифт</v>
          </cell>
          <cell r="AV268">
            <v>479.99998505899998</v>
          </cell>
          <cell r="AW268" t="str">
            <v>ГП</v>
          </cell>
          <cell r="AX268">
            <v>880.00001601600002</v>
          </cell>
          <cell r="AY268" t="str">
            <v>ГП</v>
          </cell>
          <cell r="AZ268">
            <v>1199.99998125</v>
          </cell>
          <cell r="BA268" t="str">
            <v>ГП</v>
          </cell>
          <cell r="BB268">
            <v>1449.9999773439999</v>
          </cell>
          <cell r="BC268" t="str">
            <v>ГК 83 1/8</v>
          </cell>
          <cell r="BD268">
            <v>1660.0000335939999</v>
          </cell>
          <cell r="BE268" t="str">
            <v>ГК 82 1/8</v>
          </cell>
          <cell r="BF268">
            <v>1800</v>
          </cell>
          <cell r="BG268" t="str">
            <v>ЦКсОК 5/16</v>
          </cell>
          <cell r="BH268">
            <v>1835</v>
          </cell>
          <cell r="BI268" t="str">
            <v>закрыт</v>
          </cell>
        </row>
        <row r="269">
          <cell r="J269">
            <v>1221</v>
          </cell>
          <cell r="K269" t="str">
            <v>К-56</v>
          </cell>
          <cell r="L269">
            <v>41976</v>
          </cell>
          <cell r="M269" t="str">
            <v>Гор.</v>
          </cell>
          <cell r="N269" t="str">
            <v>Р4+5+6_Block2</v>
          </cell>
          <cell r="O269" t="str">
            <v>Действующий</v>
          </cell>
          <cell r="P269" t="str">
            <v>В работе</v>
          </cell>
          <cell r="Q269">
            <v>-4</v>
          </cell>
          <cell r="U269">
            <v>203</v>
          </cell>
          <cell r="V269">
            <v>218.2</v>
          </cell>
          <cell r="W269">
            <v>0.98</v>
          </cell>
          <cell r="X269">
            <v>1.66</v>
          </cell>
          <cell r="Y269">
            <v>1.2019600193874052</v>
          </cell>
          <cell r="Z269">
            <v>1.454</v>
          </cell>
          <cell r="AA269">
            <v>0.83599999999999997</v>
          </cell>
          <cell r="AB269">
            <v>0.72</v>
          </cell>
          <cell r="AC269">
            <v>34.299999999999997</v>
          </cell>
          <cell r="AD269">
            <v>1.17</v>
          </cell>
          <cell r="AE269">
            <v>177.8</v>
          </cell>
          <cell r="AF269">
            <v>9.19</v>
          </cell>
          <cell r="AG269">
            <v>2572</v>
          </cell>
          <cell r="AH269" t="str">
            <v>1 ств 2900
2 ств 2970</v>
          </cell>
          <cell r="AI269" t="str">
            <v>1 ств 2900
2 ств 2970</v>
          </cell>
          <cell r="AM269" t="str">
            <v>открытый</v>
          </cell>
          <cell r="AN269" t="str">
            <v>2572-2900;
2572-2970</v>
          </cell>
          <cell r="AO269" t="str">
            <v>61,34;84,2</v>
          </cell>
          <cell r="AP269">
            <v>2572</v>
          </cell>
          <cell r="AQ269">
            <v>739</v>
          </cell>
          <cell r="AU269" t="str">
            <v>Газлифт</v>
          </cell>
          <cell r="AV269">
            <v>596.99998769499996</v>
          </cell>
          <cell r="AW269" t="str">
            <v>ГП</v>
          </cell>
          <cell r="AX269">
            <v>1192.000023047</v>
          </cell>
          <cell r="AY269" t="str">
            <v>ГК80 1/8</v>
          </cell>
          <cell r="AZ269">
            <v>1710.000032813</v>
          </cell>
          <cell r="BA269" t="str">
            <v>ГК80 5/32</v>
          </cell>
          <cell r="BB269">
            <v>2019.9999386720001</v>
          </cell>
          <cell r="BC269" t="str">
            <v>ЦКсОК 5/16</v>
          </cell>
          <cell r="BD269" t="str">
            <v>-</v>
          </cell>
          <cell r="BE269" t="str">
            <v>-</v>
          </cell>
          <cell r="BF269" t="str">
            <v>-</v>
          </cell>
          <cell r="BG269" t="str">
            <v>-</v>
          </cell>
          <cell r="BH269" t="str">
            <v>-</v>
          </cell>
          <cell r="BI269" t="str">
            <v>-</v>
          </cell>
        </row>
        <row r="270">
          <cell r="J270">
            <v>1222</v>
          </cell>
          <cell r="K270" t="str">
            <v>К-21</v>
          </cell>
          <cell r="L270">
            <v>42173</v>
          </cell>
          <cell r="M270" t="str">
            <v>Гор.</v>
          </cell>
          <cell r="N270" t="str">
            <v>Р4+5_Block3</v>
          </cell>
          <cell r="O270" t="str">
            <v>Действующий</v>
          </cell>
          <cell r="P270" t="str">
            <v>Остановлена</v>
          </cell>
          <cell r="Q270">
            <v>-4</v>
          </cell>
          <cell r="U270">
            <v>203</v>
          </cell>
          <cell r="V270">
            <v>218.2</v>
          </cell>
          <cell r="W270">
            <v>0.98</v>
          </cell>
          <cell r="X270">
            <v>1.66</v>
          </cell>
          <cell r="Y270">
            <v>1.0475425121444872</v>
          </cell>
          <cell r="Z270">
            <v>1.454</v>
          </cell>
          <cell r="AA270">
            <v>0.83599999999999997</v>
          </cell>
          <cell r="AB270">
            <v>0.72</v>
          </cell>
          <cell r="AC270">
            <v>34.299999999999997</v>
          </cell>
          <cell r="AD270">
            <v>1.17</v>
          </cell>
          <cell r="AE270">
            <v>177.8</v>
          </cell>
          <cell r="AF270">
            <v>9.19</v>
          </cell>
          <cell r="AG270">
            <v>2197</v>
          </cell>
          <cell r="AH270" t="str">
            <v>1 ств 2355
2 ств 2850</v>
          </cell>
          <cell r="AI270" t="str">
            <v>1 ств 2355
2 ств 2850</v>
          </cell>
          <cell r="AM270" t="str">
            <v>открытый</v>
          </cell>
          <cell r="AN270" t="str">
            <v>2100-2101; 2341-2342; 2597-2598; 2769-2770; 2868-2869</v>
          </cell>
          <cell r="AO270" t="str">
            <v>42,7;64,31</v>
          </cell>
          <cell r="AP270" t="str">
            <v>2197;2237</v>
          </cell>
          <cell r="AQ270">
            <v>175</v>
          </cell>
          <cell r="AU270" t="str">
            <v>Газлифт</v>
          </cell>
          <cell r="AV270">
            <v>659.99997480499997</v>
          </cell>
          <cell r="AW270" t="str">
            <v>ГК 88 1/8</v>
          </cell>
          <cell r="AX270">
            <v>1159.9999669920001</v>
          </cell>
          <cell r="AY270" t="str">
            <v>ГК88 1/8</v>
          </cell>
          <cell r="AZ270">
            <v>1519.999946484</v>
          </cell>
          <cell r="BA270" t="str">
            <v>ГК 88 1/8</v>
          </cell>
          <cell r="BB270">
            <v>1860.000030469</v>
          </cell>
          <cell r="BC270" t="str">
            <v>ЦКсОК 5/16</v>
          </cell>
          <cell r="BD270" t="str">
            <v>-</v>
          </cell>
          <cell r="BE270" t="str">
            <v>-</v>
          </cell>
          <cell r="BF270" t="str">
            <v>-</v>
          </cell>
          <cell r="BG270" t="str">
            <v>-</v>
          </cell>
          <cell r="BH270" t="str">
            <v>-</v>
          </cell>
          <cell r="BI270" t="str">
            <v>-</v>
          </cell>
        </row>
        <row r="271">
          <cell r="J271">
            <v>1223</v>
          </cell>
          <cell r="K271" t="str">
            <v>К-21</v>
          </cell>
          <cell r="L271">
            <v>42053</v>
          </cell>
          <cell r="M271" t="str">
            <v>Гор.</v>
          </cell>
          <cell r="N271" t="str">
            <v>Р4+5_Block3</v>
          </cell>
          <cell r="O271" t="str">
            <v>Действующий</v>
          </cell>
          <cell r="P271" t="str">
            <v>В работе</v>
          </cell>
          <cell r="Q271">
            <v>-4</v>
          </cell>
          <cell r="U271">
            <v>203</v>
          </cell>
          <cell r="V271">
            <v>218.2</v>
          </cell>
          <cell r="W271">
            <v>0.98</v>
          </cell>
          <cell r="X271">
            <v>1.66</v>
          </cell>
          <cell r="Y271">
            <v>0.99219321785801406</v>
          </cell>
          <cell r="Z271">
            <v>1.454</v>
          </cell>
          <cell r="AA271">
            <v>0.83599999999999997</v>
          </cell>
          <cell r="AB271">
            <v>0.72</v>
          </cell>
          <cell r="AC271">
            <v>34.299999999999997</v>
          </cell>
          <cell r="AD271">
            <v>1.17</v>
          </cell>
          <cell r="AE271">
            <v>177.8</v>
          </cell>
          <cell r="AF271">
            <v>9.19</v>
          </cell>
          <cell r="AG271">
            <v>2214</v>
          </cell>
          <cell r="AH271" t="str">
            <v>1 ств 2676
2 ств 2971</v>
          </cell>
          <cell r="AI271" t="str">
            <v>1 ств 2676
2 ств 2971</v>
          </cell>
          <cell r="AM271" t="str">
            <v>открытый</v>
          </cell>
          <cell r="AN271" t="str">
            <v xml:space="preserve"> 2214-2676;
 2270-2971</v>
          </cell>
          <cell r="AO271" t="str">
            <v>10,17;23,21</v>
          </cell>
          <cell r="AP271" t="str">
            <v>2214;2270</v>
          </cell>
          <cell r="AQ271">
            <v>291</v>
          </cell>
          <cell r="AU271" t="str">
            <v>Газлифт</v>
          </cell>
          <cell r="AV271">
            <v>449.999992969</v>
          </cell>
          <cell r="AW271" t="str">
            <v>ГП</v>
          </cell>
          <cell r="AX271">
            <v>809.99997246099997</v>
          </cell>
          <cell r="AY271" t="str">
            <v>ГП</v>
          </cell>
          <cell r="AZ271">
            <v>1089.999997852</v>
          </cell>
          <cell r="BA271" t="str">
            <v>ГП</v>
          </cell>
          <cell r="BB271">
            <v>1330.000008984</v>
          </cell>
          <cell r="BC271" t="str">
            <v>ГК 85 1/8</v>
          </cell>
          <cell r="BD271">
            <v>1530.0000058590001</v>
          </cell>
          <cell r="BE271" t="str">
            <v>ГК85 1/8</v>
          </cell>
          <cell r="BF271" t="str">
            <v>-</v>
          </cell>
          <cell r="BG271" t="str">
            <v>-</v>
          </cell>
          <cell r="BH271">
            <v>1850</v>
          </cell>
          <cell r="BI271" t="str">
            <v>открыт</v>
          </cell>
        </row>
        <row r="272">
          <cell r="J272">
            <v>1224</v>
          </cell>
          <cell r="K272" t="str">
            <v>К-9</v>
          </cell>
          <cell r="L272">
            <v>41603</v>
          </cell>
          <cell r="M272" t="str">
            <v>Гор.</v>
          </cell>
          <cell r="N272" t="str">
            <v>Р4+5_Block3</v>
          </cell>
          <cell r="O272" t="str">
            <v>Действующий</v>
          </cell>
          <cell r="P272" t="str">
            <v>В работе</v>
          </cell>
          <cell r="Q272">
            <v>-4</v>
          </cell>
          <cell r="R272" t="str">
            <v xml:space="preserve"> </v>
          </cell>
          <cell r="S272" t="str">
            <v xml:space="preserve"> </v>
          </cell>
          <cell r="U272">
            <v>203</v>
          </cell>
          <cell r="V272">
            <v>218.2</v>
          </cell>
          <cell r="W272">
            <v>0.98</v>
          </cell>
          <cell r="X272">
            <v>1.66</v>
          </cell>
          <cell r="Y272">
            <v>0.98008029573507216</v>
          </cell>
          <cell r="Z272">
            <v>1.454</v>
          </cell>
          <cell r="AA272">
            <v>0.83599999999999997</v>
          </cell>
          <cell r="AB272">
            <v>0.72</v>
          </cell>
          <cell r="AC272">
            <v>34.299999999999997</v>
          </cell>
          <cell r="AD272">
            <v>1.17</v>
          </cell>
          <cell r="AE272">
            <v>177.8</v>
          </cell>
          <cell r="AF272">
            <v>9.19</v>
          </cell>
          <cell r="AG272">
            <v>2068</v>
          </cell>
          <cell r="AH272">
            <v>2713</v>
          </cell>
          <cell r="AI272">
            <v>2713</v>
          </cell>
          <cell r="AM272" t="str">
            <v>открытый</v>
          </cell>
          <cell r="AN272" t="str">
            <v>2068-2713</v>
          </cell>
          <cell r="AO272">
            <v>6.42</v>
          </cell>
          <cell r="AP272">
            <v>2068</v>
          </cell>
          <cell r="AQ272">
            <v>82.54</v>
          </cell>
          <cell r="AU272" t="str">
            <v>Фон.</v>
          </cell>
          <cell r="AV272">
            <v>350</v>
          </cell>
          <cell r="AW272" t="str">
            <v>ГП</v>
          </cell>
          <cell r="AX272">
            <v>700</v>
          </cell>
          <cell r="AY272" t="str">
            <v>ГП</v>
          </cell>
          <cell r="AZ272">
            <v>1200</v>
          </cell>
          <cell r="BA272" t="str">
            <v>ГК 100 1/8</v>
          </cell>
          <cell r="BB272">
            <v>1808</v>
          </cell>
          <cell r="BC272" t="str">
            <v>ЦКсОК 5/16</v>
          </cell>
          <cell r="BD272" t="str">
            <v>-</v>
          </cell>
          <cell r="BE272" t="str">
            <v>-</v>
          </cell>
          <cell r="BF272" t="str">
            <v>-</v>
          </cell>
          <cell r="BG272" t="str">
            <v>-</v>
          </cell>
          <cell r="BH272">
            <v>1818</v>
          </cell>
          <cell r="BI272" t="str">
            <v>закрыт</v>
          </cell>
        </row>
        <row r="273">
          <cell r="J273">
            <v>1226</v>
          </cell>
          <cell r="K273" t="str">
            <v>К-21</v>
          </cell>
          <cell r="L273">
            <v>42131</v>
          </cell>
          <cell r="M273" t="str">
            <v>Гор.</v>
          </cell>
          <cell r="N273" t="str">
            <v>Р4+5_Block3</v>
          </cell>
          <cell r="O273" t="str">
            <v>Действующий</v>
          </cell>
          <cell r="P273" t="str">
            <v>В работе</v>
          </cell>
          <cell r="Q273">
            <v>-4</v>
          </cell>
          <cell r="U273">
            <v>203</v>
          </cell>
          <cell r="V273">
            <v>218.2</v>
          </cell>
          <cell r="W273">
            <v>0.98</v>
          </cell>
          <cell r="X273">
            <v>1.66</v>
          </cell>
          <cell r="Y273">
            <v>0.98160841861363191</v>
          </cell>
          <cell r="Z273">
            <v>1.454</v>
          </cell>
          <cell r="AA273">
            <v>0.83599999999999997</v>
          </cell>
          <cell r="AB273">
            <v>0.72</v>
          </cell>
          <cell r="AC273">
            <v>34.299999999999997</v>
          </cell>
          <cell r="AD273">
            <v>1.17</v>
          </cell>
          <cell r="AE273">
            <v>177.8</v>
          </cell>
          <cell r="AF273">
            <v>9.19</v>
          </cell>
          <cell r="AG273">
            <v>2175</v>
          </cell>
          <cell r="AH273" t="str">
            <v xml:space="preserve">1 ств 2393
2 ств 2780 </v>
          </cell>
          <cell r="AI273" t="str">
            <v xml:space="preserve">1 ств 2393
2 ств 2780 </v>
          </cell>
          <cell r="AM273" t="str">
            <v>открытый</v>
          </cell>
          <cell r="AN273" t="str">
            <v xml:space="preserve"> 2180-2393;
 2210-2780 </v>
          </cell>
          <cell r="AO273" t="str">
            <v>44,4;11</v>
          </cell>
          <cell r="AP273" t="str">
            <v>2180;2210</v>
          </cell>
          <cell r="AQ273">
            <v>192.8</v>
          </cell>
          <cell r="AU273" t="str">
            <v>Газлифт</v>
          </cell>
          <cell r="AV273">
            <v>519.99999931599996</v>
          </cell>
          <cell r="AW273" t="str">
            <v>ГП</v>
          </cell>
          <cell r="AX273">
            <v>980.00001445299995</v>
          </cell>
          <cell r="AY273" t="str">
            <v>ГП</v>
          </cell>
          <cell r="AZ273">
            <v>1330.000008984</v>
          </cell>
          <cell r="BA273" t="str">
            <v>ГК83 1/8</v>
          </cell>
          <cell r="BB273">
            <v>1560.000035156</v>
          </cell>
          <cell r="BC273" t="str">
            <v>ГК83 1/8</v>
          </cell>
          <cell r="BD273">
            <v>1740.0000621090001</v>
          </cell>
          <cell r="BE273" t="str">
            <v>ГК 91 1/8</v>
          </cell>
          <cell r="BF273" t="str">
            <v>-</v>
          </cell>
          <cell r="BG273" t="str">
            <v>-</v>
          </cell>
          <cell r="BH273">
            <v>1750</v>
          </cell>
          <cell r="BI273" t="str">
            <v>открыт</v>
          </cell>
        </row>
        <row r="274">
          <cell r="J274">
            <v>1230</v>
          </cell>
          <cell r="K274" t="str">
            <v>К-54</v>
          </cell>
          <cell r="L274">
            <v>43961</v>
          </cell>
          <cell r="M274" t="str">
            <v>Гор.</v>
          </cell>
          <cell r="N274" t="str">
            <v>P5i</v>
          </cell>
          <cell r="O274" t="str">
            <v>Действующий</v>
          </cell>
          <cell r="P274" t="str">
            <v>В работе</v>
          </cell>
          <cell r="Q274">
            <v>-4</v>
          </cell>
          <cell r="U274">
            <v>203</v>
          </cell>
          <cell r="V274">
            <v>218.2</v>
          </cell>
          <cell r="W274">
            <v>0.98</v>
          </cell>
          <cell r="X274">
            <v>1.66</v>
          </cell>
          <cell r="Y274">
            <v>1.1895291020766305</v>
          </cell>
          <cell r="Z274">
            <v>1.454</v>
          </cell>
          <cell r="AA274">
            <v>0.83599999999999997</v>
          </cell>
          <cell r="AB274">
            <v>0.72</v>
          </cell>
          <cell r="AC274">
            <v>34.299999999999997</v>
          </cell>
          <cell r="AD274">
            <v>1.17</v>
          </cell>
          <cell r="AE274">
            <v>177.8</v>
          </cell>
          <cell r="AF274">
            <v>9.19</v>
          </cell>
          <cell r="AG274">
            <v>2050</v>
          </cell>
          <cell r="AH274">
            <v>2671</v>
          </cell>
          <cell r="AI274">
            <v>2671</v>
          </cell>
          <cell r="AM274" t="str">
            <v>открытый</v>
          </cell>
          <cell r="AN274" t="str">
            <v>2050-2671</v>
          </cell>
          <cell r="AO274">
            <v>75.13</v>
          </cell>
          <cell r="AP274">
            <v>2050</v>
          </cell>
          <cell r="AQ274">
            <v>189.9</v>
          </cell>
          <cell r="AU274" t="str">
            <v>Газлифт</v>
          </cell>
          <cell r="AV274">
            <v>470.00000009799999</v>
          </cell>
          <cell r="AW274" t="str">
            <v>ГП</v>
          </cell>
          <cell r="AX274">
            <v>861.99999843800003</v>
          </cell>
          <cell r="AY274" t="str">
            <v>ГП</v>
          </cell>
          <cell r="AZ274">
            <v>1181.9999636719999</v>
          </cell>
          <cell r="BA274" t="str">
            <v>ГК87 1/8</v>
          </cell>
          <cell r="BB274">
            <v>1442.0000191409999</v>
          </cell>
          <cell r="BC274" t="str">
            <v>ГК 86 5/32</v>
          </cell>
          <cell r="BD274">
            <v>1684.0000570310001</v>
          </cell>
          <cell r="BE274" t="str">
            <v>ЦКсОК 5/16</v>
          </cell>
          <cell r="BF274" t="str">
            <v>-</v>
          </cell>
          <cell r="BG274" t="str">
            <v>-</v>
          </cell>
          <cell r="BH274">
            <v>1800</v>
          </cell>
          <cell r="BI274" t="str">
            <v>закрыт</v>
          </cell>
        </row>
        <row r="275">
          <cell r="J275">
            <v>1233</v>
          </cell>
          <cell r="K275" t="str">
            <v>К-54</v>
          </cell>
          <cell r="L275">
            <v>43933</v>
          </cell>
          <cell r="M275" t="str">
            <v>Гор.</v>
          </cell>
          <cell r="N275" t="str">
            <v>Р4+5_Block3</v>
          </cell>
          <cell r="O275" t="str">
            <v>Действующий</v>
          </cell>
          <cell r="P275" t="str">
            <v>В работе</v>
          </cell>
          <cell r="Q275">
            <v>-4</v>
          </cell>
          <cell r="U275">
            <v>203</v>
          </cell>
          <cell r="V275">
            <v>218.2</v>
          </cell>
          <cell r="W275">
            <v>0.98</v>
          </cell>
          <cell r="X275">
            <v>1.66</v>
          </cell>
          <cell r="Y275">
            <v>1.0441591784338895</v>
          </cell>
          <cell r="Z275">
            <v>1.454</v>
          </cell>
          <cell r="AA275">
            <v>0.83599999999999997</v>
          </cell>
          <cell r="AB275">
            <v>0.72</v>
          </cell>
          <cell r="AC275">
            <v>34.299999999999997</v>
          </cell>
          <cell r="AD275">
            <v>1.17</v>
          </cell>
          <cell r="AE275">
            <v>177.8</v>
          </cell>
          <cell r="AF275">
            <v>9.19</v>
          </cell>
          <cell r="AG275">
            <v>2135</v>
          </cell>
          <cell r="AH275">
            <v>2774</v>
          </cell>
          <cell r="AI275">
            <v>2774</v>
          </cell>
          <cell r="AM275" t="str">
            <v>открытый</v>
          </cell>
          <cell r="AN275" t="str">
            <v>2135-2774</v>
          </cell>
          <cell r="AO275">
            <v>27.71</v>
          </cell>
          <cell r="AP275">
            <v>2135</v>
          </cell>
          <cell r="AQ275">
            <v>267.20000000000005</v>
          </cell>
          <cell r="AU275" t="str">
            <v>Фон.</v>
          </cell>
          <cell r="AV275">
            <v>504.00000849600002</v>
          </cell>
          <cell r="AW275" t="str">
            <v>ГП</v>
          </cell>
          <cell r="AX275">
            <v>929</v>
          </cell>
          <cell r="AY275" t="str">
            <v>ГК 87 1/8</v>
          </cell>
          <cell r="AZ275">
            <v>1280.999985938</v>
          </cell>
          <cell r="BA275" t="str">
            <v>ГК 85 5/32</v>
          </cell>
          <cell r="BB275">
            <v>1571</v>
          </cell>
          <cell r="BC275" t="str">
            <v>ГК 85 5/32</v>
          </cell>
          <cell r="BD275">
            <v>1847.0000425779999</v>
          </cell>
          <cell r="BE275" t="str">
            <v>ЦКсОК 5/16</v>
          </cell>
          <cell r="BF275" t="str">
            <v>-</v>
          </cell>
          <cell r="BG275" t="str">
            <v>-</v>
          </cell>
          <cell r="BH275">
            <v>1880</v>
          </cell>
          <cell r="BI275" t="str">
            <v>закрыт</v>
          </cell>
        </row>
        <row r="276">
          <cell r="J276">
            <v>1234</v>
          </cell>
          <cell r="K276" t="str">
            <v>К-102</v>
          </cell>
          <cell r="L276">
            <v>42643</v>
          </cell>
          <cell r="M276" t="str">
            <v>Гор.</v>
          </cell>
          <cell r="N276" t="str">
            <v>Р4+5_Block3</v>
          </cell>
          <cell r="O276" t="str">
            <v>Действующий</v>
          </cell>
          <cell r="P276" t="str">
            <v>В работе</v>
          </cell>
          <cell r="Q276">
            <v>-4</v>
          </cell>
          <cell r="U276">
            <v>203</v>
          </cell>
          <cell r="V276">
            <v>218.2</v>
          </cell>
          <cell r="W276">
            <v>0.98</v>
          </cell>
          <cell r="X276">
            <v>1.66</v>
          </cell>
          <cell r="Y276">
            <v>0.98565265862052243</v>
          </cell>
          <cell r="Z276">
            <v>1.454</v>
          </cell>
          <cell r="AA276">
            <v>0.83599999999999997</v>
          </cell>
          <cell r="AB276">
            <v>0.72</v>
          </cell>
          <cell r="AC276">
            <v>34.299999999999997</v>
          </cell>
          <cell r="AD276">
            <v>1.17</v>
          </cell>
          <cell r="AE276">
            <v>177.8</v>
          </cell>
          <cell r="AF276">
            <v>9.19</v>
          </cell>
          <cell r="AG276">
            <v>2214</v>
          </cell>
          <cell r="AH276">
            <v>2810</v>
          </cell>
          <cell r="AI276">
            <v>2810</v>
          </cell>
          <cell r="AM276" t="str">
            <v>открытый</v>
          </cell>
          <cell r="AN276" t="str">
            <v>2220-2810</v>
          </cell>
          <cell r="AO276">
            <v>15.17</v>
          </cell>
          <cell r="AP276">
            <v>2220</v>
          </cell>
          <cell r="AQ276">
            <v>351.7</v>
          </cell>
          <cell r="AU276" t="str">
            <v>Фон.</v>
          </cell>
          <cell r="AV276">
            <v>500</v>
          </cell>
          <cell r="AW276" t="str">
            <v>ГК 83/1,5</v>
          </cell>
          <cell r="AX276">
            <v>900</v>
          </cell>
          <cell r="AY276" t="str">
            <v>ГК 84/1,5</v>
          </cell>
          <cell r="AZ276">
            <v>1220</v>
          </cell>
          <cell r="BA276" t="str">
            <v>ГК 80/1,5</v>
          </cell>
          <cell r="BB276">
            <v>1480</v>
          </cell>
          <cell r="BC276" t="str">
            <v>ГК 77/1,5</v>
          </cell>
          <cell r="BD276">
            <v>1720</v>
          </cell>
          <cell r="BE276" t="str">
            <v>ЦКсОК 5/16</v>
          </cell>
          <cell r="BF276" t="str">
            <v>-</v>
          </cell>
          <cell r="BG276" t="str">
            <v>-</v>
          </cell>
          <cell r="BH276">
            <v>1815</v>
          </cell>
          <cell r="BI276" t="str">
            <v>закрыт</v>
          </cell>
        </row>
        <row r="277">
          <cell r="J277">
            <v>1236</v>
          </cell>
          <cell r="K277" t="str">
            <v>К-1015-1</v>
          </cell>
          <cell r="L277">
            <v>44242</v>
          </cell>
          <cell r="M277" t="str">
            <v>Гор.</v>
          </cell>
          <cell r="N277" t="str">
            <v>P5i</v>
          </cell>
          <cell r="O277" t="str">
            <v>Действующий</v>
          </cell>
          <cell r="P277" t="str">
            <v>В работе</v>
          </cell>
          <cell r="Q277">
            <v>-4</v>
          </cell>
          <cell r="U277">
            <v>203</v>
          </cell>
          <cell r="V277">
            <v>218.2</v>
          </cell>
          <cell r="W277">
            <v>0.98</v>
          </cell>
          <cell r="X277">
            <v>1.66</v>
          </cell>
          <cell r="Y277">
            <v>1.2136675619218142</v>
          </cell>
          <cell r="Z277">
            <v>1.454</v>
          </cell>
          <cell r="AA277">
            <v>0.83599999999999997</v>
          </cell>
          <cell r="AB277">
            <v>0.72</v>
          </cell>
          <cell r="AC277">
            <v>34.299999999999997</v>
          </cell>
          <cell r="AD277">
            <v>1.17</v>
          </cell>
          <cell r="AE277">
            <v>177.8</v>
          </cell>
          <cell r="AF277">
            <v>9.19</v>
          </cell>
          <cell r="AG277">
            <v>2439</v>
          </cell>
          <cell r="AH277">
            <v>3296</v>
          </cell>
          <cell r="AI277">
            <v>3296</v>
          </cell>
          <cell r="AJ277">
            <v>44000</v>
          </cell>
          <cell r="AM277" t="str">
            <v>открытый</v>
          </cell>
          <cell r="AN277" t="str">
            <v>2439-3296</v>
          </cell>
          <cell r="AO277">
            <v>8.5500000000000007</v>
          </cell>
          <cell r="AP277">
            <v>2439</v>
          </cell>
          <cell r="AQ277">
            <v>483.65112081513826</v>
          </cell>
          <cell r="AU277" t="str">
            <v>ЭЦН</v>
          </cell>
          <cell r="AV277">
            <v>300</v>
          </cell>
          <cell r="AW277" t="str">
            <v>ГП</v>
          </cell>
          <cell r="AX277" t="str">
            <v>-</v>
          </cell>
          <cell r="AY277" t="str">
            <v>-</v>
          </cell>
          <cell r="AZ277" t="str">
            <v>-</v>
          </cell>
          <cell r="BA277" t="str">
            <v>-</v>
          </cell>
          <cell r="BB277" t="str">
            <v>-</v>
          </cell>
          <cell r="BC277" t="str">
            <v>-</v>
          </cell>
          <cell r="BD277" t="str">
            <v>-</v>
          </cell>
          <cell r="BE277" t="str">
            <v>-</v>
          </cell>
          <cell r="BF277" t="str">
            <v>-</v>
          </cell>
          <cell r="BG277" t="str">
            <v>-</v>
          </cell>
          <cell r="BH277">
            <v>2109</v>
          </cell>
          <cell r="BI277" t="str">
            <v>закрыт</v>
          </cell>
          <cell r="BK277" t="str">
            <v>D460N</v>
          </cell>
          <cell r="BM277">
            <v>2480</v>
          </cell>
          <cell r="BN277">
            <v>54</v>
          </cell>
        </row>
        <row r="278">
          <cell r="J278">
            <v>1240</v>
          </cell>
          <cell r="K278" t="str">
            <v>Без куста</v>
          </cell>
          <cell r="L278">
            <v>43608</v>
          </cell>
          <cell r="M278" t="str">
            <v>Гор.</v>
          </cell>
          <cell r="N278" t="str">
            <v>Р4+5_Block3</v>
          </cell>
          <cell r="O278" t="str">
            <v>В бездействии текущего года</v>
          </cell>
          <cell r="P278" t="str">
            <v>Остановлена</v>
          </cell>
          <cell r="Q278">
            <v>-4</v>
          </cell>
          <cell r="U278">
            <v>203</v>
          </cell>
          <cell r="V278">
            <v>218.2</v>
          </cell>
          <cell r="W278">
            <v>0.98</v>
          </cell>
          <cell r="X278">
            <v>1.66</v>
          </cell>
          <cell r="Y278">
            <v>1.5324039186134137</v>
          </cell>
          <cell r="Z278">
            <v>1.454</v>
          </cell>
          <cell r="AA278">
            <v>0.83599999999999997</v>
          </cell>
          <cell r="AB278">
            <v>0.72</v>
          </cell>
          <cell r="AC278">
            <v>34.299999999999997</v>
          </cell>
          <cell r="AD278">
            <v>1.17</v>
          </cell>
          <cell r="AE278">
            <v>177.8</v>
          </cell>
          <cell r="AF278">
            <v>9.19</v>
          </cell>
          <cell r="AG278">
            <v>2365</v>
          </cell>
          <cell r="AH278">
            <v>2882</v>
          </cell>
          <cell r="AI278">
            <v>2882</v>
          </cell>
          <cell r="AM278" t="str">
            <v>открытый</v>
          </cell>
          <cell r="AN278" t="str">
            <v>2365-2882</v>
          </cell>
          <cell r="AO278">
            <v>42.62</v>
          </cell>
          <cell r="AP278">
            <v>2365</v>
          </cell>
          <cell r="AQ278">
            <v>415.06999999999994</v>
          </cell>
          <cell r="AU278" t="str">
            <v>ЭЦН</v>
          </cell>
          <cell r="AV278">
            <v>300</v>
          </cell>
          <cell r="AW278" t="str">
            <v>ГП</v>
          </cell>
          <cell r="AX278" t="str">
            <v>-</v>
          </cell>
          <cell r="AY278" t="str">
            <v>-</v>
          </cell>
          <cell r="AZ278" t="str">
            <v>-</v>
          </cell>
          <cell r="BA278" t="str">
            <v>-</v>
          </cell>
          <cell r="BB278" t="str">
            <v>-</v>
          </cell>
          <cell r="BC278" t="str">
            <v>-</v>
          </cell>
          <cell r="BD278" t="str">
            <v>-</v>
          </cell>
          <cell r="BE278" t="str">
            <v>-</v>
          </cell>
          <cell r="BF278" t="str">
            <v>-</v>
          </cell>
          <cell r="BG278" t="str">
            <v>-</v>
          </cell>
          <cell r="BH278">
            <v>2145</v>
          </cell>
          <cell r="BI278" t="str">
            <v>закр</v>
          </cell>
          <cell r="BK278" t="str">
            <v xml:space="preserve">D800N </v>
          </cell>
          <cell r="BM278">
            <v>1249</v>
          </cell>
          <cell r="BN278">
            <v>50</v>
          </cell>
          <cell r="BO278">
            <v>51</v>
          </cell>
        </row>
        <row r="279">
          <cell r="J279">
            <v>1241</v>
          </cell>
          <cell r="K279" t="str">
            <v>К-26</v>
          </cell>
          <cell r="L279">
            <v>41926</v>
          </cell>
          <cell r="M279" t="str">
            <v>Гор.</v>
          </cell>
          <cell r="N279" t="str">
            <v>Р4+5_Block3</v>
          </cell>
          <cell r="O279" t="str">
            <v>Действующий</v>
          </cell>
          <cell r="P279" t="str">
            <v>В работе</v>
          </cell>
          <cell r="Q279">
            <v>-4</v>
          </cell>
          <cell r="U279">
            <v>203</v>
          </cell>
          <cell r="V279">
            <v>218.2</v>
          </cell>
          <cell r="W279">
            <v>0.98</v>
          </cell>
          <cell r="X279">
            <v>1.66</v>
          </cell>
          <cell r="Y279">
            <v>0.98120581919949812</v>
          </cell>
          <cell r="Z279">
            <v>1.454</v>
          </cell>
          <cell r="AA279">
            <v>0.83599999999999997</v>
          </cell>
          <cell r="AB279">
            <v>0.72</v>
          </cell>
          <cell r="AC279">
            <v>34.299999999999997</v>
          </cell>
          <cell r="AD279">
            <v>1.17</v>
          </cell>
          <cell r="AE279">
            <v>177.8</v>
          </cell>
          <cell r="AF279">
            <v>9.19</v>
          </cell>
          <cell r="AG279">
            <v>2091</v>
          </cell>
          <cell r="AH279" t="str">
            <v>1 ств 2373
2 ств 2737
3 ств 2737</v>
          </cell>
          <cell r="AI279" t="str">
            <v>1 ств 2373
2 ств 2737
3 ств 2737</v>
          </cell>
          <cell r="AM279" t="str">
            <v>открытый</v>
          </cell>
          <cell r="AN279" t="str">
            <v xml:space="preserve"> 2091-2373;
 2091-2737;
 2091-2737</v>
          </cell>
          <cell r="AO279">
            <v>52.1</v>
          </cell>
          <cell r="AP279">
            <v>2091</v>
          </cell>
          <cell r="AQ279">
            <v>165.86</v>
          </cell>
          <cell r="AU279" t="str">
            <v>Газлифт</v>
          </cell>
          <cell r="AV279">
            <v>599.99999062500001</v>
          </cell>
          <cell r="AW279" t="str">
            <v>ГК 83 1/8</v>
          </cell>
          <cell r="AX279">
            <v>1199.99998125</v>
          </cell>
          <cell r="AY279" t="str">
            <v>ГК 80 1/8</v>
          </cell>
          <cell r="AZ279">
            <v>1499.999976563</v>
          </cell>
          <cell r="BA279" t="str">
            <v>ГК 81 1/8</v>
          </cell>
          <cell r="BB279" t="str">
            <v>-</v>
          </cell>
          <cell r="BC279" t="str">
            <v>-</v>
          </cell>
          <cell r="BD279" t="str">
            <v>-</v>
          </cell>
          <cell r="BE279" t="str">
            <v>-</v>
          </cell>
          <cell r="BF279" t="str">
            <v>-</v>
          </cell>
          <cell r="BG279" t="str">
            <v>-</v>
          </cell>
          <cell r="BH279">
            <v>1810</v>
          </cell>
          <cell r="BI279" t="str">
            <v>закрыт</v>
          </cell>
        </row>
        <row r="280">
          <cell r="J280">
            <v>1244</v>
          </cell>
          <cell r="K280" t="str">
            <v>К-30</v>
          </cell>
          <cell r="L280">
            <v>42014</v>
          </cell>
          <cell r="M280" t="str">
            <v>Гор.</v>
          </cell>
          <cell r="N280" t="str">
            <v>Р4+5+6_Block2</v>
          </cell>
          <cell r="O280" t="str">
            <v>Действующий</v>
          </cell>
          <cell r="P280" t="str">
            <v>В работе</v>
          </cell>
          <cell r="Q280">
            <v>-4</v>
          </cell>
          <cell r="U280">
            <v>203</v>
          </cell>
          <cell r="V280">
            <v>218.2</v>
          </cell>
          <cell r="W280">
            <v>0.98</v>
          </cell>
          <cell r="X280">
            <v>1.66</v>
          </cell>
          <cell r="Y280">
            <v>0.98</v>
          </cell>
          <cell r="Z280">
            <v>1.454</v>
          </cell>
          <cell r="AA280">
            <v>0.83599999999999997</v>
          </cell>
          <cell r="AB280">
            <v>0.72</v>
          </cell>
          <cell r="AC280">
            <v>34.299999999999997</v>
          </cell>
          <cell r="AD280">
            <v>1.17</v>
          </cell>
          <cell r="AE280">
            <v>177.8</v>
          </cell>
          <cell r="AF280">
            <v>9.19</v>
          </cell>
          <cell r="AG280">
            <v>2271</v>
          </cell>
          <cell r="AH280">
            <v>2990</v>
          </cell>
          <cell r="AI280">
            <v>2990</v>
          </cell>
          <cell r="AM280" t="str">
            <v>открытый</v>
          </cell>
          <cell r="AN280" t="str">
            <v>2190-2216; 2226-2250; 2271-2990</v>
          </cell>
          <cell r="AO280">
            <v>76.459999999999994</v>
          </cell>
          <cell r="AP280">
            <v>2190</v>
          </cell>
          <cell r="AQ280">
            <v>396</v>
          </cell>
          <cell r="AU280" t="str">
            <v>Газлифт</v>
          </cell>
          <cell r="AV280">
            <v>549.99999140600005</v>
          </cell>
          <cell r="AW280" t="str">
            <v>ГП</v>
          </cell>
          <cell r="AX280">
            <v>999.99998437500005</v>
          </cell>
          <cell r="AY280" t="str">
            <v>ГП</v>
          </cell>
          <cell r="AZ280">
            <v>1349.999978906</v>
          </cell>
          <cell r="BA280" t="str">
            <v>ГП</v>
          </cell>
          <cell r="BB280">
            <v>1699.9999734380001</v>
          </cell>
          <cell r="BC280" t="str">
            <v>ЦКсОК 5/16</v>
          </cell>
          <cell r="BD280" t="str">
            <v>-</v>
          </cell>
          <cell r="BE280" t="str">
            <v>-</v>
          </cell>
          <cell r="BF280" t="str">
            <v>-</v>
          </cell>
          <cell r="BG280" t="str">
            <v>-</v>
          </cell>
          <cell r="BH280">
            <v>1740</v>
          </cell>
          <cell r="BI280" t="str">
            <v>закрыт</v>
          </cell>
        </row>
        <row r="281">
          <cell r="J281">
            <v>1246</v>
          </cell>
          <cell r="K281" t="str">
            <v>К-31/1</v>
          </cell>
          <cell r="L281">
            <v>42144</v>
          </cell>
          <cell r="M281" t="str">
            <v>Гор.</v>
          </cell>
          <cell r="N281" t="str">
            <v>P4+5+6_Block1_yug</v>
          </cell>
          <cell r="O281" t="str">
            <v>Действующий</v>
          </cell>
          <cell r="P281" t="str">
            <v>В работе</v>
          </cell>
          <cell r="Q281">
            <v>-4</v>
          </cell>
          <cell r="U281">
            <v>203</v>
          </cell>
          <cell r="V281">
            <v>218.2</v>
          </cell>
          <cell r="W281">
            <v>0.98</v>
          </cell>
          <cell r="X281">
            <v>1.66</v>
          </cell>
          <cell r="Y281">
            <v>0.98080354989630048</v>
          </cell>
          <cell r="Z281">
            <v>1.454</v>
          </cell>
          <cell r="AA281">
            <v>0.83599999999999997</v>
          </cell>
          <cell r="AB281">
            <v>0.72</v>
          </cell>
          <cell r="AC281">
            <v>34.299999999999997</v>
          </cell>
          <cell r="AD281">
            <v>1.17</v>
          </cell>
          <cell r="AE281">
            <v>177.8</v>
          </cell>
          <cell r="AF281">
            <v>9.19</v>
          </cell>
          <cell r="AG281">
            <v>2330</v>
          </cell>
          <cell r="AH281">
            <v>3095</v>
          </cell>
          <cell r="AI281">
            <v>3095</v>
          </cell>
          <cell r="AM281" t="str">
            <v>открытый</v>
          </cell>
          <cell r="AN281" t="str">
            <v>2330-3095</v>
          </cell>
          <cell r="AO281">
            <v>24.56</v>
          </cell>
          <cell r="AP281">
            <v>2330</v>
          </cell>
          <cell r="AQ281">
            <v>420.84</v>
          </cell>
          <cell r="AU281" t="str">
            <v>Газлифт</v>
          </cell>
          <cell r="AV281">
            <v>374.999994141</v>
          </cell>
          <cell r="AW281" t="str">
            <v>ГП</v>
          </cell>
          <cell r="AX281">
            <v>745.00003300799995</v>
          </cell>
          <cell r="AY281" t="str">
            <v>ГП</v>
          </cell>
          <cell r="AZ281">
            <v>1139.9999970700001</v>
          </cell>
          <cell r="BA281" t="str">
            <v>ГК 90 5/32</v>
          </cell>
          <cell r="BB281">
            <v>1490.0000660159999</v>
          </cell>
          <cell r="BC281" t="str">
            <v>ГК83 5/32</v>
          </cell>
          <cell r="BD281" t="str">
            <v>-</v>
          </cell>
          <cell r="BE281" t="str">
            <v>-</v>
          </cell>
          <cell r="BF281" t="str">
            <v>-</v>
          </cell>
          <cell r="BG281" t="str">
            <v>-</v>
          </cell>
          <cell r="BH281">
            <v>1800</v>
          </cell>
          <cell r="BI281" t="str">
            <v>открыт</v>
          </cell>
        </row>
        <row r="282">
          <cell r="J282">
            <v>1247</v>
          </cell>
          <cell r="K282" t="str">
            <v>К-29</v>
          </cell>
          <cell r="L282">
            <v>42073</v>
          </cell>
          <cell r="M282" t="str">
            <v>Гор.</v>
          </cell>
          <cell r="N282" t="str">
            <v>Р4+5+6_Block2</v>
          </cell>
          <cell r="O282" t="str">
            <v>Действующий</v>
          </cell>
          <cell r="P282" t="str">
            <v>В работе</v>
          </cell>
          <cell r="Q282">
            <v>-4</v>
          </cell>
          <cell r="U282">
            <v>203</v>
          </cell>
          <cell r="V282">
            <v>218.2</v>
          </cell>
          <cell r="W282">
            <v>0.98</v>
          </cell>
          <cell r="X282">
            <v>1.66</v>
          </cell>
          <cell r="Y282">
            <v>0.98</v>
          </cell>
          <cell r="Z282">
            <v>1.454</v>
          </cell>
          <cell r="AA282">
            <v>0.83599999999999997</v>
          </cell>
          <cell r="AB282">
            <v>0.72</v>
          </cell>
          <cell r="AC282">
            <v>34.299999999999997</v>
          </cell>
          <cell r="AD282">
            <v>1.17</v>
          </cell>
          <cell r="AE282">
            <v>177.8</v>
          </cell>
          <cell r="AF282">
            <v>9.19</v>
          </cell>
          <cell r="AG282">
            <v>2367</v>
          </cell>
          <cell r="AH282" t="str">
            <v>1 ств 3052
2 ств 2700</v>
          </cell>
          <cell r="AI282" t="str">
            <v>1 ств 3052
2 ств 2700</v>
          </cell>
          <cell r="AM282" t="str">
            <v>открытый</v>
          </cell>
          <cell r="AN282" t="str">
            <v>2700-3052</v>
          </cell>
          <cell r="AO282">
            <v>57.16</v>
          </cell>
          <cell r="AP282">
            <v>2700</v>
          </cell>
          <cell r="AQ282">
            <v>203.43</v>
          </cell>
          <cell r="AU282" t="str">
            <v>Газлифт</v>
          </cell>
          <cell r="AV282">
            <v>399.99999374999999</v>
          </cell>
          <cell r="AW282" t="str">
            <v>ГП</v>
          </cell>
          <cell r="AX282">
            <v>780.00001757799998</v>
          </cell>
          <cell r="AY282" t="str">
            <v>ГП</v>
          </cell>
          <cell r="AZ282">
            <v>1130.000012109</v>
          </cell>
          <cell r="BA282" t="str">
            <v>ГП</v>
          </cell>
          <cell r="BB282">
            <v>1449.9999773439999</v>
          </cell>
          <cell r="BC282" t="str">
            <v>ГК86 5/32</v>
          </cell>
          <cell r="BD282" t="str">
            <v>-</v>
          </cell>
          <cell r="BE282" t="str">
            <v>-</v>
          </cell>
          <cell r="BF282" t="str">
            <v>-</v>
          </cell>
          <cell r="BG282" t="str">
            <v>-</v>
          </cell>
          <cell r="BH282">
            <v>1810</v>
          </cell>
          <cell r="BI282" t="str">
            <v>открыт</v>
          </cell>
        </row>
        <row r="283">
          <cell r="J283">
            <v>1249</v>
          </cell>
          <cell r="K283" t="str">
            <v>К-1249</v>
          </cell>
          <cell r="L283">
            <v>44085</v>
          </cell>
          <cell r="M283" t="str">
            <v>Гор.</v>
          </cell>
          <cell r="N283" t="str">
            <v>Р4+5+6_Block2</v>
          </cell>
          <cell r="O283" t="str">
            <v>Действующий</v>
          </cell>
          <cell r="P283" t="str">
            <v>В работе</v>
          </cell>
          <cell r="Q283">
            <v>-4</v>
          </cell>
          <cell r="U283">
            <v>203</v>
          </cell>
          <cell r="V283">
            <v>218.2</v>
          </cell>
          <cell r="W283">
            <v>0.98</v>
          </cell>
          <cell r="X283">
            <v>1.66</v>
          </cell>
          <cell r="Y283">
            <v>0.9902219538561926</v>
          </cell>
          <cell r="Z283">
            <v>1.454</v>
          </cell>
          <cell r="AA283">
            <v>0.83599999999999997</v>
          </cell>
          <cell r="AB283">
            <v>0.72</v>
          </cell>
          <cell r="AC283">
            <v>34.299999999999997</v>
          </cell>
          <cell r="AD283">
            <v>1.17</v>
          </cell>
          <cell r="AE283">
            <v>177.8</v>
          </cell>
          <cell r="AF283">
            <v>9.19</v>
          </cell>
          <cell r="AG283">
            <v>2307.4</v>
          </cell>
          <cell r="AH283">
            <v>2937</v>
          </cell>
          <cell r="AI283">
            <v>2937</v>
          </cell>
          <cell r="AM283" t="str">
            <v>открытый</v>
          </cell>
          <cell r="AN283" t="str">
            <v>2307,04-2937</v>
          </cell>
          <cell r="AO283">
            <v>59.6</v>
          </cell>
          <cell r="AP283">
            <v>2937</v>
          </cell>
          <cell r="AQ283">
            <v>415</v>
          </cell>
          <cell r="AU283" t="str">
            <v>Газлифт</v>
          </cell>
          <cell r="AV283">
            <v>493.00001015599997</v>
          </cell>
          <cell r="AW283" t="str">
            <v>ГП</v>
          </cell>
          <cell r="AX283">
            <v>970.00002949199995</v>
          </cell>
          <cell r="AY283" t="str">
            <v>ГК79 1/8</v>
          </cell>
          <cell r="AZ283">
            <v>1374.9999785160001</v>
          </cell>
          <cell r="BA283" t="str">
            <v>ГК79 1/8</v>
          </cell>
          <cell r="BB283">
            <v>1707.9999316410001</v>
          </cell>
          <cell r="BC283" t="str">
            <v>ГК78 1/8</v>
          </cell>
          <cell r="BD283">
            <v>1979.9999988279999</v>
          </cell>
          <cell r="BE283" t="str">
            <v>ЦКсОК 5/16</v>
          </cell>
          <cell r="BF283" t="str">
            <v>-</v>
          </cell>
          <cell r="BG283" t="str">
            <v>-</v>
          </cell>
          <cell r="BH283">
            <v>1991.43</v>
          </cell>
          <cell r="BI283" t="str">
            <v>закрыт</v>
          </cell>
        </row>
        <row r="284">
          <cell r="J284">
            <v>1250</v>
          </cell>
          <cell r="K284" t="str">
            <v>К-61</v>
          </cell>
          <cell r="L284">
            <v>42230</v>
          </cell>
          <cell r="M284" t="str">
            <v>Гор.</v>
          </cell>
          <cell r="N284" t="str">
            <v>Р4+5+6_Block2</v>
          </cell>
          <cell r="O284" t="str">
            <v>Действующий</v>
          </cell>
          <cell r="P284" t="str">
            <v>В работе</v>
          </cell>
          <cell r="Q284">
            <v>-4</v>
          </cell>
          <cell r="U284">
            <v>203</v>
          </cell>
          <cell r="V284">
            <v>218.2</v>
          </cell>
          <cell r="W284">
            <v>0.98</v>
          </cell>
          <cell r="X284">
            <v>1.66</v>
          </cell>
          <cell r="Y284">
            <v>0.98</v>
          </cell>
          <cell r="Z284">
            <v>1.454</v>
          </cell>
          <cell r="AA284">
            <v>0.83599999999999997</v>
          </cell>
          <cell r="AB284">
            <v>0.72</v>
          </cell>
          <cell r="AC284">
            <v>34.299999999999997</v>
          </cell>
          <cell r="AD284">
            <v>1.17</v>
          </cell>
          <cell r="AE284">
            <v>177.8</v>
          </cell>
          <cell r="AF284">
            <v>9.19</v>
          </cell>
          <cell r="AG284">
            <v>2338</v>
          </cell>
          <cell r="AH284">
            <v>3035</v>
          </cell>
          <cell r="AI284">
            <v>3035</v>
          </cell>
          <cell r="AM284" t="str">
            <v>открытый</v>
          </cell>
          <cell r="AN284" t="str">
            <v>2338-3035</v>
          </cell>
          <cell r="AO284">
            <v>33.18</v>
          </cell>
          <cell r="AP284">
            <v>2338</v>
          </cell>
          <cell r="AQ284">
            <v>258.44</v>
          </cell>
          <cell r="AU284" t="str">
            <v>Газлифт</v>
          </cell>
          <cell r="AV284">
            <v>549.99999140600005</v>
          </cell>
          <cell r="AW284" t="str">
            <v>ГП</v>
          </cell>
          <cell r="AX284">
            <v>980.00001445299995</v>
          </cell>
          <cell r="AY284" t="str">
            <v>ГК79 1/8</v>
          </cell>
          <cell r="AZ284">
            <v>1340.0000683589999</v>
          </cell>
          <cell r="BA284" t="str">
            <v>ГК78 1/8</v>
          </cell>
          <cell r="BB284">
            <v>1630.000004297</v>
          </cell>
          <cell r="BC284" t="str">
            <v>ГК78 1/8</v>
          </cell>
          <cell r="BD284">
            <v>1899.9999703129999</v>
          </cell>
          <cell r="BE284" t="str">
            <v>ЦКсОК 5/16</v>
          </cell>
          <cell r="BF284" t="str">
            <v>-</v>
          </cell>
          <cell r="BG284" t="str">
            <v>-</v>
          </cell>
          <cell r="BH284" t="str">
            <v>-</v>
          </cell>
          <cell r="BI284" t="str">
            <v>-</v>
          </cell>
        </row>
        <row r="285">
          <cell r="J285" t="str">
            <v>1252-1</v>
          </cell>
          <cell r="K285" t="str">
            <v>К-40-1</v>
          </cell>
          <cell r="L285">
            <v>42757</v>
          </cell>
          <cell r="M285" t="str">
            <v>Гор.</v>
          </cell>
          <cell r="N285" t="str">
            <v>Р4+5_Block3</v>
          </cell>
          <cell r="O285" t="str">
            <v>Действующий</v>
          </cell>
          <cell r="P285" t="str">
            <v>В работе</v>
          </cell>
          <cell r="Q285">
            <v>-4</v>
          </cell>
          <cell r="U285">
            <v>203</v>
          </cell>
          <cell r="V285">
            <v>218.2</v>
          </cell>
          <cell r="W285">
            <v>0.98</v>
          </cell>
          <cell r="X285">
            <v>1.66</v>
          </cell>
          <cell r="Y285">
            <v>0.98330295015062641</v>
          </cell>
          <cell r="Z285">
            <v>1.454</v>
          </cell>
          <cell r="AA285">
            <v>0.83599999999999997</v>
          </cell>
          <cell r="AB285">
            <v>0.72</v>
          </cell>
          <cell r="AC285">
            <v>34.299999999999997</v>
          </cell>
          <cell r="AD285">
            <v>1.17</v>
          </cell>
          <cell r="AE285">
            <v>177.8</v>
          </cell>
          <cell r="AF285">
            <v>9.19</v>
          </cell>
          <cell r="AG285">
            <v>2091</v>
          </cell>
          <cell r="AH285">
            <v>2706</v>
          </cell>
          <cell r="AI285">
            <v>2706</v>
          </cell>
          <cell r="AM285" t="str">
            <v>открытый</v>
          </cell>
          <cell r="AN285" t="str">
            <v xml:space="preserve">2091-2706 </v>
          </cell>
          <cell r="AO285">
            <v>6.51</v>
          </cell>
          <cell r="AP285">
            <v>2091</v>
          </cell>
          <cell r="AQ285">
            <v>217.37830985915502</v>
          </cell>
          <cell r="AU285" t="str">
            <v>Фон.</v>
          </cell>
          <cell r="AV285">
            <v>600</v>
          </cell>
          <cell r="AW285" t="str">
            <v>ГП</v>
          </cell>
          <cell r="AX285">
            <v>1100</v>
          </cell>
          <cell r="AY285" t="str">
            <v>ГП</v>
          </cell>
          <cell r="AZ285">
            <v>1470</v>
          </cell>
          <cell r="BA285" t="str">
            <v>ГП</v>
          </cell>
          <cell r="BB285">
            <v>1760</v>
          </cell>
          <cell r="BC285" t="str">
            <v>ЦКсОК 5/16</v>
          </cell>
          <cell r="BD285" t="str">
            <v>-</v>
          </cell>
          <cell r="BE285" t="str">
            <v>-</v>
          </cell>
          <cell r="BF285" t="str">
            <v>-</v>
          </cell>
          <cell r="BG285" t="str">
            <v>-</v>
          </cell>
          <cell r="BH285">
            <v>1770</v>
          </cell>
          <cell r="BI285" t="str">
            <v>закрыт</v>
          </cell>
        </row>
        <row r="286">
          <cell r="J286">
            <v>1256</v>
          </cell>
          <cell r="K286" t="str">
            <v>К-61</v>
          </cell>
          <cell r="L286">
            <v>42297</v>
          </cell>
          <cell r="M286" t="str">
            <v>Гор.</v>
          </cell>
          <cell r="N286" t="str">
            <v>Р4+5+6_Block2</v>
          </cell>
          <cell r="O286" t="str">
            <v>Действующий</v>
          </cell>
          <cell r="P286" t="str">
            <v>В работе</v>
          </cell>
          <cell r="Q286">
            <v>-4</v>
          </cell>
          <cell r="U286">
            <v>203</v>
          </cell>
          <cell r="V286">
            <v>218.2</v>
          </cell>
          <cell r="W286">
            <v>0.98</v>
          </cell>
          <cell r="X286">
            <v>1.66</v>
          </cell>
          <cell r="Y286">
            <v>0.98</v>
          </cell>
          <cell r="Z286">
            <v>1.454</v>
          </cell>
          <cell r="AA286">
            <v>0.83599999999999997</v>
          </cell>
          <cell r="AB286">
            <v>0.72</v>
          </cell>
          <cell r="AC286">
            <v>34.299999999999997</v>
          </cell>
          <cell r="AD286">
            <v>1.17</v>
          </cell>
          <cell r="AE286">
            <v>177.8</v>
          </cell>
          <cell r="AF286">
            <v>9.19</v>
          </cell>
          <cell r="AG286">
            <v>2123</v>
          </cell>
          <cell r="AH286" t="str">
            <v>1 ств 2851;
2 ств 3018</v>
          </cell>
          <cell r="AI286" t="str">
            <v>1 ств 2851;
2 ств 3018</v>
          </cell>
          <cell r="AJ286">
            <v>43115</v>
          </cell>
          <cell r="AK286" t="str">
            <v>По спущенной компановке</v>
          </cell>
          <cell r="AM286" t="str">
            <v>открытый</v>
          </cell>
          <cell r="AN286" t="str">
            <v xml:space="preserve"> 2123-2851;
 2206-3018</v>
          </cell>
          <cell r="AO286" t="str">
            <v>12,78;45,13</v>
          </cell>
          <cell r="AP286" t="str">
            <v>2123;
2206</v>
          </cell>
          <cell r="AQ286">
            <v>240.76</v>
          </cell>
          <cell r="AU286" t="str">
            <v>Газлифт</v>
          </cell>
          <cell r="AV286">
            <v>540.00000644500005</v>
          </cell>
          <cell r="AW286" t="str">
            <v>ГК 79 5/32</v>
          </cell>
          <cell r="AX286">
            <v>970.00002949199995</v>
          </cell>
          <cell r="AY286" t="str">
            <v>ГК 79 5/32</v>
          </cell>
          <cell r="AZ286">
            <v>1310.000039063</v>
          </cell>
          <cell r="BA286" t="str">
            <v>ГК 77 1/8</v>
          </cell>
          <cell r="BB286">
            <v>1590.000064453</v>
          </cell>
          <cell r="BC286" t="str">
            <v>ГК 77 1/8</v>
          </cell>
          <cell r="BD286">
            <v>1790.0000613279999</v>
          </cell>
          <cell r="BE286" t="str">
            <v>ЦКсОК 5/16</v>
          </cell>
          <cell r="BF286" t="str">
            <v>-</v>
          </cell>
          <cell r="BG286" t="str">
            <v>-</v>
          </cell>
          <cell r="BH286">
            <v>1800</v>
          </cell>
          <cell r="BI286" t="str">
            <v>Открыт</v>
          </cell>
        </row>
        <row r="287">
          <cell r="J287">
            <v>1257</v>
          </cell>
          <cell r="K287" t="str">
            <v>К-28</v>
          </cell>
          <cell r="L287">
            <v>43656</v>
          </cell>
          <cell r="M287" t="str">
            <v>Гор.</v>
          </cell>
          <cell r="N287" t="str">
            <v>Р4+5+6_Block2</v>
          </cell>
          <cell r="O287" t="str">
            <v>Действующий</v>
          </cell>
          <cell r="P287" t="str">
            <v>В работе</v>
          </cell>
          <cell r="Q287">
            <v>-4</v>
          </cell>
          <cell r="U287">
            <v>203</v>
          </cell>
          <cell r="V287">
            <v>218.2</v>
          </cell>
          <cell r="W287">
            <v>0.98</v>
          </cell>
          <cell r="X287">
            <v>1.66</v>
          </cell>
          <cell r="Y287">
            <v>0.98</v>
          </cell>
          <cell r="Z287">
            <v>1.454</v>
          </cell>
          <cell r="AA287">
            <v>0.83599999999999997</v>
          </cell>
          <cell r="AB287">
            <v>0.72</v>
          </cell>
          <cell r="AC287">
            <v>34.299999999999997</v>
          </cell>
          <cell r="AD287">
            <v>1.17</v>
          </cell>
          <cell r="AE287">
            <v>177.8</v>
          </cell>
          <cell r="AF287">
            <v>9.19</v>
          </cell>
          <cell r="AG287">
            <v>2133</v>
          </cell>
          <cell r="AH287">
            <v>2758</v>
          </cell>
          <cell r="AI287">
            <v>2758</v>
          </cell>
          <cell r="AM287" t="str">
            <v>открытый</v>
          </cell>
          <cell r="AN287" t="str">
            <v>2057-2758</v>
          </cell>
          <cell r="AO287">
            <v>165.81</v>
          </cell>
          <cell r="AP287">
            <v>2057</v>
          </cell>
          <cell r="AQ287">
            <v>169</v>
          </cell>
          <cell r="AU287" t="str">
            <v>Газлифт</v>
          </cell>
          <cell r="AV287">
            <v>529.99998427699995</v>
          </cell>
          <cell r="AW287" t="str">
            <v>ГП</v>
          </cell>
          <cell r="AX287">
            <v>959.99997011699998</v>
          </cell>
          <cell r="AY287" t="str">
            <v>ГП</v>
          </cell>
          <cell r="AZ287">
            <v>1299.9999796879999</v>
          </cell>
          <cell r="BA287" t="str">
            <v>ГК87 1/8</v>
          </cell>
          <cell r="BB287">
            <v>1580.000005078</v>
          </cell>
          <cell r="BC287" t="str">
            <v>ГК86 1/8</v>
          </cell>
          <cell r="BD287">
            <v>1769.9999425779999</v>
          </cell>
          <cell r="BE287" t="str">
            <v>ЦКсОК 5/16</v>
          </cell>
          <cell r="BF287" t="str">
            <v>-</v>
          </cell>
          <cell r="BG287" t="str">
            <v>-</v>
          </cell>
          <cell r="BH287">
            <v>1780</v>
          </cell>
          <cell r="BI287" t="str">
            <v>закрыт</v>
          </cell>
        </row>
        <row r="288">
          <cell r="J288">
            <v>1258</v>
          </cell>
          <cell r="K288" t="str">
            <v>К-28</v>
          </cell>
          <cell r="L288">
            <v>43494</v>
          </cell>
          <cell r="M288" t="str">
            <v>Гор.</v>
          </cell>
          <cell r="N288" t="str">
            <v>Р4+5+6_Block2</v>
          </cell>
          <cell r="O288" t="str">
            <v>Действующий</v>
          </cell>
          <cell r="P288" t="str">
            <v>В работе</v>
          </cell>
          <cell r="Q288">
            <v>-4</v>
          </cell>
          <cell r="U288">
            <v>203</v>
          </cell>
          <cell r="V288">
            <v>218.2</v>
          </cell>
          <cell r="W288">
            <v>0.98</v>
          </cell>
          <cell r="X288">
            <v>1.66</v>
          </cell>
          <cell r="Y288">
            <v>1.0053269722774969</v>
          </cell>
          <cell r="Z288">
            <v>1.454</v>
          </cell>
          <cell r="AA288">
            <v>0.83599999999999997</v>
          </cell>
          <cell r="AB288">
            <v>0.72</v>
          </cell>
          <cell r="AC288">
            <v>34.299999999999997</v>
          </cell>
          <cell r="AD288">
            <v>1.17</v>
          </cell>
          <cell r="AE288">
            <v>177.8</v>
          </cell>
          <cell r="AF288">
            <v>9.19</v>
          </cell>
          <cell r="AG288">
            <v>2129</v>
          </cell>
          <cell r="AH288">
            <v>2862</v>
          </cell>
          <cell r="AI288">
            <v>2862</v>
          </cell>
          <cell r="AM288" t="str">
            <v>открытый</v>
          </cell>
          <cell r="AN288" t="str">
            <v>2129-2862</v>
          </cell>
          <cell r="AO288">
            <v>76</v>
          </cell>
          <cell r="AP288">
            <v>2129</v>
          </cell>
          <cell r="AQ288">
            <v>204.79199999999992</v>
          </cell>
          <cell r="AU288" t="str">
            <v>Газлифт</v>
          </cell>
          <cell r="AV288">
            <v>549.99999140600005</v>
          </cell>
          <cell r="AW288" t="str">
            <v>ГП</v>
          </cell>
          <cell r="AX288">
            <v>1005.000014063</v>
          </cell>
          <cell r="AY288" t="str">
            <v>ГП</v>
          </cell>
          <cell r="AZ288">
            <v>1410.0000375</v>
          </cell>
          <cell r="BA288" t="str">
            <v>ГП</v>
          </cell>
          <cell r="BB288">
            <v>1724.9999730469999</v>
          </cell>
          <cell r="BC288" t="str">
            <v>ГП</v>
          </cell>
          <cell r="BD288">
            <v>1979.9999988279999</v>
          </cell>
          <cell r="BE288" t="str">
            <v>ЦКсОК 5/16</v>
          </cell>
          <cell r="BF288" t="str">
            <v>-</v>
          </cell>
          <cell r="BG288" t="str">
            <v>-</v>
          </cell>
          <cell r="BH288">
            <v>1990</v>
          </cell>
          <cell r="BI288" t="str">
            <v>закрыт</v>
          </cell>
        </row>
        <row r="289">
          <cell r="J289">
            <v>1260</v>
          </cell>
          <cell r="K289" t="str">
            <v>Без куста</v>
          </cell>
          <cell r="L289">
            <v>43557</v>
          </cell>
          <cell r="M289" t="str">
            <v>Гор.</v>
          </cell>
          <cell r="N289" t="str">
            <v>Р4+5_Block3, P5i</v>
          </cell>
          <cell r="O289" t="str">
            <v>Действующий</v>
          </cell>
          <cell r="P289" t="str">
            <v>В работе</v>
          </cell>
          <cell r="Q289">
            <v>-4</v>
          </cell>
          <cell r="U289">
            <v>203</v>
          </cell>
          <cell r="V289">
            <v>218.2</v>
          </cell>
          <cell r="W289">
            <v>0.98</v>
          </cell>
          <cell r="X289">
            <v>1.66</v>
          </cell>
          <cell r="Y289">
            <v>0.98080354989630048</v>
          </cell>
          <cell r="Z289">
            <v>1.454</v>
          </cell>
          <cell r="AA289">
            <v>0.83599999999999997</v>
          </cell>
          <cell r="AB289">
            <v>0.72</v>
          </cell>
          <cell r="AC289">
            <v>34.299999999999997</v>
          </cell>
          <cell r="AD289">
            <v>1.17</v>
          </cell>
          <cell r="AE289">
            <v>177.8</v>
          </cell>
          <cell r="AF289">
            <v>9.19</v>
          </cell>
          <cell r="AG289">
            <v>2276.8000000000002</v>
          </cell>
          <cell r="AH289">
            <v>2868</v>
          </cell>
          <cell r="AI289">
            <v>2868</v>
          </cell>
          <cell r="AM289" t="str">
            <v>открытый</v>
          </cell>
          <cell r="AN289" t="str">
            <v>2276,8-2868</v>
          </cell>
          <cell r="AO289">
            <v>88.6</v>
          </cell>
          <cell r="AP289">
            <v>2276.8000000000002</v>
          </cell>
          <cell r="AQ289">
            <v>394.96</v>
          </cell>
          <cell r="AU289" t="str">
            <v>Газлифт</v>
          </cell>
          <cell r="AV289">
            <v>599.99999062500001</v>
          </cell>
          <cell r="AW289" t="str">
            <v>ГП</v>
          </cell>
          <cell r="AX289">
            <v>1030.000013672</v>
          </cell>
          <cell r="AY289" t="str">
            <v>ГП</v>
          </cell>
          <cell r="AZ289">
            <v>1430.000007422</v>
          </cell>
          <cell r="BA289" t="str">
            <v>ГП</v>
          </cell>
          <cell r="BB289">
            <v>1690.000062891</v>
          </cell>
          <cell r="BC289" t="str">
            <v>ГП</v>
          </cell>
          <cell r="BD289">
            <v>1969.999939453</v>
          </cell>
          <cell r="BE289" t="str">
            <v>ЦКсОК 5/16</v>
          </cell>
          <cell r="BF289" t="str">
            <v>-</v>
          </cell>
          <cell r="BG289" t="str">
            <v>-</v>
          </cell>
          <cell r="BH289" t="str">
            <v>-</v>
          </cell>
          <cell r="BI289" t="str">
            <v>-</v>
          </cell>
        </row>
        <row r="290">
          <cell r="J290">
            <v>1261</v>
          </cell>
          <cell r="K290" t="str">
            <v>К-52</v>
          </cell>
          <cell r="L290">
            <v>42073</v>
          </cell>
          <cell r="M290" t="str">
            <v>Гор.</v>
          </cell>
          <cell r="N290" t="str">
            <v>Р4+5_Block3</v>
          </cell>
          <cell r="O290" t="str">
            <v>Действующий</v>
          </cell>
          <cell r="P290" t="str">
            <v>В работе</v>
          </cell>
          <cell r="Q290">
            <v>-4</v>
          </cell>
          <cell r="U290">
            <v>203</v>
          </cell>
          <cell r="V290">
            <v>218.2</v>
          </cell>
          <cell r="W290">
            <v>0.98</v>
          </cell>
          <cell r="X290">
            <v>1.66</v>
          </cell>
          <cell r="Y290">
            <v>0.98030921078479927</v>
          </cell>
          <cell r="Z290">
            <v>1.454</v>
          </cell>
          <cell r="AA290">
            <v>0.83599999999999997</v>
          </cell>
          <cell r="AB290">
            <v>0.72</v>
          </cell>
          <cell r="AC290">
            <v>34.299999999999997</v>
          </cell>
          <cell r="AD290">
            <v>1.17</v>
          </cell>
          <cell r="AE290" t="str">
            <v>177,8;114,3</v>
          </cell>
          <cell r="AF290" t="str">
            <v>9,19; 7,4</v>
          </cell>
          <cell r="AG290" t="str">
            <v>0-2034; 1879-2990</v>
          </cell>
          <cell r="AH290">
            <v>3002</v>
          </cell>
          <cell r="AI290">
            <v>3002</v>
          </cell>
          <cell r="AM290" t="str">
            <v>Закрытый</v>
          </cell>
          <cell r="AN290" t="str">
            <v>2179-2180; 2316-2317; 2475-2476; 
2625-2626; 2808-2809</v>
          </cell>
          <cell r="AO290">
            <v>25.97</v>
          </cell>
          <cell r="AP290">
            <v>2179</v>
          </cell>
          <cell r="AQ290">
            <v>148</v>
          </cell>
          <cell r="AU290" t="str">
            <v>Газлифт</v>
          </cell>
          <cell r="AV290">
            <v>379.99998662100001</v>
          </cell>
          <cell r="AW290" t="str">
            <v>ГП</v>
          </cell>
          <cell r="AX290">
            <v>730.00001835900002</v>
          </cell>
          <cell r="AY290" t="str">
            <v>ГП</v>
          </cell>
          <cell r="AZ290">
            <v>1059.9999685549999</v>
          </cell>
          <cell r="BA290" t="str">
            <v>ГП</v>
          </cell>
          <cell r="BB290">
            <v>1360.0000382809999</v>
          </cell>
          <cell r="BC290" t="str">
            <v>ГК83 1/8</v>
          </cell>
          <cell r="BD290">
            <v>1599.9999749999999</v>
          </cell>
          <cell r="BE290" t="str">
            <v>ГК82 1/8</v>
          </cell>
          <cell r="BF290" t="str">
            <v>-</v>
          </cell>
          <cell r="BG290" t="str">
            <v>-</v>
          </cell>
          <cell r="BH290">
            <v>1800</v>
          </cell>
          <cell r="BI290" t="str">
            <v>открыт</v>
          </cell>
        </row>
        <row r="291">
          <cell r="J291">
            <v>1262</v>
          </cell>
          <cell r="K291" t="str">
            <v>К-60</v>
          </cell>
          <cell r="L291">
            <v>42185</v>
          </cell>
          <cell r="M291" t="str">
            <v>Гор.</v>
          </cell>
          <cell r="N291" t="str">
            <v>Р4+5_Block3</v>
          </cell>
          <cell r="O291" t="str">
            <v>Действующий</v>
          </cell>
          <cell r="P291" t="str">
            <v>В работе</v>
          </cell>
          <cell r="Q291">
            <v>-4</v>
          </cell>
          <cell r="U291">
            <v>203</v>
          </cell>
          <cell r="V291">
            <v>218.2</v>
          </cell>
          <cell r="W291">
            <v>0.98</v>
          </cell>
          <cell r="X291">
            <v>1.66</v>
          </cell>
          <cell r="Y291">
            <v>0.98809523809523803</v>
          </cell>
          <cell r="Z291">
            <v>1.454</v>
          </cell>
          <cell r="AA291">
            <v>0.83599999999999997</v>
          </cell>
          <cell r="AB291">
            <v>0.72</v>
          </cell>
          <cell r="AC291">
            <v>34.299999999999997</v>
          </cell>
          <cell r="AD291">
            <v>1.17</v>
          </cell>
          <cell r="AE291">
            <v>177.8</v>
          </cell>
          <cell r="AF291">
            <v>9.19</v>
          </cell>
          <cell r="AG291">
            <v>2128</v>
          </cell>
          <cell r="AH291">
            <v>2751</v>
          </cell>
          <cell r="AI291">
            <v>2751</v>
          </cell>
          <cell r="AM291" t="str">
            <v>открытый</v>
          </cell>
          <cell r="AN291" t="str">
            <v>2129 - 2751</v>
          </cell>
          <cell r="AO291">
            <v>12.49</v>
          </cell>
          <cell r="AP291">
            <v>2129</v>
          </cell>
          <cell r="AQ291">
            <v>321.25</v>
          </cell>
          <cell r="AU291" t="str">
            <v>Газлифт</v>
          </cell>
          <cell r="AV291">
            <v>420.00000087900003</v>
          </cell>
          <cell r="AW291" t="str">
            <v>ГП</v>
          </cell>
          <cell r="AX291">
            <v>759.99997324200001</v>
          </cell>
          <cell r="AY291" t="str">
            <v>ГП</v>
          </cell>
          <cell r="AZ291">
            <v>1059.9999685549999</v>
          </cell>
          <cell r="BA291" t="str">
            <v>ГП</v>
          </cell>
          <cell r="BB291">
            <v>1340.0000683589999</v>
          </cell>
          <cell r="BC291" t="str">
            <v>ГК 89 1/8</v>
          </cell>
          <cell r="BD291">
            <v>1580.000005078</v>
          </cell>
          <cell r="BE291" t="str">
            <v>ГК 89 1/8</v>
          </cell>
          <cell r="BF291" t="str">
            <v>-</v>
          </cell>
          <cell r="BG291" t="str">
            <v>-</v>
          </cell>
          <cell r="BH291">
            <v>1770</v>
          </cell>
          <cell r="BI291" t="str">
            <v>закрыт</v>
          </cell>
        </row>
        <row r="292">
          <cell r="J292">
            <v>1284</v>
          </cell>
          <cell r="K292" t="str">
            <v>К-30</v>
          </cell>
          <cell r="L292">
            <v>41997</v>
          </cell>
          <cell r="M292" t="str">
            <v>Гор.</v>
          </cell>
          <cell r="N292" t="str">
            <v>Р4+5+6_Block2</v>
          </cell>
          <cell r="O292" t="str">
            <v>Действующий</v>
          </cell>
          <cell r="P292" t="str">
            <v>В работе</v>
          </cell>
          <cell r="Q292">
            <v>-4</v>
          </cell>
          <cell r="U292">
            <v>203</v>
          </cell>
          <cell r="V292">
            <v>218.2</v>
          </cell>
          <cell r="W292">
            <v>0.98</v>
          </cell>
          <cell r="X292">
            <v>1.66</v>
          </cell>
          <cell r="Y292">
            <v>0.98</v>
          </cell>
          <cell r="Z292">
            <v>1.454</v>
          </cell>
          <cell r="AA292">
            <v>0.83599999999999997</v>
          </cell>
          <cell r="AB292">
            <v>0.72</v>
          </cell>
          <cell r="AC292">
            <v>34.299999999999997</v>
          </cell>
          <cell r="AD292">
            <v>1.17</v>
          </cell>
          <cell r="AE292">
            <v>177.8</v>
          </cell>
          <cell r="AF292">
            <v>9.19</v>
          </cell>
          <cell r="AG292">
            <v>2264</v>
          </cell>
          <cell r="AH292" t="str">
            <v>1 ств 2418
2 ств 2597</v>
          </cell>
          <cell r="AI292" t="str">
            <v>1 ств 2418
2 ств 2597</v>
          </cell>
          <cell r="AM292" t="str">
            <v>открытый</v>
          </cell>
          <cell r="AN292" t="str">
            <v>-2160-2418,
-1800-2597</v>
          </cell>
          <cell r="AO292" t="str">
            <v>87,46;22,46</v>
          </cell>
          <cell r="AP292">
            <v>1800</v>
          </cell>
          <cell r="AQ292">
            <v>399.87</v>
          </cell>
          <cell r="AU292" t="str">
            <v>Газлифт</v>
          </cell>
          <cell r="AV292">
            <v>449.999992969</v>
          </cell>
          <cell r="AW292" t="str">
            <v>ГК 80 1/8</v>
          </cell>
          <cell r="AX292">
            <v>830.00001679699994</v>
          </cell>
          <cell r="AY292" t="str">
            <v>ГК 80 1/8</v>
          </cell>
          <cell r="AZ292">
            <v>1180.000011328</v>
          </cell>
          <cell r="BA292" t="str">
            <v>ГК 81 1/8</v>
          </cell>
          <cell r="BB292">
            <v>1449.9999773439999</v>
          </cell>
          <cell r="BC292" t="str">
            <v>ГК 84 5/32</v>
          </cell>
          <cell r="BD292">
            <v>1630.000004297</v>
          </cell>
          <cell r="BE292" t="str">
            <v>ЦКсОК 5/16</v>
          </cell>
          <cell r="BF292" t="str">
            <v>-</v>
          </cell>
          <cell r="BG292" t="str">
            <v>-</v>
          </cell>
          <cell r="BH292">
            <v>1640</v>
          </cell>
          <cell r="BI292" t="str">
            <v>закрыт</v>
          </cell>
        </row>
        <row r="293">
          <cell r="J293">
            <v>1285</v>
          </cell>
          <cell r="K293" t="str">
            <v>К-32</v>
          </cell>
          <cell r="L293">
            <v>43810</v>
          </cell>
          <cell r="M293" t="str">
            <v>Гор.</v>
          </cell>
          <cell r="N293" t="str">
            <v>Р4+5+6_Block2</v>
          </cell>
          <cell r="O293" t="str">
            <v>Действующий</v>
          </cell>
          <cell r="P293" t="str">
            <v>В работе</v>
          </cell>
          <cell r="Q293">
            <v>-4</v>
          </cell>
          <cell r="U293">
            <v>203</v>
          </cell>
          <cell r="V293">
            <v>218.2</v>
          </cell>
          <cell r="W293">
            <v>0.98</v>
          </cell>
          <cell r="X293">
            <v>1.66</v>
          </cell>
          <cell r="Y293">
            <v>0.99425498105366084</v>
          </cell>
          <cell r="Z293">
            <v>1.454</v>
          </cell>
          <cell r="AA293">
            <v>0.83599999999999997</v>
          </cell>
          <cell r="AB293">
            <v>0.72</v>
          </cell>
          <cell r="AC293">
            <v>34.299999999999997</v>
          </cell>
          <cell r="AD293">
            <v>1.17</v>
          </cell>
          <cell r="AE293">
            <v>177.8</v>
          </cell>
          <cell r="AF293">
            <v>9.19</v>
          </cell>
          <cell r="AG293">
            <v>2266</v>
          </cell>
          <cell r="AH293">
            <v>2982</v>
          </cell>
          <cell r="AI293">
            <v>2982</v>
          </cell>
          <cell r="AM293" t="str">
            <v>открытый</v>
          </cell>
          <cell r="AN293" t="str">
            <v>2266-2982</v>
          </cell>
          <cell r="AO293">
            <v>78.599999999999994</v>
          </cell>
          <cell r="AP293">
            <v>2266</v>
          </cell>
          <cell r="AQ293">
            <v>406.4</v>
          </cell>
          <cell r="AU293" t="str">
            <v>Газлифт</v>
          </cell>
          <cell r="AV293">
            <v>484.93698603500002</v>
          </cell>
          <cell r="AW293" t="str">
            <v>ГП</v>
          </cell>
          <cell r="AX293">
            <v>975.05497675799995</v>
          </cell>
          <cell r="AY293" t="str">
            <v>ГП</v>
          </cell>
          <cell r="AZ293">
            <v>1391.1100277339999</v>
          </cell>
          <cell r="BA293" t="str">
            <v>ГК85 5/32</v>
          </cell>
          <cell r="BB293">
            <v>1756.8700277339999</v>
          </cell>
          <cell r="BC293" t="str">
            <v>ГК85 5/32</v>
          </cell>
          <cell r="BD293">
            <v>1976.929972266</v>
          </cell>
          <cell r="BE293" t="str">
            <v>ГК 85 5/32</v>
          </cell>
          <cell r="BF293" t="str">
            <v>-</v>
          </cell>
          <cell r="BG293" t="str">
            <v>-</v>
          </cell>
          <cell r="BH293">
            <v>1990</v>
          </cell>
          <cell r="BI293" t="str">
            <v>закрыт</v>
          </cell>
        </row>
        <row r="294">
          <cell r="J294">
            <v>1286</v>
          </cell>
          <cell r="K294" t="str">
            <v>К-32</v>
          </cell>
          <cell r="L294">
            <v>43771</v>
          </cell>
          <cell r="M294" t="str">
            <v>Гор.</v>
          </cell>
          <cell r="N294" t="str">
            <v>Р4+5+6_Block2</v>
          </cell>
          <cell r="O294" t="str">
            <v>Действующий</v>
          </cell>
          <cell r="P294" t="str">
            <v>В работе</v>
          </cell>
          <cell r="Q294">
            <v>-4</v>
          </cell>
          <cell r="R294" t="str">
            <v xml:space="preserve"> </v>
          </cell>
          <cell r="S294" t="str">
            <v xml:space="preserve"> </v>
          </cell>
          <cell r="U294">
            <v>203</v>
          </cell>
          <cell r="V294">
            <v>218.2</v>
          </cell>
          <cell r="W294">
            <v>0.98</v>
          </cell>
          <cell r="X294">
            <v>1.66</v>
          </cell>
          <cell r="Y294">
            <v>0.98</v>
          </cell>
          <cell r="Z294">
            <v>1.454</v>
          </cell>
          <cell r="AA294">
            <v>0.83599999999999997</v>
          </cell>
          <cell r="AB294">
            <v>0.72</v>
          </cell>
          <cell r="AC294">
            <v>34.299999999999997</v>
          </cell>
          <cell r="AD294">
            <v>1.17</v>
          </cell>
          <cell r="AE294">
            <v>177.8</v>
          </cell>
          <cell r="AF294">
            <v>9.19</v>
          </cell>
          <cell r="AG294">
            <v>2324</v>
          </cell>
          <cell r="AH294">
            <v>3025</v>
          </cell>
          <cell r="AI294">
            <v>3025</v>
          </cell>
          <cell r="AM294" t="str">
            <v>открытый</v>
          </cell>
          <cell r="AN294" t="str">
            <v>2324-3025</v>
          </cell>
          <cell r="AO294">
            <v>49.75</v>
          </cell>
          <cell r="AP294">
            <v>2324</v>
          </cell>
          <cell r="AQ294">
            <v>456</v>
          </cell>
          <cell r="AU294" t="str">
            <v>Газлифт</v>
          </cell>
          <cell r="AV294">
            <v>499.99999218800002</v>
          </cell>
          <cell r="AW294" t="str">
            <v>ГП</v>
          </cell>
          <cell r="AX294">
            <v>980.00001445299995</v>
          </cell>
          <cell r="AY294" t="str">
            <v>ГП</v>
          </cell>
          <cell r="AZ294">
            <v>1399.9999781250001</v>
          </cell>
          <cell r="BA294" t="str">
            <v>ГК80 1/8</v>
          </cell>
          <cell r="BB294">
            <v>1744.9999429689999</v>
          </cell>
          <cell r="BC294" t="str">
            <v>ГК78 1/8</v>
          </cell>
          <cell r="BD294">
            <v>2069.9999378910002</v>
          </cell>
          <cell r="BE294" t="str">
            <v>ЦКсОК 5/16</v>
          </cell>
          <cell r="BF294" t="str">
            <v>-</v>
          </cell>
          <cell r="BG294" t="str">
            <v>-</v>
          </cell>
          <cell r="BH294">
            <v>2080</v>
          </cell>
          <cell r="BI294" t="str">
            <v>закрыт</v>
          </cell>
        </row>
        <row r="295">
          <cell r="J295">
            <v>1287</v>
          </cell>
          <cell r="K295" t="str">
            <v>К-22</v>
          </cell>
          <cell r="L295">
            <v>43658</v>
          </cell>
          <cell r="M295" t="str">
            <v>Гор.</v>
          </cell>
          <cell r="N295" t="str">
            <v>P4+5+6_Block1_yug</v>
          </cell>
          <cell r="O295" t="str">
            <v>Действующий</v>
          </cell>
          <cell r="P295" t="str">
            <v>В работе</v>
          </cell>
          <cell r="Q295">
            <v>-4</v>
          </cell>
          <cell r="R295">
            <v>43644</v>
          </cell>
          <cell r="S295" t="str">
            <v>МеКаМиНефть</v>
          </cell>
          <cell r="T295" t="str">
            <v>7 портов 350м3</v>
          </cell>
          <cell r="U295">
            <v>203</v>
          </cell>
          <cell r="V295">
            <v>218.2</v>
          </cell>
          <cell r="W295">
            <v>0.98</v>
          </cell>
          <cell r="X295">
            <v>1.66</v>
          </cell>
          <cell r="Y295">
            <v>0.98</v>
          </cell>
          <cell r="Z295">
            <v>1.454</v>
          </cell>
          <cell r="AA295">
            <v>0.83599999999999997</v>
          </cell>
          <cell r="AB295">
            <v>0.72</v>
          </cell>
          <cell r="AC295">
            <v>34.299999999999997</v>
          </cell>
          <cell r="AD295">
            <v>1.17</v>
          </cell>
          <cell r="AE295">
            <v>177.8</v>
          </cell>
          <cell r="AF295">
            <v>9.19</v>
          </cell>
          <cell r="AG295">
            <v>2144.6</v>
          </cell>
          <cell r="AH295">
            <v>2959.45</v>
          </cell>
          <cell r="AI295">
            <v>2959.45</v>
          </cell>
          <cell r="AM295" t="str">
            <v>закрытый</v>
          </cell>
          <cell r="AN295" t="str">
            <v>2183,75-2182,5; 2302-2300,8;2409,91-2408,71;2576,56-2575,36;2672,21-2671,01;2844,7-2843,5</v>
          </cell>
          <cell r="AO295">
            <v>14.56</v>
          </cell>
          <cell r="AP295">
            <v>2183.75</v>
          </cell>
          <cell r="AQ295">
            <v>348.91</v>
          </cell>
          <cell r="AR295" t="str">
            <v>2086,2-2959,45</v>
          </cell>
          <cell r="AS295">
            <v>114</v>
          </cell>
          <cell r="AT295">
            <v>7.37</v>
          </cell>
          <cell r="AU295" t="str">
            <v>Газлифт</v>
          </cell>
          <cell r="AV295">
            <v>470.00000009799999</v>
          </cell>
          <cell r="AW295" t="str">
            <v>ГП</v>
          </cell>
          <cell r="AX295">
            <v>909.99997089800002</v>
          </cell>
          <cell r="AY295" t="str">
            <v>ГП</v>
          </cell>
          <cell r="AZ295">
            <v>1269.9999503910001</v>
          </cell>
          <cell r="BA295" t="str">
            <v>ГК80 1/8</v>
          </cell>
          <cell r="BB295">
            <v>1510.0000359380001</v>
          </cell>
          <cell r="BC295" t="str">
            <v>ГК79 5/32</v>
          </cell>
          <cell r="BD295">
            <v>1880</v>
          </cell>
          <cell r="BE295" t="str">
            <v>ЦКсОК 5/16</v>
          </cell>
          <cell r="BF295" t="str">
            <v>-</v>
          </cell>
          <cell r="BG295" t="str">
            <v>-</v>
          </cell>
          <cell r="BH295" t="str">
            <v>-</v>
          </cell>
          <cell r="BI295" t="str">
            <v>-</v>
          </cell>
        </row>
        <row r="296">
          <cell r="J296">
            <v>1288</v>
          </cell>
          <cell r="K296" t="str">
            <v>К-65</v>
          </cell>
          <cell r="L296">
            <v>43293</v>
          </cell>
          <cell r="M296" t="str">
            <v>Гор.</v>
          </cell>
          <cell r="N296" t="str">
            <v>P4+5+6_Block1_yug</v>
          </cell>
          <cell r="O296" t="str">
            <v>Действующий</v>
          </cell>
          <cell r="P296" t="str">
            <v>В работе</v>
          </cell>
          <cell r="Q296">
            <v>-4</v>
          </cell>
          <cell r="R296">
            <v>43236</v>
          </cell>
          <cell r="S296" t="str">
            <v>МеКаМиНефть</v>
          </cell>
          <cell r="T296" t="str">
            <v>КГРП 7ст.
350м3 15% HCl</v>
          </cell>
          <cell r="U296">
            <v>203</v>
          </cell>
          <cell r="V296">
            <v>218.2</v>
          </cell>
          <cell r="W296">
            <v>0.98</v>
          </cell>
          <cell r="X296">
            <v>1.66</v>
          </cell>
          <cell r="Y296">
            <v>0.98973036114085466</v>
          </cell>
          <cell r="Z296">
            <v>1.454</v>
          </cell>
          <cell r="AA296">
            <v>0.83599999999999997</v>
          </cell>
          <cell r="AB296">
            <v>0.72</v>
          </cell>
          <cell r="AC296">
            <v>34.299999999999997</v>
          </cell>
          <cell r="AD296">
            <v>1.17</v>
          </cell>
          <cell r="AE296">
            <v>177.8</v>
          </cell>
          <cell r="AF296">
            <v>9.19</v>
          </cell>
          <cell r="AG296">
            <v>2478.27</v>
          </cell>
          <cell r="AH296">
            <v>3266.28</v>
          </cell>
          <cell r="AI296">
            <v>3266.28</v>
          </cell>
          <cell r="AJ296">
            <v>43228</v>
          </cell>
          <cell r="AK296" t="str">
            <v>По спущенной компановке</v>
          </cell>
          <cell r="AM296" t="str">
            <v>закрытый</v>
          </cell>
          <cell r="AN296" t="str">
            <v>2516-2517; 2655-2656; 2721-2722; 2798-2799; 2875-2876; 2972-2973; 3082-3083</v>
          </cell>
          <cell r="AO296">
            <v>8.4</v>
          </cell>
          <cell r="AP296">
            <v>2516.0500000000002</v>
          </cell>
          <cell r="AQ296">
            <v>571.49</v>
          </cell>
          <cell r="AR296" t="str">
            <v>2426,08-3278</v>
          </cell>
          <cell r="AS296">
            <v>114</v>
          </cell>
          <cell r="AT296">
            <v>7.37</v>
          </cell>
          <cell r="AU296" t="str">
            <v>Газлифт</v>
          </cell>
          <cell r="AV296">
            <v>479.99998505899998</v>
          </cell>
          <cell r="AW296" t="str">
            <v>ГК73 1/8</v>
          </cell>
          <cell r="AX296">
            <v>930.00001523399999</v>
          </cell>
          <cell r="AY296" t="str">
            <v>ГК72 1/8</v>
          </cell>
          <cell r="AZ296">
            <v>1361.999990625</v>
          </cell>
          <cell r="BA296" t="str">
            <v>ГК71 1/8</v>
          </cell>
          <cell r="BB296">
            <v>1699.9999734380001</v>
          </cell>
          <cell r="BC296" t="str">
            <v>ГК70 5/32</v>
          </cell>
          <cell r="BD296">
            <v>1929.999999609</v>
          </cell>
          <cell r="BE296" t="str">
            <v>ЦКсОК 5/16</v>
          </cell>
          <cell r="BF296" t="str">
            <v>-</v>
          </cell>
          <cell r="BG296" t="str">
            <v>-</v>
          </cell>
          <cell r="BH296">
            <v>1920</v>
          </cell>
          <cell r="BI296" t="str">
            <v>закрыт</v>
          </cell>
        </row>
        <row r="297">
          <cell r="J297">
            <v>1289</v>
          </cell>
          <cell r="K297" t="str">
            <v>К-105</v>
          </cell>
          <cell r="L297">
            <v>43318</v>
          </cell>
          <cell r="M297" t="str">
            <v>Гор.</v>
          </cell>
          <cell r="N297" t="str">
            <v>P4+5+6_Block1_yug</v>
          </cell>
          <cell r="O297" t="str">
            <v>Действующий</v>
          </cell>
          <cell r="P297" t="str">
            <v>В работе</v>
          </cell>
          <cell r="Q297">
            <v>-4</v>
          </cell>
          <cell r="R297">
            <v>43252</v>
          </cell>
          <cell r="S297" t="str">
            <v>МеКаМиНефть</v>
          </cell>
          <cell r="T297" t="str">
            <v>КГРП 7ст.
350м3 15% HCl</v>
          </cell>
          <cell r="U297">
            <v>203</v>
          </cell>
          <cell r="V297">
            <v>218.2</v>
          </cell>
          <cell r="W297">
            <v>0.98</v>
          </cell>
          <cell r="X297">
            <v>1.66</v>
          </cell>
          <cell r="Y297">
            <v>0.99219321785801406</v>
          </cell>
          <cell r="Z297">
            <v>1.454</v>
          </cell>
          <cell r="AA297">
            <v>0.83599999999999997</v>
          </cell>
          <cell r="AB297">
            <v>0.72</v>
          </cell>
          <cell r="AC297">
            <v>34.299999999999997</v>
          </cell>
          <cell r="AD297">
            <v>1.17</v>
          </cell>
          <cell r="AE297">
            <v>177.8</v>
          </cell>
          <cell r="AF297">
            <v>9.19</v>
          </cell>
          <cell r="AG297">
            <v>2098.2600000000002</v>
          </cell>
          <cell r="AH297">
            <v>3008.21</v>
          </cell>
          <cell r="AI297">
            <v>3008.21</v>
          </cell>
          <cell r="AJ297">
            <v>43244</v>
          </cell>
          <cell r="AK297" t="str">
            <v>По спущенной компановке</v>
          </cell>
          <cell r="AM297" t="str">
            <v>закрытый</v>
          </cell>
          <cell r="AN297" t="str">
            <v xml:space="preserve">2210,09-2211,52; 2298,44-2299,87; 2366,25-2367,68;  2518,48-2519,91; 2617,59-2619,02; 2906,87-2908,3; 2974,63-2975,86 </v>
          </cell>
          <cell r="AO297">
            <v>9.81</v>
          </cell>
          <cell r="AP297">
            <v>2210.09</v>
          </cell>
          <cell r="AQ297">
            <v>295.69</v>
          </cell>
          <cell r="AR297" t="str">
            <v>2043,12-3009</v>
          </cell>
          <cell r="AS297">
            <v>114</v>
          </cell>
          <cell r="AT297">
            <v>7.37</v>
          </cell>
          <cell r="AU297" t="str">
            <v>Газлифт</v>
          </cell>
          <cell r="AV297">
            <v>549.99999140600005</v>
          </cell>
          <cell r="AW297" t="str">
            <v>ГП</v>
          </cell>
          <cell r="AX297">
            <v>1005.000014063</v>
          </cell>
          <cell r="AY297" t="str">
            <v>гк 76 1/8</v>
          </cell>
          <cell r="AZ297">
            <v>1374.9999785160001</v>
          </cell>
          <cell r="BA297" t="str">
            <v>гк 77 1/8</v>
          </cell>
          <cell r="BB297">
            <v>1660.0000335939999</v>
          </cell>
          <cell r="BC297" t="str">
            <v>гк 77 5/32</v>
          </cell>
          <cell r="BD297">
            <v>1949.999969531</v>
          </cell>
          <cell r="BE297" t="str">
            <v>ЦКсОК 5/16</v>
          </cell>
          <cell r="BF297" t="str">
            <v>-</v>
          </cell>
          <cell r="BG297" t="str">
            <v>-</v>
          </cell>
          <cell r="BH297">
            <v>1960</v>
          </cell>
          <cell r="BI297" t="str">
            <v>закрыт</v>
          </cell>
        </row>
        <row r="298">
          <cell r="J298">
            <v>1292</v>
          </cell>
          <cell r="K298" t="str">
            <v>К-22</v>
          </cell>
          <cell r="L298">
            <v>43450</v>
          </cell>
          <cell r="M298" t="str">
            <v>Гор.</v>
          </cell>
          <cell r="N298" t="str">
            <v>P4+5+6_Block1_yug</v>
          </cell>
          <cell r="O298" t="str">
            <v>Действующий</v>
          </cell>
          <cell r="P298" t="str">
            <v>В работе</v>
          </cell>
          <cell r="Q298">
            <v>-4</v>
          </cell>
          <cell r="U298">
            <v>203</v>
          </cell>
          <cell r="V298">
            <v>218.2</v>
          </cell>
          <cell r="W298">
            <v>0.98</v>
          </cell>
          <cell r="X298">
            <v>1.66</v>
          </cell>
          <cell r="Y298">
            <v>0.98</v>
          </cell>
          <cell r="Z298">
            <v>1.454</v>
          </cell>
          <cell r="AA298">
            <v>0.83599999999999997</v>
          </cell>
          <cell r="AB298">
            <v>0.72</v>
          </cell>
          <cell r="AC298">
            <v>34.299999999999997</v>
          </cell>
          <cell r="AD298">
            <v>1.17</v>
          </cell>
          <cell r="AE298">
            <v>177.8</v>
          </cell>
          <cell r="AF298">
            <v>9.19</v>
          </cell>
          <cell r="AG298">
            <v>2137</v>
          </cell>
          <cell r="AH298">
            <v>2920</v>
          </cell>
          <cell r="AI298">
            <v>2920</v>
          </cell>
          <cell r="AM298" t="str">
            <v>закрытый</v>
          </cell>
          <cell r="AN298" t="str">
            <v xml:space="preserve">2230,51-2231,71; 2407,71-2408,91; 2515,31-2516,51; 2612,6- 2613,8; 2718,62-2719,82; 2802,85-2804,05; 2897,4-2898,6 </v>
          </cell>
          <cell r="AO298">
            <v>49.76</v>
          </cell>
          <cell r="AP298">
            <v>2230.5100000000002</v>
          </cell>
          <cell r="AQ298">
            <v>387.61889000000019</v>
          </cell>
          <cell r="AR298" t="str">
            <v>2215-19</v>
          </cell>
          <cell r="AS298">
            <v>114</v>
          </cell>
          <cell r="AT298">
            <v>7.37</v>
          </cell>
          <cell r="AU298" t="str">
            <v>Газлифт</v>
          </cell>
          <cell r="AV298">
            <v>549.99999140600005</v>
          </cell>
          <cell r="AW298" t="str">
            <v>ГП</v>
          </cell>
          <cell r="AX298">
            <v>1009.999969336</v>
          </cell>
          <cell r="AY298" t="str">
            <v>ГК74 1/8</v>
          </cell>
          <cell r="AZ298">
            <v>1360.0000382809999</v>
          </cell>
          <cell r="BA298" t="str">
            <v>ГК74 1/8</v>
          </cell>
          <cell r="BB298">
            <v>1649.999974219</v>
          </cell>
          <cell r="BC298" t="str">
            <v>ГК74 1/8</v>
          </cell>
          <cell r="BD298">
            <v>1869.9999410160001</v>
          </cell>
          <cell r="BE298" t="str">
            <v>ЦКсОК 5/16</v>
          </cell>
          <cell r="BF298" t="str">
            <v>-</v>
          </cell>
          <cell r="BG298" t="str">
            <v>-</v>
          </cell>
          <cell r="BH298" t="str">
            <v>-</v>
          </cell>
          <cell r="BI298" t="str">
            <v>-</v>
          </cell>
        </row>
        <row r="299">
          <cell r="J299">
            <v>1325</v>
          </cell>
          <cell r="K299" t="str">
            <v>К-42</v>
          </cell>
          <cell r="L299">
            <v>43475</v>
          </cell>
          <cell r="M299" t="str">
            <v>Гор.</v>
          </cell>
          <cell r="N299" t="str">
            <v>P4+5+6_Block1_yug</v>
          </cell>
          <cell r="O299" t="str">
            <v>Действующий</v>
          </cell>
          <cell r="P299" t="str">
            <v>В работе</v>
          </cell>
          <cell r="Q299">
            <v>-4</v>
          </cell>
          <cell r="R299">
            <v>43407</v>
          </cell>
          <cell r="S299" t="str">
            <v>МеКаМиНефть</v>
          </cell>
          <cell r="T299" t="str">
            <v>КГРП 7ст.
350м3 15% HCl</v>
          </cell>
          <cell r="U299">
            <v>203</v>
          </cell>
          <cell r="V299">
            <v>218.2</v>
          </cell>
          <cell r="W299">
            <v>0.98</v>
          </cell>
          <cell r="X299">
            <v>1.66</v>
          </cell>
          <cell r="Y299">
            <v>1.4783338846339786</v>
          </cell>
          <cell r="Z299">
            <v>1.454</v>
          </cell>
          <cell r="AA299">
            <v>0.83599999999999997</v>
          </cell>
          <cell r="AB299">
            <v>0.72</v>
          </cell>
          <cell r="AC299">
            <v>34.299999999999997</v>
          </cell>
          <cell r="AD299">
            <v>1.17</v>
          </cell>
          <cell r="AE299">
            <v>177.8</v>
          </cell>
          <cell r="AF299">
            <v>9.19</v>
          </cell>
          <cell r="AG299">
            <v>2322.1999999999998</v>
          </cell>
          <cell r="AH299">
            <v>3166</v>
          </cell>
          <cell r="AI299">
            <v>3166</v>
          </cell>
          <cell r="AM299" t="str">
            <v>Закрытый</v>
          </cell>
          <cell r="AN299" t="str">
            <v>2349,27-2350,7;2510,35-2511,78;2650,36-2651,79;2782,38-2783,81;2850,45-2851,88;2965,48-2966,91;3070,13-3071,36</v>
          </cell>
          <cell r="AO299">
            <v>46.7</v>
          </cell>
          <cell r="AP299">
            <v>2349.27</v>
          </cell>
          <cell r="AQ299">
            <v>407.11604807692311</v>
          </cell>
          <cell r="AR299" t="str">
            <v>2260,25-3166</v>
          </cell>
          <cell r="AS299">
            <v>114</v>
          </cell>
          <cell r="AT299">
            <v>7.37</v>
          </cell>
          <cell r="AU299" t="str">
            <v>Газлифт</v>
          </cell>
          <cell r="AV299">
            <v>549.99999140600005</v>
          </cell>
          <cell r="AW299" t="str">
            <v>ГП</v>
          </cell>
          <cell r="AX299">
            <v>1080.0000128910001</v>
          </cell>
          <cell r="AY299" t="str">
            <v>ГК75 1/8</v>
          </cell>
          <cell r="AZ299">
            <v>1480.000006641</v>
          </cell>
          <cell r="BA299" t="str">
            <v>ГК75 5/32</v>
          </cell>
          <cell r="BB299">
            <v>1719.9999433590001</v>
          </cell>
          <cell r="BC299" t="str">
            <v>ГК74 5/32</v>
          </cell>
          <cell r="BD299">
            <v>1960.0000289059999</v>
          </cell>
          <cell r="BE299" t="str">
            <v>ЦКсОК 5/16</v>
          </cell>
          <cell r="BF299" t="str">
            <v>-</v>
          </cell>
          <cell r="BG299" t="str">
            <v>-</v>
          </cell>
          <cell r="BH299" t="str">
            <v>-</v>
          </cell>
          <cell r="BI299" t="str">
            <v>-</v>
          </cell>
        </row>
        <row r="300">
          <cell r="J300">
            <v>1294</v>
          </cell>
          <cell r="K300" t="str">
            <v>К-36</v>
          </cell>
          <cell r="L300">
            <v>41848</v>
          </cell>
          <cell r="M300" t="str">
            <v>Гор.</v>
          </cell>
          <cell r="N300" t="str">
            <v>P4+5+6_Block1_yug</v>
          </cell>
          <cell r="O300" t="str">
            <v>Действующий</v>
          </cell>
          <cell r="P300" t="str">
            <v>В работе</v>
          </cell>
          <cell r="Q300">
            <v>-4</v>
          </cell>
          <cell r="U300">
            <v>203</v>
          </cell>
          <cell r="V300">
            <v>218.2</v>
          </cell>
          <cell r="W300">
            <v>0.98</v>
          </cell>
          <cell r="X300">
            <v>1.66</v>
          </cell>
          <cell r="Y300">
            <v>0.9820113485452131</v>
          </cell>
          <cell r="Z300">
            <v>1.454</v>
          </cell>
          <cell r="AA300">
            <v>0.83599999999999997</v>
          </cell>
          <cell r="AB300">
            <v>0.72</v>
          </cell>
          <cell r="AC300">
            <v>34.299999999999997</v>
          </cell>
          <cell r="AD300">
            <v>1.17</v>
          </cell>
          <cell r="AE300">
            <v>177.8</v>
          </cell>
          <cell r="AF300">
            <v>9.19</v>
          </cell>
          <cell r="AG300">
            <v>2107</v>
          </cell>
          <cell r="AH300">
            <v>2420</v>
          </cell>
          <cell r="AI300">
            <v>2420</v>
          </cell>
          <cell r="AM300" t="str">
            <v>открытый</v>
          </cell>
          <cell r="AN300" t="str">
            <v>1797-1798; 2087-2088; 2274-2275; 2459-2460; 2601-2602</v>
          </cell>
          <cell r="AO300">
            <v>16.600000000000001</v>
          </cell>
          <cell r="AP300">
            <v>2107</v>
          </cell>
          <cell r="AQ300">
            <v>228.35</v>
          </cell>
          <cell r="AU300" t="str">
            <v>Газлифт</v>
          </cell>
          <cell r="AV300">
            <v>449.999992969</v>
          </cell>
          <cell r="AW300" t="str">
            <v>ГП</v>
          </cell>
          <cell r="AX300">
            <v>859.99997168000004</v>
          </cell>
          <cell r="AY300" t="str">
            <v>ГП</v>
          </cell>
          <cell r="AZ300">
            <v>1170.0000263669999</v>
          </cell>
          <cell r="BA300" t="str">
            <v>ГК75 1/8</v>
          </cell>
          <cell r="BB300">
            <v>1449.9999773439999</v>
          </cell>
          <cell r="BC300" t="str">
            <v>ГК 75 5/32</v>
          </cell>
          <cell r="BD300">
            <v>1669.999944141</v>
          </cell>
          <cell r="BE300" t="str">
            <v>ЦКсОК 5/16</v>
          </cell>
          <cell r="BF300" t="str">
            <v>-</v>
          </cell>
          <cell r="BG300" t="str">
            <v>-</v>
          </cell>
          <cell r="BH300" t="str">
            <v>-</v>
          </cell>
          <cell r="BI300" t="str">
            <v>-</v>
          </cell>
        </row>
        <row r="301">
          <cell r="J301">
            <v>1297</v>
          </cell>
          <cell r="K301" t="str">
            <v>К-39</v>
          </cell>
          <cell r="L301">
            <v>43428</v>
          </cell>
          <cell r="M301" t="str">
            <v>Гор.</v>
          </cell>
          <cell r="N301" t="str">
            <v>P4+5+6_Block1_yug</v>
          </cell>
          <cell r="O301" t="str">
            <v>Действующий</v>
          </cell>
          <cell r="P301" t="str">
            <v>В работе</v>
          </cell>
          <cell r="Q301">
            <v>-4</v>
          </cell>
          <cell r="U301">
            <v>203</v>
          </cell>
          <cell r="V301">
            <v>218.2</v>
          </cell>
          <cell r="W301">
            <v>0.98</v>
          </cell>
          <cell r="X301">
            <v>1.66</v>
          </cell>
          <cell r="Y301">
            <v>0.98330295015062641</v>
          </cell>
          <cell r="Z301">
            <v>1.454</v>
          </cell>
          <cell r="AA301">
            <v>0.83599999999999997</v>
          </cell>
          <cell r="AB301">
            <v>0.72</v>
          </cell>
          <cell r="AC301">
            <v>34.299999999999997</v>
          </cell>
          <cell r="AD301">
            <v>1.17</v>
          </cell>
          <cell r="AE301">
            <v>177.8</v>
          </cell>
          <cell r="AF301">
            <v>9.19</v>
          </cell>
          <cell r="AG301">
            <v>2101.8000000000002</v>
          </cell>
          <cell r="AH301">
            <v>2954</v>
          </cell>
          <cell r="AI301">
            <v>2954</v>
          </cell>
          <cell r="AM301" t="str">
            <v>закрытый</v>
          </cell>
          <cell r="AN301" t="str">
            <v>2118-2119; 2218-2219; 2285-2287; 2513-2514; 2581-2582; 2691-2692; 2887-2888; 2119-2662</v>
          </cell>
          <cell r="AO301">
            <v>81.519999999999982</v>
          </cell>
          <cell r="AP301">
            <v>2118</v>
          </cell>
          <cell r="AQ301">
            <v>287</v>
          </cell>
          <cell r="AR301" t="str">
            <v>2037-2954</v>
          </cell>
          <cell r="AS301">
            <v>114</v>
          </cell>
          <cell r="AT301">
            <v>7.37</v>
          </cell>
          <cell r="AU301" t="str">
            <v>Газлифт</v>
          </cell>
          <cell r="AV301">
            <v>443.000010938</v>
          </cell>
          <cell r="AW301" t="str">
            <v>ГП</v>
          </cell>
          <cell r="AX301">
            <v>849.00001054699999</v>
          </cell>
          <cell r="AY301" t="str">
            <v>ГП</v>
          </cell>
          <cell r="AZ301">
            <v>1273.000027734</v>
          </cell>
          <cell r="BA301" t="str">
            <v>ГК81 1/8</v>
          </cell>
          <cell r="BB301">
            <v>1633.000081641</v>
          </cell>
          <cell r="BC301" t="str">
            <v>ГК82 1/8</v>
          </cell>
          <cell r="BD301">
            <v>1935.0000292970001</v>
          </cell>
          <cell r="BE301" t="str">
            <v>ЦКсОК 5/16</v>
          </cell>
          <cell r="BF301" t="str">
            <v>-</v>
          </cell>
          <cell r="BG301" t="str">
            <v>-</v>
          </cell>
          <cell r="BH301">
            <v>1945</v>
          </cell>
          <cell r="BI301" t="str">
            <v>закрыт</v>
          </cell>
        </row>
        <row r="302">
          <cell r="J302">
            <v>1298</v>
          </cell>
          <cell r="K302" t="str">
            <v>К-35</v>
          </cell>
          <cell r="L302">
            <v>41898</v>
          </cell>
          <cell r="M302" t="str">
            <v>Гор.</v>
          </cell>
          <cell r="N302" t="str">
            <v>P4+5+6_Block1_yug</v>
          </cell>
          <cell r="O302" t="str">
            <v>В бездействии текущего года</v>
          </cell>
          <cell r="P302" t="str">
            <v>Остановлена</v>
          </cell>
          <cell r="Q302">
            <v>-4</v>
          </cell>
          <cell r="U302">
            <v>203</v>
          </cell>
          <cell r="V302">
            <v>218.2</v>
          </cell>
          <cell r="W302">
            <v>0.98</v>
          </cell>
          <cell r="X302">
            <v>1.66</v>
          </cell>
          <cell r="Y302">
            <v>1.0100809405897562</v>
          </cell>
          <cell r="Z302">
            <v>1.454</v>
          </cell>
          <cell r="AA302">
            <v>0.83599999999999997</v>
          </cell>
          <cell r="AB302">
            <v>0.72</v>
          </cell>
          <cell r="AC302">
            <v>34.299999999999997</v>
          </cell>
          <cell r="AD302">
            <v>1.17</v>
          </cell>
          <cell r="AE302">
            <v>177.8</v>
          </cell>
          <cell r="AF302">
            <v>9.19</v>
          </cell>
          <cell r="AG302">
            <v>2063</v>
          </cell>
          <cell r="AH302">
            <v>2678</v>
          </cell>
          <cell r="AI302">
            <v>2678</v>
          </cell>
          <cell r="AM302" t="str">
            <v>открытый</v>
          </cell>
          <cell r="AN302" t="str">
            <v>2063-2678</v>
          </cell>
          <cell r="AO302">
            <v>35.03</v>
          </cell>
          <cell r="AP302">
            <v>2063</v>
          </cell>
          <cell r="AQ302">
            <v>228</v>
          </cell>
          <cell r="AU302" t="str">
            <v>Газлифт</v>
          </cell>
          <cell r="AV302">
            <v>500</v>
          </cell>
          <cell r="AW302" t="str">
            <v>ГП</v>
          </cell>
          <cell r="AX302">
            <v>900</v>
          </cell>
          <cell r="AY302" t="str">
            <v>ГП</v>
          </cell>
          <cell r="AZ302">
            <v>1220</v>
          </cell>
          <cell r="BA302" t="str">
            <v>ГП</v>
          </cell>
          <cell r="BB302">
            <v>1480</v>
          </cell>
          <cell r="BC302" t="str">
            <v>ГП</v>
          </cell>
          <cell r="BD302">
            <v>1730</v>
          </cell>
          <cell r="BE302" t="str">
            <v>ЦКсОК 5/16</v>
          </cell>
          <cell r="BF302" t="str">
            <v>-</v>
          </cell>
          <cell r="BG302" t="str">
            <v>-</v>
          </cell>
          <cell r="BH302">
            <v>1770</v>
          </cell>
          <cell r="BI302" t="str">
            <v>закр</v>
          </cell>
        </row>
        <row r="303">
          <cell r="J303">
            <v>1300</v>
          </cell>
          <cell r="K303" t="str">
            <v>К-39</v>
          </cell>
          <cell r="L303">
            <v>43433</v>
          </cell>
          <cell r="M303" t="str">
            <v>Гор.</v>
          </cell>
          <cell r="N303" t="str">
            <v>P4+5+6_Block1_yug</v>
          </cell>
          <cell r="O303" t="str">
            <v>Действующий</v>
          </cell>
          <cell r="P303" t="str">
            <v>В работе</v>
          </cell>
          <cell r="Q303">
            <v>-4</v>
          </cell>
          <cell r="U303">
            <v>203</v>
          </cell>
          <cell r="V303">
            <v>218.2</v>
          </cell>
          <cell r="W303">
            <v>0.98</v>
          </cell>
          <cell r="X303">
            <v>1.66</v>
          </cell>
          <cell r="Y303">
            <v>1.009654651933537</v>
          </cell>
          <cell r="Z303">
            <v>1.454</v>
          </cell>
          <cell r="AA303">
            <v>0.83599999999999997</v>
          </cell>
          <cell r="AB303">
            <v>0.72</v>
          </cell>
          <cell r="AC303">
            <v>34.299999999999997</v>
          </cell>
          <cell r="AD303">
            <v>1.17</v>
          </cell>
          <cell r="AE303">
            <v>177.8</v>
          </cell>
          <cell r="AF303">
            <v>9.19</v>
          </cell>
          <cell r="AG303">
            <v>2272.6</v>
          </cell>
          <cell r="AH303">
            <v>3051</v>
          </cell>
          <cell r="AI303">
            <v>3051</v>
          </cell>
          <cell r="AM303" t="str">
            <v>закрытый</v>
          </cell>
          <cell r="AN303" t="str">
            <v>2324,47-2325,9; 2413,62-2415,05; 2524-2525,43; 2634,61-2636,04; 2771,92-2773,35; 2887,04-2888,47; 3017,5-3018,73</v>
          </cell>
          <cell r="AO303">
            <v>45.79</v>
          </cell>
          <cell r="AP303">
            <v>2324.5</v>
          </cell>
          <cell r="AQ303">
            <v>439.9</v>
          </cell>
          <cell r="AR303" t="str">
            <v>2221-3051</v>
          </cell>
          <cell r="AS303">
            <v>114</v>
          </cell>
          <cell r="AT303">
            <v>7.37</v>
          </cell>
          <cell r="AU303" t="str">
            <v>Газлифт</v>
          </cell>
          <cell r="AV303">
            <v>452.99999589800001</v>
          </cell>
          <cell r="AW303" t="str">
            <v>ГП</v>
          </cell>
          <cell r="AX303">
            <v>852.999989648</v>
          </cell>
          <cell r="AY303" t="str">
            <v>ГП</v>
          </cell>
          <cell r="AZ303">
            <v>1196.9999783200001</v>
          </cell>
          <cell r="BA303" t="str">
            <v>ГП</v>
          </cell>
          <cell r="BB303">
            <v>1459.000060547</v>
          </cell>
          <cell r="BC303" t="str">
            <v>ГК79 1/8</v>
          </cell>
          <cell r="BD303">
            <v>1675.9999499999999</v>
          </cell>
          <cell r="BE303" t="str">
            <v>ГК77 1/8</v>
          </cell>
          <cell r="BF303">
            <v>1830</v>
          </cell>
          <cell r="BG303" t="str">
            <v>ЦКсОК 5/16</v>
          </cell>
          <cell r="BH303">
            <v>1840</v>
          </cell>
          <cell r="BI303" t="str">
            <v>закрыт</v>
          </cell>
        </row>
        <row r="304">
          <cell r="J304">
            <v>1301</v>
          </cell>
          <cell r="K304" t="str">
            <v>К-14</v>
          </cell>
          <cell r="L304">
            <v>43531</v>
          </cell>
          <cell r="M304" t="str">
            <v>Гор.</v>
          </cell>
          <cell r="N304" t="str">
            <v>P4+5+6_Block1_yug</v>
          </cell>
          <cell r="O304" t="str">
            <v>Действующий</v>
          </cell>
          <cell r="P304" t="str">
            <v>В работе</v>
          </cell>
          <cell r="Q304">
            <v>-4</v>
          </cell>
          <cell r="R304">
            <v>43487</v>
          </cell>
          <cell r="S304" t="str">
            <v>ЗАО "СП "МеКаМинефть"</v>
          </cell>
          <cell r="T304" t="str">
            <v>7 портов 350м3</v>
          </cell>
          <cell r="U304">
            <v>203</v>
          </cell>
          <cell r="V304">
            <v>218.2</v>
          </cell>
          <cell r="W304">
            <v>0.98</v>
          </cell>
          <cell r="X304">
            <v>1.66</v>
          </cell>
          <cell r="Y304">
            <v>0.98</v>
          </cell>
          <cell r="Z304">
            <v>1.454</v>
          </cell>
          <cell r="AA304">
            <v>0.83599999999999997</v>
          </cell>
          <cell r="AB304">
            <v>0.72</v>
          </cell>
          <cell r="AC304">
            <v>34.299999999999997</v>
          </cell>
          <cell r="AD304">
            <v>1.17</v>
          </cell>
          <cell r="AE304">
            <v>177.8</v>
          </cell>
          <cell r="AF304">
            <v>9.19</v>
          </cell>
          <cell r="AG304">
            <v>2204.6999999999998</v>
          </cell>
          <cell r="AH304">
            <v>2940</v>
          </cell>
          <cell r="AI304">
            <v>2940</v>
          </cell>
          <cell r="AM304" t="str">
            <v>Закрытый</v>
          </cell>
          <cell r="AN304" t="str">
            <v xml:space="preserve">2242,22-2243,42; 2367,69-2368,89; 2475,22-2476,42; 2572,88-2574,08; 2700,03-2701,23; 2793,9-2795,1; 2866,82-2868,02 </v>
          </cell>
          <cell r="AO304">
            <v>99.92</v>
          </cell>
          <cell r="AP304">
            <v>2242.2199999999998</v>
          </cell>
          <cell r="AQ304">
            <v>422.12</v>
          </cell>
          <cell r="AR304" t="str">
            <v>2146-2940</v>
          </cell>
          <cell r="AS304">
            <v>114</v>
          </cell>
          <cell r="AT304">
            <v>7.37</v>
          </cell>
          <cell r="AU304" t="str">
            <v>Газлифт</v>
          </cell>
          <cell r="AV304">
            <v>397.00002802699998</v>
          </cell>
          <cell r="AW304" t="str">
            <v>ГП</v>
          </cell>
          <cell r="AX304">
            <v>755.00001796900006</v>
          </cell>
          <cell r="AY304" t="str">
            <v>ГП</v>
          </cell>
          <cell r="AZ304">
            <v>1128.000059766</v>
          </cell>
          <cell r="BA304" t="str">
            <v>ГП</v>
          </cell>
          <cell r="BB304">
            <v>1458.0000843749999</v>
          </cell>
          <cell r="BC304" t="str">
            <v>ГК82 1/8</v>
          </cell>
          <cell r="BD304">
            <v>1773.9999960939999</v>
          </cell>
          <cell r="BE304" t="str">
            <v>ГК81 1/8</v>
          </cell>
          <cell r="BF304">
            <v>1957</v>
          </cell>
          <cell r="BG304" t="str">
            <v>ЦКсОК 5/16</v>
          </cell>
          <cell r="BH304">
            <v>1967</v>
          </cell>
          <cell r="BI304" t="str">
            <v>закрыт</v>
          </cell>
        </row>
        <row r="305">
          <cell r="J305">
            <v>1302</v>
          </cell>
          <cell r="K305" t="str">
            <v>К-14</v>
          </cell>
          <cell r="L305">
            <v>43557</v>
          </cell>
          <cell r="M305" t="str">
            <v>Гор.</v>
          </cell>
          <cell r="N305" t="str">
            <v>P4+5+6_Block1_yug</v>
          </cell>
          <cell r="O305" t="str">
            <v>Действующий</v>
          </cell>
          <cell r="P305" t="str">
            <v>В работе</v>
          </cell>
          <cell r="Q305">
            <v>-4</v>
          </cell>
          <cell r="U305">
            <v>203</v>
          </cell>
          <cell r="V305">
            <v>218.2</v>
          </cell>
          <cell r="W305">
            <v>0.98</v>
          </cell>
          <cell r="X305">
            <v>1.66</v>
          </cell>
          <cell r="Y305">
            <v>0.98</v>
          </cell>
          <cell r="Z305">
            <v>1.454</v>
          </cell>
          <cell r="AA305">
            <v>0.83599999999999997</v>
          </cell>
          <cell r="AB305">
            <v>0.72</v>
          </cell>
          <cell r="AC305">
            <v>34.299999999999997</v>
          </cell>
          <cell r="AD305">
            <v>1.17</v>
          </cell>
          <cell r="AE305">
            <v>177.8</v>
          </cell>
          <cell r="AF305">
            <v>9.19</v>
          </cell>
          <cell r="AG305">
            <v>2127.6999999999998</v>
          </cell>
          <cell r="AH305">
            <v>2818</v>
          </cell>
          <cell r="AI305">
            <v>2818</v>
          </cell>
          <cell r="AM305" t="str">
            <v>Закрытый</v>
          </cell>
          <cell r="AN305" t="str">
            <v xml:space="preserve">2152,16-2153,59; 2259,05-2260,48; 2309,21-2310,64; 2371,72-2373,15; 2563,97-2565,4; 2729,82-2731,25; 2781,34-2782,57 </v>
          </cell>
          <cell r="AO305">
            <v>27.19</v>
          </cell>
          <cell r="AP305">
            <v>2152</v>
          </cell>
          <cell r="AQ305">
            <v>387.12</v>
          </cell>
          <cell r="AR305" t="str">
            <v>2048-2805</v>
          </cell>
          <cell r="AS305">
            <v>114</v>
          </cell>
          <cell r="AT305">
            <v>7.37</v>
          </cell>
          <cell r="AU305" t="str">
            <v>Газлифт</v>
          </cell>
          <cell r="AV305">
            <v>549.99999140600005</v>
          </cell>
          <cell r="AW305" t="str">
            <v>ГК 76 1/8</v>
          </cell>
          <cell r="AX305">
            <v>1070.00002793</v>
          </cell>
          <cell r="AY305" t="str">
            <v>ГК 77 1/8</v>
          </cell>
          <cell r="AZ305">
            <v>1440.000066797</v>
          </cell>
          <cell r="BA305" t="str">
            <v>ГК 77 1/8</v>
          </cell>
          <cell r="BB305">
            <v>1699.9999734380001</v>
          </cell>
          <cell r="BC305" t="str">
            <v>ГК 76 5/32</v>
          </cell>
          <cell r="BD305">
            <v>1949.999969531</v>
          </cell>
          <cell r="BE305" t="str">
            <v>ЦКсОК 5/16</v>
          </cell>
          <cell r="BF305" t="str">
            <v>-</v>
          </cell>
          <cell r="BG305" t="str">
            <v>-</v>
          </cell>
          <cell r="BH305" t="str">
            <v>-</v>
          </cell>
          <cell r="BI305" t="str">
            <v>-</v>
          </cell>
        </row>
        <row r="306">
          <cell r="J306">
            <v>1309</v>
          </cell>
          <cell r="K306" t="str">
            <v>К-127</v>
          </cell>
          <cell r="L306">
            <v>42963</v>
          </cell>
          <cell r="M306" t="str">
            <v>Гор.</v>
          </cell>
          <cell r="N306" t="str">
            <v>Р4+5+6_Block2</v>
          </cell>
          <cell r="O306" t="str">
            <v>Действующий</v>
          </cell>
          <cell r="P306" t="str">
            <v>В работе</v>
          </cell>
          <cell r="Q306">
            <v>-4</v>
          </cell>
          <cell r="U306">
            <v>203</v>
          </cell>
          <cell r="V306">
            <v>218.2</v>
          </cell>
          <cell r="W306">
            <v>0.98</v>
          </cell>
          <cell r="X306">
            <v>1.66</v>
          </cell>
          <cell r="Y306">
            <v>0.99632533072023521</v>
          </cell>
          <cell r="Z306">
            <v>1.454</v>
          </cell>
          <cell r="AA306">
            <v>0.83599999999999997</v>
          </cell>
          <cell r="AB306">
            <v>0.72</v>
          </cell>
          <cell r="AC306">
            <v>34.299999999999997</v>
          </cell>
          <cell r="AD306">
            <v>1.17</v>
          </cell>
          <cell r="AE306">
            <v>177.8</v>
          </cell>
          <cell r="AF306">
            <v>9.19</v>
          </cell>
          <cell r="AG306">
            <v>2138</v>
          </cell>
          <cell r="AH306">
            <v>2722</v>
          </cell>
          <cell r="AI306">
            <v>2722</v>
          </cell>
          <cell r="AM306" t="str">
            <v>открытый</v>
          </cell>
          <cell r="AN306" t="str">
            <v>2138-2722</v>
          </cell>
          <cell r="AO306">
            <v>7.86</v>
          </cell>
          <cell r="AP306">
            <v>2138</v>
          </cell>
          <cell r="AQ306">
            <v>245.9</v>
          </cell>
          <cell r="AU306" t="str">
            <v>Газлифт</v>
          </cell>
          <cell r="AV306">
            <v>599.99999062500001</v>
          </cell>
          <cell r="AW306" t="str">
            <v>ГП</v>
          </cell>
          <cell r="AX306">
            <v>1030.000013672</v>
          </cell>
          <cell r="AY306" t="str">
            <v>ГК81 1/8</v>
          </cell>
          <cell r="AZ306">
            <v>1349.999978906</v>
          </cell>
          <cell r="BA306" t="str">
            <v>ГК81 1/8</v>
          </cell>
          <cell r="BB306">
            <v>1599.9999749999999</v>
          </cell>
          <cell r="BC306" t="str">
            <v>ГК81 1/8</v>
          </cell>
          <cell r="BD306">
            <v>1849.9999710940001</v>
          </cell>
          <cell r="BE306" t="str">
            <v>ЦКсОК 5/16</v>
          </cell>
          <cell r="BF306" t="str">
            <v>-</v>
          </cell>
          <cell r="BG306" t="str">
            <v>-</v>
          </cell>
          <cell r="BH306">
            <v>1860</v>
          </cell>
          <cell r="BI306" t="str">
            <v>закрыт</v>
          </cell>
        </row>
        <row r="307">
          <cell r="J307">
            <v>1313</v>
          </cell>
          <cell r="K307" t="str">
            <v>К-48</v>
          </cell>
          <cell r="L307">
            <v>43721</v>
          </cell>
          <cell r="M307" t="str">
            <v>Гор.</v>
          </cell>
          <cell r="N307" t="str">
            <v>P4+5+6_Block1_yug</v>
          </cell>
          <cell r="O307" t="str">
            <v>Действующий</v>
          </cell>
          <cell r="P307" t="str">
            <v>В работе</v>
          </cell>
          <cell r="Q307">
            <v>-4</v>
          </cell>
          <cell r="U307">
            <v>203</v>
          </cell>
          <cell r="V307">
            <v>218.2</v>
          </cell>
          <cell r="W307">
            <v>0.98</v>
          </cell>
          <cell r="X307">
            <v>1.66</v>
          </cell>
          <cell r="Y307">
            <v>0.98683172905439343</v>
          </cell>
          <cell r="Z307">
            <v>1.454</v>
          </cell>
          <cell r="AA307">
            <v>0.83599999999999997</v>
          </cell>
          <cell r="AB307">
            <v>0.72</v>
          </cell>
          <cell r="AC307">
            <v>34.299999999999997</v>
          </cell>
          <cell r="AD307">
            <v>1.17</v>
          </cell>
          <cell r="AE307">
            <v>177.8</v>
          </cell>
          <cell r="AF307">
            <v>9.19</v>
          </cell>
          <cell r="AG307">
            <v>2138</v>
          </cell>
          <cell r="AH307">
            <v>3133</v>
          </cell>
          <cell r="AI307">
            <v>3133</v>
          </cell>
          <cell r="AM307" t="str">
            <v>Закрытый</v>
          </cell>
          <cell r="AN307" t="str">
            <v>2220-2230; 2320-2330; 2420-2430; 2540-2550; 2694-2701; 2790-2800; 2900-2910</v>
          </cell>
          <cell r="AO307">
            <v>16</v>
          </cell>
          <cell r="AP307">
            <v>2220</v>
          </cell>
          <cell r="AQ307">
            <v>1180</v>
          </cell>
          <cell r="AR307" t="str">
            <v>2088-3108</v>
          </cell>
          <cell r="AS307">
            <v>114</v>
          </cell>
          <cell r="AT307">
            <v>7.37</v>
          </cell>
          <cell r="AU307" t="str">
            <v>Газлифт</v>
          </cell>
          <cell r="AV307">
            <v>499.99999218800002</v>
          </cell>
          <cell r="AW307" t="str">
            <v>ГП</v>
          </cell>
          <cell r="AX307">
            <v>870.00003105500002</v>
          </cell>
          <cell r="AY307" t="str">
            <v>ГП</v>
          </cell>
          <cell r="AZ307">
            <v>1174.999981641</v>
          </cell>
          <cell r="BA307" t="str">
            <v>ГК77 5/32</v>
          </cell>
          <cell r="BB307">
            <v>1405.0000078129999</v>
          </cell>
          <cell r="BC307" t="str">
            <v>ГК76 5/32</v>
          </cell>
          <cell r="BD307">
            <v>1619.9999449219999</v>
          </cell>
          <cell r="BE307" t="str">
            <v>ГК75 5/32</v>
          </cell>
          <cell r="BF307">
            <v>1860</v>
          </cell>
          <cell r="BG307" t="str">
            <v>ЦКсОК 5/16</v>
          </cell>
          <cell r="BH307" t="str">
            <v>-</v>
          </cell>
          <cell r="BI307" t="str">
            <v>-</v>
          </cell>
        </row>
        <row r="308">
          <cell r="J308" t="str">
            <v>1314-1</v>
          </cell>
          <cell r="K308" t="str">
            <v>К-1526</v>
          </cell>
          <cell r="L308">
            <v>43885</v>
          </cell>
          <cell r="M308" t="str">
            <v>Гор.</v>
          </cell>
          <cell r="N308" t="str">
            <v>P4+5+6_Block1_yug</v>
          </cell>
          <cell r="O308" t="str">
            <v>Действующий</v>
          </cell>
          <cell r="P308" t="str">
            <v>Остановлена</v>
          </cell>
          <cell r="Q308">
            <v>-4</v>
          </cell>
          <cell r="U308">
            <v>203</v>
          </cell>
          <cell r="V308">
            <v>218.2</v>
          </cell>
          <cell r="W308">
            <v>0.98</v>
          </cell>
          <cell r="X308">
            <v>1.66</v>
          </cell>
          <cell r="Y308">
            <v>1.0306639635073491</v>
          </cell>
          <cell r="Z308">
            <v>1.454</v>
          </cell>
          <cell r="AA308">
            <v>0.83599999999999997</v>
          </cell>
          <cell r="AB308">
            <v>0.72</v>
          </cell>
          <cell r="AC308">
            <v>34.299999999999997</v>
          </cell>
          <cell r="AD308">
            <v>1.17</v>
          </cell>
          <cell r="AE308">
            <v>177.8</v>
          </cell>
          <cell r="AF308">
            <v>9.19</v>
          </cell>
          <cell r="AG308">
            <v>2419.2600000000002</v>
          </cell>
          <cell r="AH308">
            <v>3317</v>
          </cell>
          <cell r="AI308">
            <v>3317</v>
          </cell>
          <cell r="AM308" t="str">
            <v>Закрытый</v>
          </cell>
          <cell r="AN308" t="str">
            <v xml:space="preserve">2566,46-2567,89; 2666,80-2668,23; 2778,39-2779,82; 2891,6-2893,03; 2992,14-2993,57; 3128,64-3130,07; 3302,67-3303,9 </v>
          </cell>
          <cell r="AO308">
            <v>38.4</v>
          </cell>
          <cell r="AP308">
            <v>2566.46</v>
          </cell>
          <cell r="AQ308">
            <v>737</v>
          </cell>
          <cell r="AR308" t="str">
            <v>2353-3317</v>
          </cell>
          <cell r="AS308">
            <v>114</v>
          </cell>
          <cell r="AT308">
            <v>7.37</v>
          </cell>
          <cell r="AU308" t="str">
            <v>Фон.</v>
          </cell>
          <cell r="AV308">
            <v>300</v>
          </cell>
          <cell r="AW308" t="str">
            <v>ГК 70 1/8</v>
          </cell>
          <cell r="AX308">
            <v>920</v>
          </cell>
          <cell r="AY308" t="str">
            <v>ГК71 1/8</v>
          </cell>
          <cell r="AZ308">
            <v>1330</v>
          </cell>
          <cell r="BA308" t="str">
            <v>ГК 71 1/8</v>
          </cell>
          <cell r="BB308">
            <v>1670</v>
          </cell>
          <cell r="BC308" t="str">
            <v>ГК71 1/8</v>
          </cell>
          <cell r="BD308">
            <v>1960</v>
          </cell>
          <cell r="BE308" t="str">
            <v>ЦКсОК 5/16</v>
          </cell>
          <cell r="BF308" t="str">
            <v>-</v>
          </cell>
          <cell r="BG308" t="str">
            <v>-</v>
          </cell>
          <cell r="BH308" t="str">
            <v>-</v>
          </cell>
          <cell r="BI308" t="str">
            <v>-</v>
          </cell>
        </row>
        <row r="309">
          <cell r="J309">
            <v>1317</v>
          </cell>
          <cell r="K309" t="str">
            <v>К-44</v>
          </cell>
          <cell r="L309">
            <v>43100</v>
          </cell>
          <cell r="M309" t="str">
            <v>Гор.</v>
          </cell>
          <cell r="N309" t="str">
            <v>P4+5+6_Block1_yug</v>
          </cell>
          <cell r="O309" t="str">
            <v>Действующий</v>
          </cell>
          <cell r="P309" t="str">
            <v>В работе</v>
          </cell>
          <cell r="Q309">
            <v>-4</v>
          </cell>
          <cell r="U309">
            <v>203</v>
          </cell>
          <cell r="V309">
            <v>218.2</v>
          </cell>
          <cell r="W309">
            <v>0.98</v>
          </cell>
          <cell r="X309">
            <v>1.66</v>
          </cell>
          <cell r="Y309">
            <v>0.98973036114085466</v>
          </cell>
          <cell r="Z309">
            <v>1.454</v>
          </cell>
          <cell r="AA309">
            <v>0.83599999999999997</v>
          </cell>
          <cell r="AB309">
            <v>0.72</v>
          </cell>
          <cell r="AC309">
            <v>34.299999999999997</v>
          </cell>
          <cell r="AD309">
            <v>1.17</v>
          </cell>
          <cell r="AE309">
            <v>177.8</v>
          </cell>
          <cell r="AF309">
            <v>9.19</v>
          </cell>
          <cell r="AG309">
            <v>2410.06</v>
          </cell>
          <cell r="AH309">
            <v>3430.64</v>
          </cell>
          <cell r="AI309">
            <v>3430.64</v>
          </cell>
          <cell r="AJ309">
            <v>43093</v>
          </cell>
          <cell r="AK309" t="str">
            <v>По спущенной компановке</v>
          </cell>
          <cell r="AM309" t="str">
            <v>Закрытый</v>
          </cell>
          <cell r="AN309" t="str">
            <v xml:space="preserve">2515,07-2516,47; 2690,6-2692; 2865,65-2867,05; 2985,88-2987,28; 3114,94-3116,34; 3278,72-3280,12; 3383,9-3385,13 </v>
          </cell>
          <cell r="AO309">
            <v>9.6300000000000008</v>
          </cell>
          <cell r="AP309">
            <v>2515.0700000000002</v>
          </cell>
          <cell r="AQ309">
            <v>584.79</v>
          </cell>
          <cell r="AR309" t="str">
            <v>2355,87-3431</v>
          </cell>
          <cell r="AS309">
            <v>114</v>
          </cell>
          <cell r="AT309">
            <v>7.37</v>
          </cell>
          <cell r="AU309" t="str">
            <v>Газлифт</v>
          </cell>
          <cell r="AV309">
            <v>479.99998505899998</v>
          </cell>
          <cell r="AW309" t="str">
            <v>ГП</v>
          </cell>
          <cell r="AX309">
            <v>920.00003027299999</v>
          </cell>
          <cell r="AY309" t="str">
            <v>ГП</v>
          </cell>
          <cell r="AZ309">
            <v>1315.0000687500001</v>
          </cell>
          <cell r="BA309" t="str">
            <v>ГП</v>
          </cell>
          <cell r="BB309">
            <v>1635.0000339840001</v>
          </cell>
          <cell r="BC309" t="str">
            <v>ГК 81 1/8</v>
          </cell>
          <cell r="BD309">
            <v>1865.000060156</v>
          </cell>
          <cell r="BE309" t="str">
            <v>ГК79 1/8</v>
          </cell>
          <cell r="BF309">
            <v>2065</v>
          </cell>
          <cell r="BG309" t="str">
            <v>ЦКсОК 5/16</v>
          </cell>
          <cell r="BH309">
            <v>2150</v>
          </cell>
          <cell r="BI309" t="str">
            <v>закрыт</v>
          </cell>
        </row>
        <row r="310">
          <cell r="J310">
            <v>1318</v>
          </cell>
          <cell r="K310" t="str">
            <v>К-44</v>
          </cell>
          <cell r="L310">
            <v>43097</v>
          </cell>
          <cell r="M310" t="str">
            <v>Гор.</v>
          </cell>
          <cell r="N310" t="str">
            <v>P4+5+6_Block1_yug</v>
          </cell>
          <cell r="O310" t="str">
            <v>Действующий</v>
          </cell>
          <cell r="P310" t="str">
            <v>В работе</v>
          </cell>
          <cell r="Q310">
            <v>-4</v>
          </cell>
          <cell r="R310">
            <v>43090</v>
          </cell>
          <cell r="S310" t="str">
            <v>МеКаМиНефть</v>
          </cell>
          <cell r="T310" t="str">
            <v>КГРП 7ст.
350м3 15% HCl</v>
          </cell>
          <cell r="U310">
            <v>203</v>
          </cell>
          <cell r="V310">
            <v>218.2</v>
          </cell>
          <cell r="W310">
            <v>0.98</v>
          </cell>
          <cell r="X310">
            <v>1.66</v>
          </cell>
          <cell r="Y310">
            <v>0.98</v>
          </cell>
          <cell r="Z310">
            <v>1.454</v>
          </cell>
          <cell r="AA310">
            <v>0.83599999999999997</v>
          </cell>
          <cell r="AB310">
            <v>0.72</v>
          </cell>
          <cell r="AC310">
            <v>34.299999999999997</v>
          </cell>
          <cell r="AD310">
            <v>1.17</v>
          </cell>
          <cell r="AE310">
            <v>177.8</v>
          </cell>
          <cell r="AF310">
            <v>9.19</v>
          </cell>
          <cell r="AG310">
            <v>2352.92</v>
          </cell>
          <cell r="AH310">
            <v>3065.6</v>
          </cell>
          <cell r="AI310">
            <v>3065.6</v>
          </cell>
          <cell r="AJ310">
            <v>43085</v>
          </cell>
          <cell r="AK310" t="str">
            <v>По спущенной компановке</v>
          </cell>
          <cell r="AM310" t="str">
            <v>Закрытый</v>
          </cell>
          <cell r="AN310" t="str">
            <v xml:space="preserve">2458,81-2460,24; 2583,44-2584,87; 2685,79-2687,22; 2781,09-2782,52; 2863,46-2864,89; 2957,43-2958,86; 3053,72-3054,25 </v>
          </cell>
          <cell r="AO310">
            <v>9.11</v>
          </cell>
          <cell r="AP310">
            <v>2458.81</v>
          </cell>
          <cell r="AQ310">
            <v>541.70000000000005</v>
          </cell>
          <cell r="AR310" t="str">
            <v>2103,59-3078</v>
          </cell>
          <cell r="AS310">
            <v>114</v>
          </cell>
          <cell r="AT310">
            <v>7.37</v>
          </cell>
          <cell r="AU310" t="str">
            <v>Газлифт</v>
          </cell>
          <cell r="AV310">
            <v>460.00001513699999</v>
          </cell>
          <cell r="AW310" t="str">
            <v>ГП</v>
          </cell>
          <cell r="AX310">
            <v>920.00003027299999</v>
          </cell>
          <cell r="AY310" t="str">
            <v>ГП</v>
          </cell>
          <cell r="AZ310">
            <v>1340.0000683589999</v>
          </cell>
          <cell r="BA310" t="str">
            <v>ГК73 1/8</v>
          </cell>
          <cell r="BB310">
            <v>1669.999944141</v>
          </cell>
          <cell r="BC310" t="str">
            <v>ГК73 5/32</v>
          </cell>
          <cell r="BD310">
            <v>1949.999969531</v>
          </cell>
          <cell r="BE310" t="str">
            <v>ЦКсОК 5/16</v>
          </cell>
          <cell r="BF310" t="str">
            <v>-</v>
          </cell>
          <cell r="BG310" t="str">
            <v>-</v>
          </cell>
          <cell r="BH310">
            <v>1970</v>
          </cell>
          <cell r="BI310" t="str">
            <v>закрыт</v>
          </cell>
        </row>
        <row r="311">
          <cell r="J311">
            <v>1319</v>
          </cell>
          <cell r="K311" t="str">
            <v>К-1526</v>
          </cell>
          <cell r="L311">
            <v>43974</v>
          </cell>
          <cell r="M311" t="str">
            <v>Гор.</v>
          </cell>
          <cell r="N311" t="str">
            <v>P4+5+6_Block1_yug</v>
          </cell>
          <cell r="O311" t="str">
            <v>Действующий</v>
          </cell>
          <cell r="P311" t="str">
            <v>В работе</v>
          </cell>
          <cell r="Q311">
            <v>-4</v>
          </cell>
          <cell r="U311">
            <v>203</v>
          </cell>
          <cell r="V311">
            <v>218.2</v>
          </cell>
          <cell r="W311">
            <v>0.98</v>
          </cell>
          <cell r="X311">
            <v>1.66</v>
          </cell>
          <cell r="Y311">
            <v>0.98</v>
          </cell>
          <cell r="Z311">
            <v>1.454</v>
          </cell>
          <cell r="AA311">
            <v>0.83599999999999997</v>
          </cell>
          <cell r="AB311">
            <v>0.72</v>
          </cell>
          <cell r="AC311">
            <v>34.299999999999997</v>
          </cell>
          <cell r="AD311">
            <v>1.17</v>
          </cell>
          <cell r="AE311">
            <v>177.8</v>
          </cell>
          <cell r="AF311">
            <v>9.19</v>
          </cell>
          <cell r="AG311">
            <v>2303</v>
          </cell>
          <cell r="AH311">
            <v>3096.91</v>
          </cell>
          <cell r="AI311">
            <v>3096.91</v>
          </cell>
          <cell r="AM311" t="str">
            <v>Закрытый</v>
          </cell>
          <cell r="AN311" t="str">
            <v>2352,92-2353,78; 2439,7-2440,56; 2647,85-2648,71; 2794,1-2794,84; 2902,22-2902,96</v>
          </cell>
          <cell r="AO311">
            <v>15.14</v>
          </cell>
          <cell r="AP311">
            <v>2352.92</v>
          </cell>
          <cell r="AQ311">
            <v>488.10000000000014</v>
          </cell>
          <cell r="AR311" t="str">
            <v>2253-3096,9</v>
          </cell>
          <cell r="AS311">
            <v>114</v>
          </cell>
          <cell r="AT311">
            <v>7.37</v>
          </cell>
          <cell r="AU311" t="str">
            <v>Газлифт</v>
          </cell>
          <cell r="AV311">
            <v>521.00001269500001</v>
          </cell>
          <cell r="AW311" t="str">
            <v>ГП</v>
          </cell>
          <cell r="AX311">
            <v>1003.9999634770001</v>
          </cell>
          <cell r="AY311" t="str">
            <v>ГК71 1/8</v>
          </cell>
          <cell r="AZ311">
            <v>1399.9999781250001</v>
          </cell>
          <cell r="BA311" t="str">
            <v>ГК72 5/32</v>
          </cell>
          <cell r="BB311">
            <v>1697.0000449219999</v>
          </cell>
          <cell r="BC311" t="str">
            <v>ГК72 3/16</v>
          </cell>
          <cell r="BD311">
            <v>1890.000059766</v>
          </cell>
          <cell r="BE311" t="str">
            <v>ЦКсОК 5/16</v>
          </cell>
          <cell r="BF311" t="str">
            <v>-</v>
          </cell>
          <cell r="BG311" t="str">
            <v>-</v>
          </cell>
          <cell r="BH311" t="str">
            <v>-</v>
          </cell>
          <cell r="BI311" t="str">
            <v>-</v>
          </cell>
        </row>
        <row r="312">
          <cell r="J312">
            <v>1321</v>
          </cell>
          <cell r="K312" t="str">
            <v>К-44</v>
          </cell>
          <cell r="L312">
            <v>43408</v>
          </cell>
          <cell r="M312" t="str">
            <v>Гор.</v>
          </cell>
          <cell r="N312" t="str">
            <v>P4+5+6_Block1_yug</v>
          </cell>
          <cell r="O312" t="str">
            <v>Действующий</v>
          </cell>
          <cell r="P312" t="str">
            <v>В работе</v>
          </cell>
          <cell r="Q312">
            <v>-4</v>
          </cell>
          <cell r="U312">
            <v>203</v>
          </cell>
          <cell r="V312">
            <v>218.2</v>
          </cell>
          <cell r="W312">
            <v>0.98</v>
          </cell>
          <cell r="X312">
            <v>1.66</v>
          </cell>
          <cell r="Y312">
            <v>0.98</v>
          </cell>
          <cell r="Z312">
            <v>1.454</v>
          </cell>
          <cell r="AA312">
            <v>0.83599999999999997</v>
          </cell>
          <cell r="AB312">
            <v>0.72</v>
          </cell>
          <cell r="AC312">
            <v>34.299999999999997</v>
          </cell>
          <cell r="AD312">
            <v>1.17</v>
          </cell>
          <cell r="AE312">
            <v>177.8</v>
          </cell>
          <cell r="AF312">
            <v>9.19</v>
          </cell>
          <cell r="AG312">
            <v>2298.1999999999998</v>
          </cell>
          <cell r="AH312">
            <v>3095.45</v>
          </cell>
          <cell r="AI312">
            <v>3095.45</v>
          </cell>
          <cell r="AM312" t="str">
            <v>Закрытый</v>
          </cell>
          <cell r="AN312" t="str">
            <v>2324,99-2326,19; 2391,85-2393,05; 2512,94-2514,14</v>
          </cell>
          <cell r="AO312">
            <v>64.58</v>
          </cell>
          <cell r="AP312">
            <v>2324.9899999999998</v>
          </cell>
          <cell r="AQ312">
            <v>383</v>
          </cell>
          <cell r="AR312" t="str">
            <v>2234-3030</v>
          </cell>
          <cell r="AS312">
            <v>114</v>
          </cell>
          <cell r="AT312">
            <v>7.37</v>
          </cell>
          <cell r="AU312" t="str">
            <v>Газлифт</v>
          </cell>
          <cell r="AV312">
            <v>390.00000878899999</v>
          </cell>
          <cell r="AW312" t="str">
            <v>ГП</v>
          </cell>
          <cell r="AX312">
            <v>980.00001445299995</v>
          </cell>
          <cell r="AY312" t="str">
            <v>ГП</v>
          </cell>
          <cell r="AZ312">
            <v>1269.9999503910001</v>
          </cell>
          <cell r="BA312" t="str">
            <v>ГК76 1/8</v>
          </cell>
          <cell r="BB312">
            <v>1510.0000359380001</v>
          </cell>
          <cell r="BC312" t="str">
            <v>ГК75 1/8</v>
          </cell>
          <cell r="BD312">
            <v>1730.000002734</v>
          </cell>
          <cell r="BE312" t="str">
            <v>ГК74 1/8</v>
          </cell>
          <cell r="BF312">
            <v>1980</v>
          </cell>
          <cell r="BG312" t="str">
            <v>ЦКсОК 5/16</v>
          </cell>
          <cell r="BH312" t="str">
            <v>-</v>
          </cell>
          <cell r="BI312" t="str">
            <v>-</v>
          </cell>
        </row>
        <row r="313">
          <cell r="J313">
            <v>1322</v>
          </cell>
          <cell r="K313" t="str">
            <v>К-44</v>
          </cell>
          <cell r="L313">
            <v>43074</v>
          </cell>
          <cell r="M313" t="str">
            <v>Гор.</v>
          </cell>
          <cell r="N313" t="str">
            <v>P4+5+6_Block1_yug</v>
          </cell>
          <cell r="O313" t="str">
            <v>Действующий</v>
          </cell>
          <cell r="P313" t="str">
            <v>В работе</v>
          </cell>
          <cell r="Q313">
            <v>-4</v>
          </cell>
          <cell r="R313">
            <v>43064</v>
          </cell>
          <cell r="S313" t="str">
            <v>МеКаМиНефть</v>
          </cell>
          <cell r="T313" t="str">
            <v>КГРП 7ст.
350м3 15% HCl</v>
          </cell>
          <cell r="U313">
            <v>203</v>
          </cell>
          <cell r="V313">
            <v>218.2</v>
          </cell>
          <cell r="W313">
            <v>0.98</v>
          </cell>
          <cell r="X313">
            <v>1.66</v>
          </cell>
          <cell r="Y313">
            <v>0.98</v>
          </cell>
          <cell r="Z313">
            <v>1.454</v>
          </cell>
          <cell r="AA313">
            <v>0.83599999999999997</v>
          </cell>
          <cell r="AB313">
            <v>0.72</v>
          </cell>
          <cell r="AC313">
            <v>34.299999999999997</v>
          </cell>
          <cell r="AD313">
            <v>1.17</v>
          </cell>
          <cell r="AE313">
            <v>177.8</v>
          </cell>
          <cell r="AF313">
            <v>9.19</v>
          </cell>
          <cell r="AG313">
            <v>2270.33</v>
          </cell>
          <cell r="AH313">
            <v>2998.65</v>
          </cell>
          <cell r="AI313">
            <v>2998.65</v>
          </cell>
          <cell r="AJ313">
            <v>43057</v>
          </cell>
          <cell r="AK313" t="str">
            <v>По спущенной компановке</v>
          </cell>
          <cell r="AM313" t="str">
            <v>Закрытый</v>
          </cell>
          <cell r="AN313" t="str">
            <v xml:space="preserve">2363,84-2365,27; 2468,34-2469,74; 2601,76-2603,16; 2702,36-2703,79; 2806,04-2807,47; 2891,66-2893,09; 2987,67-2988,27 </v>
          </cell>
          <cell r="AO313">
            <v>9.1199999999999992</v>
          </cell>
          <cell r="AP313">
            <v>2363.84</v>
          </cell>
          <cell r="AQ313">
            <v>417.1</v>
          </cell>
          <cell r="AR313" t="str">
            <v>2024,53-2999,5</v>
          </cell>
          <cell r="AS313">
            <v>114</v>
          </cell>
          <cell r="AT313">
            <v>7.37</v>
          </cell>
          <cell r="AU313" t="str">
            <v>Газлифт</v>
          </cell>
          <cell r="AV313">
            <v>430.00002304700001</v>
          </cell>
          <cell r="AW313" t="str">
            <v>ГП</v>
          </cell>
          <cell r="AX313">
            <v>840.00000175800005</v>
          </cell>
          <cell r="AY313" t="str">
            <v>ГП</v>
          </cell>
          <cell r="AZ313">
            <v>1179.999936914</v>
          </cell>
          <cell r="BA313" t="str">
            <v>ГП</v>
          </cell>
          <cell r="BB313">
            <v>1440.000066797</v>
          </cell>
          <cell r="BC313" t="str">
            <v>ГК75 1/8</v>
          </cell>
          <cell r="BD313">
            <v>1640.0000636719999</v>
          </cell>
          <cell r="BE313" t="str">
            <v>ГК 74 5/32</v>
          </cell>
          <cell r="BF313">
            <v>1800</v>
          </cell>
          <cell r="BG313" t="str">
            <v>ЦКсОК 5/16</v>
          </cell>
          <cell r="BH313">
            <v>1970</v>
          </cell>
          <cell r="BI313" t="str">
            <v>закрыт</v>
          </cell>
        </row>
        <row r="314">
          <cell r="J314">
            <v>1323</v>
          </cell>
          <cell r="K314" t="str">
            <v>К-41</v>
          </cell>
          <cell r="L314">
            <v>42562</v>
          </cell>
          <cell r="M314" t="str">
            <v>Гор.</v>
          </cell>
          <cell r="N314" t="str">
            <v>P4+5+6_Block1_yug</v>
          </cell>
          <cell r="O314" t="str">
            <v>Действующий</v>
          </cell>
          <cell r="P314" t="str">
            <v>В работе</v>
          </cell>
          <cell r="Q314">
            <v>-4</v>
          </cell>
          <cell r="U314">
            <v>203</v>
          </cell>
          <cell r="V314">
            <v>218.2</v>
          </cell>
          <cell r="W314">
            <v>0.98</v>
          </cell>
          <cell r="X314">
            <v>1.66</v>
          </cell>
          <cell r="Y314">
            <v>1.0123462936227408</v>
          </cell>
          <cell r="Z314">
            <v>1.454</v>
          </cell>
          <cell r="AA314">
            <v>0.83599999999999997</v>
          </cell>
          <cell r="AB314">
            <v>0.72</v>
          </cell>
          <cell r="AC314">
            <v>34.299999999999997</v>
          </cell>
          <cell r="AD314">
            <v>1.17</v>
          </cell>
          <cell r="AE314">
            <v>177.8</v>
          </cell>
          <cell r="AF314">
            <v>9.19</v>
          </cell>
          <cell r="AG314">
            <v>2047.5</v>
          </cell>
          <cell r="AH314">
            <v>2700</v>
          </cell>
          <cell r="AI314">
            <v>2700</v>
          </cell>
          <cell r="AM314" t="str">
            <v>открытый</v>
          </cell>
          <cell r="AN314" t="str">
            <v>2450-2700</v>
          </cell>
          <cell r="AO314">
            <v>46.37</v>
          </cell>
          <cell r="AP314">
            <v>2450</v>
          </cell>
          <cell r="AQ314">
            <v>567</v>
          </cell>
          <cell r="AU314" t="str">
            <v>Газлифт</v>
          </cell>
          <cell r="AV314">
            <v>396.00001464799999</v>
          </cell>
          <cell r="AW314" t="str">
            <v>ГП</v>
          </cell>
          <cell r="AX314">
            <v>743.99998242200002</v>
          </cell>
          <cell r="AY314" t="str">
            <v>ГП</v>
          </cell>
          <cell r="AZ314">
            <v>1045.00002832</v>
          </cell>
          <cell r="BA314" t="str">
            <v>ГП</v>
          </cell>
          <cell r="BB314">
            <v>1304.0000332029999</v>
          </cell>
          <cell r="BC314" t="str">
            <v>ГК74 1/8</v>
          </cell>
          <cell r="BD314">
            <v>1529.000029688</v>
          </cell>
          <cell r="BE314" t="str">
            <v>ГК73 5/32</v>
          </cell>
          <cell r="BF314">
            <v>1720</v>
          </cell>
          <cell r="BG314" t="str">
            <v>ЦКсОК 5/16</v>
          </cell>
          <cell r="BH314">
            <v>1730</v>
          </cell>
          <cell r="BI314" t="str">
            <v>закрыт</v>
          </cell>
        </row>
        <row r="315">
          <cell r="J315">
            <v>3291</v>
          </cell>
          <cell r="K315" t="str">
            <v>К-22</v>
          </cell>
          <cell r="L315">
            <v>43350</v>
          </cell>
          <cell r="M315" t="str">
            <v>Гор.</v>
          </cell>
          <cell r="N315" t="str">
            <v>P4+5+6_Block1_yug</v>
          </cell>
          <cell r="O315" t="str">
            <v>Действующий</v>
          </cell>
          <cell r="P315" t="str">
            <v>В работе</v>
          </cell>
          <cell r="Q315">
            <v>-4</v>
          </cell>
          <cell r="U315">
            <v>203</v>
          </cell>
          <cell r="V315">
            <v>218.2</v>
          </cell>
          <cell r="W315">
            <v>0.98</v>
          </cell>
          <cell r="X315">
            <v>1.66</v>
          </cell>
          <cell r="Y315">
            <v>0.98</v>
          </cell>
          <cell r="Z315">
            <v>1.454</v>
          </cell>
          <cell r="AA315">
            <v>0.83599999999999997</v>
          </cell>
          <cell r="AB315">
            <v>0.72</v>
          </cell>
          <cell r="AC315">
            <v>34.299999999999997</v>
          </cell>
          <cell r="AD315">
            <v>1.17</v>
          </cell>
          <cell r="AE315">
            <v>177.8</v>
          </cell>
          <cell r="AF315">
            <v>9.19</v>
          </cell>
          <cell r="AG315">
            <v>2459.6</v>
          </cell>
          <cell r="AH315">
            <v>3221</v>
          </cell>
          <cell r="AI315">
            <v>3221</v>
          </cell>
          <cell r="AM315" t="str">
            <v>Закрытый</v>
          </cell>
          <cell r="AN315" t="str">
            <v>2494,81-2495,96; 2558,63-2559,78; 2665,15-2666,3; 2828,99-2830,14; 2981,11-2982,26; 3090,11-3091,26; 3208,77-3209,92</v>
          </cell>
          <cell r="AO315">
            <v>29.73</v>
          </cell>
          <cell r="AP315">
            <v>2494.81</v>
          </cell>
          <cell r="AQ315">
            <v>657.06</v>
          </cell>
          <cell r="AR315" t="str">
            <v>2407,38-3221</v>
          </cell>
          <cell r="AS315">
            <v>114</v>
          </cell>
          <cell r="AT315">
            <v>7.37</v>
          </cell>
          <cell r="AU315" t="str">
            <v>Газлифт</v>
          </cell>
          <cell r="AV315">
            <v>499.99999218800002</v>
          </cell>
          <cell r="AW315" t="str">
            <v>ГП</v>
          </cell>
          <cell r="AX315">
            <v>934.99997050800005</v>
          </cell>
          <cell r="AY315" t="str">
            <v>ГК 79/2</v>
          </cell>
          <cell r="AZ315">
            <v>1315.0000687500001</v>
          </cell>
          <cell r="BA315" t="str">
            <v>ГК80/3</v>
          </cell>
          <cell r="BB315">
            <v>1605.000004687</v>
          </cell>
          <cell r="BC315" t="str">
            <v>ГК73/3</v>
          </cell>
          <cell r="BD315">
            <v>1880.000000391</v>
          </cell>
          <cell r="BE315" t="str">
            <v>ЦКсОК 5/16</v>
          </cell>
          <cell r="BF315" t="str">
            <v>-</v>
          </cell>
          <cell r="BG315" t="str">
            <v>-</v>
          </cell>
          <cell r="BH315">
            <v>1890</v>
          </cell>
          <cell r="BI315" t="str">
            <v>закрыт</v>
          </cell>
        </row>
        <row r="316">
          <cell r="J316">
            <v>1326</v>
          </cell>
          <cell r="K316" t="str">
            <v>К-41</v>
          </cell>
          <cell r="L316">
            <v>42433</v>
          </cell>
          <cell r="M316" t="str">
            <v>Гор.</v>
          </cell>
          <cell r="N316" t="str">
            <v>P4+5+6_Block1_yug</v>
          </cell>
          <cell r="O316" t="str">
            <v>Действующий</v>
          </cell>
          <cell r="P316" t="str">
            <v>Остановлена</v>
          </cell>
          <cell r="Q316">
            <v>-4</v>
          </cell>
          <cell r="U316">
            <v>203</v>
          </cell>
          <cell r="V316">
            <v>218.2</v>
          </cell>
          <cell r="W316">
            <v>0.98</v>
          </cell>
          <cell r="X316">
            <v>1.66</v>
          </cell>
          <cell r="Y316">
            <v>0.99798782881821746</v>
          </cell>
          <cell r="Z316">
            <v>1.454</v>
          </cell>
          <cell r="AA316">
            <v>0.83599999999999997</v>
          </cell>
          <cell r="AB316">
            <v>0.72</v>
          </cell>
          <cell r="AC316">
            <v>34.299999999999997</v>
          </cell>
          <cell r="AD316">
            <v>1.17</v>
          </cell>
          <cell r="AE316">
            <v>177.8</v>
          </cell>
          <cell r="AF316">
            <v>9.19</v>
          </cell>
          <cell r="AG316">
            <v>2355</v>
          </cell>
          <cell r="AH316">
            <v>2900</v>
          </cell>
          <cell r="AI316">
            <v>2900</v>
          </cell>
          <cell r="AM316" t="str">
            <v>открытый</v>
          </cell>
          <cell r="AN316" t="str">
            <v>2355-2900</v>
          </cell>
          <cell r="AO316">
            <v>64.13</v>
          </cell>
          <cell r="AP316">
            <v>2355</v>
          </cell>
          <cell r="AQ316">
            <v>459</v>
          </cell>
          <cell r="AR316" t="str">
            <v>2289-2935,17</v>
          </cell>
          <cell r="AS316">
            <v>114</v>
          </cell>
          <cell r="AT316">
            <v>7.37</v>
          </cell>
          <cell r="AU316" t="str">
            <v>Газлифт</v>
          </cell>
          <cell r="AV316">
            <v>500.00002939500001</v>
          </cell>
          <cell r="AW316" t="str">
            <v>ГП</v>
          </cell>
          <cell r="AX316">
            <v>925</v>
          </cell>
          <cell r="AY316" t="str">
            <v>ГП</v>
          </cell>
          <cell r="AZ316">
            <v>1401</v>
          </cell>
          <cell r="BA316" t="str">
            <v>ГК78 1/8</v>
          </cell>
          <cell r="BB316">
            <v>1732</v>
          </cell>
          <cell r="BC316" t="str">
            <v>ГК77 1/8</v>
          </cell>
          <cell r="BD316" t="str">
            <v>-</v>
          </cell>
          <cell r="BE316" t="str">
            <v>-</v>
          </cell>
          <cell r="BF316" t="str">
            <v>-</v>
          </cell>
          <cell r="BG316" t="str">
            <v>-</v>
          </cell>
          <cell r="BH316" t="str">
            <v>-</v>
          </cell>
          <cell r="BI316" t="str">
            <v>-</v>
          </cell>
        </row>
        <row r="317">
          <cell r="J317">
            <v>1327</v>
          </cell>
          <cell r="K317" t="str">
            <v>К-41</v>
          </cell>
          <cell r="L317">
            <v>42364</v>
          </cell>
          <cell r="M317" t="str">
            <v>Гор.</v>
          </cell>
          <cell r="N317" t="str">
            <v>P4+5+6_Block1_yug</v>
          </cell>
          <cell r="O317" t="str">
            <v>Действующий</v>
          </cell>
          <cell r="P317" t="str">
            <v>В работе</v>
          </cell>
          <cell r="Q317">
            <v>-4</v>
          </cell>
          <cell r="U317">
            <v>203</v>
          </cell>
          <cell r="V317">
            <v>218.2</v>
          </cell>
          <cell r="W317">
            <v>0.98</v>
          </cell>
          <cell r="X317">
            <v>1.66</v>
          </cell>
          <cell r="Y317">
            <v>0.98</v>
          </cell>
          <cell r="Z317">
            <v>1.454</v>
          </cell>
          <cell r="AA317">
            <v>0.83599999999999997</v>
          </cell>
          <cell r="AB317">
            <v>0.72</v>
          </cell>
          <cell r="AC317">
            <v>34.299999999999997</v>
          </cell>
          <cell r="AD317">
            <v>1.17</v>
          </cell>
          <cell r="AE317">
            <v>177.8</v>
          </cell>
          <cell r="AF317">
            <v>9.19</v>
          </cell>
          <cell r="AG317">
            <v>2328</v>
          </cell>
          <cell r="AH317">
            <v>2945</v>
          </cell>
          <cell r="AI317">
            <v>2935</v>
          </cell>
          <cell r="AM317" t="str">
            <v>Закрытый</v>
          </cell>
          <cell r="AN317" t="str">
            <v>2245-2935</v>
          </cell>
          <cell r="AO317">
            <v>12.97</v>
          </cell>
          <cell r="AP317">
            <v>2245</v>
          </cell>
          <cell r="AQ317">
            <v>389.9</v>
          </cell>
          <cell r="AU317" t="str">
            <v>Газлифт</v>
          </cell>
          <cell r="AV317">
            <v>549.99999140600005</v>
          </cell>
          <cell r="AW317" t="str">
            <v>ГП</v>
          </cell>
          <cell r="AX317">
            <v>930.00001523399999</v>
          </cell>
          <cell r="AY317" t="str">
            <v>ГП</v>
          </cell>
          <cell r="AZ317">
            <v>1249.9999804690001</v>
          </cell>
          <cell r="BA317" t="str">
            <v>ГК79 1/8</v>
          </cell>
          <cell r="BB317">
            <v>1469.9999472659999</v>
          </cell>
          <cell r="BC317" t="str">
            <v>ГК79 1/8</v>
          </cell>
          <cell r="BD317">
            <v>1649.999974219</v>
          </cell>
          <cell r="BE317" t="str">
            <v>ГК78 5/32</v>
          </cell>
          <cell r="BF317">
            <v>1800</v>
          </cell>
          <cell r="BG317" t="str">
            <v>ЦКсОК 5/16</v>
          </cell>
          <cell r="BH317">
            <v>1920</v>
          </cell>
          <cell r="BI317" t="str">
            <v>открыт</v>
          </cell>
        </row>
        <row r="318">
          <cell r="J318">
            <v>1328</v>
          </cell>
          <cell r="K318" t="str">
            <v>К-105</v>
          </cell>
          <cell r="L318">
            <v>43980</v>
          </cell>
          <cell r="M318" t="str">
            <v>Гор.</v>
          </cell>
          <cell r="N318" t="str">
            <v>P4+5+6_Block1_yug</v>
          </cell>
          <cell r="O318" t="str">
            <v>Действующий</v>
          </cell>
          <cell r="P318" t="str">
            <v>В работе</v>
          </cell>
          <cell r="Q318">
            <v>-4</v>
          </cell>
          <cell r="U318">
            <v>203</v>
          </cell>
          <cell r="V318">
            <v>218.2</v>
          </cell>
          <cell r="W318">
            <v>0.98</v>
          </cell>
          <cell r="X318">
            <v>1.66</v>
          </cell>
          <cell r="Y318">
            <v>1.2452541334966318</v>
          </cell>
          <cell r="Z318">
            <v>1.454</v>
          </cell>
          <cell r="AA318">
            <v>0.83599999999999997</v>
          </cell>
          <cell r="AB318">
            <v>0.72</v>
          </cell>
          <cell r="AC318">
            <v>34.299999999999997</v>
          </cell>
          <cell r="AD318">
            <v>1.17</v>
          </cell>
          <cell r="AE318">
            <v>177.8</v>
          </cell>
          <cell r="AF318">
            <v>9.19</v>
          </cell>
          <cell r="AG318">
            <v>2367.5</v>
          </cell>
          <cell r="AH318">
            <v>2951</v>
          </cell>
          <cell r="AI318">
            <v>2951</v>
          </cell>
          <cell r="AM318" t="str">
            <v>Закрытый</v>
          </cell>
          <cell r="AN318" t="str">
            <v>2528,87-2530,07; 2603,42-2604,62; 2726,49-2727,69; 2850,39-2851,59; 2937,25-2938,45</v>
          </cell>
          <cell r="AO318">
            <v>405.89999999999992</v>
          </cell>
          <cell r="AP318">
            <v>2528.87</v>
          </cell>
          <cell r="AQ318">
            <v>941.86999999999978</v>
          </cell>
          <cell r="AR318" t="str">
            <v>2308,6-2951</v>
          </cell>
          <cell r="AS318">
            <v>114</v>
          </cell>
          <cell r="AT318">
            <v>7.37</v>
          </cell>
          <cell r="AU318" t="str">
            <v>Газлифт</v>
          </cell>
          <cell r="AV318">
            <v>579.99998349600003</v>
          </cell>
          <cell r="AW318" t="str">
            <v>ГП</v>
          </cell>
          <cell r="AX318">
            <v>1099.9999828130001</v>
          </cell>
          <cell r="AY318" t="str">
            <v>ГК 74 1/8</v>
          </cell>
          <cell r="AZ318">
            <v>1530.0000058590001</v>
          </cell>
          <cell r="BA318" t="str">
            <v>ГК 75 5/32</v>
          </cell>
          <cell r="BB318">
            <v>1885.000030078</v>
          </cell>
          <cell r="BC318" t="str">
            <v>ГК 75 5/32</v>
          </cell>
          <cell r="BD318">
            <v>2190.0000550780001</v>
          </cell>
          <cell r="BE318" t="str">
            <v>ЦКсОК 5/16</v>
          </cell>
          <cell r="BF318" t="str">
            <v>-</v>
          </cell>
          <cell r="BG318" t="str">
            <v>-</v>
          </cell>
          <cell r="BH318" t="str">
            <v>-</v>
          </cell>
          <cell r="BI318" t="str">
            <v>-</v>
          </cell>
        </row>
        <row r="319">
          <cell r="J319">
            <v>1329</v>
          </cell>
          <cell r="K319" t="str">
            <v>К-65</v>
          </cell>
          <cell r="L319">
            <v>43255</v>
          </cell>
          <cell r="M319" t="str">
            <v>Гор.</v>
          </cell>
          <cell r="N319" t="str">
            <v>P4+5+6_Block1_yug</v>
          </cell>
          <cell r="O319" t="str">
            <v>Действующий</v>
          </cell>
          <cell r="P319" t="str">
            <v>В работе</v>
          </cell>
          <cell r="Q319">
            <v>-4</v>
          </cell>
          <cell r="R319">
            <v>43164</v>
          </cell>
          <cell r="S319" t="str">
            <v>МеКаМиНефть</v>
          </cell>
          <cell r="T319" t="str">
            <v>КГРП 7ст.
385м3 15% HCl          Vпр=200тн</v>
          </cell>
          <cell r="U319">
            <v>203</v>
          </cell>
          <cell r="V319">
            <v>218.2</v>
          </cell>
          <cell r="W319">
            <v>0.98</v>
          </cell>
          <cell r="X319">
            <v>1.66</v>
          </cell>
          <cell r="Y319">
            <v>1.0051157847910435</v>
          </cell>
          <cell r="Z319">
            <v>1.454</v>
          </cell>
          <cell r="AA319">
            <v>0.83599999999999997</v>
          </cell>
          <cell r="AB319">
            <v>0.72</v>
          </cell>
          <cell r="AC319">
            <v>34.299999999999997</v>
          </cell>
          <cell r="AD319">
            <v>1.17</v>
          </cell>
          <cell r="AE319">
            <v>177.8</v>
          </cell>
          <cell r="AF319">
            <v>9.19</v>
          </cell>
          <cell r="AG319">
            <v>2033</v>
          </cell>
          <cell r="AH319">
            <v>2984</v>
          </cell>
          <cell r="AI319">
            <v>2984</v>
          </cell>
          <cell r="AM319" t="str">
            <v>Закрытый</v>
          </cell>
          <cell r="AN319" t="str">
            <v xml:space="preserve">2050,9-2052,33; 2144,72-2146,15; 2239,15-2240,58; 2368,07-2369,5; 2515,28-2516,71; 2609,78-2611,21; 2776,92-2778,15 </v>
          </cell>
          <cell r="AO319">
            <v>103.1</v>
          </cell>
          <cell r="AP319">
            <v>2050.9</v>
          </cell>
          <cell r="AQ319">
            <v>160.80000000000001</v>
          </cell>
          <cell r="AR319" t="str">
            <v>1977,26-2984</v>
          </cell>
          <cell r="AS319">
            <v>114</v>
          </cell>
          <cell r="AT319">
            <v>7.37</v>
          </cell>
          <cell r="AU319" t="str">
            <v>Газлифт</v>
          </cell>
          <cell r="AV319">
            <v>544.99999892599999</v>
          </cell>
          <cell r="AW319" t="str">
            <v>ГП</v>
          </cell>
          <cell r="AX319">
            <v>958.00001777299997</v>
          </cell>
          <cell r="AY319" t="str">
            <v>ГП</v>
          </cell>
          <cell r="AZ319">
            <v>1274.9999800779999</v>
          </cell>
          <cell r="BA319" t="str">
            <v>ГК73 1/8</v>
          </cell>
          <cell r="BB319">
            <v>1511.000012109</v>
          </cell>
          <cell r="BC319" t="str">
            <v>ГК73 1/8</v>
          </cell>
          <cell r="BD319">
            <v>1792.9999898440001</v>
          </cell>
          <cell r="BE319" t="str">
            <v>ЦКсОК 5/16</v>
          </cell>
          <cell r="BF319" t="str">
            <v>-</v>
          </cell>
          <cell r="BG319" t="str">
            <v>-</v>
          </cell>
          <cell r="BH319">
            <v>1806</v>
          </cell>
          <cell r="BI319" t="str">
            <v xml:space="preserve">открыт </v>
          </cell>
        </row>
        <row r="320">
          <cell r="J320">
            <v>1330</v>
          </cell>
          <cell r="K320" t="str">
            <v>К-105</v>
          </cell>
          <cell r="L320">
            <v>43342</v>
          </cell>
          <cell r="M320" t="str">
            <v>Гор.</v>
          </cell>
          <cell r="N320" t="str">
            <v>P4+5+6_Block1_yug</v>
          </cell>
          <cell r="O320" t="str">
            <v>Действующий</v>
          </cell>
          <cell r="P320" t="str">
            <v>В работе</v>
          </cell>
          <cell r="Q320">
            <v>-4</v>
          </cell>
          <cell r="U320">
            <v>203</v>
          </cell>
          <cell r="V320">
            <v>218.2</v>
          </cell>
          <cell r="W320">
            <v>0.98</v>
          </cell>
          <cell r="X320">
            <v>1.66</v>
          </cell>
          <cell r="Y320">
            <v>0.98160841861363191</v>
          </cell>
          <cell r="Z320">
            <v>1.454</v>
          </cell>
          <cell r="AA320">
            <v>0.83599999999999997</v>
          </cell>
          <cell r="AB320">
            <v>0.72</v>
          </cell>
          <cell r="AC320">
            <v>34.299999999999997</v>
          </cell>
          <cell r="AD320">
            <v>1.17</v>
          </cell>
          <cell r="AE320">
            <v>177.8</v>
          </cell>
          <cell r="AF320">
            <v>9.19</v>
          </cell>
          <cell r="AG320">
            <v>2316</v>
          </cell>
          <cell r="AH320">
            <v>3176.5</v>
          </cell>
          <cell r="AI320">
            <v>3176.5</v>
          </cell>
          <cell r="AM320" t="str">
            <v>Закрытый</v>
          </cell>
          <cell r="AN320" t="str">
            <v xml:space="preserve">2587,08-2588,28;  2663,67-2664,87; 2729,52-2730,72; 2838,81-2840,01; 2916,71-2917,91; 3005,98-3007,18; 3123,3-3124,5    </v>
          </cell>
          <cell r="AO320">
            <v>13.49</v>
          </cell>
          <cell r="AP320">
            <v>2587.1</v>
          </cell>
          <cell r="AQ320">
            <v>691.165421552206</v>
          </cell>
          <cell r="AR320" t="str">
            <v>240,35-3145,8</v>
          </cell>
          <cell r="AS320">
            <v>114</v>
          </cell>
          <cell r="AT320">
            <v>7.37</v>
          </cell>
          <cell r="AU320" t="str">
            <v>Газлифт</v>
          </cell>
          <cell r="AV320">
            <v>420.00000087900003</v>
          </cell>
          <cell r="AW320" t="str">
            <v>ГП</v>
          </cell>
          <cell r="AX320">
            <v>899.99998593800001</v>
          </cell>
          <cell r="AY320" t="str">
            <v>ГК77 1/8</v>
          </cell>
          <cell r="AZ320">
            <v>1299.9999796879999</v>
          </cell>
          <cell r="BA320" t="str">
            <v>ГК76 1/8</v>
          </cell>
          <cell r="BB320">
            <v>1599.9999749999999</v>
          </cell>
          <cell r="BC320" t="str">
            <v>ГК75 1/8</v>
          </cell>
          <cell r="BD320">
            <v>1880.000000391</v>
          </cell>
          <cell r="BE320" t="str">
            <v>ЦКсОК 5/16</v>
          </cell>
          <cell r="BF320" t="str">
            <v>-</v>
          </cell>
          <cell r="BG320" t="str">
            <v>-</v>
          </cell>
          <cell r="BH320" t="str">
            <v>-</v>
          </cell>
          <cell r="BI320" t="str">
            <v>-</v>
          </cell>
        </row>
        <row r="321">
          <cell r="J321">
            <v>1331</v>
          </cell>
          <cell r="K321" t="str">
            <v>К-34</v>
          </cell>
          <cell r="L321">
            <v>43403</v>
          </cell>
          <cell r="M321" t="str">
            <v>Гор.</v>
          </cell>
          <cell r="N321" t="str">
            <v>P4+5+6_Block1_yug</v>
          </cell>
          <cell r="O321" t="str">
            <v>Действующий</v>
          </cell>
          <cell r="P321" t="str">
            <v>В работе</v>
          </cell>
          <cell r="Q321">
            <v>-4</v>
          </cell>
          <cell r="U321">
            <v>203</v>
          </cell>
          <cell r="V321">
            <v>218.2</v>
          </cell>
          <cell r="W321">
            <v>0.98</v>
          </cell>
          <cell r="X321">
            <v>1.66</v>
          </cell>
          <cell r="Y321">
            <v>1.0004920049200492</v>
          </cell>
          <cell r="Z321">
            <v>1.454</v>
          </cell>
          <cell r="AA321">
            <v>0.83599999999999997</v>
          </cell>
          <cell r="AB321">
            <v>0.72</v>
          </cell>
          <cell r="AC321">
            <v>34.299999999999997</v>
          </cell>
          <cell r="AD321">
            <v>1.17</v>
          </cell>
          <cell r="AE321">
            <v>177.8</v>
          </cell>
          <cell r="AF321">
            <v>9.19</v>
          </cell>
          <cell r="AG321">
            <v>2242.4</v>
          </cell>
          <cell r="AH321">
            <v>3133</v>
          </cell>
          <cell r="AI321">
            <v>3133</v>
          </cell>
          <cell r="AM321" t="str">
            <v>Закрытый</v>
          </cell>
          <cell r="AN321" t="str">
            <v xml:space="preserve">2341,35-2342,78; 2462,75-2464,18; 2594,27-2595,7; 2714,54-2715,97; 2856,96-2858,39; 2956,7-2958,13; 3066,69-3067,92м  </v>
          </cell>
          <cell r="AO321">
            <v>84.37</v>
          </cell>
          <cell r="AP321">
            <v>2341.35</v>
          </cell>
          <cell r="AQ321">
            <v>445.33</v>
          </cell>
          <cell r="AR321" t="str">
            <v>2295,85-3088,87</v>
          </cell>
          <cell r="AS321">
            <v>114.3</v>
          </cell>
          <cell r="AT321">
            <v>7.37</v>
          </cell>
          <cell r="AU321" t="str">
            <v>ЭЦН</v>
          </cell>
          <cell r="AV321">
            <v>300</v>
          </cell>
          <cell r="AW321" t="str">
            <v>ГП</v>
          </cell>
          <cell r="AX321" t="str">
            <v>-</v>
          </cell>
          <cell r="AY321" t="str">
            <v>-</v>
          </cell>
          <cell r="AZ321" t="str">
            <v>-</v>
          </cell>
          <cell r="BA321" t="str">
            <v>-</v>
          </cell>
          <cell r="BB321" t="str">
            <v>-</v>
          </cell>
          <cell r="BC321" t="str">
            <v>-</v>
          </cell>
          <cell r="BD321" t="str">
            <v>-</v>
          </cell>
          <cell r="BE321" t="str">
            <v>-</v>
          </cell>
          <cell r="BF321" t="str">
            <v>-</v>
          </cell>
          <cell r="BG321" t="str">
            <v>-</v>
          </cell>
          <cell r="BH321">
            <v>1930</v>
          </cell>
          <cell r="BI321" t="str">
            <v>закрыт</v>
          </cell>
          <cell r="BK321" t="str">
            <v>D1150N</v>
          </cell>
          <cell r="BM321">
            <v>1641</v>
          </cell>
          <cell r="BN321">
            <v>47</v>
          </cell>
          <cell r="BO321">
            <v>100</v>
          </cell>
        </row>
        <row r="322">
          <cell r="J322">
            <v>1332</v>
          </cell>
          <cell r="K322" t="str">
            <v>К-1324</v>
          </cell>
          <cell r="L322">
            <v>43632</v>
          </cell>
          <cell r="M322" t="str">
            <v>Гор.</v>
          </cell>
          <cell r="N322" t="str">
            <v>P4+5+6_Block1_yug</v>
          </cell>
          <cell r="O322" t="str">
            <v>Действующий</v>
          </cell>
          <cell r="P322" t="str">
            <v>В работе</v>
          </cell>
          <cell r="Q322">
            <v>-4</v>
          </cell>
          <cell r="U322">
            <v>203</v>
          </cell>
          <cell r="V322">
            <v>218.2</v>
          </cell>
          <cell r="W322">
            <v>0.98</v>
          </cell>
          <cell r="X322">
            <v>1.66</v>
          </cell>
          <cell r="Y322">
            <v>0.98</v>
          </cell>
          <cell r="Z322">
            <v>1.454</v>
          </cell>
          <cell r="AA322">
            <v>0.83599999999999997</v>
          </cell>
          <cell r="AB322">
            <v>0.72</v>
          </cell>
          <cell r="AC322">
            <v>34.299999999999997</v>
          </cell>
          <cell r="AD322">
            <v>1.17</v>
          </cell>
          <cell r="AE322">
            <v>177.8</v>
          </cell>
          <cell r="AF322">
            <v>9.19</v>
          </cell>
          <cell r="AG322">
            <v>2320</v>
          </cell>
          <cell r="AH322">
            <v>3108</v>
          </cell>
          <cell r="AI322">
            <v>3108</v>
          </cell>
          <cell r="AM322" t="str">
            <v>Закрытый</v>
          </cell>
          <cell r="AN322" t="str">
            <v>2451,07-2452,27; 2551,7-2552,9; 2651,48-2652,68; 2756,89-2852,09; 2959,65-2960,85; 3056,98-3058,18.</v>
          </cell>
          <cell r="AO322">
            <v>182.61</v>
          </cell>
          <cell r="AP322">
            <v>2451.0700000000002</v>
          </cell>
          <cell r="AQ322">
            <v>574.07000000000016</v>
          </cell>
          <cell r="AU322" t="str">
            <v>Фон.</v>
          </cell>
          <cell r="AV322">
            <v>500</v>
          </cell>
          <cell r="AW322" t="str">
            <v>ГП</v>
          </cell>
          <cell r="AX322">
            <v>955</v>
          </cell>
          <cell r="AY322" t="str">
            <v>ГК 73 1/8</v>
          </cell>
          <cell r="AZ322">
            <v>1345</v>
          </cell>
          <cell r="BA322" t="str">
            <v>ГК 74 5/32</v>
          </cell>
          <cell r="BB322">
            <v>1645</v>
          </cell>
          <cell r="BC322" t="str">
            <v>ГК 74 5/32</v>
          </cell>
          <cell r="BD322">
            <v>1920</v>
          </cell>
          <cell r="BE322" t="str">
            <v>ЦКсОК 5/16</v>
          </cell>
          <cell r="BF322" t="str">
            <v>-</v>
          </cell>
          <cell r="BG322" t="str">
            <v>-</v>
          </cell>
          <cell r="BH322" t="str">
            <v>-</v>
          </cell>
          <cell r="BI322" t="str">
            <v>-</v>
          </cell>
        </row>
        <row r="323">
          <cell r="J323">
            <v>1333</v>
          </cell>
          <cell r="K323" t="str">
            <v>К-1609</v>
          </cell>
          <cell r="L323">
            <v>44224</v>
          </cell>
          <cell r="M323" t="str">
            <v>Гор.</v>
          </cell>
          <cell r="N323" t="str">
            <v>P4+5+6_Block1_sever</v>
          </cell>
          <cell r="O323" t="str">
            <v>Действующий</v>
          </cell>
          <cell r="P323" t="str">
            <v>В работе</v>
          </cell>
          <cell r="Q323">
            <v>-4</v>
          </cell>
          <cell r="U323">
            <v>203</v>
          </cell>
          <cell r="V323">
            <v>218.2</v>
          </cell>
          <cell r="W323">
            <v>0.98</v>
          </cell>
          <cell r="X323">
            <v>1.66</v>
          </cell>
          <cell r="Y323">
            <v>1.0146218307100856</v>
          </cell>
          <cell r="Z323">
            <v>1.454</v>
          </cell>
          <cell r="AA323">
            <v>0.83599999999999997</v>
          </cell>
          <cell r="AB323">
            <v>0.72</v>
          </cell>
          <cell r="AC323">
            <v>34.299999999999997</v>
          </cell>
          <cell r="AD323">
            <v>1.17</v>
          </cell>
          <cell r="AE323">
            <v>177.8</v>
          </cell>
          <cell r="AF323">
            <v>9.19</v>
          </cell>
          <cell r="AG323">
            <v>2043</v>
          </cell>
          <cell r="AH323">
            <v>2837</v>
          </cell>
          <cell r="AI323">
            <v>2837</v>
          </cell>
          <cell r="AJ323">
            <v>44051</v>
          </cell>
          <cell r="AM323" t="str">
            <v>открытый</v>
          </cell>
          <cell r="AN323" t="str">
            <v>2043-2837</v>
          </cell>
          <cell r="AO323">
            <v>37.74</v>
          </cell>
          <cell r="AP323">
            <v>2837</v>
          </cell>
          <cell r="AQ323">
            <v>216.49</v>
          </cell>
          <cell r="AU323" t="str">
            <v>Фон.</v>
          </cell>
          <cell r="AV323">
            <v>350</v>
          </cell>
          <cell r="AW323" t="str">
            <v>ГП</v>
          </cell>
          <cell r="AX323">
            <v>640</v>
          </cell>
          <cell r="AY323" t="str">
            <v>ГП</v>
          </cell>
          <cell r="AZ323">
            <v>910</v>
          </cell>
          <cell r="BA323" t="str">
            <v>ГП</v>
          </cell>
          <cell r="BB323">
            <v>1100</v>
          </cell>
          <cell r="BC323" t="str">
            <v>ГП</v>
          </cell>
          <cell r="BD323">
            <v>1590</v>
          </cell>
          <cell r="BE323" t="str">
            <v>ГП</v>
          </cell>
          <cell r="BF323">
            <v>1810</v>
          </cell>
          <cell r="BG323" t="str">
            <v>ЦКсОК 5/16</v>
          </cell>
          <cell r="BH323" t="str">
            <v>-</v>
          </cell>
          <cell r="BI323" t="str">
            <v>-</v>
          </cell>
        </row>
        <row r="324">
          <cell r="J324">
            <v>1334</v>
          </cell>
          <cell r="K324" t="str">
            <v>К-104</v>
          </cell>
          <cell r="L324">
            <v>43697</v>
          </cell>
          <cell r="M324" t="str">
            <v>Гор.</v>
          </cell>
          <cell r="N324" t="str">
            <v>P5i</v>
          </cell>
          <cell r="O324" t="str">
            <v>Действующий</v>
          </cell>
          <cell r="P324" t="str">
            <v>В работе</v>
          </cell>
          <cell r="Q324">
            <v>-4</v>
          </cell>
          <cell r="U324">
            <v>203</v>
          </cell>
          <cell r="V324">
            <v>218.2</v>
          </cell>
          <cell r="W324">
            <v>0.98</v>
          </cell>
          <cell r="X324">
            <v>1.66</v>
          </cell>
          <cell r="Y324">
            <v>0.98</v>
          </cell>
          <cell r="Z324">
            <v>1.454</v>
          </cell>
          <cell r="AA324">
            <v>0.83599999999999997</v>
          </cell>
          <cell r="AB324">
            <v>0.72</v>
          </cell>
          <cell r="AC324">
            <v>34.299999999999997</v>
          </cell>
          <cell r="AD324">
            <v>1.17</v>
          </cell>
          <cell r="AE324">
            <v>177.8</v>
          </cell>
          <cell r="AF324">
            <v>9.19</v>
          </cell>
          <cell r="AG324">
            <v>2065</v>
          </cell>
          <cell r="AH324">
            <v>2552</v>
          </cell>
          <cell r="AI324">
            <v>2552</v>
          </cell>
          <cell r="AM324" t="str">
            <v>открытый</v>
          </cell>
          <cell r="AN324" t="str">
            <v>2065-2552</v>
          </cell>
          <cell r="AO324">
            <v>64</v>
          </cell>
          <cell r="AP324">
            <v>2065</v>
          </cell>
          <cell r="AQ324">
            <v>222</v>
          </cell>
          <cell r="AU324" t="str">
            <v>Газлифт</v>
          </cell>
          <cell r="AV324">
            <v>500</v>
          </cell>
          <cell r="AW324" t="str">
            <v>ГП</v>
          </cell>
          <cell r="AX324">
            <v>950</v>
          </cell>
          <cell r="AY324" t="str">
            <v>ГП</v>
          </cell>
          <cell r="AZ324">
            <v>1290</v>
          </cell>
          <cell r="BA324" t="str">
            <v>ГК88 1/8</v>
          </cell>
          <cell r="BB324">
            <v>1552</v>
          </cell>
          <cell r="BC324" t="str">
            <v>ГК87 5/32</v>
          </cell>
          <cell r="BD324">
            <v>1808</v>
          </cell>
          <cell r="BE324" t="str">
            <v>ГК87 5/32</v>
          </cell>
          <cell r="BF324">
            <v>1808</v>
          </cell>
          <cell r="BG324" t="str">
            <v>ЦКсОК 5/16</v>
          </cell>
          <cell r="BH324" t="str">
            <v>-</v>
          </cell>
          <cell r="BI324" t="str">
            <v>-</v>
          </cell>
        </row>
        <row r="325">
          <cell r="J325">
            <v>1337</v>
          </cell>
          <cell r="K325" t="str">
            <v>К-104</v>
          </cell>
          <cell r="L325">
            <v>43768</v>
          </cell>
          <cell r="M325" t="str">
            <v>Гор.</v>
          </cell>
          <cell r="N325" t="str">
            <v>Р4+5_Block3</v>
          </cell>
          <cell r="O325" t="str">
            <v>Действующий</v>
          </cell>
          <cell r="P325" t="str">
            <v>Остановлена</v>
          </cell>
          <cell r="Q325">
            <v>-4</v>
          </cell>
          <cell r="U325">
            <v>203</v>
          </cell>
          <cell r="V325">
            <v>218.2</v>
          </cell>
          <cell r="W325">
            <v>0.98</v>
          </cell>
          <cell r="X325">
            <v>1.66</v>
          </cell>
          <cell r="Y325">
            <v>0.98020076401190581</v>
          </cell>
          <cell r="Z325">
            <v>1.454</v>
          </cell>
          <cell r="AA325">
            <v>0.83599999999999997</v>
          </cell>
          <cell r="AB325">
            <v>0.72</v>
          </cell>
          <cell r="AC325">
            <v>34.299999999999997</v>
          </cell>
          <cell r="AD325">
            <v>1.17</v>
          </cell>
          <cell r="AE325">
            <v>177.8</v>
          </cell>
          <cell r="AF325">
            <v>9.19</v>
          </cell>
          <cell r="AG325">
            <v>2202.7800000000002</v>
          </cell>
          <cell r="AH325" t="str">
            <v xml:space="preserve">1 ст - 2421 
2 ст - 2621 </v>
          </cell>
          <cell r="AI325" t="str">
            <v xml:space="preserve">1 ст - 2421 
2 ст - 2621 </v>
          </cell>
          <cell r="AM325" t="str">
            <v>открытый</v>
          </cell>
          <cell r="AN325" t="str">
            <v>2202,78-2421
2202,78-2621</v>
          </cell>
          <cell r="AO325">
            <v>80</v>
          </cell>
          <cell r="AP325">
            <v>2202.7800000000002</v>
          </cell>
          <cell r="AQ325">
            <v>328</v>
          </cell>
          <cell r="AU325" t="str">
            <v>Газлифт</v>
          </cell>
          <cell r="AV325">
            <v>510.00001435500002</v>
          </cell>
          <cell r="AW325" t="str">
            <v>ГК83 1/8</v>
          </cell>
          <cell r="AX325">
            <v>940.00000019499998</v>
          </cell>
          <cell r="AY325" t="str">
            <v>ГК83 1/8</v>
          </cell>
          <cell r="AZ325">
            <v>1230.0000105470001</v>
          </cell>
          <cell r="BA325" t="str">
            <v>ГК83 5/32</v>
          </cell>
          <cell r="BB325">
            <v>1499.999976563</v>
          </cell>
          <cell r="BC325" t="str">
            <v>ГК83 5/32</v>
          </cell>
          <cell r="BD325">
            <v>1812.9999597660001</v>
          </cell>
          <cell r="BE325" t="str">
            <v>ЦКсОК 5/16</v>
          </cell>
          <cell r="BF325" t="str">
            <v>-</v>
          </cell>
          <cell r="BG325" t="str">
            <v>-</v>
          </cell>
          <cell r="BH325">
            <v>1820</v>
          </cell>
          <cell r="BI325" t="str">
            <v>закрыт</v>
          </cell>
        </row>
        <row r="326">
          <cell r="J326">
            <v>1338</v>
          </cell>
          <cell r="K326" t="str">
            <v>К-1570</v>
          </cell>
          <cell r="L326">
            <v>43884</v>
          </cell>
          <cell r="M326" t="str">
            <v>Гор.</v>
          </cell>
          <cell r="N326" t="str">
            <v>Р4+5_Block3</v>
          </cell>
          <cell r="O326" t="str">
            <v>Действующий</v>
          </cell>
          <cell r="P326" t="str">
            <v>Остановлена</v>
          </cell>
          <cell r="Q326">
            <v>-4</v>
          </cell>
          <cell r="U326">
            <v>203</v>
          </cell>
          <cell r="V326">
            <v>218.2</v>
          </cell>
          <cell r="W326">
            <v>0.98</v>
          </cell>
          <cell r="X326">
            <v>1.66</v>
          </cell>
          <cell r="Y326">
            <v>0.98</v>
          </cell>
          <cell r="Z326">
            <v>1.454</v>
          </cell>
          <cell r="AA326">
            <v>0.83599999999999997</v>
          </cell>
          <cell r="AB326">
            <v>0.72</v>
          </cell>
          <cell r="AC326">
            <v>34.299999999999997</v>
          </cell>
          <cell r="AD326">
            <v>1.17</v>
          </cell>
          <cell r="AE326">
            <v>177.8</v>
          </cell>
          <cell r="AF326">
            <v>9.19</v>
          </cell>
          <cell r="AG326">
            <v>2202</v>
          </cell>
          <cell r="AH326">
            <v>2584</v>
          </cell>
          <cell r="AI326">
            <v>2584</v>
          </cell>
          <cell r="AM326" t="str">
            <v>открытый</v>
          </cell>
          <cell r="AN326" t="str">
            <v>2202-2584</v>
          </cell>
          <cell r="AO326">
            <v>20</v>
          </cell>
          <cell r="AP326">
            <v>2202</v>
          </cell>
          <cell r="AQ326">
            <v>347.4</v>
          </cell>
          <cell r="AU326" t="str">
            <v>Фон.</v>
          </cell>
          <cell r="AV326">
            <v>474.00001640599999</v>
          </cell>
          <cell r="AW326" t="str">
            <v>ГК 76 1/8</v>
          </cell>
          <cell r="AX326">
            <v>880.00001601600002</v>
          </cell>
          <cell r="AY326" t="str">
            <v>гк 76 1/8</v>
          </cell>
          <cell r="AZ326">
            <v>1161.9999937499999</v>
          </cell>
          <cell r="BA326" t="str">
            <v>ГК 77 1/8</v>
          </cell>
          <cell r="BB326">
            <v>1398.000025781</v>
          </cell>
          <cell r="BC326" t="str">
            <v>ГК 77 1/8</v>
          </cell>
          <cell r="BD326">
            <v>1621.000069922</v>
          </cell>
          <cell r="BE326" t="str">
            <v>ГК 77 1/8</v>
          </cell>
          <cell r="BF326">
            <v>1860</v>
          </cell>
          <cell r="BG326" t="str">
            <v>ЦКсОК 5/16</v>
          </cell>
          <cell r="BH326">
            <v>1870</v>
          </cell>
          <cell r="BI326" t="str">
            <v>закрыт</v>
          </cell>
        </row>
        <row r="327">
          <cell r="J327">
            <v>1339</v>
          </cell>
          <cell r="K327" t="str">
            <v>К-104</v>
          </cell>
          <cell r="L327">
            <v>43768</v>
          </cell>
          <cell r="M327" t="str">
            <v>Гор.</v>
          </cell>
          <cell r="N327" t="str">
            <v>P5i</v>
          </cell>
          <cell r="O327" t="str">
            <v>Действующий</v>
          </cell>
          <cell r="P327" t="str">
            <v>В работе</v>
          </cell>
          <cell r="Q327">
            <v>-4</v>
          </cell>
          <cell r="U327">
            <v>203</v>
          </cell>
          <cell r="V327">
            <v>218.2</v>
          </cell>
          <cell r="W327">
            <v>0.98</v>
          </cell>
          <cell r="X327">
            <v>1.66</v>
          </cell>
          <cell r="Y327">
            <v>1.6485610052695578</v>
          </cell>
          <cell r="Z327">
            <v>1.454</v>
          </cell>
          <cell r="AA327">
            <v>0.83599999999999997</v>
          </cell>
          <cell r="AB327">
            <v>0.72</v>
          </cell>
          <cell r="AC327">
            <v>34.299999999999997</v>
          </cell>
          <cell r="AD327">
            <v>1.17</v>
          </cell>
          <cell r="AE327">
            <v>177.8</v>
          </cell>
          <cell r="AF327">
            <v>9.19</v>
          </cell>
          <cell r="AG327">
            <v>2298</v>
          </cell>
          <cell r="AH327">
            <v>2876</v>
          </cell>
          <cell r="AI327">
            <v>2876</v>
          </cell>
          <cell r="AM327" t="str">
            <v>открытый</v>
          </cell>
          <cell r="AN327" t="str">
            <v>2298-2876</v>
          </cell>
          <cell r="AO327">
            <v>86</v>
          </cell>
          <cell r="AP327">
            <v>2298</v>
          </cell>
          <cell r="AQ327">
            <v>449</v>
          </cell>
          <cell r="AU327" t="str">
            <v>ЭЦН</v>
          </cell>
          <cell r="AV327">
            <v>300</v>
          </cell>
          <cell r="AW327" t="str">
            <v>ГП</v>
          </cell>
          <cell r="AX327" t="str">
            <v>-</v>
          </cell>
          <cell r="AY327" t="str">
            <v>-</v>
          </cell>
          <cell r="AZ327" t="str">
            <v>-</v>
          </cell>
          <cell r="BA327" t="str">
            <v>-</v>
          </cell>
          <cell r="BB327" t="str">
            <v>-</v>
          </cell>
          <cell r="BC327" t="str">
            <v>-</v>
          </cell>
          <cell r="BD327" t="str">
            <v>-</v>
          </cell>
          <cell r="BE327" t="str">
            <v>-</v>
          </cell>
          <cell r="BF327" t="str">
            <v>-</v>
          </cell>
          <cell r="BG327" t="str">
            <v>-</v>
          </cell>
          <cell r="BH327">
            <v>1990</v>
          </cell>
          <cell r="BI327" t="str">
            <v>закрыт</v>
          </cell>
          <cell r="BK327" t="str">
            <v>D2400N</v>
          </cell>
          <cell r="BM327">
            <v>909</v>
          </cell>
          <cell r="BN327">
            <v>50</v>
          </cell>
          <cell r="BO327">
            <v>125</v>
          </cell>
        </row>
        <row r="328">
          <cell r="J328">
            <v>1346</v>
          </cell>
          <cell r="K328" t="str">
            <v>К-54</v>
          </cell>
          <cell r="L328">
            <v>43902</v>
          </cell>
          <cell r="M328" t="str">
            <v>Гор.</v>
          </cell>
          <cell r="N328" t="str">
            <v>Р4+5_Block3, P5i</v>
          </cell>
          <cell r="O328" t="str">
            <v>Действующий</v>
          </cell>
          <cell r="P328" t="str">
            <v>Остановлена</v>
          </cell>
          <cell r="Q328">
            <v>-4</v>
          </cell>
          <cell r="U328">
            <v>203</v>
          </cell>
          <cell r="V328">
            <v>218.2</v>
          </cell>
          <cell r="W328">
            <v>0.98</v>
          </cell>
          <cell r="X328">
            <v>1.66</v>
          </cell>
          <cell r="Y328">
            <v>1.1440225035161744</v>
          </cell>
          <cell r="Z328">
            <v>1.454</v>
          </cell>
          <cell r="AA328">
            <v>0.83599999999999997</v>
          </cell>
          <cell r="AB328">
            <v>0.72</v>
          </cell>
          <cell r="AC328">
            <v>34.299999999999997</v>
          </cell>
          <cell r="AD328">
            <v>1.17</v>
          </cell>
          <cell r="AE328">
            <v>177.8</v>
          </cell>
          <cell r="AF328">
            <v>9.19</v>
          </cell>
          <cell r="AG328">
            <v>2314</v>
          </cell>
          <cell r="AH328">
            <v>2924</v>
          </cell>
          <cell r="AI328">
            <v>2924</v>
          </cell>
          <cell r="AM328" t="str">
            <v>открытый</v>
          </cell>
          <cell r="AN328" t="str">
            <v>2314-2924</v>
          </cell>
          <cell r="AO328">
            <v>84</v>
          </cell>
          <cell r="AP328">
            <v>2314</v>
          </cell>
          <cell r="AQ328">
            <v>458.56</v>
          </cell>
          <cell r="AU328" t="str">
            <v>Газлифт</v>
          </cell>
          <cell r="AV328">
            <v>560.99998974599998</v>
          </cell>
          <cell r="AW328" t="str">
            <v>ГП</v>
          </cell>
          <cell r="AX328">
            <v>1152.000008789</v>
          </cell>
          <cell r="AY328" t="str">
            <v>ГП</v>
          </cell>
          <cell r="AZ328">
            <v>1626.9999269530001</v>
          </cell>
          <cell r="BA328" t="str">
            <v>ГП</v>
          </cell>
          <cell r="BB328">
            <v>1990.000058203</v>
          </cell>
          <cell r="BC328" t="str">
            <v>ЦКсОК 5/16</v>
          </cell>
          <cell r="BD328" t="str">
            <v>-</v>
          </cell>
          <cell r="BE328" t="str">
            <v>-</v>
          </cell>
          <cell r="BF328" t="str">
            <v>-</v>
          </cell>
          <cell r="BG328" t="str">
            <v>-</v>
          </cell>
          <cell r="BH328">
            <v>2000</v>
          </cell>
          <cell r="BI328" t="str">
            <v>закрыт</v>
          </cell>
        </row>
        <row r="329">
          <cell r="J329">
            <v>1349</v>
          </cell>
          <cell r="K329" t="str">
            <v>К-1368</v>
          </cell>
          <cell r="L329">
            <v>43838</v>
          </cell>
          <cell r="M329" t="str">
            <v>Гор.</v>
          </cell>
          <cell r="N329" t="str">
            <v>Р4+5_Block3</v>
          </cell>
          <cell r="O329" t="str">
            <v>В бездействии прошлых лет</v>
          </cell>
          <cell r="P329" t="str">
            <v>Остановлена</v>
          </cell>
          <cell r="Q329">
            <v>-4</v>
          </cell>
          <cell r="U329">
            <v>203</v>
          </cell>
          <cell r="V329">
            <v>218.2</v>
          </cell>
          <cell r="W329">
            <v>0.98</v>
          </cell>
          <cell r="X329">
            <v>1.66</v>
          </cell>
          <cell r="Y329">
            <v>0.98</v>
          </cell>
          <cell r="Z329">
            <v>1.454</v>
          </cell>
          <cell r="AA329">
            <v>0.83599999999999997</v>
          </cell>
          <cell r="AB329">
            <v>0.72</v>
          </cell>
          <cell r="AC329">
            <v>34.299999999999997</v>
          </cell>
          <cell r="AD329">
            <v>1.17</v>
          </cell>
          <cell r="AE329">
            <v>177.8</v>
          </cell>
          <cell r="AF329">
            <v>9.19</v>
          </cell>
          <cell r="AG329">
            <v>2372</v>
          </cell>
          <cell r="AH329" t="str">
            <v>1 ст - 2944
2 ст - 2795</v>
          </cell>
          <cell r="AI329" t="str">
            <v>1 ст - 2944
2 ст - 2795</v>
          </cell>
          <cell r="AM329" t="str">
            <v>открытый</v>
          </cell>
          <cell r="AN329" t="str">
            <v>2372-2944;
2538-2795</v>
          </cell>
          <cell r="AO329">
            <v>85</v>
          </cell>
          <cell r="AP329">
            <v>2372</v>
          </cell>
          <cell r="AQ329">
            <v>439.6</v>
          </cell>
          <cell r="AU329" t="str">
            <v>Газлифт</v>
          </cell>
          <cell r="AV329">
            <v>510</v>
          </cell>
          <cell r="AW329" t="str">
            <v>ГП</v>
          </cell>
          <cell r="AX329">
            <v>1013</v>
          </cell>
          <cell r="AY329" t="str">
            <v>ГП</v>
          </cell>
          <cell r="AZ329">
            <v>1441</v>
          </cell>
          <cell r="BA329" t="str">
            <v>ГП</v>
          </cell>
          <cell r="BB329">
            <v>1780</v>
          </cell>
          <cell r="BC329" t="str">
            <v>ГК 84 1/8</v>
          </cell>
          <cell r="BD329">
            <v>2060</v>
          </cell>
          <cell r="BE329" t="str">
            <v>ЦКсОК 5/16</v>
          </cell>
          <cell r="BF329" t="str">
            <v>-</v>
          </cell>
          <cell r="BG329" t="str">
            <v>-</v>
          </cell>
          <cell r="BH329" t="str">
            <v>закрыт</v>
          </cell>
          <cell r="BI329" t="str">
            <v>закрыт</v>
          </cell>
        </row>
        <row r="330">
          <cell r="J330">
            <v>1350</v>
          </cell>
          <cell r="K330" t="str">
            <v>Без куста</v>
          </cell>
          <cell r="L330">
            <v>43732</v>
          </cell>
          <cell r="M330" t="str">
            <v>Гор.</v>
          </cell>
          <cell r="N330" t="str">
            <v>Р4+5_Block3</v>
          </cell>
          <cell r="O330" t="str">
            <v>Действующий</v>
          </cell>
          <cell r="P330" t="str">
            <v>В работе</v>
          </cell>
          <cell r="Q330">
            <v>-4</v>
          </cell>
          <cell r="U330">
            <v>203</v>
          </cell>
          <cell r="V330">
            <v>218.2</v>
          </cell>
          <cell r="W330">
            <v>0.98</v>
          </cell>
          <cell r="X330">
            <v>1.66</v>
          </cell>
          <cell r="Y330">
            <v>0.98817686592186904</v>
          </cell>
          <cell r="Z330">
            <v>1.454</v>
          </cell>
          <cell r="AA330">
            <v>0.83599999999999997</v>
          </cell>
          <cell r="AB330">
            <v>0.72</v>
          </cell>
          <cell r="AC330">
            <v>34.299999999999997</v>
          </cell>
          <cell r="AD330">
            <v>1.17</v>
          </cell>
          <cell r="AE330">
            <v>177.8</v>
          </cell>
          <cell r="AF330">
            <v>9.19</v>
          </cell>
          <cell r="AG330">
            <v>2334</v>
          </cell>
          <cell r="AH330" t="str">
            <v>1 ств 2656
2 ств 2965</v>
          </cell>
          <cell r="AI330" t="str">
            <v>1 ств 2656
2 ств 2965</v>
          </cell>
          <cell r="AM330" t="str">
            <v>открытый</v>
          </cell>
          <cell r="AN330" t="str">
            <v>2342-2656; 2334-2965</v>
          </cell>
          <cell r="AO330">
            <v>80</v>
          </cell>
          <cell r="AP330">
            <v>2334</v>
          </cell>
          <cell r="AQ330">
            <v>475</v>
          </cell>
          <cell r="AU330" t="str">
            <v>Фон.</v>
          </cell>
          <cell r="AV330">
            <v>500</v>
          </cell>
          <cell r="AW330" t="str">
            <v>ГП</v>
          </cell>
          <cell r="AX330">
            <v>970</v>
          </cell>
          <cell r="AY330" t="str">
            <v>ГП</v>
          </cell>
          <cell r="AZ330">
            <v>1280</v>
          </cell>
          <cell r="BA330" t="str">
            <v>ГК 78 1/8</v>
          </cell>
          <cell r="BB330">
            <v>1710</v>
          </cell>
          <cell r="BC330" t="str">
            <v>ГК 78 1/8</v>
          </cell>
          <cell r="BD330">
            <v>2010</v>
          </cell>
          <cell r="BE330" t="str">
            <v>ЦКсОК 5/16</v>
          </cell>
          <cell r="BF330" t="str">
            <v>-</v>
          </cell>
          <cell r="BG330" t="str">
            <v>-</v>
          </cell>
          <cell r="BH330">
            <v>2020</v>
          </cell>
          <cell r="BI330" t="str">
            <v>закрыт</v>
          </cell>
        </row>
        <row r="331">
          <cell r="J331">
            <v>1351</v>
          </cell>
          <cell r="K331" t="str">
            <v>К-102</v>
          </cell>
          <cell r="L331">
            <v>42605</v>
          </cell>
          <cell r="M331" t="str">
            <v>Гор.</v>
          </cell>
          <cell r="N331" t="str">
            <v>Р4+5_Block3</v>
          </cell>
          <cell r="O331" t="str">
            <v>Действующий</v>
          </cell>
          <cell r="P331" t="str">
            <v>В работе</v>
          </cell>
          <cell r="Q331">
            <v>-4</v>
          </cell>
          <cell r="U331">
            <v>203</v>
          </cell>
          <cell r="V331">
            <v>218.2</v>
          </cell>
          <cell r="W331">
            <v>0.98</v>
          </cell>
          <cell r="X331">
            <v>1.66</v>
          </cell>
          <cell r="Y331">
            <v>1.1039031540090114</v>
          </cell>
          <cell r="Z331">
            <v>1.454</v>
          </cell>
          <cell r="AA331">
            <v>0.83599999999999997</v>
          </cell>
          <cell r="AB331">
            <v>0.72</v>
          </cell>
          <cell r="AC331">
            <v>34.299999999999997</v>
          </cell>
          <cell r="AD331">
            <v>1.17</v>
          </cell>
          <cell r="AE331">
            <v>177.8</v>
          </cell>
          <cell r="AF331">
            <v>9.19</v>
          </cell>
          <cell r="AG331">
            <v>2162</v>
          </cell>
          <cell r="AH331">
            <v>2775</v>
          </cell>
          <cell r="AI331">
            <v>2775</v>
          </cell>
          <cell r="AM331" t="str">
            <v>открытый</v>
          </cell>
          <cell r="AN331" t="str">
            <v>2248-2654</v>
          </cell>
          <cell r="AO331">
            <v>22.87</v>
          </cell>
          <cell r="AP331">
            <v>2248</v>
          </cell>
          <cell r="AQ331">
            <v>274.7</v>
          </cell>
          <cell r="AU331" t="str">
            <v>Газлифт</v>
          </cell>
          <cell r="AV331">
            <v>582.99998642599996</v>
          </cell>
          <cell r="AW331" t="str">
            <v>ГП</v>
          </cell>
          <cell r="AX331">
            <v>1134.999967383</v>
          </cell>
          <cell r="AY331" t="str">
            <v>ГК79 1/8</v>
          </cell>
          <cell r="AZ331">
            <v>1668.999967969</v>
          </cell>
          <cell r="BA331" t="str">
            <v>ГК80 5/32</v>
          </cell>
          <cell r="BB331">
            <v>1819.999941797</v>
          </cell>
          <cell r="BC331" t="str">
            <v>ЦКсОК 5/16</v>
          </cell>
          <cell r="BD331" t="str">
            <v>-</v>
          </cell>
          <cell r="BE331" t="str">
            <v>-</v>
          </cell>
          <cell r="BF331" t="str">
            <v>-</v>
          </cell>
          <cell r="BG331" t="str">
            <v>-</v>
          </cell>
          <cell r="BH331" t="str">
            <v>-</v>
          </cell>
          <cell r="BI331" t="str">
            <v>-</v>
          </cell>
        </row>
        <row r="332">
          <cell r="J332">
            <v>1516</v>
          </cell>
          <cell r="K332" t="str">
            <v>К-1512</v>
          </cell>
          <cell r="L332">
            <v>43710</v>
          </cell>
          <cell r="M332" t="str">
            <v>Гор.</v>
          </cell>
          <cell r="N332" t="str">
            <v>P4+5+6_Block1_yug</v>
          </cell>
          <cell r="O332" t="str">
            <v>Действующий</v>
          </cell>
          <cell r="P332" t="str">
            <v>В работе</v>
          </cell>
          <cell r="Q332">
            <v>-4</v>
          </cell>
          <cell r="U332">
            <v>203</v>
          </cell>
          <cell r="V332">
            <v>218.2</v>
          </cell>
          <cell r="W332">
            <v>0.98</v>
          </cell>
          <cell r="X332">
            <v>1.66</v>
          </cell>
          <cell r="Y332">
            <v>0.98809523809523803</v>
          </cell>
          <cell r="Z332">
            <v>1.454</v>
          </cell>
          <cell r="AA332">
            <v>0.83599999999999997</v>
          </cell>
          <cell r="AB332">
            <v>0.72</v>
          </cell>
          <cell r="AC332">
            <v>34.299999999999997</v>
          </cell>
          <cell r="AD332">
            <v>1.17</v>
          </cell>
          <cell r="AE332">
            <v>177.8</v>
          </cell>
          <cell r="AF332">
            <v>9.19</v>
          </cell>
          <cell r="AG332">
            <v>2205</v>
          </cell>
          <cell r="AH332">
            <v>3100</v>
          </cell>
          <cell r="AI332">
            <v>3100</v>
          </cell>
          <cell r="AM332" t="str">
            <v>Закрытый</v>
          </cell>
          <cell r="AN332" t="str">
            <v>2268,67-2269,87; 2446,7-2447,9; 2589,17-2590,37; 2659,79-2660,99; 2767,88-2769,08; 2874,6-2875,8; 3002,59-3003,79</v>
          </cell>
          <cell r="AO332">
            <v>21</v>
          </cell>
          <cell r="AP332">
            <v>2205</v>
          </cell>
          <cell r="AQ332">
            <v>1174</v>
          </cell>
          <cell r="AU332" t="str">
            <v>Газлифт</v>
          </cell>
          <cell r="AV332">
            <v>530.00002148399994</v>
          </cell>
          <cell r="AW332" t="str">
            <v>ГП</v>
          </cell>
          <cell r="AX332">
            <v>910.000045312</v>
          </cell>
          <cell r="AY332" t="str">
            <v>ГП</v>
          </cell>
          <cell r="AZ332">
            <v>1199.99998125</v>
          </cell>
          <cell r="BA332" t="str">
            <v>ГК72 1/8</v>
          </cell>
          <cell r="BB332">
            <v>1410.0000375</v>
          </cell>
          <cell r="BC332" t="str">
            <v>ГК71 1/8</v>
          </cell>
          <cell r="BD332">
            <v>1580.000005078</v>
          </cell>
          <cell r="BE332" t="str">
            <v>ГК70 5/32</v>
          </cell>
          <cell r="BF332">
            <v>1870</v>
          </cell>
          <cell r="BG332" t="str">
            <v>ЦКсОК 5/16</v>
          </cell>
          <cell r="BH332" t="str">
            <v>-</v>
          </cell>
          <cell r="BI332" t="str">
            <v>-</v>
          </cell>
        </row>
        <row r="333">
          <cell r="J333">
            <v>1353</v>
          </cell>
          <cell r="K333" t="str">
            <v>Без куста</v>
          </cell>
          <cell r="L333">
            <v>43871</v>
          </cell>
          <cell r="M333" t="str">
            <v>Гор.</v>
          </cell>
          <cell r="N333" t="str">
            <v>Р4+5_Block3, P5i</v>
          </cell>
          <cell r="O333" t="str">
            <v>Действующий</v>
          </cell>
          <cell r="P333" t="str">
            <v>В работе</v>
          </cell>
          <cell r="Q333">
            <v>-4</v>
          </cell>
          <cell r="U333">
            <v>203</v>
          </cell>
          <cell r="V333">
            <v>218.2</v>
          </cell>
          <cell r="W333">
            <v>0.98</v>
          </cell>
          <cell r="X333">
            <v>1.66</v>
          </cell>
          <cell r="Y333">
            <v>0.98</v>
          </cell>
          <cell r="Z333">
            <v>1.454</v>
          </cell>
          <cell r="AA333">
            <v>0.83599999999999997</v>
          </cell>
          <cell r="AB333">
            <v>0.72</v>
          </cell>
          <cell r="AC333">
            <v>34.299999999999997</v>
          </cell>
          <cell r="AD333">
            <v>1.17</v>
          </cell>
          <cell r="AE333">
            <v>177.8</v>
          </cell>
          <cell r="AF333">
            <v>9.19</v>
          </cell>
          <cell r="AG333">
            <v>2104.6999999999998</v>
          </cell>
          <cell r="AH333">
            <v>2717</v>
          </cell>
          <cell r="AI333">
            <v>2717</v>
          </cell>
          <cell r="AM333" t="str">
            <v>открытый</v>
          </cell>
          <cell r="AN333" t="str">
            <v>2104,77-2717</v>
          </cell>
          <cell r="AO333">
            <v>48.74</v>
          </cell>
          <cell r="AP333">
            <v>2104</v>
          </cell>
          <cell r="AQ333">
            <v>245.74</v>
          </cell>
          <cell r="AU333" t="str">
            <v>Газлифт</v>
          </cell>
          <cell r="AV333">
            <v>470</v>
          </cell>
          <cell r="AW333" t="str">
            <v>ГП</v>
          </cell>
          <cell r="AX333">
            <v>885</v>
          </cell>
          <cell r="AY333" t="str">
            <v>ГП</v>
          </cell>
          <cell r="AZ333">
            <v>1165</v>
          </cell>
          <cell r="BA333" t="str">
            <v>ГП</v>
          </cell>
          <cell r="BB333">
            <v>1420</v>
          </cell>
          <cell r="BC333" t="str">
            <v>ГК 80 5/32</v>
          </cell>
          <cell r="BD333">
            <v>1640</v>
          </cell>
          <cell r="BE333" t="str">
            <v>ГК80 5/32</v>
          </cell>
          <cell r="BF333">
            <v>1850</v>
          </cell>
          <cell r="BG333" t="str">
            <v>ЦКсОК 5/16</v>
          </cell>
          <cell r="BH333">
            <v>1850</v>
          </cell>
          <cell r="BI333" t="str">
            <v>закрыт</v>
          </cell>
        </row>
        <row r="334">
          <cell r="J334">
            <v>1354</v>
          </cell>
          <cell r="K334" t="str">
            <v>К-1599</v>
          </cell>
          <cell r="L334">
            <v>43416</v>
          </cell>
          <cell r="M334" t="str">
            <v>Гор.</v>
          </cell>
          <cell r="N334" t="str">
            <v>Р4+5_Block3</v>
          </cell>
          <cell r="O334" t="str">
            <v>Действующий</v>
          </cell>
          <cell r="P334" t="str">
            <v>Остановлена</v>
          </cell>
          <cell r="Q334">
            <v>-4</v>
          </cell>
          <cell r="U334">
            <v>203</v>
          </cell>
          <cell r="V334">
            <v>218.2</v>
          </cell>
          <cell r="W334">
            <v>0.98</v>
          </cell>
          <cell r="X334">
            <v>1.66</v>
          </cell>
          <cell r="Y334">
            <v>0.98403097023953534</v>
          </cell>
          <cell r="Z334">
            <v>1.454</v>
          </cell>
          <cell r="AA334">
            <v>0.83599999999999997</v>
          </cell>
          <cell r="AB334">
            <v>0.72</v>
          </cell>
          <cell r="AC334">
            <v>34.299999999999997</v>
          </cell>
          <cell r="AD334">
            <v>1.17</v>
          </cell>
          <cell r="AE334">
            <v>177.8</v>
          </cell>
          <cell r="AF334">
            <v>9.19</v>
          </cell>
          <cell r="AG334">
            <v>1981.2</v>
          </cell>
          <cell r="AH334">
            <v>2875</v>
          </cell>
          <cell r="AI334">
            <v>2875</v>
          </cell>
          <cell r="AM334" t="str">
            <v>открытый</v>
          </cell>
          <cell r="AN334" t="str">
            <v>1981,24-2875</v>
          </cell>
          <cell r="AO334">
            <v>140.99</v>
          </cell>
          <cell r="AP334">
            <v>1981.24</v>
          </cell>
          <cell r="AQ334">
            <v>1981.24</v>
          </cell>
          <cell r="AR334" t="str">
            <v>1954,26-2892,86</v>
          </cell>
          <cell r="AS334">
            <v>114</v>
          </cell>
          <cell r="AT334">
            <v>7.37</v>
          </cell>
          <cell r="AU334" t="str">
            <v>Газлифт</v>
          </cell>
          <cell r="AV334">
            <v>549.99999140600005</v>
          </cell>
          <cell r="AW334" t="str">
            <v>ГП</v>
          </cell>
          <cell r="AX334">
            <v>980.00001445299995</v>
          </cell>
          <cell r="AY334" t="str">
            <v>ГК 86 1/8</v>
          </cell>
          <cell r="AZ334">
            <v>1310.000039063</v>
          </cell>
          <cell r="BA334" t="str">
            <v>ГК 86 1/8</v>
          </cell>
          <cell r="BB334">
            <v>1574.9999753909999</v>
          </cell>
          <cell r="BC334" t="str">
            <v>ГК 86 5/32</v>
          </cell>
          <cell r="BD334">
            <v>1899.9999703129999</v>
          </cell>
          <cell r="BE334" t="str">
            <v>ЦКсОК 5/16</v>
          </cell>
          <cell r="BF334" t="str">
            <v>-</v>
          </cell>
          <cell r="BG334" t="str">
            <v>-</v>
          </cell>
          <cell r="BH334">
            <v>1910</v>
          </cell>
          <cell r="BI334" t="str">
            <v>закрыт</v>
          </cell>
        </row>
        <row r="335">
          <cell r="J335">
            <v>1356</v>
          </cell>
          <cell r="K335" t="str">
            <v>К-103</v>
          </cell>
          <cell r="L335">
            <v>42913</v>
          </cell>
          <cell r="M335" t="str">
            <v>Гор.</v>
          </cell>
          <cell r="N335" t="str">
            <v>Р4+5_Block3</v>
          </cell>
          <cell r="O335" t="str">
            <v>Действующий</v>
          </cell>
          <cell r="P335" t="str">
            <v>В работе</v>
          </cell>
          <cell r="Q335">
            <v>-4</v>
          </cell>
          <cell r="U335">
            <v>203</v>
          </cell>
          <cell r="V335">
            <v>218.2</v>
          </cell>
          <cell r="W335">
            <v>0.98</v>
          </cell>
          <cell r="X335">
            <v>1.66</v>
          </cell>
          <cell r="Y335">
            <v>0.98</v>
          </cell>
          <cell r="Z335">
            <v>1.454</v>
          </cell>
          <cell r="AA335">
            <v>0.83599999999999997</v>
          </cell>
          <cell r="AB335">
            <v>0.72</v>
          </cell>
          <cell r="AC335">
            <v>34.299999999999997</v>
          </cell>
          <cell r="AD335">
            <v>1.17</v>
          </cell>
          <cell r="AE335">
            <v>177.8</v>
          </cell>
          <cell r="AF335">
            <v>9.19</v>
          </cell>
          <cell r="AG335">
            <v>2221.1999999999998</v>
          </cell>
          <cell r="AH335">
            <v>2821</v>
          </cell>
          <cell r="AI335">
            <v>2821</v>
          </cell>
          <cell r="AM335" t="str">
            <v>открытый</v>
          </cell>
          <cell r="AN335" t="str">
            <v>2221-2821</v>
          </cell>
          <cell r="AO335">
            <v>73.459999999999994</v>
          </cell>
          <cell r="AP335">
            <v>2221</v>
          </cell>
          <cell r="AQ335">
            <v>338.44</v>
          </cell>
          <cell r="AU335" t="str">
            <v>Газлифт</v>
          </cell>
          <cell r="AV335">
            <v>554.99998388699998</v>
          </cell>
          <cell r="AW335" t="str">
            <v>ГП</v>
          </cell>
          <cell r="AX335">
            <v>980.00001445299995</v>
          </cell>
          <cell r="AY335" t="str">
            <v>ГП</v>
          </cell>
          <cell r="AZ335">
            <v>1330.000008984</v>
          </cell>
          <cell r="BA335" t="str">
            <v>ГК87 1/8</v>
          </cell>
          <cell r="BB335">
            <v>1630.000004297</v>
          </cell>
          <cell r="BC335" t="str">
            <v>ГК87 1/8</v>
          </cell>
          <cell r="BD335">
            <v>1899.9999703129999</v>
          </cell>
          <cell r="BE335" t="str">
            <v>ГК 87 1/8</v>
          </cell>
          <cell r="BF335" t="str">
            <v>-</v>
          </cell>
          <cell r="BG335" t="str">
            <v>-</v>
          </cell>
          <cell r="BH335">
            <v>1910</v>
          </cell>
          <cell r="BI335" t="str">
            <v>закрыт</v>
          </cell>
        </row>
        <row r="336">
          <cell r="J336">
            <v>1358</v>
          </cell>
          <cell r="K336" t="str">
            <v>К-97</v>
          </cell>
          <cell r="L336">
            <v>43729</v>
          </cell>
          <cell r="M336" t="str">
            <v>Гор.</v>
          </cell>
          <cell r="N336" t="str">
            <v>Р4+5+6_Block2</v>
          </cell>
          <cell r="O336" t="str">
            <v>Действующий</v>
          </cell>
          <cell r="P336" t="str">
            <v>В работе</v>
          </cell>
          <cell r="Q336">
            <v>-4</v>
          </cell>
          <cell r="U336">
            <v>203</v>
          </cell>
          <cell r="V336">
            <v>218.2</v>
          </cell>
          <cell r="W336">
            <v>0.98</v>
          </cell>
          <cell r="X336">
            <v>1.66</v>
          </cell>
          <cell r="Y336">
            <v>0.98989417113705169</v>
          </cell>
          <cell r="Z336">
            <v>1.454</v>
          </cell>
          <cell r="AA336">
            <v>0.83599999999999997</v>
          </cell>
          <cell r="AB336">
            <v>0.72</v>
          </cell>
          <cell r="AC336">
            <v>34.299999999999997</v>
          </cell>
          <cell r="AD336">
            <v>1.17</v>
          </cell>
          <cell r="AE336">
            <v>177.8</v>
          </cell>
          <cell r="AF336">
            <v>9.19</v>
          </cell>
          <cell r="AG336">
            <v>2305</v>
          </cell>
          <cell r="AH336">
            <v>2859</v>
          </cell>
          <cell r="AI336">
            <v>2859</v>
          </cell>
          <cell r="AM336" t="str">
            <v>открытый</v>
          </cell>
          <cell r="AN336" t="str">
            <v>2305-2859</v>
          </cell>
          <cell r="AO336">
            <v>57</v>
          </cell>
          <cell r="AP336">
            <v>2305</v>
          </cell>
          <cell r="AQ336">
            <v>936</v>
          </cell>
          <cell r="AU336" t="str">
            <v>Газлифт</v>
          </cell>
          <cell r="AV336">
            <v>499.99999218800002</v>
          </cell>
          <cell r="AW336" t="str">
            <v>ГП</v>
          </cell>
          <cell r="AX336">
            <v>980.00001445299995</v>
          </cell>
          <cell r="AY336" t="str">
            <v>ГП</v>
          </cell>
          <cell r="AZ336">
            <v>1380.0000082030001</v>
          </cell>
          <cell r="BA336" t="str">
            <v>ГК81 1/8</v>
          </cell>
          <cell r="BB336">
            <v>1669.999944141</v>
          </cell>
          <cell r="BC336" t="str">
            <v>ГК80 1/8</v>
          </cell>
          <cell r="BD336">
            <v>1969.999939453</v>
          </cell>
          <cell r="BE336" t="str">
            <v>ЦКсОК 5/16</v>
          </cell>
          <cell r="BF336" t="str">
            <v>-</v>
          </cell>
          <cell r="BG336" t="str">
            <v>-</v>
          </cell>
          <cell r="BH336">
            <v>1980</v>
          </cell>
          <cell r="BI336" t="str">
            <v>закрыт</v>
          </cell>
        </row>
        <row r="337">
          <cell r="J337">
            <v>1359</v>
          </cell>
          <cell r="K337" t="str">
            <v>К-1362</v>
          </cell>
          <cell r="L337">
            <v>43456</v>
          </cell>
          <cell r="M337" t="str">
            <v>Гор.</v>
          </cell>
          <cell r="N337" t="str">
            <v>Р4+5_Block3</v>
          </cell>
          <cell r="O337" t="str">
            <v>Действующий</v>
          </cell>
          <cell r="P337" t="str">
            <v>В работе</v>
          </cell>
          <cell r="Q337">
            <v>-4</v>
          </cell>
          <cell r="U337">
            <v>203</v>
          </cell>
          <cell r="V337">
            <v>218.2</v>
          </cell>
          <cell r="W337">
            <v>0.98</v>
          </cell>
          <cell r="X337">
            <v>1.66</v>
          </cell>
          <cell r="Y337">
            <v>0.98</v>
          </cell>
          <cell r="Z337">
            <v>1.454</v>
          </cell>
          <cell r="AA337">
            <v>0.83599999999999997</v>
          </cell>
          <cell r="AB337">
            <v>0.72</v>
          </cell>
          <cell r="AC337">
            <v>34.299999999999997</v>
          </cell>
          <cell r="AD337">
            <v>1.17</v>
          </cell>
          <cell r="AE337">
            <v>177.8</v>
          </cell>
          <cell r="AF337">
            <v>9.19</v>
          </cell>
          <cell r="AG337">
            <v>2373.1999999999998</v>
          </cell>
          <cell r="AH337">
            <v>3024</v>
          </cell>
          <cell r="AI337">
            <v>3024</v>
          </cell>
          <cell r="AM337" t="str">
            <v>открытый</v>
          </cell>
          <cell r="AN337" t="str">
            <v>2373-3024</v>
          </cell>
          <cell r="AO337">
            <v>17.64</v>
          </cell>
          <cell r="AP337">
            <v>2373</v>
          </cell>
          <cell r="AQ337">
            <v>454.29</v>
          </cell>
          <cell r="AU337" t="str">
            <v>Газлифт</v>
          </cell>
          <cell r="AV337">
            <v>699.99998906300004</v>
          </cell>
          <cell r="AW337" t="str">
            <v>ГП</v>
          </cell>
          <cell r="AX337">
            <v>1349.999978906</v>
          </cell>
          <cell r="AY337" t="str">
            <v>ГК 86 1/8</v>
          </cell>
          <cell r="AZ337">
            <v>1769.9999425779999</v>
          </cell>
          <cell r="BA337" t="str">
            <v>ГК 86 1/8</v>
          </cell>
          <cell r="BB337">
            <v>2160.0000257810002</v>
          </cell>
          <cell r="BC337" t="str">
            <v>ГК 86 1/8</v>
          </cell>
          <cell r="BD337" t="str">
            <v>-</v>
          </cell>
          <cell r="BE337" t="str">
            <v>-</v>
          </cell>
          <cell r="BF337" t="str">
            <v>-</v>
          </cell>
          <cell r="BG337" t="str">
            <v>-</v>
          </cell>
          <cell r="BH337">
            <v>2170</v>
          </cell>
          <cell r="BI337" t="str">
            <v>закрыт</v>
          </cell>
        </row>
        <row r="338">
          <cell r="J338">
            <v>1360</v>
          </cell>
          <cell r="K338" t="str">
            <v>К-1602</v>
          </cell>
          <cell r="L338">
            <v>44765</v>
          </cell>
          <cell r="M338" t="str">
            <v>Гор.</v>
          </cell>
          <cell r="N338" t="str">
            <v>Р4+5+6_Block2</v>
          </cell>
          <cell r="O338" t="str">
            <v>Действующий</v>
          </cell>
          <cell r="P338" t="str">
            <v>В работе</v>
          </cell>
          <cell r="Q338">
            <v>-4</v>
          </cell>
          <cell r="U338">
            <v>203</v>
          </cell>
          <cell r="V338">
            <v>218.2</v>
          </cell>
          <cell r="W338">
            <v>0.98</v>
          </cell>
          <cell r="X338">
            <v>1.66</v>
          </cell>
          <cell r="Y338">
            <v>0.98</v>
          </cell>
          <cell r="Z338">
            <v>1.454</v>
          </cell>
          <cell r="AA338">
            <v>0.83599999999999997</v>
          </cell>
          <cell r="AB338">
            <v>0.72</v>
          </cell>
          <cell r="AC338">
            <v>34.299999999999997</v>
          </cell>
          <cell r="AD338">
            <v>1.17</v>
          </cell>
          <cell r="AE338">
            <v>178</v>
          </cell>
          <cell r="AF338">
            <v>9.1999999999999993</v>
          </cell>
          <cell r="AG338">
            <v>2227.09</v>
          </cell>
          <cell r="AH338">
            <v>3109</v>
          </cell>
          <cell r="AI338">
            <v>3109</v>
          </cell>
          <cell r="AM338" t="str">
            <v xml:space="preserve">открытый </v>
          </cell>
          <cell r="AN338" t="str">
            <v>2288-3109</v>
          </cell>
          <cell r="AO338">
            <v>34.799999999999997</v>
          </cell>
          <cell r="AP338">
            <v>2288</v>
          </cell>
          <cell r="AQ338">
            <v>432</v>
          </cell>
          <cell r="AU338" t="str">
            <v>Газлифт</v>
          </cell>
          <cell r="AV338">
            <v>449.999992969</v>
          </cell>
          <cell r="AW338" t="str">
            <v>ГП</v>
          </cell>
          <cell r="AX338">
            <v>886.00002187500002</v>
          </cell>
          <cell r="AY338" t="str">
            <v>ГП</v>
          </cell>
          <cell r="AZ338">
            <v>1249.9999804690001</v>
          </cell>
          <cell r="BA338" t="str">
            <v>ГК 78 1/8</v>
          </cell>
          <cell r="BB338">
            <v>1522.0000476560001</v>
          </cell>
          <cell r="BC338" t="str">
            <v>ГК 77 1/8</v>
          </cell>
          <cell r="BD338">
            <v>1742.0000144529999</v>
          </cell>
          <cell r="BE338" t="str">
            <v>ГК 77 5/32</v>
          </cell>
          <cell r="BF338">
            <v>1980</v>
          </cell>
          <cell r="BG338" t="str">
            <v>ЦКсОК 5/16</v>
          </cell>
          <cell r="BH338" t="str">
            <v>-</v>
          </cell>
          <cell r="BI338" t="str">
            <v>-</v>
          </cell>
        </row>
        <row r="339">
          <cell r="J339">
            <v>1361</v>
          </cell>
          <cell r="K339" t="str">
            <v>К-1362</v>
          </cell>
          <cell r="L339">
            <v>43440</v>
          </cell>
          <cell r="M339" t="str">
            <v>Гор.</v>
          </cell>
          <cell r="N339" t="str">
            <v>Р4+5_Block3</v>
          </cell>
          <cell r="O339" t="str">
            <v>Действующий</v>
          </cell>
          <cell r="P339" t="str">
            <v>В работе</v>
          </cell>
          <cell r="Q339">
            <v>-4</v>
          </cell>
          <cell r="U339">
            <v>203</v>
          </cell>
          <cell r="V339">
            <v>218.2</v>
          </cell>
          <cell r="W339">
            <v>0.98</v>
          </cell>
          <cell r="X339">
            <v>1.66</v>
          </cell>
          <cell r="Y339">
            <v>0.98</v>
          </cell>
          <cell r="Z339">
            <v>1.454</v>
          </cell>
          <cell r="AA339">
            <v>0.83599999999999997</v>
          </cell>
          <cell r="AB339">
            <v>0.72</v>
          </cell>
          <cell r="AC339">
            <v>34.299999999999997</v>
          </cell>
          <cell r="AD339">
            <v>1.17</v>
          </cell>
          <cell r="AE339">
            <v>177.8</v>
          </cell>
          <cell r="AF339">
            <v>9.19</v>
          </cell>
          <cell r="AG339">
            <v>2138.1</v>
          </cell>
          <cell r="AH339">
            <v>2729</v>
          </cell>
          <cell r="AI339">
            <v>2729</v>
          </cell>
          <cell r="AM339" t="str">
            <v>открытый</v>
          </cell>
          <cell r="AN339" t="str">
            <v>2138-2729</v>
          </cell>
          <cell r="AO339">
            <v>34.450000000000003</v>
          </cell>
          <cell r="AP339">
            <v>2138</v>
          </cell>
          <cell r="AQ339">
            <v>238.14505617977511</v>
          </cell>
          <cell r="AU339" t="str">
            <v>Газлифт</v>
          </cell>
          <cell r="AV339">
            <v>437.00000507800002</v>
          </cell>
          <cell r="AW339" t="str">
            <v>ГП</v>
          </cell>
          <cell r="AX339">
            <v>946.00000605499997</v>
          </cell>
          <cell r="AY339" t="str">
            <v>ГК78 1/6</v>
          </cell>
          <cell r="AZ339">
            <v>1365.0000679689999</v>
          </cell>
          <cell r="BA339" t="str">
            <v>ГК77 5/32</v>
          </cell>
          <cell r="BB339">
            <v>1669.999944141</v>
          </cell>
          <cell r="BC339" t="str">
            <v>ЦКсОК 5/16</v>
          </cell>
          <cell r="BD339" t="str">
            <v>-</v>
          </cell>
          <cell r="BE339" t="str">
            <v>-</v>
          </cell>
          <cell r="BF339" t="str">
            <v>-</v>
          </cell>
          <cell r="BG339" t="str">
            <v>-</v>
          </cell>
          <cell r="BH339" t="str">
            <v>-</v>
          </cell>
          <cell r="BI339" t="str">
            <v>-</v>
          </cell>
        </row>
        <row r="340">
          <cell r="J340">
            <v>1362</v>
          </cell>
          <cell r="K340" t="str">
            <v>К-1362</v>
          </cell>
          <cell r="L340">
            <v>43375</v>
          </cell>
          <cell r="M340" t="str">
            <v>Гор.</v>
          </cell>
          <cell r="N340" t="str">
            <v>Р4+5_Block3</v>
          </cell>
          <cell r="O340" t="str">
            <v>Действующий</v>
          </cell>
          <cell r="P340" t="str">
            <v>В работе</v>
          </cell>
          <cell r="Q340">
            <v>-4</v>
          </cell>
          <cell r="U340">
            <v>203</v>
          </cell>
          <cell r="V340">
            <v>218.2</v>
          </cell>
          <cell r="W340">
            <v>0.98</v>
          </cell>
          <cell r="X340">
            <v>1.66</v>
          </cell>
          <cell r="Y340">
            <v>0.98</v>
          </cell>
          <cell r="Z340">
            <v>1.454</v>
          </cell>
          <cell r="AA340">
            <v>0.83599999999999997</v>
          </cell>
          <cell r="AB340">
            <v>0.72</v>
          </cell>
          <cell r="AC340">
            <v>34.299999999999997</v>
          </cell>
          <cell r="AD340">
            <v>1.17</v>
          </cell>
          <cell r="AE340">
            <v>177.8</v>
          </cell>
          <cell r="AF340">
            <v>9.19</v>
          </cell>
          <cell r="AG340">
            <v>2221</v>
          </cell>
          <cell r="AH340">
            <v>2821</v>
          </cell>
          <cell r="AI340">
            <v>2821</v>
          </cell>
          <cell r="AM340" t="str">
            <v>открытый</v>
          </cell>
          <cell r="AN340" t="str">
            <v>2348-3040</v>
          </cell>
          <cell r="AO340">
            <v>28.64</v>
          </cell>
          <cell r="AP340">
            <v>2348</v>
          </cell>
          <cell r="AQ340">
            <v>456.37187500000005</v>
          </cell>
          <cell r="AU340" t="str">
            <v>Газлифт</v>
          </cell>
          <cell r="AV340">
            <v>599.99999062500001</v>
          </cell>
          <cell r="AW340" t="str">
            <v>ГП</v>
          </cell>
          <cell r="AX340">
            <v>1170.0000263669999</v>
          </cell>
          <cell r="AY340" t="str">
            <v>ГП</v>
          </cell>
          <cell r="AZ340">
            <v>1640.0000636719999</v>
          </cell>
          <cell r="BA340" t="str">
            <v>ГК86 1/8</v>
          </cell>
          <cell r="BB340">
            <v>2019.9999386720001</v>
          </cell>
          <cell r="BC340" t="str">
            <v>ЦКсОК 5/16</v>
          </cell>
          <cell r="BD340" t="str">
            <v>-</v>
          </cell>
          <cell r="BE340" t="str">
            <v>-</v>
          </cell>
          <cell r="BF340" t="str">
            <v>-</v>
          </cell>
          <cell r="BG340" t="str">
            <v>-</v>
          </cell>
          <cell r="BH340">
            <v>2030</v>
          </cell>
          <cell r="BI340" t="str">
            <v>закрыт</v>
          </cell>
        </row>
        <row r="341">
          <cell r="J341">
            <v>1363</v>
          </cell>
          <cell r="K341" t="str">
            <v>К-1363</v>
          </cell>
          <cell r="L341">
            <v>44058</v>
          </cell>
          <cell r="M341" t="str">
            <v>Гор.</v>
          </cell>
          <cell r="N341" t="str">
            <v>P4+5+6_Block1_yug</v>
          </cell>
          <cell r="O341" t="str">
            <v>Действующий</v>
          </cell>
          <cell r="P341" t="str">
            <v>В работе</v>
          </cell>
          <cell r="Q341">
            <v>-4</v>
          </cell>
          <cell r="U341">
            <v>203</v>
          </cell>
          <cell r="V341">
            <v>218.2</v>
          </cell>
          <cell r="W341">
            <v>0.98</v>
          </cell>
          <cell r="X341">
            <v>1.66</v>
          </cell>
          <cell r="Y341">
            <v>1.0023783996943818</v>
          </cell>
          <cell r="Z341">
            <v>1.454</v>
          </cell>
          <cell r="AA341">
            <v>0.83599999999999997</v>
          </cell>
          <cell r="AB341">
            <v>0.72</v>
          </cell>
          <cell r="AC341">
            <v>34.299999999999997</v>
          </cell>
          <cell r="AD341">
            <v>1.17</v>
          </cell>
          <cell r="AE341">
            <v>177.8</v>
          </cell>
          <cell r="AF341">
            <v>9.19</v>
          </cell>
          <cell r="AG341">
            <v>2087</v>
          </cell>
          <cell r="AH341">
            <v>2752</v>
          </cell>
          <cell r="AI341">
            <v>2752</v>
          </cell>
          <cell r="AM341" t="str">
            <v>открытый</v>
          </cell>
          <cell r="AN341" t="str">
            <v>2087-2752</v>
          </cell>
          <cell r="AO341">
            <v>203.3</v>
          </cell>
          <cell r="AP341">
            <v>2087</v>
          </cell>
          <cell r="AQ341">
            <v>1810.17</v>
          </cell>
          <cell r="AU341" t="str">
            <v>Газлифт</v>
          </cell>
          <cell r="AV341">
            <v>455.999998828</v>
          </cell>
          <cell r="AW341" t="str">
            <v>ГП</v>
          </cell>
          <cell r="AX341">
            <v>861.00002226599997</v>
          </cell>
          <cell r="AY341" t="str">
            <v>ГП</v>
          </cell>
          <cell r="AZ341">
            <v>1195.000025977</v>
          </cell>
          <cell r="BA341" t="str">
            <v>ГП</v>
          </cell>
          <cell r="BB341">
            <v>1459.000060547</v>
          </cell>
          <cell r="BC341" t="str">
            <v>ГК76 1/8</v>
          </cell>
          <cell r="BD341">
            <v>1667.9999917969999</v>
          </cell>
          <cell r="BE341" t="str">
            <v>ГК75 1/8</v>
          </cell>
          <cell r="BF341" t="str">
            <v>-</v>
          </cell>
          <cell r="BG341" t="str">
            <v>-</v>
          </cell>
          <cell r="BH341">
            <v>1840</v>
          </cell>
          <cell r="BI341" t="str">
            <v>закрыт</v>
          </cell>
        </row>
        <row r="342">
          <cell r="J342">
            <v>1365</v>
          </cell>
          <cell r="K342" t="str">
            <v>К-26</v>
          </cell>
          <cell r="L342">
            <v>42160</v>
          </cell>
          <cell r="M342" t="str">
            <v>Гор.</v>
          </cell>
          <cell r="N342" t="str">
            <v>Р4+5_Block3</v>
          </cell>
          <cell r="O342" t="str">
            <v>Действующий</v>
          </cell>
          <cell r="P342" t="str">
            <v>В работе</v>
          </cell>
          <cell r="Q342">
            <v>-4</v>
          </cell>
          <cell r="U342">
            <v>203</v>
          </cell>
          <cell r="V342">
            <v>218.2</v>
          </cell>
          <cell r="W342">
            <v>0.98</v>
          </cell>
          <cell r="X342">
            <v>1.66</v>
          </cell>
          <cell r="Y342">
            <v>0.98080354989630048</v>
          </cell>
          <cell r="Z342">
            <v>1.454</v>
          </cell>
          <cell r="AA342">
            <v>0.83599999999999997</v>
          </cell>
          <cell r="AB342">
            <v>0.72</v>
          </cell>
          <cell r="AC342">
            <v>34.299999999999997</v>
          </cell>
          <cell r="AD342">
            <v>1.17</v>
          </cell>
          <cell r="AE342">
            <v>177.8</v>
          </cell>
          <cell r="AF342">
            <v>9.19</v>
          </cell>
          <cell r="AG342">
            <v>2339</v>
          </cell>
          <cell r="AH342">
            <v>3091</v>
          </cell>
          <cell r="AI342">
            <v>3091</v>
          </cell>
          <cell r="AM342" t="str">
            <v>открытый</v>
          </cell>
          <cell r="AN342" t="str">
            <v>2339-3091</v>
          </cell>
          <cell r="AO342">
            <v>67.489999999999995</v>
          </cell>
          <cell r="AP342">
            <v>2339</v>
          </cell>
          <cell r="AQ342">
            <v>382.88</v>
          </cell>
          <cell r="AU342" t="str">
            <v>Газлифт</v>
          </cell>
          <cell r="AV342">
            <v>421.00001425800002</v>
          </cell>
          <cell r="AW342" t="str">
            <v>ГП</v>
          </cell>
          <cell r="AX342">
            <v>842.00002851600004</v>
          </cell>
          <cell r="AY342" t="str">
            <v>ГП</v>
          </cell>
          <cell r="AZ342">
            <v>1215.99997207</v>
          </cell>
          <cell r="BA342" t="str">
            <v>ГК86 1/8</v>
          </cell>
          <cell r="BB342">
            <v>1590.000064453</v>
          </cell>
          <cell r="BC342" t="str">
            <v>ГК85 1/6</v>
          </cell>
          <cell r="BD342">
            <v>1790.0000613279999</v>
          </cell>
          <cell r="BE342" t="str">
            <v>ЦКсОК 5/16</v>
          </cell>
          <cell r="BF342" t="str">
            <v>-</v>
          </cell>
          <cell r="BG342" t="str">
            <v>-</v>
          </cell>
          <cell r="BH342">
            <v>1800</v>
          </cell>
          <cell r="BI342" t="str">
            <v>закрыт</v>
          </cell>
        </row>
        <row r="343">
          <cell r="J343">
            <v>1366</v>
          </cell>
          <cell r="K343" t="str">
            <v>К-26</v>
          </cell>
          <cell r="L343">
            <v>42213</v>
          </cell>
          <cell r="M343" t="str">
            <v>Гор.</v>
          </cell>
          <cell r="N343" t="str">
            <v>Р4+5_Block3</v>
          </cell>
          <cell r="O343" t="str">
            <v>Действующий</v>
          </cell>
          <cell r="P343" t="str">
            <v>В работе</v>
          </cell>
          <cell r="Q343">
            <v>-4</v>
          </cell>
          <cell r="U343">
            <v>203</v>
          </cell>
          <cell r="V343">
            <v>218.2</v>
          </cell>
          <cell r="W343">
            <v>0.98</v>
          </cell>
          <cell r="X343">
            <v>1.66</v>
          </cell>
          <cell r="Y343">
            <v>0.98605891623227049</v>
          </cell>
          <cell r="Z343">
            <v>1.454</v>
          </cell>
          <cell r="AA343">
            <v>0.83599999999999997</v>
          </cell>
          <cell r="AB343">
            <v>0.72</v>
          </cell>
          <cell r="AC343">
            <v>34.299999999999997</v>
          </cell>
          <cell r="AD343">
            <v>1.17</v>
          </cell>
          <cell r="AE343">
            <v>177.8</v>
          </cell>
          <cell r="AF343">
            <v>9.19</v>
          </cell>
          <cell r="AG343">
            <v>2275</v>
          </cell>
          <cell r="AH343">
            <v>2883</v>
          </cell>
          <cell r="AI343">
            <v>2883</v>
          </cell>
          <cell r="AM343" t="str">
            <v>открытый</v>
          </cell>
          <cell r="AN343" t="str">
            <v>2123-2883</v>
          </cell>
          <cell r="AO343">
            <v>33.130000000000003</v>
          </cell>
          <cell r="AP343">
            <v>2123</v>
          </cell>
          <cell r="AQ343">
            <v>269.12699999999995</v>
          </cell>
          <cell r="AR343" t="str">
            <v>2121-2875</v>
          </cell>
          <cell r="AS343">
            <v>114</v>
          </cell>
          <cell r="AT343">
            <v>7.37</v>
          </cell>
          <cell r="AU343" t="str">
            <v>Фон.</v>
          </cell>
          <cell r="AV343">
            <v>410</v>
          </cell>
          <cell r="AW343" t="str">
            <v>ГП</v>
          </cell>
          <cell r="AX343">
            <v>775</v>
          </cell>
          <cell r="AY343" t="str">
            <v>ГП</v>
          </cell>
          <cell r="AZ343">
            <v>1090</v>
          </cell>
          <cell r="BA343" t="str">
            <v>ГК 71 1/8</v>
          </cell>
          <cell r="BB343">
            <v>1390</v>
          </cell>
          <cell r="BC343" t="str">
            <v>ГК 71 1/8</v>
          </cell>
          <cell r="BD343">
            <v>1660</v>
          </cell>
          <cell r="BE343" t="str">
            <v>ЦКсОК 5/16</v>
          </cell>
          <cell r="BF343" t="str">
            <v>-</v>
          </cell>
          <cell r="BG343" t="str">
            <v>-</v>
          </cell>
          <cell r="BH343">
            <v>1850</v>
          </cell>
          <cell r="BI343" t="str">
            <v>закрыт</v>
          </cell>
        </row>
        <row r="344">
          <cell r="J344">
            <v>1367</v>
          </cell>
          <cell r="K344" t="str">
            <v>К-26</v>
          </cell>
          <cell r="L344">
            <v>43460</v>
          </cell>
          <cell r="M344" t="str">
            <v>Гор.</v>
          </cell>
          <cell r="N344" t="str">
            <v>Р4+5_Block3</v>
          </cell>
          <cell r="O344" t="str">
            <v>Действующий</v>
          </cell>
          <cell r="P344" t="str">
            <v>В работе</v>
          </cell>
          <cell r="Q344">
            <v>-4</v>
          </cell>
          <cell r="U344">
            <v>203</v>
          </cell>
          <cell r="V344">
            <v>218.2</v>
          </cell>
          <cell r="W344">
            <v>0.98</v>
          </cell>
          <cell r="X344">
            <v>1.66</v>
          </cell>
          <cell r="Y344">
            <v>1.1836437718277064</v>
          </cell>
          <cell r="Z344">
            <v>1.454</v>
          </cell>
          <cell r="AA344">
            <v>0.83599999999999997</v>
          </cell>
          <cell r="AB344">
            <v>0.72</v>
          </cell>
          <cell r="AC344">
            <v>34.299999999999997</v>
          </cell>
          <cell r="AD344">
            <v>1.17</v>
          </cell>
          <cell r="AE344">
            <v>177.8</v>
          </cell>
          <cell r="AF344">
            <v>9.19</v>
          </cell>
          <cell r="AG344">
            <v>2338</v>
          </cell>
          <cell r="AH344">
            <v>2410</v>
          </cell>
          <cell r="AI344">
            <v>2410</v>
          </cell>
          <cell r="AM344" t="str">
            <v>открытый</v>
          </cell>
          <cell r="AN344" t="str">
            <v xml:space="preserve">2318-2330, 2338-2410 </v>
          </cell>
          <cell r="AO344">
            <v>29.27</v>
          </cell>
          <cell r="AP344">
            <v>2318</v>
          </cell>
          <cell r="AQ344">
            <v>405.2</v>
          </cell>
          <cell r="AR344" t="str">
            <v>2713-2781</v>
          </cell>
          <cell r="AS344">
            <v>114</v>
          </cell>
          <cell r="AT344">
            <v>7.37</v>
          </cell>
          <cell r="AU344" t="str">
            <v>ЭЦН</v>
          </cell>
          <cell r="AV344">
            <v>300</v>
          </cell>
          <cell r="AW344" t="str">
            <v>ГК43 5/16</v>
          </cell>
          <cell r="AX344" t="str">
            <v>-</v>
          </cell>
          <cell r="AY344" t="str">
            <v>-</v>
          </cell>
          <cell r="AZ344" t="str">
            <v>-</v>
          </cell>
          <cell r="BA344" t="str">
            <v>-</v>
          </cell>
          <cell r="BB344" t="str">
            <v>-</v>
          </cell>
          <cell r="BC344" t="str">
            <v>-</v>
          </cell>
          <cell r="BD344" t="str">
            <v>-</v>
          </cell>
          <cell r="BE344" t="str">
            <v>-</v>
          </cell>
          <cell r="BF344" t="str">
            <v>-</v>
          </cell>
          <cell r="BG344" t="str">
            <v>-</v>
          </cell>
          <cell r="BH344">
            <v>1770</v>
          </cell>
          <cell r="BI344" t="str">
            <v>закрыт</v>
          </cell>
          <cell r="BK344" t="str">
            <v>D1050N</v>
          </cell>
          <cell r="BM344">
            <v>1321</v>
          </cell>
          <cell r="BN344">
            <v>57</v>
          </cell>
          <cell r="BO344">
            <v>33</v>
          </cell>
        </row>
        <row r="345">
          <cell r="J345">
            <v>1368</v>
          </cell>
          <cell r="K345" t="str">
            <v>К-1368</v>
          </cell>
          <cell r="L345">
            <v>43716</v>
          </cell>
          <cell r="M345" t="str">
            <v>Гор.</v>
          </cell>
          <cell r="N345" t="str">
            <v>Р4+5_Block3</v>
          </cell>
          <cell r="O345" t="str">
            <v>В бездействии текущего года</v>
          </cell>
          <cell r="P345" t="str">
            <v>Остановлена</v>
          </cell>
          <cell r="Q345">
            <v>-4</v>
          </cell>
          <cell r="U345">
            <v>203</v>
          </cell>
          <cell r="V345">
            <v>218.2</v>
          </cell>
          <cell r="W345">
            <v>0.98</v>
          </cell>
          <cell r="X345">
            <v>1.66</v>
          </cell>
          <cell r="Y345">
            <v>0.98</v>
          </cell>
          <cell r="Z345">
            <v>1.454</v>
          </cell>
          <cell r="AA345">
            <v>0.83599999999999997</v>
          </cell>
          <cell r="AB345">
            <v>0.72</v>
          </cell>
          <cell r="AC345">
            <v>34.299999999999997</v>
          </cell>
          <cell r="AD345">
            <v>1.17</v>
          </cell>
          <cell r="AE345">
            <v>177.8</v>
          </cell>
          <cell r="AF345">
            <v>9.19</v>
          </cell>
          <cell r="AG345">
            <v>2344</v>
          </cell>
          <cell r="AH345" t="str">
            <v>1 ств 2632
2 ств 2641</v>
          </cell>
          <cell r="AI345" t="str">
            <v>1 ств 2632
2 ств 2641</v>
          </cell>
          <cell r="AM345" t="str">
            <v>открытый</v>
          </cell>
          <cell r="AN345" t="str">
            <v>2344-2632; 2415-2641</v>
          </cell>
          <cell r="AO345">
            <v>17.84</v>
          </cell>
          <cell r="AP345">
            <v>2344</v>
          </cell>
          <cell r="AQ345">
            <v>395.6</v>
          </cell>
          <cell r="AU345" t="str">
            <v>ЭЦН</v>
          </cell>
          <cell r="AV345">
            <v>300</v>
          </cell>
          <cell r="AW345" t="str">
            <v>ГП</v>
          </cell>
          <cell r="AX345" t="str">
            <v>-</v>
          </cell>
          <cell r="AY345" t="str">
            <v>-</v>
          </cell>
          <cell r="AZ345" t="str">
            <v>-</v>
          </cell>
          <cell r="BA345" t="str">
            <v>-</v>
          </cell>
          <cell r="BB345" t="str">
            <v>-</v>
          </cell>
          <cell r="BC345" t="str">
            <v>-</v>
          </cell>
          <cell r="BD345" t="str">
            <v>-</v>
          </cell>
          <cell r="BE345" t="str">
            <v>-</v>
          </cell>
          <cell r="BF345" t="str">
            <v>-</v>
          </cell>
          <cell r="BG345" t="str">
            <v>-</v>
          </cell>
          <cell r="BH345">
            <v>1930</v>
          </cell>
          <cell r="BI345" t="str">
            <v>закр</v>
          </cell>
          <cell r="BK345" t="str">
            <v>D1050N</v>
          </cell>
          <cell r="BM345">
            <v>1338</v>
          </cell>
          <cell r="BN345">
            <v>49</v>
          </cell>
          <cell r="BO345">
            <v>48</v>
          </cell>
        </row>
        <row r="346">
          <cell r="J346">
            <v>1369</v>
          </cell>
          <cell r="K346" t="str">
            <v>К-21-1</v>
          </cell>
          <cell r="L346">
            <v>43949</v>
          </cell>
          <cell r="M346" t="str">
            <v>Гор.</v>
          </cell>
          <cell r="N346" t="str">
            <v>Р4+5_Block3</v>
          </cell>
          <cell r="O346" t="str">
            <v>Действующий</v>
          </cell>
          <cell r="P346" t="str">
            <v>В работе</v>
          </cell>
          <cell r="Q346">
            <v>-4</v>
          </cell>
          <cell r="U346">
            <v>203</v>
          </cell>
          <cell r="V346">
            <v>218.2</v>
          </cell>
          <cell r="W346">
            <v>0.98</v>
          </cell>
          <cell r="X346">
            <v>1.66</v>
          </cell>
          <cell r="Y346">
            <v>0.98</v>
          </cell>
          <cell r="Z346">
            <v>1.454</v>
          </cell>
          <cell r="AA346">
            <v>0.83599999999999997</v>
          </cell>
          <cell r="AB346">
            <v>0.72</v>
          </cell>
          <cell r="AC346">
            <v>34.299999999999997</v>
          </cell>
          <cell r="AD346">
            <v>1.17</v>
          </cell>
          <cell r="AE346">
            <v>177.8</v>
          </cell>
          <cell r="AF346">
            <v>9.19</v>
          </cell>
          <cell r="AG346">
            <v>2428</v>
          </cell>
          <cell r="AH346">
            <v>2891</v>
          </cell>
          <cell r="AI346">
            <v>2891</v>
          </cell>
          <cell r="AM346" t="str">
            <v>закрытый</v>
          </cell>
          <cell r="AN346" t="str">
            <v xml:space="preserve">2533,8-2534,8; 2596,4-2597,4; 2682,4-2683,4; 2780,6-2781,6; 2878,3-2879,4 </v>
          </cell>
          <cell r="AO346">
            <v>2.88</v>
          </cell>
          <cell r="AP346">
            <v>2533.8000000000002</v>
          </cell>
          <cell r="AQ346">
            <v>556.16999999999996</v>
          </cell>
          <cell r="AU346" t="str">
            <v>Газлифт</v>
          </cell>
          <cell r="AV346">
            <v>577.99999394500003</v>
          </cell>
          <cell r="AW346" t="str">
            <v>ГК82 1/8</v>
          </cell>
          <cell r="AX346">
            <v>1093.999976953</v>
          </cell>
          <cell r="AY346" t="str">
            <v>ГК83 1/8</v>
          </cell>
          <cell r="AZ346">
            <v>1492.000018359</v>
          </cell>
          <cell r="BA346" t="str">
            <v>ГК84 5/32</v>
          </cell>
          <cell r="BB346">
            <v>1844.9999414060001</v>
          </cell>
          <cell r="BC346" t="str">
            <v>ГК84 5/32</v>
          </cell>
          <cell r="BD346">
            <v>2109.0000503910001</v>
          </cell>
          <cell r="BE346" t="str">
            <v>ЦКсОК 5/16</v>
          </cell>
          <cell r="BF346" t="str">
            <v>-</v>
          </cell>
          <cell r="BG346" t="str">
            <v>-</v>
          </cell>
          <cell r="BH346" t="str">
            <v>-</v>
          </cell>
          <cell r="BI346" t="str">
            <v>-</v>
          </cell>
        </row>
        <row r="347">
          <cell r="J347">
            <v>1370</v>
          </cell>
          <cell r="K347" t="str">
            <v>К-1368</v>
          </cell>
          <cell r="L347">
            <v>43777</v>
          </cell>
          <cell r="M347" t="str">
            <v>Гор.</v>
          </cell>
          <cell r="N347" t="str">
            <v>Р4+5_Block3</v>
          </cell>
          <cell r="O347" t="str">
            <v>В бездействии прошлых лет</v>
          </cell>
          <cell r="P347" t="str">
            <v>Остановлена</v>
          </cell>
          <cell r="Q347">
            <v>-4</v>
          </cell>
          <cell r="U347">
            <v>203</v>
          </cell>
          <cell r="V347">
            <v>218.2</v>
          </cell>
          <cell r="W347">
            <v>0.98</v>
          </cell>
          <cell r="X347">
            <v>1.66</v>
          </cell>
          <cell r="Y347">
            <v>0.98</v>
          </cell>
          <cell r="Z347">
            <v>1.454</v>
          </cell>
          <cell r="AA347">
            <v>0.83599999999999997</v>
          </cell>
          <cell r="AB347">
            <v>0.72</v>
          </cell>
          <cell r="AC347">
            <v>34.299999999999997</v>
          </cell>
          <cell r="AD347">
            <v>1.17</v>
          </cell>
          <cell r="AE347">
            <v>177.8</v>
          </cell>
          <cell r="AF347">
            <v>9.19</v>
          </cell>
          <cell r="AG347">
            <v>2291</v>
          </cell>
          <cell r="AH347">
            <v>2728</v>
          </cell>
          <cell r="AI347">
            <v>2728</v>
          </cell>
          <cell r="AM347" t="str">
            <v>открытый</v>
          </cell>
          <cell r="AN347" t="str">
            <v>2291-2728</v>
          </cell>
          <cell r="AO347">
            <v>16</v>
          </cell>
          <cell r="AP347">
            <v>2291</v>
          </cell>
          <cell r="AQ347">
            <v>360.7</v>
          </cell>
          <cell r="AU347" t="str">
            <v>ЭЦН</v>
          </cell>
          <cell r="AV347">
            <v>300</v>
          </cell>
          <cell r="AW347" t="str">
            <v>ГП</v>
          </cell>
          <cell r="AX347" t="str">
            <v>-</v>
          </cell>
          <cell r="AY347" t="str">
            <v>-</v>
          </cell>
          <cell r="AZ347" t="str">
            <v>-</v>
          </cell>
          <cell r="BA347" t="str">
            <v>-</v>
          </cell>
          <cell r="BB347" t="str">
            <v>-</v>
          </cell>
          <cell r="BC347" t="str">
            <v>-</v>
          </cell>
          <cell r="BD347" t="str">
            <v>-</v>
          </cell>
          <cell r="BE347" t="str">
            <v>-</v>
          </cell>
          <cell r="BF347" t="str">
            <v>-</v>
          </cell>
          <cell r="BG347" t="str">
            <v>-</v>
          </cell>
          <cell r="BH347">
            <v>1790</v>
          </cell>
          <cell r="BI347" t="str">
            <v>закр</v>
          </cell>
          <cell r="BK347" t="str">
            <v>D3500N</v>
          </cell>
          <cell r="BM347">
            <v>1464</v>
          </cell>
          <cell r="BN347">
            <v>45</v>
          </cell>
          <cell r="BO347">
            <v>200</v>
          </cell>
        </row>
        <row r="348">
          <cell r="J348">
            <v>1371</v>
          </cell>
          <cell r="K348" t="str">
            <v>К-21-1</v>
          </cell>
          <cell r="L348">
            <v>43982</v>
          </cell>
          <cell r="M348" t="str">
            <v>Гор.</v>
          </cell>
          <cell r="N348" t="str">
            <v>Р4+5_Block3</v>
          </cell>
          <cell r="O348" t="str">
            <v>Действующий</v>
          </cell>
          <cell r="P348" t="str">
            <v>В работе</v>
          </cell>
          <cell r="Q348">
            <v>-4</v>
          </cell>
          <cell r="U348">
            <v>203</v>
          </cell>
          <cell r="V348">
            <v>218.2</v>
          </cell>
          <cell r="W348">
            <v>0.98</v>
          </cell>
          <cell r="X348">
            <v>1.66</v>
          </cell>
          <cell r="Y348">
            <v>0.98</v>
          </cell>
          <cell r="Z348">
            <v>1.454</v>
          </cell>
          <cell r="AA348">
            <v>0.83599999999999997</v>
          </cell>
          <cell r="AB348">
            <v>0.72</v>
          </cell>
          <cell r="AC348">
            <v>34.299999999999997</v>
          </cell>
          <cell r="AD348">
            <v>1.17</v>
          </cell>
          <cell r="AE348">
            <v>177.8</v>
          </cell>
          <cell r="AF348">
            <v>9.19</v>
          </cell>
          <cell r="AG348">
            <v>2228</v>
          </cell>
          <cell r="AH348">
            <v>2802</v>
          </cell>
          <cell r="AI348">
            <v>2802</v>
          </cell>
          <cell r="AM348" t="str">
            <v>закрытый</v>
          </cell>
          <cell r="AN348" t="str">
            <v>2247,2-2248,3; 2418,61-2419,71; 2517,77-2518,87; 2628,21-2629,31; 2775,92-2777,02</v>
          </cell>
          <cell r="AO348">
            <v>0.28999999999996362</v>
          </cell>
          <cell r="AP348">
            <v>2247.1999999999998</v>
          </cell>
          <cell r="AQ348">
            <v>310.89</v>
          </cell>
          <cell r="AU348" t="str">
            <v>Газлифт</v>
          </cell>
          <cell r="AV348">
            <v>569.99999853500003</v>
          </cell>
          <cell r="AW348" t="str">
            <v>ГП</v>
          </cell>
          <cell r="AX348">
            <v>1021.999981055</v>
          </cell>
          <cell r="AY348" t="str">
            <v>ГК 71 1/8</v>
          </cell>
          <cell r="AZ348">
            <v>1361.999990625</v>
          </cell>
          <cell r="BA348" t="str">
            <v>ГК 71 1/8</v>
          </cell>
          <cell r="BB348">
            <v>1610.000034375</v>
          </cell>
          <cell r="BC348" t="str">
            <v>ГК 71 1/8</v>
          </cell>
          <cell r="BD348">
            <v>1840.000060547</v>
          </cell>
          <cell r="BE348" t="str">
            <v>ЦКсОК 5/16</v>
          </cell>
          <cell r="BF348" t="str">
            <v>-</v>
          </cell>
          <cell r="BG348" t="str">
            <v>-</v>
          </cell>
          <cell r="BH348" t="str">
            <v>-</v>
          </cell>
          <cell r="BI348" t="str">
            <v>-</v>
          </cell>
        </row>
        <row r="349">
          <cell r="J349">
            <v>1372</v>
          </cell>
          <cell r="K349" t="str">
            <v>К-127</v>
          </cell>
          <cell r="L349">
            <v>42919</v>
          </cell>
          <cell r="M349" t="str">
            <v>Гор.</v>
          </cell>
          <cell r="N349" t="str">
            <v>Р4+5_Block3</v>
          </cell>
          <cell r="O349" t="str">
            <v>Действующий</v>
          </cell>
          <cell r="P349" t="str">
            <v>Остановлена</v>
          </cell>
          <cell r="Q349">
            <v>-4</v>
          </cell>
          <cell r="U349">
            <v>203</v>
          </cell>
          <cell r="V349">
            <v>218.2</v>
          </cell>
          <cell r="W349">
            <v>0.98</v>
          </cell>
          <cell r="X349">
            <v>1.66</v>
          </cell>
          <cell r="Y349">
            <v>0.98399049639864788</v>
          </cell>
          <cell r="Z349">
            <v>1.454</v>
          </cell>
          <cell r="AA349">
            <v>0.83599999999999997</v>
          </cell>
          <cell r="AB349">
            <v>0.72</v>
          </cell>
          <cell r="AC349">
            <v>34.299999999999997</v>
          </cell>
          <cell r="AD349">
            <v>1.17</v>
          </cell>
          <cell r="AE349">
            <v>177.8</v>
          </cell>
          <cell r="AF349">
            <v>9.19</v>
          </cell>
          <cell r="AG349">
            <v>2198</v>
          </cell>
          <cell r="AH349">
            <v>2977</v>
          </cell>
          <cell r="AI349">
            <v>2977</v>
          </cell>
          <cell r="AM349" t="str">
            <v>открытый</v>
          </cell>
          <cell r="AN349" t="str">
            <v>2198-2977</v>
          </cell>
          <cell r="AO349">
            <v>120.6</v>
          </cell>
          <cell r="AP349">
            <v>2198</v>
          </cell>
          <cell r="AQ349">
            <v>299</v>
          </cell>
          <cell r="AU349" t="str">
            <v>Газлифт</v>
          </cell>
          <cell r="AV349">
            <v>519.99999931599996</v>
          </cell>
          <cell r="AW349" t="str">
            <v>ГП</v>
          </cell>
          <cell r="AX349">
            <v>959.99997011699998</v>
          </cell>
          <cell r="AY349" t="str">
            <v>ГК81 1/8</v>
          </cell>
          <cell r="AZ349">
            <v>1330.000008984</v>
          </cell>
          <cell r="BA349" t="str">
            <v>ГК81 1/8</v>
          </cell>
          <cell r="BB349">
            <v>1660.0000335939999</v>
          </cell>
          <cell r="BC349" t="str">
            <v>ГК81 1/8</v>
          </cell>
          <cell r="BD349">
            <v>1929.999999609</v>
          </cell>
          <cell r="BE349" t="str">
            <v>ЦКсОК 5/16</v>
          </cell>
          <cell r="BF349" t="str">
            <v>-</v>
          </cell>
          <cell r="BG349" t="str">
            <v>-</v>
          </cell>
          <cell r="BH349">
            <v>1943</v>
          </cell>
          <cell r="BI349" t="str">
            <v>закрыт</v>
          </cell>
        </row>
        <row r="350">
          <cell r="J350">
            <v>1374</v>
          </cell>
          <cell r="K350" t="str">
            <v>К-91</v>
          </cell>
          <cell r="L350">
            <v>43175</v>
          </cell>
          <cell r="M350" t="str">
            <v>Гор.</v>
          </cell>
          <cell r="N350" t="str">
            <v>P4+5+6_Block1_yug</v>
          </cell>
          <cell r="O350" t="str">
            <v>Действующий</v>
          </cell>
          <cell r="P350" t="str">
            <v>В работе</v>
          </cell>
          <cell r="Q350">
            <v>-4</v>
          </cell>
          <cell r="R350">
            <v>43123</v>
          </cell>
          <cell r="S350" t="str">
            <v>МеКаМиНефть</v>
          </cell>
          <cell r="T350" t="str">
            <v>КГРП 7ст.
350м3 15% HCl</v>
          </cell>
          <cell r="U350">
            <v>203</v>
          </cell>
          <cell r="V350">
            <v>218.2</v>
          </cell>
          <cell r="W350">
            <v>0.98</v>
          </cell>
          <cell r="X350">
            <v>1.66</v>
          </cell>
          <cell r="Y350">
            <v>0.98</v>
          </cell>
          <cell r="Z350">
            <v>1.454</v>
          </cell>
          <cell r="AA350">
            <v>0.83599999999999997</v>
          </cell>
          <cell r="AB350">
            <v>0.72</v>
          </cell>
          <cell r="AC350">
            <v>34.299999999999997</v>
          </cell>
          <cell r="AD350">
            <v>1.17</v>
          </cell>
          <cell r="AE350">
            <v>177.8</v>
          </cell>
          <cell r="AF350">
            <v>9.19</v>
          </cell>
          <cell r="AG350">
            <v>2124.5</v>
          </cell>
          <cell r="AH350">
            <v>2923</v>
          </cell>
          <cell r="AI350">
            <v>2923</v>
          </cell>
          <cell r="AJ350">
            <v>42954</v>
          </cell>
          <cell r="AK350" t="str">
            <v>По спущенной компановке</v>
          </cell>
          <cell r="AM350" t="str">
            <v>закрытый</v>
          </cell>
          <cell r="AN350" t="str">
            <v xml:space="preserve">2190,79-2192,22; 2275,53-2276,96; 2441,32-2442,75; 2555,74-2557,17; 2701,36-2702,79; 2826,3-2827,73; 2900,58-2901,81 </v>
          </cell>
          <cell r="AO350">
            <v>8.8800000000000008</v>
          </cell>
          <cell r="AP350">
            <v>2190.79</v>
          </cell>
          <cell r="AQ350">
            <v>393.79</v>
          </cell>
          <cell r="AR350" t="str">
            <v>1869,05-2923</v>
          </cell>
          <cell r="AS350">
            <v>114</v>
          </cell>
          <cell r="AT350">
            <v>7.37</v>
          </cell>
          <cell r="AU350" t="str">
            <v>Газлифт</v>
          </cell>
          <cell r="AV350">
            <v>499.99999218800002</v>
          </cell>
          <cell r="AW350" t="str">
            <v>ГП</v>
          </cell>
          <cell r="AX350">
            <v>899.99998593800001</v>
          </cell>
          <cell r="AY350" t="str">
            <v>ГП</v>
          </cell>
          <cell r="AZ350">
            <v>1209.9999662109999</v>
          </cell>
          <cell r="BA350" t="str">
            <v>ГК82 1/8</v>
          </cell>
          <cell r="BB350">
            <v>1455.000007031</v>
          </cell>
          <cell r="BC350" t="str">
            <v>ГК82 1/8</v>
          </cell>
          <cell r="BD350">
            <v>1660.0000335939999</v>
          </cell>
          <cell r="BE350" t="str">
            <v>ГК82 5/32</v>
          </cell>
          <cell r="BF350">
            <v>1790</v>
          </cell>
          <cell r="BG350" t="str">
            <v>ЦКсОК 5/16</v>
          </cell>
          <cell r="BH350">
            <v>1800</v>
          </cell>
          <cell r="BI350" t="str">
            <v>закрыт</v>
          </cell>
        </row>
        <row r="351">
          <cell r="J351">
            <v>1377</v>
          </cell>
          <cell r="K351" t="str">
            <v>К-121</v>
          </cell>
          <cell r="L351">
            <v>43860</v>
          </cell>
          <cell r="M351" t="str">
            <v>Гор.</v>
          </cell>
          <cell r="N351" t="str">
            <v>Р4+5+6_Block2</v>
          </cell>
          <cell r="O351" t="str">
            <v>Действующий</v>
          </cell>
          <cell r="P351" t="str">
            <v>В работе</v>
          </cell>
          <cell r="Q351">
            <v>-4</v>
          </cell>
          <cell r="U351">
            <v>203</v>
          </cell>
          <cell r="V351">
            <v>218.2</v>
          </cell>
          <cell r="W351">
            <v>0.98</v>
          </cell>
          <cell r="X351">
            <v>1.66</v>
          </cell>
          <cell r="Y351">
            <v>0.98</v>
          </cell>
          <cell r="Z351">
            <v>1.454</v>
          </cell>
          <cell r="AA351">
            <v>0.83599999999999997</v>
          </cell>
          <cell r="AB351">
            <v>0.72</v>
          </cell>
          <cell r="AC351">
            <v>34.299999999999997</v>
          </cell>
          <cell r="AD351">
            <v>1.17</v>
          </cell>
          <cell r="AE351">
            <v>177.8</v>
          </cell>
          <cell r="AF351">
            <v>9.19</v>
          </cell>
          <cell r="AG351">
            <v>2152</v>
          </cell>
          <cell r="AH351">
            <v>2797</v>
          </cell>
          <cell r="AI351">
            <v>2797</v>
          </cell>
          <cell r="AM351" t="str">
            <v>открытый</v>
          </cell>
          <cell r="AN351" t="str">
            <v>2152-2797</v>
          </cell>
          <cell r="AO351">
            <v>110.08499999999999</v>
          </cell>
          <cell r="AP351">
            <v>2152</v>
          </cell>
          <cell r="AQ351">
            <v>289.71499999999997</v>
          </cell>
          <cell r="AU351" t="str">
            <v>Газлифт</v>
          </cell>
          <cell r="AV351">
            <v>468.00001054699999</v>
          </cell>
          <cell r="AW351" t="str">
            <v>ГП</v>
          </cell>
          <cell r="AX351">
            <v>893.00000390599996</v>
          </cell>
          <cell r="AY351" t="str">
            <v>ГП</v>
          </cell>
          <cell r="AZ351">
            <v>1239.0000193359999</v>
          </cell>
          <cell r="BA351" t="str">
            <v>ГК83 1/8</v>
          </cell>
          <cell r="BB351">
            <v>1560.000035156</v>
          </cell>
          <cell r="BC351" t="str">
            <v>ГК 72 5/32</v>
          </cell>
          <cell r="BD351">
            <v>1830.0000011720001</v>
          </cell>
          <cell r="BE351" t="str">
            <v>ЦКсОК 5/16</v>
          </cell>
          <cell r="BF351" t="str">
            <v>-</v>
          </cell>
          <cell r="BG351" t="str">
            <v>-</v>
          </cell>
          <cell r="BH351">
            <v>1841</v>
          </cell>
          <cell r="BI351" t="str">
            <v>закрыт</v>
          </cell>
        </row>
        <row r="352">
          <cell r="J352">
            <v>1378</v>
          </cell>
          <cell r="K352" t="str">
            <v>К-32-1</v>
          </cell>
          <cell r="L352">
            <v>42316</v>
          </cell>
          <cell r="M352" t="str">
            <v>Гор.</v>
          </cell>
          <cell r="N352" t="str">
            <v>Р4+5+6_Block2</v>
          </cell>
          <cell r="O352" t="str">
            <v>Действующий</v>
          </cell>
          <cell r="P352" t="str">
            <v>В работе</v>
          </cell>
          <cell r="Q352">
            <v>-4</v>
          </cell>
          <cell r="U352">
            <v>203</v>
          </cell>
          <cell r="V352">
            <v>218.2</v>
          </cell>
          <cell r="W352">
            <v>0.98</v>
          </cell>
          <cell r="X352">
            <v>1.66</v>
          </cell>
          <cell r="Y352">
            <v>0.98</v>
          </cell>
          <cell r="Z352">
            <v>1.454</v>
          </cell>
          <cell r="AA352">
            <v>0.83599999999999997</v>
          </cell>
          <cell r="AB352">
            <v>0.72</v>
          </cell>
          <cell r="AC352">
            <v>34.299999999999997</v>
          </cell>
          <cell r="AD352">
            <v>1.17</v>
          </cell>
          <cell r="AE352">
            <v>177.8</v>
          </cell>
          <cell r="AF352">
            <v>9.19</v>
          </cell>
          <cell r="AG352">
            <v>2346.6999999999998</v>
          </cell>
          <cell r="AH352">
            <v>3065</v>
          </cell>
          <cell r="AI352">
            <v>3065</v>
          </cell>
          <cell r="AJ352">
            <v>42298</v>
          </cell>
          <cell r="AK352" t="str">
            <v>По спущенной компановке</v>
          </cell>
          <cell r="AM352" t="str">
            <v>открытый</v>
          </cell>
          <cell r="AN352" t="str">
            <v xml:space="preserve">2278 - 2294;  2297 -2306; 2312 – 2319 ; 
2347-3065 </v>
          </cell>
          <cell r="AO352">
            <v>36.6</v>
          </cell>
          <cell r="AP352">
            <v>2278</v>
          </cell>
          <cell r="AQ352">
            <v>391.5</v>
          </cell>
          <cell r="AU352" t="str">
            <v>Газлифт</v>
          </cell>
          <cell r="AV352">
            <v>568.99998515599998</v>
          </cell>
          <cell r="AW352" t="str">
            <v>ГП</v>
          </cell>
          <cell r="AX352">
            <v>1049.999983594</v>
          </cell>
          <cell r="AY352" t="str">
            <v>ГК85 1/8</v>
          </cell>
          <cell r="AZ352">
            <v>1390.000067578</v>
          </cell>
          <cell r="BA352" t="str">
            <v>ГК85 5/32</v>
          </cell>
          <cell r="BB352">
            <v>1792.9999898440001</v>
          </cell>
          <cell r="BC352" t="str">
            <v>ГК86 5/32</v>
          </cell>
          <cell r="BD352">
            <v>2019.9999386720001</v>
          </cell>
          <cell r="BE352" t="str">
            <v>ЦКсОК 5/16</v>
          </cell>
          <cell r="BF352" t="str">
            <v>-</v>
          </cell>
          <cell r="BG352" t="str">
            <v>-</v>
          </cell>
          <cell r="BH352" t="str">
            <v>-</v>
          </cell>
          <cell r="BI352" t="str">
            <v>-</v>
          </cell>
        </row>
        <row r="353">
          <cell r="J353">
            <v>1379</v>
          </cell>
          <cell r="K353" t="str">
            <v>К-32-1</v>
          </cell>
          <cell r="L353">
            <v>42089</v>
          </cell>
          <cell r="M353" t="str">
            <v>Гор.</v>
          </cell>
          <cell r="N353" t="str">
            <v>Р4+5+6_Block2</v>
          </cell>
          <cell r="O353" t="str">
            <v>Действующий</v>
          </cell>
          <cell r="P353" t="str">
            <v>В работе</v>
          </cell>
          <cell r="Q353">
            <v>-4</v>
          </cell>
          <cell r="U353">
            <v>203</v>
          </cell>
          <cell r="V353">
            <v>218.2</v>
          </cell>
          <cell r="W353">
            <v>0.98</v>
          </cell>
          <cell r="X353">
            <v>1.66</v>
          </cell>
          <cell r="Y353">
            <v>0.98004014622285718</v>
          </cell>
          <cell r="Z353">
            <v>1.454</v>
          </cell>
          <cell r="AA353">
            <v>0.83599999999999997</v>
          </cell>
          <cell r="AB353">
            <v>0.72</v>
          </cell>
          <cell r="AC353">
            <v>34.299999999999997</v>
          </cell>
          <cell r="AD353">
            <v>1.17</v>
          </cell>
          <cell r="AE353">
            <v>177.8</v>
          </cell>
          <cell r="AF353">
            <v>9.19</v>
          </cell>
          <cell r="AG353">
            <v>2271</v>
          </cell>
          <cell r="AH353">
            <v>2800</v>
          </cell>
          <cell r="AI353">
            <v>2800</v>
          </cell>
          <cell r="AM353" t="str">
            <v>открытый</v>
          </cell>
          <cell r="AN353" t="str">
            <v>2271-2800</v>
          </cell>
          <cell r="AO353">
            <v>78.64</v>
          </cell>
          <cell r="AP353">
            <v>2271</v>
          </cell>
          <cell r="AQ353">
            <v>378</v>
          </cell>
          <cell r="AU353" t="str">
            <v>Газлифт</v>
          </cell>
          <cell r="AV353">
            <v>600.15120000000002</v>
          </cell>
          <cell r="AW353" t="str">
            <v>ГК 85 1/8</v>
          </cell>
          <cell r="AX353">
            <v>1129.8936000000001</v>
          </cell>
          <cell r="AY353" t="str">
            <v>ГК 87 1/8</v>
          </cell>
          <cell r="AZ353">
            <v>1570.0247999999999</v>
          </cell>
          <cell r="BA353" t="str">
            <v>ГК 88 5/32</v>
          </cell>
          <cell r="BB353">
            <v>1929.9936</v>
          </cell>
          <cell r="BC353" t="str">
            <v>ЦКсОК 5/16</v>
          </cell>
          <cell r="BD353" t="str">
            <v>-</v>
          </cell>
          <cell r="BE353" t="str">
            <v>-</v>
          </cell>
          <cell r="BF353" t="str">
            <v>-</v>
          </cell>
          <cell r="BG353" t="str">
            <v>-</v>
          </cell>
          <cell r="BH353">
            <v>1940</v>
          </cell>
          <cell r="BI353" t="str">
            <v>закрыт</v>
          </cell>
        </row>
        <row r="354">
          <cell r="J354">
            <v>1383</v>
          </cell>
          <cell r="K354" t="str">
            <v>К-62</v>
          </cell>
          <cell r="L354">
            <v>42203</v>
          </cell>
          <cell r="M354" t="str">
            <v>Гор.</v>
          </cell>
          <cell r="N354" t="str">
            <v>Р4+5_Block3</v>
          </cell>
          <cell r="O354" t="str">
            <v>Действующий</v>
          </cell>
          <cell r="P354" t="str">
            <v>Остановлена</v>
          </cell>
          <cell r="Q354">
            <v>-4</v>
          </cell>
          <cell r="U354">
            <v>203</v>
          </cell>
          <cell r="V354">
            <v>218.2</v>
          </cell>
          <cell r="W354">
            <v>0.98</v>
          </cell>
          <cell r="X354">
            <v>1.66</v>
          </cell>
          <cell r="Y354">
            <v>0.98744270064486039</v>
          </cell>
          <cell r="Z354">
            <v>1.454</v>
          </cell>
          <cell r="AA354">
            <v>0.83599999999999997</v>
          </cell>
          <cell r="AB354">
            <v>0.72</v>
          </cell>
          <cell r="AC354">
            <v>34.299999999999997</v>
          </cell>
          <cell r="AD354">
            <v>1.17</v>
          </cell>
          <cell r="AE354">
            <v>177.8</v>
          </cell>
          <cell r="AF354">
            <v>9.19</v>
          </cell>
          <cell r="AG354">
            <v>2145</v>
          </cell>
          <cell r="AH354" t="str">
            <v>1 ствол 2840
2 ствол 2768
3 ствол 2872</v>
          </cell>
          <cell r="AI354" t="str">
            <v>1 ствол 2840
2 ствол 2768
3 ствол 2872</v>
          </cell>
          <cell r="AM354" t="str">
            <v>открытый</v>
          </cell>
          <cell r="AN354" t="str">
            <v>2140-2722</v>
          </cell>
          <cell r="AO354">
            <v>44.21</v>
          </cell>
          <cell r="AP354">
            <v>2145</v>
          </cell>
          <cell r="AQ354">
            <v>269.2</v>
          </cell>
          <cell r="AU354" t="str">
            <v>Газлифт</v>
          </cell>
          <cell r="AV354">
            <v>532.999987207</v>
          </cell>
          <cell r="AW354" t="str">
            <v>ГК77 1/8</v>
          </cell>
          <cell r="AX354">
            <v>1059.9999685549999</v>
          </cell>
          <cell r="AY354" t="str">
            <v>ГК78 1/8</v>
          </cell>
          <cell r="AZ354">
            <v>1592.0000167969999</v>
          </cell>
          <cell r="BA354" t="str">
            <v>ГК77 1/8</v>
          </cell>
          <cell r="BB354">
            <v>1949.999969531</v>
          </cell>
          <cell r="BC354" t="str">
            <v>ЦКсОК 5/16</v>
          </cell>
          <cell r="BD354" t="str">
            <v>-</v>
          </cell>
          <cell r="BE354" t="str">
            <v>-</v>
          </cell>
          <cell r="BF354" t="str">
            <v>-</v>
          </cell>
          <cell r="BG354" t="str">
            <v>-</v>
          </cell>
          <cell r="BH354" t="str">
            <v>-</v>
          </cell>
          <cell r="BI354" t="str">
            <v>-</v>
          </cell>
        </row>
        <row r="355">
          <cell r="J355">
            <v>1385</v>
          </cell>
          <cell r="K355" t="str">
            <v>К-40</v>
          </cell>
          <cell r="L355">
            <v>42314</v>
          </cell>
          <cell r="M355" t="str">
            <v>Гор.</v>
          </cell>
          <cell r="N355" t="str">
            <v>Р4+5_Block3</v>
          </cell>
          <cell r="O355" t="str">
            <v>Действующий</v>
          </cell>
          <cell r="P355" t="str">
            <v>В работе</v>
          </cell>
          <cell r="Q355">
            <v>-4</v>
          </cell>
          <cell r="U355">
            <v>203</v>
          </cell>
          <cell r="V355">
            <v>218.2</v>
          </cell>
          <cell r="W355">
            <v>0.98</v>
          </cell>
          <cell r="X355">
            <v>1.66</v>
          </cell>
          <cell r="Y355">
            <v>0.99219321785801406</v>
          </cell>
          <cell r="Z355">
            <v>1.454</v>
          </cell>
          <cell r="AA355">
            <v>0.83599999999999997</v>
          </cell>
          <cell r="AB355">
            <v>0.72</v>
          </cell>
          <cell r="AC355">
            <v>34.299999999999997</v>
          </cell>
          <cell r="AD355">
            <v>1.17</v>
          </cell>
          <cell r="AE355">
            <v>177.8</v>
          </cell>
          <cell r="AF355">
            <v>9.19</v>
          </cell>
          <cell r="AG355">
            <v>2558</v>
          </cell>
          <cell r="AH355">
            <v>3280</v>
          </cell>
          <cell r="AI355">
            <v>3280</v>
          </cell>
          <cell r="AM355" t="str">
            <v>открытый</v>
          </cell>
          <cell r="AN355" t="str">
            <v>2558 - 3280</v>
          </cell>
          <cell r="AO355">
            <v>53.71</v>
          </cell>
          <cell r="AP355">
            <v>2558</v>
          </cell>
          <cell r="AQ355">
            <v>694</v>
          </cell>
          <cell r="AU355" t="str">
            <v>Газлифт</v>
          </cell>
          <cell r="AV355">
            <v>537.00000351599999</v>
          </cell>
          <cell r="AW355" t="str">
            <v>ГК 78 1/8</v>
          </cell>
          <cell r="AX355">
            <v>999.99998437500005</v>
          </cell>
          <cell r="AY355" t="str">
            <v>ГК77 1/8</v>
          </cell>
          <cell r="AZ355">
            <v>1455.9999832030001</v>
          </cell>
          <cell r="BA355" t="str">
            <v>ГК76 5/32</v>
          </cell>
          <cell r="BB355">
            <v>1815.0000609379999</v>
          </cell>
          <cell r="BC355" t="str">
            <v>ЦКсОК 5/16</v>
          </cell>
          <cell r="BD355" t="str">
            <v>-</v>
          </cell>
          <cell r="BE355" t="str">
            <v>-</v>
          </cell>
          <cell r="BF355" t="str">
            <v>-</v>
          </cell>
          <cell r="BG355" t="str">
            <v>-</v>
          </cell>
          <cell r="BH355" t="str">
            <v>-</v>
          </cell>
          <cell r="BI355" t="str">
            <v>-</v>
          </cell>
        </row>
        <row r="356">
          <cell r="J356">
            <v>1387</v>
          </cell>
          <cell r="K356" t="str">
            <v>К-124</v>
          </cell>
          <cell r="L356">
            <v>44280</v>
          </cell>
          <cell r="M356" t="str">
            <v>Гор.</v>
          </cell>
          <cell r="N356" t="str">
            <v>Р4+5+6_Block2</v>
          </cell>
          <cell r="O356" t="str">
            <v>Действующий</v>
          </cell>
          <cell r="P356" t="str">
            <v>В работе</v>
          </cell>
          <cell r="Q356">
            <v>-4</v>
          </cell>
          <cell r="R356">
            <v>43877</v>
          </cell>
          <cell r="S356" t="str">
            <v>ЗАО "СП "МеКаМинефть"</v>
          </cell>
          <cell r="T356" t="str">
            <v>КГРП 5ст.
1113м3 15% HCl</v>
          </cell>
          <cell r="U356">
            <v>203</v>
          </cell>
          <cell r="V356">
            <v>218.2</v>
          </cell>
          <cell r="W356">
            <v>0.98</v>
          </cell>
          <cell r="X356">
            <v>1.66</v>
          </cell>
          <cell r="Y356">
            <v>1.3155085749034474</v>
          </cell>
          <cell r="Z356">
            <v>1.454</v>
          </cell>
          <cell r="AA356">
            <v>0.83599999999999997</v>
          </cell>
          <cell r="AB356">
            <v>0.72</v>
          </cell>
          <cell r="AC356">
            <v>34.299999999999997</v>
          </cell>
          <cell r="AD356">
            <v>1.17</v>
          </cell>
          <cell r="AE356">
            <v>177.8</v>
          </cell>
          <cell r="AF356">
            <v>9.19</v>
          </cell>
          <cell r="AG356">
            <v>2311.6</v>
          </cell>
          <cell r="AH356">
            <v>3023</v>
          </cell>
          <cell r="AI356">
            <v>3023</v>
          </cell>
          <cell r="AJ356">
            <v>43868</v>
          </cell>
          <cell r="AM356" t="str">
            <v>Закрытый</v>
          </cell>
          <cell r="AN356" t="str">
            <v>2566,83 - 2567,58; 2653,72 - 2654,47; 2800,73 - 2801,48; 2898,39 - 2899,14; 2996,67 - 2998,07</v>
          </cell>
          <cell r="AO356">
            <v>41.06</v>
          </cell>
          <cell r="AP356">
            <v>2566.83</v>
          </cell>
          <cell r="AQ356">
            <v>621.5</v>
          </cell>
          <cell r="AR356" t="str">
            <v>2181-3023</v>
          </cell>
          <cell r="AS356">
            <v>114</v>
          </cell>
          <cell r="AT356">
            <v>7.37</v>
          </cell>
          <cell r="AU356" t="str">
            <v>Газлифт</v>
          </cell>
          <cell r="AV356">
            <v>643.00000781300002</v>
          </cell>
          <cell r="AW356" t="str">
            <v>ГП</v>
          </cell>
          <cell r="AX356">
            <v>1267.0000218749999</v>
          </cell>
          <cell r="AY356" t="str">
            <v>ГП</v>
          </cell>
          <cell r="AZ356">
            <v>1690.000062891</v>
          </cell>
          <cell r="BA356" t="str">
            <v>ГК88 5/32</v>
          </cell>
          <cell r="BB356">
            <v>1979.0000226560001</v>
          </cell>
          <cell r="BC356" t="str">
            <v>ЦКсОК 5/16</v>
          </cell>
          <cell r="BD356" t="str">
            <v>-</v>
          </cell>
          <cell r="BE356" t="str">
            <v>-</v>
          </cell>
          <cell r="BF356" t="str">
            <v>-</v>
          </cell>
          <cell r="BG356" t="str">
            <v>-</v>
          </cell>
          <cell r="BH356" t="str">
            <v>-</v>
          </cell>
          <cell r="BI356" t="str">
            <v>-</v>
          </cell>
        </row>
        <row r="357">
          <cell r="J357">
            <v>1388</v>
          </cell>
          <cell r="K357" t="str">
            <v>К-130</v>
          </cell>
          <cell r="L357">
            <v>43418</v>
          </cell>
          <cell r="M357" t="str">
            <v>Гор.</v>
          </cell>
          <cell r="N357" t="str">
            <v>P4+5+6_Block1_yug</v>
          </cell>
          <cell r="O357" t="str">
            <v>Действующий</v>
          </cell>
          <cell r="P357" t="str">
            <v>Остановлена</v>
          </cell>
          <cell r="Q357">
            <v>-4</v>
          </cell>
          <cell r="U357">
            <v>203</v>
          </cell>
          <cell r="V357">
            <v>218.2</v>
          </cell>
          <cell r="W357">
            <v>0.98</v>
          </cell>
          <cell r="X357">
            <v>1.66</v>
          </cell>
          <cell r="Y357">
            <v>0.98008029573507216</v>
          </cell>
          <cell r="Z357">
            <v>1.454</v>
          </cell>
          <cell r="AA357">
            <v>0.83599999999999997</v>
          </cell>
          <cell r="AB357">
            <v>0.72</v>
          </cell>
          <cell r="AC357">
            <v>34.299999999999997</v>
          </cell>
          <cell r="AD357">
            <v>1.17</v>
          </cell>
          <cell r="AE357">
            <v>177.8</v>
          </cell>
          <cell r="AF357">
            <v>9.19</v>
          </cell>
          <cell r="AG357">
            <v>2345</v>
          </cell>
          <cell r="AH357">
            <v>2471</v>
          </cell>
          <cell r="AI357">
            <v>2471</v>
          </cell>
          <cell r="AM357" t="str">
            <v>открытый</v>
          </cell>
          <cell r="AN357" t="str">
            <v>2288-2471</v>
          </cell>
          <cell r="AO357">
            <v>12.69</v>
          </cell>
          <cell r="AP357">
            <v>2288</v>
          </cell>
          <cell r="AQ357">
            <v>385.02800000000002</v>
          </cell>
          <cell r="AR357" t="str">
            <v>2267,45-2471</v>
          </cell>
          <cell r="AS357">
            <v>114</v>
          </cell>
          <cell r="AT357">
            <v>7.37</v>
          </cell>
          <cell r="AU357" t="str">
            <v>Газлифт</v>
          </cell>
          <cell r="AV357">
            <v>519.99999931599996</v>
          </cell>
          <cell r="AW357" t="str">
            <v>ГП</v>
          </cell>
          <cell r="AX357">
            <v>989.99999941399994</v>
          </cell>
          <cell r="AY357" t="str">
            <v>ГП</v>
          </cell>
          <cell r="AZ357">
            <v>1394.999948438</v>
          </cell>
          <cell r="BA357" t="str">
            <v>ГП</v>
          </cell>
          <cell r="BB357">
            <v>1749.999972656</v>
          </cell>
          <cell r="BC357" t="str">
            <v>ГП</v>
          </cell>
          <cell r="BD357">
            <v>2079.9999972659998</v>
          </cell>
          <cell r="BE357" t="str">
            <v>ЦКсОК 5/16</v>
          </cell>
          <cell r="BF357" t="str">
            <v>-</v>
          </cell>
          <cell r="BG357" t="str">
            <v>-</v>
          </cell>
          <cell r="BH357">
            <v>2090</v>
          </cell>
          <cell r="BI357" t="str">
            <v>закрыт</v>
          </cell>
        </row>
        <row r="358">
          <cell r="J358">
            <v>1391</v>
          </cell>
          <cell r="K358" t="str">
            <v>К-124</v>
          </cell>
          <cell r="L358">
            <v>44280</v>
          </cell>
          <cell r="M358" t="str">
            <v>Гор.</v>
          </cell>
          <cell r="N358" t="str">
            <v>Р4+5+6_Block2</v>
          </cell>
          <cell r="O358" t="str">
            <v>В бездействии текущего года</v>
          </cell>
          <cell r="P358" t="str">
            <v>Остановлена</v>
          </cell>
          <cell r="Q358">
            <v>-4</v>
          </cell>
          <cell r="R358">
            <v>43881</v>
          </cell>
          <cell r="S358" t="str">
            <v>ЗАО "СП "МеКаМинефть"</v>
          </cell>
          <cell r="T358" t="str">
            <v>КГРП 6ст.
1075м3 15% HCl</v>
          </cell>
          <cell r="U358">
            <v>203</v>
          </cell>
          <cell r="V358">
            <v>218.2</v>
          </cell>
          <cell r="W358">
            <v>0.98</v>
          </cell>
          <cell r="X358">
            <v>1.66</v>
          </cell>
          <cell r="Y358">
            <v>1.597909790979098</v>
          </cell>
          <cell r="Z358">
            <v>1.454</v>
          </cell>
          <cell r="AA358">
            <v>0.83599999999999997</v>
          </cell>
          <cell r="AB358">
            <v>0.72</v>
          </cell>
          <cell r="AC358">
            <v>34.299999999999997</v>
          </cell>
          <cell r="AD358">
            <v>1.17</v>
          </cell>
          <cell r="AE358">
            <v>177.8</v>
          </cell>
          <cell r="AF358">
            <v>9.19</v>
          </cell>
          <cell r="AG358">
            <v>2222.54</v>
          </cell>
          <cell r="AH358">
            <v>2768</v>
          </cell>
          <cell r="AI358">
            <v>2734</v>
          </cell>
          <cell r="AJ358">
            <v>43790</v>
          </cell>
          <cell r="AM358" t="str">
            <v>Закрытый</v>
          </cell>
          <cell r="AN358" t="str">
            <v>2233,65 - 2234,85; 2332,81 - 2334,01; 2441,38 - 2442,58; 2527,06 - 2528,26; 2623,77 - 2624,97; 2720,77 - 2721,97</v>
          </cell>
          <cell r="AO358">
            <v>4.18</v>
          </cell>
          <cell r="AP358">
            <v>2233.65</v>
          </cell>
          <cell r="AQ358">
            <v>260.36</v>
          </cell>
          <cell r="AR358" t="str">
            <v>2170-2734</v>
          </cell>
          <cell r="AS358">
            <v>114</v>
          </cell>
          <cell r="AT358">
            <v>7.37</v>
          </cell>
          <cell r="AU358" t="str">
            <v>Газлифт</v>
          </cell>
          <cell r="AV358">
            <v>633</v>
          </cell>
          <cell r="AW358" t="str">
            <v>ГК 87 1/8</v>
          </cell>
          <cell r="AX358">
            <v>1200</v>
          </cell>
          <cell r="AY358" t="str">
            <v>ГК 90 5/32</v>
          </cell>
          <cell r="AZ358">
            <v>1646</v>
          </cell>
          <cell r="BA358" t="str">
            <v>ГК 92 5/32</v>
          </cell>
          <cell r="BB358">
            <v>1857</v>
          </cell>
          <cell r="BC358" t="str">
            <v>ЦКсОК 5/16</v>
          </cell>
          <cell r="BD358" t="str">
            <v>-</v>
          </cell>
          <cell r="BE358" t="str">
            <v>-</v>
          </cell>
          <cell r="BF358" t="str">
            <v>-</v>
          </cell>
          <cell r="BG358" t="str">
            <v>-</v>
          </cell>
          <cell r="BH358">
            <v>2170</v>
          </cell>
          <cell r="BI358" t="str">
            <v>закрыт</v>
          </cell>
        </row>
        <row r="359">
          <cell r="J359">
            <v>1392</v>
          </cell>
          <cell r="K359" t="str">
            <v>К-130</v>
          </cell>
          <cell r="L359">
            <v>43467</v>
          </cell>
          <cell r="M359" t="str">
            <v>Гор.</v>
          </cell>
          <cell r="N359" t="str">
            <v>P4+5+6_Block1_yug</v>
          </cell>
          <cell r="O359" t="str">
            <v>Действующий</v>
          </cell>
          <cell r="P359" t="str">
            <v>В работе</v>
          </cell>
          <cell r="Q359">
            <v>-4</v>
          </cell>
          <cell r="U359">
            <v>203</v>
          </cell>
          <cell r="V359">
            <v>218.2</v>
          </cell>
          <cell r="W359">
            <v>0.98</v>
          </cell>
          <cell r="X359">
            <v>1.66</v>
          </cell>
          <cell r="Y359">
            <v>1.0184661154044565</v>
          </cell>
          <cell r="Z359">
            <v>1.454</v>
          </cell>
          <cell r="AA359">
            <v>0.83599999999999997</v>
          </cell>
          <cell r="AB359">
            <v>0.72</v>
          </cell>
          <cell r="AC359">
            <v>34.299999999999997</v>
          </cell>
          <cell r="AD359">
            <v>1.17</v>
          </cell>
          <cell r="AE359">
            <v>177.8</v>
          </cell>
          <cell r="AF359">
            <v>9.19</v>
          </cell>
          <cell r="AG359">
            <v>2205.3000000000002</v>
          </cell>
          <cell r="AH359">
            <v>2933</v>
          </cell>
          <cell r="AI359">
            <v>2933</v>
          </cell>
          <cell r="AM359" t="str">
            <v>открытый</v>
          </cell>
          <cell r="AN359" t="str">
            <v>2205-2933</v>
          </cell>
          <cell r="AO359">
            <v>84.36</v>
          </cell>
          <cell r="AP359">
            <v>2205</v>
          </cell>
          <cell r="AQ359">
            <v>272.07653946227219</v>
          </cell>
          <cell r="AU359" t="str">
            <v>Газлифт</v>
          </cell>
          <cell r="AV359">
            <v>519.99999931599996</v>
          </cell>
          <cell r="AW359" t="str">
            <v>ГК85 1/8</v>
          </cell>
          <cell r="AX359">
            <v>1139.9999970700001</v>
          </cell>
          <cell r="AY359" t="str">
            <v>ГК89 1/8</v>
          </cell>
          <cell r="AZ359">
            <v>1574.9999753909999</v>
          </cell>
          <cell r="BA359" t="str">
            <v>ГК91 1/8</v>
          </cell>
          <cell r="BB359">
            <v>1969.999939453</v>
          </cell>
          <cell r="BC359" t="str">
            <v>ЦКсОК 5/16</v>
          </cell>
          <cell r="BD359" t="str">
            <v>-</v>
          </cell>
          <cell r="BE359" t="str">
            <v>-</v>
          </cell>
          <cell r="BF359" t="str">
            <v>-</v>
          </cell>
          <cell r="BG359" t="str">
            <v>-</v>
          </cell>
          <cell r="BH359" t="str">
            <v>-</v>
          </cell>
          <cell r="BI359" t="str">
            <v>-</v>
          </cell>
        </row>
        <row r="360">
          <cell r="J360">
            <v>1393</v>
          </cell>
          <cell r="K360" t="str">
            <v>К-130</v>
          </cell>
          <cell r="L360">
            <v>43366</v>
          </cell>
          <cell r="M360" t="str">
            <v>Гор.</v>
          </cell>
          <cell r="N360" t="str">
            <v>Р4+5+6_Block2</v>
          </cell>
          <cell r="O360" t="str">
            <v>Действующий</v>
          </cell>
          <cell r="P360" t="str">
            <v>Остановлена</v>
          </cell>
          <cell r="Q360">
            <v>-4</v>
          </cell>
          <cell r="U360">
            <v>203</v>
          </cell>
          <cell r="V360">
            <v>218.2</v>
          </cell>
          <cell r="W360">
            <v>0.98</v>
          </cell>
          <cell r="X360">
            <v>1.66</v>
          </cell>
          <cell r="Y360">
            <v>1.0123462936227408</v>
          </cell>
          <cell r="Z360">
            <v>1.454</v>
          </cell>
          <cell r="AA360">
            <v>0.83599999999999997</v>
          </cell>
          <cell r="AB360">
            <v>0.72</v>
          </cell>
          <cell r="AC360">
            <v>34.299999999999997</v>
          </cell>
          <cell r="AD360">
            <v>1.17</v>
          </cell>
          <cell r="AE360">
            <v>177.8</v>
          </cell>
          <cell r="AF360">
            <v>9.19</v>
          </cell>
          <cell r="AG360">
            <v>2186</v>
          </cell>
          <cell r="AH360">
            <v>2949</v>
          </cell>
          <cell r="AI360">
            <v>2949</v>
          </cell>
          <cell r="AM360" t="str">
            <v>открытый</v>
          </cell>
          <cell r="AN360" t="str">
            <v>2174-2949</v>
          </cell>
          <cell r="AO360">
            <v>17.86</v>
          </cell>
          <cell r="AP360">
            <v>2174</v>
          </cell>
          <cell r="AQ360">
            <v>243.91629629629642</v>
          </cell>
          <cell r="AU360" t="str">
            <v>Газлифт</v>
          </cell>
          <cell r="AV360">
            <v>579.99998349600003</v>
          </cell>
          <cell r="AW360" t="str">
            <v>ГП</v>
          </cell>
          <cell r="AX360">
            <v>1034.9999689450001</v>
          </cell>
          <cell r="AY360" t="str">
            <v>ГП</v>
          </cell>
          <cell r="AZ360">
            <v>1410.0047999999999</v>
          </cell>
          <cell r="BA360" t="str">
            <v>ГК90 1/8</v>
          </cell>
          <cell r="BB360">
            <v>1710.000032813</v>
          </cell>
          <cell r="BC360" t="str">
            <v>ГК89 1/8</v>
          </cell>
          <cell r="BD360">
            <v>1949.999969531</v>
          </cell>
          <cell r="BE360" t="str">
            <v>ЦКсОК 5/16</v>
          </cell>
          <cell r="BF360" t="str">
            <v>-</v>
          </cell>
          <cell r="BG360" t="str">
            <v>-</v>
          </cell>
          <cell r="BH360">
            <v>1960</v>
          </cell>
          <cell r="BI360" t="str">
            <v>закрыт</v>
          </cell>
        </row>
        <row r="361">
          <cell r="J361">
            <v>1394</v>
          </cell>
          <cell r="K361" t="str">
            <v>Куст скважины-1078</v>
          </cell>
          <cell r="L361">
            <v>43439</v>
          </cell>
          <cell r="M361" t="str">
            <v>Гор.</v>
          </cell>
          <cell r="N361" t="str">
            <v>Р4+5_Block3</v>
          </cell>
          <cell r="O361" t="str">
            <v>Действующий</v>
          </cell>
          <cell r="P361" t="str">
            <v>Остановлена</v>
          </cell>
          <cell r="Q361">
            <v>-4</v>
          </cell>
          <cell r="U361">
            <v>203</v>
          </cell>
          <cell r="V361">
            <v>218.2</v>
          </cell>
          <cell r="W361">
            <v>0.98</v>
          </cell>
          <cell r="X361">
            <v>1.66</v>
          </cell>
          <cell r="Y361">
            <v>0.99566188135294464</v>
          </cell>
          <cell r="Z361">
            <v>1.454</v>
          </cell>
          <cell r="AA361">
            <v>0.83599999999999997</v>
          </cell>
          <cell r="AB361">
            <v>0.72</v>
          </cell>
          <cell r="AC361">
            <v>34.299999999999997</v>
          </cell>
          <cell r="AD361">
            <v>1.17</v>
          </cell>
          <cell r="AE361">
            <v>177.8</v>
          </cell>
          <cell r="AF361">
            <v>9.19</v>
          </cell>
          <cell r="AG361">
            <v>2292</v>
          </cell>
          <cell r="AH361">
            <v>2929</v>
          </cell>
          <cell r="AI361">
            <v>2929</v>
          </cell>
          <cell r="AM361" t="str">
            <v>открытый</v>
          </cell>
          <cell r="AN361" t="str">
            <v>2292-2929</v>
          </cell>
          <cell r="AO361">
            <v>24.39</v>
          </cell>
          <cell r="AP361">
            <v>2292</v>
          </cell>
          <cell r="AQ361">
            <v>411.29544276457864</v>
          </cell>
          <cell r="AU361" t="str">
            <v>Газлифт</v>
          </cell>
          <cell r="AV361">
            <v>505.99999804700002</v>
          </cell>
          <cell r="AW361" t="str">
            <v>ГК80 1/8</v>
          </cell>
          <cell r="AX361">
            <v>905.99999179700001</v>
          </cell>
          <cell r="AY361" t="str">
            <v>ГК81 1/8</v>
          </cell>
          <cell r="AZ361">
            <v>1297.000051172</v>
          </cell>
          <cell r="BA361" t="str">
            <v>ГК82 1/8</v>
          </cell>
          <cell r="BB361">
            <v>1630.000004297</v>
          </cell>
          <cell r="BC361" t="str">
            <v>ГК82 1/8</v>
          </cell>
          <cell r="BD361">
            <v>1894.9999406249999</v>
          </cell>
          <cell r="BE361" t="str">
            <v>ЦКсОК 5/16</v>
          </cell>
          <cell r="BF361" t="str">
            <v>-</v>
          </cell>
          <cell r="BG361" t="str">
            <v>-</v>
          </cell>
          <cell r="BH361" t="str">
            <v>-</v>
          </cell>
          <cell r="BI361" t="str">
            <v>-</v>
          </cell>
        </row>
        <row r="362">
          <cell r="J362">
            <v>1397</v>
          </cell>
          <cell r="K362" t="str">
            <v>К-130</v>
          </cell>
          <cell r="L362">
            <v>43373</v>
          </cell>
          <cell r="M362" t="str">
            <v>Гор.</v>
          </cell>
          <cell r="N362" t="str">
            <v>P4+5+6_Block1_yug</v>
          </cell>
          <cell r="O362" t="str">
            <v>Действующий</v>
          </cell>
          <cell r="P362" t="str">
            <v>В работе</v>
          </cell>
          <cell r="Q362">
            <v>-4</v>
          </cell>
          <cell r="U362">
            <v>203</v>
          </cell>
          <cell r="V362">
            <v>218.2</v>
          </cell>
          <cell r="W362">
            <v>0.98</v>
          </cell>
          <cell r="X362">
            <v>1.66</v>
          </cell>
          <cell r="Y362">
            <v>1.2965442489160928</v>
          </cell>
          <cell r="Z362">
            <v>1.454</v>
          </cell>
          <cell r="AA362">
            <v>0.83599999999999997</v>
          </cell>
          <cell r="AB362">
            <v>0.72</v>
          </cell>
          <cell r="AC362">
            <v>34.299999999999997</v>
          </cell>
          <cell r="AD362">
            <v>1.17</v>
          </cell>
          <cell r="AE362">
            <v>177.8</v>
          </cell>
          <cell r="AF362">
            <v>9.19</v>
          </cell>
          <cell r="AG362">
            <v>2405.64</v>
          </cell>
          <cell r="AH362">
            <v>3007</v>
          </cell>
          <cell r="AI362">
            <v>3007</v>
          </cell>
          <cell r="AJ362">
            <v>43258</v>
          </cell>
          <cell r="AK362" t="str">
            <v>По спущенной компановке</v>
          </cell>
          <cell r="AM362" t="str">
            <v>открытый</v>
          </cell>
          <cell r="AN362" t="str">
            <v>2405,64-3007</v>
          </cell>
          <cell r="AO362">
            <v>122.78</v>
          </cell>
          <cell r="AP362">
            <v>2405.64</v>
          </cell>
          <cell r="AQ362">
            <v>460</v>
          </cell>
          <cell r="AU362" t="str">
            <v>Газлифт</v>
          </cell>
          <cell r="AV362">
            <v>540.00000644500005</v>
          </cell>
          <cell r="AW362" t="str">
            <v>ГП</v>
          </cell>
          <cell r="AX362">
            <v>1005.000014063</v>
          </cell>
          <cell r="AY362" t="str">
            <v>ГП</v>
          </cell>
          <cell r="AZ362">
            <v>1399.9999781250001</v>
          </cell>
          <cell r="BA362" t="str">
            <v>ГП</v>
          </cell>
          <cell r="BB362">
            <v>1699.9999734380001</v>
          </cell>
          <cell r="BC362" t="str">
            <v>ГК88 1/8</v>
          </cell>
          <cell r="BD362">
            <v>1999.9999687500001</v>
          </cell>
          <cell r="BE362" t="str">
            <v>ЦКсОК 5/16</v>
          </cell>
          <cell r="BF362" t="str">
            <v>-</v>
          </cell>
          <cell r="BG362" t="str">
            <v>-</v>
          </cell>
          <cell r="BH362">
            <v>2040</v>
          </cell>
          <cell r="BI362" t="str">
            <v>закрыт</v>
          </cell>
        </row>
        <row r="363">
          <cell r="J363">
            <v>3287</v>
          </cell>
          <cell r="K363" t="str">
            <v>К-105</v>
          </cell>
          <cell r="L363">
            <v>43546</v>
          </cell>
          <cell r="M363" t="str">
            <v>Гор.</v>
          </cell>
          <cell r="N363" t="str">
            <v>P4+5+6_Block1_yug</v>
          </cell>
          <cell r="O363" t="str">
            <v>Действующий</v>
          </cell>
          <cell r="P363" t="str">
            <v>В работе</v>
          </cell>
          <cell r="Q363">
            <v>-4</v>
          </cell>
          <cell r="U363">
            <v>203</v>
          </cell>
          <cell r="V363">
            <v>218.2</v>
          </cell>
          <cell r="W363">
            <v>0.98</v>
          </cell>
          <cell r="X363">
            <v>1.66</v>
          </cell>
          <cell r="Y363">
            <v>1.0441591784338895</v>
          </cell>
          <cell r="Z363">
            <v>1.454</v>
          </cell>
          <cell r="AA363">
            <v>0.83599999999999997</v>
          </cell>
          <cell r="AB363">
            <v>0.72</v>
          </cell>
          <cell r="AC363">
            <v>34.299999999999997</v>
          </cell>
          <cell r="AD363">
            <v>1.17</v>
          </cell>
          <cell r="AE363">
            <v>177.8</v>
          </cell>
          <cell r="AF363">
            <v>9.19</v>
          </cell>
          <cell r="AG363">
            <v>2083.3000000000002</v>
          </cell>
          <cell r="AH363">
            <v>3069</v>
          </cell>
          <cell r="AI363">
            <v>3069</v>
          </cell>
          <cell r="AM363" t="str">
            <v>Закрытый</v>
          </cell>
          <cell r="AN363" t="str">
            <v>2091,26-2092,69; 2198,19-2199,62; 2304,27-2305,7; 2402,01-2403,44;2521,3-2522,73; 2617,99-2619,42;2807,83-2809,06</v>
          </cell>
          <cell r="AO363">
            <v>21.84</v>
          </cell>
          <cell r="AP363">
            <v>2091.2600000000002</v>
          </cell>
          <cell r="AQ363">
            <v>284.16000000000003</v>
          </cell>
          <cell r="AR363" t="str">
            <v>2024-3069</v>
          </cell>
          <cell r="AS363">
            <v>114</v>
          </cell>
          <cell r="AT363">
            <v>7.37</v>
          </cell>
          <cell r="AU363" t="str">
            <v>Газлифт</v>
          </cell>
          <cell r="AV363">
            <v>554.99998388699998</v>
          </cell>
          <cell r="AW363" t="str">
            <v>ГП</v>
          </cell>
          <cell r="AX363">
            <v>995.00002910199998</v>
          </cell>
          <cell r="AY363" t="str">
            <v>ГК77 1/8</v>
          </cell>
          <cell r="AZ363">
            <v>1319.9999496089999</v>
          </cell>
          <cell r="BA363" t="str">
            <v>ГК77 1/8</v>
          </cell>
          <cell r="BB363">
            <v>1599.9999749999999</v>
          </cell>
          <cell r="BC363" t="str">
            <v>ГК77 1/8</v>
          </cell>
          <cell r="BD363">
            <v>1899.9999703129999</v>
          </cell>
          <cell r="BE363" t="str">
            <v>ЦКсОК 5/16</v>
          </cell>
          <cell r="BF363" t="str">
            <v>-</v>
          </cell>
          <cell r="BG363" t="str">
            <v>-</v>
          </cell>
          <cell r="BH363" t="str">
            <v>-</v>
          </cell>
          <cell r="BI363" t="str">
            <v>-</v>
          </cell>
        </row>
        <row r="364">
          <cell r="J364">
            <v>1400</v>
          </cell>
          <cell r="K364" t="str">
            <v>К-1401</v>
          </cell>
          <cell r="L364">
            <v>43679</v>
          </cell>
          <cell r="M364" t="str">
            <v>Гор.</v>
          </cell>
          <cell r="N364" t="str">
            <v>Р4+5+6_Block2</v>
          </cell>
          <cell r="O364" t="str">
            <v>Действующий</v>
          </cell>
          <cell r="P364" t="str">
            <v>В работе</v>
          </cell>
          <cell r="Q364">
            <v>-4</v>
          </cell>
          <cell r="U364">
            <v>203</v>
          </cell>
          <cell r="V364">
            <v>218.2</v>
          </cell>
          <cell r="W364">
            <v>0.98</v>
          </cell>
          <cell r="X364">
            <v>1.66</v>
          </cell>
          <cell r="Y364">
            <v>0.9824953013194957</v>
          </cell>
          <cell r="Z364">
            <v>1.454</v>
          </cell>
          <cell r="AA364">
            <v>0.83599999999999997</v>
          </cell>
          <cell r="AB364">
            <v>0.72</v>
          </cell>
          <cell r="AC364">
            <v>34.299999999999997</v>
          </cell>
          <cell r="AD364">
            <v>1.17</v>
          </cell>
          <cell r="AE364">
            <v>177.8</v>
          </cell>
          <cell r="AF364">
            <v>9.19</v>
          </cell>
          <cell r="AG364">
            <v>2403</v>
          </cell>
          <cell r="AH364">
            <v>2945</v>
          </cell>
          <cell r="AI364">
            <v>2945</v>
          </cell>
          <cell r="AM364" t="str">
            <v>открытый</v>
          </cell>
          <cell r="AN364" t="str">
            <v>2348-2945</v>
          </cell>
          <cell r="AO364">
            <v>58</v>
          </cell>
          <cell r="AP364">
            <v>2348</v>
          </cell>
          <cell r="AQ364">
            <v>426</v>
          </cell>
          <cell r="AU364" t="str">
            <v>Газлифт</v>
          </cell>
          <cell r="AV364">
            <v>540.00000644500005</v>
          </cell>
          <cell r="AW364" t="str">
            <v>ГП</v>
          </cell>
          <cell r="AX364">
            <v>1099.9999828130001</v>
          </cell>
          <cell r="AY364" t="str">
            <v>ГП</v>
          </cell>
          <cell r="AZ364">
            <v>1490.0000660159999</v>
          </cell>
          <cell r="BA364" t="str">
            <v>ГП</v>
          </cell>
          <cell r="BB364">
            <v>1817.9999894529999</v>
          </cell>
          <cell r="BC364" t="str">
            <v>ЦКсОК 5/16</v>
          </cell>
          <cell r="BD364" t="str">
            <v>-</v>
          </cell>
          <cell r="BE364" t="str">
            <v>-</v>
          </cell>
          <cell r="BF364" t="str">
            <v>-</v>
          </cell>
          <cell r="BG364" t="str">
            <v>-</v>
          </cell>
          <cell r="BH364">
            <v>1828</v>
          </cell>
          <cell r="BI364" t="str">
            <v>закрыт</v>
          </cell>
        </row>
        <row r="365">
          <cell r="J365">
            <v>1401</v>
          </cell>
          <cell r="K365" t="str">
            <v>К-1401</v>
          </cell>
          <cell r="L365">
            <v>43753</v>
          </cell>
          <cell r="M365" t="str">
            <v>Гор.</v>
          </cell>
          <cell r="N365" t="str">
            <v>Р4+5+6_Block2</v>
          </cell>
          <cell r="O365" t="str">
            <v>Действующий</v>
          </cell>
          <cell r="P365" t="str">
            <v>В работе</v>
          </cell>
          <cell r="Q365">
            <v>-4</v>
          </cell>
          <cell r="U365">
            <v>203</v>
          </cell>
          <cell r="V365">
            <v>218.2</v>
          </cell>
          <cell r="W365">
            <v>0.98</v>
          </cell>
          <cell r="X365">
            <v>1.66</v>
          </cell>
          <cell r="Y365">
            <v>1.1155363187027194</v>
          </cell>
          <cell r="Z365">
            <v>1.454</v>
          </cell>
          <cell r="AA365">
            <v>0.83599999999999997</v>
          </cell>
          <cell r="AB365">
            <v>0.72</v>
          </cell>
          <cell r="AC365">
            <v>34.299999999999997</v>
          </cell>
          <cell r="AD365">
            <v>1.17</v>
          </cell>
          <cell r="AE365">
            <v>177.8</v>
          </cell>
          <cell r="AF365">
            <v>9.19</v>
          </cell>
          <cell r="AG365">
            <v>2293</v>
          </cell>
          <cell r="AH365">
            <v>3018</v>
          </cell>
          <cell r="AI365">
            <v>3018</v>
          </cell>
          <cell r="AM365" t="str">
            <v>открытый</v>
          </cell>
          <cell r="AN365" t="str">
            <v>2293-3018</v>
          </cell>
          <cell r="AO365">
            <v>66</v>
          </cell>
          <cell r="AP365">
            <v>2293</v>
          </cell>
          <cell r="AQ365">
            <v>358</v>
          </cell>
          <cell r="AU365" t="str">
            <v>Газлифт</v>
          </cell>
          <cell r="AV365">
            <v>499.99999218800002</v>
          </cell>
          <cell r="AW365" t="str">
            <v>ГП</v>
          </cell>
          <cell r="AX365">
            <v>899.99998593800001</v>
          </cell>
          <cell r="AY365" t="str">
            <v>ГП</v>
          </cell>
          <cell r="AZ365">
            <v>1260.000039844</v>
          </cell>
          <cell r="BA365" t="str">
            <v>ГК87 1/8</v>
          </cell>
          <cell r="BB365">
            <v>1565.000064844</v>
          </cell>
          <cell r="BC365" t="str">
            <v>ГК87 1/8</v>
          </cell>
          <cell r="BD365">
            <v>1880.000000391</v>
          </cell>
          <cell r="BE365" t="str">
            <v>ЦКсОК 5/16</v>
          </cell>
          <cell r="BF365" t="str">
            <v>-</v>
          </cell>
          <cell r="BG365" t="str">
            <v>-</v>
          </cell>
          <cell r="BH365">
            <v>1890</v>
          </cell>
          <cell r="BI365" t="str">
            <v>закрыт</v>
          </cell>
        </row>
        <row r="366">
          <cell r="J366">
            <v>1402</v>
          </cell>
          <cell r="K366" t="str">
            <v>К-1401</v>
          </cell>
          <cell r="L366">
            <v>43722</v>
          </cell>
          <cell r="M366" t="str">
            <v>Гор.</v>
          </cell>
          <cell r="N366" t="str">
            <v>P4+5+6_Block1_yug</v>
          </cell>
          <cell r="O366" t="str">
            <v>Действующий</v>
          </cell>
          <cell r="P366" t="str">
            <v>В работе</v>
          </cell>
          <cell r="Q366">
            <v>-4</v>
          </cell>
          <cell r="U366">
            <v>203</v>
          </cell>
          <cell r="V366">
            <v>218.2</v>
          </cell>
          <cell r="W366">
            <v>0.98</v>
          </cell>
          <cell r="X366">
            <v>1.66</v>
          </cell>
          <cell r="Y366">
            <v>0.98</v>
          </cell>
          <cell r="Z366">
            <v>1.454</v>
          </cell>
          <cell r="AA366">
            <v>0.83599999999999997</v>
          </cell>
          <cell r="AB366">
            <v>0.72</v>
          </cell>
          <cell r="AC366">
            <v>34.299999999999997</v>
          </cell>
          <cell r="AD366">
            <v>1.17</v>
          </cell>
          <cell r="AE366">
            <v>177.8</v>
          </cell>
          <cell r="AF366">
            <v>9.19</v>
          </cell>
          <cell r="AG366">
            <v>2415</v>
          </cell>
          <cell r="AH366">
            <v>3018</v>
          </cell>
          <cell r="AI366">
            <v>3018</v>
          </cell>
          <cell r="AM366" t="str">
            <v>открытый</v>
          </cell>
          <cell r="AN366" t="str">
            <v>2415-3018</v>
          </cell>
          <cell r="AO366">
            <v>31</v>
          </cell>
          <cell r="AP366">
            <v>2415</v>
          </cell>
          <cell r="AQ366">
            <v>1044</v>
          </cell>
          <cell r="AU366" t="str">
            <v>Газлифт</v>
          </cell>
          <cell r="AV366">
            <v>549.99999140600005</v>
          </cell>
          <cell r="AW366" t="str">
            <v>ГК 84 1/8</v>
          </cell>
          <cell r="AX366">
            <v>1080.0000128910001</v>
          </cell>
          <cell r="AY366" t="str">
            <v>ГК 85 1/8</v>
          </cell>
          <cell r="AZ366">
            <v>1510.0000359380001</v>
          </cell>
          <cell r="BA366" t="str">
            <v>ГК 86 1/8</v>
          </cell>
          <cell r="BB366">
            <v>1855.0000007809999</v>
          </cell>
          <cell r="BC366" t="str">
            <v>ГК 86 5/32</v>
          </cell>
          <cell r="BD366">
            <v>2140.000055859</v>
          </cell>
          <cell r="BE366" t="str">
            <v>ЦКсОК 5/16</v>
          </cell>
          <cell r="BF366" t="str">
            <v>-</v>
          </cell>
          <cell r="BG366" t="str">
            <v>-</v>
          </cell>
          <cell r="BH366">
            <v>2150</v>
          </cell>
          <cell r="BI366" t="str">
            <v>закрыт</v>
          </cell>
        </row>
        <row r="367">
          <cell r="J367">
            <v>1404</v>
          </cell>
          <cell r="K367" t="str">
            <v>К-103</v>
          </cell>
          <cell r="L367">
            <v>42927</v>
          </cell>
          <cell r="M367" t="str">
            <v>Гор.</v>
          </cell>
          <cell r="N367" t="str">
            <v>Р4+5_Block3</v>
          </cell>
          <cell r="O367" t="str">
            <v>Действующий</v>
          </cell>
          <cell r="P367" t="str">
            <v>В работе</v>
          </cell>
          <cell r="Q367">
            <v>-4</v>
          </cell>
          <cell r="U367">
            <v>203</v>
          </cell>
          <cell r="V367">
            <v>218.2</v>
          </cell>
          <cell r="W367">
            <v>0.98</v>
          </cell>
          <cell r="X367">
            <v>1.66</v>
          </cell>
          <cell r="Y367">
            <v>0.98120581919949812</v>
          </cell>
          <cell r="Z367">
            <v>1.454</v>
          </cell>
          <cell r="AA367">
            <v>0.83599999999999997</v>
          </cell>
          <cell r="AB367">
            <v>0.72</v>
          </cell>
          <cell r="AC367">
            <v>34.299999999999997</v>
          </cell>
          <cell r="AD367">
            <v>1.17</v>
          </cell>
          <cell r="AE367">
            <v>177.8</v>
          </cell>
          <cell r="AF367">
            <v>9.19</v>
          </cell>
          <cell r="AG367">
            <v>2155</v>
          </cell>
          <cell r="AH367">
            <v>2760</v>
          </cell>
          <cell r="AI367">
            <v>2760</v>
          </cell>
          <cell r="AM367" t="str">
            <v>открытый</v>
          </cell>
          <cell r="AN367" t="str">
            <v>2015-2760</v>
          </cell>
          <cell r="AO367">
            <v>19.5</v>
          </cell>
          <cell r="AP367">
            <v>2015</v>
          </cell>
          <cell r="AQ367">
            <v>171.31500000000005</v>
          </cell>
          <cell r="AU367" t="str">
            <v>Газлифт</v>
          </cell>
          <cell r="AV367">
            <v>479.99998505899998</v>
          </cell>
          <cell r="AW367" t="str">
            <v>ГП</v>
          </cell>
          <cell r="AX367">
            <v>999.99998437500005</v>
          </cell>
          <cell r="AY367" t="str">
            <v>ГК78 1/8</v>
          </cell>
          <cell r="AZ367">
            <v>1349.999978906</v>
          </cell>
          <cell r="BA367" t="str">
            <v>ГК78 1/8</v>
          </cell>
          <cell r="BB367">
            <v>1590.000064453</v>
          </cell>
          <cell r="BC367" t="str">
            <v>ГК78 1/8</v>
          </cell>
          <cell r="BD367">
            <v>1830.0000011720001</v>
          </cell>
          <cell r="BE367" t="str">
            <v>ЦКсОК 5/16</v>
          </cell>
          <cell r="BF367" t="str">
            <v>-</v>
          </cell>
          <cell r="BG367" t="str">
            <v>-</v>
          </cell>
          <cell r="BH367">
            <v>1840</v>
          </cell>
          <cell r="BI367" t="str">
            <v>закрыт</v>
          </cell>
        </row>
        <row r="368">
          <cell r="J368">
            <v>1405</v>
          </cell>
          <cell r="K368" t="str">
            <v>Без куста</v>
          </cell>
          <cell r="L368">
            <v>42475</v>
          </cell>
          <cell r="M368" t="str">
            <v>Гор.</v>
          </cell>
          <cell r="N368" t="str">
            <v>Р4+5+6_Block2</v>
          </cell>
          <cell r="O368" t="str">
            <v>Действующий</v>
          </cell>
          <cell r="P368" t="str">
            <v>В работе</v>
          </cell>
          <cell r="Q368">
            <v>-4</v>
          </cell>
          <cell r="S368" t="str">
            <v xml:space="preserve"> </v>
          </cell>
          <cell r="U368">
            <v>203</v>
          </cell>
          <cell r="V368">
            <v>218.2</v>
          </cell>
          <cell r="W368">
            <v>0.98</v>
          </cell>
          <cell r="X368">
            <v>1.66</v>
          </cell>
          <cell r="Y368">
            <v>0.98</v>
          </cell>
          <cell r="Z368">
            <v>1.454</v>
          </cell>
          <cell r="AA368">
            <v>0.83599999999999997</v>
          </cell>
          <cell r="AB368">
            <v>0.72</v>
          </cell>
          <cell r="AC368">
            <v>34.299999999999997</v>
          </cell>
          <cell r="AD368">
            <v>1.17</v>
          </cell>
          <cell r="AE368">
            <v>177.8</v>
          </cell>
          <cell r="AF368">
            <v>9.19</v>
          </cell>
          <cell r="AG368">
            <v>1978</v>
          </cell>
          <cell r="AH368">
            <v>2770</v>
          </cell>
          <cell r="AI368">
            <v>2770</v>
          </cell>
          <cell r="AM368" t="str">
            <v>открытый</v>
          </cell>
          <cell r="AN368" t="str">
            <v>2302-2770</v>
          </cell>
          <cell r="AO368">
            <v>20</v>
          </cell>
          <cell r="AP368">
            <v>2302</v>
          </cell>
          <cell r="AQ368">
            <v>120.71</v>
          </cell>
          <cell r="AU368" t="str">
            <v>Газлифт</v>
          </cell>
          <cell r="AV368">
            <v>639.00002871100003</v>
          </cell>
          <cell r="AW368" t="str">
            <v>ГК 85 1/8</v>
          </cell>
          <cell r="AX368">
            <v>1262.9999683589999</v>
          </cell>
          <cell r="AY368" t="str">
            <v>ГК87 1/8</v>
          </cell>
          <cell r="AZ368">
            <v>1797.0000433590001</v>
          </cell>
          <cell r="BA368" t="str">
            <v>ГК89 1/8</v>
          </cell>
          <cell r="BB368">
            <v>1999.9999687500001</v>
          </cell>
          <cell r="BC368" t="str">
            <v>ЦКсОК 5/16</v>
          </cell>
          <cell r="BD368" t="str">
            <v>-</v>
          </cell>
          <cell r="BE368" t="str">
            <v>-</v>
          </cell>
          <cell r="BF368" t="str">
            <v>-</v>
          </cell>
          <cell r="BG368" t="str">
            <v>-</v>
          </cell>
          <cell r="BH368" t="str">
            <v>-</v>
          </cell>
          <cell r="BI368" t="str">
            <v>-</v>
          </cell>
        </row>
        <row r="369">
          <cell r="J369">
            <v>1407</v>
          </cell>
          <cell r="K369" t="str">
            <v>К-61</v>
          </cell>
          <cell r="L369">
            <v>42405</v>
          </cell>
          <cell r="M369" t="str">
            <v>Гор.</v>
          </cell>
          <cell r="N369" t="str">
            <v>Р4+5_Block3, P5i</v>
          </cell>
          <cell r="O369" t="str">
            <v>Действующий</v>
          </cell>
          <cell r="P369" t="str">
            <v>В работе</v>
          </cell>
          <cell r="Q369">
            <v>-4</v>
          </cell>
          <cell r="S369" t="str">
            <v xml:space="preserve"> </v>
          </cell>
          <cell r="U369">
            <v>203</v>
          </cell>
          <cell r="V369">
            <v>218.2</v>
          </cell>
          <cell r="W369">
            <v>0.98</v>
          </cell>
          <cell r="X369">
            <v>1.66</v>
          </cell>
          <cell r="Y369">
            <v>0.98</v>
          </cell>
          <cell r="Z369">
            <v>1.454</v>
          </cell>
          <cell r="AA369">
            <v>0.83599999999999997</v>
          </cell>
          <cell r="AB369">
            <v>0.72</v>
          </cell>
          <cell r="AC369">
            <v>34.299999999999997</v>
          </cell>
          <cell r="AD369">
            <v>1.17</v>
          </cell>
          <cell r="AE369">
            <v>139.69999999999999</v>
          </cell>
          <cell r="AF369">
            <v>7.72</v>
          </cell>
          <cell r="AG369">
            <v>2393</v>
          </cell>
          <cell r="AH369">
            <v>3002</v>
          </cell>
          <cell r="AI369">
            <v>3002</v>
          </cell>
          <cell r="AM369" t="str">
            <v>открытый</v>
          </cell>
          <cell r="AN369" t="str">
            <v>2393-3002</v>
          </cell>
          <cell r="AO369">
            <v>25</v>
          </cell>
          <cell r="AP369">
            <v>2393</v>
          </cell>
          <cell r="AQ369">
            <v>1.4</v>
          </cell>
          <cell r="AU369" t="str">
            <v>Газлифт</v>
          </cell>
          <cell r="AV369">
            <v>534</v>
          </cell>
          <cell r="AW369" t="str">
            <v>ГК82 1/8</v>
          </cell>
          <cell r="AX369">
            <v>1020</v>
          </cell>
          <cell r="AY369" t="str">
            <v>ГК83 5/32</v>
          </cell>
          <cell r="AZ369">
            <v>1435</v>
          </cell>
          <cell r="BA369" t="str">
            <v>ГК84 5/32</v>
          </cell>
          <cell r="BB369">
            <v>1763</v>
          </cell>
          <cell r="BC369" t="str">
            <v>ГК84 5/32</v>
          </cell>
          <cell r="BD369">
            <v>1995</v>
          </cell>
          <cell r="BE369" t="str">
            <v>ЦКсОК 5/16</v>
          </cell>
          <cell r="BF369" t="str">
            <v>-</v>
          </cell>
          <cell r="BG369" t="str">
            <v>-</v>
          </cell>
          <cell r="BH369" t="str">
            <v>-</v>
          </cell>
          <cell r="BI369" t="str">
            <v>-</v>
          </cell>
        </row>
        <row r="370">
          <cell r="J370">
            <v>1408</v>
          </cell>
          <cell r="K370" t="str">
            <v>К-124</v>
          </cell>
          <cell r="L370">
            <v>44263</v>
          </cell>
          <cell r="M370" t="str">
            <v>Гор.</v>
          </cell>
          <cell r="N370" t="str">
            <v>Р4+5+6_Block2</v>
          </cell>
          <cell r="O370" t="str">
            <v>Действующий</v>
          </cell>
          <cell r="P370" t="str">
            <v>Остановлена</v>
          </cell>
          <cell r="Q370">
            <v>-4</v>
          </cell>
          <cell r="U370">
            <v>203</v>
          </cell>
          <cell r="V370">
            <v>218.2</v>
          </cell>
          <cell r="W370">
            <v>0.98</v>
          </cell>
          <cell r="X370">
            <v>1.66</v>
          </cell>
          <cell r="Y370">
            <v>1.0367832442367646</v>
          </cell>
          <cell r="Z370">
            <v>1.454</v>
          </cell>
          <cell r="AA370">
            <v>0.83599999999999997</v>
          </cell>
          <cell r="AB370">
            <v>0.72</v>
          </cell>
          <cell r="AC370">
            <v>34.299999999999997</v>
          </cell>
          <cell r="AD370">
            <v>1.17</v>
          </cell>
          <cell r="AE370">
            <v>177.8</v>
          </cell>
          <cell r="AF370">
            <v>9.19</v>
          </cell>
          <cell r="AG370">
            <v>2441</v>
          </cell>
          <cell r="AH370">
            <v>3218</v>
          </cell>
          <cell r="AI370">
            <v>3155</v>
          </cell>
          <cell r="AM370" t="str">
            <v>откр.ствол / хвостовик</v>
          </cell>
          <cell r="AN370" t="str">
            <v>2526-2527; 2625-2626; 2723-2724; 2821-2822; 2930-2931; 3029-3030; 3127-3218;</v>
          </cell>
          <cell r="AU370" t="str">
            <v>Газлифт</v>
          </cell>
          <cell r="AV370">
            <v>599.99999062500001</v>
          </cell>
          <cell r="AW370" t="str">
            <v>ГП</v>
          </cell>
          <cell r="AX370">
            <v>1209.9999662109999</v>
          </cell>
          <cell r="AY370" t="str">
            <v>ГП</v>
          </cell>
          <cell r="AZ370">
            <v>1740.0000621090001</v>
          </cell>
          <cell r="BA370" t="str">
            <v>ГК89 1/8</v>
          </cell>
          <cell r="BB370">
            <v>2190.0000550780001</v>
          </cell>
          <cell r="BC370" t="str">
            <v>ЦКсОК 5/16</v>
          </cell>
          <cell r="BD370" t="str">
            <v>-</v>
          </cell>
          <cell r="BE370" t="str">
            <v>-</v>
          </cell>
          <cell r="BF370" t="str">
            <v>-</v>
          </cell>
          <cell r="BG370" t="str">
            <v>-</v>
          </cell>
          <cell r="BH370" t="str">
            <v>-</v>
          </cell>
          <cell r="BI370" t="str">
            <v>-</v>
          </cell>
        </row>
        <row r="371">
          <cell r="J371">
            <v>1409</v>
          </cell>
          <cell r="K371" t="str">
            <v>К-52</v>
          </cell>
          <cell r="L371">
            <v>43703</v>
          </cell>
          <cell r="M371" t="str">
            <v>Гор.</v>
          </cell>
          <cell r="N371" t="str">
            <v>Р4+5_Block3</v>
          </cell>
          <cell r="O371" t="str">
            <v>Действующий</v>
          </cell>
          <cell r="P371" t="str">
            <v>Остановлена</v>
          </cell>
          <cell r="Q371">
            <v>-4</v>
          </cell>
          <cell r="R371" t="str">
            <v xml:space="preserve"> </v>
          </cell>
          <cell r="S371" t="str">
            <v xml:space="preserve"> </v>
          </cell>
          <cell r="U371">
            <v>203</v>
          </cell>
          <cell r="V371">
            <v>218.2</v>
          </cell>
          <cell r="W371">
            <v>0.98</v>
          </cell>
          <cell r="X371">
            <v>1.66</v>
          </cell>
          <cell r="Y371">
            <v>0.98561205127024476</v>
          </cell>
          <cell r="Z371">
            <v>1.454</v>
          </cell>
          <cell r="AA371">
            <v>0.83599999999999997</v>
          </cell>
          <cell r="AB371">
            <v>0.72</v>
          </cell>
          <cell r="AC371">
            <v>34.299999999999997</v>
          </cell>
          <cell r="AD371">
            <v>1.17</v>
          </cell>
          <cell r="AE371">
            <v>177.8</v>
          </cell>
          <cell r="AF371">
            <v>9.19</v>
          </cell>
          <cell r="AG371">
            <v>2218.1</v>
          </cell>
          <cell r="AH371">
            <v>2925</v>
          </cell>
          <cell r="AI371">
            <v>2925</v>
          </cell>
          <cell r="AM371" t="str">
            <v>открытый</v>
          </cell>
          <cell r="AN371" t="str">
            <v>2340-2925</v>
          </cell>
          <cell r="AO371">
            <v>52</v>
          </cell>
          <cell r="AP371">
            <v>2340</v>
          </cell>
          <cell r="AQ371">
            <v>456</v>
          </cell>
          <cell r="AU371" t="str">
            <v>Газлифт</v>
          </cell>
          <cell r="AV371">
            <v>479.99998505899998</v>
          </cell>
          <cell r="AW371" t="str">
            <v>ГП</v>
          </cell>
          <cell r="AX371">
            <v>915.00000058600006</v>
          </cell>
          <cell r="AY371" t="str">
            <v>ГП</v>
          </cell>
          <cell r="AZ371">
            <v>1299.9999796879999</v>
          </cell>
          <cell r="BA371" t="str">
            <v>ГК 84 1/8</v>
          </cell>
          <cell r="BB371">
            <v>1599.9999749999999</v>
          </cell>
          <cell r="BC371" t="str">
            <v>ГК 83 1/8</v>
          </cell>
          <cell r="BD371">
            <v>1824.9999714840001</v>
          </cell>
          <cell r="BE371" t="str">
            <v>ГК 82 5/32</v>
          </cell>
          <cell r="BF371">
            <v>2030</v>
          </cell>
          <cell r="BG371" t="str">
            <v>ЦКсОК 5/16</v>
          </cell>
          <cell r="BH371">
            <v>2040</v>
          </cell>
          <cell r="BI371" t="str">
            <v>закрыт</v>
          </cell>
        </row>
        <row r="372">
          <cell r="J372">
            <v>1412</v>
          </cell>
          <cell r="K372" t="str">
            <v>К-1412</v>
          </cell>
          <cell r="L372">
            <v>44062</v>
          </cell>
          <cell r="M372" t="str">
            <v>Гор.</v>
          </cell>
          <cell r="N372" t="str">
            <v>Р4+5+6_Block2</v>
          </cell>
          <cell r="O372" t="str">
            <v>Действующий</v>
          </cell>
          <cell r="P372" t="str">
            <v>Остановлена</v>
          </cell>
          <cell r="Q372">
            <v>-4</v>
          </cell>
          <cell r="R372" t="str">
            <v xml:space="preserve"> </v>
          </cell>
          <cell r="S372" t="str">
            <v xml:space="preserve"> </v>
          </cell>
          <cell r="U372">
            <v>203</v>
          </cell>
          <cell r="V372">
            <v>218.2</v>
          </cell>
          <cell r="W372">
            <v>0.98</v>
          </cell>
          <cell r="X372">
            <v>1.66</v>
          </cell>
          <cell r="Y372">
            <v>0.9807231356132472</v>
          </cell>
          <cell r="Z372">
            <v>1.454</v>
          </cell>
          <cell r="AA372">
            <v>0.83599999999999997</v>
          </cell>
          <cell r="AB372">
            <v>0.72</v>
          </cell>
          <cell r="AC372">
            <v>34.299999999999997</v>
          </cell>
          <cell r="AD372">
            <v>1.17</v>
          </cell>
          <cell r="AE372">
            <v>177.8</v>
          </cell>
          <cell r="AF372">
            <v>9.19</v>
          </cell>
          <cell r="AG372">
            <v>2252</v>
          </cell>
          <cell r="AH372">
            <v>2969</v>
          </cell>
          <cell r="AI372">
            <v>2969</v>
          </cell>
          <cell r="AM372" t="str">
            <v>открытый</v>
          </cell>
          <cell r="AN372" t="str">
            <v>2252-2969</v>
          </cell>
          <cell r="AO372">
            <v>58</v>
          </cell>
          <cell r="AP372">
            <v>2252</v>
          </cell>
          <cell r="AQ372">
            <v>355</v>
          </cell>
          <cell r="AU372" t="str">
            <v>Газлифт</v>
          </cell>
          <cell r="AV372">
            <v>583.99999980500002</v>
          </cell>
          <cell r="AW372" t="str">
            <v>ГК83 1/8</v>
          </cell>
          <cell r="AX372">
            <v>1153.0000593750001</v>
          </cell>
          <cell r="AY372" t="str">
            <v>ГК83 1/8</v>
          </cell>
          <cell r="AZ372">
            <v>1605.9999808590001</v>
          </cell>
          <cell r="BA372" t="str">
            <v>ГК83 1/8</v>
          </cell>
          <cell r="BB372">
            <v>1923.0000175780001</v>
          </cell>
          <cell r="BC372" t="str">
            <v>ГК83 1/8</v>
          </cell>
          <cell r="BD372">
            <v>2079.9999972659998</v>
          </cell>
          <cell r="BE372" t="str">
            <v>ЦКсОК 5/16</v>
          </cell>
          <cell r="BF372" t="str">
            <v>-</v>
          </cell>
          <cell r="BG372" t="str">
            <v>-</v>
          </cell>
          <cell r="BH372" t="str">
            <v>-</v>
          </cell>
          <cell r="BI372" t="str">
            <v>-</v>
          </cell>
        </row>
        <row r="373">
          <cell r="J373">
            <v>1413</v>
          </cell>
          <cell r="K373" t="str">
            <v>К-22</v>
          </cell>
          <cell r="L373">
            <v>43621</v>
          </cell>
          <cell r="M373" t="str">
            <v>Гор.</v>
          </cell>
          <cell r="N373" t="str">
            <v>P4+5+6_Block1_yug</v>
          </cell>
          <cell r="O373" t="str">
            <v>Действующий</v>
          </cell>
          <cell r="P373" t="str">
            <v>В работе</v>
          </cell>
          <cell r="Q373">
            <v>-4</v>
          </cell>
          <cell r="U373">
            <v>203</v>
          </cell>
          <cell r="V373">
            <v>218.2</v>
          </cell>
          <cell r="W373">
            <v>0.98</v>
          </cell>
          <cell r="X373">
            <v>1.66</v>
          </cell>
          <cell r="Y373">
            <v>0.98</v>
          </cell>
          <cell r="Z373">
            <v>1.454</v>
          </cell>
          <cell r="AA373">
            <v>0.83599999999999997</v>
          </cell>
          <cell r="AB373">
            <v>0.72</v>
          </cell>
          <cell r="AC373">
            <v>34.299999999999997</v>
          </cell>
          <cell r="AD373">
            <v>1.17</v>
          </cell>
          <cell r="AE373">
            <v>177.8</v>
          </cell>
          <cell r="AF373">
            <v>9.19</v>
          </cell>
          <cell r="AG373">
            <v>1970</v>
          </cell>
          <cell r="AH373">
            <v>3650</v>
          </cell>
          <cell r="AI373">
            <v>3650</v>
          </cell>
          <cell r="AM373" t="str">
            <v>закрытый</v>
          </cell>
          <cell r="AN373" t="str">
            <v>2986,28-2985,08; 3090,11-3088,91; 3185,04-3183,84; 3281,52-3280,32; 3389,51-3388,31;3484,4-3483,2;3590,76-3589,56</v>
          </cell>
          <cell r="AO373">
            <v>317</v>
          </cell>
          <cell r="AP373">
            <v>2986.28</v>
          </cell>
          <cell r="AQ373">
            <v>1244.2222838847401</v>
          </cell>
          <cell r="AR373" t="str">
            <v>2777-3639</v>
          </cell>
          <cell r="AS373">
            <v>114</v>
          </cell>
          <cell r="AT373">
            <v>7.37</v>
          </cell>
          <cell r="AU373" t="str">
            <v>Газлифт</v>
          </cell>
          <cell r="AV373">
            <v>529.99998427699995</v>
          </cell>
          <cell r="AW373" t="str">
            <v>ГП</v>
          </cell>
          <cell r="AX373">
            <v>999.99998437500005</v>
          </cell>
          <cell r="AY373" t="str">
            <v>ГК76 1/8</v>
          </cell>
          <cell r="AZ373">
            <v>1399.9999781250001</v>
          </cell>
          <cell r="BA373" t="str">
            <v>ГК75 1/8</v>
          </cell>
          <cell r="BB373">
            <v>1730.000002734</v>
          </cell>
          <cell r="BC373" t="str">
            <v>ГК74 5/32</v>
          </cell>
          <cell r="BD373">
            <v>2029.999998047</v>
          </cell>
          <cell r="BE373" t="str">
            <v>ЦКсОК 5/16</v>
          </cell>
          <cell r="BF373" t="str">
            <v>-</v>
          </cell>
          <cell r="BG373" t="str">
            <v>-</v>
          </cell>
          <cell r="BH373" t="str">
            <v>-</v>
          </cell>
          <cell r="BI373" t="str">
            <v>-</v>
          </cell>
        </row>
        <row r="374">
          <cell r="J374">
            <v>1415</v>
          </cell>
          <cell r="K374" t="str">
            <v>К-53</v>
          </cell>
          <cell r="L374">
            <v>42260</v>
          </cell>
          <cell r="M374" t="str">
            <v>Гор.</v>
          </cell>
          <cell r="N374" t="str">
            <v>Р4+5_Block3, P5i</v>
          </cell>
          <cell r="O374" t="str">
            <v>Действующий</v>
          </cell>
          <cell r="P374" t="str">
            <v>Остановлена</v>
          </cell>
          <cell r="Q374">
            <v>-4</v>
          </cell>
          <cell r="U374">
            <v>203</v>
          </cell>
          <cell r="V374">
            <v>218.2</v>
          </cell>
          <cell r="W374">
            <v>0.98</v>
          </cell>
          <cell r="X374">
            <v>1.66</v>
          </cell>
          <cell r="Y374">
            <v>0.98</v>
          </cell>
          <cell r="Z374">
            <v>1.454</v>
          </cell>
          <cell r="AA374">
            <v>0.83599999999999997</v>
          </cell>
          <cell r="AB374">
            <v>0.72</v>
          </cell>
          <cell r="AC374">
            <v>34.299999999999997</v>
          </cell>
          <cell r="AD374">
            <v>1.17</v>
          </cell>
          <cell r="AE374" t="str">
            <v>177,8/114,3</v>
          </cell>
          <cell r="AF374">
            <v>9.19</v>
          </cell>
          <cell r="AG374">
            <v>2239</v>
          </cell>
          <cell r="AH374">
            <v>2785</v>
          </cell>
          <cell r="AI374">
            <v>2785</v>
          </cell>
          <cell r="AJ374">
            <v>43058</v>
          </cell>
          <cell r="AK374" t="str">
            <v>По спущенной компановке</v>
          </cell>
          <cell r="AM374" t="str">
            <v>открытый</v>
          </cell>
          <cell r="AN374" t="str">
            <v>2094,23-2785</v>
          </cell>
          <cell r="AO374">
            <v>72.16</v>
          </cell>
          <cell r="AP374">
            <v>2094.23</v>
          </cell>
          <cell r="AQ374">
            <v>192.23</v>
          </cell>
          <cell r="AR374" t="str">
            <v>1787,61-2094,23</v>
          </cell>
          <cell r="AS374">
            <v>114</v>
          </cell>
          <cell r="AT374">
            <v>7.37</v>
          </cell>
          <cell r="AU374" t="str">
            <v>Фон.</v>
          </cell>
          <cell r="AV374">
            <v>560</v>
          </cell>
          <cell r="AW374" t="str">
            <v>ГП</v>
          </cell>
          <cell r="AX374">
            <v>1020</v>
          </cell>
          <cell r="AY374" t="str">
            <v>ГК 87 1/8</v>
          </cell>
          <cell r="AZ374">
            <v>1390</v>
          </cell>
          <cell r="BA374" t="str">
            <v>ГК 70 1/8</v>
          </cell>
          <cell r="BB374">
            <v>1700</v>
          </cell>
          <cell r="BC374" t="str">
            <v>ЦКсОК 5/16</v>
          </cell>
          <cell r="BD374" t="str">
            <v>-</v>
          </cell>
          <cell r="BE374" t="str">
            <v>-</v>
          </cell>
          <cell r="BF374" t="str">
            <v>-</v>
          </cell>
          <cell r="BG374" t="str">
            <v>-</v>
          </cell>
          <cell r="BH374">
            <v>1760</v>
          </cell>
          <cell r="BI374" t="str">
            <v>открыт</v>
          </cell>
        </row>
        <row r="375">
          <cell r="J375">
            <v>1416</v>
          </cell>
          <cell r="K375" t="str">
            <v>К-1599</v>
          </cell>
          <cell r="L375">
            <v>43496</v>
          </cell>
          <cell r="M375" t="str">
            <v>Гор.</v>
          </cell>
          <cell r="N375" t="str">
            <v>Р4+5_Block3, P5i</v>
          </cell>
          <cell r="O375" t="str">
            <v>Действующий</v>
          </cell>
          <cell r="P375" t="str">
            <v>В работе</v>
          </cell>
          <cell r="Q375">
            <v>-4</v>
          </cell>
          <cell r="U375">
            <v>203</v>
          </cell>
          <cell r="V375">
            <v>218.2</v>
          </cell>
          <cell r="W375">
            <v>0.98</v>
          </cell>
          <cell r="X375">
            <v>1.66</v>
          </cell>
          <cell r="Y375">
            <v>1.1173076923076921</v>
          </cell>
          <cell r="Z375">
            <v>1.454</v>
          </cell>
          <cell r="AA375">
            <v>0.83599999999999997</v>
          </cell>
          <cell r="AB375">
            <v>0.72</v>
          </cell>
          <cell r="AC375">
            <v>34.299999999999997</v>
          </cell>
          <cell r="AD375">
            <v>1.17</v>
          </cell>
          <cell r="AE375">
            <v>177.8</v>
          </cell>
          <cell r="AF375">
            <v>9.19</v>
          </cell>
          <cell r="AG375">
            <v>2209.34</v>
          </cell>
          <cell r="AH375">
            <v>2951</v>
          </cell>
          <cell r="AI375">
            <v>2951</v>
          </cell>
          <cell r="AM375" t="str">
            <v>открытый</v>
          </cell>
          <cell r="AN375" t="str">
            <v>2209-2951</v>
          </cell>
          <cell r="AO375">
            <v>37.159999999999997</v>
          </cell>
          <cell r="AP375">
            <v>2209</v>
          </cell>
          <cell r="AQ375">
            <v>331.51707774798933</v>
          </cell>
          <cell r="AU375" t="str">
            <v>Газлифт</v>
          </cell>
          <cell r="AV375">
            <v>549.99999140600005</v>
          </cell>
          <cell r="AW375" t="str">
            <v>ГП</v>
          </cell>
          <cell r="AX375">
            <v>980.00001445299995</v>
          </cell>
          <cell r="AY375" t="str">
            <v>ГК 89 1/8</v>
          </cell>
          <cell r="AZ375">
            <v>1310.000039063</v>
          </cell>
          <cell r="BA375" t="str">
            <v>ГК 90 1/8</v>
          </cell>
          <cell r="BB375">
            <v>1574.9999753909999</v>
          </cell>
          <cell r="BC375" t="str">
            <v>ГК 90 1/8</v>
          </cell>
          <cell r="BD375">
            <v>1910.000029688</v>
          </cell>
          <cell r="BE375" t="str">
            <v>ЦКсОК 5/16</v>
          </cell>
          <cell r="BF375" t="str">
            <v>-</v>
          </cell>
          <cell r="BG375" t="str">
            <v>-</v>
          </cell>
          <cell r="BH375">
            <v>1920</v>
          </cell>
          <cell r="BI375" t="str">
            <v>закрыт</v>
          </cell>
        </row>
        <row r="376">
          <cell r="J376">
            <v>1418</v>
          </cell>
          <cell r="K376" t="str">
            <v>К-1412</v>
          </cell>
          <cell r="L376">
            <v>44076</v>
          </cell>
          <cell r="M376" t="str">
            <v>Гор.</v>
          </cell>
          <cell r="N376" t="str">
            <v>Р4+5_Block3</v>
          </cell>
          <cell r="O376" t="str">
            <v>Действующий</v>
          </cell>
          <cell r="P376" t="str">
            <v>В работе</v>
          </cell>
          <cell r="Q376">
            <v>-4</v>
          </cell>
          <cell r="U376">
            <v>203</v>
          </cell>
          <cell r="V376">
            <v>218.2</v>
          </cell>
          <cell r="W376">
            <v>0.98</v>
          </cell>
          <cell r="X376">
            <v>1.66</v>
          </cell>
          <cell r="Y376">
            <v>0.98176955090138351</v>
          </cell>
          <cell r="Z376">
            <v>1.454</v>
          </cell>
          <cell r="AA376">
            <v>0.83599999999999997</v>
          </cell>
          <cell r="AB376">
            <v>0.72</v>
          </cell>
          <cell r="AC376">
            <v>34.299999999999997</v>
          </cell>
          <cell r="AD376">
            <v>1.17</v>
          </cell>
          <cell r="AE376">
            <v>177.8</v>
          </cell>
          <cell r="AF376">
            <v>9.19</v>
          </cell>
          <cell r="AG376">
            <v>2498</v>
          </cell>
          <cell r="AH376">
            <v>3513</v>
          </cell>
          <cell r="AI376">
            <v>3513</v>
          </cell>
          <cell r="AM376" t="str">
            <v>открытый</v>
          </cell>
          <cell r="AN376" t="str">
            <v>2498-3513</v>
          </cell>
          <cell r="AO376">
            <v>43.86</v>
          </cell>
          <cell r="AP376">
            <v>2498</v>
          </cell>
          <cell r="AQ376">
            <v>614.14999999999986</v>
          </cell>
          <cell r="AU376" t="str">
            <v>Газлифт</v>
          </cell>
          <cell r="AV376">
            <v>607.99998603500001</v>
          </cell>
          <cell r="AW376" t="str">
            <v>ГП</v>
          </cell>
          <cell r="AX376">
            <v>1195.000025977</v>
          </cell>
          <cell r="AY376" t="str">
            <v>ГК80 1/8</v>
          </cell>
          <cell r="AZ376">
            <v>1648.0000218749999</v>
          </cell>
          <cell r="BA376" t="str">
            <v>ГК80 1/8</v>
          </cell>
          <cell r="BB376">
            <v>2004.9999984379999</v>
          </cell>
          <cell r="BC376" t="str">
            <v>ГК79 1/8</v>
          </cell>
          <cell r="BD376">
            <v>2130.999972656</v>
          </cell>
          <cell r="BE376" t="str">
            <v>ЦКсОК 5/16</v>
          </cell>
          <cell r="BF376" t="str">
            <v>-</v>
          </cell>
          <cell r="BG376" t="str">
            <v>-</v>
          </cell>
          <cell r="BH376" t="str">
            <v>-</v>
          </cell>
          <cell r="BI376" t="str">
            <v>-</v>
          </cell>
        </row>
        <row r="377">
          <cell r="J377">
            <v>1419</v>
          </cell>
          <cell r="K377" t="str">
            <v>К-53</v>
          </cell>
          <cell r="L377">
            <v>42262</v>
          </cell>
          <cell r="M377" t="str">
            <v>Гор.</v>
          </cell>
          <cell r="N377" t="str">
            <v>Р4+5_Block3, P5i</v>
          </cell>
          <cell r="O377" t="str">
            <v>Действующий</v>
          </cell>
          <cell r="P377" t="str">
            <v>Остановлена</v>
          </cell>
          <cell r="Q377">
            <v>-4</v>
          </cell>
          <cell r="U377">
            <v>203</v>
          </cell>
          <cell r="V377">
            <v>218.2</v>
          </cell>
          <cell r="W377">
            <v>0.98</v>
          </cell>
          <cell r="X377">
            <v>1.66</v>
          </cell>
          <cell r="Y377">
            <v>0.99219321785801406</v>
          </cell>
          <cell r="Z377">
            <v>1.454</v>
          </cell>
          <cell r="AA377">
            <v>0.83599999999999997</v>
          </cell>
          <cell r="AB377">
            <v>0.72</v>
          </cell>
          <cell r="AC377">
            <v>34.299999999999997</v>
          </cell>
          <cell r="AD377">
            <v>1.17</v>
          </cell>
          <cell r="AE377">
            <v>177.8</v>
          </cell>
          <cell r="AF377">
            <v>9.19</v>
          </cell>
          <cell r="AG377">
            <v>2238</v>
          </cell>
          <cell r="AH377">
            <v>3086</v>
          </cell>
          <cell r="AI377">
            <v>3086</v>
          </cell>
          <cell r="AM377" t="str">
            <v>открытый</v>
          </cell>
          <cell r="AN377" t="str">
            <v>2380-3086</v>
          </cell>
          <cell r="AO377">
            <v>56.78</v>
          </cell>
          <cell r="AP377">
            <v>2380</v>
          </cell>
          <cell r="AQ377">
            <v>486.4</v>
          </cell>
          <cell r="AR377" t="str">
            <v>2082-2380</v>
          </cell>
          <cell r="AS377">
            <v>114</v>
          </cell>
          <cell r="AT377">
            <v>7.37</v>
          </cell>
          <cell r="AU377" t="str">
            <v>Фон.</v>
          </cell>
          <cell r="AV377">
            <v>440</v>
          </cell>
          <cell r="AW377" t="str">
            <v>ГП</v>
          </cell>
          <cell r="AX377">
            <v>815</v>
          </cell>
          <cell r="AY377" t="str">
            <v>ГП</v>
          </cell>
          <cell r="AZ377">
            <v>1175</v>
          </cell>
          <cell r="BA377" t="str">
            <v>ГК 50/1,5</v>
          </cell>
          <cell r="BB377">
            <v>1510</v>
          </cell>
          <cell r="BC377" t="str">
            <v>ЦКсОК 5/16</v>
          </cell>
          <cell r="BD377" t="str">
            <v>-</v>
          </cell>
          <cell r="BE377" t="str">
            <v>-</v>
          </cell>
          <cell r="BF377" t="str">
            <v>-</v>
          </cell>
          <cell r="BG377" t="str">
            <v>-</v>
          </cell>
          <cell r="BH377" t="str">
            <v>-</v>
          </cell>
          <cell r="BI377" t="str">
            <v>-</v>
          </cell>
        </row>
        <row r="378">
          <cell r="J378">
            <v>1420</v>
          </cell>
          <cell r="K378" t="str">
            <v>К-1420</v>
          </cell>
          <cell r="L378">
            <v>44118</v>
          </cell>
          <cell r="M378" t="str">
            <v>Гор.</v>
          </cell>
          <cell r="N378" t="str">
            <v>Р4+5_Block3</v>
          </cell>
          <cell r="O378" t="str">
            <v>Действующий</v>
          </cell>
          <cell r="P378" t="str">
            <v>В работе</v>
          </cell>
          <cell r="Q378">
            <v>-4</v>
          </cell>
          <cell r="U378">
            <v>203</v>
          </cell>
          <cell r="V378">
            <v>218.2</v>
          </cell>
          <cell r="W378">
            <v>0.98</v>
          </cell>
          <cell r="X378">
            <v>1.66</v>
          </cell>
          <cell r="Y378">
            <v>0.98544965532280904</v>
          </cell>
          <cell r="Z378">
            <v>1.454</v>
          </cell>
          <cell r="AA378">
            <v>0.83599999999999997</v>
          </cell>
          <cell r="AB378">
            <v>0.72</v>
          </cell>
          <cell r="AC378">
            <v>34.299999999999997</v>
          </cell>
          <cell r="AD378">
            <v>1.17</v>
          </cell>
          <cell r="AE378">
            <v>177.8</v>
          </cell>
          <cell r="AF378">
            <v>9.19</v>
          </cell>
          <cell r="AG378">
            <v>2197.5</v>
          </cell>
          <cell r="AH378">
            <v>3020</v>
          </cell>
          <cell r="AI378">
            <v>3020</v>
          </cell>
          <cell r="AM378" t="str">
            <v>открытый</v>
          </cell>
          <cell r="AN378" t="str">
            <v>2247-3020</v>
          </cell>
          <cell r="AO378">
            <v>14</v>
          </cell>
          <cell r="AP378">
            <v>2347</v>
          </cell>
          <cell r="AQ378">
            <v>321</v>
          </cell>
          <cell r="AU378" t="str">
            <v>Газлифт</v>
          </cell>
          <cell r="AV378">
            <v>460.00001513699999</v>
          </cell>
          <cell r="AW378" t="str">
            <v>ГП</v>
          </cell>
          <cell r="AX378">
            <v>899.99998593800001</v>
          </cell>
          <cell r="AY378" t="str">
            <v>ГП</v>
          </cell>
          <cell r="AZ378">
            <v>1220.000025586</v>
          </cell>
          <cell r="BA378" t="str">
            <v>ГП</v>
          </cell>
          <cell r="BB378">
            <v>1469.9999472659999</v>
          </cell>
          <cell r="BC378" t="str">
            <v>ГК86 1/8</v>
          </cell>
          <cell r="BD378">
            <v>1649.999974219</v>
          </cell>
          <cell r="BE378" t="str">
            <v>ГК85 5/32</v>
          </cell>
          <cell r="BF378">
            <v>1890</v>
          </cell>
          <cell r="BG378" t="str">
            <v>ЦКсОК 5/16</v>
          </cell>
          <cell r="BH378" t="str">
            <v>-</v>
          </cell>
          <cell r="BI378" t="str">
            <v>-</v>
          </cell>
        </row>
        <row r="379">
          <cell r="J379">
            <v>1421</v>
          </cell>
          <cell r="K379" t="str">
            <v>К-14</v>
          </cell>
          <cell r="L379">
            <v>43635</v>
          </cell>
          <cell r="M379" t="str">
            <v>Гор.</v>
          </cell>
          <cell r="N379" t="str">
            <v>P4+5+6_Block1_yug</v>
          </cell>
          <cell r="O379" t="str">
            <v>Действующий</v>
          </cell>
          <cell r="P379" t="str">
            <v>В работе</v>
          </cell>
          <cell r="Q379">
            <v>-4</v>
          </cell>
          <cell r="U379">
            <v>203</v>
          </cell>
          <cell r="V379">
            <v>218.2</v>
          </cell>
          <cell r="W379">
            <v>0.98</v>
          </cell>
          <cell r="X379">
            <v>1.66</v>
          </cell>
          <cell r="Y379">
            <v>0.98</v>
          </cell>
          <cell r="Z379">
            <v>1.454</v>
          </cell>
          <cell r="AA379">
            <v>0.83599999999999997</v>
          </cell>
          <cell r="AB379">
            <v>0.72</v>
          </cell>
          <cell r="AC379">
            <v>34.299999999999997</v>
          </cell>
          <cell r="AD379">
            <v>1.17</v>
          </cell>
          <cell r="AE379">
            <v>177.8</v>
          </cell>
          <cell r="AF379">
            <v>9.19</v>
          </cell>
          <cell r="AG379">
            <v>2311.5700000000002</v>
          </cell>
          <cell r="AH379">
            <v>2940</v>
          </cell>
          <cell r="AI379">
            <v>2940</v>
          </cell>
          <cell r="AM379" t="str">
            <v>закрытый</v>
          </cell>
          <cell r="AN379" t="str">
            <v>2381,81-2382,78; 2476,78-2477,75; 2617,81-2618,78; 2784,51-2785,48; 2915,31-2916,45;</v>
          </cell>
          <cell r="AO379">
            <v>192.58</v>
          </cell>
          <cell r="AP379">
            <v>2381.81</v>
          </cell>
          <cell r="AQ379">
            <v>514</v>
          </cell>
          <cell r="AR379" t="str">
            <v>2228-2940</v>
          </cell>
          <cell r="AS379">
            <v>114</v>
          </cell>
          <cell r="AT379">
            <v>7.37</v>
          </cell>
          <cell r="AU379" t="str">
            <v>Газлифт</v>
          </cell>
          <cell r="AV379">
            <v>429.99998584000002</v>
          </cell>
          <cell r="AW379" t="str">
            <v>ГП</v>
          </cell>
          <cell r="AX379">
            <v>870.00003105500002</v>
          </cell>
          <cell r="AY379" t="str">
            <v>ГП</v>
          </cell>
          <cell r="AZ379">
            <v>1319.9999496089999</v>
          </cell>
          <cell r="BA379" t="str">
            <v>ГК80 1/8</v>
          </cell>
          <cell r="BB379">
            <v>1619.9999449219999</v>
          </cell>
          <cell r="BC379" t="str">
            <v>ГК79 5/32</v>
          </cell>
          <cell r="BD379">
            <v>1830.0000011720001</v>
          </cell>
          <cell r="BE379" t="str">
            <v>ЦКсОК 5/16</v>
          </cell>
          <cell r="BF379" t="str">
            <v>-</v>
          </cell>
          <cell r="BG379" t="str">
            <v>-</v>
          </cell>
          <cell r="BH379" t="str">
            <v>-</v>
          </cell>
          <cell r="BI379" t="str">
            <v>-</v>
          </cell>
        </row>
        <row r="380">
          <cell r="J380">
            <v>1423</v>
          </cell>
          <cell r="K380" t="str">
            <v>К-1587</v>
          </cell>
          <cell r="L380">
            <v>44074</v>
          </cell>
          <cell r="M380" t="str">
            <v>Гор.</v>
          </cell>
          <cell r="N380" t="str">
            <v>P4+5+6_Block1_yug</v>
          </cell>
          <cell r="O380" t="str">
            <v>Действующий</v>
          </cell>
          <cell r="P380" t="str">
            <v>В работе</v>
          </cell>
          <cell r="Q380">
            <v>-4</v>
          </cell>
          <cell r="U380">
            <v>203</v>
          </cell>
          <cell r="V380">
            <v>218.2</v>
          </cell>
          <cell r="W380">
            <v>0.98</v>
          </cell>
          <cell r="X380">
            <v>1.66</v>
          </cell>
          <cell r="Y380">
            <v>0.98605891623227049</v>
          </cell>
          <cell r="Z380">
            <v>1.454</v>
          </cell>
          <cell r="AA380">
            <v>0.83599999999999997</v>
          </cell>
          <cell r="AB380">
            <v>0.72</v>
          </cell>
          <cell r="AC380">
            <v>34.299999999999997</v>
          </cell>
          <cell r="AD380">
            <v>1.17</v>
          </cell>
          <cell r="AE380">
            <v>177.8</v>
          </cell>
          <cell r="AF380">
            <v>9.19</v>
          </cell>
          <cell r="AG380">
            <v>2300</v>
          </cell>
          <cell r="AH380">
            <v>2883</v>
          </cell>
          <cell r="AI380">
            <v>2883</v>
          </cell>
          <cell r="AM380" t="str">
            <v>закрытый</v>
          </cell>
          <cell r="AN380" t="str">
            <v>2329,01-2329,98; 2512,53-2513,5; 2671,48-2672,45; 2758,2-2759,17; 2869,07-2870,21</v>
          </cell>
          <cell r="AP380">
            <v>2329</v>
          </cell>
          <cell r="AQ380">
            <v>516.68000000000006</v>
          </cell>
          <cell r="AR380" t="str">
            <v>2216,37-2883</v>
          </cell>
          <cell r="AS380">
            <v>114</v>
          </cell>
          <cell r="AT380">
            <v>7.37</v>
          </cell>
          <cell r="AU380" t="str">
            <v>Газлифт</v>
          </cell>
          <cell r="AV380">
            <v>585.99998935500003</v>
          </cell>
          <cell r="AW380" t="str">
            <v>ГП</v>
          </cell>
          <cell r="AX380">
            <v>1126.0000330079999</v>
          </cell>
          <cell r="AY380" t="str">
            <v>ГК83 1/8</v>
          </cell>
          <cell r="AZ380">
            <v>1532.9999343750001</v>
          </cell>
          <cell r="BA380" t="str">
            <v>ГК82 1/8</v>
          </cell>
          <cell r="BB380">
            <v>1830.0000011720001</v>
          </cell>
          <cell r="BC380" t="str">
            <v>ЦКсОК 5/16</v>
          </cell>
          <cell r="BD380" t="str">
            <v>-</v>
          </cell>
          <cell r="BE380" t="str">
            <v>-</v>
          </cell>
          <cell r="BF380" t="str">
            <v>-</v>
          </cell>
          <cell r="BG380" t="str">
            <v>-</v>
          </cell>
          <cell r="BH380" t="str">
            <v>-</v>
          </cell>
          <cell r="BI380" t="str">
            <v>-</v>
          </cell>
        </row>
        <row r="381">
          <cell r="J381">
            <v>1424</v>
          </cell>
          <cell r="K381" t="str">
            <v>К-1601</v>
          </cell>
          <cell r="L381">
            <v>43932</v>
          </cell>
          <cell r="M381" t="str">
            <v>Гор.</v>
          </cell>
          <cell r="N381" t="str">
            <v>P4+5+6_Block1_yug</v>
          </cell>
          <cell r="O381" t="str">
            <v>Действующий</v>
          </cell>
          <cell r="P381" t="str">
            <v>В работе</v>
          </cell>
          <cell r="Q381">
            <v>-4</v>
          </cell>
          <cell r="U381">
            <v>203</v>
          </cell>
          <cell r="V381">
            <v>218.2</v>
          </cell>
          <cell r="W381">
            <v>0.98</v>
          </cell>
          <cell r="X381">
            <v>1.66</v>
          </cell>
          <cell r="Y381">
            <v>0.98605891623227049</v>
          </cell>
          <cell r="Z381">
            <v>1.454</v>
          </cell>
          <cell r="AA381">
            <v>0.83599999999999997</v>
          </cell>
          <cell r="AB381">
            <v>0.72</v>
          </cell>
          <cell r="AC381">
            <v>34.299999999999997</v>
          </cell>
          <cell r="AD381">
            <v>1.17</v>
          </cell>
          <cell r="AE381">
            <v>177.8</v>
          </cell>
          <cell r="AF381">
            <v>9.19</v>
          </cell>
          <cell r="AG381">
            <v>2356.5</v>
          </cell>
          <cell r="AH381">
            <v>3054.45</v>
          </cell>
          <cell r="AI381">
            <v>3054.45</v>
          </cell>
          <cell r="AM381" t="str">
            <v>закрытый</v>
          </cell>
          <cell r="AN381" t="str">
            <v>2419,03-2420,23; 2529,87-2531,07; 2688,77-2689,97; 2799,38-2800,58; 2908,49-2909,69; 3041,36-3042,56;</v>
          </cell>
          <cell r="AO381">
            <v>76.31</v>
          </cell>
          <cell r="AP381">
            <v>2419.0300000000002</v>
          </cell>
          <cell r="AQ381">
            <v>1810.1899999999998</v>
          </cell>
          <cell r="AR381" t="str">
            <v>2294,24-3055</v>
          </cell>
          <cell r="AS381">
            <v>114</v>
          </cell>
          <cell r="AT381">
            <v>7.37</v>
          </cell>
          <cell r="AU381" t="str">
            <v>Газлифт</v>
          </cell>
          <cell r="AV381">
            <v>530.00002148399994</v>
          </cell>
          <cell r="AW381" t="str">
            <v>ГП</v>
          </cell>
          <cell r="AX381">
            <v>1030.000013672</v>
          </cell>
          <cell r="AY381" t="str">
            <v>ГК79 1/8</v>
          </cell>
          <cell r="AZ381">
            <v>1440.000066797</v>
          </cell>
          <cell r="BA381" t="str">
            <v>ГК79 1/8</v>
          </cell>
          <cell r="BB381">
            <v>1780.000001953</v>
          </cell>
          <cell r="BC381" t="str">
            <v>ГК79 1/8</v>
          </cell>
          <cell r="BD381">
            <v>2090.0000566409999</v>
          </cell>
          <cell r="BE381" t="str">
            <v>ЦКсОК 5/16</v>
          </cell>
          <cell r="BF381" t="str">
            <v>-</v>
          </cell>
          <cell r="BG381" t="str">
            <v>-</v>
          </cell>
          <cell r="BH381" t="str">
            <v>-</v>
          </cell>
          <cell r="BI381" t="str">
            <v>-</v>
          </cell>
        </row>
        <row r="382">
          <cell r="J382">
            <v>1425</v>
          </cell>
          <cell r="K382" t="str">
            <v>К-1509</v>
          </cell>
          <cell r="L382">
            <v>43656</v>
          </cell>
          <cell r="M382" t="str">
            <v>Гор.</v>
          </cell>
          <cell r="N382" t="str">
            <v>P4+5+6_Block1_yug</v>
          </cell>
          <cell r="O382" t="str">
            <v>Действующий</v>
          </cell>
          <cell r="P382" t="str">
            <v>В работе</v>
          </cell>
          <cell r="Q382">
            <v>-4</v>
          </cell>
          <cell r="U382">
            <v>203</v>
          </cell>
          <cell r="V382">
            <v>218.2</v>
          </cell>
          <cell r="W382">
            <v>0.98</v>
          </cell>
          <cell r="X382">
            <v>1.66</v>
          </cell>
          <cell r="Y382">
            <v>0.98</v>
          </cell>
          <cell r="Z382">
            <v>1.454</v>
          </cell>
          <cell r="AA382">
            <v>0.83599999999999997</v>
          </cell>
          <cell r="AB382">
            <v>0.72</v>
          </cell>
          <cell r="AC382">
            <v>34.299999999999997</v>
          </cell>
          <cell r="AD382">
            <v>1.17</v>
          </cell>
          <cell r="AE382">
            <v>177.8</v>
          </cell>
          <cell r="AF382">
            <v>9.19</v>
          </cell>
          <cell r="AG382">
            <v>2179</v>
          </cell>
          <cell r="AH382">
            <v>2960</v>
          </cell>
          <cell r="AI382">
            <v>2960</v>
          </cell>
          <cell r="AM382" t="str">
            <v>закрытый</v>
          </cell>
          <cell r="AN382" t="str">
            <v>2347,18-2347,93; 2420,45-2421,2; 2528,13-2528,88;2729,75-2730,5;2838,45-2839,2;2934,87-2935,97</v>
          </cell>
          <cell r="AO382">
            <v>53.73</v>
          </cell>
          <cell r="AP382">
            <v>2347.1799999999998</v>
          </cell>
          <cell r="AQ382">
            <v>548.01</v>
          </cell>
          <cell r="AR382" t="str">
            <v>2071,7-2960</v>
          </cell>
          <cell r="AS382">
            <v>114</v>
          </cell>
          <cell r="AT382">
            <v>7.37</v>
          </cell>
          <cell r="AU382" t="str">
            <v>Газлифт</v>
          </cell>
          <cell r="AV382">
            <v>519.99999931599996</v>
          </cell>
          <cell r="AW382" t="str">
            <v>ГП</v>
          </cell>
          <cell r="AX382">
            <v>930.00001523399999</v>
          </cell>
          <cell r="AY382" t="str">
            <v>ГП</v>
          </cell>
          <cell r="AZ382">
            <v>1399.9999781250001</v>
          </cell>
          <cell r="BA382" t="str">
            <v>ГК86 1/8</v>
          </cell>
          <cell r="BB382">
            <v>1649.999974219</v>
          </cell>
          <cell r="BC382" t="str">
            <v>ГК85 1/8</v>
          </cell>
          <cell r="BD382">
            <v>1969.999939453</v>
          </cell>
          <cell r="BE382" t="str">
            <v>ЦКсОК 5/16</v>
          </cell>
          <cell r="BF382" t="str">
            <v>-</v>
          </cell>
          <cell r="BG382" t="str">
            <v>-</v>
          </cell>
          <cell r="BH382" t="str">
            <v>-</v>
          </cell>
          <cell r="BI382" t="str">
            <v>-</v>
          </cell>
        </row>
        <row r="383">
          <cell r="J383">
            <v>1426</v>
          </cell>
          <cell r="K383" t="str">
            <v>Без куста</v>
          </cell>
          <cell r="L383">
            <v>42759</v>
          </cell>
          <cell r="M383" t="str">
            <v>Гор.</v>
          </cell>
          <cell r="N383" t="str">
            <v>P4+5+6_Block1_yug</v>
          </cell>
          <cell r="O383" t="str">
            <v>Действующий</v>
          </cell>
          <cell r="P383" t="str">
            <v>В работе</v>
          </cell>
          <cell r="Q383">
            <v>-4</v>
          </cell>
          <cell r="U383">
            <v>203</v>
          </cell>
          <cell r="V383">
            <v>218.2</v>
          </cell>
          <cell r="W383">
            <v>0.98</v>
          </cell>
          <cell r="X383">
            <v>1.66</v>
          </cell>
          <cell r="Y383">
            <v>0.98</v>
          </cell>
          <cell r="Z383">
            <v>1.454</v>
          </cell>
          <cell r="AA383">
            <v>0.83599999999999997</v>
          </cell>
          <cell r="AB383">
            <v>0.72</v>
          </cell>
          <cell r="AC383">
            <v>34.299999999999997</v>
          </cell>
          <cell r="AD383">
            <v>1.17</v>
          </cell>
          <cell r="AE383">
            <v>177.8</v>
          </cell>
          <cell r="AF383">
            <v>9.19</v>
          </cell>
          <cell r="AG383">
            <v>2120</v>
          </cell>
          <cell r="AH383">
            <v>2770</v>
          </cell>
          <cell r="AI383">
            <v>2770</v>
          </cell>
          <cell r="AM383" t="str">
            <v>открытый</v>
          </cell>
          <cell r="AN383" t="str">
            <v>1988-2002, 2027-2038, 2055-2060, 2095-2100, 2104-2112; 2120-2770</v>
          </cell>
          <cell r="AO383">
            <v>51.4</v>
          </cell>
          <cell r="AP383">
            <v>1988</v>
          </cell>
          <cell r="AQ383">
            <v>214.3</v>
          </cell>
          <cell r="AU383" t="str">
            <v>Газлифт</v>
          </cell>
          <cell r="AV383">
            <v>600.15120000000002</v>
          </cell>
          <cell r="AW383" t="str">
            <v>ГП</v>
          </cell>
          <cell r="AX383">
            <v>1050.0360000000001</v>
          </cell>
          <cell r="AY383" t="str">
            <v>ГК82 1/8</v>
          </cell>
          <cell r="AZ383">
            <v>1470.0504000000001</v>
          </cell>
          <cell r="BA383" t="str">
            <v>ГК 83 5/32</v>
          </cell>
          <cell r="BB383">
            <v>1770</v>
          </cell>
          <cell r="BC383" t="str">
            <v>ЦКсОК 5/16</v>
          </cell>
          <cell r="BD383" t="str">
            <v>-</v>
          </cell>
          <cell r="BE383" t="str">
            <v>-</v>
          </cell>
          <cell r="BF383" t="str">
            <v>-</v>
          </cell>
          <cell r="BG383" t="str">
            <v>-</v>
          </cell>
          <cell r="BH383">
            <v>1780</v>
          </cell>
          <cell r="BI383" t="str">
            <v>закрыт</v>
          </cell>
        </row>
        <row r="384">
          <cell r="J384">
            <v>1427</v>
          </cell>
          <cell r="K384" t="str">
            <v>К-77</v>
          </cell>
          <cell r="L384">
            <v>42734</v>
          </cell>
          <cell r="M384" t="str">
            <v>Гор.</v>
          </cell>
          <cell r="N384" t="str">
            <v>P4+5+6_Block1_yug</v>
          </cell>
          <cell r="O384" t="str">
            <v>Действующий</v>
          </cell>
          <cell r="P384" t="str">
            <v>В работе</v>
          </cell>
          <cell r="Q384">
            <v>-4</v>
          </cell>
          <cell r="U384">
            <v>203</v>
          </cell>
          <cell r="V384">
            <v>218.2</v>
          </cell>
          <cell r="W384">
            <v>0.98</v>
          </cell>
          <cell r="X384">
            <v>1.66</v>
          </cell>
          <cell r="Y384">
            <v>0.98</v>
          </cell>
          <cell r="Z384">
            <v>1.454</v>
          </cell>
          <cell r="AA384">
            <v>0.83599999999999997</v>
          </cell>
          <cell r="AB384">
            <v>0.72</v>
          </cell>
          <cell r="AC384">
            <v>34.299999999999997</v>
          </cell>
          <cell r="AD384">
            <v>1.17</v>
          </cell>
          <cell r="AE384">
            <v>177.8</v>
          </cell>
          <cell r="AF384">
            <v>9.19</v>
          </cell>
          <cell r="AG384">
            <v>2106</v>
          </cell>
          <cell r="AH384">
            <v>2706</v>
          </cell>
          <cell r="AI384">
            <v>2706</v>
          </cell>
          <cell r="AM384" t="str">
            <v>открытый</v>
          </cell>
          <cell r="AN384" t="str">
            <v>2249-2858</v>
          </cell>
          <cell r="AO384">
            <v>22.98</v>
          </cell>
          <cell r="AP384">
            <v>2106</v>
          </cell>
          <cell r="AQ384">
            <v>416.6</v>
          </cell>
          <cell r="AU384" t="str">
            <v>Газлифт</v>
          </cell>
          <cell r="AV384">
            <v>499.99999218800002</v>
          </cell>
          <cell r="AW384" t="str">
            <v>ГП</v>
          </cell>
          <cell r="AX384">
            <v>899.99998593800001</v>
          </cell>
          <cell r="AY384" t="str">
            <v>ГП</v>
          </cell>
          <cell r="AZ384">
            <v>1220.000025586</v>
          </cell>
          <cell r="BA384" t="str">
            <v>ГП</v>
          </cell>
          <cell r="BB384">
            <v>1480.000006641</v>
          </cell>
          <cell r="BC384" t="str">
            <v>ГП</v>
          </cell>
          <cell r="BD384">
            <v>1749.999972656</v>
          </cell>
          <cell r="BE384" t="str">
            <v>ЦКсОК 5/16</v>
          </cell>
          <cell r="BF384" t="str">
            <v>-</v>
          </cell>
          <cell r="BG384" t="str">
            <v>-</v>
          </cell>
          <cell r="BH384">
            <v>1820</v>
          </cell>
          <cell r="BI384" t="str">
            <v>закрыт</v>
          </cell>
        </row>
        <row r="385">
          <cell r="J385">
            <v>1428</v>
          </cell>
          <cell r="K385" t="str">
            <v>К-1363</v>
          </cell>
          <cell r="L385">
            <v>44079</v>
          </cell>
          <cell r="M385" t="str">
            <v>Гор.</v>
          </cell>
          <cell r="N385" t="str">
            <v>P4+5+6_Block1_yug</v>
          </cell>
          <cell r="O385" t="str">
            <v>Действующий</v>
          </cell>
          <cell r="P385" t="str">
            <v>В работе</v>
          </cell>
          <cell r="Q385">
            <v>-4</v>
          </cell>
          <cell r="U385">
            <v>203</v>
          </cell>
          <cell r="V385">
            <v>218.2</v>
          </cell>
          <cell r="W385">
            <v>0.98</v>
          </cell>
          <cell r="X385">
            <v>1.66</v>
          </cell>
          <cell r="Y385">
            <v>0.98</v>
          </cell>
          <cell r="Z385">
            <v>1.454</v>
          </cell>
          <cell r="AA385">
            <v>0.83599999999999997</v>
          </cell>
          <cell r="AB385">
            <v>0.72</v>
          </cell>
          <cell r="AC385">
            <v>34.299999999999997</v>
          </cell>
          <cell r="AD385">
            <v>1.17</v>
          </cell>
          <cell r="AE385">
            <v>177.8</v>
          </cell>
          <cell r="AF385">
            <v>9.19</v>
          </cell>
          <cell r="AG385">
            <v>2209</v>
          </cell>
          <cell r="AH385">
            <v>2834</v>
          </cell>
          <cell r="AI385">
            <v>2834</v>
          </cell>
          <cell r="AM385" t="str">
            <v>открытый</v>
          </cell>
          <cell r="AN385" t="str">
            <v>2209-2834</v>
          </cell>
          <cell r="AO385">
            <v>30.54</v>
          </cell>
          <cell r="AP385">
            <v>2209</v>
          </cell>
          <cell r="AQ385">
            <v>401.17000000000007</v>
          </cell>
          <cell r="AU385" t="str">
            <v>Газлифт</v>
          </cell>
          <cell r="AV385">
            <v>554.00000771500004</v>
          </cell>
          <cell r="AW385" t="str">
            <v>ГП</v>
          </cell>
          <cell r="AX385">
            <v>1090.999974023</v>
          </cell>
          <cell r="AY385" t="str">
            <v>ГП</v>
          </cell>
          <cell r="AZ385">
            <v>1391.00004375</v>
          </cell>
          <cell r="BA385" t="str">
            <v>ГК77 1/8</v>
          </cell>
          <cell r="BB385">
            <v>1730.000002734</v>
          </cell>
          <cell r="BC385" t="str">
            <v>ЦКсОК 5/16</v>
          </cell>
          <cell r="BD385" t="str">
            <v>-</v>
          </cell>
          <cell r="BE385" t="str">
            <v>-</v>
          </cell>
          <cell r="BF385" t="str">
            <v>-</v>
          </cell>
          <cell r="BG385" t="str">
            <v>-</v>
          </cell>
          <cell r="BH385" t="str">
            <v>-</v>
          </cell>
          <cell r="BI385" t="str">
            <v>-</v>
          </cell>
        </row>
        <row r="386">
          <cell r="J386">
            <v>1429</v>
          </cell>
          <cell r="K386" t="str">
            <v>К-122</v>
          </cell>
          <cell r="L386">
            <v>43589</v>
          </cell>
          <cell r="M386" t="str">
            <v>Гор.</v>
          </cell>
          <cell r="N386" t="str">
            <v>P4+5+6_Block1_yug</v>
          </cell>
          <cell r="O386" t="str">
            <v>Действующий</v>
          </cell>
          <cell r="P386" t="str">
            <v>В работе</v>
          </cell>
          <cell r="Q386">
            <v>-4</v>
          </cell>
          <cell r="U386">
            <v>203</v>
          </cell>
          <cell r="V386">
            <v>218.2</v>
          </cell>
          <cell r="W386">
            <v>0.98</v>
          </cell>
          <cell r="X386">
            <v>1.66</v>
          </cell>
          <cell r="Y386">
            <v>1.0396216768916153</v>
          </cell>
          <cell r="Z386">
            <v>1.454</v>
          </cell>
          <cell r="AA386">
            <v>0.83599999999999997</v>
          </cell>
          <cell r="AB386">
            <v>0.72</v>
          </cell>
          <cell r="AC386">
            <v>34.299999999999997</v>
          </cell>
          <cell r="AD386">
            <v>1.17</v>
          </cell>
          <cell r="AE386">
            <v>177.8</v>
          </cell>
          <cell r="AF386">
            <v>9.19</v>
          </cell>
          <cell r="AG386">
            <v>2049.3000000000002</v>
          </cell>
          <cell r="AH386">
            <v>2755</v>
          </cell>
          <cell r="AI386">
            <v>2755</v>
          </cell>
          <cell r="AM386" t="str">
            <v>открытый</v>
          </cell>
          <cell r="AN386" t="str">
            <v>2049-2755</v>
          </cell>
          <cell r="AO386">
            <v>98.28</v>
          </cell>
          <cell r="AP386">
            <v>2019</v>
          </cell>
          <cell r="AQ386">
            <v>178.5</v>
          </cell>
          <cell r="AU386" t="str">
            <v>Газлифт</v>
          </cell>
          <cell r="AV386">
            <v>519.99999931599996</v>
          </cell>
          <cell r="AW386" t="str">
            <v>ГП</v>
          </cell>
          <cell r="AX386">
            <v>949.99998515599998</v>
          </cell>
          <cell r="AY386" t="str">
            <v>ГП</v>
          </cell>
          <cell r="AZ386">
            <v>1299.9999796879999</v>
          </cell>
          <cell r="BA386" t="str">
            <v>ГК74 1/8</v>
          </cell>
          <cell r="BB386">
            <v>1590.000064453</v>
          </cell>
          <cell r="BC386" t="str">
            <v>ГК 81 5/32</v>
          </cell>
          <cell r="BD386">
            <v>1760.000032031</v>
          </cell>
          <cell r="BE386" t="str">
            <v>ЦКсОК 5/16</v>
          </cell>
          <cell r="BF386" t="str">
            <v>-</v>
          </cell>
          <cell r="BG386" t="str">
            <v>-</v>
          </cell>
          <cell r="BH386">
            <v>1770</v>
          </cell>
          <cell r="BI386" t="str">
            <v>закрыт</v>
          </cell>
        </row>
        <row r="387">
          <cell r="J387">
            <v>1432</v>
          </cell>
          <cell r="K387" t="str">
            <v>К-1587</v>
          </cell>
          <cell r="L387">
            <v>43896</v>
          </cell>
          <cell r="M387" t="str">
            <v>Гор.</v>
          </cell>
          <cell r="N387" t="str">
            <v>P4+5+6_Block1_yug</v>
          </cell>
          <cell r="O387" t="str">
            <v>Действующий</v>
          </cell>
          <cell r="P387" t="str">
            <v>В работе</v>
          </cell>
          <cell r="Q387">
            <v>-4</v>
          </cell>
          <cell r="U387">
            <v>203</v>
          </cell>
          <cell r="V387">
            <v>218.2</v>
          </cell>
          <cell r="W387">
            <v>0.98</v>
          </cell>
          <cell r="X387">
            <v>1.66</v>
          </cell>
          <cell r="Y387">
            <v>0.99256370394414106</v>
          </cell>
          <cell r="Z387">
            <v>1.454</v>
          </cell>
          <cell r="AA387">
            <v>0.83599999999999997</v>
          </cell>
          <cell r="AB387">
            <v>0.72</v>
          </cell>
          <cell r="AC387">
            <v>34.299999999999997</v>
          </cell>
          <cell r="AD387">
            <v>1.17</v>
          </cell>
          <cell r="AE387">
            <v>177.8</v>
          </cell>
          <cell r="AF387">
            <v>9.19</v>
          </cell>
          <cell r="AG387">
            <v>2192</v>
          </cell>
          <cell r="AH387">
            <v>2821</v>
          </cell>
          <cell r="AI387">
            <v>2821</v>
          </cell>
          <cell r="AM387" t="str">
            <v>открытый</v>
          </cell>
          <cell r="AN387" t="str">
            <v>2192-2821</v>
          </cell>
          <cell r="AO387">
            <v>105.23</v>
          </cell>
          <cell r="AP387">
            <v>2192</v>
          </cell>
          <cell r="AQ387">
            <v>356.89</v>
          </cell>
          <cell r="AU387" t="str">
            <v>Газлифт</v>
          </cell>
          <cell r="AV387">
            <v>463.000018066</v>
          </cell>
          <cell r="AW387" t="str">
            <v>ГП</v>
          </cell>
          <cell r="AX387">
            <v>839.00002558599999</v>
          </cell>
          <cell r="AY387" t="str">
            <v>ГП</v>
          </cell>
          <cell r="AZ387">
            <v>1108.0000154300001</v>
          </cell>
          <cell r="BA387" t="str">
            <v>ГП</v>
          </cell>
          <cell r="BB387">
            <v>1340.0000683589999</v>
          </cell>
          <cell r="BC387" t="str">
            <v>ГК83 1/8</v>
          </cell>
          <cell r="BD387">
            <v>1600.0001238279999</v>
          </cell>
          <cell r="BE387" t="str">
            <v>ГК82 1/8</v>
          </cell>
          <cell r="BF387">
            <v>1740</v>
          </cell>
          <cell r="BG387" t="str">
            <v>ЦКсОК 5/16</v>
          </cell>
          <cell r="BH387">
            <v>1750</v>
          </cell>
          <cell r="BI387" t="str">
            <v xml:space="preserve">закрыт </v>
          </cell>
        </row>
        <row r="388">
          <cell r="J388">
            <v>1434</v>
          </cell>
          <cell r="K388" t="str">
            <v>К-77</v>
          </cell>
          <cell r="L388">
            <v>42686</v>
          </cell>
          <cell r="M388" t="str">
            <v>Гор.</v>
          </cell>
          <cell r="N388" t="str">
            <v>P4+5+6_Block1_yug</v>
          </cell>
          <cell r="O388" t="str">
            <v>Действующий</v>
          </cell>
          <cell r="P388" t="str">
            <v>В работе</v>
          </cell>
          <cell r="Q388">
            <v>-4</v>
          </cell>
          <cell r="U388">
            <v>203</v>
          </cell>
          <cell r="V388">
            <v>218.2</v>
          </cell>
          <cell r="W388">
            <v>0.98</v>
          </cell>
          <cell r="X388">
            <v>1.66</v>
          </cell>
          <cell r="Y388">
            <v>1.1069678824169842</v>
          </cell>
          <cell r="Z388">
            <v>1.454</v>
          </cell>
          <cell r="AA388">
            <v>0.83599999999999997</v>
          </cell>
          <cell r="AB388">
            <v>0.72</v>
          </cell>
          <cell r="AC388">
            <v>34.299999999999997</v>
          </cell>
          <cell r="AD388">
            <v>1.17</v>
          </cell>
          <cell r="AE388">
            <v>177.8</v>
          </cell>
          <cell r="AF388">
            <v>9.19</v>
          </cell>
          <cell r="AG388">
            <v>2101</v>
          </cell>
          <cell r="AH388">
            <v>2720</v>
          </cell>
          <cell r="AI388">
            <v>2720</v>
          </cell>
          <cell r="AM388" t="str">
            <v>открытый</v>
          </cell>
          <cell r="AN388" t="str">
            <v>2110-2720</v>
          </cell>
          <cell r="AO388">
            <v>7.34</v>
          </cell>
          <cell r="AP388">
            <v>2110</v>
          </cell>
          <cell r="AQ388">
            <v>270</v>
          </cell>
          <cell r="AU388" t="str">
            <v>Газлифт</v>
          </cell>
          <cell r="AV388">
            <v>462.000004687</v>
          </cell>
          <cell r="AW388" t="str">
            <v>ГП</v>
          </cell>
          <cell r="AX388">
            <v>881.99996835900004</v>
          </cell>
          <cell r="AY388" t="str">
            <v>ГП</v>
          </cell>
          <cell r="AZ388">
            <v>1239.999995508</v>
          </cell>
          <cell r="BA388" t="str">
            <v>ГК84 1/8</v>
          </cell>
          <cell r="BB388">
            <v>1534.0000593750001</v>
          </cell>
          <cell r="BC388" t="str">
            <v>ГК84 1/8</v>
          </cell>
          <cell r="BD388">
            <v>1743.9999667970001</v>
          </cell>
          <cell r="BE388" t="str">
            <v>ЦКсОК 5/16</v>
          </cell>
          <cell r="BF388" t="str">
            <v>-</v>
          </cell>
          <cell r="BG388" t="str">
            <v>-</v>
          </cell>
          <cell r="BH388">
            <v>1780</v>
          </cell>
          <cell r="BI388" t="str">
            <v xml:space="preserve">закрыт </v>
          </cell>
        </row>
        <row r="389">
          <cell r="J389">
            <v>1435</v>
          </cell>
          <cell r="K389" t="str">
            <v>Без куста</v>
          </cell>
          <cell r="L389">
            <v>42900</v>
          </cell>
          <cell r="M389" t="str">
            <v>Гор.</v>
          </cell>
          <cell r="N389" t="str">
            <v>P4+5+6_Block1_yug</v>
          </cell>
          <cell r="O389" t="str">
            <v>Действующий</v>
          </cell>
          <cell r="P389" t="str">
            <v>Остановлена</v>
          </cell>
          <cell r="Q389">
            <v>-4</v>
          </cell>
          <cell r="U389">
            <v>203</v>
          </cell>
          <cell r="V389">
            <v>218.2</v>
          </cell>
          <cell r="W389">
            <v>0.98</v>
          </cell>
          <cell r="X389">
            <v>1.66</v>
          </cell>
          <cell r="Y389">
            <v>1.0918120805369127</v>
          </cell>
          <cell r="Z389">
            <v>1.454</v>
          </cell>
          <cell r="AA389">
            <v>0.83599999999999997</v>
          </cell>
          <cell r="AB389">
            <v>0.72</v>
          </cell>
          <cell r="AC389">
            <v>34.299999999999997</v>
          </cell>
          <cell r="AD389">
            <v>1.17</v>
          </cell>
          <cell r="AE389">
            <v>177.8</v>
          </cell>
          <cell r="AF389">
            <v>9.19</v>
          </cell>
          <cell r="AG389">
            <v>2082</v>
          </cell>
          <cell r="AH389" t="str">
            <v>1 ств 2554
2 ств 2442</v>
          </cell>
          <cell r="AI389" t="str">
            <v>1 ств 2554
2 ств 2442</v>
          </cell>
          <cell r="AM389" t="str">
            <v>открытый</v>
          </cell>
          <cell r="AN389" t="str">
            <v xml:space="preserve">2022-2034, 2042-2052; 2082-2554, 2092-2442 </v>
          </cell>
          <cell r="AO389">
            <v>29.35</v>
          </cell>
          <cell r="AP389">
            <v>2022</v>
          </cell>
          <cell r="AQ389">
            <v>211.6</v>
          </cell>
          <cell r="AU389" t="str">
            <v>ЭЦН</v>
          </cell>
          <cell r="AV389">
            <v>300</v>
          </cell>
          <cell r="AW389" t="str">
            <v>ГП</v>
          </cell>
          <cell r="AX389" t="str">
            <v>-</v>
          </cell>
          <cell r="AY389" t="str">
            <v>-</v>
          </cell>
          <cell r="AZ389" t="str">
            <v>-</v>
          </cell>
          <cell r="BA389" t="str">
            <v>-</v>
          </cell>
          <cell r="BB389" t="str">
            <v>-</v>
          </cell>
          <cell r="BC389" t="str">
            <v>-</v>
          </cell>
          <cell r="BD389" t="str">
            <v>-</v>
          </cell>
          <cell r="BE389" t="str">
            <v>-</v>
          </cell>
          <cell r="BF389" t="str">
            <v>-</v>
          </cell>
          <cell r="BG389" t="str">
            <v>-</v>
          </cell>
          <cell r="BH389">
            <v>1810</v>
          </cell>
          <cell r="BI389" t="str">
            <v>закрыт</v>
          </cell>
          <cell r="BK389" t="str">
            <v>D1050N</v>
          </cell>
          <cell r="BM389">
            <v>1338</v>
          </cell>
          <cell r="BN389">
            <v>57</v>
          </cell>
          <cell r="BO389">
            <v>80</v>
          </cell>
        </row>
        <row r="390">
          <cell r="J390">
            <v>1436</v>
          </cell>
          <cell r="K390" t="str">
            <v>К-122</v>
          </cell>
          <cell r="L390">
            <v>43557</v>
          </cell>
          <cell r="M390" t="str">
            <v>Гор.</v>
          </cell>
          <cell r="N390" t="str">
            <v>P4+5+6_Block1_yug</v>
          </cell>
          <cell r="O390" t="str">
            <v>Действующий</v>
          </cell>
          <cell r="P390" t="str">
            <v>В работе</v>
          </cell>
          <cell r="Q390">
            <v>-4</v>
          </cell>
          <cell r="U390">
            <v>203</v>
          </cell>
          <cell r="V390">
            <v>218.2</v>
          </cell>
          <cell r="W390">
            <v>0.98</v>
          </cell>
          <cell r="X390">
            <v>1.66</v>
          </cell>
          <cell r="Y390">
            <v>1.5422828972317026</v>
          </cell>
          <cell r="Z390">
            <v>1.454</v>
          </cell>
          <cell r="AA390">
            <v>0.83599999999999997</v>
          </cell>
          <cell r="AB390">
            <v>0.72</v>
          </cell>
          <cell r="AC390">
            <v>34.299999999999997</v>
          </cell>
          <cell r="AD390">
            <v>1.17</v>
          </cell>
          <cell r="AE390">
            <v>177.8</v>
          </cell>
          <cell r="AF390">
            <v>9.19</v>
          </cell>
          <cell r="AG390">
            <v>2139.5</v>
          </cell>
          <cell r="AH390">
            <v>2945</v>
          </cell>
          <cell r="AI390">
            <v>2945</v>
          </cell>
          <cell r="AM390" t="str">
            <v>открытый</v>
          </cell>
          <cell r="AN390" t="str">
            <v>2139-2945</v>
          </cell>
          <cell r="AO390">
            <v>19.75</v>
          </cell>
          <cell r="AP390">
            <v>2139</v>
          </cell>
          <cell r="AQ390">
            <v>305.89999999999998</v>
          </cell>
          <cell r="AU390" t="str">
            <v>ЭЦН</v>
          </cell>
          <cell r="AV390">
            <v>300</v>
          </cell>
          <cell r="AW390" t="str">
            <v>ГК42 5/16</v>
          </cell>
          <cell r="AX390" t="str">
            <v>-</v>
          </cell>
          <cell r="AY390" t="str">
            <v>-</v>
          </cell>
          <cell r="AZ390" t="str">
            <v>-</v>
          </cell>
          <cell r="BA390" t="str">
            <v>-</v>
          </cell>
          <cell r="BB390" t="str">
            <v>-</v>
          </cell>
          <cell r="BC390" t="str">
            <v>-</v>
          </cell>
          <cell r="BD390" t="str">
            <v>-</v>
          </cell>
          <cell r="BE390" t="str">
            <v>-</v>
          </cell>
          <cell r="BF390" t="str">
            <v>-</v>
          </cell>
          <cell r="BG390" t="str">
            <v>-</v>
          </cell>
          <cell r="BH390">
            <v>1811</v>
          </cell>
          <cell r="BI390" t="str">
            <v>закрыт</v>
          </cell>
          <cell r="BK390" t="str">
            <v>D1050N</v>
          </cell>
          <cell r="BM390">
            <v>1340</v>
          </cell>
          <cell r="BN390">
            <v>50</v>
          </cell>
          <cell r="BO390">
            <v>73.5</v>
          </cell>
        </row>
        <row r="391">
          <cell r="J391">
            <v>1439</v>
          </cell>
          <cell r="K391" t="str">
            <v>К-1587</v>
          </cell>
          <cell r="L391">
            <v>44028</v>
          </cell>
          <cell r="M391" t="str">
            <v>Гор.</v>
          </cell>
          <cell r="N391" t="str">
            <v>P4+5+6_Block1_yug</v>
          </cell>
          <cell r="O391" t="str">
            <v>Действующий</v>
          </cell>
          <cell r="P391" t="str">
            <v>В работе</v>
          </cell>
          <cell r="Q391">
            <v>-4</v>
          </cell>
          <cell r="U391">
            <v>203</v>
          </cell>
          <cell r="V391">
            <v>218.2</v>
          </cell>
          <cell r="W391">
            <v>0.98</v>
          </cell>
          <cell r="X391">
            <v>1.66</v>
          </cell>
          <cell r="Y391">
            <v>0.98</v>
          </cell>
          <cell r="Z391">
            <v>1.454</v>
          </cell>
          <cell r="AA391">
            <v>0.83599999999999997</v>
          </cell>
          <cell r="AB391">
            <v>0.72</v>
          </cell>
          <cell r="AC391">
            <v>34.299999999999997</v>
          </cell>
          <cell r="AD391">
            <v>1.17</v>
          </cell>
          <cell r="AE391">
            <v>177.8</v>
          </cell>
          <cell r="AF391">
            <v>9.19</v>
          </cell>
          <cell r="AG391">
            <v>2253.7199999999998</v>
          </cell>
          <cell r="AH391">
            <v>2820.45</v>
          </cell>
          <cell r="AI391">
            <v>2820.45</v>
          </cell>
          <cell r="AM391" t="str">
            <v>Закрытый</v>
          </cell>
          <cell r="AN391" t="str">
            <v>2290,11-2291,26; 2411,08-2412,23; 2590,76-2591,91; 2699,79-2700,94; 2807,44-2808,64</v>
          </cell>
          <cell r="AO391">
            <v>51.06</v>
          </cell>
          <cell r="AP391">
            <v>2290.11</v>
          </cell>
          <cell r="AQ391">
            <v>434.48</v>
          </cell>
          <cell r="AU391" t="str">
            <v>Газлифт</v>
          </cell>
          <cell r="AV391">
            <v>457.000012207</v>
          </cell>
          <cell r="AW391" t="str">
            <v>ГП</v>
          </cell>
          <cell r="AX391">
            <v>867.00002812499997</v>
          </cell>
          <cell r="AY391" t="str">
            <v>ГП</v>
          </cell>
          <cell r="AZ391">
            <v>1211.0000167969999</v>
          </cell>
          <cell r="BA391" t="str">
            <v>ГК82 1/8</v>
          </cell>
          <cell r="BB391">
            <v>1484.000060156</v>
          </cell>
          <cell r="BC391" t="str">
            <v>ГК82 1/8</v>
          </cell>
          <cell r="BD391">
            <v>1701.999925781</v>
          </cell>
          <cell r="BE391" t="str">
            <v>ГК81 5/32</v>
          </cell>
          <cell r="BF391">
            <v>1780</v>
          </cell>
          <cell r="BG391" t="str">
            <v>ЦКсОК 5/16</v>
          </cell>
          <cell r="BH391" t="str">
            <v>-</v>
          </cell>
          <cell r="BI391" t="str">
            <v>-</v>
          </cell>
        </row>
        <row r="392">
          <cell r="J392">
            <v>1440</v>
          </cell>
          <cell r="K392" t="str">
            <v>К-1410</v>
          </cell>
          <cell r="L392">
            <v>43829</v>
          </cell>
          <cell r="M392" t="str">
            <v>Гор.</v>
          </cell>
          <cell r="N392" t="str">
            <v>P4+5+6_Block1_yug</v>
          </cell>
          <cell r="O392" t="str">
            <v>Действующий</v>
          </cell>
          <cell r="P392" t="str">
            <v>В работе</v>
          </cell>
          <cell r="Q392">
            <v>-4</v>
          </cell>
          <cell r="U392">
            <v>203</v>
          </cell>
          <cell r="V392">
            <v>218.2</v>
          </cell>
          <cell r="W392">
            <v>0.98</v>
          </cell>
          <cell r="X392">
            <v>1.66</v>
          </cell>
          <cell r="Y392">
            <v>0.98</v>
          </cell>
          <cell r="Z392">
            <v>1.454</v>
          </cell>
          <cell r="AA392">
            <v>0.83599999999999997</v>
          </cell>
          <cell r="AB392">
            <v>0.72</v>
          </cell>
          <cell r="AC392">
            <v>34.299999999999997</v>
          </cell>
          <cell r="AD392">
            <v>1.17</v>
          </cell>
          <cell r="AE392">
            <v>177.8</v>
          </cell>
          <cell r="AF392">
            <v>9.19</v>
          </cell>
          <cell r="AG392">
            <v>2139.5</v>
          </cell>
          <cell r="AH392">
            <v>2958</v>
          </cell>
          <cell r="AI392">
            <v>2958</v>
          </cell>
          <cell r="AM392" t="str">
            <v>открытый</v>
          </cell>
          <cell r="AN392" t="str">
            <v>2262,28-2958</v>
          </cell>
          <cell r="AO392">
            <v>39</v>
          </cell>
          <cell r="AP392">
            <v>2262.2800000000002</v>
          </cell>
          <cell r="AQ392">
            <v>446.6</v>
          </cell>
          <cell r="AU392" t="str">
            <v>Газлифт</v>
          </cell>
          <cell r="AV392">
            <v>550.00002861300004</v>
          </cell>
          <cell r="AW392" t="str">
            <v>ГК82 1/8</v>
          </cell>
          <cell r="AX392">
            <v>980.00001445299995</v>
          </cell>
          <cell r="AY392" t="str">
            <v>ГК83 1/8</v>
          </cell>
          <cell r="AZ392">
            <v>1349.999978906</v>
          </cell>
          <cell r="BA392" t="str">
            <v>ГК81 1/8</v>
          </cell>
          <cell r="BB392">
            <v>1580.000005078</v>
          </cell>
          <cell r="BC392" t="str">
            <v>ГК81 1/8</v>
          </cell>
          <cell r="BD392">
            <v>1820.000090625</v>
          </cell>
          <cell r="BE392" t="str">
            <v>ЦКсОК 5/16</v>
          </cell>
          <cell r="BF392" t="str">
            <v>-</v>
          </cell>
          <cell r="BG392" t="str">
            <v>-</v>
          </cell>
          <cell r="BH392" t="str">
            <v>-</v>
          </cell>
          <cell r="BI392" t="str">
            <v>-</v>
          </cell>
        </row>
        <row r="393">
          <cell r="J393">
            <v>1441</v>
          </cell>
          <cell r="K393" t="str">
            <v>К-98</v>
          </cell>
          <cell r="L393">
            <v>42881</v>
          </cell>
          <cell r="M393" t="str">
            <v>Гор.</v>
          </cell>
          <cell r="N393" t="str">
            <v>P4+5+6_Block1_yug</v>
          </cell>
          <cell r="O393" t="str">
            <v>Действующий</v>
          </cell>
          <cell r="P393" t="str">
            <v>В работе</v>
          </cell>
          <cell r="Q393">
            <v>-4</v>
          </cell>
          <cell r="U393">
            <v>203</v>
          </cell>
          <cell r="V393">
            <v>218.2</v>
          </cell>
          <cell r="W393">
            <v>0.98</v>
          </cell>
          <cell r="X393">
            <v>1.66</v>
          </cell>
          <cell r="Y393">
            <v>0.98</v>
          </cell>
          <cell r="Z393">
            <v>1.454</v>
          </cell>
          <cell r="AA393">
            <v>0.83599999999999997</v>
          </cell>
          <cell r="AB393">
            <v>0.72</v>
          </cell>
          <cell r="AC393">
            <v>34.299999999999997</v>
          </cell>
          <cell r="AD393">
            <v>1.17</v>
          </cell>
          <cell r="AE393">
            <v>177.8</v>
          </cell>
          <cell r="AF393">
            <v>9.19</v>
          </cell>
          <cell r="AG393">
            <v>2304</v>
          </cell>
          <cell r="AH393">
            <v>2965</v>
          </cell>
          <cell r="AI393">
            <v>2965</v>
          </cell>
          <cell r="AM393" t="str">
            <v>открытый</v>
          </cell>
          <cell r="AN393" t="str">
            <v>2304-2965</v>
          </cell>
          <cell r="AO393" t="str">
            <v>15,,92</v>
          </cell>
          <cell r="AP393">
            <v>2304</v>
          </cell>
          <cell r="AQ393">
            <v>466.55</v>
          </cell>
          <cell r="AU393" t="str">
            <v>Газлифт</v>
          </cell>
          <cell r="AV393">
            <v>549.99999140600005</v>
          </cell>
          <cell r="AW393" t="str">
            <v>ГП</v>
          </cell>
          <cell r="AX393">
            <v>989.99999941399994</v>
          </cell>
          <cell r="AY393" t="str">
            <v>ГК 83 1/8</v>
          </cell>
          <cell r="AZ393">
            <v>1340.0000683589999</v>
          </cell>
          <cell r="BA393" t="str">
            <v>ГК 82 1/8</v>
          </cell>
          <cell r="BB393">
            <v>1630.000004297</v>
          </cell>
          <cell r="BC393" t="str">
            <v>ГК 79 1/8</v>
          </cell>
          <cell r="BD393">
            <v>1860.000030469</v>
          </cell>
          <cell r="BE393" t="str">
            <v>ЦКсОК 5/16</v>
          </cell>
          <cell r="BF393" t="str">
            <v>-</v>
          </cell>
          <cell r="BG393" t="str">
            <v>-</v>
          </cell>
          <cell r="BH393">
            <v>1870</v>
          </cell>
          <cell r="BI393" t="str">
            <v>закрыт</v>
          </cell>
        </row>
        <row r="394">
          <cell r="J394">
            <v>1442</v>
          </cell>
          <cell r="K394" t="str">
            <v>К-77</v>
          </cell>
          <cell r="L394">
            <v>42637</v>
          </cell>
          <cell r="M394" t="str">
            <v>Гор.</v>
          </cell>
          <cell r="N394" t="str">
            <v>P4+5+6_Block1_yug</v>
          </cell>
          <cell r="O394" t="str">
            <v>Действующий</v>
          </cell>
          <cell r="P394" t="str">
            <v>В работе</v>
          </cell>
          <cell r="Q394">
            <v>-4</v>
          </cell>
          <cell r="U394">
            <v>203</v>
          </cell>
          <cell r="V394">
            <v>218.2</v>
          </cell>
          <cell r="W394">
            <v>0.98</v>
          </cell>
          <cell r="X394">
            <v>1.66</v>
          </cell>
          <cell r="Y394">
            <v>1.5488730967560116</v>
          </cell>
          <cell r="Z394">
            <v>1.454</v>
          </cell>
          <cell r="AA394">
            <v>0.83599999999999997</v>
          </cell>
          <cell r="AB394">
            <v>0.72</v>
          </cell>
          <cell r="AC394">
            <v>34.299999999999997</v>
          </cell>
          <cell r="AD394">
            <v>1.17</v>
          </cell>
          <cell r="AE394">
            <v>177.8</v>
          </cell>
          <cell r="AF394">
            <v>9.19</v>
          </cell>
          <cell r="AG394">
            <v>2119</v>
          </cell>
          <cell r="AH394">
            <v>2662</v>
          </cell>
          <cell r="AI394">
            <v>2662</v>
          </cell>
          <cell r="AM394" t="str">
            <v>открытый</v>
          </cell>
          <cell r="AN394" t="str">
            <v>2119-2662</v>
          </cell>
          <cell r="AO394">
            <v>77.61</v>
          </cell>
          <cell r="AP394">
            <v>2119</v>
          </cell>
          <cell r="AQ394">
            <v>291.89999999999998</v>
          </cell>
          <cell r="AU394" t="str">
            <v>ЭЦН</v>
          </cell>
          <cell r="AV394">
            <v>300</v>
          </cell>
          <cell r="AW394" t="str">
            <v>ГП</v>
          </cell>
          <cell r="AX394" t="str">
            <v>-</v>
          </cell>
          <cell r="AY394" t="str">
            <v>-</v>
          </cell>
          <cell r="AZ394" t="str">
            <v>-</v>
          </cell>
          <cell r="BA394" t="str">
            <v>-</v>
          </cell>
          <cell r="BB394" t="str">
            <v>-</v>
          </cell>
          <cell r="BC394" t="str">
            <v>-</v>
          </cell>
          <cell r="BD394" t="str">
            <v>-</v>
          </cell>
          <cell r="BE394" t="str">
            <v>-</v>
          </cell>
          <cell r="BF394" t="str">
            <v>-</v>
          </cell>
          <cell r="BG394" t="str">
            <v>-</v>
          </cell>
          <cell r="BH394">
            <v>1770</v>
          </cell>
          <cell r="BI394" t="str">
            <v xml:space="preserve">закрыт </v>
          </cell>
          <cell r="BK394" t="str">
            <v>D2400N</v>
          </cell>
          <cell r="BM394">
            <v>1028</v>
          </cell>
          <cell r="BN394">
            <v>47</v>
          </cell>
          <cell r="BO394">
            <v>145</v>
          </cell>
        </row>
        <row r="395">
          <cell r="J395">
            <v>1444</v>
          </cell>
          <cell r="K395" t="str">
            <v>Без куста</v>
          </cell>
          <cell r="L395">
            <v>43403</v>
          </cell>
          <cell r="M395" t="str">
            <v>Гор.</v>
          </cell>
          <cell r="N395" t="str">
            <v>P4+5+6_Block1_yug</v>
          </cell>
          <cell r="O395" t="str">
            <v>Действующий</v>
          </cell>
          <cell r="P395" t="str">
            <v>В работе</v>
          </cell>
          <cell r="Q395">
            <v>-4</v>
          </cell>
          <cell r="U395">
            <v>203</v>
          </cell>
          <cell r="V395">
            <v>218.2</v>
          </cell>
          <cell r="W395">
            <v>0.98</v>
          </cell>
          <cell r="X395">
            <v>1.66</v>
          </cell>
          <cell r="Y395">
            <v>0.98</v>
          </cell>
          <cell r="Z395">
            <v>1.454</v>
          </cell>
          <cell r="AA395">
            <v>0.83599999999999997</v>
          </cell>
          <cell r="AB395">
            <v>0.72</v>
          </cell>
          <cell r="AC395">
            <v>34.299999999999997</v>
          </cell>
          <cell r="AD395">
            <v>1.17</v>
          </cell>
          <cell r="AE395">
            <v>177.8</v>
          </cell>
          <cell r="AF395">
            <v>9.19</v>
          </cell>
          <cell r="AG395">
            <v>2075</v>
          </cell>
          <cell r="AH395">
            <v>2669.5</v>
          </cell>
          <cell r="AI395">
            <v>2669.5</v>
          </cell>
          <cell r="AM395" t="str">
            <v>открытый</v>
          </cell>
          <cell r="AN395" t="str">
            <v>2075-2669,5</v>
          </cell>
          <cell r="AO395">
            <v>102.1</v>
          </cell>
          <cell r="AP395">
            <v>2075</v>
          </cell>
          <cell r="AQ395">
            <v>271.12788045782122</v>
          </cell>
          <cell r="AU395" t="str">
            <v>Газлифт</v>
          </cell>
          <cell r="AV395">
            <v>519.99999931599996</v>
          </cell>
          <cell r="AW395" t="str">
            <v>ГП</v>
          </cell>
          <cell r="AX395">
            <v>924.99998554700005</v>
          </cell>
          <cell r="AY395" t="str">
            <v>ГК79 1/8</v>
          </cell>
          <cell r="AZ395">
            <v>1260.000039844</v>
          </cell>
          <cell r="BA395" t="str">
            <v>ГК80 1/8</v>
          </cell>
          <cell r="BB395">
            <v>1590.000064453</v>
          </cell>
          <cell r="BC395" t="str">
            <v>ГК80 1/8</v>
          </cell>
          <cell r="BD395">
            <v>1780.000001953</v>
          </cell>
          <cell r="BE395" t="str">
            <v>ЦКсОК 5/16</v>
          </cell>
          <cell r="BF395" t="str">
            <v>-</v>
          </cell>
          <cell r="BG395" t="str">
            <v>-</v>
          </cell>
          <cell r="BH395">
            <v>1790</v>
          </cell>
          <cell r="BI395" t="str">
            <v xml:space="preserve">закрыт </v>
          </cell>
        </row>
        <row r="396">
          <cell r="J396">
            <v>1449</v>
          </cell>
          <cell r="K396" t="str">
            <v>К-98</v>
          </cell>
          <cell r="L396">
            <v>43000</v>
          </cell>
          <cell r="M396" t="str">
            <v>Гор.</v>
          </cell>
          <cell r="N396" t="str">
            <v>P4+5+6_Block1_yug</v>
          </cell>
          <cell r="O396" t="str">
            <v>Действующий</v>
          </cell>
          <cell r="P396" t="str">
            <v>В работе</v>
          </cell>
          <cell r="Q396">
            <v>-4</v>
          </cell>
          <cell r="U396">
            <v>203</v>
          </cell>
          <cell r="V396">
            <v>218.2</v>
          </cell>
          <cell r="W396">
            <v>0.98</v>
          </cell>
          <cell r="X396">
            <v>1.66</v>
          </cell>
          <cell r="Y396">
            <v>1.1028853454821563</v>
          </cell>
          <cell r="Z396">
            <v>1.454</v>
          </cell>
          <cell r="AA396">
            <v>0.83599999999999997</v>
          </cell>
          <cell r="AB396">
            <v>0.72</v>
          </cell>
          <cell r="AC396">
            <v>34.299999999999997</v>
          </cell>
          <cell r="AD396">
            <v>1.17</v>
          </cell>
          <cell r="AE396">
            <v>177.8</v>
          </cell>
          <cell r="AF396">
            <v>9.19</v>
          </cell>
          <cell r="AG396">
            <v>2066</v>
          </cell>
          <cell r="AH396">
            <v>2815</v>
          </cell>
          <cell r="AI396">
            <v>2815</v>
          </cell>
          <cell r="AJ396">
            <v>42856</v>
          </cell>
          <cell r="AK396" t="str">
            <v>По спущенной компановке</v>
          </cell>
          <cell r="AM396" t="str">
            <v>открытый</v>
          </cell>
          <cell r="AN396" t="str">
            <v>2305,75-2925,7</v>
          </cell>
          <cell r="AO396">
            <v>88.34</v>
          </cell>
          <cell r="AP396">
            <v>2066</v>
          </cell>
          <cell r="AQ396">
            <v>185.6</v>
          </cell>
          <cell r="AU396" t="str">
            <v>Газлифт</v>
          </cell>
          <cell r="AV396">
            <v>560.00001357400004</v>
          </cell>
          <cell r="AW396" t="str">
            <v>ГК77 1/8</v>
          </cell>
          <cell r="AX396">
            <v>880.00001601600002</v>
          </cell>
          <cell r="AY396" t="str">
            <v>ГК77 1/8</v>
          </cell>
          <cell r="AZ396">
            <v>1209.9999662109999</v>
          </cell>
          <cell r="BA396" t="str">
            <v>ГК76 1/8</v>
          </cell>
          <cell r="BB396">
            <v>1510.0000359380001</v>
          </cell>
          <cell r="BC396" t="str">
            <v>ГК79 1/8</v>
          </cell>
          <cell r="BD396">
            <v>1790.0000613279999</v>
          </cell>
          <cell r="BE396" t="str">
            <v>ЦКсОК 5/16</v>
          </cell>
          <cell r="BF396" t="str">
            <v>-</v>
          </cell>
          <cell r="BG396" t="str">
            <v>-</v>
          </cell>
          <cell r="BH396" t="str">
            <v>-</v>
          </cell>
          <cell r="BI396" t="str">
            <v>-</v>
          </cell>
          <cell r="BO396">
            <v>90</v>
          </cell>
        </row>
        <row r="397">
          <cell r="J397">
            <v>1452</v>
          </cell>
          <cell r="K397" t="str">
            <v>К-96</v>
          </cell>
          <cell r="L397">
            <v>43905</v>
          </cell>
          <cell r="M397" t="str">
            <v>Гор.</v>
          </cell>
          <cell r="N397" t="str">
            <v>P4+5+6_Block1_yug</v>
          </cell>
          <cell r="O397" t="str">
            <v>Действующий</v>
          </cell>
          <cell r="P397" t="str">
            <v>В работе</v>
          </cell>
          <cell r="Q397">
            <v>-4</v>
          </cell>
          <cell r="U397">
            <v>203</v>
          </cell>
          <cell r="V397">
            <v>218.2</v>
          </cell>
          <cell r="W397">
            <v>0.98</v>
          </cell>
          <cell r="X397">
            <v>1.66</v>
          </cell>
          <cell r="Y397">
            <v>0.98</v>
          </cell>
          <cell r="Z397">
            <v>1.454</v>
          </cell>
          <cell r="AA397">
            <v>0.83599999999999997</v>
          </cell>
          <cell r="AB397">
            <v>0.72</v>
          </cell>
          <cell r="AC397">
            <v>34.299999999999997</v>
          </cell>
          <cell r="AD397">
            <v>1.17</v>
          </cell>
          <cell r="AE397">
            <v>177.8</v>
          </cell>
          <cell r="AF397">
            <v>9.19</v>
          </cell>
          <cell r="AG397">
            <v>2066</v>
          </cell>
          <cell r="AH397">
            <v>2815</v>
          </cell>
          <cell r="AI397">
            <v>2815</v>
          </cell>
          <cell r="AJ397">
            <v>42856</v>
          </cell>
          <cell r="AK397" t="str">
            <v>По спущенной компановке</v>
          </cell>
          <cell r="AM397" t="str">
            <v>открытый</v>
          </cell>
          <cell r="AN397" t="str">
            <v>2066-2815</v>
          </cell>
          <cell r="AO397">
            <v>88.34</v>
          </cell>
          <cell r="AP397">
            <v>2066</v>
          </cell>
          <cell r="AQ397">
            <v>185.6</v>
          </cell>
          <cell r="AU397" t="str">
            <v>Газлифт</v>
          </cell>
          <cell r="AV397">
            <v>446.00001386700001</v>
          </cell>
          <cell r="AW397" t="str">
            <v>ГП</v>
          </cell>
          <cell r="AX397">
            <v>880.00001601600002</v>
          </cell>
          <cell r="AY397" t="str">
            <v>ГП</v>
          </cell>
          <cell r="AZ397">
            <v>1324.999979297</v>
          </cell>
          <cell r="BA397" t="str">
            <v>ГП</v>
          </cell>
          <cell r="BB397">
            <v>1711.9999851560001</v>
          </cell>
          <cell r="BC397" t="str">
            <v>ГК90 5/32</v>
          </cell>
          <cell r="BD397">
            <v>2015.000057813</v>
          </cell>
          <cell r="BE397" t="str">
            <v>ЦКсОК 5/16</v>
          </cell>
          <cell r="BF397" t="str">
            <v>-</v>
          </cell>
          <cell r="BG397" t="str">
            <v>-</v>
          </cell>
          <cell r="BH397" t="str">
            <v>-</v>
          </cell>
          <cell r="BI397" t="str">
            <v>-</v>
          </cell>
        </row>
        <row r="398">
          <cell r="J398">
            <v>1459</v>
          </cell>
          <cell r="K398" t="str">
            <v>К-97</v>
          </cell>
          <cell r="L398">
            <v>43875</v>
          </cell>
          <cell r="M398" t="str">
            <v>Гор.</v>
          </cell>
          <cell r="N398" t="str">
            <v>Р4+5+6_Block2</v>
          </cell>
          <cell r="O398" t="str">
            <v>Действующий</v>
          </cell>
          <cell r="P398" t="str">
            <v>В работе</v>
          </cell>
          <cell r="Q398">
            <v>-4</v>
          </cell>
          <cell r="U398">
            <v>203</v>
          </cell>
          <cell r="V398">
            <v>218.2</v>
          </cell>
          <cell r="W398">
            <v>0.98</v>
          </cell>
          <cell r="X398">
            <v>1.66</v>
          </cell>
          <cell r="Y398">
            <v>0.98</v>
          </cell>
          <cell r="Z398">
            <v>1.454</v>
          </cell>
          <cell r="AA398">
            <v>0.83599999999999997</v>
          </cell>
          <cell r="AB398">
            <v>0.72</v>
          </cell>
          <cell r="AC398">
            <v>34.299999999999997</v>
          </cell>
          <cell r="AD398">
            <v>1.17</v>
          </cell>
          <cell r="AE398">
            <v>177.8</v>
          </cell>
          <cell r="AF398">
            <v>9.19</v>
          </cell>
          <cell r="AG398">
            <v>2140.3000000000002</v>
          </cell>
          <cell r="AH398">
            <v>2748</v>
          </cell>
          <cell r="AI398">
            <v>2748</v>
          </cell>
          <cell r="AM398" t="str">
            <v>открытый</v>
          </cell>
          <cell r="AN398" t="str">
            <v>2140,3-2748</v>
          </cell>
          <cell r="AO398">
            <v>70</v>
          </cell>
          <cell r="AP398">
            <v>2140.3000000000002</v>
          </cell>
          <cell r="AQ398">
            <v>297.60000000000002</v>
          </cell>
          <cell r="AU398" t="str">
            <v>Газлифт</v>
          </cell>
          <cell r="AV398">
            <v>470.00000009799999</v>
          </cell>
          <cell r="AW398" t="str">
            <v>ГП</v>
          </cell>
          <cell r="AX398">
            <v>903.99996503900002</v>
          </cell>
          <cell r="AY398" t="str">
            <v>ГП</v>
          </cell>
          <cell r="AZ398">
            <v>1250.9999566409999</v>
          </cell>
          <cell r="BA398" t="str">
            <v>ГП</v>
          </cell>
          <cell r="BB398">
            <v>1526.999928516</v>
          </cell>
          <cell r="BC398" t="str">
            <v>ГП</v>
          </cell>
          <cell r="BD398">
            <v>1812.9999597660001</v>
          </cell>
          <cell r="BE398" t="str">
            <v>ЦКсОК 5/16</v>
          </cell>
          <cell r="BF398" t="str">
            <v>-</v>
          </cell>
          <cell r="BG398" t="str">
            <v>-</v>
          </cell>
          <cell r="BH398" t="str">
            <v>-</v>
          </cell>
          <cell r="BI398" t="str">
            <v>-</v>
          </cell>
        </row>
        <row r="399">
          <cell r="J399">
            <v>1460</v>
          </cell>
          <cell r="K399" t="str">
            <v>К-32</v>
          </cell>
          <cell r="L399">
            <v>43878</v>
          </cell>
          <cell r="M399" t="str">
            <v>Гор.</v>
          </cell>
          <cell r="N399" t="str">
            <v>Р4+5+6_Block2</v>
          </cell>
          <cell r="O399" t="str">
            <v>В консервации</v>
          </cell>
          <cell r="P399" t="str">
            <v>Остановлена</v>
          </cell>
          <cell r="Q399">
            <v>-4</v>
          </cell>
          <cell r="U399">
            <v>203</v>
          </cell>
          <cell r="V399">
            <v>218.2</v>
          </cell>
          <cell r="W399">
            <v>0.98</v>
          </cell>
          <cell r="X399">
            <v>1.66</v>
          </cell>
          <cell r="Y399">
            <v>0.98</v>
          </cell>
          <cell r="Z399">
            <v>1.454</v>
          </cell>
          <cell r="AA399">
            <v>0.83599999999999997</v>
          </cell>
          <cell r="AB399">
            <v>0.72</v>
          </cell>
          <cell r="AC399">
            <v>34.299999999999997</v>
          </cell>
          <cell r="AD399">
            <v>1.17</v>
          </cell>
          <cell r="AE399">
            <v>177.8</v>
          </cell>
          <cell r="AF399">
            <v>9.19</v>
          </cell>
          <cell r="AG399">
            <v>2313</v>
          </cell>
          <cell r="AH399">
            <v>2700</v>
          </cell>
          <cell r="AI399">
            <v>2700</v>
          </cell>
          <cell r="AM399" t="str">
            <v>открытый</v>
          </cell>
          <cell r="AN399" t="str">
            <v>2313-2700</v>
          </cell>
          <cell r="AO399">
            <v>67</v>
          </cell>
          <cell r="AP399">
            <v>2313</v>
          </cell>
          <cell r="AQ399">
            <v>473.7</v>
          </cell>
          <cell r="AU399" t="str">
            <v>ЭЦН</v>
          </cell>
          <cell r="AV399">
            <v>300</v>
          </cell>
          <cell r="AW399" t="str">
            <v>-</v>
          </cell>
          <cell r="AX399" t="str">
            <v>-</v>
          </cell>
          <cell r="AY399" t="str">
            <v>-</v>
          </cell>
          <cell r="AZ399" t="str">
            <v>-</v>
          </cell>
          <cell r="BA399" t="str">
            <v>-</v>
          </cell>
          <cell r="BB399" t="str">
            <v>-</v>
          </cell>
          <cell r="BC399" t="str">
            <v>-</v>
          </cell>
          <cell r="BD399" t="str">
            <v>-</v>
          </cell>
          <cell r="BE399" t="str">
            <v>-</v>
          </cell>
          <cell r="BF399" t="str">
            <v>-</v>
          </cell>
          <cell r="BG399" t="str">
            <v>-</v>
          </cell>
          <cell r="BH399">
            <v>1995</v>
          </cell>
          <cell r="BI399" t="str">
            <v>закрыт</v>
          </cell>
          <cell r="BK399" t="str">
            <v>D3500N</v>
          </cell>
          <cell r="BM399">
            <v>1003</v>
          </cell>
          <cell r="BN399">
            <v>49</v>
          </cell>
          <cell r="BO399">
            <v>165.5</v>
          </cell>
        </row>
        <row r="400">
          <cell r="J400">
            <v>1465</v>
          </cell>
          <cell r="K400" t="str">
            <v>К-97</v>
          </cell>
          <cell r="L400">
            <v>43788</v>
          </cell>
          <cell r="M400" t="str">
            <v>Гор.</v>
          </cell>
          <cell r="N400" t="str">
            <v>P4+5+6_Block1_yug</v>
          </cell>
          <cell r="O400" t="str">
            <v>Действующий</v>
          </cell>
          <cell r="P400" t="str">
            <v>Остановлена</v>
          </cell>
          <cell r="Q400">
            <v>-4</v>
          </cell>
          <cell r="R400" t="str">
            <v xml:space="preserve"> </v>
          </cell>
          <cell r="S400" t="str">
            <v xml:space="preserve"> </v>
          </cell>
          <cell r="U400">
            <v>203</v>
          </cell>
          <cell r="V400">
            <v>218.2</v>
          </cell>
          <cell r="W400">
            <v>0.98</v>
          </cell>
          <cell r="X400">
            <v>1.66</v>
          </cell>
          <cell r="Y400">
            <v>0.98108510376536939</v>
          </cell>
          <cell r="Z400">
            <v>1.454</v>
          </cell>
          <cell r="AA400">
            <v>0.83599999999999997</v>
          </cell>
          <cell r="AB400">
            <v>0.72</v>
          </cell>
          <cell r="AC400">
            <v>34.299999999999997</v>
          </cell>
          <cell r="AD400">
            <v>1.17</v>
          </cell>
          <cell r="AE400">
            <v>177.8</v>
          </cell>
          <cell r="AF400">
            <v>9.19</v>
          </cell>
          <cell r="AG400">
            <v>2103.21</v>
          </cell>
          <cell r="AH400">
            <v>2870</v>
          </cell>
          <cell r="AI400">
            <v>2870</v>
          </cell>
          <cell r="AM400" t="str">
            <v>открытый</v>
          </cell>
          <cell r="AN400" t="str">
            <v>2103,21-2870</v>
          </cell>
          <cell r="AO400">
            <v>82.23</v>
          </cell>
          <cell r="AP400">
            <v>2103.21</v>
          </cell>
          <cell r="AQ400">
            <v>249.8</v>
          </cell>
          <cell r="AU400" t="str">
            <v>Газлифт</v>
          </cell>
          <cell r="AV400">
            <v>480.29001386700003</v>
          </cell>
          <cell r="AW400" t="str">
            <v>ГП</v>
          </cell>
          <cell r="AX400">
            <v>894.64001542999995</v>
          </cell>
          <cell r="AY400" t="str">
            <v>ГК 72 1/8</v>
          </cell>
          <cell r="AZ400">
            <v>1229.840020312</v>
          </cell>
          <cell r="BA400" t="str">
            <v>ГК 72 1/8</v>
          </cell>
          <cell r="BB400">
            <v>1500.849933984</v>
          </cell>
          <cell r="BC400" t="str">
            <v>ГК 74 1/8</v>
          </cell>
          <cell r="BD400">
            <v>1782.1599445310001</v>
          </cell>
          <cell r="BE400" t="str">
            <v>ЦКсОК 5/16</v>
          </cell>
          <cell r="BF400" t="str">
            <v>-</v>
          </cell>
          <cell r="BG400" t="str">
            <v>-</v>
          </cell>
          <cell r="BH400" t="str">
            <v>-</v>
          </cell>
          <cell r="BI400" t="str">
            <v>-</v>
          </cell>
        </row>
        <row r="401">
          <cell r="J401">
            <v>1467</v>
          </cell>
          <cell r="K401" t="str">
            <v>К-65</v>
          </cell>
          <cell r="L401">
            <v>43079</v>
          </cell>
          <cell r="M401" t="str">
            <v>Гор.</v>
          </cell>
          <cell r="N401" t="str">
            <v>P4+5+6_Block1_yug</v>
          </cell>
          <cell r="O401" t="str">
            <v>Действующий</v>
          </cell>
          <cell r="P401" t="str">
            <v>В работе</v>
          </cell>
          <cell r="Q401">
            <v>-4</v>
          </cell>
          <cell r="R401">
            <v>43067</v>
          </cell>
          <cell r="S401" t="str">
            <v>МеКаМиНефть</v>
          </cell>
          <cell r="T401" t="str">
            <v>КГРП 7ст.
350м3 15% HCl</v>
          </cell>
          <cell r="U401">
            <v>203</v>
          </cell>
          <cell r="V401">
            <v>218.2</v>
          </cell>
          <cell r="W401">
            <v>0.98</v>
          </cell>
          <cell r="X401">
            <v>1.66</v>
          </cell>
          <cell r="Y401">
            <v>0.98</v>
          </cell>
          <cell r="Z401">
            <v>1.454</v>
          </cell>
          <cell r="AA401">
            <v>0.83599999999999997</v>
          </cell>
          <cell r="AB401">
            <v>0.72</v>
          </cell>
          <cell r="AC401">
            <v>34.299999999999997</v>
          </cell>
          <cell r="AD401">
            <v>1.17</v>
          </cell>
          <cell r="AE401">
            <v>177.8</v>
          </cell>
          <cell r="AF401">
            <v>9.19</v>
          </cell>
          <cell r="AG401">
            <v>2235</v>
          </cell>
          <cell r="AH401">
            <v>3190.41</v>
          </cell>
          <cell r="AI401">
            <v>3190.41</v>
          </cell>
          <cell r="AJ401">
            <v>43060</v>
          </cell>
          <cell r="AK401" t="str">
            <v>По спущенной компановке</v>
          </cell>
          <cell r="AM401" t="str">
            <v>Закрытый</v>
          </cell>
          <cell r="AN401" t="str">
            <v xml:space="preserve">2295,54-2296,94; 2471,84-2473,24; 2605,94-2607,34; 2801,96-2803,36; 2935,1-2936,5; 3058,22-3059,62; 3190,41-3191,63 </v>
          </cell>
          <cell r="AO401">
            <v>9.6199999999999992</v>
          </cell>
          <cell r="AP401">
            <v>2295.54</v>
          </cell>
          <cell r="AQ401">
            <v>371.03</v>
          </cell>
          <cell r="AR401" t="str">
            <v>2174,85-3299</v>
          </cell>
          <cell r="AS401">
            <v>114</v>
          </cell>
          <cell r="AT401">
            <v>7.37</v>
          </cell>
          <cell r="AU401" t="str">
            <v>Газлифт</v>
          </cell>
          <cell r="AV401">
            <v>549.99999140600005</v>
          </cell>
          <cell r="AW401" t="str">
            <v>ГП</v>
          </cell>
          <cell r="AX401">
            <v>959.99997011699998</v>
          </cell>
          <cell r="AY401" t="str">
            <v>ГП</v>
          </cell>
          <cell r="AZ401">
            <v>1255.0000101559999</v>
          </cell>
          <cell r="BA401" t="str">
            <v>ГП</v>
          </cell>
          <cell r="BB401">
            <v>1480.000006641</v>
          </cell>
          <cell r="BC401" t="str">
            <v>ГК 78 1/8</v>
          </cell>
          <cell r="BD401">
            <v>1640.0000636719999</v>
          </cell>
          <cell r="BE401" t="str">
            <v>ГК 77 5/32</v>
          </cell>
          <cell r="BF401">
            <v>1770</v>
          </cell>
          <cell r="BG401" t="str">
            <v>ЦКсОК 5/16</v>
          </cell>
          <cell r="BH401">
            <v>1920</v>
          </cell>
          <cell r="BI401" t="str">
            <v xml:space="preserve">закрыт </v>
          </cell>
        </row>
        <row r="402">
          <cell r="J402">
            <v>1469</v>
          </cell>
          <cell r="K402" t="str">
            <v>К-1526</v>
          </cell>
          <cell r="L402">
            <v>44118</v>
          </cell>
          <cell r="M402" t="str">
            <v>Гор.</v>
          </cell>
          <cell r="N402" t="str">
            <v>P4+5+6_Block1_yug</v>
          </cell>
          <cell r="O402" t="str">
            <v>Действующий</v>
          </cell>
          <cell r="P402" t="str">
            <v>В работе</v>
          </cell>
          <cell r="Q402">
            <v>-4</v>
          </cell>
          <cell r="U402">
            <v>203</v>
          </cell>
          <cell r="V402">
            <v>218.2</v>
          </cell>
          <cell r="W402">
            <v>0.98</v>
          </cell>
          <cell r="X402">
            <v>1.66</v>
          </cell>
          <cell r="Y402">
            <v>0.99219321785801406</v>
          </cell>
          <cell r="Z402">
            <v>1.454</v>
          </cell>
          <cell r="AA402">
            <v>0.83599999999999997</v>
          </cell>
          <cell r="AB402">
            <v>0.72</v>
          </cell>
          <cell r="AC402">
            <v>34.299999999999997</v>
          </cell>
          <cell r="AD402">
            <v>1.17</v>
          </cell>
          <cell r="AE402">
            <v>177.8</v>
          </cell>
          <cell r="AF402">
            <v>9.19</v>
          </cell>
          <cell r="AG402">
            <v>2583</v>
          </cell>
          <cell r="AH402">
            <v>3536.66</v>
          </cell>
          <cell r="AI402">
            <v>3536.66</v>
          </cell>
          <cell r="AM402" t="str">
            <v>Закрытый</v>
          </cell>
          <cell r="AN402" t="str">
            <v>2672,04-2672,89; 2795,19-2796,04; 2894,44-2895,29; 2980,93-2981,78; 3103,79-3104,64; 3215,03-3215,88; 3301,73-3302,58; 3400,94-3401,79; 3523,03-3524,13</v>
          </cell>
          <cell r="AO402">
            <v>112.78</v>
          </cell>
          <cell r="AP402">
            <v>2672.04</v>
          </cell>
          <cell r="AQ402">
            <v>844.59</v>
          </cell>
          <cell r="AU402" t="str">
            <v>Газлифт</v>
          </cell>
          <cell r="AV402">
            <v>584.99997597699996</v>
          </cell>
          <cell r="AW402" t="str">
            <v>ГП</v>
          </cell>
          <cell r="AX402">
            <v>1060.0000429690001</v>
          </cell>
          <cell r="AY402" t="str">
            <v>ГП</v>
          </cell>
          <cell r="AZ402">
            <v>1390.000067578</v>
          </cell>
          <cell r="BA402" t="str">
            <v>ГК70 1/8</v>
          </cell>
          <cell r="BB402">
            <v>1690.000062891</v>
          </cell>
          <cell r="BC402" t="str">
            <v>ГК70 1/8</v>
          </cell>
          <cell r="BD402">
            <v>1920.0000890629999</v>
          </cell>
          <cell r="BE402" t="str">
            <v>ГК69 5/32</v>
          </cell>
          <cell r="BF402">
            <v>2230</v>
          </cell>
          <cell r="BG402" t="str">
            <v>ЦКсОК 5/16</v>
          </cell>
          <cell r="BH402">
            <v>2240</v>
          </cell>
          <cell r="BI402" t="str">
            <v xml:space="preserve">закрыт </v>
          </cell>
        </row>
        <row r="403">
          <cell r="J403">
            <v>1471</v>
          </cell>
          <cell r="K403" t="str">
            <v>К-105</v>
          </cell>
          <cell r="L403">
            <v>43387</v>
          </cell>
          <cell r="M403" t="str">
            <v>Гор.</v>
          </cell>
          <cell r="N403" t="str">
            <v>P4+5+6_Block1_yug</v>
          </cell>
          <cell r="O403" t="str">
            <v>Действующий</v>
          </cell>
          <cell r="P403" t="str">
            <v>В работе</v>
          </cell>
          <cell r="Q403">
            <v>-4</v>
          </cell>
          <cell r="U403">
            <v>203</v>
          </cell>
          <cell r="V403">
            <v>218.2</v>
          </cell>
          <cell r="W403">
            <v>0.98</v>
          </cell>
          <cell r="X403">
            <v>1.66</v>
          </cell>
          <cell r="Y403">
            <v>0.98605891623227049</v>
          </cell>
          <cell r="Z403">
            <v>1.454</v>
          </cell>
          <cell r="AA403">
            <v>0.83599999999999997</v>
          </cell>
          <cell r="AB403">
            <v>0.72</v>
          </cell>
          <cell r="AC403">
            <v>34.299999999999997</v>
          </cell>
          <cell r="AD403">
            <v>1.17</v>
          </cell>
          <cell r="AE403">
            <v>177.8</v>
          </cell>
          <cell r="AF403">
            <v>9.19</v>
          </cell>
          <cell r="AG403">
            <v>2250</v>
          </cell>
          <cell r="AH403">
            <v>3121.21</v>
          </cell>
          <cell r="AI403">
            <v>3121.21</v>
          </cell>
          <cell r="AM403" t="str">
            <v>Закрытый</v>
          </cell>
          <cell r="AN403" t="str">
            <v xml:space="preserve">2352,78-2354,21; 2599,19-2600,62; 2688,14-2689,57; 2809,38-2810,81; 2941,41-2942,84; 3052,03-3053,46; 3098,53-3099,76 </v>
          </cell>
          <cell r="AO403">
            <v>12.7</v>
          </cell>
          <cell r="AP403">
            <v>2352.6999999999998</v>
          </cell>
          <cell r="AQ403">
            <v>429.69999999999982</v>
          </cell>
          <cell r="AR403" t="str">
            <v>2188,53-3122</v>
          </cell>
          <cell r="AS403">
            <v>114</v>
          </cell>
          <cell r="AT403">
            <v>7.37</v>
          </cell>
          <cell r="AU403" t="str">
            <v>Газлифт</v>
          </cell>
          <cell r="AV403">
            <v>488.00001767600003</v>
          </cell>
          <cell r="AW403" t="str">
            <v>ГП</v>
          </cell>
          <cell r="AX403">
            <v>931.999967578</v>
          </cell>
          <cell r="AY403" t="str">
            <v>ГК73 1/8</v>
          </cell>
          <cell r="AZ403">
            <v>1305.9999855470001</v>
          </cell>
          <cell r="BA403" t="str">
            <v>ГК73 1/8</v>
          </cell>
          <cell r="BB403">
            <v>1586.9999871089999</v>
          </cell>
          <cell r="BC403" t="str">
            <v>ГК73 1/8</v>
          </cell>
          <cell r="BD403">
            <v>1825.9999476559999</v>
          </cell>
          <cell r="BE403" t="str">
            <v>ЦКсОК 5/16</v>
          </cell>
          <cell r="BF403" t="str">
            <v>-</v>
          </cell>
          <cell r="BG403" t="str">
            <v>-</v>
          </cell>
          <cell r="BH403">
            <v>1837</v>
          </cell>
          <cell r="BI403" t="str">
            <v>закрыт</v>
          </cell>
        </row>
        <row r="404">
          <cell r="J404">
            <v>1472</v>
          </cell>
          <cell r="K404" t="str">
            <v>К-22</v>
          </cell>
          <cell r="L404">
            <v>43372</v>
          </cell>
          <cell r="M404" t="str">
            <v>Гор.</v>
          </cell>
          <cell r="N404" t="str">
            <v>P4+5+6_Block1_yug</v>
          </cell>
          <cell r="O404" t="str">
            <v>Действующий</v>
          </cell>
          <cell r="P404" t="str">
            <v>В работе</v>
          </cell>
          <cell r="Q404">
            <v>-4</v>
          </cell>
          <cell r="U404">
            <v>203</v>
          </cell>
          <cell r="V404">
            <v>218.2</v>
          </cell>
          <cell r="W404">
            <v>0.98</v>
          </cell>
          <cell r="X404">
            <v>1.66</v>
          </cell>
          <cell r="Y404">
            <v>0.99219321785801406</v>
          </cell>
          <cell r="Z404">
            <v>1.454</v>
          </cell>
          <cell r="AA404">
            <v>0.83599999999999997</v>
          </cell>
          <cell r="AB404">
            <v>0.72</v>
          </cell>
          <cell r="AC404">
            <v>34.299999999999997</v>
          </cell>
          <cell r="AD404">
            <v>1.17</v>
          </cell>
          <cell r="AE404">
            <v>177.8</v>
          </cell>
          <cell r="AF404">
            <v>9.19</v>
          </cell>
          <cell r="AG404">
            <v>2074.75</v>
          </cell>
          <cell r="AH404">
            <v>2928.21</v>
          </cell>
          <cell r="AI404">
            <v>2928.21</v>
          </cell>
          <cell r="AJ404">
            <v>43319</v>
          </cell>
          <cell r="AK404" t="str">
            <v>По спущенной компановке</v>
          </cell>
          <cell r="AM404" t="str">
            <v>Закрытый</v>
          </cell>
          <cell r="AN404" t="str">
            <v xml:space="preserve">2352,84-2354,27; 2451,5-2452,93; 2560,65-2562,08; 2639,52-2640,95;  2707,94-2709,37; 2796,53-2797,96; 2905,88-2907,11  </v>
          </cell>
          <cell r="AO404">
            <v>64.19</v>
          </cell>
          <cell r="AP404">
            <v>2352.85</v>
          </cell>
          <cell r="AQ404">
            <v>490.43</v>
          </cell>
          <cell r="AR404" t="str">
            <v>2287,45-2918,7</v>
          </cell>
          <cell r="AS404">
            <v>114</v>
          </cell>
          <cell r="AT404">
            <v>7.37</v>
          </cell>
          <cell r="AU404" t="str">
            <v>Газлифт</v>
          </cell>
          <cell r="AV404">
            <v>400.00003095699998</v>
          </cell>
          <cell r="AW404" t="str">
            <v>ГП</v>
          </cell>
          <cell r="AX404">
            <v>810.00004687499995</v>
          </cell>
          <cell r="AY404" t="str">
            <v>ГП</v>
          </cell>
          <cell r="AZ404">
            <v>1120.0000271480001</v>
          </cell>
          <cell r="BA404" t="str">
            <v>ГП</v>
          </cell>
          <cell r="BB404">
            <v>1380.0000082030001</v>
          </cell>
          <cell r="BC404" t="str">
            <v>ГК83 1/8</v>
          </cell>
          <cell r="BD404">
            <v>1610.000034375</v>
          </cell>
          <cell r="BE404" t="str">
            <v>ГК83 1/8</v>
          </cell>
          <cell r="BF404">
            <v>1810</v>
          </cell>
          <cell r="BG404" t="str">
            <v>ЦКсОК 5/16</v>
          </cell>
          <cell r="BH404" t="str">
            <v>-</v>
          </cell>
          <cell r="BI404" t="str">
            <v>-</v>
          </cell>
        </row>
        <row r="405">
          <cell r="J405">
            <v>1474</v>
          </cell>
          <cell r="K405" t="str">
            <v>К-22</v>
          </cell>
          <cell r="L405">
            <v>43489</v>
          </cell>
          <cell r="M405" t="str">
            <v>Гор.</v>
          </cell>
          <cell r="N405" t="str">
            <v>P4+5+6_Block1_yug</v>
          </cell>
          <cell r="O405" t="str">
            <v>Действующий</v>
          </cell>
          <cell r="P405" t="str">
            <v>В работе</v>
          </cell>
          <cell r="Q405">
            <v>-4</v>
          </cell>
          <cell r="U405">
            <v>203</v>
          </cell>
          <cell r="V405">
            <v>218.2</v>
          </cell>
          <cell r="W405">
            <v>0.98</v>
          </cell>
          <cell r="X405">
            <v>1.66</v>
          </cell>
          <cell r="Y405">
            <v>0.98</v>
          </cell>
          <cell r="Z405">
            <v>1.454</v>
          </cell>
          <cell r="AA405">
            <v>0.83599999999999997</v>
          </cell>
          <cell r="AB405">
            <v>0.72</v>
          </cell>
          <cell r="AC405">
            <v>34.299999999999997</v>
          </cell>
          <cell r="AD405">
            <v>1.17</v>
          </cell>
          <cell r="AE405">
            <v>177.8</v>
          </cell>
          <cell r="AF405">
            <v>9.19</v>
          </cell>
          <cell r="AG405">
            <v>2150</v>
          </cell>
          <cell r="AH405">
            <v>3000</v>
          </cell>
          <cell r="AI405">
            <v>3000</v>
          </cell>
          <cell r="AM405" t="str">
            <v>закрытый</v>
          </cell>
          <cell r="AN405" t="str">
            <v xml:space="preserve">2238,79-2240,22; 2348,86-2350,29; 2476,86-2478,29; 2572,28-2573,71; 2677,38-2678,81; 2771,84-2773,27; 2876,94-2878,17 </v>
          </cell>
          <cell r="AO405">
            <v>15.09</v>
          </cell>
          <cell r="AP405">
            <v>2238.79</v>
          </cell>
          <cell r="AQ405">
            <v>389.5</v>
          </cell>
          <cell r="AR405" t="str">
            <v>2195,78-2897,18</v>
          </cell>
          <cell r="AS405">
            <v>114</v>
          </cell>
          <cell r="AT405">
            <v>7.37</v>
          </cell>
          <cell r="AU405" t="str">
            <v>Газлифт</v>
          </cell>
          <cell r="AV405">
            <v>549.99999140600005</v>
          </cell>
          <cell r="AW405" t="str">
            <v>ГП</v>
          </cell>
          <cell r="AX405">
            <v>1024.999983984</v>
          </cell>
          <cell r="AY405" t="str">
            <v>ГП</v>
          </cell>
          <cell r="AZ405">
            <v>1380.0000082030001</v>
          </cell>
          <cell r="BA405" t="str">
            <v>ГК76 1/8</v>
          </cell>
          <cell r="BB405">
            <v>1680.0000035160001</v>
          </cell>
          <cell r="BC405" t="str">
            <v>ГК76 5/32</v>
          </cell>
          <cell r="BD405">
            <v>1899.9999703129999</v>
          </cell>
          <cell r="BE405" t="str">
            <v>ЦКсОК 5/16</v>
          </cell>
          <cell r="BF405" t="str">
            <v>-</v>
          </cell>
          <cell r="BG405" t="str">
            <v>-</v>
          </cell>
          <cell r="BH405" t="str">
            <v>-</v>
          </cell>
          <cell r="BI405" t="str">
            <v>-</v>
          </cell>
        </row>
        <row r="406">
          <cell r="J406">
            <v>1475</v>
          </cell>
          <cell r="K406" t="str">
            <v>К-65</v>
          </cell>
          <cell r="L406">
            <v>43284</v>
          </cell>
          <cell r="M406" t="str">
            <v>Гор.</v>
          </cell>
          <cell r="N406" t="str">
            <v>P4+5+6_Block1_yug</v>
          </cell>
          <cell r="O406" t="str">
            <v>Действующий</v>
          </cell>
          <cell r="P406" t="str">
            <v>В работе</v>
          </cell>
          <cell r="Q406">
            <v>-4</v>
          </cell>
          <cell r="R406">
            <v>43178</v>
          </cell>
          <cell r="S406" t="str">
            <v>МеКаМиНефть</v>
          </cell>
          <cell r="T406" t="str">
            <v>КГРП 7ст.
350м3 15% HCl</v>
          </cell>
          <cell r="U406">
            <v>203</v>
          </cell>
          <cell r="V406">
            <v>218.2</v>
          </cell>
          <cell r="W406">
            <v>0.98</v>
          </cell>
          <cell r="X406">
            <v>1.66</v>
          </cell>
          <cell r="Y406">
            <v>1.0448432221351591</v>
          </cell>
          <cell r="Z406">
            <v>1.454</v>
          </cell>
          <cell r="AA406">
            <v>0.83599999999999997</v>
          </cell>
          <cell r="AB406">
            <v>0.72</v>
          </cell>
          <cell r="AC406">
            <v>34.299999999999997</v>
          </cell>
          <cell r="AD406">
            <v>1.17</v>
          </cell>
          <cell r="AE406">
            <v>177.8</v>
          </cell>
          <cell r="AF406">
            <v>9.19</v>
          </cell>
          <cell r="AG406">
            <v>2869.69</v>
          </cell>
          <cell r="AH406">
            <v>3496.64</v>
          </cell>
          <cell r="AI406">
            <v>3496.64</v>
          </cell>
          <cell r="AJ406">
            <v>43106</v>
          </cell>
          <cell r="AK406" t="str">
            <v>По спущенной компановке</v>
          </cell>
          <cell r="AM406" t="str">
            <v>Закрытый</v>
          </cell>
          <cell r="AN406" t="str">
            <v xml:space="preserve">2946-2947,4; 3091,9-3093,3; 3176,16-3177,56; 3250,63-3252,03; 3335,62-3337,02; 3400-3401,4; 3474,68-3475,91 </v>
          </cell>
          <cell r="AO406">
            <v>9.6300000000000008</v>
          </cell>
          <cell r="AP406">
            <v>2946</v>
          </cell>
          <cell r="AQ406">
            <v>863</v>
          </cell>
          <cell r="AR406" t="str">
            <v>2805,66-3497</v>
          </cell>
          <cell r="AS406">
            <v>114</v>
          </cell>
          <cell r="AT406">
            <v>7.37</v>
          </cell>
          <cell r="AU406" t="str">
            <v>Газлифт</v>
          </cell>
          <cell r="AV406">
            <v>554.00000771500004</v>
          </cell>
          <cell r="AW406" t="str">
            <v>ГП</v>
          </cell>
          <cell r="AX406">
            <v>1192.9999992190001</v>
          </cell>
          <cell r="AY406" t="str">
            <v>ГП</v>
          </cell>
          <cell r="AZ406">
            <v>1746.0000679689999</v>
          </cell>
          <cell r="BA406" t="str">
            <v>ГК 75 1/8</v>
          </cell>
          <cell r="BB406">
            <v>2190.0000550780001</v>
          </cell>
          <cell r="BC406" t="str">
            <v>ГК 74 1/8</v>
          </cell>
          <cell r="BD406">
            <v>2419.9999324219998</v>
          </cell>
          <cell r="BE406" t="str">
            <v>ЦКсОК 5/16</v>
          </cell>
          <cell r="BF406" t="str">
            <v>-</v>
          </cell>
          <cell r="BG406" t="str">
            <v>-</v>
          </cell>
          <cell r="BH406">
            <v>2430</v>
          </cell>
          <cell r="BI406" t="str">
            <v xml:space="preserve">закрыт </v>
          </cell>
        </row>
        <row r="407">
          <cell r="J407">
            <v>3316</v>
          </cell>
          <cell r="K407" t="str">
            <v>К-44</v>
          </cell>
          <cell r="L407">
            <v>42338</v>
          </cell>
          <cell r="M407" t="str">
            <v>Гор.</v>
          </cell>
          <cell r="N407" t="str">
            <v>P4+5+6_Block1_yug</v>
          </cell>
          <cell r="O407" t="str">
            <v>Действующий</v>
          </cell>
          <cell r="P407" t="str">
            <v>В работе</v>
          </cell>
          <cell r="Q407">
            <v>-4</v>
          </cell>
          <cell r="U407">
            <v>203</v>
          </cell>
          <cell r="V407">
            <v>218.2</v>
          </cell>
          <cell r="W407">
            <v>0.98</v>
          </cell>
          <cell r="X407">
            <v>1.66</v>
          </cell>
          <cell r="Y407">
            <v>0.98</v>
          </cell>
          <cell r="Z407">
            <v>1.454</v>
          </cell>
          <cell r="AA407">
            <v>0.83599999999999997</v>
          </cell>
          <cell r="AB407">
            <v>0.72</v>
          </cell>
          <cell r="AC407">
            <v>34.299999999999997</v>
          </cell>
          <cell r="AD407">
            <v>1.17</v>
          </cell>
          <cell r="AE407">
            <v>177.8</v>
          </cell>
          <cell r="AF407">
            <v>9.19</v>
          </cell>
          <cell r="AG407">
            <v>2162</v>
          </cell>
          <cell r="AH407">
            <v>2762</v>
          </cell>
          <cell r="AI407">
            <v>2762</v>
          </cell>
          <cell r="AM407" t="str">
            <v>открытый</v>
          </cell>
          <cell r="AN407" t="str">
            <v>2071-2753</v>
          </cell>
          <cell r="AO407">
            <v>20.819999999999936</v>
          </cell>
          <cell r="AP407">
            <v>2071</v>
          </cell>
          <cell r="AQ407">
            <v>248.57</v>
          </cell>
          <cell r="AR407" t="str">
            <v>2071-2753</v>
          </cell>
          <cell r="AS407">
            <v>114</v>
          </cell>
          <cell r="AT407">
            <v>7.37</v>
          </cell>
          <cell r="AU407" t="str">
            <v>Газлифт</v>
          </cell>
          <cell r="AV407">
            <v>410.00001591799997</v>
          </cell>
          <cell r="AW407" t="str">
            <v>ГП</v>
          </cell>
          <cell r="AX407">
            <v>809.99997246099997</v>
          </cell>
          <cell r="AY407" t="str">
            <v>ГП</v>
          </cell>
          <cell r="AZ407">
            <v>1139.9999970700001</v>
          </cell>
          <cell r="BA407" t="str">
            <v>ГК73 1/8</v>
          </cell>
          <cell r="BB407">
            <v>1499.999976563</v>
          </cell>
          <cell r="BC407" t="str">
            <v>ГК72 5/32</v>
          </cell>
          <cell r="BD407">
            <v>1828.000048828</v>
          </cell>
          <cell r="BE407" t="str">
            <v>ЦКсОК 5/16</v>
          </cell>
          <cell r="BF407" t="str">
            <v>-</v>
          </cell>
          <cell r="BG407" t="str">
            <v>-</v>
          </cell>
          <cell r="BH407">
            <v>1838</v>
          </cell>
          <cell r="BI407" t="str">
            <v>закрыт</v>
          </cell>
        </row>
        <row r="408">
          <cell r="J408" t="str">
            <v>1476-1</v>
          </cell>
          <cell r="K408" t="str">
            <v>К-88</v>
          </cell>
          <cell r="L408">
            <v>43451</v>
          </cell>
          <cell r="M408" t="str">
            <v>Гор.</v>
          </cell>
          <cell r="N408" t="str">
            <v>P4+5+6_Block1_yug</v>
          </cell>
          <cell r="O408" t="str">
            <v>Действующий</v>
          </cell>
          <cell r="P408" t="str">
            <v>В работе</v>
          </cell>
          <cell r="Q408">
            <v>-4</v>
          </cell>
          <cell r="U408">
            <v>203</v>
          </cell>
          <cell r="V408">
            <v>218.2</v>
          </cell>
          <cell r="W408">
            <v>0.98</v>
          </cell>
          <cell r="X408">
            <v>1.66</v>
          </cell>
          <cell r="Y408">
            <v>0.98160841861363191</v>
          </cell>
          <cell r="Z408">
            <v>1.454</v>
          </cell>
          <cell r="AA408">
            <v>0.83599999999999997</v>
          </cell>
          <cell r="AB408">
            <v>0.72</v>
          </cell>
          <cell r="AC408">
            <v>34.299999999999997</v>
          </cell>
          <cell r="AD408">
            <v>1.17</v>
          </cell>
          <cell r="AE408">
            <v>177.8</v>
          </cell>
          <cell r="AF408">
            <v>9.19</v>
          </cell>
          <cell r="AG408">
            <v>2322</v>
          </cell>
          <cell r="AH408">
            <v>3135</v>
          </cell>
          <cell r="AI408">
            <v>3135</v>
          </cell>
          <cell r="AM408" t="str">
            <v>Закрытый</v>
          </cell>
          <cell r="AN408" t="str">
            <v>2378,07 - 2379,27; 2497,13 - 2498,33; 2613,18 - 2614,38; 2707,65 - 2708,85; 2865,68  - 2866,88; 2951,40 - 2952,60; 3088,95 - 3090,15</v>
          </cell>
          <cell r="AO408">
            <v>26.789999999999964</v>
          </cell>
          <cell r="AP408">
            <v>2378.0700000000002</v>
          </cell>
          <cell r="AQ408">
            <v>491.4</v>
          </cell>
          <cell r="AR408" t="str">
            <v>2346,78-3118,42</v>
          </cell>
          <cell r="AS408">
            <v>114</v>
          </cell>
          <cell r="AT408">
            <v>7.37</v>
          </cell>
          <cell r="AU408" t="str">
            <v>Газлифт</v>
          </cell>
          <cell r="AV408">
            <v>449.999992969</v>
          </cell>
          <cell r="AW408" t="str">
            <v>ГП</v>
          </cell>
          <cell r="AX408">
            <v>859.99997168000004</v>
          </cell>
          <cell r="AY408" t="str">
            <v>ГП</v>
          </cell>
          <cell r="AZ408">
            <v>1230.0000105470001</v>
          </cell>
          <cell r="BA408" t="str">
            <v>ГК74 1/8</v>
          </cell>
          <cell r="BB408">
            <v>1530.0000058590001</v>
          </cell>
          <cell r="BC408" t="str">
            <v>ГК73 5/32</v>
          </cell>
          <cell r="BD408">
            <v>1769.9999425779999</v>
          </cell>
          <cell r="BE408" t="str">
            <v>ГК73 5/32</v>
          </cell>
          <cell r="BF408">
            <v>2000</v>
          </cell>
          <cell r="BG408" t="str">
            <v>ЦКсОК 5/16</v>
          </cell>
          <cell r="BH408">
            <v>2010</v>
          </cell>
          <cell r="BI408" t="str">
            <v xml:space="preserve">закрыт </v>
          </cell>
        </row>
        <row r="409">
          <cell r="J409">
            <v>1477</v>
          </cell>
          <cell r="K409" t="str">
            <v>К-88</v>
          </cell>
          <cell r="L409">
            <v>43521</v>
          </cell>
          <cell r="M409" t="str">
            <v>Гор.</v>
          </cell>
          <cell r="N409" t="str">
            <v>P4+5+6_Block1_yug</v>
          </cell>
          <cell r="O409" t="str">
            <v>Действующий</v>
          </cell>
          <cell r="P409" t="str">
            <v>В работе</v>
          </cell>
          <cell r="Q409">
            <v>-4</v>
          </cell>
          <cell r="U409">
            <v>203</v>
          </cell>
          <cell r="V409">
            <v>218.2</v>
          </cell>
          <cell r="W409">
            <v>0.98</v>
          </cell>
          <cell r="X409">
            <v>1.66</v>
          </cell>
          <cell r="Y409">
            <v>0.98403097023953534</v>
          </cell>
          <cell r="Z409">
            <v>1.454</v>
          </cell>
          <cell r="AA409">
            <v>0.83599999999999997</v>
          </cell>
          <cell r="AB409">
            <v>0.72</v>
          </cell>
          <cell r="AC409">
            <v>34.299999999999997</v>
          </cell>
          <cell r="AD409">
            <v>1.17</v>
          </cell>
          <cell r="AE409">
            <v>177.8</v>
          </cell>
          <cell r="AF409">
            <v>9.19</v>
          </cell>
          <cell r="AG409">
            <v>2316</v>
          </cell>
          <cell r="AH409">
            <v>3337</v>
          </cell>
          <cell r="AI409">
            <v>3337</v>
          </cell>
          <cell r="AM409" t="str">
            <v>Закрытый</v>
          </cell>
          <cell r="AN409" t="str">
            <v xml:space="preserve">2406,36 - 2407,56, 2492,69-2493,89, 2625,56-2626,76,2744,84-2746,04, 2865,71-2866,91, 2989,94-2991,14, 3104,9-3106,1 </v>
          </cell>
          <cell r="AO409">
            <v>26.619999999999891</v>
          </cell>
          <cell r="AP409">
            <v>2406.36</v>
          </cell>
          <cell r="AQ409">
            <v>486.5</v>
          </cell>
          <cell r="AR409" t="str">
            <v>2386,45-3178,98</v>
          </cell>
          <cell r="AS409">
            <v>114</v>
          </cell>
          <cell r="AT409">
            <v>7.37</v>
          </cell>
          <cell r="AU409" t="str">
            <v>Газлифт</v>
          </cell>
          <cell r="AV409">
            <v>549.99999140600005</v>
          </cell>
          <cell r="AW409" t="str">
            <v>ГП</v>
          </cell>
          <cell r="AX409">
            <v>1049.999983594</v>
          </cell>
          <cell r="AY409" t="str">
            <v>ГП</v>
          </cell>
          <cell r="AZ409">
            <v>1430.000007422</v>
          </cell>
          <cell r="BA409" t="str">
            <v>ГК75 1/8</v>
          </cell>
          <cell r="BB409">
            <v>1730.000002734</v>
          </cell>
          <cell r="BC409" t="str">
            <v>ГК74 5/32</v>
          </cell>
          <cell r="BD409">
            <v>2019.9999386720001</v>
          </cell>
          <cell r="BE409" t="str">
            <v>ЦКсОК 5/16</v>
          </cell>
          <cell r="BF409" t="str">
            <v>-</v>
          </cell>
          <cell r="BG409" t="str">
            <v>-</v>
          </cell>
          <cell r="BH409" t="str">
            <v>-</v>
          </cell>
          <cell r="BI409" t="str">
            <v>-</v>
          </cell>
        </row>
        <row r="410">
          <cell r="J410">
            <v>1478</v>
          </cell>
          <cell r="K410" t="str">
            <v>К-116</v>
          </cell>
          <cell r="L410">
            <v>43856</v>
          </cell>
          <cell r="M410" t="str">
            <v>Гор.</v>
          </cell>
          <cell r="N410" t="str">
            <v>P4+5+6_Block1_yug</v>
          </cell>
          <cell r="O410" t="str">
            <v>Действующий</v>
          </cell>
          <cell r="P410" t="str">
            <v>В работе</v>
          </cell>
          <cell r="Q410">
            <v>-4</v>
          </cell>
          <cell r="U410">
            <v>203</v>
          </cell>
          <cell r="V410">
            <v>218.2</v>
          </cell>
          <cell r="W410">
            <v>0.98</v>
          </cell>
          <cell r="X410">
            <v>1.66</v>
          </cell>
          <cell r="Y410">
            <v>0.98</v>
          </cell>
          <cell r="Z410">
            <v>1.454</v>
          </cell>
          <cell r="AA410">
            <v>0.83599999999999997</v>
          </cell>
          <cell r="AB410">
            <v>0.72</v>
          </cell>
          <cell r="AC410">
            <v>34.299999999999997</v>
          </cell>
          <cell r="AD410">
            <v>1.17</v>
          </cell>
          <cell r="AE410">
            <v>177.8</v>
          </cell>
          <cell r="AF410">
            <v>9.19</v>
          </cell>
          <cell r="AG410">
            <v>2248</v>
          </cell>
          <cell r="AH410">
            <v>3039</v>
          </cell>
          <cell r="AI410">
            <v>3039</v>
          </cell>
          <cell r="AM410" t="str">
            <v>Закрытый</v>
          </cell>
          <cell r="AN410" t="str">
            <v>2323,96-2324,71; 2410,39-2411,14;2509,1-2509,85;2631,64-2632,39;2779,54-2780,29; 2902,6-2903,35;3026,03-3027,13</v>
          </cell>
          <cell r="AO410">
            <v>3.22</v>
          </cell>
          <cell r="AP410">
            <v>2323.96</v>
          </cell>
          <cell r="AQ410">
            <v>497.96000000000004</v>
          </cell>
          <cell r="AU410" t="str">
            <v>Газлифт</v>
          </cell>
          <cell r="AV410">
            <v>420.00000087900003</v>
          </cell>
          <cell r="AW410" t="str">
            <v>ГП</v>
          </cell>
          <cell r="AX410">
            <v>840.00000175800005</v>
          </cell>
          <cell r="AY410" t="str">
            <v>ГП</v>
          </cell>
          <cell r="AZ410">
            <v>1239.999995508</v>
          </cell>
          <cell r="BA410" t="str">
            <v>ГК78 5/32</v>
          </cell>
          <cell r="BB410">
            <v>1570.0000945310001</v>
          </cell>
          <cell r="BC410" t="str">
            <v>ГК78 5/32</v>
          </cell>
          <cell r="BD410">
            <v>1780.000001953</v>
          </cell>
          <cell r="BE410" t="str">
            <v>ГК77 5/32</v>
          </cell>
          <cell r="BF410">
            <v>2000</v>
          </cell>
          <cell r="BG410" t="str">
            <v>ЦКсОК 5/16</v>
          </cell>
          <cell r="BH410" t="str">
            <v>-</v>
          </cell>
          <cell r="BI410" t="str">
            <v>-</v>
          </cell>
        </row>
        <row r="411">
          <cell r="J411">
            <v>1479</v>
          </cell>
          <cell r="K411" t="str">
            <v>К-88</v>
          </cell>
          <cell r="L411">
            <v>43948</v>
          </cell>
          <cell r="M411" t="str">
            <v>Гор.</v>
          </cell>
          <cell r="N411" t="str">
            <v>P4+5+6_Block1_yug</v>
          </cell>
          <cell r="O411" t="str">
            <v>Действующий</v>
          </cell>
          <cell r="P411" t="str">
            <v>Остановлена</v>
          </cell>
          <cell r="Q411">
            <v>-4</v>
          </cell>
          <cell r="U411">
            <v>203</v>
          </cell>
          <cell r="V411">
            <v>218.2</v>
          </cell>
          <cell r="W411">
            <v>0.98</v>
          </cell>
          <cell r="X411">
            <v>1.66</v>
          </cell>
          <cell r="Y411">
            <v>0.98</v>
          </cell>
          <cell r="Z411">
            <v>1.454</v>
          </cell>
          <cell r="AA411">
            <v>0.83599999999999997</v>
          </cell>
          <cell r="AB411">
            <v>0.72</v>
          </cell>
          <cell r="AC411">
            <v>34.299999999999997</v>
          </cell>
          <cell r="AD411">
            <v>1.17</v>
          </cell>
          <cell r="AE411">
            <v>177.8</v>
          </cell>
          <cell r="AF411">
            <v>9.19</v>
          </cell>
          <cell r="AG411">
            <v>2387.6999999999998</v>
          </cell>
          <cell r="AH411">
            <v>2990</v>
          </cell>
          <cell r="AI411">
            <v>2985</v>
          </cell>
          <cell r="AM411" t="str">
            <v>Закрытый</v>
          </cell>
          <cell r="AN411" t="str">
            <v>2493,71-2494,46,2651,42-2652,17,2749,05-2749,8,2810,16-2811,46,2946,83-2947,93</v>
          </cell>
          <cell r="AO411">
            <v>17.45</v>
          </cell>
          <cell r="AP411">
            <v>2493.71</v>
          </cell>
          <cell r="AQ411">
            <v>570.82000000000005</v>
          </cell>
          <cell r="AR411" t="str">
            <v>2493,71-2947,93</v>
          </cell>
          <cell r="AS411">
            <v>114</v>
          </cell>
          <cell r="AT411">
            <v>7.37</v>
          </cell>
          <cell r="AU411" t="str">
            <v>Газлифт</v>
          </cell>
          <cell r="AV411">
            <v>496.00001308600002</v>
          </cell>
          <cell r="AW411" t="str">
            <v>ГП</v>
          </cell>
          <cell r="AX411">
            <v>1005.9999902340001</v>
          </cell>
          <cell r="AY411" t="str">
            <v>ГП</v>
          </cell>
          <cell r="AZ411">
            <v>1461.9999890629999</v>
          </cell>
          <cell r="BA411" t="str">
            <v>ГК74 1/8</v>
          </cell>
          <cell r="BB411">
            <v>1731.9999550780001</v>
          </cell>
          <cell r="BC411" t="str">
            <v>ГК73 5/32</v>
          </cell>
          <cell r="BD411">
            <v>2010.000028125</v>
          </cell>
          <cell r="BE411" t="str">
            <v>ЦКсОК 5/16</v>
          </cell>
          <cell r="BF411" t="str">
            <v>-</v>
          </cell>
          <cell r="BG411" t="str">
            <v>-</v>
          </cell>
          <cell r="BH411" t="str">
            <v>-</v>
          </cell>
          <cell r="BI411" t="str">
            <v>-</v>
          </cell>
        </row>
        <row r="412">
          <cell r="J412" t="str">
            <v>1480-1</v>
          </cell>
          <cell r="K412" t="str">
            <v>К-1420</v>
          </cell>
          <cell r="L412">
            <v>44122</v>
          </cell>
          <cell r="M412" t="str">
            <v>Гор.</v>
          </cell>
          <cell r="N412" t="str">
            <v>Р4+5_Block3</v>
          </cell>
          <cell r="O412" t="str">
            <v>Действующий</v>
          </cell>
          <cell r="P412" t="str">
            <v>Остановлена</v>
          </cell>
          <cell r="Q412">
            <v>-4</v>
          </cell>
          <cell r="U412">
            <v>203</v>
          </cell>
          <cell r="V412">
            <v>218.2</v>
          </cell>
          <cell r="W412">
            <v>0.98</v>
          </cell>
          <cell r="X412">
            <v>1.66</v>
          </cell>
          <cell r="Y412">
            <v>1.3952211873273985</v>
          </cell>
          <cell r="Z412">
            <v>1.454</v>
          </cell>
          <cell r="AA412">
            <v>0.83599999999999997</v>
          </cell>
          <cell r="AB412">
            <v>0.72</v>
          </cell>
          <cell r="AC412">
            <v>34.299999999999997</v>
          </cell>
          <cell r="AD412">
            <v>1.17</v>
          </cell>
          <cell r="AE412">
            <v>177.8</v>
          </cell>
          <cell r="AF412">
            <v>9.19</v>
          </cell>
          <cell r="AG412">
            <v>2320</v>
          </cell>
          <cell r="AH412">
            <v>3005</v>
          </cell>
          <cell r="AI412">
            <v>3005</v>
          </cell>
          <cell r="AM412" t="str">
            <v>открытый</v>
          </cell>
          <cell r="AN412" t="str">
            <v>2320-3005</v>
          </cell>
          <cell r="AO412">
            <v>123.8</v>
          </cell>
          <cell r="AP412">
            <v>1788.2</v>
          </cell>
          <cell r="AQ412">
            <v>554.79999999999995</v>
          </cell>
          <cell r="AU412" t="str">
            <v>Газлифт</v>
          </cell>
          <cell r="AV412">
            <v>519.99999931599996</v>
          </cell>
          <cell r="AW412" t="str">
            <v>ГП</v>
          </cell>
          <cell r="AX412">
            <v>1039.9999986329999</v>
          </cell>
          <cell r="AY412" t="str">
            <v>ГК83 1/8</v>
          </cell>
          <cell r="AZ412">
            <v>1480.000006641</v>
          </cell>
          <cell r="BA412" t="str">
            <v>ГК82 1/8</v>
          </cell>
          <cell r="BB412">
            <v>1770.0000914059999</v>
          </cell>
          <cell r="BC412" t="str">
            <v>ГК 82 5/32</v>
          </cell>
          <cell r="BD412">
            <v>2050.0001167969999</v>
          </cell>
          <cell r="BE412" t="str">
            <v>ГК 81 5/32</v>
          </cell>
          <cell r="BF412" t="str">
            <v>-</v>
          </cell>
          <cell r="BG412" t="str">
            <v>-</v>
          </cell>
          <cell r="BH412" t="str">
            <v>-</v>
          </cell>
          <cell r="BI412" t="str">
            <v>-</v>
          </cell>
        </row>
        <row r="413">
          <cell r="J413">
            <v>1517</v>
          </cell>
          <cell r="K413" t="str">
            <v>К-1526</v>
          </cell>
          <cell r="L413">
            <v>43842</v>
          </cell>
          <cell r="M413" t="str">
            <v>Гор.</v>
          </cell>
          <cell r="N413" t="str">
            <v>P4+5+6_Block1_yug</v>
          </cell>
          <cell r="O413" t="str">
            <v>Действующий</v>
          </cell>
          <cell r="P413" t="str">
            <v>В работе</v>
          </cell>
          <cell r="Q413">
            <v>-4</v>
          </cell>
          <cell r="U413">
            <v>203</v>
          </cell>
          <cell r="V413">
            <v>218.2</v>
          </cell>
          <cell r="W413">
            <v>0.98</v>
          </cell>
          <cell r="X413">
            <v>1.66</v>
          </cell>
          <cell r="Y413">
            <v>0.98809523809523803</v>
          </cell>
          <cell r="Z413">
            <v>1.454</v>
          </cell>
          <cell r="AA413">
            <v>0.83599999999999997</v>
          </cell>
          <cell r="AB413">
            <v>0.72</v>
          </cell>
          <cell r="AC413">
            <v>34.299999999999997</v>
          </cell>
          <cell r="AD413">
            <v>1.17</v>
          </cell>
          <cell r="AE413">
            <v>177.8</v>
          </cell>
          <cell r="AF413">
            <v>9.19</v>
          </cell>
          <cell r="AG413">
            <v>2408</v>
          </cell>
          <cell r="AH413">
            <v>3288.45</v>
          </cell>
          <cell r="AI413">
            <v>3288.45</v>
          </cell>
          <cell r="AM413" t="str">
            <v>откр.ствол / хвостовик</v>
          </cell>
          <cell r="AN413" t="str">
            <v>2495,31-2496,51; 2621,3--2622,5; 2756,03-2757,23; 2886,42-2887,62;3012,09-3013,29;3147,81-3149,01;3277,10-3278,30</v>
          </cell>
          <cell r="AO413">
            <v>55.78</v>
          </cell>
          <cell r="AP413">
            <v>2495.31</v>
          </cell>
          <cell r="AQ413">
            <v>632.30999999999995</v>
          </cell>
          <cell r="AR413" t="str">
            <v>2354,54-3288,45</v>
          </cell>
          <cell r="AS413">
            <v>114</v>
          </cell>
          <cell r="AT413">
            <v>7.37</v>
          </cell>
          <cell r="AU413" t="str">
            <v>Газлифт</v>
          </cell>
          <cell r="AV413">
            <v>390.00000878899999</v>
          </cell>
          <cell r="AW413" t="str">
            <v>ГП</v>
          </cell>
          <cell r="AX413">
            <v>699.99998906300004</v>
          </cell>
          <cell r="AY413" t="str">
            <v>ГП</v>
          </cell>
          <cell r="AZ413">
            <v>1099.9999828130001</v>
          </cell>
          <cell r="BA413" t="str">
            <v>ГП</v>
          </cell>
          <cell r="BB413">
            <v>1449.9999773439999</v>
          </cell>
          <cell r="BC413" t="str">
            <v>ГК70 1/8</v>
          </cell>
          <cell r="BD413">
            <v>1810.0000312499999</v>
          </cell>
          <cell r="BE413" t="str">
            <v>ГК69 5/32</v>
          </cell>
          <cell r="BF413">
            <v>2100</v>
          </cell>
          <cell r="BG413" t="str">
            <v>ЦКсОК 5/16</v>
          </cell>
          <cell r="BH413" t="str">
            <v>-</v>
          </cell>
          <cell r="BI413" t="str">
            <v>-</v>
          </cell>
        </row>
        <row r="414">
          <cell r="J414">
            <v>1482</v>
          </cell>
          <cell r="K414" t="str">
            <v>К-116</v>
          </cell>
          <cell r="L414">
            <v>43878</v>
          </cell>
          <cell r="M414" t="str">
            <v>Гор.</v>
          </cell>
          <cell r="N414" t="str">
            <v>P4+5+6_Block1_yug</v>
          </cell>
          <cell r="O414" t="str">
            <v>Действующий</v>
          </cell>
          <cell r="P414" t="str">
            <v>В работе</v>
          </cell>
          <cell r="Q414">
            <v>-4</v>
          </cell>
          <cell r="U414">
            <v>203</v>
          </cell>
          <cell r="V414">
            <v>218.2</v>
          </cell>
          <cell r="W414">
            <v>0.98</v>
          </cell>
          <cell r="X414">
            <v>1.66</v>
          </cell>
          <cell r="Y414">
            <v>0.98</v>
          </cell>
          <cell r="Z414">
            <v>1.454</v>
          </cell>
          <cell r="AA414">
            <v>0.83599999999999997</v>
          </cell>
          <cell r="AB414">
            <v>0.72</v>
          </cell>
          <cell r="AC414">
            <v>34.299999999999997</v>
          </cell>
          <cell r="AD414">
            <v>1.17</v>
          </cell>
          <cell r="AE414">
            <v>177.8</v>
          </cell>
          <cell r="AF414">
            <v>9.19</v>
          </cell>
          <cell r="AG414">
            <v>2218</v>
          </cell>
          <cell r="AH414">
            <v>3018</v>
          </cell>
          <cell r="AI414">
            <v>3018</v>
          </cell>
          <cell r="AM414" t="str">
            <v>открытый</v>
          </cell>
          <cell r="AN414" t="str">
            <v>2218-3018</v>
          </cell>
          <cell r="AO414">
            <v>12.053599999999999</v>
          </cell>
          <cell r="AP414">
            <v>2218</v>
          </cell>
          <cell r="AQ414">
            <v>383.03640000000001</v>
          </cell>
          <cell r="AU414" t="str">
            <v>Газлифт</v>
          </cell>
          <cell r="AV414">
            <v>430.00002304700001</v>
          </cell>
          <cell r="AW414" t="str">
            <v>ГП</v>
          </cell>
          <cell r="AX414">
            <v>860.00004609400003</v>
          </cell>
          <cell r="AY414" t="str">
            <v>ГП</v>
          </cell>
          <cell r="AZ414">
            <v>1239.999995508</v>
          </cell>
          <cell r="BA414" t="str">
            <v>ГК81 1/8</v>
          </cell>
          <cell r="BB414">
            <v>1549.9999757810001</v>
          </cell>
          <cell r="BC414" t="str">
            <v>ГК80 1/8</v>
          </cell>
          <cell r="BD414">
            <v>1860.000030469</v>
          </cell>
          <cell r="BE414" t="str">
            <v>ЦКсОК 5/16</v>
          </cell>
          <cell r="BF414" t="str">
            <v>-</v>
          </cell>
          <cell r="BG414" t="str">
            <v>-</v>
          </cell>
          <cell r="BH414" t="str">
            <v>-</v>
          </cell>
          <cell r="BI414" t="str">
            <v>-</v>
          </cell>
        </row>
        <row r="415">
          <cell r="J415">
            <v>1485</v>
          </cell>
          <cell r="K415" t="str">
            <v>К-88</v>
          </cell>
          <cell r="L415">
            <v>43353</v>
          </cell>
          <cell r="M415" t="str">
            <v>Гор.</v>
          </cell>
          <cell r="N415" t="str">
            <v>P4+5+6_Block1_yug</v>
          </cell>
          <cell r="O415" t="str">
            <v>В бездействии прошлых лет.</v>
          </cell>
          <cell r="P415" t="str">
            <v>Остановлена</v>
          </cell>
          <cell r="Q415">
            <v>-4</v>
          </cell>
          <cell r="U415">
            <v>203</v>
          </cell>
          <cell r="V415">
            <v>218.2</v>
          </cell>
          <cell r="W415">
            <v>0.98</v>
          </cell>
          <cell r="X415">
            <v>1.66</v>
          </cell>
          <cell r="Y415">
            <v>0.98</v>
          </cell>
          <cell r="Z415">
            <v>1.454</v>
          </cell>
          <cell r="AA415">
            <v>0.83599999999999997</v>
          </cell>
          <cell r="AB415">
            <v>0.72</v>
          </cell>
          <cell r="AC415">
            <v>34.299999999999997</v>
          </cell>
          <cell r="AD415">
            <v>1.17</v>
          </cell>
          <cell r="AE415">
            <v>177.8</v>
          </cell>
          <cell r="AF415">
            <v>9.19</v>
          </cell>
          <cell r="AG415">
            <v>2089.6</v>
          </cell>
          <cell r="AH415">
            <v>3040</v>
          </cell>
          <cell r="AI415">
            <v>3040</v>
          </cell>
          <cell r="AM415" t="str">
            <v>Закрытый</v>
          </cell>
          <cell r="AN415" t="str">
            <v xml:space="preserve">2350,97-2352,4; 2271,55-2272,75;2634,46-2635,89; 2832,6-2834,39;2956,24-2957,67;3045,45-3046,68 </v>
          </cell>
          <cell r="AO415">
            <v>39.1400000000001</v>
          </cell>
          <cell r="AP415">
            <v>2350.9699999999998</v>
          </cell>
          <cell r="AQ415">
            <v>462.07</v>
          </cell>
          <cell r="AR415" t="str">
            <v>2297,12-3046,8</v>
          </cell>
          <cell r="AS415">
            <v>114</v>
          </cell>
          <cell r="AT415">
            <v>7.37</v>
          </cell>
          <cell r="AU415" t="str">
            <v>Газлифт</v>
          </cell>
          <cell r="AV415">
            <v>549.99999140600005</v>
          </cell>
          <cell r="AW415" t="str">
            <v>ГП</v>
          </cell>
          <cell r="AX415">
            <v>1020.000028711</v>
          </cell>
          <cell r="AY415" t="str">
            <v>ГК76 1/8</v>
          </cell>
          <cell r="AZ415">
            <v>1440.000066797</v>
          </cell>
          <cell r="BA415" t="str">
            <v>ГК77 1/8</v>
          </cell>
          <cell r="BB415">
            <v>1860.000030469</v>
          </cell>
          <cell r="BC415" t="str">
            <v>ЦКсОК 5/16</v>
          </cell>
          <cell r="BD415" t="str">
            <v>-</v>
          </cell>
          <cell r="BE415" t="str">
            <v>-</v>
          </cell>
          <cell r="BF415" t="str">
            <v>-</v>
          </cell>
          <cell r="BG415" t="str">
            <v>-</v>
          </cell>
          <cell r="BH415">
            <v>1870</v>
          </cell>
          <cell r="BI415" t="str">
            <v xml:space="preserve">закрыт </v>
          </cell>
        </row>
        <row r="416">
          <cell r="J416">
            <v>1486</v>
          </cell>
          <cell r="K416" t="str">
            <v>К-88</v>
          </cell>
          <cell r="L416">
            <v>43386</v>
          </cell>
          <cell r="M416" t="str">
            <v>Гор.</v>
          </cell>
          <cell r="N416" t="str">
            <v>P4+5+6_Block1_yug</v>
          </cell>
          <cell r="O416" t="str">
            <v>Действующий</v>
          </cell>
          <cell r="P416" t="str">
            <v>В работе</v>
          </cell>
          <cell r="Q416">
            <v>-4</v>
          </cell>
          <cell r="U416">
            <v>203</v>
          </cell>
          <cell r="V416">
            <v>218.2</v>
          </cell>
          <cell r="W416">
            <v>0.98</v>
          </cell>
          <cell r="X416">
            <v>1.66</v>
          </cell>
          <cell r="Y416">
            <v>0.98036143445655866</v>
          </cell>
          <cell r="Z416">
            <v>1.454</v>
          </cell>
          <cell r="AA416">
            <v>0.83599999999999997</v>
          </cell>
          <cell r="AB416">
            <v>0.72</v>
          </cell>
          <cell r="AC416">
            <v>34.299999999999997</v>
          </cell>
          <cell r="AD416">
            <v>1.17</v>
          </cell>
          <cell r="AE416">
            <v>177.8</v>
          </cell>
          <cell r="AF416">
            <v>9.19</v>
          </cell>
          <cell r="AG416">
            <v>2455.2199999999998</v>
          </cell>
          <cell r="AH416">
            <v>3347</v>
          </cell>
          <cell r="AI416">
            <v>3347</v>
          </cell>
          <cell r="AM416" t="str">
            <v>Закрытый</v>
          </cell>
          <cell r="AN416" t="str">
            <v xml:space="preserve">2499,05-2500,25; 2662,15-2663,35; 2750,1-2751,3; 2902,37-2903,57; 3001-3002,2; 3120,38-3121,58; 3271,07-3272,3 </v>
          </cell>
          <cell r="AO416">
            <v>39.839999999999918</v>
          </cell>
          <cell r="AP416">
            <v>2499.0500000000002</v>
          </cell>
          <cell r="AQ416">
            <v>683.34</v>
          </cell>
          <cell r="AR416" t="str">
            <v xml:space="preserve">2397,76 - 3348
</v>
          </cell>
          <cell r="AS416">
            <v>114.3</v>
          </cell>
          <cell r="AT416">
            <v>7.37</v>
          </cell>
          <cell r="AU416" t="str">
            <v>Газлифт</v>
          </cell>
          <cell r="AV416">
            <v>524.99999179700001</v>
          </cell>
          <cell r="AW416" t="str">
            <v>ГП</v>
          </cell>
          <cell r="AX416">
            <v>1070.00002793</v>
          </cell>
          <cell r="AY416" t="str">
            <v>ГП</v>
          </cell>
          <cell r="AZ416">
            <v>1515.0000656249999</v>
          </cell>
          <cell r="BA416" t="str">
            <v>ГК77 1/8</v>
          </cell>
          <cell r="BB416">
            <v>1880.000000391</v>
          </cell>
          <cell r="BC416" t="str">
            <v>ГК76 1/8</v>
          </cell>
          <cell r="BD416">
            <v>2190.0000550780001</v>
          </cell>
          <cell r="BE416" t="str">
            <v>ЦКсОК 5/16</v>
          </cell>
          <cell r="BF416" t="str">
            <v>-</v>
          </cell>
          <cell r="BG416" t="str">
            <v>-</v>
          </cell>
          <cell r="BH416">
            <v>2020</v>
          </cell>
          <cell r="BI416" t="str">
            <v>закрыт</v>
          </cell>
        </row>
        <row r="417">
          <cell r="J417">
            <v>1489</v>
          </cell>
          <cell r="K417" t="str">
            <v>К-118</v>
          </cell>
          <cell r="L417">
            <v>43517</v>
          </cell>
          <cell r="M417" t="str">
            <v>Гор.</v>
          </cell>
          <cell r="N417" t="str">
            <v>P4+5+6_Block1_yug</v>
          </cell>
          <cell r="O417" t="str">
            <v>Действующий</v>
          </cell>
          <cell r="P417" t="str">
            <v>В работе</v>
          </cell>
          <cell r="Q417">
            <v>-4</v>
          </cell>
          <cell r="U417">
            <v>203</v>
          </cell>
          <cell r="V417">
            <v>218.2</v>
          </cell>
          <cell r="W417">
            <v>0.98</v>
          </cell>
          <cell r="X417">
            <v>1.66</v>
          </cell>
          <cell r="Y417">
            <v>0.98012044853704894</v>
          </cell>
          <cell r="Z417">
            <v>1.454</v>
          </cell>
          <cell r="AA417">
            <v>0.83599999999999997</v>
          </cell>
          <cell r="AB417">
            <v>0.72</v>
          </cell>
          <cell r="AC417">
            <v>34.299999999999997</v>
          </cell>
          <cell r="AD417">
            <v>1.17</v>
          </cell>
          <cell r="AE417">
            <v>177.8</v>
          </cell>
          <cell r="AF417">
            <v>9.19</v>
          </cell>
          <cell r="AG417">
            <v>2254</v>
          </cell>
          <cell r="AH417">
            <v>3108</v>
          </cell>
          <cell r="AI417">
            <v>3108</v>
          </cell>
          <cell r="AM417" t="str">
            <v>Закрытый</v>
          </cell>
          <cell r="AN417" t="str">
            <v xml:space="preserve">2313-2314,43; 2456,31-2457,74; 2599,52-2600,95; 2708,35-2709,78; 2805,09-2806,52; 2914,6-2916,03; 3059,5-3060,73 </v>
          </cell>
          <cell r="AO417">
            <v>63.210000000000036</v>
          </cell>
          <cell r="AP417">
            <v>2313</v>
          </cell>
          <cell r="AQ417">
            <v>486.87</v>
          </cell>
          <cell r="AR417" t="str">
            <v>2200,38-3108</v>
          </cell>
          <cell r="AS417">
            <v>114</v>
          </cell>
          <cell r="AT417">
            <v>7.37</v>
          </cell>
          <cell r="AU417" t="str">
            <v>Газлифт</v>
          </cell>
          <cell r="AV417">
            <v>550.00002861300004</v>
          </cell>
          <cell r="AW417" t="str">
            <v>ГП</v>
          </cell>
          <cell r="AX417">
            <v>1050.000058008</v>
          </cell>
          <cell r="AY417" t="str">
            <v>ГК81 1/8</v>
          </cell>
          <cell r="AZ417">
            <v>1424.9999777339999</v>
          </cell>
          <cell r="BA417" t="str">
            <v>ГК80 1/8</v>
          </cell>
          <cell r="BB417">
            <v>1730.000002734</v>
          </cell>
          <cell r="BC417" t="str">
            <v>ГК 79 5/32</v>
          </cell>
          <cell r="BD417">
            <v>1935.0000292970001</v>
          </cell>
          <cell r="BE417" t="str">
            <v>ЦКсОК 5/16</v>
          </cell>
          <cell r="BF417" t="str">
            <v>-</v>
          </cell>
          <cell r="BG417" t="str">
            <v>-</v>
          </cell>
          <cell r="BH417" t="str">
            <v>-</v>
          </cell>
          <cell r="BI417" t="str">
            <v>-</v>
          </cell>
        </row>
        <row r="418">
          <cell r="J418">
            <v>1490</v>
          </cell>
          <cell r="K418" t="str">
            <v>К-39</v>
          </cell>
          <cell r="L418">
            <v>43434</v>
          </cell>
          <cell r="M418" t="str">
            <v>Гор.</v>
          </cell>
          <cell r="N418" t="str">
            <v>P4+5+6_Block1_yug</v>
          </cell>
          <cell r="O418" t="str">
            <v>Действующий</v>
          </cell>
          <cell r="P418" t="str">
            <v>В работе</v>
          </cell>
          <cell r="Q418">
            <v>-4</v>
          </cell>
          <cell r="U418">
            <v>203</v>
          </cell>
          <cell r="V418">
            <v>218.2</v>
          </cell>
          <cell r="W418">
            <v>0.98</v>
          </cell>
          <cell r="X418">
            <v>1.66</v>
          </cell>
          <cell r="Y418">
            <v>0.98605891623227049</v>
          </cell>
          <cell r="Z418">
            <v>1.454</v>
          </cell>
          <cell r="AA418">
            <v>0.83599999999999997</v>
          </cell>
          <cell r="AB418">
            <v>0.72</v>
          </cell>
          <cell r="AC418">
            <v>34.299999999999997</v>
          </cell>
          <cell r="AD418">
            <v>1.17</v>
          </cell>
          <cell r="AE418">
            <v>177.8</v>
          </cell>
          <cell r="AF418">
            <v>9.19</v>
          </cell>
          <cell r="AG418">
            <v>2364</v>
          </cell>
          <cell r="AH418">
            <v>2902</v>
          </cell>
          <cell r="AI418">
            <v>2902</v>
          </cell>
          <cell r="AM418" t="str">
            <v>Закрытый</v>
          </cell>
          <cell r="AN418" t="str">
            <v>2474,06 -2475,49 , 2552,52  - 2553,95, 2620,18  - 2621,61 , 2666,24 - 2667,67,  2723,12 - 2724,55,  2811,93 - 2813,36,  2879,63 - 2880,86</v>
          </cell>
          <cell r="AO418">
            <v>73.759999999999991</v>
          </cell>
          <cell r="AP418">
            <v>2474</v>
          </cell>
          <cell r="AQ418">
            <v>612</v>
          </cell>
          <cell r="AR418" t="str">
            <v>2305-2903</v>
          </cell>
          <cell r="AS418">
            <v>114</v>
          </cell>
          <cell r="AT418">
            <v>7.37</v>
          </cell>
          <cell r="AU418" t="str">
            <v>Газлифт</v>
          </cell>
          <cell r="AV418">
            <v>420.00000087900003</v>
          </cell>
          <cell r="AW418" t="str">
            <v>ГП</v>
          </cell>
          <cell r="AX418">
            <v>810.00004687499995</v>
          </cell>
          <cell r="AY418" t="str">
            <v>ГП</v>
          </cell>
          <cell r="AZ418">
            <v>1186.999993359</v>
          </cell>
          <cell r="BA418" t="str">
            <v>ГК76 1/8</v>
          </cell>
          <cell r="BB418">
            <v>1495.0000957029999</v>
          </cell>
          <cell r="BC418" t="str">
            <v>ГК75 1/8</v>
          </cell>
          <cell r="BD418">
            <v>1738.0001097659999</v>
          </cell>
          <cell r="BE418" t="str">
            <v>ГК75 5/32</v>
          </cell>
          <cell r="BF418">
            <v>1910</v>
          </cell>
          <cell r="BG418" t="str">
            <v>ЦКсОК 5/16</v>
          </cell>
          <cell r="BH418">
            <v>1990</v>
          </cell>
          <cell r="BI418" t="str">
            <v>закрыт</v>
          </cell>
        </row>
        <row r="419">
          <cell r="J419">
            <v>1494</v>
          </cell>
          <cell r="K419" t="str">
            <v>К-91</v>
          </cell>
          <cell r="L419">
            <v>43100</v>
          </cell>
          <cell r="M419" t="str">
            <v>Гор.</v>
          </cell>
          <cell r="N419" t="str">
            <v>P4+5+6_Block1_yug</v>
          </cell>
          <cell r="O419" t="str">
            <v>Действующий</v>
          </cell>
          <cell r="P419" t="str">
            <v>В работе</v>
          </cell>
          <cell r="Q419">
            <v>-4</v>
          </cell>
          <cell r="R419">
            <v>43061</v>
          </cell>
          <cell r="S419" t="str">
            <v>МеКаМиНефть</v>
          </cell>
          <cell r="T419" t="str">
            <v>КПГРП 7ст.
350м3 15% HCl           Vпр=200тн</v>
          </cell>
          <cell r="U419">
            <v>203</v>
          </cell>
          <cell r="V419">
            <v>218.2</v>
          </cell>
          <cell r="W419">
            <v>0.98</v>
          </cell>
          <cell r="X419">
            <v>1.66</v>
          </cell>
          <cell r="Y419">
            <v>0.98</v>
          </cell>
          <cell r="Z419">
            <v>1.454</v>
          </cell>
          <cell r="AA419">
            <v>0.83599999999999997</v>
          </cell>
          <cell r="AB419">
            <v>0.72</v>
          </cell>
          <cell r="AC419">
            <v>34.299999999999997</v>
          </cell>
          <cell r="AD419">
            <v>1.17</v>
          </cell>
          <cell r="AE419">
            <v>177.8</v>
          </cell>
          <cell r="AF419">
            <v>9.19</v>
          </cell>
          <cell r="AG419">
            <v>2120.6</v>
          </cell>
          <cell r="AH419">
            <v>2708.8</v>
          </cell>
          <cell r="AI419">
            <v>2708.8</v>
          </cell>
          <cell r="AJ419">
            <v>43012</v>
          </cell>
          <cell r="AK419" t="str">
            <v>По спущенной компановке</v>
          </cell>
          <cell r="AM419" t="str">
            <v>Закрытый</v>
          </cell>
          <cell r="AN419" t="str">
            <v xml:space="preserve">2155,2-2156,7; 2250,5-2252; 2336,55-2338,05; 2423,8-2425,3; 2511,7-2513,2; 2609,89-2611,4; 2687,3-2687,9 </v>
          </cell>
          <cell r="AO419">
            <v>8.61</v>
          </cell>
          <cell r="AP419">
            <v>2155.1999999999998</v>
          </cell>
          <cell r="AQ419">
            <v>323.77999999999997</v>
          </cell>
          <cell r="AR419" t="str">
            <v>1873,54-2720</v>
          </cell>
          <cell r="AS419">
            <v>114</v>
          </cell>
          <cell r="AT419">
            <v>7.37</v>
          </cell>
          <cell r="AU419" t="str">
            <v>Газлифт</v>
          </cell>
          <cell r="AV419">
            <v>449.999992969</v>
          </cell>
          <cell r="AW419" t="str">
            <v>ГП</v>
          </cell>
          <cell r="AX419">
            <v>865</v>
          </cell>
          <cell r="AY419" t="str">
            <v>ГК87 1/8</v>
          </cell>
          <cell r="AZ419">
            <v>1197</v>
          </cell>
          <cell r="BA419" t="str">
            <v>ГК86 1/8</v>
          </cell>
          <cell r="BB419">
            <v>1472</v>
          </cell>
          <cell r="BC419" t="str">
            <v>ГК86 1/8</v>
          </cell>
          <cell r="BD419">
            <v>1713</v>
          </cell>
          <cell r="BE419" t="str">
            <v>ЦКсОК 5/16</v>
          </cell>
          <cell r="BF419" t="str">
            <v>-</v>
          </cell>
          <cell r="BG419" t="str">
            <v>-</v>
          </cell>
          <cell r="BH419">
            <v>1723</v>
          </cell>
          <cell r="BI419" t="str">
            <v>закрыт</v>
          </cell>
        </row>
        <row r="420">
          <cell r="J420">
            <v>1495</v>
          </cell>
          <cell r="K420" t="str">
            <v>К-1106-1</v>
          </cell>
          <cell r="L420">
            <v>43478</v>
          </cell>
          <cell r="M420" t="str">
            <v>Гор.</v>
          </cell>
          <cell r="N420" t="str">
            <v>P4+5+6_Block1_yug</v>
          </cell>
          <cell r="O420" t="str">
            <v>Действующий</v>
          </cell>
          <cell r="P420" t="str">
            <v>В работе</v>
          </cell>
          <cell r="Q420">
            <v>-4</v>
          </cell>
          <cell r="U420">
            <v>203</v>
          </cell>
          <cell r="V420">
            <v>218.2</v>
          </cell>
          <cell r="W420">
            <v>0.98</v>
          </cell>
          <cell r="X420">
            <v>1.66</v>
          </cell>
          <cell r="Y420">
            <v>0.98646550887746187</v>
          </cell>
          <cell r="Z420">
            <v>1.454</v>
          </cell>
          <cell r="AA420">
            <v>0.83599999999999997</v>
          </cell>
          <cell r="AB420">
            <v>0.72</v>
          </cell>
          <cell r="AC420">
            <v>34.299999999999997</v>
          </cell>
          <cell r="AD420">
            <v>1.17</v>
          </cell>
          <cell r="AE420">
            <v>177.8</v>
          </cell>
          <cell r="AF420">
            <v>9.19</v>
          </cell>
          <cell r="AG420">
            <v>2049.9</v>
          </cell>
          <cell r="AH420">
            <v>2846</v>
          </cell>
          <cell r="AI420">
            <v>2846</v>
          </cell>
          <cell r="AM420" t="str">
            <v>Закрытый</v>
          </cell>
          <cell r="AN420" t="str">
            <v xml:space="preserve">2091-2093, 2226-2227, 2325-2327, 2389-2390, 2488-2489, 2550-2552, 2625-2627, 2688-2690, 2759-2760, 2833-2834  </v>
          </cell>
          <cell r="AO420">
            <v>31.240000000000009</v>
          </cell>
          <cell r="AP420">
            <v>2091</v>
          </cell>
          <cell r="AQ420">
            <v>146</v>
          </cell>
          <cell r="AR420" t="str">
            <v>2042,78-2839,12</v>
          </cell>
          <cell r="AS420">
            <v>114</v>
          </cell>
          <cell r="AT420">
            <v>99.2</v>
          </cell>
          <cell r="AU420" t="str">
            <v>Газлифт</v>
          </cell>
          <cell r="AV420">
            <v>496.00001308600002</v>
          </cell>
          <cell r="AW420" t="str">
            <v>ГП</v>
          </cell>
          <cell r="AX420">
            <v>933.00001816400004</v>
          </cell>
          <cell r="AY420" t="str">
            <v>ГК79 1/8</v>
          </cell>
          <cell r="AZ420">
            <v>1331.9999613279999</v>
          </cell>
          <cell r="BA420" t="str">
            <v>ГК80 1/8</v>
          </cell>
          <cell r="BB420">
            <v>1630.000004297</v>
          </cell>
          <cell r="BC420" t="str">
            <v>ЦКсОК 5/16</v>
          </cell>
          <cell r="BD420" t="str">
            <v>-</v>
          </cell>
          <cell r="BE420" t="str">
            <v>-</v>
          </cell>
          <cell r="BF420" t="str">
            <v>-</v>
          </cell>
          <cell r="BG420" t="str">
            <v>-</v>
          </cell>
          <cell r="BH420" t="str">
            <v>-</v>
          </cell>
          <cell r="BI420" t="str">
            <v>-</v>
          </cell>
        </row>
        <row r="421">
          <cell r="J421">
            <v>1496</v>
          </cell>
          <cell r="K421" t="str">
            <v>Без куста</v>
          </cell>
          <cell r="L421">
            <v>43648</v>
          </cell>
          <cell r="M421" t="str">
            <v>Гор.</v>
          </cell>
          <cell r="N421" t="str">
            <v>P4+5+6_Block1_yug</v>
          </cell>
          <cell r="O421" t="str">
            <v>Действующий</v>
          </cell>
          <cell r="P421" t="str">
            <v>Остановлена</v>
          </cell>
          <cell r="Q421">
            <v>-4</v>
          </cell>
          <cell r="U421">
            <v>203</v>
          </cell>
          <cell r="V421">
            <v>218.2</v>
          </cell>
          <cell r="W421">
            <v>0.98</v>
          </cell>
          <cell r="X421">
            <v>1.66</v>
          </cell>
          <cell r="Y421">
            <v>0.989361986800398</v>
          </cell>
          <cell r="Z421">
            <v>1.454</v>
          </cell>
          <cell r="AA421">
            <v>0.83599999999999997</v>
          </cell>
          <cell r="AB421">
            <v>0.72</v>
          </cell>
          <cell r="AC421">
            <v>34.299999999999997</v>
          </cell>
          <cell r="AD421">
            <v>1.17</v>
          </cell>
          <cell r="AE421">
            <v>177.8</v>
          </cell>
          <cell r="AF421">
            <v>9.19</v>
          </cell>
          <cell r="AG421">
            <v>2267</v>
          </cell>
          <cell r="AH421">
            <v>3060</v>
          </cell>
          <cell r="AI421">
            <v>3060</v>
          </cell>
          <cell r="AM421" t="str">
            <v>Закрытый</v>
          </cell>
          <cell r="AN421" t="str">
            <v>2365,85-2361,42; 2457,06-2455,63; 2562,76-2561,33; 2610-2608,26; 2681,36-2679,93; 2810,72-2809,29; 2928,14-2926,71; 3035,7-3034,47;</v>
          </cell>
          <cell r="AO421">
            <v>38</v>
          </cell>
          <cell r="AP421">
            <v>2365.85</v>
          </cell>
          <cell r="AQ421">
            <v>492.84999999999991</v>
          </cell>
          <cell r="AR421" t="str">
            <v>2217-3060</v>
          </cell>
          <cell r="AS421">
            <v>114</v>
          </cell>
          <cell r="AT421">
            <v>9.1999999999999993</v>
          </cell>
          <cell r="AU421" t="str">
            <v>Газлифт</v>
          </cell>
          <cell r="AV421">
            <v>519.99999931599996</v>
          </cell>
          <cell r="AW421" t="str">
            <v>ГП</v>
          </cell>
          <cell r="AX421">
            <v>959.99997011699998</v>
          </cell>
          <cell r="AY421" t="str">
            <v>ГП</v>
          </cell>
          <cell r="AZ421">
            <v>1299.9999796879999</v>
          </cell>
          <cell r="BA421" t="str">
            <v>ГП</v>
          </cell>
          <cell r="BB421">
            <v>1580.000005078</v>
          </cell>
          <cell r="BC421" t="str">
            <v>ГК84 1/8</v>
          </cell>
          <cell r="BD421">
            <v>1760.000032031</v>
          </cell>
          <cell r="BE421" t="str">
            <v>ГК85 5/32</v>
          </cell>
          <cell r="BF421">
            <v>1960</v>
          </cell>
          <cell r="BG421" t="str">
            <v>ЦКсОК 5/16</v>
          </cell>
          <cell r="BH421" t="str">
            <v>-</v>
          </cell>
          <cell r="BI421" t="str">
            <v>-</v>
          </cell>
        </row>
        <row r="422">
          <cell r="J422">
            <v>1497</v>
          </cell>
          <cell r="K422" t="str">
            <v>К-91</v>
          </cell>
          <cell r="L422">
            <v>43032</v>
          </cell>
          <cell r="M422" t="str">
            <v>Гор.</v>
          </cell>
          <cell r="N422" t="str">
            <v>P4+5+6_Block1_yug</v>
          </cell>
          <cell r="O422" t="str">
            <v>Действующий</v>
          </cell>
          <cell r="P422" t="str">
            <v>В работе</v>
          </cell>
          <cell r="Q422">
            <v>-4</v>
          </cell>
          <cell r="R422">
            <v>43005</v>
          </cell>
          <cell r="S422" t="str">
            <v>МеКаМиНефть</v>
          </cell>
          <cell r="T422" t="str">
            <v>КГРП 7ст.
350м3 15% HCl</v>
          </cell>
          <cell r="U422">
            <v>203</v>
          </cell>
          <cell r="V422">
            <v>218.2</v>
          </cell>
          <cell r="W422">
            <v>0.98</v>
          </cell>
          <cell r="X422">
            <v>1.66</v>
          </cell>
          <cell r="Y422">
            <v>0.98008029573507216</v>
          </cell>
          <cell r="Z422">
            <v>1.454</v>
          </cell>
          <cell r="AA422">
            <v>0.83599999999999997</v>
          </cell>
          <cell r="AB422">
            <v>0.72</v>
          </cell>
          <cell r="AC422">
            <v>34.299999999999997</v>
          </cell>
          <cell r="AD422">
            <v>1.17</v>
          </cell>
          <cell r="AE422">
            <v>177.8</v>
          </cell>
          <cell r="AF422">
            <v>9.19</v>
          </cell>
          <cell r="AG422">
            <v>2208.6999999999998</v>
          </cell>
          <cell r="AH422">
            <v>3063.87</v>
          </cell>
          <cell r="AI422">
            <v>3063.87</v>
          </cell>
          <cell r="AJ422">
            <v>42936</v>
          </cell>
          <cell r="AK422" t="str">
            <v>По спущенной компановке</v>
          </cell>
          <cell r="AM422" t="str">
            <v>Закрытый</v>
          </cell>
          <cell r="AN422" t="str">
            <v xml:space="preserve">2261,82-2263,25; 2418,86-2420,29; 2524,61-2526,04; 2724,18-2725,61; 2820,3-2821,73; 2936,59-2938,02; 3042,5-3043,73 </v>
          </cell>
          <cell r="AO422">
            <v>9.81</v>
          </cell>
          <cell r="AP422">
            <v>2261.8200000000002</v>
          </cell>
          <cell r="AQ422">
            <v>411.62</v>
          </cell>
          <cell r="AR422" t="str">
            <v>2049,17-3065</v>
          </cell>
          <cell r="AS422">
            <v>114</v>
          </cell>
          <cell r="AT422">
            <v>7.37</v>
          </cell>
          <cell r="AU422" t="str">
            <v>Газлифт</v>
          </cell>
          <cell r="AV422">
            <v>510.00001435500002</v>
          </cell>
          <cell r="AW422" t="str">
            <v>ГП</v>
          </cell>
          <cell r="AX422">
            <v>900.00006035199999</v>
          </cell>
          <cell r="AY422" t="str">
            <v>ГП</v>
          </cell>
          <cell r="AZ422">
            <v>1209.9999662109999</v>
          </cell>
          <cell r="BA422" t="str">
            <v>ГП</v>
          </cell>
          <cell r="BB422">
            <v>1460.000036719</v>
          </cell>
          <cell r="BC422" t="str">
            <v>ГК82 5/32</v>
          </cell>
          <cell r="BD422">
            <v>1660.0000335939999</v>
          </cell>
          <cell r="BE422" t="str">
            <v>ГК82 5/32</v>
          </cell>
          <cell r="BF422">
            <v>1800</v>
          </cell>
          <cell r="BG422" t="str">
            <v>ЦКсОК 5/16</v>
          </cell>
          <cell r="BH422">
            <v>1890</v>
          </cell>
          <cell r="BI422" t="str">
            <v xml:space="preserve">закрыт </v>
          </cell>
        </row>
        <row r="423">
          <cell r="J423">
            <v>1498</v>
          </cell>
          <cell r="K423" t="str">
            <v>К-68</v>
          </cell>
          <cell r="L423">
            <v>43258</v>
          </cell>
          <cell r="M423" t="str">
            <v>Гор.</v>
          </cell>
          <cell r="N423" t="str">
            <v>P4+5+6_Block1_yug</v>
          </cell>
          <cell r="O423" t="str">
            <v>Действующий</v>
          </cell>
          <cell r="P423" t="str">
            <v>Остановлена</v>
          </cell>
          <cell r="Q423">
            <v>-4</v>
          </cell>
          <cell r="R423">
            <v>43005</v>
          </cell>
          <cell r="S423" t="str">
            <v>МеКаМиНефть</v>
          </cell>
          <cell r="T423" t="str">
            <v>КГРП 7ст.
350м3 15% HCl</v>
          </cell>
          <cell r="U423">
            <v>203</v>
          </cell>
          <cell r="V423">
            <v>218.2</v>
          </cell>
          <cell r="W423">
            <v>0.98</v>
          </cell>
          <cell r="X423">
            <v>1.66</v>
          </cell>
          <cell r="Y423">
            <v>0.99096025925294218</v>
          </cell>
          <cell r="Z423">
            <v>1.454</v>
          </cell>
          <cell r="AA423">
            <v>0.83599999999999997</v>
          </cell>
          <cell r="AB423">
            <v>0.72</v>
          </cell>
          <cell r="AC423">
            <v>34.299999999999997</v>
          </cell>
          <cell r="AD423">
            <v>1.17</v>
          </cell>
          <cell r="AE423">
            <v>177.8</v>
          </cell>
          <cell r="AF423">
            <v>9.19</v>
          </cell>
          <cell r="AG423">
            <v>2970</v>
          </cell>
          <cell r="AH423">
            <v>2967</v>
          </cell>
          <cell r="AI423">
            <v>2967</v>
          </cell>
          <cell r="AM423" t="str">
            <v>Закрытый</v>
          </cell>
          <cell r="AN423" t="str">
            <v xml:space="preserve">2146,23 – 2147,63м.  2303 – 2304,4м.  2439,73 – 2441,13м.  2545,46 – 2546,86м.  2681,73 – 2683,13м.  2784,68 – 2786,08м, 2956,42 - 2957,65м </v>
          </cell>
          <cell r="AO423">
            <v>52.6400000000001</v>
          </cell>
          <cell r="AP423">
            <v>2146.23</v>
          </cell>
          <cell r="AQ423">
            <v>326</v>
          </cell>
          <cell r="AR423" t="str">
            <v>2037,2-2970</v>
          </cell>
          <cell r="AS423">
            <v>114</v>
          </cell>
          <cell r="AT423">
            <v>7.37</v>
          </cell>
          <cell r="AU423" t="str">
            <v>Газлифт</v>
          </cell>
          <cell r="AV423">
            <v>440.00000800800001</v>
          </cell>
          <cell r="AW423" t="str">
            <v>ГП</v>
          </cell>
          <cell r="AX423">
            <v>790.00000253899998</v>
          </cell>
          <cell r="AY423" t="str">
            <v>ГП</v>
          </cell>
          <cell r="AZ423">
            <v>1084.9999681639999</v>
          </cell>
          <cell r="BA423" t="str">
            <v>ГП</v>
          </cell>
          <cell r="BB423">
            <v>1324.999979297</v>
          </cell>
          <cell r="BC423" t="str">
            <v>ГП</v>
          </cell>
          <cell r="BD423">
            <v>1530.0000058590001</v>
          </cell>
          <cell r="BE423" t="str">
            <v>ГК84 1/8</v>
          </cell>
          <cell r="BF423">
            <v>1730</v>
          </cell>
          <cell r="BG423" t="str">
            <v>ЦКсОК 5/16</v>
          </cell>
          <cell r="BH423">
            <v>1760</v>
          </cell>
          <cell r="BI423" t="str">
            <v>закрыт</v>
          </cell>
        </row>
        <row r="424">
          <cell r="J424">
            <v>1499</v>
          </cell>
          <cell r="K424" t="str">
            <v>К-1601</v>
          </cell>
          <cell r="L424">
            <v>44055</v>
          </cell>
          <cell r="M424" t="str">
            <v>Гор.</v>
          </cell>
          <cell r="N424" t="str">
            <v>P4+5+6_Block1_yug</v>
          </cell>
          <cell r="O424" t="str">
            <v>Действующий</v>
          </cell>
          <cell r="P424" t="str">
            <v>В работе</v>
          </cell>
          <cell r="Q424">
            <v>-4</v>
          </cell>
          <cell r="U424">
            <v>203</v>
          </cell>
          <cell r="V424">
            <v>218.2</v>
          </cell>
          <cell r="W424">
            <v>0.98</v>
          </cell>
          <cell r="X424">
            <v>1.66</v>
          </cell>
          <cell r="Y424">
            <v>0.98096441803025625</v>
          </cell>
          <cell r="Z424">
            <v>1.454</v>
          </cell>
          <cell r="AA424">
            <v>0.83599999999999997</v>
          </cell>
          <cell r="AB424">
            <v>0.72</v>
          </cell>
          <cell r="AC424">
            <v>34.299999999999997</v>
          </cell>
          <cell r="AD424">
            <v>1.17</v>
          </cell>
          <cell r="AE424">
            <v>177.8</v>
          </cell>
          <cell r="AF424">
            <v>9.19</v>
          </cell>
          <cell r="AG424">
            <v>2310.8000000000002</v>
          </cell>
          <cell r="AH424">
            <v>2838.5</v>
          </cell>
          <cell r="AI424">
            <v>2838.5</v>
          </cell>
          <cell r="AM424" t="str">
            <v>закрытый</v>
          </cell>
          <cell r="AN424" t="str">
            <v>2358,94-2359,99; 2506,55-2507,6; 2607,16-2608,21; 2703,83-2704,88; 2816-2817,05</v>
          </cell>
          <cell r="AO424">
            <v>44.12</v>
          </cell>
          <cell r="AP424">
            <v>2358.94</v>
          </cell>
          <cell r="AQ424">
            <v>550.54</v>
          </cell>
          <cell r="AU424" t="str">
            <v>Газлифт</v>
          </cell>
          <cell r="AV424">
            <v>515.99998300799996</v>
          </cell>
          <cell r="AW424" t="str">
            <v>ГК75 1/8</v>
          </cell>
          <cell r="AX424">
            <v>998.00003203100005</v>
          </cell>
          <cell r="AY424" t="str">
            <v>ГК76 1/8</v>
          </cell>
          <cell r="AZ424">
            <v>1372.0000500000001</v>
          </cell>
          <cell r="BA424" t="str">
            <v>ГК77 1/8</v>
          </cell>
          <cell r="BB424">
            <v>1648.999998047</v>
          </cell>
          <cell r="BC424" t="str">
            <v>ГК77 5/32</v>
          </cell>
          <cell r="BD424">
            <v>1849.9999710940001</v>
          </cell>
          <cell r="BE424" t="str">
            <v>ЦКсОК 5/16</v>
          </cell>
          <cell r="BF424" t="str">
            <v>-</v>
          </cell>
          <cell r="BG424" t="str">
            <v>-</v>
          </cell>
          <cell r="BH424">
            <v>1870</v>
          </cell>
          <cell r="BI424" t="str">
            <v>закрыт</v>
          </cell>
        </row>
        <row r="425">
          <cell r="J425">
            <v>1500</v>
          </cell>
          <cell r="K425" t="str">
            <v>К-1412</v>
          </cell>
          <cell r="L425">
            <v>44077</v>
          </cell>
          <cell r="M425" t="str">
            <v>Гор.</v>
          </cell>
          <cell r="N425" t="str">
            <v>Р4+5+6_Block2</v>
          </cell>
          <cell r="O425" t="str">
            <v>Действующий</v>
          </cell>
          <cell r="P425" t="str">
            <v>В работе</v>
          </cell>
          <cell r="Q425">
            <v>-4</v>
          </cell>
          <cell r="U425">
            <v>203</v>
          </cell>
          <cell r="V425">
            <v>218.2</v>
          </cell>
          <cell r="W425">
            <v>0.98</v>
          </cell>
          <cell r="X425">
            <v>1.66</v>
          </cell>
          <cell r="Y425">
            <v>0.98</v>
          </cell>
          <cell r="Z425">
            <v>1.454</v>
          </cell>
          <cell r="AA425">
            <v>0.83599999999999997</v>
          </cell>
          <cell r="AB425">
            <v>0.72</v>
          </cell>
          <cell r="AC425">
            <v>34.299999999999997</v>
          </cell>
          <cell r="AD425">
            <v>1.17</v>
          </cell>
          <cell r="AE425">
            <v>177.8</v>
          </cell>
          <cell r="AF425">
            <v>9.19</v>
          </cell>
          <cell r="AG425">
            <v>2077</v>
          </cell>
          <cell r="AH425">
            <v>2572</v>
          </cell>
          <cell r="AI425">
            <v>2572</v>
          </cell>
          <cell r="AM425" t="str">
            <v>открытый</v>
          </cell>
          <cell r="AN425" t="str">
            <v>2077-2572</v>
          </cell>
          <cell r="AO425">
            <v>67.010000000000005</v>
          </cell>
          <cell r="AP425">
            <v>2077</v>
          </cell>
          <cell r="AQ425">
            <v>173.82999999999998</v>
          </cell>
          <cell r="AU425" t="str">
            <v>Газлифт</v>
          </cell>
          <cell r="AV425">
            <v>585.99998935500003</v>
          </cell>
          <cell r="AW425" t="str">
            <v>ГП</v>
          </cell>
          <cell r="AX425">
            <v>1073.0000308589999</v>
          </cell>
          <cell r="AY425" t="str">
            <v>ГК86 1/8</v>
          </cell>
          <cell r="AZ425">
            <v>1443.9999714840001</v>
          </cell>
          <cell r="BA425" t="str">
            <v>ГК86 1/8</v>
          </cell>
          <cell r="BB425">
            <v>1754.0000261719999</v>
          </cell>
          <cell r="BC425" t="str">
            <v>ГК86 5/32</v>
          </cell>
          <cell r="BD425">
            <v>1898.0000179690001</v>
          </cell>
          <cell r="BE425" t="str">
            <v>ЦКсОК 5/16</v>
          </cell>
          <cell r="BF425" t="str">
            <v>-</v>
          </cell>
          <cell r="BG425" t="str">
            <v>-</v>
          </cell>
          <cell r="BH425" t="str">
            <v>-</v>
          </cell>
          <cell r="BI425" t="str">
            <v>-</v>
          </cell>
        </row>
        <row r="426">
          <cell r="J426">
            <v>1502</v>
          </cell>
          <cell r="K426" t="str">
            <v>К-91</v>
          </cell>
          <cell r="L426">
            <v>43087</v>
          </cell>
          <cell r="M426" t="str">
            <v>Гор.</v>
          </cell>
          <cell r="N426" t="str">
            <v>P4+5+6_Block1_yug</v>
          </cell>
          <cell r="O426" t="str">
            <v>Действующий</v>
          </cell>
          <cell r="P426" t="str">
            <v>В работе</v>
          </cell>
          <cell r="Q426">
            <v>-4</v>
          </cell>
          <cell r="R426">
            <v>43044</v>
          </cell>
          <cell r="S426" t="str">
            <v>МеКаМиНефть</v>
          </cell>
          <cell r="T426" t="str">
            <v>КГРП 7ст.
350м3 15% HCl</v>
          </cell>
          <cell r="U426">
            <v>203</v>
          </cell>
          <cell r="V426">
            <v>218.2</v>
          </cell>
          <cell r="W426">
            <v>0.98</v>
          </cell>
          <cell r="X426">
            <v>1.66</v>
          </cell>
          <cell r="Y426">
            <v>0.98</v>
          </cell>
          <cell r="Z426">
            <v>1.454</v>
          </cell>
          <cell r="AA426">
            <v>0.83599999999999997</v>
          </cell>
          <cell r="AB426">
            <v>0.72</v>
          </cell>
          <cell r="AC426">
            <v>34.299999999999997</v>
          </cell>
          <cell r="AD426">
            <v>1.17</v>
          </cell>
          <cell r="AE426">
            <v>177.8</v>
          </cell>
          <cell r="AF426">
            <v>9.19</v>
          </cell>
          <cell r="AG426">
            <v>2051.5</v>
          </cell>
          <cell r="AH426">
            <v>2839.95</v>
          </cell>
          <cell r="AI426">
            <v>2839.95</v>
          </cell>
          <cell r="AJ426">
            <v>42984</v>
          </cell>
          <cell r="AK426" t="str">
            <v>По спущенной компановке</v>
          </cell>
          <cell r="AM426" t="str">
            <v>Закрытый</v>
          </cell>
          <cell r="AN426" t="str">
            <v xml:space="preserve">2318,35-2319,78 ; 2402,02-2403,45 ; 2559,46-2560,89 ; 2642,73-2644,16 ; 2724,76-2726,19 ; 2818,79-2819,32 </v>
          </cell>
          <cell r="AO426">
            <v>9.11</v>
          </cell>
          <cell r="AP426">
            <v>2318.35</v>
          </cell>
          <cell r="AQ426">
            <v>509.35</v>
          </cell>
          <cell r="AR426" t="str">
            <v>1795,64-2850,5</v>
          </cell>
          <cell r="AS426">
            <v>114</v>
          </cell>
          <cell r="AT426">
            <v>7.37</v>
          </cell>
          <cell r="AU426" t="str">
            <v>Газлифт</v>
          </cell>
          <cell r="AV426">
            <v>499.99999218800002</v>
          </cell>
          <cell r="AW426" t="str">
            <v>ГП</v>
          </cell>
          <cell r="AX426">
            <v>899.99998593800001</v>
          </cell>
          <cell r="AY426" t="str">
            <v>ГК 75 1/8</v>
          </cell>
          <cell r="AZ426">
            <v>1220.000025586</v>
          </cell>
          <cell r="BA426" t="str">
            <v>ГК 75 1/8</v>
          </cell>
          <cell r="BB426">
            <v>1490.0000660159999</v>
          </cell>
          <cell r="BC426" t="str">
            <v>ГК 81 1/8</v>
          </cell>
          <cell r="BD426">
            <v>1719.9999433590001</v>
          </cell>
          <cell r="BE426" t="str">
            <v>ЦКсОК 5/16</v>
          </cell>
          <cell r="BF426" t="str">
            <v>-</v>
          </cell>
          <cell r="BG426" t="str">
            <v>-</v>
          </cell>
          <cell r="BH426">
            <v>1760</v>
          </cell>
          <cell r="BI426" t="str">
            <v>открыт</v>
          </cell>
        </row>
        <row r="427">
          <cell r="J427">
            <v>1503</v>
          </cell>
          <cell r="K427" t="str">
            <v>К-68</v>
          </cell>
          <cell r="L427">
            <v>43196</v>
          </cell>
          <cell r="M427" t="str">
            <v>Гор.</v>
          </cell>
          <cell r="N427" t="str">
            <v>P4+5+6_Block1_yug</v>
          </cell>
          <cell r="O427" t="str">
            <v>Действующий</v>
          </cell>
          <cell r="P427" t="str">
            <v>В работе</v>
          </cell>
          <cell r="Q427">
            <v>-4</v>
          </cell>
          <cell r="R427">
            <v>43146</v>
          </cell>
          <cell r="S427" t="str">
            <v>МеКаМиНефть</v>
          </cell>
          <cell r="T427" t="str">
            <v>КГРП 7ст.
350м3 15% HCl</v>
          </cell>
          <cell r="U427">
            <v>203</v>
          </cell>
          <cell r="V427">
            <v>218.2</v>
          </cell>
          <cell r="W427">
            <v>0.98</v>
          </cell>
          <cell r="X427">
            <v>1.66</v>
          </cell>
          <cell r="Y427">
            <v>0.98</v>
          </cell>
          <cell r="Z427">
            <v>1.454</v>
          </cell>
          <cell r="AA427">
            <v>0.83599999999999997</v>
          </cell>
          <cell r="AB427">
            <v>0.72</v>
          </cell>
          <cell r="AC427">
            <v>34.299999999999997</v>
          </cell>
          <cell r="AD427">
            <v>1.17</v>
          </cell>
          <cell r="AE427">
            <v>177.8</v>
          </cell>
          <cell r="AF427">
            <v>9.19</v>
          </cell>
          <cell r="AG427">
            <v>2211.6999999999998</v>
          </cell>
          <cell r="AH427">
            <v>3072.92</v>
          </cell>
          <cell r="AI427">
            <v>3072.92</v>
          </cell>
          <cell r="AJ427">
            <v>43134</v>
          </cell>
          <cell r="AK427" t="str">
            <v>По спущенной компановке</v>
          </cell>
          <cell r="AM427" t="str">
            <v>Закрытый</v>
          </cell>
          <cell r="AN427" t="str">
            <v xml:space="preserve">2219,87-2221,27; 2332,86-2334,26; 2429,48-2430,88; 2526-2527,41; 2674,05-2675,45; 2801,1-2802,49; 2947,81-2949,04 </v>
          </cell>
          <cell r="AO427">
            <v>9.6300000000000008</v>
          </cell>
          <cell r="AP427">
            <v>2219.87</v>
          </cell>
          <cell r="AQ427">
            <v>436</v>
          </cell>
          <cell r="AR427" t="str">
            <v>2154,26-3073,64</v>
          </cell>
          <cell r="AS427">
            <v>114</v>
          </cell>
          <cell r="AT427">
            <v>7.37</v>
          </cell>
          <cell r="AU427" t="str">
            <v>Газлифт</v>
          </cell>
          <cell r="AV427">
            <v>470.00000009799999</v>
          </cell>
          <cell r="AW427" t="str">
            <v>ГК 78 1/8</v>
          </cell>
          <cell r="AX427">
            <v>870.00003105500002</v>
          </cell>
          <cell r="AY427" t="str">
            <v>ГК 80 1/8</v>
          </cell>
          <cell r="AZ427">
            <v>1260.000039844</v>
          </cell>
          <cell r="BA427" t="str">
            <v>ГК 80 1/8</v>
          </cell>
          <cell r="BB427">
            <v>1569.9999457030001</v>
          </cell>
          <cell r="BC427" t="str">
            <v>ГК 80 5/32</v>
          </cell>
          <cell r="BD427">
            <v>1819.999941797</v>
          </cell>
          <cell r="BE427" t="str">
            <v>ГК 80 5/32</v>
          </cell>
          <cell r="BF427">
            <v>1960</v>
          </cell>
          <cell r="BG427" t="str">
            <v>ЦКсОК 5/16</v>
          </cell>
          <cell r="BH427">
            <v>1970</v>
          </cell>
          <cell r="BI427" t="str">
            <v>открыт</v>
          </cell>
        </row>
        <row r="428">
          <cell r="J428">
            <v>1504</v>
          </cell>
          <cell r="K428" t="str">
            <v>К-68</v>
          </cell>
          <cell r="L428">
            <v>43333</v>
          </cell>
          <cell r="M428" t="str">
            <v>Гор.</v>
          </cell>
          <cell r="N428" t="str">
            <v>P4+5+6_Block1_yug</v>
          </cell>
          <cell r="O428" t="str">
            <v>Действующий</v>
          </cell>
          <cell r="P428" t="str">
            <v>В работе</v>
          </cell>
          <cell r="Q428">
            <v>-4</v>
          </cell>
          <cell r="U428">
            <v>203</v>
          </cell>
          <cell r="V428">
            <v>218.2</v>
          </cell>
          <cell r="W428">
            <v>0.98</v>
          </cell>
          <cell r="X428">
            <v>1.66</v>
          </cell>
          <cell r="Y428">
            <v>0.98</v>
          </cell>
          <cell r="Z428">
            <v>1.454</v>
          </cell>
          <cell r="AA428">
            <v>0.83599999999999997</v>
          </cell>
          <cell r="AB428">
            <v>0.72</v>
          </cell>
          <cell r="AC428">
            <v>34.299999999999997</v>
          </cell>
          <cell r="AD428">
            <v>1.17</v>
          </cell>
          <cell r="AE428">
            <v>177.8</v>
          </cell>
          <cell r="AF428">
            <v>9.19</v>
          </cell>
          <cell r="AG428">
            <v>1909.7</v>
          </cell>
          <cell r="AH428">
            <v>3115</v>
          </cell>
          <cell r="AI428">
            <v>3115</v>
          </cell>
          <cell r="AM428" t="str">
            <v>Закрытый</v>
          </cell>
          <cell r="AN428" t="str">
            <v xml:space="preserve">2241,48-2242,68; 2390,7-2391,9; 2520,9-2522,1; 2667,89-2669,09; 2809,38-2810,58; 2940,56-2941,76; 3049,28-3050,48м </v>
          </cell>
          <cell r="AO428">
            <v>45.620000000000118</v>
          </cell>
          <cell r="AP428">
            <v>2241.48</v>
          </cell>
          <cell r="AQ428">
            <v>391.7</v>
          </cell>
          <cell r="AR428" t="str">
            <v>21167,23-3080,72</v>
          </cell>
          <cell r="AS428">
            <v>114.3</v>
          </cell>
          <cell r="AT428">
            <v>7.37</v>
          </cell>
          <cell r="AU428" t="str">
            <v>Газлифт</v>
          </cell>
          <cell r="AV428">
            <v>420.00000087900003</v>
          </cell>
          <cell r="AW428" t="str">
            <v>ГП</v>
          </cell>
          <cell r="AX428">
            <v>820.00003183599995</v>
          </cell>
          <cell r="AY428" t="str">
            <v>ГП</v>
          </cell>
          <cell r="AZ428">
            <v>1199.99998125</v>
          </cell>
          <cell r="BA428" t="str">
            <v>ГК 80 1/8</v>
          </cell>
          <cell r="BB428">
            <v>1560.000035156</v>
          </cell>
          <cell r="BC428" t="str">
            <v>ГК 81 1/8</v>
          </cell>
          <cell r="BD428">
            <v>1890.000059766</v>
          </cell>
          <cell r="BE428" t="str">
            <v>ЦКсОК 5/16</v>
          </cell>
          <cell r="BF428" t="str">
            <v>-</v>
          </cell>
          <cell r="BG428" t="str">
            <v>-</v>
          </cell>
          <cell r="BH428">
            <v>1900</v>
          </cell>
          <cell r="BI428" t="str">
            <v>закрыт</v>
          </cell>
        </row>
        <row r="429">
          <cell r="J429">
            <v>1505</v>
          </cell>
          <cell r="K429" t="str">
            <v>К-1601</v>
          </cell>
          <cell r="L429">
            <v>43830</v>
          </cell>
          <cell r="M429" t="str">
            <v>Гор.</v>
          </cell>
          <cell r="N429" t="str">
            <v>P4+5+6_Block1_yug</v>
          </cell>
          <cell r="O429" t="str">
            <v>Действующий</v>
          </cell>
          <cell r="P429" t="str">
            <v>В работе</v>
          </cell>
          <cell r="Q429">
            <v>-4</v>
          </cell>
          <cell r="U429">
            <v>203</v>
          </cell>
          <cell r="V429">
            <v>218.2</v>
          </cell>
          <cell r="W429">
            <v>0.98</v>
          </cell>
          <cell r="X429">
            <v>1.66</v>
          </cell>
          <cell r="Y429">
            <v>0.98455743332389201</v>
          </cell>
          <cell r="Z429">
            <v>1.454</v>
          </cell>
          <cell r="AA429">
            <v>0.83599999999999997</v>
          </cell>
          <cell r="AB429">
            <v>0.72</v>
          </cell>
          <cell r="AC429">
            <v>34.299999999999997</v>
          </cell>
          <cell r="AD429">
            <v>1.17</v>
          </cell>
          <cell r="AE429">
            <v>177.8</v>
          </cell>
          <cell r="AF429">
            <v>9.19</v>
          </cell>
          <cell r="AG429">
            <v>1909.7</v>
          </cell>
          <cell r="AH429">
            <v>3115</v>
          </cell>
          <cell r="AI429">
            <v>3115</v>
          </cell>
          <cell r="AM429" t="str">
            <v>открытый</v>
          </cell>
          <cell r="AN429" t="str">
            <v>2194-3033</v>
          </cell>
          <cell r="AO429">
            <v>65.7</v>
          </cell>
          <cell r="AP429">
            <v>2194</v>
          </cell>
          <cell r="AQ429">
            <v>396.7</v>
          </cell>
          <cell r="AU429" t="str">
            <v>Газлифт</v>
          </cell>
          <cell r="AV429">
            <v>476.99998212899999</v>
          </cell>
          <cell r="AW429" t="str">
            <v>ГП</v>
          </cell>
          <cell r="AX429">
            <v>918.00000351599999</v>
          </cell>
          <cell r="AY429" t="str">
            <v>ГП</v>
          </cell>
          <cell r="AZ429">
            <v>1266.0000457030001</v>
          </cell>
          <cell r="BA429" t="str">
            <v>ГП</v>
          </cell>
          <cell r="BB429">
            <v>1553.000053125</v>
          </cell>
          <cell r="BC429" t="str">
            <v>ГК84 1/8</v>
          </cell>
          <cell r="BD429">
            <v>1786.999983984</v>
          </cell>
          <cell r="BE429" t="str">
            <v>ГК83 1/8</v>
          </cell>
          <cell r="BF429">
            <v>1970</v>
          </cell>
          <cell r="BG429" t="str">
            <v>ЦКсОК 5/16</v>
          </cell>
          <cell r="BH429" t="str">
            <v>-</v>
          </cell>
          <cell r="BI429" t="str">
            <v>-</v>
          </cell>
        </row>
        <row r="430">
          <cell r="J430">
            <v>1506</v>
          </cell>
          <cell r="K430" t="str">
            <v>К-1601</v>
          </cell>
          <cell r="L430">
            <v>44072</v>
          </cell>
          <cell r="M430" t="str">
            <v>Гор.</v>
          </cell>
          <cell r="N430" t="str">
            <v>P4+5+6_Block1_yug</v>
          </cell>
          <cell r="O430" t="str">
            <v>Действующий</v>
          </cell>
          <cell r="P430" t="str">
            <v>В работе</v>
          </cell>
          <cell r="Q430">
            <v>-4</v>
          </cell>
          <cell r="U430">
            <v>203</v>
          </cell>
          <cell r="V430">
            <v>218.2</v>
          </cell>
          <cell r="W430">
            <v>0.98</v>
          </cell>
          <cell r="X430">
            <v>1.66</v>
          </cell>
          <cell r="Y430">
            <v>0.98646550887746187</v>
          </cell>
          <cell r="Z430">
            <v>1.454</v>
          </cell>
          <cell r="AA430">
            <v>0.83599999999999997</v>
          </cell>
          <cell r="AB430">
            <v>0.72</v>
          </cell>
          <cell r="AC430">
            <v>34.299999999999997</v>
          </cell>
          <cell r="AD430">
            <v>1.17</v>
          </cell>
          <cell r="AE430">
            <v>177.8</v>
          </cell>
          <cell r="AF430">
            <v>9.19</v>
          </cell>
          <cell r="AG430">
            <v>2131</v>
          </cell>
          <cell r="AH430">
            <v>2629</v>
          </cell>
          <cell r="AI430">
            <v>2629</v>
          </cell>
          <cell r="AM430" t="str">
            <v>закрытый</v>
          </cell>
          <cell r="AN430" t="str">
            <v>2169,29-2170,49; 2268,59-2269,79; 2355,96-2357,16; 2492,07-2493,27; 2615,2-2616,4</v>
          </cell>
          <cell r="AO430">
            <v>78.7</v>
          </cell>
          <cell r="AP430">
            <v>2169.29</v>
          </cell>
          <cell r="AQ430">
            <v>361</v>
          </cell>
          <cell r="AU430" t="str">
            <v>Газлифт</v>
          </cell>
          <cell r="AV430">
            <v>507.00001142600001</v>
          </cell>
          <cell r="AW430" t="str">
            <v>ГП</v>
          </cell>
          <cell r="AX430">
            <v>949.99998515599998</v>
          </cell>
          <cell r="AY430" t="str">
            <v>ГК79 1/8</v>
          </cell>
          <cell r="AZ430">
            <v>1292.0000214839999</v>
          </cell>
          <cell r="BA430" t="str">
            <v>ГК79 1/8</v>
          </cell>
          <cell r="BB430">
            <v>1542.0000175780001</v>
          </cell>
          <cell r="BC430" t="str">
            <v>ГК78 1/8</v>
          </cell>
          <cell r="BD430">
            <v>1740.0000621090001</v>
          </cell>
          <cell r="BE430" t="str">
            <v>ГК76 5/32</v>
          </cell>
          <cell r="BF430">
            <v>1897</v>
          </cell>
          <cell r="BG430" t="str">
            <v>ЦКсОК 5/16</v>
          </cell>
          <cell r="BH430" t="str">
            <v>-</v>
          </cell>
          <cell r="BI430" t="str">
            <v>-</v>
          </cell>
        </row>
        <row r="431">
          <cell r="J431">
            <v>1507</v>
          </cell>
          <cell r="K431" t="str">
            <v>К-68</v>
          </cell>
          <cell r="L431">
            <v>43258</v>
          </cell>
          <cell r="M431" t="str">
            <v>Гор.</v>
          </cell>
          <cell r="N431" t="str">
            <v>P4+5+6_Block1_yug</v>
          </cell>
          <cell r="O431" t="str">
            <v>Действующий</v>
          </cell>
          <cell r="P431" t="str">
            <v>В работе</v>
          </cell>
          <cell r="Q431">
            <v>-4</v>
          </cell>
          <cell r="R431">
            <v>43228</v>
          </cell>
          <cell r="S431" t="str">
            <v>МеКаМиНефть</v>
          </cell>
          <cell r="T431" t="str">
            <v>КГРП 7ст.
350м3 15% HCl</v>
          </cell>
          <cell r="U431">
            <v>203</v>
          </cell>
          <cell r="V431">
            <v>218.2</v>
          </cell>
          <cell r="W431">
            <v>0.98</v>
          </cell>
          <cell r="X431">
            <v>1.66</v>
          </cell>
          <cell r="Y431">
            <v>0.98</v>
          </cell>
          <cell r="Z431">
            <v>1.454</v>
          </cell>
          <cell r="AA431">
            <v>0.83599999999999997</v>
          </cell>
          <cell r="AB431">
            <v>0.72</v>
          </cell>
          <cell r="AC431">
            <v>34.299999999999997</v>
          </cell>
          <cell r="AD431">
            <v>1.17</v>
          </cell>
          <cell r="AE431">
            <v>177.8</v>
          </cell>
          <cell r="AF431">
            <v>9.19</v>
          </cell>
          <cell r="AG431">
            <v>2620.1999999999998</v>
          </cell>
          <cell r="AH431">
            <v>3404.57</v>
          </cell>
          <cell r="AI431">
            <v>3404.57</v>
          </cell>
          <cell r="AJ431">
            <v>43245</v>
          </cell>
          <cell r="AK431" t="str">
            <v>По спущенной компановке</v>
          </cell>
          <cell r="AM431" t="str">
            <v>Закрытый</v>
          </cell>
          <cell r="AN431" t="str">
            <v xml:space="preserve">2626,88-2628,08; 2916,44-2917,64; 3023,92-3025,12; 3089,21-3090,41; 3175,88-3177,08; 3241,63-3242,83; 3318,61-3319,81 </v>
          </cell>
          <cell r="AO431">
            <v>8.4</v>
          </cell>
          <cell r="AP431">
            <v>2626.88</v>
          </cell>
          <cell r="AQ431">
            <v>845.28</v>
          </cell>
          <cell r="AR431" t="str">
            <v>2559,98-3417,11</v>
          </cell>
          <cell r="AS431">
            <v>114</v>
          </cell>
          <cell r="AT431">
            <v>7.37</v>
          </cell>
          <cell r="AU431" t="str">
            <v>Газлифт</v>
          </cell>
          <cell r="AV431">
            <v>474.99999257799999</v>
          </cell>
          <cell r="AW431" t="str">
            <v>ГП</v>
          </cell>
          <cell r="AX431">
            <v>899.99998593800001</v>
          </cell>
          <cell r="AY431" t="str">
            <v>ГП</v>
          </cell>
          <cell r="AZ431">
            <v>1145.0000267580001</v>
          </cell>
          <cell r="BA431" t="str">
            <v>ГК 79 1/8</v>
          </cell>
          <cell r="BB431">
            <v>1565.000064844</v>
          </cell>
          <cell r="BC431" t="str">
            <v>ГК 81 1/8</v>
          </cell>
          <cell r="BD431">
            <v>1860.000030469</v>
          </cell>
          <cell r="BE431" t="str">
            <v>ЦКсОК 5/16</v>
          </cell>
          <cell r="BF431" t="str">
            <v>-</v>
          </cell>
          <cell r="BG431" t="str">
            <v>-</v>
          </cell>
          <cell r="BH431">
            <v>1870</v>
          </cell>
          <cell r="BI431" t="str">
            <v>закрыт</v>
          </cell>
        </row>
        <row r="432">
          <cell r="J432">
            <v>1508</v>
          </cell>
          <cell r="K432" t="str">
            <v>К-1601</v>
          </cell>
          <cell r="L432">
            <v>43931</v>
          </cell>
          <cell r="M432" t="str">
            <v>Гор.</v>
          </cell>
          <cell r="N432" t="str">
            <v>P4+5+6_Block1_yug</v>
          </cell>
          <cell r="O432" t="str">
            <v>Действующий</v>
          </cell>
          <cell r="P432" t="str">
            <v>В работе</v>
          </cell>
          <cell r="Q432">
            <v>-4</v>
          </cell>
          <cell r="U432">
            <v>203</v>
          </cell>
          <cell r="V432">
            <v>218.2</v>
          </cell>
          <cell r="W432">
            <v>0.98</v>
          </cell>
          <cell r="X432">
            <v>1.66</v>
          </cell>
          <cell r="Y432">
            <v>0.98</v>
          </cell>
          <cell r="Z432">
            <v>1.454</v>
          </cell>
          <cell r="AA432">
            <v>0.83599999999999997</v>
          </cell>
          <cell r="AB432">
            <v>0.72</v>
          </cell>
          <cell r="AC432">
            <v>34.299999999999997</v>
          </cell>
          <cell r="AD432">
            <v>1.17</v>
          </cell>
          <cell r="AE432">
            <v>177.8</v>
          </cell>
          <cell r="AF432">
            <v>9.19</v>
          </cell>
          <cell r="AG432">
            <v>2390.8000000000002</v>
          </cell>
          <cell r="AH432">
            <v>3055.35</v>
          </cell>
          <cell r="AI432">
            <v>3055.35</v>
          </cell>
          <cell r="AM432" t="str">
            <v>закрытый</v>
          </cell>
          <cell r="AN432" t="str">
            <v>2427,43-2428,48; 2580,32-2581,37; 2812,57-2813,62; 2937,68-2938,73; 3030,66-3031,71</v>
          </cell>
          <cell r="AO432">
            <v>150.12999999999988</v>
          </cell>
          <cell r="AP432">
            <v>2427.4299999999998</v>
          </cell>
          <cell r="AQ432">
            <v>1785.37</v>
          </cell>
          <cell r="AR432" t="str">
            <v>2390,8-3056</v>
          </cell>
          <cell r="AS432">
            <v>114</v>
          </cell>
          <cell r="AT432">
            <v>7.37</v>
          </cell>
          <cell r="AU432" t="str">
            <v>Газлифт</v>
          </cell>
          <cell r="AV432">
            <v>440.99998418000001</v>
          </cell>
          <cell r="AW432" t="str">
            <v>ГП</v>
          </cell>
          <cell r="AX432">
            <v>905.00001562499995</v>
          </cell>
          <cell r="AY432" t="str">
            <v>ГП</v>
          </cell>
          <cell r="AZ432">
            <v>1313.9999437500001</v>
          </cell>
          <cell r="BA432" t="str">
            <v>ГК 76 1/8</v>
          </cell>
          <cell r="BB432">
            <v>1654.000027734</v>
          </cell>
          <cell r="BC432" t="str">
            <v>ГК 76 5/32</v>
          </cell>
          <cell r="BD432">
            <v>1935.0000292970001</v>
          </cell>
          <cell r="BE432" t="str">
            <v>ГК 75 5/32</v>
          </cell>
          <cell r="BF432">
            <v>2135</v>
          </cell>
          <cell r="BG432" t="str">
            <v>ЦКсОК 5/16</v>
          </cell>
          <cell r="BH432" t="str">
            <v>-</v>
          </cell>
          <cell r="BI432" t="str">
            <v>-</v>
          </cell>
        </row>
        <row r="433">
          <cell r="J433">
            <v>1509</v>
          </cell>
          <cell r="K433" t="str">
            <v>К-1509</v>
          </cell>
          <cell r="L433">
            <v>43603</v>
          </cell>
          <cell r="M433" t="str">
            <v>Гор.</v>
          </cell>
          <cell r="N433" t="str">
            <v>P4+5+6_Block1_yug</v>
          </cell>
          <cell r="O433" t="str">
            <v>Действующий</v>
          </cell>
          <cell r="P433" t="str">
            <v>В работе</v>
          </cell>
          <cell r="Q433">
            <v>-4</v>
          </cell>
          <cell r="U433">
            <v>203</v>
          </cell>
          <cell r="V433">
            <v>218.2</v>
          </cell>
          <cell r="W433">
            <v>0.98</v>
          </cell>
          <cell r="X433">
            <v>1.66</v>
          </cell>
          <cell r="Y433">
            <v>0.98403097023953534</v>
          </cell>
          <cell r="Z433">
            <v>1.454</v>
          </cell>
          <cell r="AA433">
            <v>0.83599999999999997</v>
          </cell>
          <cell r="AB433">
            <v>0.72</v>
          </cell>
          <cell r="AC433">
            <v>34.299999999999997</v>
          </cell>
          <cell r="AD433">
            <v>1.17</v>
          </cell>
          <cell r="AE433">
            <v>177.8</v>
          </cell>
          <cell r="AF433">
            <v>9.19</v>
          </cell>
          <cell r="AG433">
            <v>2051</v>
          </cell>
          <cell r="AH433">
            <v>2713</v>
          </cell>
          <cell r="AI433">
            <v>2713</v>
          </cell>
          <cell r="AM433" t="str">
            <v>Закрытый</v>
          </cell>
          <cell r="AN433" t="str">
            <v xml:space="preserve">2153,16-2154,59; 2273,14-2274,57; 2404,83-2406,26; 2525,18-2526,61; 2665,88-2667,11 </v>
          </cell>
          <cell r="AO433">
            <v>26.659999999999854</v>
          </cell>
          <cell r="AP433">
            <v>2153.16</v>
          </cell>
          <cell r="AQ433">
            <v>246.31</v>
          </cell>
          <cell r="AR433" t="str">
            <v>1995-2714</v>
          </cell>
          <cell r="AS433">
            <v>114</v>
          </cell>
          <cell r="AT433">
            <v>7.37</v>
          </cell>
          <cell r="AU433" t="str">
            <v>Газлифт</v>
          </cell>
          <cell r="AV433">
            <v>373.30000488299999</v>
          </cell>
          <cell r="AW433" t="str">
            <v>ГК78 1/8</v>
          </cell>
          <cell r="AX433">
            <v>787.49998769499996</v>
          </cell>
          <cell r="AY433" t="str">
            <v>ГК79 1/8</v>
          </cell>
          <cell r="AZ433">
            <v>1168.399975195</v>
          </cell>
          <cell r="BA433" t="str">
            <v>ГК78 5/32</v>
          </cell>
          <cell r="BB433">
            <v>1517.2000429689999</v>
          </cell>
          <cell r="BC433" t="str">
            <v>ГК 85 5/32</v>
          </cell>
          <cell r="BD433">
            <v>1765.9000253910001</v>
          </cell>
          <cell r="BE433" t="str">
            <v>ЦКсОК 5/16</v>
          </cell>
          <cell r="BF433" t="str">
            <v>-</v>
          </cell>
          <cell r="BG433" t="str">
            <v>-</v>
          </cell>
          <cell r="BH433" t="str">
            <v>-</v>
          </cell>
          <cell r="BI433" t="str">
            <v>-</v>
          </cell>
        </row>
        <row r="434">
          <cell r="J434">
            <v>1510</v>
          </cell>
          <cell r="K434" t="str">
            <v>К-1363</v>
          </cell>
          <cell r="L434">
            <v>44149</v>
          </cell>
          <cell r="M434" t="str">
            <v>Гор.</v>
          </cell>
          <cell r="N434" t="str">
            <v>P4+5+6_Block1_yug</v>
          </cell>
          <cell r="O434" t="str">
            <v>Действующий</v>
          </cell>
          <cell r="P434" t="str">
            <v>В работе</v>
          </cell>
          <cell r="Q434">
            <v>-4</v>
          </cell>
          <cell r="U434">
            <v>203</v>
          </cell>
          <cell r="V434">
            <v>218.2</v>
          </cell>
          <cell r="W434">
            <v>0.98</v>
          </cell>
          <cell r="X434">
            <v>1.66</v>
          </cell>
          <cell r="Y434">
            <v>1.4811712433534852</v>
          </cell>
          <cell r="Z434">
            <v>1.454</v>
          </cell>
          <cell r="AA434">
            <v>0.83599999999999997</v>
          </cell>
          <cell r="AB434">
            <v>0.72</v>
          </cell>
          <cell r="AC434">
            <v>34.299999999999997</v>
          </cell>
          <cell r="AD434">
            <v>1.17</v>
          </cell>
          <cell r="AE434">
            <v>177.8</v>
          </cell>
          <cell r="AF434">
            <v>9.19</v>
          </cell>
          <cell r="AG434">
            <v>2009</v>
          </cell>
          <cell r="AH434">
            <v>2423</v>
          </cell>
          <cell r="AI434">
            <v>2009</v>
          </cell>
          <cell r="AM434" t="str">
            <v>открытый</v>
          </cell>
          <cell r="AN434" t="str">
            <v>2423-2920</v>
          </cell>
          <cell r="AO434">
            <v>608</v>
          </cell>
          <cell r="AP434">
            <v>2423</v>
          </cell>
          <cell r="AQ434">
            <v>1103</v>
          </cell>
          <cell r="AR434" t="str">
            <v>1931,-2423</v>
          </cell>
          <cell r="AS434">
            <v>114</v>
          </cell>
          <cell r="AT434">
            <v>7.37</v>
          </cell>
          <cell r="AU434" t="str">
            <v>Фон.</v>
          </cell>
          <cell r="AV434">
            <v>453</v>
          </cell>
          <cell r="AW434" t="str">
            <v>ГП</v>
          </cell>
          <cell r="AX434">
            <v>868</v>
          </cell>
          <cell r="AY434" t="str">
            <v>ГК80 5/32</v>
          </cell>
          <cell r="AZ434">
            <v>1166</v>
          </cell>
          <cell r="BA434" t="str">
            <v>ГК 80 5/32</v>
          </cell>
          <cell r="BB434">
            <v>1405</v>
          </cell>
          <cell r="BC434" t="str">
            <v>ГК 80 5/32</v>
          </cell>
          <cell r="BD434">
            <v>1660</v>
          </cell>
          <cell r="BE434" t="str">
            <v>ЦКсОК 5/16</v>
          </cell>
          <cell r="BF434" t="str">
            <v>-</v>
          </cell>
          <cell r="BG434" t="str">
            <v>-</v>
          </cell>
          <cell r="BH434" t="str">
            <v>-</v>
          </cell>
          <cell r="BI434" t="str">
            <v>-</v>
          </cell>
        </row>
        <row r="435">
          <cell r="J435">
            <v>1511</v>
          </cell>
          <cell r="K435" t="str">
            <v>Куст скважины-1015-1</v>
          </cell>
          <cell r="L435">
            <v>43982</v>
          </cell>
          <cell r="M435" t="str">
            <v>Гор.</v>
          </cell>
          <cell r="N435" t="str">
            <v>Р4+5_Block3, P5i</v>
          </cell>
          <cell r="O435" t="str">
            <v>Действующий</v>
          </cell>
          <cell r="P435" t="str">
            <v>Остановлена</v>
          </cell>
          <cell r="Q435">
            <v>-4</v>
          </cell>
          <cell r="U435">
            <v>203</v>
          </cell>
          <cell r="V435">
            <v>218.2</v>
          </cell>
          <cell r="W435">
            <v>0.98</v>
          </cell>
          <cell r="X435">
            <v>1.66</v>
          </cell>
          <cell r="Y435">
            <v>0.98817686592186904</v>
          </cell>
          <cell r="Z435">
            <v>1.454</v>
          </cell>
          <cell r="AA435">
            <v>0.83599999999999997</v>
          </cell>
          <cell r="AB435">
            <v>0.72</v>
          </cell>
          <cell r="AC435">
            <v>34.299999999999997</v>
          </cell>
          <cell r="AD435">
            <v>1.17</v>
          </cell>
          <cell r="AE435">
            <v>177.8</v>
          </cell>
          <cell r="AF435">
            <v>9.19</v>
          </cell>
          <cell r="AG435">
            <v>2488.25</v>
          </cell>
          <cell r="AH435">
            <v>3160</v>
          </cell>
          <cell r="AI435">
            <v>3160</v>
          </cell>
          <cell r="AM435" t="str">
            <v>открытый</v>
          </cell>
          <cell r="AN435" t="str">
            <v>2488,25-3160</v>
          </cell>
          <cell r="AO435">
            <v>76.31</v>
          </cell>
          <cell r="AP435">
            <v>2488.25</v>
          </cell>
          <cell r="AQ435">
            <v>610.3900000000001</v>
          </cell>
          <cell r="AU435" t="str">
            <v>Газлифт</v>
          </cell>
          <cell r="AV435">
            <v>429.99998584000002</v>
          </cell>
          <cell r="AW435" t="str">
            <v>ГП</v>
          </cell>
          <cell r="AX435">
            <v>823.000034766</v>
          </cell>
          <cell r="AY435" t="str">
            <v>ГП</v>
          </cell>
          <cell r="AZ435">
            <v>1139.9999970700001</v>
          </cell>
          <cell r="BA435" t="str">
            <v>ГК81 1/8</v>
          </cell>
          <cell r="BB435">
            <v>1456.9999593749999</v>
          </cell>
          <cell r="BC435" t="str">
            <v>ГК81 1/8</v>
          </cell>
          <cell r="BD435">
            <v>1760.000032031</v>
          </cell>
          <cell r="BE435" t="str">
            <v>ЦКсОК 5/16</v>
          </cell>
          <cell r="BF435" t="str">
            <v>-</v>
          </cell>
          <cell r="BG435" t="str">
            <v>-</v>
          </cell>
          <cell r="BH435">
            <v>1770</v>
          </cell>
          <cell r="BI435" t="str">
            <v>закрыт</v>
          </cell>
        </row>
        <row r="436">
          <cell r="J436">
            <v>1512</v>
          </cell>
          <cell r="K436" t="str">
            <v>К-1512</v>
          </cell>
          <cell r="L436">
            <v>43759</v>
          </cell>
          <cell r="M436" t="str">
            <v>Гор.</v>
          </cell>
          <cell r="N436" t="str">
            <v>P4+5+6_Block1_yug</v>
          </cell>
          <cell r="O436" t="str">
            <v>Действующий</v>
          </cell>
          <cell r="P436" t="str">
            <v>В работе</v>
          </cell>
          <cell r="Q436">
            <v>-4</v>
          </cell>
          <cell r="U436">
            <v>203</v>
          </cell>
          <cell r="V436">
            <v>218.2</v>
          </cell>
          <cell r="W436">
            <v>0.98</v>
          </cell>
          <cell r="X436">
            <v>1.66</v>
          </cell>
          <cell r="Y436">
            <v>0.98793202289223347</v>
          </cell>
          <cell r="Z436">
            <v>1.454</v>
          </cell>
          <cell r="AA436">
            <v>0.83599999999999997</v>
          </cell>
          <cell r="AB436">
            <v>0.72</v>
          </cell>
          <cell r="AC436">
            <v>34.299999999999997</v>
          </cell>
          <cell r="AD436">
            <v>1.17</v>
          </cell>
          <cell r="AE436">
            <v>177.8</v>
          </cell>
          <cell r="AF436">
            <v>9.19</v>
          </cell>
          <cell r="AG436">
            <v>2302.66</v>
          </cell>
          <cell r="AH436">
            <v>3096</v>
          </cell>
          <cell r="AI436">
            <v>3096</v>
          </cell>
          <cell r="AM436" t="str">
            <v>Закрытый</v>
          </cell>
          <cell r="AN436" t="str">
            <v xml:space="preserve">2395,55-2396,75; 2513,52-2514,72; 2664,55-2665,75; 2734,92-2736,12; 2807,95-2809,15; 3010,77-3011,97; 3082,88-3084,08 </v>
          </cell>
          <cell r="AO436">
            <v>91</v>
          </cell>
          <cell r="AP436">
            <v>2395.5500000000002</v>
          </cell>
          <cell r="AQ436">
            <v>482.55</v>
          </cell>
          <cell r="AR436" t="str">
            <v>2264,66-3096</v>
          </cell>
          <cell r="AS436">
            <v>114</v>
          </cell>
          <cell r="AT436">
            <v>7.37</v>
          </cell>
          <cell r="AU436" t="str">
            <v>Газлифт</v>
          </cell>
          <cell r="AV436">
            <v>500.00002939500001</v>
          </cell>
          <cell r="AW436" t="str">
            <v>ГП</v>
          </cell>
          <cell r="AX436">
            <v>890.00000097700001</v>
          </cell>
          <cell r="AY436" t="str">
            <v>ГП</v>
          </cell>
          <cell r="AZ436">
            <v>1209.9999662109999</v>
          </cell>
          <cell r="BA436" t="str">
            <v>ГК78 1/8</v>
          </cell>
          <cell r="BB436">
            <v>1449.9999773439999</v>
          </cell>
          <cell r="BC436" t="str">
            <v>ГК77 1/8</v>
          </cell>
          <cell r="BD436">
            <v>1720.0000921880001</v>
          </cell>
          <cell r="BE436" t="str">
            <v>ГК77 1/8</v>
          </cell>
          <cell r="BF436">
            <v>1940</v>
          </cell>
          <cell r="BG436" t="str">
            <v>ЦКсОК 5/16</v>
          </cell>
          <cell r="BH436" t="str">
            <v>-</v>
          </cell>
          <cell r="BI436" t="str">
            <v>-</v>
          </cell>
        </row>
        <row r="437">
          <cell r="J437" t="str">
            <v>1512-1</v>
          </cell>
          <cell r="K437" t="str">
            <v>К-49</v>
          </cell>
          <cell r="L437">
            <v>43920</v>
          </cell>
          <cell r="M437" t="str">
            <v>Гор.</v>
          </cell>
          <cell r="N437" t="str">
            <v>P4+5+6_Block1_yug</v>
          </cell>
          <cell r="O437" t="str">
            <v>Действующий</v>
          </cell>
          <cell r="P437" t="str">
            <v>В работе</v>
          </cell>
          <cell r="Q437">
            <v>-4</v>
          </cell>
          <cell r="U437">
            <v>203</v>
          </cell>
          <cell r="V437">
            <v>218.2</v>
          </cell>
          <cell r="W437">
            <v>0.98</v>
          </cell>
          <cell r="X437">
            <v>1.66</v>
          </cell>
          <cell r="Y437">
            <v>0.98004014622285718</v>
          </cell>
          <cell r="Z437">
            <v>1.454</v>
          </cell>
          <cell r="AA437">
            <v>0.83599999999999997</v>
          </cell>
          <cell r="AB437">
            <v>0.72</v>
          </cell>
          <cell r="AC437">
            <v>34.299999999999997</v>
          </cell>
          <cell r="AD437">
            <v>1.17</v>
          </cell>
          <cell r="AE437">
            <v>177.8</v>
          </cell>
          <cell r="AF437">
            <v>9.19</v>
          </cell>
          <cell r="AG437">
            <v>2514.1</v>
          </cell>
          <cell r="AH437">
            <v>3161</v>
          </cell>
          <cell r="AI437">
            <v>3161</v>
          </cell>
          <cell r="AM437" t="str">
            <v>Закрытый</v>
          </cell>
          <cell r="AN437" t="str">
            <v xml:space="preserve">2601,9-2602,06; 2759,36-2760,33; 2889,82-2890,79; 3021,78-3022,75; 3106,37-3107,51 </v>
          </cell>
          <cell r="AO437">
            <v>25.8</v>
          </cell>
          <cell r="AP437">
            <v>2601.9</v>
          </cell>
          <cell r="AQ437">
            <v>701.90000000000009</v>
          </cell>
          <cell r="AR437" t="str">
            <v>2428,04-3003</v>
          </cell>
          <cell r="AS437">
            <v>114</v>
          </cell>
          <cell r="AT437">
            <v>7.37</v>
          </cell>
          <cell r="AU437" t="str">
            <v>Газлифт</v>
          </cell>
          <cell r="AV437">
            <v>533.00002441399999</v>
          </cell>
          <cell r="AW437" t="str">
            <v>ГП</v>
          </cell>
          <cell r="AX437">
            <v>941.00005078100003</v>
          </cell>
          <cell r="AY437" t="str">
            <v>ГП</v>
          </cell>
          <cell r="AZ437">
            <v>1258.0000875000001</v>
          </cell>
          <cell r="BA437" t="str">
            <v>ГК78 1/8</v>
          </cell>
          <cell r="BB437">
            <v>1499.999976563</v>
          </cell>
          <cell r="BC437" t="str">
            <v>ГК77 1/8</v>
          </cell>
          <cell r="BD437">
            <v>1685.0000332029999</v>
          </cell>
          <cell r="BE437" t="str">
            <v>ГК75 1/4</v>
          </cell>
          <cell r="BF437">
            <v>1944</v>
          </cell>
          <cell r="BG437" t="str">
            <v>ЦКсОК 5/16</v>
          </cell>
          <cell r="BH437" t="str">
            <v>-</v>
          </cell>
          <cell r="BI437" t="str">
            <v>-</v>
          </cell>
        </row>
        <row r="438">
          <cell r="J438">
            <v>1513</v>
          </cell>
          <cell r="K438" t="str">
            <v>К-49</v>
          </cell>
          <cell r="L438">
            <v>43726</v>
          </cell>
          <cell r="M438" t="str">
            <v>Гор.</v>
          </cell>
          <cell r="N438" t="str">
            <v>P4+5+6_Block1_yug</v>
          </cell>
          <cell r="O438" t="str">
            <v>Действующий</v>
          </cell>
          <cell r="P438" t="str">
            <v>В работе</v>
          </cell>
          <cell r="Q438">
            <v>-4</v>
          </cell>
          <cell r="U438">
            <v>203</v>
          </cell>
          <cell r="V438">
            <v>218.2</v>
          </cell>
          <cell r="W438">
            <v>0.98</v>
          </cell>
          <cell r="X438">
            <v>1.66</v>
          </cell>
          <cell r="Y438">
            <v>0.99632533072023521</v>
          </cell>
          <cell r="Z438">
            <v>1.454</v>
          </cell>
          <cell r="AA438">
            <v>0.83599999999999997</v>
          </cell>
          <cell r="AB438">
            <v>0.72</v>
          </cell>
          <cell r="AC438">
            <v>34.299999999999997</v>
          </cell>
          <cell r="AD438">
            <v>1.17</v>
          </cell>
          <cell r="AE438">
            <v>177.8</v>
          </cell>
          <cell r="AF438">
            <v>9.19</v>
          </cell>
          <cell r="AG438">
            <v>2389</v>
          </cell>
          <cell r="AH438">
            <v>3130</v>
          </cell>
          <cell r="AI438">
            <v>3104</v>
          </cell>
          <cell r="AM438" t="str">
            <v>закрытый</v>
          </cell>
          <cell r="AN438" t="str">
            <v>2431,85-2432,6; 2528,8-2529,55; 2625-2625,75; 2774,92-2775,67; 2875,09-2875,67; 2985,98-2986,73;3078,85-3079,95</v>
          </cell>
          <cell r="AO438">
            <v>44</v>
          </cell>
          <cell r="AP438">
            <v>2431.85</v>
          </cell>
          <cell r="AQ438">
            <v>552</v>
          </cell>
          <cell r="AR438" t="str">
            <v>2336-3104</v>
          </cell>
          <cell r="AS438">
            <v>114</v>
          </cell>
          <cell r="AT438">
            <v>7.37</v>
          </cell>
          <cell r="AU438" t="str">
            <v>ЭЦН</v>
          </cell>
          <cell r="AV438">
            <v>300</v>
          </cell>
          <cell r="AW438" t="str">
            <v>ГП</v>
          </cell>
          <cell r="AX438" t="str">
            <v>-</v>
          </cell>
          <cell r="AY438" t="str">
            <v>-</v>
          </cell>
          <cell r="AZ438" t="str">
            <v>-</v>
          </cell>
          <cell r="BA438" t="str">
            <v>-</v>
          </cell>
          <cell r="BB438" t="str">
            <v>-</v>
          </cell>
          <cell r="BC438" t="str">
            <v>-</v>
          </cell>
          <cell r="BD438" t="str">
            <v>-</v>
          </cell>
          <cell r="BE438" t="str">
            <v>-</v>
          </cell>
          <cell r="BF438" t="str">
            <v>-</v>
          </cell>
          <cell r="BG438" t="str">
            <v>-</v>
          </cell>
          <cell r="BH438">
            <v>1900</v>
          </cell>
          <cell r="BI438" t="str">
            <v>закрыт</v>
          </cell>
          <cell r="BK438" t="str">
            <v>D460N</v>
          </cell>
          <cell r="BM438">
            <v>1848</v>
          </cell>
          <cell r="BN438">
            <v>52</v>
          </cell>
          <cell r="BO438">
            <v>63</v>
          </cell>
        </row>
        <row r="439">
          <cell r="J439">
            <v>1514</v>
          </cell>
          <cell r="K439" t="str">
            <v>К-49</v>
          </cell>
          <cell r="L439">
            <v>43708</v>
          </cell>
          <cell r="M439" t="str">
            <v>Гор.</v>
          </cell>
          <cell r="N439" t="str">
            <v>P4+5+6_Block1_yug</v>
          </cell>
          <cell r="O439" t="str">
            <v>Действующий</v>
          </cell>
          <cell r="P439" t="str">
            <v>В работе</v>
          </cell>
          <cell r="Q439">
            <v>-4</v>
          </cell>
          <cell r="U439">
            <v>203</v>
          </cell>
          <cell r="V439">
            <v>218.2</v>
          </cell>
          <cell r="W439">
            <v>0.98</v>
          </cell>
          <cell r="X439">
            <v>1.66</v>
          </cell>
          <cell r="Y439">
            <v>0.99632533072023521</v>
          </cell>
          <cell r="Z439">
            <v>1.454</v>
          </cell>
          <cell r="AA439">
            <v>0.83599999999999997</v>
          </cell>
          <cell r="AB439">
            <v>0.72</v>
          </cell>
          <cell r="AC439">
            <v>34.299999999999997</v>
          </cell>
          <cell r="AD439">
            <v>1.17</v>
          </cell>
          <cell r="AE439">
            <v>177.8</v>
          </cell>
          <cell r="AF439">
            <v>9.19</v>
          </cell>
          <cell r="AG439">
            <v>2195</v>
          </cell>
          <cell r="AH439">
            <v>3050</v>
          </cell>
          <cell r="AI439">
            <v>3050</v>
          </cell>
          <cell r="AM439" t="str">
            <v>Закрытый</v>
          </cell>
          <cell r="AN439" t="str">
            <v>2315-2316,2; 2434,6-2435,8; 2541-2541,2; 2693,8-2695; 2765,9-2767,1; 2765,9-2767,1; 2884,4-2885,6; 2991,7-2992,9</v>
          </cell>
          <cell r="AO439">
            <v>9</v>
          </cell>
          <cell r="AP439">
            <v>2195</v>
          </cell>
          <cell r="AQ439">
            <v>424</v>
          </cell>
          <cell r="AR439" t="str">
            <v xml:space="preserve"> 2137-3048</v>
          </cell>
          <cell r="AS439">
            <v>114</v>
          </cell>
          <cell r="AT439">
            <v>7.37</v>
          </cell>
          <cell r="AU439" t="str">
            <v>Газлифт</v>
          </cell>
          <cell r="AV439">
            <v>529.99998427699995</v>
          </cell>
          <cell r="AW439" t="str">
            <v>ГП</v>
          </cell>
          <cell r="AX439">
            <v>980.00001445299995</v>
          </cell>
          <cell r="AY439" t="str">
            <v>ГП</v>
          </cell>
          <cell r="AZ439">
            <v>1319.9999496089999</v>
          </cell>
          <cell r="BA439" t="str">
            <v>ГК76 5/32</v>
          </cell>
          <cell r="BB439">
            <v>1540.000065234</v>
          </cell>
          <cell r="BC439" t="str">
            <v>ГК76 5/32</v>
          </cell>
          <cell r="BD439">
            <v>1710.000032813</v>
          </cell>
          <cell r="BE439" t="str">
            <v>ГК70 5/32</v>
          </cell>
          <cell r="BF439">
            <v>1960</v>
          </cell>
          <cell r="BG439" t="str">
            <v>ЦКсОК 5/16</v>
          </cell>
          <cell r="BH439" t="str">
            <v>-</v>
          </cell>
          <cell r="BI439" t="str">
            <v>-</v>
          </cell>
        </row>
        <row r="440">
          <cell r="J440">
            <v>1515</v>
          </cell>
          <cell r="K440" t="str">
            <v>К-49</v>
          </cell>
          <cell r="L440">
            <v>43785</v>
          </cell>
          <cell r="M440" t="str">
            <v>Гор.</v>
          </cell>
          <cell r="N440" t="str">
            <v>P4+5+6_Block1_yug</v>
          </cell>
          <cell r="O440" t="str">
            <v>Действующий</v>
          </cell>
          <cell r="P440" t="str">
            <v>В работе</v>
          </cell>
          <cell r="Q440">
            <v>-4</v>
          </cell>
          <cell r="R440">
            <v>43745</v>
          </cell>
          <cell r="S440" t="str">
            <v>МеКаМиНефть</v>
          </cell>
          <cell r="T440" t="str">
            <v xml:space="preserve">7 портов 350м3 </v>
          </cell>
          <cell r="U440">
            <v>203</v>
          </cell>
          <cell r="V440">
            <v>218.2</v>
          </cell>
          <cell r="W440">
            <v>0.98</v>
          </cell>
          <cell r="X440">
            <v>1.66</v>
          </cell>
          <cell r="Y440">
            <v>0.98</v>
          </cell>
          <cell r="Z440">
            <v>1.454</v>
          </cell>
          <cell r="AA440">
            <v>0.83599999999999997</v>
          </cell>
          <cell r="AB440">
            <v>0.72</v>
          </cell>
          <cell r="AC440">
            <v>34.299999999999997</v>
          </cell>
          <cell r="AD440">
            <v>1.17</v>
          </cell>
          <cell r="AE440">
            <v>177.8</v>
          </cell>
          <cell r="AF440">
            <v>9.19</v>
          </cell>
          <cell r="AG440">
            <v>2166.59</v>
          </cell>
          <cell r="AH440">
            <v>3009.6</v>
          </cell>
          <cell r="AI440">
            <v>3009.6</v>
          </cell>
          <cell r="AM440" t="str">
            <v>закрытый</v>
          </cell>
          <cell r="AN440" t="str">
            <v>2222-2222,7; 2389,2-2389,9; 2530,7-2531,5; 2651,2-2651,90; 2747,2-2748; 2877,90-2878,65; 2997-2998,1;</v>
          </cell>
          <cell r="AO440">
            <v>3.87</v>
          </cell>
          <cell r="AP440">
            <v>2222.04</v>
          </cell>
          <cell r="AQ440">
            <v>346.99</v>
          </cell>
          <cell r="AR440">
            <v>2111</v>
          </cell>
          <cell r="AS440">
            <v>3010</v>
          </cell>
          <cell r="AT440">
            <v>7.3</v>
          </cell>
          <cell r="AU440" t="str">
            <v>ЭЦН</v>
          </cell>
          <cell r="AV440">
            <v>300</v>
          </cell>
          <cell r="AW440" t="str">
            <v>ГП</v>
          </cell>
          <cell r="AX440" t="str">
            <v>-</v>
          </cell>
          <cell r="AY440" t="str">
            <v>-</v>
          </cell>
          <cell r="AZ440" t="str">
            <v>-</v>
          </cell>
          <cell r="BA440" t="str">
            <v>-</v>
          </cell>
          <cell r="BB440" t="str">
            <v>-</v>
          </cell>
          <cell r="BC440" t="str">
            <v>-</v>
          </cell>
          <cell r="BD440" t="str">
            <v>-</v>
          </cell>
          <cell r="BE440" t="str">
            <v>-</v>
          </cell>
          <cell r="BF440" t="str">
            <v>-</v>
          </cell>
          <cell r="BG440" t="str">
            <v>-</v>
          </cell>
          <cell r="BH440">
            <v>1835</v>
          </cell>
          <cell r="BI440" t="str">
            <v>закрыт</v>
          </cell>
          <cell r="BK440" t="str">
            <v>D460N</v>
          </cell>
          <cell r="BM440">
            <v>1321</v>
          </cell>
          <cell r="BN440">
            <v>46</v>
          </cell>
          <cell r="BO440">
            <v>56</v>
          </cell>
        </row>
        <row r="441">
          <cell r="J441">
            <v>3286</v>
          </cell>
          <cell r="K441" t="str">
            <v>К-34</v>
          </cell>
          <cell r="L441">
            <v>43645</v>
          </cell>
          <cell r="M441" t="str">
            <v>Гор.</v>
          </cell>
          <cell r="N441" t="str">
            <v>P4+5+6_Block1_yug</v>
          </cell>
          <cell r="O441" t="str">
            <v>Действующий</v>
          </cell>
          <cell r="P441" t="str">
            <v>В работе</v>
          </cell>
          <cell r="Q441">
            <v>-4</v>
          </cell>
          <cell r="U441">
            <v>203</v>
          </cell>
          <cell r="V441">
            <v>218.2</v>
          </cell>
          <cell r="W441">
            <v>0.98</v>
          </cell>
          <cell r="X441">
            <v>1.66</v>
          </cell>
          <cell r="Y441">
            <v>0.98</v>
          </cell>
          <cell r="Z441">
            <v>1.454</v>
          </cell>
          <cell r="AA441">
            <v>0.83599999999999997</v>
          </cell>
          <cell r="AB441">
            <v>0.72</v>
          </cell>
          <cell r="AC441">
            <v>34.299999999999997</v>
          </cell>
          <cell r="AD441">
            <v>1.17</v>
          </cell>
          <cell r="AE441">
            <v>177.8</v>
          </cell>
          <cell r="AF441">
            <v>9.19</v>
          </cell>
          <cell r="AG441">
            <v>2492.41</v>
          </cell>
          <cell r="AH441">
            <v>3462.69</v>
          </cell>
          <cell r="AI441">
            <v>3462.69</v>
          </cell>
          <cell r="AM441" t="str">
            <v>Закрытый</v>
          </cell>
          <cell r="AN441" t="str">
            <v>2656,53-2657,28; 2857,1-2857,85; 2951-2951,75; 3080,16-3080,91; 3210,44-3211,15; 3352,86-3353,61; 3437,4-3438,5</v>
          </cell>
          <cell r="AO441">
            <v>20.89</v>
          </cell>
          <cell r="AP441">
            <v>2656.53</v>
          </cell>
          <cell r="AQ441">
            <v>787.69</v>
          </cell>
          <cell r="AR441" t="str">
            <v>2440,75-3462,69</v>
          </cell>
          <cell r="AS441">
            <v>114</v>
          </cell>
          <cell r="AT441">
            <v>7.37</v>
          </cell>
          <cell r="AU441" t="str">
            <v>Газлифт</v>
          </cell>
          <cell r="AV441">
            <v>519.99999931599996</v>
          </cell>
          <cell r="AW441" t="str">
            <v>ГП</v>
          </cell>
          <cell r="AX441">
            <v>999.99998437500005</v>
          </cell>
          <cell r="AY441" t="str">
            <v>ГП</v>
          </cell>
          <cell r="AZ441">
            <v>1394.999948438</v>
          </cell>
          <cell r="BA441" t="str">
            <v>ГП</v>
          </cell>
          <cell r="BB441">
            <v>1705.0000031249999</v>
          </cell>
          <cell r="BC441" t="str">
            <v>ГК75 1/8</v>
          </cell>
          <cell r="BD441">
            <v>2019.9999386720001</v>
          </cell>
          <cell r="BE441" t="str">
            <v>ЦКсОК 5/16</v>
          </cell>
          <cell r="BF441" t="str">
            <v>-</v>
          </cell>
          <cell r="BG441" t="str">
            <v>-</v>
          </cell>
          <cell r="BH441" t="str">
            <v>-</v>
          </cell>
          <cell r="BI441" t="str">
            <v>-</v>
          </cell>
        </row>
        <row r="442">
          <cell r="J442" t="str">
            <v>1136-1</v>
          </cell>
          <cell r="K442" t="str">
            <v>К-14</v>
          </cell>
          <cell r="L442">
            <v>41860</v>
          </cell>
          <cell r="M442" t="str">
            <v>Гор.</v>
          </cell>
          <cell r="N442" t="str">
            <v>P4+5+6_Block1_yug</v>
          </cell>
          <cell r="O442" t="str">
            <v>Действующий</v>
          </cell>
          <cell r="P442" t="str">
            <v>В работе</v>
          </cell>
          <cell r="Q442">
            <v>-4</v>
          </cell>
          <cell r="R442">
            <v>41815</v>
          </cell>
          <cell r="S442" t="str">
            <v>Slb</v>
          </cell>
          <cell r="T442" t="str">
            <v>190м3 15% HCL 
 48м3 WF130</v>
          </cell>
          <cell r="U442">
            <v>203</v>
          </cell>
          <cell r="V442">
            <v>218.2</v>
          </cell>
          <cell r="W442">
            <v>0.98</v>
          </cell>
          <cell r="X442">
            <v>1.66</v>
          </cell>
          <cell r="Y442">
            <v>0.98012044853704894</v>
          </cell>
          <cell r="Z442">
            <v>1.454</v>
          </cell>
          <cell r="AA442">
            <v>0.83599999999999997</v>
          </cell>
          <cell r="AB442">
            <v>0.72</v>
          </cell>
          <cell r="AC442">
            <v>34.299999999999997</v>
          </cell>
          <cell r="AD442">
            <v>1.17</v>
          </cell>
          <cell r="AE442" t="str">
            <v>177,8;
114,3</v>
          </cell>
          <cell r="AF442">
            <v>9.19</v>
          </cell>
          <cell r="AG442" t="str">
            <v>2067;
1983,6-2764</v>
          </cell>
          <cell r="AH442">
            <v>2770</v>
          </cell>
          <cell r="AI442">
            <v>2770</v>
          </cell>
          <cell r="AM442" t="str">
            <v>Закрытый</v>
          </cell>
          <cell r="AN442" t="str">
            <v>2158-2159; 2392-2393; 2509-2510; 2617-2618; 2730-2731</v>
          </cell>
          <cell r="AO442">
            <v>12.7</v>
          </cell>
          <cell r="AP442">
            <v>2158</v>
          </cell>
          <cell r="AQ442">
            <v>318.89999999999998</v>
          </cell>
          <cell r="AU442" t="str">
            <v>Газлифт</v>
          </cell>
          <cell r="AV442">
            <v>445</v>
          </cell>
          <cell r="AW442" t="str">
            <v>ГК73 1/8</v>
          </cell>
          <cell r="AX442">
            <v>851</v>
          </cell>
          <cell r="AY442" t="str">
            <v>ГК74 1/8</v>
          </cell>
          <cell r="AZ442">
            <v>1208</v>
          </cell>
          <cell r="BA442" t="str">
            <v>ГК75 1/8</v>
          </cell>
          <cell r="BB442">
            <v>1521</v>
          </cell>
          <cell r="BC442" t="str">
            <v>ГК 75 1/8</v>
          </cell>
          <cell r="BD442">
            <v>1773</v>
          </cell>
          <cell r="BE442" t="str">
            <v>ЦКсОК 5/16</v>
          </cell>
          <cell r="BF442" t="str">
            <v>-</v>
          </cell>
          <cell r="BG442" t="str">
            <v>-</v>
          </cell>
          <cell r="BH442" t="str">
            <v>-</v>
          </cell>
          <cell r="BI442" t="str">
            <v>-</v>
          </cell>
        </row>
        <row r="443">
          <cell r="J443">
            <v>1519</v>
          </cell>
          <cell r="K443" t="str">
            <v>К-48</v>
          </cell>
          <cell r="L443">
            <v>43798</v>
          </cell>
          <cell r="M443" t="str">
            <v>Гор.</v>
          </cell>
          <cell r="N443" t="str">
            <v>P4+5+6_Block1_yug</v>
          </cell>
          <cell r="O443" t="str">
            <v>Действующий</v>
          </cell>
          <cell r="P443" t="str">
            <v>В работе</v>
          </cell>
          <cell r="Q443">
            <v>-4</v>
          </cell>
          <cell r="R443" t="str">
            <v xml:space="preserve"> </v>
          </cell>
          <cell r="S443" t="str">
            <v xml:space="preserve"> </v>
          </cell>
          <cell r="U443">
            <v>203</v>
          </cell>
          <cell r="V443">
            <v>218.2</v>
          </cell>
          <cell r="W443">
            <v>0.98</v>
          </cell>
          <cell r="X443">
            <v>1.66</v>
          </cell>
          <cell r="Y443">
            <v>0.98012044853704894</v>
          </cell>
          <cell r="Z443">
            <v>1.454</v>
          </cell>
          <cell r="AA443">
            <v>0.83599999999999997</v>
          </cell>
          <cell r="AB443">
            <v>0.72</v>
          </cell>
          <cell r="AC443">
            <v>34.299999999999997</v>
          </cell>
          <cell r="AD443">
            <v>1.17</v>
          </cell>
          <cell r="AE443">
            <v>177.8</v>
          </cell>
          <cell r="AF443">
            <v>9.19</v>
          </cell>
          <cell r="AG443">
            <v>2271</v>
          </cell>
          <cell r="AH443">
            <v>3128</v>
          </cell>
          <cell r="AI443">
            <v>3128</v>
          </cell>
          <cell r="AM443" t="str">
            <v>закрытый</v>
          </cell>
          <cell r="AN443" t="str">
            <v>2377,31-2378,51; 2472,13-2473,33; 2626,22-2627,42; 2787,54-2788,74; 2904,35-2905,55; 3018,07-3019,27; 3114,44-3115,64;</v>
          </cell>
          <cell r="AO443">
            <v>14.7</v>
          </cell>
          <cell r="AP443">
            <v>2377.31</v>
          </cell>
          <cell r="AQ443">
            <v>455.01</v>
          </cell>
          <cell r="AR443" t="str">
            <v>2213,46-3128</v>
          </cell>
          <cell r="AS443">
            <v>114</v>
          </cell>
          <cell r="AT443">
            <v>7.37</v>
          </cell>
          <cell r="AU443" t="str">
            <v>ЭЦН</v>
          </cell>
          <cell r="AV443">
            <v>300</v>
          </cell>
          <cell r="AW443" t="str">
            <v>ГП</v>
          </cell>
          <cell r="AX443" t="str">
            <v>-</v>
          </cell>
          <cell r="AY443" t="str">
            <v>-</v>
          </cell>
          <cell r="AZ443" t="str">
            <v>-</v>
          </cell>
          <cell r="BA443" t="str">
            <v>-</v>
          </cell>
          <cell r="BB443" t="str">
            <v>-</v>
          </cell>
          <cell r="BC443" t="str">
            <v>-</v>
          </cell>
          <cell r="BD443" t="str">
            <v>-</v>
          </cell>
          <cell r="BE443" t="str">
            <v>-</v>
          </cell>
          <cell r="BF443" t="str">
            <v>-</v>
          </cell>
          <cell r="BG443" t="str">
            <v>-</v>
          </cell>
          <cell r="BH443">
            <v>1900</v>
          </cell>
          <cell r="BI443" t="str">
            <v>закрыт</v>
          </cell>
          <cell r="BK443" t="str">
            <v>D460N</v>
          </cell>
          <cell r="BM443">
            <v>1849</v>
          </cell>
          <cell r="BN443">
            <v>46</v>
          </cell>
          <cell r="BO443">
            <v>56</v>
          </cell>
        </row>
        <row r="444">
          <cell r="J444">
            <v>1520</v>
          </cell>
          <cell r="K444" t="str">
            <v>К-48</v>
          </cell>
          <cell r="L444">
            <v>44037</v>
          </cell>
          <cell r="M444" t="str">
            <v>Гор.</v>
          </cell>
          <cell r="N444" t="str">
            <v>P4+5+6_Block1_yug</v>
          </cell>
          <cell r="O444" t="str">
            <v>Действующий</v>
          </cell>
          <cell r="P444" t="str">
            <v>В работе</v>
          </cell>
          <cell r="Q444">
            <v>-4</v>
          </cell>
          <cell r="U444">
            <v>203</v>
          </cell>
          <cell r="V444">
            <v>218.2</v>
          </cell>
          <cell r="W444">
            <v>0.98</v>
          </cell>
          <cell r="X444">
            <v>1.66</v>
          </cell>
          <cell r="Y444">
            <v>0.98</v>
          </cell>
          <cell r="Z444">
            <v>1.454</v>
          </cell>
          <cell r="AA444">
            <v>0.83599999999999997</v>
          </cell>
          <cell r="AB444">
            <v>0.72</v>
          </cell>
          <cell r="AC444">
            <v>34.299999999999997</v>
          </cell>
          <cell r="AD444">
            <v>1.17</v>
          </cell>
          <cell r="AE444">
            <v>177.8</v>
          </cell>
          <cell r="AF444">
            <v>9.19</v>
          </cell>
          <cell r="AG444">
            <v>2395.5</v>
          </cell>
          <cell r="AH444">
            <v>3587</v>
          </cell>
          <cell r="AI444">
            <v>3587</v>
          </cell>
          <cell r="AM444" t="str">
            <v>закрытый</v>
          </cell>
          <cell r="AN444" t="str">
            <v>2607,97-2608,82; 2694,96-2695,81; 2840,37-2841,22; 2998,76-2999,61; 3121,94-3122,79; 3220,33-3221,18; 3331,08-3331,93; 3451,46-3452,31; 3573,05-3574,15</v>
          </cell>
          <cell r="AO444">
            <v>48.85</v>
          </cell>
          <cell r="AP444">
            <v>2607.9699999999998</v>
          </cell>
          <cell r="AQ444">
            <v>760.61999999999966</v>
          </cell>
          <cell r="AR444" t="str">
            <v>2334,4-3587</v>
          </cell>
          <cell r="AS444">
            <v>114</v>
          </cell>
          <cell r="AT444">
            <v>7.4</v>
          </cell>
          <cell r="AU444" t="str">
            <v>Газлифт</v>
          </cell>
          <cell r="AV444">
            <v>423.00000380900002</v>
          </cell>
          <cell r="AW444" t="str">
            <v>ГП</v>
          </cell>
          <cell r="AX444">
            <v>805.99999335899997</v>
          </cell>
          <cell r="AY444" t="str">
            <v>ГП</v>
          </cell>
          <cell r="AZ444">
            <v>1133.0000150389999</v>
          </cell>
          <cell r="BA444" t="str">
            <v>ГК75 1/8</v>
          </cell>
          <cell r="BB444">
            <v>1380.0000082030001</v>
          </cell>
          <cell r="BC444" t="str">
            <v>ГК 75 5/32</v>
          </cell>
          <cell r="BD444">
            <v>1561.9999875000001</v>
          </cell>
          <cell r="BE444" t="str">
            <v>ГП</v>
          </cell>
          <cell r="BF444">
            <v>1650</v>
          </cell>
          <cell r="BG444" t="str">
            <v>ЦКсОК 5/16</v>
          </cell>
          <cell r="BH444">
            <v>1660</v>
          </cell>
          <cell r="BI444" t="str">
            <v>закрыт</v>
          </cell>
        </row>
        <row r="445">
          <cell r="J445">
            <v>1521</v>
          </cell>
          <cell r="K445" t="str">
            <v>К-1526</v>
          </cell>
          <cell r="L445">
            <v>43720</v>
          </cell>
          <cell r="M445" t="str">
            <v>Гор.</v>
          </cell>
          <cell r="N445" t="str">
            <v>P4+5+6_Block1_yug</v>
          </cell>
          <cell r="O445" t="str">
            <v>Действующий</v>
          </cell>
          <cell r="P445" t="str">
            <v>В работе</v>
          </cell>
          <cell r="Q445">
            <v>-4</v>
          </cell>
          <cell r="U445">
            <v>203</v>
          </cell>
          <cell r="V445">
            <v>218.2</v>
          </cell>
          <cell r="W445">
            <v>0.98</v>
          </cell>
          <cell r="X445">
            <v>1.66</v>
          </cell>
          <cell r="Y445">
            <v>0.99907143102796014</v>
          </cell>
          <cell r="Z445">
            <v>1.454</v>
          </cell>
          <cell r="AA445">
            <v>0.83599999999999997</v>
          </cell>
          <cell r="AB445">
            <v>0.72</v>
          </cell>
          <cell r="AC445">
            <v>34.299999999999997</v>
          </cell>
          <cell r="AD445">
            <v>1.17</v>
          </cell>
          <cell r="AE445">
            <v>177.8</v>
          </cell>
          <cell r="AF445">
            <v>9.19</v>
          </cell>
          <cell r="AG445">
            <v>2218</v>
          </cell>
          <cell r="AH445">
            <v>3166</v>
          </cell>
          <cell r="AI445">
            <v>3166</v>
          </cell>
          <cell r="AM445" t="str">
            <v>закрытый</v>
          </cell>
          <cell r="AN445" t="str">
            <v>2257,56-2259,17; 2420,73-2422,34; 2573,06-2574,67; 2691,3-2692,91;  2823,33-2824,94; 2931,91-2933,52; 3065,02-3066,63;</v>
          </cell>
          <cell r="AO445">
            <v>51</v>
          </cell>
          <cell r="AP445">
            <v>2257.56</v>
          </cell>
          <cell r="AQ445">
            <v>1149</v>
          </cell>
          <cell r="AR445" t="str">
            <v>2143-3088</v>
          </cell>
          <cell r="AS445">
            <v>114</v>
          </cell>
          <cell r="AT445">
            <v>7.37</v>
          </cell>
          <cell r="AU445" t="str">
            <v>Газлифт</v>
          </cell>
          <cell r="AV445">
            <v>449.999992969</v>
          </cell>
          <cell r="AW445" t="str">
            <v>ГП</v>
          </cell>
          <cell r="AX445">
            <v>799.99998749999997</v>
          </cell>
          <cell r="AY445" t="str">
            <v>ГК 74 1/8</v>
          </cell>
          <cell r="AZ445">
            <v>1109.999967773</v>
          </cell>
          <cell r="BA445" t="str">
            <v>ГК 74 1/8</v>
          </cell>
          <cell r="BB445">
            <v>1360.0000382809999</v>
          </cell>
          <cell r="BC445" t="str">
            <v>ГК 73 1/8</v>
          </cell>
          <cell r="BD445">
            <v>1560.000035156</v>
          </cell>
          <cell r="BE445" t="str">
            <v>ГК 74 5/32</v>
          </cell>
          <cell r="BF445">
            <v>1800</v>
          </cell>
          <cell r="BG445" t="str">
            <v>ЦКсОК 5/16</v>
          </cell>
          <cell r="BH445" t="str">
            <v>-</v>
          </cell>
          <cell r="BI445" t="str">
            <v>-</v>
          </cell>
        </row>
        <row r="446">
          <cell r="J446">
            <v>1522</v>
          </cell>
          <cell r="K446" t="str">
            <v>К-66</v>
          </cell>
          <cell r="L446">
            <v>43037</v>
          </cell>
          <cell r="M446" t="str">
            <v>Гор.</v>
          </cell>
          <cell r="N446" t="str">
            <v>P4+5+6_Block1_yug</v>
          </cell>
          <cell r="O446" t="str">
            <v>Действующий</v>
          </cell>
          <cell r="P446" t="str">
            <v>В работе</v>
          </cell>
          <cell r="Q446">
            <v>-4</v>
          </cell>
          <cell r="R446">
            <v>42987</v>
          </cell>
          <cell r="S446" t="str">
            <v>МеКаМиНефть</v>
          </cell>
          <cell r="T446" t="str">
            <v>67т проппанта + 366м3 15% HCl (7стадий)</v>
          </cell>
          <cell r="U446">
            <v>203</v>
          </cell>
          <cell r="V446">
            <v>218.2</v>
          </cell>
          <cell r="W446">
            <v>0.98</v>
          </cell>
          <cell r="X446">
            <v>1.66</v>
          </cell>
          <cell r="Y446">
            <v>0.98</v>
          </cell>
          <cell r="Z446">
            <v>1.454</v>
          </cell>
          <cell r="AA446">
            <v>0.83599999999999997</v>
          </cell>
          <cell r="AB446">
            <v>0.72</v>
          </cell>
          <cell r="AC446">
            <v>34.299999999999997</v>
          </cell>
          <cell r="AD446">
            <v>1.17</v>
          </cell>
          <cell r="AE446">
            <v>177.8</v>
          </cell>
          <cell r="AF446">
            <v>9.19</v>
          </cell>
          <cell r="AG446">
            <v>2172.6</v>
          </cell>
          <cell r="AH446">
            <v>2975</v>
          </cell>
          <cell r="AI446">
            <v>2975</v>
          </cell>
          <cell r="AJ446">
            <v>42926</v>
          </cell>
          <cell r="AK446" t="str">
            <v>По спущенной компановке</v>
          </cell>
          <cell r="AM446" t="str">
            <v>Закрытый</v>
          </cell>
          <cell r="AN446" t="str">
            <v xml:space="preserve">2218,67-2220,1; 2315,53-2316,96; 2422,71-2424,14; 2580,81-2582,24; 2697,99-2699,42; 2815,27-2816,7; 2932,79-2933,09 </v>
          </cell>
          <cell r="AO446">
            <v>8.8800000000000008</v>
          </cell>
          <cell r="AP446">
            <v>2218.67</v>
          </cell>
          <cell r="AQ446">
            <v>342.13</v>
          </cell>
          <cell r="AR446" t="str">
            <v>1918,62-2975</v>
          </cell>
          <cell r="AS446">
            <v>114</v>
          </cell>
          <cell r="AT446">
            <v>7.37</v>
          </cell>
          <cell r="AU446" t="str">
            <v>Газлифт</v>
          </cell>
          <cell r="AV446">
            <v>510.00001435500002</v>
          </cell>
          <cell r="AW446" t="str">
            <v>ГП</v>
          </cell>
          <cell r="AX446">
            <v>849.99998671900005</v>
          </cell>
          <cell r="AY446" t="str">
            <v>ГП</v>
          </cell>
          <cell r="AZ446">
            <v>1130.000012109</v>
          </cell>
          <cell r="BA446" t="str">
            <v>ГП</v>
          </cell>
          <cell r="BB446">
            <v>1340.0000683589999</v>
          </cell>
          <cell r="BC446" t="str">
            <v>ГК73 1/8</v>
          </cell>
          <cell r="BD446">
            <v>1499.999976563</v>
          </cell>
          <cell r="BE446" t="str">
            <v>ГК72 1/8</v>
          </cell>
          <cell r="BF446">
            <v>1650</v>
          </cell>
          <cell r="BG446" t="str">
            <v>ГК71 5/32</v>
          </cell>
          <cell r="BH446">
            <v>1870</v>
          </cell>
          <cell r="BI446" t="str">
            <v>открыт</v>
          </cell>
        </row>
        <row r="447">
          <cell r="J447">
            <v>1481</v>
          </cell>
          <cell r="K447" t="str">
            <v>К-88</v>
          </cell>
          <cell r="L447">
            <v>43384</v>
          </cell>
          <cell r="M447" t="str">
            <v>Гор.</v>
          </cell>
          <cell r="N447" t="str">
            <v>P4+5+6_Block1_yug</v>
          </cell>
          <cell r="O447" t="str">
            <v>Действующий</v>
          </cell>
          <cell r="P447" t="str">
            <v>В работе</v>
          </cell>
          <cell r="Q447">
            <v>-4</v>
          </cell>
          <cell r="U447">
            <v>203</v>
          </cell>
          <cell r="V447">
            <v>218.2</v>
          </cell>
          <cell r="W447">
            <v>0.98</v>
          </cell>
          <cell r="X447">
            <v>1.66</v>
          </cell>
          <cell r="Y447">
            <v>0.98004014622285718</v>
          </cell>
          <cell r="Z447">
            <v>1.454</v>
          </cell>
          <cell r="AA447">
            <v>0.83599999999999997</v>
          </cell>
          <cell r="AB447">
            <v>0.72</v>
          </cell>
          <cell r="AC447">
            <v>34.299999999999997</v>
          </cell>
          <cell r="AD447">
            <v>1.17</v>
          </cell>
          <cell r="AE447">
            <v>177.8</v>
          </cell>
          <cell r="AF447">
            <v>9.19</v>
          </cell>
          <cell r="AG447">
            <v>2078</v>
          </cell>
          <cell r="AH447">
            <v>2900</v>
          </cell>
          <cell r="AI447">
            <v>2900</v>
          </cell>
          <cell r="AM447" t="str">
            <v>Закрытый</v>
          </cell>
          <cell r="AN447" t="str">
            <v xml:space="preserve">2274,46-2275,66; 2371,34-2372,54; 2477,98-2479,18;2068,33-2609,53; 2746,17-2798,05;2819,63-2820,83; 2885,45-2886,65 </v>
          </cell>
          <cell r="AO447">
            <v>5.19</v>
          </cell>
          <cell r="AP447">
            <v>2274.46</v>
          </cell>
          <cell r="AQ447">
            <v>389.87</v>
          </cell>
          <cell r="AR447" t="str">
            <v>2237,19-2886,65</v>
          </cell>
          <cell r="AS447">
            <v>114</v>
          </cell>
          <cell r="AT447">
            <v>7.37</v>
          </cell>
          <cell r="AU447" t="str">
            <v>Газлифт</v>
          </cell>
          <cell r="AV447">
            <v>529.99998427699995</v>
          </cell>
          <cell r="AW447" t="str">
            <v>ГП</v>
          </cell>
          <cell r="AX447">
            <v>959.99997011699998</v>
          </cell>
          <cell r="AY447" t="str">
            <v>ГП</v>
          </cell>
          <cell r="AZ447">
            <v>1294.9999499999999</v>
          </cell>
          <cell r="BA447" t="str">
            <v>ГК75 1/8</v>
          </cell>
          <cell r="BB447">
            <v>1555.0000054689999</v>
          </cell>
          <cell r="BC447" t="str">
            <v>ГК75 1/8</v>
          </cell>
          <cell r="BD447">
            <v>1840.000060547</v>
          </cell>
          <cell r="BE447" t="str">
            <v>ЦКсОК 5/16</v>
          </cell>
          <cell r="BF447" t="str">
            <v>-</v>
          </cell>
          <cell r="BG447" t="str">
            <v>-</v>
          </cell>
          <cell r="BH447" t="str">
            <v>-</v>
          </cell>
          <cell r="BI447" t="str">
            <v>-</v>
          </cell>
        </row>
        <row r="448">
          <cell r="J448">
            <v>1525</v>
          </cell>
          <cell r="K448" t="str">
            <v>К-44</v>
          </cell>
          <cell r="L448">
            <v>43270</v>
          </cell>
          <cell r="M448" t="str">
            <v>Гор.</v>
          </cell>
          <cell r="N448" t="str">
            <v>P4+5+6_Block1_yug</v>
          </cell>
          <cell r="O448" t="str">
            <v>Действующий</v>
          </cell>
          <cell r="P448" t="str">
            <v>В работе</v>
          </cell>
          <cell r="Q448">
            <v>-4</v>
          </cell>
          <cell r="R448">
            <v>43221</v>
          </cell>
          <cell r="S448" t="str">
            <v>МеКаМиНефть</v>
          </cell>
          <cell r="T448" t="str">
            <v>КГРП 7ст.
350м3 15% HCl</v>
          </cell>
          <cell r="U448">
            <v>203</v>
          </cell>
          <cell r="V448">
            <v>218.2</v>
          </cell>
          <cell r="W448">
            <v>0.98</v>
          </cell>
          <cell r="X448">
            <v>1.66</v>
          </cell>
          <cell r="Y448">
            <v>1.0089307864053585</v>
          </cell>
          <cell r="Z448">
            <v>1.454</v>
          </cell>
          <cell r="AA448">
            <v>0.83599999999999997</v>
          </cell>
          <cell r="AB448">
            <v>0.72</v>
          </cell>
          <cell r="AC448">
            <v>34.299999999999997</v>
          </cell>
          <cell r="AD448">
            <v>1.17</v>
          </cell>
          <cell r="AE448">
            <v>177.8</v>
          </cell>
          <cell r="AF448">
            <v>9.19</v>
          </cell>
          <cell r="AG448">
            <v>2393.1</v>
          </cell>
          <cell r="AH448">
            <v>3342.54</v>
          </cell>
          <cell r="AI448">
            <v>3342.54</v>
          </cell>
          <cell r="AJ448">
            <v>43241</v>
          </cell>
          <cell r="AK448" t="str">
            <v>По спущенной компановке</v>
          </cell>
          <cell r="AM448" t="str">
            <v>Закрытый</v>
          </cell>
          <cell r="AN448" t="str">
            <v xml:space="preserve">2511,94-2513,34;  2638,05-2639,45; 2764,01-2765,41; 2879,96-2881,36; 3057,45-3058,85; 3184-3185,4; 3289,86-3291,09 </v>
          </cell>
          <cell r="AO448">
            <v>9.6300000000000008</v>
          </cell>
          <cell r="AP448">
            <v>2511.94</v>
          </cell>
          <cell r="AQ448">
            <v>636.41999999999996</v>
          </cell>
          <cell r="AR448" t="str">
            <v>2331,46-3343</v>
          </cell>
          <cell r="AS448">
            <v>114</v>
          </cell>
          <cell r="AT448">
            <v>7.37</v>
          </cell>
          <cell r="AU448" t="str">
            <v>Газлифт</v>
          </cell>
          <cell r="AV448">
            <v>449.999992969</v>
          </cell>
          <cell r="AW448" t="str">
            <v>ГП</v>
          </cell>
          <cell r="AX448">
            <v>855.00001640599999</v>
          </cell>
          <cell r="AY448" t="str">
            <v>ГП</v>
          </cell>
          <cell r="AZ448">
            <v>1184.9999666020001</v>
          </cell>
          <cell r="BA448" t="str">
            <v>ГК73 1/8</v>
          </cell>
          <cell r="BB448">
            <v>1449.9999773439999</v>
          </cell>
          <cell r="BC448" t="str">
            <v>ГК73 1/8</v>
          </cell>
          <cell r="BD448">
            <v>1665.0000632809999</v>
          </cell>
          <cell r="BE448" t="str">
            <v>ГК72 5/32</v>
          </cell>
          <cell r="BF448">
            <v>1850</v>
          </cell>
          <cell r="BG448" t="str">
            <v>ЦКсОК 5/16</v>
          </cell>
          <cell r="BH448">
            <v>1970</v>
          </cell>
          <cell r="BI448" t="str">
            <v>закрыт</v>
          </cell>
        </row>
        <row r="449">
          <cell r="J449">
            <v>1526</v>
          </cell>
          <cell r="K449" t="str">
            <v>К-1526</v>
          </cell>
          <cell r="L449">
            <v>43690</v>
          </cell>
          <cell r="M449" t="str">
            <v>Гор.</v>
          </cell>
          <cell r="N449" t="str">
            <v>P4+5+6_Block1_yug</v>
          </cell>
          <cell r="O449" t="str">
            <v>Действующий</v>
          </cell>
          <cell r="P449" t="str">
            <v>В работе</v>
          </cell>
          <cell r="Q449">
            <v>-4</v>
          </cell>
          <cell r="U449">
            <v>203</v>
          </cell>
          <cell r="V449">
            <v>218.2</v>
          </cell>
          <cell r="W449">
            <v>0.98</v>
          </cell>
          <cell r="X449">
            <v>1.66</v>
          </cell>
          <cell r="Y449">
            <v>0.99219321785801406</v>
          </cell>
          <cell r="Z449">
            <v>1.454</v>
          </cell>
          <cell r="AA449">
            <v>0.83599999999999997</v>
          </cell>
          <cell r="AB449">
            <v>0.72</v>
          </cell>
          <cell r="AC449">
            <v>34.299999999999997</v>
          </cell>
          <cell r="AD449">
            <v>1.17</v>
          </cell>
          <cell r="AE449">
            <v>177.8</v>
          </cell>
          <cell r="AF449">
            <v>9.19</v>
          </cell>
          <cell r="AG449">
            <v>2216</v>
          </cell>
          <cell r="AH449">
            <v>3100</v>
          </cell>
          <cell r="AI449">
            <v>3100</v>
          </cell>
          <cell r="AM449" t="str">
            <v>Закрытый</v>
          </cell>
          <cell r="AN449" t="str">
            <v>2271,75-2272,72; 2388,57-2389,54; 2507,75-2508,75; 2647,98-2648,95; 2814,38-2815,35; 2943,84-2944,81; 3003,22-3004,83</v>
          </cell>
          <cell r="AO449">
            <v>68</v>
          </cell>
          <cell r="AP449">
            <v>2216</v>
          </cell>
          <cell r="AQ449">
            <v>389</v>
          </cell>
          <cell r="AR449" t="str">
            <v>2136-3053</v>
          </cell>
          <cell r="AS449">
            <v>114</v>
          </cell>
          <cell r="AT449">
            <v>7.37</v>
          </cell>
          <cell r="AU449" t="str">
            <v>Газлифт</v>
          </cell>
          <cell r="AV449">
            <v>490.00000722700003</v>
          </cell>
          <cell r="AW449" t="str">
            <v>ГП</v>
          </cell>
          <cell r="AX449">
            <v>860.00004609400003</v>
          </cell>
          <cell r="AY449" t="str">
            <v>ГК 73 1/8</v>
          </cell>
          <cell r="AZ449">
            <v>1160.000041406</v>
          </cell>
          <cell r="BA449" t="str">
            <v>ГК 73 1/8</v>
          </cell>
          <cell r="BB449">
            <v>1420.0000968750001</v>
          </cell>
          <cell r="BC449" t="str">
            <v>ГК 74 1/8</v>
          </cell>
          <cell r="BD449">
            <v>1660.0000335939999</v>
          </cell>
          <cell r="BE449" t="str">
            <v>ГК 70 5/32</v>
          </cell>
          <cell r="BF449">
            <v>1900</v>
          </cell>
          <cell r="BG449" t="str">
            <v>ЦКсОК 5/16</v>
          </cell>
          <cell r="BH449" t="str">
            <v>-</v>
          </cell>
          <cell r="BI449" t="str">
            <v>-</v>
          </cell>
        </row>
        <row r="450">
          <cell r="J450">
            <v>1527</v>
          </cell>
          <cell r="K450" t="str">
            <v>К-1526</v>
          </cell>
          <cell r="L450">
            <v>44033</v>
          </cell>
          <cell r="M450" t="str">
            <v>Гор.</v>
          </cell>
          <cell r="N450" t="str">
            <v>P4+5+6_Block1_yug</v>
          </cell>
          <cell r="O450" t="str">
            <v>Действующий</v>
          </cell>
          <cell r="P450" t="str">
            <v>В работе</v>
          </cell>
          <cell r="Q450">
            <v>-4</v>
          </cell>
          <cell r="U450">
            <v>203</v>
          </cell>
          <cell r="V450">
            <v>218.2</v>
          </cell>
          <cell r="W450">
            <v>0.98</v>
          </cell>
          <cell r="X450">
            <v>1.66</v>
          </cell>
          <cell r="Y450">
            <v>0.98</v>
          </cell>
          <cell r="Z450">
            <v>1.454</v>
          </cell>
          <cell r="AA450">
            <v>0.83599999999999997</v>
          </cell>
          <cell r="AB450">
            <v>0.72</v>
          </cell>
          <cell r="AC450">
            <v>34.299999999999997</v>
          </cell>
          <cell r="AD450">
            <v>1.17</v>
          </cell>
          <cell r="AE450">
            <v>177.8</v>
          </cell>
          <cell r="AF450">
            <v>9.19</v>
          </cell>
          <cell r="AG450">
            <v>2063.1</v>
          </cell>
          <cell r="AH450">
            <v>2788</v>
          </cell>
          <cell r="AI450">
            <v>2788</v>
          </cell>
          <cell r="AM450" t="str">
            <v>Закрытый</v>
          </cell>
          <cell r="AN450" t="str">
            <v>2185,49-2186,69; 2296,02-2297,22; 2394,92-2396,2; 2480,43-2481,63; 2589,86-2591,06; 2687,62-2688,82; 2774,1-2774,</v>
          </cell>
          <cell r="AO450">
            <v>25.38</v>
          </cell>
          <cell r="AP450">
            <v>2185.4899999999998</v>
          </cell>
          <cell r="AQ450">
            <v>335.8499999999998</v>
          </cell>
          <cell r="AR450" t="str">
            <v>1999-2964</v>
          </cell>
          <cell r="AS450">
            <v>114</v>
          </cell>
          <cell r="AT450">
            <v>7.4</v>
          </cell>
          <cell r="AU450" t="str">
            <v>Газлифт</v>
          </cell>
          <cell r="AV450">
            <v>515.00000683600001</v>
          </cell>
          <cell r="AW450" t="str">
            <v>ГП</v>
          </cell>
          <cell r="AX450">
            <v>934.99997050800005</v>
          </cell>
          <cell r="AY450" t="str">
            <v>ГП</v>
          </cell>
          <cell r="AZ450">
            <v>1267.0000218749999</v>
          </cell>
          <cell r="BA450" t="str">
            <v>ГК77 1/8</v>
          </cell>
          <cell r="BB450">
            <v>1528.000053516</v>
          </cell>
          <cell r="BC450" t="str">
            <v>ГК76 1/8</v>
          </cell>
          <cell r="BD450">
            <v>1780.000001953</v>
          </cell>
          <cell r="BE450" t="str">
            <v>ЦКсОК 5/16</v>
          </cell>
          <cell r="BF450" t="str">
            <v>-</v>
          </cell>
          <cell r="BG450" t="str">
            <v>-</v>
          </cell>
          <cell r="BH450" t="str">
            <v>-</v>
          </cell>
          <cell r="BI450" t="str">
            <v>-</v>
          </cell>
        </row>
        <row r="451">
          <cell r="J451">
            <v>1529</v>
          </cell>
          <cell r="K451" t="str">
            <v>К-44</v>
          </cell>
          <cell r="L451">
            <v>43369</v>
          </cell>
          <cell r="M451" t="str">
            <v>Гор.</v>
          </cell>
          <cell r="N451" t="str">
            <v>P4+5+6_Block1_yug</v>
          </cell>
          <cell r="O451" t="str">
            <v>Действующий</v>
          </cell>
          <cell r="P451" t="str">
            <v>В работе</v>
          </cell>
          <cell r="Q451">
            <v>-4</v>
          </cell>
          <cell r="U451">
            <v>203</v>
          </cell>
          <cell r="V451">
            <v>218.2</v>
          </cell>
          <cell r="W451">
            <v>0.98</v>
          </cell>
          <cell r="X451">
            <v>1.66</v>
          </cell>
          <cell r="Y451">
            <v>0.98</v>
          </cell>
          <cell r="Z451">
            <v>1.454</v>
          </cell>
          <cell r="AA451">
            <v>0.83599999999999997</v>
          </cell>
          <cell r="AB451">
            <v>0.72</v>
          </cell>
          <cell r="AC451">
            <v>34.299999999999997</v>
          </cell>
          <cell r="AD451">
            <v>1.17</v>
          </cell>
          <cell r="AE451">
            <v>177.8</v>
          </cell>
          <cell r="AF451">
            <v>9.19</v>
          </cell>
          <cell r="AG451">
            <v>2420.6999999999998</v>
          </cell>
          <cell r="AH451">
            <v>3093</v>
          </cell>
          <cell r="AI451">
            <v>3093</v>
          </cell>
          <cell r="AM451" t="str">
            <v>Закрытый</v>
          </cell>
          <cell r="AN451" t="str">
            <v xml:space="preserve">2457,68-2458,88; 2555,82-2557,02; 2808,96-2810,16; 2939,72-2940,92; 3058,96-3060,16м  </v>
          </cell>
          <cell r="AO451">
            <v>32.3599999999999</v>
          </cell>
          <cell r="AP451">
            <v>2457.6799999999998</v>
          </cell>
          <cell r="AQ451">
            <v>510</v>
          </cell>
          <cell r="AR451" t="str">
            <v>2367,3-3093</v>
          </cell>
          <cell r="AS451">
            <v>114.3</v>
          </cell>
          <cell r="AT451">
            <v>7.37</v>
          </cell>
          <cell r="AU451" t="str">
            <v>Газлифт</v>
          </cell>
          <cell r="AV451">
            <v>349.99999453100003</v>
          </cell>
          <cell r="AW451" t="str">
            <v>ГК75 1/8</v>
          </cell>
          <cell r="AX451">
            <v>780.00001757799998</v>
          </cell>
          <cell r="AY451" t="str">
            <v>ГК75 1/8</v>
          </cell>
          <cell r="AZ451">
            <v>1180.000011328</v>
          </cell>
          <cell r="BA451" t="str">
            <v>ГК75 1/8</v>
          </cell>
          <cell r="BB451">
            <v>1560.000035156</v>
          </cell>
          <cell r="BC451" t="str">
            <v>ГК76 5/32</v>
          </cell>
          <cell r="BD451">
            <v>1919.999940234</v>
          </cell>
          <cell r="BE451" t="str">
            <v>ГК76 3/16</v>
          </cell>
          <cell r="BF451">
            <v>2181</v>
          </cell>
          <cell r="BG451" t="str">
            <v>ЦКсОК 5/16</v>
          </cell>
          <cell r="BH451">
            <v>2191</v>
          </cell>
          <cell r="BI451" t="str">
            <v>закрыт</v>
          </cell>
        </row>
        <row r="452">
          <cell r="J452">
            <v>1530</v>
          </cell>
          <cell r="K452" t="str">
            <v>К-1526</v>
          </cell>
          <cell r="L452">
            <v>43827</v>
          </cell>
          <cell r="M452" t="str">
            <v>Гор.</v>
          </cell>
          <cell r="N452" t="str">
            <v>P4+5+6_Block1_yug</v>
          </cell>
          <cell r="O452" t="str">
            <v>Действующий</v>
          </cell>
          <cell r="P452" t="str">
            <v>В работе</v>
          </cell>
          <cell r="Q452">
            <v>-4</v>
          </cell>
          <cell r="U452">
            <v>203</v>
          </cell>
          <cell r="V452">
            <v>218.2</v>
          </cell>
          <cell r="W452">
            <v>0.98</v>
          </cell>
          <cell r="X452">
            <v>1.66</v>
          </cell>
          <cell r="Y452">
            <v>0.99798782881821746</v>
          </cell>
          <cell r="Z452">
            <v>1.454</v>
          </cell>
          <cell r="AA452">
            <v>0.83599999999999997</v>
          </cell>
          <cell r="AB452">
            <v>0.72</v>
          </cell>
          <cell r="AC452">
            <v>34.299999999999997</v>
          </cell>
          <cell r="AD452">
            <v>1.17</v>
          </cell>
          <cell r="AE452">
            <v>177.8</v>
          </cell>
          <cell r="AF452">
            <v>9.19</v>
          </cell>
          <cell r="AG452">
            <v>2402.6999999999998</v>
          </cell>
          <cell r="AH452">
            <v>3069.75</v>
          </cell>
          <cell r="AI452">
            <v>3069.75</v>
          </cell>
          <cell r="AM452" t="str">
            <v>закрытый</v>
          </cell>
          <cell r="AN452" t="str">
            <v>2454,15-2454,9; 2548,44-2549,19; 2666,07-2666,82; 2760,31-2761,06; 2866,12-2866,87; 2984,14-2984,89; 3056,21-3057,31;</v>
          </cell>
          <cell r="AO452">
            <v>28.76</v>
          </cell>
          <cell r="AP452">
            <v>2454.15</v>
          </cell>
          <cell r="AQ452">
            <v>557.9</v>
          </cell>
          <cell r="AR452" t="str">
            <v>2344,8-3069,7</v>
          </cell>
          <cell r="AS452">
            <v>114</v>
          </cell>
          <cell r="AT452">
            <v>7.4</v>
          </cell>
          <cell r="AU452" t="str">
            <v>Газлифт</v>
          </cell>
          <cell r="AV452">
            <v>440.00000800800001</v>
          </cell>
          <cell r="AW452" t="str">
            <v>ГП</v>
          </cell>
          <cell r="AX452">
            <v>860.00004609400003</v>
          </cell>
          <cell r="AY452" t="str">
            <v>ГК72 1/8</v>
          </cell>
          <cell r="AZ452">
            <v>1260.000039844</v>
          </cell>
          <cell r="BA452" t="str">
            <v>ГК72 1/8</v>
          </cell>
          <cell r="BB452">
            <v>1600.0001238279999</v>
          </cell>
          <cell r="BC452" t="str">
            <v>ГК71 1/8</v>
          </cell>
          <cell r="BD452">
            <v>1750.0001214839999</v>
          </cell>
          <cell r="BE452" t="str">
            <v>ГК70 5/32</v>
          </cell>
          <cell r="BF452">
            <v>2050</v>
          </cell>
          <cell r="BG452" t="str">
            <v>ЦКсОК 5/16</v>
          </cell>
          <cell r="BH452" t="str">
            <v>-</v>
          </cell>
          <cell r="BI452" t="str">
            <v>-</v>
          </cell>
        </row>
        <row r="453">
          <cell r="J453">
            <v>1533</v>
          </cell>
          <cell r="K453" t="str">
            <v>К-34</v>
          </cell>
          <cell r="L453">
            <v>43454</v>
          </cell>
          <cell r="M453" t="str">
            <v>Гор.</v>
          </cell>
          <cell r="N453" t="str">
            <v>P4+5+6_Block1_yug</v>
          </cell>
          <cell r="O453" t="str">
            <v>Действующий</v>
          </cell>
          <cell r="P453" t="str">
            <v>Остановлена</v>
          </cell>
          <cell r="Q453">
            <v>-4</v>
          </cell>
          <cell r="U453">
            <v>203</v>
          </cell>
          <cell r="V453">
            <v>218.2</v>
          </cell>
          <cell r="W453">
            <v>0.98</v>
          </cell>
          <cell r="X453">
            <v>1.66</v>
          </cell>
          <cell r="Y453">
            <v>0.98</v>
          </cell>
          <cell r="Z453">
            <v>1.454</v>
          </cell>
          <cell r="AA453">
            <v>0.83599999999999997</v>
          </cell>
          <cell r="AB453">
            <v>0.72</v>
          </cell>
          <cell r="AC453">
            <v>34.299999999999997</v>
          </cell>
          <cell r="AD453">
            <v>1.17</v>
          </cell>
          <cell r="AE453">
            <v>177.8</v>
          </cell>
          <cell r="AF453">
            <v>9.19</v>
          </cell>
          <cell r="AG453">
            <v>2313</v>
          </cell>
          <cell r="AH453">
            <v>3100</v>
          </cell>
          <cell r="AI453">
            <v>3100</v>
          </cell>
          <cell r="AM453" t="str">
            <v>Закрытый</v>
          </cell>
          <cell r="AN453" t="str">
            <v xml:space="preserve">2371,04-2372,47; 2486,42-2487,85; 2581,66-2583,09; 2697,5-2698,93; 2874,67-2876,1; 2970,24-2971,67; 3077,42-3078,65 </v>
          </cell>
          <cell r="AO453">
            <v>33.1099999999999</v>
          </cell>
          <cell r="AP453">
            <v>2371.04</v>
          </cell>
          <cell r="AQ453">
            <v>516.6</v>
          </cell>
          <cell r="AR453" t="str">
            <v>2245,61-3014,37</v>
          </cell>
          <cell r="AS453">
            <v>114</v>
          </cell>
          <cell r="AT453">
            <v>7.37</v>
          </cell>
          <cell r="AU453" t="str">
            <v>Газлифт</v>
          </cell>
          <cell r="AV453">
            <v>549.99999140600005</v>
          </cell>
          <cell r="AW453" t="str">
            <v>ГП</v>
          </cell>
          <cell r="AX453">
            <v>1070.00002793</v>
          </cell>
          <cell r="AY453" t="str">
            <v>ГП</v>
          </cell>
          <cell r="AZ453">
            <v>1480.000006641</v>
          </cell>
          <cell r="BA453" t="str">
            <v>ГК77/8</v>
          </cell>
          <cell r="BB453">
            <v>1819.999941797</v>
          </cell>
          <cell r="BC453" t="str">
            <v>ГК76 1/8</v>
          </cell>
          <cell r="BD453">
            <v>2049.999967969</v>
          </cell>
          <cell r="BE453" t="str">
            <v>ЦКсОК 5/16</v>
          </cell>
          <cell r="BF453" t="str">
            <v>-</v>
          </cell>
          <cell r="BG453" t="str">
            <v>-</v>
          </cell>
          <cell r="BH453" t="str">
            <v>-</v>
          </cell>
          <cell r="BI453" t="str">
            <v>-</v>
          </cell>
        </row>
        <row r="454">
          <cell r="J454">
            <v>1534</v>
          </cell>
          <cell r="K454" t="str">
            <v>К-44</v>
          </cell>
          <cell r="L454">
            <v>43367</v>
          </cell>
          <cell r="M454" t="str">
            <v>Гор.</v>
          </cell>
          <cell r="N454" t="str">
            <v>P4+5+6_Block1_yug</v>
          </cell>
          <cell r="O454" t="str">
            <v>Действующий</v>
          </cell>
          <cell r="P454" t="str">
            <v>В работе</v>
          </cell>
          <cell r="Q454">
            <v>-4</v>
          </cell>
          <cell r="U454">
            <v>203</v>
          </cell>
          <cell r="V454">
            <v>218.2</v>
          </cell>
          <cell r="W454">
            <v>0.98</v>
          </cell>
          <cell r="X454">
            <v>1.66</v>
          </cell>
          <cell r="Y454">
            <v>1.0334689438389546</v>
          </cell>
          <cell r="Z454">
            <v>1.454</v>
          </cell>
          <cell r="AA454">
            <v>0.83599999999999997</v>
          </cell>
          <cell r="AB454">
            <v>0.72</v>
          </cell>
          <cell r="AC454">
            <v>34.299999999999997</v>
          </cell>
          <cell r="AD454">
            <v>1.17</v>
          </cell>
          <cell r="AE454">
            <v>177.8</v>
          </cell>
          <cell r="AF454">
            <v>9.19</v>
          </cell>
          <cell r="AG454">
            <v>2400.1999999999998</v>
          </cell>
          <cell r="AH454">
            <v>3071</v>
          </cell>
          <cell r="AI454">
            <v>3071</v>
          </cell>
          <cell r="AM454" t="str">
            <v>Закрытый</v>
          </cell>
          <cell r="AN454" t="str">
            <v xml:space="preserve">2554,16-2555,59; 2714,52-2715,95;  2781,52-2782,95; 2901,83-2903,26;3038,23-3039,46 </v>
          </cell>
          <cell r="AO454">
            <v>20.310000000000173</v>
          </cell>
          <cell r="AP454">
            <v>2554.16</v>
          </cell>
          <cell r="AQ454">
            <v>606.84999999999991</v>
          </cell>
          <cell r="AR454" t="str">
            <v>2346,37-3074</v>
          </cell>
          <cell r="AS454">
            <v>114.3</v>
          </cell>
          <cell r="AT454">
            <v>7.37</v>
          </cell>
          <cell r="AU454" t="str">
            <v>Газлифт</v>
          </cell>
          <cell r="AV454">
            <v>500.00002939500001</v>
          </cell>
          <cell r="AW454" t="str">
            <v>ГП</v>
          </cell>
          <cell r="AX454">
            <v>1360.0000382809999</v>
          </cell>
          <cell r="AY454" t="str">
            <v>ГК76 1/8</v>
          </cell>
          <cell r="AZ454">
            <v>1690.000062891</v>
          </cell>
          <cell r="BA454" t="str">
            <v>ГК76 1/8</v>
          </cell>
          <cell r="BB454">
            <v>1929.999999609</v>
          </cell>
          <cell r="BC454" t="str">
            <v>ЦКсОК 5/16</v>
          </cell>
          <cell r="BD454" t="str">
            <v>-</v>
          </cell>
          <cell r="BE454" t="str">
            <v>-</v>
          </cell>
          <cell r="BF454" t="str">
            <v>-</v>
          </cell>
          <cell r="BG454" t="str">
            <v>-</v>
          </cell>
          <cell r="BH454">
            <v>1940</v>
          </cell>
          <cell r="BI454" t="str">
            <v>закрыт</v>
          </cell>
        </row>
        <row r="455">
          <cell r="J455">
            <v>1535</v>
          </cell>
          <cell r="K455" t="str">
            <v>К-112</v>
          </cell>
          <cell r="L455">
            <v>42854</v>
          </cell>
          <cell r="M455" t="str">
            <v>Гор.</v>
          </cell>
          <cell r="N455" t="str">
            <v>P4+5+6_Block1_yug</v>
          </cell>
          <cell r="O455" t="str">
            <v>Действующий</v>
          </cell>
          <cell r="P455" t="str">
            <v>В работе</v>
          </cell>
          <cell r="Q455">
            <v>-4</v>
          </cell>
          <cell r="R455">
            <v>42810</v>
          </cell>
          <cell r="S455" t="str">
            <v>МеКаМиНефть</v>
          </cell>
          <cell r="T455" t="str">
            <v>КГРП 7ст.
350м3 15% HCl</v>
          </cell>
          <cell r="U455">
            <v>203</v>
          </cell>
          <cell r="V455">
            <v>218.2</v>
          </cell>
          <cell r="W455">
            <v>0.98</v>
          </cell>
          <cell r="X455">
            <v>1.66</v>
          </cell>
          <cell r="Y455">
            <v>0.98</v>
          </cell>
          <cell r="Z455">
            <v>1.454</v>
          </cell>
          <cell r="AA455">
            <v>0.83599999999999997</v>
          </cell>
          <cell r="AB455">
            <v>0.72</v>
          </cell>
          <cell r="AC455">
            <v>34.299999999999997</v>
          </cell>
          <cell r="AD455">
            <v>1.17</v>
          </cell>
          <cell r="AE455">
            <v>177.8</v>
          </cell>
          <cell r="AF455">
            <v>9.19</v>
          </cell>
          <cell r="AG455">
            <v>2115</v>
          </cell>
          <cell r="AH455">
            <v>2912.42</v>
          </cell>
          <cell r="AI455">
            <v>2912.42</v>
          </cell>
          <cell r="AJ455">
            <v>42854</v>
          </cell>
          <cell r="AK455" t="str">
            <v>По спущенной компановке</v>
          </cell>
          <cell r="AM455" t="str">
            <v>Закрытый</v>
          </cell>
          <cell r="AN455" t="str">
            <v xml:space="preserve">2158,49-2159,93; 2263,6-2265,04; 2349,9-2351,34; 2445,31-2446,06; 2402,9-2403,51; 2648,22-2649,66; 2848,6-2849,85 </v>
          </cell>
          <cell r="AO455">
            <v>8.3699999999999992</v>
          </cell>
          <cell r="AP455">
            <v>2158.4899999999998</v>
          </cell>
          <cell r="AQ455">
            <v>223.24</v>
          </cell>
          <cell r="AR455" t="str">
            <v>1954,33-2913</v>
          </cell>
          <cell r="AS455">
            <v>114</v>
          </cell>
          <cell r="AT455">
            <v>7.37</v>
          </cell>
          <cell r="AU455" t="str">
            <v>Газлифт</v>
          </cell>
          <cell r="AV455">
            <v>570.00003574200002</v>
          </cell>
          <cell r="AW455" t="str">
            <v>ГП</v>
          </cell>
          <cell r="AX455">
            <v>964.99999980500002</v>
          </cell>
          <cell r="AY455" t="str">
            <v>ГП</v>
          </cell>
          <cell r="AZ455">
            <v>1270.000099219</v>
          </cell>
          <cell r="BA455" t="str">
            <v>ГК78 1/8</v>
          </cell>
          <cell r="BB455">
            <v>1515.0000656249999</v>
          </cell>
          <cell r="BC455" t="str">
            <v>ГК77 1/8</v>
          </cell>
          <cell r="BD455">
            <v>1720.0000921880001</v>
          </cell>
          <cell r="BE455" t="str">
            <v>ГК74 1/8</v>
          </cell>
          <cell r="BF455">
            <v>1900</v>
          </cell>
          <cell r="BG455" t="str">
            <v>ЦКсОК 5/16</v>
          </cell>
          <cell r="BH455">
            <v>1935</v>
          </cell>
          <cell r="BI455" t="str">
            <v>закрыт</v>
          </cell>
        </row>
        <row r="456">
          <cell r="J456">
            <v>1536</v>
          </cell>
          <cell r="K456" t="str">
            <v>К-1324</v>
          </cell>
          <cell r="L456">
            <v>43595</v>
          </cell>
          <cell r="M456" t="str">
            <v>Гор.</v>
          </cell>
          <cell r="N456" t="str">
            <v>P4+5+6_Block1_yug</v>
          </cell>
          <cell r="O456" t="str">
            <v>Действующий</v>
          </cell>
          <cell r="P456" t="str">
            <v>В работе</v>
          </cell>
          <cell r="Q456">
            <v>-4</v>
          </cell>
          <cell r="U456">
            <v>203</v>
          </cell>
          <cell r="V456">
            <v>218.2</v>
          </cell>
          <cell r="W456">
            <v>0.98</v>
          </cell>
          <cell r="X456">
            <v>1.66</v>
          </cell>
          <cell r="Y456">
            <v>0.98</v>
          </cell>
          <cell r="Z456">
            <v>1.454</v>
          </cell>
          <cell r="AA456">
            <v>0.83599999999999997</v>
          </cell>
          <cell r="AB456">
            <v>0.72</v>
          </cell>
          <cell r="AC456">
            <v>34.299999999999997</v>
          </cell>
          <cell r="AD456">
            <v>1.17</v>
          </cell>
          <cell r="AE456">
            <v>177.8</v>
          </cell>
          <cell r="AF456">
            <v>9.19</v>
          </cell>
          <cell r="AG456">
            <v>2624.5</v>
          </cell>
          <cell r="AH456">
            <v>3413</v>
          </cell>
          <cell r="AI456">
            <v>3413</v>
          </cell>
          <cell r="AM456" t="str">
            <v>Закрытый</v>
          </cell>
          <cell r="AN456" t="str">
            <v xml:space="preserve">2695,3- 2696,5; 2801,4;-2802,6; 2897,7- 2898,9; 3122- 3123,2;3242,4- 3243,6; 3362,2- 3363,4 </v>
          </cell>
          <cell r="AO456">
            <v>31.440000000000055</v>
          </cell>
          <cell r="AP456">
            <v>2695.3</v>
          </cell>
          <cell r="AQ456">
            <v>185.73</v>
          </cell>
          <cell r="AR456" t="str">
            <v>2834-3400</v>
          </cell>
          <cell r="AS456">
            <v>114</v>
          </cell>
          <cell r="AT456">
            <v>7.37</v>
          </cell>
          <cell r="AU456" t="str">
            <v>Газлифт</v>
          </cell>
          <cell r="AV456">
            <v>549.99999140600005</v>
          </cell>
          <cell r="AW456" t="str">
            <v>ГП</v>
          </cell>
          <cell r="AX456">
            <v>1139.9999970700001</v>
          </cell>
          <cell r="AY456" t="str">
            <v>ГК 75 1/8</v>
          </cell>
          <cell r="AZ456">
            <v>1599.9999749999999</v>
          </cell>
          <cell r="BA456" t="str">
            <v>ГК74 1/8</v>
          </cell>
          <cell r="BB456">
            <v>1974.9999691410001</v>
          </cell>
          <cell r="BC456" t="str">
            <v>ГК73 1/8</v>
          </cell>
          <cell r="BD456">
            <v>2199.9999656250002</v>
          </cell>
          <cell r="BE456" t="str">
            <v>ЦКсОК 5/16</v>
          </cell>
          <cell r="BF456" t="str">
            <v>-</v>
          </cell>
          <cell r="BG456" t="str">
            <v>-</v>
          </cell>
          <cell r="BH456" t="str">
            <v>-</v>
          </cell>
          <cell r="BI456" t="str">
            <v>-</v>
          </cell>
        </row>
        <row r="457">
          <cell r="J457">
            <v>1537</v>
          </cell>
          <cell r="K457" t="str">
            <v>К-34</v>
          </cell>
          <cell r="L457">
            <v>43512</v>
          </cell>
          <cell r="M457" t="str">
            <v>Гор.</v>
          </cell>
          <cell r="N457" t="str">
            <v>P4+5+6_Block1_yug</v>
          </cell>
          <cell r="O457" t="str">
            <v>Действующий</v>
          </cell>
          <cell r="P457" t="str">
            <v>Остановлена</v>
          </cell>
          <cell r="Q457">
            <v>-4</v>
          </cell>
          <cell r="U457">
            <v>203</v>
          </cell>
          <cell r="V457">
            <v>218.2</v>
          </cell>
          <cell r="W457">
            <v>0.98</v>
          </cell>
          <cell r="X457">
            <v>1.66</v>
          </cell>
          <cell r="Y457">
            <v>0.98</v>
          </cell>
          <cell r="Z457">
            <v>1.454</v>
          </cell>
          <cell r="AA457">
            <v>0.83599999999999997</v>
          </cell>
          <cell r="AB457">
            <v>0.72</v>
          </cell>
          <cell r="AC457">
            <v>34.299999999999997</v>
          </cell>
          <cell r="AD457">
            <v>1.17</v>
          </cell>
          <cell r="AE457">
            <v>177.8</v>
          </cell>
          <cell r="AF457">
            <v>9.19</v>
          </cell>
          <cell r="AG457">
            <v>2615</v>
          </cell>
          <cell r="AH457">
            <v>3445</v>
          </cell>
          <cell r="AI457">
            <v>3445</v>
          </cell>
          <cell r="AM457" t="str">
            <v>Закрытый</v>
          </cell>
          <cell r="AN457" t="str">
            <v>2746,31-2747,74; 2902,67-2904,1; 3011,51-3012,94; 3096,37-3097,8; 3169,9-3171,33; 3300,53-3301,96; 3408,07-3409,3</v>
          </cell>
          <cell r="AO457">
            <v>10.210000000000001</v>
          </cell>
          <cell r="AP457">
            <v>2746.31</v>
          </cell>
          <cell r="AQ457">
            <v>876.81</v>
          </cell>
          <cell r="AR457" t="str">
            <v>2555-3677</v>
          </cell>
          <cell r="AS457">
            <v>114</v>
          </cell>
          <cell r="AT457">
            <v>7.37</v>
          </cell>
          <cell r="AU457" t="str">
            <v>Газлифт</v>
          </cell>
          <cell r="AV457">
            <v>549.99999140600005</v>
          </cell>
          <cell r="AW457" t="str">
            <v>ГК 72 1/8</v>
          </cell>
          <cell r="AX457">
            <v>1089.999997852</v>
          </cell>
          <cell r="AY457" t="str">
            <v>ГК 73 1/8</v>
          </cell>
          <cell r="AZ457">
            <v>1480.000006641</v>
          </cell>
          <cell r="BA457" t="str">
            <v>ГК 73/4</v>
          </cell>
          <cell r="BB457">
            <v>1749.999972656</v>
          </cell>
          <cell r="BC457" t="str">
            <v>ГК 73 5/32</v>
          </cell>
          <cell r="BD457">
            <v>1999.9999687500001</v>
          </cell>
          <cell r="BE457" t="str">
            <v>ЦКсОК 5/16</v>
          </cell>
          <cell r="BF457" t="str">
            <v>-</v>
          </cell>
          <cell r="BG457" t="str">
            <v>-</v>
          </cell>
          <cell r="BH457" t="str">
            <v>-</v>
          </cell>
          <cell r="BI457" t="str">
            <v>-</v>
          </cell>
        </row>
        <row r="458">
          <cell r="J458">
            <v>1523</v>
          </cell>
          <cell r="K458" t="str">
            <v>К-34</v>
          </cell>
          <cell r="L458">
            <v>43562</v>
          </cell>
          <cell r="M458" t="str">
            <v>Гор.</v>
          </cell>
          <cell r="N458" t="str">
            <v>P4+5+6_Block1_yug</v>
          </cell>
          <cell r="O458" t="str">
            <v>Действующий</v>
          </cell>
          <cell r="P458" t="str">
            <v>Остановлена</v>
          </cell>
          <cell r="Q458">
            <v>-4</v>
          </cell>
          <cell r="U458">
            <v>203</v>
          </cell>
          <cell r="V458">
            <v>218.2</v>
          </cell>
          <cell r="W458">
            <v>0.98</v>
          </cell>
          <cell r="X458">
            <v>1.66</v>
          </cell>
          <cell r="Y458">
            <v>1.0819366852886405</v>
          </cell>
          <cell r="Z458">
            <v>1.454</v>
          </cell>
          <cell r="AA458">
            <v>0.83599999999999997</v>
          </cell>
          <cell r="AB458">
            <v>0.72</v>
          </cell>
          <cell r="AC458">
            <v>34.299999999999997</v>
          </cell>
          <cell r="AD458">
            <v>1.17</v>
          </cell>
          <cell r="AE458">
            <v>177.8</v>
          </cell>
          <cell r="AF458">
            <v>9.19</v>
          </cell>
          <cell r="AG458">
            <v>2409.6999999999998</v>
          </cell>
          <cell r="AH458">
            <v>3295</v>
          </cell>
          <cell r="AI458">
            <v>3295</v>
          </cell>
          <cell r="AM458" t="str">
            <v>Закрытый</v>
          </cell>
          <cell r="AN458" t="str">
            <v>2480,94-2482,37, 2577,1-2578,53, 2693,77-2695,2, 2801,07-2802,5, 2919,56-2920,99, 3051,24-3052,67, 3166,79-3168,02, 3199,14-3199,57</v>
          </cell>
          <cell r="AO458">
            <v>43.470000000000027</v>
          </cell>
          <cell r="AP458">
            <v>2480.94</v>
          </cell>
          <cell r="AQ458">
            <v>364.9</v>
          </cell>
          <cell r="AR458" t="str">
            <v>2360-3295</v>
          </cell>
          <cell r="AS458">
            <v>114</v>
          </cell>
          <cell r="AT458">
            <v>7.37</v>
          </cell>
          <cell r="AU458" t="str">
            <v>Газлифт</v>
          </cell>
          <cell r="AV458">
            <v>549.99999140600005</v>
          </cell>
          <cell r="AW458" t="str">
            <v>ГК 84 1/8</v>
          </cell>
          <cell r="AX458">
            <v>1080.0000128910001</v>
          </cell>
          <cell r="AY458" t="str">
            <v>ГК 84 5/32</v>
          </cell>
          <cell r="AZ458">
            <v>1499.999976563</v>
          </cell>
          <cell r="BA458" t="str">
            <v>ГК 84 5/32</v>
          </cell>
          <cell r="BB458">
            <v>1840.000060547</v>
          </cell>
          <cell r="BC458" t="str">
            <v>ГК 84 5/32</v>
          </cell>
          <cell r="BD458">
            <v>2069.9999378910002</v>
          </cell>
          <cell r="BE458" t="str">
            <v>ЦКсОК 5/16</v>
          </cell>
          <cell r="BF458" t="str">
            <v>-</v>
          </cell>
          <cell r="BG458" t="str">
            <v>-</v>
          </cell>
          <cell r="BH458" t="str">
            <v>-</v>
          </cell>
          <cell r="BI458" t="str">
            <v>-</v>
          </cell>
        </row>
        <row r="459">
          <cell r="J459">
            <v>1540</v>
          </cell>
          <cell r="K459" t="str">
            <v>К-112</v>
          </cell>
          <cell r="L459">
            <v>42890</v>
          </cell>
          <cell r="M459" t="str">
            <v>Гор.</v>
          </cell>
          <cell r="N459" t="str">
            <v>P4+5+6_Block1_yug</v>
          </cell>
          <cell r="O459" t="str">
            <v>Действующий</v>
          </cell>
          <cell r="P459" t="str">
            <v>В работе</v>
          </cell>
          <cell r="Q459">
            <v>-4</v>
          </cell>
          <cell r="R459">
            <v>42859</v>
          </cell>
          <cell r="S459" t="str">
            <v>МеКаМиНефть</v>
          </cell>
          <cell r="T459" t="str">
            <v>КГРП 7ст.
350м3 15% HCl</v>
          </cell>
          <cell r="U459">
            <v>203</v>
          </cell>
          <cell r="V459">
            <v>218.2</v>
          </cell>
          <cell r="W459">
            <v>0.98</v>
          </cell>
          <cell r="X459">
            <v>1.66</v>
          </cell>
          <cell r="Y459">
            <v>0.99986478346916441</v>
          </cell>
          <cell r="Z459">
            <v>1.454</v>
          </cell>
          <cell r="AA459">
            <v>0.83599999999999997</v>
          </cell>
          <cell r="AB459">
            <v>0.72</v>
          </cell>
          <cell r="AC459">
            <v>34.299999999999997</v>
          </cell>
          <cell r="AD459">
            <v>1.17</v>
          </cell>
          <cell r="AE459">
            <v>177.8</v>
          </cell>
          <cell r="AF459">
            <v>9.19</v>
          </cell>
          <cell r="AG459">
            <v>3246</v>
          </cell>
          <cell r="AH459">
            <v>3252</v>
          </cell>
          <cell r="AI459">
            <v>3252</v>
          </cell>
          <cell r="AK459" t="str">
            <v>По спущенной компановке</v>
          </cell>
          <cell r="AM459" t="str">
            <v>Закрытый</v>
          </cell>
          <cell r="AN459" t="str">
            <v xml:space="preserve">2430-2431,44; 2516,27-2517,71; 2612,02-2613,46; 2707,77-2709,2; 2803,05-2804,48; 2971,74-2973,18; 3202,45-3203,7 </v>
          </cell>
          <cell r="AO459">
            <v>57.46</v>
          </cell>
          <cell r="AP459">
            <v>2430</v>
          </cell>
          <cell r="AQ459">
            <v>483.58</v>
          </cell>
          <cell r="AR459" t="str">
            <v>2175,06-3246</v>
          </cell>
          <cell r="AS459">
            <v>114</v>
          </cell>
          <cell r="AT459">
            <v>7.37</v>
          </cell>
          <cell r="AU459" t="str">
            <v>Газлифт</v>
          </cell>
          <cell r="AV459">
            <v>529.99998427699995</v>
          </cell>
          <cell r="AW459" t="str">
            <v>ГП</v>
          </cell>
          <cell r="AX459">
            <v>940.00000019499998</v>
          </cell>
          <cell r="AY459" t="str">
            <v>ГП</v>
          </cell>
          <cell r="AZ459">
            <v>1305.000009375</v>
          </cell>
          <cell r="BA459" t="str">
            <v>ГП</v>
          </cell>
          <cell r="BB459">
            <v>1624.999974609</v>
          </cell>
          <cell r="BC459" t="str">
            <v>ГК78 1/8</v>
          </cell>
          <cell r="BD459">
            <v>1960.0000289059999</v>
          </cell>
          <cell r="BE459" t="str">
            <v>ЦКсОК 5/16</v>
          </cell>
          <cell r="BF459" t="str">
            <v>-</v>
          </cell>
          <cell r="BG459" t="str">
            <v>-</v>
          </cell>
          <cell r="BH459">
            <v>1970</v>
          </cell>
          <cell r="BI459" t="str">
            <v>закрыт</v>
          </cell>
        </row>
        <row r="460">
          <cell r="J460">
            <v>1541</v>
          </cell>
          <cell r="K460" t="str">
            <v>К-82</v>
          </cell>
          <cell r="L460">
            <v>43284</v>
          </cell>
          <cell r="M460" t="str">
            <v>Гор.</v>
          </cell>
          <cell r="N460" t="str">
            <v>P4+5+6_Block1_yug</v>
          </cell>
          <cell r="O460" t="str">
            <v>Действующий</v>
          </cell>
          <cell r="P460" t="str">
            <v>В работе</v>
          </cell>
          <cell r="Q460">
            <v>-4</v>
          </cell>
          <cell r="R460">
            <v>43215</v>
          </cell>
          <cell r="S460" t="str">
            <v>МеКаМиНефть</v>
          </cell>
          <cell r="T460" t="str">
            <v>КГРП 7стадий
350 м3 15% HCl</v>
          </cell>
          <cell r="U460">
            <v>203</v>
          </cell>
          <cell r="V460">
            <v>218.2</v>
          </cell>
          <cell r="W460">
            <v>0.98</v>
          </cell>
          <cell r="X460">
            <v>1.66</v>
          </cell>
          <cell r="Y460">
            <v>0.98</v>
          </cell>
          <cell r="Z460">
            <v>1.454</v>
          </cell>
          <cell r="AA460">
            <v>0.83599999999999997</v>
          </cell>
          <cell r="AB460">
            <v>0.72</v>
          </cell>
          <cell r="AC460">
            <v>34.299999999999997</v>
          </cell>
          <cell r="AD460">
            <v>1.17</v>
          </cell>
          <cell r="AE460">
            <v>177.8</v>
          </cell>
          <cell r="AF460">
            <v>9.19</v>
          </cell>
          <cell r="AG460">
            <v>2206.5</v>
          </cell>
          <cell r="AH460">
            <v>2866.2</v>
          </cell>
          <cell r="AI460">
            <v>2866.2</v>
          </cell>
          <cell r="AJ460">
            <v>43146</v>
          </cell>
          <cell r="AK460" t="str">
            <v>По спущенной компановке</v>
          </cell>
          <cell r="AM460" t="str">
            <v>Закрытый</v>
          </cell>
          <cell r="AN460" t="str">
            <v xml:space="preserve">2270,53-2271,93; 2342-2343,43; 2443,1-2444,5; 2548,9-2550,3; 2688,65-2690,05; 2818,71-2819,94 </v>
          </cell>
          <cell r="AO460">
            <v>8.23</v>
          </cell>
          <cell r="AP460">
            <v>2270.5300000000002</v>
          </cell>
          <cell r="AQ460">
            <v>362.89</v>
          </cell>
          <cell r="AR460" t="str">
            <v>2152,75-2867</v>
          </cell>
          <cell r="AS460">
            <v>114</v>
          </cell>
          <cell r="AT460">
            <v>7.37</v>
          </cell>
          <cell r="AU460" t="str">
            <v>Газлифт</v>
          </cell>
          <cell r="AV460">
            <v>589.99996845700002</v>
          </cell>
          <cell r="AW460" t="str">
            <v>ГП</v>
          </cell>
          <cell r="AX460">
            <v>1102.00000957</v>
          </cell>
          <cell r="AY460" t="str">
            <v>ГК80 1/8</v>
          </cell>
          <cell r="AZ460">
            <v>1530.9999820309999</v>
          </cell>
          <cell r="BA460" t="str">
            <v>ГК79 1/8</v>
          </cell>
          <cell r="BB460">
            <v>1865.000060156</v>
          </cell>
          <cell r="BC460" t="str">
            <v>ЦКсОК 5/16</v>
          </cell>
          <cell r="BD460" t="str">
            <v>-</v>
          </cell>
          <cell r="BE460" t="str">
            <v>-</v>
          </cell>
          <cell r="BF460" t="str">
            <v>-</v>
          </cell>
          <cell r="BG460" t="str">
            <v>-</v>
          </cell>
          <cell r="BH460">
            <v>1949</v>
          </cell>
          <cell r="BI460" t="str">
            <v>закрыт</v>
          </cell>
        </row>
        <row r="461">
          <cell r="J461">
            <v>1542</v>
          </cell>
          <cell r="K461" t="str">
            <v>К-66</v>
          </cell>
          <cell r="L461">
            <v>43059</v>
          </cell>
          <cell r="M461" t="str">
            <v>Гор.</v>
          </cell>
          <cell r="N461" t="str">
            <v>P4+5+6_Block1_yug</v>
          </cell>
          <cell r="O461" t="str">
            <v>Действующий</v>
          </cell>
          <cell r="P461" t="str">
            <v>В работе</v>
          </cell>
          <cell r="Q461">
            <v>-4</v>
          </cell>
          <cell r="R461">
            <v>43014</v>
          </cell>
          <cell r="S461" t="str">
            <v>МеКаМиНефть</v>
          </cell>
          <cell r="T461" t="str">
            <v>КГРП 7ст.
350м3 15% HCl</v>
          </cell>
          <cell r="U461">
            <v>203</v>
          </cell>
          <cell r="V461">
            <v>218.2</v>
          </cell>
          <cell r="W461">
            <v>0.98</v>
          </cell>
          <cell r="X461">
            <v>1.66</v>
          </cell>
          <cell r="Y461">
            <v>0.98172926287026052</v>
          </cell>
          <cell r="Z461">
            <v>1.454</v>
          </cell>
          <cell r="AA461">
            <v>0.83599999999999997</v>
          </cell>
          <cell r="AB461">
            <v>0.72</v>
          </cell>
          <cell r="AC461">
            <v>34.299999999999997</v>
          </cell>
          <cell r="AD461">
            <v>1.17</v>
          </cell>
          <cell r="AE461">
            <v>177.8</v>
          </cell>
          <cell r="AF461">
            <v>9.19</v>
          </cell>
          <cell r="AG461">
            <v>3014</v>
          </cell>
          <cell r="AH461">
            <v>3002.77</v>
          </cell>
          <cell r="AI461">
            <v>3002.77</v>
          </cell>
          <cell r="AJ461">
            <v>42996</v>
          </cell>
          <cell r="AK461" t="str">
            <v>По спущенной компановке</v>
          </cell>
          <cell r="AM461" t="str">
            <v>Закрытый</v>
          </cell>
          <cell r="AN461" t="str">
            <v xml:space="preserve">2264,89-2266,32; 2350,51-2351,94; 2466,99-2468,42; 2676,51-2677,94; 2792,9-2794,33; 2899,17-2899,7 </v>
          </cell>
          <cell r="AO461">
            <v>9.11</v>
          </cell>
          <cell r="AP461">
            <v>2264.89</v>
          </cell>
          <cell r="AQ461">
            <v>410.39</v>
          </cell>
          <cell r="AR461" t="str">
            <v>1919,11-3014</v>
          </cell>
          <cell r="AS461">
            <v>114</v>
          </cell>
          <cell r="AT461">
            <v>7.37</v>
          </cell>
          <cell r="AU461" t="str">
            <v>Газлифт</v>
          </cell>
          <cell r="AV461">
            <v>479.99998505899998</v>
          </cell>
          <cell r="AW461" t="str">
            <v>ГП</v>
          </cell>
          <cell r="AX461">
            <v>840.00000175800005</v>
          </cell>
          <cell r="AY461" t="str">
            <v>ГП</v>
          </cell>
          <cell r="AZ461">
            <v>1109.999967773</v>
          </cell>
          <cell r="BA461" t="str">
            <v>ГП</v>
          </cell>
          <cell r="BB461">
            <v>1340.0000683589999</v>
          </cell>
          <cell r="BC461" t="str">
            <v>ГК76 1/8</v>
          </cell>
          <cell r="BD461">
            <v>1519.999946484</v>
          </cell>
          <cell r="BE461" t="str">
            <v>ГК75 1/8</v>
          </cell>
          <cell r="BF461">
            <v>1660</v>
          </cell>
          <cell r="BG461" t="str">
            <v>ГК74 5/32</v>
          </cell>
          <cell r="BH461">
            <v>1890</v>
          </cell>
          <cell r="BI461" t="str">
            <v>закрыт</v>
          </cell>
        </row>
        <row r="462">
          <cell r="J462">
            <v>1543</v>
          </cell>
          <cell r="K462" t="str">
            <v>К-1324</v>
          </cell>
          <cell r="L462">
            <v>43521</v>
          </cell>
          <cell r="M462" t="str">
            <v>Гор.</v>
          </cell>
          <cell r="N462" t="str">
            <v>P4+5+6_Block1_yug</v>
          </cell>
          <cell r="O462" t="str">
            <v>Действующий</v>
          </cell>
          <cell r="P462" t="str">
            <v>В работе</v>
          </cell>
          <cell r="Q462">
            <v>-4</v>
          </cell>
          <cell r="U462">
            <v>203</v>
          </cell>
          <cell r="V462">
            <v>218.2</v>
          </cell>
          <cell r="W462">
            <v>0.98</v>
          </cell>
          <cell r="X462">
            <v>1.66</v>
          </cell>
          <cell r="Y462">
            <v>0.98</v>
          </cell>
          <cell r="Z462">
            <v>1.454</v>
          </cell>
          <cell r="AA462">
            <v>0.83599999999999997</v>
          </cell>
          <cell r="AB462">
            <v>0.72</v>
          </cell>
          <cell r="AC462">
            <v>34.299999999999997</v>
          </cell>
          <cell r="AD462">
            <v>1.17</v>
          </cell>
          <cell r="AE462">
            <v>177.8</v>
          </cell>
          <cell r="AF462">
            <v>9.19</v>
          </cell>
          <cell r="AG462">
            <v>2148</v>
          </cell>
          <cell r="AH462">
            <v>2862</v>
          </cell>
          <cell r="AI462">
            <v>2862</v>
          </cell>
          <cell r="AM462" t="str">
            <v>Закрытый</v>
          </cell>
          <cell r="AN462" t="str">
            <v xml:space="preserve">2198-2199; 2295-2297; 2403-2405; 2509-2510; 2607-2609; 2706-2707; 2825,1-2826,3 </v>
          </cell>
          <cell r="AO462">
            <v>45.309999999999945</v>
          </cell>
          <cell r="AP462">
            <v>2198</v>
          </cell>
          <cell r="AQ462">
            <v>338.86</v>
          </cell>
          <cell r="AR462" t="str">
            <v>2087-2924</v>
          </cell>
          <cell r="AS462">
            <v>114</v>
          </cell>
          <cell r="AT462">
            <v>7.37</v>
          </cell>
          <cell r="AU462" t="str">
            <v>Фон.</v>
          </cell>
          <cell r="AV462">
            <v>553</v>
          </cell>
          <cell r="AW462" t="str">
            <v>ГК 70 1/8</v>
          </cell>
          <cell r="AX462">
            <v>1024</v>
          </cell>
          <cell r="AY462" t="str">
            <v>ГК 73 1/8</v>
          </cell>
          <cell r="AZ462">
            <v>1377</v>
          </cell>
          <cell r="BA462" t="str">
            <v>ГК 74 5/32</v>
          </cell>
          <cell r="BB462">
            <v>1640</v>
          </cell>
          <cell r="BC462" t="str">
            <v>ГК 73 5/32</v>
          </cell>
          <cell r="BD462">
            <v>1850</v>
          </cell>
          <cell r="BE462" t="str">
            <v>ЦКсОК 5/16</v>
          </cell>
          <cell r="BF462" t="str">
            <v>-</v>
          </cell>
          <cell r="BG462" t="str">
            <v>-</v>
          </cell>
          <cell r="BH462">
            <v>1860</v>
          </cell>
          <cell r="BI462" t="str">
            <v>закрыт</v>
          </cell>
        </row>
        <row r="463">
          <cell r="J463">
            <v>1544</v>
          </cell>
          <cell r="K463" t="str">
            <v>К-82</v>
          </cell>
          <cell r="L463">
            <v>43298</v>
          </cell>
          <cell r="M463" t="str">
            <v>Гор.</v>
          </cell>
          <cell r="N463" t="str">
            <v>P4+5+6_Block1_yug</v>
          </cell>
          <cell r="O463" t="str">
            <v>Действующий</v>
          </cell>
          <cell r="P463" t="str">
            <v>В работе</v>
          </cell>
          <cell r="Q463">
            <v>-4</v>
          </cell>
          <cell r="U463">
            <v>203</v>
          </cell>
          <cell r="V463">
            <v>218.2</v>
          </cell>
          <cell r="W463">
            <v>0.98</v>
          </cell>
          <cell r="X463">
            <v>1.66</v>
          </cell>
          <cell r="Y463">
            <v>0.98</v>
          </cell>
          <cell r="Z463">
            <v>1.454</v>
          </cell>
          <cell r="AA463">
            <v>0.83599999999999997</v>
          </cell>
          <cell r="AB463">
            <v>0.72</v>
          </cell>
          <cell r="AC463">
            <v>34.299999999999997</v>
          </cell>
          <cell r="AD463">
            <v>1.17</v>
          </cell>
          <cell r="AE463">
            <v>177.8</v>
          </cell>
          <cell r="AF463">
            <v>9.19</v>
          </cell>
          <cell r="AG463">
            <v>2204.6999999999998</v>
          </cell>
          <cell r="AH463">
            <v>3246.45</v>
          </cell>
          <cell r="AI463">
            <v>3246.45</v>
          </cell>
          <cell r="AM463" t="str">
            <v>Закрытый</v>
          </cell>
          <cell r="AN463" t="str">
            <v>2261,76- 2262,96; 2348,19-2349,39; 2477,18-2478,38; 2755,61-2756,81; 2833,73-2834,93; 2976,03-2977,23; 3042,11-3043,31</v>
          </cell>
          <cell r="AO463">
            <v>8.4</v>
          </cell>
          <cell r="AP463">
            <v>2261.7600000000002</v>
          </cell>
          <cell r="AQ463">
            <v>313.27</v>
          </cell>
          <cell r="AR463" t="str">
            <v>2204,73-3247</v>
          </cell>
          <cell r="AS463">
            <v>114</v>
          </cell>
          <cell r="AT463">
            <v>7.37</v>
          </cell>
          <cell r="AU463" t="str">
            <v>Газлифт</v>
          </cell>
          <cell r="AV463">
            <v>470.00000009799999</v>
          </cell>
          <cell r="AW463" t="str">
            <v>ГП</v>
          </cell>
          <cell r="AX463">
            <v>863.00004902299997</v>
          </cell>
          <cell r="AY463" t="str">
            <v>ГП</v>
          </cell>
          <cell r="AZ463">
            <v>1192.9999992190001</v>
          </cell>
          <cell r="BA463" t="str">
            <v>ГК81 1/8</v>
          </cell>
          <cell r="BB463">
            <v>1515.0000656249999</v>
          </cell>
          <cell r="BC463" t="str">
            <v>ГК81 1/8</v>
          </cell>
          <cell r="BD463">
            <v>1780.000001953</v>
          </cell>
          <cell r="BE463" t="str">
            <v>ГК79 1/8</v>
          </cell>
          <cell r="BF463">
            <v>1970</v>
          </cell>
          <cell r="BG463" t="str">
            <v>ЦКсОК 5/16</v>
          </cell>
          <cell r="BH463">
            <v>1990</v>
          </cell>
          <cell r="BI463" t="str">
            <v>закрыт</v>
          </cell>
        </row>
        <row r="464">
          <cell r="J464">
            <v>1545</v>
          </cell>
          <cell r="K464" t="str">
            <v>К-82</v>
          </cell>
          <cell r="L464">
            <v>43100</v>
          </cell>
          <cell r="M464" t="str">
            <v>Гор.</v>
          </cell>
          <cell r="N464" t="str">
            <v>P4+5+6_Block1_yug</v>
          </cell>
          <cell r="O464" t="str">
            <v>Действующий</v>
          </cell>
          <cell r="P464" t="str">
            <v>В работе</v>
          </cell>
          <cell r="Q464">
            <v>-4</v>
          </cell>
          <cell r="R464">
            <v>43093</v>
          </cell>
          <cell r="S464" t="str">
            <v>МеКаМиНефть</v>
          </cell>
          <cell r="T464" t="str">
            <v>КГРП 7ст.
350м3 15% HCl</v>
          </cell>
          <cell r="U464">
            <v>203</v>
          </cell>
          <cell r="V464">
            <v>218.2</v>
          </cell>
          <cell r="W464">
            <v>0.98</v>
          </cell>
          <cell r="X464">
            <v>1.66</v>
          </cell>
          <cell r="Y464">
            <v>0.997072768905647</v>
          </cell>
          <cell r="Z464">
            <v>1.454</v>
          </cell>
          <cell r="AA464">
            <v>0.83599999999999997</v>
          </cell>
          <cell r="AB464">
            <v>0.72</v>
          </cell>
          <cell r="AC464">
            <v>34.299999999999997</v>
          </cell>
          <cell r="AD464">
            <v>1.17</v>
          </cell>
          <cell r="AE464">
            <v>177.8</v>
          </cell>
          <cell r="AF464">
            <v>9.19</v>
          </cell>
          <cell r="AG464">
            <v>2263.6</v>
          </cell>
          <cell r="AH464">
            <v>3115</v>
          </cell>
          <cell r="AI464">
            <v>3113</v>
          </cell>
          <cell r="AJ464">
            <v>43072</v>
          </cell>
          <cell r="AK464" t="str">
            <v>По спущенной компановке</v>
          </cell>
          <cell r="AM464" t="str">
            <v>Закрытый</v>
          </cell>
          <cell r="AN464" t="str">
            <v xml:space="preserve">2388,46-2389,89; 2467,89-2469,32; 2563,64-2565,07; 2659,19-2660,62; 2754,93-2756,36; 2942,98-2944,41; 3090,17-3091,4 </v>
          </cell>
          <cell r="AO464">
            <v>9.81</v>
          </cell>
          <cell r="AP464">
            <v>2388.46</v>
          </cell>
          <cell r="AQ464">
            <v>481.71</v>
          </cell>
          <cell r="AR464" t="str">
            <v>2209-2-3113</v>
          </cell>
          <cell r="AS464">
            <v>114</v>
          </cell>
          <cell r="AT464">
            <v>7.37</v>
          </cell>
          <cell r="AU464" t="str">
            <v>Газлифт</v>
          </cell>
          <cell r="AV464">
            <v>424.00001718800002</v>
          </cell>
          <cell r="AW464" t="str">
            <v>ГП</v>
          </cell>
          <cell r="AX464">
            <v>755.999994141</v>
          </cell>
          <cell r="AY464" t="str">
            <v>ГП</v>
          </cell>
          <cell r="AZ464">
            <v>1065.999974414</v>
          </cell>
          <cell r="BA464" t="str">
            <v>ГК 84 5/32</v>
          </cell>
          <cell r="BB464">
            <v>1410.0000375</v>
          </cell>
          <cell r="BC464" t="str">
            <v>ГК 84 5/32</v>
          </cell>
          <cell r="BD464">
            <v>1719.9999433590001</v>
          </cell>
          <cell r="BE464" t="str">
            <v>ГК 84 5/32</v>
          </cell>
          <cell r="BF464">
            <v>1830</v>
          </cell>
          <cell r="BG464" t="str">
            <v>ЦКсОК 5/16</v>
          </cell>
          <cell r="BH464">
            <v>1930</v>
          </cell>
          <cell r="BI464" t="str">
            <v xml:space="preserve">закрыт </v>
          </cell>
        </row>
        <row r="465">
          <cell r="J465" t="str">
            <v>1545-1</v>
          </cell>
          <cell r="K465" t="str">
            <v>К-42</v>
          </cell>
          <cell r="L465">
            <v>43458</v>
          </cell>
          <cell r="M465" t="str">
            <v>Гор.</v>
          </cell>
          <cell r="N465" t="str">
            <v>P4+5+6_Block1_yug</v>
          </cell>
          <cell r="O465" t="str">
            <v>Действующий</v>
          </cell>
          <cell r="P465" t="str">
            <v>В работе</v>
          </cell>
          <cell r="Q465">
            <v>-4</v>
          </cell>
          <cell r="U465">
            <v>203</v>
          </cell>
          <cell r="V465">
            <v>218.2</v>
          </cell>
          <cell r="W465">
            <v>0.98</v>
          </cell>
          <cell r="X465">
            <v>1.66</v>
          </cell>
          <cell r="Y465">
            <v>1.074984603429272</v>
          </cell>
          <cell r="Z465">
            <v>1.454</v>
          </cell>
          <cell r="AA465">
            <v>0.83599999999999997</v>
          </cell>
          <cell r="AB465">
            <v>0.72</v>
          </cell>
          <cell r="AC465">
            <v>34.299999999999997</v>
          </cell>
          <cell r="AD465">
            <v>1.17</v>
          </cell>
          <cell r="AE465">
            <v>177.8</v>
          </cell>
          <cell r="AF465">
            <v>9.19</v>
          </cell>
          <cell r="AG465">
            <v>2134.9</v>
          </cell>
          <cell r="AH465">
            <v>2901</v>
          </cell>
          <cell r="AI465">
            <v>2901</v>
          </cell>
          <cell r="AM465" t="str">
            <v>Закрытый</v>
          </cell>
          <cell r="AN465" t="str">
            <v xml:space="preserve">2239-2241, 2324-2325, 2388-2390, 2483-2484, 2598-2599, 2713-2714, 2889-2890 </v>
          </cell>
          <cell r="AO465">
            <v>11.569999999999936</v>
          </cell>
          <cell r="AP465">
            <v>2239</v>
          </cell>
          <cell r="AQ465">
            <v>294.3</v>
          </cell>
          <cell r="AR465" t="str">
            <v>2130-3030</v>
          </cell>
          <cell r="AS465">
            <v>117</v>
          </cell>
          <cell r="AT465">
            <v>7.37</v>
          </cell>
          <cell r="AU465" t="str">
            <v>Газлифт</v>
          </cell>
          <cell r="AV465">
            <v>465.00000761699999</v>
          </cell>
          <cell r="AW465" t="str">
            <v>ГП</v>
          </cell>
          <cell r="AX465">
            <v>880.00001601600002</v>
          </cell>
          <cell r="AY465" t="str">
            <v>ГП</v>
          </cell>
          <cell r="AZ465">
            <v>1243.999974609</v>
          </cell>
          <cell r="BA465" t="str">
            <v>ГК74 1/8</v>
          </cell>
          <cell r="BB465">
            <v>1565.000064844</v>
          </cell>
          <cell r="BC465" t="str">
            <v>ГК72 1/8</v>
          </cell>
          <cell r="BD465">
            <v>1780.000001953</v>
          </cell>
          <cell r="BE465" t="str">
            <v>ГК71 5/32</v>
          </cell>
          <cell r="BF465">
            <v>1870</v>
          </cell>
          <cell r="BG465" t="str">
            <v>ЦКсОК 5/16</v>
          </cell>
          <cell r="BH465" t="str">
            <v>-</v>
          </cell>
          <cell r="BI465" t="str">
            <v>-</v>
          </cell>
        </row>
        <row r="466">
          <cell r="J466">
            <v>1547</v>
          </cell>
          <cell r="K466" t="str">
            <v>К-1324</v>
          </cell>
          <cell r="L466">
            <v>43557</v>
          </cell>
          <cell r="M466" t="str">
            <v>Гор.</v>
          </cell>
          <cell r="N466" t="str">
            <v>P4+5+6_Block1_yug</v>
          </cell>
          <cell r="O466" t="str">
            <v>Действующий</v>
          </cell>
          <cell r="P466" t="str">
            <v>В работе</v>
          </cell>
          <cell r="Q466">
            <v>-4</v>
          </cell>
          <cell r="U466">
            <v>203</v>
          </cell>
          <cell r="V466">
            <v>218.2</v>
          </cell>
          <cell r="W466">
            <v>0.98</v>
          </cell>
          <cell r="X466">
            <v>1.66</v>
          </cell>
          <cell r="Y466">
            <v>0.98</v>
          </cell>
          <cell r="Z466">
            <v>1.454</v>
          </cell>
          <cell r="AA466">
            <v>0.83599999999999997</v>
          </cell>
          <cell r="AB466">
            <v>0.72</v>
          </cell>
          <cell r="AC466">
            <v>34.299999999999997</v>
          </cell>
          <cell r="AD466">
            <v>1.17</v>
          </cell>
          <cell r="AE466">
            <v>177.8</v>
          </cell>
          <cell r="AF466">
            <v>9.19</v>
          </cell>
          <cell r="AG466">
            <v>2271</v>
          </cell>
          <cell r="AH466">
            <v>2960</v>
          </cell>
          <cell r="AI466">
            <v>2960</v>
          </cell>
          <cell r="AM466" t="str">
            <v>Закрытый</v>
          </cell>
          <cell r="AN466" t="str">
            <v xml:space="preserve">2296,9-2298,37; 2429,8-2431,2; 2538,6-2540; 2655,9-2657,3; 2722-2723,4; 2825,8-2827,2; 2923-2924,3 </v>
          </cell>
          <cell r="AO466">
            <v>51.089999999999918</v>
          </cell>
          <cell r="AP466">
            <v>2296.9</v>
          </cell>
          <cell r="AQ466">
            <v>246.1</v>
          </cell>
          <cell r="AR466" t="str">
            <v>2221-3121</v>
          </cell>
          <cell r="AS466">
            <v>114</v>
          </cell>
          <cell r="AT466">
            <v>7.37</v>
          </cell>
          <cell r="AU466" t="str">
            <v>Газлифт</v>
          </cell>
          <cell r="AV466">
            <v>549.99999140600005</v>
          </cell>
          <cell r="AW466" t="str">
            <v>ГП</v>
          </cell>
          <cell r="AX466">
            <v>1074.9999832030001</v>
          </cell>
          <cell r="AY466" t="str">
            <v>ГП</v>
          </cell>
          <cell r="AZ466">
            <v>1480.000006641</v>
          </cell>
          <cell r="BA466" t="str">
            <v>ГК82 5/32</v>
          </cell>
          <cell r="BB466">
            <v>1805.0000015630001</v>
          </cell>
          <cell r="BC466" t="str">
            <v>ГК82 5/32</v>
          </cell>
          <cell r="BD466">
            <v>2040.0000574220001</v>
          </cell>
          <cell r="BE466" t="str">
            <v>ЦКсОК 5/16</v>
          </cell>
          <cell r="BF466" t="str">
            <v>-</v>
          </cell>
          <cell r="BG466" t="str">
            <v>-</v>
          </cell>
          <cell r="BH466" t="str">
            <v>-</v>
          </cell>
          <cell r="BI466" t="str">
            <v>-</v>
          </cell>
        </row>
        <row r="467">
          <cell r="J467">
            <v>1549</v>
          </cell>
          <cell r="K467" t="str">
            <v>К-82</v>
          </cell>
          <cell r="L467">
            <v>43293</v>
          </cell>
          <cell r="M467" t="str">
            <v>Гор.</v>
          </cell>
          <cell r="N467" t="str">
            <v>P4+5+6_Block1_yug</v>
          </cell>
          <cell r="O467" t="str">
            <v>Действующий</v>
          </cell>
          <cell r="P467" t="str">
            <v>В работе</v>
          </cell>
          <cell r="Q467">
            <v>-4</v>
          </cell>
          <cell r="R467">
            <v>43218</v>
          </cell>
          <cell r="S467" t="str">
            <v>МеКаМиНефть</v>
          </cell>
          <cell r="T467" t="str">
            <v>КГРП 7ст.
350м3 15% HCl</v>
          </cell>
          <cell r="U467">
            <v>203</v>
          </cell>
          <cell r="V467">
            <v>218.2</v>
          </cell>
          <cell r="W467">
            <v>0.98</v>
          </cell>
          <cell r="X467">
            <v>1.66</v>
          </cell>
          <cell r="Y467">
            <v>0.98</v>
          </cell>
          <cell r="Z467">
            <v>1.454</v>
          </cell>
          <cell r="AA467">
            <v>0.83599999999999997</v>
          </cell>
          <cell r="AB467">
            <v>0.72</v>
          </cell>
          <cell r="AC467">
            <v>34.299999999999997</v>
          </cell>
          <cell r="AD467">
            <v>1.17</v>
          </cell>
          <cell r="AE467">
            <v>177.8</v>
          </cell>
          <cell r="AF467">
            <v>9.19</v>
          </cell>
          <cell r="AG467">
            <v>2253</v>
          </cell>
          <cell r="AH467">
            <v>3261.15</v>
          </cell>
          <cell r="AI467">
            <v>3261.15</v>
          </cell>
          <cell r="AJ467">
            <v>43233</v>
          </cell>
          <cell r="AK467" t="str">
            <v>По спущенной компановке</v>
          </cell>
          <cell r="AM467" t="str">
            <v>Закрытый</v>
          </cell>
          <cell r="AN467" t="str">
            <v>2395,66-2396,86; 2510,8-2512; 2595,25-2596,45; 2863,71-2864,91; 2989,04-2990,24; 3062,94-3064,14; 3177,92-3179,12</v>
          </cell>
          <cell r="AO467">
            <v>8.4</v>
          </cell>
          <cell r="AP467">
            <v>2395.66</v>
          </cell>
          <cell r="AQ467">
            <v>523</v>
          </cell>
          <cell r="AR467" t="str">
            <v>2196-3262</v>
          </cell>
          <cell r="AS467">
            <v>114</v>
          </cell>
          <cell r="AT467">
            <v>7.37</v>
          </cell>
          <cell r="AU467" t="str">
            <v>Газлифт</v>
          </cell>
          <cell r="AV467">
            <v>549.99999140600005</v>
          </cell>
          <cell r="AW467" t="str">
            <v>ГП</v>
          </cell>
          <cell r="AX467">
            <v>1049.999983594</v>
          </cell>
          <cell r="AY467" t="str">
            <v>ГП</v>
          </cell>
          <cell r="AZ467">
            <v>1480.000006641</v>
          </cell>
          <cell r="BA467" t="str">
            <v>ГП</v>
          </cell>
          <cell r="BB467">
            <v>1769.9999425779999</v>
          </cell>
          <cell r="BC467" t="str">
            <v>ГК78 5/32</v>
          </cell>
          <cell r="BD467">
            <v>2019.9999386720001</v>
          </cell>
          <cell r="BE467" t="str">
            <v>ЦКсОК 5/16</v>
          </cell>
          <cell r="BF467" t="str">
            <v>-</v>
          </cell>
          <cell r="BG467" t="str">
            <v>-</v>
          </cell>
          <cell r="BH467">
            <v>2030</v>
          </cell>
          <cell r="BI467" t="str">
            <v xml:space="preserve">закрыт </v>
          </cell>
        </row>
        <row r="468">
          <cell r="J468">
            <v>1550</v>
          </cell>
          <cell r="K468" t="str">
            <v>К-34</v>
          </cell>
          <cell r="L468">
            <v>43311</v>
          </cell>
          <cell r="M468" t="str">
            <v>Гор.</v>
          </cell>
          <cell r="N468" t="str">
            <v>P4+5+6_Block1_yug</v>
          </cell>
          <cell r="O468" t="str">
            <v>Действующий</v>
          </cell>
          <cell r="P468" t="str">
            <v>Остановлена</v>
          </cell>
          <cell r="Q468">
            <v>-4</v>
          </cell>
          <cell r="R468">
            <v>43224</v>
          </cell>
          <cell r="S468" t="str">
            <v>МеКаМиНефть</v>
          </cell>
          <cell r="T468" t="str">
            <v>КГРП 7ст.
350м3 15% HCl</v>
          </cell>
          <cell r="U468">
            <v>203</v>
          </cell>
          <cell r="V468">
            <v>218.2</v>
          </cell>
          <cell r="W468">
            <v>0.98</v>
          </cell>
          <cell r="X468">
            <v>1.66</v>
          </cell>
          <cell r="Y468">
            <v>1.028183399401343</v>
          </cell>
          <cell r="Z468">
            <v>1.454</v>
          </cell>
          <cell r="AA468">
            <v>0.83599999999999997</v>
          </cell>
          <cell r="AB468">
            <v>0.72</v>
          </cell>
          <cell r="AC468">
            <v>34.299999999999997</v>
          </cell>
          <cell r="AD468">
            <v>1.17</v>
          </cell>
          <cell r="AE468">
            <v>177.8</v>
          </cell>
          <cell r="AF468">
            <v>9.19</v>
          </cell>
          <cell r="AG468">
            <v>2174</v>
          </cell>
          <cell r="AH468">
            <v>3009.98</v>
          </cell>
          <cell r="AI468">
            <v>3009.98</v>
          </cell>
          <cell r="AJ468">
            <v>43211</v>
          </cell>
          <cell r="AK468" t="str">
            <v>По спущенной компановке</v>
          </cell>
          <cell r="AM468" t="str">
            <v>Закрытый</v>
          </cell>
          <cell r="AN468" t="str">
            <v xml:space="preserve">2206,98-2208,18; 2322,09-2323,29; 2467,82-2469,02; 2593,13-2594,33; 2687,56-2688,76; 2771,86-2773,06; 2846-2847,2 </v>
          </cell>
          <cell r="AO468">
            <v>8.4</v>
          </cell>
          <cell r="AP468">
            <v>2206.98</v>
          </cell>
          <cell r="AQ468">
            <v>353.47</v>
          </cell>
          <cell r="AR468" t="str">
            <v>2120,31-3022</v>
          </cell>
          <cell r="AS468">
            <v>114</v>
          </cell>
          <cell r="AT468">
            <v>7.37</v>
          </cell>
          <cell r="AU468" t="str">
            <v>Газлифт</v>
          </cell>
          <cell r="AV468">
            <v>499.99999218800002</v>
          </cell>
          <cell r="AW468" t="str">
            <v>ГП</v>
          </cell>
          <cell r="AX468">
            <v>899.99998593800001</v>
          </cell>
          <cell r="AY468" t="str">
            <v>ГП</v>
          </cell>
          <cell r="AZ468">
            <v>1220.000025586</v>
          </cell>
          <cell r="BA468" t="str">
            <v>ГК 73 5/32</v>
          </cell>
          <cell r="BB468">
            <v>1490.0000660159999</v>
          </cell>
          <cell r="BC468" t="str">
            <v>ГК70 1/8</v>
          </cell>
          <cell r="BD468">
            <v>1719.9999433590001</v>
          </cell>
          <cell r="BE468" t="str">
            <v>ГК70 1/8</v>
          </cell>
          <cell r="BF468">
            <v>1880</v>
          </cell>
          <cell r="BG468" t="str">
            <v>ЦКсОК 5/16</v>
          </cell>
          <cell r="BH468">
            <v>1890</v>
          </cell>
          <cell r="BI468" t="str">
            <v>закрыт</v>
          </cell>
        </row>
        <row r="469">
          <cell r="J469">
            <v>1551</v>
          </cell>
          <cell r="K469" t="str">
            <v>К-1324</v>
          </cell>
          <cell r="L469">
            <v>43976</v>
          </cell>
          <cell r="M469" t="str">
            <v>Гор.</v>
          </cell>
          <cell r="N469" t="str">
            <v>P4+5+6_Block1_yug</v>
          </cell>
          <cell r="O469" t="str">
            <v>Действующий</v>
          </cell>
          <cell r="P469" t="str">
            <v>В работе</v>
          </cell>
          <cell r="Q469">
            <v>-4</v>
          </cell>
          <cell r="U469">
            <v>203</v>
          </cell>
          <cell r="V469">
            <v>218.2</v>
          </cell>
          <cell r="W469">
            <v>0.98</v>
          </cell>
          <cell r="X469">
            <v>1.66</v>
          </cell>
          <cell r="Y469">
            <v>0.98</v>
          </cell>
          <cell r="Z469">
            <v>1.454</v>
          </cell>
          <cell r="AA469">
            <v>0.83599999999999997</v>
          </cell>
          <cell r="AB469">
            <v>0.72</v>
          </cell>
          <cell r="AC469">
            <v>34.299999999999997</v>
          </cell>
          <cell r="AD469">
            <v>1.17</v>
          </cell>
          <cell r="AE469">
            <v>177.8</v>
          </cell>
          <cell r="AF469">
            <v>9.19</v>
          </cell>
          <cell r="AG469">
            <v>2200.0700000000002</v>
          </cell>
          <cell r="AH469">
            <v>2226</v>
          </cell>
          <cell r="AI469">
            <v>2226</v>
          </cell>
          <cell r="AM469" t="str">
            <v>Закрытый</v>
          </cell>
          <cell r="AN469" t="str">
            <v>2246,46-2247,56; 2270,98-2271,78; 2469,16-2469,96; 2564-2564,8; 2800,49-2801,29; 2955,14-2956,24</v>
          </cell>
          <cell r="AO469" t="str">
            <v>-</v>
          </cell>
          <cell r="AP469" t="str">
            <v>-</v>
          </cell>
          <cell r="AQ469" t="str">
            <v>-</v>
          </cell>
          <cell r="AU469" t="str">
            <v>Газлифт</v>
          </cell>
          <cell r="AV469">
            <v>449.999992969</v>
          </cell>
          <cell r="AW469" t="str">
            <v>ГП</v>
          </cell>
          <cell r="AX469">
            <v>840.00000175800005</v>
          </cell>
          <cell r="AY469" t="str">
            <v>ГП</v>
          </cell>
          <cell r="AZ469">
            <v>1209.9999662109999</v>
          </cell>
          <cell r="BA469" t="str">
            <v>ГК72 1/8</v>
          </cell>
          <cell r="BB469">
            <v>1490.0000660159999</v>
          </cell>
          <cell r="BC469" t="str">
            <v>ГК72 1/8</v>
          </cell>
          <cell r="BD469">
            <v>1749.999972656</v>
          </cell>
          <cell r="BE469" t="str">
            <v>ГК72 1/8</v>
          </cell>
          <cell r="BF469">
            <v>2020</v>
          </cell>
          <cell r="BG469" t="str">
            <v>ЦКсОК 5/16</v>
          </cell>
          <cell r="BH469" t="str">
            <v>-</v>
          </cell>
          <cell r="BI469" t="str">
            <v>-</v>
          </cell>
        </row>
        <row r="470">
          <cell r="J470">
            <v>1552</v>
          </cell>
          <cell r="K470" t="str">
            <v>К-65</v>
          </cell>
          <cell r="L470">
            <v>43327</v>
          </cell>
          <cell r="M470" t="str">
            <v>Гор.</v>
          </cell>
          <cell r="N470" t="str">
            <v>P4+5+6_Block1_yug</v>
          </cell>
          <cell r="O470" t="str">
            <v>Действующий</v>
          </cell>
          <cell r="P470" t="str">
            <v>В работе</v>
          </cell>
          <cell r="Q470">
            <v>-4</v>
          </cell>
          <cell r="U470">
            <v>203</v>
          </cell>
          <cell r="V470">
            <v>218.2</v>
          </cell>
          <cell r="W470">
            <v>0.98</v>
          </cell>
          <cell r="X470">
            <v>1.66</v>
          </cell>
          <cell r="Y470">
            <v>0.98004014622285718</v>
          </cell>
          <cell r="Z470">
            <v>1.454</v>
          </cell>
          <cell r="AA470">
            <v>0.83599999999999997</v>
          </cell>
          <cell r="AB470">
            <v>0.72</v>
          </cell>
          <cell r="AC470">
            <v>34.299999999999997</v>
          </cell>
          <cell r="AD470">
            <v>1.17</v>
          </cell>
          <cell r="AE470">
            <v>177.8</v>
          </cell>
          <cell r="AF470">
            <v>9.19</v>
          </cell>
          <cell r="AG470">
            <v>2492.6</v>
          </cell>
          <cell r="AH470">
            <v>3115</v>
          </cell>
          <cell r="AI470">
            <v>3115</v>
          </cell>
          <cell r="AM470" t="str">
            <v>Закрытый</v>
          </cell>
          <cell r="AN470" t="str">
            <v xml:space="preserve">2534,52-2535,95; 2688,39-2689,82; 2809,24-2810,67; 2961,14-2962,57; 3050,18-3051,38 </v>
          </cell>
          <cell r="AO470">
            <v>19.819999999999936</v>
          </cell>
          <cell r="AP470">
            <v>2534.52</v>
          </cell>
          <cell r="AQ470">
            <v>592.70000000000005</v>
          </cell>
          <cell r="AR470" t="str">
            <v>2436,03-3116</v>
          </cell>
          <cell r="AS470">
            <v>114</v>
          </cell>
          <cell r="AT470">
            <v>7.37</v>
          </cell>
          <cell r="AU470" t="str">
            <v>Газлифт</v>
          </cell>
          <cell r="AV470">
            <v>470.00000009799999</v>
          </cell>
          <cell r="AW470" t="str">
            <v>ГП</v>
          </cell>
          <cell r="AX470">
            <v>930.00001523399999</v>
          </cell>
          <cell r="AY470" t="str">
            <v>ГП</v>
          </cell>
          <cell r="AZ470">
            <v>1290.000069141</v>
          </cell>
          <cell r="BA470" t="str">
            <v>ГП</v>
          </cell>
          <cell r="BB470">
            <v>1580.000005078</v>
          </cell>
          <cell r="BC470" t="str">
            <v>ГК74 1/8</v>
          </cell>
          <cell r="BD470">
            <v>1880.000000391</v>
          </cell>
          <cell r="BE470" t="str">
            <v>ЦКсОК 5/16</v>
          </cell>
          <cell r="BF470" t="str">
            <v>-</v>
          </cell>
          <cell r="BG470" t="str">
            <v>-</v>
          </cell>
          <cell r="BH470">
            <v>1890</v>
          </cell>
          <cell r="BI470" t="str">
            <v>закрыт</v>
          </cell>
        </row>
        <row r="471">
          <cell r="J471">
            <v>1553</v>
          </cell>
          <cell r="K471" t="str">
            <v>К-65</v>
          </cell>
          <cell r="L471">
            <v>43098</v>
          </cell>
          <cell r="M471" t="str">
            <v>Гор.</v>
          </cell>
          <cell r="N471" t="str">
            <v>P4+5+6_Block1_yug</v>
          </cell>
          <cell r="O471" t="str">
            <v>Действующий</v>
          </cell>
          <cell r="P471" t="str">
            <v>В работе</v>
          </cell>
          <cell r="Q471">
            <v>-4</v>
          </cell>
          <cell r="R471">
            <v>43034</v>
          </cell>
          <cell r="S471" t="str">
            <v>МеКаМиНефть</v>
          </cell>
          <cell r="T471" t="str">
            <v>КГРП 7ст.
350м3 15% HCl           Vпр=200тн</v>
          </cell>
          <cell r="U471">
            <v>203</v>
          </cell>
          <cell r="V471">
            <v>218.2</v>
          </cell>
          <cell r="W471">
            <v>0.98</v>
          </cell>
          <cell r="X471">
            <v>1.66</v>
          </cell>
          <cell r="Y471">
            <v>1.0034294737361527</v>
          </cell>
          <cell r="Z471">
            <v>1.454</v>
          </cell>
          <cell r="AA471">
            <v>0.83599999999999997</v>
          </cell>
          <cell r="AB471">
            <v>0.72</v>
          </cell>
          <cell r="AC471">
            <v>34.299999999999997</v>
          </cell>
          <cell r="AD471">
            <v>1.17</v>
          </cell>
          <cell r="AE471">
            <v>177.8</v>
          </cell>
          <cell r="AF471">
            <v>9.19</v>
          </cell>
          <cell r="AG471">
            <v>2220</v>
          </cell>
          <cell r="AH471">
            <v>3083.9</v>
          </cell>
          <cell r="AI471">
            <v>3083.9</v>
          </cell>
          <cell r="AJ471">
            <v>43033</v>
          </cell>
          <cell r="AK471" t="str">
            <v>По спущенной компановке</v>
          </cell>
          <cell r="AM471" t="str">
            <v>Закрытый</v>
          </cell>
          <cell r="AN471" t="str">
            <v xml:space="preserve">2313,41-2313,91; 2427,43-2428,93; 2563,83-2565,33; 2734,73-2736,23; 2843,08-2844,58; 2958,44-2959,95; 3063,02-3063,62 </v>
          </cell>
          <cell r="AO471">
            <v>60</v>
          </cell>
          <cell r="AP471">
            <v>2313.41</v>
          </cell>
          <cell r="AQ471">
            <v>385</v>
          </cell>
          <cell r="AR471" t="str">
            <v>1966,67-3095</v>
          </cell>
          <cell r="AS471">
            <v>114</v>
          </cell>
          <cell r="AT471">
            <v>7.37</v>
          </cell>
          <cell r="AU471" t="str">
            <v>Газлифт</v>
          </cell>
          <cell r="AV471">
            <v>549.99999140600005</v>
          </cell>
          <cell r="AW471" t="str">
            <v>ГП</v>
          </cell>
          <cell r="AX471">
            <v>949.99998515599998</v>
          </cell>
          <cell r="AY471" t="str">
            <v>ГП</v>
          </cell>
          <cell r="AZ471">
            <v>1249.9999804690001</v>
          </cell>
          <cell r="BA471" t="str">
            <v>ГП</v>
          </cell>
          <cell r="BB471">
            <v>1480.000006641</v>
          </cell>
          <cell r="BC471" t="str">
            <v>ГК77 1/8</v>
          </cell>
          <cell r="BD471">
            <v>1649.999974219</v>
          </cell>
          <cell r="BE471" t="str">
            <v>ГК76 1/8</v>
          </cell>
          <cell r="BF471">
            <v>1800</v>
          </cell>
          <cell r="BG471" t="str">
            <v>ЦКсОК 5/16</v>
          </cell>
          <cell r="BH471">
            <v>1940</v>
          </cell>
          <cell r="BI471" t="str">
            <v>открыт</v>
          </cell>
        </row>
        <row r="472">
          <cell r="J472">
            <v>1554</v>
          </cell>
          <cell r="K472" t="str">
            <v>К-65</v>
          </cell>
          <cell r="L472">
            <v>43099</v>
          </cell>
          <cell r="M472" t="str">
            <v>Гор.</v>
          </cell>
          <cell r="N472" t="str">
            <v>P4+5+6_Block1_yug</v>
          </cell>
          <cell r="O472" t="str">
            <v>Действующий</v>
          </cell>
          <cell r="P472" t="str">
            <v>В работе</v>
          </cell>
          <cell r="Q472">
            <v>-4</v>
          </cell>
          <cell r="R472">
            <v>43051</v>
          </cell>
          <cell r="S472" t="str">
            <v>МеКаМиНефть</v>
          </cell>
          <cell r="T472" t="str">
            <v>КГРП 7ст.
350м3 15% HCl</v>
          </cell>
          <cell r="U472">
            <v>203</v>
          </cell>
          <cell r="V472">
            <v>218.2</v>
          </cell>
          <cell r="W472">
            <v>0.98</v>
          </cell>
          <cell r="X472">
            <v>1.66</v>
          </cell>
          <cell r="Y472">
            <v>0.98809523809523803</v>
          </cell>
          <cell r="Z472">
            <v>1.454</v>
          </cell>
          <cell r="AA472">
            <v>0.83599999999999997</v>
          </cell>
          <cell r="AB472">
            <v>0.72</v>
          </cell>
          <cell r="AC472">
            <v>34.299999999999997</v>
          </cell>
          <cell r="AD472">
            <v>1.17</v>
          </cell>
          <cell r="AE472">
            <v>177.8</v>
          </cell>
          <cell r="AF472">
            <v>9.19</v>
          </cell>
          <cell r="AG472">
            <v>2177.13</v>
          </cell>
          <cell r="AH472">
            <v>2929.89</v>
          </cell>
          <cell r="AI472">
            <v>2929.89</v>
          </cell>
          <cell r="AJ472">
            <v>42988</v>
          </cell>
          <cell r="AK472" t="str">
            <v>По спущенной компановке</v>
          </cell>
          <cell r="AM472" t="str">
            <v>Закрытый</v>
          </cell>
          <cell r="AN472" t="str">
            <v xml:space="preserve">2252,3-2253,73; 2334,73-2336,16; 2448,59-2450,02; 2613,11-2614,54; 2714,2-2715,63; 2814,85-2816,28; 2909,03-2909,56 </v>
          </cell>
          <cell r="AO472">
            <v>9.11</v>
          </cell>
          <cell r="AP472">
            <v>2252.3000000000002</v>
          </cell>
          <cell r="AQ472">
            <v>360.8</v>
          </cell>
          <cell r="AR472" t="str">
            <v>1926,1-2941</v>
          </cell>
          <cell r="AS472">
            <v>114</v>
          </cell>
          <cell r="AT472">
            <v>7.37</v>
          </cell>
          <cell r="AU472" t="str">
            <v>Газлифт</v>
          </cell>
          <cell r="AV472">
            <v>549.99999140600005</v>
          </cell>
          <cell r="AW472" t="str">
            <v>ГП</v>
          </cell>
          <cell r="AX472">
            <v>940.00000019499998</v>
          </cell>
          <cell r="AY472" t="str">
            <v>ГП</v>
          </cell>
          <cell r="AZ472">
            <v>1239.999995508</v>
          </cell>
          <cell r="BA472" t="str">
            <v>ГП</v>
          </cell>
          <cell r="BB472">
            <v>1469.9999472659999</v>
          </cell>
          <cell r="BC472" t="str">
            <v>ГК78 1/8</v>
          </cell>
          <cell r="BD472">
            <v>1630.000004297</v>
          </cell>
          <cell r="BE472" t="str">
            <v>ГП</v>
          </cell>
          <cell r="BF472">
            <v>1770</v>
          </cell>
          <cell r="BG472" t="str">
            <v>ГК79 1/8</v>
          </cell>
          <cell r="BH472">
            <v>1860</v>
          </cell>
          <cell r="BI472" t="str">
            <v>открыт</v>
          </cell>
        </row>
        <row r="473">
          <cell r="J473">
            <v>1555</v>
          </cell>
          <cell r="K473" t="str">
            <v>К-34</v>
          </cell>
          <cell r="L473">
            <v>43314</v>
          </cell>
          <cell r="M473" t="str">
            <v>Гор.</v>
          </cell>
          <cell r="N473" t="str">
            <v>P4+5+6_Block1_yug</v>
          </cell>
          <cell r="O473" t="str">
            <v>Действующий</v>
          </cell>
          <cell r="P473" t="str">
            <v>Остановлена</v>
          </cell>
          <cell r="Q473">
            <v>-4</v>
          </cell>
          <cell r="U473">
            <v>203</v>
          </cell>
          <cell r="V473">
            <v>218.2</v>
          </cell>
          <cell r="W473">
            <v>0.98</v>
          </cell>
          <cell r="X473">
            <v>1.66</v>
          </cell>
          <cell r="Y473">
            <v>0.98</v>
          </cell>
          <cell r="Z473">
            <v>1.454</v>
          </cell>
          <cell r="AA473">
            <v>0.83599999999999997</v>
          </cell>
          <cell r="AB473">
            <v>0.72</v>
          </cell>
          <cell r="AC473">
            <v>34.299999999999997</v>
          </cell>
          <cell r="AD473">
            <v>1.17</v>
          </cell>
          <cell r="AE473">
            <v>177.8</v>
          </cell>
          <cell r="AF473">
            <v>9.19</v>
          </cell>
          <cell r="AG473">
            <v>2236</v>
          </cell>
          <cell r="AH473">
            <v>3040</v>
          </cell>
          <cell r="AI473">
            <v>3040</v>
          </cell>
          <cell r="AM473" t="str">
            <v>Закрытый</v>
          </cell>
          <cell r="AN473" t="str">
            <v xml:space="preserve">2313,2-2314,4; 2487,35-2488,55; 2574,32-2575,52; 2640,51-2641,71; 2780,34-2781,54; 2877,59-2878,79; 2996,07-2997,27м </v>
          </cell>
          <cell r="AO473">
            <v>2.5099999999999909</v>
          </cell>
          <cell r="AP473">
            <v>2313.1999999999998</v>
          </cell>
          <cell r="AQ473">
            <v>439.08</v>
          </cell>
          <cell r="AR473" t="str">
            <v>2182,89-3040</v>
          </cell>
          <cell r="AS473">
            <v>177.8</v>
          </cell>
          <cell r="AT473">
            <v>9.19</v>
          </cell>
          <cell r="AU473" t="str">
            <v>Газлифт</v>
          </cell>
          <cell r="AV473">
            <v>540.00000644500005</v>
          </cell>
          <cell r="AW473" t="str">
            <v>ГП</v>
          </cell>
          <cell r="AX473">
            <v>970.00002949199995</v>
          </cell>
          <cell r="AY473" t="str">
            <v>ГП</v>
          </cell>
          <cell r="AZ473">
            <v>1360.0000382809999</v>
          </cell>
          <cell r="BA473" t="str">
            <v>ГК81 1/8</v>
          </cell>
          <cell r="BB473">
            <v>1690.000062891</v>
          </cell>
          <cell r="BC473" t="str">
            <v>ГК81 1/8</v>
          </cell>
          <cell r="BD473">
            <v>1979.9999988279999</v>
          </cell>
          <cell r="BE473" t="str">
            <v>ЦКсОК 5/16</v>
          </cell>
          <cell r="BF473" t="str">
            <v>-</v>
          </cell>
          <cell r="BG473" t="str">
            <v>-</v>
          </cell>
          <cell r="BH473">
            <v>1990</v>
          </cell>
          <cell r="BI473" t="str">
            <v xml:space="preserve">закрыт </v>
          </cell>
        </row>
        <row r="474">
          <cell r="J474">
            <v>1557</v>
          </cell>
          <cell r="K474" t="str">
            <v>К-105</v>
          </cell>
          <cell r="L474">
            <v>43476</v>
          </cell>
          <cell r="M474" t="str">
            <v>Гор.</v>
          </cell>
          <cell r="N474" t="str">
            <v>P4+5+6_Block1_yug</v>
          </cell>
          <cell r="O474" t="str">
            <v>Действующий</v>
          </cell>
          <cell r="P474" t="str">
            <v>В работе</v>
          </cell>
          <cell r="Q474">
            <v>-4</v>
          </cell>
          <cell r="U474">
            <v>203</v>
          </cell>
          <cell r="V474">
            <v>218.2</v>
          </cell>
          <cell r="W474">
            <v>0.98</v>
          </cell>
          <cell r="X474">
            <v>1.66</v>
          </cell>
          <cell r="Y474">
            <v>0.99753008900999984</v>
          </cell>
          <cell r="Z474">
            <v>1.454</v>
          </cell>
          <cell r="AA474">
            <v>0.83599999999999997</v>
          </cell>
          <cell r="AB474">
            <v>0.72</v>
          </cell>
          <cell r="AC474">
            <v>34.299999999999997</v>
          </cell>
          <cell r="AD474">
            <v>1.17</v>
          </cell>
          <cell r="AE474">
            <v>177.8</v>
          </cell>
          <cell r="AF474">
            <v>9.19</v>
          </cell>
          <cell r="AG474">
            <v>2393</v>
          </cell>
          <cell r="AH474">
            <v>3150</v>
          </cell>
          <cell r="AI474">
            <v>3150</v>
          </cell>
          <cell r="AM474" t="str">
            <v>Закрытый</v>
          </cell>
          <cell r="AN474" t="str">
            <v xml:space="preserve">2522-2524, 2606-2608, 2688-2689, 2795-2796, 2856-2857, 2926-2927, 3021-3022 </v>
          </cell>
          <cell r="AO474">
            <v>10.649999999999864</v>
          </cell>
          <cell r="AP474">
            <v>2522</v>
          </cell>
          <cell r="AQ474">
            <v>588.27</v>
          </cell>
          <cell r="AR474" t="str">
            <v>2348-3392</v>
          </cell>
          <cell r="AS474">
            <v>114</v>
          </cell>
          <cell r="AT474">
            <v>7.37</v>
          </cell>
          <cell r="AU474" t="str">
            <v>Газлифт</v>
          </cell>
          <cell r="AV474">
            <v>460.00001513699999</v>
          </cell>
          <cell r="AW474" t="str">
            <v>ГП</v>
          </cell>
          <cell r="AX474">
            <v>893.00000390599996</v>
          </cell>
          <cell r="AY474" t="str">
            <v>ГП</v>
          </cell>
          <cell r="AZ474">
            <v>1278.0000574220001</v>
          </cell>
          <cell r="BA474" t="str">
            <v>ГП</v>
          </cell>
          <cell r="BB474">
            <v>1562.9999636719999</v>
          </cell>
          <cell r="BC474" t="str">
            <v>ГК83 1/8</v>
          </cell>
          <cell r="BD474">
            <v>1799.999971875</v>
          </cell>
          <cell r="BE474" t="str">
            <v>ЦКсОК 5/16</v>
          </cell>
          <cell r="BF474" t="str">
            <v>-</v>
          </cell>
          <cell r="BG474" t="str">
            <v>-</v>
          </cell>
          <cell r="BH474">
            <v>1810</v>
          </cell>
          <cell r="BI474" t="str">
            <v>закрыт</v>
          </cell>
        </row>
        <row r="475">
          <cell r="J475">
            <v>1561</v>
          </cell>
          <cell r="K475" t="str">
            <v>К-118</v>
          </cell>
          <cell r="L475">
            <v>43550</v>
          </cell>
          <cell r="M475" t="str">
            <v>Гор.</v>
          </cell>
          <cell r="N475" t="str">
            <v>P4+5+6_Block1_yug</v>
          </cell>
          <cell r="O475" t="str">
            <v>Действующий</v>
          </cell>
          <cell r="P475" t="str">
            <v>Остановлена</v>
          </cell>
          <cell r="Q475">
            <v>-4</v>
          </cell>
          <cell r="U475">
            <v>203</v>
          </cell>
          <cell r="V475">
            <v>218.2</v>
          </cell>
          <cell r="W475">
            <v>0.98</v>
          </cell>
          <cell r="X475">
            <v>1.66</v>
          </cell>
          <cell r="Y475">
            <v>0.98</v>
          </cell>
          <cell r="Z475">
            <v>1.454</v>
          </cell>
          <cell r="AA475">
            <v>0.83599999999999997</v>
          </cell>
          <cell r="AB475">
            <v>0.72</v>
          </cell>
          <cell r="AC475">
            <v>34.299999999999997</v>
          </cell>
          <cell r="AD475">
            <v>1.17</v>
          </cell>
          <cell r="AE475">
            <v>177.8</v>
          </cell>
          <cell r="AF475">
            <v>9.19</v>
          </cell>
          <cell r="AG475">
            <v>2148</v>
          </cell>
          <cell r="AH475">
            <v>2851</v>
          </cell>
          <cell r="AI475">
            <v>2851</v>
          </cell>
          <cell r="AM475" t="str">
            <v>Закрытый</v>
          </cell>
          <cell r="AN475" t="str">
            <v xml:space="preserve">2172,49-2173,92, 2279,05-2280,48, 2397,54-2398,97, 2504,18-2505,61, 2599,44-2600,78, 2717,77-2719,2, 2812,11-2813,34, 2836,54-2836,97 </v>
          </cell>
          <cell r="AO475">
            <v>20.839999999999918</v>
          </cell>
          <cell r="AP475">
            <v>2172.4899999999998</v>
          </cell>
          <cell r="AQ475">
            <v>138.79</v>
          </cell>
          <cell r="AR475" t="str">
            <v>2097-2857</v>
          </cell>
          <cell r="AS475">
            <v>114</v>
          </cell>
          <cell r="AT475">
            <v>99.2</v>
          </cell>
          <cell r="AU475" t="str">
            <v>Газлифт</v>
          </cell>
          <cell r="AV475">
            <v>549.99999140600005</v>
          </cell>
          <cell r="AW475" t="str">
            <v>ГП</v>
          </cell>
          <cell r="AX475">
            <v>1070.00002793</v>
          </cell>
          <cell r="AY475" t="str">
            <v>ГК80 1/8</v>
          </cell>
          <cell r="AZ475">
            <v>1430.000007422</v>
          </cell>
          <cell r="BA475" t="str">
            <v>ГК79 1/8</v>
          </cell>
          <cell r="BB475">
            <v>1699.9999734380001</v>
          </cell>
          <cell r="BC475" t="str">
            <v>ГК78 1/8</v>
          </cell>
          <cell r="BD475">
            <v>1899.9999703129999</v>
          </cell>
          <cell r="BE475" t="str">
            <v>ЦКсОК 5/16</v>
          </cell>
          <cell r="BF475" t="str">
            <v>-</v>
          </cell>
          <cell r="BG475" t="str">
            <v>-</v>
          </cell>
          <cell r="BH475" t="str">
            <v>-</v>
          </cell>
          <cell r="BI475" t="str">
            <v>-</v>
          </cell>
        </row>
        <row r="476">
          <cell r="J476">
            <v>1563</v>
          </cell>
          <cell r="K476" t="str">
            <v>К-118</v>
          </cell>
          <cell r="L476">
            <v>43620</v>
          </cell>
          <cell r="M476" t="str">
            <v>Гор.</v>
          </cell>
          <cell r="N476" t="str">
            <v>P4+5+6_Block1_yug</v>
          </cell>
          <cell r="O476" t="str">
            <v>Действующий</v>
          </cell>
          <cell r="P476" t="str">
            <v>остановлена</v>
          </cell>
          <cell r="Q476">
            <v>-4</v>
          </cell>
          <cell r="U476">
            <v>203</v>
          </cell>
          <cell r="V476">
            <v>218.2</v>
          </cell>
          <cell r="W476">
            <v>0.98</v>
          </cell>
          <cell r="X476">
            <v>1.66</v>
          </cell>
          <cell r="Y476">
            <v>0.98</v>
          </cell>
          <cell r="Z476">
            <v>1.454</v>
          </cell>
          <cell r="AA476">
            <v>0.83599999999999997</v>
          </cell>
          <cell r="AB476">
            <v>0.72</v>
          </cell>
          <cell r="AC476">
            <v>34.299999999999997</v>
          </cell>
          <cell r="AD476">
            <v>1.17</v>
          </cell>
          <cell r="AE476">
            <v>177.8</v>
          </cell>
          <cell r="AF476">
            <v>9.19</v>
          </cell>
          <cell r="AG476">
            <v>1972.3</v>
          </cell>
          <cell r="AH476">
            <v>2779</v>
          </cell>
          <cell r="AI476">
            <v>2779</v>
          </cell>
          <cell r="AJ476">
            <v>43582</v>
          </cell>
          <cell r="AM476" t="str">
            <v>Закрытый</v>
          </cell>
          <cell r="AN476" t="str">
            <v>2615-2625; 2520-2530; 2420-2430; 2272-2280; 2180-2190; 2024-2032</v>
          </cell>
          <cell r="AO476">
            <v>8.7000000000000455</v>
          </cell>
          <cell r="AP476">
            <v>2024</v>
          </cell>
          <cell r="AQ476">
            <v>226.20000000000005</v>
          </cell>
          <cell r="AR476" t="str">
            <v>1913,3-2776</v>
          </cell>
          <cell r="AS476">
            <v>114</v>
          </cell>
          <cell r="AT476">
            <v>7.37</v>
          </cell>
          <cell r="AU476" t="str">
            <v>Фон.</v>
          </cell>
          <cell r="AV476">
            <v>550</v>
          </cell>
          <cell r="AW476" t="str">
            <v>ГК 74 1/8</v>
          </cell>
          <cell r="AX476">
            <v>990</v>
          </cell>
          <cell r="AY476" t="str">
            <v>ГК 75 1/8</v>
          </cell>
          <cell r="AZ476">
            <v>1315</v>
          </cell>
          <cell r="BA476" t="str">
            <v>ГК 75 1/8</v>
          </cell>
          <cell r="BB476">
            <v>1600</v>
          </cell>
          <cell r="BC476" t="str">
            <v>ГК 76 5/32</v>
          </cell>
          <cell r="BD476">
            <v>1800</v>
          </cell>
          <cell r="BE476" t="str">
            <v>ЦКсОК 5/16</v>
          </cell>
          <cell r="BF476" t="str">
            <v>-</v>
          </cell>
          <cell r="BG476" t="str">
            <v>-</v>
          </cell>
          <cell r="BH476" t="str">
            <v>-</v>
          </cell>
          <cell r="BI476" t="str">
            <v>-</v>
          </cell>
        </row>
        <row r="477">
          <cell r="J477">
            <v>1564</v>
          </cell>
          <cell r="K477" t="str">
            <v>К-1565</v>
          </cell>
          <cell r="L477">
            <v>44093</v>
          </cell>
          <cell r="M477" t="str">
            <v>Гор.</v>
          </cell>
          <cell r="N477" t="str">
            <v>Р4+5_Block3</v>
          </cell>
          <cell r="O477" t="str">
            <v>Действующий</v>
          </cell>
          <cell r="P477" t="str">
            <v>В работе</v>
          </cell>
          <cell r="Q477">
            <v>-4</v>
          </cell>
          <cell r="U477">
            <v>203</v>
          </cell>
          <cell r="V477">
            <v>218.2</v>
          </cell>
          <cell r="W477">
            <v>0.98</v>
          </cell>
          <cell r="X477">
            <v>1.66</v>
          </cell>
          <cell r="Y477">
            <v>0.98297973133015248</v>
          </cell>
          <cell r="Z477">
            <v>1.454</v>
          </cell>
          <cell r="AA477">
            <v>0.83599999999999997</v>
          </cell>
          <cell r="AB477">
            <v>0.72</v>
          </cell>
          <cell r="AC477">
            <v>34.299999999999997</v>
          </cell>
          <cell r="AD477">
            <v>1.17</v>
          </cell>
          <cell r="AE477">
            <v>177.8</v>
          </cell>
          <cell r="AF477">
            <v>9.19</v>
          </cell>
          <cell r="AG477">
            <v>2161</v>
          </cell>
          <cell r="AH477">
            <v>2800</v>
          </cell>
          <cell r="AI477">
            <v>2800</v>
          </cell>
          <cell r="AM477" t="str">
            <v>открытый</v>
          </cell>
          <cell r="AN477" t="str">
            <v>2161-2800, 2227-2720</v>
          </cell>
          <cell r="AO477">
            <v>59.42</v>
          </cell>
          <cell r="AP477">
            <v>1861</v>
          </cell>
          <cell r="AQ477">
            <v>300</v>
          </cell>
          <cell r="AU477" t="str">
            <v>Газлифт</v>
          </cell>
          <cell r="AV477">
            <v>493.99998632799998</v>
          </cell>
          <cell r="AW477" t="str">
            <v>ГК77 1/8</v>
          </cell>
          <cell r="AX477">
            <v>893.00000390599996</v>
          </cell>
          <cell r="AY477" t="str">
            <v>ГК77 1/8</v>
          </cell>
          <cell r="AZ477">
            <v>1209.9999662109999</v>
          </cell>
          <cell r="BA477" t="str">
            <v>ГК77 1/8</v>
          </cell>
          <cell r="BB477">
            <v>1476.9999292970001</v>
          </cell>
          <cell r="BC477" t="str">
            <v>ГК77 1/8</v>
          </cell>
          <cell r="BD477">
            <v>1710.000032813</v>
          </cell>
          <cell r="BE477" t="str">
            <v>ЦКсОК 5/16</v>
          </cell>
          <cell r="BF477" t="str">
            <v>-</v>
          </cell>
          <cell r="BG477" t="str">
            <v>-</v>
          </cell>
          <cell r="BH477" t="str">
            <v>-</v>
          </cell>
          <cell r="BI477" t="str">
            <v>-</v>
          </cell>
        </row>
        <row r="478">
          <cell r="J478">
            <v>1565</v>
          </cell>
          <cell r="K478" t="str">
            <v>К-1565</v>
          </cell>
          <cell r="L478">
            <v>44045</v>
          </cell>
          <cell r="M478" t="str">
            <v>Гор.</v>
          </cell>
          <cell r="N478" t="str">
            <v>Р4+5_Block3</v>
          </cell>
          <cell r="O478" t="str">
            <v>Действующий</v>
          </cell>
          <cell r="P478" t="str">
            <v>В работе</v>
          </cell>
          <cell r="Q478">
            <v>-4</v>
          </cell>
          <cell r="U478">
            <v>203</v>
          </cell>
          <cell r="V478">
            <v>218.2</v>
          </cell>
          <cell r="W478">
            <v>0.98</v>
          </cell>
          <cell r="X478">
            <v>1.66</v>
          </cell>
          <cell r="Y478">
            <v>0.98032126190751667</v>
          </cell>
          <cell r="Z478">
            <v>1.454</v>
          </cell>
          <cell r="AA478">
            <v>0.83599999999999997</v>
          </cell>
          <cell r="AB478">
            <v>0.72</v>
          </cell>
          <cell r="AC478">
            <v>34.299999999999997</v>
          </cell>
          <cell r="AD478">
            <v>1.17</v>
          </cell>
          <cell r="AE478">
            <v>177.8</v>
          </cell>
          <cell r="AF478">
            <v>9.19</v>
          </cell>
          <cell r="AG478">
            <v>2158</v>
          </cell>
          <cell r="AH478">
            <v>2766</v>
          </cell>
          <cell r="AI478">
            <v>2766</v>
          </cell>
          <cell r="AM478" t="str">
            <v>открытый</v>
          </cell>
          <cell r="AN478" t="str">
            <v>2158-2766</v>
          </cell>
          <cell r="AO478" t="str">
            <v>-</v>
          </cell>
          <cell r="AP478">
            <v>2158</v>
          </cell>
          <cell r="AQ478" t="str">
            <v>-</v>
          </cell>
          <cell r="AU478" t="str">
            <v>Газлифт</v>
          </cell>
          <cell r="AV478">
            <v>480.99999843799998</v>
          </cell>
          <cell r="AW478" t="str">
            <v>ГК79 1/8</v>
          </cell>
          <cell r="AX478">
            <v>936.00002109399998</v>
          </cell>
          <cell r="AY478" t="str">
            <v>ГК79 1/8</v>
          </cell>
          <cell r="AZ478">
            <v>1299.9999796879999</v>
          </cell>
          <cell r="BA478" t="str">
            <v>ГК77 3/16</v>
          </cell>
          <cell r="BB478">
            <v>1630.9999804690001</v>
          </cell>
          <cell r="BC478" t="str">
            <v>ГК76 3/16</v>
          </cell>
          <cell r="BD478">
            <v>1848.999994922</v>
          </cell>
          <cell r="BE478" t="str">
            <v>ЦКсОК 5/16</v>
          </cell>
          <cell r="BF478" t="str">
            <v>-</v>
          </cell>
          <cell r="BG478" t="str">
            <v>-</v>
          </cell>
          <cell r="BH478">
            <v>1862</v>
          </cell>
          <cell r="BI478" t="str">
            <v>закрыт</v>
          </cell>
        </row>
        <row r="479">
          <cell r="J479">
            <v>1566</v>
          </cell>
          <cell r="K479" t="str">
            <v>К-1602</v>
          </cell>
          <cell r="L479">
            <v>44812</v>
          </cell>
          <cell r="M479" t="str">
            <v>Гор.</v>
          </cell>
          <cell r="N479" t="str">
            <v>Р4+5+6_Block2</v>
          </cell>
          <cell r="O479" t="str">
            <v>Действующий</v>
          </cell>
          <cell r="P479" t="str">
            <v>В работе</v>
          </cell>
          <cell r="Q479">
            <v>0</v>
          </cell>
          <cell r="AE479">
            <v>177.8</v>
          </cell>
          <cell r="AF479">
            <v>9.19</v>
          </cell>
          <cell r="AG479">
            <v>2158</v>
          </cell>
          <cell r="AH479">
            <v>2766</v>
          </cell>
          <cell r="AI479">
            <v>2766</v>
          </cell>
          <cell r="AM479" t="str">
            <v>открытый</v>
          </cell>
          <cell r="AN479" t="str">
            <v>2315-2869</v>
          </cell>
          <cell r="AU479" t="str">
            <v>Газлифт</v>
          </cell>
          <cell r="AV479">
            <v>470.00000009799999</v>
          </cell>
          <cell r="AW479" t="str">
            <v>ГП</v>
          </cell>
          <cell r="AX479">
            <v>903.99996503900002</v>
          </cell>
          <cell r="AY479" t="str">
            <v>ГП</v>
          </cell>
          <cell r="AZ479">
            <v>1278.0000574220001</v>
          </cell>
          <cell r="BA479" t="str">
            <v>ГП</v>
          </cell>
          <cell r="BB479">
            <v>1580.000005078</v>
          </cell>
          <cell r="BC479" t="str">
            <v>ГК71 5/32</v>
          </cell>
          <cell r="BD479">
            <v>1811.999983594</v>
          </cell>
          <cell r="BE479" t="str">
            <v>ГК70 5/32</v>
          </cell>
          <cell r="BF479">
            <v>2040</v>
          </cell>
          <cell r="BG479" t="str">
            <v>ЦКсОК 5/16</v>
          </cell>
          <cell r="BH479" t="str">
            <v>-</v>
          </cell>
          <cell r="BI479" t="str">
            <v>-</v>
          </cell>
        </row>
        <row r="480">
          <cell r="J480">
            <v>1569</v>
          </cell>
          <cell r="K480" t="str">
            <v>К-1570</v>
          </cell>
          <cell r="L480">
            <v>44209</v>
          </cell>
          <cell r="M480" t="str">
            <v>Гор.</v>
          </cell>
          <cell r="N480" t="str">
            <v>Р4+5_Block3</v>
          </cell>
          <cell r="O480" t="str">
            <v>Действующий</v>
          </cell>
          <cell r="P480" t="str">
            <v>В работе</v>
          </cell>
          <cell r="Q480">
            <v>-4</v>
          </cell>
          <cell r="U480">
            <v>203</v>
          </cell>
          <cell r="V480">
            <v>218.2</v>
          </cell>
          <cell r="W480">
            <v>0.98</v>
          </cell>
          <cell r="X480">
            <v>1.66</v>
          </cell>
          <cell r="Y480">
            <v>1.0875436541680705</v>
          </cell>
          <cell r="Z480">
            <v>1.454</v>
          </cell>
          <cell r="AA480">
            <v>0.83599999999999997</v>
          </cell>
          <cell r="AB480">
            <v>0.72</v>
          </cell>
          <cell r="AC480">
            <v>34.299999999999997</v>
          </cell>
          <cell r="AD480">
            <v>1.17</v>
          </cell>
          <cell r="AE480">
            <v>177.8</v>
          </cell>
          <cell r="AF480">
            <v>9.19</v>
          </cell>
          <cell r="AG480">
            <v>2315</v>
          </cell>
          <cell r="AH480">
            <v>2870</v>
          </cell>
          <cell r="AI480">
            <v>2870</v>
          </cell>
          <cell r="AM480" t="str">
            <v>открытый</v>
          </cell>
          <cell r="AN480" t="str">
            <v>2315-2870</v>
          </cell>
          <cell r="AO480">
            <v>57</v>
          </cell>
          <cell r="AP480">
            <v>462</v>
          </cell>
          <cell r="AQ480">
            <v>1853</v>
          </cell>
          <cell r="AU480" t="str">
            <v>Газлифт</v>
          </cell>
          <cell r="AV480">
            <v>421.99999043000003</v>
          </cell>
          <cell r="AW480" t="str">
            <v>ГП</v>
          </cell>
          <cell r="AX480">
            <v>811.00002304700001</v>
          </cell>
          <cell r="AY480" t="str">
            <v>ГП</v>
          </cell>
          <cell r="AZ480">
            <v>1148.000029688</v>
          </cell>
          <cell r="BA480" t="str">
            <v>ГП</v>
          </cell>
          <cell r="BB480">
            <v>1421.0000730469999</v>
          </cell>
          <cell r="BC480" t="str">
            <v>ГК84 1/8</v>
          </cell>
          <cell r="BD480">
            <v>1635.0000339840001</v>
          </cell>
          <cell r="BE480" t="str">
            <v>ГК85 5/32</v>
          </cell>
          <cell r="BF480">
            <v>1850</v>
          </cell>
          <cell r="BG480" t="str">
            <v>ЦКсОК 5/16</v>
          </cell>
          <cell r="BH480">
            <v>1869</v>
          </cell>
          <cell r="BI480" t="str">
            <v>закрыт</v>
          </cell>
        </row>
        <row r="481">
          <cell r="J481">
            <v>1570</v>
          </cell>
          <cell r="K481" t="str">
            <v>К-1570</v>
          </cell>
          <cell r="L481">
            <v>44021</v>
          </cell>
          <cell r="M481" t="str">
            <v>Гор.</v>
          </cell>
          <cell r="N481" t="str">
            <v>Р4+5_Block3</v>
          </cell>
          <cell r="O481" t="str">
            <v>Действующий</v>
          </cell>
          <cell r="P481" t="str">
            <v>В работе</v>
          </cell>
          <cell r="Q481">
            <v>-4</v>
          </cell>
          <cell r="U481">
            <v>203</v>
          </cell>
          <cell r="V481">
            <v>218.2</v>
          </cell>
          <cell r="W481">
            <v>0.98</v>
          </cell>
          <cell r="X481">
            <v>1.66</v>
          </cell>
          <cell r="Y481">
            <v>1.0004920049200492</v>
          </cell>
          <cell r="Z481">
            <v>1.454</v>
          </cell>
          <cell r="AA481">
            <v>0.83599999999999997</v>
          </cell>
          <cell r="AB481">
            <v>0.72</v>
          </cell>
          <cell r="AC481">
            <v>34.299999999999997</v>
          </cell>
          <cell r="AD481">
            <v>1.17</v>
          </cell>
          <cell r="AE481">
            <v>177.8</v>
          </cell>
          <cell r="AF481">
            <v>9.19</v>
          </cell>
          <cell r="AG481">
            <v>2503.5</v>
          </cell>
          <cell r="AH481">
            <v>3124</v>
          </cell>
          <cell r="AI481">
            <v>3124</v>
          </cell>
          <cell r="AM481" t="str">
            <v>открытый</v>
          </cell>
          <cell r="AN481" t="str">
            <v>2503,5-3124</v>
          </cell>
          <cell r="AO481">
            <v>65.099999999999994</v>
          </cell>
          <cell r="AP481">
            <v>2503.5</v>
          </cell>
          <cell r="AQ481">
            <v>644.1</v>
          </cell>
          <cell r="AU481" t="str">
            <v>Газлифт</v>
          </cell>
          <cell r="AV481">
            <v>460.00001513699999</v>
          </cell>
          <cell r="AW481" t="str">
            <v>ГП</v>
          </cell>
          <cell r="AX481">
            <v>890.00000097700001</v>
          </cell>
          <cell r="AY481" t="str">
            <v>ГП</v>
          </cell>
          <cell r="AZ481">
            <v>1249.9999804690001</v>
          </cell>
          <cell r="BA481" t="str">
            <v>ГК82 1/8</v>
          </cell>
          <cell r="BB481">
            <v>1549.9999757810001</v>
          </cell>
          <cell r="BC481" t="str">
            <v>ГК81 1/8</v>
          </cell>
          <cell r="BD481">
            <v>1830.0000011720001</v>
          </cell>
          <cell r="BE481" t="str">
            <v>ГК80 1/8</v>
          </cell>
          <cell r="BF481">
            <v>2070</v>
          </cell>
          <cell r="BG481" t="str">
            <v>ЦКсОК 5/16</v>
          </cell>
          <cell r="BH481">
            <v>2090</v>
          </cell>
          <cell r="BI481" t="str">
            <v>закрыт</v>
          </cell>
        </row>
        <row r="482">
          <cell r="J482">
            <v>1571</v>
          </cell>
          <cell r="K482" t="str">
            <v>К-1565</v>
          </cell>
          <cell r="L482">
            <v>44006</v>
          </cell>
          <cell r="M482" t="str">
            <v>Гор.</v>
          </cell>
          <cell r="N482" t="str">
            <v>Р4+5_Block3</v>
          </cell>
          <cell r="O482" t="str">
            <v>Действующий</v>
          </cell>
          <cell r="P482" t="str">
            <v>В работе</v>
          </cell>
          <cell r="Q482">
            <v>-4</v>
          </cell>
          <cell r="U482">
            <v>203</v>
          </cell>
          <cell r="V482">
            <v>218.2</v>
          </cell>
          <cell r="W482">
            <v>0.98</v>
          </cell>
          <cell r="X482">
            <v>1.66</v>
          </cell>
          <cell r="Y482">
            <v>0.98</v>
          </cell>
          <cell r="Z482">
            <v>1.454</v>
          </cell>
          <cell r="AA482">
            <v>0.83599999999999997</v>
          </cell>
          <cell r="AB482">
            <v>0.72</v>
          </cell>
          <cell r="AC482">
            <v>34.299999999999997</v>
          </cell>
          <cell r="AD482">
            <v>1.17</v>
          </cell>
          <cell r="AE482">
            <v>177.8</v>
          </cell>
          <cell r="AF482">
            <v>9.19</v>
          </cell>
          <cell r="AG482">
            <v>2151</v>
          </cell>
          <cell r="AH482">
            <v>2800</v>
          </cell>
          <cell r="AI482">
            <v>2800</v>
          </cell>
          <cell r="AM482" t="str">
            <v>открытый</v>
          </cell>
          <cell r="AN482" t="str">
            <v>2151-2800</v>
          </cell>
          <cell r="AO482">
            <v>70.569999999999993</v>
          </cell>
          <cell r="AP482">
            <v>2151</v>
          </cell>
          <cell r="AQ482">
            <v>289</v>
          </cell>
          <cell r="AU482" t="str">
            <v>Газлифт</v>
          </cell>
          <cell r="AV482">
            <v>519.99999931599996</v>
          </cell>
          <cell r="AW482" t="str">
            <v>ГК86 5/32</v>
          </cell>
          <cell r="AX482">
            <v>930.00001523399999</v>
          </cell>
          <cell r="AY482" t="str">
            <v>ГК87 5/32</v>
          </cell>
          <cell r="AZ482">
            <v>1269.9999503910001</v>
          </cell>
          <cell r="BA482" t="str">
            <v>ГК88 3/16</v>
          </cell>
          <cell r="BB482">
            <v>1569.9999457030001</v>
          </cell>
          <cell r="BC482" t="str">
            <v>ГК88 3/16</v>
          </cell>
          <cell r="BD482">
            <v>1869.9999410160001</v>
          </cell>
          <cell r="BE482" t="str">
            <v>ЦКсОК 5/16</v>
          </cell>
          <cell r="BF482" t="str">
            <v>-</v>
          </cell>
          <cell r="BG482" t="str">
            <v>-</v>
          </cell>
          <cell r="BH482">
            <v>1880</v>
          </cell>
          <cell r="BI482" t="str">
            <v>закрыт</v>
          </cell>
        </row>
        <row r="483">
          <cell r="J483">
            <v>1572</v>
          </cell>
          <cell r="K483" t="str">
            <v>К-1565</v>
          </cell>
          <cell r="L483">
            <v>44005</v>
          </cell>
          <cell r="M483" t="str">
            <v>Гор.</v>
          </cell>
          <cell r="N483" t="str">
            <v>Р4+5_Block3</v>
          </cell>
          <cell r="O483" t="str">
            <v>Действующий</v>
          </cell>
          <cell r="P483" t="str">
            <v>В работе</v>
          </cell>
          <cell r="Q483">
            <v>-4</v>
          </cell>
          <cell r="U483">
            <v>203</v>
          </cell>
          <cell r="V483">
            <v>218.2</v>
          </cell>
          <cell r="W483">
            <v>0.98</v>
          </cell>
          <cell r="X483">
            <v>1.66</v>
          </cell>
          <cell r="Y483">
            <v>0.98</v>
          </cell>
          <cell r="Z483">
            <v>1.454</v>
          </cell>
          <cell r="AA483">
            <v>0.83599999999999997</v>
          </cell>
          <cell r="AB483">
            <v>0.72</v>
          </cell>
          <cell r="AC483">
            <v>34.299999999999997</v>
          </cell>
          <cell r="AD483">
            <v>1.17</v>
          </cell>
          <cell r="AE483">
            <v>177.8</v>
          </cell>
          <cell r="AF483">
            <v>9.19</v>
          </cell>
          <cell r="AG483">
            <v>2302</v>
          </cell>
          <cell r="AH483">
            <v>2908</v>
          </cell>
          <cell r="AI483">
            <v>2908</v>
          </cell>
          <cell r="AM483" t="str">
            <v>открытый</v>
          </cell>
          <cell r="AN483" t="str">
            <v>2302-2908</v>
          </cell>
          <cell r="AO483">
            <v>41.04</v>
          </cell>
          <cell r="AP483">
            <v>2302</v>
          </cell>
          <cell r="AQ483">
            <v>447</v>
          </cell>
          <cell r="AU483" t="str">
            <v>Газлифт</v>
          </cell>
          <cell r="AV483">
            <v>470.00000009799999</v>
          </cell>
          <cell r="AW483" t="str">
            <v>ГК81 1/8</v>
          </cell>
          <cell r="AX483">
            <v>911.00002148399994</v>
          </cell>
          <cell r="AY483" t="str">
            <v>ГК81 1/8</v>
          </cell>
          <cell r="AZ483">
            <v>1284.0000632809999</v>
          </cell>
          <cell r="BA483" t="str">
            <v>ГК80 1/8</v>
          </cell>
          <cell r="BB483">
            <v>1586.9999871089999</v>
          </cell>
          <cell r="BC483" t="str">
            <v>ГК80 1/8</v>
          </cell>
          <cell r="BD483">
            <v>1819.999941797</v>
          </cell>
          <cell r="BE483" t="str">
            <v>ЦКсОК 5/16</v>
          </cell>
          <cell r="BF483" t="str">
            <v>-</v>
          </cell>
          <cell r="BG483" t="str">
            <v>-</v>
          </cell>
          <cell r="BH483">
            <v>1920</v>
          </cell>
          <cell r="BI483" t="str">
            <v>закрыт</v>
          </cell>
        </row>
        <row r="484">
          <cell r="J484">
            <v>1573</v>
          </cell>
          <cell r="K484" t="str">
            <v>К-1599</v>
          </cell>
          <cell r="L484">
            <v>43342</v>
          </cell>
          <cell r="M484" t="str">
            <v>Гор.</v>
          </cell>
          <cell r="N484" t="str">
            <v>Р4+5_Block3</v>
          </cell>
          <cell r="O484" t="str">
            <v>Действующий</v>
          </cell>
          <cell r="P484" t="str">
            <v>В работе</v>
          </cell>
          <cell r="Q484">
            <v>-4</v>
          </cell>
          <cell r="U484">
            <v>203</v>
          </cell>
          <cell r="V484">
            <v>218.2</v>
          </cell>
          <cell r="W484">
            <v>0.98</v>
          </cell>
          <cell r="X484">
            <v>1.66</v>
          </cell>
          <cell r="Y484">
            <v>0.99174077695708462</v>
          </cell>
          <cell r="Z484">
            <v>1.454</v>
          </cell>
          <cell r="AA484">
            <v>0.83599999999999997</v>
          </cell>
          <cell r="AB484">
            <v>0.72</v>
          </cell>
          <cell r="AC484">
            <v>34.299999999999997</v>
          </cell>
          <cell r="AD484">
            <v>1.17</v>
          </cell>
          <cell r="AE484">
            <v>177.8</v>
          </cell>
          <cell r="AF484">
            <v>9.19</v>
          </cell>
          <cell r="AG484">
            <v>2204.6999999999998</v>
          </cell>
          <cell r="AH484" t="str">
            <v>1 ств 2746
2 ств 2844
3 ств 2793
4 ств 2700</v>
          </cell>
          <cell r="AI484" t="str">
            <v>1 ств 2746
2 ств 2844
3 ств 2793
4 ств 2700</v>
          </cell>
          <cell r="AM484" t="str">
            <v>открытый</v>
          </cell>
          <cell r="AN484" t="str">
            <v xml:space="preserve"> 2205-2746;2300-2844; 2399-2793;2455-2700;</v>
          </cell>
          <cell r="AO484" t="str">
            <v>66,24;64.84;51,08;36,44</v>
          </cell>
          <cell r="AP484" t="str">
            <v>2205;2300 2399;2455</v>
          </cell>
          <cell r="AQ484">
            <v>321.89999999999998</v>
          </cell>
          <cell r="AU484" t="str">
            <v>Газлифт</v>
          </cell>
          <cell r="AV484">
            <v>540.00000644500005</v>
          </cell>
          <cell r="AW484" t="str">
            <v>ГП</v>
          </cell>
          <cell r="AX484">
            <v>1014.999999023</v>
          </cell>
          <cell r="AY484" t="str">
            <v>ГП</v>
          </cell>
          <cell r="AZ484">
            <v>1385.0000378909999</v>
          </cell>
          <cell r="BA484" t="str">
            <v>ГК 85 1/8</v>
          </cell>
          <cell r="BB484">
            <v>1660.0000335939999</v>
          </cell>
          <cell r="BC484" t="str">
            <v>ГК 84 1/8</v>
          </cell>
          <cell r="BD484">
            <v>1915.0000593750001</v>
          </cell>
          <cell r="BE484" t="str">
            <v>ЦКсОК 5/16</v>
          </cell>
          <cell r="BF484" t="str">
            <v>-</v>
          </cell>
          <cell r="BG484" t="str">
            <v>-</v>
          </cell>
          <cell r="BH484">
            <v>1930</v>
          </cell>
          <cell r="BI484" t="str">
            <v>закрыт</v>
          </cell>
        </row>
        <row r="485">
          <cell r="J485">
            <v>1574</v>
          </cell>
          <cell r="K485" t="str">
            <v>К-127</v>
          </cell>
          <cell r="L485">
            <v>43656</v>
          </cell>
          <cell r="M485" t="str">
            <v>Гор.</v>
          </cell>
          <cell r="N485" t="str">
            <v>Р4+5_Block3</v>
          </cell>
          <cell r="O485" t="str">
            <v>Действующий</v>
          </cell>
          <cell r="P485" t="str">
            <v>Остановлена</v>
          </cell>
          <cell r="Q485">
            <v>-4</v>
          </cell>
          <cell r="U485">
            <v>203</v>
          </cell>
          <cell r="V485">
            <v>218.2</v>
          </cell>
          <cell r="W485">
            <v>0.98</v>
          </cell>
          <cell r="X485">
            <v>1.66</v>
          </cell>
          <cell r="Y485">
            <v>1.1199228968745696</v>
          </cell>
          <cell r="Z485">
            <v>1.454</v>
          </cell>
          <cell r="AA485">
            <v>0.83599999999999997</v>
          </cell>
          <cell r="AB485">
            <v>0.72</v>
          </cell>
          <cell r="AC485">
            <v>34.299999999999997</v>
          </cell>
          <cell r="AD485">
            <v>1.17</v>
          </cell>
          <cell r="AE485">
            <v>177.8</v>
          </cell>
          <cell r="AF485">
            <v>9.19</v>
          </cell>
          <cell r="AG485">
            <v>2311</v>
          </cell>
          <cell r="AH485">
            <v>3080</v>
          </cell>
          <cell r="AI485">
            <v>3080</v>
          </cell>
          <cell r="AM485" t="str">
            <v>открытый</v>
          </cell>
          <cell r="AN485" t="str">
            <v>2331-3080</v>
          </cell>
          <cell r="AO485">
            <v>6</v>
          </cell>
          <cell r="AP485">
            <v>2331</v>
          </cell>
          <cell r="AQ485">
            <v>449</v>
          </cell>
          <cell r="AU485" t="str">
            <v>Газлифт</v>
          </cell>
          <cell r="AV485">
            <v>504.00000849600002</v>
          </cell>
          <cell r="AW485" t="str">
            <v>ГП</v>
          </cell>
          <cell r="AX485">
            <v>949.13998183599995</v>
          </cell>
          <cell r="AY485" t="str">
            <v>ГП</v>
          </cell>
          <cell r="AZ485">
            <v>1322.2899679689999</v>
          </cell>
          <cell r="BA485" t="str">
            <v>ГП</v>
          </cell>
          <cell r="BB485">
            <v>1602.8600050780001</v>
          </cell>
          <cell r="BC485" t="str">
            <v>ГП</v>
          </cell>
          <cell r="BD485">
            <v>1884.2999425779999</v>
          </cell>
          <cell r="BE485" t="str">
            <v>ЦКсОК 5/16</v>
          </cell>
          <cell r="BF485" t="str">
            <v>-</v>
          </cell>
          <cell r="BG485" t="str">
            <v>-</v>
          </cell>
          <cell r="BH485">
            <v>1900</v>
          </cell>
          <cell r="BI485" t="str">
            <v>закрыт</v>
          </cell>
        </row>
        <row r="486">
          <cell r="J486">
            <v>1576</v>
          </cell>
          <cell r="K486" t="str">
            <v>К-1570</v>
          </cell>
          <cell r="L486">
            <v>43921</v>
          </cell>
          <cell r="M486" t="str">
            <v>Гор.</v>
          </cell>
          <cell r="N486" t="str">
            <v>Р4+5_Block3</v>
          </cell>
          <cell r="O486" t="str">
            <v>Действующий</v>
          </cell>
          <cell r="P486" t="str">
            <v>В работе</v>
          </cell>
          <cell r="Q486">
            <v>-4</v>
          </cell>
          <cell r="U486">
            <v>203</v>
          </cell>
          <cell r="V486">
            <v>218.2</v>
          </cell>
          <cell r="W486">
            <v>0.98</v>
          </cell>
          <cell r="X486">
            <v>1.66</v>
          </cell>
          <cell r="Y486">
            <v>0.98</v>
          </cell>
          <cell r="Z486">
            <v>1.454</v>
          </cell>
          <cell r="AA486">
            <v>0.83599999999999997</v>
          </cell>
          <cell r="AB486">
            <v>0.72</v>
          </cell>
          <cell r="AC486">
            <v>34.299999999999997</v>
          </cell>
          <cell r="AD486">
            <v>1.17</v>
          </cell>
          <cell r="AE486">
            <v>177.8</v>
          </cell>
          <cell r="AF486">
            <v>9.19</v>
          </cell>
          <cell r="AG486">
            <v>2075.9</v>
          </cell>
          <cell r="AH486">
            <v>2712</v>
          </cell>
          <cell r="AI486">
            <v>2712</v>
          </cell>
          <cell r="AM486" t="str">
            <v>открытый</v>
          </cell>
          <cell r="AN486" t="str">
            <v>2075,9-2712</v>
          </cell>
          <cell r="AO486">
            <v>51.35</v>
          </cell>
          <cell r="AP486">
            <v>2075.9</v>
          </cell>
          <cell r="AQ486">
            <v>211.85000000000014</v>
          </cell>
          <cell r="AU486" t="str">
            <v>Газлифт</v>
          </cell>
          <cell r="AV486">
            <v>501.00000556600003</v>
          </cell>
          <cell r="AW486" t="str">
            <v>ГП</v>
          </cell>
          <cell r="AX486">
            <v>949.99998515599998</v>
          </cell>
          <cell r="AY486" t="str">
            <v>ГП</v>
          </cell>
          <cell r="AZ486">
            <v>1329.000032812</v>
          </cell>
          <cell r="BA486" t="str">
            <v>ГК83 1/8</v>
          </cell>
          <cell r="BB486">
            <v>1634.000057813</v>
          </cell>
          <cell r="BC486" t="str">
            <v>ГК83 1/8</v>
          </cell>
          <cell r="BD486">
            <v>1860.000030469</v>
          </cell>
          <cell r="BE486" t="str">
            <v>ЦКсОК 5/16</v>
          </cell>
          <cell r="BF486" t="str">
            <v>-</v>
          </cell>
          <cell r="BG486" t="str">
            <v>-</v>
          </cell>
          <cell r="BH486">
            <v>1870</v>
          </cell>
          <cell r="BI486" t="str">
            <v>закрыт</v>
          </cell>
        </row>
        <row r="487">
          <cell r="J487">
            <v>1580</v>
          </cell>
          <cell r="K487" t="str">
            <v>К-21-1</v>
          </cell>
          <cell r="L487">
            <v>43860</v>
          </cell>
          <cell r="M487" t="str">
            <v>Гор.</v>
          </cell>
          <cell r="N487" t="str">
            <v>Р4+5_Block3</v>
          </cell>
          <cell r="O487" t="str">
            <v>Действующий</v>
          </cell>
          <cell r="P487" t="str">
            <v>В работе</v>
          </cell>
          <cell r="Q487">
            <v>-4</v>
          </cell>
          <cell r="U487">
            <v>203</v>
          </cell>
          <cell r="V487">
            <v>218.2</v>
          </cell>
          <cell r="W487">
            <v>0.98</v>
          </cell>
          <cell r="X487">
            <v>1.66</v>
          </cell>
          <cell r="Y487">
            <v>1.0441591784338895</v>
          </cell>
          <cell r="Z487">
            <v>1.454</v>
          </cell>
          <cell r="AA487">
            <v>0.83599999999999997</v>
          </cell>
          <cell r="AB487">
            <v>0.72</v>
          </cell>
          <cell r="AC487">
            <v>34.299999999999997</v>
          </cell>
          <cell r="AD487">
            <v>1.17</v>
          </cell>
          <cell r="AE487">
            <v>177.8</v>
          </cell>
          <cell r="AF487">
            <v>9.19</v>
          </cell>
          <cell r="AG487">
            <v>2126</v>
          </cell>
          <cell r="AH487">
            <v>2765.6</v>
          </cell>
          <cell r="AI487">
            <v>2765.6</v>
          </cell>
          <cell r="AM487" t="str">
            <v>открытый</v>
          </cell>
          <cell r="AN487" t="str">
            <v>2126-2765,6</v>
          </cell>
          <cell r="AO487">
            <v>48.470000000000027</v>
          </cell>
          <cell r="AP487">
            <v>2126</v>
          </cell>
          <cell r="AQ487">
            <v>219</v>
          </cell>
          <cell r="AU487" t="str">
            <v>Фон.</v>
          </cell>
          <cell r="AV487">
            <v>519.99999931599996</v>
          </cell>
          <cell r="AW487" t="str">
            <v>ГК83 1/8</v>
          </cell>
          <cell r="AX487">
            <v>994</v>
          </cell>
          <cell r="AY487" t="str">
            <v>ГК83 1/8</v>
          </cell>
          <cell r="AZ487">
            <v>1372.0000500000001</v>
          </cell>
          <cell r="BA487" t="str">
            <v>ГК83 1/8</v>
          </cell>
          <cell r="BB487">
            <v>1713.9999375</v>
          </cell>
          <cell r="BC487" t="str">
            <v>ГК82 5/32</v>
          </cell>
          <cell r="BD487">
            <v>1861.9999828130001</v>
          </cell>
          <cell r="BE487" t="str">
            <v>ЦКсОК 5/16</v>
          </cell>
          <cell r="BF487" t="str">
            <v>-</v>
          </cell>
          <cell r="BG487" t="str">
            <v>-</v>
          </cell>
          <cell r="BH487">
            <v>1872</v>
          </cell>
          <cell r="BI487" t="str">
            <v>закрыт</v>
          </cell>
        </row>
        <row r="488">
          <cell r="J488">
            <v>1582</v>
          </cell>
          <cell r="K488" t="str">
            <v>К-21-1</v>
          </cell>
          <cell r="L488">
            <v>43811</v>
          </cell>
          <cell r="M488" t="str">
            <v>Гор.</v>
          </cell>
          <cell r="N488" t="str">
            <v>Р4+5_Block3</v>
          </cell>
          <cell r="O488" t="str">
            <v>Действующий</v>
          </cell>
          <cell r="P488" t="str">
            <v>В работе</v>
          </cell>
          <cell r="Q488">
            <v>-4</v>
          </cell>
          <cell r="U488">
            <v>203</v>
          </cell>
          <cell r="V488">
            <v>218.2</v>
          </cell>
          <cell r="W488">
            <v>0.98</v>
          </cell>
          <cell r="X488">
            <v>1.66</v>
          </cell>
          <cell r="Y488">
            <v>0.98</v>
          </cell>
          <cell r="Z488">
            <v>1.454</v>
          </cell>
          <cell r="AA488">
            <v>0.83599999999999997</v>
          </cell>
          <cell r="AB488">
            <v>0.72</v>
          </cell>
          <cell r="AC488">
            <v>34.299999999999997</v>
          </cell>
          <cell r="AD488">
            <v>1.17</v>
          </cell>
          <cell r="AE488">
            <v>177.8</v>
          </cell>
          <cell r="AF488">
            <v>9.19</v>
          </cell>
          <cell r="AG488">
            <v>2596.21</v>
          </cell>
          <cell r="AH488">
            <v>3297</v>
          </cell>
          <cell r="AI488">
            <v>3297</v>
          </cell>
          <cell r="AM488" t="str">
            <v>открытый</v>
          </cell>
          <cell r="AN488" t="str">
            <v>2596,2-3297</v>
          </cell>
          <cell r="AO488">
            <v>8.48</v>
          </cell>
          <cell r="AP488">
            <v>2596.1999999999998</v>
          </cell>
          <cell r="AQ488">
            <v>679.34</v>
          </cell>
          <cell r="AU488" t="str">
            <v>Газлифт</v>
          </cell>
          <cell r="AV488">
            <v>662.00000156299996</v>
          </cell>
          <cell r="AW488" t="str">
            <v>ГП</v>
          </cell>
          <cell r="AX488">
            <v>1367.9999964839999</v>
          </cell>
          <cell r="AY488" t="str">
            <v>ГК85 5/32</v>
          </cell>
          <cell r="AZ488">
            <v>1810.0000312499999</v>
          </cell>
          <cell r="BA488" t="str">
            <v>ЦКсОК 5/16</v>
          </cell>
          <cell r="BB488" t="str">
            <v>-</v>
          </cell>
          <cell r="BC488" t="str">
            <v>-</v>
          </cell>
          <cell r="BD488" t="str">
            <v>-</v>
          </cell>
          <cell r="BE488" t="str">
            <v>-</v>
          </cell>
          <cell r="BF488" t="str">
            <v>-</v>
          </cell>
          <cell r="BG488" t="str">
            <v>-</v>
          </cell>
          <cell r="BH488">
            <v>1820</v>
          </cell>
          <cell r="BI488" t="str">
            <v>закрыт</v>
          </cell>
        </row>
        <row r="489">
          <cell r="J489">
            <v>1583</v>
          </cell>
          <cell r="K489" t="str">
            <v>К-1249</v>
          </cell>
          <cell r="L489">
            <v>44099</v>
          </cell>
          <cell r="M489" t="str">
            <v>Гор.</v>
          </cell>
          <cell r="N489" t="str">
            <v>Р4+5_Block3</v>
          </cell>
          <cell r="O489" t="str">
            <v>Действующий</v>
          </cell>
          <cell r="P489" t="str">
            <v>В работе</v>
          </cell>
          <cell r="Q489">
            <v>-4</v>
          </cell>
          <cell r="U489">
            <v>203</v>
          </cell>
          <cell r="V489">
            <v>218.2</v>
          </cell>
          <cell r="W489">
            <v>0.98</v>
          </cell>
          <cell r="X489">
            <v>1.66</v>
          </cell>
          <cell r="Y489">
            <v>0.98</v>
          </cell>
          <cell r="Z489">
            <v>1.454</v>
          </cell>
          <cell r="AA489">
            <v>0.83599999999999997</v>
          </cell>
          <cell r="AB489">
            <v>0.72</v>
          </cell>
          <cell r="AC489">
            <v>34.299999999999997</v>
          </cell>
          <cell r="AD489">
            <v>1.17</v>
          </cell>
          <cell r="AE489">
            <v>177.8</v>
          </cell>
          <cell r="AF489">
            <v>9.19</v>
          </cell>
          <cell r="AG489">
            <v>2143.02</v>
          </cell>
          <cell r="AH489">
            <v>2890</v>
          </cell>
          <cell r="AI489">
            <v>2890</v>
          </cell>
          <cell r="AM489" t="str">
            <v>открытый</v>
          </cell>
          <cell r="AN489" t="str">
            <v>2143,02-2890</v>
          </cell>
          <cell r="AO489">
            <v>163</v>
          </cell>
          <cell r="AP489">
            <v>1720</v>
          </cell>
          <cell r="AQ489">
            <v>423.02</v>
          </cell>
          <cell r="AU489" t="str">
            <v>Газлифт</v>
          </cell>
          <cell r="AV489">
            <v>473.00000302699999</v>
          </cell>
          <cell r="AW489" t="str">
            <v>ГП</v>
          </cell>
          <cell r="AX489">
            <v>865.99997753900004</v>
          </cell>
          <cell r="AY489" t="str">
            <v>ГП</v>
          </cell>
          <cell r="AZ489">
            <v>1183.99999043</v>
          </cell>
          <cell r="BA489" t="str">
            <v>ГК85 1/8</v>
          </cell>
          <cell r="BB489">
            <v>1437.999965625</v>
          </cell>
          <cell r="BC489" t="str">
            <v>ГК84 1/8</v>
          </cell>
          <cell r="BD489">
            <v>1650.9999503910001</v>
          </cell>
          <cell r="BE489" t="str">
            <v>ГК83 1/8</v>
          </cell>
          <cell r="BF489">
            <v>1820</v>
          </cell>
          <cell r="BG489" t="str">
            <v>ЦКсОК 5/16</v>
          </cell>
          <cell r="BH489">
            <v>1830</v>
          </cell>
          <cell r="BI489" t="str">
            <v>закрыт</v>
          </cell>
        </row>
        <row r="490">
          <cell r="J490">
            <v>1584</v>
          </cell>
          <cell r="K490" t="str">
            <v>К-1565</v>
          </cell>
          <cell r="L490">
            <v>44011</v>
          </cell>
          <cell r="M490" t="str">
            <v>Гор.</v>
          </cell>
          <cell r="N490" t="str">
            <v>Р4+5_Block3</v>
          </cell>
          <cell r="O490" t="str">
            <v>Действующий</v>
          </cell>
          <cell r="P490" t="str">
            <v>В работе</v>
          </cell>
          <cell r="Q490">
            <v>-4</v>
          </cell>
          <cell r="U490">
            <v>203</v>
          </cell>
          <cell r="V490">
            <v>218.2</v>
          </cell>
          <cell r="W490">
            <v>0.98</v>
          </cell>
          <cell r="X490">
            <v>1.66</v>
          </cell>
          <cell r="Y490">
            <v>0.98</v>
          </cell>
          <cell r="Z490">
            <v>1.454</v>
          </cell>
          <cell r="AA490">
            <v>0.83599999999999997</v>
          </cell>
          <cell r="AB490">
            <v>0.72</v>
          </cell>
          <cell r="AC490">
            <v>34.299999999999997</v>
          </cell>
          <cell r="AD490">
            <v>1.17</v>
          </cell>
          <cell r="AE490">
            <v>177.8</v>
          </cell>
          <cell r="AF490">
            <v>9.19</v>
          </cell>
          <cell r="AG490">
            <v>2368</v>
          </cell>
          <cell r="AH490">
            <v>2850</v>
          </cell>
          <cell r="AI490">
            <v>2850</v>
          </cell>
          <cell r="AM490" t="str">
            <v>открытый</v>
          </cell>
          <cell r="AN490" t="str">
            <v>2368-2850</v>
          </cell>
          <cell r="AO490">
            <v>47.27</v>
          </cell>
          <cell r="AP490">
            <v>2368</v>
          </cell>
          <cell r="AQ490">
            <v>511.15999999999997</v>
          </cell>
          <cell r="AU490" t="str">
            <v>Газлифт</v>
          </cell>
          <cell r="AV490">
            <v>524.99999179700001</v>
          </cell>
          <cell r="AW490" t="str">
            <v>ГК86 5/32</v>
          </cell>
          <cell r="AX490">
            <v>1002.000011133</v>
          </cell>
          <cell r="AY490" t="str">
            <v>ГК84 5/32</v>
          </cell>
          <cell r="AZ490">
            <v>1407.9999363280001</v>
          </cell>
          <cell r="BA490" t="str">
            <v>ГК84 5/32</v>
          </cell>
          <cell r="BB490">
            <v>1709.0000566409999</v>
          </cell>
          <cell r="BC490" t="str">
            <v>ГК83 5/32</v>
          </cell>
          <cell r="BD490">
            <v>1954.000023047</v>
          </cell>
          <cell r="BE490" t="str">
            <v>ЦКсОК 5/16</v>
          </cell>
          <cell r="BF490" t="str">
            <v>-</v>
          </cell>
          <cell r="BG490" t="str">
            <v>-</v>
          </cell>
          <cell r="BH490">
            <v>1970</v>
          </cell>
          <cell r="BI490" t="str">
            <v>закрыт</v>
          </cell>
        </row>
        <row r="491">
          <cell r="J491">
            <v>1585</v>
          </cell>
          <cell r="K491" t="str">
            <v>К-1410</v>
          </cell>
          <cell r="L491">
            <v>43865</v>
          </cell>
          <cell r="M491" t="str">
            <v>Гор.</v>
          </cell>
          <cell r="N491" t="str">
            <v>P4+5+6_Block1_yug</v>
          </cell>
          <cell r="O491" t="str">
            <v>Действующий</v>
          </cell>
          <cell r="P491" t="str">
            <v>В работе</v>
          </cell>
          <cell r="Q491">
            <v>-4</v>
          </cell>
          <cell r="U491">
            <v>203</v>
          </cell>
          <cell r="V491">
            <v>218.2</v>
          </cell>
          <cell r="W491">
            <v>0.98</v>
          </cell>
          <cell r="X491">
            <v>1.66</v>
          </cell>
          <cell r="Y491">
            <v>0.9820113485452131</v>
          </cell>
          <cell r="Z491">
            <v>1.454</v>
          </cell>
          <cell r="AA491">
            <v>0.83599999999999997</v>
          </cell>
          <cell r="AB491">
            <v>0.72</v>
          </cell>
          <cell r="AC491">
            <v>34.299999999999997</v>
          </cell>
          <cell r="AD491">
            <v>1.17</v>
          </cell>
          <cell r="AE491">
            <v>177.8</v>
          </cell>
          <cell r="AF491">
            <v>9.19</v>
          </cell>
          <cell r="AG491">
            <v>2210</v>
          </cell>
          <cell r="AH491">
            <v>2953.19</v>
          </cell>
          <cell r="AI491">
            <v>2953.19</v>
          </cell>
          <cell r="AM491" t="str">
            <v>открытый</v>
          </cell>
          <cell r="AN491" t="str">
            <v>2210-2953,19</v>
          </cell>
          <cell r="AO491">
            <v>112.81</v>
          </cell>
          <cell r="AP491">
            <v>2210</v>
          </cell>
          <cell r="AQ491">
            <v>403.58999999999992</v>
          </cell>
          <cell r="AU491" t="str">
            <v>Газлифт</v>
          </cell>
          <cell r="AV491">
            <v>510.99999052700002</v>
          </cell>
          <cell r="AW491" t="str">
            <v>ГП</v>
          </cell>
          <cell r="AX491">
            <v>1015.999975195</v>
          </cell>
          <cell r="AY491" t="str">
            <v>ГК83 5/32</v>
          </cell>
          <cell r="AZ491">
            <v>1417.0000195309999</v>
          </cell>
          <cell r="BA491" t="str">
            <v>ГК82 5/32</v>
          </cell>
          <cell r="BB491">
            <v>1785.0000316410001</v>
          </cell>
          <cell r="BC491" t="str">
            <v>ЦКсОК 5/16</v>
          </cell>
          <cell r="BD491" t="str">
            <v>-</v>
          </cell>
          <cell r="BE491" t="str">
            <v>-</v>
          </cell>
          <cell r="BF491" t="str">
            <v>-</v>
          </cell>
          <cell r="BG491" t="str">
            <v>-</v>
          </cell>
          <cell r="BH491">
            <v>1800</v>
          </cell>
          <cell r="BI491" t="str">
            <v>закрыт</v>
          </cell>
        </row>
        <row r="492">
          <cell r="J492">
            <v>1586</v>
          </cell>
          <cell r="K492" t="str">
            <v>К-1570</v>
          </cell>
          <cell r="L492">
            <v>44221</v>
          </cell>
          <cell r="M492" t="str">
            <v>Гор.</v>
          </cell>
          <cell r="N492" t="str">
            <v>Р4+5_Block3</v>
          </cell>
          <cell r="O492" t="str">
            <v>Действующий</v>
          </cell>
          <cell r="P492" t="str">
            <v>В работе</v>
          </cell>
          <cell r="Q492">
            <v>-4</v>
          </cell>
          <cell r="U492">
            <v>203</v>
          </cell>
          <cell r="V492">
            <v>218.2</v>
          </cell>
          <cell r="W492">
            <v>0.98</v>
          </cell>
          <cell r="X492">
            <v>1.66</v>
          </cell>
          <cell r="Y492">
            <v>0.98</v>
          </cell>
          <cell r="Z492">
            <v>1.454</v>
          </cell>
          <cell r="AA492">
            <v>0.83599999999999997</v>
          </cell>
          <cell r="AB492">
            <v>0.72</v>
          </cell>
          <cell r="AC492">
            <v>34.299999999999997</v>
          </cell>
          <cell r="AD492">
            <v>1.17</v>
          </cell>
          <cell r="AE492">
            <v>177.8</v>
          </cell>
          <cell r="AF492">
            <v>9.1999999999999993</v>
          </cell>
          <cell r="AG492">
            <v>2136</v>
          </cell>
          <cell r="AH492">
            <v>2849</v>
          </cell>
          <cell r="AI492">
            <v>2849</v>
          </cell>
          <cell r="AJ492">
            <v>44177</v>
          </cell>
          <cell r="AM492" t="str">
            <v>открытый</v>
          </cell>
          <cell r="AN492" t="str">
            <v>2136-2849</v>
          </cell>
          <cell r="AO492">
            <v>31.78</v>
          </cell>
          <cell r="AP492">
            <v>2136</v>
          </cell>
          <cell r="AQ492">
            <v>265.45999999999998</v>
          </cell>
          <cell r="AU492" t="str">
            <v>Газлифт</v>
          </cell>
          <cell r="AV492">
            <v>440.00000800800001</v>
          </cell>
          <cell r="AW492" t="str">
            <v>ГП</v>
          </cell>
          <cell r="AX492">
            <v>980.00001445299995</v>
          </cell>
          <cell r="AY492" t="str">
            <v>ГП</v>
          </cell>
          <cell r="AZ492">
            <v>1340.0000683589999</v>
          </cell>
          <cell r="BA492" t="str">
            <v>ГК 83 1/8</v>
          </cell>
          <cell r="BB492">
            <v>1669.999944141</v>
          </cell>
          <cell r="BC492" t="str">
            <v>ГК 83 1/8</v>
          </cell>
          <cell r="BD492">
            <v>1840.000060547</v>
          </cell>
          <cell r="BE492" t="str">
            <v>ЦКсОК 5/16</v>
          </cell>
          <cell r="BF492" t="str">
            <v>-</v>
          </cell>
          <cell r="BG492" t="str">
            <v>-</v>
          </cell>
          <cell r="BH492">
            <v>1860</v>
          </cell>
          <cell r="BI492" t="str">
            <v>закрыт</v>
          </cell>
        </row>
        <row r="493">
          <cell r="J493">
            <v>1587</v>
          </cell>
          <cell r="K493" t="str">
            <v>К-1587</v>
          </cell>
          <cell r="L493">
            <v>43829</v>
          </cell>
          <cell r="M493" t="str">
            <v>Гор.</v>
          </cell>
          <cell r="N493" t="str">
            <v>P4+5+6_Block1_yug</v>
          </cell>
          <cell r="O493" t="str">
            <v>Действующий</v>
          </cell>
          <cell r="P493" t="str">
            <v>В работе</v>
          </cell>
          <cell r="Q493">
            <v>-4</v>
          </cell>
          <cell r="U493">
            <v>203</v>
          </cell>
          <cell r="V493">
            <v>218.2</v>
          </cell>
          <cell r="W493">
            <v>0.98</v>
          </cell>
          <cell r="X493">
            <v>1.66</v>
          </cell>
          <cell r="Y493">
            <v>0.98</v>
          </cell>
          <cell r="Z493">
            <v>1.454</v>
          </cell>
          <cell r="AA493">
            <v>0.83599999999999997</v>
          </cell>
          <cell r="AB493">
            <v>0.72</v>
          </cell>
          <cell r="AC493">
            <v>34.299999999999997</v>
          </cell>
          <cell r="AD493">
            <v>1.17</v>
          </cell>
          <cell r="AE493">
            <v>177.8</v>
          </cell>
          <cell r="AF493">
            <v>9.19</v>
          </cell>
          <cell r="AG493">
            <v>2155</v>
          </cell>
          <cell r="AH493">
            <v>2755</v>
          </cell>
          <cell r="AI493">
            <v>2755</v>
          </cell>
          <cell r="AM493" t="str">
            <v>открытый</v>
          </cell>
          <cell r="AN493" t="str">
            <v>2155-2755</v>
          </cell>
          <cell r="AO493">
            <v>49.3</v>
          </cell>
          <cell r="AP493">
            <v>2155</v>
          </cell>
          <cell r="AQ493">
            <v>337.1</v>
          </cell>
          <cell r="AU493" t="str">
            <v>Газлифт</v>
          </cell>
          <cell r="AV493">
            <v>440</v>
          </cell>
          <cell r="AW493" t="str">
            <v>ГК 76 3/16</v>
          </cell>
          <cell r="AX493">
            <v>820</v>
          </cell>
          <cell r="AY493" t="str">
            <v>ГК 77 3/16</v>
          </cell>
          <cell r="AZ493">
            <v>1115</v>
          </cell>
          <cell r="BA493" t="str">
            <v>ГК 77 3/16</v>
          </cell>
          <cell r="BB493">
            <v>1360</v>
          </cell>
          <cell r="BC493" t="str">
            <v>ЦКсОК 5/16</v>
          </cell>
          <cell r="BD493" t="str">
            <v>-</v>
          </cell>
          <cell r="BE493" t="str">
            <v>-</v>
          </cell>
          <cell r="BF493" t="str">
            <v>-</v>
          </cell>
          <cell r="BG493" t="str">
            <v>-</v>
          </cell>
          <cell r="BH493">
            <v>1820</v>
          </cell>
          <cell r="BI493" t="str">
            <v>закрыт</v>
          </cell>
        </row>
        <row r="494">
          <cell r="J494">
            <v>1588</v>
          </cell>
          <cell r="K494" t="str">
            <v>К-1602</v>
          </cell>
          <cell r="L494">
            <v>44852</v>
          </cell>
          <cell r="M494" t="str">
            <v>Гор.</v>
          </cell>
          <cell r="N494" t="str">
            <v>Р4+5_Block3</v>
          </cell>
          <cell r="O494" t="str">
            <v>Действующий</v>
          </cell>
          <cell r="P494" t="str">
            <v>В работе</v>
          </cell>
          <cell r="Q494">
            <v>-4</v>
          </cell>
          <cell r="U494">
            <v>203</v>
          </cell>
          <cell r="V494">
            <v>218.2</v>
          </cell>
          <cell r="W494">
            <v>0.98</v>
          </cell>
          <cell r="X494">
            <v>1.66</v>
          </cell>
          <cell r="Y494">
            <v>0.98</v>
          </cell>
          <cell r="Z494">
            <v>1.454</v>
          </cell>
          <cell r="AA494">
            <v>0.83599999999999997</v>
          </cell>
          <cell r="AB494">
            <v>0.72</v>
          </cell>
          <cell r="AC494">
            <v>34.299999999999997</v>
          </cell>
          <cell r="AD494">
            <v>1.17</v>
          </cell>
          <cell r="AE494">
            <v>177.8</v>
          </cell>
          <cell r="AF494">
            <v>9.19</v>
          </cell>
          <cell r="AH494">
            <v>2425.6999999999998</v>
          </cell>
          <cell r="AI494">
            <v>3250</v>
          </cell>
          <cell r="AM494" t="str">
            <v>открытый</v>
          </cell>
          <cell r="AN494" t="str">
            <v>2425,7-3250</v>
          </cell>
          <cell r="AU494" t="str">
            <v>Газлифт</v>
          </cell>
          <cell r="AV494">
            <v>437.00000507800002</v>
          </cell>
          <cell r="AW494" t="str">
            <v>ГП</v>
          </cell>
          <cell r="AX494">
            <v>895.00003066399995</v>
          </cell>
          <cell r="AY494" t="str">
            <v>ГП</v>
          </cell>
          <cell r="AZ494">
            <v>1301.9999320310001</v>
          </cell>
          <cell r="BA494" t="str">
            <v>ГП</v>
          </cell>
          <cell r="BB494">
            <v>1646.000069531</v>
          </cell>
          <cell r="BC494" t="str">
            <v>ГК 66 5/32</v>
          </cell>
          <cell r="BD494">
            <v>1923.0000175780001</v>
          </cell>
          <cell r="BE494" t="str">
            <v>ГК 66 5/32</v>
          </cell>
          <cell r="BF494">
            <v>2190</v>
          </cell>
          <cell r="BG494" t="str">
            <v>ЦКсОК 5/16</v>
          </cell>
          <cell r="BH494" t="str">
            <v>-</v>
          </cell>
          <cell r="BI494" t="str">
            <v>-</v>
          </cell>
        </row>
        <row r="495">
          <cell r="J495">
            <v>1589</v>
          </cell>
          <cell r="K495" t="str">
            <v>К-127</v>
          </cell>
          <cell r="L495">
            <v>43723</v>
          </cell>
          <cell r="M495" t="str">
            <v>Гор.</v>
          </cell>
          <cell r="N495" t="str">
            <v>Р4+5+6_Block2</v>
          </cell>
          <cell r="O495" t="str">
            <v>Действующий</v>
          </cell>
          <cell r="P495" t="str">
            <v>В работе</v>
          </cell>
          <cell r="Q495">
            <v>-4</v>
          </cell>
          <cell r="U495">
            <v>203</v>
          </cell>
          <cell r="V495">
            <v>218.2</v>
          </cell>
          <cell r="W495">
            <v>0.98</v>
          </cell>
          <cell r="X495">
            <v>1.66</v>
          </cell>
          <cell r="Y495">
            <v>0.98</v>
          </cell>
          <cell r="Z495">
            <v>1.454</v>
          </cell>
          <cell r="AA495">
            <v>0.83599999999999997</v>
          </cell>
          <cell r="AB495">
            <v>0.72</v>
          </cell>
          <cell r="AC495">
            <v>34.299999999999997</v>
          </cell>
          <cell r="AD495">
            <v>1.17</v>
          </cell>
          <cell r="AE495">
            <v>177.8</v>
          </cell>
          <cell r="AF495">
            <v>9.19</v>
          </cell>
          <cell r="AG495">
            <v>2412</v>
          </cell>
          <cell r="AH495">
            <v>2955</v>
          </cell>
          <cell r="AI495">
            <v>2955</v>
          </cell>
          <cell r="AM495" t="str">
            <v>открытый</v>
          </cell>
          <cell r="AN495" t="str">
            <v>2412-2955</v>
          </cell>
          <cell r="AO495">
            <v>8</v>
          </cell>
          <cell r="AP495">
            <v>2412</v>
          </cell>
          <cell r="AQ495">
            <v>1023</v>
          </cell>
          <cell r="AU495" t="str">
            <v>Газлифт</v>
          </cell>
          <cell r="AV495">
            <v>460.00001513699999</v>
          </cell>
          <cell r="AW495" t="str">
            <v>ГП</v>
          </cell>
          <cell r="AX495">
            <v>940.00000019499998</v>
          </cell>
          <cell r="AY495" t="str">
            <v>ГК 79 1/8</v>
          </cell>
          <cell r="AZ495">
            <v>1390.000067578</v>
          </cell>
          <cell r="BA495" t="str">
            <v>ГК 80 1/8</v>
          </cell>
          <cell r="BB495">
            <v>1699.9999734380001</v>
          </cell>
          <cell r="BC495" t="str">
            <v>ГК 79 1/8</v>
          </cell>
          <cell r="BD495">
            <v>1999.9999687500001</v>
          </cell>
          <cell r="BE495" t="str">
            <v>ЦКсОК 5/16</v>
          </cell>
          <cell r="BF495" t="str">
            <v>-</v>
          </cell>
          <cell r="BG495" t="str">
            <v>-</v>
          </cell>
          <cell r="BH495">
            <v>2010</v>
          </cell>
          <cell r="BI495" t="str">
            <v>Закрыт</v>
          </cell>
        </row>
        <row r="496">
          <cell r="J496">
            <v>1590</v>
          </cell>
          <cell r="K496" t="str">
            <v>К-1565</v>
          </cell>
          <cell r="L496">
            <v>44060</v>
          </cell>
          <cell r="M496" t="str">
            <v>Гор.</v>
          </cell>
          <cell r="N496" t="str">
            <v>Р4+5_Block3</v>
          </cell>
          <cell r="O496" t="str">
            <v>Действующий</v>
          </cell>
          <cell r="P496" t="str">
            <v>В работе</v>
          </cell>
          <cell r="Q496">
            <v>-4</v>
          </cell>
          <cell r="U496">
            <v>203</v>
          </cell>
          <cell r="V496">
            <v>218.2</v>
          </cell>
          <cell r="W496">
            <v>0.98</v>
          </cell>
          <cell r="X496">
            <v>1.66</v>
          </cell>
          <cell r="Y496">
            <v>0.99219321785801406</v>
          </cell>
          <cell r="Z496">
            <v>1.454</v>
          </cell>
          <cell r="AA496">
            <v>0.83599999999999997</v>
          </cell>
          <cell r="AB496">
            <v>0.72</v>
          </cell>
          <cell r="AC496">
            <v>34.299999999999997</v>
          </cell>
          <cell r="AD496">
            <v>1.17</v>
          </cell>
          <cell r="AE496">
            <v>177.8</v>
          </cell>
          <cell r="AF496">
            <v>9.19</v>
          </cell>
          <cell r="AG496">
            <v>2251</v>
          </cell>
          <cell r="AH496">
            <v>2840</v>
          </cell>
          <cell r="AI496">
            <v>2840</v>
          </cell>
          <cell r="AM496" t="str">
            <v>открытый</v>
          </cell>
          <cell r="AN496" t="str">
            <v>2251-2840</v>
          </cell>
          <cell r="AO496">
            <v>27.21</v>
          </cell>
          <cell r="AP496">
            <v>2251</v>
          </cell>
          <cell r="AQ496">
            <v>533.36</v>
          </cell>
          <cell r="AU496" t="str">
            <v>Газлифт</v>
          </cell>
          <cell r="AV496">
            <v>513.99999345699996</v>
          </cell>
          <cell r="AW496" t="str">
            <v>ГК 84 1/8</v>
          </cell>
          <cell r="AX496">
            <v>996.999981445</v>
          </cell>
          <cell r="AY496" t="str">
            <v>ГК 83 1/8</v>
          </cell>
          <cell r="AZ496">
            <v>1411.000013672</v>
          </cell>
          <cell r="BA496" t="str">
            <v>ГК 82 1/8</v>
          </cell>
          <cell r="BB496">
            <v>1692.9999914059999</v>
          </cell>
          <cell r="BC496" t="str">
            <v>ГК 82 1/8</v>
          </cell>
          <cell r="BD496">
            <v>1830.0000011720001</v>
          </cell>
          <cell r="BE496" t="str">
            <v>ЦКсОК 5/16</v>
          </cell>
          <cell r="BF496" t="str">
            <v>-</v>
          </cell>
          <cell r="BG496" t="str">
            <v>-</v>
          </cell>
          <cell r="BH496">
            <v>1840</v>
          </cell>
          <cell r="BI496" t="str">
            <v>Закрыт</v>
          </cell>
        </row>
        <row r="497">
          <cell r="J497">
            <v>1591</v>
          </cell>
          <cell r="K497" t="str">
            <v>К-1410</v>
          </cell>
          <cell r="L497">
            <v>44139</v>
          </cell>
          <cell r="M497" t="str">
            <v>Гор.</v>
          </cell>
          <cell r="N497" t="str">
            <v>P4+5+6_Block1_yug</v>
          </cell>
          <cell r="O497" t="str">
            <v>В бездействии прошлых лет</v>
          </cell>
          <cell r="P497" t="str">
            <v>Остановлена</v>
          </cell>
          <cell r="Q497">
            <v>-4</v>
          </cell>
          <cell r="U497">
            <v>203</v>
          </cell>
          <cell r="V497">
            <v>218.2</v>
          </cell>
          <cell r="W497">
            <v>0.98</v>
          </cell>
          <cell r="X497">
            <v>1.66</v>
          </cell>
          <cell r="Y497">
            <v>0.98</v>
          </cell>
          <cell r="Z497">
            <v>1.454</v>
          </cell>
          <cell r="AA497">
            <v>0.83599999999999997</v>
          </cell>
          <cell r="AB497">
            <v>0.72</v>
          </cell>
          <cell r="AC497">
            <v>34.299999999999997</v>
          </cell>
          <cell r="AD497">
            <v>1.17</v>
          </cell>
          <cell r="AE497">
            <v>177.8</v>
          </cell>
          <cell r="AF497">
            <v>9.19</v>
          </cell>
          <cell r="AG497">
            <v>2061</v>
          </cell>
          <cell r="AH497">
            <v>2474</v>
          </cell>
          <cell r="AI497">
            <v>2474</v>
          </cell>
          <cell r="AM497" t="str">
            <v>открытый</v>
          </cell>
          <cell r="AN497" t="str">
            <v>2061-2474</v>
          </cell>
          <cell r="AO497">
            <v>255</v>
          </cell>
          <cell r="AP497">
            <v>2061</v>
          </cell>
          <cell r="AQ497">
            <v>255</v>
          </cell>
          <cell r="AU497" t="str">
            <v>ЭЦН</v>
          </cell>
          <cell r="AV497">
            <v>300</v>
          </cell>
          <cell r="AW497" t="str">
            <v>ГП</v>
          </cell>
          <cell r="AX497" t="str">
            <v>-</v>
          </cell>
          <cell r="AY497" t="str">
            <v>-</v>
          </cell>
          <cell r="AZ497" t="str">
            <v>-</v>
          </cell>
          <cell r="BA497" t="str">
            <v>-</v>
          </cell>
          <cell r="BB497" t="str">
            <v>-</v>
          </cell>
          <cell r="BC497" t="str">
            <v>-</v>
          </cell>
          <cell r="BD497" t="str">
            <v>-</v>
          </cell>
          <cell r="BE497" t="str">
            <v>-</v>
          </cell>
          <cell r="BF497" t="str">
            <v>-</v>
          </cell>
          <cell r="BG497" t="str">
            <v>-</v>
          </cell>
          <cell r="BH497">
            <v>1740</v>
          </cell>
          <cell r="BI497" t="str">
            <v>-</v>
          </cell>
          <cell r="BK497" t="str">
            <v>D1150N</v>
          </cell>
          <cell r="BM497">
            <v>1297</v>
          </cell>
          <cell r="BN497">
            <v>46</v>
          </cell>
          <cell r="BO497">
            <v>90</v>
          </cell>
        </row>
        <row r="498">
          <cell r="J498">
            <v>1596</v>
          </cell>
          <cell r="K498" t="str">
            <v>К-1610</v>
          </cell>
          <cell r="L498">
            <v>44183</v>
          </cell>
          <cell r="M498" t="str">
            <v>Гор.</v>
          </cell>
          <cell r="N498" t="str">
            <v>Р4+5_Block3</v>
          </cell>
          <cell r="O498" t="str">
            <v>Действующий</v>
          </cell>
          <cell r="P498" t="str">
            <v>Остановлена</v>
          </cell>
          <cell r="Q498">
            <v>-4</v>
          </cell>
          <cell r="U498">
            <v>203</v>
          </cell>
          <cell r="V498">
            <v>218.2</v>
          </cell>
          <cell r="W498">
            <v>0.98</v>
          </cell>
          <cell r="X498">
            <v>1.66</v>
          </cell>
          <cell r="Y498">
            <v>0.98</v>
          </cell>
          <cell r="Z498">
            <v>1.454</v>
          </cell>
          <cell r="AA498">
            <v>0.83599999999999997</v>
          </cell>
          <cell r="AB498">
            <v>0.72</v>
          </cell>
          <cell r="AC498">
            <v>34.299999999999997</v>
          </cell>
          <cell r="AD498">
            <v>1.17</v>
          </cell>
          <cell r="AE498">
            <v>177.8</v>
          </cell>
          <cell r="AF498">
            <v>9.19</v>
          </cell>
          <cell r="AG498">
            <v>2041</v>
          </cell>
          <cell r="AH498">
            <v>2868</v>
          </cell>
          <cell r="AI498">
            <v>2868</v>
          </cell>
          <cell r="AM498" t="str">
            <v>открытый</v>
          </cell>
          <cell r="AN498" t="str">
            <v>2041-2868</v>
          </cell>
          <cell r="AP498">
            <v>2041</v>
          </cell>
          <cell r="AU498" t="str">
            <v>Фон.</v>
          </cell>
          <cell r="AV498">
            <v>490</v>
          </cell>
          <cell r="AW498" t="str">
            <v>ГП</v>
          </cell>
          <cell r="AX498">
            <v>930</v>
          </cell>
          <cell r="AY498" t="str">
            <v>ГП</v>
          </cell>
          <cell r="AZ498">
            <v>1300</v>
          </cell>
          <cell r="BA498" t="str">
            <v>ГК85 1/8</v>
          </cell>
          <cell r="BB498">
            <v>1510</v>
          </cell>
          <cell r="BC498" t="str">
            <v>ГК84 5/32</v>
          </cell>
          <cell r="BD498">
            <v>1780</v>
          </cell>
          <cell r="BE498" t="str">
            <v>ЦКсОК 5/16</v>
          </cell>
          <cell r="BF498" t="str">
            <v>-</v>
          </cell>
          <cell r="BG498" t="str">
            <v>-</v>
          </cell>
          <cell r="BH498" t="str">
            <v>-</v>
          </cell>
          <cell r="BI498" t="str">
            <v>-</v>
          </cell>
        </row>
        <row r="499">
          <cell r="J499">
            <v>1597</v>
          </cell>
          <cell r="K499" t="str">
            <v>К-127</v>
          </cell>
          <cell r="L499">
            <v>43764</v>
          </cell>
          <cell r="M499" t="str">
            <v>Гор.</v>
          </cell>
          <cell r="N499" t="str">
            <v>Р4+5+6_Block2</v>
          </cell>
          <cell r="O499" t="str">
            <v>Действующий</v>
          </cell>
          <cell r="P499" t="str">
            <v>В работе</v>
          </cell>
          <cell r="Q499">
            <v>-4</v>
          </cell>
          <cell r="S499" t="str">
            <v xml:space="preserve"> </v>
          </cell>
          <cell r="U499">
            <v>203</v>
          </cell>
          <cell r="V499">
            <v>218.2</v>
          </cell>
          <cell r="W499">
            <v>0.98</v>
          </cell>
          <cell r="X499">
            <v>1.66</v>
          </cell>
          <cell r="Y499">
            <v>0.98</v>
          </cell>
          <cell r="Z499">
            <v>1.454</v>
          </cell>
          <cell r="AA499">
            <v>0.83599999999999997</v>
          </cell>
          <cell r="AB499">
            <v>0.72</v>
          </cell>
          <cell r="AC499">
            <v>34.299999999999997</v>
          </cell>
          <cell r="AD499">
            <v>1.17</v>
          </cell>
          <cell r="AE499">
            <v>177.8</v>
          </cell>
          <cell r="AF499">
            <v>9.19</v>
          </cell>
          <cell r="AG499">
            <v>2067</v>
          </cell>
          <cell r="AH499">
            <v>2584</v>
          </cell>
          <cell r="AI499">
            <v>2584</v>
          </cell>
          <cell r="AM499" t="str">
            <v>открытый</v>
          </cell>
          <cell r="AN499" t="str">
            <v>2067-2584</v>
          </cell>
          <cell r="AO499">
            <v>79.87</v>
          </cell>
          <cell r="AP499">
            <v>2067</v>
          </cell>
          <cell r="AQ499">
            <v>191</v>
          </cell>
          <cell r="AU499" t="str">
            <v>Газлифт</v>
          </cell>
          <cell r="AV499">
            <v>440</v>
          </cell>
          <cell r="AW499" t="str">
            <v>ГП</v>
          </cell>
          <cell r="AX499">
            <v>820</v>
          </cell>
          <cell r="AY499" t="str">
            <v>ГК 78/3</v>
          </cell>
          <cell r="AZ499">
            <v>1114.6699710939999</v>
          </cell>
          <cell r="BA499" t="str">
            <v>ГК 78 1/8</v>
          </cell>
          <cell r="BB499">
            <v>1360</v>
          </cell>
          <cell r="BC499" t="str">
            <v>ГК 77 5/32</v>
          </cell>
          <cell r="BD499">
            <v>1580</v>
          </cell>
          <cell r="BE499" t="str">
            <v>ГК 76/3</v>
          </cell>
          <cell r="BF499">
            <v>1850</v>
          </cell>
          <cell r="BG499" t="str">
            <v>ЦКсОК 5/16</v>
          </cell>
          <cell r="BH499">
            <v>1860</v>
          </cell>
          <cell r="BI499" t="str">
            <v>закрыт</v>
          </cell>
        </row>
        <row r="500">
          <cell r="J500">
            <v>1598</v>
          </cell>
          <cell r="K500" t="str">
            <v>К-1420</v>
          </cell>
          <cell r="L500">
            <v>44134</v>
          </cell>
          <cell r="M500" t="str">
            <v>Гор.</v>
          </cell>
          <cell r="N500" t="str">
            <v>Р4+5_Block3</v>
          </cell>
          <cell r="O500" t="str">
            <v>Действующий</v>
          </cell>
          <cell r="P500" t="str">
            <v>В работе</v>
          </cell>
          <cell r="Q500">
            <v>-4</v>
          </cell>
          <cell r="U500">
            <v>203</v>
          </cell>
          <cell r="V500">
            <v>218.2</v>
          </cell>
          <cell r="W500">
            <v>0.98</v>
          </cell>
          <cell r="X500">
            <v>1.66</v>
          </cell>
          <cell r="Y500">
            <v>0.98</v>
          </cell>
          <cell r="Z500">
            <v>1.454</v>
          </cell>
          <cell r="AA500">
            <v>0.83599999999999997</v>
          </cell>
          <cell r="AB500">
            <v>0.72</v>
          </cell>
          <cell r="AC500">
            <v>34.299999999999997</v>
          </cell>
          <cell r="AD500">
            <v>1.17</v>
          </cell>
          <cell r="AE500">
            <v>177.8</v>
          </cell>
          <cell r="AF500">
            <v>9.19</v>
          </cell>
          <cell r="AG500">
            <v>2043.88</v>
          </cell>
          <cell r="AH500">
            <v>3128</v>
          </cell>
          <cell r="AI500">
            <v>3128</v>
          </cell>
          <cell r="AJ500">
            <v>44053</v>
          </cell>
          <cell r="AM500" t="str">
            <v>открытый</v>
          </cell>
          <cell r="AN500" t="str">
            <v>2447-3128</v>
          </cell>
          <cell r="AO500">
            <v>100</v>
          </cell>
          <cell r="AP500">
            <v>2447</v>
          </cell>
          <cell r="AQ500">
            <v>517</v>
          </cell>
          <cell r="AU500" t="str">
            <v>Газлифт</v>
          </cell>
          <cell r="AV500">
            <v>557.00001064499997</v>
          </cell>
          <cell r="AW500" t="str">
            <v>ГП</v>
          </cell>
          <cell r="AX500">
            <v>1059.9999685549999</v>
          </cell>
          <cell r="AY500" t="str">
            <v>ГК 83 1/8</v>
          </cell>
          <cell r="AZ500">
            <v>1435.000037109</v>
          </cell>
          <cell r="BA500" t="str">
            <v>ГК 83 1/8</v>
          </cell>
          <cell r="BB500">
            <v>1711.9999851560001</v>
          </cell>
          <cell r="BC500" t="str">
            <v>ГК 82 5/32</v>
          </cell>
          <cell r="BD500">
            <v>1931.9999519529999</v>
          </cell>
          <cell r="BE500" t="str">
            <v>ЦКсОК 5/16</v>
          </cell>
          <cell r="BF500" t="str">
            <v>-</v>
          </cell>
          <cell r="BG500" t="str">
            <v>-</v>
          </cell>
          <cell r="BH500" t="str">
            <v>-</v>
          </cell>
          <cell r="BI500" t="str">
            <v>-</v>
          </cell>
        </row>
        <row r="501">
          <cell r="J501">
            <v>1599</v>
          </cell>
          <cell r="K501" t="str">
            <v>К-1599</v>
          </cell>
          <cell r="L501">
            <v>43450</v>
          </cell>
          <cell r="M501" t="str">
            <v>Гор.</v>
          </cell>
          <cell r="N501" t="str">
            <v>Р4+5_Block3</v>
          </cell>
          <cell r="O501" t="str">
            <v>Действующий</v>
          </cell>
          <cell r="P501" t="str">
            <v>В работе</v>
          </cell>
          <cell r="Q501">
            <v>-4</v>
          </cell>
          <cell r="U501">
            <v>203</v>
          </cell>
          <cell r="V501">
            <v>218.2</v>
          </cell>
          <cell r="W501">
            <v>0.98</v>
          </cell>
          <cell r="X501">
            <v>1.66</v>
          </cell>
          <cell r="Y501">
            <v>1.0175131348511381</v>
          </cell>
          <cell r="Z501">
            <v>1.454</v>
          </cell>
          <cell r="AA501">
            <v>0.83599999999999997</v>
          </cell>
          <cell r="AB501">
            <v>0.72</v>
          </cell>
          <cell r="AC501">
            <v>34.299999999999997</v>
          </cell>
          <cell r="AD501">
            <v>1.17</v>
          </cell>
          <cell r="AE501">
            <v>177.8</v>
          </cell>
          <cell r="AF501">
            <v>9.19</v>
          </cell>
          <cell r="AG501">
            <v>2319</v>
          </cell>
          <cell r="AH501">
            <v>2907</v>
          </cell>
          <cell r="AI501">
            <v>2907</v>
          </cell>
          <cell r="AM501" t="str">
            <v>открытый</v>
          </cell>
          <cell r="AN501" t="str">
            <v>2319-2907</v>
          </cell>
          <cell r="AO501">
            <v>57.75</v>
          </cell>
          <cell r="AP501">
            <v>2319</v>
          </cell>
          <cell r="AQ501">
            <v>436.8</v>
          </cell>
          <cell r="AU501" t="str">
            <v>Газлифт</v>
          </cell>
          <cell r="AV501">
            <v>542.00003320300004</v>
          </cell>
          <cell r="AW501" t="str">
            <v>ГП</v>
          </cell>
          <cell r="AX501">
            <v>1096.0000037110001</v>
          </cell>
          <cell r="AY501" t="str">
            <v>ГП</v>
          </cell>
          <cell r="AZ501">
            <v>1510.0000359380001</v>
          </cell>
          <cell r="BA501" t="str">
            <v>ГП</v>
          </cell>
          <cell r="BB501">
            <v>1769.9999425779999</v>
          </cell>
          <cell r="BC501" t="str">
            <v>ГК 89 5/32</v>
          </cell>
          <cell r="BD501">
            <v>2069.9999378910002</v>
          </cell>
          <cell r="BE501" t="str">
            <v>ЦКсОК 5/16</v>
          </cell>
          <cell r="BF501" t="str">
            <v>-</v>
          </cell>
          <cell r="BG501" t="str">
            <v>-</v>
          </cell>
          <cell r="BH501" t="str">
            <v>-</v>
          </cell>
          <cell r="BI501" t="str">
            <v>-</v>
          </cell>
        </row>
        <row r="502">
          <cell r="J502">
            <v>1600</v>
          </cell>
          <cell r="K502" t="str">
            <v>К-97</v>
          </cell>
          <cell r="L502">
            <v>43750</v>
          </cell>
          <cell r="M502" t="str">
            <v>Гор.</v>
          </cell>
          <cell r="N502" t="str">
            <v>P4+5+6_Block1_yug</v>
          </cell>
          <cell r="O502" t="str">
            <v>В бездействии текущего года</v>
          </cell>
          <cell r="P502" t="str">
            <v>Остановлена</v>
          </cell>
          <cell r="Q502">
            <v>-4</v>
          </cell>
          <cell r="U502">
            <v>203</v>
          </cell>
          <cell r="V502">
            <v>218.2</v>
          </cell>
          <cell r="W502">
            <v>0.98</v>
          </cell>
          <cell r="X502">
            <v>1.66</v>
          </cell>
          <cell r="Y502">
            <v>0.98</v>
          </cell>
          <cell r="Z502">
            <v>1.454</v>
          </cell>
          <cell r="AA502">
            <v>0.83599999999999997</v>
          </cell>
          <cell r="AB502">
            <v>0.72</v>
          </cell>
          <cell r="AC502">
            <v>34.299999999999997</v>
          </cell>
          <cell r="AD502">
            <v>1.17</v>
          </cell>
          <cell r="AE502">
            <v>177.8</v>
          </cell>
          <cell r="AF502">
            <v>9.19</v>
          </cell>
          <cell r="AG502">
            <v>2932</v>
          </cell>
          <cell r="AH502">
            <v>2864</v>
          </cell>
          <cell r="AI502">
            <v>2864</v>
          </cell>
          <cell r="AM502" t="str">
            <v>открытый</v>
          </cell>
          <cell r="AN502" t="str">
            <v>2392-2864</v>
          </cell>
          <cell r="AO502">
            <v>25</v>
          </cell>
          <cell r="AP502">
            <v>2392</v>
          </cell>
          <cell r="AQ502">
            <v>516</v>
          </cell>
          <cell r="AU502" t="str">
            <v>Газлифт</v>
          </cell>
          <cell r="AV502">
            <v>480</v>
          </cell>
          <cell r="AW502" t="str">
            <v>ГП</v>
          </cell>
          <cell r="AX502">
            <v>920</v>
          </cell>
          <cell r="AY502" t="str">
            <v>ГП</v>
          </cell>
          <cell r="AZ502">
            <v>1300</v>
          </cell>
          <cell r="BA502" t="str">
            <v>ГП</v>
          </cell>
          <cell r="BB502">
            <v>1630</v>
          </cell>
          <cell r="BC502" t="str">
            <v>ГК 78 5/32</v>
          </cell>
          <cell r="BD502">
            <v>1930</v>
          </cell>
          <cell r="BE502" t="str">
            <v>ЦКсОК</v>
          </cell>
          <cell r="BF502" t="str">
            <v>-</v>
          </cell>
          <cell r="BG502" t="str">
            <v>-</v>
          </cell>
          <cell r="BH502">
            <v>1940</v>
          </cell>
          <cell r="BI502" t="str">
            <v>закрыт</v>
          </cell>
        </row>
        <row r="503">
          <cell r="J503">
            <v>1601</v>
          </cell>
          <cell r="K503" t="str">
            <v>К-1601</v>
          </cell>
          <cell r="L503">
            <v>43859</v>
          </cell>
          <cell r="M503" t="str">
            <v>Гор.</v>
          </cell>
          <cell r="N503" t="str">
            <v>P4+5+6_Block1_yug</v>
          </cell>
          <cell r="O503" t="str">
            <v>Действующий</v>
          </cell>
          <cell r="P503" t="str">
            <v>В работе</v>
          </cell>
          <cell r="Q503">
            <v>-4</v>
          </cell>
          <cell r="U503">
            <v>203</v>
          </cell>
          <cell r="V503">
            <v>218.2</v>
          </cell>
          <cell r="W503">
            <v>0.98</v>
          </cell>
          <cell r="X503">
            <v>1.66</v>
          </cell>
          <cell r="Y503">
            <v>0.98</v>
          </cell>
          <cell r="Z503">
            <v>1.454</v>
          </cell>
          <cell r="AA503">
            <v>0.83599999999999997</v>
          </cell>
          <cell r="AB503">
            <v>0.72</v>
          </cell>
          <cell r="AC503">
            <v>34.299999999999997</v>
          </cell>
          <cell r="AD503">
            <v>1.17</v>
          </cell>
          <cell r="AE503">
            <v>177.8</v>
          </cell>
          <cell r="AF503">
            <v>9.19</v>
          </cell>
          <cell r="AG503">
            <v>2932</v>
          </cell>
          <cell r="AH503">
            <v>2864</v>
          </cell>
          <cell r="AI503">
            <v>2864</v>
          </cell>
          <cell r="AM503" t="str">
            <v>Закрытый</v>
          </cell>
          <cell r="AN503" t="str">
            <v>2145,38-2146,58; 2276,07-2277,27; 2370,75-2371,95; 2478,2-2479,4; 2608,73-2609,93</v>
          </cell>
          <cell r="AO503">
            <v>18</v>
          </cell>
          <cell r="AP503">
            <v>2145.38</v>
          </cell>
          <cell r="AQ503">
            <v>319</v>
          </cell>
          <cell r="AU503" t="str">
            <v>Газлифт</v>
          </cell>
          <cell r="AV503">
            <v>524.99999179700001</v>
          </cell>
          <cell r="AW503" t="str">
            <v>ГК 78 1/8</v>
          </cell>
          <cell r="AX503">
            <v>983.000017383</v>
          </cell>
          <cell r="AY503" t="str">
            <v>ГК 79 5/32</v>
          </cell>
          <cell r="AZ503">
            <v>1368.999972656</v>
          </cell>
          <cell r="BA503" t="str">
            <v>ГК 80 5/32</v>
          </cell>
          <cell r="BB503">
            <v>1731.9999550780001</v>
          </cell>
          <cell r="BC503" t="str">
            <v>ГК 80 5/32</v>
          </cell>
          <cell r="BD503">
            <v>1849.9999710940001</v>
          </cell>
          <cell r="BE503" t="str">
            <v>ГК 80 5/32</v>
          </cell>
          <cell r="BF503" t="str">
            <v>-</v>
          </cell>
          <cell r="BG503" t="str">
            <v>-</v>
          </cell>
          <cell r="BH503" t="str">
            <v>-</v>
          </cell>
          <cell r="BI503" t="str">
            <v>-</v>
          </cell>
        </row>
        <row r="504">
          <cell r="J504">
            <v>1602</v>
          </cell>
          <cell r="K504" t="str">
            <v>К-0</v>
          </cell>
          <cell r="L504">
            <v>44232</v>
          </cell>
          <cell r="M504" t="str">
            <v>Гор.</v>
          </cell>
          <cell r="N504" t="str">
            <v>Р4+5+6_Block2</v>
          </cell>
          <cell r="O504" t="str">
            <v>Действующий</v>
          </cell>
          <cell r="P504" t="str">
            <v>Остановлена</v>
          </cell>
          <cell r="AD504">
            <v>1.17</v>
          </cell>
          <cell r="AE504">
            <v>177.8</v>
          </cell>
          <cell r="AF504" t="str">
            <v>9б2</v>
          </cell>
          <cell r="AG504">
            <v>2454</v>
          </cell>
          <cell r="AH504">
            <v>3372</v>
          </cell>
          <cell r="AI504">
            <v>3372</v>
          </cell>
          <cell r="AJ504" t="str">
            <v>28.10.222</v>
          </cell>
          <cell r="AK504" t="str">
            <v>По спущенной компановке</v>
          </cell>
          <cell r="AM504" t="str">
            <v>открытый</v>
          </cell>
          <cell r="AN504" t="str">
            <v>2455-3372</v>
          </cell>
          <cell r="AU504" t="str">
            <v>Газлифт</v>
          </cell>
          <cell r="AV504">
            <v>510.00001435500002</v>
          </cell>
          <cell r="AW504" t="str">
            <v>ГП</v>
          </cell>
          <cell r="AX504">
            <v>1030.000013672</v>
          </cell>
          <cell r="AY504" t="str">
            <v>ГП</v>
          </cell>
          <cell r="AZ504">
            <v>1449.9999773439999</v>
          </cell>
          <cell r="BA504" t="str">
            <v>ГП</v>
          </cell>
          <cell r="BB504">
            <v>1799.999971875</v>
          </cell>
          <cell r="BC504" t="str">
            <v>ГК 90 3/16</v>
          </cell>
          <cell r="BD504">
            <v>2090.0000566409999</v>
          </cell>
          <cell r="BE504" t="str">
            <v>ЦКсОК 5/16</v>
          </cell>
          <cell r="BF504" t="str">
            <v>-</v>
          </cell>
          <cell r="BG504" t="str">
            <v>-</v>
          </cell>
          <cell r="BH504" t="str">
            <v>-</v>
          </cell>
          <cell r="BI504" t="str">
            <v>-</v>
          </cell>
        </row>
        <row r="505">
          <cell r="J505">
            <v>1603</v>
          </cell>
          <cell r="K505" t="str">
            <v>К-124</v>
          </cell>
          <cell r="L505">
            <v>44401</v>
          </cell>
          <cell r="M505" t="str">
            <v>Гор.</v>
          </cell>
          <cell r="N505" t="str">
            <v>Р4+5+6_Block2</v>
          </cell>
          <cell r="O505" t="str">
            <v>Действующий</v>
          </cell>
          <cell r="P505" t="str">
            <v>В работе</v>
          </cell>
          <cell r="Q505">
            <v>-4</v>
          </cell>
          <cell r="U505">
            <v>203</v>
          </cell>
          <cell r="V505">
            <v>218.2</v>
          </cell>
          <cell r="W505">
            <v>0.98</v>
          </cell>
          <cell r="X505">
            <v>1.66</v>
          </cell>
          <cell r="Y505">
            <v>1.047955494744762</v>
          </cell>
          <cell r="Z505">
            <v>1.454</v>
          </cell>
          <cell r="AA505">
            <v>0.83599999999999997</v>
          </cell>
          <cell r="AB505">
            <v>0.72</v>
          </cell>
          <cell r="AC505">
            <v>34.299999999999997</v>
          </cell>
          <cell r="AD505">
            <v>1.17</v>
          </cell>
          <cell r="AE505">
            <v>177.8</v>
          </cell>
          <cell r="AF505">
            <v>9.1999999999999993</v>
          </cell>
          <cell r="AG505">
            <v>2377</v>
          </cell>
          <cell r="AH505">
            <v>3010</v>
          </cell>
          <cell r="AI505">
            <v>3010</v>
          </cell>
          <cell r="AJ505">
            <v>43984</v>
          </cell>
          <cell r="AM505" t="str">
            <v>Закрытый</v>
          </cell>
          <cell r="AN505" t="str">
            <v>2603,04-2603,89; 2702,4-2703,25; 2801,77-2802,62; 2910,81-2911,66; 2996,34-2997,44</v>
          </cell>
          <cell r="AO505">
            <v>132.49</v>
          </cell>
          <cell r="AP505">
            <v>2603.04</v>
          </cell>
          <cell r="AQ505">
            <v>631.79</v>
          </cell>
          <cell r="AR505" t="str">
            <v>2319,17-3010</v>
          </cell>
          <cell r="AS505">
            <v>114.3</v>
          </cell>
          <cell r="AT505">
            <v>7.4</v>
          </cell>
          <cell r="AU505" t="str">
            <v>Газлифт</v>
          </cell>
          <cell r="AV505">
            <v>538.00001689500004</v>
          </cell>
          <cell r="AW505" t="str">
            <v>ГК 82 1/8</v>
          </cell>
          <cell r="AX505">
            <v>1055.9999894529999</v>
          </cell>
          <cell r="AY505" t="str">
            <v>ГК 83 1/8</v>
          </cell>
          <cell r="AZ505">
            <v>1461.9999890629999</v>
          </cell>
          <cell r="BA505" t="str">
            <v>ГК 84 1/8</v>
          </cell>
          <cell r="BB505">
            <v>1774.999972266</v>
          </cell>
          <cell r="BC505" t="str">
            <v>ГК 84 1/8</v>
          </cell>
          <cell r="BD505">
            <v>1993.999962891</v>
          </cell>
          <cell r="BE505" t="str">
            <v>ГК 83 1/8</v>
          </cell>
          <cell r="BF505" t="str">
            <v>-</v>
          </cell>
          <cell r="BG505" t="str">
            <v>-</v>
          </cell>
          <cell r="BH505" t="str">
            <v>-</v>
          </cell>
          <cell r="BI505" t="str">
            <v>-</v>
          </cell>
        </row>
        <row r="506">
          <cell r="J506">
            <v>1604</v>
          </cell>
          <cell r="K506" t="str">
            <v>К-3409</v>
          </cell>
          <cell r="L506">
            <v>44206</v>
          </cell>
          <cell r="M506" t="str">
            <v>Гор.</v>
          </cell>
          <cell r="N506" t="str">
            <v>P4+5+6_Block1_sever</v>
          </cell>
          <cell r="O506" t="str">
            <v>Действующий</v>
          </cell>
          <cell r="P506" t="str">
            <v>В работе</v>
          </cell>
          <cell r="Q506">
            <v>-4</v>
          </cell>
          <cell r="U506">
            <v>203</v>
          </cell>
          <cell r="V506">
            <v>218.2</v>
          </cell>
          <cell r="W506">
            <v>0.98</v>
          </cell>
          <cell r="X506">
            <v>1.66</v>
          </cell>
          <cell r="Y506">
            <v>1.6151707704527398</v>
          </cell>
          <cell r="Z506">
            <v>1.454</v>
          </cell>
          <cell r="AA506">
            <v>0.83599999999999997</v>
          </cell>
          <cell r="AB506">
            <v>0.72</v>
          </cell>
          <cell r="AC506">
            <v>34.299999999999997</v>
          </cell>
          <cell r="AD506">
            <v>1.17</v>
          </cell>
          <cell r="AE506">
            <v>177.8</v>
          </cell>
          <cell r="AF506">
            <v>9.19</v>
          </cell>
          <cell r="AG506">
            <v>2074</v>
          </cell>
          <cell r="AH506">
            <v>2922</v>
          </cell>
          <cell r="AI506">
            <v>2922</v>
          </cell>
          <cell r="AJ506">
            <v>44380</v>
          </cell>
          <cell r="AK506" t="str">
            <v>По спущенной компановке</v>
          </cell>
          <cell r="AM506" t="str">
            <v>открытый</v>
          </cell>
          <cell r="AN506" t="str">
            <v>2074-2922</v>
          </cell>
          <cell r="AO506">
            <v>55.659999999999854</v>
          </cell>
          <cell r="AP506">
            <v>2074</v>
          </cell>
          <cell r="AQ506">
            <v>301.08999999999992</v>
          </cell>
          <cell r="AU506" t="str">
            <v>ЭЦН</v>
          </cell>
          <cell r="AV506">
            <v>360</v>
          </cell>
          <cell r="AW506" t="str">
            <v>ГП</v>
          </cell>
          <cell r="AX506">
            <v>770</v>
          </cell>
          <cell r="AY506" t="str">
            <v>ГП</v>
          </cell>
          <cell r="AZ506">
            <v>1060</v>
          </cell>
          <cell r="BA506" t="str">
            <v>ГП</v>
          </cell>
          <cell r="BB506">
            <v>1330</v>
          </cell>
          <cell r="BC506" t="str">
            <v>ГП</v>
          </cell>
          <cell r="BD506">
            <v>1590</v>
          </cell>
          <cell r="BE506" t="str">
            <v>ГП</v>
          </cell>
          <cell r="BF506" t="str">
            <v>-</v>
          </cell>
          <cell r="BG506" t="str">
            <v>-</v>
          </cell>
          <cell r="BH506" t="str">
            <v>-</v>
          </cell>
          <cell r="BI506" t="str">
            <v>-</v>
          </cell>
          <cell r="BK506" t="str">
            <v>D1050N</v>
          </cell>
          <cell r="BM506">
            <v>1338</v>
          </cell>
          <cell r="BN506">
            <v>47</v>
          </cell>
        </row>
        <row r="507">
          <cell r="J507">
            <v>1605</v>
          </cell>
          <cell r="K507" t="str">
            <v>К-1610</v>
          </cell>
          <cell r="L507">
            <v>44036</v>
          </cell>
          <cell r="M507" t="str">
            <v>Гор.</v>
          </cell>
          <cell r="N507" t="str">
            <v>Р4+5_Block3</v>
          </cell>
          <cell r="O507" t="str">
            <v>Действующий</v>
          </cell>
          <cell r="P507" t="str">
            <v>В работе</v>
          </cell>
          <cell r="Q507">
            <v>-4</v>
          </cell>
          <cell r="U507">
            <v>203</v>
          </cell>
          <cell r="V507">
            <v>218.2</v>
          </cell>
          <cell r="W507">
            <v>0.98</v>
          </cell>
          <cell r="X507">
            <v>1.66</v>
          </cell>
          <cell r="Y507">
            <v>0.98012044853704894</v>
          </cell>
          <cell r="Z507">
            <v>1.454</v>
          </cell>
          <cell r="AA507">
            <v>0.83599999999999997</v>
          </cell>
          <cell r="AB507">
            <v>0.72</v>
          </cell>
          <cell r="AC507">
            <v>34.299999999999997</v>
          </cell>
          <cell r="AD507">
            <v>1.17</v>
          </cell>
          <cell r="AE507">
            <v>177.8</v>
          </cell>
          <cell r="AF507">
            <v>9.19</v>
          </cell>
          <cell r="AG507">
            <v>2089</v>
          </cell>
          <cell r="AH507">
            <v>2846</v>
          </cell>
          <cell r="AI507">
            <v>2846</v>
          </cell>
          <cell r="AM507" t="str">
            <v>открытый</v>
          </cell>
          <cell r="AN507" t="str">
            <v>2089-2846</v>
          </cell>
          <cell r="AU507" t="str">
            <v>Газлифт</v>
          </cell>
          <cell r="AV507">
            <v>471.00001347699998</v>
          </cell>
          <cell r="AW507" t="str">
            <v>ГП</v>
          </cell>
          <cell r="AX507">
            <v>877.99998925800003</v>
          </cell>
          <cell r="AY507" t="str">
            <v>ГК 73 1/8</v>
          </cell>
          <cell r="AZ507">
            <v>1217.9999988279999</v>
          </cell>
          <cell r="BA507" t="str">
            <v>ГК 72 1/8</v>
          </cell>
          <cell r="BB507">
            <v>1486.0000124999999</v>
          </cell>
          <cell r="BC507" t="str">
            <v>ГК 71 1/8</v>
          </cell>
          <cell r="BD507">
            <v>1709.0000566409999</v>
          </cell>
          <cell r="BE507" t="str">
            <v>ГК 70 5/32</v>
          </cell>
          <cell r="BF507">
            <v>1860</v>
          </cell>
          <cell r="BG507" t="str">
            <v>ЦКсОК 5/16</v>
          </cell>
          <cell r="BH507" t="str">
            <v>-</v>
          </cell>
          <cell r="BI507" t="str">
            <v>-</v>
          </cell>
        </row>
        <row r="508">
          <cell r="J508">
            <v>1607</v>
          </cell>
          <cell r="K508" t="str">
            <v>К-3400</v>
          </cell>
          <cell r="L508">
            <v>44213</v>
          </cell>
          <cell r="M508" t="str">
            <v>Гор.</v>
          </cell>
          <cell r="N508" t="str">
            <v>P4+5+6_Block1_sever</v>
          </cell>
          <cell r="O508" t="str">
            <v>Действующий</v>
          </cell>
          <cell r="P508" t="str">
            <v>В работе</v>
          </cell>
          <cell r="Q508">
            <v>-4</v>
          </cell>
          <cell r="U508">
            <v>203</v>
          </cell>
          <cell r="V508">
            <v>218.2</v>
          </cell>
          <cell r="W508">
            <v>0.98</v>
          </cell>
          <cell r="X508">
            <v>1.66</v>
          </cell>
          <cell r="Y508">
            <v>1.1121137544435329</v>
          </cell>
          <cell r="Z508">
            <v>1.454</v>
          </cell>
          <cell r="AA508">
            <v>0.83599999999999997</v>
          </cell>
          <cell r="AB508">
            <v>0.72</v>
          </cell>
          <cell r="AC508">
            <v>34.299999999999997</v>
          </cell>
          <cell r="AD508">
            <v>1.17</v>
          </cell>
          <cell r="AE508">
            <v>177.8</v>
          </cell>
          <cell r="AF508">
            <v>9.19</v>
          </cell>
          <cell r="AG508">
            <v>2422.4499999999998</v>
          </cell>
          <cell r="AH508">
            <v>3078</v>
          </cell>
          <cell r="AI508">
            <v>3078</v>
          </cell>
          <cell r="AM508" t="str">
            <v>открытый</v>
          </cell>
          <cell r="AN508" t="str">
            <v>2422,45-3078</v>
          </cell>
          <cell r="AO508">
            <v>25.910000000000082</v>
          </cell>
          <cell r="AP508">
            <v>2422.4499999999998</v>
          </cell>
          <cell r="AQ508">
            <v>2107.0300000000002</v>
          </cell>
          <cell r="AU508" t="str">
            <v>Газлифт</v>
          </cell>
          <cell r="AV508">
            <v>460.00001513699999</v>
          </cell>
          <cell r="AW508" t="str">
            <v>ГП</v>
          </cell>
          <cell r="AX508">
            <v>880.00001601600002</v>
          </cell>
          <cell r="AY508" t="str">
            <v>ГП</v>
          </cell>
          <cell r="AZ508">
            <v>1249.9999804690001</v>
          </cell>
          <cell r="BA508" t="str">
            <v>ГК 79 1/8</v>
          </cell>
          <cell r="BB508">
            <v>1549.9999757810001</v>
          </cell>
          <cell r="BC508" t="str">
            <v>ГК 78 1/8</v>
          </cell>
          <cell r="BD508">
            <v>1810.0000312499999</v>
          </cell>
          <cell r="BE508" t="str">
            <v>ГК 78 1/8</v>
          </cell>
          <cell r="BF508">
            <v>2080</v>
          </cell>
          <cell r="BG508" t="str">
            <v>ЦКсОК 5/16</v>
          </cell>
          <cell r="BH508">
            <v>2090</v>
          </cell>
          <cell r="BI508" t="str">
            <v>закрыт</v>
          </cell>
        </row>
        <row r="509">
          <cell r="J509">
            <v>1609</v>
          </cell>
          <cell r="K509" t="str">
            <v>К-1609</v>
          </cell>
          <cell r="L509">
            <v>44402</v>
          </cell>
          <cell r="M509" t="str">
            <v>Гор.</v>
          </cell>
          <cell r="N509" t="str">
            <v>P4+5+6_Block1_sever</v>
          </cell>
          <cell r="O509" t="str">
            <v>Действующий</v>
          </cell>
          <cell r="P509" t="str">
            <v>В работе</v>
          </cell>
          <cell r="Q509">
            <v>-4</v>
          </cell>
          <cell r="U509">
            <v>203</v>
          </cell>
          <cell r="V509">
            <v>218.2</v>
          </cell>
          <cell r="W509">
            <v>0.98</v>
          </cell>
          <cell r="X509">
            <v>1.66</v>
          </cell>
          <cell r="Y509">
            <v>0.98451691616476544</v>
          </cell>
          <cell r="Z509">
            <v>1.454</v>
          </cell>
          <cell r="AA509">
            <v>0.83599999999999997</v>
          </cell>
          <cell r="AB509">
            <v>0.72</v>
          </cell>
          <cell r="AC509">
            <v>34.299999999999997</v>
          </cell>
          <cell r="AD509">
            <v>1.17</v>
          </cell>
          <cell r="AE509">
            <v>177.8</v>
          </cell>
          <cell r="AF509">
            <v>9.1999999999999993</v>
          </cell>
          <cell r="AG509">
            <v>2055</v>
          </cell>
          <cell r="AH509">
            <v>2895</v>
          </cell>
          <cell r="AI509">
            <v>2895</v>
          </cell>
          <cell r="AJ509">
            <v>44096</v>
          </cell>
          <cell r="AM509" t="str">
            <v>открытый</v>
          </cell>
          <cell r="AN509" t="str">
            <v xml:space="preserve"> 2055-2895; 2270-2630</v>
          </cell>
          <cell r="AO509">
            <v>41.54</v>
          </cell>
          <cell r="AP509">
            <v>2065</v>
          </cell>
          <cell r="AQ509">
            <v>267.77999999999997</v>
          </cell>
          <cell r="AU509" t="str">
            <v>Фон.</v>
          </cell>
          <cell r="AV509">
            <v>390</v>
          </cell>
          <cell r="AW509" t="str">
            <v>ГП</v>
          </cell>
          <cell r="AX509">
            <v>810</v>
          </cell>
          <cell r="AY509" t="str">
            <v>ГП</v>
          </cell>
          <cell r="AZ509">
            <v>1230</v>
          </cell>
          <cell r="BA509" t="str">
            <v>ГК84 1/8</v>
          </cell>
          <cell r="BB509">
            <v>1520</v>
          </cell>
          <cell r="BC509" t="str">
            <v>ГК84 1/8</v>
          </cell>
          <cell r="BD509">
            <v>1890</v>
          </cell>
          <cell r="BE509" t="str">
            <v>ЦКсОК 5/16</v>
          </cell>
          <cell r="BF509" t="str">
            <v>-</v>
          </cell>
          <cell r="BG509" t="str">
            <v>-</v>
          </cell>
          <cell r="BH509" t="str">
            <v>-</v>
          </cell>
          <cell r="BI509" t="str">
            <v>-</v>
          </cell>
        </row>
        <row r="510">
          <cell r="J510" t="str">
            <v>1609-1</v>
          </cell>
          <cell r="K510" t="str">
            <v>К-1609</v>
          </cell>
          <cell r="L510">
            <v>44369</v>
          </cell>
          <cell r="M510" t="str">
            <v>Гор.</v>
          </cell>
          <cell r="N510" t="str">
            <v>P4+5+6_Block1_sever</v>
          </cell>
          <cell r="O510" t="str">
            <v>Действующий</v>
          </cell>
          <cell r="P510" t="str">
            <v>В работе</v>
          </cell>
          <cell r="Q510">
            <v>-4</v>
          </cell>
          <cell r="U510">
            <v>203</v>
          </cell>
          <cell r="V510">
            <v>218.2</v>
          </cell>
          <cell r="W510">
            <v>0.98</v>
          </cell>
          <cell r="X510">
            <v>1.66</v>
          </cell>
          <cell r="Y510">
            <v>1.2517697753154817</v>
          </cell>
          <cell r="Z510">
            <v>1.454</v>
          </cell>
          <cell r="AA510">
            <v>0.83599999999999997</v>
          </cell>
          <cell r="AB510">
            <v>0.72</v>
          </cell>
          <cell r="AC510">
            <v>34.299999999999997</v>
          </cell>
          <cell r="AD510">
            <v>1.17</v>
          </cell>
          <cell r="AE510">
            <v>177.8</v>
          </cell>
          <cell r="AF510">
            <v>9.1999999999999993</v>
          </cell>
          <cell r="AG510">
            <v>2347</v>
          </cell>
          <cell r="AH510">
            <v>3226</v>
          </cell>
          <cell r="AI510">
            <v>3226</v>
          </cell>
          <cell r="AJ510">
            <v>44228</v>
          </cell>
          <cell r="AK510" t="str">
            <v>По спущенной компановке</v>
          </cell>
          <cell r="AM510" t="str">
            <v>открытый</v>
          </cell>
          <cell r="AN510" t="str">
            <v>2347-3226; 2437-2657</v>
          </cell>
          <cell r="AO510">
            <v>33.383802281368844</v>
          </cell>
          <cell r="AP510">
            <v>2347</v>
          </cell>
          <cell r="AQ510">
            <v>544.69380228136879</v>
          </cell>
          <cell r="AU510" t="str">
            <v>ЭЦН</v>
          </cell>
          <cell r="AV510">
            <v>350</v>
          </cell>
          <cell r="AW510" t="str">
            <v>ГП</v>
          </cell>
          <cell r="AX510">
            <v>775</v>
          </cell>
          <cell r="AY510" t="str">
            <v>ГК 79 5/32</v>
          </cell>
          <cell r="AZ510">
            <v>1134</v>
          </cell>
          <cell r="BA510" t="str">
            <v>ГК 79 1/8</v>
          </cell>
          <cell r="BB510">
            <v>1436</v>
          </cell>
          <cell r="BC510" t="str">
            <v>ГК 79 1/8</v>
          </cell>
          <cell r="BD510">
            <v>1790</v>
          </cell>
          <cell r="BE510" t="str">
            <v>ГК 77 3/16</v>
          </cell>
          <cell r="BF510">
            <v>2100</v>
          </cell>
          <cell r="BG510" t="str">
            <v>ЦКсОК 5/16</v>
          </cell>
          <cell r="BH510" t="str">
            <v>-</v>
          </cell>
          <cell r="BI510" t="str">
            <v>-</v>
          </cell>
          <cell r="BK510" t="str">
            <v>D1150N</v>
          </cell>
          <cell r="BM510">
            <v>1296</v>
          </cell>
          <cell r="BN510">
            <v>61</v>
          </cell>
          <cell r="BO510">
            <v>100</v>
          </cell>
        </row>
        <row r="511">
          <cell r="J511" t="str">
            <v>1609-2</v>
          </cell>
          <cell r="K511" t="str">
            <v>К-1609</v>
          </cell>
          <cell r="L511">
            <v>44253</v>
          </cell>
          <cell r="M511" t="str">
            <v>Гор.</v>
          </cell>
          <cell r="N511" t="str">
            <v>P4+5+6_Block1_sever</v>
          </cell>
          <cell r="O511" t="str">
            <v>Действующий</v>
          </cell>
          <cell r="P511" t="str">
            <v>В работе</v>
          </cell>
          <cell r="Q511">
            <v>-4</v>
          </cell>
          <cell r="U511">
            <v>203</v>
          </cell>
          <cell r="V511">
            <v>218.2</v>
          </cell>
          <cell r="W511">
            <v>0.98</v>
          </cell>
          <cell r="X511">
            <v>1.66</v>
          </cell>
          <cell r="Y511">
            <v>1.4733265227755195</v>
          </cell>
          <cell r="Z511">
            <v>1.454</v>
          </cell>
          <cell r="AA511">
            <v>0.83599999999999997</v>
          </cell>
          <cell r="AB511">
            <v>0.72</v>
          </cell>
          <cell r="AC511">
            <v>34.299999999999997</v>
          </cell>
          <cell r="AD511">
            <v>1.17</v>
          </cell>
          <cell r="AE511">
            <v>177.8</v>
          </cell>
          <cell r="AF511">
            <v>9.1999999999999993</v>
          </cell>
          <cell r="AG511">
            <v>2452</v>
          </cell>
          <cell r="AH511">
            <v>3700</v>
          </cell>
          <cell r="AI511">
            <v>3700</v>
          </cell>
          <cell r="AJ511">
            <v>44262</v>
          </cell>
          <cell r="AK511" t="str">
            <v>По спущенной компановке</v>
          </cell>
          <cell r="AM511" t="str">
            <v>открытый</v>
          </cell>
          <cell r="AN511" t="str">
            <v>2452-3700; 2897-3620</v>
          </cell>
          <cell r="AO511">
            <v>7.1421881606763691</v>
          </cell>
          <cell r="AP511">
            <v>2452</v>
          </cell>
          <cell r="AQ511">
            <v>614.12781183932361</v>
          </cell>
          <cell r="AU511" t="str">
            <v>ЭЦН</v>
          </cell>
          <cell r="AV511">
            <v>303</v>
          </cell>
          <cell r="AW511" t="str">
            <v>ГП</v>
          </cell>
          <cell r="AX511">
            <v>760</v>
          </cell>
          <cell r="AY511" t="str">
            <v>ГП</v>
          </cell>
          <cell r="AZ511">
            <v>1124</v>
          </cell>
          <cell r="BA511" t="str">
            <v>ГП</v>
          </cell>
          <cell r="BB511">
            <v>1425</v>
          </cell>
          <cell r="BC511" t="str">
            <v>ГП</v>
          </cell>
          <cell r="BD511">
            <v>1768</v>
          </cell>
          <cell r="BE511" t="str">
            <v>ГП</v>
          </cell>
          <cell r="BF511">
            <v>2087</v>
          </cell>
          <cell r="BG511" t="str">
            <v>ЦКсОК 5/16</v>
          </cell>
          <cell r="BH511" t="str">
            <v>-</v>
          </cell>
          <cell r="BI511" t="str">
            <v>-</v>
          </cell>
          <cell r="BK511" t="str">
            <v>D1050N</v>
          </cell>
          <cell r="BM511">
            <v>1338</v>
          </cell>
          <cell r="BN511">
            <v>50</v>
          </cell>
          <cell r="BO511">
            <v>100</v>
          </cell>
        </row>
        <row r="512">
          <cell r="J512">
            <v>1610</v>
          </cell>
          <cell r="K512" t="str">
            <v>К-1610</v>
          </cell>
          <cell r="L512">
            <v>43654</v>
          </cell>
          <cell r="M512" t="str">
            <v>Гор.</v>
          </cell>
          <cell r="N512" t="str">
            <v>Р4+5_Block3</v>
          </cell>
          <cell r="O512" t="str">
            <v>Действующий</v>
          </cell>
          <cell r="P512" t="str">
            <v>Остановлена</v>
          </cell>
          <cell r="Q512">
            <v>-4</v>
          </cell>
          <cell r="U512">
            <v>203</v>
          </cell>
          <cell r="V512">
            <v>218.2</v>
          </cell>
          <cell r="W512">
            <v>0.98</v>
          </cell>
          <cell r="X512">
            <v>1.66</v>
          </cell>
          <cell r="Y512">
            <v>0.98801362375313995</v>
          </cell>
          <cell r="Z512">
            <v>1.454</v>
          </cell>
          <cell r="AA512">
            <v>0.83599999999999997</v>
          </cell>
          <cell r="AB512">
            <v>0.72</v>
          </cell>
          <cell r="AC512">
            <v>34.299999999999997</v>
          </cell>
          <cell r="AD512">
            <v>1.17</v>
          </cell>
          <cell r="AE512">
            <v>177.8</v>
          </cell>
          <cell r="AF512">
            <v>9.1999999999999993</v>
          </cell>
          <cell r="AG512">
            <v>2178.1</v>
          </cell>
          <cell r="AH512">
            <v>3078</v>
          </cell>
          <cell r="AI512">
            <v>3078</v>
          </cell>
          <cell r="AJ512">
            <v>44206</v>
          </cell>
          <cell r="AK512" t="str">
            <v>По спущенной компановке</v>
          </cell>
          <cell r="AM512" t="str">
            <v>открытый</v>
          </cell>
          <cell r="AN512" t="str">
            <v>2178,1-3078</v>
          </cell>
          <cell r="AO512">
            <v>18.18</v>
          </cell>
          <cell r="AP512">
            <v>1725.317612880644</v>
          </cell>
          <cell r="AQ512">
            <v>330.90238711935581</v>
          </cell>
          <cell r="AU512" t="str">
            <v>Фон.</v>
          </cell>
          <cell r="AV512">
            <v>449.999992969</v>
          </cell>
          <cell r="AW512" t="str">
            <v>ГК 80 1/8</v>
          </cell>
          <cell r="AX512">
            <v>880</v>
          </cell>
          <cell r="AY512" t="str">
            <v>ГК 80 1/8</v>
          </cell>
          <cell r="AZ512">
            <v>1209.9999662109999</v>
          </cell>
          <cell r="BA512" t="str">
            <v>ГК 81 5/32</v>
          </cell>
          <cell r="BB512">
            <v>1469.9999472659999</v>
          </cell>
          <cell r="BC512" t="str">
            <v>ГК 81 1/8</v>
          </cell>
          <cell r="BD512">
            <v>1840.000060547</v>
          </cell>
          <cell r="BE512" t="str">
            <v>ЦКсОК 5/16</v>
          </cell>
          <cell r="BF512" t="str">
            <v>-</v>
          </cell>
          <cell r="BG512" t="str">
            <v>-</v>
          </cell>
          <cell r="BH512" t="str">
            <v>-</v>
          </cell>
          <cell r="BI512" t="str">
            <v>-</v>
          </cell>
        </row>
        <row r="513">
          <cell r="J513">
            <v>1611</v>
          </cell>
          <cell r="K513" t="str">
            <v>К-118</v>
          </cell>
          <cell r="L513">
            <v>44376</v>
          </cell>
          <cell r="M513" t="str">
            <v>Гор.</v>
          </cell>
          <cell r="N513" t="str">
            <v>P4+5+6_Block1_yug</v>
          </cell>
          <cell r="O513" t="str">
            <v>Действующий</v>
          </cell>
          <cell r="P513" t="str">
            <v>В работе</v>
          </cell>
          <cell r="Q513">
            <v>-4</v>
          </cell>
          <cell r="U513">
            <v>203</v>
          </cell>
          <cell r="V513">
            <v>218.2</v>
          </cell>
          <cell r="W513">
            <v>0.98</v>
          </cell>
          <cell r="X513">
            <v>1.66</v>
          </cell>
          <cell r="Y513">
            <v>0.98008029573507216</v>
          </cell>
          <cell r="Z513">
            <v>1.454</v>
          </cell>
          <cell r="AA513">
            <v>0.83599999999999997</v>
          </cell>
          <cell r="AB513">
            <v>0.72</v>
          </cell>
          <cell r="AC513">
            <v>34.299999999999997</v>
          </cell>
          <cell r="AD513">
            <v>1.17</v>
          </cell>
          <cell r="AE513">
            <v>177.8</v>
          </cell>
          <cell r="AF513">
            <v>9.19</v>
          </cell>
          <cell r="AG513">
            <v>2230</v>
          </cell>
          <cell r="AH513">
            <v>2835</v>
          </cell>
          <cell r="AI513">
            <v>2835</v>
          </cell>
          <cell r="AJ513">
            <v>44376</v>
          </cell>
          <cell r="AK513" t="str">
            <v>По спущенной компановке</v>
          </cell>
          <cell r="AM513" t="str">
            <v>закрытый</v>
          </cell>
          <cell r="AN513" t="str">
            <v>2359,6-2361,06;2487,31-2488,51;2581,76-2582,96;2676,16-2677,36;2806,74-2807,94</v>
          </cell>
          <cell r="AO513">
            <v>4.96</v>
          </cell>
          <cell r="AP513">
            <v>2359.6</v>
          </cell>
          <cell r="AQ513">
            <v>544.05999999999995</v>
          </cell>
          <cell r="AR513" t="str">
            <v>2169,32-2835</v>
          </cell>
          <cell r="AS513">
            <v>114</v>
          </cell>
          <cell r="AT513">
            <v>7.37</v>
          </cell>
          <cell r="AU513" t="str">
            <v>Газлифт</v>
          </cell>
          <cell r="AV513">
            <v>529.99998427699995</v>
          </cell>
          <cell r="AW513" t="str">
            <v>ГП</v>
          </cell>
          <cell r="AX513">
            <v>1009.999969336</v>
          </cell>
          <cell r="AY513" t="str">
            <v>ГП</v>
          </cell>
          <cell r="AZ513">
            <v>1405.0000078129999</v>
          </cell>
          <cell r="BA513" t="str">
            <v>ГК 84 1/8</v>
          </cell>
          <cell r="BB513">
            <v>1724.9999730469999</v>
          </cell>
          <cell r="BC513" t="str">
            <v>ГК 84 1/8</v>
          </cell>
          <cell r="BD513">
            <v>1979.9999988279999</v>
          </cell>
          <cell r="BE513" t="str">
            <v>ЦКсОК 5/16</v>
          </cell>
          <cell r="BF513" t="str">
            <v>-</v>
          </cell>
          <cell r="BG513" t="str">
            <v>-</v>
          </cell>
          <cell r="BH513" t="str">
            <v>-</v>
          </cell>
          <cell r="BI513" t="str">
            <v>-</v>
          </cell>
        </row>
        <row r="514">
          <cell r="J514">
            <v>1612</v>
          </cell>
          <cell r="K514" t="str">
            <v>К-3409</v>
          </cell>
          <cell r="L514">
            <v>43912</v>
          </cell>
          <cell r="M514" t="str">
            <v>Гор.</v>
          </cell>
          <cell r="N514" t="str">
            <v>P4+5+6_Block1_sever</v>
          </cell>
          <cell r="O514" t="str">
            <v>Действующий</v>
          </cell>
          <cell r="P514" t="str">
            <v>В работе</v>
          </cell>
          <cell r="Q514">
            <v>-4</v>
          </cell>
          <cell r="U514">
            <v>203</v>
          </cell>
          <cell r="V514">
            <v>218.2</v>
          </cell>
          <cell r="W514">
            <v>0.98</v>
          </cell>
          <cell r="X514">
            <v>1.66</v>
          </cell>
          <cell r="Y514">
            <v>0.98</v>
          </cell>
          <cell r="Z514">
            <v>1.454</v>
          </cell>
          <cell r="AA514">
            <v>0.83599999999999997</v>
          </cell>
          <cell r="AB514">
            <v>0.72</v>
          </cell>
          <cell r="AC514">
            <v>34.299999999999997</v>
          </cell>
          <cell r="AD514">
            <v>1.17</v>
          </cell>
          <cell r="AE514">
            <v>177.8</v>
          </cell>
          <cell r="AF514">
            <v>9.19</v>
          </cell>
          <cell r="AG514">
            <v>1909</v>
          </cell>
          <cell r="AH514">
            <v>2861</v>
          </cell>
          <cell r="AI514">
            <v>2861</v>
          </cell>
          <cell r="AJ514">
            <v>44345</v>
          </cell>
          <cell r="AK514" t="str">
            <v>По спущенной компановке</v>
          </cell>
          <cell r="AM514" t="str">
            <v>открытый</v>
          </cell>
          <cell r="AN514" t="str">
            <v>1909-2861; 2155-2760</v>
          </cell>
          <cell r="AO514">
            <v>90.288000000000011</v>
          </cell>
          <cell r="AP514">
            <v>1909</v>
          </cell>
          <cell r="AQ514">
            <v>152.87799999999993</v>
          </cell>
          <cell r="AU514" t="str">
            <v>Газлифт</v>
          </cell>
          <cell r="AV514">
            <v>379.99998662100001</v>
          </cell>
          <cell r="AW514" t="str">
            <v>ГП</v>
          </cell>
          <cell r="AX514">
            <v>759.99997324200001</v>
          </cell>
          <cell r="AY514" t="str">
            <v>ГП</v>
          </cell>
          <cell r="AZ514">
            <v>1009.999969336</v>
          </cell>
          <cell r="BA514" t="str">
            <v>ГП</v>
          </cell>
          <cell r="BB514">
            <v>1290.000069141</v>
          </cell>
          <cell r="BC514" t="str">
            <v>ГК 74 5/32</v>
          </cell>
          <cell r="BD514">
            <v>1499.999976563</v>
          </cell>
          <cell r="BE514" t="str">
            <v>ГК 73 5/32</v>
          </cell>
          <cell r="BF514">
            <v>1800</v>
          </cell>
          <cell r="BG514" t="str">
            <v>ЦКсОК 5/16</v>
          </cell>
          <cell r="BH514" t="str">
            <v>-</v>
          </cell>
          <cell r="BI514" t="str">
            <v>-</v>
          </cell>
        </row>
        <row r="515">
          <cell r="J515">
            <v>1613</v>
          </cell>
          <cell r="K515" t="str">
            <v>К-1601</v>
          </cell>
          <cell r="L515">
            <v>44246</v>
          </cell>
          <cell r="M515" t="str">
            <v>Гор.</v>
          </cell>
          <cell r="N515" t="str">
            <v>P4+5+6_Block1_yug</v>
          </cell>
          <cell r="O515" t="str">
            <v>Действующий</v>
          </cell>
          <cell r="P515" t="str">
            <v>В работе</v>
          </cell>
          <cell r="Q515">
            <v>-4</v>
          </cell>
          <cell r="U515">
            <v>203</v>
          </cell>
          <cell r="V515">
            <v>218.2</v>
          </cell>
          <cell r="W515">
            <v>0.98</v>
          </cell>
          <cell r="X515">
            <v>1.66</v>
          </cell>
          <cell r="Y515">
            <v>0.98004014622285718</v>
          </cell>
          <cell r="Z515">
            <v>1.454</v>
          </cell>
          <cell r="AA515">
            <v>0.83599999999999997</v>
          </cell>
          <cell r="AB515">
            <v>0.72</v>
          </cell>
          <cell r="AC515">
            <v>34.299999999999997</v>
          </cell>
          <cell r="AD515">
            <v>1.17</v>
          </cell>
          <cell r="AE515">
            <v>177.8</v>
          </cell>
          <cell r="AF515">
            <v>9.19</v>
          </cell>
          <cell r="AG515">
            <v>2051</v>
          </cell>
          <cell r="AH515">
            <v>2660</v>
          </cell>
          <cell r="AI515">
            <v>2660</v>
          </cell>
          <cell r="AJ515">
            <v>44246</v>
          </cell>
          <cell r="AK515" t="str">
            <v>По спущенной компановке</v>
          </cell>
          <cell r="AM515" t="str">
            <v>закрытый</v>
          </cell>
          <cell r="AN515" t="str">
            <v>2102,87-2104,07; 2238,38-2239,58; 2336,01-2337,21; 2435,28-2436,48; 2533,79-2534,99; 2632,98-2634,18</v>
          </cell>
          <cell r="AO515">
            <v>43</v>
          </cell>
          <cell r="AP515">
            <v>2102.87</v>
          </cell>
          <cell r="AQ515">
            <v>319.51999999999975</v>
          </cell>
          <cell r="AR515" t="str">
            <v>1991,4-2660</v>
          </cell>
          <cell r="AS515">
            <v>114</v>
          </cell>
          <cell r="AT515">
            <v>7.37</v>
          </cell>
          <cell r="AU515" t="str">
            <v>Газлифт</v>
          </cell>
          <cell r="AV515">
            <v>541.99999599600005</v>
          </cell>
          <cell r="AW515" t="str">
            <v>ГП</v>
          </cell>
          <cell r="AX515">
            <v>970.00002949199995</v>
          </cell>
          <cell r="AY515" t="str">
            <v>ГП</v>
          </cell>
          <cell r="AZ515">
            <v>1262.9999683589999</v>
          </cell>
          <cell r="BA515" t="str">
            <v>ГП</v>
          </cell>
          <cell r="BB515">
            <v>1525.9999523439999</v>
          </cell>
          <cell r="BC515" t="str">
            <v>ГК 83 1/8</v>
          </cell>
          <cell r="BD515">
            <v>1747.000044141</v>
          </cell>
          <cell r="BE515" t="str">
            <v>ЦКсОК 5/16</v>
          </cell>
          <cell r="BF515" t="str">
            <v>-</v>
          </cell>
          <cell r="BG515" t="str">
            <v>-</v>
          </cell>
          <cell r="BH515" t="str">
            <v>-</v>
          </cell>
          <cell r="BI515" t="str">
            <v>-</v>
          </cell>
        </row>
        <row r="516">
          <cell r="J516">
            <v>1614</v>
          </cell>
          <cell r="K516" t="str">
            <v>К-1609</v>
          </cell>
          <cell r="L516">
            <v>44229</v>
          </cell>
          <cell r="M516" t="str">
            <v>Гор.</v>
          </cell>
          <cell r="N516" t="str">
            <v>P4+5+6_Block1_sever</v>
          </cell>
          <cell r="O516" t="str">
            <v>Действующий</v>
          </cell>
          <cell r="P516" t="str">
            <v>В работе</v>
          </cell>
          <cell r="Q516">
            <v>-4</v>
          </cell>
          <cell r="U516">
            <v>203</v>
          </cell>
          <cell r="V516">
            <v>218.2</v>
          </cell>
          <cell r="W516">
            <v>0.98</v>
          </cell>
          <cell r="X516">
            <v>1.66</v>
          </cell>
          <cell r="Y516">
            <v>1.1836437718277064</v>
          </cell>
          <cell r="Z516">
            <v>1.454</v>
          </cell>
          <cell r="AA516">
            <v>0.83599999999999997</v>
          </cell>
          <cell r="AB516">
            <v>0.72</v>
          </cell>
          <cell r="AC516">
            <v>34.299999999999997</v>
          </cell>
          <cell r="AD516">
            <v>1.17</v>
          </cell>
          <cell r="AE516" t="str">
            <v>178-114</v>
          </cell>
          <cell r="AF516">
            <v>9.1999999999999993</v>
          </cell>
          <cell r="AG516">
            <v>2207</v>
          </cell>
          <cell r="AH516">
            <v>3086</v>
          </cell>
          <cell r="AI516">
            <v>3086</v>
          </cell>
          <cell r="AJ516">
            <v>44229</v>
          </cell>
          <cell r="AK516" t="str">
            <v>По спущенной компановке</v>
          </cell>
          <cell r="AM516" t="str">
            <v>открытый</v>
          </cell>
          <cell r="AN516" t="str">
            <v>2207-3086</v>
          </cell>
          <cell r="AO516">
            <v>34.06</v>
          </cell>
          <cell r="AP516">
            <v>2207</v>
          </cell>
          <cell r="AQ516">
            <v>402.3</v>
          </cell>
          <cell r="AU516" t="str">
            <v>ЭЦН</v>
          </cell>
          <cell r="AV516">
            <v>310</v>
          </cell>
          <cell r="AW516" t="str">
            <v>ГК 76 1/8</v>
          </cell>
          <cell r="AX516">
            <v>650</v>
          </cell>
          <cell r="AY516" t="str">
            <v>ГК 76 1/8</v>
          </cell>
          <cell r="AZ516">
            <v>940</v>
          </cell>
          <cell r="BA516" t="str">
            <v>ГК 76 1/8</v>
          </cell>
          <cell r="BB516">
            <v>1329</v>
          </cell>
          <cell r="BC516" t="str">
            <v>ГК 76 1/8</v>
          </cell>
          <cell r="BD516">
            <v>1631</v>
          </cell>
          <cell r="BE516" t="str">
            <v>ГК 76 5/32</v>
          </cell>
          <cell r="BF516">
            <v>1953</v>
          </cell>
          <cell r="BG516" t="str">
            <v>ЦКсОК 5/16</v>
          </cell>
          <cell r="BH516" t="str">
            <v>-</v>
          </cell>
          <cell r="BI516" t="str">
            <v>-</v>
          </cell>
          <cell r="BK516" t="str">
            <v>ВНН2А</v>
          </cell>
          <cell r="BM516">
            <v>2250</v>
          </cell>
          <cell r="BN516">
            <v>173</v>
          </cell>
        </row>
        <row r="517">
          <cell r="J517">
            <v>1615</v>
          </cell>
          <cell r="K517" t="str">
            <v>К-1609</v>
          </cell>
          <cell r="L517">
            <v>44279</v>
          </cell>
          <cell r="M517" t="str">
            <v>Гор.</v>
          </cell>
          <cell r="N517" t="str">
            <v>P4+5+6_Block1_sever</v>
          </cell>
          <cell r="O517" t="str">
            <v>Действующий</v>
          </cell>
          <cell r="P517" t="str">
            <v>В работе</v>
          </cell>
          <cell r="Q517">
            <v>-4</v>
          </cell>
          <cell r="R517">
            <v>44204</v>
          </cell>
          <cell r="S517" t="str">
            <v>ЗАО "СП "МеКаМинефть"</v>
          </cell>
          <cell r="T517" t="str">
            <v>КГРП 7стадий
600,8 м3 15% HCl</v>
          </cell>
          <cell r="U517">
            <v>203</v>
          </cell>
          <cell r="V517">
            <v>218.2</v>
          </cell>
          <cell r="W517">
            <v>0.98</v>
          </cell>
          <cell r="X517">
            <v>1.66</v>
          </cell>
          <cell r="Y517">
            <v>0.98630283158885201</v>
          </cell>
          <cell r="Z517">
            <v>1.454</v>
          </cell>
          <cell r="AA517">
            <v>0.83599999999999997</v>
          </cell>
          <cell r="AB517">
            <v>0.72</v>
          </cell>
          <cell r="AC517">
            <v>34.299999999999997</v>
          </cell>
          <cell r="AD517">
            <v>1.17</v>
          </cell>
          <cell r="AE517">
            <v>177.8</v>
          </cell>
          <cell r="AF517">
            <v>9.1999999999999993</v>
          </cell>
          <cell r="AG517">
            <v>2105</v>
          </cell>
          <cell r="AH517">
            <v>3260</v>
          </cell>
          <cell r="AI517">
            <v>3072</v>
          </cell>
          <cell r="AJ517">
            <v>44167</v>
          </cell>
          <cell r="AM517" t="str">
            <v>закрытый</v>
          </cell>
          <cell r="AN517" t="str">
            <v>2490,47 - 2491,32; 2565,03 - 2565,88; 2638,91 - 2639,76; 2713,5 - 2714,35; 2787,96 - 2788,81; 2898,15 - 2899; 3057,6 - 3058,7</v>
          </cell>
          <cell r="AO517">
            <v>46.25</v>
          </cell>
          <cell r="AP517">
            <v>2490.4699999999998</v>
          </cell>
          <cell r="AQ517">
            <v>605.46</v>
          </cell>
          <cell r="AR517" t="str">
            <v>2025,02-3072</v>
          </cell>
          <cell r="AS517">
            <v>114.3</v>
          </cell>
          <cell r="AT517">
            <v>7.37</v>
          </cell>
          <cell r="AU517" t="str">
            <v>Газлифт</v>
          </cell>
          <cell r="AV517">
            <v>360.00001669900001</v>
          </cell>
          <cell r="AW517" t="str">
            <v>ГП</v>
          </cell>
          <cell r="AX517">
            <v>740.00000332000002</v>
          </cell>
          <cell r="AY517" t="str">
            <v>ГП</v>
          </cell>
          <cell r="AZ517">
            <v>1070.00002793</v>
          </cell>
          <cell r="BA517" t="str">
            <v>ГП</v>
          </cell>
          <cell r="BB517">
            <v>1330.000008984</v>
          </cell>
          <cell r="BC517" t="str">
            <v>ГК 76 1/8</v>
          </cell>
          <cell r="BD517">
            <v>1540.000065234</v>
          </cell>
          <cell r="BE517" t="str">
            <v>ГК 75 1/8</v>
          </cell>
          <cell r="BF517">
            <v>1890</v>
          </cell>
          <cell r="BG517" t="str">
            <v>ЦКсОК 5/16</v>
          </cell>
          <cell r="BH517" t="str">
            <v>-</v>
          </cell>
          <cell r="BI517" t="str">
            <v>-</v>
          </cell>
        </row>
        <row r="518">
          <cell r="J518">
            <v>1617</v>
          </cell>
          <cell r="K518" t="str">
            <v>К-124</v>
          </cell>
          <cell r="L518">
            <v>43304</v>
          </cell>
          <cell r="M518" t="str">
            <v>Гор.</v>
          </cell>
          <cell r="N518" t="str">
            <v>Р4+5+6_Block2</v>
          </cell>
          <cell r="O518" t="str">
            <v>Действующий</v>
          </cell>
          <cell r="P518" t="str">
            <v>В работе</v>
          </cell>
          <cell r="Q518">
            <v>-4</v>
          </cell>
          <cell r="R518">
            <v>44227</v>
          </cell>
          <cell r="S518" t="str">
            <v>ЗАО "СП "МеКаМинефть"</v>
          </cell>
          <cell r="T518" t="str">
            <v>КГРП 5стадий
825 м3 15% HCl</v>
          </cell>
          <cell r="U518">
            <v>203</v>
          </cell>
          <cell r="V518">
            <v>218.2</v>
          </cell>
          <cell r="W518">
            <v>0.98</v>
          </cell>
          <cell r="X518">
            <v>1.66</v>
          </cell>
          <cell r="Y518">
            <v>1.2878200155159036</v>
          </cell>
          <cell r="Z518">
            <v>1.454</v>
          </cell>
          <cell r="AA518">
            <v>0.83599999999999997</v>
          </cell>
          <cell r="AB518">
            <v>0.72</v>
          </cell>
          <cell r="AC518">
            <v>34.299999999999997</v>
          </cell>
          <cell r="AD518">
            <v>1.17</v>
          </cell>
          <cell r="AE518">
            <v>177.8</v>
          </cell>
          <cell r="AF518">
            <v>9.1999999999999993</v>
          </cell>
          <cell r="AG518">
            <v>2177</v>
          </cell>
          <cell r="AH518">
            <v>2785</v>
          </cell>
          <cell r="AI518">
            <v>2785</v>
          </cell>
          <cell r="AJ518">
            <v>44021</v>
          </cell>
          <cell r="AM518" t="str">
            <v>Закрытый</v>
          </cell>
          <cell r="AN518" t="str">
            <v>2240,25 - 2241,1; 2339,39 - 2340,24; 2449,1 - 2449,95; 2582,13 - 2582,98; 2704 - 2705,4</v>
          </cell>
          <cell r="AO518">
            <v>26.74</v>
          </cell>
          <cell r="AP518">
            <v>2240.25</v>
          </cell>
          <cell r="AQ518">
            <v>233.7</v>
          </cell>
          <cell r="AR518" t="str">
            <v>2125-2718</v>
          </cell>
          <cell r="AS518">
            <v>114.3</v>
          </cell>
          <cell r="AT518">
            <v>7.37</v>
          </cell>
          <cell r="AU518" t="str">
            <v>Газлифт</v>
          </cell>
          <cell r="AV518">
            <v>677.99999238299995</v>
          </cell>
          <cell r="AW518" t="str">
            <v>ГП</v>
          </cell>
          <cell r="AX518">
            <v>1253</v>
          </cell>
          <cell r="AY518" t="str">
            <v>ГК 90 1/8</v>
          </cell>
          <cell r="AZ518">
            <v>1679.2000523439999</v>
          </cell>
          <cell r="BA518" t="str">
            <v>ГК 90 1/8</v>
          </cell>
          <cell r="BB518">
            <v>1981.999951172</v>
          </cell>
          <cell r="BC518" t="str">
            <v>ЦКсОК 5/16</v>
          </cell>
          <cell r="BD518" t="str">
            <v>-</v>
          </cell>
          <cell r="BE518" t="str">
            <v>-</v>
          </cell>
          <cell r="BF518" t="str">
            <v>-</v>
          </cell>
          <cell r="BG518" t="str">
            <v>-</v>
          </cell>
          <cell r="BH518" t="str">
            <v>-</v>
          </cell>
          <cell r="BI518" t="str">
            <v>-</v>
          </cell>
        </row>
        <row r="519">
          <cell r="J519">
            <v>1618</v>
          </cell>
          <cell r="K519" t="str">
            <v>К-68</v>
          </cell>
          <cell r="L519">
            <v>41290</v>
          </cell>
          <cell r="M519" t="str">
            <v>Гор.</v>
          </cell>
          <cell r="N519" t="str">
            <v>P4+5+6_Block1_yug</v>
          </cell>
          <cell r="O519" t="str">
            <v>Действующий</v>
          </cell>
          <cell r="P519" t="str">
            <v>В работе</v>
          </cell>
          <cell r="Q519">
            <v>-4</v>
          </cell>
          <cell r="R519">
            <v>43259</v>
          </cell>
          <cell r="S519" t="str">
            <v>МеКаМиНефть</v>
          </cell>
          <cell r="T519" t="str">
            <v>КГРП 7стадий
250 м3 15% HCl</v>
          </cell>
          <cell r="U519">
            <v>203</v>
          </cell>
          <cell r="V519">
            <v>218.2</v>
          </cell>
          <cell r="W519">
            <v>0.98</v>
          </cell>
          <cell r="X519">
            <v>1.66</v>
          </cell>
          <cell r="Y519">
            <v>0.98</v>
          </cell>
          <cell r="Z519">
            <v>1.454</v>
          </cell>
          <cell r="AA519">
            <v>0.83599999999999997</v>
          </cell>
          <cell r="AB519">
            <v>0.72</v>
          </cell>
          <cell r="AC519">
            <v>34.299999999999997</v>
          </cell>
          <cell r="AD519">
            <v>1.17</v>
          </cell>
          <cell r="AE519">
            <v>177.8</v>
          </cell>
          <cell r="AF519">
            <v>9.19</v>
          </cell>
          <cell r="AG519">
            <v>2175.41</v>
          </cell>
          <cell r="AH519">
            <v>2870.45</v>
          </cell>
          <cell r="AI519">
            <v>2870.45</v>
          </cell>
          <cell r="AJ519">
            <v>43250</v>
          </cell>
          <cell r="AK519" t="str">
            <v>По спущенной компановке</v>
          </cell>
          <cell r="AM519" t="str">
            <v>закрытый</v>
          </cell>
          <cell r="AN519" t="str">
            <v xml:space="preserve">2194,39-2195,59; 2271,55-2272,75; 2360,24-2361,44; 2426,05-2427,25; 2523,97-2525,17; 2632,47-2633,67; 2741,62-2742,82 </v>
          </cell>
          <cell r="AO519">
            <v>8.4</v>
          </cell>
          <cell r="AP519">
            <v>2194.39</v>
          </cell>
          <cell r="AQ519">
            <v>405.6</v>
          </cell>
          <cell r="AR519" t="str">
            <v>2114,45-2871</v>
          </cell>
          <cell r="AS519">
            <v>114</v>
          </cell>
          <cell r="AT519">
            <v>7.37</v>
          </cell>
          <cell r="AU519" t="str">
            <v>Газлифт</v>
          </cell>
          <cell r="AV519">
            <v>499.99999218800002</v>
          </cell>
          <cell r="AW519" t="str">
            <v>ГП</v>
          </cell>
          <cell r="AX519">
            <v>934.99997050800005</v>
          </cell>
          <cell r="AY519" t="str">
            <v>ГП</v>
          </cell>
          <cell r="AZ519">
            <v>1315.0000687500001</v>
          </cell>
          <cell r="BA519" t="str">
            <v>ГК 89/3</v>
          </cell>
          <cell r="BB519">
            <v>1605.000004687</v>
          </cell>
          <cell r="BC519" t="str">
            <v>ГК 88 1/8</v>
          </cell>
          <cell r="BD519">
            <v>1849.9999710940001</v>
          </cell>
          <cell r="BE519" t="str">
            <v>ЦКсОК 5/16</v>
          </cell>
          <cell r="BF519" t="str">
            <v>-</v>
          </cell>
          <cell r="BG519" t="str">
            <v>-</v>
          </cell>
          <cell r="BH519">
            <v>1900</v>
          </cell>
          <cell r="BI519" t="str">
            <v>закрыт</v>
          </cell>
        </row>
        <row r="520">
          <cell r="J520">
            <v>3068</v>
          </cell>
          <cell r="K520" t="str">
            <v>Без куста</v>
          </cell>
          <cell r="L520">
            <v>43643</v>
          </cell>
          <cell r="M520" t="str">
            <v>Верт.</v>
          </cell>
          <cell r="N520" t="str">
            <v>Р4+5_Block3</v>
          </cell>
          <cell r="O520" t="str">
            <v>Действующий</v>
          </cell>
          <cell r="P520" t="str">
            <v>В работе</v>
          </cell>
          <cell r="Q520">
            <v>-4</v>
          </cell>
          <cell r="R520" t="str">
            <v xml:space="preserve"> </v>
          </cell>
          <cell r="S520" t="str">
            <v xml:space="preserve"> </v>
          </cell>
          <cell r="U520">
            <v>203</v>
          </cell>
          <cell r="V520">
            <v>218.2</v>
          </cell>
          <cell r="W520">
            <v>0.98</v>
          </cell>
          <cell r="X520">
            <v>1.66</v>
          </cell>
          <cell r="Y520">
            <v>0.98</v>
          </cell>
          <cell r="Z520">
            <v>1.454</v>
          </cell>
          <cell r="AA520">
            <v>0.83599999999999997</v>
          </cell>
          <cell r="AB520">
            <v>0.72</v>
          </cell>
          <cell r="AC520">
            <v>34.299999999999997</v>
          </cell>
          <cell r="AD520">
            <v>1.17</v>
          </cell>
          <cell r="AE520">
            <v>139.69999999999999</v>
          </cell>
          <cell r="AF520">
            <v>7.72</v>
          </cell>
          <cell r="AG520">
            <v>2050</v>
          </cell>
          <cell r="AH520">
            <v>2050</v>
          </cell>
          <cell r="AI520">
            <v>2050</v>
          </cell>
          <cell r="AM520" t="str">
            <v>закрытый</v>
          </cell>
          <cell r="AN520" t="str">
            <v>1886,4-1891,4; 1894-1900; 1904-1906; 1908-1914</v>
          </cell>
          <cell r="AO520">
            <v>39.759999999999991</v>
          </cell>
          <cell r="AP520">
            <v>1886</v>
          </cell>
          <cell r="AQ520">
            <v>8.1999999999999993</v>
          </cell>
          <cell r="AU520" t="str">
            <v>Фон.</v>
          </cell>
          <cell r="AV520">
            <v>600</v>
          </cell>
          <cell r="AW520" t="str">
            <v>ГК 65 1/8</v>
          </cell>
          <cell r="AX520">
            <v>1200</v>
          </cell>
          <cell r="AY520" t="str">
            <v>ГК45</v>
          </cell>
          <cell r="AZ520">
            <v>1778</v>
          </cell>
          <cell r="BA520" t="str">
            <v>ЦКсОК 5/16</v>
          </cell>
          <cell r="BB520" t="str">
            <v>-</v>
          </cell>
          <cell r="BC520" t="str">
            <v>-</v>
          </cell>
          <cell r="BD520" t="str">
            <v>-</v>
          </cell>
          <cell r="BE520" t="str">
            <v>-</v>
          </cell>
          <cell r="BF520" t="str">
            <v>-</v>
          </cell>
          <cell r="BG520" t="str">
            <v>-</v>
          </cell>
          <cell r="BH520">
            <v>1788</v>
          </cell>
          <cell r="BI520" t="str">
            <v>закрыт</v>
          </cell>
        </row>
        <row r="521">
          <cell r="J521">
            <v>3216</v>
          </cell>
          <cell r="K521" t="str">
            <v>Без куста</v>
          </cell>
          <cell r="L521">
            <v>42122</v>
          </cell>
          <cell r="M521" t="str">
            <v>Гор.</v>
          </cell>
          <cell r="N521" t="str">
            <v>Р4+5_Block3</v>
          </cell>
          <cell r="O521" t="str">
            <v>Действующий</v>
          </cell>
          <cell r="P521" t="str">
            <v>остановлена</v>
          </cell>
          <cell r="Q521">
            <v>-4</v>
          </cell>
          <cell r="U521">
            <v>203</v>
          </cell>
          <cell r="V521">
            <v>218.2</v>
          </cell>
          <cell r="W521">
            <v>0.98</v>
          </cell>
          <cell r="X521">
            <v>1.66</v>
          </cell>
          <cell r="Y521">
            <v>0.98</v>
          </cell>
          <cell r="Z521">
            <v>1.454</v>
          </cell>
          <cell r="AA521">
            <v>0.83599999999999997</v>
          </cell>
          <cell r="AB521">
            <v>0.72</v>
          </cell>
          <cell r="AC521">
            <v>34.299999999999997</v>
          </cell>
          <cell r="AD521">
            <v>1.17</v>
          </cell>
          <cell r="AE521">
            <v>177.8</v>
          </cell>
          <cell r="AF521">
            <v>7.72</v>
          </cell>
          <cell r="AG521">
            <v>1728</v>
          </cell>
          <cell r="AH521">
            <v>2109</v>
          </cell>
          <cell r="AI521">
            <v>2109</v>
          </cell>
          <cell r="AM521" t="str">
            <v>открытый</v>
          </cell>
          <cell r="AN521" t="str">
            <v>2109-2725</v>
          </cell>
          <cell r="AO521">
            <v>12</v>
          </cell>
          <cell r="AP521">
            <v>1728</v>
          </cell>
          <cell r="AQ521">
            <v>227</v>
          </cell>
          <cell r="AU521" t="str">
            <v>Газлифт</v>
          </cell>
          <cell r="AV521">
            <v>450</v>
          </cell>
          <cell r="AW521" t="str">
            <v>ГП</v>
          </cell>
          <cell r="AX521">
            <v>815</v>
          </cell>
          <cell r="AY521" t="str">
            <v>ГП</v>
          </cell>
          <cell r="AZ521">
            <v>1110</v>
          </cell>
          <cell r="BA521" t="str">
            <v>ГП</v>
          </cell>
          <cell r="BB521">
            <v>1355</v>
          </cell>
          <cell r="BC521" t="str">
            <v>ГП</v>
          </cell>
          <cell r="BD521">
            <v>1565</v>
          </cell>
          <cell r="BE521" t="str">
            <v>ГК 80 5/32</v>
          </cell>
          <cell r="BF521">
            <v>1780</v>
          </cell>
          <cell r="BG521" t="str">
            <v>ЦКсОК 5/16</v>
          </cell>
          <cell r="BH521" t="str">
            <v>-</v>
          </cell>
          <cell r="BI521" t="str">
            <v>-</v>
          </cell>
        </row>
        <row r="522">
          <cell r="J522">
            <v>3218</v>
          </cell>
          <cell r="K522" t="str">
            <v>К-53</v>
          </cell>
          <cell r="L522">
            <v>42215</v>
          </cell>
          <cell r="M522" t="str">
            <v>Гор.</v>
          </cell>
          <cell r="N522" t="str">
            <v>Р4+5_Block3</v>
          </cell>
          <cell r="O522" t="str">
            <v>Действующий</v>
          </cell>
          <cell r="P522" t="str">
            <v>В работе</v>
          </cell>
          <cell r="Q522">
            <v>-4</v>
          </cell>
          <cell r="U522">
            <v>203</v>
          </cell>
          <cell r="V522">
            <v>218.2</v>
          </cell>
          <cell r="W522">
            <v>0.98</v>
          </cell>
          <cell r="X522">
            <v>1.66</v>
          </cell>
          <cell r="Y522">
            <v>0.98</v>
          </cell>
          <cell r="Z522">
            <v>1.454</v>
          </cell>
          <cell r="AA522">
            <v>0.83599999999999997</v>
          </cell>
          <cell r="AB522">
            <v>0.72</v>
          </cell>
          <cell r="AC522">
            <v>34.299999999999997</v>
          </cell>
          <cell r="AD522">
            <v>1.17</v>
          </cell>
          <cell r="AE522">
            <v>177.8</v>
          </cell>
          <cell r="AF522">
            <v>9.19</v>
          </cell>
          <cell r="AG522">
            <v>2154</v>
          </cell>
          <cell r="AH522" t="str">
            <v xml:space="preserve">1 ств 2870
2 ств 2500 </v>
          </cell>
          <cell r="AI522" t="str">
            <v xml:space="preserve">1 ств 2870
2 ств 2500 </v>
          </cell>
          <cell r="AM522" t="str">
            <v>открытый</v>
          </cell>
          <cell r="AN522" t="str">
            <v xml:space="preserve"> 2154-2870; 2154-2500 </v>
          </cell>
          <cell r="AO522" t="str">
            <v>28,63;11,2</v>
          </cell>
          <cell r="AP522">
            <v>2154</v>
          </cell>
          <cell r="AQ522">
            <v>255.8</v>
          </cell>
          <cell r="AU522" t="str">
            <v>Газлифт</v>
          </cell>
          <cell r="AV522">
            <v>620</v>
          </cell>
          <cell r="AW522" t="str">
            <v>ГК 85 1/8</v>
          </cell>
          <cell r="AX522">
            <v>1203</v>
          </cell>
          <cell r="AY522" t="str">
            <v>ГК 85 1/8</v>
          </cell>
          <cell r="AZ522">
            <v>1693</v>
          </cell>
          <cell r="BA522" t="str">
            <v>ГК 84 1/8</v>
          </cell>
          <cell r="BB522">
            <v>1980</v>
          </cell>
          <cell r="BC522" t="str">
            <v>ЦКсОК 5/16</v>
          </cell>
          <cell r="BD522" t="str">
            <v>-</v>
          </cell>
          <cell r="BE522" t="str">
            <v>-</v>
          </cell>
          <cell r="BF522" t="str">
            <v>-</v>
          </cell>
          <cell r="BG522" t="str">
            <v>-</v>
          </cell>
          <cell r="BH522" t="str">
            <v>-</v>
          </cell>
          <cell r="BI522" t="str">
            <v>-</v>
          </cell>
        </row>
        <row r="523">
          <cell r="J523">
            <v>3220</v>
          </cell>
          <cell r="K523" t="str">
            <v>К-21</v>
          </cell>
          <cell r="L523">
            <v>42093</v>
          </cell>
          <cell r="M523" t="str">
            <v>Гор.</v>
          </cell>
          <cell r="N523" t="str">
            <v>Р4+5_Block3</v>
          </cell>
          <cell r="O523" t="str">
            <v>Действующий</v>
          </cell>
          <cell r="P523" t="str">
            <v>В работе</v>
          </cell>
          <cell r="Q523">
            <v>-4</v>
          </cell>
          <cell r="U523">
            <v>203</v>
          </cell>
          <cell r="V523">
            <v>218.2</v>
          </cell>
          <cell r="W523">
            <v>0.98</v>
          </cell>
          <cell r="X523">
            <v>1.66</v>
          </cell>
          <cell r="Y523">
            <v>1.0441591784338895</v>
          </cell>
          <cell r="Z523">
            <v>1.454</v>
          </cell>
          <cell r="AA523">
            <v>0.83599999999999997</v>
          </cell>
          <cell r="AB523">
            <v>0.72</v>
          </cell>
          <cell r="AC523">
            <v>34.299999999999997</v>
          </cell>
          <cell r="AD523">
            <v>1.17</v>
          </cell>
          <cell r="AE523">
            <v>177.8</v>
          </cell>
          <cell r="AF523">
            <v>9.19</v>
          </cell>
          <cell r="AG523">
            <v>2188</v>
          </cell>
          <cell r="AH523">
            <v>2810</v>
          </cell>
          <cell r="AI523">
            <v>2810</v>
          </cell>
          <cell r="AM523" t="str">
            <v>открытый</v>
          </cell>
          <cell r="AN523" t="str">
            <v>2188-2810</v>
          </cell>
          <cell r="AO523">
            <v>49</v>
          </cell>
          <cell r="AP523">
            <v>2188</v>
          </cell>
          <cell r="AQ523">
            <v>277.58999999999997</v>
          </cell>
          <cell r="AU523" t="str">
            <v>Газлифт</v>
          </cell>
          <cell r="AV523">
            <v>560.00001357400004</v>
          </cell>
          <cell r="AW523" t="str">
            <v>ГК 86 1/8</v>
          </cell>
          <cell r="AX523">
            <v>1039.9999986329999</v>
          </cell>
          <cell r="AY523" t="str">
            <v>ГК 84 1/8</v>
          </cell>
          <cell r="AZ523">
            <v>1419.9999480470001</v>
          </cell>
          <cell r="BA523" t="str">
            <v>ГК 83 1/8</v>
          </cell>
          <cell r="BB523">
            <v>1660.0000335939999</v>
          </cell>
          <cell r="BC523" t="str">
            <v>ГК 83 5/32</v>
          </cell>
          <cell r="BD523">
            <v>1929.999999609</v>
          </cell>
          <cell r="BE523" t="str">
            <v>ЦКсОК 5/16</v>
          </cell>
          <cell r="BF523" t="str">
            <v>-</v>
          </cell>
          <cell r="BG523" t="str">
            <v>-</v>
          </cell>
          <cell r="BH523" t="str">
            <v>-</v>
          </cell>
          <cell r="BI523" t="str">
            <v>-</v>
          </cell>
        </row>
        <row r="524">
          <cell r="J524">
            <v>3221</v>
          </cell>
          <cell r="K524" t="str">
            <v>К-21</v>
          </cell>
          <cell r="L524">
            <v>44195</v>
          </cell>
          <cell r="M524" t="str">
            <v>Гор.</v>
          </cell>
          <cell r="N524" t="str">
            <v>Р4+5_Block3</v>
          </cell>
          <cell r="O524" t="str">
            <v>Действующий</v>
          </cell>
          <cell r="P524" t="str">
            <v>Остановлена</v>
          </cell>
          <cell r="Q524">
            <v>-4</v>
          </cell>
          <cell r="U524">
            <v>203</v>
          </cell>
          <cell r="V524">
            <v>218.2</v>
          </cell>
          <cell r="W524">
            <v>0.98</v>
          </cell>
          <cell r="X524">
            <v>1.66</v>
          </cell>
          <cell r="Y524">
            <v>1.1663320906223114</v>
          </cell>
          <cell r="Z524">
            <v>1.454</v>
          </cell>
          <cell r="AA524">
            <v>0.83599999999999997</v>
          </cell>
          <cell r="AB524">
            <v>0.72</v>
          </cell>
          <cell r="AC524">
            <v>34.299999999999997</v>
          </cell>
          <cell r="AD524">
            <v>1.17</v>
          </cell>
          <cell r="AE524">
            <v>177.8</v>
          </cell>
          <cell r="AF524">
            <v>9.19</v>
          </cell>
          <cell r="AG524">
            <v>2033</v>
          </cell>
          <cell r="AH524">
            <v>2755</v>
          </cell>
          <cell r="AI524">
            <v>2755</v>
          </cell>
          <cell r="AM524" t="str">
            <v>открытый</v>
          </cell>
          <cell r="AN524" t="str">
            <v>2033-2755</v>
          </cell>
          <cell r="AO524">
            <v>54.31</v>
          </cell>
          <cell r="AP524">
            <v>2033</v>
          </cell>
          <cell r="AQ524">
            <v>126.41</v>
          </cell>
          <cell r="AU524" t="str">
            <v>Газлифт</v>
          </cell>
          <cell r="AV524">
            <v>659.99997480499997</v>
          </cell>
          <cell r="AW524" t="str">
            <v>ГП</v>
          </cell>
          <cell r="AX524">
            <v>1189.9999962889999</v>
          </cell>
          <cell r="AY524" t="str">
            <v>ГП</v>
          </cell>
          <cell r="AZ524">
            <v>1610</v>
          </cell>
          <cell r="BA524" t="str">
            <v>ГК 81 1/8</v>
          </cell>
          <cell r="BB524">
            <v>1899.9999703129999</v>
          </cell>
          <cell r="BC524" t="str">
            <v>ЦКсОК 5/16</v>
          </cell>
          <cell r="BD524" t="str">
            <v>-</v>
          </cell>
          <cell r="BE524" t="str">
            <v>-</v>
          </cell>
          <cell r="BF524" t="str">
            <v>-</v>
          </cell>
          <cell r="BG524" t="str">
            <v>-</v>
          </cell>
          <cell r="BH524" t="str">
            <v>-</v>
          </cell>
          <cell r="BI524" t="str">
            <v>-</v>
          </cell>
        </row>
        <row r="525">
          <cell r="J525">
            <v>3223</v>
          </cell>
          <cell r="K525" t="str">
            <v>К-1610</v>
          </cell>
          <cell r="L525">
            <v>43363</v>
          </cell>
          <cell r="M525" t="str">
            <v>Гор.</v>
          </cell>
          <cell r="N525" t="str">
            <v>Р4+5_Block3</v>
          </cell>
          <cell r="O525" t="str">
            <v>Действующий</v>
          </cell>
          <cell r="P525" t="str">
            <v>В работе</v>
          </cell>
          <cell r="Q525">
            <v>-4</v>
          </cell>
          <cell r="U525">
            <v>203</v>
          </cell>
          <cell r="V525">
            <v>218.2</v>
          </cell>
          <cell r="W525">
            <v>0.98</v>
          </cell>
          <cell r="X525">
            <v>1.66</v>
          </cell>
          <cell r="Y525">
            <v>0.98</v>
          </cell>
          <cell r="Z525">
            <v>1.454</v>
          </cell>
          <cell r="AA525">
            <v>0.83599999999999997</v>
          </cell>
          <cell r="AB525">
            <v>0.72</v>
          </cell>
          <cell r="AC525">
            <v>34.299999999999997</v>
          </cell>
          <cell r="AD525">
            <v>1.17</v>
          </cell>
          <cell r="AE525">
            <v>177.8</v>
          </cell>
          <cell r="AF525">
            <v>9.19</v>
          </cell>
          <cell r="AG525">
            <v>2041.5</v>
          </cell>
          <cell r="AH525">
            <v>2770</v>
          </cell>
          <cell r="AI525">
            <v>2770</v>
          </cell>
          <cell r="AM525" t="str">
            <v>открытый</v>
          </cell>
          <cell r="AN525" t="str">
            <v>2041,5-2770</v>
          </cell>
          <cell r="AU525" t="str">
            <v>Газлифт</v>
          </cell>
          <cell r="AV525">
            <v>465.00000761699999</v>
          </cell>
          <cell r="AW525" t="str">
            <v>ГК 79 1/8</v>
          </cell>
          <cell r="AX525">
            <v>890.99997714799997</v>
          </cell>
          <cell r="AY525" t="str">
            <v>ГК 81 1/8</v>
          </cell>
          <cell r="AZ525">
            <v>1261.000016016</v>
          </cell>
          <cell r="BA525" t="str">
            <v>ГК 82 1/8</v>
          </cell>
          <cell r="BB525">
            <v>1503.0000539059999</v>
          </cell>
          <cell r="BC525" t="str">
            <v>ГК 82 1/8</v>
          </cell>
          <cell r="BD525">
            <v>1830.0000011720001</v>
          </cell>
          <cell r="BE525" t="str">
            <v>ЦКсОК 5/16</v>
          </cell>
          <cell r="BF525" t="str">
            <v xml:space="preserve">  </v>
          </cell>
          <cell r="BG525" t="str">
            <v>-</v>
          </cell>
          <cell r="BH525" t="str">
            <v>-</v>
          </cell>
          <cell r="BI525" t="str">
            <v>-</v>
          </cell>
        </row>
        <row r="526">
          <cell r="J526">
            <v>3224</v>
          </cell>
          <cell r="K526" t="str">
            <v>Без куста</v>
          </cell>
          <cell r="L526">
            <v>43650</v>
          </cell>
          <cell r="M526" t="str">
            <v>Гор.</v>
          </cell>
          <cell r="N526" t="str">
            <v>Р4+5_Block3</v>
          </cell>
          <cell r="O526" t="str">
            <v>Действующий</v>
          </cell>
          <cell r="P526" t="str">
            <v>остановлена</v>
          </cell>
          <cell r="Q526">
            <v>-4</v>
          </cell>
          <cell r="U526">
            <v>203</v>
          </cell>
          <cell r="V526">
            <v>218.2</v>
          </cell>
          <cell r="W526">
            <v>0.98</v>
          </cell>
          <cell r="X526">
            <v>1.66</v>
          </cell>
          <cell r="Y526">
            <v>0.98399049639864788</v>
          </cell>
          <cell r="Z526">
            <v>1.454</v>
          </cell>
          <cell r="AA526">
            <v>0.83599999999999997</v>
          </cell>
          <cell r="AB526">
            <v>0.72</v>
          </cell>
          <cell r="AC526">
            <v>34.299999999999997</v>
          </cell>
          <cell r="AD526">
            <v>1.17</v>
          </cell>
          <cell r="AE526">
            <v>177.8</v>
          </cell>
          <cell r="AF526">
            <v>9.19</v>
          </cell>
          <cell r="AG526">
            <v>2105.6999999999998</v>
          </cell>
          <cell r="AH526">
            <v>2108</v>
          </cell>
          <cell r="AI526">
            <v>2108</v>
          </cell>
          <cell r="AM526" t="str">
            <v>открытый</v>
          </cell>
          <cell r="AN526" t="str">
            <v>2108-2714</v>
          </cell>
          <cell r="AO526">
            <v>38.97</v>
          </cell>
          <cell r="AP526">
            <v>2108</v>
          </cell>
          <cell r="AQ526">
            <v>256.06</v>
          </cell>
          <cell r="AU526" t="str">
            <v>Газлифт</v>
          </cell>
          <cell r="AV526">
            <v>510.00001435500002</v>
          </cell>
          <cell r="AW526" t="str">
            <v>ГП</v>
          </cell>
          <cell r="AX526">
            <v>909.99997089800002</v>
          </cell>
          <cell r="AY526" t="str">
            <v>ГП</v>
          </cell>
          <cell r="AZ526">
            <v>1230.0000105470001</v>
          </cell>
          <cell r="BA526" t="str">
            <v>ГК 90 1/8</v>
          </cell>
          <cell r="BB526">
            <v>1530.0000058590001</v>
          </cell>
          <cell r="BC526" t="str">
            <v>ГК 90 5/32</v>
          </cell>
          <cell r="BD526">
            <v>1819.999941797</v>
          </cell>
          <cell r="BE526" t="str">
            <v>ЦКсОК 5/16</v>
          </cell>
          <cell r="BF526" t="str">
            <v>-</v>
          </cell>
          <cell r="BG526" t="str">
            <v>-</v>
          </cell>
          <cell r="BH526" t="str">
            <v>-</v>
          </cell>
          <cell r="BI526" t="str">
            <v>-</v>
          </cell>
        </row>
        <row r="527">
          <cell r="J527">
            <v>3226</v>
          </cell>
          <cell r="K527" t="str">
            <v>К-11-1</v>
          </cell>
          <cell r="L527">
            <v>43901</v>
          </cell>
          <cell r="M527" t="str">
            <v>Гор.</v>
          </cell>
          <cell r="N527" t="str">
            <v>Р4+5_Block3</v>
          </cell>
          <cell r="O527" t="str">
            <v>Действующий</v>
          </cell>
          <cell r="P527" t="str">
            <v>В работе</v>
          </cell>
          <cell r="Q527">
            <v>-4</v>
          </cell>
          <cell r="U527">
            <v>203</v>
          </cell>
          <cell r="V527">
            <v>218.2</v>
          </cell>
          <cell r="W527">
            <v>0.98</v>
          </cell>
          <cell r="X527">
            <v>1.66</v>
          </cell>
          <cell r="Y527">
            <v>1.4021720393035684</v>
          </cell>
          <cell r="Z527">
            <v>1.454</v>
          </cell>
          <cell r="AA527">
            <v>0.83599999999999997</v>
          </cell>
          <cell r="AB527">
            <v>0.72</v>
          </cell>
          <cell r="AC527">
            <v>34.299999999999997</v>
          </cell>
          <cell r="AD527">
            <v>1.17</v>
          </cell>
          <cell r="AE527">
            <v>177.8</v>
          </cell>
          <cell r="AF527">
            <v>9.19</v>
          </cell>
          <cell r="AG527">
            <v>2379.5</v>
          </cell>
          <cell r="AH527">
            <v>3092</v>
          </cell>
          <cell r="AI527">
            <v>3092</v>
          </cell>
          <cell r="AM527" t="str">
            <v>открытый</v>
          </cell>
          <cell r="AN527" t="str">
            <v>2378-3092</v>
          </cell>
          <cell r="AO527">
            <v>46</v>
          </cell>
          <cell r="AP527">
            <v>2378</v>
          </cell>
          <cell r="AQ527">
            <v>530.29999999999995</v>
          </cell>
          <cell r="AU527" t="str">
            <v>ЭЦН</v>
          </cell>
          <cell r="AV527">
            <v>279</v>
          </cell>
          <cell r="AW527" t="str">
            <v>ГП</v>
          </cell>
          <cell r="AX527" t="str">
            <v>-</v>
          </cell>
          <cell r="AY527" t="str">
            <v>-</v>
          </cell>
          <cell r="AZ527" t="str">
            <v>-</v>
          </cell>
          <cell r="BA527" t="str">
            <v>-</v>
          </cell>
          <cell r="BB527" t="str">
            <v>-</v>
          </cell>
          <cell r="BC527" t="str">
            <v>-</v>
          </cell>
          <cell r="BD527" t="str">
            <v>-</v>
          </cell>
          <cell r="BE527" t="str">
            <v>-</v>
          </cell>
          <cell r="BF527" t="str">
            <v>-</v>
          </cell>
          <cell r="BG527" t="str">
            <v>-</v>
          </cell>
          <cell r="BH527">
            <v>1943</v>
          </cell>
          <cell r="BI527" t="str">
            <v>закрыт</v>
          </cell>
          <cell r="BK527" t="str">
            <v>D1050N</v>
          </cell>
          <cell r="BM527">
            <v>1338</v>
          </cell>
          <cell r="BN527">
            <v>58</v>
          </cell>
          <cell r="BO527">
            <v>72</v>
          </cell>
        </row>
        <row r="528">
          <cell r="J528">
            <v>3228</v>
          </cell>
          <cell r="K528" t="str">
            <v>К-54</v>
          </cell>
          <cell r="L528">
            <v>42138</v>
          </cell>
          <cell r="M528" t="str">
            <v>Гор.</v>
          </cell>
          <cell r="N528" t="str">
            <v>Р4+5_Block3, P5i</v>
          </cell>
          <cell r="O528" t="str">
            <v>Действующий</v>
          </cell>
          <cell r="P528" t="str">
            <v>Остановлена</v>
          </cell>
          <cell r="Q528">
            <v>-4</v>
          </cell>
          <cell r="U528">
            <v>203</v>
          </cell>
          <cell r="V528">
            <v>218.2</v>
          </cell>
          <cell r="W528">
            <v>0.98</v>
          </cell>
          <cell r="X528">
            <v>1.66</v>
          </cell>
          <cell r="Y528">
            <v>1.0819366852886405</v>
          </cell>
          <cell r="Z528">
            <v>1.454</v>
          </cell>
          <cell r="AA528">
            <v>0.83599999999999997</v>
          </cell>
          <cell r="AB528">
            <v>0.72</v>
          </cell>
          <cell r="AC528">
            <v>34.299999999999997</v>
          </cell>
          <cell r="AD528">
            <v>1.17</v>
          </cell>
          <cell r="AE528">
            <v>177.8</v>
          </cell>
          <cell r="AF528">
            <v>9.19</v>
          </cell>
          <cell r="AG528">
            <v>2379.5</v>
          </cell>
          <cell r="AH528">
            <v>3092</v>
          </cell>
          <cell r="AI528">
            <v>3092</v>
          </cell>
          <cell r="AM528" t="str">
            <v>открытый</v>
          </cell>
          <cell r="AN528" t="str">
            <v>2181-2798,85</v>
          </cell>
          <cell r="AO528">
            <v>68</v>
          </cell>
          <cell r="AP528">
            <v>2181</v>
          </cell>
          <cell r="AQ528">
            <v>323.89999999999998</v>
          </cell>
          <cell r="AU528" t="str">
            <v>Газлифт</v>
          </cell>
          <cell r="AV528">
            <v>621.00001113300004</v>
          </cell>
          <cell r="AW528" t="str">
            <v>ГК 94 1/8</v>
          </cell>
          <cell r="AX528">
            <v>1198.0000289059999</v>
          </cell>
          <cell r="AY528" t="str">
            <v>ГК 93 1/8</v>
          </cell>
          <cell r="AZ528">
            <v>1735.000032422</v>
          </cell>
          <cell r="BA528" t="str">
            <v>ЦКсОК 5/16</v>
          </cell>
          <cell r="BB528" t="str">
            <v>-</v>
          </cell>
          <cell r="BC528" t="str">
            <v>-</v>
          </cell>
          <cell r="BD528" t="str">
            <v>-</v>
          </cell>
          <cell r="BE528" t="str">
            <v>-</v>
          </cell>
          <cell r="BF528" t="str">
            <v>-</v>
          </cell>
          <cell r="BG528" t="str">
            <v>-</v>
          </cell>
          <cell r="BH528">
            <v>1750</v>
          </cell>
          <cell r="BI528" t="str">
            <v>закрыт</v>
          </cell>
        </row>
        <row r="529">
          <cell r="J529">
            <v>3230</v>
          </cell>
          <cell r="K529" t="str">
            <v>К-17</v>
          </cell>
          <cell r="L529">
            <v>42122</v>
          </cell>
          <cell r="M529" t="str">
            <v>Гор.</v>
          </cell>
          <cell r="N529" t="str">
            <v>P4+5+6_Block1_yug</v>
          </cell>
          <cell r="O529" t="str">
            <v>Действующий</v>
          </cell>
          <cell r="P529" t="str">
            <v>В работе</v>
          </cell>
          <cell r="Q529">
            <v>-4</v>
          </cell>
          <cell r="U529">
            <v>203</v>
          </cell>
          <cell r="V529">
            <v>218.2</v>
          </cell>
          <cell r="W529">
            <v>0.98</v>
          </cell>
          <cell r="X529">
            <v>1.66</v>
          </cell>
          <cell r="Y529">
            <v>1.0658371289749407</v>
          </cell>
          <cell r="Z529">
            <v>1.454</v>
          </cell>
          <cell r="AA529">
            <v>0.83599999999999997</v>
          </cell>
          <cell r="AB529">
            <v>0.72</v>
          </cell>
          <cell r="AC529">
            <v>34.299999999999997</v>
          </cell>
          <cell r="AD529">
            <v>1.17</v>
          </cell>
          <cell r="AE529">
            <v>177.8</v>
          </cell>
          <cell r="AF529">
            <v>9.19</v>
          </cell>
          <cell r="AG529">
            <v>2069</v>
          </cell>
          <cell r="AH529" t="str">
            <v>1 ств 2558
2 ств 2699</v>
          </cell>
          <cell r="AI529" t="str">
            <v>1 ств 2558
2 ств 2699</v>
          </cell>
          <cell r="AM529" t="str">
            <v>открытый</v>
          </cell>
          <cell r="AN529" t="str">
            <v xml:space="preserve"> 2069-2558; 2098-2699</v>
          </cell>
          <cell r="AO529">
            <v>33.869999999999891</v>
          </cell>
          <cell r="AP529" t="str">
            <v>2069;2098</v>
          </cell>
          <cell r="AQ529" t="str">
            <v>683,7/706,5</v>
          </cell>
          <cell r="AU529" t="str">
            <v>Газлифт</v>
          </cell>
          <cell r="AV529">
            <v>349.99999453100003</v>
          </cell>
          <cell r="AW529" t="str">
            <v>ГП</v>
          </cell>
          <cell r="AX529">
            <v>670.00003417999994</v>
          </cell>
          <cell r="AY529" t="str">
            <v>ГП</v>
          </cell>
          <cell r="AZ529">
            <v>980.00001445299995</v>
          </cell>
          <cell r="BA529" t="str">
            <v>ГП</v>
          </cell>
          <cell r="BB529">
            <v>1239.999995508</v>
          </cell>
          <cell r="BC529" t="str">
            <v>ГК 78 1/8</v>
          </cell>
          <cell r="BD529">
            <v>1449.9999773439999</v>
          </cell>
          <cell r="BE529" t="str">
            <v>ГК 79 5/32</v>
          </cell>
          <cell r="BF529" t="str">
            <v>-</v>
          </cell>
          <cell r="BG529" t="str">
            <v>-</v>
          </cell>
          <cell r="BH529">
            <v>1720</v>
          </cell>
          <cell r="BI529" t="str">
            <v>открыт</v>
          </cell>
        </row>
        <row r="530">
          <cell r="J530">
            <v>3232</v>
          </cell>
          <cell r="K530" t="str">
            <v>К-55</v>
          </cell>
          <cell r="L530">
            <v>43738</v>
          </cell>
          <cell r="M530" t="str">
            <v>Гор.</v>
          </cell>
          <cell r="N530" t="str">
            <v>Р4+5+6_Block2</v>
          </cell>
          <cell r="O530" t="str">
            <v>Действующий</v>
          </cell>
          <cell r="P530" t="str">
            <v>Остановлена</v>
          </cell>
          <cell r="Q530">
            <v>-4</v>
          </cell>
          <cell r="U530">
            <v>203</v>
          </cell>
          <cell r="V530">
            <v>218.2</v>
          </cell>
          <cell r="W530">
            <v>0.98</v>
          </cell>
          <cell r="X530">
            <v>1.66</v>
          </cell>
          <cell r="Y530">
            <v>0.98</v>
          </cell>
          <cell r="Z530">
            <v>1.454</v>
          </cell>
          <cell r="AA530">
            <v>0.83599999999999997</v>
          </cell>
          <cell r="AB530">
            <v>0.72</v>
          </cell>
          <cell r="AC530">
            <v>34.299999999999997</v>
          </cell>
          <cell r="AD530">
            <v>1.17</v>
          </cell>
          <cell r="AE530">
            <v>177.8</v>
          </cell>
          <cell r="AF530">
            <v>9.19</v>
          </cell>
          <cell r="AG530">
            <v>2602</v>
          </cell>
          <cell r="AH530">
            <v>3356</v>
          </cell>
          <cell r="AI530">
            <v>3356</v>
          </cell>
          <cell r="AM530" t="str">
            <v>открытый</v>
          </cell>
          <cell r="AN530" t="str">
            <v>2602-3356</v>
          </cell>
          <cell r="AO530">
            <v>76.400000000000006</v>
          </cell>
          <cell r="AP530">
            <v>2602</v>
          </cell>
          <cell r="AQ530">
            <v>704.7</v>
          </cell>
          <cell r="AU530" t="str">
            <v>Газлифт</v>
          </cell>
          <cell r="AV530">
            <v>289.99999174800001</v>
          </cell>
          <cell r="AW530" t="str">
            <v>ГП</v>
          </cell>
          <cell r="AX530">
            <v>560.00001357400004</v>
          </cell>
          <cell r="AY530" t="str">
            <v>ГП</v>
          </cell>
          <cell r="AZ530">
            <v>880.00001601600002</v>
          </cell>
          <cell r="BA530" t="str">
            <v>ГП</v>
          </cell>
          <cell r="BB530">
            <v>1209.9999662109999</v>
          </cell>
          <cell r="BC530" t="str">
            <v>ГК 80 1/8</v>
          </cell>
          <cell r="BD530">
            <v>1510.0000359380001</v>
          </cell>
          <cell r="BE530" t="str">
            <v>ГК 79 1/8</v>
          </cell>
          <cell r="BF530" t="str">
            <v>-</v>
          </cell>
          <cell r="BG530" t="str">
            <v>-</v>
          </cell>
          <cell r="BH530">
            <v>1790</v>
          </cell>
          <cell r="BI530" t="str">
            <v>открыт</v>
          </cell>
        </row>
        <row r="531">
          <cell r="J531">
            <v>3234</v>
          </cell>
          <cell r="K531" t="str">
            <v>К-1368</v>
          </cell>
          <cell r="L531">
            <v>35293</v>
          </cell>
          <cell r="M531" t="str">
            <v>Гор.</v>
          </cell>
          <cell r="N531" t="str">
            <v>Р4+5_Block3</v>
          </cell>
          <cell r="O531" t="str">
            <v>Действующий</v>
          </cell>
          <cell r="P531" t="str">
            <v>В работе</v>
          </cell>
          <cell r="Q531">
            <v>-4</v>
          </cell>
          <cell r="U531">
            <v>203</v>
          </cell>
          <cell r="V531">
            <v>218.2</v>
          </cell>
          <cell r="W531">
            <v>0.98</v>
          </cell>
          <cell r="X531">
            <v>1.66</v>
          </cell>
          <cell r="Y531">
            <v>0.98004014622285718</v>
          </cell>
          <cell r="Z531">
            <v>1.454</v>
          </cell>
          <cell r="AA531">
            <v>0.83599999999999997</v>
          </cell>
          <cell r="AB531">
            <v>0.72</v>
          </cell>
          <cell r="AC531">
            <v>34.299999999999997</v>
          </cell>
          <cell r="AD531">
            <v>1.17</v>
          </cell>
          <cell r="AE531">
            <v>177.8</v>
          </cell>
          <cell r="AF531">
            <v>9.19</v>
          </cell>
          <cell r="AG531">
            <v>2390.6999999999998</v>
          </cell>
          <cell r="AH531">
            <v>2959</v>
          </cell>
          <cell r="AI531">
            <v>2959</v>
          </cell>
          <cell r="AM531" t="str">
            <v>открытый</v>
          </cell>
          <cell r="AN531" t="str">
            <v>2391-2959</v>
          </cell>
          <cell r="AO531">
            <v>33.299999999999997</v>
          </cell>
          <cell r="AP531">
            <v>2390.6999999999998</v>
          </cell>
          <cell r="AQ531">
            <v>455.9</v>
          </cell>
          <cell r="AU531" t="str">
            <v>Газлифт</v>
          </cell>
          <cell r="AV531">
            <v>300</v>
          </cell>
          <cell r="AW531" t="str">
            <v>ГП</v>
          </cell>
          <cell r="AX531" t="str">
            <v>-</v>
          </cell>
          <cell r="AY531" t="str">
            <v>-</v>
          </cell>
          <cell r="AZ531" t="str">
            <v>-</v>
          </cell>
          <cell r="BA531" t="str">
            <v>-</v>
          </cell>
          <cell r="BB531" t="str">
            <v>-</v>
          </cell>
          <cell r="BC531" t="str">
            <v>-</v>
          </cell>
          <cell r="BD531" t="str">
            <v>-</v>
          </cell>
          <cell r="BE531" t="str">
            <v>-</v>
          </cell>
          <cell r="BF531" t="str">
            <v>-</v>
          </cell>
          <cell r="BG531" t="str">
            <v>-</v>
          </cell>
          <cell r="BH531" t="str">
            <v>-</v>
          </cell>
          <cell r="BI531" t="str">
            <v>-</v>
          </cell>
          <cell r="BO531">
            <v>55</v>
          </cell>
        </row>
        <row r="532">
          <cell r="J532">
            <v>3235</v>
          </cell>
          <cell r="K532" t="str">
            <v>К-22</v>
          </cell>
          <cell r="L532">
            <v>43561</v>
          </cell>
          <cell r="M532" t="str">
            <v>Гор.</v>
          </cell>
          <cell r="N532" t="str">
            <v>P4+5+6_Block1_yug</v>
          </cell>
          <cell r="O532" t="str">
            <v>Действующий</v>
          </cell>
          <cell r="P532" t="str">
            <v>В работе</v>
          </cell>
          <cell r="Q532">
            <v>-4</v>
          </cell>
          <cell r="U532">
            <v>203</v>
          </cell>
          <cell r="V532">
            <v>218.2</v>
          </cell>
          <cell r="W532">
            <v>0.98</v>
          </cell>
          <cell r="X532">
            <v>1.66</v>
          </cell>
          <cell r="Y532">
            <v>0.98</v>
          </cell>
          <cell r="Z532">
            <v>1.454</v>
          </cell>
          <cell r="AA532">
            <v>0.83599999999999997</v>
          </cell>
          <cell r="AB532">
            <v>0.72</v>
          </cell>
          <cell r="AC532">
            <v>34.299999999999997</v>
          </cell>
          <cell r="AD532">
            <v>1.17</v>
          </cell>
          <cell r="AE532">
            <v>177.8</v>
          </cell>
          <cell r="AF532">
            <v>9.19</v>
          </cell>
          <cell r="AG532">
            <v>2795</v>
          </cell>
          <cell r="AH532">
            <v>3670</v>
          </cell>
          <cell r="AI532">
            <v>3670</v>
          </cell>
          <cell r="AM532" t="str">
            <v>закрытый</v>
          </cell>
          <cell r="AN532" t="str">
            <v xml:space="preserve">2884-2885,4, 2979,3-2980,7, 3087,3-3088,8, 3207-3208,4, 3348-3349,3, 3468,3-3469,8, 3563,9-3585,1 </v>
          </cell>
          <cell r="AO532">
            <v>12.3</v>
          </cell>
          <cell r="AP532">
            <v>2884</v>
          </cell>
          <cell r="AQ532">
            <v>147</v>
          </cell>
          <cell r="AR532" t="str">
            <v>2680,8-3638</v>
          </cell>
          <cell r="AS532">
            <v>144</v>
          </cell>
          <cell r="AT532">
            <v>7.37</v>
          </cell>
          <cell r="AU532" t="str">
            <v>Газлифт</v>
          </cell>
          <cell r="AV532">
            <v>549.99999140600005</v>
          </cell>
          <cell r="AW532" t="str">
            <v>ГП</v>
          </cell>
          <cell r="AX532">
            <v>970.00002949199995</v>
          </cell>
          <cell r="AY532" t="str">
            <v>ГП</v>
          </cell>
          <cell r="AZ532">
            <v>1360.0000382809999</v>
          </cell>
          <cell r="BA532" t="str">
            <v>ГК 77 1/8</v>
          </cell>
          <cell r="BB532">
            <v>1685.0000332029999</v>
          </cell>
          <cell r="BC532" t="str">
            <v>ГК 76 1/8</v>
          </cell>
          <cell r="BD532">
            <v>1919.999940234</v>
          </cell>
          <cell r="BE532" t="str">
            <v>ЦКсОК 5/16</v>
          </cell>
          <cell r="BF532" t="str">
            <v>-</v>
          </cell>
          <cell r="BG532" t="str">
            <v>-</v>
          </cell>
          <cell r="BH532" t="str">
            <v>-</v>
          </cell>
          <cell r="BI532" t="str">
            <v>-</v>
          </cell>
        </row>
        <row r="533">
          <cell r="J533">
            <v>3239</v>
          </cell>
          <cell r="K533" t="str">
            <v>К-30</v>
          </cell>
          <cell r="L533">
            <v>42124</v>
          </cell>
          <cell r="M533" t="str">
            <v>Гор.</v>
          </cell>
          <cell r="N533" t="str">
            <v>Р4+5+6_Block2</v>
          </cell>
          <cell r="O533" t="str">
            <v>Действующий</v>
          </cell>
          <cell r="P533" t="str">
            <v>В работе</v>
          </cell>
          <cell r="Q533">
            <v>-4</v>
          </cell>
          <cell r="U533">
            <v>203</v>
          </cell>
          <cell r="V533">
            <v>218.2</v>
          </cell>
          <cell r="W533">
            <v>0.98</v>
          </cell>
          <cell r="X533">
            <v>1.66</v>
          </cell>
          <cell r="Y533">
            <v>0.98</v>
          </cell>
          <cell r="Z533">
            <v>1.454</v>
          </cell>
          <cell r="AA533">
            <v>0.83599999999999997</v>
          </cell>
          <cell r="AB533">
            <v>0.72</v>
          </cell>
          <cell r="AC533">
            <v>34.299999999999997</v>
          </cell>
          <cell r="AD533">
            <v>1.17</v>
          </cell>
          <cell r="AE533" t="str">
            <v>177,8;
114,3</v>
          </cell>
          <cell r="AF533">
            <v>9.19</v>
          </cell>
          <cell r="AG533">
            <v>2077.6</v>
          </cell>
          <cell r="AH533">
            <v>2800</v>
          </cell>
          <cell r="AI533">
            <v>2800</v>
          </cell>
          <cell r="AM533" t="str">
            <v>открытый</v>
          </cell>
          <cell r="AN533" t="str">
            <v>2104-2800</v>
          </cell>
          <cell r="AO533">
            <v>46.8</v>
          </cell>
          <cell r="AP533">
            <v>2104</v>
          </cell>
          <cell r="AQ533">
            <v>173.4</v>
          </cell>
          <cell r="AR533" t="str">
            <v>1926-2200</v>
          </cell>
          <cell r="AS533">
            <v>114</v>
          </cell>
          <cell r="AT533">
            <v>7.37</v>
          </cell>
          <cell r="AU533" t="str">
            <v>Газлифт</v>
          </cell>
          <cell r="AV533">
            <v>324.99999492199998</v>
          </cell>
          <cell r="AW533" t="str">
            <v>ГП</v>
          </cell>
          <cell r="AX533">
            <v>630.00001992199998</v>
          </cell>
          <cell r="AY533" t="str">
            <v>ГП</v>
          </cell>
          <cell r="AZ533">
            <v>899.99998593800001</v>
          </cell>
          <cell r="BA533" t="str">
            <v>ГК 80 1/8</v>
          </cell>
          <cell r="BB533">
            <v>1149.9999820309999</v>
          </cell>
          <cell r="BC533" t="str">
            <v>ГК 79 1/8</v>
          </cell>
          <cell r="BD533">
            <v>1360.0000382809999</v>
          </cell>
          <cell r="BE533" t="str">
            <v>ГК 79 1/8</v>
          </cell>
          <cell r="BF533" t="str">
            <v>-</v>
          </cell>
          <cell r="BG533" t="str">
            <v>-</v>
          </cell>
          <cell r="BH533">
            <v>1550</v>
          </cell>
          <cell r="BI533" t="str">
            <v>закрыт</v>
          </cell>
        </row>
        <row r="534">
          <cell r="J534">
            <v>3240</v>
          </cell>
          <cell r="K534" t="str">
            <v>К-32-1</v>
          </cell>
          <cell r="L534">
            <v>42258</v>
          </cell>
          <cell r="M534" t="str">
            <v>Гор.</v>
          </cell>
          <cell r="N534" t="str">
            <v>Р4+5+6_Block2</v>
          </cell>
          <cell r="O534" t="str">
            <v>Действующий</v>
          </cell>
          <cell r="P534" t="str">
            <v>В работе</v>
          </cell>
          <cell r="Q534">
            <v>-4</v>
          </cell>
          <cell r="U534">
            <v>203</v>
          </cell>
          <cell r="V534">
            <v>218.2</v>
          </cell>
          <cell r="W534">
            <v>0.98</v>
          </cell>
          <cell r="X534">
            <v>1.66</v>
          </cell>
          <cell r="Y534">
            <v>0.99380065829824771</v>
          </cell>
          <cell r="Z534">
            <v>1.454</v>
          </cell>
          <cell r="AA534">
            <v>0.83599999999999997</v>
          </cell>
          <cell r="AB534">
            <v>0.72</v>
          </cell>
          <cell r="AC534">
            <v>34.299999999999997</v>
          </cell>
          <cell r="AD534">
            <v>1.17</v>
          </cell>
          <cell r="AE534">
            <v>177.8</v>
          </cell>
          <cell r="AF534">
            <v>9.19</v>
          </cell>
          <cell r="AG534">
            <v>2164</v>
          </cell>
          <cell r="AH534">
            <v>2775</v>
          </cell>
          <cell r="AI534">
            <v>2775</v>
          </cell>
          <cell r="AM534" t="str">
            <v>открытый</v>
          </cell>
          <cell r="AN534" t="str">
            <v>2164-2775</v>
          </cell>
          <cell r="AO534">
            <v>12.05</v>
          </cell>
          <cell r="AP534">
            <v>2164</v>
          </cell>
          <cell r="AQ534">
            <v>267.60000000000002</v>
          </cell>
          <cell r="AU534" t="str">
            <v>Газлифт</v>
          </cell>
          <cell r="AV534">
            <v>529.99998427699995</v>
          </cell>
          <cell r="AW534" t="str">
            <v>ГП</v>
          </cell>
          <cell r="AX534">
            <v>998.00003203100005</v>
          </cell>
          <cell r="AY534" t="str">
            <v>ГП</v>
          </cell>
          <cell r="AZ534">
            <v>1384.0000617190001</v>
          </cell>
          <cell r="BA534" t="str">
            <v>ГК 77 1/8</v>
          </cell>
          <cell r="BB534">
            <v>1685.0000332029999</v>
          </cell>
          <cell r="BC534" t="str">
            <v>ГК 77 1/8</v>
          </cell>
          <cell r="BD534">
            <v>1931.9999519529999</v>
          </cell>
          <cell r="BE534" t="str">
            <v>ЦКсОК 5/16</v>
          </cell>
          <cell r="BF534" t="str">
            <v>-</v>
          </cell>
          <cell r="BG534" t="str">
            <v>-</v>
          </cell>
          <cell r="BH534" t="str">
            <v>-</v>
          </cell>
          <cell r="BI534" t="str">
            <v>-</v>
          </cell>
        </row>
        <row r="535">
          <cell r="J535">
            <v>3241</v>
          </cell>
          <cell r="K535" t="str">
            <v>К-33</v>
          </cell>
          <cell r="L535">
            <v>41940</v>
          </cell>
          <cell r="M535" t="str">
            <v>Гор.</v>
          </cell>
          <cell r="N535" t="str">
            <v>P4+5+6_Block1_yug</v>
          </cell>
          <cell r="O535" t="str">
            <v>Действующий</v>
          </cell>
          <cell r="P535" t="str">
            <v>В работе</v>
          </cell>
          <cell r="Q535">
            <v>-4</v>
          </cell>
          <cell r="U535">
            <v>203</v>
          </cell>
          <cell r="V535">
            <v>218.2</v>
          </cell>
          <cell r="W535">
            <v>0.98</v>
          </cell>
          <cell r="X535">
            <v>1.66</v>
          </cell>
          <cell r="Y535">
            <v>0.98132656434360654</v>
          </cell>
          <cell r="Z535">
            <v>1.454</v>
          </cell>
          <cell r="AA535">
            <v>0.83599999999999997</v>
          </cell>
          <cell r="AB535">
            <v>0.72</v>
          </cell>
          <cell r="AC535">
            <v>34.299999999999997</v>
          </cell>
          <cell r="AD535">
            <v>1.17</v>
          </cell>
          <cell r="AE535">
            <v>177.8</v>
          </cell>
          <cell r="AF535">
            <v>9.19</v>
          </cell>
          <cell r="AG535">
            <v>2342</v>
          </cell>
          <cell r="AH535">
            <v>2961</v>
          </cell>
          <cell r="AI535">
            <v>2961</v>
          </cell>
          <cell r="AM535" t="str">
            <v>открытый</v>
          </cell>
          <cell r="AN535" t="str">
            <v>2382,7-2960; 2445,2-2960; 2594-2798</v>
          </cell>
          <cell r="AO535">
            <v>56.310000000000173</v>
          </cell>
          <cell r="AP535">
            <v>2382.6999999999998</v>
          </cell>
          <cell r="AQ535">
            <v>400.04</v>
          </cell>
          <cell r="AU535" t="str">
            <v>Газлифт</v>
          </cell>
          <cell r="AV535">
            <v>550</v>
          </cell>
          <cell r="AW535" t="str">
            <v>ГК 86 1/8</v>
          </cell>
          <cell r="AX535">
            <v>1010</v>
          </cell>
          <cell r="AY535" t="str">
            <v>ГК 87 1/8</v>
          </cell>
          <cell r="AZ535">
            <v>1460</v>
          </cell>
          <cell r="BA535" t="str">
            <v>ГК 87 5/32</v>
          </cell>
          <cell r="BB535">
            <v>1820</v>
          </cell>
          <cell r="BC535" t="str">
            <v>ГК 88 5/32</v>
          </cell>
          <cell r="BD535">
            <v>2020</v>
          </cell>
          <cell r="BE535" t="str">
            <v>ЦКсОК 5/16</v>
          </cell>
          <cell r="BF535" t="str">
            <v>-</v>
          </cell>
          <cell r="BG535" t="str">
            <v>-</v>
          </cell>
          <cell r="BH535">
            <v>2030</v>
          </cell>
          <cell r="BI535" t="str">
            <v>закрыт</v>
          </cell>
        </row>
        <row r="536">
          <cell r="J536">
            <v>3242</v>
          </cell>
          <cell r="K536" t="str">
            <v>К-130</v>
          </cell>
          <cell r="L536">
            <v>43520</v>
          </cell>
          <cell r="M536" t="str">
            <v>Гор.</v>
          </cell>
          <cell r="N536" t="str">
            <v>P4+5+6_Block1_yug</v>
          </cell>
          <cell r="O536" t="str">
            <v>Действующий</v>
          </cell>
          <cell r="P536" t="str">
            <v>В работе</v>
          </cell>
          <cell r="Q536">
            <v>-4</v>
          </cell>
          <cell r="U536">
            <v>203</v>
          </cell>
          <cell r="V536">
            <v>218.2</v>
          </cell>
          <cell r="W536">
            <v>0.98</v>
          </cell>
          <cell r="X536">
            <v>1.66</v>
          </cell>
          <cell r="Y536">
            <v>1.0147079003505446</v>
          </cell>
          <cell r="Z536">
            <v>1.454</v>
          </cell>
          <cell r="AA536">
            <v>0.83599999999999997</v>
          </cell>
          <cell r="AB536">
            <v>0.72</v>
          </cell>
          <cell r="AC536">
            <v>34.299999999999997</v>
          </cell>
          <cell r="AD536">
            <v>1.17</v>
          </cell>
          <cell r="AE536">
            <v>177.8</v>
          </cell>
          <cell r="AF536">
            <v>9.19</v>
          </cell>
          <cell r="AG536">
            <v>2295</v>
          </cell>
          <cell r="AH536">
            <v>3185</v>
          </cell>
          <cell r="AI536">
            <v>3185</v>
          </cell>
          <cell r="AM536" t="str">
            <v>открытый</v>
          </cell>
          <cell r="AN536" t="str">
            <v>2475-3185</v>
          </cell>
          <cell r="AO536">
            <v>46.1</v>
          </cell>
          <cell r="AP536">
            <v>2475</v>
          </cell>
          <cell r="AQ536">
            <v>528.1</v>
          </cell>
          <cell r="AU536" t="str">
            <v>Газлифт</v>
          </cell>
          <cell r="AV536">
            <v>615.00000527300006</v>
          </cell>
          <cell r="AW536" t="str">
            <v>ГК 84 1/8</v>
          </cell>
          <cell r="AX536">
            <v>1180.000011328</v>
          </cell>
          <cell r="AY536" t="str">
            <v>ГК 85 5/32</v>
          </cell>
          <cell r="AZ536">
            <v>1630.000004297</v>
          </cell>
          <cell r="BA536" t="str">
            <v>ГК 85 3/16</v>
          </cell>
          <cell r="BB536">
            <v>2060.000027344</v>
          </cell>
          <cell r="BC536" t="str">
            <v>ЦКсОК 5/16</v>
          </cell>
          <cell r="BD536" t="str">
            <v>-</v>
          </cell>
          <cell r="BE536" t="str">
            <v>-</v>
          </cell>
          <cell r="BF536" t="str">
            <v>-</v>
          </cell>
          <cell r="BG536" t="str">
            <v>-</v>
          </cell>
          <cell r="BH536">
            <v>2070</v>
          </cell>
          <cell r="BI536" t="str">
            <v>закрыт</v>
          </cell>
        </row>
        <row r="537">
          <cell r="J537">
            <v>3243</v>
          </cell>
          <cell r="K537" t="str">
            <v>К-62</v>
          </cell>
          <cell r="L537">
            <v>35299</v>
          </cell>
          <cell r="M537" t="str">
            <v>Гор.</v>
          </cell>
          <cell r="N537" t="str">
            <v>Р4+5_Block3</v>
          </cell>
          <cell r="O537" t="str">
            <v>Действующий</v>
          </cell>
          <cell r="P537" t="str">
            <v>В работе</v>
          </cell>
          <cell r="Q537">
            <v>-4</v>
          </cell>
          <cell r="U537">
            <v>203</v>
          </cell>
          <cell r="V537">
            <v>218.2</v>
          </cell>
          <cell r="W537">
            <v>0.98</v>
          </cell>
          <cell r="X537">
            <v>1.66</v>
          </cell>
          <cell r="Y537">
            <v>0.98008029573507216</v>
          </cell>
          <cell r="Z537">
            <v>1.454</v>
          </cell>
          <cell r="AA537">
            <v>0.83599999999999997</v>
          </cell>
          <cell r="AB537">
            <v>0.72</v>
          </cell>
          <cell r="AC537">
            <v>34.299999999999997</v>
          </cell>
          <cell r="AD537">
            <v>1.17</v>
          </cell>
          <cell r="AE537" t="str">
            <v>177,8;
114,3</v>
          </cell>
          <cell r="AF537">
            <v>9.19</v>
          </cell>
          <cell r="AG537">
            <v>2017.1</v>
          </cell>
          <cell r="AH537">
            <v>2590</v>
          </cell>
          <cell r="AI537">
            <v>2590</v>
          </cell>
          <cell r="AM537" t="str">
            <v>Закрытый</v>
          </cell>
          <cell r="AN537" t="str">
            <v>2079,1-2079,8; 2208-2208,7; 2327,2-2327,9; 2486,3-2487; 2546,1-2546,8</v>
          </cell>
          <cell r="AO537">
            <v>76.400000000000006</v>
          </cell>
          <cell r="AP537">
            <v>2079.1</v>
          </cell>
          <cell r="AQ537">
            <v>198.1</v>
          </cell>
          <cell r="AR537" t="str">
            <v>1865-2547</v>
          </cell>
          <cell r="AS537">
            <v>114</v>
          </cell>
          <cell r="AT537">
            <v>7.37</v>
          </cell>
          <cell r="AU537" t="str">
            <v>Фон.</v>
          </cell>
          <cell r="AV537">
            <v>415</v>
          </cell>
          <cell r="AW537" t="str">
            <v>ГП</v>
          </cell>
          <cell r="AX537">
            <v>810</v>
          </cell>
          <cell r="AY537" t="str">
            <v>ГК 78 1/8</v>
          </cell>
          <cell r="AZ537">
            <v>1175</v>
          </cell>
          <cell r="BA537" t="str">
            <v>ГК 78 1/8</v>
          </cell>
          <cell r="BB537">
            <v>1510</v>
          </cell>
          <cell r="BC537" t="str">
            <v>ГК 78 1/8</v>
          </cell>
          <cell r="BD537" t="str">
            <v>-</v>
          </cell>
          <cell r="BE537" t="str">
            <v>-</v>
          </cell>
          <cell r="BF537" t="str">
            <v>-</v>
          </cell>
          <cell r="BG537" t="str">
            <v>-</v>
          </cell>
          <cell r="BH537">
            <v>1750</v>
          </cell>
          <cell r="BI537" t="str">
            <v>закрыт</v>
          </cell>
        </row>
        <row r="538">
          <cell r="J538">
            <v>3244</v>
          </cell>
          <cell r="K538" t="str">
            <v>К-40</v>
          </cell>
          <cell r="L538">
            <v>35300</v>
          </cell>
          <cell r="M538" t="str">
            <v>Гор.</v>
          </cell>
          <cell r="N538" t="str">
            <v>Р4+5_Block3</v>
          </cell>
          <cell r="O538" t="str">
            <v>Действующий</v>
          </cell>
          <cell r="P538" t="str">
            <v>В работе</v>
          </cell>
          <cell r="Q538">
            <v>-4</v>
          </cell>
          <cell r="U538">
            <v>203</v>
          </cell>
          <cell r="V538">
            <v>218.2</v>
          </cell>
          <cell r="W538">
            <v>0.98</v>
          </cell>
          <cell r="X538">
            <v>1.66</v>
          </cell>
          <cell r="Y538">
            <v>0.98</v>
          </cell>
          <cell r="Z538">
            <v>1.454</v>
          </cell>
          <cell r="AA538">
            <v>0.83599999999999997</v>
          </cell>
          <cell r="AB538">
            <v>0.72</v>
          </cell>
          <cell r="AC538">
            <v>34.299999999999997</v>
          </cell>
          <cell r="AD538">
            <v>1.17</v>
          </cell>
          <cell r="AE538">
            <v>177.8</v>
          </cell>
          <cell r="AF538">
            <v>9.19</v>
          </cell>
          <cell r="AG538">
            <v>2584</v>
          </cell>
          <cell r="AH538">
            <v>3259</v>
          </cell>
          <cell r="AI538">
            <v>3174</v>
          </cell>
          <cell r="AM538" t="str">
            <v>открытый</v>
          </cell>
          <cell r="AN538" t="str">
            <v>2584-3174</v>
          </cell>
          <cell r="AO538">
            <v>14</v>
          </cell>
          <cell r="AP538">
            <v>2584</v>
          </cell>
          <cell r="AQ538">
            <v>798.3</v>
          </cell>
          <cell r="AU538" t="str">
            <v>Фон.</v>
          </cell>
          <cell r="AV538">
            <v>440</v>
          </cell>
          <cell r="AW538" t="str">
            <v>ГП</v>
          </cell>
          <cell r="AX538">
            <v>800</v>
          </cell>
          <cell r="AY538" t="str">
            <v>ГП</v>
          </cell>
          <cell r="AZ538">
            <v>1080</v>
          </cell>
          <cell r="BA538" t="str">
            <v>ГП</v>
          </cell>
          <cell r="BB538">
            <v>1320</v>
          </cell>
          <cell r="BC538" t="str">
            <v>ГП</v>
          </cell>
          <cell r="BD538">
            <v>1520</v>
          </cell>
          <cell r="BE538" t="str">
            <v>ГК89/1,5</v>
          </cell>
          <cell r="BF538" t="str">
            <v>-</v>
          </cell>
          <cell r="BG538" t="str">
            <v>-</v>
          </cell>
          <cell r="BH538">
            <v>1720</v>
          </cell>
          <cell r="BI538" t="str">
            <v>закрыт</v>
          </cell>
        </row>
        <row r="539">
          <cell r="J539">
            <v>3245</v>
          </cell>
          <cell r="K539" t="str">
            <v>К-130</v>
          </cell>
          <cell r="L539">
            <v>43578</v>
          </cell>
          <cell r="M539" t="str">
            <v>Гор.</v>
          </cell>
          <cell r="N539" t="str">
            <v>P4+5+6_Block1_yug</v>
          </cell>
          <cell r="O539" t="str">
            <v>Действующий</v>
          </cell>
          <cell r="P539" t="str">
            <v>В работе</v>
          </cell>
          <cell r="Q539">
            <v>-4</v>
          </cell>
          <cell r="U539">
            <v>203</v>
          </cell>
          <cell r="V539">
            <v>218.2</v>
          </cell>
          <cell r="W539">
            <v>0.98</v>
          </cell>
          <cell r="X539">
            <v>1.66</v>
          </cell>
          <cell r="Y539">
            <v>1.0051157847910435</v>
          </cell>
          <cell r="Z539">
            <v>1.454</v>
          </cell>
          <cell r="AA539">
            <v>0.83599999999999997</v>
          </cell>
          <cell r="AB539">
            <v>0.72</v>
          </cell>
          <cell r="AC539">
            <v>34.299999999999997</v>
          </cell>
          <cell r="AD539">
            <v>1.17</v>
          </cell>
          <cell r="AE539">
            <v>177.8</v>
          </cell>
          <cell r="AF539">
            <v>9.19</v>
          </cell>
          <cell r="AG539">
            <v>2175</v>
          </cell>
          <cell r="AH539">
            <v>3080</v>
          </cell>
          <cell r="AI539">
            <v>3080</v>
          </cell>
          <cell r="AM539" t="str">
            <v>открытый</v>
          </cell>
          <cell r="AN539" t="str">
            <v>2175-3080</v>
          </cell>
          <cell r="AO539">
            <v>25.4</v>
          </cell>
          <cell r="AP539">
            <v>2175</v>
          </cell>
          <cell r="AQ539">
            <v>94.35</v>
          </cell>
          <cell r="AU539" t="str">
            <v>Газлифт</v>
          </cell>
          <cell r="AV539">
            <v>540.00000644500005</v>
          </cell>
          <cell r="AW539" t="str">
            <v>ГК 83 1/8</v>
          </cell>
          <cell r="AX539">
            <v>959.99997011699998</v>
          </cell>
          <cell r="AY539" t="str">
            <v>ГК 83 1/8</v>
          </cell>
          <cell r="AZ539">
            <v>1310.000039063</v>
          </cell>
          <cell r="BA539" t="str">
            <v>ГК 83 1/8</v>
          </cell>
          <cell r="BB539">
            <v>1624.999974609</v>
          </cell>
          <cell r="BC539" t="str">
            <v>ГК 82 5/32</v>
          </cell>
          <cell r="BD539">
            <v>1910.000029688</v>
          </cell>
          <cell r="BE539" t="str">
            <v>ЦКсОК 5/16</v>
          </cell>
          <cell r="BF539" t="str">
            <v>-</v>
          </cell>
          <cell r="BG539" t="str">
            <v>-</v>
          </cell>
          <cell r="BH539">
            <v>1929</v>
          </cell>
          <cell r="BI539" t="str">
            <v>закрыт</v>
          </cell>
        </row>
        <row r="540">
          <cell r="J540">
            <v>3246</v>
          </cell>
          <cell r="K540" t="str">
            <v>К-31/1</v>
          </cell>
          <cell r="L540">
            <v>42331</v>
          </cell>
          <cell r="M540" t="str">
            <v>Гор.</v>
          </cell>
          <cell r="N540" t="str">
            <v>Р4+5+6_Block2</v>
          </cell>
          <cell r="O540" t="str">
            <v>Действующий</v>
          </cell>
          <cell r="P540" t="str">
            <v>В работе</v>
          </cell>
          <cell r="Q540">
            <v>-4</v>
          </cell>
          <cell r="R540">
            <v>42499</v>
          </cell>
          <cell r="S540" t="str">
            <v>МеКаМиНефть</v>
          </cell>
          <cell r="T540" t="str">
            <v>Всего кислоты 180м3, жидкость 342.9м3</v>
          </cell>
          <cell r="U540">
            <v>203</v>
          </cell>
          <cell r="V540">
            <v>218.2</v>
          </cell>
          <cell r="W540">
            <v>0.98</v>
          </cell>
          <cell r="X540">
            <v>1.66</v>
          </cell>
          <cell r="Y540">
            <v>0.98403097023953534</v>
          </cell>
          <cell r="Z540">
            <v>1.454</v>
          </cell>
          <cell r="AA540">
            <v>0.83599999999999997</v>
          </cell>
          <cell r="AB540">
            <v>0.72</v>
          </cell>
          <cell r="AC540">
            <v>34.299999999999997</v>
          </cell>
          <cell r="AD540">
            <v>1.17</v>
          </cell>
          <cell r="AE540">
            <v>177.8</v>
          </cell>
          <cell r="AF540">
            <v>9.19</v>
          </cell>
          <cell r="AG540">
            <v>2685</v>
          </cell>
          <cell r="AH540">
            <v>3380</v>
          </cell>
          <cell r="AI540">
            <v>3380</v>
          </cell>
          <cell r="AM540" t="str">
            <v>открытый</v>
          </cell>
          <cell r="AN540" t="str">
            <v>2677-3100</v>
          </cell>
          <cell r="AO540">
            <v>63.3</v>
          </cell>
          <cell r="AP540">
            <v>2677</v>
          </cell>
          <cell r="AQ540">
            <v>519</v>
          </cell>
          <cell r="AR540" t="str">
            <v>2677-3100</v>
          </cell>
          <cell r="AS540">
            <v>114</v>
          </cell>
          <cell r="AT540">
            <v>7.37</v>
          </cell>
          <cell r="AU540" t="str">
            <v>Газлифт</v>
          </cell>
          <cell r="AV540">
            <v>579.99998349600003</v>
          </cell>
          <cell r="AW540" t="str">
            <v>ГП</v>
          </cell>
          <cell r="AX540">
            <v>1030.000013672</v>
          </cell>
          <cell r="AY540" t="str">
            <v>ГП</v>
          </cell>
          <cell r="AZ540">
            <v>1390.000067578</v>
          </cell>
          <cell r="BA540" t="str">
            <v>ГП</v>
          </cell>
          <cell r="BB540">
            <v>1699.9999734380001</v>
          </cell>
          <cell r="BC540" t="str">
            <v>ЦКсОК 5/16</v>
          </cell>
          <cell r="BD540" t="str">
            <v>-</v>
          </cell>
          <cell r="BE540" t="str">
            <v>-</v>
          </cell>
          <cell r="BF540" t="str">
            <v>-</v>
          </cell>
          <cell r="BG540" t="str">
            <v>-</v>
          </cell>
          <cell r="BH540">
            <v>1730</v>
          </cell>
          <cell r="BI540" t="str">
            <v>закрыт</v>
          </cell>
        </row>
        <row r="541">
          <cell r="J541">
            <v>3248</v>
          </cell>
          <cell r="K541" t="str">
            <v>К-61</v>
          </cell>
          <cell r="L541">
            <v>35303</v>
          </cell>
          <cell r="M541" t="str">
            <v>Гор.</v>
          </cell>
          <cell r="N541" t="str">
            <v>Р4+5+6_Block2</v>
          </cell>
          <cell r="O541" t="str">
            <v>Действующий</v>
          </cell>
          <cell r="P541" t="str">
            <v>В работе</v>
          </cell>
          <cell r="Q541">
            <v>-4</v>
          </cell>
          <cell r="U541">
            <v>203</v>
          </cell>
          <cell r="V541">
            <v>218.2</v>
          </cell>
          <cell r="W541">
            <v>0.98</v>
          </cell>
          <cell r="X541">
            <v>1.66</v>
          </cell>
          <cell r="Y541">
            <v>0.98</v>
          </cell>
          <cell r="Z541">
            <v>1.454</v>
          </cell>
          <cell r="AA541">
            <v>0.83599999999999997</v>
          </cell>
          <cell r="AB541">
            <v>0.72</v>
          </cell>
          <cell r="AC541">
            <v>34.299999999999997</v>
          </cell>
          <cell r="AD541">
            <v>1.17</v>
          </cell>
          <cell r="AE541">
            <v>177.8</v>
          </cell>
          <cell r="AF541">
            <v>9.19</v>
          </cell>
          <cell r="AG541">
            <v>2626</v>
          </cell>
          <cell r="AH541">
            <v>3173</v>
          </cell>
          <cell r="AI541">
            <v>3173</v>
          </cell>
          <cell r="AM541" t="str">
            <v>открытый</v>
          </cell>
          <cell r="AN541" t="str">
            <v>2626-3173</v>
          </cell>
          <cell r="AO541">
            <v>87.1</v>
          </cell>
          <cell r="AP541">
            <v>2626</v>
          </cell>
          <cell r="AQ541">
            <v>736.4</v>
          </cell>
          <cell r="AU541" t="str">
            <v>Газлифт</v>
          </cell>
          <cell r="AV541">
            <v>445.00000048800001</v>
          </cell>
          <cell r="AW541" t="str">
            <v>ГП</v>
          </cell>
          <cell r="AX541">
            <v>920.00003027299999</v>
          </cell>
          <cell r="AY541" t="str">
            <v>ГП</v>
          </cell>
          <cell r="AZ541">
            <v>1394.999948438</v>
          </cell>
          <cell r="BA541" t="str">
            <v>ГК 84 5/32</v>
          </cell>
          <cell r="BB541">
            <v>1710.000032813</v>
          </cell>
          <cell r="BC541" t="str">
            <v>ЦКсОК 5/16</v>
          </cell>
          <cell r="BD541" t="str">
            <v>-</v>
          </cell>
          <cell r="BE541" t="str">
            <v>-</v>
          </cell>
          <cell r="BF541" t="str">
            <v>-</v>
          </cell>
          <cell r="BG541" t="str">
            <v>-</v>
          </cell>
          <cell r="BH541" t="str">
            <v>-</v>
          </cell>
          <cell r="BI541" t="str">
            <v>-</v>
          </cell>
        </row>
        <row r="542">
          <cell r="J542">
            <v>3249</v>
          </cell>
          <cell r="K542" t="str">
            <v>К-61</v>
          </cell>
          <cell r="L542">
            <v>35304</v>
          </cell>
          <cell r="M542" t="str">
            <v>Гор.</v>
          </cell>
          <cell r="N542" t="str">
            <v>Р4+5+6_Block2</v>
          </cell>
          <cell r="O542" t="str">
            <v>Действующий</v>
          </cell>
          <cell r="P542" t="str">
            <v>В работе</v>
          </cell>
          <cell r="Q542">
            <v>-4</v>
          </cell>
          <cell r="U542">
            <v>203</v>
          </cell>
          <cell r="V542">
            <v>218.2</v>
          </cell>
          <cell r="W542">
            <v>0.98</v>
          </cell>
          <cell r="X542">
            <v>1.66</v>
          </cell>
          <cell r="Y542">
            <v>0.98</v>
          </cell>
          <cell r="Z542">
            <v>1.454</v>
          </cell>
          <cell r="AA542">
            <v>0.83599999999999997</v>
          </cell>
          <cell r="AB542">
            <v>0.72</v>
          </cell>
          <cell r="AC542">
            <v>34.299999999999997</v>
          </cell>
          <cell r="AD542">
            <v>1.17</v>
          </cell>
          <cell r="AE542">
            <v>177.8</v>
          </cell>
          <cell r="AF542">
            <v>9.19</v>
          </cell>
          <cell r="AG542">
            <v>2062</v>
          </cell>
          <cell r="AH542">
            <v>2651</v>
          </cell>
          <cell r="AI542">
            <v>2651</v>
          </cell>
          <cell r="AM542" t="str">
            <v>открытый</v>
          </cell>
          <cell r="AN542" t="str">
            <v>2062-2651</v>
          </cell>
          <cell r="AO542">
            <v>25.4</v>
          </cell>
          <cell r="AP542">
            <v>2062</v>
          </cell>
          <cell r="AQ542">
            <v>148</v>
          </cell>
          <cell r="AU542" t="str">
            <v>Газлифт</v>
          </cell>
          <cell r="AV542">
            <v>565.00000605499997</v>
          </cell>
          <cell r="AW542" t="str">
            <v>ГК 79 1/8</v>
          </cell>
          <cell r="AX542">
            <v>930.00001523399999</v>
          </cell>
          <cell r="AY542" t="str">
            <v>ГК 80 1/8</v>
          </cell>
          <cell r="AZ542">
            <v>1274.9999800779999</v>
          </cell>
          <cell r="BA542" t="str">
            <v>ГК 81 1/8</v>
          </cell>
          <cell r="BB542">
            <v>1574.9999753909999</v>
          </cell>
          <cell r="BC542" t="str">
            <v>ЦКсОК 5/16</v>
          </cell>
          <cell r="BD542" t="str">
            <v>-</v>
          </cell>
          <cell r="BE542" t="str">
            <v>-</v>
          </cell>
          <cell r="BF542" t="str">
            <v>-</v>
          </cell>
          <cell r="BG542" t="str">
            <v>-</v>
          </cell>
          <cell r="BH542">
            <v>1740</v>
          </cell>
          <cell r="BI542" t="str">
            <v>закрыт</v>
          </cell>
        </row>
        <row r="543">
          <cell r="J543">
            <v>3250</v>
          </cell>
          <cell r="K543" t="str">
            <v>К-28</v>
          </cell>
          <cell r="L543">
            <v>35305</v>
          </cell>
          <cell r="M543" t="str">
            <v>Гор.</v>
          </cell>
          <cell r="N543" t="str">
            <v>Р4+5+6_Block2</v>
          </cell>
          <cell r="O543" t="str">
            <v>Действующий</v>
          </cell>
          <cell r="P543" t="str">
            <v>В работе</v>
          </cell>
          <cell r="Q543">
            <v>-4</v>
          </cell>
          <cell r="U543">
            <v>203</v>
          </cell>
          <cell r="V543">
            <v>218.2</v>
          </cell>
          <cell r="W543">
            <v>0.98</v>
          </cell>
          <cell r="X543">
            <v>1.66</v>
          </cell>
          <cell r="Y543">
            <v>1.1495195025438099</v>
          </cell>
          <cell r="Z543">
            <v>1.454</v>
          </cell>
          <cell r="AA543">
            <v>0.83599999999999997</v>
          </cell>
          <cell r="AB543">
            <v>0.72</v>
          </cell>
          <cell r="AC543">
            <v>34.299999999999997</v>
          </cell>
          <cell r="AD543">
            <v>1.17</v>
          </cell>
          <cell r="AE543">
            <v>177.8</v>
          </cell>
          <cell r="AF543">
            <v>9.19</v>
          </cell>
          <cell r="AG543">
            <v>2163</v>
          </cell>
          <cell r="AH543">
            <v>2875</v>
          </cell>
          <cell r="AI543">
            <v>2875</v>
          </cell>
          <cell r="AM543" t="str">
            <v>открытый</v>
          </cell>
          <cell r="AN543" t="str">
            <v>2163-2875</v>
          </cell>
          <cell r="AO543">
            <v>44.37</v>
          </cell>
          <cell r="AP543">
            <v>2163</v>
          </cell>
          <cell r="AQ543">
            <v>227</v>
          </cell>
          <cell r="AU543" t="str">
            <v>Газлифт</v>
          </cell>
          <cell r="AV543">
            <v>599.99999062500001</v>
          </cell>
          <cell r="AW543" t="str">
            <v>ГП</v>
          </cell>
          <cell r="AX543">
            <v>1109.999967773</v>
          </cell>
          <cell r="AY543" t="str">
            <v>ГП</v>
          </cell>
          <cell r="AZ543">
            <v>1540.000065234</v>
          </cell>
          <cell r="BA543" t="str">
            <v>ГК 85 1/8</v>
          </cell>
          <cell r="BB543">
            <v>1928.0000472659999</v>
          </cell>
          <cell r="BC543" t="str">
            <v>ЦКсОК 5/16</v>
          </cell>
          <cell r="BD543" t="str">
            <v>-</v>
          </cell>
          <cell r="BE543" t="str">
            <v>-</v>
          </cell>
          <cell r="BF543" t="str">
            <v>-</v>
          </cell>
          <cell r="BG543" t="str">
            <v>-</v>
          </cell>
          <cell r="BH543">
            <v>1938</v>
          </cell>
          <cell r="BI543" t="str">
            <v>закрыт</v>
          </cell>
        </row>
        <row r="544">
          <cell r="J544">
            <v>3251</v>
          </cell>
          <cell r="K544" t="str">
            <v>К-28</v>
          </cell>
          <cell r="L544">
            <v>35306</v>
          </cell>
          <cell r="M544" t="str">
            <v>Гор.</v>
          </cell>
          <cell r="N544" t="str">
            <v>Р4+5+6_Block2</v>
          </cell>
          <cell r="O544" t="str">
            <v>Действующий</v>
          </cell>
          <cell r="P544" t="str">
            <v>В работе</v>
          </cell>
          <cell r="Q544">
            <v>-4</v>
          </cell>
          <cell r="U544">
            <v>203</v>
          </cell>
          <cell r="V544">
            <v>218.2</v>
          </cell>
          <cell r="W544">
            <v>0.98</v>
          </cell>
          <cell r="X544">
            <v>1.66</v>
          </cell>
          <cell r="Y544">
            <v>0.99923834795213873</v>
          </cell>
          <cell r="Z544">
            <v>1.454</v>
          </cell>
          <cell r="AA544">
            <v>0.83599999999999997</v>
          </cell>
          <cell r="AB544">
            <v>0.72</v>
          </cell>
          <cell r="AC544">
            <v>34.299999999999997</v>
          </cell>
          <cell r="AD544">
            <v>1.17</v>
          </cell>
          <cell r="AE544">
            <v>177.8</v>
          </cell>
          <cell r="AF544">
            <v>9.19</v>
          </cell>
          <cell r="AG544">
            <v>2358</v>
          </cell>
          <cell r="AH544">
            <v>3094</v>
          </cell>
          <cell r="AI544">
            <v>3094</v>
          </cell>
          <cell r="AM544" t="str">
            <v>открытый</v>
          </cell>
          <cell r="AN544" t="str">
            <v xml:space="preserve">2204-2846
2360-3005
</v>
          </cell>
          <cell r="AO544">
            <v>48.65</v>
          </cell>
          <cell r="AP544">
            <v>2465</v>
          </cell>
          <cell r="AQ544">
            <v>538</v>
          </cell>
          <cell r="AU544" t="str">
            <v>Газлифт</v>
          </cell>
          <cell r="AV544">
            <v>523.00000224600001</v>
          </cell>
          <cell r="AW544" t="str">
            <v>ГП</v>
          </cell>
          <cell r="AX544">
            <v>1106.999964844</v>
          </cell>
          <cell r="AY544" t="str">
            <v>ГК 85 1/8</v>
          </cell>
          <cell r="AZ544">
            <v>1630.000004297</v>
          </cell>
          <cell r="BA544" t="str">
            <v>ГК 83 1/8</v>
          </cell>
          <cell r="BB544">
            <v>1990.000058203</v>
          </cell>
          <cell r="BC544" t="str">
            <v>ГК 82 1/8</v>
          </cell>
          <cell r="BD544">
            <v>2169.9999363279999</v>
          </cell>
          <cell r="BE544" t="str">
            <v>ЦКсОК 5/16</v>
          </cell>
          <cell r="BF544" t="str">
            <v>-</v>
          </cell>
          <cell r="BG544" t="str">
            <v>-</v>
          </cell>
          <cell r="BH544" t="str">
            <v>-</v>
          </cell>
          <cell r="BI544" t="str">
            <v>-</v>
          </cell>
        </row>
        <row r="545">
          <cell r="J545">
            <v>3252</v>
          </cell>
          <cell r="K545" t="str">
            <v>К-52</v>
          </cell>
          <cell r="L545">
            <v>35307</v>
          </cell>
          <cell r="M545" t="str">
            <v>Гор.</v>
          </cell>
          <cell r="N545" t="str">
            <v>Р4+5_Block3</v>
          </cell>
          <cell r="O545" t="str">
            <v>Действующий</v>
          </cell>
          <cell r="P545" t="str">
            <v>В работе</v>
          </cell>
          <cell r="Q545">
            <v>-4</v>
          </cell>
          <cell r="U545">
            <v>203</v>
          </cell>
          <cell r="V545">
            <v>218.2</v>
          </cell>
          <cell r="W545">
            <v>0.98</v>
          </cell>
          <cell r="X545">
            <v>1.66</v>
          </cell>
          <cell r="Y545">
            <v>0.9807231356132472</v>
          </cell>
          <cell r="Z545">
            <v>1.454</v>
          </cell>
          <cell r="AA545">
            <v>0.83599999999999997</v>
          </cell>
          <cell r="AB545">
            <v>0.72</v>
          </cell>
          <cell r="AC545">
            <v>34.299999999999997</v>
          </cell>
          <cell r="AD545">
            <v>1.17</v>
          </cell>
          <cell r="AE545" t="str">
            <v>177,8;
114,3</v>
          </cell>
          <cell r="AF545">
            <v>9.19</v>
          </cell>
          <cell r="AG545">
            <v>2092</v>
          </cell>
          <cell r="AH545">
            <v>2660</v>
          </cell>
          <cell r="AI545">
            <v>2660</v>
          </cell>
          <cell r="AM545" t="str">
            <v>Закрытый</v>
          </cell>
          <cell r="AN545" t="str">
            <v>2193,8-2252,8; 2303,7-2342; 2411,9-2462,4; 2514,3-2565; 2616,6-2617</v>
          </cell>
          <cell r="AO545">
            <v>63.19</v>
          </cell>
          <cell r="AP545">
            <v>2193.8000000000002</v>
          </cell>
          <cell r="AQ545">
            <v>333.07</v>
          </cell>
          <cell r="AR545" t="str">
            <v>1935-2657</v>
          </cell>
          <cell r="AS545">
            <v>114</v>
          </cell>
          <cell r="AT545">
            <v>7.37</v>
          </cell>
          <cell r="AU545" t="str">
            <v>Газлифт</v>
          </cell>
          <cell r="AV545">
            <v>579.99998349600003</v>
          </cell>
          <cell r="AW545" t="str">
            <v>ГП</v>
          </cell>
          <cell r="AX545">
            <v>1049.999983594</v>
          </cell>
          <cell r="AY545" t="str">
            <v>ГП</v>
          </cell>
          <cell r="AZ545">
            <v>1406.999960156</v>
          </cell>
          <cell r="BA545" t="str">
            <v>ГП</v>
          </cell>
          <cell r="BB545">
            <v>1580.000005078</v>
          </cell>
          <cell r="BC545" t="str">
            <v>ГК 93 5/32</v>
          </cell>
          <cell r="BD545">
            <v>1791.0000375</v>
          </cell>
          <cell r="BE545" t="str">
            <v>ЦКсОК 5/16</v>
          </cell>
          <cell r="BF545" t="str">
            <v>-</v>
          </cell>
          <cell r="BG545" t="str">
            <v>-</v>
          </cell>
          <cell r="BH545" t="str">
            <v>-</v>
          </cell>
          <cell r="BI545" t="str">
            <v>-</v>
          </cell>
        </row>
        <row r="546">
          <cell r="J546">
            <v>3253</v>
          </cell>
          <cell r="K546" t="str">
            <v>К-52</v>
          </cell>
          <cell r="L546">
            <v>35308</v>
          </cell>
          <cell r="M546" t="str">
            <v>Гор.</v>
          </cell>
          <cell r="N546" t="str">
            <v>Р4+5_Block3</v>
          </cell>
          <cell r="O546" t="str">
            <v>Действующий</v>
          </cell>
          <cell r="P546" t="str">
            <v>В работе</v>
          </cell>
          <cell r="Q546">
            <v>-4</v>
          </cell>
          <cell r="U546">
            <v>203</v>
          </cell>
          <cell r="V546">
            <v>218.2</v>
          </cell>
          <cell r="W546">
            <v>0.98</v>
          </cell>
          <cell r="X546">
            <v>1.66</v>
          </cell>
          <cell r="Y546">
            <v>0.98</v>
          </cell>
          <cell r="Z546">
            <v>1.454</v>
          </cell>
          <cell r="AA546">
            <v>0.83599999999999997</v>
          </cell>
          <cell r="AB546">
            <v>0.72</v>
          </cell>
          <cell r="AC546">
            <v>34.299999999999997</v>
          </cell>
          <cell r="AD546">
            <v>1.17</v>
          </cell>
          <cell r="AE546">
            <v>177.8</v>
          </cell>
          <cell r="AF546">
            <v>9.19</v>
          </cell>
          <cell r="AG546">
            <v>2134</v>
          </cell>
          <cell r="AH546">
            <v>2740</v>
          </cell>
          <cell r="AI546">
            <v>2740</v>
          </cell>
          <cell r="AM546" t="str">
            <v>открытый</v>
          </cell>
          <cell r="AN546" t="str">
            <v>2140-2728</v>
          </cell>
          <cell r="AO546">
            <v>40</v>
          </cell>
          <cell r="AP546">
            <v>2140</v>
          </cell>
          <cell r="AQ546">
            <v>255</v>
          </cell>
          <cell r="AU546" t="str">
            <v>Газлифт</v>
          </cell>
          <cell r="AV546">
            <v>519.99999931599996</v>
          </cell>
          <cell r="AW546" t="str">
            <v>ГП</v>
          </cell>
          <cell r="AX546">
            <v>949.99998515599998</v>
          </cell>
          <cell r="AY546" t="str">
            <v>ГП</v>
          </cell>
          <cell r="AZ546">
            <v>1290.000069141</v>
          </cell>
          <cell r="BA546" t="str">
            <v>ГК 84 5/32</v>
          </cell>
          <cell r="BB546">
            <v>1590.000064453</v>
          </cell>
          <cell r="BC546" t="str">
            <v>ГК 84 5/32</v>
          </cell>
          <cell r="BD546">
            <v>1869.9999410160001</v>
          </cell>
          <cell r="BE546" t="str">
            <v>ЦКсОК 5/16</v>
          </cell>
          <cell r="BF546" t="str">
            <v>-</v>
          </cell>
          <cell r="BG546" t="str">
            <v>-</v>
          </cell>
          <cell r="BH546">
            <v>1880</v>
          </cell>
          <cell r="BI546" t="str">
            <v>закрыт</v>
          </cell>
        </row>
        <row r="547">
          <cell r="J547">
            <v>3254</v>
          </cell>
          <cell r="K547" t="str">
            <v>К-54</v>
          </cell>
          <cell r="L547">
            <v>35309</v>
          </cell>
          <cell r="M547" t="str">
            <v>Гор.</v>
          </cell>
          <cell r="N547" t="str">
            <v>Р4+5_Block3, P5i</v>
          </cell>
          <cell r="O547" t="str">
            <v>Действующий</v>
          </cell>
          <cell r="P547" t="str">
            <v>В работе</v>
          </cell>
          <cell r="Q547">
            <v>-4</v>
          </cell>
          <cell r="U547">
            <v>203</v>
          </cell>
          <cell r="V547">
            <v>218.2</v>
          </cell>
          <cell r="W547">
            <v>0.98</v>
          </cell>
          <cell r="X547">
            <v>1.66</v>
          </cell>
          <cell r="Y547">
            <v>1.1210249370853349</v>
          </cell>
          <cell r="Z547">
            <v>1.454</v>
          </cell>
          <cell r="AA547">
            <v>0.83599999999999997</v>
          </cell>
          <cell r="AB547">
            <v>0.72</v>
          </cell>
          <cell r="AC547">
            <v>34.299999999999997</v>
          </cell>
          <cell r="AD547">
            <v>1.17</v>
          </cell>
          <cell r="AE547">
            <v>177.8</v>
          </cell>
          <cell r="AF547">
            <v>9.19</v>
          </cell>
          <cell r="AG547">
            <v>2139.5</v>
          </cell>
          <cell r="AH547">
            <v>2843</v>
          </cell>
          <cell r="AI547">
            <v>2843</v>
          </cell>
          <cell r="AM547" t="str">
            <v>закрытый</v>
          </cell>
          <cell r="AN547" t="str">
            <v>2239,83-2241,03; 2411,62-2412,82; 2534,6-2535,8; 2644,83-2646,03; 2731,12-2732,32; 2829,08-2830,28</v>
          </cell>
          <cell r="AO547">
            <v>51.99</v>
          </cell>
          <cell r="AP547">
            <v>2239.83</v>
          </cell>
          <cell r="AQ547">
            <v>367</v>
          </cell>
          <cell r="AU547" t="str">
            <v>Газлифт</v>
          </cell>
          <cell r="AV547">
            <v>494.99999970699997</v>
          </cell>
          <cell r="AW547" t="str">
            <v>ГК 86 1/8</v>
          </cell>
          <cell r="AX547">
            <v>936.99999726600004</v>
          </cell>
          <cell r="AY547" t="str">
            <v>ГК 84 1/8</v>
          </cell>
          <cell r="AZ547">
            <v>1287.999967969</v>
          </cell>
          <cell r="BA547" t="str">
            <v>ГК 82 1/8</v>
          </cell>
          <cell r="BB547">
            <v>1554.0000292970001</v>
          </cell>
          <cell r="BC547" t="str">
            <v>ГК 81 5/32</v>
          </cell>
          <cell r="BD547">
            <v>1848.999994922</v>
          </cell>
          <cell r="BE547" t="str">
            <v>ЦКсОК 5/16</v>
          </cell>
          <cell r="BF547" t="str">
            <v>-</v>
          </cell>
          <cell r="BG547" t="str">
            <v>-</v>
          </cell>
          <cell r="BH547" t="str">
            <v>-</v>
          </cell>
          <cell r="BI547" t="str">
            <v>-</v>
          </cell>
        </row>
        <row r="548">
          <cell r="J548">
            <v>3255</v>
          </cell>
          <cell r="K548" t="str">
            <v>К-28</v>
          </cell>
          <cell r="L548">
            <v>35310</v>
          </cell>
          <cell r="M548" t="str">
            <v>Гор.</v>
          </cell>
          <cell r="N548" t="str">
            <v>Р4+5+6_Block2</v>
          </cell>
          <cell r="O548" t="str">
            <v>Действующий</v>
          </cell>
          <cell r="P548" t="str">
            <v>В работе</v>
          </cell>
          <cell r="Q548">
            <v>-4</v>
          </cell>
          <cell r="U548">
            <v>203</v>
          </cell>
          <cell r="V548">
            <v>218.2</v>
          </cell>
          <cell r="W548">
            <v>0.98</v>
          </cell>
          <cell r="X548">
            <v>1.66</v>
          </cell>
          <cell r="Y548">
            <v>0.98850351214058285</v>
          </cell>
          <cell r="Z548">
            <v>1.454</v>
          </cell>
          <cell r="AA548">
            <v>0.83599999999999997</v>
          </cell>
          <cell r="AB548">
            <v>0.72</v>
          </cell>
          <cell r="AC548">
            <v>34.299999999999997</v>
          </cell>
          <cell r="AD548">
            <v>1.17</v>
          </cell>
          <cell r="AE548">
            <v>177.8</v>
          </cell>
          <cell r="AF548">
            <v>9.19</v>
          </cell>
          <cell r="AG548">
            <v>2320.6999999999998</v>
          </cell>
          <cell r="AH548">
            <v>2962</v>
          </cell>
          <cell r="AI548">
            <v>2962</v>
          </cell>
          <cell r="AM548" t="str">
            <v>открытый</v>
          </cell>
          <cell r="AN548" t="str">
            <v>2269-2962</v>
          </cell>
          <cell r="AO548">
            <v>25.14</v>
          </cell>
          <cell r="AP548">
            <v>2269</v>
          </cell>
          <cell r="AQ548">
            <v>380.55</v>
          </cell>
          <cell r="AU548" t="str">
            <v>Газлифт</v>
          </cell>
          <cell r="AV548">
            <v>515.00000683600001</v>
          </cell>
          <cell r="AW548" t="str">
            <v>ГП</v>
          </cell>
          <cell r="AX548">
            <v>940.00000019499998</v>
          </cell>
          <cell r="AY548" t="str">
            <v>ГП</v>
          </cell>
          <cell r="AZ548">
            <v>1355.0000085940001</v>
          </cell>
          <cell r="BA548" t="str">
            <v>ГК 88 1/8</v>
          </cell>
          <cell r="BB548">
            <v>1715.0000625</v>
          </cell>
          <cell r="BC548" t="str">
            <v>ГК 88 5/32</v>
          </cell>
          <cell r="BD548">
            <v>2079.0000210940002</v>
          </cell>
          <cell r="BE548" t="str">
            <v>ЦКсОК 5/16</v>
          </cell>
          <cell r="BF548" t="str">
            <v>-</v>
          </cell>
          <cell r="BG548" t="str">
            <v>-</v>
          </cell>
          <cell r="BH548">
            <v>2089</v>
          </cell>
          <cell r="BI548" t="str">
            <v>закрыт</v>
          </cell>
        </row>
        <row r="549">
          <cell r="J549">
            <v>3256</v>
          </cell>
          <cell r="K549" t="str">
            <v>К-20</v>
          </cell>
          <cell r="L549">
            <v>35311</v>
          </cell>
          <cell r="M549" t="str">
            <v>Гор.</v>
          </cell>
          <cell r="N549" t="str">
            <v>Р4+5+6_Block2</v>
          </cell>
          <cell r="O549" t="str">
            <v>Действующий</v>
          </cell>
          <cell r="P549" t="str">
            <v>Остановлена</v>
          </cell>
          <cell r="Q549">
            <v>-4</v>
          </cell>
          <cell r="R549">
            <v>42193</v>
          </cell>
          <cell r="S549" t="str">
            <v>МеКаМиНефть</v>
          </cell>
          <cell r="U549">
            <v>203</v>
          </cell>
          <cell r="V549">
            <v>218.2</v>
          </cell>
          <cell r="W549">
            <v>0.98</v>
          </cell>
          <cell r="X549">
            <v>1.66</v>
          </cell>
          <cell r="Y549">
            <v>0.98060253890945015</v>
          </cell>
          <cell r="Z549">
            <v>1.454</v>
          </cell>
          <cell r="AA549">
            <v>0.83599999999999997</v>
          </cell>
          <cell r="AB549">
            <v>0.72</v>
          </cell>
          <cell r="AC549">
            <v>34.299999999999997</v>
          </cell>
          <cell r="AD549">
            <v>1.17</v>
          </cell>
          <cell r="AE549">
            <v>177.8</v>
          </cell>
          <cell r="AF549">
            <v>9.19</v>
          </cell>
          <cell r="AG549">
            <v>2150</v>
          </cell>
          <cell r="AH549">
            <v>2476</v>
          </cell>
          <cell r="AI549">
            <v>2476</v>
          </cell>
          <cell r="AM549" t="str">
            <v>Закрытый</v>
          </cell>
          <cell r="AN549" t="str">
            <v xml:space="preserve">2220,86-2222,19; 2285,79-2287,12; 2399,18-2400,51; 2463,67-2465 </v>
          </cell>
          <cell r="AO549">
            <v>5.32</v>
          </cell>
          <cell r="AP549">
            <v>2220.86</v>
          </cell>
          <cell r="AQ549">
            <v>216.84</v>
          </cell>
          <cell r="AR549" t="str">
            <v>2070-2750</v>
          </cell>
          <cell r="AS549">
            <v>114</v>
          </cell>
          <cell r="AT549">
            <v>7.37</v>
          </cell>
          <cell r="AU549" t="str">
            <v>Газлифт</v>
          </cell>
          <cell r="AV549">
            <v>420.00000087900003</v>
          </cell>
          <cell r="AW549" t="str">
            <v>ГП</v>
          </cell>
          <cell r="AX549">
            <v>780.00001757799998</v>
          </cell>
          <cell r="AY549" t="str">
            <v>ГК 81 1/8</v>
          </cell>
          <cell r="AZ549">
            <v>1084.9999681639999</v>
          </cell>
          <cell r="BA549" t="str">
            <v>ГК 80 1/8</v>
          </cell>
          <cell r="BB549">
            <v>1349.999978906</v>
          </cell>
          <cell r="BC549" t="str">
            <v>ГК 78 1/8</v>
          </cell>
          <cell r="BD549">
            <v>1594.9999453129999</v>
          </cell>
          <cell r="BE549" t="str">
            <v>ГК 77 1/8</v>
          </cell>
          <cell r="BF549" t="str">
            <v>-</v>
          </cell>
          <cell r="BG549" t="str">
            <v>-</v>
          </cell>
          <cell r="BH549">
            <v>1800</v>
          </cell>
          <cell r="BI549" t="str">
            <v>открыт</v>
          </cell>
        </row>
        <row r="550">
          <cell r="J550">
            <v>3257</v>
          </cell>
          <cell r="K550" t="str">
            <v>К-56</v>
          </cell>
          <cell r="L550">
            <v>42062</v>
          </cell>
          <cell r="M550" t="str">
            <v>Гор.</v>
          </cell>
          <cell r="N550" t="str">
            <v>P4+5+6_Block1_yug</v>
          </cell>
          <cell r="O550" t="str">
            <v>Действующий</v>
          </cell>
          <cell r="P550" t="str">
            <v>В работе</v>
          </cell>
          <cell r="Q550">
            <v>-4</v>
          </cell>
          <cell r="U550">
            <v>203</v>
          </cell>
          <cell r="V550">
            <v>218.2</v>
          </cell>
          <cell r="W550">
            <v>0.98</v>
          </cell>
          <cell r="X550">
            <v>1.66</v>
          </cell>
          <cell r="Y550">
            <v>1.0396216768916153</v>
          </cell>
          <cell r="Z550">
            <v>1.454</v>
          </cell>
          <cell r="AA550">
            <v>0.83599999999999997</v>
          </cell>
          <cell r="AB550">
            <v>0.72</v>
          </cell>
          <cell r="AC550">
            <v>34.299999999999997</v>
          </cell>
          <cell r="AD550">
            <v>1.17</v>
          </cell>
          <cell r="AE550">
            <v>177.8</v>
          </cell>
          <cell r="AF550">
            <v>9.19</v>
          </cell>
          <cell r="AG550">
            <v>2322.87</v>
          </cell>
          <cell r="AH550">
            <v>3060</v>
          </cell>
          <cell r="AI550">
            <v>3060</v>
          </cell>
          <cell r="AM550" t="str">
            <v>открытый</v>
          </cell>
          <cell r="AN550" t="str">
            <v>2323-3060</v>
          </cell>
          <cell r="AO550">
            <v>46.53</v>
          </cell>
          <cell r="AP550">
            <v>2323</v>
          </cell>
          <cell r="AQ550">
            <v>507.64</v>
          </cell>
          <cell r="AU550" t="str">
            <v>Газлифт</v>
          </cell>
          <cell r="AV550">
            <v>427.99999628900002</v>
          </cell>
          <cell r="AW550" t="str">
            <v>ГП</v>
          </cell>
          <cell r="AX550">
            <v>852.999989648</v>
          </cell>
          <cell r="AY550" t="str">
            <v>ГП</v>
          </cell>
          <cell r="AZ550">
            <v>1226.0000314450001</v>
          </cell>
          <cell r="BA550" t="str">
            <v>ГП</v>
          </cell>
          <cell r="BB550">
            <v>1531</v>
          </cell>
          <cell r="BC550" t="str">
            <v>ГК 78 1/8</v>
          </cell>
          <cell r="BD550">
            <v>1778.0000496089999</v>
          </cell>
          <cell r="BE550" t="str">
            <v>ГК 76 1/8</v>
          </cell>
          <cell r="BF550">
            <v>2040</v>
          </cell>
          <cell r="BG550" t="str">
            <v>ЦКсОК 5/16</v>
          </cell>
          <cell r="BH550" t="str">
            <v>-</v>
          </cell>
          <cell r="BI550" t="str">
            <v>-</v>
          </cell>
        </row>
        <row r="551">
          <cell r="J551">
            <v>3259</v>
          </cell>
          <cell r="K551" t="str">
            <v>К-52</v>
          </cell>
          <cell r="L551">
            <v>42194</v>
          </cell>
          <cell r="M551" t="str">
            <v>Гор.</v>
          </cell>
          <cell r="N551" t="str">
            <v>Р4+5_Block3</v>
          </cell>
          <cell r="O551" t="str">
            <v>Действующий</v>
          </cell>
          <cell r="P551" t="str">
            <v>В работе</v>
          </cell>
          <cell r="Q551">
            <v>-4</v>
          </cell>
          <cell r="U551">
            <v>203</v>
          </cell>
          <cell r="V551">
            <v>218.2</v>
          </cell>
          <cell r="W551">
            <v>0.98</v>
          </cell>
          <cell r="X551">
            <v>1.66</v>
          </cell>
          <cell r="Y551">
            <v>0.98</v>
          </cell>
          <cell r="Z551">
            <v>1.454</v>
          </cell>
          <cell r="AA551">
            <v>0.83599999999999997</v>
          </cell>
          <cell r="AB551">
            <v>0.72</v>
          </cell>
          <cell r="AC551">
            <v>34.299999999999997</v>
          </cell>
          <cell r="AD551">
            <v>1.17</v>
          </cell>
          <cell r="AE551">
            <v>177.8</v>
          </cell>
          <cell r="AF551">
            <v>9.19</v>
          </cell>
          <cell r="AG551">
            <v>2120</v>
          </cell>
          <cell r="AH551">
            <v>3000</v>
          </cell>
          <cell r="AI551">
            <v>3000</v>
          </cell>
          <cell r="AM551" t="str">
            <v>закрытый</v>
          </cell>
          <cell r="AN551" t="str">
            <v>2199,17-2199,79; 2369,21-2369,83; 2548,95-2549,57; 2750,25-2750,87; 2956,98-2958,61</v>
          </cell>
          <cell r="AO551">
            <v>9.1</v>
          </cell>
          <cell r="AP551">
            <v>2199.17</v>
          </cell>
          <cell r="AQ551">
            <v>153</v>
          </cell>
          <cell r="AR551" t="str">
            <v>1960-2999,37</v>
          </cell>
          <cell r="AS551">
            <v>114</v>
          </cell>
          <cell r="AT551">
            <v>7.37</v>
          </cell>
          <cell r="AU551" t="str">
            <v>Газлифт</v>
          </cell>
          <cell r="AV551">
            <v>405</v>
          </cell>
          <cell r="AW551" t="str">
            <v>ГП</v>
          </cell>
          <cell r="AX551">
            <v>939</v>
          </cell>
          <cell r="AY551" t="str">
            <v>ГК 81 1/8</v>
          </cell>
          <cell r="AZ551">
            <v>1387</v>
          </cell>
          <cell r="BA551" t="str">
            <v>ГК 80 1/8</v>
          </cell>
          <cell r="BB551">
            <v>1720</v>
          </cell>
          <cell r="BC551" t="str">
            <v>ЦКсОК 5/16</v>
          </cell>
          <cell r="BD551" t="str">
            <v>-</v>
          </cell>
          <cell r="BE551" t="str">
            <v>-</v>
          </cell>
          <cell r="BF551" t="str">
            <v>-</v>
          </cell>
          <cell r="BG551" t="str">
            <v>-</v>
          </cell>
          <cell r="BH551" t="str">
            <v>-</v>
          </cell>
          <cell r="BI551" t="str">
            <v>-</v>
          </cell>
        </row>
        <row r="552">
          <cell r="J552">
            <v>3260</v>
          </cell>
          <cell r="K552" t="str">
            <v>К-60</v>
          </cell>
          <cell r="L552">
            <v>35314</v>
          </cell>
          <cell r="M552" t="str">
            <v>Гор.</v>
          </cell>
          <cell r="N552" t="str">
            <v>Р4+5_Block3</v>
          </cell>
          <cell r="O552" t="str">
            <v>Действующий</v>
          </cell>
          <cell r="P552" t="str">
            <v>В работе</v>
          </cell>
          <cell r="Q552">
            <v>-4</v>
          </cell>
          <cell r="U552">
            <v>203</v>
          </cell>
          <cell r="V552">
            <v>218.2</v>
          </cell>
          <cell r="W552">
            <v>0.98</v>
          </cell>
          <cell r="X552">
            <v>1.66</v>
          </cell>
          <cell r="Y552">
            <v>0.98</v>
          </cell>
          <cell r="Z552">
            <v>1.454</v>
          </cell>
          <cell r="AA552">
            <v>0.83599999999999997</v>
          </cell>
          <cell r="AB552">
            <v>0.72</v>
          </cell>
          <cell r="AC552">
            <v>34.299999999999997</v>
          </cell>
          <cell r="AD552">
            <v>1.17</v>
          </cell>
          <cell r="AE552">
            <v>177.8</v>
          </cell>
          <cell r="AF552">
            <v>9.19</v>
          </cell>
          <cell r="AG552">
            <v>2126</v>
          </cell>
          <cell r="AH552">
            <v>2775</v>
          </cell>
          <cell r="AI552">
            <v>2775</v>
          </cell>
          <cell r="AM552" t="str">
            <v>закрытый</v>
          </cell>
          <cell r="AN552" t="str">
            <v>2215-2216; 2309-2310; 2454-2456; 2578-2579; 2713-2714</v>
          </cell>
          <cell r="AO552">
            <v>13.84</v>
          </cell>
          <cell r="AP552">
            <v>2215</v>
          </cell>
          <cell r="AQ552">
            <v>250.7</v>
          </cell>
          <cell r="AR552" t="str">
            <v>1971-2775</v>
          </cell>
          <cell r="AS552">
            <v>114</v>
          </cell>
          <cell r="AT552">
            <v>7.37</v>
          </cell>
          <cell r="AU552" t="str">
            <v>Газлифт</v>
          </cell>
          <cell r="AV552">
            <v>380.000023828</v>
          </cell>
          <cell r="AW552" t="str">
            <v>ГП</v>
          </cell>
          <cell r="AX552">
            <v>715.00000371099998</v>
          </cell>
          <cell r="AY552" t="str">
            <v>ГП</v>
          </cell>
          <cell r="AZ552">
            <v>1014.999999023</v>
          </cell>
          <cell r="BA552" t="str">
            <v>ГК 88 1/8</v>
          </cell>
          <cell r="BB552">
            <v>1295.0000988280001</v>
          </cell>
          <cell r="BC552" t="str">
            <v>ГК 87 5/32</v>
          </cell>
          <cell r="BD552">
            <v>1530.0000058590001</v>
          </cell>
          <cell r="BE552" t="str">
            <v>ГК 87 5/32</v>
          </cell>
          <cell r="BF552" t="str">
            <v>-</v>
          </cell>
          <cell r="BG552" t="str">
            <v>-</v>
          </cell>
          <cell r="BH552">
            <v>1700</v>
          </cell>
          <cell r="BI552" t="str">
            <v>закрыт</v>
          </cell>
        </row>
        <row r="553">
          <cell r="J553" t="str">
            <v>3284-1</v>
          </cell>
          <cell r="K553" t="str">
            <v>К-105</v>
          </cell>
          <cell r="L553">
            <v>43436</v>
          </cell>
          <cell r="M553" t="str">
            <v>Гор.</v>
          </cell>
          <cell r="N553" t="str">
            <v>P4+5+6_Block1_yug</v>
          </cell>
          <cell r="O553" t="str">
            <v>Действующий</v>
          </cell>
          <cell r="P553" t="str">
            <v>В работе</v>
          </cell>
          <cell r="Q553">
            <v>-4</v>
          </cell>
          <cell r="R553">
            <v>43399</v>
          </cell>
          <cell r="S553" t="str">
            <v>МеКаМиНефть</v>
          </cell>
          <cell r="T553" t="str">
            <v>КГРП 7стадий
350 м3 15% HCl</v>
          </cell>
          <cell r="U553">
            <v>203</v>
          </cell>
          <cell r="V553">
            <v>218.2</v>
          </cell>
          <cell r="W553">
            <v>0.98</v>
          </cell>
          <cell r="X553">
            <v>1.66</v>
          </cell>
          <cell r="Y553">
            <v>0.99632533072023521</v>
          </cell>
          <cell r="Z553">
            <v>1.454</v>
          </cell>
          <cell r="AA553">
            <v>0.83599999999999997</v>
          </cell>
          <cell r="AB553">
            <v>0.72</v>
          </cell>
          <cell r="AC553">
            <v>34.299999999999997</v>
          </cell>
          <cell r="AD553">
            <v>1.17</v>
          </cell>
          <cell r="AE553">
            <v>177.8</v>
          </cell>
          <cell r="AF553">
            <v>9.19</v>
          </cell>
          <cell r="AG553">
            <v>2220.5</v>
          </cell>
          <cell r="AH553">
            <v>2973</v>
          </cell>
          <cell r="AI553">
            <v>2973</v>
          </cell>
          <cell r="AM553" t="str">
            <v>закрытый</v>
          </cell>
          <cell r="AN553" t="str">
            <v>2253,55-2254,75; 2383,36-2384,56; 2492,85-2494,05; 2613,29- 2614,49; 2689,47-2690,67; 2765,94-2767,14; 2854-2855,2</v>
          </cell>
          <cell r="AO553">
            <v>8.4</v>
          </cell>
          <cell r="AP553">
            <v>2253.5500000000002</v>
          </cell>
          <cell r="AQ553">
            <v>316</v>
          </cell>
          <cell r="AR553" t="str">
            <v>2012-2973</v>
          </cell>
          <cell r="AS553">
            <v>114</v>
          </cell>
          <cell r="AT553">
            <v>7.37</v>
          </cell>
          <cell r="AU553" t="str">
            <v>Газлифт</v>
          </cell>
          <cell r="AV553">
            <v>410.00001591799997</v>
          </cell>
          <cell r="AW553" t="str">
            <v>ГП</v>
          </cell>
          <cell r="AX553">
            <v>759.99997324200001</v>
          </cell>
          <cell r="AY553" t="str">
            <v>ГП</v>
          </cell>
          <cell r="AZ553">
            <v>1070.00002793</v>
          </cell>
          <cell r="BA553" t="str">
            <v>ГК 75 1/8</v>
          </cell>
          <cell r="BB553">
            <v>1369.999948828</v>
          </cell>
          <cell r="BC553" t="str">
            <v>ГК 74 1/8</v>
          </cell>
          <cell r="BD553">
            <v>1650</v>
          </cell>
          <cell r="BE553" t="str">
            <v>ГК 73 1/8</v>
          </cell>
          <cell r="BF553">
            <v>1920</v>
          </cell>
          <cell r="BG553" t="str">
            <v>ЦКсОК 5/16</v>
          </cell>
          <cell r="BH553" t="str">
            <v>-</v>
          </cell>
          <cell r="BI553" t="str">
            <v>-</v>
          </cell>
        </row>
        <row r="554">
          <cell r="J554">
            <v>3285</v>
          </cell>
          <cell r="K554" t="str">
            <v>К-19</v>
          </cell>
          <cell r="L554">
            <v>41999</v>
          </cell>
          <cell r="M554" t="str">
            <v>Гор.</v>
          </cell>
          <cell r="N554" t="str">
            <v>P4+5+6_Block1_yug</v>
          </cell>
          <cell r="O554" t="str">
            <v>Действующий</v>
          </cell>
          <cell r="P554" t="str">
            <v>остановлена</v>
          </cell>
          <cell r="Q554">
            <v>-4</v>
          </cell>
          <cell r="R554" t="str">
            <v xml:space="preserve"> </v>
          </cell>
          <cell r="S554" t="str">
            <v xml:space="preserve"> </v>
          </cell>
          <cell r="U554">
            <v>203</v>
          </cell>
          <cell r="V554">
            <v>218.2</v>
          </cell>
          <cell r="W554">
            <v>0.98</v>
          </cell>
          <cell r="X554">
            <v>1.66</v>
          </cell>
          <cell r="Y554">
            <v>0.98</v>
          </cell>
          <cell r="Z554">
            <v>1.454</v>
          </cell>
          <cell r="AA554">
            <v>0.83599999999999997</v>
          </cell>
          <cell r="AB554">
            <v>0.72</v>
          </cell>
          <cell r="AC554">
            <v>34.299999999999997</v>
          </cell>
          <cell r="AD554">
            <v>1.17</v>
          </cell>
          <cell r="AE554">
            <v>177.8</v>
          </cell>
          <cell r="AF554">
            <v>9.19</v>
          </cell>
          <cell r="AG554">
            <v>2083</v>
          </cell>
          <cell r="AH554">
            <v>2762</v>
          </cell>
          <cell r="AI554">
            <v>2762</v>
          </cell>
          <cell r="AM554" t="str">
            <v>открытый</v>
          </cell>
          <cell r="AN554" t="str">
            <v>2081,4-2762</v>
          </cell>
          <cell r="AO554">
            <v>18</v>
          </cell>
          <cell r="AP554">
            <v>2081.4</v>
          </cell>
          <cell r="AQ554">
            <v>230.4</v>
          </cell>
          <cell r="AU554" t="str">
            <v>Газлифт</v>
          </cell>
          <cell r="AV554">
            <v>449.999992969</v>
          </cell>
          <cell r="AW554" t="str">
            <v>ГП</v>
          </cell>
          <cell r="AX554">
            <v>759.99997324200001</v>
          </cell>
          <cell r="AY554" t="str">
            <v>ГП</v>
          </cell>
          <cell r="AZ554">
            <v>1109.999967773</v>
          </cell>
          <cell r="BA554" t="str">
            <v>ГК 77 1/8</v>
          </cell>
          <cell r="BB554">
            <v>1380.0000082030001</v>
          </cell>
          <cell r="BC554" t="str">
            <v>ГК 76 1/8</v>
          </cell>
          <cell r="BD554">
            <v>1599.9999749999999</v>
          </cell>
          <cell r="BE554" t="str">
            <v>ГК 76 1/8</v>
          </cell>
          <cell r="BF554">
            <v>1830</v>
          </cell>
          <cell r="BG554" t="str">
            <v>ЦКсОК 5/16</v>
          </cell>
          <cell r="BH554" t="str">
            <v>-</v>
          </cell>
          <cell r="BI554" t="str">
            <v>-</v>
          </cell>
        </row>
        <row r="555">
          <cell r="J555">
            <v>3297</v>
          </cell>
          <cell r="K555" t="str">
            <v>К-35</v>
          </cell>
          <cell r="L555">
            <v>41870</v>
          </cell>
          <cell r="M555" t="str">
            <v>Гор.</v>
          </cell>
          <cell r="N555" t="str">
            <v>P4+5+6_Block1_yug</v>
          </cell>
          <cell r="O555" t="str">
            <v>Действующий</v>
          </cell>
          <cell r="P555" t="str">
            <v>В работе</v>
          </cell>
          <cell r="Q555">
            <v>-4</v>
          </cell>
          <cell r="U555">
            <v>203</v>
          </cell>
          <cell r="V555">
            <v>218.2</v>
          </cell>
          <cell r="W555">
            <v>0.98</v>
          </cell>
          <cell r="X555">
            <v>1.66</v>
          </cell>
          <cell r="Y555">
            <v>1.004271921376892</v>
          </cell>
          <cell r="Z555">
            <v>1.454</v>
          </cell>
          <cell r="AA555">
            <v>0.83599999999999997</v>
          </cell>
          <cell r="AB555">
            <v>0.72</v>
          </cell>
          <cell r="AC555">
            <v>34.299999999999997</v>
          </cell>
          <cell r="AD555">
            <v>1.17</v>
          </cell>
          <cell r="AE555">
            <v>177.8</v>
          </cell>
          <cell r="AF555">
            <v>9.19</v>
          </cell>
          <cell r="AG555">
            <v>2297</v>
          </cell>
          <cell r="AH555" t="str">
            <v>1 ств 2900
2 ств 2950</v>
          </cell>
          <cell r="AI555" t="str">
            <v>1 ств 2900
2 ств 2950</v>
          </cell>
          <cell r="AM555" t="str">
            <v>открытый</v>
          </cell>
          <cell r="AN555" t="str">
            <v>2296-2900; 2326-2950</v>
          </cell>
          <cell r="AO555">
            <v>13.6</v>
          </cell>
          <cell r="AP555">
            <v>2296</v>
          </cell>
          <cell r="AQ555">
            <v>899.24</v>
          </cell>
          <cell r="AU555" t="str">
            <v>Газлифт</v>
          </cell>
          <cell r="AV555">
            <v>370.00000166000001</v>
          </cell>
          <cell r="AW555" t="str">
            <v>ГП</v>
          </cell>
          <cell r="AX555">
            <v>680.00001914100005</v>
          </cell>
          <cell r="AY555" t="str">
            <v>ГП</v>
          </cell>
          <cell r="AZ555">
            <v>949.99998515599998</v>
          </cell>
          <cell r="BA555" t="str">
            <v>ГП</v>
          </cell>
          <cell r="BB555">
            <v>1180.000011328</v>
          </cell>
          <cell r="BC555" t="str">
            <v>ГП</v>
          </cell>
          <cell r="BD555">
            <v>1349.999978906</v>
          </cell>
          <cell r="BE555" t="str">
            <v>ГК 78 1/8</v>
          </cell>
          <cell r="BF555" t="str">
            <v>-</v>
          </cell>
          <cell r="BG555" t="str">
            <v>-</v>
          </cell>
          <cell r="BH555">
            <v>1835</v>
          </cell>
          <cell r="BI555" t="str">
            <v>открыт</v>
          </cell>
        </row>
        <row r="556">
          <cell r="J556">
            <v>1352</v>
          </cell>
          <cell r="K556" t="str">
            <v>К-68</v>
          </cell>
          <cell r="L556">
            <v>43093</v>
          </cell>
          <cell r="M556" t="str">
            <v>Гор.</v>
          </cell>
          <cell r="N556" t="str">
            <v>P4+5+6_Block1_yug</v>
          </cell>
          <cell r="O556" t="str">
            <v>Действующий</v>
          </cell>
          <cell r="P556" t="str">
            <v>В работе</v>
          </cell>
          <cell r="Q556">
            <v>-4</v>
          </cell>
          <cell r="R556">
            <v>43058</v>
          </cell>
          <cell r="S556" t="str">
            <v>МеКаМиНефть</v>
          </cell>
          <cell r="T556" t="str">
            <v>КГРП 7ст.
350м3 15% HCl</v>
          </cell>
          <cell r="U556">
            <v>203</v>
          </cell>
          <cell r="V556">
            <v>218.2</v>
          </cell>
          <cell r="W556">
            <v>0.98</v>
          </cell>
          <cell r="X556">
            <v>1.66</v>
          </cell>
          <cell r="Y556">
            <v>0.98</v>
          </cell>
          <cell r="Z556">
            <v>1.454</v>
          </cell>
          <cell r="AA556">
            <v>0.83599999999999997</v>
          </cell>
          <cell r="AB556">
            <v>0.72</v>
          </cell>
          <cell r="AC556">
            <v>34.299999999999997</v>
          </cell>
          <cell r="AD556">
            <v>1.17</v>
          </cell>
          <cell r="AE556">
            <v>177.8</v>
          </cell>
          <cell r="AF556">
            <v>9.19</v>
          </cell>
          <cell r="AG556">
            <v>2004.72</v>
          </cell>
          <cell r="AH556">
            <v>2988.22</v>
          </cell>
          <cell r="AI556">
            <v>2988.22</v>
          </cell>
          <cell r="AJ556">
            <v>43048</v>
          </cell>
          <cell r="AK556" t="str">
            <v>По спущенной компановке</v>
          </cell>
          <cell r="AM556" t="str">
            <v>Закрытый</v>
          </cell>
          <cell r="AN556" t="str">
            <v xml:space="preserve">2198,97-2200,47; 2326,01-2327,51; 2465,89-2467,39; 2584,77-2586,27; 2703,51-2705,01; 2819,1-2820,61; 2946,45-2947,05 </v>
          </cell>
          <cell r="AO556">
            <v>9.61</v>
          </cell>
          <cell r="AP556">
            <v>2198.9699999999998</v>
          </cell>
          <cell r="AQ556">
            <v>379.4</v>
          </cell>
          <cell r="AR556" t="str">
            <v>1735,79-2999</v>
          </cell>
          <cell r="AS556">
            <v>114</v>
          </cell>
          <cell r="AT556">
            <v>7.37</v>
          </cell>
          <cell r="AU556" t="str">
            <v>Газлифт</v>
          </cell>
          <cell r="AV556">
            <v>449.999992969</v>
          </cell>
          <cell r="AW556" t="str">
            <v>ГП</v>
          </cell>
          <cell r="AX556">
            <v>830.00001679699994</v>
          </cell>
          <cell r="AY556" t="str">
            <v>ГП</v>
          </cell>
          <cell r="AZ556">
            <v>1159.9999669920001</v>
          </cell>
          <cell r="BA556" t="str">
            <v>ГП</v>
          </cell>
          <cell r="BB556">
            <v>1430.000007422</v>
          </cell>
          <cell r="BC556" t="str">
            <v>ГП</v>
          </cell>
          <cell r="BD556">
            <v>1690.000062891</v>
          </cell>
          <cell r="BE556" t="str">
            <v>ГП</v>
          </cell>
          <cell r="BF556" t="str">
            <v>-</v>
          </cell>
          <cell r="BG556" t="str">
            <v>-</v>
          </cell>
          <cell r="BH556">
            <v>1700</v>
          </cell>
          <cell r="BI556" t="str">
            <v>открыт</v>
          </cell>
        </row>
        <row r="557">
          <cell r="J557" t="str">
            <v>3288-1</v>
          </cell>
          <cell r="K557" t="str">
            <v>К-88</v>
          </cell>
          <cell r="L557">
            <v>43545</v>
          </cell>
          <cell r="M557" t="str">
            <v>Гор.</v>
          </cell>
          <cell r="N557" t="str">
            <v>P4+5+6_Block1_yug</v>
          </cell>
          <cell r="O557" t="str">
            <v>Действующий</v>
          </cell>
          <cell r="P557" t="str">
            <v>В работе</v>
          </cell>
          <cell r="Q557">
            <v>-4</v>
          </cell>
          <cell r="U557">
            <v>203</v>
          </cell>
          <cell r="V557">
            <v>218.2</v>
          </cell>
          <cell r="W557">
            <v>0.98</v>
          </cell>
          <cell r="X557">
            <v>1.66</v>
          </cell>
          <cell r="Y557">
            <v>0.98</v>
          </cell>
          <cell r="Z557">
            <v>1.454</v>
          </cell>
          <cell r="AA557">
            <v>0.83599999999999997</v>
          </cell>
          <cell r="AB557">
            <v>0.72</v>
          </cell>
          <cell r="AC557">
            <v>34.299999999999997</v>
          </cell>
          <cell r="AD557">
            <v>1.17</v>
          </cell>
          <cell r="AE557">
            <v>177.8</v>
          </cell>
          <cell r="AF557">
            <v>9.19</v>
          </cell>
          <cell r="AG557">
            <v>2256.5</v>
          </cell>
          <cell r="AH557">
            <v>3100</v>
          </cell>
          <cell r="AI557">
            <v>3100</v>
          </cell>
          <cell r="AM557" t="str">
            <v>Закрытый</v>
          </cell>
          <cell r="AN557" t="str">
            <v>2285,55-2286,98, 2418,92-2420,35, 2517,18-2518,61, 2673,23-2674,66, 2805,97-2807,4, 2925,26-2926,69, 3045,99-3047,22, 3094,14-3094,57</v>
          </cell>
          <cell r="AO557">
            <v>56.73</v>
          </cell>
          <cell r="AP557">
            <v>2285.5500000000002</v>
          </cell>
          <cell r="AQ557">
            <v>186.4</v>
          </cell>
          <cell r="AR557" t="str">
            <v>2207-3100</v>
          </cell>
          <cell r="AS557">
            <v>114</v>
          </cell>
          <cell r="AT557">
            <v>7.37</v>
          </cell>
          <cell r="AU557" t="str">
            <v>Газлифт</v>
          </cell>
          <cell r="AV557">
            <v>549.99999140600005</v>
          </cell>
          <cell r="AW557" t="str">
            <v>ГП</v>
          </cell>
          <cell r="AX557">
            <v>1009.999969336</v>
          </cell>
          <cell r="AY557" t="str">
            <v>ГП</v>
          </cell>
          <cell r="AZ557">
            <v>1335.0000386720001</v>
          </cell>
          <cell r="BA557" t="str">
            <v>ГК 82 5/32</v>
          </cell>
          <cell r="BB557">
            <v>1615.0000640630001</v>
          </cell>
          <cell r="BC557" t="str">
            <v>ГК 82 5/32</v>
          </cell>
          <cell r="BD557">
            <v>1899.9999703129999</v>
          </cell>
          <cell r="BE557" t="str">
            <v>ЦКсОК 5/16</v>
          </cell>
          <cell r="BF557" t="str">
            <v>-</v>
          </cell>
          <cell r="BG557" t="str">
            <v>-</v>
          </cell>
          <cell r="BH557" t="str">
            <v>-</v>
          </cell>
          <cell r="BI557" t="str">
            <v>-</v>
          </cell>
        </row>
        <row r="558">
          <cell r="J558">
            <v>1399</v>
          </cell>
          <cell r="K558" t="str">
            <v>К-48</v>
          </cell>
          <cell r="L558">
            <v>44447</v>
          </cell>
          <cell r="M558" t="str">
            <v>Гор.</v>
          </cell>
          <cell r="N558" t="str">
            <v>P4+5+6_Block1_yug</v>
          </cell>
          <cell r="O558" t="str">
            <v>Действующий</v>
          </cell>
          <cell r="P558" t="str">
            <v>В работе</v>
          </cell>
          <cell r="Q558">
            <v>-4</v>
          </cell>
          <cell r="U558">
            <v>203</v>
          </cell>
          <cell r="V558">
            <v>218.2</v>
          </cell>
          <cell r="W558">
            <v>0.98</v>
          </cell>
          <cell r="X558">
            <v>1.66</v>
          </cell>
          <cell r="Y558">
            <v>0.983181718186807</v>
          </cell>
          <cell r="Z558">
            <v>1.454</v>
          </cell>
          <cell r="AA558">
            <v>0.83599999999999997</v>
          </cell>
          <cell r="AB558">
            <v>0.72</v>
          </cell>
          <cell r="AC558">
            <v>34.299999999999997</v>
          </cell>
          <cell r="AD558">
            <v>1.17</v>
          </cell>
          <cell r="AE558">
            <v>177.8</v>
          </cell>
          <cell r="AF558">
            <v>9.19</v>
          </cell>
          <cell r="AG558">
            <v>2257</v>
          </cell>
          <cell r="AH558">
            <v>4205</v>
          </cell>
          <cell r="AI558">
            <v>4205</v>
          </cell>
          <cell r="AM558" t="str">
            <v>закрытый</v>
          </cell>
          <cell r="AN558" t="str">
            <v>2299,17-2300,52; 2434,67-2436,02; 2582,02-2583,37; 2657,61-2658,96; 2805,45-2806,8; 2940,02-2941,37; 3051,02-3052,37; 3199,48-3200,83; 3322,62-3323,97; 3445,21-3446,56; 3589,42-3590,77; 3722,55-3723,9; 3844,61-3845,96; 3967,55-3958,9; 4067,17-4068,52; 4190,72-4192,07</v>
          </cell>
          <cell r="AO558">
            <v>-67.269999999999982</v>
          </cell>
          <cell r="AP558">
            <v>2299.17</v>
          </cell>
          <cell r="AQ558">
            <v>413.95</v>
          </cell>
          <cell r="AU558" t="str">
            <v>Газлифт</v>
          </cell>
          <cell r="AV558">
            <v>410.00001591799997</v>
          </cell>
          <cell r="AW558" t="str">
            <v>ГП</v>
          </cell>
          <cell r="AX558">
            <v>749.99998828100001</v>
          </cell>
          <cell r="AY558" t="str">
            <v>ГП</v>
          </cell>
          <cell r="AZ558">
            <v>1020.000028711</v>
          </cell>
          <cell r="BA558">
            <v>71.125</v>
          </cell>
          <cell r="BB558">
            <v>1290.000069141</v>
          </cell>
          <cell r="BC558">
            <v>70.125</v>
          </cell>
          <cell r="BD558">
            <v>1569.9999457030001</v>
          </cell>
          <cell r="BE558" t="str">
            <v>ГК 69 5/32</v>
          </cell>
          <cell r="BF558">
            <v>1880</v>
          </cell>
          <cell r="BG558" t="str">
            <v>ЦКсОК 5/16</v>
          </cell>
          <cell r="BH558" t="str">
            <v>-</v>
          </cell>
          <cell r="BI558" t="str">
            <v>-</v>
          </cell>
        </row>
        <row r="559">
          <cell r="J559">
            <v>3292</v>
          </cell>
          <cell r="K559" t="str">
            <v>К-88</v>
          </cell>
          <cell r="L559">
            <v>43325</v>
          </cell>
          <cell r="M559" t="str">
            <v>Гор.</v>
          </cell>
          <cell r="N559" t="str">
            <v>P4+5+6_Block1_yug</v>
          </cell>
          <cell r="O559" t="str">
            <v>В бездействии текущего года.</v>
          </cell>
          <cell r="P559" t="str">
            <v>Остановлена</v>
          </cell>
          <cell r="Q559">
            <v>-4</v>
          </cell>
          <cell r="R559">
            <v>43245</v>
          </cell>
          <cell r="S559" t="str">
            <v>МеКаМиНефть</v>
          </cell>
          <cell r="T559" t="str">
            <v>КГРП 7стадий
250 м3 15% HCl</v>
          </cell>
          <cell r="U559">
            <v>203</v>
          </cell>
          <cell r="V559">
            <v>218.2</v>
          </cell>
          <cell r="W559">
            <v>0.98</v>
          </cell>
          <cell r="X559">
            <v>1.66</v>
          </cell>
          <cell r="Y559">
            <v>0.98</v>
          </cell>
          <cell r="Z559">
            <v>1.454</v>
          </cell>
          <cell r="AA559">
            <v>0.83599999999999997</v>
          </cell>
          <cell r="AB559">
            <v>0.72</v>
          </cell>
          <cell r="AC559">
            <v>34.299999999999997</v>
          </cell>
          <cell r="AD559">
            <v>1.17</v>
          </cell>
          <cell r="AE559">
            <v>177.8</v>
          </cell>
          <cell r="AF559">
            <v>9.19</v>
          </cell>
          <cell r="AG559">
            <v>2270.14</v>
          </cell>
          <cell r="AH559">
            <v>2958.36</v>
          </cell>
          <cell r="AI559">
            <v>2958.36</v>
          </cell>
          <cell r="AJ559">
            <v>43233</v>
          </cell>
          <cell r="AK559" t="str">
            <v>По спущенной компановке</v>
          </cell>
          <cell r="AM559" t="str">
            <v>закрытый</v>
          </cell>
          <cell r="AN559" t="str">
            <v xml:space="preserve">2491,08-2492,28; 2556,02-2557,22; 2631,18-2632,38; 2746,11-2747,31; 2924,71-2925,91 </v>
          </cell>
          <cell r="AO559">
            <v>6</v>
          </cell>
          <cell r="AP559">
            <v>2491.08</v>
          </cell>
          <cell r="AQ559">
            <v>567.46</v>
          </cell>
          <cell r="AR559" t="str">
            <v>2211,65-2970</v>
          </cell>
          <cell r="AS559">
            <v>114</v>
          </cell>
          <cell r="AT559">
            <v>7.37</v>
          </cell>
          <cell r="AU559" t="str">
            <v>Газлифт</v>
          </cell>
          <cell r="AV559">
            <v>538</v>
          </cell>
          <cell r="AW559" t="str">
            <v>ГК 77 1/8</v>
          </cell>
          <cell r="AX559">
            <v>1050</v>
          </cell>
          <cell r="AY559" t="str">
            <v>ГК 76 1/8</v>
          </cell>
          <cell r="AZ559">
            <v>1506</v>
          </cell>
          <cell r="BA559" t="str">
            <v>ГК 76 1/8</v>
          </cell>
          <cell r="BB559">
            <v>1868</v>
          </cell>
          <cell r="BC559" t="str">
            <v>ГК 75 1/8</v>
          </cell>
          <cell r="BD559">
            <v>2100</v>
          </cell>
          <cell r="BE559" t="str">
            <v>ЦКсОК 5/16</v>
          </cell>
          <cell r="BF559" t="str">
            <v>-</v>
          </cell>
          <cell r="BG559" t="str">
            <v>-</v>
          </cell>
          <cell r="BH559">
            <v>2110</v>
          </cell>
          <cell r="BI559" t="str">
            <v>закрыт</v>
          </cell>
        </row>
        <row r="560">
          <cell r="J560">
            <v>3293</v>
          </cell>
          <cell r="K560" t="str">
            <v>К-36</v>
          </cell>
          <cell r="L560">
            <v>41882</v>
          </cell>
          <cell r="M560" t="str">
            <v>Гор.</v>
          </cell>
          <cell r="N560" t="str">
            <v>P4+5+6_Block1_yug</v>
          </cell>
          <cell r="O560" t="str">
            <v>Действующий</v>
          </cell>
          <cell r="P560" t="str">
            <v>В работе</v>
          </cell>
          <cell r="Q560">
            <v>-4</v>
          </cell>
          <cell r="U560">
            <v>203</v>
          </cell>
          <cell r="V560">
            <v>218.2</v>
          </cell>
          <cell r="W560">
            <v>0.98</v>
          </cell>
          <cell r="X560">
            <v>1.66</v>
          </cell>
          <cell r="Y560">
            <v>1.0021684490660885</v>
          </cell>
          <cell r="Z560">
            <v>1.454</v>
          </cell>
          <cell r="AA560">
            <v>0.83599999999999997</v>
          </cell>
          <cell r="AB560">
            <v>0.72</v>
          </cell>
          <cell r="AC560">
            <v>34.299999999999997</v>
          </cell>
          <cell r="AD560">
            <v>1.17</v>
          </cell>
          <cell r="AE560">
            <v>177.8</v>
          </cell>
          <cell r="AF560">
            <v>9.19</v>
          </cell>
          <cell r="AG560">
            <v>2120</v>
          </cell>
          <cell r="AH560">
            <v>2830</v>
          </cell>
          <cell r="AI560">
            <v>2830</v>
          </cell>
          <cell r="AM560" t="str">
            <v>открытый</v>
          </cell>
          <cell r="AN560" t="str">
            <v>2120-2830</v>
          </cell>
          <cell r="AO560">
            <v>16.600000000000001</v>
          </cell>
          <cell r="AP560">
            <v>2120</v>
          </cell>
          <cell r="AQ560">
            <v>228.72</v>
          </cell>
          <cell r="AU560" t="str">
            <v>Газлифт</v>
          </cell>
          <cell r="AV560">
            <v>440.00000800800001</v>
          </cell>
          <cell r="AW560" t="str">
            <v>ГП</v>
          </cell>
          <cell r="AX560">
            <v>790.00000253899998</v>
          </cell>
          <cell r="AY560" t="str">
            <v>ГП</v>
          </cell>
          <cell r="AZ560">
            <v>1100.0000572270001</v>
          </cell>
          <cell r="BA560" t="str">
            <v>ГП</v>
          </cell>
          <cell r="BB560">
            <v>1340.0000683589999</v>
          </cell>
          <cell r="BC560" t="str">
            <v>ГК 78 1/8</v>
          </cell>
          <cell r="BD560">
            <v>1520.000095312</v>
          </cell>
          <cell r="BE560" t="str">
            <v>ГК 75 1/8</v>
          </cell>
          <cell r="BF560">
            <v>1850</v>
          </cell>
          <cell r="BG560" t="str">
            <v>ЦКсОК 5/16</v>
          </cell>
          <cell r="BH560">
            <v>1860</v>
          </cell>
          <cell r="BI560" t="str">
            <v>закрыт</v>
          </cell>
        </row>
        <row r="561">
          <cell r="J561">
            <v>3294</v>
          </cell>
          <cell r="K561" t="str">
            <v>К-35</v>
          </cell>
          <cell r="L561">
            <v>41818</v>
          </cell>
          <cell r="M561" t="str">
            <v>Гор.</v>
          </cell>
          <cell r="N561" t="str">
            <v>P4+5+6_Block1_yug</v>
          </cell>
          <cell r="O561" t="str">
            <v>Действующий</v>
          </cell>
          <cell r="P561" t="str">
            <v>В работе</v>
          </cell>
          <cell r="Q561">
            <v>-4</v>
          </cell>
          <cell r="R561" t="str">
            <v xml:space="preserve"> </v>
          </cell>
          <cell r="S561" t="str">
            <v xml:space="preserve"> </v>
          </cell>
          <cell r="U561">
            <v>203</v>
          </cell>
          <cell r="V561">
            <v>218.2</v>
          </cell>
          <cell r="W561">
            <v>0.98</v>
          </cell>
          <cell r="X561">
            <v>1.66</v>
          </cell>
          <cell r="Y561">
            <v>0.98</v>
          </cell>
          <cell r="Z561">
            <v>1.454</v>
          </cell>
          <cell r="AA561">
            <v>0.83599999999999997</v>
          </cell>
          <cell r="AB561">
            <v>0.72</v>
          </cell>
          <cell r="AC561">
            <v>34.299999999999997</v>
          </cell>
          <cell r="AD561">
            <v>1.17</v>
          </cell>
          <cell r="AE561">
            <v>177.8</v>
          </cell>
          <cell r="AF561">
            <v>9.19</v>
          </cell>
          <cell r="AG561">
            <v>2144</v>
          </cell>
          <cell r="AH561">
            <v>2944</v>
          </cell>
          <cell r="AI561">
            <v>2944</v>
          </cell>
          <cell r="AM561" t="str">
            <v>открытый</v>
          </cell>
          <cell r="AN561" t="str">
            <v>2144-2944</v>
          </cell>
          <cell r="AO561">
            <v>17</v>
          </cell>
          <cell r="AP561">
            <v>2144</v>
          </cell>
          <cell r="AQ561">
            <v>315.95999999999998</v>
          </cell>
          <cell r="AU561" t="str">
            <v>Газлифт</v>
          </cell>
          <cell r="AV561">
            <v>479.99998505899998</v>
          </cell>
          <cell r="AW561" t="str">
            <v>ГП</v>
          </cell>
          <cell r="AX561">
            <v>859.99997168000004</v>
          </cell>
          <cell r="AY561" t="str">
            <v>ГК 77 1/8</v>
          </cell>
          <cell r="AZ561">
            <v>1170.0000263669999</v>
          </cell>
          <cell r="BA561" t="str">
            <v>ГК 77 1/8</v>
          </cell>
          <cell r="BB561">
            <v>1419.9999480470001</v>
          </cell>
          <cell r="BC561" t="str">
            <v>ГК 77 1/8</v>
          </cell>
          <cell r="BD561">
            <v>1680.0000035160001</v>
          </cell>
          <cell r="BE561" t="str">
            <v>ЦКсОК 5/16</v>
          </cell>
          <cell r="BF561" t="str">
            <v>-</v>
          </cell>
          <cell r="BG561" t="str">
            <v>-</v>
          </cell>
          <cell r="BH561" t="str">
            <v>-</v>
          </cell>
          <cell r="BI561" t="str">
            <v>-</v>
          </cell>
        </row>
        <row r="562">
          <cell r="J562" t="str">
            <v>3296-1</v>
          </cell>
          <cell r="K562" t="str">
            <v>К-1570</v>
          </cell>
          <cell r="L562">
            <v>44263</v>
          </cell>
          <cell r="M562" t="str">
            <v>Гор.</v>
          </cell>
          <cell r="N562" t="str">
            <v>Р4+5_Block3</v>
          </cell>
          <cell r="O562" t="str">
            <v>Действующий</v>
          </cell>
          <cell r="P562" t="str">
            <v>В работе</v>
          </cell>
          <cell r="Q562">
            <v>-4</v>
          </cell>
          <cell r="U562">
            <v>203</v>
          </cell>
          <cell r="V562">
            <v>218.2</v>
          </cell>
          <cell r="W562">
            <v>0.98</v>
          </cell>
          <cell r="X562">
            <v>1.66</v>
          </cell>
          <cell r="Y562">
            <v>0.98</v>
          </cell>
          <cell r="Z562">
            <v>1.454</v>
          </cell>
          <cell r="AA562">
            <v>0.83599999999999997</v>
          </cell>
          <cell r="AB562">
            <v>0.72</v>
          </cell>
          <cell r="AC562">
            <v>34.299999999999997</v>
          </cell>
          <cell r="AD562">
            <v>1.17</v>
          </cell>
          <cell r="AE562">
            <v>177.8</v>
          </cell>
          <cell r="AF562">
            <v>9.1999999999999993</v>
          </cell>
          <cell r="AG562">
            <v>2490.6999999999998</v>
          </cell>
          <cell r="AH562">
            <v>3170</v>
          </cell>
          <cell r="AI562">
            <v>3170</v>
          </cell>
          <cell r="AK562" t="str">
            <v>По спущенной компановке</v>
          </cell>
          <cell r="AM562" t="str">
            <v>открытый</v>
          </cell>
          <cell r="AN562" t="str">
            <v>2490,7-3170</v>
          </cell>
          <cell r="AO562">
            <v>41.51</v>
          </cell>
          <cell r="AP562">
            <v>1719.33</v>
          </cell>
          <cell r="AQ562">
            <v>640.82000000000005</v>
          </cell>
          <cell r="AU562" t="str">
            <v>Фон.</v>
          </cell>
          <cell r="AV562">
            <v>430</v>
          </cell>
          <cell r="AW562" t="str">
            <v>ГК 79 1/8</v>
          </cell>
          <cell r="AX562">
            <v>890</v>
          </cell>
          <cell r="AY562" t="str">
            <v>ГК 79 1/8</v>
          </cell>
          <cell r="AZ562">
            <v>1360</v>
          </cell>
          <cell r="BA562" t="str">
            <v>ГК 80 1/8</v>
          </cell>
          <cell r="BB562">
            <v>1790</v>
          </cell>
          <cell r="BC562" t="str">
            <v>ГК 80 5/32</v>
          </cell>
          <cell r="BD562">
            <v>2140</v>
          </cell>
          <cell r="BE562" t="str">
            <v>ЦКсОК 5/16</v>
          </cell>
          <cell r="BF562" t="str">
            <v>-</v>
          </cell>
          <cell r="BG562" t="str">
            <v>-</v>
          </cell>
          <cell r="BH562" t="str">
            <v>-</v>
          </cell>
          <cell r="BI562" t="str">
            <v>-</v>
          </cell>
        </row>
        <row r="563">
          <cell r="J563">
            <v>1293</v>
          </cell>
          <cell r="K563" t="str">
            <v>К-36</v>
          </cell>
          <cell r="L563">
            <v>42054</v>
          </cell>
          <cell r="M563" t="str">
            <v>Гор.</v>
          </cell>
          <cell r="N563" t="str">
            <v>P4+5+6_Block1_yug</v>
          </cell>
          <cell r="O563" t="str">
            <v>Действующий</v>
          </cell>
          <cell r="P563" t="str">
            <v>В работе</v>
          </cell>
          <cell r="Q563">
            <v>-4</v>
          </cell>
          <cell r="U563">
            <v>203</v>
          </cell>
          <cell r="V563">
            <v>218.2</v>
          </cell>
          <cell r="W563">
            <v>0.98</v>
          </cell>
          <cell r="X563">
            <v>1.66</v>
          </cell>
          <cell r="Y563">
            <v>1.0218592964824118</v>
          </cell>
          <cell r="Z563">
            <v>1.454</v>
          </cell>
          <cell r="AA563">
            <v>0.83599999999999997</v>
          </cell>
          <cell r="AB563">
            <v>0.72</v>
          </cell>
          <cell r="AC563">
            <v>34.299999999999997</v>
          </cell>
          <cell r="AD563">
            <v>1.17</v>
          </cell>
          <cell r="AE563">
            <v>177.8</v>
          </cell>
          <cell r="AF563">
            <v>9.19</v>
          </cell>
          <cell r="AG563">
            <v>2059</v>
          </cell>
          <cell r="AH563">
            <v>2793</v>
          </cell>
          <cell r="AI563">
            <v>2793</v>
          </cell>
          <cell r="AM563" t="str">
            <v>открытый</v>
          </cell>
          <cell r="AN563" t="str">
            <v>1795,1 - 2691 (2060,54-2061,39; 2192,89-2193,74; 2409,55-2410,4; 2542,61-2543,46; 2664,6-2665,7</v>
          </cell>
          <cell r="AO563">
            <v>25.170000000000073</v>
          </cell>
          <cell r="AP563">
            <v>2059</v>
          </cell>
          <cell r="AQ563">
            <v>168.1</v>
          </cell>
          <cell r="AU563" t="str">
            <v>Газлифт</v>
          </cell>
          <cell r="AV563">
            <v>449.999992969</v>
          </cell>
          <cell r="AW563" t="str">
            <v>ГК 73 1/8</v>
          </cell>
          <cell r="AX563">
            <v>899.99998593800001</v>
          </cell>
          <cell r="AY563" t="str">
            <v>ГК 73 1/8</v>
          </cell>
          <cell r="AZ563">
            <v>1199.99998125</v>
          </cell>
          <cell r="BA563" t="str">
            <v>ГК 73 1/8</v>
          </cell>
          <cell r="BB563">
            <v>1449.9999773439999</v>
          </cell>
          <cell r="BC563" t="str">
            <v>ГК 73 1/8</v>
          </cell>
          <cell r="BD563">
            <v>1749.999972656</v>
          </cell>
          <cell r="BE563" t="str">
            <v>ЦКсОК 5/16</v>
          </cell>
          <cell r="BF563" t="str">
            <v>-</v>
          </cell>
          <cell r="BG563" t="str">
            <v>-</v>
          </cell>
          <cell r="BH563" t="str">
            <v>-</v>
          </cell>
          <cell r="BI563" t="str">
            <v>-</v>
          </cell>
        </row>
        <row r="564">
          <cell r="J564">
            <v>3299</v>
          </cell>
          <cell r="K564" t="str">
            <v>К-3</v>
          </cell>
          <cell r="L564">
            <v>42334</v>
          </cell>
          <cell r="M564" t="str">
            <v>Гор.</v>
          </cell>
          <cell r="N564" t="str">
            <v>P4+5+6_Block1_yug</v>
          </cell>
          <cell r="O564" t="str">
            <v>Действующий</v>
          </cell>
          <cell r="P564" t="str">
            <v>В работе</v>
          </cell>
          <cell r="Q564">
            <v>-4</v>
          </cell>
          <cell r="U564">
            <v>203</v>
          </cell>
          <cell r="V564">
            <v>218.2</v>
          </cell>
          <cell r="W564">
            <v>0.98</v>
          </cell>
          <cell r="X564">
            <v>1.66</v>
          </cell>
          <cell r="Y564">
            <v>0.98012044853704894</v>
          </cell>
          <cell r="Z564">
            <v>1.454</v>
          </cell>
          <cell r="AA564">
            <v>0.83599999999999997</v>
          </cell>
          <cell r="AB564">
            <v>0.72</v>
          </cell>
          <cell r="AC564">
            <v>34.299999999999997</v>
          </cell>
          <cell r="AD564">
            <v>1.17</v>
          </cell>
          <cell r="AE564">
            <v>177.8</v>
          </cell>
          <cell r="AF564">
            <v>9.19</v>
          </cell>
          <cell r="AG564">
            <v>2250</v>
          </cell>
          <cell r="AH564">
            <v>3164</v>
          </cell>
          <cell r="AI564">
            <v>3160</v>
          </cell>
          <cell r="AM564" t="str">
            <v>Закрытый</v>
          </cell>
          <cell r="AN564" t="str">
            <v>2093-3160</v>
          </cell>
          <cell r="AO564">
            <v>28.31</v>
          </cell>
          <cell r="AP564">
            <v>2093</v>
          </cell>
          <cell r="AQ564">
            <v>324.22000000000003</v>
          </cell>
          <cell r="AR564" t="str">
            <v>2093-3160</v>
          </cell>
          <cell r="AS564">
            <v>114</v>
          </cell>
          <cell r="AT564">
            <v>7.37</v>
          </cell>
          <cell r="AU564" t="str">
            <v>Газлифт</v>
          </cell>
          <cell r="AV564">
            <v>480.00002226599997</v>
          </cell>
          <cell r="AW564" t="str">
            <v>ГП</v>
          </cell>
          <cell r="AX564">
            <v>890.00000097700001</v>
          </cell>
          <cell r="AY564" t="str">
            <v>ГП</v>
          </cell>
          <cell r="AZ564">
            <v>1290.000069141</v>
          </cell>
          <cell r="BA564" t="str">
            <v>ГК 75 1/8</v>
          </cell>
          <cell r="BB564">
            <v>1610.000034375</v>
          </cell>
          <cell r="BC564" t="str">
            <v>ГК 74 1/8</v>
          </cell>
          <cell r="BD564">
            <v>1880.000000391</v>
          </cell>
          <cell r="BE564" t="str">
            <v>ЦКсОК 5/16</v>
          </cell>
          <cell r="BF564" t="str">
            <v>-</v>
          </cell>
          <cell r="BG564" t="str">
            <v>-</v>
          </cell>
          <cell r="BH564">
            <v>1890</v>
          </cell>
          <cell r="BI564" t="str">
            <v>закрыт</v>
          </cell>
        </row>
        <row r="565">
          <cell r="J565">
            <v>3306</v>
          </cell>
          <cell r="K565" t="str">
            <v>К-40</v>
          </cell>
          <cell r="L565">
            <v>42232</v>
          </cell>
          <cell r="M565" t="str">
            <v>Гор.</v>
          </cell>
          <cell r="N565" t="str">
            <v>Р4+5_Block3</v>
          </cell>
          <cell r="O565" t="str">
            <v>Действующий</v>
          </cell>
          <cell r="P565" t="str">
            <v>В работе</v>
          </cell>
          <cell r="Q565">
            <v>-4</v>
          </cell>
          <cell r="U565">
            <v>203</v>
          </cell>
          <cell r="V565">
            <v>218.2</v>
          </cell>
          <cell r="W565">
            <v>0.98</v>
          </cell>
          <cell r="X565">
            <v>1.66</v>
          </cell>
          <cell r="Y565">
            <v>1.0722383337727392</v>
          </cell>
          <cell r="Z565">
            <v>1.454</v>
          </cell>
          <cell r="AA565">
            <v>0.83599999999999997</v>
          </cell>
          <cell r="AB565">
            <v>0.72</v>
          </cell>
          <cell r="AC565">
            <v>34.299999999999997</v>
          </cell>
          <cell r="AD565">
            <v>1.17</v>
          </cell>
          <cell r="AE565">
            <v>177.8</v>
          </cell>
          <cell r="AF565">
            <v>9.19</v>
          </cell>
          <cell r="AG565">
            <v>2248</v>
          </cell>
          <cell r="AH565">
            <v>2852</v>
          </cell>
          <cell r="AI565">
            <v>2852</v>
          </cell>
          <cell r="AM565" t="str">
            <v>открытый</v>
          </cell>
          <cell r="AN565" t="str">
            <v>2248-2852</v>
          </cell>
          <cell r="AO565">
            <v>6.2999999999999545</v>
          </cell>
          <cell r="AP565">
            <v>2248</v>
          </cell>
          <cell r="AQ565">
            <v>344.89</v>
          </cell>
          <cell r="AU565" t="str">
            <v>Газлифт</v>
          </cell>
          <cell r="AV565">
            <v>549.99999140600005</v>
          </cell>
          <cell r="AW565" t="str">
            <v>ГП</v>
          </cell>
          <cell r="AX565">
            <v>1039.9999986329999</v>
          </cell>
          <cell r="AY565" t="str">
            <v>ГП</v>
          </cell>
          <cell r="AZ565">
            <v>1449.9999773439999</v>
          </cell>
          <cell r="BA565" t="str">
            <v>ГК 76 1/8</v>
          </cell>
          <cell r="BB565">
            <v>1735.000032422</v>
          </cell>
          <cell r="BC565" t="str">
            <v>ГК 76 1/8</v>
          </cell>
          <cell r="BD565">
            <v>2010.000028125</v>
          </cell>
          <cell r="BE565" t="str">
            <v>ЦКсОК 5/16</v>
          </cell>
          <cell r="BF565" t="str">
            <v>-</v>
          </cell>
          <cell r="BG565" t="str">
            <v>-</v>
          </cell>
          <cell r="BH565">
            <v>2030</v>
          </cell>
          <cell r="BI565" t="str">
            <v>закрыт</v>
          </cell>
        </row>
        <row r="566">
          <cell r="J566">
            <v>3307</v>
          </cell>
          <cell r="K566" t="str">
            <v>К-40</v>
          </cell>
          <cell r="L566">
            <v>42047</v>
          </cell>
          <cell r="M566" t="str">
            <v>Гор.</v>
          </cell>
          <cell r="N566" t="str">
            <v>Р4+5_Block3</v>
          </cell>
          <cell r="O566" t="str">
            <v>Действующий</v>
          </cell>
          <cell r="P566" t="str">
            <v>В работе</v>
          </cell>
          <cell r="Q566">
            <v>-4</v>
          </cell>
          <cell r="U566">
            <v>203</v>
          </cell>
          <cell r="V566">
            <v>218.2</v>
          </cell>
          <cell r="W566">
            <v>0.98</v>
          </cell>
          <cell r="X566">
            <v>1.66</v>
          </cell>
          <cell r="Y566">
            <v>1.207541567695962</v>
          </cell>
          <cell r="Z566">
            <v>1.454</v>
          </cell>
          <cell r="AA566">
            <v>0.83599999999999997</v>
          </cell>
          <cell r="AB566">
            <v>0.72</v>
          </cell>
          <cell r="AC566">
            <v>34.299999999999997</v>
          </cell>
          <cell r="AD566">
            <v>1.17</v>
          </cell>
          <cell r="AE566">
            <v>177.8</v>
          </cell>
          <cell r="AF566">
            <v>9.19</v>
          </cell>
          <cell r="AG566">
            <v>2168</v>
          </cell>
          <cell r="AH566" t="str">
            <v>1 ств 2840
2 ств 2520
3 ств 2690
4 ств 2253</v>
          </cell>
          <cell r="AI566" t="str">
            <v>1 ств 2840
2 ств 2520
3 ств 2690
4 ств 2253</v>
          </cell>
          <cell r="AM566" t="str">
            <v>открытый</v>
          </cell>
          <cell r="AN566" t="str">
            <v>2008-2840; 2008-2520; 2008-2690; 2200-2253;</v>
          </cell>
          <cell r="AO566" t="str">
            <v>113,91;14,76;17,10;40,30</v>
          </cell>
          <cell r="AP566">
            <v>2008</v>
          </cell>
          <cell r="AQ566">
            <v>280</v>
          </cell>
          <cell r="AU566" t="str">
            <v>Газлифт</v>
          </cell>
          <cell r="AV566">
            <v>550.00002861300004</v>
          </cell>
          <cell r="AW566" t="str">
            <v>ГП</v>
          </cell>
          <cell r="AX566">
            <v>989.99999941399994</v>
          </cell>
          <cell r="AY566" t="str">
            <v>ГП</v>
          </cell>
          <cell r="AZ566">
            <v>1370.000097656</v>
          </cell>
          <cell r="BA566" t="str">
            <v>ГК 81 1/8</v>
          </cell>
          <cell r="BB566">
            <v>1670.000092969</v>
          </cell>
          <cell r="BC566" t="str">
            <v>ГК 79 1/8</v>
          </cell>
          <cell r="BD566">
            <v>1904.0000238279999</v>
          </cell>
          <cell r="BE566" t="str">
            <v>ЦКсОК 5/16</v>
          </cell>
          <cell r="BF566" t="str">
            <v>-</v>
          </cell>
          <cell r="BG566" t="str">
            <v>-</v>
          </cell>
          <cell r="BH566">
            <v>1914</v>
          </cell>
          <cell r="BI566" t="str">
            <v>закрыт</v>
          </cell>
        </row>
        <row r="567">
          <cell r="J567">
            <v>3308</v>
          </cell>
          <cell r="K567" t="str">
            <v>К-48</v>
          </cell>
          <cell r="L567">
            <v>43868</v>
          </cell>
          <cell r="M567" t="str">
            <v>Гор.</v>
          </cell>
          <cell r="N567" t="str">
            <v>P4+5+6_Block1_yug</v>
          </cell>
          <cell r="O567" t="str">
            <v>В бездействии текущего года</v>
          </cell>
          <cell r="P567" t="str">
            <v>Остановлена</v>
          </cell>
          <cell r="Q567">
            <v>-4</v>
          </cell>
          <cell r="U567">
            <v>203</v>
          </cell>
          <cell r="V567">
            <v>218.2</v>
          </cell>
          <cell r="W567">
            <v>0.98</v>
          </cell>
          <cell r="X567">
            <v>1.66</v>
          </cell>
          <cell r="Y567">
            <v>0.98</v>
          </cell>
          <cell r="Z567">
            <v>1.454</v>
          </cell>
          <cell r="AA567">
            <v>0.83599999999999997</v>
          </cell>
          <cell r="AB567">
            <v>0.72</v>
          </cell>
          <cell r="AC567">
            <v>34.299999999999997</v>
          </cell>
          <cell r="AD567">
            <v>1.17</v>
          </cell>
          <cell r="AE567">
            <v>177.8</v>
          </cell>
          <cell r="AF567">
            <v>9.19</v>
          </cell>
          <cell r="AG567">
            <v>2382.54</v>
          </cell>
          <cell r="AH567">
            <v>3339</v>
          </cell>
          <cell r="AI567">
            <v>3339</v>
          </cell>
          <cell r="AM567" t="str">
            <v>Закрытый</v>
          </cell>
          <cell r="AN567" t="str">
            <v>2506,96-2508,39;2607,27-2608,7;2707,47-2708,9;2807,43-2808,86;2907,2-2908,45;3007,93-3009,36;3100,18-3101,61;3212,55-3213,98;3324,86-3326,09</v>
          </cell>
          <cell r="AO567">
            <v>39.81</v>
          </cell>
          <cell r="AP567">
            <v>2506.96</v>
          </cell>
          <cell r="AQ567">
            <v>590.29999999999995</v>
          </cell>
          <cell r="AU567" t="str">
            <v>ЭЦН</v>
          </cell>
          <cell r="AV567">
            <v>407</v>
          </cell>
          <cell r="AW567" t="str">
            <v>ГП</v>
          </cell>
          <cell r="AX567">
            <v>804</v>
          </cell>
          <cell r="AY567" t="str">
            <v>ГП</v>
          </cell>
          <cell r="AZ567">
            <v>1191</v>
          </cell>
          <cell r="BA567" t="str">
            <v>ГП</v>
          </cell>
          <cell r="BB567">
            <v>1524</v>
          </cell>
          <cell r="BC567" t="str">
            <v>ГП</v>
          </cell>
          <cell r="BD567">
            <v>1805</v>
          </cell>
          <cell r="BE567" t="str">
            <v>ГП</v>
          </cell>
          <cell r="BF567">
            <v>2078</v>
          </cell>
          <cell r="BG567" t="str">
            <v>ГП</v>
          </cell>
          <cell r="BH567" t="str">
            <v>-</v>
          </cell>
          <cell r="BI567" t="str">
            <v>-</v>
          </cell>
          <cell r="BK567" t="str">
            <v>D460N</v>
          </cell>
          <cell r="BM567">
            <v>1242</v>
          </cell>
          <cell r="BN567">
            <v>50</v>
          </cell>
          <cell r="BO567">
            <v>45</v>
          </cell>
        </row>
        <row r="568">
          <cell r="J568">
            <v>3309</v>
          </cell>
          <cell r="K568" t="str">
            <v>К-47</v>
          </cell>
          <cell r="L568">
            <v>44160</v>
          </cell>
          <cell r="M568" t="str">
            <v>Гор.</v>
          </cell>
          <cell r="N568" t="str">
            <v>P4+5+6_Block1_yug</v>
          </cell>
          <cell r="O568" t="str">
            <v>Действующий</v>
          </cell>
          <cell r="P568" t="str">
            <v>В работе</v>
          </cell>
          <cell r="Q568">
            <v>-4</v>
          </cell>
          <cell r="U568">
            <v>203</v>
          </cell>
          <cell r="V568">
            <v>218.2</v>
          </cell>
          <cell r="W568">
            <v>0.98</v>
          </cell>
          <cell r="X568">
            <v>1.66</v>
          </cell>
          <cell r="Y568">
            <v>0.98403097023953534</v>
          </cell>
          <cell r="Z568">
            <v>1.454</v>
          </cell>
          <cell r="AA568">
            <v>0.83599999999999997</v>
          </cell>
          <cell r="AB568">
            <v>0.72</v>
          </cell>
          <cell r="AC568">
            <v>34.299999999999997</v>
          </cell>
          <cell r="AD568">
            <v>1.17</v>
          </cell>
          <cell r="AE568">
            <v>177.8</v>
          </cell>
          <cell r="AF568">
            <v>9.19</v>
          </cell>
          <cell r="AG568">
            <v>2116.83</v>
          </cell>
          <cell r="AH568">
            <v>3104</v>
          </cell>
          <cell r="AI568">
            <v>3104</v>
          </cell>
          <cell r="AM568" t="str">
            <v>Закрытый</v>
          </cell>
          <cell r="AN568" t="str">
            <v>2200,79-2201,64; 2311,38-2312,23; 2409,93-2410,78; 2519,6-2520,45; 2700,42-2701,27; 2797,36-2798,21; 2895,19-2896,04; 3090,82-3091,92.</v>
          </cell>
          <cell r="AO568">
            <v>346</v>
          </cell>
          <cell r="AP568">
            <v>2200</v>
          </cell>
          <cell r="AQ568">
            <v>1177</v>
          </cell>
          <cell r="AU568" t="str">
            <v>Газлифт</v>
          </cell>
          <cell r="AV568">
            <v>479.99998505899998</v>
          </cell>
          <cell r="AW568" t="str">
            <v>ГК 71 1/8</v>
          </cell>
          <cell r="AX568">
            <v>890.00000097700001</v>
          </cell>
          <cell r="AY568" t="str">
            <v>ГК 72 1/8</v>
          </cell>
          <cell r="AZ568">
            <v>1199.99998125</v>
          </cell>
          <cell r="BA568" t="str">
            <v>ГК 73 5/32</v>
          </cell>
          <cell r="BB568">
            <v>1449.9999773439999</v>
          </cell>
          <cell r="BC568" t="str">
            <v>ГК 72 5/32</v>
          </cell>
          <cell r="BD568">
            <v>1719.9999433590001</v>
          </cell>
          <cell r="BE568" t="str">
            <v>ЦКсОК 5/16</v>
          </cell>
          <cell r="BF568" t="str">
            <v>-</v>
          </cell>
          <cell r="BG568" t="str">
            <v>-</v>
          </cell>
          <cell r="BH568" t="str">
            <v>-</v>
          </cell>
          <cell r="BI568" t="str">
            <v>-</v>
          </cell>
        </row>
        <row r="569">
          <cell r="J569">
            <v>3310</v>
          </cell>
          <cell r="K569" t="str">
            <v>К-48</v>
          </cell>
          <cell r="L569">
            <v>44006</v>
          </cell>
          <cell r="M569" t="str">
            <v>Гор.</v>
          </cell>
          <cell r="N569" t="str">
            <v>P4+5+6_Block1_yug</v>
          </cell>
          <cell r="O569" t="str">
            <v>Действующий</v>
          </cell>
          <cell r="P569" t="str">
            <v>В работе</v>
          </cell>
          <cell r="Q569">
            <v>-4</v>
          </cell>
          <cell r="U569">
            <v>203</v>
          </cell>
          <cell r="V569">
            <v>218.2</v>
          </cell>
          <cell r="W569">
            <v>0.98</v>
          </cell>
          <cell r="X569">
            <v>1.66</v>
          </cell>
          <cell r="Y569">
            <v>0.98</v>
          </cell>
          <cell r="Z569">
            <v>1.454</v>
          </cell>
          <cell r="AA569">
            <v>0.83599999999999997</v>
          </cell>
          <cell r="AB569">
            <v>0.72</v>
          </cell>
          <cell r="AC569">
            <v>34.299999999999997</v>
          </cell>
          <cell r="AD569">
            <v>1.17</v>
          </cell>
          <cell r="AE569">
            <v>177.8</v>
          </cell>
          <cell r="AF569">
            <v>9.19</v>
          </cell>
          <cell r="AG569">
            <v>2345.5</v>
          </cell>
          <cell r="AH569">
            <v>3098</v>
          </cell>
          <cell r="AI569">
            <v>3098</v>
          </cell>
          <cell r="AM569" t="str">
            <v>закрытый</v>
          </cell>
          <cell r="AN569" t="str">
            <v>2382,11-2384,31; 2492,97-2497,17; 2627,9-2629,1; 2750,22-2751,42; 2873,75-2874,95; 2960,64-2961,84; 3084,09-3085,29</v>
          </cell>
          <cell r="AO569">
            <v>40.5</v>
          </cell>
          <cell r="AP569">
            <v>2382.11</v>
          </cell>
          <cell r="AQ569">
            <v>472</v>
          </cell>
          <cell r="AR569" t="str">
            <v>2282,1-3098</v>
          </cell>
          <cell r="AS569">
            <v>114.3</v>
          </cell>
          <cell r="AT569">
            <v>7.37</v>
          </cell>
          <cell r="AU569" t="str">
            <v>Газлифт</v>
          </cell>
          <cell r="AV569">
            <v>535.00001396499999</v>
          </cell>
          <cell r="AW569" t="str">
            <v>ГП</v>
          </cell>
          <cell r="AX569">
            <v>1046.9999806640001</v>
          </cell>
          <cell r="AY569" t="str">
            <v>ГП</v>
          </cell>
          <cell r="AZ569">
            <v>1421.0000730469999</v>
          </cell>
          <cell r="BA569" t="str">
            <v>ГК 71 1/8</v>
          </cell>
          <cell r="BB569">
            <v>1653.0000515629999</v>
          </cell>
          <cell r="BC569" t="str">
            <v>ГК 70 1/8</v>
          </cell>
          <cell r="BD569">
            <v>1823.0000191409999</v>
          </cell>
          <cell r="BE569" t="str">
            <v>ГК 69 1/8</v>
          </cell>
          <cell r="BF569">
            <v>1950</v>
          </cell>
          <cell r="BG569" t="str">
            <v>ЦКсОК 5/16</v>
          </cell>
          <cell r="BH569">
            <v>1960</v>
          </cell>
          <cell r="BI569" t="str">
            <v>Закрыт</v>
          </cell>
        </row>
        <row r="570">
          <cell r="J570">
            <v>3312</v>
          </cell>
          <cell r="K570" t="str">
            <v>К-47</v>
          </cell>
          <cell r="L570">
            <v>44162</v>
          </cell>
          <cell r="M570" t="str">
            <v>Гор.</v>
          </cell>
          <cell r="N570" t="str">
            <v>P4+5+6_Block1_yug</v>
          </cell>
          <cell r="O570" t="str">
            <v>Действующий</v>
          </cell>
          <cell r="P570" t="str">
            <v>В работе</v>
          </cell>
          <cell r="Q570">
            <v>-4</v>
          </cell>
          <cell r="U570">
            <v>203</v>
          </cell>
          <cell r="V570">
            <v>218.2</v>
          </cell>
          <cell r="W570">
            <v>0.98</v>
          </cell>
          <cell r="X570">
            <v>1.66</v>
          </cell>
          <cell r="Y570">
            <v>0.98</v>
          </cell>
          <cell r="Z570">
            <v>1.454</v>
          </cell>
          <cell r="AA570">
            <v>0.83599999999999997</v>
          </cell>
          <cell r="AB570">
            <v>0.72</v>
          </cell>
          <cell r="AC570">
            <v>34.299999999999997</v>
          </cell>
          <cell r="AD570">
            <v>1.17</v>
          </cell>
          <cell r="AE570">
            <v>177.8</v>
          </cell>
          <cell r="AF570">
            <v>9.19</v>
          </cell>
          <cell r="AG570">
            <v>2336.5100000000002</v>
          </cell>
          <cell r="AH570">
            <v>3393.8</v>
          </cell>
          <cell r="AI570">
            <v>3393.8</v>
          </cell>
          <cell r="AM570" t="str">
            <v>закрытый</v>
          </cell>
          <cell r="AN570" t="str">
            <v>2353,37-2354,52; 2462,34-2463,19; 2595,43-2596,28; 2704,03-2704,88; 2825,1-2825-95; 2933,55-2934,4; 3031,39-3032,24; 3200,92-3201,77.</v>
          </cell>
          <cell r="AO570">
            <v>34</v>
          </cell>
          <cell r="AP570">
            <v>2353.73</v>
          </cell>
          <cell r="AQ570">
            <v>533</v>
          </cell>
          <cell r="AR570" t="str">
            <v>2353,37-3201,77</v>
          </cell>
          <cell r="AS570">
            <v>114.3</v>
          </cell>
          <cell r="AT570">
            <v>7.37</v>
          </cell>
          <cell r="AU570" t="str">
            <v>Газлифт</v>
          </cell>
          <cell r="AV570">
            <v>490.00000722700003</v>
          </cell>
          <cell r="AW570" t="str">
            <v>ГК 69 1/8</v>
          </cell>
          <cell r="AX570">
            <v>899.99998593800001</v>
          </cell>
          <cell r="AY570" t="str">
            <v>ГК 70 1/8</v>
          </cell>
          <cell r="AZ570">
            <v>1199.99998125</v>
          </cell>
          <cell r="BA570" t="str">
            <v>ГК 70 1/8</v>
          </cell>
          <cell r="BB570">
            <v>1449.9999773439999</v>
          </cell>
          <cell r="BC570" t="str">
            <v>ГК 69 1/8</v>
          </cell>
          <cell r="BD570">
            <v>1649.999974219</v>
          </cell>
          <cell r="BE570" t="str">
            <v>ГК 69 1/8</v>
          </cell>
          <cell r="BF570">
            <v>1890</v>
          </cell>
          <cell r="BG570" t="str">
            <v>-</v>
          </cell>
          <cell r="BH570" t="str">
            <v>-</v>
          </cell>
          <cell r="BI570" t="str">
            <v>-</v>
          </cell>
        </row>
        <row r="571">
          <cell r="J571">
            <v>3315</v>
          </cell>
          <cell r="K571" t="str">
            <v>К-44</v>
          </cell>
          <cell r="L571">
            <v>43231</v>
          </cell>
          <cell r="M571" t="str">
            <v>Гор.</v>
          </cell>
          <cell r="N571" t="str">
            <v>P4+5+6_Block1_yug</v>
          </cell>
          <cell r="O571" t="str">
            <v>Действующий</v>
          </cell>
          <cell r="P571" t="str">
            <v>В работе</v>
          </cell>
          <cell r="Q571">
            <v>-4</v>
          </cell>
          <cell r="R571">
            <v>43170</v>
          </cell>
          <cell r="S571" t="str">
            <v>МеКаМиНефть</v>
          </cell>
          <cell r="T571" t="str">
            <v>КГРП 7стадий
350 м3 15% HCl</v>
          </cell>
          <cell r="U571">
            <v>203</v>
          </cell>
          <cell r="V571">
            <v>218.2</v>
          </cell>
          <cell r="W571">
            <v>0.98</v>
          </cell>
          <cell r="X571">
            <v>1.66</v>
          </cell>
          <cell r="Y571">
            <v>0.98</v>
          </cell>
          <cell r="Z571">
            <v>1.454</v>
          </cell>
          <cell r="AA571">
            <v>0.83599999999999997</v>
          </cell>
          <cell r="AB571">
            <v>0.72</v>
          </cell>
          <cell r="AC571">
            <v>34.299999999999997</v>
          </cell>
          <cell r="AD571">
            <v>1.17</v>
          </cell>
          <cell r="AE571">
            <v>177.8</v>
          </cell>
          <cell r="AF571">
            <v>9.19</v>
          </cell>
          <cell r="AG571">
            <v>2046.72</v>
          </cell>
          <cell r="AH571">
            <v>3155</v>
          </cell>
          <cell r="AI571">
            <v>3155</v>
          </cell>
          <cell r="AM571" t="str">
            <v>Закрытый</v>
          </cell>
          <cell r="AN571" t="str">
            <v xml:space="preserve">2237,59-2239,02; 2356,36-2357,79; 2522,65-2524,08; 2653,63-2655,06; 2739,65-2741,08; 2871,7-2873,13; 3047,52-3048,75 </v>
          </cell>
          <cell r="AO571">
            <v>29.51</v>
          </cell>
          <cell r="AP571">
            <v>2237.59</v>
          </cell>
          <cell r="AQ571">
            <v>269.20999999999998</v>
          </cell>
          <cell r="AR571" t="str">
            <v>1991-3155</v>
          </cell>
          <cell r="AS571">
            <v>114</v>
          </cell>
          <cell r="AT571">
            <v>7.37</v>
          </cell>
          <cell r="AU571" t="str">
            <v>Газлифт</v>
          </cell>
          <cell r="AV571">
            <v>429.99998584000002</v>
          </cell>
          <cell r="AW571" t="str">
            <v>ГП</v>
          </cell>
          <cell r="AX571">
            <v>840.00000175800005</v>
          </cell>
          <cell r="AY571" t="str">
            <v>ГП</v>
          </cell>
          <cell r="AZ571">
            <v>1180.000011328</v>
          </cell>
          <cell r="BA571" t="str">
            <v>ГП</v>
          </cell>
          <cell r="BB571">
            <v>1440.000066797</v>
          </cell>
          <cell r="BC571" t="str">
            <v>ГК 75 1/8</v>
          </cell>
          <cell r="BD571">
            <v>1640.0000636719999</v>
          </cell>
          <cell r="BE571" t="str">
            <v>ГК 74 1/8</v>
          </cell>
          <cell r="BF571">
            <v>1800</v>
          </cell>
          <cell r="BG571" t="str">
            <v>ЦКсОК 5/16</v>
          </cell>
          <cell r="BH571">
            <v>1910</v>
          </cell>
          <cell r="BI571" t="str">
            <v>открыт</v>
          </cell>
        </row>
        <row r="572">
          <cell r="J572">
            <v>1476</v>
          </cell>
          <cell r="K572" t="str">
            <v>К-22</v>
          </cell>
          <cell r="L572">
            <v>43369</v>
          </cell>
          <cell r="M572" t="str">
            <v>Гор.</v>
          </cell>
          <cell r="N572" t="str">
            <v>P4+5+6_Block1_yug</v>
          </cell>
          <cell r="O572" t="str">
            <v>Действующий</v>
          </cell>
          <cell r="P572" t="str">
            <v>В работе</v>
          </cell>
          <cell r="Q572">
            <v>-4</v>
          </cell>
          <cell r="U572">
            <v>203</v>
          </cell>
          <cell r="V572">
            <v>218.2</v>
          </cell>
          <cell r="W572">
            <v>0.98</v>
          </cell>
          <cell r="X572">
            <v>1.66</v>
          </cell>
          <cell r="Y572">
            <v>0.98</v>
          </cell>
          <cell r="Z572">
            <v>1.454</v>
          </cell>
          <cell r="AA572">
            <v>0.83599999999999997</v>
          </cell>
          <cell r="AB572">
            <v>0.72</v>
          </cell>
          <cell r="AC572">
            <v>34.299999999999997</v>
          </cell>
          <cell r="AD572">
            <v>1.17</v>
          </cell>
          <cell r="AE572">
            <v>177.8</v>
          </cell>
          <cell r="AF572">
            <v>9.19</v>
          </cell>
          <cell r="AG572">
            <v>2201.5</v>
          </cell>
          <cell r="AH572">
            <v>2995</v>
          </cell>
          <cell r="AI572">
            <v>2995</v>
          </cell>
          <cell r="AM572" t="str">
            <v>Закрытый</v>
          </cell>
          <cell r="AN572" t="str">
            <v>2293-2294, 2370-2371, 2437-2438, 2545-2546, 2655-2656, 2754-2755, 2875-2876</v>
          </cell>
          <cell r="AO572">
            <v>56.220000000000027</v>
          </cell>
          <cell r="AP572">
            <v>2293</v>
          </cell>
          <cell r="AQ572">
            <v>438</v>
          </cell>
          <cell r="AR572" t="str">
            <v>2245,78-2898,14</v>
          </cell>
          <cell r="AS572">
            <v>114</v>
          </cell>
          <cell r="AT572">
            <v>7.37</v>
          </cell>
          <cell r="AU572" t="str">
            <v>Газлифт</v>
          </cell>
          <cell r="AV572">
            <v>479.99998505899998</v>
          </cell>
          <cell r="AW572" t="str">
            <v>ГП</v>
          </cell>
          <cell r="AX572">
            <v>899.99998593800001</v>
          </cell>
          <cell r="AY572" t="str">
            <v>ГП</v>
          </cell>
          <cell r="AZ572">
            <v>1209.9999662109999</v>
          </cell>
          <cell r="BA572" t="str">
            <v>ГК 77 1/8</v>
          </cell>
          <cell r="BB572">
            <v>1519.999946484</v>
          </cell>
          <cell r="BC572" t="str">
            <v>ГК 77 1/8</v>
          </cell>
          <cell r="BD572">
            <v>1810.0000312499999</v>
          </cell>
          <cell r="BE572" t="str">
            <v>ЦКсОК 5/16</v>
          </cell>
          <cell r="BF572" t="str">
            <v>-</v>
          </cell>
          <cell r="BG572" t="str">
            <v>-</v>
          </cell>
          <cell r="BH572">
            <v>1820</v>
          </cell>
          <cell r="BI572" t="str">
            <v>закрыт</v>
          </cell>
        </row>
        <row r="573">
          <cell r="J573">
            <v>3317</v>
          </cell>
          <cell r="K573" t="str">
            <v>К-1526</v>
          </cell>
          <cell r="L573">
            <v>43904</v>
          </cell>
          <cell r="M573" t="str">
            <v>Гор.</v>
          </cell>
          <cell r="N573" t="str">
            <v>P4+5+6_Block1_yug</v>
          </cell>
          <cell r="O573" t="str">
            <v>Действующий</v>
          </cell>
          <cell r="P573" t="str">
            <v>В работе</v>
          </cell>
          <cell r="Q573">
            <v>-4</v>
          </cell>
          <cell r="R573" t="str">
            <v xml:space="preserve"> </v>
          </cell>
          <cell r="S573" t="str">
            <v xml:space="preserve"> </v>
          </cell>
          <cell r="U573">
            <v>203</v>
          </cell>
          <cell r="V573">
            <v>218.2</v>
          </cell>
          <cell r="W573">
            <v>0.98</v>
          </cell>
          <cell r="X573">
            <v>1.66</v>
          </cell>
          <cell r="Y573">
            <v>0.98403097023953534</v>
          </cell>
          <cell r="Z573">
            <v>1.454</v>
          </cell>
          <cell r="AA573">
            <v>0.83599999999999997</v>
          </cell>
          <cell r="AB573">
            <v>0.72</v>
          </cell>
          <cell r="AC573">
            <v>34.299999999999997</v>
          </cell>
          <cell r="AD573">
            <v>1.17</v>
          </cell>
          <cell r="AE573">
            <v>177.8</v>
          </cell>
          <cell r="AF573">
            <v>9.19</v>
          </cell>
          <cell r="AG573">
            <v>2521</v>
          </cell>
          <cell r="AH573">
            <v>3250</v>
          </cell>
          <cell r="AI573">
            <v>3250</v>
          </cell>
          <cell r="AM573" t="str">
            <v>Закрытый</v>
          </cell>
          <cell r="AN573" t="str">
            <v xml:space="preserve">2538,16-2539,36; 2673,15-2674,35; 2830,74-2831,94; 2963,44-2964,64; 3012,89-3014,09; 3100,39-3101,59; 3236-3237,2 </v>
          </cell>
          <cell r="AO573">
            <v>16.100000000000001</v>
          </cell>
          <cell r="AP573">
            <v>2538.16</v>
          </cell>
          <cell r="AQ573">
            <v>677</v>
          </cell>
          <cell r="AR573" t="str">
            <v>2460,8-3250</v>
          </cell>
          <cell r="AS573">
            <v>114</v>
          </cell>
          <cell r="AT573">
            <v>7.37</v>
          </cell>
          <cell r="AU573" t="str">
            <v>ЭЦН</v>
          </cell>
          <cell r="AV573">
            <v>300</v>
          </cell>
          <cell r="AW573" t="str">
            <v>ГП</v>
          </cell>
          <cell r="AX573" t="str">
            <v>-</v>
          </cell>
          <cell r="AY573" t="str">
            <v>-</v>
          </cell>
          <cell r="AZ573" t="str">
            <v>-</v>
          </cell>
          <cell r="BA573" t="str">
            <v>-</v>
          </cell>
          <cell r="BB573" t="str">
            <v>-</v>
          </cell>
          <cell r="BC573" t="str">
            <v>-</v>
          </cell>
          <cell r="BD573" t="str">
            <v>-</v>
          </cell>
          <cell r="BE573" t="str">
            <v>-</v>
          </cell>
          <cell r="BF573" t="str">
            <v>-</v>
          </cell>
          <cell r="BG573" t="str">
            <v>-</v>
          </cell>
          <cell r="BH573">
            <v>2040</v>
          </cell>
          <cell r="BI573" t="str">
            <v>закрыт</v>
          </cell>
          <cell r="BK573" t="str">
            <v>D700EZ</v>
          </cell>
          <cell r="BM573">
            <v>2463</v>
          </cell>
          <cell r="BN573">
            <v>43</v>
          </cell>
          <cell r="BO573">
            <v>90</v>
          </cell>
        </row>
        <row r="574">
          <cell r="J574">
            <v>3320</v>
          </cell>
          <cell r="K574" t="str">
            <v>К-42</v>
          </cell>
          <cell r="L574">
            <v>43415</v>
          </cell>
          <cell r="M574" t="str">
            <v>Гор.</v>
          </cell>
          <cell r="N574" t="str">
            <v>P4+5+6_Block1_yug</v>
          </cell>
          <cell r="O574" t="str">
            <v>Действующий</v>
          </cell>
          <cell r="P574" t="str">
            <v>В работе</v>
          </cell>
          <cell r="Q574">
            <v>-4</v>
          </cell>
          <cell r="U574">
            <v>203</v>
          </cell>
          <cell r="V574">
            <v>218.2</v>
          </cell>
          <cell r="W574">
            <v>0.98</v>
          </cell>
          <cell r="X574">
            <v>1.66</v>
          </cell>
          <cell r="Y574">
            <v>1.0441591784338895</v>
          </cell>
          <cell r="Z574">
            <v>1.454</v>
          </cell>
          <cell r="AA574">
            <v>0.83599999999999997</v>
          </cell>
          <cell r="AB574">
            <v>0.72</v>
          </cell>
          <cell r="AC574">
            <v>34.299999999999997</v>
          </cell>
          <cell r="AD574">
            <v>1.17</v>
          </cell>
          <cell r="AE574">
            <v>177.8</v>
          </cell>
          <cell r="AF574">
            <v>9.19</v>
          </cell>
          <cell r="AG574">
            <v>2164</v>
          </cell>
          <cell r="AH574">
            <v>2980</v>
          </cell>
          <cell r="AI574">
            <v>2980</v>
          </cell>
          <cell r="AM574" t="str">
            <v>Закрытый</v>
          </cell>
          <cell r="AN574" t="str">
            <v>2308-2309, 2418-2420, 2548-2549, 2647-2648, 2768-2769, 2899-2900, 2966-2967</v>
          </cell>
          <cell r="AO574">
            <v>50.8599999999999</v>
          </cell>
          <cell r="AP574">
            <v>2308</v>
          </cell>
          <cell r="AQ574">
            <v>372.93</v>
          </cell>
          <cell r="AR574" t="str">
            <v>2108-2979</v>
          </cell>
          <cell r="AS574">
            <v>114</v>
          </cell>
          <cell r="AT574">
            <v>7.37</v>
          </cell>
          <cell r="AU574" t="str">
            <v>Газлифт</v>
          </cell>
          <cell r="AV574">
            <v>490.00000722700003</v>
          </cell>
          <cell r="AW574" t="str">
            <v>ГП</v>
          </cell>
          <cell r="AX574">
            <v>910.000045312</v>
          </cell>
          <cell r="AY574" t="str">
            <v>ГП</v>
          </cell>
          <cell r="AZ574">
            <v>1260.000039844</v>
          </cell>
          <cell r="BA574" t="str">
            <v>ГП</v>
          </cell>
          <cell r="BB574">
            <v>1499.999976563</v>
          </cell>
          <cell r="BC574" t="str">
            <v>ГК 80 1/8</v>
          </cell>
          <cell r="BD574">
            <v>1690.000062891</v>
          </cell>
          <cell r="BE574" t="str">
            <v>ГК 79 1/8</v>
          </cell>
          <cell r="BF574">
            <v>1930</v>
          </cell>
          <cell r="BG574" t="str">
            <v>ЦКсОК 5/16</v>
          </cell>
          <cell r="BH574" t="str">
            <v>-</v>
          </cell>
          <cell r="BI574" t="str">
            <v>-</v>
          </cell>
        </row>
        <row r="575">
          <cell r="J575">
            <v>3321</v>
          </cell>
          <cell r="K575" t="str">
            <v>К-41</v>
          </cell>
          <cell r="L575">
            <v>42555</v>
          </cell>
          <cell r="M575" t="str">
            <v>Гор.</v>
          </cell>
          <cell r="N575" t="str">
            <v>P4+5+6_Block1_yug</v>
          </cell>
          <cell r="O575" t="str">
            <v>Действующий</v>
          </cell>
          <cell r="P575" t="str">
            <v>Остановлена</v>
          </cell>
          <cell r="Q575">
            <v>-4</v>
          </cell>
          <cell r="U575">
            <v>203</v>
          </cell>
          <cell r="V575">
            <v>218.2</v>
          </cell>
          <cell r="W575">
            <v>0.98</v>
          </cell>
          <cell r="X575">
            <v>1.66</v>
          </cell>
          <cell r="Y575">
            <v>0.98004014622285718</v>
          </cell>
          <cell r="Z575">
            <v>1.454</v>
          </cell>
          <cell r="AA575">
            <v>0.83599999999999997</v>
          </cell>
          <cell r="AB575">
            <v>0.72</v>
          </cell>
          <cell r="AC575">
            <v>34.299999999999997</v>
          </cell>
          <cell r="AD575">
            <v>1.17</v>
          </cell>
          <cell r="AE575">
            <v>177.8</v>
          </cell>
          <cell r="AF575">
            <v>9.19</v>
          </cell>
          <cell r="AG575">
            <v>2091.8000000000002</v>
          </cell>
          <cell r="AH575">
            <v>2716</v>
          </cell>
          <cell r="AI575">
            <v>2716</v>
          </cell>
          <cell r="AM575" t="str">
            <v>открытый</v>
          </cell>
          <cell r="AN575" t="str">
            <v>2286-2681</v>
          </cell>
          <cell r="AO575">
            <v>6.2599999999999909</v>
          </cell>
          <cell r="AP575">
            <v>2286</v>
          </cell>
          <cell r="AQ575">
            <v>377.95</v>
          </cell>
          <cell r="AR575" t="str">
            <v>1941-2716</v>
          </cell>
          <cell r="AS575">
            <v>114</v>
          </cell>
          <cell r="AT575">
            <v>7.37</v>
          </cell>
          <cell r="AU575" t="str">
            <v>Газлифт</v>
          </cell>
          <cell r="AV575">
            <v>399.99999374999999</v>
          </cell>
          <cell r="AW575" t="str">
            <v>ГП</v>
          </cell>
          <cell r="AX575">
            <v>752.000015039</v>
          </cell>
          <cell r="AY575" t="str">
            <v>ГП</v>
          </cell>
          <cell r="AZ575">
            <v>1059.9999685549999</v>
          </cell>
          <cell r="BA575" t="str">
            <v>ГП</v>
          </cell>
          <cell r="BB575">
            <v>1326.9999316410001</v>
          </cell>
          <cell r="BC575" t="str">
            <v>ГП</v>
          </cell>
          <cell r="BD575">
            <v>1562.9999636719999</v>
          </cell>
          <cell r="BE575" t="str">
            <v>ГК 75 1/8</v>
          </cell>
          <cell r="BF575">
            <v>1810</v>
          </cell>
          <cell r="BG575" t="str">
            <v>ЦКсОК 5/16</v>
          </cell>
          <cell r="BH575" t="str">
            <v>-</v>
          </cell>
          <cell r="BI575" t="str">
            <v>-</v>
          </cell>
        </row>
        <row r="576">
          <cell r="J576">
            <v>3322</v>
          </cell>
          <cell r="K576" t="str">
            <v>К-41</v>
          </cell>
          <cell r="L576">
            <v>42515</v>
          </cell>
          <cell r="M576" t="str">
            <v>Гор.</v>
          </cell>
          <cell r="N576" t="str">
            <v>P4+5+6_Block1_yug</v>
          </cell>
          <cell r="O576" t="str">
            <v>Действующий</v>
          </cell>
          <cell r="P576" t="str">
            <v>В работе</v>
          </cell>
          <cell r="Q576">
            <v>-4</v>
          </cell>
          <cell r="U576">
            <v>203</v>
          </cell>
          <cell r="V576">
            <v>218.2</v>
          </cell>
          <cell r="W576">
            <v>0.98</v>
          </cell>
          <cell r="X576">
            <v>1.66</v>
          </cell>
          <cell r="Y576">
            <v>0.98</v>
          </cell>
          <cell r="Z576">
            <v>1.454</v>
          </cell>
          <cell r="AA576">
            <v>0.83599999999999997</v>
          </cell>
          <cell r="AB576">
            <v>0.72</v>
          </cell>
          <cell r="AC576">
            <v>34.299999999999997</v>
          </cell>
          <cell r="AD576">
            <v>1.17</v>
          </cell>
          <cell r="AE576">
            <v>177.8</v>
          </cell>
          <cell r="AF576">
            <v>9.19</v>
          </cell>
          <cell r="AG576">
            <v>2071.8000000000002</v>
          </cell>
          <cell r="AH576">
            <v>2700</v>
          </cell>
          <cell r="AI576">
            <v>2700</v>
          </cell>
          <cell r="AM576" t="str">
            <v>Закрытый</v>
          </cell>
          <cell r="AN576" t="str">
            <v xml:space="preserve">2130,23-2131,04; 2214,6-2215,41; 2348,39-2349,2; 2467,62-2468,43; 2648,61-2650,84 </v>
          </cell>
          <cell r="AO576">
            <v>14.95</v>
          </cell>
          <cell r="AP576">
            <v>2130.1999999999998</v>
          </cell>
          <cell r="AQ576">
            <v>259.3</v>
          </cell>
          <cell r="AR576" t="str">
            <v>1920,8-2700</v>
          </cell>
          <cell r="AS576">
            <v>114</v>
          </cell>
          <cell r="AT576">
            <v>7.37</v>
          </cell>
          <cell r="AU576" t="str">
            <v>Газлифт</v>
          </cell>
          <cell r="AV576">
            <v>410.00001591799997</v>
          </cell>
          <cell r="AW576" t="str">
            <v>ГП</v>
          </cell>
          <cell r="AX576">
            <v>809.99997246099997</v>
          </cell>
          <cell r="AY576" t="str">
            <v>ГП</v>
          </cell>
          <cell r="AZ576">
            <v>1130.000012109</v>
          </cell>
          <cell r="BA576" t="str">
            <v>ГК 77 1/8</v>
          </cell>
          <cell r="BB576">
            <v>1480.000006641</v>
          </cell>
          <cell r="BC576" t="str">
            <v>ГК  76 1/8</v>
          </cell>
          <cell r="BD576">
            <v>1740.0000621090001</v>
          </cell>
          <cell r="BE576" t="str">
            <v>ЦКсОК 5/16</v>
          </cell>
          <cell r="BF576" t="str">
            <v>-</v>
          </cell>
          <cell r="BG576" t="str">
            <v>-</v>
          </cell>
          <cell r="BH576" t="str">
            <v>-</v>
          </cell>
          <cell r="BI576" t="str">
            <v>-</v>
          </cell>
        </row>
        <row r="577">
          <cell r="J577">
            <v>3323</v>
          </cell>
          <cell r="K577" t="str">
            <v>К-1609</v>
          </cell>
          <cell r="L577">
            <v>44201</v>
          </cell>
          <cell r="M577" t="str">
            <v>Гор.</v>
          </cell>
          <cell r="N577" t="str">
            <v>P4+5+6_Block1_sever</v>
          </cell>
          <cell r="O577" t="str">
            <v>Действующий</v>
          </cell>
          <cell r="P577" t="str">
            <v>Остановлена</v>
          </cell>
          <cell r="Q577">
            <v>-4</v>
          </cell>
          <cell r="U577">
            <v>203</v>
          </cell>
          <cell r="V577">
            <v>218.2</v>
          </cell>
          <cell r="W577">
            <v>0.98</v>
          </cell>
          <cell r="X577">
            <v>1.66</v>
          </cell>
          <cell r="Y577">
            <v>0.98403097023953534</v>
          </cell>
          <cell r="Z577">
            <v>1.454</v>
          </cell>
          <cell r="AA577">
            <v>0.83599999999999997</v>
          </cell>
          <cell r="AB577">
            <v>0.72</v>
          </cell>
          <cell r="AC577">
            <v>34.299999999999997</v>
          </cell>
          <cell r="AD577">
            <v>1.17</v>
          </cell>
          <cell r="AE577">
            <v>177.8</v>
          </cell>
          <cell r="AF577">
            <v>9.19</v>
          </cell>
          <cell r="AG577">
            <v>2300</v>
          </cell>
          <cell r="AH577">
            <v>2868</v>
          </cell>
          <cell r="AI577">
            <v>2868</v>
          </cell>
          <cell r="AM577" t="str">
            <v>Закрытый</v>
          </cell>
          <cell r="AN577" t="str">
            <v>2339,62-2340,77; 2437,90-2439,05; 2499,65-2500,80; 2596,60-2597,75; 2680,97-2682,12; 2754,24-2755,93; 2838,26-2839,41.</v>
          </cell>
          <cell r="AU577" t="str">
            <v>Газлифт</v>
          </cell>
          <cell r="AV577">
            <v>476.00000595699998</v>
          </cell>
          <cell r="AW577" t="str">
            <v>ГП</v>
          </cell>
          <cell r="AX577">
            <v>886.99999804699996</v>
          </cell>
          <cell r="AY577" t="str">
            <v>ГП</v>
          </cell>
          <cell r="AZ577">
            <v>1234.9999658199999</v>
          </cell>
          <cell r="BA577" t="str">
            <v>ГК 75 1/8</v>
          </cell>
          <cell r="BB577">
            <v>1491.000042188</v>
          </cell>
          <cell r="BC577" t="str">
            <v>ГК 74 1/8</v>
          </cell>
          <cell r="BD577">
            <v>1699.9999734380001</v>
          </cell>
          <cell r="BE577" t="str">
            <v>ГК 73 1/8</v>
          </cell>
          <cell r="BF577">
            <v>1920</v>
          </cell>
          <cell r="BG577" t="str">
            <v>ЦКсОК 5/16</v>
          </cell>
          <cell r="BH577" t="str">
            <v>-</v>
          </cell>
          <cell r="BI577" t="str">
            <v>-</v>
          </cell>
        </row>
        <row r="578">
          <cell r="J578">
            <v>3324</v>
          </cell>
          <cell r="K578" t="str">
            <v>К-42</v>
          </cell>
          <cell r="L578">
            <v>43480</v>
          </cell>
          <cell r="M578" t="str">
            <v>Гор.</v>
          </cell>
          <cell r="N578" t="str">
            <v>P4+5+6_Block1_yug</v>
          </cell>
          <cell r="O578" t="str">
            <v>Действующий</v>
          </cell>
          <cell r="P578" t="str">
            <v>В работе</v>
          </cell>
          <cell r="Q578">
            <v>-4</v>
          </cell>
          <cell r="R578">
            <v>43467</v>
          </cell>
          <cell r="S578" t="str">
            <v>ЗАО "СП "МеКаМинефть"</v>
          </cell>
          <cell r="T578" t="str">
            <v>6 портов 300м3</v>
          </cell>
          <cell r="U578">
            <v>203</v>
          </cell>
          <cell r="V578">
            <v>218.2</v>
          </cell>
          <cell r="W578">
            <v>0.98</v>
          </cell>
          <cell r="X578">
            <v>1.66</v>
          </cell>
          <cell r="Y578">
            <v>1.0396216768916153</v>
          </cell>
          <cell r="Z578">
            <v>1.454</v>
          </cell>
          <cell r="AA578">
            <v>0.83599999999999997</v>
          </cell>
          <cell r="AB578">
            <v>0.72</v>
          </cell>
          <cell r="AC578">
            <v>34.299999999999997</v>
          </cell>
          <cell r="AD578">
            <v>1.17</v>
          </cell>
          <cell r="AE578">
            <v>177.8</v>
          </cell>
          <cell r="AF578">
            <v>9.19</v>
          </cell>
          <cell r="AG578">
            <v>2402.9699999999998</v>
          </cell>
          <cell r="AH578">
            <v>3070</v>
          </cell>
          <cell r="AI578">
            <v>3070</v>
          </cell>
          <cell r="AM578" t="str">
            <v>Закрытый</v>
          </cell>
          <cell r="AN578" t="str">
            <v xml:space="preserve">3056,02 - 3057,25; 2958,43 - 2959,86 ; 2849,64 - 2851,07; 2754,02 - 2755,45; 2658,06 - 2659,49; 2549,56 - 2550,99 </v>
          </cell>
          <cell r="AO578">
            <v>14.4</v>
          </cell>
          <cell r="AP578">
            <v>2549.6</v>
          </cell>
          <cell r="AQ578">
            <v>587.5</v>
          </cell>
          <cell r="AR578" t="str">
            <v>2355-3070</v>
          </cell>
          <cell r="AS578">
            <v>114</v>
          </cell>
          <cell r="AT578">
            <v>7.37</v>
          </cell>
          <cell r="AU578" t="str">
            <v>Газлифт</v>
          </cell>
          <cell r="AV578">
            <v>396.99999081999999</v>
          </cell>
          <cell r="AW578" t="str">
            <v>ГП</v>
          </cell>
          <cell r="AX578">
            <v>783.00002050800003</v>
          </cell>
          <cell r="AY578" t="str">
            <v>ГП</v>
          </cell>
          <cell r="AZ578">
            <v>1143.9999761720001</v>
          </cell>
          <cell r="BA578" t="str">
            <v>ГК 74 1/8</v>
          </cell>
          <cell r="BB578">
            <v>1451.9999296880001</v>
          </cell>
          <cell r="BC578" t="str">
            <v>ГК 73 1/8</v>
          </cell>
          <cell r="BD578">
            <v>1721.0000683589999</v>
          </cell>
          <cell r="BE578" t="str">
            <v>ГК 67 1/8</v>
          </cell>
          <cell r="BF578">
            <v>1990</v>
          </cell>
          <cell r="BG578" t="str">
            <v>ЦКсОК 5/16</v>
          </cell>
          <cell r="BH578" t="str">
            <v>-</v>
          </cell>
          <cell r="BI578" t="str">
            <v>-</v>
          </cell>
        </row>
        <row r="579">
          <cell r="J579">
            <v>3325</v>
          </cell>
          <cell r="K579" t="str">
            <v>К-65</v>
          </cell>
          <cell r="L579">
            <v>43291</v>
          </cell>
          <cell r="M579" t="str">
            <v>Гор.</v>
          </cell>
          <cell r="N579" t="str">
            <v>P4+5+6_Block1_yug</v>
          </cell>
          <cell r="O579" t="str">
            <v>Действующий</v>
          </cell>
          <cell r="P579" t="str">
            <v>В работе</v>
          </cell>
          <cell r="Q579">
            <v>-4</v>
          </cell>
          <cell r="R579">
            <v>43233</v>
          </cell>
          <cell r="S579" t="str">
            <v>МеКаМиНефть</v>
          </cell>
          <cell r="T579" t="str">
            <v>КГРП 10ст.
500м3 15% HCl</v>
          </cell>
          <cell r="U579">
            <v>203</v>
          </cell>
          <cell r="V579">
            <v>218.2</v>
          </cell>
          <cell r="W579">
            <v>0.98</v>
          </cell>
          <cell r="X579">
            <v>1.66</v>
          </cell>
          <cell r="Y579">
            <v>1.0196815845555973</v>
          </cell>
          <cell r="Z579">
            <v>1.454</v>
          </cell>
          <cell r="AA579">
            <v>0.83599999999999997</v>
          </cell>
          <cell r="AB579">
            <v>0.72</v>
          </cell>
          <cell r="AC579">
            <v>34.299999999999997</v>
          </cell>
          <cell r="AD579">
            <v>1.17</v>
          </cell>
          <cell r="AE579">
            <v>177.8</v>
          </cell>
          <cell r="AF579">
            <v>9.19</v>
          </cell>
          <cell r="AG579">
            <v>2213.09</v>
          </cell>
          <cell r="AH579">
            <v>3374.29</v>
          </cell>
          <cell r="AI579">
            <v>3374.29</v>
          </cell>
          <cell r="AJ579">
            <v>43098</v>
          </cell>
          <cell r="AK579" t="str">
            <v>По спущенной компановке</v>
          </cell>
          <cell r="AM579" t="str">
            <v>закрытый</v>
          </cell>
          <cell r="AN579" t="str">
            <v xml:space="preserve">2361,19-2362,39; 2486,54-2487,74; 2570,5-2571,7; 2654,37-2655,57; 2779,39-2780,59; 2853,23-2854,43; 3008,59-3009,79; 3113,34-3114,54; 3259,34-3260,54; 3374,29-3375,49  </v>
          </cell>
          <cell r="AO579">
            <v>12</v>
          </cell>
          <cell r="AP579">
            <v>2361.19</v>
          </cell>
          <cell r="AQ579">
            <v>434.89</v>
          </cell>
          <cell r="AR579" t="str">
            <v>2151,82-3417</v>
          </cell>
          <cell r="AS579">
            <v>114</v>
          </cell>
          <cell r="AT579">
            <v>7.37</v>
          </cell>
          <cell r="AU579" t="str">
            <v>Газлифт</v>
          </cell>
          <cell r="AV579">
            <v>440.00000800800001</v>
          </cell>
          <cell r="AW579" t="str">
            <v>ГП</v>
          </cell>
          <cell r="AX579">
            <v>809.99997246099997</v>
          </cell>
          <cell r="AY579" t="str">
            <v>ГП</v>
          </cell>
          <cell r="AZ579">
            <v>1199.99998125</v>
          </cell>
          <cell r="BA579" t="str">
            <v>ГП</v>
          </cell>
          <cell r="BB579">
            <v>1510.0000359380001</v>
          </cell>
          <cell r="BC579" t="str">
            <v>ГК 95 5/32</v>
          </cell>
          <cell r="BD579">
            <v>1769.9999425779999</v>
          </cell>
          <cell r="BE579" t="str">
            <v>ГК 77 3/16</v>
          </cell>
          <cell r="BF579">
            <v>2030</v>
          </cell>
          <cell r="BG579" t="str">
            <v>ЦКсОК 5/16</v>
          </cell>
          <cell r="BH579">
            <v>2040</v>
          </cell>
          <cell r="BI579" t="str">
            <v>закрыт</v>
          </cell>
        </row>
        <row r="580">
          <cell r="J580">
            <v>3326</v>
          </cell>
          <cell r="K580" t="str">
            <v>К-34</v>
          </cell>
          <cell r="L580">
            <v>43599</v>
          </cell>
          <cell r="M580" t="str">
            <v>Гор.</v>
          </cell>
          <cell r="N580" t="str">
            <v>P4+5+6_Block1_yug</v>
          </cell>
          <cell r="O580" t="str">
            <v>Действующий</v>
          </cell>
          <cell r="P580" t="str">
            <v>Остановлена</v>
          </cell>
          <cell r="Q580">
            <v>-4</v>
          </cell>
          <cell r="R580">
            <v>43579</v>
          </cell>
          <cell r="S580" t="str">
            <v>МеКаМиНефть</v>
          </cell>
          <cell r="T580" t="str">
            <v>360 м3(кис)</v>
          </cell>
          <cell r="U580">
            <v>203</v>
          </cell>
          <cell r="V580">
            <v>218.2</v>
          </cell>
          <cell r="W580">
            <v>0.98</v>
          </cell>
          <cell r="X580">
            <v>1.66</v>
          </cell>
          <cell r="Y580">
            <v>0.98</v>
          </cell>
          <cell r="Z580">
            <v>1.454</v>
          </cell>
          <cell r="AA580">
            <v>0.83599999999999997</v>
          </cell>
          <cell r="AB580">
            <v>0.72</v>
          </cell>
          <cell r="AC580">
            <v>34.299999999999997</v>
          </cell>
          <cell r="AD580">
            <v>1.17</v>
          </cell>
          <cell r="AE580">
            <v>177.8</v>
          </cell>
          <cell r="AF580">
            <v>9.19</v>
          </cell>
          <cell r="AG580">
            <v>2334.4</v>
          </cell>
          <cell r="AH580">
            <v>3106</v>
          </cell>
          <cell r="AI580">
            <v>3106</v>
          </cell>
          <cell r="AM580" t="str">
            <v>Закрытый</v>
          </cell>
          <cell r="AN580" t="str">
            <v xml:space="preserve">2468,73-2469,43; 2587,81-2589,01; 2707,44-2708,64; 2780,41-2781,61; 2881,34-2882,54; 2986,85-2988,05;3092,81-3094,07;   </v>
          </cell>
          <cell r="AO580">
            <v>33.169999999999845</v>
          </cell>
          <cell r="AP580">
            <v>2468.73</v>
          </cell>
          <cell r="AQ580">
            <v>257.16000000000003</v>
          </cell>
          <cell r="AR580" t="str">
            <v>2276,88-3106</v>
          </cell>
          <cell r="AS580">
            <v>114</v>
          </cell>
          <cell r="AT580">
            <v>7.37</v>
          </cell>
          <cell r="AU580" t="str">
            <v>Газлифт</v>
          </cell>
          <cell r="AV580">
            <v>550</v>
          </cell>
          <cell r="AW580" t="str">
            <v>ГК 73 1/8</v>
          </cell>
          <cell r="AX580">
            <v>1080</v>
          </cell>
          <cell r="AY580" t="str">
            <v>ГК 74 1/8</v>
          </cell>
          <cell r="AZ580">
            <v>1480</v>
          </cell>
          <cell r="BA580" t="str">
            <v>ГК 73 5/32</v>
          </cell>
          <cell r="BB580">
            <v>1810</v>
          </cell>
          <cell r="BC580" t="str">
            <v>ГК 74 5/32</v>
          </cell>
          <cell r="BD580">
            <v>2044.9032</v>
          </cell>
          <cell r="BE580" t="str">
            <v>ЦКсОК 5/16</v>
          </cell>
          <cell r="BF580" t="str">
            <v>-</v>
          </cell>
          <cell r="BG580" t="str">
            <v>-</v>
          </cell>
          <cell r="BH580" t="str">
            <v>-</v>
          </cell>
          <cell r="BI580" t="str">
            <v>-</v>
          </cell>
        </row>
        <row r="581">
          <cell r="J581">
            <v>3327</v>
          </cell>
          <cell r="K581" t="str">
            <v>К-34</v>
          </cell>
          <cell r="L581">
            <v>43381</v>
          </cell>
          <cell r="M581" t="str">
            <v>Гор.</v>
          </cell>
          <cell r="N581" t="str">
            <v>P4+5+6_Block1_yug</v>
          </cell>
          <cell r="O581" t="str">
            <v>Действующий</v>
          </cell>
          <cell r="P581" t="str">
            <v>Остановлена</v>
          </cell>
          <cell r="Q581">
            <v>-4</v>
          </cell>
          <cell r="U581">
            <v>203</v>
          </cell>
          <cell r="V581">
            <v>218.2</v>
          </cell>
          <cell r="W581">
            <v>0.98</v>
          </cell>
          <cell r="X581">
            <v>1.66</v>
          </cell>
          <cell r="Y581">
            <v>0.98581512148771544</v>
          </cell>
          <cell r="Z581">
            <v>1.454</v>
          </cell>
          <cell r="AA581">
            <v>0.83599999999999997</v>
          </cell>
          <cell r="AB581">
            <v>0.72</v>
          </cell>
          <cell r="AC581">
            <v>34.299999999999997</v>
          </cell>
          <cell r="AD581">
            <v>1.17</v>
          </cell>
          <cell r="AE581">
            <v>177.8</v>
          </cell>
          <cell r="AF581">
            <v>9.19</v>
          </cell>
          <cell r="AG581">
            <v>2150.6</v>
          </cell>
          <cell r="AH581">
            <v>2998.6</v>
          </cell>
          <cell r="AI581">
            <v>2998.6</v>
          </cell>
          <cell r="AM581" t="str">
            <v>закрытый</v>
          </cell>
          <cell r="AN581" t="str">
            <v xml:space="preserve">2239,17-2240,37; 2326,87-2328,07; 2468,77-2469,97; 2578,53- 2579,73; 2717,79-2718,99; 2815,83-2817,03; 2944,77- 2945,97    </v>
          </cell>
          <cell r="AO581">
            <v>18.53</v>
          </cell>
          <cell r="AP581">
            <v>2239.17</v>
          </cell>
          <cell r="AQ581">
            <v>360.87</v>
          </cell>
          <cell r="AR581" t="str">
            <v>2090-3010</v>
          </cell>
          <cell r="AS581">
            <v>114</v>
          </cell>
          <cell r="AT581">
            <v>7.37</v>
          </cell>
          <cell r="AU581" t="str">
            <v>Газлифт</v>
          </cell>
          <cell r="AV581">
            <v>540.00000644500005</v>
          </cell>
          <cell r="AW581" t="str">
            <v>ГП</v>
          </cell>
          <cell r="AX581">
            <v>984.99996972700001</v>
          </cell>
          <cell r="AY581" t="str">
            <v>ГП</v>
          </cell>
          <cell r="AZ581">
            <v>1340.0000683589999</v>
          </cell>
          <cell r="BA581" t="str">
            <v>ГК 70 1/8</v>
          </cell>
          <cell r="BB581">
            <v>1619.9999449219999</v>
          </cell>
          <cell r="BC581" t="str">
            <v>ГК 69 1/8</v>
          </cell>
          <cell r="BD581">
            <v>1910.000029688</v>
          </cell>
          <cell r="BE581" t="str">
            <v>ЦКсОК 5/16</v>
          </cell>
          <cell r="BF581" t="str">
            <v>-</v>
          </cell>
          <cell r="BG581" t="str">
            <v>-</v>
          </cell>
          <cell r="BH581" t="str">
            <v>-</v>
          </cell>
          <cell r="BI581" t="str">
            <v>-</v>
          </cell>
        </row>
        <row r="582">
          <cell r="J582">
            <v>3398</v>
          </cell>
          <cell r="K582" t="str">
            <v>К-48</v>
          </cell>
          <cell r="L582">
            <v>44089</v>
          </cell>
          <cell r="M582" t="str">
            <v>Гор.</v>
          </cell>
          <cell r="N582" t="str">
            <v>P4+5+6_Block1_yug</v>
          </cell>
          <cell r="O582" t="str">
            <v>Действующий</v>
          </cell>
          <cell r="P582" t="str">
            <v>В работе</v>
          </cell>
          <cell r="Q582">
            <v>-4</v>
          </cell>
          <cell r="U582">
            <v>203</v>
          </cell>
          <cell r="V582">
            <v>218.2</v>
          </cell>
          <cell r="W582">
            <v>0.98</v>
          </cell>
          <cell r="X582">
            <v>1.66</v>
          </cell>
          <cell r="Y582">
            <v>0.99632533072023521</v>
          </cell>
          <cell r="Z582">
            <v>1.454</v>
          </cell>
          <cell r="AA582">
            <v>0.83599999999999997</v>
          </cell>
          <cell r="AB582">
            <v>0.72</v>
          </cell>
          <cell r="AC582">
            <v>34.299999999999997</v>
          </cell>
          <cell r="AD582">
            <v>1.17</v>
          </cell>
          <cell r="AE582">
            <v>177.8</v>
          </cell>
          <cell r="AF582">
            <v>9.19</v>
          </cell>
          <cell r="AG582">
            <v>2315.36</v>
          </cell>
          <cell r="AH582">
            <v>3188</v>
          </cell>
          <cell r="AI582">
            <v>3188</v>
          </cell>
          <cell r="AM582" t="str">
            <v>Закрытый</v>
          </cell>
          <cell r="AN582" t="str">
            <v xml:space="preserve">2387,01-2387,86; 2473,11-2473,96;2570,53-2571,38;2740,9-2741,75; 2838,21-2839,06;2936,71-2937,56; 3173,63-3174,73 </v>
          </cell>
          <cell r="AO582">
            <v>30.92</v>
          </cell>
          <cell r="AP582">
            <v>2387</v>
          </cell>
          <cell r="AQ582">
            <v>461.18000000000006</v>
          </cell>
          <cell r="AR582" t="str">
            <v>2250,06-3188</v>
          </cell>
          <cell r="AS582">
            <v>114.3</v>
          </cell>
          <cell r="AT582">
            <v>7.37</v>
          </cell>
          <cell r="AU582" t="str">
            <v>Газлифт</v>
          </cell>
          <cell r="AV582">
            <v>490.00000722700003</v>
          </cell>
          <cell r="AW582" t="str">
            <v>ГП</v>
          </cell>
          <cell r="AX582">
            <v>899.99998593800001</v>
          </cell>
          <cell r="AY582" t="str">
            <v>ГП</v>
          </cell>
          <cell r="AZ582">
            <v>1319.9999496089999</v>
          </cell>
          <cell r="BA582" t="str">
            <v>ГК 78 1/8</v>
          </cell>
          <cell r="BB582">
            <v>1619.9999449219999</v>
          </cell>
          <cell r="BC582" t="str">
            <v>ГК 77 1/8</v>
          </cell>
          <cell r="BD582">
            <v>1770</v>
          </cell>
          <cell r="BE582" t="str">
            <v>ГК 76 1/8</v>
          </cell>
          <cell r="BF582">
            <v>2050</v>
          </cell>
          <cell r="BG582" t="str">
            <v>ЦКсОК 5/16</v>
          </cell>
          <cell r="BH582" t="str">
            <v>-</v>
          </cell>
          <cell r="BI582" t="str">
            <v>-</v>
          </cell>
        </row>
        <row r="583">
          <cell r="J583">
            <v>3399</v>
          </cell>
          <cell r="K583" t="str">
            <v>К-49</v>
          </cell>
          <cell r="L583">
            <v>43700</v>
          </cell>
          <cell r="M583" t="str">
            <v>Гор.</v>
          </cell>
          <cell r="N583" t="str">
            <v>P4+5+6_Block1_yug</v>
          </cell>
          <cell r="O583" t="str">
            <v>Действующий</v>
          </cell>
          <cell r="P583" t="str">
            <v>В работе</v>
          </cell>
          <cell r="Q583">
            <v>-4</v>
          </cell>
          <cell r="U583">
            <v>203</v>
          </cell>
          <cell r="V583">
            <v>218.2</v>
          </cell>
          <cell r="W583">
            <v>0.98</v>
          </cell>
          <cell r="X583">
            <v>1.66</v>
          </cell>
          <cell r="Y583">
            <v>1.0580124869927159</v>
          </cell>
          <cell r="Z583">
            <v>1.454</v>
          </cell>
          <cell r="AA583">
            <v>0.83599999999999997</v>
          </cell>
          <cell r="AB583">
            <v>0.72</v>
          </cell>
          <cell r="AC583">
            <v>34.299999999999997</v>
          </cell>
          <cell r="AD583">
            <v>1.17</v>
          </cell>
          <cell r="AE583">
            <v>177.8</v>
          </cell>
          <cell r="AF583">
            <v>9.19</v>
          </cell>
          <cell r="AG583">
            <v>2281</v>
          </cell>
          <cell r="AH583">
            <v>3064.45</v>
          </cell>
          <cell r="AI583">
            <v>3064.45</v>
          </cell>
          <cell r="AK583" t="str">
            <v>Башмак хвостовиа</v>
          </cell>
          <cell r="AM583" t="str">
            <v>закрытый</v>
          </cell>
          <cell r="AN583" t="str">
            <v xml:space="preserve">2447,49-2448,69; 2557,22-2558,42; 2654,58-2655,78; 2750,41; 2867,76-2868,96; 2953,24-2954,44; 3050,35-3051,55  </v>
          </cell>
          <cell r="AO583">
            <v>8</v>
          </cell>
          <cell r="AP583">
            <v>2447.4899999999998</v>
          </cell>
          <cell r="AQ583">
            <v>535.20000000000005</v>
          </cell>
          <cell r="AR583" t="str">
            <v>2221,99-3064,45</v>
          </cell>
          <cell r="AS583">
            <v>114</v>
          </cell>
          <cell r="AT583">
            <v>7.37</v>
          </cell>
          <cell r="AU583" t="str">
            <v>Газлифт</v>
          </cell>
          <cell r="AV583">
            <v>300</v>
          </cell>
          <cell r="AW583" t="str">
            <v>ГП</v>
          </cell>
          <cell r="AX583" t="str">
            <v>-</v>
          </cell>
          <cell r="AY583" t="str">
            <v>-</v>
          </cell>
          <cell r="AZ583" t="str">
            <v>-</v>
          </cell>
          <cell r="BA583" t="str">
            <v>-</v>
          </cell>
          <cell r="BB583" t="str">
            <v>-</v>
          </cell>
          <cell r="BC583" t="str">
            <v>-</v>
          </cell>
          <cell r="BD583" t="str">
            <v>-</v>
          </cell>
          <cell r="BE583" t="str">
            <v>-</v>
          </cell>
          <cell r="BF583" t="str">
            <v>-</v>
          </cell>
          <cell r="BG583" t="str">
            <v>-</v>
          </cell>
          <cell r="BH583">
            <v>1805</v>
          </cell>
          <cell r="BI583" t="str">
            <v>закрыт</v>
          </cell>
          <cell r="BO583">
            <v>45</v>
          </cell>
        </row>
        <row r="584">
          <cell r="J584">
            <v>3400</v>
          </cell>
          <cell r="K584" t="str">
            <v>К-3400</v>
          </cell>
          <cell r="L584">
            <v>43758</v>
          </cell>
          <cell r="M584" t="str">
            <v>Гор.</v>
          </cell>
          <cell r="N584" t="str">
            <v>P4+5+6_Block1_sever</v>
          </cell>
          <cell r="O584" t="str">
            <v>Действующий</v>
          </cell>
          <cell r="P584" t="str">
            <v>В работе</v>
          </cell>
          <cell r="Q584">
            <v>-4</v>
          </cell>
          <cell r="U584">
            <v>203</v>
          </cell>
          <cell r="V584">
            <v>218.2</v>
          </cell>
          <cell r="W584">
            <v>0.98</v>
          </cell>
          <cell r="X584">
            <v>1.66</v>
          </cell>
          <cell r="Y584">
            <v>1.1428202116479427</v>
          </cell>
          <cell r="Z584">
            <v>1.454</v>
          </cell>
          <cell r="AA584">
            <v>0.83599999999999997</v>
          </cell>
          <cell r="AB584">
            <v>0.72</v>
          </cell>
          <cell r="AC584">
            <v>34.299999999999997</v>
          </cell>
          <cell r="AD584">
            <v>1.17</v>
          </cell>
          <cell r="AE584">
            <v>177.8</v>
          </cell>
          <cell r="AF584">
            <v>9.19</v>
          </cell>
          <cell r="AG584">
            <v>2254</v>
          </cell>
          <cell r="AH584">
            <v>2915</v>
          </cell>
          <cell r="AI584">
            <v>2915</v>
          </cell>
          <cell r="AM584" t="str">
            <v>открытый</v>
          </cell>
          <cell r="AN584" t="str">
            <v>2254-2915</v>
          </cell>
          <cell r="AO584">
            <v>38.75</v>
          </cell>
          <cell r="AP584">
            <v>2254</v>
          </cell>
          <cell r="AQ584">
            <v>428.1</v>
          </cell>
          <cell r="AU584" t="str">
            <v>Газлифт</v>
          </cell>
          <cell r="AV584">
            <v>449.88479999999998</v>
          </cell>
          <cell r="AW584" t="str">
            <v>ГП</v>
          </cell>
          <cell r="AX584">
            <v>840.02880000000005</v>
          </cell>
          <cell r="AY584" t="str">
            <v>ГП</v>
          </cell>
          <cell r="AZ584">
            <v>1170.1271999999999</v>
          </cell>
          <cell r="BA584" t="str">
            <v>ГП</v>
          </cell>
          <cell r="BB584">
            <v>1441.0944</v>
          </cell>
          <cell r="BC584" t="str">
            <v>ГК 88 3/16</v>
          </cell>
          <cell r="BD584">
            <v>1680.0576000000001</v>
          </cell>
          <cell r="BE584" t="str">
            <v>ГК 90 3/16</v>
          </cell>
          <cell r="BF584">
            <v>1890</v>
          </cell>
          <cell r="BG584" t="str">
            <v>ЦКсОК 5/16</v>
          </cell>
          <cell r="BH584">
            <v>1900</v>
          </cell>
          <cell r="BI584" t="str">
            <v>закрыт</v>
          </cell>
        </row>
        <row r="585">
          <cell r="J585">
            <v>3401</v>
          </cell>
          <cell r="K585" t="str">
            <v>К-1609</v>
          </cell>
          <cell r="L585">
            <v>44267</v>
          </cell>
          <cell r="M585" t="str">
            <v>Гор.</v>
          </cell>
          <cell r="N585" t="str">
            <v>P4+5+6_Block1_sever</v>
          </cell>
          <cell r="O585" t="str">
            <v>Действующий</v>
          </cell>
          <cell r="P585" t="str">
            <v>В работе</v>
          </cell>
          <cell r="Q585">
            <v>-4</v>
          </cell>
          <cell r="R585">
            <v>44202</v>
          </cell>
          <cell r="S585" t="str">
            <v>ЗАО "СП "МеКаМинефть"</v>
          </cell>
          <cell r="T585" t="str">
            <v>5 портов 430,4м3</v>
          </cell>
          <cell r="U585">
            <v>203</v>
          </cell>
          <cell r="V585">
            <v>218.2</v>
          </cell>
          <cell r="W585">
            <v>0.98</v>
          </cell>
          <cell r="X585">
            <v>1.66</v>
          </cell>
          <cell r="Y585">
            <v>1.3356321839080458</v>
          </cell>
          <cell r="Z585">
            <v>1.454</v>
          </cell>
          <cell r="AA585">
            <v>0.83599999999999997</v>
          </cell>
          <cell r="AB585">
            <v>0.72</v>
          </cell>
          <cell r="AC585">
            <v>34.299999999999997</v>
          </cell>
          <cell r="AD585">
            <v>1.17</v>
          </cell>
          <cell r="AE585">
            <v>177.8</v>
          </cell>
          <cell r="AF585">
            <v>9.1999999999999993</v>
          </cell>
          <cell r="AG585">
            <v>2229</v>
          </cell>
          <cell r="AH585">
            <v>3140</v>
          </cell>
          <cell r="AI585">
            <v>3140</v>
          </cell>
          <cell r="AJ585">
            <v>44110</v>
          </cell>
          <cell r="AM585" t="str">
            <v>закрытый</v>
          </cell>
          <cell r="AN585" t="str">
            <v>2614,71-2615,56; 2700,16-2701,01; 2832,8-2833,65; 2931,18-2932,03; 3125,62-3126,72</v>
          </cell>
          <cell r="AO585">
            <v>1.01</v>
          </cell>
          <cell r="AP585">
            <v>2614.71</v>
          </cell>
          <cell r="AQ585">
            <v>779.21</v>
          </cell>
          <cell r="AR585" t="str">
            <v>2145-3140</v>
          </cell>
          <cell r="AS585">
            <v>114.3</v>
          </cell>
          <cell r="AT585">
            <v>7.37</v>
          </cell>
          <cell r="AU585" t="str">
            <v>ЭЦН</v>
          </cell>
          <cell r="AV585">
            <v>450</v>
          </cell>
          <cell r="AW585" t="str">
            <v>ГК 74 1/8</v>
          </cell>
          <cell r="AX585">
            <v>900</v>
          </cell>
          <cell r="AY585" t="str">
            <v>ГК 74 3/16</v>
          </cell>
          <cell r="AZ585">
            <v>1230</v>
          </cell>
          <cell r="BA585" t="str">
            <v>ГК 74 5/32</v>
          </cell>
          <cell r="BB585">
            <v>1510</v>
          </cell>
          <cell r="BC585" t="str">
            <v>ГК 73 1/4</v>
          </cell>
          <cell r="BD585">
            <v>1750</v>
          </cell>
          <cell r="BE585" t="str">
            <v>ГК 72 1/4</v>
          </cell>
          <cell r="BF585">
            <v>1990</v>
          </cell>
          <cell r="BG585" t="str">
            <v>-</v>
          </cell>
          <cell r="BH585" t="str">
            <v>-</v>
          </cell>
          <cell r="BI585" t="str">
            <v>-</v>
          </cell>
          <cell r="BK585" t="str">
            <v>D1050N</v>
          </cell>
          <cell r="BM585">
            <v>1338</v>
          </cell>
          <cell r="BN585">
            <v>48</v>
          </cell>
          <cell r="BO585">
            <v>80</v>
          </cell>
        </row>
        <row r="586">
          <cell r="J586">
            <v>3402</v>
          </cell>
          <cell r="K586" t="str">
            <v>К-3400</v>
          </cell>
          <cell r="L586">
            <v>43907</v>
          </cell>
          <cell r="M586" t="str">
            <v>Гор.</v>
          </cell>
          <cell r="N586" t="str">
            <v>P4+5+6_Block1_sever</v>
          </cell>
          <cell r="O586" t="str">
            <v>Действующий</v>
          </cell>
          <cell r="P586" t="str">
            <v>В работе</v>
          </cell>
          <cell r="Q586">
            <v>-4</v>
          </cell>
          <cell r="U586">
            <v>203</v>
          </cell>
          <cell r="V586">
            <v>218.2</v>
          </cell>
          <cell r="W586">
            <v>0.98</v>
          </cell>
          <cell r="X586">
            <v>1.66</v>
          </cell>
          <cell r="Y586">
            <v>1.0515021459227467</v>
          </cell>
          <cell r="Z586">
            <v>1.454</v>
          </cell>
          <cell r="AA586">
            <v>0.83599999999999997</v>
          </cell>
          <cell r="AB586">
            <v>0.72</v>
          </cell>
          <cell r="AC586">
            <v>34.299999999999997</v>
          </cell>
          <cell r="AD586">
            <v>1.17</v>
          </cell>
          <cell r="AE586">
            <v>177.8</v>
          </cell>
          <cell r="AF586">
            <v>9.19</v>
          </cell>
          <cell r="AG586">
            <v>2450</v>
          </cell>
          <cell r="AH586">
            <v>3155</v>
          </cell>
          <cell r="AI586">
            <v>3155</v>
          </cell>
          <cell r="AM586" t="str">
            <v>открытый</v>
          </cell>
          <cell r="AN586" t="str">
            <v>2450-3155</v>
          </cell>
          <cell r="AO586">
            <v>8.5</v>
          </cell>
          <cell r="AP586">
            <v>2450</v>
          </cell>
          <cell r="AQ586">
            <v>866.37</v>
          </cell>
          <cell r="AU586" t="str">
            <v>Газлифт</v>
          </cell>
          <cell r="AV586">
            <v>393.00001171899999</v>
          </cell>
          <cell r="AW586" t="str">
            <v>ГП</v>
          </cell>
          <cell r="AX586">
            <v>793.00000546900003</v>
          </cell>
          <cell r="AY586" t="str">
            <v>ГК 77 1/8</v>
          </cell>
          <cell r="AZ586">
            <v>1102.999985742</v>
          </cell>
          <cell r="BA586" t="str">
            <v xml:space="preserve">ГК 76 1/8 </v>
          </cell>
          <cell r="BB586">
            <v>1368.999972656</v>
          </cell>
          <cell r="BC586" t="str">
            <v>ГК 75 1/8</v>
          </cell>
          <cell r="BD586">
            <v>1619.9999449219999</v>
          </cell>
          <cell r="BE586" t="str">
            <v>ГК 74 1/8</v>
          </cell>
          <cell r="BF586">
            <v>1895</v>
          </cell>
          <cell r="BG586" t="str">
            <v>ЦКсОК 5/16</v>
          </cell>
          <cell r="BH586">
            <v>1916</v>
          </cell>
          <cell r="BI586" t="str">
            <v>закрыт</v>
          </cell>
        </row>
        <row r="587">
          <cell r="J587">
            <v>3403</v>
          </cell>
          <cell r="K587" t="str">
            <v>К-64</v>
          </cell>
          <cell r="L587">
            <v>44198</v>
          </cell>
          <cell r="M587" t="str">
            <v>Гор.</v>
          </cell>
          <cell r="N587" t="str">
            <v>P4+5+6_Block1_sever</v>
          </cell>
          <cell r="O587" t="str">
            <v>Действующий</v>
          </cell>
          <cell r="P587" t="str">
            <v>В работе</v>
          </cell>
          <cell r="Q587">
            <v>-4</v>
          </cell>
          <cell r="U587">
            <v>203</v>
          </cell>
          <cell r="V587">
            <v>218.2</v>
          </cell>
          <cell r="W587">
            <v>0.98</v>
          </cell>
          <cell r="X587">
            <v>1.66</v>
          </cell>
          <cell r="Y587">
            <v>0.98</v>
          </cell>
          <cell r="Z587">
            <v>1.454</v>
          </cell>
          <cell r="AA587">
            <v>0.83599999999999997</v>
          </cell>
          <cell r="AB587">
            <v>0.72</v>
          </cell>
          <cell r="AC587">
            <v>34.299999999999997</v>
          </cell>
          <cell r="AD587">
            <v>1.17</v>
          </cell>
          <cell r="AE587">
            <v>177.8</v>
          </cell>
          <cell r="AF587">
            <v>9.19</v>
          </cell>
          <cell r="AG587">
            <v>2020</v>
          </cell>
          <cell r="AH587">
            <v>2767.9</v>
          </cell>
          <cell r="AI587">
            <v>2767.9</v>
          </cell>
          <cell r="AM587" t="str">
            <v>закрытый</v>
          </cell>
          <cell r="AN587" t="str">
            <v>2089,85-2090,7; 2283,28-2282,43;2509,49-2508,64; 2756,24-2755,14</v>
          </cell>
          <cell r="AU587" t="str">
            <v>Газлифт</v>
          </cell>
          <cell r="AV587">
            <v>446.00001386700001</v>
          </cell>
          <cell r="AW587" t="str">
            <v>ГК 76 1/8</v>
          </cell>
          <cell r="AX587">
            <v>868.99998046899998</v>
          </cell>
          <cell r="AY587" t="str">
            <v>ГК 77 1/8</v>
          </cell>
          <cell r="AZ587">
            <v>1239.999995508</v>
          </cell>
          <cell r="BA587" t="str">
            <v>ГК 77 1/8</v>
          </cell>
          <cell r="BB587">
            <v>1482.999935156</v>
          </cell>
          <cell r="BC587" t="str">
            <v xml:space="preserve"> ГК 78 1/8</v>
          </cell>
          <cell r="BD587">
            <v>1680.9999796879999</v>
          </cell>
          <cell r="BE587" t="str">
            <v>ГК 77 1/8</v>
          </cell>
          <cell r="BF587">
            <v>1840</v>
          </cell>
          <cell r="BG587" t="str">
            <v>ЦКсОК 5/16</v>
          </cell>
          <cell r="BH587" t="str">
            <v>-</v>
          </cell>
          <cell r="BI587" t="str">
            <v>-</v>
          </cell>
        </row>
        <row r="588">
          <cell r="J588">
            <v>3405</v>
          </cell>
          <cell r="K588" t="str">
            <v>К-64</v>
          </cell>
          <cell r="L588">
            <v>44235</v>
          </cell>
          <cell r="M588" t="str">
            <v>Гор.</v>
          </cell>
          <cell r="N588" t="str">
            <v>P4+5+6_Block1_sever</v>
          </cell>
          <cell r="O588" t="str">
            <v>Действующий</v>
          </cell>
          <cell r="P588" t="str">
            <v>Остановлена</v>
          </cell>
          <cell r="Q588">
            <v>-4</v>
          </cell>
          <cell r="U588">
            <v>203</v>
          </cell>
          <cell r="V588">
            <v>218.2</v>
          </cell>
          <cell r="W588">
            <v>0.98</v>
          </cell>
          <cell r="X588">
            <v>1.66</v>
          </cell>
          <cell r="Y588">
            <v>1.1385778275475924</v>
          </cell>
          <cell r="Z588">
            <v>1.454</v>
          </cell>
          <cell r="AA588">
            <v>0.83599999999999997</v>
          </cell>
          <cell r="AB588">
            <v>0.72</v>
          </cell>
          <cell r="AC588">
            <v>34.299999999999997</v>
          </cell>
          <cell r="AD588">
            <v>1.17</v>
          </cell>
          <cell r="AE588" t="str">
            <v>177,8-114</v>
          </cell>
          <cell r="AF588">
            <v>9.19</v>
          </cell>
          <cell r="AG588">
            <v>2132.2399999999998</v>
          </cell>
          <cell r="AH588">
            <v>1116</v>
          </cell>
          <cell r="AI588">
            <v>1116</v>
          </cell>
          <cell r="AM588" t="str">
            <v>открытый</v>
          </cell>
          <cell r="AN588" t="str">
            <v>2132,24-2930</v>
          </cell>
          <cell r="AO588">
            <v>58.2</v>
          </cell>
          <cell r="AP588">
            <v>2132.14</v>
          </cell>
          <cell r="AQ588">
            <v>375.87</v>
          </cell>
          <cell r="AU588" t="str">
            <v>ЭЦН</v>
          </cell>
          <cell r="AV588">
            <v>390</v>
          </cell>
          <cell r="AW588" t="str">
            <v>ГП</v>
          </cell>
          <cell r="AX588">
            <v>720</v>
          </cell>
          <cell r="AY588" t="str">
            <v>ГК 77 1/8</v>
          </cell>
          <cell r="AZ588">
            <v>990</v>
          </cell>
          <cell r="BA588" t="str">
            <v>ГК 77 1/8</v>
          </cell>
          <cell r="BB588">
            <v>1290</v>
          </cell>
          <cell r="BC588" t="str">
            <v>ГК 76 5-32</v>
          </cell>
          <cell r="BD588">
            <v>1574</v>
          </cell>
          <cell r="BE588" t="str">
            <v>ГК 75 5/32</v>
          </cell>
          <cell r="BF588">
            <v>1823</v>
          </cell>
          <cell r="BG588" t="str">
            <v>ЦКсОК 5/16</v>
          </cell>
          <cell r="BH588" t="str">
            <v>-</v>
          </cell>
          <cell r="BI588" t="str">
            <v>-</v>
          </cell>
          <cell r="BK588" t="str">
            <v>ВНН-124</v>
          </cell>
          <cell r="BM588">
            <v>1300</v>
          </cell>
          <cell r="BN588">
            <v>170</v>
          </cell>
        </row>
        <row r="589">
          <cell r="J589">
            <v>3406</v>
          </cell>
          <cell r="K589" t="str">
            <v>К-64</v>
          </cell>
          <cell r="L589">
            <v>44191</v>
          </cell>
          <cell r="M589" t="str">
            <v>Гор.</v>
          </cell>
          <cell r="N589" t="str">
            <v>P4+5+6_Block1_sever</v>
          </cell>
          <cell r="O589" t="str">
            <v>Действующий</v>
          </cell>
          <cell r="P589" t="str">
            <v>В работе</v>
          </cell>
          <cell r="Q589">
            <v>-4</v>
          </cell>
          <cell r="U589">
            <v>203</v>
          </cell>
          <cell r="V589">
            <v>218.2</v>
          </cell>
          <cell r="W589">
            <v>0.98</v>
          </cell>
          <cell r="X589">
            <v>1.66</v>
          </cell>
          <cell r="Y589">
            <v>0.99104236115172428</v>
          </cell>
          <cell r="Z589">
            <v>1.454</v>
          </cell>
          <cell r="AA589">
            <v>0.83599999999999997</v>
          </cell>
          <cell r="AB589">
            <v>0.72</v>
          </cell>
          <cell r="AC589">
            <v>34.299999999999997</v>
          </cell>
          <cell r="AD589">
            <v>1.17</v>
          </cell>
          <cell r="AE589">
            <v>177.8</v>
          </cell>
          <cell r="AF589">
            <v>9.1999999999999993</v>
          </cell>
          <cell r="AG589">
            <v>2300</v>
          </cell>
          <cell r="AH589">
            <v>3095</v>
          </cell>
          <cell r="AI589">
            <v>3095</v>
          </cell>
          <cell r="AM589" t="str">
            <v>закрытый</v>
          </cell>
          <cell r="AN589" t="str">
            <v>2459,63; 2616,72; 2716,51; 2934,42; 3069,45</v>
          </cell>
          <cell r="AU589" t="str">
            <v>Газлифт</v>
          </cell>
          <cell r="AV589">
            <v>479.99998505899998</v>
          </cell>
          <cell r="AW589" t="str">
            <v>ГП</v>
          </cell>
          <cell r="AX589">
            <v>1020.000028711</v>
          </cell>
          <cell r="AY589" t="str">
            <v>ГП</v>
          </cell>
          <cell r="AZ589">
            <v>1410</v>
          </cell>
          <cell r="BA589" t="str">
            <v>ГК 76 1/8</v>
          </cell>
          <cell r="BB589">
            <v>1649.999974219</v>
          </cell>
          <cell r="BC589" t="str">
            <v>ГК 74 1/8</v>
          </cell>
          <cell r="BD589">
            <v>1899.9999703129999</v>
          </cell>
          <cell r="BE589" t="str">
            <v>ЦКсОК 5/16</v>
          </cell>
          <cell r="BF589" t="str">
            <v>-</v>
          </cell>
          <cell r="BG589" t="str">
            <v>-</v>
          </cell>
          <cell r="BH589" t="str">
            <v>-</v>
          </cell>
          <cell r="BI589" t="str">
            <v>-</v>
          </cell>
        </row>
        <row r="590">
          <cell r="J590">
            <v>3407</v>
          </cell>
          <cell r="K590" t="str">
            <v>К-3409</v>
          </cell>
          <cell r="L590">
            <v>44427</v>
          </cell>
          <cell r="M590" t="str">
            <v>Гор.</v>
          </cell>
          <cell r="N590" t="str">
            <v>P4+5+6_Block1_sever</v>
          </cell>
          <cell r="O590" t="str">
            <v>Действующий</v>
          </cell>
          <cell r="P590" t="str">
            <v>В работе</v>
          </cell>
          <cell r="Q590">
            <v>-4</v>
          </cell>
          <cell r="U590">
            <v>203</v>
          </cell>
          <cell r="V590">
            <v>218.2</v>
          </cell>
          <cell r="W590">
            <v>0.98</v>
          </cell>
          <cell r="X590">
            <v>1.66</v>
          </cell>
          <cell r="Y590">
            <v>1.0859934877774331</v>
          </cell>
          <cell r="Z590">
            <v>1.454</v>
          </cell>
          <cell r="AA590">
            <v>0.83599999999999997</v>
          </cell>
          <cell r="AB590">
            <v>0.72</v>
          </cell>
          <cell r="AC590">
            <v>34.299999999999997</v>
          </cell>
          <cell r="AD590">
            <v>1.17</v>
          </cell>
          <cell r="AE590">
            <v>177.8</v>
          </cell>
          <cell r="AF590">
            <v>9.19</v>
          </cell>
          <cell r="AG590">
            <v>2120</v>
          </cell>
          <cell r="AH590">
            <v>2984</v>
          </cell>
          <cell r="AI590">
            <v>2984</v>
          </cell>
          <cell r="AJ590">
            <v>44404</v>
          </cell>
          <cell r="AK590" t="str">
            <v>По спущенной компановке</v>
          </cell>
          <cell r="AM590" t="str">
            <v>открытый</v>
          </cell>
          <cell r="AN590" t="str">
            <v>2120-2984</v>
          </cell>
          <cell r="AO590">
            <v>50.039999999999964</v>
          </cell>
          <cell r="AP590">
            <v>2120</v>
          </cell>
          <cell r="AQ590">
            <v>342.22</v>
          </cell>
          <cell r="AU590" t="str">
            <v>ЭЦН</v>
          </cell>
          <cell r="AV590">
            <v>340</v>
          </cell>
          <cell r="AW590" t="str">
            <v>ГП</v>
          </cell>
          <cell r="AX590">
            <v>780</v>
          </cell>
          <cell r="AY590" t="str">
            <v>ГП</v>
          </cell>
          <cell r="AZ590">
            <v>1080</v>
          </cell>
          <cell r="BA590" t="str">
            <v>ГП</v>
          </cell>
          <cell r="BB590">
            <v>1370</v>
          </cell>
          <cell r="BC590" t="str">
            <v>ГП</v>
          </cell>
          <cell r="BD590">
            <v>1640</v>
          </cell>
          <cell r="BE590" t="str">
            <v>ГП</v>
          </cell>
          <cell r="BF590">
            <v>2000</v>
          </cell>
          <cell r="BG590" t="str">
            <v>ЦКсОК 5/16</v>
          </cell>
          <cell r="BH590" t="str">
            <v>-</v>
          </cell>
          <cell r="BI590" t="str">
            <v>-</v>
          </cell>
          <cell r="BK590" t="str">
            <v>D1050N</v>
          </cell>
          <cell r="BM590">
            <v>1500</v>
          </cell>
          <cell r="BN590">
            <v>40</v>
          </cell>
        </row>
        <row r="591">
          <cell r="J591">
            <v>3408</v>
          </cell>
          <cell r="K591" t="str">
            <v>К-3409</v>
          </cell>
          <cell r="L591">
            <v>44386</v>
          </cell>
          <cell r="M591" t="str">
            <v>Гор.</v>
          </cell>
          <cell r="N591" t="str">
            <v>P4+5+6_Block1_sever</v>
          </cell>
          <cell r="O591" t="str">
            <v>Действующий</v>
          </cell>
          <cell r="P591" t="str">
            <v>В работе</v>
          </cell>
          <cell r="Q591">
            <v>-4</v>
          </cell>
          <cell r="U591">
            <v>203</v>
          </cell>
          <cell r="V591">
            <v>218.2</v>
          </cell>
          <cell r="W591">
            <v>0.98</v>
          </cell>
          <cell r="X591">
            <v>1.66</v>
          </cell>
          <cell r="Y591">
            <v>1.5910024449877749</v>
          </cell>
          <cell r="Z591">
            <v>1.454</v>
          </cell>
          <cell r="AA591">
            <v>0.83599999999999997</v>
          </cell>
          <cell r="AB591">
            <v>0.72</v>
          </cell>
          <cell r="AC591">
            <v>34.299999999999997</v>
          </cell>
          <cell r="AD591">
            <v>1.17</v>
          </cell>
          <cell r="AE591">
            <v>177.8</v>
          </cell>
          <cell r="AF591">
            <v>9.19</v>
          </cell>
          <cell r="AG591">
            <v>1921</v>
          </cell>
          <cell r="AH591">
            <v>2816</v>
          </cell>
          <cell r="AI591">
            <v>2816</v>
          </cell>
          <cell r="AJ591">
            <v>44364</v>
          </cell>
          <cell r="AK591" t="str">
            <v>По спущенной компановке</v>
          </cell>
          <cell r="AM591" t="str">
            <v>открытый</v>
          </cell>
          <cell r="AN591" t="str">
            <v>1921-2816</v>
          </cell>
          <cell r="AO591">
            <v>73.346000000000004</v>
          </cell>
          <cell r="AP591">
            <v>1921</v>
          </cell>
          <cell r="AQ591">
            <v>165.74599999999987</v>
          </cell>
          <cell r="AU591" t="str">
            <v>ЭЦН</v>
          </cell>
          <cell r="AV591">
            <v>330</v>
          </cell>
          <cell r="AW591" t="str">
            <v>ГП</v>
          </cell>
          <cell r="AX591">
            <v>740</v>
          </cell>
          <cell r="AY591" t="str">
            <v>ГП</v>
          </cell>
          <cell r="AZ591">
            <v>1010</v>
          </cell>
          <cell r="BA591" t="str">
            <v>ГП</v>
          </cell>
          <cell r="BB591">
            <v>1300</v>
          </cell>
          <cell r="BC591" t="str">
            <v>ГП</v>
          </cell>
          <cell r="BD591">
            <v>1510</v>
          </cell>
          <cell r="BE591" t="str">
            <v>ГК 81 5/32</v>
          </cell>
          <cell r="BF591">
            <v>1790</v>
          </cell>
          <cell r="BG591" t="str">
            <v>ЦКсОК 5/16</v>
          </cell>
          <cell r="BH591" t="str">
            <v>-</v>
          </cell>
          <cell r="BI591" t="str">
            <v>-</v>
          </cell>
          <cell r="BK591" t="str">
            <v>D1050N</v>
          </cell>
          <cell r="BM591">
            <v>1338</v>
          </cell>
          <cell r="BN591">
            <v>49</v>
          </cell>
          <cell r="BO591">
            <v>42</v>
          </cell>
        </row>
        <row r="592">
          <cell r="J592">
            <v>3409</v>
          </cell>
          <cell r="K592" t="str">
            <v>К-3409</v>
          </cell>
          <cell r="L592">
            <v>44389</v>
          </cell>
          <cell r="M592" t="str">
            <v>Гор.</v>
          </cell>
          <cell r="N592" t="str">
            <v>P4+5+6_Block1_sever</v>
          </cell>
          <cell r="O592" t="str">
            <v>Действующий</v>
          </cell>
          <cell r="P592" t="str">
            <v>В работе</v>
          </cell>
          <cell r="Q592">
            <v>-4</v>
          </cell>
          <cell r="U592">
            <v>203</v>
          </cell>
          <cell r="V592">
            <v>218.2</v>
          </cell>
          <cell r="W592">
            <v>0.98</v>
          </cell>
          <cell r="X592">
            <v>1.66</v>
          </cell>
          <cell r="Y592">
            <v>1.4666426253155427</v>
          </cell>
          <cell r="Z592">
            <v>1.454</v>
          </cell>
          <cell r="AA592">
            <v>0.83599999999999997</v>
          </cell>
          <cell r="AB592">
            <v>0.72</v>
          </cell>
          <cell r="AC592">
            <v>34.299999999999997</v>
          </cell>
          <cell r="AD592">
            <v>1.17</v>
          </cell>
          <cell r="AE592">
            <v>177.8</v>
          </cell>
          <cell r="AF592">
            <v>9.1999999999999993</v>
          </cell>
          <cell r="AG592">
            <v>2018.35</v>
          </cell>
          <cell r="AH592">
            <v>2850</v>
          </cell>
          <cell r="AI592">
            <v>2850</v>
          </cell>
          <cell r="AJ592">
            <v>44318</v>
          </cell>
          <cell r="AK592" t="str">
            <v>По спущенной компановке</v>
          </cell>
          <cell r="AM592" t="str">
            <v>открытый</v>
          </cell>
          <cell r="AN592" t="str">
            <v>2018,35-2850</v>
          </cell>
          <cell r="AO592">
            <v>87.23</v>
          </cell>
          <cell r="AP592">
            <v>2018.35</v>
          </cell>
          <cell r="AQ592">
            <v>271.02999999999997</v>
          </cell>
          <cell r="AU592" t="str">
            <v>ЭЦН</v>
          </cell>
          <cell r="AV592">
            <v>480</v>
          </cell>
          <cell r="AW592" t="str">
            <v>ГП</v>
          </cell>
          <cell r="AX592" t="str">
            <v>-</v>
          </cell>
          <cell r="AY592" t="str">
            <v>-</v>
          </cell>
          <cell r="AZ592" t="str">
            <v>-</v>
          </cell>
          <cell r="BA592" t="str">
            <v>-</v>
          </cell>
          <cell r="BB592" t="str">
            <v>-</v>
          </cell>
          <cell r="BC592" t="str">
            <v>-</v>
          </cell>
          <cell r="BD592" t="str">
            <v>-</v>
          </cell>
          <cell r="BE592" t="str">
            <v>-</v>
          </cell>
          <cell r="BF592" t="str">
            <v>-</v>
          </cell>
          <cell r="BG592" t="str">
            <v>-</v>
          </cell>
          <cell r="BH592" t="str">
            <v>-</v>
          </cell>
          <cell r="BI592" t="str">
            <v>-</v>
          </cell>
          <cell r="BK592" t="str">
            <v>D1050N</v>
          </cell>
          <cell r="BM592">
            <v>1855</v>
          </cell>
          <cell r="BN592">
            <v>63</v>
          </cell>
          <cell r="BO592">
            <v>39</v>
          </cell>
        </row>
        <row r="593">
          <cell r="J593" t="str">
            <v>3409-1</v>
          </cell>
          <cell r="K593" t="str">
            <v>К-3409</v>
          </cell>
          <cell r="L593">
            <v>44466</v>
          </cell>
          <cell r="M593" t="str">
            <v>Гор.</v>
          </cell>
          <cell r="N593" t="str">
            <v>P4+5+6_Block1_sever</v>
          </cell>
          <cell r="O593" t="str">
            <v>Действующий</v>
          </cell>
          <cell r="P593" t="str">
            <v>В работе</v>
          </cell>
          <cell r="Q593">
            <v>-4</v>
          </cell>
          <cell r="U593">
            <v>203</v>
          </cell>
          <cell r="V593">
            <v>218.2</v>
          </cell>
          <cell r="W593">
            <v>0.98</v>
          </cell>
          <cell r="X593">
            <v>1.66</v>
          </cell>
          <cell r="Y593">
            <v>1.3856852276482872</v>
          </cell>
          <cell r="Z593">
            <v>1.454</v>
          </cell>
          <cell r="AA593">
            <v>0.83599999999999997</v>
          </cell>
          <cell r="AB593">
            <v>0.72</v>
          </cell>
          <cell r="AC593">
            <v>34.299999999999997</v>
          </cell>
          <cell r="AD593">
            <v>1.17</v>
          </cell>
          <cell r="AE593">
            <v>177.8</v>
          </cell>
          <cell r="AF593">
            <v>9.19</v>
          </cell>
          <cell r="AG593">
            <v>2258</v>
          </cell>
          <cell r="AH593">
            <v>3212</v>
          </cell>
          <cell r="AI593">
            <v>3212</v>
          </cell>
          <cell r="AJ593">
            <v>44427</v>
          </cell>
          <cell r="AK593" t="str">
            <v>По спущенной компановке</v>
          </cell>
          <cell r="AM593" t="str">
            <v>открытый</v>
          </cell>
          <cell r="AN593" t="str">
            <v>2258-3212</v>
          </cell>
          <cell r="AO593">
            <v>34.398523187753199</v>
          </cell>
          <cell r="AP593">
            <v>2258</v>
          </cell>
          <cell r="AQ593">
            <v>471.05852318775328</v>
          </cell>
          <cell r="AU593" t="str">
            <v>ЭЦН</v>
          </cell>
          <cell r="AV593">
            <v>460</v>
          </cell>
          <cell r="AW593" t="str">
            <v>ГК 73 5/32</v>
          </cell>
          <cell r="AX593">
            <v>890</v>
          </cell>
          <cell r="AY593" t="str">
            <v>ГП</v>
          </cell>
          <cell r="AZ593">
            <v>1280</v>
          </cell>
          <cell r="BA593" t="str">
            <v>ГК 79 1/8</v>
          </cell>
          <cell r="BB593">
            <v>1630</v>
          </cell>
          <cell r="BC593" t="str">
            <v>ГК 77 5/32</v>
          </cell>
          <cell r="BD593">
            <v>2090</v>
          </cell>
          <cell r="BE593" t="str">
            <v>ЦКсОК 5/16</v>
          </cell>
          <cell r="BF593" t="str">
            <v>-</v>
          </cell>
          <cell r="BG593" t="str">
            <v>-</v>
          </cell>
          <cell r="BH593" t="str">
            <v>-</v>
          </cell>
          <cell r="BI593" t="str">
            <v>-</v>
          </cell>
          <cell r="BK593" t="str">
            <v>D1050N</v>
          </cell>
          <cell r="BM593">
            <v>1327</v>
          </cell>
          <cell r="BN593">
            <v>52</v>
          </cell>
          <cell r="BO593">
            <v>44</v>
          </cell>
        </row>
        <row r="594">
          <cell r="J594">
            <v>3410</v>
          </cell>
          <cell r="K594" t="str">
            <v>К-1609</v>
          </cell>
          <cell r="L594">
            <v>44188</v>
          </cell>
          <cell r="M594" t="str">
            <v>Гор.</v>
          </cell>
          <cell r="N594" t="str">
            <v>P4+5+6_Block1_sever</v>
          </cell>
          <cell r="O594" t="str">
            <v>Действующий</v>
          </cell>
          <cell r="P594" t="str">
            <v>Остановлена</v>
          </cell>
          <cell r="Q594">
            <v>-4</v>
          </cell>
          <cell r="U594">
            <v>203</v>
          </cell>
          <cell r="V594">
            <v>218.2</v>
          </cell>
          <cell r="W594">
            <v>0.98</v>
          </cell>
          <cell r="X594">
            <v>1.66</v>
          </cell>
          <cell r="Y594">
            <v>0.98</v>
          </cell>
          <cell r="Z594">
            <v>1.454</v>
          </cell>
          <cell r="AA594">
            <v>0.83599999999999997</v>
          </cell>
          <cell r="AB594">
            <v>0.72</v>
          </cell>
          <cell r="AC594">
            <v>34.299999999999997</v>
          </cell>
          <cell r="AD594">
            <v>1.17</v>
          </cell>
          <cell r="AE594">
            <v>177.8</v>
          </cell>
          <cell r="AF594">
            <v>9.19</v>
          </cell>
          <cell r="AG594">
            <v>2043</v>
          </cell>
          <cell r="AH594">
            <v>2905</v>
          </cell>
          <cell r="AI594">
            <v>2905</v>
          </cell>
          <cell r="AJ594">
            <v>44188</v>
          </cell>
          <cell r="AM594" t="str">
            <v>открытый</v>
          </cell>
          <cell r="AN594" t="str">
            <v>2043-2905</v>
          </cell>
          <cell r="AO594">
            <v>63.8</v>
          </cell>
          <cell r="AP594">
            <v>2043</v>
          </cell>
          <cell r="AQ594">
            <v>268.04000000000002</v>
          </cell>
          <cell r="AU594" t="str">
            <v>Фон.</v>
          </cell>
          <cell r="AV594">
            <v>360</v>
          </cell>
          <cell r="AW594" t="str">
            <v>ГП</v>
          </cell>
          <cell r="AX594">
            <v>757</v>
          </cell>
          <cell r="AY594" t="str">
            <v>ГК77 1/8</v>
          </cell>
          <cell r="AZ594">
            <v>1059</v>
          </cell>
          <cell r="BA594" t="str">
            <v>ГК 79 1/8</v>
          </cell>
          <cell r="BB594">
            <v>1352</v>
          </cell>
          <cell r="BC594" t="str">
            <v>ГК 80 5/32</v>
          </cell>
          <cell r="BD594">
            <v>1570</v>
          </cell>
          <cell r="BE594" t="str">
            <v>ГК 79 5/32</v>
          </cell>
          <cell r="BF594">
            <v>1900</v>
          </cell>
          <cell r="BG594" t="str">
            <v>ЦКсОК 5/16</v>
          </cell>
          <cell r="BH594" t="str">
            <v>-</v>
          </cell>
          <cell r="BI594" t="str">
            <v>-</v>
          </cell>
        </row>
        <row r="595">
          <cell r="J595">
            <v>3411</v>
          </cell>
          <cell r="K595" t="str">
            <v>К-129</v>
          </cell>
          <cell r="L595">
            <v>43060</v>
          </cell>
          <cell r="M595" t="str">
            <v>Гор.</v>
          </cell>
          <cell r="N595" t="str">
            <v>P4+5+6_Block1_yug</v>
          </cell>
          <cell r="O595" t="str">
            <v>Действующий</v>
          </cell>
          <cell r="P595" t="str">
            <v>В работе</v>
          </cell>
          <cell r="Q595">
            <v>-4</v>
          </cell>
          <cell r="U595">
            <v>203</v>
          </cell>
          <cell r="V595">
            <v>218.2</v>
          </cell>
          <cell r="W595">
            <v>0.98</v>
          </cell>
          <cell r="X595">
            <v>1.66</v>
          </cell>
          <cell r="Y595">
            <v>0.98573388336007506</v>
          </cell>
          <cell r="Z595">
            <v>1.454</v>
          </cell>
          <cell r="AA595">
            <v>0.83599999999999997</v>
          </cell>
          <cell r="AB595">
            <v>0.72</v>
          </cell>
          <cell r="AC595">
            <v>34.299999999999997</v>
          </cell>
          <cell r="AD595">
            <v>1.17</v>
          </cell>
          <cell r="AE595">
            <v>177.8</v>
          </cell>
          <cell r="AF595">
            <v>9.19</v>
          </cell>
          <cell r="AG595">
            <v>2197.64</v>
          </cell>
          <cell r="AH595" t="str">
            <v>1 ств 2509
2 ств 2838</v>
          </cell>
          <cell r="AI595" t="str">
            <v>1 ств 2509
2 ств 2838</v>
          </cell>
          <cell r="AJ595">
            <v>42947</v>
          </cell>
          <cell r="AK595" t="str">
            <v>По спущенной компановке</v>
          </cell>
          <cell r="AM595" t="str">
            <v>открытый</v>
          </cell>
          <cell r="AN595" t="str">
            <v>2198-2509; 2232-2838</v>
          </cell>
          <cell r="AO595" t="str">
            <v>111,2;8</v>
          </cell>
          <cell r="AP595">
            <v>2198</v>
          </cell>
          <cell r="AQ595">
            <v>387.46</v>
          </cell>
          <cell r="AU595" t="str">
            <v>Газлифт</v>
          </cell>
          <cell r="AV595">
            <v>500.00002939500001</v>
          </cell>
          <cell r="AW595" t="str">
            <v>ГП</v>
          </cell>
          <cell r="AX595">
            <v>900.00006035199999</v>
          </cell>
          <cell r="AY595" t="str">
            <v>ГП</v>
          </cell>
          <cell r="AZ595">
            <v>1219.999951172</v>
          </cell>
          <cell r="BA595" t="str">
            <v>ГП</v>
          </cell>
          <cell r="BB595">
            <v>1490.0000660159999</v>
          </cell>
          <cell r="BC595" t="str">
            <v>ГК 82 1/8</v>
          </cell>
          <cell r="BD595">
            <v>1710.000032813</v>
          </cell>
          <cell r="BE595" t="str">
            <v>ГП</v>
          </cell>
          <cell r="BF595">
            <v>1910</v>
          </cell>
          <cell r="BG595" t="str">
            <v>ЦКсОК 5/16</v>
          </cell>
          <cell r="BH595">
            <v>1920</v>
          </cell>
          <cell r="BI595" t="str">
            <v>Закрыт</v>
          </cell>
        </row>
        <row r="596">
          <cell r="J596">
            <v>3412</v>
          </cell>
          <cell r="K596" t="str">
            <v>К-3400</v>
          </cell>
          <cell r="L596">
            <v>43812</v>
          </cell>
          <cell r="M596" t="str">
            <v>Гор.</v>
          </cell>
          <cell r="N596" t="str">
            <v>P4+5+6_Block1_yug</v>
          </cell>
          <cell r="O596" t="str">
            <v>Действующий</v>
          </cell>
          <cell r="P596" t="str">
            <v>В работе</v>
          </cell>
          <cell r="Q596">
            <v>-4</v>
          </cell>
          <cell r="U596">
            <v>203</v>
          </cell>
          <cell r="V596">
            <v>218.2</v>
          </cell>
          <cell r="W596">
            <v>0.98</v>
          </cell>
          <cell r="X596">
            <v>1.66</v>
          </cell>
          <cell r="Y596">
            <v>1.1836437718277064</v>
          </cell>
          <cell r="Z596">
            <v>1.454</v>
          </cell>
          <cell r="AA596">
            <v>0.83599999999999997</v>
          </cell>
          <cell r="AB596">
            <v>0.72</v>
          </cell>
          <cell r="AC596">
            <v>34.299999999999997</v>
          </cell>
          <cell r="AD596">
            <v>1.17</v>
          </cell>
          <cell r="AE596">
            <v>177.8</v>
          </cell>
          <cell r="AF596">
            <v>9.19</v>
          </cell>
          <cell r="AG596">
            <v>2327</v>
          </cell>
          <cell r="AH596" t="str">
            <v>2999; 2684</v>
          </cell>
          <cell r="AI596" t="str">
            <v>2999; 2684</v>
          </cell>
          <cell r="AM596" t="str">
            <v>открытый</v>
          </cell>
          <cell r="AN596" t="str">
            <v>2411-2999; 2327-2684</v>
          </cell>
          <cell r="AO596">
            <v>7.21</v>
          </cell>
          <cell r="AP596">
            <v>2411</v>
          </cell>
          <cell r="AQ596">
            <v>811.18</v>
          </cell>
          <cell r="AU596" t="str">
            <v>Газлифт</v>
          </cell>
          <cell r="AV596">
            <v>398.00000419899999</v>
          </cell>
          <cell r="AW596" t="str">
            <v>ГП</v>
          </cell>
          <cell r="AX596">
            <v>770.00003261699999</v>
          </cell>
          <cell r="AY596" t="str">
            <v>ГП</v>
          </cell>
          <cell r="AZ596">
            <v>1123.000030078</v>
          </cell>
          <cell r="BA596" t="str">
            <v>ГК 82 5/32</v>
          </cell>
          <cell r="BB596">
            <v>1424.0000015630001</v>
          </cell>
          <cell r="BC596" t="str">
            <v>ГК 82 5/16</v>
          </cell>
          <cell r="BD596">
            <v>1664.0000871090001</v>
          </cell>
          <cell r="BE596" t="str">
            <v>ГК 82 5/16</v>
          </cell>
          <cell r="BF596">
            <v>1831</v>
          </cell>
          <cell r="BG596" t="str">
            <v>ЦКсОК 5/16</v>
          </cell>
          <cell r="BH596" t="str">
            <v>-</v>
          </cell>
          <cell r="BI596" t="str">
            <v>-</v>
          </cell>
        </row>
        <row r="597">
          <cell r="J597">
            <v>3413</v>
          </cell>
          <cell r="K597" t="str">
            <v>К-129</v>
          </cell>
          <cell r="L597">
            <v>43069</v>
          </cell>
          <cell r="M597" t="str">
            <v>Гор.</v>
          </cell>
          <cell r="N597" t="str">
            <v>P4+5+6_Block1_yug</v>
          </cell>
          <cell r="O597" t="str">
            <v>Действующий</v>
          </cell>
          <cell r="P597" t="str">
            <v>Остановлена</v>
          </cell>
          <cell r="Q597">
            <v>-4</v>
          </cell>
          <cell r="U597">
            <v>203</v>
          </cell>
          <cell r="V597">
            <v>218.2</v>
          </cell>
          <cell r="W597">
            <v>0.98</v>
          </cell>
          <cell r="X597">
            <v>1.66</v>
          </cell>
          <cell r="Y597">
            <v>1.0441591784338895</v>
          </cell>
          <cell r="Z597">
            <v>1.454</v>
          </cell>
          <cell r="AA597">
            <v>0.83599999999999997</v>
          </cell>
          <cell r="AB597">
            <v>0.72</v>
          </cell>
          <cell r="AC597">
            <v>34.299999999999997</v>
          </cell>
          <cell r="AD597">
            <v>1.17</v>
          </cell>
          <cell r="AE597">
            <v>177.8</v>
          </cell>
          <cell r="AF597">
            <v>9.19</v>
          </cell>
          <cell r="AG597">
            <v>2056</v>
          </cell>
          <cell r="AH597">
            <v>2051</v>
          </cell>
          <cell r="AI597">
            <v>2051</v>
          </cell>
          <cell r="AJ597">
            <v>43028</v>
          </cell>
          <cell r="AK597" t="str">
            <v>ГИС</v>
          </cell>
          <cell r="AM597" t="str">
            <v>Закрытый</v>
          </cell>
          <cell r="AN597" t="str">
            <v>1990-2002; 2008-2020; 2028-2032; 2036-2046;</v>
          </cell>
          <cell r="AO597">
            <v>12.99</v>
          </cell>
          <cell r="AP597">
            <v>1990</v>
          </cell>
          <cell r="AQ597">
            <v>193.13</v>
          </cell>
          <cell r="AU597" t="str">
            <v>Газлифт</v>
          </cell>
          <cell r="AV597">
            <v>500.00002939500001</v>
          </cell>
          <cell r="AW597" t="str">
            <v>ГП</v>
          </cell>
          <cell r="AX597">
            <v>900.00006035199999</v>
          </cell>
          <cell r="AY597" t="str">
            <v>ГП</v>
          </cell>
          <cell r="AZ597">
            <v>1239.999995508</v>
          </cell>
          <cell r="BA597" t="str">
            <v>ГК 86 5/32</v>
          </cell>
          <cell r="BB597">
            <v>1520.000095312</v>
          </cell>
          <cell r="BC597" t="str">
            <v>ГК 86 5/32</v>
          </cell>
          <cell r="BD597">
            <v>1780.000001953</v>
          </cell>
          <cell r="BE597" t="str">
            <v>ЦКсОК 5/16</v>
          </cell>
          <cell r="BF597" t="str">
            <v>-</v>
          </cell>
          <cell r="BG597" t="str">
            <v>-</v>
          </cell>
          <cell r="BH597">
            <v>1830</v>
          </cell>
          <cell r="BI597" t="str">
            <v>закрыт</v>
          </cell>
        </row>
        <row r="598">
          <cell r="J598">
            <v>3415</v>
          </cell>
          <cell r="K598" t="str">
            <v>К-3400</v>
          </cell>
          <cell r="L598">
            <v>43908</v>
          </cell>
          <cell r="M598" t="str">
            <v>Гор.</v>
          </cell>
          <cell r="N598" t="str">
            <v>P4+5+6_Block1_yug</v>
          </cell>
          <cell r="O598" t="str">
            <v>В бездействии прошлых лет</v>
          </cell>
          <cell r="P598" t="str">
            <v>Остановлена</v>
          </cell>
          <cell r="Q598">
            <v>-4</v>
          </cell>
          <cell r="U598">
            <v>203</v>
          </cell>
          <cell r="V598">
            <v>218.2</v>
          </cell>
          <cell r="W598">
            <v>0.98</v>
          </cell>
          <cell r="X598">
            <v>1.66</v>
          </cell>
          <cell r="Y598">
            <v>1.5522900763358776</v>
          </cell>
          <cell r="Z598">
            <v>1.454</v>
          </cell>
          <cell r="AA598">
            <v>0.83599999999999997</v>
          </cell>
          <cell r="AB598">
            <v>0.72</v>
          </cell>
          <cell r="AC598">
            <v>34.299999999999997</v>
          </cell>
          <cell r="AD598">
            <v>1.17</v>
          </cell>
          <cell r="AE598">
            <v>177.8</v>
          </cell>
          <cell r="AF598">
            <v>9.19</v>
          </cell>
          <cell r="AG598">
            <v>2243</v>
          </cell>
          <cell r="AH598">
            <v>2733</v>
          </cell>
          <cell r="AI598">
            <v>2733</v>
          </cell>
          <cell r="AM598" t="str">
            <v>открытый</v>
          </cell>
          <cell r="AN598" t="str">
            <v>2243-2773</v>
          </cell>
          <cell r="AO598">
            <v>2.4700000000000273</v>
          </cell>
          <cell r="AP598">
            <v>2243</v>
          </cell>
          <cell r="AQ598">
            <v>314.95000000000005</v>
          </cell>
          <cell r="AU598" t="str">
            <v>ЭЦН</v>
          </cell>
          <cell r="AV598">
            <v>300</v>
          </cell>
          <cell r="AW598" t="str">
            <v>ГП</v>
          </cell>
          <cell r="AX598" t="str">
            <v>-</v>
          </cell>
          <cell r="AY598" t="str">
            <v>-</v>
          </cell>
          <cell r="AZ598" t="str">
            <v>-</v>
          </cell>
          <cell r="BA598" t="str">
            <v>-</v>
          </cell>
          <cell r="BB598" t="str">
            <v>-</v>
          </cell>
          <cell r="BC598" t="str">
            <v>-</v>
          </cell>
          <cell r="BD598" t="str">
            <v>-</v>
          </cell>
          <cell r="BE598" t="str">
            <v>-</v>
          </cell>
          <cell r="BF598" t="str">
            <v>-</v>
          </cell>
          <cell r="BG598" t="str">
            <v>-</v>
          </cell>
          <cell r="BH598">
            <v>1870</v>
          </cell>
          <cell r="BI598" t="str">
            <v>закрыт</v>
          </cell>
          <cell r="BK598" t="str">
            <v>D1050N</v>
          </cell>
          <cell r="BM598">
            <v>1326</v>
          </cell>
          <cell r="BN598">
            <v>53</v>
          </cell>
          <cell r="BO598">
            <v>64</v>
          </cell>
        </row>
        <row r="599">
          <cell r="J599">
            <v>3418</v>
          </cell>
          <cell r="K599" t="str">
            <v>К-1362</v>
          </cell>
          <cell r="L599">
            <v>35361</v>
          </cell>
          <cell r="M599" t="str">
            <v>Гор.</v>
          </cell>
          <cell r="N599" t="str">
            <v>Р4+5_Block3</v>
          </cell>
          <cell r="O599" t="str">
            <v>Действующий</v>
          </cell>
          <cell r="P599" t="str">
            <v>В работе</v>
          </cell>
          <cell r="Q599">
            <v>-4</v>
          </cell>
          <cell r="U599">
            <v>203</v>
          </cell>
          <cell r="V599">
            <v>218.2</v>
          </cell>
          <cell r="W599">
            <v>0.98</v>
          </cell>
          <cell r="X599">
            <v>1.66</v>
          </cell>
          <cell r="Y599">
            <v>1.2261079288513717</v>
          </cell>
          <cell r="Z599">
            <v>1.454</v>
          </cell>
          <cell r="AA599">
            <v>0.83599999999999997</v>
          </cell>
          <cell r="AB599">
            <v>0.72</v>
          </cell>
          <cell r="AC599">
            <v>34.299999999999997</v>
          </cell>
          <cell r="AD599">
            <v>1.17</v>
          </cell>
          <cell r="AE599">
            <v>177.8</v>
          </cell>
          <cell r="AF599">
            <v>9.19</v>
          </cell>
          <cell r="AG599">
            <v>2430</v>
          </cell>
          <cell r="AH599">
            <v>3101</v>
          </cell>
          <cell r="AI599">
            <v>3101</v>
          </cell>
          <cell r="AM599" t="str">
            <v>открытый</v>
          </cell>
          <cell r="AN599" t="str">
            <v>2430-3101</v>
          </cell>
          <cell r="AO599">
            <v>72.88</v>
          </cell>
          <cell r="AP599">
            <v>2430</v>
          </cell>
          <cell r="AQ599">
            <v>598.05999999999995</v>
          </cell>
          <cell r="AU599" t="str">
            <v>Газлифт</v>
          </cell>
          <cell r="AV599">
            <v>540.00000644500005</v>
          </cell>
          <cell r="AW599" t="str">
            <v>ГП</v>
          </cell>
          <cell r="AX599">
            <v>970.00002949199995</v>
          </cell>
          <cell r="AY599" t="str">
            <v>ГК 88 1/8</v>
          </cell>
          <cell r="AZ599">
            <v>1310.000039063</v>
          </cell>
          <cell r="BA599" t="str">
            <v>ГК 87 1/8</v>
          </cell>
          <cell r="BB599">
            <v>1680.0000035160001</v>
          </cell>
          <cell r="BC599" t="str">
            <v>ГК 87 5/32</v>
          </cell>
          <cell r="BD599">
            <v>1929.999999609</v>
          </cell>
          <cell r="BE599" t="str">
            <v>ЦКсОК 5/16</v>
          </cell>
          <cell r="BF599" t="str">
            <v>-</v>
          </cell>
          <cell r="BG599" t="str">
            <v>-</v>
          </cell>
          <cell r="BH599">
            <v>1940</v>
          </cell>
          <cell r="BI599" t="str">
            <v>закрыт</v>
          </cell>
        </row>
        <row r="600">
          <cell r="J600">
            <v>3419</v>
          </cell>
          <cell r="K600" t="str">
            <v>К-127</v>
          </cell>
          <cell r="L600">
            <v>42999</v>
          </cell>
          <cell r="M600" t="str">
            <v>Гор.</v>
          </cell>
          <cell r="N600" t="str">
            <v>Р4+5+6_Block2</v>
          </cell>
          <cell r="O600" t="str">
            <v>Действующий</v>
          </cell>
          <cell r="P600" t="str">
            <v>В работе</v>
          </cell>
          <cell r="Q600">
            <v>-4</v>
          </cell>
          <cell r="U600">
            <v>203</v>
          </cell>
          <cell r="V600">
            <v>218.2</v>
          </cell>
          <cell r="W600">
            <v>0.98</v>
          </cell>
          <cell r="X600">
            <v>1.66</v>
          </cell>
          <cell r="Y600">
            <v>0.98</v>
          </cell>
          <cell r="Z600">
            <v>1.454</v>
          </cell>
          <cell r="AA600">
            <v>0.83599999999999997</v>
          </cell>
          <cell r="AB600">
            <v>0.72</v>
          </cell>
          <cell r="AC600">
            <v>34.299999999999997</v>
          </cell>
          <cell r="AD600">
            <v>1.17</v>
          </cell>
          <cell r="AE600">
            <v>177.8</v>
          </cell>
          <cell r="AF600">
            <v>9.19</v>
          </cell>
          <cell r="AG600">
            <v>2278.9499999999998</v>
          </cell>
          <cell r="AH600">
            <v>2890</v>
          </cell>
          <cell r="AI600">
            <v>2890</v>
          </cell>
          <cell r="AJ600">
            <v>42951</v>
          </cell>
          <cell r="AK600" t="str">
            <v>По спущенной компановке</v>
          </cell>
          <cell r="AM600" t="str">
            <v>открытый</v>
          </cell>
          <cell r="AN600" t="str">
            <v>2278,95-2890</v>
          </cell>
          <cell r="AO600">
            <v>9.6999999999999993</v>
          </cell>
          <cell r="AP600">
            <v>2278.9499999999998</v>
          </cell>
          <cell r="AQ600">
            <v>386.9</v>
          </cell>
          <cell r="AU600" t="str">
            <v>Газлифт</v>
          </cell>
          <cell r="AV600">
            <v>560.00001357400004</v>
          </cell>
          <cell r="AW600" t="str">
            <v>ГК 78 1/8</v>
          </cell>
          <cell r="AX600">
            <v>1020.000028711</v>
          </cell>
          <cell r="AY600" t="str">
            <v>ГК 80 1/8</v>
          </cell>
          <cell r="AZ600">
            <v>1407.9999363280001</v>
          </cell>
          <cell r="BA600" t="str">
            <v>ГК 80 1/8</v>
          </cell>
          <cell r="BB600">
            <v>1752.000073828</v>
          </cell>
          <cell r="BC600" t="str">
            <v>ГК 80 1/8</v>
          </cell>
          <cell r="BD600">
            <v>2042.0000097659999</v>
          </cell>
          <cell r="BE600" t="str">
            <v>ЦКсОК 5/16</v>
          </cell>
          <cell r="BF600" t="str">
            <v>-</v>
          </cell>
          <cell r="BG600" t="str">
            <v>-</v>
          </cell>
          <cell r="BH600" t="str">
            <v>-</v>
          </cell>
          <cell r="BI600" t="str">
            <v>-</v>
          </cell>
        </row>
        <row r="601">
          <cell r="J601">
            <v>3432</v>
          </cell>
          <cell r="K601" t="str">
            <v>К-3400</v>
          </cell>
          <cell r="L601">
            <v>43946</v>
          </cell>
          <cell r="M601" t="str">
            <v>Гор.</v>
          </cell>
          <cell r="N601" t="str">
            <v>P4+5+6_Block1_yug</v>
          </cell>
          <cell r="O601" t="str">
            <v>Действующий</v>
          </cell>
          <cell r="P601" t="str">
            <v>В работе</v>
          </cell>
          <cell r="Q601">
            <v>-4</v>
          </cell>
          <cell r="U601">
            <v>203</v>
          </cell>
          <cell r="V601">
            <v>218.2</v>
          </cell>
          <cell r="W601">
            <v>0.98</v>
          </cell>
          <cell r="X601">
            <v>1.66</v>
          </cell>
          <cell r="Y601">
            <v>1.2919231771081503</v>
          </cell>
          <cell r="Z601">
            <v>1.454</v>
          </cell>
          <cell r="AA601">
            <v>0.83599999999999997</v>
          </cell>
          <cell r="AB601">
            <v>0.72</v>
          </cell>
          <cell r="AC601">
            <v>34.299999999999997</v>
          </cell>
          <cell r="AD601">
            <v>1.17</v>
          </cell>
          <cell r="AE601">
            <v>177.8</v>
          </cell>
          <cell r="AF601">
            <v>9.19</v>
          </cell>
          <cell r="AG601">
            <v>2281.1</v>
          </cell>
          <cell r="AH601">
            <v>2983</v>
          </cell>
          <cell r="AI601">
            <v>2983</v>
          </cell>
          <cell r="AM601" t="str">
            <v>открытый</v>
          </cell>
          <cell r="AN601" t="str">
            <v>2281-2983</v>
          </cell>
          <cell r="AO601">
            <v>25.73</v>
          </cell>
          <cell r="AP601">
            <v>2281</v>
          </cell>
          <cell r="AQ601">
            <v>488.6</v>
          </cell>
          <cell r="AU601" t="str">
            <v>ЭЦН</v>
          </cell>
          <cell r="AV601">
            <v>300</v>
          </cell>
          <cell r="AW601" t="str">
            <v>ГП</v>
          </cell>
          <cell r="AX601" t="str">
            <v>-</v>
          </cell>
          <cell r="AY601" t="str">
            <v>-</v>
          </cell>
          <cell r="AZ601" t="str">
            <v>-</v>
          </cell>
          <cell r="BA601" t="str">
            <v>-</v>
          </cell>
          <cell r="BB601" t="str">
            <v>-</v>
          </cell>
          <cell r="BC601" t="str">
            <v>-</v>
          </cell>
          <cell r="BD601" t="str">
            <v>-</v>
          </cell>
          <cell r="BE601" t="str">
            <v>-</v>
          </cell>
          <cell r="BF601" t="str">
            <v>-</v>
          </cell>
          <cell r="BG601" t="str">
            <v>-</v>
          </cell>
          <cell r="BH601">
            <v>1950</v>
          </cell>
          <cell r="BI601" t="str">
            <v>закрыт</v>
          </cell>
          <cell r="BK601" t="str">
            <v>D800N</v>
          </cell>
          <cell r="BM601">
            <v>1250</v>
          </cell>
          <cell r="BN601">
            <v>53</v>
          </cell>
          <cell r="BO601">
            <v>63</v>
          </cell>
        </row>
        <row r="602">
          <cell r="J602">
            <v>3442</v>
          </cell>
          <cell r="K602" t="str">
            <v>К-3400</v>
          </cell>
          <cell r="L602">
            <v>44012</v>
          </cell>
          <cell r="M602" t="str">
            <v>Гор.</v>
          </cell>
          <cell r="N602" t="str">
            <v>P4+5+6_Block1_yug</v>
          </cell>
          <cell r="O602" t="str">
            <v>Действующий</v>
          </cell>
          <cell r="P602" t="str">
            <v>В работе</v>
          </cell>
          <cell r="Q602">
            <v>-4</v>
          </cell>
          <cell r="U602">
            <v>203</v>
          </cell>
          <cell r="V602">
            <v>218.2</v>
          </cell>
          <cell r="W602">
            <v>0.98</v>
          </cell>
          <cell r="X602">
            <v>1.66</v>
          </cell>
          <cell r="Y602">
            <v>1.2993610223642171</v>
          </cell>
          <cell r="Z602">
            <v>1.454</v>
          </cell>
          <cell r="AA602">
            <v>0.83599999999999997</v>
          </cell>
          <cell r="AB602">
            <v>0.72</v>
          </cell>
          <cell r="AC602">
            <v>34.299999999999997</v>
          </cell>
          <cell r="AD602">
            <v>1.17</v>
          </cell>
          <cell r="AE602">
            <v>177.8</v>
          </cell>
          <cell r="AF602">
            <v>9.19</v>
          </cell>
          <cell r="AG602">
            <v>2466.8000000000002</v>
          </cell>
          <cell r="AH602">
            <v>3285</v>
          </cell>
          <cell r="AI602">
            <v>3285</v>
          </cell>
          <cell r="AM602" t="str">
            <v>открытый</v>
          </cell>
          <cell r="AN602" t="str">
            <v>2466,8-3285</v>
          </cell>
          <cell r="AO602">
            <v>3.65</v>
          </cell>
          <cell r="AP602">
            <v>2466.8000000000002</v>
          </cell>
          <cell r="AQ602">
            <v>651</v>
          </cell>
          <cell r="AU602" t="str">
            <v>Фон.</v>
          </cell>
          <cell r="AV602">
            <v>310</v>
          </cell>
          <cell r="AW602" t="str">
            <v>ГП</v>
          </cell>
          <cell r="AX602">
            <v>610</v>
          </cell>
          <cell r="AY602" t="str">
            <v>ГП</v>
          </cell>
          <cell r="AZ602">
            <v>910</v>
          </cell>
          <cell r="BA602" t="str">
            <v>ГП</v>
          </cell>
          <cell r="BB602">
            <v>1140</v>
          </cell>
          <cell r="BC602" t="str">
            <v>ГК76 1/8</v>
          </cell>
          <cell r="BD602">
            <v>1420</v>
          </cell>
          <cell r="BE602" t="str">
            <v>ГК76 1/8</v>
          </cell>
          <cell r="BF602">
            <v>1700</v>
          </cell>
          <cell r="BG602" t="str">
            <v>ЦКсОК 5/16</v>
          </cell>
          <cell r="BH602">
            <v>1970</v>
          </cell>
          <cell r="BI602" t="str">
            <v>закрыт</v>
          </cell>
        </row>
        <row r="603">
          <cell r="J603">
            <v>3500</v>
          </cell>
          <cell r="K603" t="str">
            <v>К-40</v>
          </cell>
          <cell r="L603">
            <v>42792</v>
          </cell>
          <cell r="M603" t="str">
            <v>Гор.</v>
          </cell>
          <cell r="N603" t="str">
            <v>Р4+5_Block3</v>
          </cell>
          <cell r="O603" t="str">
            <v>Действующий</v>
          </cell>
          <cell r="P603" t="str">
            <v>В работе</v>
          </cell>
          <cell r="Q603">
            <v>-4</v>
          </cell>
          <cell r="R603">
            <v>42754</v>
          </cell>
          <cell r="S603" t="str">
            <v>МеКаМиНефть</v>
          </cell>
          <cell r="T603" t="str">
            <v>КГРП 5стадий
210м3 15% HCl</v>
          </cell>
          <cell r="U603">
            <v>203</v>
          </cell>
          <cell r="V603">
            <v>218.2</v>
          </cell>
          <cell r="W603">
            <v>0.98</v>
          </cell>
          <cell r="X603">
            <v>1.66</v>
          </cell>
          <cell r="Y603">
            <v>0.98403097023953534</v>
          </cell>
          <cell r="Z603">
            <v>1.454</v>
          </cell>
          <cell r="AA603">
            <v>0.83599999999999997</v>
          </cell>
          <cell r="AB603">
            <v>0.72</v>
          </cell>
          <cell r="AC603">
            <v>34.299999999999997</v>
          </cell>
          <cell r="AD603">
            <v>1.17</v>
          </cell>
          <cell r="AE603">
            <v>177.8</v>
          </cell>
          <cell r="AF603">
            <v>9.19</v>
          </cell>
          <cell r="AG603">
            <v>2114</v>
          </cell>
          <cell r="AH603">
            <v>2732</v>
          </cell>
          <cell r="AI603">
            <v>2732</v>
          </cell>
          <cell r="AM603" t="str">
            <v>Закрытый</v>
          </cell>
          <cell r="AN603" t="str">
            <v>2180,82-2181,43; 2278-2278,75; 2404,33-2404,94; 2521,27-2521,88; 2649,21-2649,82</v>
          </cell>
          <cell r="AO603">
            <v>23.76</v>
          </cell>
          <cell r="AP603">
            <v>2180.8200000000002</v>
          </cell>
          <cell r="AQ603">
            <v>291.39999999999998</v>
          </cell>
          <cell r="AR603" t="str">
            <v>1934-2733</v>
          </cell>
          <cell r="AS603">
            <v>114</v>
          </cell>
          <cell r="AT603">
            <v>5.51</v>
          </cell>
          <cell r="AU603" t="str">
            <v>Газлифт</v>
          </cell>
          <cell r="AV603">
            <v>599.99999062500001</v>
          </cell>
          <cell r="AW603" t="str">
            <v>ГП</v>
          </cell>
          <cell r="AX603">
            <v>1109.999967773</v>
          </cell>
          <cell r="AY603" t="str">
            <v>ГК 80 1/8</v>
          </cell>
          <cell r="AZ603">
            <v>1540.000065234</v>
          </cell>
          <cell r="BA603" t="str">
            <v>ГК 80 1/8</v>
          </cell>
          <cell r="BB603">
            <v>1849.9999710940001</v>
          </cell>
          <cell r="BC603" t="str">
            <v>ЦКсОК 5/16</v>
          </cell>
          <cell r="BD603" t="str">
            <v>-</v>
          </cell>
          <cell r="BE603" t="str">
            <v>-</v>
          </cell>
          <cell r="BF603" t="str">
            <v>-</v>
          </cell>
          <cell r="BG603" t="str">
            <v>-</v>
          </cell>
          <cell r="BH603" t="str">
            <v>-</v>
          </cell>
          <cell r="BI603" t="str">
            <v>-</v>
          </cell>
        </row>
        <row r="604">
          <cell r="J604">
            <v>3998</v>
          </cell>
          <cell r="K604" t="str">
            <v>К-3400</v>
          </cell>
          <cell r="L604">
            <v>43738</v>
          </cell>
          <cell r="M604" t="str">
            <v>Гор.</v>
          </cell>
          <cell r="N604" t="str">
            <v>P4+5+6_Block1_yug</v>
          </cell>
          <cell r="O604" t="str">
            <v>Действующий</v>
          </cell>
          <cell r="P604" t="str">
            <v>В работе</v>
          </cell>
          <cell r="Q604">
            <v>-4</v>
          </cell>
          <cell r="U604">
            <v>203</v>
          </cell>
          <cell r="V604">
            <v>218.2</v>
          </cell>
          <cell r="W604">
            <v>0.98</v>
          </cell>
          <cell r="X604">
            <v>1.66</v>
          </cell>
          <cell r="Y604">
            <v>1.2785287645394527</v>
          </cell>
          <cell r="Z604">
            <v>1.454</v>
          </cell>
          <cell r="AA604">
            <v>0.83599999999999997</v>
          </cell>
          <cell r="AB604">
            <v>0.72</v>
          </cell>
          <cell r="AC604">
            <v>34.299999999999997</v>
          </cell>
          <cell r="AD604">
            <v>1.17</v>
          </cell>
          <cell r="AE604">
            <v>177.8</v>
          </cell>
          <cell r="AF604">
            <v>9.19</v>
          </cell>
          <cell r="AG604">
            <v>2571</v>
          </cell>
          <cell r="AH604">
            <v>3080</v>
          </cell>
          <cell r="AI604">
            <v>3080</v>
          </cell>
          <cell r="AM604" t="str">
            <v>открытый</v>
          </cell>
          <cell r="AN604" t="str">
            <v>2571-3080</v>
          </cell>
          <cell r="AO604">
            <v>15.83</v>
          </cell>
          <cell r="AP604">
            <v>2571</v>
          </cell>
          <cell r="AQ604">
            <v>679.7</v>
          </cell>
          <cell r="AU604" t="str">
            <v>ЭЦН</v>
          </cell>
          <cell r="AV604">
            <v>300</v>
          </cell>
          <cell r="AW604" t="str">
            <v>ГП</v>
          </cell>
          <cell r="AX604" t="str">
            <v>-</v>
          </cell>
          <cell r="AY604" t="str">
            <v>-</v>
          </cell>
          <cell r="AZ604" t="str">
            <v>-</v>
          </cell>
          <cell r="BA604" t="str">
            <v>-</v>
          </cell>
          <cell r="BB604" t="str">
            <v>-</v>
          </cell>
          <cell r="BC604" t="str">
            <v>-</v>
          </cell>
          <cell r="BD604" t="str">
            <v>-</v>
          </cell>
          <cell r="BE604" t="str">
            <v>-</v>
          </cell>
          <cell r="BF604" t="str">
            <v>-</v>
          </cell>
          <cell r="BG604" t="str">
            <v>-</v>
          </cell>
          <cell r="BH604">
            <v>2100</v>
          </cell>
          <cell r="BI604" t="str">
            <v>закрыт</v>
          </cell>
          <cell r="BJ604" t="str">
            <v>КЗП 2517м</v>
          </cell>
          <cell r="BK604" t="str">
            <v>D800N</v>
          </cell>
          <cell r="BM604">
            <v>1250</v>
          </cell>
          <cell r="BN604">
            <v>55</v>
          </cell>
          <cell r="BO604">
            <v>100</v>
          </cell>
        </row>
        <row r="605">
          <cell r="J605">
            <v>3999</v>
          </cell>
          <cell r="K605" t="str">
            <v>Без куста</v>
          </cell>
          <cell r="L605">
            <v>35367</v>
          </cell>
          <cell r="M605" t="str">
            <v>Гор.</v>
          </cell>
          <cell r="N605" t="str">
            <v>Р4+5_Block3, P5i</v>
          </cell>
          <cell r="O605" t="str">
            <v>Действующий</v>
          </cell>
          <cell r="P605" t="str">
            <v>Остановлена</v>
          </cell>
          <cell r="Q605">
            <v>-4</v>
          </cell>
          <cell r="U605">
            <v>203</v>
          </cell>
          <cell r="V605">
            <v>218.2</v>
          </cell>
          <cell r="W605">
            <v>0.98</v>
          </cell>
          <cell r="X605">
            <v>1.66</v>
          </cell>
          <cell r="Y605">
            <v>0.98467900481323301</v>
          </cell>
          <cell r="Z605">
            <v>1.454</v>
          </cell>
          <cell r="AA605">
            <v>0.83599999999999997</v>
          </cell>
          <cell r="AB605">
            <v>0.72</v>
          </cell>
          <cell r="AC605">
            <v>34.299999999999997</v>
          </cell>
          <cell r="AD605">
            <v>1.17</v>
          </cell>
          <cell r="AE605">
            <v>177.8</v>
          </cell>
          <cell r="AF605">
            <v>9.19</v>
          </cell>
          <cell r="AG605">
            <v>2218.06</v>
          </cell>
          <cell r="AH605">
            <v>2816</v>
          </cell>
          <cell r="AI605">
            <v>2816</v>
          </cell>
          <cell r="AM605" t="str">
            <v>открытый</v>
          </cell>
          <cell r="AN605" t="str">
            <v>2218-2816</v>
          </cell>
          <cell r="AO605">
            <v>79.66</v>
          </cell>
          <cell r="AP605">
            <v>2218</v>
          </cell>
          <cell r="AQ605">
            <v>339</v>
          </cell>
          <cell r="AU605" t="str">
            <v>Газлифт</v>
          </cell>
          <cell r="AV605">
            <v>519.99999931599996</v>
          </cell>
          <cell r="AW605" t="str">
            <v>ГП</v>
          </cell>
          <cell r="AX605">
            <v>945.00002988300002</v>
          </cell>
          <cell r="AY605" t="str">
            <v>ГП</v>
          </cell>
          <cell r="AZ605">
            <v>1295.0000988280001</v>
          </cell>
          <cell r="BA605" t="str">
            <v>ГК 87 5/32</v>
          </cell>
          <cell r="BB605">
            <v>1565.000064844</v>
          </cell>
          <cell r="BC605" t="str">
            <v>ГК 86 1/8</v>
          </cell>
          <cell r="BD605">
            <v>1900.0001191409999</v>
          </cell>
          <cell r="BE605" t="str">
            <v>ЦКсОК 5/16</v>
          </cell>
          <cell r="BF605" t="str">
            <v>-</v>
          </cell>
          <cell r="BG605" t="str">
            <v>-</v>
          </cell>
          <cell r="BH605">
            <v>1950</v>
          </cell>
          <cell r="BI605" t="str">
            <v>закрыт</v>
          </cell>
        </row>
        <row r="606">
          <cell r="J606">
            <v>5090</v>
          </cell>
          <cell r="K606" t="str">
            <v>К-6277</v>
          </cell>
          <cell r="L606">
            <v>44754</v>
          </cell>
          <cell r="M606" t="str">
            <v>Гор.</v>
          </cell>
          <cell r="N606" t="str">
            <v>P4+5+6_Block1_yug</v>
          </cell>
          <cell r="O606" t="str">
            <v>Действующий</v>
          </cell>
          <cell r="P606" t="str">
            <v>В работе</v>
          </cell>
          <cell r="Q606">
            <v>-4</v>
          </cell>
          <cell r="U606">
            <v>203</v>
          </cell>
          <cell r="V606">
            <v>218.2</v>
          </cell>
          <cell r="W606">
            <v>0.98</v>
          </cell>
          <cell r="X606">
            <v>1.66</v>
          </cell>
          <cell r="Y606">
            <v>1.0068077732392622</v>
          </cell>
          <cell r="Z606">
            <v>1.454</v>
          </cell>
          <cell r="AA606">
            <v>0.83599999999999997</v>
          </cell>
          <cell r="AB606">
            <v>0.72</v>
          </cell>
          <cell r="AC606">
            <v>34.299999999999997</v>
          </cell>
          <cell r="AD606">
            <v>1.17</v>
          </cell>
          <cell r="AE606">
            <v>177.8</v>
          </cell>
          <cell r="AF606">
            <v>9.1999999999999993</v>
          </cell>
          <cell r="AG606">
            <v>2230</v>
          </cell>
          <cell r="AH606">
            <v>3158</v>
          </cell>
          <cell r="AI606">
            <v>3158</v>
          </cell>
          <cell r="AM606" t="str">
            <v>Открытый</v>
          </cell>
          <cell r="AN606" t="str">
            <v>2230-3158</v>
          </cell>
          <cell r="AO606">
            <v>74</v>
          </cell>
          <cell r="AP606">
            <v>2230</v>
          </cell>
          <cell r="AQ606">
            <v>452</v>
          </cell>
          <cell r="AU606" t="str">
            <v>Газлифт</v>
          </cell>
          <cell r="AV606">
            <v>460.00001513699999</v>
          </cell>
          <cell r="AW606" t="str">
            <v>ГП</v>
          </cell>
          <cell r="AX606">
            <v>961.99999687499997</v>
          </cell>
          <cell r="AY606" t="str">
            <v>ГП</v>
          </cell>
          <cell r="AZ606">
            <v>1399.9999781250001</v>
          </cell>
          <cell r="BA606" t="str">
            <v>ГП</v>
          </cell>
          <cell r="BB606">
            <v>1747</v>
          </cell>
          <cell r="BC606" t="str">
            <v>ГК 79 5/32</v>
          </cell>
          <cell r="BD606">
            <v>1969.999939453</v>
          </cell>
          <cell r="BE606" t="str">
            <v>ЦКсОК 5/16</v>
          </cell>
          <cell r="BF606" t="str">
            <v>-</v>
          </cell>
          <cell r="BG606" t="str">
            <v>-</v>
          </cell>
          <cell r="BH606">
            <v>1989</v>
          </cell>
          <cell r="BI606" t="str">
            <v>Закрыт</v>
          </cell>
        </row>
        <row r="607">
          <cell r="J607">
            <v>5112</v>
          </cell>
          <cell r="K607" t="str">
            <v>К-6277</v>
          </cell>
          <cell r="L607">
            <v>44794</v>
          </cell>
          <cell r="M607" t="str">
            <v>Гор.</v>
          </cell>
          <cell r="N607" t="str">
            <v>P4+5+6_Block1_yug</v>
          </cell>
          <cell r="O607" t="str">
            <v>Действующий</v>
          </cell>
          <cell r="P607" t="str">
            <v>В работе</v>
          </cell>
          <cell r="Q607">
            <v>0</v>
          </cell>
          <cell r="AE607">
            <v>178</v>
          </cell>
          <cell r="AH607">
            <v>3024</v>
          </cell>
          <cell r="AI607">
            <v>3024</v>
          </cell>
          <cell r="AM607" t="str">
            <v>Открытый</v>
          </cell>
          <cell r="AN607" t="str">
            <v>2202-3024</v>
          </cell>
          <cell r="AU607" t="str">
            <v>Газлифт</v>
          </cell>
          <cell r="AV607">
            <v>502</v>
          </cell>
          <cell r="AW607" t="str">
            <v>ГП</v>
          </cell>
          <cell r="AX607">
            <v>1002</v>
          </cell>
          <cell r="AY607" t="str">
            <v>ГП</v>
          </cell>
          <cell r="AZ607">
            <v>1423</v>
          </cell>
          <cell r="BA607" t="str">
            <v>ГК 96 1/6</v>
          </cell>
          <cell r="BB607">
            <v>1774</v>
          </cell>
          <cell r="BC607" t="str">
            <v>ГК 82 5/32</v>
          </cell>
          <cell r="BD607">
            <v>2030</v>
          </cell>
          <cell r="BE607" t="str">
            <v>ЦКсОК 5/16</v>
          </cell>
          <cell r="BF607" t="str">
            <v>-</v>
          </cell>
          <cell r="BG607" t="str">
            <v>-</v>
          </cell>
          <cell r="BH607" t="str">
            <v>-</v>
          </cell>
          <cell r="BI607" t="str">
            <v>-</v>
          </cell>
        </row>
        <row r="608">
          <cell r="J608">
            <v>5121</v>
          </cell>
          <cell r="K608" t="str">
            <v>К-6277</v>
          </cell>
          <cell r="L608">
            <v>44779</v>
          </cell>
          <cell r="M608" t="str">
            <v>Гор.</v>
          </cell>
          <cell r="N608" t="str">
            <v>P4+5+6_Block1_yug</v>
          </cell>
          <cell r="O608" t="str">
            <v>Действующий</v>
          </cell>
          <cell r="P608" t="str">
            <v>В работе</v>
          </cell>
          <cell r="Q608">
            <v>-4</v>
          </cell>
          <cell r="U608">
            <v>203</v>
          </cell>
          <cell r="V608">
            <v>218.2</v>
          </cell>
          <cell r="W608">
            <v>0.98</v>
          </cell>
          <cell r="X608">
            <v>1.66</v>
          </cell>
          <cell r="Y608">
            <v>1.0110627719080172</v>
          </cell>
          <cell r="Z608">
            <v>1.454</v>
          </cell>
          <cell r="AA608">
            <v>0.83599999999999997</v>
          </cell>
          <cell r="AB608">
            <v>0.72</v>
          </cell>
          <cell r="AC608">
            <v>34.299999999999997</v>
          </cell>
          <cell r="AD608">
            <v>1.17</v>
          </cell>
          <cell r="AE608">
            <v>177.8</v>
          </cell>
          <cell r="AF608">
            <v>9.1999999999999993</v>
          </cell>
          <cell r="AG608">
            <v>2358</v>
          </cell>
          <cell r="AH608">
            <v>3365.6</v>
          </cell>
          <cell r="AI608">
            <v>3365.6</v>
          </cell>
          <cell r="AM608" t="str">
            <v>Закрытый</v>
          </cell>
          <cell r="AN608" t="str">
            <v>2653-2654; 2774-2775; 2871-2872; 3194-3195; 3352-3353</v>
          </cell>
          <cell r="AO608">
            <v>39</v>
          </cell>
          <cell r="AP608">
            <v>2653</v>
          </cell>
          <cell r="AQ608">
            <v>824.53</v>
          </cell>
          <cell r="AR608" t="str">
            <v>2326-3365</v>
          </cell>
          <cell r="AS608">
            <v>114</v>
          </cell>
          <cell r="AT608">
            <v>7.4</v>
          </cell>
          <cell r="AU608" t="str">
            <v>Газлифт</v>
          </cell>
          <cell r="AV608">
            <v>403</v>
          </cell>
          <cell r="AW608" t="str">
            <v>ГП</v>
          </cell>
          <cell r="AX608">
            <v>901</v>
          </cell>
          <cell r="AY608" t="str">
            <v>ГП</v>
          </cell>
          <cell r="AZ608">
            <v>1323</v>
          </cell>
          <cell r="BA608" t="str">
            <v>ГК 81 1/8</v>
          </cell>
          <cell r="BB608">
            <v>1723</v>
          </cell>
          <cell r="BC608" t="str">
            <v>ГК 80 5/32</v>
          </cell>
          <cell r="BD608">
            <v>2040</v>
          </cell>
          <cell r="BE608" t="str">
            <v>ЦКсОК 5/16</v>
          </cell>
          <cell r="BF608" t="str">
            <v>-</v>
          </cell>
          <cell r="BG608" t="str">
            <v>-</v>
          </cell>
          <cell r="BH608">
            <v>2055</v>
          </cell>
          <cell r="BI608" t="str">
            <v>Закрыт</v>
          </cell>
        </row>
        <row r="609">
          <cell r="J609">
            <v>5125</v>
          </cell>
          <cell r="K609" t="str">
            <v>К-5125</v>
          </cell>
          <cell r="L609">
            <v>44594</v>
          </cell>
          <cell r="M609" t="str">
            <v>Гор.</v>
          </cell>
          <cell r="N609" t="str">
            <v>P4+5+6_Block1_yug</v>
          </cell>
          <cell r="O609" t="str">
            <v>Действующий</v>
          </cell>
          <cell r="P609" t="str">
            <v>В работе</v>
          </cell>
          <cell r="Q609">
            <v>-4</v>
          </cell>
          <cell r="U609">
            <v>203</v>
          </cell>
          <cell r="V609">
            <v>218.2</v>
          </cell>
          <cell r="W609">
            <v>0.98</v>
          </cell>
          <cell r="X609">
            <v>1.66</v>
          </cell>
          <cell r="Y609">
            <v>1.0580124869927159</v>
          </cell>
          <cell r="Z609">
            <v>1.454</v>
          </cell>
          <cell r="AA609">
            <v>0.83599999999999997</v>
          </cell>
          <cell r="AB609">
            <v>0.72</v>
          </cell>
          <cell r="AC609">
            <v>34.299999999999997</v>
          </cell>
          <cell r="AD609">
            <v>1.17</v>
          </cell>
          <cell r="AE609">
            <v>177.8</v>
          </cell>
          <cell r="AF609">
            <v>9.1999999999999993</v>
          </cell>
          <cell r="AG609">
            <v>2152</v>
          </cell>
          <cell r="AH609">
            <v>2763</v>
          </cell>
          <cell r="AI609">
            <v>2763</v>
          </cell>
          <cell r="AJ609">
            <v>44554</v>
          </cell>
          <cell r="AK609" t="str">
            <v>По спущенной компановке</v>
          </cell>
          <cell r="AM609" t="str">
            <v>открытый</v>
          </cell>
          <cell r="AN609" t="str">
            <v>2152-2763</v>
          </cell>
          <cell r="AO609">
            <v>37.43</v>
          </cell>
          <cell r="AP609">
            <v>2152</v>
          </cell>
          <cell r="AQ609">
            <v>347</v>
          </cell>
          <cell r="AU609" t="str">
            <v>Газлифт</v>
          </cell>
          <cell r="AV609">
            <v>499.99999218800002</v>
          </cell>
          <cell r="AW609" t="str">
            <v>ГП</v>
          </cell>
          <cell r="AX609">
            <v>976.00003535200005</v>
          </cell>
          <cell r="AY609" t="str">
            <v>ГК 74 1/8</v>
          </cell>
          <cell r="AZ609">
            <v>1330.9999851560001</v>
          </cell>
          <cell r="BA609" t="str">
            <v>ГК 73 1/8</v>
          </cell>
          <cell r="BB609">
            <v>1578.0000527340001</v>
          </cell>
          <cell r="BC609" t="str">
            <v>ГК 71 1/8</v>
          </cell>
          <cell r="BD609">
            <v>1779.000025781</v>
          </cell>
          <cell r="BE609" t="str">
            <v>ГК 72 1/8</v>
          </cell>
          <cell r="BF609">
            <v>1940</v>
          </cell>
          <cell r="BG609" t="str">
            <v>ЦКсОК 5/16</v>
          </cell>
          <cell r="BH609" t="str">
            <v>-</v>
          </cell>
          <cell r="BI609" t="str">
            <v>-</v>
          </cell>
        </row>
        <row r="610">
          <cell r="J610">
            <v>5179</v>
          </cell>
          <cell r="K610" t="str">
            <v>К-5193</v>
          </cell>
          <cell r="L610">
            <v>44371</v>
          </cell>
          <cell r="M610" t="str">
            <v>Гор.</v>
          </cell>
          <cell r="N610" t="str">
            <v>P4+5+6_Block1_yug</v>
          </cell>
          <cell r="O610" t="str">
            <v>Действующий</v>
          </cell>
          <cell r="P610" t="str">
            <v>Остановлена</v>
          </cell>
          <cell r="Q610">
            <v>-4</v>
          </cell>
          <cell r="U610">
            <v>203</v>
          </cell>
          <cell r="V610">
            <v>218.2</v>
          </cell>
          <cell r="W610">
            <v>0.98</v>
          </cell>
          <cell r="X610">
            <v>1.66</v>
          </cell>
          <cell r="Y610">
            <v>1.6485610052695578</v>
          </cell>
          <cell r="Z610">
            <v>1.454</v>
          </cell>
          <cell r="AA610">
            <v>0.83599999999999997</v>
          </cell>
          <cell r="AB610">
            <v>0.72</v>
          </cell>
          <cell r="AC610">
            <v>34.299999999999997</v>
          </cell>
          <cell r="AD610">
            <v>1.17</v>
          </cell>
          <cell r="AE610">
            <v>177.8</v>
          </cell>
          <cell r="AF610">
            <v>9.19</v>
          </cell>
          <cell r="AG610">
            <v>2024.5</v>
          </cell>
          <cell r="AH610">
            <v>2933</v>
          </cell>
          <cell r="AI610">
            <v>2933</v>
          </cell>
          <cell r="AJ610">
            <v>44351</v>
          </cell>
          <cell r="AK610" t="str">
            <v>По спущенной компановке</v>
          </cell>
          <cell r="AM610" t="str">
            <v>открытый</v>
          </cell>
          <cell r="AN610" t="str">
            <v>2024,5-2933</v>
          </cell>
          <cell r="AO610">
            <v>131.33962495676246</v>
          </cell>
          <cell r="AP610">
            <v>2024.5</v>
          </cell>
          <cell r="AQ610">
            <v>279.82201271186455</v>
          </cell>
          <cell r="AU610" t="str">
            <v>Газлифт</v>
          </cell>
          <cell r="AV610">
            <v>460.00001513699999</v>
          </cell>
          <cell r="AW610" t="str">
            <v>ГК 78 1/8</v>
          </cell>
          <cell r="AX610">
            <v>809.99997246099997</v>
          </cell>
          <cell r="AY610" t="str">
            <v>ГК 81 1/8</v>
          </cell>
          <cell r="AZ610">
            <v>1080.0000128910001</v>
          </cell>
          <cell r="BA610" t="str">
            <v>ГК 83 1/8</v>
          </cell>
          <cell r="BB610">
            <v>1360.0000382809999</v>
          </cell>
          <cell r="BC610" t="str">
            <v>ГК 85 1 /8</v>
          </cell>
          <cell r="BD610">
            <v>1599.9999749999999</v>
          </cell>
          <cell r="BE610" t="str">
            <v>ГК 87 5/32</v>
          </cell>
          <cell r="BF610">
            <v>1890</v>
          </cell>
          <cell r="BG610" t="str">
            <v>ЦКсОК 5/16</v>
          </cell>
          <cell r="BH610" t="str">
            <v>-</v>
          </cell>
          <cell r="BI610" t="str">
            <v>-</v>
          </cell>
        </row>
        <row r="611">
          <cell r="J611">
            <v>5180</v>
          </cell>
          <cell r="K611" t="str">
            <v>К-6277</v>
          </cell>
          <cell r="L611">
            <v>44802</v>
          </cell>
          <cell r="M611" t="str">
            <v>Гор.</v>
          </cell>
          <cell r="N611" t="str">
            <v>P4+5+6_Block1_yug</v>
          </cell>
          <cell r="O611" t="str">
            <v>Действующий</v>
          </cell>
          <cell r="P611" t="str">
            <v>В работе</v>
          </cell>
          <cell r="Q611">
            <v>-4</v>
          </cell>
          <cell r="U611">
            <v>203</v>
          </cell>
          <cell r="V611">
            <v>218.2</v>
          </cell>
          <cell r="W611">
            <v>0.98</v>
          </cell>
          <cell r="X611">
            <v>1.66</v>
          </cell>
          <cell r="Y611">
            <v>1.658848961944773</v>
          </cell>
          <cell r="Z611">
            <v>1.454</v>
          </cell>
          <cell r="AA611">
            <v>0.83599999999999997</v>
          </cell>
          <cell r="AB611">
            <v>0.72</v>
          </cell>
          <cell r="AC611">
            <v>34.299999999999997</v>
          </cell>
          <cell r="AD611">
            <v>1.17</v>
          </cell>
          <cell r="AE611">
            <v>178</v>
          </cell>
          <cell r="AF611">
            <v>9.19</v>
          </cell>
          <cell r="AG611">
            <v>2358</v>
          </cell>
          <cell r="AH611">
            <v>3117</v>
          </cell>
          <cell r="AI611">
            <v>3117</v>
          </cell>
          <cell r="AJ611">
            <v>44690</v>
          </cell>
          <cell r="AK611" t="str">
            <v>По спущенной компановке</v>
          </cell>
          <cell r="AM611" t="str">
            <v>открытый</v>
          </cell>
          <cell r="AN611" t="str">
            <v>2542,13-2542,98,  2698,62-2699,47,  2852,92-2853,77, 2995,54-2996,39, 3102,6-3103,45</v>
          </cell>
          <cell r="AO611">
            <v>39</v>
          </cell>
          <cell r="AP611">
            <v>2543</v>
          </cell>
          <cell r="AQ611">
            <v>717</v>
          </cell>
          <cell r="AR611" t="str">
            <v>2320-3117</v>
          </cell>
          <cell r="AS611">
            <v>114</v>
          </cell>
          <cell r="AT611">
            <v>7.37</v>
          </cell>
          <cell r="AU611" t="str">
            <v>Газлифт</v>
          </cell>
          <cell r="AV611">
            <v>534.00000058600006</v>
          </cell>
          <cell r="AW611" t="str">
            <v>ГП</v>
          </cell>
          <cell r="AX611">
            <v>1059.9999685549999</v>
          </cell>
          <cell r="AY611" t="str">
            <v>ГП</v>
          </cell>
          <cell r="AZ611">
            <v>1488.9999410160001</v>
          </cell>
          <cell r="BA611" t="str">
            <v>ГК77 1/8</v>
          </cell>
          <cell r="BB611">
            <v>1859.0000542969999</v>
          </cell>
          <cell r="BC611" t="str">
            <v>ГК77 1/8</v>
          </cell>
          <cell r="BD611">
            <v>2079.9999972659998</v>
          </cell>
          <cell r="BE611" t="str">
            <v>ЦКсОК 5/16</v>
          </cell>
          <cell r="BF611" t="str">
            <v>-</v>
          </cell>
          <cell r="BG611" t="str">
            <v>-</v>
          </cell>
          <cell r="BH611">
            <v>2100</v>
          </cell>
          <cell r="BI611" t="str">
            <v>закрыт</v>
          </cell>
        </row>
        <row r="612">
          <cell r="J612">
            <v>5185</v>
          </cell>
          <cell r="K612" t="str">
            <v>К-5193</v>
          </cell>
          <cell r="L612">
            <v>44398</v>
          </cell>
          <cell r="M612" t="str">
            <v>Гор.</v>
          </cell>
          <cell r="N612" t="str">
            <v>P4+5+6_Block1_yug</v>
          </cell>
          <cell r="O612" t="str">
            <v>Пьезометрическая</v>
          </cell>
          <cell r="P612" t="str">
            <v>Остановлена</v>
          </cell>
          <cell r="Q612">
            <v>-4</v>
          </cell>
          <cell r="U612">
            <v>203</v>
          </cell>
          <cell r="V612">
            <v>218.2</v>
          </cell>
          <cell r="W612">
            <v>0.98</v>
          </cell>
          <cell r="X612">
            <v>1.66</v>
          </cell>
          <cell r="Y612">
            <v>1.6429004241567358</v>
          </cell>
          <cell r="Z612">
            <v>1.454</v>
          </cell>
          <cell r="AA612">
            <v>0.83599999999999997</v>
          </cell>
          <cell r="AB612">
            <v>0.72</v>
          </cell>
          <cell r="AC612">
            <v>34.299999999999997</v>
          </cell>
          <cell r="AD612">
            <v>1.17</v>
          </cell>
          <cell r="AE612">
            <v>177.8</v>
          </cell>
          <cell r="AF612">
            <v>9.1999999999999993</v>
          </cell>
          <cell r="AG612">
            <v>2044.5</v>
          </cell>
          <cell r="AH612">
            <v>2635</v>
          </cell>
          <cell r="AI612">
            <v>2635</v>
          </cell>
          <cell r="AJ612">
            <v>44331</v>
          </cell>
          <cell r="AK612" t="str">
            <v>По спущенной компановке</v>
          </cell>
          <cell r="AM612" t="str">
            <v>открытый</v>
          </cell>
          <cell r="AN612" t="str">
            <v>2044,5-2635</v>
          </cell>
          <cell r="AO612">
            <v>126.60061111111122</v>
          </cell>
          <cell r="AP612">
            <v>2044.5</v>
          </cell>
          <cell r="AQ612">
            <v>286.85061111111122</v>
          </cell>
          <cell r="AU612" t="str">
            <v>ЭЦН</v>
          </cell>
          <cell r="AV612">
            <v>300</v>
          </cell>
          <cell r="AW612" t="str">
            <v>ГП</v>
          </cell>
          <cell r="AX612" t="str">
            <v>-</v>
          </cell>
          <cell r="AY612" t="str">
            <v>-</v>
          </cell>
          <cell r="AZ612" t="str">
            <v>-</v>
          </cell>
          <cell r="BA612" t="str">
            <v>-</v>
          </cell>
          <cell r="BB612" t="str">
            <v>-</v>
          </cell>
          <cell r="BC612" t="str">
            <v>-</v>
          </cell>
          <cell r="BD612" t="str">
            <v>-</v>
          </cell>
          <cell r="BE612" t="str">
            <v>-</v>
          </cell>
          <cell r="BF612" t="str">
            <v>-</v>
          </cell>
          <cell r="BG612" t="str">
            <v>-</v>
          </cell>
          <cell r="BH612">
            <v>1910</v>
          </cell>
          <cell r="BI612" t="str">
            <v>закрыт</v>
          </cell>
          <cell r="BK612" t="str">
            <v>D1050N</v>
          </cell>
          <cell r="BM612">
            <v>1312</v>
          </cell>
          <cell r="BN612">
            <v>56</v>
          </cell>
          <cell r="BO612">
            <v>90</v>
          </cell>
        </row>
        <row r="613">
          <cell r="J613">
            <v>5188</v>
          </cell>
          <cell r="K613" t="str">
            <v>К-5193</v>
          </cell>
          <cell r="L613">
            <v>44341</v>
          </cell>
          <cell r="M613" t="str">
            <v>Верт.</v>
          </cell>
          <cell r="N613" t="str">
            <v>P4+5+6_Block1_yug</v>
          </cell>
          <cell r="O613" t="str">
            <v>Действующий</v>
          </cell>
          <cell r="P613" t="str">
            <v>В работе</v>
          </cell>
          <cell r="Q613">
            <v>-4</v>
          </cell>
          <cell r="U613">
            <v>203</v>
          </cell>
          <cell r="V613">
            <v>218.2</v>
          </cell>
          <cell r="W613">
            <v>0.98</v>
          </cell>
          <cell r="X613">
            <v>1.66</v>
          </cell>
          <cell r="Y613">
            <v>1.4062932226832638</v>
          </cell>
          <cell r="Z613">
            <v>1.454</v>
          </cell>
          <cell r="AA613">
            <v>0.83599999999999997</v>
          </cell>
          <cell r="AB613">
            <v>0.72</v>
          </cell>
          <cell r="AC613">
            <v>34.299999999999997</v>
          </cell>
          <cell r="AD613">
            <v>1.17</v>
          </cell>
          <cell r="AE613">
            <v>177.8</v>
          </cell>
          <cell r="AF613">
            <v>9.19</v>
          </cell>
          <cell r="AG613">
            <v>2051</v>
          </cell>
          <cell r="AH613">
            <v>2782</v>
          </cell>
          <cell r="AI613">
            <v>2782</v>
          </cell>
          <cell r="AM613" t="str">
            <v>открытый</v>
          </cell>
          <cell r="AN613" t="str">
            <v>2051-2782</v>
          </cell>
          <cell r="AO613">
            <v>72.187860852648996</v>
          </cell>
          <cell r="AP613">
            <v>2051</v>
          </cell>
          <cell r="AQ613">
            <v>301.41178861788626</v>
          </cell>
          <cell r="AU613" t="str">
            <v>ЭЦН</v>
          </cell>
          <cell r="AV613">
            <v>300</v>
          </cell>
          <cell r="AW613" t="str">
            <v>ГП</v>
          </cell>
          <cell r="AX613" t="str">
            <v>-</v>
          </cell>
          <cell r="AY613" t="str">
            <v>-</v>
          </cell>
          <cell r="AZ613" t="str">
            <v>-</v>
          </cell>
          <cell r="BA613" t="str">
            <v>-</v>
          </cell>
          <cell r="BB613" t="str">
            <v>-</v>
          </cell>
          <cell r="BC613" t="str">
            <v>-</v>
          </cell>
          <cell r="BD613" t="str">
            <v>-</v>
          </cell>
          <cell r="BE613" t="str">
            <v>-</v>
          </cell>
          <cell r="BF613" t="str">
            <v>-</v>
          </cell>
          <cell r="BG613" t="str">
            <v>-</v>
          </cell>
          <cell r="BH613">
            <v>1900</v>
          </cell>
          <cell r="BI613" t="str">
            <v>закрыт</v>
          </cell>
          <cell r="BK613" t="str">
            <v>D1050N</v>
          </cell>
          <cell r="BM613">
            <v>1350</v>
          </cell>
          <cell r="BN613">
            <v>43</v>
          </cell>
          <cell r="BO613">
            <v>100</v>
          </cell>
        </row>
        <row r="614">
          <cell r="J614">
            <v>5193</v>
          </cell>
          <cell r="K614" t="str">
            <v>К-5193</v>
          </cell>
          <cell r="L614">
            <v>44423</v>
          </cell>
          <cell r="M614" t="str">
            <v>Гор.</v>
          </cell>
          <cell r="N614" t="str">
            <v>P4+5+6_Block1_yug</v>
          </cell>
          <cell r="O614" t="str">
            <v>Действующий</v>
          </cell>
          <cell r="P614" t="str">
            <v>В работе</v>
          </cell>
          <cell r="Q614">
            <v>-4</v>
          </cell>
          <cell r="U614">
            <v>203</v>
          </cell>
          <cell r="V614">
            <v>218.2</v>
          </cell>
          <cell r="W614">
            <v>0.98</v>
          </cell>
          <cell r="X614">
            <v>1.66</v>
          </cell>
          <cell r="Y614">
            <v>1.2543951637776818</v>
          </cell>
          <cell r="Z614">
            <v>1.454</v>
          </cell>
          <cell r="AA614">
            <v>0.83599999999999997</v>
          </cell>
          <cell r="AB614">
            <v>0.72</v>
          </cell>
          <cell r="AC614">
            <v>34.299999999999997</v>
          </cell>
          <cell r="AD614">
            <v>1.17</v>
          </cell>
          <cell r="AE614">
            <v>177.8</v>
          </cell>
          <cell r="AF614">
            <v>9.1999999999999993</v>
          </cell>
          <cell r="AG614">
            <v>2422</v>
          </cell>
          <cell r="AH614">
            <v>3035</v>
          </cell>
          <cell r="AI614">
            <v>3035</v>
          </cell>
          <cell r="AM614" t="str">
            <v>открытый</v>
          </cell>
          <cell r="AN614" t="str">
            <v>2422-3035</v>
          </cell>
          <cell r="AO614">
            <v>47.88</v>
          </cell>
          <cell r="AP614">
            <v>2422</v>
          </cell>
          <cell r="AQ614">
            <v>610.98</v>
          </cell>
          <cell r="AU614" t="str">
            <v>ЭЦН</v>
          </cell>
          <cell r="AV614">
            <v>490</v>
          </cell>
          <cell r="AW614" t="str">
            <v>ГП</v>
          </cell>
          <cell r="AX614">
            <v>970</v>
          </cell>
          <cell r="AY614" t="str">
            <v>ГП</v>
          </cell>
          <cell r="AZ614">
            <v>1450</v>
          </cell>
          <cell r="BA614" t="str">
            <v>ГП</v>
          </cell>
          <cell r="BB614">
            <v>1800</v>
          </cell>
          <cell r="BC614" t="str">
            <v>ГК 81 5/32</v>
          </cell>
          <cell r="BD614">
            <v>2030</v>
          </cell>
          <cell r="BE614" t="str">
            <v>ЦКсОК 5/16</v>
          </cell>
          <cell r="BF614" t="str">
            <v>-</v>
          </cell>
          <cell r="BG614" t="str">
            <v>-</v>
          </cell>
          <cell r="BH614" t="str">
            <v>-</v>
          </cell>
          <cell r="BI614" t="str">
            <v>-</v>
          </cell>
          <cell r="BK614" t="str">
            <v>D1050N</v>
          </cell>
          <cell r="BM614">
            <v>1606</v>
          </cell>
          <cell r="BN614">
            <v>43</v>
          </cell>
          <cell r="BO614">
            <v>90</v>
          </cell>
        </row>
        <row r="615">
          <cell r="J615">
            <v>5196</v>
          </cell>
          <cell r="K615" t="str">
            <v>К-5193</v>
          </cell>
          <cell r="L615">
            <v>44289</v>
          </cell>
          <cell r="M615" t="str">
            <v>Гор.</v>
          </cell>
          <cell r="N615" t="str">
            <v>P4+5+6_Block1_yug</v>
          </cell>
          <cell r="O615" t="str">
            <v>Действующий</v>
          </cell>
          <cell r="P615" t="str">
            <v>В работе</v>
          </cell>
          <cell r="Q615">
            <v>-4</v>
          </cell>
          <cell r="U615">
            <v>203</v>
          </cell>
          <cell r="V615">
            <v>218.2</v>
          </cell>
          <cell r="W615">
            <v>0.98</v>
          </cell>
          <cell r="X615">
            <v>1.66</v>
          </cell>
          <cell r="Y615">
            <v>0.99757168436802457</v>
          </cell>
          <cell r="Z615">
            <v>1.454</v>
          </cell>
          <cell r="AA615">
            <v>0.83599999999999997</v>
          </cell>
          <cell r="AB615">
            <v>0.72</v>
          </cell>
          <cell r="AC615">
            <v>34.299999999999997</v>
          </cell>
          <cell r="AD615">
            <v>1.17</v>
          </cell>
          <cell r="AE615">
            <v>177.8</v>
          </cell>
          <cell r="AF615">
            <v>9.1999999999999993</v>
          </cell>
          <cell r="AG615">
            <v>2205</v>
          </cell>
          <cell r="AH615">
            <v>3434</v>
          </cell>
          <cell r="AI615">
            <v>3434</v>
          </cell>
          <cell r="AM615" t="str">
            <v>открытый</v>
          </cell>
          <cell r="AN615" t="str">
            <v>2205-3434</v>
          </cell>
          <cell r="AO615">
            <v>50.29</v>
          </cell>
          <cell r="AP615">
            <v>2205</v>
          </cell>
          <cell r="AQ615">
            <v>428.18</v>
          </cell>
          <cell r="AU615" t="str">
            <v>Газлифт</v>
          </cell>
          <cell r="AV615">
            <v>499.99999218800002</v>
          </cell>
          <cell r="AW615" t="str">
            <v>ГК79 1/8</v>
          </cell>
          <cell r="AX615">
            <v>949.99998515599998</v>
          </cell>
          <cell r="AY615" t="str">
            <v>ГК79 1/8</v>
          </cell>
          <cell r="AZ615">
            <v>1430.000007422</v>
          </cell>
          <cell r="BA615" t="str">
            <v>ГК78 1/8</v>
          </cell>
          <cell r="BB615">
            <v>1690.000062891</v>
          </cell>
          <cell r="BC615" t="str">
            <v>ГК78 5/32</v>
          </cell>
          <cell r="BD615">
            <v>1919.999940234</v>
          </cell>
          <cell r="BE615" t="str">
            <v>ЦКсОК 5/16</v>
          </cell>
          <cell r="BF615" t="str">
            <v>-</v>
          </cell>
          <cell r="BG615" t="str">
            <v>-</v>
          </cell>
          <cell r="BH615" t="str">
            <v>-</v>
          </cell>
          <cell r="BI615" t="str">
            <v>-</v>
          </cell>
        </row>
        <row r="616">
          <cell r="J616">
            <v>5899</v>
          </cell>
          <cell r="K616" t="str">
            <v>К-5125</v>
          </cell>
          <cell r="L616">
            <v>44620</v>
          </cell>
          <cell r="M616" t="str">
            <v>Гор.</v>
          </cell>
          <cell r="N616" t="str">
            <v>P4+5+6_Block1_yug</v>
          </cell>
          <cell r="O616" t="str">
            <v>Действующий</v>
          </cell>
          <cell r="P616" t="str">
            <v>В работе</v>
          </cell>
          <cell r="Q616">
            <v>-4</v>
          </cell>
          <cell r="U616">
            <v>203</v>
          </cell>
          <cell r="V616">
            <v>218.2</v>
          </cell>
          <cell r="W616">
            <v>0.98</v>
          </cell>
          <cell r="X616">
            <v>1.66</v>
          </cell>
          <cell r="Y616">
            <v>1.4268423176101179</v>
          </cell>
          <cell r="Z616">
            <v>1.454</v>
          </cell>
          <cell r="AA616">
            <v>0.83599999999999997</v>
          </cell>
          <cell r="AB616">
            <v>0.72</v>
          </cell>
          <cell r="AC616">
            <v>34.299999999999997</v>
          </cell>
          <cell r="AD616">
            <v>1.17</v>
          </cell>
          <cell r="AE616">
            <v>177.8</v>
          </cell>
          <cell r="AF616">
            <v>9.19</v>
          </cell>
          <cell r="AG616">
            <v>2153.3200000000002</v>
          </cell>
          <cell r="AH616">
            <v>2734</v>
          </cell>
          <cell r="AI616">
            <v>2734</v>
          </cell>
          <cell r="AJ616">
            <v>44576</v>
          </cell>
          <cell r="AK616" t="str">
            <v>По спущенной компановке</v>
          </cell>
          <cell r="AM616" t="str">
            <v>открытый</v>
          </cell>
          <cell r="AN616" t="str">
            <v>2153,32-2734</v>
          </cell>
          <cell r="AO616">
            <v>83.24</v>
          </cell>
          <cell r="AP616">
            <v>2153.3200000000002</v>
          </cell>
          <cell r="AQ616">
            <v>351.65</v>
          </cell>
          <cell r="AU616" t="str">
            <v>ЭЦН</v>
          </cell>
          <cell r="AV616">
            <v>300</v>
          </cell>
          <cell r="AW616" t="str">
            <v>ГП</v>
          </cell>
          <cell r="AX616" t="str">
            <v>-</v>
          </cell>
          <cell r="AY616" t="str">
            <v>-</v>
          </cell>
          <cell r="AZ616" t="str">
            <v>-</v>
          </cell>
          <cell r="BA616" t="str">
            <v>-</v>
          </cell>
          <cell r="BB616" t="str">
            <v>-</v>
          </cell>
          <cell r="BC616" t="str">
            <v>-</v>
          </cell>
          <cell r="BD616" t="str">
            <v>-</v>
          </cell>
          <cell r="BE616" t="str">
            <v>-</v>
          </cell>
          <cell r="BF616" t="str">
            <v>-</v>
          </cell>
          <cell r="BG616" t="str">
            <v>-</v>
          </cell>
          <cell r="BH616">
            <v>1923</v>
          </cell>
          <cell r="BI616" t="str">
            <v>закрыт</v>
          </cell>
          <cell r="BK616" t="str">
            <v>D150N</v>
          </cell>
          <cell r="BM616">
            <v>2200</v>
          </cell>
          <cell r="BN616">
            <v>50</v>
          </cell>
          <cell r="BO616">
            <v>50</v>
          </cell>
        </row>
        <row r="617">
          <cell r="J617">
            <v>5900</v>
          </cell>
          <cell r="K617" t="str">
            <v>К-5125</v>
          </cell>
          <cell r="L617">
            <v>44639</v>
          </cell>
          <cell r="M617" t="str">
            <v>Гор.</v>
          </cell>
          <cell r="N617" t="str">
            <v>P4+5+6_Block1_yug</v>
          </cell>
          <cell r="O617" t="str">
            <v>Действующий</v>
          </cell>
          <cell r="P617" t="str">
            <v>В работе</v>
          </cell>
          <cell r="Q617">
            <v>-4</v>
          </cell>
          <cell r="U617">
            <v>203</v>
          </cell>
          <cell r="V617">
            <v>218.2</v>
          </cell>
          <cell r="W617">
            <v>0.98</v>
          </cell>
          <cell r="X617">
            <v>1.66</v>
          </cell>
          <cell r="Y617">
            <v>1.2881667300139363</v>
          </cell>
          <cell r="Z617">
            <v>1.454</v>
          </cell>
          <cell r="AA617">
            <v>0.83599999999999997</v>
          </cell>
          <cell r="AB617">
            <v>0.72</v>
          </cell>
          <cell r="AC617">
            <v>34.299999999999997</v>
          </cell>
          <cell r="AD617">
            <v>1.17</v>
          </cell>
          <cell r="AE617">
            <v>177.8</v>
          </cell>
          <cell r="AF617">
            <v>9.1999999999999993</v>
          </cell>
          <cell r="AG617">
            <v>2321</v>
          </cell>
          <cell r="AH617">
            <v>2875</v>
          </cell>
          <cell r="AI617">
            <v>2875</v>
          </cell>
          <cell r="AJ617">
            <v>44611</v>
          </cell>
          <cell r="AK617" t="str">
            <v>По спущенной компановке</v>
          </cell>
          <cell r="AM617" t="str">
            <v>открытый</v>
          </cell>
          <cell r="AN617" t="str">
            <v>2321-2875</v>
          </cell>
          <cell r="AO617">
            <v>82.58</v>
          </cell>
          <cell r="AP617">
            <v>2321</v>
          </cell>
          <cell r="AQ617">
            <v>516.05999999999995</v>
          </cell>
          <cell r="AU617" t="str">
            <v>Газлифт</v>
          </cell>
          <cell r="AV617">
            <v>474.99999257799999</v>
          </cell>
          <cell r="AW617" t="str">
            <v>ГП</v>
          </cell>
          <cell r="AX617">
            <v>953.99996425799998</v>
          </cell>
          <cell r="AY617" t="str">
            <v>ГП</v>
          </cell>
          <cell r="AZ617">
            <v>1346.000074219</v>
          </cell>
          <cell r="BA617" t="str">
            <v>ГК79 1/8</v>
          </cell>
          <cell r="BB617">
            <v>1648.0000218749999</v>
          </cell>
          <cell r="BC617" t="str">
            <v>ГК78 1/8</v>
          </cell>
          <cell r="BD617">
            <v>1879.0000242189999</v>
          </cell>
          <cell r="BE617" t="str">
            <v>ГП</v>
          </cell>
          <cell r="BF617">
            <v>2030</v>
          </cell>
          <cell r="BG617" t="str">
            <v>ЦКсОК 5/16</v>
          </cell>
          <cell r="BH617" t="str">
            <v>-</v>
          </cell>
          <cell r="BI617" t="str">
            <v>-</v>
          </cell>
        </row>
        <row r="618">
          <cell r="J618">
            <v>5901</v>
          </cell>
          <cell r="K618" t="str">
            <v>К-5125</v>
          </cell>
          <cell r="L618">
            <v>44581</v>
          </cell>
          <cell r="M618" t="str">
            <v>Гор.</v>
          </cell>
          <cell r="N618" t="str">
            <v>Р4+5+6_Block2</v>
          </cell>
          <cell r="O618" t="str">
            <v>Действующий</v>
          </cell>
          <cell r="P618" t="str">
            <v>В работе</v>
          </cell>
          <cell r="Q618">
            <v>-4</v>
          </cell>
          <cell r="U618">
            <v>203</v>
          </cell>
          <cell r="V618">
            <v>218.2</v>
          </cell>
          <cell r="W618">
            <v>0.98</v>
          </cell>
          <cell r="X618">
            <v>1.66</v>
          </cell>
          <cell r="Y618">
            <v>1.0195077685138298</v>
          </cell>
          <cell r="Z618">
            <v>1.454</v>
          </cell>
          <cell r="AA618">
            <v>0.83599999999999997</v>
          </cell>
          <cell r="AB618">
            <v>0.72</v>
          </cell>
          <cell r="AC618">
            <v>34.299999999999997</v>
          </cell>
          <cell r="AD618">
            <v>1.17</v>
          </cell>
          <cell r="AE618">
            <v>177.8</v>
          </cell>
          <cell r="AF618">
            <v>9.1999999999999993</v>
          </cell>
          <cell r="AG618">
            <v>2055</v>
          </cell>
          <cell r="AH618">
            <v>2637</v>
          </cell>
          <cell r="AI618">
            <v>2637</v>
          </cell>
          <cell r="AJ618">
            <v>44527</v>
          </cell>
          <cell r="AK618" t="str">
            <v>По спущенной компановке</v>
          </cell>
          <cell r="AM618" t="str">
            <v>открытый</v>
          </cell>
          <cell r="AN618" t="str">
            <v>2055-2637</v>
          </cell>
          <cell r="AO618">
            <v>79</v>
          </cell>
          <cell r="AP618">
            <v>2055</v>
          </cell>
          <cell r="AQ618">
            <v>250</v>
          </cell>
          <cell r="AU618" t="str">
            <v>Газлифт</v>
          </cell>
          <cell r="AV618">
            <v>455.999998828</v>
          </cell>
          <cell r="AW618" t="str">
            <v>ГП</v>
          </cell>
          <cell r="AX618">
            <v>868.00000429700003</v>
          </cell>
          <cell r="AY618" t="str">
            <v>ГП</v>
          </cell>
          <cell r="AZ618">
            <v>1202.99998418</v>
          </cell>
          <cell r="BA618" t="str">
            <v>ГК79 1/8</v>
          </cell>
          <cell r="BB618">
            <v>1451.9999296880001</v>
          </cell>
          <cell r="BC618" t="str">
            <v>ГК78 1/6</v>
          </cell>
          <cell r="BD618">
            <v>1667.9999917969999</v>
          </cell>
          <cell r="BE618" t="str">
            <v>ГП</v>
          </cell>
          <cell r="BF618">
            <v>1890</v>
          </cell>
          <cell r="BG618" t="str">
            <v>ЦКсОК 5/16</v>
          </cell>
          <cell r="BH618" t="str">
            <v>-</v>
          </cell>
          <cell r="BI618" t="str">
            <v>-</v>
          </cell>
        </row>
        <row r="619">
          <cell r="J619">
            <v>5902</v>
          </cell>
          <cell r="K619" t="str">
            <v>К-5193</v>
          </cell>
          <cell r="L619">
            <v>44410</v>
          </cell>
          <cell r="M619" t="str">
            <v>Гор.</v>
          </cell>
          <cell r="N619" t="str">
            <v>P4+5+6_Block1_yug</v>
          </cell>
          <cell r="O619" t="str">
            <v>Действующий</v>
          </cell>
          <cell r="P619" t="str">
            <v>В работе</v>
          </cell>
          <cell r="Q619">
            <v>-4</v>
          </cell>
          <cell r="U619">
            <v>203</v>
          </cell>
          <cell r="V619">
            <v>218.2</v>
          </cell>
          <cell r="W619">
            <v>0.98</v>
          </cell>
          <cell r="X619">
            <v>1.66</v>
          </cell>
          <cell r="Y619">
            <v>1.5324039186134137</v>
          </cell>
          <cell r="Z619">
            <v>1.454</v>
          </cell>
          <cell r="AA619">
            <v>0.83599999999999997</v>
          </cell>
          <cell r="AB619">
            <v>0.72</v>
          </cell>
          <cell r="AC619">
            <v>34.299999999999997</v>
          </cell>
          <cell r="AD619">
            <v>1.17</v>
          </cell>
          <cell r="AE619">
            <v>177.8</v>
          </cell>
          <cell r="AF619">
            <v>9.1999999999999993</v>
          </cell>
          <cell r="AG619">
            <v>2164</v>
          </cell>
          <cell r="AH619">
            <v>2811</v>
          </cell>
          <cell r="AI619">
            <v>2811</v>
          </cell>
          <cell r="AJ619">
            <v>44287</v>
          </cell>
          <cell r="AM619" t="str">
            <v>открытый</v>
          </cell>
          <cell r="AN619" t="str">
            <v>2164-2811</v>
          </cell>
          <cell r="AO619">
            <v>64.75</v>
          </cell>
          <cell r="AP619">
            <v>2164</v>
          </cell>
          <cell r="AQ619">
            <v>347.36</v>
          </cell>
          <cell r="AU619" t="str">
            <v>ЭЦН</v>
          </cell>
          <cell r="AV619">
            <v>300</v>
          </cell>
          <cell r="AW619" t="str">
            <v>ГП</v>
          </cell>
          <cell r="AX619" t="str">
            <v>-</v>
          </cell>
          <cell r="AY619" t="str">
            <v>-</v>
          </cell>
          <cell r="AZ619" t="str">
            <v>-</v>
          </cell>
          <cell r="BA619" t="str">
            <v>-</v>
          </cell>
          <cell r="BB619" t="str">
            <v>-</v>
          </cell>
          <cell r="BC619" t="str">
            <v>-</v>
          </cell>
          <cell r="BD619" t="str">
            <v>-</v>
          </cell>
          <cell r="BE619" t="str">
            <v>-</v>
          </cell>
          <cell r="BF619" t="str">
            <v>-</v>
          </cell>
          <cell r="BG619" t="str">
            <v>-</v>
          </cell>
          <cell r="BH619">
            <v>1780</v>
          </cell>
          <cell r="BI619" t="str">
            <v>закрыт</v>
          </cell>
          <cell r="BK619" t="str">
            <v>D1050N</v>
          </cell>
          <cell r="BM619">
            <v>1338</v>
          </cell>
          <cell r="BN619">
            <v>46</v>
          </cell>
          <cell r="BO619">
            <v>80</v>
          </cell>
        </row>
        <row r="620">
          <cell r="J620">
            <v>5913</v>
          </cell>
          <cell r="K620" t="str">
            <v>К-5914</v>
          </cell>
          <cell r="L620">
            <v>44471</v>
          </cell>
          <cell r="M620" t="str">
            <v>Гор.</v>
          </cell>
          <cell r="N620" t="str">
            <v>P4+5+6_Block1_yug</v>
          </cell>
          <cell r="O620" t="str">
            <v>Действующий</v>
          </cell>
          <cell r="P620" t="str">
            <v>В работе</v>
          </cell>
          <cell r="Q620">
            <v>-4</v>
          </cell>
          <cell r="U620">
            <v>203</v>
          </cell>
          <cell r="V620">
            <v>218.2</v>
          </cell>
          <cell r="W620">
            <v>0.98</v>
          </cell>
          <cell r="X620">
            <v>1.66</v>
          </cell>
          <cell r="Y620">
            <v>0.98</v>
          </cell>
          <cell r="Z620">
            <v>1.454</v>
          </cell>
          <cell r="AA620">
            <v>0.83599999999999997</v>
          </cell>
          <cell r="AB620">
            <v>0.72</v>
          </cell>
          <cell r="AC620">
            <v>34.299999999999997</v>
          </cell>
          <cell r="AD620">
            <v>1.17</v>
          </cell>
          <cell r="AE620">
            <v>177.8</v>
          </cell>
          <cell r="AF620">
            <v>9.1999999999999993</v>
          </cell>
          <cell r="AG620">
            <v>2054</v>
          </cell>
          <cell r="AH620">
            <v>3223</v>
          </cell>
          <cell r="AI620">
            <v>3223</v>
          </cell>
          <cell r="AJ620">
            <v>44451</v>
          </cell>
          <cell r="AK620" t="str">
            <v>По спущенной компановке</v>
          </cell>
          <cell r="AM620" t="str">
            <v>открытый</v>
          </cell>
          <cell r="AN620" t="str">
            <v>2054-3223</v>
          </cell>
          <cell r="AO620">
            <v>75.3</v>
          </cell>
          <cell r="AP620">
            <v>2054</v>
          </cell>
          <cell r="AQ620">
            <v>263.86</v>
          </cell>
          <cell r="AU620" t="str">
            <v>Газлифт</v>
          </cell>
          <cell r="AV620">
            <v>490.00000722700003</v>
          </cell>
          <cell r="AW620" t="str">
            <v>ГП</v>
          </cell>
          <cell r="AX620">
            <v>849.99998671900005</v>
          </cell>
          <cell r="AY620" t="str">
            <v>ГП</v>
          </cell>
          <cell r="AZ620">
            <v>1200</v>
          </cell>
          <cell r="BA620" t="str">
            <v>ГК79 1/8</v>
          </cell>
          <cell r="BB620">
            <v>1430.000007422</v>
          </cell>
          <cell r="BC620" t="str">
            <v>ГК77 1/8</v>
          </cell>
          <cell r="BD620">
            <v>1669.999944141</v>
          </cell>
          <cell r="BE620" t="str">
            <v>ГП</v>
          </cell>
          <cell r="BF620">
            <v>1950</v>
          </cell>
          <cell r="BG620" t="str">
            <v>ЦКсОК 5/16</v>
          </cell>
          <cell r="BH620" t="str">
            <v>-</v>
          </cell>
          <cell r="BI620" t="str">
            <v>-</v>
          </cell>
        </row>
        <row r="621">
          <cell r="J621">
            <v>5914</v>
          </cell>
          <cell r="K621" t="str">
            <v>К-5914</v>
          </cell>
          <cell r="L621">
            <v>44428</v>
          </cell>
          <cell r="M621" t="str">
            <v>Гор.</v>
          </cell>
          <cell r="N621" t="str">
            <v>P4+5+6_Block1_yug</v>
          </cell>
          <cell r="O621" t="str">
            <v>Действующий</v>
          </cell>
          <cell r="P621" t="str">
            <v>В работе</v>
          </cell>
          <cell r="Q621">
            <v>-4</v>
          </cell>
          <cell r="U621">
            <v>203</v>
          </cell>
          <cell r="V621">
            <v>218.2</v>
          </cell>
          <cell r="W621">
            <v>0.98</v>
          </cell>
          <cell r="X621">
            <v>1.66</v>
          </cell>
          <cell r="Y621">
            <v>1.0175131348511381</v>
          </cell>
          <cell r="Z621">
            <v>1.454</v>
          </cell>
          <cell r="AA621">
            <v>0.83599999999999997</v>
          </cell>
          <cell r="AB621">
            <v>0.72</v>
          </cell>
          <cell r="AC621">
            <v>34.299999999999997</v>
          </cell>
          <cell r="AD621">
            <v>1.17</v>
          </cell>
          <cell r="AE621">
            <v>177.8</v>
          </cell>
          <cell r="AF621">
            <v>9.1999999999999993</v>
          </cell>
          <cell r="AG621">
            <v>1964.7</v>
          </cell>
          <cell r="AH621">
            <v>2900</v>
          </cell>
          <cell r="AI621">
            <v>2900</v>
          </cell>
          <cell r="AJ621">
            <v>44403</v>
          </cell>
          <cell r="AK621" t="str">
            <v>По спущенной компановке</v>
          </cell>
          <cell r="AM621" t="str">
            <v>открытый</v>
          </cell>
          <cell r="AN621" t="str">
            <v>1964,7-2900</v>
          </cell>
          <cell r="AO621">
            <v>90.114074295985574</v>
          </cell>
          <cell r="AP621">
            <v>1964.7</v>
          </cell>
          <cell r="AQ621">
            <v>174.00407429598567</v>
          </cell>
          <cell r="AU621" t="str">
            <v>Газлифт</v>
          </cell>
          <cell r="AV621">
            <v>445.00000048800001</v>
          </cell>
          <cell r="AW621" t="str">
            <v>ГП</v>
          </cell>
          <cell r="AX621">
            <v>790.99997871100004</v>
          </cell>
          <cell r="AY621" t="str">
            <v>ГП</v>
          </cell>
          <cell r="AZ621">
            <v>1102.999985742</v>
          </cell>
          <cell r="BA621" t="str">
            <v>ГК77 1/8</v>
          </cell>
          <cell r="BB621">
            <v>1434.0000609379999</v>
          </cell>
          <cell r="BC621" t="str">
            <v>ГК77 1/8</v>
          </cell>
          <cell r="BD621">
            <v>1849.9999710940001</v>
          </cell>
          <cell r="BE621" t="str">
            <v>ЦКсОК 5/16</v>
          </cell>
          <cell r="BF621" t="str">
            <v>-</v>
          </cell>
          <cell r="BG621" t="str">
            <v>-</v>
          </cell>
          <cell r="BH621" t="str">
            <v>-</v>
          </cell>
          <cell r="BI621" t="str">
            <v>-</v>
          </cell>
        </row>
        <row r="622">
          <cell r="J622">
            <v>5915</v>
          </cell>
          <cell r="K622" t="str">
            <v>К-5914</v>
          </cell>
          <cell r="L622">
            <v>44476</v>
          </cell>
          <cell r="M622" t="str">
            <v>Гор.</v>
          </cell>
          <cell r="N622" t="str">
            <v>P4+5+6_Block1_yug</v>
          </cell>
          <cell r="O622" t="str">
            <v>Действующий</v>
          </cell>
          <cell r="P622" t="str">
            <v>В работе</v>
          </cell>
          <cell r="Q622">
            <v>-4</v>
          </cell>
          <cell r="U622">
            <v>203</v>
          </cell>
          <cell r="V622">
            <v>218.2</v>
          </cell>
          <cell r="W622">
            <v>0.98</v>
          </cell>
          <cell r="X622">
            <v>1.66</v>
          </cell>
          <cell r="Y622">
            <v>1.6485610052695578</v>
          </cell>
          <cell r="Z622">
            <v>1.454</v>
          </cell>
          <cell r="AA622">
            <v>0.83599999999999997</v>
          </cell>
          <cell r="AB622">
            <v>0.72</v>
          </cell>
          <cell r="AC622">
            <v>34.299999999999997</v>
          </cell>
          <cell r="AD622">
            <v>1.17</v>
          </cell>
          <cell r="AE622">
            <v>177.8</v>
          </cell>
          <cell r="AF622">
            <v>9.1999999999999993</v>
          </cell>
          <cell r="AG622">
            <v>2405.5</v>
          </cell>
          <cell r="AH622">
            <v>3350</v>
          </cell>
          <cell r="AI622">
            <v>3350</v>
          </cell>
          <cell r="AJ622">
            <v>44428</v>
          </cell>
          <cell r="AK622" t="str">
            <v>По спущенной компановке</v>
          </cell>
          <cell r="AM622" t="str">
            <v>открытый</v>
          </cell>
          <cell r="AN622" t="str">
            <v>2405,5-3350</v>
          </cell>
          <cell r="AO622">
            <v>27.88</v>
          </cell>
          <cell r="AP622">
            <v>2405.5</v>
          </cell>
          <cell r="AQ622">
            <v>593.97</v>
          </cell>
          <cell r="AU622" t="str">
            <v>ЭЦН</v>
          </cell>
          <cell r="AV622">
            <v>300</v>
          </cell>
          <cell r="AW622" t="str">
            <v>ГП</v>
          </cell>
          <cell r="AX622" t="str">
            <v>-</v>
          </cell>
          <cell r="AY622" t="str">
            <v>-</v>
          </cell>
          <cell r="AZ622" t="str">
            <v>-</v>
          </cell>
          <cell r="BA622" t="str">
            <v>-</v>
          </cell>
          <cell r="BB622" t="str">
            <v>-</v>
          </cell>
          <cell r="BC622" t="str">
            <v>-</v>
          </cell>
          <cell r="BD622" t="str">
            <v>-</v>
          </cell>
          <cell r="BE622" t="str">
            <v>-</v>
          </cell>
          <cell r="BF622" t="str">
            <v>-</v>
          </cell>
          <cell r="BG622" t="str">
            <v>-</v>
          </cell>
          <cell r="BH622">
            <v>2040</v>
          </cell>
          <cell r="BI622" t="str">
            <v>закрыт</v>
          </cell>
          <cell r="BK622" t="str">
            <v>D1050N</v>
          </cell>
          <cell r="BM622">
            <v>1338</v>
          </cell>
          <cell r="BN622">
            <v>60</v>
          </cell>
          <cell r="BO622">
            <v>90</v>
          </cell>
        </row>
        <row r="623">
          <cell r="J623">
            <v>5916</v>
          </cell>
          <cell r="K623" t="str">
            <v>К-5914</v>
          </cell>
          <cell r="L623">
            <v>44509</v>
          </cell>
          <cell r="M623" t="str">
            <v>Гор.</v>
          </cell>
          <cell r="N623" t="str">
            <v>P4+5+6_Block1_yug</v>
          </cell>
          <cell r="O623" t="str">
            <v>Действующий</v>
          </cell>
          <cell r="P623" t="str">
            <v>В работе</v>
          </cell>
          <cell r="Q623">
            <v>-4</v>
          </cell>
          <cell r="U623">
            <v>203</v>
          </cell>
          <cell r="V623">
            <v>218.2</v>
          </cell>
          <cell r="W623">
            <v>0.98</v>
          </cell>
          <cell r="X623">
            <v>1.66</v>
          </cell>
          <cell r="Y623">
            <v>1.0598874179088917</v>
          </cell>
          <cell r="Z623">
            <v>1.454</v>
          </cell>
          <cell r="AA623">
            <v>0.83599999999999997</v>
          </cell>
          <cell r="AB623">
            <v>0.72</v>
          </cell>
          <cell r="AC623">
            <v>34.299999999999997</v>
          </cell>
          <cell r="AD623">
            <v>1.17</v>
          </cell>
          <cell r="AE623">
            <v>177.8</v>
          </cell>
          <cell r="AF623">
            <v>9.1999999999999993</v>
          </cell>
          <cell r="AG623">
            <v>2367</v>
          </cell>
          <cell r="AH623">
            <v>2949</v>
          </cell>
          <cell r="AI623">
            <v>2949</v>
          </cell>
          <cell r="AJ623">
            <v>44395</v>
          </cell>
          <cell r="AM623" t="str">
            <v>Открытый</v>
          </cell>
          <cell r="AN623" t="str">
            <v>2367-2949; 2367-2795</v>
          </cell>
          <cell r="AU623" t="str">
            <v>Газлифт</v>
          </cell>
          <cell r="AV623">
            <v>320.00000244099999</v>
          </cell>
          <cell r="AW623" t="str">
            <v>ГП</v>
          </cell>
          <cell r="AX623">
            <v>649.99998984399997</v>
          </cell>
          <cell r="AY623" t="str">
            <v>ГП</v>
          </cell>
          <cell r="AZ623">
            <v>970.00002949199995</v>
          </cell>
          <cell r="BA623" t="str">
            <v>ГП</v>
          </cell>
          <cell r="BB623">
            <v>1280.0000097659999</v>
          </cell>
          <cell r="BC623" t="str">
            <v>ГК 80 1/88</v>
          </cell>
          <cell r="BD623">
            <v>1599.9999749999999</v>
          </cell>
          <cell r="BE623" t="str">
            <v>ГК 77 5/32</v>
          </cell>
          <cell r="BF623">
            <v>2120</v>
          </cell>
          <cell r="BG623" t="str">
            <v>ЦКсОК 5/16</v>
          </cell>
          <cell r="BH623" t="str">
            <v>-</v>
          </cell>
          <cell r="BI623" t="str">
            <v>-</v>
          </cell>
        </row>
        <row r="624">
          <cell r="J624">
            <v>6305</v>
          </cell>
          <cell r="K624" t="str">
            <v>К-64</v>
          </cell>
          <cell r="L624">
            <v>44971</v>
          </cell>
          <cell r="M624" t="str">
            <v>Гор.</v>
          </cell>
          <cell r="N624" t="str">
            <v>P4+5+6_Block1_sever</v>
          </cell>
          <cell r="O624" t="str">
            <v>Действующий</v>
          </cell>
          <cell r="P624" t="str">
            <v>В работе</v>
          </cell>
          <cell r="Q624">
            <v>-4</v>
          </cell>
          <cell r="U624">
            <v>203</v>
          </cell>
          <cell r="V624">
            <v>218.2</v>
          </cell>
          <cell r="W624">
            <v>0.98</v>
          </cell>
          <cell r="X624">
            <v>1.66</v>
          </cell>
          <cell r="Y624">
            <v>0.98</v>
          </cell>
          <cell r="Z624">
            <v>1.454</v>
          </cell>
          <cell r="AA624">
            <v>0.83599999999999997</v>
          </cell>
          <cell r="AB624">
            <v>0.72</v>
          </cell>
          <cell r="AC624">
            <v>34.299999999999997</v>
          </cell>
          <cell r="AD624">
            <v>1.17</v>
          </cell>
          <cell r="AE624">
            <v>178</v>
          </cell>
          <cell r="AF624">
            <v>9.1999999999999993</v>
          </cell>
          <cell r="AG624">
            <v>2300</v>
          </cell>
          <cell r="AH624">
            <v>3100</v>
          </cell>
          <cell r="AI624">
            <v>3100</v>
          </cell>
          <cell r="AJ624">
            <v>44927</v>
          </cell>
          <cell r="AK624" t="str">
            <v>По спущенной компановке</v>
          </cell>
          <cell r="AM624" t="str">
            <v>Открытый</v>
          </cell>
          <cell r="AN624" t="str">
            <v>2301-3100</v>
          </cell>
          <cell r="AU624" t="str">
            <v>Газлифт</v>
          </cell>
          <cell r="AV624">
            <v>460.00001513699999</v>
          </cell>
          <cell r="AW624" t="str">
            <v>ГП</v>
          </cell>
          <cell r="AX624">
            <v>1020.000028711</v>
          </cell>
          <cell r="AY624" t="str">
            <v>ГК77 1/8</v>
          </cell>
          <cell r="AZ624">
            <v>1419.9999480470001</v>
          </cell>
          <cell r="BA624" t="str">
            <v>ГК76 1/8</v>
          </cell>
          <cell r="BB624">
            <v>1760</v>
          </cell>
          <cell r="BC624" t="str">
            <v>ГК 75 5/32</v>
          </cell>
          <cell r="BD624">
            <v>1969.999939453</v>
          </cell>
          <cell r="BE624" t="str">
            <v>ЦКсОК 5/16</v>
          </cell>
          <cell r="BF624" t="str">
            <v>-</v>
          </cell>
          <cell r="BG624" t="str">
            <v>-</v>
          </cell>
          <cell r="BH624" t="str">
            <v>-</v>
          </cell>
          <cell r="BI624" t="str">
            <v>-</v>
          </cell>
        </row>
        <row r="625">
          <cell r="J625">
            <v>6306</v>
          </cell>
          <cell r="K625" t="str">
            <v>К-64</v>
          </cell>
          <cell r="L625" t="str">
            <v>-</v>
          </cell>
          <cell r="M625" t="str">
            <v>Гор.</v>
          </cell>
          <cell r="N625" t="str">
            <v>P4+5+6_Block1_sever</v>
          </cell>
          <cell r="O625" t="str">
            <v>Освоение текущего года.</v>
          </cell>
          <cell r="AM625" t="str">
            <v>открытый</v>
          </cell>
          <cell r="AN625" t="str">
            <v>2122-2833</v>
          </cell>
          <cell r="AU625" t="str">
            <v>Газлифт</v>
          </cell>
          <cell r="AV625">
            <v>540</v>
          </cell>
          <cell r="AW625" t="str">
            <v>ГП</v>
          </cell>
          <cell r="AX625">
            <v>1030</v>
          </cell>
          <cell r="AY625" t="str">
            <v>ГК75 1/8</v>
          </cell>
          <cell r="AZ625">
            <v>1380</v>
          </cell>
          <cell r="BA625" t="str">
            <v>ГК74 1/8</v>
          </cell>
          <cell r="BB625">
            <v>1630</v>
          </cell>
          <cell r="BC625" t="str">
            <v>ГК 73 5/32</v>
          </cell>
          <cell r="BD625">
            <v>1890</v>
          </cell>
          <cell r="BE625" t="str">
            <v>ЦКсОК 5/16</v>
          </cell>
          <cell r="BF625" t="str">
            <v>-</v>
          </cell>
          <cell r="BG625" t="str">
            <v>-</v>
          </cell>
          <cell r="BH625" t="str">
            <v>-</v>
          </cell>
          <cell r="BI625" t="str">
            <v>-</v>
          </cell>
        </row>
        <row r="626">
          <cell r="J626">
            <v>6366</v>
          </cell>
          <cell r="K626" t="str">
            <v>К-6370</v>
          </cell>
          <cell r="L626" t="str">
            <v>-</v>
          </cell>
          <cell r="M626" t="str">
            <v>Гор.</v>
          </cell>
          <cell r="N626" t="str">
            <v>P4+5+6_Block1_yug</v>
          </cell>
          <cell r="O626" t="str">
            <v>Освоение текущего года.</v>
          </cell>
          <cell r="AM626" t="str">
            <v>Закрытый</v>
          </cell>
          <cell r="AN626" t="str">
            <v>2992,59-2991,44; 2844,47-2843,57; 2684,11-2683,21; 2523,88-2522,98; 2376,11-2375,21</v>
          </cell>
          <cell r="AU626" t="str">
            <v>Газлифт</v>
          </cell>
          <cell r="AV626">
            <v>550</v>
          </cell>
          <cell r="AW626" t="str">
            <v>ГП</v>
          </cell>
          <cell r="AX626">
            <v>1096</v>
          </cell>
          <cell r="AY626" t="str">
            <v>ГП</v>
          </cell>
          <cell r="AZ626">
            <v>1533</v>
          </cell>
          <cell r="BA626" t="str">
            <v>ГП</v>
          </cell>
          <cell r="BB626">
            <v>1875</v>
          </cell>
          <cell r="BC626" t="str">
            <v>ГК79 5/32</v>
          </cell>
          <cell r="BD626">
            <v>2150</v>
          </cell>
          <cell r="BE626" t="str">
            <v>ЦКсОК 5/16</v>
          </cell>
          <cell r="BF626" t="str">
            <v>-</v>
          </cell>
          <cell r="BG626" t="str">
            <v>-</v>
          </cell>
          <cell r="BH626">
            <v>2160</v>
          </cell>
          <cell r="BI626" t="str">
            <v>закрыт</v>
          </cell>
        </row>
        <row r="627">
          <cell r="J627">
            <v>6367</v>
          </cell>
          <cell r="K627" t="str">
            <v>К-6370</v>
          </cell>
          <cell r="L627" t="str">
            <v>-</v>
          </cell>
          <cell r="M627" t="str">
            <v>Гор.</v>
          </cell>
          <cell r="N627" t="str">
            <v>P4+5+6_Block1_yug</v>
          </cell>
          <cell r="O627" t="str">
            <v>Освоение текущего года.</v>
          </cell>
          <cell r="AM627" t="str">
            <v>Закрытый</v>
          </cell>
          <cell r="AN627" t="str">
            <v>2642,99-2643,89; 2812,84-2813,74; 2875,54-2876,44; 2950,42-2951,32; 3012,94-3013,84; 3123,64-3124,54; 3198-3199,15.</v>
          </cell>
          <cell r="AU627" t="str">
            <v>Газлифт</v>
          </cell>
          <cell r="AV627">
            <v>550</v>
          </cell>
          <cell r="AW627" t="str">
            <v>ГП</v>
          </cell>
          <cell r="AX627">
            <v>1050</v>
          </cell>
          <cell r="AY627" t="str">
            <v>ГП</v>
          </cell>
          <cell r="AZ627">
            <v>1500</v>
          </cell>
          <cell r="BA627" t="str">
            <v>ГК82 5/32</v>
          </cell>
          <cell r="BB627">
            <v>1929</v>
          </cell>
          <cell r="BC627" t="str">
            <v>ГК81 5/32</v>
          </cell>
          <cell r="BD627">
            <v>2190</v>
          </cell>
          <cell r="BE627" t="str">
            <v>ЦКсОК 5/16</v>
          </cell>
          <cell r="BF627" t="str">
            <v>-</v>
          </cell>
          <cell r="BG627" t="str">
            <v>-</v>
          </cell>
          <cell r="BH627">
            <v>2200</v>
          </cell>
          <cell r="BI627" t="str">
            <v>закрыт</v>
          </cell>
        </row>
        <row r="628">
          <cell r="J628">
            <v>6368</v>
          </cell>
          <cell r="K628" t="str">
            <v>К-6370</v>
          </cell>
          <cell r="L628">
            <v>44985</v>
          </cell>
          <cell r="M628" t="str">
            <v>Гор.</v>
          </cell>
          <cell r="N628" t="str">
            <v>P4+5+6_Block1_yug</v>
          </cell>
          <cell r="O628" t="str">
            <v>Действующий</v>
          </cell>
          <cell r="AM628" t="str">
            <v>Закрытый</v>
          </cell>
          <cell r="AN628" t="str">
            <v>2293,19-2292,34; 2462,10-2461,25; 2985,41-2984,56; 3118,25-3117,15</v>
          </cell>
          <cell r="AU628" t="str">
            <v>Фон.</v>
          </cell>
          <cell r="AV628">
            <v>480</v>
          </cell>
          <cell r="AW628" t="str">
            <v>ГП</v>
          </cell>
          <cell r="AX628">
            <v>880</v>
          </cell>
          <cell r="AY628" t="str">
            <v>ГП</v>
          </cell>
          <cell r="AZ628">
            <v>1210</v>
          </cell>
          <cell r="BA628" t="str">
            <v>ГП</v>
          </cell>
          <cell r="BB628">
            <v>1480</v>
          </cell>
          <cell r="BC628" t="str">
            <v>ГП</v>
          </cell>
          <cell r="BD628">
            <v>1710</v>
          </cell>
          <cell r="BE628" t="str">
            <v>ГК90 3/16</v>
          </cell>
          <cell r="BF628">
            <v>1910</v>
          </cell>
          <cell r="BG628" t="str">
            <v>ЦКсОК 5/16</v>
          </cell>
          <cell r="BH628">
            <v>1930</v>
          </cell>
          <cell r="BI628" t="str">
            <v>закрыт</v>
          </cell>
        </row>
        <row r="629">
          <cell r="J629">
            <v>6369</v>
          </cell>
          <cell r="K629" t="str">
            <v>К-6370</v>
          </cell>
          <cell r="L629">
            <v>44923</v>
          </cell>
          <cell r="M629" t="str">
            <v>Гор.</v>
          </cell>
          <cell r="N629" t="str">
            <v>P4+5+6_Block1_yug</v>
          </cell>
          <cell r="O629" t="str">
            <v>Действующий</v>
          </cell>
          <cell r="P629" t="str">
            <v>В работе</v>
          </cell>
          <cell r="AA629">
            <v>0.83599999999999997</v>
          </cell>
          <cell r="AH629">
            <v>3300</v>
          </cell>
          <cell r="AI629">
            <v>3300</v>
          </cell>
          <cell r="AM629" t="str">
            <v>Закрытый</v>
          </cell>
          <cell r="AN629" t="str">
            <v>2299,38-2300,23;2384,92-2385,77;2578,16-2579,01;2711,01-2711,864;2867,69-2868,54;3001,58-30002,43;3135,68-3136,78</v>
          </cell>
          <cell r="AU629" t="str">
            <v>Газлифт</v>
          </cell>
          <cell r="AV629">
            <v>520</v>
          </cell>
          <cell r="AW629" t="str">
            <v>ГК70 1/8</v>
          </cell>
          <cell r="AX629">
            <v>980</v>
          </cell>
          <cell r="AY629" t="str">
            <v>ГК69 1/8</v>
          </cell>
          <cell r="AZ629">
            <v>1370</v>
          </cell>
          <cell r="BA629" t="str">
            <v>ГК68 5/16</v>
          </cell>
          <cell r="BB629">
            <v>1675.9999499999999</v>
          </cell>
          <cell r="BC629" t="str">
            <v>ГК67 3/16</v>
          </cell>
          <cell r="BD629">
            <v>1980</v>
          </cell>
          <cell r="BE629" t="str">
            <v>ЦКсОК 5/16</v>
          </cell>
          <cell r="BF629" t="str">
            <v>-</v>
          </cell>
          <cell r="BG629" t="str">
            <v>-</v>
          </cell>
          <cell r="BH629">
            <v>1989</v>
          </cell>
          <cell r="BI629" t="str">
            <v>закрыт</v>
          </cell>
        </row>
        <row r="630">
          <cell r="J630">
            <v>6370</v>
          </cell>
          <cell r="K630" t="str">
            <v>К-6370</v>
          </cell>
          <cell r="L630">
            <v>44957</v>
          </cell>
          <cell r="M630" t="str">
            <v>Гор.</v>
          </cell>
          <cell r="N630" t="str">
            <v>P4+5+6_Block1_yug</v>
          </cell>
          <cell r="O630" t="str">
            <v>Действующий</v>
          </cell>
          <cell r="P630" t="str">
            <v>В работе</v>
          </cell>
          <cell r="AM630" t="str">
            <v>Закрытый</v>
          </cell>
          <cell r="AN630" t="str">
            <v>2772,12-2772,97;2905,19-2906,04;3049,09-3049,94;3168,82-3169,67;3633,31-3634,41</v>
          </cell>
          <cell r="AU630" t="str">
            <v>Газлифт</v>
          </cell>
          <cell r="AV630">
            <v>520</v>
          </cell>
          <cell r="AW630" t="str">
            <v>ГК69 1/8</v>
          </cell>
          <cell r="AX630">
            <v>1050</v>
          </cell>
          <cell r="AY630" t="str">
            <v>ГК69 1/8</v>
          </cell>
          <cell r="AZ630">
            <v>1490</v>
          </cell>
          <cell r="BA630" t="str">
            <v>ГК70 5/32</v>
          </cell>
          <cell r="BB630">
            <v>1900</v>
          </cell>
          <cell r="BC630" t="str">
            <v>ЦКсОК 5/16</v>
          </cell>
          <cell r="BD630" t="str">
            <v>-</v>
          </cell>
          <cell r="BE630" t="str">
            <v>-</v>
          </cell>
          <cell r="BF630" t="str">
            <v>-</v>
          </cell>
          <cell r="BG630" t="str">
            <v>-</v>
          </cell>
          <cell r="BH630" t="str">
            <v>-</v>
          </cell>
          <cell r="BI630" t="str">
            <v>-</v>
          </cell>
        </row>
        <row r="631">
          <cell r="J631">
            <v>6399</v>
          </cell>
          <cell r="K631" t="str">
            <v>К-6277</v>
          </cell>
          <cell r="L631">
            <v>44770</v>
          </cell>
          <cell r="M631" t="str">
            <v>Гор.</v>
          </cell>
          <cell r="N631" t="str">
            <v>P4+5+6_Block1_yug</v>
          </cell>
          <cell r="O631" t="str">
            <v>Действующий</v>
          </cell>
          <cell r="P631" t="str">
            <v>В работе</v>
          </cell>
          <cell r="Q631">
            <v>-4</v>
          </cell>
          <cell r="U631">
            <v>203</v>
          </cell>
          <cell r="V631">
            <v>218.2</v>
          </cell>
          <cell r="W631">
            <v>0.98</v>
          </cell>
          <cell r="X631">
            <v>1.66</v>
          </cell>
          <cell r="Y631">
            <v>0.99953058681563356</v>
          </cell>
          <cell r="Z631">
            <v>1.454</v>
          </cell>
          <cell r="AA631">
            <v>0.83599999999999997</v>
          </cell>
          <cell r="AB631">
            <v>0.72</v>
          </cell>
          <cell r="AC631">
            <v>34.299999999999997</v>
          </cell>
          <cell r="AD631">
            <v>1.17</v>
          </cell>
          <cell r="AE631">
            <v>178</v>
          </cell>
          <cell r="AF631">
            <v>9.19</v>
          </cell>
          <cell r="AG631">
            <v>2240</v>
          </cell>
          <cell r="AH631">
            <v>3017</v>
          </cell>
          <cell r="AI631">
            <v>3017</v>
          </cell>
          <cell r="AJ631">
            <v>44751</v>
          </cell>
          <cell r="AK631" t="str">
            <v>По спущенной компановке</v>
          </cell>
          <cell r="AM631" t="str">
            <v>Открытый</v>
          </cell>
          <cell r="AN631" t="str">
            <v>2240-3017</v>
          </cell>
          <cell r="AO631">
            <v>50</v>
          </cell>
          <cell r="AP631">
            <v>2240</v>
          </cell>
          <cell r="AQ631">
            <v>387</v>
          </cell>
          <cell r="AU631" t="str">
            <v>Газлифт</v>
          </cell>
          <cell r="AV631">
            <v>523</v>
          </cell>
          <cell r="AW631" t="str">
            <v>ГП</v>
          </cell>
          <cell r="AX631">
            <v>1043</v>
          </cell>
          <cell r="AY631" t="str">
            <v>ГП</v>
          </cell>
          <cell r="AZ631">
            <v>1466</v>
          </cell>
          <cell r="BA631" t="str">
            <v>ГК82 1/8</v>
          </cell>
          <cell r="BB631">
            <v>1799</v>
          </cell>
          <cell r="BC631" t="str">
            <v>ГК81 5/32</v>
          </cell>
          <cell r="BD631">
            <v>2030</v>
          </cell>
          <cell r="BE631" t="str">
            <v>ЦКсОК 5/16</v>
          </cell>
          <cell r="BF631" t="str">
            <v>-</v>
          </cell>
          <cell r="BG631" t="str">
            <v>-</v>
          </cell>
          <cell r="BH631">
            <v>2051</v>
          </cell>
          <cell r="BI631" t="str">
            <v>закрыт</v>
          </cell>
        </row>
        <row r="632">
          <cell r="J632">
            <v>6904</v>
          </cell>
          <cell r="K632" t="str">
            <v>К-6909</v>
          </cell>
          <cell r="L632">
            <v>44529</v>
          </cell>
          <cell r="M632" t="str">
            <v>Гор.</v>
          </cell>
          <cell r="N632" t="str">
            <v>P4+5+6_Block1_yug</v>
          </cell>
          <cell r="O632" t="str">
            <v>Действующий</v>
          </cell>
          <cell r="P632" t="str">
            <v>В работе</v>
          </cell>
          <cell r="Q632">
            <v>-4</v>
          </cell>
          <cell r="U632">
            <v>203</v>
          </cell>
          <cell r="V632">
            <v>218.2</v>
          </cell>
          <cell r="W632">
            <v>0.98</v>
          </cell>
          <cell r="X632">
            <v>1.66</v>
          </cell>
          <cell r="Y632">
            <v>1.0035557507667936</v>
          </cell>
          <cell r="Z632">
            <v>1.454</v>
          </cell>
          <cell r="AA632">
            <v>0.83599999999999997</v>
          </cell>
          <cell r="AB632">
            <v>0.72</v>
          </cell>
          <cell r="AC632">
            <v>34.299999999999997</v>
          </cell>
          <cell r="AD632">
            <v>1.17</v>
          </cell>
          <cell r="AE632">
            <v>177.8</v>
          </cell>
          <cell r="AF632">
            <v>9.1999999999999993</v>
          </cell>
          <cell r="AG632">
            <v>2319</v>
          </cell>
          <cell r="AH632">
            <v>3709</v>
          </cell>
          <cell r="AI632">
            <v>3709</v>
          </cell>
          <cell r="AJ632">
            <v>44483</v>
          </cell>
          <cell r="AK632" t="str">
            <v>По спущенной компановке</v>
          </cell>
          <cell r="AM632" t="str">
            <v>Закрытый</v>
          </cell>
          <cell r="AN632" t="str">
            <v>3186,51-3187,61; 2933,78-2934,63; 2836,68-2837,53; 2572,62-2573,47; 2416,16-2417,01</v>
          </cell>
          <cell r="AO632">
            <v>47.954912552994074</v>
          </cell>
          <cell r="AP632">
            <v>2416.16</v>
          </cell>
          <cell r="AQ632">
            <v>584.72227513227517</v>
          </cell>
          <cell r="AR632" t="str">
            <v>2245,2-3200</v>
          </cell>
          <cell r="AS632">
            <v>114</v>
          </cell>
          <cell r="AT632">
            <v>7.37</v>
          </cell>
          <cell r="AU632" t="str">
            <v>Газлифт</v>
          </cell>
          <cell r="AV632">
            <v>380</v>
          </cell>
          <cell r="AW632" t="str">
            <v>ГП</v>
          </cell>
          <cell r="AX632">
            <v>759.70001015599996</v>
          </cell>
          <cell r="AY632" t="str">
            <v>ГП</v>
          </cell>
          <cell r="AZ632">
            <v>1050</v>
          </cell>
          <cell r="BA632" t="str">
            <v>ГП</v>
          </cell>
          <cell r="BB632">
            <v>1320</v>
          </cell>
          <cell r="BC632" t="str">
            <v>ГП</v>
          </cell>
          <cell r="BD632">
            <v>1613</v>
          </cell>
          <cell r="BE632" t="str">
            <v>ГК93 1/8</v>
          </cell>
          <cell r="BF632">
            <v>2080</v>
          </cell>
          <cell r="BG632" t="str">
            <v>ЦКсОК 5/16</v>
          </cell>
          <cell r="BH632">
            <v>2110</v>
          </cell>
          <cell r="BI632" t="str">
            <v>закрыт</v>
          </cell>
        </row>
        <row r="633">
          <cell r="J633">
            <v>6905</v>
          </cell>
          <cell r="K633" t="str">
            <v>К-6909</v>
          </cell>
          <cell r="L633">
            <v>44544</v>
          </cell>
          <cell r="M633" t="str">
            <v>Гор.</v>
          </cell>
          <cell r="N633" t="str">
            <v>P4+5+6_Block1_yug</v>
          </cell>
          <cell r="O633" t="str">
            <v>Действующий</v>
          </cell>
          <cell r="P633" t="str">
            <v>В работе</v>
          </cell>
          <cell r="Q633">
            <v>-4</v>
          </cell>
          <cell r="U633">
            <v>203</v>
          </cell>
          <cell r="V633">
            <v>218.2</v>
          </cell>
          <cell r="W633">
            <v>0.98</v>
          </cell>
          <cell r="X633">
            <v>1.66</v>
          </cell>
          <cell r="Y633">
            <v>0.99001706422331004</v>
          </cell>
          <cell r="Z633">
            <v>1.454</v>
          </cell>
          <cell r="AA633">
            <v>0.83599999999999997</v>
          </cell>
          <cell r="AB633">
            <v>0.72</v>
          </cell>
          <cell r="AC633">
            <v>34.299999999999997</v>
          </cell>
          <cell r="AD633">
            <v>1.17</v>
          </cell>
          <cell r="AE633">
            <v>177.8</v>
          </cell>
          <cell r="AF633">
            <v>9.1999999999999993</v>
          </cell>
          <cell r="AG633">
            <v>2213</v>
          </cell>
          <cell r="AH633">
            <v>3114</v>
          </cell>
          <cell r="AI633">
            <v>3114</v>
          </cell>
          <cell r="AJ633">
            <v>44508</v>
          </cell>
          <cell r="AK633" t="str">
            <v>По спущенной компановке</v>
          </cell>
          <cell r="AM633" t="str">
            <v>Закрытый</v>
          </cell>
          <cell r="AN633" t="str">
            <v>2298.36-2299.21; 2497.37-2498.22; 2649.96-2650.81; 2803.41-2804.26; 2900.15-2901.00; 3100.5-3101.66</v>
          </cell>
          <cell r="AO633">
            <v>24.74596460169073</v>
          </cell>
          <cell r="AP633">
            <v>2298.36</v>
          </cell>
          <cell r="AQ633">
            <v>482.29847780126875</v>
          </cell>
          <cell r="AR633" t="str">
            <v>2180.69-3114</v>
          </cell>
          <cell r="AS633">
            <v>114</v>
          </cell>
          <cell r="AT633">
            <v>7.37</v>
          </cell>
          <cell r="AU633" t="str">
            <v>Фон.</v>
          </cell>
          <cell r="AV633">
            <v>429.99998584000002</v>
          </cell>
          <cell r="AW633" t="str">
            <v>ГП</v>
          </cell>
          <cell r="AX633">
            <v>874.99998632799998</v>
          </cell>
          <cell r="AY633" t="str">
            <v>ГП</v>
          </cell>
          <cell r="AZ633">
            <v>1249.9999804690001</v>
          </cell>
          <cell r="BA633" t="str">
            <v>ГП</v>
          </cell>
          <cell r="BB633">
            <v>1560.000035156</v>
          </cell>
          <cell r="BC633" t="str">
            <v>ГК89 1/8</v>
          </cell>
          <cell r="BD633">
            <v>1860.000030469</v>
          </cell>
          <cell r="BE633" t="str">
            <v>ГК92 1/8</v>
          </cell>
          <cell r="BF633">
            <v>2050</v>
          </cell>
          <cell r="BG633" t="str">
            <v>ЦКсОК 5/16</v>
          </cell>
          <cell r="BH633">
            <v>2060</v>
          </cell>
          <cell r="BI633" t="str">
            <v>закрыт</v>
          </cell>
        </row>
        <row r="634">
          <cell r="J634">
            <v>6906</v>
          </cell>
          <cell r="K634" t="str">
            <v>К-6909</v>
          </cell>
          <cell r="L634">
            <v>44578</v>
          </cell>
          <cell r="M634" t="str">
            <v>Гор.</v>
          </cell>
          <cell r="N634" t="str">
            <v>P4+5+6_Block1_yug</v>
          </cell>
          <cell r="O634" t="str">
            <v>Действующий</v>
          </cell>
          <cell r="P634" t="str">
            <v>Остановлена</v>
          </cell>
          <cell r="Q634">
            <v>-4</v>
          </cell>
          <cell r="U634">
            <v>203</v>
          </cell>
          <cell r="V634">
            <v>218.2</v>
          </cell>
          <cell r="W634">
            <v>0.98</v>
          </cell>
          <cell r="X634">
            <v>1.66</v>
          </cell>
          <cell r="Y634">
            <v>0.99852933594239113</v>
          </cell>
          <cell r="Z634">
            <v>1.454</v>
          </cell>
          <cell r="AA634">
            <v>0.83599999999999997</v>
          </cell>
          <cell r="AB634">
            <v>0.72</v>
          </cell>
          <cell r="AC634">
            <v>34.299999999999997</v>
          </cell>
          <cell r="AD634">
            <v>1.17</v>
          </cell>
          <cell r="AE634">
            <v>177.8</v>
          </cell>
          <cell r="AF634">
            <v>9.1999999999999993</v>
          </cell>
          <cell r="AG634">
            <v>2060</v>
          </cell>
          <cell r="AH634">
            <v>3470</v>
          </cell>
          <cell r="AI634">
            <v>3470</v>
          </cell>
          <cell r="AJ634">
            <v>44539</v>
          </cell>
          <cell r="AK634" t="str">
            <v>По спущенной компановке</v>
          </cell>
          <cell r="AM634" t="str">
            <v>Закрытый</v>
          </cell>
          <cell r="AN634" t="str">
            <v>2209.29-2210.19; 2339.52-2340.37; 2646.69-2647.54; 2800.78-2801.63; 3200.57-3201.73</v>
          </cell>
          <cell r="AO634">
            <v>9.68</v>
          </cell>
          <cell r="AP634">
            <v>2209.29</v>
          </cell>
          <cell r="AQ634">
            <v>365.59</v>
          </cell>
          <cell r="AR634" t="str">
            <v>2028.8-3213</v>
          </cell>
          <cell r="AS634">
            <v>114</v>
          </cell>
          <cell r="AT634">
            <v>7.37</v>
          </cell>
          <cell r="AU634" t="str">
            <v>Фон.</v>
          </cell>
          <cell r="AV634">
            <v>397</v>
          </cell>
          <cell r="AW634" t="str">
            <v>ГП</v>
          </cell>
          <cell r="AX634">
            <v>830</v>
          </cell>
          <cell r="AY634" t="str">
            <v>ГП</v>
          </cell>
          <cell r="AZ634">
            <v>1173</v>
          </cell>
          <cell r="BA634" t="str">
            <v>ГК77 1/8</v>
          </cell>
          <cell r="BB634">
            <v>1431</v>
          </cell>
          <cell r="BC634" t="str">
            <v>ГК76 1/8</v>
          </cell>
          <cell r="BD634">
            <v>1650</v>
          </cell>
          <cell r="BE634" t="str">
            <v>ГК75 1/8</v>
          </cell>
          <cell r="BF634">
            <v>1840</v>
          </cell>
          <cell r="BG634" t="str">
            <v>ЦКсОК 5/16</v>
          </cell>
          <cell r="BH634">
            <v>1850</v>
          </cell>
          <cell r="BI634" t="str">
            <v>закрыт</v>
          </cell>
        </row>
        <row r="635">
          <cell r="J635">
            <v>6907</v>
          </cell>
          <cell r="K635" t="str">
            <v>К-6909</v>
          </cell>
          <cell r="L635">
            <v>44655</v>
          </cell>
          <cell r="M635" t="str">
            <v>Гор.</v>
          </cell>
          <cell r="N635" t="str">
            <v>P4+5+6_Block1_yug</v>
          </cell>
          <cell r="O635" t="str">
            <v>Действующий</v>
          </cell>
          <cell r="P635" t="str">
            <v>В работе</v>
          </cell>
          <cell r="Q635">
            <v>-4</v>
          </cell>
          <cell r="R635">
            <v>44584</v>
          </cell>
          <cell r="S635" t="str">
            <v>ООО "Ветеран"</v>
          </cell>
          <cell r="T635" t="str">
            <v>Кислотный ГРП</v>
          </cell>
          <cell r="U635">
            <v>203</v>
          </cell>
          <cell r="V635">
            <v>218.2</v>
          </cell>
          <cell r="W635">
            <v>0.98</v>
          </cell>
          <cell r="X635">
            <v>1.66</v>
          </cell>
          <cell r="Y635">
            <v>1.0012038078732479</v>
          </cell>
          <cell r="Z635">
            <v>1.454</v>
          </cell>
          <cell r="AA635">
            <v>0.83599999999999997</v>
          </cell>
          <cell r="AB635">
            <v>0.72</v>
          </cell>
          <cell r="AC635">
            <v>34.299999999999997</v>
          </cell>
          <cell r="AD635">
            <v>1.17</v>
          </cell>
          <cell r="AE635">
            <v>177.8</v>
          </cell>
          <cell r="AF635">
            <v>9.1999999999999993</v>
          </cell>
          <cell r="AG635">
            <v>2056</v>
          </cell>
          <cell r="AH635">
            <v>3140</v>
          </cell>
          <cell r="AI635">
            <v>3140</v>
          </cell>
          <cell r="AJ635">
            <v>44568</v>
          </cell>
          <cell r="AK635" t="str">
            <v>По спущенной компановке</v>
          </cell>
          <cell r="AM635" t="str">
            <v>закрытый</v>
          </cell>
          <cell r="AN635" t="str">
            <v>2723,14-2723,99; 2947,7-2948,55; 3126,25-3127,35</v>
          </cell>
          <cell r="AO635">
            <v>7.78</v>
          </cell>
          <cell r="AP635">
            <v>2723.14</v>
          </cell>
          <cell r="AQ635">
            <v>895.93</v>
          </cell>
          <cell r="AR635" t="str">
            <v>2020,04-3140</v>
          </cell>
          <cell r="AS635">
            <v>114</v>
          </cell>
          <cell r="AT635">
            <v>7.37</v>
          </cell>
          <cell r="AU635" t="str">
            <v>Фон.</v>
          </cell>
          <cell r="AV635">
            <v>408</v>
          </cell>
          <cell r="AW635" t="str">
            <v>ГП</v>
          </cell>
          <cell r="AX635">
            <v>892</v>
          </cell>
          <cell r="AY635" t="str">
            <v>ГП</v>
          </cell>
          <cell r="AZ635">
            <v>1265</v>
          </cell>
          <cell r="BA635" t="str">
            <v>ГК73 1/8</v>
          </cell>
          <cell r="BB635">
            <v>1530</v>
          </cell>
          <cell r="BC635" t="str">
            <v>ГК72 1/8</v>
          </cell>
          <cell r="BD635">
            <v>1747</v>
          </cell>
          <cell r="BE635" t="str">
            <v>ГК71 1/8</v>
          </cell>
          <cell r="BF635" t="str">
            <v>-</v>
          </cell>
          <cell r="BG635" t="str">
            <v>-</v>
          </cell>
          <cell r="BH635">
            <v>1890</v>
          </cell>
          <cell r="BI635" t="str">
            <v>закрыт</v>
          </cell>
        </row>
        <row r="636">
          <cell r="J636">
            <v>6908</v>
          </cell>
          <cell r="K636" t="str">
            <v>К-6909</v>
          </cell>
          <cell r="L636">
            <v>44734</v>
          </cell>
          <cell r="M636" t="str">
            <v>Гор.</v>
          </cell>
          <cell r="N636" t="str">
            <v>P4+5+6_Block1_yug</v>
          </cell>
          <cell r="O636" t="str">
            <v>Действующий</v>
          </cell>
          <cell r="P636" t="str">
            <v>В работе</v>
          </cell>
          <cell r="Q636">
            <v>-4</v>
          </cell>
          <cell r="U636">
            <v>203</v>
          </cell>
          <cell r="V636">
            <v>218.2</v>
          </cell>
          <cell r="W636">
            <v>0.98</v>
          </cell>
          <cell r="X636">
            <v>1.66</v>
          </cell>
          <cell r="Y636">
            <v>0.98</v>
          </cell>
          <cell r="Z636">
            <v>1.454</v>
          </cell>
          <cell r="AA636">
            <v>0.83599999999999997</v>
          </cell>
          <cell r="AB636">
            <v>0.72</v>
          </cell>
          <cell r="AC636">
            <v>34.299999999999997</v>
          </cell>
          <cell r="AD636">
            <v>1.17</v>
          </cell>
          <cell r="AE636">
            <v>177.8</v>
          </cell>
          <cell r="AF636">
            <v>9.1999999999999993</v>
          </cell>
          <cell r="AG636">
            <v>2011</v>
          </cell>
          <cell r="AH636">
            <v>3054</v>
          </cell>
          <cell r="AI636">
            <v>3054</v>
          </cell>
          <cell r="AJ636">
            <v>44592</v>
          </cell>
          <cell r="AK636" t="str">
            <v>По спущенной компановке</v>
          </cell>
          <cell r="AM636" t="str">
            <v>Закрытый</v>
          </cell>
          <cell r="AN636" t="str">
            <v>2058-2059; 2106-2107; 2290-2291; 2473-2474; 2661-2662; 2862-2863; 3040-3041</v>
          </cell>
          <cell r="AO636">
            <v>35</v>
          </cell>
          <cell r="AP636">
            <v>2058</v>
          </cell>
          <cell r="AQ636">
            <v>230</v>
          </cell>
          <cell r="AR636" t="str">
            <v>1982,5-3054</v>
          </cell>
          <cell r="AS636">
            <v>114</v>
          </cell>
          <cell r="AT636">
            <v>7.37</v>
          </cell>
          <cell r="AU636" t="str">
            <v>Фон.</v>
          </cell>
          <cell r="AV636">
            <v>471</v>
          </cell>
          <cell r="AW636" t="str">
            <v>ГП</v>
          </cell>
          <cell r="AX636">
            <v>853</v>
          </cell>
          <cell r="AY636" t="str">
            <v>ГП</v>
          </cell>
          <cell r="AZ636">
            <v>1155</v>
          </cell>
          <cell r="BA636" t="str">
            <v>ГК87 1/8</v>
          </cell>
          <cell r="BB636">
            <v>1401</v>
          </cell>
          <cell r="BC636" t="str">
            <v>ГК86 5/32</v>
          </cell>
          <cell r="BD636">
            <v>1624</v>
          </cell>
          <cell r="BE636" t="str">
            <v>ГК79 5/32</v>
          </cell>
          <cell r="BF636">
            <v>1820</v>
          </cell>
          <cell r="BG636" t="str">
            <v>ЦКсОК 5/16</v>
          </cell>
          <cell r="BH636">
            <v>1830</v>
          </cell>
          <cell r="BI636" t="str">
            <v>закрыт</v>
          </cell>
        </row>
        <row r="637">
          <cell r="J637">
            <v>6910</v>
          </cell>
          <cell r="K637" t="str">
            <v>К-6909</v>
          </cell>
          <cell r="L637">
            <v>44738</v>
          </cell>
          <cell r="M637" t="str">
            <v>Гор.</v>
          </cell>
          <cell r="N637" t="str">
            <v>P4+5+6_Block1_yug</v>
          </cell>
          <cell r="O637" t="str">
            <v>Действующий</v>
          </cell>
          <cell r="P637" t="str">
            <v>В работе</v>
          </cell>
          <cell r="Q637">
            <v>-4</v>
          </cell>
          <cell r="U637">
            <v>203</v>
          </cell>
          <cell r="V637">
            <v>218.2</v>
          </cell>
          <cell r="W637">
            <v>0.98</v>
          </cell>
          <cell r="X637">
            <v>1.66</v>
          </cell>
          <cell r="Y637">
            <v>0.98</v>
          </cell>
          <cell r="Z637">
            <v>1.454</v>
          </cell>
          <cell r="AA637">
            <v>0.83599999999999997</v>
          </cell>
          <cell r="AB637">
            <v>0.72</v>
          </cell>
          <cell r="AC637">
            <v>34.299999999999997</v>
          </cell>
          <cell r="AD637">
            <v>1.17</v>
          </cell>
          <cell r="AE637">
            <v>177.8</v>
          </cell>
          <cell r="AF637">
            <v>9.1999999999999993</v>
          </cell>
          <cell r="AG637">
            <v>2172</v>
          </cell>
          <cell r="AH637">
            <v>3140</v>
          </cell>
          <cell r="AI637">
            <v>3140</v>
          </cell>
          <cell r="AJ637">
            <v>44615</v>
          </cell>
          <cell r="AK637" t="str">
            <v>По спущенной компановке</v>
          </cell>
          <cell r="AM637" t="str">
            <v>Закрытый</v>
          </cell>
          <cell r="AN637" t="str">
            <v>2278-2279; 2598-2599; 2779-2780; 2947-2948; 3102-3104</v>
          </cell>
          <cell r="AO637">
            <v>25.8</v>
          </cell>
          <cell r="AP637">
            <v>2278</v>
          </cell>
          <cell r="AQ637">
            <v>458.31</v>
          </cell>
          <cell r="AR637" t="str">
            <v>2145,6-3140</v>
          </cell>
          <cell r="AS637">
            <v>114</v>
          </cell>
          <cell r="AT637">
            <v>7.37</v>
          </cell>
          <cell r="AU637" t="str">
            <v>Фон.</v>
          </cell>
          <cell r="AV637">
            <v>524.99999179700001</v>
          </cell>
          <cell r="AW637" t="str">
            <v>ГП</v>
          </cell>
          <cell r="AX637">
            <v>1011.000019922</v>
          </cell>
          <cell r="AY637" t="str">
            <v>ГП</v>
          </cell>
          <cell r="AZ637">
            <v>1357.999937109</v>
          </cell>
          <cell r="BA637" t="str">
            <v>ГК79 1/8</v>
          </cell>
          <cell r="BB637">
            <v>1603.0000523440001</v>
          </cell>
          <cell r="BC637" t="str">
            <v>ГК78 1/8</v>
          </cell>
          <cell r="BD637">
            <v>1822.0000429690001</v>
          </cell>
          <cell r="BE637" t="str">
            <v>ГК77 1/8</v>
          </cell>
          <cell r="BF637" t="str">
            <v>-</v>
          </cell>
          <cell r="BG637" t="str">
            <v>-</v>
          </cell>
          <cell r="BH637">
            <v>1950</v>
          </cell>
          <cell r="BI637" t="str">
            <v>закрыт</v>
          </cell>
        </row>
        <row r="638">
          <cell r="J638">
            <v>20020</v>
          </cell>
          <cell r="K638" t="str">
            <v>Без куста</v>
          </cell>
          <cell r="L638">
            <v>44052</v>
          </cell>
          <cell r="M638" t="str">
            <v>Гор.</v>
          </cell>
          <cell r="N638" t="str">
            <v>P5i</v>
          </cell>
          <cell r="O638" t="str">
            <v>Действующий</v>
          </cell>
          <cell r="P638" t="str">
            <v>Остановлена</v>
          </cell>
          <cell r="Q638">
            <v>18</v>
          </cell>
          <cell r="R638" t="str">
            <v>Периодический</v>
          </cell>
          <cell r="S638">
            <v>24</v>
          </cell>
          <cell r="T638">
            <v>720</v>
          </cell>
          <cell r="U638">
            <v>78</v>
          </cell>
          <cell r="V638">
            <v>78</v>
          </cell>
          <cell r="W638">
            <v>15</v>
          </cell>
          <cell r="X638">
            <v>155</v>
          </cell>
          <cell r="Y638">
            <v>88</v>
          </cell>
          <cell r="Z638">
            <v>43</v>
          </cell>
          <cell r="AA638">
            <v>0.58370188799999989</v>
          </cell>
          <cell r="AB638">
            <v>0.7</v>
          </cell>
          <cell r="AC638">
            <v>0.25600000000000001</v>
          </cell>
          <cell r="AD638">
            <v>0.25600000000000001</v>
          </cell>
          <cell r="AE638">
            <v>0</v>
          </cell>
          <cell r="AF638">
            <v>0.25600000000000001</v>
          </cell>
          <cell r="AG638">
            <v>438.58004447640241</v>
          </cell>
          <cell r="AH638">
            <v>0</v>
          </cell>
          <cell r="AI638">
            <v>6.2499999999999995E-3</v>
          </cell>
          <cell r="AM638" t="str">
            <v>открытый</v>
          </cell>
          <cell r="AN638" t="str">
            <v xml:space="preserve"> 2297-2681; 2335-3318</v>
          </cell>
          <cell r="AO638">
            <v>88</v>
          </cell>
          <cell r="AP638">
            <v>2297</v>
          </cell>
          <cell r="AQ638">
            <v>399</v>
          </cell>
          <cell r="AU638" t="str">
            <v>Газлифт</v>
          </cell>
          <cell r="AV638">
            <v>621.00001113300004</v>
          </cell>
          <cell r="AW638" t="str">
            <v>ГП</v>
          </cell>
          <cell r="AX638">
            <v>1205.0000109380001</v>
          </cell>
          <cell r="AY638" t="str">
            <v>ГП</v>
          </cell>
          <cell r="AZ638">
            <v>1686.9999855470001</v>
          </cell>
          <cell r="BA638" t="str">
            <v>ГП</v>
          </cell>
          <cell r="BB638">
            <v>1990.000058203</v>
          </cell>
          <cell r="BC638" t="str">
            <v>ЦКсОК 5/16</v>
          </cell>
          <cell r="BD638" t="str">
            <v>-</v>
          </cell>
          <cell r="BE638" t="str">
            <v>-</v>
          </cell>
          <cell r="BF638" t="str">
            <v>-</v>
          </cell>
          <cell r="BG638" t="str">
            <v>-</v>
          </cell>
          <cell r="BH638">
            <v>2000</v>
          </cell>
          <cell r="BI638" t="str">
            <v>закрыт</v>
          </cell>
        </row>
      </sheetData>
      <sheetData sheetId="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Р нефть"/>
      <sheetName val="Лист1 (2)"/>
      <sheetName val="Лист1"/>
      <sheetName val="Протокол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microsoft.com/office/2006/relationships/xlExternalLinkPath/xlPathMissing" Target="&#1056;&#1077;&#1078;&#1080;&#1084;%20&#1050;&#1072;&#1084;&#1077;&#1085;&#1085;&#1086;&#1077;%20&#1085;&#1072;%20&#1089;&#1077;&#1085;&#1090;&#1103;&#1073;&#1088;&#1100;%20_%202011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U650"/>
  <sheetViews>
    <sheetView view="pageBreakPreview" topLeftCell="A19" zoomScaleNormal="85" zoomScaleSheetLayoutView="85" workbookViewId="0">
      <selection activeCell="I21" sqref="I21"/>
    </sheetView>
  </sheetViews>
  <sheetFormatPr defaultColWidth="17.140625" defaultRowHeight="21" customHeight="1" outlineLevelCol="1" x14ac:dyDescent="0.25"/>
  <cols>
    <col min="1" max="1" width="6.85546875" style="999" customWidth="1"/>
    <col min="2" max="2" width="7.7109375" style="878" customWidth="1"/>
    <col min="3" max="3" width="11.7109375" style="878" customWidth="1"/>
    <col min="4" max="4" width="12.42578125" style="878" customWidth="1"/>
    <col min="5" max="5" width="16.28515625" style="878" customWidth="1"/>
    <col min="6" max="6" width="10.42578125" style="878" customWidth="1"/>
    <col min="7" max="10" width="7.7109375" style="878" customWidth="1"/>
    <col min="11" max="11" width="15.42578125" style="878" customWidth="1"/>
    <col min="12" max="12" width="13.85546875" style="878" customWidth="1"/>
    <col min="13" max="13" width="7.7109375" style="878" customWidth="1"/>
    <col min="14" max="14" width="16.140625" style="878" customWidth="1"/>
    <col min="15" max="15" width="15" style="878" customWidth="1"/>
    <col min="16" max="16" width="9.7109375" style="878" customWidth="1" outlineLevel="1"/>
    <col min="17" max="17" width="7.7109375" style="878" customWidth="1" outlineLevel="1"/>
    <col min="18" max="18" width="10.42578125" style="878" customWidth="1" outlineLevel="1"/>
    <col min="19" max="20" width="7.7109375" style="878" customWidth="1" outlineLevel="1"/>
    <col min="21" max="21" width="7.7109375" style="878" customWidth="1" outlineLevel="1" collapsed="1"/>
    <col min="22" max="27" width="7.7109375" style="878" customWidth="1" outlineLevel="1"/>
    <col min="28" max="28" width="14.42578125" style="878" customWidth="1" outlineLevel="1"/>
    <col min="29" max="29" width="7.7109375" style="878" customWidth="1" outlineLevel="1"/>
    <col min="30" max="30" width="33" style="878" customWidth="1" outlineLevel="1"/>
    <col min="31" max="31" width="7.7109375" style="878" customWidth="1" outlineLevel="1" collapsed="1"/>
    <col min="32" max="35" width="7.7109375" style="878" customWidth="1" outlineLevel="1"/>
    <col min="36" max="36" width="10.140625" style="878" customWidth="1" outlineLevel="1"/>
    <col min="37" max="37" width="7.7109375" style="878" customWidth="1" outlineLevel="1"/>
    <col min="38" max="38" width="8" style="878" customWidth="1" outlineLevel="1"/>
    <col min="39" max="39" width="11.85546875" style="878" customWidth="1"/>
    <col min="40" max="40" width="39.5703125" style="878" customWidth="1"/>
    <col min="41" max="46" width="7.7109375" style="878" customWidth="1" outlineLevel="1"/>
    <col min="47" max="47" width="12.42578125" style="878" customWidth="1"/>
    <col min="48" max="62" width="7.7109375" style="878" customWidth="1" outlineLevel="1"/>
    <col min="63" max="63" width="7.7109375" style="878" customWidth="1"/>
    <col min="64" max="64" width="7.7109375" style="878" customWidth="1" outlineLevel="1"/>
    <col min="65" max="66" width="7.7109375" style="878" customWidth="1"/>
    <col min="67" max="68" width="7.7109375" style="878" customWidth="1" outlineLevel="1"/>
    <col min="69" max="69" width="8" style="878" customWidth="1"/>
    <col min="70" max="73" width="8" style="878" customWidth="1" outlineLevel="1"/>
    <col min="74" max="74" width="8" style="878" customWidth="1"/>
    <col min="75" max="75" width="8" style="878" customWidth="1" outlineLevel="1"/>
    <col min="76" max="78" width="11.5703125" style="878" customWidth="1"/>
    <col min="79" max="79" width="8" style="878" customWidth="1"/>
    <col min="80" max="80" width="7" style="878" customWidth="1"/>
    <col min="81" max="81" width="8" style="878" customWidth="1"/>
    <col min="82" max="82" width="9.7109375" style="878" customWidth="1" outlineLevel="1"/>
    <col min="83" max="84" width="8" style="878" customWidth="1"/>
    <col min="85" max="86" width="13.140625" style="878" customWidth="1"/>
    <col min="87" max="89" width="8" style="878" customWidth="1" outlineLevel="1"/>
    <col min="90" max="90" width="8" style="878" customWidth="1"/>
    <col min="91" max="91" width="7.7109375" style="878" customWidth="1"/>
    <col min="92" max="92" width="7.7109375" style="1114" customWidth="1"/>
    <col min="93" max="93" width="8.42578125" style="1114" customWidth="1"/>
    <col min="94" max="94" width="9.42578125" style="878" customWidth="1"/>
    <col min="95" max="97" width="8.42578125" style="878" customWidth="1"/>
    <col min="98" max="98" width="8.42578125" style="878" customWidth="1" outlineLevel="1"/>
    <col min="99" max="101" width="8.42578125" style="878" customWidth="1"/>
    <col min="102" max="102" width="9" style="878" customWidth="1"/>
    <col min="103" max="103" width="7.7109375" style="878" customWidth="1" outlineLevel="1"/>
    <col min="104" max="104" width="26.140625" style="878" customWidth="1"/>
    <col min="105" max="105" width="12.42578125" style="878" customWidth="1"/>
    <col min="106" max="110" width="8.42578125" style="878" customWidth="1"/>
    <col min="111" max="112" width="7.7109375" style="878" customWidth="1" outlineLevel="1"/>
    <col min="113" max="113" width="26.140625" style="878" customWidth="1"/>
    <col min="114" max="134" width="7.7109375" style="878" customWidth="1" outlineLevel="1"/>
    <col min="135" max="141" width="7.7109375" style="878" customWidth="1"/>
    <col min="142" max="142" width="7.7109375" style="1114" customWidth="1"/>
    <col min="143" max="149" width="7.7109375" style="878" customWidth="1"/>
    <col min="150" max="150" width="6.5703125" style="878" customWidth="1"/>
    <col min="151" max="162" width="7.7109375" style="878" customWidth="1"/>
    <col min="163" max="163" width="5.7109375" style="878" customWidth="1"/>
    <col min="164" max="164" width="6.28515625" style="878" customWidth="1"/>
    <col min="165" max="165" width="7.7109375" style="878" customWidth="1"/>
    <col min="166" max="166" width="7.140625" style="878" customWidth="1"/>
    <col min="167" max="168" width="6" style="878" customWidth="1"/>
    <col min="169" max="169" width="5.7109375" style="878" customWidth="1"/>
    <col min="170" max="170" width="4.7109375" style="878" customWidth="1"/>
    <col min="171" max="171" width="5" style="878" customWidth="1"/>
    <col min="172" max="172" width="6" style="878" customWidth="1"/>
    <col min="173" max="173" width="7.7109375" style="878" customWidth="1"/>
    <col min="174" max="174" width="6.140625" style="878" customWidth="1"/>
    <col min="175" max="175" width="4.85546875" style="878" customWidth="1"/>
    <col min="176" max="176" width="6.42578125" style="878" customWidth="1"/>
    <col min="177" max="181" width="7.7109375" style="878" customWidth="1"/>
    <col min="182" max="182" width="13" style="878" customWidth="1"/>
    <col min="183" max="183" width="37.42578125" style="878" customWidth="1"/>
    <col min="184" max="184" width="20.7109375" style="878" customWidth="1" collapsed="1"/>
    <col min="185" max="185" width="48.42578125" style="878" customWidth="1"/>
    <col min="186" max="190" width="17.140625" style="878"/>
    <col min="191" max="204" width="17.140625" style="878" customWidth="1"/>
    <col min="205" max="221" width="17.140625" style="878" customWidth="1" outlineLevel="1"/>
    <col min="222" max="222" width="17.140625" style="878" customWidth="1"/>
    <col min="223" max="246" width="17.140625" style="878" customWidth="1" outlineLevel="1"/>
    <col min="247" max="247" width="17.140625" style="878" customWidth="1" outlineLevel="1" collapsed="1"/>
    <col min="248" max="270" width="17.140625" style="878" customWidth="1" outlineLevel="1"/>
    <col min="271" max="271" width="17.140625" style="878" customWidth="1" outlineLevel="1" collapsed="1"/>
    <col min="272" max="293" width="17.140625" style="878" customWidth="1" outlineLevel="1"/>
    <col min="294" max="294" width="17.140625" style="878" customWidth="1"/>
    <col min="295" max="317" width="17.140625" style="878" customWidth="1" outlineLevel="1"/>
    <col min="318" max="318" width="17.140625" style="878" customWidth="1"/>
    <col min="319" max="340" width="17.140625" style="878" customWidth="1" outlineLevel="1"/>
    <col min="341" max="350" width="17.140625" style="878"/>
    <col min="351" max="352" width="17.140625" style="878" customWidth="1"/>
    <col min="353" max="353" width="17.140625" style="878"/>
    <col min="354" max="377" width="17.140625" style="878" customWidth="1"/>
    <col min="378" max="1188" width="17.140625" style="999" customWidth="1"/>
    <col min="1189" max="16384" width="17.140625" style="999"/>
  </cols>
  <sheetData>
    <row r="1" spans="2:377" s="870" customFormat="1" ht="18" customHeight="1" x14ac:dyDescent="0.25">
      <c r="J1" s="871"/>
      <c r="CN1" s="872"/>
      <c r="CO1" s="873"/>
      <c r="CP1" s="874"/>
      <c r="CQ1" s="875"/>
      <c r="DB1" s="876"/>
      <c r="DC1" s="874"/>
      <c r="EL1" s="872"/>
      <c r="LY1" s="877"/>
      <c r="MG1" s="878"/>
      <c r="MH1" s="878"/>
      <c r="MI1" s="878"/>
      <c r="MJ1" s="878"/>
      <c r="MK1" s="878"/>
      <c r="ML1" s="878"/>
      <c r="MM1" s="878"/>
      <c r="MN1" s="878"/>
      <c r="MO1" s="878"/>
      <c r="MP1" s="878"/>
      <c r="MQ1" s="878"/>
      <c r="MR1" s="878"/>
      <c r="MS1" s="878"/>
      <c r="MT1" s="878"/>
      <c r="MU1" s="878"/>
      <c r="MV1" s="878"/>
      <c r="MW1" s="878"/>
      <c r="MX1" s="878"/>
      <c r="MY1" s="878"/>
      <c r="MZ1" s="878"/>
      <c r="NA1" s="878"/>
      <c r="NB1" s="878"/>
      <c r="NC1" s="878"/>
      <c r="ND1" s="878"/>
      <c r="NE1" s="878"/>
      <c r="NF1" s="878"/>
      <c r="NG1" s="878"/>
      <c r="NH1" s="878"/>
      <c r="NI1" s="878"/>
      <c r="NJ1" s="878"/>
      <c r="NK1" s="878"/>
      <c r="NL1" s="878"/>
      <c r="NM1" s="878"/>
    </row>
    <row r="2" spans="2:377" s="879" customFormat="1" ht="18" customHeight="1" x14ac:dyDescent="0.25">
      <c r="D2" s="880" t="s">
        <v>0</v>
      </c>
      <c r="E2" s="880"/>
      <c r="F2" s="880"/>
      <c r="G2" s="881"/>
      <c r="H2" s="881"/>
      <c r="I2" s="881"/>
      <c r="J2" s="882"/>
      <c r="K2" s="883"/>
      <c r="CN2" s="884"/>
      <c r="CO2" s="885"/>
      <c r="CP2" s="886"/>
      <c r="CQ2" s="887"/>
      <c r="DA2" s="881"/>
      <c r="DB2" s="881"/>
      <c r="DC2" s="888"/>
      <c r="DD2" s="881"/>
      <c r="DF2" s="889" t="s">
        <v>1</v>
      </c>
      <c r="DG2" s="890"/>
      <c r="EL2" s="884"/>
      <c r="LY2" s="891"/>
      <c r="MG2" s="878"/>
      <c r="MH2" s="878"/>
      <c r="MI2" s="878"/>
      <c r="MJ2" s="878"/>
      <c r="MK2" s="878"/>
      <c r="ML2" s="878"/>
      <c r="MM2" s="878"/>
      <c r="MN2" s="878"/>
      <c r="MO2" s="878"/>
      <c r="MP2" s="878"/>
      <c r="MQ2" s="878"/>
      <c r="MR2" s="878"/>
      <c r="MS2" s="878"/>
      <c r="MT2" s="878"/>
      <c r="MU2" s="878"/>
      <c r="MV2" s="878"/>
      <c r="MW2" s="878"/>
      <c r="MX2" s="878"/>
      <c r="MY2" s="878"/>
      <c r="MZ2" s="878"/>
      <c r="NA2" s="878"/>
      <c r="NB2" s="878"/>
      <c r="NC2" s="878"/>
      <c r="ND2" s="878"/>
      <c r="NE2" s="878"/>
      <c r="NF2" s="878"/>
      <c r="NG2" s="878"/>
      <c r="NH2" s="878"/>
      <c r="NI2" s="878"/>
      <c r="NJ2" s="878"/>
      <c r="NK2" s="878"/>
      <c r="NL2" s="878"/>
      <c r="NM2" s="878"/>
    </row>
    <row r="3" spans="2:377" s="879" customFormat="1" ht="18" customHeight="1" x14ac:dyDescent="0.25">
      <c r="D3" s="892" t="s">
        <v>2</v>
      </c>
      <c r="E3" s="880"/>
      <c r="F3" s="880"/>
      <c r="G3" s="881"/>
      <c r="H3" s="881"/>
      <c r="I3" s="881"/>
      <c r="J3" s="882"/>
      <c r="K3" s="883"/>
      <c r="CN3" s="884"/>
      <c r="CO3" s="885"/>
      <c r="CP3" s="886"/>
      <c r="CQ3" s="887"/>
      <c r="CZ3" s="893"/>
      <c r="DA3" s="893"/>
      <c r="DB3" s="893"/>
      <c r="DC3" s="888"/>
      <c r="DD3" s="893"/>
      <c r="DF3" s="894" t="s">
        <v>3</v>
      </c>
      <c r="DG3" s="895"/>
      <c r="EL3" s="884"/>
      <c r="LY3" s="891"/>
      <c r="MG3" s="878"/>
      <c r="MH3" s="878"/>
      <c r="MI3" s="878"/>
      <c r="MJ3" s="878"/>
      <c r="MK3" s="878"/>
      <c r="ML3" s="878"/>
      <c r="MM3" s="878"/>
      <c r="MN3" s="878"/>
      <c r="MO3" s="878"/>
      <c r="MP3" s="878"/>
      <c r="MQ3" s="878"/>
      <c r="MR3" s="878"/>
      <c r="MS3" s="878"/>
      <c r="MT3" s="878"/>
      <c r="MU3" s="878"/>
      <c r="MV3" s="878"/>
      <c r="MW3" s="878"/>
      <c r="MX3" s="878"/>
      <c r="MY3" s="878"/>
      <c r="MZ3" s="878"/>
      <c r="NA3" s="878"/>
      <c r="NB3" s="878"/>
      <c r="NC3" s="878"/>
      <c r="ND3" s="878"/>
      <c r="NE3" s="878"/>
      <c r="NF3" s="878"/>
      <c r="NG3" s="878"/>
      <c r="NH3" s="878"/>
      <c r="NI3" s="878"/>
      <c r="NJ3" s="878"/>
      <c r="NK3" s="878"/>
      <c r="NL3" s="878"/>
      <c r="NM3" s="878"/>
    </row>
    <row r="4" spans="2:377" s="879" customFormat="1" ht="18" customHeight="1" x14ac:dyDescent="0.25">
      <c r="D4" s="892" t="s">
        <v>4</v>
      </c>
      <c r="E4" s="880"/>
      <c r="F4" s="880"/>
      <c r="G4" s="893"/>
      <c r="H4" s="881"/>
      <c r="I4" s="881"/>
      <c r="J4" s="882"/>
      <c r="K4" s="883"/>
      <c r="CN4" s="884"/>
      <c r="CO4" s="885"/>
      <c r="CP4" s="886"/>
      <c r="CQ4" s="887"/>
      <c r="CZ4" s="893"/>
      <c r="DA4" s="893"/>
      <c r="DB4" s="893"/>
      <c r="DC4" s="888"/>
      <c r="DD4" s="893"/>
      <c r="DF4" s="894" t="s">
        <v>4</v>
      </c>
      <c r="DG4" s="895"/>
      <c r="EL4" s="884"/>
      <c r="LY4" s="891"/>
      <c r="MG4" s="878"/>
      <c r="MH4" s="878"/>
      <c r="MI4" s="878"/>
      <c r="MJ4" s="878"/>
      <c r="MK4" s="878"/>
      <c r="ML4" s="878"/>
      <c r="MM4" s="878"/>
      <c r="MN4" s="878"/>
      <c r="MO4" s="878"/>
      <c r="MP4" s="878"/>
      <c r="MQ4" s="878"/>
      <c r="MR4" s="878"/>
      <c r="MS4" s="878"/>
      <c r="MT4" s="878"/>
      <c r="MU4" s="878"/>
      <c r="MV4" s="878"/>
      <c r="MW4" s="878"/>
      <c r="MX4" s="878"/>
      <c r="MY4" s="878"/>
      <c r="MZ4" s="878"/>
      <c r="NA4" s="878"/>
      <c r="NB4" s="878"/>
      <c r="NC4" s="878"/>
      <c r="ND4" s="878"/>
      <c r="NE4" s="878"/>
      <c r="NF4" s="878"/>
      <c r="NG4" s="878"/>
      <c r="NH4" s="878"/>
      <c r="NI4" s="878"/>
      <c r="NJ4" s="878"/>
      <c r="NK4" s="878"/>
      <c r="NL4" s="878"/>
      <c r="NM4" s="878"/>
    </row>
    <row r="5" spans="2:377" s="879" customFormat="1" ht="18" customHeight="1" x14ac:dyDescent="0.25">
      <c r="B5" s="881"/>
      <c r="C5" s="881"/>
      <c r="D5" s="892" t="s">
        <v>5</v>
      </c>
      <c r="E5" s="892"/>
      <c r="F5" s="892"/>
      <c r="G5" s="893"/>
      <c r="H5" s="893"/>
      <c r="I5" s="893"/>
      <c r="J5" s="882"/>
      <c r="K5" s="896"/>
      <c r="L5" s="881"/>
      <c r="M5" s="881"/>
      <c r="N5" s="881"/>
      <c r="O5" s="881"/>
      <c r="P5" s="881"/>
      <c r="Q5" s="881"/>
      <c r="R5" s="881"/>
      <c r="S5" s="881"/>
      <c r="T5" s="881"/>
      <c r="AE5" s="881"/>
      <c r="AF5" s="881"/>
      <c r="AG5" s="881"/>
      <c r="AH5" s="881"/>
      <c r="AI5" s="881"/>
      <c r="AJ5" s="881"/>
      <c r="AK5" s="881"/>
      <c r="AL5" s="881"/>
      <c r="AM5" s="881"/>
      <c r="AN5" s="881"/>
      <c r="CN5" s="884"/>
      <c r="CO5" s="885"/>
      <c r="CP5" s="886"/>
      <c r="CQ5" s="887"/>
      <c r="CV5" s="893"/>
      <c r="CW5" s="893"/>
      <c r="CX5" s="893"/>
      <c r="CY5" s="893"/>
      <c r="CZ5" s="893"/>
      <c r="DA5" s="893"/>
      <c r="DB5" s="893"/>
      <c r="DC5" s="888"/>
      <c r="DD5" s="893"/>
      <c r="DE5" s="881"/>
      <c r="DF5" s="894" t="s">
        <v>6</v>
      </c>
      <c r="DG5" s="895"/>
      <c r="EL5" s="884"/>
      <c r="EX5" s="881"/>
      <c r="FM5" s="881"/>
      <c r="FN5" s="881"/>
      <c r="FS5" s="881"/>
      <c r="FT5" s="881"/>
      <c r="FU5" s="881"/>
      <c r="FV5" s="881"/>
      <c r="FW5" s="881"/>
      <c r="FZ5" s="881"/>
      <c r="GA5" s="881"/>
      <c r="GB5" s="881"/>
      <c r="GC5" s="881"/>
      <c r="GI5" s="881"/>
      <c r="GJ5" s="881"/>
      <c r="GK5" s="881"/>
      <c r="GL5" s="881"/>
      <c r="GM5" s="881"/>
      <c r="GN5" s="881"/>
      <c r="GO5" s="881"/>
      <c r="GP5" s="881"/>
      <c r="GQ5" s="881"/>
      <c r="GR5" s="881"/>
      <c r="GS5" s="881"/>
      <c r="GT5" s="881"/>
      <c r="GU5" s="881"/>
      <c r="GV5" s="881"/>
      <c r="LY5" s="891"/>
      <c r="MG5" s="878"/>
      <c r="MH5" s="878"/>
      <c r="MI5" s="878"/>
      <c r="MJ5" s="878"/>
      <c r="MK5" s="878"/>
      <c r="ML5" s="878"/>
      <c r="MM5" s="878"/>
      <c r="MN5" s="878"/>
      <c r="MO5" s="878"/>
      <c r="MP5" s="878"/>
      <c r="MQ5" s="878"/>
      <c r="MR5" s="878"/>
      <c r="MS5" s="878"/>
      <c r="MT5" s="878"/>
      <c r="MU5" s="878"/>
      <c r="MV5" s="878"/>
      <c r="MW5" s="878"/>
      <c r="MX5" s="878"/>
      <c r="MY5" s="878"/>
      <c r="MZ5" s="878"/>
      <c r="NA5" s="878"/>
      <c r="NB5" s="878"/>
      <c r="NC5" s="878"/>
      <c r="ND5" s="878"/>
      <c r="NE5" s="878"/>
      <c r="NF5" s="878"/>
      <c r="NG5" s="878"/>
      <c r="NH5" s="878"/>
      <c r="NI5" s="878"/>
      <c r="NJ5" s="878"/>
      <c r="NK5" s="878"/>
      <c r="NL5" s="878"/>
      <c r="NM5" s="878"/>
    </row>
    <row r="6" spans="2:377" s="879" customFormat="1" ht="18" customHeight="1" x14ac:dyDescent="0.25">
      <c r="B6" s="893"/>
      <c r="D6" s="1" t="s">
        <v>7</v>
      </c>
      <c r="E6" s="880"/>
      <c r="F6" s="880"/>
      <c r="G6" s="881"/>
      <c r="H6" s="881"/>
      <c r="I6" s="881"/>
      <c r="J6" s="882"/>
      <c r="K6" s="883"/>
      <c r="AE6" s="881"/>
      <c r="AF6" s="881"/>
      <c r="AG6" s="881"/>
      <c r="AH6" s="881"/>
      <c r="AI6" s="881"/>
      <c r="AJ6" s="881"/>
      <c r="AK6" s="881"/>
      <c r="AL6" s="881"/>
      <c r="AM6" s="881"/>
      <c r="AN6" s="881"/>
      <c r="CN6" s="884"/>
      <c r="CO6" s="885"/>
      <c r="CP6" s="886"/>
      <c r="CQ6" s="887"/>
      <c r="DA6" s="897"/>
      <c r="DB6" s="898"/>
      <c r="DC6" s="899"/>
      <c r="DD6" s="2"/>
      <c r="DE6" s="893"/>
      <c r="DF6" s="3" t="s">
        <v>8</v>
      </c>
      <c r="DG6" s="4"/>
      <c r="DV6" s="881"/>
      <c r="DW6" s="881"/>
      <c r="DX6" s="881"/>
      <c r="DY6" s="881"/>
      <c r="DZ6" s="881"/>
      <c r="EA6" s="881"/>
      <c r="EB6" s="881"/>
      <c r="EC6" s="881"/>
      <c r="ED6" s="881"/>
      <c r="EE6" s="881"/>
      <c r="EF6" s="881"/>
      <c r="EG6" s="881"/>
      <c r="EH6" s="881"/>
      <c r="EI6" s="881"/>
      <c r="EJ6" s="881"/>
      <c r="EK6" s="881"/>
      <c r="EL6" s="900"/>
      <c r="EM6" s="881"/>
      <c r="EN6" s="881"/>
      <c r="EO6" s="881"/>
      <c r="EP6" s="881"/>
      <c r="EQ6" s="881"/>
      <c r="ER6" s="881"/>
      <c r="ES6" s="881"/>
      <c r="ET6" s="881"/>
      <c r="EU6" s="881"/>
      <c r="EV6" s="881"/>
      <c r="EW6" s="881"/>
      <c r="EX6" s="893"/>
      <c r="FK6" s="881"/>
      <c r="FM6" s="881"/>
      <c r="FN6" s="881"/>
      <c r="FS6" s="881"/>
      <c r="FT6" s="881"/>
      <c r="FU6" s="881"/>
      <c r="FV6" s="881"/>
      <c r="FW6" s="881"/>
      <c r="LY6" s="891"/>
      <c r="MG6" s="878"/>
      <c r="MH6" s="878"/>
      <c r="MI6" s="878"/>
      <c r="MJ6" s="878"/>
      <c r="MK6" s="878"/>
      <c r="ML6" s="878"/>
      <c r="MM6" s="878"/>
      <c r="MN6" s="878"/>
      <c r="MO6" s="878"/>
      <c r="MP6" s="878"/>
      <c r="MQ6" s="878"/>
      <c r="MR6" s="878"/>
      <c r="MS6" s="878"/>
      <c r="MT6" s="878"/>
      <c r="MU6" s="878"/>
      <c r="MV6" s="878"/>
      <c r="MW6" s="878"/>
      <c r="MX6" s="878"/>
      <c r="MY6" s="878"/>
      <c r="MZ6" s="878"/>
      <c r="NA6" s="878"/>
      <c r="NB6" s="878"/>
      <c r="NC6" s="878"/>
      <c r="ND6" s="878"/>
      <c r="NE6" s="878"/>
      <c r="NF6" s="878"/>
      <c r="NG6" s="878"/>
      <c r="NH6" s="878"/>
      <c r="NI6" s="878"/>
      <c r="NJ6" s="878"/>
      <c r="NK6" s="878"/>
      <c r="NL6" s="878"/>
      <c r="NM6" s="878"/>
    </row>
    <row r="7" spans="2:377" s="879" customFormat="1" ht="18" customHeight="1" x14ac:dyDescent="0.25">
      <c r="B7" s="891"/>
      <c r="D7" s="880"/>
      <c r="E7" s="892"/>
      <c r="F7" s="880"/>
      <c r="G7" s="881"/>
      <c r="H7" s="881"/>
      <c r="I7" s="881"/>
      <c r="J7" s="882"/>
      <c r="K7" s="883"/>
      <c r="O7" s="901"/>
      <c r="P7" s="901"/>
      <c r="Q7" s="901"/>
      <c r="R7" s="901"/>
      <c r="S7" s="901"/>
      <c r="T7" s="901"/>
      <c r="AE7" s="881"/>
      <c r="AF7" s="881"/>
      <c r="AG7" s="881"/>
      <c r="AH7" s="881"/>
      <c r="AI7" s="881"/>
      <c r="AJ7" s="881"/>
      <c r="AK7" s="881"/>
      <c r="AL7" s="881"/>
      <c r="AM7" s="881"/>
      <c r="AN7" s="881"/>
      <c r="CN7" s="884"/>
      <c r="CO7" s="885"/>
      <c r="CP7" s="886"/>
      <c r="CQ7" s="887"/>
      <c r="DA7" s="902"/>
      <c r="DB7" s="902"/>
      <c r="DC7" s="903"/>
      <c r="DD7" s="902"/>
      <c r="DE7" s="893"/>
      <c r="DF7" s="894"/>
      <c r="DG7" s="895"/>
      <c r="EL7" s="884"/>
      <c r="EX7" s="893"/>
      <c r="HA7" s="881"/>
      <c r="HB7" s="881"/>
      <c r="LY7" s="891"/>
      <c r="MG7" s="878"/>
      <c r="MH7" s="878"/>
      <c r="MI7" s="878"/>
      <c r="MJ7" s="878"/>
      <c r="MK7" s="878"/>
      <c r="ML7" s="878"/>
      <c r="MM7" s="878"/>
      <c r="MN7" s="878"/>
      <c r="MO7" s="878"/>
      <c r="MP7" s="878"/>
      <c r="MQ7" s="878"/>
      <c r="MR7" s="878"/>
      <c r="MS7" s="878"/>
      <c r="MT7" s="878"/>
      <c r="MU7" s="878"/>
      <c r="MV7" s="878"/>
      <c r="MW7" s="878"/>
      <c r="MX7" s="878"/>
      <c r="MY7" s="878"/>
      <c r="MZ7" s="878"/>
      <c r="NA7" s="878"/>
      <c r="NB7" s="878"/>
      <c r="NC7" s="878"/>
      <c r="ND7" s="878"/>
      <c r="NE7" s="878"/>
      <c r="NF7" s="878"/>
      <c r="NG7" s="878"/>
      <c r="NH7" s="878"/>
      <c r="NI7" s="878"/>
      <c r="NJ7" s="878"/>
      <c r="NK7" s="878"/>
      <c r="NL7" s="878"/>
      <c r="NM7" s="878"/>
    </row>
    <row r="8" spans="2:377" s="879" customFormat="1" ht="18" customHeight="1" x14ac:dyDescent="0.25">
      <c r="B8" s="893"/>
      <c r="D8" s="880"/>
      <c r="E8" s="880"/>
      <c r="F8" s="880"/>
      <c r="G8" s="881"/>
      <c r="H8" s="881"/>
      <c r="I8" s="881"/>
      <c r="J8" s="882"/>
      <c r="K8" s="883"/>
      <c r="AE8" s="881"/>
      <c r="AF8" s="881"/>
      <c r="AG8" s="881"/>
      <c r="AH8" s="881"/>
      <c r="AI8" s="881"/>
      <c r="AJ8" s="881"/>
      <c r="AK8" s="881"/>
      <c r="AL8" s="881"/>
      <c r="AM8" s="881"/>
      <c r="AN8" s="881"/>
      <c r="CN8" s="884"/>
      <c r="CO8" s="885"/>
      <c r="CP8" s="886"/>
      <c r="CQ8" s="887"/>
      <c r="DA8" s="902"/>
      <c r="DB8" s="902"/>
      <c r="DC8" s="903"/>
      <c r="DD8" s="902"/>
      <c r="DE8" s="893"/>
      <c r="DF8" s="894"/>
      <c r="DG8" s="895"/>
      <c r="EL8" s="884"/>
      <c r="EX8" s="893"/>
      <c r="FE8" s="881"/>
      <c r="FF8" s="881"/>
      <c r="FG8" s="881"/>
      <c r="FH8" s="881"/>
      <c r="FI8" s="881"/>
      <c r="FJ8" s="881"/>
      <c r="HA8" s="881"/>
      <c r="HB8" s="881"/>
      <c r="LY8" s="891"/>
      <c r="MG8" s="878"/>
      <c r="MH8" s="878"/>
      <c r="MI8" s="878"/>
      <c r="MJ8" s="878"/>
      <c r="MK8" s="878"/>
      <c r="ML8" s="878"/>
      <c r="MM8" s="878"/>
      <c r="MN8" s="878"/>
      <c r="MO8" s="878"/>
      <c r="MP8" s="878"/>
      <c r="MQ8" s="878"/>
      <c r="MR8" s="878"/>
      <c r="MS8" s="878"/>
      <c r="MT8" s="878"/>
      <c r="MU8" s="878"/>
      <c r="MV8" s="878"/>
      <c r="MW8" s="878"/>
      <c r="MX8" s="878"/>
      <c r="MY8" s="878"/>
      <c r="MZ8" s="878"/>
      <c r="NA8" s="878"/>
      <c r="NB8" s="878"/>
      <c r="NC8" s="878"/>
      <c r="ND8" s="878"/>
      <c r="NE8" s="878"/>
      <c r="NF8" s="878"/>
      <c r="NG8" s="878"/>
      <c r="NH8" s="878"/>
      <c r="NI8" s="878"/>
      <c r="NJ8" s="878"/>
      <c r="NK8" s="878"/>
      <c r="NL8" s="878"/>
      <c r="NM8" s="878"/>
    </row>
    <row r="9" spans="2:377" s="879" customFormat="1" ht="18" customHeight="1" x14ac:dyDescent="0.25">
      <c r="B9" s="893"/>
      <c r="D9" s="880"/>
      <c r="E9" s="880"/>
      <c r="F9" s="880"/>
      <c r="G9" s="881"/>
      <c r="H9" s="881"/>
      <c r="I9" s="881"/>
      <c r="J9" s="882"/>
      <c r="K9" s="883"/>
      <c r="AE9" s="881"/>
      <c r="AF9" s="881"/>
      <c r="AG9" s="881"/>
      <c r="AH9" s="881"/>
      <c r="AI9" s="881"/>
      <c r="AJ9" s="881"/>
      <c r="AK9" s="881"/>
      <c r="AL9" s="881"/>
      <c r="AM9" s="881"/>
      <c r="AN9" s="881"/>
      <c r="CN9" s="884"/>
      <c r="CO9" s="885"/>
      <c r="CP9" s="886"/>
      <c r="CQ9" s="887"/>
      <c r="DA9" s="897"/>
      <c r="DB9" s="898"/>
      <c r="DC9" s="899"/>
      <c r="DD9" s="2"/>
      <c r="DE9" s="893"/>
      <c r="DF9" s="904"/>
      <c r="DG9" s="905"/>
      <c r="EL9" s="884"/>
      <c r="EX9" s="893"/>
      <c r="HA9" s="881"/>
      <c r="HB9" s="881"/>
      <c r="LY9" s="891"/>
      <c r="MG9" s="878"/>
      <c r="MH9" s="878"/>
      <c r="MI9" s="878"/>
      <c r="MJ9" s="878"/>
      <c r="MK9" s="878"/>
      <c r="ML9" s="878"/>
      <c r="MM9" s="878"/>
      <c r="MN9" s="878"/>
      <c r="MO9" s="878"/>
      <c r="MP9" s="878"/>
      <c r="MQ9" s="878"/>
      <c r="MR9" s="878"/>
      <c r="MS9" s="878"/>
      <c r="MT9" s="878"/>
      <c r="MU9" s="878"/>
      <c r="MV9" s="878"/>
      <c r="MW9" s="878"/>
      <c r="MX9" s="878"/>
      <c r="MY9" s="878"/>
      <c r="MZ9" s="878"/>
      <c r="NA9" s="878"/>
      <c r="NB9" s="878"/>
      <c r="NC9" s="878"/>
      <c r="ND9" s="878"/>
      <c r="NE9" s="878"/>
      <c r="NF9" s="878"/>
      <c r="NG9" s="878"/>
      <c r="NH9" s="878"/>
      <c r="NI9" s="878"/>
      <c r="NJ9" s="878"/>
      <c r="NK9" s="878"/>
      <c r="NL9" s="878"/>
      <c r="NM9" s="878"/>
    </row>
    <row r="10" spans="2:377" s="879" customFormat="1" ht="18" customHeight="1" x14ac:dyDescent="0.25">
      <c r="B10" s="893"/>
      <c r="C10" s="893"/>
      <c r="D10" s="906" t="s">
        <v>9</v>
      </c>
      <c r="E10" s="906"/>
      <c r="F10" s="906"/>
      <c r="G10" s="902"/>
      <c r="H10" s="902"/>
      <c r="I10" s="902"/>
      <c r="J10" s="902"/>
      <c r="K10" s="907"/>
      <c r="AE10" s="881"/>
      <c r="AF10" s="881"/>
      <c r="AG10" s="881"/>
      <c r="AH10" s="881"/>
      <c r="AI10" s="881"/>
      <c r="AJ10" s="881"/>
      <c r="AK10" s="881"/>
      <c r="AL10" s="881"/>
      <c r="AM10" s="881"/>
      <c r="AN10" s="881"/>
      <c r="CN10" s="884"/>
      <c r="CO10" s="885"/>
      <c r="CP10" s="886"/>
      <c r="CQ10" s="887"/>
      <c r="CW10" s="902"/>
      <c r="CX10" s="902"/>
      <c r="CY10" s="902"/>
      <c r="CZ10" s="902"/>
      <c r="DA10" s="902"/>
      <c r="DB10" s="902"/>
      <c r="DC10" s="903"/>
      <c r="DD10" s="902"/>
      <c r="DE10" s="893"/>
      <c r="DF10" s="894" t="s">
        <v>10</v>
      </c>
      <c r="DG10" s="895"/>
      <c r="EL10" s="884"/>
      <c r="EX10" s="893"/>
      <c r="HA10" s="881"/>
      <c r="HB10" s="881"/>
      <c r="LY10" s="891"/>
      <c r="MG10" s="878"/>
      <c r="MH10" s="878"/>
      <c r="MI10" s="878"/>
      <c r="MJ10" s="878"/>
      <c r="MK10" s="878"/>
      <c r="ML10" s="878"/>
      <c r="MM10" s="878"/>
      <c r="MN10" s="878"/>
      <c r="MO10" s="878"/>
      <c r="MP10" s="878"/>
      <c r="MQ10" s="878"/>
      <c r="MR10" s="878"/>
      <c r="MS10" s="878"/>
      <c r="MT10" s="878"/>
      <c r="MU10" s="878"/>
      <c r="MV10" s="878"/>
      <c r="MW10" s="878"/>
      <c r="MX10" s="878"/>
      <c r="MY10" s="878"/>
      <c r="MZ10" s="878"/>
      <c r="NA10" s="878"/>
      <c r="NB10" s="878"/>
      <c r="NC10" s="878"/>
      <c r="ND10" s="878"/>
      <c r="NE10" s="878"/>
      <c r="NF10" s="878"/>
      <c r="NG10" s="878"/>
      <c r="NH10" s="878"/>
      <c r="NI10" s="878"/>
      <c r="NJ10" s="878"/>
      <c r="NK10" s="878"/>
      <c r="NL10" s="878"/>
      <c r="NM10" s="878"/>
    </row>
    <row r="11" spans="2:377" s="879" customFormat="1" ht="18" customHeight="1" x14ac:dyDescent="0.25">
      <c r="B11" s="891"/>
      <c r="D11" s="1" t="s">
        <v>4</v>
      </c>
      <c r="E11" s="5"/>
      <c r="F11" s="5"/>
      <c r="G11" s="6"/>
      <c r="H11" s="6"/>
      <c r="I11" s="6"/>
      <c r="J11" s="882"/>
      <c r="K11" s="883"/>
      <c r="AE11" s="881"/>
      <c r="AF11" s="881"/>
      <c r="AG11" s="881"/>
      <c r="AH11" s="881"/>
      <c r="AI11" s="881"/>
      <c r="AJ11" s="881"/>
      <c r="AK11" s="881"/>
      <c r="AL11" s="881"/>
      <c r="AM11" s="881"/>
      <c r="AN11" s="881"/>
      <c r="CN11" s="884"/>
      <c r="CO11" s="885"/>
      <c r="CP11" s="886"/>
      <c r="CQ11" s="887"/>
      <c r="CZ11" s="893"/>
      <c r="DA11" s="893"/>
      <c r="DB11" s="893"/>
      <c r="DC11" s="888"/>
      <c r="DD11" s="893"/>
      <c r="DF11" s="894" t="s">
        <v>4</v>
      </c>
      <c r="DG11" s="895"/>
      <c r="EL11" s="884"/>
      <c r="HA11" s="881"/>
      <c r="HB11" s="881"/>
      <c r="LY11" s="891"/>
      <c r="MG11" s="878"/>
      <c r="MH11" s="878"/>
      <c r="MI11" s="878"/>
      <c r="MJ11" s="878"/>
      <c r="MK11" s="878"/>
      <c r="ML11" s="878"/>
      <c r="MM11" s="878"/>
      <c r="MN11" s="878"/>
      <c r="MO11" s="878"/>
      <c r="MP11" s="878"/>
      <c r="MQ11" s="878"/>
      <c r="MR11" s="878"/>
      <c r="MS11" s="878"/>
      <c r="MT11" s="878"/>
      <c r="MU11" s="878"/>
      <c r="MV11" s="878"/>
      <c r="MW11" s="878"/>
      <c r="MX11" s="878"/>
      <c r="MY11" s="878"/>
      <c r="MZ11" s="878"/>
      <c r="NA11" s="878"/>
      <c r="NB11" s="878"/>
      <c r="NC11" s="878"/>
      <c r="ND11" s="878"/>
      <c r="NE11" s="878"/>
      <c r="NF11" s="878"/>
      <c r="NG11" s="878"/>
      <c r="NH11" s="878"/>
      <c r="NI11" s="878"/>
      <c r="NJ11" s="878"/>
      <c r="NK11" s="878"/>
      <c r="NL11" s="878"/>
      <c r="NM11" s="878"/>
    </row>
    <row r="12" spans="2:377" s="879" customFormat="1" ht="18" customHeight="1" x14ac:dyDescent="0.25">
      <c r="B12" s="893"/>
      <c r="D12" s="892" t="s">
        <v>11</v>
      </c>
      <c r="E12" s="5"/>
      <c r="F12" s="5"/>
      <c r="G12" s="6"/>
      <c r="H12" s="6"/>
      <c r="I12" s="6"/>
      <c r="J12" s="882"/>
      <c r="K12" s="883"/>
      <c r="AE12" s="881"/>
      <c r="AF12" s="881"/>
      <c r="AG12" s="881"/>
      <c r="AH12" s="881"/>
      <c r="AI12" s="881"/>
      <c r="AJ12" s="881"/>
      <c r="AK12" s="881"/>
      <c r="AL12" s="881"/>
      <c r="AM12" s="881"/>
      <c r="AN12" s="881"/>
      <c r="CN12" s="884"/>
      <c r="CO12" s="885"/>
      <c r="CP12" s="886"/>
      <c r="CQ12" s="887"/>
      <c r="CV12" s="902"/>
      <c r="CW12" s="902"/>
      <c r="CX12" s="902"/>
      <c r="CY12" s="902"/>
      <c r="CZ12" s="902"/>
      <c r="DA12" s="902"/>
      <c r="DB12" s="902"/>
      <c r="DC12" s="903"/>
      <c r="DD12" s="902"/>
      <c r="DE12" s="893"/>
      <c r="DF12" s="894" t="s">
        <v>12</v>
      </c>
      <c r="DG12" s="895"/>
      <c r="EL12" s="884"/>
      <c r="EX12" s="893"/>
      <c r="HA12" s="881"/>
      <c r="HB12" s="881"/>
      <c r="LY12" s="891"/>
      <c r="MG12" s="878"/>
      <c r="MH12" s="878"/>
      <c r="MI12" s="878"/>
      <c r="MJ12" s="878"/>
      <c r="MK12" s="878"/>
      <c r="ML12" s="878"/>
      <c r="MM12" s="878"/>
      <c r="MN12" s="878"/>
      <c r="MO12" s="878"/>
      <c r="MP12" s="878"/>
      <c r="MQ12" s="878"/>
      <c r="MR12" s="878"/>
      <c r="MS12" s="878"/>
      <c r="MT12" s="878"/>
      <c r="MU12" s="878"/>
      <c r="MV12" s="878"/>
      <c r="MW12" s="878"/>
      <c r="MX12" s="878"/>
      <c r="MY12" s="878"/>
      <c r="MZ12" s="878"/>
      <c r="NA12" s="878"/>
      <c r="NB12" s="878"/>
      <c r="NC12" s="878"/>
      <c r="ND12" s="878"/>
      <c r="NE12" s="878"/>
      <c r="NF12" s="878"/>
      <c r="NG12" s="878"/>
      <c r="NH12" s="878"/>
      <c r="NI12" s="878"/>
      <c r="NJ12" s="878"/>
      <c r="NK12" s="878"/>
      <c r="NL12" s="878"/>
      <c r="NM12" s="878"/>
    </row>
    <row r="13" spans="2:377" s="879" customFormat="1" ht="18" customHeight="1" x14ac:dyDescent="0.25">
      <c r="B13" s="893"/>
      <c r="D13" s="1" t="s">
        <v>7</v>
      </c>
      <c r="E13" s="5"/>
      <c r="F13" s="5"/>
      <c r="G13" s="6"/>
      <c r="H13" s="6"/>
      <c r="I13" s="908"/>
      <c r="J13" s="882"/>
      <c r="K13" s="883"/>
      <c r="AE13" s="881"/>
      <c r="AF13" s="881"/>
      <c r="AG13" s="881"/>
      <c r="AH13" s="881"/>
      <c r="AI13" s="881"/>
      <c r="AJ13" s="881"/>
      <c r="AK13" s="881"/>
      <c r="AL13" s="881"/>
      <c r="AM13" s="881"/>
      <c r="AN13" s="881"/>
      <c r="CN13" s="884"/>
      <c r="CO13" s="885"/>
      <c r="CP13" s="886"/>
      <c r="CQ13" s="887"/>
      <c r="CW13" s="909"/>
      <c r="CX13" s="909"/>
      <c r="CY13" s="909"/>
      <c r="CZ13" s="909"/>
      <c r="DA13" s="909"/>
      <c r="DB13" s="909"/>
      <c r="DC13" s="903"/>
      <c r="DD13" s="909"/>
      <c r="DE13" s="893"/>
      <c r="DF13" s="3" t="s">
        <v>8</v>
      </c>
      <c r="DG13" s="4"/>
      <c r="EL13" s="884"/>
      <c r="EX13" s="893"/>
      <c r="HA13" s="881"/>
      <c r="HB13" s="881"/>
      <c r="LY13" s="891"/>
      <c r="MG13" s="878"/>
      <c r="MH13" s="878"/>
      <c r="MI13" s="878"/>
      <c r="MJ13" s="878"/>
      <c r="MK13" s="878"/>
      <c r="ML13" s="878"/>
      <c r="MM13" s="878"/>
      <c r="MN13" s="878"/>
      <c r="MO13" s="878"/>
      <c r="MP13" s="878"/>
      <c r="MQ13" s="878"/>
      <c r="MR13" s="878"/>
      <c r="MS13" s="878"/>
      <c r="MT13" s="878"/>
      <c r="MU13" s="878"/>
      <c r="MV13" s="878"/>
      <c r="MW13" s="878"/>
      <c r="MX13" s="878"/>
      <c r="MY13" s="878"/>
      <c r="MZ13" s="878"/>
      <c r="NA13" s="878"/>
      <c r="NB13" s="878"/>
      <c r="NC13" s="878"/>
      <c r="ND13" s="878"/>
      <c r="NE13" s="878"/>
      <c r="NF13" s="878"/>
      <c r="NG13" s="878"/>
      <c r="NH13" s="878"/>
      <c r="NI13" s="878"/>
      <c r="NJ13" s="878"/>
      <c r="NK13" s="878"/>
      <c r="NL13" s="878"/>
      <c r="NM13" s="878"/>
    </row>
    <row r="14" spans="2:377" s="870" customFormat="1" ht="18" customHeight="1" x14ac:dyDescent="0.25">
      <c r="B14" s="910"/>
      <c r="D14" s="7"/>
      <c r="E14" s="8"/>
      <c r="F14" s="8"/>
      <c r="G14" s="9"/>
      <c r="H14" s="9"/>
      <c r="I14" s="911"/>
      <c r="J14" s="871"/>
      <c r="AE14" s="876"/>
      <c r="AF14" s="876"/>
      <c r="AG14" s="876"/>
      <c r="AH14" s="876"/>
      <c r="AI14" s="876"/>
      <c r="AJ14" s="876"/>
      <c r="AK14" s="876"/>
      <c r="AL14" s="876"/>
      <c r="AM14" s="876"/>
      <c r="AN14" s="876"/>
      <c r="CN14" s="872"/>
      <c r="CO14" s="873"/>
      <c r="CP14" s="874"/>
      <c r="CQ14" s="875"/>
      <c r="CZ14" s="907"/>
      <c r="DA14" s="907"/>
      <c r="DB14" s="907"/>
      <c r="DC14" s="912"/>
      <c r="DD14" s="907"/>
      <c r="DE14" s="910"/>
      <c r="DG14" s="913"/>
      <c r="EL14" s="872"/>
      <c r="EX14" s="910"/>
      <c r="FE14" s="876"/>
      <c r="FF14" s="876"/>
      <c r="FG14" s="876"/>
      <c r="FH14" s="876"/>
      <c r="FI14" s="876"/>
      <c r="FJ14" s="876"/>
      <c r="HA14" s="876"/>
      <c r="HB14" s="876"/>
      <c r="LY14" s="877"/>
      <c r="MG14" s="878"/>
      <c r="MH14" s="878"/>
      <c r="MI14" s="878"/>
      <c r="MJ14" s="878"/>
      <c r="MK14" s="878"/>
      <c r="ML14" s="878"/>
      <c r="MM14" s="878"/>
      <c r="MN14" s="878"/>
      <c r="MO14" s="878"/>
      <c r="MP14" s="878"/>
      <c r="MQ14" s="878"/>
      <c r="MR14" s="878"/>
      <c r="MS14" s="878"/>
      <c r="MT14" s="878"/>
      <c r="MU14" s="878"/>
      <c r="MV14" s="878"/>
      <c r="MW14" s="878"/>
      <c r="MX14" s="878"/>
      <c r="MY14" s="878"/>
      <c r="MZ14" s="878"/>
      <c r="NA14" s="878"/>
      <c r="NB14" s="878"/>
      <c r="NC14" s="878"/>
      <c r="ND14" s="878"/>
      <c r="NE14" s="878"/>
      <c r="NF14" s="878"/>
      <c r="NG14" s="878"/>
      <c r="NH14" s="878"/>
      <c r="NI14" s="878"/>
      <c r="NJ14" s="878"/>
      <c r="NK14" s="878"/>
      <c r="NL14" s="878"/>
      <c r="NM14" s="878"/>
    </row>
    <row r="15" spans="2:377" s="870" customFormat="1" ht="18" customHeight="1" x14ac:dyDescent="0.25">
      <c r="B15" s="877"/>
      <c r="D15" s="914"/>
      <c r="E15" s="915"/>
      <c r="F15" s="916"/>
      <c r="J15" s="871"/>
      <c r="AE15" s="876"/>
      <c r="AF15" s="876"/>
      <c r="AG15" s="876"/>
      <c r="AH15" s="876"/>
      <c r="AI15" s="876"/>
      <c r="AJ15" s="876"/>
      <c r="AK15" s="876"/>
      <c r="AL15" s="876"/>
      <c r="AM15" s="876"/>
      <c r="AN15" s="876"/>
      <c r="CN15" s="872"/>
      <c r="CO15" s="873"/>
      <c r="CP15" s="874"/>
      <c r="CQ15" s="875"/>
      <c r="DA15" s="917"/>
      <c r="DB15" s="917"/>
      <c r="DC15" s="912"/>
      <c r="DD15" s="917"/>
      <c r="DG15" s="913"/>
      <c r="EL15" s="872"/>
      <c r="HA15" s="876"/>
      <c r="HB15" s="876"/>
      <c r="LY15" s="877"/>
      <c r="MG15" s="878"/>
      <c r="MH15" s="878"/>
      <c r="MI15" s="878"/>
      <c r="MJ15" s="878"/>
      <c r="MK15" s="878"/>
      <c r="ML15" s="878"/>
      <c r="MM15" s="878"/>
      <c r="MN15" s="878"/>
      <c r="MO15" s="878"/>
      <c r="MP15" s="878"/>
      <c r="MQ15" s="878"/>
      <c r="MR15" s="878"/>
      <c r="MS15" s="878"/>
      <c r="MT15" s="878"/>
      <c r="MU15" s="878"/>
      <c r="MV15" s="878"/>
      <c r="MW15" s="878"/>
      <c r="MX15" s="878"/>
      <c r="MY15" s="878"/>
      <c r="MZ15" s="878"/>
      <c r="NA15" s="878"/>
      <c r="NB15" s="878"/>
      <c r="NC15" s="878"/>
      <c r="ND15" s="878"/>
      <c r="NE15" s="878"/>
      <c r="NF15" s="878"/>
      <c r="NG15" s="878"/>
      <c r="NH15" s="878"/>
      <c r="NI15" s="878"/>
      <c r="NJ15" s="878"/>
      <c r="NK15" s="878"/>
      <c r="NL15" s="878"/>
      <c r="NM15" s="878"/>
    </row>
    <row r="16" spans="2:377" s="870" customFormat="1" ht="18" customHeight="1" x14ac:dyDescent="0.25">
      <c r="B16" s="910"/>
      <c r="D16" s="916"/>
      <c r="E16" s="916"/>
      <c r="F16" s="916"/>
      <c r="J16" s="871"/>
      <c r="AE16" s="876"/>
      <c r="AF16" s="876"/>
      <c r="AG16" s="876"/>
      <c r="AH16" s="876"/>
      <c r="AI16" s="876"/>
      <c r="AJ16" s="876"/>
      <c r="AK16" s="876"/>
      <c r="AL16" s="876"/>
      <c r="AM16" s="876"/>
      <c r="AN16" s="876"/>
      <c r="CN16" s="872"/>
      <c r="CO16" s="873"/>
      <c r="CP16" s="874"/>
      <c r="CQ16" s="875"/>
      <c r="DA16" s="918"/>
      <c r="DB16" s="907"/>
      <c r="DC16" s="919"/>
      <c r="DD16" s="918"/>
      <c r="DE16" s="918"/>
      <c r="EL16" s="872"/>
      <c r="EX16" s="910"/>
      <c r="HA16" s="876"/>
      <c r="HB16" s="876"/>
      <c r="LY16" s="877"/>
      <c r="MG16" s="878"/>
      <c r="MH16" s="878"/>
      <c r="MI16" s="878"/>
      <c r="MJ16" s="878"/>
      <c r="MK16" s="878"/>
      <c r="ML16" s="878"/>
      <c r="MM16" s="878"/>
      <c r="MN16" s="878"/>
      <c r="MO16" s="878"/>
      <c r="MP16" s="878"/>
      <c r="MQ16" s="878"/>
      <c r="MR16" s="878"/>
      <c r="MS16" s="878"/>
      <c r="MT16" s="878"/>
      <c r="MU16" s="878"/>
      <c r="MV16" s="878"/>
      <c r="MW16" s="878"/>
      <c r="MX16" s="878"/>
      <c r="MY16" s="878"/>
      <c r="MZ16" s="878"/>
      <c r="NA16" s="878"/>
      <c r="NB16" s="878"/>
      <c r="NC16" s="878"/>
      <c r="ND16" s="878"/>
      <c r="NE16" s="878"/>
      <c r="NF16" s="878"/>
      <c r="NG16" s="878"/>
      <c r="NH16" s="878"/>
      <c r="NI16" s="878"/>
      <c r="NJ16" s="878"/>
      <c r="NK16" s="878"/>
      <c r="NL16" s="878"/>
      <c r="NM16" s="878"/>
    </row>
    <row r="17" spans="1:466 1191:1191" s="870" customFormat="1" ht="18" customHeight="1" x14ac:dyDescent="0.25">
      <c r="D17" s="906" t="s">
        <v>13</v>
      </c>
      <c r="E17" s="916"/>
      <c r="F17" s="916"/>
      <c r="J17" s="871"/>
      <c r="CN17" s="872"/>
      <c r="CO17" s="873"/>
      <c r="CP17" s="874"/>
      <c r="CQ17" s="875"/>
      <c r="DB17" s="876"/>
      <c r="DC17" s="874"/>
      <c r="EL17" s="872"/>
      <c r="HA17" s="876"/>
      <c r="HB17" s="876"/>
      <c r="IF17" s="910"/>
      <c r="LY17" s="877"/>
      <c r="MG17" s="878"/>
      <c r="MH17" s="878"/>
      <c r="MI17" s="878"/>
      <c r="MJ17" s="878"/>
      <c r="MK17" s="878"/>
      <c r="ML17" s="878"/>
      <c r="MM17" s="878"/>
      <c r="MN17" s="878"/>
      <c r="MO17" s="878"/>
      <c r="MP17" s="878"/>
      <c r="MQ17" s="878"/>
      <c r="MR17" s="878"/>
      <c r="MS17" s="878"/>
      <c r="MT17" s="878"/>
      <c r="MU17" s="878"/>
      <c r="MV17" s="878"/>
      <c r="MW17" s="878"/>
      <c r="MX17" s="878"/>
      <c r="MY17" s="878"/>
      <c r="MZ17" s="878"/>
      <c r="NA17" s="878"/>
      <c r="NB17" s="878"/>
      <c r="NC17" s="878"/>
      <c r="ND17" s="878"/>
      <c r="NE17" s="878"/>
      <c r="NF17" s="878"/>
      <c r="NG17" s="878"/>
      <c r="NH17" s="878"/>
      <c r="NI17" s="878"/>
      <c r="NJ17" s="878"/>
      <c r="NK17" s="878"/>
      <c r="NL17" s="878"/>
      <c r="NM17" s="878"/>
    </row>
    <row r="18" spans="1:466 1191:1191" s="870" customFormat="1" ht="18" customHeight="1" x14ac:dyDescent="0.25">
      <c r="D18" s="1" t="s">
        <v>4</v>
      </c>
      <c r="E18" s="916"/>
      <c r="F18" s="916"/>
      <c r="J18" s="871"/>
      <c r="CN18" s="872"/>
      <c r="CO18" s="873"/>
      <c r="CP18" s="874"/>
      <c r="CQ18" s="875"/>
      <c r="DB18" s="876"/>
      <c r="DC18" s="874"/>
      <c r="EL18" s="872"/>
      <c r="FZ18" s="876"/>
      <c r="GA18" s="876"/>
      <c r="GB18" s="876"/>
      <c r="GC18" s="876"/>
      <c r="GI18" s="876"/>
      <c r="GJ18" s="876"/>
      <c r="GK18" s="876"/>
      <c r="GL18" s="876"/>
      <c r="GM18" s="876"/>
      <c r="GN18" s="876"/>
      <c r="GO18" s="876"/>
      <c r="GP18" s="876"/>
      <c r="GQ18" s="876"/>
      <c r="GR18" s="876"/>
      <c r="GS18" s="876"/>
      <c r="GT18" s="876"/>
      <c r="GU18" s="876"/>
      <c r="GV18" s="876"/>
      <c r="GW18" s="876"/>
      <c r="GX18" s="876"/>
      <c r="GY18" s="876"/>
      <c r="HA18" s="876"/>
      <c r="HB18" s="876"/>
      <c r="LY18" s="877"/>
      <c r="MG18" s="878"/>
      <c r="MH18" s="878"/>
      <c r="MI18" s="878"/>
      <c r="MJ18" s="878"/>
      <c r="MK18" s="878"/>
      <c r="ML18" s="878"/>
      <c r="MM18" s="878"/>
      <c r="MN18" s="878"/>
      <c r="MO18" s="878"/>
      <c r="MP18" s="878"/>
      <c r="MQ18" s="878"/>
      <c r="MR18" s="878"/>
      <c r="MS18" s="878"/>
      <c r="MT18" s="878"/>
      <c r="MU18" s="878"/>
      <c r="MV18" s="878"/>
      <c r="MW18" s="878"/>
      <c r="MX18" s="878"/>
      <c r="MY18" s="878"/>
      <c r="MZ18" s="878"/>
      <c r="NA18" s="878"/>
      <c r="NB18" s="878"/>
      <c r="NC18" s="878"/>
      <c r="ND18" s="878"/>
      <c r="NE18" s="878"/>
      <c r="NF18" s="878"/>
      <c r="NG18" s="878"/>
      <c r="NH18" s="878"/>
      <c r="NI18" s="878"/>
      <c r="NJ18" s="878"/>
      <c r="NK18" s="878"/>
      <c r="NL18" s="878"/>
      <c r="NM18" s="878"/>
    </row>
    <row r="19" spans="1:466 1191:1191" s="870" customFormat="1" ht="18" customHeight="1" x14ac:dyDescent="0.25">
      <c r="D19" s="892" t="s">
        <v>14</v>
      </c>
      <c r="E19" s="916"/>
      <c r="F19" s="916"/>
      <c r="J19" s="871"/>
      <c r="CN19" s="872"/>
      <c r="CO19" s="873"/>
      <c r="CP19" s="874"/>
      <c r="CQ19" s="875"/>
      <c r="DB19" s="876"/>
      <c r="DC19" s="874"/>
      <c r="EL19" s="872"/>
      <c r="FZ19" s="876"/>
      <c r="GA19" s="876"/>
      <c r="GB19" s="876"/>
      <c r="GC19" s="876"/>
      <c r="GI19" s="876"/>
      <c r="GJ19" s="876"/>
      <c r="GK19" s="876"/>
      <c r="GL19" s="876"/>
      <c r="GM19" s="876"/>
      <c r="GN19" s="876"/>
      <c r="GO19" s="876"/>
      <c r="GP19" s="876"/>
      <c r="GQ19" s="876"/>
      <c r="GR19" s="876"/>
      <c r="GS19" s="876"/>
      <c r="GT19" s="876"/>
      <c r="GU19" s="876"/>
      <c r="GV19" s="876"/>
      <c r="GW19" s="876"/>
      <c r="GX19" s="876"/>
      <c r="GY19" s="876"/>
      <c r="HA19" s="876"/>
      <c r="HB19" s="876"/>
      <c r="LY19" s="877"/>
      <c r="MG19" s="878"/>
      <c r="MH19" s="878"/>
      <c r="MI19" s="878"/>
      <c r="MJ19" s="878"/>
      <c r="MK19" s="878"/>
      <c r="ML19" s="878"/>
      <c r="MM19" s="878"/>
      <c r="MN19" s="878"/>
      <c r="MO19" s="878"/>
      <c r="MP19" s="878"/>
      <c r="MQ19" s="878"/>
      <c r="MR19" s="878"/>
      <c r="MS19" s="878"/>
      <c r="MT19" s="878"/>
      <c r="MU19" s="878"/>
      <c r="MV19" s="878"/>
      <c r="MW19" s="878"/>
      <c r="MX19" s="878"/>
      <c r="MY19" s="878"/>
      <c r="MZ19" s="878"/>
      <c r="NA19" s="878"/>
      <c r="NB19" s="878"/>
      <c r="NC19" s="878"/>
      <c r="ND19" s="878"/>
      <c r="NE19" s="878"/>
      <c r="NF19" s="878"/>
      <c r="NG19" s="878"/>
      <c r="NH19" s="878"/>
      <c r="NI19" s="878"/>
      <c r="NJ19" s="878"/>
      <c r="NK19" s="878"/>
      <c r="NL19" s="878"/>
      <c r="NM19" s="878"/>
    </row>
    <row r="20" spans="1:466 1191:1191" s="870" customFormat="1" ht="18" customHeight="1" x14ac:dyDescent="0.25">
      <c r="D20" s="1" t="s">
        <v>7</v>
      </c>
      <c r="E20" s="916"/>
      <c r="F20" s="916"/>
      <c r="J20" s="871"/>
      <c r="CN20" s="872"/>
      <c r="CO20" s="873"/>
      <c r="CP20" s="874"/>
      <c r="CQ20" s="875"/>
      <c r="DB20" s="876"/>
      <c r="DC20" s="874"/>
      <c r="EL20" s="872"/>
      <c r="FZ20" s="876"/>
      <c r="GA20" s="876"/>
      <c r="GB20" s="876"/>
      <c r="GC20" s="876"/>
      <c r="GI20" s="876"/>
      <c r="GJ20" s="876"/>
      <c r="GK20" s="876"/>
      <c r="GL20" s="876"/>
      <c r="GM20" s="876"/>
      <c r="GN20" s="876"/>
      <c r="GO20" s="876"/>
      <c r="GP20" s="876"/>
      <c r="GQ20" s="876"/>
      <c r="GR20" s="876"/>
      <c r="GS20" s="876"/>
      <c r="GT20" s="876"/>
      <c r="GU20" s="876"/>
      <c r="GV20" s="876"/>
      <c r="GW20" s="876"/>
      <c r="GX20" s="876"/>
      <c r="GY20" s="876"/>
      <c r="HA20" s="876"/>
      <c r="HB20" s="876"/>
      <c r="LY20" s="877"/>
      <c r="MG20" s="878"/>
      <c r="MH20" s="878"/>
      <c r="MI20" s="878"/>
      <c r="MJ20" s="878"/>
      <c r="MK20" s="878"/>
      <c r="ML20" s="878"/>
      <c r="MM20" s="878"/>
      <c r="MN20" s="878"/>
      <c r="MO20" s="878"/>
      <c r="MP20" s="878"/>
      <c r="MQ20" s="878"/>
      <c r="MR20" s="878"/>
      <c r="MS20" s="878"/>
      <c r="MT20" s="878"/>
      <c r="MU20" s="878"/>
      <c r="MV20" s="878"/>
      <c r="MW20" s="878"/>
      <c r="MX20" s="878"/>
      <c r="MY20" s="878"/>
      <c r="MZ20" s="878"/>
      <c r="NA20" s="878"/>
      <c r="NB20" s="878"/>
      <c r="NC20" s="878"/>
      <c r="ND20" s="878"/>
      <c r="NE20" s="878"/>
      <c r="NF20" s="878"/>
      <c r="NG20" s="878"/>
      <c r="NH20" s="878"/>
      <c r="NI20" s="878"/>
      <c r="NJ20" s="878"/>
      <c r="NK20" s="878"/>
      <c r="NL20" s="878"/>
      <c r="NM20" s="878"/>
    </row>
    <row r="21" spans="1:466 1191:1191" s="870" customFormat="1" ht="18" customHeight="1" x14ac:dyDescent="0.25">
      <c r="D21" s="10"/>
      <c r="J21" s="871"/>
      <c r="CN21" s="872"/>
      <c r="CO21" s="873"/>
      <c r="CP21" s="874"/>
      <c r="CQ21" s="875"/>
      <c r="DB21" s="876"/>
      <c r="DC21" s="874"/>
      <c r="EL21" s="872"/>
      <c r="FZ21" s="876"/>
      <c r="GA21" s="876"/>
      <c r="GB21" s="876"/>
      <c r="GC21" s="876"/>
      <c r="GI21" s="876"/>
      <c r="GJ21" s="876"/>
      <c r="GK21" s="876"/>
      <c r="GL21" s="876"/>
      <c r="GM21" s="876"/>
      <c r="GN21" s="876"/>
      <c r="GO21" s="876"/>
      <c r="GP21" s="876"/>
      <c r="GQ21" s="876"/>
      <c r="GR21" s="876"/>
      <c r="GS21" s="876"/>
      <c r="GT21" s="876"/>
      <c r="GU21" s="876"/>
      <c r="GV21" s="876"/>
      <c r="GW21" s="876"/>
      <c r="GX21" s="876"/>
      <c r="GY21" s="876"/>
      <c r="HA21" s="876"/>
      <c r="HB21" s="876"/>
      <c r="LY21" s="877"/>
      <c r="MG21" s="878"/>
      <c r="MH21" s="878"/>
      <c r="MI21" s="878"/>
      <c r="MJ21" s="878"/>
      <c r="MK21" s="878"/>
      <c r="ML21" s="878"/>
      <c r="MM21" s="878"/>
      <c r="MN21" s="878"/>
      <c r="MO21" s="878"/>
      <c r="MP21" s="878"/>
      <c r="MQ21" s="878"/>
      <c r="MR21" s="878"/>
      <c r="MS21" s="878"/>
      <c r="MT21" s="878"/>
      <c r="MU21" s="878"/>
      <c r="MV21" s="878"/>
      <c r="MW21" s="878"/>
      <c r="MX21" s="878"/>
      <c r="MY21" s="878"/>
      <c r="MZ21" s="878"/>
      <c r="NA21" s="878"/>
      <c r="NB21" s="878"/>
      <c r="NC21" s="878"/>
      <c r="ND21" s="878"/>
      <c r="NE21" s="878"/>
      <c r="NF21" s="878"/>
      <c r="NG21" s="878"/>
      <c r="NH21" s="878"/>
      <c r="NI21" s="878"/>
      <c r="NJ21" s="878"/>
      <c r="NK21" s="878"/>
      <c r="NL21" s="878"/>
      <c r="NM21" s="878"/>
    </row>
    <row r="22" spans="1:466 1191:1191" s="870" customFormat="1" ht="18" customHeight="1" x14ac:dyDescent="0.25">
      <c r="B22" s="920" t="s">
        <v>15</v>
      </c>
      <c r="C22" s="920"/>
      <c r="D22" s="920"/>
      <c r="E22" s="920"/>
      <c r="F22" s="920"/>
      <c r="G22" s="920"/>
      <c r="H22" s="920"/>
      <c r="I22" s="920"/>
      <c r="J22" s="921"/>
      <c r="K22" s="920"/>
      <c r="L22" s="920"/>
      <c r="M22" s="920"/>
      <c r="N22" s="920"/>
      <c r="O22" s="920"/>
      <c r="P22" s="920"/>
      <c r="Q22" s="920"/>
      <c r="R22" s="920"/>
      <c r="S22" s="920"/>
      <c r="T22" s="920"/>
      <c r="U22" s="920"/>
      <c r="V22" s="920"/>
      <c r="W22" s="920"/>
      <c r="X22" s="920"/>
      <c r="Y22" s="920"/>
      <c r="Z22" s="920"/>
      <c r="AA22" s="920"/>
      <c r="AB22" s="920"/>
      <c r="AC22" s="920"/>
      <c r="AD22" s="920"/>
      <c r="AE22" s="920"/>
      <c r="AF22" s="920"/>
      <c r="AG22" s="920"/>
      <c r="AH22" s="920"/>
      <c r="AI22" s="920"/>
      <c r="AJ22" s="920"/>
      <c r="AK22" s="920"/>
      <c r="AL22" s="920"/>
      <c r="AM22" s="920"/>
      <c r="AN22" s="920"/>
      <c r="AO22" s="920"/>
      <c r="AP22" s="920"/>
      <c r="AQ22" s="920"/>
      <c r="AR22" s="920"/>
      <c r="AS22" s="920"/>
      <c r="AT22" s="920"/>
      <c r="AU22" s="920"/>
      <c r="AV22" s="920"/>
      <c r="AW22" s="920"/>
      <c r="AX22" s="920"/>
      <c r="AY22" s="920"/>
      <c r="AZ22" s="920"/>
      <c r="BA22" s="920"/>
      <c r="BB22" s="920"/>
      <c r="BC22" s="920"/>
      <c r="BD22" s="920"/>
      <c r="BE22" s="920"/>
      <c r="BF22" s="920"/>
      <c r="BG22" s="920"/>
      <c r="BH22" s="920"/>
      <c r="BI22" s="920"/>
      <c r="BJ22" s="920"/>
      <c r="BK22" s="920"/>
      <c r="BL22" s="920"/>
      <c r="BM22" s="920"/>
      <c r="BN22" s="920"/>
      <c r="BO22" s="920"/>
      <c r="BP22" s="920"/>
      <c r="BQ22" s="920"/>
      <c r="BR22" s="920"/>
      <c r="BS22" s="920"/>
      <c r="BT22" s="920"/>
      <c r="BU22" s="920"/>
      <c r="BV22" s="920"/>
      <c r="BW22" s="920"/>
      <c r="BX22" s="920"/>
      <c r="BY22" s="920"/>
      <c r="BZ22" s="920"/>
      <c r="CA22" s="920"/>
      <c r="CB22" s="920"/>
      <c r="CC22" s="920"/>
      <c r="CD22" s="920"/>
      <c r="CE22" s="920"/>
      <c r="CF22" s="920"/>
      <c r="CG22" s="920"/>
      <c r="CH22" s="920"/>
      <c r="CI22" s="920"/>
      <c r="CJ22" s="920"/>
      <c r="CK22" s="920"/>
      <c r="CL22" s="920"/>
      <c r="CM22" s="920"/>
      <c r="CN22" s="921"/>
      <c r="CO22" s="922"/>
      <c r="CP22" s="923"/>
      <c r="CQ22" s="924"/>
      <c r="CR22" s="920"/>
      <c r="CS22" s="920"/>
      <c r="CT22" s="920"/>
      <c r="CU22" s="920"/>
      <c r="CV22" s="920"/>
      <c r="CW22" s="920"/>
      <c r="CX22" s="920"/>
      <c r="CY22" s="920"/>
      <c r="CZ22" s="920"/>
      <c r="DA22" s="920"/>
      <c r="DB22" s="920"/>
      <c r="DC22" s="920"/>
      <c r="DD22" s="920"/>
      <c r="DE22" s="920"/>
      <c r="DF22" s="920"/>
      <c r="DG22" s="920"/>
      <c r="DH22" s="920"/>
      <c r="DI22" s="920"/>
      <c r="EL22" s="872"/>
      <c r="FZ22" s="876"/>
      <c r="GA22" s="876"/>
      <c r="GB22" s="876"/>
      <c r="GC22" s="876"/>
      <c r="GI22" s="876"/>
      <c r="GJ22" s="876"/>
      <c r="GK22" s="876"/>
      <c r="GL22" s="876"/>
      <c r="GM22" s="876"/>
      <c r="GN22" s="876"/>
      <c r="GO22" s="876"/>
      <c r="GP22" s="876"/>
      <c r="GQ22" s="876"/>
      <c r="GR22" s="876"/>
      <c r="GS22" s="876"/>
      <c r="GT22" s="876"/>
      <c r="GU22" s="876"/>
      <c r="GV22" s="876"/>
      <c r="GW22" s="876"/>
      <c r="GX22" s="876"/>
      <c r="GY22" s="876"/>
      <c r="HA22" s="876"/>
      <c r="HB22" s="876"/>
      <c r="LY22" s="877"/>
      <c r="MG22" s="878"/>
      <c r="MH22" s="878"/>
      <c r="MI22" s="878"/>
      <c r="MJ22" s="878"/>
      <c r="MK22" s="878"/>
      <c r="ML22" s="878"/>
      <c r="MM22" s="878"/>
      <c r="MN22" s="878"/>
      <c r="MO22" s="878"/>
      <c r="MP22" s="878"/>
      <c r="MQ22" s="878"/>
      <c r="MR22" s="878"/>
      <c r="MS22" s="878"/>
      <c r="MT22" s="878"/>
      <c r="MU22" s="878"/>
      <c r="MV22" s="878"/>
      <c r="MW22" s="878"/>
      <c r="MX22" s="878"/>
      <c r="MY22" s="878"/>
      <c r="MZ22" s="878"/>
      <c r="NA22" s="878"/>
      <c r="NB22" s="878"/>
      <c r="NC22" s="878"/>
      <c r="ND22" s="878"/>
      <c r="NE22" s="878"/>
      <c r="NF22" s="878"/>
      <c r="NG22" s="878"/>
      <c r="NH22" s="878"/>
      <c r="NI22" s="878"/>
      <c r="NJ22" s="878"/>
      <c r="NK22" s="878"/>
      <c r="NL22" s="878"/>
      <c r="NM22" s="878"/>
    </row>
    <row r="23" spans="1:466 1191:1191" s="870" customFormat="1" ht="18" customHeight="1" x14ac:dyDescent="0.25">
      <c r="B23" s="920" t="s">
        <v>16</v>
      </c>
      <c r="C23" s="920"/>
      <c r="D23" s="920"/>
      <c r="E23" s="920"/>
      <c r="F23" s="920"/>
      <c r="G23" s="920"/>
      <c r="H23" s="920"/>
      <c r="I23" s="920"/>
      <c r="J23" s="921"/>
      <c r="K23" s="920"/>
      <c r="L23" s="920"/>
      <c r="M23" s="920"/>
      <c r="N23" s="920"/>
      <c r="O23" s="920"/>
      <c r="P23" s="920"/>
      <c r="Q23" s="920"/>
      <c r="R23" s="920"/>
      <c r="S23" s="920"/>
      <c r="T23" s="920"/>
      <c r="U23" s="920"/>
      <c r="V23" s="920"/>
      <c r="W23" s="920"/>
      <c r="X23" s="920"/>
      <c r="Y23" s="920"/>
      <c r="Z23" s="920"/>
      <c r="AA23" s="920"/>
      <c r="AB23" s="920"/>
      <c r="AC23" s="920"/>
      <c r="AD23" s="920"/>
      <c r="AE23" s="920"/>
      <c r="AF23" s="920"/>
      <c r="AG23" s="920"/>
      <c r="AH23" s="920"/>
      <c r="AI23" s="920"/>
      <c r="AJ23" s="920"/>
      <c r="AK23" s="920"/>
      <c r="AL23" s="920"/>
      <c r="AM23" s="920"/>
      <c r="AN23" s="920"/>
      <c r="AO23" s="920"/>
      <c r="AP23" s="920"/>
      <c r="AQ23" s="920"/>
      <c r="AR23" s="920"/>
      <c r="AS23" s="920"/>
      <c r="AT23" s="920"/>
      <c r="AU23" s="920"/>
      <c r="AV23" s="920"/>
      <c r="AW23" s="920"/>
      <c r="AX23" s="920"/>
      <c r="AY23" s="920"/>
      <c r="AZ23" s="920"/>
      <c r="BA23" s="920"/>
      <c r="BB23" s="920"/>
      <c r="BC23" s="920"/>
      <c r="BD23" s="920"/>
      <c r="BE23" s="920"/>
      <c r="BF23" s="920"/>
      <c r="BG23" s="920"/>
      <c r="BH23" s="920"/>
      <c r="BI23" s="920"/>
      <c r="BJ23" s="920"/>
      <c r="BK23" s="920"/>
      <c r="BL23" s="920"/>
      <c r="BM23" s="920"/>
      <c r="BN23" s="920"/>
      <c r="BO23" s="920"/>
      <c r="BP23" s="920"/>
      <c r="BQ23" s="920"/>
      <c r="BR23" s="920"/>
      <c r="BS23" s="920"/>
      <c r="BT23" s="920"/>
      <c r="BU23" s="920"/>
      <c r="BV23" s="920"/>
      <c r="BW23" s="920"/>
      <c r="BX23" s="920"/>
      <c r="BY23" s="920"/>
      <c r="BZ23" s="920"/>
      <c r="CA23" s="920"/>
      <c r="CB23" s="920"/>
      <c r="CC23" s="920"/>
      <c r="CD23" s="920"/>
      <c r="CE23" s="920"/>
      <c r="CF23" s="920"/>
      <c r="CG23" s="920"/>
      <c r="CH23" s="920"/>
      <c r="CI23" s="920"/>
      <c r="CJ23" s="920"/>
      <c r="CK23" s="920"/>
      <c r="CL23" s="920"/>
      <c r="CM23" s="920"/>
      <c r="CN23" s="921"/>
      <c r="CO23" s="922"/>
      <c r="CP23" s="923"/>
      <c r="CQ23" s="924"/>
      <c r="CR23" s="920"/>
      <c r="CS23" s="920"/>
      <c r="CT23" s="920"/>
      <c r="CU23" s="920"/>
      <c r="CV23" s="920"/>
      <c r="CW23" s="920"/>
      <c r="CX23" s="920"/>
      <c r="CY23" s="920"/>
      <c r="CZ23" s="920"/>
      <c r="DA23" s="920"/>
      <c r="DB23" s="920"/>
      <c r="DC23" s="920"/>
      <c r="DD23" s="920"/>
      <c r="DE23" s="920"/>
      <c r="DF23" s="920"/>
      <c r="DG23" s="920"/>
      <c r="DH23" s="920"/>
      <c r="DI23" s="920"/>
      <c r="EL23" s="872"/>
      <c r="FZ23" s="876"/>
      <c r="GA23" s="876"/>
      <c r="GB23" s="876"/>
      <c r="GC23" s="876"/>
      <c r="GI23" s="876"/>
      <c r="GJ23" s="876"/>
      <c r="GK23" s="876"/>
      <c r="GL23" s="876"/>
      <c r="GM23" s="876"/>
      <c r="GN23" s="876"/>
      <c r="GO23" s="876"/>
      <c r="GP23" s="876"/>
      <c r="GQ23" s="876"/>
      <c r="GR23" s="876"/>
      <c r="GS23" s="876"/>
      <c r="GT23" s="876"/>
      <c r="GU23" s="876"/>
      <c r="GV23" s="876"/>
      <c r="GW23" s="876"/>
      <c r="GX23" s="876"/>
      <c r="GY23" s="876"/>
      <c r="HA23" s="876"/>
      <c r="HB23" s="876"/>
      <c r="LY23" s="877"/>
      <c r="MG23" s="878"/>
      <c r="MH23" s="878"/>
      <c r="MI23" s="878"/>
      <c r="MJ23" s="878"/>
      <c r="MK23" s="878"/>
      <c r="ML23" s="878"/>
      <c r="MM23" s="878"/>
      <c r="MN23" s="878"/>
      <c r="MO23" s="878"/>
      <c r="MP23" s="878"/>
      <c r="MQ23" s="878"/>
      <c r="MR23" s="878"/>
      <c r="MS23" s="878"/>
      <c r="MT23" s="878"/>
      <c r="MU23" s="878"/>
      <c r="MV23" s="878"/>
      <c r="MW23" s="878"/>
      <c r="MX23" s="878"/>
      <c r="MY23" s="878"/>
      <c r="MZ23" s="878"/>
      <c r="NA23" s="878"/>
      <c r="NB23" s="878"/>
      <c r="NC23" s="878"/>
      <c r="ND23" s="878"/>
      <c r="NE23" s="878"/>
      <c r="NF23" s="878"/>
      <c r="NG23" s="878"/>
      <c r="NH23" s="878"/>
      <c r="NI23" s="878"/>
      <c r="NJ23" s="878"/>
      <c r="NK23" s="878"/>
      <c r="NL23" s="878"/>
      <c r="NM23" s="878"/>
    </row>
    <row r="24" spans="1:466 1191:1191" s="870" customFormat="1" ht="18" customHeight="1" thickBot="1" x14ac:dyDescent="0.3">
      <c r="J24" s="871"/>
      <c r="CN24" s="872"/>
      <c r="CO24" s="873"/>
      <c r="CP24" s="925"/>
      <c r="CQ24" s="926"/>
      <c r="CR24" s="872"/>
      <c r="CS24" s="872"/>
      <c r="CU24" s="872"/>
      <c r="CV24" s="872"/>
      <c r="CW24" s="872"/>
      <c r="CX24" s="872"/>
      <c r="CZ24" s="872"/>
      <c r="DB24" s="876"/>
      <c r="DC24" s="874"/>
      <c r="EL24" s="872"/>
      <c r="FZ24" s="876"/>
      <c r="GA24" s="876"/>
      <c r="GB24" s="876"/>
      <c r="GC24" s="876"/>
      <c r="GI24" s="876"/>
      <c r="GJ24" s="876"/>
      <c r="GK24" s="876"/>
      <c r="GL24" s="876"/>
      <c r="GM24" s="876"/>
      <c r="GN24" s="876"/>
      <c r="GO24" s="876"/>
      <c r="GP24" s="876"/>
      <c r="GQ24" s="876"/>
      <c r="GR24" s="876"/>
      <c r="GS24" s="876"/>
      <c r="GT24" s="876"/>
      <c r="GU24" s="876"/>
      <c r="GV24" s="876"/>
      <c r="GW24" s="876"/>
      <c r="GX24" s="876"/>
      <c r="GY24" s="876"/>
      <c r="HA24" s="876"/>
      <c r="HB24" s="876"/>
      <c r="LY24" s="877"/>
      <c r="MG24" s="878"/>
      <c r="MH24" s="878"/>
      <c r="MI24" s="878"/>
      <c r="MJ24" s="878"/>
      <c r="MK24" s="878"/>
      <c r="ML24" s="878"/>
      <c r="MM24" s="878"/>
      <c r="MN24" s="878"/>
      <c r="MO24" s="878"/>
      <c r="MP24" s="878"/>
      <c r="MQ24" s="878"/>
      <c r="MR24" s="878"/>
      <c r="MS24" s="878"/>
      <c r="MT24" s="878"/>
      <c r="MU24" s="878"/>
      <c r="MV24" s="878"/>
      <c r="MW24" s="878"/>
      <c r="MX24" s="878"/>
      <c r="MY24" s="878"/>
      <c r="MZ24" s="878"/>
      <c r="NA24" s="878"/>
      <c r="NB24" s="878"/>
      <c r="NC24" s="878"/>
      <c r="ND24" s="878"/>
      <c r="NE24" s="878"/>
      <c r="NF24" s="878"/>
      <c r="NG24" s="878"/>
      <c r="NH24" s="878"/>
      <c r="NI24" s="878"/>
      <c r="NJ24" s="878"/>
      <c r="NK24" s="878"/>
      <c r="NL24" s="878"/>
      <c r="NM24" s="878"/>
    </row>
    <row r="25" spans="1:466 1191:1191" s="951" customFormat="1" ht="21" customHeight="1" thickBot="1" x14ac:dyDescent="0.3">
      <c r="A25" s="11"/>
      <c r="B25" s="927"/>
      <c r="C25" s="928"/>
      <c r="D25" s="764" t="s">
        <v>17</v>
      </c>
      <c r="E25" s="765"/>
      <c r="F25" s="765"/>
      <c r="G25" s="765"/>
      <c r="H25" s="765"/>
      <c r="I25" s="765"/>
      <c r="J25" s="766"/>
      <c r="K25" s="765"/>
      <c r="L25" s="765"/>
      <c r="M25" s="765"/>
      <c r="N25" s="765"/>
      <c r="O25" s="765"/>
      <c r="P25" s="765"/>
      <c r="Q25" s="765"/>
      <c r="R25" s="765"/>
      <c r="S25" s="765"/>
      <c r="T25" s="767"/>
      <c r="U25" s="768" t="s">
        <v>18</v>
      </c>
      <c r="V25" s="769"/>
      <c r="W25" s="769"/>
      <c r="X25" s="769"/>
      <c r="Y25" s="769"/>
      <c r="Z25" s="769"/>
      <c r="AA25" s="769"/>
      <c r="AB25" s="769"/>
      <c r="AC25" s="769"/>
      <c r="AD25" s="770"/>
      <c r="AE25" s="760" t="s">
        <v>19</v>
      </c>
      <c r="AF25" s="761"/>
      <c r="AG25" s="761"/>
      <c r="AH25" s="761"/>
      <c r="AI25" s="761"/>
      <c r="AJ25" s="761"/>
      <c r="AK25" s="761"/>
      <c r="AL25" s="761"/>
      <c r="AM25" s="761"/>
      <c r="AN25" s="761"/>
      <c r="AO25" s="761"/>
      <c r="AP25" s="761"/>
      <c r="AQ25" s="761"/>
      <c r="AR25" s="761"/>
      <c r="AS25" s="761"/>
      <c r="AT25" s="763"/>
      <c r="AU25" s="760" t="s">
        <v>20</v>
      </c>
      <c r="AV25" s="761"/>
      <c r="AW25" s="761"/>
      <c r="AX25" s="761"/>
      <c r="AY25" s="761"/>
      <c r="AZ25" s="761"/>
      <c r="BA25" s="761"/>
      <c r="BB25" s="761"/>
      <c r="BC25" s="761"/>
      <c r="BD25" s="761"/>
      <c r="BE25" s="761"/>
      <c r="BF25" s="761"/>
      <c r="BG25" s="761"/>
      <c r="BH25" s="761"/>
      <c r="BI25" s="761"/>
      <c r="BJ25" s="761"/>
      <c r="BK25" s="761"/>
      <c r="BL25" s="761"/>
      <c r="BM25" s="761"/>
      <c r="BN25" s="761"/>
      <c r="BO25" s="761"/>
      <c r="BP25" s="761"/>
      <c r="BQ25" s="761"/>
      <c r="BR25" s="761"/>
      <c r="BS25" s="761"/>
      <c r="BT25" s="761"/>
      <c r="BU25" s="761"/>
      <c r="BV25" s="761"/>
      <c r="BW25" s="761"/>
      <c r="BX25" s="761"/>
      <c r="BY25" s="761"/>
      <c r="BZ25" s="761"/>
      <c r="CA25" s="761"/>
      <c r="CB25" s="761"/>
      <c r="CC25" s="761"/>
      <c r="CD25" s="761"/>
      <c r="CE25" s="761"/>
      <c r="CF25" s="761"/>
      <c r="CG25" s="761"/>
      <c r="CH25" s="761"/>
      <c r="CI25" s="761"/>
      <c r="CJ25" s="761"/>
      <c r="CK25" s="761"/>
      <c r="CL25" s="761"/>
      <c r="CM25" s="761"/>
      <c r="CN25" s="771"/>
      <c r="CO25" s="929" t="s">
        <v>21</v>
      </c>
      <c r="CP25" s="930"/>
      <c r="CQ25" s="931"/>
      <c r="CR25" s="930"/>
      <c r="CS25" s="930"/>
      <c r="CT25" s="932"/>
      <c r="CU25" s="930"/>
      <c r="CV25" s="930"/>
      <c r="CW25" s="930"/>
      <c r="CX25" s="930"/>
      <c r="CY25" s="932"/>
      <c r="CZ25" s="933"/>
      <c r="DA25" s="934" t="s">
        <v>22</v>
      </c>
      <c r="DB25" s="935"/>
      <c r="DC25" s="935"/>
      <c r="DD25" s="935"/>
      <c r="DE25" s="935"/>
      <c r="DF25" s="935"/>
      <c r="DG25" s="935"/>
      <c r="DH25" s="935"/>
      <c r="DI25" s="936"/>
      <c r="DJ25" s="12" t="s">
        <v>23</v>
      </c>
      <c r="DK25" s="13"/>
      <c r="DL25" s="13"/>
      <c r="DM25" s="14" t="s">
        <v>24</v>
      </c>
      <c r="DN25" s="14"/>
      <c r="DO25" s="14"/>
      <c r="DP25" s="14"/>
      <c r="DQ25" s="15" t="s">
        <v>25</v>
      </c>
      <c r="DR25" s="15"/>
      <c r="DS25" s="15"/>
      <c r="DT25" s="937" t="s">
        <v>26</v>
      </c>
      <c r="DU25" s="937"/>
      <c r="DV25" s="937"/>
      <c r="DW25" s="937"/>
      <c r="DX25" s="937"/>
      <c r="DY25" s="937"/>
      <c r="DZ25" s="16" t="s">
        <v>27</v>
      </c>
      <c r="EA25" s="16"/>
      <c r="EB25" s="16"/>
      <c r="EC25" s="16"/>
      <c r="ED25" s="17"/>
      <c r="EE25" s="760" t="s">
        <v>28</v>
      </c>
      <c r="EF25" s="761"/>
      <c r="EG25" s="761"/>
      <c r="EH25" s="761"/>
      <c r="EI25" s="761"/>
      <c r="EJ25" s="761"/>
      <c r="EK25" s="761"/>
      <c r="EL25" s="762"/>
      <c r="EM25" s="761"/>
      <c r="EN25" s="761"/>
      <c r="EO25" s="761"/>
      <c r="EP25" s="761"/>
      <c r="EQ25" s="761"/>
      <c r="ER25" s="761"/>
      <c r="ES25" s="761"/>
      <c r="ET25" s="763"/>
      <c r="EU25" s="760" t="s">
        <v>21</v>
      </c>
      <c r="EV25" s="761"/>
      <c r="EW25" s="761"/>
      <c r="EX25" s="761"/>
      <c r="EY25" s="761"/>
      <c r="EZ25" s="761"/>
      <c r="FA25" s="761"/>
      <c r="FB25" s="761"/>
      <c r="FC25" s="761"/>
      <c r="FD25" s="761"/>
      <c r="FE25" s="761"/>
      <c r="FF25" s="761"/>
      <c r="FG25" s="761"/>
      <c r="FH25" s="761"/>
      <c r="FI25" s="761"/>
      <c r="FJ25" s="763"/>
      <c r="FK25" s="760" t="s">
        <v>29</v>
      </c>
      <c r="FL25" s="761"/>
      <c r="FM25" s="761"/>
      <c r="FN25" s="761"/>
      <c r="FO25" s="761"/>
      <c r="FP25" s="761"/>
      <c r="FQ25" s="761"/>
      <c r="FR25" s="761"/>
      <c r="FS25" s="761"/>
      <c r="FT25" s="761"/>
      <c r="FU25" s="761"/>
      <c r="FV25" s="761"/>
      <c r="FW25" s="761"/>
      <c r="FX25" s="761"/>
      <c r="FY25" s="763"/>
      <c r="FZ25" s="938"/>
      <c r="GA25" s="939"/>
      <c r="GB25" s="938"/>
      <c r="GC25" s="939"/>
      <c r="GD25" s="940"/>
      <c r="GE25" s="941"/>
      <c r="GF25" s="941"/>
      <c r="GG25" s="941"/>
      <c r="GH25" s="941"/>
      <c r="GI25" s="938"/>
      <c r="GJ25" s="942"/>
      <c r="GK25" s="938"/>
      <c r="GL25" s="942"/>
      <c r="GM25" s="938"/>
      <c r="GN25" s="942"/>
      <c r="GO25" s="943"/>
      <c r="GP25" s="942"/>
      <c r="GQ25" s="943"/>
      <c r="GR25" s="942"/>
      <c r="GS25" s="943"/>
      <c r="GT25" s="942"/>
      <c r="GU25" s="943"/>
      <c r="GV25" s="942"/>
      <c r="GW25" s="943"/>
      <c r="GX25" s="944"/>
      <c r="GY25" s="943"/>
      <c r="GZ25" s="943"/>
      <c r="HA25" s="943"/>
      <c r="HB25" s="943"/>
      <c r="HC25" s="943"/>
      <c r="HD25" s="943"/>
      <c r="HE25" s="943"/>
      <c r="HF25" s="943"/>
      <c r="HG25" s="943"/>
      <c r="HH25" s="943"/>
      <c r="HI25" s="943"/>
      <c r="HJ25" s="943"/>
      <c r="HK25" s="943"/>
      <c r="HL25" s="943"/>
      <c r="HM25" s="943"/>
      <c r="HN25" s="943"/>
      <c r="HO25" s="943"/>
      <c r="HP25" s="943"/>
      <c r="HQ25" s="943"/>
      <c r="HR25" s="943"/>
      <c r="HS25" s="943"/>
      <c r="HT25" s="943"/>
      <c r="HU25" s="943"/>
      <c r="HV25" s="943"/>
      <c r="HW25" s="943"/>
      <c r="HX25" s="943"/>
      <c r="HY25" s="943"/>
      <c r="HZ25" s="943"/>
      <c r="IA25" s="943"/>
      <c r="IB25" s="943"/>
      <c r="IC25" s="943"/>
      <c r="ID25" s="943"/>
      <c r="IE25" s="943"/>
      <c r="IF25" s="943"/>
      <c r="IG25" s="943"/>
      <c r="IH25" s="943"/>
      <c r="II25" s="943"/>
      <c r="IJ25" s="943"/>
      <c r="IK25" s="943"/>
      <c r="IL25" s="943"/>
      <c r="IM25" s="943"/>
      <c r="IN25" s="943"/>
      <c r="IO25" s="943"/>
      <c r="IP25" s="943"/>
      <c r="IQ25" s="943"/>
      <c r="IR25" s="943"/>
      <c r="IS25" s="943"/>
      <c r="IT25" s="943"/>
      <c r="IU25" s="943"/>
      <c r="IV25" s="943"/>
      <c r="IW25" s="943"/>
      <c r="IX25" s="943"/>
      <c r="IY25" s="943"/>
      <c r="IZ25" s="943"/>
      <c r="JA25" s="943"/>
      <c r="JB25" s="943"/>
      <c r="JC25" s="943"/>
      <c r="JD25" s="943"/>
      <c r="JE25" s="943"/>
      <c r="JF25" s="945"/>
      <c r="JG25" s="943"/>
      <c r="JH25" s="943"/>
      <c r="JI25" s="943"/>
      <c r="JJ25" s="943"/>
      <c r="JK25" s="943"/>
      <c r="JL25" s="943"/>
      <c r="JM25" s="943"/>
      <c r="JN25" s="943"/>
      <c r="JO25" s="946"/>
      <c r="JP25" s="946"/>
      <c r="JQ25" s="946"/>
      <c r="JR25" s="946"/>
      <c r="JS25" s="946"/>
      <c r="JT25" s="946"/>
      <c r="JU25" s="946"/>
      <c r="JV25" s="946"/>
      <c r="JW25" s="946"/>
      <c r="JX25" s="946"/>
      <c r="JY25" s="946"/>
      <c r="JZ25" s="946"/>
      <c r="KA25" s="946"/>
      <c r="KB25" s="946"/>
      <c r="KC25" s="946"/>
      <c r="KD25" s="946"/>
      <c r="KE25" s="946"/>
      <c r="KF25" s="946"/>
      <c r="KG25" s="946"/>
      <c r="KH25" s="946"/>
      <c r="KI25" s="946"/>
      <c r="KJ25" s="946"/>
      <c r="KK25" s="943"/>
      <c r="KL25" s="943"/>
      <c r="KM25" s="943"/>
      <c r="KN25" s="943"/>
      <c r="KO25" s="943"/>
      <c r="KP25" s="943"/>
      <c r="KQ25" s="943"/>
      <c r="KR25" s="943"/>
      <c r="KS25" s="943"/>
      <c r="KT25" s="943"/>
      <c r="KU25" s="943"/>
      <c r="KV25" s="943"/>
      <c r="KW25" s="943"/>
      <c r="KX25" s="943"/>
      <c r="KY25" s="943"/>
      <c r="KZ25" s="943"/>
      <c r="LA25" s="943"/>
      <c r="LB25" s="943"/>
      <c r="LC25" s="943"/>
      <c r="LD25" s="943"/>
      <c r="LE25" s="943"/>
      <c r="LF25" s="943"/>
      <c r="LG25" s="943"/>
      <c r="LH25" s="943"/>
      <c r="LI25" s="943"/>
      <c r="LJ25" s="943"/>
      <c r="LK25" s="943"/>
      <c r="LL25" s="943"/>
      <c r="LM25" s="943"/>
      <c r="LN25" s="943"/>
      <c r="LO25" s="943"/>
      <c r="LP25" s="943"/>
      <c r="LQ25" s="943"/>
      <c r="LR25" s="943"/>
      <c r="LS25" s="943"/>
      <c r="LT25" s="943"/>
      <c r="LU25" s="943"/>
      <c r="LV25" s="943"/>
      <c r="LW25" s="943"/>
      <c r="LX25" s="943"/>
      <c r="LY25" s="946"/>
      <c r="LZ25" s="947"/>
      <c r="MA25" s="947"/>
      <c r="MB25" s="948"/>
      <c r="MC25" s="949"/>
      <c r="MD25" s="950"/>
      <c r="ME25" s="950"/>
      <c r="MF25" s="950"/>
      <c r="MG25" s="878"/>
      <c r="MH25" s="878"/>
      <c r="MI25" s="878"/>
      <c r="MJ25" s="878"/>
      <c r="MK25" s="878"/>
      <c r="ML25" s="878"/>
      <c r="MM25" s="878"/>
      <c r="MN25" s="878"/>
      <c r="MO25" s="878"/>
      <c r="MP25" s="878"/>
      <c r="MQ25" s="878"/>
      <c r="MR25" s="878"/>
      <c r="MS25" s="878"/>
      <c r="MT25" s="878"/>
      <c r="MU25" s="878"/>
      <c r="MV25" s="878"/>
      <c r="MW25" s="878"/>
      <c r="MX25" s="878"/>
      <c r="MY25" s="878"/>
      <c r="MZ25" s="878"/>
      <c r="NA25" s="878"/>
      <c r="NB25" s="878"/>
      <c r="NC25" s="878"/>
      <c r="ND25" s="878"/>
      <c r="NE25" s="878"/>
      <c r="NF25" s="878"/>
      <c r="NG25" s="878"/>
      <c r="NH25" s="878"/>
      <c r="NI25" s="878"/>
      <c r="NJ25" s="878"/>
      <c r="NK25" s="878"/>
      <c r="NL25" s="878"/>
      <c r="NM25" s="878"/>
    </row>
    <row r="26" spans="1:466 1191:1191" s="961" customFormat="1" ht="48.75" customHeight="1" x14ac:dyDescent="0.25">
      <c r="A26" s="18"/>
      <c r="B26" s="19" t="s">
        <v>30</v>
      </c>
      <c r="C26" s="20" t="s">
        <v>31</v>
      </c>
      <c r="D26" s="19" t="s">
        <v>32</v>
      </c>
      <c r="E26" s="21" t="s">
        <v>33</v>
      </c>
      <c r="F26" s="21" t="s">
        <v>34</v>
      </c>
      <c r="G26" s="21" t="s">
        <v>35</v>
      </c>
      <c r="H26" s="21" t="s">
        <v>36</v>
      </c>
      <c r="I26" s="21" t="s">
        <v>37</v>
      </c>
      <c r="J26" s="21" t="s">
        <v>38</v>
      </c>
      <c r="K26" s="21" t="s">
        <v>39</v>
      </c>
      <c r="L26" s="21" t="s">
        <v>40</v>
      </c>
      <c r="M26" s="21" t="s">
        <v>41</v>
      </c>
      <c r="N26" s="21" t="s">
        <v>42</v>
      </c>
      <c r="O26" s="21" t="s">
        <v>43</v>
      </c>
      <c r="P26" s="21" t="s">
        <v>44</v>
      </c>
      <c r="Q26" s="21" t="s">
        <v>45</v>
      </c>
      <c r="R26" s="21" t="s">
        <v>46</v>
      </c>
      <c r="S26" s="21" t="s">
        <v>47</v>
      </c>
      <c r="T26" s="20" t="s">
        <v>48</v>
      </c>
      <c r="U26" s="19" t="s">
        <v>49</v>
      </c>
      <c r="V26" s="21" t="s">
        <v>50</v>
      </c>
      <c r="W26" s="21" t="s">
        <v>51</v>
      </c>
      <c r="X26" s="21" t="s">
        <v>52</v>
      </c>
      <c r="Y26" s="21" t="s">
        <v>53</v>
      </c>
      <c r="Z26" s="21" t="s">
        <v>54</v>
      </c>
      <c r="AA26" s="21" t="s">
        <v>55</v>
      </c>
      <c r="AB26" s="21" t="s">
        <v>56</v>
      </c>
      <c r="AC26" s="21" t="s">
        <v>57</v>
      </c>
      <c r="AD26" s="20" t="s">
        <v>58</v>
      </c>
      <c r="AE26" s="22" t="s">
        <v>59</v>
      </c>
      <c r="AF26" s="23" t="s">
        <v>60</v>
      </c>
      <c r="AG26" s="23" t="s">
        <v>61</v>
      </c>
      <c r="AH26" s="23" t="s">
        <v>62</v>
      </c>
      <c r="AI26" s="23" t="s">
        <v>63</v>
      </c>
      <c r="AJ26" s="23" t="s">
        <v>64</v>
      </c>
      <c r="AK26" s="23" t="s">
        <v>65</v>
      </c>
      <c r="AL26" s="24" t="s">
        <v>66</v>
      </c>
      <c r="AM26" s="22" t="s">
        <v>67</v>
      </c>
      <c r="AN26" s="24" t="s">
        <v>68</v>
      </c>
      <c r="AO26" s="25" t="s">
        <v>69</v>
      </c>
      <c r="AP26" s="21" t="s">
        <v>70</v>
      </c>
      <c r="AQ26" s="21" t="s">
        <v>71</v>
      </c>
      <c r="AR26" s="21" t="s">
        <v>72</v>
      </c>
      <c r="AS26" s="21" t="s">
        <v>73</v>
      </c>
      <c r="AT26" s="26" t="s">
        <v>74</v>
      </c>
      <c r="AU26" s="19" t="s">
        <v>75</v>
      </c>
      <c r="AV26" s="21" t="s">
        <v>76</v>
      </c>
      <c r="AW26" s="21" t="s">
        <v>77</v>
      </c>
      <c r="AX26" s="21" t="s">
        <v>78</v>
      </c>
      <c r="AY26" s="21" t="s">
        <v>79</v>
      </c>
      <c r="AZ26" s="21" t="s">
        <v>80</v>
      </c>
      <c r="BA26" s="21" t="s">
        <v>81</v>
      </c>
      <c r="BB26" s="21" t="s">
        <v>82</v>
      </c>
      <c r="BC26" s="21" t="s">
        <v>83</v>
      </c>
      <c r="BD26" s="21" t="s">
        <v>84</v>
      </c>
      <c r="BE26" s="21" t="s">
        <v>85</v>
      </c>
      <c r="BF26" s="21" t="s">
        <v>86</v>
      </c>
      <c r="BG26" s="21" t="s">
        <v>87</v>
      </c>
      <c r="BH26" s="21" t="s">
        <v>88</v>
      </c>
      <c r="BI26" s="21" t="s">
        <v>89</v>
      </c>
      <c r="BJ26" s="21" t="s">
        <v>66</v>
      </c>
      <c r="BK26" s="21" t="s">
        <v>90</v>
      </c>
      <c r="BL26" s="21" t="s">
        <v>91</v>
      </c>
      <c r="BM26" s="21" t="s">
        <v>92</v>
      </c>
      <c r="BN26" s="21" t="s">
        <v>93</v>
      </c>
      <c r="BO26" s="21" t="s">
        <v>94</v>
      </c>
      <c r="BP26" s="952" t="s">
        <v>95</v>
      </c>
      <c r="BQ26" s="21" t="s">
        <v>96</v>
      </c>
      <c r="BR26" s="21" t="s">
        <v>97</v>
      </c>
      <c r="BS26" s="21" t="s">
        <v>98</v>
      </c>
      <c r="BT26" s="21" t="s">
        <v>99</v>
      </c>
      <c r="BU26" s="21" t="s">
        <v>100</v>
      </c>
      <c r="BV26" s="21" t="s">
        <v>101</v>
      </c>
      <c r="BW26" s="21" t="s">
        <v>102</v>
      </c>
      <c r="BX26" s="21" t="s">
        <v>103</v>
      </c>
      <c r="BY26" s="21" t="s">
        <v>104</v>
      </c>
      <c r="BZ26" s="21" t="s">
        <v>105</v>
      </c>
      <c r="CA26" s="21" t="s">
        <v>106</v>
      </c>
      <c r="CB26" s="21" t="s">
        <v>107</v>
      </c>
      <c r="CC26" s="21" t="s">
        <v>108</v>
      </c>
      <c r="CD26" s="21" t="s">
        <v>109</v>
      </c>
      <c r="CE26" s="21" t="s">
        <v>110</v>
      </c>
      <c r="CF26" s="21" t="s">
        <v>111</v>
      </c>
      <c r="CG26" s="21" t="s">
        <v>112</v>
      </c>
      <c r="CH26" s="21" t="s">
        <v>113</v>
      </c>
      <c r="CI26" s="21" t="s">
        <v>114</v>
      </c>
      <c r="CJ26" s="952" t="s">
        <v>115</v>
      </c>
      <c r="CK26" s="952" t="s">
        <v>116</v>
      </c>
      <c r="CL26" s="952" t="s">
        <v>117</v>
      </c>
      <c r="CM26" s="21" t="s">
        <v>118</v>
      </c>
      <c r="CN26" s="27" t="s">
        <v>119</v>
      </c>
      <c r="CO26" s="28" t="s">
        <v>120</v>
      </c>
      <c r="CP26" s="29" t="s">
        <v>121</v>
      </c>
      <c r="CQ26" s="30" t="s">
        <v>122</v>
      </c>
      <c r="CR26" s="31" t="s">
        <v>123</v>
      </c>
      <c r="CS26" s="31" t="s">
        <v>124</v>
      </c>
      <c r="CT26" s="21" t="s">
        <v>124</v>
      </c>
      <c r="CU26" s="31" t="s">
        <v>125</v>
      </c>
      <c r="CV26" s="31" t="s">
        <v>126</v>
      </c>
      <c r="CW26" s="31" t="s">
        <v>127</v>
      </c>
      <c r="CX26" s="31" t="s">
        <v>128</v>
      </c>
      <c r="CY26" s="21" t="s">
        <v>129</v>
      </c>
      <c r="CZ26" s="27" t="s">
        <v>130</v>
      </c>
      <c r="DA26" s="22" t="s">
        <v>75</v>
      </c>
      <c r="DB26" s="32" t="s">
        <v>120</v>
      </c>
      <c r="DC26" s="33" t="s">
        <v>121</v>
      </c>
      <c r="DD26" s="34" t="s">
        <v>122</v>
      </c>
      <c r="DE26" s="21" t="s">
        <v>125</v>
      </c>
      <c r="DF26" s="952" t="s">
        <v>124</v>
      </c>
      <c r="DG26" s="21" t="s">
        <v>126</v>
      </c>
      <c r="DH26" s="21" t="s">
        <v>119</v>
      </c>
      <c r="DI26" s="20" t="s">
        <v>131</v>
      </c>
      <c r="DJ26" s="35" t="s">
        <v>132</v>
      </c>
      <c r="DK26" s="36" t="s">
        <v>133</v>
      </c>
      <c r="DL26" s="36" t="s">
        <v>134</v>
      </c>
      <c r="DM26" s="36" t="s">
        <v>135</v>
      </c>
      <c r="DN26" s="36" t="s">
        <v>136</v>
      </c>
      <c r="DO26" s="36" t="s">
        <v>137</v>
      </c>
      <c r="DP26" s="36" t="s">
        <v>138</v>
      </c>
      <c r="DQ26" s="36" t="s">
        <v>139</v>
      </c>
      <c r="DR26" s="36" t="s">
        <v>140</v>
      </c>
      <c r="DS26" s="36" t="s">
        <v>141</v>
      </c>
      <c r="DT26" s="36" t="s">
        <v>142</v>
      </c>
      <c r="DU26" s="36" t="s">
        <v>128</v>
      </c>
      <c r="DV26" s="36" t="s">
        <v>120</v>
      </c>
      <c r="DW26" s="36" t="s">
        <v>121</v>
      </c>
      <c r="DX26" s="36" t="s">
        <v>122</v>
      </c>
      <c r="DY26" s="36" t="s">
        <v>143</v>
      </c>
      <c r="DZ26" s="36" t="s">
        <v>120</v>
      </c>
      <c r="EA26" s="36" t="s">
        <v>121</v>
      </c>
      <c r="EB26" s="36" t="s">
        <v>122</v>
      </c>
      <c r="EC26" s="36" t="s">
        <v>143</v>
      </c>
      <c r="ED26" s="37" t="s">
        <v>144</v>
      </c>
      <c r="EE26" s="38" t="s">
        <v>145</v>
      </c>
      <c r="EF26" s="39" t="s">
        <v>106</v>
      </c>
      <c r="EG26" s="39" t="s">
        <v>107</v>
      </c>
      <c r="EH26" s="39" t="s">
        <v>108</v>
      </c>
      <c r="EI26" s="39" t="s">
        <v>103</v>
      </c>
      <c r="EJ26" s="39" t="s">
        <v>104</v>
      </c>
      <c r="EK26" s="39" t="s">
        <v>105</v>
      </c>
      <c r="EL26" s="40" t="s">
        <v>120</v>
      </c>
      <c r="EM26" s="39" t="s">
        <v>121</v>
      </c>
      <c r="EN26" s="39" t="s">
        <v>146</v>
      </c>
      <c r="EO26" s="39" t="s">
        <v>123</v>
      </c>
      <c r="EP26" s="39" t="s">
        <v>147</v>
      </c>
      <c r="EQ26" s="39" t="s">
        <v>111</v>
      </c>
      <c r="ER26" s="39" t="s">
        <v>124</v>
      </c>
      <c r="ES26" s="39" t="s">
        <v>119</v>
      </c>
      <c r="ET26" s="41" t="s">
        <v>148</v>
      </c>
      <c r="EU26" s="38" t="s">
        <v>145</v>
      </c>
      <c r="EV26" s="39" t="s">
        <v>106</v>
      </c>
      <c r="EW26" s="39" t="s">
        <v>107</v>
      </c>
      <c r="EX26" s="39" t="s">
        <v>108</v>
      </c>
      <c r="EY26" s="39" t="s">
        <v>103</v>
      </c>
      <c r="EZ26" s="39" t="s">
        <v>104</v>
      </c>
      <c r="FA26" s="39" t="s">
        <v>105</v>
      </c>
      <c r="FB26" s="39" t="s">
        <v>120</v>
      </c>
      <c r="FC26" s="39" t="s">
        <v>121</v>
      </c>
      <c r="FD26" s="39" t="s">
        <v>146</v>
      </c>
      <c r="FE26" s="39" t="s">
        <v>123</v>
      </c>
      <c r="FF26" s="39" t="s">
        <v>147</v>
      </c>
      <c r="FG26" s="39" t="s">
        <v>111</v>
      </c>
      <c r="FH26" s="39" t="s">
        <v>124</v>
      </c>
      <c r="FI26" s="39" t="s">
        <v>119</v>
      </c>
      <c r="FJ26" s="41" t="s">
        <v>148</v>
      </c>
      <c r="FK26" s="38" t="s">
        <v>145</v>
      </c>
      <c r="FL26" s="39" t="s">
        <v>106</v>
      </c>
      <c r="FM26" s="39" t="s">
        <v>107</v>
      </c>
      <c r="FN26" s="39" t="s">
        <v>108</v>
      </c>
      <c r="FO26" s="39" t="s">
        <v>104</v>
      </c>
      <c r="FP26" s="39" t="s">
        <v>105</v>
      </c>
      <c r="FQ26" s="39" t="s">
        <v>120</v>
      </c>
      <c r="FR26" s="39" t="s">
        <v>121</v>
      </c>
      <c r="FS26" s="39" t="s">
        <v>146</v>
      </c>
      <c r="FT26" s="39" t="s">
        <v>123</v>
      </c>
      <c r="FU26" s="39" t="s">
        <v>111</v>
      </c>
      <c r="FV26" s="39" t="s">
        <v>124</v>
      </c>
      <c r="FW26" s="39" t="s">
        <v>147</v>
      </c>
      <c r="FX26" s="39" t="s">
        <v>119</v>
      </c>
      <c r="FY26" s="41" t="s">
        <v>148</v>
      </c>
      <c r="FZ26" s="38" t="s">
        <v>149</v>
      </c>
      <c r="GA26" s="41" t="s">
        <v>150</v>
      </c>
      <c r="GB26" s="42" t="s">
        <v>151</v>
      </c>
      <c r="GC26" s="43" t="s">
        <v>152</v>
      </c>
      <c r="GD26" s="953" t="s">
        <v>153</v>
      </c>
      <c r="GE26" s="954">
        <v>45078</v>
      </c>
      <c r="GF26" s="955"/>
      <c r="GG26" s="954">
        <v>45047</v>
      </c>
      <c r="GH26" s="955"/>
      <c r="GI26" s="44">
        <v>45017</v>
      </c>
      <c r="GJ26" s="956"/>
      <c r="GK26" s="44">
        <v>44986</v>
      </c>
      <c r="GL26" s="956"/>
      <c r="GM26" s="44">
        <v>44958</v>
      </c>
      <c r="GN26" s="956"/>
      <c r="GO26" s="45">
        <v>44927</v>
      </c>
      <c r="GP26" s="956"/>
      <c r="GQ26" s="45">
        <v>44907</v>
      </c>
      <c r="GR26" s="956"/>
      <c r="GS26" s="45">
        <v>44866</v>
      </c>
      <c r="GT26" s="956"/>
      <c r="GU26" s="45">
        <f>GS26-1</f>
        <v>44865</v>
      </c>
      <c r="GV26" s="956"/>
      <c r="GW26" s="45">
        <v>44805</v>
      </c>
      <c r="GX26" s="46"/>
      <c r="GY26" s="45">
        <f>GW26-1</f>
        <v>44804</v>
      </c>
      <c r="GZ26" s="45"/>
      <c r="HA26" s="45">
        <v>44743</v>
      </c>
      <c r="HB26" s="45"/>
      <c r="HC26" s="45">
        <v>44713</v>
      </c>
      <c r="HD26" s="45"/>
      <c r="HE26" s="45">
        <f>HC26-1</f>
        <v>44712</v>
      </c>
      <c r="HF26" s="45"/>
      <c r="HG26" s="45">
        <v>44655</v>
      </c>
      <c r="HH26" s="45"/>
      <c r="HI26" s="45">
        <v>44623</v>
      </c>
      <c r="HJ26" s="45"/>
      <c r="HK26" s="45">
        <v>44594</v>
      </c>
      <c r="HL26" s="45"/>
      <c r="HM26" s="45">
        <v>44562</v>
      </c>
      <c r="HN26" s="47"/>
      <c r="HO26" s="45">
        <v>44531</v>
      </c>
      <c r="HP26" s="47"/>
      <c r="HQ26" s="45">
        <v>44501</v>
      </c>
      <c r="HR26" s="47"/>
      <c r="HS26" s="45">
        <v>44470</v>
      </c>
      <c r="HT26" s="47"/>
      <c r="HU26" s="45">
        <v>44440</v>
      </c>
      <c r="HV26" s="47"/>
      <c r="HW26" s="45">
        <v>44409</v>
      </c>
      <c r="HX26" s="47"/>
      <c r="HY26" s="45">
        <v>44378</v>
      </c>
      <c r="HZ26" s="47"/>
      <c r="IA26" s="45">
        <v>44348</v>
      </c>
      <c r="IB26" s="47"/>
      <c r="IC26" s="45">
        <v>44317</v>
      </c>
      <c r="ID26" s="47"/>
      <c r="IE26" s="45">
        <v>44287</v>
      </c>
      <c r="IF26" s="47"/>
      <c r="IG26" s="45">
        <v>44256</v>
      </c>
      <c r="IH26" s="47"/>
      <c r="II26" s="45">
        <v>44228</v>
      </c>
      <c r="IJ26" s="47"/>
      <c r="IK26" s="45">
        <v>44197</v>
      </c>
      <c r="IL26" s="47"/>
      <c r="IM26" s="45">
        <v>44166</v>
      </c>
      <c r="IN26" s="47"/>
      <c r="IO26" s="45">
        <v>44136</v>
      </c>
      <c r="IP26" s="47"/>
      <c r="IQ26" s="45">
        <v>44105</v>
      </c>
      <c r="IR26" s="47"/>
      <c r="IS26" s="45">
        <v>44075</v>
      </c>
      <c r="IT26" s="47"/>
      <c r="IU26" s="45">
        <v>44044</v>
      </c>
      <c r="IV26" s="47"/>
      <c r="IW26" s="45">
        <v>44013</v>
      </c>
      <c r="IX26" s="47"/>
      <c r="IY26" s="45">
        <v>43983</v>
      </c>
      <c r="IZ26" s="47"/>
      <c r="JA26" s="45">
        <v>43952</v>
      </c>
      <c r="JB26" s="47"/>
      <c r="JC26" s="45">
        <v>43922</v>
      </c>
      <c r="JD26" s="47"/>
      <c r="JE26" s="45">
        <v>43891</v>
      </c>
      <c r="JF26" s="47"/>
      <c r="JG26" s="45">
        <v>43862</v>
      </c>
      <c r="JH26" s="47"/>
      <c r="JI26" s="45">
        <v>43831</v>
      </c>
      <c r="JJ26" s="47"/>
      <c r="JK26" s="45">
        <v>43800</v>
      </c>
      <c r="JL26" s="47"/>
      <c r="JM26" s="45">
        <v>43770</v>
      </c>
      <c r="JN26" s="47"/>
      <c r="JO26" s="45">
        <v>43739</v>
      </c>
      <c r="JP26" s="47"/>
      <c r="JQ26" s="45">
        <v>43709</v>
      </c>
      <c r="JR26" s="47"/>
      <c r="JS26" s="45">
        <v>43678</v>
      </c>
      <c r="JT26" s="47"/>
      <c r="JU26" s="45">
        <v>43647</v>
      </c>
      <c r="JV26" s="47"/>
      <c r="JW26" s="45">
        <v>43617</v>
      </c>
      <c r="JX26" s="47"/>
      <c r="JY26" s="45">
        <v>43586</v>
      </c>
      <c r="JZ26" s="47"/>
      <c r="KA26" s="45">
        <v>43556</v>
      </c>
      <c r="KB26" s="47"/>
      <c r="KC26" s="45">
        <v>43525</v>
      </c>
      <c r="KD26" s="47"/>
      <c r="KE26" s="45">
        <v>43497</v>
      </c>
      <c r="KF26" s="47"/>
      <c r="KG26" s="45">
        <v>43466</v>
      </c>
      <c r="KH26" s="47"/>
      <c r="KI26" s="45">
        <v>43435</v>
      </c>
      <c r="KJ26" s="47"/>
      <c r="KK26" s="45">
        <v>43405</v>
      </c>
      <c r="KL26" s="47"/>
      <c r="KM26" s="45">
        <v>43374</v>
      </c>
      <c r="KN26" s="47"/>
      <c r="KO26" s="45">
        <v>43344</v>
      </c>
      <c r="KP26" s="47"/>
      <c r="KQ26" s="45">
        <v>43313</v>
      </c>
      <c r="KR26" s="47"/>
      <c r="KS26" s="45">
        <v>43282</v>
      </c>
      <c r="KT26" s="47"/>
      <c r="KU26" s="45">
        <v>43252</v>
      </c>
      <c r="KV26" s="47"/>
      <c r="KW26" s="45">
        <v>43221</v>
      </c>
      <c r="KX26" s="47"/>
      <c r="KY26" s="45">
        <v>43191</v>
      </c>
      <c r="KZ26" s="47"/>
      <c r="LA26" s="45">
        <v>43160</v>
      </c>
      <c r="LB26" s="47"/>
      <c r="LC26" s="45">
        <v>43132</v>
      </c>
      <c r="LD26" s="47"/>
      <c r="LE26" s="45">
        <v>43101</v>
      </c>
      <c r="LF26" s="47"/>
      <c r="LG26" s="45">
        <v>43070</v>
      </c>
      <c r="LH26" s="47"/>
      <c r="LI26" s="45">
        <v>43040</v>
      </c>
      <c r="LJ26" s="47"/>
      <c r="LK26" s="45">
        <v>43009</v>
      </c>
      <c r="LL26" s="47"/>
      <c r="LM26" s="45">
        <v>42979</v>
      </c>
      <c r="LN26" s="47"/>
      <c r="LO26" s="45">
        <v>42948</v>
      </c>
      <c r="LP26" s="47"/>
      <c r="LQ26" s="45">
        <v>42917</v>
      </c>
      <c r="LR26" s="47"/>
      <c r="LS26" s="45">
        <v>42887</v>
      </c>
      <c r="LT26" s="47"/>
      <c r="LU26" s="45">
        <v>42856</v>
      </c>
      <c r="LV26" s="47"/>
      <c r="LW26" s="45">
        <v>42826</v>
      </c>
      <c r="LX26" s="47"/>
      <c r="LY26" s="21" t="s">
        <v>154</v>
      </c>
      <c r="LZ26" s="957"/>
      <c r="MA26" s="47" t="s">
        <v>155</v>
      </c>
      <c r="MB26" s="958"/>
      <c r="MC26" s="959"/>
      <c r="MD26" s="960"/>
      <c r="ME26" s="960"/>
      <c r="MF26" s="960"/>
      <c r="MG26" s="878"/>
      <c r="MH26" s="878"/>
      <c r="MI26" s="878"/>
      <c r="MJ26" s="878"/>
      <c r="MK26" s="878"/>
      <c r="ML26" s="878"/>
      <c r="MM26" s="878"/>
      <c r="MN26" s="878"/>
      <c r="MO26" s="878"/>
      <c r="MP26" s="878"/>
      <c r="MQ26" s="878"/>
      <c r="MR26" s="878"/>
      <c r="MS26" s="878"/>
      <c r="MT26" s="878"/>
      <c r="MU26" s="878"/>
      <c r="MV26" s="878"/>
      <c r="MW26" s="878"/>
      <c r="MX26" s="878"/>
      <c r="MY26" s="878"/>
      <c r="MZ26" s="878"/>
      <c r="NA26" s="878"/>
      <c r="NB26" s="878"/>
      <c r="NC26" s="878"/>
      <c r="ND26" s="878"/>
      <c r="NE26" s="878"/>
      <c r="NF26" s="878"/>
      <c r="NG26" s="878"/>
      <c r="NH26" s="878"/>
      <c r="NI26" s="878"/>
      <c r="NJ26" s="878"/>
      <c r="NK26" s="878"/>
      <c r="NL26" s="878"/>
      <c r="NM26" s="878"/>
    </row>
    <row r="27" spans="1:466 1191:1191" s="971" customFormat="1" ht="20.25" hidden="1" customHeight="1" x14ac:dyDescent="0.25">
      <c r="A27" s="962"/>
      <c r="B27" s="48"/>
      <c r="C27" s="49"/>
      <c r="D27" s="48"/>
      <c r="E27" s="50"/>
      <c r="F27" s="50"/>
      <c r="G27" s="50"/>
      <c r="H27" s="50"/>
      <c r="I27" s="50"/>
      <c r="J27" s="50"/>
      <c r="K27" s="50"/>
      <c r="L27" s="50"/>
      <c r="M27" s="50"/>
      <c r="N27" s="50" t="s">
        <v>156</v>
      </c>
      <c r="O27" s="50"/>
      <c r="P27" s="50"/>
      <c r="Q27" s="50"/>
      <c r="R27" s="50"/>
      <c r="S27" s="50"/>
      <c r="T27" s="49"/>
      <c r="U27" s="48" t="s">
        <v>157</v>
      </c>
      <c r="V27" s="50" t="s">
        <v>158</v>
      </c>
      <c r="W27" s="50" t="s">
        <v>159</v>
      </c>
      <c r="X27" s="50" t="s">
        <v>159</v>
      </c>
      <c r="Y27" s="50" t="s">
        <v>159</v>
      </c>
      <c r="Z27" s="50"/>
      <c r="AA27" s="50" t="s">
        <v>160</v>
      </c>
      <c r="AB27" s="50" t="s">
        <v>160</v>
      </c>
      <c r="AC27" s="50" t="s">
        <v>161</v>
      </c>
      <c r="AD27" s="49" t="s">
        <v>160</v>
      </c>
      <c r="AE27" s="48" t="s">
        <v>162</v>
      </c>
      <c r="AF27" s="50" t="s">
        <v>162</v>
      </c>
      <c r="AG27" s="50" t="s">
        <v>163</v>
      </c>
      <c r="AH27" s="50" t="s">
        <v>163</v>
      </c>
      <c r="AI27" s="50" t="s">
        <v>163</v>
      </c>
      <c r="AJ27" s="50"/>
      <c r="AK27" s="50"/>
      <c r="AL27" s="49"/>
      <c r="AM27" s="48"/>
      <c r="AN27" s="49" t="s">
        <v>163</v>
      </c>
      <c r="AO27" s="51" t="s">
        <v>163</v>
      </c>
      <c r="AP27" s="50" t="s">
        <v>163</v>
      </c>
      <c r="AQ27" s="50" t="s">
        <v>163</v>
      </c>
      <c r="AR27" s="963" t="s">
        <v>163</v>
      </c>
      <c r="AS27" s="50" t="s">
        <v>162</v>
      </c>
      <c r="AT27" s="52" t="s">
        <v>162</v>
      </c>
      <c r="AU27" s="48"/>
      <c r="AV27" s="50" t="s">
        <v>163</v>
      </c>
      <c r="AW27" s="50" t="s">
        <v>157</v>
      </c>
      <c r="AX27" s="50" t="s">
        <v>163</v>
      </c>
      <c r="AY27" s="50" t="s">
        <v>157</v>
      </c>
      <c r="AZ27" s="50" t="s">
        <v>163</v>
      </c>
      <c r="BA27" s="50" t="s">
        <v>157</v>
      </c>
      <c r="BB27" s="50" t="s">
        <v>163</v>
      </c>
      <c r="BC27" s="50" t="s">
        <v>157</v>
      </c>
      <c r="BD27" s="50" t="s">
        <v>163</v>
      </c>
      <c r="BE27" s="50" t="s">
        <v>157</v>
      </c>
      <c r="BF27" s="50" t="s">
        <v>163</v>
      </c>
      <c r="BG27" s="50" t="s">
        <v>157</v>
      </c>
      <c r="BH27" s="50" t="s">
        <v>163</v>
      </c>
      <c r="BI27" s="50"/>
      <c r="BJ27" s="50"/>
      <c r="BK27" s="50"/>
      <c r="BL27" s="50" t="s">
        <v>164</v>
      </c>
      <c r="BM27" s="50" t="s">
        <v>163</v>
      </c>
      <c r="BN27" s="50" t="s">
        <v>165</v>
      </c>
      <c r="BO27" s="50" t="s">
        <v>166</v>
      </c>
      <c r="BP27" s="964" t="s">
        <v>167</v>
      </c>
      <c r="BQ27" s="50" t="s">
        <v>163</v>
      </c>
      <c r="BR27" s="50" t="s">
        <v>163</v>
      </c>
      <c r="BS27" s="50" t="s">
        <v>163</v>
      </c>
      <c r="BT27" s="50" t="s">
        <v>162</v>
      </c>
      <c r="BU27" s="50" t="s">
        <v>162</v>
      </c>
      <c r="BV27" s="50" t="s">
        <v>162</v>
      </c>
      <c r="BW27" s="50"/>
      <c r="BX27" s="50"/>
      <c r="BY27" s="50" t="s">
        <v>168</v>
      </c>
      <c r="BZ27" s="50" t="s">
        <v>169</v>
      </c>
      <c r="CA27" s="50" t="s">
        <v>157</v>
      </c>
      <c r="CB27" s="50" t="s">
        <v>157</v>
      </c>
      <c r="CC27" s="50" t="s">
        <v>157</v>
      </c>
      <c r="CD27" s="50"/>
      <c r="CE27" s="50" t="s">
        <v>157</v>
      </c>
      <c r="CF27" s="50" t="s">
        <v>157</v>
      </c>
      <c r="CG27" s="50"/>
      <c r="CH27" s="50"/>
      <c r="CI27" s="50" t="s">
        <v>162</v>
      </c>
      <c r="CJ27" s="50" t="s">
        <v>163</v>
      </c>
      <c r="CK27" s="50" t="s">
        <v>157</v>
      </c>
      <c r="CL27" s="50" t="s">
        <v>163</v>
      </c>
      <c r="CM27" s="50" t="s">
        <v>157</v>
      </c>
      <c r="CN27" s="53" t="s">
        <v>157</v>
      </c>
      <c r="CO27" s="54" t="s">
        <v>170</v>
      </c>
      <c r="CP27" s="55" t="s">
        <v>167</v>
      </c>
      <c r="CQ27" s="56" t="s">
        <v>171</v>
      </c>
      <c r="CR27" s="57" t="s">
        <v>172</v>
      </c>
      <c r="CS27" s="57" t="s">
        <v>172</v>
      </c>
      <c r="CT27" s="50" t="s">
        <v>173</v>
      </c>
      <c r="CU27" s="57" t="s">
        <v>172</v>
      </c>
      <c r="CV27" s="57" t="s">
        <v>167</v>
      </c>
      <c r="CW27" s="57" t="s">
        <v>174</v>
      </c>
      <c r="CX27" s="57" t="s">
        <v>175</v>
      </c>
      <c r="CY27" s="50"/>
      <c r="CZ27" s="53" t="s">
        <v>156</v>
      </c>
      <c r="DA27" s="48"/>
      <c r="DB27" s="58" t="s">
        <v>170</v>
      </c>
      <c r="DC27" s="59" t="s">
        <v>167</v>
      </c>
      <c r="DD27" s="60" t="s">
        <v>171</v>
      </c>
      <c r="DE27" s="50" t="s">
        <v>172</v>
      </c>
      <c r="DF27" s="964" t="s">
        <v>172</v>
      </c>
      <c r="DG27" s="964" t="s">
        <v>173</v>
      </c>
      <c r="DH27" s="964"/>
      <c r="DI27" s="49"/>
      <c r="DJ27" s="61"/>
      <c r="DK27" s="62"/>
      <c r="DL27" s="62"/>
      <c r="DM27" s="62"/>
      <c r="DN27" s="62"/>
      <c r="DO27" s="62"/>
      <c r="DP27" s="62"/>
      <c r="DQ27" s="62"/>
      <c r="DR27" s="62"/>
      <c r="DS27" s="62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2"/>
      <c r="EE27" s="48"/>
      <c r="EF27" s="50"/>
      <c r="EG27" s="50"/>
      <c r="EH27" s="50"/>
      <c r="EI27" s="50"/>
      <c r="EJ27" s="50"/>
      <c r="EK27" s="50"/>
      <c r="EL27" s="57"/>
      <c r="EM27" s="50"/>
      <c r="EN27" s="50"/>
      <c r="EO27" s="50"/>
      <c r="EP27" s="50"/>
      <c r="EQ27" s="50"/>
      <c r="ER27" s="50"/>
      <c r="ES27" s="50"/>
      <c r="ET27" s="49"/>
      <c r="EU27" s="48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49"/>
      <c r="FK27" s="48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49"/>
      <c r="FZ27" s="63"/>
      <c r="GA27" s="64"/>
      <c r="GB27" s="48"/>
      <c r="GC27" s="49"/>
      <c r="GD27" s="965"/>
      <c r="GE27" s="966"/>
      <c r="GF27" s="966"/>
      <c r="GG27" s="966"/>
      <c r="GH27" s="966"/>
      <c r="GI27" s="967"/>
      <c r="GJ27" s="968"/>
      <c r="GK27" s="967"/>
      <c r="GL27" s="968"/>
      <c r="GM27" s="967"/>
      <c r="GN27" s="968"/>
      <c r="GO27" s="968"/>
      <c r="GP27" s="968"/>
      <c r="GQ27" s="968"/>
      <c r="GR27" s="968"/>
      <c r="GS27" s="968"/>
      <c r="GT27" s="968"/>
      <c r="GU27" s="968"/>
      <c r="GV27" s="968"/>
      <c r="GW27" s="968"/>
      <c r="GX27" s="968"/>
      <c r="GY27" s="968"/>
      <c r="GZ27" s="968"/>
      <c r="HA27" s="968"/>
      <c r="HB27" s="968"/>
      <c r="HC27" s="968"/>
      <c r="HD27" s="968"/>
      <c r="HE27" s="968"/>
      <c r="HF27" s="968"/>
      <c r="HG27" s="968"/>
      <c r="HH27" s="968"/>
      <c r="HI27" s="968"/>
      <c r="HJ27" s="968"/>
      <c r="HK27" s="968"/>
      <c r="HL27" s="968"/>
      <c r="HM27" s="968"/>
      <c r="HN27" s="968"/>
      <c r="HO27" s="968"/>
      <c r="HP27" s="968"/>
      <c r="HQ27" s="968"/>
      <c r="HR27" s="968"/>
      <c r="HS27" s="968"/>
      <c r="HT27" s="968"/>
      <c r="HU27" s="968"/>
      <c r="HV27" s="968"/>
      <c r="HW27" s="968"/>
      <c r="HX27" s="968"/>
      <c r="HY27" s="968"/>
      <c r="HZ27" s="968"/>
      <c r="IA27" s="968"/>
      <c r="IB27" s="968"/>
      <c r="IC27" s="968"/>
      <c r="ID27" s="968"/>
      <c r="IE27" s="968"/>
      <c r="IF27" s="968"/>
      <c r="IG27" s="968"/>
      <c r="IH27" s="968"/>
      <c r="II27" s="968"/>
      <c r="IJ27" s="968"/>
      <c r="IK27" s="968"/>
      <c r="IL27" s="968"/>
      <c r="IM27" s="968"/>
      <c r="IN27" s="968"/>
      <c r="IO27" s="968"/>
      <c r="IP27" s="968"/>
      <c r="IQ27" s="968"/>
      <c r="IR27" s="968"/>
      <c r="IS27" s="968"/>
      <c r="IT27" s="968"/>
      <c r="IU27" s="968"/>
      <c r="IV27" s="968"/>
      <c r="IW27" s="968"/>
      <c r="IX27" s="968"/>
      <c r="IY27" s="968"/>
      <c r="IZ27" s="968"/>
      <c r="JA27" s="968"/>
      <c r="JB27" s="968"/>
      <c r="JC27" s="968"/>
      <c r="JD27" s="968"/>
      <c r="JE27" s="968"/>
      <c r="JF27" s="968"/>
      <c r="JG27" s="968"/>
      <c r="JH27" s="968"/>
      <c r="JI27" s="968"/>
      <c r="JJ27" s="968"/>
      <c r="JK27" s="963"/>
      <c r="JL27" s="963"/>
      <c r="JM27" s="963"/>
      <c r="JN27" s="963"/>
      <c r="JO27" s="963"/>
      <c r="JP27" s="963"/>
      <c r="JQ27" s="963"/>
      <c r="JR27" s="963"/>
      <c r="JS27" s="963"/>
      <c r="JT27" s="963"/>
      <c r="JU27" s="963"/>
      <c r="JV27" s="963"/>
      <c r="JW27" s="963"/>
      <c r="JX27" s="963"/>
      <c r="JY27" s="963"/>
      <c r="JZ27" s="963"/>
      <c r="KA27" s="963"/>
      <c r="KB27" s="963"/>
      <c r="KC27" s="963"/>
      <c r="KD27" s="963"/>
      <c r="KE27" s="963"/>
      <c r="KF27" s="963"/>
      <c r="KG27" s="963"/>
      <c r="KH27" s="963"/>
      <c r="KI27" s="963"/>
      <c r="KJ27" s="963"/>
      <c r="KK27" s="963"/>
      <c r="KL27" s="963"/>
      <c r="KM27" s="963"/>
      <c r="KN27" s="963"/>
      <c r="KO27" s="963"/>
      <c r="KP27" s="963"/>
      <c r="KQ27" s="963"/>
      <c r="KR27" s="963"/>
      <c r="KS27" s="963"/>
      <c r="KT27" s="963"/>
      <c r="KU27" s="963"/>
      <c r="KV27" s="963"/>
      <c r="KW27" s="963"/>
      <c r="KX27" s="963"/>
      <c r="KY27" s="963"/>
      <c r="KZ27" s="963"/>
      <c r="LA27" s="963"/>
      <c r="LB27" s="963"/>
      <c r="LC27" s="963"/>
      <c r="LD27" s="963"/>
      <c r="LE27" s="963"/>
      <c r="LF27" s="963"/>
      <c r="LG27" s="963"/>
      <c r="LH27" s="963"/>
      <c r="LI27" s="963"/>
      <c r="LJ27" s="963"/>
      <c r="LK27" s="963"/>
      <c r="LL27" s="963"/>
      <c r="LM27" s="963"/>
      <c r="LN27" s="963"/>
      <c r="LO27" s="963"/>
      <c r="LP27" s="963"/>
      <c r="LQ27" s="963"/>
      <c r="LR27" s="963"/>
      <c r="LS27" s="963"/>
      <c r="LT27" s="963"/>
      <c r="LU27" s="963"/>
      <c r="LV27" s="963"/>
      <c r="LW27" s="963"/>
      <c r="LX27" s="963"/>
      <c r="LY27" s="968"/>
      <c r="LZ27" s="968"/>
      <c r="MA27" s="968"/>
      <c r="MB27" s="969"/>
      <c r="MC27" s="970"/>
      <c r="MD27" s="968"/>
      <c r="ME27" s="968"/>
      <c r="MF27" s="968"/>
      <c r="MG27" s="878"/>
      <c r="MH27" s="878"/>
      <c r="MI27" s="878"/>
      <c r="MJ27" s="878"/>
      <c r="MK27" s="878"/>
      <c r="ML27" s="878"/>
      <c r="MM27" s="878"/>
      <c r="MN27" s="878"/>
      <c r="MO27" s="878"/>
      <c r="MP27" s="878"/>
      <c r="MQ27" s="878"/>
      <c r="MR27" s="878"/>
      <c r="MS27" s="878"/>
      <c r="MT27" s="878"/>
      <c r="MU27" s="878"/>
      <c r="MV27" s="878"/>
      <c r="MW27" s="878"/>
      <c r="MX27" s="878"/>
      <c r="MY27" s="878"/>
      <c r="MZ27" s="878"/>
      <c r="NA27" s="878"/>
      <c r="NB27" s="878"/>
      <c r="NC27" s="878"/>
      <c r="ND27" s="878"/>
      <c r="NE27" s="878"/>
      <c r="NF27" s="878"/>
      <c r="NG27" s="878"/>
      <c r="NH27" s="878"/>
      <c r="NI27" s="878"/>
      <c r="NJ27" s="878"/>
      <c r="NK27" s="878"/>
      <c r="NL27" s="878"/>
      <c r="NM27" s="878"/>
    </row>
    <row r="28" spans="1:466 1191:1191" s="981" customFormat="1" ht="20.25" customHeight="1" thickBot="1" x14ac:dyDescent="0.3">
      <c r="A28" s="972"/>
      <c r="B28" s="65">
        <f>SUBTOTAL(3,$B$26:B26)</f>
        <v>1</v>
      </c>
      <c r="C28" s="66">
        <f>SUBTOTAL(3,$B$26:C26)</f>
        <v>2</v>
      </c>
      <c r="D28" s="65">
        <f>SUBTOTAL(3,$B$26:D26)</f>
        <v>3</v>
      </c>
      <c r="E28" s="67">
        <f>SUBTOTAL(3,$B$26:E26)</f>
        <v>4</v>
      </c>
      <c r="F28" s="67">
        <f>SUBTOTAL(3,$B$26:F26)</f>
        <v>5</v>
      </c>
      <c r="G28" s="67">
        <f>SUBTOTAL(3,$B$26:G26)</f>
        <v>6</v>
      </c>
      <c r="H28" s="67">
        <f>SUBTOTAL(3,$B$26:H26)</f>
        <v>7</v>
      </c>
      <c r="I28" s="67">
        <f>SUBTOTAL(3,$B$26:I26)</f>
        <v>8</v>
      </c>
      <c r="J28" s="67">
        <f>SUBTOTAL(3,$B$26:J26)</f>
        <v>9</v>
      </c>
      <c r="K28" s="67">
        <f>SUBTOTAL(3,$B$26:K26)</f>
        <v>10</v>
      </c>
      <c r="L28" s="67">
        <f>SUBTOTAL(3,$B$26:L26)</f>
        <v>11</v>
      </c>
      <c r="M28" s="67">
        <f>SUBTOTAL(3,$B$26:M26)</f>
        <v>12</v>
      </c>
      <c r="N28" s="67">
        <f>SUBTOTAL(3,$B$26:N26)</f>
        <v>13</v>
      </c>
      <c r="O28" s="67">
        <f>SUBTOTAL(3,$B$26:O26)</f>
        <v>14</v>
      </c>
      <c r="P28" s="67">
        <f>SUBTOTAL(3,$B$26:P26)</f>
        <v>15</v>
      </c>
      <c r="Q28" s="67">
        <f>SUBTOTAL(3,$B$26:Q26)</f>
        <v>16</v>
      </c>
      <c r="R28" s="67">
        <f>SUBTOTAL(3,$B$26:R26)</f>
        <v>17</v>
      </c>
      <c r="S28" s="67">
        <f>SUBTOTAL(3,$B$26:S26)</f>
        <v>18</v>
      </c>
      <c r="T28" s="66">
        <f>SUBTOTAL(3,$B$26:T26)</f>
        <v>19</v>
      </c>
      <c r="U28" s="65">
        <f>SUBTOTAL(3,$B$26:U26)</f>
        <v>20</v>
      </c>
      <c r="V28" s="67">
        <f>SUBTOTAL(3,$B$26:V26)</f>
        <v>21</v>
      </c>
      <c r="W28" s="67">
        <f>SUBTOTAL(3,$B$26:W26)</f>
        <v>22</v>
      </c>
      <c r="X28" s="67">
        <f>SUBTOTAL(3,$B$26:X26)</f>
        <v>23</v>
      </c>
      <c r="Y28" s="67">
        <f>SUBTOTAL(3,$B$26:Y26)</f>
        <v>24</v>
      </c>
      <c r="Z28" s="67">
        <f>SUBTOTAL(3,$B$26:Z26)</f>
        <v>25</v>
      </c>
      <c r="AA28" s="67">
        <f>SUBTOTAL(3,$B$26:AA26)</f>
        <v>26</v>
      </c>
      <c r="AB28" s="67">
        <f>SUBTOTAL(3,$B$26:AB26)</f>
        <v>27</v>
      </c>
      <c r="AC28" s="67">
        <f>SUBTOTAL(3,$B$26:AC26)</f>
        <v>28</v>
      </c>
      <c r="AD28" s="66">
        <f>SUBTOTAL(3,$B$26:AD26)</f>
        <v>29</v>
      </c>
      <c r="AE28" s="65">
        <f>SUBTOTAL(3,$B$26:AE26)</f>
        <v>30</v>
      </c>
      <c r="AF28" s="67">
        <f>SUBTOTAL(3,$B$26:AF26)</f>
        <v>31</v>
      </c>
      <c r="AG28" s="67">
        <f>SUBTOTAL(3,$B$26:AG26)</f>
        <v>32</v>
      </c>
      <c r="AH28" s="67">
        <f>SUBTOTAL(3,$B$26:AH26)</f>
        <v>33</v>
      </c>
      <c r="AI28" s="67">
        <f>SUBTOTAL(3,$B$26:AI26)</f>
        <v>34</v>
      </c>
      <c r="AJ28" s="67">
        <f>SUBTOTAL(3,$B$26:AJ26)</f>
        <v>35</v>
      </c>
      <c r="AK28" s="67">
        <f>SUBTOTAL(3,$B$26:AK26)</f>
        <v>36</v>
      </c>
      <c r="AL28" s="66">
        <f>SUBTOTAL(3,$B$26:AL26)</f>
        <v>37</v>
      </c>
      <c r="AM28" s="65">
        <f>SUBTOTAL(3,$B$26:AM26)</f>
        <v>38</v>
      </c>
      <c r="AN28" s="66">
        <f>SUBTOTAL(3,$B$26:AN26)</f>
        <v>39</v>
      </c>
      <c r="AO28" s="68">
        <f>SUBTOTAL(3,$B$26:AO26)</f>
        <v>40</v>
      </c>
      <c r="AP28" s="67">
        <f>SUBTOTAL(3,$B$26:AP26)</f>
        <v>41</v>
      </c>
      <c r="AQ28" s="67">
        <f>SUBTOTAL(3,$B$26:AQ26)</f>
        <v>42</v>
      </c>
      <c r="AR28" s="973">
        <f>SUBTOTAL(3,$B$26:AR26)</f>
        <v>43</v>
      </c>
      <c r="AS28" s="67">
        <f>SUBTOTAL(3,$B$26:AS26)</f>
        <v>44</v>
      </c>
      <c r="AT28" s="69">
        <f>SUBTOTAL(3,$B$26:AT26)</f>
        <v>45</v>
      </c>
      <c r="AU28" s="65">
        <f>SUBTOTAL(3,$B$26:AU26)</f>
        <v>46</v>
      </c>
      <c r="AV28" s="67">
        <f>SUBTOTAL(3,$B$26:AV26)</f>
        <v>47</v>
      </c>
      <c r="AW28" s="67">
        <f>SUBTOTAL(3,$B$26:AW26)</f>
        <v>48</v>
      </c>
      <c r="AX28" s="67">
        <f>SUBTOTAL(3,$B$26:AX26)</f>
        <v>49</v>
      </c>
      <c r="AY28" s="67">
        <f>SUBTOTAL(3,$B$26:AY26)</f>
        <v>50</v>
      </c>
      <c r="AZ28" s="67">
        <f>SUBTOTAL(3,$B$26:AZ26)</f>
        <v>51</v>
      </c>
      <c r="BA28" s="67">
        <f>SUBTOTAL(3,$B$26:BA26)</f>
        <v>52</v>
      </c>
      <c r="BB28" s="67">
        <f>SUBTOTAL(3,$B$26:BB26)</f>
        <v>53</v>
      </c>
      <c r="BC28" s="67">
        <f>SUBTOTAL(3,$B$26:BC26)</f>
        <v>54</v>
      </c>
      <c r="BD28" s="67">
        <f>SUBTOTAL(3,$B$26:BD26)</f>
        <v>55</v>
      </c>
      <c r="BE28" s="67">
        <f>SUBTOTAL(3,$B$26:BE26)</f>
        <v>56</v>
      </c>
      <c r="BF28" s="67">
        <f>SUBTOTAL(3,$B$26:BF26)</f>
        <v>57</v>
      </c>
      <c r="BG28" s="67">
        <f>SUBTOTAL(3,$B$26:BG26)</f>
        <v>58</v>
      </c>
      <c r="BH28" s="67">
        <f>SUBTOTAL(3,$B$26:BH26)</f>
        <v>59</v>
      </c>
      <c r="BI28" s="67">
        <f>SUBTOTAL(3,$B$26:BI26)</f>
        <v>60</v>
      </c>
      <c r="BJ28" s="67">
        <f>SUBTOTAL(3,$B$26:BJ26)</f>
        <v>61</v>
      </c>
      <c r="BK28" s="67">
        <f>SUBTOTAL(3,$B$26:BK26)</f>
        <v>62</v>
      </c>
      <c r="BL28" s="67">
        <f>SUBTOTAL(3,$B$26:BL26)</f>
        <v>63</v>
      </c>
      <c r="BM28" s="67">
        <f>SUBTOTAL(3,$B$26:BM26)</f>
        <v>64</v>
      </c>
      <c r="BN28" s="67">
        <f>SUBTOTAL(3,$B$26:BN26)</f>
        <v>65</v>
      </c>
      <c r="BO28" s="67">
        <f>SUBTOTAL(3,$B$26:BO26)</f>
        <v>66</v>
      </c>
      <c r="BP28" s="67">
        <f>SUBTOTAL(3,$B$26:BP26)</f>
        <v>67</v>
      </c>
      <c r="BQ28" s="67">
        <f>SUBTOTAL(3,$B$26:BQ26)</f>
        <v>68</v>
      </c>
      <c r="BR28" s="67">
        <f>SUBTOTAL(3,$B$26:BR26)</f>
        <v>69</v>
      </c>
      <c r="BS28" s="67">
        <f>SUBTOTAL(3,$B$26:BS26)</f>
        <v>70</v>
      </c>
      <c r="BT28" s="67">
        <f>SUBTOTAL(3,$B$26:BT26)</f>
        <v>71</v>
      </c>
      <c r="BU28" s="67">
        <f>SUBTOTAL(3,$B$26:BU26)</f>
        <v>72</v>
      </c>
      <c r="BV28" s="67">
        <f>SUBTOTAL(3,$B$26:BV26)</f>
        <v>73</v>
      </c>
      <c r="BW28" s="67">
        <f>SUBTOTAL(3,$B$26:BW26)</f>
        <v>74</v>
      </c>
      <c r="BX28" s="67">
        <f>SUBTOTAL(3,$B$26:BX26)</f>
        <v>75</v>
      </c>
      <c r="BY28" s="67">
        <f>SUBTOTAL(3,$B$26:BY26)</f>
        <v>76</v>
      </c>
      <c r="BZ28" s="67">
        <f>SUBTOTAL(3,$B$26:BZ26)</f>
        <v>77</v>
      </c>
      <c r="CA28" s="67">
        <f>SUBTOTAL(3,$B$26:CA26)</f>
        <v>78</v>
      </c>
      <c r="CB28" s="67">
        <f>SUBTOTAL(3,$B$26:CB26)</f>
        <v>79</v>
      </c>
      <c r="CC28" s="67">
        <f>SUBTOTAL(3,$B$26:CC26)</f>
        <v>80</v>
      </c>
      <c r="CD28" s="67">
        <f>SUBTOTAL(3,$B$26:CD26)</f>
        <v>81</v>
      </c>
      <c r="CE28" s="67">
        <f>SUBTOTAL(3,$B$26:CE26)</f>
        <v>82</v>
      </c>
      <c r="CF28" s="67">
        <f>SUBTOTAL(3,$B$26:CF26)</f>
        <v>83</v>
      </c>
      <c r="CG28" s="67">
        <f>SUBTOTAL(3,$B$26:CG26)</f>
        <v>84</v>
      </c>
      <c r="CH28" s="67">
        <f>SUBTOTAL(3,$B$26:CH26)</f>
        <v>85</v>
      </c>
      <c r="CI28" s="67">
        <f>SUBTOTAL(3,$B$26:CI26)</f>
        <v>86</v>
      </c>
      <c r="CJ28" s="67">
        <f>SUBTOTAL(3,$B$26:CJ26)</f>
        <v>87</v>
      </c>
      <c r="CK28" s="67">
        <f>SUBTOTAL(3,$B$26:CK26)</f>
        <v>88</v>
      </c>
      <c r="CL28" s="67">
        <f>SUBTOTAL(3,$B$26:CL26)</f>
        <v>89</v>
      </c>
      <c r="CM28" s="67">
        <f>SUBTOTAL(3,$B$26:CM26)</f>
        <v>90</v>
      </c>
      <c r="CN28" s="70">
        <f>SUBTOTAL(3,$B$26:CN26)</f>
        <v>91</v>
      </c>
      <c r="CO28" s="71">
        <f>SUBTOTAL(3,$B$26:CO26)</f>
        <v>92</v>
      </c>
      <c r="CP28" s="72">
        <f>SUBTOTAL(3,$B$26:CP26)</f>
        <v>93</v>
      </c>
      <c r="CQ28" s="73">
        <f>SUBTOTAL(3,$B$26:CQ26)</f>
        <v>94</v>
      </c>
      <c r="CR28" s="74">
        <f>SUBTOTAL(3,$B$26:CR26)</f>
        <v>95</v>
      </c>
      <c r="CS28" s="74">
        <f>SUBTOTAL(3,$B$26:CS26)</f>
        <v>96</v>
      </c>
      <c r="CT28" s="67">
        <f>SUBTOTAL(3,$B$26:CT26)</f>
        <v>97</v>
      </c>
      <c r="CU28" s="74">
        <f>SUBTOTAL(3,$B$26:CU26)</f>
        <v>98</v>
      </c>
      <c r="CV28" s="74">
        <f>SUBTOTAL(3,$B$26:CV26)</f>
        <v>99</v>
      </c>
      <c r="CW28" s="74">
        <f>SUBTOTAL(3,$B$26:CW26)</f>
        <v>100</v>
      </c>
      <c r="CX28" s="74">
        <f>SUBTOTAL(3,$B$26:CX26)</f>
        <v>101</v>
      </c>
      <c r="CY28" s="67">
        <f>SUBTOTAL(3,$B$26:CY26)</f>
        <v>102</v>
      </c>
      <c r="CZ28" s="70">
        <f>SUBTOTAL(3,$B$26:CZ26)</f>
        <v>103</v>
      </c>
      <c r="DA28" s="65">
        <f>SUBTOTAL(3,$B$26:DA26)</f>
        <v>104</v>
      </c>
      <c r="DB28" s="75">
        <f>SUBTOTAL(3,$B$26:DB26)</f>
        <v>105</v>
      </c>
      <c r="DC28" s="76">
        <f>SUBTOTAL(3,$B$26:DC26)</f>
        <v>106</v>
      </c>
      <c r="DD28" s="77">
        <f>SUBTOTAL(3,$B$26:DD26)</f>
        <v>107</v>
      </c>
      <c r="DE28" s="67">
        <f>SUBTOTAL(3,$B$26:DE26)</f>
        <v>108</v>
      </c>
      <c r="DF28" s="67">
        <f>SUBTOTAL(3,$B$26:DF26)</f>
        <v>109</v>
      </c>
      <c r="DG28" s="67">
        <f>SUBTOTAL(3,$B$26:DG26)</f>
        <v>110</v>
      </c>
      <c r="DH28" s="67">
        <f>SUBTOTAL(3,$B$26:DH26)</f>
        <v>111</v>
      </c>
      <c r="DI28" s="66">
        <f>SUBTOTAL(3,$B$26:DI26)</f>
        <v>112</v>
      </c>
      <c r="DJ28" s="78">
        <f>SUBTOTAL(3,$B$26:DJ26)</f>
        <v>113</v>
      </c>
      <c r="DK28" s="79">
        <f>SUBTOTAL(3,$B$26:DK26)</f>
        <v>114</v>
      </c>
      <c r="DL28" s="79">
        <f>SUBTOTAL(3,$B$26:DL26)</f>
        <v>115</v>
      </c>
      <c r="DM28" s="79">
        <f>SUBTOTAL(3,$B$26:DM26)</f>
        <v>116</v>
      </c>
      <c r="DN28" s="79">
        <f>SUBTOTAL(3,$B$26:DN26)</f>
        <v>117</v>
      </c>
      <c r="DO28" s="79">
        <f>SUBTOTAL(3,$B$26:DO26)</f>
        <v>118</v>
      </c>
      <c r="DP28" s="79">
        <f>SUBTOTAL(3,$B$26:DP26)</f>
        <v>119</v>
      </c>
      <c r="DQ28" s="79">
        <f>SUBTOTAL(3,$B$26:DQ26)</f>
        <v>120</v>
      </c>
      <c r="DR28" s="79">
        <f>SUBTOTAL(3,$B$26:DR26)</f>
        <v>121</v>
      </c>
      <c r="DS28" s="79">
        <f>SUBTOTAL(3,$B$26:DS26)</f>
        <v>122</v>
      </c>
      <c r="DT28" s="80">
        <f>SUBTOTAL(3,$B$26:DT26)</f>
        <v>123</v>
      </c>
      <c r="DU28" s="80">
        <f>SUBTOTAL(3,$B$26:DU26)</f>
        <v>124</v>
      </c>
      <c r="DV28" s="80">
        <f>SUBTOTAL(3,$B$26:DV26)</f>
        <v>125</v>
      </c>
      <c r="DW28" s="80">
        <f>SUBTOTAL(3,$B$26:DW26)</f>
        <v>126</v>
      </c>
      <c r="DX28" s="80">
        <f>SUBTOTAL(3,$B$26:DX26)</f>
        <v>127</v>
      </c>
      <c r="DY28" s="80">
        <f>SUBTOTAL(3,$B$26:DY26)</f>
        <v>128</v>
      </c>
      <c r="DZ28" s="80">
        <f>SUBTOTAL(3,$B$26:DZ26)</f>
        <v>129</v>
      </c>
      <c r="EA28" s="80">
        <f>SUBTOTAL(3,$B$26:EA26)</f>
        <v>130</v>
      </c>
      <c r="EB28" s="80">
        <f>SUBTOTAL(3,$B$26:EB26)</f>
        <v>131</v>
      </c>
      <c r="EC28" s="80">
        <f>SUBTOTAL(3,$B$26:EC26)</f>
        <v>132</v>
      </c>
      <c r="ED28" s="81">
        <f>SUBTOTAL(3,$B$26:ED26)</f>
        <v>133</v>
      </c>
      <c r="EE28" s="65">
        <f>SUBTOTAL(3,$B$26:EE26)</f>
        <v>134</v>
      </c>
      <c r="EF28" s="67">
        <f>SUBTOTAL(3,$B$26:EF26)</f>
        <v>135</v>
      </c>
      <c r="EG28" s="67">
        <f>SUBTOTAL(3,$B$26:EG26)</f>
        <v>136</v>
      </c>
      <c r="EH28" s="67">
        <f>SUBTOTAL(3,$B$26:EH26)</f>
        <v>137</v>
      </c>
      <c r="EI28" s="67">
        <f>SUBTOTAL(3,$B$26:EI26)</f>
        <v>138</v>
      </c>
      <c r="EJ28" s="67">
        <f>SUBTOTAL(3,$B$26:EJ26)</f>
        <v>139</v>
      </c>
      <c r="EK28" s="67">
        <f>SUBTOTAL(3,$B$26:EK26)</f>
        <v>140</v>
      </c>
      <c r="EL28" s="74">
        <f>SUBTOTAL(3,$B$26:EL26)</f>
        <v>141</v>
      </c>
      <c r="EM28" s="67">
        <f>SUBTOTAL(3,$B$26:EM26)</f>
        <v>142</v>
      </c>
      <c r="EN28" s="67">
        <f>SUBTOTAL(3,$B$26:EN26)</f>
        <v>143</v>
      </c>
      <c r="EO28" s="67">
        <f>SUBTOTAL(3,$B$26:EO26)</f>
        <v>144</v>
      </c>
      <c r="EP28" s="67">
        <f>SUBTOTAL(3,$B$26:EP26)</f>
        <v>145</v>
      </c>
      <c r="EQ28" s="67">
        <f>SUBTOTAL(3,$B$26:EQ26)</f>
        <v>146</v>
      </c>
      <c r="ER28" s="67">
        <f>SUBTOTAL(3,$B$26:ER26)</f>
        <v>147</v>
      </c>
      <c r="ES28" s="67">
        <f>SUBTOTAL(3,$B$26:ES26)</f>
        <v>148</v>
      </c>
      <c r="ET28" s="66"/>
      <c r="EU28" s="65">
        <f>SUBTOTAL(3,$B$26:EU26)</f>
        <v>150</v>
      </c>
      <c r="EV28" s="67">
        <f>SUBTOTAL(3,$B$26:EV26)</f>
        <v>151</v>
      </c>
      <c r="EW28" s="67">
        <f>SUBTOTAL(3,$B$26:EW26)</f>
        <v>152</v>
      </c>
      <c r="EX28" s="67">
        <f>SUBTOTAL(3,$B$26:EX26)</f>
        <v>153</v>
      </c>
      <c r="EY28" s="67">
        <f>SUBTOTAL(3,$B$26:EY26)</f>
        <v>154</v>
      </c>
      <c r="EZ28" s="67">
        <f>SUBTOTAL(3,$B$26:EZ26)</f>
        <v>155</v>
      </c>
      <c r="FA28" s="67">
        <f>SUBTOTAL(3,$B$26:FA26)</f>
        <v>156</v>
      </c>
      <c r="FB28" s="67">
        <f>SUBTOTAL(3,$B$26:FB26)</f>
        <v>157</v>
      </c>
      <c r="FC28" s="67">
        <f>SUBTOTAL(3,$B$26:FC26)</f>
        <v>158</v>
      </c>
      <c r="FD28" s="67">
        <f>SUBTOTAL(3,$B$26:FD26)</f>
        <v>159</v>
      </c>
      <c r="FE28" s="67">
        <f>SUBTOTAL(3,$B$26:FE26)</f>
        <v>160</v>
      </c>
      <c r="FF28" s="67">
        <f>SUBTOTAL(3,$B$26:FF26)</f>
        <v>161</v>
      </c>
      <c r="FG28" s="67">
        <f>SUBTOTAL(3,$B$26:FG26)</f>
        <v>162</v>
      </c>
      <c r="FH28" s="67">
        <f>SUBTOTAL(3,$B$26:FH26)</f>
        <v>163</v>
      </c>
      <c r="FI28" s="67">
        <f>SUBTOTAL(3,$B$26:FI26)</f>
        <v>164</v>
      </c>
      <c r="FJ28" s="66"/>
      <c r="FK28" s="65">
        <f>SUBTOTAL(3,$B$26:FK26)</f>
        <v>166</v>
      </c>
      <c r="FL28" s="67">
        <f>SUBTOTAL(3,$B$26:FL26)</f>
        <v>167</v>
      </c>
      <c r="FM28" s="67">
        <f>SUBTOTAL(3,$B$26:FM26)</f>
        <v>168</v>
      </c>
      <c r="FN28" s="67">
        <f>SUBTOTAL(3,$B$26:FN26)</f>
        <v>169</v>
      </c>
      <c r="FO28" s="67">
        <f>SUBTOTAL(3,$B$26:FO26)</f>
        <v>170</v>
      </c>
      <c r="FP28" s="67">
        <f>SUBTOTAL(3,$B$26:FP26)</f>
        <v>171</v>
      </c>
      <c r="FQ28" s="67">
        <f>SUBTOTAL(3,$B$26:FQ26)</f>
        <v>172</v>
      </c>
      <c r="FR28" s="67">
        <f>SUBTOTAL(3,$B$26:FR26)</f>
        <v>173</v>
      </c>
      <c r="FS28" s="67">
        <f>SUBTOTAL(3,$B$26:FS26)</f>
        <v>174</v>
      </c>
      <c r="FT28" s="67">
        <f>SUBTOTAL(3,$B$26:FT26)</f>
        <v>175</v>
      </c>
      <c r="FU28" s="67">
        <f>SUBTOTAL(3,$B$26:FU26)</f>
        <v>176</v>
      </c>
      <c r="FV28" s="67">
        <f>SUBTOTAL(3,$B$26:FV26)</f>
        <v>177</v>
      </c>
      <c r="FW28" s="67">
        <f>SUBTOTAL(3,$B$26:FW26)</f>
        <v>178</v>
      </c>
      <c r="FX28" s="67">
        <f>SUBTOTAL(3,$B$26:FX26)</f>
        <v>179</v>
      </c>
      <c r="FY28" s="66">
        <v>180</v>
      </c>
      <c r="FZ28" s="65">
        <f>SUBTOTAL(3,$B$26:FZ26)</f>
        <v>181</v>
      </c>
      <c r="GA28" s="66">
        <f>SUBTOTAL(3,$B$26:GA26)</f>
        <v>182</v>
      </c>
      <c r="GB28" s="65">
        <f>SUBTOTAL(3,$B$26:GB26)</f>
        <v>183</v>
      </c>
      <c r="GC28" s="66">
        <f>SUBTOTAL(3,$B$26:GC26)</f>
        <v>184</v>
      </c>
      <c r="GD28" s="974"/>
      <c r="GE28" s="975"/>
      <c r="GF28" s="975"/>
      <c r="GG28" s="975"/>
      <c r="GH28" s="975"/>
      <c r="GI28" s="976"/>
      <c r="GJ28" s="977"/>
      <c r="GK28" s="976"/>
      <c r="GL28" s="977"/>
      <c r="GM28" s="976"/>
      <c r="GN28" s="977"/>
      <c r="GO28" s="977"/>
      <c r="GP28" s="977"/>
      <c r="GQ28" s="977"/>
      <c r="GR28" s="977"/>
      <c r="GS28" s="977"/>
      <c r="GT28" s="977"/>
      <c r="GU28" s="977"/>
      <c r="GV28" s="977"/>
      <c r="GW28" s="977"/>
      <c r="GX28" s="977"/>
      <c r="GY28" s="977"/>
      <c r="GZ28" s="977"/>
      <c r="HA28" s="977"/>
      <c r="HB28" s="977"/>
      <c r="HC28" s="977"/>
      <c r="HD28" s="977"/>
      <c r="HE28" s="977"/>
      <c r="HF28" s="977"/>
      <c r="HG28" s="977"/>
      <c r="HH28" s="977"/>
      <c r="HI28" s="977"/>
      <c r="HJ28" s="977"/>
      <c r="HK28" s="977"/>
      <c r="HL28" s="977"/>
      <c r="HM28" s="977"/>
      <c r="HN28" s="977"/>
      <c r="HO28" s="977"/>
      <c r="HP28" s="977"/>
      <c r="HQ28" s="977"/>
      <c r="HR28" s="977"/>
      <c r="HS28" s="977"/>
      <c r="HT28" s="977"/>
      <c r="HU28" s="977"/>
      <c r="HV28" s="977"/>
      <c r="HW28" s="977"/>
      <c r="HX28" s="977"/>
      <c r="HY28" s="977"/>
      <c r="HZ28" s="977"/>
      <c r="IA28" s="977"/>
      <c r="IB28" s="977"/>
      <c r="IC28" s="977"/>
      <c r="ID28" s="977"/>
      <c r="IE28" s="977"/>
      <c r="IF28" s="977"/>
      <c r="IG28" s="977"/>
      <c r="IH28" s="977"/>
      <c r="II28" s="977"/>
      <c r="IJ28" s="977"/>
      <c r="IK28" s="977"/>
      <c r="IL28" s="977"/>
      <c r="IM28" s="977"/>
      <c r="IN28" s="977"/>
      <c r="IO28" s="977"/>
      <c r="IP28" s="977"/>
      <c r="IQ28" s="977"/>
      <c r="IR28" s="977"/>
      <c r="IS28" s="977"/>
      <c r="IT28" s="977"/>
      <c r="IU28" s="977"/>
      <c r="IV28" s="977"/>
      <c r="IW28" s="977"/>
      <c r="IX28" s="977"/>
      <c r="IY28" s="977"/>
      <c r="IZ28" s="977"/>
      <c r="JA28" s="977"/>
      <c r="JB28" s="977"/>
      <c r="JC28" s="977"/>
      <c r="JD28" s="977"/>
      <c r="JE28" s="977"/>
      <c r="JF28" s="977"/>
      <c r="JG28" s="977"/>
      <c r="JH28" s="977"/>
      <c r="JI28" s="977"/>
      <c r="JJ28" s="977"/>
      <c r="JK28" s="973"/>
      <c r="JL28" s="973"/>
      <c r="JM28" s="973"/>
      <c r="JN28" s="973"/>
      <c r="JO28" s="973"/>
      <c r="JP28" s="973"/>
      <c r="JQ28" s="973"/>
      <c r="JR28" s="973"/>
      <c r="JS28" s="973"/>
      <c r="JT28" s="973"/>
      <c r="JU28" s="973"/>
      <c r="JV28" s="973"/>
      <c r="JW28" s="973"/>
      <c r="JX28" s="973"/>
      <c r="JY28" s="973"/>
      <c r="JZ28" s="973"/>
      <c r="KA28" s="973"/>
      <c r="KB28" s="973"/>
      <c r="KC28" s="973"/>
      <c r="KD28" s="973"/>
      <c r="KE28" s="973"/>
      <c r="KF28" s="973"/>
      <c r="KG28" s="973"/>
      <c r="KH28" s="973"/>
      <c r="KI28" s="973"/>
      <c r="KJ28" s="973"/>
      <c r="KK28" s="973"/>
      <c r="KL28" s="973"/>
      <c r="KM28" s="973"/>
      <c r="KN28" s="973"/>
      <c r="KO28" s="973"/>
      <c r="KP28" s="973"/>
      <c r="KQ28" s="973"/>
      <c r="KR28" s="973"/>
      <c r="KS28" s="973"/>
      <c r="KT28" s="973"/>
      <c r="KU28" s="973"/>
      <c r="KV28" s="973"/>
      <c r="KW28" s="973"/>
      <c r="KX28" s="973"/>
      <c r="KY28" s="973"/>
      <c r="KZ28" s="973"/>
      <c r="LA28" s="973"/>
      <c r="LB28" s="973"/>
      <c r="LC28" s="973"/>
      <c r="LD28" s="973"/>
      <c r="LE28" s="973"/>
      <c r="LF28" s="973"/>
      <c r="LG28" s="973"/>
      <c r="LH28" s="973"/>
      <c r="LI28" s="973"/>
      <c r="LJ28" s="973"/>
      <c r="LK28" s="973"/>
      <c r="LL28" s="973"/>
      <c r="LM28" s="973"/>
      <c r="LN28" s="973"/>
      <c r="LO28" s="973"/>
      <c r="LP28" s="973"/>
      <c r="LQ28" s="973"/>
      <c r="LR28" s="973"/>
      <c r="LS28" s="973"/>
      <c r="LT28" s="973"/>
      <c r="LU28" s="973"/>
      <c r="LV28" s="973"/>
      <c r="LW28" s="973"/>
      <c r="LX28" s="973"/>
      <c r="LY28" s="977"/>
      <c r="LZ28" s="977"/>
      <c r="MA28" s="977"/>
      <c r="MB28" s="978"/>
      <c r="MC28" s="979"/>
      <c r="MD28" s="980"/>
      <c r="ME28" s="980"/>
      <c r="MF28" s="980"/>
      <c r="MG28" s="878"/>
      <c r="MH28" s="878"/>
      <c r="MI28" s="878"/>
      <c r="MJ28" s="878"/>
      <c r="MK28" s="878"/>
      <c r="ML28" s="878"/>
      <c r="MM28" s="878"/>
      <c r="MN28" s="878"/>
      <c r="MO28" s="878"/>
      <c r="MP28" s="878"/>
      <c r="MQ28" s="878"/>
      <c r="MR28" s="878"/>
      <c r="MS28" s="878"/>
      <c r="MT28" s="878"/>
      <c r="MU28" s="878"/>
      <c r="MV28" s="878"/>
      <c r="MW28" s="878"/>
      <c r="MX28" s="878"/>
      <c r="MY28" s="878"/>
      <c r="MZ28" s="878"/>
      <c r="NA28" s="878"/>
      <c r="NB28" s="878"/>
      <c r="NC28" s="878"/>
      <c r="ND28" s="878"/>
      <c r="NE28" s="878"/>
      <c r="NF28" s="878"/>
      <c r="NG28" s="878"/>
      <c r="NH28" s="878"/>
      <c r="NI28" s="878"/>
      <c r="NJ28" s="878"/>
      <c r="NK28" s="878"/>
      <c r="NL28" s="878"/>
      <c r="NM28" s="878"/>
    </row>
    <row r="29" spans="1:466 1191:1191" ht="21" customHeight="1" x14ac:dyDescent="0.25">
      <c r="A29" s="982" t="str">
        <f t="shared" ref="A29:A92" si="0">$J29</f>
        <v>1р</v>
      </c>
      <c r="B29" s="82">
        <f>SUBTOTAL(103,$J$29:J29)</f>
        <v>1</v>
      </c>
      <c r="C29" s="83">
        <v>45068</v>
      </c>
      <c r="D29" s="84" t="s">
        <v>176</v>
      </c>
      <c r="E29" s="85" t="s">
        <v>177</v>
      </c>
      <c r="F29" s="86" t="s">
        <v>177</v>
      </c>
      <c r="G29" s="85" t="s">
        <v>178</v>
      </c>
      <c r="H29" s="85" t="s">
        <v>179</v>
      </c>
      <c r="I29" s="85" t="s">
        <v>180</v>
      </c>
      <c r="J29" s="87" t="s">
        <v>181</v>
      </c>
      <c r="K29" s="85" t="s">
        <v>182</v>
      </c>
      <c r="L29" s="88">
        <v>41495</v>
      </c>
      <c r="M29" s="85" t="s">
        <v>183</v>
      </c>
      <c r="N29" s="85" t="s">
        <v>184</v>
      </c>
      <c r="O29" s="85" t="s">
        <v>185</v>
      </c>
      <c r="P29" s="85" t="s">
        <v>186</v>
      </c>
      <c r="Q29" s="85" t="str">
        <f>IF(R29="","",-4)</f>
        <v/>
      </c>
      <c r="R29" s="88"/>
      <c r="S29" s="86" t="s">
        <v>156</v>
      </c>
      <c r="T29" s="89"/>
      <c r="U29" s="90">
        <v>203</v>
      </c>
      <c r="V29" s="91">
        <v>218.2</v>
      </c>
      <c r="W29" s="92">
        <v>0.98</v>
      </c>
      <c r="X29" s="92">
        <v>1.66</v>
      </c>
      <c r="Y29" s="92">
        <f t="shared" ref="Y29:Y43" si="1">(W29*X29)/((CQ29/100)*W29+(1-CQ29/100)*X29)</f>
        <v>0.98120581919949812</v>
      </c>
      <c r="Z29" s="93">
        <v>1.454</v>
      </c>
      <c r="AA29" s="93">
        <v>0.83599999999999997</v>
      </c>
      <c r="AB29" s="93">
        <v>0.72</v>
      </c>
      <c r="AC29" s="91">
        <v>34.299999999999997</v>
      </c>
      <c r="AD29" s="94">
        <v>1.17</v>
      </c>
      <c r="AE29" s="84">
        <v>139.69999999999999</v>
      </c>
      <c r="AF29" s="86">
        <v>7.72</v>
      </c>
      <c r="AG29" s="86">
        <v>1985</v>
      </c>
      <c r="AH29" s="85">
        <v>1910</v>
      </c>
      <c r="AI29" s="85">
        <v>1908.3</v>
      </c>
      <c r="AJ29" s="95">
        <v>43686</v>
      </c>
      <c r="AK29" s="86"/>
      <c r="AL29" s="89"/>
      <c r="AM29" s="84" t="s">
        <v>187</v>
      </c>
      <c r="AN29" s="96" t="s">
        <v>188</v>
      </c>
      <c r="AO29" s="97">
        <v>72.239999999999995</v>
      </c>
      <c r="AP29" s="86">
        <v>1836</v>
      </c>
      <c r="AQ29" s="86">
        <v>0.5</v>
      </c>
      <c r="AR29" s="983"/>
      <c r="AS29" s="86"/>
      <c r="AT29" s="98"/>
      <c r="AU29" s="84" t="s">
        <v>189</v>
      </c>
      <c r="AV29" s="86">
        <v>399.99999374999999</v>
      </c>
      <c r="AW29" s="86" t="s">
        <v>190</v>
      </c>
      <c r="AX29" s="86">
        <v>709.99997402300005</v>
      </c>
      <c r="AY29" s="86" t="s">
        <v>190</v>
      </c>
      <c r="AZ29" s="86">
        <v>949.99998515599998</v>
      </c>
      <c r="BA29" s="86" t="s">
        <v>190</v>
      </c>
      <c r="BB29" s="86">
        <v>1120.0000271480001</v>
      </c>
      <c r="BC29" s="86" t="s">
        <v>190</v>
      </c>
      <c r="BD29" s="86">
        <v>1290.000069141</v>
      </c>
      <c r="BE29" s="86" t="s">
        <v>191</v>
      </c>
      <c r="BF29" s="86" t="s">
        <v>192</v>
      </c>
      <c r="BG29" s="86" t="s">
        <v>192</v>
      </c>
      <c r="BH29" s="86">
        <v>1770</v>
      </c>
      <c r="BI29" s="86" t="s">
        <v>193</v>
      </c>
      <c r="BJ29" s="86" t="s">
        <v>192</v>
      </c>
      <c r="BK29" s="85" t="s">
        <v>192</v>
      </c>
      <c r="BL29" s="99" t="s">
        <v>192</v>
      </c>
      <c r="BM29" s="85" t="s">
        <v>192</v>
      </c>
      <c r="BN29" s="85" t="s">
        <v>192</v>
      </c>
      <c r="BO29" s="86" t="s">
        <v>192</v>
      </c>
      <c r="BP29" s="86" t="s">
        <v>192</v>
      </c>
      <c r="BQ29" s="99">
        <v>1910</v>
      </c>
      <c r="BR29" s="86">
        <v>1810.48</v>
      </c>
      <c r="BS29" s="100">
        <f t="shared" ref="BS29:BS92" si="2">BQ29-BR29</f>
        <v>99.519999999999982</v>
      </c>
      <c r="BT29" s="86">
        <v>73</v>
      </c>
      <c r="BU29" s="86">
        <v>5.5</v>
      </c>
      <c r="BV29" s="85">
        <v>18</v>
      </c>
      <c r="BW29" s="85" t="s">
        <v>194</v>
      </c>
      <c r="BX29" s="85" t="s">
        <v>195</v>
      </c>
      <c r="BY29" s="101">
        <v>24</v>
      </c>
      <c r="BZ29" s="101">
        <v>0</v>
      </c>
      <c r="CA29" s="99">
        <v>25</v>
      </c>
      <c r="CB29" s="99">
        <v>39</v>
      </c>
      <c r="CC29" s="99">
        <v>24</v>
      </c>
      <c r="CD29" s="95">
        <v>45017</v>
      </c>
      <c r="CE29" s="99">
        <v>109.3</v>
      </c>
      <c r="CF29" s="99">
        <v>72</v>
      </c>
      <c r="CG29" s="99" t="str">
        <f t="shared" ref="CG29:CG57" si="3">IF(CH29&lt;&gt;"","В работе","")</f>
        <v>В работе</v>
      </c>
      <c r="CH29" s="99" t="s">
        <v>196</v>
      </c>
      <c r="CI29" s="85">
        <v>5</v>
      </c>
      <c r="CJ29" s="99"/>
      <c r="CK29" s="99"/>
      <c r="CL29" s="99"/>
      <c r="CM29" s="99"/>
      <c r="CN29" s="102">
        <v>48</v>
      </c>
      <c r="CO29" s="103">
        <f t="shared" ref="CO29:CO92" si="4">CP29*(1-CQ29/100)*0.836</f>
        <v>8.3349200000000003</v>
      </c>
      <c r="CP29" s="104">
        <v>10</v>
      </c>
      <c r="CQ29" s="105">
        <v>0.3</v>
      </c>
      <c r="CR29" s="99">
        <v>12</v>
      </c>
      <c r="CS29" s="101">
        <v>4.8</v>
      </c>
      <c r="CT29" s="99"/>
      <c r="CU29" s="99">
        <f t="shared" ref="CU29:CU92" si="5">IF(CR29&lt;&gt;"0",CR29-CS29,"0")</f>
        <v>7.2</v>
      </c>
      <c r="CV29" s="100">
        <f t="shared" ref="CV29:CV92" si="6">(CR29-CS29)*1000/CO29</f>
        <v>863.83552571590371</v>
      </c>
      <c r="CW29" s="100">
        <f t="shared" ref="CW29:CW92" si="7">IF(CP29&lt;&gt;0,IF(AU29=$AU$29,CS29/(CO29+(CP29-CO29/0.836)*1.158)*1000,""),"")</f>
        <v>573.49999880520829</v>
      </c>
      <c r="CX29" s="93">
        <f t="shared" ref="CX29:CX92" si="8">IF(CP29&lt;&gt;0,CP29/(CE29-CN29),0)</f>
        <v>0.16313213703099511</v>
      </c>
      <c r="CY29" s="92"/>
      <c r="CZ29" s="106"/>
      <c r="DA29" s="107" t="str">
        <f t="shared" ref="DA29:DA92" si="9">AU29</f>
        <v>Газлифт</v>
      </c>
      <c r="DB29" s="108">
        <f t="shared" ref="DB29:DB92" si="10">IFERROR(DC29*(1-DD29/100)*$AA29,"-")</f>
        <v>8.3349200000000003</v>
      </c>
      <c r="DC29" s="104">
        <f t="shared" ref="DC29:DC92" si="11">IFERROR(IF(AND(FZ29="Технология",FQ29&lt;$JC$24),EM29,CP29),"-")</f>
        <v>10</v>
      </c>
      <c r="DD29" s="109">
        <f t="shared" ref="DD29:DD92" si="12">IFERROR(IF(AND(FZ29="Технология",FQ29&lt;$JC$29),EN29,CQ29),"-")</f>
        <v>0.3</v>
      </c>
      <c r="DE29" s="100">
        <f t="shared" ref="DE29:DE92" si="13">CU29</f>
        <v>7.2</v>
      </c>
      <c r="DF29" s="91">
        <f t="shared" ref="DF29:DF92" si="14">CS29</f>
        <v>4.8</v>
      </c>
      <c r="DG29" s="100">
        <f t="shared" ref="DG29:DG92" si="15">CV29</f>
        <v>863.83552571590371</v>
      </c>
      <c r="DH29" s="100">
        <f t="shared" ref="DH29:DH92" si="16">CN29</f>
        <v>48</v>
      </c>
      <c r="DI29" s="110"/>
      <c r="DJ29" s="111" t="s">
        <v>197</v>
      </c>
      <c r="DK29" s="112">
        <v>41906</v>
      </c>
      <c r="DL29" s="113">
        <f t="shared" ref="DL29:DL43" ca="1" si="17">TODAY()-DK29</f>
        <v>3198</v>
      </c>
      <c r="DM29" s="114"/>
      <c r="DN29" s="114"/>
      <c r="DO29" s="114"/>
      <c r="DP29" s="114"/>
      <c r="DQ29" s="112">
        <v>44456</v>
      </c>
      <c r="DR29" s="114" t="s">
        <v>198</v>
      </c>
      <c r="DS29" s="114"/>
      <c r="DT29" s="115">
        <v>46</v>
      </c>
      <c r="DU29" s="116">
        <f t="shared" ref="DU29:DU43" si="18">DW29/(CE29-DT29)</f>
        <v>0.16136496425340816</v>
      </c>
      <c r="DV29" s="117">
        <f t="shared" ref="DV29:DV43" si="19">DW29*(1-DX29/100)*$AA29</f>
        <v>8.5136225495222533</v>
      </c>
      <c r="DW29" s="118">
        <f t="shared" ref="DW29:DW43" si="20">IF(DT29&lt;CN29,IF(MQ29=1,CP29,(1-0.2*(DT29/CE29)-0.8*(DT29/CE29)^2)*(CP29/(1-0.2*(CN29/CE29)-0.8*(CN29/CE29)^2))),CP29)</f>
        <v>10.214402237240735</v>
      </c>
      <c r="DX29" s="119">
        <f t="shared" ref="DX29:DX92" si="21">CQ29</f>
        <v>0.3</v>
      </c>
      <c r="DY29" s="115">
        <f t="shared" ref="DY29:DY43" si="22">(CV29*DV29)/1000</f>
        <v>7.3543696108133281</v>
      </c>
      <c r="DZ29" s="117">
        <f t="shared" ref="DZ29:EB44" si="23">DV29-CO29</f>
        <v>0.17870254952225295</v>
      </c>
      <c r="EA29" s="120">
        <f t="shared" si="23"/>
        <v>0.21440223724073526</v>
      </c>
      <c r="EB29" s="119">
        <f t="shared" si="23"/>
        <v>0</v>
      </c>
      <c r="EC29" s="121">
        <f t="shared" ref="EC29:EC43" si="24">DY29-CU29</f>
        <v>0.1543696108133279</v>
      </c>
      <c r="ED29" s="122"/>
      <c r="EE29" s="107">
        <v>18</v>
      </c>
      <c r="EF29" s="100">
        <v>27</v>
      </c>
      <c r="EG29" s="100">
        <v>40</v>
      </c>
      <c r="EH29" s="100">
        <v>26</v>
      </c>
      <c r="EI29" s="86" t="s">
        <v>195</v>
      </c>
      <c r="EJ29" s="91">
        <v>24</v>
      </c>
      <c r="EK29" s="91">
        <v>0</v>
      </c>
      <c r="EL29" s="123">
        <v>7.1680311999999988</v>
      </c>
      <c r="EM29" s="104">
        <v>8.6</v>
      </c>
      <c r="EN29" s="109">
        <v>0.3</v>
      </c>
      <c r="EO29" s="100">
        <v>13.9</v>
      </c>
      <c r="EP29" s="100">
        <v>834.25976159255572</v>
      </c>
      <c r="EQ29" s="100">
        <v>71</v>
      </c>
      <c r="ER29" s="100">
        <v>7.92</v>
      </c>
      <c r="ES29" s="100">
        <v>49</v>
      </c>
      <c r="ET29" s="106">
        <v>0.14262023217247097</v>
      </c>
      <c r="EU29" s="107">
        <f t="shared" ref="EU29:EU92" si="25">BV29</f>
        <v>18</v>
      </c>
      <c r="EV29" s="100">
        <f t="shared" ref="EV29:EX92" si="26">CA29</f>
        <v>25</v>
      </c>
      <c r="EW29" s="100">
        <f t="shared" si="26"/>
        <v>39</v>
      </c>
      <c r="EX29" s="100">
        <f t="shared" si="26"/>
        <v>24</v>
      </c>
      <c r="EY29" s="100" t="str">
        <f t="shared" ref="EY29:FA60" si="27">BX29</f>
        <v>Постоянный</v>
      </c>
      <c r="EZ29" s="100">
        <f t="shared" si="27"/>
        <v>24</v>
      </c>
      <c r="FA29" s="100">
        <f t="shared" si="27"/>
        <v>0</v>
      </c>
      <c r="FB29" s="123">
        <f t="shared" ref="FB29:FE92" si="28">CO29</f>
        <v>8.3349200000000003</v>
      </c>
      <c r="FC29" s="104">
        <f t="shared" si="28"/>
        <v>10</v>
      </c>
      <c r="FD29" s="109">
        <f t="shared" si="28"/>
        <v>0.3</v>
      </c>
      <c r="FE29" s="91">
        <f t="shared" si="28"/>
        <v>12</v>
      </c>
      <c r="FF29" s="91">
        <f t="shared" ref="FF29:FF43" si="29">CV29</f>
        <v>863.83552571590371</v>
      </c>
      <c r="FG29" s="91">
        <f t="shared" ref="FG29:FG92" si="30">CF29</f>
        <v>72</v>
      </c>
      <c r="FH29" s="91">
        <f t="shared" ref="FH29:FH43" si="31">CS29</f>
        <v>4.8</v>
      </c>
      <c r="FI29" s="91">
        <f t="shared" ref="FI29:FI61" si="32">CN29</f>
        <v>48</v>
      </c>
      <c r="FJ29" s="106">
        <f t="shared" ref="FJ29:FJ92" si="33">CX29</f>
        <v>0.16313213703099511</v>
      </c>
      <c r="FK29" s="90">
        <f t="shared" ref="FK29:FN92" si="34">EU29-EE29</f>
        <v>0</v>
      </c>
      <c r="FL29" s="100">
        <f t="shared" si="34"/>
        <v>-2</v>
      </c>
      <c r="FM29" s="100">
        <f t="shared" si="34"/>
        <v>-1</v>
      </c>
      <c r="FN29" s="100">
        <f t="shared" si="34"/>
        <v>-2</v>
      </c>
      <c r="FO29" s="100">
        <f t="shared" ref="FO29:FT92" si="35">EZ29-EJ29</f>
        <v>0</v>
      </c>
      <c r="FP29" s="100">
        <f t="shared" si="35"/>
        <v>0</v>
      </c>
      <c r="FQ29" s="123">
        <f t="shared" si="35"/>
        <v>1.1668888000000015</v>
      </c>
      <c r="FR29" s="104">
        <f t="shared" si="35"/>
        <v>1.4000000000000004</v>
      </c>
      <c r="FS29" s="109">
        <f t="shared" si="35"/>
        <v>0</v>
      </c>
      <c r="FT29" s="91">
        <f t="shared" si="35"/>
        <v>-1.9000000000000004</v>
      </c>
      <c r="FU29" s="91">
        <f t="shared" ref="FU29:FV92" si="36">FG29-EQ29</f>
        <v>1</v>
      </c>
      <c r="FV29" s="91">
        <f t="shared" si="36"/>
        <v>-3.12</v>
      </c>
      <c r="FW29" s="91">
        <f t="shared" ref="FW29:FW92" si="37">FF29-EP29</f>
        <v>29.575764123347994</v>
      </c>
      <c r="FX29" s="91">
        <f t="shared" ref="FX29:FY92" si="38">FI29-ES29</f>
        <v>-1</v>
      </c>
      <c r="FY29" s="106">
        <f t="shared" si="38"/>
        <v>2.0511904858524138E-2</v>
      </c>
      <c r="FZ29" s="124" t="s">
        <v>199</v>
      </c>
      <c r="GA29" s="125" t="s">
        <v>200</v>
      </c>
      <c r="GB29" s="107" t="s">
        <v>199</v>
      </c>
      <c r="GC29" s="125" t="s">
        <v>201</v>
      </c>
      <c r="GD29" s="984" t="s">
        <v>202</v>
      </c>
      <c r="GE29" s="985" t="s">
        <v>199</v>
      </c>
      <c r="GF29" s="985">
        <v>1.8253474799999996</v>
      </c>
      <c r="GG29" s="985"/>
      <c r="GH29" s="985">
        <v>0.25838251999999962</v>
      </c>
      <c r="GI29" s="107" t="s">
        <v>199</v>
      </c>
      <c r="GJ29" s="986">
        <v>-1.7708987999999994</v>
      </c>
      <c r="GK29" s="107"/>
      <c r="GL29" s="986">
        <v>-0.96975999999999996</v>
      </c>
      <c r="GM29" s="987"/>
      <c r="GN29" s="986">
        <v>0</v>
      </c>
      <c r="GO29" s="988"/>
      <c r="GP29" s="986">
        <v>0.45143999999999895</v>
      </c>
      <c r="GQ29" s="988"/>
      <c r="GR29" s="986">
        <v>-0.52751600000000032</v>
      </c>
      <c r="GS29" s="988"/>
      <c r="GT29" s="986">
        <v>0</v>
      </c>
      <c r="GU29" s="988"/>
      <c r="GV29" s="986">
        <v>-0.45896399999999904</v>
      </c>
      <c r="GW29" s="988"/>
      <c r="GX29" s="986">
        <v>0</v>
      </c>
      <c r="GY29" s="988"/>
      <c r="GZ29" s="986">
        <v>0</v>
      </c>
      <c r="HA29" s="988"/>
      <c r="HB29" s="986">
        <v>-0.49324000000000012</v>
      </c>
      <c r="HC29" s="988"/>
      <c r="HD29" s="986">
        <v>-6.6879999999999384E-2</v>
      </c>
      <c r="HE29" s="988"/>
      <c r="HF29" s="986">
        <v>0</v>
      </c>
      <c r="HG29" s="988"/>
      <c r="HH29" s="986">
        <v>0</v>
      </c>
      <c r="HI29" s="988"/>
      <c r="HJ29" s="986">
        <v>-0.19228000000000023</v>
      </c>
      <c r="HK29" s="988"/>
      <c r="HL29" s="986">
        <v>0</v>
      </c>
      <c r="HM29" s="988"/>
      <c r="HN29" s="986">
        <v>0</v>
      </c>
      <c r="HO29" s="988" t="s">
        <v>199</v>
      </c>
      <c r="HP29" s="986">
        <v>-2.0064000000000011</v>
      </c>
      <c r="HQ29" s="988" t="s">
        <v>203</v>
      </c>
      <c r="HR29" s="986">
        <v>-3.6072000000000006</v>
      </c>
      <c r="HS29" s="988" t="s">
        <v>25</v>
      </c>
      <c r="HT29" s="986">
        <v>8.6999999999999993</v>
      </c>
      <c r="HU29" s="988" t="s">
        <v>199</v>
      </c>
      <c r="HV29" s="986">
        <v>1.6087114559999991</v>
      </c>
      <c r="HW29" s="988" t="s">
        <v>199</v>
      </c>
      <c r="HX29" s="986">
        <v>-3.1768000000000001</v>
      </c>
      <c r="HY29" s="988"/>
      <c r="HZ29" s="986">
        <v>4.4391600000000864E-2</v>
      </c>
      <c r="IA29" s="988"/>
      <c r="IB29" s="986">
        <v>0</v>
      </c>
      <c r="IC29" s="988" t="s">
        <v>204</v>
      </c>
      <c r="ID29" s="986">
        <v>3.1430423199999993</v>
      </c>
      <c r="IE29" s="988" t="s">
        <v>203</v>
      </c>
      <c r="IF29" s="986">
        <v>-2.76943392</v>
      </c>
      <c r="IG29" s="988" t="s">
        <v>203</v>
      </c>
      <c r="IH29" s="986">
        <v>-2.5500000000000007</v>
      </c>
      <c r="II29" s="988"/>
      <c r="IJ29" s="986">
        <v>0</v>
      </c>
      <c r="IK29" s="988"/>
      <c r="IL29" s="986">
        <v>0</v>
      </c>
      <c r="IM29" s="988"/>
      <c r="IN29" s="986">
        <v>0.16720000000000113</v>
      </c>
      <c r="IO29" s="988"/>
      <c r="IP29" s="986">
        <v>0.31517199999999956</v>
      </c>
      <c r="IQ29" s="988" t="s">
        <v>203</v>
      </c>
      <c r="IR29" s="986">
        <v>1.5240279999999995</v>
      </c>
      <c r="IS29" s="988"/>
      <c r="IT29" s="986">
        <v>0</v>
      </c>
      <c r="IU29" s="988"/>
      <c r="IV29" s="986">
        <v>0</v>
      </c>
      <c r="IW29" s="988"/>
      <c r="IX29" s="986">
        <v>0</v>
      </c>
      <c r="IY29" s="988"/>
      <c r="IZ29" s="986">
        <v>-0.41799999999999926</v>
      </c>
      <c r="JA29" s="988" t="s">
        <v>204</v>
      </c>
      <c r="JB29" s="986">
        <v>-2.508</v>
      </c>
      <c r="JC29" s="988" t="s">
        <v>205</v>
      </c>
      <c r="JD29" s="986">
        <v>2.508</v>
      </c>
      <c r="JE29" s="988"/>
      <c r="JF29" s="986">
        <v>0</v>
      </c>
      <c r="JG29" s="988"/>
      <c r="JH29" s="986">
        <v>0</v>
      </c>
      <c r="JI29" s="988"/>
      <c r="JJ29" s="986">
        <v>0</v>
      </c>
      <c r="JK29" s="989"/>
      <c r="JL29" s="989">
        <v>0</v>
      </c>
      <c r="JM29" s="989"/>
      <c r="JN29" s="989">
        <v>0</v>
      </c>
      <c r="JO29" s="990" t="s">
        <v>199</v>
      </c>
      <c r="JP29" s="989">
        <v>-4.1800000000000006</v>
      </c>
      <c r="JQ29" s="990">
        <v>0</v>
      </c>
      <c r="JR29" s="989">
        <v>0</v>
      </c>
      <c r="JS29" s="990">
        <v>0</v>
      </c>
      <c r="JT29" s="989">
        <v>0</v>
      </c>
      <c r="JU29" s="990" t="s">
        <v>204</v>
      </c>
      <c r="JV29" s="989">
        <v>2.508</v>
      </c>
      <c r="JW29" s="990" t="s">
        <v>206</v>
      </c>
      <c r="JX29" s="989">
        <v>-3.3440000000000003</v>
      </c>
      <c r="JY29" s="990"/>
      <c r="JZ29" s="989">
        <v>0</v>
      </c>
      <c r="KA29" s="990"/>
      <c r="KB29" s="989">
        <v>0</v>
      </c>
      <c r="KC29" s="990" t="s">
        <v>207</v>
      </c>
      <c r="KD29" s="989">
        <v>-1.6719999999999988</v>
      </c>
      <c r="KE29" s="990" t="s">
        <v>199</v>
      </c>
      <c r="KF29" s="989">
        <v>1.0868000000000002</v>
      </c>
      <c r="KG29" s="990"/>
      <c r="KH29" s="989">
        <v>0</v>
      </c>
      <c r="KI29" s="990"/>
      <c r="KJ29" s="989">
        <v>0</v>
      </c>
      <c r="KK29" s="990"/>
      <c r="KL29" s="989">
        <v>0</v>
      </c>
      <c r="KM29" s="990"/>
      <c r="KN29" s="989">
        <v>0</v>
      </c>
      <c r="KO29" s="990"/>
      <c r="KP29" s="989">
        <v>0</v>
      </c>
      <c r="KQ29" s="990">
        <v>0</v>
      </c>
      <c r="KR29" s="989">
        <v>0</v>
      </c>
      <c r="KS29" s="990" t="s">
        <v>207</v>
      </c>
      <c r="KT29" s="989">
        <v>5.0995999999999997</v>
      </c>
      <c r="KU29" s="990" t="s">
        <v>207</v>
      </c>
      <c r="KV29" s="989">
        <v>-2.0064000000000002</v>
      </c>
      <c r="KW29" s="990">
        <v>0</v>
      </c>
      <c r="KX29" s="989">
        <v>8.1092000000001718E-2</v>
      </c>
      <c r="KY29" s="990">
        <v>0</v>
      </c>
      <c r="KZ29" s="989">
        <v>0</v>
      </c>
      <c r="LA29" s="990" t="s">
        <v>206</v>
      </c>
      <c r="LB29" s="989">
        <v>0.77221319999999771</v>
      </c>
      <c r="LC29" s="990">
        <v>0</v>
      </c>
      <c r="LD29" s="989">
        <v>0</v>
      </c>
      <c r="LE29" s="990" t="s">
        <v>206</v>
      </c>
      <c r="LF29" s="989">
        <v>0.4170385999999997</v>
      </c>
      <c r="LG29" s="990">
        <v>0</v>
      </c>
      <c r="LH29" s="989">
        <v>0</v>
      </c>
      <c r="LI29" s="990">
        <v>0</v>
      </c>
      <c r="LJ29" s="989">
        <v>0</v>
      </c>
      <c r="LK29" s="990">
        <v>0</v>
      </c>
      <c r="LL29" s="989">
        <v>0</v>
      </c>
      <c r="LM29" s="990" t="s">
        <v>206</v>
      </c>
      <c r="LN29" s="989">
        <v>0.48921900000000001</v>
      </c>
      <c r="LO29" s="990">
        <v>0</v>
      </c>
      <c r="LP29" s="989">
        <v>0.75194855999999999</v>
      </c>
      <c r="LQ29" s="990">
        <v>0</v>
      </c>
      <c r="LR29" s="989">
        <v>-0.67877460000000001</v>
      </c>
      <c r="LS29" s="990">
        <v>0</v>
      </c>
      <c r="LT29" s="989">
        <v>-1.7738122599999997</v>
      </c>
      <c r="LU29" s="990">
        <v>0</v>
      </c>
      <c r="LV29" s="989">
        <v>0.44263691999999899</v>
      </c>
      <c r="LW29" s="990">
        <v>0</v>
      </c>
      <c r="LX29" s="989">
        <v>1.1191197600000011</v>
      </c>
      <c r="LY29" s="991">
        <v>0</v>
      </c>
      <c r="LZ29" s="992">
        <v>-0.67381626999999999</v>
      </c>
      <c r="MA29" s="993" t="s">
        <v>206</v>
      </c>
      <c r="MB29" s="994">
        <v>-1.4911297279999998</v>
      </c>
      <c r="MC29" s="995"/>
      <c r="MD29" s="996"/>
      <c r="ME29" s="997" t="s">
        <v>202</v>
      </c>
      <c r="MF29" s="997">
        <f t="shared" ref="MF29:MF40" si="39">CN29-CA29</f>
        <v>23</v>
      </c>
      <c r="MG29" s="998"/>
      <c r="NR29" s="1000"/>
      <c r="NS29" s="1000"/>
      <c r="NT29" s="1001"/>
      <c r="NU29" s="1000"/>
      <c r="NV29" s="1001"/>
      <c r="NX29" s="1002"/>
      <c r="NZ29" s="1001"/>
      <c r="OA29" s="1001"/>
      <c r="OC29" s="1003"/>
      <c r="OD29" s="1003"/>
      <c r="OE29" s="1001"/>
      <c r="OF29" s="1003"/>
      <c r="OG29" s="1003"/>
      <c r="QX29" s="1000">
        <f>CN29-CA29</f>
        <v>23</v>
      </c>
      <c r="ASU29" s="999" t="s">
        <v>208</v>
      </c>
    </row>
    <row r="30" spans="1:466 1191:1191" ht="21" customHeight="1" x14ac:dyDescent="0.25">
      <c r="A30" s="982" t="str">
        <f t="shared" si="0"/>
        <v>2р</v>
      </c>
      <c r="B30" s="124">
        <f>SUBTOTAL(103,$J$29:J30)</f>
        <v>2</v>
      </c>
      <c r="C30" s="126">
        <v>45068</v>
      </c>
      <c r="D30" s="124" t="s">
        <v>176</v>
      </c>
      <c r="E30" s="127" t="s">
        <v>177</v>
      </c>
      <c r="F30" s="128" t="s">
        <v>177</v>
      </c>
      <c r="G30" s="127" t="s">
        <v>178</v>
      </c>
      <c r="H30" s="127" t="s">
        <v>179</v>
      </c>
      <c r="I30" s="127" t="s">
        <v>209</v>
      </c>
      <c r="J30" s="129" t="s">
        <v>210</v>
      </c>
      <c r="K30" s="127" t="s">
        <v>182</v>
      </c>
      <c r="L30" s="130">
        <v>38268</v>
      </c>
      <c r="M30" s="127" t="s">
        <v>183</v>
      </c>
      <c r="N30" s="127" t="s">
        <v>184</v>
      </c>
      <c r="O30" s="127" t="s">
        <v>185</v>
      </c>
      <c r="P30" s="127" t="s">
        <v>186</v>
      </c>
      <c r="Q30" s="85">
        <f t="shared" ref="Q30:Q93" si="40">IF(R30="","",-4)</f>
        <v>-4</v>
      </c>
      <c r="R30" s="130">
        <v>41535</v>
      </c>
      <c r="S30" s="128" t="s">
        <v>211</v>
      </c>
      <c r="T30" s="131" t="s">
        <v>212</v>
      </c>
      <c r="U30" s="132">
        <v>203</v>
      </c>
      <c r="V30" s="121">
        <v>218.2</v>
      </c>
      <c r="W30" s="116">
        <v>0.98</v>
      </c>
      <c r="X30" s="116">
        <v>1.66</v>
      </c>
      <c r="Y30" s="116">
        <f t="shared" si="1"/>
        <v>0.98052215758271255</v>
      </c>
      <c r="Z30" s="133">
        <v>1.454</v>
      </c>
      <c r="AA30" s="133">
        <v>0.83599999999999997</v>
      </c>
      <c r="AB30" s="133">
        <v>0.72</v>
      </c>
      <c r="AC30" s="121">
        <v>34.299999999999997</v>
      </c>
      <c r="AD30" s="134">
        <v>1.17</v>
      </c>
      <c r="AE30" s="124" t="s">
        <v>213</v>
      </c>
      <c r="AF30" s="128" t="s">
        <v>214</v>
      </c>
      <c r="AG30" s="128" t="s">
        <v>215</v>
      </c>
      <c r="AH30" s="127">
        <v>1887</v>
      </c>
      <c r="AI30" s="127">
        <v>1880</v>
      </c>
      <c r="AJ30" s="135">
        <v>38268</v>
      </c>
      <c r="AK30" s="128"/>
      <c r="AL30" s="131"/>
      <c r="AM30" s="124" t="s">
        <v>187</v>
      </c>
      <c r="AN30" s="136" t="s">
        <v>216</v>
      </c>
      <c r="AO30" s="137">
        <v>85</v>
      </c>
      <c r="AP30" s="128">
        <v>1795</v>
      </c>
      <c r="AQ30" s="128">
        <v>0.33</v>
      </c>
      <c r="AR30" s="128"/>
      <c r="AS30" s="128"/>
      <c r="AT30" s="122"/>
      <c r="AU30" s="124" t="s">
        <v>189</v>
      </c>
      <c r="AV30" s="115">
        <f>VLOOKUP(J30,'[63]ТР нефть'!$J$28:$BP$638,39,0)</f>
        <v>519.98879999999997</v>
      </c>
      <c r="AW30" s="115" t="str">
        <f>VLOOKUP(J30,'[63]ТР нефть'!$J$28:$BP$638,40,0)</f>
        <v>ГК 84 1/8</v>
      </c>
      <c r="AX30" s="115">
        <f>VLOOKUP(J30,'[63]ТР нефть'!$J$28:$BP$638,41,0)</f>
        <v>929.94479999999999</v>
      </c>
      <c r="AY30" s="115" t="str">
        <f>VLOOKUP(J30,'[63]ТР нефть'!$J$28:$BP$638,42,0)</f>
        <v>ГК 86 1/8</v>
      </c>
      <c r="AZ30" s="115">
        <f>VLOOKUP(J30,'[63]ТР нефть'!$J$28:$BP$638,43,0)</f>
        <v>1260.0432000000001</v>
      </c>
      <c r="BA30" s="115" t="str">
        <f>VLOOKUP(J30,'[63]ТР нефть'!$J$28:$BP$638,44,0)</f>
        <v>ГК 84 5/32</v>
      </c>
      <c r="BB30" s="115">
        <f>VLOOKUP(J30,'[63]ТР нефть'!$J$28:$BP$638,45,0)</f>
        <v>1545.0311999999999</v>
      </c>
      <c r="BC30" s="115" t="str">
        <f>VLOOKUP(J30,'[63]ТР нефть'!$J$28:$BP$638,46,0)</f>
        <v>ГК 86 5/32</v>
      </c>
      <c r="BD30" s="115">
        <f>VLOOKUP(J30,'[63]ТР нефть'!$J$28:$BP$638,47,0)</f>
        <v>1730.0447999999999</v>
      </c>
      <c r="BE30" s="115" t="str">
        <f>VLOOKUP(J30,'[63]ТР нефть'!$J$28:$BP$638,48,0)</f>
        <v>ЦКсОК 5/16</v>
      </c>
      <c r="BF30" s="115" t="str">
        <f>VLOOKUP(J30,'[63]ТР нефть'!$J$28:$BP$638,49,0)</f>
        <v>-</v>
      </c>
      <c r="BG30" s="115" t="str">
        <f>VLOOKUP(J30,'[63]ТР нефть'!$J$28:$BP$638,50,0)</f>
        <v>-</v>
      </c>
      <c r="BH30" s="115">
        <f>VLOOKUP(J30,'[63]ТР нефть'!$J$28:$BP$638,51,0)</f>
        <v>1740</v>
      </c>
      <c r="BI30" s="115" t="str">
        <f>VLOOKUP(J30,'[63]ТР нефть'!$J$28:$BP$638,52,0)</f>
        <v>закрыт</v>
      </c>
      <c r="BJ30" s="115" t="str">
        <f>IF(IFERROR(VLOOKUP(J30,'[63]ТР нефть'!$J$28:$BP$638,53,0),"-")=0,"-",IFERROR(VLOOKUP(J30,'[63]ТР нефть'!$J$28:$BP$638,53,0),"-"))</f>
        <v>-</v>
      </c>
      <c r="BK30" s="138" t="str">
        <f>IF(IFERROR(VLOOKUP(J30,'[63]ТР нефть'!$J$28:$BP$638,54,0),"-")=0,"-",IFERROR(VLOOKUP(J30,'[63]ТР нефть'!$J$28:$BP$638,54,0),"-"))</f>
        <v>-</v>
      </c>
      <c r="BL30" s="138" t="str">
        <f>IF(IFERROR(VLOOKUP(J30,'[63]ТР нефть'!$J$28:$BP$638,55,0),"-")=0,"-",IFERROR(VLOOKUP(J30,'[63]ТР нефть'!$J$28:$BP$638,55,0),"-"))</f>
        <v>-</v>
      </c>
      <c r="BM30" s="138" t="str">
        <f>IF(IFERROR(VLOOKUP(J30,'[63]ТР нефть'!$J$28:$BP$638,56,0),"-")=0,"-",IFERROR(VLOOKUP(J30,'[63]ТР нефть'!$J$28:$BP$638,56,0),"-"))</f>
        <v>-</v>
      </c>
      <c r="BN30" s="138" t="str">
        <f>IF(IFERROR(VLOOKUP(J30,'[63]ТР нефть'!$J$28:$BP$638,57,0),"-")=0,"-",IFERROR(VLOOKUP(J30,'[63]ТР нефть'!$J$28:$BP$638,57,0),"-"))</f>
        <v>-</v>
      </c>
      <c r="BO30" s="115" t="str">
        <f>IF(IFERROR(VLOOKUP(J30,'[63]ТР нефть'!$J$28:$BP$638,58,0),"-")=0,"-",IFERROR(VLOOKUP(J30,'[63]ТР нефть'!$J$28:$BP$638,58,0),"-"))</f>
        <v>-</v>
      </c>
      <c r="BP30" s="115" t="str">
        <f>IF(IFERROR(VLOOKUP(J30,'[63]ТР нефть'!$J$28:$BP$638,59,0),"-")=0,"-",IFERROR(VLOOKUP(J30,'[63]ТР нефть'!$J$28:$BP$638,59,0),"-"))</f>
        <v>-</v>
      </c>
      <c r="BQ30" s="138">
        <v>1880</v>
      </c>
      <c r="BR30" s="128">
        <v>1780</v>
      </c>
      <c r="BS30" s="115">
        <f t="shared" si="2"/>
        <v>100</v>
      </c>
      <c r="BT30" s="128">
        <v>73</v>
      </c>
      <c r="BU30" s="128">
        <v>5.5</v>
      </c>
      <c r="BV30" s="127">
        <v>65</v>
      </c>
      <c r="BW30" s="127" t="s">
        <v>217</v>
      </c>
      <c r="BX30" s="127" t="s">
        <v>218</v>
      </c>
      <c r="BY30" s="139">
        <v>24</v>
      </c>
      <c r="BZ30" s="139">
        <v>24</v>
      </c>
      <c r="CA30" s="80">
        <v>24</v>
      </c>
      <c r="CB30" s="138">
        <v>38</v>
      </c>
      <c r="CC30" s="138">
        <v>23</v>
      </c>
      <c r="CD30" s="135">
        <v>45017</v>
      </c>
      <c r="CE30" s="138">
        <v>83</v>
      </c>
      <c r="CF30" s="138">
        <v>76</v>
      </c>
      <c r="CG30" s="138" t="str">
        <f t="shared" si="3"/>
        <v>В работе</v>
      </c>
      <c r="CH30" s="138" t="s">
        <v>196</v>
      </c>
      <c r="CI30" s="127">
        <v>5</v>
      </c>
      <c r="CJ30" s="138"/>
      <c r="CK30" s="138"/>
      <c r="CL30" s="99"/>
      <c r="CM30" s="99"/>
      <c r="CN30" s="140">
        <v>43</v>
      </c>
      <c r="CO30" s="141">
        <f t="shared" si="4"/>
        <v>3.7153637400000004</v>
      </c>
      <c r="CP30" s="142">
        <v>4.45</v>
      </c>
      <c r="CQ30" s="143">
        <v>0.13</v>
      </c>
      <c r="CR30" s="138">
        <v>7.2</v>
      </c>
      <c r="CS30" s="139">
        <v>4.8</v>
      </c>
      <c r="CT30" s="138"/>
      <c r="CU30" s="138">
        <f>IF(CR30&lt;&gt;"0",CR30-CS30,"0")</f>
        <v>2.4000000000000004</v>
      </c>
      <c r="CV30" s="115">
        <f>(CR30-CS30)*1000/CO30</f>
        <v>645.96636236752431</v>
      </c>
      <c r="CW30" s="115">
        <f t="shared" si="7"/>
        <v>1289.6074828958353</v>
      </c>
      <c r="CX30" s="133">
        <f t="shared" si="8"/>
        <v>0.11125</v>
      </c>
      <c r="CY30" s="116"/>
      <c r="CZ30" s="144"/>
      <c r="DA30" s="145" t="str">
        <f t="shared" si="9"/>
        <v>Газлифт</v>
      </c>
      <c r="DB30" s="146">
        <f t="shared" si="10"/>
        <v>3.7153637400000004</v>
      </c>
      <c r="DC30" s="142">
        <f t="shared" si="11"/>
        <v>4.45</v>
      </c>
      <c r="DD30" s="119">
        <f t="shared" si="12"/>
        <v>0.13</v>
      </c>
      <c r="DE30" s="115">
        <f t="shared" si="13"/>
        <v>2.4000000000000004</v>
      </c>
      <c r="DF30" s="121">
        <f t="shared" si="14"/>
        <v>4.8</v>
      </c>
      <c r="DG30" s="115">
        <f t="shared" si="15"/>
        <v>645.96636236752431</v>
      </c>
      <c r="DH30" s="115">
        <f t="shared" si="16"/>
        <v>43</v>
      </c>
      <c r="DI30" s="147"/>
      <c r="DJ30" s="111" t="s">
        <v>197</v>
      </c>
      <c r="DK30" s="112">
        <v>43511</v>
      </c>
      <c r="DL30" s="113">
        <f t="shared" ca="1" si="17"/>
        <v>1593</v>
      </c>
      <c r="DM30" s="114"/>
      <c r="DN30" s="112"/>
      <c r="DO30" s="114"/>
      <c r="DP30" s="114"/>
      <c r="DQ30" s="112">
        <v>44454</v>
      </c>
      <c r="DR30" s="114" t="s">
        <v>198</v>
      </c>
      <c r="DS30" s="114"/>
      <c r="DT30" s="115">
        <v>45</v>
      </c>
      <c r="DU30" s="116">
        <f t="shared" si="18"/>
        <v>0.11710526315789474</v>
      </c>
      <c r="DV30" s="117">
        <f t="shared" si="19"/>
        <v>3.7153637400000004</v>
      </c>
      <c r="DW30" s="118">
        <f t="shared" si="20"/>
        <v>4.45</v>
      </c>
      <c r="DX30" s="119">
        <f t="shared" si="21"/>
        <v>0.13</v>
      </c>
      <c r="DY30" s="115">
        <f t="shared" si="22"/>
        <v>2.4000000000000004</v>
      </c>
      <c r="DZ30" s="117">
        <f t="shared" si="23"/>
        <v>0</v>
      </c>
      <c r="EA30" s="120">
        <f t="shared" si="23"/>
        <v>0</v>
      </c>
      <c r="EB30" s="119">
        <f t="shared" si="23"/>
        <v>0</v>
      </c>
      <c r="EC30" s="121">
        <f t="shared" si="24"/>
        <v>0</v>
      </c>
      <c r="ED30" s="122"/>
      <c r="EE30" s="145">
        <v>65</v>
      </c>
      <c r="EF30" s="148">
        <v>25</v>
      </c>
      <c r="EG30" s="115">
        <v>40</v>
      </c>
      <c r="EH30" s="115">
        <v>24</v>
      </c>
      <c r="EI30" s="128" t="s">
        <v>218</v>
      </c>
      <c r="EJ30" s="121">
        <v>24</v>
      </c>
      <c r="EK30" s="121">
        <v>24</v>
      </c>
      <c r="EL30" s="149">
        <v>3.7153637400000004</v>
      </c>
      <c r="EM30" s="142">
        <v>4.45</v>
      </c>
      <c r="EN30" s="119">
        <v>0.13</v>
      </c>
      <c r="EO30" s="115">
        <v>7.2</v>
      </c>
      <c r="EP30" s="115">
        <v>645.96636236752431</v>
      </c>
      <c r="EQ30" s="115">
        <v>76</v>
      </c>
      <c r="ER30" s="115">
        <v>4.8</v>
      </c>
      <c r="ES30" s="115">
        <v>43</v>
      </c>
      <c r="ET30" s="150">
        <v>0.11125</v>
      </c>
      <c r="EU30" s="145">
        <f t="shared" si="25"/>
        <v>65</v>
      </c>
      <c r="EV30" s="115">
        <f t="shared" si="26"/>
        <v>24</v>
      </c>
      <c r="EW30" s="115">
        <f t="shared" si="26"/>
        <v>38</v>
      </c>
      <c r="EX30" s="115">
        <f t="shared" si="26"/>
        <v>23</v>
      </c>
      <c r="EY30" s="115" t="str">
        <f t="shared" si="27"/>
        <v>Периодический</v>
      </c>
      <c r="EZ30" s="115">
        <f t="shared" si="27"/>
        <v>24</v>
      </c>
      <c r="FA30" s="115">
        <f t="shared" si="27"/>
        <v>24</v>
      </c>
      <c r="FB30" s="149">
        <f t="shared" si="28"/>
        <v>3.7153637400000004</v>
      </c>
      <c r="FC30" s="142">
        <f t="shared" si="28"/>
        <v>4.45</v>
      </c>
      <c r="FD30" s="119">
        <f t="shared" si="28"/>
        <v>0.13</v>
      </c>
      <c r="FE30" s="121">
        <f t="shared" si="28"/>
        <v>7.2</v>
      </c>
      <c r="FF30" s="121">
        <f t="shared" si="29"/>
        <v>645.96636236752431</v>
      </c>
      <c r="FG30" s="121">
        <f t="shared" si="30"/>
        <v>76</v>
      </c>
      <c r="FH30" s="121">
        <f t="shared" si="31"/>
        <v>4.8</v>
      </c>
      <c r="FI30" s="121">
        <f t="shared" si="32"/>
        <v>43</v>
      </c>
      <c r="FJ30" s="144">
        <f t="shared" si="33"/>
        <v>0.11125</v>
      </c>
      <c r="FK30" s="132">
        <f t="shared" si="34"/>
        <v>0</v>
      </c>
      <c r="FL30" s="115">
        <f t="shared" si="34"/>
        <v>-1</v>
      </c>
      <c r="FM30" s="115">
        <f t="shared" si="34"/>
        <v>-2</v>
      </c>
      <c r="FN30" s="115">
        <f t="shared" si="34"/>
        <v>-1</v>
      </c>
      <c r="FO30" s="115">
        <f t="shared" si="35"/>
        <v>0</v>
      </c>
      <c r="FP30" s="115">
        <f t="shared" si="35"/>
        <v>0</v>
      </c>
      <c r="FQ30" s="149">
        <f>FB30-EL30</f>
        <v>0</v>
      </c>
      <c r="FR30" s="142">
        <f t="shared" si="35"/>
        <v>0</v>
      </c>
      <c r="FS30" s="119">
        <f t="shared" si="35"/>
        <v>0</v>
      </c>
      <c r="FT30" s="121">
        <f>FE30-EO30</f>
        <v>0</v>
      </c>
      <c r="FU30" s="121">
        <f>FG30-EQ30</f>
        <v>0</v>
      </c>
      <c r="FV30" s="121">
        <f t="shared" si="36"/>
        <v>0</v>
      </c>
      <c r="FW30" s="121">
        <f>FF30-EP30</f>
        <v>0</v>
      </c>
      <c r="FX30" s="121">
        <f t="shared" si="38"/>
        <v>0</v>
      </c>
      <c r="FY30" s="144">
        <f t="shared" si="38"/>
        <v>0</v>
      </c>
      <c r="FZ30" s="124"/>
      <c r="GA30" s="151"/>
      <c r="GB30" s="124" t="s">
        <v>204</v>
      </c>
      <c r="GC30" s="151" t="s">
        <v>219</v>
      </c>
      <c r="GD30" s="997" t="s">
        <v>220</v>
      </c>
      <c r="GE30" s="1004" t="s">
        <v>204</v>
      </c>
      <c r="GF30" s="1004">
        <v>-1.29411546</v>
      </c>
      <c r="GG30" s="1004"/>
      <c r="GH30" s="1004">
        <v>0</v>
      </c>
      <c r="GI30" s="124"/>
      <c r="GJ30" s="996">
        <v>-0.84326233199999923</v>
      </c>
      <c r="GK30" s="124"/>
      <c r="GL30" s="996">
        <v>0</v>
      </c>
      <c r="GM30" s="1005" t="s">
        <v>221</v>
      </c>
      <c r="GN30" s="996">
        <v>2.927326732</v>
      </c>
      <c r="GO30" s="1006"/>
      <c r="GP30" s="996">
        <v>0</v>
      </c>
      <c r="GQ30" s="1006"/>
      <c r="GR30" s="996">
        <v>0</v>
      </c>
      <c r="GS30" s="1006" t="s">
        <v>222</v>
      </c>
      <c r="GT30" s="996">
        <v>-1.4222032000000002</v>
      </c>
      <c r="GU30" s="1006"/>
      <c r="GV30" s="996">
        <v>0</v>
      </c>
      <c r="GW30" s="1006" t="s">
        <v>199</v>
      </c>
      <c r="GX30" s="996">
        <v>1.3885960000000006</v>
      </c>
      <c r="GY30" s="1006"/>
      <c r="GZ30" s="996">
        <v>0</v>
      </c>
      <c r="HA30" s="1006" t="s">
        <v>199</v>
      </c>
      <c r="HB30" s="996">
        <v>1.0759319999999994</v>
      </c>
      <c r="HC30" s="1006" t="s">
        <v>199</v>
      </c>
      <c r="HD30" s="996">
        <v>-1.3359279999999996</v>
      </c>
      <c r="HE30" s="1006"/>
      <c r="HF30" s="996">
        <v>0</v>
      </c>
      <c r="HG30" s="1006"/>
      <c r="HH30" s="996">
        <v>0</v>
      </c>
      <c r="HI30" s="1006"/>
      <c r="HJ30" s="996">
        <v>0</v>
      </c>
      <c r="HK30" s="1006"/>
      <c r="HL30" s="996">
        <v>0</v>
      </c>
      <c r="HM30" s="1006"/>
      <c r="HN30" s="996">
        <v>0</v>
      </c>
      <c r="HO30" s="1006" t="s">
        <v>203</v>
      </c>
      <c r="HP30" s="996">
        <v>-2.2154000000000007</v>
      </c>
      <c r="HQ30" s="1006" t="s">
        <v>203</v>
      </c>
      <c r="HR30" s="996">
        <v>-5.0511390864000001</v>
      </c>
      <c r="HS30" s="1006" t="s">
        <v>25</v>
      </c>
      <c r="HT30" s="996">
        <v>9.3598830864</v>
      </c>
      <c r="HU30" s="1006"/>
      <c r="HV30" s="996">
        <v>0</v>
      </c>
      <c r="HW30" s="1006" t="s">
        <v>221</v>
      </c>
      <c r="HX30" s="996">
        <v>-1.7555999999999994</v>
      </c>
      <c r="HY30" s="1006"/>
      <c r="HZ30" s="996">
        <v>0</v>
      </c>
      <c r="IA30" s="1006"/>
      <c r="IB30" s="996">
        <v>0</v>
      </c>
      <c r="IC30" s="1006"/>
      <c r="ID30" s="996">
        <v>0</v>
      </c>
      <c r="IE30" s="1006"/>
      <c r="IF30" s="996">
        <v>0</v>
      </c>
      <c r="IG30" s="1006"/>
      <c r="IH30" s="996">
        <v>0</v>
      </c>
      <c r="II30" s="1006"/>
      <c r="IJ30" s="996">
        <v>0</v>
      </c>
      <c r="IK30" s="1006"/>
      <c r="IL30" s="996">
        <v>0</v>
      </c>
      <c r="IM30" s="1006" t="s">
        <v>199</v>
      </c>
      <c r="IN30" s="996">
        <v>-3.1761562800000007</v>
      </c>
      <c r="IO30" s="1006"/>
      <c r="IP30" s="996">
        <v>0.84636640000000085</v>
      </c>
      <c r="IQ30" s="1006" t="s">
        <v>199</v>
      </c>
      <c r="IR30" s="996">
        <v>3.803799999999999</v>
      </c>
      <c r="IS30" s="1006"/>
      <c r="IT30" s="996">
        <v>0</v>
      </c>
      <c r="IU30" s="1006" t="s">
        <v>199</v>
      </c>
      <c r="IV30" s="996">
        <v>4.2970399999999991</v>
      </c>
      <c r="IW30" s="1006" t="s">
        <v>199</v>
      </c>
      <c r="IX30" s="996">
        <v>-3.5446399999999993</v>
      </c>
      <c r="IY30" s="1006"/>
      <c r="IZ30" s="996">
        <v>0</v>
      </c>
      <c r="JA30" s="1006"/>
      <c r="JB30" s="996">
        <v>0</v>
      </c>
      <c r="JC30" s="1006"/>
      <c r="JD30" s="996">
        <v>0</v>
      </c>
      <c r="JE30" s="1006"/>
      <c r="JF30" s="996">
        <v>-0.74487599999999965</v>
      </c>
      <c r="JG30" s="1006"/>
      <c r="JH30" s="996">
        <v>0</v>
      </c>
      <c r="JI30" s="1006"/>
      <c r="JJ30" s="996">
        <v>0</v>
      </c>
      <c r="JK30" s="1007"/>
      <c r="JL30" s="1007">
        <v>0</v>
      </c>
      <c r="JM30" s="1007"/>
      <c r="JN30" s="1007">
        <v>-0.1902986800000015</v>
      </c>
      <c r="JO30" s="1008"/>
      <c r="JP30" s="1007">
        <v>0</v>
      </c>
      <c r="JQ30" s="1008" t="s">
        <v>223</v>
      </c>
      <c r="JR30" s="1007">
        <v>-1.0879453199999976</v>
      </c>
      <c r="JS30" s="1008">
        <v>0</v>
      </c>
      <c r="JT30" s="1007">
        <v>0.43471999999999866</v>
      </c>
      <c r="JU30" s="1008"/>
      <c r="JV30" s="1007">
        <v>-0.8360000000000003</v>
      </c>
      <c r="JW30" s="1008" t="s">
        <v>206</v>
      </c>
      <c r="JX30" s="1007">
        <v>-2.8423999999999996</v>
      </c>
      <c r="JY30" s="1008"/>
      <c r="JZ30" s="1007">
        <v>3.344000000000058E-2</v>
      </c>
      <c r="KA30" s="1008"/>
      <c r="KB30" s="1007">
        <v>1.5513484799997812E-2</v>
      </c>
      <c r="KC30" s="1008" t="s">
        <v>224</v>
      </c>
      <c r="KD30" s="1007">
        <v>12.825446515200001</v>
      </c>
      <c r="KE30" s="1008"/>
      <c r="KF30" s="1007">
        <v>0</v>
      </c>
      <c r="KG30" s="1008"/>
      <c r="KH30" s="1007">
        <v>0</v>
      </c>
      <c r="KI30" s="1008"/>
      <c r="KJ30" s="1007">
        <v>0</v>
      </c>
      <c r="KK30" s="1008"/>
      <c r="KL30" s="1007">
        <v>0</v>
      </c>
      <c r="KM30" s="1008"/>
      <c r="KN30" s="1007">
        <v>0</v>
      </c>
      <c r="KO30" s="1008"/>
      <c r="KP30" s="1007">
        <v>0</v>
      </c>
      <c r="KQ30" s="1008"/>
      <c r="KR30" s="1007"/>
      <c r="KS30" s="1008"/>
      <c r="KT30" s="1007"/>
      <c r="KU30" s="1008"/>
      <c r="KV30" s="1007" t="s">
        <v>192</v>
      </c>
      <c r="KW30" s="1008"/>
      <c r="KX30" s="1007"/>
      <c r="KY30" s="1008">
        <v>10.381</v>
      </c>
      <c r="KZ30" s="1007">
        <v>12.432</v>
      </c>
      <c r="LA30" s="1008">
        <v>0.12</v>
      </c>
      <c r="LB30" s="1007">
        <v>4.649</v>
      </c>
      <c r="LC30" s="1008"/>
      <c r="LD30" s="1007">
        <v>10.381</v>
      </c>
      <c r="LE30" s="1008">
        <v>12.432</v>
      </c>
      <c r="LF30" s="1007">
        <v>0.12</v>
      </c>
      <c r="LG30" s="1008">
        <v>4.649</v>
      </c>
      <c r="LH30" s="1007">
        <v>-1.4316800000000001</v>
      </c>
      <c r="LI30" s="1008">
        <v>-1.6980000000000004</v>
      </c>
      <c r="LJ30" s="1007">
        <v>0.12</v>
      </c>
      <c r="LK30" s="1008">
        <v>-15.350999999999999</v>
      </c>
      <c r="LL30" s="1007"/>
      <c r="LM30" s="1008"/>
      <c r="LN30" s="1007"/>
      <c r="LO30" s="1008"/>
      <c r="LP30" s="1007"/>
      <c r="LQ30" s="1008"/>
      <c r="LR30" s="1007"/>
      <c r="LS30" s="1008"/>
      <c r="LT30" s="1007"/>
      <c r="LU30" s="1008"/>
      <c r="LV30" s="1007"/>
      <c r="LW30" s="1008"/>
      <c r="LX30" s="1007"/>
      <c r="LY30" s="1009"/>
      <c r="LZ30" s="1010"/>
      <c r="MA30" s="1011"/>
      <c r="MB30" s="1012"/>
      <c r="MC30" s="995"/>
      <c r="MD30" s="996"/>
      <c r="ME30" s="997" t="s">
        <v>220</v>
      </c>
      <c r="MF30" s="997">
        <f t="shared" si="39"/>
        <v>19</v>
      </c>
      <c r="MG30" s="998"/>
      <c r="NR30" s="1000"/>
      <c r="NS30" s="1000"/>
      <c r="NT30" s="1001"/>
      <c r="NU30" s="1000"/>
      <c r="NV30" s="1001"/>
      <c r="NX30" s="1002"/>
      <c r="NZ30" s="1001"/>
      <c r="OA30" s="1001"/>
      <c r="OC30" s="1003"/>
      <c r="OD30" s="1003"/>
      <c r="OE30" s="1001"/>
      <c r="OF30" s="1003"/>
      <c r="OG30" s="1003"/>
      <c r="QX30" s="1000">
        <f>CN30-CA30</f>
        <v>19</v>
      </c>
      <c r="ASU30" s="999" t="s">
        <v>225</v>
      </c>
    </row>
    <row r="31" spans="1:466 1191:1191" ht="21" customHeight="1" x14ac:dyDescent="0.25">
      <c r="A31" s="982" t="str">
        <f t="shared" si="0"/>
        <v>2-2</v>
      </c>
      <c r="B31" s="124">
        <f>SUBTOTAL(103,$J$29:J31)</f>
        <v>3</v>
      </c>
      <c r="C31" s="126">
        <v>45096</v>
      </c>
      <c r="D31" s="124" t="s">
        <v>176</v>
      </c>
      <c r="E31" s="127" t="s">
        <v>177</v>
      </c>
      <c r="F31" s="128" t="s">
        <v>177</v>
      </c>
      <c r="G31" s="127" t="s">
        <v>178</v>
      </c>
      <c r="H31" s="127" t="s">
        <v>226</v>
      </c>
      <c r="I31" s="127" t="s">
        <v>227</v>
      </c>
      <c r="J31" s="152" t="s">
        <v>228</v>
      </c>
      <c r="K31" s="127" t="s">
        <v>229</v>
      </c>
      <c r="L31" s="130">
        <v>37294</v>
      </c>
      <c r="M31" s="127" t="s">
        <v>230</v>
      </c>
      <c r="N31" s="127" t="s">
        <v>231</v>
      </c>
      <c r="O31" s="127" t="s">
        <v>185</v>
      </c>
      <c r="P31" s="127" t="s">
        <v>208</v>
      </c>
      <c r="Q31" s="85" t="str">
        <f t="shared" si="40"/>
        <v/>
      </c>
      <c r="R31" s="130"/>
      <c r="S31" s="128"/>
      <c r="T31" s="131"/>
      <c r="U31" s="132">
        <v>203</v>
      </c>
      <c r="V31" s="121">
        <v>218.2</v>
      </c>
      <c r="W31" s="116">
        <v>0.98</v>
      </c>
      <c r="X31" s="116">
        <v>1.66</v>
      </c>
      <c r="Y31" s="116">
        <f t="shared" si="1"/>
        <v>1.087840368052212</v>
      </c>
      <c r="Z31" s="133">
        <v>1.454</v>
      </c>
      <c r="AA31" s="133">
        <v>0.83599999999999997</v>
      </c>
      <c r="AB31" s="133">
        <v>0.72</v>
      </c>
      <c r="AC31" s="121">
        <v>34.299999999999997</v>
      </c>
      <c r="AD31" s="134">
        <v>1.17</v>
      </c>
      <c r="AE31" s="124">
        <v>139.69999999999999</v>
      </c>
      <c r="AF31" s="128">
        <v>7.72</v>
      </c>
      <c r="AG31" s="128">
        <v>1935</v>
      </c>
      <c r="AH31" s="127">
        <v>2767</v>
      </c>
      <c r="AI31" s="127">
        <v>2767</v>
      </c>
      <c r="AJ31" s="135">
        <v>41244</v>
      </c>
      <c r="AK31" s="128"/>
      <c r="AL31" s="131"/>
      <c r="AM31" s="124" t="s">
        <v>232</v>
      </c>
      <c r="AN31" s="136" t="s">
        <v>233</v>
      </c>
      <c r="AO31" s="137">
        <v>1.0099999999999909</v>
      </c>
      <c r="AP31" s="128">
        <v>1935</v>
      </c>
      <c r="AQ31" s="128">
        <v>19.7</v>
      </c>
      <c r="AR31" s="128"/>
      <c r="AS31" s="128"/>
      <c r="AT31" s="122"/>
      <c r="AU31" s="124" t="s">
        <v>189</v>
      </c>
      <c r="AV31" s="115">
        <f>VLOOKUP(J31,'[63]ТР нефть'!$J$28:$BP$638,39,0)</f>
        <v>468.00001054699999</v>
      </c>
      <c r="AW31" s="115" t="str">
        <f>VLOOKUP(J31,'[63]ТР нефть'!$J$28:$BP$638,40,0)</f>
        <v>ГП</v>
      </c>
      <c r="AX31" s="115">
        <f>VLOOKUP(J31,'[63]ТР нефть'!$J$28:$BP$638,41,0)</f>
        <v>865.00000136699998</v>
      </c>
      <c r="AY31" s="115" t="str">
        <f>VLOOKUP(J31,'[63]ТР нефть'!$J$28:$BP$638,42,0)</f>
        <v>ГК 87 1/8</v>
      </c>
      <c r="AZ31" s="115">
        <f>VLOOKUP(J31,'[63]ТР нефть'!$J$28:$BP$638,43,0)</f>
        <v>1196.9999783200001</v>
      </c>
      <c r="BA31" s="115" t="str">
        <f>VLOOKUP(J31,'[63]ТР нефть'!$J$28:$BP$638,44,0)</f>
        <v>ГК 86 1/8</v>
      </c>
      <c r="BB31" s="115">
        <f>VLOOKUP(J31,'[63]ТР нефть'!$J$28:$BP$638,45,0)</f>
        <v>1472.000048438</v>
      </c>
      <c r="BC31" s="115" t="str">
        <f>VLOOKUP(J31,'[63]ТР нефть'!$J$28:$BP$638,46,0)</f>
        <v>ГК 86 1/8</v>
      </c>
      <c r="BD31" s="115">
        <f>VLOOKUP(J31,'[63]ТР нефть'!$J$28:$BP$638,47,0)</f>
        <v>1712.9999613279999</v>
      </c>
      <c r="BE31" s="115" t="str">
        <f>VLOOKUP(J31,'[63]ТР нефть'!$J$28:$BP$638,48,0)</f>
        <v>ЦКсОК 5/16</v>
      </c>
      <c r="BF31" s="115" t="str">
        <f>VLOOKUP(J31,'[63]ТР нефть'!$J$28:$BP$638,49,0)</f>
        <v>-</v>
      </c>
      <c r="BG31" s="115" t="str">
        <f>VLOOKUP(J31,'[63]ТР нефть'!$J$28:$BP$638,50,0)</f>
        <v>-</v>
      </c>
      <c r="BH31" s="115">
        <f>VLOOKUP(J31,'[63]ТР нефть'!$J$28:$BP$638,51,0)</f>
        <v>1821</v>
      </c>
      <c r="BI31" s="115" t="str">
        <f>VLOOKUP(J31,'[63]ТР нефть'!$J$28:$BP$638,52,0)</f>
        <v>открыт</v>
      </c>
      <c r="BJ31" s="115" t="str">
        <f>IF(IFERROR(VLOOKUP(J31,'[63]ТР нефть'!$J$28:$BP$638,53,0),"-")=0,"-",IFERROR(VLOOKUP(J31,'[63]ТР нефть'!$J$28:$BP$638,53,0),"-"))</f>
        <v>-</v>
      </c>
      <c r="BK31" s="138" t="str">
        <f>IF(IFERROR(VLOOKUP(J31,'[63]ТР нефть'!$J$28:$BP$638,54,0),"-")=0,"-",IFERROR(VLOOKUP(J31,'[63]ТР нефть'!$J$28:$BP$638,54,0),"-"))</f>
        <v>-</v>
      </c>
      <c r="BL31" s="138" t="str">
        <f>IF(IFERROR(VLOOKUP(J31,'[63]ТР нефть'!$J$28:$BP$638,55,0),"-")=0,"-",IFERROR(VLOOKUP(J31,'[63]ТР нефть'!$J$28:$BP$638,55,0),"-"))</f>
        <v>-</v>
      </c>
      <c r="BM31" s="138" t="str">
        <f>IF(IFERROR(VLOOKUP(J31,'[63]ТР нефть'!$J$28:$BP$638,56,0),"-")=0,"-",IFERROR(VLOOKUP(J31,'[63]ТР нефть'!$J$28:$BP$638,56,0),"-"))</f>
        <v>-</v>
      </c>
      <c r="BN31" s="138" t="str">
        <f>IF(IFERROR(VLOOKUP(J31,'[63]ТР нефть'!$J$28:$BP$638,57,0),"-")=0,"-",IFERROR(VLOOKUP(J31,'[63]ТР нефть'!$J$28:$BP$638,57,0),"-"))</f>
        <v>-</v>
      </c>
      <c r="BO31" s="115" t="str">
        <f>IF(IFERROR(VLOOKUP(J31,'[63]ТР нефть'!$J$28:$BP$638,58,0),"-")=0,"-",IFERROR(VLOOKUP(J31,'[63]ТР нефть'!$J$28:$BP$638,58,0),"-"))</f>
        <v>-</v>
      </c>
      <c r="BP31" s="115" t="str">
        <f>IF(IFERROR(VLOOKUP(J31,'[63]ТР нефть'!$J$28:$BP$638,59,0),"-")=0,"-",IFERROR(VLOOKUP(J31,'[63]ТР нефть'!$J$28:$BP$638,59,0),"-"))</f>
        <v>-</v>
      </c>
      <c r="BQ31" s="138">
        <v>2200</v>
      </c>
      <c r="BR31" s="128">
        <v>1948.75</v>
      </c>
      <c r="BS31" s="115">
        <f t="shared" si="2"/>
        <v>251.25</v>
      </c>
      <c r="BT31" s="128">
        <v>73</v>
      </c>
      <c r="BU31" s="128">
        <v>5.5</v>
      </c>
      <c r="BV31" s="127">
        <v>18</v>
      </c>
      <c r="BW31" s="127" t="s">
        <v>234</v>
      </c>
      <c r="BX31" s="127" t="s">
        <v>195</v>
      </c>
      <c r="BY31" s="139">
        <v>24</v>
      </c>
      <c r="BZ31" s="139">
        <v>0</v>
      </c>
      <c r="CA31" s="138">
        <v>17</v>
      </c>
      <c r="CB31" s="138">
        <v>49</v>
      </c>
      <c r="CC31" s="138">
        <v>14</v>
      </c>
      <c r="CD31" s="135">
        <v>45017</v>
      </c>
      <c r="CE31" s="138">
        <v>115</v>
      </c>
      <c r="CF31" s="138">
        <v>84</v>
      </c>
      <c r="CG31" s="138" t="str">
        <f t="shared" si="3"/>
        <v>В работе</v>
      </c>
      <c r="CH31" s="138" t="s">
        <v>235</v>
      </c>
      <c r="CI31" s="127">
        <v>6</v>
      </c>
      <c r="CJ31" s="138"/>
      <c r="CK31" s="138"/>
      <c r="CL31" s="99"/>
      <c r="CM31" s="99"/>
      <c r="CN31" s="140">
        <v>59</v>
      </c>
      <c r="CO31" s="141">
        <f t="shared" si="4"/>
        <v>8.8082632000000007</v>
      </c>
      <c r="CP31" s="142">
        <v>13.9</v>
      </c>
      <c r="CQ31" s="143">
        <v>24.2</v>
      </c>
      <c r="CR31" s="138">
        <v>19.8</v>
      </c>
      <c r="CS31" s="139">
        <v>8.6999999999999993</v>
      </c>
      <c r="CT31" s="138"/>
      <c r="CU31" s="138">
        <f t="shared" si="5"/>
        <v>11.100000000000001</v>
      </c>
      <c r="CV31" s="115">
        <f t="shared" si="6"/>
        <v>1260.1803270365492</v>
      </c>
      <c r="CW31" s="115">
        <f t="shared" si="7"/>
        <v>684.84828123075829</v>
      </c>
      <c r="CX31" s="133">
        <f>IF(CP31&lt;&gt;0,CP31/(CE31-CN31),0)</f>
        <v>0.24821428571428572</v>
      </c>
      <c r="CY31" s="116"/>
      <c r="CZ31" s="144"/>
      <c r="DA31" s="145" t="str">
        <f t="shared" si="9"/>
        <v>Газлифт</v>
      </c>
      <c r="DB31" s="146">
        <f t="shared" si="10"/>
        <v>7.6694639999999996</v>
      </c>
      <c r="DC31" s="142">
        <f t="shared" si="11"/>
        <v>13.9</v>
      </c>
      <c r="DD31" s="119">
        <f t="shared" si="12"/>
        <v>34</v>
      </c>
      <c r="DE31" s="115">
        <f t="shared" si="13"/>
        <v>11.100000000000001</v>
      </c>
      <c r="DF31" s="121">
        <f t="shared" si="14"/>
        <v>8.6999999999999993</v>
      </c>
      <c r="DG31" s="115">
        <f t="shared" si="15"/>
        <v>1260.1803270365492</v>
      </c>
      <c r="DH31" s="115">
        <f t="shared" si="16"/>
        <v>59</v>
      </c>
      <c r="DI31" s="147"/>
      <c r="DJ31" s="111" t="s">
        <v>197</v>
      </c>
      <c r="DK31" s="112">
        <v>44170</v>
      </c>
      <c r="DL31" s="113">
        <f t="shared" ca="1" si="17"/>
        <v>934</v>
      </c>
      <c r="DM31" s="114"/>
      <c r="DN31" s="114"/>
      <c r="DO31" s="114"/>
      <c r="DP31" s="114"/>
      <c r="DQ31" s="112">
        <v>43281</v>
      </c>
      <c r="DR31" s="114" t="s">
        <v>198</v>
      </c>
      <c r="DS31" s="114"/>
      <c r="DT31" s="115">
        <v>50</v>
      </c>
      <c r="DU31" s="116">
        <f t="shared" si="18"/>
        <v>0.23719614232869476</v>
      </c>
      <c r="DV31" s="117">
        <f t="shared" si="19"/>
        <v>9.7700426875990853</v>
      </c>
      <c r="DW31" s="118">
        <f t="shared" si="20"/>
        <v>15.41774925136516</v>
      </c>
      <c r="DX31" s="119">
        <f t="shared" si="21"/>
        <v>24.2</v>
      </c>
      <c r="DY31" s="115">
        <f t="shared" si="22"/>
        <v>12.312015589219662</v>
      </c>
      <c r="DZ31" s="117">
        <f t="shared" si="23"/>
        <v>0.9617794875990846</v>
      </c>
      <c r="EA31" s="120">
        <f t="shared" si="23"/>
        <v>1.51774925136516</v>
      </c>
      <c r="EB31" s="119">
        <f t="shared" si="23"/>
        <v>0</v>
      </c>
      <c r="EC31" s="121">
        <f t="shared" si="24"/>
        <v>1.2120155892196607</v>
      </c>
      <c r="ED31" s="122"/>
      <c r="EE31" s="145">
        <v>18</v>
      </c>
      <c r="EF31" s="115">
        <v>15</v>
      </c>
      <c r="EG31" s="115">
        <v>50</v>
      </c>
      <c r="EH31" s="115">
        <v>14</v>
      </c>
      <c r="EI31" s="128" t="s">
        <v>218</v>
      </c>
      <c r="EJ31" s="121">
        <v>24</v>
      </c>
      <c r="EK31" s="121">
        <v>72</v>
      </c>
      <c r="EL31" s="149">
        <v>2.5932719999999998</v>
      </c>
      <c r="EM31" s="142">
        <v>4.7</v>
      </c>
      <c r="EN31" s="119">
        <v>34</v>
      </c>
      <c r="EO31" s="115">
        <v>6.2</v>
      </c>
      <c r="EP31" s="115">
        <v>1696.6982252536566</v>
      </c>
      <c r="EQ31" s="115">
        <v>84</v>
      </c>
      <c r="ER31" s="115">
        <v>1.8</v>
      </c>
      <c r="ES31" s="115">
        <v>51</v>
      </c>
      <c r="ET31" s="150">
        <v>7.3437500000000003E-2</v>
      </c>
      <c r="EU31" s="145">
        <f t="shared" si="25"/>
        <v>18</v>
      </c>
      <c r="EV31" s="115">
        <f t="shared" si="26"/>
        <v>17</v>
      </c>
      <c r="EW31" s="115">
        <f t="shared" si="26"/>
        <v>49</v>
      </c>
      <c r="EX31" s="115">
        <f t="shared" si="26"/>
        <v>14</v>
      </c>
      <c r="EY31" s="115" t="str">
        <f t="shared" si="27"/>
        <v>Постоянный</v>
      </c>
      <c r="EZ31" s="115">
        <f t="shared" si="27"/>
        <v>24</v>
      </c>
      <c r="FA31" s="115">
        <f t="shared" si="27"/>
        <v>0</v>
      </c>
      <c r="FB31" s="149">
        <f t="shared" si="28"/>
        <v>8.8082632000000007</v>
      </c>
      <c r="FC31" s="142">
        <f t="shared" si="28"/>
        <v>13.9</v>
      </c>
      <c r="FD31" s="119">
        <f t="shared" si="28"/>
        <v>24.2</v>
      </c>
      <c r="FE31" s="121">
        <f t="shared" si="28"/>
        <v>19.8</v>
      </c>
      <c r="FF31" s="121">
        <f t="shared" si="29"/>
        <v>1260.1803270365492</v>
      </c>
      <c r="FG31" s="121">
        <f t="shared" si="30"/>
        <v>84</v>
      </c>
      <c r="FH31" s="121">
        <f t="shared" si="31"/>
        <v>8.6999999999999993</v>
      </c>
      <c r="FI31" s="121">
        <f t="shared" si="32"/>
        <v>59</v>
      </c>
      <c r="FJ31" s="144">
        <f>CX31</f>
        <v>0.24821428571428572</v>
      </c>
      <c r="FK31" s="132">
        <f t="shared" si="34"/>
        <v>0</v>
      </c>
      <c r="FL31" s="115">
        <f t="shared" si="34"/>
        <v>2</v>
      </c>
      <c r="FM31" s="115">
        <f t="shared" si="34"/>
        <v>-1</v>
      </c>
      <c r="FN31" s="115">
        <f t="shared" si="34"/>
        <v>0</v>
      </c>
      <c r="FO31" s="115">
        <f t="shared" si="35"/>
        <v>0</v>
      </c>
      <c r="FP31" s="115">
        <f t="shared" si="35"/>
        <v>-72</v>
      </c>
      <c r="FQ31" s="149">
        <f t="shared" si="35"/>
        <v>6.2149912000000009</v>
      </c>
      <c r="FR31" s="142">
        <f t="shared" si="35"/>
        <v>9.1999999999999993</v>
      </c>
      <c r="FS31" s="119">
        <f t="shared" si="35"/>
        <v>-9.8000000000000007</v>
      </c>
      <c r="FT31" s="121">
        <f t="shared" si="35"/>
        <v>13.600000000000001</v>
      </c>
      <c r="FU31" s="121">
        <f t="shared" si="36"/>
        <v>0</v>
      </c>
      <c r="FV31" s="121">
        <f t="shared" si="36"/>
        <v>6.8999999999999995</v>
      </c>
      <c r="FW31" s="121">
        <f t="shared" si="37"/>
        <v>-436.51789821710736</v>
      </c>
      <c r="FX31" s="121">
        <f t="shared" si="38"/>
        <v>8</v>
      </c>
      <c r="FY31" s="144">
        <f t="shared" si="38"/>
        <v>0.17477678571428573</v>
      </c>
      <c r="FZ31" s="145" t="s">
        <v>199</v>
      </c>
      <c r="GA31" s="151" t="s">
        <v>236</v>
      </c>
      <c r="GB31" s="145"/>
      <c r="GC31" s="151" t="s">
        <v>237</v>
      </c>
      <c r="GD31" s="997" t="s">
        <v>238</v>
      </c>
      <c r="GE31" s="1004"/>
      <c r="GF31" s="1004">
        <v>-0.47677397680000011</v>
      </c>
      <c r="GG31" s="1004"/>
      <c r="GH31" s="1004">
        <v>0</v>
      </c>
      <c r="GI31" s="145"/>
      <c r="GJ31" s="996">
        <v>0</v>
      </c>
      <c r="GK31" s="145"/>
      <c r="GL31" s="996">
        <v>0</v>
      </c>
      <c r="GM31" s="1005"/>
      <c r="GN31" s="996">
        <v>0</v>
      </c>
      <c r="GO31" s="1006"/>
      <c r="GP31" s="996">
        <v>0</v>
      </c>
      <c r="GQ31" s="1006"/>
      <c r="GR31" s="996">
        <v>0</v>
      </c>
      <c r="GS31" s="1006"/>
      <c r="GT31" s="996">
        <v>0</v>
      </c>
      <c r="GU31" s="1006"/>
      <c r="GV31" s="996">
        <v>0</v>
      </c>
      <c r="GW31" s="1006"/>
      <c r="GX31" s="997">
        <v>0</v>
      </c>
      <c r="GY31" s="1006"/>
      <c r="GZ31" s="996">
        <v>0</v>
      </c>
      <c r="HA31" s="1006"/>
      <c r="HB31" s="996">
        <v>0</v>
      </c>
      <c r="HC31" s="1006" t="s">
        <v>199</v>
      </c>
      <c r="HD31" s="996">
        <v>-2.4656116231999996</v>
      </c>
      <c r="HE31" s="1006"/>
      <c r="HF31" s="996">
        <v>0</v>
      </c>
      <c r="HG31" s="1006" t="s">
        <v>199</v>
      </c>
      <c r="HH31" s="996">
        <v>-0.53370239999999924</v>
      </c>
      <c r="HI31" s="1006"/>
      <c r="HJ31" s="996">
        <v>0</v>
      </c>
      <c r="HK31" s="1006"/>
      <c r="HL31" s="996">
        <v>0</v>
      </c>
      <c r="HM31" s="1006" t="s">
        <v>199</v>
      </c>
      <c r="HN31" s="996">
        <v>4.2117679999999984</v>
      </c>
      <c r="HO31" s="1006"/>
      <c r="HP31" s="996">
        <v>0</v>
      </c>
      <c r="HQ31" s="1006" t="s">
        <v>146</v>
      </c>
      <c r="HR31" s="996">
        <v>-4.3915079999999991</v>
      </c>
      <c r="HS31" s="1006" t="s">
        <v>199</v>
      </c>
      <c r="HT31" s="996">
        <v>0</v>
      </c>
      <c r="HU31" s="1006" t="s">
        <v>199</v>
      </c>
      <c r="HV31" s="996">
        <v>-7.1269</v>
      </c>
      <c r="HW31" s="1006" t="s">
        <v>199</v>
      </c>
      <c r="HX31" s="996">
        <v>-1.9416099999999989</v>
      </c>
      <c r="HY31" s="1006" t="s">
        <v>199</v>
      </c>
      <c r="HZ31" s="996">
        <v>-1.4232900000000015</v>
      </c>
      <c r="IA31" s="1006"/>
      <c r="IB31" s="996">
        <v>-0.10533599999999765</v>
      </c>
      <c r="IC31" s="1006"/>
      <c r="ID31" s="996">
        <v>0.51915599999999884</v>
      </c>
      <c r="IE31" s="1006" t="s">
        <v>199</v>
      </c>
      <c r="IF31" s="996">
        <v>4.6847767999999999</v>
      </c>
      <c r="IG31" s="1006"/>
      <c r="IH31" s="996">
        <v>0</v>
      </c>
      <c r="II31" s="1006" t="s">
        <v>204</v>
      </c>
      <c r="IJ31" s="996">
        <v>-4.6108743999999984</v>
      </c>
      <c r="IK31" s="1006" t="s">
        <v>239</v>
      </c>
      <c r="IL31" s="996">
        <v>2.183297599999996</v>
      </c>
      <c r="IM31" s="1006"/>
      <c r="IN31" s="996">
        <v>0</v>
      </c>
      <c r="IO31" s="1006"/>
      <c r="IP31" s="996">
        <v>0</v>
      </c>
      <c r="IQ31" s="1006"/>
      <c r="IR31" s="996">
        <v>0</v>
      </c>
      <c r="IS31" s="1006"/>
      <c r="IT31" s="996">
        <v>0</v>
      </c>
      <c r="IU31" s="1006"/>
      <c r="IV31" s="996">
        <v>0</v>
      </c>
      <c r="IW31" s="1006"/>
      <c r="IX31" s="996">
        <v>0</v>
      </c>
      <c r="IY31" s="1006" t="s">
        <v>204</v>
      </c>
      <c r="IZ31" s="996">
        <v>2.6208600000000022</v>
      </c>
      <c r="JA31" s="1006"/>
      <c r="JB31" s="996">
        <v>-0.81677200000000028</v>
      </c>
      <c r="JC31" s="1006"/>
      <c r="JD31" s="996">
        <v>0</v>
      </c>
      <c r="JE31" s="1006"/>
      <c r="JF31" s="996">
        <v>0</v>
      </c>
      <c r="JG31" s="1006"/>
      <c r="JH31" s="996">
        <v>0</v>
      </c>
      <c r="JI31" s="1006"/>
      <c r="JJ31" s="996">
        <v>0</v>
      </c>
      <c r="JK31" s="1007" t="s">
        <v>204</v>
      </c>
      <c r="JL31" s="1007">
        <v>-4.8256846000000007</v>
      </c>
      <c r="JM31" s="1007"/>
      <c r="JN31" s="1007">
        <v>0</v>
      </c>
      <c r="JO31" s="1008" t="s">
        <v>204</v>
      </c>
      <c r="JP31" s="1007">
        <v>7.0537918000000008</v>
      </c>
      <c r="JQ31" s="1008">
        <v>0</v>
      </c>
      <c r="JR31" s="1007">
        <v>0</v>
      </c>
      <c r="JS31" s="1008">
        <v>0</v>
      </c>
      <c r="JT31" s="1007">
        <v>0</v>
      </c>
      <c r="JU31" s="1008"/>
      <c r="JV31" s="1007">
        <v>0</v>
      </c>
      <c r="JW31" s="1008" t="s">
        <v>204</v>
      </c>
      <c r="JX31" s="1007">
        <v>-2.4708147199999981</v>
      </c>
      <c r="JY31" s="1008" t="s">
        <v>204</v>
      </c>
      <c r="JZ31" s="1007">
        <v>-1.9966856800000023</v>
      </c>
      <c r="KA31" s="1008"/>
      <c r="KB31" s="1007">
        <v>0</v>
      </c>
      <c r="KC31" s="1008"/>
      <c r="KD31" s="1007">
        <v>0</v>
      </c>
      <c r="KE31" s="1008"/>
      <c r="KF31" s="1007">
        <v>0</v>
      </c>
      <c r="KG31" s="1008"/>
      <c r="KH31" s="1007">
        <v>0</v>
      </c>
      <c r="KI31" s="1008"/>
      <c r="KJ31" s="1007">
        <v>0</v>
      </c>
      <c r="KK31" s="1008"/>
      <c r="KL31" s="1007">
        <v>0</v>
      </c>
      <c r="KM31" s="1008" t="s">
        <v>156</v>
      </c>
      <c r="KN31" s="1007">
        <v>1.170483599999999</v>
      </c>
      <c r="KO31" s="1008" t="s">
        <v>206</v>
      </c>
      <c r="KP31" s="1007">
        <v>-1.1615383999999978</v>
      </c>
      <c r="KQ31" s="1008" t="s">
        <v>25</v>
      </c>
      <c r="KR31" s="1007">
        <v>6.5876799999999998</v>
      </c>
      <c r="KS31" s="1008">
        <v>0</v>
      </c>
      <c r="KT31" s="1007">
        <v>0</v>
      </c>
      <c r="KU31" s="1008" t="s">
        <v>204</v>
      </c>
      <c r="KV31" s="1007">
        <v>0.79085599999999978</v>
      </c>
      <c r="KW31" s="1008" t="s">
        <v>240</v>
      </c>
      <c r="KX31" s="1007">
        <v>-1.3894320000000002</v>
      </c>
      <c r="KY31" s="1008" t="s">
        <v>241</v>
      </c>
      <c r="KZ31" s="1007">
        <v>-1.9685793599999997</v>
      </c>
      <c r="LA31" s="1008">
        <v>0</v>
      </c>
      <c r="LB31" s="1007">
        <v>0</v>
      </c>
      <c r="LC31" s="1008" t="s">
        <v>204</v>
      </c>
      <c r="LD31" s="1007">
        <v>2.4125889919999999</v>
      </c>
      <c r="LE31" s="1008">
        <v>0</v>
      </c>
      <c r="LF31" s="1007">
        <v>0</v>
      </c>
      <c r="LG31" s="1008">
        <v>0</v>
      </c>
      <c r="LH31" s="1007">
        <v>-8.4787119999999998</v>
      </c>
      <c r="LI31" s="1008">
        <v>0</v>
      </c>
      <c r="LJ31" s="1007">
        <v>0</v>
      </c>
      <c r="LK31" s="1008">
        <v>0</v>
      </c>
      <c r="LL31" s="1007">
        <v>0</v>
      </c>
      <c r="LM31" s="1008">
        <v>0</v>
      </c>
      <c r="LN31" s="1007">
        <v>0</v>
      </c>
      <c r="LO31" s="1008" t="s">
        <v>206</v>
      </c>
      <c r="LP31" s="1007">
        <v>-3.619880000000002</v>
      </c>
      <c r="LQ31" s="1008" t="s">
        <v>206</v>
      </c>
      <c r="LR31" s="1007">
        <v>1.8513387199999993</v>
      </c>
      <c r="LS31" s="1008" t="s">
        <v>206</v>
      </c>
      <c r="LT31" s="1007">
        <v>1.9682128000000001</v>
      </c>
      <c r="LU31" s="1008">
        <v>0</v>
      </c>
      <c r="LV31" s="1007">
        <v>0.66879999999999895</v>
      </c>
      <c r="LW31" s="1008" t="s">
        <v>206</v>
      </c>
      <c r="LX31" s="1007">
        <v>2.3884185599999999</v>
      </c>
      <c r="LY31" s="1009" t="s">
        <v>223</v>
      </c>
      <c r="LZ31" s="1010">
        <v>-3.4382695999999999</v>
      </c>
      <c r="MA31" s="1011" t="s">
        <v>206</v>
      </c>
      <c r="MB31" s="1012">
        <v>3.197674919999999</v>
      </c>
      <c r="MC31" s="995"/>
      <c r="MD31" s="996"/>
      <c r="ME31" s="997" t="s">
        <v>238</v>
      </c>
      <c r="MF31" s="997">
        <f t="shared" si="39"/>
        <v>42</v>
      </c>
      <c r="MG31" s="998"/>
      <c r="NR31" s="1000"/>
      <c r="NS31" s="1000"/>
      <c r="NT31" s="1001"/>
      <c r="NU31" s="1000"/>
      <c r="NV31" s="1001"/>
      <c r="NX31" s="1002"/>
      <c r="NZ31" s="1001"/>
      <c r="OA31" s="1001"/>
      <c r="OC31" s="1003"/>
      <c r="OD31" s="1003"/>
      <c r="OE31" s="1001"/>
      <c r="OF31" s="1003"/>
      <c r="OG31" s="1003"/>
      <c r="QX31" s="1000">
        <f>CN31-CA31</f>
        <v>42</v>
      </c>
      <c r="ASU31" s="999" t="s">
        <v>208</v>
      </c>
    </row>
    <row r="32" spans="1:466 1191:1191" ht="21" customHeight="1" x14ac:dyDescent="0.25">
      <c r="A32" s="982" t="str">
        <f t="shared" si="0"/>
        <v>3-2</v>
      </c>
      <c r="B32" s="124">
        <f>SUBTOTAL(103,$J$29:J32)</f>
        <v>4</v>
      </c>
      <c r="C32" s="126">
        <v>45096</v>
      </c>
      <c r="D32" s="124" t="s">
        <v>176</v>
      </c>
      <c r="E32" s="127" t="s">
        <v>177</v>
      </c>
      <c r="F32" s="128" t="s">
        <v>177</v>
      </c>
      <c r="G32" s="127" t="s">
        <v>178</v>
      </c>
      <c r="H32" s="127" t="s">
        <v>226</v>
      </c>
      <c r="I32" s="127" t="s">
        <v>242</v>
      </c>
      <c r="J32" s="153" t="s">
        <v>243</v>
      </c>
      <c r="K32" s="127" t="s">
        <v>244</v>
      </c>
      <c r="L32" s="130">
        <v>35238</v>
      </c>
      <c r="M32" s="127" t="s">
        <v>230</v>
      </c>
      <c r="N32" s="127" t="s">
        <v>245</v>
      </c>
      <c r="O32" s="127" t="s">
        <v>185</v>
      </c>
      <c r="P32" s="127" t="s">
        <v>208</v>
      </c>
      <c r="Q32" s="85" t="str">
        <f t="shared" si="40"/>
        <v/>
      </c>
      <c r="R32" s="130"/>
      <c r="S32" s="128"/>
      <c r="T32" s="131"/>
      <c r="U32" s="132">
        <v>203</v>
      </c>
      <c r="V32" s="121">
        <v>218.2</v>
      </c>
      <c r="W32" s="116">
        <v>0.98</v>
      </c>
      <c r="X32" s="116">
        <v>1.66</v>
      </c>
      <c r="Y32" s="116">
        <f t="shared" si="1"/>
        <v>0.98443589185002289</v>
      </c>
      <c r="Z32" s="133">
        <v>1.454</v>
      </c>
      <c r="AA32" s="133">
        <v>0.83599999999999997</v>
      </c>
      <c r="AB32" s="133">
        <v>0.72</v>
      </c>
      <c r="AC32" s="121">
        <v>34.299999999999997</v>
      </c>
      <c r="AD32" s="134">
        <v>1.17</v>
      </c>
      <c r="AE32" s="124" t="s">
        <v>213</v>
      </c>
      <c r="AF32" s="128" t="s">
        <v>246</v>
      </c>
      <c r="AG32" s="128" t="s">
        <v>247</v>
      </c>
      <c r="AH32" s="127">
        <v>2596</v>
      </c>
      <c r="AI32" s="127">
        <v>2596</v>
      </c>
      <c r="AJ32" s="135"/>
      <c r="AK32" s="128"/>
      <c r="AL32" s="131"/>
      <c r="AM32" s="124" t="s">
        <v>187</v>
      </c>
      <c r="AN32" s="136" t="s">
        <v>248</v>
      </c>
      <c r="AO32" s="137">
        <v>144.85</v>
      </c>
      <c r="AP32" s="128">
        <v>1818</v>
      </c>
      <c r="AQ32" s="128">
        <v>13.8</v>
      </c>
      <c r="AR32" s="128" t="s">
        <v>249</v>
      </c>
      <c r="AS32" s="128">
        <v>139.69999999999999</v>
      </c>
      <c r="AT32" s="122">
        <v>7.72</v>
      </c>
      <c r="AU32" s="124" t="s">
        <v>250</v>
      </c>
      <c r="AV32" s="115">
        <f>VLOOKUP(J32,'[63]ТР нефть'!$J$28:$BP$638,39,0)</f>
        <v>786</v>
      </c>
      <c r="AW32" s="115" t="str">
        <f>VLOOKUP(J32,'[63]ТР нефть'!$J$28:$BP$638,40,0)</f>
        <v>ГК 77 1/8</v>
      </c>
      <c r="AX32" s="115">
        <f>VLOOKUP(J32,'[63]ТР нефть'!$J$28:$BP$638,41,0)</f>
        <v>1386</v>
      </c>
      <c r="AY32" s="115" t="str">
        <f>VLOOKUP(J32,'[63]ТР нефть'!$J$28:$BP$638,42,0)</f>
        <v>ГК 77 1/8</v>
      </c>
      <c r="AZ32" s="115">
        <f>VLOOKUP(J32,'[63]ТР нефть'!$J$28:$BP$638,43,0)</f>
        <v>1784</v>
      </c>
      <c r="BA32" s="115" t="str">
        <f>VLOOKUP(J32,'[63]ТР нефть'!$J$28:$BP$638,44,0)</f>
        <v>ЦКсОК 5/16</v>
      </c>
      <c r="BB32" s="115" t="str">
        <f>VLOOKUP(J32,'[63]ТР нефть'!$J$28:$BP$638,45,0)</f>
        <v>-</v>
      </c>
      <c r="BC32" s="115" t="str">
        <f>VLOOKUP(J32,'[63]ТР нефть'!$J$28:$BP$638,46,0)</f>
        <v>-</v>
      </c>
      <c r="BD32" s="115" t="str">
        <f>VLOOKUP(J32,'[63]ТР нефть'!$J$28:$BP$638,47,0)</f>
        <v>-</v>
      </c>
      <c r="BE32" s="115" t="str">
        <f>VLOOKUP(J32,'[63]ТР нефть'!$J$28:$BP$638,48,0)</f>
        <v>-</v>
      </c>
      <c r="BF32" s="115" t="str">
        <f>VLOOKUP(J32,'[63]ТР нефть'!$J$28:$BP$638,49,0)</f>
        <v>-</v>
      </c>
      <c r="BG32" s="115" t="str">
        <f>VLOOKUP(J32,'[63]ТР нефть'!$J$28:$BP$638,50,0)</f>
        <v>-</v>
      </c>
      <c r="BH32" s="115">
        <f>VLOOKUP(J32,'[63]ТР нефть'!$J$28:$BP$638,51,0)</f>
        <v>1797</v>
      </c>
      <c r="BI32" s="115" t="str">
        <f>VLOOKUP(J32,'[63]ТР нефть'!$J$28:$BP$638,52,0)</f>
        <v>закрыт</v>
      </c>
      <c r="BJ32" s="115" t="str">
        <f>IF(IFERROR(VLOOKUP(J32,'[63]ТР нефть'!$J$28:$BP$638,53,0),"-")=0,"-",IFERROR(VLOOKUP(J32,'[63]ТР нефть'!$J$28:$BP$638,53,0),"-"))</f>
        <v>-</v>
      </c>
      <c r="BK32" s="138" t="str">
        <f>IF(IFERROR(VLOOKUP(J32,'[63]ТР нефть'!$J$28:$BP$638,54,0),"-")=0,"-",IFERROR(VLOOKUP(J32,'[63]ТР нефть'!$J$28:$BP$638,54,0),"-"))</f>
        <v>-</v>
      </c>
      <c r="BL32" s="138" t="str">
        <f>IF(IFERROR(VLOOKUP(J32,'[63]ТР нефть'!$J$28:$BP$638,55,0),"-")=0,"-",IFERROR(VLOOKUP(J32,'[63]ТР нефть'!$J$28:$BP$638,55,0),"-"))</f>
        <v>-</v>
      </c>
      <c r="BM32" s="138" t="str">
        <f>IF(IFERROR(VLOOKUP(J32,'[63]ТР нефть'!$J$28:$BP$638,56,0),"-")=0,"-",IFERROR(VLOOKUP(J32,'[63]ТР нефть'!$J$28:$BP$638,56,0),"-"))</f>
        <v>-</v>
      </c>
      <c r="BN32" s="138" t="str">
        <f>IF(IFERROR(VLOOKUP(J32,'[63]ТР нефть'!$J$28:$BP$638,57,0),"-")=0,"-",IFERROR(VLOOKUP(J32,'[63]ТР нефть'!$J$28:$BP$638,57,0),"-"))</f>
        <v>-</v>
      </c>
      <c r="BO32" s="115" t="str">
        <f>IF(IFERROR(VLOOKUP(J32,'[63]ТР нефть'!$J$28:$BP$638,58,0),"-")=0,"-",IFERROR(VLOOKUP(J32,'[63]ТР нефть'!$J$28:$BP$638,58,0),"-"))</f>
        <v>-</v>
      </c>
      <c r="BP32" s="115" t="str">
        <f>IF(IFERROR(VLOOKUP(J32,'[63]ТР нефть'!$J$28:$BP$638,59,0),"-")=0,"-",IFERROR(VLOOKUP(J32,'[63]ТР нефть'!$J$28:$BP$638,59,0),"-"))</f>
        <v>-</v>
      </c>
      <c r="BQ32" s="138">
        <v>2417</v>
      </c>
      <c r="BR32" s="128">
        <v>1949.05</v>
      </c>
      <c r="BS32" s="115">
        <f t="shared" si="2"/>
        <v>467.95000000000005</v>
      </c>
      <c r="BT32" s="128">
        <v>73</v>
      </c>
      <c r="BU32" s="128">
        <v>5.5</v>
      </c>
      <c r="BV32" s="127">
        <v>65</v>
      </c>
      <c r="BW32" s="127" t="s">
        <v>217</v>
      </c>
      <c r="BX32" s="127" t="s">
        <v>195</v>
      </c>
      <c r="BY32" s="139">
        <v>24</v>
      </c>
      <c r="BZ32" s="139">
        <v>0</v>
      </c>
      <c r="CA32" s="138">
        <v>17</v>
      </c>
      <c r="CB32" s="138">
        <v>16</v>
      </c>
      <c r="CC32" s="138">
        <v>16</v>
      </c>
      <c r="CD32" s="135">
        <v>45017</v>
      </c>
      <c r="CE32" s="138">
        <v>109</v>
      </c>
      <c r="CF32" s="138"/>
      <c r="CG32" s="138" t="str">
        <f t="shared" si="3"/>
        <v/>
      </c>
      <c r="CH32" s="138" t="s">
        <v>197</v>
      </c>
      <c r="CI32" s="138"/>
      <c r="CJ32" s="139"/>
      <c r="CK32" s="138"/>
      <c r="CL32" s="99"/>
      <c r="CM32" s="139"/>
      <c r="CN32" s="154">
        <v>36</v>
      </c>
      <c r="CO32" s="146">
        <f t="shared" si="4"/>
        <v>6.8624732000000002</v>
      </c>
      <c r="CP32" s="142">
        <v>8.3000000000000007</v>
      </c>
      <c r="CQ32" s="143">
        <v>1.1000000000000001</v>
      </c>
      <c r="CR32" s="138">
        <v>11.5</v>
      </c>
      <c r="CS32" s="139"/>
      <c r="CT32" s="138"/>
      <c r="CU32" s="138">
        <f t="shared" si="5"/>
        <v>11.5</v>
      </c>
      <c r="CV32" s="115">
        <f t="shared" si="6"/>
        <v>1675.780679187206</v>
      </c>
      <c r="CW32" s="115" t="str">
        <f t="shared" si="7"/>
        <v/>
      </c>
      <c r="CX32" s="133">
        <f t="shared" si="8"/>
        <v>0.11369863013698631</v>
      </c>
      <c r="CY32" s="116"/>
      <c r="CZ32" s="144"/>
      <c r="DA32" s="145" t="str">
        <f t="shared" si="9"/>
        <v>Фон.</v>
      </c>
      <c r="DB32" s="146">
        <f t="shared" si="10"/>
        <v>6.8624732000000002</v>
      </c>
      <c r="DC32" s="142">
        <f t="shared" si="11"/>
        <v>8.3000000000000007</v>
      </c>
      <c r="DD32" s="119">
        <f t="shared" si="12"/>
        <v>1.1000000000000001</v>
      </c>
      <c r="DE32" s="115">
        <f t="shared" si="13"/>
        <v>11.5</v>
      </c>
      <c r="DF32" s="121">
        <f t="shared" si="14"/>
        <v>0</v>
      </c>
      <c r="DG32" s="115">
        <f t="shared" si="15"/>
        <v>1675.780679187206</v>
      </c>
      <c r="DH32" s="115">
        <f t="shared" si="16"/>
        <v>36</v>
      </c>
      <c r="DI32" s="147"/>
      <c r="DJ32" s="111" t="s">
        <v>197</v>
      </c>
      <c r="DK32" s="112">
        <v>44088</v>
      </c>
      <c r="DL32" s="113">
        <f t="shared" ca="1" si="17"/>
        <v>1016</v>
      </c>
      <c r="DM32" s="114"/>
      <c r="DN32" s="114"/>
      <c r="DO32" s="114"/>
      <c r="DP32" s="114"/>
      <c r="DQ32" s="112">
        <v>39372</v>
      </c>
      <c r="DR32" s="114" t="s">
        <v>198</v>
      </c>
      <c r="DS32" s="114"/>
      <c r="DT32" s="115">
        <v>42</v>
      </c>
      <c r="DU32" s="116">
        <f t="shared" si="18"/>
        <v>0.12388059701492539</v>
      </c>
      <c r="DV32" s="117">
        <f t="shared" si="19"/>
        <v>6.8624732000000002</v>
      </c>
      <c r="DW32" s="118">
        <f t="shared" si="20"/>
        <v>8.3000000000000007</v>
      </c>
      <c r="DX32" s="119">
        <f t="shared" si="21"/>
        <v>1.1000000000000001</v>
      </c>
      <c r="DY32" s="138">
        <f t="shared" si="22"/>
        <v>11.5</v>
      </c>
      <c r="DZ32" s="117">
        <f t="shared" si="23"/>
        <v>0</v>
      </c>
      <c r="EA32" s="120">
        <f t="shared" si="23"/>
        <v>0</v>
      </c>
      <c r="EB32" s="119">
        <f t="shared" si="23"/>
        <v>0</v>
      </c>
      <c r="EC32" s="121">
        <f t="shared" si="24"/>
        <v>0</v>
      </c>
      <c r="ED32" s="155"/>
      <c r="EE32" s="145">
        <v>65</v>
      </c>
      <c r="EF32" s="138">
        <v>20</v>
      </c>
      <c r="EG32" s="138">
        <v>18</v>
      </c>
      <c r="EH32" s="138">
        <v>19</v>
      </c>
      <c r="EI32" s="127" t="s">
        <v>195</v>
      </c>
      <c r="EJ32" s="139">
        <v>24</v>
      </c>
      <c r="EK32" s="139">
        <v>0</v>
      </c>
      <c r="EL32" s="149">
        <v>6.5207999999999995</v>
      </c>
      <c r="EM32" s="142">
        <v>7.8</v>
      </c>
      <c r="EN32" s="119">
        <v>0</v>
      </c>
      <c r="EO32" s="138">
        <v>11.5</v>
      </c>
      <c r="EP32" s="138">
        <v>1763.5872899030794</v>
      </c>
      <c r="EQ32" s="138">
        <v>0</v>
      </c>
      <c r="ER32" s="138">
        <v>0</v>
      </c>
      <c r="ES32" s="138">
        <v>38</v>
      </c>
      <c r="ET32" s="154">
        <v>0.10985915492957746</v>
      </c>
      <c r="EU32" s="145">
        <f t="shared" si="25"/>
        <v>65</v>
      </c>
      <c r="EV32" s="115">
        <f t="shared" si="26"/>
        <v>17</v>
      </c>
      <c r="EW32" s="115">
        <f t="shared" si="26"/>
        <v>16</v>
      </c>
      <c r="EX32" s="115">
        <f t="shared" si="26"/>
        <v>16</v>
      </c>
      <c r="EY32" s="115" t="str">
        <f t="shared" si="27"/>
        <v>Постоянный</v>
      </c>
      <c r="EZ32" s="115">
        <f t="shared" si="27"/>
        <v>24</v>
      </c>
      <c r="FA32" s="115">
        <f t="shared" si="27"/>
        <v>0</v>
      </c>
      <c r="FB32" s="149">
        <f t="shared" si="28"/>
        <v>6.8624732000000002</v>
      </c>
      <c r="FC32" s="142">
        <f t="shared" si="28"/>
        <v>8.3000000000000007</v>
      </c>
      <c r="FD32" s="119">
        <f t="shared" si="28"/>
        <v>1.1000000000000001</v>
      </c>
      <c r="FE32" s="121">
        <f t="shared" si="28"/>
        <v>11.5</v>
      </c>
      <c r="FF32" s="121">
        <f t="shared" si="29"/>
        <v>1675.780679187206</v>
      </c>
      <c r="FG32" s="121">
        <f t="shared" si="30"/>
        <v>0</v>
      </c>
      <c r="FH32" s="121">
        <f t="shared" si="31"/>
        <v>0</v>
      </c>
      <c r="FI32" s="121">
        <f t="shared" si="32"/>
        <v>36</v>
      </c>
      <c r="FJ32" s="144">
        <f t="shared" si="33"/>
        <v>0.11369863013698631</v>
      </c>
      <c r="FK32" s="132">
        <f t="shared" si="34"/>
        <v>0</v>
      </c>
      <c r="FL32" s="115">
        <f t="shared" si="34"/>
        <v>-3</v>
      </c>
      <c r="FM32" s="115">
        <f t="shared" si="34"/>
        <v>-2</v>
      </c>
      <c r="FN32" s="115">
        <f t="shared" si="34"/>
        <v>-3</v>
      </c>
      <c r="FO32" s="115">
        <f t="shared" si="35"/>
        <v>0</v>
      </c>
      <c r="FP32" s="115">
        <f t="shared" si="35"/>
        <v>0</v>
      </c>
      <c r="FQ32" s="149">
        <f t="shared" si="35"/>
        <v>0.34167320000000068</v>
      </c>
      <c r="FR32" s="142">
        <f t="shared" si="35"/>
        <v>0.50000000000000089</v>
      </c>
      <c r="FS32" s="119">
        <f t="shared" si="35"/>
        <v>1.1000000000000001</v>
      </c>
      <c r="FT32" s="121">
        <f t="shared" si="35"/>
        <v>0</v>
      </c>
      <c r="FU32" s="121">
        <f t="shared" si="36"/>
        <v>0</v>
      </c>
      <c r="FV32" s="121">
        <f t="shared" si="36"/>
        <v>0</v>
      </c>
      <c r="FW32" s="121">
        <f t="shared" si="37"/>
        <v>-87.806610715873376</v>
      </c>
      <c r="FX32" s="121">
        <f t="shared" si="38"/>
        <v>-2</v>
      </c>
      <c r="FY32" s="144">
        <f t="shared" si="38"/>
        <v>3.839475207408849E-3</v>
      </c>
      <c r="FZ32" s="145"/>
      <c r="GA32" s="151" t="s">
        <v>251</v>
      </c>
      <c r="GB32" s="145"/>
      <c r="GC32" s="151" t="s">
        <v>237</v>
      </c>
      <c r="GD32" s="997" t="s">
        <v>238</v>
      </c>
      <c r="GE32" s="1004"/>
      <c r="GF32" s="1004">
        <v>-0.1630199999999995</v>
      </c>
      <c r="GG32" s="1004"/>
      <c r="GH32" s="1004">
        <v>-0.41578460000000117</v>
      </c>
      <c r="GI32" s="145"/>
      <c r="GJ32" s="996">
        <v>0.68999260000000096</v>
      </c>
      <c r="GK32" s="145"/>
      <c r="GL32" s="996">
        <v>0</v>
      </c>
      <c r="GM32" s="1013" t="s">
        <v>205</v>
      </c>
      <c r="GN32" s="996">
        <v>-1.2815880000000002</v>
      </c>
      <c r="GO32" s="1014"/>
      <c r="GP32" s="996">
        <v>0</v>
      </c>
      <c r="GQ32" s="1014"/>
      <c r="GR32" s="996">
        <v>0</v>
      </c>
      <c r="GS32" s="1014" t="s">
        <v>204</v>
      </c>
      <c r="GT32" s="996">
        <v>1.0031999999999996</v>
      </c>
      <c r="GU32" s="1014" t="s">
        <v>204</v>
      </c>
      <c r="GV32" s="996">
        <v>-2.8559975399999997</v>
      </c>
      <c r="GW32" s="1014"/>
      <c r="GX32" s="997">
        <v>0.5422839400000008</v>
      </c>
      <c r="GY32" s="1014"/>
      <c r="GZ32" s="1015">
        <v>0</v>
      </c>
      <c r="HA32" s="1014"/>
      <c r="HB32" s="1015">
        <v>0</v>
      </c>
      <c r="HC32" s="1014"/>
      <c r="HD32" s="1015">
        <v>0</v>
      </c>
      <c r="HE32" s="1014"/>
      <c r="HF32" s="1015">
        <v>0</v>
      </c>
      <c r="HG32" s="1014"/>
      <c r="HH32" s="1015">
        <v>3.1996227999997018E-2</v>
      </c>
      <c r="HI32" s="1014"/>
      <c r="HJ32" s="1015">
        <v>0</v>
      </c>
      <c r="HK32" s="1014"/>
      <c r="HL32" s="1015">
        <v>0</v>
      </c>
      <c r="HM32" s="1014"/>
      <c r="HN32" s="1015">
        <v>-0.79141862799999885</v>
      </c>
      <c r="HO32" s="1014"/>
      <c r="HP32" s="1015">
        <v>0</v>
      </c>
      <c r="HQ32" s="1014"/>
      <c r="HR32" s="1015">
        <v>0</v>
      </c>
      <c r="HS32" s="1014"/>
      <c r="HT32" s="1015">
        <v>0</v>
      </c>
      <c r="HU32" s="1014"/>
      <c r="HV32" s="1015">
        <v>-0.1036640000000002</v>
      </c>
      <c r="HW32" s="1014" t="s">
        <v>221</v>
      </c>
      <c r="HX32" s="1015">
        <v>6.4133572799999996</v>
      </c>
      <c r="HY32" s="1014"/>
      <c r="HZ32" s="1015">
        <v>0</v>
      </c>
      <c r="IA32" s="1014"/>
      <c r="IB32" s="1015">
        <v>0</v>
      </c>
      <c r="IC32" s="1014"/>
      <c r="ID32" s="1015">
        <v>0</v>
      </c>
      <c r="IE32" s="1014"/>
      <c r="IF32" s="1015">
        <v>0</v>
      </c>
      <c r="IG32" s="1014"/>
      <c r="IH32" s="1015">
        <v>0</v>
      </c>
      <c r="II32" s="1014"/>
      <c r="IJ32" s="1015">
        <v>0</v>
      </c>
      <c r="IK32" s="1014"/>
      <c r="IL32" s="1015">
        <v>0</v>
      </c>
      <c r="IM32" s="1014" t="s">
        <v>199</v>
      </c>
      <c r="IN32" s="1015">
        <v>3.4514427200000006</v>
      </c>
      <c r="IO32" s="1014" t="s">
        <v>199</v>
      </c>
      <c r="IP32" s="1015">
        <v>-5.8490739999999999</v>
      </c>
      <c r="IQ32" s="1014"/>
      <c r="IR32" s="1015">
        <v>0</v>
      </c>
      <c r="IS32" s="1014"/>
      <c r="IT32" s="1015">
        <v>0</v>
      </c>
      <c r="IU32" s="1014"/>
      <c r="IV32" s="1015">
        <v>0</v>
      </c>
      <c r="IW32" s="1014"/>
      <c r="IX32" s="1015">
        <v>0</v>
      </c>
      <c r="IY32" s="1014"/>
      <c r="IZ32" s="1015">
        <v>0</v>
      </c>
      <c r="JA32" s="1014"/>
      <c r="JB32" s="1015">
        <v>-0.41779100000000025</v>
      </c>
      <c r="JC32" s="1014"/>
      <c r="JD32" s="1015">
        <v>0</v>
      </c>
      <c r="JE32" s="1014"/>
      <c r="JF32" s="1015">
        <v>0</v>
      </c>
      <c r="JG32" s="1014"/>
      <c r="JH32" s="1015">
        <v>0</v>
      </c>
      <c r="JI32" s="1014"/>
      <c r="JJ32" s="1015">
        <v>0</v>
      </c>
      <c r="JK32" s="1007" t="s">
        <v>199</v>
      </c>
      <c r="JL32" s="1007">
        <v>3.0900650000000005</v>
      </c>
      <c r="JM32" s="1007"/>
      <c r="JN32" s="1007">
        <v>0</v>
      </c>
      <c r="JO32" s="1008"/>
      <c r="JP32" s="1007">
        <v>-0.66880000000000006</v>
      </c>
      <c r="JQ32" s="1008">
        <v>0</v>
      </c>
      <c r="JR32" s="1007">
        <v>0</v>
      </c>
      <c r="JS32" s="1008">
        <v>0</v>
      </c>
      <c r="JT32" s="1007">
        <v>0</v>
      </c>
      <c r="JU32" s="1008" t="s">
        <v>199</v>
      </c>
      <c r="JV32" s="1007">
        <v>-2.2553691600000003</v>
      </c>
      <c r="JW32" s="1008" t="s">
        <v>199</v>
      </c>
      <c r="JX32" s="1007">
        <v>2.4738176320000003</v>
      </c>
      <c r="JY32" s="1008" t="s">
        <v>204</v>
      </c>
      <c r="JZ32" s="1007">
        <v>-3.9781661919999998</v>
      </c>
      <c r="KA32" s="1008"/>
      <c r="KB32" s="1007">
        <v>0</v>
      </c>
      <c r="KC32" s="1008"/>
      <c r="KD32" s="1007">
        <v>0</v>
      </c>
      <c r="KE32" s="1008"/>
      <c r="KF32" s="1007">
        <v>0</v>
      </c>
      <c r="KG32" s="1008"/>
      <c r="KH32" s="1007">
        <v>2.5981208000002809E-2</v>
      </c>
      <c r="KI32" s="1008"/>
      <c r="KJ32" s="1007">
        <v>0</v>
      </c>
      <c r="KK32" s="1008"/>
      <c r="KL32" s="1007">
        <v>0</v>
      </c>
      <c r="KM32" s="1008"/>
      <c r="KN32" s="1007">
        <v>0</v>
      </c>
      <c r="KO32" s="1008"/>
      <c r="KP32" s="1007">
        <v>0</v>
      </c>
      <c r="KQ32" s="1008" t="s">
        <v>206</v>
      </c>
      <c r="KR32" s="1007">
        <v>3.2316850719999985</v>
      </c>
      <c r="KS32" s="1008" t="s">
        <v>206</v>
      </c>
      <c r="KT32" s="1007">
        <v>-5.0160000000000009</v>
      </c>
      <c r="KU32" s="1008" t="s">
        <v>206</v>
      </c>
      <c r="KV32" s="1007">
        <v>0.28424000000000049</v>
      </c>
      <c r="KW32" s="1008" t="s">
        <v>204</v>
      </c>
      <c r="KX32" s="1007">
        <v>2.3073599999999992</v>
      </c>
      <c r="KY32" s="1008">
        <v>0</v>
      </c>
      <c r="KZ32" s="1007">
        <v>0</v>
      </c>
      <c r="LA32" s="1008" t="s">
        <v>204</v>
      </c>
      <c r="LB32" s="1007">
        <v>1.2105280000000009</v>
      </c>
      <c r="LC32" s="1008">
        <v>0</v>
      </c>
      <c r="LD32" s="1007">
        <v>0</v>
      </c>
      <c r="LE32" s="1008">
        <v>0</v>
      </c>
      <c r="LF32" s="1007">
        <v>0</v>
      </c>
      <c r="LG32" s="1008">
        <v>0</v>
      </c>
      <c r="LH32" s="1007">
        <v>-7.2240000000000002</v>
      </c>
      <c r="LI32" s="1008">
        <v>0</v>
      </c>
      <c r="LJ32" s="1007">
        <v>0</v>
      </c>
      <c r="LK32" s="1008">
        <v>0</v>
      </c>
      <c r="LL32" s="1007">
        <v>0</v>
      </c>
      <c r="LM32" s="1008" t="s">
        <v>206</v>
      </c>
      <c r="LN32" s="1007">
        <v>-2.53776</v>
      </c>
      <c r="LO32" s="1008" t="s">
        <v>206</v>
      </c>
      <c r="LP32" s="1007">
        <v>5.6333191199999995</v>
      </c>
      <c r="LQ32" s="1008">
        <v>0</v>
      </c>
      <c r="LR32" s="1007">
        <v>0.33241959999999998</v>
      </c>
      <c r="LS32" s="1008" t="s">
        <v>240</v>
      </c>
      <c r="LT32" s="1007">
        <v>-1.9669996000000001</v>
      </c>
      <c r="LU32" s="1008">
        <v>0</v>
      </c>
      <c r="LV32" s="1007">
        <v>-0.69343999999999995</v>
      </c>
      <c r="LW32" s="1008" t="s">
        <v>206</v>
      </c>
      <c r="LX32" s="1007">
        <v>1.7947164400000002</v>
      </c>
      <c r="LY32" s="1009">
        <v>0</v>
      </c>
      <c r="LZ32" s="1010">
        <v>0.45587823999999999</v>
      </c>
      <c r="MA32" s="1011" t="s">
        <v>206</v>
      </c>
      <c r="MB32" s="1012">
        <v>-5.9253264000000003</v>
      </c>
      <c r="MC32" s="995"/>
      <c r="MD32" s="996"/>
      <c r="ME32" s="997" t="s">
        <v>238</v>
      </c>
      <c r="MF32" s="997">
        <f t="shared" si="39"/>
        <v>19</v>
      </c>
      <c r="MG32" s="998"/>
      <c r="NR32" s="1000"/>
      <c r="NS32" s="1000"/>
      <c r="NT32" s="1001"/>
      <c r="NU32" s="1000"/>
      <c r="NV32" s="1001"/>
      <c r="NX32" s="1002"/>
      <c r="NZ32" s="1001"/>
      <c r="OA32" s="1001"/>
      <c r="OC32" s="1003"/>
      <c r="OD32" s="1003"/>
      <c r="OE32" s="1001"/>
      <c r="OF32" s="1003"/>
      <c r="OG32" s="1003"/>
      <c r="QX32" s="1000">
        <f>CN32-CA32</f>
        <v>19</v>
      </c>
      <c r="ASU32" s="999" t="s">
        <v>208</v>
      </c>
    </row>
    <row r="33" spans="1:466 1191:1191" ht="21" customHeight="1" x14ac:dyDescent="0.25">
      <c r="A33" s="982" t="str">
        <f t="shared" si="0"/>
        <v>3-3</v>
      </c>
      <c r="B33" s="124">
        <f>SUBTOTAL(103,$J$29:J33)</f>
        <v>5</v>
      </c>
      <c r="C33" s="126">
        <v>45096</v>
      </c>
      <c r="D33" s="124" t="s">
        <v>176</v>
      </c>
      <c r="E33" s="127" t="s">
        <v>177</v>
      </c>
      <c r="F33" s="128" t="s">
        <v>177</v>
      </c>
      <c r="G33" s="127" t="s">
        <v>178</v>
      </c>
      <c r="H33" s="127" t="s">
        <v>226</v>
      </c>
      <c r="I33" s="127" t="s">
        <v>242</v>
      </c>
      <c r="J33" s="152" t="s">
        <v>252</v>
      </c>
      <c r="K33" s="127" t="s">
        <v>244</v>
      </c>
      <c r="L33" s="130">
        <v>35327</v>
      </c>
      <c r="M33" s="127" t="s">
        <v>230</v>
      </c>
      <c r="N33" s="127" t="s">
        <v>245</v>
      </c>
      <c r="O33" s="127" t="s">
        <v>185</v>
      </c>
      <c r="P33" s="127" t="s">
        <v>208</v>
      </c>
      <c r="Q33" s="85" t="str">
        <f t="shared" si="40"/>
        <v/>
      </c>
      <c r="R33" s="130"/>
      <c r="S33" s="128"/>
      <c r="T33" s="131"/>
      <c r="U33" s="132">
        <v>203</v>
      </c>
      <c r="V33" s="121">
        <v>218.2</v>
      </c>
      <c r="W33" s="116">
        <v>0.98</v>
      </c>
      <c r="X33" s="116">
        <v>1.66</v>
      </c>
      <c r="Y33" s="116">
        <f t="shared" si="1"/>
        <v>1.4568184260486441</v>
      </c>
      <c r="Z33" s="133">
        <v>1.454</v>
      </c>
      <c r="AA33" s="133">
        <v>0.83599999999999997</v>
      </c>
      <c r="AB33" s="133">
        <v>0.72</v>
      </c>
      <c r="AC33" s="121">
        <v>34.299999999999997</v>
      </c>
      <c r="AD33" s="134">
        <v>1.17</v>
      </c>
      <c r="AE33" s="124" t="s">
        <v>253</v>
      </c>
      <c r="AF33" s="128" t="s">
        <v>254</v>
      </c>
      <c r="AG33" s="128">
        <v>2147</v>
      </c>
      <c r="AH33" s="127">
        <v>2550</v>
      </c>
      <c r="AI33" s="127">
        <v>2550</v>
      </c>
      <c r="AJ33" s="135"/>
      <c r="AK33" s="128"/>
      <c r="AL33" s="131"/>
      <c r="AM33" s="124" t="s">
        <v>232</v>
      </c>
      <c r="AN33" s="136" t="s">
        <v>255</v>
      </c>
      <c r="AO33" s="137">
        <v>30.67</v>
      </c>
      <c r="AP33" s="128">
        <v>1919</v>
      </c>
      <c r="AQ33" s="128">
        <v>42</v>
      </c>
      <c r="AR33" s="128" t="s">
        <v>256</v>
      </c>
      <c r="AS33" s="128">
        <v>102</v>
      </c>
      <c r="AT33" s="122">
        <v>6.5</v>
      </c>
      <c r="AU33" s="124" t="s">
        <v>189</v>
      </c>
      <c r="AV33" s="115">
        <f>VLOOKUP(J33,'[63]ТР нефть'!$J$28:$BP$638,39,0)</f>
        <v>519.99999931599996</v>
      </c>
      <c r="AW33" s="115" t="str">
        <f>VLOOKUP(J33,'[63]ТР нефть'!$J$28:$BP$638,40,0)</f>
        <v>ГП</v>
      </c>
      <c r="AX33" s="115">
        <f>VLOOKUP(J33,'[63]ТР нефть'!$J$28:$BP$638,41,0)</f>
        <v>930.00001523399999</v>
      </c>
      <c r="AY33" s="115" t="str">
        <f>VLOOKUP(J33,'[63]ТР нефть'!$J$28:$BP$638,42,0)</f>
        <v>ГК 77 1/8</v>
      </c>
      <c r="AZ33" s="115">
        <f>VLOOKUP(J33,'[63]ТР нефть'!$J$28:$BP$638,43,0)</f>
        <v>1260.000039844</v>
      </c>
      <c r="BA33" s="115" t="str">
        <f>VLOOKUP(J33,'[63]ТР нефть'!$J$28:$BP$638,44,0)</f>
        <v>ГК 79 5/32</v>
      </c>
      <c r="BB33" s="115">
        <f>VLOOKUP(J33,'[63]ТР нефть'!$J$28:$BP$638,45,0)</f>
        <v>1430.000007422</v>
      </c>
      <c r="BC33" s="115" t="str">
        <f>VLOOKUP(J33,'[63]ТР нефть'!$J$28:$BP$638,46,0)</f>
        <v>ЦКсОК 5/16</v>
      </c>
      <c r="BD33" s="115" t="str">
        <f>VLOOKUP(J33,'[63]ТР нефть'!$J$28:$BP$638,47,0)</f>
        <v>-</v>
      </c>
      <c r="BE33" s="115" t="str">
        <f>VLOOKUP(J33,'[63]ТР нефть'!$J$28:$BP$638,48,0)</f>
        <v>-</v>
      </c>
      <c r="BF33" s="115" t="str">
        <f>VLOOKUP(J33,'[63]ТР нефть'!$J$28:$BP$638,49,0)</f>
        <v>-</v>
      </c>
      <c r="BG33" s="115" t="str">
        <f>VLOOKUP(J33,'[63]ТР нефть'!$J$28:$BP$638,50,0)</f>
        <v>-</v>
      </c>
      <c r="BH33" s="115">
        <f>VLOOKUP(J33,'[63]ТР нефть'!$J$28:$BP$638,51,0)</f>
        <v>1440</v>
      </c>
      <c r="BI33" s="115" t="str">
        <f>VLOOKUP(J33,'[63]ТР нефть'!$J$28:$BP$638,52,0)</f>
        <v>закрыт</v>
      </c>
      <c r="BJ33" s="115" t="str">
        <f>IF(IFERROR(VLOOKUP(J33,'[63]ТР нефть'!$J$28:$BP$638,53,0),"-")=0,"-",IFERROR(VLOOKUP(J33,'[63]ТР нефть'!$J$28:$BP$638,53,0),"-"))</f>
        <v>-</v>
      </c>
      <c r="BK33" s="138" t="str">
        <f>IF(IFERROR(VLOOKUP(J33,'[63]ТР нефть'!$J$28:$BP$638,54,0),"-")=0,"-",IFERROR(VLOOKUP(J33,'[63]ТР нефть'!$J$28:$BP$638,54,0),"-"))</f>
        <v>-</v>
      </c>
      <c r="BL33" s="138" t="str">
        <f>IF(IFERROR(VLOOKUP(J33,'[63]ТР нефть'!$J$28:$BP$638,55,0),"-")=0,"-",IFERROR(VLOOKUP(J33,'[63]ТР нефть'!$J$28:$BP$638,55,0),"-"))</f>
        <v>-</v>
      </c>
      <c r="BM33" s="138" t="str">
        <f>IF(IFERROR(VLOOKUP(J33,'[63]ТР нефть'!$J$28:$BP$638,56,0),"-")=0,"-",IFERROR(VLOOKUP(J33,'[63]ТР нефть'!$J$28:$BP$638,56,0),"-"))</f>
        <v>-</v>
      </c>
      <c r="BN33" s="138" t="str">
        <f>IF(IFERROR(VLOOKUP(J33,'[63]ТР нефть'!$J$28:$BP$638,57,0),"-")=0,"-",IFERROR(VLOOKUP(J33,'[63]ТР нефть'!$J$28:$BP$638,57,0),"-"))</f>
        <v>-</v>
      </c>
      <c r="BO33" s="115" t="str">
        <f>IF(IFERROR(VLOOKUP(J33,'[63]ТР нефть'!$J$28:$BP$638,58,0),"-")=0,"-",IFERROR(VLOOKUP(J33,'[63]ТР нефть'!$J$28:$BP$638,58,0),"-"))</f>
        <v>-</v>
      </c>
      <c r="BP33" s="115" t="str">
        <f>IF(IFERROR(VLOOKUP(J33,'[63]ТР нефть'!$J$28:$BP$638,59,0),"-")=0,"-",IFERROR(VLOOKUP(J33,'[63]ТР нефть'!$J$28:$BP$638,59,0),"-"))</f>
        <v>-</v>
      </c>
      <c r="BQ33" s="138">
        <v>1480</v>
      </c>
      <c r="BR33" s="128">
        <v>1469</v>
      </c>
      <c r="BS33" s="115">
        <f t="shared" si="2"/>
        <v>11</v>
      </c>
      <c r="BT33" s="128">
        <v>73</v>
      </c>
      <c r="BU33" s="128">
        <v>5.5</v>
      </c>
      <c r="BV33" s="127">
        <v>65</v>
      </c>
      <c r="BW33" s="127" t="s">
        <v>217</v>
      </c>
      <c r="BX33" s="127" t="s">
        <v>195</v>
      </c>
      <c r="BY33" s="139">
        <v>24</v>
      </c>
      <c r="BZ33" s="139">
        <v>0</v>
      </c>
      <c r="CA33" s="138">
        <v>18</v>
      </c>
      <c r="CB33" s="138">
        <v>33</v>
      </c>
      <c r="CC33" s="138">
        <v>17</v>
      </c>
      <c r="CD33" s="135">
        <v>45017</v>
      </c>
      <c r="CE33" s="138">
        <v>156</v>
      </c>
      <c r="CF33" s="138">
        <v>66</v>
      </c>
      <c r="CG33" s="138" t="str">
        <f t="shared" si="3"/>
        <v/>
      </c>
      <c r="CH33" s="138" t="s">
        <v>197</v>
      </c>
      <c r="CI33" s="138">
        <v>6</v>
      </c>
      <c r="CJ33" s="139"/>
      <c r="CK33" s="138"/>
      <c r="CL33" s="99"/>
      <c r="CM33" s="99"/>
      <c r="CN33" s="140">
        <v>64</v>
      </c>
      <c r="CO33" s="141">
        <f t="shared" si="4"/>
        <v>0.68894759999999977</v>
      </c>
      <c r="CP33" s="142">
        <v>4.0999999999999996</v>
      </c>
      <c r="CQ33" s="119">
        <v>79.900000000000006</v>
      </c>
      <c r="CR33" s="138">
        <v>18.7</v>
      </c>
      <c r="CS33" s="139">
        <v>18</v>
      </c>
      <c r="CT33" s="138"/>
      <c r="CU33" s="138">
        <f t="shared" si="5"/>
        <v>0.69999999999999929</v>
      </c>
      <c r="CV33" s="115">
        <f t="shared" si="6"/>
        <v>1016.0424392217922</v>
      </c>
      <c r="CW33" s="115">
        <f t="shared" si="7"/>
        <v>4015.6702160283339</v>
      </c>
      <c r="CX33" s="133">
        <f t="shared" si="8"/>
        <v>4.4565217391304347E-2</v>
      </c>
      <c r="CY33" s="116"/>
      <c r="CZ33" s="131"/>
      <c r="DA33" s="145" t="str">
        <f t="shared" si="9"/>
        <v>Газлифт</v>
      </c>
      <c r="DB33" s="146">
        <f t="shared" si="10"/>
        <v>0.68894759999999977</v>
      </c>
      <c r="DC33" s="142">
        <f t="shared" si="11"/>
        <v>4.0999999999999996</v>
      </c>
      <c r="DD33" s="119">
        <f t="shared" si="12"/>
        <v>79.900000000000006</v>
      </c>
      <c r="DE33" s="115">
        <f t="shared" si="13"/>
        <v>0.69999999999999929</v>
      </c>
      <c r="DF33" s="121">
        <f t="shared" si="14"/>
        <v>18</v>
      </c>
      <c r="DG33" s="115">
        <f t="shared" si="15"/>
        <v>1016.0424392217922</v>
      </c>
      <c r="DH33" s="115">
        <f t="shared" si="16"/>
        <v>64</v>
      </c>
      <c r="DI33" s="147"/>
      <c r="DJ33" s="111" t="s">
        <v>197</v>
      </c>
      <c r="DK33" s="112">
        <v>44172</v>
      </c>
      <c r="DL33" s="113">
        <f t="shared" ca="1" si="17"/>
        <v>932</v>
      </c>
      <c r="DM33" s="114"/>
      <c r="DN33" s="114"/>
      <c r="DO33" s="114"/>
      <c r="DP33" s="114"/>
      <c r="DQ33" s="112">
        <v>44449</v>
      </c>
      <c r="DR33" s="114" t="s">
        <v>198</v>
      </c>
      <c r="DS33" s="114"/>
      <c r="DT33" s="115">
        <v>50</v>
      </c>
      <c r="DU33" s="116">
        <f t="shared" si="18"/>
        <v>4.2156286721504101E-2</v>
      </c>
      <c r="DV33" s="117">
        <f t="shared" si="19"/>
        <v>0.75088002232667406</v>
      </c>
      <c r="DW33" s="118">
        <f t="shared" si="20"/>
        <v>4.4685663924794348</v>
      </c>
      <c r="DX33" s="119">
        <f t="shared" si="21"/>
        <v>79.900000000000006</v>
      </c>
      <c r="DY33" s="115">
        <f t="shared" si="22"/>
        <v>0.76292596944770763</v>
      </c>
      <c r="DZ33" s="117">
        <f t="shared" si="23"/>
        <v>6.1932422326674286E-2</v>
      </c>
      <c r="EA33" s="120">
        <f t="shared" si="23"/>
        <v>0.36856639247943512</v>
      </c>
      <c r="EB33" s="119">
        <f t="shared" si="23"/>
        <v>0</v>
      </c>
      <c r="EC33" s="121">
        <f t="shared" si="24"/>
        <v>6.2925969447708341E-2</v>
      </c>
      <c r="ED33" s="122"/>
      <c r="EE33" s="145">
        <v>65</v>
      </c>
      <c r="EF33" s="115">
        <v>19</v>
      </c>
      <c r="EG33" s="115">
        <v>44</v>
      </c>
      <c r="EH33" s="115">
        <v>18</v>
      </c>
      <c r="EI33" s="128" t="s">
        <v>195</v>
      </c>
      <c r="EJ33" s="121">
        <v>24</v>
      </c>
      <c r="EK33" s="121">
        <v>0</v>
      </c>
      <c r="EL33" s="149">
        <v>0.15800399999999998</v>
      </c>
      <c r="EM33" s="142">
        <v>1.8</v>
      </c>
      <c r="EN33" s="119">
        <v>89.5</v>
      </c>
      <c r="EO33" s="115">
        <v>13.8</v>
      </c>
      <c r="EP33" s="115">
        <v>1265.790739474957</v>
      </c>
      <c r="EQ33" s="115">
        <v>68</v>
      </c>
      <c r="ER33" s="115">
        <v>13.6</v>
      </c>
      <c r="ES33" s="115">
        <v>94</v>
      </c>
      <c r="ET33" s="150">
        <v>2.903225806451613E-2</v>
      </c>
      <c r="EU33" s="145">
        <f t="shared" si="25"/>
        <v>65</v>
      </c>
      <c r="EV33" s="115">
        <f t="shared" si="26"/>
        <v>18</v>
      </c>
      <c r="EW33" s="115">
        <f t="shared" si="26"/>
        <v>33</v>
      </c>
      <c r="EX33" s="115">
        <f t="shared" si="26"/>
        <v>17</v>
      </c>
      <c r="EY33" s="115" t="str">
        <f t="shared" si="27"/>
        <v>Постоянный</v>
      </c>
      <c r="EZ33" s="115">
        <f t="shared" si="27"/>
        <v>24</v>
      </c>
      <c r="FA33" s="115">
        <f t="shared" si="27"/>
        <v>0</v>
      </c>
      <c r="FB33" s="149">
        <f t="shared" si="28"/>
        <v>0.68894759999999977</v>
      </c>
      <c r="FC33" s="142">
        <f t="shared" si="28"/>
        <v>4.0999999999999996</v>
      </c>
      <c r="FD33" s="119">
        <f t="shared" si="28"/>
        <v>79.900000000000006</v>
      </c>
      <c r="FE33" s="121">
        <f t="shared" si="28"/>
        <v>18.7</v>
      </c>
      <c r="FF33" s="121">
        <f t="shared" si="29"/>
        <v>1016.0424392217922</v>
      </c>
      <c r="FG33" s="121">
        <f t="shared" si="30"/>
        <v>66</v>
      </c>
      <c r="FH33" s="121">
        <f t="shared" si="31"/>
        <v>18</v>
      </c>
      <c r="FI33" s="121">
        <f t="shared" si="32"/>
        <v>64</v>
      </c>
      <c r="FJ33" s="144">
        <f t="shared" si="33"/>
        <v>4.4565217391304347E-2</v>
      </c>
      <c r="FK33" s="132">
        <f t="shared" si="34"/>
        <v>0</v>
      </c>
      <c r="FL33" s="115">
        <f t="shared" si="34"/>
        <v>-1</v>
      </c>
      <c r="FM33" s="115">
        <f t="shared" si="34"/>
        <v>-11</v>
      </c>
      <c r="FN33" s="115">
        <f t="shared" si="34"/>
        <v>-1</v>
      </c>
      <c r="FO33" s="115">
        <f t="shared" si="35"/>
        <v>0</v>
      </c>
      <c r="FP33" s="115">
        <f t="shared" si="35"/>
        <v>0</v>
      </c>
      <c r="FQ33" s="149">
        <f t="shared" si="35"/>
        <v>0.53094359999999985</v>
      </c>
      <c r="FR33" s="142">
        <f t="shared" si="35"/>
        <v>2.2999999999999998</v>
      </c>
      <c r="FS33" s="119">
        <f t="shared" si="35"/>
        <v>-9.5999999999999943</v>
      </c>
      <c r="FT33" s="121">
        <f t="shared" si="35"/>
        <v>4.8999999999999986</v>
      </c>
      <c r="FU33" s="121">
        <f t="shared" si="36"/>
        <v>-2</v>
      </c>
      <c r="FV33" s="121">
        <f t="shared" si="36"/>
        <v>4.4000000000000004</v>
      </c>
      <c r="FW33" s="121">
        <f t="shared" si="37"/>
        <v>-249.74830025316487</v>
      </c>
      <c r="FX33" s="121">
        <f t="shared" si="38"/>
        <v>-30</v>
      </c>
      <c r="FY33" s="144">
        <f t="shared" si="38"/>
        <v>1.5532959326788217E-2</v>
      </c>
      <c r="FZ33" s="145"/>
      <c r="GA33" s="151" t="s">
        <v>257</v>
      </c>
      <c r="GB33" s="145" t="s">
        <v>199</v>
      </c>
      <c r="GC33" s="151" t="s">
        <v>258</v>
      </c>
      <c r="GD33" s="997" t="s">
        <v>238</v>
      </c>
      <c r="GE33" s="1004" t="s">
        <v>199</v>
      </c>
      <c r="GF33" s="1004">
        <v>-9.3924599999999998</v>
      </c>
      <c r="GG33" s="1004"/>
      <c r="GH33" s="1004">
        <v>0.85940800000000017</v>
      </c>
      <c r="GI33" s="145"/>
      <c r="GJ33" s="996">
        <v>0.57282719999999898</v>
      </c>
      <c r="GK33" s="145"/>
      <c r="GL33" s="996">
        <v>0</v>
      </c>
      <c r="GM33" s="1005"/>
      <c r="GN33" s="996">
        <v>0.59422880000000067</v>
      </c>
      <c r="GO33" s="1006" t="s">
        <v>259</v>
      </c>
      <c r="GP33" s="996">
        <v>-2.3027720319999991</v>
      </c>
      <c r="GQ33" s="1006"/>
      <c r="GR33" s="996">
        <v>0</v>
      </c>
      <c r="GS33" s="1006"/>
      <c r="GT33" s="996">
        <v>0</v>
      </c>
      <c r="GU33" s="1006"/>
      <c r="GV33" s="996">
        <v>0</v>
      </c>
      <c r="GW33" s="1006"/>
      <c r="GX33" s="997">
        <v>0</v>
      </c>
      <c r="GY33" s="1006" t="s">
        <v>199</v>
      </c>
      <c r="GZ33" s="996">
        <v>-0.40727378560000105</v>
      </c>
      <c r="HA33" s="1006" t="s">
        <v>204</v>
      </c>
      <c r="HB33" s="996">
        <v>-2.2467653824000013</v>
      </c>
      <c r="HC33" s="1006"/>
      <c r="HD33" s="996"/>
      <c r="HE33" s="1006"/>
      <c r="HF33" s="996"/>
      <c r="HG33" s="1006"/>
      <c r="HH33" s="996"/>
      <c r="HI33" s="1006">
        <v>96</v>
      </c>
      <c r="HJ33" s="996">
        <v>0</v>
      </c>
      <c r="HK33" s="1006"/>
      <c r="HL33" s="996">
        <v>0</v>
      </c>
      <c r="HM33" s="1006"/>
      <c r="HN33" s="996">
        <v>0</v>
      </c>
      <c r="HO33" s="1006" t="s">
        <v>203</v>
      </c>
      <c r="HP33" s="996">
        <v>-2.0502254608000019</v>
      </c>
      <c r="HQ33" s="1006" t="s">
        <v>221</v>
      </c>
      <c r="HR33" s="996">
        <v>3.3623711000000016</v>
      </c>
      <c r="HS33" s="1006" t="s">
        <v>25</v>
      </c>
      <c r="HT33" s="996">
        <v>3.0196319999999996</v>
      </c>
      <c r="HU33" s="1006"/>
      <c r="HV33" s="996">
        <v>0</v>
      </c>
      <c r="HW33" s="1006"/>
      <c r="HX33" s="996">
        <v>0.70223999999999975</v>
      </c>
      <c r="HY33" s="1006"/>
      <c r="HZ33" s="996">
        <v>0</v>
      </c>
      <c r="IA33" s="1006" t="s">
        <v>199</v>
      </c>
      <c r="IB33" s="996">
        <v>3.4192399999999994</v>
      </c>
      <c r="IC33" s="1006"/>
      <c r="ID33" s="996">
        <v>-4.1800000000000059E-2</v>
      </c>
      <c r="IE33" s="1006"/>
      <c r="IF33" s="996">
        <v>0.10032000000000002</v>
      </c>
      <c r="IG33" s="1006"/>
      <c r="IH33" s="996">
        <v>0</v>
      </c>
      <c r="II33" s="1006"/>
      <c r="IJ33" s="996">
        <v>0</v>
      </c>
      <c r="IK33" s="1006"/>
      <c r="IL33" s="996">
        <v>0</v>
      </c>
      <c r="IM33" s="1006"/>
      <c r="IN33" s="996">
        <v>0</v>
      </c>
      <c r="IO33" s="1006" t="s">
        <v>199</v>
      </c>
      <c r="IP33" s="996">
        <v>-0.9781200000000001</v>
      </c>
      <c r="IQ33" s="1006"/>
      <c r="IR33" s="996">
        <v>0</v>
      </c>
      <c r="IS33" s="1006"/>
      <c r="IT33" s="996">
        <v>0</v>
      </c>
      <c r="IU33" s="1006"/>
      <c r="IV33" s="996">
        <v>0</v>
      </c>
      <c r="IW33" s="1006"/>
      <c r="IX33" s="996">
        <v>0</v>
      </c>
      <c r="IY33" s="1006"/>
      <c r="IZ33" s="996">
        <v>0</v>
      </c>
      <c r="JA33" s="1006" t="s">
        <v>199</v>
      </c>
      <c r="JB33" s="996">
        <v>-2.7574623999999992</v>
      </c>
      <c r="JC33" s="1006"/>
      <c r="JD33" s="996">
        <v>-4.3137599999999221E-2</v>
      </c>
      <c r="JE33" s="1006"/>
      <c r="JF33" s="996">
        <v>-1.0032000000000014</v>
      </c>
      <c r="JG33" s="1006"/>
      <c r="JH33" s="996">
        <v>0</v>
      </c>
      <c r="JI33" s="1006" t="s">
        <v>204</v>
      </c>
      <c r="JJ33" s="996">
        <v>2.3742399999999999</v>
      </c>
      <c r="JK33" s="1007"/>
      <c r="JL33" s="1007">
        <v>0.20385023999999996</v>
      </c>
      <c r="JM33" s="1007"/>
      <c r="JN33" s="1007">
        <v>0</v>
      </c>
      <c r="JO33" s="1008"/>
      <c r="JP33" s="1007">
        <v>0</v>
      </c>
      <c r="JQ33" s="1008">
        <v>0</v>
      </c>
      <c r="JR33" s="1007">
        <v>0</v>
      </c>
      <c r="JS33" s="1008">
        <v>0</v>
      </c>
      <c r="JT33" s="1007">
        <v>0</v>
      </c>
      <c r="JU33" s="1008"/>
      <c r="JV33" s="1007">
        <v>0</v>
      </c>
      <c r="JW33" s="1008" t="s">
        <v>197</v>
      </c>
      <c r="JX33" s="1007">
        <v>0</v>
      </c>
      <c r="JY33" s="1008"/>
      <c r="JZ33" s="1007">
        <v>0</v>
      </c>
      <c r="KA33" s="1008"/>
      <c r="KB33" s="1007">
        <v>0</v>
      </c>
      <c r="KC33" s="1008"/>
      <c r="KD33" s="1007">
        <v>0</v>
      </c>
      <c r="KE33" s="1008"/>
      <c r="KF33" s="1007">
        <v>0</v>
      </c>
      <c r="KG33" s="1008"/>
      <c r="KH33" s="1007">
        <v>0</v>
      </c>
      <c r="KI33" s="1008"/>
      <c r="KJ33" s="1007">
        <v>0</v>
      </c>
      <c r="KK33" s="1008"/>
      <c r="KL33" s="1007">
        <v>0</v>
      </c>
      <c r="KM33" s="1008"/>
      <c r="KN33" s="1007">
        <v>0</v>
      </c>
      <c r="KO33" s="1008"/>
      <c r="KP33" s="1007">
        <v>0</v>
      </c>
      <c r="KQ33" s="1008">
        <v>0</v>
      </c>
      <c r="KR33" s="1007">
        <v>0</v>
      </c>
      <c r="KS33" s="1008">
        <v>0</v>
      </c>
      <c r="KT33" s="1007">
        <v>0</v>
      </c>
      <c r="KU33" s="1008" t="s">
        <v>260</v>
      </c>
      <c r="KV33" s="1007">
        <v>2.4379097600000001</v>
      </c>
      <c r="KW33" s="1008">
        <v>0</v>
      </c>
      <c r="KX33" s="1007">
        <v>0</v>
      </c>
      <c r="KY33" s="1008">
        <v>0</v>
      </c>
      <c r="KZ33" s="1007">
        <v>0</v>
      </c>
      <c r="LA33" s="1008">
        <v>0</v>
      </c>
      <c r="LB33" s="1007">
        <v>0</v>
      </c>
      <c r="LC33" s="1008">
        <v>0</v>
      </c>
      <c r="LD33" s="1007">
        <v>0</v>
      </c>
      <c r="LE33" s="1008">
        <v>0</v>
      </c>
      <c r="LF33" s="1007">
        <v>0</v>
      </c>
      <c r="LG33" s="1008">
        <v>0</v>
      </c>
      <c r="LH33" s="1007">
        <v>-2.4621955600000001</v>
      </c>
      <c r="LI33" s="1008">
        <v>0</v>
      </c>
      <c r="LJ33" s="1007">
        <v>0</v>
      </c>
      <c r="LK33" s="1008">
        <v>0</v>
      </c>
      <c r="LL33" s="1007">
        <v>0</v>
      </c>
      <c r="LM33" s="1008" t="s">
        <v>206</v>
      </c>
      <c r="LN33" s="1007">
        <v>-2.0763500000000001</v>
      </c>
      <c r="LO33" s="1008">
        <v>0</v>
      </c>
      <c r="LP33" s="1007">
        <v>0</v>
      </c>
      <c r="LQ33" s="1008">
        <v>0</v>
      </c>
      <c r="LR33" s="1007">
        <v>0.81478479999999998</v>
      </c>
      <c r="LS33" s="1008">
        <v>0</v>
      </c>
      <c r="LT33" s="1007">
        <v>0</v>
      </c>
      <c r="LU33" s="1008">
        <v>0</v>
      </c>
      <c r="LV33" s="1007">
        <v>0</v>
      </c>
      <c r="LW33" s="1008">
        <v>0</v>
      </c>
      <c r="LX33" s="1007">
        <v>0.15998000000000001</v>
      </c>
      <c r="LY33" s="1009">
        <v>0</v>
      </c>
      <c r="LZ33" s="1010">
        <v>-0.89886719999999898</v>
      </c>
      <c r="MA33" s="1011" t="s">
        <v>206</v>
      </c>
      <c r="MB33" s="1012">
        <v>-5.7251119200000007</v>
      </c>
      <c r="MC33" s="995"/>
      <c r="MD33" s="996"/>
      <c r="ME33" s="997" t="s">
        <v>238</v>
      </c>
      <c r="MF33" s="997">
        <f t="shared" si="39"/>
        <v>46</v>
      </c>
      <c r="MG33" s="998"/>
      <c r="NR33" s="1000"/>
      <c r="NS33" s="1000"/>
      <c r="NT33" s="1001"/>
      <c r="NU33" s="1000"/>
      <c r="NV33" s="1001"/>
      <c r="NX33" s="1002"/>
      <c r="NZ33" s="1001"/>
      <c r="OA33" s="1001"/>
      <c r="OC33" s="1003"/>
      <c r="OD33" s="1003"/>
      <c r="OE33" s="1001"/>
      <c r="OF33" s="1003"/>
      <c r="OG33" s="1003"/>
      <c r="QX33" s="1000">
        <f>CN33-CA33</f>
        <v>46</v>
      </c>
      <c r="ASU33" s="999" t="s">
        <v>208</v>
      </c>
    </row>
    <row r="34" spans="1:466 1191:1191" ht="21" customHeight="1" x14ac:dyDescent="0.25">
      <c r="A34" s="982" t="str">
        <f t="shared" si="0"/>
        <v>4-2</v>
      </c>
      <c r="B34" s="124">
        <f>SUBTOTAL(103,$J$29:J34)</f>
        <v>6</v>
      </c>
      <c r="C34" s="126">
        <v>45096</v>
      </c>
      <c r="D34" s="124" t="s">
        <v>176</v>
      </c>
      <c r="E34" s="127" t="s">
        <v>177</v>
      </c>
      <c r="F34" s="128" t="s">
        <v>177</v>
      </c>
      <c r="G34" s="127" t="s">
        <v>178</v>
      </c>
      <c r="H34" s="127" t="s">
        <v>226</v>
      </c>
      <c r="I34" s="127" t="s">
        <v>242</v>
      </c>
      <c r="J34" s="152" t="s">
        <v>261</v>
      </c>
      <c r="K34" s="127" t="s">
        <v>262</v>
      </c>
      <c r="L34" s="130">
        <v>35292</v>
      </c>
      <c r="M34" s="127" t="s">
        <v>230</v>
      </c>
      <c r="N34" s="127" t="s">
        <v>245</v>
      </c>
      <c r="O34" s="127" t="s">
        <v>185</v>
      </c>
      <c r="P34" s="127" t="s">
        <v>225</v>
      </c>
      <c r="Q34" s="85" t="str">
        <f t="shared" si="40"/>
        <v/>
      </c>
      <c r="R34" s="130"/>
      <c r="S34" s="128" t="s">
        <v>156</v>
      </c>
      <c r="T34" s="131"/>
      <c r="U34" s="132">
        <v>203</v>
      </c>
      <c r="V34" s="121">
        <v>218.2</v>
      </c>
      <c r="W34" s="116">
        <v>0.98</v>
      </c>
      <c r="X34" s="116">
        <v>1.66</v>
      </c>
      <c r="Y34" s="116">
        <f t="shared" si="1"/>
        <v>0.98185013688444245</v>
      </c>
      <c r="Z34" s="133">
        <v>1.454</v>
      </c>
      <c r="AA34" s="133">
        <v>0.83599999999999997</v>
      </c>
      <c r="AB34" s="133">
        <v>0.72</v>
      </c>
      <c r="AC34" s="121">
        <v>34.299999999999997</v>
      </c>
      <c r="AD34" s="134">
        <v>1.17</v>
      </c>
      <c r="AE34" s="124">
        <v>177.8</v>
      </c>
      <c r="AF34" s="128">
        <v>8.0500000000000007</v>
      </c>
      <c r="AG34" s="128" t="s">
        <v>263</v>
      </c>
      <c r="AH34" s="127">
        <v>2432</v>
      </c>
      <c r="AI34" s="127">
        <v>2432</v>
      </c>
      <c r="AJ34" s="135"/>
      <c r="AK34" s="128"/>
      <c r="AL34" s="131"/>
      <c r="AM34" s="124" t="s">
        <v>187</v>
      </c>
      <c r="AN34" s="136" t="s">
        <v>264</v>
      </c>
      <c r="AO34" s="137">
        <v>88.42</v>
      </c>
      <c r="AP34" s="128">
        <v>1879</v>
      </c>
      <c r="AQ34" s="128">
        <v>15.5</v>
      </c>
      <c r="AR34" s="128" t="s">
        <v>265</v>
      </c>
      <c r="AS34" s="128">
        <v>139.69999999999999</v>
      </c>
      <c r="AT34" s="122">
        <v>7.72</v>
      </c>
      <c r="AU34" s="124" t="s">
        <v>189</v>
      </c>
      <c r="AV34" s="115">
        <f>VLOOKUP(J34,'[63]ТР нефть'!$J$28:$BP$638,39,0)</f>
        <v>509.93040000000002</v>
      </c>
      <c r="AW34" s="115" t="str">
        <f>VLOOKUP(J34,'[63]ТР нефть'!$J$28:$BP$638,40,0)</f>
        <v>ГК 80 1/8</v>
      </c>
      <c r="AX34" s="115">
        <f>VLOOKUP(J34,'[63]ТР нефть'!$J$28:$BP$638,41,0)</f>
        <v>900.07439999999997</v>
      </c>
      <c r="AY34" s="115" t="str">
        <f>VLOOKUP(J34,'[63]ТР нефть'!$J$28:$BP$638,42,0)</f>
        <v>ГК 80 1/8</v>
      </c>
      <c r="AZ34" s="115">
        <f>VLOOKUP(J34,'[63]ТР нефть'!$J$28:$BP$638,43,0)</f>
        <v>1210.056</v>
      </c>
      <c r="BA34" s="115" t="str">
        <f>VLOOKUP(J34,'[63]ТР нефть'!$J$28:$BP$638,44,0)</f>
        <v>ГК 78 1/8</v>
      </c>
      <c r="BB34" s="115">
        <f>VLOOKUP(J34,'[63]ТР нефть'!$J$28:$BP$638,45,0)</f>
        <v>1459.992</v>
      </c>
      <c r="BC34" s="115" t="str">
        <f>VLOOKUP(J34,'[63]ТР нефть'!$J$28:$BP$638,46,0)</f>
        <v>ГК 75 1/8</v>
      </c>
      <c r="BD34" s="115">
        <f>VLOOKUP(J34,'[63]ТР нефть'!$J$28:$BP$638,47,0)</f>
        <v>1699.8696</v>
      </c>
      <c r="BE34" s="115" t="str">
        <f>VLOOKUP(J34,'[63]ТР нефть'!$J$28:$BP$638,48,0)</f>
        <v>ЦКсОК 5/16</v>
      </c>
      <c r="BF34" s="115" t="str">
        <f>VLOOKUP(J34,'[63]ТР нефть'!$J$28:$BP$638,49,0)</f>
        <v>-</v>
      </c>
      <c r="BG34" s="115" t="str">
        <f>VLOOKUP(J34,'[63]ТР нефть'!$J$28:$BP$638,50,0)</f>
        <v>-</v>
      </c>
      <c r="BH34" s="115">
        <f>VLOOKUP(J34,'[63]ТР нефть'!$J$28:$BP$638,51,0)</f>
        <v>1810</v>
      </c>
      <c r="BI34" s="115" t="str">
        <f>VLOOKUP(J34,'[63]ТР нефть'!$J$28:$BP$638,52,0)</f>
        <v xml:space="preserve">закрыт </v>
      </c>
      <c r="BJ34" s="115" t="str">
        <f>IF(IFERROR(VLOOKUP(J34,'[63]ТР нефть'!$J$28:$BP$638,53,0),"-")=0,"-",IFERROR(VLOOKUP(J34,'[63]ТР нефть'!$J$28:$BP$638,53,0),"-"))</f>
        <v>-</v>
      </c>
      <c r="BK34" s="138" t="str">
        <f>IF(IFERROR(VLOOKUP(J34,'[63]ТР нефть'!$J$28:$BP$638,54,0),"-")=0,"-",IFERROR(VLOOKUP(J34,'[63]ТР нефть'!$J$28:$BP$638,54,0),"-"))</f>
        <v>-</v>
      </c>
      <c r="BL34" s="138" t="str">
        <f>IF(IFERROR(VLOOKUP(J34,'[63]ТР нефть'!$J$28:$BP$638,55,0),"-")=0,"-",IFERROR(VLOOKUP(J34,'[63]ТР нефть'!$J$28:$BP$638,55,0),"-"))</f>
        <v>-</v>
      </c>
      <c r="BM34" s="138" t="str">
        <f>IF(IFERROR(VLOOKUP(J34,'[63]ТР нефть'!$J$28:$BP$638,56,0),"-")=0,"-",IFERROR(VLOOKUP(J34,'[63]ТР нефть'!$J$28:$BP$638,56,0),"-"))</f>
        <v>-</v>
      </c>
      <c r="BN34" s="138" t="str">
        <f>IF(IFERROR(VLOOKUP(J34,'[63]ТР нефть'!$J$28:$BP$638,57,0),"-")=0,"-",IFERROR(VLOOKUP(J34,'[63]ТР нефть'!$J$28:$BP$638,57,0),"-"))</f>
        <v>-</v>
      </c>
      <c r="BO34" s="115" t="str">
        <f>IF(IFERROR(VLOOKUP(J34,'[63]ТР нефть'!$J$28:$BP$638,58,0),"-")=0,"-",IFERROR(VLOOKUP(J34,'[63]ТР нефть'!$J$28:$BP$638,58,0),"-"))</f>
        <v>-</v>
      </c>
      <c r="BP34" s="115" t="str">
        <f>IF(IFERROR(VLOOKUP(J34,'[63]ТР нефть'!$J$28:$BP$638,59,0),"-")=0,"-",IFERROR(VLOOKUP(J34,'[63]ТР нефть'!$J$28:$BP$638,59,0),"-"))</f>
        <v>-</v>
      </c>
      <c r="BQ34" s="138">
        <v>2429</v>
      </c>
      <c r="BR34" s="128">
        <v>1951.2</v>
      </c>
      <c r="BS34" s="115">
        <f t="shared" si="2"/>
        <v>477.79999999999995</v>
      </c>
      <c r="BT34" s="128">
        <v>73</v>
      </c>
      <c r="BU34" s="128">
        <v>5.5</v>
      </c>
      <c r="BV34" s="127">
        <v>65</v>
      </c>
      <c r="BW34" s="127" t="s">
        <v>217</v>
      </c>
      <c r="BX34" s="127" t="s">
        <v>218</v>
      </c>
      <c r="BY34" s="139">
        <v>24</v>
      </c>
      <c r="BZ34" s="139">
        <v>24</v>
      </c>
      <c r="CA34" s="115">
        <v>18</v>
      </c>
      <c r="CB34" s="115">
        <v>36</v>
      </c>
      <c r="CC34" s="115">
        <v>17</v>
      </c>
      <c r="CD34" s="135">
        <v>45017</v>
      </c>
      <c r="CE34" s="138">
        <v>76</v>
      </c>
      <c r="CF34" s="138">
        <v>67</v>
      </c>
      <c r="CG34" s="138" t="str">
        <f t="shared" si="3"/>
        <v>В работе</v>
      </c>
      <c r="CH34" s="138" t="s">
        <v>235</v>
      </c>
      <c r="CI34" s="138">
        <v>6</v>
      </c>
      <c r="CJ34" s="139"/>
      <c r="CK34" s="138"/>
      <c r="CL34" s="99"/>
      <c r="CM34" s="99"/>
      <c r="CN34" s="140">
        <v>41</v>
      </c>
      <c r="CO34" s="141">
        <f t="shared" si="4"/>
        <v>2.9125403999999997</v>
      </c>
      <c r="CP34" s="142">
        <v>3.5</v>
      </c>
      <c r="CQ34" s="119">
        <v>0.46</v>
      </c>
      <c r="CR34" s="115">
        <v>6.9</v>
      </c>
      <c r="CS34" s="139">
        <v>3.55</v>
      </c>
      <c r="CT34" s="138"/>
      <c r="CU34" s="138">
        <f t="shared" si="5"/>
        <v>3.3500000000000005</v>
      </c>
      <c r="CV34" s="115">
        <f t="shared" si="6"/>
        <v>1150.1986375879974</v>
      </c>
      <c r="CW34" s="115">
        <f t="shared" si="7"/>
        <v>1211.114606854117</v>
      </c>
      <c r="CX34" s="133">
        <f t="shared" si="8"/>
        <v>0.1</v>
      </c>
      <c r="CY34" s="116"/>
      <c r="CZ34" s="131"/>
      <c r="DA34" s="145" t="str">
        <f t="shared" si="9"/>
        <v>Газлифт</v>
      </c>
      <c r="DB34" s="146">
        <f t="shared" si="10"/>
        <v>2.9125403999999997</v>
      </c>
      <c r="DC34" s="142">
        <f t="shared" si="11"/>
        <v>3.5</v>
      </c>
      <c r="DD34" s="119">
        <f t="shared" si="12"/>
        <v>0.46</v>
      </c>
      <c r="DE34" s="115">
        <f t="shared" si="13"/>
        <v>3.3500000000000005</v>
      </c>
      <c r="DF34" s="121">
        <f t="shared" si="14"/>
        <v>3.55</v>
      </c>
      <c r="DG34" s="115">
        <f t="shared" si="15"/>
        <v>1150.1986375879974</v>
      </c>
      <c r="DH34" s="115">
        <f t="shared" si="16"/>
        <v>41</v>
      </c>
      <c r="DI34" s="147"/>
      <c r="DJ34" s="111" t="s">
        <v>197</v>
      </c>
      <c r="DK34" s="112">
        <v>42327</v>
      </c>
      <c r="DL34" s="113">
        <f t="shared" ca="1" si="17"/>
        <v>2777</v>
      </c>
      <c r="DM34" s="114"/>
      <c r="DN34" s="114"/>
      <c r="DO34" s="114"/>
      <c r="DP34" s="114"/>
      <c r="DQ34" s="112">
        <v>42430</v>
      </c>
      <c r="DR34" s="114" t="s">
        <v>198</v>
      </c>
      <c r="DS34" s="114"/>
      <c r="DT34" s="115">
        <v>40</v>
      </c>
      <c r="DU34" s="116">
        <f t="shared" si="18"/>
        <v>9.9264705882352963E-2</v>
      </c>
      <c r="DV34" s="117">
        <f t="shared" si="19"/>
        <v>2.9737282235294118</v>
      </c>
      <c r="DW34" s="118">
        <f t="shared" si="20"/>
        <v>3.5735294117647065</v>
      </c>
      <c r="DX34" s="119">
        <f t="shared" si="21"/>
        <v>0.46</v>
      </c>
      <c r="DY34" s="115">
        <f t="shared" si="22"/>
        <v>3.4203781512605049</v>
      </c>
      <c r="DZ34" s="117">
        <f t="shared" si="23"/>
        <v>6.11878235294121E-2</v>
      </c>
      <c r="EA34" s="120">
        <f t="shared" si="23"/>
        <v>7.3529411764706509E-2</v>
      </c>
      <c r="EB34" s="119">
        <f t="shared" si="23"/>
        <v>0</v>
      </c>
      <c r="EC34" s="121">
        <f t="shared" si="24"/>
        <v>7.0378151260504396E-2</v>
      </c>
      <c r="ED34" s="122"/>
      <c r="EE34" s="145">
        <v>65</v>
      </c>
      <c r="EF34" s="115">
        <v>18</v>
      </c>
      <c r="EG34" s="115">
        <v>36</v>
      </c>
      <c r="EH34" s="115">
        <v>17</v>
      </c>
      <c r="EI34" s="128" t="s">
        <v>218</v>
      </c>
      <c r="EJ34" s="121">
        <v>24</v>
      </c>
      <c r="EK34" s="121">
        <v>24</v>
      </c>
      <c r="EL34" s="149">
        <v>2.9125403999999997</v>
      </c>
      <c r="EM34" s="142">
        <v>3.5</v>
      </c>
      <c r="EN34" s="119">
        <v>0.46</v>
      </c>
      <c r="EO34" s="115">
        <v>6.9</v>
      </c>
      <c r="EP34" s="115">
        <v>1150.1986375879974</v>
      </c>
      <c r="EQ34" s="115">
        <v>65</v>
      </c>
      <c r="ER34" s="115">
        <v>3.55</v>
      </c>
      <c r="ES34" s="115">
        <v>41</v>
      </c>
      <c r="ET34" s="150">
        <v>0.1</v>
      </c>
      <c r="EU34" s="145">
        <f t="shared" si="25"/>
        <v>65</v>
      </c>
      <c r="EV34" s="115">
        <f t="shared" si="26"/>
        <v>18</v>
      </c>
      <c r="EW34" s="115">
        <f t="shared" si="26"/>
        <v>36</v>
      </c>
      <c r="EX34" s="115">
        <f t="shared" si="26"/>
        <v>17</v>
      </c>
      <c r="EY34" s="115" t="str">
        <f t="shared" si="27"/>
        <v>Периодический</v>
      </c>
      <c r="EZ34" s="115">
        <f t="shared" si="27"/>
        <v>24</v>
      </c>
      <c r="FA34" s="115">
        <f t="shared" si="27"/>
        <v>24</v>
      </c>
      <c r="FB34" s="149">
        <f t="shared" si="28"/>
        <v>2.9125403999999997</v>
      </c>
      <c r="FC34" s="142">
        <f t="shared" si="28"/>
        <v>3.5</v>
      </c>
      <c r="FD34" s="119">
        <f t="shared" si="28"/>
        <v>0.46</v>
      </c>
      <c r="FE34" s="121">
        <f t="shared" si="28"/>
        <v>6.9</v>
      </c>
      <c r="FF34" s="121">
        <f t="shared" si="29"/>
        <v>1150.1986375879974</v>
      </c>
      <c r="FG34" s="121">
        <f t="shared" si="30"/>
        <v>67</v>
      </c>
      <c r="FH34" s="121">
        <f t="shared" si="31"/>
        <v>3.55</v>
      </c>
      <c r="FI34" s="121">
        <f t="shared" si="32"/>
        <v>41</v>
      </c>
      <c r="FJ34" s="144">
        <f t="shared" si="33"/>
        <v>0.1</v>
      </c>
      <c r="FK34" s="132">
        <f t="shared" si="34"/>
        <v>0</v>
      </c>
      <c r="FL34" s="115">
        <f t="shared" si="34"/>
        <v>0</v>
      </c>
      <c r="FM34" s="115">
        <f t="shared" si="34"/>
        <v>0</v>
      </c>
      <c r="FN34" s="115">
        <f t="shared" si="34"/>
        <v>0</v>
      </c>
      <c r="FO34" s="115">
        <f t="shared" si="35"/>
        <v>0</v>
      </c>
      <c r="FP34" s="115">
        <f t="shared" si="35"/>
        <v>0</v>
      </c>
      <c r="FQ34" s="149">
        <f t="shared" si="35"/>
        <v>0</v>
      </c>
      <c r="FR34" s="142">
        <f t="shared" si="35"/>
        <v>0</v>
      </c>
      <c r="FS34" s="119">
        <f t="shared" si="35"/>
        <v>0</v>
      </c>
      <c r="FT34" s="121">
        <f t="shared" si="35"/>
        <v>0</v>
      </c>
      <c r="FU34" s="121">
        <f t="shared" si="36"/>
        <v>2</v>
      </c>
      <c r="FV34" s="121">
        <f t="shared" si="36"/>
        <v>0</v>
      </c>
      <c r="FW34" s="121">
        <f t="shared" si="37"/>
        <v>0</v>
      </c>
      <c r="FX34" s="121">
        <f t="shared" si="38"/>
        <v>0</v>
      </c>
      <c r="FY34" s="144">
        <f t="shared" si="38"/>
        <v>0</v>
      </c>
      <c r="FZ34" s="145"/>
      <c r="GA34" s="151" t="s">
        <v>266</v>
      </c>
      <c r="GB34" s="145"/>
      <c r="GC34" s="151" t="s">
        <v>237</v>
      </c>
      <c r="GD34" s="997" t="s">
        <v>238</v>
      </c>
      <c r="GE34" s="1004"/>
      <c r="GF34" s="1004">
        <v>0</v>
      </c>
      <c r="GG34" s="1004"/>
      <c r="GH34" s="1004">
        <v>0</v>
      </c>
      <c r="GI34" s="145"/>
      <c r="GJ34" s="996">
        <v>0</v>
      </c>
      <c r="GK34" s="145"/>
      <c r="GL34" s="996">
        <v>0</v>
      </c>
      <c r="GM34" s="1005"/>
      <c r="GN34" s="996">
        <v>0</v>
      </c>
      <c r="GO34" s="1006"/>
      <c r="GP34" s="996">
        <v>0</v>
      </c>
      <c r="GQ34" s="1006" t="s">
        <v>204</v>
      </c>
      <c r="GR34" s="996">
        <v>-1.2494856000000003</v>
      </c>
      <c r="GS34" s="1006"/>
      <c r="GT34" s="996">
        <v>0</v>
      </c>
      <c r="GU34" s="1006"/>
      <c r="GV34" s="996">
        <v>0</v>
      </c>
      <c r="GW34" s="1006"/>
      <c r="GX34" s="997">
        <v>0</v>
      </c>
      <c r="GY34" s="1006"/>
      <c r="GZ34" s="996">
        <v>0</v>
      </c>
      <c r="HA34" s="1006"/>
      <c r="HB34" s="996">
        <v>0</v>
      </c>
      <c r="HC34" s="1006"/>
      <c r="HD34" s="996">
        <v>0.91165800000000008</v>
      </c>
      <c r="HE34" s="1006"/>
      <c r="HF34" s="996">
        <v>-0.56881440000000039</v>
      </c>
      <c r="HG34" s="1006" t="s">
        <v>199</v>
      </c>
      <c r="HH34" s="996">
        <v>0</v>
      </c>
      <c r="HI34" s="1006"/>
      <c r="HJ34" s="996">
        <v>0</v>
      </c>
      <c r="HK34" s="1006" t="s">
        <v>199</v>
      </c>
      <c r="HL34" s="996">
        <v>-2.8688175999999994</v>
      </c>
      <c r="HM34" s="1006" t="s">
        <v>199</v>
      </c>
      <c r="HN34" s="996">
        <v>2.8424</v>
      </c>
      <c r="HO34" s="1006"/>
      <c r="HP34" s="996">
        <v>0</v>
      </c>
      <c r="HQ34" s="1006"/>
      <c r="HR34" s="996">
        <v>0</v>
      </c>
      <c r="HS34" s="1006"/>
      <c r="HT34" s="996">
        <v>0</v>
      </c>
      <c r="HU34" s="1006"/>
      <c r="HV34" s="996">
        <v>0.80506799999999989</v>
      </c>
      <c r="HW34" s="1006"/>
      <c r="HX34" s="996">
        <v>0.19645999999999963</v>
      </c>
      <c r="HY34" s="1006"/>
      <c r="HZ34" s="996">
        <v>-0.88030799999999987</v>
      </c>
      <c r="IA34" s="1006"/>
      <c r="IB34" s="996">
        <v>0.4138200000000003</v>
      </c>
      <c r="IC34" s="1006" t="s">
        <v>204</v>
      </c>
      <c r="ID34" s="996">
        <v>-2.1234400000000004</v>
      </c>
      <c r="IE34" s="1006"/>
      <c r="IF34" s="996">
        <v>0.87780000000000058</v>
      </c>
      <c r="IG34" s="1006"/>
      <c r="IH34" s="996">
        <v>0</v>
      </c>
      <c r="II34" s="1006"/>
      <c r="IJ34" s="996">
        <v>0</v>
      </c>
      <c r="IK34" s="1006"/>
      <c r="IL34" s="996">
        <v>0</v>
      </c>
      <c r="IM34" s="1006"/>
      <c r="IN34" s="996">
        <v>0</v>
      </c>
      <c r="IO34" s="1006"/>
      <c r="IP34" s="996">
        <v>-0.45980000000000043</v>
      </c>
      <c r="IQ34" s="1006"/>
      <c r="IR34" s="996">
        <v>0</v>
      </c>
      <c r="IS34" s="1006"/>
      <c r="IT34" s="996">
        <v>0</v>
      </c>
      <c r="IU34" s="1006"/>
      <c r="IV34" s="996">
        <v>0</v>
      </c>
      <c r="IW34" s="1006"/>
      <c r="IX34" s="996">
        <v>0</v>
      </c>
      <c r="IY34" s="1006"/>
      <c r="IZ34" s="996">
        <v>0</v>
      </c>
      <c r="JA34" s="1006"/>
      <c r="JB34" s="996">
        <v>0</v>
      </c>
      <c r="JC34" s="1006"/>
      <c r="JD34" s="996">
        <v>0</v>
      </c>
      <c r="JE34" s="1006"/>
      <c r="JF34" s="996">
        <v>0</v>
      </c>
      <c r="JG34" s="1006"/>
      <c r="JH34" s="996">
        <v>0</v>
      </c>
      <c r="JI34" s="1006"/>
      <c r="JJ34" s="996">
        <v>0</v>
      </c>
      <c r="JK34" s="1007"/>
      <c r="JL34" s="1007">
        <v>0</v>
      </c>
      <c r="JM34" s="1007"/>
      <c r="JN34" s="1007">
        <v>0</v>
      </c>
      <c r="JO34" s="1008"/>
      <c r="JP34" s="1007">
        <v>0</v>
      </c>
      <c r="JQ34" s="1008">
        <v>0</v>
      </c>
      <c r="JR34" s="1007">
        <v>0</v>
      </c>
      <c r="JS34" s="1008">
        <v>0</v>
      </c>
      <c r="JT34" s="1007">
        <v>0</v>
      </c>
      <c r="JU34" s="1008"/>
      <c r="JV34" s="1007">
        <v>0</v>
      </c>
      <c r="JW34" s="1008" t="s">
        <v>197</v>
      </c>
      <c r="JX34" s="1007">
        <v>0</v>
      </c>
      <c r="JY34" s="1008"/>
      <c r="JZ34" s="1007">
        <v>0</v>
      </c>
      <c r="KA34" s="1008"/>
      <c r="KB34" s="1007">
        <v>0</v>
      </c>
      <c r="KC34" s="1008"/>
      <c r="KD34" s="1007">
        <v>0</v>
      </c>
      <c r="KE34" s="1008"/>
      <c r="KF34" s="1007">
        <v>0</v>
      </c>
      <c r="KG34" s="1008"/>
      <c r="KH34" s="1007">
        <v>0</v>
      </c>
      <c r="KI34" s="1008"/>
      <c r="KJ34" s="1007">
        <v>0</v>
      </c>
      <c r="KK34" s="1008"/>
      <c r="KL34" s="1007">
        <v>0</v>
      </c>
      <c r="KM34" s="1008"/>
      <c r="KN34" s="1007">
        <v>0</v>
      </c>
      <c r="KO34" s="1008" t="s">
        <v>206</v>
      </c>
      <c r="KP34" s="1007">
        <v>-2.7587999999999999</v>
      </c>
      <c r="KQ34" s="1008" t="s">
        <v>207</v>
      </c>
      <c r="KR34" s="1007">
        <v>4.0128000000000004</v>
      </c>
      <c r="KS34" s="1008" t="s">
        <v>207</v>
      </c>
      <c r="KT34" s="1007">
        <v>-4.597999999999999</v>
      </c>
      <c r="KU34" s="1008">
        <v>0</v>
      </c>
      <c r="KV34" s="1007">
        <v>0</v>
      </c>
      <c r="KW34" s="1008" t="s">
        <v>204</v>
      </c>
      <c r="KX34" s="1007">
        <v>-2.5080000000000009</v>
      </c>
      <c r="KY34" s="1008" t="s">
        <v>204</v>
      </c>
      <c r="KZ34" s="1007">
        <v>-3.1768000000000001</v>
      </c>
      <c r="LA34" s="1008">
        <v>0</v>
      </c>
      <c r="LB34" s="1007">
        <v>0</v>
      </c>
      <c r="LC34" s="1008" t="s">
        <v>204</v>
      </c>
      <c r="LD34" s="1007">
        <v>7.6268280000000006</v>
      </c>
      <c r="LE34" s="1008">
        <v>0</v>
      </c>
      <c r="LF34" s="1007">
        <v>0</v>
      </c>
      <c r="LG34" s="1008">
        <v>0</v>
      </c>
      <c r="LH34" s="1007">
        <v>-6.2265279999999992</v>
      </c>
      <c r="LI34" s="1008">
        <v>0</v>
      </c>
      <c r="LJ34" s="1007">
        <v>0</v>
      </c>
      <c r="LK34" s="1008">
        <v>0</v>
      </c>
      <c r="LL34" s="1007">
        <v>0</v>
      </c>
      <c r="LM34" s="1008">
        <v>0</v>
      </c>
      <c r="LN34" s="1007">
        <v>0</v>
      </c>
      <c r="LO34" s="1008">
        <v>0</v>
      </c>
      <c r="LP34" s="1007">
        <v>0</v>
      </c>
      <c r="LQ34" s="1008">
        <v>0</v>
      </c>
      <c r="LR34" s="1007">
        <v>-0.29465656200000001</v>
      </c>
      <c r="LS34" s="1008" t="s">
        <v>206</v>
      </c>
      <c r="LT34" s="1007">
        <v>-2.8658576</v>
      </c>
      <c r="LU34" s="1008">
        <v>0</v>
      </c>
      <c r="LV34" s="1007">
        <v>0</v>
      </c>
      <c r="LW34" s="1008">
        <v>0</v>
      </c>
      <c r="LX34" s="1007">
        <v>1.2665567200000005</v>
      </c>
      <c r="LY34" s="1009" t="s">
        <v>206</v>
      </c>
      <c r="LZ34" s="1010">
        <v>-3.2774543999999981</v>
      </c>
      <c r="MA34" s="1011" t="s">
        <v>206</v>
      </c>
      <c r="MB34" s="1012">
        <v>-6.6773167559999997</v>
      </c>
      <c r="MC34" s="995"/>
      <c r="MD34" s="996"/>
      <c r="ME34" s="997" t="s">
        <v>238</v>
      </c>
      <c r="MF34" s="997">
        <f t="shared" si="39"/>
        <v>23</v>
      </c>
      <c r="MG34" s="998"/>
      <c r="NR34" s="1000"/>
      <c r="NS34" s="1000"/>
      <c r="NT34" s="1001"/>
      <c r="NU34" s="1000"/>
      <c r="NV34" s="1001"/>
      <c r="NX34" s="1002"/>
      <c r="NZ34" s="1001"/>
      <c r="OA34" s="1001"/>
      <c r="OC34" s="1003"/>
      <c r="OD34" s="1003"/>
      <c r="OE34" s="1001"/>
      <c r="OF34" s="1003"/>
      <c r="OG34" s="1003"/>
      <c r="OH34" s="1003"/>
      <c r="OI34" s="1016"/>
      <c r="QX34" s="1000">
        <f>CN34-CA34</f>
        <v>23</v>
      </c>
      <c r="ASU34" s="999" t="s">
        <v>225</v>
      </c>
    </row>
    <row r="35" spans="1:466 1191:1191" ht="21" customHeight="1" x14ac:dyDescent="0.25">
      <c r="A35" s="982" t="str">
        <f t="shared" si="0"/>
        <v>4-1</v>
      </c>
      <c r="B35" s="124">
        <f>SUBTOTAL(103,$J$29:J35)</f>
        <v>7</v>
      </c>
      <c r="C35" s="126">
        <v>45096</v>
      </c>
      <c r="D35" s="124" t="s">
        <v>176</v>
      </c>
      <c r="E35" s="127" t="s">
        <v>177</v>
      </c>
      <c r="F35" s="128" t="s">
        <v>177</v>
      </c>
      <c r="G35" s="127" t="s">
        <v>178</v>
      </c>
      <c r="H35" s="127" t="s">
        <v>226</v>
      </c>
      <c r="I35" s="127" t="s">
        <v>242</v>
      </c>
      <c r="J35" s="152" t="s">
        <v>267</v>
      </c>
      <c r="K35" s="127" t="s">
        <v>262</v>
      </c>
      <c r="L35" s="130">
        <v>34795</v>
      </c>
      <c r="M35" s="127" t="s">
        <v>230</v>
      </c>
      <c r="N35" s="127" t="s">
        <v>245</v>
      </c>
      <c r="O35" s="127" t="s">
        <v>185</v>
      </c>
      <c r="P35" s="127" t="s">
        <v>208</v>
      </c>
      <c r="Q35" s="85">
        <f t="shared" si="40"/>
        <v>-4</v>
      </c>
      <c r="R35" s="130">
        <v>35396</v>
      </c>
      <c r="S35" s="128" t="s">
        <v>268</v>
      </c>
      <c r="T35" s="131"/>
      <c r="U35" s="132">
        <v>203</v>
      </c>
      <c r="V35" s="121">
        <v>218.2</v>
      </c>
      <c r="W35" s="116">
        <v>0.98</v>
      </c>
      <c r="X35" s="116">
        <v>1.66</v>
      </c>
      <c r="Y35" s="116">
        <f t="shared" si="1"/>
        <v>0.98403097023953534</v>
      </c>
      <c r="Z35" s="133">
        <v>1.454</v>
      </c>
      <c r="AA35" s="133">
        <v>0.83599999999999997</v>
      </c>
      <c r="AB35" s="133">
        <v>0.72</v>
      </c>
      <c r="AC35" s="121">
        <v>34.299999999999997</v>
      </c>
      <c r="AD35" s="134">
        <v>1.17</v>
      </c>
      <c r="AE35" s="124" t="s">
        <v>213</v>
      </c>
      <c r="AF35" s="128" t="s">
        <v>246</v>
      </c>
      <c r="AG35" s="128" t="s">
        <v>269</v>
      </c>
      <c r="AH35" s="127">
        <v>2517</v>
      </c>
      <c r="AI35" s="127">
        <v>2517</v>
      </c>
      <c r="AJ35" s="135"/>
      <c r="AK35" s="128"/>
      <c r="AL35" s="131"/>
      <c r="AM35" s="124" t="s">
        <v>232</v>
      </c>
      <c r="AN35" s="136" t="s">
        <v>270</v>
      </c>
      <c r="AO35" s="137">
        <v>45.019999999999982</v>
      </c>
      <c r="AP35" s="128">
        <v>1976</v>
      </c>
      <c r="AQ35" s="128">
        <v>70.94</v>
      </c>
      <c r="AR35" s="128" t="s">
        <v>271</v>
      </c>
      <c r="AS35" s="128">
        <v>139.69999999999999</v>
      </c>
      <c r="AT35" s="122">
        <v>7.72</v>
      </c>
      <c r="AU35" s="124" t="s">
        <v>189</v>
      </c>
      <c r="AV35" s="115">
        <f>VLOOKUP(J35,'[63]ТР нефть'!$J$28:$BP$638,39,0)</f>
        <v>619.99999775399999</v>
      </c>
      <c r="AW35" s="115" t="str">
        <f>VLOOKUP(J35,'[63]ТР нефть'!$J$28:$BP$638,40,0)</f>
        <v>ГП</v>
      </c>
      <c r="AX35" s="115">
        <f>VLOOKUP(J35,'[63]ТР нефть'!$J$28:$BP$638,41,0)</f>
        <v>1130.000012109</v>
      </c>
      <c r="AY35" s="115" t="str">
        <f>VLOOKUP(J35,'[63]ТР нефть'!$J$28:$BP$638,42,0)</f>
        <v>ГП</v>
      </c>
      <c r="AZ35" s="115">
        <f>VLOOKUP(J35,'[63]ТР нефть'!$J$28:$BP$638,43,0)</f>
        <v>1524.9999761720001</v>
      </c>
      <c r="BA35" s="115" t="str">
        <f>VLOOKUP(J35,'[63]ТР нефть'!$J$28:$BP$638,44,0)</f>
        <v>ГК 85 5/32</v>
      </c>
      <c r="BB35" s="115">
        <f>VLOOKUP(J35,'[63]ТР нефть'!$J$28:$BP$638,45,0)</f>
        <v>1787.999960156</v>
      </c>
      <c r="BC35" s="115" t="str">
        <f>VLOOKUP(J35,'[63]ТР нефть'!$J$28:$BP$638,46,0)</f>
        <v>ЦКсОК 5/16</v>
      </c>
      <c r="BD35" s="115" t="str">
        <f>VLOOKUP(J35,'[63]ТР нефть'!$J$28:$BP$638,47,0)</f>
        <v>-</v>
      </c>
      <c r="BE35" s="115" t="str">
        <f>VLOOKUP(J35,'[63]ТР нефть'!$J$28:$BP$638,48,0)</f>
        <v>-</v>
      </c>
      <c r="BF35" s="115" t="str">
        <f>VLOOKUP(J35,'[63]ТР нефть'!$J$28:$BP$638,49,0)</f>
        <v>-</v>
      </c>
      <c r="BG35" s="115" t="str">
        <f>VLOOKUP(J35,'[63]ТР нефть'!$J$28:$BP$638,50,0)</f>
        <v>-</v>
      </c>
      <c r="BH35" s="115">
        <f>VLOOKUP(J35,'[63]ТР нефть'!$J$28:$BP$638,51,0)</f>
        <v>1780</v>
      </c>
      <c r="BI35" s="115" t="str">
        <f>VLOOKUP(J35,'[63]ТР нефть'!$J$28:$BP$638,52,0)</f>
        <v>открыт</v>
      </c>
      <c r="BJ35" s="115" t="str">
        <f>IF(IFERROR(VLOOKUP(J35,'[63]ТР нефть'!$J$28:$BP$638,53,0),"-")=0,"-",IFERROR(VLOOKUP(J35,'[63]ТР нефть'!$J$28:$BP$638,53,0),"-"))</f>
        <v>-</v>
      </c>
      <c r="BK35" s="138" t="str">
        <f>IF(IFERROR(VLOOKUP(J35,'[63]ТР нефть'!$J$28:$BP$638,54,0),"-")=0,"-",IFERROR(VLOOKUP(J35,'[63]ТР нефть'!$J$28:$BP$638,54,0),"-"))</f>
        <v>-</v>
      </c>
      <c r="BL35" s="138" t="str">
        <f>IF(IFERROR(VLOOKUP(J35,'[63]ТР нефть'!$J$28:$BP$638,55,0),"-")=0,"-",IFERROR(VLOOKUP(J35,'[63]ТР нефть'!$J$28:$BP$638,55,0),"-"))</f>
        <v>-</v>
      </c>
      <c r="BM35" s="138" t="str">
        <f>IF(IFERROR(VLOOKUP(J35,'[63]ТР нефть'!$J$28:$BP$638,56,0),"-")=0,"-",IFERROR(VLOOKUP(J35,'[63]ТР нефть'!$J$28:$BP$638,56,0),"-"))</f>
        <v>-</v>
      </c>
      <c r="BN35" s="138" t="str">
        <f>IF(IFERROR(VLOOKUP(J35,'[63]ТР нефть'!$J$28:$BP$638,57,0),"-")=0,"-",IFERROR(VLOOKUP(J35,'[63]ТР нефть'!$J$28:$BP$638,57,0),"-"))</f>
        <v>-</v>
      </c>
      <c r="BO35" s="115" t="str">
        <f>IF(IFERROR(VLOOKUP(J35,'[63]ТР нефть'!$J$28:$BP$638,58,0),"-")=0,"-",IFERROR(VLOOKUP(J35,'[63]ТР нефть'!$J$28:$BP$638,58,0),"-"))</f>
        <v>-</v>
      </c>
      <c r="BP35" s="115" t="str">
        <f>IF(IFERROR(VLOOKUP(J35,'[63]ТР нефть'!$J$28:$BP$638,59,0),"-")=0,"-",IFERROR(VLOOKUP(J35,'[63]ТР нефть'!$J$28:$BP$638,59,0),"-"))</f>
        <v>-</v>
      </c>
      <c r="BQ35" s="138">
        <v>2020</v>
      </c>
      <c r="BR35" s="128">
        <v>1950.06</v>
      </c>
      <c r="BS35" s="115">
        <f t="shared" si="2"/>
        <v>69.940000000000055</v>
      </c>
      <c r="BT35" s="128">
        <v>73</v>
      </c>
      <c r="BU35" s="128">
        <v>5.5</v>
      </c>
      <c r="BV35" s="127">
        <v>18</v>
      </c>
      <c r="BW35" s="127" t="s">
        <v>234</v>
      </c>
      <c r="BX35" s="127" t="s">
        <v>195</v>
      </c>
      <c r="BY35" s="139">
        <v>24</v>
      </c>
      <c r="BZ35" s="139">
        <v>0</v>
      </c>
      <c r="CA35" s="138">
        <v>19</v>
      </c>
      <c r="CB35" s="138">
        <v>34</v>
      </c>
      <c r="CC35" s="138">
        <v>17</v>
      </c>
      <c r="CD35" s="135">
        <v>45017</v>
      </c>
      <c r="CE35" s="138">
        <v>69</v>
      </c>
      <c r="CF35" s="138">
        <v>69</v>
      </c>
      <c r="CG35" s="138" t="str">
        <f t="shared" si="3"/>
        <v>В работе</v>
      </c>
      <c r="CH35" s="138" t="s">
        <v>272</v>
      </c>
      <c r="CI35" s="138">
        <v>6</v>
      </c>
      <c r="CJ35" s="139"/>
      <c r="CK35" s="138"/>
      <c r="CL35" s="99"/>
      <c r="CM35" s="99"/>
      <c r="CN35" s="140">
        <v>41</v>
      </c>
      <c r="CO35" s="141">
        <f t="shared" si="4"/>
        <v>9.9316799999999983</v>
      </c>
      <c r="CP35" s="142">
        <v>12</v>
      </c>
      <c r="CQ35" s="143">
        <v>1</v>
      </c>
      <c r="CR35" s="138">
        <v>16.7</v>
      </c>
      <c r="CS35" s="139">
        <v>9.4</v>
      </c>
      <c r="CT35" s="138"/>
      <c r="CU35" s="138">
        <f t="shared" si="5"/>
        <v>7.2999999999999989</v>
      </c>
      <c r="CV35" s="115">
        <f t="shared" si="6"/>
        <v>735.02166803602211</v>
      </c>
      <c r="CW35" s="115">
        <f t="shared" si="7"/>
        <v>933.40641706981887</v>
      </c>
      <c r="CX35" s="133">
        <f t="shared" si="8"/>
        <v>0.42857142857142855</v>
      </c>
      <c r="CY35" s="116"/>
      <c r="CZ35" s="131"/>
      <c r="DA35" s="145" t="str">
        <f t="shared" si="9"/>
        <v>Газлифт</v>
      </c>
      <c r="DB35" s="146">
        <f t="shared" si="10"/>
        <v>9.9316799999999983</v>
      </c>
      <c r="DC35" s="142">
        <f t="shared" si="11"/>
        <v>12</v>
      </c>
      <c r="DD35" s="119">
        <f t="shared" si="12"/>
        <v>1</v>
      </c>
      <c r="DE35" s="115">
        <f t="shared" si="13"/>
        <v>7.2999999999999989</v>
      </c>
      <c r="DF35" s="121">
        <f t="shared" si="14"/>
        <v>9.4</v>
      </c>
      <c r="DG35" s="115">
        <f t="shared" si="15"/>
        <v>735.02166803602211</v>
      </c>
      <c r="DH35" s="115">
        <f t="shared" si="16"/>
        <v>41</v>
      </c>
      <c r="DI35" s="147"/>
      <c r="DJ35" s="111" t="s">
        <v>197</v>
      </c>
      <c r="DK35" s="112">
        <v>44489</v>
      </c>
      <c r="DL35" s="113">
        <f t="shared" ca="1" si="17"/>
        <v>615</v>
      </c>
      <c r="DM35" s="114"/>
      <c r="DN35" s="114"/>
      <c r="DO35" s="114"/>
      <c r="DP35" s="114"/>
      <c r="DQ35" s="112">
        <v>42186</v>
      </c>
      <c r="DR35" s="114" t="s">
        <v>198</v>
      </c>
      <c r="DS35" s="114"/>
      <c r="DT35" s="115">
        <v>53</v>
      </c>
      <c r="DU35" s="116">
        <f t="shared" si="18"/>
        <v>0.75</v>
      </c>
      <c r="DV35" s="117">
        <f t="shared" si="19"/>
        <v>9.9316799999999983</v>
      </c>
      <c r="DW35" s="118">
        <f t="shared" si="20"/>
        <v>12</v>
      </c>
      <c r="DX35" s="119">
        <f t="shared" si="21"/>
        <v>1</v>
      </c>
      <c r="DY35" s="115">
        <f t="shared" si="22"/>
        <v>7.2999999999999989</v>
      </c>
      <c r="DZ35" s="117">
        <f t="shared" si="23"/>
        <v>0</v>
      </c>
      <c r="EA35" s="120">
        <f t="shared" si="23"/>
        <v>0</v>
      </c>
      <c r="EB35" s="119">
        <f t="shared" si="23"/>
        <v>0</v>
      </c>
      <c r="EC35" s="121">
        <f t="shared" si="24"/>
        <v>0</v>
      </c>
      <c r="ED35" s="122"/>
      <c r="EE35" s="145">
        <v>18</v>
      </c>
      <c r="EF35" s="115">
        <v>19</v>
      </c>
      <c r="EG35" s="115">
        <v>35</v>
      </c>
      <c r="EH35" s="115">
        <v>18</v>
      </c>
      <c r="EI35" s="128" t="s">
        <v>195</v>
      </c>
      <c r="EJ35" s="121">
        <v>24</v>
      </c>
      <c r="EK35" s="121">
        <v>0</v>
      </c>
      <c r="EL35" s="149">
        <v>9.1959999999999997</v>
      </c>
      <c r="EM35" s="142">
        <v>11</v>
      </c>
      <c r="EN35" s="119">
        <v>0</v>
      </c>
      <c r="EO35" s="115">
        <v>14.8</v>
      </c>
      <c r="EP35" s="115">
        <v>663.3318834275774</v>
      </c>
      <c r="EQ35" s="115">
        <v>65</v>
      </c>
      <c r="ER35" s="115">
        <v>8.6999999999999993</v>
      </c>
      <c r="ES35" s="115">
        <v>41</v>
      </c>
      <c r="ET35" s="150">
        <v>0.39285714285714285</v>
      </c>
      <c r="EU35" s="145">
        <f t="shared" si="25"/>
        <v>18</v>
      </c>
      <c r="EV35" s="115">
        <f t="shared" si="26"/>
        <v>19</v>
      </c>
      <c r="EW35" s="115">
        <f t="shared" si="26"/>
        <v>34</v>
      </c>
      <c r="EX35" s="115">
        <f t="shared" si="26"/>
        <v>17</v>
      </c>
      <c r="EY35" s="115" t="str">
        <f t="shared" si="27"/>
        <v>Постоянный</v>
      </c>
      <c r="EZ35" s="115">
        <f t="shared" si="27"/>
        <v>24</v>
      </c>
      <c r="FA35" s="115">
        <f t="shared" si="27"/>
        <v>0</v>
      </c>
      <c r="FB35" s="149">
        <f t="shared" si="28"/>
        <v>9.9316799999999983</v>
      </c>
      <c r="FC35" s="142">
        <f t="shared" si="28"/>
        <v>12</v>
      </c>
      <c r="FD35" s="119">
        <f t="shared" si="28"/>
        <v>1</v>
      </c>
      <c r="FE35" s="121">
        <f t="shared" si="28"/>
        <v>16.7</v>
      </c>
      <c r="FF35" s="121">
        <f t="shared" si="29"/>
        <v>735.02166803602211</v>
      </c>
      <c r="FG35" s="121">
        <f t="shared" si="30"/>
        <v>69</v>
      </c>
      <c r="FH35" s="121">
        <f t="shared" si="31"/>
        <v>9.4</v>
      </c>
      <c r="FI35" s="121">
        <f t="shared" si="32"/>
        <v>41</v>
      </c>
      <c r="FJ35" s="144">
        <f t="shared" si="33"/>
        <v>0.42857142857142855</v>
      </c>
      <c r="FK35" s="132">
        <f t="shared" si="34"/>
        <v>0</v>
      </c>
      <c r="FL35" s="115">
        <f t="shared" si="34"/>
        <v>0</v>
      </c>
      <c r="FM35" s="115">
        <f t="shared" si="34"/>
        <v>-1</v>
      </c>
      <c r="FN35" s="115">
        <f t="shared" si="34"/>
        <v>-1</v>
      </c>
      <c r="FO35" s="115">
        <f t="shared" si="35"/>
        <v>0</v>
      </c>
      <c r="FP35" s="115">
        <f t="shared" si="35"/>
        <v>0</v>
      </c>
      <c r="FQ35" s="149">
        <f t="shared" si="35"/>
        <v>0.73567999999999856</v>
      </c>
      <c r="FR35" s="142">
        <f t="shared" si="35"/>
        <v>1</v>
      </c>
      <c r="FS35" s="119">
        <f t="shared" si="35"/>
        <v>1</v>
      </c>
      <c r="FT35" s="121">
        <f t="shared" si="35"/>
        <v>1.8999999999999986</v>
      </c>
      <c r="FU35" s="121">
        <f t="shared" si="36"/>
        <v>4</v>
      </c>
      <c r="FV35" s="121">
        <f t="shared" si="36"/>
        <v>0.70000000000000107</v>
      </c>
      <c r="FW35" s="121">
        <f t="shared" si="37"/>
        <v>71.689784608444711</v>
      </c>
      <c r="FX35" s="121">
        <f t="shared" si="38"/>
        <v>0</v>
      </c>
      <c r="FY35" s="144">
        <f t="shared" si="38"/>
        <v>3.5714285714285698E-2</v>
      </c>
      <c r="FZ35" s="145"/>
      <c r="GA35" s="151" t="s">
        <v>266</v>
      </c>
      <c r="GB35" s="145" t="s">
        <v>199</v>
      </c>
      <c r="GC35" s="151" t="s">
        <v>273</v>
      </c>
      <c r="GD35" s="997" t="s">
        <v>238</v>
      </c>
      <c r="GE35" s="1004" t="s">
        <v>199</v>
      </c>
      <c r="GF35" s="1004">
        <v>5.7339567999999996</v>
      </c>
      <c r="GG35" s="1004" t="s">
        <v>199</v>
      </c>
      <c r="GH35" s="1004">
        <v>-9.0277967999999991</v>
      </c>
      <c r="GI35" s="145" t="s">
        <v>199</v>
      </c>
      <c r="GJ35" s="996">
        <v>3.3600511999999991</v>
      </c>
      <c r="GK35" s="145" t="s">
        <v>199</v>
      </c>
      <c r="GL35" s="996">
        <v>-1.6084639999999997</v>
      </c>
      <c r="GM35" s="1005" t="s">
        <v>274</v>
      </c>
      <c r="GN35" s="996">
        <v>0.71528159999999907</v>
      </c>
      <c r="GO35" s="1006"/>
      <c r="GP35" s="996">
        <v>0</v>
      </c>
      <c r="GQ35" s="1006"/>
      <c r="GR35" s="996">
        <v>0</v>
      </c>
      <c r="GS35" s="1006"/>
      <c r="GT35" s="996">
        <v>0</v>
      </c>
      <c r="GU35" s="1006"/>
      <c r="GV35" s="996">
        <v>0</v>
      </c>
      <c r="GW35" s="1006"/>
      <c r="GX35" s="997">
        <v>0</v>
      </c>
      <c r="GY35" s="1006" t="s">
        <v>275</v>
      </c>
      <c r="GZ35" s="996">
        <v>-4.1890287999999991</v>
      </c>
      <c r="HA35" s="1006"/>
      <c r="HB35" s="996">
        <v>-0.87111199999999833</v>
      </c>
      <c r="HC35" s="1006"/>
      <c r="HD35" s="996">
        <v>0</v>
      </c>
      <c r="HE35" s="1006"/>
      <c r="HF35" s="996">
        <v>-1.6218399999999633E-2</v>
      </c>
      <c r="HG35" s="1006" t="s">
        <v>204</v>
      </c>
      <c r="HH35" s="996">
        <v>-5.3850104000000005</v>
      </c>
      <c r="HI35" s="1006"/>
      <c r="HJ35" s="996">
        <v>0</v>
      </c>
      <c r="HK35" s="1006" t="s">
        <v>276</v>
      </c>
      <c r="HL35" s="996">
        <v>5.2299323999999991</v>
      </c>
      <c r="HM35" s="1006"/>
      <c r="HN35" s="996">
        <v>0</v>
      </c>
      <c r="HO35" s="1006" t="s">
        <v>221</v>
      </c>
      <c r="HP35" s="996">
        <v>5.8344083999999992</v>
      </c>
      <c r="HQ35" s="1006"/>
      <c r="HR35" s="996">
        <v>0</v>
      </c>
      <c r="HS35" s="1006"/>
      <c r="HT35" s="996">
        <v>0</v>
      </c>
      <c r="HU35" s="1006"/>
      <c r="HV35" s="996">
        <v>0</v>
      </c>
      <c r="HW35" s="1006" t="s">
        <v>221</v>
      </c>
      <c r="HX35" s="996">
        <v>42.763239200000001</v>
      </c>
      <c r="HY35" s="1006"/>
      <c r="HZ35" s="996">
        <v>0</v>
      </c>
      <c r="IA35" s="1006"/>
      <c r="IB35" s="996">
        <v>0</v>
      </c>
      <c r="IC35" s="1006"/>
      <c r="ID35" s="996">
        <v>0</v>
      </c>
      <c r="IE35" s="1006"/>
      <c r="IF35" s="996">
        <v>0</v>
      </c>
      <c r="IG35" s="1006"/>
      <c r="IH35" s="996">
        <v>0</v>
      </c>
      <c r="II35" s="1006"/>
      <c r="IJ35" s="996">
        <v>0</v>
      </c>
      <c r="IK35" s="1006"/>
      <c r="IL35" s="996">
        <v>0</v>
      </c>
      <c r="IM35" s="1006"/>
      <c r="IN35" s="996">
        <v>0</v>
      </c>
      <c r="IO35" s="1006"/>
      <c r="IP35" s="996">
        <v>0</v>
      </c>
      <c r="IQ35" s="1006"/>
      <c r="IR35" s="996">
        <v>0</v>
      </c>
      <c r="IS35" s="1006"/>
      <c r="IT35" s="996">
        <v>0</v>
      </c>
      <c r="IU35" s="1006"/>
      <c r="IV35" s="996">
        <v>0</v>
      </c>
      <c r="IW35" s="1006"/>
      <c r="IX35" s="996">
        <v>0</v>
      </c>
      <c r="IY35" s="1006"/>
      <c r="IZ35" s="996">
        <v>0</v>
      </c>
      <c r="JA35" s="1006"/>
      <c r="JB35" s="996">
        <v>0</v>
      </c>
      <c r="JC35" s="1006"/>
      <c r="JD35" s="996">
        <v>0</v>
      </c>
      <c r="JE35" s="1006"/>
      <c r="JF35" s="996">
        <v>0</v>
      </c>
      <c r="JG35" s="1006"/>
      <c r="JH35" s="996">
        <v>0</v>
      </c>
      <c r="JI35" s="1006"/>
      <c r="JJ35" s="996">
        <v>0</v>
      </c>
      <c r="JK35" s="1007"/>
      <c r="JL35" s="1007">
        <v>0</v>
      </c>
      <c r="JM35" s="1007"/>
      <c r="JN35" s="1007">
        <v>0</v>
      </c>
      <c r="JO35" s="1008" t="s">
        <v>199</v>
      </c>
      <c r="JP35" s="1007">
        <v>-8.7927972000000008</v>
      </c>
      <c r="JQ35" s="1008">
        <v>0</v>
      </c>
      <c r="JR35" s="1007">
        <v>0</v>
      </c>
      <c r="JS35" s="1008">
        <v>0</v>
      </c>
      <c r="JT35" s="1007">
        <v>0</v>
      </c>
      <c r="JU35" s="1008"/>
      <c r="JV35" s="1007">
        <v>0</v>
      </c>
      <c r="JW35" s="1008" t="s">
        <v>197</v>
      </c>
      <c r="JX35" s="1007">
        <v>0</v>
      </c>
      <c r="JY35" s="1008"/>
      <c r="JZ35" s="1007">
        <v>0</v>
      </c>
      <c r="KA35" s="1008" t="s">
        <v>204</v>
      </c>
      <c r="KB35" s="1007">
        <v>-0.83407719999999941</v>
      </c>
      <c r="KC35" s="1008"/>
      <c r="KD35" s="1007">
        <v>0</v>
      </c>
      <c r="KE35" s="1008"/>
      <c r="KF35" s="1007">
        <v>0</v>
      </c>
      <c r="KG35" s="1008"/>
      <c r="KH35" s="1007">
        <v>0</v>
      </c>
      <c r="KI35" s="1008"/>
      <c r="KJ35" s="1007">
        <v>0</v>
      </c>
      <c r="KK35" s="1008"/>
      <c r="KL35" s="1007">
        <v>0</v>
      </c>
      <c r="KM35" s="1008"/>
      <c r="KN35" s="1007">
        <v>0</v>
      </c>
      <c r="KO35" s="1008"/>
      <c r="KP35" s="1007">
        <v>0</v>
      </c>
      <c r="KQ35" s="1008">
        <v>0</v>
      </c>
      <c r="KR35" s="1007">
        <v>0</v>
      </c>
      <c r="KS35" s="1008" t="s">
        <v>206</v>
      </c>
      <c r="KT35" s="1007">
        <v>-2.5022315999999982</v>
      </c>
      <c r="KU35" s="1008">
        <v>0</v>
      </c>
      <c r="KV35" s="1007">
        <v>0</v>
      </c>
      <c r="KW35" s="1008">
        <v>0</v>
      </c>
      <c r="KX35" s="1007">
        <v>0</v>
      </c>
      <c r="KY35" s="1008" t="s">
        <v>204</v>
      </c>
      <c r="KZ35" s="1007">
        <v>-9.1748492000000024</v>
      </c>
      <c r="LA35" s="1008" t="s">
        <v>204</v>
      </c>
      <c r="LB35" s="1007">
        <v>11.426857639999998</v>
      </c>
      <c r="LC35" s="1008">
        <v>0</v>
      </c>
      <c r="LD35" s="1007">
        <v>0</v>
      </c>
      <c r="LE35" s="1008" t="s">
        <v>199</v>
      </c>
      <c r="LF35" s="1007">
        <v>-2.2520084399999956</v>
      </c>
      <c r="LG35" s="1008">
        <v>0</v>
      </c>
      <c r="LH35" s="1007">
        <v>0</v>
      </c>
      <c r="LI35" s="1008">
        <v>0</v>
      </c>
      <c r="LJ35" s="1007">
        <v>0</v>
      </c>
      <c r="LK35" s="1008">
        <v>0</v>
      </c>
      <c r="LL35" s="1007">
        <v>0</v>
      </c>
      <c r="LM35" s="1008">
        <v>0</v>
      </c>
      <c r="LN35" s="1007">
        <v>0</v>
      </c>
      <c r="LO35" s="1008" t="s">
        <v>206</v>
      </c>
      <c r="LP35" s="1007">
        <v>4.9794667999999973</v>
      </c>
      <c r="LQ35" s="1008" t="s">
        <v>206</v>
      </c>
      <c r="LR35" s="1007">
        <v>-5.1282319999999997</v>
      </c>
      <c r="LS35" s="1008">
        <v>0</v>
      </c>
      <c r="LT35" s="1007">
        <v>-0.41791641000000002</v>
      </c>
      <c r="LU35" s="1008">
        <v>0</v>
      </c>
      <c r="LV35" s="1007">
        <v>0.81515130000000002</v>
      </c>
      <c r="LW35" s="1008">
        <v>0</v>
      </c>
      <c r="LX35" s="1007">
        <v>0.51344611999999601</v>
      </c>
      <c r="LY35" s="1009">
        <v>0</v>
      </c>
      <c r="LZ35" s="1010">
        <v>-0.52485751999999897</v>
      </c>
      <c r="MA35" s="1011">
        <v>0</v>
      </c>
      <c r="MB35" s="1012">
        <v>-0.58520000000000005</v>
      </c>
      <c r="MC35" s="995"/>
      <c r="MD35" s="996"/>
      <c r="ME35" s="997" t="s">
        <v>238</v>
      </c>
      <c r="MF35" s="997">
        <f t="shared" si="39"/>
        <v>22</v>
      </c>
      <c r="MG35" s="998"/>
      <c r="NR35" s="1000"/>
      <c r="NS35" s="1000"/>
      <c r="NT35" s="1001"/>
      <c r="NU35" s="1000"/>
      <c r="NV35" s="1001"/>
      <c r="NX35" s="1002"/>
      <c r="NZ35" s="1001"/>
      <c r="OA35" s="1001"/>
      <c r="OC35" s="1003"/>
      <c r="OD35" s="1003"/>
      <c r="OE35" s="1001"/>
      <c r="OF35" s="1003"/>
      <c r="OG35" s="1003"/>
      <c r="QX35" s="1000">
        <f>CN35-CA35</f>
        <v>22</v>
      </c>
      <c r="ASU35" s="999" t="s">
        <v>208</v>
      </c>
    </row>
    <row r="36" spans="1:466 1191:1191" ht="21" customHeight="1" x14ac:dyDescent="0.25">
      <c r="A36" s="982" t="str">
        <f t="shared" si="0"/>
        <v>4-3</v>
      </c>
      <c r="B36" s="124">
        <f>SUBTOTAL(103,$J$29:J36)</f>
        <v>8</v>
      </c>
      <c r="C36" s="126">
        <v>45096</v>
      </c>
      <c r="D36" s="124" t="s">
        <v>176</v>
      </c>
      <c r="E36" s="127" t="s">
        <v>177</v>
      </c>
      <c r="F36" s="128" t="s">
        <v>177</v>
      </c>
      <c r="G36" s="127" t="s">
        <v>178</v>
      </c>
      <c r="H36" s="127" t="s">
        <v>226</v>
      </c>
      <c r="I36" s="127" t="s">
        <v>242</v>
      </c>
      <c r="J36" s="152" t="s">
        <v>277</v>
      </c>
      <c r="K36" s="127" t="s">
        <v>262</v>
      </c>
      <c r="L36" s="130">
        <v>35019</v>
      </c>
      <c r="M36" s="127" t="s">
        <v>230</v>
      </c>
      <c r="N36" s="127" t="s">
        <v>245</v>
      </c>
      <c r="O36" s="127" t="s">
        <v>185</v>
      </c>
      <c r="P36" s="127" t="s">
        <v>208</v>
      </c>
      <c r="Q36" s="85" t="str">
        <f t="shared" si="40"/>
        <v/>
      </c>
      <c r="R36" s="130"/>
      <c r="S36" s="128"/>
      <c r="T36" s="131"/>
      <c r="U36" s="132">
        <v>203</v>
      </c>
      <c r="V36" s="121">
        <v>218.2</v>
      </c>
      <c r="W36" s="116">
        <v>0.98</v>
      </c>
      <c r="X36" s="116">
        <v>1.66</v>
      </c>
      <c r="Y36" s="116">
        <f t="shared" si="1"/>
        <v>1.0315527824278394</v>
      </c>
      <c r="Z36" s="133">
        <v>1.454</v>
      </c>
      <c r="AA36" s="133">
        <v>0.83599999999999997</v>
      </c>
      <c r="AB36" s="133">
        <v>0.72</v>
      </c>
      <c r="AC36" s="121">
        <v>34.299999999999997</v>
      </c>
      <c r="AD36" s="134">
        <v>1.17</v>
      </c>
      <c r="AE36" s="124" t="s">
        <v>278</v>
      </c>
      <c r="AF36" s="128">
        <v>9.19</v>
      </c>
      <c r="AG36" s="128">
        <v>1863</v>
      </c>
      <c r="AH36" s="127" t="s">
        <v>279</v>
      </c>
      <c r="AI36" s="127">
        <v>2605</v>
      </c>
      <c r="AJ36" s="135"/>
      <c r="AK36" s="128"/>
      <c r="AL36" s="131"/>
      <c r="AM36" s="124" t="s">
        <v>232</v>
      </c>
      <c r="AN36" s="136" t="s">
        <v>280</v>
      </c>
      <c r="AO36" s="137">
        <v>10.39</v>
      </c>
      <c r="AP36" s="128">
        <v>2031.9</v>
      </c>
      <c r="AQ36" s="128">
        <v>115.33</v>
      </c>
      <c r="AR36" s="128" t="s">
        <v>281</v>
      </c>
      <c r="AS36" s="128">
        <v>114</v>
      </c>
      <c r="AT36" s="122">
        <v>7.72</v>
      </c>
      <c r="AU36" s="124" t="s">
        <v>189</v>
      </c>
      <c r="AV36" s="115">
        <f>VLOOKUP(J36,'[63]ТР нефть'!$J$28:$BP$638,39,0)</f>
        <v>519.98879999999997</v>
      </c>
      <c r="AW36" s="115" t="str">
        <f>VLOOKUP(J36,'[63]ТР нефть'!$J$28:$BP$638,40,0)</f>
        <v>ГП</v>
      </c>
      <c r="AX36" s="115">
        <f>VLOOKUP(J36,'[63]ТР нефть'!$J$28:$BP$638,41,0)</f>
        <v>940.00319999999999</v>
      </c>
      <c r="AY36" s="115" t="str">
        <f>VLOOKUP(J36,'[63]ТР нефть'!$J$28:$BP$638,42,0)</f>
        <v>ГП</v>
      </c>
      <c r="AZ36" s="115">
        <f>VLOOKUP(J36,'[63]ТР нефть'!$J$28:$BP$638,43,0)</f>
        <v>1299.972</v>
      </c>
      <c r="BA36" s="115" t="str">
        <f>VLOOKUP(J36,'[63]ТР нефть'!$J$28:$BP$638,44,0)</f>
        <v>ГК 82 1/8</v>
      </c>
      <c r="BB36" s="115">
        <f>VLOOKUP(J36,'[63]ТР нефть'!$J$28:$BP$638,45,0)</f>
        <v>1530.096</v>
      </c>
      <c r="BC36" s="115" t="str">
        <f>VLOOKUP(J36,'[63]ТР нефть'!$J$28:$BP$638,46,0)</f>
        <v>ЦКсОК 5/16</v>
      </c>
      <c r="BD36" s="115" t="str">
        <f>VLOOKUP(J36,'[63]ТР нефть'!$J$28:$BP$638,47,0)</f>
        <v>-</v>
      </c>
      <c r="BE36" s="115" t="str">
        <f>VLOOKUP(J36,'[63]ТР нефть'!$J$28:$BP$638,48,0)</f>
        <v>-</v>
      </c>
      <c r="BF36" s="115" t="str">
        <f>VLOOKUP(J36,'[63]ТР нефть'!$J$28:$BP$638,49,0)</f>
        <v>-</v>
      </c>
      <c r="BG36" s="115" t="str">
        <f>VLOOKUP(J36,'[63]ТР нефть'!$J$28:$BP$638,50,0)</f>
        <v>-</v>
      </c>
      <c r="BH36" s="115" t="str">
        <f>VLOOKUP(J36,'[63]ТР нефть'!$J$28:$BP$638,51,0)</f>
        <v>-</v>
      </c>
      <c r="BI36" s="115" t="str">
        <f>VLOOKUP(J36,'[63]ТР нефть'!$J$28:$BP$638,52,0)</f>
        <v>-</v>
      </c>
      <c r="BJ36" s="115" t="str">
        <f>IF(IFERROR(VLOOKUP(J36,'[63]ТР нефть'!$J$28:$BP$638,53,0),"-")=0,"-",IFERROR(VLOOKUP(J36,'[63]ТР нефть'!$J$28:$BP$638,53,0),"-"))</f>
        <v>-</v>
      </c>
      <c r="BK36" s="138" t="str">
        <f>IF(IFERROR(VLOOKUP(J36,'[63]ТР нефть'!$J$28:$BP$638,54,0),"-")=0,"-",IFERROR(VLOOKUP(J36,'[63]ТР нефть'!$J$28:$BP$638,54,0),"-"))</f>
        <v>-</v>
      </c>
      <c r="BL36" s="138" t="str">
        <f>IF(IFERROR(VLOOKUP(J36,'[63]ТР нефть'!$J$28:$BP$638,55,0),"-")=0,"-",IFERROR(VLOOKUP(J36,'[63]ТР нефть'!$J$28:$BP$638,55,0),"-"))</f>
        <v>-</v>
      </c>
      <c r="BM36" s="138" t="str">
        <f>IF(IFERROR(VLOOKUP(J36,'[63]ТР нефть'!$J$28:$BP$638,56,0),"-")=0,"-",IFERROR(VLOOKUP(J36,'[63]ТР нефть'!$J$28:$BP$638,56,0),"-"))</f>
        <v>-</v>
      </c>
      <c r="BN36" s="138" t="str">
        <f>IF(IFERROR(VLOOKUP(J36,'[63]ТР нефть'!$J$28:$BP$638,57,0),"-")=0,"-",IFERROR(VLOOKUP(J36,'[63]ТР нефть'!$J$28:$BP$638,57,0),"-"))</f>
        <v>-</v>
      </c>
      <c r="BO36" s="115" t="str">
        <f>IF(IFERROR(VLOOKUP(J36,'[63]ТР нефть'!$J$28:$BP$638,58,0),"-")=0,"-",IFERROR(VLOOKUP(J36,'[63]ТР нефть'!$J$28:$BP$638,58,0),"-"))</f>
        <v>-</v>
      </c>
      <c r="BP36" s="115" t="str">
        <f>IF(IFERROR(VLOOKUP(J36,'[63]ТР нефть'!$J$28:$BP$638,59,0),"-")=0,"-",IFERROR(VLOOKUP(J36,'[63]ТР нефть'!$J$28:$BP$638,59,0),"-"))</f>
        <v>-</v>
      </c>
      <c r="BQ36" s="138">
        <v>2031.9</v>
      </c>
      <c r="BR36" s="128">
        <v>1916.57</v>
      </c>
      <c r="BS36" s="115">
        <f t="shared" si="2"/>
        <v>115.33000000000015</v>
      </c>
      <c r="BT36" s="128">
        <v>73</v>
      </c>
      <c r="BU36" s="128">
        <v>5.5</v>
      </c>
      <c r="BV36" s="127">
        <v>65</v>
      </c>
      <c r="BW36" s="127" t="s">
        <v>217</v>
      </c>
      <c r="BX36" s="127" t="s">
        <v>195</v>
      </c>
      <c r="BY36" s="139">
        <v>24</v>
      </c>
      <c r="BZ36" s="139">
        <v>0</v>
      </c>
      <c r="CA36" s="138">
        <v>20</v>
      </c>
      <c r="CB36" s="138">
        <v>39</v>
      </c>
      <c r="CC36" s="138">
        <v>19</v>
      </c>
      <c r="CD36" s="135">
        <v>45017</v>
      </c>
      <c r="CE36" s="138">
        <v>67</v>
      </c>
      <c r="CF36" s="138">
        <v>67</v>
      </c>
      <c r="CG36" s="138" t="str">
        <f t="shared" si="3"/>
        <v>В работе</v>
      </c>
      <c r="CH36" s="138" t="s">
        <v>235</v>
      </c>
      <c r="CI36" s="138">
        <v>6</v>
      </c>
      <c r="CJ36" s="139"/>
      <c r="CK36" s="138"/>
      <c r="CL36" s="99"/>
      <c r="CM36" s="99"/>
      <c r="CN36" s="140">
        <v>32</v>
      </c>
      <c r="CO36" s="141">
        <f t="shared" si="4"/>
        <v>1.9818216</v>
      </c>
      <c r="CP36" s="142">
        <v>2.7</v>
      </c>
      <c r="CQ36" s="143">
        <v>12.2</v>
      </c>
      <c r="CR36" s="138">
        <v>19.100000000000001</v>
      </c>
      <c r="CS36" s="139">
        <v>6.8</v>
      </c>
      <c r="CT36" s="138"/>
      <c r="CU36" s="138">
        <f t="shared" si="5"/>
        <v>12.3</v>
      </c>
      <c r="CV36" s="115">
        <f t="shared" si="6"/>
        <v>6206.4113137125969</v>
      </c>
      <c r="CW36" s="115">
        <f t="shared" si="7"/>
        <v>2877.3729652530133</v>
      </c>
      <c r="CX36" s="133">
        <f t="shared" si="8"/>
        <v>7.7142857142857152E-2</v>
      </c>
      <c r="CY36" s="116"/>
      <c r="CZ36" s="131"/>
      <c r="DA36" s="145" t="str">
        <f t="shared" si="9"/>
        <v>Газлифт</v>
      </c>
      <c r="DB36" s="146">
        <f t="shared" si="10"/>
        <v>1.9818216</v>
      </c>
      <c r="DC36" s="142">
        <f t="shared" si="11"/>
        <v>2.7</v>
      </c>
      <c r="DD36" s="119">
        <f t="shared" si="12"/>
        <v>12.2</v>
      </c>
      <c r="DE36" s="115">
        <f t="shared" si="13"/>
        <v>12.3</v>
      </c>
      <c r="DF36" s="121">
        <f t="shared" si="14"/>
        <v>6.8</v>
      </c>
      <c r="DG36" s="115">
        <f t="shared" si="15"/>
        <v>6206.4113137125969</v>
      </c>
      <c r="DH36" s="115">
        <f t="shared" si="16"/>
        <v>32</v>
      </c>
      <c r="DI36" s="147"/>
      <c r="DJ36" s="111" t="s">
        <v>197</v>
      </c>
      <c r="DK36" s="112">
        <v>42668</v>
      </c>
      <c r="DL36" s="113">
        <f t="shared" ca="1" si="17"/>
        <v>2436</v>
      </c>
      <c r="DM36" s="114"/>
      <c r="DN36" s="114"/>
      <c r="DO36" s="114"/>
      <c r="DP36" s="114"/>
      <c r="DQ36" s="112">
        <v>42668</v>
      </c>
      <c r="DR36" s="114" t="s">
        <v>282</v>
      </c>
      <c r="DS36" s="114"/>
      <c r="DT36" s="115">
        <v>45</v>
      </c>
      <c r="DU36" s="116">
        <f t="shared" si="18"/>
        <v>0.12272727272727274</v>
      </c>
      <c r="DV36" s="117">
        <f t="shared" si="19"/>
        <v>1.9818216</v>
      </c>
      <c r="DW36" s="118">
        <f t="shared" si="20"/>
        <v>2.7</v>
      </c>
      <c r="DX36" s="119">
        <f t="shared" si="21"/>
        <v>12.2</v>
      </c>
      <c r="DY36" s="115">
        <f t="shared" si="22"/>
        <v>12.3</v>
      </c>
      <c r="DZ36" s="117">
        <f t="shared" si="23"/>
        <v>0</v>
      </c>
      <c r="EA36" s="120">
        <f t="shared" si="23"/>
        <v>0</v>
      </c>
      <c r="EB36" s="119">
        <f t="shared" si="23"/>
        <v>0</v>
      </c>
      <c r="EC36" s="121">
        <f t="shared" si="24"/>
        <v>0</v>
      </c>
      <c r="ED36" s="122"/>
      <c r="EE36" s="145">
        <v>65</v>
      </c>
      <c r="EF36" s="115">
        <v>20</v>
      </c>
      <c r="EG36" s="115">
        <v>39</v>
      </c>
      <c r="EH36" s="115">
        <v>19</v>
      </c>
      <c r="EI36" s="128" t="s">
        <v>195</v>
      </c>
      <c r="EJ36" s="121">
        <v>24</v>
      </c>
      <c r="EK36" s="121">
        <v>0</v>
      </c>
      <c r="EL36" s="149">
        <v>1.9818216</v>
      </c>
      <c r="EM36" s="142">
        <v>2.7</v>
      </c>
      <c r="EN36" s="119">
        <v>12.2</v>
      </c>
      <c r="EO36" s="115">
        <v>19.100000000000001</v>
      </c>
      <c r="EP36" s="115">
        <v>6206.4113137125969</v>
      </c>
      <c r="EQ36" s="115">
        <v>67</v>
      </c>
      <c r="ER36" s="115">
        <v>6.8</v>
      </c>
      <c r="ES36" s="115">
        <v>32</v>
      </c>
      <c r="ET36" s="150">
        <v>7.7142857142857152E-2</v>
      </c>
      <c r="EU36" s="145">
        <f t="shared" si="25"/>
        <v>65</v>
      </c>
      <c r="EV36" s="115">
        <f t="shared" si="26"/>
        <v>20</v>
      </c>
      <c r="EW36" s="115">
        <f t="shared" si="26"/>
        <v>39</v>
      </c>
      <c r="EX36" s="115">
        <f t="shared" si="26"/>
        <v>19</v>
      </c>
      <c r="EY36" s="115" t="str">
        <f t="shared" si="27"/>
        <v>Постоянный</v>
      </c>
      <c r="EZ36" s="115">
        <f t="shared" si="27"/>
        <v>24</v>
      </c>
      <c r="FA36" s="115">
        <f t="shared" si="27"/>
        <v>0</v>
      </c>
      <c r="FB36" s="149">
        <f t="shared" si="28"/>
        <v>1.9818216</v>
      </c>
      <c r="FC36" s="142">
        <f t="shared" si="28"/>
        <v>2.7</v>
      </c>
      <c r="FD36" s="119">
        <f t="shared" si="28"/>
        <v>12.2</v>
      </c>
      <c r="FE36" s="121">
        <f t="shared" si="28"/>
        <v>19.100000000000001</v>
      </c>
      <c r="FF36" s="121">
        <f t="shared" si="29"/>
        <v>6206.4113137125969</v>
      </c>
      <c r="FG36" s="121">
        <f t="shared" si="30"/>
        <v>67</v>
      </c>
      <c r="FH36" s="121">
        <f t="shared" si="31"/>
        <v>6.8</v>
      </c>
      <c r="FI36" s="121">
        <f t="shared" si="32"/>
        <v>32</v>
      </c>
      <c r="FJ36" s="144">
        <f t="shared" si="33"/>
        <v>7.7142857142857152E-2</v>
      </c>
      <c r="FK36" s="132">
        <f t="shared" si="34"/>
        <v>0</v>
      </c>
      <c r="FL36" s="115">
        <f t="shared" si="34"/>
        <v>0</v>
      </c>
      <c r="FM36" s="115">
        <f t="shared" si="34"/>
        <v>0</v>
      </c>
      <c r="FN36" s="115">
        <f t="shared" si="34"/>
        <v>0</v>
      </c>
      <c r="FO36" s="115">
        <f t="shared" si="35"/>
        <v>0</v>
      </c>
      <c r="FP36" s="115">
        <f t="shared" si="35"/>
        <v>0</v>
      </c>
      <c r="FQ36" s="149">
        <f t="shared" si="35"/>
        <v>0</v>
      </c>
      <c r="FR36" s="142">
        <f t="shared" si="35"/>
        <v>0</v>
      </c>
      <c r="FS36" s="119">
        <f t="shared" si="35"/>
        <v>0</v>
      </c>
      <c r="FT36" s="121">
        <f t="shared" si="35"/>
        <v>0</v>
      </c>
      <c r="FU36" s="121">
        <f t="shared" si="36"/>
        <v>0</v>
      </c>
      <c r="FV36" s="121">
        <f t="shared" si="36"/>
        <v>0</v>
      </c>
      <c r="FW36" s="121">
        <f t="shared" si="37"/>
        <v>0</v>
      </c>
      <c r="FX36" s="121">
        <f t="shared" si="38"/>
        <v>0</v>
      </c>
      <c r="FY36" s="144">
        <f t="shared" si="38"/>
        <v>0</v>
      </c>
      <c r="FZ36" s="145"/>
      <c r="GA36" s="151" t="s">
        <v>283</v>
      </c>
      <c r="GB36" s="145"/>
      <c r="GC36" s="151" t="s">
        <v>284</v>
      </c>
      <c r="GD36" s="997" t="s">
        <v>238</v>
      </c>
      <c r="GE36" s="1004"/>
      <c r="GF36" s="1004">
        <v>-0.49407599999999974</v>
      </c>
      <c r="GG36" s="1004"/>
      <c r="GH36" s="1004">
        <v>0</v>
      </c>
      <c r="GI36" s="145"/>
      <c r="GJ36" s="996">
        <v>0</v>
      </c>
      <c r="GK36" s="145"/>
      <c r="GL36" s="996">
        <v>0</v>
      </c>
      <c r="GM36" s="1005"/>
      <c r="GN36" s="996">
        <v>0</v>
      </c>
      <c r="GO36" s="1006"/>
      <c r="GP36" s="996">
        <v>0</v>
      </c>
      <c r="GQ36" s="1006"/>
      <c r="GR36" s="996">
        <v>0</v>
      </c>
      <c r="GS36" s="1006"/>
      <c r="GT36" s="996">
        <v>0</v>
      </c>
      <c r="GU36" s="1006"/>
      <c r="GV36" s="996">
        <v>0</v>
      </c>
      <c r="GW36" s="1006"/>
      <c r="GX36" s="997">
        <v>0.33023905386666652</v>
      </c>
      <c r="GY36" s="1006" t="s">
        <v>199</v>
      </c>
      <c r="GZ36" s="996">
        <v>-2.4997466666666663</v>
      </c>
      <c r="HA36" s="1006"/>
      <c r="HB36" s="996">
        <v>0</v>
      </c>
      <c r="HC36" s="1006" t="s">
        <v>199</v>
      </c>
      <c r="HD36" s="996">
        <v>1.27908</v>
      </c>
      <c r="HE36" s="1006"/>
      <c r="HF36" s="996">
        <v>0</v>
      </c>
      <c r="HG36" s="1006"/>
      <c r="HH36" s="996">
        <v>0.58519999999999994</v>
      </c>
      <c r="HI36" s="1006"/>
      <c r="HJ36" s="996">
        <v>0</v>
      </c>
      <c r="HK36" s="1006"/>
      <c r="HL36" s="996">
        <v>0</v>
      </c>
      <c r="HM36" s="1006"/>
      <c r="HN36" s="996">
        <v>0</v>
      </c>
      <c r="HO36" s="1006"/>
      <c r="HP36" s="996">
        <v>0</v>
      </c>
      <c r="HQ36" s="1006"/>
      <c r="HR36" s="996">
        <v>0</v>
      </c>
      <c r="HS36" s="1006"/>
      <c r="HT36" s="996">
        <v>0</v>
      </c>
      <c r="HU36" s="1006"/>
      <c r="HV36" s="996">
        <v>-0.50159999999999982</v>
      </c>
      <c r="HW36" s="1006"/>
      <c r="HX36" s="996">
        <v>0</v>
      </c>
      <c r="HY36" s="1006" t="s">
        <v>199</v>
      </c>
      <c r="HZ36" s="996">
        <v>1.1703999999999999</v>
      </c>
      <c r="IA36" s="1006" t="s">
        <v>223</v>
      </c>
      <c r="IB36" s="996">
        <v>-1.254</v>
      </c>
      <c r="IC36" s="1006"/>
      <c r="ID36" s="996">
        <v>-0.75239999999999974</v>
      </c>
      <c r="IE36" s="1006"/>
      <c r="IF36" s="996">
        <v>8.3599999999999675E-2</v>
      </c>
      <c r="IG36" s="1006"/>
      <c r="IH36" s="996">
        <v>-0.83182</v>
      </c>
      <c r="II36" s="1006"/>
      <c r="IJ36" s="996">
        <v>0</v>
      </c>
      <c r="IK36" s="1006"/>
      <c r="IL36" s="996">
        <v>0</v>
      </c>
      <c r="IM36" s="1006"/>
      <c r="IN36" s="996">
        <v>0</v>
      </c>
      <c r="IO36" s="1006"/>
      <c r="IP36" s="996">
        <v>0</v>
      </c>
      <c r="IQ36" s="1006" t="s">
        <v>204</v>
      </c>
      <c r="IR36" s="996">
        <v>1.8182999999999998</v>
      </c>
      <c r="IS36" s="1006"/>
      <c r="IT36" s="996">
        <v>-0.40127999999999986</v>
      </c>
      <c r="IU36" s="1006"/>
      <c r="IV36" s="996">
        <v>0</v>
      </c>
      <c r="IW36" s="1006"/>
      <c r="IX36" s="996">
        <v>0</v>
      </c>
      <c r="IY36" s="1006"/>
      <c r="IZ36" s="996">
        <v>0.33439999999999981</v>
      </c>
      <c r="JA36" s="1006"/>
      <c r="JB36" s="996">
        <v>0</v>
      </c>
      <c r="JC36" s="1006"/>
      <c r="JD36" s="996">
        <v>0</v>
      </c>
      <c r="JE36" s="1006"/>
      <c r="JF36" s="996">
        <v>0</v>
      </c>
      <c r="JG36" s="1006"/>
      <c r="JH36" s="996">
        <v>0</v>
      </c>
      <c r="JI36" s="1006"/>
      <c r="JJ36" s="996">
        <v>0</v>
      </c>
      <c r="JK36" s="1007"/>
      <c r="JL36" s="1007">
        <v>0</v>
      </c>
      <c r="JM36" s="1007"/>
      <c r="JN36" s="1007">
        <v>-0.98229999999999973</v>
      </c>
      <c r="JO36" s="1008"/>
      <c r="JP36" s="1007">
        <v>0</v>
      </c>
      <c r="JQ36" s="1008">
        <v>0</v>
      </c>
      <c r="JR36" s="1007">
        <v>0</v>
      </c>
      <c r="JS36" s="1008">
        <v>0</v>
      </c>
      <c r="JT36" s="1007">
        <v>0</v>
      </c>
      <c r="JU36" s="1008"/>
      <c r="JV36" s="1007">
        <v>0</v>
      </c>
      <c r="JW36" s="1008" t="s">
        <v>197</v>
      </c>
      <c r="JX36" s="1007">
        <v>0</v>
      </c>
      <c r="JY36" s="1008"/>
      <c r="JZ36" s="1007">
        <v>0</v>
      </c>
      <c r="KA36" s="1008"/>
      <c r="KB36" s="1007">
        <v>0</v>
      </c>
      <c r="KC36" s="1008"/>
      <c r="KD36" s="1007">
        <v>0</v>
      </c>
      <c r="KE36" s="1008"/>
      <c r="KF36" s="1007">
        <v>0</v>
      </c>
      <c r="KG36" s="1008"/>
      <c r="KH36" s="1007">
        <v>0</v>
      </c>
      <c r="KI36" s="1008"/>
      <c r="KJ36" s="1007">
        <v>0</v>
      </c>
      <c r="KK36" s="1008"/>
      <c r="KL36" s="1007">
        <v>0</v>
      </c>
      <c r="KM36" s="1008"/>
      <c r="KN36" s="1007">
        <v>0</v>
      </c>
      <c r="KO36" s="1008" t="s">
        <v>206</v>
      </c>
      <c r="KP36" s="1007">
        <v>1.0658999999999998</v>
      </c>
      <c r="KQ36" s="1008">
        <v>0</v>
      </c>
      <c r="KR36" s="1007">
        <v>0</v>
      </c>
      <c r="KS36" s="1008" t="s">
        <v>206</v>
      </c>
      <c r="KT36" s="1007">
        <v>-0.75239999999999996</v>
      </c>
      <c r="KU36" s="1008" t="s">
        <v>260</v>
      </c>
      <c r="KV36" s="1007">
        <v>2.508</v>
      </c>
      <c r="KW36" s="1008">
        <v>0</v>
      </c>
      <c r="KX36" s="1007">
        <v>0</v>
      </c>
      <c r="KY36" s="1008">
        <v>0</v>
      </c>
      <c r="KZ36" s="1007">
        <v>0</v>
      </c>
      <c r="LA36" s="1008">
        <v>0</v>
      </c>
      <c r="LB36" s="1007">
        <v>0</v>
      </c>
      <c r="LC36" s="1008">
        <v>0</v>
      </c>
      <c r="LD36" s="1007">
        <v>0</v>
      </c>
      <c r="LE36" s="1008">
        <v>0</v>
      </c>
      <c r="LF36" s="1007">
        <v>0</v>
      </c>
      <c r="LG36" s="1008">
        <v>0</v>
      </c>
      <c r="LH36" s="1007">
        <v>-1.9227999999999996</v>
      </c>
      <c r="LI36" s="1008">
        <v>0</v>
      </c>
      <c r="LJ36" s="1007">
        <v>0</v>
      </c>
      <c r="LK36" s="1008">
        <v>0</v>
      </c>
      <c r="LL36" s="1007">
        <v>0</v>
      </c>
      <c r="LM36" s="1008">
        <v>0</v>
      </c>
      <c r="LN36" s="1007">
        <v>0</v>
      </c>
      <c r="LO36" s="1008">
        <v>0</v>
      </c>
      <c r="LP36" s="1007">
        <v>0</v>
      </c>
      <c r="LQ36" s="1008">
        <v>0</v>
      </c>
      <c r="LR36" s="1007">
        <v>0.66879999999999995</v>
      </c>
      <c r="LS36" s="1008">
        <v>0</v>
      </c>
      <c r="LT36" s="1007">
        <v>-4.6815999999999995</v>
      </c>
      <c r="LU36" s="1008">
        <v>0</v>
      </c>
      <c r="LV36" s="1007">
        <v>0</v>
      </c>
      <c r="LW36" s="1008" t="s">
        <v>206</v>
      </c>
      <c r="LX36" s="1007">
        <v>1.7555999999999994</v>
      </c>
      <c r="LY36" s="1009">
        <v>0</v>
      </c>
      <c r="LZ36" s="1010">
        <v>-0.83599999999999997</v>
      </c>
      <c r="MA36" s="1011" t="s">
        <v>206</v>
      </c>
      <c r="MB36" s="1012">
        <v>-1.12988</v>
      </c>
      <c r="MC36" s="995"/>
      <c r="MD36" s="996"/>
      <c r="ME36" s="997" t="s">
        <v>238</v>
      </c>
      <c r="MF36" s="997">
        <f t="shared" si="39"/>
        <v>12</v>
      </c>
      <c r="MG36" s="998"/>
      <c r="NR36" s="1000"/>
      <c r="NS36" s="1000"/>
      <c r="NT36" s="1001"/>
      <c r="NU36" s="1000"/>
      <c r="NV36" s="1001"/>
      <c r="NX36" s="1002"/>
      <c r="NZ36" s="1001"/>
      <c r="OA36" s="1001"/>
      <c r="OC36" s="1003"/>
      <c r="OD36" s="1003"/>
      <c r="OE36" s="1001"/>
      <c r="OF36" s="1003"/>
      <c r="OG36" s="1003"/>
      <c r="QX36" s="1000">
        <f>CN36-CA36</f>
        <v>12</v>
      </c>
      <c r="ASU36" s="999" t="s">
        <v>225</v>
      </c>
    </row>
    <row r="37" spans="1:466 1191:1191" ht="21" customHeight="1" x14ac:dyDescent="0.25">
      <c r="A37" s="982" t="str">
        <f t="shared" si="0"/>
        <v>5р</v>
      </c>
      <c r="B37" s="124">
        <f>SUBTOTAL(103,$J$29:J37)</f>
        <v>9</v>
      </c>
      <c r="C37" s="126">
        <v>45096</v>
      </c>
      <c r="D37" s="124" t="s">
        <v>176</v>
      </c>
      <c r="E37" s="127" t="s">
        <v>177</v>
      </c>
      <c r="F37" s="128" t="s">
        <v>177</v>
      </c>
      <c r="G37" s="127" t="s">
        <v>178</v>
      </c>
      <c r="H37" s="127" t="s">
        <v>226</v>
      </c>
      <c r="I37" s="127" t="s">
        <v>285</v>
      </c>
      <c r="J37" s="152" t="s">
        <v>286</v>
      </c>
      <c r="K37" s="127" t="s">
        <v>182</v>
      </c>
      <c r="L37" s="130">
        <v>34677</v>
      </c>
      <c r="M37" s="127" t="s">
        <v>230</v>
      </c>
      <c r="N37" s="127" t="s">
        <v>245</v>
      </c>
      <c r="O37" s="127" t="s">
        <v>185</v>
      </c>
      <c r="P37" s="127" t="s">
        <v>208</v>
      </c>
      <c r="Q37" s="85" t="str">
        <f t="shared" si="40"/>
        <v/>
      </c>
      <c r="R37" s="130"/>
      <c r="S37" s="128" t="s">
        <v>156</v>
      </c>
      <c r="T37" s="131"/>
      <c r="U37" s="132">
        <v>203</v>
      </c>
      <c r="V37" s="121">
        <v>218.2</v>
      </c>
      <c r="W37" s="116">
        <v>0.98</v>
      </c>
      <c r="X37" s="116">
        <v>1.66</v>
      </c>
      <c r="Y37" s="116">
        <f t="shared" si="1"/>
        <v>0.98</v>
      </c>
      <c r="Z37" s="133">
        <v>1.454</v>
      </c>
      <c r="AA37" s="133">
        <v>0.83599999999999997</v>
      </c>
      <c r="AB37" s="133">
        <v>0.72</v>
      </c>
      <c r="AC37" s="121">
        <v>34.299999999999997</v>
      </c>
      <c r="AD37" s="134">
        <v>1.17</v>
      </c>
      <c r="AE37" s="124" t="s">
        <v>287</v>
      </c>
      <c r="AF37" s="128">
        <v>7.72</v>
      </c>
      <c r="AG37" s="128">
        <v>2017</v>
      </c>
      <c r="AH37" s="127">
        <v>2170</v>
      </c>
      <c r="AI37" s="127">
        <v>2170</v>
      </c>
      <c r="AJ37" s="135"/>
      <c r="AK37" s="128"/>
      <c r="AL37" s="131"/>
      <c r="AM37" s="124" t="s">
        <v>232</v>
      </c>
      <c r="AN37" s="136" t="s">
        <v>288</v>
      </c>
      <c r="AO37" s="137">
        <v>4.4800000000000004</v>
      </c>
      <c r="AP37" s="128">
        <v>2033</v>
      </c>
      <c r="AQ37" s="128">
        <v>122.48</v>
      </c>
      <c r="AR37" s="128" t="s">
        <v>289</v>
      </c>
      <c r="AS37" s="128">
        <v>114</v>
      </c>
      <c r="AT37" s="122">
        <v>7.4</v>
      </c>
      <c r="AU37" s="124" t="s">
        <v>189</v>
      </c>
      <c r="AV37" s="115">
        <f>VLOOKUP(J37,'[63]ТР нефть'!$J$28:$BP$638,39,0)</f>
        <v>602.000017383</v>
      </c>
      <c r="AW37" s="115" t="str">
        <f>VLOOKUP(J37,'[63]ТР нефть'!$J$28:$BP$638,40,0)</f>
        <v>ГП</v>
      </c>
      <c r="AX37" s="115">
        <f>VLOOKUP(J37,'[63]ТР нефть'!$J$28:$BP$638,41,0)</f>
        <v>1099.9999828130001</v>
      </c>
      <c r="AY37" s="115" t="str">
        <f>VLOOKUP(J37,'[63]ТР нефть'!$J$28:$BP$638,42,0)</f>
        <v>ГК 82 1/8</v>
      </c>
      <c r="AZ37" s="115">
        <f>VLOOKUP(J37,'[63]ТР нефть'!$J$28:$BP$638,43,0)</f>
        <v>1587.999963281</v>
      </c>
      <c r="BA37" s="115" t="str">
        <f>VLOOKUP(J37,'[63]ТР нефть'!$J$28:$BP$638,44,0)</f>
        <v>ЦКсОК 5/16</v>
      </c>
      <c r="BB37" s="115" t="str">
        <f>VLOOKUP(J37,'[63]ТР нефть'!$J$28:$BP$638,45,0)</f>
        <v>-</v>
      </c>
      <c r="BC37" s="115" t="str">
        <f>VLOOKUP(J37,'[63]ТР нефть'!$J$28:$BP$638,46,0)</f>
        <v>-</v>
      </c>
      <c r="BD37" s="115" t="str">
        <f>VLOOKUP(J37,'[63]ТР нефть'!$J$28:$BP$638,47,0)</f>
        <v>-</v>
      </c>
      <c r="BE37" s="115" t="str">
        <f>VLOOKUP(J37,'[63]ТР нефть'!$J$28:$BP$638,48,0)</f>
        <v>-</v>
      </c>
      <c r="BF37" s="115" t="str">
        <f>VLOOKUP(J37,'[63]ТР нефть'!$J$28:$BP$638,49,0)</f>
        <v>-</v>
      </c>
      <c r="BG37" s="115" t="str">
        <f>VLOOKUP(J37,'[63]ТР нефть'!$J$28:$BP$638,50,0)</f>
        <v>-</v>
      </c>
      <c r="BH37" s="115">
        <f>VLOOKUP(J37,'[63]ТР нефть'!$J$28:$BP$638,51,0)</f>
        <v>1638</v>
      </c>
      <c r="BI37" s="115" t="str">
        <f>VLOOKUP(J37,'[63]ТР нефть'!$J$28:$BP$638,52,0)</f>
        <v>закрыт</v>
      </c>
      <c r="BJ37" s="115" t="str">
        <f>IF(IFERROR(VLOOKUP(J37,'[63]ТР нефть'!$J$28:$BP$638,53,0),"-")=0,"-",IFERROR(VLOOKUP(J37,'[63]ТР нефть'!$J$28:$BP$638,53,0),"-"))</f>
        <v>-</v>
      </c>
      <c r="BK37" s="138" t="str">
        <f>IF(IFERROR(VLOOKUP(J37,'[63]ТР нефть'!$J$28:$BP$638,54,0),"-")=0,"-",IFERROR(VLOOKUP(J37,'[63]ТР нефть'!$J$28:$BP$638,54,0),"-"))</f>
        <v>-</v>
      </c>
      <c r="BL37" s="138" t="str">
        <f>IF(IFERROR(VLOOKUP(J37,'[63]ТР нефть'!$J$28:$BP$638,55,0),"-")=0,"-",IFERROR(VLOOKUP(J37,'[63]ТР нефть'!$J$28:$BP$638,55,0),"-"))</f>
        <v>-</v>
      </c>
      <c r="BM37" s="138" t="str">
        <f>IF(IFERROR(VLOOKUP(J37,'[63]ТР нефть'!$J$28:$BP$638,56,0),"-")=0,"-",IFERROR(VLOOKUP(J37,'[63]ТР нефть'!$J$28:$BP$638,56,0),"-"))</f>
        <v>-</v>
      </c>
      <c r="BN37" s="138" t="str">
        <f>IF(IFERROR(VLOOKUP(J37,'[63]ТР нефть'!$J$28:$BP$638,57,0),"-")=0,"-",IFERROR(VLOOKUP(J37,'[63]ТР нефть'!$J$28:$BP$638,57,0),"-"))</f>
        <v>-</v>
      </c>
      <c r="BO37" s="115" t="str">
        <f>IF(IFERROR(VLOOKUP(J37,'[63]ТР нефть'!$J$28:$BP$638,58,0),"-")=0,"-",IFERROR(VLOOKUP(J37,'[63]ТР нефть'!$J$28:$BP$638,58,0),"-"))</f>
        <v>-</v>
      </c>
      <c r="BP37" s="115" t="str">
        <f>IF(IFERROR(VLOOKUP(J37,'[63]ТР нефть'!$J$28:$BP$638,59,0),"-")=0,"-",IFERROR(VLOOKUP(J37,'[63]ТР нефть'!$J$28:$BP$638,59,0),"-"))</f>
        <v>-</v>
      </c>
      <c r="BQ37" s="138">
        <v>2033</v>
      </c>
      <c r="BR37" s="128">
        <v>1910.52</v>
      </c>
      <c r="BS37" s="115">
        <f t="shared" si="2"/>
        <v>122.48000000000002</v>
      </c>
      <c r="BT37" s="128">
        <v>73</v>
      </c>
      <c r="BU37" s="128">
        <v>5.5</v>
      </c>
      <c r="BV37" s="127">
        <v>18</v>
      </c>
      <c r="BW37" s="127" t="s">
        <v>234</v>
      </c>
      <c r="BX37" s="127" t="s">
        <v>195</v>
      </c>
      <c r="BY37" s="139">
        <v>24</v>
      </c>
      <c r="BZ37" s="139">
        <v>0</v>
      </c>
      <c r="CA37" s="138">
        <v>19</v>
      </c>
      <c r="CB37" s="138">
        <v>36</v>
      </c>
      <c r="CC37" s="138">
        <v>18</v>
      </c>
      <c r="CD37" s="135">
        <v>45017</v>
      </c>
      <c r="CE37" s="138">
        <v>92</v>
      </c>
      <c r="CF37" s="138">
        <v>75</v>
      </c>
      <c r="CG37" s="138" t="str">
        <f t="shared" si="3"/>
        <v>В работе</v>
      </c>
      <c r="CH37" s="138" t="s">
        <v>196</v>
      </c>
      <c r="CI37" s="138">
        <v>6</v>
      </c>
      <c r="CJ37" s="139"/>
      <c r="CK37" s="138"/>
      <c r="CL37" s="99"/>
      <c r="CM37" s="99"/>
      <c r="CN37" s="140">
        <v>40</v>
      </c>
      <c r="CO37" s="141">
        <f t="shared" si="4"/>
        <v>0.83599999999999997</v>
      </c>
      <c r="CP37" s="142">
        <v>1</v>
      </c>
      <c r="CQ37" s="119">
        <v>0</v>
      </c>
      <c r="CR37" s="138">
        <v>18.899999999999999</v>
      </c>
      <c r="CS37" s="139">
        <v>9.6</v>
      </c>
      <c r="CT37" s="138"/>
      <c r="CU37" s="138">
        <f t="shared" si="5"/>
        <v>9.2999999999999989</v>
      </c>
      <c r="CV37" s="115">
        <f t="shared" si="6"/>
        <v>11124.401913875596</v>
      </c>
      <c r="CW37" s="115">
        <f t="shared" si="7"/>
        <v>11483.253588516745</v>
      </c>
      <c r="CX37" s="133">
        <f t="shared" si="8"/>
        <v>1.9230769230769232E-2</v>
      </c>
      <c r="CY37" s="116"/>
      <c r="CZ37" s="131"/>
      <c r="DA37" s="145" t="str">
        <f t="shared" si="9"/>
        <v>Газлифт</v>
      </c>
      <c r="DB37" s="146">
        <f t="shared" si="10"/>
        <v>0.83599999999999997</v>
      </c>
      <c r="DC37" s="142">
        <f t="shared" si="11"/>
        <v>1</v>
      </c>
      <c r="DD37" s="119">
        <f t="shared" si="12"/>
        <v>0</v>
      </c>
      <c r="DE37" s="115">
        <f t="shared" si="13"/>
        <v>9.2999999999999989</v>
      </c>
      <c r="DF37" s="121">
        <f t="shared" si="14"/>
        <v>9.6</v>
      </c>
      <c r="DG37" s="115">
        <f t="shared" si="15"/>
        <v>11124.401913875596</v>
      </c>
      <c r="DH37" s="115">
        <f t="shared" si="16"/>
        <v>40</v>
      </c>
      <c r="DI37" s="147"/>
      <c r="DJ37" s="111" t="s">
        <v>197</v>
      </c>
      <c r="DK37" s="112">
        <v>41370</v>
      </c>
      <c r="DL37" s="113">
        <f t="shared" ca="1" si="17"/>
        <v>3734</v>
      </c>
      <c r="DM37" s="114"/>
      <c r="DN37" s="114"/>
      <c r="DO37" s="114"/>
      <c r="DP37" s="114"/>
      <c r="DQ37" s="112">
        <v>42526</v>
      </c>
      <c r="DR37" s="114" t="s">
        <v>198</v>
      </c>
      <c r="DS37" s="114"/>
      <c r="DT37" s="115">
        <v>44</v>
      </c>
      <c r="DU37" s="116">
        <f t="shared" si="18"/>
        <v>2.0833333333333332E-2</v>
      </c>
      <c r="DV37" s="117">
        <f t="shared" si="19"/>
        <v>0.83599999999999997</v>
      </c>
      <c r="DW37" s="118">
        <f t="shared" si="20"/>
        <v>1</v>
      </c>
      <c r="DX37" s="119">
        <f t="shared" si="21"/>
        <v>0</v>
      </c>
      <c r="DY37" s="115">
        <f t="shared" si="22"/>
        <v>9.2999999999999989</v>
      </c>
      <c r="DZ37" s="117">
        <f t="shared" si="23"/>
        <v>0</v>
      </c>
      <c r="EA37" s="120">
        <f t="shared" si="23"/>
        <v>0</v>
      </c>
      <c r="EB37" s="119">
        <f t="shared" si="23"/>
        <v>0</v>
      </c>
      <c r="EC37" s="121">
        <f t="shared" si="24"/>
        <v>0</v>
      </c>
      <c r="ED37" s="122"/>
      <c r="EE37" s="145">
        <v>18</v>
      </c>
      <c r="EF37" s="115">
        <v>19</v>
      </c>
      <c r="EG37" s="115">
        <v>36</v>
      </c>
      <c r="EH37" s="115">
        <v>18</v>
      </c>
      <c r="EI37" s="128" t="s">
        <v>195</v>
      </c>
      <c r="EJ37" s="121">
        <v>24</v>
      </c>
      <c r="EK37" s="121">
        <v>0</v>
      </c>
      <c r="EL37" s="149">
        <v>0.83599999999999997</v>
      </c>
      <c r="EM37" s="142">
        <v>1</v>
      </c>
      <c r="EN37" s="119">
        <v>0</v>
      </c>
      <c r="EO37" s="115">
        <v>18.899999999999999</v>
      </c>
      <c r="EP37" s="115">
        <v>11124.401913875596</v>
      </c>
      <c r="EQ37" s="115">
        <v>75</v>
      </c>
      <c r="ER37" s="115">
        <v>9.6</v>
      </c>
      <c r="ES37" s="115">
        <v>40</v>
      </c>
      <c r="ET37" s="150">
        <v>1.9230769230769232E-2</v>
      </c>
      <c r="EU37" s="145">
        <f t="shared" si="25"/>
        <v>18</v>
      </c>
      <c r="EV37" s="115">
        <f t="shared" si="26"/>
        <v>19</v>
      </c>
      <c r="EW37" s="115">
        <f t="shared" si="26"/>
        <v>36</v>
      </c>
      <c r="EX37" s="115">
        <f t="shared" si="26"/>
        <v>18</v>
      </c>
      <c r="EY37" s="115" t="str">
        <f t="shared" si="27"/>
        <v>Постоянный</v>
      </c>
      <c r="EZ37" s="115">
        <f t="shared" si="27"/>
        <v>24</v>
      </c>
      <c r="FA37" s="115">
        <f t="shared" si="27"/>
        <v>0</v>
      </c>
      <c r="FB37" s="149">
        <f t="shared" si="28"/>
        <v>0.83599999999999997</v>
      </c>
      <c r="FC37" s="142">
        <f t="shared" si="28"/>
        <v>1</v>
      </c>
      <c r="FD37" s="119">
        <f t="shared" si="28"/>
        <v>0</v>
      </c>
      <c r="FE37" s="121">
        <f t="shared" si="28"/>
        <v>18.899999999999999</v>
      </c>
      <c r="FF37" s="121">
        <f t="shared" si="29"/>
        <v>11124.401913875596</v>
      </c>
      <c r="FG37" s="121">
        <f t="shared" si="30"/>
        <v>75</v>
      </c>
      <c r="FH37" s="121">
        <f t="shared" si="31"/>
        <v>9.6</v>
      </c>
      <c r="FI37" s="121">
        <f t="shared" si="32"/>
        <v>40</v>
      </c>
      <c r="FJ37" s="144">
        <f t="shared" si="33"/>
        <v>1.9230769230769232E-2</v>
      </c>
      <c r="FK37" s="132">
        <f t="shared" si="34"/>
        <v>0</v>
      </c>
      <c r="FL37" s="115">
        <f t="shared" si="34"/>
        <v>0</v>
      </c>
      <c r="FM37" s="115">
        <f t="shared" si="34"/>
        <v>0</v>
      </c>
      <c r="FN37" s="115">
        <f t="shared" si="34"/>
        <v>0</v>
      </c>
      <c r="FO37" s="115">
        <f t="shared" si="35"/>
        <v>0</v>
      </c>
      <c r="FP37" s="115">
        <f t="shared" si="35"/>
        <v>0</v>
      </c>
      <c r="FQ37" s="149">
        <f t="shared" si="35"/>
        <v>0</v>
      </c>
      <c r="FR37" s="142">
        <f t="shared" si="35"/>
        <v>0</v>
      </c>
      <c r="FS37" s="119">
        <f t="shared" si="35"/>
        <v>0</v>
      </c>
      <c r="FT37" s="121">
        <f t="shared" si="35"/>
        <v>0</v>
      </c>
      <c r="FU37" s="121">
        <f t="shared" si="36"/>
        <v>0</v>
      </c>
      <c r="FV37" s="121">
        <f t="shared" si="36"/>
        <v>0</v>
      </c>
      <c r="FW37" s="121">
        <f t="shared" si="37"/>
        <v>0</v>
      </c>
      <c r="FX37" s="121">
        <f t="shared" si="38"/>
        <v>0</v>
      </c>
      <c r="FY37" s="144">
        <f t="shared" si="38"/>
        <v>0</v>
      </c>
      <c r="FZ37" s="145"/>
      <c r="GA37" s="151" t="s">
        <v>290</v>
      </c>
      <c r="GB37" s="145" t="s">
        <v>199</v>
      </c>
      <c r="GC37" s="151" t="s">
        <v>291</v>
      </c>
      <c r="GD37" s="997" t="s">
        <v>238</v>
      </c>
      <c r="GE37" s="1004" t="s">
        <v>199</v>
      </c>
      <c r="GF37" s="1004">
        <v>-8.7779999999999987</v>
      </c>
      <c r="GG37" s="1004" t="s">
        <v>199</v>
      </c>
      <c r="GH37" s="1004">
        <v>-1.3268992000000015</v>
      </c>
      <c r="GI37" s="145"/>
      <c r="GJ37" s="996">
        <v>0</v>
      </c>
      <c r="GK37" s="145" t="s">
        <v>240</v>
      </c>
      <c r="GL37" s="996">
        <v>-1.2647007999999982</v>
      </c>
      <c r="GM37" s="1005" t="s">
        <v>199</v>
      </c>
      <c r="GN37" s="996">
        <v>2.1735999999999986</v>
      </c>
      <c r="GO37" s="1006"/>
      <c r="GP37" s="996">
        <v>0</v>
      </c>
      <c r="GQ37" s="1006" t="s">
        <v>203</v>
      </c>
      <c r="GR37" s="996">
        <v>-4.18</v>
      </c>
      <c r="GS37" s="1006" t="s">
        <v>203</v>
      </c>
      <c r="GT37" s="996">
        <v>-9.7880000000000003</v>
      </c>
      <c r="GU37" s="1006"/>
      <c r="GV37" s="996">
        <v>0</v>
      </c>
      <c r="GW37" s="1006"/>
      <c r="GX37" s="997">
        <v>0</v>
      </c>
      <c r="GY37" s="1006"/>
      <c r="GZ37" s="996">
        <v>-0.92812720000000026</v>
      </c>
      <c r="HA37" s="1006"/>
      <c r="HB37" s="996">
        <v>0</v>
      </c>
      <c r="HC37" s="1006"/>
      <c r="HD37" s="996">
        <v>0</v>
      </c>
      <c r="HE37" s="1006"/>
      <c r="HF37" s="996">
        <v>0</v>
      </c>
      <c r="HG37" s="1006"/>
      <c r="HH37" s="996">
        <v>0</v>
      </c>
      <c r="HI37" s="1006"/>
      <c r="HJ37" s="996">
        <v>0</v>
      </c>
      <c r="HK37" s="1006"/>
      <c r="HL37" s="996">
        <v>0</v>
      </c>
      <c r="HM37" s="1006"/>
      <c r="HN37" s="996">
        <v>0</v>
      </c>
      <c r="HO37" s="1006"/>
      <c r="HP37" s="996">
        <v>0</v>
      </c>
      <c r="HQ37" s="1006"/>
      <c r="HR37" s="996">
        <v>-0.82763999999999993</v>
      </c>
      <c r="HS37" s="1006"/>
      <c r="HT37" s="996">
        <v>0</v>
      </c>
      <c r="HU37" s="1006"/>
      <c r="HV37" s="996">
        <v>0.31316560000000004</v>
      </c>
      <c r="HW37" s="1006"/>
      <c r="HX37" s="996">
        <v>0</v>
      </c>
      <c r="HY37" s="1006"/>
      <c r="HZ37" s="996">
        <v>0</v>
      </c>
      <c r="IA37" s="1006"/>
      <c r="IB37" s="996">
        <v>-0.10617199999999993</v>
      </c>
      <c r="IC37" s="1006"/>
      <c r="ID37" s="996">
        <v>0.9224424</v>
      </c>
      <c r="IE37" s="1006"/>
      <c r="IF37" s="996">
        <v>0</v>
      </c>
      <c r="IG37" s="1006"/>
      <c r="IH37" s="996">
        <v>-2.2572000000000259E-2</v>
      </c>
      <c r="II37" s="1006"/>
      <c r="IJ37" s="996">
        <v>0</v>
      </c>
      <c r="IK37" s="1006"/>
      <c r="IL37" s="996">
        <v>0</v>
      </c>
      <c r="IM37" s="1006" t="s">
        <v>199</v>
      </c>
      <c r="IN37" s="996">
        <v>1.6683216000000001</v>
      </c>
      <c r="IO37" s="1006" t="s">
        <v>199</v>
      </c>
      <c r="IP37" s="996">
        <v>-4.2458784719999993</v>
      </c>
      <c r="IQ37" s="1006" t="s">
        <v>199</v>
      </c>
      <c r="IR37" s="996">
        <v>-2.5108240080000002</v>
      </c>
      <c r="IS37" s="1006"/>
      <c r="IT37" s="996">
        <v>0</v>
      </c>
      <c r="IU37" s="1006"/>
      <c r="IV37" s="996">
        <v>0</v>
      </c>
      <c r="IW37" s="1006"/>
      <c r="IX37" s="996">
        <v>0</v>
      </c>
      <c r="IY37" s="1006"/>
      <c r="IZ37" s="996">
        <v>0</v>
      </c>
      <c r="JA37" s="1006" t="s">
        <v>204</v>
      </c>
      <c r="JB37" s="996">
        <v>-7.2571989600000002</v>
      </c>
      <c r="JC37" s="1006" t="s">
        <v>204</v>
      </c>
      <c r="JD37" s="996">
        <v>8.1619014400000012</v>
      </c>
      <c r="JE37" s="1006"/>
      <c r="JF37" s="996">
        <v>0</v>
      </c>
      <c r="JG37" s="1006"/>
      <c r="JH37" s="996">
        <v>0</v>
      </c>
      <c r="JI37" s="1006" t="s">
        <v>199</v>
      </c>
      <c r="JJ37" s="996">
        <v>-1.759780000000001</v>
      </c>
      <c r="JK37" s="1007"/>
      <c r="JL37" s="1007">
        <v>0</v>
      </c>
      <c r="JM37" s="1007"/>
      <c r="JN37" s="1007">
        <v>0</v>
      </c>
      <c r="JO37" s="1008"/>
      <c r="JP37" s="1007">
        <v>0</v>
      </c>
      <c r="JQ37" s="1008">
        <v>0</v>
      </c>
      <c r="JR37" s="1007">
        <v>0</v>
      </c>
      <c r="JS37" s="1008">
        <v>0</v>
      </c>
      <c r="JT37" s="1007">
        <v>0</v>
      </c>
      <c r="JU37" s="1008"/>
      <c r="JV37" s="1007">
        <v>0</v>
      </c>
      <c r="JW37" s="1008" t="s">
        <v>197</v>
      </c>
      <c r="JX37" s="1007">
        <v>0</v>
      </c>
      <c r="JY37" s="1008"/>
      <c r="JZ37" s="1007">
        <v>0</v>
      </c>
      <c r="KA37" s="1008"/>
      <c r="KB37" s="1007">
        <v>0</v>
      </c>
      <c r="KC37" s="1008" t="s">
        <v>204</v>
      </c>
      <c r="KD37" s="1007">
        <v>1.759780000000001</v>
      </c>
      <c r="KE37" s="1008" t="s">
        <v>206</v>
      </c>
      <c r="KF37" s="1007">
        <v>-3.9960800000000001</v>
      </c>
      <c r="KG37" s="1008"/>
      <c r="KH37" s="1007">
        <v>0</v>
      </c>
      <c r="KI37" s="1008" t="s">
        <v>207</v>
      </c>
      <c r="KJ37" s="1007">
        <v>4.7735599999999998</v>
      </c>
      <c r="KK37" s="1008"/>
      <c r="KL37" s="1007">
        <v>0</v>
      </c>
      <c r="KM37" s="1008"/>
      <c r="KN37" s="1007">
        <v>0</v>
      </c>
      <c r="KO37" s="1008"/>
      <c r="KP37" s="1007">
        <v>0</v>
      </c>
      <c r="KQ37" s="1008">
        <v>0</v>
      </c>
      <c r="KR37" s="1007">
        <v>0</v>
      </c>
      <c r="KS37" s="1008">
        <v>0</v>
      </c>
      <c r="KT37" s="1007">
        <v>0</v>
      </c>
      <c r="KU37" s="1008">
        <v>0</v>
      </c>
      <c r="KV37" s="1007">
        <v>0</v>
      </c>
      <c r="KW37" s="1008">
        <v>0</v>
      </c>
      <c r="KX37" s="1007">
        <v>0</v>
      </c>
      <c r="KY37" s="1008">
        <v>0</v>
      </c>
      <c r="KZ37" s="1007">
        <v>0</v>
      </c>
      <c r="LA37" s="1008">
        <v>0</v>
      </c>
      <c r="LB37" s="1007">
        <v>0</v>
      </c>
      <c r="LC37" s="1008">
        <v>0</v>
      </c>
      <c r="LD37" s="1007">
        <v>0</v>
      </c>
      <c r="LE37" s="1008">
        <v>0</v>
      </c>
      <c r="LF37" s="1007">
        <v>0</v>
      </c>
      <c r="LG37" s="1008">
        <v>0</v>
      </c>
      <c r="LH37" s="1007">
        <v>-5.8413599999999999</v>
      </c>
      <c r="LI37" s="1008">
        <v>0</v>
      </c>
      <c r="LJ37" s="1007">
        <v>0</v>
      </c>
      <c r="LK37" s="1008">
        <v>0</v>
      </c>
      <c r="LL37" s="1007">
        <v>0</v>
      </c>
      <c r="LM37" s="1008" t="s">
        <v>206</v>
      </c>
      <c r="LN37" s="1007">
        <v>0.49748700000000001</v>
      </c>
      <c r="LO37" s="1008">
        <v>0</v>
      </c>
      <c r="LP37" s="1007">
        <v>-0.31624160000000001</v>
      </c>
      <c r="LQ37" s="1008">
        <v>0</v>
      </c>
      <c r="LR37" s="1007">
        <v>0.93789168000000001</v>
      </c>
      <c r="LS37" s="1008">
        <v>0</v>
      </c>
      <c r="LT37" s="1007">
        <v>-4.5121428000000003</v>
      </c>
      <c r="LU37" s="1008">
        <v>0</v>
      </c>
      <c r="LV37" s="1007">
        <v>0.87362600000000001</v>
      </c>
      <c r="LW37" s="1008">
        <v>0</v>
      </c>
      <c r="LX37" s="1007">
        <v>0.82763999999999904</v>
      </c>
      <c r="LY37" s="1009">
        <v>0</v>
      </c>
      <c r="LZ37" s="1010">
        <v>0</v>
      </c>
      <c r="MA37" s="1011" t="s">
        <v>206</v>
      </c>
      <c r="MB37" s="1012">
        <v>-3.42698474</v>
      </c>
      <c r="MC37" s="995"/>
      <c r="MD37" s="996"/>
      <c r="ME37" s="997" t="s">
        <v>238</v>
      </c>
      <c r="MF37" s="997">
        <f t="shared" si="39"/>
        <v>21</v>
      </c>
      <c r="MG37" s="998"/>
      <c r="NR37" s="1000"/>
      <c r="NS37" s="1000"/>
      <c r="NT37" s="1001"/>
      <c r="NU37" s="1000"/>
      <c r="NV37" s="1001"/>
      <c r="NX37" s="1002"/>
      <c r="NZ37" s="1001"/>
      <c r="OA37" s="1001"/>
      <c r="OC37" s="1003"/>
      <c r="OD37" s="1003"/>
      <c r="OE37" s="1001"/>
      <c r="OF37" s="1003"/>
      <c r="OG37" s="1003"/>
      <c r="QX37" s="1000">
        <f>CN37-CA37</f>
        <v>21</v>
      </c>
      <c r="ASU37" s="999" t="s">
        <v>292</v>
      </c>
    </row>
    <row r="38" spans="1:466 1191:1191" ht="21" customHeight="1" x14ac:dyDescent="0.25">
      <c r="A38" s="982" t="str">
        <f t="shared" si="0"/>
        <v>5-2</v>
      </c>
      <c r="B38" s="124">
        <f>SUBTOTAL(103,$J$29:J38)</f>
        <v>10</v>
      </c>
      <c r="C38" s="126">
        <v>45096</v>
      </c>
      <c r="D38" s="124" t="s">
        <v>176</v>
      </c>
      <c r="E38" s="127" t="s">
        <v>177</v>
      </c>
      <c r="F38" s="128" t="s">
        <v>177</v>
      </c>
      <c r="G38" s="127" t="s">
        <v>178</v>
      </c>
      <c r="H38" s="127" t="s">
        <v>226</v>
      </c>
      <c r="I38" s="127" t="s">
        <v>242</v>
      </c>
      <c r="J38" s="152" t="s">
        <v>293</v>
      </c>
      <c r="K38" s="127" t="s">
        <v>294</v>
      </c>
      <c r="L38" s="130">
        <v>37414</v>
      </c>
      <c r="M38" s="127" t="s">
        <v>230</v>
      </c>
      <c r="N38" s="127" t="s">
        <v>245</v>
      </c>
      <c r="O38" s="127" t="s">
        <v>185</v>
      </c>
      <c r="P38" s="127" t="s">
        <v>208</v>
      </c>
      <c r="Q38" s="85" t="str">
        <f t="shared" si="40"/>
        <v/>
      </c>
      <c r="R38" s="130"/>
      <c r="S38" s="128" t="s">
        <v>156</v>
      </c>
      <c r="T38" s="131"/>
      <c r="U38" s="132">
        <v>203</v>
      </c>
      <c r="V38" s="121">
        <v>218.2</v>
      </c>
      <c r="W38" s="116">
        <v>0.98</v>
      </c>
      <c r="X38" s="116">
        <v>1.66</v>
      </c>
      <c r="Y38" s="116">
        <f t="shared" si="1"/>
        <v>0.98403097023953534</v>
      </c>
      <c r="Z38" s="133">
        <v>1.454</v>
      </c>
      <c r="AA38" s="133">
        <v>0.83599999999999997</v>
      </c>
      <c r="AB38" s="133">
        <v>0.72</v>
      </c>
      <c r="AC38" s="121">
        <v>34.299999999999997</v>
      </c>
      <c r="AD38" s="134">
        <v>1.17</v>
      </c>
      <c r="AE38" s="124" t="s">
        <v>287</v>
      </c>
      <c r="AF38" s="128">
        <v>7.72</v>
      </c>
      <c r="AG38" s="128">
        <v>1990</v>
      </c>
      <c r="AH38" s="127" t="s">
        <v>295</v>
      </c>
      <c r="AI38" s="127" t="s">
        <v>295</v>
      </c>
      <c r="AJ38" s="135"/>
      <c r="AK38" s="128"/>
      <c r="AL38" s="131"/>
      <c r="AM38" s="124" t="s">
        <v>232</v>
      </c>
      <c r="AN38" s="136" t="s">
        <v>296</v>
      </c>
      <c r="AO38" s="137">
        <v>15</v>
      </c>
      <c r="AP38" s="128">
        <v>1990</v>
      </c>
      <c r="AQ38" s="128">
        <v>72.099999999999994</v>
      </c>
      <c r="AR38" s="128"/>
      <c r="AS38" s="128"/>
      <c r="AT38" s="122"/>
      <c r="AU38" s="124" t="s">
        <v>189</v>
      </c>
      <c r="AV38" s="115">
        <f>VLOOKUP(J38,'[63]ТР нефть'!$J$28:$BP$638,39,0)</f>
        <v>519.99999931599996</v>
      </c>
      <c r="AW38" s="115" t="str">
        <f>VLOOKUP(J38,'[63]ТР нефть'!$J$28:$BP$638,40,0)</f>
        <v>ГП</v>
      </c>
      <c r="AX38" s="115">
        <f>VLOOKUP(J38,'[63]ТР нефть'!$J$28:$BP$638,41,0)</f>
        <v>949.99998515599998</v>
      </c>
      <c r="AY38" s="115" t="str">
        <f>VLOOKUP(J38,'[63]ТР нефть'!$J$28:$BP$638,42,0)</f>
        <v>ГП</v>
      </c>
      <c r="AZ38" s="115">
        <f>VLOOKUP(J38,'[63]ТР нефть'!$J$28:$BP$638,43,0)</f>
        <v>1299.9999796879999</v>
      </c>
      <c r="BA38" s="115" t="str">
        <f>VLOOKUP(J38,'[63]ТР нефть'!$J$28:$BP$638,44,0)</f>
        <v>ГК 77 5/32</v>
      </c>
      <c r="BB38" s="115">
        <f>VLOOKUP(J38,'[63]ТР нефть'!$J$28:$BP$638,45,0)</f>
        <v>1560.000035156</v>
      </c>
      <c r="BC38" s="115" t="str">
        <f>VLOOKUP(J38,'[63]ТР нефть'!$J$28:$BP$638,46,0)</f>
        <v xml:space="preserve">ЦКсОК </v>
      </c>
      <c r="BD38" s="115" t="str">
        <f>VLOOKUP(J38,'[63]ТР нефть'!$J$28:$BP$638,47,0)</f>
        <v>-</v>
      </c>
      <c r="BE38" s="115" t="str">
        <f>VLOOKUP(J38,'[63]ТР нефть'!$J$28:$BP$638,48,0)</f>
        <v>-</v>
      </c>
      <c r="BF38" s="115" t="str">
        <f>VLOOKUP(J38,'[63]ТР нефть'!$J$28:$BP$638,49,0)</f>
        <v>-</v>
      </c>
      <c r="BG38" s="115" t="str">
        <f>VLOOKUP(J38,'[63]ТР нефть'!$J$28:$BP$638,50,0)</f>
        <v>-</v>
      </c>
      <c r="BH38" s="115">
        <f>VLOOKUP(J38,'[63]ТР нефть'!$J$28:$BP$638,51,0)</f>
        <v>1703</v>
      </c>
      <c r="BI38" s="115" t="str">
        <f>VLOOKUP(J38,'[63]ТР нефть'!$J$28:$BP$638,52,0)</f>
        <v>закрыт</v>
      </c>
      <c r="BJ38" s="115" t="str">
        <f>IF(IFERROR(VLOOKUP(J38,'[63]ТР нефть'!$J$28:$BP$638,53,0),"-")=0,"-",IFERROR(VLOOKUP(J38,'[63]ТР нефть'!$J$28:$BP$638,53,0),"-"))</f>
        <v>-</v>
      </c>
      <c r="BK38" s="138" t="str">
        <f>IF(IFERROR(VLOOKUP(J38,'[63]ТР нефть'!$J$28:$BP$638,54,0),"-")=0,"-",IFERROR(VLOOKUP(J38,'[63]ТР нефть'!$J$28:$BP$638,54,0),"-"))</f>
        <v>-</v>
      </c>
      <c r="BL38" s="138" t="str">
        <f>IF(IFERROR(VLOOKUP(J38,'[63]ТР нефть'!$J$28:$BP$638,55,0),"-")=0,"-",IFERROR(VLOOKUP(J38,'[63]ТР нефть'!$J$28:$BP$638,55,0),"-"))</f>
        <v>-</v>
      </c>
      <c r="BM38" s="138" t="str">
        <f>IF(IFERROR(VLOOKUP(J38,'[63]ТР нефть'!$J$28:$BP$638,56,0),"-")=0,"-",IFERROR(VLOOKUP(J38,'[63]ТР нефть'!$J$28:$BP$638,56,0),"-"))</f>
        <v>-</v>
      </c>
      <c r="BN38" s="138" t="str">
        <f>IF(IFERROR(VLOOKUP(J38,'[63]ТР нефть'!$J$28:$BP$638,57,0),"-")=0,"-",IFERROR(VLOOKUP(J38,'[63]ТР нефть'!$J$28:$BP$638,57,0),"-"))</f>
        <v>-</v>
      </c>
      <c r="BO38" s="115" t="str">
        <f>IF(IFERROR(VLOOKUP(J38,'[63]ТР нефть'!$J$28:$BP$638,58,0),"-")=0,"-",IFERROR(VLOOKUP(J38,'[63]ТР нефть'!$J$28:$BP$638,58,0),"-"))</f>
        <v>-</v>
      </c>
      <c r="BP38" s="115" t="str">
        <f>IF(IFERROR(VLOOKUP(J38,'[63]ТР нефть'!$J$28:$BP$638,59,0),"-")=0,"-",IFERROR(VLOOKUP(J38,'[63]ТР нефть'!$J$28:$BP$638,59,0),"-"))</f>
        <v>-</v>
      </c>
      <c r="BQ38" s="138">
        <v>1590</v>
      </c>
      <c r="BR38" s="128">
        <v>1918</v>
      </c>
      <c r="BS38" s="115">
        <f t="shared" si="2"/>
        <v>-328</v>
      </c>
      <c r="BT38" s="128">
        <v>73</v>
      </c>
      <c r="BU38" s="128">
        <v>5.5</v>
      </c>
      <c r="BV38" s="127">
        <v>65</v>
      </c>
      <c r="BW38" s="127" t="s">
        <v>217</v>
      </c>
      <c r="BX38" s="127" t="s">
        <v>195</v>
      </c>
      <c r="BY38" s="139">
        <v>24</v>
      </c>
      <c r="BZ38" s="139">
        <v>0</v>
      </c>
      <c r="CA38" s="138">
        <v>20</v>
      </c>
      <c r="CB38" s="138">
        <v>34</v>
      </c>
      <c r="CC38" s="138">
        <v>19</v>
      </c>
      <c r="CD38" s="135">
        <v>45017</v>
      </c>
      <c r="CE38" s="138">
        <v>108</v>
      </c>
      <c r="CF38" s="138">
        <v>63</v>
      </c>
      <c r="CG38" s="138" t="str">
        <f t="shared" si="3"/>
        <v>В работе</v>
      </c>
      <c r="CH38" s="138" t="s">
        <v>196</v>
      </c>
      <c r="CI38" s="138">
        <v>6</v>
      </c>
      <c r="CJ38" s="139"/>
      <c r="CK38" s="138"/>
      <c r="CL38" s="99"/>
      <c r="CM38" s="99"/>
      <c r="CN38" s="140">
        <v>48</v>
      </c>
      <c r="CO38" s="141">
        <f t="shared" si="4"/>
        <v>1.0759319999999999</v>
      </c>
      <c r="CP38" s="142">
        <v>1.3</v>
      </c>
      <c r="CQ38" s="143">
        <v>1</v>
      </c>
      <c r="CR38" s="138">
        <v>10</v>
      </c>
      <c r="CS38" s="139">
        <v>6.5</v>
      </c>
      <c r="CT38" s="138"/>
      <c r="CU38" s="138">
        <f t="shared" si="5"/>
        <v>3.5</v>
      </c>
      <c r="CV38" s="115">
        <f t="shared" si="6"/>
        <v>3252.9936836156935</v>
      </c>
      <c r="CW38" s="115">
        <f t="shared" si="7"/>
        <v>5957.9133004456517</v>
      </c>
      <c r="CX38" s="133">
        <f t="shared" si="8"/>
        <v>2.1666666666666667E-2</v>
      </c>
      <c r="CY38" s="116"/>
      <c r="CZ38" s="131"/>
      <c r="DA38" s="145" t="str">
        <f t="shared" si="9"/>
        <v>Газлифт</v>
      </c>
      <c r="DB38" s="146">
        <f t="shared" si="10"/>
        <v>1.0759319999999999</v>
      </c>
      <c r="DC38" s="142">
        <f t="shared" si="11"/>
        <v>1.3</v>
      </c>
      <c r="DD38" s="119">
        <f t="shared" si="12"/>
        <v>1</v>
      </c>
      <c r="DE38" s="115">
        <f t="shared" si="13"/>
        <v>3.5</v>
      </c>
      <c r="DF38" s="121">
        <f t="shared" si="14"/>
        <v>6.5</v>
      </c>
      <c r="DG38" s="115">
        <f t="shared" si="15"/>
        <v>3252.9936836156935</v>
      </c>
      <c r="DH38" s="115">
        <f t="shared" si="16"/>
        <v>48</v>
      </c>
      <c r="DI38" s="147"/>
      <c r="DJ38" s="111" t="s">
        <v>197</v>
      </c>
      <c r="DK38" s="112">
        <v>44154</v>
      </c>
      <c r="DL38" s="113">
        <f t="shared" ca="1" si="17"/>
        <v>950</v>
      </c>
      <c r="DM38" s="114"/>
      <c r="DN38" s="114"/>
      <c r="DO38" s="114"/>
      <c r="DP38" s="114"/>
      <c r="DQ38" s="112">
        <v>42184</v>
      </c>
      <c r="DR38" s="114" t="s">
        <v>198</v>
      </c>
      <c r="DS38" s="114" t="s">
        <v>297</v>
      </c>
      <c r="DT38" s="115">
        <v>45</v>
      </c>
      <c r="DU38" s="116">
        <f t="shared" si="18"/>
        <v>2.1311475409836064E-2</v>
      </c>
      <c r="DV38" s="117">
        <f t="shared" si="19"/>
        <v>1.1112084590163933</v>
      </c>
      <c r="DW38" s="118">
        <f t="shared" si="20"/>
        <v>1.3426229508196721</v>
      </c>
      <c r="DX38" s="119">
        <f t="shared" si="21"/>
        <v>1</v>
      </c>
      <c r="DY38" s="115">
        <f t="shared" si="22"/>
        <v>3.6147540983606556</v>
      </c>
      <c r="DZ38" s="117">
        <f t="shared" si="23"/>
        <v>3.5276459016393424E-2</v>
      </c>
      <c r="EA38" s="120">
        <f t="shared" si="23"/>
        <v>4.2622950819672045E-2</v>
      </c>
      <c r="EB38" s="119">
        <f t="shared" si="23"/>
        <v>0</v>
      </c>
      <c r="EC38" s="121">
        <f t="shared" si="24"/>
        <v>0.11475409836065564</v>
      </c>
      <c r="ED38" s="122"/>
      <c r="EE38" s="145">
        <v>65</v>
      </c>
      <c r="EF38" s="115">
        <v>20</v>
      </c>
      <c r="EG38" s="115">
        <v>34</v>
      </c>
      <c r="EH38" s="115">
        <v>19</v>
      </c>
      <c r="EI38" s="128" t="s">
        <v>195</v>
      </c>
      <c r="EJ38" s="121">
        <v>24</v>
      </c>
      <c r="EK38" s="121">
        <v>0</v>
      </c>
      <c r="EL38" s="149">
        <v>1.0759319999999999</v>
      </c>
      <c r="EM38" s="142">
        <v>1.3</v>
      </c>
      <c r="EN38" s="119">
        <v>1</v>
      </c>
      <c r="EO38" s="115">
        <v>10</v>
      </c>
      <c r="EP38" s="115">
        <v>3252.9936836156935</v>
      </c>
      <c r="EQ38" s="115">
        <v>63</v>
      </c>
      <c r="ER38" s="115">
        <v>6.5</v>
      </c>
      <c r="ES38" s="115">
        <v>48</v>
      </c>
      <c r="ET38" s="150">
        <v>2.1666666666666667E-2</v>
      </c>
      <c r="EU38" s="145">
        <f t="shared" si="25"/>
        <v>65</v>
      </c>
      <c r="EV38" s="115">
        <f t="shared" si="26"/>
        <v>20</v>
      </c>
      <c r="EW38" s="115">
        <f t="shared" si="26"/>
        <v>34</v>
      </c>
      <c r="EX38" s="115">
        <f t="shared" si="26"/>
        <v>19</v>
      </c>
      <c r="EY38" s="115" t="str">
        <f t="shared" si="27"/>
        <v>Постоянный</v>
      </c>
      <c r="EZ38" s="115">
        <f t="shared" si="27"/>
        <v>24</v>
      </c>
      <c r="FA38" s="115">
        <f t="shared" si="27"/>
        <v>0</v>
      </c>
      <c r="FB38" s="149">
        <f t="shared" si="28"/>
        <v>1.0759319999999999</v>
      </c>
      <c r="FC38" s="142">
        <f t="shared" si="28"/>
        <v>1.3</v>
      </c>
      <c r="FD38" s="119">
        <f t="shared" si="28"/>
        <v>1</v>
      </c>
      <c r="FE38" s="121">
        <f t="shared" si="28"/>
        <v>10</v>
      </c>
      <c r="FF38" s="121">
        <f t="shared" si="29"/>
        <v>3252.9936836156935</v>
      </c>
      <c r="FG38" s="121">
        <f t="shared" si="30"/>
        <v>63</v>
      </c>
      <c r="FH38" s="121">
        <f t="shared" si="31"/>
        <v>6.5</v>
      </c>
      <c r="FI38" s="121">
        <f t="shared" si="32"/>
        <v>48</v>
      </c>
      <c r="FJ38" s="144">
        <f t="shared" si="33"/>
        <v>2.1666666666666667E-2</v>
      </c>
      <c r="FK38" s="132">
        <f t="shared" si="34"/>
        <v>0</v>
      </c>
      <c r="FL38" s="115">
        <f t="shared" si="34"/>
        <v>0</v>
      </c>
      <c r="FM38" s="115">
        <f t="shared" si="34"/>
        <v>0</v>
      </c>
      <c r="FN38" s="115">
        <f t="shared" si="34"/>
        <v>0</v>
      </c>
      <c r="FO38" s="115">
        <f t="shared" si="35"/>
        <v>0</v>
      </c>
      <c r="FP38" s="115">
        <f t="shared" si="35"/>
        <v>0</v>
      </c>
      <c r="FQ38" s="149">
        <f t="shared" si="35"/>
        <v>0</v>
      </c>
      <c r="FR38" s="142">
        <f t="shared" si="35"/>
        <v>0</v>
      </c>
      <c r="FS38" s="119">
        <f t="shared" si="35"/>
        <v>0</v>
      </c>
      <c r="FT38" s="121">
        <f t="shared" si="35"/>
        <v>0</v>
      </c>
      <c r="FU38" s="121">
        <f t="shared" si="36"/>
        <v>0</v>
      </c>
      <c r="FV38" s="121">
        <f t="shared" si="36"/>
        <v>0</v>
      </c>
      <c r="FW38" s="121">
        <f t="shared" si="37"/>
        <v>0</v>
      </c>
      <c r="FX38" s="121">
        <f t="shared" si="38"/>
        <v>0</v>
      </c>
      <c r="FY38" s="144">
        <f t="shared" si="38"/>
        <v>0</v>
      </c>
      <c r="FZ38" s="145"/>
      <c r="GA38" s="151" t="s">
        <v>298</v>
      </c>
      <c r="GB38" s="145" t="s">
        <v>199</v>
      </c>
      <c r="GC38" s="151" t="s">
        <v>299</v>
      </c>
      <c r="GD38" s="997" t="s">
        <v>238</v>
      </c>
      <c r="GE38" s="1004" t="s">
        <v>199</v>
      </c>
      <c r="GF38" s="1004">
        <v>-9.8427296000000002</v>
      </c>
      <c r="GG38" s="1004" t="s">
        <v>199</v>
      </c>
      <c r="GH38" s="1004">
        <v>4.8764548799999998</v>
      </c>
      <c r="GI38" s="145" t="s">
        <v>199</v>
      </c>
      <c r="GJ38" s="996">
        <v>-2.1580161240000004</v>
      </c>
      <c r="GK38" s="145"/>
      <c r="GL38" s="996">
        <v>0.42272758000000099</v>
      </c>
      <c r="GM38" s="1005"/>
      <c r="GN38" s="996">
        <v>0</v>
      </c>
      <c r="GO38" s="1006"/>
      <c r="GP38" s="996">
        <v>0</v>
      </c>
      <c r="GQ38" s="1006"/>
      <c r="GR38" s="996">
        <v>0</v>
      </c>
      <c r="GS38" s="1006"/>
      <c r="GT38" s="996">
        <v>0.62672830000000079</v>
      </c>
      <c r="GU38" s="1006"/>
      <c r="GV38" s="996">
        <v>0</v>
      </c>
      <c r="GW38" s="1006" t="s">
        <v>199</v>
      </c>
      <c r="GX38" s="997">
        <v>3.3887669639999989</v>
      </c>
      <c r="GY38" s="1006" t="s">
        <v>199</v>
      </c>
      <c r="GZ38" s="996">
        <v>-3.7522188000000001</v>
      </c>
      <c r="HA38" s="1006" t="s">
        <v>203</v>
      </c>
      <c r="HB38" s="996">
        <v>-3.9046215999999987</v>
      </c>
      <c r="HC38" s="1006" t="s">
        <v>25</v>
      </c>
      <c r="HD38" s="996">
        <v>5.1751743999999986</v>
      </c>
      <c r="HE38" s="1006"/>
      <c r="HF38" s="996">
        <v>0</v>
      </c>
      <c r="HG38" s="1006"/>
      <c r="HH38" s="996">
        <v>-0.86233399999999971</v>
      </c>
      <c r="HI38" s="1006"/>
      <c r="HJ38" s="996">
        <v>0.93381200000000053</v>
      </c>
      <c r="HK38" s="1006"/>
      <c r="HL38" s="996">
        <v>0</v>
      </c>
      <c r="HM38" s="1006"/>
      <c r="HN38" s="996">
        <v>9.3531679999999895E-2</v>
      </c>
      <c r="HO38" s="1006" t="s">
        <v>223</v>
      </c>
      <c r="HP38" s="996">
        <v>-1.5356316799999989</v>
      </c>
      <c r="HQ38" s="1006"/>
      <c r="HR38" s="996">
        <v>0</v>
      </c>
      <c r="HS38" s="1006" t="s">
        <v>199</v>
      </c>
      <c r="HT38" s="996">
        <v>-2.3173919999999999</v>
      </c>
      <c r="HU38" s="1006"/>
      <c r="HV38" s="996">
        <v>0</v>
      </c>
      <c r="HW38" s="1006" t="s">
        <v>204</v>
      </c>
      <c r="HX38" s="996">
        <v>-3.8416290000000028</v>
      </c>
      <c r="HY38" s="1006"/>
      <c r="HZ38" s="996">
        <v>0.66779680000000141</v>
      </c>
      <c r="IA38" s="1006"/>
      <c r="IB38" s="996">
        <v>0</v>
      </c>
      <c r="IC38" s="1006" t="s">
        <v>199</v>
      </c>
      <c r="ID38" s="996">
        <v>2.4207633999999985</v>
      </c>
      <c r="IE38" s="1006" t="s">
        <v>223</v>
      </c>
      <c r="IF38" s="996">
        <v>-3.5059332000000012</v>
      </c>
      <c r="IG38" s="1006" t="s">
        <v>223</v>
      </c>
      <c r="IH38" s="996">
        <v>1.5860174000000029</v>
      </c>
      <c r="II38" s="1006" t="s">
        <v>223</v>
      </c>
      <c r="IJ38" s="996">
        <v>-4.0067807999999978</v>
      </c>
      <c r="IK38" s="1006" t="s">
        <v>203</v>
      </c>
      <c r="IL38" s="996">
        <v>-7.4292394000000037</v>
      </c>
      <c r="IM38" s="1006" t="s">
        <v>25</v>
      </c>
      <c r="IN38" s="996">
        <v>21.5364468</v>
      </c>
      <c r="IO38" s="1006"/>
      <c r="IP38" s="996">
        <v>0</v>
      </c>
      <c r="IQ38" s="1006"/>
      <c r="IR38" s="996">
        <v>0</v>
      </c>
      <c r="IS38" s="1006"/>
      <c r="IT38" s="996">
        <v>0</v>
      </c>
      <c r="IU38" s="1006"/>
      <c r="IV38" s="996">
        <v>0</v>
      </c>
      <c r="IW38" s="1006"/>
      <c r="IX38" s="996">
        <v>0</v>
      </c>
      <c r="IY38" s="1006"/>
      <c r="IZ38" s="996">
        <v>0</v>
      </c>
      <c r="JA38" s="1006"/>
      <c r="JB38" s="996">
        <v>0</v>
      </c>
      <c r="JC38" s="1006"/>
      <c r="JD38" s="996">
        <v>0</v>
      </c>
      <c r="JE38" s="1006"/>
      <c r="JF38" s="996">
        <v>0</v>
      </c>
      <c r="JG38" s="1006"/>
      <c r="JH38" s="996">
        <v>0</v>
      </c>
      <c r="JI38" s="1006"/>
      <c r="JJ38" s="996">
        <v>-0.25042379999999964</v>
      </c>
      <c r="JK38" s="1007"/>
      <c r="JL38" s="1007">
        <v>-1.0024476000000004</v>
      </c>
      <c r="JM38" s="1007"/>
      <c r="JN38" s="1007">
        <v>0</v>
      </c>
      <c r="JO38" s="1008"/>
      <c r="JP38" s="1007">
        <v>0</v>
      </c>
      <c r="JQ38" s="1008">
        <v>0</v>
      </c>
      <c r="JR38" s="1007">
        <v>0</v>
      </c>
      <c r="JS38" s="1008">
        <v>0</v>
      </c>
      <c r="JT38" s="1007">
        <v>0</v>
      </c>
      <c r="JU38" s="1008"/>
      <c r="JV38" s="1007">
        <v>-0.41745659999999951</v>
      </c>
      <c r="JW38" s="1008" t="s">
        <v>197</v>
      </c>
      <c r="JX38" s="1007">
        <v>0</v>
      </c>
      <c r="JY38" s="1008"/>
      <c r="JZ38" s="1007">
        <v>0</v>
      </c>
      <c r="KA38" s="1008"/>
      <c r="KB38" s="1007">
        <v>0</v>
      </c>
      <c r="KC38" s="1008"/>
      <c r="KD38" s="1007">
        <v>0</v>
      </c>
      <c r="KE38" s="1008"/>
      <c r="KF38" s="1007">
        <v>0</v>
      </c>
      <c r="KG38" s="1008"/>
      <c r="KH38" s="1007">
        <v>0</v>
      </c>
      <c r="KI38" s="1008"/>
      <c r="KJ38" s="1007">
        <v>0</v>
      </c>
      <c r="KK38" s="1008"/>
      <c r="KL38" s="1007">
        <v>0</v>
      </c>
      <c r="KM38" s="1008"/>
      <c r="KN38" s="1007">
        <v>0</v>
      </c>
      <c r="KO38" s="1008"/>
      <c r="KP38" s="1007">
        <v>0</v>
      </c>
      <c r="KQ38" s="1008">
        <v>0</v>
      </c>
      <c r="KR38" s="1007">
        <v>0</v>
      </c>
      <c r="KS38" s="1008">
        <v>0</v>
      </c>
      <c r="KT38" s="1007">
        <v>0</v>
      </c>
      <c r="KU38" s="1008">
        <v>0</v>
      </c>
      <c r="KV38" s="1007">
        <v>0</v>
      </c>
      <c r="KW38" s="1008">
        <v>0</v>
      </c>
      <c r="KX38" s="1007">
        <v>0</v>
      </c>
      <c r="KY38" s="1008">
        <v>0</v>
      </c>
      <c r="KZ38" s="1007">
        <v>0</v>
      </c>
      <c r="LA38" s="1008">
        <v>0</v>
      </c>
      <c r="LB38" s="1007">
        <v>0</v>
      </c>
      <c r="LC38" s="1008">
        <v>0</v>
      </c>
      <c r="LD38" s="1007">
        <v>0</v>
      </c>
      <c r="LE38" s="1008" t="s">
        <v>206</v>
      </c>
      <c r="LF38" s="1007">
        <v>0.56774097599999918</v>
      </c>
      <c r="LG38" s="1008">
        <v>0</v>
      </c>
      <c r="LH38" s="1007">
        <v>0</v>
      </c>
      <c r="LI38" s="1008">
        <v>0</v>
      </c>
      <c r="LJ38" s="1007">
        <v>0</v>
      </c>
      <c r="LK38" s="1008">
        <v>0</v>
      </c>
      <c r="LL38" s="1007">
        <v>0</v>
      </c>
      <c r="LM38" s="1008">
        <v>0</v>
      </c>
      <c r="LN38" s="1007">
        <v>0</v>
      </c>
      <c r="LO38" s="1008">
        <v>0</v>
      </c>
      <c r="LP38" s="1007">
        <v>-0.53441999999995005</v>
      </c>
      <c r="LQ38" s="1008">
        <v>0</v>
      </c>
      <c r="LR38" s="1007">
        <v>-0.183754472</v>
      </c>
      <c r="LS38" s="1008">
        <v>0</v>
      </c>
      <c r="LT38" s="1007">
        <v>-0.18582187999999999</v>
      </c>
      <c r="LU38" s="1008" t="s">
        <v>206</v>
      </c>
      <c r="LV38" s="1007">
        <v>-0.79348521999999999</v>
      </c>
      <c r="LW38" s="1008" t="s">
        <v>206</v>
      </c>
      <c r="LX38" s="1007">
        <v>-0.58467332000000005</v>
      </c>
      <c r="LY38" s="1009">
        <v>0</v>
      </c>
      <c r="LZ38" s="1010">
        <v>-0.38381999999999999</v>
      </c>
      <c r="MA38" s="1011">
        <v>0</v>
      </c>
      <c r="MB38" s="1012">
        <v>-0.72397840000000002</v>
      </c>
      <c r="MC38" s="995"/>
      <c r="MD38" s="996"/>
      <c r="ME38" s="997" t="s">
        <v>238</v>
      </c>
      <c r="MF38" s="997">
        <f t="shared" si="39"/>
        <v>28</v>
      </c>
      <c r="MG38" s="998"/>
      <c r="NR38" s="1000"/>
      <c r="NS38" s="1000"/>
      <c r="NT38" s="1001"/>
      <c r="NU38" s="1000"/>
      <c r="NV38" s="1001"/>
      <c r="NX38" s="1002"/>
      <c r="NZ38" s="1001"/>
      <c r="OA38" s="1001"/>
      <c r="OC38" s="1003"/>
      <c r="OD38" s="1003"/>
      <c r="OE38" s="1001"/>
      <c r="OF38" s="1003"/>
      <c r="OG38" s="1003"/>
      <c r="QX38" s="1000">
        <f>CN38-CA38</f>
        <v>28</v>
      </c>
      <c r="ASU38" s="999" t="s">
        <v>208</v>
      </c>
    </row>
    <row r="39" spans="1:466 1191:1191" ht="21" customHeight="1" x14ac:dyDescent="0.25">
      <c r="A39" s="982" t="str">
        <f t="shared" si="0"/>
        <v>5-1</v>
      </c>
      <c r="B39" s="124">
        <f>SUBTOTAL(103,$J$29:J39)</f>
        <v>11</v>
      </c>
      <c r="C39" s="126">
        <v>45096</v>
      </c>
      <c r="D39" s="124" t="s">
        <v>176</v>
      </c>
      <c r="E39" s="127" t="s">
        <v>177</v>
      </c>
      <c r="F39" s="128" t="s">
        <v>177</v>
      </c>
      <c r="G39" s="127" t="s">
        <v>178</v>
      </c>
      <c r="H39" s="127" t="s">
        <v>226</v>
      </c>
      <c r="I39" s="127" t="s">
        <v>242</v>
      </c>
      <c r="J39" s="152" t="s">
        <v>300</v>
      </c>
      <c r="K39" s="127" t="s">
        <v>294</v>
      </c>
      <c r="L39" s="130">
        <v>37385</v>
      </c>
      <c r="M39" s="127" t="s">
        <v>230</v>
      </c>
      <c r="N39" s="127" t="s">
        <v>245</v>
      </c>
      <c r="O39" s="127" t="s">
        <v>185</v>
      </c>
      <c r="P39" s="127" t="s">
        <v>208</v>
      </c>
      <c r="Q39" s="85" t="str">
        <f t="shared" si="40"/>
        <v/>
      </c>
      <c r="R39" s="130"/>
      <c r="S39" s="128" t="s">
        <v>156</v>
      </c>
      <c r="T39" s="131"/>
      <c r="U39" s="132">
        <v>203</v>
      </c>
      <c r="V39" s="121">
        <v>218.2</v>
      </c>
      <c r="W39" s="116">
        <v>0.98</v>
      </c>
      <c r="X39" s="116">
        <v>1.66</v>
      </c>
      <c r="Y39" s="116">
        <f t="shared" si="1"/>
        <v>0.98080354989630048</v>
      </c>
      <c r="Z39" s="133">
        <v>1.454</v>
      </c>
      <c r="AA39" s="133">
        <v>0.83599999999999997</v>
      </c>
      <c r="AB39" s="133">
        <v>0.72</v>
      </c>
      <c r="AC39" s="121">
        <v>34.299999999999997</v>
      </c>
      <c r="AD39" s="134">
        <v>1.17</v>
      </c>
      <c r="AE39" s="124">
        <v>139.69999999999999</v>
      </c>
      <c r="AF39" s="128">
        <v>7.72</v>
      </c>
      <c r="AG39" s="128">
        <v>1984</v>
      </c>
      <c r="AH39" s="127">
        <v>2500</v>
      </c>
      <c r="AI39" s="127">
        <v>2500</v>
      </c>
      <c r="AJ39" s="135"/>
      <c r="AK39" s="128"/>
      <c r="AL39" s="131"/>
      <c r="AM39" s="124" t="s">
        <v>232</v>
      </c>
      <c r="AN39" s="136" t="s">
        <v>301</v>
      </c>
      <c r="AO39" s="137">
        <v>16.079999999999998</v>
      </c>
      <c r="AP39" s="128">
        <v>1912.82</v>
      </c>
      <c r="AQ39" s="128">
        <v>71.180000000000007</v>
      </c>
      <c r="AR39" s="128"/>
      <c r="AS39" s="128"/>
      <c r="AT39" s="122"/>
      <c r="AU39" s="124" t="s">
        <v>189</v>
      </c>
      <c r="AV39" s="115">
        <f>VLOOKUP(J39,'[63]ТР нефть'!$J$28:$BP$638,39,0)</f>
        <v>599.00001445299995</v>
      </c>
      <c r="AW39" s="115" t="str">
        <f>VLOOKUP(J39,'[63]ТР нефть'!$J$28:$BP$638,40,0)</f>
        <v>ГП</v>
      </c>
      <c r="AX39" s="115">
        <f>VLOOKUP(J39,'[63]ТР нефть'!$J$28:$BP$638,41,0)</f>
        <v>1199.000005078</v>
      </c>
      <c r="AY39" s="115" t="str">
        <f>VLOOKUP(J39,'[63]ТР нефть'!$J$28:$BP$638,42,0)</f>
        <v>ГК 80 1/8</v>
      </c>
      <c r="AZ39" s="115">
        <f>VLOOKUP(J39,'[63]ТР нефть'!$J$28:$BP$638,43,0)</f>
        <v>1802.0000730469999</v>
      </c>
      <c r="BA39" s="115" t="str">
        <f>VLOOKUP(J39,'[63]ТР нефть'!$J$28:$BP$638,44,0)</f>
        <v>ЦКсОК 5/32</v>
      </c>
      <c r="BB39" s="115" t="str">
        <f>VLOOKUP(J39,'[63]ТР нефть'!$J$28:$BP$638,45,0)</f>
        <v>-</v>
      </c>
      <c r="BC39" s="115" t="str">
        <f>VLOOKUP(J39,'[63]ТР нефть'!$J$28:$BP$638,46,0)</f>
        <v>-</v>
      </c>
      <c r="BD39" s="115" t="str">
        <f>VLOOKUP(J39,'[63]ТР нефть'!$J$28:$BP$638,47,0)</f>
        <v>-</v>
      </c>
      <c r="BE39" s="115" t="str">
        <f>VLOOKUP(J39,'[63]ТР нефть'!$J$28:$BP$638,48,0)</f>
        <v>-</v>
      </c>
      <c r="BF39" s="115" t="str">
        <f>VLOOKUP(J39,'[63]ТР нефть'!$J$28:$BP$638,49,0)</f>
        <v>-</v>
      </c>
      <c r="BG39" s="115" t="str">
        <f>VLOOKUP(J39,'[63]ТР нефть'!$J$28:$BP$638,50,0)</f>
        <v>-</v>
      </c>
      <c r="BH39" s="115">
        <f>VLOOKUP(J39,'[63]ТР нефть'!$J$28:$BP$638,51,0)</f>
        <v>1813</v>
      </c>
      <c r="BI39" s="115" t="str">
        <f>VLOOKUP(J39,'[63]ТР нефть'!$J$28:$BP$638,52,0)</f>
        <v>закрыт</v>
      </c>
      <c r="BJ39" s="115" t="str">
        <f>IF(IFERROR(VLOOKUP(J39,'[63]ТР нефть'!$J$28:$BP$638,53,0),"-")=0,"-",IFERROR(VLOOKUP(J39,'[63]ТР нефть'!$J$28:$BP$638,53,0),"-"))</f>
        <v>-</v>
      </c>
      <c r="BK39" s="138" t="str">
        <f>IF(IFERROR(VLOOKUP(J39,'[63]ТР нефть'!$J$28:$BP$638,54,0),"-")=0,"-",IFERROR(VLOOKUP(J39,'[63]ТР нефть'!$J$28:$BP$638,54,0),"-"))</f>
        <v>-</v>
      </c>
      <c r="BL39" s="138" t="str">
        <f>IF(IFERROR(VLOOKUP(J39,'[63]ТР нефть'!$J$28:$BP$638,55,0),"-")=0,"-",IFERROR(VLOOKUP(J39,'[63]ТР нефть'!$J$28:$BP$638,55,0),"-"))</f>
        <v>-</v>
      </c>
      <c r="BM39" s="138" t="str">
        <f>IF(IFERROR(VLOOKUP(J39,'[63]ТР нефть'!$J$28:$BP$638,56,0),"-")=0,"-",IFERROR(VLOOKUP(J39,'[63]ТР нефть'!$J$28:$BP$638,56,0),"-"))</f>
        <v>-</v>
      </c>
      <c r="BN39" s="138" t="str">
        <f>IF(IFERROR(VLOOKUP(J39,'[63]ТР нефть'!$J$28:$BP$638,57,0),"-")=0,"-",IFERROR(VLOOKUP(J39,'[63]ТР нефть'!$J$28:$BP$638,57,0),"-"))</f>
        <v>-</v>
      </c>
      <c r="BO39" s="115" t="str">
        <f>IF(IFERROR(VLOOKUP(J39,'[63]ТР нефть'!$J$28:$BP$638,58,0),"-")=0,"-",IFERROR(VLOOKUP(J39,'[63]ТР нефть'!$J$28:$BP$638,58,0),"-"))</f>
        <v>-</v>
      </c>
      <c r="BP39" s="115" t="str">
        <f>IF(IFERROR(VLOOKUP(J39,'[63]ТР нефть'!$J$28:$BP$638,59,0),"-")=0,"-",IFERROR(VLOOKUP(J39,'[63]ТР нефть'!$J$28:$BP$638,59,0),"-"))</f>
        <v>-</v>
      </c>
      <c r="BQ39" s="138">
        <v>2003</v>
      </c>
      <c r="BR39" s="128">
        <v>1915.13</v>
      </c>
      <c r="BS39" s="115">
        <f t="shared" si="2"/>
        <v>87.869999999999891</v>
      </c>
      <c r="BT39" s="128">
        <v>73</v>
      </c>
      <c r="BU39" s="128">
        <v>5.5</v>
      </c>
      <c r="BV39" s="127">
        <v>65</v>
      </c>
      <c r="BW39" s="127" t="s">
        <v>217</v>
      </c>
      <c r="BX39" s="127" t="s">
        <v>195</v>
      </c>
      <c r="BY39" s="139">
        <v>24</v>
      </c>
      <c r="BZ39" s="139">
        <v>0</v>
      </c>
      <c r="CA39" s="138">
        <v>19</v>
      </c>
      <c r="CB39" s="138">
        <v>32</v>
      </c>
      <c r="CC39" s="138">
        <v>18</v>
      </c>
      <c r="CD39" s="135">
        <v>45017</v>
      </c>
      <c r="CE39" s="138">
        <v>111</v>
      </c>
      <c r="CF39" s="138">
        <v>68</v>
      </c>
      <c r="CG39" s="138" t="str">
        <f t="shared" si="3"/>
        <v>В работе</v>
      </c>
      <c r="CH39" s="138" t="s">
        <v>196</v>
      </c>
      <c r="CI39" s="138">
        <v>6</v>
      </c>
      <c r="CJ39" s="139"/>
      <c r="CK39" s="138"/>
      <c r="CL39" s="99"/>
      <c r="CM39" s="99"/>
      <c r="CN39" s="140">
        <v>39</v>
      </c>
      <c r="CO39" s="141">
        <f t="shared" si="4"/>
        <v>8.7604439999999997</v>
      </c>
      <c r="CP39" s="142">
        <v>10.5</v>
      </c>
      <c r="CQ39" s="143">
        <v>0.2</v>
      </c>
      <c r="CR39" s="138">
        <v>17</v>
      </c>
      <c r="CS39" s="139">
        <v>7.2</v>
      </c>
      <c r="CT39" s="138"/>
      <c r="CU39" s="138">
        <f t="shared" si="5"/>
        <v>9.8000000000000007</v>
      </c>
      <c r="CV39" s="115">
        <f t="shared" si="6"/>
        <v>1118.6647617403867</v>
      </c>
      <c r="CW39" s="115">
        <f t="shared" si="7"/>
        <v>819.60103187769903</v>
      </c>
      <c r="CX39" s="133">
        <f t="shared" si="8"/>
        <v>0.14583333333333334</v>
      </c>
      <c r="CY39" s="116"/>
      <c r="CZ39" s="131"/>
      <c r="DA39" s="145" t="str">
        <f t="shared" si="9"/>
        <v>Газлифт</v>
      </c>
      <c r="DB39" s="146">
        <f t="shared" si="10"/>
        <v>8.7604439999999997</v>
      </c>
      <c r="DC39" s="142">
        <f t="shared" si="11"/>
        <v>10.5</v>
      </c>
      <c r="DD39" s="119">
        <f t="shared" si="12"/>
        <v>0.2</v>
      </c>
      <c r="DE39" s="115">
        <f t="shared" si="13"/>
        <v>9.8000000000000007</v>
      </c>
      <c r="DF39" s="121">
        <f t="shared" si="14"/>
        <v>7.2</v>
      </c>
      <c r="DG39" s="115">
        <f t="shared" si="15"/>
        <v>1118.6647617403867</v>
      </c>
      <c r="DH39" s="115">
        <f t="shared" si="16"/>
        <v>39</v>
      </c>
      <c r="DI39" s="147"/>
      <c r="DJ39" s="111" t="s">
        <v>197</v>
      </c>
      <c r="DK39" s="112">
        <v>44083</v>
      </c>
      <c r="DL39" s="113">
        <f t="shared" ca="1" si="17"/>
        <v>1021</v>
      </c>
      <c r="DM39" s="114"/>
      <c r="DN39" s="114"/>
      <c r="DO39" s="114"/>
      <c r="DP39" s="114"/>
      <c r="DQ39" s="112">
        <v>39681</v>
      </c>
      <c r="DR39" s="114" t="s">
        <v>198</v>
      </c>
      <c r="DS39" s="114" t="s">
        <v>302</v>
      </c>
      <c r="DT39" s="115">
        <v>38</v>
      </c>
      <c r="DU39" s="116">
        <f t="shared" si="18"/>
        <v>0.14501289263947495</v>
      </c>
      <c r="DV39" s="117">
        <f t="shared" si="19"/>
        <v>8.8321471183778719</v>
      </c>
      <c r="DW39" s="118">
        <f t="shared" si="20"/>
        <v>10.585941162681671</v>
      </c>
      <c r="DX39" s="119">
        <f t="shared" si="21"/>
        <v>0.2</v>
      </c>
      <c r="DY39" s="115">
        <f t="shared" si="22"/>
        <v>9.8802117518362245</v>
      </c>
      <c r="DZ39" s="117">
        <f t="shared" si="23"/>
        <v>7.1703118377872244E-2</v>
      </c>
      <c r="EA39" s="120">
        <f t="shared" si="23"/>
        <v>8.5941162681670846E-2</v>
      </c>
      <c r="EB39" s="119">
        <f t="shared" si="23"/>
        <v>0</v>
      </c>
      <c r="EC39" s="121">
        <f t="shared" si="24"/>
        <v>8.0211751836223755E-2</v>
      </c>
      <c r="ED39" s="122"/>
      <c r="EE39" s="145">
        <v>65</v>
      </c>
      <c r="EF39" s="115">
        <v>20</v>
      </c>
      <c r="EG39" s="115">
        <v>35</v>
      </c>
      <c r="EH39" s="115">
        <v>19</v>
      </c>
      <c r="EI39" s="128" t="s">
        <v>195</v>
      </c>
      <c r="EJ39" s="121">
        <v>24</v>
      </c>
      <c r="EK39" s="121">
        <v>0</v>
      </c>
      <c r="EL39" s="149">
        <v>7.0917880000000002</v>
      </c>
      <c r="EM39" s="142">
        <v>8.5</v>
      </c>
      <c r="EN39" s="119">
        <v>0.2</v>
      </c>
      <c r="EO39" s="115">
        <v>16.3</v>
      </c>
      <c r="EP39" s="115">
        <v>1311.375918174655</v>
      </c>
      <c r="EQ39" s="115">
        <v>68</v>
      </c>
      <c r="ER39" s="115">
        <v>7</v>
      </c>
      <c r="ES39" s="115">
        <v>42</v>
      </c>
      <c r="ET39" s="150">
        <v>0.12318840579710146</v>
      </c>
      <c r="EU39" s="145">
        <f t="shared" si="25"/>
        <v>65</v>
      </c>
      <c r="EV39" s="115">
        <f t="shared" si="26"/>
        <v>19</v>
      </c>
      <c r="EW39" s="115">
        <f t="shared" si="26"/>
        <v>32</v>
      </c>
      <c r="EX39" s="115">
        <f t="shared" si="26"/>
        <v>18</v>
      </c>
      <c r="EY39" s="115" t="str">
        <f t="shared" si="27"/>
        <v>Постоянный</v>
      </c>
      <c r="EZ39" s="115">
        <f t="shared" si="27"/>
        <v>24</v>
      </c>
      <c r="FA39" s="115">
        <f t="shared" si="27"/>
        <v>0</v>
      </c>
      <c r="FB39" s="149">
        <f t="shared" si="28"/>
        <v>8.7604439999999997</v>
      </c>
      <c r="FC39" s="142">
        <f t="shared" si="28"/>
        <v>10.5</v>
      </c>
      <c r="FD39" s="119">
        <f t="shared" si="28"/>
        <v>0.2</v>
      </c>
      <c r="FE39" s="121">
        <f t="shared" si="28"/>
        <v>17</v>
      </c>
      <c r="FF39" s="121">
        <f t="shared" si="29"/>
        <v>1118.6647617403867</v>
      </c>
      <c r="FG39" s="121">
        <f t="shared" si="30"/>
        <v>68</v>
      </c>
      <c r="FH39" s="121">
        <f t="shared" si="31"/>
        <v>7.2</v>
      </c>
      <c r="FI39" s="121">
        <f t="shared" si="32"/>
        <v>39</v>
      </c>
      <c r="FJ39" s="144">
        <f t="shared" si="33"/>
        <v>0.14583333333333334</v>
      </c>
      <c r="FK39" s="132">
        <f t="shared" si="34"/>
        <v>0</v>
      </c>
      <c r="FL39" s="115">
        <f t="shared" si="34"/>
        <v>-1</v>
      </c>
      <c r="FM39" s="115">
        <f t="shared" si="34"/>
        <v>-3</v>
      </c>
      <c r="FN39" s="115">
        <f t="shared" si="34"/>
        <v>-1</v>
      </c>
      <c r="FO39" s="115">
        <f t="shared" si="35"/>
        <v>0</v>
      </c>
      <c r="FP39" s="115">
        <f t="shared" si="35"/>
        <v>0</v>
      </c>
      <c r="FQ39" s="149">
        <f t="shared" si="35"/>
        <v>1.6686559999999995</v>
      </c>
      <c r="FR39" s="142">
        <f t="shared" si="35"/>
        <v>2</v>
      </c>
      <c r="FS39" s="119">
        <f t="shared" si="35"/>
        <v>0</v>
      </c>
      <c r="FT39" s="121">
        <f t="shared" si="35"/>
        <v>0.69999999999999929</v>
      </c>
      <c r="FU39" s="121">
        <f t="shared" si="36"/>
        <v>0</v>
      </c>
      <c r="FV39" s="121">
        <f t="shared" si="36"/>
        <v>0.20000000000000018</v>
      </c>
      <c r="FW39" s="121">
        <f t="shared" si="37"/>
        <v>-192.71115643426833</v>
      </c>
      <c r="FX39" s="121">
        <f t="shared" si="38"/>
        <v>-3</v>
      </c>
      <c r="FY39" s="144">
        <f t="shared" si="38"/>
        <v>2.2644927536231887E-2</v>
      </c>
      <c r="FZ39" s="145" t="s">
        <v>199</v>
      </c>
      <c r="GA39" s="151" t="s">
        <v>303</v>
      </c>
      <c r="GB39" s="145" t="s">
        <v>199</v>
      </c>
      <c r="GC39" s="151" t="s">
        <v>304</v>
      </c>
      <c r="GD39" s="997" t="s">
        <v>238</v>
      </c>
      <c r="GE39" s="1004" t="s">
        <v>199</v>
      </c>
      <c r="GF39" s="1004">
        <v>-1.2682119999999992</v>
      </c>
      <c r="GG39" s="1004"/>
      <c r="GH39" s="1004">
        <v>0.50159999999999982</v>
      </c>
      <c r="GI39" s="145"/>
      <c r="GJ39" s="996">
        <v>0</v>
      </c>
      <c r="GK39" s="145"/>
      <c r="GL39" s="996">
        <v>-0.75240000000000151</v>
      </c>
      <c r="GM39" s="1005" t="s">
        <v>240</v>
      </c>
      <c r="GN39" s="996">
        <v>-1.1869193599999992</v>
      </c>
      <c r="GO39" s="1006"/>
      <c r="GP39" s="996">
        <v>-0.34873238399999806</v>
      </c>
      <c r="GQ39" s="1006"/>
      <c r="GR39" s="996">
        <v>0</v>
      </c>
      <c r="GS39" s="1006"/>
      <c r="GT39" s="996">
        <v>0</v>
      </c>
      <c r="GU39" s="1006"/>
      <c r="GV39" s="996">
        <v>0.70909854399999794</v>
      </c>
      <c r="GW39" s="1006"/>
      <c r="GX39" s="997">
        <v>-7.4646800000000013E-2</v>
      </c>
      <c r="GY39" s="1006" t="s">
        <v>199</v>
      </c>
      <c r="GZ39" s="996">
        <v>1.7395324399999996</v>
      </c>
      <c r="HA39" s="1006"/>
      <c r="HB39" s="996">
        <v>0</v>
      </c>
      <c r="HC39" s="1006" t="s">
        <v>199</v>
      </c>
      <c r="HD39" s="996">
        <v>-0.84981071999999891</v>
      </c>
      <c r="HE39" s="1006"/>
      <c r="HF39" s="996">
        <v>0</v>
      </c>
      <c r="HG39" s="1006"/>
      <c r="HH39" s="996">
        <v>-0.15237772000000049</v>
      </c>
      <c r="HI39" s="1006"/>
      <c r="HJ39" s="996">
        <v>-0.44558799999999898</v>
      </c>
      <c r="HK39" s="1006" t="s">
        <v>223</v>
      </c>
      <c r="HL39" s="996">
        <v>-1.4805560000000018</v>
      </c>
      <c r="HM39" s="1006"/>
      <c r="HN39" s="996">
        <v>0</v>
      </c>
      <c r="HO39" s="1006"/>
      <c r="HP39" s="996">
        <v>0</v>
      </c>
      <c r="HQ39" s="1006" t="s">
        <v>199</v>
      </c>
      <c r="HR39" s="996">
        <v>-2.5079999999999991</v>
      </c>
      <c r="HS39" s="1006"/>
      <c r="HT39" s="996">
        <v>0.16720000000000113</v>
      </c>
      <c r="HU39" s="1006"/>
      <c r="HV39" s="996">
        <v>0</v>
      </c>
      <c r="HW39" s="1006"/>
      <c r="HX39" s="996">
        <v>-0.83600000000000207</v>
      </c>
      <c r="HY39" s="1006"/>
      <c r="HZ39" s="996">
        <v>-0.75239999999999796</v>
      </c>
      <c r="IA39" s="1006"/>
      <c r="IB39" s="996">
        <v>0</v>
      </c>
      <c r="IC39" s="1006" t="s">
        <v>199</v>
      </c>
      <c r="ID39" s="996">
        <v>2.09</v>
      </c>
      <c r="IE39" s="1006"/>
      <c r="IF39" s="996">
        <v>0</v>
      </c>
      <c r="IG39" s="1006" t="s">
        <v>223</v>
      </c>
      <c r="IH39" s="996">
        <v>-1.2539999999999996</v>
      </c>
      <c r="II39" s="1006"/>
      <c r="IJ39" s="996">
        <v>0.41381999999999941</v>
      </c>
      <c r="IK39" s="1006" t="s">
        <v>203</v>
      </c>
      <c r="IL39" s="996">
        <v>-3.2002916835999962</v>
      </c>
      <c r="IM39" s="1006" t="s">
        <v>203</v>
      </c>
      <c r="IN39" s="996">
        <v>-0.98378381640000612</v>
      </c>
      <c r="IO39" s="1006" t="s">
        <v>203</v>
      </c>
      <c r="IP39" s="996">
        <v>-7.8319599115999985</v>
      </c>
      <c r="IQ39" s="1006" t="s">
        <v>25</v>
      </c>
      <c r="IR39" s="996">
        <v>24.3094154116</v>
      </c>
      <c r="IS39" s="1006"/>
      <c r="IT39" s="996">
        <v>0</v>
      </c>
      <c r="IU39" s="1006"/>
      <c r="IV39" s="996">
        <v>0</v>
      </c>
      <c r="IW39" s="1006"/>
      <c r="IX39" s="996">
        <v>0</v>
      </c>
      <c r="IY39" s="1006"/>
      <c r="IZ39" s="996">
        <v>0</v>
      </c>
      <c r="JA39" s="1006"/>
      <c r="JB39" s="996">
        <v>0</v>
      </c>
      <c r="JC39" s="1006"/>
      <c r="JD39" s="996">
        <v>0</v>
      </c>
      <c r="JE39" s="1006"/>
      <c r="JF39" s="996">
        <v>0</v>
      </c>
      <c r="JG39" s="1006"/>
      <c r="JH39" s="996">
        <v>0</v>
      </c>
      <c r="JI39" s="1006" t="s">
        <v>204</v>
      </c>
      <c r="JJ39" s="996">
        <v>-4.6815999999999995</v>
      </c>
      <c r="JK39" s="1007"/>
      <c r="JL39" s="1007">
        <v>0</v>
      </c>
      <c r="JM39" s="1007" t="s">
        <v>204</v>
      </c>
      <c r="JN39" s="1007">
        <v>2.4243999999999999</v>
      </c>
      <c r="JO39" s="1008"/>
      <c r="JP39" s="1007">
        <v>0</v>
      </c>
      <c r="JQ39" s="1008">
        <v>0</v>
      </c>
      <c r="JR39" s="1007">
        <v>0</v>
      </c>
      <c r="JS39" s="1008">
        <v>0</v>
      </c>
      <c r="JT39" s="1007">
        <v>0</v>
      </c>
      <c r="JU39" s="1008" t="s">
        <v>223</v>
      </c>
      <c r="JV39" s="1007">
        <v>-1.0867999999999998</v>
      </c>
      <c r="JW39" s="1008" t="s">
        <v>197</v>
      </c>
      <c r="JX39" s="1007">
        <v>0</v>
      </c>
      <c r="JY39" s="1008"/>
      <c r="JZ39" s="1007">
        <v>0</v>
      </c>
      <c r="KA39" s="1008"/>
      <c r="KB39" s="1007">
        <v>0</v>
      </c>
      <c r="KC39" s="1008"/>
      <c r="KD39" s="1007">
        <v>0</v>
      </c>
      <c r="KE39" s="1008"/>
      <c r="KF39" s="1007">
        <v>0</v>
      </c>
      <c r="KG39" s="1008"/>
      <c r="KH39" s="1007">
        <v>0</v>
      </c>
      <c r="KI39" s="1008" t="s">
        <v>206</v>
      </c>
      <c r="KJ39" s="1007">
        <v>-1.4211999999999998</v>
      </c>
      <c r="KK39" s="1008"/>
      <c r="KL39" s="1007">
        <v>0</v>
      </c>
      <c r="KM39" s="1008"/>
      <c r="KN39" s="1007">
        <v>0</v>
      </c>
      <c r="KO39" s="1008"/>
      <c r="KP39" s="1007">
        <v>0</v>
      </c>
      <c r="KQ39" s="1008">
        <v>0</v>
      </c>
      <c r="KR39" s="1007">
        <v>0</v>
      </c>
      <c r="KS39" s="1008" t="s">
        <v>206</v>
      </c>
      <c r="KT39" s="1007">
        <v>-3.2603999999999997</v>
      </c>
      <c r="KU39" s="1008">
        <v>0</v>
      </c>
      <c r="KV39" s="1007">
        <v>0</v>
      </c>
      <c r="KW39" s="1008">
        <v>0</v>
      </c>
      <c r="KX39" s="1007">
        <v>0</v>
      </c>
      <c r="KY39" s="1008">
        <v>0</v>
      </c>
      <c r="KZ39" s="1007">
        <v>0</v>
      </c>
      <c r="LA39" s="1008">
        <v>0</v>
      </c>
      <c r="LB39" s="1007">
        <v>0</v>
      </c>
      <c r="LC39" s="1008" t="s">
        <v>206</v>
      </c>
      <c r="LD39" s="1007">
        <v>4.5495119999999991</v>
      </c>
      <c r="LE39" s="1008">
        <v>0</v>
      </c>
      <c r="LF39" s="1007">
        <v>0</v>
      </c>
      <c r="LG39" s="1008">
        <v>0</v>
      </c>
      <c r="LH39" s="1007">
        <v>-0.45311200000000001</v>
      </c>
      <c r="LI39" s="1008">
        <v>0</v>
      </c>
      <c r="LJ39" s="1007">
        <v>0</v>
      </c>
      <c r="LK39" s="1008" t="s">
        <v>204</v>
      </c>
      <c r="LL39" s="1007">
        <v>-0.88281600000000005</v>
      </c>
      <c r="LM39" s="1008" t="s">
        <v>206</v>
      </c>
      <c r="LN39" s="1007">
        <v>0.89234599999999997</v>
      </c>
      <c r="LO39" s="1008">
        <v>0</v>
      </c>
      <c r="LP39" s="1007">
        <v>0.13242999999999999</v>
      </c>
      <c r="LQ39" s="1008">
        <v>0</v>
      </c>
      <c r="LR39" s="1007">
        <v>0</v>
      </c>
      <c r="LS39" s="1008">
        <v>0</v>
      </c>
      <c r="LT39" s="1007">
        <v>-0.8342444</v>
      </c>
      <c r="LU39" s="1008">
        <v>0</v>
      </c>
      <c r="LV39" s="1007">
        <v>0</v>
      </c>
      <c r="LW39" s="1008" t="s">
        <v>223</v>
      </c>
      <c r="LX39" s="1007">
        <v>-2.4612980000000002</v>
      </c>
      <c r="LY39" s="1009">
        <v>0</v>
      </c>
      <c r="LZ39" s="1010">
        <v>-1.7121200000000001</v>
      </c>
      <c r="MA39" s="1011">
        <v>0</v>
      </c>
      <c r="MB39" s="1012">
        <v>0</v>
      </c>
      <c r="MC39" s="995"/>
      <c r="MD39" s="996"/>
      <c r="ME39" s="997" t="s">
        <v>238</v>
      </c>
      <c r="MF39" s="997">
        <f t="shared" si="39"/>
        <v>20</v>
      </c>
      <c r="MG39" s="998"/>
      <c r="NR39" s="1000"/>
      <c r="NS39" s="1000"/>
      <c r="NT39" s="1001"/>
      <c r="NU39" s="1000"/>
      <c r="NV39" s="1001"/>
      <c r="NX39" s="1002"/>
      <c r="NZ39" s="1001"/>
      <c r="OA39" s="1001"/>
      <c r="OC39" s="1003"/>
      <c r="OD39" s="1003"/>
      <c r="OE39" s="1001"/>
      <c r="OF39" s="1003"/>
      <c r="OG39" s="1003"/>
      <c r="OH39" s="1003"/>
      <c r="OI39" s="1016"/>
      <c r="OJ39" s="1016"/>
      <c r="QX39" s="1000">
        <f>CN39-CA39</f>
        <v>20</v>
      </c>
      <c r="ASU39" s="999" t="s">
        <v>208</v>
      </c>
    </row>
    <row r="40" spans="1:466 1191:1191" ht="21" customHeight="1" x14ac:dyDescent="0.25">
      <c r="A40" s="982" t="str">
        <f t="shared" si="0"/>
        <v>6р</v>
      </c>
      <c r="B40" s="124">
        <f>SUBTOTAL(103,$J$29:J40)</f>
        <v>12</v>
      </c>
      <c r="C40" s="126">
        <v>45096</v>
      </c>
      <c r="D40" s="124" t="s">
        <v>176</v>
      </c>
      <c r="E40" s="127" t="s">
        <v>177</v>
      </c>
      <c r="F40" s="128" t="s">
        <v>177</v>
      </c>
      <c r="G40" s="127" t="s">
        <v>178</v>
      </c>
      <c r="H40" s="127" t="s">
        <v>226</v>
      </c>
      <c r="I40" s="127" t="s">
        <v>242</v>
      </c>
      <c r="J40" s="152" t="s">
        <v>305</v>
      </c>
      <c r="K40" s="127" t="s">
        <v>182</v>
      </c>
      <c r="L40" s="130">
        <v>34875</v>
      </c>
      <c r="M40" s="127" t="s">
        <v>183</v>
      </c>
      <c r="N40" s="127" t="s">
        <v>231</v>
      </c>
      <c r="O40" s="127" t="s">
        <v>185</v>
      </c>
      <c r="P40" s="127" t="s">
        <v>208</v>
      </c>
      <c r="Q40" s="85">
        <f t="shared" si="40"/>
        <v>-4</v>
      </c>
      <c r="R40" s="130">
        <v>41551</v>
      </c>
      <c r="S40" s="128" t="s">
        <v>211</v>
      </c>
      <c r="T40" s="131" t="s">
        <v>212</v>
      </c>
      <c r="U40" s="132">
        <v>203</v>
      </c>
      <c r="V40" s="121">
        <v>218.2</v>
      </c>
      <c r="W40" s="116">
        <v>0.98</v>
      </c>
      <c r="X40" s="116">
        <v>1.66</v>
      </c>
      <c r="Y40" s="116">
        <f t="shared" si="1"/>
        <v>0.98040161029819439</v>
      </c>
      <c r="Z40" s="133">
        <v>1.454</v>
      </c>
      <c r="AA40" s="133">
        <v>0.83599999999999997</v>
      </c>
      <c r="AB40" s="133">
        <v>0.72</v>
      </c>
      <c r="AC40" s="121">
        <v>34.299999999999997</v>
      </c>
      <c r="AD40" s="134">
        <v>1.17</v>
      </c>
      <c r="AE40" s="124">
        <v>139.69999999999999</v>
      </c>
      <c r="AF40" s="128">
        <v>7.72</v>
      </c>
      <c r="AG40" s="128">
        <v>1995</v>
      </c>
      <c r="AH40" s="127">
        <v>1950</v>
      </c>
      <c r="AI40" s="127">
        <v>1950</v>
      </c>
      <c r="AJ40" s="135"/>
      <c r="AK40" s="128"/>
      <c r="AL40" s="131"/>
      <c r="AM40" s="124" t="s">
        <v>187</v>
      </c>
      <c r="AN40" s="136" t="s">
        <v>306</v>
      </c>
      <c r="AO40" s="137">
        <v>81.650000000000006</v>
      </c>
      <c r="AP40" s="128">
        <v>1862</v>
      </c>
      <c r="AQ40" s="128">
        <v>1.75</v>
      </c>
      <c r="AR40" s="128"/>
      <c r="AS40" s="128"/>
      <c r="AT40" s="122"/>
      <c r="AU40" s="124" t="s">
        <v>189</v>
      </c>
      <c r="AV40" s="115">
        <f>VLOOKUP(J40,'[63]ТР нефть'!$J$28:$BP$638,39,0)</f>
        <v>549.85919999999999</v>
      </c>
      <c r="AW40" s="115" t="str">
        <f>VLOOKUP(J40,'[63]ТР нефть'!$J$28:$BP$638,40,0)</f>
        <v>ГК 78 1/8</v>
      </c>
      <c r="AX40" s="115">
        <f>VLOOKUP(J40,'[63]ТР нефть'!$J$28:$BP$638,41,0)</f>
        <v>1239.9264000000001</v>
      </c>
      <c r="AY40" s="115" t="str">
        <f>VLOOKUP(J40,'[63]ТР нефть'!$J$28:$BP$638,42,0)</f>
        <v>ГК 76 1/8</v>
      </c>
      <c r="AZ40" s="115">
        <f>VLOOKUP(J40,'[63]ТР нефть'!$J$28:$BP$638,43,0)</f>
        <v>1748.9423999999999</v>
      </c>
      <c r="BA40" s="115" t="str">
        <f>VLOOKUP(J40,'[63]ТР нефть'!$J$28:$BP$638,44,0)</f>
        <v>ЦКсОК 5/16</v>
      </c>
      <c r="BB40" s="115" t="str">
        <f>VLOOKUP(J40,'[63]ТР нефть'!$J$28:$BP$638,45,0)</f>
        <v>-</v>
      </c>
      <c r="BC40" s="115" t="str">
        <f>VLOOKUP(J40,'[63]ТР нефть'!$J$28:$BP$638,46,0)</f>
        <v>-</v>
      </c>
      <c r="BD40" s="115" t="str">
        <f>VLOOKUP(J40,'[63]ТР нефть'!$J$28:$BP$638,47,0)</f>
        <v>-</v>
      </c>
      <c r="BE40" s="115" t="str">
        <f>VLOOKUP(J40,'[63]ТР нефть'!$J$28:$BP$638,48,0)</f>
        <v>-</v>
      </c>
      <c r="BF40" s="115" t="str">
        <f>VLOOKUP(J40,'[63]ТР нефть'!$J$28:$BP$638,49,0)</f>
        <v>-</v>
      </c>
      <c r="BG40" s="115" t="str">
        <f>VLOOKUP(J40,'[63]ТР нефть'!$J$28:$BP$638,50,0)</f>
        <v>-</v>
      </c>
      <c r="BH40" s="115">
        <f>VLOOKUP(J40,'[63]ТР нефть'!$J$28:$BP$638,51,0)</f>
        <v>1768</v>
      </c>
      <c r="BI40" s="115" t="str">
        <f>VLOOKUP(J40,'[63]ТР нефть'!$J$28:$BP$638,52,0)</f>
        <v>закрыт</v>
      </c>
      <c r="BJ40" s="115" t="str">
        <f>IF(IFERROR(VLOOKUP(J40,'[63]ТР нефть'!$J$28:$BP$638,53,0),"-")=0,"-",IFERROR(VLOOKUP(J40,'[63]ТР нефть'!$J$28:$BP$638,53,0),"-"))</f>
        <v>-</v>
      </c>
      <c r="BK40" s="138" t="str">
        <f>IF(IFERROR(VLOOKUP(J40,'[63]ТР нефть'!$J$28:$BP$638,54,0),"-")=0,"-",IFERROR(VLOOKUP(J40,'[63]ТР нефть'!$J$28:$BP$638,54,0),"-"))</f>
        <v>-</v>
      </c>
      <c r="BL40" s="138" t="str">
        <f>IF(IFERROR(VLOOKUP(J40,'[63]ТР нефть'!$J$28:$BP$638,55,0),"-")=0,"-",IFERROR(VLOOKUP(J40,'[63]ТР нефть'!$J$28:$BP$638,55,0),"-"))</f>
        <v>-</v>
      </c>
      <c r="BM40" s="138" t="str">
        <f>IF(IFERROR(VLOOKUP(J40,'[63]ТР нефть'!$J$28:$BP$638,56,0),"-")=0,"-",IFERROR(VLOOKUP(J40,'[63]ТР нефть'!$J$28:$BP$638,56,0),"-"))</f>
        <v>-</v>
      </c>
      <c r="BN40" s="138" t="str">
        <f>IF(IFERROR(VLOOKUP(J40,'[63]ТР нефть'!$J$28:$BP$638,57,0),"-")=0,"-",IFERROR(VLOOKUP(J40,'[63]ТР нефть'!$J$28:$BP$638,57,0),"-"))</f>
        <v>-</v>
      </c>
      <c r="BO40" s="115" t="str">
        <f>IF(IFERROR(VLOOKUP(J40,'[63]ТР нефть'!$J$28:$BP$638,58,0),"-")=0,"-",IFERROR(VLOOKUP(J40,'[63]ТР нефть'!$J$28:$BP$638,58,0),"-"))</f>
        <v>-</v>
      </c>
      <c r="BP40" s="115" t="str">
        <f>IF(IFERROR(VLOOKUP(J40,'[63]ТР нефть'!$J$28:$BP$638,59,0),"-")=0,"-",IFERROR(VLOOKUP(J40,'[63]ТР нефть'!$J$28:$BP$638,59,0),"-"))</f>
        <v>-</v>
      </c>
      <c r="BQ40" s="138">
        <v>1842</v>
      </c>
      <c r="BR40" s="128">
        <v>1840</v>
      </c>
      <c r="BS40" s="115">
        <f t="shared" si="2"/>
        <v>2</v>
      </c>
      <c r="BT40" s="128">
        <v>73</v>
      </c>
      <c r="BU40" s="128">
        <v>5.5</v>
      </c>
      <c r="BV40" s="127">
        <v>65</v>
      </c>
      <c r="BW40" s="127" t="s">
        <v>217</v>
      </c>
      <c r="BX40" s="127" t="s">
        <v>195</v>
      </c>
      <c r="BY40" s="139">
        <v>24</v>
      </c>
      <c r="BZ40" s="139">
        <v>0</v>
      </c>
      <c r="CA40" s="138">
        <v>18</v>
      </c>
      <c r="CB40" s="138">
        <v>34</v>
      </c>
      <c r="CC40" s="138">
        <v>17</v>
      </c>
      <c r="CD40" s="135">
        <v>45017</v>
      </c>
      <c r="CE40" s="138">
        <v>63</v>
      </c>
      <c r="CF40" s="138">
        <v>65</v>
      </c>
      <c r="CG40" s="138" t="str">
        <f t="shared" si="3"/>
        <v>В работе</v>
      </c>
      <c r="CH40" s="138" t="s">
        <v>235</v>
      </c>
      <c r="CI40" s="127">
        <v>6</v>
      </c>
      <c r="CJ40" s="138"/>
      <c r="CK40" s="138"/>
      <c r="CL40" s="99"/>
      <c r="CM40" s="99"/>
      <c r="CN40" s="156">
        <v>36</v>
      </c>
      <c r="CO40" s="141">
        <f t="shared" si="4"/>
        <v>10.021967999999999</v>
      </c>
      <c r="CP40" s="142">
        <v>12</v>
      </c>
      <c r="CQ40" s="143">
        <v>0.1</v>
      </c>
      <c r="CR40" s="138">
        <v>17</v>
      </c>
      <c r="CS40" s="139">
        <v>7.2</v>
      </c>
      <c r="CT40" s="138"/>
      <c r="CU40" s="138">
        <f t="shared" si="5"/>
        <v>9.8000000000000007</v>
      </c>
      <c r="CV40" s="115">
        <f t="shared" si="6"/>
        <v>977.85185504483752</v>
      </c>
      <c r="CW40" s="115">
        <f t="shared" si="7"/>
        <v>717.42701973641726</v>
      </c>
      <c r="CX40" s="133">
        <f t="shared" si="8"/>
        <v>0.44444444444444442</v>
      </c>
      <c r="CY40" s="116"/>
      <c r="CZ40" s="131"/>
      <c r="DA40" s="145" t="str">
        <f t="shared" si="9"/>
        <v>Газлифт</v>
      </c>
      <c r="DB40" s="146">
        <f t="shared" si="10"/>
        <v>10.021967999999999</v>
      </c>
      <c r="DC40" s="142">
        <f t="shared" si="11"/>
        <v>12</v>
      </c>
      <c r="DD40" s="119">
        <f t="shared" si="12"/>
        <v>0.1</v>
      </c>
      <c r="DE40" s="115">
        <f t="shared" si="13"/>
        <v>9.8000000000000007</v>
      </c>
      <c r="DF40" s="121">
        <f t="shared" si="14"/>
        <v>7.2</v>
      </c>
      <c r="DG40" s="115">
        <f t="shared" si="15"/>
        <v>977.85185504483752</v>
      </c>
      <c r="DH40" s="115">
        <f t="shared" si="16"/>
        <v>36</v>
      </c>
      <c r="DI40" s="147"/>
      <c r="DJ40" s="111" t="s">
        <v>197</v>
      </c>
      <c r="DK40" s="112">
        <v>41575</v>
      </c>
      <c r="DL40" s="113">
        <f t="shared" ca="1" si="17"/>
        <v>3529</v>
      </c>
      <c r="DM40" s="114"/>
      <c r="DN40" s="114"/>
      <c r="DO40" s="114"/>
      <c r="DP40" s="114"/>
      <c r="DQ40" s="112">
        <v>41636</v>
      </c>
      <c r="DR40" s="114" t="s">
        <v>198</v>
      </c>
      <c r="DS40" s="114"/>
      <c r="DT40" s="115">
        <v>41</v>
      </c>
      <c r="DU40" s="116">
        <f t="shared" si="18"/>
        <v>0.54545454545454541</v>
      </c>
      <c r="DV40" s="117">
        <f t="shared" si="19"/>
        <v>10.021967999999999</v>
      </c>
      <c r="DW40" s="118">
        <f t="shared" si="20"/>
        <v>12</v>
      </c>
      <c r="DX40" s="119">
        <f t="shared" si="21"/>
        <v>0.1</v>
      </c>
      <c r="DY40" s="115">
        <f t="shared" si="22"/>
        <v>9.8000000000000007</v>
      </c>
      <c r="DZ40" s="117">
        <f t="shared" si="23"/>
        <v>0</v>
      </c>
      <c r="EA40" s="120">
        <f t="shared" si="23"/>
        <v>0</v>
      </c>
      <c r="EB40" s="119">
        <f t="shared" si="23"/>
        <v>0</v>
      </c>
      <c r="EC40" s="121">
        <f t="shared" si="24"/>
        <v>0</v>
      </c>
      <c r="ED40" s="122"/>
      <c r="EE40" s="145">
        <v>65</v>
      </c>
      <c r="EF40" s="115">
        <v>19</v>
      </c>
      <c r="EG40" s="115">
        <v>34</v>
      </c>
      <c r="EH40" s="115">
        <v>18</v>
      </c>
      <c r="EI40" s="128" t="s">
        <v>195</v>
      </c>
      <c r="EJ40" s="121">
        <v>24</v>
      </c>
      <c r="EK40" s="121">
        <v>0</v>
      </c>
      <c r="EL40" s="149">
        <v>9.4279063999999995</v>
      </c>
      <c r="EM40" s="142">
        <v>11.3</v>
      </c>
      <c r="EN40" s="119">
        <v>0.2</v>
      </c>
      <c r="EO40" s="115">
        <v>14.8</v>
      </c>
      <c r="EP40" s="115">
        <v>933.39916908805969</v>
      </c>
      <c r="EQ40" s="115">
        <v>65</v>
      </c>
      <c r="ER40" s="115">
        <v>6</v>
      </c>
      <c r="ES40" s="115">
        <v>38</v>
      </c>
      <c r="ET40" s="150">
        <v>0.3228571428571429</v>
      </c>
      <c r="EU40" s="145">
        <f t="shared" si="25"/>
        <v>65</v>
      </c>
      <c r="EV40" s="115">
        <f t="shared" si="26"/>
        <v>18</v>
      </c>
      <c r="EW40" s="115">
        <f t="shared" si="26"/>
        <v>34</v>
      </c>
      <c r="EX40" s="115">
        <f t="shared" si="26"/>
        <v>17</v>
      </c>
      <c r="EY40" s="115" t="str">
        <f t="shared" si="27"/>
        <v>Постоянный</v>
      </c>
      <c r="EZ40" s="115">
        <f t="shared" si="27"/>
        <v>24</v>
      </c>
      <c r="FA40" s="115">
        <f t="shared" si="27"/>
        <v>0</v>
      </c>
      <c r="FB40" s="149">
        <f t="shared" si="28"/>
        <v>10.021967999999999</v>
      </c>
      <c r="FC40" s="142">
        <f t="shared" si="28"/>
        <v>12</v>
      </c>
      <c r="FD40" s="119">
        <f t="shared" si="28"/>
        <v>0.1</v>
      </c>
      <c r="FE40" s="121">
        <f t="shared" si="28"/>
        <v>17</v>
      </c>
      <c r="FF40" s="121">
        <f t="shared" si="29"/>
        <v>977.85185504483752</v>
      </c>
      <c r="FG40" s="121">
        <f t="shared" si="30"/>
        <v>65</v>
      </c>
      <c r="FH40" s="121">
        <f t="shared" si="31"/>
        <v>7.2</v>
      </c>
      <c r="FI40" s="121">
        <f t="shared" si="32"/>
        <v>36</v>
      </c>
      <c r="FJ40" s="144">
        <f t="shared" si="33"/>
        <v>0.44444444444444442</v>
      </c>
      <c r="FK40" s="132">
        <f t="shared" si="34"/>
        <v>0</v>
      </c>
      <c r="FL40" s="115">
        <f t="shared" si="34"/>
        <v>-1</v>
      </c>
      <c r="FM40" s="115">
        <f t="shared" si="34"/>
        <v>0</v>
      </c>
      <c r="FN40" s="115">
        <f t="shared" si="34"/>
        <v>-1</v>
      </c>
      <c r="FO40" s="115">
        <f t="shared" si="35"/>
        <v>0</v>
      </c>
      <c r="FP40" s="115">
        <f t="shared" si="35"/>
        <v>0</v>
      </c>
      <c r="FQ40" s="149">
        <f t="shared" si="35"/>
        <v>0.59406159999999986</v>
      </c>
      <c r="FR40" s="142">
        <f t="shared" si="35"/>
        <v>0.69999999999999929</v>
      </c>
      <c r="FS40" s="119">
        <f t="shared" si="35"/>
        <v>-0.1</v>
      </c>
      <c r="FT40" s="121">
        <f t="shared" si="35"/>
        <v>2.1999999999999993</v>
      </c>
      <c r="FU40" s="121">
        <f t="shared" si="36"/>
        <v>0</v>
      </c>
      <c r="FV40" s="121">
        <f t="shared" si="36"/>
        <v>1.2000000000000002</v>
      </c>
      <c r="FW40" s="121">
        <f t="shared" si="37"/>
        <v>44.452685956777827</v>
      </c>
      <c r="FX40" s="121">
        <f t="shared" si="38"/>
        <v>-2</v>
      </c>
      <c r="FY40" s="144">
        <f t="shared" si="38"/>
        <v>0.12158730158730152</v>
      </c>
      <c r="FZ40" s="124"/>
      <c r="GA40" s="151" t="s">
        <v>303</v>
      </c>
      <c r="GB40" s="145" t="s">
        <v>204</v>
      </c>
      <c r="GC40" s="151" t="s">
        <v>307</v>
      </c>
      <c r="GD40" s="997" t="s">
        <v>238</v>
      </c>
      <c r="GE40" s="1004" t="s">
        <v>204</v>
      </c>
      <c r="GF40" s="1004">
        <v>-1.4183576000000002</v>
      </c>
      <c r="GG40" s="1004" t="s">
        <v>204</v>
      </c>
      <c r="GH40" s="1004">
        <v>-1.6686560000000004</v>
      </c>
      <c r="GI40" s="145" t="s">
        <v>204</v>
      </c>
      <c r="GJ40" s="996">
        <v>4.91036304</v>
      </c>
      <c r="GK40" s="145"/>
      <c r="GL40" s="996">
        <v>-0.69803491999999956</v>
      </c>
      <c r="GM40" s="1005"/>
      <c r="GN40" s="996">
        <v>0</v>
      </c>
      <c r="GO40" s="1006"/>
      <c r="GP40" s="996">
        <v>0</v>
      </c>
      <c r="GQ40" s="1006" t="s">
        <v>203</v>
      </c>
      <c r="GR40" s="996">
        <v>-2.8450661712000009</v>
      </c>
      <c r="GS40" s="1006"/>
      <c r="GT40" s="996">
        <v>0</v>
      </c>
      <c r="GU40" s="1006" t="s">
        <v>308</v>
      </c>
      <c r="GV40" s="996">
        <v>2.1296926111999994</v>
      </c>
      <c r="GW40" s="1006" t="s">
        <v>204</v>
      </c>
      <c r="GX40" s="997">
        <v>0</v>
      </c>
      <c r="GY40" s="1006" t="s">
        <v>204</v>
      </c>
      <c r="GZ40" s="996">
        <v>1.6026454400000016</v>
      </c>
      <c r="HA40" s="1006"/>
      <c r="HB40" s="996">
        <v>0</v>
      </c>
      <c r="HC40" s="1006"/>
      <c r="HD40" s="996">
        <v>0</v>
      </c>
      <c r="HE40" s="1006"/>
      <c r="HF40" s="996">
        <v>0</v>
      </c>
      <c r="HG40" s="1006"/>
      <c r="HH40" s="996">
        <v>-0.52667999999999981</v>
      </c>
      <c r="HI40" s="1006" t="s">
        <v>204</v>
      </c>
      <c r="HJ40" s="996">
        <v>-1.3459600000000007</v>
      </c>
      <c r="HK40" s="1006"/>
      <c r="HL40" s="996">
        <v>-1.2040000000000717E-2</v>
      </c>
      <c r="HM40" s="1006"/>
      <c r="HN40" s="996">
        <v>1.7948919999999999</v>
      </c>
      <c r="HO40" s="1006" t="s">
        <v>204</v>
      </c>
      <c r="HP40" s="996">
        <v>2.6935919999999998</v>
      </c>
      <c r="HQ40" s="1006"/>
      <c r="HR40" s="996">
        <v>0</v>
      </c>
      <c r="HS40" s="1006"/>
      <c r="HT40" s="996">
        <v>0</v>
      </c>
      <c r="HU40" s="1006" t="s">
        <v>241</v>
      </c>
      <c r="HV40" s="996">
        <v>1.7555999999999998</v>
      </c>
      <c r="HW40" s="1006"/>
      <c r="HX40" s="996">
        <v>0</v>
      </c>
      <c r="HY40" s="1006"/>
      <c r="HZ40" s="996">
        <v>0</v>
      </c>
      <c r="IA40" s="1006"/>
      <c r="IB40" s="996">
        <v>0</v>
      </c>
      <c r="IC40" s="1006"/>
      <c r="ID40" s="996">
        <v>0</v>
      </c>
      <c r="IE40" s="1006" t="s">
        <v>199</v>
      </c>
      <c r="IF40" s="996">
        <v>-5.683462399999998</v>
      </c>
      <c r="IG40" s="1006"/>
      <c r="IH40" s="996">
        <v>0</v>
      </c>
      <c r="II40" s="1006"/>
      <c r="IJ40" s="996">
        <v>0</v>
      </c>
      <c r="IK40" s="1006" t="s">
        <v>199</v>
      </c>
      <c r="IL40" s="996">
        <v>1.6706623999999985</v>
      </c>
      <c r="IM40" s="1006"/>
      <c r="IN40" s="996">
        <v>0</v>
      </c>
      <c r="IO40" s="1006"/>
      <c r="IP40" s="996">
        <v>0</v>
      </c>
      <c r="IQ40" s="1006"/>
      <c r="IR40" s="996">
        <v>0</v>
      </c>
      <c r="IS40" s="1006"/>
      <c r="IT40" s="996">
        <v>0</v>
      </c>
      <c r="IU40" s="1006"/>
      <c r="IV40" s="996">
        <v>0</v>
      </c>
      <c r="IW40" s="1006"/>
      <c r="IX40" s="996">
        <v>0</v>
      </c>
      <c r="IY40" s="1006"/>
      <c r="IZ40" s="996">
        <v>0.8360000000000003</v>
      </c>
      <c r="JA40" s="1006"/>
      <c r="JB40" s="996">
        <v>-0.8360000000000003</v>
      </c>
      <c r="JC40" s="1006" t="s">
        <v>204</v>
      </c>
      <c r="JD40" s="996">
        <v>-1.5048000000000004</v>
      </c>
      <c r="JE40" s="1006"/>
      <c r="JF40" s="996">
        <v>0</v>
      </c>
      <c r="JG40" s="1006"/>
      <c r="JH40" s="996">
        <v>0</v>
      </c>
      <c r="JI40" s="1006"/>
      <c r="JJ40" s="996">
        <v>0</v>
      </c>
      <c r="JK40" s="1007"/>
      <c r="JL40" s="1007">
        <v>0</v>
      </c>
      <c r="JM40" s="1007"/>
      <c r="JN40" s="1007">
        <v>0</v>
      </c>
      <c r="JO40" s="1008"/>
      <c r="JP40" s="1007">
        <v>0</v>
      </c>
      <c r="JQ40" s="1008" t="s">
        <v>204</v>
      </c>
      <c r="JR40" s="1007">
        <v>-8.8281599999999969</v>
      </c>
      <c r="JS40" s="1008" t="s">
        <v>204</v>
      </c>
      <c r="JT40" s="1007">
        <v>9.9149599999999971</v>
      </c>
      <c r="JU40" s="1008" t="s">
        <v>199</v>
      </c>
      <c r="JV40" s="1007">
        <v>3.7619999999999996</v>
      </c>
      <c r="JW40" s="1008" t="s">
        <v>197</v>
      </c>
      <c r="JX40" s="1007">
        <v>0</v>
      </c>
      <c r="JY40" s="1008"/>
      <c r="JZ40" s="1007">
        <v>0</v>
      </c>
      <c r="KA40" s="1008"/>
      <c r="KB40" s="1007">
        <v>0</v>
      </c>
      <c r="KC40" s="1008"/>
      <c r="KD40" s="1007">
        <v>0</v>
      </c>
      <c r="KE40" s="1008"/>
      <c r="KF40" s="1007">
        <v>0</v>
      </c>
      <c r="KG40" s="1008"/>
      <c r="KH40" s="1007">
        <v>0</v>
      </c>
      <c r="KI40" s="1008"/>
      <c r="KJ40" s="1007">
        <v>0</v>
      </c>
      <c r="KK40" s="1008"/>
      <c r="KL40" s="1007">
        <v>0</v>
      </c>
      <c r="KM40" s="1008"/>
      <c r="KN40" s="1007">
        <v>0</v>
      </c>
      <c r="KO40" s="1008"/>
      <c r="KP40" s="1007">
        <v>0</v>
      </c>
      <c r="KQ40" s="1008">
        <v>0</v>
      </c>
      <c r="KR40" s="1007">
        <v>0</v>
      </c>
      <c r="KS40" s="1008">
        <v>0</v>
      </c>
      <c r="KT40" s="1007">
        <v>0</v>
      </c>
      <c r="KU40" s="1008">
        <v>0</v>
      </c>
      <c r="KV40" s="1007">
        <v>0</v>
      </c>
      <c r="KW40" s="1008" t="s">
        <v>224</v>
      </c>
      <c r="KX40" s="1007">
        <v>4.18</v>
      </c>
      <c r="KY40" s="1008">
        <v>0</v>
      </c>
      <c r="KZ40" s="1007">
        <v>-4.699783</v>
      </c>
      <c r="LA40" s="1008">
        <v>0</v>
      </c>
      <c r="LB40" s="1007">
        <v>0</v>
      </c>
      <c r="LC40" s="1008">
        <v>0</v>
      </c>
      <c r="LD40" s="1007">
        <v>0</v>
      </c>
      <c r="LE40" s="1008">
        <v>0</v>
      </c>
      <c r="LF40" s="1007">
        <v>0</v>
      </c>
      <c r="LG40" s="1008" t="s">
        <v>206</v>
      </c>
      <c r="LH40" s="1007">
        <v>-0.77470000000000006</v>
      </c>
      <c r="LI40" s="1008">
        <v>0</v>
      </c>
      <c r="LJ40" s="1007">
        <v>0</v>
      </c>
      <c r="LK40" s="1008">
        <v>0</v>
      </c>
      <c r="LL40" s="1007">
        <v>0</v>
      </c>
      <c r="LM40" s="1008">
        <v>0</v>
      </c>
      <c r="LN40" s="1007">
        <v>0</v>
      </c>
      <c r="LO40" s="1008">
        <v>0</v>
      </c>
      <c r="LP40" s="1007">
        <v>-0.271699999999999</v>
      </c>
      <c r="LQ40" s="1008">
        <v>0</v>
      </c>
      <c r="LR40" s="1007">
        <v>0</v>
      </c>
      <c r="LS40" s="1008">
        <v>0</v>
      </c>
      <c r="LT40" s="1007">
        <v>0</v>
      </c>
      <c r="LU40" s="1008">
        <v>0</v>
      </c>
      <c r="LV40" s="1007">
        <v>0.77617000000000003</v>
      </c>
      <c r="LW40" s="1008">
        <v>0</v>
      </c>
      <c r="LX40" s="1007">
        <v>0.45729199999999998</v>
      </c>
      <c r="LY40" s="1009">
        <v>0</v>
      </c>
      <c r="LZ40" s="1010">
        <v>0</v>
      </c>
      <c r="MA40" s="1011">
        <v>0</v>
      </c>
      <c r="MB40" s="1012">
        <v>0</v>
      </c>
      <c r="MC40" s="995"/>
      <c r="MD40" s="996"/>
      <c r="ME40" s="997" t="s">
        <v>238</v>
      </c>
      <c r="MF40" s="997">
        <f t="shared" si="39"/>
        <v>18</v>
      </c>
      <c r="MG40" s="998"/>
      <c r="NR40" s="1000"/>
      <c r="NS40" s="1000"/>
      <c r="NT40" s="1001"/>
      <c r="NU40" s="1000"/>
      <c r="NV40" s="1001"/>
      <c r="NX40" s="1002"/>
      <c r="NZ40" s="1001"/>
      <c r="OA40" s="1001"/>
      <c r="OC40" s="1003"/>
      <c r="OD40" s="1003"/>
      <c r="OE40" s="1001"/>
      <c r="OF40" s="1003"/>
      <c r="OG40" s="1003"/>
      <c r="QX40" s="1000">
        <f>CN40-CA40</f>
        <v>18</v>
      </c>
      <c r="ASU40" s="999" t="s">
        <v>208</v>
      </c>
    </row>
    <row r="41" spans="1:466 1191:1191" ht="21" customHeight="1" x14ac:dyDescent="0.25">
      <c r="A41" s="982" t="str">
        <f t="shared" si="0"/>
        <v>10-1</v>
      </c>
      <c r="B41" s="124">
        <f>SUBTOTAL(103,$J$29:J41)</f>
        <v>13</v>
      </c>
      <c r="C41" s="126">
        <v>45096</v>
      </c>
      <c r="D41" s="124" t="s">
        <v>176</v>
      </c>
      <c r="E41" s="127" t="s">
        <v>177</v>
      </c>
      <c r="F41" s="128" t="s">
        <v>177</v>
      </c>
      <c r="G41" s="127" t="s">
        <v>178</v>
      </c>
      <c r="H41" s="127" t="s">
        <v>226</v>
      </c>
      <c r="I41" s="127" t="s">
        <v>227</v>
      </c>
      <c r="J41" s="152" t="s">
        <v>309</v>
      </c>
      <c r="K41" s="127" t="s">
        <v>182</v>
      </c>
      <c r="L41" s="130">
        <v>37547</v>
      </c>
      <c r="M41" s="127" t="s">
        <v>230</v>
      </c>
      <c r="N41" s="127" t="s">
        <v>245</v>
      </c>
      <c r="O41" s="127" t="s">
        <v>185</v>
      </c>
      <c r="P41" s="127" t="s">
        <v>208</v>
      </c>
      <c r="Q41" s="85" t="str">
        <f t="shared" si="40"/>
        <v/>
      </c>
      <c r="R41" s="130"/>
      <c r="S41" s="128"/>
      <c r="T41" s="131"/>
      <c r="U41" s="132">
        <v>203</v>
      </c>
      <c r="V41" s="121">
        <v>218.2</v>
      </c>
      <c r="W41" s="116">
        <v>0.98</v>
      </c>
      <c r="X41" s="116">
        <v>1.66</v>
      </c>
      <c r="Y41" s="116">
        <f t="shared" si="1"/>
        <v>0.98140707761730661</v>
      </c>
      <c r="Z41" s="133">
        <v>1.454</v>
      </c>
      <c r="AA41" s="133">
        <v>0.83599999999999997</v>
      </c>
      <c r="AB41" s="133">
        <v>0.72</v>
      </c>
      <c r="AC41" s="121">
        <v>34.299999999999997</v>
      </c>
      <c r="AD41" s="134">
        <v>1.17</v>
      </c>
      <c r="AE41" s="124" t="s">
        <v>287</v>
      </c>
      <c r="AF41" s="128">
        <v>7.72</v>
      </c>
      <c r="AG41" s="128">
        <v>1982</v>
      </c>
      <c r="AH41" s="127">
        <v>2606</v>
      </c>
      <c r="AI41" s="127">
        <v>2606</v>
      </c>
      <c r="AJ41" s="135"/>
      <c r="AK41" s="128"/>
      <c r="AL41" s="131"/>
      <c r="AM41" s="124" t="s">
        <v>232</v>
      </c>
      <c r="AN41" s="136" t="s">
        <v>310</v>
      </c>
      <c r="AO41" s="137">
        <v>41.77</v>
      </c>
      <c r="AP41" s="128">
        <v>1970</v>
      </c>
      <c r="AQ41" s="128">
        <v>58</v>
      </c>
      <c r="AR41" s="128" t="s">
        <v>311</v>
      </c>
      <c r="AS41" s="128">
        <v>102</v>
      </c>
      <c r="AT41" s="122">
        <v>6.5</v>
      </c>
      <c r="AU41" s="124" t="s">
        <v>189</v>
      </c>
      <c r="AV41" s="115">
        <f>VLOOKUP(J41,'[63]ТР нефть'!$J$28:$BP$638,39,0)</f>
        <v>499.87200000000001</v>
      </c>
      <c r="AW41" s="115" t="str">
        <f>VLOOKUP(J41,'[63]ТР нефть'!$J$28:$BP$638,40,0)</f>
        <v>ГП</v>
      </c>
      <c r="AX41" s="115">
        <f>VLOOKUP(J41,'[63]ТР нефть'!$J$28:$BP$638,41,0)</f>
        <v>890.01599999999996</v>
      </c>
      <c r="AY41" s="115" t="str">
        <f>VLOOKUP(J41,'[63]ТР нефть'!$J$28:$BP$638,42,0)</f>
        <v>ГП</v>
      </c>
      <c r="AZ41" s="115">
        <f>VLOOKUP(J41,'[63]ТР нефть'!$J$28:$BP$638,43,0)</f>
        <v>1210.056</v>
      </c>
      <c r="BA41" s="115" t="str">
        <f>VLOOKUP(J41,'[63]ТР нефть'!$J$28:$BP$638,44,0)</f>
        <v>ГП</v>
      </c>
      <c r="BB41" s="115">
        <f>VLOOKUP(J41,'[63]ТР нефть'!$J$28:$BP$638,45,0)</f>
        <v>1449.9336000000001</v>
      </c>
      <c r="BC41" s="115" t="str">
        <f>VLOOKUP(J41,'[63]ТР нефть'!$J$28:$BP$638,46,0)</f>
        <v>ГК 100 1/8</v>
      </c>
      <c r="BD41" s="115">
        <f>VLOOKUP(J41,'[63]ТР нефть'!$J$28:$BP$638,47,0)</f>
        <v>1599.8951999999999</v>
      </c>
      <c r="BE41" s="115" t="str">
        <f>VLOOKUP(J41,'[63]ТР нефть'!$J$28:$BP$638,48,0)</f>
        <v>ЦКсОК 5/16</v>
      </c>
      <c r="BF41" s="115" t="str">
        <f>VLOOKUP(J41,'[63]ТР нефть'!$J$28:$BP$638,49,0)</f>
        <v>-</v>
      </c>
      <c r="BG41" s="115" t="str">
        <f>VLOOKUP(J41,'[63]ТР нефть'!$J$28:$BP$638,50,0)</f>
        <v>-</v>
      </c>
      <c r="BH41" s="115">
        <f>VLOOKUP(J41,'[63]ТР нефть'!$J$28:$BP$638,51,0)</f>
        <v>1610</v>
      </c>
      <c r="BI41" s="115" t="str">
        <f>VLOOKUP(J41,'[63]ТР нефть'!$J$28:$BP$638,52,0)</f>
        <v>закрыт</v>
      </c>
      <c r="BJ41" s="115" t="str">
        <f>IF(IFERROR(VLOOKUP(J41,'[63]ТР нефть'!$J$28:$BP$638,53,0),"-")=0,"-",IFERROR(VLOOKUP(J41,'[63]ТР нефть'!$J$28:$BP$638,53,0),"-"))</f>
        <v>-</v>
      </c>
      <c r="BK41" s="138" t="str">
        <f>IF(IFERROR(VLOOKUP(J41,'[63]ТР нефть'!$J$28:$BP$638,54,0),"-")=0,"-",IFERROR(VLOOKUP(J41,'[63]ТР нефть'!$J$28:$BP$638,54,0),"-"))</f>
        <v>-</v>
      </c>
      <c r="BL41" s="138" t="str">
        <f>IF(IFERROR(VLOOKUP(J41,'[63]ТР нефть'!$J$28:$BP$638,55,0),"-")=0,"-",IFERROR(VLOOKUP(J41,'[63]ТР нефть'!$J$28:$BP$638,55,0),"-"))</f>
        <v>-</v>
      </c>
      <c r="BM41" s="138" t="str">
        <f>IF(IFERROR(VLOOKUP(J41,'[63]ТР нефть'!$J$28:$BP$638,56,0),"-")=0,"-",IFERROR(VLOOKUP(J41,'[63]ТР нефть'!$J$28:$BP$638,56,0),"-"))</f>
        <v>-</v>
      </c>
      <c r="BN41" s="138" t="str">
        <f>IF(IFERROR(VLOOKUP(J41,'[63]ТР нефть'!$J$28:$BP$638,57,0),"-")=0,"-",IFERROR(VLOOKUP(J41,'[63]ТР нефть'!$J$28:$BP$638,57,0),"-"))</f>
        <v>-</v>
      </c>
      <c r="BO41" s="115" t="str">
        <f>IF(IFERROR(VLOOKUP(J41,'[63]ТР нефть'!$J$28:$BP$638,58,0),"-")=0,"-",IFERROR(VLOOKUP(J41,'[63]ТР нефть'!$J$28:$BP$638,58,0),"-"))</f>
        <v>-</v>
      </c>
      <c r="BP41" s="115" t="str">
        <f>IF(IFERROR(VLOOKUP(J41,'[63]ТР нефть'!$J$28:$BP$638,59,0),"-")=0,"-",IFERROR(VLOOKUP(J41,'[63]ТР нефть'!$J$28:$BP$638,59,0),"-"))</f>
        <v>-</v>
      </c>
      <c r="BQ41" s="138">
        <v>1970</v>
      </c>
      <c r="BR41" s="128">
        <v>1911.9</v>
      </c>
      <c r="BS41" s="115">
        <f t="shared" si="2"/>
        <v>58.099999999999909</v>
      </c>
      <c r="BT41" s="128">
        <v>73</v>
      </c>
      <c r="BU41" s="128">
        <v>5.5</v>
      </c>
      <c r="BV41" s="127">
        <v>18</v>
      </c>
      <c r="BW41" s="127" t="s">
        <v>234</v>
      </c>
      <c r="BX41" s="127" t="s">
        <v>195</v>
      </c>
      <c r="BY41" s="139">
        <v>24</v>
      </c>
      <c r="BZ41" s="139">
        <v>0</v>
      </c>
      <c r="CA41" s="138">
        <v>15</v>
      </c>
      <c r="CB41" s="138">
        <v>28</v>
      </c>
      <c r="CC41" s="138">
        <v>14</v>
      </c>
      <c r="CD41" s="135">
        <v>45017</v>
      </c>
      <c r="CE41" s="138">
        <v>86</v>
      </c>
      <c r="CF41" s="138">
        <v>83</v>
      </c>
      <c r="CG41" s="138" t="str">
        <f t="shared" si="3"/>
        <v>В работе</v>
      </c>
      <c r="CH41" s="138" t="s">
        <v>196</v>
      </c>
      <c r="CI41" s="138">
        <v>6</v>
      </c>
      <c r="CJ41" s="139"/>
      <c r="CK41" s="138"/>
      <c r="CL41" s="99"/>
      <c r="CM41" s="99"/>
      <c r="CN41" s="140">
        <v>34</v>
      </c>
      <c r="CO41" s="141">
        <f t="shared" si="4"/>
        <v>9.1638140000000003</v>
      </c>
      <c r="CP41" s="142">
        <v>11</v>
      </c>
      <c r="CQ41" s="143">
        <v>0.35</v>
      </c>
      <c r="CR41" s="138">
        <v>24</v>
      </c>
      <c r="CS41" s="139">
        <v>9.6</v>
      </c>
      <c r="CT41" s="138"/>
      <c r="CU41" s="138">
        <f t="shared" si="5"/>
        <v>14.4</v>
      </c>
      <c r="CV41" s="115">
        <f t="shared" si="6"/>
        <v>1571.3981100009232</v>
      </c>
      <c r="CW41" s="115">
        <f t="shared" si="7"/>
        <v>1042.5267285934783</v>
      </c>
      <c r="CX41" s="133">
        <f t="shared" si="8"/>
        <v>0.21153846153846154</v>
      </c>
      <c r="CY41" s="116"/>
      <c r="CZ41" s="131"/>
      <c r="DA41" s="145" t="str">
        <f t="shared" si="9"/>
        <v>Газлифт</v>
      </c>
      <c r="DB41" s="146">
        <f t="shared" si="10"/>
        <v>9.1638140000000003</v>
      </c>
      <c r="DC41" s="142">
        <f t="shared" si="11"/>
        <v>11</v>
      </c>
      <c r="DD41" s="119">
        <f t="shared" si="12"/>
        <v>0.35</v>
      </c>
      <c r="DE41" s="115">
        <f t="shared" si="13"/>
        <v>14.4</v>
      </c>
      <c r="DF41" s="121">
        <f t="shared" si="14"/>
        <v>9.6</v>
      </c>
      <c r="DG41" s="115">
        <f t="shared" si="15"/>
        <v>1571.3981100009232</v>
      </c>
      <c r="DH41" s="115">
        <f t="shared" si="16"/>
        <v>34</v>
      </c>
      <c r="DI41" s="147"/>
      <c r="DJ41" s="111" t="s">
        <v>197</v>
      </c>
      <c r="DK41" s="112">
        <v>42573</v>
      </c>
      <c r="DL41" s="113">
        <f t="shared" ca="1" si="17"/>
        <v>2531</v>
      </c>
      <c r="DM41" s="114"/>
      <c r="DN41" s="114"/>
      <c r="DO41" s="114"/>
      <c r="DP41" s="114"/>
      <c r="DQ41" s="112">
        <v>42555</v>
      </c>
      <c r="DR41" s="114" t="s">
        <v>282</v>
      </c>
      <c r="DS41" s="114" t="s">
        <v>312</v>
      </c>
      <c r="DT41" s="115">
        <v>31</v>
      </c>
      <c r="DU41" s="116">
        <f t="shared" si="18"/>
        <v>0.20705354715955424</v>
      </c>
      <c r="DV41" s="117">
        <f t="shared" si="19"/>
        <v>9.4870009710519181</v>
      </c>
      <c r="DW41" s="118">
        <f t="shared" si="20"/>
        <v>11.387945093775484</v>
      </c>
      <c r="DX41" s="119">
        <f t="shared" si="21"/>
        <v>0.35</v>
      </c>
      <c r="DY41" s="115">
        <f t="shared" si="22"/>
        <v>14.907855395487909</v>
      </c>
      <c r="DZ41" s="117">
        <f t="shared" si="23"/>
        <v>0.32318697105191774</v>
      </c>
      <c r="EA41" s="120">
        <f t="shared" si="23"/>
        <v>0.38794509377548358</v>
      </c>
      <c r="EB41" s="119">
        <f t="shared" si="23"/>
        <v>0</v>
      </c>
      <c r="EC41" s="121">
        <f t="shared" si="24"/>
        <v>0.50785539548790837</v>
      </c>
      <c r="ED41" s="122"/>
      <c r="EE41" s="145">
        <v>18</v>
      </c>
      <c r="EF41" s="115">
        <v>16</v>
      </c>
      <c r="EG41" s="115">
        <v>27</v>
      </c>
      <c r="EH41" s="115">
        <v>15</v>
      </c>
      <c r="EI41" s="128" t="s">
        <v>195</v>
      </c>
      <c r="EJ41" s="121">
        <v>24</v>
      </c>
      <c r="EK41" s="121">
        <v>0</v>
      </c>
      <c r="EL41" s="149">
        <v>6.3313623999999997</v>
      </c>
      <c r="EM41" s="142">
        <v>7.6</v>
      </c>
      <c r="EN41" s="119">
        <v>0.35</v>
      </c>
      <c r="EO41" s="115">
        <v>18.8</v>
      </c>
      <c r="EP41" s="115">
        <v>1421.4950008232036</v>
      </c>
      <c r="EQ41" s="115">
        <v>83</v>
      </c>
      <c r="ER41" s="115">
        <v>9.8000000000000007</v>
      </c>
      <c r="ES41" s="115">
        <v>36</v>
      </c>
      <c r="ET41" s="150">
        <v>0.152</v>
      </c>
      <c r="EU41" s="145">
        <f t="shared" si="25"/>
        <v>18</v>
      </c>
      <c r="EV41" s="115">
        <f t="shared" si="26"/>
        <v>15</v>
      </c>
      <c r="EW41" s="115">
        <f t="shared" si="26"/>
        <v>28</v>
      </c>
      <c r="EX41" s="115">
        <f t="shared" si="26"/>
        <v>14</v>
      </c>
      <c r="EY41" s="115" t="str">
        <f t="shared" si="27"/>
        <v>Постоянный</v>
      </c>
      <c r="EZ41" s="115">
        <f t="shared" si="27"/>
        <v>24</v>
      </c>
      <c r="FA41" s="115">
        <f t="shared" si="27"/>
        <v>0</v>
      </c>
      <c r="FB41" s="149">
        <f t="shared" si="28"/>
        <v>9.1638140000000003</v>
      </c>
      <c r="FC41" s="142">
        <f t="shared" si="28"/>
        <v>11</v>
      </c>
      <c r="FD41" s="119">
        <f t="shared" si="28"/>
        <v>0.35</v>
      </c>
      <c r="FE41" s="121">
        <f t="shared" si="28"/>
        <v>24</v>
      </c>
      <c r="FF41" s="121">
        <f t="shared" si="29"/>
        <v>1571.3981100009232</v>
      </c>
      <c r="FG41" s="121">
        <f t="shared" si="30"/>
        <v>83</v>
      </c>
      <c r="FH41" s="121">
        <f t="shared" si="31"/>
        <v>9.6</v>
      </c>
      <c r="FI41" s="121">
        <f t="shared" si="32"/>
        <v>34</v>
      </c>
      <c r="FJ41" s="144">
        <f t="shared" si="33"/>
        <v>0.21153846153846154</v>
      </c>
      <c r="FK41" s="132">
        <f t="shared" si="34"/>
        <v>0</v>
      </c>
      <c r="FL41" s="115">
        <f t="shared" si="34"/>
        <v>-1</v>
      </c>
      <c r="FM41" s="115">
        <f t="shared" si="34"/>
        <v>1</v>
      </c>
      <c r="FN41" s="115">
        <f t="shared" si="34"/>
        <v>-1</v>
      </c>
      <c r="FO41" s="115">
        <f t="shared" si="35"/>
        <v>0</v>
      </c>
      <c r="FP41" s="115">
        <f t="shared" si="35"/>
        <v>0</v>
      </c>
      <c r="FQ41" s="149">
        <f t="shared" si="35"/>
        <v>2.8324516000000006</v>
      </c>
      <c r="FR41" s="142">
        <f t="shared" si="35"/>
        <v>3.4000000000000004</v>
      </c>
      <c r="FS41" s="119">
        <f t="shared" si="35"/>
        <v>0</v>
      </c>
      <c r="FT41" s="121">
        <f t="shared" si="35"/>
        <v>5.1999999999999993</v>
      </c>
      <c r="FU41" s="121">
        <f t="shared" si="36"/>
        <v>0</v>
      </c>
      <c r="FV41" s="121">
        <f t="shared" si="36"/>
        <v>-0.20000000000000107</v>
      </c>
      <c r="FW41" s="121">
        <f t="shared" si="37"/>
        <v>149.90310917771967</v>
      </c>
      <c r="FX41" s="121">
        <f t="shared" si="38"/>
        <v>-2</v>
      </c>
      <c r="FY41" s="144">
        <f t="shared" si="38"/>
        <v>5.953846153846154E-2</v>
      </c>
      <c r="FZ41" s="145" t="s">
        <v>199</v>
      </c>
      <c r="GA41" s="151" t="s">
        <v>303</v>
      </c>
      <c r="GB41" s="145" t="s">
        <v>221</v>
      </c>
      <c r="GC41" s="151" t="s">
        <v>313</v>
      </c>
      <c r="GD41" s="997" t="s">
        <v>238</v>
      </c>
      <c r="GE41" s="1004" t="s">
        <v>221</v>
      </c>
      <c r="GF41" s="1004">
        <v>1.6711464439999988</v>
      </c>
      <c r="GG41" s="1004"/>
      <c r="GH41" s="1004">
        <v>0</v>
      </c>
      <c r="GI41" s="145"/>
      <c r="GJ41" s="996">
        <v>0</v>
      </c>
      <c r="GK41" s="145"/>
      <c r="GL41" s="996">
        <v>0</v>
      </c>
      <c r="GM41" s="1005"/>
      <c r="GN41" s="996">
        <v>0</v>
      </c>
      <c r="GO41" s="1006"/>
      <c r="GP41" s="996">
        <v>0</v>
      </c>
      <c r="GQ41" s="1006" t="s">
        <v>203</v>
      </c>
      <c r="GR41" s="996">
        <v>-1.2604196439999988</v>
      </c>
      <c r="GS41" s="1006"/>
      <c r="GT41" s="996">
        <v>0.40108771999999959</v>
      </c>
      <c r="GU41" s="1006"/>
      <c r="GV41" s="996">
        <v>0</v>
      </c>
      <c r="GW41" s="1006"/>
      <c r="GX41" s="997">
        <v>0.68854787999999978</v>
      </c>
      <c r="GY41" s="1006" t="s">
        <v>199</v>
      </c>
      <c r="GZ41" s="996">
        <v>1.0292398400000007</v>
      </c>
      <c r="HA41" s="1006" t="s">
        <v>223</v>
      </c>
      <c r="HB41" s="996">
        <v>-3.3058784000000001</v>
      </c>
      <c r="HC41" s="1006"/>
      <c r="HD41" s="996">
        <v>0</v>
      </c>
      <c r="HE41" s="1006"/>
      <c r="HF41" s="996">
        <v>0</v>
      </c>
      <c r="HG41" s="1006" t="s">
        <v>204</v>
      </c>
      <c r="HH41" s="996">
        <v>-0.19766384000000059</v>
      </c>
      <c r="HI41" s="1006"/>
      <c r="HJ41" s="996">
        <v>0.88231440000000116</v>
      </c>
      <c r="HK41" s="1006"/>
      <c r="HL41" s="996">
        <v>0</v>
      </c>
      <c r="HM41" s="1006"/>
      <c r="HN41" s="996">
        <v>-0.70817560000000146</v>
      </c>
      <c r="HO41" s="1006"/>
      <c r="HP41" s="996">
        <v>-0.2799763999999989</v>
      </c>
      <c r="HQ41" s="1006"/>
      <c r="HR41" s="996">
        <v>-0.1128600000000004</v>
      </c>
      <c r="HS41" s="1006"/>
      <c r="HT41" s="996">
        <v>0</v>
      </c>
      <c r="HU41" s="1006"/>
      <c r="HV41" s="996">
        <v>0</v>
      </c>
      <c r="HW41" s="1006"/>
      <c r="HX41" s="996">
        <v>0</v>
      </c>
      <c r="HY41" s="1006" t="s">
        <v>221</v>
      </c>
      <c r="HZ41" s="996">
        <v>-5.4239679999999995</v>
      </c>
      <c r="IA41" s="1006" t="s">
        <v>199</v>
      </c>
      <c r="IB41" s="996">
        <v>6.7369059999999994</v>
      </c>
      <c r="IC41" s="1006" t="s">
        <v>199</v>
      </c>
      <c r="ID41" s="996">
        <v>2.8904700000000001</v>
      </c>
      <c r="IE41" s="1006" t="s">
        <v>199</v>
      </c>
      <c r="IF41" s="996">
        <v>0</v>
      </c>
      <c r="IG41" s="1006"/>
      <c r="IH41" s="996">
        <v>0.56234376000000008</v>
      </c>
      <c r="II41" s="1006"/>
      <c r="IJ41" s="996">
        <v>0</v>
      </c>
      <c r="IK41" s="1006"/>
      <c r="IL41" s="996">
        <v>0</v>
      </c>
      <c r="IM41" s="1006"/>
      <c r="IN41" s="996">
        <v>0</v>
      </c>
      <c r="IO41" s="1006"/>
      <c r="IP41" s="996">
        <v>0</v>
      </c>
      <c r="IQ41" s="1006"/>
      <c r="IR41" s="996">
        <v>0</v>
      </c>
      <c r="IS41" s="1006"/>
      <c r="IT41" s="996">
        <v>-0.58508295999999982</v>
      </c>
      <c r="IU41" s="1006"/>
      <c r="IV41" s="996">
        <v>0</v>
      </c>
      <c r="IW41" s="1006"/>
      <c r="IX41" s="996">
        <v>0</v>
      </c>
      <c r="IY41" s="1006"/>
      <c r="IZ41" s="996">
        <v>0</v>
      </c>
      <c r="JA41" s="1006"/>
      <c r="JB41" s="996">
        <v>0</v>
      </c>
      <c r="JC41" s="1006"/>
      <c r="JD41" s="996">
        <v>0</v>
      </c>
      <c r="JE41" s="1006"/>
      <c r="JF41" s="996">
        <v>0</v>
      </c>
      <c r="JG41" s="1006"/>
      <c r="JH41" s="996">
        <v>0</v>
      </c>
      <c r="JI41" s="1006"/>
      <c r="JJ41" s="996">
        <v>0</v>
      </c>
      <c r="JK41" s="1007"/>
      <c r="JL41" s="1007">
        <v>0</v>
      </c>
      <c r="JM41" s="1007"/>
      <c r="JN41" s="1007">
        <v>0</v>
      </c>
      <c r="JO41" s="1008"/>
      <c r="JP41" s="1007">
        <v>0</v>
      </c>
      <c r="JQ41" s="1008">
        <v>0</v>
      </c>
      <c r="JR41" s="1007">
        <v>-6.6880000000013595E-4</v>
      </c>
      <c r="JS41" s="1008">
        <v>0</v>
      </c>
      <c r="JT41" s="1007">
        <v>0</v>
      </c>
      <c r="JU41" s="1008"/>
      <c r="JV41" s="1007">
        <v>-0.41800000000000015</v>
      </c>
      <c r="JW41" s="1008" t="s">
        <v>197</v>
      </c>
      <c r="JX41" s="1007">
        <v>0</v>
      </c>
      <c r="JY41" s="1008"/>
      <c r="JZ41" s="1007">
        <v>0</v>
      </c>
      <c r="KA41" s="1008" t="s">
        <v>204</v>
      </c>
      <c r="KB41" s="1007">
        <v>-2.5079999999999996</v>
      </c>
      <c r="KC41" s="1008"/>
      <c r="KD41" s="1007">
        <v>0</v>
      </c>
      <c r="KE41" s="1008"/>
      <c r="KF41" s="1007">
        <v>0</v>
      </c>
      <c r="KG41" s="1008" t="s">
        <v>204</v>
      </c>
      <c r="KH41" s="1007">
        <v>1.2539999999999996</v>
      </c>
      <c r="KI41" s="1008"/>
      <c r="KJ41" s="1007">
        <v>0</v>
      </c>
      <c r="KK41" s="1008"/>
      <c r="KL41" s="1007">
        <v>0</v>
      </c>
      <c r="KM41" s="1008"/>
      <c r="KN41" s="1007">
        <v>0</v>
      </c>
      <c r="KO41" s="1008" t="s">
        <v>314</v>
      </c>
      <c r="KP41" s="1007">
        <v>-1.6719999999999997</v>
      </c>
      <c r="KQ41" s="1008">
        <v>0</v>
      </c>
      <c r="KR41" s="1007">
        <v>0</v>
      </c>
      <c r="KS41" s="1008" t="s">
        <v>206</v>
      </c>
      <c r="KT41" s="1007">
        <v>0.8360000000000003</v>
      </c>
      <c r="KU41" s="1008" t="s">
        <v>260</v>
      </c>
      <c r="KV41" s="1007">
        <v>5.8519999999999994</v>
      </c>
      <c r="KW41" s="1008">
        <v>0</v>
      </c>
      <c r="KX41" s="1007">
        <v>3.3439999999999999</v>
      </c>
      <c r="KY41" s="1008">
        <v>0</v>
      </c>
      <c r="KZ41" s="1007">
        <v>0</v>
      </c>
      <c r="LA41" s="1008">
        <v>0</v>
      </c>
      <c r="LB41" s="1007">
        <v>0</v>
      </c>
      <c r="LC41" s="1008">
        <v>0</v>
      </c>
      <c r="LD41" s="1007">
        <v>0</v>
      </c>
      <c r="LE41" s="1008">
        <v>0</v>
      </c>
      <c r="LF41" s="1007">
        <v>0</v>
      </c>
      <c r="LG41" s="1008">
        <v>0</v>
      </c>
      <c r="LH41" s="1007">
        <v>-3.5897672799999998</v>
      </c>
      <c r="LI41" s="1008">
        <v>0</v>
      </c>
      <c r="LJ41" s="1007">
        <v>0</v>
      </c>
      <c r="LK41" s="1008">
        <v>0</v>
      </c>
      <c r="LL41" s="1007">
        <v>0</v>
      </c>
      <c r="LM41" s="1008" t="s">
        <v>206</v>
      </c>
      <c r="LN41" s="1007">
        <v>-0.58438000000000001</v>
      </c>
      <c r="LO41" s="1008" t="s">
        <v>223</v>
      </c>
      <c r="LP41" s="1007">
        <v>-2.7549376800000012</v>
      </c>
      <c r="LQ41" s="1008">
        <v>0</v>
      </c>
      <c r="LR41" s="1007">
        <v>0</v>
      </c>
      <c r="LS41" s="1008">
        <v>0</v>
      </c>
      <c r="LT41" s="1007">
        <v>-0.41741479999999997</v>
      </c>
      <c r="LU41" s="1008">
        <v>0</v>
      </c>
      <c r="LV41" s="1007">
        <v>0</v>
      </c>
      <c r="LW41" s="1008">
        <v>0</v>
      </c>
      <c r="LX41" s="1007">
        <v>0.36784800000000001</v>
      </c>
      <c r="LY41" s="1009" t="s">
        <v>207</v>
      </c>
      <c r="LZ41" s="1010">
        <v>2.796678</v>
      </c>
      <c r="MA41" s="1011" t="s">
        <v>207</v>
      </c>
      <c r="MB41" s="1012">
        <v>-4.8139153920000011</v>
      </c>
      <c r="MC41" s="995"/>
      <c r="MD41" s="996"/>
      <c r="ME41" s="997" t="s">
        <v>238</v>
      </c>
      <c r="MF41" s="997"/>
      <c r="MG41" s="998"/>
      <c r="NR41" s="1000"/>
      <c r="NS41" s="1000"/>
      <c r="NT41" s="1001"/>
      <c r="NU41" s="1000"/>
      <c r="NV41" s="1001"/>
      <c r="NX41" s="1002"/>
      <c r="NZ41" s="1001"/>
      <c r="OA41" s="1001"/>
      <c r="OC41" s="1003"/>
      <c r="OD41" s="1003"/>
      <c r="OE41" s="1001"/>
      <c r="OF41" s="1003"/>
      <c r="OG41" s="1003"/>
      <c r="QX41" s="1000">
        <f>CN41-CA41</f>
        <v>19</v>
      </c>
      <c r="ASU41" s="999" t="s">
        <v>315</v>
      </c>
    </row>
    <row r="42" spans="1:466 1191:1191" ht="21" customHeight="1" x14ac:dyDescent="0.25">
      <c r="A42" s="982" t="str">
        <f t="shared" si="0"/>
        <v>12-1</v>
      </c>
      <c r="B42" s="124">
        <f>SUBTOTAL(103,$J$29:J42)</f>
        <v>14</v>
      </c>
      <c r="C42" s="126">
        <v>45096</v>
      </c>
      <c r="D42" s="124" t="s">
        <v>176</v>
      </c>
      <c r="E42" s="127" t="s">
        <v>177</v>
      </c>
      <c r="F42" s="128" t="s">
        <v>177</v>
      </c>
      <c r="G42" s="127" t="s">
        <v>178</v>
      </c>
      <c r="H42" s="127" t="s">
        <v>226</v>
      </c>
      <c r="I42" s="127" t="s">
        <v>316</v>
      </c>
      <c r="J42" s="153" t="s">
        <v>317</v>
      </c>
      <c r="K42" s="157" t="s">
        <v>318</v>
      </c>
      <c r="L42" s="130">
        <v>35748</v>
      </c>
      <c r="M42" s="127" t="s">
        <v>230</v>
      </c>
      <c r="N42" s="127" t="s">
        <v>245</v>
      </c>
      <c r="O42" s="127" t="s">
        <v>185</v>
      </c>
      <c r="P42" s="127" t="s">
        <v>208</v>
      </c>
      <c r="Q42" s="85" t="str">
        <f t="shared" si="40"/>
        <v/>
      </c>
      <c r="R42" s="130"/>
      <c r="S42" s="128" t="s">
        <v>156</v>
      </c>
      <c r="T42" s="131"/>
      <c r="U42" s="132">
        <v>203</v>
      </c>
      <c r="V42" s="121">
        <v>218.2</v>
      </c>
      <c r="W42" s="116">
        <v>0.98</v>
      </c>
      <c r="X42" s="116">
        <v>1.66</v>
      </c>
      <c r="Y42" s="116">
        <f t="shared" si="1"/>
        <v>0.98012044853704894</v>
      </c>
      <c r="Z42" s="133">
        <v>1.454</v>
      </c>
      <c r="AA42" s="133">
        <v>0.83599999999999997</v>
      </c>
      <c r="AB42" s="133">
        <v>0.72</v>
      </c>
      <c r="AC42" s="121">
        <v>34.299999999999997</v>
      </c>
      <c r="AD42" s="134">
        <v>1.17</v>
      </c>
      <c r="AE42" s="124">
        <v>139.69999999999999</v>
      </c>
      <c r="AF42" s="128">
        <v>7.72</v>
      </c>
      <c r="AG42" s="128">
        <v>1921</v>
      </c>
      <c r="AH42" s="127">
        <v>2505</v>
      </c>
      <c r="AI42" s="127">
        <v>2505</v>
      </c>
      <c r="AJ42" s="135"/>
      <c r="AK42" s="128"/>
      <c r="AL42" s="131"/>
      <c r="AM42" s="124" t="s">
        <v>232</v>
      </c>
      <c r="AN42" s="136" t="s">
        <v>319</v>
      </c>
      <c r="AO42" s="137">
        <v>28.53</v>
      </c>
      <c r="AP42" s="128">
        <v>1921</v>
      </c>
      <c r="AQ42" s="128">
        <v>19.53</v>
      </c>
      <c r="AR42" s="128"/>
      <c r="AS42" s="128"/>
      <c r="AT42" s="122"/>
      <c r="AU42" s="124" t="s">
        <v>189</v>
      </c>
      <c r="AV42" s="115">
        <f>VLOOKUP(J42,'[63]ТР нефть'!$J$28:$BP$638,39,0)</f>
        <v>627.70003007800005</v>
      </c>
      <c r="AW42" s="115" t="str">
        <f>VLOOKUP(J42,'[63]ТР нефть'!$J$28:$BP$638,40,0)</f>
        <v>ГП</v>
      </c>
      <c r="AX42" s="115">
        <f>VLOOKUP(J42,'[63]ТР нефть'!$J$28:$BP$638,41,0)</f>
        <v>1130.5299890629999</v>
      </c>
      <c r="AY42" s="115" t="str">
        <f>VLOOKUP(J42,'[63]ТР нефть'!$J$28:$BP$638,42,0)</f>
        <v>ГП</v>
      </c>
      <c r="AZ42" s="115">
        <f>VLOOKUP(J42,'[63]ТР нефть'!$J$28:$BP$638,43,0)</f>
        <v>1531.0300453130001</v>
      </c>
      <c r="BA42" s="115" t="str">
        <f>VLOOKUP(J42,'[63]ТР нефть'!$J$28:$BP$638,44,0)</f>
        <v>ГК 85 1/8</v>
      </c>
      <c r="BB42" s="115">
        <f>VLOOKUP(J42,'[63]ТР нефть'!$J$28:$BP$638,45,0)</f>
        <v>1774.90993125</v>
      </c>
      <c r="BC42" s="115" t="str">
        <f>VLOOKUP(J42,'[63]ТР нефть'!$J$28:$BP$638,46,0)</f>
        <v>ЦКсОК 5/16</v>
      </c>
      <c r="BD42" s="115" t="str">
        <f>VLOOKUP(J42,'[63]ТР нефть'!$J$28:$BP$638,47,0)</f>
        <v>-</v>
      </c>
      <c r="BE42" s="115" t="str">
        <f>VLOOKUP(J42,'[63]ТР нефть'!$J$28:$BP$638,48,0)</f>
        <v>-</v>
      </c>
      <c r="BF42" s="115" t="str">
        <f>VLOOKUP(J42,'[63]ТР нефть'!$J$28:$BP$638,49,0)</f>
        <v>-</v>
      </c>
      <c r="BG42" s="115" t="str">
        <f>VLOOKUP(J42,'[63]ТР нефть'!$J$28:$BP$638,50,0)</f>
        <v>-</v>
      </c>
      <c r="BH42" s="115">
        <f>VLOOKUP(J42,'[63]ТР нефть'!$J$28:$BP$638,51,0)</f>
        <v>1785</v>
      </c>
      <c r="BI42" s="115" t="str">
        <f>VLOOKUP(J42,'[63]ТР нефть'!$J$28:$BP$638,52,0)</f>
        <v>закрыт</v>
      </c>
      <c r="BJ42" s="115" t="str">
        <f>IF(IFERROR(VLOOKUP(J42,'[63]ТР нефть'!$J$28:$BP$638,53,0),"-")=0,"-",IFERROR(VLOOKUP(J42,'[63]ТР нефть'!$J$28:$BP$638,53,0),"-"))</f>
        <v>-</v>
      </c>
      <c r="BK42" s="138" t="str">
        <f>IF(IFERROR(VLOOKUP(J42,'[63]ТР нефть'!$J$28:$BP$638,54,0),"-")=0,"-",IFERROR(VLOOKUP(J42,'[63]ТР нефть'!$J$28:$BP$638,54,0),"-"))</f>
        <v>-</v>
      </c>
      <c r="BL42" s="138" t="str">
        <f>IF(IFERROR(VLOOKUP(J42,'[63]ТР нефть'!$J$28:$BP$638,55,0),"-")=0,"-",IFERROR(VLOOKUP(J42,'[63]ТР нефть'!$J$28:$BP$638,55,0),"-"))</f>
        <v>-</v>
      </c>
      <c r="BM42" s="138" t="str">
        <f>IF(IFERROR(VLOOKUP(J42,'[63]ТР нефть'!$J$28:$BP$638,56,0),"-")=0,"-",IFERROR(VLOOKUP(J42,'[63]ТР нефть'!$J$28:$BP$638,56,0),"-"))</f>
        <v>-</v>
      </c>
      <c r="BN42" s="138" t="str">
        <f>IF(IFERROR(VLOOKUP(J42,'[63]ТР нефть'!$J$28:$BP$638,57,0),"-")=0,"-",IFERROR(VLOOKUP(J42,'[63]ТР нефть'!$J$28:$BP$638,57,0),"-"))</f>
        <v>-</v>
      </c>
      <c r="BO42" s="115" t="str">
        <f>IF(IFERROR(VLOOKUP(J42,'[63]ТР нефть'!$J$28:$BP$638,58,0),"-")=0,"-",IFERROR(VLOOKUP(J42,'[63]ТР нефть'!$J$28:$BP$638,58,0),"-"))</f>
        <v>-</v>
      </c>
      <c r="BP42" s="115" t="str">
        <f>IF(IFERROR(VLOOKUP(J42,'[63]ТР нефть'!$J$28:$BP$638,59,0),"-")=0,"-",IFERROR(VLOOKUP(J42,'[63]ТР нефть'!$J$28:$BP$638,59,0),"-"))</f>
        <v>-</v>
      </c>
      <c r="BQ42" s="138">
        <v>1793.78</v>
      </c>
      <c r="BR42" s="128">
        <v>1793</v>
      </c>
      <c r="BS42" s="115">
        <f t="shared" si="2"/>
        <v>0.77999999999997272</v>
      </c>
      <c r="BT42" s="128">
        <v>73</v>
      </c>
      <c r="BU42" s="128">
        <v>5.5</v>
      </c>
      <c r="BV42" s="127">
        <v>18</v>
      </c>
      <c r="BW42" s="127" t="s">
        <v>234</v>
      </c>
      <c r="BX42" s="127" t="s">
        <v>195</v>
      </c>
      <c r="BY42" s="139">
        <v>24</v>
      </c>
      <c r="BZ42" s="139">
        <v>0</v>
      </c>
      <c r="CA42" s="138">
        <v>16</v>
      </c>
      <c r="CB42" s="138">
        <v>33</v>
      </c>
      <c r="CC42" s="138">
        <v>15</v>
      </c>
      <c r="CD42" s="135">
        <v>45017</v>
      </c>
      <c r="CE42" s="138">
        <v>70</v>
      </c>
      <c r="CF42" s="138">
        <v>81</v>
      </c>
      <c r="CG42" s="138" t="str">
        <f t="shared" si="3"/>
        <v>В работе</v>
      </c>
      <c r="CH42" s="138" t="s">
        <v>196</v>
      </c>
      <c r="CI42" s="138">
        <v>6</v>
      </c>
      <c r="CJ42" s="139"/>
      <c r="CK42" s="138"/>
      <c r="CL42" s="99"/>
      <c r="CM42" s="99"/>
      <c r="CN42" s="140">
        <v>33</v>
      </c>
      <c r="CO42" s="141">
        <f t="shared" si="4"/>
        <v>4.2205334600000004</v>
      </c>
      <c r="CP42" s="142">
        <v>5.05</v>
      </c>
      <c r="CQ42" s="119">
        <v>0.03</v>
      </c>
      <c r="CR42" s="115">
        <v>25.210999999999999</v>
      </c>
      <c r="CS42" s="139">
        <v>6.42</v>
      </c>
      <c r="CT42" s="138"/>
      <c r="CU42" s="138">
        <f t="shared" si="5"/>
        <v>18.790999999999997</v>
      </c>
      <c r="CV42" s="115">
        <f t="shared" si="6"/>
        <v>4452.2807787430729</v>
      </c>
      <c r="CW42" s="115">
        <f t="shared" si="7"/>
        <v>1520.5026891783452</v>
      </c>
      <c r="CX42" s="133">
        <f t="shared" si="8"/>
        <v>0.13648648648648648</v>
      </c>
      <c r="CY42" s="116"/>
      <c r="CZ42" s="131"/>
      <c r="DA42" s="145" t="str">
        <f t="shared" si="9"/>
        <v>Газлифт</v>
      </c>
      <c r="DB42" s="146">
        <f t="shared" si="10"/>
        <v>4.2205334600000004</v>
      </c>
      <c r="DC42" s="142">
        <f t="shared" si="11"/>
        <v>5.05</v>
      </c>
      <c r="DD42" s="119">
        <f t="shared" si="12"/>
        <v>0.03</v>
      </c>
      <c r="DE42" s="115">
        <f t="shared" si="13"/>
        <v>18.790999999999997</v>
      </c>
      <c r="DF42" s="121">
        <f t="shared" si="14"/>
        <v>6.42</v>
      </c>
      <c r="DG42" s="115">
        <f t="shared" si="15"/>
        <v>4452.2807787430729</v>
      </c>
      <c r="DH42" s="115">
        <f t="shared" si="16"/>
        <v>33</v>
      </c>
      <c r="DI42" s="147"/>
      <c r="DJ42" s="111" t="s">
        <v>197</v>
      </c>
      <c r="DK42" s="112">
        <v>42639</v>
      </c>
      <c r="DL42" s="113">
        <f t="shared" ca="1" si="17"/>
        <v>2465</v>
      </c>
      <c r="DM42" s="114"/>
      <c r="DN42" s="114"/>
      <c r="DO42" s="114"/>
      <c r="DP42" s="114"/>
      <c r="DQ42" s="112">
        <v>42641</v>
      </c>
      <c r="DR42" s="114" t="s">
        <v>320</v>
      </c>
      <c r="DS42" s="114" t="s">
        <v>297</v>
      </c>
      <c r="DT42" s="115">
        <v>35</v>
      </c>
      <c r="DU42" s="116">
        <f t="shared" si="18"/>
        <v>0.14428571428571427</v>
      </c>
      <c r="DV42" s="117">
        <f t="shared" si="19"/>
        <v>4.2205334600000004</v>
      </c>
      <c r="DW42" s="118">
        <f t="shared" si="20"/>
        <v>5.05</v>
      </c>
      <c r="DX42" s="119">
        <f t="shared" si="21"/>
        <v>0.03</v>
      </c>
      <c r="DY42" s="115">
        <f t="shared" si="22"/>
        <v>18.790999999999997</v>
      </c>
      <c r="DZ42" s="117">
        <f t="shared" si="23"/>
        <v>0</v>
      </c>
      <c r="EA42" s="120">
        <f t="shared" si="23"/>
        <v>0</v>
      </c>
      <c r="EB42" s="119">
        <f t="shared" si="23"/>
        <v>0</v>
      </c>
      <c r="EC42" s="121">
        <f t="shared" si="24"/>
        <v>0</v>
      </c>
      <c r="ED42" s="122"/>
      <c r="EE42" s="145">
        <v>18</v>
      </c>
      <c r="EF42" s="115">
        <v>16</v>
      </c>
      <c r="EG42" s="115">
        <v>33</v>
      </c>
      <c r="EH42" s="115">
        <v>15</v>
      </c>
      <c r="EI42" s="128" t="s">
        <v>195</v>
      </c>
      <c r="EJ42" s="121">
        <v>24</v>
      </c>
      <c r="EK42" s="121">
        <v>0</v>
      </c>
      <c r="EL42" s="149">
        <v>4.2205334600000004</v>
      </c>
      <c r="EM42" s="142">
        <v>5.05</v>
      </c>
      <c r="EN42" s="119">
        <v>0.03</v>
      </c>
      <c r="EO42" s="115">
        <v>25.210999999999999</v>
      </c>
      <c r="EP42" s="115">
        <v>4452.2807787430729</v>
      </c>
      <c r="EQ42" s="115">
        <v>81</v>
      </c>
      <c r="ER42" s="115">
        <v>6.42</v>
      </c>
      <c r="ES42" s="115">
        <v>33</v>
      </c>
      <c r="ET42" s="150">
        <v>0.13648648648648648</v>
      </c>
      <c r="EU42" s="145">
        <f t="shared" si="25"/>
        <v>18</v>
      </c>
      <c r="EV42" s="115">
        <f t="shared" si="26"/>
        <v>16</v>
      </c>
      <c r="EW42" s="115">
        <f t="shared" si="26"/>
        <v>33</v>
      </c>
      <c r="EX42" s="115">
        <f t="shared" si="26"/>
        <v>15</v>
      </c>
      <c r="EY42" s="115" t="str">
        <f t="shared" si="27"/>
        <v>Постоянный</v>
      </c>
      <c r="EZ42" s="115">
        <f t="shared" si="27"/>
        <v>24</v>
      </c>
      <c r="FA42" s="115">
        <f t="shared" si="27"/>
        <v>0</v>
      </c>
      <c r="FB42" s="149">
        <f t="shared" si="28"/>
        <v>4.2205334600000004</v>
      </c>
      <c r="FC42" s="142">
        <f t="shared" si="28"/>
        <v>5.05</v>
      </c>
      <c r="FD42" s="119">
        <f t="shared" si="28"/>
        <v>0.03</v>
      </c>
      <c r="FE42" s="121">
        <f t="shared" si="28"/>
        <v>25.210999999999999</v>
      </c>
      <c r="FF42" s="121">
        <f t="shared" si="29"/>
        <v>4452.2807787430729</v>
      </c>
      <c r="FG42" s="121">
        <f t="shared" si="30"/>
        <v>81</v>
      </c>
      <c r="FH42" s="121">
        <f t="shared" si="31"/>
        <v>6.42</v>
      </c>
      <c r="FI42" s="121">
        <f t="shared" si="32"/>
        <v>33</v>
      </c>
      <c r="FJ42" s="144">
        <f t="shared" si="33"/>
        <v>0.13648648648648648</v>
      </c>
      <c r="FK42" s="132">
        <f t="shared" si="34"/>
        <v>0</v>
      </c>
      <c r="FL42" s="115">
        <f t="shared" si="34"/>
        <v>0</v>
      </c>
      <c r="FM42" s="115">
        <f t="shared" si="34"/>
        <v>0</v>
      </c>
      <c r="FN42" s="115">
        <f t="shared" si="34"/>
        <v>0</v>
      </c>
      <c r="FO42" s="115">
        <f t="shared" si="35"/>
        <v>0</v>
      </c>
      <c r="FP42" s="115">
        <f t="shared" si="35"/>
        <v>0</v>
      </c>
      <c r="FQ42" s="149">
        <f t="shared" si="35"/>
        <v>0</v>
      </c>
      <c r="FR42" s="142">
        <f t="shared" si="35"/>
        <v>0</v>
      </c>
      <c r="FS42" s="119">
        <f t="shared" si="35"/>
        <v>0</v>
      </c>
      <c r="FT42" s="121">
        <f t="shared" si="35"/>
        <v>0</v>
      </c>
      <c r="FU42" s="121">
        <f t="shared" si="36"/>
        <v>0</v>
      </c>
      <c r="FV42" s="121">
        <f t="shared" si="36"/>
        <v>0</v>
      </c>
      <c r="FW42" s="121">
        <f t="shared" si="37"/>
        <v>0</v>
      </c>
      <c r="FX42" s="121">
        <f t="shared" si="38"/>
        <v>0</v>
      </c>
      <c r="FY42" s="144">
        <f t="shared" si="38"/>
        <v>0</v>
      </c>
      <c r="FZ42" s="145"/>
      <c r="GA42" s="151" t="s">
        <v>283</v>
      </c>
      <c r="GB42" s="145"/>
      <c r="GC42" s="151" t="s">
        <v>321</v>
      </c>
      <c r="GD42" s="997" t="s">
        <v>238</v>
      </c>
      <c r="GE42" s="1004"/>
      <c r="GF42" s="1004">
        <v>0</v>
      </c>
      <c r="GG42" s="1004"/>
      <c r="GH42" s="1004">
        <v>0</v>
      </c>
      <c r="GI42" s="145"/>
      <c r="GJ42" s="996">
        <v>0</v>
      </c>
      <c r="GK42" s="145"/>
      <c r="GL42" s="996">
        <v>0</v>
      </c>
      <c r="GM42" s="1005"/>
      <c r="GN42" s="996">
        <v>0</v>
      </c>
      <c r="GO42" s="1006"/>
      <c r="GP42" s="996">
        <v>0</v>
      </c>
      <c r="GQ42" s="1006"/>
      <c r="GR42" s="996">
        <v>0</v>
      </c>
      <c r="GS42" s="1006"/>
      <c r="GT42" s="996">
        <v>0</v>
      </c>
      <c r="GU42" s="1006"/>
      <c r="GV42" s="996">
        <v>0</v>
      </c>
      <c r="GW42" s="1006" t="s">
        <v>199</v>
      </c>
      <c r="GX42" s="997">
        <v>-2.9618769399999998</v>
      </c>
      <c r="GY42" s="1006"/>
      <c r="GZ42" s="996">
        <v>-0.71758960000000016</v>
      </c>
      <c r="HA42" s="1006"/>
      <c r="HB42" s="996">
        <v>-0.89782387200000002</v>
      </c>
      <c r="HC42" s="1006" t="s">
        <v>199</v>
      </c>
      <c r="HD42" s="996">
        <v>2.825639872</v>
      </c>
      <c r="HE42" s="1006" t="s">
        <v>223</v>
      </c>
      <c r="HF42" s="996">
        <v>-1.6725016000000004</v>
      </c>
      <c r="HG42" s="1006"/>
      <c r="HH42" s="996">
        <v>0.83432800000000107</v>
      </c>
      <c r="HI42" s="1006"/>
      <c r="HJ42" s="996">
        <v>-0.2653464000000012</v>
      </c>
      <c r="HK42" s="1006"/>
      <c r="HL42" s="996">
        <v>0</v>
      </c>
      <c r="HM42" s="1006"/>
      <c r="HN42" s="996">
        <v>0</v>
      </c>
      <c r="HO42" s="1006" t="s">
        <v>203</v>
      </c>
      <c r="HP42" s="996">
        <v>-1.5883999999999991</v>
      </c>
      <c r="HQ42" s="1006" t="s">
        <v>203</v>
      </c>
      <c r="HR42" s="996">
        <v>-6.3686480000000003</v>
      </c>
      <c r="HS42" s="1006"/>
      <c r="HT42" s="996">
        <v>0</v>
      </c>
      <c r="HU42" s="1006" t="s">
        <v>221</v>
      </c>
      <c r="HV42" s="996">
        <v>2.5900569111999996</v>
      </c>
      <c r="HW42" s="1006" t="s">
        <v>25</v>
      </c>
      <c r="HX42" s="996">
        <v>8.3163990888000008</v>
      </c>
      <c r="HY42" s="1006"/>
      <c r="HZ42" s="996">
        <v>0</v>
      </c>
      <c r="IA42" s="1006"/>
      <c r="IB42" s="996">
        <v>0</v>
      </c>
      <c r="IC42" s="1006"/>
      <c r="ID42" s="996">
        <v>0.22739199999999915</v>
      </c>
      <c r="IE42" s="1006"/>
      <c r="IF42" s="996">
        <v>0</v>
      </c>
      <c r="IG42" s="1006" t="s">
        <v>204</v>
      </c>
      <c r="IH42" s="996">
        <v>2.2572000000000001</v>
      </c>
      <c r="II42" s="1006"/>
      <c r="IJ42" s="996">
        <v>0</v>
      </c>
      <c r="IK42" s="1006"/>
      <c r="IL42" s="996">
        <v>0</v>
      </c>
      <c r="IM42" s="1006" t="s">
        <v>199</v>
      </c>
      <c r="IN42" s="996">
        <v>-4.2635999999999994</v>
      </c>
      <c r="IO42" s="1006" t="s">
        <v>223</v>
      </c>
      <c r="IP42" s="996">
        <v>3.0095999999999994</v>
      </c>
      <c r="IQ42" s="1006" t="s">
        <v>223</v>
      </c>
      <c r="IR42" s="996">
        <v>-3.2604000000000002</v>
      </c>
      <c r="IS42" s="1006" t="s">
        <v>199</v>
      </c>
      <c r="IT42" s="996">
        <v>1.5884</v>
      </c>
      <c r="IU42" s="1006"/>
      <c r="IV42" s="996">
        <v>0</v>
      </c>
      <c r="IW42" s="1006"/>
      <c r="IX42" s="996">
        <v>0.8360000000000003</v>
      </c>
      <c r="IY42" s="1006"/>
      <c r="IZ42" s="996">
        <v>-0.50159999999999982</v>
      </c>
      <c r="JA42" s="1006" t="s">
        <v>199</v>
      </c>
      <c r="JB42" s="996">
        <v>-6.7715999999999994</v>
      </c>
      <c r="JC42" s="1006"/>
      <c r="JD42" s="996">
        <v>0</v>
      </c>
      <c r="JE42" s="1006" t="s">
        <v>204</v>
      </c>
      <c r="JF42" s="996">
        <v>3.9291999999999989</v>
      </c>
      <c r="JG42" s="1006" t="s">
        <v>199</v>
      </c>
      <c r="JH42" s="996">
        <v>4.6816000000000004</v>
      </c>
      <c r="JI42" s="1006"/>
      <c r="JJ42" s="996">
        <v>0</v>
      </c>
      <c r="JK42" s="1007"/>
      <c r="JL42" s="1007">
        <v>0</v>
      </c>
      <c r="JM42" s="1007"/>
      <c r="JN42" s="1007">
        <v>0</v>
      </c>
      <c r="JO42" s="1008" t="s">
        <v>199</v>
      </c>
      <c r="JP42" s="1007">
        <v>-4.6816000000000004</v>
      </c>
      <c r="JQ42" s="1008">
        <v>0</v>
      </c>
      <c r="JR42" s="1007">
        <v>0</v>
      </c>
      <c r="JS42" s="1008">
        <v>0</v>
      </c>
      <c r="JT42" s="1007">
        <v>0</v>
      </c>
      <c r="JU42" s="1008"/>
      <c r="JV42" s="1007">
        <v>0</v>
      </c>
      <c r="JW42" s="1008" t="s">
        <v>197</v>
      </c>
      <c r="JX42" s="1007">
        <v>0</v>
      </c>
      <c r="JY42" s="1008" t="s">
        <v>204</v>
      </c>
      <c r="JZ42" s="1007">
        <v>-1.6719999999999997</v>
      </c>
      <c r="KA42" s="1008" t="s">
        <v>199</v>
      </c>
      <c r="KB42" s="1007">
        <v>-2.5079999999999991</v>
      </c>
      <c r="KC42" s="1008" t="s">
        <v>207</v>
      </c>
      <c r="KD42" s="1007">
        <v>2.5079999999999991</v>
      </c>
      <c r="KE42" s="1008"/>
      <c r="KF42" s="1007">
        <v>0</v>
      </c>
      <c r="KG42" s="1008" t="s">
        <v>207</v>
      </c>
      <c r="KH42" s="1007">
        <v>1.7806800000000003</v>
      </c>
      <c r="KI42" s="1008"/>
      <c r="KJ42" s="1007">
        <v>0</v>
      </c>
      <c r="KK42" s="1008"/>
      <c r="KL42" s="1007">
        <v>0</v>
      </c>
      <c r="KM42" s="1008"/>
      <c r="KN42" s="1007">
        <v>0</v>
      </c>
      <c r="KO42" s="1008"/>
      <c r="KP42" s="1007">
        <v>0</v>
      </c>
      <c r="KQ42" s="1008" t="s">
        <v>206</v>
      </c>
      <c r="KR42" s="1007">
        <v>0.72731999999999974</v>
      </c>
      <c r="KS42" s="1008">
        <v>0</v>
      </c>
      <c r="KT42" s="1007">
        <v>0</v>
      </c>
      <c r="KU42" s="1008">
        <v>0</v>
      </c>
      <c r="KV42" s="1007">
        <v>0</v>
      </c>
      <c r="KW42" s="1008" t="s">
        <v>204</v>
      </c>
      <c r="KX42" s="1007">
        <v>-0.86275200000000041</v>
      </c>
      <c r="KY42" s="1008">
        <v>0</v>
      </c>
      <c r="KZ42" s="1007">
        <v>0</v>
      </c>
      <c r="LA42" s="1008">
        <v>0</v>
      </c>
      <c r="LB42" s="1007">
        <v>0</v>
      </c>
      <c r="LC42" s="1008">
        <v>0</v>
      </c>
      <c r="LD42" s="1007">
        <v>0</v>
      </c>
      <c r="LE42" s="1008">
        <v>0</v>
      </c>
      <c r="LF42" s="1007">
        <v>0</v>
      </c>
      <c r="LG42" s="1008">
        <v>0</v>
      </c>
      <c r="LH42" s="1007">
        <v>-7.4171591999999995</v>
      </c>
      <c r="LI42" s="1008">
        <v>0</v>
      </c>
      <c r="LJ42" s="1007">
        <v>0</v>
      </c>
      <c r="LK42" s="1008">
        <v>0</v>
      </c>
      <c r="LL42" s="1007">
        <v>0</v>
      </c>
      <c r="LM42" s="1008">
        <v>0</v>
      </c>
      <c r="LN42" s="1007">
        <v>0</v>
      </c>
      <c r="LO42" s="1008">
        <v>0</v>
      </c>
      <c r="LP42" s="1007">
        <v>0</v>
      </c>
      <c r="LQ42" s="1008" t="s">
        <v>206</v>
      </c>
      <c r="LR42" s="1007">
        <v>-1.2540000000000004</v>
      </c>
      <c r="LS42" s="1008" t="s">
        <v>206</v>
      </c>
      <c r="LT42" s="1007">
        <v>-2.58</v>
      </c>
      <c r="LU42" s="1008">
        <v>0</v>
      </c>
      <c r="LV42" s="1007">
        <v>0</v>
      </c>
      <c r="LW42" s="1008">
        <v>0</v>
      </c>
      <c r="LX42" s="1007">
        <v>-0.74361600000000005</v>
      </c>
      <c r="LY42" s="1009">
        <v>0</v>
      </c>
      <c r="LZ42" s="1010">
        <v>-0.36115199999997599</v>
      </c>
      <c r="MA42" s="1011" t="s">
        <v>206</v>
      </c>
      <c r="MB42" s="1012">
        <v>0.88618580999999996</v>
      </c>
      <c r="MC42" s="995"/>
      <c r="MD42" s="996"/>
      <c r="ME42" s="997" t="s">
        <v>238</v>
      </c>
      <c r="MF42" s="997"/>
      <c r="MG42" s="998"/>
      <c r="NR42" s="1000"/>
      <c r="NS42" s="1000"/>
      <c r="NT42" s="1001"/>
      <c r="NU42" s="1000"/>
      <c r="NV42" s="1001"/>
      <c r="NX42" s="1002"/>
      <c r="NZ42" s="1001"/>
      <c r="OA42" s="1001"/>
      <c r="OC42" s="1003"/>
      <c r="OD42" s="1003"/>
      <c r="OE42" s="1001"/>
      <c r="OF42" s="1003"/>
      <c r="OG42" s="1003"/>
      <c r="QX42" s="1000">
        <f>CN42-CA42</f>
        <v>17</v>
      </c>
      <c r="ASU42" s="999" t="s">
        <v>208</v>
      </c>
    </row>
    <row r="43" spans="1:466 1191:1191" ht="21" customHeight="1" x14ac:dyDescent="0.25">
      <c r="A43" s="982" t="str">
        <f t="shared" si="0"/>
        <v>12-2</v>
      </c>
      <c r="B43" s="124">
        <f>SUBTOTAL(103,$J$29:J43)</f>
        <v>15</v>
      </c>
      <c r="C43" s="126">
        <v>45096</v>
      </c>
      <c r="D43" s="124" t="s">
        <v>176</v>
      </c>
      <c r="E43" s="127" t="s">
        <v>177</v>
      </c>
      <c r="F43" s="128" t="s">
        <v>177</v>
      </c>
      <c r="G43" s="127" t="s">
        <v>178</v>
      </c>
      <c r="H43" s="127" t="s">
        <v>226</v>
      </c>
      <c r="I43" s="127" t="s">
        <v>316</v>
      </c>
      <c r="J43" s="158" t="s">
        <v>322</v>
      </c>
      <c r="K43" s="127" t="s">
        <v>318</v>
      </c>
      <c r="L43" s="130">
        <v>37498</v>
      </c>
      <c r="M43" s="127" t="s">
        <v>230</v>
      </c>
      <c r="N43" s="127" t="s">
        <v>245</v>
      </c>
      <c r="O43" s="127" t="s">
        <v>185</v>
      </c>
      <c r="P43" s="127" t="s">
        <v>208</v>
      </c>
      <c r="Q43" s="85" t="str">
        <f t="shared" si="40"/>
        <v/>
      </c>
      <c r="R43" s="130"/>
      <c r="S43" s="128"/>
      <c r="T43" s="131"/>
      <c r="U43" s="132">
        <v>203</v>
      </c>
      <c r="V43" s="121">
        <v>218.2</v>
      </c>
      <c r="W43" s="116">
        <v>0.98</v>
      </c>
      <c r="X43" s="116">
        <v>1.66</v>
      </c>
      <c r="Y43" s="116">
        <f t="shared" si="1"/>
        <v>1.0085054678007288</v>
      </c>
      <c r="Z43" s="133">
        <v>1.454</v>
      </c>
      <c r="AA43" s="133">
        <v>0.83599999999999997</v>
      </c>
      <c r="AB43" s="133">
        <v>0.72</v>
      </c>
      <c r="AC43" s="121">
        <v>34.299999999999997</v>
      </c>
      <c r="AD43" s="134">
        <v>1.17</v>
      </c>
      <c r="AE43" s="124">
        <v>139.69999999999999</v>
      </c>
      <c r="AF43" s="128">
        <v>7.72</v>
      </c>
      <c r="AG43" s="128">
        <v>1910</v>
      </c>
      <c r="AH43" s="127">
        <v>2500</v>
      </c>
      <c r="AI43" s="127">
        <v>2500</v>
      </c>
      <c r="AJ43" s="135"/>
      <c r="AK43" s="128"/>
      <c r="AL43" s="131"/>
      <c r="AM43" s="124" t="s">
        <v>232</v>
      </c>
      <c r="AN43" s="136" t="s">
        <v>323</v>
      </c>
      <c r="AO43" s="137">
        <v>45</v>
      </c>
      <c r="AP43" s="128">
        <v>1910</v>
      </c>
      <c r="AQ43" s="128">
        <v>22.39</v>
      </c>
      <c r="AR43" s="128"/>
      <c r="AS43" s="128"/>
      <c r="AT43" s="122"/>
      <c r="AU43" s="124" t="s">
        <v>189</v>
      </c>
      <c r="AV43" s="115">
        <f>VLOOKUP(J43,'[63]ТР нефть'!$J$28:$BP$638,39,0)</f>
        <v>599.99999062500001</v>
      </c>
      <c r="AW43" s="115" t="str">
        <f>VLOOKUP(J43,'[63]ТР нефть'!$J$28:$BP$638,40,0)</f>
        <v>ГК 81 1/8</v>
      </c>
      <c r="AX43" s="115">
        <f>VLOOKUP(J43,'[63]ТР нефть'!$J$28:$BP$638,41,0)</f>
        <v>1100.0000572270001</v>
      </c>
      <c r="AY43" s="115" t="str">
        <f>VLOOKUP(J43,'[63]ТР нефть'!$J$28:$BP$638,42,0)</f>
        <v>ГК 83 5/32</v>
      </c>
      <c r="AZ43" s="115">
        <f>VLOOKUP(J43,'[63]ТР нефть'!$J$28:$BP$638,43,0)</f>
        <v>1449.9999773439999</v>
      </c>
      <c r="BA43" s="115" t="str">
        <f>VLOOKUP(J43,'[63]ТР нефть'!$J$28:$BP$638,44,0)</f>
        <v>ГК 84 5/32</v>
      </c>
      <c r="BB43" s="115">
        <f>VLOOKUP(J43,'[63]ТР нефть'!$J$28:$BP$638,45,0)</f>
        <v>1760.000032031</v>
      </c>
      <c r="BC43" s="115" t="str">
        <f>VLOOKUP(J43,'[63]ТР нефть'!$J$28:$BP$638,46,0)</f>
        <v>ЦКсОК 5/16</v>
      </c>
      <c r="BD43" s="115" t="str">
        <f>VLOOKUP(J43,'[63]ТР нефть'!$J$28:$BP$638,47,0)</f>
        <v>-</v>
      </c>
      <c r="BE43" s="115" t="str">
        <f>VLOOKUP(J43,'[63]ТР нефть'!$J$28:$BP$638,48,0)</f>
        <v>-</v>
      </c>
      <c r="BF43" s="115" t="str">
        <f>VLOOKUP(J43,'[63]ТР нефть'!$J$28:$BP$638,49,0)</f>
        <v>-</v>
      </c>
      <c r="BG43" s="115" t="str">
        <f>VLOOKUP(J43,'[63]ТР нефть'!$J$28:$BP$638,50,0)</f>
        <v>-</v>
      </c>
      <c r="BH43" s="115">
        <f>VLOOKUP(J43,'[63]ТР нефть'!$J$28:$BP$638,51,0)</f>
        <v>1790</v>
      </c>
      <c r="BI43" s="115" t="str">
        <f>VLOOKUP(J43,'[63]ТР нефть'!$J$28:$BP$638,52,0)</f>
        <v>закрыт</v>
      </c>
      <c r="BJ43" s="115" t="str">
        <f>IF(IFERROR(VLOOKUP(J43,'[63]ТР нефть'!$J$28:$BP$638,53,0),"-")=0,"-",IFERROR(VLOOKUP(J43,'[63]ТР нефть'!$J$28:$BP$638,53,0),"-"))</f>
        <v>-</v>
      </c>
      <c r="BK43" s="138" t="str">
        <f>IF(IFERROR(VLOOKUP(J43,'[63]ТР нефть'!$J$28:$BP$638,54,0),"-")=0,"-",IFERROR(VLOOKUP(J43,'[63]ТР нефть'!$J$28:$BP$638,54,0),"-"))</f>
        <v>-</v>
      </c>
      <c r="BL43" s="138" t="str">
        <f>IF(IFERROR(VLOOKUP(J43,'[63]ТР нефть'!$J$28:$BP$638,55,0),"-")=0,"-",IFERROR(VLOOKUP(J43,'[63]ТР нефть'!$J$28:$BP$638,55,0),"-"))</f>
        <v>-</v>
      </c>
      <c r="BM43" s="138" t="str">
        <f>IF(IFERROR(VLOOKUP(J43,'[63]ТР нефть'!$J$28:$BP$638,56,0),"-")=0,"-",IFERROR(VLOOKUP(J43,'[63]ТР нефть'!$J$28:$BP$638,56,0),"-"))</f>
        <v>-</v>
      </c>
      <c r="BN43" s="138" t="str">
        <f>IF(IFERROR(VLOOKUP(J43,'[63]ТР нефть'!$J$28:$BP$638,57,0),"-")=0,"-",IFERROR(VLOOKUP(J43,'[63]ТР нефть'!$J$28:$BP$638,57,0),"-"))</f>
        <v>-</v>
      </c>
      <c r="BO43" s="115" t="str">
        <f>IF(IFERROR(VLOOKUP(J43,'[63]ТР нефть'!$J$28:$BP$638,58,0),"-")=0,"-",IFERROR(VLOOKUP(J43,'[63]ТР нефть'!$J$28:$BP$638,58,0),"-"))</f>
        <v>-</v>
      </c>
      <c r="BP43" s="115" t="str">
        <f>IF(IFERROR(VLOOKUP(J43,'[63]ТР нефть'!$J$28:$BP$638,59,0),"-")=0,"-",IFERROR(VLOOKUP(J43,'[63]ТР нефть'!$J$28:$BP$638,59,0),"-"))</f>
        <v>-</v>
      </c>
      <c r="BQ43" s="138">
        <v>2130</v>
      </c>
      <c r="BR43" s="128">
        <v>1912.29</v>
      </c>
      <c r="BS43" s="115">
        <f t="shared" si="2"/>
        <v>217.71000000000004</v>
      </c>
      <c r="BT43" s="128">
        <v>73</v>
      </c>
      <c r="BU43" s="128">
        <v>5.5</v>
      </c>
      <c r="BV43" s="127">
        <v>18</v>
      </c>
      <c r="BW43" s="127" t="s">
        <v>234</v>
      </c>
      <c r="BX43" s="127" t="s">
        <v>195</v>
      </c>
      <c r="BY43" s="139">
        <v>24</v>
      </c>
      <c r="BZ43" s="139">
        <v>0</v>
      </c>
      <c r="CA43" s="115">
        <v>17</v>
      </c>
      <c r="CB43" s="115">
        <v>28</v>
      </c>
      <c r="CC43" s="115">
        <v>16</v>
      </c>
      <c r="CD43" s="135">
        <v>45017</v>
      </c>
      <c r="CE43" s="138">
        <v>91</v>
      </c>
      <c r="CF43" s="138">
        <v>74</v>
      </c>
      <c r="CG43" s="138" t="str">
        <f t="shared" si="3"/>
        <v>В работе</v>
      </c>
      <c r="CH43" s="138" t="s">
        <v>235</v>
      </c>
      <c r="CI43" s="138">
        <v>6</v>
      </c>
      <c r="CJ43" s="139"/>
      <c r="CK43" s="138"/>
      <c r="CL43" s="99"/>
      <c r="CM43" s="99"/>
      <c r="CN43" s="140">
        <v>34</v>
      </c>
      <c r="CO43" s="141">
        <f t="shared" si="4"/>
        <v>11.519076800000001</v>
      </c>
      <c r="CP43" s="142">
        <v>14.8</v>
      </c>
      <c r="CQ43" s="119">
        <v>6.9</v>
      </c>
      <c r="CR43" s="115">
        <v>30.3</v>
      </c>
      <c r="CS43" s="139">
        <v>2.4</v>
      </c>
      <c r="CT43" s="138"/>
      <c r="CU43" s="138">
        <f t="shared" si="5"/>
        <v>27.900000000000002</v>
      </c>
      <c r="CV43" s="115">
        <f t="shared" si="6"/>
        <v>2422.0691019266405</v>
      </c>
      <c r="CW43" s="115">
        <f t="shared" si="7"/>
        <v>188.95218017119444</v>
      </c>
      <c r="CX43" s="133">
        <f t="shared" si="8"/>
        <v>0.25964912280701757</v>
      </c>
      <c r="CY43" s="116"/>
      <c r="CZ43" s="131"/>
      <c r="DA43" s="145" t="str">
        <f t="shared" si="9"/>
        <v>Газлифт</v>
      </c>
      <c r="DB43" s="146">
        <f t="shared" si="10"/>
        <v>11.519076800000001</v>
      </c>
      <c r="DC43" s="142">
        <f t="shared" si="11"/>
        <v>14.8</v>
      </c>
      <c r="DD43" s="119">
        <f t="shared" si="12"/>
        <v>6.9</v>
      </c>
      <c r="DE43" s="115">
        <f t="shared" si="13"/>
        <v>27.900000000000002</v>
      </c>
      <c r="DF43" s="121">
        <f t="shared" si="14"/>
        <v>2.4</v>
      </c>
      <c r="DG43" s="115">
        <f t="shared" si="15"/>
        <v>2422.0691019266405</v>
      </c>
      <c r="DH43" s="115">
        <f t="shared" si="16"/>
        <v>34</v>
      </c>
      <c r="DI43" s="147"/>
      <c r="DJ43" s="111" t="s">
        <v>197</v>
      </c>
      <c r="DK43" s="112">
        <v>43987</v>
      </c>
      <c r="DL43" s="113">
        <f t="shared" ca="1" si="17"/>
        <v>1117</v>
      </c>
      <c r="DM43" s="114"/>
      <c r="DN43" s="114"/>
      <c r="DO43" s="114"/>
      <c r="DP43" s="114"/>
      <c r="DQ43" s="112">
        <v>37453</v>
      </c>
      <c r="DR43" s="114" t="s">
        <v>324</v>
      </c>
      <c r="DS43" s="114">
        <v>0</v>
      </c>
      <c r="DT43" s="115">
        <v>41</v>
      </c>
      <c r="DU43" s="116">
        <f t="shared" si="18"/>
        <v>0.29600000000000004</v>
      </c>
      <c r="DV43" s="117">
        <f t="shared" si="19"/>
        <v>11.519076800000001</v>
      </c>
      <c r="DW43" s="118">
        <f t="shared" si="20"/>
        <v>14.8</v>
      </c>
      <c r="DX43" s="119">
        <f t="shared" si="21"/>
        <v>6.9</v>
      </c>
      <c r="DY43" s="115">
        <f t="shared" si="22"/>
        <v>27.9</v>
      </c>
      <c r="DZ43" s="117">
        <f t="shared" si="23"/>
        <v>0</v>
      </c>
      <c r="EA43" s="120">
        <f t="shared" si="23"/>
        <v>0</v>
      </c>
      <c r="EB43" s="119">
        <f t="shared" si="23"/>
        <v>0</v>
      </c>
      <c r="EC43" s="121">
        <f t="shared" si="24"/>
        <v>0</v>
      </c>
      <c r="ED43" s="122"/>
      <c r="EE43" s="145">
        <v>18</v>
      </c>
      <c r="EF43" s="115">
        <v>17</v>
      </c>
      <c r="EG43" s="115">
        <v>28</v>
      </c>
      <c r="EH43" s="115">
        <v>16</v>
      </c>
      <c r="EI43" s="128" t="s">
        <v>195</v>
      </c>
      <c r="EJ43" s="121">
        <v>24</v>
      </c>
      <c r="EK43" s="121">
        <v>0</v>
      </c>
      <c r="EL43" s="149">
        <v>11.519076800000001</v>
      </c>
      <c r="EM43" s="142">
        <v>14.8</v>
      </c>
      <c r="EN43" s="119">
        <v>6.9</v>
      </c>
      <c r="EO43" s="115">
        <v>30.3</v>
      </c>
      <c r="EP43" s="115">
        <v>2422.0691019266405</v>
      </c>
      <c r="EQ43" s="115">
        <v>74</v>
      </c>
      <c r="ER43" s="115">
        <v>2.4</v>
      </c>
      <c r="ES43" s="115">
        <v>34</v>
      </c>
      <c r="ET43" s="150">
        <v>0.25964912280701757</v>
      </c>
      <c r="EU43" s="145">
        <f t="shared" si="25"/>
        <v>18</v>
      </c>
      <c r="EV43" s="115">
        <f t="shared" si="26"/>
        <v>17</v>
      </c>
      <c r="EW43" s="115">
        <f t="shared" si="26"/>
        <v>28</v>
      </c>
      <c r="EX43" s="115">
        <f t="shared" si="26"/>
        <v>16</v>
      </c>
      <c r="EY43" s="115" t="str">
        <f t="shared" si="27"/>
        <v>Постоянный</v>
      </c>
      <c r="EZ43" s="115">
        <f t="shared" si="27"/>
        <v>24</v>
      </c>
      <c r="FA43" s="115">
        <f t="shared" si="27"/>
        <v>0</v>
      </c>
      <c r="FB43" s="149">
        <f t="shared" si="28"/>
        <v>11.519076800000001</v>
      </c>
      <c r="FC43" s="142">
        <f t="shared" si="28"/>
        <v>14.8</v>
      </c>
      <c r="FD43" s="119">
        <f t="shared" si="28"/>
        <v>6.9</v>
      </c>
      <c r="FE43" s="121">
        <f t="shared" si="28"/>
        <v>30.3</v>
      </c>
      <c r="FF43" s="121">
        <f t="shared" si="29"/>
        <v>2422.0691019266405</v>
      </c>
      <c r="FG43" s="121">
        <f t="shared" si="30"/>
        <v>74</v>
      </c>
      <c r="FH43" s="121">
        <f t="shared" si="31"/>
        <v>2.4</v>
      </c>
      <c r="FI43" s="121">
        <f t="shared" si="32"/>
        <v>34</v>
      </c>
      <c r="FJ43" s="144">
        <f t="shared" si="33"/>
        <v>0.25964912280701757</v>
      </c>
      <c r="FK43" s="132">
        <f t="shared" si="34"/>
        <v>0</v>
      </c>
      <c r="FL43" s="115">
        <f t="shared" si="34"/>
        <v>0</v>
      </c>
      <c r="FM43" s="115">
        <f t="shared" si="34"/>
        <v>0</v>
      </c>
      <c r="FN43" s="115">
        <f t="shared" si="34"/>
        <v>0</v>
      </c>
      <c r="FO43" s="115">
        <f t="shared" si="35"/>
        <v>0</v>
      </c>
      <c r="FP43" s="115">
        <f t="shared" si="35"/>
        <v>0</v>
      </c>
      <c r="FQ43" s="149">
        <f t="shared" si="35"/>
        <v>0</v>
      </c>
      <c r="FR43" s="142">
        <f t="shared" si="35"/>
        <v>0</v>
      </c>
      <c r="FS43" s="119">
        <f t="shared" si="35"/>
        <v>0</v>
      </c>
      <c r="FT43" s="121">
        <f t="shared" si="35"/>
        <v>0</v>
      </c>
      <c r="FU43" s="121">
        <f t="shared" si="36"/>
        <v>0</v>
      </c>
      <c r="FV43" s="121">
        <f t="shared" si="36"/>
        <v>0</v>
      </c>
      <c r="FW43" s="121">
        <f t="shared" si="37"/>
        <v>0</v>
      </c>
      <c r="FX43" s="121">
        <f t="shared" si="38"/>
        <v>0</v>
      </c>
      <c r="FY43" s="144">
        <f t="shared" si="38"/>
        <v>0</v>
      </c>
      <c r="FZ43" s="145"/>
      <c r="GA43" s="151" t="s">
        <v>283</v>
      </c>
      <c r="GB43" s="145" t="s">
        <v>199</v>
      </c>
      <c r="GC43" s="151" t="s">
        <v>325</v>
      </c>
      <c r="GD43" s="997" t="s">
        <v>238</v>
      </c>
      <c r="GE43" s="1004" t="s">
        <v>199</v>
      </c>
      <c r="GF43" s="1004">
        <v>6.5281568000000005</v>
      </c>
      <c r="GG43" s="1004" t="s">
        <v>199</v>
      </c>
      <c r="GH43" s="1004">
        <v>2.1684168000000001</v>
      </c>
      <c r="GI43" s="145"/>
      <c r="GJ43" s="996">
        <v>0</v>
      </c>
      <c r="GK43" s="145"/>
      <c r="GL43" s="996">
        <v>0</v>
      </c>
      <c r="GM43" s="1005"/>
      <c r="GN43" s="996">
        <v>0</v>
      </c>
      <c r="GO43" s="1006"/>
      <c r="GP43" s="996">
        <v>0</v>
      </c>
      <c r="GQ43" s="1006"/>
      <c r="GR43" s="996">
        <v>0.20190528600000013</v>
      </c>
      <c r="GS43" s="1006"/>
      <c r="GT43" s="996">
        <v>0</v>
      </c>
      <c r="GU43" s="1006" t="s">
        <v>204</v>
      </c>
      <c r="GV43" s="996">
        <v>-3.5066692979999998</v>
      </c>
      <c r="GW43" s="1006" t="s">
        <v>223</v>
      </c>
      <c r="GX43" s="997">
        <v>-3.0275597880000014</v>
      </c>
      <c r="GY43" s="1006"/>
      <c r="GZ43" s="996">
        <v>0.99839300000000009</v>
      </c>
      <c r="HA43" s="1006"/>
      <c r="HB43" s="996">
        <v>4.1298400000000512E-2</v>
      </c>
      <c r="HC43" s="1006"/>
      <c r="HD43" s="996">
        <v>0</v>
      </c>
      <c r="HE43" s="1006"/>
      <c r="HF43" s="996">
        <v>0</v>
      </c>
      <c r="HG43" s="1006" t="s">
        <v>199</v>
      </c>
      <c r="HH43" s="996">
        <v>1.7406356000000009</v>
      </c>
      <c r="HI43" s="1006"/>
      <c r="HJ43" s="996">
        <v>0</v>
      </c>
      <c r="HK43" s="1006"/>
      <c r="HL43" s="996">
        <v>0</v>
      </c>
      <c r="HM43" s="1006"/>
      <c r="HN43" s="996">
        <v>0</v>
      </c>
      <c r="HO43" s="1006"/>
      <c r="HP43" s="996">
        <v>0.87449999999999939</v>
      </c>
      <c r="HQ43" s="1006" t="s">
        <v>25</v>
      </c>
      <c r="HR43" s="996">
        <v>6.8</v>
      </c>
      <c r="HS43" s="1006"/>
      <c r="HT43" s="996">
        <v>0</v>
      </c>
      <c r="HU43" s="1006"/>
      <c r="HV43" s="996">
        <v>0</v>
      </c>
      <c r="HW43" s="1006" t="s">
        <v>326</v>
      </c>
      <c r="HX43" s="996">
        <v>2.0728620000000002</v>
      </c>
      <c r="HY43" s="1006"/>
      <c r="HZ43" s="996">
        <v>0.82596800000000004</v>
      </c>
      <c r="IA43" s="1006"/>
      <c r="IB43" s="996">
        <v>0</v>
      </c>
      <c r="IC43" s="1006"/>
      <c r="ID43" s="996">
        <v>0</v>
      </c>
      <c r="IE43" s="1006"/>
      <c r="IF43" s="996">
        <v>0</v>
      </c>
      <c r="IG43" s="1006" t="s">
        <v>199</v>
      </c>
      <c r="IH43" s="996">
        <v>-2.508</v>
      </c>
      <c r="II43" s="1006"/>
      <c r="IJ43" s="996">
        <v>0.61942583999999989</v>
      </c>
      <c r="IK43" s="1006"/>
      <c r="IL43" s="996">
        <v>0</v>
      </c>
      <c r="IM43" s="1006" t="s">
        <v>199</v>
      </c>
      <c r="IN43" s="996">
        <v>1.1064961600000003</v>
      </c>
      <c r="IO43" s="1006"/>
      <c r="IP43" s="996">
        <v>-2.7838800000000496E-2</v>
      </c>
      <c r="IQ43" s="1006" t="s">
        <v>223</v>
      </c>
      <c r="IR43" s="996">
        <v>-3.0092655999999995</v>
      </c>
      <c r="IS43" s="1006"/>
      <c r="IT43" s="996">
        <v>0.22704088000000056</v>
      </c>
      <c r="IU43" s="1006"/>
      <c r="IV43" s="996">
        <v>0</v>
      </c>
      <c r="IW43" s="1006" t="s">
        <v>239</v>
      </c>
      <c r="IX43" s="996">
        <v>0</v>
      </c>
      <c r="IY43" s="1006"/>
      <c r="IZ43" s="996">
        <v>0</v>
      </c>
      <c r="JA43" s="1006"/>
      <c r="JB43" s="996"/>
      <c r="JC43" s="1006"/>
      <c r="JD43" s="996">
        <v>0</v>
      </c>
      <c r="JE43" s="1006"/>
      <c r="JF43" s="996">
        <v>0</v>
      </c>
      <c r="JG43" s="1006"/>
      <c r="JH43" s="996">
        <v>0</v>
      </c>
      <c r="JI43" s="1006"/>
      <c r="JJ43" s="996">
        <v>0</v>
      </c>
      <c r="JK43" s="1007"/>
      <c r="JL43" s="1007">
        <v>0</v>
      </c>
      <c r="JM43" s="1007"/>
      <c r="JN43" s="1007">
        <v>0</v>
      </c>
      <c r="JO43" s="1008"/>
      <c r="JP43" s="1007">
        <v>0</v>
      </c>
      <c r="JQ43" s="1008">
        <v>0</v>
      </c>
      <c r="JR43" s="1007">
        <v>0</v>
      </c>
      <c r="JS43" s="1008">
        <v>0</v>
      </c>
      <c r="JT43" s="1007">
        <v>0</v>
      </c>
      <c r="JU43" s="1008"/>
      <c r="JV43" s="1007">
        <v>0</v>
      </c>
      <c r="JW43" s="1008" t="s">
        <v>199</v>
      </c>
      <c r="JX43" s="1007">
        <v>1.4211999999999998</v>
      </c>
      <c r="JY43" s="1008" t="s">
        <v>204</v>
      </c>
      <c r="JZ43" s="1007">
        <v>-5.6012000000000004</v>
      </c>
      <c r="KA43" s="1008" t="s">
        <v>204</v>
      </c>
      <c r="KB43" s="1007">
        <v>-3.6115200000000005</v>
      </c>
      <c r="KC43" s="1008"/>
      <c r="KD43" s="1007">
        <v>0</v>
      </c>
      <c r="KE43" s="1008"/>
      <c r="KF43" s="1007">
        <v>0</v>
      </c>
      <c r="KG43" s="1008"/>
      <c r="KH43" s="1007">
        <v>0</v>
      </c>
      <c r="KI43" s="1008" t="s">
        <v>207</v>
      </c>
      <c r="KJ43" s="1007">
        <v>5.6179200000000016</v>
      </c>
      <c r="KK43" s="1008"/>
      <c r="KL43" s="1007">
        <v>0</v>
      </c>
      <c r="KM43" s="1008"/>
      <c r="KN43" s="1007">
        <v>0</v>
      </c>
      <c r="KO43" s="1008"/>
      <c r="KP43" s="1007">
        <v>0</v>
      </c>
      <c r="KQ43" s="1008">
        <v>0</v>
      </c>
      <c r="KR43" s="1007">
        <v>0</v>
      </c>
      <c r="KS43" s="1008" t="s">
        <v>206</v>
      </c>
      <c r="KT43" s="1007">
        <v>-2.8424000000000014</v>
      </c>
      <c r="KU43" s="1008" t="s">
        <v>260</v>
      </c>
      <c r="KV43" s="1007">
        <v>10.868</v>
      </c>
      <c r="KW43" s="1008">
        <v>0</v>
      </c>
      <c r="KX43" s="1007">
        <v>5.016</v>
      </c>
      <c r="KY43" s="1008">
        <v>0</v>
      </c>
      <c r="KZ43" s="1007">
        <v>0</v>
      </c>
      <c r="LA43" s="1008">
        <v>0</v>
      </c>
      <c r="LB43" s="1007">
        <v>0</v>
      </c>
      <c r="LC43" s="1008">
        <v>0</v>
      </c>
      <c r="LD43" s="1007">
        <v>0</v>
      </c>
      <c r="LE43" s="1008">
        <v>0</v>
      </c>
      <c r="LF43" s="1007">
        <v>0</v>
      </c>
      <c r="LG43" s="1008">
        <v>0</v>
      </c>
      <c r="LH43" s="1007">
        <v>-5.1399359999999996</v>
      </c>
      <c r="LI43" s="1008">
        <v>0</v>
      </c>
      <c r="LJ43" s="1007">
        <v>0</v>
      </c>
      <c r="LK43" s="1008">
        <v>0</v>
      </c>
      <c r="LL43" s="1007">
        <v>0</v>
      </c>
      <c r="LM43" s="1008">
        <v>0</v>
      </c>
      <c r="LN43" s="1007">
        <v>0</v>
      </c>
      <c r="LO43" s="1008" t="s">
        <v>206</v>
      </c>
      <c r="LP43" s="1007">
        <v>-4.1783279999999996</v>
      </c>
      <c r="LQ43" s="1008" t="s">
        <v>206</v>
      </c>
      <c r="LR43" s="1007">
        <v>2.9348615999999996</v>
      </c>
      <c r="LS43" s="1008">
        <v>0</v>
      </c>
      <c r="LT43" s="1007">
        <v>-0.83432799999999996</v>
      </c>
      <c r="LU43" s="1008" t="s">
        <v>223</v>
      </c>
      <c r="LV43" s="1007">
        <v>-1.4744948</v>
      </c>
      <c r="LW43" s="1008">
        <v>0</v>
      </c>
      <c r="LX43" s="1007">
        <v>-0.24356639999990001</v>
      </c>
      <c r="LY43" s="1009">
        <v>0</v>
      </c>
      <c r="LZ43" s="1010">
        <v>0.44283254399999999</v>
      </c>
      <c r="MA43" s="1011" t="s">
        <v>206</v>
      </c>
      <c r="MB43" s="1012">
        <v>-1.4914658000000003</v>
      </c>
      <c r="MC43" s="995"/>
      <c r="MD43" s="996"/>
      <c r="ME43" s="997" t="s">
        <v>238</v>
      </c>
      <c r="MF43" s="997"/>
      <c r="MG43" s="998"/>
      <c r="NR43" s="1000"/>
      <c r="NS43" s="1000"/>
      <c r="NT43" s="1001"/>
      <c r="NU43" s="1000"/>
      <c r="NV43" s="1001"/>
      <c r="NX43" s="1002"/>
      <c r="NZ43" s="1001"/>
      <c r="OA43" s="1001"/>
      <c r="OC43" s="1003"/>
      <c r="OD43" s="1003"/>
      <c r="OE43" s="1001"/>
      <c r="OF43" s="1003"/>
      <c r="OG43" s="1003"/>
      <c r="QX43" s="1000">
        <f>CN43-CA43</f>
        <v>17</v>
      </c>
      <c r="ASU43" s="999" t="s">
        <v>208</v>
      </c>
    </row>
    <row r="44" spans="1:466 1191:1191" ht="21" customHeight="1" x14ac:dyDescent="0.25">
      <c r="A44" s="982" t="str">
        <f t="shared" si="0"/>
        <v>13-3</v>
      </c>
      <c r="B44" s="124">
        <f>SUBTOTAL(103,$J$29:J44)</f>
        <v>16</v>
      </c>
      <c r="C44" s="126">
        <v>45096</v>
      </c>
      <c r="D44" s="124" t="s">
        <v>176</v>
      </c>
      <c r="E44" s="127" t="s">
        <v>177</v>
      </c>
      <c r="F44" s="128" t="s">
        <v>177</v>
      </c>
      <c r="G44" s="127" t="s">
        <v>178</v>
      </c>
      <c r="H44" s="127" t="s">
        <v>226</v>
      </c>
      <c r="I44" s="127" t="s">
        <v>242</v>
      </c>
      <c r="J44" s="153" t="s">
        <v>327</v>
      </c>
      <c r="K44" s="127" t="s">
        <v>182</v>
      </c>
      <c r="L44" s="130">
        <v>35399</v>
      </c>
      <c r="M44" s="127" t="s">
        <v>230</v>
      </c>
      <c r="N44" s="127" t="s">
        <v>245</v>
      </c>
      <c r="O44" s="127" t="s">
        <v>185</v>
      </c>
      <c r="P44" s="127" t="s">
        <v>225</v>
      </c>
      <c r="Q44" s="85" t="str">
        <f t="shared" si="40"/>
        <v/>
      </c>
      <c r="R44" s="130"/>
      <c r="S44" s="128"/>
      <c r="T44" s="131"/>
      <c r="U44" s="132">
        <v>203</v>
      </c>
      <c r="V44" s="121">
        <v>218.2</v>
      </c>
      <c r="W44" s="116">
        <v>0.98</v>
      </c>
      <c r="X44" s="116">
        <v>1.66</v>
      </c>
      <c r="Y44" s="116">
        <f>(W44*X44)/((CQ44/100)*W44+(1-CQ44/100)*X44)</f>
        <v>1.0650779101741521</v>
      </c>
      <c r="Z44" s="133">
        <v>1.454</v>
      </c>
      <c r="AA44" s="133">
        <v>0.83599999999999997</v>
      </c>
      <c r="AB44" s="133">
        <v>0.72</v>
      </c>
      <c r="AC44" s="121">
        <v>34.299999999999997</v>
      </c>
      <c r="AD44" s="134">
        <v>1.17</v>
      </c>
      <c r="AE44" s="124">
        <v>139.69999999999999</v>
      </c>
      <c r="AF44" s="128">
        <v>7.72</v>
      </c>
      <c r="AG44" s="128">
        <v>1922</v>
      </c>
      <c r="AH44" s="127">
        <v>2664</v>
      </c>
      <c r="AI44" s="127">
        <v>2691</v>
      </c>
      <c r="AJ44" s="135">
        <v>44917</v>
      </c>
      <c r="AK44" s="128"/>
      <c r="AL44" s="131" t="s">
        <v>328</v>
      </c>
      <c r="AM44" s="124" t="s">
        <v>187</v>
      </c>
      <c r="AN44" s="136" t="s">
        <v>329</v>
      </c>
      <c r="AO44" s="137" t="s">
        <v>330</v>
      </c>
      <c r="AP44" s="128">
        <v>2204.7600000000002</v>
      </c>
      <c r="AQ44" s="128">
        <v>310</v>
      </c>
      <c r="AR44" s="128"/>
      <c r="AS44" s="128"/>
      <c r="AT44" s="122"/>
      <c r="AU44" s="124" t="s">
        <v>189</v>
      </c>
      <c r="AV44" s="115">
        <f>VLOOKUP(J44,'[63]ТР нефть'!$J$28:$BP$638,39,0)</f>
        <v>550</v>
      </c>
      <c r="AW44" s="115" t="str">
        <f>VLOOKUP(J44,'[63]ТР нефть'!$J$28:$BP$638,40,0)</f>
        <v>ГП</v>
      </c>
      <c r="AX44" s="115">
        <f>VLOOKUP(J44,'[63]ТР нефть'!$J$28:$BP$638,41,0)</f>
        <v>1010</v>
      </c>
      <c r="AY44" s="115" t="str">
        <f>VLOOKUP(J44,'[63]ТР нефть'!$J$28:$BP$638,42,0)</f>
        <v>ГК 80 1/8</v>
      </c>
      <c r="AZ44" s="115">
        <f>VLOOKUP(J44,'[63]ТР нефть'!$J$28:$BP$638,43,0)</f>
        <v>1400</v>
      </c>
      <c r="BA44" s="115" t="str">
        <f>VLOOKUP(J44,'[63]ТР нефть'!$J$28:$BP$638,44,0)</f>
        <v>ГК 80 1/8</v>
      </c>
      <c r="BB44" s="115">
        <f>VLOOKUP(J44,'[63]ТР нефть'!$J$28:$BP$638,45,0)</f>
        <v>1603</v>
      </c>
      <c r="BC44" s="115" t="str">
        <f>VLOOKUP(J44,'[63]ТР нефть'!$J$28:$BP$638,46,0)</f>
        <v>ЦКсОК 5/16</v>
      </c>
      <c r="BD44" s="115" t="str">
        <f>VLOOKUP(J44,'[63]ТР нефть'!$J$28:$BP$638,47,0)</f>
        <v>-</v>
      </c>
      <c r="BE44" s="115" t="str">
        <f>VLOOKUP(J44,'[63]ТР нефть'!$J$28:$BP$638,48,0)</f>
        <v>-</v>
      </c>
      <c r="BF44" s="115" t="str">
        <f>VLOOKUP(J44,'[63]ТР нефть'!$J$28:$BP$638,49,0)</f>
        <v>-</v>
      </c>
      <c r="BG44" s="115" t="str">
        <f>VLOOKUP(J44,'[63]ТР нефть'!$J$28:$BP$638,50,0)</f>
        <v>-</v>
      </c>
      <c r="BH44" s="115">
        <f>VLOOKUP(J44,'[63]ТР нефть'!$J$28:$BP$638,51,0)</f>
        <v>1613</v>
      </c>
      <c r="BI44" s="115" t="str">
        <f>VLOOKUP(J44,'[63]ТР нефть'!$J$28:$BP$638,52,0)</f>
        <v>закрыт</v>
      </c>
      <c r="BJ44" s="115">
        <f>IF(IFERROR(VLOOKUP(J44,'[63]ТР нефть'!$J$28:$BP$638,53,0),"-")=0,"-",IFERROR(VLOOKUP(J44,'[63]ТР нефть'!$J$28:$BP$638,53,0),"-"))</f>
        <v>33.729999999999997</v>
      </c>
      <c r="BK44" s="138" t="str">
        <f>IF(IFERROR(VLOOKUP(J44,'[63]ТР нефть'!$J$28:$BP$638,54,0),"-")=0,"-",IFERROR(VLOOKUP(J44,'[63]ТР нефть'!$J$28:$BP$638,54,0),"-"))</f>
        <v>-</v>
      </c>
      <c r="BL44" s="138" t="str">
        <f>IF(IFERROR(VLOOKUP(J44,'[63]ТР нефть'!$J$28:$BP$638,55,0),"-")=0,"-",IFERROR(VLOOKUP(J44,'[63]ТР нефть'!$J$28:$BP$638,55,0),"-"))</f>
        <v>-</v>
      </c>
      <c r="BM44" s="138" t="str">
        <f>IF(IFERROR(VLOOKUP(J44,'[63]ТР нефть'!$J$28:$BP$638,56,0),"-")=0,"-",IFERROR(VLOOKUP(J44,'[63]ТР нефть'!$J$28:$BP$638,56,0),"-"))</f>
        <v>-</v>
      </c>
      <c r="BN44" s="138" t="str">
        <f>IF(IFERROR(VLOOKUP(J44,'[63]ТР нефть'!$J$28:$BP$638,57,0),"-")=0,"-",IFERROR(VLOOKUP(J44,'[63]ТР нефть'!$J$28:$BP$638,57,0),"-"))</f>
        <v>-</v>
      </c>
      <c r="BO44" s="115" t="str">
        <f>IF(IFERROR(VLOOKUP(J44,'[63]ТР нефть'!$J$28:$BP$638,58,0),"-")=0,"-",IFERROR(VLOOKUP(J44,'[63]ТР нефть'!$J$28:$BP$638,58,0),"-"))</f>
        <v>-</v>
      </c>
      <c r="BP44" s="115" t="str">
        <f>IF(IFERROR(VLOOKUP(J44,'[63]ТР нефть'!$J$28:$BP$638,59,0),"-")=0,"-",IFERROR(VLOOKUP(J44,'[63]ТР нефть'!$J$28:$BP$638,59,0),"-"))</f>
        <v>-</v>
      </c>
      <c r="BQ44" s="138">
        <v>1623</v>
      </c>
      <c r="BR44" s="128">
        <v>1623</v>
      </c>
      <c r="BS44" s="115">
        <f t="shared" si="2"/>
        <v>0</v>
      </c>
      <c r="BT44" s="128"/>
      <c r="BU44" s="128"/>
      <c r="BV44" s="127">
        <v>18</v>
      </c>
      <c r="BW44" s="127" t="s">
        <v>234</v>
      </c>
      <c r="BX44" s="127" t="s">
        <v>195</v>
      </c>
      <c r="BY44" s="139">
        <v>24</v>
      </c>
      <c r="BZ44" s="139">
        <v>0</v>
      </c>
      <c r="CA44" s="138">
        <v>19</v>
      </c>
      <c r="CB44" s="138">
        <v>36</v>
      </c>
      <c r="CC44" s="138">
        <v>17</v>
      </c>
      <c r="CD44" s="135">
        <v>45017</v>
      </c>
      <c r="CE44" s="138">
        <v>177.6</v>
      </c>
      <c r="CF44" s="138">
        <v>67</v>
      </c>
      <c r="CG44" s="138" t="str">
        <f t="shared" si="3"/>
        <v>В работе</v>
      </c>
      <c r="CH44" s="138" t="s">
        <v>235</v>
      </c>
      <c r="CI44" s="138">
        <v>6</v>
      </c>
      <c r="CJ44" s="139"/>
      <c r="CK44" s="138"/>
      <c r="CL44" s="99"/>
      <c r="CM44" s="99"/>
      <c r="CN44" s="140">
        <v>42</v>
      </c>
      <c r="CO44" s="141">
        <f t="shared" si="4"/>
        <v>2.220834</v>
      </c>
      <c r="CP44" s="142">
        <v>3.3</v>
      </c>
      <c r="CQ44" s="143">
        <v>19.5</v>
      </c>
      <c r="CR44" s="138">
        <v>12.2</v>
      </c>
      <c r="CS44" s="139">
        <v>6</v>
      </c>
      <c r="CT44" s="138"/>
      <c r="CU44" s="138">
        <f t="shared" si="5"/>
        <v>6.1999999999999993</v>
      </c>
      <c r="CV44" s="115">
        <f t="shared" si="6"/>
        <v>2791.7440024783477</v>
      </c>
      <c r="CW44" s="115">
        <f t="shared" si="7"/>
        <v>2022.921726078192</v>
      </c>
      <c r="CX44" s="133">
        <f t="shared" si="8"/>
        <v>2.4336283185840708E-2</v>
      </c>
      <c r="CY44" s="116"/>
      <c r="CZ44" s="131"/>
      <c r="DA44" s="145" t="str">
        <f t="shared" si="9"/>
        <v>Газлифт</v>
      </c>
      <c r="DB44" s="146">
        <f>IFERROR(DC44*(1-DD44/100)*$AA44,"-")</f>
        <v>2.220834</v>
      </c>
      <c r="DC44" s="142">
        <f t="shared" si="11"/>
        <v>3.3</v>
      </c>
      <c r="DD44" s="119">
        <f t="shared" si="12"/>
        <v>19.5</v>
      </c>
      <c r="DE44" s="115">
        <f t="shared" si="13"/>
        <v>6.1999999999999993</v>
      </c>
      <c r="DF44" s="121">
        <f t="shared" si="14"/>
        <v>6</v>
      </c>
      <c r="DG44" s="115">
        <f t="shared" si="15"/>
        <v>2791.7440024783477</v>
      </c>
      <c r="DH44" s="115">
        <f t="shared" si="16"/>
        <v>42</v>
      </c>
      <c r="DI44" s="147"/>
      <c r="DJ44" s="111"/>
      <c r="DK44" s="112"/>
      <c r="DL44" s="113"/>
      <c r="DM44" s="114"/>
      <c r="DN44" s="114"/>
      <c r="DO44" s="114"/>
      <c r="DP44" s="114"/>
      <c r="DQ44" s="112"/>
      <c r="DR44" s="114"/>
      <c r="DS44" s="114"/>
      <c r="DT44" s="115"/>
      <c r="DU44" s="116"/>
      <c r="DV44" s="117"/>
      <c r="DW44" s="118"/>
      <c r="DX44" s="119">
        <f t="shared" si="21"/>
        <v>19.5</v>
      </c>
      <c r="DY44" s="115"/>
      <c r="DZ44" s="117"/>
      <c r="EA44" s="120"/>
      <c r="EB44" s="119">
        <f t="shared" si="23"/>
        <v>0</v>
      </c>
      <c r="EC44" s="121"/>
      <c r="ED44" s="122"/>
      <c r="EE44" s="145">
        <v>18</v>
      </c>
      <c r="EF44" s="115">
        <v>19</v>
      </c>
      <c r="EG44" s="115">
        <v>36</v>
      </c>
      <c r="EH44" s="115">
        <v>17</v>
      </c>
      <c r="EI44" s="128" t="s">
        <v>195</v>
      </c>
      <c r="EJ44" s="121">
        <v>24</v>
      </c>
      <c r="EK44" s="121">
        <v>0</v>
      </c>
      <c r="EL44" s="149">
        <v>2.220834</v>
      </c>
      <c r="EM44" s="142">
        <v>3.3</v>
      </c>
      <c r="EN44" s="119">
        <v>19.5</v>
      </c>
      <c r="EO44" s="115">
        <v>12.2</v>
      </c>
      <c r="EP44" s="115">
        <v>2791.7440024783477</v>
      </c>
      <c r="EQ44" s="115">
        <v>67</v>
      </c>
      <c r="ER44" s="115">
        <v>6</v>
      </c>
      <c r="ES44" s="115">
        <v>42</v>
      </c>
      <c r="ET44" s="150">
        <v>2.4336283185840708E-2</v>
      </c>
      <c r="EU44" s="145">
        <f>BV44</f>
        <v>18</v>
      </c>
      <c r="EV44" s="115">
        <f>CA44</f>
        <v>19</v>
      </c>
      <c r="EW44" s="115">
        <f>CB44</f>
        <v>36</v>
      </c>
      <c r="EX44" s="115">
        <f>CC44</f>
        <v>17</v>
      </c>
      <c r="EY44" s="115" t="str">
        <f>BX44</f>
        <v>Постоянный</v>
      </c>
      <c r="EZ44" s="115">
        <f>BY44</f>
        <v>24</v>
      </c>
      <c r="FA44" s="115">
        <f>BZ44</f>
        <v>0</v>
      </c>
      <c r="FB44" s="149">
        <f>CO44</f>
        <v>2.220834</v>
      </c>
      <c r="FC44" s="142">
        <f>CP44</f>
        <v>3.3</v>
      </c>
      <c r="FD44" s="119">
        <f>CQ44</f>
        <v>19.5</v>
      </c>
      <c r="FE44" s="121">
        <f>CR44</f>
        <v>12.2</v>
      </c>
      <c r="FF44" s="121">
        <f>CV44</f>
        <v>2791.7440024783477</v>
      </c>
      <c r="FG44" s="121">
        <f>CF44</f>
        <v>67</v>
      </c>
      <c r="FH44" s="121">
        <f>CS44</f>
        <v>6</v>
      </c>
      <c r="FI44" s="121">
        <f>CN44</f>
        <v>42</v>
      </c>
      <c r="FJ44" s="144">
        <f>CX44</f>
        <v>2.4336283185840708E-2</v>
      </c>
      <c r="FK44" s="132">
        <f t="shared" si="34"/>
        <v>0</v>
      </c>
      <c r="FL44" s="115">
        <f t="shared" si="34"/>
        <v>0</v>
      </c>
      <c r="FM44" s="115">
        <f t="shared" si="34"/>
        <v>0</v>
      </c>
      <c r="FN44" s="115">
        <f t="shared" si="34"/>
        <v>0</v>
      </c>
      <c r="FO44" s="115">
        <f t="shared" si="35"/>
        <v>0</v>
      </c>
      <c r="FP44" s="115">
        <f t="shared" si="35"/>
        <v>0</v>
      </c>
      <c r="FQ44" s="149">
        <f t="shared" si="35"/>
        <v>0</v>
      </c>
      <c r="FR44" s="142">
        <f t="shared" si="35"/>
        <v>0</v>
      </c>
      <c r="FS44" s="119">
        <f t="shared" si="35"/>
        <v>0</v>
      </c>
      <c r="FT44" s="121">
        <f t="shared" si="35"/>
        <v>0</v>
      </c>
      <c r="FU44" s="121">
        <f t="shared" si="36"/>
        <v>0</v>
      </c>
      <c r="FV44" s="121">
        <f t="shared" si="36"/>
        <v>0</v>
      </c>
      <c r="FW44" s="121">
        <f t="shared" si="37"/>
        <v>0</v>
      </c>
      <c r="FX44" s="121">
        <f t="shared" si="38"/>
        <v>0</v>
      </c>
      <c r="FY44" s="144">
        <f t="shared" si="38"/>
        <v>0</v>
      </c>
      <c r="FZ44" s="145"/>
      <c r="GA44" s="151" t="s">
        <v>283</v>
      </c>
      <c r="GB44" s="145"/>
      <c r="GC44" s="151" t="s">
        <v>331</v>
      </c>
      <c r="GD44" s="997" t="s">
        <v>238</v>
      </c>
      <c r="GE44" s="1004"/>
      <c r="GF44" s="1004">
        <v>-0.21192600000000006</v>
      </c>
      <c r="GG44" s="1004" t="s">
        <v>203</v>
      </c>
      <c r="GH44" s="1004">
        <v>-1.7652140000000003</v>
      </c>
      <c r="GI44" s="145" t="s">
        <v>203</v>
      </c>
      <c r="GJ44" s="996">
        <v>-13.302052456</v>
      </c>
      <c r="GK44" s="145"/>
      <c r="GL44" s="996"/>
      <c r="GM44" s="1005"/>
      <c r="GN44" s="996"/>
      <c r="GO44" s="1006"/>
      <c r="GP44" s="996"/>
      <c r="GQ44" s="1006"/>
      <c r="GR44" s="996"/>
      <c r="GS44" s="1006"/>
      <c r="GT44" s="996"/>
      <c r="GU44" s="1006"/>
      <c r="GV44" s="996"/>
      <c r="GW44" s="1006"/>
      <c r="GX44" s="997"/>
      <c r="GY44" s="1006"/>
      <c r="GZ44" s="996"/>
      <c r="HA44" s="1006"/>
      <c r="HB44" s="996"/>
      <c r="HC44" s="1006"/>
      <c r="HD44" s="996"/>
      <c r="HE44" s="1006"/>
      <c r="HF44" s="996"/>
      <c r="HG44" s="1006"/>
      <c r="HH44" s="996"/>
      <c r="HI44" s="1006"/>
      <c r="HJ44" s="996"/>
      <c r="HK44" s="1006"/>
      <c r="HL44" s="996"/>
      <c r="HM44" s="1006"/>
      <c r="HN44" s="996"/>
      <c r="HO44" s="1006"/>
      <c r="HP44" s="996"/>
      <c r="HQ44" s="1006"/>
      <c r="HR44" s="996"/>
      <c r="HS44" s="1006"/>
      <c r="HT44" s="996"/>
      <c r="HU44" s="1006"/>
      <c r="HV44" s="996"/>
      <c r="HW44" s="1006"/>
      <c r="HX44" s="996"/>
      <c r="HY44" s="1006"/>
      <c r="HZ44" s="996"/>
      <c r="IA44" s="1006"/>
      <c r="IB44" s="996"/>
      <c r="IC44" s="1006"/>
      <c r="ID44" s="996"/>
      <c r="IE44" s="1006"/>
      <c r="IF44" s="996"/>
      <c r="IG44" s="1006"/>
      <c r="IH44" s="996"/>
      <c r="II44" s="1006"/>
      <c r="IJ44" s="996"/>
      <c r="IK44" s="1006"/>
      <c r="IL44" s="996"/>
      <c r="IM44" s="1006"/>
      <c r="IN44" s="996"/>
      <c r="IO44" s="1006"/>
      <c r="IP44" s="996"/>
      <c r="IQ44" s="1006"/>
      <c r="IR44" s="996"/>
      <c r="IS44" s="1006"/>
      <c r="IT44" s="996"/>
      <c r="IU44" s="1006"/>
      <c r="IV44" s="996"/>
      <c r="IW44" s="1006"/>
      <c r="IX44" s="996"/>
      <c r="IY44" s="1006"/>
      <c r="IZ44" s="996"/>
      <c r="JA44" s="1006"/>
      <c r="JB44" s="996"/>
      <c r="JC44" s="1006"/>
      <c r="JD44" s="996"/>
      <c r="JE44" s="1006"/>
      <c r="JF44" s="996"/>
      <c r="JG44" s="1006"/>
      <c r="JH44" s="996"/>
      <c r="JI44" s="1006"/>
      <c r="JJ44" s="996"/>
      <c r="JK44" s="1007"/>
      <c r="JL44" s="1007"/>
      <c r="JM44" s="1007"/>
      <c r="JN44" s="1007"/>
      <c r="JO44" s="1008"/>
      <c r="JP44" s="1007"/>
      <c r="JQ44" s="1008"/>
      <c r="JR44" s="1007"/>
      <c r="JS44" s="1008"/>
      <c r="JT44" s="1007"/>
      <c r="JU44" s="1008"/>
      <c r="JV44" s="1007"/>
      <c r="JW44" s="1008"/>
      <c r="JX44" s="1007"/>
      <c r="JY44" s="1008"/>
      <c r="JZ44" s="1007"/>
      <c r="KA44" s="1008"/>
      <c r="KB44" s="1007"/>
      <c r="KC44" s="1008"/>
      <c r="KD44" s="1007"/>
      <c r="KE44" s="1008"/>
      <c r="KF44" s="1007"/>
      <c r="KG44" s="1008"/>
      <c r="KH44" s="1007"/>
      <c r="KI44" s="1008"/>
      <c r="KJ44" s="1007"/>
      <c r="KK44" s="1008"/>
      <c r="KL44" s="1007"/>
      <c r="KM44" s="1008"/>
      <c r="KN44" s="1007"/>
      <c r="KO44" s="1008"/>
      <c r="KP44" s="1007"/>
      <c r="KQ44" s="1008"/>
      <c r="KR44" s="1007"/>
      <c r="KS44" s="1008"/>
      <c r="KT44" s="1007"/>
      <c r="KU44" s="1008"/>
      <c r="KV44" s="1007"/>
      <c r="KW44" s="1008"/>
      <c r="KX44" s="1007"/>
      <c r="KY44" s="1008"/>
      <c r="KZ44" s="1007"/>
      <c r="LA44" s="1008"/>
      <c r="LB44" s="1007"/>
      <c r="LC44" s="1008"/>
      <c r="LD44" s="1007"/>
      <c r="LE44" s="1008"/>
      <c r="LF44" s="1007"/>
      <c r="LG44" s="1008"/>
      <c r="LH44" s="1007"/>
      <c r="LI44" s="1008"/>
      <c r="LJ44" s="1007"/>
      <c r="LK44" s="1008"/>
      <c r="LL44" s="1007"/>
      <c r="LM44" s="1008"/>
      <c r="LN44" s="1007"/>
      <c r="LO44" s="1008"/>
      <c r="LP44" s="1007"/>
      <c r="LQ44" s="1008"/>
      <c r="LR44" s="1007"/>
      <c r="LS44" s="1008"/>
      <c r="LT44" s="1007"/>
      <c r="LU44" s="1008"/>
      <c r="LV44" s="1007"/>
      <c r="LW44" s="1008"/>
      <c r="LX44" s="1007"/>
      <c r="LY44" s="1009"/>
      <c r="LZ44" s="1010"/>
      <c r="MA44" s="1011"/>
      <c r="MB44" s="1012"/>
      <c r="MC44" s="995"/>
      <c r="MD44" s="996"/>
      <c r="ME44" s="997" t="s">
        <v>238</v>
      </c>
      <c r="MF44" s="997"/>
      <c r="MG44" s="998"/>
      <c r="NR44" s="1000"/>
      <c r="NS44" s="1000"/>
      <c r="NT44" s="1001"/>
      <c r="NU44" s="1000"/>
      <c r="NV44" s="1001"/>
      <c r="NX44" s="1002"/>
      <c r="NZ44" s="1001"/>
      <c r="OA44" s="1001"/>
      <c r="OC44" s="1003"/>
      <c r="OD44" s="1003"/>
      <c r="OE44" s="1001"/>
      <c r="OF44" s="1003"/>
      <c r="OG44" s="1003"/>
      <c r="QX44" s="1000">
        <f>CN44-CA44</f>
        <v>23</v>
      </c>
    </row>
    <row r="45" spans="1:466 1191:1191" ht="21" customHeight="1" x14ac:dyDescent="0.25">
      <c r="A45" s="982" t="str">
        <f t="shared" si="0"/>
        <v>14-1</v>
      </c>
      <c r="B45" s="124">
        <f>SUBTOTAL(103,$J$29:J45)</f>
        <v>17</v>
      </c>
      <c r="C45" s="126">
        <v>45096</v>
      </c>
      <c r="D45" s="124" t="s">
        <v>176</v>
      </c>
      <c r="E45" s="127" t="s">
        <v>177</v>
      </c>
      <c r="F45" s="128" t="s">
        <v>177</v>
      </c>
      <c r="G45" s="127" t="s">
        <v>178</v>
      </c>
      <c r="H45" s="127" t="s">
        <v>226</v>
      </c>
      <c r="I45" s="127" t="s">
        <v>285</v>
      </c>
      <c r="J45" s="152" t="s">
        <v>332</v>
      </c>
      <c r="K45" s="127" t="s">
        <v>333</v>
      </c>
      <c r="L45" s="130">
        <v>35671</v>
      </c>
      <c r="M45" s="127" t="s">
        <v>230</v>
      </c>
      <c r="N45" s="127" t="s">
        <v>245</v>
      </c>
      <c r="O45" s="127" t="s">
        <v>185</v>
      </c>
      <c r="P45" s="127" t="s">
        <v>208</v>
      </c>
      <c r="Q45" s="85" t="str">
        <f t="shared" si="40"/>
        <v/>
      </c>
      <c r="R45" s="130"/>
      <c r="S45" s="128" t="s">
        <v>156</v>
      </c>
      <c r="T45" s="131"/>
      <c r="U45" s="132">
        <v>203</v>
      </c>
      <c r="V45" s="121">
        <v>218.2</v>
      </c>
      <c r="W45" s="116">
        <v>0.98</v>
      </c>
      <c r="X45" s="116">
        <v>1.66</v>
      </c>
      <c r="Y45" s="116">
        <f t="shared" ref="Y45:Y108" si="41">(W45*X45)/((CQ45/100)*W45+(1-CQ45/100)*X45)</f>
        <v>0.98120581919949812</v>
      </c>
      <c r="Z45" s="133">
        <v>1.454</v>
      </c>
      <c r="AA45" s="133">
        <v>0.83599999999999997</v>
      </c>
      <c r="AB45" s="133">
        <v>0.72</v>
      </c>
      <c r="AC45" s="121">
        <v>34.299999999999997</v>
      </c>
      <c r="AD45" s="134">
        <v>1.17</v>
      </c>
      <c r="AE45" s="124">
        <v>139.69999999999999</v>
      </c>
      <c r="AF45" s="128">
        <v>7.72</v>
      </c>
      <c r="AG45" s="128">
        <v>1858</v>
      </c>
      <c r="AH45" s="127">
        <v>2762</v>
      </c>
      <c r="AI45" s="127">
        <v>2762</v>
      </c>
      <c r="AJ45" s="135"/>
      <c r="AK45" s="128"/>
      <c r="AL45" s="131"/>
      <c r="AM45" s="124" t="s">
        <v>232</v>
      </c>
      <c r="AN45" s="136" t="s">
        <v>334</v>
      </c>
      <c r="AO45" s="137">
        <v>79.779399999999896</v>
      </c>
      <c r="AP45" s="128">
        <v>1858</v>
      </c>
      <c r="AQ45" s="128">
        <v>2.7</v>
      </c>
      <c r="AR45" s="128"/>
      <c r="AS45" s="128"/>
      <c r="AT45" s="122"/>
      <c r="AU45" s="124" t="s">
        <v>189</v>
      </c>
      <c r="AV45" s="115">
        <f>VLOOKUP(J45,'[63]ТР нефть'!$J$28:$BP$638,39,0)</f>
        <v>599.99999062500001</v>
      </c>
      <c r="AW45" s="115" t="str">
        <f>VLOOKUP(J45,'[63]ТР нефть'!$J$28:$BP$638,40,0)</f>
        <v>ГК 81 1/8</v>
      </c>
      <c r="AX45" s="115">
        <f>VLOOKUP(J45,'[63]ТР нефть'!$J$28:$BP$638,41,0)</f>
        <v>1089.999997852</v>
      </c>
      <c r="AY45" s="115" t="str">
        <f>VLOOKUP(J45,'[63]ТР нефть'!$J$28:$BP$638,42,0)</f>
        <v>ГК 82 1/8</v>
      </c>
      <c r="AZ45" s="115">
        <f>VLOOKUP(J45,'[63]ТР нефть'!$J$28:$BP$638,43,0)</f>
        <v>1490.0000660159999</v>
      </c>
      <c r="BA45" s="115" t="str">
        <f>VLOOKUP(J45,'[63]ТР нефть'!$J$28:$BP$638,44,0)</f>
        <v>ГК 82 1/8</v>
      </c>
      <c r="BB45" s="115">
        <f>VLOOKUP(J45,'[63]ТР нефть'!$J$28:$BP$638,45,0)</f>
        <v>1619.9999449219999</v>
      </c>
      <c r="BC45" s="115" t="str">
        <f>VLOOKUP(J45,'[63]ТР нефть'!$J$28:$BP$638,46,0)</f>
        <v>ЦКсОК 5/16</v>
      </c>
      <c r="BD45" s="115" t="str">
        <f>VLOOKUP(J45,'[63]ТР нефть'!$J$28:$BP$638,47,0)</f>
        <v>-</v>
      </c>
      <c r="BE45" s="115" t="str">
        <f>VLOOKUP(J45,'[63]ТР нефть'!$J$28:$BP$638,48,0)</f>
        <v>-</v>
      </c>
      <c r="BF45" s="115" t="str">
        <f>VLOOKUP(J45,'[63]ТР нефть'!$J$28:$BP$638,49,0)</f>
        <v>-</v>
      </c>
      <c r="BG45" s="115" t="str">
        <f>VLOOKUP(J45,'[63]ТР нефть'!$J$28:$BP$638,50,0)</f>
        <v>-</v>
      </c>
      <c r="BH45" s="115" t="str">
        <f>VLOOKUP(J45,'[63]ТР нефть'!$J$28:$BP$638,51,0)</f>
        <v>-</v>
      </c>
      <c r="BI45" s="115" t="str">
        <f>VLOOKUP(J45,'[63]ТР нефть'!$J$28:$BP$638,52,0)</f>
        <v>-</v>
      </c>
      <c r="BJ45" s="115" t="str">
        <f>IF(IFERROR(VLOOKUP(J45,'[63]ТР нефть'!$J$28:$BP$638,53,0),"-")=0,"-",IFERROR(VLOOKUP(J45,'[63]ТР нефть'!$J$28:$BP$638,53,0),"-"))</f>
        <v>-</v>
      </c>
      <c r="BK45" s="138" t="str">
        <f>IF(IFERROR(VLOOKUP(J45,'[63]ТР нефть'!$J$28:$BP$638,54,0),"-")=0,"-",IFERROR(VLOOKUP(J45,'[63]ТР нефть'!$J$28:$BP$638,54,0),"-"))</f>
        <v>-</v>
      </c>
      <c r="BL45" s="138" t="str">
        <f>IF(IFERROR(VLOOKUP(J45,'[63]ТР нефть'!$J$28:$BP$638,55,0),"-")=0,"-",IFERROR(VLOOKUP(J45,'[63]ТР нефть'!$J$28:$BP$638,55,0),"-"))</f>
        <v>-</v>
      </c>
      <c r="BM45" s="138" t="str">
        <f>IF(IFERROR(VLOOKUP(J45,'[63]ТР нефть'!$J$28:$BP$638,56,0),"-")=0,"-",IFERROR(VLOOKUP(J45,'[63]ТР нефть'!$J$28:$BP$638,56,0),"-"))</f>
        <v>-</v>
      </c>
      <c r="BN45" s="138" t="str">
        <f>IF(IFERROR(VLOOKUP(J45,'[63]ТР нефть'!$J$28:$BP$638,57,0),"-")=0,"-",IFERROR(VLOOKUP(J45,'[63]ТР нефть'!$J$28:$BP$638,57,0),"-"))</f>
        <v>-</v>
      </c>
      <c r="BO45" s="115" t="str">
        <f>IF(IFERROR(VLOOKUP(J45,'[63]ТР нефть'!$J$28:$BP$638,58,0),"-")=0,"-",IFERROR(VLOOKUP(J45,'[63]ТР нефть'!$J$28:$BP$638,58,0),"-"))</f>
        <v>-</v>
      </c>
      <c r="BP45" s="115" t="str">
        <f>IF(IFERROR(VLOOKUP(J45,'[63]ТР нефть'!$J$28:$BP$638,59,0),"-")=0,"-",IFERROR(VLOOKUP(J45,'[63]ТР нефть'!$J$28:$BP$638,59,0),"-"))</f>
        <v>-</v>
      </c>
      <c r="BQ45" s="138">
        <v>1858</v>
      </c>
      <c r="BR45" s="128">
        <v>1934.5</v>
      </c>
      <c r="BS45" s="115">
        <f t="shared" si="2"/>
        <v>-76.5</v>
      </c>
      <c r="BT45" s="128">
        <v>73</v>
      </c>
      <c r="BU45" s="128">
        <v>5.5</v>
      </c>
      <c r="BV45" s="127">
        <v>65</v>
      </c>
      <c r="BW45" s="127" t="s">
        <v>217</v>
      </c>
      <c r="BX45" s="127" t="s">
        <v>195</v>
      </c>
      <c r="BY45" s="139">
        <v>24</v>
      </c>
      <c r="BZ45" s="139">
        <v>0</v>
      </c>
      <c r="CA45" s="138">
        <v>18</v>
      </c>
      <c r="CB45" s="138">
        <v>31</v>
      </c>
      <c r="CC45" s="138">
        <v>17</v>
      </c>
      <c r="CD45" s="135">
        <v>45017</v>
      </c>
      <c r="CE45" s="138">
        <v>115</v>
      </c>
      <c r="CF45" s="138">
        <v>75</v>
      </c>
      <c r="CG45" s="138" t="str">
        <f t="shared" si="3"/>
        <v>В работе</v>
      </c>
      <c r="CH45" s="138" t="s">
        <v>196</v>
      </c>
      <c r="CI45" s="138">
        <v>6</v>
      </c>
      <c r="CJ45" s="139"/>
      <c r="CK45" s="138"/>
      <c r="CL45" s="99"/>
      <c r="CM45" s="99"/>
      <c r="CN45" s="140">
        <v>35</v>
      </c>
      <c r="CO45" s="141">
        <f t="shared" si="4"/>
        <v>4.9176028000000001</v>
      </c>
      <c r="CP45" s="142">
        <v>5.9</v>
      </c>
      <c r="CQ45" s="143">
        <v>0.3</v>
      </c>
      <c r="CR45" s="138">
        <v>12.8</v>
      </c>
      <c r="CS45" s="139">
        <v>7.5</v>
      </c>
      <c r="CT45" s="138"/>
      <c r="CU45" s="138">
        <f t="shared" si="5"/>
        <v>5.3000000000000007</v>
      </c>
      <c r="CV45" s="115">
        <f t="shared" si="6"/>
        <v>1077.7608960203131</v>
      </c>
      <c r="CW45" s="115">
        <f t="shared" si="7"/>
        <v>1518.8029629375219</v>
      </c>
      <c r="CX45" s="133">
        <f t="shared" si="8"/>
        <v>7.375000000000001E-2</v>
      </c>
      <c r="CY45" s="116"/>
      <c r="CZ45" s="131"/>
      <c r="DA45" s="145" t="str">
        <f t="shared" si="9"/>
        <v>Газлифт</v>
      </c>
      <c r="DB45" s="146">
        <f t="shared" si="10"/>
        <v>4.9176028000000001</v>
      </c>
      <c r="DC45" s="142">
        <f t="shared" si="11"/>
        <v>5.9</v>
      </c>
      <c r="DD45" s="119">
        <f t="shared" si="12"/>
        <v>0.3</v>
      </c>
      <c r="DE45" s="115">
        <f t="shared" si="13"/>
        <v>5.3000000000000007</v>
      </c>
      <c r="DF45" s="121">
        <f t="shared" si="14"/>
        <v>7.5</v>
      </c>
      <c r="DG45" s="115">
        <f t="shared" si="15"/>
        <v>1077.7608960203131</v>
      </c>
      <c r="DH45" s="115">
        <f t="shared" si="16"/>
        <v>35</v>
      </c>
      <c r="DI45" s="147"/>
      <c r="DJ45" s="111" t="s">
        <v>197</v>
      </c>
      <c r="DK45" s="112">
        <v>41477</v>
      </c>
      <c r="DL45" s="113">
        <f t="shared" ref="DL45:DL108" ca="1" si="42">TODAY()-DK45</f>
        <v>3627</v>
      </c>
      <c r="DM45" s="114"/>
      <c r="DN45" s="114"/>
      <c r="DO45" s="114"/>
      <c r="DP45" s="114"/>
      <c r="DQ45" s="112">
        <v>41479</v>
      </c>
      <c r="DR45" s="114" t="s">
        <v>198</v>
      </c>
      <c r="DS45" s="114" t="s">
        <v>335</v>
      </c>
      <c r="DT45" s="115">
        <v>40</v>
      </c>
      <c r="DU45" s="116">
        <f t="shared" ref="DU45:DU108" si="43">DW45/(CE45-DT45)</f>
        <v>7.8666666666666676E-2</v>
      </c>
      <c r="DV45" s="117">
        <f t="shared" ref="DV45:DV108" si="44">DW45*(1-DX45/100)*$AA45</f>
        <v>4.9176028000000001</v>
      </c>
      <c r="DW45" s="118">
        <f t="shared" ref="DW45:DW108" si="45">IF(DT45&lt;CN45,IF(MQ45=1,CP45,(1-0.2*(DT45/CE45)-0.8*(DT45/CE45)^2)*(CP45/(1-0.2*(CN45/CE45)-0.8*(CN45/CE45)^2))),CP45)</f>
        <v>5.9</v>
      </c>
      <c r="DX45" s="119">
        <f t="shared" si="21"/>
        <v>0.3</v>
      </c>
      <c r="DY45" s="115">
        <f t="shared" ref="DY45:DY108" si="46">(CV45*DV45)/1000</f>
        <v>5.3000000000000007</v>
      </c>
      <c r="DZ45" s="117">
        <f t="shared" ref="DZ45:EB108" si="47">DV45-CO45</f>
        <v>0</v>
      </c>
      <c r="EA45" s="120">
        <f t="shared" si="47"/>
        <v>0</v>
      </c>
      <c r="EB45" s="119">
        <f t="shared" si="47"/>
        <v>0</v>
      </c>
      <c r="EC45" s="121">
        <f t="shared" ref="EC45:EC108" si="48">DY45-CU45</f>
        <v>0</v>
      </c>
      <c r="ED45" s="122"/>
      <c r="EE45" s="145">
        <v>65</v>
      </c>
      <c r="EF45" s="115">
        <v>19</v>
      </c>
      <c r="EG45" s="115">
        <v>33</v>
      </c>
      <c r="EH45" s="115">
        <v>18</v>
      </c>
      <c r="EI45" s="128" t="s">
        <v>195</v>
      </c>
      <c r="EJ45" s="121">
        <v>24</v>
      </c>
      <c r="EK45" s="121">
        <v>0</v>
      </c>
      <c r="EL45" s="149">
        <v>5.8344439999999995</v>
      </c>
      <c r="EM45" s="142">
        <v>7</v>
      </c>
      <c r="EN45" s="119">
        <v>0.3</v>
      </c>
      <c r="EO45" s="115">
        <v>19.5</v>
      </c>
      <c r="EP45" s="115">
        <v>1216.9111572585152</v>
      </c>
      <c r="EQ45" s="115">
        <v>74</v>
      </c>
      <c r="ER45" s="115">
        <v>12.4</v>
      </c>
      <c r="ES45" s="115">
        <v>36</v>
      </c>
      <c r="ET45" s="150">
        <v>8.8607594936708861E-2</v>
      </c>
      <c r="EU45" s="145">
        <f t="shared" si="25"/>
        <v>65</v>
      </c>
      <c r="EV45" s="115">
        <f t="shared" si="26"/>
        <v>18</v>
      </c>
      <c r="EW45" s="115">
        <f t="shared" si="26"/>
        <v>31</v>
      </c>
      <c r="EX45" s="115">
        <f t="shared" si="26"/>
        <v>17</v>
      </c>
      <c r="EY45" s="115" t="str">
        <f t="shared" si="27"/>
        <v>Постоянный</v>
      </c>
      <c r="EZ45" s="115">
        <f t="shared" si="27"/>
        <v>24</v>
      </c>
      <c r="FA45" s="115">
        <f t="shared" si="27"/>
        <v>0</v>
      </c>
      <c r="FB45" s="149">
        <f t="shared" si="28"/>
        <v>4.9176028000000001</v>
      </c>
      <c r="FC45" s="142">
        <f t="shared" si="28"/>
        <v>5.9</v>
      </c>
      <c r="FD45" s="119">
        <f t="shared" si="28"/>
        <v>0.3</v>
      </c>
      <c r="FE45" s="121">
        <f t="shared" si="28"/>
        <v>12.8</v>
      </c>
      <c r="FF45" s="121">
        <f t="shared" ref="FF45:FF108" si="49">CV45</f>
        <v>1077.7608960203131</v>
      </c>
      <c r="FG45" s="121">
        <f t="shared" si="30"/>
        <v>75</v>
      </c>
      <c r="FH45" s="121">
        <f t="shared" ref="FH45:FH108" si="50">CS45</f>
        <v>7.5</v>
      </c>
      <c r="FI45" s="121">
        <f t="shared" si="32"/>
        <v>35</v>
      </c>
      <c r="FJ45" s="144">
        <f t="shared" si="33"/>
        <v>7.375000000000001E-2</v>
      </c>
      <c r="FK45" s="132">
        <f t="shared" si="34"/>
        <v>0</v>
      </c>
      <c r="FL45" s="115">
        <f t="shared" si="34"/>
        <v>-1</v>
      </c>
      <c r="FM45" s="115">
        <f t="shared" si="34"/>
        <v>-2</v>
      </c>
      <c r="FN45" s="115">
        <f t="shared" si="34"/>
        <v>-1</v>
      </c>
      <c r="FO45" s="115">
        <f t="shared" si="35"/>
        <v>0</v>
      </c>
      <c r="FP45" s="115">
        <f t="shared" si="35"/>
        <v>0</v>
      </c>
      <c r="FQ45" s="149">
        <f t="shared" si="35"/>
        <v>-0.91684119999999947</v>
      </c>
      <c r="FR45" s="142">
        <f t="shared" si="35"/>
        <v>-1.0999999999999996</v>
      </c>
      <c r="FS45" s="119">
        <f t="shared" si="35"/>
        <v>0</v>
      </c>
      <c r="FT45" s="121">
        <f t="shared" si="35"/>
        <v>-6.6999999999999993</v>
      </c>
      <c r="FU45" s="121">
        <f t="shared" si="36"/>
        <v>1</v>
      </c>
      <c r="FV45" s="121">
        <f t="shared" si="36"/>
        <v>-4.9000000000000004</v>
      </c>
      <c r="FW45" s="121">
        <f t="shared" si="37"/>
        <v>-139.15026123820212</v>
      </c>
      <c r="FX45" s="121">
        <f t="shared" si="38"/>
        <v>-1</v>
      </c>
      <c r="FY45" s="144">
        <f t="shared" si="38"/>
        <v>-1.4857594936708851E-2</v>
      </c>
      <c r="FZ45" s="145"/>
      <c r="GA45" s="151" t="s">
        <v>336</v>
      </c>
      <c r="GB45" s="145"/>
      <c r="GC45" s="151" t="s">
        <v>337</v>
      </c>
      <c r="GD45" s="997" t="s">
        <v>238</v>
      </c>
      <c r="GE45" s="1004"/>
      <c r="GF45" s="1004">
        <v>-0.58344440000000031</v>
      </c>
      <c r="GG45" s="1004"/>
      <c r="GH45" s="1004">
        <v>-9.5554799999999496E-2</v>
      </c>
      <c r="GI45" s="145"/>
      <c r="GJ45" s="996">
        <v>0.6614431999999999</v>
      </c>
      <c r="GK45" s="145" t="s">
        <v>240</v>
      </c>
      <c r="GL45" s="996">
        <v>-1.1654843200000009</v>
      </c>
      <c r="GM45" s="1005"/>
      <c r="GN45" s="996">
        <v>0</v>
      </c>
      <c r="GO45" s="1006"/>
      <c r="GP45" s="996">
        <v>0.5847903600000004</v>
      </c>
      <c r="GQ45" s="1006"/>
      <c r="GR45" s="996">
        <v>0.4344156960000003</v>
      </c>
      <c r="GS45" s="1006" t="s">
        <v>204</v>
      </c>
      <c r="GT45" s="996">
        <v>-0.96143845599999889</v>
      </c>
      <c r="GU45" s="1006" t="s">
        <v>199</v>
      </c>
      <c r="GV45" s="996">
        <v>1.8693127199999982</v>
      </c>
      <c r="GW45" s="1006"/>
      <c r="GX45" s="997">
        <v>-0.75632919999999881</v>
      </c>
      <c r="GY45" s="1006" t="s">
        <v>203</v>
      </c>
      <c r="GZ45" s="996">
        <v>-5.1650588000000006</v>
      </c>
      <c r="HA45" s="1006" t="s">
        <v>25</v>
      </c>
      <c r="HB45" s="996">
        <v>3.4802679999999997</v>
      </c>
      <c r="HC45" s="1006"/>
      <c r="HD45" s="996">
        <v>0</v>
      </c>
      <c r="HE45" s="1006"/>
      <c r="HF45" s="996">
        <v>0</v>
      </c>
      <c r="HG45" s="1006"/>
      <c r="HH45" s="996">
        <v>-0.36847600000000025</v>
      </c>
      <c r="HI45" s="1006"/>
      <c r="HJ45" s="996">
        <v>0</v>
      </c>
      <c r="HK45" s="1006"/>
      <c r="HL45" s="996">
        <v>0</v>
      </c>
      <c r="HM45" s="1006" t="s">
        <v>203</v>
      </c>
      <c r="HN45" s="996">
        <v>-1.8810000000000002</v>
      </c>
      <c r="HO45" s="1006"/>
      <c r="HP45" s="996">
        <v>0</v>
      </c>
      <c r="HQ45" s="1006" t="s">
        <v>204</v>
      </c>
      <c r="HR45" s="996">
        <v>-5.8001679999999993</v>
      </c>
      <c r="HS45" s="1006"/>
      <c r="HT45" s="996">
        <v>0</v>
      </c>
      <c r="HU45" s="1006"/>
      <c r="HV45" s="996">
        <v>0</v>
      </c>
      <c r="HW45" s="1006" t="s">
        <v>203</v>
      </c>
      <c r="HX45" s="996">
        <v>-3.4911360000000009</v>
      </c>
      <c r="HY45" s="1006"/>
      <c r="HZ45" s="996">
        <v>-0.94953715999999844</v>
      </c>
      <c r="IA45" s="1006"/>
      <c r="IB45" s="996"/>
      <c r="IC45" s="1006" t="s">
        <v>25</v>
      </c>
      <c r="ID45" s="996">
        <v>20</v>
      </c>
      <c r="IE45" s="1006"/>
      <c r="IF45" s="996">
        <v>0</v>
      </c>
      <c r="IG45" s="1006"/>
      <c r="IH45" s="996">
        <v>0</v>
      </c>
      <c r="II45" s="1006"/>
      <c r="IJ45" s="996">
        <v>0</v>
      </c>
      <c r="IK45" s="1006"/>
      <c r="IL45" s="996">
        <v>0.84285520000000047</v>
      </c>
      <c r="IM45" s="1006" t="s">
        <v>199</v>
      </c>
      <c r="IN45" s="996">
        <v>-5.0795360000000001</v>
      </c>
      <c r="IO45" s="1006"/>
      <c r="IP45" s="996">
        <v>0</v>
      </c>
      <c r="IQ45" s="1006"/>
      <c r="IR45" s="996">
        <v>0</v>
      </c>
      <c r="IS45" s="1006"/>
      <c r="IT45" s="996">
        <v>-0.39409541599999987</v>
      </c>
      <c r="IU45" s="1006" t="s">
        <v>199</v>
      </c>
      <c r="IV45" s="996">
        <v>3.4555274159999994</v>
      </c>
      <c r="IW45" s="1006"/>
      <c r="IX45" s="996">
        <v>0</v>
      </c>
      <c r="IY45" s="1006"/>
      <c r="IZ45" s="996">
        <v>0</v>
      </c>
      <c r="JA45" s="1006"/>
      <c r="JB45" s="996">
        <v>0</v>
      </c>
      <c r="JC45" s="1006"/>
      <c r="JD45" s="996">
        <v>0</v>
      </c>
      <c r="JE45" s="1006"/>
      <c r="JF45" s="996">
        <v>0</v>
      </c>
      <c r="JG45" s="1006"/>
      <c r="JH45" s="996">
        <v>0</v>
      </c>
      <c r="JI45" s="1006"/>
      <c r="JJ45" s="996">
        <v>0.60693599999999925</v>
      </c>
      <c r="JK45" s="1007"/>
      <c r="JL45" s="1007">
        <v>0</v>
      </c>
      <c r="JM45" s="1007" t="s">
        <v>204</v>
      </c>
      <c r="JN45" s="1007">
        <v>-2.468707999999999</v>
      </c>
      <c r="JO45" s="1008"/>
      <c r="JP45" s="1007">
        <v>0</v>
      </c>
      <c r="JQ45" s="1008" t="s">
        <v>199</v>
      </c>
      <c r="JR45" s="1007">
        <v>4.8212120000000001</v>
      </c>
      <c r="JS45" s="1008">
        <v>0</v>
      </c>
      <c r="JT45" s="1007">
        <v>0</v>
      </c>
      <c r="JU45" s="1008" t="s">
        <v>199</v>
      </c>
      <c r="JV45" s="1007">
        <v>-0.95304000000000011</v>
      </c>
      <c r="JW45" s="1008" t="s">
        <v>197</v>
      </c>
      <c r="JX45" s="1007">
        <v>0</v>
      </c>
      <c r="JY45" s="1008"/>
      <c r="JZ45" s="1007">
        <v>0</v>
      </c>
      <c r="KA45" s="1008"/>
      <c r="KB45" s="1007">
        <v>0</v>
      </c>
      <c r="KC45" s="1008"/>
      <c r="KD45" s="1007">
        <v>0</v>
      </c>
      <c r="KE45" s="1008"/>
      <c r="KF45" s="1007">
        <v>0</v>
      </c>
      <c r="KG45" s="1008"/>
      <c r="KH45" s="1007">
        <v>0</v>
      </c>
      <c r="KI45" s="1008"/>
      <c r="KJ45" s="1007">
        <v>0</v>
      </c>
      <c r="KK45" s="1008"/>
      <c r="KL45" s="1007">
        <v>0</v>
      </c>
      <c r="KM45" s="1008"/>
      <c r="KN45" s="1007">
        <v>0</v>
      </c>
      <c r="KO45" s="1008"/>
      <c r="KP45" s="1007">
        <v>0</v>
      </c>
      <c r="KQ45" s="1008">
        <v>0</v>
      </c>
      <c r="KR45" s="1007">
        <v>0</v>
      </c>
      <c r="KS45" s="1008">
        <v>0</v>
      </c>
      <c r="KT45" s="1007">
        <v>0</v>
      </c>
      <c r="KU45" s="1008" t="s">
        <v>199</v>
      </c>
      <c r="KV45" s="1007">
        <v>-7.6122815999999993</v>
      </c>
      <c r="KW45" s="1008">
        <v>0</v>
      </c>
      <c r="KX45" s="1007">
        <v>0</v>
      </c>
      <c r="KY45" s="1008">
        <v>0</v>
      </c>
      <c r="KZ45" s="1007">
        <v>0</v>
      </c>
      <c r="LA45" s="1008">
        <v>0</v>
      </c>
      <c r="LB45" s="1007">
        <v>0</v>
      </c>
      <c r="LC45" s="1008">
        <v>0</v>
      </c>
      <c r="LD45" s="1007">
        <v>0</v>
      </c>
      <c r="LE45" s="1008" t="s">
        <v>206</v>
      </c>
      <c r="LF45" s="1007">
        <v>-3.3426624</v>
      </c>
      <c r="LG45" s="1008">
        <v>0</v>
      </c>
      <c r="LH45" s="1007">
        <v>0</v>
      </c>
      <c r="LI45" s="1008">
        <v>0</v>
      </c>
      <c r="LJ45" s="1007">
        <v>0</v>
      </c>
      <c r="LK45" s="1008">
        <v>0</v>
      </c>
      <c r="LL45" s="1007">
        <v>0</v>
      </c>
      <c r="LM45" s="1008" t="s">
        <v>206</v>
      </c>
      <c r="LN45" s="1007">
        <v>0.28388099999999999</v>
      </c>
      <c r="LO45" s="1008" t="s">
        <v>206</v>
      </c>
      <c r="LP45" s="1007">
        <v>2.2522679999999999</v>
      </c>
      <c r="LQ45" s="1008">
        <v>0</v>
      </c>
      <c r="LR45" s="1007">
        <v>-0.193199599999998</v>
      </c>
      <c r="LS45" s="1008">
        <v>0</v>
      </c>
      <c r="LT45" s="1007">
        <v>0</v>
      </c>
      <c r="LU45" s="1008">
        <v>0</v>
      </c>
      <c r="LV45" s="1007">
        <v>0</v>
      </c>
      <c r="LW45" s="1008">
        <v>0</v>
      </c>
      <c r="LX45" s="1007">
        <v>1.9461242000000001</v>
      </c>
      <c r="LY45" s="1009">
        <v>0</v>
      </c>
      <c r="LZ45" s="1010">
        <v>0.57996246299999998</v>
      </c>
      <c r="MA45" s="1011" t="s">
        <v>206</v>
      </c>
      <c r="MB45" s="1012">
        <v>-3.4119448000000001</v>
      </c>
      <c r="MC45" s="995"/>
      <c r="MD45" s="996"/>
      <c r="ME45" s="997" t="s">
        <v>238</v>
      </c>
      <c r="MF45" s="997"/>
      <c r="MG45" s="998"/>
      <c r="NR45" s="1000"/>
      <c r="NS45" s="1000"/>
      <c r="NT45" s="1001"/>
      <c r="NU45" s="1000"/>
      <c r="NV45" s="1001"/>
      <c r="NX45" s="1002"/>
      <c r="NZ45" s="1001"/>
      <c r="OA45" s="1001"/>
      <c r="OC45" s="1003"/>
      <c r="OD45" s="1003"/>
      <c r="OE45" s="1001"/>
      <c r="OF45" s="1003"/>
      <c r="OG45" s="1003"/>
      <c r="QX45" s="1000">
        <f>CN45-CA45</f>
        <v>17</v>
      </c>
      <c r="ASU45" s="999" t="s">
        <v>208</v>
      </c>
    </row>
    <row r="46" spans="1:466 1191:1191" ht="21" customHeight="1" x14ac:dyDescent="0.25">
      <c r="A46" s="982" t="str">
        <f t="shared" si="0"/>
        <v>15-1</v>
      </c>
      <c r="B46" s="124">
        <f>SUBTOTAL(103,$J$29:J46)</f>
        <v>18</v>
      </c>
      <c r="C46" s="126">
        <v>45096</v>
      </c>
      <c r="D46" s="124" t="s">
        <v>176</v>
      </c>
      <c r="E46" s="127" t="s">
        <v>177</v>
      </c>
      <c r="F46" s="128" t="s">
        <v>177</v>
      </c>
      <c r="G46" s="127" t="s">
        <v>178</v>
      </c>
      <c r="H46" s="127" t="s">
        <v>226</v>
      </c>
      <c r="I46" s="127" t="s">
        <v>285</v>
      </c>
      <c r="J46" s="152" t="s">
        <v>338</v>
      </c>
      <c r="K46" s="127" t="s">
        <v>182</v>
      </c>
      <c r="L46" s="130">
        <v>36997</v>
      </c>
      <c r="M46" s="127" t="s">
        <v>230</v>
      </c>
      <c r="N46" s="127" t="s">
        <v>245</v>
      </c>
      <c r="O46" s="127" t="s">
        <v>185</v>
      </c>
      <c r="P46" s="127" t="s">
        <v>315</v>
      </c>
      <c r="Q46" s="85" t="str">
        <f t="shared" si="40"/>
        <v/>
      </c>
      <c r="R46" s="130"/>
      <c r="S46" s="128" t="s">
        <v>156</v>
      </c>
      <c r="T46" s="131"/>
      <c r="U46" s="132">
        <v>203</v>
      </c>
      <c r="V46" s="121">
        <v>218.2</v>
      </c>
      <c r="W46" s="116">
        <v>0.98</v>
      </c>
      <c r="X46" s="116">
        <v>1.66</v>
      </c>
      <c r="Y46" s="116">
        <f t="shared" si="41"/>
        <v>0.98</v>
      </c>
      <c r="Z46" s="133">
        <v>1.454</v>
      </c>
      <c r="AA46" s="133">
        <v>0.83599999999999997</v>
      </c>
      <c r="AB46" s="133">
        <v>0.72</v>
      </c>
      <c r="AC46" s="121">
        <v>34.299999999999997</v>
      </c>
      <c r="AD46" s="134">
        <v>1.17</v>
      </c>
      <c r="AE46" s="124">
        <v>139.69999999999999</v>
      </c>
      <c r="AF46" s="128">
        <v>7.72</v>
      </c>
      <c r="AG46" s="128">
        <v>1874</v>
      </c>
      <c r="AH46" s="127" t="s">
        <v>339</v>
      </c>
      <c r="AI46" s="127" t="s">
        <v>340</v>
      </c>
      <c r="AJ46" s="135"/>
      <c r="AK46" s="128"/>
      <c r="AL46" s="131"/>
      <c r="AM46" s="124" t="s">
        <v>187</v>
      </c>
      <c r="AN46" s="136" t="s">
        <v>341</v>
      </c>
      <c r="AO46" s="137">
        <v>19.91</v>
      </c>
      <c r="AP46" s="128">
        <v>1904.59</v>
      </c>
      <c r="AQ46" s="128">
        <v>13.37</v>
      </c>
      <c r="AR46" s="128"/>
      <c r="AS46" s="128"/>
      <c r="AT46" s="122"/>
      <c r="AU46" s="124" t="s">
        <v>189</v>
      </c>
      <c r="AV46" s="115">
        <f>VLOOKUP(J46,'[63]ТР нефть'!$J$28:$BP$638,39,0)</f>
        <v>549.99999140600005</v>
      </c>
      <c r="AW46" s="115" t="str">
        <f>VLOOKUP(J46,'[63]ТР нефть'!$J$28:$BP$638,40,0)</f>
        <v>ГК 83 1/8</v>
      </c>
      <c r="AX46" s="115">
        <f>VLOOKUP(J46,'[63]ТР нефть'!$J$28:$BP$638,41,0)</f>
        <v>989.99999941399994</v>
      </c>
      <c r="AY46" s="115" t="str">
        <f>VLOOKUP(J46,'[63]ТР нефть'!$J$28:$BP$638,42,0)</f>
        <v>ГК 84 1/8</v>
      </c>
      <c r="AZ46" s="115">
        <f>VLOOKUP(J46,'[63]ТР нефть'!$J$28:$BP$638,43,0)</f>
        <v>1330.000008984</v>
      </c>
      <c r="BA46" s="115" t="str">
        <f>VLOOKUP(J46,'[63]ТР нефть'!$J$28:$BP$638,44,0)</f>
        <v>ГК 85 5/32</v>
      </c>
      <c r="BB46" s="115">
        <f>VLOOKUP(J46,'[63]ТР нефть'!$J$28:$BP$638,45,0)</f>
        <v>1560.000035156</v>
      </c>
      <c r="BC46" s="115" t="str">
        <f>VLOOKUP(J46,'[63]ТР нефть'!$J$28:$BP$638,46,0)</f>
        <v>ЦКсОК 5/16</v>
      </c>
      <c r="BD46" s="115" t="str">
        <f>VLOOKUP(J46,'[63]ТР нефть'!$J$28:$BP$638,47,0)</f>
        <v>-</v>
      </c>
      <c r="BE46" s="115" t="str">
        <f>VLOOKUP(J46,'[63]ТР нефть'!$J$28:$BP$638,48,0)</f>
        <v>-</v>
      </c>
      <c r="BF46" s="115" t="str">
        <f>VLOOKUP(J46,'[63]ТР нефть'!$J$28:$BP$638,49,0)</f>
        <v>-</v>
      </c>
      <c r="BG46" s="115" t="str">
        <f>VLOOKUP(J46,'[63]ТР нефть'!$J$28:$BP$638,50,0)</f>
        <v>-</v>
      </c>
      <c r="BH46" s="115" t="str">
        <f>VLOOKUP(J46,'[63]ТР нефть'!$J$28:$BP$638,51,0)</f>
        <v>-</v>
      </c>
      <c r="BI46" s="115" t="str">
        <f>VLOOKUP(J46,'[63]ТР нефть'!$J$28:$BP$638,52,0)</f>
        <v>-</v>
      </c>
      <c r="BJ46" s="115" t="str">
        <f>IF(IFERROR(VLOOKUP(J46,'[63]ТР нефть'!$J$28:$BP$638,53,0),"-")=0,"-",IFERROR(VLOOKUP(J46,'[63]ТР нефть'!$J$28:$BP$638,53,0),"-"))</f>
        <v>-</v>
      </c>
      <c r="BK46" s="138" t="str">
        <f>IF(IFERROR(VLOOKUP(J46,'[63]ТР нефть'!$J$28:$BP$638,54,0),"-")=0,"-",IFERROR(VLOOKUP(J46,'[63]ТР нефть'!$J$28:$BP$638,54,0),"-"))</f>
        <v>-</v>
      </c>
      <c r="BL46" s="138" t="str">
        <f>IF(IFERROR(VLOOKUP(J46,'[63]ТР нефть'!$J$28:$BP$638,55,0),"-")=0,"-",IFERROR(VLOOKUP(J46,'[63]ТР нефть'!$J$28:$BP$638,55,0),"-"))</f>
        <v>-</v>
      </c>
      <c r="BM46" s="138" t="str">
        <f>IF(IFERROR(VLOOKUP(J46,'[63]ТР нефть'!$J$28:$BP$638,56,0),"-")=0,"-",IFERROR(VLOOKUP(J46,'[63]ТР нефть'!$J$28:$BP$638,56,0),"-"))</f>
        <v>-</v>
      </c>
      <c r="BN46" s="138" t="str">
        <f>IF(IFERROR(VLOOKUP(J46,'[63]ТР нефть'!$J$28:$BP$638,57,0),"-")=0,"-",IFERROR(VLOOKUP(J46,'[63]ТР нефть'!$J$28:$BP$638,57,0),"-"))</f>
        <v>-</v>
      </c>
      <c r="BO46" s="115" t="str">
        <f>IF(IFERROR(VLOOKUP(J46,'[63]ТР нефть'!$J$28:$BP$638,58,0),"-")=0,"-",IFERROR(VLOOKUP(J46,'[63]ТР нефть'!$J$28:$BP$638,58,0),"-"))</f>
        <v>-</v>
      </c>
      <c r="BP46" s="115" t="str">
        <f>IF(IFERROR(VLOOKUP(J46,'[63]ТР нефть'!$J$28:$BP$638,59,0),"-")=0,"-",IFERROR(VLOOKUP(J46,'[63]ТР нефть'!$J$28:$BP$638,59,0),"-"))</f>
        <v>-</v>
      </c>
      <c r="BQ46" s="138">
        <v>1974</v>
      </c>
      <c r="BR46" s="128">
        <v>1891.22</v>
      </c>
      <c r="BS46" s="115">
        <f t="shared" si="2"/>
        <v>82.779999999999973</v>
      </c>
      <c r="BT46" s="128">
        <v>73</v>
      </c>
      <c r="BU46" s="128">
        <v>5.5</v>
      </c>
      <c r="BV46" s="127">
        <v>65</v>
      </c>
      <c r="BW46" s="127" t="s">
        <v>217</v>
      </c>
      <c r="BX46" s="127" t="s">
        <v>218</v>
      </c>
      <c r="BY46" s="139">
        <v>24</v>
      </c>
      <c r="BZ46" s="139">
        <v>24</v>
      </c>
      <c r="CA46" s="138">
        <v>20</v>
      </c>
      <c r="CB46" s="138">
        <v>39</v>
      </c>
      <c r="CC46" s="138">
        <v>19</v>
      </c>
      <c r="CD46" s="135">
        <v>45017</v>
      </c>
      <c r="CE46" s="138">
        <v>64.7</v>
      </c>
      <c r="CF46" s="138">
        <v>75</v>
      </c>
      <c r="CG46" s="138" t="str">
        <f t="shared" si="3"/>
        <v>В работе</v>
      </c>
      <c r="CH46" s="138" t="s">
        <v>196</v>
      </c>
      <c r="CI46" s="138">
        <v>6</v>
      </c>
      <c r="CJ46" s="139"/>
      <c r="CK46" s="138"/>
      <c r="CL46" s="99"/>
      <c r="CM46" s="99"/>
      <c r="CN46" s="140">
        <v>41</v>
      </c>
      <c r="CO46" s="141">
        <f t="shared" si="4"/>
        <v>2.2572000000000001</v>
      </c>
      <c r="CP46" s="142">
        <v>2.7</v>
      </c>
      <c r="CQ46" s="143">
        <v>0</v>
      </c>
      <c r="CR46" s="138">
        <v>21.7</v>
      </c>
      <c r="CS46" s="139">
        <v>7.2</v>
      </c>
      <c r="CT46" s="138"/>
      <c r="CU46" s="138">
        <f t="shared" si="5"/>
        <v>14.5</v>
      </c>
      <c r="CV46" s="115">
        <f t="shared" si="6"/>
        <v>6423.8880028353706</v>
      </c>
      <c r="CW46" s="115">
        <f t="shared" si="7"/>
        <v>3189.7926634768742</v>
      </c>
      <c r="CX46" s="133">
        <f t="shared" si="8"/>
        <v>0.11392405063291139</v>
      </c>
      <c r="CY46" s="116"/>
      <c r="CZ46" s="131"/>
      <c r="DA46" s="145" t="str">
        <f t="shared" si="9"/>
        <v>Газлифт</v>
      </c>
      <c r="DB46" s="146">
        <f t="shared" si="10"/>
        <v>2.2572000000000001</v>
      </c>
      <c r="DC46" s="142">
        <f t="shared" si="11"/>
        <v>2.7</v>
      </c>
      <c r="DD46" s="119">
        <f t="shared" si="12"/>
        <v>0</v>
      </c>
      <c r="DE46" s="115">
        <f t="shared" si="13"/>
        <v>14.5</v>
      </c>
      <c r="DF46" s="121">
        <f t="shared" si="14"/>
        <v>7.2</v>
      </c>
      <c r="DG46" s="115">
        <f t="shared" si="15"/>
        <v>6423.8880028353706</v>
      </c>
      <c r="DH46" s="115">
        <f t="shared" si="16"/>
        <v>41</v>
      </c>
      <c r="DI46" s="147"/>
      <c r="DJ46" s="111" t="s">
        <v>197</v>
      </c>
      <c r="DK46" s="112">
        <v>43749</v>
      </c>
      <c r="DL46" s="113">
        <f t="shared" ca="1" si="42"/>
        <v>1355</v>
      </c>
      <c r="DM46" s="114"/>
      <c r="DN46" s="114"/>
      <c r="DO46" s="114"/>
      <c r="DP46" s="114"/>
      <c r="DQ46" s="112">
        <v>42720</v>
      </c>
      <c r="DR46" s="114" t="s">
        <v>198</v>
      </c>
      <c r="DS46" s="114"/>
      <c r="DT46" s="115">
        <v>39</v>
      </c>
      <c r="DU46" s="116">
        <f t="shared" si="43"/>
        <v>0.11205452775073027</v>
      </c>
      <c r="DV46" s="117">
        <f t="shared" si="44"/>
        <v>2.4075139396299905</v>
      </c>
      <c r="DW46" s="118">
        <f t="shared" si="45"/>
        <v>2.8798013631937684</v>
      </c>
      <c r="DX46" s="119">
        <f t="shared" si="21"/>
        <v>0</v>
      </c>
      <c r="DY46" s="115">
        <f t="shared" si="46"/>
        <v>15.465599913448015</v>
      </c>
      <c r="DZ46" s="117">
        <f t="shared" si="47"/>
        <v>0.1503139396299904</v>
      </c>
      <c r="EA46" s="120">
        <f t="shared" si="47"/>
        <v>0.17980136319376827</v>
      </c>
      <c r="EB46" s="119">
        <f t="shared" si="47"/>
        <v>0</v>
      </c>
      <c r="EC46" s="121">
        <f t="shared" si="48"/>
        <v>0.9655999134480151</v>
      </c>
      <c r="ED46" s="122"/>
      <c r="EE46" s="145">
        <v>65</v>
      </c>
      <c r="EF46" s="115">
        <v>20</v>
      </c>
      <c r="EG46" s="115">
        <v>39</v>
      </c>
      <c r="EH46" s="115">
        <v>19</v>
      </c>
      <c r="EI46" s="128" t="s">
        <v>218</v>
      </c>
      <c r="EJ46" s="121">
        <v>24</v>
      </c>
      <c r="EK46" s="121">
        <v>24</v>
      </c>
      <c r="EL46" s="149">
        <v>2.2572000000000001</v>
      </c>
      <c r="EM46" s="142">
        <v>2.7</v>
      </c>
      <c r="EN46" s="119">
        <v>0</v>
      </c>
      <c r="EO46" s="115">
        <v>21.7</v>
      </c>
      <c r="EP46" s="115">
        <v>6423.8880028353706</v>
      </c>
      <c r="EQ46" s="115">
        <v>75</v>
      </c>
      <c r="ER46" s="115">
        <v>7.2</v>
      </c>
      <c r="ES46" s="115">
        <v>41</v>
      </c>
      <c r="ET46" s="150">
        <v>0.11392405063291139</v>
      </c>
      <c r="EU46" s="145">
        <f t="shared" si="25"/>
        <v>65</v>
      </c>
      <c r="EV46" s="115">
        <f t="shared" si="26"/>
        <v>20</v>
      </c>
      <c r="EW46" s="115">
        <f t="shared" si="26"/>
        <v>39</v>
      </c>
      <c r="EX46" s="115">
        <f t="shared" si="26"/>
        <v>19</v>
      </c>
      <c r="EY46" s="115" t="str">
        <f t="shared" si="27"/>
        <v>Периодический</v>
      </c>
      <c r="EZ46" s="115">
        <f t="shared" si="27"/>
        <v>24</v>
      </c>
      <c r="FA46" s="115">
        <f t="shared" si="27"/>
        <v>24</v>
      </c>
      <c r="FB46" s="149">
        <f t="shared" si="28"/>
        <v>2.2572000000000001</v>
      </c>
      <c r="FC46" s="142">
        <f t="shared" si="28"/>
        <v>2.7</v>
      </c>
      <c r="FD46" s="119">
        <f t="shared" si="28"/>
        <v>0</v>
      </c>
      <c r="FE46" s="121">
        <f t="shared" si="28"/>
        <v>21.7</v>
      </c>
      <c r="FF46" s="121">
        <f t="shared" si="49"/>
        <v>6423.8880028353706</v>
      </c>
      <c r="FG46" s="121">
        <f t="shared" si="30"/>
        <v>75</v>
      </c>
      <c r="FH46" s="121">
        <f t="shared" si="50"/>
        <v>7.2</v>
      </c>
      <c r="FI46" s="121">
        <f t="shared" si="32"/>
        <v>41</v>
      </c>
      <c r="FJ46" s="144">
        <f t="shared" si="33"/>
        <v>0.11392405063291139</v>
      </c>
      <c r="FK46" s="132">
        <f t="shared" si="34"/>
        <v>0</v>
      </c>
      <c r="FL46" s="115">
        <f t="shared" si="34"/>
        <v>0</v>
      </c>
      <c r="FM46" s="115">
        <f t="shared" si="34"/>
        <v>0</v>
      </c>
      <c r="FN46" s="115">
        <f t="shared" si="34"/>
        <v>0</v>
      </c>
      <c r="FO46" s="115">
        <f t="shared" si="35"/>
        <v>0</v>
      </c>
      <c r="FP46" s="115">
        <f t="shared" si="35"/>
        <v>0</v>
      </c>
      <c r="FQ46" s="149">
        <f t="shared" si="35"/>
        <v>0</v>
      </c>
      <c r="FR46" s="117">
        <f t="shared" si="35"/>
        <v>0</v>
      </c>
      <c r="FS46" s="119">
        <f t="shared" si="35"/>
        <v>0</v>
      </c>
      <c r="FT46" s="121">
        <f t="shared" si="35"/>
        <v>0</v>
      </c>
      <c r="FU46" s="121">
        <f t="shared" si="36"/>
        <v>0</v>
      </c>
      <c r="FV46" s="121">
        <f t="shared" si="36"/>
        <v>0</v>
      </c>
      <c r="FW46" s="121">
        <f t="shared" si="37"/>
        <v>0</v>
      </c>
      <c r="FX46" s="121">
        <f t="shared" si="38"/>
        <v>0</v>
      </c>
      <c r="FY46" s="144">
        <f t="shared" si="38"/>
        <v>0</v>
      </c>
      <c r="FZ46" s="145"/>
      <c r="GA46" s="151" t="s">
        <v>283</v>
      </c>
      <c r="GB46" s="145"/>
      <c r="GC46" s="151" t="s">
        <v>237</v>
      </c>
      <c r="GD46" s="997" t="s">
        <v>238</v>
      </c>
      <c r="GE46" s="1004"/>
      <c r="GF46" s="1004">
        <v>-0.71059999999999945</v>
      </c>
      <c r="GG46" s="1004"/>
      <c r="GH46" s="1004">
        <v>0</v>
      </c>
      <c r="GI46" s="145"/>
      <c r="GJ46" s="996">
        <v>0</v>
      </c>
      <c r="GK46" s="145"/>
      <c r="GL46" s="996">
        <v>0</v>
      </c>
      <c r="GM46" s="1005"/>
      <c r="GN46" s="996">
        <v>0</v>
      </c>
      <c r="GO46" s="1006"/>
      <c r="GP46" s="996">
        <v>-0.1254000000000004</v>
      </c>
      <c r="GQ46" s="1006"/>
      <c r="GR46" s="996">
        <v>-5.8937999999999935E-2</v>
      </c>
      <c r="GS46" s="1006"/>
      <c r="GT46" s="996">
        <v>0.33715880000000009</v>
      </c>
      <c r="GU46" s="1006" t="s">
        <v>223</v>
      </c>
      <c r="GV46" s="996">
        <v>-1.5094816</v>
      </c>
      <c r="GW46" s="1006"/>
      <c r="GX46" s="997">
        <v>0</v>
      </c>
      <c r="GY46" s="1006"/>
      <c r="GZ46" s="996">
        <v>0</v>
      </c>
      <c r="HA46" s="1006"/>
      <c r="HB46" s="996">
        <v>0.80000367920000048</v>
      </c>
      <c r="HC46" s="1006" t="s">
        <v>204</v>
      </c>
      <c r="HD46" s="996">
        <v>-5.6697036791999995</v>
      </c>
      <c r="HE46" s="1006"/>
      <c r="HF46" s="996">
        <v>0</v>
      </c>
      <c r="HG46" s="1006"/>
      <c r="HH46" s="996">
        <v>7.3567999999983869E-3</v>
      </c>
      <c r="HI46" s="1006"/>
      <c r="HJ46" s="996">
        <v>0.11608779600000041</v>
      </c>
      <c r="HK46" s="1006"/>
      <c r="HL46" s="996">
        <v>0</v>
      </c>
      <c r="HM46" s="1006"/>
      <c r="HN46" s="996">
        <v>0.55204340400000085</v>
      </c>
      <c r="HO46" s="1006"/>
      <c r="HP46" s="996">
        <v>0</v>
      </c>
      <c r="HQ46" s="1006" t="s">
        <v>204</v>
      </c>
      <c r="HR46" s="996">
        <v>-4.0087872000000004</v>
      </c>
      <c r="HS46" s="1006"/>
      <c r="HT46" s="996">
        <v>0</v>
      </c>
      <c r="HU46" s="1006"/>
      <c r="HV46" s="996">
        <v>0</v>
      </c>
      <c r="HW46" s="1006"/>
      <c r="HX46" s="996">
        <v>-1.2539999999999552E-2</v>
      </c>
      <c r="HY46" s="1006"/>
      <c r="HZ46" s="996">
        <v>0</v>
      </c>
      <c r="IA46" s="1006"/>
      <c r="IB46" s="996">
        <v>0</v>
      </c>
      <c r="IC46" s="1006"/>
      <c r="ID46" s="996">
        <v>0</v>
      </c>
      <c r="IE46" s="1006"/>
      <c r="IF46" s="996">
        <v>-6.186399999999999</v>
      </c>
      <c r="IG46" s="1006"/>
      <c r="IH46" s="996">
        <v>0</v>
      </c>
      <c r="II46" s="1006" t="s">
        <v>204</v>
      </c>
      <c r="IJ46" s="996">
        <v>11.0352</v>
      </c>
      <c r="IK46" s="1006" t="s">
        <v>199</v>
      </c>
      <c r="IL46" s="996">
        <v>-3.5948000000000002</v>
      </c>
      <c r="IM46" s="1006" t="s">
        <v>199</v>
      </c>
      <c r="IN46" s="996">
        <v>3.5279200000000008</v>
      </c>
      <c r="IO46" s="1006" t="s">
        <v>199</v>
      </c>
      <c r="IP46" s="996">
        <v>-5.5008799999999995</v>
      </c>
      <c r="IQ46" s="1006"/>
      <c r="IR46" s="996">
        <v>0</v>
      </c>
      <c r="IS46" s="1006" t="s">
        <v>223</v>
      </c>
      <c r="IT46" s="996">
        <v>-2.2990000000000013</v>
      </c>
      <c r="IU46" s="1006"/>
      <c r="IV46" s="996">
        <v>0</v>
      </c>
      <c r="IW46" s="1006"/>
      <c r="IX46" s="996">
        <v>4.5645600000000002</v>
      </c>
      <c r="IY46" s="1006"/>
      <c r="IZ46" s="996">
        <v>0</v>
      </c>
      <c r="JA46" s="1006"/>
      <c r="JB46" s="996">
        <v>0</v>
      </c>
      <c r="JC46" s="1006" t="s">
        <v>223</v>
      </c>
      <c r="JD46" s="996">
        <v>-5.7265999999999995</v>
      </c>
      <c r="JE46" s="1006"/>
      <c r="JF46" s="996">
        <v>0</v>
      </c>
      <c r="JG46" s="1006"/>
      <c r="JH46" s="996">
        <v>0</v>
      </c>
      <c r="JI46" s="1006" t="s">
        <v>203</v>
      </c>
      <c r="JJ46" s="996">
        <v>-10.786426046000003</v>
      </c>
      <c r="JK46" s="1007"/>
      <c r="JL46" s="1007">
        <v>0</v>
      </c>
      <c r="JM46" s="1007" t="s">
        <v>342</v>
      </c>
      <c r="JN46" s="1007">
        <v>23.242826046000001</v>
      </c>
      <c r="JO46" s="1008"/>
      <c r="JP46" s="1007">
        <v>0</v>
      </c>
      <c r="JQ46" s="1008">
        <v>0</v>
      </c>
      <c r="JR46" s="1007">
        <v>0</v>
      </c>
      <c r="JS46" s="1008">
        <v>0</v>
      </c>
      <c r="JT46" s="1007">
        <v>0</v>
      </c>
      <c r="JU46" s="1008"/>
      <c r="JV46" s="1007">
        <v>0</v>
      </c>
      <c r="JW46" s="1008" t="s">
        <v>197</v>
      </c>
      <c r="JX46" s="1007">
        <v>0</v>
      </c>
      <c r="JY46" s="1008"/>
      <c r="JZ46" s="1007">
        <v>0</v>
      </c>
      <c r="KA46" s="1008"/>
      <c r="KB46" s="1007">
        <v>0</v>
      </c>
      <c r="KC46" s="1008"/>
      <c r="KD46" s="1007">
        <v>0</v>
      </c>
      <c r="KE46" s="1008"/>
      <c r="KF46" s="1007">
        <v>0</v>
      </c>
      <c r="KG46" s="1008"/>
      <c r="KH46" s="1007">
        <v>0</v>
      </c>
      <c r="KI46" s="1008"/>
      <c r="KJ46" s="1007">
        <v>0</v>
      </c>
      <c r="KK46" s="1008"/>
      <c r="KL46" s="1007">
        <v>0</v>
      </c>
      <c r="KM46" s="1008"/>
      <c r="KN46" s="1007">
        <v>0</v>
      </c>
      <c r="KO46" s="1008"/>
      <c r="KP46" s="1007">
        <v>0</v>
      </c>
      <c r="KQ46" s="1008">
        <v>0</v>
      </c>
      <c r="KR46" s="1007">
        <v>0</v>
      </c>
      <c r="KS46" s="1008">
        <v>0</v>
      </c>
      <c r="KT46" s="1007">
        <v>0</v>
      </c>
      <c r="KU46" s="1008">
        <v>0</v>
      </c>
      <c r="KV46" s="1007">
        <v>0</v>
      </c>
      <c r="KW46" s="1008">
        <v>0</v>
      </c>
      <c r="KX46" s="1007">
        <v>0</v>
      </c>
      <c r="KY46" s="1008">
        <v>0</v>
      </c>
      <c r="KZ46" s="1007">
        <v>0</v>
      </c>
      <c r="LA46" s="1008">
        <v>0</v>
      </c>
      <c r="LB46" s="1007">
        <v>0</v>
      </c>
      <c r="LC46" s="1008">
        <v>0</v>
      </c>
      <c r="LD46" s="1007">
        <v>0</v>
      </c>
      <c r="LE46" s="1008">
        <v>0</v>
      </c>
      <c r="LF46" s="1007">
        <v>0</v>
      </c>
      <c r="LG46" s="1008">
        <v>0</v>
      </c>
      <c r="LH46" s="1007">
        <v>-4.6296342399999997</v>
      </c>
      <c r="LI46" s="1008">
        <v>0</v>
      </c>
      <c r="LJ46" s="1007">
        <v>0</v>
      </c>
      <c r="LK46" s="1008">
        <v>0</v>
      </c>
      <c r="LL46" s="1007">
        <v>0</v>
      </c>
      <c r="LM46" s="1008" t="s">
        <v>206</v>
      </c>
      <c r="LN46" s="1007">
        <v>-0.84933999999999998</v>
      </c>
      <c r="LO46" s="1008" t="s">
        <v>223</v>
      </c>
      <c r="LP46" s="1007">
        <v>-9.1173741999999987</v>
      </c>
      <c r="LQ46" s="1008">
        <v>0</v>
      </c>
      <c r="LR46" s="1007">
        <v>0.112651</v>
      </c>
      <c r="LS46" s="1008" t="s">
        <v>206</v>
      </c>
      <c r="LT46" s="1007">
        <v>3.4340000000000002</v>
      </c>
      <c r="LU46" s="1008">
        <v>0</v>
      </c>
      <c r="LV46" s="1007">
        <v>-0.56120999999999999</v>
      </c>
      <c r="LW46" s="1008">
        <v>0</v>
      </c>
      <c r="LX46" s="1007">
        <v>-0.41381999999999802</v>
      </c>
      <c r="LY46" s="1009">
        <v>0</v>
      </c>
      <c r="LZ46" s="1010">
        <v>-0.86452416099999996</v>
      </c>
      <c r="MA46" s="1011">
        <v>0</v>
      </c>
      <c r="MB46" s="1012">
        <v>0.37241215999998001</v>
      </c>
      <c r="MC46" s="995"/>
      <c r="MD46" s="996"/>
      <c r="ME46" s="997" t="s">
        <v>238</v>
      </c>
      <c r="MF46" s="997"/>
      <c r="MG46" s="998"/>
      <c r="NR46" s="1000"/>
      <c r="NS46" s="1000"/>
      <c r="NT46" s="1001"/>
      <c r="NU46" s="1000"/>
      <c r="NV46" s="1001"/>
      <c r="NX46" s="1002"/>
      <c r="NZ46" s="1001"/>
      <c r="OA46" s="1001"/>
      <c r="OC46" s="1003"/>
      <c r="OD46" s="1003"/>
      <c r="OE46" s="1001"/>
      <c r="OF46" s="1003"/>
      <c r="OG46" s="1003"/>
      <c r="QX46" s="1000">
        <f>CN46-CA46</f>
        <v>21</v>
      </c>
      <c r="ASU46" s="999" t="s">
        <v>225</v>
      </c>
    </row>
    <row r="47" spans="1:466 1191:1191" ht="21" customHeight="1" x14ac:dyDescent="0.25">
      <c r="A47" s="982" t="str">
        <f t="shared" si="0"/>
        <v>19-1</v>
      </c>
      <c r="B47" s="124">
        <f>SUBTOTAL(103,$J$29:J47)</f>
        <v>19</v>
      </c>
      <c r="C47" s="126">
        <v>45096</v>
      </c>
      <c r="D47" s="124" t="s">
        <v>176</v>
      </c>
      <c r="E47" s="127" t="s">
        <v>177</v>
      </c>
      <c r="F47" s="128" t="s">
        <v>177</v>
      </c>
      <c r="G47" s="127" t="s">
        <v>178</v>
      </c>
      <c r="H47" s="127" t="s">
        <v>226</v>
      </c>
      <c r="I47" s="127" t="s">
        <v>285</v>
      </c>
      <c r="J47" s="153" t="s">
        <v>343</v>
      </c>
      <c r="K47" s="127" t="s">
        <v>182</v>
      </c>
      <c r="L47" s="130">
        <v>37344</v>
      </c>
      <c r="M47" s="127" t="s">
        <v>230</v>
      </c>
      <c r="N47" s="127" t="s">
        <v>245</v>
      </c>
      <c r="O47" s="127" t="s">
        <v>185</v>
      </c>
      <c r="P47" s="127" t="s">
        <v>208</v>
      </c>
      <c r="Q47" s="85" t="str">
        <f t="shared" si="40"/>
        <v/>
      </c>
      <c r="R47" s="130"/>
      <c r="S47" s="128" t="s">
        <v>156</v>
      </c>
      <c r="T47" s="131"/>
      <c r="U47" s="132">
        <v>203</v>
      </c>
      <c r="V47" s="121">
        <v>218.2</v>
      </c>
      <c r="W47" s="116">
        <v>0.98</v>
      </c>
      <c r="X47" s="116">
        <v>1.66</v>
      </c>
      <c r="Y47" s="116">
        <f t="shared" si="41"/>
        <v>0.98403097023953534</v>
      </c>
      <c r="Z47" s="133">
        <v>1.454</v>
      </c>
      <c r="AA47" s="133">
        <v>0.83599999999999997</v>
      </c>
      <c r="AB47" s="133">
        <v>0.72</v>
      </c>
      <c r="AC47" s="121">
        <v>34.299999999999997</v>
      </c>
      <c r="AD47" s="134">
        <v>1.17</v>
      </c>
      <c r="AE47" s="124">
        <v>139.69999999999999</v>
      </c>
      <c r="AF47" s="128">
        <v>7.72</v>
      </c>
      <c r="AG47" s="128">
        <v>1978</v>
      </c>
      <c r="AH47" s="127" t="s">
        <v>344</v>
      </c>
      <c r="AI47" s="127" t="s">
        <v>344</v>
      </c>
      <c r="AJ47" s="135"/>
      <c r="AK47" s="128"/>
      <c r="AL47" s="131"/>
      <c r="AM47" s="124" t="s">
        <v>232</v>
      </c>
      <c r="AN47" s="136" t="s">
        <v>345</v>
      </c>
      <c r="AO47" s="137">
        <v>75.83</v>
      </c>
      <c r="AP47" s="128">
        <v>1918</v>
      </c>
      <c r="AQ47" s="128">
        <v>62.2</v>
      </c>
      <c r="AR47" s="128"/>
      <c r="AS47" s="128"/>
      <c r="AT47" s="122"/>
      <c r="AU47" s="124" t="s">
        <v>189</v>
      </c>
      <c r="AV47" s="115">
        <f>VLOOKUP(J47,'[63]ТР нефть'!$J$28:$BP$638,39,0)</f>
        <v>530.04719999999998</v>
      </c>
      <c r="AW47" s="115" t="str">
        <f>VLOOKUP(J47,'[63]ТР нефть'!$J$28:$BP$638,40,0)</f>
        <v>ГП</v>
      </c>
      <c r="AX47" s="115">
        <f>VLOOKUP(J47,'[63]ТР нефть'!$J$28:$BP$638,41,0)</f>
        <v>940.00319999999999</v>
      </c>
      <c r="AY47" s="115" t="str">
        <f>VLOOKUP(J47,'[63]ТР нефть'!$J$28:$BP$638,42,0)</f>
        <v>ГП</v>
      </c>
      <c r="AZ47" s="115">
        <f>VLOOKUP(J47,'[63]ТР нефть'!$J$28:$BP$638,43,0)</f>
        <v>1279.8552</v>
      </c>
      <c r="BA47" s="115" t="str">
        <f>VLOOKUP(J47,'[63]ТР нефть'!$J$28:$BP$638,44,0)</f>
        <v>ГК 82 1/8</v>
      </c>
      <c r="BB47" s="115">
        <f>VLOOKUP(J47,'[63]ТР нефть'!$J$28:$BP$638,45,0)</f>
        <v>1530.096</v>
      </c>
      <c r="BC47" s="115" t="str">
        <f>VLOOKUP(J47,'[63]ТР нефть'!$J$28:$BP$638,46,0)</f>
        <v>ГК 77 5/32</v>
      </c>
      <c r="BD47" s="115">
        <f>VLOOKUP(J47,'[63]ТР нефть'!$J$28:$BP$638,47,0)</f>
        <v>1690.116</v>
      </c>
      <c r="BE47" s="115" t="str">
        <f>VLOOKUP(J47,'[63]ТР нефть'!$J$28:$BP$638,48,0)</f>
        <v>ЦКсОК 5/16</v>
      </c>
      <c r="BF47" s="115" t="str">
        <f>VLOOKUP(J47,'[63]ТР нефть'!$J$28:$BP$638,49,0)</f>
        <v>-</v>
      </c>
      <c r="BG47" s="115" t="str">
        <f>VLOOKUP(J47,'[63]ТР нефть'!$J$28:$BP$638,50,0)</f>
        <v>-</v>
      </c>
      <c r="BH47" s="115">
        <f>VLOOKUP(J47,'[63]ТР нефть'!$J$28:$BP$638,51,0)</f>
        <v>1700</v>
      </c>
      <c r="BI47" s="115" t="str">
        <f>VLOOKUP(J47,'[63]ТР нефть'!$J$28:$BP$638,52,0)</f>
        <v>закрыт</v>
      </c>
      <c r="BJ47" s="115" t="str">
        <f>IF(IFERROR(VLOOKUP(J47,'[63]ТР нефть'!$J$28:$BP$638,53,0),"-")=0,"-",IFERROR(VLOOKUP(J47,'[63]ТР нефть'!$J$28:$BP$638,53,0),"-"))</f>
        <v>-</v>
      </c>
      <c r="BK47" s="138" t="str">
        <f>IF(IFERROR(VLOOKUP(J47,'[63]ТР нефть'!$J$28:$BP$638,54,0),"-")=0,"-",IFERROR(VLOOKUP(J47,'[63]ТР нефть'!$J$28:$BP$638,54,0),"-"))</f>
        <v>-</v>
      </c>
      <c r="BL47" s="138" t="str">
        <f>IF(IFERROR(VLOOKUP(J47,'[63]ТР нефть'!$J$28:$BP$638,55,0),"-")=0,"-",IFERROR(VLOOKUP(J47,'[63]ТР нефть'!$J$28:$BP$638,55,0),"-"))</f>
        <v>-</v>
      </c>
      <c r="BM47" s="138" t="str">
        <f>IF(IFERROR(VLOOKUP(J47,'[63]ТР нефть'!$J$28:$BP$638,56,0),"-")=0,"-",IFERROR(VLOOKUP(J47,'[63]ТР нефть'!$J$28:$BP$638,56,0),"-"))</f>
        <v>-</v>
      </c>
      <c r="BN47" s="138" t="str">
        <f>IF(IFERROR(VLOOKUP(J47,'[63]ТР нефть'!$J$28:$BP$638,57,0),"-")=0,"-",IFERROR(VLOOKUP(J47,'[63]ТР нефть'!$J$28:$BP$638,57,0),"-"))</f>
        <v>-</v>
      </c>
      <c r="BO47" s="115" t="str">
        <f>IF(IFERROR(VLOOKUP(J47,'[63]ТР нефть'!$J$28:$BP$638,58,0),"-")=0,"-",IFERROR(VLOOKUP(J47,'[63]ТР нефть'!$J$28:$BP$638,58,0),"-"))</f>
        <v>-</v>
      </c>
      <c r="BP47" s="115" t="str">
        <f>IF(IFERROR(VLOOKUP(J47,'[63]ТР нефть'!$J$28:$BP$638,59,0),"-")=0,"-",IFERROR(VLOOKUP(J47,'[63]ТР нефть'!$J$28:$BP$638,59,0),"-"))</f>
        <v>-</v>
      </c>
      <c r="BQ47" s="138">
        <v>1910</v>
      </c>
      <c r="BR47" s="128">
        <v>1514.94</v>
      </c>
      <c r="BS47" s="115">
        <f t="shared" si="2"/>
        <v>395.05999999999995</v>
      </c>
      <c r="BT47" s="128">
        <v>73</v>
      </c>
      <c r="BU47" s="128">
        <v>5.5</v>
      </c>
      <c r="BV47" s="127">
        <v>65</v>
      </c>
      <c r="BW47" s="127" t="s">
        <v>217</v>
      </c>
      <c r="BX47" s="127" t="s">
        <v>195</v>
      </c>
      <c r="BY47" s="139">
        <v>24</v>
      </c>
      <c r="BZ47" s="139">
        <v>0</v>
      </c>
      <c r="CA47" s="138">
        <v>18</v>
      </c>
      <c r="CB47" s="138">
        <v>40</v>
      </c>
      <c r="CC47" s="138">
        <v>17</v>
      </c>
      <c r="CD47" s="135">
        <v>45017</v>
      </c>
      <c r="CE47" s="138">
        <v>111</v>
      </c>
      <c r="CF47" s="138">
        <v>74</v>
      </c>
      <c r="CG47" s="138" t="str">
        <f t="shared" si="3"/>
        <v>В работе</v>
      </c>
      <c r="CH47" s="138" t="s">
        <v>196</v>
      </c>
      <c r="CI47" s="138">
        <v>6</v>
      </c>
      <c r="CJ47" s="139"/>
      <c r="CK47" s="138"/>
      <c r="CL47" s="99"/>
      <c r="CM47" s="99"/>
      <c r="CN47" s="140">
        <v>44</v>
      </c>
      <c r="CO47" s="141">
        <f t="shared" si="4"/>
        <v>8.8557480000000002</v>
      </c>
      <c r="CP47" s="142">
        <v>10.7</v>
      </c>
      <c r="CQ47" s="119">
        <v>1</v>
      </c>
      <c r="CR47" s="138">
        <v>22</v>
      </c>
      <c r="CS47" s="139">
        <v>9.6</v>
      </c>
      <c r="CT47" s="138"/>
      <c r="CU47" s="138">
        <f t="shared" si="5"/>
        <v>12.4</v>
      </c>
      <c r="CV47" s="115">
        <f t="shared" si="6"/>
        <v>1400.2205121464613</v>
      </c>
      <c r="CW47" s="115">
        <f t="shared" si="7"/>
        <v>1069.0835081173507</v>
      </c>
      <c r="CX47" s="133">
        <f t="shared" si="8"/>
        <v>0.15970149253731342</v>
      </c>
      <c r="CY47" s="116"/>
      <c r="CZ47" s="131"/>
      <c r="DA47" s="145" t="str">
        <f t="shared" si="9"/>
        <v>Газлифт</v>
      </c>
      <c r="DB47" s="146">
        <f t="shared" si="10"/>
        <v>8.8557480000000002</v>
      </c>
      <c r="DC47" s="142">
        <f t="shared" si="11"/>
        <v>10.7</v>
      </c>
      <c r="DD47" s="119">
        <f t="shared" si="12"/>
        <v>1</v>
      </c>
      <c r="DE47" s="115">
        <f t="shared" si="13"/>
        <v>12.4</v>
      </c>
      <c r="DF47" s="121">
        <f t="shared" si="14"/>
        <v>9.6</v>
      </c>
      <c r="DG47" s="115">
        <f t="shared" si="15"/>
        <v>1400.2205121464613</v>
      </c>
      <c r="DH47" s="115">
        <f t="shared" si="16"/>
        <v>44</v>
      </c>
      <c r="DI47" s="147"/>
      <c r="DJ47" s="111" t="s">
        <v>197</v>
      </c>
      <c r="DK47" s="112">
        <v>42640</v>
      </c>
      <c r="DL47" s="113">
        <f t="shared" ca="1" si="42"/>
        <v>2464</v>
      </c>
      <c r="DM47" s="114"/>
      <c r="DN47" s="114"/>
      <c r="DO47" s="114"/>
      <c r="DP47" s="114"/>
      <c r="DQ47" s="112" t="s">
        <v>346</v>
      </c>
      <c r="DR47" s="114" t="s">
        <v>198</v>
      </c>
      <c r="DS47" s="114"/>
      <c r="DT47" s="115">
        <v>44</v>
      </c>
      <c r="DU47" s="116">
        <f t="shared" si="43"/>
        <v>0.15970149253731342</v>
      </c>
      <c r="DV47" s="117">
        <f t="shared" si="44"/>
        <v>8.8557480000000002</v>
      </c>
      <c r="DW47" s="118">
        <f t="shared" si="45"/>
        <v>10.7</v>
      </c>
      <c r="DX47" s="119">
        <f t="shared" si="21"/>
        <v>1</v>
      </c>
      <c r="DY47" s="115">
        <f t="shared" si="46"/>
        <v>12.4</v>
      </c>
      <c r="DZ47" s="117">
        <f t="shared" si="47"/>
        <v>0</v>
      </c>
      <c r="EA47" s="120">
        <f t="shared" si="47"/>
        <v>0</v>
      </c>
      <c r="EB47" s="119">
        <f t="shared" si="47"/>
        <v>0</v>
      </c>
      <c r="EC47" s="121">
        <f t="shared" si="48"/>
        <v>0</v>
      </c>
      <c r="ED47" s="122"/>
      <c r="EE47" s="145">
        <v>65</v>
      </c>
      <c r="EF47" s="115">
        <v>19</v>
      </c>
      <c r="EG47" s="115">
        <v>36</v>
      </c>
      <c r="EH47" s="115">
        <v>18</v>
      </c>
      <c r="EI47" s="128" t="s">
        <v>195</v>
      </c>
      <c r="EJ47" s="121">
        <v>24</v>
      </c>
      <c r="EK47" s="121">
        <v>0</v>
      </c>
      <c r="EL47" s="149">
        <v>9.7811999999999983</v>
      </c>
      <c r="EM47" s="142">
        <v>11.7</v>
      </c>
      <c r="EN47" s="119">
        <v>0</v>
      </c>
      <c r="EO47" s="115">
        <v>20</v>
      </c>
      <c r="EP47" s="115">
        <v>1063.2642211589582</v>
      </c>
      <c r="EQ47" s="115">
        <v>74</v>
      </c>
      <c r="ER47" s="115">
        <v>9.6</v>
      </c>
      <c r="ES47" s="115">
        <v>45</v>
      </c>
      <c r="ET47" s="150">
        <v>0.17727272727272725</v>
      </c>
      <c r="EU47" s="145">
        <f t="shared" si="25"/>
        <v>65</v>
      </c>
      <c r="EV47" s="115">
        <f t="shared" si="26"/>
        <v>18</v>
      </c>
      <c r="EW47" s="115">
        <f t="shared" si="26"/>
        <v>40</v>
      </c>
      <c r="EX47" s="115">
        <f t="shared" si="26"/>
        <v>17</v>
      </c>
      <c r="EY47" s="115" t="str">
        <f t="shared" si="27"/>
        <v>Постоянный</v>
      </c>
      <c r="EZ47" s="115">
        <f t="shared" si="27"/>
        <v>24</v>
      </c>
      <c r="FA47" s="115">
        <f t="shared" si="27"/>
        <v>0</v>
      </c>
      <c r="FB47" s="149">
        <f t="shared" si="28"/>
        <v>8.8557480000000002</v>
      </c>
      <c r="FC47" s="142">
        <f t="shared" si="28"/>
        <v>10.7</v>
      </c>
      <c r="FD47" s="119">
        <f t="shared" si="28"/>
        <v>1</v>
      </c>
      <c r="FE47" s="121">
        <f t="shared" si="28"/>
        <v>22</v>
      </c>
      <c r="FF47" s="121">
        <f t="shared" si="49"/>
        <v>1400.2205121464613</v>
      </c>
      <c r="FG47" s="121">
        <f t="shared" si="30"/>
        <v>74</v>
      </c>
      <c r="FH47" s="121">
        <f t="shared" si="50"/>
        <v>9.6</v>
      </c>
      <c r="FI47" s="121">
        <f t="shared" si="32"/>
        <v>44</v>
      </c>
      <c r="FJ47" s="144">
        <f t="shared" si="33"/>
        <v>0.15970149253731342</v>
      </c>
      <c r="FK47" s="132">
        <f t="shared" si="34"/>
        <v>0</v>
      </c>
      <c r="FL47" s="115">
        <f t="shared" si="34"/>
        <v>-1</v>
      </c>
      <c r="FM47" s="115">
        <f t="shared" si="34"/>
        <v>4</v>
      </c>
      <c r="FN47" s="115">
        <f t="shared" si="34"/>
        <v>-1</v>
      </c>
      <c r="FO47" s="115">
        <f t="shared" si="35"/>
        <v>0</v>
      </c>
      <c r="FP47" s="115">
        <f t="shared" si="35"/>
        <v>0</v>
      </c>
      <c r="FQ47" s="149">
        <f t="shared" si="35"/>
        <v>-0.92545199999999816</v>
      </c>
      <c r="FR47" s="142">
        <f t="shared" si="35"/>
        <v>-1</v>
      </c>
      <c r="FS47" s="119">
        <f t="shared" si="35"/>
        <v>1</v>
      </c>
      <c r="FT47" s="121">
        <f t="shared" si="35"/>
        <v>2</v>
      </c>
      <c r="FU47" s="121">
        <f t="shared" si="36"/>
        <v>0</v>
      </c>
      <c r="FV47" s="121">
        <f t="shared" si="36"/>
        <v>0</v>
      </c>
      <c r="FW47" s="121">
        <f t="shared" si="37"/>
        <v>336.95629098750305</v>
      </c>
      <c r="FX47" s="121">
        <f t="shared" si="38"/>
        <v>-1</v>
      </c>
      <c r="FY47" s="144">
        <f t="shared" si="38"/>
        <v>-1.7571234735413832E-2</v>
      </c>
      <c r="FZ47" s="145"/>
      <c r="GA47" s="151" t="s">
        <v>347</v>
      </c>
      <c r="GB47" s="145"/>
      <c r="GC47" s="151" t="s">
        <v>348</v>
      </c>
      <c r="GD47" s="997" t="s">
        <v>238</v>
      </c>
      <c r="GE47" s="1004"/>
      <c r="GF47" s="1004">
        <v>0</v>
      </c>
      <c r="GG47" s="1004"/>
      <c r="GH47" s="1004">
        <v>0</v>
      </c>
      <c r="GI47" s="145"/>
      <c r="GJ47" s="996">
        <v>-3.8890720000001266E-2</v>
      </c>
      <c r="GK47" s="145" t="s">
        <v>199</v>
      </c>
      <c r="GL47" s="996">
        <v>4.1436507200000001</v>
      </c>
      <c r="GM47" s="1005" t="s">
        <v>204</v>
      </c>
      <c r="GN47" s="996">
        <v>3.5164351991999996</v>
      </c>
      <c r="GO47" s="1006"/>
      <c r="GP47" s="996">
        <v>0</v>
      </c>
      <c r="GQ47" s="1006"/>
      <c r="GR47" s="996">
        <v>0</v>
      </c>
      <c r="GS47" s="1006" t="s">
        <v>204</v>
      </c>
      <c r="GT47" s="996">
        <v>-2.9061551991999992</v>
      </c>
      <c r="GU47" s="1006" t="s">
        <v>203</v>
      </c>
      <c r="GV47" s="996">
        <v>-2.5414400000000006</v>
      </c>
      <c r="GW47" s="1006"/>
      <c r="GX47" s="997">
        <v>0</v>
      </c>
      <c r="GY47" s="1006"/>
      <c r="GZ47" s="996">
        <v>0</v>
      </c>
      <c r="HA47" s="1006"/>
      <c r="HB47" s="996">
        <v>-0.38397479999999984</v>
      </c>
      <c r="HC47" s="1006" t="s">
        <v>349</v>
      </c>
      <c r="HD47" s="996">
        <v>2.1629828</v>
      </c>
      <c r="HE47" s="1006"/>
      <c r="HF47" s="996">
        <v>0</v>
      </c>
      <c r="HG47" s="1006" t="s">
        <v>25</v>
      </c>
      <c r="HH47" s="996">
        <v>3.4285919999999996</v>
      </c>
      <c r="HI47" s="1006"/>
      <c r="HJ47" s="996">
        <v>0</v>
      </c>
      <c r="HK47" s="1006"/>
      <c r="HL47" s="996">
        <v>0</v>
      </c>
      <c r="HM47" s="1006"/>
      <c r="HN47" s="996">
        <v>-0.41214800000000018</v>
      </c>
      <c r="HO47" s="1006"/>
      <c r="HP47" s="996">
        <v>0</v>
      </c>
      <c r="HQ47" s="1006" t="s">
        <v>204</v>
      </c>
      <c r="HR47" s="996">
        <v>-7.7988099199999983</v>
      </c>
      <c r="HS47" s="1006"/>
      <c r="HT47" s="996">
        <v>0</v>
      </c>
      <c r="HU47" s="1006"/>
      <c r="HV47" s="996">
        <v>0</v>
      </c>
      <c r="HW47" s="1006"/>
      <c r="HX47" s="996">
        <v>0</v>
      </c>
      <c r="HY47" s="1006"/>
      <c r="HZ47" s="996">
        <v>0</v>
      </c>
      <c r="IA47" s="1006" t="s">
        <v>199</v>
      </c>
      <c r="IB47" s="996">
        <v>9.5679531199999985</v>
      </c>
      <c r="IC47" s="1006"/>
      <c r="ID47" s="996">
        <v>0</v>
      </c>
      <c r="IE47" s="1006"/>
      <c r="IF47" s="996">
        <v>5.8543407999999992</v>
      </c>
      <c r="IG47" s="1006"/>
      <c r="IH47" s="996">
        <v>0</v>
      </c>
      <c r="II47" s="1006" t="s">
        <v>204</v>
      </c>
      <c r="IJ47" s="996">
        <v>-5.3662840000000003</v>
      </c>
      <c r="IK47" s="1006" t="s">
        <v>199</v>
      </c>
      <c r="IL47" s="996">
        <v>-9.3631999999999991</v>
      </c>
      <c r="IM47" s="1006" t="s">
        <v>199</v>
      </c>
      <c r="IN47" s="996">
        <v>5.0159999999999982</v>
      </c>
      <c r="IO47" s="1006" t="s">
        <v>199</v>
      </c>
      <c r="IP47" s="996">
        <v>-7.6912000000000003</v>
      </c>
      <c r="IQ47" s="1006"/>
      <c r="IR47" s="996">
        <v>0</v>
      </c>
      <c r="IS47" s="1006" t="s">
        <v>204</v>
      </c>
      <c r="IT47" s="996">
        <v>-3.1766745999999983</v>
      </c>
      <c r="IU47" s="1006"/>
      <c r="IV47" s="996">
        <v>0</v>
      </c>
      <c r="IW47" s="1006" t="s">
        <v>199</v>
      </c>
      <c r="IX47" s="996">
        <v>6.3467865999999997</v>
      </c>
      <c r="IY47" s="1006"/>
      <c r="IZ47" s="996">
        <v>0</v>
      </c>
      <c r="JA47" s="1006"/>
      <c r="JB47" s="996">
        <v>0</v>
      </c>
      <c r="JC47" s="1006" t="s">
        <v>204</v>
      </c>
      <c r="JD47" s="996">
        <v>1.4729483999999964</v>
      </c>
      <c r="JE47" s="1006"/>
      <c r="JF47" s="996">
        <v>0</v>
      </c>
      <c r="JG47" s="1006"/>
      <c r="JH47" s="996">
        <v>0</v>
      </c>
      <c r="JI47" s="1006"/>
      <c r="JJ47" s="996">
        <v>0</v>
      </c>
      <c r="JK47" s="1007"/>
      <c r="JL47" s="1007">
        <v>0</v>
      </c>
      <c r="JM47" s="1007"/>
      <c r="JN47" s="1007">
        <v>0</v>
      </c>
      <c r="JO47" s="1008"/>
      <c r="JP47" s="1007">
        <v>0</v>
      </c>
      <c r="JQ47" s="1008">
        <v>0</v>
      </c>
      <c r="JR47" s="1007">
        <v>0</v>
      </c>
      <c r="JS47" s="1008">
        <v>0</v>
      </c>
      <c r="JT47" s="1007">
        <v>0</v>
      </c>
      <c r="JU47" s="1008"/>
      <c r="JV47" s="1007">
        <v>0</v>
      </c>
      <c r="JW47" s="1008" t="s">
        <v>197</v>
      </c>
      <c r="JX47" s="1007">
        <v>0</v>
      </c>
      <c r="JY47" s="1008"/>
      <c r="JZ47" s="1007">
        <v>0</v>
      </c>
      <c r="KA47" s="1008" t="s">
        <v>240</v>
      </c>
      <c r="KB47" s="1007">
        <v>-2.8306123999999979</v>
      </c>
      <c r="KC47" s="1008"/>
      <c r="KD47" s="1007">
        <v>0</v>
      </c>
      <c r="KE47" s="1008" t="s">
        <v>206</v>
      </c>
      <c r="KF47" s="1007">
        <v>-5.908847999999999</v>
      </c>
      <c r="KG47" s="1008"/>
      <c r="KH47" s="1007">
        <v>0</v>
      </c>
      <c r="KI47" s="1008"/>
      <c r="KJ47" s="1007">
        <v>0</v>
      </c>
      <c r="KK47" s="1008"/>
      <c r="KL47" s="1007">
        <v>0</v>
      </c>
      <c r="KM47" s="1008"/>
      <c r="KN47" s="1007">
        <v>-4.765467520000044E-2</v>
      </c>
      <c r="KO47" s="1008" t="s">
        <v>25</v>
      </c>
      <c r="KP47" s="1007">
        <v>3.4243422752000008</v>
      </c>
      <c r="KQ47" s="1008">
        <v>0</v>
      </c>
      <c r="KR47" s="1007">
        <v>0</v>
      </c>
      <c r="KS47" s="1008" t="s">
        <v>206</v>
      </c>
      <c r="KT47" s="1007">
        <v>10.849524399999998</v>
      </c>
      <c r="KU47" s="1008" t="s">
        <v>221</v>
      </c>
      <c r="KV47" s="1007">
        <v>1.669157600000001</v>
      </c>
      <c r="KW47" s="1008">
        <v>0</v>
      </c>
      <c r="KX47" s="1007">
        <v>0</v>
      </c>
      <c r="KY47" s="1008">
        <v>0</v>
      </c>
      <c r="KZ47" s="1007">
        <v>0</v>
      </c>
      <c r="LA47" s="1008">
        <v>0</v>
      </c>
      <c r="LB47" s="1007">
        <v>0</v>
      </c>
      <c r="LC47" s="1008">
        <v>0</v>
      </c>
      <c r="LD47" s="1007">
        <v>0</v>
      </c>
      <c r="LE47" s="1008">
        <v>0</v>
      </c>
      <c r="LF47" s="1007">
        <v>0</v>
      </c>
      <c r="LG47" s="1008">
        <v>0</v>
      </c>
      <c r="LH47" s="1007">
        <v>-6.3269148799999995</v>
      </c>
      <c r="LI47" s="1008">
        <v>0</v>
      </c>
      <c r="LJ47" s="1007">
        <v>0</v>
      </c>
      <c r="LK47" s="1008">
        <v>0</v>
      </c>
      <c r="LL47" s="1007">
        <v>0</v>
      </c>
      <c r="LM47" s="1008" t="s">
        <v>240</v>
      </c>
      <c r="LN47" s="1007">
        <v>-2.0213800000000002</v>
      </c>
      <c r="LO47" s="1008" t="s">
        <v>206</v>
      </c>
      <c r="LP47" s="1007">
        <v>-2.9219360000000001</v>
      </c>
      <c r="LQ47" s="1008">
        <v>0</v>
      </c>
      <c r="LR47" s="1007">
        <v>0.4629626</v>
      </c>
      <c r="LS47" s="1008" t="s">
        <v>206</v>
      </c>
      <c r="LT47" s="1007">
        <v>1.6152519999999999</v>
      </c>
      <c r="LU47" s="1008">
        <v>0</v>
      </c>
      <c r="LV47" s="1007">
        <v>0</v>
      </c>
      <c r="LW47" s="1008" t="s">
        <v>206</v>
      </c>
      <c r="LX47" s="1007">
        <v>-5.3778280000000001</v>
      </c>
      <c r="LY47" s="1009" t="s">
        <v>223</v>
      </c>
      <c r="LZ47" s="1010">
        <v>-2.4974664000000004</v>
      </c>
      <c r="MA47" s="1011">
        <v>0</v>
      </c>
      <c r="MB47" s="1012">
        <v>0.833492291</v>
      </c>
      <c r="MC47" s="995"/>
      <c r="MD47" s="996"/>
      <c r="ME47" s="997" t="s">
        <v>238</v>
      </c>
      <c r="MF47" s="997"/>
      <c r="MG47" s="998"/>
      <c r="NR47" s="1000"/>
      <c r="NS47" s="1000"/>
      <c r="NT47" s="1001"/>
      <c r="NU47" s="1000"/>
      <c r="NV47" s="1001"/>
      <c r="NX47" s="1002"/>
      <c r="NZ47" s="1001"/>
      <c r="OA47" s="1001"/>
      <c r="OC47" s="1003"/>
      <c r="OD47" s="1003"/>
      <c r="OE47" s="1001"/>
      <c r="OF47" s="1003"/>
      <c r="OG47" s="1003"/>
      <c r="QX47" s="1000">
        <f>CN47-CA47</f>
        <v>26</v>
      </c>
      <c r="ASU47" s="999" t="s">
        <v>208</v>
      </c>
    </row>
    <row r="48" spans="1:466 1191:1191" ht="21" customHeight="1" x14ac:dyDescent="0.25">
      <c r="A48" s="982" t="str">
        <f t="shared" si="0"/>
        <v>20-1</v>
      </c>
      <c r="B48" s="124">
        <f>SUBTOTAL(103,$J$29:J48)</f>
        <v>20</v>
      </c>
      <c r="C48" s="126">
        <v>45096</v>
      </c>
      <c r="D48" s="124" t="s">
        <v>176</v>
      </c>
      <c r="E48" s="127" t="s">
        <v>177</v>
      </c>
      <c r="F48" s="128" t="s">
        <v>177</v>
      </c>
      <c r="G48" s="127" t="s">
        <v>178</v>
      </c>
      <c r="H48" s="127" t="s">
        <v>226</v>
      </c>
      <c r="I48" s="127" t="s">
        <v>285</v>
      </c>
      <c r="J48" s="158" t="s">
        <v>350</v>
      </c>
      <c r="K48" s="127" t="s">
        <v>351</v>
      </c>
      <c r="L48" s="130">
        <v>34964</v>
      </c>
      <c r="M48" s="127" t="s">
        <v>230</v>
      </c>
      <c r="N48" s="127" t="s">
        <v>245</v>
      </c>
      <c r="O48" s="127" t="s">
        <v>185</v>
      </c>
      <c r="P48" s="127" t="s">
        <v>208</v>
      </c>
      <c r="Q48" s="85" t="str">
        <f t="shared" si="40"/>
        <v/>
      </c>
      <c r="R48" s="130"/>
      <c r="S48" s="128"/>
      <c r="T48" s="131"/>
      <c r="U48" s="132">
        <v>203</v>
      </c>
      <c r="V48" s="121">
        <v>218.2</v>
      </c>
      <c r="W48" s="116">
        <v>0.98</v>
      </c>
      <c r="X48" s="116">
        <v>1.66</v>
      </c>
      <c r="Y48" s="116">
        <f t="shared" si="41"/>
        <v>1.1121137544435329</v>
      </c>
      <c r="Z48" s="133">
        <v>1.454</v>
      </c>
      <c r="AA48" s="133">
        <v>0.83599999999999997</v>
      </c>
      <c r="AB48" s="133">
        <v>0.72</v>
      </c>
      <c r="AC48" s="121">
        <v>34.299999999999997</v>
      </c>
      <c r="AD48" s="134">
        <v>1.17</v>
      </c>
      <c r="AE48" s="124">
        <v>139.69999999999999</v>
      </c>
      <c r="AF48" s="128">
        <v>7.72</v>
      </c>
      <c r="AG48" s="128">
        <v>1877</v>
      </c>
      <c r="AH48" s="127" t="s">
        <v>352</v>
      </c>
      <c r="AI48" s="127" t="s">
        <v>352</v>
      </c>
      <c r="AJ48" s="135"/>
      <c r="AK48" s="128"/>
      <c r="AL48" s="131"/>
      <c r="AM48" s="124" t="s">
        <v>232</v>
      </c>
      <c r="AN48" s="136" t="s">
        <v>353</v>
      </c>
      <c r="AO48" s="137">
        <v>78.685819999999921</v>
      </c>
      <c r="AP48" s="128">
        <v>1878</v>
      </c>
      <c r="AQ48" s="128">
        <v>10</v>
      </c>
      <c r="AR48" s="128"/>
      <c r="AS48" s="128"/>
      <c r="AT48" s="122"/>
      <c r="AU48" s="124" t="s">
        <v>189</v>
      </c>
      <c r="AV48" s="115">
        <f>VLOOKUP(J48,'[63]ТР нефть'!$J$28:$BP$638,39,0)</f>
        <v>674.99998945300001</v>
      </c>
      <c r="AW48" s="115" t="str">
        <f>VLOOKUP(J48,'[63]ТР нефть'!$J$28:$BP$638,40,0)</f>
        <v>ГП</v>
      </c>
      <c r="AX48" s="115">
        <f>VLOOKUP(J48,'[63]ТР нефть'!$J$28:$BP$638,41,0)</f>
        <v>1149.9999820309999</v>
      </c>
      <c r="AY48" s="115" t="str">
        <f>VLOOKUP(J48,'[63]ТР нефть'!$J$28:$BP$638,42,0)</f>
        <v>ГК 80 1/8</v>
      </c>
      <c r="AZ48" s="115">
        <f>VLOOKUP(J48,'[63]ТР нефть'!$J$28:$BP$638,43,0)</f>
        <v>1519.999946484</v>
      </c>
      <c r="BA48" s="115" t="str">
        <f>VLOOKUP(J48,'[63]ТР нефть'!$J$28:$BP$638,44,0)</f>
        <v>ЦКсОК 5/16</v>
      </c>
      <c r="BB48" s="115" t="str">
        <f>VLOOKUP(J48,'[63]ТР нефть'!$J$28:$BP$638,45,0)</f>
        <v>-</v>
      </c>
      <c r="BC48" s="115" t="str">
        <f>VLOOKUP(J48,'[63]ТР нефть'!$J$28:$BP$638,46,0)</f>
        <v>-</v>
      </c>
      <c r="BD48" s="115" t="str">
        <f>VLOOKUP(J48,'[63]ТР нефть'!$J$28:$BP$638,47,0)</f>
        <v>-</v>
      </c>
      <c r="BE48" s="115" t="str">
        <f>VLOOKUP(J48,'[63]ТР нефть'!$J$28:$BP$638,48,0)</f>
        <v>-</v>
      </c>
      <c r="BF48" s="115" t="str">
        <f>VLOOKUP(J48,'[63]ТР нефть'!$J$28:$BP$638,49,0)</f>
        <v>-</v>
      </c>
      <c r="BG48" s="115" t="str">
        <f>VLOOKUP(J48,'[63]ТР нефть'!$J$28:$BP$638,50,0)</f>
        <v>-</v>
      </c>
      <c r="BH48" s="115">
        <f>VLOOKUP(J48,'[63]ТР нефть'!$J$28:$BP$638,51,0)</f>
        <v>1890</v>
      </c>
      <c r="BI48" s="115" t="str">
        <f>VLOOKUP(J48,'[63]ТР нефть'!$J$28:$BP$638,52,0)</f>
        <v>закрыт</v>
      </c>
      <c r="BJ48" s="115" t="str">
        <f>IF(IFERROR(VLOOKUP(J48,'[63]ТР нефть'!$J$28:$BP$638,53,0),"-")=0,"-",IFERROR(VLOOKUP(J48,'[63]ТР нефть'!$J$28:$BP$638,53,0),"-"))</f>
        <v>-</v>
      </c>
      <c r="BK48" s="138" t="str">
        <f>IF(IFERROR(VLOOKUP(J48,'[63]ТР нефть'!$J$28:$BP$638,54,0),"-")=0,"-",IFERROR(VLOOKUP(J48,'[63]ТР нефть'!$J$28:$BP$638,54,0),"-"))</f>
        <v>-</v>
      </c>
      <c r="BL48" s="138" t="str">
        <f>IF(IFERROR(VLOOKUP(J48,'[63]ТР нефть'!$J$28:$BP$638,55,0),"-")=0,"-",IFERROR(VLOOKUP(J48,'[63]ТР нефть'!$J$28:$BP$638,55,0),"-"))</f>
        <v>-</v>
      </c>
      <c r="BM48" s="138" t="str">
        <f>IF(IFERROR(VLOOKUP(J48,'[63]ТР нефть'!$J$28:$BP$638,56,0),"-")=0,"-",IFERROR(VLOOKUP(J48,'[63]ТР нефть'!$J$28:$BP$638,56,0),"-"))</f>
        <v>-</v>
      </c>
      <c r="BN48" s="138" t="str">
        <f>IF(IFERROR(VLOOKUP(J48,'[63]ТР нефть'!$J$28:$BP$638,57,0),"-")=0,"-",IFERROR(VLOOKUP(J48,'[63]ТР нефть'!$J$28:$BP$638,57,0),"-"))</f>
        <v>-</v>
      </c>
      <c r="BO48" s="115" t="str">
        <f>IF(IFERROR(VLOOKUP(J48,'[63]ТР нефть'!$J$28:$BP$638,58,0),"-")=0,"-",IFERROR(VLOOKUP(J48,'[63]ТР нефть'!$J$28:$BP$638,58,0),"-"))</f>
        <v>-</v>
      </c>
      <c r="BP48" s="115" t="str">
        <f>IF(IFERROR(VLOOKUP(J48,'[63]ТР нефть'!$J$28:$BP$638,59,0),"-")=0,"-",IFERROR(VLOOKUP(J48,'[63]ТР нефть'!$J$28:$BP$638,59,0),"-"))</f>
        <v>-</v>
      </c>
      <c r="BQ48" s="138">
        <v>1915</v>
      </c>
      <c r="BR48" s="128">
        <v>1893.65</v>
      </c>
      <c r="BS48" s="115">
        <f t="shared" si="2"/>
        <v>21.349999999999909</v>
      </c>
      <c r="BT48" s="128">
        <v>73</v>
      </c>
      <c r="BU48" s="128">
        <v>5.5</v>
      </c>
      <c r="BV48" s="127">
        <v>18</v>
      </c>
      <c r="BW48" s="127" t="s">
        <v>234</v>
      </c>
      <c r="BX48" s="127" t="s">
        <v>195</v>
      </c>
      <c r="BY48" s="139">
        <v>24</v>
      </c>
      <c r="BZ48" s="139">
        <v>0</v>
      </c>
      <c r="CA48" s="138">
        <v>19</v>
      </c>
      <c r="CB48" s="138">
        <v>48</v>
      </c>
      <c r="CC48" s="138">
        <v>18</v>
      </c>
      <c r="CD48" s="135">
        <v>45017</v>
      </c>
      <c r="CE48" s="138">
        <v>119</v>
      </c>
      <c r="CF48" s="138">
        <v>76</v>
      </c>
      <c r="CG48" s="138" t="str">
        <f t="shared" si="3"/>
        <v/>
      </c>
      <c r="CH48" s="138" t="s">
        <v>197</v>
      </c>
      <c r="CI48" s="138">
        <v>6</v>
      </c>
      <c r="CJ48" s="139"/>
      <c r="CK48" s="138"/>
      <c r="CL48" s="99"/>
      <c r="CM48" s="99"/>
      <c r="CN48" s="140">
        <v>59</v>
      </c>
      <c r="CO48" s="141">
        <f t="shared" si="4"/>
        <v>14.601576</v>
      </c>
      <c r="CP48" s="142">
        <v>24.6</v>
      </c>
      <c r="CQ48" s="143">
        <v>29</v>
      </c>
      <c r="CR48" s="138">
        <v>16.3</v>
      </c>
      <c r="CS48" s="139">
        <v>8</v>
      </c>
      <c r="CT48" s="138"/>
      <c r="CU48" s="138">
        <f t="shared" si="5"/>
        <v>8.3000000000000007</v>
      </c>
      <c r="CV48" s="115">
        <f t="shared" si="6"/>
        <v>568.43179119842955</v>
      </c>
      <c r="CW48" s="115">
        <f t="shared" si="7"/>
        <v>349.9141922921952</v>
      </c>
      <c r="CX48" s="133">
        <f t="shared" si="8"/>
        <v>0.41000000000000003</v>
      </c>
      <c r="CY48" s="116"/>
      <c r="CZ48" s="131"/>
      <c r="DA48" s="145" t="str">
        <f t="shared" si="9"/>
        <v>Газлифт</v>
      </c>
      <c r="DB48" s="146">
        <f t="shared" si="10"/>
        <v>14.601576</v>
      </c>
      <c r="DC48" s="142">
        <f t="shared" si="11"/>
        <v>24.6</v>
      </c>
      <c r="DD48" s="119">
        <f t="shared" si="12"/>
        <v>29</v>
      </c>
      <c r="DE48" s="115">
        <f t="shared" si="13"/>
        <v>8.3000000000000007</v>
      </c>
      <c r="DF48" s="121">
        <f t="shared" si="14"/>
        <v>8</v>
      </c>
      <c r="DG48" s="115">
        <f t="shared" si="15"/>
        <v>568.43179119842955</v>
      </c>
      <c r="DH48" s="115">
        <f t="shared" si="16"/>
        <v>59</v>
      </c>
      <c r="DI48" s="147"/>
      <c r="DJ48" s="111" t="s">
        <v>197</v>
      </c>
      <c r="DK48" s="112">
        <v>44184</v>
      </c>
      <c r="DL48" s="113">
        <f t="shared" ca="1" si="42"/>
        <v>920</v>
      </c>
      <c r="DM48" s="114"/>
      <c r="DN48" s="114"/>
      <c r="DO48" s="114"/>
      <c r="DP48" s="114"/>
      <c r="DQ48" s="112">
        <v>36596</v>
      </c>
      <c r="DR48" s="114" t="s">
        <v>198</v>
      </c>
      <c r="DS48" s="114">
        <v>0</v>
      </c>
      <c r="DT48" s="115">
        <v>60</v>
      </c>
      <c r="DU48" s="116">
        <f t="shared" si="43"/>
        <v>0.41694915254237291</v>
      </c>
      <c r="DV48" s="117">
        <f t="shared" si="44"/>
        <v>14.601576</v>
      </c>
      <c r="DW48" s="118">
        <f t="shared" si="45"/>
        <v>24.6</v>
      </c>
      <c r="DX48" s="119">
        <f t="shared" si="21"/>
        <v>29</v>
      </c>
      <c r="DY48" s="115">
        <f t="shared" si="46"/>
        <v>8.3000000000000007</v>
      </c>
      <c r="DZ48" s="117">
        <f t="shared" si="47"/>
        <v>0</v>
      </c>
      <c r="EA48" s="120">
        <f t="shared" si="47"/>
        <v>0</v>
      </c>
      <c r="EB48" s="119">
        <f t="shared" si="47"/>
        <v>0</v>
      </c>
      <c r="EC48" s="121">
        <f t="shared" si="48"/>
        <v>0</v>
      </c>
      <c r="ED48" s="122"/>
      <c r="EE48" s="145">
        <v>18</v>
      </c>
      <c r="EF48" s="115">
        <v>19</v>
      </c>
      <c r="EG48" s="115">
        <v>48</v>
      </c>
      <c r="EH48" s="115">
        <v>18</v>
      </c>
      <c r="EI48" s="128" t="s">
        <v>195</v>
      </c>
      <c r="EJ48" s="121">
        <v>24</v>
      </c>
      <c r="EK48" s="121">
        <v>0</v>
      </c>
      <c r="EL48" s="149">
        <v>14.601576</v>
      </c>
      <c r="EM48" s="142">
        <v>24.6</v>
      </c>
      <c r="EN48" s="119">
        <v>29</v>
      </c>
      <c r="EO48" s="115">
        <v>16.3</v>
      </c>
      <c r="EP48" s="115">
        <v>568.43179119842955</v>
      </c>
      <c r="EQ48" s="115">
        <v>76</v>
      </c>
      <c r="ER48" s="115">
        <v>8</v>
      </c>
      <c r="ES48" s="115">
        <v>59</v>
      </c>
      <c r="ET48" s="150">
        <v>0.41000000000000003</v>
      </c>
      <c r="EU48" s="145">
        <f t="shared" si="25"/>
        <v>18</v>
      </c>
      <c r="EV48" s="115">
        <f t="shared" si="26"/>
        <v>19</v>
      </c>
      <c r="EW48" s="115">
        <f t="shared" si="26"/>
        <v>48</v>
      </c>
      <c r="EX48" s="115">
        <f t="shared" si="26"/>
        <v>18</v>
      </c>
      <c r="EY48" s="115" t="str">
        <f t="shared" si="27"/>
        <v>Постоянный</v>
      </c>
      <c r="EZ48" s="115">
        <f t="shared" si="27"/>
        <v>24</v>
      </c>
      <c r="FA48" s="115">
        <f t="shared" si="27"/>
        <v>0</v>
      </c>
      <c r="FB48" s="149">
        <f t="shared" si="28"/>
        <v>14.601576</v>
      </c>
      <c r="FC48" s="142">
        <f t="shared" si="28"/>
        <v>24.6</v>
      </c>
      <c r="FD48" s="119">
        <f t="shared" si="28"/>
        <v>29</v>
      </c>
      <c r="FE48" s="121">
        <f t="shared" si="28"/>
        <v>16.3</v>
      </c>
      <c r="FF48" s="121">
        <f t="shared" si="49"/>
        <v>568.43179119842955</v>
      </c>
      <c r="FG48" s="121">
        <f t="shared" si="30"/>
        <v>76</v>
      </c>
      <c r="FH48" s="121">
        <f t="shared" si="50"/>
        <v>8</v>
      </c>
      <c r="FI48" s="121">
        <f t="shared" si="32"/>
        <v>59</v>
      </c>
      <c r="FJ48" s="144">
        <f t="shared" si="33"/>
        <v>0.41000000000000003</v>
      </c>
      <c r="FK48" s="132">
        <f t="shared" si="34"/>
        <v>0</v>
      </c>
      <c r="FL48" s="115">
        <f t="shared" si="34"/>
        <v>0</v>
      </c>
      <c r="FM48" s="115">
        <f t="shared" si="34"/>
        <v>0</v>
      </c>
      <c r="FN48" s="115">
        <f t="shared" si="34"/>
        <v>0</v>
      </c>
      <c r="FO48" s="115">
        <f t="shared" si="35"/>
        <v>0</v>
      </c>
      <c r="FP48" s="115">
        <f t="shared" si="35"/>
        <v>0</v>
      </c>
      <c r="FQ48" s="149">
        <f t="shared" si="35"/>
        <v>0</v>
      </c>
      <c r="FR48" s="142">
        <f t="shared" si="35"/>
        <v>0</v>
      </c>
      <c r="FS48" s="119">
        <f t="shared" si="35"/>
        <v>0</v>
      </c>
      <c r="FT48" s="121">
        <f t="shared" si="35"/>
        <v>0</v>
      </c>
      <c r="FU48" s="121">
        <f t="shared" si="36"/>
        <v>0</v>
      </c>
      <c r="FV48" s="121">
        <f t="shared" si="36"/>
        <v>0</v>
      </c>
      <c r="FW48" s="121">
        <f t="shared" si="37"/>
        <v>0</v>
      </c>
      <c r="FX48" s="121">
        <f t="shared" si="38"/>
        <v>0</v>
      </c>
      <c r="FY48" s="144">
        <f t="shared" si="38"/>
        <v>0</v>
      </c>
      <c r="FZ48" s="145"/>
      <c r="GA48" s="151" t="s">
        <v>354</v>
      </c>
      <c r="GB48" s="145"/>
      <c r="GC48" s="151" t="s">
        <v>237</v>
      </c>
      <c r="GD48" s="997" t="s">
        <v>238</v>
      </c>
      <c r="GE48" s="1004"/>
      <c r="GF48" s="1004">
        <v>0.55677600000000282</v>
      </c>
      <c r="GG48" s="1004" t="s">
        <v>199</v>
      </c>
      <c r="GH48" s="1004">
        <v>-2.9292361560000035</v>
      </c>
      <c r="GI48" s="145"/>
      <c r="GJ48" s="996">
        <v>0</v>
      </c>
      <c r="GK48" s="145"/>
      <c r="GL48" s="996">
        <v>-0.84122449839999902</v>
      </c>
      <c r="GM48" s="1005"/>
      <c r="GN48" s="996">
        <v>-0.84960974559999869</v>
      </c>
      <c r="GO48" s="1006" t="s">
        <v>199</v>
      </c>
      <c r="GP48" s="996">
        <v>3.3159103999999999</v>
      </c>
      <c r="GQ48" s="1006"/>
      <c r="GR48" s="996">
        <v>0.94026591999999987</v>
      </c>
      <c r="GS48" s="1006"/>
      <c r="GT48" s="996">
        <v>-0.85708316759999903</v>
      </c>
      <c r="GU48" s="1006"/>
      <c r="GV48" s="996">
        <v>0</v>
      </c>
      <c r="GW48" s="1006"/>
      <c r="GX48" s="997">
        <v>0.49700124759999831</v>
      </c>
      <c r="GY48" s="1006" t="s">
        <v>199</v>
      </c>
      <c r="GZ48" s="996">
        <v>-2.202023999999998</v>
      </c>
      <c r="HA48" s="1006" t="s">
        <v>199</v>
      </c>
      <c r="HB48" s="996">
        <v>-4.3973600000000026</v>
      </c>
      <c r="HC48" s="1006" t="s">
        <v>199</v>
      </c>
      <c r="HD48" s="996">
        <v>5.7784320000000005</v>
      </c>
      <c r="HE48" s="1006"/>
      <c r="HF48" s="996">
        <v>0</v>
      </c>
      <c r="HG48" s="1006" t="s">
        <v>199</v>
      </c>
      <c r="HH48" s="996">
        <v>-5.6477484799999988</v>
      </c>
      <c r="HI48" s="1006" t="s">
        <v>199</v>
      </c>
      <c r="HJ48" s="996">
        <v>2.1200960000000002</v>
      </c>
      <c r="HK48" s="1006" t="s">
        <v>199</v>
      </c>
      <c r="HL48" s="996">
        <v>-2.8499153891999995</v>
      </c>
      <c r="HM48" s="1006"/>
      <c r="HN48" s="996">
        <v>0</v>
      </c>
      <c r="HO48" s="1006"/>
      <c r="HP48" s="996">
        <v>3.3260176399998898E-2</v>
      </c>
      <c r="HQ48" s="1006" t="s">
        <v>204</v>
      </c>
      <c r="HR48" s="996">
        <v>-1.4279843071999991</v>
      </c>
      <c r="HS48" s="1006"/>
      <c r="HT48" s="996">
        <v>0</v>
      </c>
      <c r="HU48" s="1006" t="s">
        <v>146</v>
      </c>
      <c r="HV48" s="996">
        <v>-1.9095912000000013</v>
      </c>
      <c r="HW48" s="1006"/>
      <c r="HX48" s="996">
        <v>-0.86258480000000048</v>
      </c>
      <c r="HY48" s="1006" t="s">
        <v>241</v>
      </c>
      <c r="HZ48" s="996">
        <v>-3.1258039999999987</v>
      </c>
      <c r="IA48" s="1006"/>
      <c r="IB48" s="996">
        <v>0.17556000000000083</v>
      </c>
      <c r="IC48" s="1006" t="s">
        <v>223</v>
      </c>
      <c r="ID48" s="996">
        <v>-11.804320000000001</v>
      </c>
      <c r="IE48" s="1006"/>
      <c r="IF48" s="996">
        <v>0.12205600000000061</v>
      </c>
      <c r="IG48" s="1006" t="s">
        <v>221</v>
      </c>
      <c r="IH48" s="996">
        <v>10.385795200000004</v>
      </c>
      <c r="II48" s="1006" t="s">
        <v>221</v>
      </c>
      <c r="IJ48" s="996">
        <v>14.346846799999994</v>
      </c>
      <c r="IK48" s="1006" t="s">
        <v>25</v>
      </c>
      <c r="IL48" s="996">
        <v>16.034061999999999</v>
      </c>
      <c r="IM48" s="1006"/>
      <c r="IN48" s="996">
        <v>0</v>
      </c>
      <c r="IO48" s="1006"/>
      <c r="IP48" s="996">
        <v>0</v>
      </c>
      <c r="IQ48" s="1006"/>
      <c r="IR48" s="996">
        <v>0</v>
      </c>
      <c r="IS48" s="1006"/>
      <c r="IT48" s="996">
        <v>0</v>
      </c>
      <c r="IU48" s="1006"/>
      <c r="IV48" s="996" t="e">
        <v>#VALUE!</v>
      </c>
      <c r="IW48" s="1006"/>
      <c r="IX48" s="996" t="e">
        <v>#VALUE!</v>
      </c>
      <c r="IY48" s="1006"/>
      <c r="IZ48" s="996" t="e">
        <v>#VALUE!</v>
      </c>
      <c r="JA48" s="1006"/>
      <c r="JB48" s="996" t="e">
        <v>#VALUE!</v>
      </c>
      <c r="JC48" s="1006"/>
      <c r="JD48" s="996">
        <v>0</v>
      </c>
      <c r="JE48" s="1006"/>
      <c r="JF48" s="996">
        <v>0</v>
      </c>
      <c r="JG48" s="1006"/>
      <c r="JH48" s="996">
        <v>0</v>
      </c>
      <c r="JI48" s="1006"/>
      <c r="JJ48" s="996">
        <v>0</v>
      </c>
      <c r="JK48" s="1007"/>
      <c r="JL48" s="1007">
        <v>0</v>
      </c>
      <c r="JM48" s="1007"/>
      <c r="JN48" s="1007">
        <v>0</v>
      </c>
      <c r="JO48" s="1008">
        <v>0</v>
      </c>
      <c r="JP48" s="1007">
        <v>0</v>
      </c>
      <c r="JQ48" s="1008">
        <v>0</v>
      </c>
      <c r="JR48" s="1007">
        <v>0</v>
      </c>
      <c r="JS48" s="1008"/>
      <c r="JT48" s="1007">
        <v>0</v>
      </c>
      <c r="JU48" s="1008" t="s">
        <v>197</v>
      </c>
      <c r="JV48" s="1007">
        <v>0</v>
      </c>
      <c r="JW48" s="1008"/>
      <c r="JX48" s="1007">
        <v>0</v>
      </c>
      <c r="JY48" s="1008"/>
      <c r="JZ48" s="1007">
        <v>0</v>
      </c>
      <c r="KA48" s="1008"/>
      <c r="KB48" s="1007">
        <v>0</v>
      </c>
      <c r="KC48" s="1008"/>
      <c r="KD48" s="1007">
        <v>0</v>
      </c>
      <c r="KE48" s="1008"/>
      <c r="KF48" s="1007">
        <v>0</v>
      </c>
      <c r="KG48" s="1008"/>
      <c r="KH48" s="1007">
        <v>0</v>
      </c>
      <c r="KI48" s="1008"/>
      <c r="KJ48" s="1007">
        <v>0</v>
      </c>
      <c r="KK48" s="1008"/>
      <c r="KL48" s="1007">
        <v>0</v>
      </c>
      <c r="KM48" s="1008"/>
      <c r="KN48" s="1007">
        <v>0</v>
      </c>
      <c r="KO48" s="1008"/>
      <c r="KP48" s="1007"/>
      <c r="KQ48" s="1008"/>
      <c r="KR48" s="1007"/>
      <c r="KS48" s="1008"/>
      <c r="KT48" s="1007" t="s">
        <v>285</v>
      </c>
      <c r="KU48" s="1008"/>
      <c r="KV48" s="1007"/>
      <c r="KW48" s="1008" t="s">
        <v>197</v>
      </c>
      <c r="KX48" s="1007" t="s">
        <v>197</v>
      </c>
      <c r="KY48" s="1008" t="s">
        <v>197</v>
      </c>
      <c r="KZ48" s="1007" t="e">
        <v>#VALUE!</v>
      </c>
      <c r="LA48" s="1008"/>
      <c r="LB48" s="1007" t="e">
        <v>#VALUE!</v>
      </c>
      <c r="LC48" s="1008" t="e">
        <v>#VALUE!</v>
      </c>
      <c r="LD48" s="1007" t="e">
        <v>#VALUE!</v>
      </c>
      <c r="LE48" s="1008" t="e">
        <v>#VALUE!</v>
      </c>
      <c r="LF48" s="1007" t="e">
        <v>#VALUE!</v>
      </c>
      <c r="LG48" s="1008" t="e">
        <v>#VALUE!</v>
      </c>
      <c r="LH48" s="1007" t="e">
        <v>#VALUE!</v>
      </c>
      <c r="LI48" s="1008" t="e">
        <v>#VALUE!</v>
      </c>
      <c r="LJ48" s="1007"/>
      <c r="LK48" s="1008"/>
      <c r="LL48" s="1007"/>
      <c r="LM48" s="1008"/>
      <c r="LN48" s="1007"/>
      <c r="LO48" s="1008"/>
      <c r="LP48" s="1007"/>
      <c r="LQ48" s="1008"/>
      <c r="LR48" s="1007"/>
      <c r="LS48" s="1008"/>
      <c r="LT48" s="1007"/>
      <c r="LU48" s="1008"/>
      <c r="LV48" s="1007"/>
      <c r="LW48" s="1008"/>
      <c r="LX48" s="1007"/>
      <c r="LY48" s="1009"/>
      <c r="LZ48" s="1010"/>
      <c r="MA48" s="1011">
        <v>0</v>
      </c>
      <c r="MB48" s="1012">
        <v>1.2524952000000003</v>
      </c>
      <c r="MC48" s="995"/>
      <c r="MD48" s="996"/>
      <c r="ME48" s="997" t="s">
        <v>238</v>
      </c>
      <c r="MF48" s="997"/>
      <c r="MG48" s="998"/>
      <c r="NR48" s="1000"/>
      <c r="NS48" s="1000"/>
      <c r="NT48" s="1001"/>
      <c r="NU48" s="1000"/>
      <c r="NV48" s="1001"/>
      <c r="NX48" s="1002"/>
      <c r="NZ48" s="1001"/>
      <c r="OA48" s="1001"/>
      <c r="OC48" s="1003"/>
      <c r="OD48" s="1003"/>
      <c r="OE48" s="1001"/>
      <c r="OF48" s="1003"/>
      <c r="OG48" s="1003"/>
      <c r="QX48" s="1000">
        <f>CN48-CA48</f>
        <v>40</v>
      </c>
      <c r="ASU48" s="999" t="s">
        <v>208</v>
      </c>
    </row>
    <row r="49" spans="1:1191" ht="21" customHeight="1" x14ac:dyDescent="0.25">
      <c r="A49" s="982" t="str">
        <f t="shared" si="0"/>
        <v>20-2</v>
      </c>
      <c r="B49" s="124">
        <f>SUBTOTAL(103,$J$29:J49)</f>
        <v>21</v>
      </c>
      <c r="C49" s="126">
        <v>45096</v>
      </c>
      <c r="D49" s="124" t="s">
        <v>176</v>
      </c>
      <c r="E49" s="127" t="s">
        <v>177</v>
      </c>
      <c r="F49" s="128" t="s">
        <v>177</v>
      </c>
      <c r="G49" s="127" t="s">
        <v>178</v>
      </c>
      <c r="H49" s="127" t="s">
        <v>226</v>
      </c>
      <c r="I49" s="127" t="s">
        <v>285</v>
      </c>
      <c r="J49" s="153" t="s">
        <v>355</v>
      </c>
      <c r="K49" s="157" t="s">
        <v>351</v>
      </c>
      <c r="L49" s="130">
        <v>35735</v>
      </c>
      <c r="M49" s="127" t="s">
        <v>230</v>
      </c>
      <c r="N49" s="127" t="s">
        <v>245</v>
      </c>
      <c r="O49" s="127" t="s">
        <v>185</v>
      </c>
      <c r="P49" s="127" t="s">
        <v>208</v>
      </c>
      <c r="Q49" s="85" t="str">
        <f t="shared" si="40"/>
        <v/>
      </c>
      <c r="R49" s="130"/>
      <c r="S49" s="128" t="s">
        <v>156</v>
      </c>
      <c r="T49" s="131"/>
      <c r="U49" s="132">
        <v>203</v>
      </c>
      <c r="V49" s="121">
        <v>218.2</v>
      </c>
      <c r="W49" s="116">
        <v>0.98</v>
      </c>
      <c r="X49" s="116">
        <v>1.66</v>
      </c>
      <c r="Y49" s="116">
        <f t="shared" si="41"/>
        <v>1.0669779888238842</v>
      </c>
      <c r="Z49" s="133">
        <v>1.454</v>
      </c>
      <c r="AA49" s="133">
        <v>0.83599999999999997</v>
      </c>
      <c r="AB49" s="133">
        <v>0.72</v>
      </c>
      <c r="AC49" s="121">
        <v>34.299999999999997</v>
      </c>
      <c r="AD49" s="134">
        <v>1.17</v>
      </c>
      <c r="AE49" s="124" t="s">
        <v>356</v>
      </c>
      <c r="AF49" s="128" t="s">
        <v>357</v>
      </c>
      <c r="AG49" s="128" t="s">
        <v>358</v>
      </c>
      <c r="AH49" s="127">
        <v>2390</v>
      </c>
      <c r="AI49" s="127">
        <v>2390</v>
      </c>
      <c r="AJ49" s="135"/>
      <c r="AK49" s="128"/>
      <c r="AL49" s="131"/>
      <c r="AM49" s="124" t="s">
        <v>187</v>
      </c>
      <c r="AN49" s="136" t="s">
        <v>359</v>
      </c>
      <c r="AO49" s="137">
        <v>78.61</v>
      </c>
      <c r="AP49" s="128">
        <v>1902</v>
      </c>
      <c r="AQ49" s="128">
        <v>33.1</v>
      </c>
      <c r="AR49" s="128" t="s">
        <v>360</v>
      </c>
      <c r="AS49" s="128">
        <v>139.69999999999999</v>
      </c>
      <c r="AT49" s="122">
        <v>7.72</v>
      </c>
      <c r="AU49" s="124" t="s">
        <v>189</v>
      </c>
      <c r="AV49" s="115">
        <f>VLOOKUP(J49,'[63]ТР нефть'!$J$28:$BP$638,39,0)</f>
        <v>549.99999140600005</v>
      </c>
      <c r="AW49" s="115">
        <f>VLOOKUP(J49,'[63]ТР нефть'!$J$28:$BP$638,40,0)</f>
        <v>78.125</v>
      </c>
      <c r="AX49" s="115">
        <f>VLOOKUP(J49,'[63]ТР нефть'!$J$28:$BP$638,41,0)</f>
        <v>980.00001445299995</v>
      </c>
      <c r="AY49" s="115">
        <f>VLOOKUP(J49,'[63]ТР нефть'!$J$28:$BP$638,42,0)</f>
        <v>78.125</v>
      </c>
      <c r="AZ49" s="115">
        <f>VLOOKUP(J49,'[63]ТР нефть'!$J$28:$BP$638,43,0)</f>
        <v>1349.999978906</v>
      </c>
      <c r="BA49" s="115">
        <f>VLOOKUP(J49,'[63]ТР нефть'!$J$28:$BP$638,44,0)</f>
        <v>78.125</v>
      </c>
      <c r="BB49" s="115">
        <f>VLOOKUP(J49,'[63]ТР нефть'!$J$28:$BP$638,45,0)</f>
        <v>1649.999974219</v>
      </c>
      <c r="BC49" s="115" t="str">
        <f>VLOOKUP(J49,'[63]ТР нефть'!$J$28:$BP$638,46,0)</f>
        <v>ЦКсОК 5/16</v>
      </c>
      <c r="BD49" s="115" t="str">
        <f>VLOOKUP(J49,'[63]ТР нефть'!$J$28:$BP$638,47,0)</f>
        <v>-</v>
      </c>
      <c r="BE49" s="115" t="str">
        <f>VLOOKUP(J49,'[63]ТР нефть'!$J$28:$BP$638,48,0)</f>
        <v>-</v>
      </c>
      <c r="BF49" s="115" t="str">
        <f>VLOOKUP(J49,'[63]ТР нефть'!$J$28:$BP$638,49,0)</f>
        <v>-</v>
      </c>
      <c r="BG49" s="115" t="str">
        <f>VLOOKUP(J49,'[63]ТР нефть'!$J$28:$BP$638,50,0)</f>
        <v>-</v>
      </c>
      <c r="BH49" s="115">
        <f>VLOOKUP(J49,'[63]ТР нефть'!$J$28:$BP$638,51,0)</f>
        <v>1790</v>
      </c>
      <c r="BI49" s="115" t="str">
        <f>VLOOKUP(J49,'[63]ТР нефть'!$J$28:$BP$638,52,0)</f>
        <v>закрыт</v>
      </c>
      <c r="BJ49" s="115" t="str">
        <f>IF(IFERROR(VLOOKUP(J49,'[63]ТР нефть'!$J$28:$BP$638,53,0),"-")=0,"-",IFERROR(VLOOKUP(J49,'[63]ТР нефть'!$J$28:$BP$638,53,0),"-"))</f>
        <v>-</v>
      </c>
      <c r="BK49" s="138" t="str">
        <f>IF(IFERROR(VLOOKUP(J49,'[63]ТР нефть'!$J$28:$BP$638,54,0),"-")=0,"-",IFERROR(VLOOKUP(J49,'[63]ТР нефть'!$J$28:$BP$638,54,0),"-"))</f>
        <v>-</v>
      </c>
      <c r="BL49" s="138" t="str">
        <f>IF(IFERROR(VLOOKUP(J49,'[63]ТР нефть'!$J$28:$BP$638,55,0),"-")=0,"-",IFERROR(VLOOKUP(J49,'[63]ТР нефть'!$J$28:$BP$638,55,0),"-"))</f>
        <v>-</v>
      </c>
      <c r="BM49" s="138" t="str">
        <f>IF(IFERROR(VLOOKUP(J49,'[63]ТР нефть'!$J$28:$BP$638,56,0),"-")=0,"-",IFERROR(VLOOKUP(J49,'[63]ТР нефть'!$J$28:$BP$638,56,0),"-"))</f>
        <v>-</v>
      </c>
      <c r="BN49" s="138" t="str">
        <f>IF(IFERROR(VLOOKUP(J49,'[63]ТР нефть'!$J$28:$BP$638,57,0),"-")=0,"-",IFERROR(VLOOKUP(J49,'[63]ТР нефть'!$J$28:$BP$638,57,0),"-"))</f>
        <v>-</v>
      </c>
      <c r="BO49" s="115" t="str">
        <f>IF(IFERROR(VLOOKUP(J49,'[63]ТР нефть'!$J$28:$BP$638,58,0),"-")=0,"-",IFERROR(VLOOKUP(J49,'[63]ТР нефть'!$J$28:$BP$638,58,0),"-"))</f>
        <v>-</v>
      </c>
      <c r="BP49" s="115" t="str">
        <f>IF(IFERROR(VLOOKUP(J49,'[63]ТР нефть'!$J$28:$BP$638,59,0),"-")=0,"-",IFERROR(VLOOKUP(J49,'[63]ТР нефть'!$J$28:$BP$638,59,0),"-"))</f>
        <v>-</v>
      </c>
      <c r="BQ49" s="138">
        <v>2384</v>
      </c>
      <c r="BR49" s="128">
        <v>1947.9</v>
      </c>
      <c r="BS49" s="115">
        <f t="shared" si="2"/>
        <v>436.09999999999991</v>
      </c>
      <c r="BT49" s="128">
        <v>73</v>
      </c>
      <c r="BU49" s="128">
        <v>5.5</v>
      </c>
      <c r="BV49" s="127">
        <v>18</v>
      </c>
      <c r="BW49" s="127" t="s">
        <v>234</v>
      </c>
      <c r="BX49" s="127" t="s">
        <v>195</v>
      </c>
      <c r="BY49" s="139">
        <v>24</v>
      </c>
      <c r="BZ49" s="139">
        <v>0</v>
      </c>
      <c r="CA49" s="138">
        <v>16</v>
      </c>
      <c r="CB49" s="138">
        <v>33</v>
      </c>
      <c r="CC49" s="138">
        <v>15</v>
      </c>
      <c r="CD49" s="135">
        <v>45017</v>
      </c>
      <c r="CE49" s="138">
        <v>94</v>
      </c>
      <c r="CF49" s="138">
        <v>80</v>
      </c>
      <c r="CG49" s="138" t="str">
        <f t="shared" si="3"/>
        <v>В работе</v>
      </c>
      <c r="CH49" s="138" t="s">
        <v>196</v>
      </c>
      <c r="CI49" s="138">
        <v>6</v>
      </c>
      <c r="CJ49" s="139"/>
      <c r="CK49" s="138"/>
      <c r="CL49" s="99"/>
      <c r="CM49" s="99"/>
      <c r="CN49" s="140">
        <v>39</v>
      </c>
      <c r="CO49" s="141">
        <f t="shared" si="4"/>
        <v>3.8838888000000003</v>
      </c>
      <c r="CP49" s="142">
        <v>5.8</v>
      </c>
      <c r="CQ49" s="143">
        <v>19.899999999999999</v>
      </c>
      <c r="CR49" s="138">
        <v>17</v>
      </c>
      <c r="CS49" s="139">
        <v>12.3</v>
      </c>
      <c r="CT49" s="138"/>
      <c r="CU49" s="138">
        <f t="shared" si="5"/>
        <v>4.6999999999999993</v>
      </c>
      <c r="CV49" s="115">
        <f t="shared" si="6"/>
        <v>1210.1273342326378</v>
      </c>
      <c r="CW49" s="115">
        <f t="shared" si="7"/>
        <v>2356.1176422181343</v>
      </c>
      <c r="CX49" s="133">
        <f t="shared" si="8"/>
        <v>0.10545454545454545</v>
      </c>
      <c r="CY49" s="116"/>
      <c r="CZ49" s="131"/>
      <c r="DA49" s="145" t="str">
        <f t="shared" si="9"/>
        <v>Газлифт</v>
      </c>
      <c r="DB49" s="146">
        <f t="shared" si="10"/>
        <v>3.8838888000000003</v>
      </c>
      <c r="DC49" s="142">
        <f t="shared" si="11"/>
        <v>5.8</v>
      </c>
      <c r="DD49" s="119">
        <f t="shared" si="12"/>
        <v>19.899999999999999</v>
      </c>
      <c r="DE49" s="115">
        <f t="shared" si="13"/>
        <v>4.6999999999999993</v>
      </c>
      <c r="DF49" s="121">
        <f t="shared" si="14"/>
        <v>12.3</v>
      </c>
      <c r="DG49" s="115">
        <f t="shared" si="15"/>
        <v>1210.1273342326378</v>
      </c>
      <c r="DH49" s="115">
        <f t="shared" si="16"/>
        <v>39</v>
      </c>
      <c r="DI49" s="147"/>
      <c r="DJ49" s="111" t="s">
        <v>197</v>
      </c>
      <c r="DK49" s="112">
        <v>42616</v>
      </c>
      <c r="DL49" s="113">
        <f t="shared" ca="1" si="42"/>
        <v>2488</v>
      </c>
      <c r="DM49" s="114"/>
      <c r="DN49" s="114"/>
      <c r="DO49" s="114"/>
      <c r="DP49" s="114"/>
      <c r="DQ49" s="112">
        <v>42637</v>
      </c>
      <c r="DR49" s="114" t="s">
        <v>198</v>
      </c>
      <c r="DS49" s="114"/>
      <c r="DT49" s="115">
        <v>43</v>
      </c>
      <c r="DU49" s="116">
        <f t="shared" si="43"/>
        <v>0.11372549019607843</v>
      </c>
      <c r="DV49" s="117">
        <f t="shared" si="44"/>
        <v>3.8838888000000003</v>
      </c>
      <c r="DW49" s="118">
        <f t="shared" si="45"/>
        <v>5.8</v>
      </c>
      <c r="DX49" s="119">
        <f t="shared" si="21"/>
        <v>19.899999999999999</v>
      </c>
      <c r="DY49" s="115">
        <f t="shared" si="46"/>
        <v>4.6999999999999993</v>
      </c>
      <c r="DZ49" s="117">
        <f t="shared" si="47"/>
        <v>0</v>
      </c>
      <c r="EA49" s="120">
        <f t="shared" si="47"/>
        <v>0</v>
      </c>
      <c r="EB49" s="119">
        <f t="shared" si="47"/>
        <v>0</v>
      </c>
      <c r="EC49" s="121">
        <f t="shared" si="48"/>
        <v>0</v>
      </c>
      <c r="ED49" s="122"/>
      <c r="EE49" s="145">
        <v>18</v>
      </c>
      <c r="EF49" s="115">
        <v>19</v>
      </c>
      <c r="EG49" s="115">
        <v>35</v>
      </c>
      <c r="EH49" s="115">
        <v>18</v>
      </c>
      <c r="EI49" s="128" t="s">
        <v>195</v>
      </c>
      <c r="EJ49" s="121">
        <v>24</v>
      </c>
      <c r="EK49" s="121">
        <v>0</v>
      </c>
      <c r="EL49" s="149">
        <v>5.3608499999999992</v>
      </c>
      <c r="EM49" s="142">
        <v>7.5</v>
      </c>
      <c r="EN49" s="119">
        <v>14.5</v>
      </c>
      <c r="EO49" s="115">
        <v>15.9</v>
      </c>
      <c r="EP49" s="115">
        <v>615.57402277623908</v>
      </c>
      <c r="EQ49" s="115">
        <v>80</v>
      </c>
      <c r="ER49" s="115">
        <v>12.6</v>
      </c>
      <c r="ES49" s="115">
        <v>40</v>
      </c>
      <c r="ET49" s="144">
        <v>0.1388888888888889</v>
      </c>
      <c r="EU49" s="145">
        <f t="shared" si="25"/>
        <v>18</v>
      </c>
      <c r="EV49" s="115">
        <f t="shared" si="26"/>
        <v>16</v>
      </c>
      <c r="EW49" s="115">
        <f t="shared" si="26"/>
        <v>33</v>
      </c>
      <c r="EX49" s="115">
        <f t="shared" si="26"/>
        <v>15</v>
      </c>
      <c r="EY49" s="115" t="str">
        <f t="shared" si="27"/>
        <v>Постоянный</v>
      </c>
      <c r="EZ49" s="115">
        <f t="shared" si="27"/>
        <v>24</v>
      </c>
      <c r="FA49" s="115">
        <f t="shared" si="27"/>
        <v>0</v>
      </c>
      <c r="FB49" s="149">
        <f t="shared" si="28"/>
        <v>3.8838888000000003</v>
      </c>
      <c r="FC49" s="142">
        <f t="shared" si="28"/>
        <v>5.8</v>
      </c>
      <c r="FD49" s="119">
        <f t="shared" si="28"/>
        <v>19.899999999999999</v>
      </c>
      <c r="FE49" s="121">
        <f t="shared" si="28"/>
        <v>17</v>
      </c>
      <c r="FF49" s="121">
        <f t="shared" si="49"/>
        <v>1210.1273342326378</v>
      </c>
      <c r="FG49" s="121">
        <f t="shared" si="30"/>
        <v>80</v>
      </c>
      <c r="FH49" s="121">
        <f t="shared" si="50"/>
        <v>12.3</v>
      </c>
      <c r="FI49" s="121">
        <f t="shared" si="32"/>
        <v>39</v>
      </c>
      <c r="FJ49" s="144">
        <f t="shared" si="33"/>
        <v>0.10545454545454545</v>
      </c>
      <c r="FK49" s="132">
        <f t="shared" si="34"/>
        <v>0</v>
      </c>
      <c r="FL49" s="115">
        <f t="shared" si="34"/>
        <v>-3</v>
      </c>
      <c r="FM49" s="115">
        <f t="shared" si="34"/>
        <v>-2</v>
      </c>
      <c r="FN49" s="115">
        <f t="shared" si="34"/>
        <v>-3</v>
      </c>
      <c r="FO49" s="115">
        <f t="shared" si="35"/>
        <v>0</v>
      </c>
      <c r="FP49" s="115">
        <f t="shared" si="35"/>
        <v>0</v>
      </c>
      <c r="FQ49" s="149">
        <f t="shared" si="35"/>
        <v>-1.476961199999999</v>
      </c>
      <c r="FR49" s="142">
        <f t="shared" si="35"/>
        <v>-1.7000000000000002</v>
      </c>
      <c r="FS49" s="119">
        <f t="shared" si="35"/>
        <v>5.3999999999999986</v>
      </c>
      <c r="FT49" s="121">
        <f t="shared" si="35"/>
        <v>1.0999999999999996</v>
      </c>
      <c r="FU49" s="121">
        <f t="shared" si="36"/>
        <v>0</v>
      </c>
      <c r="FV49" s="121">
        <f t="shared" si="36"/>
        <v>-0.29999999999999893</v>
      </c>
      <c r="FW49" s="121">
        <f t="shared" si="37"/>
        <v>594.55331145639877</v>
      </c>
      <c r="FX49" s="121">
        <f t="shared" si="38"/>
        <v>-1</v>
      </c>
      <c r="FY49" s="144">
        <f t="shared" si="38"/>
        <v>-3.3434343434343441E-2</v>
      </c>
      <c r="FZ49" s="145" t="s">
        <v>223</v>
      </c>
      <c r="GA49" s="151" t="s">
        <v>361</v>
      </c>
      <c r="GB49" s="145"/>
      <c r="GC49" s="151" t="s">
        <v>362</v>
      </c>
      <c r="GD49" s="997" t="s">
        <v>238</v>
      </c>
      <c r="GE49" s="1004"/>
      <c r="GF49" s="1004">
        <v>-0.74027799999999999</v>
      </c>
      <c r="GG49" s="1004"/>
      <c r="GH49" s="1004">
        <v>-3.2236160000000957E-2</v>
      </c>
      <c r="GI49" s="145"/>
      <c r="GJ49" s="996">
        <v>0.24207216000000109</v>
      </c>
      <c r="GK49" s="145"/>
      <c r="GL49" s="996">
        <v>-0.64222356000000058</v>
      </c>
      <c r="GM49" s="1005" t="s">
        <v>240</v>
      </c>
      <c r="GN49" s="996">
        <v>1.51831812</v>
      </c>
      <c r="GO49" s="1006"/>
      <c r="GP49" s="996">
        <v>-0.13672487399999955</v>
      </c>
      <c r="GQ49" s="1006" t="s">
        <v>240</v>
      </c>
      <c r="GR49" s="996">
        <v>-3.1408499099999991</v>
      </c>
      <c r="GS49" s="1006"/>
      <c r="GT49" s="996">
        <v>0</v>
      </c>
      <c r="GU49" s="1006" t="s">
        <v>199</v>
      </c>
      <c r="GV49" s="996">
        <v>2.7506941439999979</v>
      </c>
      <c r="GW49" s="1006"/>
      <c r="GX49" s="997">
        <v>0</v>
      </c>
      <c r="GY49" s="1006" t="s">
        <v>199</v>
      </c>
      <c r="GZ49" s="996">
        <v>3.0867460800000006</v>
      </c>
      <c r="HA49" s="1006" t="s">
        <v>199</v>
      </c>
      <c r="HB49" s="996">
        <v>-3.7655111999999993</v>
      </c>
      <c r="HC49" s="1006"/>
      <c r="HD49" s="996">
        <v>0.33540319999999912</v>
      </c>
      <c r="HE49" s="1006"/>
      <c r="HF49" s="996">
        <v>8.0255999999998551E-3</v>
      </c>
      <c r="HG49" s="1006"/>
      <c r="HH49" s="996">
        <v>-0.53631406399999992</v>
      </c>
      <c r="HI49" s="1006"/>
      <c r="HJ49" s="996">
        <v>0</v>
      </c>
      <c r="HK49" s="1006"/>
      <c r="HL49" s="996">
        <v>0</v>
      </c>
      <c r="HM49" s="1006"/>
      <c r="HN49" s="996">
        <v>-0.41881593599999967</v>
      </c>
      <c r="HO49" s="1006"/>
      <c r="HP49" s="996">
        <v>0.19110960000000077</v>
      </c>
      <c r="HQ49" s="1006"/>
      <c r="HR49" s="996">
        <v>-0.65684520000000113</v>
      </c>
      <c r="HS49" s="1006" t="s">
        <v>203</v>
      </c>
      <c r="HT49" s="996">
        <v>-4.8738799999999998</v>
      </c>
      <c r="HU49" s="1006"/>
      <c r="HV49" s="996">
        <v>0</v>
      </c>
      <c r="HW49" s="1006" t="s">
        <v>25</v>
      </c>
      <c r="HX49" s="996">
        <v>4.4809600000000005</v>
      </c>
      <c r="HY49" s="1006"/>
      <c r="HZ49" s="996">
        <v>0</v>
      </c>
      <c r="IA49" s="1006" t="s">
        <v>199</v>
      </c>
      <c r="IB49" s="996">
        <v>2.3221989999999995</v>
      </c>
      <c r="IC49" s="1006"/>
      <c r="ID49" s="996">
        <v>0</v>
      </c>
      <c r="IE49" s="1006"/>
      <c r="IF49" s="996">
        <v>0</v>
      </c>
      <c r="IG49" s="1006"/>
      <c r="IH49" s="996">
        <v>-0.24264900000000011</v>
      </c>
      <c r="II49" s="1006" t="s">
        <v>204</v>
      </c>
      <c r="IJ49" s="996">
        <v>2.2408980000000001</v>
      </c>
      <c r="IK49" s="1006" t="s">
        <v>204</v>
      </c>
      <c r="IL49" s="996">
        <v>-3.4008479999999994</v>
      </c>
      <c r="IM49" s="1006" t="s">
        <v>363</v>
      </c>
      <c r="IN49" s="996">
        <v>-2.4194675999999991</v>
      </c>
      <c r="IO49" s="1006" t="s">
        <v>204</v>
      </c>
      <c r="IP49" s="996">
        <v>4.7769875999999982</v>
      </c>
      <c r="IQ49" s="1006"/>
      <c r="IR49" s="996">
        <v>0</v>
      </c>
      <c r="IS49" s="1006"/>
      <c r="IT49" s="996">
        <v>0</v>
      </c>
      <c r="IU49" s="1006"/>
      <c r="IV49" s="996">
        <v>0</v>
      </c>
      <c r="IW49" s="1006"/>
      <c r="IX49" s="996">
        <v>0</v>
      </c>
      <c r="IY49" s="1006"/>
      <c r="IZ49" s="996">
        <v>-0.8527199999999997</v>
      </c>
      <c r="JA49" s="1006"/>
      <c r="JB49" s="996">
        <v>-0.33105600000000024</v>
      </c>
      <c r="JC49" s="1006"/>
      <c r="JD49" s="996">
        <v>0</v>
      </c>
      <c r="JE49" s="1006"/>
      <c r="JF49" s="996">
        <v>0.86061518399999937</v>
      </c>
      <c r="JG49" s="1006"/>
      <c r="JH49" s="996">
        <v>-0.93836318399999907</v>
      </c>
      <c r="JI49" s="1006"/>
      <c r="JJ49" s="996">
        <v>-0.90955127999999963</v>
      </c>
      <c r="JK49" s="1007"/>
      <c r="JL49" s="1007">
        <v>0</v>
      </c>
      <c r="JM49" s="1007"/>
      <c r="JN49" s="1007">
        <v>0</v>
      </c>
      <c r="JO49" s="1008"/>
      <c r="JP49" s="1007">
        <v>0</v>
      </c>
      <c r="JQ49" s="1008">
        <v>0</v>
      </c>
      <c r="JR49" s="1007">
        <v>0</v>
      </c>
      <c r="JS49" s="1008">
        <v>0</v>
      </c>
      <c r="JT49" s="1007">
        <v>0</v>
      </c>
      <c r="JU49" s="1008" t="s">
        <v>199</v>
      </c>
      <c r="JV49" s="1007">
        <v>-1.5432225599999994</v>
      </c>
      <c r="JW49" s="1008" t="s">
        <v>197</v>
      </c>
      <c r="JX49" s="1007">
        <v>0</v>
      </c>
      <c r="JY49" s="1008" t="s">
        <v>204</v>
      </c>
      <c r="JZ49" s="1007">
        <v>-6.4180221599999996</v>
      </c>
      <c r="KA49" s="1008" t="s">
        <v>199</v>
      </c>
      <c r="KB49" s="1007">
        <v>-3.7760448000000011</v>
      </c>
      <c r="KC49" s="1008"/>
      <c r="KD49" s="1007">
        <v>0</v>
      </c>
      <c r="KE49" s="1008" t="s">
        <v>199</v>
      </c>
      <c r="KF49" s="1007">
        <v>11.400364799999998</v>
      </c>
      <c r="KG49" s="1008"/>
      <c r="KH49" s="1007">
        <v>0</v>
      </c>
      <c r="KI49" s="1008"/>
      <c r="KJ49" s="1007">
        <v>0</v>
      </c>
      <c r="KK49" s="1008"/>
      <c r="KL49" s="1007">
        <v>0</v>
      </c>
      <c r="KM49" s="1008"/>
      <c r="KN49" s="1007">
        <v>0</v>
      </c>
      <c r="KO49" s="1008" t="s">
        <v>206</v>
      </c>
      <c r="KP49" s="1007">
        <v>-3.1303183999999993</v>
      </c>
      <c r="KQ49" s="1008" t="s">
        <v>206</v>
      </c>
      <c r="KR49" s="1007">
        <v>-3.6998015999999989</v>
      </c>
      <c r="KS49" s="1008" t="s">
        <v>206</v>
      </c>
      <c r="KT49" s="1007">
        <v>5.016</v>
      </c>
      <c r="KU49" s="1008" t="s">
        <v>206</v>
      </c>
      <c r="KV49" s="1007">
        <v>-3.1768000000000018</v>
      </c>
      <c r="KW49" s="1008" t="s">
        <v>206</v>
      </c>
      <c r="KX49" s="1007">
        <v>-2.4829200000000018</v>
      </c>
      <c r="KY49" s="1008" t="s">
        <v>206</v>
      </c>
      <c r="KZ49" s="1007">
        <v>6.0359200000000026</v>
      </c>
      <c r="LA49" s="1008">
        <v>0</v>
      </c>
      <c r="LB49" s="1007">
        <v>0</v>
      </c>
      <c r="LC49" s="1008">
        <v>0</v>
      </c>
      <c r="LD49" s="1007">
        <v>0</v>
      </c>
      <c r="LE49" s="1008">
        <v>0</v>
      </c>
      <c r="LF49" s="1007">
        <v>0</v>
      </c>
      <c r="LG49" s="1008">
        <v>0</v>
      </c>
      <c r="LH49" s="1007">
        <v>-8.7368240000000004</v>
      </c>
      <c r="LI49" s="1008">
        <v>0</v>
      </c>
      <c r="LJ49" s="1007">
        <v>0</v>
      </c>
      <c r="LK49" s="1008">
        <v>0</v>
      </c>
      <c r="LL49" s="1007">
        <v>0</v>
      </c>
      <c r="LM49" s="1008" t="s">
        <v>206</v>
      </c>
      <c r="LN49" s="1007">
        <v>0.77781400000000001</v>
      </c>
      <c r="LO49" s="1008">
        <v>0</v>
      </c>
      <c r="LP49" s="1007">
        <v>0</v>
      </c>
      <c r="LQ49" s="1008" t="s">
        <v>206</v>
      </c>
      <c r="LR49" s="1007">
        <v>-1.75932</v>
      </c>
      <c r="LS49" s="1008">
        <v>0</v>
      </c>
      <c r="LT49" s="1007">
        <v>0</v>
      </c>
      <c r="LU49" s="1008">
        <v>0</v>
      </c>
      <c r="LV49" s="1007">
        <v>0</v>
      </c>
      <c r="LW49" s="1008" t="s">
        <v>206</v>
      </c>
      <c r="LX49" s="1007">
        <v>-0.96627227999998999</v>
      </c>
      <c r="LY49" s="1009">
        <v>0</v>
      </c>
      <c r="LZ49" s="1010">
        <v>0</v>
      </c>
      <c r="MA49" s="1011">
        <v>0</v>
      </c>
      <c r="MB49" s="1012">
        <v>0</v>
      </c>
      <c r="MC49" s="995"/>
      <c r="MD49" s="996"/>
      <c r="ME49" s="997" t="s">
        <v>238</v>
      </c>
      <c r="MF49" s="997"/>
      <c r="MG49" s="998"/>
      <c r="NR49" s="1000"/>
      <c r="NS49" s="1000"/>
      <c r="NT49" s="1001"/>
      <c r="NU49" s="1000"/>
      <c r="NV49" s="1001"/>
      <c r="NX49" s="1002"/>
      <c r="NZ49" s="1001"/>
      <c r="OA49" s="1001"/>
      <c r="OC49" s="1003"/>
      <c r="OD49" s="1003"/>
      <c r="OE49" s="1001"/>
      <c r="OF49" s="1003"/>
      <c r="OG49" s="1003"/>
      <c r="OH49" s="1003"/>
      <c r="OI49" s="1016"/>
      <c r="QX49" s="1000">
        <f t="shared" ref="QX49:QX112" si="51">CN49-CA49</f>
        <v>23</v>
      </c>
      <c r="ASU49" s="999" t="s">
        <v>208</v>
      </c>
    </row>
    <row r="50" spans="1:1191" ht="21" customHeight="1" x14ac:dyDescent="0.25">
      <c r="A50" s="982" t="str">
        <f t="shared" si="0"/>
        <v>21-1</v>
      </c>
      <c r="B50" s="124">
        <f>SUBTOTAL(103,$J$29:J50)</f>
        <v>22</v>
      </c>
      <c r="C50" s="126">
        <v>45096</v>
      </c>
      <c r="D50" s="124" t="s">
        <v>176</v>
      </c>
      <c r="E50" s="127" t="s">
        <v>177</v>
      </c>
      <c r="F50" s="128" t="s">
        <v>177</v>
      </c>
      <c r="G50" s="127" t="s">
        <v>178</v>
      </c>
      <c r="H50" s="127" t="s">
        <v>226</v>
      </c>
      <c r="I50" s="127" t="s">
        <v>316</v>
      </c>
      <c r="J50" s="152" t="s">
        <v>364</v>
      </c>
      <c r="K50" s="127" t="s">
        <v>182</v>
      </c>
      <c r="L50" s="130">
        <v>36115</v>
      </c>
      <c r="M50" s="127" t="s">
        <v>230</v>
      </c>
      <c r="N50" s="127" t="s">
        <v>245</v>
      </c>
      <c r="O50" s="127" t="s">
        <v>185</v>
      </c>
      <c r="P50" s="127" t="s">
        <v>208</v>
      </c>
      <c r="Q50" s="85" t="str">
        <f t="shared" si="40"/>
        <v/>
      </c>
      <c r="R50" s="130"/>
      <c r="S50" s="128" t="s">
        <v>156</v>
      </c>
      <c r="T50" s="131"/>
      <c r="U50" s="132">
        <v>203</v>
      </c>
      <c r="V50" s="121">
        <v>218.2</v>
      </c>
      <c r="W50" s="116">
        <v>0.98</v>
      </c>
      <c r="X50" s="116">
        <v>1.66</v>
      </c>
      <c r="Y50" s="116">
        <f t="shared" si="41"/>
        <v>1.0166483351664832</v>
      </c>
      <c r="Z50" s="133">
        <v>1.454</v>
      </c>
      <c r="AA50" s="133">
        <v>0.83599999999999997</v>
      </c>
      <c r="AB50" s="133">
        <v>0.72</v>
      </c>
      <c r="AC50" s="121">
        <v>34.299999999999997</v>
      </c>
      <c r="AD50" s="134">
        <v>1.17</v>
      </c>
      <c r="AE50" s="124" t="s">
        <v>365</v>
      </c>
      <c r="AF50" s="128" t="s">
        <v>366</v>
      </c>
      <c r="AG50" s="128" t="s">
        <v>367</v>
      </c>
      <c r="AH50" s="127" t="s">
        <v>368</v>
      </c>
      <c r="AI50" s="127" t="s">
        <v>368</v>
      </c>
      <c r="AJ50" s="135"/>
      <c r="AK50" s="128"/>
      <c r="AL50" s="131"/>
      <c r="AM50" s="124" t="s">
        <v>369</v>
      </c>
      <c r="AN50" s="136" t="s">
        <v>370</v>
      </c>
      <c r="AO50" s="137" t="s">
        <v>371</v>
      </c>
      <c r="AP50" s="128">
        <v>1812</v>
      </c>
      <c r="AQ50" s="128">
        <v>16.100000000000001</v>
      </c>
      <c r="AR50" s="128" t="s">
        <v>372</v>
      </c>
      <c r="AS50" s="128">
        <v>114.3</v>
      </c>
      <c r="AT50" s="122">
        <v>7.72</v>
      </c>
      <c r="AU50" s="124" t="s">
        <v>189</v>
      </c>
      <c r="AV50" s="115">
        <f>VLOOKUP(J50,'[63]ТР нефть'!$J$28:$BP$638,39,0)</f>
        <v>843.99998085899995</v>
      </c>
      <c r="AW50" s="115" t="str">
        <f>VLOOKUP(J50,'[63]ТР нефть'!$J$28:$BP$638,40,0)</f>
        <v>ГК 83 1/8</v>
      </c>
      <c r="AX50" s="115">
        <f>VLOOKUP(J50,'[63]ТР нефть'!$J$28:$BP$638,41,0)</f>
        <v>1343.9999730469999</v>
      </c>
      <c r="AY50" s="115" t="str">
        <f>VLOOKUP(J50,'[63]ТР нефть'!$J$28:$BP$638,42,0)</f>
        <v>ГК 91 1/8</v>
      </c>
      <c r="AZ50" s="115">
        <f>VLOOKUP(J50,'[63]ТР нефть'!$J$28:$BP$638,43,0)</f>
        <v>1750.999948828</v>
      </c>
      <c r="BA50" s="115" t="str">
        <f>VLOOKUP(J50,'[63]ТР нефть'!$J$28:$BP$638,44,0)</f>
        <v>ЦКсОК 5/16</v>
      </c>
      <c r="BB50" s="115" t="str">
        <f>VLOOKUP(J50,'[63]ТР нефть'!$J$28:$BP$638,45,0)</f>
        <v>-</v>
      </c>
      <c r="BC50" s="115" t="str">
        <f>VLOOKUP(J50,'[63]ТР нефть'!$J$28:$BP$638,46,0)</f>
        <v>-</v>
      </c>
      <c r="BD50" s="115" t="str">
        <f>VLOOKUP(J50,'[63]ТР нефть'!$J$28:$BP$638,47,0)</f>
        <v>-</v>
      </c>
      <c r="BE50" s="115" t="str">
        <f>VLOOKUP(J50,'[63]ТР нефть'!$J$28:$BP$638,48,0)</f>
        <v>-</v>
      </c>
      <c r="BF50" s="115" t="str">
        <f>VLOOKUP(J50,'[63]ТР нефть'!$J$28:$BP$638,49,0)</f>
        <v>-</v>
      </c>
      <c r="BG50" s="115" t="str">
        <f>VLOOKUP(J50,'[63]ТР нефть'!$J$28:$BP$638,50,0)</f>
        <v>-</v>
      </c>
      <c r="BH50" s="115">
        <f>VLOOKUP(J50,'[63]ТР нефть'!$J$28:$BP$638,51,0)</f>
        <v>1764</v>
      </c>
      <c r="BI50" s="115" t="str">
        <f>VLOOKUP(J50,'[63]ТР нефть'!$J$28:$BP$638,52,0)</f>
        <v>закрыт</v>
      </c>
      <c r="BJ50" s="115" t="str">
        <f>IF(IFERROR(VLOOKUP(J50,'[63]ТР нефть'!$J$28:$BP$638,53,0),"-")=0,"-",IFERROR(VLOOKUP(J50,'[63]ТР нефть'!$J$28:$BP$638,53,0),"-"))</f>
        <v>-</v>
      </c>
      <c r="BK50" s="138" t="str">
        <f>IF(IFERROR(VLOOKUP(J50,'[63]ТР нефть'!$J$28:$BP$638,54,0),"-")=0,"-",IFERROR(VLOOKUP(J50,'[63]ТР нефть'!$J$28:$BP$638,54,0),"-"))</f>
        <v>-</v>
      </c>
      <c r="BL50" s="138" t="str">
        <f>IF(IFERROR(VLOOKUP(J50,'[63]ТР нефть'!$J$28:$BP$638,55,0),"-")=0,"-",IFERROR(VLOOKUP(J50,'[63]ТР нефть'!$J$28:$BP$638,55,0),"-"))</f>
        <v>-</v>
      </c>
      <c r="BM50" s="138" t="str">
        <f>IF(IFERROR(VLOOKUP(J50,'[63]ТР нефть'!$J$28:$BP$638,56,0),"-")=0,"-",IFERROR(VLOOKUP(J50,'[63]ТР нефть'!$J$28:$BP$638,56,0),"-"))</f>
        <v>-</v>
      </c>
      <c r="BN50" s="138" t="str">
        <f>IF(IFERROR(VLOOKUP(J50,'[63]ТР нефть'!$J$28:$BP$638,57,0),"-")=0,"-",IFERROR(VLOOKUP(J50,'[63]ТР нефть'!$J$28:$BP$638,57,0),"-"))</f>
        <v>-</v>
      </c>
      <c r="BO50" s="115" t="str">
        <f>IF(IFERROR(VLOOKUP(J50,'[63]ТР нефть'!$J$28:$BP$638,58,0),"-")=0,"-",IFERROR(VLOOKUP(J50,'[63]ТР нефть'!$J$28:$BP$638,58,0),"-"))</f>
        <v>-</v>
      </c>
      <c r="BP50" s="115" t="str">
        <f>IF(IFERROR(VLOOKUP(J50,'[63]ТР нефть'!$J$28:$BP$638,59,0),"-")=0,"-",IFERROR(VLOOKUP(J50,'[63]ТР нефть'!$J$28:$BP$638,59,0),"-"))</f>
        <v>-</v>
      </c>
      <c r="BQ50" s="138">
        <v>2030</v>
      </c>
      <c r="BR50" s="128">
        <v>1939</v>
      </c>
      <c r="BS50" s="115">
        <f t="shared" si="2"/>
        <v>91</v>
      </c>
      <c r="BT50" s="128">
        <v>73</v>
      </c>
      <c r="BU50" s="128">
        <v>5.5</v>
      </c>
      <c r="BV50" s="127">
        <v>65</v>
      </c>
      <c r="BW50" s="127" t="s">
        <v>217</v>
      </c>
      <c r="BX50" s="127" t="s">
        <v>195</v>
      </c>
      <c r="BY50" s="139">
        <v>24</v>
      </c>
      <c r="BZ50" s="139">
        <v>0</v>
      </c>
      <c r="CA50" s="115">
        <v>15</v>
      </c>
      <c r="CB50" s="115">
        <v>37</v>
      </c>
      <c r="CC50" s="115">
        <v>14</v>
      </c>
      <c r="CD50" s="135">
        <v>45017</v>
      </c>
      <c r="CE50" s="138">
        <v>59</v>
      </c>
      <c r="CF50" s="138">
        <v>66</v>
      </c>
      <c r="CG50" s="138" t="str">
        <f t="shared" si="3"/>
        <v/>
      </c>
      <c r="CH50" s="138" t="s">
        <v>197</v>
      </c>
      <c r="CI50" s="138">
        <v>6</v>
      </c>
      <c r="CJ50" s="139"/>
      <c r="CK50" s="138"/>
      <c r="CL50" s="99"/>
      <c r="CM50" s="99"/>
      <c r="CN50" s="140">
        <v>32</v>
      </c>
      <c r="CO50" s="141">
        <f t="shared" si="4"/>
        <v>6.8618879999999995</v>
      </c>
      <c r="CP50" s="142">
        <v>9</v>
      </c>
      <c r="CQ50" s="119">
        <v>8.8000000000000007</v>
      </c>
      <c r="CR50" s="115">
        <v>15.2</v>
      </c>
      <c r="CS50" s="139">
        <v>10.6</v>
      </c>
      <c r="CT50" s="138"/>
      <c r="CU50" s="138">
        <f t="shared" si="5"/>
        <v>4.5999999999999996</v>
      </c>
      <c r="CV50" s="115">
        <f t="shared" si="6"/>
        <v>670.36943768245715</v>
      </c>
      <c r="CW50" s="115">
        <f t="shared" si="7"/>
        <v>1362.6388091873737</v>
      </c>
      <c r="CX50" s="133">
        <f t="shared" si="8"/>
        <v>0.33333333333333331</v>
      </c>
      <c r="CY50" s="116"/>
      <c r="CZ50" s="131"/>
      <c r="DA50" s="145" t="str">
        <f t="shared" si="9"/>
        <v>Газлифт</v>
      </c>
      <c r="DB50" s="146">
        <f t="shared" si="10"/>
        <v>6.8618879999999995</v>
      </c>
      <c r="DC50" s="142">
        <f t="shared" si="11"/>
        <v>9</v>
      </c>
      <c r="DD50" s="119">
        <f t="shared" si="12"/>
        <v>8.8000000000000007</v>
      </c>
      <c r="DE50" s="115">
        <f t="shared" si="13"/>
        <v>4.5999999999999996</v>
      </c>
      <c r="DF50" s="121">
        <f t="shared" si="14"/>
        <v>10.6</v>
      </c>
      <c r="DG50" s="115">
        <f t="shared" si="15"/>
        <v>670.36943768245715</v>
      </c>
      <c r="DH50" s="115">
        <f t="shared" si="16"/>
        <v>32</v>
      </c>
      <c r="DI50" s="147"/>
      <c r="DJ50" s="111" t="s">
        <v>197</v>
      </c>
      <c r="DK50" s="112">
        <v>36115</v>
      </c>
      <c r="DL50" s="113">
        <f t="shared" ca="1" si="42"/>
        <v>8989</v>
      </c>
      <c r="DM50" s="114"/>
      <c r="DN50" s="114"/>
      <c r="DO50" s="114"/>
      <c r="DP50" s="114"/>
      <c r="DQ50" s="112">
        <v>37504</v>
      </c>
      <c r="DR50" s="114" t="s">
        <v>198</v>
      </c>
      <c r="DS50" s="114" t="s">
        <v>373</v>
      </c>
      <c r="DT50" s="115">
        <v>41</v>
      </c>
      <c r="DU50" s="116">
        <f t="shared" si="43"/>
        <v>0.5</v>
      </c>
      <c r="DV50" s="117">
        <f t="shared" si="44"/>
        <v>6.8618879999999995</v>
      </c>
      <c r="DW50" s="118">
        <f t="shared" si="45"/>
        <v>9</v>
      </c>
      <c r="DX50" s="119">
        <f t="shared" si="21"/>
        <v>8.8000000000000007</v>
      </c>
      <c r="DY50" s="115">
        <f t="shared" si="46"/>
        <v>4.5999999999999996</v>
      </c>
      <c r="DZ50" s="117">
        <f t="shared" si="47"/>
        <v>0</v>
      </c>
      <c r="EA50" s="120">
        <f t="shared" si="47"/>
        <v>0</v>
      </c>
      <c r="EB50" s="119">
        <f t="shared" si="47"/>
        <v>0</v>
      </c>
      <c r="EC50" s="121">
        <f t="shared" si="48"/>
        <v>0</v>
      </c>
      <c r="ED50" s="122"/>
      <c r="EE50" s="145">
        <v>65</v>
      </c>
      <c r="EF50" s="115">
        <v>15</v>
      </c>
      <c r="EG50" s="115">
        <v>33</v>
      </c>
      <c r="EH50" s="115">
        <v>14</v>
      </c>
      <c r="EI50" s="128" t="s">
        <v>195</v>
      </c>
      <c r="EJ50" s="121">
        <v>24</v>
      </c>
      <c r="EK50" s="121">
        <v>0</v>
      </c>
      <c r="EL50" s="149">
        <v>10.324599999999998</v>
      </c>
      <c r="EM50" s="142">
        <v>13</v>
      </c>
      <c r="EN50" s="119">
        <v>5</v>
      </c>
      <c r="EO50" s="115">
        <v>15.5</v>
      </c>
      <c r="EP50" s="115">
        <v>503.65147318055904</v>
      </c>
      <c r="EQ50" s="115">
        <v>66</v>
      </c>
      <c r="ER50" s="115">
        <v>10.3</v>
      </c>
      <c r="ES50" s="115">
        <v>38</v>
      </c>
      <c r="ET50" s="150">
        <v>0.61904761904761907</v>
      </c>
      <c r="EU50" s="145">
        <f t="shared" si="25"/>
        <v>65</v>
      </c>
      <c r="EV50" s="115">
        <f t="shared" si="26"/>
        <v>15</v>
      </c>
      <c r="EW50" s="115">
        <f t="shared" si="26"/>
        <v>37</v>
      </c>
      <c r="EX50" s="115">
        <f t="shared" si="26"/>
        <v>14</v>
      </c>
      <c r="EY50" s="115" t="str">
        <f t="shared" si="27"/>
        <v>Постоянный</v>
      </c>
      <c r="EZ50" s="115">
        <f t="shared" si="27"/>
        <v>24</v>
      </c>
      <c r="FA50" s="115">
        <f t="shared" si="27"/>
        <v>0</v>
      </c>
      <c r="FB50" s="149">
        <f t="shared" si="28"/>
        <v>6.8618879999999995</v>
      </c>
      <c r="FC50" s="142">
        <f t="shared" si="28"/>
        <v>9</v>
      </c>
      <c r="FD50" s="119">
        <f t="shared" si="28"/>
        <v>8.8000000000000007</v>
      </c>
      <c r="FE50" s="121">
        <f t="shared" si="28"/>
        <v>15.2</v>
      </c>
      <c r="FF50" s="121">
        <f t="shared" si="49"/>
        <v>670.36943768245715</v>
      </c>
      <c r="FG50" s="121">
        <f t="shared" si="30"/>
        <v>66</v>
      </c>
      <c r="FH50" s="121">
        <f t="shared" si="50"/>
        <v>10.6</v>
      </c>
      <c r="FI50" s="121">
        <f t="shared" si="32"/>
        <v>32</v>
      </c>
      <c r="FJ50" s="144">
        <f t="shared" si="33"/>
        <v>0.33333333333333331</v>
      </c>
      <c r="FK50" s="132">
        <f t="shared" si="34"/>
        <v>0</v>
      </c>
      <c r="FL50" s="115">
        <f t="shared" si="34"/>
        <v>0</v>
      </c>
      <c r="FM50" s="115">
        <f t="shared" si="34"/>
        <v>4</v>
      </c>
      <c r="FN50" s="115">
        <f t="shared" si="34"/>
        <v>0</v>
      </c>
      <c r="FO50" s="115">
        <f t="shared" si="35"/>
        <v>0</v>
      </c>
      <c r="FP50" s="115">
        <f t="shared" si="35"/>
        <v>0</v>
      </c>
      <c r="FQ50" s="149">
        <f>FB50-EL50</f>
        <v>-3.4627119999999989</v>
      </c>
      <c r="FR50" s="142">
        <f t="shared" si="35"/>
        <v>-4</v>
      </c>
      <c r="FS50" s="119">
        <f t="shared" si="35"/>
        <v>3.8000000000000007</v>
      </c>
      <c r="FT50" s="121">
        <f t="shared" si="35"/>
        <v>-0.30000000000000071</v>
      </c>
      <c r="FU50" s="121">
        <f t="shared" si="36"/>
        <v>0</v>
      </c>
      <c r="FV50" s="121">
        <f t="shared" si="36"/>
        <v>0.29999999999999893</v>
      </c>
      <c r="FW50" s="121">
        <f t="shared" si="37"/>
        <v>166.71796450189811</v>
      </c>
      <c r="FX50" s="121">
        <f t="shared" si="38"/>
        <v>-6</v>
      </c>
      <c r="FY50" s="144">
        <f t="shared" si="38"/>
        <v>-0.28571428571428575</v>
      </c>
      <c r="FZ50" s="145" t="s">
        <v>374</v>
      </c>
      <c r="GA50" s="151" t="s">
        <v>375</v>
      </c>
      <c r="GB50" s="145"/>
      <c r="GC50" s="151" t="s">
        <v>321</v>
      </c>
      <c r="GD50" s="997" t="s">
        <v>238</v>
      </c>
      <c r="GE50" s="1004"/>
      <c r="GF50" s="1004">
        <v>0</v>
      </c>
      <c r="GG50" s="1004"/>
      <c r="GH50" s="1004">
        <v>0</v>
      </c>
      <c r="GI50" s="145" t="s">
        <v>204</v>
      </c>
      <c r="GJ50" s="996">
        <v>2.5665199999999997</v>
      </c>
      <c r="GK50" s="145"/>
      <c r="GL50" s="996">
        <v>1.0153728288000003</v>
      </c>
      <c r="GM50" s="1005"/>
      <c r="GN50" s="996">
        <v>5.4707171199998683E-2</v>
      </c>
      <c r="GO50" s="1006"/>
      <c r="GP50" s="996">
        <v>-9.8805251599999089E-2</v>
      </c>
      <c r="GQ50" s="1006"/>
      <c r="GR50" s="996">
        <v>0</v>
      </c>
      <c r="GS50" s="1006"/>
      <c r="GT50" s="996">
        <v>0</v>
      </c>
      <c r="GU50" s="1006"/>
      <c r="GV50" s="996">
        <v>0</v>
      </c>
      <c r="GW50" s="1006" t="s">
        <v>204</v>
      </c>
      <c r="GX50" s="997">
        <v>-3.0445547484000013</v>
      </c>
      <c r="GY50" s="1006"/>
      <c r="GZ50" s="996">
        <v>0.16286952000000099</v>
      </c>
      <c r="HA50" s="1006"/>
      <c r="HB50" s="996">
        <v>0.67187815199999967</v>
      </c>
      <c r="HC50" s="1006" t="s">
        <v>199</v>
      </c>
      <c r="HD50" s="996">
        <v>3.1457827280000004</v>
      </c>
      <c r="HE50" s="1006"/>
      <c r="HF50" s="996">
        <v>0</v>
      </c>
      <c r="HG50" s="1006"/>
      <c r="HH50" s="996">
        <v>0</v>
      </c>
      <c r="HI50" s="1006"/>
      <c r="HJ50" s="996">
        <v>0</v>
      </c>
      <c r="HK50" s="1006"/>
      <c r="HL50" s="996">
        <v>0</v>
      </c>
      <c r="HM50" s="1006"/>
      <c r="HN50" s="996">
        <v>0</v>
      </c>
      <c r="HO50" s="1006"/>
      <c r="HP50" s="996">
        <v>0.13258959999999931</v>
      </c>
      <c r="HQ50" s="1006"/>
      <c r="HR50" s="996">
        <v>0</v>
      </c>
      <c r="HS50" s="1006"/>
      <c r="HT50" s="996">
        <v>0</v>
      </c>
      <c r="HU50" s="1006" t="s">
        <v>223</v>
      </c>
      <c r="HV50" s="996">
        <v>-4.7317599999999995</v>
      </c>
      <c r="HW50" s="1006"/>
      <c r="HX50" s="996">
        <v>-0.8360000000000003</v>
      </c>
      <c r="HY50" s="1006" t="s">
        <v>199</v>
      </c>
      <c r="HZ50" s="996">
        <v>4.0128000000000004</v>
      </c>
      <c r="IA50" s="1006" t="s">
        <v>204</v>
      </c>
      <c r="IB50" s="996">
        <v>-2.5079999999999991</v>
      </c>
      <c r="IC50" s="1006" t="s">
        <v>204</v>
      </c>
      <c r="ID50" s="996">
        <v>-1.5048000000000012</v>
      </c>
      <c r="IE50" s="1006"/>
      <c r="IF50" s="996">
        <v>0</v>
      </c>
      <c r="IG50" s="1006"/>
      <c r="IH50" s="996">
        <v>0</v>
      </c>
      <c r="II50" s="1006"/>
      <c r="IJ50" s="996">
        <v>0</v>
      </c>
      <c r="IK50" s="1006"/>
      <c r="IL50" s="996">
        <v>0</v>
      </c>
      <c r="IM50" s="1006" t="s">
        <v>199</v>
      </c>
      <c r="IN50" s="996">
        <v>1.1536800000000014</v>
      </c>
      <c r="IO50" s="1006"/>
      <c r="IP50" s="996">
        <v>0.94231999999999871</v>
      </c>
      <c r="IQ50" s="1006"/>
      <c r="IR50" s="996">
        <v>0</v>
      </c>
      <c r="IS50" s="1006"/>
      <c r="IT50" s="996">
        <v>0</v>
      </c>
      <c r="IU50" s="1006"/>
      <c r="IV50" s="996">
        <v>0</v>
      </c>
      <c r="IW50" s="1006" t="s">
        <v>204</v>
      </c>
      <c r="IX50" s="996">
        <v>3.7879160000000009</v>
      </c>
      <c r="IY50" s="1006"/>
      <c r="IZ50" s="996">
        <v>0.78667599999999993</v>
      </c>
      <c r="JA50" s="1006"/>
      <c r="JB50" s="996">
        <v>0</v>
      </c>
      <c r="JC50" s="1006"/>
      <c r="JD50" s="996">
        <v>0</v>
      </c>
      <c r="JE50" s="1006"/>
      <c r="JF50" s="996">
        <v>0</v>
      </c>
      <c r="JG50" s="1006"/>
      <c r="JH50" s="996">
        <v>0</v>
      </c>
      <c r="JI50" s="1006" t="s">
        <v>199</v>
      </c>
      <c r="JJ50" s="996">
        <v>-2.3600279999999998</v>
      </c>
      <c r="JK50" s="1007"/>
      <c r="JL50" s="1007">
        <v>0</v>
      </c>
      <c r="JM50" s="1007"/>
      <c r="JN50" s="1007">
        <v>0</v>
      </c>
      <c r="JO50" s="1008"/>
      <c r="JP50" s="1007">
        <v>0</v>
      </c>
      <c r="JQ50" s="1008">
        <v>0</v>
      </c>
      <c r="JR50" s="1007">
        <v>-0.88365200000000144</v>
      </c>
      <c r="JS50" s="1008" t="s">
        <v>223</v>
      </c>
      <c r="JT50" s="1007">
        <v>-3.7148495999999991</v>
      </c>
      <c r="JU50" s="1008"/>
      <c r="JV50" s="1007">
        <v>0</v>
      </c>
      <c r="JW50" s="1008" t="s">
        <v>199</v>
      </c>
      <c r="JX50" s="1007">
        <v>4.3007184000000009</v>
      </c>
      <c r="JY50" s="1008"/>
      <c r="JZ50" s="1007">
        <v>0</v>
      </c>
      <c r="KA50" s="1008"/>
      <c r="KB50" s="1007">
        <v>-3.7452800000000508E-2</v>
      </c>
      <c r="KC50" s="1008"/>
      <c r="KD50" s="1007">
        <v>0</v>
      </c>
      <c r="KE50" s="1008" t="s">
        <v>199</v>
      </c>
      <c r="KF50" s="1007">
        <v>-8.667647999999998</v>
      </c>
      <c r="KG50" s="1008"/>
      <c r="KH50" s="1007">
        <v>4.5979999999996579E-2</v>
      </c>
      <c r="KI50" s="1008"/>
      <c r="KJ50" s="1007">
        <v>0</v>
      </c>
      <c r="KK50" s="1008"/>
      <c r="KL50" s="1007">
        <v>0</v>
      </c>
      <c r="KM50" s="1008"/>
      <c r="KN50" s="1007">
        <v>0</v>
      </c>
      <c r="KO50" s="1008"/>
      <c r="KP50" s="1007">
        <v>0</v>
      </c>
      <c r="KQ50" s="1008" t="s">
        <v>206</v>
      </c>
      <c r="KR50" s="1007">
        <v>-4.0169800000000002</v>
      </c>
      <c r="KS50" s="1008" t="s">
        <v>206</v>
      </c>
      <c r="KT50" s="1007">
        <v>-5.9606799999999964</v>
      </c>
      <c r="KU50" s="1008" t="s">
        <v>207</v>
      </c>
      <c r="KV50" s="1007">
        <v>15.047999999999998</v>
      </c>
      <c r="KW50" s="1008" t="s">
        <v>206</v>
      </c>
      <c r="KX50" s="1007">
        <v>-7.5240000000000009</v>
      </c>
      <c r="KY50" s="1008" t="s">
        <v>206</v>
      </c>
      <c r="KZ50" s="1007">
        <v>6.0680223999999985</v>
      </c>
      <c r="LA50" s="1008">
        <v>0</v>
      </c>
      <c r="LB50" s="1007">
        <v>0</v>
      </c>
      <c r="LC50" s="1008">
        <v>0</v>
      </c>
      <c r="LD50" s="1007">
        <v>0</v>
      </c>
      <c r="LE50" s="1008" t="s">
        <v>206</v>
      </c>
      <c r="LF50" s="1007">
        <v>-2.5522076799999969</v>
      </c>
      <c r="LG50" s="1008" t="s">
        <v>206</v>
      </c>
      <c r="LH50" s="1007">
        <v>1.1526992</v>
      </c>
      <c r="LI50" s="1008">
        <v>0</v>
      </c>
      <c r="LJ50" s="1007">
        <v>0</v>
      </c>
      <c r="LK50" s="1008">
        <v>0</v>
      </c>
      <c r="LL50" s="1007">
        <v>0</v>
      </c>
      <c r="LM50" s="1008" t="s">
        <v>206</v>
      </c>
      <c r="LN50" s="1007">
        <v>-2.0989800000000001</v>
      </c>
      <c r="LO50" s="1008">
        <v>0</v>
      </c>
      <c r="LP50" s="1007">
        <v>0</v>
      </c>
      <c r="LQ50" s="1008" t="s">
        <v>206</v>
      </c>
      <c r="LR50" s="1007">
        <v>9.1638140000000021</v>
      </c>
      <c r="LS50" s="1008">
        <v>0</v>
      </c>
      <c r="LT50" s="1007">
        <v>-11.321475660000001</v>
      </c>
      <c r="LU50" s="1008">
        <v>0</v>
      </c>
      <c r="LV50" s="1007">
        <v>-0.69243399999985999</v>
      </c>
      <c r="LW50" s="1008">
        <v>0</v>
      </c>
      <c r="LX50" s="1007">
        <v>0</v>
      </c>
      <c r="LY50" s="1009" t="s">
        <v>206</v>
      </c>
      <c r="LZ50" s="1010">
        <v>1.4739667999999999</v>
      </c>
      <c r="MA50" s="1011" t="s">
        <v>223</v>
      </c>
      <c r="MB50" s="1012">
        <v>-3.7398443280000002</v>
      </c>
      <c r="MC50" s="995"/>
      <c r="MD50" s="996"/>
      <c r="ME50" s="997" t="s">
        <v>238</v>
      </c>
      <c r="MF50" s="997"/>
      <c r="MG50" s="998"/>
      <c r="NR50" s="1000"/>
      <c r="NS50" s="1000"/>
      <c r="NT50" s="1001"/>
      <c r="NU50" s="1000"/>
      <c r="NV50" s="1001"/>
      <c r="NX50" s="1002"/>
      <c r="NZ50" s="1001"/>
      <c r="OA50" s="1001"/>
      <c r="OC50" s="1003"/>
      <c r="OD50" s="1003"/>
      <c r="OE50" s="1001"/>
      <c r="OF50" s="1003"/>
      <c r="OG50" s="1003"/>
      <c r="QX50" s="1000">
        <f t="shared" si="51"/>
        <v>17</v>
      </c>
      <c r="ASU50" s="999" t="s">
        <v>208</v>
      </c>
    </row>
    <row r="51" spans="1:1191" ht="21" customHeight="1" x14ac:dyDescent="0.25">
      <c r="A51" s="982" t="str">
        <f t="shared" si="0"/>
        <v>23-2</v>
      </c>
      <c r="B51" s="124">
        <f>SUBTOTAL(103,$J$29:J51)</f>
        <v>23</v>
      </c>
      <c r="C51" s="126">
        <v>45096</v>
      </c>
      <c r="D51" s="124" t="s">
        <v>176</v>
      </c>
      <c r="E51" s="127" t="s">
        <v>177</v>
      </c>
      <c r="F51" s="128" t="s">
        <v>177</v>
      </c>
      <c r="G51" s="127" t="s">
        <v>178</v>
      </c>
      <c r="H51" s="127" t="s">
        <v>226</v>
      </c>
      <c r="I51" s="127" t="s">
        <v>227</v>
      </c>
      <c r="J51" s="152" t="s">
        <v>376</v>
      </c>
      <c r="K51" s="127" t="s">
        <v>377</v>
      </c>
      <c r="L51" s="130">
        <v>37363</v>
      </c>
      <c r="M51" s="127" t="s">
        <v>230</v>
      </c>
      <c r="N51" s="127" t="s">
        <v>245</v>
      </c>
      <c r="O51" s="127" t="s">
        <v>185</v>
      </c>
      <c r="P51" s="127" t="s">
        <v>208</v>
      </c>
      <c r="Q51" s="85" t="str">
        <f t="shared" si="40"/>
        <v/>
      </c>
      <c r="R51" s="130"/>
      <c r="S51" s="128"/>
      <c r="T51" s="131"/>
      <c r="U51" s="132">
        <v>203</v>
      </c>
      <c r="V51" s="121">
        <v>218.2</v>
      </c>
      <c r="W51" s="116">
        <v>0.98</v>
      </c>
      <c r="X51" s="116">
        <v>1.66</v>
      </c>
      <c r="Y51" s="116">
        <f t="shared" si="41"/>
        <v>0.98</v>
      </c>
      <c r="Z51" s="133">
        <v>1.454</v>
      </c>
      <c r="AA51" s="133">
        <v>0.83599999999999997</v>
      </c>
      <c r="AB51" s="133">
        <v>0.72</v>
      </c>
      <c r="AC51" s="121">
        <v>34.299999999999997</v>
      </c>
      <c r="AD51" s="134">
        <v>1.17</v>
      </c>
      <c r="AE51" s="124">
        <v>139.69999999999999</v>
      </c>
      <c r="AF51" s="128">
        <v>7.72</v>
      </c>
      <c r="AG51" s="128">
        <v>1933</v>
      </c>
      <c r="AH51" s="127">
        <v>2350</v>
      </c>
      <c r="AI51" s="127">
        <v>2350</v>
      </c>
      <c r="AJ51" s="135"/>
      <c r="AK51" s="128"/>
      <c r="AL51" s="131"/>
      <c r="AM51" s="124" t="s">
        <v>232</v>
      </c>
      <c r="AN51" s="136" t="s">
        <v>378</v>
      </c>
      <c r="AO51" s="137">
        <v>55.14</v>
      </c>
      <c r="AP51" s="128">
        <v>1933</v>
      </c>
      <c r="AQ51" s="128">
        <v>22.5</v>
      </c>
      <c r="AR51" s="128"/>
      <c r="AS51" s="128"/>
      <c r="AT51" s="122"/>
      <c r="AU51" s="124" t="s">
        <v>189</v>
      </c>
      <c r="AV51" s="115">
        <f>VLOOKUP(J51,'[63]ТР нефть'!$J$28:$BP$638,39,0)</f>
        <v>580.03440000000001</v>
      </c>
      <c r="AW51" s="115" t="str">
        <f>VLOOKUP(J51,'[63]ТР нефть'!$J$28:$BP$638,40,0)</f>
        <v>ГП</v>
      </c>
      <c r="AX51" s="115">
        <f>VLOOKUP(J51,'[63]ТР нефть'!$J$28:$BP$638,41,0)</f>
        <v>1039.9775999999999</v>
      </c>
      <c r="AY51" s="115" t="str">
        <f>VLOOKUP(J51,'[63]ТР нефть'!$J$28:$BP$638,42,0)</f>
        <v>ГП</v>
      </c>
      <c r="AZ51" s="115">
        <f>VLOOKUP(J51,'[63]ТР нефть'!$J$28:$BP$638,43,0)</f>
        <v>1430.1215999999999</v>
      </c>
      <c r="BA51" s="115" t="str">
        <f>VLOOKUP(J51,'[63]ТР нефть'!$J$28:$BP$638,44,0)</f>
        <v>ГК 95 1/8</v>
      </c>
      <c r="BB51" s="115">
        <f>VLOOKUP(J51,'[63]ТР нефть'!$J$28:$BP$638,45,0)</f>
        <v>1744.0655999999999</v>
      </c>
      <c r="BC51" s="115" t="str">
        <f>VLOOKUP(J51,'[63]ТР нефть'!$J$28:$BP$638,46,0)</f>
        <v>ЦКсОК 5/32</v>
      </c>
      <c r="BD51" s="115" t="str">
        <f>VLOOKUP(J51,'[63]ТР нефть'!$J$28:$BP$638,47,0)</f>
        <v>-</v>
      </c>
      <c r="BE51" s="115" t="str">
        <f>VLOOKUP(J51,'[63]ТР нефть'!$J$28:$BP$638,48,0)</f>
        <v>-</v>
      </c>
      <c r="BF51" s="115" t="str">
        <f>VLOOKUP(J51,'[63]ТР нефть'!$J$28:$BP$638,49,0)</f>
        <v>-</v>
      </c>
      <c r="BG51" s="115" t="str">
        <f>VLOOKUP(J51,'[63]ТР нефть'!$J$28:$BP$638,50,0)</f>
        <v>-</v>
      </c>
      <c r="BH51" s="115">
        <f>VLOOKUP(J51,'[63]ТР нефть'!$J$28:$BP$638,51,0)</f>
        <v>1740</v>
      </c>
      <c r="BI51" s="115" t="str">
        <f>VLOOKUP(J51,'[63]ТР нефть'!$J$28:$BP$638,52,0)</f>
        <v>закрыт</v>
      </c>
      <c r="BJ51" s="115" t="str">
        <f>IF(IFERROR(VLOOKUP(J51,'[63]ТР нефть'!$J$28:$BP$638,53,0),"-")=0,"-",IFERROR(VLOOKUP(J51,'[63]ТР нефть'!$J$28:$BP$638,53,0),"-"))</f>
        <v>-</v>
      </c>
      <c r="BK51" s="138" t="str">
        <f>IF(IFERROR(VLOOKUP(J51,'[63]ТР нефть'!$J$28:$BP$638,54,0),"-")=0,"-",IFERROR(VLOOKUP(J51,'[63]ТР нефть'!$J$28:$BP$638,54,0),"-"))</f>
        <v>-</v>
      </c>
      <c r="BL51" s="138" t="str">
        <f>IF(IFERROR(VLOOKUP(J51,'[63]ТР нефть'!$J$28:$BP$638,55,0),"-")=0,"-",IFERROR(VLOOKUP(J51,'[63]ТР нефть'!$J$28:$BP$638,55,0),"-"))</f>
        <v>-</v>
      </c>
      <c r="BM51" s="138" t="str">
        <f>IF(IFERROR(VLOOKUP(J51,'[63]ТР нефть'!$J$28:$BP$638,56,0),"-")=0,"-",IFERROR(VLOOKUP(J51,'[63]ТР нефть'!$J$28:$BP$638,56,0),"-"))</f>
        <v>-</v>
      </c>
      <c r="BN51" s="138" t="str">
        <f>IF(IFERROR(VLOOKUP(J51,'[63]ТР нефть'!$J$28:$BP$638,57,0),"-")=0,"-",IFERROR(VLOOKUP(J51,'[63]ТР нефть'!$J$28:$BP$638,57,0),"-"))</f>
        <v>-</v>
      </c>
      <c r="BO51" s="115" t="str">
        <f>IF(IFERROR(VLOOKUP(J51,'[63]ТР нефть'!$J$28:$BP$638,58,0),"-")=0,"-",IFERROR(VLOOKUP(J51,'[63]ТР нефть'!$J$28:$BP$638,58,0),"-"))</f>
        <v>-</v>
      </c>
      <c r="BP51" s="115" t="str">
        <f>IF(IFERROR(VLOOKUP(J51,'[63]ТР нефть'!$J$28:$BP$638,59,0),"-")=0,"-",IFERROR(VLOOKUP(J51,'[63]ТР нефть'!$J$28:$BP$638,59,0),"-"))</f>
        <v>-</v>
      </c>
      <c r="BQ51" s="138">
        <v>2210.7600000000002</v>
      </c>
      <c r="BR51" s="128">
        <v>1967.09</v>
      </c>
      <c r="BS51" s="115">
        <f t="shared" si="2"/>
        <v>243.6700000000003</v>
      </c>
      <c r="BT51" s="128">
        <v>73</v>
      </c>
      <c r="BU51" s="128">
        <v>5.5</v>
      </c>
      <c r="BV51" s="127">
        <v>65</v>
      </c>
      <c r="BW51" s="127" t="s">
        <v>234</v>
      </c>
      <c r="BX51" s="127" t="s">
        <v>195</v>
      </c>
      <c r="BY51" s="139">
        <v>24</v>
      </c>
      <c r="BZ51" s="139">
        <v>0</v>
      </c>
      <c r="CA51" s="138">
        <v>16</v>
      </c>
      <c r="CB51" s="138">
        <v>28</v>
      </c>
      <c r="CC51" s="138">
        <v>15</v>
      </c>
      <c r="CD51" s="135">
        <v>45017</v>
      </c>
      <c r="CE51" s="138">
        <v>125</v>
      </c>
      <c r="CF51" s="138">
        <v>84</v>
      </c>
      <c r="CG51" s="138" t="str">
        <f t="shared" si="3"/>
        <v>В работе</v>
      </c>
      <c r="CH51" s="138" t="s">
        <v>235</v>
      </c>
      <c r="CI51" s="138">
        <v>6</v>
      </c>
      <c r="CJ51" s="139"/>
      <c r="CK51" s="138"/>
      <c r="CL51" s="99"/>
      <c r="CM51" s="99"/>
      <c r="CN51" s="140">
        <v>33</v>
      </c>
      <c r="CO51" s="141">
        <f t="shared" si="4"/>
        <v>9.0288000000000004</v>
      </c>
      <c r="CP51" s="142">
        <v>10.8</v>
      </c>
      <c r="CQ51" s="143">
        <v>0</v>
      </c>
      <c r="CR51" s="138">
        <v>20.5</v>
      </c>
      <c r="CS51" s="139">
        <v>7.2</v>
      </c>
      <c r="CT51" s="138"/>
      <c r="CU51" s="138">
        <f t="shared" si="5"/>
        <v>13.3</v>
      </c>
      <c r="CV51" s="115">
        <f t="shared" si="6"/>
        <v>1473.063973063973</v>
      </c>
      <c r="CW51" s="115">
        <f t="shared" si="7"/>
        <v>797.44816586921854</v>
      </c>
      <c r="CX51" s="133">
        <f t="shared" si="8"/>
        <v>0.11739130434782609</v>
      </c>
      <c r="CY51" s="116"/>
      <c r="CZ51" s="131"/>
      <c r="DA51" s="145" t="str">
        <f t="shared" si="9"/>
        <v>Газлифт</v>
      </c>
      <c r="DB51" s="146">
        <f t="shared" si="10"/>
        <v>9.0288000000000004</v>
      </c>
      <c r="DC51" s="142">
        <f t="shared" si="11"/>
        <v>10.8</v>
      </c>
      <c r="DD51" s="119">
        <f t="shared" si="12"/>
        <v>0</v>
      </c>
      <c r="DE51" s="115">
        <f t="shared" si="13"/>
        <v>13.3</v>
      </c>
      <c r="DF51" s="121">
        <f t="shared" si="14"/>
        <v>7.2</v>
      </c>
      <c r="DG51" s="115">
        <f t="shared" si="15"/>
        <v>1473.063973063973</v>
      </c>
      <c r="DH51" s="115">
        <f t="shared" si="16"/>
        <v>33</v>
      </c>
      <c r="DI51" s="147"/>
      <c r="DJ51" s="111" t="s">
        <v>197</v>
      </c>
      <c r="DK51" s="112">
        <v>42817</v>
      </c>
      <c r="DL51" s="113">
        <f t="shared" ca="1" si="42"/>
        <v>2287</v>
      </c>
      <c r="DM51" s="114"/>
      <c r="DN51" s="114"/>
      <c r="DO51" s="114"/>
      <c r="DP51" s="114"/>
      <c r="DQ51" s="112">
        <v>43350</v>
      </c>
      <c r="DR51" s="114" t="s">
        <v>198</v>
      </c>
      <c r="DS51" s="114"/>
      <c r="DT51" s="115">
        <v>39</v>
      </c>
      <c r="DU51" s="116">
        <f t="shared" si="43"/>
        <v>0.12558139534883722</v>
      </c>
      <c r="DV51" s="117">
        <f t="shared" si="44"/>
        <v>9.0288000000000004</v>
      </c>
      <c r="DW51" s="118">
        <f t="shared" si="45"/>
        <v>10.8</v>
      </c>
      <c r="DX51" s="119">
        <f t="shared" si="21"/>
        <v>0</v>
      </c>
      <c r="DY51" s="115">
        <f t="shared" si="46"/>
        <v>13.3</v>
      </c>
      <c r="DZ51" s="117">
        <f t="shared" si="47"/>
        <v>0</v>
      </c>
      <c r="EA51" s="120">
        <f t="shared" si="47"/>
        <v>0</v>
      </c>
      <c r="EB51" s="119">
        <f t="shared" si="47"/>
        <v>0</v>
      </c>
      <c r="EC51" s="121">
        <f t="shared" si="48"/>
        <v>0</v>
      </c>
      <c r="ED51" s="122"/>
      <c r="EE51" s="145">
        <v>65</v>
      </c>
      <c r="EF51" s="115">
        <v>17</v>
      </c>
      <c r="EG51" s="115">
        <v>29</v>
      </c>
      <c r="EH51" s="115">
        <v>16</v>
      </c>
      <c r="EI51" s="128" t="s">
        <v>195</v>
      </c>
      <c r="EJ51" s="121">
        <v>24</v>
      </c>
      <c r="EK51" s="121">
        <v>0</v>
      </c>
      <c r="EL51" s="149">
        <v>5.3504000000000005</v>
      </c>
      <c r="EM51" s="142">
        <v>6.4</v>
      </c>
      <c r="EN51" s="119">
        <v>0</v>
      </c>
      <c r="EO51" s="115">
        <v>9.8000000000000007</v>
      </c>
      <c r="EP51" s="115">
        <v>728.91746411483257</v>
      </c>
      <c r="EQ51" s="115">
        <v>84</v>
      </c>
      <c r="ER51" s="115">
        <v>5.9</v>
      </c>
      <c r="ES51" s="115">
        <v>36</v>
      </c>
      <c r="ET51" s="150">
        <v>7.1910112359550568E-2</v>
      </c>
      <c r="EU51" s="145">
        <f t="shared" si="25"/>
        <v>65</v>
      </c>
      <c r="EV51" s="115">
        <f t="shared" si="26"/>
        <v>16</v>
      </c>
      <c r="EW51" s="115">
        <f t="shared" si="26"/>
        <v>28</v>
      </c>
      <c r="EX51" s="115">
        <f t="shared" si="26"/>
        <v>15</v>
      </c>
      <c r="EY51" s="115" t="str">
        <f t="shared" si="27"/>
        <v>Постоянный</v>
      </c>
      <c r="EZ51" s="115">
        <f t="shared" si="27"/>
        <v>24</v>
      </c>
      <c r="FA51" s="115">
        <f t="shared" si="27"/>
        <v>0</v>
      </c>
      <c r="FB51" s="149">
        <f t="shared" si="28"/>
        <v>9.0288000000000004</v>
      </c>
      <c r="FC51" s="142">
        <f t="shared" si="28"/>
        <v>10.8</v>
      </c>
      <c r="FD51" s="119">
        <f t="shared" si="28"/>
        <v>0</v>
      </c>
      <c r="FE51" s="121">
        <f t="shared" si="28"/>
        <v>20.5</v>
      </c>
      <c r="FF51" s="121">
        <f t="shared" si="49"/>
        <v>1473.063973063973</v>
      </c>
      <c r="FG51" s="121">
        <f t="shared" si="30"/>
        <v>84</v>
      </c>
      <c r="FH51" s="121">
        <f t="shared" si="50"/>
        <v>7.2</v>
      </c>
      <c r="FI51" s="121">
        <f t="shared" si="32"/>
        <v>33</v>
      </c>
      <c r="FJ51" s="144">
        <f t="shared" si="33"/>
        <v>0.11739130434782609</v>
      </c>
      <c r="FK51" s="132">
        <f t="shared" si="34"/>
        <v>0</v>
      </c>
      <c r="FL51" s="115">
        <f t="shared" si="34"/>
        <v>-1</v>
      </c>
      <c r="FM51" s="115">
        <f t="shared" si="34"/>
        <v>-1</v>
      </c>
      <c r="FN51" s="115">
        <f t="shared" si="34"/>
        <v>-1</v>
      </c>
      <c r="FO51" s="115">
        <f t="shared" si="35"/>
        <v>0</v>
      </c>
      <c r="FP51" s="115">
        <f t="shared" si="35"/>
        <v>0</v>
      </c>
      <c r="FQ51" s="149">
        <f t="shared" si="35"/>
        <v>3.6783999999999999</v>
      </c>
      <c r="FR51" s="142">
        <f t="shared" si="35"/>
        <v>4.4000000000000004</v>
      </c>
      <c r="FS51" s="119">
        <f t="shared" si="35"/>
        <v>0</v>
      </c>
      <c r="FT51" s="121">
        <f t="shared" si="35"/>
        <v>10.7</v>
      </c>
      <c r="FU51" s="121">
        <f t="shared" si="36"/>
        <v>0</v>
      </c>
      <c r="FV51" s="121">
        <f t="shared" si="36"/>
        <v>1.2999999999999998</v>
      </c>
      <c r="FW51" s="121">
        <f t="shared" si="37"/>
        <v>744.14650894914041</v>
      </c>
      <c r="FX51" s="121">
        <f t="shared" si="38"/>
        <v>-3</v>
      </c>
      <c r="FY51" s="144">
        <f t="shared" si="38"/>
        <v>4.5481191988275521E-2</v>
      </c>
      <c r="FZ51" s="145" t="s">
        <v>199</v>
      </c>
      <c r="GA51" s="151" t="s">
        <v>379</v>
      </c>
      <c r="GB51" s="145" t="s">
        <v>199</v>
      </c>
      <c r="GC51" s="151" t="s">
        <v>380</v>
      </c>
      <c r="GD51" s="997" t="s">
        <v>238</v>
      </c>
      <c r="GE51" s="1004" t="s">
        <v>199</v>
      </c>
      <c r="GF51" s="1004">
        <v>-6.7331439999999976</v>
      </c>
      <c r="GG51" s="1004"/>
      <c r="GH51" s="1004">
        <v>0</v>
      </c>
      <c r="GI51" s="145"/>
      <c r="GJ51" s="996">
        <v>0</v>
      </c>
      <c r="GK51" s="145" t="s">
        <v>199</v>
      </c>
      <c r="GL51" s="996">
        <v>4.634783999999998</v>
      </c>
      <c r="GM51" s="1005"/>
      <c r="GN51" s="996">
        <v>0</v>
      </c>
      <c r="GO51" s="1006"/>
      <c r="GP51" s="996">
        <v>0</v>
      </c>
      <c r="GQ51" s="1006" t="s">
        <v>203</v>
      </c>
      <c r="GR51" s="996">
        <v>-4.3701899999999991</v>
      </c>
      <c r="GS51" s="1006" t="s">
        <v>146</v>
      </c>
      <c r="GT51" s="996">
        <v>1.7591459775999994</v>
      </c>
      <c r="GU51" s="1006"/>
      <c r="GV51" s="996">
        <v>0</v>
      </c>
      <c r="GW51" s="1006" t="s">
        <v>25</v>
      </c>
      <c r="GX51" s="997">
        <v>3.7601962464000005</v>
      </c>
      <c r="GY51" s="1006"/>
      <c r="GZ51" s="996">
        <v>-0.8540442240000008</v>
      </c>
      <c r="HA51" s="1006" t="s">
        <v>199</v>
      </c>
      <c r="HB51" s="996">
        <v>-3.7657176919999999</v>
      </c>
      <c r="HC51" s="1006"/>
      <c r="HD51" s="996">
        <v>0</v>
      </c>
      <c r="HE51" s="1006"/>
      <c r="HF51" s="996">
        <v>-0.23220150799999928</v>
      </c>
      <c r="HG51" s="1006"/>
      <c r="HH51" s="996">
        <v>-0.55953479999999978</v>
      </c>
      <c r="HI51" s="1006"/>
      <c r="HJ51" s="996">
        <v>0.31110599999999877</v>
      </c>
      <c r="HK51" s="1006" t="s">
        <v>199</v>
      </c>
      <c r="HL51" s="996">
        <v>-1.5456636800000005</v>
      </c>
      <c r="HM51" s="1006"/>
      <c r="HN51" s="996">
        <v>-0.31192831999999981</v>
      </c>
      <c r="HO51" s="1006" t="s">
        <v>223</v>
      </c>
      <c r="HP51" s="996">
        <v>-3.6065039999999993</v>
      </c>
      <c r="HQ51" s="1006" t="s">
        <v>199</v>
      </c>
      <c r="HR51" s="996">
        <v>7.3308839999999993</v>
      </c>
      <c r="HS51" s="1006"/>
      <c r="HT51" s="996">
        <v>0</v>
      </c>
      <c r="HU51" s="1006" t="s">
        <v>223</v>
      </c>
      <c r="HV51" s="996">
        <v>-3.4150600000000004</v>
      </c>
      <c r="HW51" s="1006"/>
      <c r="HX51" s="996">
        <v>0.25079999999999991</v>
      </c>
      <c r="HY51" s="1006"/>
      <c r="HZ51" s="996">
        <v>0.8941019999999984</v>
      </c>
      <c r="IA51" s="1006"/>
      <c r="IB51" s="996">
        <v>-4.5344639999999714E-2</v>
      </c>
      <c r="IC51" s="1006"/>
      <c r="ID51" s="996">
        <v>0.82324264000000191</v>
      </c>
      <c r="IE51" s="1006"/>
      <c r="IF51" s="996">
        <v>0</v>
      </c>
      <c r="IG51" s="1006"/>
      <c r="IH51" s="996">
        <v>0</v>
      </c>
      <c r="II51" s="1006"/>
      <c r="IJ51" s="996">
        <v>0</v>
      </c>
      <c r="IK51" s="1006"/>
      <c r="IL51" s="996">
        <v>0</v>
      </c>
      <c r="IM51" s="1006"/>
      <c r="IN51" s="996">
        <v>0</v>
      </c>
      <c r="IO51" s="1006" t="s">
        <v>199</v>
      </c>
      <c r="IP51" s="996">
        <v>-6.5208000000000013</v>
      </c>
      <c r="IQ51" s="1006"/>
      <c r="IR51" s="996">
        <v>0</v>
      </c>
      <c r="IS51" s="1006"/>
      <c r="IT51" s="996">
        <v>0</v>
      </c>
      <c r="IU51" s="1006"/>
      <c r="IV51" s="996">
        <v>0</v>
      </c>
      <c r="IW51" s="1006"/>
      <c r="IX51" s="996">
        <v>0</v>
      </c>
      <c r="IY51" s="1006" t="s">
        <v>204</v>
      </c>
      <c r="IZ51" s="996">
        <v>6.27</v>
      </c>
      <c r="JA51" s="1006"/>
      <c r="JB51" s="996">
        <v>0</v>
      </c>
      <c r="JC51" s="1006"/>
      <c r="JD51" s="996">
        <v>0</v>
      </c>
      <c r="JE51" s="1006"/>
      <c r="JF51" s="996">
        <v>0</v>
      </c>
      <c r="JG51" s="1006"/>
      <c r="JH51" s="996">
        <v>0</v>
      </c>
      <c r="JI51" s="1006"/>
      <c r="JJ51" s="996">
        <v>0</v>
      </c>
      <c r="JK51" s="1007" t="s">
        <v>204</v>
      </c>
      <c r="JL51" s="1007">
        <v>-7.9419999999999984</v>
      </c>
      <c r="JM51" s="1007" t="s">
        <v>204</v>
      </c>
      <c r="JN51" s="1007">
        <v>-3.1433599999999977</v>
      </c>
      <c r="JO51" s="1008" t="s">
        <v>204</v>
      </c>
      <c r="JP51" s="1007">
        <v>10.179971999999998</v>
      </c>
      <c r="JQ51" s="1008">
        <v>0</v>
      </c>
      <c r="JR51" s="1007">
        <v>0.48738799999999927</v>
      </c>
      <c r="JS51" s="1008" t="s">
        <v>199</v>
      </c>
      <c r="JT51" s="1007">
        <v>3.3440000000000003</v>
      </c>
      <c r="JU51" s="1008" t="s">
        <v>199</v>
      </c>
      <c r="JV51" s="1007">
        <v>-2.508</v>
      </c>
      <c r="JW51" s="1008" t="s">
        <v>199</v>
      </c>
      <c r="JX51" s="1007">
        <v>-4.7484799999999989</v>
      </c>
      <c r="JY51" s="1008" t="s">
        <v>204</v>
      </c>
      <c r="JZ51" s="1007">
        <v>-5.9356000000000027</v>
      </c>
      <c r="KA51" s="1008"/>
      <c r="KB51" s="1007">
        <v>0</v>
      </c>
      <c r="KC51" s="1008" t="s">
        <v>207</v>
      </c>
      <c r="KD51" s="1007">
        <v>7.5361220000000024</v>
      </c>
      <c r="KE51" s="1008" t="s">
        <v>206</v>
      </c>
      <c r="KF51" s="1007">
        <v>4.2963043199999991</v>
      </c>
      <c r="KG51" s="1008"/>
      <c r="KH51" s="1007">
        <v>0</v>
      </c>
      <c r="KI51" s="1008" t="s">
        <v>207</v>
      </c>
      <c r="KJ51" s="1007">
        <v>-4.6185271439999998</v>
      </c>
      <c r="KK51" s="1008"/>
      <c r="KL51" s="1007">
        <v>0</v>
      </c>
      <c r="KM51" s="1008" t="s">
        <v>25</v>
      </c>
      <c r="KN51" s="1007">
        <v>3.5019488239999994</v>
      </c>
      <c r="KO51" s="1008" t="s">
        <v>206</v>
      </c>
      <c r="KP51" s="1007">
        <v>-1.6656464</v>
      </c>
      <c r="KQ51" s="1008">
        <v>0</v>
      </c>
      <c r="KR51" s="1007">
        <v>0</v>
      </c>
      <c r="KS51" s="1008" t="s">
        <v>207</v>
      </c>
      <c r="KT51" s="1007">
        <v>2.9148812</v>
      </c>
      <c r="KU51" s="1008" t="s">
        <v>199</v>
      </c>
      <c r="KV51" s="1007">
        <v>-3.2480104799999996</v>
      </c>
      <c r="KW51" s="1008">
        <v>0</v>
      </c>
      <c r="KX51" s="1007">
        <v>0</v>
      </c>
      <c r="KY51" s="1008" t="s">
        <v>206</v>
      </c>
      <c r="KZ51" s="1007">
        <v>-0.49969392000000035</v>
      </c>
      <c r="LA51" s="1008" t="s">
        <v>206</v>
      </c>
      <c r="LB51" s="1007">
        <v>-1.2492348</v>
      </c>
      <c r="LC51" s="1008" t="s">
        <v>204</v>
      </c>
      <c r="LD51" s="1007">
        <v>2.082058</v>
      </c>
      <c r="LE51" s="1008">
        <v>0</v>
      </c>
      <c r="LF51" s="1007">
        <v>0</v>
      </c>
      <c r="LG51" s="1008">
        <v>0</v>
      </c>
      <c r="LH51" s="1007">
        <v>0</v>
      </c>
      <c r="LI51" s="1008">
        <v>0</v>
      </c>
      <c r="LJ51" s="1007">
        <v>0</v>
      </c>
      <c r="LK51" s="1008" t="s">
        <v>206</v>
      </c>
      <c r="LL51" s="1007">
        <v>-1.6656464</v>
      </c>
      <c r="LM51" s="1008" t="s">
        <v>240</v>
      </c>
      <c r="LN51" s="1007">
        <v>-1.49908</v>
      </c>
      <c r="LO51" s="1008">
        <v>0</v>
      </c>
      <c r="LP51" s="1007">
        <v>0.26748655999999998</v>
      </c>
      <c r="LQ51" s="1008">
        <v>0</v>
      </c>
      <c r="LR51" s="1007">
        <v>0</v>
      </c>
      <c r="LS51" s="1008" t="s">
        <v>206</v>
      </c>
      <c r="LT51" s="1007">
        <v>2.859119999999999</v>
      </c>
      <c r="LU51" s="1008" t="s">
        <v>25</v>
      </c>
      <c r="LV51" s="1007">
        <v>5.1277679999999997</v>
      </c>
      <c r="LW51" s="1008">
        <v>0</v>
      </c>
      <c r="LX51" s="1007">
        <v>0</v>
      </c>
      <c r="LY51" s="1009">
        <v>0</v>
      </c>
      <c r="LZ51" s="1010">
        <v>-0.91172799999998999</v>
      </c>
      <c r="MA51" s="1011" t="s">
        <v>207</v>
      </c>
      <c r="MB51" s="1012">
        <v>2.3361184000000002</v>
      </c>
      <c r="MC51" s="995"/>
      <c r="MD51" s="996"/>
      <c r="ME51" s="997" t="s">
        <v>238</v>
      </c>
      <c r="MF51" s="997"/>
      <c r="MG51" s="998"/>
      <c r="NR51" s="1000"/>
      <c r="NS51" s="1000"/>
      <c r="NT51" s="1001"/>
      <c r="NU51" s="1000"/>
      <c r="NV51" s="1001"/>
      <c r="NX51" s="1002"/>
      <c r="NZ51" s="1001"/>
      <c r="OA51" s="1001"/>
      <c r="OC51" s="1003"/>
      <c r="OD51" s="1003"/>
      <c r="OE51" s="1001"/>
      <c r="OF51" s="1003"/>
      <c r="OG51" s="1003"/>
      <c r="OH51" s="1003"/>
      <c r="OI51" s="1016"/>
      <c r="QX51" s="1000">
        <f t="shared" si="51"/>
        <v>17</v>
      </c>
      <c r="ASU51" s="999" t="s">
        <v>208</v>
      </c>
    </row>
    <row r="52" spans="1:1191" ht="21" customHeight="1" x14ac:dyDescent="0.25">
      <c r="A52" s="982" t="str">
        <f t="shared" si="0"/>
        <v>28-1</v>
      </c>
      <c r="B52" s="124">
        <f>SUBTOTAL(103,$J$29:J52)</f>
        <v>24</v>
      </c>
      <c r="C52" s="126">
        <v>45096</v>
      </c>
      <c r="D52" s="124" t="s">
        <v>176</v>
      </c>
      <c r="E52" s="127" t="s">
        <v>177</v>
      </c>
      <c r="F52" s="128" t="s">
        <v>177</v>
      </c>
      <c r="G52" s="127" t="s">
        <v>178</v>
      </c>
      <c r="H52" s="127" t="s">
        <v>226</v>
      </c>
      <c r="I52" s="127" t="s">
        <v>381</v>
      </c>
      <c r="J52" s="152" t="s">
        <v>382</v>
      </c>
      <c r="K52" s="127" t="s">
        <v>383</v>
      </c>
      <c r="L52" s="130">
        <v>35024</v>
      </c>
      <c r="M52" s="127" t="s">
        <v>230</v>
      </c>
      <c r="N52" s="127" t="s">
        <v>245</v>
      </c>
      <c r="O52" s="127" t="s">
        <v>185</v>
      </c>
      <c r="P52" s="127" t="s">
        <v>208</v>
      </c>
      <c r="Q52" s="85" t="str">
        <f t="shared" si="40"/>
        <v/>
      </c>
      <c r="R52" s="130"/>
      <c r="S52" s="128" t="s">
        <v>156</v>
      </c>
      <c r="T52" s="131"/>
      <c r="U52" s="132">
        <v>203</v>
      </c>
      <c r="V52" s="121">
        <v>218.2</v>
      </c>
      <c r="W52" s="116">
        <v>0.98</v>
      </c>
      <c r="X52" s="116">
        <v>1.66</v>
      </c>
      <c r="Y52" s="116">
        <f t="shared" si="41"/>
        <v>0.98</v>
      </c>
      <c r="Z52" s="133">
        <v>1.454</v>
      </c>
      <c r="AA52" s="133">
        <v>0.83599999999999997</v>
      </c>
      <c r="AB52" s="133">
        <v>0.72</v>
      </c>
      <c r="AC52" s="121">
        <v>34.299999999999997</v>
      </c>
      <c r="AD52" s="134">
        <v>1.17</v>
      </c>
      <c r="AE52" s="124" t="s">
        <v>356</v>
      </c>
      <c r="AF52" s="128" t="s">
        <v>384</v>
      </c>
      <c r="AG52" s="128" t="s">
        <v>385</v>
      </c>
      <c r="AH52" s="127">
        <v>2550</v>
      </c>
      <c r="AI52" s="127">
        <v>2550</v>
      </c>
      <c r="AJ52" s="135"/>
      <c r="AK52" s="128"/>
      <c r="AL52" s="131"/>
      <c r="AM52" s="124" t="s">
        <v>232</v>
      </c>
      <c r="AN52" s="136" t="s">
        <v>386</v>
      </c>
      <c r="AO52" s="137">
        <v>107.03</v>
      </c>
      <c r="AP52" s="128">
        <v>1860</v>
      </c>
      <c r="AQ52" s="128">
        <v>14.72</v>
      </c>
      <c r="AR52" s="128"/>
      <c r="AS52" s="128"/>
      <c r="AT52" s="122"/>
      <c r="AU52" s="124" t="s">
        <v>189</v>
      </c>
      <c r="AV52" s="115">
        <f>VLOOKUP(J52,'[63]ТР нефть'!$J$28:$BP$638,39,0)</f>
        <v>649.99998984399997</v>
      </c>
      <c r="AW52" s="115" t="str">
        <f>VLOOKUP(J52,'[63]ТР нефть'!$J$28:$BP$638,40,0)</f>
        <v>ГП</v>
      </c>
      <c r="AX52" s="115">
        <f>VLOOKUP(J52,'[63]ТР нефть'!$J$28:$BP$638,41,0)</f>
        <v>1149.9999820309999</v>
      </c>
      <c r="AY52" s="115" t="str">
        <f>VLOOKUP(J52,'[63]ТР нефть'!$J$28:$BP$638,42,0)</f>
        <v>ГК 89 1/8</v>
      </c>
      <c r="AZ52" s="115">
        <f>VLOOKUP(J52,'[63]ТР нефть'!$J$28:$BP$638,43,0)</f>
        <v>1569.9999457030001</v>
      </c>
      <c r="BA52" s="115" t="str">
        <f>VLOOKUP(J52,'[63]ТР нефть'!$J$28:$BP$638,44,0)</f>
        <v>ЦКсОК 5/16</v>
      </c>
      <c r="BB52" s="115" t="str">
        <f>VLOOKUP(J52,'[63]ТР нефть'!$J$28:$BP$638,45,0)</f>
        <v>-</v>
      </c>
      <c r="BC52" s="115" t="str">
        <f>VLOOKUP(J52,'[63]ТР нефть'!$J$28:$BP$638,46,0)</f>
        <v>-</v>
      </c>
      <c r="BD52" s="115" t="str">
        <f>VLOOKUP(J52,'[63]ТР нефть'!$J$28:$BP$638,47,0)</f>
        <v>-</v>
      </c>
      <c r="BE52" s="115" t="str">
        <f>VLOOKUP(J52,'[63]ТР нефть'!$J$28:$BP$638,48,0)</f>
        <v>-</v>
      </c>
      <c r="BF52" s="115" t="str">
        <f>VLOOKUP(J52,'[63]ТР нефть'!$J$28:$BP$638,49,0)</f>
        <v>-</v>
      </c>
      <c r="BG52" s="115" t="str">
        <f>VLOOKUP(J52,'[63]ТР нефть'!$J$28:$BP$638,50,0)</f>
        <v>-</v>
      </c>
      <c r="BH52" s="115">
        <f>VLOOKUP(J52,'[63]ТР нефть'!$J$28:$BP$638,51,0)</f>
        <v>1590</v>
      </c>
      <c r="BI52" s="115" t="str">
        <f>VLOOKUP(J52,'[63]ТР нефть'!$J$28:$BP$638,52,0)</f>
        <v>закрыт</v>
      </c>
      <c r="BJ52" s="115" t="str">
        <f>IF(IFERROR(VLOOKUP(J52,'[63]ТР нефть'!$J$28:$BP$638,53,0),"-")=0,"-",IFERROR(VLOOKUP(J52,'[63]ТР нефть'!$J$28:$BP$638,53,0),"-"))</f>
        <v>-</v>
      </c>
      <c r="BK52" s="138" t="str">
        <f>IF(IFERROR(VLOOKUP(J52,'[63]ТР нефть'!$J$28:$BP$638,54,0),"-")=0,"-",IFERROR(VLOOKUP(J52,'[63]ТР нефть'!$J$28:$BP$638,54,0),"-"))</f>
        <v>-</v>
      </c>
      <c r="BL52" s="138" t="str">
        <f>IF(IFERROR(VLOOKUP(J52,'[63]ТР нефть'!$J$28:$BP$638,55,0),"-")=0,"-",IFERROR(VLOOKUP(J52,'[63]ТР нефть'!$J$28:$BP$638,55,0),"-"))</f>
        <v>-</v>
      </c>
      <c r="BM52" s="138" t="str">
        <f>IF(IFERROR(VLOOKUP(J52,'[63]ТР нефть'!$J$28:$BP$638,56,0),"-")=0,"-",IFERROR(VLOOKUP(J52,'[63]ТР нефть'!$J$28:$BP$638,56,0),"-"))</f>
        <v>-</v>
      </c>
      <c r="BN52" s="138" t="str">
        <f>IF(IFERROR(VLOOKUP(J52,'[63]ТР нефть'!$J$28:$BP$638,57,0),"-")=0,"-",IFERROR(VLOOKUP(J52,'[63]ТР нефть'!$J$28:$BP$638,57,0),"-"))</f>
        <v>-</v>
      </c>
      <c r="BO52" s="115" t="str">
        <f>IF(IFERROR(VLOOKUP(J52,'[63]ТР нефть'!$J$28:$BP$638,58,0),"-")=0,"-",IFERROR(VLOOKUP(J52,'[63]ТР нефть'!$J$28:$BP$638,58,0),"-"))</f>
        <v>-</v>
      </c>
      <c r="BP52" s="115" t="str">
        <f>IF(IFERROR(VLOOKUP(J52,'[63]ТР нефть'!$J$28:$BP$638,59,0),"-")=0,"-",IFERROR(VLOOKUP(J52,'[63]ТР нефть'!$J$28:$BP$638,59,0),"-"))</f>
        <v>-</v>
      </c>
      <c r="BQ52" s="138">
        <v>1658.96</v>
      </c>
      <c r="BR52" s="128">
        <v>1656</v>
      </c>
      <c r="BS52" s="115">
        <f t="shared" si="2"/>
        <v>2.9600000000000364</v>
      </c>
      <c r="BT52" s="128">
        <v>73</v>
      </c>
      <c r="BU52" s="128">
        <v>5.5</v>
      </c>
      <c r="BV52" s="127">
        <v>18</v>
      </c>
      <c r="BW52" s="127" t="s">
        <v>234</v>
      </c>
      <c r="BX52" s="127" t="s">
        <v>195</v>
      </c>
      <c r="BY52" s="139">
        <v>24</v>
      </c>
      <c r="BZ52" s="139">
        <v>0</v>
      </c>
      <c r="CA52" s="80">
        <v>17</v>
      </c>
      <c r="CB52" s="138">
        <v>34</v>
      </c>
      <c r="CC52" s="138">
        <v>16</v>
      </c>
      <c r="CD52" s="135">
        <v>45017</v>
      </c>
      <c r="CE52" s="138">
        <v>119</v>
      </c>
      <c r="CF52" s="138">
        <v>82</v>
      </c>
      <c r="CG52" s="138" t="str">
        <f t="shared" si="3"/>
        <v/>
      </c>
      <c r="CH52" s="138" t="s">
        <v>197</v>
      </c>
      <c r="CI52" s="138">
        <v>5</v>
      </c>
      <c r="CJ52" s="139"/>
      <c r="CK52" s="138"/>
      <c r="CL52" s="99"/>
      <c r="CM52" s="99"/>
      <c r="CN52" s="140">
        <v>40</v>
      </c>
      <c r="CO52" s="141">
        <f t="shared" si="4"/>
        <v>7.7747999999999999</v>
      </c>
      <c r="CP52" s="142">
        <v>9.3000000000000007</v>
      </c>
      <c r="CQ52" s="143">
        <v>0</v>
      </c>
      <c r="CR52" s="138">
        <v>11.3</v>
      </c>
      <c r="CS52" s="139">
        <v>10.199999999999999</v>
      </c>
      <c r="CT52" s="138"/>
      <c r="CU52" s="138">
        <f t="shared" si="5"/>
        <v>1.1000000000000014</v>
      </c>
      <c r="CV52" s="115">
        <f t="shared" si="6"/>
        <v>141.48273910582927</v>
      </c>
      <c r="CW52" s="115">
        <f t="shared" si="7"/>
        <v>1311.9308535267789</v>
      </c>
      <c r="CX52" s="133">
        <f t="shared" si="8"/>
        <v>0.11772151898734177</v>
      </c>
      <c r="CY52" s="116"/>
      <c r="CZ52" s="131"/>
      <c r="DA52" s="145" t="str">
        <f t="shared" si="9"/>
        <v>Газлифт</v>
      </c>
      <c r="DB52" s="146">
        <f t="shared" si="10"/>
        <v>7.7747999999999999</v>
      </c>
      <c r="DC52" s="142">
        <f t="shared" si="11"/>
        <v>9.3000000000000007</v>
      </c>
      <c r="DD52" s="119">
        <f t="shared" si="12"/>
        <v>0</v>
      </c>
      <c r="DE52" s="115">
        <f t="shared" si="13"/>
        <v>1.1000000000000014</v>
      </c>
      <c r="DF52" s="121">
        <f t="shared" si="14"/>
        <v>10.199999999999999</v>
      </c>
      <c r="DG52" s="115">
        <f t="shared" si="15"/>
        <v>141.48273910582927</v>
      </c>
      <c r="DH52" s="115">
        <f t="shared" si="16"/>
        <v>40</v>
      </c>
      <c r="DI52" s="147"/>
      <c r="DJ52" s="111" t="s">
        <v>197</v>
      </c>
      <c r="DK52" s="112">
        <v>42370</v>
      </c>
      <c r="DL52" s="113">
        <f t="shared" ca="1" si="42"/>
        <v>2734</v>
      </c>
      <c r="DM52" s="114"/>
      <c r="DN52" s="114"/>
      <c r="DO52" s="114"/>
      <c r="DP52" s="114"/>
      <c r="DQ52" s="112">
        <v>43888</v>
      </c>
      <c r="DR52" s="114" t="s">
        <v>198</v>
      </c>
      <c r="DS52" s="114"/>
      <c r="DT52" s="115">
        <v>39</v>
      </c>
      <c r="DU52" s="116">
        <f t="shared" si="43"/>
        <v>0.11709782882052142</v>
      </c>
      <c r="DV52" s="117">
        <f t="shared" si="44"/>
        <v>7.8315027915164723</v>
      </c>
      <c r="DW52" s="118">
        <f t="shared" si="45"/>
        <v>9.3678263056417137</v>
      </c>
      <c r="DX52" s="119">
        <f t="shared" si="21"/>
        <v>0</v>
      </c>
      <c r="DY52" s="115">
        <f t="shared" si="46"/>
        <v>1.1080224662586986</v>
      </c>
      <c r="DZ52" s="117">
        <f t="shared" si="47"/>
        <v>5.6702791516472395E-2</v>
      </c>
      <c r="EA52" s="120">
        <f t="shared" si="47"/>
        <v>6.7826305641712992E-2</v>
      </c>
      <c r="EB52" s="119">
        <f t="shared" si="47"/>
        <v>0</v>
      </c>
      <c r="EC52" s="121">
        <f t="shared" si="48"/>
        <v>8.0224662586971807E-3</v>
      </c>
      <c r="ED52" s="122"/>
      <c r="EE52" s="145">
        <v>18</v>
      </c>
      <c r="EF52" s="148">
        <v>17</v>
      </c>
      <c r="EG52" s="115">
        <v>34</v>
      </c>
      <c r="EH52" s="115">
        <v>16</v>
      </c>
      <c r="EI52" s="128" t="s">
        <v>195</v>
      </c>
      <c r="EJ52" s="121">
        <v>24</v>
      </c>
      <c r="EK52" s="121">
        <v>0</v>
      </c>
      <c r="EL52" s="149">
        <v>7.7747999999999999</v>
      </c>
      <c r="EM52" s="142">
        <v>9.3000000000000007</v>
      </c>
      <c r="EN52" s="119">
        <v>0</v>
      </c>
      <c r="EO52" s="115">
        <v>11.3</v>
      </c>
      <c r="EP52" s="115">
        <v>141.48273910582927</v>
      </c>
      <c r="EQ52" s="115">
        <v>82</v>
      </c>
      <c r="ER52" s="115">
        <v>10.199999999999999</v>
      </c>
      <c r="ES52" s="115">
        <v>40</v>
      </c>
      <c r="ET52" s="150">
        <v>0.11772151898734177</v>
      </c>
      <c r="EU52" s="145">
        <f t="shared" si="25"/>
        <v>18</v>
      </c>
      <c r="EV52" s="115">
        <f t="shared" si="26"/>
        <v>17</v>
      </c>
      <c r="EW52" s="115">
        <f t="shared" si="26"/>
        <v>34</v>
      </c>
      <c r="EX52" s="115">
        <f t="shared" si="26"/>
        <v>16</v>
      </c>
      <c r="EY52" s="115" t="str">
        <f t="shared" si="27"/>
        <v>Постоянный</v>
      </c>
      <c r="EZ52" s="115">
        <f t="shared" si="27"/>
        <v>24</v>
      </c>
      <c r="FA52" s="115">
        <f t="shared" si="27"/>
        <v>0</v>
      </c>
      <c r="FB52" s="149">
        <f t="shared" si="28"/>
        <v>7.7747999999999999</v>
      </c>
      <c r="FC52" s="142">
        <f t="shared" si="28"/>
        <v>9.3000000000000007</v>
      </c>
      <c r="FD52" s="119">
        <f t="shared" si="28"/>
        <v>0</v>
      </c>
      <c r="FE52" s="121">
        <f t="shared" si="28"/>
        <v>11.3</v>
      </c>
      <c r="FF52" s="121">
        <f t="shared" si="49"/>
        <v>141.48273910582927</v>
      </c>
      <c r="FG52" s="121">
        <f t="shared" si="30"/>
        <v>82</v>
      </c>
      <c r="FH52" s="121">
        <f t="shared" si="50"/>
        <v>10.199999999999999</v>
      </c>
      <c r="FI52" s="121">
        <f t="shared" si="32"/>
        <v>40</v>
      </c>
      <c r="FJ52" s="144">
        <f t="shared" si="33"/>
        <v>0.11772151898734177</v>
      </c>
      <c r="FK52" s="132">
        <f t="shared" si="34"/>
        <v>0</v>
      </c>
      <c r="FL52" s="115">
        <f t="shared" si="34"/>
        <v>0</v>
      </c>
      <c r="FM52" s="115">
        <f t="shared" si="34"/>
        <v>0</v>
      </c>
      <c r="FN52" s="115">
        <f t="shared" si="34"/>
        <v>0</v>
      </c>
      <c r="FO52" s="115">
        <f t="shared" si="35"/>
        <v>0</v>
      </c>
      <c r="FP52" s="115">
        <f t="shared" si="35"/>
        <v>0</v>
      </c>
      <c r="FQ52" s="149">
        <f>FB52-EL52</f>
        <v>0</v>
      </c>
      <c r="FR52" s="142">
        <f t="shared" si="35"/>
        <v>0</v>
      </c>
      <c r="FS52" s="119">
        <f t="shared" si="35"/>
        <v>0</v>
      </c>
      <c r="FT52" s="121">
        <f t="shared" si="35"/>
        <v>0</v>
      </c>
      <c r="FU52" s="121">
        <f t="shared" si="36"/>
        <v>0</v>
      </c>
      <c r="FV52" s="121">
        <f t="shared" si="36"/>
        <v>0</v>
      </c>
      <c r="FW52" s="121">
        <f t="shared" si="37"/>
        <v>0</v>
      </c>
      <c r="FX52" s="121">
        <f t="shared" si="38"/>
        <v>0</v>
      </c>
      <c r="FY52" s="144">
        <f t="shared" si="38"/>
        <v>0</v>
      </c>
      <c r="FZ52" s="145"/>
      <c r="GA52" s="151" t="s">
        <v>387</v>
      </c>
      <c r="GB52" s="145" t="s">
        <v>199</v>
      </c>
      <c r="GC52" s="151" t="s">
        <v>304</v>
      </c>
      <c r="GD52" s="997" t="s">
        <v>238</v>
      </c>
      <c r="GE52" s="1004" t="s">
        <v>199</v>
      </c>
      <c r="GF52" s="1004">
        <v>-2.1167520000000009</v>
      </c>
      <c r="GG52" s="1004" t="s">
        <v>199</v>
      </c>
      <c r="GH52" s="1004">
        <v>5.0586360000000008</v>
      </c>
      <c r="GI52" s="145"/>
      <c r="GJ52" s="996">
        <v>0</v>
      </c>
      <c r="GK52" s="145"/>
      <c r="GL52" s="996">
        <v>-0.30560314399999999</v>
      </c>
      <c r="GM52" s="1005" t="s">
        <v>240</v>
      </c>
      <c r="GN52" s="996">
        <v>-5.2296384624000005</v>
      </c>
      <c r="GO52" s="1006" t="s">
        <v>25</v>
      </c>
      <c r="GP52" s="996">
        <v>0.89794960640000099</v>
      </c>
      <c r="GQ52" s="1006"/>
      <c r="GR52" s="996">
        <v>0</v>
      </c>
      <c r="GS52" s="1006"/>
      <c r="GT52" s="996">
        <v>-0.56179200000000051</v>
      </c>
      <c r="GU52" s="1006"/>
      <c r="GV52" s="996">
        <v>0</v>
      </c>
      <c r="GW52" s="1006"/>
      <c r="GX52" s="997">
        <v>-0.30952064000000057</v>
      </c>
      <c r="GY52" s="1006"/>
      <c r="GZ52" s="996">
        <v>-0.14467815999999978</v>
      </c>
      <c r="HA52" s="1006"/>
      <c r="HB52" s="996">
        <v>0</v>
      </c>
      <c r="HC52" s="1006" t="s">
        <v>199</v>
      </c>
      <c r="HD52" s="996">
        <v>3.6035905400000008</v>
      </c>
      <c r="HE52" s="1006"/>
      <c r="HF52" s="996">
        <v>0</v>
      </c>
      <c r="HG52" s="1006" t="s">
        <v>199</v>
      </c>
      <c r="HH52" s="996">
        <v>-1.9391145400000003</v>
      </c>
      <c r="HI52" s="1006"/>
      <c r="HJ52" s="996">
        <v>-3.9877199999999391E-2</v>
      </c>
      <c r="HK52" s="1006"/>
      <c r="HL52" s="996">
        <v>0</v>
      </c>
      <c r="HM52" s="1006"/>
      <c r="HN52" s="996">
        <v>0</v>
      </c>
      <c r="HO52" s="1006"/>
      <c r="HP52" s="996">
        <v>-0.49223679999999881</v>
      </c>
      <c r="HQ52" s="1006"/>
      <c r="HR52" s="996">
        <v>0</v>
      </c>
      <c r="HS52" s="1006"/>
      <c r="HT52" s="996">
        <v>-0.83516400000000068</v>
      </c>
      <c r="HU52" s="1006"/>
      <c r="HV52" s="996">
        <v>-0.67899920000000158</v>
      </c>
      <c r="HW52" s="1006"/>
      <c r="HX52" s="996">
        <v>0</v>
      </c>
      <c r="HY52" s="1006" t="s">
        <v>204</v>
      </c>
      <c r="HZ52" s="996">
        <v>-1.3961199999999998</v>
      </c>
      <c r="IA52" s="1006"/>
      <c r="IB52" s="996">
        <v>0</v>
      </c>
      <c r="IC52" s="1006"/>
      <c r="ID52" s="996">
        <v>0</v>
      </c>
      <c r="IE52" s="1006" t="s">
        <v>199</v>
      </c>
      <c r="IF52" s="996">
        <v>0</v>
      </c>
      <c r="IG52" s="1006" t="s">
        <v>204</v>
      </c>
      <c r="IH52" s="996">
        <v>1.7987376000000008</v>
      </c>
      <c r="II52" s="1006"/>
      <c r="IJ52" s="996">
        <v>0</v>
      </c>
      <c r="IK52" s="1006" t="s">
        <v>199</v>
      </c>
      <c r="IL52" s="996">
        <v>8.5468125599999993</v>
      </c>
      <c r="IM52" s="1006" t="s">
        <v>199</v>
      </c>
      <c r="IN52" s="996">
        <v>-5.8900094088000001</v>
      </c>
      <c r="IO52" s="1006" t="s">
        <v>199</v>
      </c>
      <c r="IP52" s="996">
        <v>2.1379541303999998</v>
      </c>
      <c r="IQ52" s="1006" t="s">
        <v>199</v>
      </c>
      <c r="IR52" s="996">
        <v>-3.3202539215999991</v>
      </c>
      <c r="IS52" s="1006"/>
      <c r="IT52" s="996">
        <v>0</v>
      </c>
      <c r="IU52" s="1006"/>
      <c r="IV52" s="996">
        <v>0</v>
      </c>
      <c r="IW52" s="1006"/>
      <c r="IX52" s="996">
        <v>0</v>
      </c>
      <c r="IY52" s="1006" t="s">
        <v>204</v>
      </c>
      <c r="IZ52" s="996">
        <v>-1.7684409599999995</v>
      </c>
      <c r="JA52" s="1006" t="s">
        <v>204</v>
      </c>
      <c r="JB52" s="996">
        <v>1.9863359999999997</v>
      </c>
      <c r="JC52" s="1006"/>
      <c r="JD52" s="996">
        <v>0</v>
      </c>
      <c r="JE52" s="1006" t="s">
        <v>204</v>
      </c>
      <c r="JF52" s="996">
        <v>3.9849712319999995</v>
      </c>
      <c r="JG52" s="1006"/>
      <c r="JH52" s="996">
        <v>0</v>
      </c>
      <c r="JI52" s="1006" t="s">
        <v>223</v>
      </c>
      <c r="JJ52" s="996">
        <v>-5.2439872320000003</v>
      </c>
      <c r="JK52" s="1007"/>
      <c r="JL52" s="1007">
        <v>0</v>
      </c>
      <c r="JM52" s="1007"/>
      <c r="JN52" s="1007">
        <v>0</v>
      </c>
      <c r="JO52" s="1008" t="s">
        <v>199</v>
      </c>
      <c r="JP52" s="1007">
        <v>-3.2603999999999989</v>
      </c>
      <c r="JQ52" s="1008">
        <v>0</v>
      </c>
      <c r="JR52" s="1007">
        <v>0</v>
      </c>
      <c r="JS52" s="1008" t="s">
        <v>223</v>
      </c>
      <c r="JT52" s="1007">
        <v>3.2603999999999989</v>
      </c>
      <c r="JU52" s="1008" t="s">
        <v>240</v>
      </c>
      <c r="JV52" s="1007">
        <v>-3.3439999999999994</v>
      </c>
      <c r="JW52" s="1008" t="s">
        <v>197</v>
      </c>
      <c r="JX52" s="1007">
        <v>0</v>
      </c>
      <c r="JY52" s="1008" t="s">
        <v>204</v>
      </c>
      <c r="JZ52" s="1007">
        <v>2.4244000000000003</v>
      </c>
      <c r="KA52" s="1008"/>
      <c r="KB52" s="1007">
        <v>0</v>
      </c>
      <c r="KC52" s="1008"/>
      <c r="KD52" s="1007">
        <v>0</v>
      </c>
      <c r="KE52" s="1008"/>
      <c r="KF52" s="1007">
        <v>-3.3005280000001136E-2</v>
      </c>
      <c r="KG52" s="1008" t="s">
        <v>207</v>
      </c>
      <c r="KH52" s="1007">
        <v>1.7959620800000007</v>
      </c>
      <c r="KI52" s="1008" t="s">
        <v>207</v>
      </c>
      <c r="KJ52" s="1007">
        <v>-4.8532742719999984</v>
      </c>
      <c r="KK52" s="1008"/>
      <c r="KL52" s="1007">
        <v>0</v>
      </c>
      <c r="KM52" s="1008"/>
      <c r="KN52" s="1007">
        <v>3.191747199999817E-2</v>
      </c>
      <c r="KO52" s="1008"/>
      <c r="KP52" s="1007">
        <v>0</v>
      </c>
      <c r="KQ52" s="1008" t="s">
        <v>240</v>
      </c>
      <c r="KR52" s="1007">
        <v>-0.79670799999999886</v>
      </c>
      <c r="KS52" s="1008" t="s">
        <v>206</v>
      </c>
      <c r="KT52" s="1007">
        <v>0.65207999999999977</v>
      </c>
      <c r="KU52" s="1008">
        <v>0</v>
      </c>
      <c r="KV52" s="1007">
        <v>0</v>
      </c>
      <c r="KW52" s="1008" t="s">
        <v>240</v>
      </c>
      <c r="KX52" s="1007">
        <v>-0.8360000000000003</v>
      </c>
      <c r="KY52" s="1008" t="s">
        <v>206</v>
      </c>
      <c r="KZ52" s="1007">
        <v>-1.0449999999999999</v>
      </c>
      <c r="LA52" s="1008">
        <v>0</v>
      </c>
      <c r="LB52" s="1007">
        <v>0</v>
      </c>
      <c r="LC52" s="1008">
        <v>0</v>
      </c>
      <c r="LD52" s="1007">
        <v>0</v>
      </c>
      <c r="LE52" s="1008">
        <v>0</v>
      </c>
      <c r="LF52" s="1007">
        <v>0</v>
      </c>
      <c r="LG52" s="1008">
        <v>0</v>
      </c>
      <c r="LH52" s="1007">
        <v>0</v>
      </c>
      <c r="LI52" s="1008">
        <v>0</v>
      </c>
      <c r="LJ52" s="1007">
        <v>0</v>
      </c>
      <c r="LK52" s="1008" t="s">
        <v>240</v>
      </c>
      <c r="LL52" s="1007">
        <v>2.8674799999999996</v>
      </c>
      <c r="LM52" s="1008" t="s">
        <v>240</v>
      </c>
      <c r="LN52" s="1007">
        <v>-8.0738400000000006</v>
      </c>
      <c r="LO52" s="1008">
        <v>0</v>
      </c>
      <c r="LP52" s="1007">
        <v>0</v>
      </c>
      <c r="LQ52" s="1008">
        <v>0</v>
      </c>
      <c r="LR52" s="1007">
        <v>0</v>
      </c>
      <c r="LS52" s="1008">
        <v>0</v>
      </c>
      <c r="LT52" s="1007">
        <v>-0.87637739999999997</v>
      </c>
      <c r="LU52" s="1008" t="s">
        <v>206</v>
      </c>
      <c r="LV52" s="1007">
        <v>-2.4554966920000005</v>
      </c>
      <c r="LW52" s="1008" t="s">
        <v>206</v>
      </c>
      <c r="LX52" s="1007">
        <v>2.4688163200000002</v>
      </c>
      <c r="LY52" s="1009">
        <v>0</v>
      </c>
      <c r="LZ52" s="1010">
        <v>0</v>
      </c>
      <c r="MA52" s="1011">
        <v>0</v>
      </c>
      <c r="MB52" s="1012">
        <v>0.84436</v>
      </c>
      <c r="MC52" s="995"/>
      <c r="MD52" s="996"/>
      <c r="ME52" s="997" t="s">
        <v>238</v>
      </c>
      <c r="MF52" s="997"/>
      <c r="MG52" s="998"/>
      <c r="NR52" s="1000"/>
      <c r="NS52" s="1000"/>
      <c r="NT52" s="1001"/>
      <c r="NU52" s="1000"/>
      <c r="NV52" s="1001"/>
      <c r="NX52" s="1002"/>
      <c r="NZ52" s="1001"/>
      <c r="OA52" s="1001"/>
      <c r="OC52" s="1003"/>
      <c r="OD52" s="1003"/>
      <c r="OE52" s="1001"/>
      <c r="OF52" s="1003"/>
      <c r="OG52" s="1003"/>
      <c r="QX52" s="1000">
        <f t="shared" si="51"/>
        <v>23</v>
      </c>
      <c r="ASU52" s="999" t="s">
        <v>208</v>
      </c>
    </row>
    <row r="53" spans="1:1191" ht="21" customHeight="1" x14ac:dyDescent="0.25">
      <c r="A53" s="982" t="str">
        <f t="shared" si="0"/>
        <v>29-2</v>
      </c>
      <c r="B53" s="124">
        <f>SUBTOTAL(103,$J$29:J53)</f>
        <v>25</v>
      </c>
      <c r="C53" s="126">
        <v>45096</v>
      </c>
      <c r="D53" s="124" t="s">
        <v>176</v>
      </c>
      <c r="E53" s="127" t="s">
        <v>177</v>
      </c>
      <c r="F53" s="128" t="s">
        <v>177</v>
      </c>
      <c r="G53" s="127" t="s">
        <v>178</v>
      </c>
      <c r="H53" s="127" t="s">
        <v>226</v>
      </c>
      <c r="I53" s="127" t="s">
        <v>316</v>
      </c>
      <c r="J53" s="152" t="s">
        <v>388</v>
      </c>
      <c r="K53" s="127" t="s">
        <v>389</v>
      </c>
      <c r="L53" s="130">
        <v>35298</v>
      </c>
      <c r="M53" s="127" t="s">
        <v>230</v>
      </c>
      <c r="N53" s="127" t="s">
        <v>245</v>
      </c>
      <c r="O53" s="127" t="s">
        <v>185</v>
      </c>
      <c r="P53" s="127" t="s">
        <v>208</v>
      </c>
      <c r="Q53" s="85" t="str">
        <f t="shared" si="40"/>
        <v/>
      </c>
      <c r="R53" s="130"/>
      <c r="S53" s="128" t="s">
        <v>156</v>
      </c>
      <c r="T53" s="131"/>
      <c r="U53" s="132">
        <v>203</v>
      </c>
      <c r="V53" s="121">
        <v>218.2</v>
      </c>
      <c r="W53" s="116">
        <v>0.98</v>
      </c>
      <c r="X53" s="116">
        <v>1.66</v>
      </c>
      <c r="Y53" s="116">
        <f t="shared" si="41"/>
        <v>1.219856028794241</v>
      </c>
      <c r="Z53" s="133">
        <v>1.454</v>
      </c>
      <c r="AA53" s="133">
        <v>0.83599999999999997</v>
      </c>
      <c r="AB53" s="133">
        <v>0.72</v>
      </c>
      <c r="AC53" s="121">
        <v>34.299999999999997</v>
      </c>
      <c r="AD53" s="134">
        <v>1.17</v>
      </c>
      <c r="AE53" s="124" t="s">
        <v>356</v>
      </c>
      <c r="AF53" s="128">
        <v>9.19</v>
      </c>
      <c r="AG53" s="128" t="s">
        <v>390</v>
      </c>
      <c r="AH53" s="127" t="s">
        <v>391</v>
      </c>
      <c r="AI53" s="127" t="s">
        <v>391</v>
      </c>
      <c r="AJ53" s="135"/>
      <c r="AK53" s="128"/>
      <c r="AL53" s="131"/>
      <c r="AM53" s="124" t="s">
        <v>232</v>
      </c>
      <c r="AN53" s="136" t="s">
        <v>392</v>
      </c>
      <c r="AO53" s="137">
        <v>46.6</v>
      </c>
      <c r="AP53" s="128">
        <v>1917</v>
      </c>
      <c r="AQ53" s="128">
        <v>46.3</v>
      </c>
      <c r="AR53" s="128"/>
      <c r="AS53" s="128"/>
      <c r="AT53" s="122"/>
      <c r="AU53" s="124" t="s">
        <v>189</v>
      </c>
      <c r="AV53" s="115">
        <f>VLOOKUP(J53,'[63]ТР нефть'!$J$28:$BP$638,39,0)</f>
        <v>780.99999375000004</v>
      </c>
      <c r="AW53" s="115" t="str">
        <f>VLOOKUP(J53,'[63]ТР нефть'!$J$28:$BP$638,40,0)</f>
        <v>ГК 95 1/8</v>
      </c>
      <c r="AX53" s="115">
        <f>VLOOKUP(J53,'[63]ТР нефть'!$J$28:$BP$638,41,0)</f>
        <v>1338.9999433590001</v>
      </c>
      <c r="AY53" s="115" t="str">
        <f>VLOOKUP(J53,'[63]ТР нефть'!$J$28:$BP$638,42,0)</f>
        <v>ГК 85 1/8</v>
      </c>
      <c r="AZ53" s="115">
        <f>VLOOKUP(J53,'[63]ТР нефть'!$J$28:$BP$638,43,0)</f>
        <v>1768.9999664060001</v>
      </c>
      <c r="BA53" s="115" t="str">
        <f>VLOOKUP(J53,'[63]ТР нефть'!$J$28:$BP$638,44,0)</f>
        <v>ЦКсОК 5/16</v>
      </c>
      <c r="BB53" s="115" t="str">
        <f>VLOOKUP(J53,'[63]ТР нефть'!$J$28:$BP$638,45,0)</f>
        <v>-</v>
      </c>
      <c r="BC53" s="115" t="str">
        <f>VLOOKUP(J53,'[63]ТР нефть'!$J$28:$BP$638,46,0)</f>
        <v>-</v>
      </c>
      <c r="BD53" s="115" t="str">
        <f>VLOOKUP(J53,'[63]ТР нефть'!$J$28:$BP$638,47,0)</f>
        <v>-</v>
      </c>
      <c r="BE53" s="115" t="str">
        <f>VLOOKUP(J53,'[63]ТР нефть'!$J$28:$BP$638,48,0)</f>
        <v>-</v>
      </c>
      <c r="BF53" s="115" t="str">
        <f>VLOOKUP(J53,'[63]ТР нефть'!$J$28:$BP$638,49,0)</f>
        <v>-</v>
      </c>
      <c r="BG53" s="115" t="str">
        <f>VLOOKUP(J53,'[63]ТР нефть'!$J$28:$BP$638,50,0)</f>
        <v>-</v>
      </c>
      <c r="BH53" s="115">
        <f>VLOOKUP(J53,'[63]ТР нефть'!$J$28:$BP$638,51,0)</f>
        <v>1784</v>
      </c>
      <c r="BI53" s="115" t="str">
        <f>VLOOKUP(J53,'[63]ТР нефть'!$J$28:$BP$638,52,0)</f>
        <v>закрыт</v>
      </c>
      <c r="BJ53" s="115" t="str">
        <f>IF(IFERROR(VLOOKUP(J53,'[63]ТР нефть'!$J$28:$BP$638,53,0),"-")=0,"-",IFERROR(VLOOKUP(J53,'[63]ТР нефть'!$J$28:$BP$638,53,0),"-"))</f>
        <v>-</v>
      </c>
      <c r="BK53" s="138" t="str">
        <f>IF(IFERROR(VLOOKUP(J53,'[63]ТР нефть'!$J$28:$BP$638,54,0),"-")=0,"-",IFERROR(VLOOKUP(J53,'[63]ТР нефть'!$J$28:$BP$638,54,0),"-"))</f>
        <v>-</v>
      </c>
      <c r="BL53" s="138" t="str">
        <f>IF(IFERROR(VLOOKUP(J53,'[63]ТР нефть'!$J$28:$BP$638,55,0),"-")=0,"-",IFERROR(VLOOKUP(J53,'[63]ТР нефть'!$J$28:$BP$638,55,0),"-"))</f>
        <v>-</v>
      </c>
      <c r="BM53" s="138" t="str">
        <f>IF(IFERROR(VLOOKUP(J53,'[63]ТР нефть'!$J$28:$BP$638,56,0),"-")=0,"-",IFERROR(VLOOKUP(J53,'[63]ТР нефть'!$J$28:$BP$638,56,0),"-"))</f>
        <v>-</v>
      </c>
      <c r="BN53" s="138" t="str">
        <f>IF(IFERROR(VLOOKUP(J53,'[63]ТР нефть'!$J$28:$BP$638,57,0),"-")=0,"-",IFERROR(VLOOKUP(J53,'[63]ТР нефть'!$J$28:$BP$638,57,0),"-"))</f>
        <v>-</v>
      </c>
      <c r="BO53" s="115" t="str">
        <f>IF(IFERROR(VLOOKUP(J53,'[63]ТР нефть'!$J$28:$BP$638,58,0),"-")=0,"-",IFERROR(VLOOKUP(J53,'[63]ТР нефть'!$J$28:$BP$638,58,0),"-"))</f>
        <v>-</v>
      </c>
      <c r="BP53" s="115" t="str">
        <f>IF(IFERROR(VLOOKUP(J53,'[63]ТР нефть'!$J$28:$BP$638,59,0),"-")=0,"-",IFERROR(VLOOKUP(J53,'[63]ТР нефть'!$J$28:$BP$638,59,0),"-"))</f>
        <v>-</v>
      </c>
      <c r="BQ53" s="138">
        <v>1791</v>
      </c>
      <c r="BR53" s="128">
        <v>1905.5</v>
      </c>
      <c r="BS53" s="115">
        <f t="shared" si="2"/>
        <v>-114.5</v>
      </c>
      <c r="BT53" s="128">
        <v>73</v>
      </c>
      <c r="BU53" s="128">
        <v>5.5</v>
      </c>
      <c r="BV53" s="127">
        <v>18</v>
      </c>
      <c r="BW53" s="127" t="s">
        <v>234</v>
      </c>
      <c r="BX53" s="127" t="s">
        <v>195</v>
      </c>
      <c r="BY53" s="139">
        <v>24</v>
      </c>
      <c r="BZ53" s="139">
        <v>0</v>
      </c>
      <c r="CA53" s="138">
        <v>18</v>
      </c>
      <c r="CB53" s="138">
        <v>46</v>
      </c>
      <c r="CC53" s="138">
        <v>16</v>
      </c>
      <c r="CD53" s="135">
        <v>45017</v>
      </c>
      <c r="CE53" s="138">
        <v>160</v>
      </c>
      <c r="CF53" s="138">
        <v>78</v>
      </c>
      <c r="CG53" s="138" t="str">
        <f t="shared" si="3"/>
        <v>В работе</v>
      </c>
      <c r="CH53" s="138" t="s">
        <v>272</v>
      </c>
      <c r="CI53" s="138">
        <v>6</v>
      </c>
      <c r="CJ53" s="139"/>
      <c r="CK53" s="138"/>
      <c r="CL53" s="99"/>
      <c r="CM53" s="99"/>
      <c r="CN53" s="140">
        <v>55</v>
      </c>
      <c r="CO53" s="141">
        <f t="shared" si="4"/>
        <v>6.0860799999999999</v>
      </c>
      <c r="CP53" s="142">
        <v>14</v>
      </c>
      <c r="CQ53" s="143">
        <v>48</v>
      </c>
      <c r="CR53" s="138">
        <v>13</v>
      </c>
      <c r="CS53" s="139">
        <v>10</v>
      </c>
      <c r="CT53" s="138"/>
      <c r="CU53" s="138">
        <f t="shared" si="5"/>
        <v>3</v>
      </c>
      <c r="CV53" s="115">
        <f t="shared" si="6"/>
        <v>492.92812450707186</v>
      </c>
      <c r="CW53" s="115">
        <f t="shared" si="7"/>
        <v>721.09283060664097</v>
      </c>
      <c r="CX53" s="133">
        <f t="shared" si="8"/>
        <v>0.13333333333333333</v>
      </c>
      <c r="CY53" s="116"/>
      <c r="CZ53" s="131"/>
      <c r="DA53" s="145" t="str">
        <f t="shared" si="9"/>
        <v>Газлифт</v>
      </c>
      <c r="DB53" s="146">
        <f t="shared" si="10"/>
        <v>6.0860799999999999</v>
      </c>
      <c r="DC53" s="142">
        <f t="shared" si="11"/>
        <v>14</v>
      </c>
      <c r="DD53" s="119">
        <f t="shared" si="12"/>
        <v>48</v>
      </c>
      <c r="DE53" s="115">
        <f t="shared" si="13"/>
        <v>3</v>
      </c>
      <c r="DF53" s="121">
        <f t="shared" si="14"/>
        <v>10</v>
      </c>
      <c r="DG53" s="115">
        <f t="shared" si="15"/>
        <v>492.92812450707186</v>
      </c>
      <c r="DH53" s="115">
        <f t="shared" si="16"/>
        <v>55</v>
      </c>
      <c r="DI53" s="147"/>
      <c r="DJ53" s="111" t="s">
        <v>197</v>
      </c>
      <c r="DK53" s="112">
        <v>35298</v>
      </c>
      <c r="DL53" s="113">
        <f t="shared" ca="1" si="42"/>
        <v>9806</v>
      </c>
      <c r="DM53" s="114"/>
      <c r="DN53" s="114"/>
      <c r="DO53" s="114"/>
      <c r="DP53" s="114"/>
      <c r="DQ53" s="112">
        <v>40843</v>
      </c>
      <c r="DR53" s="114" t="s">
        <v>198</v>
      </c>
      <c r="DS53" s="114"/>
      <c r="DT53" s="115">
        <v>34</v>
      </c>
      <c r="DU53" s="116">
        <f t="shared" si="43"/>
        <v>0.12235294117647059</v>
      </c>
      <c r="DV53" s="117">
        <f t="shared" si="44"/>
        <v>6.7018480941176479</v>
      </c>
      <c r="DW53" s="118">
        <f t="shared" si="45"/>
        <v>15.416470588235295</v>
      </c>
      <c r="DX53" s="119">
        <f t="shared" si="21"/>
        <v>48</v>
      </c>
      <c r="DY53" s="115">
        <f t="shared" si="46"/>
        <v>3.3035294117647065</v>
      </c>
      <c r="DZ53" s="117">
        <f t="shared" si="47"/>
        <v>0.61576809411764799</v>
      </c>
      <c r="EA53" s="120">
        <f t="shared" si="47"/>
        <v>1.4164705882352955</v>
      </c>
      <c r="EB53" s="119">
        <f t="shared" si="47"/>
        <v>0</v>
      </c>
      <c r="EC53" s="121">
        <f t="shared" si="48"/>
        <v>0.30352941176470649</v>
      </c>
      <c r="ED53" s="122"/>
      <c r="EE53" s="145">
        <v>18</v>
      </c>
      <c r="EF53" s="115">
        <v>19</v>
      </c>
      <c r="EG53" s="115">
        <v>60</v>
      </c>
      <c r="EH53" s="115">
        <v>18</v>
      </c>
      <c r="EI53" s="128" t="s">
        <v>195</v>
      </c>
      <c r="EJ53" s="121">
        <v>24</v>
      </c>
      <c r="EK53" s="121">
        <v>0</v>
      </c>
      <c r="EL53" s="149">
        <v>19.323</v>
      </c>
      <c r="EM53" s="142">
        <v>23.114000000000001</v>
      </c>
      <c r="EN53" s="119">
        <v>0.23</v>
      </c>
      <c r="EO53" s="115">
        <v>1181.5999999999999</v>
      </c>
      <c r="EP53" s="115">
        <v>1181.5999999999999</v>
      </c>
      <c r="EQ53" s="115">
        <v>78</v>
      </c>
      <c r="ER53" s="115">
        <v>5.8319999999999999</v>
      </c>
      <c r="ES53" s="115">
        <v>66</v>
      </c>
      <c r="ET53" s="150">
        <f>EM53/94</f>
        <v>0.2458936170212766</v>
      </c>
      <c r="EU53" s="145">
        <f t="shared" si="25"/>
        <v>18</v>
      </c>
      <c r="EV53" s="115">
        <f t="shared" si="26"/>
        <v>18</v>
      </c>
      <c r="EW53" s="115">
        <f t="shared" si="26"/>
        <v>46</v>
      </c>
      <c r="EX53" s="115">
        <f t="shared" si="26"/>
        <v>16</v>
      </c>
      <c r="EY53" s="115" t="str">
        <f t="shared" si="27"/>
        <v>Постоянный</v>
      </c>
      <c r="EZ53" s="115">
        <f t="shared" si="27"/>
        <v>24</v>
      </c>
      <c r="FA53" s="115">
        <f t="shared" si="27"/>
        <v>0</v>
      </c>
      <c r="FB53" s="149">
        <f t="shared" si="28"/>
        <v>6.0860799999999999</v>
      </c>
      <c r="FC53" s="142">
        <f t="shared" si="28"/>
        <v>14</v>
      </c>
      <c r="FD53" s="119">
        <f t="shared" si="28"/>
        <v>48</v>
      </c>
      <c r="FE53" s="121">
        <f t="shared" si="28"/>
        <v>13</v>
      </c>
      <c r="FF53" s="121">
        <f t="shared" si="49"/>
        <v>492.92812450707186</v>
      </c>
      <c r="FG53" s="121">
        <f t="shared" si="30"/>
        <v>78</v>
      </c>
      <c r="FH53" s="121">
        <f t="shared" si="50"/>
        <v>10</v>
      </c>
      <c r="FI53" s="121">
        <f t="shared" si="32"/>
        <v>55</v>
      </c>
      <c r="FJ53" s="144">
        <f t="shared" si="33"/>
        <v>0.13333333333333333</v>
      </c>
      <c r="FK53" s="132">
        <f t="shared" si="34"/>
        <v>0</v>
      </c>
      <c r="FL53" s="115">
        <f t="shared" si="34"/>
        <v>-1</v>
      </c>
      <c r="FM53" s="115">
        <f t="shared" si="34"/>
        <v>-14</v>
      </c>
      <c r="FN53" s="115">
        <f t="shared" si="34"/>
        <v>-2</v>
      </c>
      <c r="FO53" s="115">
        <f t="shared" si="35"/>
        <v>0</v>
      </c>
      <c r="FP53" s="115">
        <f t="shared" si="35"/>
        <v>0</v>
      </c>
      <c r="FQ53" s="149">
        <f t="shared" si="35"/>
        <v>-13.236920000000001</v>
      </c>
      <c r="FR53" s="142">
        <f t="shared" si="35"/>
        <v>-9.1140000000000008</v>
      </c>
      <c r="FS53" s="119">
        <f t="shared" si="35"/>
        <v>47.77</v>
      </c>
      <c r="FT53" s="121">
        <f t="shared" si="35"/>
        <v>-1168.5999999999999</v>
      </c>
      <c r="FU53" s="121">
        <f t="shared" si="36"/>
        <v>0</v>
      </c>
      <c r="FV53" s="121">
        <f t="shared" si="36"/>
        <v>4.1680000000000001</v>
      </c>
      <c r="FW53" s="121">
        <f t="shared" si="37"/>
        <v>-688.67187549292805</v>
      </c>
      <c r="FX53" s="121">
        <f t="shared" si="38"/>
        <v>-11</v>
      </c>
      <c r="FY53" s="144">
        <f t="shared" si="38"/>
        <v>-0.11256028368794327</v>
      </c>
      <c r="FZ53" s="145" t="s">
        <v>203</v>
      </c>
      <c r="GA53" s="151" t="s">
        <v>393</v>
      </c>
      <c r="GB53" s="145"/>
      <c r="GC53" s="151" t="s">
        <v>394</v>
      </c>
      <c r="GD53" s="997" t="s">
        <v>238</v>
      </c>
      <c r="GE53" s="1004"/>
      <c r="GF53" s="1004">
        <v>0</v>
      </c>
      <c r="GG53" s="1004"/>
      <c r="GH53" s="1004">
        <v>0</v>
      </c>
      <c r="GI53" s="145"/>
      <c r="GJ53" s="996">
        <v>0</v>
      </c>
      <c r="GK53" s="145"/>
      <c r="GL53" s="996">
        <v>0</v>
      </c>
      <c r="GM53" s="1005"/>
      <c r="GN53" s="996">
        <v>0</v>
      </c>
      <c r="GO53" s="1006"/>
      <c r="GP53" s="996">
        <v>0</v>
      </c>
      <c r="GQ53" s="1006" t="s">
        <v>204</v>
      </c>
      <c r="GR53" s="996">
        <v>-3.9857588276000016</v>
      </c>
      <c r="GS53" s="1006" t="s">
        <v>199</v>
      </c>
      <c r="GT53" s="996">
        <v>3.6891344908000017</v>
      </c>
      <c r="GU53" s="1006" t="s">
        <v>203</v>
      </c>
      <c r="GV53" s="996">
        <v>-3.2412505840000003</v>
      </c>
      <c r="GW53" s="1006"/>
      <c r="GX53" s="997">
        <v>0.17607832000000023</v>
      </c>
      <c r="GY53" s="1006" t="s">
        <v>203</v>
      </c>
      <c r="GZ53" s="996">
        <v>-2.6389343199999988</v>
      </c>
      <c r="HA53" s="1006" t="s">
        <v>25</v>
      </c>
      <c r="HB53" s="996">
        <v>3.321845999999999</v>
      </c>
      <c r="HC53" s="1006"/>
      <c r="HD53" s="996">
        <v>0</v>
      </c>
      <c r="HE53" s="1006" t="s">
        <v>199</v>
      </c>
      <c r="HF53" s="996">
        <v>2.3612000720000008</v>
      </c>
      <c r="HG53" s="1006" t="s">
        <v>199</v>
      </c>
      <c r="HH53" s="996">
        <v>-3.514161112</v>
      </c>
      <c r="HI53" s="1006" t="s">
        <v>199</v>
      </c>
      <c r="HJ53" s="996">
        <v>3.9663387148</v>
      </c>
      <c r="HK53" s="1006"/>
      <c r="HL53" s="996">
        <v>0</v>
      </c>
      <c r="HM53" s="1006"/>
      <c r="HN53" s="996">
        <v>0</v>
      </c>
      <c r="HO53" s="1006" t="s">
        <v>199</v>
      </c>
      <c r="HP53" s="996">
        <v>-2.0003676748000006</v>
      </c>
      <c r="HQ53" s="1006" t="s">
        <v>199</v>
      </c>
      <c r="HR53" s="996">
        <v>2.9640379999999995</v>
      </c>
      <c r="HS53" s="1006"/>
      <c r="HT53" s="996">
        <v>-0.16602959999999989</v>
      </c>
      <c r="HU53" s="1006" t="s">
        <v>199</v>
      </c>
      <c r="HV53" s="996">
        <v>-5.4163603999999994</v>
      </c>
      <c r="HW53" s="1006" t="s">
        <v>199</v>
      </c>
      <c r="HX53" s="996">
        <v>5.0193439999999994</v>
      </c>
      <c r="HY53" s="1006"/>
      <c r="HZ53" s="996">
        <v>0.16552800000000012</v>
      </c>
      <c r="IA53" s="1006"/>
      <c r="IB53" s="996">
        <v>-0.66211199999999959</v>
      </c>
      <c r="IC53" s="1006"/>
      <c r="ID53" s="996">
        <v>-0.23240800000000039</v>
      </c>
      <c r="IE53" s="1006"/>
      <c r="IF53" s="996">
        <v>0.8360000000000003</v>
      </c>
      <c r="IG53" s="1006" t="s">
        <v>241</v>
      </c>
      <c r="IH53" s="996">
        <v>1.6719999999999997</v>
      </c>
      <c r="II53" s="1006"/>
      <c r="IJ53" s="996">
        <v>3.7619999999999543E-2</v>
      </c>
      <c r="IK53" s="1006"/>
      <c r="IL53" s="996">
        <v>-0.41423799999999922</v>
      </c>
      <c r="IM53" s="1006"/>
      <c r="IN53" s="996">
        <v>-0.76703000000000099</v>
      </c>
      <c r="IO53" s="1006"/>
      <c r="IP53" s="996">
        <v>0</v>
      </c>
      <c r="IQ53" s="1006"/>
      <c r="IR53" s="996">
        <v>0</v>
      </c>
      <c r="IS53" s="1006"/>
      <c r="IT53" s="996">
        <v>0</v>
      </c>
      <c r="IU53" s="1006"/>
      <c r="IV53" s="996">
        <v>0</v>
      </c>
      <c r="IW53" s="1006"/>
      <c r="IX53" s="996">
        <v>0.31266400000000072</v>
      </c>
      <c r="IY53" s="1006"/>
      <c r="IZ53" s="996">
        <v>0</v>
      </c>
      <c r="JA53" s="1006"/>
      <c r="JB53" s="996">
        <v>-0.33406560000000063</v>
      </c>
      <c r="JC53" s="1006"/>
      <c r="JD53" s="996">
        <v>0</v>
      </c>
      <c r="JE53" s="1006"/>
      <c r="JF53" s="996">
        <v>0</v>
      </c>
      <c r="JG53" s="1006"/>
      <c r="JH53" s="996">
        <v>0</v>
      </c>
      <c r="JI53" s="1006"/>
      <c r="JJ53" s="996">
        <v>-0.75164759999999919</v>
      </c>
      <c r="JK53" s="1007"/>
      <c r="JL53" s="1007">
        <v>0</v>
      </c>
      <c r="JM53" s="1007" t="s">
        <v>204</v>
      </c>
      <c r="JN53" s="1007">
        <v>-5.0655982080000008</v>
      </c>
      <c r="JO53" s="1008"/>
      <c r="JP53" s="1007">
        <v>0.70092580800000093</v>
      </c>
      <c r="JQ53" s="1008" t="s">
        <v>199</v>
      </c>
      <c r="JR53" s="1007">
        <v>6.4903695999999993</v>
      </c>
      <c r="JS53" s="1008">
        <v>0</v>
      </c>
      <c r="JT53" s="1007">
        <v>0</v>
      </c>
      <c r="JU53" s="1008" t="s">
        <v>199</v>
      </c>
      <c r="JV53" s="1007">
        <v>-4.8070000000000004</v>
      </c>
      <c r="JW53" s="1008" t="s">
        <v>197</v>
      </c>
      <c r="JX53" s="1007">
        <v>0</v>
      </c>
      <c r="JY53" s="1008" t="s">
        <v>199</v>
      </c>
      <c r="JZ53" s="1007">
        <v>-1.2539999999999996</v>
      </c>
      <c r="KA53" s="1008"/>
      <c r="KB53" s="1007">
        <v>0</v>
      </c>
      <c r="KC53" s="1008" t="s">
        <v>207</v>
      </c>
      <c r="KD53" s="1007">
        <v>0</v>
      </c>
      <c r="KE53" s="1008" t="s">
        <v>206</v>
      </c>
      <c r="KF53" s="1007">
        <v>1.2539999999999996</v>
      </c>
      <c r="KG53" s="1008"/>
      <c r="KH53" s="1007">
        <v>2.8967400000000865E-2</v>
      </c>
      <c r="KI53" s="1008"/>
      <c r="KJ53" s="1007">
        <v>0</v>
      </c>
      <c r="KK53" s="1008"/>
      <c r="KL53" s="1007">
        <v>0</v>
      </c>
      <c r="KM53" s="1008"/>
      <c r="KN53" s="1007">
        <v>0</v>
      </c>
      <c r="KO53" s="1008"/>
      <c r="KP53" s="1007">
        <v>0</v>
      </c>
      <c r="KQ53" s="1008" t="s">
        <v>206</v>
      </c>
      <c r="KR53" s="1007">
        <v>-3.7495853999999991</v>
      </c>
      <c r="KS53" s="1008">
        <v>0</v>
      </c>
      <c r="KT53" s="1007">
        <v>0</v>
      </c>
      <c r="KU53" s="1008" t="s">
        <v>206</v>
      </c>
      <c r="KV53" s="1007">
        <v>3.3329647999999974</v>
      </c>
      <c r="KW53" s="1008">
        <v>0</v>
      </c>
      <c r="KX53" s="1007">
        <v>0</v>
      </c>
      <c r="KY53" s="1008">
        <v>0</v>
      </c>
      <c r="KZ53" s="1007">
        <v>0</v>
      </c>
      <c r="LA53" s="1008">
        <v>0</v>
      </c>
      <c r="LB53" s="1007">
        <v>0</v>
      </c>
      <c r="LC53" s="1008">
        <v>0</v>
      </c>
      <c r="LD53" s="1007">
        <v>0</v>
      </c>
      <c r="LE53" s="1008">
        <v>0</v>
      </c>
      <c r="LF53" s="1007">
        <v>0</v>
      </c>
      <c r="LG53" s="1008">
        <v>0</v>
      </c>
      <c r="LH53" s="1007">
        <v>0</v>
      </c>
      <c r="LI53" s="1008">
        <v>0</v>
      </c>
      <c r="LJ53" s="1007">
        <v>0</v>
      </c>
      <c r="LK53" s="1008">
        <v>0</v>
      </c>
      <c r="LL53" s="1007">
        <v>0</v>
      </c>
      <c r="LM53" s="1008">
        <v>0</v>
      </c>
      <c r="LN53" s="1007">
        <v>0</v>
      </c>
      <c r="LO53" s="1008">
        <v>0</v>
      </c>
      <c r="LP53" s="1007">
        <v>0</v>
      </c>
      <c r="LQ53" s="1008">
        <v>0</v>
      </c>
      <c r="LR53" s="1007">
        <v>0</v>
      </c>
      <c r="LS53" s="1008" t="s">
        <v>206</v>
      </c>
      <c r="LT53" s="1007">
        <v>-1.2534984000000016</v>
      </c>
      <c r="LU53" s="1008">
        <v>0</v>
      </c>
      <c r="LV53" s="1007">
        <v>0.29259000000000002</v>
      </c>
      <c r="LW53" s="1008" t="s">
        <v>206</v>
      </c>
      <c r="LX53" s="1007">
        <v>2.3477554</v>
      </c>
      <c r="LY53" s="1009">
        <v>0</v>
      </c>
      <c r="LZ53" s="1010">
        <v>0</v>
      </c>
      <c r="MA53" s="1011" t="s">
        <v>206</v>
      </c>
      <c r="MB53" s="1012">
        <v>3.9134479999999998</v>
      </c>
      <c r="MC53" s="995"/>
      <c r="MD53" s="996"/>
      <c r="ME53" s="997" t="s">
        <v>238</v>
      </c>
      <c r="MF53" s="997"/>
      <c r="MG53" s="998"/>
      <c r="NR53" s="1000"/>
      <c r="NS53" s="1000"/>
      <c r="NT53" s="1001"/>
      <c r="NU53" s="1000"/>
      <c r="NV53" s="1001"/>
      <c r="NX53" s="1002"/>
      <c r="NZ53" s="1001"/>
      <c r="OA53" s="1001"/>
      <c r="OC53" s="1003"/>
      <c r="OD53" s="1003"/>
      <c r="OE53" s="1001"/>
      <c r="OF53" s="1003"/>
      <c r="OG53" s="1003"/>
      <c r="OH53" s="1003"/>
      <c r="OI53" s="1016"/>
      <c r="QX53" s="1000">
        <f t="shared" si="51"/>
        <v>37</v>
      </c>
      <c r="ASU53" s="999" t="s">
        <v>208</v>
      </c>
    </row>
    <row r="54" spans="1:1191" ht="21" customHeight="1" x14ac:dyDescent="0.25">
      <c r="A54" s="982" t="str">
        <f t="shared" si="0"/>
        <v>29-1</v>
      </c>
      <c r="B54" s="124">
        <f>SUBTOTAL(103,$J$29:J54)</f>
        <v>26</v>
      </c>
      <c r="C54" s="126">
        <v>45096</v>
      </c>
      <c r="D54" s="124" t="s">
        <v>176</v>
      </c>
      <c r="E54" s="127" t="s">
        <v>177</v>
      </c>
      <c r="F54" s="128" t="s">
        <v>177</v>
      </c>
      <c r="G54" s="127" t="s">
        <v>178</v>
      </c>
      <c r="H54" s="127" t="s">
        <v>226</v>
      </c>
      <c r="I54" s="127" t="s">
        <v>316</v>
      </c>
      <c r="J54" s="152" t="s">
        <v>395</v>
      </c>
      <c r="K54" s="127" t="s">
        <v>389</v>
      </c>
      <c r="L54" s="130">
        <v>34908</v>
      </c>
      <c r="M54" s="127" t="s">
        <v>230</v>
      </c>
      <c r="N54" s="127" t="s">
        <v>245</v>
      </c>
      <c r="O54" s="127" t="s">
        <v>185</v>
      </c>
      <c r="P54" s="127" t="s">
        <v>208</v>
      </c>
      <c r="Q54" s="85">
        <f t="shared" si="40"/>
        <v>-4</v>
      </c>
      <c r="R54" s="130">
        <v>35148</v>
      </c>
      <c r="S54" s="128" t="s">
        <v>396</v>
      </c>
      <c r="T54" s="131"/>
      <c r="U54" s="132">
        <v>203</v>
      </c>
      <c r="V54" s="121">
        <v>218.2</v>
      </c>
      <c r="W54" s="116">
        <v>0.98</v>
      </c>
      <c r="X54" s="116">
        <v>1.66</v>
      </c>
      <c r="Y54" s="116">
        <f t="shared" si="41"/>
        <v>0.99632533072023521</v>
      </c>
      <c r="Z54" s="133">
        <v>1.454</v>
      </c>
      <c r="AA54" s="133">
        <v>0.83599999999999997</v>
      </c>
      <c r="AB54" s="133">
        <v>0.72</v>
      </c>
      <c r="AC54" s="121">
        <v>34.299999999999997</v>
      </c>
      <c r="AD54" s="134">
        <v>1.17</v>
      </c>
      <c r="AE54" s="124" t="s">
        <v>356</v>
      </c>
      <c r="AF54" s="128">
        <v>9.19</v>
      </c>
      <c r="AG54" s="128">
        <v>1851</v>
      </c>
      <c r="AH54" s="127">
        <v>2285</v>
      </c>
      <c r="AI54" s="127">
        <v>2285</v>
      </c>
      <c r="AJ54" s="135"/>
      <c r="AK54" s="128"/>
      <c r="AL54" s="131"/>
      <c r="AM54" s="124" t="s">
        <v>187</v>
      </c>
      <c r="AN54" s="136" t="s">
        <v>397</v>
      </c>
      <c r="AO54" s="137">
        <v>29.99</v>
      </c>
      <c r="AP54" s="128">
        <v>1853</v>
      </c>
      <c r="AQ54" s="128">
        <v>1.88</v>
      </c>
      <c r="AR54" s="128"/>
      <c r="AS54" s="128"/>
      <c r="AT54" s="122"/>
      <c r="AU54" s="124" t="s">
        <v>189</v>
      </c>
      <c r="AV54" s="115">
        <f>VLOOKUP(J54,'[63]ТР нефть'!$J$28:$BP$638,39,0)</f>
        <v>668.99998359400001</v>
      </c>
      <c r="AW54" s="115" t="str">
        <f>VLOOKUP(J54,'[63]ТР нефть'!$J$28:$BP$638,40,0)</f>
        <v>ГП</v>
      </c>
      <c r="AX54" s="115">
        <f>VLOOKUP(J54,'[63]ТР нефть'!$J$28:$BP$638,41,0)</f>
        <v>1212.9999691410001</v>
      </c>
      <c r="AY54" s="115" t="str">
        <f>VLOOKUP(J54,'[63]ТР нефть'!$J$28:$BP$638,42,0)</f>
        <v>ГК 82 1/8</v>
      </c>
      <c r="AZ54" s="115">
        <f>VLOOKUP(J54,'[63]ТР нефть'!$J$28:$BP$638,43,0)</f>
        <v>1562.9999636719999</v>
      </c>
      <c r="BA54" s="115" t="str">
        <f>VLOOKUP(J54,'[63]ТР нефть'!$J$28:$BP$638,44,0)</f>
        <v>ЦКсОК 5/16</v>
      </c>
      <c r="BB54" s="115" t="str">
        <f>VLOOKUP(J54,'[63]ТР нефть'!$J$28:$BP$638,45,0)</f>
        <v>-</v>
      </c>
      <c r="BC54" s="115" t="str">
        <f>VLOOKUP(J54,'[63]ТР нефть'!$J$28:$BP$638,46,0)</f>
        <v>-</v>
      </c>
      <c r="BD54" s="115" t="str">
        <f>VLOOKUP(J54,'[63]ТР нефть'!$J$28:$BP$638,47,0)</f>
        <v>-</v>
      </c>
      <c r="BE54" s="115" t="str">
        <f>VLOOKUP(J54,'[63]ТР нефть'!$J$28:$BP$638,48,0)</f>
        <v>-</v>
      </c>
      <c r="BF54" s="115" t="str">
        <f>VLOOKUP(J54,'[63]ТР нефть'!$J$28:$BP$638,49,0)</f>
        <v>-</v>
      </c>
      <c r="BG54" s="115" t="str">
        <f>VLOOKUP(J54,'[63]ТР нефть'!$J$28:$BP$638,50,0)</f>
        <v>-</v>
      </c>
      <c r="BH54" s="115">
        <f>VLOOKUP(J54,'[63]ТР нефть'!$J$28:$BP$638,51,0)</f>
        <v>1790</v>
      </c>
      <c r="BI54" s="115" t="str">
        <f>VLOOKUP(J54,'[63]ТР нефть'!$J$28:$BP$638,52,0)</f>
        <v>закрыт</v>
      </c>
      <c r="BJ54" s="115" t="str">
        <f>IF(IFERROR(VLOOKUP(J54,'[63]ТР нефть'!$J$28:$BP$638,53,0),"-")=0,"-",IFERROR(VLOOKUP(J54,'[63]ТР нефть'!$J$28:$BP$638,53,0),"-"))</f>
        <v>-</v>
      </c>
      <c r="BK54" s="138" t="str">
        <f>IF(IFERROR(VLOOKUP(J54,'[63]ТР нефть'!$J$28:$BP$638,54,0),"-")=0,"-",IFERROR(VLOOKUP(J54,'[63]ТР нефть'!$J$28:$BP$638,54,0),"-"))</f>
        <v>-</v>
      </c>
      <c r="BL54" s="138" t="str">
        <f>IF(IFERROR(VLOOKUP(J54,'[63]ТР нефть'!$J$28:$BP$638,55,0),"-")=0,"-",IFERROR(VLOOKUP(J54,'[63]ТР нефть'!$J$28:$BP$638,55,0),"-"))</f>
        <v>-</v>
      </c>
      <c r="BM54" s="138" t="str">
        <f>IF(IFERROR(VLOOKUP(J54,'[63]ТР нефть'!$J$28:$BP$638,56,0),"-")=0,"-",IFERROR(VLOOKUP(J54,'[63]ТР нефть'!$J$28:$BP$638,56,0),"-"))</f>
        <v>-</v>
      </c>
      <c r="BN54" s="138" t="str">
        <f>IF(IFERROR(VLOOKUP(J54,'[63]ТР нефть'!$J$28:$BP$638,57,0),"-")=0,"-",IFERROR(VLOOKUP(J54,'[63]ТР нефть'!$J$28:$BP$638,57,0),"-"))</f>
        <v>-</v>
      </c>
      <c r="BO54" s="115" t="str">
        <f>IF(IFERROR(VLOOKUP(J54,'[63]ТР нефть'!$J$28:$BP$638,58,0),"-")=0,"-",IFERROR(VLOOKUP(J54,'[63]ТР нефть'!$J$28:$BP$638,58,0),"-"))</f>
        <v>-</v>
      </c>
      <c r="BP54" s="115" t="str">
        <f>IF(IFERROR(VLOOKUP(J54,'[63]ТР нефть'!$J$28:$BP$638,59,0),"-")=0,"-",IFERROR(VLOOKUP(J54,'[63]ТР нефть'!$J$28:$BP$638,59,0),"-"))</f>
        <v>-</v>
      </c>
      <c r="BQ54" s="138">
        <v>1870</v>
      </c>
      <c r="BR54" s="128">
        <v>1867</v>
      </c>
      <c r="BS54" s="115">
        <f t="shared" si="2"/>
        <v>3</v>
      </c>
      <c r="BT54" s="128">
        <v>73</v>
      </c>
      <c r="BU54" s="128">
        <v>5.5</v>
      </c>
      <c r="BV54" s="127">
        <v>18</v>
      </c>
      <c r="BW54" s="127" t="s">
        <v>234</v>
      </c>
      <c r="BX54" s="127" t="s">
        <v>195</v>
      </c>
      <c r="BY54" s="139">
        <v>24</v>
      </c>
      <c r="BZ54" s="139">
        <v>0</v>
      </c>
      <c r="CA54" s="138">
        <v>16</v>
      </c>
      <c r="CB54" s="138">
        <v>30</v>
      </c>
      <c r="CC54" s="138">
        <v>15</v>
      </c>
      <c r="CD54" s="135">
        <v>45017</v>
      </c>
      <c r="CE54" s="138">
        <v>68</v>
      </c>
      <c r="CF54" s="138">
        <v>76</v>
      </c>
      <c r="CG54" s="138" t="str">
        <f t="shared" si="3"/>
        <v>В работе</v>
      </c>
      <c r="CH54" s="138" t="s">
        <v>196</v>
      </c>
      <c r="CI54" s="138">
        <v>6</v>
      </c>
      <c r="CJ54" s="139"/>
      <c r="CK54" s="138"/>
      <c r="CL54" s="99"/>
      <c r="CM54" s="99"/>
      <c r="CN54" s="140">
        <v>31</v>
      </c>
      <c r="CO54" s="141">
        <f t="shared" si="4"/>
        <v>6.0191999999999988</v>
      </c>
      <c r="CP54" s="142">
        <v>7.5</v>
      </c>
      <c r="CQ54" s="143">
        <v>4</v>
      </c>
      <c r="CR54" s="138">
        <v>13.6</v>
      </c>
      <c r="CS54" s="139">
        <v>7.2</v>
      </c>
      <c r="CT54" s="138"/>
      <c r="CU54" s="138">
        <f t="shared" si="5"/>
        <v>6.3999999999999995</v>
      </c>
      <c r="CV54" s="115">
        <f t="shared" si="6"/>
        <v>1063.264221158958</v>
      </c>
      <c r="CW54" s="115">
        <f t="shared" si="7"/>
        <v>1130.9018942606729</v>
      </c>
      <c r="CX54" s="133">
        <f t="shared" si="8"/>
        <v>0.20270270270270271</v>
      </c>
      <c r="CY54" s="116"/>
      <c r="CZ54" s="131"/>
      <c r="DA54" s="145" t="str">
        <f t="shared" si="9"/>
        <v>Газлифт</v>
      </c>
      <c r="DB54" s="146">
        <f t="shared" si="10"/>
        <v>6.0191999999999988</v>
      </c>
      <c r="DC54" s="142">
        <f t="shared" si="11"/>
        <v>7.5</v>
      </c>
      <c r="DD54" s="119">
        <f t="shared" si="12"/>
        <v>4</v>
      </c>
      <c r="DE54" s="115">
        <f t="shared" si="13"/>
        <v>6.3999999999999995</v>
      </c>
      <c r="DF54" s="121">
        <f t="shared" si="14"/>
        <v>7.2</v>
      </c>
      <c r="DG54" s="115">
        <f t="shared" si="15"/>
        <v>1063.264221158958</v>
      </c>
      <c r="DH54" s="115">
        <f t="shared" si="16"/>
        <v>31</v>
      </c>
      <c r="DI54" s="147"/>
      <c r="DJ54" s="111" t="s">
        <v>197</v>
      </c>
      <c r="DK54" s="112">
        <v>44090</v>
      </c>
      <c r="DL54" s="113">
        <f t="shared" ca="1" si="42"/>
        <v>1014</v>
      </c>
      <c r="DM54" s="114"/>
      <c r="DN54" s="114"/>
      <c r="DO54" s="114"/>
      <c r="DP54" s="114"/>
      <c r="DQ54" s="112">
        <v>37715</v>
      </c>
      <c r="DR54" s="114" t="s">
        <v>198</v>
      </c>
      <c r="DS54" s="114" t="s">
        <v>398</v>
      </c>
      <c r="DT54" s="115">
        <v>40</v>
      </c>
      <c r="DU54" s="116">
        <f t="shared" si="43"/>
        <v>0.26785714285714285</v>
      </c>
      <c r="DV54" s="117">
        <f t="shared" si="44"/>
        <v>6.0191999999999988</v>
      </c>
      <c r="DW54" s="118">
        <f t="shared" si="45"/>
        <v>7.5</v>
      </c>
      <c r="DX54" s="119">
        <f t="shared" si="21"/>
        <v>4</v>
      </c>
      <c r="DY54" s="115">
        <f t="shared" si="46"/>
        <v>6.3999999999999986</v>
      </c>
      <c r="DZ54" s="117">
        <f t="shared" si="47"/>
        <v>0</v>
      </c>
      <c r="EA54" s="120">
        <f t="shared" si="47"/>
        <v>0</v>
      </c>
      <c r="EB54" s="119">
        <f t="shared" si="47"/>
        <v>0</v>
      </c>
      <c r="EC54" s="121">
        <f t="shared" si="48"/>
        <v>0</v>
      </c>
      <c r="ED54" s="122"/>
      <c r="EE54" s="145">
        <v>18</v>
      </c>
      <c r="EF54" s="115">
        <v>16</v>
      </c>
      <c r="EG54" s="115">
        <v>30</v>
      </c>
      <c r="EH54" s="115">
        <v>15</v>
      </c>
      <c r="EI54" s="128" t="s">
        <v>195</v>
      </c>
      <c r="EJ54" s="121">
        <v>24</v>
      </c>
      <c r="EK54" s="121">
        <v>0</v>
      </c>
      <c r="EL54" s="149">
        <v>9.8611216000000006</v>
      </c>
      <c r="EM54" s="142">
        <v>14.8</v>
      </c>
      <c r="EN54" s="119">
        <v>20.3</v>
      </c>
      <c r="EO54" s="115">
        <v>16.5</v>
      </c>
      <c r="EP54" s="115">
        <v>943.09758841225516</v>
      </c>
      <c r="EQ54" s="115">
        <v>76</v>
      </c>
      <c r="ER54" s="115">
        <v>7.2</v>
      </c>
      <c r="ES54" s="115">
        <v>32</v>
      </c>
      <c r="ET54" s="150">
        <v>0.41111111111111115</v>
      </c>
      <c r="EU54" s="145">
        <f t="shared" si="25"/>
        <v>18</v>
      </c>
      <c r="EV54" s="115">
        <f t="shared" si="26"/>
        <v>16</v>
      </c>
      <c r="EW54" s="115">
        <f t="shared" si="26"/>
        <v>30</v>
      </c>
      <c r="EX54" s="115">
        <f t="shared" si="26"/>
        <v>15</v>
      </c>
      <c r="EY54" s="115" t="str">
        <f t="shared" si="27"/>
        <v>Постоянный</v>
      </c>
      <c r="EZ54" s="115">
        <f t="shared" si="27"/>
        <v>24</v>
      </c>
      <c r="FA54" s="115">
        <f t="shared" si="27"/>
        <v>0</v>
      </c>
      <c r="FB54" s="149">
        <f t="shared" si="28"/>
        <v>6.0191999999999988</v>
      </c>
      <c r="FC54" s="142">
        <f t="shared" si="28"/>
        <v>7.5</v>
      </c>
      <c r="FD54" s="119">
        <f t="shared" si="28"/>
        <v>4</v>
      </c>
      <c r="FE54" s="121">
        <f t="shared" si="28"/>
        <v>13.6</v>
      </c>
      <c r="FF54" s="121">
        <f t="shared" si="49"/>
        <v>1063.264221158958</v>
      </c>
      <c r="FG54" s="121">
        <f t="shared" si="30"/>
        <v>76</v>
      </c>
      <c r="FH54" s="121">
        <f t="shared" si="50"/>
        <v>7.2</v>
      </c>
      <c r="FI54" s="121">
        <f t="shared" si="32"/>
        <v>31</v>
      </c>
      <c r="FJ54" s="144">
        <f t="shared" si="33"/>
        <v>0.20270270270270271</v>
      </c>
      <c r="FK54" s="132">
        <f t="shared" si="34"/>
        <v>0</v>
      </c>
      <c r="FL54" s="115">
        <f t="shared" si="34"/>
        <v>0</v>
      </c>
      <c r="FM54" s="115">
        <f t="shared" si="34"/>
        <v>0</v>
      </c>
      <c r="FN54" s="115">
        <f t="shared" si="34"/>
        <v>0</v>
      </c>
      <c r="FO54" s="115">
        <f t="shared" si="35"/>
        <v>0</v>
      </c>
      <c r="FP54" s="115">
        <f t="shared" si="35"/>
        <v>0</v>
      </c>
      <c r="FQ54" s="149">
        <f t="shared" si="35"/>
        <v>-3.8419216000000018</v>
      </c>
      <c r="FR54" s="142">
        <f t="shared" si="35"/>
        <v>-7.3000000000000007</v>
      </c>
      <c r="FS54" s="119">
        <f t="shared" si="35"/>
        <v>-16.3</v>
      </c>
      <c r="FT54" s="121">
        <f t="shared" si="35"/>
        <v>-2.9000000000000004</v>
      </c>
      <c r="FU54" s="121">
        <f t="shared" si="36"/>
        <v>0</v>
      </c>
      <c r="FV54" s="121">
        <f t="shared" si="36"/>
        <v>0</v>
      </c>
      <c r="FW54" s="121">
        <f t="shared" si="37"/>
        <v>120.16663274670282</v>
      </c>
      <c r="FX54" s="121">
        <f t="shared" si="38"/>
        <v>-1</v>
      </c>
      <c r="FY54" s="144">
        <f t="shared" si="38"/>
        <v>-0.20840840840840844</v>
      </c>
      <c r="FZ54" s="145" t="s">
        <v>399</v>
      </c>
      <c r="GA54" s="151" t="s">
        <v>400</v>
      </c>
      <c r="GB54" s="145" t="s">
        <v>221</v>
      </c>
      <c r="GC54" s="151" t="s">
        <v>401</v>
      </c>
      <c r="GD54" s="997" t="s">
        <v>238</v>
      </c>
      <c r="GE54" s="1004" t="s">
        <v>221</v>
      </c>
      <c r="GF54" s="1004">
        <v>1.5947536000000007</v>
      </c>
      <c r="GG54" s="1004"/>
      <c r="GH54" s="1004">
        <v>-0.19328319999999977</v>
      </c>
      <c r="GI54" s="145"/>
      <c r="GJ54" s="996">
        <v>-6.6879999999969186E-4</v>
      </c>
      <c r="GK54" s="145" t="s">
        <v>199</v>
      </c>
      <c r="GL54" s="996">
        <v>1.9264666959999994</v>
      </c>
      <c r="GM54" s="1005"/>
      <c r="GN54" s="996">
        <v>-0.24767837600000053</v>
      </c>
      <c r="GO54" s="1006"/>
      <c r="GP54" s="996">
        <v>0</v>
      </c>
      <c r="GQ54" s="1006" t="s">
        <v>240</v>
      </c>
      <c r="GR54" s="996">
        <v>-0.96879023999999792</v>
      </c>
      <c r="GS54" s="1006"/>
      <c r="GT54" s="996">
        <v>0</v>
      </c>
      <c r="GU54" s="1006" t="s">
        <v>223</v>
      </c>
      <c r="GV54" s="996">
        <v>-4.8231180799999995</v>
      </c>
      <c r="GW54" s="1006"/>
      <c r="GX54" s="997">
        <v>-0.3536280000000005</v>
      </c>
      <c r="GY54" s="1006"/>
      <c r="GZ54" s="996">
        <v>0</v>
      </c>
      <c r="HA54" s="1006"/>
      <c r="HB54" s="996">
        <v>0</v>
      </c>
      <c r="HC54" s="1006"/>
      <c r="HD54" s="996">
        <v>0</v>
      </c>
      <c r="HE54" s="1006"/>
      <c r="HF54" s="996">
        <v>0</v>
      </c>
      <c r="HG54" s="1006"/>
      <c r="HH54" s="996">
        <v>0</v>
      </c>
      <c r="HI54" s="1006"/>
      <c r="HJ54" s="996">
        <v>0</v>
      </c>
      <c r="HK54" s="1006"/>
      <c r="HL54" s="996">
        <v>0</v>
      </c>
      <c r="HM54" s="1006"/>
      <c r="HN54" s="996">
        <v>-0.92963199999999979</v>
      </c>
      <c r="HO54" s="1006"/>
      <c r="HP54" s="996">
        <v>0</v>
      </c>
      <c r="HQ54" s="1006" t="s">
        <v>199</v>
      </c>
      <c r="HR54" s="996">
        <v>4.9365799999999993</v>
      </c>
      <c r="HS54" s="1006"/>
      <c r="HT54" s="996">
        <v>0</v>
      </c>
      <c r="HU54" s="1006" t="s">
        <v>204</v>
      </c>
      <c r="HV54" s="996">
        <v>-0.71059999999999945</v>
      </c>
      <c r="HW54" s="1006" t="s">
        <v>223</v>
      </c>
      <c r="HX54" s="996">
        <v>-1.9056620000000013</v>
      </c>
      <c r="HY54" s="1006" t="s">
        <v>204</v>
      </c>
      <c r="HZ54" s="996">
        <v>-1.6816139999999997</v>
      </c>
      <c r="IA54" s="1006"/>
      <c r="IB54" s="996">
        <v>0</v>
      </c>
      <c r="IC54" s="1006"/>
      <c r="ID54" s="996">
        <v>0</v>
      </c>
      <c r="IE54" s="1006"/>
      <c r="IF54" s="996">
        <v>0</v>
      </c>
      <c r="IG54" s="1006"/>
      <c r="IH54" s="996">
        <v>0</v>
      </c>
      <c r="II54" s="1006" t="s">
        <v>223</v>
      </c>
      <c r="IJ54" s="996">
        <v>-7.3156286720000026</v>
      </c>
      <c r="IK54" s="1006"/>
      <c r="IL54" s="996">
        <v>0</v>
      </c>
      <c r="IM54" s="1006" t="s">
        <v>203</v>
      </c>
      <c r="IN54" s="996">
        <v>-1.0850895439999952</v>
      </c>
      <c r="IO54" s="1006" t="s">
        <v>203</v>
      </c>
      <c r="IP54" s="996">
        <v>-5.8100291215999995</v>
      </c>
      <c r="IQ54" s="1006" t="s">
        <v>25</v>
      </c>
      <c r="IR54" s="996">
        <v>22.713703337599998</v>
      </c>
      <c r="IS54" s="1006"/>
      <c r="IT54" s="996">
        <v>0</v>
      </c>
      <c r="IU54" s="1006"/>
      <c r="IV54" s="996">
        <v>0</v>
      </c>
      <c r="IW54" s="1006" t="s">
        <v>204</v>
      </c>
      <c r="IX54" s="996">
        <v>2.0824759999999993</v>
      </c>
      <c r="IY54" s="1006"/>
      <c r="IZ54" s="996">
        <v>0</v>
      </c>
      <c r="JA54" s="1006"/>
      <c r="JB54" s="996">
        <v>0</v>
      </c>
      <c r="JC54" s="1006"/>
      <c r="JD54" s="996">
        <v>0</v>
      </c>
      <c r="JE54" s="1006"/>
      <c r="JF54" s="996">
        <v>0</v>
      </c>
      <c r="JG54" s="1006"/>
      <c r="JH54" s="996">
        <v>0</v>
      </c>
      <c r="JI54" s="1006"/>
      <c r="JJ54" s="996">
        <v>0</v>
      </c>
      <c r="JK54" s="1007"/>
      <c r="JL54" s="1007">
        <v>0</v>
      </c>
      <c r="JM54" s="1007"/>
      <c r="JN54" s="1007">
        <v>0</v>
      </c>
      <c r="JO54" s="1008" t="s">
        <v>199</v>
      </c>
      <c r="JP54" s="1007">
        <v>-2.9853559999999999</v>
      </c>
      <c r="JQ54" s="1008">
        <v>0</v>
      </c>
      <c r="JR54" s="1007">
        <v>0</v>
      </c>
      <c r="JS54" s="1008">
        <v>0</v>
      </c>
      <c r="JT54" s="1007">
        <v>-0.40127999999999897</v>
      </c>
      <c r="JU54" s="1008"/>
      <c r="JV54" s="1007">
        <v>2.2304479999998961E-2</v>
      </c>
      <c r="JW54" s="1008" t="s">
        <v>197</v>
      </c>
      <c r="JX54" s="1007">
        <v>0</v>
      </c>
      <c r="JY54" s="1008" t="s">
        <v>204</v>
      </c>
      <c r="JZ54" s="1007">
        <v>-5.707104479999999</v>
      </c>
      <c r="KA54" s="1008"/>
      <c r="KB54" s="1007">
        <v>0</v>
      </c>
      <c r="KC54" s="1008"/>
      <c r="KD54" s="1007">
        <v>0</v>
      </c>
      <c r="KE54" s="1008"/>
      <c r="KF54" s="1007">
        <v>0</v>
      </c>
      <c r="KG54" s="1008" t="s">
        <v>204</v>
      </c>
      <c r="KH54" s="1007">
        <v>5.1163199999999991</v>
      </c>
      <c r="KI54" s="1008"/>
      <c r="KJ54" s="1007">
        <v>0</v>
      </c>
      <c r="KK54" s="1008"/>
      <c r="KL54" s="1007">
        <v>0</v>
      </c>
      <c r="KM54" s="1008"/>
      <c r="KN54" s="1007">
        <v>0</v>
      </c>
      <c r="KO54" s="1008"/>
      <c r="KP54" s="1007">
        <v>0</v>
      </c>
      <c r="KQ54" s="1008" t="s">
        <v>207</v>
      </c>
      <c r="KR54" s="1007">
        <v>2.0586500000000001</v>
      </c>
      <c r="KS54" s="1008" t="s">
        <v>207</v>
      </c>
      <c r="KT54" s="1007">
        <v>-5.7332044000000009</v>
      </c>
      <c r="KU54" s="1008" t="s">
        <v>206</v>
      </c>
      <c r="KV54" s="1007">
        <v>1.0846264000000012</v>
      </c>
      <c r="KW54" s="1008" t="s">
        <v>240</v>
      </c>
      <c r="KX54" s="1007">
        <v>-3.3223920000000007</v>
      </c>
      <c r="KY54" s="1008" t="s">
        <v>204</v>
      </c>
      <c r="KZ54" s="1007">
        <v>-5.8402959999999986</v>
      </c>
      <c r="LA54" s="1008" t="s">
        <v>204</v>
      </c>
      <c r="LB54" s="1007">
        <v>9.1776079999999993</v>
      </c>
      <c r="LC54" s="1008">
        <v>0</v>
      </c>
      <c r="LD54" s="1007">
        <v>0</v>
      </c>
      <c r="LE54" s="1008">
        <v>0</v>
      </c>
      <c r="LF54" s="1007">
        <v>0</v>
      </c>
      <c r="LG54" s="1008" t="s">
        <v>206</v>
      </c>
      <c r="LH54" s="1007">
        <v>5.5968</v>
      </c>
      <c r="LI54" s="1008">
        <v>0</v>
      </c>
      <c r="LJ54" s="1007">
        <v>0</v>
      </c>
      <c r="LK54" s="1008">
        <v>0</v>
      </c>
      <c r="LL54" s="1007">
        <v>0</v>
      </c>
      <c r="LM54" s="1008" t="s">
        <v>206</v>
      </c>
      <c r="LN54" s="1007">
        <v>-0.74339999999999995</v>
      </c>
      <c r="LO54" s="1008">
        <v>0</v>
      </c>
      <c r="LP54" s="1007">
        <v>0</v>
      </c>
      <c r="LQ54" s="1008" t="s">
        <v>206</v>
      </c>
      <c r="LR54" s="1007">
        <v>-2.2549427999999985</v>
      </c>
      <c r="LS54" s="1008">
        <v>0</v>
      </c>
      <c r="LT54" s="1007">
        <v>0.83516409999999996</v>
      </c>
      <c r="LU54" s="1008" t="s">
        <v>206</v>
      </c>
      <c r="LV54" s="1007">
        <v>-2.429856</v>
      </c>
      <c r="LW54" s="1008">
        <v>0</v>
      </c>
      <c r="LX54" s="1007">
        <v>1.3376496</v>
      </c>
      <c r="LY54" s="1009" t="s">
        <v>223</v>
      </c>
      <c r="LZ54" s="1010">
        <v>-1.754897760000004</v>
      </c>
      <c r="MA54" s="1011" t="s">
        <v>206</v>
      </c>
      <c r="MB54" s="1012">
        <v>-11.879549280000001</v>
      </c>
      <c r="MC54" s="995"/>
      <c r="MD54" s="996"/>
      <c r="ME54" s="997" t="s">
        <v>238</v>
      </c>
      <c r="MF54" s="997"/>
      <c r="MG54" s="998"/>
      <c r="NR54" s="1000"/>
      <c r="NS54" s="1000"/>
      <c r="NT54" s="1001"/>
      <c r="NU54" s="1000"/>
      <c r="NV54" s="1001"/>
      <c r="NX54" s="1002"/>
      <c r="NZ54" s="1001"/>
      <c r="OA54" s="1001"/>
      <c r="OC54" s="1003"/>
      <c r="OD54" s="1003"/>
      <c r="OE54" s="1001"/>
      <c r="OF54" s="1003"/>
      <c r="OG54" s="1003"/>
      <c r="OH54" s="1003"/>
      <c r="OI54" s="1016"/>
      <c r="QX54" s="1000">
        <f t="shared" si="51"/>
        <v>15</v>
      </c>
      <c r="ASU54" s="999" t="s">
        <v>208</v>
      </c>
    </row>
    <row r="55" spans="1:1191" ht="21" customHeight="1" x14ac:dyDescent="0.25">
      <c r="A55" s="982" t="str">
        <f t="shared" si="0"/>
        <v>30-2</v>
      </c>
      <c r="B55" s="124">
        <f>SUBTOTAL(103,$J$29:J55)</f>
        <v>27</v>
      </c>
      <c r="C55" s="126">
        <v>45096</v>
      </c>
      <c r="D55" s="124" t="s">
        <v>176</v>
      </c>
      <c r="E55" s="127" t="s">
        <v>177</v>
      </c>
      <c r="F55" s="128" t="s">
        <v>177</v>
      </c>
      <c r="G55" s="127" t="s">
        <v>178</v>
      </c>
      <c r="H55" s="127" t="s">
        <v>226</v>
      </c>
      <c r="I55" s="127" t="s">
        <v>285</v>
      </c>
      <c r="J55" s="152" t="s">
        <v>402</v>
      </c>
      <c r="K55" s="127" t="s">
        <v>403</v>
      </c>
      <c r="L55" s="130">
        <v>35955</v>
      </c>
      <c r="M55" s="127" t="s">
        <v>230</v>
      </c>
      <c r="N55" s="127" t="s">
        <v>245</v>
      </c>
      <c r="O55" s="127" t="s">
        <v>185</v>
      </c>
      <c r="P55" s="127" t="s">
        <v>208</v>
      </c>
      <c r="Q55" s="85" t="str">
        <f t="shared" si="40"/>
        <v/>
      </c>
      <c r="R55" s="130"/>
      <c r="S55" s="128" t="s">
        <v>156</v>
      </c>
      <c r="T55" s="131"/>
      <c r="U55" s="132">
        <v>203</v>
      </c>
      <c r="V55" s="121">
        <v>218.2</v>
      </c>
      <c r="W55" s="116">
        <v>0.98</v>
      </c>
      <c r="X55" s="116">
        <v>1.66</v>
      </c>
      <c r="Y55" s="116">
        <f t="shared" si="41"/>
        <v>0.98727970092731943</v>
      </c>
      <c r="Z55" s="133">
        <v>1.454</v>
      </c>
      <c r="AA55" s="133">
        <v>0.83599999999999997</v>
      </c>
      <c r="AB55" s="133">
        <v>0.72</v>
      </c>
      <c r="AC55" s="121">
        <v>34.299999999999997</v>
      </c>
      <c r="AD55" s="134">
        <v>1.17</v>
      </c>
      <c r="AE55" s="124">
        <v>177.8</v>
      </c>
      <c r="AF55" s="128">
        <v>8.0500000000000007</v>
      </c>
      <c r="AG55" s="128">
        <v>1888</v>
      </c>
      <c r="AH55" s="127">
        <v>2690</v>
      </c>
      <c r="AI55" s="127">
        <v>2690</v>
      </c>
      <c r="AJ55" s="135"/>
      <c r="AK55" s="128"/>
      <c r="AL55" s="131"/>
      <c r="AM55" s="124" t="s">
        <v>232</v>
      </c>
      <c r="AN55" s="136" t="s">
        <v>404</v>
      </c>
      <c r="AO55" s="137">
        <v>47.61</v>
      </c>
      <c r="AP55" s="128">
        <v>1888</v>
      </c>
      <c r="AQ55" s="128">
        <v>50.98</v>
      </c>
      <c r="AR55" s="128"/>
      <c r="AS55" s="128"/>
      <c r="AT55" s="122"/>
      <c r="AU55" s="124" t="s">
        <v>189</v>
      </c>
      <c r="AV55" s="115">
        <f>VLOOKUP(J55,'[63]ТР нефть'!$J$28:$BP$638,39,0)</f>
        <v>846.00000761700005</v>
      </c>
      <c r="AW55" s="115" t="str">
        <f>VLOOKUP(J55,'[63]ТР нефть'!$J$28:$BP$638,40,0)</f>
        <v>ГП</v>
      </c>
      <c r="AX55" s="115">
        <f>VLOOKUP(J55,'[63]ТР нефть'!$J$28:$BP$638,41,0)</f>
        <v>1193.9999753909999</v>
      </c>
      <c r="AY55" s="115" t="str">
        <f>VLOOKUP(J55,'[63]ТР нефть'!$J$28:$BP$638,42,0)</f>
        <v>ГК 82 1/8</v>
      </c>
      <c r="AZ55" s="115">
        <f>VLOOKUP(J55,'[63]ТР нефть'!$J$28:$BP$638,43,0)</f>
        <v>1773.0000199220001</v>
      </c>
      <c r="BA55" s="115" t="str">
        <f>VLOOKUP(J55,'[63]ТР нефть'!$J$28:$BP$638,44,0)</f>
        <v>ЦКсОК 5/16</v>
      </c>
      <c r="BB55" s="115" t="str">
        <f>VLOOKUP(J55,'[63]ТР нефть'!$J$28:$BP$638,45,0)</f>
        <v>-</v>
      </c>
      <c r="BC55" s="115" t="str">
        <f>VLOOKUP(J55,'[63]ТР нефть'!$J$28:$BP$638,46,0)</f>
        <v>-</v>
      </c>
      <c r="BD55" s="115" t="str">
        <f>VLOOKUP(J55,'[63]ТР нефть'!$J$28:$BP$638,47,0)</f>
        <v>-</v>
      </c>
      <c r="BE55" s="115" t="str">
        <f>VLOOKUP(J55,'[63]ТР нефть'!$J$28:$BP$638,48,0)</f>
        <v>-</v>
      </c>
      <c r="BF55" s="115" t="str">
        <f>VLOOKUP(J55,'[63]ТР нефть'!$J$28:$BP$638,49,0)</f>
        <v>-</v>
      </c>
      <c r="BG55" s="115" t="str">
        <f>VLOOKUP(J55,'[63]ТР нефть'!$J$28:$BP$638,50,0)</f>
        <v>-</v>
      </c>
      <c r="BH55" s="115">
        <f>VLOOKUP(J55,'[63]ТР нефть'!$J$28:$BP$638,51,0)</f>
        <v>1784</v>
      </c>
      <c r="BI55" s="115" t="str">
        <f>VLOOKUP(J55,'[63]ТР нефть'!$J$28:$BP$638,52,0)</f>
        <v>закрыт</v>
      </c>
      <c r="BJ55" s="115" t="str">
        <f>IF(IFERROR(VLOOKUP(J55,'[63]ТР нефть'!$J$28:$BP$638,53,0),"-")=0,"-",IFERROR(VLOOKUP(J55,'[63]ТР нефть'!$J$28:$BP$638,53,0),"-"))</f>
        <v>-</v>
      </c>
      <c r="BK55" s="138" t="str">
        <f>IF(IFERROR(VLOOKUP(J55,'[63]ТР нефть'!$J$28:$BP$638,54,0),"-")=0,"-",IFERROR(VLOOKUP(J55,'[63]ТР нефть'!$J$28:$BP$638,54,0),"-"))</f>
        <v>-</v>
      </c>
      <c r="BL55" s="138" t="str">
        <f>IF(IFERROR(VLOOKUP(J55,'[63]ТР нефть'!$J$28:$BP$638,55,0),"-")=0,"-",IFERROR(VLOOKUP(J55,'[63]ТР нефть'!$J$28:$BP$638,55,0),"-"))</f>
        <v>-</v>
      </c>
      <c r="BM55" s="138" t="str">
        <f>IF(IFERROR(VLOOKUP(J55,'[63]ТР нефть'!$J$28:$BP$638,56,0),"-")=0,"-",IFERROR(VLOOKUP(J55,'[63]ТР нефть'!$J$28:$BP$638,56,0),"-"))</f>
        <v>-</v>
      </c>
      <c r="BN55" s="138" t="str">
        <f>IF(IFERROR(VLOOKUP(J55,'[63]ТР нефть'!$J$28:$BP$638,57,0),"-")=0,"-",IFERROR(VLOOKUP(J55,'[63]ТР нефть'!$J$28:$BP$638,57,0),"-"))</f>
        <v>-</v>
      </c>
      <c r="BO55" s="115" t="str">
        <f>IF(IFERROR(VLOOKUP(J55,'[63]ТР нефть'!$J$28:$BP$638,58,0),"-")=0,"-",IFERROR(VLOOKUP(J55,'[63]ТР нефть'!$J$28:$BP$638,58,0),"-"))</f>
        <v>-</v>
      </c>
      <c r="BP55" s="115" t="str">
        <f>IF(IFERROR(VLOOKUP(J55,'[63]ТР нефть'!$J$28:$BP$638,59,0),"-")=0,"-",IFERROR(VLOOKUP(J55,'[63]ТР нефть'!$J$28:$BP$638,59,0),"-"))</f>
        <v>-</v>
      </c>
      <c r="BQ55" s="138">
        <v>1893</v>
      </c>
      <c r="BR55" s="128">
        <v>1839</v>
      </c>
      <c r="BS55" s="115">
        <f t="shared" si="2"/>
        <v>54</v>
      </c>
      <c r="BT55" s="128">
        <v>73</v>
      </c>
      <c r="BU55" s="128">
        <v>5.5</v>
      </c>
      <c r="BV55" s="127">
        <v>18</v>
      </c>
      <c r="BW55" s="127" t="s">
        <v>234</v>
      </c>
      <c r="BX55" s="127" t="s">
        <v>195</v>
      </c>
      <c r="BY55" s="139">
        <v>24</v>
      </c>
      <c r="BZ55" s="139">
        <v>0</v>
      </c>
      <c r="CA55" s="138">
        <v>18</v>
      </c>
      <c r="CB55" s="138">
        <v>36</v>
      </c>
      <c r="CC55" s="138">
        <v>17</v>
      </c>
      <c r="CD55" s="135">
        <v>45017</v>
      </c>
      <c r="CE55" s="138">
        <v>68</v>
      </c>
      <c r="CF55" s="138">
        <v>74</v>
      </c>
      <c r="CG55" s="138" t="str">
        <f t="shared" si="3"/>
        <v>В работе</v>
      </c>
      <c r="CH55" s="138" t="s">
        <v>196</v>
      </c>
      <c r="CI55" s="138">
        <v>6</v>
      </c>
      <c r="CJ55" s="139"/>
      <c r="CK55" s="138"/>
      <c r="CL55" s="99"/>
      <c r="CM55" s="99"/>
      <c r="CN55" s="140">
        <v>36</v>
      </c>
      <c r="CO55" s="141">
        <f t="shared" si="4"/>
        <v>6.1571400000000001</v>
      </c>
      <c r="CP55" s="142">
        <v>7.5</v>
      </c>
      <c r="CQ55" s="119">
        <v>1.8</v>
      </c>
      <c r="CR55" s="138">
        <v>19.7</v>
      </c>
      <c r="CS55" s="138">
        <v>7.2</v>
      </c>
      <c r="CT55" s="138"/>
      <c r="CU55" s="138">
        <f t="shared" si="5"/>
        <v>12.5</v>
      </c>
      <c r="CV55" s="115">
        <f t="shared" si="6"/>
        <v>2030.1633550642018</v>
      </c>
      <c r="CW55" s="115">
        <f t="shared" si="7"/>
        <v>1140.4188188112084</v>
      </c>
      <c r="CX55" s="133">
        <f t="shared" si="8"/>
        <v>0.234375</v>
      </c>
      <c r="CY55" s="116"/>
      <c r="CZ55" s="131"/>
      <c r="DA55" s="145" t="str">
        <f t="shared" si="9"/>
        <v>Газлифт</v>
      </c>
      <c r="DB55" s="146">
        <f t="shared" si="10"/>
        <v>6.1571400000000001</v>
      </c>
      <c r="DC55" s="142">
        <f t="shared" si="11"/>
        <v>7.5</v>
      </c>
      <c r="DD55" s="119">
        <f t="shared" si="12"/>
        <v>1.8</v>
      </c>
      <c r="DE55" s="115">
        <f t="shared" si="13"/>
        <v>12.5</v>
      </c>
      <c r="DF55" s="121">
        <f t="shared" si="14"/>
        <v>7.2</v>
      </c>
      <c r="DG55" s="115">
        <f t="shared" si="15"/>
        <v>2030.1633550642018</v>
      </c>
      <c r="DH55" s="115">
        <f t="shared" si="16"/>
        <v>36</v>
      </c>
      <c r="DI55" s="147"/>
      <c r="DJ55" s="111" t="s">
        <v>197</v>
      </c>
      <c r="DK55" s="112">
        <v>35955</v>
      </c>
      <c r="DL55" s="113">
        <f t="shared" ca="1" si="42"/>
        <v>9149</v>
      </c>
      <c r="DM55" s="114"/>
      <c r="DN55" s="114"/>
      <c r="DO55" s="114"/>
      <c r="DP55" s="114"/>
      <c r="DQ55" s="112">
        <v>43039</v>
      </c>
      <c r="DR55" s="114" t="s">
        <v>405</v>
      </c>
      <c r="DS55" s="114" t="s">
        <v>406</v>
      </c>
      <c r="DT55" s="115">
        <v>42</v>
      </c>
      <c r="DU55" s="116">
        <f t="shared" si="43"/>
        <v>0.28846153846153844</v>
      </c>
      <c r="DV55" s="117">
        <f t="shared" si="44"/>
        <v>6.1571400000000001</v>
      </c>
      <c r="DW55" s="118">
        <f t="shared" si="45"/>
        <v>7.5</v>
      </c>
      <c r="DX55" s="119">
        <f t="shared" si="21"/>
        <v>1.8</v>
      </c>
      <c r="DY55" s="115">
        <f t="shared" si="46"/>
        <v>12.5</v>
      </c>
      <c r="DZ55" s="117">
        <f t="shared" si="47"/>
        <v>0</v>
      </c>
      <c r="EA55" s="120">
        <f t="shared" si="47"/>
        <v>0</v>
      </c>
      <c r="EB55" s="119">
        <f t="shared" si="47"/>
        <v>0</v>
      </c>
      <c r="EC55" s="121">
        <f t="shared" si="48"/>
        <v>0</v>
      </c>
      <c r="ED55" s="122"/>
      <c r="EE55" s="145">
        <v>18</v>
      </c>
      <c r="EF55" s="115">
        <v>20</v>
      </c>
      <c r="EG55" s="115">
        <v>50</v>
      </c>
      <c r="EH55" s="115">
        <v>19</v>
      </c>
      <c r="EI55" s="128" t="s">
        <v>195</v>
      </c>
      <c r="EJ55" s="121">
        <v>24</v>
      </c>
      <c r="EK55" s="121">
        <v>0</v>
      </c>
      <c r="EL55" s="149">
        <v>6.0954766400000002</v>
      </c>
      <c r="EM55" s="142">
        <v>7.3</v>
      </c>
      <c r="EN55" s="119">
        <v>0.12</v>
      </c>
      <c r="EO55" s="115">
        <v>17.8</v>
      </c>
      <c r="EP55" s="115">
        <v>1755.4000502247845</v>
      </c>
      <c r="EQ55" s="115">
        <v>74</v>
      </c>
      <c r="ER55" s="115">
        <v>7.1</v>
      </c>
      <c r="ES55" s="115">
        <v>38</v>
      </c>
      <c r="ET55" s="150">
        <v>0.24333333333333332</v>
      </c>
      <c r="EU55" s="145">
        <f t="shared" si="25"/>
        <v>18</v>
      </c>
      <c r="EV55" s="115">
        <f t="shared" si="26"/>
        <v>18</v>
      </c>
      <c r="EW55" s="115">
        <f t="shared" si="26"/>
        <v>36</v>
      </c>
      <c r="EX55" s="115">
        <f t="shared" si="26"/>
        <v>17</v>
      </c>
      <c r="EY55" s="115" t="str">
        <f t="shared" si="27"/>
        <v>Постоянный</v>
      </c>
      <c r="EZ55" s="115">
        <f t="shared" si="27"/>
        <v>24</v>
      </c>
      <c r="FA55" s="115">
        <f t="shared" si="27"/>
        <v>0</v>
      </c>
      <c r="FB55" s="149">
        <f t="shared" si="28"/>
        <v>6.1571400000000001</v>
      </c>
      <c r="FC55" s="142">
        <f t="shared" si="28"/>
        <v>7.5</v>
      </c>
      <c r="FD55" s="119">
        <f t="shared" si="28"/>
        <v>1.8</v>
      </c>
      <c r="FE55" s="121">
        <f t="shared" si="28"/>
        <v>19.7</v>
      </c>
      <c r="FF55" s="121">
        <f t="shared" si="49"/>
        <v>2030.1633550642018</v>
      </c>
      <c r="FG55" s="121">
        <f t="shared" si="30"/>
        <v>74</v>
      </c>
      <c r="FH55" s="121">
        <f t="shared" si="50"/>
        <v>7.2</v>
      </c>
      <c r="FI55" s="121">
        <f t="shared" si="32"/>
        <v>36</v>
      </c>
      <c r="FJ55" s="144">
        <f t="shared" si="33"/>
        <v>0.234375</v>
      </c>
      <c r="FK55" s="132">
        <f t="shared" si="34"/>
        <v>0</v>
      </c>
      <c r="FL55" s="115">
        <f t="shared" si="34"/>
        <v>-2</v>
      </c>
      <c r="FM55" s="115">
        <f t="shared" si="34"/>
        <v>-14</v>
      </c>
      <c r="FN55" s="115">
        <f t="shared" si="34"/>
        <v>-2</v>
      </c>
      <c r="FO55" s="115">
        <f t="shared" si="35"/>
        <v>0</v>
      </c>
      <c r="FP55" s="115">
        <f t="shared" si="35"/>
        <v>0</v>
      </c>
      <c r="FQ55" s="149">
        <f t="shared" si="35"/>
        <v>6.1663359999999834E-2</v>
      </c>
      <c r="FR55" s="142">
        <f t="shared" si="35"/>
        <v>0.20000000000000018</v>
      </c>
      <c r="FS55" s="119">
        <f t="shared" si="35"/>
        <v>1.6800000000000002</v>
      </c>
      <c r="FT55" s="121">
        <f t="shared" si="35"/>
        <v>1.8999999999999986</v>
      </c>
      <c r="FU55" s="121">
        <f t="shared" si="36"/>
        <v>0</v>
      </c>
      <c r="FV55" s="121">
        <f t="shared" si="36"/>
        <v>0.10000000000000053</v>
      </c>
      <c r="FW55" s="121">
        <f t="shared" si="37"/>
        <v>274.76330483941729</v>
      </c>
      <c r="FX55" s="121">
        <f t="shared" si="38"/>
        <v>-2</v>
      </c>
      <c r="FY55" s="144">
        <f t="shared" si="38"/>
        <v>-8.9583333333333182E-3</v>
      </c>
      <c r="FZ55" s="145"/>
      <c r="GA55" s="151" t="s">
        <v>266</v>
      </c>
      <c r="GB55" s="145"/>
      <c r="GC55" s="151" t="s">
        <v>407</v>
      </c>
      <c r="GD55" s="997" t="s">
        <v>238</v>
      </c>
      <c r="GE55" s="1004"/>
      <c r="GF55" s="1004">
        <v>0.16950435039999956</v>
      </c>
      <c r="GG55" s="1004"/>
      <c r="GH55" s="1004">
        <v>0</v>
      </c>
      <c r="GI55" s="145"/>
      <c r="GJ55" s="996">
        <v>0</v>
      </c>
      <c r="GK55" s="145"/>
      <c r="GL55" s="996">
        <v>0</v>
      </c>
      <c r="GM55" s="1005"/>
      <c r="GN55" s="996">
        <v>0</v>
      </c>
      <c r="GO55" s="1006"/>
      <c r="GP55" s="996">
        <v>0</v>
      </c>
      <c r="GQ55" s="1006"/>
      <c r="GR55" s="996">
        <v>0</v>
      </c>
      <c r="GS55" s="1006"/>
      <c r="GT55" s="996">
        <v>0</v>
      </c>
      <c r="GU55" s="1006"/>
      <c r="GV55" s="996">
        <v>0</v>
      </c>
      <c r="GW55" s="1006"/>
      <c r="GX55" s="997">
        <v>-0.17682771039999867</v>
      </c>
      <c r="GY55" s="1006" t="s">
        <v>223</v>
      </c>
      <c r="GZ55" s="996">
        <v>-1.0032000000000005</v>
      </c>
      <c r="HA55" s="1006"/>
      <c r="HB55" s="996">
        <v>-0.69399999999999995</v>
      </c>
      <c r="HC55" s="1006"/>
      <c r="HD55" s="996">
        <v>0</v>
      </c>
      <c r="HE55" s="1006"/>
      <c r="HF55" s="996">
        <v>0.94440035800000022</v>
      </c>
      <c r="HG55" s="1006"/>
      <c r="HH55" s="996">
        <v>0</v>
      </c>
      <c r="HI55" s="1006"/>
      <c r="HJ55" s="996">
        <v>0</v>
      </c>
      <c r="HK55" s="1006"/>
      <c r="HL55" s="996">
        <v>0.58980008999999978</v>
      </c>
      <c r="HM55" s="1006"/>
      <c r="HN55" s="996">
        <v>0</v>
      </c>
      <c r="HO55" s="1006"/>
      <c r="HP55" s="996">
        <v>-0.15229244800000075</v>
      </c>
      <c r="HQ55" s="1006" t="s">
        <v>204</v>
      </c>
      <c r="HR55" s="996">
        <v>-4.8487999999999989</v>
      </c>
      <c r="HS55" s="1006" t="s">
        <v>203</v>
      </c>
      <c r="HT55" s="996">
        <v>-8.1826046456000032</v>
      </c>
      <c r="HU55" s="1006"/>
      <c r="HV55" s="996">
        <v>0</v>
      </c>
      <c r="HW55" s="1006" t="s">
        <v>25</v>
      </c>
      <c r="HX55" s="996">
        <v>10.245434645600003</v>
      </c>
      <c r="HY55" s="1006"/>
      <c r="HZ55" s="996">
        <v>0</v>
      </c>
      <c r="IA55" s="1006"/>
      <c r="IB55" s="996">
        <v>0.946769999999999</v>
      </c>
      <c r="IC55" s="1006"/>
      <c r="ID55" s="996">
        <v>0.83600000000000119</v>
      </c>
      <c r="IE55" s="1006"/>
      <c r="IF55" s="996">
        <v>0</v>
      </c>
      <c r="IG55" s="1006"/>
      <c r="IH55" s="996">
        <v>0</v>
      </c>
      <c r="II55" s="1006"/>
      <c r="IJ55" s="996">
        <v>-0.50996000000000041</v>
      </c>
      <c r="IK55" s="1006"/>
      <c r="IL55" s="996">
        <v>0</v>
      </c>
      <c r="IM55" s="1006" t="s">
        <v>199</v>
      </c>
      <c r="IN55" s="996">
        <v>-1.3543199999999995</v>
      </c>
      <c r="IO55" s="1006"/>
      <c r="IP55" s="996">
        <v>0</v>
      </c>
      <c r="IQ55" s="1006"/>
      <c r="IR55" s="996">
        <v>0</v>
      </c>
      <c r="IS55" s="1006"/>
      <c r="IT55" s="996">
        <v>0</v>
      </c>
      <c r="IU55" s="1006" t="s">
        <v>204</v>
      </c>
      <c r="IV55" s="996">
        <v>-1.8977199999999996</v>
      </c>
      <c r="IW55" s="1006"/>
      <c r="IX55" s="996">
        <v>-0.8360000000000003</v>
      </c>
      <c r="IY55" s="1006"/>
      <c r="IZ55" s="996">
        <v>0</v>
      </c>
      <c r="JA55" s="1006" t="s">
        <v>199</v>
      </c>
      <c r="JB55" s="996">
        <v>3.3439999999999994</v>
      </c>
      <c r="JC55" s="1006"/>
      <c r="JD55" s="996">
        <v>0</v>
      </c>
      <c r="JE55" s="1006"/>
      <c r="JF55" s="996">
        <v>0</v>
      </c>
      <c r="JG55" s="1006"/>
      <c r="JH55" s="996">
        <v>0</v>
      </c>
      <c r="JI55" s="1006"/>
      <c r="JJ55" s="996">
        <v>0</v>
      </c>
      <c r="JK55" s="1007"/>
      <c r="JL55" s="1007">
        <v>9.8397199999999074E-2</v>
      </c>
      <c r="JM55" s="1007" t="s">
        <v>25</v>
      </c>
      <c r="JN55" s="1007">
        <v>4.1016668000000012</v>
      </c>
      <c r="JO55" s="1008"/>
      <c r="JP55" s="1007">
        <v>0</v>
      </c>
      <c r="JQ55" s="1008" t="s">
        <v>199</v>
      </c>
      <c r="JR55" s="1007">
        <v>-5.8285919999999996</v>
      </c>
      <c r="JS55" s="1008">
        <v>0</v>
      </c>
      <c r="JT55" s="1007">
        <v>0</v>
      </c>
      <c r="JU55" s="1008"/>
      <c r="JV55" s="1007">
        <v>0</v>
      </c>
      <c r="JW55" s="1008" t="s">
        <v>197</v>
      </c>
      <c r="JX55" s="1007">
        <v>0</v>
      </c>
      <c r="JY55" s="1008" t="s">
        <v>204</v>
      </c>
      <c r="JZ55" s="1007">
        <v>-0.83265600000000006</v>
      </c>
      <c r="KA55" s="1008"/>
      <c r="KB55" s="1007">
        <v>-4.6815999999999747E-2</v>
      </c>
      <c r="KC55" s="1008"/>
      <c r="KD55" s="1007">
        <v>0</v>
      </c>
      <c r="KE55" s="1008"/>
      <c r="KF55" s="1007">
        <v>0</v>
      </c>
      <c r="KG55" s="1008"/>
      <c r="KH55" s="1007">
        <v>0</v>
      </c>
      <c r="KI55" s="1008" t="s">
        <v>207</v>
      </c>
      <c r="KJ55" s="1007">
        <v>2.6751999999999985</v>
      </c>
      <c r="KK55" s="1008"/>
      <c r="KL55" s="1007">
        <v>0</v>
      </c>
      <c r="KM55" s="1008"/>
      <c r="KN55" s="1007">
        <v>0</v>
      </c>
      <c r="KO55" s="1008"/>
      <c r="KP55" s="1007">
        <v>0</v>
      </c>
      <c r="KQ55" s="1008">
        <v>0</v>
      </c>
      <c r="KR55" s="1007">
        <v>0</v>
      </c>
      <c r="KS55" s="1008">
        <v>0</v>
      </c>
      <c r="KT55" s="1007">
        <v>0</v>
      </c>
      <c r="KU55" s="1008" t="s">
        <v>204</v>
      </c>
      <c r="KV55" s="1007">
        <v>-2.6751999999999985</v>
      </c>
      <c r="KW55" s="1008">
        <v>0</v>
      </c>
      <c r="KX55" s="1007">
        <v>0</v>
      </c>
      <c r="KY55" s="1008">
        <v>0</v>
      </c>
      <c r="KZ55" s="1007">
        <v>0</v>
      </c>
      <c r="LA55" s="1008">
        <v>0</v>
      </c>
      <c r="LB55" s="1007">
        <v>0</v>
      </c>
      <c r="LC55" s="1008" t="s">
        <v>223</v>
      </c>
      <c r="LD55" s="1007">
        <v>-2.5498000000000012</v>
      </c>
      <c r="LE55" s="1008">
        <v>0</v>
      </c>
      <c r="LF55" s="1007">
        <v>1.1286000000000005</v>
      </c>
      <c r="LG55" s="1008" t="s">
        <v>203</v>
      </c>
      <c r="LH55" s="1007">
        <v>-2.3826000000000001</v>
      </c>
      <c r="LI55" s="1008" t="s">
        <v>25</v>
      </c>
      <c r="LJ55" s="1007">
        <v>6.0191999999999997</v>
      </c>
      <c r="LK55" s="1008">
        <v>0</v>
      </c>
      <c r="LL55" s="1007">
        <v>0</v>
      </c>
      <c r="LM55" s="1008" t="s">
        <v>206</v>
      </c>
      <c r="LN55" s="1007">
        <v>0.18978900000000001</v>
      </c>
      <c r="LO55" s="1008">
        <v>0</v>
      </c>
      <c r="LP55" s="1007">
        <v>0</v>
      </c>
      <c r="LQ55" s="1008">
        <v>0</v>
      </c>
      <c r="LR55" s="1007">
        <v>0.83424441000000005</v>
      </c>
      <c r="LS55" s="1008">
        <v>0</v>
      </c>
      <c r="LT55" s="1007">
        <v>0</v>
      </c>
      <c r="LU55" s="1008">
        <v>0</v>
      </c>
      <c r="LV55" s="1007">
        <v>-0.11741699999999999</v>
      </c>
      <c r="LW55" s="1008">
        <v>0</v>
      </c>
      <c r="LX55" s="1007">
        <v>-0.13565221</v>
      </c>
      <c r="LY55" s="1009">
        <v>0</v>
      </c>
      <c r="LZ55" s="1010">
        <v>-0.82694862799999802</v>
      </c>
      <c r="MA55" s="1011">
        <v>0</v>
      </c>
      <c r="MB55" s="1012">
        <v>-0.83148100000000003</v>
      </c>
      <c r="MC55" s="995"/>
      <c r="MD55" s="996"/>
      <c r="ME55" s="997" t="s">
        <v>238</v>
      </c>
      <c r="MF55" s="997"/>
      <c r="MG55" s="998"/>
      <c r="NR55" s="1000"/>
      <c r="NS55" s="1000"/>
      <c r="NT55" s="1001"/>
      <c r="NU55" s="1000"/>
      <c r="NV55" s="1001"/>
      <c r="NX55" s="1002"/>
      <c r="NZ55" s="1001"/>
      <c r="OA55" s="1001"/>
      <c r="OC55" s="1003"/>
      <c r="OD55" s="1003"/>
      <c r="OE55" s="1001"/>
      <c r="OF55" s="1003"/>
      <c r="OG55" s="1003"/>
      <c r="QX55" s="1000">
        <f t="shared" si="51"/>
        <v>18</v>
      </c>
      <c r="ASU55" s="999" t="s">
        <v>208</v>
      </c>
    </row>
    <row r="56" spans="1:1191" ht="21" customHeight="1" x14ac:dyDescent="0.25">
      <c r="A56" s="982" t="str">
        <f t="shared" si="0"/>
        <v>35-1</v>
      </c>
      <c r="B56" s="124">
        <f>SUBTOTAL(103,$J$29:J56)</f>
        <v>28</v>
      </c>
      <c r="C56" s="126">
        <v>45068</v>
      </c>
      <c r="D56" s="124" t="s">
        <v>176</v>
      </c>
      <c r="E56" s="127" t="s">
        <v>177</v>
      </c>
      <c r="F56" s="128" t="s">
        <v>177</v>
      </c>
      <c r="G56" s="127" t="s">
        <v>178</v>
      </c>
      <c r="H56" s="127" t="s">
        <v>408</v>
      </c>
      <c r="I56" s="127" t="s">
        <v>409</v>
      </c>
      <c r="J56" s="152" t="s">
        <v>410</v>
      </c>
      <c r="K56" s="127" t="s">
        <v>409</v>
      </c>
      <c r="L56" s="130">
        <v>37412</v>
      </c>
      <c r="M56" s="127" t="s">
        <v>230</v>
      </c>
      <c r="N56" s="127" t="s">
        <v>231</v>
      </c>
      <c r="O56" s="127" t="s">
        <v>185</v>
      </c>
      <c r="P56" s="127" t="s">
        <v>186</v>
      </c>
      <c r="Q56" s="85" t="str">
        <f t="shared" si="40"/>
        <v/>
      </c>
      <c r="R56" s="130"/>
      <c r="S56" s="128" t="s">
        <v>156</v>
      </c>
      <c r="T56" s="131"/>
      <c r="U56" s="132">
        <v>203</v>
      </c>
      <c r="V56" s="121">
        <v>218.2</v>
      </c>
      <c r="W56" s="116">
        <v>0.98</v>
      </c>
      <c r="X56" s="116">
        <v>1.66</v>
      </c>
      <c r="Y56" s="116">
        <f t="shared" si="41"/>
        <v>0.98</v>
      </c>
      <c r="Z56" s="133">
        <v>1.454</v>
      </c>
      <c r="AA56" s="133">
        <v>0.83599999999999997</v>
      </c>
      <c r="AB56" s="133">
        <v>0.72</v>
      </c>
      <c r="AC56" s="121">
        <v>34.299999999999997</v>
      </c>
      <c r="AD56" s="134">
        <v>1.17</v>
      </c>
      <c r="AE56" s="124">
        <v>139.69999999999999</v>
      </c>
      <c r="AF56" s="128">
        <v>7.72</v>
      </c>
      <c r="AG56" s="128">
        <v>1888</v>
      </c>
      <c r="AH56" s="127" t="s">
        <v>411</v>
      </c>
      <c r="AI56" s="127" t="s">
        <v>411</v>
      </c>
      <c r="AJ56" s="135"/>
      <c r="AK56" s="128"/>
      <c r="AL56" s="131"/>
      <c r="AM56" s="124" t="s">
        <v>232</v>
      </c>
      <c r="AN56" s="136" t="s">
        <v>412</v>
      </c>
      <c r="AO56" s="137" t="s">
        <v>413</v>
      </c>
      <c r="AP56" s="128">
        <v>1888</v>
      </c>
      <c r="AQ56" s="128">
        <v>14.92</v>
      </c>
      <c r="AR56" s="128"/>
      <c r="AS56" s="128"/>
      <c r="AT56" s="122"/>
      <c r="AU56" s="124" t="s">
        <v>189</v>
      </c>
      <c r="AV56" s="115">
        <f>VLOOKUP(J56,'[63]ТР нефть'!$J$28:$BP$638,39,0)</f>
        <v>529.99998427699995</v>
      </c>
      <c r="AW56" s="115" t="str">
        <f>VLOOKUP(J56,'[63]ТР нефть'!$J$28:$BP$638,40,0)</f>
        <v>ГК 80 1/8</v>
      </c>
      <c r="AX56" s="115">
        <f>VLOOKUP(J56,'[63]ТР нефть'!$J$28:$BP$638,41,0)</f>
        <v>980.00001445299995</v>
      </c>
      <c r="AY56" s="115" t="str">
        <f>VLOOKUP(J56,'[63]ТР нефть'!$J$28:$BP$638,42,0)</f>
        <v>ГК 80 1/8</v>
      </c>
      <c r="AZ56" s="115">
        <f>VLOOKUP(J56,'[63]ТР нефть'!$J$28:$BP$638,43,0)</f>
        <v>1299.9999796879999</v>
      </c>
      <c r="BA56" s="115" t="str">
        <f>VLOOKUP(J56,'[63]ТР нефть'!$J$28:$BP$638,44,0)</f>
        <v>ГК 79 1/8</v>
      </c>
      <c r="BB56" s="115">
        <f>VLOOKUP(J56,'[63]ТР нефть'!$J$28:$BP$638,45,0)</f>
        <v>1560.000035156</v>
      </c>
      <c r="BC56" s="115" t="str">
        <f>VLOOKUP(J56,'[63]ТР нефть'!$J$28:$BP$638,46,0)</f>
        <v>ГК 79 1/8</v>
      </c>
      <c r="BD56" s="115">
        <f>VLOOKUP(J56,'[63]ТР нефть'!$J$28:$BP$638,47,0)</f>
        <v>1730.000002734</v>
      </c>
      <c r="BE56" s="115" t="str">
        <f>VLOOKUP(J56,'[63]ТР нефть'!$J$28:$BP$638,48,0)</f>
        <v>ЦКсОК 5/16</v>
      </c>
      <c r="BF56" s="115" t="str">
        <f>VLOOKUP(J56,'[63]ТР нефть'!$J$28:$BP$638,49,0)</f>
        <v>-</v>
      </c>
      <c r="BG56" s="115" t="str">
        <f>VLOOKUP(J56,'[63]ТР нефть'!$J$28:$BP$638,50,0)</f>
        <v>-</v>
      </c>
      <c r="BH56" s="115">
        <f>VLOOKUP(J56,'[63]ТР нефть'!$J$28:$BP$638,51,0)</f>
        <v>1770</v>
      </c>
      <c r="BI56" s="115" t="str">
        <f>VLOOKUP(J56,'[63]ТР нефть'!$J$28:$BP$638,52,0)</f>
        <v>закрыт</v>
      </c>
      <c r="BJ56" s="115" t="str">
        <f>IF(IFERROR(VLOOKUP(J56,'[63]ТР нефть'!$J$28:$BP$638,53,0),"-")=0,"-",IFERROR(VLOOKUP(J56,'[63]ТР нефть'!$J$28:$BP$638,53,0),"-"))</f>
        <v>-</v>
      </c>
      <c r="BK56" s="138" t="str">
        <f>IF(IFERROR(VLOOKUP(J56,'[63]ТР нефть'!$J$28:$BP$638,54,0),"-")=0,"-",IFERROR(VLOOKUP(J56,'[63]ТР нефть'!$J$28:$BP$638,54,0),"-"))</f>
        <v>-</v>
      </c>
      <c r="BL56" s="138" t="str">
        <f>IF(IFERROR(VLOOKUP(J56,'[63]ТР нефть'!$J$28:$BP$638,55,0),"-")=0,"-",IFERROR(VLOOKUP(J56,'[63]ТР нефть'!$J$28:$BP$638,55,0),"-"))</f>
        <v>-</v>
      </c>
      <c r="BM56" s="138" t="str">
        <f>IF(IFERROR(VLOOKUP(J56,'[63]ТР нефть'!$J$28:$BP$638,56,0),"-")=0,"-",IFERROR(VLOOKUP(J56,'[63]ТР нефть'!$J$28:$BP$638,56,0),"-"))</f>
        <v>-</v>
      </c>
      <c r="BN56" s="138" t="str">
        <f>IF(IFERROR(VLOOKUP(J56,'[63]ТР нефть'!$J$28:$BP$638,57,0),"-")=0,"-",IFERROR(VLOOKUP(J56,'[63]ТР нефть'!$J$28:$BP$638,57,0),"-"))</f>
        <v>-</v>
      </c>
      <c r="BO56" s="115" t="str">
        <f>IF(IFERROR(VLOOKUP(J56,'[63]ТР нефть'!$J$28:$BP$638,58,0),"-")=0,"-",IFERROR(VLOOKUP(J56,'[63]ТР нефть'!$J$28:$BP$638,58,0),"-"))</f>
        <v>-</v>
      </c>
      <c r="BP56" s="115" t="str">
        <f>IF(IFERROR(VLOOKUP(J56,'[63]ТР нефть'!$J$28:$BP$638,59,0),"-")=0,"-",IFERROR(VLOOKUP(J56,'[63]ТР нефть'!$J$28:$BP$638,59,0),"-"))</f>
        <v>-</v>
      </c>
      <c r="BQ56" s="138">
        <v>2030</v>
      </c>
      <c r="BR56" s="128">
        <v>1912.5</v>
      </c>
      <c r="BS56" s="115">
        <f t="shared" si="2"/>
        <v>117.5</v>
      </c>
      <c r="BT56" s="128">
        <v>73</v>
      </c>
      <c r="BU56" s="128">
        <v>5.5</v>
      </c>
      <c r="BV56" s="127">
        <v>18</v>
      </c>
      <c r="BW56" s="127" t="s">
        <v>194</v>
      </c>
      <c r="BX56" s="127" t="s">
        <v>195</v>
      </c>
      <c r="BY56" s="139">
        <v>24</v>
      </c>
      <c r="BZ56" s="139">
        <v>0</v>
      </c>
      <c r="CA56" s="138">
        <v>20</v>
      </c>
      <c r="CB56" s="138">
        <v>40</v>
      </c>
      <c r="CC56" s="138">
        <v>19</v>
      </c>
      <c r="CD56" s="135">
        <v>45017</v>
      </c>
      <c r="CE56" s="138">
        <v>92</v>
      </c>
      <c r="CF56" s="138">
        <v>67</v>
      </c>
      <c r="CG56" s="138" t="str">
        <f t="shared" si="3"/>
        <v>В работе</v>
      </c>
      <c r="CH56" s="138" t="s">
        <v>196</v>
      </c>
      <c r="CI56" s="127">
        <v>6</v>
      </c>
      <c r="CJ56" s="138"/>
      <c r="CK56" s="138"/>
      <c r="CL56" s="99"/>
      <c r="CM56" s="99"/>
      <c r="CN56" s="140">
        <v>39</v>
      </c>
      <c r="CO56" s="159">
        <f t="shared" si="4"/>
        <v>15.382399999999999</v>
      </c>
      <c r="CP56" s="160">
        <v>18.399999999999999</v>
      </c>
      <c r="CQ56" s="161">
        <v>0</v>
      </c>
      <c r="CR56" s="138">
        <v>17</v>
      </c>
      <c r="CS56" s="139">
        <v>12</v>
      </c>
      <c r="CT56" s="138"/>
      <c r="CU56" s="138">
        <f t="shared" si="5"/>
        <v>5</v>
      </c>
      <c r="CV56" s="115">
        <f t="shared" si="6"/>
        <v>325.04680674017061</v>
      </c>
      <c r="CW56" s="115">
        <f t="shared" si="7"/>
        <v>780.11233617640949</v>
      </c>
      <c r="CX56" s="133">
        <f t="shared" si="8"/>
        <v>0.3471698113207547</v>
      </c>
      <c r="CY56" s="116"/>
      <c r="CZ56" s="131"/>
      <c r="DA56" s="145" t="str">
        <f t="shared" si="9"/>
        <v>Газлифт</v>
      </c>
      <c r="DB56" s="146">
        <f t="shared" si="10"/>
        <v>15.382399999999999</v>
      </c>
      <c r="DC56" s="142">
        <f t="shared" si="11"/>
        <v>18.399999999999999</v>
      </c>
      <c r="DD56" s="119">
        <f t="shared" si="12"/>
        <v>0</v>
      </c>
      <c r="DE56" s="115">
        <f t="shared" si="13"/>
        <v>5</v>
      </c>
      <c r="DF56" s="121">
        <f t="shared" si="14"/>
        <v>12</v>
      </c>
      <c r="DG56" s="115">
        <f t="shared" si="15"/>
        <v>325.04680674017061</v>
      </c>
      <c r="DH56" s="115">
        <f t="shared" si="16"/>
        <v>39</v>
      </c>
      <c r="DI56" s="147"/>
      <c r="DJ56" s="111" t="s">
        <v>197</v>
      </c>
      <c r="DK56" s="112">
        <v>44122.083333333336</v>
      </c>
      <c r="DL56" s="113">
        <f t="shared" ca="1" si="42"/>
        <v>981.91666666666424</v>
      </c>
      <c r="DM56" s="114"/>
      <c r="DN56" s="114"/>
      <c r="DO56" s="114"/>
      <c r="DP56" s="114"/>
      <c r="DQ56" s="112">
        <v>42639</v>
      </c>
      <c r="DR56" s="114" t="s">
        <v>414</v>
      </c>
      <c r="DS56" s="114"/>
      <c r="DT56" s="115">
        <v>47</v>
      </c>
      <c r="DU56" s="116">
        <f t="shared" si="43"/>
        <v>0.40888888888888886</v>
      </c>
      <c r="DV56" s="117">
        <f t="shared" si="44"/>
        <v>15.382399999999999</v>
      </c>
      <c r="DW56" s="118">
        <f t="shared" si="45"/>
        <v>18.399999999999999</v>
      </c>
      <c r="DX56" s="119">
        <f t="shared" si="21"/>
        <v>0</v>
      </c>
      <c r="DY56" s="115">
        <f t="shared" si="46"/>
        <v>5</v>
      </c>
      <c r="DZ56" s="117">
        <f t="shared" si="47"/>
        <v>0</v>
      </c>
      <c r="EA56" s="120">
        <f t="shared" si="47"/>
        <v>0</v>
      </c>
      <c r="EB56" s="119">
        <f t="shared" si="47"/>
        <v>0</v>
      </c>
      <c r="EC56" s="121">
        <f t="shared" si="48"/>
        <v>0</v>
      </c>
      <c r="ED56" s="122"/>
      <c r="EE56" s="145">
        <v>18</v>
      </c>
      <c r="EF56" s="115">
        <v>21</v>
      </c>
      <c r="EG56" s="115">
        <v>38</v>
      </c>
      <c r="EH56" s="115">
        <v>20</v>
      </c>
      <c r="EI56" s="128" t="s">
        <v>195</v>
      </c>
      <c r="EJ56" s="121">
        <v>24</v>
      </c>
      <c r="EK56" s="121">
        <v>0</v>
      </c>
      <c r="EL56" s="162">
        <v>15.883999999999999</v>
      </c>
      <c r="EM56" s="142">
        <v>19</v>
      </c>
      <c r="EN56" s="119">
        <v>0</v>
      </c>
      <c r="EO56" s="115">
        <v>20</v>
      </c>
      <c r="EP56" s="115">
        <v>503.65147318055909</v>
      </c>
      <c r="EQ56" s="115">
        <v>66</v>
      </c>
      <c r="ER56" s="115">
        <v>12</v>
      </c>
      <c r="ES56" s="115">
        <v>41</v>
      </c>
      <c r="ET56" s="150">
        <v>0.37254901960784315</v>
      </c>
      <c r="EU56" s="145">
        <f t="shared" si="25"/>
        <v>18</v>
      </c>
      <c r="EV56" s="115">
        <f t="shared" si="26"/>
        <v>20</v>
      </c>
      <c r="EW56" s="115">
        <f t="shared" si="26"/>
        <v>40</v>
      </c>
      <c r="EX56" s="115">
        <f t="shared" si="26"/>
        <v>19</v>
      </c>
      <c r="EY56" s="115" t="str">
        <f t="shared" si="27"/>
        <v>Постоянный</v>
      </c>
      <c r="EZ56" s="115">
        <f t="shared" si="27"/>
        <v>24</v>
      </c>
      <c r="FA56" s="115">
        <f t="shared" si="27"/>
        <v>0</v>
      </c>
      <c r="FB56" s="149">
        <f t="shared" si="28"/>
        <v>15.382399999999999</v>
      </c>
      <c r="FC56" s="142">
        <f t="shared" si="28"/>
        <v>18.399999999999999</v>
      </c>
      <c r="FD56" s="119">
        <f t="shared" si="28"/>
        <v>0</v>
      </c>
      <c r="FE56" s="121">
        <f t="shared" si="28"/>
        <v>17</v>
      </c>
      <c r="FF56" s="121">
        <f t="shared" si="49"/>
        <v>325.04680674017061</v>
      </c>
      <c r="FG56" s="121">
        <f t="shared" si="30"/>
        <v>67</v>
      </c>
      <c r="FH56" s="121">
        <f t="shared" si="50"/>
        <v>12</v>
      </c>
      <c r="FI56" s="121">
        <f t="shared" si="32"/>
        <v>39</v>
      </c>
      <c r="FJ56" s="144">
        <f t="shared" si="33"/>
        <v>0.3471698113207547</v>
      </c>
      <c r="FK56" s="132">
        <f t="shared" si="34"/>
        <v>0</v>
      </c>
      <c r="FL56" s="115">
        <f t="shared" si="34"/>
        <v>-1</v>
      </c>
      <c r="FM56" s="115">
        <f t="shared" si="34"/>
        <v>2</v>
      </c>
      <c r="FN56" s="115">
        <f t="shared" si="34"/>
        <v>-1</v>
      </c>
      <c r="FO56" s="115">
        <f t="shared" si="35"/>
        <v>0</v>
      </c>
      <c r="FP56" s="115">
        <f t="shared" si="35"/>
        <v>0</v>
      </c>
      <c r="FQ56" s="149">
        <f t="shared" si="35"/>
        <v>-0.50159999999999982</v>
      </c>
      <c r="FR56" s="142">
        <f t="shared" si="35"/>
        <v>-0.60000000000000142</v>
      </c>
      <c r="FS56" s="119">
        <f t="shared" si="35"/>
        <v>0</v>
      </c>
      <c r="FT56" s="121">
        <f t="shared" si="35"/>
        <v>-3</v>
      </c>
      <c r="FU56" s="121">
        <f t="shared" si="36"/>
        <v>1</v>
      </c>
      <c r="FV56" s="121">
        <f t="shared" si="36"/>
        <v>0</v>
      </c>
      <c r="FW56" s="121">
        <f t="shared" si="37"/>
        <v>-178.60466644038848</v>
      </c>
      <c r="FX56" s="121">
        <f t="shared" si="38"/>
        <v>-2</v>
      </c>
      <c r="FY56" s="144">
        <f t="shared" si="38"/>
        <v>-2.5379208287088451E-2</v>
      </c>
      <c r="FZ56" s="145"/>
      <c r="GA56" s="163"/>
      <c r="GB56" s="145" t="s">
        <v>199</v>
      </c>
      <c r="GC56" s="163" t="s">
        <v>415</v>
      </c>
      <c r="GD56" s="997" t="s">
        <v>416</v>
      </c>
      <c r="GE56" s="1004" t="s">
        <v>199</v>
      </c>
      <c r="GF56" s="1004">
        <v>-1.6720000000000024</v>
      </c>
      <c r="GG56" s="1004"/>
      <c r="GH56" s="1004">
        <v>0</v>
      </c>
      <c r="GI56" s="145"/>
      <c r="GJ56" s="996">
        <v>0</v>
      </c>
      <c r="GK56" s="145"/>
      <c r="GL56" s="996">
        <v>1.2540000000000013</v>
      </c>
      <c r="GM56" s="1005"/>
      <c r="GN56" s="996">
        <v>0</v>
      </c>
      <c r="GO56" s="1006"/>
      <c r="GP56" s="996">
        <v>0</v>
      </c>
      <c r="GQ56" s="1006"/>
      <c r="GR56" s="996">
        <v>0</v>
      </c>
      <c r="GS56" s="1006"/>
      <c r="GT56" s="996">
        <v>0.8527199999999997</v>
      </c>
      <c r="GU56" s="1006" t="s">
        <v>199</v>
      </c>
      <c r="GV56" s="996">
        <v>1.8559199999999993</v>
      </c>
      <c r="GW56" s="1006"/>
      <c r="GX56" s="996">
        <v>-0.55175999999999981</v>
      </c>
      <c r="GY56" s="1006"/>
      <c r="GZ56" s="996">
        <v>0.1839200000000023</v>
      </c>
      <c r="HA56" s="1006" t="s">
        <v>223</v>
      </c>
      <c r="HB56" s="996">
        <v>-1.5048000000000012</v>
      </c>
      <c r="HC56" s="1006"/>
      <c r="HD56" s="996">
        <v>0.3176799999999993</v>
      </c>
      <c r="HE56" s="1006" t="s">
        <v>199</v>
      </c>
      <c r="HF56" s="996">
        <v>-1.5716799999999989</v>
      </c>
      <c r="HG56" s="1006" t="s">
        <v>199</v>
      </c>
      <c r="HH56" s="996">
        <v>3.3439999999999994</v>
      </c>
      <c r="HI56" s="1006" t="s">
        <v>223</v>
      </c>
      <c r="HJ56" s="996">
        <v>-1.7971999999999984</v>
      </c>
      <c r="HK56" s="1006"/>
      <c r="HL56" s="996">
        <v>0</v>
      </c>
      <c r="HM56" s="1006"/>
      <c r="HN56" s="996">
        <v>-8.3600000000002339E-2</v>
      </c>
      <c r="HO56" s="1006"/>
      <c r="HP56" s="996">
        <v>-0.56847999999999921</v>
      </c>
      <c r="HQ56" s="1006" t="s">
        <v>199</v>
      </c>
      <c r="HR56" s="996">
        <v>-2.106720000000001</v>
      </c>
      <c r="HS56" s="1006" t="s">
        <v>199</v>
      </c>
      <c r="HT56" s="996">
        <v>2.8423999999999996</v>
      </c>
      <c r="HU56" s="1006"/>
      <c r="HV56" s="996">
        <v>0.5016000000000016</v>
      </c>
      <c r="HW56" s="1006" t="s">
        <v>206</v>
      </c>
      <c r="HX56" s="996">
        <v>-2.687739999999998</v>
      </c>
      <c r="HY56" s="1006"/>
      <c r="HZ56" s="996">
        <v>0</v>
      </c>
      <c r="IA56" s="1006"/>
      <c r="IB56" s="996">
        <v>-0.1379400000000004</v>
      </c>
      <c r="IC56" s="1006"/>
      <c r="ID56" s="996">
        <v>0</v>
      </c>
      <c r="IE56" s="1006" t="s">
        <v>199</v>
      </c>
      <c r="IF56" s="996">
        <v>2.0314800000000002</v>
      </c>
      <c r="IG56" s="1006"/>
      <c r="IH56" s="996">
        <v>0</v>
      </c>
      <c r="II56" s="1006"/>
      <c r="IJ56" s="996">
        <v>0</v>
      </c>
      <c r="IK56" s="1006"/>
      <c r="IL56" s="996">
        <v>0.79419999999999824</v>
      </c>
      <c r="IM56" s="1006" t="s">
        <v>199</v>
      </c>
      <c r="IN56" s="996">
        <v>-5.8520000000000003</v>
      </c>
      <c r="IO56" s="1006" t="s">
        <v>199</v>
      </c>
      <c r="IP56" s="996">
        <v>2.7588000000000008</v>
      </c>
      <c r="IQ56" s="1006"/>
      <c r="IR56" s="996">
        <v>0.83600000000000207</v>
      </c>
      <c r="IS56" s="1006"/>
      <c r="IT56" s="996">
        <v>-0.83600000000000207</v>
      </c>
      <c r="IU56" s="1006" t="s">
        <v>223</v>
      </c>
      <c r="IV56" s="996">
        <v>-3.5947999999999993</v>
      </c>
      <c r="IW56" s="1006"/>
      <c r="IX56" s="996">
        <v>0</v>
      </c>
      <c r="IY56" s="1006"/>
      <c r="IZ56" s="996">
        <v>0</v>
      </c>
      <c r="JA56" s="1006" t="s">
        <v>199</v>
      </c>
      <c r="JB56" s="996">
        <v>5.016</v>
      </c>
      <c r="JC56" s="1006" t="s">
        <v>199</v>
      </c>
      <c r="JD56" s="996">
        <v>-2.2571999999999992</v>
      </c>
      <c r="JE56" s="1006"/>
      <c r="JF56" s="996">
        <v>0</v>
      </c>
      <c r="JG56" s="1006"/>
      <c r="JH56" s="996">
        <v>0</v>
      </c>
      <c r="JI56" s="1006"/>
      <c r="JJ56" s="996">
        <v>0</v>
      </c>
      <c r="JK56" s="1007"/>
      <c r="JL56" s="1007">
        <v>0</v>
      </c>
      <c r="JM56" s="1007" t="s">
        <v>199</v>
      </c>
      <c r="JN56" s="1007">
        <v>2.6919199999999979</v>
      </c>
      <c r="JO56" s="1008"/>
      <c r="JP56" s="1007">
        <v>0</v>
      </c>
      <c r="JQ56" s="1008" t="s">
        <v>199</v>
      </c>
      <c r="JR56" s="1007">
        <v>-3.0263200000000001</v>
      </c>
      <c r="JS56" s="1008">
        <v>0</v>
      </c>
      <c r="JT56" s="1007">
        <v>0</v>
      </c>
      <c r="JU56" s="1008" t="s">
        <v>204</v>
      </c>
      <c r="JV56" s="1007">
        <v>-4.597999999999999</v>
      </c>
      <c r="JW56" s="1008" t="s">
        <v>199</v>
      </c>
      <c r="JX56" s="1007">
        <v>5.5175999999999981</v>
      </c>
      <c r="JY56" s="1008"/>
      <c r="JZ56" s="1007">
        <v>0</v>
      </c>
      <c r="KA56" s="1008"/>
      <c r="KB56" s="1007">
        <v>0</v>
      </c>
      <c r="KC56" s="1008"/>
      <c r="KD56" s="1007">
        <v>0</v>
      </c>
      <c r="KE56" s="1008"/>
      <c r="KF56" s="1007">
        <v>0</v>
      </c>
      <c r="KG56" s="1008"/>
      <c r="KH56" s="1007">
        <v>0</v>
      </c>
      <c r="KI56" s="1008"/>
      <c r="KJ56" s="1007">
        <v>0</v>
      </c>
      <c r="KK56" s="1008"/>
      <c r="KL56" s="1007">
        <v>0</v>
      </c>
      <c r="KM56" s="1008" t="s">
        <v>206</v>
      </c>
      <c r="KN56" s="1007">
        <v>2.7081384000000011</v>
      </c>
      <c r="KO56" s="1008" t="s">
        <v>206</v>
      </c>
      <c r="KP56" s="1007">
        <v>0.28942319999999988</v>
      </c>
      <c r="KQ56" s="1008" t="s">
        <v>206</v>
      </c>
      <c r="KR56" s="1007">
        <v>2.0259624000000009</v>
      </c>
      <c r="KS56" s="1008" t="s">
        <v>204</v>
      </c>
      <c r="KT56" s="1007">
        <v>-2.5064951999999998</v>
      </c>
      <c r="KU56" s="1008">
        <v>0</v>
      </c>
      <c r="KV56" s="1007">
        <v>0</v>
      </c>
      <c r="KW56" s="1008">
        <v>0</v>
      </c>
      <c r="KX56" s="1007">
        <v>0</v>
      </c>
      <c r="KY56" s="1008">
        <v>0</v>
      </c>
      <c r="KZ56" s="1007">
        <v>0</v>
      </c>
      <c r="LA56" s="1008">
        <v>0</v>
      </c>
      <c r="LB56" s="1007">
        <v>0</v>
      </c>
      <c r="LC56" s="1008">
        <v>0</v>
      </c>
      <c r="LD56" s="1007">
        <v>0</v>
      </c>
      <c r="LE56" s="1008">
        <v>0</v>
      </c>
      <c r="LF56" s="1007">
        <v>-1.746191655999997</v>
      </c>
      <c r="LG56" s="1008">
        <v>0</v>
      </c>
      <c r="LH56" s="1007">
        <v>0</v>
      </c>
      <c r="LI56" s="1008">
        <v>0</v>
      </c>
      <c r="LJ56" s="1007">
        <v>0</v>
      </c>
      <c r="LK56" s="1008">
        <v>0</v>
      </c>
      <c r="LL56" s="1007">
        <v>0</v>
      </c>
      <c r="LM56" s="1008" t="s">
        <v>206</v>
      </c>
      <c r="LN56" s="1007">
        <v>-3.3610099999999998</v>
      </c>
      <c r="LO56" s="1008">
        <v>0</v>
      </c>
      <c r="LP56" s="1007">
        <v>0</v>
      </c>
      <c r="LQ56" s="1008">
        <v>0</v>
      </c>
      <c r="LR56" s="1007">
        <v>0</v>
      </c>
      <c r="LS56" s="1008">
        <v>0</v>
      </c>
      <c r="LT56" s="1007">
        <v>0</v>
      </c>
      <c r="LU56" s="1008">
        <v>0</v>
      </c>
      <c r="LV56" s="1007">
        <v>0</v>
      </c>
      <c r="LW56" s="1008">
        <v>0</v>
      </c>
      <c r="LX56" s="1007">
        <v>3.3758496</v>
      </c>
      <c r="LY56" s="1009">
        <v>0</v>
      </c>
      <c r="LZ56" s="1010">
        <v>0.25286399999983</v>
      </c>
      <c r="MA56" s="1011">
        <v>0</v>
      </c>
      <c r="MB56" s="1012">
        <v>0</v>
      </c>
      <c r="MC56" s="995"/>
      <c r="MD56" s="996"/>
      <c r="ME56" s="997" t="s">
        <v>416</v>
      </c>
      <c r="MF56" s="997"/>
      <c r="MG56" s="998"/>
      <c r="NR56" s="1000"/>
      <c r="NS56" s="1000"/>
      <c r="NT56" s="1001"/>
      <c r="NU56" s="1000"/>
      <c r="NV56" s="1001"/>
      <c r="NX56" s="1002"/>
      <c r="NZ56" s="1001"/>
      <c r="OA56" s="1001"/>
      <c r="OC56" s="1003"/>
      <c r="OD56" s="1003"/>
      <c r="OE56" s="1001"/>
      <c r="OF56" s="1003"/>
      <c r="OG56" s="1003"/>
      <c r="QX56" s="1000">
        <f t="shared" si="51"/>
        <v>19</v>
      </c>
      <c r="ASU56" s="999" t="s">
        <v>208</v>
      </c>
    </row>
    <row r="57" spans="1:1191" s="1023" customFormat="1" ht="21" customHeight="1" x14ac:dyDescent="0.25">
      <c r="A57" s="1017" t="str">
        <f t="shared" si="0"/>
        <v>40-1</v>
      </c>
      <c r="B57" s="124">
        <f>SUBTOTAL(103,$J$29:J57)</f>
        <v>29</v>
      </c>
      <c r="C57" s="126">
        <v>45096</v>
      </c>
      <c r="D57" s="124" t="s">
        <v>176</v>
      </c>
      <c r="E57" s="127" t="s">
        <v>177</v>
      </c>
      <c r="F57" s="127" t="s">
        <v>177</v>
      </c>
      <c r="G57" s="127" t="s">
        <v>178</v>
      </c>
      <c r="H57" s="127" t="s">
        <v>179</v>
      </c>
      <c r="I57" s="127" t="s">
        <v>417</v>
      </c>
      <c r="J57" s="152" t="s">
        <v>418</v>
      </c>
      <c r="K57" s="127" t="s">
        <v>182</v>
      </c>
      <c r="L57" s="130">
        <v>36730</v>
      </c>
      <c r="M57" s="127" t="s">
        <v>230</v>
      </c>
      <c r="N57" s="127" t="s">
        <v>231</v>
      </c>
      <c r="O57" s="127" t="s">
        <v>185</v>
      </c>
      <c r="P57" s="127" t="s">
        <v>208</v>
      </c>
      <c r="Q57" s="85" t="str">
        <f t="shared" si="40"/>
        <v/>
      </c>
      <c r="R57" s="130"/>
      <c r="S57" s="128"/>
      <c r="T57" s="131"/>
      <c r="U57" s="132">
        <v>203</v>
      </c>
      <c r="V57" s="121">
        <v>218.2</v>
      </c>
      <c r="W57" s="116">
        <v>0.98</v>
      </c>
      <c r="X57" s="116">
        <v>1.66</v>
      </c>
      <c r="Y57" s="116">
        <f t="shared" si="41"/>
        <v>0.98403097023953534</v>
      </c>
      <c r="Z57" s="133">
        <v>1.454</v>
      </c>
      <c r="AA57" s="133">
        <v>0.83599999999999997</v>
      </c>
      <c r="AB57" s="133">
        <v>0.72</v>
      </c>
      <c r="AC57" s="121">
        <v>34.299999999999997</v>
      </c>
      <c r="AD57" s="134">
        <v>1.17</v>
      </c>
      <c r="AE57" s="124">
        <v>139.69999999999999</v>
      </c>
      <c r="AF57" s="128">
        <v>7.72</v>
      </c>
      <c r="AG57" s="128">
        <v>2093</v>
      </c>
      <c r="AH57" s="127">
        <v>2680</v>
      </c>
      <c r="AI57" s="127">
        <v>2680</v>
      </c>
      <c r="AJ57" s="135"/>
      <c r="AK57" s="128"/>
      <c r="AL57" s="131"/>
      <c r="AM57" s="124" t="s">
        <v>232</v>
      </c>
      <c r="AN57" s="136" t="s">
        <v>419</v>
      </c>
      <c r="AO57" s="137">
        <v>171.22</v>
      </c>
      <c r="AP57" s="128">
        <v>2093</v>
      </c>
      <c r="AQ57" s="128">
        <v>3.2</v>
      </c>
      <c r="AR57" s="128"/>
      <c r="AS57" s="128"/>
      <c r="AT57" s="122"/>
      <c r="AU57" s="124" t="s">
        <v>189</v>
      </c>
      <c r="AV57" s="115">
        <f>VLOOKUP(J57,'[63]ТР нефть'!$J$28:$BP$638,39,0)</f>
        <v>529.99998427699995</v>
      </c>
      <c r="AW57" s="115" t="str">
        <f>VLOOKUP(J57,'[63]ТР нефть'!$J$28:$BP$638,40,0)</f>
        <v>ГП</v>
      </c>
      <c r="AX57" s="115">
        <f>VLOOKUP(J57,'[63]ТР нефть'!$J$28:$BP$638,41,0)</f>
        <v>930.00001523399999</v>
      </c>
      <c r="AY57" s="115" t="str">
        <f>VLOOKUP(J57,'[63]ТР нефть'!$J$28:$BP$638,42,0)</f>
        <v>ГП</v>
      </c>
      <c r="AZ57" s="115">
        <f>VLOOKUP(J57,'[63]ТР нефть'!$J$28:$BP$638,43,0)</f>
        <v>1239.999995508</v>
      </c>
      <c r="BA57" s="115" t="str">
        <f>VLOOKUP(J57,'[63]ТР нефть'!$J$28:$BP$638,44,0)</f>
        <v>ГК 82 1/8</v>
      </c>
      <c r="BB57" s="115">
        <f>VLOOKUP(J57,'[63]ТР нефть'!$J$28:$BP$638,45,0)</f>
        <v>1494.999946875</v>
      </c>
      <c r="BC57" s="115" t="str">
        <f>VLOOKUP(J57,'[63]ТР нефть'!$J$28:$BP$638,46,0)</f>
        <v>ГК 81 1/8</v>
      </c>
      <c r="BD57" s="115">
        <f>VLOOKUP(J57,'[63]ТР нефть'!$J$28:$BP$638,47,0)</f>
        <v>1735.000032422</v>
      </c>
      <c r="BE57" s="115" t="str">
        <f>VLOOKUP(J57,'[63]ТР нефть'!$J$28:$BP$638,48,0)</f>
        <v>ЦКсОК 5/16</v>
      </c>
      <c r="BF57" s="115" t="str">
        <f>VLOOKUP(J57,'[63]ТР нефть'!$J$28:$BP$638,49,0)</f>
        <v>-</v>
      </c>
      <c r="BG57" s="115" t="str">
        <f>VLOOKUP(J57,'[63]ТР нефть'!$J$28:$BP$638,50,0)</f>
        <v>-</v>
      </c>
      <c r="BH57" s="115">
        <f>VLOOKUP(J57,'[63]ТР нефть'!$J$28:$BP$638,51,0)</f>
        <v>1760</v>
      </c>
      <c r="BI57" s="115" t="str">
        <f>VLOOKUP(J57,'[63]ТР нефть'!$J$28:$BP$638,52,0)</f>
        <v>закрыт</v>
      </c>
      <c r="BJ57" s="115" t="str">
        <f>IF(IFERROR(VLOOKUP(J57,'[63]ТР нефть'!$J$28:$BP$638,53,0),"-")=0,"-",IFERROR(VLOOKUP(J57,'[63]ТР нефть'!$J$28:$BP$638,53,0),"-"))</f>
        <v>-</v>
      </c>
      <c r="BK57" s="138" t="str">
        <f>IF(IFERROR(VLOOKUP(J57,'[63]ТР нефть'!$J$28:$BP$638,54,0),"-")=0,"-",IFERROR(VLOOKUP(J57,'[63]ТР нефть'!$J$28:$BP$638,54,0),"-"))</f>
        <v>-</v>
      </c>
      <c r="BL57" s="138" t="str">
        <f>IF(IFERROR(VLOOKUP(J57,'[63]ТР нефть'!$J$28:$BP$638,55,0),"-")=0,"-",IFERROR(VLOOKUP(J57,'[63]ТР нефть'!$J$28:$BP$638,55,0),"-"))</f>
        <v>-</v>
      </c>
      <c r="BM57" s="138" t="str">
        <f>IF(IFERROR(VLOOKUP(J57,'[63]ТР нефть'!$J$28:$BP$638,56,0),"-")=0,"-",IFERROR(VLOOKUP(J57,'[63]ТР нефть'!$J$28:$BP$638,56,0),"-"))</f>
        <v>-</v>
      </c>
      <c r="BN57" s="138" t="str">
        <f>IF(IFERROR(VLOOKUP(J57,'[63]ТР нефть'!$J$28:$BP$638,57,0),"-")=0,"-",IFERROR(VLOOKUP(J57,'[63]ТР нефть'!$J$28:$BP$638,57,0),"-"))</f>
        <v>-</v>
      </c>
      <c r="BO57" s="115" t="str">
        <f>IF(IFERROR(VLOOKUP(J57,'[63]ТР нефть'!$J$28:$BP$638,58,0),"-")=0,"-",IFERROR(VLOOKUP(J57,'[63]ТР нефть'!$J$28:$BP$638,58,0),"-"))</f>
        <v>-</v>
      </c>
      <c r="BP57" s="115" t="str">
        <f>IF(IFERROR(VLOOKUP(J57,'[63]ТР нефть'!$J$28:$BP$638,59,0),"-")=0,"-",IFERROR(VLOOKUP(J57,'[63]ТР нефть'!$J$28:$BP$638,59,0),"-"))</f>
        <v>-</v>
      </c>
      <c r="BQ57" s="138">
        <v>1782</v>
      </c>
      <c r="BR57" s="128">
        <v>1780</v>
      </c>
      <c r="BS57" s="115">
        <f t="shared" si="2"/>
        <v>2</v>
      </c>
      <c r="BT57" s="128">
        <v>73</v>
      </c>
      <c r="BU57" s="128">
        <v>5.5</v>
      </c>
      <c r="BV57" s="127">
        <v>18</v>
      </c>
      <c r="BW57" s="127" t="s">
        <v>234</v>
      </c>
      <c r="BX57" s="127" t="s">
        <v>195</v>
      </c>
      <c r="BY57" s="139">
        <v>24</v>
      </c>
      <c r="BZ57" s="139">
        <v>0</v>
      </c>
      <c r="CA57" s="138">
        <v>21</v>
      </c>
      <c r="CB57" s="138">
        <v>36</v>
      </c>
      <c r="CC57" s="138">
        <v>20</v>
      </c>
      <c r="CD57" s="135">
        <v>45017</v>
      </c>
      <c r="CE57" s="138">
        <v>116</v>
      </c>
      <c r="CF57" s="138">
        <v>81</v>
      </c>
      <c r="CG57" s="138" t="str">
        <f t="shared" si="3"/>
        <v>В работе</v>
      </c>
      <c r="CH57" s="138" t="s">
        <v>196</v>
      </c>
      <c r="CI57" s="127">
        <v>6</v>
      </c>
      <c r="CJ57" s="138"/>
      <c r="CK57" s="138"/>
      <c r="CL57" s="99"/>
      <c r="CM57" s="99"/>
      <c r="CN57" s="140">
        <v>43</v>
      </c>
      <c r="CO57" s="141">
        <f t="shared" si="4"/>
        <v>8.6074559999999991</v>
      </c>
      <c r="CP57" s="142">
        <v>10.4</v>
      </c>
      <c r="CQ57" s="143">
        <v>1</v>
      </c>
      <c r="CR57" s="138">
        <v>15.8</v>
      </c>
      <c r="CS57" s="139">
        <v>10.8</v>
      </c>
      <c r="CT57" s="138"/>
      <c r="CU57" s="138">
        <f t="shared" si="5"/>
        <v>5</v>
      </c>
      <c r="CV57" s="138">
        <f t="shared" si="6"/>
        <v>580.89172921708814</v>
      </c>
      <c r="CW57" s="138">
        <f t="shared" si="7"/>
        <v>1237.4127624002508</v>
      </c>
      <c r="CX57" s="164">
        <f t="shared" si="8"/>
        <v>0.14246575342465753</v>
      </c>
      <c r="CY57" s="165"/>
      <c r="CZ57" s="136"/>
      <c r="DA57" s="124" t="str">
        <f t="shared" si="9"/>
        <v>Газлифт</v>
      </c>
      <c r="DB57" s="166">
        <f t="shared" si="10"/>
        <v>8.6074559999999991</v>
      </c>
      <c r="DC57" s="142">
        <f t="shared" si="11"/>
        <v>10.4</v>
      </c>
      <c r="DD57" s="138">
        <f t="shared" si="12"/>
        <v>1</v>
      </c>
      <c r="DE57" s="138">
        <f t="shared" si="13"/>
        <v>5</v>
      </c>
      <c r="DF57" s="139">
        <f t="shared" si="14"/>
        <v>10.8</v>
      </c>
      <c r="DG57" s="138">
        <f t="shared" si="15"/>
        <v>580.89172921708814</v>
      </c>
      <c r="DH57" s="138">
        <f t="shared" si="16"/>
        <v>43</v>
      </c>
      <c r="DI57" s="167"/>
      <c r="DJ57" s="111" t="s">
        <v>197</v>
      </c>
      <c r="DK57" s="112">
        <v>42064</v>
      </c>
      <c r="DL57" s="113">
        <f t="shared" ca="1" si="42"/>
        <v>3040</v>
      </c>
      <c r="DM57" s="114"/>
      <c r="DN57" s="114"/>
      <c r="DO57" s="114"/>
      <c r="DP57" s="114"/>
      <c r="DQ57" s="112">
        <v>43634</v>
      </c>
      <c r="DR57" s="114" t="s">
        <v>198</v>
      </c>
      <c r="DS57" s="114"/>
      <c r="DT57" s="115">
        <v>57</v>
      </c>
      <c r="DU57" s="116">
        <f t="shared" si="43"/>
        <v>0.17627118644067796</v>
      </c>
      <c r="DV57" s="117">
        <f t="shared" si="44"/>
        <v>8.6074559999999991</v>
      </c>
      <c r="DW57" s="118">
        <f t="shared" si="45"/>
        <v>10.4</v>
      </c>
      <c r="DX57" s="119">
        <f t="shared" si="21"/>
        <v>1</v>
      </c>
      <c r="DY57" s="115">
        <f t="shared" si="46"/>
        <v>5</v>
      </c>
      <c r="DZ57" s="117">
        <f t="shared" si="47"/>
        <v>0</v>
      </c>
      <c r="EA57" s="120">
        <f t="shared" si="47"/>
        <v>0</v>
      </c>
      <c r="EB57" s="119">
        <f t="shared" si="47"/>
        <v>0</v>
      </c>
      <c r="EC57" s="121">
        <f t="shared" si="48"/>
        <v>0</v>
      </c>
      <c r="ED57" s="122"/>
      <c r="EE57" s="124">
        <v>18</v>
      </c>
      <c r="EF57" s="138">
        <v>19</v>
      </c>
      <c r="EG57" s="138">
        <v>66</v>
      </c>
      <c r="EH57" s="138">
        <v>18</v>
      </c>
      <c r="EI57" s="127" t="s">
        <v>195</v>
      </c>
      <c r="EJ57" s="139">
        <v>24</v>
      </c>
      <c r="EK57" s="139">
        <v>0</v>
      </c>
      <c r="EL57" s="139">
        <v>10.3703292</v>
      </c>
      <c r="EM57" s="138">
        <v>12.53</v>
      </c>
      <c r="EN57" s="138">
        <v>1</v>
      </c>
      <c r="EO57" s="138">
        <v>15.8</v>
      </c>
      <c r="EP57" s="138">
        <v>482.14477125759902</v>
      </c>
      <c r="EQ57" s="138">
        <v>81</v>
      </c>
      <c r="ER57" s="138">
        <v>10.8</v>
      </c>
      <c r="ES57" s="138">
        <v>54</v>
      </c>
      <c r="ET57" s="154">
        <v>0.20209677419354838</v>
      </c>
      <c r="EU57" s="124">
        <f t="shared" si="25"/>
        <v>18</v>
      </c>
      <c r="EV57" s="138">
        <f t="shared" si="26"/>
        <v>21</v>
      </c>
      <c r="EW57" s="138">
        <f t="shared" si="26"/>
        <v>36</v>
      </c>
      <c r="EX57" s="138">
        <f t="shared" si="26"/>
        <v>20</v>
      </c>
      <c r="EY57" s="138" t="str">
        <f t="shared" si="27"/>
        <v>Постоянный</v>
      </c>
      <c r="EZ57" s="138">
        <f t="shared" si="27"/>
        <v>24</v>
      </c>
      <c r="FA57" s="138">
        <f t="shared" si="27"/>
        <v>0</v>
      </c>
      <c r="FB57" s="139">
        <f t="shared" si="28"/>
        <v>8.6074559999999991</v>
      </c>
      <c r="FC57" s="138">
        <f t="shared" si="28"/>
        <v>10.4</v>
      </c>
      <c r="FD57" s="138">
        <f t="shared" si="28"/>
        <v>1</v>
      </c>
      <c r="FE57" s="139">
        <f t="shared" si="28"/>
        <v>15.8</v>
      </c>
      <c r="FF57" s="139">
        <f t="shared" si="49"/>
        <v>580.89172921708814</v>
      </c>
      <c r="FG57" s="139">
        <f t="shared" si="30"/>
        <v>81</v>
      </c>
      <c r="FH57" s="139">
        <f t="shared" si="50"/>
        <v>10.8</v>
      </c>
      <c r="FI57" s="139">
        <f t="shared" si="32"/>
        <v>43</v>
      </c>
      <c r="FJ57" s="168">
        <f t="shared" si="33"/>
        <v>0.14246575342465753</v>
      </c>
      <c r="FK57" s="169">
        <f t="shared" si="34"/>
        <v>0</v>
      </c>
      <c r="FL57" s="138">
        <f t="shared" si="34"/>
        <v>2</v>
      </c>
      <c r="FM57" s="138">
        <f t="shared" si="34"/>
        <v>-30</v>
      </c>
      <c r="FN57" s="138">
        <f t="shared" si="34"/>
        <v>2</v>
      </c>
      <c r="FO57" s="138">
        <f t="shared" si="35"/>
        <v>0</v>
      </c>
      <c r="FP57" s="138">
        <f t="shared" si="35"/>
        <v>0</v>
      </c>
      <c r="FQ57" s="149">
        <f t="shared" si="35"/>
        <v>-1.7628732000000014</v>
      </c>
      <c r="FR57" s="142">
        <f t="shared" si="35"/>
        <v>-2.129999999999999</v>
      </c>
      <c r="FS57" s="119">
        <f t="shared" si="35"/>
        <v>0</v>
      </c>
      <c r="FT57" s="139">
        <f t="shared" si="35"/>
        <v>0</v>
      </c>
      <c r="FU57" s="139">
        <f t="shared" si="36"/>
        <v>0</v>
      </c>
      <c r="FV57" s="139">
        <f t="shared" si="36"/>
        <v>0</v>
      </c>
      <c r="FW57" s="139">
        <f t="shared" si="37"/>
        <v>98.746957959489123</v>
      </c>
      <c r="FX57" s="139">
        <f t="shared" si="38"/>
        <v>-11</v>
      </c>
      <c r="FY57" s="168">
        <f t="shared" si="38"/>
        <v>-5.9631020768890847E-2</v>
      </c>
      <c r="FZ57" s="124" t="s">
        <v>223</v>
      </c>
      <c r="GA57" s="151" t="s">
        <v>361</v>
      </c>
      <c r="GB57" s="124"/>
      <c r="GC57" s="151" t="s">
        <v>420</v>
      </c>
      <c r="GD57" s="1018" t="s">
        <v>238</v>
      </c>
      <c r="GE57" s="1019"/>
      <c r="GF57" s="1019">
        <v>0</v>
      </c>
      <c r="GG57" s="1019"/>
      <c r="GH57" s="1019">
        <v>0</v>
      </c>
      <c r="GI57" s="124"/>
      <c r="GJ57" s="1015">
        <v>0.39700553200000144</v>
      </c>
      <c r="GK57" s="124"/>
      <c r="GL57" s="1015">
        <v>0</v>
      </c>
      <c r="GM57" s="1013" t="s">
        <v>199</v>
      </c>
      <c r="GN57" s="1015">
        <v>1.4005992044000006</v>
      </c>
      <c r="GO57" s="1014"/>
      <c r="GP57" s="1015">
        <v>0</v>
      </c>
      <c r="GQ57" s="1014"/>
      <c r="GR57" s="1015">
        <v>0</v>
      </c>
      <c r="GS57" s="1014" t="s">
        <v>199</v>
      </c>
      <c r="GT57" s="1015">
        <v>1.0487244635999984</v>
      </c>
      <c r="GU57" s="1014"/>
      <c r="GV57" s="1015">
        <v>0</v>
      </c>
      <c r="GW57" s="1014"/>
      <c r="GX57" s="1018">
        <v>0</v>
      </c>
      <c r="GY57" s="1014"/>
      <c r="GZ57" s="1015">
        <v>0</v>
      </c>
      <c r="HA57" s="1014"/>
      <c r="HB57" s="1015">
        <v>0</v>
      </c>
      <c r="HC57" s="1014"/>
      <c r="HD57" s="1015">
        <v>0</v>
      </c>
      <c r="HE57" s="1014" t="s">
        <v>199</v>
      </c>
      <c r="HF57" s="1015">
        <v>0</v>
      </c>
      <c r="HG57" s="1014"/>
      <c r="HH57" s="1015">
        <v>0</v>
      </c>
      <c r="HI57" s="1014"/>
      <c r="HJ57" s="1015">
        <v>0</v>
      </c>
      <c r="HK57" s="1014"/>
      <c r="HL57" s="1015">
        <v>0.8360000000000003</v>
      </c>
      <c r="HM57" s="1014"/>
      <c r="HN57" s="1015">
        <v>0</v>
      </c>
      <c r="HO57" s="1014"/>
      <c r="HP57" s="1015">
        <v>0</v>
      </c>
      <c r="HQ57" s="1014"/>
      <c r="HR57" s="1015">
        <v>0</v>
      </c>
      <c r="HS57" s="1014"/>
      <c r="HT57" s="1015">
        <v>0</v>
      </c>
      <c r="HU57" s="1014"/>
      <c r="HV57" s="1015">
        <v>0</v>
      </c>
      <c r="HW57" s="1014"/>
      <c r="HX57" s="1015">
        <v>-0.8360000000000003</v>
      </c>
      <c r="HY57" s="1014" t="s">
        <v>221</v>
      </c>
      <c r="HZ57" s="1015">
        <v>-6.9387999999999996</v>
      </c>
      <c r="IA57" s="1014" t="s">
        <v>199</v>
      </c>
      <c r="IB57" s="1015">
        <v>13.626799999999999</v>
      </c>
      <c r="IC57" s="1014" t="s">
        <v>199</v>
      </c>
      <c r="ID57" s="1015">
        <v>-6.7682559999999992</v>
      </c>
      <c r="IE57" s="1014"/>
      <c r="IF57" s="1015">
        <v>0</v>
      </c>
      <c r="IG57" s="1014" t="s">
        <v>199</v>
      </c>
      <c r="IH57" s="1015">
        <v>-1.5208511999999992</v>
      </c>
      <c r="II57" s="1014"/>
      <c r="IJ57" s="1015">
        <v>0</v>
      </c>
      <c r="IK57" s="1014"/>
      <c r="IL57" s="1015">
        <v>0</v>
      </c>
      <c r="IM57" s="1014"/>
      <c r="IN57" s="1015">
        <v>0</v>
      </c>
      <c r="IO57" s="1014"/>
      <c r="IP57" s="1015">
        <v>0</v>
      </c>
      <c r="IQ57" s="1014"/>
      <c r="IR57" s="1015">
        <v>0</v>
      </c>
      <c r="IS57" s="1014"/>
      <c r="IT57" s="1015">
        <v>0</v>
      </c>
      <c r="IU57" s="1014"/>
      <c r="IV57" s="1015">
        <v>0</v>
      </c>
      <c r="IW57" s="1014"/>
      <c r="IX57" s="1015">
        <v>0</v>
      </c>
      <c r="IY57" s="1014"/>
      <c r="IZ57" s="1015">
        <v>0</v>
      </c>
      <c r="JA57" s="1014"/>
      <c r="JB57" s="1015">
        <v>0</v>
      </c>
      <c r="JC57" s="1014"/>
      <c r="JD57" s="1015">
        <v>0</v>
      </c>
      <c r="JE57" s="1014"/>
      <c r="JF57" s="1015">
        <v>0</v>
      </c>
      <c r="JG57" s="1014"/>
      <c r="JH57" s="1015">
        <v>0</v>
      </c>
      <c r="JI57" s="1014"/>
      <c r="JJ57" s="1015">
        <v>0</v>
      </c>
      <c r="JK57" s="1020"/>
      <c r="JL57" s="1020">
        <v>0.73761283199999994</v>
      </c>
      <c r="JM57" s="1020"/>
      <c r="JN57" s="1020">
        <v>0</v>
      </c>
      <c r="JO57" s="1021"/>
      <c r="JP57" s="1020">
        <v>0</v>
      </c>
      <c r="JQ57" s="1021">
        <v>0</v>
      </c>
      <c r="JR57" s="1020">
        <v>0</v>
      </c>
      <c r="JS57" s="1021" t="s">
        <v>204</v>
      </c>
      <c r="JT57" s="1020">
        <v>-2.4573032880000003</v>
      </c>
      <c r="JU57" s="1021"/>
      <c r="JV57" s="1020">
        <v>0</v>
      </c>
      <c r="JW57" s="1021" t="s">
        <v>197</v>
      </c>
      <c r="JX57" s="1020">
        <v>0</v>
      </c>
      <c r="JY57" s="1021" t="s">
        <v>204</v>
      </c>
      <c r="JZ57" s="1020">
        <v>-3.7574688800000002</v>
      </c>
      <c r="KA57" s="1021"/>
      <c r="KB57" s="1020">
        <v>0</v>
      </c>
      <c r="KC57" s="1021"/>
      <c r="KD57" s="1020">
        <v>0</v>
      </c>
      <c r="KE57" s="1021"/>
      <c r="KF57" s="1020">
        <v>0</v>
      </c>
      <c r="KG57" s="1021"/>
      <c r="KH57" s="1020">
        <v>0</v>
      </c>
      <c r="KI57" s="1021"/>
      <c r="KJ57" s="1020">
        <v>0</v>
      </c>
      <c r="KK57" s="1021"/>
      <c r="KL57" s="1020">
        <v>0</v>
      </c>
      <c r="KM57" s="1021" t="s">
        <v>206</v>
      </c>
      <c r="KN57" s="1020">
        <v>-0.50997671999999916</v>
      </c>
      <c r="KO57" s="1021" t="s">
        <v>206</v>
      </c>
      <c r="KP57" s="1020">
        <v>0.10416559999999819</v>
      </c>
      <c r="KQ57" s="1021">
        <v>0</v>
      </c>
      <c r="KR57" s="1020">
        <v>0</v>
      </c>
      <c r="KS57" s="1021">
        <v>0</v>
      </c>
      <c r="KT57" s="1020">
        <v>0</v>
      </c>
      <c r="KU57" s="1021" t="s">
        <v>207</v>
      </c>
      <c r="KV57" s="1020">
        <v>-7.5239999999999991</v>
      </c>
      <c r="KW57" s="1021" t="s">
        <v>204</v>
      </c>
      <c r="KX57" s="1020">
        <v>-1.6720000000000006</v>
      </c>
      <c r="KY57" s="1021">
        <v>0</v>
      </c>
      <c r="KZ57" s="1020">
        <v>0</v>
      </c>
      <c r="LA57" s="1021" t="s">
        <v>241</v>
      </c>
      <c r="LB57" s="1020">
        <v>7.2278804399999999</v>
      </c>
      <c r="LC57" s="1021">
        <v>0</v>
      </c>
      <c r="LD57" s="1020">
        <v>0</v>
      </c>
      <c r="LE57" s="1021" t="s">
        <v>206</v>
      </c>
      <c r="LF57" s="1020">
        <v>1.1216026800000005</v>
      </c>
      <c r="LG57" s="1021">
        <v>0</v>
      </c>
      <c r="LH57" s="1020">
        <v>0</v>
      </c>
      <c r="LI57" s="1021">
        <v>0</v>
      </c>
      <c r="LJ57" s="1020">
        <v>0</v>
      </c>
      <c r="LK57" s="1021">
        <v>0</v>
      </c>
      <c r="LL57" s="1020">
        <v>0</v>
      </c>
      <c r="LM57" s="1021" t="s">
        <v>206</v>
      </c>
      <c r="LN57" s="1020">
        <v>0.79553799999999997</v>
      </c>
      <c r="LO57" s="1021">
        <v>0</v>
      </c>
      <c r="LP57" s="1020">
        <v>0</v>
      </c>
      <c r="LQ57" s="1021" t="s">
        <v>206</v>
      </c>
      <c r="LR57" s="1020">
        <v>-3.3366431999999993</v>
      </c>
      <c r="LS57" s="1021" t="s">
        <v>203</v>
      </c>
      <c r="LT57" s="1020">
        <v>-1.6766239999999999</v>
      </c>
      <c r="LU57" s="1021">
        <v>0</v>
      </c>
      <c r="LV57" s="1020">
        <v>0</v>
      </c>
      <c r="LW57" s="1021">
        <v>0</v>
      </c>
      <c r="LX57" s="1020">
        <v>6.6826495999999995</v>
      </c>
      <c r="LY57" s="1009" t="s">
        <v>206</v>
      </c>
      <c r="LZ57" s="980">
        <v>1.7466768399999999</v>
      </c>
      <c r="MA57" s="1009">
        <v>0</v>
      </c>
      <c r="MB57" s="1022">
        <v>0</v>
      </c>
      <c r="MC57" s="995"/>
      <c r="MD57" s="1015"/>
      <c r="ME57" s="1018" t="s">
        <v>238</v>
      </c>
      <c r="MF57" s="997"/>
      <c r="MG57" s="998"/>
      <c r="MH57" s="878"/>
      <c r="MI57" s="878"/>
      <c r="MJ57" s="878"/>
      <c r="MK57" s="878"/>
      <c r="ML57" s="878"/>
      <c r="MM57" s="878"/>
      <c r="MN57" s="878"/>
      <c r="MO57" s="878"/>
      <c r="MP57" s="878"/>
      <c r="MQ57" s="878"/>
      <c r="MR57" s="878"/>
      <c r="MS57" s="878"/>
      <c r="MT57" s="878"/>
      <c r="MU57" s="878"/>
      <c r="MV57" s="878"/>
      <c r="MW57" s="878"/>
      <c r="MX57" s="878"/>
      <c r="MY57" s="878"/>
      <c r="MZ57" s="878"/>
      <c r="NA57" s="878"/>
      <c r="NB57" s="878"/>
      <c r="NC57" s="878"/>
      <c r="ND57" s="878"/>
      <c r="NE57" s="878"/>
      <c r="NF57" s="878"/>
      <c r="NG57" s="878"/>
      <c r="NH57" s="878"/>
      <c r="NI57" s="878"/>
      <c r="NJ57" s="878"/>
      <c r="NK57" s="878"/>
      <c r="NL57" s="878"/>
      <c r="NM57" s="878"/>
      <c r="NN57" s="999"/>
      <c r="NO57" s="999"/>
      <c r="NP57" s="999"/>
      <c r="NQ57" s="999"/>
      <c r="NR57" s="1000"/>
      <c r="NS57" s="1000"/>
      <c r="NT57" s="1001"/>
      <c r="NU57" s="1000"/>
      <c r="NV57" s="1001"/>
      <c r="NW57" s="999"/>
      <c r="NX57" s="1002"/>
      <c r="NY57" s="999"/>
      <c r="NZ57" s="1001"/>
      <c r="OA57" s="1001"/>
      <c r="OB57" s="999"/>
      <c r="OC57" s="1003"/>
      <c r="OD57" s="1003"/>
      <c r="OE57" s="1001"/>
      <c r="OF57" s="1003"/>
      <c r="OG57" s="1003"/>
      <c r="OH57" s="999"/>
      <c r="OI57" s="999"/>
      <c r="OJ57" s="999"/>
      <c r="OK57" s="999"/>
      <c r="OL57" s="999"/>
      <c r="OM57" s="999"/>
      <c r="ON57" s="999"/>
      <c r="OO57" s="999"/>
      <c r="OP57" s="999"/>
      <c r="OQ57" s="999"/>
      <c r="OR57" s="999"/>
      <c r="OS57" s="999"/>
      <c r="OT57" s="999"/>
      <c r="OU57" s="999"/>
      <c r="OV57" s="999"/>
      <c r="OW57" s="999"/>
      <c r="OX57" s="999"/>
      <c r="OY57" s="999"/>
      <c r="OZ57" s="999"/>
      <c r="PA57" s="999"/>
      <c r="PB57" s="999"/>
      <c r="PC57" s="999"/>
      <c r="PD57" s="999"/>
      <c r="PE57" s="999"/>
      <c r="PF57" s="999"/>
      <c r="PG57" s="999"/>
      <c r="PH57" s="999"/>
      <c r="PI57" s="999"/>
      <c r="PJ57" s="999"/>
      <c r="PK57" s="999"/>
      <c r="PL57" s="999"/>
      <c r="PM57" s="999"/>
      <c r="PN57" s="999"/>
      <c r="PO57" s="999"/>
      <c r="PP57" s="999"/>
      <c r="PQ57" s="999"/>
      <c r="PR57" s="999"/>
      <c r="PS57" s="999"/>
      <c r="PT57" s="999"/>
      <c r="PU57" s="999"/>
      <c r="PV57" s="999"/>
      <c r="PW57" s="999"/>
      <c r="PX57" s="999"/>
      <c r="PY57" s="999"/>
      <c r="PZ57" s="999"/>
      <c r="QA57" s="999"/>
      <c r="QB57" s="999"/>
      <c r="QC57" s="999"/>
      <c r="QD57" s="999"/>
      <c r="QE57" s="999"/>
      <c r="QF57" s="999"/>
      <c r="QG57" s="999"/>
      <c r="QH57" s="999"/>
      <c r="QI57" s="999"/>
      <c r="QJ57" s="999"/>
      <c r="QK57" s="999"/>
      <c r="QL57" s="999"/>
      <c r="QM57" s="999"/>
      <c r="QN57" s="999"/>
      <c r="QO57" s="999"/>
      <c r="QP57" s="999"/>
      <c r="QQ57" s="999"/>
      <c r="QR57" s="999"/>
      <c r="QS57" s="999"/>
      <c r="QT57" s="999"/>
      <c r="QU57" s="999"/>
      <c r="QV57" s="999"/>
      <c r="QW57" s="999"/>
      <c r="QX57" s="1000">
        <f t="shared" si="51"/>
        <v>22</v>
      </c>
      <c r="QY57" s="999"/>
      <c r="QZ57" s="999"/>
      <c r="RA57" s="999"/>
      <c r="RB57" s="999"/>
      <c r="RC57" s="999"/>
      <c r="RD57" s="999"/>
      <c r="RE57" s="999"/>
      <c r="RF57" s="999"/>
      <c r="RG57" s="999"/>
      <c r="RH57" s="999"/>
      <c r="RI57" s="999"/>
      <c r="RJ57" s="999"/>
      <c r="RK57" s="999"/>
      <c r="RL57" s="999"/>
      <c r="RM57" s="999"/>
      <c r="RN57" s="999"/>
      <c r="RO57" s="999"/>
      <c r="RP57" s="999"/>
      <c r="RQ57" s="999"/>
      <c r="RR57" s="999"/>
      <c r="RS57" s="999"/>
      <c r="RT57" s="999"/>
      <c r="RU57" s="999"/>
      <c r="RV57" s="999"/>
      <c r="RW57" s="999"/>
      <c r="RX57" s="999"/>
      <c r="RY57" s="999"/>
      <c r="RZ57" s="999"/>
      <c r="SA57" s="999"/>
      <c r="SB57" s="999"/>
      <c r="SC57" s="999"/>
      <c r="SD57" s="999"/>
      <c r="SE57" s="999"/>
      <c r="SF57" s="999"/>
      <c r="SG57" s="999"/>
      <c r="SH57" s="999"/>
      <c r="SI57" s="999"/>
      <c r="SJ57" s="999"/>
      <c r="SK57" s="999"/>
      <c r="SL57" s="999"/>
      <c r="SM57" s="999"/>
      <c r="SN57" s="999"/>
      <c r="SO57" s="999"/>
      <c r="SP57" s="999"/>
      <c r="SQ57" s="999"/>
      <c r="SR57" s="999"/>
      <c r="SS57" s="999"/>
      <c r="ST57" s="999"/>
      <c r="SU57" s="999"/>
      <c r="SV57" s="999"/>
      <c r="SW57" s="999"/>
      <c r="SX57" s="999"/>
      <c r="SY57" s="999"/>
      <c r="SZ57" s="999"/>
      <c r="TA57" s="999"/>
      <c r="TB57" s="999"/>
      <c r="TC57" s="999"/>
      <c r="TD57" s="999"/>
      <c r="TE57" s="999"/>
      <c r="TF57" s="999"/>
      <c r="TG57" s="999"/>
      <c r="TH57" s="999"/>
      <c r="TI57" s="999"/>
      <c r="TJ57" s="999"/>
      <c r="TK57" s="999"/>
      <c r="TL57" s="999"/>
      <c r="TM57" s="999"/>
      <c r="TN57" s="999"/>
      <c r="TO57" s="999"/>
      <c r="TP57" s="999"/>
      <c r="TQ57" s="999"/>
      <c r="TR57" s="999"/>
      <c r="TS57" s="999"/>
      <c r="TT57" s="999"/>
      <c r="TU57" s="999"/>
      <c r="TV57" s="999"/>
      <c r="TW57" s="999"/>
      <c r="TX57" s="999"/>
      <c r="TY57" s="999"/>
      <c r="TZ57" s="999"/>
      <c r="UA57" s="999"/>
      <c r="UB57" s="999"/>
      <c r="UC57" s="999"/>
      <c r="UD57" s="999"/>
      <c r="UE57" s="999"/>
      <c r="UF57" s="999"/>
      <c r="UG57" s="999"/>
      <c r="UH57" s="999"/>
      <c r="UI57" s="999"/>
      <c r="UJ57" s="999"/>
      <c r="UK57" s="999"/>
      <c r="UL57" s="999"/>
      <c r="UM57" s="999"/>
      <c r="UN57" s="999"/>
      <c r="UO57" s="999"/>
      <c r="UP57" s="999"/>
      <c r="UQ57" s="999"/>
      <c r="UR57" s="999"/>
      <c r="US57" s="999"/>
      <c r="UT57" s="999"/>
      <c r="UU57" s="999"/>
      <c r="UV57" s="999"/>
      <c r="UW57" s="999"/>
      <c r="UX57" s="999"/>
      <c r="UY57" s="999"/>
      <c r="UZ57" s="999"/>
      <c r="VA57" s="999"/>
      <c r="VB57" s="999"/>
      <c r="VC57" s="999"/>
      <c r="VD57" s="999"/>
      <c r="VE57" s="999"/>
      <c r="VF57" s="999"/>
      <c r="VG57" s="999"/>
      <c r="VH57" s="999"/>
      <c r="VI57" s="999"/>
      <c r="VJ57" s="999"/>
      <c r="VK57" s="999"/>
      <c r="VL57" s="999"/>
      <c r="VM57" s="999"/>
      <c r="VN57" s="999"/>
      <c r="VO57" s="999"/>
      <c r="VP57" s="999"/>
      <c r="VQ57" s="999"/>
      <c r="VR57" s="999"/>
      <c r="VS57" s="999"/>
      <c r="VT57" s="999"/>
      <c r="VU57" s="999"/>
      <c r="VV57" s="999"/>
      <c r="VW57" s="999"/>
      <c r="VX57" s="999"/>
      <c r="VY57" s="999"/>
      <c r="VZ57" s="999"/>
      <c r="WA57" s="999"/>
      <c r="WB57" s="999"/>
      <c r="WC57" s="999"/>
      <c r="WD57" s="999"/>
      <c r="WE57" s="999"/>
      <c r="WF57" s="999"/>
      <c r="WG57" s="999"/>
      <c r="WH57" s="999"/>
      <c r="WI57" s="999"/>
      <c r="WJ57" s="999"/>
      <c r="WK57" s="999"/>
      <c r="WL57" s="999"/>
      <c r="WM57" s="999"/>
      <c r="WN57" s="999"/>
      <c r="WO57" s="999"/>
      <c r="WP57" s="999"/>
      <c r="WQ57" s="999"/>
      <c r="WR57" s="999"/>
      <c r="WS57" s="999"/>
      <c r="WT57" s="999"/>
      <c r="WU57" s="999"/>
      <c r="WV57" s="999"/>
      <c r="WW57" s="999"/>
      <c r="WX57" s="999"/>
      <c r="WY57" s="999"/>
      <c r="WZ57" s="999"/>
      <c r="XA57" s="999"/>
      <c r="XB57" s="999"/>
      <c r="XC57" s="999"/>
      <c r="XD57" s="999"/>
      <c r="XE57" s="999"/>
      <c r="XF57" s="999"/>
      <c r="XG57" s="999"/>
      <c r="XH57" s="999"/>
      <c r="XI57" s="999"/>
      <c r="XJ57" s="999"/>
      <c r="XK57" s="999"/>
      <c r="XL57" s="999"/>
      <c r="XM57" s="999"/>
      <c r="XN57" s="999"/>
      <c r="XO57" s="999"/>
      <c r="XP57" s="999"/>
      <c r="XQ57" s="999"/>
      <c r="XR57" s="999"/>
      <c r="XS57" s="999"/>
      <c r="XT57" s="999"/>
      <c r="XU57" s="999"/>
      <c r="XV57" s="999"/>
      <c r="XW57" s="999"/>
      <c r="XX57" s="999"/>
      <c r="XY57" s="999"/>
      <c r="XZ57" s="999"/>
      <c r="YA57" s="999"/>
      <c r="YB57" s="999"/>
      <c r="YC57" s="999"/>
      <c r="YD57" s="999"/>
      <c r="YE57" s="999"/>
      <c r="YF57" s="999"/>
      <c r="YG57" s="999"/>
      <c r="YH57" s="999"/>
      <c r="YI57" s="999"/>
      <c r="YJ57" s="999"/>
      <c r="YK57" s="999"/>
      <c r="YL57" s="999"/>
      <c r="YM57" s="999"/>
      <c r="YN57" s="999"/>
      <c r="YO57" s="999"/>
      <c r="YP57" s="999"/>
      <c r="YQ57" s="999"/>
      <c r="YR57" s="999"/>
      <c r="YS57" s="999"/>
      <c r="YT57" s="999"/>
      <c r="YU57" s="999"/>
      <c r="YV57" s="999"/>
      <c r="YW57" s="999"/>
      <c r="YX57" s="999"/>
      <c r="YY57" s="999"/>
      <c r="YZ57" s="999"/>
      <c r="ZA57" s="999"/>
      <c r="ZB57" s="999"/>
      <c r="ZC57" s="999"/>
      <c r="ZD57" s="999"/>
      <c r="ZE57" s="999"/>
      <c r="ZF57" s="999"/>
      <c r="ZG57" s="999"/>
      <c r="ZH57" s="999"/>
      <c r="ZI57" s="999"/>
      <c r="ZJ57" s="999"/>
      <c r="ZK57" s="999"/>
      <c r="ZL57" s="999"/>
      <c r="ZM57" s="999"/>
      <c r="ZN57" s="999"/>
      <c r="ZO57" s="999"/>
      <c r="ZP57" s="999"/>
      <c r="ZQ57" s="999"/>
      <c r="ZR57" s="999"/>
      <c r="ZS57" s="999"/>
      <c r="ZT57" s="999"/>
      <c r="ZU57" s="999"/>
      <c r="ZV57" s="999"/>
      <c r="ZW57" s="999"/>
      <c r="ZX57" s="999"/>
      <c r="ZY57" s="999"/>
      <c r="ZZ57" s="999"/>
      <c r="AAA57" s="999"/>
      <c r="AAB57" s="999"/>
      <c r="AAC57" s="999"/>
      <c r="AAD57" s="999"/>
      <c r="AAE57" s="999"/>
      <c r="AAF57" s="999"/>
      <c r="AAG57" s="999"/>
      <c r="AAH57" s="999"/>
      <c r="AAI57" s="999"/>
      <c r="AAJ57" s="999"/>
      <c r="AAK57" s="999"/>
      <c r="AAL57" s="999"/>
      <c r="AAM57" s="999"/>
      <c r="AAN57" s="999"/>
      <c r="AAO57" s="999"/>
      <c r="AAP57" s="999"/>
      <c r="AAQ57" s="999"/>
      <c r="AAR57" s="999"/>
      <c r="AAS57" s="999"/>
      <c r="AAT57" s="999"/>
      <c r="AAU57" s="999"/>
      <c r="AAV57" s="999"/>
      <c r="AAW57" s="999"/>
      <c r="AAX57" s="999"/>
      <c r="AAY57" s="999"/>
      <c r="AAZ57" s="999"/>
      <c r="ABA57" s="999"/>
      <c r="ABB57" s="999"/>
      <c r="ABC57" s="999"/>
      <c r="ABD57" s="999"/>
      <c r="ABE57" s="999"/>
      <c r="ABF57" s="999"/>
      <c r="ABG57" s="999"/>
      <c r="ABH57" s="999"/>
      <c r="ABI57" s="999"/>
      <c r="ABJ57" s="999"/>
      <c r="ABK57" s="999"/>
      <c r="ABL57" s="999"/>
      <c r="ABM57" s="999"/>
      <c r="ABN57" s="999"/>
      <c r="ABO57" s="999"/>
      <c r="ABP57" s="999"/>
      <c r="ABQ57" s="999"/>
      <c r="ABR57" s="999"/>
      <c r="ABS57" s="999"/>
      <c r="ABT57" s="999"/>
      <c r="ABU57" s="999"/>
      <c r="ABV57" s="999"/>
      <c r="ABW57" s="999"/>
      <c r="ABX57" s="999"/>
      <c r="ABY57" s="999"/>
      <c r="ABZ57" s="999"/>
      <c r="ACA57" s="999"/>
      <c r="ACB57" s="999"/>
      <c r="ACC57" s="999"/>
      <c r="ACD57" s="999"/>
      <c r="ACE57" s="999"/>
      <c r="ACF57" s="999"/>
      <c r="ACG57" s="999"/>
      <c r="ACH57" s="999"/>
      <c r="ACI57" s="999"/>
      <c r="ACJ57" s="999"/>
      <c r="ACK57" s="999"/>
      <c r="ACL57" s="999"/>
      <c r="ACM57" s="999"/>
      <c r="ACN57" s="999"/>
      <c r="ACO57" s="999"/>
      <c r="ACP57" s="999"/>
      <c r="ACQ57" s="999"/>
      <c r="ACR57" s="999"/>
      <c r="ACS57" s="999"/>
      <c r="ACT57" s="999"/>
      <c r="ACU57" s="999"/>
      <c r="ACV57" s="999"/>
      <c r="ACW57" s="999"/>
      <c r="ACX57" s="999"/>
      <c r="ACY57" s="999"/>
      <c r="ACZ57" s="999"/>
      <c r="ADA57" s="999"/>
      <c r="ADB57" s="999"/>
      <c r="ADC57" s="999"/>
      <c r="ADD57" s="999"/>
      <c r="ADE57" s="999"/>
      <c r="ADF57" s="999"/>
      <c r="ADG57" s="999"/>
      <c r="ADH57" s="999"/>
      <c r="ADI57" s="999"/>
      <c r="ADJ57" s="999"/>
      <c r="ADK57" s="999"/>
      <c r="ADL57" s="999"/>
      <c r="ADM57" s="999"/>
      <c r="ADN57" s="999"/>
      <c r="ADO57" s="999"/>
      <c r="ADP57" s="999"/>
      <c r="ADQ57" s="999"/>
      <c r="ADR57" s="999"/>
      <c r="ADS57" s="999"/>
      <c r="ADT57" s="999"/>
      <c r="ADU57" s="999"/>
      <c r="ADV57" s="999"/>
      <c r="ADW57" s="999"/>
      <c r="ADX57" s="999"/>
      <c r="ADY57" s="999"/>
      <c r="ADZ57" s="999"/>
      <c r="AEA57" s="999"/>
      <c r="AEB57" s="999"/>
      <c r="AEC57" s="999"/>
      <c r="AED57" s="999"/>
      <c r="AEE57" s="999"/>
      <c r="AEF57" s="999"/>
      <c r="AEG57" s="999"/>
      <c r="AEH57" s="999"/>
      <c r="AEI57" s="999"/>
      <c r="AEJ57" s="999"/>
      <c r="AEK57" s="999"/>
      <c r="AEL57" s="999"/>
      <c r="AEM57" s="999"/>
      <c r="AEN57" s="999"/>
      <c r="AEO57" s="999"/>
      <c r="AEP57" s="999"/>
      <c r="AEQ57" s="999"/>
      <c r="AER57" s="999"/>
      <c r="AES57" s="999"/>
      <c r="AET57" s="999"/>
      <c r="AEU57" s="999"/>
      <c r="AEV57" s="999"/>
      <c r="AEW57" s="999"/>
      <c r="AEX57" s="999"/>
      <c r="AEY57" s="999"/>
      <c r="AEZ57" s="999"/>
      <c r="AFA57" s="999"/>
      <c r="AFB57" s="999"/>
      <c r="AFC57" s="999"/>
      <c r="AFD57" s="999"/>
      <c r="AFE57" s="999"/>
      <c r="AFF57" s="999"/>
      <c r="AFG57" s="999"/>
      <c r="AFH57" s="999"/>
      <c r="AFI57" s="999"/>
      <c r="AFJ57" s="999"/>
      <c r="AFK57" s="999"/>
      <c r="AFL57" s="999"/>
      <c r="AFM57" s="999"/>
      <c r="AFN57" s="999"/>
      <c r="AFO57" s="999"/>
      <c r="AFP57" s="999"/>
      <c r="AFQ57" s="999"/>
      <c r="AFR57" s="999"/>
      <c r="AFS57" s="999"/>
      <c r="AFT57" s="999"/>
      <c r="AFU57" s="999"/>
      <c r="AFV57" s="999"/>
      <c r="AFW57" s="999"/>
      <c r="AFX57" s="999"/>
      <c r="AFY57" s="999"/>
      <c r="AFZ57" s="999"/>
      <c r="AGA57" s="999"/>
      <c r="AGB57" s="999"/>
      <c r="AGC57" s="999"/>
      <c r="AGD57" s="999"/>
      <c r="AGE57" s="999"/>
      <c r="AGF57" s="999"/>
      <c r="AGG57" s="999"/>
      <c r="AGH57" s="999"/>
      <c r="AGI57" s="999"/>
      <c r="AGJ57" s="999"/>
      <c r="AGK57" s="999"/>
      <c r="AGL57" s="999"/>
      <c r="AGM57" s="999"/>
      <c r="AGN57" s="999"/>
      <c r="AGO57" s="999"/>
      <c r="AGP57" s="999"/>
      <c r="AGQ57" s="999"/>
      <c r="AGR57" s="999"/>
      <c r="AGS57" s="999"/>
      <c r="AGT57" s="999"/>
      <c r="AGU57" s="999"/>
      <c r="AGV57" s="999"/>
      <c r="AGW57" s="999"/>
      <c r="AGX57" s="999"/>
      <c r="AGY57" s="999"/>
      <c r="AGZ57" s="999"/>
      <c r="AHA57" s="999"/>
      <c r="AHB57" s="999"/>
      <c r="AHC57" s="999"/>
      <c r="AHD57" s="999"/>
      <c r="AHE57" s="999"/>
      <c r="AHF57" s="999"/>
      <c r="AHG57" s="999"/>
      <c r="AHH57" s="999"/>
      <c r="AHI57" s="999"/>
      <c r="AHJ57" s="999"/>
      <c r="AHK57" s="999"/>
      <c r="AHL57" s="999"/>
      <c r="AHM57" s="999"/>
      <c r="AHN57" s="999"/>
      <c r="AHO57" s="999"/>
      <c r="AHP57" s="999"/>
      <c r="AHQ57" s="999"/>
      <c r="AHR57" s="999"/>
      <c r="AHS57" s="999"/>
      <c r="AHT57" s="999"/>
      <c r="AHU57" s="999"/>
      <c r="AHV57" s="999"/>
      <c r="AHW57" s="999"/>
      <c r="AHX57" s="999"/>
      <c r="AHY57" s="999"/>
      <c r="AHZ57" s="999"/>
      <c r="AIA57" s="999"/>
      <c r="AIB57" s="999"/>
      <c r="AIC57" s="999"/>
      <c r="AID57" s="999"/>
      <c r="AIE57" s="999"/>
      <c r="AIF57" s="999"/>
      <c r="AIG57" s="999"/>
      <c r="AIH57" s="999"/>
      <c r="AII57" s="999"/>
      <c r="AIJ57" s="999"/>
      <c r="AIK57" s="999"/>
      <c r="AIL57" s="999"/>
      <c r="AIM57" s="999"/>
      <c r="AIN57" s="999"/>
      <c r="AIO57" s="999"/>
      <c r="AIP57" s="999"/>
      <c r="AIQ57" s="999"/>
      <c r="AIR57" s="999"/>
      <c r="AIS57" s="999"/>
      <c r="AIT57" s="999"/>
      <c r="AIU57" s="999"/>
      <c r="AIV57" s="999"/>
      <c r="AIW57" s="999"/>
      <c r="AIX57" s="999"/>
      <c r="AIY57" s="999"/>
      <c r="AIZ57" s="999"/>
      <c r="AJA57" s="999"/>
      <c r="AJB57" s="999"/>
      <c r="AJC57" s="999"/>
      <c r="AJD57" s="999"/>
      <c r="AJE57" s="999"/>
      <c r="AJF57" s="999"/>
      <c r="AJG57" s="999"/>
      <c r="AJH57" s="999"/>
      <c r="AJI57" s="999"/>
      <c r="AJJ57" s="999"/>
      <c r="AJK57" s="999"/>
      <c r="AJL57" s="999"/>
      <c r="AJM57" s="999"/>
      <c r="AJN57" s="999"/>
      <c r="AJO57" s="999"/>
      <c r="AJP57" s="999"/>
      <c r="AJQ57" s="999"/>
      <c r="AJR57" s="999"/>
      <c r="AJS57" s="999"/>
      <c r="AJT57" s="999"/>
      <c r="AJU57" s="999"/>
      <c r="AJV57" s="999"/>
      <c r="AJW57" s="999"/>
      <c r="AJX57" s="999"/>
      <c r="AJY57" s="999"/>
      <c r="AJZ57" s="999"/>
      <c r="AKA57" s="999"/>
      <c r="AKB57" s="999"/>
      <c r="AKC57" s="999"/>
      <c r="AKD57" s="999"/>
      <c r="AKE57" s="999"/>
      <c r="AKF57" s="999"/>
      <c r="AKG57" s="999"/>
      <c r="AKH57" s="999"/>
      <c r="AKI57" s="999"/>
      <c r="AKJ57" s="999"/>
      <c r="AKK57" s="999"/>
      <c r="AKL57" s="999"/>
      <c r="AKM57" s="999"/>
      <c r="AKN57" s="999"/>
      <c r="AKO57" s="999"/>
      <c r="AKP57" s="999"/>
      <c r="AKQ57" s="999"/>
      <c r="AKR57" s="999"/>
      <c r="AKS57" s="999"/>
      <c r="AKT57" s="999"/>
      <c r="AKU57" s="999"/>
      <c r="AKV57" s="999"/>
      <c r="AKW57" s="999"/>
      <c r="AKX57" s="999"/>
      <c r="AKY57" s="999"/>
      <c r="AKZ57" s="999"/>
      <c r="ALA57" s="999"/>
      <c r="ALB57" s="999"/>
      <c r="ALC57" s="999"/>
      <c r="ALD57" s="999"/>
      <c r="ALE57" s="999"/>
      <c r="ALF57" s="999"/>
      <c r="ALG57" s="999"/>
      <c r="ALH57" s="999"/>
      <c r="ALI57" s="999"/>
      <c r="ALJ57" s="999"/>
      <c r="ALK57" s="999"/>
      <c r="ALL57" s="999"/>
      <c r="ALM57" s="999"/>
      <c r="ALN57" s="999"/>
      <c r="ALO57" s="999"/>
      <c r="ALP57" s="999"/>
      <c r="ALQ57" s="999"/>
      <c r="ALR57" s="999"/>
      <c r="ALS57" s="999"/>
      <c r="ALT57" s="999"/>
      <c r="ALU57" s="999"/>
      <c r="ALV57" s="999"/>
      <c r="ALW57" s="999"/>
      <c r="ALX57" s="999"/>
      <c r="ALY57" s="999"/>
      <c r="ALZ57" s="999"/>
      <c r="AMA57" s="999"/>
      <c r="AMB57" s="999"/>
      <c r="AMC57" s="999"/>
      <c r="AMD57" s="999"/>
      <c r="AME57" s="999"/>
      <c r="AMF57" s="999"/>
      <c r="AMG57" s="999"/>
      <c r="AMH57" s="999"/>
      <c r="AMI57" s="999"/>
      <c r="AMJ57" s="999"/>
      <c r="AMK57" s="999"/>
      <c r="AML57" s="999"/>
      <c r="AMM57" s="999"/>
      <c r="AMN57" s="999"/>
      <c r="AMO57" s="999"/>
      <c r="AMP57" s="999"/>
      <c r="AMQ57" s="999"/>
      <c r="AMR57" s="999"/>
      <c r="AMS57" s="999"/>
      <c r="AMT57" s="999"/>
      <c r="AMU57" s="999"/>
      <c r="AMV57" s="999"/>
      <c r="AMW57" s="999"/>
      <c r="AMX57" s="999"/>
      <c r="AMY57" s="999"/>
      <c r="AMZ57" s="999"/>
      <c r="ANA57" s="999"/>
      <c r="ANB57" s="999"/>
      <c r="ANC57" s="999"/>
      <c r="AND57" s="999"/>
      <c r="ANE57" s="999"/>
      <c r="ANF57" s="999"/>
      <c r="ANG57" s="999"/>
      <c r="ANH57" s="999"/>
      <c r="ANI57" s="999"/>
      <c r="ANJ57" s="999"/>
      <c r="ANK57" s="999"/>
      <c r="ANL57" s="999"/>
      <c r="ANM57" s="999"/>
      <c r="ANN57" s="999"/>
      <c r="ANO57" s="999"/>
      <c r="ANP57" s="999"/>
      <c r="ANQ57" s="999"/>
      <c r="ANR57" s="999"/>
      <c r="ANS57" s="999"/>
      <c r="ANT57" s="999"/>
      <c r="ANU57" s="999"/>
      <c r="ANV57" s="999"/>
      <c r="ANW57" s="999"/>
      <c r="ANX57" s="999"/>
      <c r="ANY57" s="999"/>
      <c r="ANZ57" s="999"/>
      <c r="AOA57" s="999"/>
      <c r="AOB57" s="999"/>
      <c r="AOC57" s="999"/>
      <c r="AOD57" s="999"/>
      <c r="AOE57" s="999"/>
      <c r="AOF57" s="999"/>
      <c r="AOG57" s="999"/>
      <c r="AOH57" s="999"/>
      <c r="AOI57" s="999"/>
      <c r="AOJ57" s="999"/>
      <c r="AOK57" s="999"/>
      <c r="AOL57" s="999"/>
      <c r="AOM57" s="999"/>
      <c r="AON57" s="999"/>
      <c r="AOO57" s="999"/>
      <c r="AOP57" s="999"/>
      <c r="AOQ57" s="999"/>
      <c r="AOR57" s="999"/>
      <c r="AOS57" s="999"/>
      <c r="AOT57" s="999"/>
      <c r="AOU57" s="999"/>
      <c r="AOV57" s="999"/>
      <c r="AOW57" s="999"/>
      <c r="AOX57" s="999"/>
      <c r="AOY57" s="999"/>
      <c r="AOZ57" s="999"/>
      <c r="APA57" s="999"/>
      <c r="APB57" s="999"/>
      <c r="APC57" s="999"/>
      <c r="APD57" s="999"/>
      <c r="APE57" s="999"/>
      <c r="APF57" s="999"/>
      <c r="APG57" s="999"/>
      <c r="APH57" s="999"/>
      <c r="API57" s="999"/>
      <c r="APJ57" s="999"/>
      <c r="APK57" s="999"/>
      <c r="APL57" s="999"/>
      <c r="APM57" s="999"/>
      <c r="APN57" s="999"/>
      <c r="APO57" s="999"/>
      <c r="APP57" s="999"/>
      <c r="APQ57" s="999"/>
      <c r="APR57" s="999"/>
      <c r="APS57" s="999"/>
      <c r="APT57" s="999"/>
      <c r="APU57" s="999"/>
      <c r="APV57" s="999"/>
      <c r="APW57" s="999"/>
      <c r="APX57" s="999"/>
      <c r="APY57" s="999"/>
      <c r="APZ57" s="999"/>
      <c r="AQA57" s="999"/>
      <c r="AQB57" s="999"/>
      <c r="AQC57" s="999"/>
      <c r="AQD57" s="999"/>
      <c r="AQE57" s="999"/>
      <c r="AQF57" s="999"/>
      <c r="AQG57" s="999"/>
      <c r="AQH57" s="999"/>
      <c r="AQI57" s="999"/>
      <c r="AQJ57" s="999"/>
      <c r="AQK57" s="999"/>
      <c r="AQL57" s="999"/>
      <c r="AQM57" s="999"/>
      <c r="AQN57" s="999"/>
      <c r="AQO57" s="999"/>
      <c r="AQP57" s="999"/>
      <c r="AQQ57" s="999"/>
      <c r="AQR57" s="999"/>
      <c r="AQS57" s="999"/>
      <c r="AQT57" s="999"/>
      <c r="AQU57" s="999"/>
      <c r="AQV57" s="999"/>
      <c r="AQW57" s="999"/>
      <c r="AQX57" s="999"/>
      <c r="AQY57" s="999"/>
      <c r="AQZ57" s="999"/>
      <c r="ARA57" s="999"/>
      <c r="ARB57" s="999"/>
      <c r="ARC57" s="999"/>
      <c r="ARD57" s="999"/>
      <c r="ARE57" s="999"/>
      <c r="ARF57" s="999"/>
      <c r="ARG57" s="999"/>
      <c r="ARH57" s="999"/>
      <c r="ARI57" s="999"/>
      <c r="ARJ57" s="999"/>
      <c r="ARK57" s="999"/>
      <c r="ARL57" s="999"/>
      <c r="ARM57" s="999"/>
      <c r="ARN57" s="999"/>
      <c r="ARO57" s="999"/>
      <c r="ARP57" s="999"/>
      <c r="ARQ57" s="999"/>
      <c r="ARR57" s="999"/>
      <c r="ARS57" s="999"/>
      <c r="ART57" s="999"/>
      <c r="ARU57" s="999"/>
      <c r="ARV57" s="999"/>
      <c r="ARW57" s="999"/>
      <c r="ARX57" s="999"/>
      <c r="ARY57" s="999"/>
      <c r="ARZ57" s="999"/>
      <c r="ASA57" s="999"/>
      <c r="ASB57" s="999"/>
      <c r="ASC57" s="999"/>
      <c r="ASD57" s="999"/>
      <c r="ASE57" s="999"/>
      <c r="ASF57" s="999"/>
      <c r="ASG57" s="999"/>
      <c r="ASH57" s="999"/>
      <c r="ASI57" s="999"/>
      <c r="ASJ57" s="999"/>
      <c r="ASK57" s="999"/>
      <c r="ASL57" s="999"/>
      <c r="ASM57" s="999"/>
      <c r="ASN57" s="999"/>
      <c r="ASO57" s="999"/>
      <c r="ASP57" s="999"/>
      <c r="ASQ57" s="999"/>
      <c r="ASR57" s="999"/>
      <c r="ASU57" s="1023" t="s">
        <v>208</v>
      </c>
    </row>
    <row r="58" spans="1:1191" ht="21" customHeight="1" x14ac:dyDescent="0.25">
      <c r="A58" s="982" t="str">
        <f t="shared" si="0"/>
        <v>41р</v>
      </c>
      <c r="B58" s="124">
        <f>SUBTOTAL(103,$J$29:J58)</f>
        <v>30</v>
      </c>
      <c r="C58" s="126">
        <v>45068</v>
      </c>
      <c r="D58" s="124" t="s">
        <v>176</v>
      </c>
      <c r="E58" s="127" t="s">
        <v>177</v>
      </c>
      <c r="F58" s="128" t="s">
        <v>177</v>
      </c>
      <c r="G58" s="127" t="s">
        <v>178</v>
      </c>
      <c r="H58" s="127" t="s">
        <v>421</v>
      </c>
      <c r="I58" s="127" t="s">
        <v>422</v>
      </c>
      <c r="J58" s="152" t="s">
        <v>423</v>
      </c>
      <c r="K58" s="127" t="s">
        <v>182</v>
      </c>
      <c r="L58" s="130">
        <v>37493</v>
      </c>
      <c r="M58" s="127" t="s">
        <v>230</v>
      </c>
      <c r="N58" s="127" t="s">
        <v>231</v>
      </c>
      <c r="O58" s="127" t="s">
        <v>185</v>
      </c>
      <c r="P58" s="127" t="s">
        <v>292</v>
      </c>
      <c r="Q58" s="85">
        <f t="shared" si="40"/>
        <v>-4</v>
      </c>
      <c r="R58" s="130">
        <v>41399</v>
      </c>
      <c r="S58" s="128" t="s">
        <v>424</v>
      </c>
      <c r="T58" s="131" t="s">
        <v>425</v>
      </c>
      <c r="U58" s="132">
        <v>203</v>
      </c>
      <c r="V58" s="121">
        <v>218.2</v>
      </c>
      <c r="W58" s="116">
        <v>0.98</v>
      </c>
      <c r="X58" s="116">
        <v>1.66</v>
      </c>
      <c r="Y58" s="116">
        <f t="shared" si="41"/>
        <v>0.98040161029819439</v>
      </c>
      <c r="Z58" s="133">
        <v>1.454</v>
      </c>
      <c r="AA58" s="133">
        <v>0.83599999999999997</v>
      </c>
      <c r="AB58" s="133">
        <v>0.72</v>
      </c>
      <c r="AC58" s="121">
        <v>34.299999999999997</v>
      </c>
      <c r="AD58" s="134">
        <v>1.17</v>
      </c>
      <c r="AE58" s="124">
        <v>139.69999999999999</v>
      </c>
      <c r="AF58" s="128">
        <v>7.72</v>
      </c>
      <c r="AG58" s="128">
        <v>2220</v>
      </c>
      <c r="AH58" s="127">
        <v>1950</v>
      </c>
      <c r="AI58" s="127">
        <v>1950</v>
      </c>
      <c r="AJ58" s="135"/>
      <c r="AK58" s="128"/>
      <c r="AL58" s="131"/>
      <c r="AM58" s="124" t="s">
        <v>187</v>
      </c>
      <c r="AN58" s="136" t="s">
        <v>426</v>
      </c>
      <c r="AO58" s="137">
        <v>82</v>
      </c>
      <c r="AP58" s="128">
        <v>1863</v>
      </c>
      <c r="AQ58" s="128">
        <v>0.8</v>
      </c>
      <c r="AR58" s="128"/>
      <c r="AS58" s="128"/>
      <c r="AT58" s="122"/>
      <c r="AU58" s="124" t="s">
        <v>250</v>
      </c>
      <c r="AV58" s="115">
        <f>VLOOKUP(J58,'[63]ТР нефть'!$J$28:$BP$638,39,0)</f>
        <v>640</v>
      </c>
      <c r="AW58" s="115" t="str">
        <f>VLOOKUP(J58,'[63]ТР нефть'!$J$28:$BP$638,40,0)</f>
        <v>ГП</v>
      </c>
      <c r="AX58" s="115">
        <f>VLOOKUP(J58,'[63]ТР нефть'!$J$28:$BP$638,41,0)</f>
        <v>1150</v>
      </c>
      <c r="AY58" s="115" t="str">
        <f>VLOOKUP(J58,'[63]ТР нефть'!$J$28:$BP$638,42,0)</f>
        <v>ГП</v>
      </c>
      <c r="AZ58" s="115">
        <f>VLOOKUP(J58,'[63]ТР нефть'!$J$28:$BP$638,43,0)</f>
        <v>1500</v>
      </c>
      <c r="BA58" s="115" t="str">
        <f>VLOOKUP(J58,'[63]ТР нефть'!$J$28:$BP$638,44,0)</f>
        <v>ГК 981/8</v>
      </c>
      <c r="BB58" s="115">
        <f>VLOOKUP(J58,'[63]ТР нефть'!$J$28:$BP$638,45,0)</f>
        <v>1785</v>
      </c>
      <c r="BC58" s="115" t="str">
        <f>VLOOKUP(J58,'[63]ТР нефть'!$J$28:$BP$638,46,0)</f>
        <v>ЦКсОК 5/16</v>
      </c>
      <c r="BD58" s="115" t="str">
        <f>VLOOKUP(J58,'[63]ТР нефть'!$J$28:$BP$638,47,0)</f>
        <v>-</v>
      </c>
      <c r="BE58" s="115" t="str">
        <f>VLOOKUP(J58,'[63]ТР нефть'!$J$28:$BP$638,48,0)</f>
        <v>-</v>
      </c>
      <c r="BF58" s="115" t="str">
        <f>VLOOKUP(J58,'[63]ТР нефть'!$J$28:$BP$638,49,0)</f>
        <v>-</v>
      </c>
      <c r="BG58" s="115" t="str">
        <f>VLOOKUP(J58,'[63]ТР нефть'!$J$28:$BP$638,50,0)</f>
        <v>-</v>
      </c>
      <c r="BH58" s="115" t="str">
        <f>VLOOKUP(J58,'[63]ТР нефть'!$J$28:$BP$638,51,0)</f>
        <v>-</v>
      </c>
      <c r="BI58" s="115" t="str">
        <f>VLOOKUP(J58,'[63]ТР нефть'!$J$28:$BP$638,52,0)</f>
        <v>-</v>
      </c>
      <c r="BJ58" s="115" t="str">
        <f>IF(IFERROR(VLOOKUP(J58,'[63]ТР нефть'!$J$28:$BP$638,53,0),"-")=0,"-",IFERROR(VLOOKUP(J58,'[63]ТР нефть'!$J$28:$BP$638,53,0),"-"))</f>
        <v>-</v>
      </c>
      <c r="BK58" s="138" t="str">
        <f>IF(IFERROR(VLOOKUP(J58,'[63]ТР нефть'!$J$28:$BP$638,54,0),"-")=0,"-",IFERROR(VLOOKUP(J58,'[63]ТР нефть'!$J$28:$BP$638,54,0),"-"))</f>
        <v>-</v>
      </c>
      <c r="BL58" s="138" t="str">
        <f>IF(IFERROR(VLOOKUP(J58,'[63]ТР нефть'!$J$28:$BP$638,55,0),"-")=0,"-",IFERROR(VLOOKUP(J58,'[63]ТР нефть'!$J$28:$BP$638,55,0),"-"))</f>
        <v>-</v>
      </c>
      <c r="BM58" s="138" t="str">
        <f>IF(IFERROR(VLOOKUP(J58,'[63]ТР нефть'!$J$28:$BP$638,56,0),"-")=0,"-",IFERROR(VLOOKUP(J58,'[63]ТР нефть'!$J$28:$BP$638,56,0),"-"))</f>
        <v>-</v>
      </c>
      <c r="BN58" s="138" t="str">
        <f>IF(IFERROR(VLOOKUP(J58,'[63]ТР нефть'!$J$28:$BP$638,57,0),"-")=0,"-",IFERROR(VLOOKUP(J58,'[63]ТР нефть'!$J$28:$BP$638,57,0),"-"))</f>
        <v>-</v>
      </c>
      <c r="BO58" s="115" t="str">
        <f>IF(IFERROR(VLOOKUP(J58,'[63]ТР нефть'!$J$28:$BP$638,58,0),"-")=0,"-",IFERROR(VLOOKUP(J58,'[63]ТР нефть'!$J$28:$BP$638,58,0),"-"))</f>
        <v>-</v>
      </c>
      <c r="BP58" s="115" t="str">
        <f>IF(IFERROR(VLOOKUP(J58,'[63]ТР нефть'!$J$28:$BP$638,59,0),"-")=0,"-",IFERROR(VLOOKUP(J58,'[63]ТР нефть'!$J$28:$BP$638,59,0),"-"))</f>
        <v>-</v>
      </c>
      <c r="BQ58" s="138">
        <v>1849.15</v>
      </c>
      <c r="BR58" s="128">
        <v>1848.6</v>
      </c>
      <c r="BS58" s="115">
        <f t="shared" si="2"/>
        <v>0.5500000000001819</v>
      </c>
      <c r="BT58" s="128">
        <v>73</v>
      </c>
      <c r="BU58" s="128">
        <v>5.5</v>
      </c>
      <c r="BV58" s="127">
        <v>12</v>
      </c>
      <c r="BW58" s="127" t="s">
        <v>217</v>
      </c>
      <c r="BX58" s="127" t="s">
        <v>195</v>
      </c>
      <c r="BY58" s="139">
        <v>24</v>
      </c>
      <c r="BZ58" s="139">
        <v>0</v>
      </c>
      <c r="CA58" s="138">
        <v>46</v>
      </c>
      <c r="CB58" s="138">
        <v>35</v>
      </c>
      <c r="CC58" s="138">
        <v>39</v>
      </c>
      <c r="CD58" s="135">
        <v>45017</v>
      </c>
      <c r="CE58" s="138">
        <v>116</v>
      </c>
      <c r="CF58" s="138"/>
      <c r="CG58" s="138"/>
      <c r="CH58" s="138"/>
      <c r="CI58" s="127"/>
      <c r="CJ58" s="138"/>
      <c r="CK58" s="138"/>
      <c r="CL58" s="99"/>
      <c r="CM58" s="127"/>
      <c r="CN58" s="154">
        <v>65</v>
      </c>
      <c r="CO58" s="159">
        <f t="shared" si="4"/>
        <v>17.538443999999998</v>
      </c>
      <c r="CP58" s="160">
        <v>21</v>
      </c>
      <c r="CQ58" s="161">
        <v>0.1</v>
      </c>
      <c r="CR58" s="138">
        <v>89</v>
      </c>
      <c r="CS58" s="139"/>
      <c r="CT58" s="138"/>
      <c r="CU58" s="138">
        <f t="shared" si="5"/>
        <v>89</v>
      </c>
      <c r="CV58" s="115">
        <f t="shared" si="6"/>
        <v>5074.5664780752504</v>
      </c>
      <c r="CW58" s="115" t="str">
        <f t="shared" si="7"/>
        <v/>
      </c>
      <c r="CX58" s="133">
        <f t="shared" si="8"/>
        <v>0.41176470588235292</v>
      </c>
      <c r="CY58" s="116"/>
      <c r="CZ58" s="170"/>
      <c r="DA58" s="145" t="str">
        <f t="shared" si="9"/>
        <v>Фон.</v>
      </c>
      <c r="DB58" s="146">
        <f t="shared" si="10"/>
        <v>17.538443999999998</v>
      </c>
      <c r="DC58" s="142">
        <f t="shared" si="11"/>
        <v>21</v>
      </c>
      <c r="DD58" s="119">
        <f t="shared" si="12"/>
        <v>0.1</v>
      </c>
      <c r="DE58" s="115">
        <f t="shared" si="13"/>
        <v>89</v>
      </c>
      <c r="DF58" s="121">
        <f t="shared" si="14"/>
        <v>0</v>
      </c>
      <c r="DG58" s="115">
        <f t="shared" si="15"/>
        <v>5074.5664780752504</v>
      </c>
      <c r="DH58" s="115">
        <f t="shared" si="16"/>
        <v>65</v>
      </c>
      <c r="DI58" s="147"/>
      <c r="DJ58" s="111" t="s">
        <v>197</v>
      </c>
      <c r="DK58" s="112">
        <v>43989</v>
      </c>
      <c r="DL58" s="113">
        <f t="shared" ca="1" si="42"/>
        <v>1115</v>
      </c>
      <c r="DM58" s="114"/>
      <c r="DN58" s="114"/>
      <c r="DO58" s="114"/>
      <c r="DP58" s="114"/>
      <c r="DQ58" s="112">
        <v>42655</v>
      </c>
      <c r="DR58" s="114" t="s">
        <v>198</v>
      </c>
      <c r="DS58" s="114"/>
      <c r="DT58" s="115">
        <v>55</v>
      </c>
      <c r="DU58" s="116">
        <f t="shared" si="43"/>
        <v>0.39215686274509798</v>
      </c>
      <c r="DV58" s="117">
        <f t="shared" si="44"/>
        <v>19.978432941176468</v>
      </c>
      <c r="DW58" s="118">
        <f t="shared" si="45"/>
        <v>23.921568627450977</v>
      </c>
      <c r="DX58" s="119">
        <f t="shared" si="21"/>
        <v>0.1</v>
      </c>
      <c r="DY58" s="115">
        <f t="shared" si="46"/>
        <v>101.38188608776844</v>
      </c>
      <c r="DZ58" s="117">
        <f t="shared" si="47"/>
        <v>2.4399889411764697</v>
      </c>
      <c r="EA58" s="120">
        <f t="shared" si="47"/>
        <v>2.9215686274509771</v>
      </c>
      <c r="EB58" s="119">
        <f t="shared" si="47"/>
        <v>0</v>
      </c>
      <c r="EC58" s="121">
        <f t="shared" si="48"/>
        <v>12.381886087768436</v>
      </c>
      <c r="ED58" s="122"/>
      <c r="EE58" s="145">
        <v>12</v>
      </c>
      <c r="EF58" s="115">
        <v>46</v>
      </c>
      <c r="EG58" s="115">
        <v>35</v>
      </c>
      <c r="EH58" s="115">
        <v>39</v>
      </c>
      <c r="EI58" s="128" t="s">
        <v>195</v>
      </c>
      <c r="EJ58" s="121">
        <v>24</v>
      </c>
      <c r="EK58" s="121">
        <v>0</v>
      </c>
      <c r="EL58" s="162">
        <v>17.538443999999998</v>
      </c>
      <c r="EM58" s="142">
        <v>21</v>
      </c>
      <c r="EN58" s="119">
        <v>0.1</v>
      </c>
      <c r="EO58" s="115">
        <v>89</v>
      </c>
      <c r="EP58" s="115">
        <v>5074.5664780752504</v>
      </c>
      <c r="EQ58" s="115">
        <v>0</v>
      </c>
      <c r="ER58" s="115">
        <v>0</v>
      </c>
      <c r="ES58" s="115">
        <v>65</v>
      </c>
      <c r="ET58" s="150">
        <v>0.41176470588235292</v>
      </c>
      <c r="EU58" s="145">
        <f t="shared" si="25"/>
        <v>12</v>
      </c>
      <c r="EV58" s="115">
        <f t="shared" si="26"/>
        <v>46</v>
      </c>
      <c r="EW58" s="115">
        <f t="shared" si="26"/>
        <v>35</v>
      </c>
      <c r="EX58" s="115">
        <f t="shared" si="26"/>
        <v>39</v>
      </c>
      <c r="EY58" s="115" t="str">
        <f t="shared" si="27"/>
        <v>Постоянный</v>
      </c>
      <c r="EZ58" s="115">
        <f t="shared" si="27"/>
        <v>24</v>
      </c>
      <c r="FA58" s="115">
        <f t="shared" si="27"/>
        <v>0</v>
      </c>
      <c r="FB58" s="149">
        <f t="shared" si="28"/>
        <v>17.538443999999998</v>
      </c>
      <c r="FC58" s="142">
        <f t="shared" si="28"/>
        <v>21</v>
      </c>
      <c r="FD58" s="119">
        <f t="shared" si="28"/>
        <v>0.1</v>
      </c>
      <c r="FE58" s="121">
        <f t="shared" si="28"/>
        <v>89</v>
      </c>
      <c r="FF58" s="121">
        <f t="shared" si="49"/>
        <v>5074.5664780752504</v>
      </c>
      <c r="FG58" s="121">
        <f t="shared" si="30"/>
        <v>0</v>
      </c>
      <c r="FH58" s="121">
        <f t="shared" si="50"/>
        <v>0</v>
      </c>
      <c r="FI58" s="121">
        <f t="shared" si="32"/>
        <v>65</v>
      </c>
      <c r="FJ58" s="144">
        <f t="shared" si="33"/>
        <v>0.41176470588235292</v>
      </c>
      <c r="FK58" s="132">
        <f t="shared" si="34"/>
        <v>0</v>
      </c>
      <c r="FL58" s="115">
        <f t="shared" si="34"/>
        <v>0</v>
      </c>
      <c r="FM58" s="115">
        <f t="shared" si="34"/>
        <v>0</v>
      </c>
      <c r="FN58" s="115">
        <f t="shared" si="34"/>
        <v>0</v>
      </c>
      <c r="FO58" s="115">
        <f t="shared" si="35"/>
        <v>0</v>
      </c>
      <c r="FP58" s="115">
        <f t="shared" si="35"/>
        <v>0</v>
      </c>
      <c r="FQ58" s="149">
        <f t="shared" si="35"/>
        <v>0</v>
      </c>
      <c r="FR58" s="142">
        <f t="shared" si="35"/>
        <v>0</v>
      </c>
      <c r="FS58" s="119">
        <f t="shared" si="35"/>
        <v>0</v>
      </c>
      <c r="FT58" s="121">
        <f t="shared" si="35"/>
        <v>0</v>
      </c>
      <c r="FU58" s="121">
        <f t="shared" si="36"/>
        <v>0</v>
      </c>
      <c r="FV58" s="121">
        <f t="shared" si="36"/>
        <v>0</v>
      </c>
      <c r="FW58" s="121">
        <f t="shared" si="37"/>
        <v>0</v>
      </c>
      <c r="FX58" s="121">
        <f t="shared" si="38"/>
        <v>0</v>
      </c>
      <c r="FY58" s="144">
        <f t="shared" si="38"/>
        <v>0</v>
      </c>
      <c r="FZ58" s="145"/>
      <c r="GA58" s="151" t="s">
        <v>427</v>
      </c>
      <c r="GB58" s="145"/>
      <c r="GC58" s="151"/>
      <c r="GD58" s="997" t="s">
        <v>416</v>
      </c>
      <c r="GE58" s="1004"/>
      <c r="GF58" s="1004">
        <v>0</v>
      </c>
      <c r="GG58" s="1004"/>
      <c r="GH58" s="1004">
        <v>0</v>
      </c>
      <c r="GI58" s="145"/>
      <c r="GJ58" s="996">
        <v>0</v>
      </c>
      <c r="GK58" s="145"/>
      <c r="GL58" s="996">
        <v>0</v>
      </c>
      <c r="GM58" s="1005"/>
      <c r="GN58" s="996">
        <v>0</v>
      </c>
      <c r="GO58" s="1006"/>
      <c r="GP58" s="996">
        <v>0</v>
      </c>
      <c r="GQ58" s="1006"/>
      <c r="GR58" s="996">
        <v>0</v>
      </c>
      <c r="GS58" s="1006" t="s">
        <v>204</v>
      </c>
      <c r="GT58" s="996">
        <v>-4.0780079999999987</v>
      </c>
      <c r="GU58" s="1006" t="s">
        <v>204</v>
      </c>
      <c r="GV58" s="996">
        <v>-10.221926660000001</v>
      </c>
      <c r="GW58" s="1006"/>
      <c r="GX58" s="996">
        <v>0</v>
      </c>
      <c r="GY58" s="1006" t="s">
        <v>199</v>
      </c>
      <c r="GZ58" s="996">
        <v>5.0512666600000014</v>
      </c>
      <c r="HA58" s="1006" t="s">
        <v>199</v>
      </c>
      <c r="HB58" s="996">
        <v>-3.632419999999998</v>
      </c>
      <c r="HC58" s="1006"/>
      <c r="HD58" s="996">
        <v>6.45559200000001E-2</v>
      </c>
      <c r="HE58" s="1006" t="s">
        <v>199</v>
      </c>
      <c r="HF58" s="996">
        <v>0.99988943999999691</v>
      </c>
      <c r="HG58" s="1006" t="s">
        <v>199</v>
      </c>
      <c r="HH58" s="996">
        <v>-5.7024061599999989</v>
      </c>
      <c r="HI58" s="1006" t="s">
        <v>199</v>
      </c>
      <c r="HJ58" s="996">
        <v>0.69036879999999812</v>
      </c>
      <c r="HK58" s="1006" t="s">
        <v>199</v>
      </c>
      <c r="HL58" s="996">
        <v>-5.0812080000000002</v>
      </c>
      <c r="HM58" s="1006" t="s">
        <v>204</v>
      </c>
      <c r="HN58" s="996">
        <v>13.176329760000002</v>
      </c>
      <c r="HO58" s="1006"/>
      <c r="HP58" s="996">
        <v>0</v>
      </c>
      <c r="HQ58" s="1006"/>
      <c r="HR58" s="996">
        <v>0</v>
      </c>
      <c r="HS58" s="1006" t="s">
        <v>199</v>
      </c>
      <c r="HT58" s="996">
        <v>4.1595681599999992</v>
      </c>
      <c r="HU58" s="1006"/>
      <c r="HV58" s="996">
        <v>0</v>
      </c>
      <c r="HW58" s="1006"/>
      <c r="HX58" s="996">
        <v>0</v>
      </c>
      <c r="HY58" s="1006" t="s">
        <v>204</v>
      </c>
      <c r="HZ58" s="996">
        <v>-15.901112919999999</v>
      </c>
      <c r="IA58" s="1006"/>
      <c r="IB58" s="996">
        <v>0</v>
      </c>
      <c r="IC58" s="1006"/>
      <c r="ID58" s="996">
        <v>0</v>
      </c>
      <c r="IE58" s="1006"/>
      <c r="IF58" s="996">
        <v>0</v>
      </c>
      <c r="IG58" s="1006"/>
      <c r="IH58" s="996">
        <v>0</v>
      </c>
      <c r="II58" s="1006" t="s">
        <v>204</v>
      </c>
      <c r="IJ58" s="996">
        <v>1.6711639999999974</v>
      </c>
      <c r="IK58" s="1006" t="s">
        <v>204</v>
      </c>
      <c r="IL58" s="996">
        <v>2.293800080000004</v>
      </c>
      <c r="IM58" s="1006" t="s">
        <v>199</v>
      </c>
      <c r="IN58" s="996">
        <v>-5.8784925056000006</v>
      </c>
      <c r="IO58" s="1006" t="s">
        <v>203</v>
      </c>
      <c r="IP58" s="996">
        <v>-5.7069054284000025</v>
      </c>
      <c r="IQ58" s="1006" t="s">
        <v>203</v>
      </c>
      <c r="IR58" s="996">
        <v>-3.3655015019999936</v>
      </c>
      <c r="IS58" s="1006" t="s">
        <v>203</v>
      </c>
      <c r="IT58" s="996">
        <v>-6.5576496440000085</v>
      </c>
      <c r="IU58" s="1006" t="s">
        <v>204</v>
      </c>
      <c r="IV58" s="996">
        <v>20</v>
      </c>
      <c r="IW58" s="1006" t="s">
        <v>25</v>
      </c>
      <c r="IX58" s="996">
        <v>23.8</v>
      </c>
      <c r="IY58" s="1006"/>
      <c r="IZ58" s="996">
        <v>0</v>
      </c>
      <c r="JA58" s="1006"/>
      <c r="JB58" s="996">
        <v>0</v>
      </c>
      <c r="JC58" s="1006"/>
      <c r="JD58" s="996">
        <v>0</v>
      </c>
      <c r="JE58" s="1006"/>
      <c r="JF58" s="996">
        <v>0</v>
      </c>
      <c r="JG58" s="1006"/>
      <c r="JH58" s="996">
        <v>0</v>
      </c>
      <c r="JI58" s="1006"/>
      <c r="JJ58" s="996">
        <v>0</v>
      </c>
      <c r="JK58" s="1007"/>
      <c r="JL58" s="1007">
        <v>0</v>
      </c>
      <c r="JM58" s="1007"/>
      <c r="JN58" s="1007">
        <v>0.71643527999999979</v>
      </c>
      <c r="JO58" s="1008" t="s">
        <v>199</v>
      </c>
      <c r="JP58" s="1007">
        <v>-2.09</v>
      </c>
      <c r="JQ58" s="1008">
        <v>0</v>
      </c>
      <c r="JR58" s="1007">
        <v>0</v>
      </c>
      <c r="JS58" s="1008">
        <v>0</v>
      </c>
      <c r="JT58" s="1007">
        <v>0</v>
      </c>
      <c r="JU58" s="1008" t="s">
        <v>204</v>
      </c>
      <c r="JV58" s="1007">
        <v>-6.0191999999999997</v>
      </c>
      <c r="JW58" s="1008" t="s">
        <v>197</v>
      </c>
      <c r="JX58" s="1007">
        <v>1.1369600000000091E-2</v>
      </c>
      <c r="JY58" s="1008"/>
      <c r="JZ58" s="1007">
        <v>0</v>
      </c>
      <c r="KA58" s="1008"/>
      <c r="KB58" s="1007">
        <v>0</v>
      </c>
      <c r="KC58" s="1008"/>
      <c r="KD58" s="1007">
        <v>0</v>
      </c>
      <c r="KE58" s="1008"/>
      <c r="KF58" s="1007">
        <v>0</v>
      </c>
      <c r="KG58" s="1008"/>
      <c r="KH58" s="1007">
        <v>0</v>
      </c>
      <c r="KI58" s="1008"/>
      <c r="KJ58" s="1007">
        <v>0</v>
      </c>
      <c r="KK58" s="1008"/>
      <c r="KL58" s="1007">
        <v>0</v>
      </c>
      <c r="KM58" s="1008"/>
      <c r="KN58" s="1007">
        <v>0</v>
      </c>
      <c r="KO58" s="1008"/>
      <c r="KP58" s="1007">
        <v>0</v>
      </c>
      <c r="KQ58" s="1008" t="s">
        <v>207</v>
      </c>
      <c r="KR58" s="1007">
        <v>5.0046303999999999</v>
      </c>
      <c r="KS58" s="1008">
        <v>0</v>
      </c>
      <c r="KT58" s="1007">
        <v>0</v>
      </c>
      <c r="KU58" s="1008" t="s">
        <v>260</v>
      </c>
      <c r="KV58" s="1007">
        <v>4.18</v>
      </c>
      <c r="KW58" s="1008">
        <v>0</v>
      </c>
      <c r="KX58" s="1007">
        <v>0</v>
      </c>
      <c r="KY58" s="1008">
        <v>0</v>
      </c>
      <c r="KZ58" s="1007">
        <v>0</v>
      </c>
      <c r="LA58" s="1008">
        <v>0</v>
      </c>
      <c r="LB58" s="1007">
        <v>0</v>
      </c>
      <c r="LC58" s="1008">
        <v>0</v>
      </c>
      <c r="LD58" s="1007">
        <v>0</v>
      </c>
      <c r="LE58" s="1008">
        <v>0</v>
      </c>
      <c r="LF58" s="1007">
        <v>0</v>
      </c>
      <c r="LG58" s="1008">
        <v>0</v>
      </c>
      <c r="LH58" s="1007">
        <v>-4.1356000000000002</v>
      </c>
      <c r="LI58" s="1008">
        <v>0</v>
      </c>
      <c r="LJ58" s="1007">
        <v>0</v>
      </c>
      <c r="LK58" s="1008">
        <v>0</v>
      </c>
      <c r="LL58" s="1007">
        <v>0</v>
      </c>
      <c r="LM58" s="1008" t="s">
        <v>206</v>
      </c>
      <c r="LN58" s="1007">
        <v>-0.50475000000000003</v>
      </c>
      <c r="LO58" s="1008">
        <v>0</v>
      </c>
      <c r="LP58" s="1007">
        <v>-0.39971580000000001</v>
      </c>
      <c r="LQ58" s="1008" t="s">
        <v>223</v>
      </c>
      <c r="LR58" s="1007">
        <v>-1.6693248000000001</v>
      </c>
      <c r="LS58" s="1008">
        <v>0</v>
      </c>
      <c r="LT58" s="1007">
        <v>0</v>
      </c>
      <c r="LU58" s="1008" t="s">
        <v>223</v>
      </c>
      <c r="LV58" s="1007">
        <v>-5.5217800000000006</v>
      </c>
      <c r="LW58" s="1008" t="s">
        <v>223</v>
      </c>
      <c r="LX58" s="1007">
        <v>-5.2179341279999996</v>
      </c>
      <c r="LY58" s="1009" t="s">
        <v>207</v>
      </c>
      <c r="LZ58" s="1010">
        <v>9.2861919999999998</v>
      </c>
      <c r="MA58" s="1011" t="s">
        <v>223</v>
      </c>
      <c r="MB58" s="1012">
        <v>-2.7854633839999998</v>
      </c>
      <c r="MC58" s="995"/>
      <c r="MD58" s="996"/>
      <c r="ME58" s="997" t="s">
        <v>416</v>
      </c>
      <c r="MF58" s="997"/>
      <c r="MG58" s="998"/>
      <c r="NR58" s="1000"/>
      <c r="NS58" s="1000"/>
      <c r="NT58" s="1001"/>
      <c r="NU58" s="1000"/>
      <c r="NV58" s="1001"/>
      <c r="NX58" s="1002"/>
      <c r="NZ58" s="1001"/>
      <c r="OA58" s="1001"/>
      <c r="OC58" s="1003"/>
      <c r="OD58" s="1003"/>
      <c r="OE58" s="1001"/>
      <c r="OF58" s="1003"/>
      <c r="OG58" s="1003"/>
      <c r="QX58" s="1000">
        <f t="shared" si="51"/>
        <v>19</v>
      </c>
      <c r="ASU58" s="999" t="s">
        <v>208</v>
      </c>
    </row>
    <row r="59" spans="1:1191" ht="21" customHeight="1" x14ac:dyDescent="0.25">
      <c r="A59" s="982" t="str">
        <f t="shared" si="0"/>
        <v>41-1</v>
      </c>
      <c r="B59" s="124">
        <f>SUBTOTAL(103,$J$29:J59)</f>
        <v>31</v>
      </c>
      <c r="C59" s="126">
        <v>45096</v>
      </c>
      <c r="D59" s="124" t="s">
        <v>176</v>
      </c>
      <c r="E59" s="127" t="s">
        <v>177</v>
      </c>
      <c r="F59" s="128" t="s">
        <v>177</v>
      </c>
      <c r="G59" s="127" t="s">
        <v>178</v>
      </c>
      <c r="H59" s="127" t="s">
        <v>179</v>
      </c>
      <c r="I59" s="127" t="s">
        <v>417</v>
      </c>
      <c r="J59" s="152" t="s">
        <v>428</v>
      </c>
      <c r="K59" s="127" t="s">
        <v>182</v>
      </c>
      <c r="L59" s="130">
        <v>37072</v>
      </c>
      <c r="M59" s="127" t="s">
        <v>230</v>
      </c>
      <c r="N59" s="127" t="s">
        <v>231</v>
      </c>
      <c r="O59" s="127" t="s">
        <v>185</v>
      </c>
      <c r="P59" s="127" t="s">
        <v>208</v>
      </c>
      <c r="Q59" s="85" t="str">
        <f t="shared" si="40"/>
        <v/>
      </c>
      <c r="R59" s="130"/>
      <c r="S59" s="128"/>
      <c r="T59" s="131"/>
      <c r="U59" s="132">
        <v>203</v>
      </c>
      <c r="V59" s="121">
        <v>218.2</v>
      </c>
      <c r="W59" s="116">
        <v>0.98</v>
      </c>
      <c r="X59" s="116">
        <v>1.66</v>
      </c>
      <c r="Y59" s="116">
        <f t="shared" si="41"/>
        <v>0.98044178943282867</v>
      </c>
      <c r="Z59" s="133">
        <v>1.454</v>
      </c>
      <c r="AA59" s="133">
        <v>0.83599999999999997</v>
      </c>
      <c r="AB59" s="133">
        <v>0.72</v>
      </c>
      <c r="AC59" s="121">
        <v>34.299999999999997</v>
      </c>
      <c r="AD59" s="134">
        <v>1.17</v>
      </c>
      <c r="AE59" s="124">
        <v>139.69999999999999</v>
      </c>
      <c r="AF59" s="128">
        <v>7.72</v>
      </c>
      <c r="AG59" s="128">
        <v>1907</v>
      </c>
      <c r="AH59" s="127" t="s">
        <v>429</v>
      </c>
      <c r="AI59" s="127" t="s">
        <v>430</v>
      </c>
      <c r="AJ59" s="135"/>
      <c r="AK59" s="128"/>
      <c r="AL59" s="131"/>
      <c r="AM59" s="124" t="s">
        <v>232</v>
      </c>
      <c r="AN59" s="136" t="s">
        <v>431</v>
      </c>
      <c r="AO59" s="137">
        <v>0</v>
      </c>
      <c r="AP59" s="128">
        <v>1820</v>
      </c>
      <c r="AQ59" s="128">
        <v>1.04</v>
      </c>
      <c r="AR59" s="128"/>
      <c r="AS59" s="128"/>
      <c r="AT59" s="122"/>
      <c r="AU59" s="124" t="s">
        <v>189</v>
      </c>
      <c r="AV59" s="115">
        <f>VLOOKUP(J59,'[63]ТР нефть'!$J$28:$BP$638,39,0)</f>
        <v>616.99999482400005</v>
      </c>
      <c r="AW59" s="115" t="str">
        <f>VLOOKUP(J59,'[63]ТР нефть'!$J$28:$BP$638,40,0)</f>
        <v>ГП</v>
      </c>
      <c r="AX59" s="115">
        <f>VLOOKUP(J59,'[63]ТР нефть'!$J$28:$BP$638,41,0)</f>
        <v>1080.0000128910001</v>
      </c>
      <c r="AY59" s="115" t="str">
        <f>VLOOKUP(J59,'[63]ТР нефть'!$J$28:$BP$638,42,0)</f>
        <v>ГК 80 1/8</v>
      </c>
      <c r="AZ59" s="115">
        <f>VLOOKUP(J59,'[63]ТР нефть'!$J$28:$BP$638,43,0)</f>
        <v>1451.9999296880001</v>
      </c>
      <c r="BA59" s="115" t="str">
        <f>VLOOKUP(J59,'[63]ТР нефть'!$J$28:$BP$638,44,0)</f>
        <v>ГК 80 5/32</v>
      </c>
      <c r="BB59" s="115">
        <f>VLOOKUP(J59,'[63]ТР нефть'!$J$28:$BP$638,45,0)</f>
        <v>1735.000032422</v>
      </c>
      <c r="BC59" s="115" t="str">
        <f>VLOOKUP(J59,'[63]ТР нефть'!$J$28:$BP$638,46,0)</f>
        <v>ЦКсОК 5/16</v>
      </c>
      <c r="BD59" s="115" t="str">
        <f>VLOOKUP(J59,'[63]ТР нефть'!$J$28:$BP$638,47,0)</f>
        <v>-</v>
      </c>
      <c r="BE59" s="115" t="str">
        <f>VLOOKUP(J59,'[63]ТР нефть'!$J$28:$BP$638,48,0)</f>
        <v>-</v>
      </c>
      <c r="BF59" s="115" t="str">
        <f>VLOOKUP(J59,'[63]ТР нефть'!$J$28:$BP$638,49,0)</f>
        <v>-</v>
      </c>
      <c r="BG59" s="115" t="str">
        <f>VLOOKUP(J59,'[63]ТР нефть'!$J$28:$BP$638,50,0)</f>
        <v>-</v>
      </c>
      <c r="BH59" s="115">
        <f>VLOOKUP(J59,'[63]ТР нефть'!$J$28:$BP$638,51,0)</f>
        <v>1765</v>
      </c>
      <c r="BI59" s="115" t="str">
        <f>VLOOKUP(J59,'[63]ТР нефть'!$J$28:$BP$638,52,0)</f>
        <v>закрыт</v>
      </c>
      <c r="BJ59" s="115" t="str">
        <f>IF(IFERROR(VLOOKUP(J59,'[63]ТР нефть'!$J$28:$BP$638,53,0),"-")=0,"-",IFERROR(VLOOKUP(J59,'[63]ТР нефть'!$J$28:$BP$638,53,0),"-"))</f>
        <v>-</v>
      </c>
      <c r="BK59" s="138" t="str">
        <f>IF(IFERROR(VLOOKUP(J59,'[63]ТР нефть'!$J$28:$BP$638,54,0),"-")=0,"-",IFERROR(VLOOKUP(J59,'[63]ТР нефть'!$J$28:$BP$638,54,0),"-"))</f>
        <v>-</v>
      </c>
      <c r="BL59" s="138" t="str">
        <f>IF(IFERROR(VLOOKUP(J59,'[63]ТР нефть'!$J$28:$BP$638,55,0),"-")=0,"-",IFERROR(VLOOKUP(J59,'[63]ТР нефть'!$J$28:$BP$638,55,0),"-"))</f>
        <v>-</v>
      </c>
      <c r="BM59" s="138" t="str">
        <f>IF(IFERROR(VLOOKUP(J59,'[63]ТР нефть'!$J$28:$BP$638,56,0),"-")=0,"-",IFERROR(VLOOKUP(J59,'[63]ТР нефть'!$J$28:$BP$638,56,0),"-"))</f>
        <v>-</v>
      </c>
      <c r="BN59" s="138" t="str">
        <f>IF(IFERROR(VLOOKUP(J59,'[63]ТР нефть'!$J$28:$BP$638,57,0),"-")=0,"-",IFERROR(VLOOKUP(J59,'[63]ТР нефть'!$J$28:$BP$638,57,0),"-"))</f>
        <v>-</v>
      </c>
      <c r="BO59" s="115" t="str">
        <f>IF(IFERROR(VLOOKUP(J59,'[63]ТР нефть'!$J$28:$BP$638,58,0),"-")=0,"-",IFERROR(VLOOKUP(J59,'[63]ТР нефть'!$J$28:$BP$638,58,0),"-"))</f>
        <v>-</v>
      </c>
      <c r="BP59" s="115" t="str">
        <f>IF(IFERROR(VLOOKUP(J59,'[63]ТР нефть'!$J$28:$BP$638,59,0),"-")=0,"-",IFERROR(VLOOKUP(J59,'[63]ТР нефть'!$J$28:$BP$638,59,0),"-"))</f>
        <v>-</v>
      </c>
      <c r="BQ59" s="138">
        <v>1830</v>
      </c>
      <c r="BR59" s="128">
        <v>1688</v>
      </c>
      <c r="BS59" s="115">
        <f t="shared" si="2"/>
        <v>142</v>
      </c>
      <c r="BT59" s="128">
        <v>73</v>
      </c>
      <c r="BU59" s="128">
        <v>5.5</v>
      </c>
      <c r="BV59" s="127">
        <v>18</v>
      </c>
      <c r="BW59" s="127" t="s">
        <v>234</v>
      </c>
      <c r="BX59" s="127" t="s">
        <v>195</v>
      </c>
      <c r="BY59" s="139">
        <v>24</v>
      </c>
      <c r="BZ59" s="139">
        <v>0</v>
      </c>
      <c r="CA59" s="138">
        <v>21</v>
      </c>
      <c r="CB59" s="138">
        <v>33</v>
      </c>
      <c r="CC59" s="138">
        <v>20</v>
      </c>
      <c r="CD59" s="135">
        <v>45017</v>
      </c>
      <c r="CE59" s="138">
        <v>110</v>
      </c>
      <c r="CF59" s="138">
        <v>70</v>
      </c>
      <c r="CG59" s="138" t="str">
        <f t="shared" ref="CG59:CG122" si="52">IF(CH59&lt;&gt;"","В работе","")</f>
        <v>В работе</v>
      </c>
      <c r="CH59" s="138" t="s">
        <v>196</v>
      </c>
      <c r="CI59" s="127">
        <v>6</v>
      </c>
      <c r="CJ59" s="138"/>
      <c r="CK59" s="138"/>
      <c r="CL59" s="99"/>
      <c r="CM59" s="99"/>
      <c r="CN59" s="140">
        <v>43</v>
      </c>
      <c r="CO59" s="141">
        <f t="shared" si="4"/>
        <v>7.9332637999999989</v>
      </c>
      <c r="CP59" s="142">
        <v>9.5</v>
      </c>
      <c r="CQ59" s="143">
        <v>0.11</v>
      </c>
      <c r="CR59" s="138">
        <v>21</v>
      </c>
      <c r="CS59" s="139">
        <v>8.1999999999999993</v>
      </c>
      <c r="CT59" s="138"/>
      <c r="CU59" s="138">
        <f t="shared" si="5"/>
        <v>12.8</v>
      </c>
      <c r="CV59" s="115">
        <f t="shared" si="6"/>
        <v>1613.4595196494035</v>
      </c>
      <c r="CW59" s="115">
        <f t="shared" si="7"/>
        <v>1032.0482574689554</v>
      </c>
      <c r="CX59" s="133">
        <f t="shared" si="8"/>
        <v>0.1417910447761194</v>
      </c>
      <c r="CY59" s="116"/>
      <c r="CZ59" s="131"/>
      <c r="DA59" s="145" t="str">
        <f t="shared" si="9"/>
        <v>Газлифт</v>
      </c>
      <c r="DB59" s="146">
        <f t="shared" si="10"/>
        <v>7.9332637999999989</v>
      </c>
      <c r="DC59" s="142">
        <f t="shared" si="11"/>
        <v>9.5</v>
      </c>
      <c r="DD59" s="119">
        <f t="shared" si="12"/>
        <v>0.11</v>
      </c>
      <c r="DE59" s="115">
        <f t="shared" si="13"/>
        <v>12.8</v>
      </c>
      <c r="DF59" s="121">
        <f t="shared" si="14"/>
        <v>8.1999999999999993</v>
      </c>
      <c r="DG59" s="115">
        <f t="shared" si="15"/>
        <v>1613.4595196494035</v>
      </c>
      <c r="DH59" s="115">
        <f t="shared" si="16"/>
        <v>43</v>
      </c>
      <c r="DI59" s="147"/>
      <c r="DJ59" s="111" t="s">
        <v>197</v>
      </c>
      <c r="DK59" s="112">
        <v>43638</v>
      </c>
      <c r="DL59" s="113">
        <f t="shared" ca="1" si="42"/>
        <v>1466</v>
      </c>
      <c r="DM59" s="114"/>
      <c r="DN59" s="114"/>
      <c r="DO59" s="114"/>
      <c r="DP59" s="114"/>
      <c r="DQ59" s="112">
        <v>43608.999988425923</v>
      </c>
      <c r="DR59" s="114" t="s">
        <v>282</v>
      </c>
      <c r="DS59" s="114"/>
      <c r="DT59" s="115">
        <v>41</v>
      </c>
      <c r="DU59" s="116">
        <f t="shared" si="43"/>
        <v>0.1402199528672427</v>
      </c>
      <c r="DV59" s="117">
        <f t="shared" si="44"/>
        <v>8.0795504686567146</v>
      </c>
      <c r="DW59" s="118">
        <f t="shared" si="45"/>
        <v>9.6751767478397461</v>
      </c>
      <c r="DX59" s="119">
        <f t="shared" si="21"/>
        <v>0.11</v>
      </c>
      <c r="DY59" s="115">
        <f t="shared" si="46"/>
        <v>13.036027618141976</v>
      </c>
      <c r="DZ59" s="117">
        <f t="shared" si="47"/>
        <v>0.14628666865671569</v>
      </c>
      <c r="EA59" s="120">
        <f t="shared" si="47"/>
        <v>0.17517674783974613</v>
      </c>
      <c r="EB59" s="119">
        <f t="shared" si="47"/>
        <v>0</v>
      </c>
      <c r="EC59" s="121">
        <f t="shared" si="48"/>
        <v>0.23602761814197493</v>
      </c>
      <c r="ED59" s="122"/>
      <c r="EE59" s="145">
        <v>18</v>
      </c>
      <c r="EF59" s="115">
        <v>24</v>
      </c>
      <c r="EG59" s="115">
        <v>36</v>
      </c>
      <c r="EH59" s="115">
        <v>23</v>
      </c>
      <c r="EI59" s="128" t="s">
        <v>195</v>
      </c>
      <c r="EJ59" s="121">
        <v>24</v>
      </c>
      <c r="EK59" s="121">
        <v>0</v>
      </c>
      <c r="EL59" s="149">
        <v>7.9332637999999989</v>
      </c>
      <c r="EM59" s="142">
        <v>9.5</v>
      </c>
      <c r="EN59" s="119">
        <v>0.11</v>
      </c>
      <c r="EO59" s="115">
        <v>22</v>
      </c>
      <c r="EP59" s="115">
        <v>1260.5152497260965</v>
      </c>
      <c r="EQ59" s="115">
        <v>74</v>
      </c>
      <c r="ER59" s="115">
        <v>12</v>
      </c>
      <c r="ES59" s="115">
        <v>42</v>
      </c>
      <c r="ET59" s="150">
        <v>0.13970588235294118</v>
      </c>
      <c r="EU59" s="145">
        <f t="shared" si="25"/>
        <v>18</v>
      </c>
      <c r="EV59" s="115">
        <f t="shared" si="26"/>
        <v>21</v>
      </c>
      <c r="EW59" s="115">
        <f t="shared" si="26"/>
        <v>33</v>
      </c>
      <c r="EX59" s="115">
        <f t="shared" si="26"/>
        <v>20</v>
      </c>
      <c r="EY59" s="115" t="str">
        <f t="shared" si="27"/>
        <v>Постоянный</v>
      </c>
      <c r="EZ59" s="115">
        <f t="shared" si="27"/>
        <v>24</v>
      </c>
      <c r="FA59" s="115">
        <f t="shared" si="27"/>
        <v>0</v>
      </c>
      <c r="FB59" s="149">
        <f t="shared" si="28"/>
        <v>7.9332637999999989</v>
      </c>
      <c r="FC59" s="142">
        <f t="shared" si="28"/>
        <v>9.5</v>
      </c>
      <c r="FD59" s="119">
        <f t="shared" si="28"/>
        <v>0.11</v>
      </c>
      <c r="FE59" s="121">
        <f t="shared" si="28"/>
        <v>21</v>
      </c>
      <c r="FF59" s="121">
        <f t="shared" si="49"/>
        <v>1613.4595196494035</v>
      </c>
      <c r="FG59" s="121">
        <f t="shared" si="30"/>
        <v>70</v>
      </c>
      <c r="FH59" s="121">
        <f t="shared" si="50"/>
        <v>8.1999999999999993</v>
      </c>
      <c r="FI59" s="121">
        <f t="shared" si="32"/>
        <v>43</v>
      </c>
      <c r="FJ59" s="144">
        <f t="shared" si="33"/>
        <v>0.1417910447761194</v>
      </c>
      <c r="FK59" s="132">
        <f t="shared" si="34"/>
        <v>0</v>
      </c>
      <c r="FL59" s="115">
        <f t="shared" si="34"/>
        <v>-3</v>
      </c>
      <c r="FM59" s="115">
        <f t="shared" si="34"/>
        <v>-3</v>
      </c>
      <c r="FN59" s="115">
        <f t="shared" si="34"/>
        <v>-3</v>
      </c>
      <c r="FO59" s="115">
        <f t="shared" si="35"/>
        <v>0</v>
      </c>
      <c r="FP59" s="115">
        <f t="shared" si="35"/>
        <v>0</v>
      </c>
      <c r="FQ59" s="149">
        <f t="shared" si="35"/>
        <v>0</v>
      </c>
      <c r="FR59" s="142">
        <f t="shared" si="35"/>
        <v>0</v>
      </c>
      <c r="FS59" s="119">
        <f t="shared" si="35"/>
        <v>0</v>
      </c>
      <c r="FT59" s="121">
        <f t="shared" si="35"/>
        <v>-1</v>
      </c>
      <c r="FU59" s="121">
        <f t="shared" si="36"/>
        <v>-4</v>
      </c>
      <c r="FV59" s="121">
        <f t="shared" si="36"/>
        <v>-3.8000000000000007</v>
      </c>
      <c r="FW59" s="121">
        <f t="shared" si="37"/>
        <v>352.94426992330705</v>
      </c>
      <c r="FX59" s="121">
        <f t="shared" si="38"/>
        <v>1</v>
      </c>
      <c r="FY59" s="144">
        <f t="shared" si="38"/>
        <v>2.0851624231782162E-3</v>
      </c>
      <c r="FZ59" s="145"/>
      <c r="GA59" s="151" t="s">
        <v>432</v>
      </c>
      <c r="GB59" s="145"/>
      <c r="GC59" s="151" t="s">
        <v>407</v>
      </c>
      <c r="GD59" s="997" t="s">
        <v>238</v>
      </c>
      <c r="GE59" s="1004"/>
      <c r="GF59" s="1004">
        <v>0</v>
      </c>
      <c r="GG59" s="1004" t="s">
        <v>199</v>
      </c>
      <c r="GH59" s="1004">
        <v>-2.0877010000000009</v>
      </c>
      <c r="GI59" s="145" t="s">
        <v>199</v>
      </c>
      <c r="GJ59" s="996">
        <v>5.0104823999999999</v>
      </c>
      <c r="GK59" s="145" t="s">
        <v>199</v>
      </c>
      <c r="GL59" s="996">
        <v>-3.9992000355999986</v>
      </c>
      <c r="GM59" s="1005" t="s">
        <v>199</v>
      </c>
      <c r="GN59" s="996">
        <v>2.3784886355999983</v>
      </c>
      <c r="GO59" s="1006" t="s">
        <v>433</v>
      </c>
      <c r="GP59" s="996">
        <v>-1.9210861999999977</v>
      </c>
      <c r="GQ59" s="1006" t="s">
        <v>259</v>
      </c>
      <c r="GR59" s="996">
        <v>1.446279999999998</v>
      </c>
      <c r="GS59" s="1006" t="s">
        <v>203</v>
      </c>
      <c r="GT59" s="996">
        <v>-1.120239999999999</v>
      </c>
      <c r="GU59" s="1006" t="s">
        <v>203</v>
      </c>
      <c r="GV59" s="996">
        <v>-1.7416722399999998</v>
      </c>
      <c r="GW59" s="1006" t="s">
        <v>434</v>
      </c>
      <c r="GX59" s="997">
        <v>1.6196162399999992</v>
      </c>
      <c r="GY59" s="1006"/>
      <c r="GZ59" s="996">
        <v>0</v>
      </c>
      <c r="HA59" s="1006"/>
      <c r="HB59" s="996">
        <v>-0.83482960000000084</v>
      </c>
      <c r="HC59" s="1006" t="s">
        <v>199</v>
      </c>
      <c r="HD59" s="996">
        <v>2.6670071999999987</v>
      </c>
      <c r="HE59" s="1006"/>
      <c r="HF59" s="996">
        <v>0</v>
      </c>
      <c r="HG59" s="1006"/>
      <c r="HH59" s="996">
        <v>0</v>
      </c>
      <c r="HI59" s="1006" t="s">
        <v>199</v>
      </c>
      <c r="HJ59" s="996">
        <v>1.9973712000000008</v>
      </c>
      <c r="HK59" s="1006" t="s">
        <v>199</v>
      </c>
      <c r="HL59" s="996">
        <v>-1.6744288307999993</v>
      </c>
      <c r="HM59" s="1006"/>
      <c r="HN59" s="996">
        <v>0.65124843079999906</v>
      </c>
      <c r="HO59" s="1006" t="s">
        <v>203</v>
      </c>
      <c r="HP59" s="996">
        <v>-11.173390799999998</v>
      </c>
      <c r="HQ59" s="1006"/>
      <c r="HR59" s="996">
        <v>0</v>
      </c>
      <c r="HS59" s="1006" t="s">
        <v>203</v>
      </c>
      <c r="HT59" s="996">
        <v>1.006878399999998</v>
      </c>
      <c r="HU59" s="1006"/>
      <c r="HV59" s="996">
        <v>0.14564791999999827</v>
      </c>
      <c r="HW59" s="1006" t="s">
        <v>25</v>
      </c>
      <c r="HX59" s="996">
        <v>7.5851116000000012</v>
      </c>
      <c r="HY59" s="1006" t="s">
        <v>221</v>
      </c>
      <c r="HZ59" s="996">
        <v>-2.0393551199999997</v>
      </c>
      <c r="IA59" s="1006" t="s">
        <v>199</v>
      </c>
      <c r="IB59" s="996">
        <v>2.5378452000000014</v>
      </c>
      <c r="IC59" s="1006" t="s">
        <v>199</v>
      </c>
      <c r="ID59" s="996">
        <v>-3.0808271999999999</v>
      </c>
      <c r="IE59" s="1006"/>
      <c r="IF59" s="996">
        <v>0</v>
      </c>
      <c r="IG59" s="1006" t="s">
        <v>199</v>
      </c>
      <c r="IH59" s="996">
        <v>8.1600287999999992</v>
      </c>
      <c r="II59" s="1006" t="s">
        <v>199</v>
      </c>
      <c r="IJ59" s="996">
        <v>-5.8792536000000002</v>
      </c>
      <c r="IK59" s="1006"/>
      <c r="IL59" s="996">
        <v>0</v>
      </c>
      <c r="IM59" s="1006" t="s">
        <v>199</v>
      </c>
      <c r="IN59" s="996">
        <v>-7.1610923999999994</v>
      </c>
      <c r="IO59" s="1006" t="s">
        <v>199</v>
      </c>
      <c r="IP59" s="996">
        <v>6.3660563999999997</v>
      </c>
      <c r="IQ59" s="1006"/>
      <c r="IR59" s="996">
        <v>0</v>
      </c>
      <c r="IS59" s="1006"/>
      <c r="IT59" s="996">
        <v>0</v>
      </c>
      <c r="IU59" s="1006"/>
      <c r="IV59" s="996">
        <v>0</v>
      </c>
      <c r="IW59" s="1006"/>
      <c r="IX59" s="996">
        <v>0</v>
      </c>
      <c r="IY59" s="1006"/>
      <c r="IZ59" s="996">
        <v>0</v>
      </c>
      <c r="JA59" s="1006" t="s">
        <v>204</v>
      </c>
      <c r="JB59" s="996">
        <v>-3.0831493571999999</v>
      </c>
      <c r="JC59" s="1006"/>
      <c r="JD59" s="996">
        <v>0</v>
      </c>
      <c r="JE59" s="1006"/>
      <c r="JF59" s="996">
        <v>0</v>
      </c>
      <c r="JG59" s="1006"/>
      <c r="JH59" s="996">
        <v>0</v>
      </c>
      <c r="JI59" s="1006"/>
      <c r="JJ59" s="996">
        <v>0</v>
      </c>
      <c r="JK59" s="1007" t="s">
        <v>199</v>
      </c>
      <c r="JL59" s="1007">
        <v>1.7957093571999998</v>
      </c>
      <c r="JM59" s="1007" t="s">
        <v>199</v>
      </c>
      <c r="JN59" s="1007">
        <v>0</v>
      </c>
      <c r="JO59" s="1008" t="s">
        <v>435</v>
      </c>
      <c r="JP59" s="1007">
        <v>-3.8644208679999981</v>
      </c>
      <c r="JQ59" s="1008">
        <v>0</v>
      </c>
      <c r="JR59" s="1007">
        <v>0</v>
      </c>
      <c r="JS59" s="1008">
        <v>0</v>
      </c>
      <c r="JT59" s="1007">
        <v>0</v>
      </c>
      <c r="JU59" s="1008" t="s">
        <v>25</v>
      </c>
      <c r="JV59" s="1007">
        <v>16.739999999999998</v>
      </c>
      <c r="JW59" s="1008" t="s">
        <v>197</v>
      </c>
      <c r="JX59" s="1007">
        <v>0</v>
      </c>
      <c r="JY59" s="1008"/>
      <c r="JZ59" s="1007">
        <v>0</v>
      </c>
      <c r="KA59" s="1008"/>
      <c r="KB59" s="1007">
        <v>0</v>
      </c>
      <c r="KC59" s="1008"/>
      <c r="KD59" s="1007">
        <v>0</v>
      </c>
      <c r="KE59" s="1008"/>
      <c r="KF59" s="1007">
        <v>0</v>
      </c>
      <c r="KG59" s="1008"/>
      <c r="KH59" s="1007">
        <v>0</v>
      </c>
      <c r="KI59" s="1008" t="s">
        <v>314</v>
      </c>
      <c r="KJ59" s="1007">
        <v>6.27</v>
      </c>
      <c r="KK59" s="1008"/>
      <c r="KL59" s="1007">
        <v>0</v>
      </c>
      <c r="KM59" s="1008"/>
      <c r="KN59" s="1007">
        <v>0</v>
      </c>
      <c r="KO59" s="1008" t="s">
        <v>206</v>
      </c>
      <c r="KP59" s="1007">
        <v>0.8527199999999997</v>
      </c>
      <c r="KQ59" s="1008">
        <v>0</v>
      </c>
      <c r="KR59" s="1007">
        <v>0</v>
      </c>
      <c r="KS59" s="1008">
        <v>0</v>
      </c>
      <c r="KT59" s="1007">
        <v>0</v>
      </c>
      <c r="KU59" s="1008" t="s">
        <v>207</v>
      </c>
      <c r="KV59" s="1007">
        <v>-2.2337919999999993</v>
      </c>
      <c r="KW59" s="1008">
        <v>0</v>
      </c>
      <c r="KX59" s="1007">
        <v>0</v>
      </c>
      <c r="KY59" s="1008">
        <v>0</v>
      </c>
      <c r="KZ59" s="1007">
        <v>0</v>
      </c>
      <c r="LA59" s="1008">
        <v>0</v>
      </c>
      <c r="LB59" s="1007">
        <v>0</v>
      </c>
      <c r="LC59" s="1008" t="s">
        <v>206</v>
      </c>
      <c r="LD59" s="1007">
        <v>2.0774600000000003</v>
      </c>
      <c r="LE59" s="1008">
        <v>0</v>
      </c>
      <c r="LF59" s="1007">
        <v>0</v>
      </c>
      <c r="LG59" s="1008">
        <v>0</v>
      </c>
      <c r="LH59" s="1007">
        <v>0</v>
      </c>
      <c r="LI59" s="1008">
        <v>0</v>
      </c>
      <c r="LJ59" s="1007">
        <v>0</v>
      </c>
      <c r="LK59" s="1008" t="s">
        <v>204</v>
      </c>
      <c r="LL59" s="1007">
        <v>-1.9361927200000011</v>
      </c>
      <c r="LM59" s="1008" t="s">
        <v>206</v>
      </c>
      <c r="LN59" s="1007">
        <v>1.0932539999999999</v>
      </c>
      <c r="LO59" s="1008">
        <v>0</v>
      </c>
      <c r="LP59" s="1007">
        <v>-0.41641159999999999</v>
      </c>
      <c r="LQ59" s="1008">
        <v>0</v>
      </c>
      <c r="LR59" s="1007">
        <v>0</v>
      </c>
      <c r="LS59" s="1008" t="s">
        <v>206</v>
      </c>
      <c r="LT59" s="1007">
        <v>-4.1641159999999999</v>
      </c>
      <c r="LU59" s="1008" t="s">
        <v>206</v>
      </c>
      <c r="LV59" s="1007">
        <v>4.4972452800000005</v>
      </c>
      <c r="LW59" s="1008">
        <v>0</v>
      </c>
      <c r="LX59" s="1007">
        <v>0</v>
      </c>
      <c r="LY59" s="1009" t="s">
        <v>223</v>
      </c>
      <c r="LZ59" s="1010">
        <v>-2.6653424000000001</v>
      </c>
      <c r="MA59" s="1011" t="s">
        <v>206</v>
      </c>
      <c r="MB59" s="1012">
        <v>1.8498673599999993</v>
      </c>
      <c r="MC59" s="995"/>
      <c r="MD59" s="996"/>
      <c r="ME59" s="997" t="s">
        <v>238</v>
      </c>
      <c r="MF59" s="997"/>
      <c r="MG59" s="998"/>
      <c r="NR59" s="1000"/>
      <c r="NS59" s="1000"/>
      <c r="NT59" s="1001"/>
      <c r="NU59" s="1000"/>
      <c r="NV59" s="1001"/>
      <c r="NX59" s="1002"/>
      <c r="NZ59" s="1001"/>
      <c r="OA59" s="1001"/>
      <c r="OC59" s="1003"/>
      <c r="OD59" s="1003"/>
      <c r="OE59" s="1001"/>
      <c r="OF59" s="1003"/>
      <c r="OG59" s="1003"/>
      <c r="QX59" s="1000">
        <f t="shared" si="51"/>
        <v>22</v>
      </c>
      <c r="ASU59" s="999" t="s">
        <v>292</v>
      </c>
    </row>
    <row r="60" spans="1:1191" ht="21" customHeight="1" x14ac:dyDescent="0.25">
      <c r="A60" s="982" t="str">
        <f t="shared" si="0"/>
        <v>43р</v>
      </c>
      <c r="B60" s="124">
        <f>SUBTOTAL(103,$J$29:J60)</f>
        <v>32</v>
      </c>
      <c r="C60" s="126">
        <v>45096</v>
      </c>
      <c r="D60" s="124" t="s">
        <v>176</v>
      </c>
      <c r="E60" s="127" t="s">
        <v>177</v>
      </c>
      <c r="F60" s="128" t="s">
        <v>177</v>
      </c>
      <c r="G60" s="127" t="s">
        <v>178</v>
      </c>
      <c r="H60" s="127" t="s">
        <v>226</v>
      </c>
      <c r="I60" s="127" t="s">
        <v>242</v>
      </c>
      <c r="J60" s="152" t="s">
        <v>436</v>
      </c>
      <c r="K60" s="127" t="s">
        <v>182</v>
      </c>
      <c r="L60" s="130">
        <v>34957</v>
      </c>
      <c r="M60" s="127" t="s">
        <v>230</v>
      </c>
      <c r="N60" s="127" t="s">
        <v>231</v>
      </c>
      <c r="O60" s="127" t="s">
        <v>185</v>
      </c>
      <c r="P60" s="127" t="s">
        <v>208</v>
      </c>
      <c r="Q60" s="85" t="str">
        <f t="shared" si="40"/>
        <v/>
      </c>
      <c r="R60" s="130"/>
      <c r="S60" s="128" t="s">
        <v>437</v>
      </c>
      <c r="T60" s="131"/>
      <c r="U60" s="132">
        <v>203</v>
      </c>
      <c r="V60" s="121">
        <v>218.2</v>
      </c>
      <c r="W60" s="116">
        <v>0.98</v>
      </c>
      <c r="X60" s="116">
        <v>1.66</v>
      </c>
      <c r="Y60" s="116">
        <f t="shared" si="41"/>
        <v>0.98</v>
      </c>
      <c r="Z60" s="133">
        <v>1.454</v>
      </c>
      <c r="AA60" s="133">
        <v>0.83599999999999997</v>
      </c>
      <c r="AB60" s="133">
        <v>0.72</v>
      </c>
      <c r="AC60" s="121">
        <v>34.299999999999997</v>
      </c>
      <c r="AD60" s="134">
        <v>1.17</v>
      </c>
      <c r="AE60" s="124">
        <v>139.69999999999999</v>
      </c>
      <c r="AF60" s="128">
        <v>7.72</v>
      </c>
      <c r="AG60" s="128">
        <v>2362</v>
      </c>
      <c r="AH60" s="127">
        <v>2637</v>
      </c>
      <c r="AI60" s="127">
        <v>2637</v>
      </c>
      <c r="AJ60" s="135"/>
      <c r="AK60" s="128"/>
      <c r="AL60" s="131"/>
      <c r="AM60" s="124" t="s">
        <v>232</v>
      </c>
      <c r="AN60" s="136" t="s">
        <v>438</v>
      </c>
      <c r="AO60" s="137">
        <v>25</v>
      </c>
      <c r="AP60" s="128">
        <v>1887</v>
      </c>
      <c r="AQ60" s="128">
        <v>7.0000000000000007E-2</v>
      </c>
      <c r="AR60" s="128" t="s">
        <v>439</v>
      </c>
      <c r="AS60" s="128">
        <v>102</v>
      </c>
      <c r="AT60" s="122">
        <v>6.5</v>
      </c>
      <c r="AU60" s="124" t="s">
        <v>189</v>
      </c>
      <c r="AV60" s="115">
        <f>VLOOKUP(J60,'[63]ТР нефть'!$J$28:$BP$638,39,0)</f>
        <v>599.99999062500001</v>
      </c>
      <c r="AW60" s="115" t="str">
        <f>VLOOKUP(J60,'[63]ТР нефть'!$J$28:$BP$638,40,0)</f>
        <v>ГП</v>
      </c>
      <c r="AX60" s="115">
        <f>VLOOKUP(J60,'[63]ТР нефть'!$J$28:$BP$638,41,0)</f>
        <v>1199.99998125</v>
      </c>
      <c r="AY60" s="115" t="str">
        <f>VLOOKUP(J60,'[63]ТР нефть'!$J$28:$BP$638,42,0)</f>
        <v>ГК 82 1/8</v>
      </c>
      <c r="AZ60" s="115">
        <f>VLOOKUP(J60,'[63]ТР нефть'!$J$28:$BP$638,43,0)</f>
        <v>1615.0000640630001</v>
      </c>
      <c r="BA60" s="115" t="str">
        <f>VLOOKUP(J60,'[63]ТР нефть'!$J$28:$BP$638,44,0)</f>
        <v>ЦКсОК 5/16</v>
      </c>
      <c r="BB60" s="115" t="str">
        <f>VLOOKUP(J60,'[63]ТР нефть'!$J$28:$BP$638,45,0)</f>
        <v>-</v>
      </c>
      <c r="BC60" s="115" t="str">
        <f>VLOOKUP(J60,'[63]ТР нефть'!$J$28:$BP$638,46,0)</f>
        <v>-</v>
      </c>
      <c r="BD60" s="115" t="str">
        <f>VLOOKUP(J60,'[63]ТР нефть'!$J$28:$BP$638,47,0)</f>
        <v>-</v>
      </c>
      <c r="BE60" s="115" t="str">
        <f>VLOOKUP(J60,'[63]ТР нефть'!$J$28:$BP$638,48,0)</f>
        <v>-</v>
      </c>
      <c r="BF60" s="115" t="str">
        <f>VLOOKUP(J60,'[63]ТР нефть'!$J$28:$BP$638,49,0)</f>
        <v>-</v>
      </c>
      <c r="BG60" s="115" t="str">
        <f>VLOOKUP(J60,'[63]ТР нефть'!$J$28:$BP$638,50,0)</f>
        <v>-</v>
      </c>
      <c r="BH60" s="115">
        <f>VLOOKUP(J60,'[63]ТР нефть'!$J$28:$BP$638,51,0)</f>
        <v>1631</v>
      </c>
      <c r="BI60" s="115" t="str">
        <f>VLOOKUP(J60,'[63]ТР нефть'!$J$28:$BP$638,52,0)</f>
        <v>закрыт</v>
      </c>
      <c r="BJ60" s="115" t="str">
        <f>IF(IFERROR(VLOOKUP(J60,'[63]ТР нефть'!$J$28:$BP$638,53,0),"-")=0,"-",IFERROR(VLOOKUP(J60,'[63]ТР нефть'!$J$28:$BP$638,53,0),"-"))</f>
        <v>-</v>
      </c>
      <c r="BK60" s="138" t="str">
        <f>IF(IFERROR(VLOOKUP(J60,'[63]ТР нефть'!$J$28:$BP$638,54,0),"-")=0,"-",IFERROR(VLOOKUP(J60,'[63]ТР нефть'!$J$28:$BP$638,54,0),"-"))</f>
        <v>-</v>
      </c>
      <c r="BL60" s="138" t="str">
        <f>IF(IFERROR(VLOOKUP(J60,'[63]ТР нефть'!$J$28:$BP$638,55,0),"-")=0,"-",IFERROR(VLOOKUP(J60,'[63]ТР нефть'!$J$28:$BP$638,55,0),"-"))</f>
        <v>-</v>
      </c>
      <c r="BM60" s="138" t="str">
        <f>IF(IFERROR(VLOOKUP(J60,'[63]ТР нефть'!$J$28:$BP$638,56,0),"-")=0,"-",IFERROR(VLOOKUP(J60,'[63]ТР нефть'!$J$28:$BP$638,56,0),"-"))</f>
        <v>-</v>
      </c>
      <c r="BN60" s="138" t="str">
        <f>IF(IFERROR(VLOOKUP(J60,'[63]ТР нефть'!$J$28:$BP$638,57,0),"-")=0,"-",IFERROR(VLOOKUP(J60,'[63]ТР нефть'!$J$28:$BP$638,57,0),"-"))</f>
        <v>-</v>
      </c>
      <c r="BO60" s="115" t="str">
        <f>IF(IFERROR(VLOOKUP(J60,'[63]ТР нефть'!$J$28:$BP$638,58,0),"-")=0,"-",IFERROR(VLOOKUP(J60,'[63]ТР нефть'!$J$28:$BP$638,58,0),"-"))</f>
        <v>-</v>
      </c>
      <c r="BP60" s="115" t="str">
        <f>IF(IFERROR(VLOOKUP(J60,'[63]ТР нефть'!$J$28:$BP$638,59,0),"-")=0,"-",IFERROR(VLOOKUP(J60,'[63]ТР нефть'!$J$28:$BP$638,59,0),"-"))</f>
        <v>-</v>
      </c>
      <c r="BQ60" s="138">
        <v>1647</v>
      </c>
      <c r="BR60" s="128">
        <v>1425.6120405405404</v>
      </c>
      <c r="BS60" s="115">
        <f t="shared" si="2"/>
        <v>221.38795945945958</v>
      </c>
      <c r="BT60" s="128">
        <v>73</v>
      </c>
      <c r="BU60" s="128">
        <v>5.5</v>
      </c>
      <c r="BV60" s="127">
        <v>18</v>
      </c>
      <c r="BW60" s="127" t="s">
        <v>217</v>
      </c>
      <c r="BX60" s="127" t="s">
        <v>195</v>
      </c>
      <c r="BY60" s="139">
        <v>24</v>
      </c>
      <c r="BZ60" s="139">
        <v>0</v>
      </c>
      <c r="CA60" s="138">
        <v>18</v>
      </c>
      <c r="CB60" s="138">
        <v>35</v>
      </c>
      <c r="CC60" s="138">
        <v>16</v>
      </c>
      <c r="CD60" s="135">
        <v>45017</v>
      </c>
      <c r="CE60" s="138">
        <v>75.3</v>
      </c>
      <c r="CF60" s="138">
        <v>64</v>
      </c>
      <c r="CG60" s="138" t="str">
        <f t="shared" si="52"/>
        <v>В работе</v>
      </c>
      <c r="CH60" s="138" t="s">
        <v>272</v>
      </c>
      <c r="CI60" s="127">
        <v>6</v>
      </c>
      <c r="CJ60" s="138"/>
      <c r="CK60" s="138"/>
      <c r="CL60" s="99"/>
      <c r="CM60" s="99"/>
      <c r="CN60" s="140">
        <v>37</v>
      </c>
      <c r="CO60" s="141">
        <f t="shared" si="4"/>
        <v>7.8583999999999996</v>
      </c>
      <c r="CP60" s="142">
        <v>9.4</v>
      </c>
      <c r="CQ60" s="143">
        <v>0</v>
      </c>
      <c r="CR60" s="138">
        <v>15.8</v>
      </c>
      <c r="CS60" s="139">
        <v>11</v>
      </c>
      <c r="CT60" s="138"/>
      <c r="CU60" s="138">
        <f t="shared" si="5"/>
        <v>4.8000000000000007</v>
      </c>
      <c r="CV60" s="115">
        <f t="shared" si="6"/>
        <v>610.81136109131648</v>
      </c>
      <c r="CW60" s="115">
        <f t="shared" si="7"/>
        <v>1399.7760358342666</v>
      </c>
      <c r="CX60" s="133">
        <f t="shared" si="8"/>
        <v>0.24543080939947784</v>
      </c>
      <c r="CY60" s="116"/>
      <c r="CZ60" s="131"/>
      <c r="DA60" s="145" t="str">
        <f t="shared" si="9"/>
        <v>Газлифт</v>
      </c>
      <c r="DB60" s="146">
        <f t="shared" si="10"/>
        <v>7.8583999999999996</v>
      </c>
      <c r="DC60" s="142">
        <f t="shared" si="11"/>
        <v>9.4</v>
      </c>
      <c r="DD60" s="119">
        <f t="shared" si="12"/>
        <v>0</v>
      </c>
      <c r="DE60" s="115">
        <f t="shared" si="13"/>
        <v>4.8000000000000007</v>
      </c>
      <c r="DF60" s="121">
        <f t="shared" si="14"/>
        <v>11</v>
      </c>
      <c r="DG60" s="115">
        <f t="shared" si="15"/>
        <v>610.81136109131648</v>
      </c>
      <c r="DH60" s="115">
        <f t="shared" si="16"/>
        <v>37</v>
      </c>
      <c r="DI60" s="147"/>
      <c r="DJ60" s="111" t="s">
        <v>197</v>
      </c>
      <c r="DK60" s="112">
        <v>41481</v>
      </c>
      <c r="DL60" s="113">
        <f t="shared" ca="1" si="42"/>
        <v>3623</v>
      </c>
      <c r="DM60" s="114"/>
      <c r="DN60" s="114"/>
      <c r="DO60" s="114"/>
      <c r="DP60" s="114"/>
      <c r="DQ60" s="112">
        <v>42832</v>
      </c>
      <c r="DR60" s="114" t="s">
        <v>198</v>
      </c>
      <c r="DS60" s="114"/>
      <c r="DT60" s="115">
        <v>60</v>
      </c>
      <c r="DU60" s="116">
        <f t="shared" si="43"/>
        <v>0.61437908496732041</v>
      </c>
      <c r="DV60" s="117">
        <f t="shared" si="44"/>
        <v>7.8583999999999996</v>
      </c>
      <c r="DW60" s="118">
        <f t="shared" si="45"/>
        <v>9.4</v>
      </c>
      <c r="DX60" s="119">
        <f t="shared" si="21"/>
        <v>0</v>
      </c>
      <c r="DY60" s="115">
        <f t="shared" si="46"/>
        <v>4.8000000000000007</v>
      </c>
      <c r="DZ60" s="117">
        <f t="shared" si="47"/>
        <v>0</v>
      </c>
      <c r="EA60" s="120">
        <f t="shared" si="47"/>
        <v>0</v>
      </c>
      <c r="EB60" s="119">
        <f t="shared" si="47"/>
        <v>0</v>
      </c>
      <c r="EC60" s="121">
        <f t="shared" si="48"/>
        <v>0</v>
      </c>
      <c r="ED60" s="122"/>
      <c r="EE60" s="145">
        <v>18</v>
      </c>
      <c r="EF60" s="115">
        <v>21</v>
      </c>
      <c r="EG60" s="115">
        <v>38</v>
      </c>
      <c r="EH60" s="115">
        <v>20</v>
      </c>
      <c r="EI60" s="128" t="s">
        <v>195</v>
      </c>
      <c r="EJ60" s="121">
        <v>24</v>
      </c>
      <c r="EK60" s="121">
        <v>0</v>
      </c>
      <c r="EL60" s="149">
        <v>9.3631999999999991</v>
      </c>
      <c r="EM60" s="142">
        <v>11.2</v>
      </c>
      <c r="EN60" s="119">
        <v>0</v>
      </c>
      <c r="EO60" s="115">
        <v>15.8</v>
      </c>
      <c r="EP60" s="115">
        <v>405.84415584415598</v>
      </c>
      <c r="EQ60" s="115">
        <v>64</v>
      </c>
      <c r="ER60" s="115">
        <v>12</v>
      </c>
      <c r="ES60" s="115">
        <v>41</v>
      </c>
      <c r="ET60" s="150">
        <v>0.32653061224489799</v>
      </c>
      <c r="EU60" s="145">
        <f t="shared" si="25"/>
        <v>18</v>
      </c>
      <c r="EV60" s="115">
        <f t="shared" si="26"/>
        <v>18</v>
      </c>
      <c r="EW60" s="115">
        <f t="shared" si="26"/>
        <v>35</v>
      </c>
      <c r="EX60" s="115">
        <f t="shared" si="26"/>
        <v>16</v>
      </c>
      <c r="EY60" s="115" t="str">
        <f t="shared" si="27"/>
        <v>Постоянный</v>
      </c>
      <c r="EZ60" s="115">
        <f t="shared" si="27"/>
        <v>24</v>
      </c>
      <c r="FA60" s="115">
        <f t="shared" si="27"/>
        <v>0</v>
      </c>
      <c r="FB60" s="149">
        <f t="shared" si="28"/>
        <v>7.8583999999999996</v>
      </c>
      <c r="FC60" s="142">
        <f t="shared" si="28"/>
        <v>9.4</v>
      </c>
      <c r="FD60" s="119">
        <f t="shared" si="28"/>
        <v>0</v>
      </c>
      <c r="FE60" s="121">
        <f t="shared" si="28"/>
        <v>15.8</v>
      </c>
      <c r="FF60" s="121">
        <f t="shared" si="49"/>
        <v>610.81136109131648</v>
      </c>
      <c r="FG60" s="121">
        <f t="shared" si="30"/>
        <v>64</v>
      </c>
      <c r="FH60" s="121">
        <f t="shared" si="50"/>
        <v>11</v>
      </c>
      <c r="FI60" s="121">
        <f t="shared" si="32"/>
        <v>37</v>
      </c>
      <c r="FJ60" s="144">
        <f t="shared" si="33"/>
        <v>0.24543080939947784</v>
      </c>
      <c r="FK60" s="132">
        <f t="shared" si="34"/>
        <v>0</v>
      </c>
      <c r="FL60" s="115">
        <f t="shared" si="34"/>
        <v>-3</v>
      </c>
      <c r="FM60" s="115">
        <f t="shared" si="34"/>
        <v>-3</v>
      </c>
      <c r="FN60" s="115">
        <f t="shared" si="34"/>
        <v>-4</v>
      </c>
      <c r="FO60" s="115">
        <f t="shared" si="35"/>
        <v>0</v>
      </c>
      <c r="FP60" s="115">
        <f t="shared" si="35"/>
        <v>0</v>
      </c>
      <c r="FQ60" s="149">
        <f t="shared" si="35"/>
        <v>-1.5047999999999995</v>
      </c>
      <c r="FR60" s="142">
        <f t="shared" si="35"/>
        <v>-1.7999999999999989</v>
      </c>
      <c r="FS60" s="119">
        <f t="shared" si="35"/>
        <v>0</v>
      </c>
      <c r="FT60" s="121">
        <f t="shared" si="35"/>
        <v>0</v>
      </c>
      <c r="FU60" s="121">
        <f t="shared" si="36"/>
        <v>0</v>
      </c>
      <c r="FV60" s="121">
        <f t="shared" si="36"/>
        <v>-1</v>
      </c>
      <c r="FW60" s="121">
        <f t="shared" si="37"/>
        <v>204.96720524716051</v>
      </c>
      <c r="FX60" s="121">
        <f t="shared" si="38"/>
        <v>-4</v>
      </c>
      <c r="FY60" s="144">
        <f t="shared" si="38"/>
        <v>-8.1099802845420149E-2</v>
      </c>
      <c r="FZ60" s="124" t="s">
        <v>223</v>
      </c>
      <c r="GA60" s="151" t="s">
        <v>361</v>
      </c>
      <c r="GB60" s="145" t="s">
        <v>199</v>
      </c>
      <c r="GC60" s="151" t="s">
        <v>304</v>
      </c>
      <c r="GD60" s="997" t="s">
        <v>238</v>
      </c>
      <c r="GE60" s="1004" t="s">
        <v>199</v>
      </c>
      <c r="GF60" s="1004">
        <v>-4.0128000000000004</v>
      </c>
      <c r="GG60" s="1004"/>
      <c r="GH60" s="1004">
        <v>-0.8360000000000003</v>
      </c>
      <c r="GI60" s="145"/>
      <c r="GJ60" s="996">
        <v>-0.75239999999999796</v>
      </c>
      <c r="GK60" s="145"/>
      <c r="GL60" s="996">
        <v>0.26224818399999883</v>
      </c>
      <c r="GM60" s="1005" t="s">
        <v>274</v>
      </c>
      <c r="GN60" s="996">
        <v>-1.9844081840000012</v>
      </c>
      <c r="GO60" s="1006"/>
      <c r="GP60" s="996">
        <v>0</v>
      </c>
      <c r="GQ60" s="1006" t="s">
        <v>199</v>
      </c>
      <c r="GR60" s="996">
        <v>5.0861750940000015</v>
      </c>
      <c r="GS60" s="1006"/>
      <c r="GT60" s="996">
        <v>0</v>
      </c>
      <c r="GU60" s="1006"/>
      <c r="GV60" s="996">
        <v>0</v>
      </c>
      <c r="GW60" s="1006" t="s">
        <v>199</v>
      </c>
      <c r="GX60" s="997">
        <v>1.5398463739999997</v>
      </c>
      <c r="GY60" s="1006" t="s">
        <v>199</v>
      </c>
      <c r="GZ60" s="996">
        <v>-1.9767328680000009</v>
      </c>
      <c r="HA60" s="1006"/>
      <c r="HB60" s="996">
        <v>0</v>
      </c>
      <c r="HC60" s="1006"/>
      <c r="HD60" s="996">
        <v>0.57320339999999881</v>
      </c>
      <c r="HE60" s="1006"/>
      <c r="HF60" s="996">
        <v>0</v>
      </c>
      <c r="HG60" s="1006"/>
      <c r="HH60" s="996">
        <v>-0.44766922199999648</v>
      </c>
      <c r="HI60" s="1006"/>
      <c r="HJ60" s="996">
        <v>0</v>
      </c>
      <c r="HK60" s="1006" t="s">
        <v>308</v>
      </c>
      <c r="HL60" s="996">
        <v>-1.0462627780000027</v>
      </c>
      <c r="HM60" s="1006"/>
      <c r="HN60" s="996">
        <v>0</v>
      </c>
      <c r="HO60" s="1006"/>
      <c r="HP60" s="996">
        <v>0</v>
      </c>
      <c r="HQ60" s="1006"/>
      <c r="HR60" s="996">
        <v>0</v>
      </c>
      <c r="HS60" s="1006"/>
      <c r="HT60" s="996">
        <v>0</v>
      </c>
      <c r="HU60" s="1006"/>
      <c r="HV60" s="996">
        <v>0.8360000000000003</v>
      </c>
      <c r="HW60" s="1006" t="s">
        <v>199</v>
      </c>
      <c r="HX60" s="996">
        <v>-2.2153999999999989</v>
      </c>
      <c r="HY60" s="1006" t="s">
        <v>241</v>
      </c>
      <c r="HZ60" s="996">
        <v>1.4128399999999992</v>
      </c>
      <c r="IA60" s="1006" t="s">
        <v>223</v>
      </c>
      <c r="IB60" s="996">
        <v>-4.6314400000000013</v>
      </c>
      <c r="IC60" s="1006" t="s">
        <v>199</v>
      </c>
      <c r="ID60" s="996">
        <v>3.6783999999999999</v>
      </c>
      <c r="IE60" s="1006"/>
      <c r="IF60" s="996">
        <v>-2.8423999999999978</v>
      </c>
      <c r="IG60" s="1006"/>
      <c r="IH60" s="996">
        <v>-0.83600000000000207</v>
      </c>
      <c r="II60" s="1006" t="s">
        <v>199</v>
      </c>
      <c r="IJ60" s="996">
        <v>9.1960000000000015</v>
      </c>
      <c r="IK60" s="1006"/>
      <c r="IL60" s="996">
        <v>0</v>
      </c>
      <c r="IM60" s="1006"/>
      <c r="IN60" s="996">
        <v>0</v>
      </c>
      <c r="IO60" s="1006"/>
      <c r="IP60" s="996">
        <v>-0.8360000000000003</v>
      </c>
      <c r="IQ60" s="1006"/>
      <c r="IR60" s="996">
        <v>0</v>
      </c>
      <c r="IS60" s="1006"/>
      <c r="IT60" s="996">
        <v>0</v>
      </c>
      <c r="IU60" s="1006"/>
      <c r="IV60" s="996">
        <v>0</v>
      </c>
      <c r="IW60" s="1006"/>
      <c r="IX60" s="996">
        <v>0</v>
      </c>
      <c r="IY60" s="1006"/>
      <c r="IZ60" s="996">
        <v>0</v>
      </c>
      <c r="JA60" s="1006"/>
      <c r="JB60" s="996">
        <v>0</v>
      </c>
      <c r="JC60" s="1006"/>
      <c r="JD60" s="996">
        <v>0</v>
      </c>
      <c r="JE60" s="1006" t="s">
        <v>204</v>
      </c>
      <c r="JF60" s="996">
        <v>-6.6879999999999988</v>
      </c>
      <c r="JG60" s="1006"/>
      <c r="JH60" s="996">
        <v>0</v>
      </c>
      <c r="JI60" s="1006" t="s">
        <v>199</v>
      </c>
      <c r="JJ60" s="996">
        <v>6.6971959999999982</v>
      </c>
      <c r="JK60" s="1007"/>
      <c r="JL60" s="1007">
        <v>0</v>
      </c>
      <c r="JM60" s="1007"/>
      <c r="JN60" s="1007">
        <v>0</v>
      </c>
      <c r="JO60" s="1008"/>
      <c r="JP60" s="1007">
        <v>0</v>
      </c>
      <c r="JQ60" s="1008">
        <v>0</v>
      </c>
      <c r="JR60" s="1007">
        <v>0</v>
      </c>
      <c r="JS60" s="1008" t="s">
        <v>199</v>
      </c>
      <c r="JT60" s="1007">
        <v>-8.351639999999998</v>
      </c>
      <c r="JU60" s="1008"/>
      <c r="JV60" s="1007">
        <v>0</v>
      </c>
      <c r="JW60" s="1008" t="s">
        <v>197</v>
      </c>
      <c r="JX60" s="1007">
        <v>0</v>
      </c>
      <c r="JY60" s="1008"/>
      <c r="JZ60" s="1007">
        <v>0</v>
      </c>
      <c r="KA60" s="1008" t="s">
        <v>204</v>
      </c>
      <c r="KB60" s="1007">
        <v>5.5955987999999994</v>
      </c>
      <c r="KC60" s="1008" t="s">
        <v>204</v>
      </c>
      <c r="KD60" s="1007">
        <v>-4.7604348000000005</v>
      </c>
      <c r="KE60" s="1008"/>
      <c r="KF60" s="1007">
        <v>0</v>
      </c>
      <c r="KG60" s="1008"/>
      <c r="KH60" s="1007">
        <v>0</v>
      </c>
      <c r="KI60" s="1008"/>
      <c r="KJ60" s="1007">
        <v>0</v>
      </c>
      <c r="KK60" s="1008"/>
      <c r="KL60" s="1007">
        <v>0</v>
      </c>
      <c r="KM60" s="1008" t="s">
        <v>206</v>
      </c>
      <c r="KN60" s="1007">
        <v>4.1758199999999999</v>
      </c>
      <c r="KO60" s="1008"/>
      <c r="KP60" s="1007">
        <v>0</v>
      </c>
      <c r="KQ60" s="1008">
        <v>0</v>
      </c>
      <c r="KR60" s="1007">
        <v>0</v>
      </c>
      <c r="KS60" s="1008" t="s">
        <v>207</v>
      </c>
      <c r="KT60" s="1007">
        <v>-2.6725247999999997</v>
      </c>
      <c r="KU60" s="1008" t="s">
        <v>199</v>
      </c>
      <c r="KV60" s="1007">
        <v>-1.5032952000000002</v>
      </c>
      <c r="KW60" s="1008">
        <v>0</v>
      </c>
      <c r="KX60" s="1007">
        <v>0</v>
      </c>
      <c r="KY60" s="1008" t="s">
        <v>241</v>
      </c>
      <c r="KZ60" s="1007">
        <v>-10.021968000000001</v>
      </c>
      <c r="LA60" s="1008" t="s">
        <v>241</v>
      </c>
      <c r="LB60" s="1007">
        <v>13.362624</v>
      </c>
      <c r="LC60" s="1008">
        <v>0</v>
      </c>
      <c r="LD60" s="1007">
        <v>0</v>
      </c>
      <c r="LE60" s="1008" t="s">
        <v>203</v>
      </c>
      <c r="LF60" s="1007">
        <v>-5.8461479999999995</v>
      </c>
      <c r="LG60" s="1008" t="s">
        <v>206</v>
      </c>
      <c r="LH60" s="1007">
        <v>3.8793367799999992</v>
      </c>
      <c r="LI60" s="1008">
        <v>0</v>
      </c>
      <c r="LJ60" s="1007">
        <v>0</v>
      </c>
      <c r="LK60" s="1008">
        <v>0</v>
      </c>
      <c r="LL60" s="1007">
        <v>0</v>
      </c>
      <c r="LM60" s="1008" t="s">
        <v>206</v>
      </c>
      <c r="LN60" s="1007">
        <v>0.89781599999999995</v>
      </c>
      <c r="LO60" s="1008" t="s">
        <v>207</v>
      </c>
      <c r="LP60" s="1007">
        <v>4.3687821759999999</v>
      </c>
      <c r="LQ60" s="1008" t="s">
        <v>199</v>
      </c>
      <c r="LR60" s="1007">
        <v>-2.559936</v>
      </c>
      <c r="LS60" s="1008" t="s">
        <v>203</v>
      </c>
      <c r="LT60" s="1007">
        <v>-8.3533119999999972</v>
      </c>
      <c r="LU60" s="1008">
        <v>0</v>
      </c>
      <c r="LV60" s="1007">
        <v>4.4272553600000002</v>
      </c>
      <c r="LW60" s="1008" t="s">
        <v>206</v>
      </c>
      <c r="LX60" s="1007">
        <v>7.1315200000000001</v>
      </c>
      <c r="LY60" s="1009" t="s">
        <v>207</v>
      </c>
      <c r="LZ60" s="1010">
        <v>3.5975163999999999</v>
      </c>
      <c r="MA60" s="1011">
        <v>0</v>
      </c>
      <c r="MB60" s="1012">
        <v>0</v>
      </c>
      <c r="MC60" s="995"/>
      <c r="MD60" s="996"/>
      <c r="ME60" s="997" t="s">
        <v>238</v>
      </c>
      <c r="MF60" s="997"/>
      <c r="MG60" s="998"/>
      <c r="NR60" s="1000"/>
      <c r="NS60" s="1000"/>
      <c r="NT60" s="1001"/>
      <c r="NU60" s="1000"/>
      <c r="NV60" s="1001"/>
      <c r="NX60" s="1002"/>
      <c r="NZ60" s="1001"/>
      <c r="OA60" s="1001"/>
      <c r="OC60" s="1003"/>
      <c r="OD60" s="1003"/>
      <c r="OE60" s="1001"/>
      <c r="OF60" s="1003"/>
      <c r="OG60" s="1003"/>
      <c r="QX60" s="1000">
        <f t="shared" si="51"/>
        <v>19</v>
      </c>
      <c r="ASU60" s="999" t="s">
        <v>208</v>
      </c>
    </row>
    <row r="61" spans="1:1191" ht="21" customHeight="1" x14ac:dyDescent="0.25">
      <c r="A61" s="982" t="str">
        <f t="shared" si="0"/>
        <v>44р</v>
      </c>
      <c r="B61" s="124">
        <f>SUBTOTAL(103,$J$29:J61)</f>
        <v>33</v>
      </c>
      <c r="C61" s="126">
        <v>45096</v>
      </c>
      <c r="D61" s="124" t="s">
        <v>176</v>
      </c>
      <c r="E61" s="127" t="s">
        <v>177</v>
      </c>
      <c r="F61" s="128" t="s">
        <v>177</v>
      </c>
      <c r="G61" s="127" t="s">
        <v>178</v>
      </c>
      <c r="H61" s="127" t="s">
        <v>226</v>
      </c>
      <c r="I61" s="127" t="s">
        <v>242</v>
      </c>
      <c r="J61" s="152" t="s">
        <v>440</v>
      </c>
      <c r="K61" s="127" t="s">
        <v>182</v>
      </c>
      <c r="L61" s="130">
        <v>34886</v>
      </c>
      <c r="M61" s="127" t="s">
        <v>230</v>
      </c>
      <c r="N61" s="127" t="s">
        <v>245</v>
      </c>
      <c r="O61" s="127" t="s">
        <v>185</v>
      </c>
      <c r="P61" s="127" t="s">
        <v>208</v>
      </c>
      <c r="Q61" s="85" t="str">
        <f t="shared" si="40"/>
        <v/>
      </c>
      <c r="R61" s="130"/>
      <c r="S61" s="128" t="s">
        <v>156</v>
      </c>
      <c r="T61" s="131"/>
      <c r="U61" s="132">
        <v>203</v>
      </c>
      <c r="V61" s="121">
        <v>218.2</v>
      </c>
      <c r="W61" s="116">
        <v>0.98</v>
      </c>
      <c r="X61" s="116">
        <v>1.66</v>
      </c>
      <c r="Y61" s="116">
        <f t="shared" si="41"/>
        <v>0.98</v>
      </c>
      <c r="Z61" s="133">
        <v>1.454</v>
      </c>
      <c r="AA61" s="133">
        <v>0.83599999999999997</v>
      </c>
      <c r="AB61" s="133">
        <v>0.72</v>
      </c>
      <c r="AC61" s="121">
        <v>34.299999999999997</v>
      </c>
      <c r="AD61" s="134">
        <v>1.17</v>
      </c>
      <c r="AE61" s="124">
        <v>139.69999999999999</v>
      </c>
      <c r="AF61" s="128">
        <v>7.72</v>
      </c>
      <c r="AG61" s="128">
        <v>2006</v>
      </c>
      <c r="AH61" s="127" t="s">
        <v>441</v>
      </c>
      <c r="AI61" s="127" t="s">
        <v>442</v>
      </c>
      <c r="AJ61" s="135"/>
      <c r="AK61" s="128"/>
      <c r="AL61" s="131"/>
      <c r="AM61" s="124" t="s">
        <v>232</v>
      </c>
      <c r="AN61" s="136" t="s">
        <v>443</v>
      </c>
      <c r="AO61" s="137">
        <v>30</v>
      </c>
      <c r="AP61" s="128">
        <v>2006</v>
      </c>
      <c r="AQ61" s="128">
        <v>0.13</v>
      </c>
      <c r="AR61" s="128"/>
      <c r="AS61" s="128"/>
      <c r="AT61" s="122"/>
      <c r="AU61" s="124" t="s">
        <v>189</v>
      </c>
      <c r="AV61" s="115">
        <f>VLOOKUP(J61,'[63]ТР нефть'!$J$28:$BP$638,39,0)</f>
        <v>565.99998222700003</v>
      </c>
      <c r="AW61" s="115" t="str">
        <f>VLOOKUP(J61,'[63]ТР нефть'!$J$28:$BP$638,40,0)</f>
        <v>ГП</v>
      </c>
      <c r="AX61" s="115">
        <f>VLOOKUP(J61,'[63]ТР нефть'!$J$28:$BP$638,41,0)</f>
        <v>996.999981445</v>
      </c>
      <c r="AY61" s="115" t="str">
        <f>VLOOKUP(J61,'[63]ТР нефть'!$J$28:$BP$638,42,0)</f>
        <v>ГК 91 5/16</v>
      </c>
      <c r="AZ61" s="115">
        <f>VLOOKUP(J61,'[63]ТР нефть'!$J$28:$BP$638,43,0)</f>
        <v>1363.9999429689999</v>
      </c>
      <c r="BA61" s="115" t="str">
        <f>VLOOKUP(J61,'[63]ТР нефть'!$J$28:$BP$638,44,0)</f>
        <v>ГК 91 5/16</v>
      </c>
      <c r="BB61" s="115">
        <f>VLOOKUP(J61,'[63]ТР нефть'!$J$28:$BP$638,45,0)</f>
        <v>1578.0000527340001</v>
      </c>
      <c r="BC61" s="115" t="str">
        <f>VLOOKUP(J61,'[63]ТР нефть'!$J$28:$BP$638,46,0)</f>
        <v>ГК 91 5/16</v>
      </c>
      <c r="BD61" s="115">
        <f>VLOOKUP(J61,'[63]ТР нефть'!$J$28:$BP$638,47,0)</f>
        <v>1778.0000496089999</v>
      </c>
      <c r="BE61" s="115" t="str">
        <f>VLOOKUP(J61,'[63]ТР нефть'!$J$28:$BP$638,48,0)</f>
        <v>ЦКсОК 5/16</v>
      </c>
      <c r="BF61" s="115" t="str">
        <f>VLOOKUP(J61,'[63]ТР нефть'!$J$28:$BP$638,49,0)</f>
        <v>-</v>
      </c>
      <c r="BG61" s="115" t="str">
        <f>VLOOKUP(J61,'[63]ТР нефть'!$J$28:$BP$638,50,0)</f>
        <v>-</v>
      </c>
      <c r="BH61" s="115">
        <f>VLOOKUP(J61,'[63]ТР нефть'!$J$28:$BP$638,51,0)</f>
        <v>1762</v>
      </c>
      <c r="BI61" s="115" t="str">
        <f>VLOOKUP(J61,'[63]ТР нефть'!$J$28:$BP$638,52,0)</f>
        <v>закрыт</v>
      </c>
      <c r="BJ61" s="115" t="str">
        <f>IF(IFERROR(VLOOKUP(J61,'[63]ТР нефть'!$J$28:$BP$638,53,0),"-")=0,"-",IFERROR(VLOOKUP(J61,'[63]ТР нефть'!$J$28:$BP$638,53,0),"-"))</f>
        <v>-</v>
      </c>
      <c r="BK61" s="138" t="str">
        <f>IF(IFERROR(VLOOKUP(J61,'[63]ТР нефть'!$J$28:$BP$638,54,0),"-")=0,"-",IFERROR(VLOOKUP(J61,'[63]ТР нефть'!$J$28:$BP$638,54,0),"-"))</f>
        <v>-</v>
      </c>
      <c r="BL61" s="138" t="str">
        <f>IF(IFERROR(VLOOKUP(J61,'[63]ТР нефть'!$J$28:$BP$638,55,0),"-")=0,"-",IFERROR(VLOOKUP(J61,'[63]ТР нефть'!$J$28:$BP$638,55,0),"-"))</f>
        <v>-</v>
      </c>
      <c r="BM61" s="138" t="str">
        <f>IF(IFERROR(VLOOKUP(J61,'[63]ТР нефть'!$J$28:$BP$638,56,0),"-")=0,"-",IFERROR(VLOOKUP(J61,'[63]ТР нефть'!$J$28:$BP$638,56,0),"-"))</f>
        <v>-</v>
      </c>
      <c r="BN61" s="138" t="str">
        <f>IF(IFERROR(VLOOKUP(J61,'[63]ТР нефть'!$J$28:$BP$638,57,0),"-")=0,"-",IFERROR(VLOOKUP(J61,'[63]ТР нефть'!$J$28:$BP$638,57,0),"-"))</f>
        <v>-</v>
      </c>
      <c r="BO61" s="115" t="str">
        <f>IF(IFERROR(VLOOKUP(J61,'[63]ТР нефть'!$J$28:$BP$638,58,0),"-")=0,"-",IFERROR(VLOOKUP(J61,'[63]ТР нефть'!$J$28:$BP$638,58,0),"-"))</f>
        <v>-</v>
      </c>
      <c r="BP61" s="115" t="str">
        <f>IF(IFERROR(VLOOKUP(J61,'[63]ТР нефть'!$J$28:$BP$638,59,0),"-")=0,"-",IFERROR(VLOOKUP(J61,'[63]ТР нефть'!$J$28:$BP$638,59,0),"-"))</f>
        <v>-</v>
      </c>
      <c r="BQ61" s="138">
        <v>2000</v>
      </c>
      <c r="BR61" s="128">
        <v>1916.97</v>
      </c>
      <c r="BS61" s="115">
        <f t="shared" si="2"/>
        <v>83.029999999999973</v>
      </c>
      <c r="BT61" s="128">
        <v>73</v>
      </c>
      <c r="BU61" s="128">
        <v>5.5</v>
      </c>
      <c r="BV61" s="127">
        <v>65</v>
      </c>
      <c r="BW61" s="127" t="s">
        <v>217</v>
      </c>
      <c r="BX61" s="127" t="s">
        <v>195</v>
      </c>
      <c r="BY61" s="139">
        <v>24</v>
      </c>
      <c r="BZ61" s="139">
        <v>0</v>
      </c>
      <c r="CA61" s="138">
        <v>20</v>
      </c>
      <c r="CB61" s="138">
        <v>39</v>
      </c>
      <c r="CC61" s="138">
        <v>18</v>
      </c>
      <c r="CD61" s="135">
        <v>45017</v>
      </c>
      <c r="CE61" s="138">
        <v>113.29</v>
      </c>
      <c r="CF61" s="138">
        <v>68</v>
      </c>
      <c r="CG61" s="138" t="str">
        <f t="shared" si="52"/>
        <v>В работе</v>
      </c>
      <c r="CH61" s="138" t="s">
        <v>272</v>
      </c>
      <c r="CI61" s="138">
        <v>6</v>
      </c>
      <c r="CJ61" s="139"/>
      <c r="CK61" s="138"/>
      <c r="CL61" s="99"/>
      <c r="CM61" s="99"/>
      <c r="CN61" s="140">
        <v>45</v>
      </c>
      <c r="CO61" s="141">
        <f t="shared" si="4"/>
        <v>9.9483999999999995</v>
      </c>
      <c r="CP61" s="142">
        <v>11.9</v>
      </c>
      <c r="CQ61" s="143">
        <v>0</v>
      </c>
      <c r="CR61" s="138">
        <v>10.8</v>
      </c>
      <c r="CS61" s="139">
        <v>7.2</v>
      </c>
      <c r="CT61" s="138"/>
      <c r="CU61" s="138">
        <f t="shared" si="5"/>
        <v>3.6000000000000005</v>
      </c>
      <c r="CV61" s="115">
        <f t="shared" si="6"/>
        <v>361.86723493225048</v>
      </c>
      <c r="CW61" s="115">
        <f t="shared" si="7"/>
        <v>723.73446986450085</v>
      </c>
      <c r="CX61" s="133">
        <f t="shared" si="8"/>
        <v>0.17425684580465661</v>
      </c>
      <c r="CY61" s="116"/>
      <c r="CZ61" s="131"/>
      <c r="DA61" s="145" t="str">
        <f t="shared" si="9"/>
        <v>Газлифт</v>
      </c>
      <c r="DB61" s="146">
        <f t="shared" si="10"/>
        <v>9.9483999999999995</v>
      </c>
      <c r="DC61" s="142">
        <f t="shared" si="11"/>
        <v>11.9</v>
      </c>
      <c r="DD61" s="119">
        <f t="shared" si="12"/>
        <v>0</v>
      </c>
      <c r="DE61" s="115">
        <f t="shared" si="13"/>
        <v>3.6000000000000005</v>
      </c>
      <c r="DF61" s="121">
        <f t="shared" si="14"/>
        <v>7.2</v>
      </c>
      <c r="DG61" s="115">
        <f t="shared" si="15"/>
        <v>361.86723493225048</v>
      </c>
      <c r="DH61" s="115">
        <f t="shared" si="16"/>
        <v>45</v>
      </c>
      <c r="DI61" s="147"/>
      <c r="DJ61" s="111" t="s">
        <v>197</v>
      </c>
      <c r="DK61" s="112">
        <v>41389</v>
      </c>
      <c r="DL61" s="113">
        <f t="shared" ca="1" si="42"/>
        <v>3715</v>
      </c>
      <c r="DM61" s="114"/>
      <c r="DN61" s="114"/>
      <c r="DO61" s="114"/>
      <c r="DP61" s="114"/>
      <c r="DQ61" s="112">
        <v>43381</v>
      </c>
      <c r="DR61" s="114" t="s">
        <v>198</v>
      </c>
      <c r="DS61" s="114"/>
      <c r="DT61" s="115">
        <v>49</v>
      </c>
      <c r="DU61" s="116">
        <f t="shared" si="43"/>
        <v>0.18509877119303156</v>
      </c>
      <c r="DV61" s="117">
        <f t="shared" si="44"/>
        <v>9.9483999999999995</v>
      </c>
      <c r="DW61" s="118">
        <f t="shared" si="45"/>
        <v>11.9</v>
      </c>
      <c r="DX61" s="119">
        <f t="shared" si="21"/>
        <v>0</v>
      </c>
      <c r="DY61" s="115">
        <f t="shared" si="46"/>
        <v>3.6000000000000005</v>
      </c>
      <c r="DZ61" s="117">
        <f t="shared" si="47"/>
        <v>0</v>
      </c>
      <c r="EA61" s="120">
        <f t="shared" si="47"/>
        <v>0</v>
      </c>
      <c r="EB61" s="119">
        <f t="shared" si="47"/>
        <v>0</v>
      </c>
      <c r="EC61" s="121">
        <f t="shared" si="48"/>
        <v>0</v>
      </c>
      <c r="ED61" s="122"/>
      <c r="EE61" s="145">
        <v>65</v>
      </c>
      <c r="EF61" s="115">
        <v>20</v>
      </c>
      <c r="EG61" s="115">
        <v>37</v>
      </c>
      <c r="EH61" s="115">
        <v>19</v>
      </c>
      <c r="EI61" s="128" t="s">
        <v>195</v>
      </c>
      <c r="EJ61" s="121">
        <v>24</v>
      </c>
      <c r="EK61" s="121">
        <v>0</v>
      </c>
      <c r="EL61" s="149">
        <v>9.0288000000000004</v>
      </c>
      <c r="EM61" s="142">
        <v>10.8</v>
      </c>
      <c r="EN61" s="119">
        <v>0</v>
      </c>
      <c r="EO61" s="115">
        <v>16.899999999999999</v>
      </c>
      <c r="EP61" s="115">
        <v>874.97784866205893</v>
      </c>
      <c r="EQ61" s="115">
        <v>68</v>
      </c>
      <c r="ER61" s="115">
        <v>9</v>
      </c>
      <c r="ES61" s="115">
        <v>45</v>
      </c>
      <c r="ET61" s="150">
        <v>0.1581490701420413</v>
      </c>
      <c r="EU61" s="145">
        <f t="shared" si="25"/>
        <v>65</v>
      </c>
      <c r="EV61" s="115">
        <f t="shared" si="26"/>
        <v>20</v>
      </c>
      <c r="EW61" s="115">
        <f t="shared" si="26"/>
        <v>39</v>
      </c>
      <c r="EX61" s="115">
        <f t="shared" si="26"/>
        <v>18</v>
      </c>
      <c r="EY61" s="115" t="str">
        <f t="shared" ref="EY61:FA92" si="53">BX61</f>
        <v>Постоянный</v>
      </c>
      <c r="EZ61" s="115">
        <f t="shared" si="53"/>
        <v>24</v>
      </c>
      <c r="FA61" s="115">
        <f t="shared" si="53"/>
        <v>0</v>
      </c>
      <c r="FB61" s="149">
        <f t="shared" si="28"/>
        <v>9.9483999999999995</v>
      </c>
      <c r="FC61" s="142">
        <f t="shared" si="28"/>
        <v>11.9</v>
      </c>
      <c r="FD61" s="119">
        <f t="shared" si="28"/>
        <v>0</v>
      </c>
      <c r="FE61" s="121">
        <f t="shared" si="28"/>
        <v>10.8</v>
      </c>
      <c r="FF61" s="121">
        <f t="shared" si="49"/>
        <v>361.86723493225048</v>
      </c>
      <c r="FG61" s="121">
        <f t="shared" si="30"/>
        <v>68</v>
      </c>
      <c r="FH61" s="121">
        <f t="shared" si="50"/>
        <v>7.2</v>
      </c>
      <c r="FI61" s="121">
        <f t="shared" si="32"/>
        <v>45</v>
      </c>
      <c r="FJ61" s="144">
        <f t="shared" si="33"/>
        <v>0.17425684580465661</v>
      </c>
      <c r="FK61" s="132">
        <f t="shared" si="34"/>
        <v>0</v>
      </c>
      <c r="FL61" s="115">
        <f t="shared" si="34"/>
        <v>0</v>
      </c>
      <c r="FM61" s="115">
        <f t="shared" si="34"/>
        <v>2</v>
      </c>
      <c r="FN61" s="115">
        <f t="shared" si="34"/>
        <v>-1</v>
      </c>
      <c r="FO61" s="115">
        <f t="shared" si="35"/>
        <v>0</v>
      </c>
      <c r="FP61" s="115">
        <f t="shared" si="35"/>
        <v>0</v>
      </c>
      <c r="FQ61" s="149">
        <f t="shared" si="35"/>
        <v>0.91959999999999908</v>
      </c>
      <c r="FR61" s="142">
        <f t="shared" si="35"/>
        <v>1.0999999999999996</v>
      </c>
      <c r="FS61" s="119">
        <f t="shared" si="35"/>
        <v>0</v>
      </c>
      <c r="FT61" s="121">
        <f t="shared" si="35"/>
        <v>-6.0999999999999979</v>
      </c>
      <c r="FU61" s="121">
        <f t="shared" si="36"/>
        <v>0</v>
      </c>
      <c r="FV61" s="121">
        <f t="shared" si="36"/>
        <v>-1.7999999999999998</v>
      </c>
      <c r="FW61" s="121">
        <f t="shared" si="37"/>
        <v>-513.11061372980839</v>
      </c>
      <c r="FX61" s="121">
        <f t="shared" si="38"/>
        <v>0</v>
      </c>
      <c r="FY61" s="144">
        <f t="shared" si="38"/>
        <v>1.6107775662615315E-2</v>
      </c>
      <c r="FZ61" s="145"/>
      <c r="GA61" s="151" t="s">
        <v>266</v>
      </c>
      <c r="GB61" s="145" t="s">
        <v>199</v>
      </c>
      <c r="GC61" s="151" t="s">
        <v>444</v>
      </c>
      <c r="GD61" s="997" t="s">
        <v>238</v>
      </c>
      <c r="GE61" s="1004" t="s">
        <v>199</v>
      </c>
      <c r="GF61" s="1004">
        <v>-3.4234199999999984</v>
      </c>
      <c r="GG61" s="1004" t="s">
        <v>199</v>
      </c>
      <c r="GH61" s="1004">
        <v>3.132951799999999</v>
      </c>
      <c r="GI61" s="145"/>
      <c r="GJ61" s="996">
        <v>0</v>
      </c>
      <c r="GK61" s="145" t="s">
        <v>240</v>
      </c>
      <c r="GL61" s="996">
        <v>-4.2438160599999986</v>
      </c>
      <c r="GM61" s="1005"/>
      <c r="GN61" s="996">
        <v>0</v>
      </c>
      <c r="GO61" s="1006"/>
      <c r="GP61" s="996">
        <v>0</v>
      </c>
      <c r="GQ61" s="1006"/>
      <c r="GR61" s="996">
        <v>0</v>
      </c>
      <c r="GS61" s="1006"/>
      <c r="GT61" s="996">
        <v>0</v>
      </c>
      <c r="GU61" s="1006" t="s">
        <v>203</v>
      </c>
      <c r="GV61" s="996">
        <v>-2.6672446240000003</v>
      </c>
      <c r="GW61" s="1006" t="s">
        <v>203</v>
      </c>
      <c r="GX61" s="997">
        <v>-8.707592916000003</v>
      </c>
      <c r="GY61" s="1006"/>
      <c r="GZ61" s="996">
        <v>0</v>
      </c>
      <c r="HA61" s="1006" t="s">
        <v>25</v>
      </c>
      <c r="HB61" s="996">
        <v>18.328091144000002</v>
      </c>
      <c r="HC61" s="1006"/>
      <c r="HD61" s="996">
        <v>0</v>
      </c>
      <c r="HE61" s="1006" t="s">
        <v>199</v>
      </c>
      <c r="HF61" s="996">
        <v>1.9369250560000006</v>
      </c>
      <c r="HG61" s="1006"/>
      <c r="HH61" s="996">
        <v>0</v>
      </c>
      <c r="HI61" s="1006"/>
      <c r="HJ61" s="996">
        <v>0</v>
      </c>
      <c r="HK61" s="1006"/>
      <c r="HL61" s="996">
        <v>0</v>
      </c>
      <c r="HM61" s="1006"/>
      <c r="HN61" s="996">
        <v>0</v>
      </c>
      <c r="HO61" s="1006"/>
      <c r="HP61" s="996">
        <v>0</v>
      </c>
      <c r="HQ61" s="1006"/>
      <c r="HR61" s="996">
        <v>5.8787520000000981E-2</v>
      </c>
      <c r="HS61" s="1006"/>
      <c r="HT61" s="996">
        <v>0</v>
      </c>
      <c r="HU61" s="1006"/>
      <c r="HV61" s="996">
        <v>0.4341180799999993</v>
      </c>
      <c r="HW61" s="1006"/>
      <c r="HX61" s="996">
        <v>0</v>
      </c>
      <c r="HY61" s="1006"/>
      <c r="HZ61" s="996">
        <v>0</v>
      </c>
      <c r="IA61" s="1006"/>
      <c r="IB61" s="996">
        <v>0</v>
      </c>
      <c r="IC61" s="1006"/>
      <c r="ID61" s="996">
        <v>0.83599999999999985</v>
      </c>
      <c r="IE61" s="1006"/>
      <c r="IF61" s="996">
        <v>0</v>
      </c>
      <c r="IG61" s="1006"/>
      <c r="IH61" s="996">
        <v>0.41800000000000015</v>
      </c>
      <c r="II61" s="1006"/>
      <c r="IJ61" s="996">
        <v>0</v>
      </c>
      <c r="IK61" s="1006"/>
      <c r="IL61" s="996">
        <v>0</v>
      </c>
      <c r="IM61" s="1006"/>
      <c r="IN61" s="996">
        <v>0</v>
      </c>
      <c r="IO61" s="1006"/>
      <c r="IP61" s="996">
        <v>0</v>
      </c>
      <c r="IQ61" s="1006"/>
      <c r="IR61" s="996">
        <v>0</v>
      </c>
      <c r="IS61" s="1006"/>
      <c r="IT61" s="996">
        <v>0</v>
      </c>
      <c r="IU61" s="1006"/>
      <c r="IV61" s="996">
        <v>0</v>
      </c>
      <c r="IW61" s="1006"/>
      <c r="IX61" s="996">
        <v>0</v>
      </c>
      <c r="IY61" s="1006"/>
      <c r="IZ61" s="996">
        <v>0.59372720000000001</v>
      </c>
      <c r="JA61" s="1006"/>
      <c r="JB61" s="996">
        <v>0</v>
      </c>
      <c r="JC61" s="1006"/>
      <c r="JD61" s="996">
        <v>0</v>
      </c>
      <c r="JE61" s="1006"/>
      <c r="JF61" s="996">
        <v>0</v>
      </c>
      <c r="JG61" s="1006"/>
      <c r="JH61" s="996">
        <v>0</v>
      </c>
      <c r="JI61" s="1006"/>
      <c r="JJ61" s="996">
        <v>-0.88465520000000009</v>
      </c>
      <c r="JK61" s="1007"/>
      <c r="JL61" s="1007">
        <v>0</v>
      </c>
      <c r="JM61" s="1007"/>
      <c r="JN61" s="1007">
        <v>0</v>
      </c>
      <c r="JO61" s="1008"/>
      <c r="JP61" s="1007">
        <v>0</v>
      </c>
      <c r="JQ61" s="1008">
        <v>0</v>
      </c>
      <c r="JR61" s="1007">
        <v>0</v>
      </c>
      <c r="JS61" s="1008">
        <v>0</v>
      </c>
      <c r="JT61" s="1007">
        <v>0</v>
      </c>
      <c r="JU61" s="1008"/>
      <c r="JV61" s="1007">
        <v>0</v>
      </c>
      <c r="JW61" s="1008" t="s">
        <v>223</v>
      </c>
      <c r="JX61" s="1007">
        <v>-6.5428411400000002</v>
      </c>
      <c r="JY61" s="1008"/>
      <c r="JZ61" s="1007">
        <v>0</v>
      </c>
      <c r="KA61" s="1008"/>
      <c r="KB61" s="1007">
        <v>0</v>
      </c>
      <c r="KC61" s="1008"/>
      <c r="KD61" s="1007">
        <v>0</v>
      </c>
      <c r="KE61" s="1008"/>
      <c r="KF61" s="1007">
        <v>0</v>
      </c>
      <c r="KG61" s="1008"/>
      <c r="KH61" s="1007">
        <v>0</v>
      </c>
      <c r="KI61" s="1008"/>
      <c r="KJ61" s="1007">
        <v>0</v>
      </c>
      <c r="KK61" s="1008"/>
      <c r="KL61" s="1007">
        <v>4.7457755399999995</v>
      </c>
      <c r="KM61" s="1008" t="s">
        <v>25</v>
      </c>
      <c r="KN61" s="1007">
        <v>0</v>
      </c>
      <c r="KO61" s="1008"/>
      <c r="KP61" s="1007">
        <v>0</v>
      </c>
      <c r="KQ61" s="1008">
        <v>0</v>
      </c>
      <c r="KR61" s="1007">
        <v>0</v>
      </c>
      <c r="KS61" s="1008">
        <v>0</v>
      </c>
      <c r="KT61" s="1007">
        <v>0</v>
      </c>
      <c r="KU61" s="1008">
        <v>0</v>
      </c>
      <c r="KV61" s="1007">
        <v>0</v>
      </c>
      <c r="KW61" s="1008" t="s">
        <v>206</v>
      </c>
      <c r="KX61" s="1007">
        <v>0.83566560000000045</v>
      </c>
      <c r="KY61" s="1008">
        <v>0</v>
      </c>
      <c r="KZ61" s="1007">
        <v>0</v>
      </c>
      <c r="LA61" s="1008" t="s">
        <v>206</v>
      </c>
      <c r="LB61" s="1007">
        <v>-1.6713312</v>
      </c>
      <c r="LC61" s="1008">
        <v>0</v>
      </c>
      <c r="LD61" s="1007">
        <v>0</v>
      </c>
      <c r="LE61" s="1008">
        <v>0</v>
      </c>
      <c r="LF61" s="1007">
        <v>0</v>
      </c>
      <c r="LG61" s="1008">
        <v>0</v>
      </c>
      <c r="LH61" s="1007">
        <v>0</v>
      </c>
      <c r="LI61" s="1008">
        <v>0</v>
      </c>
      <c r="LJ61" s="1007">
        <v>0</v>
      </c>
      <c r="LK61" s="1008" t="s">
        <v>204</v>
      </c>
      <c r="LL61" s="1007">
        <v>2.5699679999999998</v>
      </c>
      <c r="LM61" s="1008">
        <v>0</v>
      </c>
      <c r="LN61" s="1007">
        <v>0</v>
      </c>
      <c r="LO61" s="1008">
        <v>0</v>
      </c>
      <c r="LP61" s="1007">
        <v>0.83566560000000001</v>
      </c>
      <c r="LQ61" s="1008">
        <v>0</v>
      </c>
      <c r="LR61" s="1007">
        <v>0.73956456000000004</v>
      </c>
      <c r="LS61" s="1008" t="s">
        <v>206</v>
      </c>
      <c r="LT61" s="1007">
        <v>-1.73994936</v>
      </c>
      <c r="LU61" s="1008">
        <v>0</v>
      </c>
      <c r="LV61" s="1007">
        <v>0</v>
      </c>
      <c r="LW61" s="1008">
        <v>0</v>
      </c>
      <c r="LX61" s="1007">
        <v>0.16716800000000001</v>
      </c>
      <c r="LY61" s="1009" t="s">
        <v>206</v>
      </c>
      <c r="LZ61" s="1010">
        <v>-2.3344971800000001</v>
      </c>
      <c r="MA61" s="1011">
        <v>0</v>
      </c>
      <c r="MB61" s="1012">
        <v>0.844966518</v>
      </c>
      <c r="MC61" s="995"/>
      <c r="MD61" s="996"/>
      <c r="ME61" s="997" t="s">
        <v>238</v>
      </c>
      <c r="MF61" s="997"/>
      <c r="MG61" s="998"/>
      <c r="NR61" s="1000"/>
      <c r="NS61" s="1000"/>
      <c r="NT61" s="1001"/>
      <c r="NU61" s="1000"/>
      <c r="NV61" s="1001"/>
      <c r="NX61" s="1002"/>
      <c r="NZ61" s="1001"/>
      <c r="OA61" s="1001"/>
      <c r="OC61" s="1003"/>
      <c r="OD61" s="1003"/>
      <c r="OE61" s="1001"/>
      <c r="OF61" s="1003"/>
      <c r="OG61" s="1003"/>
      <c r="QX61" s="1000">
        <f t="shared" si="51"/>
        <v>25</v>
      </c>
      <c r="ASU61" s="999" t="s">
        <v>208</v>
      </c>
    </row>
    <row r="62" spans="1:1191" ht="21" customHeight="1" x14ac:dyDescent="0.25">
      <c r="A62" s="982" t="str">
        <f t="shared" si="0"/>
        <v>45р</v>
      </c>
      <c r="B62" s="124">
        <f>SUBTOTAL(103,$J$29:J62)</f>
        <v>34</v>
      </c>
      <c r="C62" s="126">
        <v>45096</v>
      </c>
      <c r="D62" s="124" t="s">
        <v>176</v>
      </c>
      <c r="E62" s="127" t="s">
        <v>177</v>
      </c>
      <c r="F62" s="128" t="s">
        <v>177</v>
      </c>
      <c r="G62" s="127" t="s">
        <v>178</v>
      </c>
      <c r="H62" s="127" t="s">
        <v>226</v>
      </c>
      <c r="I62" s="127" t="s">
        <v>285</v>
      </c>
      <c r="J62" s="152" t="s">
        <v>445</v>
      </c>
      <c r="K62" s="127" t="s">
        <v>182</v>
      </c>
      <c r="L62" s="130">
        <v>34964</v>
      </c>
      <c r="M62" s="127" t="s">
        <v>230</v>
      </c>
      <c r="N62" s="127" t="s">
        <v>245</v>
      </c>
      <c r="O62" s="127" t="s">
        <v>185</v>
      </c>
      <c r="P62" s="127" t="s">
        <v>208</v>
      </c>
      <c r="Q62" s="85">
        <f t="shared" si="40"/>
        <v>-4</v>
      </c>
      <c r="R62" s="130">
        <v>41476</v>
      </c>
      <c r="S62" s="128" t="s">
        <v>424</v>
      </c>
      <c r="T62" s="131" t="s">
        <v>446</v>
      </c>
      <c r="U62" s="132">
        <v>203</v>
      </c>
      <c r="V62" s="121">
        <v>218.2</v>
      </c>
      <c r="W62" s="116">
        <v>0.98</v>
      </c>
      <c r="X62" s="116">
        <v>1.66</v>
      </c>
      <c r="Y62" s="116">
        <f t="shared" si="41"/>
        <v>0.98768730116327075</v>
      </c>
      <c r="Z62" s="133">
        <v>1.454</v>
      </c>
      <c r="AA62" s="133">
        <v>0.83599999999999997</v>
      </c>
      <c r="AB62" s="133">
        <v>0.72</v>
      </c>
      <c r="AC62" s="121">
        <v>34.299999999999997</v>
      </c>
      <c r="AD62" s="134">
        <v>1.17</v>
      </c>
      <c r="AE62" s="124">
        <v>177.8</v>
      </c>
      <c r="AF62" s="128">
        <v>9.19</v>
      </c>
      <c r="AG62" s="128">
        <v>1998</v>
      </c>
      <c r="AH62" s="127">
        <v>2133</v>
      </c>
      <c r="AI62" s="127">
        <v>2133</v>
      </c>
      <c r="AJ62" s="135"/>
      <c r="AK62" s="128"/>
      <c r="AL62" s="131"/>
      <c r="AM62" s="124" t="s">
        <v>187</v>
      </c>
      <c r="AN62" s="136" t="s">
        <v>447</v>
      </c>
      <c r="AO62" s="137" t="s">
        <v>448</v>
      </c>
      <c r="AP62" s="128">
        <v>1848.48</v>
      </c>
      <c r="AQ62" s="128">
        <v>37.58</v>
      </c>
      <c r="AR62" s="128"/>
      <c r="AS62" s="128"/>
      <c r="AT62" s="122"/>
      <c r="AU62" s="124" t="s">
        <v>189</v>
      </c>
      <c r="AV62" s="115">
        <f>VLOOKUP(J62,'[63]ТР нефть'!$J$28:$BP$638,39,0)</f>
        <v>598.00000107400001</v>
      </c>
      <c r="AW62" s="115" t="str">
        <f>VLOOKUP(J62,'[63]ТР нефть'!$J$28:$BP$638,40,0)</f>
        <v>ГК 81 1/8</v>
      </c>
      <c r="AX62" s="115">
        <f>VLOOKUP(J62,'[63]ТР нефть'!$J$28:$BP$638,41,0)</f>
        <v>1127.00000918</v>
      </c>
      <c r="AY62" s="115" t="str">
        <f>VLOOKUP(J62,'[63]ТР нефть'!$J$28:$BP$638,42,0)</f>
        <v>ГК 83 5/32</v>
      </c>
      <c r="AZ62" s="115">
        <f>VLOOKUP(J62,'[63]ТР нефть'!$J$28:$BP$638,43,0)</f>
        <v>1540.000065234</v>
      </c>
      <c r="BA62" s="115" t="str">
        <f>VLOOKUP(J62,'[63]ТР нефть'!$J$28:$BP$638,44,0)</f>
        <v>ЦКсОК 5/16</v>
      </c>
      <c r="BB62" s="115" t="str">
        <f>VLOOKUP(J62,'[63]ТР нефть'!$J$28:$BP$638,45,0)</f>
        <v>-</v>
      </c>
      <c r="BC62" s="115" t="str">
        <f>VLOOKUP(J62,'[63]ТР нефть'!$J$28:$BP$638,46,0)</f>
        <v>-</v>
      </c>
      <c r="BD62" s="115" t="str">
        <f>VLOOKUP(J62,'[63]ТР нефть'!$J$28:$BP$638,47,0)</f>
        <v>-</v>
      </c>
      <c r="BE62" s="115" t="str">
        <f>VLOOKUP(J62,'[63]ТР нефть'!$J$28:$BP$638,48,0)</f>
        <v>-</v>
      </c>
      <c r="BF62" s="115" t="str">
        <f>VLOOKUP(J62,'[63]ТР нефть'!$J$28:$BP$638,49,0)</f>
        <v>-</v>
      </c>
      <c r="BG62" s="115" t="str">
        <f>VLOOKUP(J62,'[63]ТР нефть'!$J$28:$BP$638,50,0)</f>
        <v>-</v>
      </c>
      <c r="BH62" s="115" t="str">
        <f>VLOOKUP(J62,'[63]ТР нефть'!$J$28:$BP$638,51,0)</f>
        <v>-</v>
      </c>
      <c r="BI62" s="115" t="str">
        <f>VLOOKUP(J62,'[63]ТР нефть'!$J$28:$BP$638,52,0)</f>
        <v>-</v>
      </c>
      <c r="BJ62" s="115" t="str">
        <f>IF(IFERROR(VLOOKUP(J62,'[63]ТР нефть'!$J$28:$BP$638,53,0),"-")=0,"-",IFERROR(VLOOKUP(J62,'[63]ТР нефть'!$J$28:$BP$638,53,0),"-"))</f>
        <v>-</v>
      </c>
      <c r="BK62" s="138" t="str">
        <f>IF(IFERROR(VLOOKUP(J62,'[63]ТР нефть'!$J$28:$BP$638,54,0),"-")=0,"-",IFERROR(VLOOKUP(J62,'[63]ТР нефть'!$J$28:$BP$638,54,0),"-"))</f>
        <v>-</v>
      </c>
      <c r="BL62" s="138" t="str">
        <f>IF(IFERROR(VLOOKUP(J62,'[63]ТР нефть'!$J$28:$BP$638,55,0),"-")=0,"-",IFERROR(VLOOKUP(J62,'[63]ТР нефть'!$J$28:$BP$638,55,0),"-"))</f>
        <v>-</v>
      </c>
      <c r="BM62" s="138" t="str">
        <f>IF(IFERROR(VLOOKUP(J62,'[63]ТР нефть'!$J$28:$BP$638,56,0),"-")=0,"-",IFERROR(VLOOKUP(J62,'[63]ТР нефть'!$J$28:$BP$638,56,0),"-"))</f>
        <v>-</v>
      </c>
      <c r="BN62" s="138" t="str">
        <f>IF(IFERROR(VLOOKUP(J62,'[63]ТР нефть'!$J$28:$BP$638,57,0),"-")=0,"-",IFERROR(VLOOKUP(J62,'[63]ТР нефть'!$J$28:$BP$638,57,0),"-"))</f>
        <v>-</v>
      </c>
      <c r="BO62" s="115" t="str">
        <f>IF(IFERROR(VLOOKUP(J62,'[63]ТР нефть'!$J$28:$BP$638,58,0),"-")=0,"-",IFERROR(VLOOKUP(J62,'[63]ТР нефть'!$J$28:$BP$638,58,0),"-"))</f>
        <v>-</v>
      </c>
      <c r="BP62" s="115" t="str">
        <f>IF(IFERROR(VLOOKUP(J62,'[63]ТР нефть'!$J$28:$BP$638,59,0),"-")=0,"-",IFERROR(VLOOKUP(J62,'[63]ТР нефть'!$J$28:$BP$638,59,0),"-"))</f>
        <v>-</v>
      </c>
      <c r="BQ62" s="138">
        <v>2133</v>
      </c>
      <c r="BR62" s="128">
        <v>1850.59</v>
      </c>
      <c r="BS62" s="115">
        <f t="shared" si="2"/>
        <v>282.41000000000008</v>
      </c>
      <c r="BT62" s="128">
        <v>73</v>
      </c>
      <c r="BU62" s="128">
        <v>5.5</v>
      </c>
      <c r="BV62" s="127">
        <v>65</v>
      </c>
      <c r="BW62" s="127" t="s">
        <v>217</v>
      </c>
      <c r="BX62" s="127" t="s">
        <v>195</v>
      </c>
      <c r="BY62" s="139">
        <v>24</v>
      </c>
      <c r="BZ62" s="139">
        <v>0</v>
      </c>
      <c r="CA62" s="138">
        <v>20</v>
      </c>
      <c r="CB62" s="138">
        <v>30</v>
      </c>
      <c r="CC62" s="138">
        <v>19</v>
      </c>
      <c r="CD62" s="135">
        <v>45017</v>
      </c>
      <c r="CE62" s="138">
        <v>70</v>
      </c>
      <c r="CF62" s="138">
        <v>78</v>
      </c>
      <c r="CG62" s="138" t="str">
        <f t="shared" si="52"/>
        <v>В работе</v>
      </c>
      <c r="CH62" s="138" t="s">
        <v>196</v>
      </c>
      <c r="CI62" s="138">
        <v>6</v>
      </c>
      <c r="CJ62" s="139"/>
      <c r="CK62" s="138"/>
      <c r="CL62" s="99"/>
      <c r="CM62" s="99"/>
      <c r="CN62" s="140">
        <v>37</v>
      </c>
      <c r="CO62" s="141">
        <f t="shared" si="4"/>
        <v>8.6932296000000004</v>
      </c>
      <c r="CP62" s="142">
        <v>10.6</v>
      </c>
      <c r="CQ62" s="143">
        <v>1.9</v>
      </c>
      <c r="CR62" s="138">
        <v>36.200000000000003</v>
      </c>
      <c r="CS62" s="139">
        <v>9.6</v>
      </c>
      <c r="CT62" s="138"/>
      <c r="CU62" s="138">
        <f t="shared" si="5"/>
        <v>26.6</v>
      </c>
      <c r="CV62" s="115">
        <f t="shared" si="6"/>
        <v>3059.8524626566859</v>
      </c>
      <c r="CW62" s="115">
        <f t="shared" si="7"/>
        <v>1075.455431849801</v>
      </c>
      <c r="CX62" s="133">
        <f t="shared" si="8"/>
        <v>0.32121212121212123</v>
      </c>
      <c r="CY62" s="116"/>
      <c r="CZ62" s="131"/>
      <c r="DA62" s="145" t="str">
        <f t="shared" si="9"/>
        <v>Газлифт</v>
      </c>
      <c r="DB62" s="146">
        <f t="shared" si="10"/>
        <v>8.6932296000000004</v>
      </c>
      <c r="DC62" s="142">
        <f t="shared" si="11"/>
        <v>10.6</v>
      </c>
      <c r="DD62" s="119">
        <f t="shared" si="12"/>
        <v>1.9</v>
      </c>
      <c r="DE62" s="115">
        <f t="shared" si="13"/>
        <v>26.6</v>
      </c>
      <c r="DF62" s="121">
        <f t="shared" si="14"/>
        <v>9.6</v>
      </c>
      <c r="DG62" s="115">
        <f t="shared" si="15"/>
        <v>3059.8524626566859</v>
      </c>
      <c r="DH62" s="115">
        <f t="shared" si="16"/>
        <v>37</v>
      </c>
      <c r="DI62" s="147"/>
      <c r="DJ62" s="111" t="s">
        <v>197</v>
      </c>
      <c r="DK62" s="112">
        <v>43797</v>
      </c>
      <c r="DL62" s="113">
        <f t="shared" ca="1" si="42"/>
        <v>1307</v>
      </c>
      <c r="DM62" s="114"/>
      <c r="DN62" s="114"/>
      <c r="DO62" s="114"/>
      <c r="DP62" s="114"/>
      <c r="DQ62" s="112">
        <v>42889</v>
      </c>
      <c r="DR62" s="114" t="s">
        <v>449</v>
      </c>
      <c r="DS62" s="114"/>
      <c r="DT62" s="115">
        <v>34</v>
      </c>
      <c r="DU62" s="116">
        <f t="shared" si="43"/>
        <v>0.31347207009857608</v>
      </c>
      <c r="DV62" s="117">
        <f t="shared" si="44"/>
        <v>9.255004568674698</v>
      </c>
      <c r="DW62" s="118">
        <f t="shared" si="45"/>
        <v>11.28499452354874</v>
      </c>
      <c r="DX62" s="119">
        <f t="shared" si="21"/>
        <v>1.9</v>
      </c>
      <c r="DY62" s="115">
        <f t="shared" si="46"/>
        <v>28.318948521358156</v>
      </c>
      <c r="DZ62" s="117">
        <f t="shared" si="47"/>
        <v>0.56177496867469756</v>
      </c>
      <c r="EA62" s="120">
        <f t="shared" si="47"/>
        <v>0.68499452354874002</v>
      </c>
      <c r="EB62" s="119">
        <f t="shared" si="47"/>
        <v>0</v>
      </c>
      <c r="EC62" s="121">
        <f t="shared" si="48"/>
        <v>1.7189485213581541</v>
      </c>
      <c r="ED62" s="122"/>
      <c r="EE62" s="145">
        <v>65</v>
      </c>
      <c r="EF62" s="115">
        <v>21</v>
      </c>
      <c r="EG62" s="115">
        <v>36</v>
      </c>
      <c r="EH62" s="115">
        <v>20</v>
      </c>
      <c r="EI62" s="115" t="s">
        <v>195</v>
      </c>
      <c r="EJ62" s="115">
        <v>24</v>
      </c>
      <c r="EK62" s="115">
        <v>0</v>
      </c>
      <c r="EL62" s="149">
        <v>9.2956512</v>
      </c>
      <c r="EM62" s="142">
        <v>11.3</v>
      </c>
      <c r="EN62" s="119">
        <v>1.6</v>
      </c>
      <c r="EO62" s="115">
        <v>35.200000000000003</v>
      </c>
      <c r="EP62" s="115">
        <v>2753.9759667402323</v>
      </c>
      <c r="EQ62" s="115">
        <v>78</v>
      </c>
      <c r="ER62" s="115">
        <v>9.6</v>
      </c>
      <c r="ES62" s="115">
        <v>33</v>
      </c>
      <c r="ET62" s="150">
        <v>0.4728033472803348</v>
      </c>
      <c r="EU62" s="145">
        <f t="shared" si="25"/>
        <v>65</v>
      </c>
      <c r="EV62" s="115">
        <f t="shared" si="26"/>
        <v>20</v>
      </c>
      <c r="EW62" s="115">
        <f t="shared" si="26"/>
        <v>30</v>
      </c>
      <c r="EX62" s="115">
        <f t="shared" si="26"/>
        <v>19</v>
      </c>
      <c r="EY62" s="115" t="str">
        <f t="shared" si="53"/>
        <v>Постоянный</v>
      </c>
      <c r="EZ62" s="115">
        <f t="shared" si="53"/>
        <v>24</v>
      </c>
      <c r="FA62" s="115">
        <f t="shared" si="53"/>
        <v>0</v>
      </c>
      <c r="FB62" s="149">
        <f t="shared" si="28"/>
        <v>8.6932296000000004</v>
      </c>
      <c r="FC62" s="142">
        <f t="shared" si="28"/>
        <v>10.6</v>
      </c>
      <c r="FD62" s="119">
        <f t="shared" si="28"/>
        <v>1.9</v>
      </c>
      <c r="FE62" s="121">
        <f t="shared" si="28"/>
        <v>36.200000000000003</v>
      </c>
      <c r="FF62" s="121">
        <f t="shared" si="49"/>
        <v>3059.8524626566859</v>
      </c>
      <c r="FG62" s="121">
        <f t="shared" si="30"/>
        <v>78</v>
      </c>
      <c r="FH62" s="121">
        <f t="shared" si="50"/>
        <v>9.6</v>
      </c>
      <c r="FI62" s="121">
        <v>33</v>
      </c>
      <c r="FJ62" s="144">
        <f t="shared" si="33"/>
        <v>0.32121212121212123</v>
      </c>
      <c r="FK62" s="132">
        <f t="shared" si="34"/>
        <v>0</v>
      </c>
      <c r="FL62" s="115">
        <f t="shared" si="34"/>
        <v>-1</v>
      </c>
      <c r="FM62" s="115">
        <f t="shared" si="34"/>
        <v>-6</v>
      </c>
      <c r="FN62" s="115">
        <f t="shared" si="34"/>
        <v>-1</v>
      </c>
      <c r="FO62" s="115">
        <f t="shared" si="35"/>
        <v>0</v>
      </c>
      <c r="FP62" s="115">
        <f t="shared" si="35"/>
        <v>0</v>
      </c>
      <c r="FQ62" s="149">
        <f t="shared" si="35"/>
        <v>-0.60242159999999956</v>
      </c>
      <c r="FR62" s="142">
        <f t="shared" si="35"/>
        <v>-0.70000000000000107</v>
      </c>
      <c r="FS62" s="119">
        <f t="shared" si="35"/>
        <v>0.29999999999999982</v>
      </c>
      <c r="FT62" s="121">
        <f t="shared" si="35"/>
        <v>1</v>
      </c>
      <c r="FU62" s="121">
        <f t="shared" si="36"/>
        <v>0</v>
      </c>
      <c r="FV62" s="121">
        <f t="shared" si="36"/>
        <v>0</v>
      </c>
      <c r="FW62" s="121">
        <f t="shared" si="37"/>
        <v>305.87649591645368</v>
      </c>
      <c r="FX62" s="121">
        <f t="shared" si="38"/>
        <v>0</v>
      </c>
      <c r="FY62" s="144">
        <f t="shared" si="38"/>
        <v>-0.15159122606821357</v>
      </c>
      <c r="FZ62" s="124"/>
      <c r="GA62" s="151" t="s">
        <v>266</v>
      </c>
      <c r="GB62" s="145" t="s">
        <v>204</v>
      </c>
      <c r="GC62" s="151" t="s">
        <v>450</v>
      </c>
      <c r="GD62" s="997" t="s">
        <v>238</v>
      </c>
      <c r="GE62" s="1004" t="s">
        <v>204</v>
      </c>
      <c r="GF62" s="1004">
        <v>4.1960512000000003</v>
      </c>
      <c r="GG62" s="1004" t="s">
        <v>204</v>
      </c>
      <c r="GH62" s="1004">
        <v>-4.335496</v>
      </c>
      <c r="GI62" s="145"/>
      <c r="GJ62" s="996">
        <v>0</v>
      </c>
      <c r="GK62" s="145" t="s">
        <v>204</v>
      </c>
      <c r="GL62" s="996">
        <v>4.6740759999999995</v>
      </c>
      <c r="GM62" s="1005"/>
      <c r="GN62" s="996">
        <v>0</v>
      </c>
      <c r="GO62" s="1006"/>
      <c r="GP62" s="996">
        <v>0</v>
      </c>
      <c r="GQ62" s="1006"/>
      <c r="GR62" s="996">
        <v>0</v>
      </c>
      <c r="GS62" s="1006" t="s">
        <v>199</v>
      </c>
      <c r="GT62" s="996">
        <v>-1.8843439999999996</v>
      </c>
      <c r="GU62" s="1006"/>
      <c r="GV62" s="996">
        <v>0</v>
      </c>
      <c r="GW62" s="1006"/>
      <c r="GX62" s="997">
        <v>0</v>
      </c>
      <c r="GY62" s="1006"/>
      <c r="GZ62" s="996">
        <v>0.28322843999999936</v>
      </c>
      <c r="HA62" s="1006"/>
      <c r="HB62" s="996">
        <v>0</v>
      </c>
      <c r="HC62" s="1006"/>
      <c r="HD62" s="996">
        <v>-0.63852843999999997</v>
      </c>
      <c r="HE62" s="1006"/>
      <c r="HF62" s="996">
        <v>0</v>
      </c>
      <c r="HG62" s="1006"/>
      <c r="HH62" s="996">
        <v>-3.0095999999999457E-2</v>
      </c>
      <c r="HI62" s="1006"/>
      <c r="HJ62" s="996">
        <v>0</v>
      </c>
      <c r="HK62" s="1006" t="s">
        <v>223</v>
      </c>
      <c r="HL62" s="996">
        <v>-1.3292399999999995</v>
      </c>
      <c r="HM62" s="1006"/>
      <c r="HN62" s="996">
        <v>0</v>
      </c>
      <c r="HO62" s="1006"/>
      <c r="HP62" s="996">
        <v>-0.33440000000000047</v>
      </c>
      <c r="HQ62" s="1006"/>
      <c r="HR62" s="996">
        <v>0</v>
      </c>
      <c r="HS62" s="1006"/>
      <c r="HT62" s="996">
        <v>0</v>
      </c>
      <c r="HU62" s="1006" t="s">
        <v>204</v>
      </c>
      <c r="HV62" s="996">
        <v>-4.3471999999999991</v>
      </c>
      <c r="HW62" s="1006" t="s">
        <v>204</v>
      </c>
      <c r="HX62" s="996">
        <v>5.7683999999999997</v>
      </c>
      <c r="HY62" s="1006" t="s">
        <v>223</v>
      </c>
      <c r="HZ62" s="996">
        <v>-1.6720000000000006</v>
      </c>
      <c r="IA62" s="1006"/>
      <c r="IB62" s="996">
        <v>0.8360000000000003</v>
      </c>
      <c r="IC62" s="1006"/>
      <c r="ID62" s="996">
        <v>-0.5016000000000016</v>
      </c>
      <c r="IE62" s="1006"/>
      <c r="IF62" s="996">
        <v>0</v>
      </c>
      <c r="IG62" s="1006" t="s">
        <v>199</v>
      </c>
      <c r="IH62" s="996">
        <v>1.5884000000000009</v>
      </c>
      <c r="II62" s="1006" t="s">
        <v>223</v>
      </c>
      <c r="IJ62" s="996">
        <v>-2.577388</v>
      </c>
      <c r="IK62" s="1006"/>
      <c r="IL62" s="996">
        <v>0</v>
      </c>
      <c r="IM62" s="1006" t="s">
        <v>204</v>
      </c>
      <c r="IN62" s="996">
        <v>-3.1074119999999983</v>
      </c>
      <c r="IO62" s="1006"/>
      <c r="IP62" s="996">
        <v>0</v>
      </c>
      <c r="IQ62" s="1006"/>
      <c r="IR62" s="996">
        <v>0</v>
      </c>
      <c r="IS62" s="1006"/>
      <c r="IT62" s="996">
        <v>0</v>
      </c>
      <c r="IU62" s="1006"/>
      <c r="IV62" s="996">
        <v>0</v>
      </c>
      <c r="IW62" s="1006"/>
      <c r="IX62" s="996">
        <v>0</v>
      </c>
      <c r="IY62" s="1006"/>
      <c r="IZ62" s="996">
        <v>0</v>
      </c>
      <c r="JA62" s="1006"/>
      <c r="JB62" s="996">
        <v>0</v>
      </c>
      <c r="JC62" s="1006"/>
      <c r="JD62" s="996">
        <v>0</v>
      </c>
      <c r="JE62" s="1006"/>
      <c r="JF62" s="996">
        <v>0</v>
      </c>
      <c r="JG62" s="1006" t="s">
        <v>221</v>
      </c>
      <c r="JH62" s="996">
        <v>-21.710920000000002</v>
      </c>
      <c r="JI62" s="1006" t="s">
        <v>221</v>
      </c>
      <c r="JJ62" s="996">
        <v>20.749311000000006</v>
      </c>
      <c r="JK62" s="1007"/>
      <c r="JL62" s="1007">
        <v>0</v>
      </c>
      <c r="JM62" s="1007"/>
      <c r="JN62" s="1007">
        <v>0</v>
      </c>
      <c r="JO62" s="1008"/>
      <c r="JP62" s="1007">
        <v>0</v>
      </c>
      <c r="JQ62" s="1008">
        <v>0</v>
      </c>
      <c r="JR62" s="1007">
        <v>0</v>
      </c>
      <c r="JS62" s="1008" t="s">
        <v>204</v>
      </c>
      <c r="JT62" s="1007">
        <v>-2.8338727999999995</v>
      </c>
      <c r="JU62" s="1008"/>
      <c r="JV62" s="1007">
        <v>0</v>
      </c>
      <c r="JW62" s="1008" t="s">
        <v>197</v>
      </c>
      <c r="JX62" s="1007">
        <v>0</v>
      </c>
      <c r="JY62" s="1008"/>
      <c r="JZ62" s="1007">
        <v>0</v>
      </c>
      <c r="KA62" s="1008"/>
      <c r="KB62" s="1007">
        <v>0</v>
      </c>
      <c r="KC62" s="1008"/>
      <c r="KD62" s="1007">
        <v>1.2289199999999667E-2</v>
      </c>
      <c r="KE62" s="1008"/>
      <c r="KF62" s="1007">
        <v>0</v>
      </c>
      <c r="KG62" s="1008" t="s">
        <v>204</v>
      </c>
      <c r="KH62" s="1007">
        <v>-1.6634728000000001</v>
      </c>
      <c r="KI62" s="1008"/>
      <c r="KJ62" s="1007">
        <v>0</v>
      </c>
      <c r="KK62" s="1008"/>
      <c r="KL62" s="1007">
        <v>0</v>
      </c>
      <c r="KM62" s="1008"/>
      <c r="KN62" s="1007">
        <v>0</v>
      </c>
      <c r="KO62" s="1008"/>
      <c r="KP62" s="1007">
        <v>0</v>
      </c>
      <c r="KQ62" s="1008">
        <v>0</v>
      </c>
      <c r="KR62" s="1007">
        <v>0</v>
      </c>
      <c r="KS62" s="1008" t="s">
        <v>206</v>
      </c>
      <c r="KT62" s="1007">
        <v>-0.8317363999999996</v>
      </c>
      <c r="KU62" s="1008">
        <v>0</v>
      </c>
      <c r="KV62" s="1007">
        <v>0</v>
      </c>
      <c r="KW62" s="1008">
        <v>0</v>
      </c>
      <c r="KX62" s="1007">
        <v>0</v>
      </c>
      <c r="KY62" s="1008" t="s">
        <v>223</v>
      </c>
      <c r="KZ62" s="1007">
        <v>-1.3474129679999987</v>
      </c>
      <c r="LA62" s="1008" t="s">
        <v>223</v>
      </c>
      <c r="LB62" s="1007">
        <v>-2.7372830320000006</v>
      </c>
      <c r="LC62" s="1008">
        <v>0</v>
      </c>
      <c r="LD62" s="1007">
        <v>0</v>
      </c>
      <c r="LE62" s="1008">
        <v>0</v>
      </c>
      <c r="LF62" s="1007">
        <v>0</v>
      </c>
      <c r="LG62" s="1008">
        <v>0</v>
      </c>
      <c r="LH62" s="1007">
        <v>0</v>
      </c>
      <c r="LI62" s="1008">
        <v>0</v>
      </c>
      <c r="LJ62" s="1007">
        <v>0</v>
      </c>
      <c r="LK62" s="1008">
        <v>0</v>
      </c>
      <c r="LL62" s="1007">
        <v>0</v>
      </c>
      <c r="LM62" s="1008" t="s">
        <v>203</v>
      </c>
      <c r="LN62" s="1007">
        <v>-1.1612</v>
      </c>
      <c r="LO62" s="1008" t="s">
        <v>203</v>
      </c>
      <c r="LP62" s="1007">
        <v>1.8592639999999978</v>
      </c>
      <c r="LQ62" s="1008" t="s">
        <v>25</v>
      </c>
      <c r="LR62" s="1007">
        <v>11.74</v>
      </c>
      <c r="LS62" s="1008">
        <v>0</v>
      </c>
      <c r="LT62" s="1007">
        <v>0</v>
      </c>
      <c r="LU62" s="1008">
        <v>0</v>
      </c>
      <c r="LV62" s="1007">
        <v>0</v>
      </c>
      <c r="LW62" s="1008">
        <v>0</v>
      </c>
      <c r="LX62" s="1007">
        <v>0</v>
      </c>
      <c r="LY62" s="1009">
        <v>0</v>
      </c>
      <c r="LZ62" s="1010">
        <v>0</v>
      </c>
      <c r="MA62" s="1011" t="s">
        <v>206</v>
      </c>
      <c r="MB62" s="1012">
        <v>-6.3459756799999996</v>
      </c>
      <c r="MC62" s="995"/>
      <c r="MD62" s="996"/>
      <c r="ME62" s="997" t="s">
        <v>238</v>
      </c>
      <c r="MF62" s="997"/>
      <c r="MG62" s="998"/>
      <c r="NR62" s="1000"/>
      <c r="NS62" s="1000"/>
      <c r="NT62" s="1001"/>
      <c r="NU62" s="1000"/>
      <c r="NV62" s="1001"/>
      <c r="NX62" s="1002"/>
      <c r="NZ62" s="1001"/>
      <c r="OA62" s="1001"/>
      <c r="OC62" s="1003"/>
      <c r="OD62" s="1003"/>
      <c r="OE62" s="1001"/>
      <c r="OF62" s="1003"/>
      <c r="OG62" s="1003"/>
      <c r="QX62" s="1000">
        <f t="shared" si="51"/>
        <v>17</v>
      </c>
      <c r="ASU62" s="999" t="s">
        <v>208</v>
      </c>
    </row>
    <row r="63" spans="1:1191" ht="21" customHeight="1" x14ac:dyDescent="0.25">
      <c r="A63" s="982" t="str">
        <f t="shared" si="0"/>
        <v>47р</v>
      </c>
      <c r="B63" s="145">
        <f>SUBTOTAL(103,$J$29:J63)</f>
        <v>35</v>
      </c>
      <c r="C63" s="126">
        <v>45096</v>
      </c>
      <c r="D63" s="145" t="s">
        <v>176</v>
      </c>
      <c r="E63" s="128" t="s">
        <v>177</v>
      </c>
      <c r="F63" s="128" t="s">
        <v>177</v>
      </c>
      <c r="G63" s="128" t="s">
        <v>178</v>
      </c>
      <c r="H63" s="128" t="s">
        <v>179</v>
      </c>
      <c r="I63" s="127" t="s">
        <v>417</v>
      </c>
      <c r="J63" s="152" t="s">
        <v>451</v>
      </c>
      <c r="K63" s="127" t="s">
        <v>182</v>
      </c>
      <c r="L63" s="135">
        <v>37522</v>
      </c>
      <c r="M63" s="128" t="s">
        <v>230</v>
      </c>
      <c r="N63" s="128" t="s">
        <v>231</v>
      </c>
      <c r="O63" s="127" t="s">
        <v>185</v>
      </c>
      <c r="P63" s="127" t="s">
        <v>208</v>
      </c>
      <c r="Q63" s="85" t="str">
        <f t="shared" si="40"/>
        <v/>
      </c>
      <c r="R63" s="130"/>
      <c r="S63" s="128"/>
      <c r="T63" s="131"/>
      <c r="U63" s="132">
        <v>203</v>
      </c>
      <c r="V63" s="121">
        <v>218.2</v>
      </c>
      <c r="W63" s="116">
        <v>0.98</v>
      </c>
      <c r="X63" s="116">
        <v>1.66</v>
      </c>
      <c r="Y63" s="116">
        <f t="shared" si="41"/>
        <v>0.98403097023953534</v>
      </c>
      <c r="Z63" s="133">
        <v>1.454</v>
      </c>
      <c r="AA63" s="133">
        <v>0.83599999999999997</v>
      </c>
      <c r="AB63" s="133">
        <v>0.72</v>
      </c>
      <c r="AC63" s="121">
        <v>34.299999999999997</v>
      </c>
      <c r="AD63" s="134">
        <v>1.17</v>
      </c>
      <c r="AE63" s="145">
        <v>139.69999999999999</v>
      </c>
      <c r="AF63" s="128">
        <v>7.72</v>
      </c>
      <c r="AG63" s="128">
        <v>2047</v>
      </c>
      <c r="AH63" s="128">
        <v>2464</v>
      </c>
      <c r="AI63" s="128">
        <v>2464</v>
      </c>
      <c r="AJ63" s="135"/>
      <c r="AK63" s="128"/>
      <c r="AL63" s="131"/>
      <c r="AM63" s="145" t="s">
        <v>232</v>
      </c>
      <c r="AN63" s="131" t="s">
        <v>452</v>
      </c>
      <c r="AO63" s="137">
        <v>25</v>
      </c>
      <c r="AP63" s="128">
        <v>1838</v>
      </c>
      <c r="AQ63" s="128">
        <v>1.4</v>
      </c>
      <c r="AR63" s="128"/>
      <c r="AS63" s="128"/>
      <c r="AT63" s="122"/>
      <c r="AU63" s="145" t="s">
        <v>189</v>
      </c>
      <c r="AV63" s="115">
        <f>VLOOKUP(J63,'[63]ТР нефть'!$J$28:$BP$638,39,0)</f>
        <v>496.00001308600002</v>
      </c>
      <c r="AW63" s="115" t="str">
        <f>VLOOKUP(J63,'[63]ТР нефть'!$J$28:$BP$638,40,0)</f>
        <v>ГП</v>
      </c>
      <c r="AX63" s="115">
        <f>VLOOKUP(J63,'[63]ТР нефть'!$J$28:$BP$638,41,0)</f>
        <v>899.00000976599995</v>
      </c>
      <c r="AY63" s="115" t="str">
        <f>VLOOKUP(J63,'[63]ТР нефть'!$J$28:$BP$638,42,0)</f>
        <v>ГП</v>
      </c>
      <c r="AZ63" s="115">
        <f>VLOOKUP(J63,'[63]ТР нефть'!$J$28:$BP$638,43,0)</f>
        <v>1231.999962891</v>
      </c>
      <c r="BA63" s="115" t="str">
        <f>VLOOKUP(J63,'[63]ТР нефть'!$J$28:$BP$638,44,0)</f>
        <v>ГП</v>
      </c>
      <c r="BB63" s="115">
        <f>VLOOKUP(J63,'[63]ТР нефть'!$J$28:$BP$638,45,0)</f>
        <v>1497.0000480470001</v>
      </c>
      <c r="BC63" s="115" t="str">
        <f>VLOOKUP(J63,'[63]ТР нефть'!$J$28:$BP$638,46,0)</f>
        <v>ГП</v>
      </c>
      <c r="BD63" s="115">
        <f>VLOOKUP(J63,'[63]ТР нефть'!$J$28:$BP$638,47,0)</f>
        <v>1646.000069531</v>
      </c>
      <c r="BE63" s="115" t="str">
        <f>VLOOKUP(J63,'[63]ТР нефть'!$J$28:$BP$638,48,0)</f>
        <v>ЦКсОК 5/16</v>
      </c>
      <c r="BF63" s="115" t="str">
        <f>VLOOKUP(J63,'[63]ТР нефть'!$J$28:$BP$638,49,0)</f>
        <v>-</v>
      </c>
      <c r="BG63" s="115" t="str">
        <f>VLOOKUP(J63,'[63]ТР нефть'!$J$28:$BP$638,50,0)</f>
        <v>-</v>
      </c>
      <c r="BH63" s="115">
        <f>VLOOKUP(J63,'[63]ТР нефть'!$J$28:$BP$638,51,0)</f>
        <v>1800</v>
      </c>
      <c r="BI63" s="115" t="str">
        <f>VLOOKUP(J63,'[63]ТР нефть'!$J$28:$BP$638,52,0)</f>
        <v>закрыт</v>
      </c>
      <c r="BJ63" s="115" t="str">
        <f>IF(IFERROR(VLOOKUP(J63,'[63]ТР нефть'!$J$28:$BP$638,53,0),"-")=0,"-",IFERROR(VLOOKUP(J63,'[63]ТР нефть'!$J$28:$BP$638,53,0),"-"))</f>
        <v>-</v>
      </c>
      <c r="BK63" s="115" t="str">
        <f>IF(IFERROR(VLOOKUP(J63,'[63]ТР нефть'!$J$28:$BP$638,54,0),"-")=0,"-",IFERROR(VLOOKUP(J63,'[63]ТР нефть'!$J$28:$BP$638,54,0),"-"))</f>
        <v>-</v>
      </c>
      <c r="BL63" s="115" t="str">
        <f>IF(IFERROR(VLOOKUP(J63,'[63]ТР нефть'!$J$28:$BP$638,55,0),"-")=0,"-",IFERROR(VLOOKUP(J63,'[63]ТР нефть'!$J$28:$BP$638,55,0),"-"))</f>
        <v>-</v>
      </c>
      <c r="BM63" s="115" t="str">
        <f>IF(IFERROR(VLOOKUP(J63,'[63]ТР нефть'!$J$28:$BP$638,56,0),"-")=0,"-",IFERROR(VLOOKUP(J63,'[63]ТР нефть'!$J$28:$BP$638,56,0),"-"))</f>
        <v>-</v>
      </c>
      <c r="BN63" s="115" t="str">
        <f>IF(IFERROR(VLOOKUP(J63,'[63]ТР нефть'!$J$28:$BP$638,57,0),"-")=0,"-",IFERROR(VLOOKUP(J63,'[63]ТР нефть'!$J$28:$BP$638,57,0),"-"))</f>
        <v>-</v>
      </c>
      <c r="BO63" s="115" t="str">
        <f>IF(IFERROR(VLOOKUP(J63,'[63]ТР нефть'!$J$28:$BP$638,58,0),"-")=0,"-",IFERROR(VLOOKUP(J63,'[63]ТР нефть'!$J$28:$BP$638,58,0),"-"))</f>
        <v>-</v>
      </c>
      <c r="BP63" s="115" t="str">
        <f>IF(IFERROR(VLOOKUP(J63,'[63]ТР нефть'!$J$28:$BP$638,59,0),"-")=0,"-",IFERROR(VLOOKUP(J63,'[63]ТР нефть'!$J$28:$BP$638,59,0),"-"))</f>
        <v>-</v>
      </c>
      <c r="BQ63" s="115">
        <v>2070</v>
      </c>
      <c r="BR63" s="128">
        <v>1944.02</v>
      </c>
      <c r="BS63" s="115">
        <f t="shared" si="2"/>
        <v>125.98000000000002</v>
      </c>
      <c r="BT63" s="128">
        <v>73</v>
      </c>
      <c r="BU63" s="128">
        <v>5.5</v>
      </c>
      <c r="BV63" s="128">
        <v>18</v>
      </c>
      <c r="BW63" s="128" t="s">
        <v>234</v>
      </c>
      <c r="BX63" s="127" t="s">
        <v>195</v>
      </c>
      <c r="BY63" s="121">
        <v>24</v>
      </c>
      <c r="BZ63" s="121">
        <v>0</v>
      </c>
      <c r="CA63" s="115">
        <v>27</v>
      </c>
      <c r="CB63" s="115">
        <v>47</v>
      </c>
      <c r="CC63" s="115">
        <v>26</v>
      </c>
      <c r="CD63" s="135">
        <v>45017</v>
      </c>
      <c r="CE63" s="115">
        <v>131</v>
      </c>
      <c r="CF63" s="115">
        <v>71</v>
      </c>
      <c r="CG63" s="115" t="str">
        <f t="shared" si="52"/>
        <v>В работе</v>
      </c>
      <c r="CH63" s="115" t="s">
        <v>196</v>
      </c>
      <c r="CI63" s="115">
        <v>6</v>
      </c>
      <c r="CJ63" s="121"/>
      <c r="CK63" s="138"/>
      <c r="CL63" s="99"/>
      <c r="CM63" s="99"/>
      <c r="CN63" s="156">
        <v>51</v>
      </c>
      <c r="CO63" s="141">
        <f t="shared" si="4"/>
        <v>22.015224</v>
      </c>
      <c r="CP63" s="142">
        <v>26.6</v>
      </c>
      <c r="CQ63" s="143">
        <v>1</v>
      </c>
      <c r="CR63" s="138">
        <v>32.6</v>
      </c>
      <c r="CS63" s="139">
        <v>8</v>
      </c>
      <c r="CT63" s="138"/>
      <c r="CU63" s="138">
        <f t="shared" si="5"/>
        <v>24.6</v>
      </c>
      <c r="CV63" s="115">
        <f t="shared" si="6"/>
        <v>1117.4085714503744</v>
      </c>
      <c r="CW63" s="115">
        <f t="shared" si="7"/>
        <v>358.37072483883617</v>
      </c>
      <c r="CX63" s="133">
        <f t="shared" si="8"/>
        <v>0.33250000000000002</v>
      </c>
      <c r="CY63" s="116"/>
      <c r="CZ63" s="131"/>
      <c r="DA63" s="145" t="str">
        <f t="shared" si="9"/>
        <v>Газлифт</v>
      </c>
      <c r="DB63" s="146">
        <f t="shared" si="10"/>
        <v>22.015224</v>
      </c>
      <c r="DC63" s="142">
        <f t="shared" si="11"/>
        <v>26.6</v>
      </c>
      <c r="DD63" s="119">
        <f t="shared" si="12"/>
        <v>1</v>
      </c>
      <c r="DE63" s="115">
        <f t="shared" si="13"/>
        <v>24.6</v>
      </c>
      <c r="DF63" s="121">
        <f t="shared" si="14"/>
        <v>8</v>
      </c>
      <c r="DG63" s="115">
        <f t="shared" si="15"/>
        <v>1117.4085714503744</v>
      </c>
      <c r="DH63" s="115">
        <f t="shared" si="16"/>
        <v>51</v>
      </c>
      <c r="DI63" s="147"/>
      <c r="DJ63" s="111" t="s">
        <v>197</v>
      </c>
      <c r="DK63" s="112">
        <v>41455</v>
      </c>
      <c r="DL63" s="113">
        <f t="shared" ca="1" si="42"/>
        <v>3649</v>
      </c>
      <c r="DM63" s="114"/>
      <c r="DN63" s="114"/>
      <c r="DO63" s="114"/>
      <c r="DP63" s="114"/>
      <c r="DQ63" s="112">
        <v>43144</v>
      </c>
      <c r="DR63" s="114" t="s">
        <v>198</v>
      </c>
      <c r="DS63" s="114">
        <v>0</v>
      </c>
      <c r="DT63" s="115">
        <v>60</v>
      </c>
      <c r="DU63" s="116">
        <f t="shared" si="43"/>
        <v>0.37464788732394366</v>
      </c>
      <c r="DV63" s="117">
        <f t="shared" si="44"/>
        <v>22.015224</v>
      </c>
      <c r="DW63" s="118">
        <f t="shared" si="45"/>
        <v>26.6</v>
      </c>
      <c r="DX63" s="119">
        <f t="shared" si="21"/>
        <v>1</v>
      </c>
      <c r="DY63" s="115">
        <f t="shared" si="46"/>
        <v>24.599999999999998</v>
      </c>
      <c r="DZ63" s="117">
        <f t="shared" si="47"/>
        <v>0</v>
      </c>
      <c r="EA63" s="120">
        <f t="shared" si="47"/>
        <v>0</v>
      </c>
      <c r="EB63" s="119">
        <f t="shared" si="47"/>
        <v>0</v>
      </c>
      <c r="EC63" s="121">
        <f t="shared" si="48"/>
        <v>0</v>
      </c>
      <c r="ED63" s="122"/>
      <c r="EE63" s="145">
        <v>18</v>
      </c>
      <c r="EF63" s="115">
        <v>27</v>
      </c>
      <c r="EG63" s="115">
        <v>47</v>
      </c>
      <c r="EH63" s="115">
        <v>26</v>
      </c>
      <c r="EI63" s="128" t="s">
        <v>195</v>
      </c>
      <c r="EJ63" s="121">
        <v>24</v>
      </c>
      <c r="EK63" s="121">
        <v>0</v>
      </c>
      <c r="EL63" s="149">
        <v>22.015224</v>
      </c>
      <c r="EM63" s="142">
        <v>26.6</v>
      </c>
      <c r="EN63" s="119">
        <v>1</v>
      </c>
      <c r="EO63" s="115">
        <v>32.6</v>
      </c>
      <c r="EP63" s="115">
        <v>1117.4085714503744</v>
      </c>
      <c r="EQ63" s="115">
        <v>71</v>
      </c>
      <c r="ER63" s="115">
        <v>8</v>
      </c>
      <c r="ES63" s="115">
        <v>51</v>
      </c>
      <c r="ET63" s="150">
        <v>0.33250000000000002</v>
      </c>
      <c r="EU63" s="145">
        <f t="shared" si="25"/>
        <v>18</v>
      </c>
      <c r="EV63" s="115">
        <f t="shared" si="26"/>
        <v>27</v>
      </c>
      <c r="EW63" s="115">
        <f t="shared" si="26"/>
        <v>47</v>
      </c>
      <c r="EX63" s="115">
        <f t="shared" si="26"/>
        <v>26</v>
      </c>
      <c r="EY63" s="115" t="str">
        <f t="shared" si="53"/>
        <v>Постоянный</v>
      </c>
      <c r="EZ63" s="115">
        <f t="shared" si="53"/>
        <v>24</v>
      </c>
      <c r="FA63" s="115">
        <f t="shared" si="53"/>
        <v>0</v>
      </c>
      <c r="FB63" s="149">
        <f t="shared" si="28"/>
        <v>22.015224</v>
      </c>
      <c r="FC63" s="142">
        <f t="shared" si="28"/>
        <v>26.6</v>
      </c>
      <c r="FD63" s="119">
        <f t="shared" si="28"/>
        <v>1</v>
      </c>
      <c r="FE63" s="121">
        <f t="shared" si="28"/>
        <v>32.6</v>
      </c>
      <c r="FF63" s="121">
        <f t="shared" si="49"/>
        <v>1117.4085714503744</v>
      </c>
      <c r="FG63" s="121">
        <f t="shared" si="30"/>
        <v>71</v>
      </c>
      <c r="FH63" s="121">
        <f t="shared" si="50"/>
        <v>8</v>
      </c>
      <c r="FI63" s="121">
        <f t="shared" ref="FI63:FI120" si="54">CN63</f>
        <v>51</v>
      </c>
      <c r="FJ63" s="144">
        <f t="shared" si="33"/>
        <v>0.33250000000000002</v>
      </c>
      <c r="FK63" s="132">
        <f t="shared" si="34"/>
        <v>0</v>
      </c>
      <c r="FL63" s="115">
        <f t="shared" si="34"/>
        <v>0</v>
      </c>
      <c r="FM63" s="115">
        <f t="shared" si="34"/>
        <v>0</v>
      </c>
      <c r="FN63" s="115">
        <f t="shared" si="34"/>
        <v>0</v>
      </c>
      <c r="FO63" s="115">
        <f t="shared" si="35"/>
        <v>0</v>
      </c>
      <c r="FP63" s="115">
        <f t="shared" si="35"/>
        <v>0</v>
      </c>
      <c r="FQ63" s="149">
        <f t="shared" si="35"/>
        <v>0</v>
      </c>
      <c r="FR63" s="142">
        <f t="shared" si="35"/>
        <v>0</v>
      </c>
      <c r="FS63" s="119">
        <f t="shared" si="35"/>
        <v>0</v>
      </c>
      <c r="FT63" s="121">
        <f t="shared" si="35"/>
        <v>0</v>
      </c>
      <c r="FU63" s="121">
        <f t="shared" si="36"/>
        <v>0</v>
      </c>
      <c r="FV63" s="121">
        <f t="shared" si="36"/>
        <v>0</v>
      </c>
      <c r="FW63" s="121">
        <f t="shared" si="37"/>
        <v>0</v>
      </c>
      <c r="FX63" s="121">
        <f t="shared" si="38"/>
        <v>0</v>
      </c>
      <c r="FY63" s="144">
        <f t="shared" si="38"/>
        <v>0</v>
      </c>
      <c r="FZ63" s="145"/>
      <c r="GA63" s="151" t="s">
        <v>453</v>
      </c>
      <c r="GB63" s="145" t="s">
        <v>221</v>
      </c>
      <c r="GC63" s="151" t="s">
        <v>454</v>
      </c>
      <c r="GD63" s="997" t="s">
        <v>238</v>
      </c>
      <c r="GE63" s="1004" t="s">
        <v>221</v>
      </c>
      <c r="GF63" s="1004">
        <v>5.964024000000002</v>
      </c>
      <c r="GG63" s="1004"/>
      <c r="GH63" s="1004">
        <v>0</v>
      </c>
      <c r="GI63" s="145" t="s">
        <v>199</v>
      </c>
      <c r="GJ63" s="996">
        <v>-6.2509793279999997</v>
      </c>
      <c r="GK63" s="145"/>
      <c r="GL63" s="996">
        <v>0</v>
      </c>
      <c r="GM63" s="1005"/>
      <c r="GN63" s="996">
        <v>17.497520127999998</v>
      </c>
      <c r="GO63" s="1006" t="s">
        <v>433</v>
      </c>
      <c r="GP63" s="996">
        <v>-9.9925407999999987</v>
      </c>
      <c r="GQ63" s="1006" t="s">
        <v>203</v>
      </c>
      <c r="GR63" s="996">
        <v>-6.4485035560000004</v>
      </c>
      <c r="GS63" s="1006"/>
      <c r="GT63" s="996">
        <v>0</v>
      </c>
      <c r="GU63" s="1006"/>
      <c r="GV63" s="996">
        <v>0.96973491999999695</v>
      </c>
      <c r="GW63" s="1006" t="s">
        <v>203</v>
      </c>
      <c r="GX63" s="997">
        <v>-3.0040313639999994</v>
      </c>
      <c r="GY63" s="1006"/>
      <c r="GZ63" s="996">
        <v>0</v>
      </c>
      <c r="HA63" s="1006"/>
      <c r="HB63" s="996">
        <v>0</v>
      </c>
      <c r="HC63" s="1006"/>
      <c r="HD63" s="996">
        <v>0</v>
      </c>
      <c r="HE63" s="1006"/>
      <c r="HF63" s="996">
        <v>0</v>
      </c>
      <c r="HG63" s="1006"/>
      <c r="HH63" s="996">
        <v>0.24358607239999985</v>
      </c>
      <c r="HI63" s="1006"/>
      <c r="HJ63" s="996">
        <v>0</v>
      </c>
      <c r="HK63" s="1006"/>
      <c r="HL63" s="996">
        <v>0</v>
      </c>
      <c r="HM63" s="1006"/>
      <c r="HN63" s="996">
        <v>1.2093819276000002</v>
      </c>
      <c r="HO63" s="1006"/>
      <c r="HP63" s="996">
        <v>0.81509999999999994</v>
      </c>
      <c r="HQ63" s="1006"/>
      <c r="HR63" s="996">
        <v>0</v>
      </c>
      <c r="HS63" s="1006"/>
      <c r="HT63" s="996">
        <v>0</v>
      </c>
      <c r="HU63" s="1006"/>
      <c r="HV63" s="996">
        <v>0</v>
      </c>
      <c r="HW63" s="1006"/>
      <c r="HX63" s="996">
        <v>0</v>
      </c>
      <c r="HY63" s="1006"/>
      <c r="HZ63" s="996">
        <v>0</v>
      </c>
      <c r="IA63" s="1006"/>
      <c r="IB63" s="996">
        <v>-9.318056000000019E-2</v>
      </c>
      <c r="IC63" s="1006"/>
      <c r="ID63" s="996">
        <v>0.58455628000000004</v>
      </c>
      <c r="IE63" s="1006"/>
      <c r="IF63" s="996">
        <v>0</v>
      </c>
      <c r="IG63" s="1006"/>
      <c r="IH63" s="996">
        <v>0</v>
      </c>
      <c r="II63" s="1006"/>
      <c r="IJ63" s="996">
        <v>0</v>
      </c>
      <c r="IK63" s="1006"/>
      <c r="IL63" s="996">
        <v>0</v>
      </c>
      <c r="IM63" s="1006" t="s">
        <v>199</v>
      </c>
      <c r="IN63" s="996">
        <v>-1.8371768799999995</v>
      </c>
      <c r="IO63" s="1006"/>
      <c r="IP63" s="996">
        <v>0</v>
      </c>
      <c r="IQ63" s="1006"/>
      <c r="IR63" s="996">
        <v>0</v>
      </c>
      <c r="IS63" s="1006"/>
      <c r="IT63" s="996">
        <v>0</v>
      </c>
      <c r="IU63" s="1006"/>
      <c r="IV63" s="996">
        <v>0</v>
      </c>
      <c r="IW63" s="1006"/>
      <c r="IX63" s="996">
        <v>0</v>
      </c>
      <c r="IY63" s="1006"/>
      <c r="IZ63" s="996">
        <v>0</v>
      </c>
      <c r="JA63" s="1006"/>
      <c r="JB63" s="996">
        <v>0</v>
      </c>
      <c r="JC63" s="1006"/>
      <c r="JD63" s="996">
        <v>0</v>
      </c>
      <c r="JE63" s="1006"/>
      <c r="JF63" s="996">
        <v>0</v>
      </c>
      <c r="JG63" s="1006"/>
      <c r="JH63" s="996">
        <v>0</v>
      </c>
      <c r="JI63" s="1006"/>
      <c r="JJ63" s="996">
        <v>0</v>
      </c>
      <c r="JK63" s="1007"/>
      <c r="JL63" s="1007">
        <v>0</v>
      </c>
      <c r="JM63" s="1007"/>
      <c r="JN63" s="1007">
        <v>0</v>
      </c>
      <c r="JO63" s="1008" t="s">
        <v>199</v>
      </c>
      <c r="JP63" s="1007">
        <v>-9.6034246000000003</v>
      </c>
      <c r="JQ63" s="1008">
        <v>0</v>
      </c>
      <c r="JR63" s="1007">
        <v>-1.3242239999998517E-2</v>
      </c>
      <c r="JS63" s="1008">
        <v>0</v>
      </c>
      <c r="JT63" s="1007">
        <v>0</v>
      </c>
      <c r="JU63" s="1008"/>
      <c r="JV63" s="1007">
        <v>0</v>
      </c>
      <c r="JW63" s="1008" t="s">
        <v>197</v>
      </c>
      <c r="JX63" s="1007">
        <v>0</v>
      </c>
      <c r="JY63" s="1008" t="s">
        <v>204</v>
      </c>
      <c r="JZ63" s="1007">
        <v>-5.5176000000000016</v>
      </c>
      <c r="KA63" s="1008"/>
      <c r="KB63" s="1007">
        <v>0</v>
      </c>
      <c r="KC63" s="1008"/>
      <c r="KD63" s="1007">
        <v>0</v>
      </c>
      <c r="KE63" s="1008"/>
      <c r="KF63" s="1007">
        <v>0</v>
      </c>
      <c r="KG63" s="1008"/>
      <c r="KH63" s="1007">
        <v>0</v>
      </c>
      <c r="KI63" s="1008" t="s">
        <v>207</v>
      </c>
      <c r="KJ63" s="1007">
        <v>14.893340000000002</v>
      </c>
      <c r="KK63" s="1008"/>
      <c r="KL63" s="1007">
        <v>0</v>
      </c>
      <c r="KM63" s="1008"/>
      <c r="KN63" s="1007">
        <v>0</v>
      </c>
      <c r="KO63" s="1008"/>
      <c r="KP63" s="1007">
        <v>0</v>
      </c>
      <c r="KQ63" s="1008" t="s">
        <v>207</v>
      </c>
      <c r="KR63" s="1007">
        <v>-6.5333399999999999</v>
      </c>
      <c r="KS63" s="1008" t="s">
        <v>203</v>
      </c>
      <c r="KT63" s="1007">
        <v>-5.016</v>
      </c>
      <c r="KU63" s="1008">
        <v>0</v>
      </c>
      <c r="KV63" s="1007">
        <v>0</v>
      </c>
      <c r="KW63" s="1008">
        <v>0</v>
      </c>
      <c r="KX63" s="1007">
        <v>0</v>
      </c>
      <c r="KY63" s="1008" t="s">
        <v>206</v>
      </c>
      <c r="KZ63" s="1007">
        <v>-3.1443631999999972</v>
      </c>
      <c r="LA63" s="1008" t="s">
        <v>25</v>
      </c>
      <c r="LB63" s="1007">
        <v>10.669700799999998</v>
      </c>
      <c r="LC63" s="1008" t="s">
        <v>206</v>
      </c>
      <c r="LD63" s="1007">
        <v>-1.6716656000000008</v>
      </c>
      <c r="LE63" s="1008" t="s">
        <v>199</v>
      </c>
      <c r="LF63" s="1007">
        <v>5.6000797599999999</v>
      </c>
      <c r="LG63" s="1008" t="s">
        <v>199</v>
      </c>
      <c r="LH63" s="1007">
        <v>-3.9258136000000001</v>
      </c>
      <c r="LI63" s="1008">
        <v>0</v>
      </c>
      <c r="LJ63" s="1007">
        <v>0</v>
      </c>
      <c r="LK63" s="1008">
        <v>0</v>
      </c>
      <c r="LL63" s="1007">
        <v>0</v>
      </c>
      <c r="LM63" s="1008" t="s">
        <v>206</v>
      </c>
      <c r="LN63" s="1007">
        <v>0.25074999999999997</v>
      </c>
      <c r="LO63" s="1008" t="s">
        <v>207</v>
      </c>
      <c r="LP63" s="1007">
        <v>-2.5749840000000002</v>
      </c>
      <c r="LQ63" s="1008" t="s">
        <v>206</v>
      </c>
      <c r="LR63" s="1007">
        <v>-2.1563115199999974</v>
      </c>
      <c r="LS63" s="1008">
        <v>0</v>
      </c>
      <c r="LT63" s="1007">
        <v>-1.1682932800000021</v>
      </c>
      <c r="LU63" s="1008">
        <v>0</v>
      </c>
      <c r="LV63" s="1007">
        <v>-0.72243199999999996</v>
      </c>
      <c r="LW63" s="1008">
        <v>0</v>
      </c>
      <c r="LX63" s="1007">
        <v>0</v>
      </c>
      <c r="LY63" s="1009">
        <v>0</v>
      </c>
      <c r="LZ63" s="1010">
        <v>0</v>
      </c>
      <c r="MA63" s="1011">
        <v>0</v>
      </c>
      <c r="MB63" s="1012">
        <v>1.2524952000000003</v>
      </c>
      <c r="MC63" s="995"/>
      <c r="MD63" s="996"/>
      <c r="ME63" s="997" t="s">
        <v>238</v>
      </c>
      <c r="MF63" s="997"/>
      <c r="MG63" s="998"/>
      <c r="NR63" s="1000"/>
      <c r="NS63" s="1000"/>
      <c r="NT63" s="1001"/>
      <c r="NU63" s="1000"/>
      <c r="NV63" s="1001"/>
      <c r="NX63" s="1002"/>
      <c r="NZ63" s="1001"/>
      <c r="OA63" s="1001"/>
      <c r="OC63" s="1003"/>
      <c r="OD63" s="1003"/>
      <c r="OE63" s="1001"/>
      <c r="OF63" s="1003"/>
      <c r="OG63" s="1003"/>
      <c r="OH63" s="1003"/>
      <c r="OI63" s="1016"/>
      <c r="QX63" s="1000">
        <f t="shared" si="51"/>
        <v>24</v>
      </c>
      <c r="ASU63" s="999" t="s">
        <v>455</v>
      </c>
    </row>
    <row r="64" spans="1:1191" ht="21" customHeight="1" x14ac:dyDescent="0.25">
      <c r="A64" s="982" t="str">
        <f t="shared" si="0"/>
        <v>62-2</v>
      </c>
      <c r="B64" s="124">
        <f>SUBTOTAL(103,$J$29:J64)</f>
        <v>36</v>
      </c>
      <c r="C64" s="126">
        <v>45096</v>
      </c>
      <c r="D64" s="124" t="s">
        <v>176</v>
      </c>
      <c r="E64" s="127" t="s">
        <v>177</v>
      </c>
      <c r="F64" s="128" t="s">
        <v>177</v>
      </c>
      <c r="G64" s="127" t="s">
        <v>178</v>
      </c>
      <c r="H64" s="127" t="s">
        <v>408</v>
      </c>
      <c r="I64" s="127" t="s">
        <v>456</v>
      </c>
      <c r="J64" s="152" t="s">
        <v>457</v>
      </c>
      <c r="K64" s="127" t="s">
        <v>458</v>
      </c>
      <c r="L64" s="130">
        <v>37868</v>
      </c>
      <c r="M64" s="127" t="s">
        <v>230</v>
      </c>
      <c r="N64" s="127" t="s">
        <v>231</v>
      </c>
      <c r="O64" s="127" t="s">
        <v>185</v>
      </c>
      <c r="P64" s="127" t="s">
        <v>208</v>
      </c>
      <c r="Q64" s="85" t="str">
        <f t="shared" si="40"/>
        <v/>
      </c>
      <c r="R64" s="130"/>
      <c r="S64" s="128" t="s">
        <v>156</v>
      </c>
      <c r="T64" s="131"/>
      <c r="U64" s="132">
        <v>203</v>
      </c>
      <c r="V64" s="121">
        <v>218.2</v>
      </c>
      <c r="W64" s="116">
        <v>0.98</v>
      </c>
      <c r="X64" s="116">
        <v>1.66</v>
      </c>
      <c r="Y64" s="116">
        <f t="shared" si="41"/>
        <v>0.98</v>
      </c>
      <c r="Z64" s="133">
        <v>1.454</v>
      </c>
      <c r="AA64" s="133">
        <v>0.83599999999999997</v>
      </c>
      <c r="AB64" s="133">
        <v>0.72</v>
      </c>
      <c r="AC64" s="121">
        <v>34.299999999999997</v>
      </c>
      <c r="AD64" s="134">
        <v>1.17</v>
      </c>
      <c r="AE64" s="124">
        <v>139.69999999999999</v>
      </c>
      <c r="AF64" s="128">
        <v>7.72</v>
      </c>
      <c r="AG64" s="128">
        <v>1906</v>
      </c>
      <c r="AH64" s="127">
        <v>2500</v>
      </c>
      <c r="AI64" s="127">
        <v>2500</v>
      </c>
      <c r="AJ64" s="135"/>
      <c r="AK64" s="128"/>
      <c r="AL64" s="131"/>
      <c r="AM64" s="124" t="s">
        <v>232</v>
      </c>
      <c r="AN64" s="136" t="s">
        <v>459</v>
      </c>
      <c r="AO64" s="137">
        <v>8.11</v>
      </c>
      <c r="AP64" s="128">
        <v>1906</v>
      </c>
      <c r="AQ64" s="128">
        <v>47.7</v>
      </c>
      <c r="AR64" s="128"/>
      <c r="AS64" s="128"/>
      <c r="AT64" s="122"/>
      <c r="AU64" s="124" t="s">
        <v>189</v>
      </c>
      <c r="AV64" s="115">
        <f>VLOOKUP(J64,'[63]ТР нефть'!$J$28:$BP$638,39,0)</f>
        <v>529.99998427699995</v>
      </c>
      <c r="AW64" s="115" t="str">
        <f>VLOOKUP(J64,'[63]ТР нефть'!$J$28:$BP$638,40,0)</f>
        <v>ГК 82 1/8</v>
      </c>
      <c r="AX64" s="115">
        <f>VLOOKUP(J64,'[63]ТР нефть'!$J$28:$BP$638,41,0)</f>
        <v>970.00002949199995</v>
      </c>
      <c r="AY64" s="115" t="str">
        <f>VLOOKUP(J64,'[63]ТР нефть'!$J$28:$BP$638,42,0)</f>
        <v>ГК 81 1/8</v>
      </c>
      <c r="AZ64" s="115">
        <f>VLOOKUP(J64,'[63]ТР нефть'!$J$28:$BP$638,43,0)</f>
        <v>1260.000039844</v>
      </c>
      <c r="BA64" s="115" t="str">
        <f>VLOOKUP(J64,'[63]ТР нефть'!$J$28:$BP$638,44,0)</f>
        <v>ГК 80 5/32</v>
      </c>
      <c r="BB64" s="115">
        <f>VLOOKUP(J64,'[63]ТР нефть'!$J$28:$BP$638,45,0)</f>
        <v>1480.000006641</v>
      </c>
      <c r="BC64" s="115" t="str">
        <f>VLOOKUP(J64,'[63]ТР нефть'!$J$28:$BP$638,46,0)</f>
        <v>ГК 79 5/32</v>
      </c>
      <c r="BD64" s="115">
        <f>VLOOKUP(J64,'[63]ТР нефть'!$J$28:$BP$638,47,0)</f>
        <v>1680.0000035160001</v>
      </c>
      <c r="BE64" s="115" t="str">
        <f>VLOOKUP(J64,'[63]ТР нефть'!$J$28:$BP$638,48,0)</f>
        <v>ЦКсОК 5/16</v>
      </c>
      <c r="BF64" s="115" t="str">
        <f>VLOOKUP(J64,'[63]ТР нефть'!$J$28:$BP$638,49,0)</f>
        <v>-</v>
      </c>
      <c r="BG64" s="115" t="str">
        <f>VLOOKUP(J64,'[63]ТР нефть'!$J$28:$BP$638,50,0)</f>
        <v>-</v>
      </c>
      <c r="BH64" s="115">
        <f>VLOOKUP(J64,'[63]ТР нефть'!$J$28:$BP$638,51,0)</f>
        <v>1747</v>
      </c>
      <c r="BI64" s="115" t="str">
        <f>VLOOKUP(J64,'[63]ТР нефть'!$J$28:$BP$638,52,0)</f>
        <v>закрыт</v>
      </c>
      <c r="BJ64" s="115" t="str">
        <f>IF(IFERROR(VLOOKUP(J64,'[63]ТР нефть'!$J$28:$BP$638,53,0),"-")=0,"-",IFERROR(VLOOKUP(J64,'[63]ТР нефть'!$J$28:$BP$638,53,0),"-"))</f>
        <v>-</v>
      </c>
      <c r="BK64" s="138" t="str">
        <f>IF(IFERROR(VLOOKUP(J64,'[63]ТР нефть'!$J$28:$BP$638,54,0),"-")=0,"-",IFERROR(VLOOKUP(J64,'[63]ТР нефть'!$J$28:$BP$638,54,0),"-"))</f>
        <v>-</v>
      </c>
      <c r="BL64" s="138" t="str">
        <f>IF(IFERROR(VLOOKUP(J64,'[63]ТР нефть'!$J$28:$BP$638,55,0),"-")=0,"-",IFERROR(VLOOKUP(J64,'[63]ТР нефть'!$J$28:$BP$638,55,0),"-"))</f>
        <v>-</v>
      </c>
      <c r="BM64" s="138" t="str">
        <f>IF(IFERROR(VLOOKUP(J64,'[63]ТР нефть'!$J$28:$BP$638,56,0),"-")=0,"-",IFERROR(VLOOKUP(J64,'[63]ТР нефть'!$J$28:$BP$638,56,0),"-"))</f>
        <v>-</v>
      </c>
      <c r="BN64" s="138" t="str">
        <f>IF(IFERROR(VLOOKUP(J64,'[63]ТР нефть'!$J$28:$BP$638,57,0),"-")=0,"-",IFERROR(VLOOKUP(J64,'[63]ТР нефть'!$J$28:$BP$638,57,0),"-"))</f>
        <v>-</v>
      </c>
      <c r="BO64" s="115" t="str">
        <f>IF(IFERROR(VLOOKUP(J64,'[63]ТР нефть'!$J$28:$BP$638,58,0),"-")=0,"-",IFERROR(VLOOKUP(J64,'[63]ТР нефть'!$J$28:$BP$638,58,0),"-"))</f>
        <v>-</v>
      </c>
      <c r="BP64" s="115" t="str">
        <f>IF(IFERROR(VLOOKUP(J64,'[63]ТР нефть'!$J$28:$BP$638,59,0),"-")=0,"-",IFERROR(VLOOKUP(J64,'[63]ТР нефть'!$J$28:$BP$638,59,0),"-"))</f>
        <v>-</v>
      </c>
      <c r="BQ64" s="138">
        <v>2317</v>
      </c>
      <c r="BR64" s="128">
        <v>1908.79</v>
      </c>
      <c r="BS64" s="115">
        <f t="shared" si="2"/>
        <v>408.21000000000004</v>
      </c>
      <c r="BT64" s="128">
        <v>73</v>
      </c>
      <c r="BU64" s="128">
        <v>5.5</v>
      </c>
      <c r="BV64" s="127">
        <v>18</v>
      </c>
      <c r="BW64" s="127" t="s">
        <v>234</v>
      </c>
      <c r="BX64" s="127" t="s">
        <v>195</v>
      </c>
      <c r="BY64" s="139">
        <v>24</v>
      </c>
      <c r="BZ64" s="139">
        <v>0</v>
      </c>
      <c r="CA64" s="138">
        <v>23</v>
      </c>
      <c r="CB64" s="138">
        <v>62</v>
      </c>
      <c r="CC64" s="138">
        <v>22</v>
      </c>
      <c r="CD64" s="135">
        <v>45017</v>
      </c>
      <c r="CE64" s="138">
        <v>138</v>
      </c>
      <c r="CF64" s="138">
        <v>79</v>
      </c>
      <c r="CG64" s="138" t="str">
        <f t="shared" si="52"/>
        <v>В работе</v>
      </c>
      <c r="CH64" s="138" t="s">
        <v>196</v>
      </c>
      <c r="CI64" s="127">
        <v>6</v>
      </c>
      <c r="CJ64" s="138"/>
      <c r="CK64" s="138"/>
      <c r="CL64" s="99"/>
      <c r="CM64" s="99"/>
      <c r="CN64" s="138">
        <v>66</v>
      </c>
      <c r="CO64" s="141">
        <f t="shared" si="4"/>
        <v>3.0898560000000002</v>
      </c>
      <c r="CP64" s="142">
        <v>3.6960000000000002</v>
      </c>
      <c r="CQ64" s="119">
        <v>0</v>
      </c>
      <c r="CR64" s="138">
        <v>21.506</v>
      </c>
      <c r="CS64" s="139">
        <v>7</v>
      </c>
      <c r="CT64" s="138"/>
      <c r="CU64" s="138">
        <f t="shared" si="5"/>
        <v>14.506</v>
      </c>
      <c r="CV64" s="115">
        <f t="shared" si="6"/>
        <v>4694.7171648128588</v>
      </c>
      <c r="CW64" s="115">
        <f t="shared" si="7"/>
        <v>2265.4777439466429</v>
      </c>
      <c r="CX64" s="133">
        <f t="shared" si="8"/>
        <v>5.1333333333333335E-2</v>
      </c>
      <c r="CY64" s="116"/>
      <c r="CZ64" s="1024"/>
      <c r="DA64" s="145" t="str">
        <f t="shared" si="9"/>
        <v>Газлифт</v>
      </c>
      <c r="DB64" s="146">
        <f t="shared" si="10"/>
        <v>3.0898560000000002</v>
      </c>
      <c r="DC64" s="142">
        <f t="shared" si="11"/>
        <v>3.6960000000000002</v>
      </c>
      <c r="DD64" s="119">
        <f t="shared" si="12"/>
        <v>0</v>
      </c>
      <c r="DE64" s="115">
        <f t="shared" si="13"/>
        <v>14.506</v>
      </c>
      <c r="DF64" s="121">
        <f t="shared" si="14"/>
        <v>7</v>
      </c>
      <c r="DG64" s="115">
        <f t="shared" si="15"/>
        <v>4694.7171648128588</v>
      </c>
      <c r="DH64" s="115">
        <f t="shared" si="16"/>
        <v>66</v>
      </c>
      <c r="DI64" s="147"/>
      <c r="DJ64" s="111" t="s">
        <v>197</v>
      </c>
      <c r="DK64" s="112">
        <v>37868</v>
      </c>
      <c r="DL64" s="113">
        <f t="shared" ca="1" si="42"/>
        <v>7236</v>
      </c>
      <c r="DM64" s="114"/>
      <c r="DN64" s="114"/>
      <c r="DO64" s="114"/>
      <c r="DP64" s="114"/>
      <c r="DQ64" s="112">
        <v>41569</v>
      </c>
      <c r="DR64" s="114" t="s">
        <v>198</v>
      </c>
      <c r="DS64" s="114"/>
      <c r="DT64" s="115">
        <v>39</v>
      </c>
      <c r="DU64" s="116">
        <f t="shared" si="43"/>
        <v>4.5522012578616364E-2</v>
      </c>
      <c r="DV64" s="117">
        <f t="shared" si="44"/>
        <v>3.7675838490566043</v>
      </c>
      <c r="DW64" s="118">
        <f t="shared" si="45"/>
        <v>4.5066792452830198</v>
      </c>
      <c r="DX64" s="119">
        <f t="shared" si="21"/>
        <v>0</v>
      </c>
      <c r="DY64" s="115">
        <f t="shared" si="46"/>
        <v>17.687740566037736</v>
      </c>
      <c r="DZ64" s="117">
        <f t="shared" si="47"/>
        <v>0.6777278490566041</v>
      </c>
      <c r="EA64" s="120">
        <f t="shared" si="47"/>
        <v>0.8106792452830196</v>
      </c>
      <c r="EB64" s="119">
        <f t="shared" si="47"/>
        <v>0</v>
      </c>
      <c r="EC64" s="121">
        <f t="shared" si="48"/>
        <v>3.1817405660377354</v>
      </c>
      <c r="ED64" s="122"/>
      <c r="EE64" s="145">
        <v>18</v>
      </c>
      <c r="EF64" s="115">
        <v>23</v>
      </c>
      <c r="EG64" s="115">
        <v>62</v>
      </c>
      <c r="EH64" s="115">
        <v>22</v>
      </c>
      <c r="EI64" s="128" t="s">
        <v>195</v>
      </c>
      <c r="EJ64" s="121">
        <v>24</v>
      </c>
      <c r="EK64" s="121">
        <v>0</v>
      </c>
      <c r="EL64" s="149">
        <v>3.0898560000000002</v>
      </c>
      <c r="EM64" s="142">
        <v>3.6960000000000002</v>
      </c>
      <c r="EN64" s="119">
        <v>0</v>
      </c>
      <c r="EO64" s="115">
        <v>21.506</v>
      </c>
      <c r="EP64" s="115">
        <v>4694.7171648128588</v>
      </c>
      <c r="EQ64" s="115">
        <v>79</v>
      </c>
      <c r="ER64" s="139">
        <v>7</v>
      </c>
      <c r="ES64" s="115">
        <v>66</v>
      </c>
      <c r="ET64" s="150">
        <v>5.1333333333333335E-2</v>
      </c>
      <c r="EU64" s="145">
        <f t="shared" si="25"/>
        <v>18</v>
      </c>
      <c r="EV64" s="115">
        <f t="shared" si="26"/>
        <v>23</v>
      </c>
      <c r="EW64" s="115">
        <f t="shared" si="26"/>
        <v>62</v>
      </c>
      <c r="EX64" s="115">
        <f t="shared" si="26"/>
        <v>22</v>
      </c>
      <c r="EY64" s="115" t="str">
        <f t="shared" si="53"/>
        <v>Постоянный</v>
      </c>
      <c r="EZ64" s="115">
        <f t="shared" si="53"/>
        <v>24</v>
      </c>
      <c r="FA64" s="115">
        <f t="shared" si="53"/>
        <v>0</v>
      </c>
      <c r="FB64" s="149">
        <f t="shared" si="28"/>
        <v>3.0898560000000002</v>
      </c>
      <c r="FC64" s="142">
        <f t="shared" si="28"/>
        <v>3.6960000000000002</v>
      </c>
      <c r="FD64" s="119">
        <f t="shared" si="28"/>
        <v>0</v>
      </c>
      <c r="FE64" s="121">
        <f t="shared" si="28"/>
        <v>21.506</v>
      </c>
      <c r="FF64" s="121">
        <f t="shared" si="49"/>
        <v>4694.7171648128588</v>
      </c>
      <c r="FG64" s="121">
        <f t="shared" si="30"/>
        <v>79</v>
      </c>
      <c r="FH64" s="121">
        <f t="shared" si="50"/>
        <v>7</v>
      </c>
      <c r="FI64" s="121">
        <f t="shared" si="54"/>
        <v>66</v>
      </c>
      <c r="FJ64" s="144">
        <f t="shared" si="33"/>
        <v>5.1333333333333335E-2</v>
      </c>
      <c r="FK64" s="132">
        <f t="shared" si="34"/>
        <v>0</v>
      </c>
      <c r="FL64" s="115">
        <f t="shared" si="34"/>
        <v>0</v>
      </c>
      <c r="FM64" s="115">
        <f t="shared" si="34"/>
        <v>0</v>
      </c>
      <c r="FN64" s="115">
        <f t="shared" si="34"/>
        <v>0</v>
      </c>
      <c r="FO64" s="115">
        <f t="shared" si="35"/>
        <v>0</v>
      </c>
      <c r="FP64" s="115">
        <f t="shared" si="35"/>
        <v>0</v>
      </c>
      <c r="FQ64" s="149">
        <f t="shared" si="35"/>
        <v>0</v>
      </c>
      <c r="FR64" s="142">
        <f t="shared" si="35"/>
        <v>0</v>
      </c>
      <c r="FS64" s="119">
        <f t="shared" si="35"/>
        <v>0</v>
      </c>
      <c r="FT64" s="121">
        <f t="shared" si="35"/>
        <v>0</v>
      </c>
      <c r="FU64" s="121">
        <f t="shared" si="36"/>
        <v>0</v>
      </c>
      <c r="FV64" s="121">
        <f t="shared" si="36"/>
        <v>0</v>
      </c>
      <c r="FW64" s="121">
        <f t="shared" si="37"/>
        <v>0</v>
      </c>
      <c r="FX64" s="121">
        <f t="shared" si="38"/>
        <v>0</v>
      </c>
      <c r="FY64" s="144">
        <f t="shared" si="38"/>
        <v>0</v>
      </c>
      <c r="FZ64" s="145"/>
      <c r="GA64" s="151" t="s">
        <v>313</v>
      </c>
      <c r="GB64" s="145"/>
      <c r="GC64" s="151" t="s">
        <v>460</v>
      </c>
      <c r="GD64" s="997" t="s">
        <v>238</v>
      </c>
      <c r="GE64" s="1004"/>
      <c r="GF64" s="1004">
        <v>0</v>
      </c>
      <c r="GG64" s="1004"/>
      <c r="GH64" s="1004">
        <v>0</v>
      </c>
      <c r="GI64" s="145"/>
      <c r="GJ64" s="996">
        <v>0</v>
      </c>
      <c r="GK64" s="145"/>
      <c r="GL64" s="996">
        <v>0</v>
      </c>
      <c r="GM64" s="1005"/>
      <c r="GN64" s="996">
        <v>0</v>
      </c>
      <c r="GO64" s="1006"/>
      <c r="GP64" s="996">
        <v>0</v>
      </c>
      <c r="GQ64" s="1006"/>
      <c r="GR64" s="996">
        <v>0</v>
      </c>
      <c r="GS64" s="1006" t="s">
        <v>308</v>
      </c>
      <c r="GT64" s="996">
        <v>1.4897520000000004</v>
      </c>
      <c r="GU64" s="1006"/>
      <c r="GV64" s="996">
        <v>0</v>
      </c>
      <c r="GW64" s="1006"/>
      <c r="GX64" s="997">
        <v>0</v>
      </c>
      <c r="GY64" s="1006" t="s">
        <v>199</v>
      </c>
      <c r="GZ64" s="996">
        <v>0</v>
      </c>
      <c r="HA64" s="1006" t="s">
        <v>204</v>
      </c>
      <c r="HB64" s="996">
        <v>-6.67546836</v>
      </c>
      <c r="HC64" s="1006" t="s">
        <v>199</v>
      </c>
      <c r="HD64" s="996">
        <v>2.7807115600000003</v>
      </c>
      <c r="HE64" s="1006"/>
      <c r="HF64" s="996">
        <v>0</v>
      </c>
      <c r="HG64" s="1006"/>
      <c r="HH64" s="996">
        <v>0</v>
      </c>
      <c r="HI64" s="1006"/>
      <c r="HJ64" s="996">
        <v>0</v>
      </c>
      <c r="HK64" s="1006" t="s">
        <v>204</v>
      </c>
      <c r="HL64" s="996">
        <v>1.6517688000000001</v>
      </c>
      <c r="HM64" s="1006"/>
      <c r="HN64" s="996">
        <v>0</v>
      </c>
      <c r="HO64" s="1006"/>
      <c r="HP64" s="996">
        <v>0</v>
      </c>
      <c r="HQ64" s="1006"/>
      <c r="HR64" s="996">
        <v>0.49658399999999947</v>
      </c>
      <c r="HS64" s="1006"/>
      <c r="HT64" s="996">
        <v>0</v>
      </c>
      <c r="HU64" s="1006"/>
      <c r="HV64" s="996">
        <v>0</v>
      </c>
      <c r="HW64" s="1006" t="s">
        <v>199</v>
      </c>
      <c r="HX64" s="996">
        <v>1.4069880000000006</v>
      </c>
      <c r="HY64" s="1006"/>
      <c r="HZ64" s="996">
        <v>-0.44558799999999987</v>
      </c>
      <c r="IA64" s="1006"/>
      <c r="IB64" s="996">
        <v>-0.41800000000000015</v>
      </c>
      <c r="IC64" s="1006"/>
      <c r="ID64" s="996">
        <v>0</v>
      </c>
      <c r="IE64" s="1006" t="s">
        <v>199</v>
      </c>
      <c r="IF64" s="996">
        <v>1.9535647999999999</v>
      </c>
      <c r="IG64" s="1006"/>
      <c r="IH64" s="996">
        <v>0</v>
      </c>
      <c r="II64" s="1006"/>
      <c r="IJ64" s="996">
        <v>-0.43985103360000033</v>
      </c>
      <c r="IK64" s="1006"/>
      <c r="IL64" s="996">
        <v>0</v>
      </c>
      <c r="IM64" s="1006" t="s">
        <v>199</v>
      </c>
      <c r="IN64" s="996">
        <v>-0.84491376639999949</v>
      </c>
      <c r="IO64" s="1006"/>
      <c r="IP64" s="996">
        <v>0</v>
      </c>
      <c r="IQ64" s="1006"/>
      <c r="IR64" s="996">
        <v>0</v>
      </c>
      <c r="IS64" s="1006"/>
      <c r="IT64" s="996">
        <v>0</v>
      </c>
      <c r="IU64" s="1006"/>
      <c r="IV64" s="996">
        <v>0</v>
      </c>
      <c r="IW64" s="1006"/>
      <c r="IX64" s="996">
        <v>0</v>
      </c>
      <c r="IY64" s="1006"/>
      <c r="IZ64" s="996">
        <v>0</v>
      </c>
      <c r="JA64" s="1006"/>
      <c r="JB64" s="996">
        <v>0</v>
      </c>
      <c r="JC64" s="1006"/>
      <c r="JD64" s="996">
        <v>0</v>
      </c>
      <c r="JE64" s="1006"/>
      <c r="JF64" s="996">
        <v>0</v>
      </c>
      <c r="JG64" s="1006"/>
      <c r="JH64" s="996">
        <v>0</v>
      </c>
      <c r="JI64" s="1006"/>
      <c r="JJ64" s="996">
        <v>0</v>
      </c>
      <c r="JK64" s="1007"/>
      <c r="JL64" s="1007">
        <v>0</v>
      </c>
      <c r="JM64" s="1007"/>
      <c r="JN64" s="1007">
        <v>0</v>
      </c>
      <c r="JO64" s="1008"/>
      <c r="JP64" s="1007">
        <v>-0.16720000000000024</v>
      </c>
      <c r="JQ64" s="1008">
        <v>0</v>
      </c>
      <c r="JR64" s="1007">
        <v>0</v>
      </c>
      <c r="JS64" s="1008" t="s">
        <v>199</v>
      </c>
      <c r="JT64" s="1007">
        <v>-2.5915999999999992</v>
      </c>
      <c r="JU64" s="1008"/>
      <c r="JV64" s="1007">
        <v>0</v>
      </c>
      <c r="JW64" s="1008" t="s">
        <v>197</v>
      </c>
      <c r="JX64" s="1007">
        <v>0</v>
      </c>
      <c r="JY64" s="1008" t="s">
        <v>204</v>
      </c>
      <c r="JZ64" s="1007">
        <v>0.50159999999999894</v>
      </c>
      <c r="KA64" s="1008" t="s">
        <v>204</v>
      </c>
      <c r="KB64" s="1007">
        <v>-4.0127999999999995</v>
      </c>
      <c r="KC64" s="1008"/>
      <c r="KD64" s="1007">
        <v>0</v>
      </c>
      <c r="KE64" s="1008"/>
      <c r="KF64" s="1007">
        <v>0</v>
      </c>
      <c r="KG64" s="1008"/>
      <c r="KH64" s="1007">
        <v>0</v>
      </c>
      <c r="KI64" s="1008"/>
      <c r="KJ64" s="1007">
        <v>0</v>
      </c>
      <c r="KK64" s="1008" t="s">
        <v>206</v>
      </c>
      <c r="KL64" s="1007">
        <v>-0.8360000000000003</v>
      </c>
      <c r="KM64" s="1008"/>
      <c r="KN64" s="1007">
        <v>0</v>
      </c>
      <c r="KO64" s="1008"/>
      <c r="KP64" s="1007">
        <v>0</v>
      </c>
      <c r="KQ64" s="1008">
        <v>0</v>
      </c>
      <c r="KR64" s="1007">
        <v>0</v>
      </c>
      <c r="KS64" s="1008">
        <v>0</v>
      </c>
      <c r="KT64" s="1007">
        <v>0</v>
      </c>
      <c r="KU64" s="1008">
        <v>0</v>
      </c>
      <c r="KV64" s="1007">
        <v>0</v>
      </c>
      <c r="KW64" s="1008" t="s">
        <v>204</v>
      </c>
      <c r="KX64" s="1007">
        <v>5.016</v>
      </c>
      <c r="KY64" s="1008">
        <v>0</v>
      </c>
      <c r="KZ64" s="1007">
        <v>0</v>
      </c>
      <c r="LA64" s="1008">
        <v>0</v>
      </c>
      <c r="LB64" s="1007">
        <v>0</v>
      </c>
      <c r="LC64" s="1008">
        <v>0</v>
      </c>
      <c r="LD64" s="1007">
        <v>0</v>
      </c>
      <c r="LE64" s="1008">
        <v>0</v>
      </c>
      <c r="LF64" s="1007">
        <v>0</v>
      </c>
      <c r="LG64" s="1008">
        <v>0</v>
      </c>
      <c r="LH64" s="1007">
        <v>-5.1984000000000004</v>
      </c>
      <c r="LI64" s="1008">
        <v>0</v>
      </c>
      <c r="LJ64" s="1007">
        <v>0</v>
      </c>
      <c r="LK64" s="1008">
        <v>0</v>
      </c>
      <c r="LL64" s="1007">
        <v>0</v>
      </c>
      <c r="LM64" s="1008">
        <v>0</v>
      </c>
      <c r="LN64" s="1007">
        <v>0</v>
      </c>
      <c r="LO64" s="1008" t="s">
        <v>207</v>
      </c>
      <c r="LP64" s="1007">
        <v>1.9323224000000001</v>
      </c>
      <c r="LQ64" s="1008" t="s">
        <v>199</v>
      </c>
      <c r="LR64" s="1007">
        <v>-1.8355576</v>
      </c>
      <c r="LS64" s="1008">
        <v>0</v>
      </c>
      <c r="LT64" s="1007">
        <v>0.74886372000000001</v>
      </c>
      <c r="LU64" s="1008">
        <v>0</v>
      </c>
      <c r="LV64" s="1007">
        <v>0.91527787999999999</v>
      </c>
      <c r="LW64" s="1008" t="s">
        <v>207</v>
      </c>
      <c r="LX64" s="1007">
        <v>-1.57864388</v>
      </c>
      <c r="LY64" s="1009">
        <v>0</v>
      </c>
      <c r="LZ64" s="1010">
        <v>0.43118400000000001</v>
      </c>
      <c r="MA64" s="1011">
        <v>0</v>
      </c>
      <c r="MB64" s="1012">
        <v>-0.38494874000000001</v>
      </c>
      <c r="MC64" s="995"/>
      <c r="MD64" s="996"/>
      <c r="ME64" s="997" t="s">
        <v>238</v>
      </c>
      <c r="MF64" s="997"/>
      <c r="MG64" s="998"/>
      <c r="NR64" s="1000"/>
      <c r="NS64" s="1000"/>
      <c r="NT64" s="1001"/>
      <c r="NU64" s="1000"/>
      <c r="NV64" s="1001"/>
      <c r="NX64" s="1002"/>
      <c r="NZ64" s="1001"/>
      <c r="OA64" s="1001"/>
      <c r="OC64" s="1003"/>
      <c r="OD64" s="1003"/>
      <c r="OE64" s="1001"/>
      <c r="OF64" s="1003"/>
      <c r="OG64" s="1003"/>
      <c r="QX64" s="1000">
        <f t="shared" si="51"/>
        <v>43</v>
      </c>
      <c r="ASU64" s="999" t="s">
        <v>208</v>
      </c>
    </row>
    <row r="65" spans="1:466 1191:1191" ht="21" customHeight="1" x14ac:dyDescent="0.25">
      <c r="A65" s="982" t="str">
        <f t="shared" si="0"/>
        <v>62-1</v>
      </c>
      <c r="B65" s="124">
        <f>SUBTOTAL(103,$J$29:J65)</f>
        <v>37</v>
      </c>
      <c r="C65" s="126">
        <v>45096</v>
      </c>
      <c r="D65" s="124" t="s">
        <v>176</v>
      </c>
      <c r="E65" s="127" t="s">
        <v>177</v>
      </c>
      <c r="F65" s="128" t="s">
        <v>177</v>
      </c>
      <c r="G65" s="127" t="s">
        <v>178</v>
      </c>
      <c r="H65" s="127" t="s">
        <v>226</v>
      </c>
      <c r="I65" s="127" t="s">
        <v>456</v>
      </c>
      <c r="J65" s="152" t="s">
        <v>461</v>
      </c>
      <c r="K65" s="127" t="s">
        <v>458</v>
      </c>
      <c r="L65" s="130">
        <v>37980</v>
      </c>
      <c r="M65" s="127" t="s">
        <v>230</v>
      </c>
      <c r="N65" s="127" t="s">
        <v>231</v>
      </c>
      <c r="O65" s="127" t="s">
        <v>185</v>
      </c>
      <c r="P65" s="127" t="s">
        <v>208</v>
      </c>
      <c r="Q65" s="85" t="str">
        <f t="shared" si="40"/>
        <v/>
      </c>
      <c r="R65" s="130"/>
      <c r="S65" s="128" t="s">
        <v>156</v>
      </c>
      <c r="T65" s="131"/>
      <c r="U65" s="132">
        <v>203</v>
      </c>
      <c r="V65" s="121">
        <v>218.2</v>
      </c>
      <c r="W65" s="116">
        <v>0.98</v>
      </c>
      <c r="X65" s="116">
        <v>1.66</v>
      </c>
      <c r="Y65" s="116">
        <f t="shared" si="41"/>
        <v>0.98</v>
      </c>
      <c r="Z65" s="133">
        <v>1.454</v>
      </c>
      <c r="AA65" s="133">
        <v>0.83599999999999997</v>
      </c>
      <c r="AB65" s="133">
        <v>0.72</v>
      </c>
      <c r="AC65" s="121">
        <v>34.299999999999997</v>
      </c>
      <c r="AD65" s="134">
        <v>1.17</v>
      </c>
      <c r="AE65" s="124">
        <v>139.69999999999999</v>
      </c>
      <c r="AF65" s="128">
        <v>7.72</v>
      </c>
      <c r="AG65" s="128">
        <v>1903</v>
      </c>
      <c r="AH65" s="127">
        <v>2500</v>
      </c>
      <c r="AI65" s="127">
        <v>2500</v>
      </c>
      <c r="AJ65" s="135"/>
      <c r="AK65" s="128"/>
      <c r="AL65" s="131"/>
      <c r="AM65" s="124" t="s">
        <v>232</v>
      </c>
      <c r="AN65" s="136" t="s">
        <v>462</v>
      </c>
      <c r="AO65" s="137">
        <v>34.200000000000003</v>
      </c>
      <c r="AP65" s="128">
        <v>1918</v>
      </c>
      <c r="AQ65" s="128">
        <v>49.76</v>
      </c>
      <c r="AR65" s="128"/>
      <c r="AS65" s="128"/>
      <c r="AT65" s="122"/>
      <c r="AU65" s="124" t="s">
        <v>250</v>
      </c>
      <c r="AV65" s="115">
        <f>VLOOKUP(J65,'[63]ТР нефть'!$J$28:$BP$638,39,0)</f>
        <v>595</v>
      </c>
      <c r="AW65" s="115" t="str">
        <f>VLOOKUP(J65,'[63]ТР нефть'!$J$28:$BP$638,40,0)</f>
        <v>ГП</v>
      </c>
      <c r="AX65" s="115">
        <f>VLOOKUP(J65,'[63]ТР нефть'!$J$28:$BP$638,41,0)</f>
        <v>1193</v>
      </c>
      <c r="AY65" s="115" t="str">
        <f>VLOOKUP(J65,'[63]ТР нефть'!$J$28:$BP$638,42,0)</f>
        <v>ГП</v>
      </c>
      <c r="AZ65" s="115">
        <f>VLOOKUP(J65,'[63]ТР нефть'!$J$28:$BP$638,43,0)</f>
        <v>1730</v>
      </c>
      <c r="BA65" s="115" t="str">
        <f>VLOOKUP(J65,'[63]ТР нефть'!$J$28:$BP$638,44,0)</f>
        <v>ЦКсОК 5/16</v>
      </c>
      <c r="BB65" s="115" t="str">
        <f>VLOOKUP(J65,'[63]ТР нефть'!$J$28:$BP$638,45,0)</f>
        <v>-</v>
      </c>
      <c r="BC65" s="115" t="str">
        <f>VLOOKUP(J65,'[63]ТР нефть'!$J$28:$BP$638,46,0)</f>
        <v>-</v>
      </c>
      <c r="BD65" s="115" t="str">
        <f>VLOOKUP(J65,'[63]ТР нефть'!$J$28:$BP$638,47,0)</f>
        <v>-</v>
      </c>
      <c r="BE65" s="115" t="str">
        <f>VLOOKUP(J65,'[63]ТР нефть'!$J$28:$BP$638,48,0)</f>
        <v>-</v>
      </c>
      <c r="BF65" s="115" t="str">
        <f>VLOOKUP(J65,'[63]ТР нефть'!$J$28:$BP$638,49,0)</f>
        <v>-</v>
      </c>
      <c r="BG65" s="115" t="str">
        <f>VLOOKUP(J65,'[63]ТР нефть'!$J$28:$BP$638,50,0)</f>
        <v>-</v>
      </c>
      <c r="BH65" s="115">
        <f>VLOOKUP(J65,'[63]ТР нефть'!$J$28:$BP$638,51,0)</f>
        <v>1741</v>
      </c>
      <c r="BI65" s="115" t="str">
        <f>VLOOKUP(J65,'[63]ТР нефть'!$J$28:$BP$638,52,0)</f>
        <v>закрыт</v>
      </c>
      <c r="BJ65" s="115" t="str">
        <f>IF(IFERROR(VLOOKUP(J65,'[63]ТР нефть'!$J$28:$BP$638,53,0),"-")=0,"-",IFERROR(VLOOKUP(J65,'[63]ТР нефть'!$J$28:$BP$638,53,0),"-"))</f>
        <v>-</v>
      </c>
      <c r="BK65" s="138" t="str">
        <f>IF(IFERROR(VLOOKUP(J65,'[63]ТР нефть'!$J$28:$BP$638,54,0),"-")=0,"-",IFERROR(VLOOKUP(J65,'[63]ТР нефть'!$J$28:$BP$638,54,0),"-"))</f>
        <v>-</v>
      </c>
      <c r="BL65" s="138" t="str">
        <f>IF(IFERROR(VLOOKUP(J65,'[63]ТР нефть'!$J$28:$BP$638,55,0),"-")=0,"-",IFERROR(VLOOKUP(J65,'[63]ТР нефть'!$J$28:$BP$638,55,0),"-"))</f>
        <v>-</v>
      </c>
      <c r="BM65" s="138" t="str">
        <f>IF(IFERROR(VLOOKUP(J65,'[63]ТР нефть'!$J$28:$BP$638,56,0),"-")=0,"-",IFERROR(VLOOKUP(J65,'[63]ТР нефть'!$J$28:$BP$638,56,0),"-"))</f>
        <v>-</v>
      </c>
      <c r="BN65" s="138" t="str">
        <f>IF(IFERROR(VLOOKUP(J65,'[63]ТР нефть'!$J$28:$BP$638,57,0),"-")=0,"-",IFERROR(VLOOKUP(J65,'[63]ТР нефть'!$J$28:$BP$638,57,0),"-"))</f>
        <v>-</v>
      </c>
      <c r="BO65" s="115" t="str">
        <f>IF(IFERROR(VLOOKUP(J65,'[63]ТР нефть'!$J$28:$BP$638,58,0),"-")=0,"-",IFERROR(VLOOKUP(J65,'[63]ТР нефть'!$J$28:$BP$638,58,0),"-"))</f>
        <v>-</v>
      </c>
      <c r="BP65" s="115" t="str">
        <f>IF(IFERROR(VLOOKUP(J65,'[63]ТР нефть'!$J$28:$BP$638,59,0),"-")=0,"-",IFERROR(VLOOKUP(J65,'[63]ТР нефть'!$J$28:$BP$638,59,0),"-"))</f>
        <v>-</v>
      </c>
      <c r="BQ65" s="138">
        <v>2419</v>
      </c>
      <c r="BR65" s="128">
        <v>1896.26</v>
      </c>
      <c r="BS65" s="115">
        <f t="shared" si="2"/>
        <v>522.74</v>
      </c>
      <c r="BT65" s="128">
        <v>73</v>
      </c>
      <c r="BU65" s="128">
        <v>5.5</v>
      </c>
      <c r="BV65" s="127">
        <v>18</v>
      </c>
      <c r="BW65" s="127" t="s">
        <v>234</v>
      </c>
      <c r="BX65" s="127" t="s">
        <v>195</v>
      </c>
      <c r="BY65" s="139">
        <v>24</v>
      </c>
      <c r="BZ65" s="139">
        <v>0</v>
      </c>
      <c r="CA65" s="138">
        <v>50</v>
      </c>
      <c r="CB65" s="138">
        <v>63</v>
      </c>
      <c r="CC65" s="138">
        <v>49</v>
      </c>
      <c r="CD65" s="135">
        <v>45017</v>
      </c>
      <c r="CE65" s="138">
        <v>114.6</v>
      </c>
      <c r="CF65" s="138"/>
      <c r="CG65" s="138" t="str">
        <f t="shared" si="52"/>
        <v/>
      </c>
      <c r="CH65" s="138" t="s">
        <v>197</v>
      </c>
      <c r="CI65" s="127"/>
      <c r="CJ65" s="138"/>
      <c r="CK65" s="138"/>
      <c r="CL65" s="99"/>
      <c r="CM65" s="127"/>
      <c r="CN65" s="154">
        <v>70</v>
      </c>
      <c r="CO65" s="141">
        <f t="shared" si="4"/>
        <v>19.144399999999997</v>
      </c>
      <c r="CP65" s="142">
        <v>22.9</v>
      </c>
      <c r="CQ65" s="119">
        <v>0</v>
      </c>
      <c r="CR65" s="138">
        <v>71.3</v>
      </c>
      <c r="CS65" s="139"/>
      <c r="CT65" s="138"/>
      <c r="CU65" s="138">
        <f t="shared" si="5"/>
        <v>71.3</v>
      </c>
      <c r="CV65" s="115">
        <f t="shared" si="6"/>
        <v>3724.3266960573333</v>
      </c>
      <c r="CW65" s="115" t="str">
        <f t="shared" si="7"/>
        <v/>
      </c>
      <c r="CX65" s="133">
        <f t="shared" si="8"/>
        <v>0.51345291479820632</v>
      </c>
      <c r="CY65" s="116"/>
      <c r="CZ65" s="131"/>
      <c r="DA65" s="145" t="str">
        <f t="shared" si="9"/>
        <v>Фон.</v>
      </c>
      <c r="DB65" s="146">
        <f t="shared" si="10"/>
        <v>19.144399999999997</v>
      </c>
      <c r="DC65" s="142">
        <f t="shared" si="11"/>
        <v>22.9</v>
      </c>
      <c r="DD65" s="119">
        <f t="shared" si="12"/>
        <v>0</v>
      </c>
      <c r="DE65" s="115">
        <f t="shared" si="13"/>
        <v>71.3</v>
      </c>
      <c r="DF65" s="121">
        <f t="shared" si="14"/>
        <v>0</v>
      </c>
      <c r="DG65" s="115">
        <f t="shared" si="15"/>
        <v>3724.3266960573333</v>
      </c>
      <c r="DH65" s="115">
        <f t="shared" si="16"/>
        <v>70</v>
      </c>
      <c r="DI65" s="147"/>
      <c r="DJ65" s="111" t="s">
        <v>197</v>
      </c>
      <c r="DK65" s="112">
        <v>37980</v>
      </c>
      <c r="DL65" s="113">
        <f t="shared" ca="1" si="42"/>
        <v>7124</v>
      </c>
      <c r="DM65" s="114"/>
      <c r="DN65" s="114"/>
      <c r="DO65" s="114"/>
      <c r="DP65" s="114"/>
      <c r="DQ65" s="112">
        <v>37980</v>
      </c>
      <c r="DR65" s="114" t="s">
        <v>324</v>
      </c>
      <c r="DS65" s="114"/>
      <c r="DT65" s="115">
        <v>60</v>
      </c>
      <c r="DU65" s="116">
        <f t="shared" si="43"/>
        <v>0.48937540413943942</v>
      </c>
      <c r="DV65" s="117">
        <f t="shared" si="44"/>
        <v>22.337833947187193</v>
      </c>
      <c r="DW65" s="118">
        <f t="shared" si="45"/>
        <v>26.719897066013388</v>
      </c>
      <c r="DX65" s="119">
        <f t="shared" si="21"/>
        <v>0</v>
      </c>
      <c r="DY65" s="115">
        <f t="shared" si="46"/>
        <v>83.193391301605018</v>
      </c>
      <c r="DZ65" s="117">
        <f t="shared" si="47"/>
        <v>3.1934339471871951</v>
      </c>
      <c r="EA65" s="120">
        <f t="shared" si="47"/>
        <v>3.8198970660133895</v>
      </c>
      <c r="EB65" s="119">
        <f t="shared" si="47"/>
        <v>0</v>
      </c>
      <c r="EC65" s="121">
        <f t="shared" si="48"/>
        <v>11.893391301605021</v>
      </c>
      <c r="ED65" s="122"/>
      <c r="EE65" s="145">
        <v>18</v>
      </c>
      <c r="EF65" s="115">
        <v>50</v>
      </c>
      <c r="EG65" s="115">
        <v>63</v>
      </c>
      <c r="EH65" s="115">
        <v>49</v>
      </c>
      <c r="EI65" s="128" t="s">
        <v>195</v>
      </c>
      <c r="EJ65" s="121">
        <v>24</v>
      </c>
      <c r="EK65" s="121">
        <v>0</v>
      </c>
      <c r="EL65" s="149">
        <v>19.144399999999997</v>
      </c>
      <c r="EM65" s="142">
        <v>22.9</v>
      </c>
      <c r="EN65" s="119">
        <v>0</v>
      </c>
      <c r="EO65" s="115">
        <v>71.3</v>
      </c>
      <c r="EP65" s="115">
        <v>3724.3266960573333</v>
      </c>
      <c r="EQ65" s="115">
        <v>0</v>
      </c>
      <c r="ER65" s="115">
        <v>0</v>
      </c>
      <c r="ES65" s="115">
        <v>70</v>
      </c>
      <c r="ET65" s="150">
        <v>0.51345291479820632</v>
      </c>
      <c r="EU65" s="145">
        <f t="shared" si="25"/>
        <v>18</v>
      </c>
      <c r="EV65" s="115">
        <f t="shared" si="26"/>
        <v>50</v>
      </c>
      <c r="EW65" s="115">
        <f t="shared" si="26"/>
        <v>63</v>
      </c>
      <c r="EX65" s="115">
        <f t="shared" si="26"/>
        <v>49</v>
      </c>
      <c r="EY65" s="115" t="str">
        <f t="shared" si="53"/>
        <v>Постоянный</v>
      </c>
      <c r="EZ65" s="115">
        <f t="shared" si="53"/>
        <v>24</v>
      </c>
      <c r="FA65" s="115">
        <f t="shared" si="53"/>
        <v>0</v>
      </c>
      <c r="FB65" s="149">
        <f t="shared" si="28"/>
        <v>19.144399999999997</v>
      </c>
      <c r="FC65" s="142">
        <f t="shared" si="28"/>
        <v>22.9</v>
      </c>
      <c r="FD65" s="119">
        <f t="shared" si="28"/>
        <v>0</v>
      </c>
      <c r="FE65" s="121">
        <f t="shared" si="28"/>
        <v>71.3</v>
      </c>
      <c r="FF65" s="121">
        <f t="shared" si="49"/>
        <v>3724.3266960573333</v>
      </c>
      <c r="FG65" s="121">
        <f t="shared" si="30"/>
        <v>0</v>
      </c>
      <c r="FH65" s="121">
        <f t="shared" si="50"/>
        <v>0</v>
      </c>
      <c r="FI65" s="121">
        <f t="shared" si="54"/>
        <v>70</v>
      </c>
      <c r="FJ65" s="144">
        <f t="shared" si="33"/>
        <v>0.51345291479820632</v>
      </c>
      <c r="FK65" s="132">
        <f t="shared" si="34"/>
        <v>0</v>
      </c>
      <c r="FL65" s="115">
        <f t="shared" si="34"/>
        <v>0</v>
      </c>
      <c r="FM65" s="115">
        <f t="shared" si="34"/>
        <v>0</v>
      </c>
      <c r="FN65" s="115">
        <f t="shared" si="34"/>
        <v>0</v>
      </c>
      <c r="FO65" s="115">
        <f t="shared" si="35"/>
        <v>0</v>
      </c>
      <c r="FP65" s="115">
        <f t="shared" si="35"/>
        <v>0</v>
      </c>
      <c r="FQ65" s="149">
        <f t="shared" si="35"/>
        <v>0</v>
      </c>
      <c r="FR65" s="142">
        <f t="shared" si="35"/>
        <v>0</v>
      </c>
      <c r="FS65" s="119">
        <f t="shared" si="35"/>
        <v>0</v>
      </c>
      <c r="FT65" s="121">
        <f t="shared" si="35"/>
        <v>0</v>
      </c>
      <c r="FU65" s="121">
        <f t="shared" si="36"/>
        <v>0</v>
      </c>
      <c r="FV65" s="121">
        <f t="shared" si="36"/>
        <v>0</v>
      </c>
      <c r="FW65" s="121">
        <f t="shared" si="37"/>
        <v>0</v>
      </c>
      <c r="FX65" s="121">
        <f t="shared" si="38"/>
        <v>0</v>
      </c>
      <c r="FY65" s="144">
        <f t="shared" si="38"/>
        <v>0</v>
      </c>
      <c r="FZ65" s="145"/>
      <c r="GA65" s="151" t="s">
        <v>463</v>
      </c>
      <c r="GB65" s="145"/>
      <c r="GC65" s="151" t="s">
        <v>407</v>
      </c>
      <c r="GD65" s="997" t="s">
        <v>238</v>
      </c>
      <c r="GE65" s="1004"/>
      <c r="GF65" s="1004">
        <v>7.022399999999962E-2</v>
      </c>
      <c r="GG65" s="1004"/>
      <c r="GH65" s="1004">
        <v>0</v>
      </c>
      <c r="GI65" s="145"/>
      <c r="GJ65" s="996">
        <v>0</v>
      </c>
      <c r="GK65" s="145"/>
      <c r="GL65" s="996">
        <v>0</v>
      </c>
      <c r="GM65" s="1005"/>
      <c r="GN65" s="996">
        <v>0</v>
      </c>
      <c r="GO65" s="1006"/>
      <c r="GP65" s="996">
        <v>0</v>
      </c>
      <c r="GQ65" s="1006" t="s">
        <v>308</v>
      </c>
      <c r="GR65" s="996">
        <v>6.4505759999999981</v>
      </c>
      <c r="GS65" s="1006"/>
      <c r="GT65" s="996">
        <v>0</v>
      </c>
      <c r="GU65" s="1006"/>
      <c r="GV65" s="996">
        <v>0</v>
      </c>
      <c r="GW65" s="1006"/>
      <c r="GX65" s="997">
        <v>0.12359999999999971</v>
      </c>
      <c r="GY65" s="1006"/>
      <c r="GZ65" s="996">
        <v>0</v>
      </c>
      <c r="HA65" s="1006"/>
      <c r="HB65" s="996">
        <v>0</v>
      </c>
      <c r="HC65" s="1006"/>
      <c r="HD65" s="996">
        <v>0</v>
      </c>
      <c r="HE65" s="1006"/>
      <c r="HF65" s="996">
        <v>0</v>
      </c>
      <c r="HG65" s="1006" t="s">
        <v>204</v>
      </c>
      <c r="HH65" s="996">
        <v>-5.5241599999999984</v>
      </c>
      <c r="HI65" s="1006"/>
      <c r="HJ65" s="996">
        <v>0</v>
      </c>
      <c r="HK65" s="1006"/>
      <c r="HL65" s="996">
        <v>0</v>
      </c>
      <c r="HM65" s="1006"/>
      <c r="HN65" s="996">
        <v>0</v>
      </c>
      <c r="HO65" s="1006"/>
      <c r="HP65" s="996">
        <v>-0.67584000000000088</v>
      </c>
      <c r="HQ65" s="1006"/>
      <c r="HR65" s="996">
        <v>0</v>
      </c>
      <c r="HS65" s="1006"/>
      <c r="HT65" s="996">
        <v>0</v>
      </c>
      <c r="HU65" s="1006"/>
      <c r="HV65" s="996">
        <v>0</v>
      </c>
      <c r="HW65" s="1006" t="s">
        <v>199</v>
      </c>
      <c r="HX65" s="996">
        <v>2.6735948800000013</v>
      </c>
      <c r="HY65" s="1006"/>
      <c r="HZ65" s="996">
        <v>0.92740322400000075</v>
      </c>
      <c r="IA65" s="1006" t="s">
        <v>199</v>
      </c>
      <c r="IB65" s="996">
        <v>-1.0447609040000003</v>
      </c>
      <c r="IC65" s="1006"/>
      <c r="ID65" s="996">
        <v>0</v>
      </c>
      <c r="IE65" s="1006" t="s">
        <v>204</v>
      </c>
      <c r="IF65" s="996">
        <v>-2.4977172000000003</v>
      </c>
      <c r="IG65" s="1006" t="s">
        <v>199</v>
      </c>
      <c r="IH65" s="996">
        <v>3.4135468399999986</v>
      </c>
      <c r="II65" s="1006"/>
      <c r="IJ65" s="996">
        <v>0</v>
      </c>
      <c r="IK65" s="1006" t="s">
        <v>204</v>
      </c>
      <c r="IL65" s="996">
        <v>-8.4089812399999992</v>
      </c>
      <c r="IM65" s="1006"/>
      <c r="IN65" s="996">
        <v>0</v>
      </c>
      <c r="IO65" s="1006"/>
      <c r="IP65" s="996">
        <v>0</v>
      </c>
      <c r="IQ65" s="1006" t="s">
        <v>199</v>
      </c>
      <c r="IR65" s="996">
        <v>6.410807479999999</v>
      </c>
      <c r="IS65" s="1006"/>
      <c r="IT65" s="996">
        <v>0</v>
      </c>
      <c r="IU65" s="1006"/>
      <c r="IV65" s="996">
        <v>0</v>
      </c>
      <c r="IW65" s="1006"/>
      <c r="IX65" s="996">
        <v>0</v>
      </c>
      <c r="IY65" s="1006"/>
      <c r="IZ65" s="996">
        <v>0</v>
      </c>
      <c r="JA65" s="1006"/>
      <c r="JB65" s="996">
        <v>0</v>
      </c>
      <c r="JC65" s="1006" t="s">
        <v>199</v>
      </c>
      <c r="JD65" s="996">
        <v>-4.1628620000000005</v>
      </c>
      <c r="JE65" s="1006"/>
      <c r="JF65" s="996">
        <v>0</v>
      </c>
      <c r="JG65" s="1006" t="s">
        <v>204</v>
      </c>
      <c r="JH65" s="996">
        <v>3.7465758000000022</v>
      </c>
      <c r="JI65" s="1006"/>
      <c r="JJ65" s="996">
        <v>0</v>
      </c>
      <c r="JK65" s="1007"/>
      <c r="JL65" s="1007">
        <v>0</v>
      </c>
      <c r="JM65" s="1007"/>
      <c r="JN65" s="1007">
        <v>0</v>
      </c>
      <c r="JO65" s="1008" t="s">
        <v>204</v>
      </c>
      <c r="JP65" s="1007">
        <v>-1.914916520000002</v>
      </c>
      <c r="JQ65" s="1008">
        <v>0</v>
      </c>
      <c r="JR65" s="1007">
        <v>0</v>
      </c>
      <c r="JS65" s="1008" t="s">
        <v>199</v>
      </c>
      <c r="JT65" s="1007">
        <v>4.6624054399999988</v>
      </c>
      <c r="JU65" s="1008"/>
      <c r="JV65" s="1007">
        <v>0</v>
      </c>
      <c r="JW65" s="1008" t="s">
        <v>197</v>
      </c>
      <c r="JX65" s="1007">
        <v>0</v>
      </c>
      <c r="JY65" s="1008" t="s">
        <v>204</v>
      </c>
      <c r="JZ65" s="1007">
        <v>0.74931516000000009</v>
      </c>
      <c r="KA65" s="1008"/>
      <c r="KB65" s="1007">
        <v>0</v>
      </c>
      <c r="KC65" s="1008"/>
      <c r="KD65" s="1007">
        <v>0</v>
      </c>
      <c r="KE65" s="1008" t="s">
        <v>204</v>
      </c>
      <c r="KF65" s="1007">
        <v>-2.4977172000000003</v>
      </c>
      <c r="KG65" s="1008" t="s">
        <v>204</v>
      </c>
      <c r="KH65" s="1007">
        <v>-8.9085246799999993</v>
      </c>
      <c r="KI65" s="1008" t="s">
        <v>206</v>
      </c>
      <c r="KJ65" s="1007">
        <v>-0.99908688000000012</v>
      </c>
      <c r="KK65" s="1008"/>
      <c r="KL65" s="1007">
        <v>0</v>
      </c>
      <c r="KM65" s="1008"/>
      <c r="KN65" s="1007">
        <v>0</v>
      </c>
      <c r="KO65" s="1008" t="s">
        <v>207</v>
      </c>
      <c r="KP65" s="1007">
        <v>4.0796047599999987</v>
      </c>
      <c r="KQ65" s="1008" t="s">
        <v>207</v>
      </c>
      <c r="KR65" s="1007">
        <v>-8.0759522799999992</v>
      </c>
      <c r="KS65" s="1008">
        <v>0</v>
      </c>
      <c r="KT65" s="1007">
        <v>0</v>
      </c>
      <c r="KU65" s="1008">
        <v>0</v>
      </c>
      <c r="KV65" s="1007">
        <v>0</v>
      </c>
      <c r="KW65" s="1008" t="s">
        <v>204</v>
      </c>
      <c r="KX65" s="1007">
        <v>4.9954344000000006</v>
      </c>
      <c r="KY65" s="1008">
        <v>0</v>
      </c>
      <c r="KZ65" s="1007">
        <v>0</v>
      </c>
      <c r="LA65" s="1008">
        <v>0</v>
      </c>
      <c r="LB65" s="1007">
        <v>0</v>
      </c>
      <c r="LC65" s="1008">
        <v>0</v>
      </c>
      <c r="LD65" s="1007">
        <v>0</v>
      </c>
      <c r="LE65" s="1008" t="s">
        <v>204</v>
      </c>
      <c r="LF65" s="1007">
        <v>-2.4977172000000003</v>
      </c>
      <c r="LG65" s="1008" t="s">
        <v>204</v>
      </c>
      <c r="LH65" s="1007">
        <v>2.4977172000000003</v>
      </c>
      <c r="LI65" s="1008" t="s">
        <v>204</v>
      </c>
      <c r="LJ65" s="1007">
        <v>-7.4931516000000009</v>
      </c>
      <c r="LK65" s="1008" t="s">
        <v>204</v>
      </c>
      <c r="LL65" s="1007">
        <v>8.3257239999999975</v>
      </c>
      <c r="LM65" s="1008" t="s">
        <v>206</v>
      </c>
      <c r="LN65" s="1007">
        <v>0.74128099999999997</v>
      </c>
      <c r="LO65" s="1008" t="s">
        <v>206</v>
      </c>
      <c r="LP65" s="1007">
        <v>3.6846399999999999</v>
      </c>
      <c r="LQ65" s="1008">
        <v>0</v>
      </c>
      <c r="LR65" s="1007">
        <v>-0.31917620000000002</v>
      </c>
      <c r="LS65" s="1008">
        <v>0</v>
      </c>
      <c r="LT65" s="1007">
        <v>-5.54664</v>
      </c>
      <c r="LU65" s="1008">
        <v>0</v>
      </c>
      <c r="LV65" s="1007">
        <v>0.88244809999999996</v>
      </c>
      <c r="LW65" s="1008" t="s">
        <v>207</v>
      </c>
      <c r="LX65" s="1007">
        <v>2.8958200000000001</v>
      </c>
      <c r="LY65" s="1009" t="s">
        <v>207</v>
      </c>
      <c r="LZ65" s="1010">
        <v>5.6836634000000004</v>
      </c>
      <c r="MA65" s="1011" t="s">
        <v>207</v>
      </c>
      <c r="MB65" s="1012">
        <v>-9.1748792960000003</v>
      </c>
      <c r="MC65" s="995"/>
      <c r="MD65" s="996"/>
      <c r="ME65" s="997" t="s">
        <v>238</v>
      </c>
      <c r="MF65" s="997"/>
      <c r="MG65" s="998"/>
      <c r="NR65" s="1000"/>
      <c r="NS65" s="1000"/>
      <c r="NT65" s="1001"/>
      <c r="NU65" s="1000"/>
      <c r="NV65" s="1001"/>
      <c r="NX65" s="1002"/>
      <c r="NZ65" s="1001"/>
      <c r="OA65" s="1001"/>
      <c r="OC65" s="1003"/>
      <c r="OD65" s="1003"/>
      <c r="OE65" s="1001"/>
      <c r="OF65" s="1003"/>
      <c r="OG65" s="1003"/>
      <c r="QX65" s="1000">
        <f t="shared" si="51"/>
        <v>20</v>
      </c>
      <c r="ASU65" s="999" t="s">
        <v>208</v>
      </c>
    </row>
    <row r="66" spans="1:466 1191:1191" ht="21" customHeight="1" x14ac:dyDescent="0.25">
      <c r="A66" s="982" t="str">
        <f t="shared" si="0"/>
        <v>62-3</v>
      </c>
      <c r="B66" s="124">
        <f>SUBTOTAL(103,$J$29:J66)</f>
        <v>38</v>
      </c>
      <c r="C66" s="126">
        <v>45096</v>
      </c>
      <c r="D66" s="124" t="s">
        <v>176</v>
      </c>
      <c r="E66" s="127" t="s">
        <v>177</v>
      </c>
      <c r="F66" s="128" t="s">
        <v>177</v>
      </c>
      <c r="G66" s="127" t="s">
        <v>178</v>
      </c>
      <c r="H66" s="127" t="s">
        <v>408</v>
      </c>
      <c r="I66" s="127" t="s">
        <v>456</v>
      </c>
      <c r="J66" s="152" t="s">
        <v>464</v>
      </c>
      <c r="K66" s="127" t="s">
        <v>458</v>
      </c>
      <c r="L66" s="130">
        <v>37766</v>
      </c>
      <c r="M66" s="127" t="s">
        <v>230</v>
      </c>
      <c r="N66" s="127" t="s">
        <v>465</v>
      </c>
      <c r="O66" s="127" t="s">
        <v>185</v>
      </c>
      <c r="P66" s="127" t="s">
        <v>315</v>
      </c>
      <c r="Q66" s="85" t="str">
        <f t="shared" si="40"/>
        <v/>
      </c>
      <c r="R66" s="130"/>
      <c r="S66" s="128"/>
      <c r="T66" s="131"/>
      <c r="U66" s="132">
        <v>203</v>
      </c>
      <c r="V66" s="121">
        <v>218.2</v>
      </c>
      <c r="W66" s="116">
        <v>0.98</v>
      </c>
      <c r="X66" s="116">
        <v>1.66</v>
      </c>
      <c r="Y66" s="116">
        <f t="shared" si="41"/>
        <v>0.98080354989630048</v>
      </c>
      <c r="Z66" s="133">
        <v>1.454</v>
      </c>
      <c r="AA66" s="133">
        <v>0.83599999999999997</v>
      </c>
      <c r="AB66" s="133">
        <v>0.72</v>
      </c>
      <c r="AC66" s="121">
        <v>34.299999999999997</v>
      </c>
      <c r="AD66" s="134">
        <v>1.17</v>
      </c>
      <c r="AE66" s="124">
        <v>139.69999999999999</v>
      </c>
      <c r="AF66" s="128">
        <v>7.72</v>
      </c>
      <c r="AG66" s="128">
        <v>1928</v>
      </c>
      <c r="AH66" s="127">
        <v>2600</v>
      </c>
      <c r="AI66" s="127">
        <v>2600</v>
      </c>
      <c r="AJ66" s="135"/>
      <c r="AK66" s="128"/>
      <c r="AL66" s="131"/>
      <c r="AM66" s="124" t="s">
        <v>232</v>
      </c>
      <c r="AN66" s="136" t="s">
        <v>466</v>
      </c>
      <c r="AO66" s="137">
        <v>50.44</v>
      </c>
      <c r="AP66" s="128">
        <v>1954</v>
      </c>
      <c r="AQ66" s="128">
        <v>94.5</v>
      </c>
      <c r="AR66" s="128" t="s">
        <v>467</v>
      </c>
      <c r="AS66" s="128">
        <v>102</v>
      </c>
      <c r="AT66" s="122">
        <v>6.5</v>
      </c>
      <c r="AU66" s="124" t="s">
        <v>250</v>
      </c>
      <c r="AV66" s="115">
        <f>VLOOKUP(J66,'[63]ТР нефть'!$J$28:$BP$638,39,0)</f>
        <v>670</v>
      </c>
      <c r="AW66" s="115" t="str">
        <f>VLOOKUP(J66,'[63]ТР нефть'!$J$28:$BP$638,40,0)</f>
        <v>ГК 81 1/8</v>
      </c>
      <c r="AX66" s="115">
        <f>VLOOKUP(J66,'[63]ТР нефть'!$J$28:$BP$638,41,0)</f>
        <v>1210</v>
      </c>
      <c r="AY66" s="115" t="str">
        <f>VLOOKUP(J66,'[63]ТР нефть'!$J$28:$BP$638,42,0)</f>
        <v>ГК 83 5/32</v>
      </c>
      <c r="AZ66" s="115">
        <f>VLOOKUP(J66,'[63]ТР нефть'!$J$28:$BP$638,43,0)</f>
        <v>1460</v>
      </c>
      <c r="BA66" s="115" t="str">
        <f>VLOOKUP(J66,'[63]ТР нефть'!$J$28:$BP$638,44,0)</f>
        <v>ЦКсОК 5/16</v>
      </c>
      <c r="BB66" s="115" t="str">
        <f>VLOOKUP(J66,'[63]ТР нефть'!$J$28:$BP$638,45,0)</f>
        <v>-</v>
      </c>
      <c r="BC66" s="115" t="str">
        <f>VLOOKUP(J66,'[63]ТР нефть'!$J$28:$BP$638,46,0)</f>
        <v>-</v>
      </c>
      <c r="BD66" s="115" t="str">
        <f>VLOOKUP(J66,'[63]ТР нефть'!$J$28:$BP$638,47,0)</f>
        <v>-</v>
      </c>
      <c r="BE66" s="115" t="str">
        <f>VLOOKUP(J66,'[63]ТР нефть'!$J$28:$BP$638,48,0)</f>
        <v>-</v>
      </c>
      <c r="BF66" s="115" t="str">
        <f>VLOOKUP(J66,'[63]ТР нефть'!$J$28:$BP$638,49,0)</f>
        <v>-</v>
      </c>
      <c r="BG66" s="115" t="str">
        <f>VLOOKUP(J66,'[63]ТР нефть'!$J$28:$BP$638,50,0)</f>
        <v>-</v>
      </c>
      <c r="BH66" s="115">
        <f>VLOOKUP(J66,'[63]ТР нефть'!$J$28:$BP$638,51,0)</f>
        <v>1470</v>
      </c>
      <c r="BI66" s="115" t="str">
        <f>VLOOKUP(J66,'[63]ТР нефть'!$J$28:$BP$638,52,0)</f>
        <v>закрыт</v>
      </c>
      <c r="BJ66" s="115" t="str">
        <f>IF(IFERROR(VLOOKUP(J66,'[63]ТР нефть'!$J$28:$BP$638,53,0),"-")=0,"-",IFERROR(VLOOKUP(J66,'[63]ТР нефть'!$J$28:$BP$638,53,0),"-"))</f>
        <v>-</v>
      </c>
      <c r="BK66" s="138" t="str">
        <f>IF(IFERROR(VLOOKUP(J66,'[63]ТР нефть'!$J$28:$BP$638,54,0),"-")=0,"-",IFERROR(VLOOKUP(J66,'[63]ТР нефть'!$J$28:$BP$638,54,0),"-"))</f>
        <v>-</v>
      </c>
      <c r="BL66" s="138" t="str">
        <f>IF(IFERROR(VLOOKUP(J66,'[63]ТР нефть'!$J$28:$BP$638,55,0),"-")=0,"-",IFERROR(VLOOKUP(J66,'[63]ТР нефть'!$J$28:$BP$638,55,0),"-"))</f>
        <v>-</v>
      </c>
      <c r="BM66" s="138" t="str">
        <f>IF(IFERROR(VLOOKUP(J66,'[63]ТР нефть'!$J$28:$BP$638,56,0),"-")=0,"-",IFERROR(VLOOKUP(J66,'[63]ТР нефть'!$J$28:$BP$638,56,0),"-"))</f>
        <v>-</v>
      </c>
      <c r="BN66" s="138" t="str">
        <f>IF(IFERROR(VLOOKUP(J66,'[63]ТР нефть'!$J$28:$BP$638,57,0),"-")=0,"-",IFERROR(VLOOKUP(J66,'[63]ТР нефть'!$J$28:$BP$638,57,0),"-"))</f>
        <v>-</v>
      </c>
      <c r="BO66" s="115" t="str">
        <f>IF(IFERROR(VLOOKUP(J66,'[63]ТР нефть'!$J$28:$BP$638,58,0),"-")=0,"-",IFERROR(VLOOKUP(J66,'[63]ТР нефть'!$J$28:$BP$638,58,0),"-"))</f>
        <v>-</v>
      </c>
      <c r="BP66" s="115" t="str">
        <f>IF(IFERROR(VLOOKUP(J66,'[63]ТР нефть'!$J$28:$BP$638,59,0),"-")=0,"-",IFERROR(VLOOKUP(J66,'[63]ТР нефть'!$J$28:$BP$638,59,0),"-"))</f>
        <v>-</v>
      </c>
      <c r="BQ66" s="138">
        <v>1500</v>
      </c>
      <c r="BR66" s="128">
        <v>1459.44</v>
      </c>
      <c r="BS66" s="115">
        <f t="shared" si="2"/>
        <v>40.559999999999945</v>
      </c>
      <c r="BT66" s="128">
        <v>73</v>
      </c>
      <c r="BU66" s="128">
        <v>5.5</v>
      </c>
      <c r="BV66" s="127">
        <v>18</v>
      </c>
      <c r="BW66" s="127" t="s">
        <v>234</v>
      </c>
      <c r="BX66" s="127" t="s">
        <v>195</v>
      </c>
      <c r="BY66" s="139">
        <v>24</v>
      </c>
      <c r="BZ66" s="139">
        <v>0</v>
      </c>
      <c r="CA66" s="138">
        <v>24</v>
      </c>
      <c r="CB66" s="138">
        <v>30</v>
      </c>
      <c r="CC66" s="138">
        <v>23</v>
      </c>
      <c r="CD66" s="135">
        <v>45017</v>
      </c>
      <c r="CE66" s="138">
        <v>116</v>
      </c>
      <c r="CF66" s="138"/>
      <c r="CG66" s="138" t="str">
        <f t="shared" si="52"/>
        <v/>
      </c>
      <c r="CH66" s="138" t="s">
        <v>197</v>
      </c>
      <c r="CI66" s="127"/>
      <c r="CJ66" s="138"/>
      <c r="CK66" s="138"/>
      <c r="CL66" s="99"/>
      <c r="CM66" s="127"/>
      <c r="CN66" s="154">
        <v>43</v>
      </c>
      <c r="CO66" s="141">
        <f t="shared" si="4"/>
        <v>6.0905943999999996</v>
      </c>
      <c r="CP66" s="142">
        <v>7.3</v>
      </c>
      <c r="CQ66" s="143">
        <v>0.2</v>
      </c>
      <c r="CR66" s="138">
        <v>29.3</v>
      </c>
      <c r="CS66" s="139"/>
      <c r="CT66" s="138"/>
      <c r="CU66" s="138">
        <f t="shared" si="5"/>
        <v>29.3</v>
      </c>
      <c r="CV66" s="115">
        <f t="shared" si="6"/>
        <v>4810.6963090499021</v>
      </c>
      <c r="CW66" s="115" t="str">
        <f t="shared" si="7"/>
        <v/>
      </c>
      <c r="CX66" s="133">
        <f t="shared" si="8"/>
        <v>9.9999999999999992E-2</v>
      </c>
      <c r="CY66" s="116"/>
      <c r="CZ66" s="131"/>
      <c r="DA66" s="145" t="str">
        <f t="shared" si="9"/>
        <v>Фон.</v>
      </c>
      <c r="DB66" s="146">
        <f t="shared" si="10"/>
        <v>6.0905943999999996</v>
      </c>
      <c r="DC66" s="142">
        <f t="shared" si="11"/>
        <v>7.3</v>
      </c>
      <c r="DD66" s="119">
        <f t="shared" si="12"/>
        <v>0.2</v>
      </c>
      <c r="DE66" s="115">
        <f t="shared" si="13"/>
        <v>29.3</v>
      </c>
      <c r="DF66" s="121">
        <f t="shared" si="14"/>
        <v>0</v>
      </c>
      <c r="DG66" s="115">
        <f t="shared" si="15"/>
        <v>4810.6963090499021</v>
      </c>
      <c r="DH66" s="115">
        <f t="shared" si="16"/>
        <v>43</v>
      </c>
      <c r="DI66" s="147"/>
      <c r="DJ66" s="111" t="s">
        <v>197</v>
      </c>
      <c r="DK66" s="112">
        <v>42005</v>
      </c>
      <c r="DL66" s="113">
        <f t="shared" ca="1" si="42"/>
        <v>3099</v>
      </c>
      <c r="DM66" s="114"/>
      <c r="DN66" s="114"/>
      <c r="DO66" s="114"/>
      <c r="DP66" s="114"/>
      <c r="DQ66" s="112">
        <v>42620</v>
      </c>
      <c r="DR66" s="114" t="s">
        <v>468</v>
      </c>
      <c r="DS66" s="114"/>
      <c r="DT66" s="115">
        <v>36</v>
      </c>
      <c r="DU66" s="116">
        <f t="shared" si="43"/>
        <v>9.6276595744680837E-2</v>
      </c>
      <c r="DV66" s="117">
        <f t="shared" si="44"/>
        <v>6.4261007659574458</v>
      </c>
      <c r="DW66" s="118">
        <f t="shared" si="45"/>
        <v>7.702127659574467</v>
      </c>
      <c r="DX66" s="119">
        <f t="shared" si="21"/>
        <v>0.2</v>
      </c>
      <c r="DY66" s="115">
        <f t="shared" si="46"/>
        <v>30.91401923637423</v>
      </c>
      <c r="DZ66" s="117">
        <f t="shared" si="47"/>
        <v>0.33550636595744621</v>
      </c>
      <c r="EA66" s="120">
        <f t="shared" si="47"/>
        <v>0.40212765957446717</v>
      </c>
      <c r="EB66" s="119">
        <f t="shared" si="47"/>
        <v>0</v>
      </c>
      <c r="EC66" s="121">
        <f t="shared" si="48"/>
        <v>1.6140192363742294</v>
      </c>
      <c r="ED66" s="122"/>
      <c r="EE66" s="145">
        <v>18</v>
      </c>
      <c r="EF66" s="115">
        <v>24</v>
      </c>
      <c r="EG66" s="115">
        <v>30</v>
      </c>
      <c r="EH66" s="115">
        <v>23</v>
      </c>
      <c r="EI66" s="128" t="s">
        <v>195</v>
      </c>
      <c r="EJ66" s="121">
        <v>24</v>
      </c>
      <c r="EK66" s="121">
        <v>0</v>
      </c>
      <c r="EL66" s="149">
        <v>6.0905943999999996</v>
      </c>
      <c r="EM66" s="142">
        <v>7.3</v>
      </c>
      <c r="EN66" s="119">
        <v>0.2</v>
      </c>
      <c r="EO66" s="115">
        <v>29.3</v>
      </c>
      <c r="EP66" s="115">
        <v>4810.6963090499021</v>
      </c>
      <c r="EQ66" s="115">
        <v>0</v>
      </c>
      <c r="ER66" s="115">
        <v>0</v>
      </c>
      <c r="ES66" s="115">
        <v>43</v>
      </c>
      <c r="ET66" s="150">
        <v>9.9999999999999992E-2</v>
      </c>
      <c r="EU66" s="145">
        <f t="shared" si="25"/>
        <v>18</v>
      </c>
      <c r="EV66" s="115">
        <f t="shared" si="26"/>
        <v>24</v>
      </c>
      <c r="EW66" s="115">
        <f t="shared" si="26"/>
        <v>30</v>
      </c>
      <c r="EX66" s="115">
        <f t="shared" si="26"/>
        <v>23</v>
      </c>
      <c r="EY66" s="115" t="str">
        <f t="shared" si="53"/>
        <v>Постоянный</v>
      </c>
      <c r="EZ66" s="115">
        <f t="shared" si="53"/>
        <v>24</v>
      </c>
      <c r="FA66" s="115">
        <f t="shared" si="53"/>
        <v>0</v>
      </c>
      <c r="FB66" s="149">
        <f t="shared" si="28"/>
        <v>6.0905943999999996</v>
      </c>
      <c r="FC66" s="142">
        <f t="shared" si="28"/>
        <v>7.3</v>
      </c>
      <c r="FD66" s="119">
        <f t="shared" si="28"/>
        <v>0.2</v>
      </c>
      <c r="FE66" s="121">
        <f t="shared" si="28"/>
        <v>29.3</v>
      </c>
      <c r="FF66" s="121">
        <f t="shared" si="49"/>
        <v>4810.6963090499021</v>
      </c>
      <c r="FG66" s="121">
        <f t="shared" si="30"/>
        <v>0</v>
      </c>
      <c r="FH66" s="121">
        <f t="shared" si="50"/>
        <v>0</v>
      </c>
      <c r="FI66" s="121">
        <f t="shared" si="54"/>
        <v>43</v>
      </c>
      <c r="FJ66" s="144">
        <f t="shared" si="33"/>
        <v>9.9999999999999992E-2</v>
      </c>
      <c r="FK66" s="132">
        <f t="shared" si="34"/>
        <v>0</v>
      </c>
      <c r="FL66" s="115">
        <f t="shared" si="34"/>
        <v>0</v>
      </c>
      <c r="FM66" s="115">
        <f t="shared" si="34"/>
        <v>0</v>
      </c>
      <c r="FN66" s="115">
        <f t="shared" si="34"/>
        <v>0</v>
      </c>
      <c r="FO66" s="115">
        <f t="shared" si="35"/>
        <v>0</v>
      </c>
      <c r="FP66" s="115">
        <f t="shared" si="35"/>
        <v>0</v>
      </c>
      <c r="FQ66" s="149">
        <f t="shared" si="35"/>
        <v>0</v>
      </c>
      <c r="FR66" s="117">
        <f t="shared" si="35"/>
        <v>0</v>
      </c>
      <c r="FS66" s="119">
        <f t="shared" si="35"/>
        <v>0</v>
      </c>
      <c r="FT66" s="121">
        <f t="shared" si="35"/>
        <v>0</v>
      </c>
      <c r="FU66" s="121">
        <f t="shared" si="36"/>
        <v>0</v>
      </c>
      <c r="FV66" s="121">
        <f t="shared" si="36"/>
        <v>0</v>
      </c>
      <c r="FW66" s="121">
        <f t="shared" si="37"/>
        <v>0</v>
      </c>
      <c r="FX66" s="121">
        <f t="shared" si="38"/>
        <v>0</v>
      </c>
      <c r="FY66" s="144">
        <f t="shared" si="38"/>
        <v>0</v>
      </c>
      <c r="FZ66" s="145"/>
      <c r="GA66" s="151" t="s">
        <v>283</v>
      </c>
      <c r="GB66" s="145"/>
      <c r="GC66" s="151" t="s">
        <v>237</v>
      </c>
      <c r="GD66" s="997" t="s">
        <v>238</v>
      </c>
      <c r="GE66" s="1004"/>
      <c r="GF66" s="1004">
        <v>-0.12297560000000018</v>
      </c>
      <c r="GG66" s="1004"/>
      <c r="GH66" s="1004">
        <v>0.76448521600000063</v>
      </c>
      <c r="GI66" s="145"/>
      <c r="GJ66" s="996">
        <v>0</v>
      </c>
      <c r="GK66" s="145"/>
      <c r="GL66" s="996">
        <v>0</v>
      </c>
      <c r="GM66" s="1005"/>
      <c r="GN66" s="996">
        <v>0</v>
      </c>
      <c r="GO66" s="1006"/>
      <c r="GP66" s="996">
        <v>0</v>
      </c>
      <c r="GQ66" s="1006"/>
      <c r="GR66" s="996">
        <v>0</v>
      </c>
      <c r="GS66" s="1006"/>
      <c r="GT66" s="996">
        <v>0.2014709839999993</v>
      </c>
      <c r="GU66" s="1006"/>
      <c r="GV66" s="996">
        <v>1.0676138000000002</v>
      </c>
      <c r="GW66" s="1006"/>
      <c r="GX66" s="997">
        <v>0</v>
      </c>
      <c r="GY66" s="1006"/>
      <c r="GZ66" s="996">
        <v>0</v>
      </c>
      <c r="HA66" s="1006"/>
      <c r="HB66" s="996">
        <v>0</v>
      </c>
      <c r="HC66" s="1006"/>
      <c r="HD66" s="996">
        <v>0</v>
      </c>
      <c r="HE66" s="1006"/>
      <c r="HF66" s="996">
        <v>-0.66880000000000006</v>
      </c>
      <c r="HG66" s="1006" t="s">
        <v>204</v>
      </c>
      <c r="HH66" s="996">
        <v>3.2369919999999999</v>
      </c>
      <c r="HI66" s="1006"/>
      <c r="HJ66" s="996">
        <v>0</v>
      </c>
      <c r="HK66" s="1006" t="s">
        <v>204</v>
      </c>
      <c r="HL66" s="996">
        <v>-4.2326679999999994</v>
      </c>
      <c r="HM66" s="1006"/>
      <c r="HN66" s="996">
        <v>0</v>
      </c>
      <c r="HO66" s="1006"/>
      <c r="HP66" s="996">
        <v>0</v>
      </c>
      <c r="HQ66" s="1006"/>
      <c r="HR66" s="996">
        <v>0.83516399999999891</v>
      </c>
      <c r="HS66" s="1006"/>
      <c r="HT66" s="996">
        <v>0</v>
      </c>
      <c r="HU66" s="1006"/>
      <c r="HV66" s="996">
        <v>0</v>
      </c>
      <c r="HW66" s="1006"/>
      <c r="HX66" s="996">
        <v>0</v>
      </c>
      <c r="HY66" s="1006" t="s">
        <v>204</v>
      </c>
      <c r="HZ66" s="996">
        <v>-1.9208771999999996</v>
      </c>
      <c r="IA66" s="1006"/>
      <c r="IB66" s="996">
        <v>0</v>
      </c>
      <c r="IC66" s="1006"/>
      <c r="ID66" s="996">
        <v>0</v>
      </c>
      <c r="IE66" s="1006"/>
      <c r="IF66" s="996">
        <v>0</v>
      </c>
      <c r="IG66" s="1006" t="s">
        <v>199</v>
      </c>
      <c r="IH66" s="996">
        <v>2.7560411999999994</v>
      </c>
      <c r="II66" s="1006" t="s">
        <v>204</v>
      </c>
      <c r="IJ66" s="996">
        <v>2.5054920000000003</v>
      </c>
      <c r="IK66" s="1006"/>
      <c r="IL66" s="996">
        <v>0</v>
      </c>
      <c r="IM66" s="1006"/>
      <c r="IN66" s="996">
        <v>0</v>
      </c>
      <c r="IO66" s="1006"/>
      <c r="IP66" s="996">
        <v>0</v>
      </c>
      <c r="IQ66" s="1006"/>
      <c r="IR66" s="996">
        <v>0</v>
      </c>
      <c r="IS66" s="1006"/>
      <c r="IT66" s="996">
        <v>0</v>
      </c>
      <c r="IU66" s="1006"/>
      <c r="IV66" s="996">
        <v>0</v>
      </c>
      <c r="IW66" s="1006"/>
      <c r="IX66" s="996">
        <v>0</v>
      </c>
      <c r="IY66" s="1006"/>
      <c r="IZ66" s="996">
        <v>0</v>
      </c>
      <c r="JA66" s="1006"/>
      <c r="JB66" s="996">
        <v>0</v>
      </c>
      <c r="JC66" s="1006"/>
      <c r="JD66" s="996">
        <v>0</v>
      </c>
      <c r="JE66" s="1006"/>
      <c r="JF66" s="996">
        <v>0</v>
      </c>
      <c r="JG66" s="1006"/>
      <c r="JH66" s="996">
        <v>0</v>
      </c>
      <c r="JI66" s="1006"/>
      <c r="JJ66" s="996">
        <v>0</v>
      </c>
      <c r="JK66" s="1007"/>
      <c r="JL66" s="1007">
        <v>0</v>
      </c>
      <c r="JM66" s="1007"/>
      <c r="JN66" s="1007">
        <v>0</v>
      </c>
      <c r="JO66" s="1008"/>
      <c r="JP66" s="1007">
        <v>0</v>
      </c>
      <c r="JQ66" s="1008">
        <v>0</v>
      </c>
      <c r="JR66" s="1007">
        <v>0</v>
      </c>
      <c r="JS66" s="1008" t="s">
        <v>199</v>
      </c>
      <c r="JT66" s="1007">
        <v>-2.8395576</v>
      </c>
      <c r="JU66" s="1008"/>
      <c r="JV66" s="1007">
        <v>0</v>
      </c>
      <c r="JW66" s="1008" t="s">
        <v>197</v>
      </c>
      <c r="JX66" s="1007">
        <v>0</v>
      </c>
      <c r="JY66" s="1008" t="s">
        <v>204</v>
      </c>
      <c r="JZ66" s="1007">
        <v>0.58461480000000066</v>
      </c>
      <c r="KA66" s="1008" t="s">
        <v>204</v>
      </c>
      <c r="KB66" s="1007">
        <v>-4.4263691999999999</v>
      </c>
      <c r="KC66" s="1008"/>
      <c r="KD66" s="1007">
        <v>0</v>
      </c>
      <c r="KE66" s="1008"/>
      <c r="KF66" s="1007">
        <v>0</v>
      </c>
      <c r="KG66" s="1008"/>
      <c r="KH66" s="1007">
        <v>0</v>
      </c>
      <c r="KI66" s="1008"/>
      <c r="KJ66" s="1007">
        <v>0</v>
      </c>
      <c r="KK66" s="1008"/>
      <c r="KL66" s="1007">
        <v>0</v>
      </c>
      <c r="KM66" s="1008"/>
      <c r="KN66" s="1007">
        <v>0</v>
      </c>
      <c r="KO66" s="1008"/>
      <c r="KP66" s="1007">
        <v>0</v>
      </c>
      <c r="KQ66" s="1008">
        <v>0</v>
      </c>
      <c r="KR66" s="1007">
        <v>0</v>
      </c>
      <c r="KS66" s="1008">
        <v>0</v>
      </c>
      <c r="KT66" s="1007">
        <v>0</v>
      </c>
      <c r="KU66" s="1008">
        <v>0</v>
      </c>
      <c r="KV66" s="1007">
        <v>0</v>
      </c>
      <c r="KW66" s="1008" t="s">
        <v>204</v>
      </c>
      <c r="KX66" s="1007">
        <v>5.0109839999999988</v>
      </c>
      <c r="KY66" s="1008">
        <v>0</v>
      </c>
      <c r="KZ66" s="1007">
        <v>0</v>
      </c>
      <c r="LA66" s="1008">
        <v>0</v>
      </c>
      <c r="LB66" s="1007">
        <v>0</v>
      </c>
      <c r="LC66" s="1008">
        <v>0</v>
      </c>
      <c r="LD66" s="1007">
        <v>0</v>
      </c>
      <c r="LE66" s="1008">
        <v>0</v>
      </c>
      <c r="LF66" s="1007">
        <v>0</v>
      </c>
      <c r="LG66" s="1008">
        <v>0</v>
      </c>
      <c r="LH66" s="1007">
        <v>0</v>
      </c>
      <c r="LI66" s="1008">
        <v>0</v>
      </c>
      <c r="LJ66" s="1007">
        <v>0</v>
      </c>
      <c r="LK66" s="1008">
        <v>0</v>
      </c>
      <c r="LL66" s="1007">
        <v>0</v>
      </c>
      <c r="LM66" s="1008" t="s">
        <v>240</v>
      </c>
      <c r="LN66" s="1007">
        <v>1.4197789999999999</v>
      </c>
      <c r="LO66" s="1008">
        <v>0</v>
      </c>
      <c r="LP66" s="1007">
        <v>0</v>
      </c>
      <c r="LQ66" s="1008" t="s">
        <v>223</v>
      </c>
      <c r="LR66" s="1007">
        <v>-2.9568479999999999</v>
      </c>
      <c r="LS66" s="1008">
        <v>0</v>
      </c>
      <c r="LT66" s="1007">
        <v>0.67585680000000004</v>
      </c>
      <c r="LU66" s="1008">
        <v>0</v>
      </c>
      <c r="LV66" s="1007">
        <v>0.83432799999999896</v>
      </c>
      <c r="LW66" s="1008" t="s">
        <v>223</v>
      </c>
      <c r="LX66" s="1007">
        <v>-1.8837647200000001</v>
      </c>
      <c r="LY66" s="1009">
        <v>0</v>
      </c>
      <c r="LZ66" s="1010">
        <v>0.38765487209999999</v>
      </c>
      <c r="MA66" s="1011">
        <v>0</v>
      </c>
      <c r="MB66" s="1012">
        <v>0.46675551999999998</v>
      </c>
      <c r="MC66" s="995"/>
      <c r="MD66" s="996"/>
      <c r="ME66" s="997" t="s">
        <v>238</v>
      </c>
      <c r="MF66" s="997"/>
      <c r="MG66" s="998"/>
      <c r="NR66" s="1000"/>
      <c r="NS66" s="1000"/>
      <c r="NT66" s="1001"/>
      <c r="NU66" s="1000"/>
      <c r="NV66" s="1001"/>
      <c r="NX66" s="1002"/>
      <c r="NZ66" s="1001"/>
      <c r="OA66" s="1001"/>
      <c r="OC66" s="1003"/>
      <c r="OD66" s="1003"/>
      <c r="OE66" s="1001"/>
      <c r="OF66" s="1003"/>
      <c r="OG66" s="1003"/>
      <c r="QX66" s="1000">
        <f t="shared" si="51"/>
        <v>19</v>
      </c>
      <c r="ASU66" s="999" t="s">
        <v>208</v>
      </c>
    </row>
    <row r="67" spans="1:466 1191:1191" ht="21" customHeight="1" x14ac:dyDescent="0.25">
      <c r="A67" s="982" t="str">
        <f t="shared" si="0"/>
        <v>69р</v>
      </c>
      <c r="B67" s="124">
        <f>SUBTOTAL(103,$J$29:J67)</f>
        <v>39</v>
      </c>
      <c r="C67" s="126">
        <v>45068</v>
      </c>
      <c r="D67" s="124" t="s">
        <v>176</v>
      </c>
      <c r="E67" s="127" t="s">
        <v>177</v>
      </c>
      <c r="F67" s="128" t="s">
        <v>177</v>
      </c>
      <c r="G67" s="127" t="s">
        <v>178</v>
      </c>
      <c r="H67" s="127" t="s">
        <v>179</v>
      </c>
      <c r="I67" s="127" t="s">
        <v>180</v>
      </c>
      <c r="J67" s="152" t="s">
        <v>469</v>
      </c>
      <c r="K67" s="127" t="s">
        <v>182</v>
      </c>
      <c r="L67" s="130">
        <v>41455</v>
      </c>
      <c r="M67" s="127" t="s">
        <v>183</v>
      </c>
      <c r="N67" s="127" t="s">
        <v>184</v>
      </c>
      <c r="O67" s="127" t="s">
        <v>185</v>
      </c>
      <c r="P67" s="127" t="s">
        <v>186</v>
      </c>
      <c r="Q67" s="85" t="str">
        <f t="shared" si="40"/>
        <v/>
      </c>
      <c r="R67" s="130"/>
      <c r="S67" s="128" t="s">
        <v>156</v>
      </c>
      <c r="T67" s="131"/>
      <c r="U67" s="132">
        <v>203</v>
      </c>
      <c r="V67" s="121">
        <v>218.2</v>
      </c>
      <c r="W67" s="116">
        <v>0.98</v>
      </c>
      <c r="X67" s="116">
        <v>1.66</v>
      </c>
      <c r="Y67" s="116">
        <f t="shared" si="41"/>
        <v>0.98</v>
      </c>
      <c r="Z67" s="133">
        <v>1.454</v>
      </c>
      <c r="AA67" s="133">
        <v>0.83599999999999997</v>
      </c>
      <c r="AB67" s="133">
        <v>0.72</v>
      </c>
      <c r="AC67" s="121">
        <v>34.299999999999997</v>
      </c>
      <c r="AD67" s="134">
        <v>1.17</v>
      </c>
      <c r="AE67" s="124">
        <v>139.69999999999999</v>
      </c>
      <c r="AF67" s="128">
        <v>7.72</v>
      </c>
      <c r="AG67" s="128">
        <v>2880</v>
      </c>
      <c r="AH67" s="127">
        <v>2268</v>
      </c>
      <c r="AI67" s="127">
        <v>1930</v>
      </c>
      <c r="AJ67" s="135"/>
      <c r="AK67" s="128"/>
      <c r="AL67" s="131"/>
      <c r="AM67" s="124" t="s">
        <v>187</v>
      </c>
      <c r="AN67" s="136" t="s">
        <v>470</v>
      </c>
      <c r="AO67" s="137">
        <v>0.5</v>
      </c>
      <c r="AP67" s="128">
        <v>1787</v>
      </c>
      <c r="AQ67" s="128">
        <v>0.12</v>
      </c>
      <c r="AR67" s="128"/>
      <c r="AS67" s="128"/>
      <c r="AT67" s="122"/>
      <c r="AU67" s="124" t="s">
        <v>189</v>
      </c>
      <c r="AV67" s="115">
        <f>VLOOKUP(J67,'[63]ТР нефть'!$J$28:$BP$638,39,0)</f>
        <v>460.00001513699999</v>
      </c>
      <c r="AW67" s="115" t="str">
        <f>VLOOKUP(J67,'[63]ТР нефть'!$J$28:$BP$638,40,0)</f>
        <v>ГП</v>
      </c>
      <c r="AX67" s="115">
        <f>VLOOKUP(J67,'[63]ТР нефть'!$J$28:$BP$638,41,0)</f>
        <v>830.00001679699994</v>
      </c>
      <c r="AY67" s="115" t="str">
        <f>VLOOKUP(J67,'[63]ТР нефть'!$J$28:$BP$638,42,0)</f>
        <v>ГК 74 1/8</v>
      </c>
      <c r="AZ67" s="115">
        <f>VLOOKUP(J67,'[63]ТР нефть'!$J$28:$BP$638,43,0)</f>
        <v>1130.000012109</v>
      </c>
      <c r="BA67" s="115" t="str">
        <f>VLOOKUP(J67,'[63]ТР нефть'!$J$28:$BP$638,44,0)</f>
        <v>ГК 74 1/8</v>
      </c>
      <c r="BB67" s="115">
        <f>VLOOKUP(J67,'[63]ТР нефть'!$J$28:$BP$638,45,0)</f>
        <v>1380.0000082030001</v>
      </c>
      <c r="BC67" s="115" t="str">
        <f>VLOOKUP(J67,'[63]ТР нефть'!$J$28:$BP$638,46,0)</f>
        <v>ГК 73 1/8</v>
      </c>
      <c r="BD67" s="115">
        <f>VLOOKUP(J67,'[63]ТР нефть'!$J$28:$BP$638,47,0)</f>
        <v>1580.000005078</v>
      </c>
      <c r="BE67" s="115" t="str">
        <f>VLOOKUP(J67,'[63]ТР нефть'!$J$28:$BP$638,48,0)</f>
        <v>ГК 72 1/8</v>
      </c>
      <c r="BF67" s="115">
        <f>VLOOKUP(J67,'[63]ТР нефть'!$J$28:$BP$638,49,0)</f>
        <v>1750</v>
      </c>
      <c r="BG67" s="115" t="str">
        <f>VLOOKUP(J67,'[63]ТР нефть'!$J$28:$BP$638,50,0)</f>
        <v>ЦКсОК 5/16</v>
      </c>
      <c r="BH67" s="115">
        <f>VLOOKUP(J67,'[63]ТР нефть'!$J$28:$BP$638,51,0)</f>
        <v>1765</v>
      </c>
      <c r="BI67" s="115" t="str">
        <f>VLOOKUP(J67,'[63]ТР нефть'!$J$28:$BP$638,52,0)</f>
        <v>закрыт</v>
      </c>
      <c r="BJ67" s="115" t="str">
        <f>IF(IFERROR(VLOOKUP(J67,'[63]ТР нефть'!$J$28:$BP$638,53,0),"-")=0,"-",IFERROR(VLOOKUP(J67,'[63]ТР нефть'!$J$28:$BP$638,53,0),"-"))</f>
        <v>-</v>
      </c>
      <c r="BK67" s="138" t="str">
        <f>IF(IFERROR(VLOOKUP(J67,'[63]ТР нефть'!$J$28:$BP$638,54,0),"-")=0,"-",IFERROR(VLOOKUP(J67,'[63]ТР нефть'!$J$28:$BP$638,54,0),"-"))</f>
        <v>-</v>
      </c>
      <c r="BL67" s="138" t="str">
        <f>IF(IFERROR(VLOOKUP(J67,'[63]ТР нефть'!$J$28:$BP$638,55,0),"-")=0,"-",IFERROR(VLOOKUP(J67,'[63]ТР нефть'!$J$28:$BP$638,55,0),"-"))</f>
        <v>-</v>
      </c>
      <c r="BM67" s="138" t="str">
        <f>IF(IFERROR(VLOOKUP(J67,'[63]ТР нефть'!$J$28:$BP$638,56,0),"-")=0,"-",IFERROR(VLOOKUP(J67,'[63]ТР нефть'!$J$28:$BP$638,56,0),"-"))</f>
        <v>-</v>
      </c>
      <c r="BN67" s="138" t="str">
        <f>IF(IFERROR(VLOOKUP(J67,'[63]ТР нефть'!$J$28:$BP$638,57,0),"-")=0,"-",IFERROR(VLOOKUP(J67,'[63]ТР нефть'!$J$28:$BP$638,57,0),"-"))</f>
        <v>-</v>
      </c>
      <c r="BO67" s="115" t="str">
        <f>IF(IFERROR(VLOOKUP(J67,'[63]ТР нефть'!$J$28:$BP$638,58,0),"-")=0,"-",IFERROR(VLOOKUP(J67,'[63]ТР нефть'!$J$28:$BP$638,58,0),"-"))</f>
        <v>-</v>
      </c>
      <c r="BP67" s="115" t="str">
        <f>IF(IFERROR(VLOOKUP(J67,'[63]ТР нефть'!$J$28:$BP$638,59,0),"-")=0,"-",IFERROR(VLOOKUP(J67,'[63]ТР нефть'!$J$28:$BP$638,59,0),"-"))</f>
        <v>-</v>
      </c>
      <c r="BQ67" s="138">
        <v>1797</v>
      </c>
      <c r="BR67" s="128">
        <v>1755.36</v>
      </c>
      <c r="BS67" s="115">
        <f t="shared" si="2"/>
        <v>41.6400000000001</v>
      </c>
      <c r="BT67" s="128">
        <v>73</v>
      </c>
      <c r="BU67" s="128">
        <v>5.5</v>
      </c>
      <c r="BV67" s="127">
        <v>18</v>
      </c>
      <c r="BW67" s="127" t="s">
        <v>194</v>
      </c>
      <c r="BX67" s="127" t="s">
        <v>218</v>
      </c>
      <c r="BY67" s="139">
        <v>24</v>
      </c>
      <c r="BZ67" s="139">
        <v>24</v>
      </c>
      <c r="CA67" s="80">
        <v>26</v>
      </c>
      <c r="CB67" s="138">
        <v>48</v>
      </c>
      <c r="CC67" s="138">
        <v>25</v>
      </c>
      <c r="CD67" s="135">
        <v>45017</v>
      </c>
      <c r="CE67" s="138">
        <v>99</v>
      </c>
      <c r="CF67" s="138">
        <v>72</v>
      </c>
      <c r="CG67" s="138" t="str">
        <f t="shared" si="52"/>
        <v>В работе</v>
      </c>
      <c r="CH67" s="138" t="s">
        <v>196</v>
      </c>
      <c r="CI67" s="127">
        <v>5</v>
      </c>
      <c r="CJ67" s="138"/>
      <c r="CK67" s="138">
        <f t="shared" ref="CK67:CK118" si="55">CN67-CA67</f>
        <v>22</v>
      </c>
      <c r="CL67" s="99"/>
      <c r="CM67" s="99"/>
      <c r="CN67" s="140">
        <v>48</v>
      </c>
      <c r="CO67" s="141">
        <f t="shared" si="4"/>
        <v>3.8455999999999997</v>
      </c>
      <c r="CP67" s="142">
        <f>9.2/2</f>
        <v>4.5999999999999996</v>
      </c>
      <c r="CQ67" s="143">
        <v>0</v>
      </c>
      <c r="CR67" s="138">
        <v>7.5</v>
      </c>
      <c r="CS67" s="139">
        <v>3.3</v>
      </c>
      <c r="CT67" s="138"/>
      <c r="CU67" s="138">
        <f t="shared" si="5"/>
        <v>4.2</v>
      </c>
      <c r="CV67" s="115">
        <f t="shared" si="6"/>
        <v>1092.1572706469733</v>
      </c>
      <c r="CW67" s="115">
        <f t="shared" si="7"/>
        <v>858.12356979405035</v>
      </c>
      <c r="CX67" s="133">
        <f t="shared" si="8"/>
        <v>9.0196078431372548E-2</v>
      </c>
      <c r="CY67" s="116"/>
      <c r="CZ67" s="131"/>
      <c r="DA67" s="145" t="str">
        <f t="shared" si="9"/>
        <v>Газлифт</v>
      </c>
      <c r="DB67" s="146">
        <f t="shared" si="10"/>
        <v>3.8455999999999997</v>
      </c>
      <c r="DC67" s="142">
        <f t="shared" si="11"/>
        <v>4.5999999999999996</v>
      </c>
      <c r="DD67" s="119">
        <f t="shared" si="12"/>
        <v>0</v>
      </c>
      <c r="DE67" s="115">
        <f t="shared" si="13"/>
        <v>4.2</v>
      </c>
      <c r="DF67" s="121">
        <f t="shared" si="14"/>
        <v>3.3</v>
      </c>
      <c r="DG67" s="115">
        <f t="shared" si="15"/>
        <v>1092.1572706469733</v>
      </c>
      <c r="DH67" s="115">
        <f t="shared" si="16"/>
        <v>48</v>
      </c>
      <c r="DI67" s="147"/>
      <c r="DJ67" s="111" t="s">
        <v>197</v>
      </c>
      <c r="DK67" s="112">
        <v>42691</v>
      </c>
      <c r="DL67" s="113">
        <f t="shared" ca="1" si="42"/>
        <v>2413</v>
      </c>
      <c r="DM67" s="114"/>
      <c r="DN67" s="114"/>
      <c r="DO67" s="114"/>
      <c r="DP67" s="114"/>
      <c r="DQ67" s="112">
        <v>42656</v>
      </c>
      <c r="DR67" s="114" t="s">
        <v>198</v>
      </c>
      <c r="DS67" s="114"/>
      <c r="DT67" s="115">
        <v>48</v>
      </c>
      <c r="DU67" s="116">
        <f t="shared" si="43"/>
        <v>9.0196078431372548E-2</v>
      </c>
      <c r="DV67" s="117">
        <f t="shared" si="44"/>
        <v>3.8455999999999997</v>
      </c>
      <c r="DW67" s="118">
        <f t="shared" si="45"/>
        <v>4.5999999999999996</v>
      </c>
      <c r="DX67" s="119">
        <f t="shared" si="21"/>
        <v>0</v>
      </c>
      <c r="DY67" s="115">
        <f t="shared" si="46"/>
        <v>4.2</v>
      </c>
      <c r="DZ67" s="117">
        <f t="shared" si="47"/>
        <v>0</v>
      </c>
      <c r="EA67" s="120">
        <f t="shared" si="47"/>
        <v>0</v>
      </c>
      <c r="EB67" s="119">
        <f t="shared" si="47"/>
        <v>0</v>
      </c>
      <c r="EC67" s="121">
        <f t="shared" si="48"/>
        <v>0</v>
      </c>
      <c r="ED67" s="122"/>
      <c r="EE67" s="145">
        <v>18</v>
      </c>
      <c r="EF67" s="148">
        <v>26</v>
      </c>
      <c r="EG67" s="115">
        <v>52</v>
      </c>
      <c r="EH67" s="115">
        <v>25</v>
      </c>
      <c r="EI67" s="128" t="s">
        <v>218</v>
      </c>
      <c r="EJ67" s="121">
        <v>24</v>
      </c>
      <c r="EK67" s="121">
        <v>24</v>
      </c>
      <c r="EL67" s="171">
        <v>3.0513999999999997</v>
      </c>
      <c r="EM67" s="172">
        <v>3.65</v>
      </c>
      <c r="EN67" s="119">
        <v>0</v>
      </c>
      <c r="EO67" s="115">
        <v>7.2</v>
      </c>
      <c r="EP67" s="115">
        <v>1474.7329094841714</v>
      </c>
      <c r="EQ67" s="115">
        <v>72</v>
      </c>
      <c r="ER67" s="115">
        <v>2.7</v>
      </c>
      <c r="ES67" s="115">
        <v>51</v>
      </c>
      <c r="ET67" s="150">
        <v>7.604166666666666E-2</v>
      </c>
      <c r="EU67" s="145">
        <f t="shared" si="25"/>
        <v>18</v>
      </c>
      <c r="EV67" s="115">
        <f t="shared" si="26"/>
        <v>26</v>
      </c>
      <c r="EW67" s="115">
        <f t="shared" si="26"/>
        <v>48</v>
      </c>
      <c r="EX67" s="115">
        <f t="shared" si="26"/>
        <v>25</v>
      </c>
      <c r="EY67" s="115" t="str">
        <f t="shared" si="53"/>
        <v>Периодический</v>
      </c>
      <c r="EZ67" s="115">
        <f t="shared" si="53"/>
        <v>24</v>
      </c>
      <c r="FA67" s="115">
        <f t="shared" si="53"/>
        <v>24</v>
      </c>
      <c r="FB67" s="149">
        <f t="shared" si="28"/>
        <v>3.8455999999999997</v>
      </c>
      <c r="FC67" s="142">
        <f t="shared" si="28"/>
        <v>4.5999999999999996</v>
      </c>
      <c r="FD67" s="119">
        <f t="shared" si="28"/>
        <v>0</v>
      </c>
      <c r="FE67" s="121">
        <f t="shared" si="28"/>
        <v>7.5</v>
      </c>
      <c r="FF67" s="121">
        <f t="shared" si="49"/>
        <v>1092.1572706469733</v>
      </c>
      <c r="FG67" s="121">
        <f t="shared" si="30"/>
        <v>72</v>
      </c>
      <c r="FH67" s="121">
        <f t="shared" si="50"/>
        <v>3.3</v>
      </c>
      <c r="FI67" s="121">
        <f t="shared" si="54"/>
        <v>48</v>
      </c>
      <c r="FJ67" s="144">
        <f t="shared" si="33"/>
        <v>9.0196078431372548E-2</v>
      </c>
      <c r="FK67" s="132">
        <f t="shared" si="34"/>
        <v>0</v>
      </c>
      <c r="FL67" s="115">
        <f t="shared" si="34"/>
        <v>0</v>
      </c>
      <c r="FM67" s="115">
        <f t="shared" si="34"/>
        <v>-4</v>
      </c>
      <c r="FN67" s="115">
        <f t="shared" si="34"/>
        <v>0</v>
      </c>
      <c r="FO67" s="115">
        <f t="shared" si="35"/>
        <v>0</v>
      </c>
      <c r="FP67" s="115">
        <f t="shared" si="35"/>
        <v>0</v>
      </c>
      <c r="FQ67" s="149">
        <f t="shared" si="35"/>
        <v>0.79420000000000002</v>
      </c>
      <c r="FR67" s="142">
        <f t="shared" si="35"/>
        <v>0.94999999999999973</v>
      </c>
      <c r="FS67" s="119">
        <f t="shared" si="35"/>
        <v>0</v>
      </c>
      <c r="FT67" s="121">
        <f t="shared" si="35"/>
        <v>0.29999999999999982</v>
      </c>
      <c r="FU67" s="121">
        <f t="shared" si="36"/>
        <v>0</v>
      </c>
      <c r="FV67" s="121">
        <f t="shared" si="36"/>
        <v>0.59999999999999964</v>
      </c>
      <c r="FW67" s="121">
        <f t="shared" si="37"/>
        <v>-382.57563883719808</v>
      </c>
      <c r="FX67" s="121">
        <f t="shared" si="38"/>
        <v>-3</v>
      </c>
      <c r="FY67" s="144">
        <f t="shared" si="38"/>
        <v>1.4154411764705888E-2</v>
      </c>
      <c r="FZ67" s="145"/>
      <c r="GA67" s="125"/>
      <c r="GB67" s="145"/>
      <c r="GC67" s="125"/>
      <c r="GD67" s="997" t="s">
        <v>202</v>
      </c>
      <c r="GE67" s="1004"/>
      <c r="GF67" s="1004">
        <v>0.12539999999999996</v>
      </c>
      <c r="GG67" s="1004"/>
      <c r="GH67" s="1004">
        <v>0</v>
      </c>
      <c r="GI67" s="145"/>
      <c r="GJ67" s="996">
        <v>0</v>
      </c>
      <c r="GK67" s="145"/>
      <c r="GL67" s="996">
        <v>0</v>
      </c>
      <c r="GM67" s="1005"/>
      <c r="GN67" s="996">
        <v>0</v>
      </c>
      <c r="GO67" s="1006"/>
      <c r="GP67" s="996">
        <v>-0.29260000000000019</v>
      </c>
      <c r="GQ67" s="1006"/>
      <c r="GR67" s="996">
        <v>0.7105999999999999</v>
      </c>
      <c r="GS67" s="1006"/>
      <c r="GT67" s="996">
        <v>0</v>
      </c>
      <c r="GU67" s="1006"/>
      <c r="GV67" s="996">
        <v>0</v>
      </c>
      <c r="GW67" s="1006"/>
      <c r="GX67" s="996">
        <v>0</v>
      </c>
      <c r="GY67" s="1006" t="s">
        <v>199</v>
      </c>
      <c r="GZ67" s="996">
        <v>-1.9558219999999995</v>
      </c>
      <c r="HA67" s="1006"/>
      <c r="HB67" s="996">
        <v>0.14170199999999955</v>
      </c>
      <c r="HC67" s="1006" t="s">
        <v>223</v>
      </c>
      <c r="HD67" s="996">
        <v>-1.63856</v>
      </c>
      <c r="HE67" s="1006"/>
      <c r="HF67" s="996">
        <v>0.43471999999999955</v>
      </c>
      <c r="HG67" s="1006"/>
      <c r="HH67" s="996">
        <v>0</v>
      </c>
      <c r="HI67" s="1006"/>
      <c r="HJ67" s="996">
        <v>0</v>
      </c>
      <c r="HK67" s="1006"/>
      <c r="HL67" s="996">
        <v>0</v>
      </c>
      <c r="HM67" s="1006"/>
      <c r="HN67" s="996">
        <v>0</v>
      </c>
      <c r="HO67" s="1006"/>
      <c r="HP67" s="996">
        <v>0</v>
      </c>
      <c r="HQ67" s="1006"/>
      <c r="HR67" s="996">
        <v>0</v>
      </c>
      <c r="HS67" s="1006"/>
      <c r="HT67" s="996">
        <v>0</v>
      </c>
      <c r="HU67" s="1006"/>
      <c r="HV67" s="996">
        <v>0.20385860000000022</v>
      </c>
      <c r="HW67" s="1006"/>
      <c r="HX67" s="996">
        <v>0</v>
      </c>
      <c r="HY67" s="1006" t="s">
        <v>221</v>
      </c>
      <c r="HZ67" s="996">
        <v>-1.2237785999999993</v>
      </c>
      <c r="IA67" s="1006"/>
      <c r="IB67" s="996">
        <v>0</v>
      </c>
      <c r="IC67" s="1006" t="s">
        <v>221</v>
      </c>
      <c r="ID67" s="996">
        <v>1.2790799999999996</v>
      </c>
      <c r="IE67" s="1006"/>
      <c r="IF67" s="996">
        <v>0</v>
      </c>
      <c r="IG67" s="1006"/>
      <c r="IH67" s="996">
        <v>0</v>
      </c>
      <c r="II67" s="1006"/>
      <c r="IJ67" s="996">
        <v>0.33439999999999959</v>
      </c>
      <c r="IK67" s="1006"/>
      <c r="IL67" s="996">
        <v>0</v>
      </c>
      <c r="IM67" s="1006"/>
      <c r="IN67" s="996">
        <v>-0.5851999999999995</v>
      </c>
      <c r="IO67" s="1006"/>
      <c r="IP67" s="996">
        <v>-0.36616800000000005</v>
      </c>
      <c r="IQ67" s="1006" t="s">
        <v>199</v>
      </c>
      <c r="IR67" s="996">
        <v>-1.4400936</v>
      </c>
      <c r="IS67" s="1006" t="s">
        <v>25</v>
      </c>
      <c r="IT67" s="996">
        <v>0.44358159999999991</v>
      </c>
      <c r="IU67" s="1006" t="s">
        <v>204</v>
      </c>
      <c r="IV67" s="996">
        <v>2.3658799999999998</v>
      </c>
      <c r="IW67" s="1006"/>
      <c r="IX67" s="996">
        <v>0</v>
      </c>
      <c r="IY67" s="1006"/>
      <c r="IZ67" s="996">
        <v>0</v>
      </c>
      <c r="JA67" s="1006"/>
      <c r="JB67" s="996">
        <v>0</v>
      </c>
      <c r="JC67" s="1006"/>
      <c r="JD67" s="996">
        <v>0</v>
      </c>
      <c r="JE67" s="1006" t="s">
        <v>204</v>
      </c>
      <c r="JF67" s="996">
        <v>-1.3375999999999992</v>
      </c>
      <c r="JG67" s="1006" t="s">
        <v>204</v>
      </c>
      <c r="JH67" s="996">
        <v>2.9845199999999994</v>
      </c>
      <c r="JI67" s="1006"/>
      <c r="JJ67" s="996">
        <v>0</v>
      </c>
      <c r="JK67" s="1007"/>
      <c r="JL67" s="1007">
        <v>0</v>
      </c>
      <c r="JM67" s="1007"/>
      <c r="JN67" s="1007">
        <v>0</v>
      </c>
      <c r="JO67" s="1008" t="s">
        <v>199</v>
      </c>
      <c r="JP67" s="1007">
        <v>-3.8205199999999997</v>
      </c>
      <c r="JQ67" s="1008" t="s">
        <v>199</v>
      </c>
      <c r="JR67" s="1007">
        <v>1.6719999999999997</v>
      </c>
      <c r="JS67" s="1008" t="s">
        <v>199</v>
      </c>
      <c r="JT67" s="1007">
        <v>-2.508</v>
      </c>
      <c r="JU67" s="1008"/>
      <c r="JV67" s="1007">
        <v>0</v>
      </c>
      <c r="JW67" s="1008" t="s">
        <v>206</v>
      </c>
      <c r="JX67" s="1007">
        <v>-1.6719999999999997</v>
      </c>
      <c r="JY67" s="1008"/>
      <c r="JZ67" s="1007">
        <v>0</v>
      </c>
      <c r="KA67" s="1008" t="s">
        <v>204</v>
      </c>
      <c r="KB67" s="1007">
        <v>0.8360000000000003</v>
      </c>
      <c r="KC67" s="1008"/>
      <c r="KD67" s="1007">
        <v>0</v>
      </c>
      <c r="KE67" s="1008" t="s">
        <v>204</v>
      </c>
      <c r="KF67" s="1007">
        <v>0.83599999999999941</v>
      </c>
      <c r="KG67" s="1008" t="s">
        <v>314</v>
      </c>
      <c r="KH67" s="1007">
        <v>-2.508</v>
      </c>
      <c r="KI67" s="1008" t="s">
        <v>206</v>
      </c>
      <c r="KJ67" s="1007">
        <v>2.508</v>
      </c>
      <c r="KK67" s="1008"/>
      <c r="KL67" s="1007">
        <v>0</v>
      </c>
      <c r="KM67" s="1008" t="s">
        <v>314</v>
      </c>
      <c r="KN67" s="1007">
        <v>-4.1799999999999988</v>
      </c>
      <c r="KO67" s="1008" t="s">
        <v>314</v>
      </c>
      <c r="KP67" s="1007">
        <v>0</v>
      </c>
      <c r="KQ67" s="1008" t="s">
        <v>314</v>
      </c>
      <c r="KR67" s="1007">
        <v>-5.016</v>
      </c>
      <c r="KS67" s="1008">
        <v>0</v>
      </c>
      <c r="KT67" s="1007">
        <v>0</v>
      </c>
      <c r="KU67" s="1008" t="s">
        <v>260</v>
      </c>
      <c r="KV67" s="1007">
        <v>16.72</v>
      </c>
      <c r="KW67" s="1008">
        <v>0</v>
      </c>
      <c r="KX67" s="1007">
        <v>0</v>
      </c>
      <c r="KY67" s="1008">
        <v>0</v>
      </c>
      <c r="KZ67" s="1007">
        <v>0</v>
      </c>
      <c r="LA67" s="1008">
        <v>0</v>
      </c>
      <c r="LB67" s="1007">
        <v>0</v>
      </c>
      <c r="LC67" s="1008">
        <v>0</v>
      </c>
      <c r="LD67" s="1007">
        <v>0</v>
      </c>
      <c r="LE67" s="1008">
        <v>0</v>
      </c>
      <c r="LF67" s="1007">
        <v>0</v>
      </c>
      <c r="LG67" s="1008">
        <v>0</v>
      </c>
      <c r="LH67" s="1007">
        <v>-2.7568688400000001</v>
      </c>
      <c r="LI67" s="1008">
        <v>0</v>
      </c>
      <c r="LJ67" s="1007">
        <v>0</v>
      </c>
      <c r="LK67" s="1008">
        <v>0</v>
      </c>
      <c r="LL67" s="1007">
        <v>0</v>
      </c>
      <c r="LM67" s="1008" t="s">
        <v>206</v>
      </c>
      <c r="LN67" s="1007">
        <v>-0.71314999999999995</v>
      </c>
      <c r="LO67" s="1008">
        <v>0</v>
      </c>
      <c r="LP67" s="1007">
        <v>0</v>
      </c>
      <c r="LQ67" s="1008">
        <v>0</v>
      </c>
      <c r="LR67" s="1007">
        <v>0</v>
      </c>
      <c r="LS67" s="1008">
        <v>0</v>
      </c>
      <c r="LT67" s="1007">
        <v>0.34337864000000001</v>
      </c>
      <c r="LU67" s="1008">
        <v>0</v>
      </c>
      <c r="LV67" s="1007">
        <v>0.59425471600000002</v>
      </c>
      <c r="LW67" s="1008">
        <v>0</v>
      </c>
      <c r="LX67" s="1007">
        <v>-1.2626823599999999</v>
      </c>
      <c r="LY67" s="1009">
        <v>0</v>
      </c>
      <c r="LZ67" s="996">
        <v>0.58446319999999996</v>
      </c>
      <c r="MA67" s="1011" t="s">
        <v>207</v>
      </c>
      <c r="MB67" s="1012">
        <v>-1.2663728000000001</v>
      </c>
      <c r="MC67" s="995"/>
      <c r="MD67" s="996"/>
      <c r="ME67" s="997" t="s">
        <v>202</v>
      </c>
      <c r="MF67" s="997"/>
      <c r="MG67" s="998"/>
      <c r="NR67" s="1000"/>
      <c r="NS67" s="1000"/>
      <c r="NT67" s="1001"/>
      <c r="NU67" s="1000"/>
      <c r="NV67" s="1001"/>
      <c r="NX67" s="1002"/>
      <c r="NZ67" s="1001"/>
      <c r="OA67" s="1001"/>
      <c r="OC67" s="1003"/>
      <c r="OD67" s="1003"/>
      <c r="OE67" s="1001"/>
      <c r="OF67" s="1003"/>
      <c r="OG67" s="1003"/>
      <c r="QX67" s="1000">
        <f t="shared" si="51"/>
        <v>22</v>
      </c>
      <c r="ASU67" s="999" t="s">
        <v>208</v>
      </c>
    </row>
    <row r="68" spans="1:466 1191:1191" ht="21" customHeight="1" x14ac:dyDescent="0.25">
      <c r="A68" s="982" t="str">
        <f t="shared" si="0"/>
        <v>70-2</v>
      </c>
      <c r="B68" s="124">
        <f>SUBTOTAL(103,$J$29:J68)</f>
        <v>40</v>
      </c>
      <c r="C68" s="126">
        <v>45096</v>
      </c>
      <c r="D68" s="124" t="s">
        <v>176</v>
      </c>
      <c r="E68" s="127" t="s">
        <v>177</v>
      </c>
      <c r="F68" s="128" t="s">
        <v>177</v>
      </c>
      <c r="G68" s="127" t="s">
        <v>178</v>
      </c>
      <c r="H68" s="127" t="s">
        <v>408</v>
      </c>
      <c r="I68" s="127" t="s">
        <v>456</v>
      </c>
      <c r="J68" s="152" t="s">
        <v>471</v>
      </c>
      <c r="K68" s="127" t="s">
        <v>472</v>
      </c>
      <c r="L68" s="130">
        <v>37950</v>
      </c>
      <c r="M68" s="127" t="s">
        <v>230</v>
      </c>
      <c r="N68" s="127" t="s">
        <v>465</v>
      </c>
      <c r="O68" s="127" t="s">
        <v>185</v>
      </c>
      <c r="P68" s="127" t="s">
        <v>315</v>
      </c>
      <c r="Q68" s="85" t="str">
        <f t="shared" si="40"/>
        <v/>
      </c>
      <c r="R68" s="130"/>
      <c r="S68" s="128"/>
      <c r="T68" s="131"/>
      <c r="U68" s="132">
        <v>203</v>
      </c>
      <c r="V68" s="121">
        <v>218.2</v>
      </c>
      <c r="W68" s="116">
        <v>0.98</v>
      </c>
      <c r="X68" s="116">
        <v>1.66</v>
      </c>
      <c r="Y68" s="116">
        <f t="shared" si="41"/>
        <v>0.98</v>
      </c>
      <c r="Z68" s="133">
        <v>1.454</v>
      </c>
      <c r="AA68" s="133">
        <v>0.83599999999999997</v>
      </c>
      <c r="AB68" s="133">
        <v>0.72</v>
      </c>
      <c r="AC68" s="121">
        <v>34.299999999999997</v>
      </c>
      <c r="AD68" s="134">
        <v>1.17</v>
      </c>
      <c r="AE68" s="124" t="s">
        <v>287</v>
      </c>
      <c r="AF68" s="128">
        <v>7.72</v>
      </c>
      <c r="AG68" s="128">
        <v>1985</v>
      </c>
      <c r="AH68" s="127" t="s">
        <v>473</v>
      </c>
      <c r="AI68" s="127" t="s">
        <v>473</v>
      </c>
      <c r="AJ68" s="135"/>
      <c r="AK68" s="128"/>
      <c r="AL68" s="131"/>
      <c r="AM68" s="124" t="s">
        <v>232</v>
      </c>
      <c r="AN68" s="136" t="s">
        <v>474</v>
      </c>
      <c r="AO68" s="137">
        <v>0.90000000000009095</v>
      </c>
      <c r="AP68" s="128">
        <v>1952</v>
      </c>
      <c r="AQ68" s="128">
        <v>79.400000000000006</v>
      </c>
      <c r="AR68" s="128" t="s">
        <v>475</v>
      </c>
      <c r="AS68" s="128">
        <v>114</v>
      </c>
      <c r="AT68" s="122">
        <v>6.5</v>
      </c>
      <c r="AU68" s="124" t="s">
        <v>250</v>
      </c>
      <c r="AV68" s="115">
        <f>VLOOKUP(J68,'[63]ТР нефть'!$J$28:$BP$638,39,0)</f>
        <v>447</v>
      </c>
      <c r="AW68" s="115" t="str">
        <f>VLOOKUP(J68,'[63]ТР нефть'!$J$28:$BP$638,40,0)</f>
        <v>ГК 79 1/8</v>
      </c>
      <c r="AX68" s="115">
        <f>VLOOKUP(J68,'[63]ТР нефть'!$J$28:$BP$638,41,0)</f>
        <v>843</v>
      </c>
      <c r="AY68" s="115" t="str">
        <f>VLOOKUP(J68,'[63]ТР нефть'!$J$28:$BP$638,42,0)</f>
        <v>ГК 79 1/8</v>
      </c>
      <c r="AZ68" s="115">
        <f>VLOOKUP(J68,'[63]ТР нефть'!$J$28:$BP$638,43,0)</f>
        <v>1186</v>
      </c>
      <c r="BA68" s="115" t="str">
        <f>VLOOKUP(J68,'[63]ТР нефть'!$J$28:$BP$638,44,0)</f>
        <v>ГК 79 1/8</v>
      </c>
      <c r="BB68" s="115">
        <f>VLOOKUP(J68,'[63]ТР нефть'!$J$28:$BP$638,45,0)</f>
        <v>1460</v>
      </c>
      <c r="BC68" s="115" t="str">
        <f>VLOOKUP(J68,'[63]ТР нефть'!$J$28:$BP$638,46,0)</f>
        <v>ГК 78 1/8</v>
      </c>
      <c r="BD68" s="115" t="str">
        <f>VLOOKUP(J68,'[63]ТР нефть'!$J$28:$BP$638,47,0)</f>
        <v>-</v>
      </c>
      <c r="BE68" s="115" t="str">
        <f>VLOOKUP(J68,'[63]ТР нефть'!$J$28:$BP$638,48,0)</f>
        <v>-</v>
      </c>
      <c r="BF68" s="115" t="str">
        <f>VLOOKUP(J68,'[63]ТР нефть'!$J$28:$BP$638,49,0)</f>
        <v>-</v>
      </c>
      <c r="BG68" s="115" t="str">
        <f>VLOOKUP(J68,'[63]ТР нефть'!$J$28:$BP$638,50,0)</f>
        <v>-</v>
      </c>
      <c r="BH68" s="115">
        <f>VLOOKUP(J68,'[63]ТР нефть'!$J$28:$BP$638,51,0)</f>
        <v>1470</v>
      </c>
      <c r="BI68" s="115" t="str">
        <f>VLOOKUP(J68,'[63]ТР нефть'!$J$28:$BP$638,52,0)</f>
        <v>закрыт</v>
      </c>
      <c r="BJ68" s="115" t="str">
        <f>IF(IFERROR(VLOOKUP(J68,'[63]ТР нефть'!$J$28:$BP$638,53,0),"-")=0,"-",IFERROR(VLOOKUP(J68,'[63]ТР нефть'!$J$28:$BP$638,53,0),"-"))</f>
        <v>-</v>
      </c>
      <c r="BK68" s="138" t="str">
        <f>IF(IFERROR(VLOOKUP(J68,'[63]ТР нефть'!$J$28:$BP$638,54,0),"-")=0,"-",IFERROR(VLOOKUP(J68,'[63]ТР нефть'!$J$28:$BP$638,54,0),"-"))</f>
        <v>-</v>
      </c>
      <c r="BL68" s="138" t="str">
        <f>IF(IFERROR(VLOOKUP(J68,'[63]ТР нефть'!$J$28:$BP$638,55,0),"-")=0,"-",IFERROR(VLOOKUP(J68,'[63]ТР нефть'!$J$28:$BP$638,55,0),"-"))</f>
        <v>-</v>
      </c>
      <c r="BM68" s="138" t="str">
        <f>IF(IFERROR(VLOOKUP(J68,'[63]ТР нефть'!$J$28:$BP$638,56,0),"-")=0,"-",IFERROR(VLOOKUP(J68,'[63]ТР нефть'!$J$28:$BP$638,56,0),"-"))</f>
        <v>-</v>
      </c>
      <c r="BN68" s="138" t="str">
        <f>IF(IFERROR(VLOOKUP(J68,'[63]ТР нефть'!$J$28:$BP$638,57,0),"-")=0,"-",IFERROR(VLOOKUP(J68,'[63]ТР нефть'!$J$28:$BP$638,57,0),"-"))</f>
        <v>-</v>
      </c>
      <c r="BO68" s="115" t="str">
        <f>IF(IFERROR(VLOOKUP(J68,'[63]ТР нефть'!$J$28:$BP$638,58,0),"-")=0,"-",IFERROR(VLOOKUP(J68,'[63]ТР нефть'!$J$28:$BP$638,58,0),"-"))</f>
        <v>-</v>
      </c>
      <c r="BP68" s="115" t="str">
        <f>IF(IFERROR(VLOOKUP(J68,'[63]ТР нефть'!$J$28:$BP$638,59,0),"-")=0,"-",IFERROR(VLOOKUP(J68,'[63]ТР нефть'!$J$28:$BP$638,59,0),"-"))</f>
        <v>-</v>
      </c>
      <c r="BQ68" s="138">
        <v>1590</v>
      </c>
      <c r="BR68" s="128">
        <v>1585.94</v>
      </c>
      <c r="BS68" s="115">
        <f t="shared" si="2"/>
        <v>4.0599999999999454</v>
      </c>
      <c r="BT68" s="128">
        <v>73</v>
      </c>
      <c r="BU68" s="128">
        <v>5.5</v>
      </c>
      <c r="BV68" s="127">
        <v>18</v>
      </c>
      <c r="BW68" s="127" t="s">
        <v>234</v>
      </c>
      <c r="BX68" s="127" t="s">
        <v>195</v>
      </c>
      <c r="BY68" s="139">
        <v>24</v>
      </c>
      <c r="BZ68" s="139">
        <v>0</v>
      </c>
      <c r="CA68" s="80">
        <v>54</v>
      </c>
      <c r="CB68" s="138">
        <v>60</v>
      </c>
      <c r="CC68" s="138">
        <v>53</v>
      </c>
      <c r="CD68" s="135">
        <v>45017</v>
      </c>
      <c r="CE68" s="138">
        <v>123.4</v>
      </c>
      <c r="CF68" s="138"/>
      <c r="CG68" s="138" t="str">
        <f t="shared" si="52"/>
        <v/>
      </c>
      <c r="CH68" s="138"/>
      <c r="CI68" s="127"/>
      <c r="CJ68" s="138"/>
      <c r="CK68" s="138"/>
      <c r="CL68" s="99"/>
      <c r="CM68" s="127"/>
      <c r="CN68" s="154">
        <v>77</v>
      </c>
      <c r="CO68" s="141">
        <f t="shared" si="4"/>
        <v>7.1895999999999995</v>
      </c>
      <c r="CP68" s="142">
        <v>8.6</v>
      </c>
      <c r="CQ68" s="143">
        <v>0</v>
      </c>
      <c r="CR68" s="1018">
        <v>75</v>
      </c>
      <c r="CS68" s="139"/>
      <c r="CT68" s="138"/>
      <c r="CU68" s="138">
        <f t="shared" si="5"/>
        <v>75</v>
      </c>
      <c r="CV68" s="115">
        <f t="shared" si="6"/>
        <v>10431.734727940358</v>
      </c>
      <c r="CW68" s="115" t="str">
        <f t="shared" si="7"/>
        <v/>
      </c>
      <c r="CX68" s="133">
        <f t="shared" si="8"/>
        <v>0.18534482758620688</v>
      </c>
      <c r="CY68" s="116"/>
      <c r="CZ68" s="131"/>
      <c r="DA68" s="145" t="str">
        <f t="shared" si="9"/>
        <v>Фон.</v>
      </c>
      <c r="DB68" s="146">
        <f t="shared" si="10"/>
        <v>7.1895999999999995</v>
      </c>
      <c r="DC68" s="142">
        <f t="shared" si="11"/>
        <v>8.6</v>
      </c>
      <c r="DD68" s="119">
        <f t="shared" si="12"/>
        <v>0</v>
      </c>
      <c r="DE68" s="115">
        <f t="shared" si="13"/>
        <v>75</v>
      </c>
      <c r="DF68" s="121">
        <f t="shared" si="14"/>
        <v>0</v>
      </c>
      <c r="DG68" s="115">
        <f t="shared" si="15"/>
        <v>10431.734727940358</v>
      </c>
      <c r="DH68" s="115">
        <f t="shared" si="16"/>
        <v>77</v>
      </c>
      <c r="DI68" s="147"/>
      <c r="DJ68" s="111" t="s">
        <v>197</v>
      </c>
      <c r="DK68" s="112">
        <v>43940</v>
      </c>
      <c r="DL68" s="113">
        <f t="shared" ca="1" si="42"/>
        <v>1164</v>
      </c>
      <c r="DM68" s="114"/>
      <c r="DN68" s="114"/>
      <c r="DO68" s="114"/>
      <c r="DP68" s="114"/>
      <c r="DQ68" s="112">
        <v>42176</v>
      </c>
      <c r="DR68" s="114" t="s">
        <v>282</v>
      </c>
      <c r="DS68" s="114"/>
      <c r="DT68" s="115">
        <v>47</v>
      </c>
      <c r="DU68" s="116">
        <f t="shared" si="43"/>
        <v>0.1613000931966449</v>
      </c>
      <c r="DV68" s="117">
        <f t="shared" si="44"/>
        <v>10.30230147250699</v>
      </c>
      <c r="DW68" s="118">
        <f t="shared" si="45"/>
        <v>12.323327120223672</v>
      </c>
      <c r="DX68" s="119">
        <f t="shared" si="21"/>
        <v>0</v>
      </c>
      <c r="DY68" s="115">
        <f t="shared" si="46"/>
        <v>107.47087604846226</v>
      </c>
      <c r="DZ68" s="117">
        <f t="shared" si="47"/>
        <v>3.1127014725069904</v>
      </c>
      <c r="EA68" s="120">
        <f t="shared" si="47"/>
        <v>3.7233271202236722</v>
      </c>
      <c r="EB68" s="119">
        <f t="shared" si="47"/>
        <v>0</v>
      </c>
      <c r="EC68" s="121">
        <f t="shared" si="48"/>
        <v>32.470876048462259</v>
      </c>
      <c r="ED68" s="122"/>
      <c r="EE68" s="145">
        <v>18</v>
      </c>
      <c r="EF68" s="148">
        <v>54</v>
      </c>
      <c r="EG68" s="115">
        <v>60</v>
      </c>
      <c r="EH68" s="115">
        <v>53</v>
      </c>
      <c r="EI68" s="128" t="s">
        <v>195</v>
      </c>
      <c r="EJ68" s="121">
        <v>24</v>
      </c>
      <c r="EK68" s="121">
        <v>0</v>
      </c>
      <c r="EL68" s="149">
        <v>7.1895999999999995</v>
      </c>
      <c r="EM68" s="142">
        <v>8.6</v>
      </c>
      <c r="EN68" s="119">
        <v>0</v>
      </c>
      <c r="EO68" s="115">
        <v>75</v>
      </c>
      <c r="EP68" s="115">
        <v>10431.734727940358</v>
      </c>
      <c r="EQ68" s="115">
        <v>0</v>
      </c>
      <c r="ER68" s="115">
        <v>0</v>
      </c>
      <c r="ES68" s="115">
        <v>77</v>
      </c>
      <c r="ET68" s="150">
        <v>0.18534482758620688</v>
      </c>
      <c r="EU68" s="145">
        <f t="shared" si="25"/>
        <v>18</v>
      </c>
      <c r="EV68" s="115">
        <f t="shared" si="26"/>
        <v>54</v>
      </c>
      <c r="EW68" s="115">
        <f t="shared" si="26"/>
        <v>60</v>
      </c>
      <c r="EX68" s="115">
        <f t="shared" si="26"/>
        <v>53</v>
      </c>
      <c r="EY68" s="115" t="str">
        <f t="shared" si="53"/>
        <v>Постоянный</v>
      </c>
      <c r="EZ68" s="115">
        <f t="shared" si="53"/>
        <v>24</v>
      </c>
      <c r="FA68" s="115">
        <f t="shared" si="53"/>
        <v>0</v>
      </c>
      <c r="FB68" s="149">
        <f t="shared" si="28"/>
        <v>7.1895999999999995</v>
      </c>
      <c r="FC68" s="142">
        <f t="shared" si="28"/>
        <v>8.6</v>
      </c>
      <c r="FD68" s="119">
        <f t="shared" si="28"/>
        <v>0</v>
      </c>
      <c r="FE68" s="121">
        <f t="shared" si="28"/>
        <v>75</v>
      </c>
      <c r="FF68" s="121">
        <f t="shared" si="49"/>
        <v>10431.734727940358</v>
      </c>
      <c r="FG68" s="121">
        <f t="shared" si="30"/>
        <v>0</v>
      </c>
      <c r="FH68" s="121">
        <f t="shared" si="50"/>
        <v>0</v>
      </c>
      <c r="FI68" s="121">
        <f t="shared" si="54"/>
        <v>77</v>
      </c>
      <c r="FJ68" s="144">
        <f t="shared" si="33"/>
        <v>0.18534482758620688</v>
      </c>
      <c r="FK68" s="132">
        <f t="shared" si="34"/>
        <v>0</v>
      </c>
      <c r="FL68" s="115">
        <f t="shared" si="34"/>
        <v>0</v>
      </c>
      <c r="FM68" s="115">
        <f t="shared" si="34"/>
        <v>0</v>
      </c>
      <c r="FN68" s="115">
        <f t="shared" si="34"/>
        <v>0</v>
      </c>
      <c r="FO68" s="115">
        <f t="shared" si="35"/>
        <v>0</v>
      </c>
      <c r="FP68" s="115">
        <f t="shared" si="35"/>
        <v>0</v>
      </c>
      <c r="FQ68" s="149">
        <f t="shared" si="35"/>
        <v>0</v>
      </c>
      <c r="FR68" s="142">
        <f t="shared" si="35"/>
        <v>0</v>
      </c>
      <c r="FS68" s="119">
        <f t="shared" si="35"/>
        <v>0</v>
      </c>
      <c r="FT68" s="121">
        <f t="shared" si="35"/>
        <v>0</v>
      </c>
      <c r="FU68" s="121">
        <f t="shared" si="36"/>
        <v>0</v>
      </c>
      <c r="FV68" s="121">
        <f t="shared" si="36"/>
        <v>0</v>
      </c>
      <c r="FW68" s="121">
        <f t="shared" si="37"/>
        <v>0</v>
      </c>
      <c r="FX68" s="121">
        <f t="shared" si="38"/>
        <v>0</v>
      </c>
      <c r="FY68" s="144">
        <f t="shared" si="38"/>
        <v>0</v>
      </c>
      <c r="FZ68" s="145"/>
      <c r="GA68" s="151" t="s">
        <v>283</v>
      </c>
      <c r="GB68" s="145"/>
      <c r="GC68" s="151" t="s">
        <v>237</v>
      </c>
      <c r="GD68" s="997" t="s">
        <v>238</v>
      </c>
      <c r="GE68" s="1004"/>
      <c r="GF68" s="1004">
        <v>-0.10115600000000047</v>
      </c>
      <c r="GG68" s="1004"/>
      <c r="GH68" s="1004">
        <v>0</v>
      </c>
      <c r="GI68" s="145"/>
      <c r="GJ68" s="996">
        <v>0</v>
      </c>
      <c r="GK68" s="145"/>
      <c r="GL68" s="996">
        <v>0</v>
      </c>
      <c r="GM68" s="1005"/>
      <c r="GN68" s="996">
        <v>0</v>
      </c>
      <c r="GO68" s="1006"/>
      <c r="GP68" s="996">
        <v>0</v>
      </c>
      <c r="GQ68" s="1006"/>
      <c r="GR68" s="996">
        <v>0</v>
      </c>
      <c r="GS68" s="1006"/>
      <c r="GT68" s="996">
        <v>0</v>
      </c>
      <c r="GU68" s="1006"/>
      <c r="GV68" s="996">
        <v>0</v>
      </c>
      <c r="GW68" s="1006"/>
      <c r="GX68" s="997">
        <v>0</v>
      </c>
      <c r="GY68" s="1006"/>
      <c r="GZ68" s="996">
        <v>0.76995600000000053</v>
      </c>
      <c r="HA68" s="1006"/>
      <c r="HB68" s="996">
        <v>0</v>
      </c>
      <c r="HC68" s="1006"/>
      <c r="HD68" s="996">
        <v>0</v>
      </c>
      <c r="HE68" s="1006"/>
      <c r="HF68" s="996">
        <v>0</v>
      </c>
      <c r="HG68" s="1006"/>
      <c r="HH68" s="996">
        <v>0</v>
      </c>
      <c r="HI68" s="1006"/>
      <c r="HJ68" s="996">
        <v>0</v>
      </c>
      <c r="HK68" s="1006"/>
      <c r="HL68" s="996">
        <v>0</v>
      </c>
      <c r="HM68" s="1006"/>
      <c r="HN68" s="996">
        <v>0</v>
      </c>
      <c r="HO68" s="1006"/>
      <c r="HP68" s="996">
        <v>0</v>
      </c>
      <c r="HQ68" s="1006" t="s">
        <v>223</v>
      </c>
      <c r="HR68" s="996">
        <v>-1.3376000000000001</v>
      </c>
      <c r="HS68" s="1006"/>
      <c r="HT68" s="996">
        <v>0</v>
      </c>
      <c r="HU68" s="1006"/>
      <c r="HV68" s="996">
        <v>0</v>
      </c>
      <c r="HW68" s="1006" t="s">
        <v>204</v>
      </c>
      <c r="HX68" s="996">
        <v>-2.5915999999999997</v>
      </c>
      <c r="HY68" s="1006" t="s">
        <v>204</v>
      </c>
      <c r="HZ68" s="996">
        <v>-5.4339999999999993</v>
      </c>
      <c r="IA68" s="1006"/>
      <c r="IB68" s="996">
        <v>0.66879999999999917</v>
      </c>
      <c r="IC68" s="1006"/>
      <c r="ID68" s="996">
        <v>0</v>
      </c>
      <c r="IE68" s="1006"/>
      <c r="IF68" s="996">
        <v>0</v>
      </c>
      <c r="IG68" s="1006"/>
      <c r="IH68" s="996">
        <v>0</v>
      </c>
      <c r="II68" s="1006"/>
      <c r="IJ68" s="996">
        <v>-0.85271999999999792</v>
      </c>
      <c r="IK68" s="1006"/>
      <c r="IL68" s="996">
        <v>0</v>
      </c>
      <c r="IM68" s="1006"/>
      <c r="IN68" s="996">
        <v>0</v>
      </c>
      <c r="IO68" s="1006"/>
      <c r="IP68" s="996">
        <v>0</v>
      </c>
      <c r="IQ68" s="1006"/>
      <c r="IR68" s="996">
        <v>0</v>
      </c>
      <c r="IS68" s="1006"/>
      <c r="IT68" s="996">
        <v>0</v>
      </c>
      <c r="IU68" s="1006" t="s">
        <v>203</v>
      </c>
      <c r="IV68" s="996">
        <v>-2.3324400000000018</v>
      </c>
      <c r="IW68" s="1006"/>
      <c r="IX68" s="996">
        <v>0</v>
      </c>
      <c r="IY68" s="1006"/>
      <c r="IZ68" s="996">
        <v>0</v>
      </c>
      <c r="JA68" s="1006" t="s">
        <v>25</v>
      </c>
      <c r="JB68" s="996">
        <v>0</v>
      </c>
      <c r="JC68" s="1006"/>
      <c r="JD68" s="996">
        <v>0</v>
      </c>
      <c r="JE68" s="1006"/>
      <c r="JF68" s="996">
        <v>0</v>
      </c>
      <c r="JG68" s="1006"/>
      <c r="JH68" s="996">
        <v>0</v>
      </c>
      <c r="JI68" s="1006"/>
      <c r="JJ68" s="996">
        <v>1.5800400000003378E-3</v>
      </c>
      <c r="JK68" s="1007"/>
      <c r="JL68" s="1007">
        <v>0</v>
      </c>
      <c r="JM68" s="1007"/>
      <c r="JN68" s="1007">
        <v>0</v>
      </c>
      <c r="JO68" s="1008"/>
      <c r="JP68" s="1007">
        <v>0</v>
      </c>
      <c r="JQ68" s="1008">
        <v>0</v>
      </c>
      <c r="JR68" s="1007">
        <v>0</v>
      </c>
      <c r="JS68" s="1008">
        <v>0</v>
      </c>
      <c r="JT68" s="1007">
        <v>2.7036239999999712E-2</v>
      </c>
      <c r="JU68" s="1008"/>
      <c r="JV68" s="1007">
        <v>0</v>
      </c>
      <c r="JW68" s="1008" t="s">
        <v>197</v>
      </c>
      <c r="JX68" s="1007">
        <v>1.7255792400000001</v>
      </c>
      <c r="JY68" s="1008"/>
      <c r="JZ68" s="1007">
        <v>0</v>
      </c>
      <c r="KA68" s="1008"/>
      <c r="KB68" s="1007">
        <v>-3.2075648000000001</v>
      </c>
      <c r="KC68" s="1008"/>
      <c r="KD68" s="1007">
        <v>-0.10299519999999962</v>
      </c>
      <c r="KE68" s="1008" t="s">
        <v>204</v>
      </c>
      <c r="KF68" s="1007">
        <v>6.6879999999999828E-2</v>
      </c>
      <c r="KG68" s="1008" t="s">
        <v>204</v>
      </c>
      <c r="KH68" s="1007">
        <v>-0.10031999999999996</v>
      </c>
      <c r="KI68" s="1008"/>
      <c r="KJ68" s="1007">
        <v>0</v>
      </c>
      <c r="KK68" s="1008"/>
      <c r="KL68" s="1007">
        <v>0</v>
      </c>
      <c r="KM68" s="1008"/>
      <c r="KN68" s="1007">
        <v>0</v>
      </c>
      <c r="KO68" s="1008"/>
      <c r="KP68" s="1007">
        <v>0</v>
      </c>
      <c r="KQ68" s="1008" t="s">
        <v>207</v>
      </c>
      <c r="KR68" s="1007">
        <v>-7.5240000000000009</v>
      </c>
      <c r="KS68" s="1008">
        <v>0</v>
      </c>
      <c r="KT68" s="1007">
        <v>5.4339999999999833E-2</v>
      </c>
      <c r="KU68" s="1008" t="s">
        <v>476</v>
      </c>
      <c r="KV68" s="1007">
        <v>10.81366</v>
      </c>
      <c r="KW68" s="1008">
        <v>0</v>
      </c>
      <c r="KX68" s="1007">
        <v>0</v>
      </c>
      <c r="KY68" s="1008">
        <v>0</v>
      </c>
      <c r="KZ68" s="1007">
        <v>0</v>
      </c>
      <c r="LA68" s="1008">
        <v>0</v>
      </c>
      <c r="LB68" s="1007">
        <v>0</v>
      </c>
      <c r="LC68" s="1008">
        <v>0</v>
      </c>
      <c r="LD68" s="1007">
        <v>0</v>
      </c>
      <c r="LE68" s="1008">
        <v>0</v>
      </c>
      <c r="LF68" s="1007">
        <v>0</v>
      </c>
      <c r="LG68" s="1008">
        <v>0</v>
      </c>
      <c r="LH68" s="1007">
        <v>0</v>
      </c>
      <c r="LI68" s="1008">
        <v>0</v>
      </c>
      <c r="LJ68" s="1007">
        <v>0</v>
      </c>
      <c r="LK68" s="1008">
        <v>0</v>
      </c>
      <c r="LL68" s="1007">
        <v>0</v>
      </c>
      <c r="LM68" s="1008">
        <v>0</v>
      </c>
      <c r="LN68" s="1007">
        <v>0</v>
      </c>
      <c r="LO68" s="1008">
        <v>0</v>
      </c>
      <c r="LP68" s="1007">
        <v>0</v>
      </c>
      <c r="LQ68" s="1008">
        <v>0</v>
      </c>
      <c r="LR68" s="1007">
        <v>-0.83482959999999595</v>
      </c>
      <c r="LS68" s="1008">
        <v>0</v>
      </c>
      <c r="LT68" s="1007">
        <v>0.76843232100000003</v>
      </c>
      <c r="LU68" s="1008">
        <v>0</v>
      </c>
      <c r="LV68" s="1007">
        <v>-0.63835216400000006</v>
      </c>
      <c r="LW68" s="1008" t="s">
        <v>206</v>
      </c>
      <c r="LX68" s="1007">
        <v>1.3872751200000009</v>
      </c>
      <c r="LY68" s="1009" t="s">
        <v>207</v>
      </c>
      <c r="LZ68" s="1010">
        <v>1.3643183999999999</v>
      </c>
      <c r="MA68" s="1011" t="s">
        <v>206</v>
      </c>
      <c r="MB68" s="1012">
        <v>-1.25238</v>
      </c>
      <c r="MC68" s="995"/>
      <c r="MD68" s="996"/>
      <c r="ME68" s="997" t="s">
        <v>238</v>
      </c>
      <c r="MF68" s="997"/>
      <c r="MG68" s="998"/>
      <c r="NR68" s="1000"/>
      <c r="NS68" s="1000"/>
      <c r="NT68" s="1001"/>
      <c r="NU68" s="1000"/>
      <c r="NV68" s="1001"/>
      <c r="NX68" s="1002"/>
      <c r="NZ68" s="1001"/>
      <c r="OA68" s="1001"/>
      <c r="OC68" s="1003"/>
      <c r="OD68" s="1003"/>
      <c r="OE68" s="1001"/>
      <c r="OF68" s="1003"/>
      <c r="OG68" s="1003"/>
      <c r="QX68" s="1000">
        <f t="shared" si="51"/>
        <v>23</v>
      </c>
      <c r="ASU68" s="999" t="s">
        <v>292</v>
      </c>
    </row>
    <row r="69" spans="1:466 1191:1191" ht="21" customHeight="1" x14ac:dyDescent="0.25">
      <c r="A69" s="982" t="str">
        <f t="shared" si="0"/>
        <v>70-1</v>
      </c>
      <c r="B69" s="124">
        <f>SUBTOTAL(103,$J$29:J69)</f>
        <v>41</v>
      </c>
      <c r="C69" s="126">
        <v>45096</v>
      </c>
      <c r="D69" s="124" t="s">
        <v>176</v>
      </c>
      <c r="E69" s="127" t="s">
        <v>177</v>
      </c>
      <c r="F69" s="128" t="s">
        <v>177</v>
      </c>
      <c r="G69" s="127" t="s">
        <v>178</v>
      </c>
      <c r="H69" s="127" t="s">
        <v>408</v>
      </c>
      <c r="I69" s="127" t="s">
        <v>456</v>
      </c>
      <c r="J69" s="152" t="s">
        <v>477</v>
      </c>
      <c r="K69" s="127" t="s">
        <v>472</v>
      </c>
      <c r="L69" s="130">
        <v>37767</v>
      </c>
      <c r="M69" s="127" t="s">
        <v>230</v>
      </c>
      <c r="N69" s="127" t="s">
        <v>231</v>
      </c>
      <c r="O69" s="127" t="s">
        <v>185</v>
      </c>
      <c r="P69" s="127" t="s">
        <v>315</v>
      </c>
      <c r="Q69" s="85" t="str">
        <f t="shared" si="40"/>
        <v/>
      </c>
      <c r="R69" s="130"/>
      <c r="S69" s="128" t="s">
        <v>156</v>
      </c>
      <c r="T69" s="131"/>
      <c r="U69" s="132">
        <v>203</v>
      </c>
      <c r="V69" s="121">
        <v>218.2</v>
      </c>
      <c r="W69" s="116">
        <v>0.98</v>
      </c>
      <c r="X69" s="116">
        <v>1.66</v>
      </c>
      <c r="Y69" s="116">
        <f t="shared" si="41"/>
        <v>0.98</v>
      </c>
      <c r="Z69" s="133">
        <v>1.454</v>
      </c>
      <c r="AA69" s="133">
        <v>0.83599999999999997</v>
      </c>
      <c r="AB69" s="133">
        <v>0.72</v>
      </c>
      <c r="AC69" s="121">
        <v>34.299999999999997</v>
      </c>
      <c r="AD69" s="134">
        <v>1.17</v>
      </c>
      <c r="AE69" s="124">
        <v>139.69999999999999</v>
      </c>
      <c r="AF69" s="128">
        <v>7.72</v>
      </c>
      <c r="AG69" s="128">
        <v>1933</v>
      </c>
      <c r="AH69" s="127">
        <v>2344</v>
      </c>
      <c r="AI69" s="127">
        <v>2344</v>
      </c>
      <c r="AJ69" s="135"/>
      <c r="AK69" s="128"/>
      <c r="AL69" s="131"/>
      <c r="AM69" s="124" t="s">
        <v>232</v>
      </c>
      <c r="AN69" s="136" t="s">
        <v>478</v>
      </c>
      <c r="AO69" s="137">
        <v>22.8</v>
      </c>
      <c r="AP69" s="128">
        <v>1916</v>
      </c>
      <c r="AQ69" s="128">
        <v>40.76</v>
      </c>
      <c r="AR69" s="128" t="s">
        <v>479</v>
      </c>
      <c r="AS69" s="128">
        <v>102</v>
      </c>
      <c r="AT69" s="122">
        <v>6.5</v>
      </c>
      <c r="AU69" s="124" t="s">
        <v>250</v>
      </c>
      <c r="AV69" s="115">
        <f>VLOOKUP(J69,'[63]ТР нефть'!$J$28:$BP$638,39,0)</f>
        <v>540</v>
      </c>
      <c r="AW69" s="115" t="str">
        <f>VLOOKUP(J69,'[63]ТР нефть'!$J$28:$BP$638,40,0)</f>
        <v>ГК 65 1/8</v>
      </c>
      <c r="AX69" s="115">
        <f>VLOOKUP(J69,'[63]ТР нефть'!$J$28:$BP$638,41,0)</f>
        <v>1050</v>
      </c>
      <c r="AY69" s="115" t="str">
        <f>VLOOKUP(J69,'[63]ТР нефть'!$J$28:$BP$638,42,0)</f>
        <v>ГК 45 5/32</v>
      </c>
      <c r="AZ69" s="115">
        <f>VLOOKUP(J69,'[63]ТР нефть'!$J$28:$BP$638,43,0)</f>
        <v>1610</v>
      </c>
      <c r="BA69" s="115" t="str">
        <f>VLOOKUP(J69,'[63]ТР нефть'!$J$28:$BP$638,44,0)</f>
        <v>ЦКсОК</v>
      </c>
      <c r="BB69" s="115" t="str">
        <f>VLOOKUP(J69,'[63]ТР нефть'!$J$28:$BP$638,45,0)</f>
        <v>-</v>
      </c>
      <c r="BC69" s="115" t="str">
        <f>VLOOKUP(J69,'[63]ТР нефть'!$J$28:$BP$638,46,0)</f>
        <v>-</v>
      </c>
      <c r="BD69" s="115" t="str">
        <f>VLOOKUP(J69,'[63]ТР нефть'!$J$28:$BP$638,47,0)</f>
        <v>-</v>
      </c>
      <c r="BE69" s="115" t="str">
        <f>VLOOKUP(J69,'[63]ТР нефть'!$J$28:$BP$638,48,0)</f>
        <v>-</v>
      </c>
      <c r="BF69" s="115" t="str">
        <f>VLOOKUP(J69,'[63]ТР нефть'!$J$28:$BP$638,49,0)</f>
        <v>-</v>
      </c>
      <c r="BG69" s="115" t="str">
        <f>VLOOKUP(J69,'[63]ТР нефть'!$J$28:$BP$638,50,0)</f>
        <v>-</v>
      </c>
      <c r="BH69" s="115">
        <f>VLOOKUP(J69,'[63]ТР нефть'!$J$28:$BP$638,51,0)</f>
        <v>1620</v>
      </c>
      <c r="BI69" s="115" t="str">
        <f>VLOOKUP(J69,'[63]ТР нефть'!$J$28:$BP$638,52,0)</f>
        <v>закрыт</v>
      </c>
      <c r="BJ69" s="115" t="str">
        <f>IF(IFERROR(VLOOKUP(J69,'[63]ТР нефть'!$J$28:$BP$638,53,0),"-")=0,"-",IFERROR(VLOOKUP(J69,'[63]ТР нефть'!$J$28:$BP$638,53,0),"-"))</f>
        <v>-</v>
      </c>
      <c r="BK69" s="138" t="str">
        <f>IF(IFERROR(VLOOKUP(J69,'[63]ТР нефть'!$J$28:$BP$638,54,0),"-")=0,"-",IFERROR(VLOOKUP(J69,'[63]ТР нефть'!$J$28:$BP$638,54,0),"-"))</f>
        <v>-</v>
      </c>
      <c r="BL69" s="138" t="str">
        <f>IF(IFERROR(VLOOKUP(J69,'[63]ТР нефть'!$J$28:$BP$638,55,0),"-")=0,"-",IFERROR(VLOOKUP(J69,'[63]ТР нефть'!$J$28:$BP$638,55,0),"-"))</f>
        <v>-</v>
      </c>
      <c r="BM69" s="138" t="str">
        <f>IF(IFERROR(VLOOKUP(J69,'[63]ТР нефть'!$J$28:$BP$638,56,0),"-")=0,"-",IFERROR(VLOOKUP(J69,'[63]ТР нефть'!$J$28:$BP$638,56,0),"-"))</f>
        <v>-</v>
      </c>
      <c r="BN69" s="138" t="str">
        <f>IF(IFERROR(VLOOKUP(J69,'[63]ТР нефть'!$J$28:$BP$638,57,0),"-")=0,"-",IFERROR(VLOOKUP(J69,'[63]ТР нефть'!$J$28:$BP$638,57,0),"-"))</f>
        <v>-</v>
      </c>
      <c r="BO69" s="115" t="str">
        <f>IF(IFERROR(VLOOKUP(J69,'[63]ТР нефть'!$J$28:$BP$638,58,0),"-")=0,"-",IFERROR(VLOOKUP(J69,'[63]ТР нефть'!$J$28:$BP$638,58,0),"-"))</f>
        <v>-</v>
      </c>
      <c r="BP69" s="115" t="str">
        <f>IF(IFERROR(VLOOKUP(J69,'[63]ТР нефть'!$J$28:$BP$638,59,0),"-")=0,"-",IFERROR(VLOOKUP(J69,'[63]ТР нефть'!$J$28:$BP$638,59,0),"-"))</f>
        <v>-</v>
      </c>
      <c r="BQ69" s="138">
        <v>1652</v>
      </c>
      <c r="BR69" s="128">
        <v>1648.6</v>
      </c>
      <c r="BS69" s="115">
        <f t="shared" si="2"/>
        <v>3.4000000000000909</v>
      </c>
      <c r="BT69" s="128">
        <v>73</v>
      </c>
      <c r="BU69" s="128">
        <v>5.5</v>
      </c>
      <c r="BV69" s="127">
        <v>8</v>
      </c>
      <c r="BW69" s="127" t="s">
        <v>234</v>
      </c>
      <c r="BX69" s="127" t="s">
        <v>195</v>
      </c>
      <c r="BY69" s="139">
        <v>24</v>
      </c>
      <c r="BZ69" s="139">
        <v>0</v>
      </c>
      <c r="CA69" s="138">
        <v>47</v>
      </c>
      <c r="CB69" s="138">
        <v>62</v>
      </c>
      <c r="CC69" s="138">
        <v>46</v>
      </c>
      <c r="CD69" s="135">
        <v>45017</v>
      </c>
      <c r="CE69" s="138">
        <v>127.6</v>
      </c>
      <c r="CF69" s="138"/>
      <c r="CG69" s="138" t="str">
        <f t="shared" si="52"/>
        <v/>
      </c>
      <c r="CH69" s="138" t="s">
        <v>197</v>
      </c>
      <c r="CI69" s="127"/>
      <c r="CJ69" s="138"/>
      <c r="CK69" s="138"/>
      <c r="CL69" s="99"/>
      <c r="CM69" s="127"/>
      <c r="CN69" s="154">
        <v>64</v>
      </c>
      <c r="CO69" s="141">
        <f t="shared" si="4"/>
        <v>2.3800919999999999</v>
      </c>
      <c r="CP69" s="142">
        <v>2.847</v>
      </c>
      <c r="CQ69" s="143">
        <v>0</v>
      </c>
      <c r="CR69" s="138">
        <v>22.2</v>
      </c>
      <c r="CS69" s="139"/>
      <c r="CT69" s="138"/>
      <c r="CU69" s="138">
        <f t="shared" si="5"/>
        <v>22.2</v>
      </c>
      <c r="CV69" s="115">
        <f t="shared" si="6"/>
        <v>9327.3705386178353</v>
      </c>
      <c r="CW69" s="115" t="str">
        <f t="shared" si="7"/>
        <v/>
      </c>
      <c r="CX69" s="133">
        <f t="shared" si="8"/>
        <v>4.4764150943396232E-2</v>
      </c>
      <c r="CY69" s="116"/>
      <c r="CZ69" s="131"/>
      <c r="DA69" s="145" t="str">
        <f t="shared" si="9"/>
        <v>Фон.</v>
      </c>
      <c r="DB69" s="146">
        <f t="shared" si="10"/>
        <v>2.3800919999999999</v>
      </c>
      <c r="DC69" s="142">
        <f t="shared" si="11"/>
        <v>2.847</v>
      </c>
      <c r="DD69" s="119">
        <f t="shared" si="12"/>
        <v>0</v>
      </c>
      <c r="DE69" s="115">
        <f t="shared" si="13"/>
        <v>22.2</v>
      </c>
      <c r="DF69" s="121">
        <f t="shared" si="14"/>
        <v>0</v>
      </c>
      <c r="DG69" s="115">
        <f t="shared" si="15"/>
        <v>9327.3705386178353</v>
      </c>
      <c r="DH69" s="115">
        <f t="shared" si="16"/>
        <v>64</v>
      </c>
      <c r="DI69" s="147"/>
      <c r="DJ69" s="111" t="s">
        <v>197</v>
      </c>
      <c r="DK69" s="112">
        <v>41765</v>
      </c>
      <c r="DL69" s="113">
        <f t="shared" ca="1" si="42"/>
        <v>3339</v>
      </c>
      <c r="DM69" s="114"/>
      <c r="DN69" s="114"/>
      <c r="DO69" s="114"/>
      <c r="DP69" s="114"/>
      <c r="DQ69" s="112">
        <v>41789</v>
      </c>
      <c r="DR69" s="114" t="s">
        <v>282</v>
      </c>
      <c r="DS69" s="114"/>
      <c r="DT69" s="115">
        <v>53</v>
      </c>
      <c r="DU69" s="116">
        <f t="shared" si="43"/>
        <v>4.2560993626271582E-2</v>
      </c>
      <c r="DV69" s="117">
        <f t="shared" si="44"/>
        <v>2.6543419040986027</v>
      </c>
      <c r="DW69" s="118">
        <f t="shared" si="45"/>
        <v>3.1750501245198599</v>
      </c>
      <c r="DX69" s="119">
        <f t="shared" si="21"/>
        <v>0</v>
      </c>
      <c r="DY69" s="115">
        <f t="shared" si="46"/>
        <v>24.758030475708075</v>
      </c>
      <c r="DZ69" s="117">
        <f t="shared" si="47"/>
        <v>0.27424990409860284</v>
      </c>
      <c r="EA69" s="120">
        <f t="shared" si="47"/>
        <v>0.32805012451985993</v>
      </c>
      <c r="EB69" s="119">
        <f t="shared" si="47"/>
        <v>0</v>
      </c>
      <c r="EC69" s="121">
        <f t="shared" si="48"/>
        <v>2.5580304757080761</v>
      </c>
      <c r="ED69" s="122"/>
      <c r="EE69" s="145">
        <v>8</v>
      </c>
      <c r="EF69" s="115">
        <v>47</v>
      </c>
      <c r="EG69" s="115">
        <v>62</v>
      </c>
      <c r="EH69" s="115">
        <v>46</v>
      </c>
      <c r="EI69" s="128" t="s">
        <v>195</v>
      </c>
      <c r="EJ69" s="121">
        <v>24</v>
      </c>
      <c r="EK69" s="121">
        <v>0</v>
      </c>
      <c r="EL69" s="149">
        <v>2.3800919999999999</v>
      </c>
      <c r="EM69" s="142">
        <v>2.847</v>
      </c>
      <c r="EN69" s="119">
        <v>0</v>
      </c>
      <c r="EO69" s="115">
        <v>22.2</v>
      </c>
      <c r="EP69" s="115">
        <v>9327.3705386178353</v>
      </c>
      <c r="EQ69" s="115">
        <v>0</v>
      </c>
      <c r="ER69" s="115">
        <v>0</v>
      </c>
      <c r="ES69" s="115">
        <v>64</v>
      </c>
      <c r="ET69" s="150">
        <v>4.4764150943396232E-2</v>
      </c>
      <c r="EU69" s="145">
        <f t="shared" si="25"/>
        <v>8</v>
      </c>
      <c r="EV69" s="115">
        <f t="shared" si="26"/>
        <v>47</v>
      </c>
      <c r="EW69" s="115">
        <f t="shared" si="26"/>
        <v>62</v>
      </c>
      <c r="EX69" s="115">
        <f t="shared" si="26"/>
        <v>46</v>
      </c>
      <c r="EY69" s="115" t="str">
        <f t="shared" si="53"/>
        <v>Постоянный</v>
      </c>
      <c r="EZ69" s="115">
        <f t="shared" si="53"/>
        <v>24</v>
      </c>
      <c r="FA69" s="115">
        <f t="shared" si="53"/>
        <v>0</v>
      </c>
      <c r="FB69" s="149">
        <f t="shared" si="28"/>
        <v>2.3800919999999999</v>
      </c>
      <c r="FC69" s="142">
        <f t="shared" si="28"/>
        <v>2.847</v>
      </c>
      <c r="FD69" s="119">
        <f t="shared" si="28"/>
        <v>0</v>
      </c>
      <c r="FE69" s="121">
        <f t="shared" si="28"/>
        <v>22.2</v>
      </c>
      <c r="FF69" s="121">
        <f t="shared" si="49"/>
        <v>9327.3705386178353</v>
      </c>
      <c r="FG69" s="121">
        <f t="shared" si="30"/>
        <v>0</v>
      </c>
      <c r="FH69" s="121">
        <f t="shared" si="50"/>
        <v>0</v>
      </c>
      <c r="FI69" s="121">
        <f t="shared" si="54"/>
        <v>64</v>
      </c>
      <c r="FJ69" s="144">
        <f t="shared" si="33"/>
        <v>4.4764150943396232E-2</v>
      </c>
      <c r="FK69" s="132">
        <f t="shared" si="34"/>
        <v>0</v>
      </c>
      <c r="FL69" s="115">
        <f t="shared" si="34"/>
        <v>0</v>
      </c>
      <c r="FM69" s="115">
        <f t="shared" si="34"/>
        <v>0</v>
      </c>
      <c r="FN69" s="115">
        <f t="shared" si="34"/>
        <v>0</v>
      </c>
      <c r="FO69" s="115">
        <f t="shared" si="35"/>
        <v>0</v>
      </c>
      <c r="FP69" s="115">
        <f t="shared" si="35"/>
        <v>0</v>
      </c>
      <c r="FQ69" s="149">
        <f t="shared" si="35"/>
        <v>0</v>
      </c>
      <c r="FR69" s="142">
        <f t="shared" si="35"/>
        <v>0</v>
      </c>
      <c r="FS69" s="119">
        <f t="shared" si="35"/>
        <v>0</v>
      </c>
      <c r="FT69" s="121">
        <f t="shared" si="35"/>
        <v>0</v>
      </c>
      <c r="FU69" s="121">
        <f t="shared" si="36"/>
        <v>0</v>
      </c>
      <c r="FV69" s="121">
        <f t="shared" si="36"/>
        <v>0</v>
      </c>
      <c r="FW69" s="121">
        <f t="shared" si="37"/>
        <v>0</v>
      </c>
      <c r="FX69" s="121">
        <f t="shared" si="38"/>
        <v>0</v>
      </c>
      <c r="FY69" s="144">
        <f t="shared" si="38"/>
        <v>0</v>
      </c>
      <c r="FZ69" s="145"/>
      <c r="GA69" s="151" t="s">
        <v>283</v>
      </c>
      <c r="GB69" s="145"/>
      <c r="GC69" s="151" t="s">
        <v>480</v>
      </c>
      <c r="GD69" s="997" t="s">
        <v>238</v>
      </c>
      <c r="GE69" s="1004"/>
      <c r="GF69" s="1004">
        <v>0</v>
      </c>
      <c r="GG69" s="1004"/>
      <c r="GH69" s="1004">
        <v>0</v>
      </c>
      <c r="GI69" s="145"/>
      <c r="GJ69" s="996">
        <v>0</v>
      </c>
      <c r="GK69" s="145"/>
      <c r="GL69" s="996">
        <v>0</v>
      </c>
      <c r="GM69" s="1005"/>
      <c r="GN69" s="996">
        <v>0</v>
      </c>
      <c r="GO69" s="1006"/>
      <c r="GP69" s="996">
        <v>0</v>
      </c>
      <c r="GQ69" s="1006"/>
      <c r="GR69" s="996">
        <v>0</v>
      </c>
      <c r="GS69" s="1006"/>
      <c r="GT69" s="996">
        <v>0</v>
      </c>
      <c r="GU69" s="1006"/>
      <c r="GV69" s="996">
        <v>0</v>
      </c>
      <c r="GW69" s="1006"/>
      <c r="GX69" s="997">
        <v>0</v>
      </c>
      <c r="GY69" s="1006"/>
      <c r="GZ69" s="996">
        <v>0</v>
      </c>
      <c r="HA69" s="1006"/>
      <c r="HB69" s="996">
        <v>0</v>
      </c>
      <c r="HC69" s="1006"/>
      <c r="HD69" s="996">
        <v>0</v>
      </c>
      <c r="HE69" s="1006"/>
      <c r="HF69" s="996">
        <v>0</v>
      </c>
      <c r="HG69" s="1006"/>
      <c r="HH69" s="996">
        <v>0</v>
      </c>
      <c r="HI69" s="1006"/>
      <c r="HJ69" s="996">
        <v>0</v>
      </c>
      <c r="HK69" s="1006"/>
      <c r="HL69" s="996">
        <v>0</v>
      </c>
      <c r="HM69" s="1006"/>
      <c r="HN69" s="996">
        <v>0</v>
      </c>
      <c r="HO69" s="1006" t="s">
        <v>199</v>
      </c>
      <c r="HP69" s="996">
        <v>-1.6327079999999996</v>
      </c>
      <c r="HQ69" s="1006"/>
      <c r="HR69" s="996">
        <v>0</v>
      </c>
      <c r="HS69" s="1006"/>
      <c r="HT69" s="996">
        <v>0</v>
      </c>
      <c r="HU69" s="1006"/>
      <c r="HV69" s="996">
        <v>0.83599999999999985</v>
      </c>
      <c r="HW69" s="1006"/>
      <c r="HX69" s="996">
        <v>0</v>
      </c>
      <c r="HY69" s="1006" t="s">
        <v>204</v>
      </c>
      <c r="HZ69" s="996">
        <v>-2.6751999999999998</v>
      </c>
      <c r="IA69" s="1006"/>
      <c r="IB69" s="996">
        <v>0.75239999999999974</v>
      </c>
      <c r="IC69" s="1006"/>
      <c r="ID69" s="996">
        <v>-0.15884000000000054</v>
      </c>
      <c r="IE69" s="1006"/>
      <c r="IF69" s="996">
        <v>-0.41967199999999938</v>
      </c>
      <c r="IG69" s="1006"/>
      <c r="IH69" s="996">
        <v>0</v>
      </c>
      <c r="II69" s="1006"/>
      <c r="IJ69" s="996">
        <v>-0.92187977199999871</v>
      </c>
      <c r="IK69" s="1006"/>
      <c r="IL69" s="996">
        <v>0</v>
      </c>
      <c r="IM69" s="1006"/>
      <c r="IN69" s="996">
        <v>0</v>
      </c>
      <c r="IO69" s="1006"/>
      <c r="IP69" s="996">
        <v>0</v>
      </c>
      <c r="IQ69" s="1006" t="s">
        <v>204</v>
      </c>
      <c r="IR69" s="996">
        <v>-6.7653074280000007</v>
      </c>
      <c r="IS69" s="1006"/>
      <c r="IT69" s="996">
        <v>0</v>
      </c>
      <c r="IU69" s="1006"/>
      <c r="IV69" s="996">
        <v>0</v>
      </c>
      <c r="IW69" s="1006"/>
      <c r="IX69" s="996">
        <v>0</v>
      </c>
      <c r="IY69" s="1006"/>
      <c r="IZ69" s="996">
        <v>0</v>
      </c>
      <c r="JA69" s="1006"/>
      <c r="JB69" s="996">
        <v>0</v>
      </c>
      <c r="JC69" s="1006"/>
      <c r="JD69" s="996">
        <v>0</v>
      </c>
      <c r="JE69" s="1006"/>
      <c r="JF69" s="996">
        <v>0</v>
      </c>
      <c r="JG69" s="1006"/>
      <c r="JH69" s="996">
        <v>0</v>
      </c>
      <c r="JI69" s="1006" t="s">
        <v>204</v>
      </c>
      <c r="JJ69" s="996">
        <v>5.0052991999999996</v>
      </c>
      <c r="JK69" s="1007"/>
      <c r="JL69" s="1007">
        <v>0</v>
      </c>
      <c r="JM69" s="1007"/>
      <c r="JN69" s="1007">
        <v>1.4211999999998781E-2</v>
      </c>
      <c r="JO69" s="1008"/>
      <c r="JP69" s="1007">
        <v>0</v>
      </c>
      <c r="JQ69" s="1008">
        <v>0</v>
      </c>
      <c r="JR69" s="1007">
        <v>0</v>
      </c>
      <c r="JS69" s="1008">
        <v>0</v>
      </c>
      <c r="JT69" s="1007">
        <v>8.6108000000001184E-2</v>
      </c>
      <c r="JU69" s="1008"/>
      <c r="JV69" s="1007">
        <v>0</v>
      </c>
      <c r="JW69" s="1008" t="s">
        <v>206</v>
      </c>
      <c r="JX69" s="1007">
        <v>6.7151198399999998</v>
      </c>
      <c r="JY69" s="1008"/>
      <c r="JZ69" s="1007">
        <v>0</v>
      </c>
      <c r="KA69" s="1008"/>
      <c r="KB69" s="1007">
        <v>0</v>
      </c>
      <c r="KC69" s="1008" t="s">
        <v>204</v>
      </c>
      <c r="KD69" s="1007">
        <v>-4.2372158399999993</v>
      </c>
      <c r="KE69" s="1008" t="s">
        <v>204</v>
      </c>
      <c r="KF69" s="1007">
        <v>0.10533600000000032</v>
      </c>
      <c r="KG69" s="1008" t="s">
        <v>204</v>
      </c>
      <c r="KH69" s="1007">
        <v>-0.17497480000000021</v>
      </c>
      <c r="KI69" s="1008"/>
      <c r="KJ69" s="1007">
        <v>0</v>
      </c>
      <c r="KK69" s="1008"/>
      <c r="KL69" s="1007">
        <v>0</v>
      </c>
      <c r="KM69" s="1008" t="s">
        <v>206</v>
      </c>
      <c r="KN69" s="1007">
        <v>-0.83591640000000034</v>
      </c>
      <c r="KO69" s="1008" t="s">
        <v>204</v>
      </c>
      <c r="KP69" s="1007">
        <v>0</v>
      </c>
      <c r="KQ69" s="1008">
        <v>0</v>
      </c>
      <c r="KR69" s="1007">
        <v>0</v>
      </c>
      <c r="KS69" s="1008">
        <v>0</v>
      </c>
      <c r="KT69" s="1007">
        <v>0</v>
      </c>
      <c r="KU69" s="1008" t="s">
        <v>476</v>
      </c>
      <c r="KV69" s="1007">
        <v>6.6873312</v>
      </c>
      <c r="KW69" s="1008">
        <v>0</v>
      </c>
      <c r="KX69" s="1007">
        <v>0</v>
      </c>
      <c r="KY69" s="1008">
        <v>0</v>
      </c>
      <c r="KZ69" s="1007">
        <v>0</v>
      </c>
      <c r="LA69" s="1008">
        <v>0</v>
      </c>
      <c r="LB69" s="1007">
        <v>0</v>
      </c>
      <c r="LC69" s="1008">
        <v>0</v>
      </c>
      <c r="LD69" s="1007">
        <v>0</v>
      </c>
      <c r="LE69" s="1008">
        <v>0</v>
      </c>
      <c r="LF69" s="1007">
        <v>0</v>
      </c>
      <c r="LG69" s="1008">
        <v>0</v>
      </c>
      <c r="LH69" s="1007">
        <v>0</v>
      </c>
      <c r="LI69" s="1008">
        <v>0</v>
      </c>
      <c r="LJ69" s="1007">
        <v>0</v>
      </c>
      <c r="LK69" s="1008">
        <v>0</v>
      </c>
      <c r="LL69" s="1007">
        <v>0</v>
      </c>
      <c r="LM69" s="1008">
        <v>0</v>
      </c>
      <c r="LN69" s="1007">
        <v>0</v>
      </c>
      <c r="LO69" s="1008">
        <v>0</v>
      </c>
      <c r="LP69" s="1007">
        <v>0</v>
      </c>
      <c r="LQ69" s="1008">
        <v>0</v>
      </c>
      <c r="LR69" s="1007">
        <v>-0.329484324</v>
      </c>
      <c r="LS69" s="1008">
        <v>0</v>
      </c>
      <c r="LT69" s="1007">
        <v>0.55579955199999997</v>
      </c>
      <c r="LU69" s="1008">
        <v>0</v>
      </c>
      <c r="LV69" s="1007">
        <v>-0.18692961</v>
      </c>
      <c r="LW69" s="1008">
        <v>0</v>
      </c>
      <c r="LX69" s="1007">
        <v>0.46554864099999999</v>
      </c>
      <c r="LY69" s="1009" t="s">
        <v>207</v>
      </c>
      <c r="LZ69" s="1010">
        <v>0.96347829600000001</v>
      </c>
      <c r="MA69" s="1011">
        <v>0</v>
      </c>
      <c r="MB69" s="1012">
        <v>-0.55629209999999996</v>
      </c>
      <c r="MC69" s="995"/>
      <c r="MD69" s="996"/>
      <c r="ME69" s="997" t="s">
        <v>238</v>
      </c>
      <c r="MF69" s="997"/>
      <c r="MG69" s="998"/>
      <c r="NR69" s="1000"/>
      <c r="NS69" s="1000"/>
      <c r="NT69" s="1001"/>
      <c r="NU69" s="1000"/>
      <c r="NV69" s="1001"/>
      <c r="NX69" s="1002"/>
      <c r="NZ69" s="1001"/>
      <c r="OA69" s="1001"/>
      <c r="OC69" s="1003"/>
      <c r="OD69" s="1003"/>
      <c r="OE69" s="1001"/>
      <c r="OF69" s="1003"/>
      <c r="OG69" s="1003"/>
      <c r="QX69" s="1000">
        <f t="shared" si="51"/>
        <v>17</v>
      </c>
      <c r="ASU69" s="999" t="s">
        <v>292</v>
      </c>
    </row>
    <row r="70" spans="1:466 1191:1191" ht="21" customHeight="1" x14ac:dyDescent="0.25">
      <c r="A70" s="982">
        <f t="shared" si="0"/>
        <v>86</v>
      </c>
      <c r="B70" s="124">
        <f>SUBTOTAL(103,$J$29:J70)</f>
        <v>42</v>
      </c>
      <c r="C70" s="126">
        <v>45068</v>
      </c>
      <c r="D70" s="124" t="s">
        <v>176</v>
      </c>
      <c r="E70" s="127" t="s">
        <v>177</v>
      </c>
      <c r="F70" s="128" t="s">
        <v>177</v>
      </c>
      <c r="G70" s="127" t="s">
        <v>178</v>
      </c>
      <c r="H70" s="127" t="s">
        <v>179</v>
      </c>
      <c r="I70" s="127" t="s">
        <v>481</v>
      </c>
      <c r="J70" s="152">
        <v>86</v>
      </c>
      <c r="K70" s="127" t="s">
        <v>182</v>
      </c>
      <c r="L70" s="130">
        <v>42799</v>
      </c>
      <c r="M70" s="127" t="s">
        <v>230</v>
      </c>
      <c r="N70" s="127" t="s">
        <v>184</v>
      </c>
      <c r="O70" s="127" t="s">
        <v>185</v>
      </c>
      <c r="P70" s="127" t="s">
        <v>292</v>
      </c>
      <c r="Q70" s="85" t="str">
        <f t="shared" si="40"/>
        <v/>
      </c>
      <c r="R70" s="130"/>
      <c r="S70" s="128"/>
      <c r="T70" s="131"/>
      <c r="U70" s="132">
        <v>203</v>
      </c>
      <c r="V70" s="121">
        <v>218.2</v>
      </c>
      <c r="W70" s="116">
        <v>0.98</v>
      </c>
      <c r="X70" s="116">
        <v>1.66</v>
      </c>
      <c r="Y70" s="116">
        <f t="shared" si="41"/>
        <v>1.0641304063423951</v>
      </c>
      <c r="Z70" s="133">
        <v>1.454</v>
      </c>
      <c r="AA70" s="133">
        <v>0.83599999999999997</v>
      </c>
      <c r="AB70" s="133">
        <v>0.72</v>
      </c>
      <c r="AC70" s="121">
        <v>34.299999999999997</v>
      </c>
      <c r="AD70" s="134">
        <v>1.17</v>
      </c>
      <c r="AE70" s="124">
        <v>139.69999999999999</v>
      </c>
      <c r="AF70" s="128">
        <v>7.72</v>
      </c>
      <c r="AG70" s="128">
        <v>1950</v>
      </c>
      <c r="AH70" s="127">
        <v>1910</v>
      </c>
      <c r="AI70" s="127">
        <v>1910</v>
      </c>
      <c r="AJ70" s="135"/>
      <c r="AK70" s="128"/>
      <c r="AL70" s="131"/>
      <c r="AM70" s="124" t="s">
        <v>187</v>
      </c>
      <c r="AN70" s="136" t="s">
        <v>482</v>
      </c>
      <c r="AO70" s="137">
        <v>119.76999999999998</v>
      </c>
      <c r="AP70" s="128">
        <v>1774</v>
      </c>
      <c r="AQ70" s="128">
        <v>6</v>
      </c>
      <c r="AR70" s="128"/>
      <c r="AS70" s="128"/>
      <c r="AT70" s="122"/>
      <c r="AU70" s="124" t="s">
        <v>189</v>
      </c>
      <c r="AV70" s="115">
        <f>VLOOKUP(J70,'[63]ТР нефть'!$J$28:$BP$638,39,0)</f>
        <v>499.99999218800002</v>
      </c>
      <c r="AW70" s="115" t="str">
        <f>VLOOKUP(J70,'[63]ТР нефть'!$J$28:$BP$638,40,0)</f>
        <v>ГП</v>
      </c>
      <c r="AX70" s="115">
        <f>VLOOKUP(J70,'[63]ТР нефть'!$J$28:$BP$638,41,0)</f>
        <v>909.99997089800002</v>
      </c>
      <c r="AY70" s="115" t="str">
        <f>VLOOKUP(J70,'[63]ТР нефть'!$J$28:$BP$638,42,0)</f>
        <v>ГК 86/1</v>
      </c>
      <c r="AZ70" s="115">
        <f>VLOOKUP(J70,'[63]ТР нефть'!$J$28:$BP$638,43,0)</f>
        <v>1230.0000105470001</v>
      </c>
      <c r="BA70" s="115" t="str">
        <f>VLOOKUP(J70,'[63]ТР нефть'!$J$28:$BP$638,44,0)</f>
        <v>ГК 85/1,5</v>
      </c>
      <c r="BB70" s="115">
        <f>VLOOKUP(J70,'[63]ТР нефть'!$J$28:$BP$638,45,0)</f>
        <v>1480.000006641</v>
      </c>
      <c r="BC70" s="115" t="str">
        <f>VLOOKUP(J70,'[63]ТР нефть'!$J$28:$BP$638,46,0)</f>
        <v>ГК 80/2</v>
      </c>
      <c r="BD70" s="115">
        <f>VLOOKUP(J70,'[63]ТР нефть'!$J$28:$BP$638,47,0)</f>
        <v>1635.0000339840001</v>
      </c>
      <c r="BE70" s="115" t="str">
        <f>VLOOKUP(J70,'[63]ТР нефть'!$J$28:$BP$638,48,0)</f>
        <v>ЦКсОК 5/16</v>
      </c>
      <c r="BF70" s="115" t="str">
        <f>VLOOKUP(J70,'[63]ТР нефть'!$J$28:$BP$638,49,0)</f>
        <v>-</v>
      </c>
      <c r="BG70" s="115" t="str">
        <f>VLOOKUP(J70,'[63]ТР нефть'!$J$28:$BP$638,50,0)</f>
        <v>-</v>
      </c>
      <c r="BH70" s="115">
        <f>VLOOKUP(J70,'[63]ТР нефть'!$J$28:$BP$638,51,0)</f>
        <v>1645</v>
      </c>
      <c r="BI70" s="115" t="str">
        <f>VLOOKUP(J70,'[63]ТР нефть'!$J$28:$BP$638,52,0)</f>
        <v>закрыт</v>
      </c>
      <c r="BJ70" s="115" t="str">
        <f>IF(IFERROR(VLOOKUP(J70,'[63]ТР нефть'!$J$28:$BP$638,53,0),"-")=0,"-",IFERROR(VLOOKUP(J70,'[63]ТР нефть'!$J$28:$BP$638,53,0),"-"))</f>
        <v>-</v>
      </c>
      <c r="BK70" s="138" t="str">
        <f>IF(IFERROR(VLOOKUP(J70,'[63]ТР нефть'!$J$28:$BP$638,54,0),"-")=0,"-",IFERROR(VLOOKUP(J70,'[63]ТР нефть'!$J$28:$BP$638,54,0),"-"))</f>
        <v>-</v>
      </c>
      <c r="BL70" s="138" t="str">
        <f>IF(IFERROR(VLOOKUP(J70,'[63]ТР нефть'!$J$28:$BP$638,55,0),"-")=0,"-",IFERROR(VLOOKUP(J70,'[63]ТР нефть'!$J$28:$BP$638,55,0),"-"))</f>
        <v>-</v>
      </c>
      <c r="BM70" s="138" t="str">
        <f>IF(IFERROR(VLOOKUP(J70,'[63]ТР нефть'!$J$28:$BP$638,56,0),"-")=0,"-",IFERROR(VLOOKUP(J70,'[63]ТР нефть'!$J$28:$BP$638,56,0),"-"))</f>
        <v>-</v>
      </c>
      <c r="BN70" s="138" t="str">
        <f>IF(IFERROR(VLOOKUP(J70,'[63]ТР нефть'!$J$28:$BP$638,57,0),"-")=0,"-",IFERROR(VLOOKUP(J70,'[63]ТР нефть'!$J$28:$BP$638,57,0),"-"))</f>
        <v>-</v>
      </c>
      <c r="BO70" s="115" t="str">
        <f>IF(IFERROR(VLOOKUP(J70,'[63]ТР нефть'!$J$28:$BP$638,58,0),"-")=0,"-",IFERROR(VLOOKUP(J70,'[63]ТР нефть'!$J$28:$BP$638,58,0),"-"))</f>
        <v>-</v>
      </c>
      <c r="BP70" s="115" t="str">
        <f>IF(IFERROR(VLOOKUP(J70,'[63]ТР нефть'!$J$28:$BP$638,59,0),"-")=0,"-",IFERROR(VLOOKUP(J70,'[63]ТР нефть'!$J$28:$BP$638,59,0),"-"))</f>
        <v>-</v>
      </c>
      <c r="BQ70" s="138">
        <v>1798</v>
      </c>
      <c r="BR70" s="128">
        <v>1794.74</v>
      </c>
      <c r="BS70" s="115">
        <f t="shared" si="2"/>
        <v>3.2599999999999909</v>
      </c>
      <c r="BT70" s="128">
        <v>73</v>
      </c>
      <c r="BU70" s="128">
        <v>5.5</v>
      </c>
      <c r="BV70" s="127">
        <v>18</v>
      </c>
      <c r="BW70" s="127" t="s">
        <v>194</v>
      </c>
      <c r="BX70" s="127" t="s">
        <v>195</v>
      </c>
      <c r="BY70" s="139">
        <v>24</v>
      </c>
      <c r="BZ70" s="139">
        <v>0</v>
      </c>
      <c r="CA70" s="80">
        <v>28</v>
      </c>
      <c r="CB70" s="138">
        <v>98</v>
      </c>
      <c r="CC70" s="138">
        <v>27</v>
      </c>
      <c r="CD70" s="135">
        <v>45017</v>
      </c>
      <c r="CE70" s="138">
        <v>98.03</v>
      </c>
      <c r="CF70" s="138">
        <v>75</v>
      </c>
      <c r="CG70" s="138" t="str">
        <f t="shared" si="52"/>
        <v>В работе</v>
      </c>
      <c r="CH70" s="138" t="s">
        <v>196</v>
      </c>
      <c r="CI70" s="127"/>
      <c r="CJ70" s="138"/>
      <c r="CK70" s="138">
        <f t="shared" si="55"/>
        <v>14.18</v>
      </c>
      <c r="CL70" s="99"/>
      <c r="CM70" s="99"/>
      <c r="CN70" s="140">
        <v>42.18</v>
      </c>
      <c r="CO70" s="141">
        <f t="shared" si="4"/>
        <v>3.9737002799999992</v>
      </c>
      <c r="CP70" s="142">
        <v>5.89</v>
      </c>
      <c r="CQ70" s="143">
        <v>19.3</v>
      </c>
      <c r="CR70" s="138">
        <v>18</v>
      </c>
      <c r="CS70" s="139">
        <v>9.6</v>
      </c>
      <c r="CT70" s="138"/>
      <c r="CU70" s="138">
        <f t="shared" si="5"/>
        <v>8.4</v>
      </c>
      <c r="CV70" s="115">
        <f t="shared" si="6"/>
        <v>2113.8987362177204</v>
      </c>
      <c r="CW70" s="115">
        <f t="shared" si="7"/>
        <v>1814.7173783540218</v>
      </c>
      <c r="CX70" s="133">
        <f t="shared" si="8"/>
        <v>0.1054610564010743</v>
      </c>
      <c r="CY70" s="116"/>
      <c r="CZ70" s="131"/>
      <c r="DA70" s="145" t="str">
        <f t="shared" si="9"/>
        <v>Газлифт</v>
      </c>
      <c r="DB70" s="146">
        <f t="shared" si="10"/>
        <v>3.9737002799999992</v>
      </c>
      <c r="DC70" s="142">
        <f t="shared" si="11"/>
        <v>5.89</v>
      </c>
      <c r="DD70" s="119">
        <f t="shared" si="12"/>
        <v>19.3</v>
      </c>
      <c r="DE70" s="115">
        <f t="shared" si="13"/>
        <v>8.4</v>
      </c>
      <c r="DF70" s="121">
        <f t="shared" si="14"/>
        <v>9.6</v>
      </c>
      <c r="DG70" s="115">
        <f t="shared" si="15"/>
        <v>2113.8987362177204</v>
      </c>
      <c r="DH70" s="115">
        <f t="shared" si="16"/>
        <v>42.18</v>
      </c>
      <c r="DI70" s="147"/>
      <c r="DJ70" s="111">
        <v>43615</v>
      </c>
      <c r="DK70" s="112">
        <v>42799</v>
      </c>
      <c r="DL70" s="113">
        <f t="shared" ca="1" si="42"/>
        <v>2305</v>
      </c>
      <c r="DM70" s="114"/>
      <c r="DN70" s="114"/>
      <c r="DO70" s="114"/>
      <c r="DP70" s="114"/>
      <c r="DQ70" s="112">
        <v>43623</v>
      </c>
      <c r="DR70" s="114" t="s">
        <v>198</v>
      </c>
      <c r="DS70" s="114"/>
      <c r="DT70" s="115">
        <v>45</v>
      </c>
      <c r="DU70" s="116">
        <f t="shared" si="43"/>
        <v>0.11106920610974919</v>
      </c>
      <c r="DV70" s="117">
        <f t="shared" si="44"/>
        <v>3.9737002799999992</v>
      </c>
      <c r="DW70" s="118">
        <f t="shared" si="45"/>
        <v>5.89</v>
      </c>
      <c r="DX70" s="119">
        <f t="shared" si="21"/>
        <v>19.3</v>
      </c>
      <c r="DY70" s="115">
        <f t="shared" si="46"/>
        <v>8.4</v>
      </c>
      <c r="DZ70" s="117">
        <f t="shared" si="47"/>
        <v>0</v>
      </c>
      <c r="EA70" s="120">
        <f t="shared" si="47"/>
        <v>0</v>
      </c>
      <c r="EB70" s="119">
        <f t="shared" si="47"/>
        <v>0</v>
      </c>
      <c r="EC70" s="121">
        <f t="shared" si="48"/>
        <v>0</v>
      </c>
      <c r="ED70" s="122"/>
      <c r="EE70" s="145">
        <v>18</v>
      </c>
      <c r="EF70" s="148">
        <v>28</v>
      </c>
      <c r="EG70" s="115">
        <v>98</v>
      </c>
      <c r="EH70" s="115">
        <v>27</v>
      </c>
      <c r="EI70" s="128" t="s">
        <v>195</v>
      </c>
      <c r="EJ70" s="121">
        <v>24</v>
      </c>
      <c r="EK70" s="121">
        <v>0</v>
      </c>
      <c r="EL70" s="149">
        <v>3.9737002799999992</v>
      </c>
      <c r="EM70" s="142">
        <v>5.89</v>
      </c>
      <c r="EN70" s="119">
        <v>19.3</v>
      </c>
      <c r="EO70" s="115">
        <v>18</v>
      </c>
      <c r="EP70" s="115">
        <v>2113.8987362177204</v>
      </c>
      <c r="EQ70" s="115">
        <v>75</v>
      </c>
      <c r="ER70" s="115">
        <v>9.6</v>
      </c>
      <c r="ES70" s="115">
        <v>42.18</v>
      </c>
      <c r="ET70" s="150">
        <v>0.1054610564010743</v>
      </c>
      <c r="EU70" s="145">
        <f t="shared" si="25"/>
        <v>18</v>
      </c>
      <c r="EV70" s="115">
        <f t="shared" si="26"/>
        <v>28</v>
      </c>
      <c r="EW70" s="115">
        <f t="shared" si="26"/>
        <v>98</v>
      </c>
      <c r="EX70" s="115">
        <f t="shared" si="26"/>
        <v>27</v>
      </c>
      <c r="EY70" s="115" t="str">
        <f t="shared" si="53"/>
        <v>Постоянный</v>
      </c>
      <c r="EZ70" s="115">
        <f t="shared" si="53"/>
        <v>24</v>
      </c>
      <c r="FA70" s="115">
        <f t="shared" si="53"/>
        <v>0</v>
      </c>
      <c r="FB70" s="149">
        <f t="shared" si="28"/>
        <v>3.9737002799999992</v>
      </c>
      <c r="FC70" s="142">
        <f t="shared" si="28"/>
        <v>5.89</v>
      </c>
      <c r="FD70" s="119">
        <f t="shared" si="28"/>
        <v>19.3</v>
      </c>
      <c r="FE70" s="121">
        <f t="shared" si="28"/>
        <v>18</v>
      </c>
      <c r="FF70" s="121">
        <f t="shared" si="49"/>
        <v>2113.8987362177204</v>
      </c>
      <c r="FG70" s="121">
        <f t="shared" si="30"/>
        <v>75</v>
      </c>
      <c r="FH70" s="121">
        <f t="shared" si="50"/>
        <v>9.6</v>
      </c>
      <c r="FI70" s="121">
        <f t="shared" si="54"/>
        <v>42.18</v>
      </c>
      <c r="FJ70" s="144">
        <f t="shared" si="33"/>
        <v>0.1054610564010743</v>
      </c>
      <c r="FK70" s="132">
        <f t="shared" si="34"/>
        <v>0</v>
      </c>
      <c r="FL70" s="115">
        <f t="shared" si="34"/>
        <v>0</v>
      </c>
      <c r="FM70" s="115">
        <f t="shared" si="34"/>
        <v>0</v>
      </c>
      <c r="FN70" s="115">
        <f t="shared" si="34"/>
        <v>0</v>
      </c>
      <c r="FO70" s="115">
        <f t="shared" si="35"/>
        <v>0</v>
      </c>
      <c r="FP70" s="115">
        <f t="shared" si="35"/>
        <v>0</v>
      </c>
      <c r="FQ70" s="149">
        <f t="shared" si="35"/>
        <v>0</v>
      </c>
      <c r="FR70" s="142">
        <f t="shared" si="35"/>
        <v>0</v>
      </c>
      <c r="FS70" s="119">
        <f t="shared" si="35"/>
        <v>0</v>
      </c>
      <c r="FT70" s="121">
        <f t="shared" si="35"/>
        <v>0</v>
      </c>
      <c r="FU70" s="121">
        <f t="shared" si="36"/>
        <v>0</v>
      </c>
      <c r="FV70" s="121">
        <f t="shared" si="36"/>
        <v>0</v>
      </c>
      <c r="FW70" s="121">
        <f t="shared" si="37"/>
        <v>0</v>
      </c>
      <c r="FX70" s="121">
        <f t="shared" si="38"/>
        <v>0</v>
      </c>
      <c r="FY70" s="144">
        <f t="shared" si="38"/>
        <v>0</v>
      </c>
      <c r="FZ70" s="145"/>
      <c r="GA70" s="125"/>
      <c r="GB70" s="145"/>
      <c r="GC70" s="125"/>
      <c r="GD70" s="997" t="s">
        <v>202</v>
      </c>
      <c r="GE70" s="1004"/>
      <c r="GF70" s="1004">
        <v>0</v>
      </c>
      <c r="GG70" s="1004"/>
      <c r="GH70" s="1004">
        <v>0</v>
      </c>
      <c r="GI70" s="145"/>
      <c r="GJ70" s="996">
        <v>0</v>
      </c>
      <c r="GK70" s="145"/>
      <c r="GL70" s="996">
        <v>0</v>
      </c>
      <c r="GM70" s="1005"/>
      <c r="GN70" s="996">
        <v>0</v>
      </c>
      <c r="GO70" s="1006"/>
      <c r="GP70" s="996">
        <v>0</v>
      </c>
      <c r="GQ70" s="1006"/>
      <c r="GR70" s="996">
        <v>0</v>
      </c>
      <c r="GS70" s="1006"/>
      <c r="GT70" s="996">
        <v>0</v>
      </c>
      <c r="GU70" s="1006" t="s">
        <v>25</v>
      </c>
      <c r="GV70" s="996">
        <v>0.74895191799999949</v>
      </c>
      <c r="GW70" s="1006"/>
      <c r="GX70" s="996">
        <v>0</v>
      </c>
      <c r="GY70" s="1006" t="s">
        <v>199</v>
      </c>
      <c r="GZ70" s="996">
        <v>-1.1253270600000005</v>
      </c>
      <c r="HA70" s="1006"/>
      <c r="HB70" s="996">
        <v>0.19172238800000008</v>
      </c>
      <c r="HC70" s="1006" t="s">
        <v>204</v>
      </c>
      <c r="HD70" s="996">
        <v>0.68624111269999988</v>
      </c>
      <c r="HE70" s="1006"/>
      <c r="HF70" s="996">
        <v>0</v>
      </c>
      <c r="HG70" s="1006" t="s">
        <v>199</v>
      </c>
      <c r="HH70" s="996">
        <v>-0.97840890069999986</v>
      </c>
      <c r="HI70" s="1006"/>
      <c r="HJ70" s="996">
        <v>0</v>
      </c>
      <c r="HK70" s="1006"/>
      <c r="HL70" s="996">
        <v>0</v>
      </c>
      <c r="HM70" s="1006" t="s">
        <v>199</v>
      </c>
      <c r="HN70" s="996">
        <v>1.2623599999999999</v>
      </c>
      <c r="HO70" s="1006" t="s">
        <v>199</v>
      </c>
      <c r="HP70" s="996">
        <v>-2.1732070800000001</v>
      </c>
      <c r="HQ70" s="1006"/>
      <c r="HR70" s="996">
        <v>0.15958738399999906</v>
      </c>
      <c r="HS70" s="1006"/>
      <c r="HT70" s="996">
        <v>0</v>
      </c>
      <c r="HU70" s="1006"/>
      <c r="HV70" s="996">
        <v>0</v>
      </c>
      <c r="HW70" s="1006"/>
      <c r="HX70" s="996">
        <v>-0.89084494399999903</v>
      </c>
      <c r="HY70" s="1006" t="s">
        <v>204</v>
      </c>
      <c r="HZ70" s="996">
        <v>-4.4603141439999998</v>
      </c>
      <c r="IA70" s="1006"/>
      <c r="IB70" s="996">
        <v>0.75770358399999971</v>
      </c>
      <c r="IC70" s="1006" t="s">
        <v>199</v>
      </c>
      <c r="ID70" s="996">
        <v>4.3289752000000004</v>
      </c>
      <c r="IE70" s="1006"/>
      <c r="IF70" s="996">
        <v>0.18809999999999993</v>
      </c>
      <c r="IG70" s="1006"/>
      <c r="IH70" s="996">
        <v>0</v>
      </c>
      <c r="II70" s="1006"/>
      <c r="IJ70" s="996">
        <v>-0.75240000000000018</v>
      </c>
      <c r="IK70" s="1006"/>
      <c r="IL70" s="996">
        <v>0.91959999999999953</v>
      </c>
      <c r="IM70" s="1006"/>
      <c r="IN70" s="996">
        <v>0</v>
      </c>
      <c r="IO70" s="1006"/>
      <c r="IP70" s="996">
        <v>0</v>
      </c>
      <c r="IQ70" s="1006" t="s">
        <v>204</v>
      </c>
      <c r="IR70" s="996">
        <v>-2.5330799999999996</v>
      </c>
      <c r="IS70" s="1006"/>
      <c r="IT70" s="996">
        <v>0</v>
      </c>
      <c r="IU70" s="1006"/>
      <c r="IV70" s="996">
        <v>0</v>
      </c>
      <c r="IW70" s="1006" t="s">
        <v>204</v>
      </c>
      <c r="IX70" s="996">
        <v>-4.6565200000000004</v>
      </c>
      <c r="IY70" s="1006" t="s">
        <v>199</v>
      </c>
      <c r="IZ70" s="996">
        <v>5.1832000000000011</v>
      </c>
      <c r="JA70" s="1006"/>
      <c r="JB70" s="996">
        <v>0</v>
      </c>
      <c r="JC70" s="1006"/>
      <c r="JD70" s="996">
        <v>0</v>
      </c>
      <c r="JE70" s="1006"/>
      <c r="JF70" s="996">
        <v>0</v>
      </c>
      <c r="JG70" s="1006" t="s">
        <v>199</v>
      </c>
      <c r="JH70" s="996">
        <v>-3.7333001200000009</v>
      </c>
      <c r="JI70" s="1006"/>
      <c r="JJ70" s="996">
        <v>0</v>
      </c>
      <c r="JK70" s="1007"/>
      <c r="JL70" s="1007">
        <v>0</v>
      </c>
      <c r="JM70" s="1007"/>
      <c r="JN70" s="1007">
        <v>0</v>
      </c>
      <c r="JO70" s="1008"/>
      <c r="JP70" s="1007">
        <v>0</v>
      </c>
      <c r="JQ70" s="1008" t="s">
        <v>435</v>
      </c>
      <c r="JR70" s="1007">
        <v>-5.47941988</v>
      </c>
      <c r="JS70" s="1008" t="s">
        <v>203</v>
      </c>
      <c r="JT70" s="1007">
        <v>5.7903801120000011</v>
      </c>
      <c r="JU70" s="1008" t="s">
        <v>25</v>
      </c>
      <c r="JV70" s="1007">
        <v>4.0961558879999993</v>
      </c>
      <c r="JW70" s="1008" t="s">
        <v>197</v>
      </c>
      <c r="JX70" s="1007">
        <v>0</v>
      </c>
      <c r="JY70" s="1008"/>
      <c r="JZ70" s="1007">
        <v>0</v>
      </c>
      <c r="KA70" s="1008"/>
      <c r="KB70" s="1007">
        <v>0</v>
      </c>
      <c r="KC70" s="1008" t="s">
        <v>204</v>
      </c>
      <c r="KD70" s="1007">
        <v>-0.83516400000000068</v>
      </c>
      <c r="KE70" s="1008"/>
      <c r="KF70" s="1007">
        <v>0</v>
      </c>
      <c r="KG70" s="1008"/>
      <c r="KH70" s="1007">
        <v>0</v>
      </c>
      <c r="KI70" s="1008"/>
      <c r="KJ70" s="1007">
        <v>0.83516400000000068</v>
      </c>
      <c r="KK70" s="1008"/>
      <c r="KL70" s="1007">
        <v>0</v>
      </c>
      <c r="KM70" s="1008"/>
      <c r="KN70" s="1007">
        <v>0</v>
      </c>
      <c r="KO70" s="1008" t="s">
        <v>204</v>
      </c>
      <c r="KP70" s="1007">
        <v>0.8351639999999998</v>
      </c>
      <c r="KQ70" s="1008" t="s">
        <v>240</v>
      </c>
      <c r="KR70" s="1007">
        <v>-1.6703280000000005</v>
      </c>
      <c r="KS70" s="1008" t="s">
        <v>223</v>
      </c>
      <c r="KT70" s="1007">
        <v>-2.5054919999999994</v>
      </c>
      <c r="KU70" s="1008">
        <v>0</v>
      </c>
      <c r="KV70" s="1007">
        <v>0</v>
      </c>
      <c r="KW70" s="1008" t="s">
        <v>204</v>
      </c>
      <c r="KX70" s="1007">
        <v>0.85848839999999971</v>
      </c>
      <c r="KY70" s="1008">
        <v>0</v>
      </c>
      <c r="KZ70" s="1007">
        <v>0</v>
      </c>
      <c r="LA70" s="1008" t="s">
        <v>206</v>
      </c>
      <c r="LB70" s="1007">
        <v>-1.0823441200000001</v>
      </c>
      <c r="LC70" s="1008">
        <v>0</v>
      </c>
      <c r="LD70" s="1007">
        <v>0</v>
      </c>
      <c r="LE70" s="1008" t="s">
        <v>206</v>
      </c>
      <c r="LF70" s="1007">
        <v>1.4503411208000001</v>
      </c>
      <c r="LG70" s="1008">
        <v>0</v>
      </c>
      <c r="LH70" s="1007">
        <v>0</v>
      </c>
      <c r="LI70" s="1008">
        <v>0</v>
      </c>
      <c r="LJ70" s="1007">
        <v>0</v>
      </c>
      <c r="LK70" s="1008">
        <v>0</v>
      </c>
      <c r="LL70" s="1007">
        <v>0</v>
      </c>
      <c r="LM70" s="1008" t="s">
        <v>206</v>
      </c>
      <c r="LN70" s="1007">
        <v>-0.41799999999999998</v>
      </c>
      <c r="LO70" s="1008" t="s">
        <v>206</v>
      </c>
      <c r="LP70" s="1007">
        <v>-1.6719999999999997</v>
      </c>
      <c r="LQ70" s="1008" t="s">
        <v>203</v>
      </c>
      <c r="LR70" s="1007">
        <v>-5.9857599999999991</v>
      </c>
      <c r="LS70" s="1008">
        <v>0</v>
      </c>
      <c r="LT70" s="1007">
        <v>-4.2385199999999994</v>
      </c>
      <c r="LU70" s="1008" t="s">
        <v>203</v>
      </c>
      <c r="LV70" s="1007">
        <v>-5.6597200000000001</v>
      </c>
      <c r="LW70" s="1008">
        <v>0</v>
      </c>
      <c r="LX70" s="1007">
        <v>25.8</v>
      </c>
      <c r="LY70" s="1009">
        <v>0</v>
      </c>
      <c r="LZ70" s="1010">
        <v>0</v>
      </c>
      <c r="MA70" s="1011">
        <v>0</v>
      </c>
      <c r="MB70" s="1012">
        <v>12</v>
      </c>
      <c r="MC70" s="995"/>
      <c r="MD70" s="996"/>
      <c r="ME70" s="997" t="s">
        <v>202</v>
      </c>
      <c r="MF70" s="997"/>
      <c r="MG70" s="998"/>
      <c r="NR70" s="1000"/>
      <c r="NS70" s="1000"/>
      <c r="NT70" s="1001"/>
      <c r="NU70" s="1000"/>
      <c r="NV70" s="1001"/>
      <c r="NX70" s="1002"/>
      <c r="NZ70" s="1001"/>
      <c r="OA70" s="1001"/>
      <c r="OC70" s="1003"/>
      <c r="OD70" s="1003"/>
      <c r="OE70" s="1001"/>
      <c r="OF70" s="1003"/>
      <c r="OG70" s="1003"/>
      <c r="QX70" s="1000">
        <f t="shared" si="51"/>
        <v>14.18</v>
      </c>
      <c r="ASU70" s="999" t="s">
        <v>225</v>
      </c>
    </row>
    <row r="71" spans="1:466 1191:1191" ht="21" customHeight="1" x14ac:dyDescent="0.25">
      <c r="A71" s="982" t="str">
        <f t="shared" si="0"/>
        <v>95-2</v>
      </c>
      <c r="B71" s="124">
        <f>SUBTOTAL(103,$J$29:J71)</f>
        <v>43</v>
      </c>
      <c r="C71" s="126">
        <v>45096</v>
      </c>
      <c r="D71" s="124" t="s">
        <v>176</v>
      </c>
      <c r="E71" s="127" t="s">
        <v>177</v>
      </c>
      <c r="F71" s="128" t="s">
        <v>177</v>
      </c>
      <c r="G71" s="127" t="s">
        <v>178</v>
      </c>
      <c r="H71" s="127" t="s">
        <v>226</v>
      </c>
      <c r="I71" s="127" t="s">
        <v>381</v>
      </c>
      <c r="J71" s="152" t="s">
        <v>483</v>
      </c>
      <c r="K71" s="127" t="s">
        <v>484</v>
      </c>
      <c r="L71" s="130">
        <v>34986</v>
      </c>
      <c r="M71" s="127" t="s">
        <v>230</v>
      </c>
      <c r="N71" s="127" t="s">
        <v>184</v>
      </c>
      <c r="O71" s="127" t="s">
        <v>185</v>
      </c>
      <c r="P71" s="127" t="s">
        <v>225</v>
      </c>
      <c r="Q71" s="85">
        <f t="shared" si="40"/>
        <v>-4</v>
      </c>
      <c r="R71" s="130">
        <v>35485</v>
      </c>
      <c r="S71" s="128" t="s">
        <v>268</v>
      </c>
      <c r="T71" s="131"/>
      <c r="U71" s="132">
        <v>203</v>
      </c>
      <c r="V71" s="121">
        <v>218.2</v>
      </c>
      <c r="W71" s="116">
        <v>0.98</v>
      </c>
      <c r="X71" s="116">
        <v>1.66</v>
      </c>
      <c r="Y71" s="116">
        <f t="shared" si="41"/>
        <v>1.0346757574986643</v>
      </c>
      <c r="Z71" s="133">
        <v>1.454</v>
      </c>
      <c r="AA71" s="133">
        <v>0.83599999999999997</v>
      </c>
      <c r="AB71" s="133">
        <v>0.72</v>
      </c>
      <c r="AC71" s="121">
        <v>34.299999999999997</v>
      </c>
      <c r="AD71" s="134">
        <v>1.17</v>
      </c>
      <c r="AE71" s="124" t="s">
        <v>213</v>
      </c>
      <c r="AF71" s="128" t="s">
        <v>366</v>
      </c>
      <c r="AG71" s="128" t="s">
        <v>485</v>
      </c>
      <c r="AH71" s="127">
        <v>2596</v>
      </c>
      <c r="AI71" s="127">
        <v>2596</v>
      </c>
      <c r="AJ71" s="135"/>
      <c r="AK71" s="128"/>
      <c r="AL71" s="131"/>
      <c r="AM71" s="124" t="s">
        <v>232</v>
      </c>
      <c r="AN71" s="136" t="s">
        <v>486</v>
      </c>
      <c r="AO71" s="137">
        <v>63.799999999999955</v>
      </c>
      <c r="AP71" s="128">
        <v>1919</v>
      </c>
      <c r="AQ71" s="128">
        <v>22.7</v>
      </c>
      <c r="AR71" s="128"/>
      <c r="AS71" s="128"/>
      <c r="AT71" s="122"/>
      <c r="AU71" s="124" t="s">
        <v>189</v>
      </c>
      <c r="AV71" s="115">
        <f>VLOOKUP(J71,'[63]ТР нефть'!$J$28:$BP$638,39,0)</f>
        <v>479.99998505899998</v>
      </c>
      <c r="AW71" s="115" t="str">
        <f>VLOOKUP(J71,'[63]ТР нефть'!$J$28:$BP$638,40,0)</f>
        <v>ГП</v>
      </c>
      <c r="AX71" s="115">
        <f>VLOOKUP(J71,'[63]ТР нефть'!$J$28:$BP$638,41,0)</f>
        <v>880.00001601600002</v>
      </c>
      <c r="AY71" s="115" t="str">
        <f>VLOOKUP(J71,'[63]ТР нефть'!$J$28:$BP$638,42,0)</f>
        <v>ГК 75 1/8</v>
      </c>
      <c r="AZ71" s="115">
        <f>VLOOKUP(J71,'[63]ТР нефть'!$J$28:$BP$638,43,0)</f>
        <v>1239.999995508</v>
      </c>
      <c r="BA71" s="115" t="str">
        <f>VLOOKUP(J71,'[63]ТР нефть'!$J$28:$BP$638,44,0)</f>
        <v>ГК 70 1/8</v>
      </c>
      <c r="BB71" s="115">
        <f>VLOOKUP(J71,'[63]ТР нефть'!$J$28:$BP$638,45,0)</f>
        <v>1499.999976563</v>
      </c>
      <c r="BC71" s="115" t="str">
        <f>VLOOKUP(J71,'[63]ТР нефть'!$J$28:$BP$638,46,0)</f>
        <v>ЦКсОК 5/16</v>
      </c>
      <c r="BD71" s="115" t="str">
        <f>VLOOKUP(J71,'[63]ТР нефть'!$J$28:$BP$638,47,0)</f>
        <v>-</v>
      </c>
      <c r="BE71" s="115" t="str">
        <f>VLOOKUP(J71,'[63]ТР нефть'!$J$28:$BP$638,48,0)</f>
        <v>-</v>
      </c>
      <c r="BF71" s="115" t="str">
        <f>VLOOKUP(J71,'[63]ТР нефть'!$J$28:$BP$638,49,0)</f>
        <v>-</v>
      </c>
      <c r="BG71" s="115" t="str">
        <f>VLOOKUP(J71,'[63]ТР нефть'!$J$28:$BP$638,50,0)</f>
        <v>-</v>
      </c>
      <c r="BH71" s="115">
        <f>VLOOKUP(J71,'[63]ТР нефть'!$J$28:$BP$638,51,0)</f>
        <v>1560</v>
      </c>
      <c r="BI71" s="115" t="str">
        <f>VLOOKUP(J71,'[63]ТР нефть'!$J$28:$BP$638,52,0)</f>
        <v>закрыт</v>
      </c>
      <c r="BJ71" s="115" t="str">
        <f>IF(IFERROR(VLOOKUP(J71,'[63]ТР нефть'!$J$28:$BP$638,53,0),"-")=0,"-",IFERROR(VLOOKUP(J71,'[63]ТР нефть'!$J$28:$BP$638,53,0),"-"))</f>
        <v>-</v>
      </c>
      <c r="BK71" s="138" t="str">
        <f>IF(IFERROR(VLOOKUP(J71,'[63]ТР нефть'!$J$28:$BP$638,54,0),"-")=0,"-",IFERROR(VLOOKUP(J71,'[63]ТР нефть'!$J$28:$BP$638,54,0),"-"))</f>
        <v>-</v>
      </c>
      <c r="BL71" s="138" t="str">
        <f>IF(IFERROR(VLOOKUP(J71,'[63]ТР нефть'!$J$28:$BP$638,55,0),"-")=0,"-",IFERROR(VLOOKUP(J71,'[63]ТР нефть'!$J$28:$BP$638,55,0),"-"))</f>
        <v>-</v>
      </c>
      <c r="BM71" s="138" t="str">
        <f>IF(IFERROR(VLOOKUP(J71,'[63]ТР нефть'!$J$28:$BP$638,56,0),"-")=0,"-",IFERROR(VLOOKUP(J71,'[63]ТР нефть'!$J$28:$BP$638,56,0),"-"))</f>
        <v>-</v>
      </c>
      <c r="BN71" s="138" t="str">
        <f>IF(IFERROR(VLOOKUP(J71,'[63]ТР нефть'!$J$28:$BP$638,57,0),"-")=0,"-",IFERROR(VLOOKUP(J71,'[63]ТР нефть'!$J$28:$BP$638,57,0),"-"))</f>
        <v>-</v>
      </c>
      <c r="BO71" s="115" t="str">
        <f>IF(IFERROR(VLOOKUP(J71,'[63]ТР нефть'!$J$28:$BP$638,58,0),"-")=0,"-",IFERROR(VLOOKUP(J71,'[63]ТР нефть'!$J$28:$BP$638,58,0),"-"))</f>
        <v>-</v>
      </c>
      <c r="BP71" s="115" t="str">
        <f>IF(IFERROR(VLOOKUP(J71,'[63]ТР нефть'!$J$28:$BP$638,59,0),"-")=0,"-",IFERROR(VLOOKUP(J71,'[63]ТР нефть'!$J$28:$BP$638,59,0),"-"))</f>
        <v>-</v>
      </c>
      <c r="BQ71" s="138">
        <v>2400</v>
      </c>
      <c r="BR71" s="128">
        <v>1959.56</v>
      </c>
      <c r="BS71" s="115">
        <f t="shared" si="2"/>
        <v>440.44000000000005</v>
      </c>
      <c r="BT71" s="128">
        <v>73</v>
      </c>
      <c r="BU71" s="128">
        <v>5.5</v>
      </c>
      <c r="BV71" s="127">
        <v>18</v>
      </c>
      <c r="BW71" s="127" t="s">
        <v>234</v>
      </c>
      <c r="BX71" s="127" t="s">
        <v>218</v>
      </c>
      <c r="BY71" s="139">
        <v>24</v>
      </c>
      <c r="BZ71" s="139">
        <v>24</v>
      </c>
      <c r="CA71" s="80">
        <v>16</v>
      </c>
      <c r="CB71" s="138">
        <v>31</v>
      </c>
      <c r="CC71" s="138">
        <v>15</v>
      </c>
      <c r="CD71" s="135">
        <v>45017</v>
      </c>
      <c r="CE71" s="138">
        <v>65</v>
      </c>
      <c r="CF71" s="138">
        <v>81</v>
      </c>
      <c r="CG71" s="138" t="str">
        <f t="shared" si="52"/>
        <v>В работе</v>
      </c>
      <c r="CH71" s="138" t="s">
        <v>235</v>
      </c>
      <c r="CI71" s="127">
        <v>5</v>
      </c>
      <c r="CJ71" s="138"/>
      <c r="CK71" s="138"/>
      <c r="CL71" s="99"/>
      <c r="CM71" s="99"/>
      <c r="CN71" s="140">
        <v>38</v>
      </c>
      <c r="CO71" s="141">
        <f t="shared" si="4"/>
        <v>4.6237905999999995</v>
      </c>
      <c r="CP71" s="142">
        <f>12.7/2</f>
        <v>6.35</v>
      </c>
      <c r="CQ71" s="143">
        <v>12.9</v>
      </c>
      <c r="CR71" s="138">
        <f>17.7/2</f>
        <v>8.85</v>
      </c>
      <c r="CS71" s="139">
        <f>7.2/2</f>
        <v>3.6</v>
      </c>
      <c r="CT71" s="138"/>
      <c r="CU71" s="138">
        <f t="shared" si="5"/>
        <v>5.25</v>
      </c>
      <c r="CV71" s="115">
        <f t="shared" si="6"/>
        <v>1135.4320414077577</v>
      </c>
      <c r="CW71" s="115">
        <f t="shared" si="7"/>
        <v>646.04511013570675</v>
      </c>
      <c r="CX71" s="133">
        <f t="shared" si="8"/>
        <v>0.23518518518518516</v>
      </c>
      <c r="CY71" s="116"/>
      <c r="CZ71" s="131"/>
      <c r="DA71" s="145" t="str">
        <f t="shared" si="9"/>
        <v>Газлифт</v>
      </c>
      <c r="DB71" s="146">
        <f t="shared" si="10"/>
        <v>5.1015645999999997</v>
      </c>
      <c r="DC71" s="142">
        <f t="shared" si="11"/>
        <v>6.35</v>
      </c>
      <c r="DD71" s="119">
        <f t="shared" si="12"/>
        <v>3.9</v>
      </c>
      <c r="DE71" s="115">
        <f t="shared" si="13"/>
        <v>5.25</v>
      </c>
      <c r="DF71" s="121">
        <f t="shared" si="14"/>
        <v>3.6</v>
      </c>
      <c r="DG71" s="115">
        <f t="shared" si="15"/>
        <v>1135.4320414077577</v>
      </c>
      <c r="DH71" s="115">
        <f t="shared" si="16"/>
        <v>38</v>
      </c>
      <c r="DI71" s="147"/>
      <c r="DJ71" s="111" t="s">
        <v>197</v>
      </c>
      <c r="DK71" s="112">
        <v>34986</v>
      </c>
      <c r="DL71" s="113">
        <f t="shared" ca="1" si="42"/>
        <v>10118</v>
      </c>
      <c r="DM71" s="114"/>
      <c r="DN71" s="114"/>
      <c r="DO71" s="114"/>
      <c r="DP71" s="114"/>
      <c r="DQ71" s="112">
        <v>38447</v>
      </c>
      <c r="DR71" s="114" t="s">
        <v>198</v>
      </c>
      <c r="DS71" s="114"/>
      <c r="DT71" s="115">
        <v>41</v>
      </c>
      <c r="DU71" s="116">
        <f t="shared" si="43"/>
        <v>0.26458333333333334</v>
      </c>
      <c r="DV71" s="117">
        <f t="shared" si="44"/>
        <v>4.6237905999999995</v>
      </c>
      <c r="DW71" s="118">
        <f t="shared" si="45"/>
        <v>6.35</v>
      </c>
      <c r="DX71" s="119">
        <f t="shared" si="21"/>
        <v>12.9</v>
      </c>
      <c r="DY71" s="115">
        <f t="shared" si="46"/>
        <v>5.25</v>
      </c>
      <c r="DZ71" s="117">
        <f t="shared" si="47"/>
        <v>0</v>
      </c>
      <c r="EA71" s="120">
        <f t="shared" si="47"/>
        <v>0</v>
      </c>
      <c r="EB71" s="119">
        <f t="shared" si="47"/>
        <v>0</v>
      </c>
      <c r="EC71" s="121">
        <f t="shared" si="48"/>
        <v>0</v>
      </c>
      <c r="ED71" s="122"/>
      <c r="EE71" s="145">
        <v>18</v>
      </c>
      <c r="EF71" s="148">
        <v>18</v>
      </c>
      <c r="EG71" s="115">
        <v>33</v>
      </c>
      <c r="EH71" s="115">
        <v>17</v>
      </c>
      <c r="EI71" s="128" t="s">
        <v>218</v>
      </c>
      <c r="EJ71" s="121">
        <v>24</v>
      </c>
      <c r="EK71" s="121">
        <v>24</v>
      </c>
      <c r="EL71" s="149">
        <v>3.3742631999999997</v>
      </c>
      <c r="EM71" s="142">
        <v>4.2</v>
      </c>
      <c r="EN71" s="119">
        <v>3.9</v>
      </c>
      <c r="EO71" s="115">
        <v>12</v>
      </c>
      <c r="EP71" s="115">
        <v>2133.7991654000198</v>
      </c>
      <c r="EQ71" s="115">
        <v>80</v>
      </c>
      <c r="ER71" s="115">
        <v>4.8</v>
      </c>
      <c r="ES71" s="115">
        <v>38</v>
      </c>
      <c r="ET71" s="150">
        <v>0.15555555555555556</v>
      </c>
      <c r="EU71" s="145">
        <f t="shared" si="25"/>
        <v>18</v>
      </c>
      <c r="EV71" s="115">
        <f t="shared" si="26"/>
        <v>16</v>
      </c>
      <c r="EW71" s="115">
        <f t="shared" si="26"/>
        <v>31</v>
      </c>
      <c r="EX71" s="115">
        <f t="shared" si="26"/>
        <v>15</v>
      </c>
      <c r="EY71" s="115" t="str">
        <f t="shared" si="53"/>
        <v>Периодический</v>
      </c>
      <c r="EZ71" s="115">
        <f t="shared" si="53"/>
        <v>24</v>
      </c>
      <c r="FA71" s="115">
        <f t="shared" si="53"/>
        <v>24</v>
      </c>
      <c r="FB71" s="149">
        <f t="shared" si="28"/>
        <v>4.6237905999999995</v>
      </c>
      <c r="FC71" s="142">
        <f t="shared" si="28"/>
        <v>6.35</v>
      </c>
      <c r="FD71" s="119">
        <f t="shared" si="28"/>
        <v>12.9</v>
      </c>
      <c r="FE71" s="121">
        <f t="shared" si="28"/>
        <v>8.85</v>
      </c>
      <c r="FF71" s="121">
        <f t="shared" si="49"/>
        <v>1135.4320414077577</v>
      </c>
      <c r="FG71" s="121">
        <f t="shared" si="30"/>
        <v>81</v>
      </c>
      <c r="FH71" s="121">
        <f t="shared" si="50"/>
        <v>3.6</v>
      </c>
      <c r="FI71" s="121">
        <f t="shared" si="54"/>
        <v>38</v>
      </c>
      <c r="FJ71" s="144">
        <f t="shared" si="33"/>
        <v>0.23518518518518516</v>
      </c>
      <c r="FK71" s="132">
        <f t="shared" si="34"/>
        <v>0</v>
      </c>
      <c r="FL71" s="115">
        <f t="shared" si="34"/>
        <v>-2</v>
      </c>
      <c r="FM71" s="115">
        <f t="shared" si="34"/>
        <v>-2</v>
      </c>
      <c r="FN71" s="115">
        <f t="shared" si="34"/>
        <v>-2</v>
      </c>
      <c r="FO71" s="115">
        <f t="shared" si="35"/>
        <v>0</v>
      </c>
      <c r="FP71" s="115">
        <f t="shared" si="35"/>
        <v>0</v>
      </c>
      <c r="FQ71" s="149">
        <f t="shared" si="35"/>
        <v>1.2495273999999998</v>
      </c>
      <c r="FR71" s="117">
        <f t="shared" si="35"/>
        <v>2.1499999999999995</v>
      </c>
      <c r="FS71" s="119">
        <f t="shared" si="35"/>
        <v>9</v>
      </c>
      <c r="FT71" s="121">
        <f t="shared" si="35"/>
        <v>-3.1500000000000004</v>
      </c>
      <c r="FU71" s="121">
        <f t="shared" si="36"/>
        <v>1</v>
      </c>
      <c r="FV71" s="121">
        <f t="shared" si="36"/>
        <v>-1.1999999999999997</v>
      </c>
      <c r="FW71" s="121">
        <f t="shared" si="37"/>
        <v>-998.36712399226212</v>
      </c>
      <c r="FX71" s="121">
        <f t="shared" si="38"/>
        <v>0</v>
      </c>
      <c r="FY71" s="144">
        <f t="shared" si="38"/>
        <v>7.9629629629629606E-2</v>
      </c>
      <c r="FZ71" s="145" t="s">
        <v>199</v>
      </c>
      <c r="GA71" s="151" t="s">
        <v>487</v>
      </c>
      <c r="GB71" s="145" t="s">
        <v>199</v>
      </c>
      <c r="GC71" s="151" t="s">
        <v>415</v>
      </c>
      <c r="GD71" s="997" t="s">
        <v>238</v>
      </c>
      <c r="GE71" s="1004" t="s">
        <v>199</v>
      </c>
      <c r="GF71" s="1004">
        <v>-1.3696188000000005</v>
      </c>
      <c r="GG71" s="1004"/>
      <c r="GH71" s="1004">
        <v>0.129162</v>
      </c>
      <c r="GI71" s="145"/>
      <c r="GJ71" s="996">
        <v>0.85272000000000014</v>
      </c>
      <c r="GK71" s="145"/>
      <c r="GL71" s="996">
        <v>0.10428264000000009</v>
      </c>
      <c r="GM71" s="1005"/>
      <c r="GN71" s="996">
        <v>0</v>
      </c>
      <c r="GO71" s="1006"/>
      <c r="GP71" s="996">
        <v>0</v>
      </c>
      <c r="GQ71" s="1006"/>
      <c r="GR71" s="996">
        <v>-0.14803093799999978</v>
      </c>
      <c r="GS71" s="1006"/>
      <c r="GT71" s="996">
        <v>-0.10098838199999971</v>
      </c>
      <c r="GU71" s="1006" t="s">
        <v>204</v>
      </c>
      <c r="GV71" s="996">
        <v>-3.2320345199999996</v>
      </c>
      <c r="GW71" s="1006" t="s">
        <v>488</v>
      </c>
      <c r="GX71" s="997">
        <v>-5.5099088000000016</v>
      </c>
      <c r="GY71" s="1006"/>
      <c r="GZ71" s="996">
        <v>-0.22321199999999841</v>
      </c>
      <c r="HA71" s="1006" t="s">
        <v>199</v>
      </c>
      <c r="HB71" s="996">
        <v>6.5634359999999994</v>
      </c>
      <c r="HC71" s="1006"/>
      <c r="HD71" s="996">
        <v>0</v>
      </c>
      <c r="HE71" s="1006"/>
      <c r="HF71" s="996">
        <v>0</v>
      </c>
      <c r="HG71" s="1006"/>
      <c r="HH71" s="996">
        <v>0.60845599999999944</v>
      </c>
      <c r="HI71" s="1006"/>
      <c r="HJ71" s="996">
        <v>0</v>
      </c>
      <c r="HK71" s="1006"/>
      <c r="HL71" s="996">
        <v>4.6601984000000485E-2</v>
      </c>
      <c r="HM71" s="1006"/>
      <c r="HN71" s="996">
        <v>1.17876</v>
      </c>
      <c r="HO71" s="1006" t="s">
        <v>223</v>
      </c>
      <c r="HP71" s="996">
        <v>-2.9707259999999995</v>
      </c>
      <c r="HQ71" s="1006" t="s">
        <v>199</v>
      </c>
      <c r="HR71" s="996">
        <v>1.0688259999999996</v>
      </c>
      <c r="HS71" s="1006"/>
      <c r="HT71" s="996">
        <v>0</v>
      </c>
      <c r="HU71" s="1006"/>
      <c r="HV71" s="996">
        <v>-0.6897000000000002</v>
      </c>
      <c r="HW71" s="1006"/>
      <c r="HX71" s="996">
        <v>0</v>
      </c>
      <c r="HY71" s="1006"/>
      <c r="HZ71" s="996">
        <v>-0.16720000000000024</v>
      </c>
      <c r="IA71" s="1006"/>
      <c r="IB71" s="996">
        <v>-0.8360000000000003</v>
      </c>
      <c r="IC71" s="1006"/>
      <c r="ID71" s="996">
        <v>0</v>
      </c>
      <c r="IE71" s="1006"/>
      <c r="IF71" s="996">
        <v>-0.83599999999999941</v>
      </c>
      <c r="IG71" s="1006"/>
      <c r="IH71" s="996">
        <v>0</v>
      </c>
      <c r="II71" s="1006"/>
      <c r="IJ71" s="996">
        <v>0</v>
      </c>
      <c r="IK71" s="1006"/>
      <c r="IL71" s="996">
        <v>0</v>
      </c>
      <c r="IM71" s="1006"/>
      <c r="IN71" s="996">
        <v>0</v>
      </c>
      <c r="IO71" s="1006"/>
      <c r="IP71" s="996">
        <v>-0.41800000000000104</v>
      </c>
      <c r="IQ71" s="1006" t="s">
        <v>204</v>
      </c>
      <c r="IR71" s="996">
        <v>1.2540000000000004</v>
      </c>
      <c r="IS71" s="1006"/>
      <c r="IT71" s="996">
        <v>-0.83599999999999941</v>
      </c>
      <c r="IU71" s="1006" t="s">
        <v>204</v>
      </c>
      <c r="IV71" s="996">
        <v>-2.5080000000000009</v>
      </c>
      <c r="IW71" s="1006"/>
      <c r="IX71" s="996">
        <v>0</v>
      </c>
      <c r="IY71" s="1006"/>
      <c r="IZ71" s="996">
        <v>0</v>
      </c>
      <c r="JA71" s="1006"/>
      <c r="JB71" s="996">
        <v>0</v>
      </c>
      <c r="JC71" s="1006" t="s">
        <v>205</v>
      </c>
      <c r="JD71" s="996">
        <v>2.7588000000000008</v>
      </c>
      <c r="JE71" s="1006"/>
      <c r="JF71" s="996">
        <v>0</v>
      </c>
      <c r="JG71" s="1006"/>
      <c r="JH71" s="996">
        <v>0</v>
      </c>
      <c r="JI71" s="1006"/>
      <c r="JJ71" s="996">
        <v>0</v>
      </c>
      <c r="JK71" s="1007"/>
      <c r="JL71" s="1007">
        <v>0</v>
      </c>
      <c r="JM71" s="1007"/>
      <c r="JN71" s="1007">
        <v>0</v>
      </c>
      <c r="JO71" s="1008" t="s">
        <v>223</v>
      </c>
      <c r="JP71" s="1007">
        <v>-3.5947999999999993</v>
      </c>
      <c r="JQ71" s="1008">
        <v>0</v>
      </c>
      <c r="JR71" s="1007">
        <v>0</v>
      </c>
      <c r="JS71" s="1008">
        <v>0</v>
      </c>
      <c r="JT71" s="1007">
        <v>0</v>
      </c>
      <c r="JU71" s="1008" t="s">
        <v>204</v>
      </c>
      <c r="JV71" s="1007">
        <v>-2.5080000000000009</v>
      </c>
      <c r="JW71" s="1008" t="s">
        <v>197</v>
      </c>
      <c r="JX71" s="1007">
        <v>0</v>
      </c>
      <c r="JY71" s="1008"/>
      <c r="JZ71" s="1007">
        <v>0</v>
      </c>
      <c r="KA71" s="1008" t="s">
        <v>199</v>
      </c>
      <c r="KB71" s="1007">
        <v>2.1736000000000004</v>
      </c>
      <c r="KC71" s="1008"/>
      <c r="KD71" s="1007">
        <v>0</v>
      </c>
      <c r="KE71" s="1008" t="s">
        <v>204</v>
      </c>
      <c r="KF71" s="1007">
        <v>-3.0096000000000007</v>
      </c>
      <c r="KG71" s="1008" t="s">
        <v>207</v>
      </c>
      <c r="KH71" s="1007">
        <v>2.5080000000000009</v>
      </c>
      <c r="KI71" s="1008"/>
      <c r="KJ71" s="1007">
        <v>0</v>
      </c>
      <c r="KK71" s="1008"/>
      <c r="KL71" s="1007">
        <v>0</v>
      </c>
      <c r="KM71" s="1008"/>
      <c r="KN71" s="1007">
        <v>0</v>
      </c>
      <c r="KO71" s="1008"/>
      <c r="KP71" s="1007">
        <v>0</v>
      </c>
      <c r="KQ71" s="1008" t="s">
        <v>240</v>
      </c>
      <c r="KR71" s="1007">
        <v>-0.8360000000000003</v>
      </c>
      <c r="KS71" s="1008" t="s">
        <v>206</v>
      </c>
      <c r="KT71" s="1007">
        <v>-3.5948000000000011</v>
      </c>
      <c r="KU71" s="1008" t="s">
        <v>206</v>
      </c>
      <c r="KV71" s="1007">
        <v>4.4308000000000014</v>
      </c>
      <c r="KW71" s="1008" t="s">
        <v>204</v>
      </c>
      <c r="KX71" s="1007">
        <v>-0.96139999999999937</v>
      </c>
      <c r="KY71" s="1008" t="s">
        <v>206</v>
      </c>
      <c r="KZ71" s="1007">
        <v>2.3826000000000001</v>
      </c>
      <c r="LA71" s="1008">
        <v>0</v>
      </c>
      <c r="LB71" s="1007">
        <v>0</v>
      </c>
      <c r="LC71" s="1008" t="s">
        <v>204</v>
      </c>
      <c r="LD71" s="1007">
        <v>-2.3825999999999965</v>
      </c>
      <c r="LE71" s="1008" t="s">
        <v>206</v>
      </c>
      <c r="LF71" s="1007">
        <v>-1.5884000000000018</v>
      </c>
      <c r="LG71" s="1008">
        <v>0</v>
      </c>
      <c r="LH71" s="1007">
        <v>0</v>
      </c>
      <c r="LI71" s="1008">
        <v>0</v>
      </c>
      <c r="LJ71" s="1007">
        <v>0</v>
      </c>
      <c r="LK71" s="1008" t="s">
        <v>204</v>
      </c>
      <c r="LL71" s="1007">
        <v>3.9709999999999983</v>
      </c>
      <c r="LM71" s="1008" t="s">
        <v>206</v>
      </c>
      <c r="LN71" s="1007">
        <v>-4.0821899999999998</v>
      </c>
      <c r="LO71" s="1008">
        <v>0</v>
      </c>
      <c r="LP71" s="1007">
        <v>0</v>
      </c>
      <c r="LQ71" s="1008">
        <v>0</v>
      </c>
      <c r="LR71" s="1007">
        <v>-0.68312200000000001</v>
      </c>
      <c r="LS71" s="1008">
        <v>0</v>
      </c>
      <c r="LT71" s="1007">
        <v>0.92796100000000004</v>
      </c>
      <c r="LU71" s="1008" t="s">
        <v>206</v>
      </c>
      <c r="LV71" s="1007">
        <v>3.3465600000000002</v>
      </c>
      <c r="LW71" s="1008">
        <v>0</v>
      </c>
      <c r="LX71" s="1007">
        <v>0</v>
      </c>
      <c r="LY71" s="1009">
        <v>0</v>
      </c>
      <c r="LZ71" s="1010">
        <v>-0.53358399999998996</v>
      </c>
      <c r="MA71" s="1011" t="s">
        <v>206</v>
      </c>
      <c r="MB71" s="1012">
        <v>2.9794239999999999</v>
      </c>
      <c r="MC71" s="995"/>
      <c r="MD71" s="996"/>
      <c r="ME71" s="997" t="s">
        <v>238</v>
      </c>
      <c r="MF71" s="997"/>
      <c r="MG71" s="998"/>
      <c r="NR71" s="1000"/>
      <c r="NS71" s="1000"/>
      <c r="NT71" s="1001"/>
      <c r="NU71" s="1000"/>
      <c r="NV71" s="1001"/>
      <c r="NX71" s="1002"/>
      <c r="NZ71" s="1001"/>
      <c r="OA71" s="1001"/>
      <c r="OC71" s="1003"/>
      <c r="OD71" s="1003"/>
      <c r="OE71" s="1001"/>
      <c r="OF71" s="1003"/>
      <c r="OG71" s="1003"/>
      <c r="OH71" s="1003"/>
      <c r="OI71" s="1016"/>
      <c r="QX71" s="1000">
        <f t="shared" si="51"/>
        <v>22</v>
      </c>
      <c r="ASU71" s="999" t="s">
        <v>208</v>
      </c>
    </row>
    <row r="72" spans="1:466 1191:1191" ht="21" customHeight="1" x14ac:dyDescent="0.25">
      <c r="A72" s="982" t="str">
        <f t="shared" si="0"/>
        <v>95-1</v>
      </c>
      <c r="B72" s="124">
        <f>SUBTOTAL(103,$J$29:J72)</f>
        <v>44</v>
      </c>
      <c r="C72" s="126">
        <v>45096</v>
      </c>
      <c r="D72" s="124" t="s">
        <v>176</v>
      </c>
      <c r="E72" s="127" t="s">
        <v>177</v>
      </c>
      <c r="F72" s="128" t="s">
        <v>177</v>
      </c>
      <c r="G72" s="127" t="s">
        <v>178</v>
      </c>
      <c r="H72" s="127" t="s">
        <v>226</v>
      </c>
      <c r="I72" s="127" t="s">
        <v>381</v>
      </c>
      <c r="J72" s="129" t="s">
        <v>489</v>
      </c>
      <c r="K72" s="127" t="s">
        <v>484</v>
      </c>
      <c r="L72" s="130">
        <v>34991</v>
      </c>
      <c r="M72" s="127" t="s">
        <v>230</v>
      </c>
      <c r="N72" s="127" t="s">
        <v>184</v>
      </c>
      <c r="O72" s="127" t="s">
        <v>185</v>
      </c>
      <c r="P72" s="127" t="s">
        <v>208</v>
      </c>
      <c r="Q72" s="85">
        <f t="shared" si="40"/>
        <v>-4</v>
      </c>
      <c r="R72" s="130">
        <v>35156</v>
      </c>
      <c r="S72" s="128" t="s">
        <v>268</v>
      </c>
      <c r="T72" s="131"/>
      <c r="U72" s="132">
        <v>203</v>
      </c>
      <c r="V72" s="121">
        <v>218.2</v>
      </c>
      <c r="W72" s="116">
        <v>0.98</v>
      </c>
      <c r="X72" s="116">
        <v>1.66</v>
      </c>
      <c r="Y72" s="116">
        <f t="shared" si="41"/>
        <v>0.99632533072023521</v>
      </c>
      <c r="Z72" s="133">
        <v>1.454</v>
      </c>
      <c r="AA72" s="133">
        <v>0.83599999999999997</v>
      </c>
      <c r="AB72" s="133">
        <v>0.72</v>
      </c>
      <c r="AC72" s="121">
        <v>34.299999999999997</v>
      </c>
      <c r="AD72" s="134">
        <v>1.17</v>
      </c>
      <c r="AE72" s="124">
        <v>139.69999999999999</v>
      </c>
      <c r="AF72" s="128">
        <v>7.72</v>
      </c>
      <c r="AG72" s="128">
        <v>1901</v>
      </c>
      <c r="AH72" s="127">
        <v>2479</v>
      </c>
      <c r="AI72" s="127">
        <v>2479</v>
      </c>
      <c r="AJ72" s="135"/>
      <c r="AK72" s="128"/>
      <c r="AL72" s="131"/>
      <c r="AM72" s="124" t="s">
        <v>232</v>
      </c>
      <c r="AN72" s="136" t="s">
        <v>490</v>
      </c>
      <c r="AO72" s="137">
        <v>64.5</v>
      </c>
      <c r="AP72" s="128">
        <v>1901</v>
      </c>
      <c r="AQ72" s="128">
        <v>2.8</v>
      </c>
      <c r="AR72" s="128"/>
      <c r="AS72" s="128"/>
      <c r="AT72" s="122"/>
      <c r="AU72" s="124" t="s">
        <v>189</v>
      </c>
      <c r="AV72" s="115">
        <f>VLOOKUP(J72,'[63]ТР нефть'!$J$28:$BP$638,39,0)</f>
        <v>599.99999062500001</v>
      </c>
      <c r="AW72" s="115" t="str">
        <f>VLOOKUP(J72,'[63]ТР нефть'!$J$28:$BP$638,40,0)</f>
        <v>ГП</v>
      </c>
      <c r="AX72" s="115">
        <f>VLOOKUP(J72,'[63]ТР нефть'!$J$28:$BP$638,41,0)</f>
        <v>949.99998515599998</v>
      </c>
      <c r="AY72" s="115" t="str">
        <f>VLOOKUP(J72,'[63]ТР нефть'!$J$28:$BP$638,42,0)</f>
        <v>ГК 83 5/32</v>
      </c>
      <c r="AZ72" s="115">
        <f>VLOOKUP(J72,'[63]ТР нефть'!$J$28:$BP$638,43,0)</f>
        <v>1399.9999781250001</v>
      </c>
      <c r="BA72" s="115" t="str">
        <f>VLOOKUP(J72,'[63]ТР нефть'!$J$28:$BP$638,44,0)</f>
        <v>ГК 83 5/32</v>
      </c>
      <c r="BB72" s="115">
        <f>VLOOKUP(J72,'[63]ТР нефть'!$J$28:$BP$638,45,0)</f>
        <v>1849.9999710940001</v>
      </c>
      <c r="BC72" s="115" t="str">
        <f>VLOOKUP(J72,'[63]ТР нефть'!$J$28:$BP$638,46,0)</f>
        <v>ЦКсОК 5/16</v>
      </c>
      <c r="BD72" s="115" t="str">
        <f>VLOOKUP(J72,'[63]ТР нефть'!$J$28:$BP$638,47,0)</f>
        <v>-</v>
      </c>
      <c r="BE72" s="115" t="str">
        <f>VLOOKUP(J72,'[63]ТР нефть'!$J$28:$BP$638,48,0)</f>
        <v>-</v>
      </c>
      <c r="BF72" s="115" t="str">
        <f>VLOOKUP(J72,'[63]ТР нефть'!$J$28:$BP$638,49,0)</f>
        <v>-</v>
      </c>
      <c r="BG72" s="115" t="str">
        <f>VLOOKUP(J72,'[63]ТР нефть'!$J$28:$BP$638,50,0)</f>
        <v>-</v>
      </c>
      <c r="BH72" s="115">
        <f>VLOOKUP(J72,'[63]ТР нефть'!$J$28:$BP$638,51,0)</f>
        <v>1855</v>
      </c>
      <c r="BI72" s="115" t="str">
        <f>VLOOKUP(J72,'[63]ТР нефть'!$J$28:$BP$638,52,0)</f>
        <v>закрыт</v>
      </c>
      <c r="BJ72" s="115" t="str">
        <f>IF(IFERROR(VLOOKUP(J72,'[63]ТР нефть'!$J$28:$BP$638,53,0),"-")=0,"-",IFERROR(VLOOKUP(J72,'[63]ТР нефть'!$J$28:$BP$638,53,0),"-"))</f>
        <v>-</v>
      </c>
      <c r="BK72" s="138" t="str">
        <f>IF(IFERROR(VLOOKUP(J72,'[63]ТР нефть'!$J$28:$BP$638,54,0),"-")=0,"-",IFERROR(VLOOKUP(J72,'[63]ТР нефть'!$J$28:$BP$638,54,0),"-"))</f>
        <v>-</v>
      </c>
      <c r="BL72" s="138" t="str">
        <f>IF(IFERROR(VLOOKUP(J72,'[63]ТР нефть'!$J$28:$BP$638,55,0),"-")=0,"-",IFERROR(VLOOKUP(J72,'[63]ТР нефть'!$J$28:$BP$638,55,0),"-"))</f>
        <v>-</v>
      </c>
      <c r="BM72" s="138" t="str">
        <f>IF(IFERROR(VLOOKUP(J72,'[63]ТР нефть'!$J$28:$BP$638,56,0),"-")=0,"-",IFERROR(VLOOKUP(J72,'[63]ТР нефть'!$J$28:$BP$638,56,0),"-"))</f>
        <v>-</v>
      </c>
      <c r="BN72" s="138" t="str">
        <f>IF(IFERROR(VLOOKUP(J72,'[63]ТР нефть'!$J$28:$BP$638,57,0),"-")=0,"-",IFERROR(VLOOKUP(J72,'[63]ТР нефть'!$J$28:$BP$638,57,0),"-"))</f>
        <v>-</v>
      </c>
      <c r="BO72" s="115" t="str">
        <f>IF(IFERROR(VLOOKUP(J72,'[63]ТР нефть'!$J$28:$BP$638,58,0),"-")=0,"-",IFERROR(VLOOKUP(J72,'[63]ТР нефть'!$J$28:$BP$638,58,0),"-"))</f>
        <v>-</v>
      </c>
      <c r="BP72" s="115" t="str">
        <f>IF(IFERROR(VLOOKUP(J72,'[63]ТР нефть'!$J$28:$BP$638,59,0),"-")=0,"-",IFERROR(VLOOKUP(J72,'[63]ТР нефть'!$J$28:$BP$638,59,0),"-"))</f>
        <v>-</v>
      </c>
      <c r="BQ72" s="138">
        <v>2366</v>
      </c>
      <c r="BR72" s="128">
        <v>1944.58</v>
      </c>
      <c r="BS72" s="115">
        <f t="shared" si="2"/>
        <v>421.42000000000007</v>
      </c>
      <c r="BT72" s="128">
        <v>73</v>
      </c>
      <c r="BU72" s="128">
        <v>5.5</v>
      </c>
      <c r="BV72" s="127">
        <v>65</v>
      </c>
      <c r="BW72" s="127" t="s">
        <v>217</v>
      </c>
      <c r="BX72" s="127" t="s">
        <v>195</v>
      </c>
      <c r="BY72" s="139">
        <v>24</v>
      </c>
      <c r="BZ72" s="139">
        <v>0</v>
      </c>
      <c r="CA72" s="80">
        <v>16</v>
      </c>
      <c r="CB72" s="138">
        <v>31</v>
      </c>
      <c r="CC72" s="138">
        <v>15</v>
      </c>
      <c r="CD72" s="135">
        <v>45017</v>
      </c>
      <c r="CE72" s="138">
        <v>65</v>
      </c>
      <c r="CF72" s="138">
        <v>79</v>
      </c>
      <c r="CG72" s="138" t="str">
        <f t="shared" si="52"/>
        <v>В работе</v>
      </c>
      <c r="CH72" s="138" t="s">
        <v>272</v>
      </c>
      <c r="CI72" s="127">
        <v>5</v>
      </c>
      <c r="CJ72" s="138"/>
      <c r="CK72" s="138"/>
      <c r="CL72" s="99"/>
      <c r="CM72" s="99"/>
      <c r="CN72" s="140">
        <v>37</v>
      </c>
      <c r="CO72" s="141">
        <f t="shared" si="4"/>
        <v>8.5873919999999977</v>
      </c>
      <c r="CP72" s="142">
        <v>10.7</v>
      </c>
      <c r="CQ72" s="143">
        <v>4</v>
      </c>
      <c r="CR72" s="138">
        <v>8.5</v>
      </c>
      <c r="CS72" s="139">
        <v>5.4</v>
      </c>
      <c r="CT72" s="138"/>
      <c r="CU72" s="138">
        <f t="shared" si="5"/>
        <v>3.0999999999999996</v>
      </c>
      <c r="CV72" s="115">
        <f t="shared" si="6"/>
        <v>360.99435078775957</v>
      </c>
      <c r="CW72" s="115">
        <f t="shared" si="7"/>
        <v>594.51618273049405</v>
      </c>
      <c r="CX72" s="133">
        <f t="shared" si="8"/>
        <v>0.38214285714285712</v>
      </c>
      <c r="CY72" s="116"/>
      <c r="CZ72" s="131"/>
      <c r="DA72" s="145" t="str">
        <f t="shared" si="9"/>
        <v>Газлифт</v>
      </c>
      <c r="DB72" s="146">
        <f t="shared" si="10"/>
        <v>11.453199999999999</v>
      </c>
      <c r="DC72" s="142">
        <f t="shared" si="11"/>
        <v>13.7</v>
      </c>
      <c r="DD72" s="119">
        <f t="shared" si="12"/>
        <v>0</v>
      </c>
      <c r="DE72" s="115">
        <f t="shared" si="13"/>
        <v>3.0999999999999996</v>
      </c>
      <c r="DF72" s="121">
        <f t="shared" si="14"/>
        <v>5.4</v>
      </c>
      <c r="DG72" s="115">
        <f t="shared" si="15"/>
        <v>360.99435078775957</v>
      </c>
      <c r="DH72" s="115">
        <f t="shared" si="16"/>
        <v>37</v>
      </c>
      <c r="DI72" s="147"/>
      <c r="DJ72" s="111" t="s">
        <v>197</v>
      </c>
      <c r="DK72" s="112">
        <v>34991</v>
      </c>
      <c r="DL72" s="113">
        <f t="shared" ca="1" si="42"/>
        <v>10113</v>
      </c>
      <c r="DM72" s="114"/>
      <c r="DN72" s="114"/>
      <c r="DO72" s="114"/>
      <c r="DP72" s="114"/>
      <c r="DQ72" s="112">
        <v>37663</v>
      </c>
      <c r="DR72" s="114" t="s">
        <v>198</v>
      </c>
      <c r="DS72" s="114" t="s">
        <v>491</v>
      </c>
      <c r="DT72" s="115">
        <v>43</v>
      </c>
      <c r="DU72" s="116">
        <f t="shared" si="43"/>
        <v>0.48636363636363633</v>
      </c>
      <c r="DV72" s="117">
        <f t="shared" si="44"/>
        <v>8.5873919999999977</v>
      </c>
      <c r="DW72" s="118">
        <f t="shared" si="45"/>
        <v>10.7</v>
      </c>
      <c r="DX72" s="119">
        <f t="shared" si="21"/>
        <v>4</v>
      </c>
      <c r="DY72" s="115">
        <f t="shared" si="46"/>
        <v>3.0999999999999996</v>
      </c>
      <c r="DZ72" s="117">
        <f t="shared" si="47"/>
        <v>0</v>
      </c>
      <c r="EA72" s="120">
        <f t="shared" si="47"/>
        <v>0</v>
      </c>
      <c r="EB72" s="119">
        <f t="shared" si="47"/>
        <v>0</v>
      </c>
      <c r="EC72" s="121">
        <f t="shared" si="48"/>
        <v>0</v>
      </c>
      <c r="ED72" s="122"/>
      <c r="EE72" s="145">
        <v>65</v>
      </c>
      <c r="EF72" s="148">
        <v>17</v>
      </c>
      <c r="EG72" s="115">
        <v>32</v>
      </c>
      <c r="EH72" s="115">
        <v>16</v>
      </c>
      <c r="EI72" s="128" t="s">
        <v>195</v>
      </c>
      <c r="EJ72" s="121">
        <v>24</v>
      </c>
      <c r="EK72" s="121">
        <v>0</v>
      </c>
      <c r="EL72" s="149">
        <v>11.453199999999999</v>
      </c>
      <c r="EM72" s="142">
        <v>13.7</v>
      </c>
      <c r="EN72" s="119">
        <v>0</v>
      </c>
      <c r="EO72" s="115">
        <v>8.5</v>
      </c>
      <c r="EP72" s="115">
        <v>218.27960744595399</v>
      </c>
      <c r="EQ72" s="115">
        <v>80</v>
      </c>
      <c r="ER72" s="115">
        <v>6</v>
      </c>
      <c r="ES72" s="115">
        <v>37</v>
      </c>
      <c r="ET72" s="150">
        <v>0.48928571428571427</v>
      </c>
      <c r="EU72" s="145">
        <f t="shared" si="25"/>
        <v>65</v>
      </c>
      <c r="EV72" s="115">
        <f t="shared" si="26"/>
        <v>16</v>
      </c>
      <c r="EW72" s="115">
        <f t="shared" si="26"/>
        <v>31</v>
      </c>
      <c r="EX72" s="115">
        <f t="shared" si="26"/>
        <v>15</v>
      </c>
      <c r="EY72" s="115" t="str">
        <f t="shared" si="53"/>
        <v>Постоянный</v>
      </c>
      <c r="EZ72" s="115">
        <f t="shared" si="53"/>
        <v>24</v>
      </c>
      <c r="FA72" s="115">
        <f t="shared" si="53"/>
        <v>0</v>
      </c>
      <c r="FB72" s="149">
        <f t="shared" si="28"/>
        <v>8.5873919999999977</v>
      </c>
      <c r="FC72" s="142">
        <f t="shared" si="28"/>
        <v>10.7</v>
      </c>
      <c r="FD72" s="119">
        <f t="shared" si="28"/>
        <v>4</v>
      </c>
      <c r="FE72" s="121">
        <f t="shared" si="28"/>
        <v>8.5</v>
      </c>
      <c r="FF72" s="121">
        <f t="shared" si="49"/>
        <v>360.99435078775957</v>
      </c>
      <c r="FG72" s="121">
        <f t="shared" si="30"/>
        <v>79</v>
      </c>
      <c r="FH72" s="121">
        <f t="shared" si="50"/>
        <v>5.4</v>
      </c>
      <c r="FI72" s="121">
        <f t="shared" si="54"/>
        <v>37</v>
      </c>
      <c r="FJ72" s="144">
        <f t="shared" si="33"/>
        <v>0.38214285714285712</v>
      </c>
      <c r="FK72" s="132">
        <f t="shared" si="34"/>
        <v>0</v>
      </c>
      <c r="FL72" s="115">
        <f t="shared" si="34"/>
        <v>-1</v>
      </c>
      <c r="FM72" s="115">
        <f t="shared" si="34"/>
        <v>-1</v>
      </c>
      <c r="FN72" s="115">
        <f t="shared" si="34"/>
        <v>-1</v>
      </c>
      <c r="FO72" s="115">
        <f t="shared" si="35"/>
        <v>0</v>
      </c>
      <c r="FP72" s="115">
        <f t="shared" ref="FP72:FT135" si="56">FA72-EK72</f>
        <v>0</v>
      </c>
      <c r="FQ72" s="149">
        <f t="shared" si="56"/>
        <v>-2.8658080000000012</v>
      </c>
      <c r="FR72" s="142">
        <f t="shared" si="56"/>
        <v>-3</v>
      </c>
      <c r="FS72" s="119">
        <f t="shared" si="56"/>
        <v>4</v>
      </c>
      <c r="FT72" s="121">
        <f t="shared" si="56"/>
        <v>0</v>
      </c>
      <c r="FU72" s="121">
        <f t="shared" si="36"/>
        <v>-1</v>
      </c>
      <c r="FV72" s="121">
        <f t="shared" si="36"/>
        <v>-0.59999999999999964</v>
      </c>
      <c r="FW72" s="121">
        <f t="shared" si="37"/>
        <v>142.71474334180559</v>
      </c>
      <c r="FX72" s="121">
        <f t="shared" si="38"/>
        <v>0</v>
      </c>
      <c r="FY72" s="144">
        <f t="shared" si="38"/>
        <v>-0.10714285714285715</v>
      </c>
      <c r="FZ72" s="145" t="s">
        <v>199</v>
      </c>
      <c r="GA72" s="151" t="s">
        <v>492</v>
      </c>
      <c r="GB72" s="145" t="s">
        <v>199</v>
      </c>
      <c r="GC72" s="151" t="s">
        <v>493</v>
      </c>
      <c r="GD72" s="997" t="s">
        <v>238</v>
      </c>
      <c r="GE72" s="1004" t="s">
        <v>199</v>
      </c>
      <c r="GF72" s="1004">
        <v>1.8391999999999999</v>
      </c>
      <c r="GG72" s="1004"/>
      <c r="GH72" s="1004">
        <v>0</v>
      </c>
      <c r="GI72" s="145" t="s">
        <v>204</v>
      </c>
      <c r="GJ72" s="996">
        <v>2.1556318519999991</v>
      </c>
      <c r="GK72" s="145"/>
      <c r="GL72" s="996">
        <v>0</v>
      </c>
      <c r="GM72" s="1005"/>
      <c r="GN72" s="996">
        <v>0</v>
      </c>
      <c r="GO72" s="1006" t="s">
        <v>240</v>
      </c>
      <c r="GP72" s="996">
        <v>-2.1561685639999997</v>
      </c>
      <c r="GQ72" s="1006"/>
      <c r="GR72" s="996">
        <v>0.4564067596000001</v>
      </c>
      <c r="GS72" s="1006" t="s">
        <v>146</v>
      </c>
      <c r="GT72" s="996">
        <v>2.2611299524000001</v>
      </c>
      <c r="GU72" s="1006"/>
      <c r="GV72" s="996">
        <v>0</v>
      </c>
      <c r="GW72" s="1006"/>
      <c r="GX72" s="997">
        <v>0.69815363200000036</v>
      </c>
      <c r="GY72" s="1006"/>
      <c r="GZ72" s="996">
        <v>0.23816636799999902</v>
      </c>
      <c r="HA72" s="1006" t="s">
        <v>204</v>
      </c>
      <c r="HB72" s="996">
        <v>-2.9408640800000008</v>
      </c>
      <c r="HC72" s="1006" t="s">
        <v>308</v>
      </c>
      <c r="HD72" s="996">
        <v>-0.62885591999999946</v>
      </c>
      <c r="HE72" s="1006"/>
      <c r="HF72" s="996">
        <v>0</v>
      </c>
      <c r="HG72" s="1006"/>
      <c r="HH72" s="996">
        <v>0</v>
      </c>
      <c r="HI72" s="1006"/>
      <c r="HJ72" s="996">
        <v>0</v>
      </c>
      <c r="HK72" s="1006"/>
      <c r="HL72" s="996">
        <v>0.13366803999999988</v>
      </c>
      <c r="HM72" s="1006" t="s">
        <v>199</v>
      </c>
      <c r="HN72" s="996">
        <v>2.1703563199999998</v>
      </c>
      <c r="HO72" s="1006"/>
      <c r="HP72" s="996">
        <v>-0.4417507599999988</v>
      </c>
      <c r="HQ72" s="1006"/>
      <c r="HR72" s="996">
        <v>0</v>
      </c>
      <c r="HS72" s="1006"/>
      <c r="HT72" s="996">
        <v>0</v>
      </c>
      <c r="HU72" s="1006" t="s">
        <v>199</v>
      </c>
      <c r="HV72" s="996">
        <v>2.9172219999999998</v>
      </c>
      <c r="HW72" s="1006" t="s">
        <v>199</v>
      </c>
      <c r="HX72" s="996">
        <v>-5.1807755999999987</v>
      </c>
      <c r="HY72" s="1006"/>
      <c r="HZ72" s="996">
        <v>-0.8276400000000006</v>
      </c>
      <c r="IA72" s="1006"/>
      <c r="IB72" s="996">
        <v>0</v>
      </c>
      <c r="IC72" s="1006" t="s">
        <v>204</v>
      </c>
      <c r="ID72" s="996">
        <v>3.3105599999999988</v>
      </c>
      <c r="IE72" s="1006" t="s">
        <v>204</v>
      </c>
      <c r="IF72" s="996">
        <v>-4.4914100000000001</v>
      </c>
      <c r="IG72" s="1006"/>
      <c r="IH72" s="996">
        <v>0</v>
      </c>
      <c r="II72" s="1006" t="s">
        <v>199</v>
      </c>
      <c r="IJ72" s="996">
        <v>3.7055700000000016</v>
      </c>
      <c r="IK72" s="1006"/>
      <c r="IL72" s="996">
        <v>3.4599999999999298E-2</v>
      </c>
      <c r="IM72" s="1006" t="s">
        <v>199</v>
      </c>
      <c r="IN72" s="996">
        <v>-4.8197071999999999</v>
      </c>
      <c r="IO72" s="1006"/>
      <c r="IP72" s="996">
        <v>0</v>
      </c>
      <c r="IQ72" s="1006"/>
      <c r="IR72" s="996">
        <v>7.022399999999962E-2</v>
      </c>
      <c r="IS72" s="1006" t="s">
        <v>204</v>
      </c>
      <c r="IT72" s="996">
        <v>-3.0498951999999981</v>
      </c>
      <c r="IU72" s="1006" t="s">
        <v>199</v>
      </c>
      <c r="IV72" s="996">
        <v>5.110635199999999</v>
      </c>
      <c r="IW72" s="1006" t="s">
        <v>199</v>
      </c>
      <c r="IX72" s="996">
        <v>-2.7201768000000008</v>
      </c>
      <c r="IY72" s="1006"/>
      <c r="IZ72" s="996">
        <v>0</v>
      </c>
      <c r="JA72" s="1006"/>
      <c r="JB72" s="996">
        <v>0</v>
      </c>
      <c r="JC72" s="1006"/>
      <c r="JD72" s="996">
        <v>0</v>
      </c>
      <c r="JE72" s="1006"/>
      <c r="JF72" s="996">
        <v>0</v>
      </c>
      <c r="JG72" s="1006"/>
      <c r="JH72" s="996">
        <v>0</v>
      </c>
      <c r="JI72" s="1006" t="s">
        <v>199</v>
      </c>
      <c r="JJ72" s="996">
        <v>3.579584800000001</v>
      </c>
      <c r="JK72" s="1007" t="s">
        <v>199</v>
      </c>
      <c r="JL72" s="1007">
        <v>-2.5029840000000014</v>
      </c>
      <c r="JM72" s="1007" t="s">
        <v>275</v>
      </c>
      <c r="JN72" s="1007">
        <v>-4.1189719999999994</v>
      </c>
      <c r="JO72" s="1008"/>
      <c r="JP72" s="1007">
        <v>0</v>
      </c>
      <c r="JQ72" s="1008">
        <v>0</v>
      </c>
      <c r="JR72" s="1007">
        <v>-0.76828399999999952</v>
      </c>
      <c r="JS72" s="1008">
        <v>0</v>
      </c>
      <c r="JT72" s="1007">
        <v>0</v>
      </c>
      <c r="JU72" s="1008"/>
      <c r="JV72" s="1007">
        <v>0</v>
      </c>
      <c r="JW72" s="1008" t="s">
        <v>197</v>
      </c>
      <c r="JX72" s="1007">
        <v>1.6720000000001178E-2</v>
      </c>
      <c r="JY72" s="1008"/>
      <c r="JZ72" s="1007">
        <v>0</v>
      </c>
      <c r="KA72" s="1008" t="s">
        <v>204</v>
      </c>
      <c r="KB72" s="1007">
        <v>-0.26752000000000109</v>
      </c>
      <c r="KC72" s="1008"/>
      <c r="KD72" s="1007">
        <v>0</v>
      </c>
      <c r="KE72" s="1008" t="s">
        <v>240</v>
      </c>
      <c r="KF72" s="1007">
        <v>3.3439999999999994</v>
      </c>
      <c r="KG72" s="1008" t="s">
        <v>240</v>
      </c>
      <c r="KH72" s="1007">
        <v>-3.3439999999999994</v>
      </c>
      <c r="KI72" s="1008" t="s">
        <v>207</v>
      </c>
      <c r="KJ72" s="1007">
        <v>-1.6720000000000006</v>
      </c>
      <c r="KK72" s="1008"/>
      <c r="KL72" s="1007">
        <v>0</v>
      </c>
      <c r="KM72" s="1008" t="s">
        <v>204</v>
      </c>
      <c r="KN72" s="1007">
        <v>-0.83599999999999852</v>
      </c>
      <c r="KO72" s="1008" t="s">
        <v>204</v>
      </c>
      <c r="KP72" s="1007">
        <v>4.7651999999999983</v>
      </c>
      <c r="KQ72" s="1008" t="s">
        <v>204</v>
      </c>
      <c r="KR72" s="1007">
        <v>-4.4558799999999987</v>
      </c>
      <c r="KS72" s="1008" t="s">
        <v>206</v>
      </c>
      <c r="KT72" s="1007">
        <v>2.1986799999999995</v>
      </c>
      <c r="KU72" s="1008" t="s">
        <v>206</v>
      </c>
      <c r="KV72" s="1007">
        <v>1.5549599999999995</v>
      </c>
      <c r="KW72" s="1008">
        <v>0</v>
      </c>
      <c r="KX72" s="1007">
        <v>0</v>
      </c>
      <c r="KY72" s="1008" t="s">
        <v>206</v>
      </c>
      <c r="KZ72" s="1007">
        <v>-2.3909599999999998</v>
      </c>
      <c r="LA72" s="1008" t="s">
        <v>206</v>
      </c>
      <c r="LB72" s="1007">
        <v>1.6720000000000006</v>
      </c>
      <c r="LC72" s="1008" t="s">
        <v>204</v>
      </c>
      <c r="LD72" s="1007">
        <v>-1.5085620000000013</v>
      </c>
      <c r="LE72" s="1008" t="s">
        <v>206</v>
      </c>
      <c r="LF72" s="1007">
        <v>-2.4791579999999982</v>
      </c>
      <c r="LG72" s="1008" t="s">
        <v>206</v>
      </c>
      <c r="LH72" s="1007">
        <v>0.82638610000000001</v>
      </c>
      <c r="LI72" s="1008">
        <v>0</v>
      </c>
      <c r="LJ72" s="1007">
        <v>0</v>
      </c>
      <c r="LK72" s="1008" t="s">
        <v>207</v>
      </c>
      <c r="LL72" s="1007">
        <v>6.9416424000000028</v>
      </c>
      <c r="LM72" s="1008" t="s">
        <v>206</v>
      </c>
      <c r="LN72" s="1007">
        <v>0.49583199999999999</v>
      </c>
      <c r="LO72" s="1008">
        <v>0</v>
      </c>
      <c r="LP72" s="1007">
        <v>0</v>
      </c>
      <c r="LQ72" s="1008" t="s">
        <v>223</v>
      </c>
      <c r="LR72" s="1007">
        <v>-4.6132152000000008</v>
      </c>
      <c r="LS72" s="1008">
        <v>0</v>
      </c>
      <c r="LT72" s="1007">
        <v>-0.18224799999999999</v>
      </c>
      <c r="LU72" s="1008">
        <v>0</v>
      </c>
      <c r="LV72" s="1007">
        <v>0</v>
      </c>
      <c r="LW72" s="1008">
        <v>0</v>
      </c>
      <c r="LX72" s="1007">
        <v>0</v>
      </c>
      <c r="LY72" s="1009">
        <v>0</v>
      </c>
      <c r="LZ72" s="1010">
        <v>0.32771199999999101</v>
      </c>
      <c r="MA72" s="1011">
        <v>0</v>
      </c>
      <c r="MB72" s="1012">
        <v>0</v>
      </c>
      <c r="MC72" s="995"/>
      <c r="MD72" s="996"/>
      <c r="ME72" s="997" t="s">
        <v>238</v>
      </c>
      <c r="MF72" s="997"/>
      <c r="MG72" s="998"/>
      <c r="NR72" s="1000"/>
      <c r="NS72" s="1000"/>
      <c r="NT72" s="1001"/>
      <c r="NU72" s="1000"/>
      <c r="NV72" s="1001"/>
      <c r="NX72" s="1002"/>
      <c r="NZ72" s="1001"/>
      <c r="OA72" s="1001"/>
      <c r="OC72" s="1003"/>
      <c r="OD72" s="1003"/>
      <c r="OE72" s="1001"/>
      <c r="OF72" s="1003"/>
      <c r="OG72" s="1003"/>
      <c r="QX72" s="1000">
        <f t="shared" si="51"/>
        <v>21</v>
      </c>
      <c r="ASU72" s="999" t="s">
        <v>208</v>
      </c>
    </row>
    <row r="73" spans="1:466 1191:1191" ht="21" customHeight="1" x14ac:dyDescent="0.25">
      <c r="A73" s="982" t="str">
        <f t="shared" si="0"/>
        <v>105-1Д</v>
      </c>
      <c r="B73" s="124">
        <f>SUBTOTAL(103,$J$29:J73)</f>
        <v>45</v>
      </c>
      <c r="C73" s="126">
        <v>45096</v>
      </c>
      <c r="D73" s="124" t="s">
        <v>176</v>
      </c>
      <c r="E73" s="127" t="s">
        <v>177</v>
      </c>
      <c r="F73" s="128" t="s">
        <v>177</v>
      </c>
      <c r="G73" s="127" t="s">
        <v>178</v>
      </c>
      <c r="H73" s="127" t="s">
        <v>226</v>
      </c>
      <c r="I73" s="127" t="s">
        <v>381</v>
      </c>
      <c r="J73" s="152" t="s">
        <v>494</v>
      </c>
      <c r="K73" s="127" t="s">
        <v>495</v>
      </c>
      <c r="L73" s="130">
        <v>35735</v>
      </c>
      <c r="M73" s="127" t="s">
        <v>230</v>
      </c>
      <c r="N73" s="127" t="s">
        <v>184</v>
      </c>
      <c r="O73" s="127" t="s">
        <v>185</v>
      </c>
      <c r="P73" s="127" t="s">
        <v>208</v>
      </c>
      <c r="Q73" s="85">
        <f t="shared" si="40"/>
        <v>-4</v>
      </c>
      <c r="R73" s="130">
        <v>35491</v>
      </c>
      <c r="S73" s="128" t="s">
        <v>268</v>
      </c>
      <c r="T73" s="131"/>
      <c r="U73" s="132">
        <v>203</v>
      </c>
      <c r="V73" s="121">
        <v>218.2</v>
      </c>
      <c r="W73" s="116">
        <v>0.98</v>
      </c>
      <c r="X73" s="116">
        <v>1.66</v>
      </c>
      <c r="Y73" s="116">
        <f t="shared" si="41"/>
        <v>0.98403097023953534</v>
      </c>
      <c r="Z73" s="133">
        <v>1.454</v>
      </c>
      <c r="AA73" s="133">
        <v>0.83599999999999997</v>
      </c>
      <c r="AB73" s="133">
        <v>0.72</v>
      </c>
      <c r="AC73" s="121">
        <v>34.299999999999997</v>
      </c>
      <c r="AD73" s="134">
        <v>1.17</v>
      </c>
      <c r="AE73" s="124">
        <v>139.69999999999999</v>
      </c>
      <c r="AF73" s="128">
        <v>7.72</v>
      </c>
      <c r="AG73" s="128" t="s">
        <v>496</v>
      </c>
      <c r="AH73" s="127">
        <v>2691</v>
      </c>
      <c r="AI73" s="127">
        <v>2691</v>
      </c>
      <c r="AJ73" s="135"/>
      <c r="AK73" s="128"/>
      <c r="AL73" s="131"/>
      <c r="AM73" s="124" t="s">
        <v>232</v>
      </c>
      <c r="AN73" s="136" t="s">
        <v>497</v>
      </c>
      <c r="AO73" s="137">
        <v>52.17</v>
      </c>
      <c r="AP73" s="128">
        <v>1641</v>
      </c>
      <c r="AQ73" s="128">
        <v>11.85</v>
      </c>
      <c r="AR73" s="128"/>
      <c r="AS73" s="128"/>
      <c r="AT73" s="122"/>
      <c r="AU73" s="124" t="s">
        <v>189</v>
      </c>
      <c r="AV73" s="115">
        <f>VLOOKUP(J73,'[63]ТР нефть'!$J$28:$BP$638,39,0)</f>
        <v>549.85919999999999</v>
      </c>
      <c r="AW73" s="115" t="str">
        <f>VLOOKUP(J73,'[63]ТР нефть'!$J$28:$BP$638,40,0)</f>
        <v>ГК 79 1/8</v>
      </c>
      <c r="AX73" s="115">
        <f>VLOOKUP(J73,'[63]ТР нефть'!$J$28:$BP$638,41,0)</f>
        <v>1000.0488</v>
      </c>
      <c r="AY73" s="115" t="str">
        <f>VLOOKUP(J73,'[63]ТР нефть'!$J$28:$BP$638,42,0)</f>
        <v>ГК 80 1/8</v>
      </c>
      <c r="AZ73" s="115">
        <f>VLOOKUP(J73,'[63]ТР нефть'!$J$28:$BP$638,43,0)</f>
        <v>1339.9007999999999</v>
      </c>
      <c r="BA73" s="115" t="str">
        <f>VLOOKUP(J73,'[63]ТР нефть'!$J$28:$BP$638,44,0)</f>
        <v>ГК 84 5/32</v>
      </c>
      <c r="BB73" s="115">
        <f>VLOOKUP(J73,'[63]ТР нефть'!$J$28:$BP$638,45,0)</f>
        <v>1540.000065234</v>
      </c>
      <c r="BC73" s="115" t="str">
        <f>VLOOKUP(J73,'[63]ТР нефть'!$J$28:$BP$638,46,0)</f>
        <v>ЦКсОК 5/16</v>
      </c>
      <c r="BD73" s="115" t="str">
        <f>VLOOKUP(J73,'[63]ТР нефть'!$J$28:$BP$638,47,0)</f>
        <v>-</v>
      </c>
      <c r="BE73" s="115" t="str">
        <f>VLOOKUP(J73,'[63]ТР нефть'!$J$28:$BP$638,48,0)</f>
        <v>-</v>
      </c>
      <c r="BF73" s="115" t="str">
        <f>VLOOKUP(J73,'[63]ТР нефть'!$J$28:$BP$638,49,0)</f>
        <v>-</v>
      </c>
      <c r="BG73" s="115" t="str">
        <f>VLOOKUP(J73,'[63]ТР нефть'!$J$28:$BP$638,50,0)</f>
        <v>-</v>
      </c>
      <c r="BH73" s="115" t="str">
        <f>VLOOKUP(J73,'[63]ТР нефть'!$J$28:$BP$638,51,0)</f>
        <v>-</v>
      </c>
      <c r="BI73" s="115" t="str">
        <f>VLOOKUP(J73,'[63]ТР нефть'!$J$28:$BP$638,52,0)</f>
        <v>-</v>
      </c>
      <c r="BJ73" s="115" t="str">
        <f>IF(IFERROR(VLOOKUP(J73,'[63]ТР нефть'!$J$28:$BP$638,53,0),"-")=0,"-",IFERROR(VLOOKUP(J73,'[63]ТР нефть'!$J$28:$BP$638,53,0),"-"))</f>
        <v>-</v>
      </c>
      <c r="BK73" s="138" t="str">
        <f>IF(IFERROR(VLOOKUP(J73,'[63]ТР нефть'!$J$28:$BP$638,54,0),"-")=0,"-",IFERROR(VLOOKUP(J73,'[63]ТР нефть'!$J$28:$BP$638,54,0),"-"))</f>
        <v>-</v>
      </c>
      <c r="BL73" s="138" t="str">
        <f>IF(IFERROR(VLOOKUP(J73,'[63]ТР нефть'!$J$28:$BP$638,55,0),"-")=0,"-",IFERROR(VLOOKUP(J73,'[63]ТР нефть'!$J$28:$BP$638,55,0),"-"))</f>
        <v>-</v>
      </c>
      <c r="BM73" s="138" t="str">
        <f>IF(IFERROR(VLOOKUP(J73,'[63]ТР нефть'!$J$28:$BP$638,56,0),"-")=0,"-",IFERROR(VLOOKUP(J73,'[63]ТР нефть'!$J$28:$BP$638,56,0),"-"))</f>
        <v>-</v>
      </c>
      <c r="BN73" s="138" t="str">
        <f>IF(IFERROR(VLOOKUP(J73,'[63]ТР нефть'!$J$28:$BP$638,57,0),"-")=0,"-",IFERROR(VLOOKUP(J73,'[63]ТР нефть'!$J$28:$BP$638,57,0),"-"))</f>
        <v>-</v>
      </c>
      <c r="BO73" s="115" t="str">
        <f>IF(IFERROR(VLOOKUP(J73,'[63]ТР нефть'!$J$28:$BP$638,58,0),"-")=0,"-",IFERROR(VLOOKUP(J73,'[63]ТР нефть'!$J$28:$BP$638,58,0),"-"))</f>
        <v>-</v>
      </c>
      <c r="BP73" s="115" t="str">
        <f>IF(IFERROR(VLOOKUP(J73,'[63]ТР нефть'!$J$28:$BP$638,59,0),"-")=0,"-",IFERROR(VLOOKUP(J73,'[63]ТР нефть'!$J$28:$BP$638,59,0),"-"))</f>
        <v>-</v>
      </c>
      <c r="BQ73" s="138">
        <v>2281</v>
      </c>
      <c r="BR73" s="128">
        <v>1921.87</v>
      </c>
      <c r="BS73" s="115">
        <f t="shared" si="2"/>
        <v>359.13000000000011</v>
      </c>
      <c r="BT73" s="128">
        <v>73</v>
      </c>
      <c r="BU73" s="128">
        <v>5.5</v>
      </c>
      <c r="BV73" s="127">
        <v>65</v>
      </c>
      <c r="BW73" s="127" t="s">
        <v>217</v>
      </c>
      <c r="BX73" s="127" t="s">
        <v>195</v>
      </c>
      <c r="BY73" s="139">
        <v>24</v>
      </c>
      <c r="BZ73" s="139">
        <v>0</v>
      </c>
      <c r="CA73" s="80">
        <v>16</v>
      </c>
      <c r="CB73" s="138">
        <v>38</v>
      </c>
      <c r="CC73" s="138">
        <v>15</v>
      </c>
      <c r="CD73" s="135">
        <v>45017</v>
      </c>
      <c r="CE73" s="138">
        <v>55</v>
      </c>
      <c r="CF73" s="138">
        <v>80</v>
      </c>
      <c r="CG73" s="138" t="str">
        <f t="shared" si="52"/>
        <v>В работе</v>
      </c>
      <c r="CH73" s="138" t="s">
        <v>196</v>
      </c>
      <c r="CI73" s="127">
        <v>5</v>
      </c>
      <c r="CJ73" s="138"/>
      <c r="CK73" s="138"/>
      <c r="CL73" s="99"/>
      <c r="CM73" s="99"/>
      <c r="CN73" s="140">
        <v>26</v>
      </c>
      <c r="CO73" s="141">
        <f t="shared" si="4"/>
        <v>4.8003119999999999</v>
      </c>
      <c r="CP73" s="142">
        <v>5.8</v>
      </c>
      <c r="CQ73" s="143">
        <v>1</v>
      </c>
      <c r="CR73" s="138">
        <v>18</v>
      </c>
      <c r="CS73" s="139">
        <v>7.2</v>
      </c>
      <c r="CT73" s="138"/>
      <c r="CU73" s="138">
        <f t="shared" si="5"/>
        <v>10.8</v>
      </c>
      <c r="CV73" s="115">
        <f t="shared" si="6"/>
        <v>2249.8537595056323</v>
      </c>
      <c r="CW73" s="115">
        <f t="shared" si="7"/>
        <v>1479.2060608002998</v>
      </c>
      <c r="CX73" s="133">
        <f t="shared" si="8"/>
        <v>0.19999999999999998</v>
      </c>
      <c r="CY73" s="116"/>
      <c r="CZ73" s="131"/>
      <c r="DA73" s="145" t="str">
        <f t="shared" si="9"/>
        <v>Газлифт</v>
      </c>
      <c r="DB73" s="146">
        <f t="shared" si="10"/>
        <v>4.8444360799999995</v>
      </c>
      <c r="DC73" s="142">
        <f t="shared" si="11"/>
        <v>5.8</v>
      </c>
      <c r="DD73" s="119">
        <f t="shared" si="12"/>
        <v>0.09</v>
      </c>
      <c r="DE73" s="115">
        <f t="shared" si="13"/>
        <v>10.8</v>
      </c>
      <c r="DF73" s="121">
        <f t="shared" si="14"/>
        <v>7.2</v>
      </c>
      <c r="DG73" s="115">
        <f t="shared" si="15"/>
        <v>2249.8537595056323</v>
      </c>
      <c r="DH73" s="115">
        <f t="shared" si="16"/>
        <v>26</v>
      </c>
      <c r="DI73" s="147"/>
      <c r="DJ73" s="111" t="s">
        <v>197</v>
      </c>
      <c r="DK73" s="112">
        <v>43690</v>
      </c>
      <c r="DL73" s="113">
        <f t="shared" ca="1" si="42"/>
        <v>1414</v>
      </c>
      <c r="DM73" s="114"/>
      <c r="DN73" s="114"/>
      <c r="DO73" s="114"/>
      <c r="DP73" s="114"/>
      <c r="DQ73" s="112">
        <v>43663.791666666664</v>
      </c>
      <c r="DR73" s="114" t="s">
        <v>282</v>
      </c>
      <c r="DS73" s="114"/>
      <c r="DT73" s="115">
        <v>32</v>
      </c>
      <c r="DU73" s="116">
        <f t="shared" si="43"/>
        <v>0.25217391304347825</v>
      </c>
      <c r="DV73" s="117">
        <f t="shared" si="44"/>
        <v>4.8003119999999999</v>
      </c>
      <c r="DW73" s="118">
        <f t="shared" si="45"/>
        <v>5.8</v>
      </c>
      <c r="DX73" s="119">
        <f t="shared" si="21"/>
        <v>1</v>
      </c>
      <c r="DY73" s="115">
        <f t="shared" si="46"/>
        <v>10.8</v>
      </c>
      <c r="DZ73" s="117">
        <f t="shared" si="47"/>
        <v>0</v>
      </c>
      <c r="EA73" s="120">
        <f t="shared" si="47"/>
        <v>0</v>
      </c>
      <c r="EB73" s="119">
        <f t="shared" si="47"/>
        <v>0</v>
      </c>
      <c r="EC73" s="121">
        <f t="shared" si="48"/>
        <v>0</v>
      </c>
      <c r="ED73" s="122"/>
      <c r="EE73" s="145">
        <v>65</v>
      </c>
      <c r="EF73" s="148">
        <v>16</v>
      </c>
      <c r="EG73" s="115">
        <v>35</v>
      </c>
      <c r="EH73" s="115">
        <v>15</v>
      </c>
      <c r="EI73" s="128" t="s">
        <v>195</v>
      </c>
      <c r="EJ73" s="121">
        <v>24</v>
      </c>
      <c r="EK73" s="121">
        <v>0</v>
      </c>
      <c r="EL73" s="149">
        <v>2.5057428000000002</v>
      </c>
      <c r="EM73" s="142">
        <v>3</v>
      </c>
      <c r="EN73" s="119">
        <v>0.09</v>
      </c>
      <c r="EO73" s="115">
        <v>14</v>
      </c>
      <c r="EP73" s="115">
        <v>1755.9663346134328</v>
      </c>
      <c r="EQ73" s="115">
        <v>80</v>
      </c>
      <c r="ER73" s="115">
        <v>9.6</v>
      </c>
      <c r="ES73" s="115">
        <v>29</v>
      </c>
      <c r="ET73" s="150">
        <v>0.11538461538461539</v>
      </c>
      <c r="EU73" s="145">
        <f t="shared" si="25"/>
        <v>65</v>
      </c>
      <c r="EV73" s="115">
        <f t="shared" si="26"/>
        <v>16</v>
      </c>
      <c r="EW73" s="115">
        <f t="shared" si="26"/>
        <v>38</v>
      </c>
      <c r="EX73" s="115">
        <f t="shared" si="26"/>
        <v>15</v>
      </c>
      <c r="EY73" s="115" t="str">
        <f t="shared" si="53"/>
        <v>Постоянный</v>
      </c>
      <c r="EZ73" s="115">
        <f t="shared" si="53"/>
        <v>24</v>
      </c>
      <c r="FA73" s="115">
        <f t="shared" si="53"/>
        <v>0</v>
      </c>
      <c r="FB73" s="149">
        <f t="shared" si="28"/>
        <v>4.8003119999999999</v>
      </c>
      <c r="FC73" s="142">
        <f t="shared" si="28"/>
        <v>5.8</v>
      </c>
      <c r="FD73" s="119">
        <f t="shared" si="28"/>
        <v>1</v>
      </c>
      <c r="FE73" s="121">
        <f t="shared" si="28"/>
        <v>18</v>
      </c>
      <c r="FF73" s="121">
        <f t="shared" si="49"/>
        <v>2249.8537595056323</v>
      </c>
      <c r="FG73" s="121">
        <f t="shared" si="30"/>
        <v>80</v>
      </c>
      <c r="FH73" s="121">
        <f t="shared" si="50"/>
        <v>7.2</v>
      </c>
      <c r="FI73" s="121">
        <f t="shared" si="54"/>
        <v>26</v>
      </c>
      <c r="FJ73" s="144">
        <f t="shared" si="33"/>
        <v>0.19999999999999998</v>
      </c>
      <c r="FK73" s="132">
        <f t="shared" si="34"/>
        <v>0</v>
      </c>
      <c r="FL73" s="115">
        <f t="shared" si="34"/>
        <v>0</v>
      </c>
      <c r="FM73" s="115">
        <f t="shared" si="34"/>
        <v>3</v>
      </c>
      <c r="FN73" s="115">
        <f t="shared" si="34"/>
        <v>0</v>
      </c>
      <c r="FO73" s="115">
        <f t="shared" ref="FO73:FT136" si="57">EZ73-EJ73</f>
        <v>0</v>
      </c>
      <c r="FP73" s="115">
        <f t="shared" si="56"/>
        <v>0</v>
      </c>
      <c r="FQ73" s="149">
        <f t="shared" si="56"/>
        <v>2.2945691999999998</v>
      </c>
      <c r="FR73" s="142">
        <f t="shared" si="56"/>
        <v>2.8</v>
      </c>
      <c r="FS73" s="119">
        <f t="shared" si="56"/>
        <v>0.91</v>
      </c>
      <c r="FT73" s="121">
        <f t="shared" si="56"/>
        <v>4</v>
      </c>
      <c r="FU73" s="121">
        <f t="shared" si="36"/>
        <v>0</v>
      </c>
      <c r="FV73" s="121">
        <f t="shared" si="36"/>
        <v>-2.3999999999999995</v>
      </c>
      <c r="FW73" s="121">
        <f t="shared" si="37"/>
        <v>493.88742489219953</v>
      </c>
      <c r="FX73" s="121">
        <f t="shared" si="38"/>
        <v>-3</v>
      </c>
      <c r="FY73" s="144">
        <f t="shared" si="38"/>
        <v>8.4615384615384592E-2</v>
      </c>
      <c r="FZ73" s="145" t="s">
        <v>199</v>
      </c>
      <c r="GA73" s="151" t="s">
        <v>493</v>
      </c>
      <c r="GB73" s="145"/>
      <c r="GC73" s="151" t="s">
        <v>313</v>
      </c>
      <c r="GD73" s="997" t="s">
        <v>238</v>
      </c>
      <c r="GE73" s="1004"/>
      <c r="GF73" s="1004">
        <v>0</v>
      </c>
      <c r="GG73" s="1004"/>
      <c r="GH73" s="1004">
        <v>0</v>
      </c>
      <c r="GI73" s="145"/>
      <c r="GJ73" s="996">
        <v>0</v>
      </c>
      <c r="GK73" s="145"/>
      <c r="GL73" s="996">
        <v>0</v>
      </c>
      <c r="GM73" s="1005"/>
      <c r="GN73" s="996">
        <v>0</v>
      </c>
      <c r="GO73" s="1006" t="s">
        <v>240</v>
      </c>
      <c r="GP73" s="996">
        <v>-3.2740435199999993</v>
      </c>
      <c r="GQ73" s="1006"/>
      <c r="GR73" s="996">
        <v>0</v>
      </c>
      <c r="GS73" s="1006"/>
      <c r="GT73" s="996">
        <v>0</v>
      </c>
      <c r="GU73" s="1006"/>
      <c r="GV73" s="996">
        <v>-0.54204567999999931</v>
      </c>
      <c r="GW73" s="1006"/>
      <c r="GX73" s="997">
        <v>0</v>
      </c>
      <c r="GY73" s="1006"/>
      <c r="GZ73" s="996">
        <v>-0.91500200000000032</v>
      </c>
      <c r="HA73" s="1006"/>
      <c r="HB73" s="996">
        <v>0</v>
      </c>
      <c r="HC73" s="1006"/>
      <c r="HD73" s="996">
        <v>0</v>
      </c>
      <c r="HE73" s="1006"/>
      <c r="HF73" s="996">
        <v>0</v>
      </c>
      <c r="HG73" s="1006"/>
      <c r="HH73" s="996">
        <v>0.78684319999999808</v>
      </c>
      <c r="HI73" s="1006"/>
      <c r="HJ73" s="996">
        <v>0</v>
      </c>
      <c r="HK73" s="1006"/>
      <c r="HL73" s="996">
        <v>-0.64761910399999856</v>
      </c>
      <c r="HM73" s="1006"/>
      <c r="HN73" s="996">
        <v>0.94757590399999891</v>
      </c>
      <c r="HO73" s="1006"/>
      <c r="HP73" s="996">
        <v>0</v>
      </c>
      <c r="HQ73" s="1006"/>
      <c r="HR73" s="996">
        <v>0</v>
      </c>
      <c r="HS73" s="1006"/>
      <c r="HT73" s="996">
        <v>0</v>
      </c>
      <c r="HU73" s="1006"/>
      <c r="HV73" s="996">
        <v>0</v>
      </c>
      <c r="HW73" s="1006"/>
      <c r="HX73" s="996">
        <v>-8.3599999999998786E-2</v>
      </c>
      <c r="HY73" s="1006" t="s">
        <v>204</v>
      </c>
      <c r="HZ73" s="996">
        <v>-1.5048000000000012</v>
      </c>
      <c r="IA73" s="1006"/>
      <c r="IB73" s="996">
        <v>0</v>
      </c>
      <c r="IC73" s="1006" t="s">
        <v>204</v>
      </c>
      <c r="ID73" s="996">
        <v>2.3408000000000007</v>
      </c>
      <c r="IE73" s="1006"/>
      <c r="IF73" s="996">
        <v>0</v>
      </c>
      <c r="IG73" s="1006"/>
      <c r="IH73" s="996">
        <v>0</v>
      </c>
      <c r="II73" s="1006" t="s">
        <v>204</v>
      </c>
      <c r="IJ73" s="996">
        <v>1.6720000000000006</v>
      </c>
      <c r="IK73" s="1006"/>
      <c r="IL73" s="996">
        <v>-0.8360000000000003</v>
      </c>
      <c r="IM73" s="1006"/>
      <c r="IN73" s="996">
        <v>0</v>
      </c>
      <c r="IO73" s="1006"/>
      <c r="IP73" s="996">
        <v>0</v>
      </c>
      <c r="IQ73" s="1006"/>
      <c r="IR73" s="996">
        <v>0.20063999999999993</v>
      </c>
      <c r="IS73" s="1006"/>
      <c r="IT73" s="996">
        <v>0</v>
      </c>
      <c r="IU73" s="1006" t="s">
        <v>199</v>
      </c>
      <c r="IV73" s="996">
        <v>-1.7472399999999988</v>
      </c>
      <c r="IW73" s="1006"/>
      <c r="IX73" s="996">
        <v>0</v>
      </c>
      <c r="IY73" s="1006" t="s">
        <v>223</v>
      </c>
      <c r="IZ73" s="996">
        <v>3.8497724759999992</v>
      </c>
      <c r="JA73" s="1006"/>
      <c r="JB73" s="996">
        <v>0</v>
      </c>
      <c r="JC73" s="1006" t="s">
        <v>223</v>
      </c>
      <c r="JD73" s="996">
        <v>-4.9449324760000009</v>
      </c>
      <c r="JE73" s="1006"/>
      <c r="JF73" s="996">
        <v>0</v>
      </c>
      <c r="JG73" s="1006"/>
      <c r="JH73" s="996">
        <v>0</v>
      </c>
      <c r="JI73" s="1006"/>
      <c r="JJ73" s="996">
        <v>0</v>
      </c>
      <c r="JK73" s="1007" t="s">
        <v>203</v>
      </c>
      <c r="JL73" s="1007">
        <v>-4.2652719999999995</v>
      </c>
      <c r="JM73" s="1007" t="s">
        <v>221</v>
      </c>
      <c r="JN73" s="1007">
        <v>-8.5939964000000018</v>
      </c>
      <c r="JO73" s="1008" t="s">
        <v>221</v>
      </c>
      <c r="JP73" s="1007">
        <v>7.794959178600001</v>
      </c>
      <c r="JQ73" s="1008" t="s">
        <v>25</v>
      </c>
      <c r="JR73" s="1007">
        <v>14.394069221400001</v>
      </c>
      <c r="JS73" s="1008">
        <v>0</v>
      </c>
      <c r="JT73" s="1007">
        <v>0</v>
      </c>
      <c r="JU73" s="1008"/>
      <c r="JV73" s="1007">
        <v>0</v>
      </c>
      <c r="JW73" s="1008" t="s">
        <v>197</v>
      </c>
      <c r="JX73" s="1007">
        <v>0</v>
      </c>
      <c r="JY73" s="1008"/>
      <c r="JZ73" s="1007">
        <v>0</v>
      </c>
      <c r="KA73" s="1008"/>
      <c r="KB73" s="1007">
        <v>0</v>
      </c>
      <c r="KC73" s="1008" t="s">
        <v>204</v>
      </c>
      <c r="KD73" s="1007">
        <v>-1.6719999999999997</v>
      </c>
      <c r="KE73" s="1008" t="s">
        <v>204</v>
      </c>
      <c r="KF73" s="1007">
        <v>-1.6720000000000006</v>
      </c>
      <c r="KG73" s="1008" t="s">
        <v>207</v>
      </c>
      <c r="KH73" s="1007">
        <v>3.7620000000000005</v>
      </c>
      <c r="KI73" s="1008"/>
      <c r="KJ73" s="1007">
        <v>0</v>
      </c>
      <c r="KK73" s="1008"/>
      <c r="KL73" s="1007">
        <v>0</v>
      </c>
      <c r="KM73" s="1008"/>
      <c r="KN73" s="1007">
        <v>0</v>
      </c>
      <c r="KO73" s="1008" t="s">
        <v>204</v>
      </c>
      <c r="KP73" s="1007">
        <v>0.66880000000000006</v>
      </c>
      <c r="KQ73" s="1008">
        <v>0</v>
      </c>
      <c r="KR73" s="1007">
        <v>0</v>
      </c>
      <c r="KS73" s="1008">
        <v>0</v>
      </c>
      <c r="KT73" s="1007">
        <v>0</v>
      </c>
      <c r="KU73" s="1008" t="s">
        <v>206</v>
      </c>
      <c r="KV73" s="1007">
        <v>-1.6719999999999997</v>
      </c>
      <c r="KW73" s="1008" t="s">
        <v>204</v>
      </c>
      <c r="KX73" s="1007">
        <v>2.8423999999999996</v>
      </c>
      <c r="KY73" s="1008" t="s">
        <v>206</v>
      </c>
      <c r="KZ73" s="1007">
        <v>-2.1736000000000004</v>
      </c>
      <c r="LA73" s="1008" t="s">
        <v>206</v>
      </c>
      <c r="LB73" s="1007">
        <v>1.1703999999999999</v>
      </c>
      <c r="LC73" s="1008" t="s">
        <v>204</v>
      </c>
      <c r="LD73" s="1007">
        <v>-1.2539999999999996</v>
      </c>
      <c r="LE73" s="1008" t="s">
        <v>206</v>
      </c>
      <c r="LF73" s="1007">
        <v>2.7170000000000001</v>
      </c>
      <c r="LG73" s="1008">
        <v>0</v>
      </c>
      <c r="LH73" s="1007">
        <v>0</v>
      </c>
      <c r="LI73" s="1008">
        <v>0</v>
      </c>
      <c r="LJ73" s="1007">
        <v>0</v>
      </c>
      <c r="LK73" s="1008">
        <v>0</v>
      </c>
      <c r="LL73" s="1007">
        <v>0</v>
      </c>
      <c r="LM73" s="1008" t="s">
        <v>207</v>
      </c>
      <c r="LN73" s="1007">
        <v>-3.7954400000000001</v>
      </c>
      <c r="LO73" s="1008">
        <v>0</v>
      </c>
      <c r="LP73" s="1007">
        <v>0</v>
      </c>
      <c r="LQ73" s="1008" t="s">
        <v>25</v>
      </c>
      <c r="LR73" s="1007">
        <v>-0.54582441000000004</v>
      </c>
      <c r="LS73" s="1008">
        <v>0</v>
      </c>
      <c r="LT73" s="1007">
        <v>0</v>
      </c>
      <c r="LU73" s="1008">
        <v>0</v>
      </c>
      <c r="LV73" s="1007">
        <v>-0.64528319999999995</v>
      </c>
      <c r="LW73" s="1008">
        <v>0</v>
      </c>
      <c r="LX73" s="1007">
        <v>0</v>
      </c>
      <c r="LY73" s="1009" t="s">
        <v>207</v>
      </c>
      <c r="LZ73" s="1010">
        <v>3.33239632</v>
      </c>
      <c r="MA73" s="1011">
        <v>0</v>
      </c>
      <c r="MB73" s="1012">
        <v>0.37571399999999999</v>
      </c>
      <c r="MC73" s="995"/>
      <c r="MD73" s="996"/>
      <c r="ME73" s="997" t="s">
        <v>238</v>
      </c>
      <c r="MF73" s="997"/>
      <c r="MG73" s="998"/>
      <c r="NR73" s="1000"/>
      <c r="NS73" s="1000"/>
      <c r="NT73" s="1001"/>
      <c r="NU73" s="1000"/>
      <c r="NV73" s="1001"/>
      <c r="NX73" s="1002"/>
      <c r="NZ73" s="1001"/>
      <c r="OA73" s="1001"/>
      <c r="OC73" s="1003"/>
      <c r="OD73" s="1003"/>
      <c r="OE73" s="1001"/>
      <c r="OF73" s="1003"/>
      <c r="OG73" s="1003"/>
      <c r="QX73" s="1000">
        <f t="shared" si="51"/>
        <v>10</v>
      </c>
      <c r="ASU73" s="999" t="s">
        <v>208</v>
      </c>
    </row>
    <row r="74" spans="1:466 1191:1191" ht="21" customHeight="1" x14ac:dyDescent="0.25">
      <c r="A74" s="982" t="str">
        <f t="shared" si="0"/>
        <v>105-2</v>
      </c>
      <c r="B74" s="124">
        <f>SUBTOTAL(103,$J$29:J74)</f>
        <v>46</v>
      </c>
      <c r="C74" s="126">
        <v>45096</v>
      </c>
      <c r="D74" s="124" t="s">
        <v>176</v>
      </c>
      <c r="E74" s="127" t="s">
        <v>177</v>
      </c>
      <c r="F74" s="128" t="s">
        <v>177</v>
      </c>
      <c r="G74" s="127" t="s">
        <v>178</v>
      </c>
      <c r="H74" s="127" t="s">
        <v>226</v>
      </c>
      <c r="I74" s="127" t="s">
        <v>381</v>
      </c>
      <c r="J74" s="152" t="s">
        <v>498</v>
      </c>
      <c r="K74" s="127" t="s">
        <v>495</v>
      </c>
      <c r="L74" s="130">
        <v>37210</v>
      </c>
      <c r="M74" s="127" t="s">
        <v>230</v>
      </c>
      <c r="N74" s="127" t="s">
        <v>184</v>
      </c>
      <c r="O74" s="127" t="s">
        <v>185</v>
      </c>
      <c r="P74" s="127" t="s">
        <v>208</v>
      </c>
      <c r="Q74" s="85" t="str">
        <f t="shared" si="40"/>
        <v/>
      </c>
      <c r="R74" s="130"/>
      <c r="S74" s="128" t="s">
        <v>156</v>
      </c>
      <c r="T74" s="131"/>
      <c r="U74" s="132">
        <v>203</v>
      </c>
      <c r="V74" s="121">
        <v>218.2</v>
      </c>
      <c r="W74" s="116">
        <v>0.98</v>
      </c>
      <c r="X74" s="116">
        <v>1.66</v>
      </c>
      <c r="Y74" s="116">
        <f t="shared" si="41"/>
        <v>0.98241460940142022</v>
      </c>
      <c r="Z74" s="133">
        <v>1.454</v>
      </c>
      <c r="AA74" s="133">
        <v>0.83599999999999997</v>
      </c>
      <c r="AB74" s="133">
        <v>0.72</v>
      </c>
      <c r="AC74" s="121">
        <v>34.299999999999997</v>
      </c>
      <c r="AD74" s="134">
        <v>1.17</v>
      </c>
      <c r="AE74" s="124">
        <v>139.69999999999999</v>
      </c>
      <c r="AF74" s="128">
        <v>7.72</v>
      </c>
      <c r="AG74" s="128">
        <v>1910</v>
      </c>
      <c r="AH74" s="127">
        <v>2683</v>
      </c>
      <c r="AI74" s="127">
        <v>2683</v>
      </c>
      <c r="AJ74" s="135"/>
      <c r="AK74" s="128"/>
      <c r="AL74" s="131"/>
      <c r="AM74" s="124" t="s">
        <v>232</v>
      </c>
      <c r="AN74" s="136" t="s">
        <v>499</v>
      </c>
      <c r="AO74" s="137">
        <v>53.901799999999866</v>
      </c>
      <c r="AP74" s="128">
        <v>1853</v>
      </c>
      <c r="AQ74" s="128">
        <v>18.3</v>
      </c>
      <c r="AR74" s="128"/>
      <c r="AS74" s="128"/>
      <c r="AT74" s="122"/>
      <c r="AU74" s="124" t="s">
        <v>189</v>
      </c>
      <c r="AV74" s="115">
        <f>VLOOKUP(J74,'[63]ТР нефть'!$J$28:$BP$638,39,0)</f>
        <v>842.00002851600004</v>
      </c>
      <c r="AW74" s="115" t="str">
        <f>VLOOKUP(J74,'[63]ТР нефть'!$J$28:$BP$638,40,0)</f>
        <v>ГК 70 1/8</v>
      </c>
      <c r="AX74" s="115">
        <f>VLOOKUP(J74,'[63]ТР нефть'!$J$28:$BP$638,41,0)</f>
        <v>1295.999926172</v>
      </c>
      <c r="AY74" s="115" t="str">
        <f>VLOOKUP(J74,'[63]ТР нефть'!$J$28:$BP$638,42,0)</f>
        <v>ГК 60 1/8</v>
      </c>
      <c r="AZ74" s="115">
        <f>VLOOKUP(J74,'[63]ТР нефть'!$J$28:$BP$638,43,0)</f>
        <v>1835.0000308589999</v>
      </c>
      <c r="BA74" s="115" t="str">
        <f>VLOOKUP(J74,'[63]ТР нефть'!$J$28:$BP$638,44,0)</f>
        <v>ЦКсОК 5/16</v>
      </c>
      <c r="BB74" s="115" t="str">
        <f>VLOOKUP(J74,'[63]ТР нефть'!$J$28:$BP$638,45,0)</f>
        <v>-</v>
      </c>
      <c r="BC74" s="115" t="str">
        <f>VLOOKUP(J74,'[63]ТР нефть'!$J$28:$BP$638,46,0)</f>
        <v>-</v>
      </c>
      <c r="BD74" s="115" t="str">
        <f>VLOOKUP(J74,'[63]ТР нефть'!$J$28:$BP$638,47,0)</f>
        <v>-</v>
      </c>
      <c r="BE74" s="115" t="str">
        <f>VLOOKUP(J74,'[63]ТР нефть'!$J$28:$BP$638,48,0)</f>
        <v>-</v>
      </c>
      <c r="BF74" s="115" t="str">
        <f>VLOOKUP(J74,'[63]ТР нефть'!$J$28:$BP$638,49,0)</f>
        <v>-</v>
      </c>
      <c r="BG74" s="115" t="str">
        <f>VLOOKUP(J74,'[63]ТР нефть'!$J$28:$BP$638,50,0)</f>
        <v>-</v>
      </c>
      <c r="BH74" s="115">
        <f>VLOOKUP(J74,'[63]ТР нефть'!$J$28:$BP$638,51,0)</f>
        <v>1835</v>
      </c>
      <c r="BI74" s="115" t="str">
        <f>VLOOKUP(J74,'[63]ТР нефть'!$J$28:$BP$638,52,0)</f>
        <v>открыт</v>
      </c>
      <c r="BJ74" s="115" t="str">
        <f>IF(IFERROR(VLOOKUP(J74,'[63]ТР нефть'!$J$28:$BP$638,53,0),"-")=0,"-",IFERROR(VLOOKUP(J74,'[63]ТР нефть'!$J$28:$BP$638,53,0),"-"))</f>
        <v>-</v>
      </c>
      <c r="BK74" s="138" t="str">
        <f>IF(IFERROR(VLOOKUP(J74,'[63]ТР нефть'!$J$28:$BP$638,54,0),"-")=0,"-",IFERROR(VLOOKUP(J74,'[63]ТР нефть'!$J$28:$BP$638,54,0),"-"))</f>
        <v>-</v>
      </c>
      <c r="BL74" s="138" t="str">
        <f>IF(IFERROR(VLOOKUP(J74,'[63]ТР нефть'!$J$28:$BP$638,55,0),"-")=0,"-",IFERROR(VLOOKUP(J74,'[63]ТР нефть'!$J$28:$BP$638,55,0),"-"))</f>
        <v>-</v>
      </c>
      <c r="BM74" s="138" t="str">
        <f>IF(IFERROR(VLOOKUP(J74,'[63]ТР нефть'!$J$28:$BP$638,56,0),"-")=0,"-",IFERROR(VLOOKUP(J74,'[63]ТР нефть'!$J$28:$BP$638,56,0),"-"))</f>
        <v>-</v>
      </c>
      <c r="BN74" s="138" t="str">
        <f>IF(IFERROR(VLOOKUP(J74,'[63]ТР нефть'!$J$28:$BP$638,57,0),"-")=0,"-",IFERROR(VLOOKUP(J74,'[63]ТР нефть'!$J$28:$BP$638,57,0),"-"))</f>
        <v>-</v>
      </c>
      <c r="BO74" s="115" t="str">
        <f>IF(IFERROR(VLOOKUP(J74,'[63]ТР нефть'!$J$28:$BP$638,58,0),"-")=0,"-",IFERROR(VLOOKUP(J74,'[63]ТР нефть'!$J$28:$BP$638,58,0),"-"))</f>
        <v>-</v>
      </c>
      <c r="BP74" s="115" t="str">
        <f>IF(IFERROR(VLOOKUP(J74,'[63]ТР нефть'!$J$28:$BP$638,59,0),"-")=0,"-",IFERROR(VLOOKUP(J74,'[63]ТР нефть'!$J$28:$BP$638,59,0),"-"))</f>
        <v>-</v>
      </c>
      <c r="BQ74" s="138">
        <v>1848</v>
      </c>
      <c r="BR74" s="128">
        <v>1843.36</v>
      </c>
      <c r="BS74" s="115">
        <f t="shared" si="2"/>
        <v>4.6400000000001</v>
      </c>
      <c r="BT74" s="128">
        <v>73</v>
      </c>
      <c r="BU74" s="128">
        <v>5.5</v>
      </c>
      <c r="BV74" s="127">
        <v>18</v>
      </c>
      <c r="BW74" s="127" t="s">
        <v>234</v>
      </c>
      <c r="BX74" s="127" t="s">
        <v>195</v>
      </c>
      <c r="BY74" s="139">
        <v>24</v>
      </c>
      <c r="BZ74" s="139">
        <v>0</v>
      </c>
      <c r="CA74" s="80">
        <v>17</v>
      </c>
      <c r="CB74" s="138">
        <v>30</v>
      </c>
      <c r="CC74" s="138">
        <v>16</v>
      </c>
      <c r="CD74" s="135">
        <v>45017</v>
      </c>
      <c r="CE74" s="138">
        <v>71</v>
      </c>
      <c r="CF74" s="138">
        <v>79</v>
      </c>
      <c r="CG74" s="138" t="str">
        <f t="shared" si="52"/>
        <v>В работе</v>
      </c>
      <c r="CH74" s="138" t="s">
        <v>196</v>
      </c>
      <c r="CI74" s="127">
        <v>5</v>
      </c>
      <c r="CJ74" s="138"/>
      <c r="CK74" s="138"/>
      <c r="CL74" s="99"/>
      <c r="CM74" s="99"/>
      <c r="CN74" s="140">
        <v>35</v>
      </c>
      <c r="CO74" s="141">
        <f t="shared" si="4"/>
        <v>6.23238</v>
      </c>
      <c r="CP74" s="142">
        <v>7.5</v>
      </c>
      <c r="CQ74" s="143">
        <v>0.6</v>
      </c>
      <c r="CR74" s="138">
        <v>13.6</v>
      </c>
      <c r="CS74" s="139">
        <v>7</v>
      </c>
      <c r="CT74" s="138"/>
      <c r="CU74" s="138">
        <f t="shared" si="5"/>
        <v>6.6</v>
      </c>
      <c r="CV74" s="115">
        <f t="shared" si="6"/>
        <v>1058.985491898761</v>
      </c>
      <c r="CW74" s="115">
        <f t="shared" si="7"/>
        <v>1113.8533118837011</v>
      </c>
      <c r="CX74" s="133">
        <f t="shared" si="8"/>
        <v>0.20833333333333334</v>
      </c>
      <c r="CY74" s="116"/>
      <c r="CZ74" s="131"/>
      <c r="DA74" s="145" t="str">
        <f t="shared" si="9"/>
        <v>Газлифт</v>
      </c>
      <c r="DB74" s="146">
        <f t="shared" si="10"/>
        <v>6.23238</v>
      </c>
      <c r="DC74" s="142">
        <f t="shared" si="11"/>
        <v>7.5</v>
      </c>
      <c r="DD74" s="119">
        <f t="shared" si="12"/>
        <v>0.6</v>
      </c>
      <c r="DE74" s="115">
        <f t="shared" si="13"/>
        <v>6.6</v>
      </c>
      <c r="DF74" s="121">
        <f t="shared" si="14"/>
        <v>7</v>
      </c>
      <c r="DG74" s="115">
        <f t="shared" si="15"/>
        <v>1058.985491898761</v>
      </c>
      <c r="DH74" s="115">
        <f t="shared" si="16"/>
        <v>35</v>
      </c>
      <c r="DI74" s="147"/>
      <c r="DJ74" s="111" t="s">
        <v>197</v>
      </c>
      <c r="DK74" s="112">
        <v>37210</v>
      </c>
      <c r="DL74" s="113">
        <f t="shared" ca="1" si="42"/>
        <v>7894</v>
      </c>
      <c r="DM74" s="114"/>
      <c r="DN74" s="114"/>
      <c r="DO74" s="114"/>
      <c r="DP74" s="114"/>
      <c r="DQ74" s="112">
        <v>39178</v>
      </c>
      <c r="DR74" s="114" t="s">
        <v>198</v>
      </c>
      <c r="DS74" s="114" t="s">
        <v>302</v>
      </c>
      <c r="DT74" s="115">
        <v>37</v>
      </c>
      <c r="DU74" s="116">
        <f t="shared" si="43"/>
        <v>0.22058823529411764</v>
      </c>
      <c r="DV74" s="117">
        <f t="shared" si="44"/>
        <v>6.23238</v>
      </c>
      <c r="DW74" s="118">
        <f t="shared" si="45"/>
        <v>7.5</v>
      </c>
      <c r="DX74" s="119">
        <f t="shared" si="21"/>
        <v>0.6</v>
      </c>
      <c r="DY74" s="115">
        <f t="shared" si="46"/>
        <v>6.6</v>
      </c>
      <c r="DZ74" s="117">
        <f t="shared" si="47"/>
        <v>0</v>
      </c>
      <c r="EA74" s="120">
        <f t="shared" si="47"/>
        <v>0</v>
      </c>
      <c r="EB74" s="119">
        <f t="shared" si="47"/>
        <v>0</v>
      </c>
      <c r="EC74" s="121">
        <f t="shared" si="48"/>
        <v>0</v>
      </c>
      <c r="ED74" s="122"/>
      <c r="EE74" s="145">
        <v>18</v>
      </c>
      <c r="EF74" s="148">
        <v>17</v>
      </c>
      <c r="EG74" s="115">
        <v>30</v>
      </c>
      <c r="EH74" s="115">
        <v>16</v>
      </c>
      <c r="EI74" s="128" t="s">
        <v>195</v>
      </c>
      <c r="EJ74" s="121">
        <v>24</v>
      </c>
      <c r="EK74" s="121">
        <v>0</v>
      </c>
      <c r="EL74" s="149">
        <v>6.5207999999999995</v>
      </c>
      <c r="EM74" s="142">
        <v>7.8</v>
      </c>
      <c r="EN74" s="119">
        <v>0</v>
      </c>
      <c r="EO74" s="115">
        <v>12.5</v>
      </c>
      <c r="EP74" s="115">
        <v>966.13912403386098</v>
      </c>
      <c r="EQ74" s="115">
        <v>79</v>
      </c>
      <c r="ER74" s="115">
        <v>6.2</v>
      </c>
      <c r="ES74" s="115">
        <v>37</v>
      </c>
      <c r="ET74" s="150">
        <v>0.22941176470588234</v>
      </c>
      <c r="EU74" s="145">
        <f t="shared" si="25"/>
        <v>18</v>
      </c>
      <c r="EV74" s="115">
        <f t="shared" si="26"/>
        <v>17</v>
      </c>
      <c r="EW74" s="115">
        <f t="shared" si="26"/>
        <v>30</v>
      </c>
      <c r="EX74" s="115">
        <f t="shared" si="26"/>
        <v>16</v>
      </c>
      <c r="EY74" s="115" t="str">
        <f t="shared" si="53"/>
        <v>Постоянный</v>
      </c>
      <c r="EZ74" s="115">
        <f t="shared" si="53"/>
        <v>24</v>
      </c>
      <c r="FA74" s="115">
        <f t="shared" si="53"/>
        <v>0</v>
      </c>
      <c r="FB74" s="149">
        <f t="shared" si="28"/>
        <v>6.23238</v>
      </c>
      <c r="FC74" s="142">
        <f t="shared" si="28"/>
        <v>7.5</v>
      </c>
      <c r="FD74" s="119">
        <f t="shared" si="28"/>
        <v>0.6</v>
      </c>
      <c r="FE74" s="121">
        <f t="shared" si="28"/>
        <v>13.6</v>
      </c>
      <c r="FF74" s="121">
        <f t="shared" si="49"/>
        <v>1058.985491898761</v>
      </c>
      <c r="FG74" s="121">
        <f t="shared" si="30"/>
        <v>79</v>
      </c>
      <c r="FH74" s="121">
        <f t="shared" si="50"/>
        <v>7</v>
      </c>
      <c r="FI74" s="121">
        <f t="shared" si="54"/>
        <v>35</v>
      </c>
      <c r="FJ74" s="144">
        <f t="shared" si="33"/>
        <v>0.20833333333333334</v>
      </c>
      <c r="FK74" s="132">
        <f t="shared" si="34"/>
        <v>0</v>
      </c>
      <c r="FL74" s="115">
        <f t="shared" si="34"/>
        <v>0</v>
      </c>
      <c r="FM74" s="115">
        <f t="shared" si="34"/>
        <v>0</v>
      </c>
      <c r="FN74" s="115">
        <f t="shared" si="34"/>
        <v>0</v>
      </c>
      <c r="FO74" s="115">
        <f t="shared" si="57"/>
        <v>0</v>
      </c>
      <c r="FP74" s="115">
        <f t="shared" si="56"/>
        <v>0</v>
      </c>
      <c r="FQ74" s="149">
        <f t="shared" si="56"/>
        <v>-0.28841999999999945</v>
      </c>
      <c r="FR74" s="142">
        <f t="shared" si="56"/>
        <v>-0.29999999999999982</v>
      </c>
      <c r="FS74" s="119">
        <f t="shared" si="56"/>
        <v>0.6</v>
      </c>
      <c r="FT74" s="121">
        <f t="shared" si="56"/>
        <v>1.0999999999999996</v>
      </c>
      <c r="FU74" s="121">
        <f t="shared" si="36"/>
        <v>0</v>
      </c>
      <c r="FV74" s="121">
        <f t="shared" si="36"/>
        <v>0.79999999999999982</v>
      </c>
      <c r="FW74" s="121">
        <f t="shared" si="37"/>
        <v>92.846367864900003</v>
      </c>
      <c r="FX74" s="121">
        <f t="shared" si="38"/>
        <v>-2</v>
      </c>
      <c r="FY74" s="144">
        <f t="shared" si="38"/>
        <v>-2.1078431372549E-2</v>
      </c>
      <c r="FZ74" s="145"/>
      <c r="GA74" s="151" t="s">
        <v>500</v>
      </c>
      <c r="GB74" s="145" t="s">
        <v>199</v>
      </c>
      <c r="GC74" s="151" t="s">
        <v>304</v>
      </c>
      <c r="GD74" s="997" t="s">
        <v>238</v>
      </c>
      <c r="GE74" s="1004" t="s">
        <v>199</v>
      </c>
      <c r="GF74" s="1004">
        <v>-1.4325696000000008</v>
      </c>
      <c r="GG74" s="1004"/>
      <c r="GH74" s="1004">
        <v>-0.39910639999999908</v>
      </c>
      <c r="GI74" s="145"/>
      <c r="GJ74" s="996">
        <v>0</v>
      </c>
      <c r="GK74" s="145"/>
      <c r="GL74" s="996">
        <v>0</v>
      </c>
      <c r="GM74" s="1005"/>
      <c r="GN74" s="996">
        <v>0</v>
      </c>
      <c r="GO74" s="1006"/>
      <c r="GP74" s="996">
        <v>9.814639999999919E-2</v>
      </c>
      <c r="GQ74" s="1006"/>
      <c r="GR74" s="996">
        <v>8.5606399999999638E-2</v>
      </c>
      <c r="GS74" s="1006"/>
      <c r="GT74" s="996">
        <v>-0.14703567999999834</v>
      </c>
      <c r="GU74" s="1006"/>
      <c r="GV74" s="996">
        <v>0</v>
      </c>
      <c r="GW74" s="1006"/>
      <c r="GX74" s="997">
        <v>0</v>
      </c>
      <c r="GY74" s="1006" t="s">
        <v>223</v>
      </c>
      <c r="GZ74" s="996">
        <v>-1.8175643200000007</v>
      </c>
      <c r="HA74" s="1006"/>
      <c r="HB74" s="996">
        <v>0</v>
      </c>
      <c r="HC74" s="1006"/>
      <c r="HD74" s="996">
        <v>0</v>
      </c>
      <c r="HE74" s="1006"/>
      <c r="HF74" s="996">
        <v>3.3323199999999886E-2</v>
      </c>
      <c r="HG74" s="1006" t="s">
        <v>199</v>
      </c>
      <c r="HH74" s="996">
        <v>3.5768792640000004</v>
      </c>
      <c r="HI74" s="1006"/>
      <c r="HJ74" s="996">
        <v>0</v>
      </c>
      <c r="HK74" s="1006" t="s">
        <v>199</v>
      </c>
      <c r="HL74" s="996">
        <v>-11.060843463999998</v>
      </c>
      <c r="HM74" s="1006" t="s">
        <v>199</v>
      </c>
      <c r="HN74" s="996">
        <v>6.7159641999999966</v>
      </c>
      <c r="HO74" s="1006"/>
      <c r="HP74" s="996">
        <v>0</v>
      </c>
      <c r="HQ74" s="1006"/>
      <c r="HR74" s="996">
        <v>0</v>
      </c>
      <c r="HS74" s="1006"/>
      <c r="HT74" s="996">
        <v>-0.71895999999999916</v>
      </c>
      <c r="HU74" s="1006"/>
      <c r="HV74" s="996">
        <v>0</v>
      </c>
      <c r="HW74" s="1006" t="s">
        <v>199</v>
      </c>
      <c r="HX74" s="996">
        <v>1.8893599999999999</v>
      </c>
      <c r="HY74" s="1006" t="s">
        <v>199</v>
      </c>
      <c r="HZ74" s="996">
        <v>-2.8423999999999996</v>
      </c>
      <c r="IA74" s="1006" t="s">
        <v>204</v>
      </c>
      <c r="IB74" s="996">
        <v>5.8519999999999994</v>
      </c>
      <c r="IC74" s="1006" t="s">
        <v>223</v>
      </c>
      <c r="ID74" s="996">
        <v>-2.7587999999999999</v>
      </c>
      <c r="IE74" s="1006" t="s">
        <v>199</v>
      </c>
      <c r="IF74" s="996">
        <v>2.5079999999999991</v>
      </c>
      <c r="IG74" s="1006" t="s">
        <v>199</v>
      </c>
      <c r="IH74" s="996">
        <v>-1.4211999999999989</v>
      </c>
      <c r="II74" s="1006"/>
      <c r="IJ74" s="996">
        <v>0</v>
      </c>
      <c r="IK74" s="1006"/>
      <c r="IL74" s="996">
        <v>0</v>
      </c>
      <c r="IM74" s="1006" t="s">
        <v>204</v>
      </c>
      <c r="IN74" s="996">
        <v>1.4211999999999989</v>
      </c>
      <c r="IO74" s="1006"/>
      <c r="IP74" s="996">
        <v>-0.67715999999999887</v>
      </c>
      <c r="IQ74" s="1006"/>
      <c r="IR74" s="996">
        <v>0</v>
      </c>
      <c r="IS74" s="1006"/>
      <c r="IT74" s="996">
        <v>-0.44308000000000014</v>
      </c>
      <c r="IU74" s="1006"/>
      <c r="IV74" s="996">
        <v>0</v>
      </c>
      <c r="IW74" s="1006"/>
      <c r="IX74" s="996">
        <v>0</v>
      </c>
      <c r="IY74" s="1006" t="s">
        <v>204</v>
      </c>
      <c r="IZ74" s="996">
        <v>-1.9729600000000005</v>
      </c>
      <c r="JA74" s="1006"/>
      <c r="JB74" s="996">
        <v>-0.8360000000000003</v>
      </c>
      <c r="JC74" s="1006"/>
      <c r="JD74" s="996">
        <v>0</v>
      </c>
      <c r="JE74" s="1006"/>
      <c r="JF74" s="996">
        <v>0</v>
      </c>
      <c r="JG74" s="1006"/>
      <c r="JH74" s="996">
        <v>0</v>
      </c>
      <c r="JI74" s="1006" t="s">
        <v>204</v>
      </c>
      <c r="JJ74" s="996">
        <v>2.5080000000000009</v>
      </c>
      <c r="JK74" s="1007"/>
      <c r="JL74" s="1007">
        <v>0</v>
      </c>
      <c r="JM74" s="1007"/>
      <c r="JN74" s="1007">
        <v>0</v>
      </c>
      <c r="JO74" s="1008" t="s">
        <v>241</v>
      </c>
      <c r="JP74" s="1007">
        <v>-8.36</v>
      </c>
      <c r="JQ74" s="1008">
        <v>0</v>
      </c>
      <c r="JR74" s="1007">
        <v>0</v>
      </c>
      <c r="JS74" s="1008">
        <v>0</v>
      </c>
      <c r="JT74" s="1007">
        <v>0</v>
      </c>
      <c r="JU74" s="1008" t="s">
        <v>199</v>
      </c>
      <c r="JV74" s="1007">
        <v>3.3439999999999994</v>
      </c>
      <c r="JW74" s="1008" t="s">
        <v>197</v>
      </c>
      <c r="JX74" s="1007">
        <v>0</v>
      </c>
      <c r="JY74" s="1008"/>
      <c r="JZ74" s="1007">
        <v>0</v>
      </c>
      <c r="KA74" s="1008"/>
      <c r="KB74" s="1007">
        <v>0</v>
      </c>
      <c r="KC74" s="1008"/>
      <c r="KD74" s="1007">
        <v>0</v>
      </c>
      <c r="KE74" s="1008"/>
      <c r="KF74" s="1007">
        <v>0</v>
      </c>
      <c r="KG74" s="1008" t="s">
        <v>207</v>
      </c>
      <c r="KH74" s="1007">
        <v>2.3407999999999998</v>
      </c>
      <c r="KI74" s="1008"/>
      <c r="KJ74" s="1007">
        <v>0</v>
      </c>
      <c r="KK74" s="1008"/>
      <c r="KL74" s="1007">
        <v>0</v>
      </c>
      <c r="KM74" s="1008"/>
      <c r="KN74" s="1007">
        <v>0</v>
      </c>
      <c r="KO74" s="1008"/>
      <c r="KP74" s="1007">
        <v>0</v>
      </c>
      <c r="KQ74" s="1008">
        <v>0</v>
      </c>
      <c r="KR74" s="1007">
        <v>0</v>
      </c>
      <c r="KS74" s="1008">
        <v>0</v>
      </c>
      <c r="KT74" s="1007">
        <v>0</v>
      </c>
      <c r="KU74" s="1008">
        <v>0</v>
      </c>
      <c r="KV74" s="1007">
        <v>4.1800000000000281E-2</v>
      </c>
      <c r="KW74" s="1008" t="s">
        <v>204</v>
      </c>
      <c r="KX74" s="1007">
        <v>1.7973999999999997</v>
      </c>
      <c r="KY74" s="1008">
        <v>0</v>
      </c>
      <c r="KZ74" s="1007">
        <v>0</v>
      </c>
      <c r="LA74" s="1008" t="s">
        <v>206</v>
      </c>
      <c r="LB74" s="1007">
        <v>-3.0440181200000005</v>
      </c>
      <c r="LC74" s="1008">
        <v>0</v>
      </c>
      <c r="LD74" s="1007">
        <v>0</v>
      </c>
      <c r="LE74" s="1008">
        <v>0</v>
      </c>
      <c r="LF74" s="1007">
        <v>0</v>
      </c>
      <c r="LG74" s="1008">
        <v>0</v>
      </c>
      <c r="LH74" s="1007">
        <v>0</v>
      </c>
      <c r="LI74" s="1008">
        <v>0</v>
      </c>
      <c r="LJ74" s="1007">
        <v>0</v>
      </c>
      <c r="LK74" s="1008" t="s">
        <v>204</v>
      </c>
      <c r="LL74" s="1007">
        <v>3.3155999999999999</v>
      </c>
      <c r="LM74" s="1008" t="s">
        <v>240</v>
      </c>
      <c r="LN74" s="1007">
        <v>-5.6664099999999999</v>
      </c>
      <c r="LO74" s="1008">
        <v>0</v>
      </c>
      <c r="LP74" s="1007">
        <v>0</v>
      </c>
      <c r="LQ74" s="1008">
        <v>0</v>
      </c>
      <c r="LR74" s="1007">
        <v>0</v>
      </c>
      <c r="LS74" s="1008" t="s">
        <v>206</v>
      </c>
      <c r="LT74" s="1007">
        <v>-1.86944</v>
      </c>
      <c r="LU74" s="1008" t="s">
        <v>223</v>
      </c>
      <c r="LV74" s="1007">
        <v>-1.9728479999999999</v>
      </c>
      <c r="LW74" s="1008">
        <v>0</v>
      </c>
      <c r="LX74" s="1007">
        <v>-0.25565923000000002</v>
      </c>
      <c r="LY74" s="1009">
        <v>0</v>
      </c>
      <c r="LZ74" s="1010">
        <v>0</v>
      </c>
      <c r="MA74" s="1011" t="s">
        <v>223</v>
      </c>
      <c r="MB74" s="1012">
        <v>-2.3486968560000001</v>
      </c>
      <c r="MC74" s="995"/>
      <c r="MD74" s="996"/>
      <c r="ME74" s="997" t="s">
        <v>238</v>
      </c>
      <c r="MF74" s="997"/>
      <c r="MG74" s="998"/>
      <c r="NR74" s="1000"/>
      <c r="NS74" s="1000"/>
      <c r="NT74" s="1001"/>
      <c r="NU74" s="1000"/>
      <c r="NV74" s="1001"/>
      <c r="NX74" s="1002"/>
      <c r="NZ74" s="1001"/>
      <c r="OA74" s="1001"/>
      <c r="OC74" s="1003"/>
      <c r="OD74" s="1003"/>
      <c r="OE74" s="1001"/>
      <c r="OF74" s="1003"/>
      <c r="OG74" s="1003"/>
      <c r="QX74" s="1000">
        <f t="shared" si="51"/>
        <v>18</v>
      </c>
      <c r="ASU74" s="999" t="s">
        <v>208</v>
      </c>
    </row>
    <row r="75" spans="1:466 1191:1191" ht="21" customHeight="1" x14ac:dyDescent="0.25">
      <c r="A75" s="982" t="str">
        <f t="shared" si="0"/>
        <v>106-1</v>
      </c>
      <c r="B75" s="124">
        <f>SUBTOTAL(103,$J$29:J75)</f>
        <v>47</v>
      </c>
      <c r="C75" s="126">
        <v>45096</v>
      </c>
      <c r="D75" s="124" t="s">
        <v>176</v>
      </c>
      <c r="E75" s="127" t="s">
        <v>177</v>
      </c>
      <c r="F75" s="128" t="s">
        <v>177</v>
      </c>
      <c r="G75" s="127" t="s">
        <v>178</v>
      </c>
      <c r="H75" s="127" t="s">
        <v>226</v>
      </c>
      <c r="I75" s="127" t="s">
        <v>381</v>
      </c>
      <c r="J75" s="152" t="s">
        <v>501</v>
      </c>
      <c r="K75" s="127" t="s">
        <v>182</v>
      </c>
      <c r="L75" s="130">
        <v>37178</v>
      </c>
      <c r="M75" s="127" t="s">
        <v>230</v>
      </c>
      <c r="N75" s="127" t="s">
        <v>184</v>
      </c>
      <c r="O75" s="127" t="s">
        <v>185</v>
      </c>
      <c r="P75" s="127" t="s">
        <v>208</v>
      </c>
      <c r="Q75" s="85" t="str">
        <f t="shared" si="40"/>
        <v/>
      </c>
      <c r="R75" s="130"/>
      <c r="S75" s="128" t="s">
        <v>156</v>
      </c>
      <c r="T75" s="131"/>
      <c r="U75" s="132">
        <v>203</v>
      </c>
      <c r="V75" s="121">
        <v>218.2</v>
      </c>
      <c r="W75" s="116">
        <v>0.98</v>
      </c>
      <c r="X75" s="116">
        <v>1.66</v>
      </c>
      <c r="Y75" s="116">
        <f t="shared" si="41"/>
        <v>0.98809523809523803</v>
      </c>
      <c r="Z75" s="133">
        <v>1.454</v>
      </c>
      <c r="AA75" s="133">
        <v>0.83599999999999997</v>
      </c>
      <c r="AB75" s="133">
        <v>0.72</v>
      </c>
      <c r="AC75" s="121">
        <v>34.299999999999997</v>
      </c>
      <c r="AD75" s="134">
        <v>1.17</v>
      </c>
      <c r="AE75" s="124">
        <v>139.69999999999999</v>
      </c>
      <c r="AF75" s="128">
        <v>7.72</v>
      </c>
      <c r="AG75" s="128">
        <v>2063</v>
      </c>
      <c r="AH75" s="127">
        <v>2620</v>
      </c>
      <c r="AI75" s="127">
        <v>2620</v>
      </c>
      <c r="AJ75" s="135"/>
      <c r="AK75" s="128"/>
      <c r="AL75" s="131"/>
      <c r="AM75" s="124" t="s">
        <v>232</v>
      </c>
      <c r="AN75" s="136" t="s">
        <v>502</v>
      </c>
      <c r="AO75" s="137">
        <v>22.67</v>
      </c>
      <c r="AP75" s="128">
        <v>2063</v>
      </c>
      <c r="AQ75" s="128">
        <v>128</v>
      </c>
      <c r="AR75" s="128"/>
      <c r="AS75" s="128"/>
      <c r="AT75" s="122"/>
      <c r="AU75" s="124" t="s">
        <v>189</v>
      </c>
      <c r="AV75" s="115">
        <f>VLOOKUP(J75,'[63]ТР нефть'!$J$28:$BP$638,39,0)</f>
        <v>630.02160000000003</v>
      </c>
      <c r="AW75" s="115" t="str">
        <f>VLOOKUP(J75,'[63]ТР нефть'!$J$28:$BP$638,40,0)</f>
        <v>ГК 80 1/8</v>
      </c>
      <c r="AX75" s="115">
        <f>VLOOKUP(J75,'[63]ТР нефть'!$J$28:$BP$638,41,0)</f>
        <v>1100.0232000000001</v>
      </c>
      <c r="AY75" s="115" t="str">
        <f>VLOOKUP(J75,'[63]ТР нефть'!$J$28:$BP$638,42,0)</f>
        <v>ГК 83 1/8</v>
      </c>
      <c r="AZ75" s="115">
        <f>VLOOKUP(J75,'[63]ТР нефть'!$J$28:$BP$638,43,0)</f>
        <v>1480.1088</v>
      </c>
      <c r="BA75" s="115" t="str">
        <f>VLOOKUP(J75,'[63]ТР нефть'!$J$28:$BP$638,44,0)</f>
        <v>ГК 83 1/8</v>
      </c>
      <c r="BB75" s="115">
        <f>VLOOKUP(J75,'[63]ТР нефть'!$J$28:$BP$638,45,0)</f>
        <v>1749.8568</v>
      </c>
      <c r="BC75" s="115" t="str">
        <f>VLOOKUP(J75,'[63]ТР нефть'!$J$28:$BP$638,46,0)</f>
        <v>ЦКсОК 5/16</v>
      </c>
      <c r="BD75" s="115" t="str">
        <f>VLOOKUP(J75,'[63]ТР нефть'!$J$28:$BP$638,47,0)</f>
        <v>-</v>
      </c>
      <c r="BE75" s="115" t="str">
        <f>VLOOKUP(J75,'[63]ТР нефть'!$J$28:$BP$638,48,0)</f>
        <v>-</v>
      </c>
      <c r="BF75" s="115" t="str">
        <f>VLOOKUP(J75,'[63]ТР нефть'!$J$28:$BP$638,49,0)</f>
        <v>-</v>
      </c>
      <c r="BG75" s="115" t="str">
        <f>VLOOKUP(J75,'[63]ТР нефть'!$J$28:$BP$638,50,0)</f>
        <v>-</v>
      </c>
      <c r="BH75" s="115">
        <f>VLOOKUP(J75,'[63]ТР нефть'!$J$28:$BP$638,51,0)</f>
        <v>1760</v>
      </c>
      <c r="BI75" s="115" t="str">
        <f>VLOOKUP(J75,'[63]ТР нефть'!$J$28:$BP$638,52,0)</f>
        <v>закрыт</v>
      </c>
      <c r="BJ75" s="115" t="str">
        <f>IF(IFERROR(VLOOKUP(J75,'[63]ТР нефть'!$J$28:$BP$638,53,0),"-")=0,"-",IFERROR(VLOOKUP(J75,'[63]ТР нефть'!$J$28:$BP$638,53,0),"-"))</f>
        <v>-</v>
      </c>
      <c r="BK75" s="138" t="str">
        <f>IF(IFERROR(VLOOKUP(J75,'[63]ТР нефть'!$J$28:$BP$638,54,0),"-")=0,"-",IFERROR(VLOOKUP(J75,'[63]ТР нефть'!$J$28:$BP$638,54,0),"-"))</f>
        <v>-</v>
      </c>
      <c r="BL75" s="138" t="str">
        <f>IF(IFERROR(VLOOKUP(J75,'[63]ТР нефть'!$J$28:$BP$638,55,0),"-")=0,"-",IFERROR(VLOOKUP(J75,'[63]ТР нефть'!$J$28:$BP$638,55,0),"-"))</f>
        <v>-</v>
      </c>
      <c r="BM75" s="138" t="str">
        <f>IF(IFERROR(VLOOKUP(J75,'[63]ТР нефть'!$J$28:$BP$638,56,0),"-")=0,"-",IFERROR(VLOOKUP(J75,'[63]ТР нефть'!$J$28:$BP$638,56,0),"-"))</f>
        <v>-</v>
      </c>
      <c r="BN75" s="138" t="str">
        <f>IF(IFERROR(VLOOKUP(J75,'[63]ТР нефть'!$J$28:$BP$638,57,0),"-")=0,"-",IFERROR(VLOOKUP(J75,'[63]ТР нефть'!$J$28:$BP$638,57,0),"-"))</f>
        <v>-</v>
      </c>
      <c r="BO75" s="115" t="str">
        <f>IF(IFERROR(VLOOKUP(J75,'[63]ТР нефть'!$J$28:$BP$638,58,0),"-")=0,"-",IFERROR(VLOOKUP(J75,'[63]ТР нефть'!$J$28:$BP$638,58,0),"-"))</f>
        <v>-</v>
      </c>
      <c r="BP75" s="115" t="str">
        <f>IF(IFERROR(VLOOKUP(J75,'[63]ТР нефть'!$J$28:$BP$638,59,0),"-")=0,"-",IFERROR(VLOOKUP(J75,'[63]ТР нефть'!$J$28:$BP$638,59,0),"-"))</f>
        <v>-</v>
      </c>
      <c r="BQ75" s="138">
        <v>1884</v>
      </c>
      <c r="BR75" s="128">
        <v>1856.76</v>
      </c>
      <c r="BS75" s="115">
        <f t="shared" si="2"/>
        <v>27.240000000000009</v>
      </c>
      <c r="BT75" s="128">
        <v>73</v>
      </c>
      <c r="BU75" s="128">
        <v>5.5</v>
      </c>
      <c r="BV75" s="127">
        <v>18</v>
      </c>
      <c r="BW75" s="127" t="s">
        <v>234</v>
      </c>
      <c r="BX75" s="127" t="s">
        <v>195</v>
      </c>
      <c r="BY75" s="139">
        <v>24</v>
      </c>
      <c r="BZ75" s="139">
        <v>0</v>
      </c>
      <c r="CA75" s="80">
        <v>15</v>
      </c>
      <c r="CB75" s="138">
        <v>29</v>
      </c>
      <c r="CC75" s="138">
        <v>14</v>
      </c>
      <c r="CD75" s="135">
        <v>45017</v>
      </c>
      <c r="CE75" s="138">
        <v>86</v>
      </c>
      <c r="CF75" s="138">
        <v>83</v>
      </c>
      <c r="CG75" s="138" t="str">
        <f t="shared" si="52"/>
        <v>В работе</v>
      </c>
      <c r="CH75" s="138" t="s">
        <v>235</v>
      </c>
      <c r="CI75" s="127">
        <v>5</v>
      </c>
      <c r="CJ75" s="138"/>
      <c r="CK75" s="138"/>
      <c r="CL75" s="99"/>
      <c r="CM75" s="99"/>
      <c r="CN75" s="140">
        <v>34</v>
      </c>
      <c r="CO75" s="141">
        <f t="shared" si="4"/>
        <v>5.1614639999999996</v>
      </c>
      <c r="CP75" s="142">
        <v>6.3</v>
      </c>
      <c r="CQ75" s="143">
        <v>2</v>
      </c>
      <c r="CR75" s="138">
        <v>13.2</v>
      </c>
      <c r="CS75" s="139">
        <v>7</v>
      </c>
      <c r="CT75" s="138"/>
      <c r="CU75" s="138">
        <f t="shared" si="5"/>
        <v>6.1999999999999993</v>
      </c>
      <c r="CV75" s="115">
        <f t="shared" si="6"/>
        <v>1201.2095792976565</v>
      </c>
      <c r="CW75" s="115">
        <f t="shared" si="7"/>
        <v>1318.9201736754085</v>
      </c>
      <c r="CX75" s="133">
        <f t="shared" si="8"/>
        <v>0.12115384615384615</v>
      </c>
      <c r="CY75" s="116"/>
      <c r="CZ75" s="131"/>
      <c r="DA75" s="145" t="str">
        <f t="shared" si="9"/>
        <v>Газлифт</v>
      </c>
      <c r="DB75" s="146">
        <f t="shared" si="10"/>
        <v>5.1614639999999996</v>
      </c>
      <c r="DC75" s="142">
        <f t="shared" si="11"/>
        <v>6.3</v>
      </c>
      <c r="DD75" s="119">
        <f t="shared" si="12"/>
        <v>2</v>
      </c>
      <c r="DE75" s="115">
        <f t="shared" si="13"/>
        <v>6.1999999999999993</v>
      </c>
      <c r="DF75" s="121">
        <f t="shared" si="14"/>
        <v>7</v>
      </c>
      <c r="DG75" s="115">
        <f t="shared" si="15"/>
        <v>1201.2095792976565</v>
      </c>
      <c r="DH75" s="115">
        <f t="shared" si="16"/>
        <v>34</v>
      </c>
      <c r="DI75" s="147"/>
      <c r="DJ75" s="111" t="s">
        <v>197</v>
      </c>
      <c r="DK75" s="112">
        <v>43604</v>
      </c>
      <c r="DL75" s="113">
        <f t="shared" ca="1" si="42"/>
        <v>1500</v>
      </c>
      <c r="DM75" s="114"/>
      <c r="DN75" s="114"/>
      <c r="DO75" s="114"/>
      <c r="DP75" s="114"/>
      <c r="DQ75" s="112">
        <v>42908</v>
      </c>
      <c r="DR75" s="114" t="s">
        <v>198</v>
      </c>
      <c r="DS75" s="114"/>
      <c r="DT75" s="115">
        <v>43</v>
      </c>
      <c r="DU75" s="116">
        <f t="shared" si="43"/>
        <v>0.14651162790697675</v>
      </c>
      <c r="DV75" s="117">
        <f t="shared" si="44"/>
        <v>5.1614639999999996</v>
      </c>
      <c r="DW75" s="118">
        <f t="shared" si="45"/>
        <v>6.3</v>
      </c>
      <c r="DX75" s="119">
        <f t="shared" si="21"/>
        <v>2</v>
      </c>
      <c r="DY75" s="115">
        <f t="shared" si="46"/>
        <v>6.1999999999999993</v>
      </c>
      <c r="DZ75" s="117">
        <f t="shared" si="47"/>
        <v>0</v>
      </c>
      <c r="EA75" s="120">
        <f t="shared" si="47"/>
        <v>0</v>
      </c>
      <c r="EB75" s="119">
        <f t="shared" si="47"/>
        <v>0</v>
      </c>
      <c r="EC75" s="121">
        <f t="shared" si="48"/>
        <v>0</v>
      </c>
      <c r="ED75" s="122"/>
      <c r="EE75" s="145">
        <v>18</v>
      </c>
      <c r="EF75" s="148">
        <v>18</v>
      </c>
      <c r="EG75" s="115">
        <v>30</v>
      </c>
      <c r="EH75" s="115">
        <v>17</v>
      </c>
      <c r="EI75" s="128" t="s">
        <v>195</v>
      </c>
      <c r="EJ75" s="121">
        <v>24</v>
      </c>
      <c r="EK75" s="121">
        <v>0</v>
      </c>
      <c r="EL75" s="149">
        <v>5.2562663999999995</v>
      </c>
      <c r="EM75" s="117">
        <v>6.3</v>
      </c>
      <c r="EN75" s="119">
        <v>0.2</v>
      </c>
      <c r="EO75" s="115">
        <v>12</v>
      </c>
      <c r="EP75" s="115">
        <v>913.19572386970356</v>
      </c>
      <c r="EQ75" s="115">
        <v>83</v>
      </c>
      <c r="ER75" s="115">
        <v>7.2</v>
      </c>
      <c r="ES75" s="115">
        <v>36</v>
      </c>
      <c r="ET75" s="150">
        <v>0.126</v>
      </c>
      <c r="EU75" s="145">
        <f t="shared" si="25"/>
        <v>18</v>
      </c>
      <c r="EV75" s="115">
        <f t="shared" si="26"/>
        <v>15</v>
      </c>
      <c r="EW75" s="115">
        <f t="shared" si="26"/>
        <v>29</v>
      </c>
      <c r="EX75" s="115">
        <f t="shared" si="26"/>
        <v>14</v>
      </c>
      <c r="EY75" s="115" t="str">
        <f t="shared" si="53"/>
        <v>Постоянный</v>
      </c>
      <c r="EZ75" s="115">
        <f t="shared" si="53"/>
        <v>24</v>
      </c>
      <c r="FA75" s="115">
        <f t="shared" si="53"/>
        <v>0</v>
      </c>
      <c r="FB75" s="149">
        <f t="shared" si="28"/>
        <v>5.1614639999999996</v>
      </c>
      <c r="FC75" s="142">
        <f t="shared" si="28"/>
        <v>6.3</v>
      </c>
      <c r="FD75" s="119">
        <f t="shared" si="28"/>
        <v>2</v>
      </c>
      <c r="FE75" s="121">
        <f t="shared" si="28"/>
        <v>13.2</v>
      </c>
      <c r="FF75" s="121">
        <f t="shared" si="49"/>
        <v>1201.2095792976565</v>
      </c>
      <c r="FG75" s="121">
        <f t="shared" si="30"/>
        <v>83</v>
      </c>
      <c r="FH75" s="121">
        <f t="shared" si="50"/>
        <v>7</v>
      </c>
      <c r="FI75" s="121">
        <f t="shared" si="54"/>
        <v>34</v>
      </c>
      <c r="FJ75" s="144">
        <f t="shared" si="33"/>
        <v>0.12115384615384615</v>
      </c>
      <c r="FK75" s="132">
        <f t="shared" si="34"/>
        <v>0</v>
      </c>
      <c r="FL75" s="115">
        <f t="shared" si="34"/>
        <v>-3</v>
      </c>
      <c r="FM75" s="115">
        <f t="shared" si="34"/>
        <v>-1</v>
      </c>
      <c r="FN75" s="115">
        <f t="shared" si="34"/>
        <v>-3</v>
      </c>
      <c r="FO75" s="115">
        <f t="shared" si="57"/>
        <v>0</v>
      </c>
      <c r="FP75" s="115">
        <f t="shared" si="56"/>
        <v>0</v>
      </c>
      <c r="FQ75" s="149">
        <f t="shared" si="56"/>
        <v>-9.4802399999999842E-2</v>
      </c>
      <c r="FR75" s="142">
        <f t="shared" si="56"/>
        <v>0</v>
      </c>
      <c r="FS75" s="119">
        <f t="shared" si="56"/>
        <v>1.8</v>
      </c>
      <c r="FT75" s="121">
        <f t="shared" si="56"/>
        <v>1.1999999999999993</v>
      </c>
      <c r="FU75" s="121">
        <f t="shared" si="36"/>
        <v>0</v>
      </c>
      <c r="FV75" s="121">
        <f t="shared" si="36"/>
        <v>-0.20000000000000018</v>
      </c>
      <c r="FW75" s="121">
        <f t="shared" si="37"/>
        <v>288.01385542795299</v>
      </c>
      <c r="FX75" s="121">
        <f t="shared" si="38"/>
        <v>-2</v>
      </c>
      <c r="FY75" s="144">
        <f t="shared" si="38"/>
        <v>-4.8461538461538473E-3</v>
      </c>
      <c r="FZ75" s="145"/>
      <c r="GA75" s="151" t="s">
        <v>500</v>
      </c>
      <c r="GB75" s="145" t="s">
        <v>199</v>
      </c>
      <c r="GC75" s="151" t="s">
        <v>304</v>
      </c>
      <c r="GD75" s="997" t="s">
        <v>238</v>
      </c>
      <c r="GE75" s="1004" t="s">
        <v>199</v>
      </c>
      <c r="GF75" s="1004">
        <v>-1.6131456000000011</v>
      </c>
      <c r="GG75" s="1004"/>
      <c r="GH75" s="1004">
        <v>-0.91040399999999977</v>
      </c>
      <c r="GI75" s="145"/>
      <c r="GJ75" s="996">
        <v>0.13091760000000097</v>
      </c>
      <c r="GK75" s="145"/>
      <c r="GL75" s="996">
        <v>3.4610400000000929E-2</v>
      </c>
      <c r="GM75" s="1005"/>
      <c r="GN75" s="996">
        <v>0</v>
      </c>
      <c r="GO75" s="1006"/>
      <c r="GP75" s="996">
        <v>-1.6151520000000197E-2</v>
      </c>
      <c r="GQ75" s="1006" t="s">
        <v>199</v>
      </c>
      <c r="GR75" s="996">
        <v>2.3411310559999992</v>
      </c>
      <c r="GS75" s="1006"/>
      <c r="GT75" s="996">
        <v>0</v>
      </c>
      <c r="GU75" s="1006"/>
      <c r="GV75" s="996">
        <v>-0.38713153600000005</v>
      </c>
      <c r="GW75" s="1006" t="s">
        <v>204</v>
      </c>
      <c r="GX75" s="997">
        <v>-1.9506137199999998</v>
      </c>
      <c r="GY75" s="1006" t="s">
        <v>223</v>
      </c>
      <c r="GZ75" s="996">
        <v>-3.2405909800000003</v>
      </c>
      <c r="HA75" s="1006"/>
      <c r="HB75" s="996">
        <v>-0.2797548600000006</v>
      </c>
      <c r="HC75" s="1006" t="s">
        <v>199</v>
      </c>
      <c r="HD75" s="996">
        <v>1.1153995600000002</v>
      </c>
      <c r="HE75" s="1006"/>
      <c r="HF75" s="996">
        <v>0</v>
      </c>
      <c r="HG75" s="1006" t="s">
        <v>199</v>
      </c>
      <c r="HH75" s="996">
        <v>1.6480569600000017</v>
      </c>
      <c r="HI75" s="1006"/>
      <c r="HJ75" s="996">
        <v>0</v>
      </c>
      <c r="HK75" s="1006"/>
      <c r="HL75" s="996">
        <v>0</v>
      </c>
      <c r="HM75" s="1006"/>
      <c r="HN75" s="996">
        <v>0.85994303999999833</v>
      </c>
      <c r="HO75" s="1006"/>
      <c r="HP75" s="996">
        <v>0.41800000000000015</v>
      </c>
      <c r="HQ75" s="1006"/>
      <c r="HR75" s="996">
        <v>-0.75657999999999959</v>
      </c>
      <c r="HS75" s="1006"/>
      <c r="HT75" s="996">
        <v>0.89869999999999983</v>
      </c>
      <c r="HU75" s="1006" t="s">
        <v>223</v>
      </c>
      <c r="HV75" s="996">
        <v>-2.6668399999999988</v>
      </c>
      <c r="HW75" s="1006"/>
      <c r="HX75" s="996">
        <v>1.6719999999999402E-2</v>
      </c>
      <c r="HY75" s="1006"/>
      <c r="HZ75" s="996">
        <v>-0.8360000000000003</v>
      </c>
      <c r="IA75" s="1006" t="s">
        <v>241</v>
      </c>
      <c r="IB75" s="996">
        <v>2.09</v>
      </c>
      <c r="IC75" s="1006"/>
      <c r="ID75" s="996">
        <v>0.83599999999999941</v>
      </c>
      <c r="IE75" s="1006"/>
      <c r="IF75" s="996">
        <v>0</v>
      </c>
      <c r="IG75" s="1006" t="s">
        <v>223</v>
      </c>
      <c r="IH75" s="996">
        <v>-2.508</v>
      </c>
      <c r="II75" s="1006" t="s">
        <v>199</v>
      </c>
      <c r="IJ75" s="996">
        <v>1.2539999999999996</v>
      </c>
      <c r="IK75" s="1006"/>
      <c r="IL75" s="996">
        <v>0</v>
      </c>
      <c r="IM75" s="1006"/>
      <c r="IN75" s="996">
        <v>0.29260000000000019</v>
      </c>
      <c r="IO75" s="1006"/>
      <c r="IP75" s="996">
        <v>0.41131200000000057</v>
      </c>
      <c r="IQ75" s="1006" t="s">
        <v>199</v>
      </c>
      <c r="IR75" s="996">
        <v>2.1217679999999994</v>
      </c>
      <c r="IS75" s="1006" t="s">
        <v>204</v>
      </c>
      <c r="IT75" s="996">
        <v>-2.0732799999999987</v>
      </c>
      <c r="IU75" s="1006"/>
      <c r="IV75" s="996">
        <v>0.91959999999999908</v>
      </c>
      <c r="IW75" s="1006"/>
      <c r="IX75" s="996">
        <v>0</v>
      </c>
      <c r="IY75" s="1006" t="s">
        <v>199</v>
      </c>
      <c r="IZ75" s="996">
        <v>-2.09</v>
      </c>
      <c r="JA75" s="1006"/>
      <c r="JB75" s="996">
        <v>0</v>
      </c>
      <c r="JC75" s="1006" t="s">
        <v>204</v>
      </c>
      <c r="JD75" s="996">
        <v>-2.5079999999999991</v>
      </c>
      <c r="JE75" s="1006"/>
      <c r="JF75" s="996">
        <v>0</v>
      </c>
      <c r="JG75" s="1006"/>
      <c r="JH75" s="996">
        <v>0</v>
      </c>
      <c r="JI75" s="1006" t="s">
        <v>203</v>
      </c>
      <c r="JJ75" s="996">
        <v>-1.2860000000000014</v>
      </c>
      <c r="JK75" s="1007" t="s">
        <v>25</v>
      </c>
      <c r="JL75" s="1007">
        <v>7.0566759999999995</v>
      </c>
      <c r="JM75" s="1007" t="s">
        <v>221</v>
      </c>
      <c r="JN75" s="1007">
        <v>-6.0526399999999985</v>
      </c>
      <c r="JO75" s="1008" t="s">
        <v>204</v>
      </c>
      <c r="JP75" s="1007">
        <v>-2.307360000000001</v>
      </c>
      <c r="JQ75" s="1008">
        <v>0</v>
      </c>
      <c r="JR75" s="1007">
        <v>0</v>
      </c>
      <c r="JS75" s="1008" t="s">
        <v>199</v>
      </c>
      <c r="JT75" s="1007">
        <v>2.5079999999999991</v>
      </c>
      <c r="JU75" s="1008" t="s">
        <v>199</v>
      </c>
      <c r="JV75" s="1007">
        <v>5.3303359999999991</v>
      </c>
      <c r="JW75" s="1008" t="s">
        <v>224</v>
      </c>
      <c r="JX75" s="1007">
        <v>8.8816640000000007</v>
      </c>
      <c r="JY75" s="1008"/>
      <c r="JZ75" s="1007">
        <v>-7.524</v>
      </c>
      <c r="KA75" s="1008"/>
      <c r="KB75" s="1007">
        <v>0</v>
      </c>
      <c r="KC75" s="1008"/>
      <c r="KD75" s="1007">
        <v>0</v>
      </c>
      <c r="KE75" s="1008" t="s">
        <v>199</v>
      </c>
      <c r="KF75" s="1007">
        <v>-7.524</v>
      </c>
      <c r="KG75" s="1008" t="s">
        <v>207</v>
      </c>
      <c r="KH75" s="1007">
        <v>5.8520000000000003</v>
      </c>
      <c r="KI75" s="1008" t="s">
        <v>207</v>
      </c>
      <c r="KJ75" s="1007">
        <v>-5.016</v>
      </c>
      <c r="KK75" s="1008"/>
      <c r="KL75" s="1007">
        <v>0</v>
      </c>
      <c r="KM75" s="1008"/>
      <c r="KN75" s="1007">
        <v>-4.18</v>
      </c>
      <c r="KO75" s="1008" t="s">
        <v>204</v>
      </c>
      <c r="KP75" s="1007">
        <v>-0.83599999999999852</v>
      </c>
      <c r="KQ75" s="1008">
        <v>0</v>
      </c>
      <c r="KR75" s="1007">
        <v>1.671999999999997</v>
      </c>
      <c r="KS75" s="1008">
        <v>0</v>
      </c>
      <c r="KT75" s="1007">
        <v>0</v>
      </c>
      <c r="KU75" s="1008">
        <v>0</v>
      </c>
      <c r="KV75" s="1007">
        <v>0</v>
      </c>
      <c r="KW75" s="1008">
        <v>0</v>
      </c>
      <c r="KX75" s="1007">
        <v>0</v>
      </c>
      <c r="KY75" s="1008">
        <v>0</v>
      </c>
      <c r="KZ75" s="1007">
        <v>0</v>
      </c>
      <c r="LA75" s="1008">
        <v>0</v>
      </c>
      <c r="LB75" s="1007">
        <v>0</v>
      </c>
      <c r="LC75" s="1008">
        <v>0</v>
      </c>
      <c r="LD75" s="1007">
        <v>0</v>
      </c>
      <c r="LE75" s="1008">
        <v>0</v>
      </c>
      <c r="LF75" s="1007">
        <v>0.96558000000000277</v>
      </c>
      <c r="LG75" s="1008">
        <v>0</v>
      </c>
      <c r="LH75" s="1007">
        <v>0</v>
      </c>
      <c r="LI75" s="1008" t="s">
        <v>199</v>
      </c>
      <c r="LJ75" s="1007">
        <v>3.5550899999999999</v>
      </c>
      <c r="LK75" s="1008">
        <v>0</v>
      </c>
      <c r="LL75" s="1007">
        <v>0</v>
      </c>
      <c r="LM75" s="1008" t="s">
        <v>206</v>
      </c>
      <c r="LN75" s="1007">
        <v>-0.34484999999999999</v>
      </c>
      <c r="LO75" s="1008" t="s">
        <v>203</v>
      </c>
      <c r="LP75" s="1007">
        <v>-1.119956</v>
      </c>
      <c r="LQ75" s="1008">
        <v>0</v>
      </c>
      <c r="LR75" s="1007">
        <v>4.8141227200000003</v>
      </c>
      <c r="LS75" s="1008" t="s">
        <v>206</v>
      </c>
      <c r="LT75" s="1007">
        <v>-4.7594817600000017</v>
      </c>
      <c r="LU75" s="1008">
        <v>0</v>
      </c>
      <c r="LV75" s="1007">
        <v>0.44834680999999998</v>
      </c>
      <c r="LW75" s="1008">
        <v>0</v>
      </c>
      <c r="LX75" s="1007">
        <v>-0.45144499999999999</v>
      </c>
      <c r="LY75" s="1009">
        <v>0</v>
      </c>
      <c r="LZ75" s="1010">
        <v>12.353351999999999</v>
      </c>
      <c r="MA75" s="1011" t="s">
        <v>206</v>
      </c>
      <c r="MB75" s="1012">
        <v>1.3322647999999999</v>
      </c>
      <c r="MC75" s="995"/>
      <c r="MD75" s="996"/>
      <c r="ME75" s="997" t="s">
        <v>238</v>
      </c>
      <c r="MF75" s="997"/>
      <c r="MG75" s="998"/>
      <c r="NR75" s="1000"/>
      <c r="NS75" s="1000"/>
      <c r="NT75" s="1001"/>
      <c r="NU75" s="1000"/>
      <c r="NV75" s="1001"/>
      <c r="NX75" s="1002"/>
      <c r="NZ75" s="1001"/>
      <c r="OA75" s="1001"/>
      <c r="OC75" s="1003"/>
      <c r="OD75" s="1003"/>
      <c r="OE75" s="1001"/>
      <c r="OF75" s="1003"/>
      <c r="OG75" s="1003"/>
      <c r="QX75" s="1000">
        <f t="shared" si="51"/>
        <v>19</v>
      </c>
      <c r="ASU75" s="999" t="s">
        <v>208</v>
      </c>
    </row>
    <row r="76" spans="1:466 1191:1191" ht="21" customHeight="1" x14ac:dyDescent="0.25">
      <c r="A76" s="982">
        <f t="shared" si="0"/>
        <v>147</v>
      </c>
      <c r="B76" s="124">
        <f>SUBTOTAL(103,$J$29:J76)</f>
        <v>48</v>
      </c>
      <c r="C76" s="126">
        <v>45096</v>
      </c>
      <c r="D76" s="124" t="s">
        <v>176</v>
      </c>
      <c r="E76" s="127" t="s">
        <v>177</v>
      </c>
      <c r="F76" s="128" t="s">
        <v>177</v>
      </c>
      <c r="G76" s="127" t="s">
        <v>178</v>
      </c>
      <c r="H76" s="127" t="s">
        <v>179</v>
      </c>
      <c r="I76" s="127" t="s">
        <v>417</v>
      </c>
      <c r="J76" s="152">
        <v>147</v>
      </c>
      <c r="K76" s="127" t="s">
        <v>182</v>
      </c>
      <c r="L76" s="130">
        <v>35222</v>
      </c>
      <c r="M76" s="127" t="s">
        <v>183</v>
      </c>
      <c r="N76" s="127" t="s">
        <v>231</v>
      </c>
      <c r="O76" s="127" t="s">
        <v>185</v>
      </c>
      <c r="P76" s="127" t="s">
        <v>208</v>
      </c>
      <c r="Q76" s="85" t="str">
        <f t="shared" si="40"/>
        <v/>
      </c>
      <c r="R76" s="130"/>
      <c r="S76" s="128"/>
      <c r="T76" s="131"/>
      <c r="U76" s="132">
        <v>203</v>
      </c>
      <c r="V76" s="121">
        <v>218.2</v>
      </c>
      <c r="W76" s="116">
        <v>0.98</v>
      </c>
      <c r="X76" s="116">
        <v>1.66</v>
      </c>
      <c r="Y76" s="116">
        <f t="shared" si="41"/>
        <v>0.98</v>
      </c>
      <c r="Z76" s="133">
        <v>1.454</v>
      </c>
      <c r="AA76" s="133">
        <v>0.83599999999999997</v>
      </c>
      <c r="AB76" s="133">
        <v>0.72</v>
      </c>
      <c r="AC76" s="121">
        <v>34.299999999999997</v>
      </c>
      <c r="AD76" s="134">
        <v>1.17</v>
      </c>
      <c r="AE76" s="124">
        <v>139.69999999999999</v>
      </c>
      <c r="AF76" s="128">
        <v>7.72</v>
      </c>
      <c r="AG76" s="128">
        <v>2014</v>
      </c>
      <c r="AH76" s="127">
        <v>2014</v>
      </c>
      <c r="AI76" s="127">
        <v>2014</v>
      </c>
      <c r="AJ76" s="135"/>
      <c r="AK76" s="128"/>
      <c r="AL76" s="131"/>
      <c r="AM76" s="124" t="s">
        <v>187</v>
      </c>
      <c r="AN76" s="136" t="s">
        <v>503</v>
      </c>
      <c r="AO76" s="137">
        <v>106.74</v>
      </c>
      <c r="AP76" s="128">
        <v>1890</v>
      </c>
      <c r="AQ76" s="128">
        <v>2.68</v>
      </c>
      <c r="AR76" s="128"/>
      <c r="AS76" s="128"/>
      <c r="AT76" s="122"/>
      <c r="AU76" s="124" t="s">
        <v>250</v>
      </c>
      <c r="AV76" s="115">
        <f>VLOOKUP(J76,'[63]ТР нефть'!$J$28:$BP$638,39,0)</f>
        <v>884</v>
      </c>
      <c r="AW76" s="115" t="str">
        <f>VLOOKUP(J76,'[63]ТР нефть'!$J$28:$BP$638,40,0)</f>
        <v>ЦКсОК 5/16</v>
      </c>
      <c r="AX76" s="115" t="str">
        <f>VLOOKUP(J76,'[63]ТР нефть'!$J$28:$BP$638,41,0)</f>
        <v>-</v>
      </c>
      <c r="AY76" s="115" t="str">
        <f>VLOOKUP(J76,'[63]ТР нефть'!$J$28:$BP$638,42,0)</f>
        <v>-</v>
      </c>
      <c r="AZ76" s="115" t="str">
        <f>VLOOKUP(J76,'[63]ТР нефть'!$J$28:$BP$638,43,0)</f>
        <v>-</v>
      </c>
      <c r="BA76" s="115" t="str">
        <f>VLOOKUP(J76,'[63]ТР нефть'!$J$28:$BP$638,44,0)</f>
        <v>-</v>
      </c>
      <c r="BB76" s="115" t="str">
        <f>VLOOKUP(J76,'[63]ТР нефть'!$J$28:$BP$638,45,0)</f>
        <v>-</v>
      </c>
      <c r="BC76" s="115" t="str">
        <f>VLOOKUP(J76,'[63]ТР нефть'!$J$28:$BP$638,46,0)</f>
        <v>-</v>
      </c>
      <c r="BD76" s="115" t="str">
        <f>VLOOKUP(J76,'[63]ТР нефть'!$J$28:$BP$638,47,0)</f>
        <v>-</v>
      </c>
      <c r="BE76" s="115" t="str">
        <f>VLOOKUP(J76,'[63]ТР нефть'!$J$28:$BP$638,48,0)</f>
        <v>-</v>
      </c>
      <c r="BF76" s="115" t="str">
        <f>VLOOKUP(J76,'[63]ТР нефть'!$J$28:$BP$638,49,0)</f>
        <v>-</v>
      </c>
      <c r="BG76" s="115" t="str">
        <f>VLOOKUP(J76,'[63]ТР нефть'!$J$28:$BP$638,50,0)</f>
        <v>-</v>
      </c>
      <c r="BH76" s="115">
        <f>VLOOKUP(J76,'[63]ТР нефть'!$J$28:$BP$638,51,0)</f>
        <v>1847</v>
      </c>
      <c r="BI76" s="115" t="str">
        <f>VLOOKUP(J76,'[63]ТР нефть'!$J$28:$BP$638,52,0)</f>
        <v>закрыт</v>
      </c>
      <c r="BJ76" s="115" t="str">
        <f>IF(IFERROR(VLOOKUP(J76,'[63]ТР нефть'!$J$28:$BP$638,53,0),"-")=0,"-",IFERROR(VLOOKUP(J76,'[63]ТР нефть'!$J$28:$BP$638,53,0),"-"))</f>
        <v>-</v>
      </c>
      <c r="BK76" s="138" t="str">
        <f>IF(IFERROR(VLOOKUP(J76,'[63]ТР нефть'!$J$28:$BP$638,54,0),"-")=0,"-",IFERROR(VLOOKUP(J76,'[63]ТР нефть'!$J$28:$BP$638,54,0),"-"))</f>
        <v>-</v>
      </c>
      <c r="BL76" s="138" t="str">
        <f>IF(IFERROR(VLOOKUP(J76,'[63]ТР нефть'!$J$28:$BP$638,55,0),"-")=0,"-",IFERROR(VLOOKUP(J76,'[63]ТР нефть'!$J$28:$BP$638,55,0),"-"))</f>
        <v>-</v>
      </c>
      <c r="BM76" s="138" t="str">
        <f>IF(IFERROR(VLOOKUP(J76,'[63]ТР нефть'!$J$28:$BP$638,56,0),"-")=0,"-",IFERROR(VLOOKUP(J76,'[63]ТР нефть'!$J$28:$BP$638,56,0),"-"))</f>
        <v>-</v>
      </c>
      <c r="BN76" s="138" t="str">
        <f>IF(IFERROR(VLOOKUP(J76,'[63]ТР нефть'!$J$28:$BP$638,57,0),"-")=0,"-",IFERROR(VLOOKUP(J76,'[63]ТР нефть'!$J$28:$BP$638,57,0),"-"))</f>
        <v>-</v>
      </c>
      <c r="BO76" s="115" t="str">
        <f>IF(IFERROR(VLOOKUP(J76,'[63]ТР нефть'!$J$28:$BP$638,58,0),"-")=0,"-",IFERROR(VLOOKUP(J76,'[63]ТР нефть'!$J$28:$BP$638,58,0),"-"))</f>
        <v>-</v>
      </c>
      <c r="BP76" s="115" t="str">
        <f>IF(IFERROR(VLOOKUP(J76,'[63]ТР нефть'!$J$28:$BP$638,59,0),"-")=0,"-",IFERROR(VLOOKUP(J76,'[63]ТР нефть'!$J$28:$BP$638,59,0),"-"))</f>
        <v>-</v>
      </c>
      <c r="BQ76" s="138">
        <v>1936</v>
      </c>
      <c r="BR76" s="128">
        <v>1933.2</v>
      </c>
      <c r="BS76" s="115">
        <f t="shared" si="2"/>
        <v>2.7999999999999545</v>
      </c>
      <c r="BT76" s="128">
        <v>73</v>
      </c>
      <c r="BU76" s="128">
        <v>5.5</v>
      </c>
      <c r="BV76" s="127">
        <v>18</v>
      </c>
      <c r="BW76" s="127" t="s">
        <v>234</v>
      </c>
      <c r="BX76" s="127" t="s">
        <v>195</v>
      </c>
      <c r="BY76" s="139">
        <v>24</v>
      </c>
      <c r="BZ76" s="139">
        <v>0</v>
      </c>
      <c r="CA76" s="80">
        <v>22</v>
      </c>
      <c r="CB76" s="138">
        <v>30</v>
      </c>
      <c r="CC76" s="138">
        <v>21</v>
      </c>
      <c r="CD76" s="135">
        <v>45017</v>
      </c>
      <c r="CE76" s="138">
        <v>113.1</v>
      </c>
      <c r="CF76" s="138"/>
      <c r="CG76" s="138" t="str">
        <f t="shared" si="52"/>
        <v/>
      </c>
      <c r="CH76" s="138" t="s">
        <v>197</v>
      </c>
      <c r="CI76" s="127"/>
      <c r="CJ76" s="138"/>
      <c r="CK76" s="138"/>
      <c r="CL76" s="99"/>
      <c r="CM76" s="127"/>
      <c r="CN76" s="154">
        <v>40</v>
      </c>
      <c r="CO76" s="141">
        <f t="shared" si="4"/>
        <v>9.9116159999999986</v>
      </c>
      <c r="CP76" s="142">
        <v>11.856</v>
      </c>
      <c r="CQ76" s="119">
        <v>0</v>
      </c>
      <c r="CR76" s="138">
        <v>28.448</v>
      </c>
      <c r="CS76" s="139"/>
      <c r="CT76" s="138"/>
      <c r="CU76" s="138">
        <f t="shared" si="5"/>
        <v>28.448</v>
      </c>
      <c r="CV76" s="115">
        <f t="shared" si="6"/>
        <v>2870.1676901122887</v>
      </c>
      <c r="CW76" s="115" t="str">
        <f t="shared" si="7"/>
        <v/>
      </c>
      <c r="CX76" s="133">
        <f t="shared" si="8"/>
        <v>0.16218878248974009</v>
      </c>
      <c r="CY76" s="116"/>
      <c r="CZ76" s="131"/>
      <c r="DA76" s="145" t="str">
        <f t="shared" si="9"/>
        <v>Фон.</v>
      </c>
      <c r="DB76" s="146">
        <f t="shared" si="10"/>
        <v>9.9116159999999986</v>
      </c>
      <c r="DC76" s="142">
        <f t="shared" si="11"/>
        <v>11.856</v>
      </c>
      <c r="DD76" s="119">
        <f t="shared" si="12"/>
        <v>0</v>
      </c>
      <c r="DE76" s="115">
        <f t="shared" si="13"/>
        <v>28.448</v>
      </c>
      <c r="DF76" s="121">
        <f t="shared" si="14"/>
        <v>0</v>
      </c>
      <c r="DG76" s="115">
        <f t="shared" si="15"/>
        <v>2870.1676901122887</v>
      </c>
      <c r="DH76" s="115">
        <f t="shared" si="16"/>
        <v>40</v>
      </c>
      <c r="DI76" s="147"/>
      <c r="DJ76" s="111">
        <v>43660</v>
      </c>
      <c r="DK76" s="112">
        <v>41389</v>
      </c>
      <c r="DL76" s="113">
        <f t="shared" ca="1" si="42"/>
        <v>3715</v>
      </c>
      <c r="DM76" s="114"/>
      <c r="DN76" s="114"/>
      <c r="DO76" s="114"/>
      <c r="DP76" s="114"/>
      <c r="DQ76" s="112">
        <v>43667</v>
      </c>
      <c r="DR76" s="114" t="s">
        <v>198</v>
      </c>
      <c r="DS76" s="114"/>
      <c r="DT76" s="115">
        <v>45</v>
      </c>
      <c r="DU76" s="116">
        <f t="shared" si="43"/>
        <v>0.17409691629955948</v>
      </c>
      <c r="DV76" s="117">
        <f t="shared" si="44"/>
        <v>9.9116159999999986</v>
      </c>
      <c r="DW76" s="118">
        <f t="shared" si="45"/>
        <v>11.856</v>
      </c>
      <c r="DX76" s="119">
        <f t="shared" si="21"/>
        <v>0</v>
      </c>
      <c r="DY76" s="115">
        <f t="shared" si="46"/>
        <v>28.448</v>
      </c>
      <c r="DZ76" s="117">
        <f t="shared" si="47"/>
        <v>0</v>
      </c>
      <c r="EA76" s="120">
        <f t="shared" si="47"/>
        <v>0</v>
      </c>
      <c r="EB76" s="119">
        <f t="shared" si="47"/>
        <v>0</v>
      </c>
      <c r="EC76" s="121">
        <f t="shared" si="48"/>
        <v>0</v>
      </c>
      <c r="ED76" s="122"/>
      <c r="EE76" s="145">
        <v>18</v>
      </c>
      <c r="EF76" s="148">
        <v>22</v>
      </c>
      <c r="EG76" s="115">
        <v>30</v>
      </c>
      <c r="EH76" s="115">
        <v>21</v>
      </c>
      <c r="EI76" s="128" t="s">
        <v>195</v>
      </c>
      <c r="EJ76" s="121">
        <v>24</v>
      </c>
      <c r="EK76" s="121">
        <v>0</v>
      </c>
      <c r="EL76" s="149">
        <v>9.9116159999999986</v>
      </c>
      <c r="EM76" s="142">
        <v>11.856</v>
      </c>
      <c r="EN76" s="119">
        <v>0</v>
      </c>
      <c r="EO76" s="115">
        <v>28.448</v>
      </c>
      <c r="EP76" s="115">
        <v>2870.1676901122887</v>
      </c>
      <c r="EQ76" s="115">
        <v>0</v>
      </c>
      <c r="ER76" s="115">
        <v>0</v>
      </c>
      <c r="ES76" s="115">
        <v>40</v>
      </c>
      <c r="ET76" s="150">
        <v>0.16218878248974009</v>
      </c>
      <c r="EU76" s="145">
        <f t="shared" si="25"/>
        <v>18</v>
      </c>
      <c r="EV76" s="115">
        <f t="shared" si="26"/>
        <v>22</v>
      </c>
      <c r="EW76" s="115">
        <f t="shared" si="26"/>
        <v>30</v>
      </c>
      <c r="EX76" s="115">
        <f t="shared" si="26"/>
        <v>21</v>
      </c>
      <c r="EY76" s="115" t="str">
        <f t="shared" si="53"/>
        <v>Постоянный</v>
      </c>
      <c r="EZ76" s="115">
        <f t="shared" si="53"/>
        <v>24</v>
      </c>
      <c r="FA76" s="115">
        <f t="shared" si="53"/>
        <v>0</v>
      </c>
      <c r="FB76" s="149">
        <f t="shared" si="28"/>
        <v>9.9116159999999986</v>
      </c>
      <c r="FC76" s="142">
        <f t="shared" si="28"/>
        <v>11.856</v>
      </c>
      <c r="FD76" s="119">
        <f t="shared" si="28"/>
        <v>0</v>
      </c>
      <c r="FE76" s="121">
        <f t="shared" si="28"/>
        <v>28.448</v>
      </c>
      <c r="FF76" s="121">
        <f t="shared" si="49"/>
        <v>2870.1676901122887</v>
      </c>
      <c r="FG76" s="121">
        <f t="shared" si="30"/>
        <v>0</v>
      </c>
      <c r="FH76" s="121">
        <f t="shared" si="50"/>
        <v>0</v>
      </c>
      <c r="FI76" s="121">
        <f t="shared" si="54"/>
        <v>40</v>
      </c>
      <c r="FJ76" s="144">
        <f t="shared" si="33"/>
        <v>0.16218878248974009</v>
      </c>
      <c r="FK76" s="132">
        <f t="shared" si="34"/>
        <v>0</v>
      </c>
      <c r="FL76" s="115">
        <f t="shared" si="34"/>
        <v>0</v>
      </c>
      <c r="FM76" s="115">
        <f t="shared" si="34"/>
        <v>0</v>
      </c>
      <c r="FN76" s="115">
        <f t="shared" si="34"/>
        <v>0</v>
      </c>
      <c r="FO76" s="115">
        <f t="shared" si="57"/>
        <v>0</v>
      </c>
      <c r="FP76" s="115">
        <f t="shared" si="56"/>
        <v>0</v>
      </c>
      <c r="FQ76" s="149">
        <f t="shared" si="56"/>
        <v>0</v>
      </c>
      <c r="FR76" s="142">
        <f t="shared" si="56"/>
        <v>0</v>
      </c>
      <c r="FS76" s="119">
        <f t="shared" si="56"/>
        <v>0</v>
      </c>
      <c r="FT76" s="121">
        <f t="shared" si="56"/>
        <v>0</v>
      </c>
      <c r="FU76" s="121">
        <f t="shared" si="36"/>
        <v>0</v>
      </c>
      <c r="FV76" s="121">
        <f t="shared" si="36"/>
        <v>0</v>
      </c>
      <c r="FW76" s="121">
        <f t="shared" si="37"/>
        <v>0</v>
      </c>
      <c r="FX76" s="121">
        <f t="shared" si="38"/>
        <v>0</v>
      </c>
      <c r="FY76" s="144">
        <f t="shared" si="38"/>
        <v>0</v>
      </c>
      <c r="FZ76" s="145"/>
      <c r="GA76" s="151" t="s">
        <v>313</v>
      </c>
      <c r="GB76" s="145"/>
      <c r="GC76" s="151" t="s">
        <v>313</v>
      </c>
      <c r="GD76" s="997" t="s">
        <v>238</v>
      </c>
      <c r="GE76" s="1004"/>
      <c r="GF76" s="1004">
        <v>0</v>
      </c>
      <c r="GG76" s="1004"/>
      <c r="GH76" s="1004">
        <v>0</v>
      </c>
      <c r="GI76" s="145"/>
      <c r="GJ76" s="996">
        <v>0</v>
      </c>
      <c r="GK76" s="145"/>
      <c r="GL76" s="996">
        <v>0</v>
      </c>
      <c r="GM76" s="1005"/>
      <c r="GN76" s="996">
        <v>0</v>
      </c>
      <c r="GO76" s="1006"/>
      <c r="GP76" s="996">
        <v>0</v>
      </c>
      <c r="GQ76" s="1006" t="s">
        <v>221</v>
      </c>
      <c r="GR76" s="996">
        <v>-2.688384000000001</v>
      </c>
      <c r="GS76" s="1006"/>
      <c r="GT76" s="996">
        <v>0</v>
      </c>
      <c r="GU76" s="1006" t="s">
        <v>221</v>
      </c>
      <c r="GV76" s="996">
        <v>5.5259600000000013</v>
      </c>
      <c r="GW76" s="1006"/>
      <c r="GX76" s="997">
        <v>0</v>
      </c>
      <c r="GY76" s="1006"/>
      <c r="GZ76" s="996">
        <v>0</v>
      </c>
      <c r="HA76" s="1006"/>
      <c r="HB76" s="996">
        <v>0</v>
      </c>
      <c r="HC76" s="1006"/>
      <c r="HD76" s="996">
        <v>0</v>
      </c>
      <c r="HE76" s="1006"/>
      <c r="HF76" s="996">
        <v>-0.8360000000000003</v>
      </c>
      <c r="HG76" s="1006" t="s">
        <v>204</v>
      </c>
      <c r="HH76" s="996">
        <v>4.4519340799999991</v>
      </c>
      <c r="HI76" s="1006"/>
      <c r="HJ76" s="996">
        <v>0</v>
      </c>
      <c r="HK76" s="1006"/>
      <c r="HL76" s="996">
        <v>0</v>
      </c>
      <c r="HM76" s="1006"/>
      <c r="HN76" s="996">
        <v>-0.19836607999999956</v>
      </c>
      <c r="HO76" s="1006"/>
      <c r="HP76" s="996">
        <v>-0.83445340000000101</v>
      </c>
      <c r="HQ76" s="1006" t="s">
        <v>204</v>
      </c>
      <c r="HR76" s="996">
        <v>-6.6945625999999994</v>
      </c>
      <c r="HS76" s="1006"/>
      <c r="HT76" s="996">
        <v>0</v>
      </c>
      <c r="HU76" s="1006"/>
      <c r="HV76" s="996">
        <v>0</v>
      </c>
      <c r="HW76" s="1006"/>
      <c r="HX76" s="996">
        <v>0</v>
      </c>
      <c r="HY76" s="1006"/>
      <c r="HZ76" s="996">
        <v>0</v>
      </c>
      <c r="IA76" s="1006"/>
      <c r="IB76" s="996">
        <v>0</v>
      </c>
      <c r="IC76" s="1006"/>
      <c r="ID76" s="996">
        <v>0</v>
      </c>
      <c r="IE76" s="1006"/>
      <c r="IF76" s="996">
        <v>0</v>
      </c>
      <c r="IG76" s="1006"/>
      <c r="IH76" s="996">
        <v>0</v>
      </c>
      <c r="II76" s="1006"/>
      <c r="IJ76" s="996">
        <v>0</v>
      </c>
      <c r="IK76" s="1006"/>
      <c r="IL76" s="996">
        <v>0</v>
      </c>
      <c r="IM76" s="1006"/>
      <c r="IN76" s="996">
        <v>0</v>
      </c>
      <c r="IO76" s="1006"/>
      <c r="IP76" s="996">
        <v>0</v>
      </c>
      <c r="IQ76" s="1006"/>
      <c r="IR76" s="996">
        <v>0</v>
      </c>
      <c r="IS76" s="1006"/>
      <c r="IT76" s="996">
        <v>0</v>
      </c>
      <c r="IU76" s="1006"/>
      <c r="IV76" s="996">
        <v>0</v>
      </c>
      <c r="IW76" s="1006"/>
      <c r="IX76" s="996">
        <v>0</v>
      </c>
      <c r="IY76" s="1006"/>
      <c r="IZ76" s="996">
        <v>0</v>
      </c>
      <c r="JA76" s="1006"/>
      <c r="JB76" s="996">
        <v>0</v>
      </c>
      <c r="JC76" s="1006"/>
      <c r="JD76" s="996">
        <v>0</v>
      </c>
      <c r="JE76" s="1006"/>
      <c r="JF76" s="996">
        <v>0</v>
      </c>
      <c r="JG76" s="1006"/>
      <c r="JH76" s="996">
        <v>0</v>
      </c>
      <c r="JI76" s="1006" t="s">
        <v>204</v>
      </c>
      <c r="JJ76" s="996">
        <v>11.156470159999998</v>
      </c>
      <c r="JK76" s="1007"/>
      <c r="JL76" s="1007">
        <v>0</v>
      </c>
      <c r="JM76" s="1007"/>
      <c r="JN76" s="1007">
        <v>0</v>
      </c>
      <c r="JO76" s="1008" t="s">
        <v>199</v>
      </c>
      <c r="JP76" s="1007">
        <v>-9.4663481879999978</v>
      </c>
      <c r="JQ76" s="1008" t="s">
        <v>203</v>
      </c>
      <c r="JR76" s="1007">
        <v>1.3758043639999968</v>
      </c>
      <c r="JS76" s="1008" t="s">
        <v>25</v>
      </c>
      <c r="JT76" s="1007">
        <v>5.9013607840000022</v>
      </c>
      <c r="JU76" s="1008" t="s">
        <v>199</v>
      </c>
      <c r="JV76" s="1007">
        <v>-5.1387415200000008</v>
      </c>
      <c r="JW76" s="1008" t="s">
        <v>197</v>
      </c>
      <c r="JX76" s="1007">
        <v>0</v>
      </c>
      <c r="JY76" s="1008"/>
      <c r="JZ76" s="1007">
        <v>0</v>
      </c>
      <c r="KA76" s="1008"/>
      <c r="KB76" s="1007">
        <v>0</v>
      </c>
      <c r="KC76" s="1008"/>
      <c r="KD76" s="1007">
        <v>0</v>
      </c>
      <c r="KE76" s="1008"/>
      <c r="KF76" s="1007">
        <v>0</v>
      </c>
      <c r="KG76" s="1008"/>
      <c r="KH76" s="1007">
        <v>0</v>
      </c>
      <c r="KI76" s="1008"/>
      <c r="KJ76" s="1007">
        <v>0</v>
      </c>
      <c r="KK76" s="1008"/>
      <c r="KL76" s="1007">
        <v>0</v>
      </c>
      <c r="KM76" s="1008" t="s">
        <v>206</v>
      </c>
      <c r="KN76" s="1007">
        <v>-1.124085599999999</v>
      </c>
      <c r="KO76" s="1008"/>
      <c r="KP76" s="1007">
        <v>0</v>
      </c>
      <c r="KQ76" s="1008">
        <v>0</v>
      </c>
      <c r="KR76" s="1007">
        <v>0</v>
      </c>
      <c r="KS76" s="1008">
        <v>0</v>
      </c>
      <c r="KT76" s="1007">
        <v>0</v>
      </c>
      <c r="KU76" s="1008" t="s">
        <v>207</v>
      </c>
      <c r="KV76" s="1007">
        <v>-9.3673799999999989</v>
      </c>
      <c r="KW76" s="1008" t="s">
        <v>504</v>
      </c>
      <c r="KX76" s="1007">
        <v>0</v>
      </c>
      <c r="KY76" s="1008">
        <v>0</v>
      </c>
      <c r="KZ76" s="1007">
        <v>0</v>
      </c>
      <c r="LA76" s="1008">
        <v>0</v>
      </c>
      <c r="LB76" s="1007">
        <v>0</v>
      </c>
      <c r="LC76" s="1008" t="s">
        <v>206</v>
      </c>
      <c r="LD76" s="1007">
        <v>2.9559287999999988</v>
      </c>
      <c r="LE76" s="1008">
        <v>0</v>
      </c>
      <c r="LF76" s="1007">
        <v>0</v>
      </c>
      <c r="LG76" s="1008">
        <v>0</v>
      </c>
      <c r="LH76" s="1007">
        <v>0</v>
      </c>
      <c r="LI76" s="1008">
        <v>0</v>
      </c>
      <c r="LJ76" s="1007">
        <v>0</v>
      </c>
      <c r="LK76" s="1008">
        <v>0</v>
      </c>
      <c r="LL76" s="1007">
        <v>0</v>
      </c>
      <c r="LM76" s="1008" t="s">
        <v>206</v>
      </c>
      <c r="LN76" s="1007">
        <v>-0.30538999999999999</v>
      </c>
      <c r="LO76" s="1008">
        <v>0</v>
      </c>
      <c r="LP76" s="1007">
        <v>0.599831</v>
      </c>
      <c r="LQ76" s="1008" t="s">
        <v>206</v>
      </c>
      <c r="LR76" s="1007">
        <v>-1.6720000000000006</v>
      </c>
      <c r="LS76" s="1008" t="s">
        <v>206</v>
      </c>
      <c r="LT76" s="1007">
        <v>3.3440000000000012</v>
      </c>
      <c r="LU76" s="1008" t="s">
        <v>206</v>
      </c>
      <c r="LV76" s="1007">
        <v>-3.2635767999999992</v>
      </c>
      <c r="LW76" s="1008">
        <v>0</v>
      </c>
      <c r="LX76" s="1007">
        <v>-0.78249599999999497</v>
      </c>
      <c r="LY76" s="1009">
        <v>0</v>
      </c>
      <c r="LZ76" s="1010">
        <v>-0.21736254999999999</v>
      </c>
      <c r="MA76" s="1011" t="s">
        <v>206</v>
      </c>
      <c r="MB76" s="1012">
        <v>14.891828</v>
      </c>
      <c r="MC76" s="995"/>
      <c r="MD76" s="996"/>
      <c r="ME76" s="997" t="s">
        <v>238</v>
      </c>
      <c r="MF76" s="997"/>
      <c r="MG76" s="998"/>
      <c r="NR76" s="1000"/>
      <c r="NS76" s="1000"/>
      <c r="NT76" s="1001"/>
      <c r="NU76" s="1000"/>
      <c r="NV76" s="1001"/>
      <c r="NX76" s="1002"/>
      <c r="NZ76" s="1001"/>
      <c r="OA76" s="1001"/>
      <c r="OC76" s="1003"/>
      <c r="OD76" s="1003"/>
      <c r="OE76" s="1001"/>
      <c r="OF76" s="1003"/>
      <c r="OG76" s="1003"/>
      <c r="OH76" s="1003"/>
      <c r="OI76" s="1016"/>
      <c r="QX76" s="1000">
        <f t="shared" si="51"/>
        <v>18</v>
      </c>
      <c r="ASU76" s="999" t="s">
        <v>208</v>
      </c>
    </row>
    <row r="77" spans="1:466 1191:1191" ht="21" customHeight="1" x14ac:dyDescent="0.25">
      <c r="A77" s="982">
        <f t="shared" si="0"/>
        <v>152</v>
      </c>
      <c r="B77" s="124">
        <f>SUBTOTAL(103,$J$29:J77)</f>
        <v>49</v>
      </c>
      <c r="C77" s="126">
        <v>45096</v>
      </c>
      <c r="D77" s="124" t="s">
        <v>176</v>
      </c>
      <c r="E77" s="127" t="s">
        <v>177</v>
      </c>
      <c r="F77" s="128" t="s">
        <v>177</v>
      </c>
      <c r="G77" s="127" t="s">
        <v>178</v>
      </c>
      <c r="H77" s="127" t="s">
        <v>179</v>
      </c>
      <c r="I77" s="127" t="s">
        <v>417</v>
      </c>
      <c r="J77" s="152">
        <v>152</v>
      </c>
      <c r="K77" s="127" t="s">
        <v>182</v>
      </c>
      <c r="L77" s="130">
        <v>35139</v>
      </c>
      <c r="M77" s="127" t="s">
        <v>230</v>
      </c>
      <c r="N77" s="127" t="s">
        <v>231</v>
      </c>
      <c r="O77" s="127" t="s">
        <v>185</v>
      </c>
      <c r="P77" s="127" t="s">
        <v>208</v>
      </c>
      <c r="Q77" s="85" t="str">
        <f t="shared" si="40"/>
        <v/>
      </c>
      <c r="R77" s="130"/>
      <c r="S77" s="128"/>
      <c r="T77" s="131"/>
      <c r="U77" s="132">
        <v>203</v>
      </c>
      <c r="V77" s="121">
        <v>218.2</v>
      </c>
      <c r="W77" s="116">
        <v>0.98</v>
      </c>
      <c r="X77" s="116">
        <v>1.66</v>
      </c>
      <c r="Y77" s="116">
        <f t="shared" si="41"/>
        <v>0.98809523809523803</v>
      </c>
      <c r="Z77" s="133">
        <v>1.454</v>
      </c>
      <c r="AA77" s="133">
        <v>0.83599999999999997</v>
      </c>
      <c r="AB77" s="133">
        <v>0.72</v>
      </c>
      <c r="AC77" s="121">
        <v>34.299999999999997</v>
      </c>
      <c r="AD77" s="134">
        <v>1.17</v>
      </c>
      <c r="AE77" s="124">
        <v>139.69999999999999</v>
      </c>
      <c r="AF77" s="128">
        <v>7.72</v>
      </c>
      <c r="AG77" s="128">
        <v>2047</v>
      </c>
      <c r="AH77" s="127">
        <v>2350</v>
      </c>
      <c r="AI77" s="127">
        <v>2350</v>
      </c>
      <c r="AJ77" s="135"/>
      <c r="AK77" s="128"/>
      <c r="AL77" s="131"/>
      <c r="AM77" s="124" t="s">
        <v>232</v>
      </c>
      <c r="AN77" s="136" t="s">
        <v>505</v>
      </c>
      <c r="AO77" s="137">
        <v>188.7</v>
      </c>
      <c r="AP77" s="128">
        <v>1753</v>
      </c>
      <c r="AQ77" s="128">
        <v>1.56</v>
      </c>
      <c r="AR77" s="128"/>
      <c r="AS77" s="128"/>
      <c r="AT77" s="122"/>
      <c r="AU77" s="124" t="s">
        <v>189</v>
      </c>
      <c r="AV77" s="115">
        <f>VLOOKUP(J77,'[63]ТР нефть'!$J$28:$BP$638,39,0)</f>
        <v>446.00001386700001</v>
      </c>
      <c r="AW77" s="115" t="str">
        <f>VLOOKUP(J77,'[63]ТР нефть'!$J$28:$BP$638,40,0)</f>
        <v>ГП</v>
      </c>
      <c r="AX77" s="115">
        <f>VLOOKUP(J77,'[63]ТР нефть'!$J$28:$BP$638,41,0)</f>
        <v>833.00001972699999</v>
      </c>
      <c r="AY77" s="115" t="str">
        <f>VLOOKUP(J77,'[63]ТР нефть'!$J$28:$BP$638,42,0)</f>
        <v>ГК 84 1/8</v>
      </c>
      <c r="AZ77" s="115">
        <f>VLOOKUP(J77,'[63]ТР нефть'!$J$28:$BP$638,43,0)</f>
        <v>1164.9999966800001</v>
      </c>
      <c r="BA77" s="115" t="str">
        <f>VLOOKUP(J77,'[63]ТР нефть'!$J$28:$BP$638,44,0)</f>
        <v>ГК 83 1/8</v>
      </c>
      <c r="BB77" s="115">
        <f>VLOOKUP(J77,'[63]ТР нефть'!$J$28:$BP$638,45,0)</f>
        <v>1446.0000726559999</v>
      </c>
      <c r="BC77" s="115" t="str">
        <f>VLOOKUP(J77,'[63]ТР нефть'!$J$28:$BP$638,46,0)</f>
        <v>ГК 83 1/8</v>
      </c>
      <c r="BD77" s="115">
        <f>VLOOKUP(J77,'[63]ТР нефть'!$J$28:$BP$638,47,0)</f>
        <v>1560.000035156</v>
      </c>
      <c r="BE77" s="115" t="str">
        <f>VLOOKUP(J77,'[63]ТР нефть'!$J$28:$BP$638,48,0)</f>
        <v>ЦКсОК 5/16</v>
      </c>
      <c r="BF77" s="115" t="str">
        <f>VLOOKUP(J77,'[63]ТР нефть'!$J$28:$BP$638,49,0)</f>
        <v>-</v>
      </c>
      <c r="BG77" s="115" t="str">
        <f>VLOOKUP(J77,'[63]ТР нефть'!$J$28:$BP$638,50,0)</f>
        <v>-</v>
      </c>
      <c r="BH77" s="115">
        <f>VLOOKUP(J77,'[63]ТР нефть'!$J$28:$BP$638,51,0)</f>
        <v>1743</v>
      </c>
      <c r="BI77" s="115" t="str">
        <f>VLOOKUP(J77,'[63]ТР нефть'!$J$28:$BP$638,52,0)</f>
        <v>закрыт</v>
      </c>
      <c r="BJ77" s="115" t="str">
        <f>IF(IFERROR(VLOOKUP(J77,'[63]ТР нефть'!$J$28:$BP$638,53,0),"-")=0,"-",IFERROR(VLOOKUP(J77,'[63]ТР нефть'!$J$28:$BP$638,53,0),"-"))</f>
        <v>-</v>
      </c>
      <c r="BK77" s="138" t="str">
        <f>IF(IFERROR(VLOOKUP(J77,'[63]ТР нефть'!$J$28:$BP$638,54,0),"-")=0,"-",IFERROR(VLOOKUP(J77,'[63]ТР нефть'!$J$28:$BP$638,54,0),"-"))</f>
        <v>-</v>
      </c>
      <c r="BL77" s="138" t="str">
        <f>IF(IFERROR(VLOOKUP(J77,'[63]ТР нефть'!$J$28:$BP$638,55,0),"-")=0,"-",IFERROR(VLOOKUP(J77,'[63]ТР нефть'!$J$28:$BP$638,55,0),"-"))</f>
        <v>-</v>
      </c>
      <c r="BM77" s="138" t="str">
        <f>IF(IFERROR(VLOOKUP(J77,'[63]ТР нефть'!$J$28:$BP$638,56,0),"-")=0,"-",IFERROR(VLOOKUP(J77,'[63]ТР нефть'!$J$28:$BP$638,56,0),"-"))</f>
        <v>-</v>
      </c>
      <c r="BN77" s="138" t="str">
        <f>IF(IFERROR(VLOOKUP(J77,'[63]ТР нефть'!$J$28:$BP$638,57,0),"-")=0,"-",IFERROR(VLOOKUP(J77,'[63]ТР нефть'!$J$28:$BP$638,57,0),"-"))</f>
        <v>-</v>
      </c>
      <c r="BO77" s="115" t="str">
        <f>IF(IFERROR(VLOOKUP(J77,'[63]ТР нефть'!$J$28:$BP$638,58,0),"-")=0,"-",IFERROR(VLOOKUP(J77,'[63]ТР нефть'!$J$28:$BP$638,58,0),"-"))</f>
        <v>-</v>
      </c>
      <c r="BP77" s="115" t="str">
        <f>IF(IFERROR(VLOOKUP(J77,'[63]ТР нефть'!$J$28:$BP$638,59,0),"-")=0,"-",IFERROR(VLOOKUP(J77,'[63]ТР нефть'!$J$28:$BP$638,59,0),"-"))</f>
        <v>-</v>
      </c>
      <c r="BQ77" s="138">
        <v>1980</v>
      </c>
      <c r="BR77" s="128">
        <v>1903.01</v>
      </c>
      <c r="BS77" s="115">
        <f t="shared" si="2"/>
        <v>76.990000000000009</v>
      </c>
      <c r="BT77" s="128">
        <v>73</v>
      </c>
      <c r="BU77" s="128">
        <v>5.5</v>
      </c>
      <c r="BV77" s="127">
        <v>18</v>
      </c>
      <c r="BW77" s="127" t="s">
        <v>234</v>
      </c>
      <c r="BX77" s="127" t="s">
        <v>195</v>
      </c>
      <c r="BY77" s="139">
        <v>24</v>
      </c>
      <c r="BZ77" s="139">
        <v>0</v>
      </c>
      <c r="CA77" s="138">
        <v>21</v>
      </c>
      <c r="CB77" s="138">
        <v>32</v>
      </c>
      <c r="CC77" s="138">
        <v>20</v>
      </c>
      <c r="CD77" s="135">
        <v>45017</v>
      </c>
      <c r="CE77" s="138">
        <v>96</v>
      </c>
      <c r="CF77" s="138">
        <v>79</v>
      </c>
      <c r="CG77" s="138" t="str">
        <f t="shared" si="52"/>
        <v>В работе</v>
      </c>
      <c r="CH77" s="138" t="s">
        <v>196</v>
      </c>
      <c r="CI77" s="127">
        <v>6</v>
      </c>
      <c r="CJ77" s="138"/>
      <c r="CK77" s="138"/>
      <c r="CL77" s="99"/>
      <c r="CM77" s="99"/>
      <c r="CN77" s="140">
        <v>32</v>
      </c>
      <c r="CO77" s="141">
        <f t="shared" si="4"/>
        <v>8.1928000000000001</v>
      </c>
      <c r="CP77" s="142">
        <v>10</v>
      </c>
      <c r="CQ77" s="143">
        <v>2</v>
      </c>
      <c r="CR77" s="138">
        <v>13.7</v>
      </c>
      <c r="CS77" s="139">
        <v>12</v>
      </c>
      <c r="CT77" s="138"/>
      <c r="CU77" s="138">
        <f t="shared" si="5"/>
        <v>1.6999999999999993</v>
      </c>
      <c r="CV77" s="115">
        <f>(CR77-CS77)*1000/CO77</f>
        <v>207.49926764964351</v>
      </c>
      <c r="CW77" s="115">
        <f t="shared" si="7"/>
        <v>1424.4337875694414</v>
      </c>
      <c r="CX77" s="133">
        <f t="shared" si="8"/>
        <v>0.15625</v>
      </c>
      <c r="CY77" s="116"/>
      <c r="CZ77" s="131"/>
      <c r="DA77" s="145" t="str">
        <f t="shared" si="9"/>
        <v>Газлифт</v>
      </c>
      <c r="DB77" s="146">
        <f t="shared" si="10"/>
        <v>8.1928000000000001</v>
      </c>
      <c r="DC77" s="142">
        <f t="shared" si="11"/>
        <v>10</v>
      </c>
      <c r="DD77" s="119">
        <f t="shared" si="12"/>
        <v>2</v>
      </c>
      <c r="DE77" s="115">
        <f t="shared" si="13"/>
        <v>1.6999999999999993</v>
      </c>
      <c r="DF77" s="121">
        <f t="shared" si="14"/>
        <v>12</v>
      </c>
      <c r="DG77" s="115">
        <f t="shared" si="15"/>
        <v>207.49926764964351</v>
      </c>
      <c r="DH77" s="115">
        <f t="shared" si="16"/>
        <v>32</v>
      </c>
      <c r="DI77" s="147"/>
      <c r="DJ77" s="111">
        <v>43542</v>
      </c>
      <c r="DK77" s="112">
        <v>44015</v>
      </c>
      <c r="DL77" s="113">
        <f t="shared" ca="1" si="42"/>
        <v>1089</v>
      </c>
      <c r="DM77" s="114"/>
      <c r="DN77" s="114"/>
      <c r="DO77" s="114"/>
      <c r="DP77" s="114"/>
      <c r="DQ77" s="112">
        <v>42612</v>
      </c>
      <c r="DR77" s="114" t="s">
        <v>198</v>
      </c>
      <c r="DS77" s="114"/>
      <c r="DT77" s="115">
        <v>58</v>
      </c>
      <c r="DU77" s="116">
        <f t="shared" si="43"/>
        <v>0.26315789473684209</v>
      </c>
      <c r="DV77" s="117">
        <f t="shared" si="44"/>
        <v>8.1928000000000001</v>
      </c>
      <c r="DW77" s="118">
        <f t="shared" si="45"/>
        <v>10</v>
      </c>
      <c r="DX77" s="119">
        <f t="shared" si="21"/>
        <v>2</v>
      </c>
      <c r="DY77" s="115">
        <f t="shared" si="46"/>
        <v>1.6999999999999993</v>
      </c>
      <c r="DZ77" s="117">
        <f t="shared" si="47"/>
        <v>0</v>
      </c>
      <c r="EA77" s="120">
        <f t="shared" si="47"/>
        <v>0</v>
      </c>
      <c r="EB77" s="119">
        <f t="shared" si="47"/>
        <v>0</v>
      </c>
      <c r="EC77" s="121">
        <f t="shared" si="48"/>
        <v>0</v>
      </c>
      <c r="ED77" s="122"/>
      <c r="EE77" s="145">
        <v>18</v>
      </c>
      <c r="EF77" s="115">
        <v>21</v>
      </c>
      <c r="EG77" s="115">
        <v>32</v>
      </c>
      <c r="EH77" s="115">
        <v>20</v>
      </c>
      <c r="EI77" s="128" t="s">
        <v>195</v>
      </c>
      <c r="EJ77" s="121">
        <v>24</v>
      </c>
      <c r="EK77" s="121">
        <v>0</v>
      </c>
      <c r="EL77" s="149">
        <v>8.1928000000000001</v>
      </c>
      <c r="EM77" s="142">
        <v>10</v>
      </c>
      <c r="EN77" s="119">
        <v>2</v>
      </c>
      <c r="EO77" s="115">
        <v>13.7</v>
      </c>
      <c r="EP77" s="115">
        <v>207.49926764964351</v>
      </c>
      <c r="EQ77" s="115">
        <v>79</v>
      </c>
      <c r="ER77" s="115">
        <v>12</v>
      </c>
      <c r="ES77" s="115">
        <v>32</v>
      </c>
      <c r="ET77" s="150">
        <v>0.15625</v>
      </c>
      <c r="EU77" s="145">
        <f t="shared" si="25"/>
        <v>18</v>
      </c>
      <c r="EV77" s="115">
        <f t="shared" si="26"/>
        <v>21</v>
      </c>
      <c r="EW77" s="115">
        <f t="shared" si="26"/>
        <v>32</v>
      </c>
      <c r="EX77" s="115">
        <f t="shared" si="26"/>
        <v>20</v>
      </c>
      <c r="EY77" s="115" t="str">
        <f t="shared" si="53"/>
        <v>Постоянный</v>
      </c>
      <c r="EZ77" s="115">
        <f t="shared" si="53"/>
        <v>24</v>
      </c>
      <c r="FA77" s="115">
        <f t="shared" si="53"/>
        <v>0</v>
      </c>
      <c r="FB77" s="149">
        <f t="shared" si="28"/>
        <v>8.1928000000000001</v>
      </c>
      <c r="FC77" s="142">
        <f t="shared" si="28"/>
        <v>10</v>
      </c>
      <c r="FD77" s="119">
        <f t="shared" si="28"/>
        <v>2</v>
      </c>
      <c r="FE77" s="121">
        <f t="shared" si="28"/>
        <v>13.7</v>
      </c>
      <c r="FF77" s="121">
        <f t="shared" si="49"/>
        <v>207.49926764964351</v>
      </c>
      <c r="FG77" s="121">
        <f t="shared" si="30"/>
        <v>79</v>
      </c>
      <c r="FH77" s="121">
        <f t="shared" si="50"/>
        <v>12</v>
      </c>
      <c r="FI77" s="121">
        <f t="shared" si="54"/>
        <v>32</v>
      </c>
      <c r="FJ77" s="144">
        <f t="shared" si="33"/>
        <v>0.15625</v>
      </c>
      <c r="FK77" s="132">
        <f t="shared" si="34"/>
        <v>0</v>
      </c>
      <c r="FL77" s="115">
        <f t="shared" si="34"/>
        <v>0</v>
      </c>
      <c r="FM77" s="115">
        <f t="shared" si="34"/>
        <v>0</v>
      </c>
      <c r="FN77" s="115">
        <f t="shared" si="34"/>
        <v>0</v>
      </c>
      <c r="FO77" s="115">
        <f t="shared" si="57"/>
        <v>0</v>
      </c>
      <c r="FP77" s="115">
        <f t="shared" si="56"/>
        <v>0</v>
      </c>
      <c r="FQ77" s="149">
        <f t="shared" si="56"/>
        <v>0</v>
      </c>
      <c r="FR77" s="142">
        <f t="shared" si="56"/>
        <v>0</v>
      </c>
      <c r="FS77" s="119">
        <f t="shared" si="56"/>
        <v>0</v>
      </c>
      <c r="FT77" s="121">
        <f t="shared" si="56"/>
        <v>0</v>
      </c>
      <c r="FU77" s="121">
        <f t="shared" si="36"/>
        <v>0</v>
      </c>
      <c r="FV77" s="121">
        <f t="shared" si="36"/>
        <v>0</v>
      </c>
      <c r="FW77" s="121">
        <f t="shared" si="37"/>
        <v>0</v>
      </c>
      <c r="FX77" s="121">
        <f t="shared" si="38"/>
        <v>0</v>
      </c>
      <c r="FY77" s="144">
        <f t="shared" si="38"/>
        <v>0</v>
      </c>
      <c r="FZ77" s="145"/>
      <c r="GA77" s="151" t="s">
        <v>506</v>
      </c>
      <c r="GB77" s="145"/>
      <c r="GC77" s="151" t="s">
        <v>507</v>
      </c>
      <c r="GD77" s="997" t="s">
        <v>238</v>
      </c>
      <c r="GE77" s="1004"/>
      <c r="GF77" s="1004">
        <v>0</v>
      </c>
      <c r="GG77" s="1004" t="s">
        <v>199</v>
      </c>
      <c r="GH77" s="1004">
        <v>1.8726400000000005</v>
      </c>
      <c r="GI77" s="145"/>
      <c r="GJ77" s="996">
        <v>0</v>
      </c>
      <c r="GK77" s="145"/>
      <c r="GL77" s="996">
        <v>0</v>
      </c>
      <c r="GM77" s="1005"/>
      <c r="GN77" s="996">
        <v>0</v>
      </c>
      <c r="GO77" s="1006"/>
      <c r="GP77" s="996">
        <v>-0.70224000000000064</v>
      </c>
      <c r="GQ77" s="1006" t="s">
        <v>203</v>
      </c>
      <c r="GR77" s="996">
        <v>-2.8877392059999982</v>
      </c>
      <c r="GS77" s="1006"/>
      <c r="GT77" s="996">
        <v>0</v>
      </c>
      <c r="GU77" s="1006"/>
      <c r="GV77" s="996">
        <v>0.95565960599999933</v>
      </c>
      <c r="GW77" s="1006" t="s">
        <v>25</v>
      </c>
      <c r="GX77" s="997">
        <v>7.7483489599999995</v>
      </c>
      <c r="GY77" s="1006"/>
      <c r="GZ77" s="996">
        <v>0.33616028159999978</v>
      </c>
      <c r="HA77" s="1006"/>
      <c r="HB77" s="996">
        <v>0</v>
      </c>
      <c r="HC77" s="1006"/>
      <c r="HD77" s="996">
        <v>0</v>
      </c>
      <c r="HE77" s="1006" t="s">
        <v>508</v>
      </c>
      <c r="HF77" s="996">
        <v>-25.882029641599999</v>
      </c>
      <c r="HG77" s="1006"/>
      <c r="HH77" s="996">
        <v>0</v>
      </c>
      <c r="HI77" s="1006"/>
      <c r="HJ77" s="996">
        <v>0</v>
      </c>
      <c r="HK77" s="1006"/>
      <c r="HL77" s="996">
        <v>0</v>
      </c>
      <c r="HM77" s="1006"/>
      <c r="HN77" s="996">
        <v>0</v>
      </c>
      <c r="HO77" s="1006"/>
      <c r="HP77" s="996">
        <v>0.58520000000000039</v>
      </c>
      <c r="HQ77" s="1006"/>
      <c r="HR77" s="996">
        <v>0</v>
      </c>
      <c r="HS77" s="1006"/>
      <c r="HT77" s="996">
        <v>0</v>
      </c>
      <c r="HU77" s="1006" t="s">
        <v>241</v>
      </c>
      <c r="HV77" s="996">
        <v>16.8872</v>
      </c>
      <c r="HW77" s="1006"/>
      <c r="HX77" s="996">
        <v>0</v>
      </c>
      <c r="HY77" s="1006"/>
      <c r="HZ77" s="996">
        <v>0</v>
      </c>
      <c r="IA77" s="1006"/>
      <c r="IB77" s="996">
        <v>0.6687999999999974</v>
      </c>
      <c r="IC77" s="1006"/>
      <c r="ID77" s="996">
        <v>-0.58519999999999861</v>
      </c>
      <c r="IE77" s="1006"/>
      <c r="IF77" s="996">
        <v>-0.87361999999999895</v>
      </c>
      <c r="IG77" s="1006"/>
      <c r="IH77" s="996">
        <v>0</v>
      </c>
      <c r="II77" s="1006"/>
      <c r="IJ77" s="996">
        <v>0</v>
      </c>
      <c r="IK77" s="1006"/>
      <c r="IL77" s="996">
        <v>0</v>
      </c>
      <c r="IM77" s="1006" t="s">
        <v>199</v>
      </c>
      <c r="IN77" s="996">
        <v>-2.2381918680000013</v>
      </c>
      <c r="IO77" s="1006" t="s">
        <v>203</v>
      </c>
      <c r="IP77" s="996">
        <v>-4.4789845320000001</v>
      </c>
      <c r="IQ77" s="1006" t="s">
        <v>203</v>
      </c>
      <c r="IR77" s="996">
        <v>-4.9274675999999999</v>
      </c>
      <c r="IS77" s="1006"/>
      <c r="IT77" s="996">
        <v>0</v>
      </c>
      <c r="IU77" s="1006" t="s">
        <v>25</v>
      </c>
      <c r="IV77" s="996">
        <v>19.150310519999998</v>
      </c>
      <c r="IW77" s="1006"/>
      <c r="IX77" s="996">
        <v>0</v>
      </c>
      <c r="IY77" s="1006"/>
      <c r="IZ77" s="996">
        <v>0</v>
      </c>
      <c r="JA77" s="1006"/>
      <c r="JB77" s="996">
        <v>0</v>
      </c>
      <c r="JC77" s="1006"/>
      <c r="JD77" s="996">
        <v>0</v>
      </c>
      <c r="JE77" s="1006"/>
      <c r="JF77" s="996">
        <v>0</v>
      </c>
      <c r="JG77" s="1006"/>
      <c r="JH77" s="996">
        <v>0</v>
      </c>
      <c r="JI77" s="1006"/>
      <c r="JJ77" s="996">
        <v>0</v>
      </c>
      <c r="JK77" s="1007"/>
      <c r="JL77" s="1007">
        <v>0</v>
      </c>
      <c r="JM77" s="1007"/>
      <c r="JN77" s="1007">
        <v>0</v>
      </c>
      <c r="JO77" s="1008" t="s">
        <v>199</v>
      </c>
      <c r="JP77" s="1007">
        <v>-5.7876865200000003</v>
      </c>
      <c r="JQ77" s="1008">
        <v>0</v>
      </c>
      <c r="JR77" s="1007">
        <v>0</v>
      </c>
      <c r="JS77" s="1008">
        <v>0</v>
      </c>
      <c r="JT77" s="1007">
        <v>0</v>
      </c>
      <c r="JU77" s="1008"/>
      <c r="JV77" s="1007">
        <v>0</v>
      </c>
      <c r="JW77" s="1008" t="s">
        <v>197</v>
      </c>
      <c r="JX77" s="1007">
        <v>0</v>
      </c>
      <c r="JY77" s="1008"/>
      <c r="JZ77" s="1007">
        <v>0</v>
      </c>
      <c r="KA77" s="1008"/>
      <c r="KB77" s="1007">
        <v>0</v>
      </c>
      <c r="KC77" s="1008"/>
      <c r="KD77" s="1007">
        <v>0</v>
      </c>
      <c r="KE77" s="1008"/>
      <c r="KF77" s="1007">
        <v>0</v>
      </c>
      <c r="KG77" s="1008"/>
      <c r="KH77" s="1007">
        <v>0</v>
      </c>
      <c r="KI77" s="1008" t="s">
        <v>206</v>
      </c>
      <c r="KJ77" s="1007">
        <v>2.5054920000000003</v>
      </c>
      <c r="KK77" s="1008"/>
      <c r="KL77" s="1007">
        <v>0</v>
      </c>
      <c r="KM77" s="1008"/>
      <c r="KN77" s="1007">
        <v>0</v>
      </c>
      <c r="KO77" s="1008"/>
      <c r="KP77" s="1007">
        <v>0</v>
      </c>
      <c r="KQ77" s="1008">
        <v>0</v>
      </c>
      <c r="KR77" s="1007">
        <v>0</v>
      </c>
      <c r="KS77" s="1008">
        <v>0</v>
      </c>
      <c r="KT77" s="1007">
        <v>0</v>
      </c>
      <c r="KU77" s="1008">
        <v>0</v>
      </c>
      <c r="KV77" s="1007">
        <v>0</v>
      </c>
      <c r="KW77" s="1008">
        <v>0</v>
      </c>
      <c r="KX77" s="1007">
        <v>0</v>
      </c>
      <c r="KY77" s="1008">
        <v>0</v>
      </c>
      <c r="KZ77" s="1007">
        <v>0</v>
      </c>
      <c r="LA77" s="1008">
        <v>0</v>
      </c>
      <c r="LB77" s="1007">
        <v>0</v>
      </c>
      <c r="LC77" s="1008">
        <v>0</v>
      </c>
      <c r="LD77" s="1007">
        <v>0</v>
      </c>
      <c r="LE77" s="1008">
        <v>0</v>
      </c>
      <c r="LF77" s="1007">
        <v>0</v>
      </c>
      <c r="LG77" s="1008" t="s">
        <v>206</v>
      </c>
      <c r="LH77" s="1007">
        <v>0.41758199999999901</v>
      </c>
      <c r="LI77" s="1008">
        <v>0</v>
      </c>
      <c r="LJ77" s="1007">
        <v>0</v>
      </c>
      <c r="LK77" s="1008">
        <v>0</v>
      </c>
      <c r="LL77" s="1007">
        <v>0</v>
      </c>
      <c r="LM77" s="1008" t="s">
        <v>206</v>
      </c>
      <c r="LN77" s="1007">
        <v>-2.50549</v>
      </c>
      <c r="LO77" s="1008" t="s">
        <v>206</v>
      </c>
      <c r="LP77" s="1007">
        <v>-2.8791000000000002</v>
      </c>
      <c r="LQ77" s="1008" t="s">
        <v>199</v>
      </c>
      <c r="LR77" s="1007">
        <v>-2.6977352159999999</v>
      </c>
      <c r="LS77" s="1008">
        <v>0</v>
      </c>
      <c r="LT77" s="1007">
        <v>1.1971616</v>
      </c>
      <c r="LU77" s="1008" t="s">
        <v>206</v>
      </c>
      <c r="LV77" s="1007">
        <v>1.1437316000000006</v>
      </c>
      <c r="LW77" s="1008">
        <v>0</v>
      </c>
      <c r="LX77" s="1007">
        <v>0</v>
      </c>
      <c r="LY77" s="1009">
        <v>0</v>
      </c>
      <c r="LZ77" s="1010">
        <v>0</v>
      </c>
      <c r="MA77" s="1011">
        <v>0</v>
      </c>
      <c r="MB77" s="1012">
        <v>0.78496809999999995</v>
      </c>
      <c r="MC77" s="995"/>
      <c r="MD77" s="996"/>
      <c r="ME77" s="997" t="s">
        <v>238</v>
      </c>
      <c r="MF77" s="997"/>
      <c r="MG77" s="998"/>
      <c r="NR77" s="1000"/>
      <c r="NS77" s="1000"/>
      <c r="NT77" s="1001"/>
      <c r="NU77" s="1000"/>
      <c r="NV77" s="1001"/>
      <c r="NX77" s="1002"/>
      <c r="NZ77" s="1001"/>
      <c r="OA77" s="1001"/>
      <c r="OC77" s="1003"/>
      <c r="OD77" s="1003"/>
      <c r="OE77" s="1001"/>
      <c r="OF77" s="1003"/>
      <c r="OG77" s="1003"/>
      <c r="QX77" s="1000">
        <f t="shared" si="51"/>
        <v>11</v>
      </c>
      <c r="ASU77" s="999" t="s">
        <v>292</v>
      </c>
    </row>
    <row r="78" spans="1:466 1191:1191" ht="21" customHeight="1" x14ac:dyDescent="0.25">
      <c r="A78" s="982">
        <f t="shared" si="0"/>
        <v>157</v>
      </c>
      <c r="B78" s="124">
        <f>SUBTOTAL(103,$J$29:J78)</f>
        <v>50</v>
      </c>
      <c r="C78" s="126">
        <v>45096</v>
      </c>
      <c r="D78" s="124" t="s">
        <v>176</v>
      </c>
      <c r="E78" s="127" t="s">
        <v>177</v>
      </c>
      <c r="F78" s="128" t="s">
        <v>177</v>
      </c>
      <c r="G78" s="127" t="s">
        <v>178</v>
      </c>
      <c r="H78" s="127" t="s">
        <v>226</v>
      </c>
      <c r="I78" s="127" t="s">
        <v>227</v>
      </c>
      <c r="J78" s="152">
        <v>157</v>
      </c>
      <c r="K78" s="127" t="s">
        <v>182</v>
      </c>
      <c r="L78" s="130">
        <v>34748</v>
      </c>
      <c r="M78" s="127" t="s">
        <v>230</v>
      </c>
      <c r="N78" s="127" t="s">
        <v>231</v>
      </c>
      <c r="O78" s="127" t="s">
        <v>185</v>
      </c>
      <c r="P78" s="127" t="s">
        <v>225</v>
      </c>
      <c r="Q78" s="85" t="str">
        <f t="shared" si="40"/>
        <v/>
      </c>
      <c r="R78" s="130"/>
      <c r="S78" s="128"/>
      <c r="T78" s="131"/>
      <c r="U78" s="132">
        <v>203</v>
      </c>
      <c r="V78" s="121">
        <v>218.2</v>
      </c>
      <c r="W78" s="116">
        <v>0.98</v>
      </c>
      <c r="X78" s="116">
        <v>1.66</v>
      </c>
      <c r="Y78" s="116">
        <f t="shared" si="41"/>
        <v>0.9820113485452131</v>
      </c>
      <c r="Z78" s="133">
        <v>1.454</v>
      </c>
      <c r="AA78" s="133">
        <v>0.83599999999999997</v>
      </c>
      <c r="AB78" s="133">
        <v>0.72</v>
      </c>
      <c r="AC78" s="121">
        <v>34.299999999999997</v>
      </c>
      <c r="AD78" s="134">
        <v>1.17</v>
      </c>
      <c r="AE78" s="124">
        <v>139.69999999999999</v>
      </c>
      <c r="AF78" s="128">
        <v>7.72</v>
      </c>
      <c r="AG78" s="128">
        <v>2049</v>
      </c>
      <c r="AH78" s="127">
        <v>2487</v>
      </c>
      <c r="AI78" s="127">
        <v>2487</v>
      </c>
      <c r="AJ78" s="135"/>
      <c r="AK78" s="128"/>
      <c r="AL78" s="131"/>
      <c r="AM78" s="124" t="s">
        <v>232</v>
      </c>
      <c r="AN78" s="136" t="s">
        <v>509</v>
      </c>
      <c r="AO78" s="137">
        <v>7.45</v>
      </c>
      <c r="AP78" s="128">
        <v>2110</v>
      </c>
      <c r="AQ78" s="128">
        <v>0.12</v>
      </c>
      <c r="AR78" s="128" t="s">
        <v>510</v>
      </c>
      <c r="AS78" s="128">
        <v>102</v>
      </c>
      <c r="AT78" s="122">
        <v>6.5</v>
      </c>
      <c r="AU78" s="124" t="s">
        <v>189</v>
      </c>
      <c r="AV78" s="115">
        <f>VLOOKUP(J78,'[63]ТР нефть'!$J$28:$BP$638,39,0)</f>
        <v>379.99998662100001</v>
      </c>
      <c r="AW78" s="115" t="str">
        <f>VLOOKUP(J78,'[63]ТР нефть'!$J$28:$BP$638,40,0)</f>
        <v>ГП</v>
      </c>
      <c r="AX78" s="115">
        <f>VLOOKUP(J78,'[63]ТР нефть'!$J$28:$BP$638,41,0)</f>
        <v>724.99998867199997</v>
      </c>
      <c r="AY78" s="115" t="str">
        <f>VLOOKUP(J78,'[63]ТР нефть'!$J$28:$BP$638,42,0)</f>
        <v>ГК 60 1/8</v>
      </c>
      <c r="AZ78" s="115">
        <f>VLOOKUP(J78,'[63]ТР нефть'!$J$28:$BP$638,43,0)</f>
        <v>1049.999983594</v>
      </c>
      <c r="BA78" s="115" t="str">
        <f>VLOOKUP(J78,'[63]ТР нефть'!$J$28:$BP$638,44,0)</f>
        <v>ГК 60 1/8</v>
      </c>
      <c r="BB78" s="115">
        <f>VLOOKUP(J78,'[63]ТР нефть'!$J$28:$BP$638,45,0)</f>
        <v>1355.0000085940001</v>
      </c>
      <c r="BC78" s="115" t="str">
        <f>VLOOKUP(J78,'[63]ТР нефть'!$J$28:$BP$638,46,0)</f>
        <v>ЦКсОК 5/16</v>
      </c>
      <c r="BD78" s="115" t="str">
        <f>VLOOKUP(J78,'[63]ТР нефть'!$J$28:$BP$638,47,0)</f>
        <v>-</v>
      </c>
      <c r="BE78" s="115" t="str">
        <f>VLOOKUP(J78,'[63]ТР нефть'!$J$28:$BP$638,48,0)</f>
        <v>-</v>
      </c>
      <c r="BF78" s="115" t="str">
        <f>VLOOKUP(J78,'[63]ТР нефть'!$J$28:$BP$638,49,0)</f>
        <v>-</v>
      </c>
      <c r="BG78" s="115" t="str">
        <f>VLOOKUP(J78,'[63]ТР нефть'!$J$28:$BP$638,50,0)</f>
        <v>-</v>
      </c>
      <c r="BH78" s="115">
        <f>VLOOKUP(J78,'[63]ТР нефть'!$J$28:$BP$638,51,0)</f>
        <v>1580</v>
      </c>
      <c r="BI78" s="115" t="str">
        <f>VLOOKUP(J78,'[63]ТР нефть'!$J$28:$BP$638,52,0)</f>
        <v>закрыт</v>
      </c>
      <c r="BJ78" s="115" t="str">
        <f>IF(IFERROR(VLOOKUP(J78,'[63]ТР нефть'!$J$28:$BP$638,53,0),"-")=0,"-",IFERROR(VLOOKUP(J78,'[63]ТР нефть'!$J$28:$BP$638,53,0),"-"))</f>
        <v>-</v>
      </c>
      <c r="BK78" s="138" t="str">
        <f>IF(IFERROR(VLOOKUP(J78,'[63]ТР нефть'!$J$28:$BP$638,54,0),"-")=0,"-",IFERROR(VLOOKUP(J78,'[63]ТР нефть'!$J$28:$BP$638,54,0),"-"))</f>
        <v>-</v>
      </c>
      <c r="BL78" s="138" t="str">
        <f>IF(IFERROR(VLOOKUP(J78,'[63]ТР нефть'!$J$28:$BP$638,55,0),"-")=0,"-",IFERROR(VLOOKUP(J78,'[63]ТР нефть'!$J$28:$BP$638,55,0),"-"))</f>
        <v>-</v>
      </c>
      <c r="BM78" s="138" t="str">
        <f>IF(IFERROR(VLOOKUP(J78,'[63]ТР нефть'!$J$28:$BP$638,56,0),"-")=0,"-",IFERROR(VLOOKUP(J78,'[63]ТР нефть'!$J$28:$BP$638,56,0),"-"))</f>
        <v>-</v>
      </c>
      <c r="BN78" s="138" t="str">
        <f>IF(IFERROR(VLOOKUP(J78,'[63]ТР нефть'!$J$28:$BP$638,57,0),"-")=0,"-",IFERROR(VLOOKUP(J78,'[63]ТР нефть'!$J$28:$BP$638,57,0),"-"))</f>
        <v>-</v>
      </c>
      <c r="BO78" s="115" t="str">
        <f>IF(IFERROR(VLOOKUP(J78,'[63]ТР нефть'!$J$28:$BP$638,58,0),"-")=0,"-",IFERROR(VLOOKUP(J78,'[63]ТР нефть'!$J$28:$BP$638,58,0),"-"))</f>
        <v>-</v>
      </c>
      <c r="BP78" s="115" t="str">
        <f>IF(IFERROR(VLOOKUP(J78,'[63]ТР нефть'!$J$28:$BP$638,59,0),"-")=0,"-",IFERROR(VLOOKUP(J78,'[63]ТР нефть'!$J$28:$BP$638,59,0),"-"))</f>
        <v>-</v>
      </c>
      <c r="BQ78" s="138">
        <v>1630</v>
      </c>
      <c r="BR78" s="128">
        <v>1629.67</v>
      </c>
      <c r="BS78" s="115">
        <f t="shared" si="2"/>
        <v>0.32999999999992724</v>
      </c>
      <c r="BT78" s="128">
        <v>73</v>
      </c>
      <c r="BU78" s="128">
        <v>5.5</v>
      </c>
      <c r="BV78" s="127">
        <v>18</v>
      </c>
      <c r="BW78" s="127" t="s">
        <v>234</v>
      </c>
      <c r="BX78" s="127" t="s">
        <v>218</v>
      </c>
      <c r="BY78" s="139">
        <v>24</v>
      </c>
      <c r="BZ78" s="139">
        <v>72</v>
      </c>
      <c r="CA78" s="138">
        <v>15</v>
      </c>
      <c r="CB78" s="138">
        <v>35</v>
      </c>
      <c r="CC78" s="138">
        <v>14</v>
      </c>
      <c r="CD78" s="135">
        <v>45017</v>
      </c>
      <c r="CE78" s="138">
        <v>84</v>
      </c>
      <c r="CF78" s="138">
        <v>84</v>
      </c>
      <c r="CG78" s="138" t="str">
        <f t="shared" si="52"/>
        <v>В работе</v>
      </c>
      <c r="CH78" s="138" t="s">
        <v>272</v>
      </c>
      <c r="CI78" s="127">
        <v>6</v>
      </c>
      <c r="CJ78" s="138"/>
      <c r="CK78" s="138"/>
      <c r="CL78" s="99"/>
      <c r="CM78" s="99"/>
      <c r="CN78" s="140">
        <v>34</v>
      </c>
      <c r="CO78" s="141">
        <f t="shared" si="4"/>
        <v>2.1835274999999998</v>
      </c>
      <c r="CP78" s="142">
        <f>10.5/4</f>
        <v>2.625</v>
      </c>
      <c r="CQ78" s="143">
        <v>0.5</v>
      </c>
      <c r="CR78" s="138">
        <f>26/4</f>
        <v>6.5</v>
      </c>
      <c r="CS78" s="139">
        <f>9.6/4</f>
        <v>2.4</v>
      </c>
      <c r="CT78" s="138"/>
      <c r="CU78" s="138">
        <f t="shared" si="5"/>
        <v>4.0999999999999996</v>
      </c>
      <c r="CV78" s="115">
        <f t="shared" si="6"/>
        <v>1877.6956095125893</v>
      </c>
      <c r="CW78" s="115">
        <f t="shared" si="7"/>
        <v>1091.5410683799314</v>
      </c>
      <c r="CX78" s="133">
        <f t="shared" si="8"/>
        <v>5.2499999999999998E-2</v>
      </c>
      <c r="CY78" s="116"/>
      <c r="CZ78" s="131"/>
      <c r="DA78" s="145" t="str">
        <f t="shared" si="9"/>
        <v>Газлифт</v>
      </c>
      <c r="DB78" s="146">
        <f t="shared" si="10"/>
        <v>2.1835274999999998</v>
      </c>
      <c r="DC78" s="142">
        <f t="shared" si="11"/>
        <v>2.625</v>
      </c>
      <c r="DD78" s="119">
        <f t="shared" si="12"/>
        <v>0.5</v>
      </c>
      <c r="DE78" s="115">
        <f t="shared" si="13"/>
        <v>4.0999999999999996</v>
      </c>
      <c r="DF78" s="121">
        <f t="shared" si="14"/>
        <v>2.4</v>
      </c>
      <c r="DG78" s="115">
        <f t="shared" si="15"/>
        <v>1877.6956095125893</v>
      </c>
      <c r="DH78" s="115">
        <f t="shared" si="16"/>
        <v>34</v>
      </c>
      <c r="DI78" s="147"/>
      <c r="DJ78" s="111">
        <v>43661</v>
      </c>
      <c r="DK78" s="112">
        <v>42248</v>
      </c>
      <c r="DL78" s="113">
        <f t="shared" ca="1" si="42"/>
        <v>2856</v>
      </c>
      <c r="DM78" s="114"/>
      <c r="DN78" s="114"/>
      <c r="DO78" s="114"/>
      <c r="DP78" s="114"/>
      <c r="DQ78" s="112">
        <v>42301</v>
      </c>
      <c r="DR78" s="114" t="s">
        <v>282</v>
      </c>
      <c r="DS78" s="114"/>
      <c r="DT78" s="115">
        <v>40</v>
      </c>
      <c r="DU78" s="116">
        <f t="shared" si="43"/>
        <v>5.9659090909090912E-2</v>
      </c>
      <c r="DV78" s="117">
        <f t="shared" si="44"/>
        <v>2.1835274999999998</v>
      </c>
      <c r="DW78" s="118">
        <f t="shared" si="45"/>
        <v>2.625</v>
      </c>
      <c r="DX78" s="119">
        <f t="shared" si="21"/>
        <v>0.5</v>
      </c>
      <c r="DY78" s="115">
        <f t="shared" si="46"/>
        <v>4.0999999999999996</v>
      </c>
      <c r="DZ78" s="117">
        <f t="shared" si="47"/>
        <v>0</v>
      </c>
      <c r="EA78" s="120">
        <f t="shared" si="47"/>
        <v>0</v>
      </c>
      <c r="EB78" s="119">
        <f t="shared" si="47"/>
        <v>0</v>
      </c>
      <c r="EC78" s="121">
        <f t="shared" si="48"/>
        <v>0</v>
      </c>
      <c r="ED78" s="122"/>
      <c r="EE78" s="145">
        <v>18</v>
      </c>
      <c r="EF78" s="115">
        <v>18</v>
      </c>
      <c r="EG78" s="115">
        <v>30</v>
      </c>
      <c r="EH78" s="115">
        <v>17</v>
      </c>
      <c r="EI78" s="128" t="s">
        <v>218</v>
      </c>
      <c r="EJ78" s="121">
        <v>24</v>
      </c>
      <c r="EK78" s="121">
        <v>72</v>
      </c>
      <c r="EL78" s="149">
        <v>2.0670100000000002</v>
      </c>
      <c r="EM78" s="142">
        <v>2.5</v>
      </c>
      <c r="EN78" s="119">
        <v>1.1000000000000001</v>
      </c>
      <c r="EO78" s="115">
        <v>3.45</v>
      </c>
      <c r="EP78" s="115">
        <v>507.98012588231313</v>
      </c>
      <c r="EQ78" s="115">
        <v>84</v>
      </c>
      <c r="ER78" s="115">
        <v>2.4</v>
      </c>
      <c r="ES78" s="115">
        <v>34</v>
      </c>
      <c r="ET78" s="150">
        <v>0.05</v>
      </c>
      <c r="EU78" s="145">
        <f t="shared" si="25"/>
        <v>18</v>
      </c>
      <c r="EV78" s="115">
        <f t="shared" si="26"/>
        <v>15</v>
      </c>
      <c r="EW78" s="115">
        <f t="shared" si="26"/>
        <v>35</v>
      </c>
      <c r="EX78" s="115">
        <f t="shared" si="26"/>
        <v>14</v>
      </c>
      <c r="EY78" s="115" t="str">
        <f t="shared" si="53"/>
        <v>Периодический</v>
      </c>
      <c r="EZ78" s="115">
        <f t="shared" si="53"/>
        <v>24</v>
      </c>
      <c r="FA78" s="115">
        <f t="shared" si="53"/>
        <v>72</v>
      </c>
      <c r="FB78" s="149">
        <f t="shared" si="28"/>
        <v>2.1835274999999998</v>
      </c>
      <c r="FC78" s="142">
        <f t="shared" si="28"/>
        <v>2.625</v>
      </c>
      <c r="FD78" s="119">
        <f t="shared" si="28"/>
        <v>0.5</v>
      </c>
      <c r="FE78" s="121">
        <f t="shared" si="28"/>
        <v>6.5</v>
      </c>
      <c r="FF78" s="121">
        <f t="shared" si="49"/>
        <v>1877.6956095125893</v>
      </c>
      <c r="FG78" s="121">
        <f t="shared" si="30"/>
        <v>84</v>
      </c>
      <c r="FH78" s="121">
        <f t="shared" si="50"/>
        <v>2.4</v>
      </c>
      <c r="FI78" s="121">
        <f t="shared" si="54"/>
        <v>34</v>
      </c>
      <c r="FJ78" s="144">
        <f t="shared" si="33"/>
        <v>5.2499999999999998E-2</v>
      </c>
      <c r="FK78" s="132">
        <f t="shared" si="34"/>
        <v>0</v>
      </c>
      <c r="FL78" s="115">
        <f t="shared" si="34"/>
        <v>-3</v>
      </c>
      <c r="FM78" s="115">
        <f t="shared" si="34"/>
        <v>5</v>
      </c>
      <c r="FN78" s="115">
        <f t="shared" si="34"/>
        <v>-3</v>
      </c>
      <c r="FO78" s="115">
        <f t="shared" si="57"/>
        <v>0</v>
      </c>
      <c r="FP78" s="115">
        <f t="shared" si="56"/>
        <v>0</v>
      </c>
      <c r="FQ78" s="149">
        <f t="shared" si="56"/>
        <v>0.11651749999999961</v>
      </c>
      <c r="FR78" s="142">
        <f t="shared" si="56"/>
        <v>0.125</v>
      </c>
      <c r="FS78" s="119">
        <f t="shared" si="56"/>
        <v>-0.60000000000000009</v>
      </c>
      <c r="FT78" s="121">
        <f t="shared" si="56"/>
        <v>3.05</v>
      </c>
      <c r="FU78" s="121">
        <f t="shared" si="36"/>
        <v>0</v>
      </c>
      <c r="FV78" s="121">
        <f t="shared" si="36"/>
        <v>0</v>
      </c>
      <c r="FW78" s="121">
        <f t="shared" si="37"/>
        <v>1369.7154836302761</v>
      </c>
      <c r="FX78" s="121">
        <f t="shared" si="38"/>
        <v>0</v>
      </c>
      <c r="FY78" s="144">
        <f t="shared" si="38"/>
        <v>2.4999999999999953E-3</v>
      </c>
      <c r="FZ78" s="145"/>
      <c r="GA78" s="151" t="s">
        <v>511</v>
      </c>
      <c r="GB78" s="145"/>
      <c r="GC78" s="151" t="s">
        <v>512</v>
      </c>
      <c r="GD78" s="997" t="s">
        <v>238</v>
      </c>
      <c r="GE78" s="1004"/>
      <c r="GF78" s="1004">
        <v>0.42995480000000041</v>
      </c>
      <c r="GG78" s="1004"/>
      <c r="GH78" s="1004">
        <v>0</v>
      </c>
      <c r="GI78" s="145"/>
      <c r="GJ78" s="996">
        <v>0</v>
      </c>
      <c r="GK78" s="145"/>
      <c r="GL78" s="996">
        <v>0</v>
      </c>
      <c r="GM78" s="1005"/>
      <c r="GN78" s="996">
        <v>0</v>
      </c>
      <c r="GO78" s="1006"/>
      <c r="GP78" s="996">
        <v>0</v>
      </c>
      <c r="GQ78" s="1006"/>
      <c r="GR78" s="996">
        <v>0</v>
      </c>
      <c r="GS78" s="1006"/>
      <c r="GT78" s="996">
        <v>0.9818238561999999</v>
      </c>
      <c r="GU78" s="1006"/>
      <c r="GV78" s="996">
        <v>-0.87543240620000007</v>
      </c>
      <c r="GW78" s="1006"/>
      <c r="GX78" s="997">
        <v>0</v>
      </c>
      <c r="GY78" s="1006"/>
      <c r="GZ78" s="996">
        <v>-0.81013624999999978</v>
      </c>
      <c r="HA78" s="1006"/>
      <c r="HB78" s="996">
        <v>0</v>
      </c>
      <c r="HC78" s="1006"/>
      <c r="HD78" s="996">
        <v>0</v>
      </c>
      <c r="HE78" s="1006"/>
      <c r="HF78" s="996">
        <v>0</v>
      </c>
      <c r="HG78" s="1006" t="s">
        <v>199</v>
      </c>
      <c r="HH78" s="996">
        <v>-1.78904</v>
      </c>
      <c r="HI78" s="1006"/>
      <c r="HJ78" s="996">
        <v>0</v>
      </c>
      <c r="HK78" s="1006" t="s">
        <v>199</v>
      </c>
      <c r="HL78" s="996">
        <v>-3.5993143999999999</v>
      </c>
      <c r="HM78" s="1006" t="s">
        <v>199</v>
      </c>
      <c r="HN78" s="996">
        <v>5.3883543999999999</v>
      </c>
      <c r="HO78" s="1006"/>
      <c r="HP78" s="996">
        <v>0.35529999999999995</v>
      </c>
      <c r="HQ78" s="1006"/>
      <c r="HR78" s="996">
        <v>-0.87362000000000006</v>
      </c>
      <c r="HS78" s="1006"/>
      <c r="HT78" s="996">
        <v>0</v>
      </c>
      <c r="HU78" s="1006"/>
      <c r="HV78" s="996">
        <v>0</v>
      </c>
      <c r="HW78" s="1006" t="s">
        <v>199</v>
      </c>
      <c r="HX78" s="996">
        <v>1.8820032000000002</v>
      </c>
      <c r="HY78" s="1006" t="s">
        <v>199</v>
      </c>
      <c r="HZ78" s="996">
        <v>-1.2581800000000003</v>
      </c>
      <c r="IA78" s="1006" t="s">
        <v>199</v>
      </c>
      <c r="IB78" s="996">
        <v>1.0020296</v>
      </c>
      <c r="IC78" s="1006"/>
      <c r="ID78" s="996">
        <v>-4.4675840000000022E-2</v>
      </c>
      <c r="IE78" s="1006"/>
      <c r="IF78" s="996">
        <v>0</v>
      </c>
      <c r="IG78" s="1006" t="s">
        <v>199</v>
      </c>
      <c r="IH78" s="996">
        <v>-1.23005696</v>
      </c>
      <c r="II78" s="1006"/>
      <c r="IJ78" s="996">
        <v>0</v>
      </c>
      <c r="IK78" s="1006"/>
      <c r="IL78" s="996">
        <v>3.0096000000000345E-2</v>
      </c>
      <c r="IM78" s="1006"/>
      <c r="IN78" s="996">
        <v>0</v>
      </c>
      <c r="IO78" s="1006" t="s">
        <v>204</v>
      </c>
      <c r="IP78" s="996">
        <v>-1.6519360000000001</v>
      </c>
      <c r="IQ78" s="1006"/>
      <c r="IR78" s="996">
        <v>0</v>
      </c>
      <c r="IS78" s="1006"/>
      <c r="IT78" s="996">
        <v>0</v>
      </c>
      <c r="IU78" s="1006"/>
      <c r="IV78" s="996">
        <v>0</v>
      </c>
      <c r="IW78" s="1006"/>
      <c r="IX78" s="996">
        <v>0</v>
      </c>
      <c r="IY78" s="1006" t="s">
        <v>199</v>
      </c>
      <c r="IZ78" s="996">
        <v>2.4896079999999996</v>
      </c>
      <c r="JA78" s="1006"/>
      <c r="JB78" s="996">
        <v>0</v>
      </c>
      <c r="JC78" s="1006"/>
      <c r="JD78" s="996">
        <v>0</v>
      </c>
      <c r="JE78" s="1006" t="s">
        <v>199</v>
      </c>
      <c r="JF78" s="996">
        <v>-3.3406560000000001</v>
      </c>
      <c r="JG78" s="1006"/>
      <c r="JH78" s="996">
        <v>0</v>
      </c>
      <c r="JI78" s="1006"/>
      <c r="JJ78" s="996">
        <v>0</v>
      </c>
      <c r="JK78" s="1007"/>
      <c r="JL78" s="1007">
        <v>0</v>
      </c>
      <c r="JM78" s="1007"/>
      <c r="JN78" s="1007">
        <v>0</v>
      </c>
      <c r="JO78" s="1008" t="s">
        <v>204</v>
      </c>
      <c r="JP78" s="1007">
        <v>1.406988000000001</v>
      </c>
      <c r="JQ78" s="1008">
        <v>0</v>
      </c>
      <c r="JR78" s="1007">
        <v>0</v>
      </c>
      <c r="JS78" s="1008">
        <v>0</v>
      </c>
      <c r="JT78" s="1007">
        <v>0</v>
      </c>
      <c r="JU78" s="1008"/>
      <c r="JV78" s="1007">
        <v>0</v>
      </c>
      <c r="JW78" s="1008" t="s">
        <v>197</v>
      </c>
      <c r="JX78" s="1007">
        <v>0.63953999999999933</v>
      </c>
      <c r="JY78" s="1008"/>
      <c r="JZ78" s="1007">
        <v>0</v>
      </c>
      <c r="KA78" s="1008" t="s">
        <v>204</v>
      </c>
      <c r="KB78" s="1007">
        <v>-1.3856699999999993</v>
      </c>
      <c r="KC78" s="1008"/>
      <c r="KD78" s="1007">
        <v>0</v>
      </c>
      <c r="KE78" s="1008" t="s">
        <v>204</v>
      </c>
      <c r="KF78" s="1007">
        <v>-1.5319700000000003</v>
      </c>
      <c r="KG78" s="1008"/>
      <c r="KH78" s="1007">
        <v>0</v>
      </c>
      <c r="KI78" s="1008" t="s">
        <v>206</v>
      </c>
      <c r="KJ78" s="1007">
        <v>1.5884</v>
      </c>
      <c r="KK78" s="1008"/>
      <c r="KL78" s="1007">
        <v>0</v>
      </c>
      <c r="KM78" s="1008"/>
      <c r="KN78" s="1007">
        <v>0</v>
      </c>
      <c r="KO78" s="1008"/>
      <c r="KP78" s="1007">
        <v>0</v>
      </c>
      <c r="KQ78" s="1008" t="s">
        <v>206</v>
      </c>
      <c r="KR78" s="1007">
        <v>-1.1704000000000008</v>
      </c>
      <c r="KS78" s="1008" t="s">
        <v>221</v>
      </c>
      <c r="KT78" s="1007">
        <v>-4.5979999999999999</v>
      </c>
      <c r="KU78" s="1008" t="s">
        <v>260</v>
      </c>
      <c r="KV78" s="1007">
        <v>10.032</v>
      </c>
      <c r="KW78" s="1008">
        <v>0</v>
      </c>
      <c r="KX78" s="1007">
        <v>4.3890000000000002</v>
      </c>
      <c r="KY78" s="1008">
        <v>0</v>
      </c>
      <c r="KZ78" s="1007">
        <v>0</v>
      </c>
      <c r="LA78" s="1008">
        <v>0</v>
      </c>
      <c r="LB78" s="1007">
        <v>0</v>
      </c>
      <c r="LC78" s="1008">
        <v>0</v>
      </c>
      <c r="LD78" s="1007">
        <v>0</v>
      </c>
      <c r="LE78" s="1008">
        <v>0</v>
      </c>
      <c r="LF78" s="1007">
        <v>0</v>
      </c>
      <c r="LG78" s="1008">
        <v>0</v>
      </c>
      <c r="LH78" s="1007">
        <v>-4.7933880000000002</v>
      </c>
      <c r="LI78" s="1008">
        <v>0</v>
      </c>
      <c r="LJ78" s="1007">
        <v>0</v>
      </c>
      <c r="LK78" s="1008">
        <v>0</v>
      </c>
      <c r="LL78" s="1007">
        <v>0</v>
      </c>
      <c r="LM78" s="1008" t="s">
        <v>206</v>
      </c>
      <c r="LN78" s="1007">
        <v>-0.31647999999999998</v>
      </c>
      <c r="LO78" s="1008" t="s">
        <v>207</v>
      </c>
      <c r="LP78" s="1007">
        <v>2.6177291999999999</v>
      </c>
      <c r="LQ78" s="1008">
        <v>0</v>
      </c>
      <c r="LR78" s="1007">
        <v>-0.498498</v>
      </c>
      <c r="LS78" s="1008">
        <v>0</v>
      </c>
      <c r="LT78" s="1007">
        <v>-0.65443751999999999</v>
      </c>
      <c r="LU78" s="1008" t="s">
        <v>206</v>
      </c>
      <c r="LV78" s="1007">
        <v>-0.86388600000000004</v>
      </c>
      <c r="LW78" s="1008">
        <v>0</v>
      </c>
      <c r="LX78" s="1007">
        <v>0.52632386399999997</v>
      </c>
      <c r="LY78" s="1009" t="s">
        <v>206</v>
      </c>
      <c r="LZ78" s="1010">
        <v>1.8793748159999999</v>
      </c>
      <c r="MA78" s="1011">
        <v>0</v>
      </c>
      <c r="MB78" s="1012">
        <v>0</v>
      </c>
      <c r="MC78" s="995"/>
      <c r="MD78" s="996"/>
      <c r="ME78" s="997" t="s">
        <v>238</v>
      </c>
      <c r="MF78" s="997"/>
      <c r="MG78" s="998"/>
      <c r="NR78" s="1000"/>
      <c r="NS78" s="1000"/>
      <c r="NT78" s="1001"/>
      <c r="NU78" s="1000"/>
      <c r="NV78" s="1001"/>
      <c r="NX78" s="1002"/>
      <c r="NZ78" s="1001"/>
      <c r="OA78" s="1001"/>
      <c r="OC78" s="1003"/>
      <c r="OD78" s="1003"/>
      <c r="OE78" s="1001"/>
      <c r="OF78" s="1003"/>
      <c r="OG78" s="1003"/>
      <c r="QX78" s="1000">
        <f t="shared" si="51"/>
        <v>19</v>
      </c>
      <c r="ASU78" s="999" t="s">
        <v>225</v>
      </c>
    </row>
    <row r="79" spans="1:466 1191:1191" ht="21" customHeight="1" x14ac:dyDescent="0.25">
      <c r="A79" s="982" t="str">
        <f t="shared" si="0"/>
        <v>157тг</v>
      </c>
      <c r="B79" s="124">
        <f>SUBTOTAL(103,$J$29:J79)</f>
        <v>51</v>
      </c>
      <c r="C79" s="126">
        <v>45096</v>
      </c>
      <c r="D79" s="124" t="s">
        <v>176</v>
      </c>
      <c r="E79" s="127" t="s">
        <v>177</v>
      </c>
      <c r="F79" s="128" t="s">
        <v>177</v>
      </c>
      <c r="G79" s="127" t="s">
        <v>178</v>
      </c>
      <c r="H79" s="127" t="s">
        <v>226</v>
      </c>
      <c r="I79" s="127" t="s">
        <v>227</v>
      </c>
      <c r="J79" s="152" t="s">
        <v>513</v>
      </c>
      <c r="K79" s="127" t="s">
        <v>182</v>
      </c>
      <c r="L79" s="130">
        <v>34614</v>
      </c>
      <c r="M79" s="127" t="s">
        <v>230</v>
      </c>
      <c r="N79" s="127" t="s">
        <v>231</v>
      </c>
      <c r="O79" s="127" t="s">
        <v>185</v>
      </c>
      <c r="P79" s="127" t="s">
        <v>315</v>
      </c>
      <c r="Q79" s="85" t="str">
        <f t="shared" si="40"/>
        <v/>
      </c>
      <c r="R79" s="130"/>
      <c r="S79" s="128"/>
      <c r="T79" s="131"/>
      <c r="U79" s="132">
        <v>203</v>
      </c>
      <c r="V79" s="121">
        <v>218.2</v>
      </c>
      <c r="W79" s="116">
        <v>0.98</v>
      </c>
      <c r="X79" s="116">
        <v>1.66</v>
      </c>
      <c r="Y79" s="116">
        <f t="shared" si="41"/>
        <v>1.0123462936227408</v>
      </c>
      <c r="Z79" s="133">
        <v>1.454</v>
      </c>
      <c r="AA79" s="133">
        <v>0.83599999999999997</v>
      </c>
      <c r="AB79" s="133">
        <v>0.72</v>
      </c>
      <c r="AC79" s="121">
        <v>34.299999999999997</v>
      </c>
      <c r="AD79" s="134">
        <v>1.17</v>
      </c>
      <c r="AE79" s="124">
        <v>177.8</v>
      </c>
      <c r="AF79" s="128">
        <v>8.0500000000000007</v>
      </c>
      <c r="AG79" s="128">
        <v>1909</v>
      </c>
      <c r="AH79" s="127">
        <v>2205</v>
      </c>
      <c r="AI79" s="127">
        <v>2205</v>
      </c>
      <c r="AJ79" s="135"/>
      <c r="AK79" s="128"/>
      <c r="AL79" s="131"/>
      <c r="AM79" s="124" t="s">
        <v>232</v>
      </c>
      <c r="AN79" s="136" t="s">
        <v>514</v>
      </c>
      <c r="AO79" s="137">
        <v>9.3199999999999363</v>
      </c>
      <c r="AP79" s="128">
        <v>1909</v>
      </c>
      <c r="AQ79" s="128">
        <v>0.12</v>
      </c>
      <c r="AR79" s="128"/>
      <c r="AS79" s="128"/>
      <c r="AT79" s="122"/>
      <c r="AU79" s="124" t="s">
        <v>189</v>
      </c>
      <c r="AV79" s="115">
        <f>VLOOKUP(J79,'[63]ТР нефть'!$J$28:$BP$638,39,0)</f>
        <v>549.99999140600005</v>
      </c>
      <c r="AW79" s="115" t="str">
        <f>VLOOKUP(J79,'[63]ТР нефть'!$J$28:$BP$638,40,0)</f>
        <v>ГП</v>
      </c>
      <c r="AX79" s="115">
        <f>VLOOKUP(J79,'[63]ТР нефть'!$J$28:$BP$638,41,0)</f>
        <v>980.00001445299995</v>
      </c>
      <c r="AY79" s="115" t="str">
        <f>VLOOKUP(J79,'[63]ТР нефть'!$J$28:$BP$638,42,0)</f>
        <v>ГК 89/1</v>
      </c>
      <c r="AZ79" s="115">
        <f>VLOOKUP(J79,'[63]ТР нефть'!$J$28:$BP$638,43,0)</f>
        <v>1335.0000386720001</v>
      </c>
      <c r="BA79" s="115" t="str">
        <f>VLOOKUP(J79,'[63]ТР нефть'!$J$28:$BP$638,44,0)</f>
        <v>ГК 77/2,5</v>
      </c>
      <c r="BB79" s="115">
        <f>VLOOKUP(J79,'[63]ТР нефть'!$J$28:$BP$638,45,0)</f>
        <v>1560.000035156</v>
      </c>
      <c r="BC79" s="115" t="str">
        <f>VLOOKUP(J79,'[63]ТР нефть'!$J$28:$BP$638,46,0)</f>
        <v>ЦКсОК 5/16</v>
      </c>
      <c r="BD79" s="115" t="str">
        <f>VLOOKUP(J79,'[63]ТР нефть'!$J$28:$BP$638,47,0)</f>
        <v>-</v>
      </c>
      <c r="BE79" s="115" t="str">
        <f>VLOOKUP(J79,'[63]ТР нефть'!$J$28:$BP$638,48,0)</f>
        <v>-</v>
      </c>
      <c r="BF79" s="115" t="str">
        <f>VLOOKUP(J79,'[63]ТР нефть'!$J$28:$BP$638,49,0)</f>
        <v>-</v>
      </c>
      <c r="BG79" s="115" t="str">
        <f>VLOOKUP(J79,'[63]ТР нефть'!$J$28:$BP$638,50,0)</f>
        <v>-</v>
      </c>
      <c r="BH79" s="115">
        <f>VLOOKUP(J79,'[63]ТР нефть'!$J$28:$BP$638,51,0)</f>
        <v>1570</v>
      </c>
      <c r="BI79" s="115" t="str">
        <f>VLOOKUP(J79,'[63]ТР нефть'!$J$28:$BP$638,52,0)</f>
        <v>закрыт</v>
      </c>
      <c r="BJ79" s="115" t="str">
        <f>IF(IFERROR(VLOOKUP(J79,'[63]ТР нефть'!$J$28:$BP$638,53,0),"-")=0,"-",IFERROR(VLOOKUP(J79,'[63]ТР нефть'!$J$28:$BP$638,53,0),"-"))</f>
        <v>-</v>
      </c>
      <c r="BK79" s="138" t="str">
        <f>IF(IFERROR(VLOOKUP(J79,'[63]ТР нефть'!$J$28:$BP$638,54,0),"-")=0,"-",IFERROR(VLOOKUP(J79,'[63]ТР нефть'!$J$28:$BP$638,54,0),"-"))</f>
        <v>-</v>
      </c>
      <c r="BL79" s="138" t="str">
        <f>IF(IFERROR(VLOOKUP(J79,'[63]ТР нефть'!$J$28:$BP$638,55,0),"-")=0,"-",IFERROR(VLOOKUP(J79,'[63]ТР нефть'!$J$28:$BP$638,55,0),"-"))</f>
        <v>-</v>
      </c>
      <c r="BM79" s="138" t="str">
        <f>IF(IFERROR(VLOOKUP(J79,'[63]ТР нефть'!$J$28:$BP$638,56,0),"-")=0,"-",IFERROR(VLOOKUP(J79,'[63]ТР нефть'!$J$28:$BP$638,56,0),"-"))</f>
        <v>-</v>
      </c>
      <c r="BN79" s="138" t="str">
        <f>IF(IFERROR(VLOOKUP(J79,'[63]ТР нефть'!$J$28:$BP$638,57,0),"-")=0,"-",IFERROR(VLOOKUP(J79,'[63]ТР нефть'!$J$28:$BP$638,57,0),"-"))</f>
        <v>-</v>
      </c>
      <c r="BO79" s="115" t="str">
        <f>IF(IFERROR(VLOOKUP(J79,'[63]ТР нефть'!$J$28:$BP$638,58,0),"-")=0,"-",IFERROR(VLOOKUP(J79,'[63]ТР нефть'!$J$28:$BP$638,58,0),"-"))</f>
        <v>-</v>
      </c>
      <c r="BP79" s="115" t="str">
        <f>IF(IFERROR(VLOOKUP(J79,'[63]ТР нефть'!$J$28:$BP$638,59,0),"-")=0,"-",IFERROR(VLOOKUP(J79,'[63]ТР нефть'!$J$28:$BP$638,59,0),"-"))</f>
        <v>-</v>
      </c>
      <c r="BQ79" s="138">
        <v>1610</v>
      </c>
      <c r="BR79" s="128">
        <v>1609.77</v>
      </c>
      <c r="BS79" s="115">
        <f t="shared" si="2"/>
        <v>0.23000000000001819</v>
      </c>
      <c r="BT79" s="128">
        <v>73</v>
      </c>
      <c r="BU79" s="128">
        <v>5.5</v>
      </c>
      <c r="BV79" s="127">
        <v>18</v>
      </c>
      <c r="BW79" s="127" t="s">
        <v>234</v>
      </c>
      <c r="BX79" s="127" t="s">
        <v>218</v>
      </c>
      <c r="BY79" s="139">
        <v>24</v>
      </c>
      <c r="BZ79" s="139">
        <v>120</v>
      </c>
      <c r="CA79" s="138">
        <v>22</v>
      </c>
      <c r="CB79" s="138">
        <v>71</v>
      </c>
      <c r="CC79" s="138">
        <v>15</v>
      </c>
      <c r="CD79" s="135">
        <v>45017</v>
      </c>
      <c r="CE79" s="138">
        <v>103</v>
      </c>
      <c r="CF79" s="138">
        <v>84</v>
      </c>
      <c r="CG79" s="138" t="str">
        <f t="shared" si="52"/>
        <v/>
      </c>
      <c r="CH79" s="138" t="s">
        <v>197</v>
      </c>
      <c r="CI79" s="138">
        <v>6</v>
      </c>
      <c r="CJ79" s="139"/>
      <c r="CK79" s="138"/>
      <c r="CL79" s="99"/>
      <c r="CM79" s="99"/>
      <c r="CN79" s="140">
        <v>27</v>
      </c>
      <c r="CO79" s="141">
        <f t="shared" si="4"/>
        <v>0.38539600000000002</v>
      </c>
      <c r="CP79" s="142">
        <v>0.5</v>
      </c>
      <c r="CQ79" s="143">
        <v>7.8</v>
      </c>
      <c r="CR79" s="138">
        <v>3.3</v>
      </c>
      <c r="CS79" s="139">
        <f>6/6</f>
        <v>1</v>
      </c>
      <c r="CT79" s="138"/>
      <c r="CU79" s="138">
        <f t="shared" si="5"/>
        <v>2.2999999999999998</v>
      </c>
      <c r="CV79" s="115">
        <f t="shared" si="6"/>
        <v>5967.8875753770144</v>
      </c>
      <c r="CW79" s="115">
        <f t="shared" si="7"/>
        <v>2322.5674589718456</v>
      </c>
      <c r="CX79" s="133">
        <f t="shared" si="8"/>
        <v>6.5789473684210523E-3</v>
      </c>
      <c r="CY79" s="116"/>
      <c r="CZ79" s="131"/>
      <c r="DA79" s="145" t="str">
        <f t="shared" si="9"/>
        <v>Газлифт</v>
      </c>
      <c r="DB79" s="146">
        <f t="shared" si="10"/>
        <v>0.38539600000000002</v>
      </c>
      <c r="DC79" s="142">
        <f t="shared" si="11"/>
        <v>0.5</v>
      </c>
      <c r="DD79" s="119">
        <f t="shared" si="12"/>
        <v>7.8</v>
      </c>
      <c r="DE79" s="115">
        <f t="shared" si="13"/>
        <v>2.2999999999999998</v>
      </c>
      <c r="DF79" s="121">
        <f t="shared" si="14"/>
        <v>1</v>
      </c>
      <c r="DG79" s="115">
        <f t="shared" si="15"/>
        <v>5967.8875753770144</v>
      </c>
      <c r="DH79" s="115">
        <f t="shared" si="16"/>
        <v>27</v>
      </c>
      <c r="DI79" s="147"/>
      <c r="DJ79" s="111" t="s">
        <v>197</v>
      </c>
      <c r="DK79" s="112">
        <v>42580</v>
      </c>
      <c r="DL79" s="113">
        <f t="shared" ca="1" si="42"/>
        <v>2524</v>
      </c>
      <c r="DM79" s="114"/>
      <c r="DN79" s="114"/>
      <c r="DO79" s="114"/>
      <c r="DP79" s="114"/>
      <c r="DQ79" s="112">
        <v>42538</v>
      </c>
      <c r="DR79" s="114" t="s">
        <v>282</v>
      </c>
      <c r="DS79" s="114" t="s">
        <v>515</v>
      </c>
      <c r="DT79" s="115">
        <v>45</v>
      </c>
      <c r="DU79" s="116">
        <f t="shared" si="43"/>
        <v>8.6206896551724137E-3</v>
      </c>
      <c r="DV79" s="117">
        <f t="shared" si="44"/>
        <v>0.38539600000000002</v>
      </c>
      <c r="DW79" s="118">
        <f t="shared" si="45"/>
        <v>0.5</v>
      </c>
      <c r="DX79" s="119">
        <f t="shared" si="21"/>
        <v>7.8</v>
      </c>
      <c r="DY79" s="115">
        <f t="shared" si="46"/>
        <v>2.2999999999999998</v>
      </c>
      <c r="DZ79" s="117">
        <f t="shared" si="47"/>
        <v>0</v>
      </c>
      <c r="EA79" s="120">
        <f t="shared" si="47"/>
        <v>0</v>
      </c>
      <c r="EB79" s="119">
        <f t="shared" si="47"/>
        <v>0</v>
      </c>
      <c r="EC79" s="121">
        <f t="shared" si="48"/>
        <v>0</v>
      </c>
      <c r="ED79" s="122"/>
      <c r="EE79" s="145">
        <v>18</v>
      </c>
      <c r="EF79" s="115">
        <v>22</v>
      </c>
      <c r="EG79" s="115">
        <v>71</v>
      </c>
      <c r="EH79" s="115">
        <v>15</v>
      </c>
      <c r="EI79" s="128" t="s">
        <v>218</v>
      </c>
      <c r="EJ79" s="121">
        <v>24</v>
      </c>
      <c r="EK79" s="121">
        <v>120</v>
      </c>
      <c r="EL79" s="149">
        <v>0.38539600000000002</v>
      </c>
      <c r="EM79" s="142">
        <v>0.5</v>
      </c>
      <c r="EN79" s="119">
        <v>7.8</v>
      </c>
      <c r="EO79" s="115">
        <v>3.3</v>
      </c>
      <c r="EP79" s="115">
        <v>5967.8875753770144</v>
      </c>
      <c r="EQ79" s="115">
        <v>84</v>
      </c>
      <c r="ER79" s="115">
        <v>0.19354838709677419</v>
      </c>
      <c r="ES79" s="115">
        <v>27</v>
      </c>
      <c r="ET79" s="150">
        <v>6.5789473684210523E-3</v>
      </c>
      <c r="EU79" s="145">
        <f t="shared" si="25"/>
        <v>18</v>
      </c>
      <c r="EV79" s="115">
        <f t="shared" si="26"/>
        <v>22</v>
      </c>
      <c r="EW79" s="115">
        <f t="shared" si="26"/>
        <v>71</v>
      </c>
      <c r="EX79" s="115">
        <f t="shared" si="26"/>
        <v>15</v>
      </c>
      <c r="EY79" s="115" t="str">
        <f t="shared" si="53"/>
        <v>Периодический</v>
      </c>
      <c r="EZ79" s="115">
        <f t="shared" si="53"/>
        <v>24</v>
      </c>
      <c r="FA79" s="115">
        <f t="shared" si="53"/>
        <v>120</v>
      </c>
      <c r="FB79" s="149">
        <f t="shared" si="28"/>
        <v>0.38539600000000002</v>
      </c>
      <c r="FC79" s="142">
        <f t="shared" si="28"/>
        <v>0.5</v>
      </c>
      <c r="FD79" s="119">
        <f t="shared" si="28"/>
        <v>7.8</v>
      </c>
      <c r="FE79" s="121">
        <f t="shared" si="28"/>
        <v>3.3</v>
      </c>
      <c r="FF79" s="121">
        <f t="shared" si="49"/>
        <v>5967.8875753770144</v>
      </c>
      <c r="FG79" s="121">
        <f t="shared" si="30"/>
        <v>84</v>
      </c>
      <c r="FH79" s="121">
        <f t="shared" si="50"/>
        <v>1</v>
      </c>
      <c r="FI79" s="121">
        <f t="shared" si="54"/>
        <v>27</v>
      </c>
      <c r="FJ79" s="144">
        <f t="shared" si="33"/>
        <v>6.5789473684210523E-3</v>
      </c>
      <c r="FK79" s="132">
        <f t="shared" si="34"/>
        <v>0</v>
      </c>
      <c r="FL79" s="115">
        <f t="shared" si="34"/>
        <v>0</v>
      </c>
      <c r="FM79" s="115">
        <f t="shared" si="34"/>
        <v>0</v>
      </c>
      <c r="FN79" s="115">
        <f t="shared" si="34"/>
        <v>0</v>
      </c>
      <c r="FO79" s="115">
        <f t="shared" si="57"/>
        <v>0</v>
      </c>
      <c r="FP79" s="115">
        <f t="shared" si="56"/>
        <v>0</v>
      </c>
      <c r="FQ79" s="149">
        <f t="shared" si="56"/>
        <v>0</v>
      </c>
      <c r="FR79" s="142">
        <f t="shared" si="56"/>
        <v>0</v>
      </c>
      <c r="FS79" s="119">
        <f t="shared" si="56"/>
        <v>0</v>
      </c>
      <c r="FT79" s="121">
        <f t="shared" si="56"/>
        <v>0</v>
      </c>
      <c r="FU79" s="121">
        <f t="shared" si="36"/>
        <v>0</v>
      </c>
      <c r="FV79" s="121">
        <f t="shared" si="36"/>
        <v>0.80645161290322576</v>
      </c>
      <c r="FW79" s="121">
        <f t="shared" si="37"/>
        <v>0</v>
      </c>
      <c r="FX79" s="121">
        <f t="shared" si="38"/>
        <v>0</v>
      </c>
      <c r="FY79" s="144">
        <f t="shared" si="38"/>
        <v>0</v>
      </c>
      <c r="FZ79" s="124"/>
      <c r="GA79" s="151" t="s">
        <v>516</v>
      </c>
      <c r="GB79" s="145" t="s">
        <v>204</v>
      </c>
      <c r="GC79" s="151" t="s">
        <v>517</v>
      </c>
      <c r="GD79" s="997" t="s">
        <v>238</v>
      </c>
      <c r="GE79" s="1004" t="s">
        <v>204</v>
      </c>
      <c r="GF79" s="1004">
        <v>-1.8176312000000001</v>
      </c>
      <c r="GG79" s="1004"/>
      <c r="GH79" s="1004">
        <v>0</v>
      </c>
      <c r="GI79" s="145"/>
      <c r="GJ79" s="996">
        <v>0</v>
      </c>
      <c r="GK79" s="145"/>
      <c r="GL79" s="996">
        <v>0</v>
      </c>
      <c r="GM79" s="1005"/>
      <c r="GN79" s="996">
        <v>0</v>
      </c>
      <c r="GO79" s="1006"/>
      <c r="GP79" s="996">
        <v>0</v>
      </c>
      <c r="GQ79" s="1006"/>
      <c r="GR79" s="996">
        <v>0</v>
      </c>
      <c r="GS79" s="1006"/>
      <c r="GT79" s="996">
        <v>0</v>
      </c>
      <c r="GU79" s="1006"/>
      <c r="GV79" s="996">
        <v>0</v>
      </c>
      <c r="GW79" s="1006"/>
      <c r="GX79" s="997">
        <v>0</v>
      </c>
      <c r="GY79" s="1006"/>
      <c r="GZ79" s="996">
        <v>0</v>
      </c>
      <c r="HA79" s="1006"/>
      <c r="HB79" s="996">
        <v>0</v>
      </c>
      <c r="HC79" s="1006"/>
      <c r="HD79" s="996">
        <v>0</v>
      </c>
      <c r="HE79" s="1006"/>
      <c r="HF79" s="996">
        <v>0</v>
      </c>
      <c r="HG79" s="1006"/>
      <c r="HH79" s="996">
        <v>0</v>
      </c>
      <c r="HI79" s="1006"/>
      <c r="HJ79" s="996">
        <v>0</v>
      </c>
      <c r="HK79" s="1006"/>
      <c r="HL79" s="996">
        <v>0.83892600000000028</v>
      </c>
      <c r="HM79" s="1006"/>
      <c r="HN79" s="996">
        <v>0</v>
      </c>
      <c r="HO79" s="1006"/>
      <c r="HP79" s="996">
        <v>0.89226279999999991</v>
      </c>
      <c r="HQ79" s="1006"/>
      <c r="HR79" s="996">
        <v>0</v>
      </c>
      <c r="HS79" s="1006"/>
      <c r="HT79" s="996">
        <v>0</v>
      </c>
      <c r="HU79" s="1006"/>
      <c r="HV79" s="996">
        <v>-0.2359192</v>
      </c>
      <c r="HW79" s="1006"/>
      <c r="HX79" s="996">
        <v>-0.25569059999999999</v>
      </c>
      <c r="HY79" s="1006"/>
      <c r="HZ79" s="996">
        <v>0.19850820000000002</v>
      </c>
      <c r="IA79" s="1006"/>
      <c r="IB79" s="996">
        <v>0.66090815999999997</v>
      </c>
      <c r="IC79" s="1006"/>
      <c r="ID79" s="996">
        <v>-0.67846415999999998</v>
      </c>
      <c r="IE79" s="1006"/>
      <c r="IF79" s="996">
        <v>0</v>
      </c>
      <c r="IG79" s="1006"/>
      <c r="IH79" s="996">
        <v>0</v>
      </c>
      <c r="II79" s="1006"/>
      <c r="IJ79" s="996">
        <v>0</v>
      </c>
      <c r="IK79" s="1006"/>
      <c r="IL79" s="996">
        <v>0</v>
      </c>
      <c r="IM79" s="1006"/>
      <c r="IN79" s="996">
        <v>0</v>
      </c>
      <c r="IO79" s="1006"/>
      <c r="IP79" s="996">
        <v>0</v>
      </c>
      <c r="IQ79" s="1006"/>
      <c r="IR79" s="996">
        <v>0</v>
      </c>
      <c r="IS79" s="1006"/>
      <c r="IT79" s="996">
        <v>0</v>
      </c>
      <c r="IU79" s="1006"/>
      <c r="IV79" s="996">
        <v>0</v>
      </c>
      <c r="IW79" s="1006"/>
      <c r="IX79" s="996">
        <v>0</v>
      </c>
      <c r="IY79" s="1006"/>
      <c r="IZ79" s="996">
        <v>0</v>
      </c>
      <c r="JA79" s="1006"/>
      <c r="JB79" s="996">
        <v>0</v>
      </c>
      <c r="JC79" s="1006"/>
      <c r="JD79" s="996">
        <v>0</v>
      </c>
      <c r="JE79" s="1006"/>
      <c r="JF79" s="996">
        <v>0</v>
      </c>
      <c r="JG79" s="1006"/>
      <c r="JH79" s="996">
        <v>0</v>
      </c>
      <c r="JI79" s="1006"/>
      <c r="JJ79" s="996">
        <v>0</v>
      </c>
      <c r="JK79" s="1007"/>
      <c r="JL79" s="1007">
        <v>0</v>
      </c>
      <c r="JM79" s="1007"/>
      <c r="JN79" s="1007">
        <v>0</v>
      </c>
      <c r="JO79" s="1008"/>
      <c r="JP79" s="1007">
        <v>0</v>
      </c>
      <c r="JQ79" s="1008">
        <v>0</v>
      </c>
      <c r="JR79" s="1007">
        <v>0</v>
      </c>
      <c r="JS79" s="1008">
        <v>0</v>
      </c>
      <c r="JT79" s="1007">
        <v>0</v>
      </c>
      <c r="JU79" s="1008"/>
      <c r="JV79" s="1007">
        <v>0</v>
      </c>
      <c r="JW79" s="1008" t="s">
        <v>197</v>
      </c>
      <c r="JX79" s="1007">
        <v>0</v>
      </c>
      <c r="JY79" s="1008"/>
      <c r="JZ79" s="1007">
        <v>0</v>
      </c>
      <c r="KA79" s="1008"/>
      <c r="KB79" s="1007">
        <v>4.9491199999999846E-2</v>
      </c>
      <c r="KC79" s="1008" t="s">
        <v>204</v>
      </c>
      <c r="KD79" s="1007">
        <v>-3.3822052</v>
      </c>
      <c r="KE79" s="1008" t="s">
        <v>204</v>
      </c>
      <c r="KF79" s="1007">
        <v>1.6072100000000002</v>
      </c>
      <c r="KG79" s="1008"/>
      <c r="KH79" s="1007">
        <v>0</v>
      </c>
      <c r="KI79" s="1008"/>
      <c r="KJ79" s="1007">
        <v>0</v>
      </c>
      <c r="KK79" s="1008"/>
      <c r="KL79" s="1007">
        <v>0</v>
      </c>
      <c r="KM79" s="1008"/>
      <c r="KN79" s="1007">
        <v>0</v>
      </c>
      <c r="KO79" s="1008"/>
      <c r="KP79" s="1007">
        <v>0</v>
      </c>
      <c r="KQ79" s="1008">
        <v>0</v>
      </c>
      <c r="KR79" s="1007">
        <v>0</v>
      </c>
      <c r="KS79" s="1008" t="s">
        <v>221</v>
      </c>
      <c r="KT79" s="1007">
        <v>1.6720000000000002</v>
      </c>
      <c r="KU79" s="1008" t="s">
        <v>260</v>
      </c>
      <c r="KV79" s="1007">
        <v>0.83599999999999997</v>
      </c>
      <c r="KW79" s="1008">
        <v>0</v>
      </c>
      <c r="KX79" s="1007">
        <v>0.83599999999999997</v>
      </c>
      <c r="KY79" s="1008">
        <v>0</v>
      </c>
      <c r="KZ79" s="1007">
        <v>0</v>
      </c>
      <c r="LA79" s="1008">
        <v>0</v>
      </c>
      <c r="LB79" s="1007">
        <v>0</v>
      </c>
      <c r="LC79" s="1008">
        <v>0</v>
      </c>
      <c r="LD79" s="1007">
        <v>0</v>
      </c>
      <c r="LE79" s="1008">
        <v>0</v>
      </c>
      <c r="LF79" s="1007">
        <v>0</v>
      </c>
      <c r="LG79" s="1008">
        <v>0</v>
      </c>
      <c r="LH79" s="1007">
        <v>-0.83683600000000002</v>
      </c>
      <c r="LI79" s="1008">
        <v>0</v>
      </c>
      <c r="LJ79" s="1007">
        <v>0</v>
      </c>
      <c r="LK79" s="1008">
        <v>0</v>
      </c>
      <c r="LL79" s="1007">
        <v>0</v>
      </c>
      <c r="LM79" s="1008" t="s">
        <v>206</v>
      </c>
      <c r="LN79" s="1007">
        <v>-0.34025</v>
      </c>
      <c r="LO79" s="1008">
        <v>0</v>
      </c>
      <c r="LP79" s="1007">
        <v>-0.71895999999999705</v>
      </c>
      <c r="LQ79" s="1008">
        <v>0</v>
      </c>
      <c r="LR79" s="1007">
        <v>0.24979680000000001</v>
      </c>
      <c r="LS79" s="1008">
        <v>0</v>
      </c>
      <c r="LT79" s="1007">
        <v>-0.66612479999999996</v>
      </c>
      <c r="LU79" s="1008">
        <v>0</v>
      </c>
      <c r="LV79" s="1007">
        <v>0</v>
      </c>
      <c r="LW79" s="1008">
        <v>0</v>
      </c>
      <c r="LX79" s="1007">
        <v>-0.83265599999999995</v>
      </c>
      <c r="LY79" s="1009">
        <v>0</v>
      </c>
      <c r="LZ79" s="1010">
        <v>0</v>
      </c>
      <c r="MA79" s="1011" t="s">
        <v>206</v>
      </c>
      <c r="MB79" s="1012">
        <v>-3.7842714000000002</v>
      </c>
      <c r="MC79" s="995"/>
      <c r="MD79" s="996"/>
      <c r="ME79" s="997" t="s">
        <v>238</v>
      </c>
      <c r="MF79" s="997"/>
      <c r="MG79" s="998"/>
      <c r="NR79" s="1000"/>
      <c r="NS79" s="1000"/>
      <c r="NT79" s="1001"/>
      <c r="NU79" s="1000"/>
      <c r="NV79" s="1001"/>
      <c r="NX79" s="1002"/>
      <c r="NZ79" s="1001"/>
      <c r="OA79" s="1001"/>
      <c r="OC79" s="1003"/>
      <c r="OD79" s="1003"/>
      <c r="OE79" s="1001"/>
      <c r="OF79" s="1003"/>
      <c r="OG79" s="1003"/>
      <c r="QX79" s="1000">
        <f t="shared" si="51"/>
        <v>5</v>
      </c>
      <c r="ASU79" s="999" t="s">
        <v>225</v>
      </c>
    </row>
    <row r="80" spans="1:466 1191:1191" ht="21" customHeight="1" x14ac:dyDescent="0.25">
      <c r="A80" s="982">
        <f t="shared" si="0"/>
        <v>164</v>
      </c>
      <c r="B80" s="124">
        <f>SUBTOTAL(103,$J$29:J80)</f>
        <v>52</v>
      </c>
      <c r="C80" s="126">
        <v>45096</v>
      </c>
      <c r="D80" s="124" t="s">
        <v>176</v>
      </c>
      <c r="E80" s="127" t="s">
        <v>177</v>
      </c>
      <c r="F80" s="128" t="s">
        <v>177</v>
      </c>
      <c r="G80" s="127" t="s">
        <v>178</v>
      </c>
      <c r="H80" s="127" t="s">
        <v>226</v>
      </c>
      <c r="I80" s="127" t="s">
        <v>285</v>
      </c>
      <c r="J80" s="152">
        <v>164</v>
      </c>
      <c r="K80" s="127" t="s">
        <v>182</v>
      </c>
      <c r="L80" s="130">
        <v>34964</v>
      </c>
      <c r="M80" s="127" t="s">
        <v>183</v>
      </c>
      <c r="N80" s="127" t="s">
        <v>245</v>
      </c>
      <c r="O80" s="127" t="s">
        <v>185</v>
      </c>
      <c r="P80" s="127" t="s">
        <v>208</v>
      </c>
      <c r="Q80" s="85" t="str">
        <f t="shared" si="40"/>
        <v/>
      </c>
      <c r="R80" s="130"/>
      <c r="S80" s="128" t="s">
        <v>156</v>
      </c>
      <c r="T80" s="131"/>
      <c r="U80" s="132">
        <v>203</v>
      </c>
      <c r="V80" s="121">
        <v>218.2</v>
      </c>
      <c r="W80" s="116">
        <v>0.98</v>
      </c>
      <c r="X80" s="116">
        <v>1.66</v>
      </c>
      <c r="Y80" s="116">
        <f t="shared" si="41"/>
        <v>1.0688848589976083</v>
      </c>
      <c r="Z80" s="133">
        <v>1.454</v>
      </c>
      <c r="AA80" s="133">
        <v>0.83599999999999997</v>
      </c>
      <c r="AB80" s="133">
        <v>0.72</v>
      </c>
      <c r="AC80" s="121">
        <v>34.299999999999997</v>
      </c>
      <c r="AD80" s="134">
        <v>1.17</v>
      </c>
      <c r="AE80" s="124" t="s">
        <v>518</v>
      </c>
      <c r="AF80" s="128">
        <v>9.19</v>
      </c>
      <c r="AG80" s="128">
        <v>1961</v>
      </c>
      <c r="AH80" s="127">
        <v>2400</v>
      </c>
      <c r="AI80" s="127">
        <v>2400</v>
      </c>
      <c r="AJ80" s="135"/>
      <c r="AK80" s="128"/>
      <c r="AL80" s="131"/>
      <c r="AM80" s="124" t="s">
        <v>232</v>
      </c>
      <c r="AN80" s="136" t="s">
        <v>519</v>
      </c>
      <c r="AO80" s="137">
        <v>5.7000000000000455</v>
      </c>
      <c r="AP80" s="128">
        <v>2025</v>
      </c>
      <c r="AQ80" s="128">
        <v>67</v>
      </c>
      <c r="AR80" s="128" t="s">
        <v>520</v>
      </c>
      <c r="AS80" s="128">
        <v>114</v>
      </c>
      <c r="AT80" s="122">
        <v>101.2</v>
      </c>
      <c r="AU80" s="124" t="s">
        <v>189</v>
      </c>
      <c r="AV80" s="115">
        <f>VLOOKUP(J80,'[63]ТР нефть'!$J$28:$BP$638,39,0)</f>
        <v>484.00000136699998</v>
      </c>
      <c r="AW80" s="115" t="str">
        <f>VLOOKUP(J80,'[63]ТР нефть'!$J$28:$BP$638,40,0)</f>
        <v>ГП</v>
      </c>
      <c r="AX80" s="115">
        <f>VLOOKUP(J80,'[63]ТР нефть'!$J$28:$BP$638,41,0)</f>
        <v>980.99999062500001</v>
      </c>
      <c r="AY80" s="115" t="str">
        <f>VLOOKUP(J80,'[63]ТР нефть'!$J$28:$BP$638,42,0)</f>
        <v>ГП</v>
      </c>
      <c r="AZ80" s="115">
        <f>VLOOKUP(J80,'[63]ТР нефть'!$J$28:$BP$638,43,0)</f>
        <v>1446.0000726559999</v>
      </c>
      <c r="BA80" s="115" t="str">
        <f>VLOOKUP(J80,'[63]ТР нефть'!$J$28:$BP$638,44,0)</f>
        <v>ЦКсОК 5/16</v>
      </c>
      <c r="BB80" s="115" t="str">
        <f>VLOOKUP(J80,'[63]ТР нефть'!$J$28:$BP$638,45,0)</f>
        <v>-</v>
      </c>
      <c r="BC80" s="115" t="str">
        <f>VLOOKUP(J80,'[63]ТР нефть'!$J$28:$BP$638,46,0)</f>
        <v>-</v>
      </c>
      <c r="BD80" s="115" t="str">
        <f>VLOOKUP(J80,'[63]ТР нефть'!$J$28:$BP$638,47,0)</f>
        <v>-</v>
      </c>
      <c r="BE80" s="115" t="str">
        <f>VLOOKUP(J80,'[63]ТР нефть'!$J$28:$BP$638,48,0)</f>
        <v>-</v>
      </c>
      <c r="BF80" s="115" t="str">
        <f>VLOOKUP(J80,'[63]ТР нефть'!$J$28:$BP$638,49,0)</f>
        <v>-</v>
      </c>
      <c r="BG80" s="115" t="str">
        <f>VLOOKUP(J80,'[63]ТР нефть'!$J$28:$BP$638,50,0)</f>
        <v>-</v>
      </c>
      <c r="BH80" s="115">
        <f>VLOOKUP(J80,'[63]ТР нефть'!$J$28:$BP$638,51,0)</f>
        <v>1465</v>
      </c>
      <c r="BI80" s="115" t="str">
        <f>VLOOKUP(J80,'[63]ТР нефть'!$J$28:$BP$638,52,0)</f>
        <v>закрыт</v>
      </c>
      <c r="BJ80" s="115" t="str">
        <f>IF(IFERROR(VLOOKUP(J80,'[63]ТР нефть'!$J$28:$BP$638,53,0),"-")=0,"-",IFERROR(VLOOKUP(J80,'[63]ТР нефть'!$J$28:$BP$638,53,0),"-"))</f>
        <v>-</v>
      </c>
      <c r="BK80" s="138" t="str">
        <f>IF(IFERROR(VLOOKUP(J80,'[63]ТР нефть'!$J$28:$BP$638,54,0),"-")=0,"-",IFERROR(VLOOKUP(J80,'[63]ТР нефть'!$J$28:$BP$638,54,0),"-"))</f>
        <v>-</v>
      </c>
      <c r="BL80" s="138" t="str">
        <f>IF(IFERROR(VLOOKUP(J80,'[63]ТР нефть'!$J$28:$BP$638,55,0),"-")=0,"-",IFERROR(VLOOKUP(J80,'[63]ТР нефть'!$J$28:$BP$638,55,0),"-"))</f>
        <v>-</v>
      </c>
      <c r="BM80" s="138" t="str">
        <f>IF(IFERROR(VLOOKUP(J80,'[63]ТР нефть'!$J$28:$BP$638,56,0),"-")=0,"-",IFERROR(VLOOKUP(J80,'[63]ТР нефть'!$J$28:$BP$638,56,0),"-"))</f>
        <v>-</v>
      </c>
      <c r="BN80" s="138" t="str">
        <f>IF(IFERROR(VLOOKUP(J80,'[63]ТР нефть'!$J$28:$BP$638,57,0),"-")=0,"-",IFERROR(VLOOKUP(J80,'[63]ТР нефть'!$J$28:$BP$638,57,0),"-"))</f>
        <v>-</v>
      </c>
      <c r="BO80" s="115" t="str">
        <f>IF(IFERROR(VLOOKUP(J80,'[63]ТР нефть'!$J$28:$BP$638,58,0),"-")=0,"-",IFERROR(VLOOKUP(J80,'[63]ТР нефть'!$J$28:$BP$638,58,0),"-"))</f>
        <v>-</v>
      </c>
      <c r="BP80" s="115" t="str">
        <f>IF(IFERROR(VLOOKUP(J80,'[63]ТР нефть'!$J$28:$BP$638,59,0),"-")=0,"-",IFERROR(VLOOKUP(J80,'[63]ТР нефть'!$J$28:$BP$638,59,0),"-"))</f>
        <v>-</v>
      </c>
      <c r="BQ80" s="138">
        <v>1487</v>
      </c>
      <c r="BR80" s="128">
        <v>1500.45</v>
      </c>
      <c r="BS80" s="115">
        <f t="shared" si="2"/>
        <v>-13.450000000000045</v>
      </c>
      <c r="BT80" s="128">
        <v>73</v>
      </c>
      <c r="BU80" s="128">
        <v>5.5</v>
      </c>
      <c r="BV80" s="127">
        <v>18</v>
      </c>
      <c r="BW80" s="127" t="s">
        <v>234</v>
      </c>
      <c r="BX80" s="127" t="s">
        <v>195</v>
      </c>
      <c r="BY80" s="139">
        <v>24</v>
      </c>
      <c r="BZ80" s="139">
        <v>0</v>
      </c>
      <c r="CA80" s="138">
        <v>20</v>
      </c>
      <c r="CB80" s="138">
        <v>39</v>
      </c>
      <c r="CC80" s="138">
        <v>17</v>
      </c>
      <c r="CD80" s="135">
        <v>45017</v>
      </c>
      <c r="CE80" s="138">
        <v>86</v>
      </c>
      <c r="CF80" s="138">
        <v>75</v>
      </c>
      <c r="CG80" s="138" t="str">
        <f t="shared" si="52"/>
        <v>В работе</v>
      </c>
      <c r="CH80" s="138" t="s">
        <v>196</v>
      </c>
      <c r="CI80" s="138">
        <v>6</v>
      </c>
      <c r="CJ80" s="139"/>
      <c r="CK80" s="138"/>
      <c r="CL80" s="99"/>
      <c r="CM80" s="99"/>
      <c r="CN80" s="140">
        <v>39</v>
      </c>
      <c r="CO80" s="141">
        <f t="shared" si="4"/>
        <v>9.261458799999998</v>
      </c>
      <c r="CP80" s="142">
        <v>13.9</v>
      </c>
      <c r="CQ80" s="143">
        <v>20.3</v>
      </c>
      <c r="CR80" s="1018">
        <v>31.9</v>
      </c>
      <c r="CS80" s="139">
        <v>10.8</v>
      </c>
      <c r="CT80" s="138"/>
      <c r="CU80" s="138">
        <f t="shared" si="5"/>
        <v>21.099999999999998</v>
      </c>
      <c r="CV80" s="115">
        <f t="shared" si="6"/>
        <v>2278.2587987110628</v>
      </c>
      <c r="CW80" s="115">
        <f t="shared" si="7"/>
        <v>862.00102651551879</v>
      </c>
      <c r="CX80" s="133">
        <f t="shared" si="8"/>
        <v>0.29574468085106381</v>
      </c>
      <c r="CY80" s="116"/>
      <c r="CZ80" s="144"/>
      <c r="DA80" s="145" t="str">
        <f t="shared" si="9"/>
        <v>Газлифт</v>
      </c>
      <c r="DB80" s="146">
        <f t="shared" si="10"/>
        <v>9.261458799999998</v>
      </c>
      <c r="DC80" s="142">
        <f t="shared" si="11"/>
        <v>13.9</v>
      </c>
      <c r="DD80" s="119">
        <f t="shared" si="12"/>
        <v>20.3</v>
      </c>
      <c r="DE80" s="115">
        <f t="shared" si="13"/>
        <v>21.099999999999998</v>
      </c>
      <c r="DF80" s="121">
        <f t="shared" si="14"/>
        <v>10.8</v>
      </c>
      <c r="DG80" s="115">
        <f t="shared" si="15"/>
        <v>2278.2587987110628</v>
      </c>
      <c r="DH80" s="115">
        <f t="shared" si="16"/>
        <v>39</v>
      </c>
      <c r="DI80" s="147"/>
      <c r="DJ80" s="111">
        <v>43249</v>
      </c>
      <c r="DK80" s="112">
        <v>41730</v>
      </c>
      <c r="DL80" s="113">
        <f t="shared" ca="1" si="42"/>
        <v>3374</v>
      </c>
      <c r="DM80" s="114"/>
      <c r="DN80" s="114"/>
      <c r="DO80" s="114"/>
      <c r="DP80" s="114"/>
      <c r="DQ80" s="112">
        <v>43311</v>
      </c>
      <c r="DR80" s="114" t="s">
        <v>198</v>
      </c>
      <c r="DS80" s="114"/>
      <c r="DT80" s="115">
        <v>56</v>
      </c>
      <c r="DU80" s="116">
        <f t="shared" si="43"/>
        <v>0.46333333333333332</v>
      </c>
      <c r="DV80" s="117">
        <f t="shared" si="44"/>
        <v>9.261458799999998</v>
      </c>
      <c r="DW80" s="118">
        <f t="shared" si="45"/>
        <v>13.9</v>
      </c>
      <c r="DX80" s="119">
        <f t="shared" si="21"/>
        <v>20.3</v>
      </c>
      <c r="DY80" s="115">
        <f t="shared" si="46"/>
        <v>21.099999999999998</v>
      </c>
      <c r="DZ80" s="117">
        <f t="shared" si="47"/>
        <v>0</v>
      </c>
      <c r="EA80" s="120">
        <f t="shared" si="47"/>
        <v>0</v>
      </c>
      <c r="EB80" s="119">
        <f t="shared" si="47"/>
        <v>0</v>
      </c>
      <c r="EC80" s="121">
        <f t="shared" si="48"/>
        <v>0</v>
      </c>
      <c r="ED80" s="122"/>
      <c r="EE80" s="145">
        <v>18</v>
      </c>
      <c r="EF80" s="115">
        <v>18</v>
      </c>
      <c r="EG80" s="115">
        <v>38</v>
      </c>
      <c r="EH80" s="115">
        <v>17</v>
      </c>
      <c r="EI80" s="128" t="s">
        <v>195</v>
      </c>
      <c r="EJ80" s="121">
        <v>24</v>
      </c>
      <c r="EK80" s="121">
        <v>0</v>
      </c>
      <c r="EL80" s="149">
        <v>4.3940159999999997</v>
      </c>
      <c r="EM80" s="142">
        <v>7.2</v>
      </c>
      <c r="EN80" s="119">
        <v>27</v>
      </c>
      <c r="EO80" s="115">
        <v>12</v>
      </c>
      <c r="EP80" s="115">
        <v>568.95559779481914</v>
      </c>
      <c r="EQ80" s="115">
        <v>80</v>
      </c>
      <c r="ER80" s="115">
        <v>9.5</v>
      </c>
      <c r="ES80" s="115">
        <v>48</v>
      </c>
      <c r="ET80" s="150">
        <v>0.18947368421052632</v>
      </c>
      <c r="EU80" s="145">
        <f t="shared" si="25"/>
        <v>18</v>
      </c>
      <c r="EV80" s="115">
        <f t="shared" si="26"/>
        <v>20</v>
      </c>
      <c r="EW80" s="115">
        <f t="shared" si="26"/>
        <v>39</v>
      </c>
      <c r="EX80" s="115">
        <f t="shared" si="26"/>
        <v>17</v>
      </c>
      <c r="EY80" s="115" t="str">
        <f t="shared" si="53"/>
        <v>Постоянный</v>
      </c>
      <c r="EZ80" s="115">
        <f t="shared" si="53"/>
        <v>24</v>
      </c>
      <c r="FA80" s="115">
        <f t="shared" si="53"/>
        <v>0</v>
      </c>
      <c r="FB80" s="149">
        <f t="shared" si="28"/>
        <v>9.261458799999998</v>
      </c>
      <c r="FC80" s="142">
        <f t="shared" si="28"/>
        <v>13.9</v>
      </c>
      <c r="FD80" s="119">
        <f t="shared" si="28"/>
        <v>20.3</v>
      </c>
      <c r="FE80" s="121">
        <f t="shared" si="28"/>
        <v>31.9</v>
      </c>
      <c r="FF80" s="121">
        <f t="shared" si="49"/>
        <v>2278.2587987110628</v>
      </c>
      <c r="FG80" s="121">
        <f t="shared" si="30"/>
        <v>75</v>
      </c>
      <c r="FH80" s="121">
        <f t="shared" si="50"/>
        <v>10.8</v>
      </c>
      <c r="FI80" s="121">
        <f t="shared" si="54"/>
        <v>39</v>
      </c>
      <c r="FJ80" s="144">
        <f t="shared" si="33"/>
        <v>0.29574468085106381</v>
      </c>
      <c r="FK80" s="132">
        <f t="shared" si="34"/>
        <v>0</v>
      </c>
      <c r="FL80" s="115">
        <f t="shared" si="34"/>
        <v>2</v>
      </c>
      <c r="FM80" s="115">
        <f t="shared" si="34"/>
        <v>1</v>
      </c>
      <c r="FN80" s="115">
        <f t="shared" si="34"/>
        <v>0</v>
      </c>
      <c r="FO80" s="115">
        <f t="shared" si="57"/>
        <v>0</v>
      </c>
      <c r="FP80" s="115">
        <f t="shared" si="56"/>
        <v>0</v>
      </c>
      <c r="FQ80" s="149">
        <f t="shared" si="56"/>
        <v>4.8674427999999983</v>
      </c>
      <c r="FR80" s="142">
        <f t="shared" si="56"/>
        <v>6.7</v>
      </c>
      <c r="FS80" s="119">
        <f t="shared" si="56"/>
        <v>-6.6999999999999993</v>
      </c>
      <c r="FT80" s="121">
        <f t="shared" si="56"/>
        <v>19.899999999999999</v>
      </c>
      <c r="FU80" s="121">
        <f t="shared" si="36"/>
        <v>-5</v>
      </c>
      <c r="FV80" s="121">
        <f t="shared" si="36"/>
        <v>1.3000000000000007</v>
      </c>
      <c r="FW80" s="121">
        <f t="shared" si="37"/>
        <v>1709.3032009162437</v>
      </c>
      <c r="FX80" s="121">
        <f t="shared" si="38"/>
        <v>-9</v>
      </c>
      <c r="FY80" s="144">
        <f t="shared" si="38"/>
        <v>0.10627099664053749</v>
      </c>
      <c r="FZ80" s="145" t="s">
        <v>25</v>
      </c>
      <c r="GA80" s="151" t="s">
        <v>521</v>
      </c>
      <c r="GB80" s="145"/>
      <c r="GC80" s="151" t="s">
        <v>506</v>
      </c>
      <c r="GD80" s="997" t="s">
        <v>238</v>
      </c>
      <c r="GE80" s="1004"/>
      <c r="GF80" s="1004">
        <v>0</v>
      </c>
      <c r="GG80" s="1004"/>
      <c r="GH80" s="1004">
        <v>0</v>
      </c>
      <c r="GI80" s="145" t="s">
        <v>223</v>
      </c>
      <c r="GJ80" s="996">
        <v>-3.4225839999999996</v>
      </c>
      <c r="GK80" s="145" t="s">
        <v>223</v>
      </c>
      <c r="GL80" s="996">
        <v>2.9803399999999991</v>
      </c>
      <c r="GM80" s="1005" t="s">
        <v>240</v>
      </c>
      <c r="GN80" s="996">
        <v>-3.5076846199999983</v>
      </c>
      <c r="GO80" s="1006" t="s">
        <v>221</v>
      </c>
      <c r="GP80" s="996">
        <v>1.7619577799999986</v>
      </c>
      <c r="GQ80" s="1006"/>
      <c r="GR80" s="996">
        <v>-4.1382000000000003</v>
      </c>
      <c r="GS80" s="1006"/>
      <c r="GT80" s="996">
        <v>0</v>
      </c>
      <c r="GU80" s="1006"/>
      <c r="GV80" s="996">
        <v>0.17640018000000035</v>
      </c>
      <c r="GW80" s="1006"/>
      <c r="GX80" s="997">
        <v>0</v>
      </c>
      <c r="GY80" s="1006"/>
      <c r="GZ80" s="996">
        <v>0.14368791799999991</v>
      </c>
      <c r="HA80" s="1006"/>
      <c r="HB80" s="996">
        <v>0</v>
      </c>
      <c r="HC80" s="1006"/>
      <c r="HD80" s="996">
        <v>-0.3827880979999998</v>
      </c>
      <c r="HE80" s="1006"/>
      <c r="HF80" s="996">
        <v>0</v>
      </c>
      <c r="HG80" s="1006"/>
      <c r="HH80" s="996">
        <v>-0.81510000000000016</v>
      </c>
      <c r="HI80" s="1006"/>
      <c r="HJ80" s="996">
        <v>0</v>
      </c>
      <c r="HK80" s="1006"/>
      <c r="HL80" s="996">
        <v>0</v>
      </c>
      <c r="HM80" s="1006"/>
      <c r="HN80" s="996">
        <v>0</v>
      </c>
      <c r="HO80" s="1006"/>
      <c r="HP80" s="996">
        <v>0</v>
      </c>
      <c r="HQ80" s="1006"/>
      <c r="HR80" s="996">
        <v>-0.50159999999999982</v>
      </c>
      <c r="HS80" s="1006"/>
      <c r="HT80" s="996">
        <v>0.8360000000000003</v>
      </c>
      <c r="HU80" s="1006" t="s">
        <v>204</v>
      </c>
      <c r="HV80" s="996">
        <v>-3.0388599999999997</v>
      </c>
      <c r="HW80" s="1006" t="s">
        <v>204</v>
      </c>
      <c r="HX80" s="996">
        <v>-1.9766384000000006</v>
      </c>
      <c r="HY80" s="1006"/>
      <c r="HZ80" s="996">
        <v>-0.33490160000000024</v>
      </c>
      <c r="IA80" s="1006"/>
      <c r="IB80" s="996">
        <v>0</v>
      </c>
      <c r="IC80" s="1006"/>
      <c r="ID80" s="996">
        <v>-0.32630835600000019</v>
      </c>
      <c r="IE80" s="1006"/>
      <c r="IF80" s="996">
        <v>0</v>
      </c>
      <c r="IG80" s="1006" t="s">
        <v>25</v>
      </c>
      <c r="IH80" s="996">
        <v>1.9983083560000008</v>
      </c>
      <c r="II80" s="1006"/>
      <c r="IJ80" s="996">
        <v>0</v>
      </c>
      <c r="IK80" s="1006"/>
      <c r="IL80" s="996">
        <v>0</v>
      </c>
      <c r="IM80" s="1006"/>
      <c r="IN80" s="996">
        <v>0</v>
      </c>
      <c r="IO80" s="1006"/>
      <c r="IP80" s="996">
        <v>0</v>
      </c>
      <c r="IQ80" s="1006"/>
      <c r="IR80" s="996">
        <v>0</v>
      </c>
      <c r="IS80" s="1006" t="s">
        <v>199</v>
      </c>
      <c r="IT80" s="996">
        <v>-2.3408000000000015</v>
      </c>
      <c r="IU80" s="1006"/>
      <c r="IV80" s="996">
        <v>0</v>
      </c>
      <c r="IW80" s="1006"/>
      <c r="IX80" s="996">
        <v>0</v>
      </c>
      <c r="IY80" s="1006" t="s">
        <v>199</v>
      </c>
      <c r="IZ80" s="996">
        <v>3.1993720000000003</v>
      </c>
      <c r="JA80" s="1006"/>
      <c r="JB80" s="996">
        <v>0</v>
      </c>
      <c r="JC80" s="1006"/>
      <c r="JD80" s="996">
        <v>0</v>
      </c>
      <c r="JE80" s="1006"/>
      <c r="JF80" s="996">
        <v>0</v>
      </c>
      <c r="JG80" s="1006" t="s">
        <v>199</v>
      </c>
      <c r="JH80" s="996">
        <v>-8.6683167999999995</v>
      </c>
      <c r="JI80" s="1006"/>
      <c r="JJ80" s="996">
        <v>0</v>
      </c>
      <c r="JK80" s="1007"/>
      <c r="JL80" s="1007">
        <v>0</v>
      </c>
      <c r="JM80" s="1007"/>
      <c r="JN80" s="1007">
        <v>0</v>
      </c>
      <c r="JO80" s="1008"/>
      <c r="JP80" s="1007">
        <v>0</v>
      </c>
      <c r="JQ80" s="1008">
        <v>0</v>
      </c>
      <c r="JR80" s="1007">
        <v>0</v>
      </c>
      <c r="JS80" s="1008">
        <v>0</v>
      </c>
      <c r="JT80" s="1007">
        <v>0</v>
      </c>
      <c r="JU80" s="1008"/>
      <c r="JV80" s="1007">
        <v>0</v>
      </c>
      <c r="JW80" s="1008" t="s">
        <v>197</v>
      </c>
      <c r="JX80" s="1007">
        <v>0</v>
      </c>
      <c r="JY80" s="1008" t="s">
        <v>240</v>
      </c>
      <c r="JZ80" s="1007">
        <v>1.1668887999999988</v>
      </c>
      <c r="KA80" s="1008" t="s">
        <v>240</v>
      </c>
      <c r="KB80" s="1007">
        <v>-9.1684119999999965</v>
      </c>
      <c r="KC80" s="1008" t="s">
        <v>204</v>
      </c>
      <c r="KD80" s="1007">
        <v>1.2606880000000018</v>
      </c>
      <c r="KE80" s="1008" t="s">
        <v>204</v>
      </c>
      <c r="KF80" s="1007">
        <v>-16.590420000000002</v>
      </c>
      <c r="KG80" s="1008"/>
      <c r="KH80" s="1007">
        <v>0</v>
      </c>
      <c r="KI80" s="1008"/>
      <c r="KJ80" s="1007">
        <v>0</v>
      </c>
      <c r="KK80" s="1008" t="s">
        <v>203</v>
      </c>
      <c r="KL80" s="1007">
        <v>9.6709215680000007</v>
      </c>
      <c r="KM80" s="1008"/>
      <c r="KN80" s="1007">
        <v>0</v>
      </c>
      <c r="KO80" s="1008" t="s">
        <v>522</v>
      </c>
      <c r="KP80" s="1007">
        <v>29.830078431999997</v>
      </c>
      <c r="KQ80" s="1008">
        <v>0</v>
      </c>
      <c r="KR80" s="1007">
        <v>-30.931999999999999</v>
      </c>
      <c r="KS80" s="1008">
        <v>0</v>
      </c>
      <c r="KT80" s="1007">
        <v>0</v>
      </c>
      <c r="KU80" s="1008" t="s">
        <v>260</v>
      </c>
      <c r="KV80" s="1007">
        <v>30.931999999999999</v>
      </c>
      <c r="KW80" s="1008">
        <v>0</v>
      </c>
      <c r="KX80" s="1007">
        <v>3.3439999999999999</v>
      </c>
      <c r="KY80" s="1008">
        <v>0</v>
      </c>
      <c r="KZ80" s="1007">
        <v>0</v>
      </c>
      <c r="LA80" s="1008">
        <v>0</v>
      </c>
      <c r="LB80" s="1007">
        <v>0</v>
      </c>
      <c r="LC80" s="1008">
        <v>0</v>
      </c>
      <c r="LD80" s="1007">
        <v>0</v>
      </c>
      <c r="LE80" s="1008">
        <v>0</v>
      </c>
      <c r="LF80" s="1007">
        <v>0</v>
      </c>
      <c r="LG80" s="1008">
        <v>0</v>
      </c>
      <c r="LH80" s="1007">
        <v>-3.3236159999999999</v>
      </c>
      <c r="LI80" s="1008">
        <v>0</v>
      </c>
      <c r="LJ80" s="1007">
        <v>0</v>
      </c>
      <c r="LK80" s="1008" t="s">
        <v>204</v>
      </c>
      <c r="LL80" s="1007">
        <v>-0.58163279999999995</v>
      </c>
      <c r="LM80" s="1008" t="s">
        <v>206</v>
      </c>
      <c r="LN80" s="1007">
        <v>-1.9467699999999999</v>
      </c>
      <c r="LO80" s="1008">
        <v>0</v>
      </c>
      <c r="LP80" s="1007">
        <v>0</v>
      </c>
      <c r="LQ80" s="1008">
        <v>0</v>
      </c>
      <c r="LR80" s="1007">
        <v>-0.62311260000000002</v>
      </c>
      <c r="LS80" s="1008" t="s">
        <v>206</v>
      </c>
      <c r="LT80" s="1007">
        <v>-1.6542868320000004</v>
      </c>
      <c r="LU80" s="1008">
        <v>0</v>
      </c>
      <c r="LV80" s="1007">
        <v>0.65399432000000002</v>
      </c>
      <c r="LW80" s="1008" t="s">
        <v>223</v>
      </c>
      <c r="LX80" s="1007">
        <v>-2.1415999999999999</v>
      </c>
      <c r="LY80" s="1009" t="s">
        <v>206</v>
      </c>
      <c r="LZ80" s="1010">
        <v>-7.5583999999999998</v>
      </c>
      <c r="MA80" s="1011" t="s">
        <v>206</v>
      </c>
      <c r="MB80" s="1012">
        <v>7.5878787599999988</v>
      </c>
      <c r="MC80" s="995"/>
      <c r="MD80" s="996"/>
      <c r="ME80" s="997" t="s">
        <v>238</v>
      </c>
      <c r="MF80" s="997"/>
      <c r="MG80" s="998"/>
      <c r="NR80" s="1000"/>
      <c r="NS80" s="1000"/>
      <c r="NT80" s="1001"/>
      <c r="NU80" s="1000"/>
      <c r="NV80" s="1001"/>
      <c r="NX80" s="1002"/>
      <c r="NZ80" s="1001"/>
      <c r="OA80" s="1001"/>
      <c r="OC80" s="1003"/>
      <c r="OD80" s="1003"/>
      <c r="OE80" s="1001"/>
      <c r="OF80" s="1003"/>
      <c r="OG80" s="1003"/>
      <c r="QX80" s="1000">
        <f t="shared" si="51"/>
        <v>19</v>
      </c>
      <c r="ASU80" s="999" t="s">
        <v>225</v>
      </c>
    </row>
    <row r="81" spans="1:466 1191:1191" ht="21" customHeight="1" x14ac:dyDescent="0.25">
      <c r="A81" s="982">
        <f t="shared" si="0"/>
        <v>175</v>
      </c>
      <c r="B81" s="124">
        <f>SUBTOTAL(103,$J$29:J81)</f>
        <v>53</v>
      </c>
      <c r="C81" s="126">
        <v>45096</v>
      </c>
      <c r="D81" s="124" t="s">
        <v>176</v>
      </c>
      <c r="E81" s="127" t="s">
        <v>177</v>
      </c>
      <c r="F81" s="128" t="s">
        <v>177</v>
      </c>
      <c r="G81" s="127" t="s">
        <v>178</v>
      </c>
      <c r="H81" s="127" t="s">
        <v>226</v>
      </c>
      <c r="I81" s="127" t="s">
        <v>242</v>
      </c>
      <c r="J81" s="152">
        <v>175</v>
      </c>
      <c r="K81" s="127" t="s">
        <v>182</v>
      </c>
      <c r="L81" s="130">
        <v>37545</v>
      </c>
      <c r="M81" s="127" t="s">
        <v>230</v>
      </c>
      <c r="N81" s="127" t="s">
        <v>245</v>
      </c>
      <c r="O81" s="127" t="s">
        <v>185</v>
      </c>
      <c r="P81" s="127" t="s">
        <v>225</v>
      </c>
      <c r="Q81" s="85" t="str">
        <f t="shared" si="40"/>
        <v/>
      </c>
      <c r="R81" s="130"/>
      <c r="S81" s="128" t="s">
        <v>156</v>
      </c>
      <c r="T81" s="131"/>
      <c r="U81" s="132">
        <v>203</v>
      </c>
      <c r="V81" s="121">
        <v>218.2</v>
      </c>
      <c r="W81" s="116">
        <v>0.98</v>
      </c>
      <c r="X81" s="116">
        <v>1.66</v>
      </c>
      <c r="Y81" s="116">
        <f t="shared" si="41"/>
        <v>0.98</v>
      </c>
      <c r="Z81" s="133">
        <v>1.454</v>
      </c>
      <c r="AA81" s="133">
        <v>0.83599999999999997</v>
      </c>
      <c r="AB81" s="133">
        <v>0.72</v>
      </c>
      <c r="AC81" s="121">
        <v>34.299999999999997</v>
      </c>
      <c r="AD81" s="134">
        <v>1.17</v>
      </c>
      <c r="AE81" s="124">
        <v>139.69999999999999</v>
      </c>
      <c r="AF81" s="128">
        <v>7.72</v>
      </c>
      <c r="AG81" s="128">
        <v>1808</v>
      </c>
      <c r="AH81" s="127">
        <v>2350</v>
      </c>
      <c r="AI81" s="127">
        <v>2350</v>
      </c>
      <c r="AJ81" s="135"/>
      <c r="AK81" s="128"/>
      <c r="AL81" s="131"/>
      <c r="AM81" s="124" t="s">
        <v>232</v>
      </c>
      <c r="AN81" s="136" t="s">
        <v>523</v>
      </c>
      <c r="AO81" s="137">
        <v>126.40000000000009</v>
      </c>
      <c r="AP81" s="128">
        <v>1806</v>
      </c>
      <c r="AQ81" s="128">
        <v>0.4</v>
      </c>
      <c r="AR81" s="128"/>
      <c r="AS81" s="128"/>
      <c r="AT81" s="122"/>
      <c r="AU81" s="124" t="s">
        <v>189</v>
      </c>
      <c r="AV81" s="115">
        <f>VLOOKUP(J81,'[63]ТР нефть'!$J$28:$BP$638,39,0)</f>
        <v>435.00001552700002</v>
      </c>
      <c r="AW81" s="115" t="str">
        <f>VLOOKUP(J81,'[63]ТР нефть'!$J$28:$BP$638,40,0)</f>
        <v>ГК 60 1/4</v>
      </c>
      <c r="AX81" s="115">
        <f>VLOOKUP(J81,'[63]ТР нефть'!$J$28:$BP$638,41,0)</f>
        <v>815.00000214800002</v>
      </c>
      <c r="AY81" s="115" t="str">
        <f>VLOOKUP(J81,'[63]ТР нефть'!$J$28:$BP$638,42,0)</f>
        <v>ГК 60 1/8</v>
      </c>
      <c r="AZ81" s="115">
        <f>VLOOKUP(J81,'[63]ТР нефть'!$J$28:$BP$638,43,0)</f>
        <v>1139.9999970700001</v>
      </c>
      <c r="BA81" s="115" t="str">
        <f>VLOOKUP(J81,'[63]ТР нефть'!$J$28:$BP$638,44,0)</f>
        <v>ГК 60 1/8</v>
      </c>
      <c r="BB81" s="115">
        <f>VLOOKUP(J81,'[63]ТР нефть'!$J$28:$BP$638,45,0)</f>
        <v>1410.0000375</v>
      </c>
      <c r="BC81" s="115" t="str">
        <f>VLOOKUP(J81,'[63]ТР нефть'!$J$28:$BP$638,46,0)</f>
        <v>ЦКсОК 5/16</v>
      </c>
      <c r="BD81" s="115" t="str">
        <f>VLOOKUP(J81,'[63]ТР нефть'!$J$28:$BP$638,47,0)</f>
        <v>-</v>
      </c>
      <c r="BE81" s="115" t="str">
        <f>VLOOKUP(J81,'[63]ТР нефть'!$J$28:$BP$638,48,0)</f>
        <v>-</v>
      </c>
      <c r="BF81" s="115" t="str">
        <f>VLOOKUP(J81,'[63]ТР нефть'!$J$28:$BP$638,49,0)</f>
        <v>-</v>
      </c>
      <c r="BG81" s="115" t="str">
        <f>VLOOKUP(J81,'[63]ТР нефть'!$J$28:$BP$638,50,0)</f>
        <v>-</v>
      </c>
      <c r="BH81" s="115">
        <f>VLOOKUP(J81,'[63]ТР нефть'!$J$28:$BP$638,51,0)</f>
        <v>1740</v>
      </c>
      <c r="BI81" s="115" t="str">
        <f>VLOOKUP(J81,'[63]ТР нефть'!$J$28:$BP$638,52,0)</f>
        <v>закрыт</v>
      </c>
      <c r="BJ81" s="115" t="str">
        <f>IF(IFERROR(VLOOKUP(J81,'[63]ТР нефть'!$J$28:$BP$638,53,0),"-")=0,"-",IFERROR(VLOOKUP(J81,'[63]ТР нефть'!$J$28:$BP$638,53,0),"-"))</f>
        <v>-</v>
      </c>
      <c r="BK81" s="138" t="str">
        <f>IF(IFERROR(VLOOKUP(J81,'[63]ТР нефть'!$J$28:$BP$638,54,0),"-")=0,"-",IFERROR(VLOOKUP(J81,'[63]ТР нефть'!$J$28:$BP$638,54,0),"-"))</f>
        <v>-</v>
      </c>
      <c r="BL81" s="138" t="str">
        <f>IF(IFERROR(VLOOKUP(J81,'[63]ТР нефть'!$J$28:$BP$638,55,0),"-")=0,"-",IFERROR(VLOOKUP(J81,'[63]ТР нефть'!$J$28:$BP$638,55,0),"-"))</f>
        <v>-</v>
      </c>
      <c r="BM81" s="138" t="str">
        <f>IF(IFERROR(VLOOKUP(J81,'[63]ТР нефть'!$J$28:$BP$638,56,0),"-")=0,"-",IFERROR(VLOOKUP(J81,'[63]ТР нефть'!$J$28:$BP$638,56,0),"-"))</f>
        <v>-</v>
      </c>
      <c r="BN81" s="138" t="str">
        <f>IF(IFERROR(VLOOKUP(J81,'[63]ТР нефть'!$J$28:$BP$638,57,0),"-")=0,"-",IFERROR(VLOOKUP(J81,'[63]ТР нефть'!$J$28:$BP$638,57,0),"-"))</f>
        <v>-</v>
      </c>
      <c r="BO81" s="115" t="str">
        <f>IF(IFERROR(VLOOKUP(J81,'[63]ТР нефть'!$J$28:$BP$638,58,0),"-")=0,"-",IFERROR(VLOOKUP(J81,'[63]ТР нефть'!$J$28:$BP$638,58,0),"-"))</f>
        <v>-</v>
      </c>
      <c r="BP81" s="115" t="str">
        <f>IF(IFERROR(VLOOKUP(J81,'[63]ТР нефть'!$J$28:$BP$638,59,0),"-")=0,"-",IFERROR(VLOOKUP(J81,'[63]ТР нефть'!$J$28:$BP$638,59,0),"-"))</f>
        <v>-</v>
      </c>
      <c r="BQ81" s="138">
        <v>1900</v>
      </c>
      <c r="BR81" s="128">
        <v>1891.2</v>
      </c>
      <c r="BS81" s="115">
        <f t="shared" si="2"/>
        <v>8.7999999999999545</v>
      </c>
      <c r="BT81" s="128">
        <v>73</v>
      </c>
      <c r="BU81" s="128">
        <v>5.5</v>
      </c>
      <c r="BV81" s="127">
        <v>65</v>
      </c>
      <c r="BW81" s="127" t="s">
        <v>217</v>
      </c>
      <c r="BX81" s="127" t="s">
        <v>218</v>
      </c>
      <c r="BY81" s="139">
        <v>24</v>
      </c>
      <c r="BZ81" s="139">
        <v>72</v>
      </c>
      <c r="CA81" s="138">
        <v>20</v>
      </c>
      <c r="CB81" s="138">
        <v>42</v>
      </c>
      <c r="CC81" s="138">
        <v>19</v>
      </c>
      <c r="CD81" s="135">
        <v>45017</v>
      </c>
      <c r="CE81" s="138">
        <v>96</v>
      </c>
      <c r="CF81" s="138">
        <v>79</v>
      </c>
      <c r="CG81" s="138" t="str">
        <f t="shared" si="52"/>
        <v/>
      </c>
      <c r="CH81" s="138" t="s">
        <v>197</v>
      </c>
      <c r="CI81" s="138">
        <v>6</v>
      </c>
      <c r="CJ81" s="139"/>
      <c r="CK81" s="138"/>
      <c r="CL81" s="99"/>
      <c r="CM81" s="99"/>
      <c r="CN81" s="140">
        <v>38</v>
      </c>
      <c r="CO81" s="141">
        <f t="shared" si="4"/>
        <v>0.29259999999999997</v>
      </c>
      <c r="CP81" s="142">
        <f>1.4/4</f>
        <v>0.35</v>
      </c>
      <c r="CQ81" s="143">
        <v>0</v>
      </c>
      <c r="CR81" s="138">
        <f>5.9/4</f>
        <v>1.4750000000000001</v>
      </c>
      <c r="CS81" s="139">
        <f>3/4</f>
        <v>0.75</v>
      </c>
      <c r="CT81" s="138"/>
      <c r="CU81" s="138">
        <f t="shared" si="5"/>
        <v>0.72500000000000009</v>
      </c>
      <c r="CV81" s="115">
        <f t="shared" si="6"/>
        <v>2477.7853725222153</v>
      </c>
      <c r="CW81" s="115">
        <f t="shared" si="7"/>
        <v>2563.226247436774</v>
      </c>
      <c r="CX81" s="133">
        <f t="shared" si="8"/>
        <v>6.0344827586206896E-3</v>
      </c>
      <c r="CY81" s="116"/>
      <c r="CZ81" s="131"/>
      <c r="DA81" s="145" t="str">
        <f t="shared" si="9"/>
        <v>Газлифт</v>
      </c>
      <c r="DB81" s="146">
        <f t="shared" si="10"/>
        <v>1.6719999999999999</v>
      </c>
      <c r="DC81" s="142">
        <f t="shared" si="11"/>
        <v>2</v>
      </c>
      <c r="DD81" s="119">
        <f t="shared" si="12"/>
        <v>0</v>
      </c>
      <c r="DE81" s="115">
        <f t="shared" si="13"/>
        <v>0.72500000000000009</v>
      </c>
      <c r="DF81" s="121">
        <f t="shared" si="14"/>
        <v>0.75</v>
      </c>
      <c r="DG81" s="115">
        <f t="shared" si="15"/>
        <v>2477.7853725222153</v>
      </c>
      <c r="DH81" s="115">
        <f t="shared" si="16"/>
        <v>38</v>
      </c>
      <c r="DI81" s="147"/>
      <c r="DJ81" s="111">
        <v>43019</v>
      </c>
      <c r="DK81" s="112">
        <v>37545</v>
      </c>
      <c r="DL81" s="113">
        <f t="shared" ca="1" si="42"/>
        <v>7559</v>
      </c>
      <c r="DM81" s="114"/>
      <c r="DN81" s="114"/>
      <c r="DO81" s="114"/>
      <c r="DP81" s="114"/>
      <c r="DQ81" s="112">
        <v>42242</v>
      </c>
      <c r="DR81" s="114" t="s">
        <v>198</v>
      </c>
      <c r="DS81" s="114" t="s">
        <v>524</v>
      </c>
      <c r="DT81" s="115">
        <v>46</v>
      </c>
      <c r="DU81" s="116">
        <f t="shared" si="43"/>
        <v>6.9999999999999993E-3</v>
      </c>
      <c r="DV81" s="117">
        <f t="shared" si="44"/>
        <v>0.29259999999999997</v>
      </c>
      <c r="DW81" s="118">
        <f t="shared" si="45"/>
        <v>0.35</v>
      </c>
      <c r="DX81" s="119">
        <f t="shared" si="21"/>
        <v>0</v>
      </c>
      <c r="DY81" s="115">
        <f t="shared" si="46"/>
        <v>0.72500000000000009</v>
      </c>
      <c r="DZ81" s="117">
        <f t="shared" si="47"/>
        <v>0</v>
      </c>
      <c r="EA81" s="120">
        <f t="shared" si="47"/>
        <v>0</v>
      </c>
      <c r="EB81" s="119">
        <f t="shared" si="47"/>
        <v>0</v>
      </c>
      <c r="EC81" s="121">
        <f t="shared" si="48"/>
        <v>0</v>
      </c>
      <c r="ED81" s="122"/>
      <c r="EE81" s="145">
        <v>65</v>
      </c>
      <c r="EF81" s="115">
        <v>20</v>
      </c>
      <c r="EG81" s="115">
        <v>42</v>
      </c>
      <c r="EH81" s="115">
        <v>19</v>
      </c>
      <c r="EI81" s="128" t="s">
        <v>218</v>
      </c>
      <c r="EJ81" s="121">
        <v>24</v>
      </c>
      <c r="EK81" s="121">
        <v>72</v>
      </c>
      <c r="EL81" s="149">
        <v>1.6719999999999999</v>
      </c>
      <c r="EM81" s="142">
        <v>2</v>
      </c>
      <c r="EN81" s="119">
        <v>0</v>
      </c>
      <c r="EO81" s="115">
        <v>3</v>
      </c>
      <c r="EP81" s="115">
        <v>1315.7894736842106</v>
      </c>
      <c r="EQ81" s="115">
        <v>79</v>
      </c>
      <c r="ER81" s="115">
        <v>0.8</v>
      </c>
      <c r="ES81" s="115">
        <v>44</v>
      </c>
      <c r="ET81" s="150">
        <v>3.8461538461538464E-2</v>
      </c>
      <c r="EU81" s="145">
        <f t="shared" si="25"/>
        <v>65</v>
      </c>
      <c r="EV81" s="115">
        <f t="shared" si="26"/>
        <v>20</v>
      </c>
      <c r="EW81" s="115">
        <f t="shared" si="26"/>
        <v>42</v>
      </c>
      <c r="EX81" s="115">
        <f t="shared" si="26"/>
        <v>19</v>
      </c>
      <c r="EY81" s="115" t="str">
        <f t="shared" si="53"/>
        <v>Периодический</v>
      </c>
      <c r="EZ81" s="115">
        <f t="shared" si="53"/>
        <v>24</v>
      </c>
      <c r="FA81" s="115">
        <f t="shared" si="53"/>
        <v>72</v>
      </c>
      <c r="FB81" s="149">
        <f t="shared" si="28"/>
        <v>0.29259999999999997</v>
      </c>
      <c r="FC81" s="142">
        <f t="shared" si="28"/>
        <v>0.35</v>
      </c>
      <c r="FD81" s="119">
        <f t="shared" si="28"/>
        <v>0</v>
      </c>
      <c r="FE81" s="121">
        <f t="shared" si="28"/>
        <v>1.4750000000000001</v>
      </c>
      <c r="FF81" s="121">
        <f t="shared" si="49"/>
        <v>2477.7853725222153</v>
      </c>
      <c r="FG81" s="121">
        <f t="shared" si="30"/>
        <v>79</v>
      </c>
      <c r="FH81" s="121">
        <f t="shared" si="50"/>
        <v>0.75</v>
      </c>
      <c r="FI81" s="121">
        <f t="shared" si="54"/>
        <v>38</v>
      </c>
      <c r="FJ81" s="144">
        <f t="shared" si="33"/>
        <v>6.0344827586206896E-3</v>
      </c>
      <c r="FK81" s="132">
        <f t="shared" si="34"/>
        <v>0</v>
      </c>
      <c r="FL81" s="115">
        <f t="shared" si="34"/>
        <v>0</v>
      </c>
      <c r="FM81" s="115">
        <f t="shared" si="34"/>
        <v>0</v>
      </c>
      <c r="FN81" s="115">
        <f t="shared" si="34"/>
        <v>0</v>
      </c>
      <c r="FO81" s="115">
        <f t="shared" si="57"/>
        <v>0</v>
      </c>
      <c r="FP81" s="115">
        <f t="shared" si="56"/>
        <v>0</v>
      </c>
      <c r="FQ81" s="149">
        <f t="shared" si="56"/>
        <v>-1.3794</v>
      </c>
      <c r="FR81" s="142">
        <f t="shared" si="56"/>
        <v>-1.65</v>
      </c>
      <c r="FS81" s="119">
        <f t="shared" si="56"/>
        <v>0</v>
      </c>
      <c r="FT81" s="121">
        <f t="shared" si="56"/>
        <v>-1.5249999999999999</v>
      </c>
      <c r="FU81" s="121">
        <f t="shared" si="36"/>
        <v>0</v>
      </c>
      <c r="FV81" s="121">
        <f t="shared" si="36"/>
        <v>-5.0000000000000044E-2</v>
      </c>
      <c r="FW81" s="121">
        <f t="shared" si="37"/>
        <v>1161.9958988380047</v>
      </c>
      <c r="FX81" s="121">
        <f t="shared" si="38"/>
        <v>-6</v>
      </c>
      <c r="FY81" s="144">
        <f t="shared" si="38"/>
        <v>-3.2427055702917776E-2</v>
      </c>
      <c r="FZ81" s="145" t="s">
        <v>199</v>
      </c>
      <c r="GA81" s="151" t="s">
        <v>525</v>
      </c>
      <c r="GB81" s="145"/>
      <c r="GC81" s="151" t="s">
        <v>237</v>
      </c>
      <c r="GD81" s="997" t="s">
        <v>238</v>
      </c>
      <c r="GE81" s="1004"/>
      <c r="GF81" s="1004">
        <v>0</v>
      </c>
      <c r="GG81" s="1004"/>
      <c r="GH81" s="1004">
        <v>0</v>
      </c>
      <c r="GI81" s="145"/>
      <c r="GJ81" s="996">
        <v>0</v>
      </c>
      <c r="GK81" s="145"/>
      <c r="GL81" s="996">
        <v>0</v>
      </c>
      <c r="GM81" s="1005"/>
      <c r="GN81" s="996">
        <v>0</v>
      </c>
      <c r="GO81" s="1006"/>
      <c r="GP81" s="996">
        <v>0</v>
      </c>
      <c r="GQ81" s="1006"/>
      <c r="GR81" s="996">
        <v>0</v>
      </c>
      <c r="GS81" s="1006"/>
      <c r="GT81" s="996">
        <v>0</v>
      </c>
      <c r="GU81" s="1006"/>
      <c r="GV81" s="996">
        <v>-0.25079999999999991</v>
      </c>
      <c r="GW81" s="1006"/>
      <c r="GX81" s="997">
        <v>0</v>
      </c>
      <c r="GY81" s="1006"/>
      <c r="GZ81" s="996">
        <v>0.58687200000000006</v>
      </c>
      <c r="HA81" s="1006" t="s">
        <v>204</v>
      </c>
      <c r="HB81" s="996">
        <v>-1.5608120000000001</v>
      </c>
      <c r="HC81" s="1006"/>
      <c r="HD81" s="996">
        <v>0</v>
      </c>
      <c r="HE81" s="1006"/>
      <c r="HF81" s="996">
        <v>0</v>
      </c>
      <c r="HG81" s="1006" t="s">
        <v>199</v>
      </c>
      <c r="HH81" s="996">
        <v>1.5820129599999999</v>
      </c>
      <c r="HI81" s="1006"/>
      <c r="HJ81" s="996">
        <v>0</v>
      </c>
      <c r="HK81" s="1006"/>
      <c r="HL81" s="996">
        <v>0</v>
      </c>
      <c r="HM81" s="1006"/>
      <c r="HN81" s="996">
        <v>0</v>
      </c>
      <c r="HO81" s="1006"/>
      <c r="HP81" s="996">
        <v>0.53724704000000001</v>
      </c>
      <c r="HQ81" s="1006"/>
      <c r="HR81" s="996">
        <v>0</v>
      </c>
      <c r="HS81" s="1006"/>
      <c r="HT81" s="996">
        <v>0</v>
      </c>
      <c r="HU81" s="1006"/>
      <c r="HV81" s="996">
        <v>-0.46648800000000001</v>
      </c>
      <c r="HW81" s="1006" t="s">
        <v>204</v>
      </c>
      <c r="HX81" s="996">
        <v>-3.0028284000000003</v>
      </c>
      <c r="HY81" s="1006"/>
      <c r="HZ81" s="996">
        <v>0</v>
      </c>
      <c r="IA81" s="1006"/>
      <c r="IB81" s="996">
        <v>-0.68560360000000031</v>
      </c>
      <c r="IC81" s="1006"/>
      <c r="ID81" s="996">
        <v>0</v>
      </c>
      <c r="IE81" s="1006"/>
      <c r="IF81" s="996">
        <v>0</v>
      </c>
      <c r="IG81" s="1006"/>
      <c r="IH81" s="996">
        <v>0</v>
      </c>
      <c r="II81" s="1006"/>
      <c r="IJ81" s="996">
        <v>0.91960000000000086</v>
      </c>
      <c r="IK81" s="1006"/>
      <c r="IL81" s="996">
        <v>0</v>
      </c>
      <c r="IM81" s="1006"/>
      <c r="IN81" s="996">
        <v>0</v>
      </c>
      <c r="IO81" s="1006"/>
      <c r="IP81" s="996">
        <v>0</v>
      </c>
      <c r="IQ81" s="1006"/>
      <c r="IR81" s="996">
        <v>0</v>
      </c>
      <c r="IS81" s="1006"/>
      <c r="IT81" s="996">
        <v>0</v>
      </c>
      <c r="IU81" s="1006"/>
      <c r="IV81" s="996">
        <v>0</v>
      </c>
      <c r="IW81" s="1006"/>
      <c r="IX81" s="996">
        <v>0</v>
      </c>
      <c r="IY81" s="1006"/>
      <c r="IZ81" s="996">
        <v>0</v>
      </c>
      <c r="JA81" s="1006"/>
      <c r="JB81" s="996">
        <v>0</v>
      </c>
      <c r="JC81" s="1006"/>
      <c r="JD81" s="996">
        <v>0</v>
      </c>
      <c r="JE81" s="1006"/>
      <c r="JF81" s="996">
        <v>0</v>
      </c>
      <c r="JG81" s="1006"/>
      <c r="JH81" s="996">
        <v>0</v>
      </c>
      <c r="JI81" s="1006"/>
      <c r="JJ81" s="996">
        <v>0</v>
      </c>
      <c r="JK81" s="1007"/>
      <c r="JL81" s="1007">
        <v>0</v>
      </c>
      <c r="JM81" s="1007"/>
      <c r="JN81" s="1007">
        <v>1.0031999999999996</v>
      </c>
      <c r="JO81" s="1008"/>
      <c r="JP81" s="1007">
        <v>0</v>
      </c>
      <c r="JQ81" s="1008">
        <v>0</v>
      </c>
      <c r="JR81" s="1007">
        <v>0</v>
      </c>
      <c r="JS81" s="1008">
        <v>0</v>
      </c>
      <c r="JT81" s="1007">
        <v>0</v>
      </c>
      <c r="JU81" s="1008"/>
      <c r="JV81" s="1007">
        <v>0</v>
      </c>
      <c r="JW81" s="1008" t="s">
        <v>197</v>
      </c>
      <c r="JX81" s="1007">
        <v>0</v>
      </c>
      <c r="JY81" s="1008"/>
      <c r="JZ81" s="1007">
        <v>0</v>
      </c>
      <c r="KA81" s="1008"/>
      <c r="KB81" s="1007">
        <v>0</v>
      </c>
      <c r="KC81" s="1008"/>
      <c r="KD81" s="1007">
        <v>0</v>
      </c>
      <c r="KE81" s="1008"/>
      <c r="KF81" s="1007">
        <v>0</v>
      </c>
      <c r="KG81" s="1008" t="s">
        <v>204</v>
      </c>
      <c r="KH81" s="1007">
        <v>-2.8423999999999996</v>
      </c>
      <c r="KI81" s="1008" t="s">
        <v>207</v>
      </c>
      <c r="KJ81" s="1007">
        <v>2.5079999999999996</v>
      </c>
      <c r="KK81" s="1008"/>
      <c r="KL81" s="1007">
        <v>0</v>
      </c>
      <c r="KM81" s="1008"/>
      <c r="KN81" s="1007">
        <v>0</v>
      </c>
      <c r="KO81" s="1008"/>
      <c r="KP81" s="1007">
        <v>0</v>
      </c>
      <c r="KQ81" s="1008">
        <v>0</v>
      </c>
      <c r="KR81" s="1007">
        <v>0</v>
      </c>
      <c r="KS81" s="1008" t="s">
        <v>206</v>
      </c>
      <c r="KT81" s="1007">
        <v>-1.6720000000000002</v>
      </c>
      <c r="KU81" s="1008" t="s">
        <v>260</v>
      </c>
      <c r="KV81" s="1007">
        <v>5.016</v>
      </c>
      <c r="KW81" s="1008">
        <v>0</v>
      </c>
      <c r="KX81" s="1007">
        <v>0</v>
      </c>
      <c r="KY81" s="1008">
        <v>0</v>
      </c>
      <c r="KZ81" s="1007">
        <v>0</v>
      </c>
      <c r="LA81" s="1008">
        <v>0</v>
      </c>
      <c r="LB81" s="1007">
        <v>0</v>
      </c>
      <c r="LC81" s="1008">
        <v>0</v>
      </c>
      <c r="LD81" s="1007">
        <v>0</v>
      </c>
      <c r="LE81" s="1008">
        <v>0</v>
      </c>
      <c r="LF81" s="1007">
        <v>0</v>
      </c>
      <c r="LG81" s="1008">
        <v>0</v>
      </c>
      <c r="LH81" s="1007">
        <v>-3.3429967999999999</v>
      </c>
      <c r="LI81" s="1008">
        <v>0</v>
      </c>
      <c r="LJ81" s="1007">
        <v>0</v>
      </c>
      <c r="LK81" s="1008" t="s">
        <v>204</v>
      </c>
      <c r="LL81" s="1007">
        <v>1.33719872</v>
      </c>
      <c r="LM81" s="1008" t="s">
        <v>206</v>
      </c>
      <c r="LN81" s="1007">
        <v>0.33580399999999999</v>
      </c>
      <c r="LO81" s="1008" t="s">
        <v>206</v>
      </c>
      <c r="LP81" s="1007">
        <v>-1.2524952</v>
      </c>
      <c r="LQ81" s="1008">
        <v>0</v>
      </c>
      <c r="LR81" s="1007">
        <v>0</v>
      </c>
      <c r="LS81" s="1008">
        <v>0</v>
      </c>
      <c r="LT81" s="1007">
        <v>-1.2524951999999994</v>
      </c>
      <c r="LU81" s="1008" t="s">
        <v>223</v>
      </c>
      <c r="LV81" s="1007">
        <v>-1.2573858000000007</v>
      </c>
      <c r="LW81" s="1008">
        <v>0</v>
      </c>
      <c r="LX81" s="1007">
        <v>-0.69367183600000004</v>
      </c>
      <c r="LY81" s="1009">
        <v>0</v>
      </c>
      <c r="LZ81" s="1010">
        <v>0</v>
      </c>
      <c r="MA81" s="1011">
        <v>0</v>
      </c>
      <c r="MB81" s="1012">
        <v>0</v>
      </c>
      <c r="MC81" s="995"/>
      <c r="MD81" s="996"/>
      <c r="ME81" s="997" t="s">
        <v>238</v>
      </c>
      <c r="MF81" s="997"/>
      <c r="MG81" s="998"/>
      <c r="NR81" s="1000"/>
      <c r="NS81" s="1000"/>
      <c r="NT81" s="1001"/>
      <c r="NU81" s="1000"/>
      <c r="NV81" s="1001"/>
      <c r="NX81" s="1002"/>
      <c r="NZ81" s="1001"/>
      <c r="OA81" s="1001"/>
      <c r="OC81" s="1003"/>
      <c r="OD81" s="1003"/>
      <c r="OE81" s="1001"/>
      <c r="OF81" s="1003"/>
      <c r="OG81" s="1003"/>
      <c r="QX81" s="1000">
        <f t="shared" si="51"/>
        <v>18</v>
      </c>
      <c r="ASU81" s="999" t="s">
        <v>225</v>
      </c>
    </row>
    <row r="82" spans="1:466 1191:1191" ht="21" customHeight="1" x14ac:dyDescent="0.25">
      <c r="A82" s="982" t="str">
        <f t="shared" si="0"/>
        <v>629а</v>
      </c>
      <c r="B82" s="124">
        <f>SUBTOTAL(103,$J$29:J82)</f>
        <v>54</v>
      </c>
      <c r="C82" s="126">
        <v>45096</v>
      </c>
      <c r="D82" s="124" t="s">
        <v>176</v>
      </c>
      <c r="E82" s="127" t="s">
        <v>177</v>
      </c>
      <c r="F82" s="128" t="s">
        <v>177</v>
      </c>
      <c r="G82" s="127" t="s">
        <v>178</v>
      </c>
      <c r="H82" s="127" t="s">
        <v>226</v>
      </c>
      <c r="I82" s="127" t="s">
        <v>285</v>
      </c>
      <c r="J82" s="152" t="s">
        <v>526</v>
      </c>
      <c r="K82" s="127" t="s">
        <v>182</v>
      </c>
      <c r="L82" s="130">
        <v>37154</v>
      </c>
      <c r="M82" s="127" t="s">
        <v>183</v>
      </c>
      <c r="N82" s="127" t="s">
        <v>184</v>
      </c>
      <c r="O82" s="127" t="s">
        <v>185</v>
      </c>
      <c r="P82" s="127" t="s">
        <v>208</v>
      </c>
      <c r="Q82" s="85" t="str">
        <f t="shared" si="40"/>
        <v/>
      </c>
      <c r="R82" s="130"/>
      <c r="S82" s="128" t="s">
        <v>156</v>
      </c>
      <c r="T82" s="131"/>
      <c r="U82" s="132">
        <v>203</v>
      </c>
      <c r="V82" s="121">
        <v>218.2</v>
      </c>
      <c r="W82" s="116">
        <v>0.98</v>
      </c>
      <c r="X82" s="116">
        <v>1.66</v>
      </c>
      <c r="Y82" s="116">
        <f t="shared" si="41"/>
        <v>0.98060253890945015</v>
      </c>
      <c r="Z82" s="133">
        <v>1.454</v>
      </c>
      <c r="AA82" s="133">
        <v>0.83599999999999997</v>
      </c>
      <c r="AB82" s="133">
        <v>0.72</v>
      </c>
      <c r="AC82" s="121">
        <v>34.299999999999997</v>
      </c>
      <c r="AD82" s="134">
        <v>1.17</v>
      </c>
      <c r="AE82" s="124">
        <v>139.69999999999999</v>
      </c>
      <c r="AF82" s="128">
        <v>7.72</v>
      </c>
      <c r="AG82" s="128">
        <v>1934</v>
      </c>
      <c r="AH82" s="127">
        <v>1915</v>
      </c>
      <c r="AI82" s="127">
        <v>1915</v>
      </c>
      <c r="AJ82" s="135"/>
      <c r="AK82" s="128"/>
      <c r="AL82" s="131"/>
      <c r="AM82" s="124" t="s">
        <v>187</v>
      </c>
      <c r="AN82" s="136" t="s">
        <v>527</v>
      </c>
      <c r="AO82" s="137">
        <v>50</v>
      </c>
      <c r="AP82" s="128">
        <v>1845</v>
      </c>
      <c r="AQ82" s="128">
        <v>0.36</v>
      </c>
      <c r="AR82" s="128"/>
      <c r="AS82" s="128"/>
      <c r="AT82" s="122"/>
      <c r="AU82" s="124" t="s">
        <v>189</v>
      </c>
      <c r="AV82" s="115">
        <f>VLOOKUP(J82,'[63]ТР нефть'!$J$28:$BP$638,39,0)</f>
        <v>599.99999062500001</v>
      </c>
      <c r="AW82" s="115" t="str">
        <f>VLOOKUP(J82,'[63]ТР нефть'!$J$28:$BP$638,40,0)</f>
        <v>ГК 84 1/8</v>
      </c>
      <c r="AX82" s="115">
        <f>VLOOKUP(J82,'[63]ТР нефть'!$J$28:$BP$638,41,0)</f>
        <v>1059.9999685549999</v>
      </c>
      <c r="AY82" s="115" t="str">
        <f>VLOOKUP(J82,'[63]ТР нефть'!$J$28:$BP$638,42,0)</f>
        <v>ГК 86 1/8</v>
      </c>
      <c r="AZ82" s="115">
        <f>VLOOKUP(J82,'[63]ТР нефть'!$J$28:$BP$638,43,0)</f>
        <v>1430.000007422</v>
      </c>
      <c r="BA82" s="115" t="str">
        <f>VLOOKUP(J82,'[63]ТР нефть'!$J$28:$BP$638,44,0)</f>
        <v>ГК 85 1/8</v>
      </c>
      <c r="BB82" s="115">
        <f>VLOOKUP(J82,'[63]ТР нефть'!$J$28:$BP$638,45,0)</f>
        <v>1740.0000621090001</v>
      </c>
      <c r="BC82" s="115" t="str">
        <f>VLOOKUP(J82,'[63]ТР нефть'!$J$28:$BP$638,46,0)</f>
        <v>ЦКсОК 5/16</v>
      </c>
      <c r="BD82" s="115" t="str">
        <f>VLOOKUP(J82,'[63]ТР нефть'!$J$28:$BP$638,47,0)</f>
        <v>-</v>
      </c>
      <c r="BE82" s="115" t="str">
        <f>VLOOKUP(J82,'[63]ТР нефть'!$J$28:$BP$638,48,0)</f>
        <v>-</v>
      </c>
      <c r="BF82" s="115" t="str">
        <f>VLOOKUP(J82,'[63]ТР нефть'!$J$28:$BP$638,49,0)</f>
        <v>-</v>
      </c>
      <c r="BG82" s="115" t="str">
        <f>VLOOKUP(J82,'[63]ТР нефть'!$J$28:$BP$638,50,0)</f>
        <v>-</v>
      </c>
      <c r="BH82" s="115">
        <f>VLOOKUP(J82,'[63]ТР нефть'!$J$28:$BP$638,51,0)</f>
        <v>1750</v>
      </c>
      <c r="BI82" s="115" t="str">
        <f>VLOOKUP(J82,'[63]ТР нефть'!$J$28:$BP$638,52,0)</f>
        <v>закрыт</v>
      </c>
      <c r="BJ82" s="115" t="str">
        <f>IF(IFERROR(VLOOKUP(J82,'[63]ТР нефть'!$J$28:$BP$638,53,0),"-")=0,"-",IFERROR(VLOOKUP(J82,'[63]ТР нефть'!$J$28:$BP$638,53,0),"-"))</f>
        <v>-</v>
      </c>
      <c r="BK82" s="138" t="str">
        <f>IF(IFERROR(VLOOKUP(J82,'[63]ТР нефть'!$J$28:$BP$638,54,0),"-")=0,"-",IFERROR(VLOOKUP(J82,'[63]ТР нефть'!$J$28:$BP$638,54,0),"-"))</f>
        <v>-</v>
      </c>
      <c r="BL82" s="138" t="str">
        <f>IF(IFERROR(VLOOKUP(J82,'[63]ТР нефть'!$J$28:$BP$638,55,0),"-")=0,"-",IFERROR(VLOOKUP(J82,'[63]ТР нефть'!$J$28:$BP$638,55,0),"-"))</f>
        <v>-</v>
      </c>
      <c r="BM82" s="138" t="str">
        <f>IF(IFERROR(VLOOKUP(J82,'[63]ТР нефть'!$J$28:$BP$638,56,0),"-")=0,"-",IFERROR(VLOOKUP(J82,'[63]ТР нефть'!$J$28:$BP$638,56,0),"-"))</f>
        <v>-</v>
      </c>
      <c r="BN82" s="138" t="str">
        <f>IF(IFERROR(VLOOKUP(J82,'[63]ТР нефть'!$J$28:$BP$638,57,0),"-")=0,"-",IFERROR(VLOOKUP(J82,'[63]ТР нефть'!$J$28:$BP$638,57,0),"-"))</f>
        <v>-</v>
      </c>
      <c r="BO82" s="115" t="str">
        <f>IF(IFERROR(VLOOKUP(J82,'[63]ТР нефть'!$J$28:$BP$638,58,0),"-")=0,"-",IFERROR(VLOOKUP(J82,'[63]ТР нефть'!$J$28:$BP$638,58,0),"-"))</f>
        <v>-</v>
      </c>
      <c r="BP82" s="115" t="str">
        <f>IF(IFERROR(VLOOKUP(J82,'[63]ТР нефть'!$J$28:$BP$638,59,0),"-")=0,"-",IFERROR(VLOOKUP(J82,'[63]ТР нефть'!$J$28:$BP$638,59,0),"-"))</f>
        <v>-</v>
      </c>
      <c r="BQ82" s="138">
        <v>1873</v>
      </c>
      <c r="BR82" s="128">
        <v>1873</v>
      </c>
      <c r="BS82" s="115">
        <f t="shared" si="2"/>
        <v>0</v>
      </c>
      <c r="BT82" s="128">
        <v>73</v>
      </c>
      <c r="BU82" s="128">
        <v>5.5</v>
      </c>
      <c r="BV82" s="127">
        <v>65</v>
      </c>
      <c r="BW82" s="127" t="s">
        <v>234</v>
      </c>
      <c r="BX82" s="127" t="s">
        <v>195</v>
      </c>
      <c r="BY82" s="139">
        <v>24</v>
      </c>
      <c r="BZ82" s="139">
        <v>0</v>
      </c>
      <c r="CA82" s="138">
        <v>20</v>
      </c>
      <c r="CB82" s="138">
        <v>28</v>
      </c>
      <c r="CC82" s="138">
        <v>19</v>
      </c>
      <c r="CD82" s="135">
        <v>45017</v>
      </c>
      <c r="CE82" s="138">
        <v>108</v>
      </c>
      <c r="CF82" s="138">
        <v>73</v>
      </c>
      <c r="CG82" s="138" t="str">
        <f t="shared" si="52"/>
        <v>В работе</v>
      </c>
      <c r="CH82" s="138" t="s">
        <v>196</v>
      </c>
      <c r="CI82" s="127">
        <v>5</v>
      </c>
      <c r="CJ82" s="138"/>
      <c r="CK82" s="138"/>
      <c r="CL82" s="99"/>
      <c r="CM82" s="99"/>
      <c r="CN82" s="140">
        <v>34</v>
      </c>
      <c r="CO82" s="141">
        <f t="shared" si="4"/>
        <v>4.8415268000000005</v>
      </c>
      <c r="CP82" s="142">
        <v>5.8</v>
      </c>
      <c r="CQ82" s="143">
        <v>0.15</v>
      </c>
      <c r="CR82" s="138">
        <v>16.2</v>
      </c>
      <c r="CS82" s="139">
        <v>9.6</v>
      </c>
      <c r="CT82" s="138"/>
      <c r="CU82" s="138">
        <f t="shared" si="5"/>
        <v>6.6</v>
      </c>
      <c r="CV82" s="115">
        <f t="shared" si="6"/>
        <v>1363.2063340019101</v>
      </c>
      <c r="CW82" s="115">
        <f t="shared" si="7"/>
        <v>1978.7280958406848</v>
      </c>
      <c r="CX82" s="133">
        <f t="shared" si="8"/>
        <v>7.8378378378378383E-2</v>
      </c>
      <c r="CY82" s="116"/>
      <c r="CZ82" s="131"/>
      <c r="DA82" s="145" t="str">
        <f t="shared" si="9"/>
        <v>Газлифт</v>
      </c>
      <c r="DB82" s="146">
        <f t="shared" si="10"/>
        <v>4.8415268000000005</v>
      </c>
      <c r="DC82" s="142">
        <f t="shared" si="11"/>
        <v>5.8</v>
      </c>
      <c r="DD82" s="119">
        <f t="shared" si="12"/>
        <v>0.15</v>
      </c>
      <c r="DE82" s="115">
        <f t="shared" si="13"/>
        <v>6.6</v>
      </c>
      <c r="DF82" s="121">
        <f t="shared" si="14"/>
        <v>9.6</v>
      </c>
      <c r="DG82" s="115">
        <f t="shared" si="15"/>
        <v>1363.2063340019101</v>
      </c>
      <c r="DH82" s="115">
        <f t="shared" si="16"/>
        <v>34</v>
      </c>
      <c r="DI82" s="147"/>
      <c r="DJ82" s="111" t="s">
        <v>197</v>
      </c>
      <c r="DK82" s="112">
        <v>41603</v>
      </c>
      <c r="DL82" s="113">
        <f t="shared" ca="1" si="42"/>
        <v>3501</v>
      </c>
      <c r="DM82" s="114"/>
      <c r="DN82" s="114"/>
      <c r="DO82" s="114"/>
      <c r="DP82" s="114"/>
      <c r="DQ82" s="112">
        <v>42034</v>
      </c>
      <c r="DR82" s="114" t="s">
        <v>198</v>
      </c>
      <c r="DS82" s="114"/>
      <c r="DT82" s="115">
        <v>36</v>
      </c>
      <c r="DU82" s="116">
        <f t="shared" si="43"/>
        <v>8.0555555555555547E-2</v>
      </c>
      <c r="DV82" s="117">
        <f t="shared" si="44"/>
        <v>4.8415268000000005</v>
      </c>
      <c r="DW82" s="118">
        <f t="shared" si="45"/>
        <v>5.8</v>
      </c>
      <c r="DX82" s="119">
        <f t="shared" si="21"/>
        <v>0.15</v>
      </c>
      <c r="DY82" s="115">
        <f t="shared" si="46"/>
        <v>6.6</v>
      </c>
      <c r="DZ82" s="117">
        <f t="shared" si="47"/>
        <v>0</v>
      </c>
      <c r="EA82" s="120">
        <f t="shared" si="47"/>
        <v>0</v>
      </c>
      <c r="EB82" s="119">
        <f t="shared" si="47"/>
        <v>0</v>
      </c>
      <c r="EC82" s="121">
        <f t="shared" si="48"/>
        <v>0</v>
      </c>
      <c r="ED82" s="122"/>
      <c r="EE82" s="145">
        <v>65</v>
      </c>
      <c r="EF82" s="115">
        <v>20</v>
      </c>
      <c r="EG82" s="115">
        <v>28</v>
      </c>
      <c r="EH82" s="115">
        <v>19</v>
      </c>
      <c r="EI82" s="128" t="s">
        <v>195</v>
      </c>
      <c r="EJ82" s="121">
        <v>24</v>
      </c>
      <c r="EK82" s="121">
        <v>0</v>
      </c>
      <c r="EL82" s="149">
        <v>4.8415268000000005</v>
      </c>
      <c r="EM82" s="142">
        <v>5.8</v>
      </c>
      <c r="EN82" s="119">
        <v>0.15</v>
      </c>
      <c r="EO82" s="115">
        <v>16.2</v>
      </c>
      <c r="EP82" s="115">
        <v>1363.2063340019101</v>
      </c>
      <c r="EQ82" s="115">
        <v>73</v>
      </c>
      <c r="ER82" s="115">
        <v>9.6</v>
      </c>
      <c r="ES82" s="115">
        <v>34</v>
      </c>
      <c r="ET82" s="150">
        <v>7.8378378378378383E-2</v>
      </c>
      <c r="EU82" s="145">
        <f t="shared" si="25"/>
        <v>65</v>
      </c>
      <c r="EV82" s="115">
        <f t="shared" si="26"/>
        <v>20</v>
      </c>
      <c r="EW82" s="115">
        <f t="shared" si="26"/>
        <v>28</v>
      </c>
      <c r="EX82" s="115">
        <f t="shared" si="26"/>
        <v>19</v>
      </c>
      <c r="EY82" s="115" t="str">
        <f t="shared" si="53"/>
        <v>Постоянный</v>
      </c>
      <c r="EZ82" s="115">
        <f t="shared" si="53"/>
        <v>24</v>
      </c>
      <c r="FA82" s="115">
        <f t="shared" si="53"/>
        <v>0</v>
      </c>
      <c r="FB82" s="149">
        <f t="shared" si="28"/>
        <v>4.8415268000000005</v>
      </c>
      <c r="FC82" s="142">
        <f t="shared" si="28"/>
        <v>5.8</v>
      </c>
      <c r="FD82" s="119">
        <f t="shared" si="28"/>
        <v>0.15</v>
      </c>
      <c r="FE82" s="121">
        <f t="shared" si="28"/>
        <v>16.2</v>
      </c>
      <c r="FF82" s="121">
        <f t="shared" si="49"/>
        <v>1363.2063340019101</v>
      </c>
      <c r="FG82" s="121">
        <f t="shared" si="30"/>
        <v>73</v>
      </c>
      <c r="FH82" s="121">
        <f t="shared" si="50"/>
        <v>9.6</v>
      </c>
      <c r="FI82" s="121">
        <f t="shared" si="54"/>
        <v>34</v>
      </c>
      <c r="FJ82" s="144">
        <f t="shared" si="33"/>
        <v>7.8378378378378383E-2</v>
      </c>
      <c r="FK82" s="132">
        <f t="shared" si="34"/>
        <v>0</v>
      </c>
      <c r="FL82" s="115">
        <f t="shared" si="34"/>
        <v>0</v>
      </c>
      <c r="FM82" s="115">
        <f t="shared" si="34"/>
        <v>0</v>
      </c>
      <c r="FN82" s="115">
        <f t="shared" si="34"/>
        <v>0</v>
      </c>
      <c r="FO82" s="115">
        <f t="shared" si="57"/>
        <v>0</v>
      </c>
      <c r="FP82" s="115">
        <f t="shared" si="56"/>
        <v>0</v>
      </c>
      <c r="FQ82" s="149">
        <f t="shared" si="56"/>
        <v>0</v>
      </c>
      <c r="FR82" s="142">
        <f t="shared" si="56"/>
        <v>0</v>
      </c>
      <c r="FS82" s="119">
        <f t="shared" si="56"/>
        <v>0</v>
      </c>
      <c r="FT82" s="121">
        <f t="shared" si="56"/>
        <v>0</v>
      </c>
      <c r="FU82" s="121">
        <f t="shared" si="36"/>
        <v>0</v>
      </c>
      <c r="FV82" s="121">
        <f t="shared" si="36"/>
        <v>0</v>
      </c>
      <c r="FW82" s="121">
        <f t="shared" si="37"/>
        <v>0</v>
      </c>
      <c r="FX82" s="121">
        <f t="shared" si="38"/>
        <v>0</v>
      </c>
      <c r="FY82" s="144">
        <f t="shared" si="38"/>
        <v>0</v>
      </c>
      <c r="FZ82" s="145"/>
      <c r="GA82" s="151" t="s">
        <v>528</v>
      </c>
      <c r="GB82" s="145" t="s">
        <v>199</v>
      </c>
      <c r="GC82" s="151" t="s">
        <v>304</v>
      </c>
      <c r="GD82" s="997" t="s">
        <v>238</v>
      </c>
      <c r="GE82" s="1004" t="s">
        <v>199</v>
      </c>
      <c r="GF82" s="1004">
        <v>-2.1180059999999994</v>
      </c>
      <c r="GG82" s="1004"/>
      <c r="GH82" s="1004">
        <v>0.8564552480000005</v>
      </c>
      <c r="GI82" s="145"/>
      <c r="GJ82" s="996">
        <v>0</v>
      </c>
      <c r="GK82" s="145"/>
      <c r="GL82" s="996">
        <v>-0.10016651040000113</v>
      </c>
      <c r="GM82" s="1005" t="s">
        <v>240</v>
      </c>
      <c r="GN82" s="996">
        <v>-3.0996014191999999</v>
      </c>
      <c r="GO82" s="1006" t="s">
        <v>342</v>
      </c>
      <c r="GP82" s="996">
        <v>3.5557885616</v>
      </c>
      <c r="GQ82" s="1006"/>
      <c r="GR82" s="996">
        <v>-0.70053238639999993</v>
      </c>
      <c r="GS82" s="1006"/>
      <c r="GT82" s="996">
        <v>-0.65924669359999921</v>
      </c>
      <c r="GU82" s="1006" t="s">
        <v>199</v>
      </c>
      <c r="GV82" s="996">
        <v>1.6815948556000002</v>
      </c>
      <c r="GW82" s="1006"/>
      <c r="GX82" s="997">
        <v>0</v>
      </c>
      <c r="GY82" s="1006" t="s">
        <v>223</v>
      </c>
      <c r="GZ82" s="996">
        <v>-1.0768876316000009</v>
      </c>
      <c r="HA82" s="1006" t="s">
        <v>204</v>
      </c>
      <c r="HB82" s="996">
        <v>-3.1925619439999986</v>
      </c>
      <c r="HC82" s="1006"/>
      <c r="HD82" s="996"/>
      <c r="HE82" s="1006"/>
      <c r="HF82" s="996"/>
      <c r="HG82" s="1006"/>
      <c r="HH82" s="996"/>
      <c r="HI82" s="1006">
        <v>0</v>
      </c>
      <c r="HJ82" s="996">
        <v>0</v>
      </c>
      <c r="HK82" s="1006"/>
      <c r="HL82" s="996">
        <v>0.74065838000000017</v>
      </c>
      <c r="HM82" s="1006" t="s">
        <v>203</v>
      </c>
      <c r="HN82" s="996">
        <v>-3.1508004000000005</v>
      </c>
      <c r="HO82" s="1006"/>
      <c r="HP82" s="996">
        <v>0.64204800000000084</v>
      </c>
      <c r="HQ82" s="1006"/>
      <c r="HR82" s="996">
        <v>0</v>
      </c>
      <c r="HS82" s="1006" t="s">
        <v>203</v>
      </c>
      <c r="HT82" s="996">
        <v>-2.6878967500000002</v>
      </c>
      <c r="HU82" s="1006" t="s">
        <v>25</v>
      </c>
      <c r="HV82" s="996">
        <v>2.7681527500000005</v>
      </c>
      <c r="HW82" s="1006"/>
      <c r="HX82" s="996">
        <v>0</v>
      </c>
      <c r="HY82" s="1006" t="s">
        <v>204</v>
      </c>
      <c r="HZ82" s="996">
        <v>-3.1249680000000009</v>
      </c>
      <c r="IA82" s="1006" t="s">
        <v>199</v>
      </c>
      <c r="IB82" s="996">
        <v>1.9035720000000005</v>
      </c>
      <c r="IC82" s="1006"/>
      <c r="ID82" s="996">
        <v>0.84793808000000048</v>
      </c>
      <c r="IE82" s="1006"/>
      <c r="IF82" s="996">
        <v>0.80665639999999961</v>
      </c>
      <c r="IG82" s="1006" t="s">
        <v>199</v>
      </c>
      <c r="IH82" s="996">
        <v>1.1585455200000006</v>
      </c>
      <c r="II82" s="1006"/>
      <c r="IJ82" s="996">
        <v>0.75239999999999974</v>
      </c>
      <c r="IK82" s="1006" t="s">
        <v>199</v>
      </c>
      <c r="IL82" s="996">
        <v>-1.1704000000000008</v>
      </c>
      <c r="IM82" s="1006" t="s">
        <v>204</v>
      </c>
      <c r="IN82" s="996">
        <v>-2.9496587999999981</v>
      </c>
      <c r="IO82" s="1006"/>
      <c r="IP82" s="996">
        <v>0.72004679999999865</v>
      </c>
      <c r="IQ82" s="1006"/>
      <c r="IR82" s="996">
        <v>0</v>
      </c>
      <c r="IS82" s="1006"/>
      <c r="IT82" s="996">
        <v>0.86949559399999998</v>
      </c>
      <c r="IU82" s="1006"/>
      <c r="IV82" s="996">
        <v>0</v>
      </c>
      <c r="IW82" s="1006"/>
      <c r="IX82" s="996">
        <v>1.1260364060000008</v>
      </c>
      <c r="IY82" s="1006"/>
      <c r="IZ82" s="996">
        <v>0</v>
      </c>
      <c r="JA82" s="1006" t="s">
        <v>223</v>
      </c>
      <c r="JB82" s="996">
        <v>-2.4107732000000013</v>
      </c>
      <c r="JC82" s="1006"/>
      <c r="JD82" s="996">
        <v>0</v>
      </c>
      <c r="JE82" s="1006"/>
      <c r="JF82" s="996">
        <v>-0.99174679999999782</v>
      </c>
      <c r="JG82" s="1006" t="s">
        <v>199</v>
      </c>
      <c r="JH82" s="996">
        <v>3.1789652399999984</v>
      </c>
      <c r="JI82" s="1006" t="s">
        <v>199</v>
      </c>
      <c r="JJ82" s="996">
        <v>1.5627813484799997</v>
      </c>
      <c r="JK82" s="1007"/>
      <c r="JL82" s="1007">
        <v>0</v>
      </c>
      <c r="JM82" s="1007"/>
      <c r="JN82" s="1007">
        <v>0</v>
      </c>
      <c r="JO82" s="1008"/>
      <c r="JP82" s="1007">
        <v>0</v>
      </c>
      <c r="JQ82" s="1008">
        <v>0</v>
      </c>
      <c r="JR82" s="1007">
        <v>0</v>
      </c>
      <c r="JS82" s="1008" t="s">
        <v>199</v>
      </c>
      <c r="JT82" s="1007">
        <v>-3.0313359999999996</v>
      </c>
      <c r="JU82" s="1008"/>
      <c r="JV82" s="1007">
        <v>0</v>
      </c>
      <c r="JW82" s="1008" t="s">
        <v>197</v>
      </c>
      <c r="JX82" s="1007">
        <v>0</v>
      </c>
      <c r="JY82" s="1008" t="s">
        <v>204</v>
      </c>
      <c r="JZ82" s="1007">
        <v>-1.63856</v>
      </c>
      <c r="KA82" s="1008"/>
      <c r="KB82" s="1007">
        <v>0</v>
      </c>
      <c r="KC82" s="1008"/>
      <c r="KD82" s="1007">
        <v>0</v>
      </c>
      <c r="KE82" s="1008" t="s">
        <v>204</v>
      </c>
      <c r="KF82" s="1007">
        <v>-8.1928000000000019</v>
      </c>
      <c r="KG82" s="1008" t="s">
        <v>529</v>
      </c>
      <c r="KH82" s="1007">
        <v>9.0120800000000028</v>
      </c>
      <c r="KI82" s="1008"/>
      <c r="KJ82" s="1007">
        <v>0</v>
      </c>
      <c r="KK82" s="1008"/>
      <c r="KL82" s="1007">
        <v>0</v>
      </c>
      <c r="KM82" s="1008"/>
      <c r="KN82" s="1007">
        <v>0</v>
      </c>
      <c r="KO82" s="1008"/>
      <c r="KP82" s="1007">
        <v>0</v>
      </c>
      <c r="KQ82" s="1008">
        <v>0</v>
      </c>
      <c r="KR82" s="1007">
        <v>0.13375999999999877</v>
      </c>
      <c r="KS82" s="1008" t="s">
        <v>223</v>
      </c>
      <c r="KT82" s="1007">
        <v>-4.0545999999999989</v>
      </c>
      <c r="KU82" s="1008" t="s">
        <v>206</v>
      </c>
      <c r="KV82" s="1007">
        <v>-12.765720000000002</v>
      </c>
      <c r="KW82" s="1008" t="s">
        <v>204</v>
      </c>
      <c r="KX82" s="1007">
        <v>10.052064000000001</v>
      </c>
      <c r="KY82" s="1008" t="s">
        <v>206</v>
      </c>
      <c r="KZ82" s="1007">
        <v>4.462568000000001</v>
      </c>
      <c r="LA82" s="1008">
        <v>0</v>
      </c>
      <c r="LB82" s="1007">
        <v>0</v>
      </c>
      <c r="LC82" s="1008">
        <v>0</v>
      </c>
      <c r="LD82" s="1007">
        <v>0</v>
      </c>
      <c r="LE82" s="1008">
        <v>0</v>
      </c>
      <c r="LF82" s="1007">
        <v>0</v>
      </c>
      <c r="LG82" s="1008" t="s">
        <v>206</v>
      </c>
      <c r="LH82" s="1007">
        <v>-9.5316772000000007</v>
      </c>
      <c r="LI82" s="1008">
        <v>0</v>
      </c>
      <c r="LJ82" s="1007">
        <v>0</v>
      </c>
      <c r="LK82" s="1008" t="s">
        <v>204</v>
      </c>
      <c r="LL82" s="1007">
        <v>13.222176000000003</v>
      </c>
      <c r="LM82" s="1008">
        <v>0</v>
      </c>
      <c r="LN82" s="1007">
        <v>0</v>
      </c>
      <c r="LO82" s="1008">
        <v>0</v>
      </c>
      <c r="LP82" s="1007">
        <v>0</v>
      </c>
      <c r="LQ82" s="1008">
        <v>0</v>
      </c>
      <c r="LR82" s="1007">
        <v>0</v>
      </c>
      <c r="LS82" s="1008">
        <v>0</v>
      </c>
      <c r="LT82" s="1007">
        <v>0.37344122000000002</v>
      </c>
      <c r="LU82" s="1008" t="s">
        <v>206</v>
      </c>
      <c r="LV82" s="1007">
        <v>-1.668968</v>
      </c>
      <c r="LW82" s="1008" t="s">
        <v>206</v>
      </c>
      <c r="LX82" s="1007">
        <v>1.4569879999999999</v>
      </c>
      <c r="LY82" s="1009">
        <v>0</v>
      </c>
      <c r="LZ82" s="1010">
        <v>0</v>
      </c>
      <c r="MA82" s="1011" t="s">
        <v>206</v>
      </c>
      <c r="MB82" s="1012">
        <v>3.8569148000000002</v>
      </c>
      <c r="MC82" s="995"/>
      <c r="MD82" s="996"/>
      <c r="ME82" s="997" t="s">
        <v>238</v>
      </c>
      <c r="MF82" s="997"/>
      <c r="MG82" s="998"/>
      <c r="NR82" s="1000"/>
      <c r="NS82" s="1000"/>
      <c r="NT82" s="1001"/>
      <c r="NU82" s="1000"/>
      <c r="NV82" s="1001"/>
      <c r="NX82" s="1002"/>
      <c r="NZ82" s="1001"/>
      <c r="OA82" s="1001"/>
      <c r="OC82" s="1003"/>
      <c r="OD82" s="1003"/>
      <c r="OE82" s="1001"/>
      <c r="OF82" s="1003"/>
      <c r="OG82" s="1003"/>
      <c r="QX82" s="1000">
        <f t="shared" si="51"/>
        <v>14</v>
      </c>
      <c r="ASU82" s="999" t="s">
        <v>208</v>
      </c>
    </row>
    <row r="83" spans="1:466 1191:1191" ht="21" customHeight="1" x14ac:dyDescent="0.25">
      <c r="A83" s="982">
        <f t="shared" si="0"/>
        <v>663</v>
      </c>
      <c r="B83" s="124">
        <f>SUBTOTAL(103,$J$29:J83)</f>
        <v>55</v>
      </c>
      <c r="C83" s="126">
        <v>45096</v>
      </c>
      <c r="D83" s="124" t="s">
        <v>176</v>
      </c>
      <c r="E83" s="127" t="s">
        <v>177</v>
      </c>
      <c r="F83" s="128" t="s">
        <v>177</v>
      </c>
      <c r="G83" s="127" t="s">
        <v>178</v>
      </c>
      <c r="H83" s="127" t="s">
        <v>226</v>
      </c>
      <c r="I83" s="127" t="s">
        <v>242</v>
      </c>
      <c r="J83" s="152">
        <v>663</v>
      </c>
      <c r="K83" s="127" t="s">
        <v>182</v>
      </c>
      <c r="L83" s="130">
        <v>37145</v>
      </c>
      <c r="M83" s="127" t="s">
        <v>230</v>
      </c>
      <c r="N83" s="127" t="s">
        <v>231</v>
      </c>
      <c r="O83" s="127" t="s">
        <v>185</v>
      </c>
      <c r="P83" s="127" t="s">
        <v>208</v>
      </c>
      <c r="Q83" s="85" t="str">
        <f t="shared" si="40"/>
        <v/>
      </c>
      <c r="R83" s="130"/>
      <c r="S83" s="128" t="s">
        <v>156</v>
      </c>
      <c r="T83" s="131"/>
      <c r="U83" s="132">
        <v>203</v>
      </c>
      <c r="V83" s="121">
        <v>218.2</v>
      </c>
      <c r="W83" s="116">
        <v>0.98</v>
      </c>
      <c r="X83" s="116">
        <v>1.66</v>
      </c>
      <c r="Y83" s="116">
        <f t="shared" si="41"/>
        <v>0.98289895982367259</v>
      </c>
      <c r="Z83" s="133">
        <v>1.454</v>
      </c>
      <c r="AA83" s="133">
        <v>0.83599999999999997</v>
      </c>
      <c r="AB83" s="133">
        <v>0.72</v>
      </c>
      <c r="AC83" s="121">
        <v>34.299999999999997</v>
      </c>
      <c r="AD83" s="134">
        <v>1.17</v>
      </c>
      <c r="AE83" s="124" t="s">
        <v>278</v>
      </c>
      <c r="AF83" s="128">
        <v>9.19</v>
      </c>
      <c r="AG83" s="128">
        <v>2002</v>
      </c>
      <c r="AH83" s="127">
        <v>2420</v>
      </c>
      <c r="AI83" s="127">
        <v>2420</v>
      </c>
      <c r="AJ83" s="135"/>
      <c r="AK83" s="128"/>
      <c r="AL83" s="131"/>
      <c r="AM83" s="124" t="s">
        <v>232</v>
      </c>
      <c r="AN83" s="136" t="s">
        <v>530</v>
      </c>
      <c r="AO83" s="137">
        <v>52.5</v>
      </c>
      <c r="AP83" s="128">
        <v>2002</v>
      </c>
      <c r="AQ83" s="128" t="s">
        <v>192</v>
      </c>
      <c r="AR83" s="128" t="s">
        <v>531</v>
      </c>
      <c r="AS83" s="128">
        <v>114.3</v>
      </c>
      <c r="AT83" s="122">
        <v>7.72</v>
      </c>
      <c r="AU83" s="124" t="s">
        <v>189</v>
      </c>
      <c r="AV83" s="115">
        <f>VLOOKUP(J83,'[63]ТР нефть'!$J$28:$BP$638,39,0)</f>
        <v>599.99999062500001</v>
      </c>
      <c r="AW83" s="115" t="str">
        <f>VLOOKUP(J83,'[63]ТР нефть'!$J$28:$BP$638,40,0)</f>
        <v>ГК 85 1/8</v>
      </c>
      <c r="AX83" s="115">
        <f>VLOOKUP(J83,'[63]ТР нефть'!$J$28:$BP$638,41,0)</f>
        <v>1070.00002793</v>
      </c>
      <c r="AY83" s="115" t="str">
        <f>VLOOKUP(J83,'[63]ТР нефть'!$J$28:$BP$638,42,0)</f>
        <v>ГК 83 1/8</v>
      </c>
      <c r="AZ83" s="115">
        <f>VLOOKUP(J83,'[63]ТР нефть'!$J$28:$BP$638,43,0)</f>
        <v>1480.000006641</v>
      </c>
      <c r="BA83" s="115" t="str">
        <f>VLOOKUP(J83,'[63]ТР нефть'!$J$28:$BP$638,44,0)</f>
        <v>ГК 85 5/32</v>
      </c>
      <c r="BB83" s="115" t="str">
        <f>VLOOKUP(J83,'[63]ТР нефть'!$J$28:$BP$638,45,0)</f>
        <v>-</v>
      </c>
      <c r="BC83" s="115" t="str">
        <f>VLOOKUP(J83,'[63]ТР нефть'!$J$28:$BP$638,46,0)</f>
        <v>-</v>
      </c>
      <c r="BD83" s="115" t="str">
        <f>VLOOKUP(J83,'[63]ТР нефть'!$J$28:$BP$638,47,0)</f>
        <v>-</v>
      </c>
      <c r="BE83" s="115" t="str">
        <f>VLOOKUP(J83,'[63]ТР нефть'!$J$28:$BP$638,48,0)</f>
        <v>-</v>
      </c>
      <c r="BF83" s="115" t="str">
        <f>VLOOKUP(J83,'[63]ТР нефть'!$J$28:$BP$638,49,0)</f>
        <v>-</v>
      </c>
      <c r="BG83" s="115" t="str">
        <f>VLOOKUP(J83,'[63]ТР нефть'!$J$28:$BP$638,50,0)</f>
        <v>-</v>
      </c>
      <c r="BH83" s="115">
        <f>VLOOKUP(J83,'[63]ТР нефть'!$J$28:$BP$638,51,0)</f>
        <v>1490</v>
      </c>
      <c r="BI83" s="115" t="str">
        <f>VLOOKUP(J83,'[63]ТР нефть'!$J$28:$BP$638,52,0)</f>
        <v>закрыт</v>
      </c>
      <c r="BJ83" s="115" t="str">
        <f>IF(IFERROR(VLOOKUP(J83,'[63]ТР нефть'!$J$28:$BP$638,53,0),"-")=0,"-",IFERROR(VLOOKUP(J83,'[63]ТР нефть'!$J$28:$BP$638,53,0),"-"))</f>
        <v>-</v>
      </c>
      <c r="BK83" s="138" t="str">
        <f>IF(IFERROR(VLOOKUP(J83,'[63]ТР нефть'!$J$28:$BP$638,54,0),"-")=0,"-",IFERROR(VLOOKUP(J83,'[63]ТР нефть'!$J$28:$BP$638,54,0),"-"))</f>
        <v>-</v>
      </c>
      <c r="BL83" s="138" t="str">
        <f>IF(IFERROR(VLOOKUP(J83,'[63]ТР нефть'!$J$28:$BP$638,55,0),"-")=0,"-",IFERROR(VLOOKUP(J83,'[63]ТР нефть'!$J$28:$BP$638,55,0),"-"))</f>
        <v>-</v>
      </c>
      <c r="BM83" s="138" t="str">
        <f>IF(IFERROR(VLOOKUP(J83,'[63]ТР нефть'!$J$28:$BP$638,56,0),"-")=0,"-",IFERROR(VLOOKUP(J83,'[63]ТР нефть'!$J$28:$BP$638,56,0),"-"))</f>
        <v>-</v>
      </c>
      <c r="BN83" s="138" t="str">
        <f>IF(IFERROR(VLOOKUP(J83,'[63]ТР нефть'!$J$28:$BP$638,57,0),"-")=0,"-",IFERROR(VLOOKUP(J83,'[63]ТР нефть'!$J$28:$BP$638,57,0),"-"))</f>
        <v>-</v>
      </c>
      <c r="BO83" s="115" t="str">
        <f>IF(IFERROR(VLOOKUP(J83,'[63]ТР нефть'!$J$28:$BP$638,58,0),"-")=0,"-",IFERROR(VLOOKUP(J83,'[63]ТР нефть'!$J$28:$BP$638,58,0),"-"))</f>
        <v>-</v>
      </c>
      <c r="BP83" s="115" t="str">
        <f>IF(IFERROR(VLOOKUP(J83,'[63]ТР нефть'!$J$28:$BP$638,59,0),"-")=0,"-",IFERROR(VLOOKUP(J83,'[63]ТР нефть'!$J$28:$BP$638,59,0),"-"))</f>
        <v>-</v>
      </c>
      <c r="BQ83" s="138">
        <v>1530</v>
      </c>
      <c r="BR83" s="128">
        <v>1529.64</v>
      </c>
      <c r="BS83" s="115">
        <f t="shared" si="2"/>
        <v>0.35999999999989996</v>
      </c>
      <c r="BT83" s="128">
        <v>73</v>
      </c>
      <c r="BU83" s="128">
        <v>5.5</v>
      </c>
      <c r="BV83" s="127">
        <v>18</v>
      </c>
      <c r="BW83" s="127" t="s">
        <v>234</v>
      </c>
      <c r="BX83" s="127" t="s">
        <v>195</v>
      </c>
      <c r="BY83" s="139">
        <v>24</v>
      </c>
      <c r="BZ83" s="139">
        <v>0</v>
      </c>
      <c r="CA83" s="138">
        <v>20</v>
      </c>
      <c r="CB83" s="138">
        <v>28</v>
      </c>
      <c r="CC83" s="138">
        <v>19</v>
      </c>
      <c r="CD83" s="135">
        <v>45017</v>
      </c>
      <c r="CE83" s="138">
        <v>104</v>
      </c>
      <c r="CF83" s="138">
        <v>75</v>
      </c>
      <c r="CG83" s="138" t="str">
        <f t="shared" si="52"/>
        <v>В работе</v>
      </c>
      <c r="CH83" s="138" t="s">
        <v>272</v>
      </c>
      <c r="CI83" s="127">
        <v>6</v>
      </c>
      <c r="CJ83" s="138"/>
      <c r="CK83" s="138"/>
      <c r="CL83" s="99"/>
      <c r="CM83" s="99"/>
      <c r="CN83" s="140">
        <v>36</v>
      </c>
      <c r="CO83" s="141">
        <f t="shared" si="4"/>
        <v>6.6398463999999997</v>
      </c>
      <c r="CP83" s="142">
        <v>8</v>
      </c>
      <c r="CQ83" s="119">
        <v>0.72</v>
      </c>
      <c r="CR83" s="115">
        <v>30</v>
      </c>
      <c r="CS83" s="115">
        <v>7.3</v>
      </c>
      <c r="CT83" s="138"/>
      <c r="CU83" s="138">
        <f t="shared" si="5"/>
        <v>22.7</v>
      </c>
      <c r="CV83" s="115">
        <f t="shared" si="6"/>
        <v>3418.7537832200455</v>
      </c>
      <c r="CW83" s="115">
        <f t="shared" si="7"/>
        <v>1088.4885742696333</v>
      </c>
      <c r="CX83" s="133">
        <f t="shared" si="8"/>
        <v>0.11764705882352941</v>
      </c>
      <c r="CY83" s="116"/>
      <c r="CZ83" s="131"/>
      <c r="DA83" s="145" t="str">
        <f t="shared" si="9"/>
        <v>Газлифт</v>
      </c>
      <c r="DB83" s="146">
        <f t="shared" si="10"/>
        <v>6.6398463999999997</v>
      </c>
      <c r="DC83" s="142">
        <f t="shared" si="11"/>
        <v>8</v>
      </c>
      <c r="DD83" s="119">
        <f t="shared" si="12"/>
        <v>0.72</v>
      </c>
      <c r="DE83" s="115">
        <f t="shared" si="13"/>
        <v>22.7</v>
      </c>
      <c r="DF83" s="121">
        <f t="shared" si="14"/>
        <v>7.3</v>
      </c>
      <c r="DG83" s="115">
        <f t="shared" si="15"/>
        <v>3418.7537832200455</v>
      </c>
      <c r="DH83" s="115">
        <f t="shared" si="16"/>
        <v>36</v>
      </c>
      <c r="DI83" s="147"/>
      <c r="DJ83" s="111">
        <v>43640</v>
      </c>
      <c r="DK83" s="112">
        <v>41640</v>
      </c>
      <c r="DL83" s="113">
        <f t="shared" ca="1" si="42"/>
        <v>3464</v>
      </c>
      <c r="DM83" s="114"/>
      <c r="DN83" s="114"/>
      <c r="DO83" s="114"/>
      <c r="DP83" s="114"/>
      <c r="DQ83" s="112" t="s">
        <v>532</v>
      </c>
      <c r="DR83" s="114" t="s">
        <v>198</v>
      </c>
      <c r="DS83" s="114"/>
      <c r="DT83" s="115">
        <v>37</v>
      </c>
      <c r="DU83" s="116">
        <f t="shared" si="43"/>
        <v>0.11940298507462686</v>
      </c>
      <c r="DV83" s="117">
        <f t="shared" si="44"/>
        <v>6.6398463999999997</v>
      </c>
      <c r="DW83" s="118">
        <f t="shared" si="45"/>
        <v>8</v>
      </c>
      <c r="DX83" s="119">
        <f t="shared" si="21"/>
        <v>0.72</v>
      </c>
      <c r="DY83" s="115">
        <f t="shared" si="46"/>
        <v>22.7</v>
      </c>
      <c r="DZ83" s="117">
        <f t="shared" si="47"/>
        <v>0</v>
      </c>
      <c r="EA83" s="120">
        <f t="shared" si="47"/>
        <v>0</v>
      </c>
      <c r="EB83" s="119">
        <f t="shared" si="47"/>
        <v>0</v>
      </c>
      <c r="EC83" s="121">
        <f t="shared" si="48"/>
        <v>0</v>
      </c>
      <c r="ED83" s="122"/>
      <c r="EE83" s="145">
        <v>18</v>
      </c>
      <c r="EF83" s="115">
        <v>20</v>
      </c>
      <c r="EG83" s="115">
        <v>28</v>
      </c>
      <c r="EH83" s="115">
        <v>19</v>
      </c>
      <c r="EI83" s="128" t="s">
        <v>195</v>
      </c>
      <c r="EJ83" s="121">
        <v>24</v>
      </c>
      <c r="EK83" s="121">
        <v>0</v>
      </c>
      <c r="EL83" s="149">
        <v>6.6398463999999997</v>
      </c>
      <c r="EM83" s="142">
        <v>8</v>
      </c>
      <c r="EN83" s="119">
        <v>0.72</v>
      </c>
      <c r="EO83" s="115">
        <v>30</v>
      </c>
      <c r="EP83" s="115">
        <v>3418.7537832200455</v>
      </c>
      <c r="EQ83" s="115">
        <v>75</v>
      </c>
      <c r="ER83" s="115">
        <v>7.3</v>
      </c>
      <c r="ES83" s="115">
        <v>36</v>
      </c>
      <c r="ET83" s="150">
        <v>0.11764705882352941</v>
      </c>
      <c r="EU83" s="145">
        <f t="shared" si="25"/>
        <v>18</v>
      </c>
      <c r="EV83" s="115">
        <f t="shared" si="26"/>
        <v>20</v>
      </c>
      <c r="EW83" s="115">
        <f t="shared" si="26"/>
        <v>28</v>
      </c>
      <c r="EX83" s="115">
        <f t="shared" si="26"/>
        <v>19</v>
      </c>
      <c r="EY83" s="115" t="str">
        <f t="shared" si="53"/>
        <v>Постоянный</v>
      </c>
      <c r="EZ83" s="115">
        <f t="shared" si="53"/>
        <v>24</v>
      </c>
      <c r="FA83" s="115">
        <f t="shared" si="53"/>
        <v>0</v>
      </c>
      <c r="FB83" s="149">
        <f t="shared" si="28"/>
        <v>6.6398463999999997</v>
      </c>
      <c r="FC83" s="142">
        <f t="shared" si="28"/>
        <v>8</v>
      </c>
      <c r="FD83" s="119">
        <f t="shared" si="28"/>
        <v>0.72</v>
      </c>
      <c r="FE83" s="121">
        <f t="shared" si="28"/>
        <v>30</v>
      </c>
      <c r="FF83" s="121">
        <f t="shared" si="49"/>
        <v>3418.7537832200455</v>
      </c>
      <c r="FG83" s="121">
        <f t="shared" si="30"/>
        <v>75</v>
      </c>
      <c r="FH83" s="121">
        <f t="shared" si="50"/>
        <v>7.3</v>
      </c>
      <c r="FI83" s="121">
        <f t="shared" si="54"/>
        <v>36</v>
      </c>
      <c r="FJ83" s="144">
        <f t="shared" si="33"/>
        <v>0.11764705882352941</v>
      </c>
      <c r="FK83" s="132">
        <f t="shared" si="34"/>
        <v>0</v>
      </c>
      <c r="FL83" s="115">
        <f t="shared" si="34"/>
        <v>0</v>
      </c>
      <c r="FM83" s="115">
        <f t="shared" si="34"/>
        <v>0</v>
      </c>
      <c r="FN83" s="115">
        <f t="shared" si="34"/>
        <v>0</v>
      </c>
      <c r="FO83" s="115">
        <f t="shared" si="57"/>
        <v>0</v>
      </c>
      <c r="FP83" s="115">
        <f t="shared" si="56"/>
        <v>0</v>
      </c>
      <c r="FQ83" s="149">
        <f t="shared" si="56"/>
        <v>0</v>
      </c>
      <c r="FR83" s="142">
        <f t="shared" si="56"/>
        <v>0</v>
      </c>
      <c r="FS83" s="119">
        <f t="shared" si="56"/>
        <v>0</v>
      </c>
      <c r="FT83" s="121">
        <f t="shared" si="56"/>
        <v>0</v>
      </c>
      <c r="FU83" s="121">
        <f t="shared" si="36"/>
        <v>0</v>
      </c>
      <c r="FV83" s="121">
        <f t="shared" si="36"/>
        <v>0</v>
      </c>
      <c r="FW83" s="121">
        <f t="shared" si="37"/>
        <v>0</v>
      </c>
      <c r="FX83" s="121">
        <f t="shared" si="38"/>
        <v>0</v>
      </c>
      <c r="FY83" s="144">
        <f t="shared" si="38"/>
        <v>0</v>
      </c>
      <c r="FZ83" s="145"/>
      <c r="GA83" s="151" t="s">
        <v>313</v>
      </c>
      <c r="GB83" s="145"/>
      <c r="GC83" s="151" t="s">
        <v>533</v>
      </c>
      <c r="GD83" s="997" t="s">
        <v>238</v>
      </c>
      <c r="GE83" s="1004"/>
      <c r="GF83" s="1004">
        <v>0</v>
      </c>
      <c r="GG83" s="1004"/>
      <c r="GH83" s="1004">
        <v>0</v>
      </c>
      <c r="GI83" s="145"/>
      <c r="GJ83" s="996">
        <v>0</v>
      </c>
      <c r="GK83" s="145"/>
      <c r="GL83" s="996">
        <v>0</v>
      </c>
      <c r="GM83" s="1005"/>
      <c r="GN83" s="996">
        <v>-0.70747001600000026</v>
      </c>
      <c r="GO83" s="1006"/>
      <c r="GP83" s="996">
        <v>0</v>
      </c>
      <c r="GQ83" s="1006"/>
      <c r="GR83" s="996">
        <v>0</v>
      </c>
      <c r="GS83" s="1006"/>
      <c r="GT83" s="996">
        <v>0</v>
      </c>
      <c r="GU83" s="1006"/>
      <c r="GV83" s="996">
        <v>0.2447787936000001</v>
      </c>
      <c r="GW83" s="1006"/>
      <c r="GX83" s="1025">
        <v>0</v>
      </c>
      <c r="GY83" s="1006" t="s">
        <v>204</v>
      </c>
      <c r="GZ83" s="996">
        <v>1.6344656064</v>
      </c>
      <c r="HA83" s="1006"/>
      <c r="HB83" s="996">
        <v>0</v>
      </c>
      <c r="HC83" s="1006"/>
      <c r="HD83" s="996">
        <v>0</v>
      </c>
      <c r="HE83" s="1006"/>
      <c r="HF83" s="996">
        <v>0</v>
      </c>
      <c r="HG83" s="1006"/>
      <c r="HH83" s="996">
        <v>0</v>
      </c>
      <c r="HI83" s="1006"/>
      <c r="HJ83" s="996">
        <v>0</v>
      </c>
      <c r="HK83" s="1006"/>
      <c r="HL83" s="996">
        <v>-0.40788439999999948</v>
      </c>
      <c r="HM83" s="1006"/>
      <c r="HN83" s="996">
        <v>0</v>
      </c>
      <c r="HO83" s="1006"/>
      <c r="HP83" s="996">
        <v>0.35999999999999943</v>
      </c>
      <c r="HQ83" s="1006"/>
      <c r="HR83" s="996">
        <v>0</v>
      </c>
      <c r="HS83" s="1006"/>
      <c r="HT83" s="996">
        <v>0</v>
      </c>
      <c r="HU83" s="1006"/>
      <c r="HV83" s="996">
        <v>0</v>
      </c>
      <c r="HW83" s="1006" t="s">
        <v>204</v>
      </c>
      <c r="HX83" s="996">
        <v>-6.6044000000000009</v>
      </c>
      <c r="HY83" s="1006"/>
      <c r="HZ83" s="996">
        <v>0</v>
      </c>
      <c r="IA83" s="1006"/>
      <c r="IB83" s="996">
        <v>0.8360000000000003</v>
      </c>
      <c r="IC83" s="1006"/>
      <c r="ID83" s="996">
        <v>-0.91959999999999908</v>
      </c>
      <c r="IE83" s="1006"/>
      <c r="IF83" s="996">
        <v>-0.28842000000000034</v>
      </c>
      <c r="IG83" s="1006" t="s">
        <v>223</v>
      </c>
      <c r="IH83" s="996">
        <v>-1.4069879999999984</v>
      </c>
      <c r="II83" s="1006"/>
      <c r="IJ83" s="996">
        <v>0</v>
      </c>
      <c r="IK83" s="1006" t="s">
        <v>204</v>
      </c>
      <c r="IL83" s="996">
        <v>7.1854199999999979</v>
      </c>
      <c r="IM83" s="1006"/>
      <c r="IN83" s="996">
        <v>0</v>
      </c>
      <c r="IO83" s="1006"/>
      <c r="IP83" s="996">
        <v>0</v>
      </c>
      <c r="IQ83" s="1006" t="s">
        <v>534</v>
      </c>
      <c r="IR83" s="996">
        <v>-5.6572119999999986</v>
      </c>
      <c r="IS83" s="1006"/>
      <c r="IT83" s="996">
        <v>0</v>
      </c>
      <c r="IU83" s="1006" t="s">
        <v>199</v>
      </c>
      <c r="IV83" s="996">
        <v>2.758799999999999</v>
      </c>
      <c r="IW83" s="1006"/>
      <c r="IX83" s="996">
        <v>0</v>
      </c>
      <c r="IY83" s="1006"/>
      <c r="IZ83" s="996">
        <v>0</v>
      </c>
      <c r="JA83" s="1006"/>
      <c r="JB83" s="996">
        <v>0</v>
      </c>
      <c r="JC83" s="1006" t="s">
        <v>223</v>
      </c>
      <c r="JD83" s="996">
        <v>-1.2539999999999996</v>
      </c>
      <c r="JE83" s="1006"/>
      <c r="JF83" s="996">
        <v>0</v>
      </c>
      <c r="JG83" s="1006"/>
      <c r="JH83" s="996">
        <v>0</v>
      </c>
      <c r="JI83" s="1006"/>
      <c r="JJ83" s="996">
        <v>0</v>
      </c>
      <c r="JK83" s="1007"/>
      <c r="JL83" s="1007">
        <v>0</v>
      </c>
      <c r="JM83" s="1007"/>
      <c r="JN83" s="1007">
        <v>0</v>
      </c>
      <c r="JO83" s="1008"/>
      <c r="JP83" s="1007">
        <v>0</v>
      </c>
      <c r="JQ83" s="1008">
        <v>0</v>
      </c>
      <c r="JR83" s="1007">
        <v>0</v>
      </c>
      <c r="JS83" s="1008" t="s">
        <v>25</v>
      </c>
      <c r="JT83" s="1007">
        <v>1.0031999999999996</v>
      </c>
      <c r="JU83" s="1008"/>
      <c r="JV83" s="1007">
        <v>0</v>
      </c>
      <c r="JW83" s="1008" t="s">
        <v>197</v>
      </c>
      <c r="JX83" s="1007">
        <v>0</v>
      </c>
      <c r="JY83" s="1008"/>
      <c r="JZ83" s="1007">
        <v>0</v>
      </c>
      <c r="KA83" s="1008"/>
      <c r="KB83" s="1007">
        <v>0</v>
      </c>
      <c r="KC83" s="1008"/>
      <c r="KD83" s="1007">
        <v>0</v>
      </c>
      <c r="KE83" s="1008"/>
      <c r="KF83" s="1007">
        <v>0</v>
      </c>
      <c r="KG83" s="1008"/>
      <c r="KH83" s="1007">
        <v>0</v>
      </c>
      <c r="KI83" s="1008"/>
      <c r="KJ83" s="1007">
        <v>0</v>
      </c>
      <c r="KK83" s="1008"/>
      <c r="KL83" s="1007">
        <v>0</v>
      </c>
      <c r="KM83" s="1008"/>
      <c r="KN83" s="1007">
        <v>0</v>
      </c>
      <c r="KO83" s="1008"/>
      <c r="KP83" s="1007">
        <v>0</v>
      </c>
      <c r="KQ83" s="1008">
        <v>0</v>
      </c>
      <c r="KR83" s="1007">
        <v>0</v>
      </c>
      <c r="KS83" s="1008">
        <v>0</v>
      </c>
      <c r="KT83" s="1007">
        <v>0</v>
      </c>
      <c r="KU83" s="1008">
        <v>0</v>
      </c>
      <c r="KV83" s="1007">
        <v>0</v>
      </c>
      <c r="KW83" s="1008">
        <v>0</v>
      </c>
      <c r="KX83" s="1007">
        <v>0</v>
      </c>
      <c r="KY83" s="1008" t="s">
        <v>223</v>
      </c>
      <c r="KZ83" s="1007">
        <v>-2.2998360000000009</v>
      </c>
      <c r="LA83" s="1008">
        <v>0</v>
      </c>
      <c r="LB83" s="1007">
        <v>0</v>
      </c>
      <c r="LC83" s="1008">
        <v>0</v>
      </c>
      <c r="LD83" s="1007">
        <v>0</v>
      </c>
      <c r="LE83" s="1008" t="s">
        <v>25</v>
      </c>
      <c r="LF83" s="1007">
        <v>12.499036</v>
      </c>
      <c r="LG83" s="1008">
        <v>0</v>
      </c>
      <c r="LH83" s="1007">
        <v>0</v>
      </c>
      <c r="LI83" s="1008">
        <v>0</v>
      </c>
      <c r="LJ83" s="1007">
        <v>0</v>
      </c>
      <c r="LK83" s="1008">
        <v>0</v>
      </c>
      <c r="LL83" s="1007">
        <v>-0.25348559999998999</v>
      </c>
      <c r="LM83" s="1008">
        <v>0</v>
      </c>
      <c r="LN83" s="1007">
        <v>0</v>
      </c>
      <c r="LO83" s="1008">
        <v>0</v>
      </c>
      <c r="LP83" s="1007">
        <v>-0.453651841</v>
      </c>
      <c r="LQ83" s="1008">
        <v>0</v>
      </c>
      <c r="LR83" s="1007">
        <v>0</v>
      </c>
      <c r="LS83" s="1008">
        <v>0</v>
      </c>
      <c r="LT83" s="1007">
        <v>0</v>
      </c>
      <c r="LU83" s="1008">
        <v>0</v>
      </c>
      <c r="LV83" s="1007">
        <v>0.43338239999997102</v>
      </c>
      <c r="LW83" s="1008" t="s">
        <v>206</v>
      </c>
      <c r="LX83" s="1007">
        <v>-4.4449785599999982</v>
      </c>
      <c r="LY83" s="1009">
        <v>0</v>
      </c>
      <c r="LZ83" s="1010">
        <v>-0.35112159999999998</v>
      </c>
      <c r="MA83" s="1011">
        <v>0</v>
      </c>
      <c r="MB83" s="1012">
        <v>-1.37585</v>
      </c>
      <c r="MC83" s="995"/>
      <c r="MD83" s="996"/>
      <c r="ME83" s="997" t="s">
        <v>238</v>
      </c>
      <c r="MF83" s="997"/>
      <c r="MG83" s="998"/>
      <c r="NR83" s="1000"/>
      <c r="NS83" s="1000"/>
      <c r="NT83" s="1001"/>
      <c r="NU83" s="1000"/>
      <c r="NV83" s="1001"/>
      <c r="NX83" s="1002"/>
      <c r="NZ83" s="1001"/>
      <c r="OA83" s="1001"/>
      <c r="OC83" s="1003"/>
      <c r="OD83" s="1003"/>
      <c r="OE83" s="1001"/>
      <c r="OF83" s="1003"/>
      <c r="OG83" s="1003"/>
      <c r="QX83" s="1000">
        <f t="shared" si="51"/>
        <v>16</v>
      </c>
      <c r="ASU83" s="999" t="s">
        <v>225</v>
      </c>
    </row>
    <row r="84" spans="1:466 1191:1191" ht="21" customHeight="1" x14ac:dyDescent="0.25">
      <c r="A84" s="982">
        <f t="shared" si="0"/>
        <v>669</v>
      </c>
      <c r="B84" s="124">
        <f>SUBTOTAL(103,$J$29:J84)</f>
        <v>56</v>
      </c>
      <c r="C84" s="126">
        <v>45096</v>
      </c>
      <c r="D84" s="124" t="s">
        <v>176</v>
      </c>
      <c r="E84" s="127" t="s">
        <v>177</v>
      </c>
      <c r="F84" s="128" t="s">
        <v>177</v>
      </c>
      <c r="G84" s="127" t="s">
        <v>178</v>
      </c>
      <c r="H84" s="127" t="s">
        <v>226</v>
      </c>
      <c r="I84" s="127" t="s">
        <v>242</v>
      </c>
      <c r="J84" s="152">
        <v>669</v>
      </c>
      <c r="K84" s="127" t="s">
        <v>182</v>
      </c>
      <c r="L84" s="130">
        <v>37111</v>
      </c>
      <c r="M84" s="127" t="s">
        <v>230</v>
      </c>
      <c r="N84" s="127" t="s">
        <v>245</v>
      </c>
      <c r="O84" s="127" t="s">
        <v>185</v>
      </c>
      <c r="P84" s="127" t="s">
        <v>208</v>
      </c>
      <c r="Q84" s="85">
        <f t="shared" si="40"/>
        <v>-4</v>
      </c>
      <c r="R84" s="130">
        <v>41453</v>
      </c>
      <c r="S84" s="128" t="s">
        <v>424</v>
      </c>
      <c r="T84" s="131" t="s">
        <v>535</v>
      </c>
      <c r="U84" s="132">
        <v>203</v>
      </c>
      <c r="V84" s="121">
        <v>218.2</v>
      </c>
      <c r="W84" s="116">
        <v>0.98</v>
      </c>
      <c r="X84" s="116">
        <v>1.66</v>
      </c>
      <c r="Y84" s="116">
        <f t="shared" si="41"/>
        <v>0.98</v>
      </c>
      <c r="Z84" s="133">
        <v>1.454</v>
      </c>
      <c r="AA84" s="133">
        <v>0.83599999999999997</v>
      </c>
      <c r="AB84" s="133">
        <v>0.72</v>
      </c>
      <c r="AC84" s="121">
        <v>34.299999999999997</v>
      </c>
      <c r="AD84" s="134">
        <v>1.17</v>
      </c>
      <c r="AE84" s="124">
        <v>139.69999999999999</v>
      </c>
      <c r="AF84" s="128">
        <v>7.72</v>
      </c>
      <c r="AG84" s="128">
        <v>2047</v>
      </c>
      <c r="AH84" s="127">
        <v>1948</v>
      </c>
      <c r="AI84" s="127">
        <v>1948</v>
      </c>
      <c r="AJ84" s="135"/>
      <c r="AK84" s="128"/>
      <c r="AL84" s="131"/>
      <c r="AM84" s="124" t="s">
        <v>187</v>
      </c>
      <c r="AN84" s="136" t="s">
        <v>536</v>
      </c>
      <c r="AO84" s="137">
        <v>50</v>
      </c>
      <c r="AP84" s="128">
        <v>1891</v>
      </c>
      <c r="AQ84" s="128">
        <v>0.1</v>
      </c>
      <c r="AR84" s="128"/>
      <c r="AS84" s="128"/>
      <c r="AT84" s="122"/>
      <c r="AU84" s="124" t="s">
        <v>189</v>
      </c>
      <c r="AV84" s="115">
        <f>VLOOKUP(J84,'[63]ТР нефть'!$J$28:$BP$638,39,0)</f>
        <v>515.00000683600001</v>
      </c>
      <c r="AW84" s="115" t="str">
        <f>VLOOKUP(J84,'[63]ТР нефть'!$J$28:$BP$638,40,0)</f>
        <v>ГК 78 1/8</v>
      </c>
      <c r="AX84" s="115">
        <f>VLOOKUP(J84,'[63]ТР нефть'!$J$28:$BP$638,41,0)</f>
        <v>920.00003027299999</v>
      </c>
      <c r="AY84" s="115" t="str">
        <f>VLOOKUP(J84,'[63]ТР нефть'!$J$28:$BP$638,42,0)</f>
        <v>ГК 79 1/8</v>
      </c>
      <c r="AZ84" s="115">
        <f>VLOOKUP(J84,'[63]ТР нефть'!$J$28:$BP$638,43,0)</f>
        <v>1239.999995508</v>
      </c>
      <c r="BA84" s="115" t="str">
        <f>VLOOKUP(J84,'[63]ТР нефть'!$J$28:$BP$638,44,0)</f>
        <v>ГК 79 5/32</v>
      </c>
      <c r="BB84" s="115">
        <f>VLOOKUP(J84,'[63]ТР нефть'!$J$28:$BP$638,45,0)</f>
        <v>1540.000065234</v>
      </c>
      <c r="BC84" s="115" t="str">
        <f>VLOOKUP(J84,'[63]ТР нефть'!$J$28:$BP$638,46,0)</f>
        <v>ЦКсОК 5/16</v>
      </c>
      <c r="BD84" s="115" t="str">
        <f>VLOOKUP(J84,'[63]ТР нефть'!$J$28:$BP$638,47,0)</f>
        <v>-</v>
      </c>
      <c r="BE84" s="115" t="str">
        <f>VLOOKUP(J84,'[63]ТР нефть'!$J$28:$BP$638,48,0)</f>
        <v>-</v>
      </c>
      <c r="BF84" s="115" t="str">
        <f>VLOOKUP(J84,'[63]ТР нефть'!$J$28:$BP$638,49,0)</f>
        <v>-</v>
      </c>
      <c r="BG84" s="115" t="str">
        <f>VLOOKUP(J84,'[63]ТР нефть'!$J$28:$BP$638,50,0)</f>
        <v>-</v>
      </c>
      <c r="BH84" s="115">
        <f>VLOOKUP(J84,'[63]ТР нефть'!$J$28:$BP$638,51,0)</f>
        <v>1790</v>
      </c>
      <c r="BI84" s="115" t="str">
        <f>VLOOKUP(J84,'[63]ТР нефть'!$J$28:$BP$638,52,0)</f>
        <v>закрыт</v>
      </c>
      <c r="BJ84" s="115" t="str">
        <f>IF(IFERROR(VLOOKUP(J84,'[63]ТР нефть'!$J$28:$BP$638,53,0),"-")=0,"-",IFERROR(VLOOKUP(J84,'[63]ТР нефть'!$J$28:$BP$638,53,0),"-"))</f>
        <v>-</v>
      </c>
      <c r="BK84" s="138" t="str">
        <f>IF(IFERROR(VLOOKUP(J84,'[63]ТР нефть'!$J$28:$BP$638,54,0),"-")=0,"-",IFERROR(VLOOKUP(J84,'[63]ТР нефть'!$J$28:$BP$638,54,0),"-"))</f>
        <v>-</v>
      </c>
      <c r="BL84" s="138" t="str">
        <f>IF(IFERROR(VLOOKUP(J84,'[63]ТР нефть'!$J$28:$BP$638,55,0),"-")=0,"-",IFERROR(VLOOKUP(J84,'[63]ТР нефть'!$J$28:$BP$638,55,0),"-"))</f>
        <v>-</v>
      </c>
      <c r="BM84" s="138" t="str">
        <f>IF(IFERROR(VLOOKUP(J84,'[63]ТР нефть'!$J$28:$BP$638,56,0),"-")=0,"-",IFERROR(VLOOKUP(J84,'[63]ТР нефть'!$J$28:$BP$638,56,0),"-"))</f>
        <v>-</v>
      </c>
      <c r="BN84" s="138" t="str">
        <f>IF(IFERROR(VLOOKUP(J84,'[63]ТР нефть'!$J$28:$BP$638,57,0),"-")=0,"-",IFERROR(VLOOKUP(J84,'[63]ТР нефть'!$J$28:$BP$638,57,0),"-"))</f>
        <v>-</v>
      </c>
      <c r="BO84" s="115" t="str">
        <f>IF(IFERROR(VLOOKUP(J84,'[63]ТР нефть'!$J$28:$BP$638,58,0),"-")=0,"-",IFERROR(VLOOKUP(J84,'[63]ТР нефть'!$J$28:$BP$638,58,0),"-"))</f>
        <v>-</v>
      </c>
      <c r="BP84" s="115" t="str">
        <f>IF(IFERROR(VLOOKUP(J84,'[63]ТР нефть'!$J$28:$BP$638,59,0),"-")=0,"-",IFERROR(VLOOKUP(J84,'[63]ТР нефть'!$J$28:$BP$638,59,0),"-"))</f>
        <v>-</v>
      </c>
      <c r="BQ84" s="138">
        <v>1816</v>
      </c>
      <c r="BR84" s="128">
        <v>1816</v>
      </c>
      <c r="BS84" s="115">
        <f t="shared" si="2"/>
        <v>0</v>
      </c>
      <c r="BT84" s="128">
        <v>73</v>
      </c>
      <c r="BU84" s="128">
        <v>5.5</v>
      </c>
      <c r="BV84" s="127">
        <v>65</v>
      </c>
      <c r="BW84" s="127" t="s">
        <v>217</v>
      </c>
      <c r="BX84" s="127" t="s">
        <v>195</v>
      </c>
      <c r="BY84" s="139">
        <v>24</v>
      </c>
      <c r="BZ84" s="139">
        <v>0</v>
      </c>
      <c r="CA84" s="138">
        <v>20</v>
      </c>
      <c r="CB84" s="138">
        <v>40</v>
      </c>
      <c r="CC84" s="138">
        <v>19</v>
      </c>
      <c r="CD84" s="135">
        <v>45017</v>
      </c>
      <c r="CE84" s="138">
        <v>85</v>
      </c>
      <c r="CF84" s="138">
        <v>78</v>
      </c>
      <c r="CG84" s="138" t="str">
        <f t="shared" si="52"/>
        <v>В работе</v>
      </c>
      <c r="CH84" s="138" t="s">
        <v>235</v>
      </c>
      <c r="CI84" s="138">
        <v>6</v>
      </c>
      <c r="CJ84" s="139"/>
      <c r="CK84" s="138"/>
      <c r="CL84" s="99"/>
      <c r="CM84" s="99"/>
      <c r="CN84" s="140">
        <v>50</v>
      </c>
      <c r="CO84" s="141">
        <f t="shared" si="4"/>
        <v>23.826000000000001</v>
      </c>
      <c r="CP84" s="142">
        <v>28.5</v>
      </c>
      <c r="CQ84" s="143">
        <v>0</v>
      </c>
      <c r="CR84" s="138">
        <v>14.6</v>
      </c>
      <c r="CS84" s="139">
        <v>4.5999999999999996</v>
      </c>
      <c r="CT84" s="138"/>
      <c r="CU84" s="138">
        <f t="shared" si="5"/>
        <v>10</v>
      </c>
      <c r="CV84" s="115">
        <f t="shared" si="6"/>
        <v>419.70956098379918</v>
      </c>
      <c r="CW84" s="115">
        <f t="shared" si="7"/>
        <v>193.06639805254764</v>
      </c>
      <c r="CX84" s="133">
        <f t="shared" si="8"/>
        <v>0.81428571428571428</v>
      </c>
      <c r="CY84" s="116"/>
      <c r="CZ84" s="131"/>
      <c r="DA84" s="145" t="str">
        <f t="shared" si="9"/>
        <v>Газлифт</v>
      </c>
      <c r="DB84" s="146">
        <f t="shared" si="10"/>
        <v>21.729312</v>
      </c>
      <c r="DC84" s="142">
        <f t="shared" si="11"/>
        <v>28.5</v>
      </c>
      <c r="DD84" s="119">
        <f t="shared" si="12"/>
        <v>8.8000000000000007</v>
      </c>
      <c r="DE84" s="115">
        <f t="shared" si="13"/>
        <v>10</v>
      </c>
      <c r="DF84" s="121">
        <f t="shared" si="14"/>
        <v>4.5999999999999996</v>
      </c>
      <c r="DG84" s="115">
        <f t="shared" si="15"/>
        <v>419.70956098379918</v>
      </c>
      <c r="DH84" s="115">
        <f t="shared" si="16"/>
        <v>50</v>
      </c>
      <c r="DI84" s="147"/>
      <c r="DJ84" s="111">
        <v>43581</v>
      </c>
      <c r="DK84" s="112">
        <v>43642</v>
      </c>
      <c r="DL84" s="113">
        <f t="shared" ca="1" si="42"/>
        <v>1462</v>
      </c>
      <c r="DM84" s="114"/>
      <c r="DN84" s="114"/>
      <c r="DO84" s="114"/>
      <c r="DP84" s="114"/>
      <c r="DQ84" s="112">
        <v>43624.416666666664</v>
      </c>
      <c r="DR84" s="114" t="s">
        <v>282</v>
      </c>
      <c r="DS84" s="114"/>
      <c r="DT84" s="115">
        <v>49</v>
      </c>
      <c r="DU84" s="116">
        <f t="shared" si="43"/>
        <v>0.80907428571428608</v>
      </c>
      <c r="DV84" s="117">
        <f t="shared" si="44"/>
        <v>24.349899702857151</v>
      </c>
      <c r="DW84" s="118">
        <f t="shared" si="45"/>
        <v>29.126674285714298</v>
      </c>
      <c r="DX84" s="119">
        <f t="shared" si="21"/>
        <v>0</v>
      </c>
      <c r="DY84" s="115">
        <f t="shared" si="46"/>
        <v>10.219885714285718</v>
      </c>
      <c r="DZ84" s="117">
        <f t="shared" si="47"/>
        <v>0.52389970285715037</v>
      </c>
      <c r="EA84" s="120">
        <f t="shared" si="47"/>
        <v>0.62667428571429795</v>
      </c>
      <c r="EB84" s="119">
        <f t="shared" si="47"/>
        <v>0</v>
      </c>
      <c r="EC84" s="121">
        <f t="shared" si="48"/>
        <v>0.21988571428571824</v>
      </c>
      <c r="ED84" s="122"/>
      <c r="EE84" s="145">
        <v>65</v>
      </c>
      <c r="EF84" s="115">
        <v>22</v>
      </c>
      <c r="EG84" s="115">
        <v>39</v>
      </c>
      <c r="EH84" s="115">
        <v>21</v>
      </c>
      <c r="EI84" s="128" t="s">
        <v>195</v>
      </c>
      <c r="EJ84" s="121">
        <v>24</v>
      </c>
      <c r="EK84" s="121">
        <v>0</v>
      </c>
      <c r="EL84" s="149">
        <v>19.975718400000002</v>
      </c>
      <c r="EM84" s="142">
        <v>26.2</v>
      </c>
      <c r="EN84" s="119">
        <v>8.8000000000000007</v>
      </c>
      <c r="EO84" s="115">
        <v>29.3</v>
      </c>
      <c r="EP84" s="115">
        <v>866.05145575139863</v>
      </c>
      <c r="EQ84" s="115">
        <v>65</v>
      </c>
      <c r="ER84" s="115">
        <v>12</v>
      </c>
      <c r="ES84" s="115">
        <v>50</v>
      </c>
      <c r="ET84" s="150">
        <v>0.74857142857142855</v>
      </c>
      <c r="EU84" s="145">
        <f t="shared" si="25"/>
        <v>65</v>
      </c>
      <c r="EV84" s="115">
        <f t="shared" si="26"/>
        <v>20</v>
      </c>
      <c r="EW84" s="115">
        <f t="shared" si="26"/>
        <v>40</v>
      </c>
      <c r="EX84" s="115">
        <f t="shared" si="26"/>
        <v>19</v>
      </c>
      <c r="EY84" s="115" t="str">
        <f t="shared" si="53"/>
        <v>Постоянный</v>
      </c>
      <c r="EZ84" s="115">
        <f t="shared" si="53"/>
        <v>24</v>
      </c>
      <c r="FA84" s="115">
        <f t="shared" si="53"/>
        <v>0</v>
      </c>
      <c r="FB84" s="149">
        <f t="shared" si="28"/>
        <v>23.826000000000001</v>
      </c>
      <c r="FC84" s="142">
        <f t="shared" si="28"/>
        <v>28.5</v>
      </c>
      <c r="FD84" s="119">
        <f t="shared" si="28"/>
        <v>0</v>
      </c>
      <c r="FE84" s="121">
        <f t="shared" si="28"/>
        <v>14.6</v>
      </c>
      <c r="FF84" s="121">
        <f t="shared" si="49"/>
        <v>419.70956098379918</v>
      </c>
      <c r="FG84" s="121">
        <f t="shared" si="30"/>
        <v>78</v>
      </c>
      <c r="FH84" s="121">
        <f t="shared" si="50"/>
        <v>4.5999999999999996</v>
      </c>
      <c r="FI84" s="121">
        <f t="shared" si="54"/>
        <v>50</v>
      </c>
      <c r="FJ84" s="144">
        <f t="shared" si="33"/>
        <v>0.81428571428571428</v>
      </c>
      <c r="FK84" s="132">
        <f t="shared" si="34"/>
        <v>0</v>
      </c>
      <c r="FL84" s="115">
        <f t="shared" si="34"/>
        <v>-2</v>
      </c>
      <c r="FM84" s="115">
        <f t="shared" si="34"/>
        <v>1</v>
      </c>
      <c r="FN84" s="115">
        <f t="shared" si="34"/>
        <v>-2</v>
      </c>
      <c r="FO84" s="115">
        <f t="shared" si="57"/>
        <v>0</v>
      </c>
      <c r="FP84" s="115">
        <f t="shared" si="56"/>
        <v>0</v>
      </c>
      <c r="FQ84" s="149">
        <f t="shared" si="56"/>
        <v>3.8502815999999989</v>
      </c>
      <c r="FR84" s="142">
        <f t="shared" si="56"/>
        <v>2.3000000000000007</v>
      </c>
      <c r="FS84" s="119">
        <f t="shared" si="56"/>
        <v>-8.8000000000000007</v>
      </c>
      <c r="FT84" s="121">
        <f t="shared" si="56"/>
        <v>-14.700000000000001</v>
      </c>
      <c r="FU84" s="121">
        <f t="shared" si="36"/>
        <v>13</v>
      </c>
      <c r="FV84" s="121">
        <f t="shared" si="36"/>
        <v>-7.4</v>
      </c>
      <c r="FW84" s="121">
        <f t="shared" si="37"/>
        <v>-446.34189476759946</v>
      </c>
      <c r="FX84" s="121">
        <f t="shared" si="38"/>
        <v>0</v>
      </c>
      <c r="FY84" s="144">
        <f t="shared" si="38"/>
        <v>6.5714285714285725E-2</v>
      </c>
      <c r="FZ84" s="145" t="s">
        <v>199</v>
      </c>
      <c r="GA84" s="151" t="s">
        <v>537</v>
      </c>
      <c r="GB84" s="145" t="s">
        <v>204</v>
      </c>
      <c r="GC84" s="151" t="s">
        <v>450</v>
      </c>
      <c r="GD84" s="997" t="s">
        <v>238</v>
      </c>
      <c r="GE84" s="1004" t="s">
        <v>204</v>
      </c>
      <c r="GF84" s="1004">
        <v>4.7591808000000029</v>
      </c>
      <c r="GG84" s="1004"/>
      <c r="GH84" s="1004">
        <v>0</v>
      </c>
      <c r="GI84" s="145"/>
      <c r="GJ84" s="996">
        <v>-0.8931824000000006</v>
      </c>
      <c r="GK84" s="145" t="s">
        <v>204</v>
      </c>
      <c r="GL84" s="996">
        <v>5.241719999999999</v>
      </c>
      <c r="GM84" s="1005"/>
      <c r="GN84" s="996">
        <v>0</v>
      </c>
      <c r="GO84" s="1006"/>
      <c r="GP84" s="996">
        <v>0</v>
      </c>
      <c r="GQ84" s="1006"/>
      <c r="GR84" s="996">
        <v>0</v>
      </c>
      <c r="GS84" s="1006"/>
      <c r="GT84" s="996">
        <v>0</v>
      </c>
      <c r="GU84" s="1006"/>
      <c r="GV84" s="996">
        <v>8.6944000000013233E-3</v>
      </c>
      <c r="GW84" s="1006"/>
      <c r="GX84" s="997">
        <v>0</v>
      </c>
      <c r="GY84" s="1006"/>
      <c r="GZ84" s="996">
        <v>0</v>
      </c>
      <c r="HA84" s="1006"/>
      <c r="HB84" s="996">
        <v>0</v>
      </c>
      <c r="HC84" s="1006" t="s">
        <v>204</v>
      </c>
      <c r="HD84" s="996">
        <v>-3.271685999999999</v>
      </c>
      <c r="HE84" s="1006"/>
      <c r="HF84" s="996">
        <v>0</v>
      </c>
      <c r="HG84" s="1006"/>
      <c r="HH84" s="996">
        <v>0</v>
      </c>
      <c r="HI84" s="1006"/>
      <c r="HJ84" s="996">
        <v>0</v>
      </c>
      <c r="HK84" s="1006"/>
      <c r="HL84" s="996">
        <v>0</v>
      </c>
      <c r="HM84" s="1006"/>
      <c r="HN84" s="996">
        <v>1.6311195999999981</v>
      </c>
      <c r="HO84" s="1006"/>
      <c r="HP84" s="996">
        <v>0.21067200000000064</v>
      </c>
      <c r="HQ84" s="1006" t="s">
        <v>199</v>
      </c>
      <c r="HR84" s="996">
        <v>-4.0964000000000009</v>
      </c>
      <c r="HS84" s="1006"/>
      <c r="HT84" s="996">
        <v>0</v>
      </c>
      <c r="HU84" s="1006"/>
      <c r="HV84" s="996">
        <v>0</v>
      </c>
      <c r="HW84" s="1006"/>
      <c r="HX84" s="996">
        <v>0.45979999999999954</v>
      </c>
      <c r="HY84" s="1006" t="s">
        <v>223</v>
      </c>
      <c r="HZ84" s="996">
        <v>-7.0641999999999978</v>
      </c>
      <c r="IA84" s="1006"/>
      <c r="IB84" s="996">
        <v>0</v>
      </c>
      <c r="IC84" s="1006" t="s">
        <v>199</v>
      </c>
      <c r="ID84" s="996">
        <v>5.8018399999999986</v>
      </c>
      <c r="IE84" s="1006"/>
      <c r="IF84" s="996">
        <v>0</v>
      </c>
      <c r="IG84" s="1006" t="s">
        <v>199</v>
      </c>
      <c r="IH84" s="996">
        <v>2.8089600000000008</v>
      </c>
      <c r="II84" s="1006" t="s">
        <v>204</v>
      </c>
      <c r="IJ84" s="996">
        <v>-6.1864000000000008</v>
      </c>
      <c r="IK84" s="1006" t="s">
        <v>199</v>
      </c>
      <c r="IL84" s="996">
        <v>17.556000000000001</v>
      </c>
      <c r="IM84" s="1006" t="s">
        <v>199</v>
      </c>
      <c r="IN84" s="996">
        <v>-22.906400000000001</v>
      </c>
      <c r="IO84" s="1006"/>
      <c r="IP84" s="996">
        <v>0</v>
      </c>
      <c r="IQ84" s="1006"/>
      <c r="IR84" s="996">
        <v>0</v>
      </c>
      <c r="IS84" s="1006"/>
      <c r="IT84" s="996">
        <v>0</v>
      </c>
      <c r="IU84" s="1006"/>
      <c r="IV84" s="996">
        <v>0</v>
      </c>
      <c r="IW84" s="1006"/>
      <c r="IX84" s="996">
        <v>0</v>
      </c>
      <c r="IY84" s="1006"/>
      <c r="IZ84" s="996">
        <v>-0.83599999999999852</v>
      </c>
      <c r="JA84" s="1006"/>
      <c r="JB84" s="996">
        <v>0</v>
      </c>
      <c r="JC84" s="1006" t="s">
        <v>205</v>
      </c>
      <c r="JD84" s="996">
        <v>10.032</v>
      </c>
      <c r="JE84" s="1006"/>
      <c r="JF84" s="996">
        <v>0</v>
      </c>
      <c r="JG84" s="1006"/>
      <c r="JH84" s="996">
        <v>0</v>
      </c>
      <c r="JI84" s="1006" t="s">
        <v>203</v>
      </c>
      <c r="JJ84" s="996">
        <v>-9.6140000000000008</v>
      </c>
      <c r="JK84" s="1007" t="s">
        <v>203</v>
      </c>
      <c r="JL84" s="1007">
        <v>-8.6656491240000015</v>
      </c>
      <c r="JM84" s="1007"/>
      <c r="JN84" s="1007">
        <v>0</v>
      </c>
      <c r="JO84" s="1008"/>
      <c r="JP84" s="1007">
        <v>3.4116324000002862E-2</v>
      </c>
      <c r="JQ84" s="1008">
        <v>0</v>
      </c>
      <c r="JR84" s="1007">
        <v>0</v>
      </c>
      <c r="JS84" s="1008">
        <v>0</v>
      </c>
      <c r="JT84" s="1007">
        <v>0</v>
      </c>
      <c r="JU84" s="1008"/>
      <c r="JV84" s="1007">
        <v>0</v>
      </c>
      <c r="JW84" s="1008" t="s">
        <v>197</v>
      </c>
      <c r="JX84" s="1007">
        <v>0</v>
      </c>
      <c r="JY84" s="1008"/>
      <c r="JZ84" s="1007">
        <v>0</v>
      </c>
      <c r="KA84" s="1008"/>
      <c r="KB84" s="1007">
        <v>0</v>
      </c>
      <c r="KC84" s="1008" t="s">
        <v>207</v>
      </c>
      <c r="KD84" s="1007">
        <v>3.4274119000000001</v>
      </c>
      <c r="KE84" s="1008"/>
      <c r="KF84" s="1007">
        <v>0</v>
      </c>
      <c r="KG84" s="1008"/>
      <c r="KH84" s="1007">
        <v>0</v>
      </c>
      <c r="KI84" s="1008"/>
      <c r="KJ84" s="1007">
        <v>0</v>
      </c>
      <c r="KK84" s="1008"/>
      <c r="KL84" s="1007">
        <v>0</v>
      </c>
      <c r="KM84" s="1008"/>
      <c r="KN84" s="1007">
        <v>0</v>
      </c>
      <c r="KO84" s="1008" t="s">
        <v>240</v>
      </c>
      <c r="KP84" s="1007">
        <v>-2.7145546999999999</v>
      </c>
      <c r="KQ84" s="1008">
        <v>0</v>
      </c>
      <c r="KR84" s="1007">
        <v>0</v>
      </c>
      <c r="KS84" s="1008">
        <v>0</v>
      </c>
      <c r="KT84" s="1007">
        <v>0</v>
      </c>
      <c r="KU84" s="1008" t="s">
        <v>206</v>
      </c>
      <c r="KV84" s="1007">
        <v>0.91877236000000018</v>
      </c>
      <c r="KW84" s="1008">
        <v>0</v>
      </c>
      <c r="KX84" s="1007">
        <v>0</v>
      </c>
      <c r="KY84" s="1008">
        <v>0</v>
      </c>
      <c r="KZ84" s="1007">
        <v>0</v>
      </c>
      <c r="LA84" s="1008" t="s">
        <v>223</v>
      </c>
      <c r="LB84" s="1007">
        <v>-3.2825230679999997</v>
      </c>
      <c r="LC84" s="1008">
        <v>0</v>
      </c>
      <c r="LD84" s="1007">
        <v>0</v>
      </c>
      <c r="LE84" s="1008" t="s">
        <v>206</v>
      </c>
      <c r="LF84" s="1007">
        <v>-0.81436640999999987</v>
      </c>
      <c r="LG84" s="1008">
        <v>0</v>
      </c>
      <c r="LH84" s="1007">
        <v>0</v>
      </c>
      <c r="LI84" s="1008">
        <v>0</v>
      </c>
      <c r="LJ84" s="1007">
        <v>0</v>
      </c>
      <c r="LK84" s="1008">
        <v>0</v>
      </c>
      <c r="LL84" s="1007">
        <v>0</v>
      </c>
      <c r="LM84" s="1008">
        <v>0</v>
      </c>
      <c r="LN84" s="1007">
        <v>1.4435249999999999</v>
      </c>
      <c r="LO84" s="1008">
        <v>0</v>
      </c>
      <c r="LP84" s="1007">
        <v>-0.34454410000000002</v>
      </c>
      <c r="LQ84" s="1008" t="s">
        <v>25</v>
      </c>
      <c r="LR84" s="1007">
        <v>11.536799999999999</v>
      </c>
      <c r="LS84" s="1008">
        <v>0</v>
      </c>
      <c r="LT84" s="1007">
        <v>-6.4146698000000004</v>
      </c>
      <c r="LU84" s="1008">
        <v>0</v>
      </c>
      <c r="LV84" s="1007">
        <v>-0.212427599999998</v>
      </c>
      <c r="LW84" s="1008">
        <v>0</v>
      </c>
      <c r="LX84" s="1007">
        <v>0.51497630000000005</v>
      </c>
      <c r="LY84" s="1009" t="s">
        <v>206</v>
      </c>
      <c r="LZ84" s="1010">
        <v>2.11245496</v>
      </c>
      <c r="MA84" s="1011">
        <v>0</v>
      </c>
      <c r="MB84" s="1012">
        <v>0</v>
      </c>
      <c r="MC84" s="995"/>
      <c r="MD84" s="996"/>
      <c r="ME84" s="997" t="s">
        <v>238</v>
      </c>
      <c r="MF84" s="997"/>
      <c r="MG84" s="998"/>
      <c r="NR84" s="1000"/>
      <c r="NS84" s="1000"/>
      <c r="NT84" s="1001"/>
      <c r="NU84" s="1000"/>
      <c r="NV84" s="1001"/>
      <c r="NX84" s="1002"/>
      <c r="NZ84" s="1001"/>
      <c r="OA84" s="1001"/>
      <c r="OC84" s="1003"/>
      <c r="OD84" s="1003"/>
      <c r="OE84" s="1001"/>
      <c r="OF84" s="1003"/>
      <c r="OG84" s="1003"/>
      <c r="QX84" s="1000">
        <f t="shared" si="51"/>
        <v>30</v>
      </c>
      <c r="ASU84" s="999" t="s">
        <v>208</v>
      </c>
    </row>
    <row r="85" spans="1:466 1191:1191" ht="21" customHeight="1" x14ac:dyDescent="0.25">
      <c r="A85" s="982">
        <f t="shared" si="0"/>
        <v>1001</v>
      </c>
      <c r="B85" s="124">
        <f>SUBTOTAL(103,$J$29:J85)</f>
        <v>57</v>
      </c>
      <c r="C85" s="126">
        <v>45068</v>
      </c>
      <c r="D85" s="124" t="s">
        <v>176</v>
      </c>
      <c r="E85" s="127" t="s">
        <v>177</v>
      </c>
      <c r="F85" s="128" t="s">
        <v>177</v>
      </c>
      <c r="G85" s="127" t="s">
        <v>178</v>
      </c>
      <c r="H85" s="127" t="s">
        <v>408</v>
      </c>
      <c r="I85" s="127" t="s">
        <v>538</v>
      </c>
      <c r="J85" s="152">
        <v>1001</v>
      </c>
      <c r="K85" s="127" t="s">
        <v>539</v>
      </c>
      <c r="L85" s="130">
        <v>39912</v>
      </c>
      <c r="M85" s="127" t="s">
        <v>230</v>
      </c>
      <c r="N85" s="127" t="s">
        <v>231</v>
      </c>
      <c r="O85" s="127" t="s">
        <v>185</v>
      </c>
      <c r="P85" s="127" t="s">
        <v>292</v>
      </c>
      <c r="Q85" s="85" t="str">
        <f t="shared" si="40"/>
        <v/>
      </c>
      <c r="R85" s="130"/>
      <c r="S85" s="128" t="s">
        <v>156</v>
      </c>
      <c r="T85" s="131"/>
      <c r="U85" s="132">
        <v>203</v>
      </c>
      <c r="V85" s="121">
        <v>218.2</v>
      </c>
      <c r="W85" s="116">
        <v>0.98</v>
      </c>
      <c r="X85" s="116">
        <v>1.66</v>
      </c>
      <c r="Y85" s="116">
        <f t="shared" si="41"/>
        <v>0.98040161029819439</v>
      </c>
      <c r="Z85" s="133">
        <v>1.454</v>
      </c>
      <c r="AA85" s="133">
        <v>0.83599999999999997</v>
      </c>
      <c r="AB85" s="133">
        <v>0.72</v>
      </c>
      <c r="AC85" s="121">
        <v>34.299999999999997</v>
      </c>
      <c r="AD85" s="134">
        <v>1.17</v>
      </c>
      <c r="AE85" s="124">
        <v>139.69999999999999</v>
      </c>
      <c r="AF85" s="128">
        <v>7.72</v>
      </c>
      <c r="AG85" s="128">
        <v>1851</v>
      </c>
      <c r="AH85" s="127">
        <v>2400</v>
      </c>
      <c r="AI85" s="127">
        <v>2400</v>
      </c>
      <c r="AJ85" s="135"/>
      <c r="AK85" s="128"/>
      <c r="AL85" s="131"/>
      <c r="AM85" s="124" t="s">
        <v>232</v>
      </c>
      <c r="AN85" s="136" t="s">
        <v>540</v>
      </c>
      <c r="AO85" s="137">
        <v>18.899999999999999</v>
      </c>
      <c r="AP85" s="128">
        <v>1851</v>
      </c>
      <c r="AQ85" s="128">
        <v>17.97</v>
      </c>
      <c r="AR85" s="128"/>
      <c r="AS85" s="128"/>
      <c r="AT85" s="122"/>
      <c r="AU85" s="124" t="s">
        <v>250</v>
      </c>
      <c r="AV85" s="115">
        <f>VLOOKUP(J85,'[63]ТР нефть'!$J$28:$BP$638,39,0)</f>
        <v>600</v>
      </c>
      <c r="AW85" s="115" t="str">
        <f>VLOOKUP(J85,'[63]ТР нефть'!$J$28:$BP$638,40,0)</f>
        <v>ГП</v>
      </c>
      <c r="AX85" s="115">
        <f>VLOOKUP(J85,'[63]ТР нефть'!$J$28:$BP$638,41,0)</f>
        <v>1200</v>
      </c>
      <c r="AY85" s="115" t="str">
        <f>VLOOKUP(J85,'[63]ТР нефть'!$J$28:$BP$638,42,0)</f>
        <v>ГК 87 1/8</v>
      </c>
      <c r="AZ85" s="115">
        <f>VLOOKUP(J85,'[63]ТР нефть'!$J$28:$BP$638,43,0)</f>
        <v>1751</v>
      </c>
      <c r="BA85" s="115" t="str">
        <f>VLOOKUP(J85,'[63]ТР нефть'!$J$28:$BP$638,44,0)</f>
        <v>ЦКсОК 5/16</v>
      </c>
      <c r="BB85" s="115" t="str">
        <f>VLOOKUP(J85,'[63]ТР нефть'!$J$28:$BP$638,45,0)</f>
        <v>-</v>
      </c>
      <c r="BC85" s="115" t="str">
        <f>VLOOKUP(J85,'[63]ТР нефть'!$J$28:$BP$638,46,0)</f>
        <v>-</v>
      </c>
      <c r="BD85" s="115" t="str">
        <f>VLOOKUP(J85,'[63]ТР нефть'!$J$28:$BP$638,47,0)</f>
        <v>-</v>
      </c>
      <c r="BE85" s="115" t="str">
        <f>VLOOKUP(J85,'[63]ТР нефть'!$J$28:$BP$638,48,0)</f>
        <v>-</v>
      </c>
      <c r="BF85" s="115" t="str">
        <f>VLOOKUP(J85,'[63]ТР нефть'!$J$28:$BP$638,49,0)</f>
        <v>-</v>
      </c>
      <c r="BG85" s="115" t="str">
        <f>VLOOKUP(J85,'[63]ТР нефть'!$J$28:$BP$638,50,0)</f>
        <v>-</v>
      </c>
      <c r="BH85" s="115">
        <f>VLOOKUP(J85,'[63]ТР нефть'!$J$28:$BP$638,51,0)</f>
        <v>1763</v>
      </c>
      <c r="BI85" s="115" t="str">
        <f>VLOOKUP(J85,'[63]ТР нефть'!$J$28:$BP$638,52,0)</f>
        <v>закрыт</v>
      </c>
      <c r="BJ85" s="115" t="str">
        <f>IF(IFERROR(VLOOKUP(J85,'[63]ТР нефть'!$J$28:$BP$638,53,0),"-")=0,"-",IFERROR(VLOOKUP(J85,'[63]ТР нефть'!$J$28:$BP$638,53,0),"-"))</f>
        <v>-</v>
      </c>
      <c r="BK85" s="138" t="str">
        <f>IF(IFERROR(VLOOKUP(J85,'[63]ТР нефть'!$J$28:$BP$638,54,0),"-")=0,"-",IFERROR(VLOOKUP(J85,'[63]ТР нефть'!$J$28:$BP$638,54,0),"-"))</f>
        <v>-</v>
      </c>
      <c r="BL85" s="138" t="str">
        <f>IF(IFERROR(VLOOKUP(J85,'[63]ТР нефть'!$J$28:$BP$638,55,0),"-")=0,"-",IFERROR(VLOOKUP(J85,'[63]ТР нефть'!$J$28:$BP$638,55,0),"-"))</f>
        <v>-</v>
      </c>
      <c r="BM85" s="138" t="str">
        <f>IF(IFERROR(VLOOKUP(J85,'[63]ТР нефть'!$J$28:$BP$638,56,0),"-")=0,"-",IFERROR(VLOOKUP(J85,'[63]ТР нефть'!$J$28:$BP$638,56,0),"-"))</f>
        <v>-</v>
      </c>
      <c r="BN85" s="138" t="str">
        <f>IF(IFERROR(VLOOKUP(J85,'[63]ТР нефть'!$J$28:$BP$638,57,0),"-")=0,"-",IFERROR(VLOOKUP(J85,'[63]ТР нефть'!$J$28:$BP$638,57,0),"-"))</f>
        <v>-</v>
      </c>
      <c r="BO85" s="115" t="str">
        <f>IF(IFERROR(VLOOKUP(J85,'[63]ТР нефть'!$J$28:$BP$638,58,0),"-")=0,"-",IFERROR(VLOOKUP(J85,'[63]ТР нефть'!$J$28:$BP$638,58,0),"-"))</f>
        <v>-</v>
      </c>
      <c r="BP85" s="115" t="str">
        <f>IF(IFERROR(VLOOKUP(J85,'[63]ТР нефть'!$J$28:$BP$638,59,0),"-")=0,"-",IFERROR(VLOOKUP(J85,'[63]ТР нефть'!$J$28:$BP$638,59,0),"-"))</f>
        <v>-</v>
      </c>
      <c r="BQ85" s="138">
        <v>2370</v>
      </c>
      <c r="BR85" s="128">
        <v>1884.96</v>
      </c>
      <c r="BS85" s="115">
        <f t="shared" si="2"/>
        <v>485.03999999999996</v>
      </c>
      <c r="BT85" s="128">
        <v>73</v>
      </c>
      <c r="BU85" s="128">
        <v>5.5</v>
      </c>
      <c r="BV85" s="127">
        <v>12</v>
      </c>
      <c r="BW85" s="127" t="s">
        <v>217</v>
      </c>
      <c r="BX85" s="127" t="s">
        <v>195</v>
      </c>
      <c r="BY85" s="139">
        <v>24</v>
      </c>
      <c r="BZ85" s="139">
        <v>0</v>
      </c>
      <c r="CA85" s="115">
        <v>27</v>
      </c>
      <c r="CB85" s="115">
        <v>35</v>
      </c>
      <c r="CC85" s="115">
        <v>26</v>
      </c>
      <c r="CD85" s="135">
        <v>45017</v>
      </c>
      <c r="CE85" s="138">
        <v>74.599999999999994</v>
      </c>
      <c r="CF85" s="138"/>
      <c r="CG85" s="138" t="str">
        <f t="shared" si="52"/>
        <v/>
      </c>
      <c r="CH85" s="138" t="s">
        <v>197</v>
      </c>
      <c r="CI85" s="127"/>
      <c r="CJ85" s="138"/>
      <c r="CK85" s="138"/>
      <c r="CL85" s="99"/>
      <c r="CM85" s="127"/>
      <c r="CN85" s="154">
        <v>44</v>
      </c>
      <c r="CO85" s="159">
        <f>CP85*(1-CQ85/100)*0.836</f>
        <v>3.8417543999999997</v>
      </c>
      <c r="CP85" s="160">
        <v>4.5999999999999996</v>
      </c>
      <c r="CQ85" s="161">
        <v>0.1</v>
      </c>
      <c r="CR85" s="115">
        <v>17.899999999999999</v>
      </c>
      <c r="CS85" s="139"/>
      <c r="CT85" s="138"/>
      <c r="CU85" s="138">
        <f t="shared" si="5"/>
        <v>17.899999999999999</v>
      </c>
      <c r="CV85" s="115">
        <f t="shared" si="6"/>
        <v>4659.3296021213646</v>
      </c>
      <c r="CW85" s="115" t="str">
        <f t="shared" si="7"/>
        <v/>
      </c>
      <c r="CX85" s="133">
        <f t="shared" si="8"/>
        <v>0.15032679738562094</v>
      </c>
      <c r="CY85" s="116"/>
      <c r="CZ85" s="131"/>
      <c r="DA85" s="145" t="str">
        <f t="shared" si="9"/>
        <v>Фон.</v>
      </c>
      <c r="DB85" s="146">
        <f t="shared" si="10"/>
        <v>3.8417543999999997</v>
      </c>
      <c r="DC85" s="142">
        <f t="shared" si="11"/>
        <v>4.5999999999999996</v>
      </c>
      <c r="DD85" s="119">
        <f t="shared" si="12"/>
        <v>0.1</v>
      </c>
      <c r="DE85" s="115">
        <f t="shared" si="13"/>
        <v>17.899999999999999</v>
      </c>
      <c r="DF85" s="121">
        <f t="shared" si="14"/>
        <v>0</v>
      </c>
      <c r="DG85" s="115">
        <f t="shared" si="15"/>
        <v>4659.3296021213646</v>
      </c>
      <c r="DH85" s="115">
        <f t="shared" si="16"/>
        <v>44</v>
      </c>
      <c r="DI85" s="147"/>
      <c r="DJ85" s="111">
        <v>43596</v>
      </c>
      <c r="DK85" s="112">
        <v>39912</v>
      </c>
      <c r="DL85" s="113">
        <f t="shared" ca="1" si="42"/>
        <v>5192</v>
      </c>
      <c r="DM85" s="114"/>
      <c r="DN85" s="114"/>
      <c r="DO85" s="114"/>
      <c r="DP85" s="114"/>
      <c r="DQ85" s="112">
        <v>43608</v>
      </c>
      <c r="DR85" s="114" t="s">
        <v>198</v>
      </c>
      <c r="DS85" s="114"/>
      <c r="DT85" s="115">
        <v>43</v>
      </c>
      <c r="DU85" s="116">
        <f t="shared" si="43"/>
        <v>0.14923152017333954</v>
      </c>
      <c r="DV85" s="117">
        <f t="shared" si="44"/>
        <v>3.9383962687238832</v>
      </c>
      <c r="DW85" s="118">
        <f t="shared" si="45"/>
        <v>4.7157160374775291</v>
      </c>
      <c r="DX85" s="119">
        <f t="shared" si="21"/>
        <v>0.1</v>
      </c>
      <c r="DY85" s="115">
        <f t="shared" si="46"/>
        <v>18.350286319749518</v>
      </c>
      <c r="DZ85" s="117">
        <f t="shared" si="47"/>
        <v>9.6641868723883473E-2</v>
      </c>
      <c r="EA85" s="120">
        <f t="shared" si="47"/>
        <v>0.11571603747752945</v>
      </c>
      <c r="EB85" s="119">
        <f t="shared" si="47"/>
        <v>0</v>
      </c>
      <c r="EC85" s="121">
        <f t="shared" si="48"/>
        <v>0.45028631974951949</v>
      </c>
      <c r="ED85" s="122"/>
      <c r="EE85" s="145">
        <v>12</v>
      </c>
      <c r="EF85" s="115">
        <v>27</v>
      </c>
      <c r="EG85" s="115">
        <v>35</v>
      </c>
      <c r="EH85" s="115">
        <v>26</v>
      </c>
      <c r="EI85" s="128" t="s">
        <v>195</v>
      </c>
      <c r="EJ85" s="121">
        <v>24</v>
      </c>
      <c r="EK85" s="121">
        <v>0</v>
      </c>
      <c r="EL85" s="162">
        <v>3.8417543999999997</v>
      </c>
      <c r="EM85" s="142">
        <v>4.5999999999999996</v>
      </c>
      <c r="EN85" s="119">
        <v>0.1</v>
      </c>
      <c r="EO85" s="115">
        <v>17.899999999999999</v>
      </c>
      <c r="EP85" s="115">
        <v>4659.3296021213646</v>
      </c>
      <c r="EQ85" s="115">
        <v>0</v>
      </c>
      <c r="ER85" s="115">
        <v>0</v>
      </c>
      <c r="ES85" s="115">
        <v>44</v>
      </c>
      <c r="ET85" s="150">
        <v>0.15032679738562094</v>
      </c>
      <c r="EU85" s="145">
        <f t="shared" si="25"/>
        <v>12</v>
      </c>
      <c r="EV85" s="115">
        <f t="shared" si="26"/>
        <v>27</v>
      </c>
      <c r="EW85" s="115">
        <f t="shared" si="26"/>
        <v>35</v>
      </c>
      <c r="EX85" s="115">
        <f t="shared" si="26"/>
        <v>26</v>
      </c>
      <c r="EY85" s="115" t="str">
        <f t="shared" si="53"/>
        <v>Постоянный</v>
      </c>
      <c r="EZ85" s="115">
        <f t="shared" si="53"/>
        <v>24</v>
      </c>
      <c r="FA85" s="115">
        <f t="shared" si="53"/>
        <v>0</v>
      </c>
      <c r="FB85" s="149">
        <f t="shared" si="28"/>
        <v>3.8417543999999997</v>
      </c>
      <c r="FC85" s="142">
        <f t="shared" si="28"/>
        <v>4.5999999999999996</v>
      </c>
      <c r="FD85" s="119">
        <f t="shared" si="28"/>
        <v>0.1</v>
      </c>
      <c r="FE85" s="121">
        <f t="shared" si="28"/>
        <v>17.899999999999999</v>
      </c>
      <c r="FF85" s="121">
        <f t="shared" si="49"/>
        <v>4659.3296021213646</v>
      </c>
      <c r="FG85" s="121">
        <f t="shared" si="30"/>
        <v>0</v>
      </c>
      <c r="FH85" s="121">
        <f t="shared" si="50"/>
        <v>0</v>
      </c>
      <c r="FI85" s="121">
        <f t="shared" si="54"/>
        <v>44</v>
      </c>
      <c r="FJ85" s="144">
        <f t="shared" si="33"/>
        <v>0.15032679738562094</v>
      </c>
      <c r="FK85" s="132">
        <f t="shared" si="34"/>
        <v>0</v>
      </c>
      <c r="FL85" s="115">
        <f t="shared" si="34"/>
        <v>0</v>
      </c>
      <c r="FM85" s="115">
        <f t="shared" si="34"/>
        <v>0</v>
      </c>
      <c r="FN85" s="115">
        <f t="shared" si="34"/>
        <v>0</v>
      </c>
      <c r="FO85" s="115">
        <f t="shared" si="57"/>
        <v>0</v>
      </c>
      <c r="FP85" s="115">
        <f t="shared" si="56"/>
        <v>0</v>
      </c>
      <c r="FQ85" s="149">
        <f t="shared" si="56"/>
        <v>0</v>
      </c>
      <c r="FR85" s="142">
        <f t="shared" si="56"/>
        <v>0</v>
      </c>
      <c r="FS85" s="119">
        <f t="shared" si="56"/>
        <v>0</v>
      </c>
      <c r="FT85" s="121">
        <f t="shared" si="56"/>
        <v>0</v>
      </c>
      <c r="FU85" s="121">
        <f t="shared" si="36"/>
        <v>0</v>
      </c>
      <c r="FV85" s="121">
        <f t="shared" si="36"/>
        <v>0</v>
      </c>
      <c r="FW85" s="121">
        <f t="shared" si="37"/>
        <v>0</v>
      </c>
      <c r="FX85" s="121">
        <f t="shared" si="38"/>
        <v>0</v>
      </c>
      <c r="FY85" s="144">
        <f t="shared" si="38"/>
        <v>0</v>
      </c>
      <c r="FZ85" s="145"/>
      <c r="GA85" s="163" t="s">
        <v>427</v>
      </c>
      <c r="GB85" s="145"/>
      <c r="GC85" s="163" t="s">
        <v>541</v>
      </c>
      <c r="GD85" s="997" t="s">
        <v>416</v>
      </c>
      <c r="GE85" s="1004"/>
      <c r="GF85" s="1004">
        <v>0</v>
      </c>
      <c r="GG85" s="1004"/>
      <c r="GH85" s="1004">
        <v>0</v>
      </c>
      <c r="GI85" s="145"/>
      <c r="GJ85" s="996">
        <v>0</v>
      </c>
      <c r="GK85" s="145"/>
      <c r="GL85" s="996">
        <v>0</v>
      </c>
      <c r="GM85" s="1005"/>
      <c r="GN85" s="996">
        <v>0</v>
      </c>
      <c r="GO85" s="1006"/>
      <c r="GP85" s="996">
        <v>0</v>
      </c>
      <c r="GQ85" s="1006"/>
      <c r="GR85" s="996">
        <v>0</v>
      </c>
      <c r="GS85" s="1006"/>
      <c r="GT85" s="996">
        <v>0</v>
      </c>
      <c r="GU85" s="1006"/>
      <c r="GV85" s="996">
        <v>0</v>
      </c>
      <c r="GW85" s="1006"/>
      <c r="GX85" s="996">
        <v>0</v>
      </c>
      <c r="GY85" s="1006"/>
      <c r="GZ85" s="996">
        <v>-0.12978899999999971</v>
      </c>
      <c r="HA85" s="1006" t="s">
        <v>223</v>
      </c>
      <c r="HB85" s="996">
        <v>-1.4915493999999998</v>
      </c>
      <c r="HC85" s="1006"/>
      <c r="HD85" s="996">
        <v>0.49725280000000005</v>
      </c>
      <c r="HE85" s="1006" t="s">
        <v>204</v>
      </c>
      <c r="HF85" s="996">
        <v>-3.4777600000000009</v>
      </c>
      <c r="HG85" s="1006"/>
      <c r="HH85" s="996">
        <v>0</v>
      </c>
      <c r="HI85" s="1006"/>
      <c r="HJ85" s="996">
        <v>0</v>
      </c>
      <c r="HK85" s="1006"/>
      <c r="HL85" s="996">
        <v>0</v>
      </c>
      <c r="HM85" s="1006"/>
      <c r="HN85" s="996">
        <v>0</v>
      </c>
      <c r="HO85" s="1006"/>
      <c r="HP85" s="996">
        <v>0</v>
      </c>
      <c r="HQ85" s="1006"/>
      <c r="HR85" s="996">
        <v>0</v>
      </c>
      <c r="HS85" s="1006" t="s">
        <v>199</v>
      </c>
      <c r="HT85" s="996">
        <v>1.3956351200000015</v>
      </c>
      <c r="HU85" s="1006"/>
      <c r="HV85" s="996">
        <v>0.4428960799999988</v>
      </c>
      <c r="HW85" s="1006"/>
      <c r="HX85" s="996">
        <v>0</v>
      </c>
      <c r="HY85" s="1006" t="s">
        <v>204</v>
      </c>
      <c r="HZ85" s="996">
        <v>1.2357334</v>
      </c>
      <c r="IA85" s="1006"/>
      <c r="IB85" s="996">
        <v>-0.83541087080000054</v>
      </c>
      <c r="IC85" s="1006" t="s">
        <v>223</v>
      </c>
      <c r="ID85" s="996">
        <v>-1.2828175051999997</v>
      </c>
      <c r="IE85" s="1006"/>
      <c r="IF85" s="996">
        <v>0.32642121599999996</v>
      </c>
      <c r="IG85" s="1006"/>
      <c r="IH85" s="996">
        <v>0</v>
      </c>
      <c r="II85" s="1006"/>
      <c r="IJ85" s="996">
        <v>-0.10737583999999956</v>
      </c>
      <c r="IK85" s="1006"/>
      <c r="IL85" s="996">
        <v>0</v>
      </c>
      <c r="IM85" s="1006" t="s">
        <v>199</v>
      </c>
      <c r="IN85" s="996">
        <v>1.8171296000000003</v>
      </c>
      <c r="IO85" s="1006" t="s">
        <v>199</v>
      </c>
      <c r="IP85" s="996">
        <v>-1.9079860799999997</v>
      </c>
      <c r="IQ85" s="1006" t="s">
        <v>223</v>
      </c>
      <c r="IR85" s="996">
        <v>-1.3628472000000009</v>
      </c>
      <c r="IS85" s="1006"/>
      <c r="IT85" s="996">
        <v>0</v>
      </c>
      <c r="IU85" s="1006" t="s">
        <v>199</v>
      </c>
      <c r="IV85" s="996">
        <v>4.1298400000000006</v>
      </c>
      <c r="IW85" s="1006" t="s">
        <v>199</v>
      </c>
      <c r="IX85" s="996">
        <v>1.0155560799999992</v>
      </c>
      <c r="IY85" s="1006"/>
      <c r="IZ85" s="996">
        <v>0</v>
      </c>
      <c r="JA85" s="1006"/>
      <c r="JB85" s="996">
        <v>0</v>
      </c>
      <c r="JC85" s="1006" t="s">
        <v>199</v>
      </c>
      <c r="JD85" s="996">
        <v>-5.7395579999999988</v>
      </c>
      <c r="JE85" s="1006"/>
      <c r="JF85" s="996">
        <v>0</v>
      </c>
      <c r="JG85" s="1006"/>
      <c r="JH85" s="996">
        <v>0</v>
      </c>
      <c r="JI85" s="1006"/>
      <c r="JJ85" s="996">
        <v>0</v>
      </c>
      <c r="JK85" s="1007"/>
      <c r="JL85" s="1007">
        <v>0</v>
      </c>
      <c r="JM85" s="1007"/>
      <c r="JN85" s="1007">
        <v>0</v>
      </c>
      <c r="JO85" s="1008"/>
      <c r="JP85" s="1007">
        <v>0</v>
      </c>
      <c r="JQ85" s="1008">
        <v>0</v>
      </c>
      <c r="JR85" s="1007">
        <v>0</v>
      </c>
      <c r="JS85" s="1008">
        <v>0</v>
      </c>
      <c r="JT85" s="1007">
        <v>0</v>
      </c>
      <c r="JU85" s="1008" t="s">
        <v>203</v>
      </c>
      <c r="JV85" s="1007">
        <v>-6.2896160000000005</v>
      </c>
      <c r="JW85" s="1008" t="s">
        <v>25</v>
      </c>
      <c r="JX85" s="1007">
        <v>13.1</v>
      </c>
      <c r="JY85" s="1008" t="s">
        <v>199</v>
      </c>
      <c r="JZ85" s="1007">
        <v>-3.3281160000000001</v>
      </c>
      <c r="KA85" s="1008"/>
      <c r="KB85" s="1007">
        <v>0</v>
      </c>
      <c r="KC85" s="1008" t="s">
        <v>204</v>
      </c>
      <c r="KD85" s="1007">
        <v>-1.1138864000000002</v>
      </c>
      <c r="KE85" s="1008" t="s">
        <v>199</v>
      </c>
      <c r="KF85" s="1007">
        <v>0.73883506399999987</v>
      </c>
      <c r="KG85" s="1008" t="s">
        <v>207</v>
      </c>
      <c r="KH85" s="1007">
        <v>2.5963200559999997</v>
      </c>
      <c r="KI85" s="1008" t="s">
        <v>207</v>
      </c>
      <c r="KJ85" s="1007">
        <v>-6.4281879199999992</v>
      </c>
      <c r="KK85" s="1008"/>
      <c r="KL85" s="1007">
        <v>0</v>
      </c>
      <c r="KM85" s="1008"/>
      <c r="KN85" s="1007">
        <v>0</v>
      </c>
      <c r="KO85" s="1008"/>
      <c r="KP85" s="1007">
        <v>0</v>
      </c>
      <c r="KQ85" s="1008" t="s">
        <v>206</v>
      </c>
      <c r="KR85" s="1007">
        <v>0</v>
      </c>
      <c r="KS85" s="1008" t="s">
        <v>204</v>
      </c>
      <c r="KT85" s="1007">
        <v>-0.81309360000000019</v>
      </c>
      <c r="KU85" s="1008">
        <v>0</v>
      </c>
      <c r="KV85" s="1007">
        <v>0</v>
      </c>
      <c r="KW85" s="1008">
        <v>0</v>
      </c>
      <c r="KX85" s="1007">
        <v>0</v>
      </c>
      <c r="KY85" s="1008">
        <v>0</v>
      </c>
      <c r="KZ85" s="1007">
        <v>0</v>
      </c>
      <c r="LA85" s="1008" t="s">
        <v>204</v>
      </c>
      <c r="LB85" s="1007">
        <v>-0.83315759999999983</v>
      </c>
      <c r="LC85" s="1008">
        <v>0</v>
      </c>
      <c r="LD85" s="1007">
        <v>0</v>
      </c>
      <c r="LE85" s="1008">
        <v>0</v>
      </c>
      <c r="LF85" s="1007">
        <v>0</v>
      </c>
      <c r="LG85" s="1008">
        <v>0</v>
      </c>
      <c r="LH85" s="1007">
        <v>0</v>
      </c>
      <c r="LI85" s="1008">
        <v>0</v>
      </c>
      <c r="LJ85" s="1007">
        <v>0</v>
      </c>
      <c r="LK85" s="1008" t="s">
        <v>207</v>
      </c>
      <c r="LL85" s="1007">
        <v>4.4814360000000004</v>
      </c>
      <c r="LM85" s="1008" t="s">
        <v>206</v>
      </c>
      <c r="LN85" s="1007">
        <v>-1.5413399999999999</v>
      </c>
      <c r="LO85" s="1008">
        <v>0</v>
      </c>
      <c r="LP85" s="1007">
        <v>0</v>
      </c>
      <c r="LQ85" s="1008" t="s">
        <v>199</v>
      </c>
      <c r="LR85" s="1007">
        <v>3.8814639999999998</v>
      </c>
      <c r="LS85" s="1008" t="s">
        <v>206</v>
      </c>
      <c r="LT85" s="1007">
        <v>-1.3927759999999978</v>
      </c>
      <c r="LU85" s="1008">
        <v>0</v>
      </c>
      <c r="LV85" s="1007">
        <v>0</v>
      </c>
      <c r="LW85" s="1008">
        <v>0</v>
      </c>
      <c r="LX85" s="1007">
        <v>-1.6385600000000018</v>
      </c>
      <c r="LY85" s="1009">
        <v>0</v>
      </c>
      <c r="LZ85" s="1010">
        <v>0</v>
      </c>
      <c r="MA85" s="1011">
        <v>0</v>
      </c>
      <c r="MB85" s="1012">
        <v>0</v>
      </c>
      <c r="MC85" s="995"/>
      <c r="MD85" s="996"/>
      <c r="ME85" s="997" t="s">
        <v>416</v>
      </c>
      <c r="MF85" s="997"/>
      <c r="MG85" s="998"/>
      <c r="NR85" s="1000"/>
      <c r="NS85" s="1000"/>
      <c r="NT85" s="1001"/>
      <c r="NU85" s="1000"/>
      <c r="NV85" s="1001"/>
      <c r="NX85" s="1002"/>
      <c r="NZ85" s="1001"/>
      <c r="OA85" s="1001"/>
      <c r="OC85" s="1003"/>
      <c r="OD85" s="1003"/>
      <c r="OE85" s="1001"/>
      <c r="OF85" s="1003"/>
      <c r="OG85" s="1003"/>
      <c r="QX85" s="1000">
        <f t="shared" si="51"/>
        <v>17</v>
      </c>
      <c r="ASU85" s="999" t="s">
        <v>208</v>
      </c>
    </row>
    <row r="86" spans="1:466 1191:1191" ht="21" customHeight="1" x14ac:dyDescent="0.25">
      <c r="A86" s="982" t="str">
        <f t="shared" si="0"/>
        <v>1001-2</v>
      </c>
      <c r="B86" s="124">
        <f>SUBTOTAL(103,$J$29:J86)</f>
        <v>58</v>
      </c>
      <c r="C86" s="126">
        <v>45068</v>
      </c>
      <c r="D86" s="124" t="s">
        <v>176</v>
      </c>
      <c r="E86" s="127" t="s">
        <v>177</v>
      </c>
      <c r="F86" s="128" t="s">
        <v>177</v>
      </c>
      <c r="G86" s="127" t="s">
        <v>178</v>
      </c>
      <c r="H86" s="127" t="s">
        <v>408</v>
      </c>
      <c r="I86" s="127" t="s">
        <v>538</v>
      </c>
      <c r="J86" s="152" t="s">
        <v>542</v>
      </c>
      <c r="K86" s="127" t="s">
        <v>539</v>
      </c>
      <c r="L86" s="130">
        <v>40047</v>
      </c>
      <c r="M86" s="127" t="s">
        <v>230</v>
      </c>
      <c r="N86" s="127" t="s">
        <v>231</v>
      </c>
      <c r="O86" s="127" t="s">
        <v>185</v>
      </c>
      <c r="P86" s="127" t="s">
        <v>186</v>
      </c>
      <c r="Q86" s="85" t="str">
        <f t="shared" si="40"/>
        <v/>
      </c>
      <c r="R86" s="130"/>
      <c r="S86" s="128" t="s">
        <v>156</v>
      </c>
      <c r="T86" s="131"/>
      <c r="U86" s="132">
        <v>203</v>
      </c>
      <c r="V86" s="121">
        <v>218.2</v>
      </c>
      <c r="W86" s="116">
        <v>0.98</v>
      </c>
      <c r="X86" s="116">
        <v>1.66</v>
      </c>
      <c r="Y86" s="116">
        <f t="shared" si="41"/>
        <v>1.0175131348511381</v>
      </c>
      <c r="Z86" s="133">
        <v>1.454</v>
      </c>
      <c r="AA86" s="133">
        <v>0.83599999999999997</v>
      </c>
      <c r="AB86" s="133">
        <v>0.72</v>
      </c>
      <c r="AC86" s="121">
        <v>34.299999999999997</v>
      </c>
      <c r="AD86" s="134">
        <v>1.17</v>
      </c>
      <c r="AE86" s="124">
        <v>139.69999999999999</v>
      </c>
      <c r="AF86" s="128">
        <v>7.72</v>
      </c>
      <c r="AG86" s="128">
        <v>1886</v>
      </c>
      <c r="AH86" s="127">
        <v>2514.8000000000002</v>
      </c>
      <c r="AI86" s="127">
        <v>2514.8000000000002</v>
      </c>
      <c r="AJ86" s="135"/>
      <c r="AK86" s="128"/>
      <c r="AL86" s="131"/>
      <c r="AM86" s="124" t="s">
        <v>232</v>
      </c>
      <c r="AN86" s="136" t="s">
        <v>543</v>
      </c>
      <c r="AO86" s="137">
        <v>98.990000000000009</v>
      </c>
      <c r="AP86" s="128">
        <v>1577.5</v>
      </c>
      <c r="AQ86" s="128">
        <v>37.799999999999997</v>
      </c>
      <c r="AR86" s="128"/>
      <c r="AS86" s="128"/>
      <c r="AT86" s="122"/>
      <c r="AU86" s="124" t="s">
        <v>189</v>
      </c>
      <c r="AV86" s="115">
        <f>VLOOKUP(J86,'[63]ТР нефть'!$J$28:$BP$638,39,0)</f>
        <v>499.99999218800002</v>
      </c>
      <c r="AW86" s="115" t="str">
        <f>VLOOKUP(J86,'[63]ТР нефть'!$J$28:$BP$638,40,0)</f>
        <v>ГП</v>
      </c>
      <c r="AX86" s="115">
        <f>VLOOKUP(J86,'[63]ТР нефть'!$J$28:$BP$638,41,0)</f>
        <v>890.00000097700001</v>
      </c>
      <c r="AY86" s="115" t="str">
        <f>VLOOKUP(J86,'[63]ТР нефть'!$J$28:$BP$638,42,0)</f>
        <v>ГП</v>
      </c>
      <c r="AZ86" s="115">
        <f>VLOOKUP(J86,'[63]ТР нефть'!$J$28:$BP$638,43,0)</f>
        <v>1209.9999662109999</v>
      </c>
      <c r="BA86" s="115" t="str">
        <f>VLOOKUP(J86,'[63]ТР нефть'!$J$28:$BP$638,44,0)</f>
        <v>ГК 85 1/8</v>
      </c>
      <c r="BB86" s="115">
        <f>VLOOKUP(J86,'[63]ТР нефть'!$J$28:$BP$638,45,0)</f>
        <v>1530.0000058590001</v>
      </c>
      <c r="BC86" s="115" t="str">
        <f>VLOOKUP(J86,'[63]ТР нефть'!$J$28:$BP$638,46,0)</f>
        <v>ЦКсОК 5/16</v>
      </c>
      <c r="BD86" s="115" t="str">
        <f>VLOOKUP(J86,'[63]ТР нефть'!$J$28:$BP$638,47,0)</f>
        <v>-</v>
      </c>
      <c r="BE86" s="115" t="str">
        <f>VLOOKUP(J86,'[63]ТР нефть'!$J$28:$BP$638,48,0)</f>
        <v>-</v>
      </c>
      <c r="BF86" s="115" t="str">
        <f>VLOOKUP(J86,'[63]ТР нефть'!$J$28:$BP$638,49,0)</f>
        <v>-</v>
      </c>
      <c r="BG86" s="115" t="str">
        <f>VLOOKUP(J86,'[63]ТР нефть'!$J$28:$BP$638,50,0)</f>
        <v>-</v>
      </c>
      <c r="BH86" s="115">
        <f>VLOOKUP(J86,'[63]ТР нефть'!$J$28:$BP$638,51,0)</f>
        <v>1540</v>
      </c>
      <c r="BI86" s="115" t="str">
        <f>VLOOKUP(J86,'[63]ТР нефть'!$J$28:$BP$638,52,0)</f>
        <v>закрыт</v>
      </c>
      <c r="BJ86" s="115" t="str">
        <f>IF(IFERROR(VLOOKUP(J86,'[63]ТР нефть'!$J$28:$BP$638,53,0),"-")=0,"-",IFERROR(VLOOKUP(J86,'[63]ТР нефть'!$J$28:$BP$638,53,0),"-"))</f>
        <v>-</v>
      </c>
      <c r="BK86" s="138" t="str">
        <f>IF(IFERROR(VLOOKUP(J86,'[63]ТР нефть'!$J$28:$BP$638,54,0),"-")=0,"-",IFERROR(VLOOKUP(J86,'[63]ТР нефть'!$J$28:$BP$638,54,0),"-"))</f>
        <v>-</v>
      </c>
      <c r="BL86" s="138" t="str">
        <f>IF(IFERROR(VLOOKUP(J86,'[63]ТР нефть'!$J$28:$BP$638,55,0),"-")=0,"-",IFERROR(VLOOKUP(J86,'[63]ТР нефть'!$J$28:$BP$638,55,0),"-"))</f>
        <v>-</v>
      </c>
      <c r="BM86" s="138" t="str">
        <f>IF(IFERROR(VLOOKUP(J86,'[63]ТР нефть'!$J$28:$BP$638,56,0),"-")=0,"-",IFERROR(VLOOKUP(J86,'[63]ТР нефть'!$J$28:$BP$638,56,0),"-"))</f>
        <v>-</v>
      </c>
      <c r="BN86" s="138" t="str">
        <f>IF(IFERROR(VLOOKUP(J86,'[63]ТР нефть'!$J$28:$BP$638,57,0),"-")=0,"-",IFERROR(VLOOKUP(J86,'[63]ТР нефть'!$J$28:$BP$638,57,0),"-"))</f>
        <v>-</v>
      </c>
      <c r="BO86" s="115" t="str">
        <f>IF(IFERROR(VLOOKUP(J86,'[63]ТР нефть'!$J$28:$BP$638,58,0),"-")=0,"-",IFERROR(VLOOKUP(J86,'[63]ТР нефть'!$J$28:$BP$638,58,0),"-"))</f>
        <v>-</v>
      </c>
      <c r="BP86" s="115" t="str">
        <f>IF(IFERROR(VLOOKUP(J86,'[63]ТР нефть'!$J$28:$BP$638,59,0),"-")=0,"-",IFERROR(VLOOKUP(J86,'[63]ТР нефть'!$J$28:$BP$638,59,0),"-"))</f>
        <v>-</v>
      </c>
      <c r="BQ86" s="138">
        <v>1930</v>
      </c>
      <c r="BR86" s="128">
        <v>1839.78</v>
      </c>
      <c r="BS86" s="115">
        <f t="shared" si="2"/>
        <v>90.220000000000027</v>
      </c>
      <c r="BT86" s="128">
        <v>73</v>
      </c>
      <c r="BU86" s="128">
        <v>5.5</v>
      </c>
      <c r="BV86" s="127">
        <v>18</v>
      </c>
      <c r="BW86" s="127" t="s">
        <v>217</v>
      </c>
      <c r="BX86" s="127" t="s">
        <v>195</v>
      </c>
      <c r="BY86" s="139">
        <v>24</v>
      </c>
      <c r="BZ86" s="139">
        <v>0</v>
      </c>
      <c r="CA86" s="138">
        <v>28</v>
      </c>
      <c r="CB86" s="138">
        <v>36</v>
      </c>
      <c r="CC86" s="138">
        <v>27</v>
      </c>
      <c r="CD86" s="135">
        <v>45017</v>
      </c>
      <c r="CE86" s="138">
        <v>86</v>
      </c>
      <c r="CF86" s="138">
        <v>68</v>
      </c>
      <c r="CG86" s="138" t="str">
        <f t="shared" si="52"/>
        <v/>
      </c>
      <c r="CH86" s="138" t="s">
        <v>197</v>
      </c>
      <c r="CI86" s="127">
        <v>6</v>
      </c>
      <c r="CJ86" s="138"/>
      <c r="CK86" s="138"/>
      <c r="CL86" s="99"/>
      <c r="CM86" s="99"/>
      <c r="CN86" s="140">
        <v>45</v>
      </c>
      <c r="CO86" s="159">
        <f t="shared" si="4"/>
        <v>3.46069724</v>
      </c>
      <c r="CP86" s="160">
        <v>4.5490000000000004</v>
      </c>
      <c r="CQ86" s="161">
        <v>9</v>
      </c>
      <c r="CR86" s="138">
        <v>12.3</v>
      </c>
      <c r="CS86" s="139">
        <v>7.2</v>
      </c>
      <c r="CT86" s="138"/>
      <c r="CU86" s="138">
        <f>IF(CR86&lt;&gt;"0",CR86-CS86,"0")</f>
        <v>5.1000000000000005</v>
      </c>
      <c r="CV86" s="115">
        <f t="shared" si="6"/>
        <v>1473.6914691791994</v>
      </c>
      <c r="CW86" s="115">
        <f t="shared" si="7"/>
        <v>1829.8289474375076</v>
      </c>
      <c r="CX86" s="133">
        <f t="shared" si="8"/>
        <v>0.11095121951219514</v>
      </c>
      <c r="CY86" s="116"/>
      <c r="CZ86" s="131"/>
      <c r="DA86" s="145" t="str">
        <f t="shared" si="9"/>
        <v>Газлифт</v>
      </c>
      <c r="DB86" s="146">
        <f t="shared" si="10"/>
        <v>3.46069724</v>
      </c>
      <c r="DC86" s="142">
        <f t="shared" si="11"/>
        <v>4.5490000000000004</v>
      </c>
      <c r="DD86" s="119">
        <f t="shared" si="12"/>
        <v>9</v>
      </c>
      <c r="DE86" s="115">
        <f t="shared" si="13"/>
        <v>5.1000000000000005</v>
      </c>
      <c r="DF86" s="121">
        <f t="shared" si="14"/>
        <v>7.2</v>
      </c>
      <c r="DG86" s="115">
        <f t="shared" si="15"/>
        <v>1473.6914691791994</v>
      </c>
      <c r="DH86" s="115">
        <f t="shared" si="16"/>
        <v>45</v>
      </c>
      <c r="DI86" s="147"/>
      <c r="DJ86" s="111" t="s">
        <v>197</v>
      </c>
      <c r="DK86" s="112">
        <v>43235.083333333336</v>
      </c>
      <c r="DL86" s="113">
        <f t="shared" ca="1" si="42"/>
        <v>1868.9166666666642</v>
      </c>
      <c r="DM86" s="114"/>
      <c r="DN86" s="114"/>
      <c r="DO86" s="114"/>
      <c r="DP86" s="114"/>
      <c r="DQ86" s="112">
        <v>43235</v>
      </c>
      <c r="DR86" s="114" t="s">
        <v>282</v>
      </c>
      <c r="DS86" s="114"/>
      <c r="DT86" s="115">
        <v>55</v>
      </c>
      <c r="DU86" s="116">
        <f t="shared" si="43"/>
        <v>0.14674193548387099</v>
      </c>
      <c r="DV86" s="117">
        <f t="shared" si="44"/>
        <v>3.46069724</v>
      </c>
      <c r="DW86" s="118">
        <f t="shared" si="45"/>
        <v>4.5490000000000004</v>
      </c>
      <c r="DX86" s="119">
        <f t="shared" si="21"/>
        <v>9</v>
      </c>
      <c r="DY86" s="115">
        <f t="shared" si="46"/>
        <v>5.1000000000000005</v>
      </c>
      <c r="DZ86" s="117">
        <f t="shared" si="47"/>
        <v>0</v>
      </c>
      <c r="EA86" s="120">
        <f t="shared" si="47"/>
        <v>0</v>
      </c>
      <c r="EB86" s="119">
        <f t="shared" si="47"/>
        <v>0</v>
      </c>
      <c r="EC86" s="121">
        <f t="shared" si="48"/>
        <v>0</v>
      </c>
      <c r="ED86" s="122"/>
      <c r="EE86" s="145">
        <v>18</v>
      </c>
      <c r="EF86" s="115">
        <v>28</v>
      </c>
      <c r="EG86" s="115">
        <v>36</v>
      </c>
      <c r="EH86" s="115">
        <v>27</v>
      </c>
      <c r="EI86" s="128" t="s">
        <v>195</v>
      </c>
      <c r="EJ86" s="121">
        <v>24</v>
      </c>
      <c r="EK86" s="121">
        <v>0</v>
      </c>
      <c r="EL86" s="162">
        <v>3.46069724</v>
      </c>
      <c r="EM86" s="142">
        <v>4.5490000000000004</v>
      </c>
      <c r="EN86" s="119">
        <v>9</v>
      </c>
      <c r="EO86" s="115">
        <v>12.3</v>
      </c>
      <c r="EP86" s="115">
        <v>1473.6914691791994</v>
      </c>
      <c r="EQ86" s="115">
        <v>68</v>
      </c>
      <c r="ER86" s="115">
        <v>7.2</v>
      </c>
      <c r="ES86" s="115">
        <v>45</v>
      </c>
      <c r="ET86" s="150">
        <v>0.11095121951219514</v>
      </c>
      <c r="EU86" s="145">
        <f t="shared" si="25"/>
        <v>18</v>
      </c>
      <c r="EV86" s="115">
        <f t="shared" si="26"/>
        <v>28</v>
      </c>
      <c r="EW86" s="115">
        <f t="shared" si="26"/>
        <v>36</v>
      </c>
      <c r="EX86" s="115">
        <f t="shared" si="26"/>
        <v>27</v>
      </c>
      <c r="EY86" s="115" t="str">
        <f t="shared" si="53"/>
        <v>Постоянный</v>
      </c>
      <c r="EZ86" s="115">
        <f t="shared" si="53"/>
        <v>24</v>
      </c>
      <c r="FA86" s="115">
        <f t="shared" si="53"/>
        <v>0</v>
      </c>
      <c r="FB86" s="149">
        <f t="shared" si="28"/>
        <v>3.46069724</v>
      </c>
      <c r="FC86" s="142">
        <f t="shared" si="28"/>
        <v>4.5490000000000004</v>
      </c>
      <c r="FD86" s="119">
        <f t="shared" si="28"/>
        <v>9</v>
      </c>
      <c r="FE86" s="121">
        <f t="shared" si="28"/>
        <v>12.3</v>
      </c>
      <c r="FF86" s="121">
        <f t="shared" si="49"/>
        <v>1473.6914691791994</v>
      </c>
      <c r="FG86" s="121">
        <f t="shared" si="30"/>
        <v>68</v>
      </c>
      <c r="FH86" s="121">
        <f t="shared" si="50"/>
        <v>7.2</v>
      </c>
      <c r="FI86" s="121">
        <f t="shared" si="54"/>
        <v>45</v>
      </c>
      <c r="FJ86" s="144">
        <f t="shared" si="33"/>
        <v>0.11095121951219514</v>
      </c>
      <c r="FK86" s="132">
        <f t="shared" si="34"/>
        <v>0</v>
      </c>
      <c r="FL86" s="115">
        <f t="shared" si="34"/>
        <v>0</v>
      </c>
      <c r="FM86" s="115">
        <f t="shared" si="34"/>
        <v>0</v>
      </c>
      <c r="FN86" s="115">
        <f t="shared" si="34"/>
        <v>0</v>
      </c>
      <c r="FO86" s="115">
        <f t="shared" si="57"/>
        <v>0</v>
      </c>
      <c r="FP86" s="115">
        <f t="shared" si="56"/>
        <v>0</v>
      </c>
      <c r="FQ86" s="149">
        <f t="shared" si="56"/>
        <v>0</v>
      </c>
      <c r="FR86" s="142">
        <f t="shared" si="56"/>
        <v>0</v>
      </c>
      <c r="FS86" s="119">
        <f t="shared" si="56"/>
        <v>0</v>
      </c>
      <c r="FT86" s="121">
        <f t="shared" si="56"/>
        <v>0</v>
      </c>
      <c r="FU86" s="121">
        <f t="shared" si="36"/>
        <v>0</v>
      </c>
      <c r="FV86" s="121">
        <f t="shared" si="36"/>
        <v>0</v>
      </c>
      <c r="FW86" s="121">
        <f t="shared" si="37"/>
        <v>0</v>
      </c>
      <c r="FX86" s="121">
        <f t="shared" si="38"/>
        <v>0</v>
      </c>
      <c r="FY86" s="144">
        <f t="shared" si="38"/>
        <v>0</v>
      </c>
      <c r="FZ86" s="145"/>
      <c r="GA86" s="163"/>
      <c r="GB86" s="145" t="s">
        <v>199</v>
      </c>
      <c r="GC86" s="151" t="s">
        <v>415</v>
      </c>
      <c r="GD86" s="997" t="s">
        <v>416</v>
      </c>
      <c r="GE86" s="1004" t="s">
        <v>199</v>
      </c>
      <c r="GF86" s="1004">
        <v>-1.0156313199999998</v>
      </c>
      <c r="GG86" s="1004" t="s">
        <v>223</v>
      </c>
      <c r="GH86" s="1004">
        <v>-1.4575994400000001</v>
      </c>
      <c r="GI86" s="145" t="s">
        <v>223</v>
      </c>
      <c r="GJ86" s="996">
        <v>-1.0553312880000014</v>
      </c>
      <c r="GK86" s="145"/>
      <c r="GL86" s="996">
        <v>-0.28496397599999845</v>
      </c>
      <c r="GM86" s="1005" t="s">
        <v>199</v>
      </c>
      <c r="GN86" s="996">
        <v>1.1312952640000002</v>
      </c>
      <c r="GO86" s="1006"/>
      <c r="GP86" s="996">
        <v>-0.92131915039999956</v>
      </c>
      <c r="GQ86" s="1006"/>
      <c r="GR86" s="996">
        <v>0</v>
      </c>
      <c r="GS86" s="1006" t="s">
        <v>204</v>
      </c>
      <c r="GT86" s="996">
        <v>3.8163871503999989</v>
      </c>
      <c r="GU86" s="1006" t="s">
        <v>204</v>
      </c>
      <c r="GV86" s="996">
        <v>-3.1706136000000003</v>
      </c>
      <c r="GW86" s="1006"/>
      <c r="GX86" s="996">
        <v>0</v>
      </c>
      <c r="GY86" s="1006" t="s">
        <v>203</v>
      </c>
      <c r="GZ86" s="996">
        <v>-1.3321910799999985</v>
      </c>
      <c r="HA86" s="1006" t="s">
        <v>199</v>
      </c>
      <c r="HB86" s="996">
        <v>-1.7428844400000001</v>
      </c>
      <c r="HC86" s="1006" t="s">
        <v>308</v>
      </c>
      <c r="HD86" s="996">
        <v>2.8129059199999995</v>
      </c>
      <c r="HE86" s="1006" t="s">
        <v>199</v>
      </c>
      <c r="HF86" s="996">
        <v>1.5108827360000001</v>
      </c>
      <c r="HG86" s="1006" t="s">
        <v>199</v>
      </c>
      <c r="HH86" s="996">
        <v>-4.1329432320000006</v>
      </c>
      <c r="HI86" s="1006" t="s">
        <v>199</v>
      </c>
      <c r="HJ86" s="996">
        <v>3.2000967284000001</v>
      </c>
      <c r="HK86" s="1006"/>
      <c r="HL86" s="996">
        <v>0.76772312760000005</v>
      </c>
      <c r="HM86" s="1006" t="s">
        <v>204</v>
      </c>
      <c r="HN86" s="996">
        <v>-2.1718109600000002</v>
      </c>
      <c r="HO86" s="1006"/>
      <c r="HP86" s="996">
        <v>0</v>
      </c>
      <c r="HQ86" s="1006" t="s">
        <v>204</v>
      </c>
      <c r="HR86" s="996">
        <v>1.2865914600000004</v>
      </c>
      <c r="HS86" s="1006"/>
      <c r="HT86" s="996">
        <v>0</v>
      </c>
      <c r="HU86" s="1006"/>
      <c r="HV86" s="996">
        <v>0.20872829999999976</v>
      </c>
      <c r="HW86" s="1006"/>
      <c r="HX86" s="996">
        <v>0</v>
      </c>
      <c r="HY86" s="1006" t="s">
        <v>199</v>
      </c>
      <c r="HZ86" s="996">
        <v>-1.9067989600000006</v>
      </c>
      <c r="IA86" s="1006"/>
      <c r="IB86" s="996">
        <v>0</v>
      </c>
      <c r="IC86" s="1006"/>
      <c r="ID86" s="996">
        <v>0.22697400000000112</v>
      </c>
      <c r="IE86" s="1006"/>
      <c r="IF86" s="996">
        <v>0</v>
      </c>
      <c r="IG86" s="1006"/>
      <c r="IH86" s="996">
        <v>0</v>
      </c>
      <c r="II86" s="1006" t="s">
        <v>199</v>
      </c>
      <c r="IJ86" s="996">
        <v>6.4333711199999994</v>
      </c>
      <c r="IK86" s="1006"/>
      <c r="IL86" s="996">
        <v>0</v>
      </c>
      <c r="IM86" s="1006"/>
      <c r="IN86" s="996">
        <v>0</v>
      </c>
      <c r="IO86" s="1006"/>
      <c r="IP86" s="996">
        <v>0</v>
      </c>
      <c r="IQ86" s="1006" t="s">
        <v>199</v>
      </c>
      <c r="IR86" s="996">
        <v>-3.6332727199999999</v>
      </c>
      <c r="IS86" s="1006" t="s">
        <v>204</v>
      </c>
      <c r="IT86" s="996">
        <v>-2.8887144000000005</v>
      </c>
      <c r="IU86" s="1006" t="s">
        <v>199</v>
      </c>
      <c r="IV86" s="996">
        <v>-2.3204015999999985</v>
      </c>
      <c r="IW86" s="1006" t="s">
        <v>199</v>
      </c>
      <c r="IX86" s="996">
        <v>4.0376124799999991</v>
      </c>
      <c r="IY86" s="1006" t="s">
        <v>199</v>
      </c>
      <c r="IZ86" s="996">
        <v>-4.1769904000000002</v>
      </c>
      <c r="JA86" s="1006" t="s">
        <v>199</v>
      </c>
      <c r="JB86" s="996">
        <v>4.3678274640000003</v>
      </c>
      <c r="JC86" s="1006" t="s">
        <v>199</v>
      </c>
      <c r="JD86" s="996">
        <v>-4.3184867440000003</v>
      </c>
      <c r="JE86" s="1006"/>
      <c r="JF86" s="996">
        <v>0</v>
      </c>
      <c r="JG86" s="1006"/>
      <c r="JH86" s="996">
        <v>0</v>
      </c>
      <c r="JI86" s="1006"/>
      <c r="JJ86" s="996">
        <v>0</v>
      </c>
      <c r="JK86" s="1007"/>
      <c r="JL86" s="1007">
        <v>0.43471164000000151</v>
      </c>
      <c r="JM86" s="1007" t="s">
        <v>25</v>
      </c>
      <c r="JN86" s="1007">
        <v>1.4122631599999984</v>
      </c>
      <c r="JO86" s="1008"/>
      <c r="JP86" s="1007">
        <v>0</v>
      </c>
      <c r="JQ86" s="1008">
        <v>0</v>
      </c>
      <c r="JR86" s="1007">
        <v>0</v>
      </c>
      <c r="JS86" s="1008">
        <v>0</v>
      </c>
      <c r="JT86" s="1007">
        <v>0</v>
      </c>
      <c r="JU86" s="1008" t="s">
        <v>204</v>
      </c>
      <c r="JV86" s="1007">
        <v>-7.508951999999999</v>
      </c>
      <c r="JW86" s="1008" t="s">
        <v>197</v>
      </c>
      <c r="JX86" s="1007">
        <v>0</v>
      </c>
      <c r="JY86" s="1008"/>
      <c r="JZ86" s="1007">
        <v>0</v>
      </c>
      <c r="KA86" s="1008" t="s">
        <v>199</v>
      </c>
      <c r="KB86" s="1007">
        <v>-4.1716399999999982</v>
      </c>
      <c r="KC86" s="1008" t="s">
        <v>204</v>
      </c>
      <c r="KD86" s="1007">
        <v>-3.6710431999999997</v>
      </c>
      <c r="KE86" s="1008" t="s">
        <v>199</v>
      </c>
      <c r="KF86" s="1007">
        <v>2.5441151999999967</v>
      </c>
      <c r="KG86" s="1008" t="s">
        <v>207</v>
      </c>
      <c r="KH86" s="1007">
        <v>8.861600000000001</v>
      </c>
      <c r="KI86" s="1008" t="s">
        <v>544</v>
      </c>
      <c r="KJ86" s="1007">
        <v>-22.154000000000003</v>
      </c>
      <c r="KK86" s="1008"/>
      <c r="KL86" s="1007">
        <v>0</v>
      </c>
      <c r="KM86" s="1008" t="s">
        <v>207</v>
      </c>
      <c r="KN86" s="1007">
        <v>25.247200000000007</v>
      </c>
      <c r="KO86" s="1008" t="s">
        <v>207</v>
      </c>
      <c r="KP86" s="1007">
        <v>-17.555999999999997</v>
      </c>
      <c r="KQ86" s="1008" t="s">
        <v>206</v>
      </c>
      <c r="KR86" s="1007">
        <v>-3.27712</v>
      </c>
      <c r="KS86" s="1008" t="s">
        <v>25</v>
      </c>
      <c r="KT86" s="1007">
        <v>8.8105896208000019</v>
      </c>
      <c r="KU86" s="1008" t="s">
        <v>25</v>
      </c>
      <c r="KV86" s="1007">
        <v>19.636254747999999</v>
      </c>
      <c r="KW86" s="1008">
        <v>0</v>
      </c>
      <c r="KX86" s="1007">
        <v>0</v>
      </c>
      <c r="KY86" s="1008">
        <v>0</v>
      </c>
      <c r="KZ86" s="1007">
        <v>0</v>
      </c>
      <c r="LA86" s="1008">
        <v>0</v>
      </c>
      <c r="LB86" s="1007">
        <v>0</v>
      </c>
      <c r="LC86" s="1008">
        <v>0</v>
      </c>
      <c r="LD86" s="1007">
        <v>0</v>
      </c>
      <c r="LE86" s="1008">
        <v>0</v>
      </c>
      <c r="LF86" s="1007">
        <v>0</v>
      </c>
      <c r="LG86" s="1008">
        <v>0</v>
      </c>
      <c r="LH86" s="1007">
        <v>0</v>
      </c>
      <c r="LI86" s="1008">
        <v>0</v>
      </c>
      <c r="LJ86" s="1007">
        <v>0</v>
      </c>
      <c r="LK86" s="1008">
        <v>0</v>
      </c>
      <c r="LL86" s="1007">
        <v>0</v>
      </c>
      <c r="LM86" s="1008">
        <v>0</v>
      </c>
      <c r="LN86" s="1007">
        <v>0</v>
      </c>
      <c r="LO86" s="1008">
        <v>0</v>
      </c>
      <c r="LP86" s="1007">
        <v>0.58461479999999799</v>
      </c>
      <c r="LQ86" s="1008">
        <v>0</v>
      </c>
      <c r="LR86" s="1007">
        <v>0</v>
      </c>
      <c r="LS86" s="1008">
        <v>0</v>
      </c>
      <c r="LT86" s="1007">
        <v>0.83614999999999995</v>
      </c>
      <c r="LU86" s="1008">
        <v>0</v>
      </c>
      <c r="LV86" s="1007">
        <v>0.82567999999999997</v>
      </c>
      <c r="LW86" s="1008">
        <v>0</v>
      </c>
      <c r="LX86" s="1007">
        <v>-1.4885481599999999</v>
      </c>
      <c r="LY86" s="1009">
        <v>0</v>
      </c>
      <c r="LZ86" s="1010">
        <v>0</v>
      </c>
      <c r="MA86" s="1011">
        <v>0</v>
      </c>
      <c r="MB86" s="1012">
        <v>0</v>
      </c>
      <c r="MC86" s="995"/>
      <c r="MD86" s="996"/>
      <c r="ME86" s="997" t="s">
        <v>416</v>
      </c>
      <c r="MF86" s="997"/>
      <c r="MG86" s="998"/>
      <c r="NR86" s="1000"/>
      <c r="NS86" s="1000"/>
      <c r="NT86" s="1001"/>
      <c r="NU86" s="1000"/>
      <c r="NV86" s="1001"/>
      <c r="NX86" s="1002"/>
      <c r="NZ86" s="1001"/>
      <c r="OA86" s="1001"/>
      <c r="OC86" s="1003"/>
      <c r="OD86" s="1003"/>
      <c r="OE86" s="1001"/>
      <c r="OF86" s="1003"/>
      <c r="OG86" s="1003"/>
      <c r="QX86" s="1000">
        <f t="shared" si="51"/>
        <v>17</v>
      </c>
      <c r="ASU86" s="999" t="s">
        <v>208</v>
      </c>
    </row>
    <row r="87" spans="1:466 1191:1191" ht="21" customHeight="1" x14ac:dyDescent="0.25">
      <c r="A87" s="982">
        <f t="shared" si="0"/>
        <v>1002</v>
      </c>
      <c r="B87" s="124">
        <f>SUBTOTAL(103,$J$29:J87)</f>
        <v>59</v>
      </c>
      <c r="C87" s="126">
        <v>45068</v>
      </c>
      <c r="D87" s="124" t="s">
        <v>176</v>
      </c>
      <c r="E87" s="127" t="s">
        <v>177</v>
      </c>
      <c r="F87" s="128" t="s">
        <v>177</v>
      </c>
      <c r="G87" s="127" t="s">
        <v>178</v>
      </c>
      <c r="H87" s="127" t="s">
        <v>408</v>
      </c>
      <c r="I87" s="127" t="s">
        <v>538</v>
      </c>
      <c r="J87" s="152">
        <v>1002</v>
      </c>
      <c r="K87" s="127" t="s">
        <v>545</v>
      </c>
      <c r="L87" s="130">
        <v>39717</v>
      </c>
      <c r="M87" s="127" t="s">
        <v>230</v>
      </c>
      <c r="N87" s="127" t="s">
        <v>231</v>
      </c>
      <c r="O87" s="127" t="s">
        <v>185</v>
      </c>
      <c r="P87" s="127" t="s">
        <v>186</v>
      </c>
      <c r="Q87" s="85" t="str">
        <f t="shared" si="40"/>
        <v/>
      </c>
      <c r="R87" s="130"/>
      <c r="S87" s="128" t="s">
        <v>156</v>
      </c>
      <c r="T87" s="131"/>
      <c r="U87" s="132">
        <v>203</v>
      </c>
      <c r="V87" s="121">
        <v>218.2</v>
      </c>
      <c r="W87" s="116">
        <v>0.98</v>
      </c>
      <c r="X87" s="116">
        <v>1.66</v>
      </c>
      <c r="Y87" s="116">
        <f t="shared" si="41"/>
        <v>1.0138908278654195</v>
      </c>
      <c r="Z87" s="133">
        <v>1.454</v>
      </c>
      <c r="AA87" s="133">
        <v>0.83599999999999997</v>
      </c>
      <c r="AB87" s="133">
        <v>0.72</v>
      </c>
      <c r="AC87" s="121">
        <v>34.299999999999997</v>
      </c>
      <c r="AD87" s="134">
        <v>1.17</v>
      </c>
      <c r="AE87" s="124">
        <v>139.69999999999999</v>
      </c>
      <c r="AF87" s="128">
        <v>7.72</v>
      </c>
      <c r="AG87" s="128">
        <v>1875</v>
      </c>
      <c r="AH87" s="127">
        <v>2500</v>
      </c>
      <c r="AI87" s="127">
        <v>2500</v>
      </c>
      <c r="AJ87" s="135"/>
      <c r="AK87" s="128"/>
      <c r="AL87" s="131"/>
      <c r="AM87" s="124" t="s">
        <v>232</v>
      </c>
      <c r="AN87" s="136" t="s">
        <v>546</v>
      </c>
      <c r="AO87" s="137">
        <v>15.210000000000036</v>
      </c>
      <c r="AP87" s="128">
        <v>1873</v>
      </c>
      <c r="AQ87" s="128">
        <v>26.57</v>
      </c>
      <c r="AR87" s="128"/>
      <c r="AS87" s="128"/>
      <c r="AT87" s="122"/>
      <c r="AU87" s="124" t="s">
        <v>250</v>
      </c>
      <c r="AV87" s="115">
        <f>VLOOKUP(J87,'[63]ТР нефть'!$J$28:$BP$638,39,0)</f>
        <v>596</v>
      </c>
      <c r="AW87" s="115" t="str">
        <f>VLOOKUP(J87,'[63]ТР нефть'!$J$28:$BP$638,40,0)</f>
        <v>ГК 95/1</v>
      </c>
      <c r="AX87" s="115">
        <f>VLOOKUP(J87,'[63]ТР нефть'!$J$28:$BP$638,41,0)</f>
        <v>1199</v>
      </c>
      <c r="AY87" s="115" t="str">
        <f>VLOOKUP(J87,'[63]ТР нефть'!$J$28:$BP$638,42,0)</f>
        <v>ГК 95/1</v>
      </c>
      <c r="AZ87" s="115">
        <f>VLOOKUP(J87,'[63]ТР нефть'!$J$28:$BP$638,43,0)</f>
        <v>1731</v>
      </c>
      <c r="BA87" s="115" t="str">
        <f>VLOOKUP(J87,'[63]ТР нефть'!$J$28:$BP$638,44,0)</f>
        <v>ЦКсОК 5/16</v>
      </c>
      <c r="BB87" s="115" t="str">
        <f>VLOOKUP(J87,'[63]ТР нефть'!$J$28:$BP$638,45,0)</f>
        <v>-</v>
      </c>
      <c r="BC87" s="115" t="str">
        <f>VLOOKUP(J87,'[63]ТР нефть'!$J$28:$BP$638,46,0)</f>
        <v>-</v>
      </c>
      <c r="BD87" s="115" t="str">
        <f>VLOOKUP(J87,'[63]ТР нефть'!$J$28:$BP$638,47,0)</f>
        <v>-</v>
      </c>
      <c r="BE87" s="115" t="str">
        <f>VLOOKUP(J87,'[63]ТР нефть'!$J$28:$BP$638,48,0)</f>
        <v>-</v>
      </c>
      <c r="BF87" s="115" t="str">
        <f>VLOOKUP(J87,'[63]ТР нефть'!$J$28:$BP$638,49,0)</f>
        <v>-</v>
      </c>
      <c r="BG87" s="115" t="str">
        <f>VLOOKUP(J87,'[63]ТР нефть'!$J$28:$BP$638,50,0)</f>
        <v>-</v>
      </c>
      <c r="BH87" s="115">
        <f>VLOOKUP(J87,'[63]ТР нефть'!$J$28:$BP$638,51,0)</f>
        <v>1742</v>
      </c>
      <c r="BI87" s="115" t="str">
        <f>VLOOKUP(J87,'[63]ТР нефть'!$J$28:$BP$638,52,0)</f>
        <v>закрыт</v>
      </c>
      <c r="BJ87" s="115" t="str">
        <f>IF(IFERROR(VLOOKUP(J87,'[63]ТР нефть'!$J$28:$BP$638,53,0),"-")=0,"-",IFERROR(VLOOKUP(J87,'[63]ТР нефть'!$J$28:$BP$638,53,0),"-"))</f>
        <v>-</v>
      </c>
      <c r="BK87" s="138" t="str">
        <f>IF(IFERROR(VLOOKUP(J87,'[63]ТР нефть'!$J$28:$BP$638,54,0),"-")=0,"-",IFERROR(VLOOKUP(J87,'[63]ТР нефть'!$J$28:$BP$638,54,0),"-"))</f>
        <v>-</v>
      </c>
      <c r="BL87" s="138" t="str">
        <f>IF(IFERROR(VLOOKUP(J87,'[63]ТР нефть'!$J$28:$BP$638,55,0),"-")=0,"-",IFERROR(VLOOKUP(J87,'[63]ТР нефть'!$J$28:$BP$638,55,0),"-"))</f>
        <v>-</v>
      </c>
      <c r="BM87" s="138" t="str">
        <f>IF(IFERROR(VLOOKUP(J87,'[63]ТР нефть'!$J$28:$BP$638,56,0),"-")=0,"-",IFERROR(VLOOKUP(J87,'[63]ТР нефть'!$J$28:$BP$638,56,0),"-"))</f>
        <v>-</v>
      </c>
      <c r="BN87" s="138" t="str">
        <f>IF(IFERROR(VLOOKUP(J87,'[63]ТР нефть'!$J$28:$BP$638,57,0),"-")=0,"-",IFERROR(VLOOKUP(J87,'[63]ТР нефть'!$J$28:$BP$638,57,0),"-"))</f>
        <v>-</v>
      </c>
      <c r="BO87" s="115" t="str">
        <f>IF(IFERROR(VLOOKUP(J87,'[63]ТР нефть'!$J$28:$BP$638,58,0),"-")=0,"-",IFERROR(VLOOKUP(J87,'[63]ТР нефть'!$J$28:$BP$638,58,0),"-"))</f>
        <v>-</v>
      </c>
      <c r="BP87" s="115" t="str">
        <f>IF(IFERROR(VLOOKUP(J87,'[63]ТР нефть'!$J$28:$BP$638,59,0),"-")=0,"-",IFERROR(VLOOKUP(J87,'[63]ТР нефть'!$J$28:$BP$638,59,0),"-"))</f>
        <v>-</v>
      </c>
      <c r="BQ87" s="138">
        <v>2143</v>
      </c>
      <c r="BR87" s="128">
        <v>1873.34</v>
      </c>
      <c r="BS87" s="115">
        <f t="shared" si="2"/>
        <v>269.66000000000008</v>
      </c>
      <c r="BT87" s="128">
        <v>73</v>
      </c>
      <c r="BU87" s="128">
        <v>5.5</v>
      </c>
      <c r="BV87" s="127">
        <v>65</v>
      </c>
      <c r="BW87" s="127" t="s">
        <v>217</v>
      </c>
      <c r="BX87" s="127" t="s">
        <v>195</v>
      </c>
      <c r="BY87" s="139">
        <v>24</v>
      </c>
      <c r="BZ87" s="139">
        <v>0</v>
      </c>
      <c r="CA87" s="138">
        <v>25</v>
      </c>
      <c r="CB87" s="138">
        <v>36</v>
      </c>
      <c r="CC87" s="138">
        <v>23</v>
      </c>
      <c r="CD87" s="135">
        <v>45017</v>
      </c>
      <c r="CE87" s="138">
        <v>97</v>
      </c>
      <c r="CF87" s="138"/>
      <c r="CG87" s="138" t="str">
        <f t="shared" si="52"/>
        <v/>
      </c>
      <c r="CH87" s="138" t="s">
        <v>197</v>
      </c>
      <c r="CI87" s="127"/>
      <c r="CJ87" s="138"/>
      <c r="CK87" s="138"/>
      <c r="CL87" s="99"/>
      <c r="CM87" s="127"/>
      <c r="CN87" s="138">
        <v>40</v>
      </c>
      <c r="CO87" s="159">
        <f t="shared" si="4"/>
        <v>8.1384934399999995</v>
      </c>
      <c r="CP87" s="160">
        <v>10.6</v>
      </c>
      <c r="CQ87" s="161">
        <v>8.16</v>
      </c>
      <c r="CR87" s="138">
        <v>44.3</v>
      </c>
      <c r="CS87" s="139"/>
      <c r="CT87" s="138"/>
      <c r="CU87" s="138">
        <f t="shared" si="5"/>
        <v>44.3</v>
      </c>
      <c r="CV87" s="115">
        <f t="shared" si="6"/>
        <v>5443.2678881657985</v>
      </c>
      <c r="CW87" s="115" t="str">
        <f t="shared" si="7"/>
        <v/>
      </c>
      <c r="CX87" s="133">
        <f t="shared" si="8"/>
        <v>0.18596491228070175</v>
      </c>
      <c r="CY87" s="116"/>
      <c r="CZ87" s="131"/>
      <c r="DA87" s="145" t="str">
        <f t="shared" si="9"/>
        <v>Фон.</v>
      </c>
      <c r="DB87" s="146">
        <f t="shared" si="10"/>
        <v>8.1384934399999995</v>
      </c>
      <c r="DC87" s="142">
        <f t="shared" si="11"/>
        <v>10.6</v>
      </c>
      <c r="DD87" s="119">
        <f t="shared" si="12"/>
        <v>8.16</v>
      </c>
      <c r="DE87" s="115">
        <f t="shared" si="13"/>
        <v>44.3</v>
      </c>
      <c r="DF87" s="121">
        <f t="shared" si="14"/>
        <v>0</v>
      </c>
      <c r="DG87" s="115">
        <f t="shared" si="15"/>
        <v>5443.2678881657985</v>
      </c>
      <c r="DH87" s="115">
        <f t="shared" si="16"/>
        <v>40</v>
      </c>
      <c r="DI87" s="147"/>
      <c r="DJ87" s="111">
        <v>43589</v>
      </c>
      <c r="DK87" s="112">
        <v>41122</v>
      </c>
      <c r="DL87" s="113">
        <f t="shared" ca="1" si="42"/>
        <v>3982</v>
      </c>
      <c r="DM87" s="114"/>
      <c r="DN87" s="114"/>
      <c r="DO87" s="114"/>
      <c r="DP87" s="114"/>
      <c r="DQ87" s="112">
        <v>41483</v>
      </c>
      <c r="DR87" s="114" t="s">
        <v>547</v>
      </c>
      <c r="DS87" s="114"/>
      <c r="DT87" s="115">
        <v>49</v>
      </c>
      <c r="DU87" s="116">
        <f t="shared" si="43"/>
        <v>0.22083333333333333</v>
      </c>
      <c r="DV87" s="117">
        <f t="shared" si="44"/>
        <v>8.1384934399999995</v>
      </c>
      <c r="DW87" s="118">
        <f t="shared" si="45"/>
        <v>10.6</v>
      </c>
      <c r="DX87" s="119">
        <f t="shared" si="21"/>
        <v>8.16</v>
      </c>
      <c r="DY87" s="115">
        <f t="shared" si="46"/>
        <v>44.3</v>
      </c>
      <c r="DZ87" s="117">
        <f t="shared" si="47"/>
        <v>0</v>
      </c>
      <c r="EA87" s="120">
        <f t="shared" si="47"/>
        <v>0</v>
      </c>
      <c r="EB87" s="119">
        <f t="shared" si="47"/>
        <v>0</v>
      </c>
      <c r="EC87" s="121">
        <f t="shared" si="48"/>
        <v>0</v>
      </c>
      <c r="ED87" s="122"/>
      <c r="EE87" s="145">
        <v>65</v>
      </c>
      <c r="EF87" s="115">
        <v>25</v>
      </c>
      <c r="EG87" s="115">
        <v>36</v>
      </c>
      <c r="EH87" s="115">
        <v>23</v>
      </c>
      <c r="EI87" s="128" t="s">
        <v>195</v>
      </c>
      <c r="EJ87" s="121">
        <v>24</v>
      </c>
      <c r="EK87" s="121">
        <v>0</v>
      </c>
      <c r="EL87" s="162">
        <v>8.1384934399999995</v>
      </c>
      <c r="EM87" s="142">
        <v>10.6</v>
      </c>
      <c r="EN87" s="119">
        <v>8.16</v>
      </c>
      <c r="EO87" s="115">
        <v>44.3</v>
      </c>
      <c r="EP87" s="115">
        <v>5443.2678881657985</v>
      </c>
      <c r="EQ87" s="115">
        <v>0</v>
      </c>
      <c r="ER87" s="115">
        <v>0</v>
      </c>
      <c r="ES87" s="115">
        <v>40</v>
      </c>
      <c r="ET87" s="150">
        <v>0.18596491228070175</v>
      </c>
      <c r="EU87" s="145">
        <f t="shared" si="25"/>
        <v>65</v>
      </c>
      <c r="EV87" s="115">
        <f t="shared" si="26"/>
        <v>25</v>
      </c>
      <c r="EW87" s="115">
        <f t="shared" si="26"/>
        <v>36</v>
      </c>
      <c r="EX87" s="115">
        <f t="shared" si="26"/>
        <v>23</v>
      </c>
      <c r="EY87" s="115" t="str">
        <f t="shared" si="53"/>
        <v>Постоянный</v>
      </c>
      <c r="EZ87" s="115">
        <f t="shared" si="53"/>
        <v>24</v>
      </c>
      <c r="FA87" s="115">
        <f t="shared" si="53"/>
        <v>0</v>
      </c>
      <c r="FB87" s="149">
        <f t="shared" si="28"/>
        <v>8.1384934399999995</v>
      </c>
      <c r="FC87" s="142">
        <f t="shared" si="28"/>
        <v>10.6</v>
      </c>
      <c r="FD87" s="119">
        <f t="shared" si="28"/>
        <v>8.16</v>
      </c>
      <c r="FE87" s="121">
        <f t="shared" si="28"/>
        <v>44.3</v>
      </c>
      <c r="FF87" s="121">
        <f t="shared" si="49"/>
        <v>5443.2678881657985</v>
      </c>
      <c r="FG87" s="121">
        <f t="shared" si="30"/>
        <v>0</v>
      </c>
      <c r="FH87" s="121">
        <f t="shared" si="50"/>
        <v>0</v>
      </c>
      <c r="FI87" s="121">
        <f t="shared" si="54"/>
        <v>40</v>
      </c>
      <c r="FJ87" s="144">
        <f t="shared" si="33"/>
        <v>0.18596491228070175</v>
      </c>
      <c r="FK87" s="132">
        <f t="shared" si="34"/>
        <v>0</v>
      </c>
      <c r="FL87" s="115">
        <f t="shared" si="34"/>
        <v>0</v>
      </c>
      <c r="FM87" s="115">
        <f t="shared" si="34"/>
        <v>0</v>
      </c>
      <c r="FN87" s="115">
        <f t="shared" si="34"/>
        <v>0</v>
      </c>
      <c r="FO87" s="115">
        <f t="shared" si="57"/>
        <v>0</v>
      </c>
      <c r="FP87" s="115">
        <f t="shared" si="56"/>
        <v>0</v>
      </c>
      <c r="FQ87" s="149">
        <f t="shared" si="56"/>
        <v>0</v>
      </c>
      <c r="FR87" s="142">
        <f t="shared" si="56"/>
        <v>0</v>
      </c>
      <c r="FS87" s="119">
        <f t="shared" si="56"/>
        <v>0</v>
      </c>
      <c r="FT87" s="121">
        <f t="shared" si="56"/>
        <v>0</v>
      </c>
      <c r="FU87" s="121">
        <f t="shared" si="36"/>
        <v>0</v>
      </c>
      <c r="FV87" s="121">
        <f t="shared" si="36"/>
        <v>0</v>
      </c>
      <c r="FW87" s="121">
        <f t="shared" si="37"/>
        <v>0</v>
      </c>
      <c r="FX87" s="121">
        <f t="shared" si="38"/>
        <v>0</v>
      </c>
      <c r="FY87" s="144">
        <f t="shared" si="38"/>
        <v>0</v>
      </c>
      <c r="FZ87" s="145"/>
      <c r="GA87" s="151"/>
      <c r="GB87" s="145"/>
      <c r="GC87" s="163" t="s">
        <v>548</v>
      </c>
      <c r="GD87" s="997" t="s">
        <v>416</v>
      </c>
      <c r="GE87" s="1004"/>
      <c r="GF87" s="1004">
        <v>0</v>
      </c>
      <c r="GG87" s="1004"/>
      <c r="GH87" s="1004">
        <v>0</v>
      </c>
      <c r="GI87" s="145"/>
      <c r="GJ87" s="996">
        <v>0</v>
      </c>
      <c r="GK87" s="145"/>
      <c r="GL87" s="996">
        <v>0</v>
      </c>
      <c r="GM87" s="1005"/>
      <c r="GN87" s="996">
        <v>0</v>
      </c>
      <c r="GO87" s="1006"/>
      <c r="GP87" s="996">
        <v>0</v>
      </c>
      <c r="GQ87" s="1006"/>
      <c r="GR87" s="996">
        <v>0</v>
      </c>
      <c r="GS87" s="1006"/>
      <c r="GT87" s="996">
        <v>0</v>
      </c>
      <c r="GU87" s="1006"/>
      <c r="GV87" s="996">
        <v>0</v>
      </c>
      <c r="GW87" s="1006"/>
      <c r="GX87" s="996">
        <v>0</v>
      </c>
      <c r="GY87" s="1006"/>
      <c r="GZ87" s="996">
        <v>-6.0986200000012758E-3</v>
      </c>
      <c r="HA87" s="1006"/>
      <c r="HB87" s="996">
        <v>-0.35009757199999925</v>
      </c>
      <c r="HC87" s="1006"/>
      <c r="HD87" s="996">
        <v>-0.85513436799999809</v>
      </c>
      <c r="HE87" s="1006" t="s">
        <v>204</v>
      </c>
      <c r="HF87" s="996">
        <v>-2.1757736000000012</v>
      </c>
      <c r="HG87" s="1006" t="s">
        <v>199</v>
      </c>
      <c r="HH87" s="996">
        <v>1.7646087360000013</v>
      </c>
      <c r="HI87" s="1006"/>
      <c r="HJ87" s="996">
        <v>0.52423637199999717</v>
      </c>
      <c r="HK87" s="1006"/>
      <c r="HL87" s="996">
        <v>0</v>
      </c>
      <c r="HM87" s="1006" t="s">
        <v>204</v>
      </c>
      <c r="HN87" s="996">
        <v>-1.4871629080000002</v>
      </c>
      <c r="HO87" s="1006"/>
      <c r="HP87" s="996">
        <v>-0.59443779999999968</v>
      </c>
      <c r="HQ87" s="1006"/>
      <c r="HR87" s="996">
        <v>0</v>
      </c>
      <c r="HS87" s="1006"/>
      <c r="HT87" s="996">
        <v>0.83140200000000064</v>
      </c>
      <c r="HU87" s="1006" t="s">
        <v>223</v>
      </c>
      <c r="HV87" s="996">
        <v>-1.2117928679999999</v>
      </c>
      <c r="HW87" s="1006"/>
      <c r="HX87" s="996">
        <v>0</v>
      </c>
      <c r="HY87" s="1006"/>
      <c r="HZ87" s="996">
        <v>0.25557606800000165</v>
      </c>
      <c r="IA87" s="1006"/>
      <c r="IB87" s="996">
        <v>0</v>
      </c>
      <c r="IC87" s="1006" t="s">
        <v>199</v>
      </c>
      <c r="ID87" s="996">
        <v>2.6076470199999999</v>
      </c>
      <c r="IE87" s="1006"/>
      <c r="IF87" s="996">
        <v>0</v>
      </c>
      <c r="IG87" s="1006"/>
      <c r="IH87" s="996">
        <v>0</v>
      </c>
      <c r="II87" s="1006"/>
      <c r="IJ87" s="996">
        <v>-0.53603902000000225</v>
      </c>
      <c r="IK87" s="1006"/>
      <c r="IL87" s="996">
        <v>-0.84435999999999822</v>
      </c>
      <c r="IM87" s="1006"/>
      <c r="IN87" s="996">
        <v>-0.15478540000000152</v>
      </c>
      <c r="IO87" s="1006"/>
      <c r="IP87" s="996">
        <v>0.89046540000000007</v>
      </c>
      <c r="IQ87" s="1006"/>
      <c r="IR87" s="996">
        <v>0</v>
      </c>
      <c r="IS87" s="1006"/>
      <c r="IT87" s="996">
        <v>-0.26333999999999946</v>
      </c>
      <c r="IU87" s="1006"/>
      <c r="IV87" s="996">
        <v>-0.93068619599999813</v>
      </c>
      <c r="IW87" s="1006"/>
      <c r="IX87" s="996">
        <v>0</v>
      </c>
      <c r="IY87" s="1006"/>
      <c r="IZ87" s="996">
        <v>0</v>
      </c>
      <c r="JA87" s="1006"/>
      <c r="JB87" s="996">
        <v>0</v>
      </c>
      <c r="JC87" s="1006" t="s">
        <v>199</v>
      </c>
      <c r="JD87" s="996">
        <v>-2.3194636080000013</v>
      </c>
      <c r="JE87" s="1006"/>
      <c r="JF87" s="996">
        <v>0</v>
      </c>
      <c r="JG87" s="1006"/>
      <c r="JH87" s="996">
        <v>0</v>
      </c>
      <c r="JI87" s="1006"/>
      <c r="JJ87" s="996">
        <v>0</v>
      </c>
      <c r="JK87" s="1007" t="s">
        <v>223</v>
      </c>
      <c r="JL87" s="1007">
        <v>-1.3018701959999976</v>
      </c>
      <c r="JM87" s="1007"/>
      <c r="JN87" s="1007">
        <v>0</v>
      </c>
      <c r="JO87" s="1008"/>
      <c r="JP87" s="1007">
        <v>0</v>
      </c>
      <c r="JQ87" s="1008">
        <v>0</v>
      </c>
      <c r="JR87" s="1007">
        <v>0</v>
      </c>
      <c r="JS87" s="1008" t="s">
        <v>204</v>
      </c>
      <c r="JT87" s="1007">
        <v>7.3170899999999968</v>
      </c>
      <c r="JU87" s="1008"/>
      <c r="JV87" s="1007">
        <v>0</v>
      </c>
      <c r="JW87" s="1008" t="s">
        <v>197</v>
      </c>
      <c r="JX87" s="1007">
        <v>0</v>
      </c>
      <c r="JY87" s="1008"/>
      <c r="JZ87" s="1007">
        <v>0</v>
      </c>
      <c r="KA87" s="1008"/>
      <c r="KB87" s="1007">
        <v>0</v>
      </c>
      <c r="KC87" s="1008" t="s">
        <v>199</v>
      </c>
      <c r="KD87" s="1007">
        <v>4.3113355999999996</v>
      </c>
      <c r="KE87" s="1008" t="s">
        <v>199</v>
      </c>
      <c r="KF87" s="1007">
        <v>-8.8729695999999993</v>
      </c>
      <c r="KG87" s="1008" t="s">
        <v>204</v>
      </c>
      <c r="KH87" s="1007">
        <v>-4.3940159999999988</v>
      </c>
      <c r="KI87" s="1008"/>
      <c r="KJ87" s="1007">
        <v>0</v>
      </c>
      <c r="KK87" s="1008" t="s">
        <v>206</v>
      </c>
      <c r="KL87" s="1007">
        <v>-1.4340744000000001</v>
      </c>
      <c r="KM87" s="1008" t="s">
        <v>206</v>
      </c>
      <c r="KN87" s="1007">
        <v>2.442123200000001</v>
      </c>
      <c r="KO87" s="1008"/>
      <c r="KP87" s="1007">
        <v>0</v>
      </c>
      <c r="KQ87" s="1008">
        <v>0</v>
      </c>
      <c r="KR87" s="1007">
        <v>0</v>
      </c>
      <c r="KS87" s="1008" t="s">
        <v>207</v>
      </c>
      <c r="KT87" s="1007">
        <v>-1.0661508000000026</v>
      </c>
      <c r="KU87" s="1008" t="s">
        <v>207</v>
      </c>
      <c r="KV87" s="1007">
        <v>-5.5263779999999976</v>
      </c>
      <c r="KW87" s="1008">
        <v>0</v>
      </c>
      <c r="KX87" s="1007">
        <v>0</v>
      </c>
      <c r="KY87" s="1008">
        <v>0</v>
      </c>
      <c r="KZ87" s="1007">
        <v>0</v>
      </c>
      <c r="LA87" s="1008" t="s">
        <v>204</v>
      </c>
      <c r="LB87" s="1007">
        <v>3.6011536</v>
      </c>
      <c r="LC87" s="1008">
        <v>0</v>
      </c>
      <c r="LD87" s="1007">
        <v>0</v>
      </c>
      <c r="LE87" s="1008">
        <v>0</v>
      </c>
      <c r="LF87" s="1007">
        <v>0</v>
      </c>
      <c r="LG87" s="1008">
        <v>0</v>
      </c>
      <c r="LH87" s="1007">
        <v>0</v>
      </c>
      <c r="LI87" s="1008">
        <v>0</v>
      </c>
      <c r="LJ87" s="1007">
        <v>0</v>
      </c>
      <c r="LK87" s="1008">
        <v>0</v>
      </c>
      <c r="LL87" s="1007">
        <v>0</v>
      </c>
      <c r="LM87" s="1008" t="s">
        <v>206</v>
      </c>
      <c r="LN87" s="1007">
        <v>-0.73367000000000004</v>
      </c>
      <c r="LO87" s="1008">
        <v>0</v>
      </c>
      <c r="LP87" s="1007">
        <v>-0.479162961</v>
      </c>
      <c r="LQ87" s="1008">
        <v>0</v>
      </c>
      <c r="LR87" s="1007">
        <v>-0.16757784100000001</v>
      </c>
      <c r="LS87" s="1008">
        <v>0</v>
      </c>
      <c r="LT87" s="1007">
        <v>0.975444799999998</v>
      </c>
      <c r="LU87" s="1008" t="s">
        <v>206</v>
      </c>
      <c r="LV87" s="1007">
        <v>-1.89534</v>
      </c>
      <c r="LW87" s="1008">
        <v>0</v>
      </c>
      <c r="LX87" s="1007">
        <v>1.8375280000000025</v>
      </c>
      <c r="LY87" s="1009" t="s">
        <v>259</v>
      </c>
      <c r="LZ87" s="1010">
        <v>-0.85539520000000002</v>
      </c>
      <c r="MA87" s="1011" t="s">
        <v>206</v>
      </c>
      <c r="MB87" s="1012">
        <v>2.1476171199999996</v>
      </c>
      <c r="MC87" s="995"/>
      <c r="MD87" s="996"/>
      <c r="ME87" s="997" t="s">
        <v>416</v>
      </c>
      <c r="MF87" s="997"/>
      <c r="MG87" s="998"/>
      <c r="NR87" s="1000"/>
      <c r="NS87" s="1000"/>
      <c r="NT87" s="1001"/>
      <c r="NU87" s="1000"/>
      <c r="NV87" s="1001"/>
      <c r="NX87" s="1002"/>
      <c r="NZ87" s="1001"/>
      <c r="OA87" s="1001"/>
      <c r="OC87" s="1003"/>
      <c r="OD87" s="1003"/>
      <c r="OE87" s="1001"/>
      <c r="OF87" s="1003"/>
      <c r="OG87" s="1003"/>
      <c r="QX87" s="1000">
        <f t="shared" si="51"/>
        <v>15</v>
      </c>
      <c r="ASU87" s="999" t="s">
        <v>208</v>
      </c>
    </row>
    <row r="88" spans="1:466 1191:1191" ht="21" customHeight="1" x14ac:dyDescent="0.25">
      <c r="A88" s="982" t="str">
        <f t="shared" si="0"/>
        <v>1002-1</v>
      </c>
      <c r="B88" s="124">
        <f>SUBTOTAL(103,$J$29:J88)</f>
        <v>60</v>
      </c>
      <c r="C88" s="126">
        <v>45068</v>
      </c>
      <c r="D88" s="124" t="s">
        <v>176</v>
      </c>
      <c r="E88" s="127" t="s">
        <v>177</v>
      </c>
      <c r="F88" s="128" t="s">
        <v>177</v>
      </c>
      <c r="G88" s="127" t="s">
        <v>178</v>
      </c>
      <c r="H88" s="127" t="s">
        <v>421</v>
      </c>
      <c r="I88" s="127" t="s">
        <v>538</v>
      </c>
      <c r="J88" s="129" t="s">
        <v>549</v>
      </c>
      <c r="K88" s="127" t="s">
        <v>545</v>
      </c>
      <c r="L88" s="130">
        <v>39812</v>
      </c>
      <c r="M88" s="127" t="s">
        <v>230</v>
      </c>
      <c r="N88" s="127" t="s">
        <v>231</v>
      </c>
      <c r="O88" s="127" t="s">
        <v>185</v>
      </c>
      <c r="P88" s="127" t="s">
        <v>186</v>
      </c>
      <c r="Q88" s="85" t="str">
        <f t="shared" si="40"/>
        <v/>
      </c>
      <c r="R88" s="130"/>
      <c r="S88" s="128" t="s">
        <v>156</v>
      </c>
      <c r="T88" s="131"/>
      <c r="U88" s="132">
        <v>203</v>
      </c>
      <c r="V88" s="121">
        <v>218.2</v>
      </c>
      <c r="W88" s="116">
        <v>0.98</v>
      </c>
      <c r="X88" s="116">
        <v>1.66</v>
      </c>
      <c r="Y88" s="116">
        <f t="shared" si="41"/>
        <v>1.0046936758893281</v>
      </c>
      <c r="Z88" s="133">
        <v>1.454</v>
      </c>
      <c r="AA88" s="133">
        <v>0.83599999999999997</v>
      </c>
      <c r="AB88" s="133">
        <v>0.72</v>
      </c>
      <c r="AC88" s="121">
        <v>34.299999999999997</v>
      </c>
      <c r="AD88" s="134">
        <v>1.17</v>
      </c>
      <c r="AE88" s="124">
        <v>139.69999999999999</v>
      </c>
      <c r="AF88" s="128">
        <v>7.72</v>
      </c>
      <c r="AG88" s="128">
        <v>1873</v>
      </c>
      <c r="AH88" s="127">
        <v>2500</v>
      </c>
      <c r="AI88" s="127">
        <v>2500</v>
      </c>
      <c r="AJ88" s="135"/>
      <c r="AK88" s="128"/>
      <c r="AL88" s="131"/>
      <c r="AM88" s="124" t="s">
        <v>232</v>
      </c>
      <c r="AN88" s="136" t="s">
        <v>550</v>
      </c>
      <c r="AO88" s="137">
        <v>32.670000000000073</v>
      </c>
      <c r="AP88" s="128">
        <v>1873</v>
      </c>
      <c r="AQ88" s="128">
        <v>31.63</v>
      </c>
      <c r="AR88" s="128"/>
      <c r="AS88" s="128"/>
      <c r="AT88" s="122"/>
      <c r="AU88" s="124" t="s">
        <v>250</v>
      </c>
      <c r="AV88" s="115">
        <f>VLOOKUP(J88,'[63]ТР нефть'!$J$28:$BP$638,39,0)</f>
        <v>500</v>
      </c>
      <c r="AW88" s="115" t="str">
        <f>VLOOKUP(J88,'[63]ТР нефть'!$J$28:$BP$638,40,0)</f>
        <v>ГК 78 1/8</v>
      </c>
      <c r="AX88" s="115">
        <f>VLOOKUP(J88,'[63]ТР нефть'!$J$28:$BP$638,41,0)</f>
        <v>890</v>
      </c>
      <c r="AY88" s="115" t="str">
        <f>VLOOKUP(J88,'[63]ТР нефть'!$J$28:$BP$638,42,0)</f>
        <v>ГК 85 1/8</v>
      </c>
      <c r="AZ88" s="115">
        <f>VLOOKUP(J88,'[63]ТР нефть'!$J$28:$BP$638,43,0)</f>
        <v>1210</v>
      </c>
      <c r="BA88" s="115" t="str">
        <f>VLOOKUP(J88,'[63]ТР нефть'!$J$28:$BP$638,44,0)</f>
        <v>ГК 85 1/8</v>
      </c>
      <c r="BB88" s="115">
        <f>VLOOKUP(J88,'[63]ТР нефть'!$J$28:$BP$638,45,0)</f>
        <v>1530</v>
      </c>
      <c r="BC88" s="115" t="str">
        <f>VLOOKUP(J88,'[63]ТР нефть'!$J$28:$BP$638,46,0)</f>
        <v>ЦКсОК 5/16</v>
      </c>
      <c r="BD88" s="115" t="str">
        <f>VLOOKUP(J88,'[63]ТР нефть'!$J$28:$BP$638,47,0)</f>
        <v>-</v>
      </c>
      <c r="BE88" s="115" t="str">
        <f>VLOOKUP(J88,'[63]ТР нефть'!$J$28:$BP$638,48,0)</f>
        <v>-</v>
      </c>
      <c r="BF88" s="115" t="str">
        <f>VLOOKUP(J88,'[63]ТР нефть'!$J$28:$BP$638,49,0)</f>
        <v>-</v>
      </c>
      <c r="BG88" s="115" t="str">
        <f>VLOOKUP(J88,'[63]ТР нефть'!$J$28:$BP$638,50,0)</f>
        <v>-</v>
      </c>
      <c r="BH88" s="115">
        <f>VLOOKUP(J88,'[63]ТР нефть'!$J$28:$BP$638,51,0)</f>
        <v>1540</v>
      </c>
      <c r="BI88" s="115" t="str">
        <f>VLOOKUP(J88,'[63]ТР нефть'!$J$28:$BP$638,52,0)</f>
        <v>закрыт</v>
      </c>
      <c r="BJ88" s="115" t="str">
        <f>IF(IFERROR(VLOOKUP(J88,'[63]ТР нефть'!$J$28:$BP$638,53,0),"-")=0,"-",IFERROR(VLOOKUP(J88,'[63]ТР нефть'!$J$28:$BP$638,53,0),"-"))</f>
        <v>-</v>
      </c>
      <c r="BK88" s="138" t="str">
        <f>IF(IFERROR(VLOOKUP(J88,'[63]ТР нефть'!$J$28:$BP$638,54,0),"-")=0,"-",IFERROR(VLOOKUP(J88,'[63]ТР нефть'!$J$28:$BP$638,54,0),"-"))</f>
        <v>-</v>
      </c>
      <c r="BL88" s="138" t="str">
        <f>IF(IFERROR(VLOOKUP(J88,'[63]ТР нефть'!$J$28:$BP$638,55,0),"-")=0,"-",IFERROR(VLOOKUP(J88,'[63]ТР нефть'!$J$28:$BP$638,55,0),"-"))</f>
        <v>-</v>
      </c>
      <c r="BM88" s="138" t="str">
        <f>IF(IFERROR(VLOOKUP(J88,'[63]ТР нефть'!$J$28:$BP$638,56,0),"-")=0,"-",IFERROR(VLOOKUP(J88,'[63]ТР нефть'!$J$28:$BP$638,56,0),"-"))</f>
        <v>-</v>
      </c>
      <c r="BN88" s="138" t="str">
        <f>IF(IFERROR(VLOOKUP(J88,'[63]ТР нефть'!$J$28:$BP$638,57,0),"-")=0,"-",IFERROR(VLOOKUP(J88,'[63]ТР нефть'!$J$28:$BP$638,57,0),"-"))</f>
        <v>-</v>
      </c>
      <c r="BO88" s="115" t="str">
        <f>IF(IFERROR(VLOOKUP(J88,'[63]ТР нефть'!$J$28:$BP$638,58,0),"-")=0,"-",IFERROR(VLOOKUP(J88,'[63]ТР нефть'!$J$28:$BP$638,58,0),"-"))</f>
        <v>-</v>
      </c>
      <c r="BP88" s="115" t="str">
        <f>IF(IFERROR(VLOOKUP(J88,'[63]ТР нефть'!$J$28:$BP$638,59,0),"-")=0,"-",IFERROR(VLOOKUP(J88,'[63]ТР нефть'!$J$28:$BP$638,59,0),"-"))</f>
        <v>-</v>
      </c>
      <c r="BQ88" s="138">
        <v>2435</v>
      </c>
      <c r="BR88" s="128">
        <v>1872.28</v>
      </c>
      <c r="BS88" s="115">
        <f t="shared" si="2"/>
        <v>562.72</v>
      </c>
      <c r="BT88" s="128">
        <v>73</v>
      </c>
      <c r="BU88" s="128">
        <v>5.5</v>
      </c>
      <c r="BV88" s="127">
        <v>18</v>
      </c>
      <c r="BW88" s="127" t="s">
        <v>217</v>
      </c>
      <c r="BX88" s="127" t="s">
        <v>195</v>
      </c>
      <c r="BY88" s="139">
        <v>24</v>
      </c>
      <c r="BZ88" s="139">
        <v>0</v>
      </c>
      <c r="CA88" s="138">
        <v>47</v>
      </c>
      <c r="CB88" s="138">
        <v>52</v>
      </c>
      <c r="CC88" s="138">
        <v>46</v>
      </c>
      <c r="CD88" s="135">
        <v>45017</v>
      </c>
      <c r="CE88" s="138">
        <v>121.4</v>
      </c>
      <c r="CF88" s="138"/>
      <c r="CG88" s="138" t="str">
        <f t="shared" si="52"/>
        <v/>
      </c>
      <c r="CH88" s="138" t="s">
        <v>197</v>
      </c>
      <c r="CI88" s="127"/>
      <c r="CJ88" s="138"/>
      <c r="CK88" s="138"/>
      <c r="CL88" s="99"/>
      <c r="CM88" s="127"/>
      <c r="CN88" s="154">
        <v>73</v>
      </c>
      <c r="CO88" s="159">
        <f t="shared" si="4"/>
        <v>10.058752</v>
      </c>
      <c r="CP88" s="160">
        <v>12.8</v>
      </c>
      <c r="CQ88" s="161">
        <v>6</v>
      </c>
      <c r="CR88" s="138">
        <v>113</v>
      </c>
      <c r="CS88" s="139"/>
      <c r="CT88" s="138"/>
      <c r="CU88" s="138">
        <f t="shared" si="5"/>
        <v>113</v>
      </c>
      <c r="CV88" s="115">
        <f t="shared" si="6"/>
        <v>11233.998014863077</v>
      </c>
      <c r="CW88" s="115" t="str">
        <f t="shared" si="7"/>
        <v/>
      </c>
      <c r="CX88" s="133">
        <f t="shared" si="8"/>
        <v>0.26446280991735538</v>
      </c>
      <c r="CY88" s="116"/>
      <c r="CZ88" s="131"/>
      <c r="DA88" s="145" t="str">
        <f t="shared" si="9"/>
        <v>Фон.</v>
      </c>
      <c r="DB88" s="146">
        <f t="shared" si="10"/>
        <v>10.058752</v>
      </c>
      <c r="DC88" s="142">
        <f t="shared" si="11"/>
        <v>12.8</v>
      </c>
      <c r="DD88" s="119">
        <f t="shared" si="12"/>
        <v>6</v>
      </c>
      <c r="DE88" s="115">
        <f t="shared" si="13"/>
        <v>113</v>
      </c>
      <c r="DF88" s="121">
        <f t="shared" si="14"/>
        <v>0</v>
      </c>
      <c r="DG88" s="115">
        <f t="shared" si="15"/>
        <v>11233.998014863077</v>
      </c>
      <c r="DH88" s="115">
        <f t="shared" si="16"/>
        <v>73</v>
      </c>
      <c r="DI88" s="147"/>
      <c r="DJ88" s="111" t="s">
        <v>197</v>
      </c>
      <c r="DK88" s="112">
        <v>39812</v>
      </c>
      <c r="DL88" s="113">
        <f t="shared" ca="1" si="42"/>
        <v>5292</v>
      </c>
      <c r="DM88" s="114"/>
      <c r="DN88" s="114"/>
      <c r="DO88" s="114"/>
      <c r="DP88" s="114"/>
      <c r="DQ88" s="112">
        <v>40815</v>
      </c>
      <c r="DR88" s="114" t="s">
        <v>198</v>
      </c>
      <c r="DS88" s="114" t="s">
        <v>551</v>
      </c>
      <c r="DT88" s="115">
        <v>70</v>
      </c>
      <c r="DU88" s="116">
        <f t="shared" si="43"/>
        <v>0.26093271679276325</v>
      </c>
      <c r="DV88" s="117">
        <f t="shared" si="44"/>
        <v>10.539640220851448</v>
      </c>
      <c r="DW88" s="118">
        <f t="shared" si="45"/>
        <v>13.411941643148031</v>
      </c>
      <c r="DX88" s="119">
        <f t="shared" si="21"/>
        <v>6</v>
      </c>
      <c r="DY88" s="115">
        <f t="shared" si="46"/>
        <v>118.4022973184162</v>
      </c>
      <c r="DZ88" s="117">
        <f t="shared" si="47"/>
        <v>0.48088822085144756</v>
      </c>
      <c r="EA88" s="120">
        <f t="shared" si="47"/>
        <v>0.61194164314803068</v>
      </c>
      <c r="EB88" s="119">
        <f t="shared" si="47"/>
        <v>0</v>
      </c>
      <c r="EC88" s="121">
        <f t="shared" si="48"/>
        <v>5.4022973184162026</v>
      </c>
      <c r="ED88" s="122"/>
      <c r="EE88" s="145">
        <v>18</v>
      </c>
      <c r="EF88" s="115">
        <v>47</v>
      </c>
      <c r="EG88" s="115">
        <v>52</v>
      </c>
      <c r="EH88" s="115">
        <v>46</v>
      </c>
      <c r="EI88" s="128" t="s">
        <v>195</v>
      </c>
      <c r="EJ88" s="121">
        <v>24</v>
      </c>
      <c r="EK88" s="121">
        <v>0</v>
      </c>
      <c r="EL88" s="162">
        <v>10.058752</v>
      </c>
      <c r="EM88" s="142">
        <v>12.8</v>
      </c>
      <c r="EN88" s="119">
        <v>6</v>
      </c>
      <c r="EO88" s="115">
        <v>113</v>
      </c>
      <c r="EP88" s="115">
        <v>11233.998014863077</v>
      </c>
      <c r="EQ88" s="115">
        <v>0</v>
      </c>
      <c r="ER88" s="115">
        <v>0</v>
      </c>
      <c r="ES88" s="115">
        <v>73</v>
      </c>
      <c r="ET88" s="150">
        <v>0.26446280991735538</v>
      </c>
      <c r="EU88" s="145">
        <f t="shared" si="25"/>
        <v>18</v>
      </c>
      <c r="EV88" s="115">
        <f t="shared" si="26"/>
        <v>47</v>
      </c>
      <c r="EW88" s="115">
        <f t="shared" si="26"/>
        <v>52</v>
      </c>
      <c r="EX88" s="115">
        <f t="shared" si="26"/>
        <v>46</v>
      </c>
      <c r="EY88" s="115" t="str">
        <f t="shared" si="53"/>
        <v>Постоянный</v>
      </c>
      <c r="EZ88" s="115">
        <f t="shared" si="53"/>
        <v>24</v>
      </c>
      <c r="FA88" s="115">
        <f t="shared" si="53"/>
        <v>0</v>
      </c>
      <c r="FB88" s="149">
        <f t="shared" si="28"/>
        <v>10.058752</v>
      </c>
      <c r="FC88" s="142">
        <f t="shared" si="28"/>
        <v>12.8</v>
      </c>
      <c r="FD88" s="119">
        <f t="shared" si="28"/>
        <v>6</v>
      </c>
      <c r="FE88" s="121">
        <f t="shared" si="28"/>
        <v>113</v>
      </c>
      <c r="FF88" s="121">
        <f t="shared" si="49"/>
        <v>11233.998014863077</v>
      </c>
      <c r="FG88" s="121">
        <f t="shared" si="30"/>
        <v>0</v>
      </c>
      <c r="FH88" s="121">
        <f t="shared" si="50"/>
        <v>0</v>
      </c>
      <c r="FI88" s="121">
        <f t="shared" si="54"/>
        <v>73</v>
      </c>
      <c r="FJ88" s="144">
        <f t="shared" si="33"/>
        <v>0.26446280991735538</v>
      </c>
      <c r="FK88" s="132">
        <f t="shared" si="34"/>
        <v>0</v>
      </c>
      <c r="FL88" s="115">
        <f t="shared" si="34"/>
        <v>0</v>
      </c>
      <c r="FM88" s="115">
        <f t="shared" si="34"/>
        <v>0</v>
      </c>
      <c r="FN88" s="115">
        <f t="shared" si="34"/>
        <v>0</v>
      </c>
      <c r="FO88" s="115">
        <f t="shared" si="57"/>
        <v>0</v>
      </c>
      <c r="FP88" s="115">
        <f t="shared" si="56"/>
        <v>0</v>
      </c>
      <c r="FQ88" s="149">
        <f t="shared" si="56"/>
        <v>0</v>
      </c>
      <c r="FR88" s="142">
        <f t="shared" si="56"/>
        <v>0</v>
      </c>
      <c r="FS88" s="119">
        <f t="shared" si="56"/>
        <v>0</v>
      </c>
      <c r="FT88" s="121">
        <f t="shared" si="56"/>
        <v>0</v>
      </c>
      <c r="FU88" s="121">
        <f t="shared" si="36"/>
        <v>0</v>
      </c>
      <c r="FV88" s="121">
        <f t="shared" si="36"/>
        <v>0</v>
      </c>
      <c r="FW88" s="121">
        <f t="shared" si="37"/>
        <v>0</v>
      </c>
      <c r="FX88" s="121">
        <f t="shared" si="38"/>
        <v>0</v>
      </c>
      <c r="FY88" s="144">
        <f t="shared" si="38"/>
        <v>0</v>
      </c>
      <c r="FZ88" s="145"/>
      <c r="GA88" s="163"/>
      <c r="GB88" s="145"/>
      <c r="GC88" s="163"/>
      <c r="GD88" s="997" t="s">
        <v>416</v>
      </c>
      <c r="GE88" s="1004"/>
      <c r="GF88" s="1004">
        <v>0</v>
      </c>
      <c r="GG88" s="1004"/>
      <c r="GH88" s="1004">
        <v>0</v>
      </c>
      <c r="GI88" s="145"/>
      <c r="GJ88" s="996">
        <v>0</v>
      </c>
      <c r="GK88" s="145"/>
      <c r="GL88" s="996">
        <v>0</v>
      </c>
      <c r="GM88" s="1005"/>
      <c r="GN88" s="996">
        <v>0</v>
      </c>
      <c r="GO88" s="1006"/>
      <c r="GP88" s="996">
        <v>0</v>
      </c>
      <c r="GQ88" s="1006"/>
      <c r="GR88" s="996">
        <v>0</v>
      </c>
      <c r="GS88" s="1006"/>
      <c r="GT88" s="996">
        <v>0</v>
      </c>
      <c r="GU88" s="1006"/>
      <c r="GV88" s="996">
        <v>0</v>
      </c>
      <c r="GW88" s="1006"/>
      <c r="GX88" s="996">
        <v>0</v>
      </c>
      <c r="GY88" s="1006"/>
      <c r="GZ88" s="996">
        <v>0</v>
      </c>
      <c r="HA88" s="1006"/>
      <c r="HB88" s="996">
        <v>0</v>
      </c>
      <c r="HC88" s="1006"/>
      <c r="HD88" s="996">
        <v>-0.94300799999999896</v>
      </c>
      <c r="HE88" s="1006"/>
      <c r="HF88" s="996">
        <v>8.192799999999778E-3</v>
      </c>
      <c r="HG88" s="1006"/>
      <c r="HH88" s="996">
        <v>-0.66221482799999976</v>
      </c>
      <c r="HI88" s="1006"/>
      <c r="HJ88" s="996">
        <v>-0.23375563200000116</v>
      </c>
      <c r="HK88" s="1006"/>
      <c r="HL88" s="996">
        <v>0</v>
      </c>
      <c r="HM88" s="1006" t="s">
        <v>223</v>
      </c>
      <c r="HN88" s="996">
        <v>-7.2207535399999987</v>
      </c>
      <c r="HO88" s="1006"/>
      <c r="HP88" s="996">
        <v>0</v>
      </c>
      <c r="HQ88" s="1006"/>
      <c r="HR88" s="996">
        <v>0</v>
      </c>
      <c r="HS88" s="1006" t="s">
        <v>199</v>
      </c>
      <c r="HT88" s="996">
        <v>6.0887551999999996</v>
      </c>
      <c r="HU88" s="1006"/>
      <c r="HV88" s="996">
        <v>0</v>
      </c>
      <c r="HW88" s="1006" t="s">
        <v>199</v>
      </c>
      <c r="HX88" s="996">
        <v>1.4567843399999987</v>
      </c>
      <c r="HY88" s="1006" t="s">
        <v>199</v>
      </c>
      <c r="HZ88" s="996">
        <v>-4.7506243399999963</v>
      </c>
      <c r="IA88" s="1006"/>
      <c r="IB88" s="996">
        <v>0</v>
      </c>
      <c r="IC88" s="1006" t="s">
        <v>199</v>
      </c>
      <c r="ID88" s="996">
        <v>4.4568831999999983</v>
      </c>
      <c r="IE88" s="1006"/>
      <c r="IF88" s="996">
        <v>0</v>
      </c>
      <c r="IG88" s="1006"/>
      <c r="IH88" s="996">
        <v>0</v>
      </c>
      <c r="II88" s="1006"/>
      <c r="IJ88" s="996">
        <v>0.33426623999999983</v>
      </c>
      <c r="IK88" s="1006" t="s">
        <v>199</v>
      </c>
      <c r="IL88" s="996">
        <v>-1.4224038400000012</v>
      </c>
      <c r="IM88" s="1006"/>
      <c r="IN88" s="996">
        <v>0</v>
      </c>
      <c r="IO88" s="1006"/>
      <c r="IP88" s="996">
        <v>0</v>
      </c>
      <c r="IQ88" s="1006" t="s">
        <v>199</v>
      </c>
      <c r="IR88" s="996">
        <v>0.95237119999999997</v>
      </c>
      <c r="IS88" s="1006" t="s">
        <v>199</v>
      </c>
      <c r="IT88" s="996">
        <v>-1.8024996000000026</v>
      </c>
      <c r="IU88" s="1006" t="s">
        <v>199</v>
      </c>
      <c r="IV88" s="996">
        <v>-3.1202027999999977</v>
      </c>
      <c r="IW88" s="1006"/>
      <c r="IX88" s="996">
        <v>0</v>
      </c>
      <c r="IY88" s="1006"/>
      <c r="IZ88" s="996">
        <v>0</v>
      </c>
      <c r="JA88" s="1006"/>
      <c r="JB88" s="996">
        <v>0</v>
      </c>
      <c r="JC88" s="1006" t="s">
        <v>199</v>
      </c>
      <c r="JD88" s="996">
        <v>9.4373532000000004</v>
      </c>
      <c r="JE88" s="1006"/>
      <c r="JF88" s="996">
        <v>0</v>
      </c>
      <c r="JG88" s="1006" t="s">
        <v>199</v>
      </c>
      <c r="JH88" s="996">
        <v>-14.455255100000002</v>
      </c>
      <c r="JI88" s="1006"/>
      <c r="JJ88" s="996">
        <v>0</v>
      </c>
      <c r="JK88" s="1007"/>
      <c r="JL88" s="1007">
        <v>0</v>
      </c>
      <c r="JM88" s="1007" t="s">
        <v>199</v>
      </c>
      <c r="JN88" s="1007">
        <v>3.3751619000000055</v>
      </c>
      <c r="JO88" s="1008" t="s">
        <v>199</v>
      </c>
      <c r="JP88" s="1007">
        <v>-1.5184435200000017</v>
      </c>
      <c r="JQ88" s="1008">
        <v>0</v>
      </c>
      <c r="JR88" s="1007">
        <v>0</v>
      </c>
      <c r="JS88" s="1008">
        <v>0</v>
      </c>
      <c r="JT88" s="1007">
        <v>4.5645600000000286E-2</v>
      </c>
      <c r="JU88" s="1008" t="s">
        <v>199</v>
      </c>
      <c r="JV88" s="1007">
        <v>10.963604960000003</v>
      </c>
      <c r="JW88" s="1008" t="s">
        <v>197</v>
      </c>
      <c r="JX88" s="1007">
        <v>0</v>
      </c>
      <c r="JY88" s="1008" t="s">
        <v>199</v>
      </c>
      <c r="JZ88" s="1007">
        <v>-10.919464160000002</v>
      </c>
      <c r="KA88" s="1008"/>
      <c r="KB88" s="1007">
        <v>0</v>
      </c>
      <c r="KC88" s="1008"/>
      <c r="KD88" s="1007">
        <v>0</v>
      </c>
      <c r="KE88" s="1008" t="s">
        <v>204</v>
      </c>
      <c r="KF88" s="1007">
        <v>-4.8391024000000016</v>
      </c>
      <c r="KG88" s="1008" t="s">
        <v>204</v>
      </c>
      <c r="KH88" s="1007">
        <v>-1.1662199999999956</v>
      </c>
      <c r="KI88" s="1008"/>
      <c r="KJ88" s="1007">
        <v>0</v>
      </c>
      <c r="KK88" s="1008"/>
      <c r="KL88" s="1007">
        <v>0</v>
      </c>
      <c r="KM88" s="1008" t="s">
        <v>206</v>
      </c>
      <c r="KN88" s="1007">
        <v>5.1079599999999985</v>
      </c>
      <c r="KO88" s="1008"/>
      <c r="KP88" s="1007">
        <v>0</v>
      </c>
      <c r="KQ88" s="1008">
        <v>0</v>
      </c>
      <c r="KR88" s="1007">
        <v>0</v>
      </c>
      <c r="KS88" s="1008">
        <v>0</v>
      </c>
      <c r="KT88" s="1007">
        <v>0</v>
      </c>
      <c r="KU88" s="1008" t="s">
        <v>204</v>
      </c>
      <c r="KV88" s="1007">
        <v>-1.8709680000000013</v>
      </c>
      <c r="KW88" s="1008" t="s">
        <v>199</v>
      </c>
      <c r="KX88" s="1007">
        <v>10.017955200000001</v>
      </c>
      <c r="KY88" s="1008" t="s">
        <v>199</v>
      </c>
      <c r="KZ88" s="1007">
        <v>-12.522444</v>
      </c>
      <c r="LA88" s="1008">
        <v>0</v>
      </c>
      <c r="LB88" s="1007">
        <v>0</v>
      </c>
      <c r="LC88" s="1008" t="s">
        <v>204</v>
      </c>
      <c r="LD88" s="1007">
        <v>3.3393183999999998</v>
      </c>
      <c r="LE88" s="1008">
        <v>0</v>
      </c>
      <c r="LF88" s="1007">
        <v>0</v>
      </c>
      <c r="LG88" s="1008">
        <v>0</v>
      </c>
      <c r="LH88" s="1007">
        <v>0</v>
      </c>
      <c r="LI88" s="1008">
        <v>0</v>
      </c>
      <c r="LJ88" s="1007">
        <v>0</v>
      </c>
      <c r="LK88" s="1008" t="s">
        <v>204</v>
      </c>
      <c r="LL88" s="1007">
        <v>-1.6696591999999981</v>
      </c>
      <c r="LM88" s="1008" t="s">
        <v>206</v>
      </c>
      <c r="LN88" s="1007">
        <v>0.83482999999999996</v>
      </c>
      <c r="LO88" s="1008">
        <v>0</v>
      </c>
      <c r="LP88" s="1007">
        <v>0.83482959999999895</v>
      </c>
      <c r="LQ88" s="1008" t="s">
        <v>206</v>
      </c>
      <c r="LR88" s="1007">
        <v>4.1741480000000024</v>
      </c>
      <c r="LS88" s="1008">
        <v>0</v>
      </c>
      <c r="LT88" s="1007">
        <v>-5.8977599999999999</v>
      </c>
      <c r="LU88" s="1008">
        <v>0</v>
      </c>
      <c r="LV88" s="1007">
        <v>0.551763</v>
      </c>
      <c r="LW88" s="1008" t="s">
        <v>206</v>
      </c>
      <c r="LX88" s="1007">
        <v>8.3995999999999995</v>
      </c>
      <c r="LY88" s="1009" t="s">
        <v>206</v>
      </c>
      <c r="LZ88" s="1010">
        <v>-14.5928</v>
      </c>
      <c r="MA88" s="1011" t="s">
        <v>206</v>
      </c>
      <c r="MB88" s="1012">
        <v>-13.7996956</v>
      </c>
      <c r="MC88" s="995"/>
      <c r="MD88" s="996"/>
      <c r="ME88" s="997" t="s">
        <v>416</v>
      </c>
      <c r="MF88" s="997"/>
      <c r="MG88" s="998"/>
      <c r="NR88" s="1000"/>
      <c r="NS88" s="1000"/>
      <c r="NT88" s="1001"/>
      <c r="NU88" s="1000"/>
      <c r="NV88" s="1001"/>
      <c r="NX88" s="1002"/>
      <c r="NZ88" s="1001"/>
      <c r="OA88" s="1001"/>
      <c r="OC88" s="1003"/>
      <c r="OD88" s="1003"/>
      <c r="OE88" s="1001"/>
      <c r="OF88" s="1003"/>
      <c r="OG88" s="1003"/>
      <c r="QX88" s="1000">
        <f t="shared" si="51"/>
        <v>26</v>
      </c>
      <c r="ASU88" s="999" t="s">
        <v>208</v>
      </c>
    </row>
    <row r="89" spans="1:466 1191:1191" ht="21" customHeight="1" x14ac:dyDescent="0.25">
      <c r="A89" s="982" t="str">
        <f t="shared" si="0"/>
        <v>1004-2</v>
      </c>
      <c r="B89" s="124">
        <f>SUBTOTAL(103,$J$29:J89)</f>
        <v>61</v>
      </c>
      <c r="C89" s="126">
        <v>45068</v>
      </c>
      <c r="D89" s="124" t="s">
        <v>176</v>
      </c>
      <c r="E89" s="127" t="s">
        <v>177</v>
      </c>
      <c r="F89" s="128" t="s">
        <v>177</v>
      </c>
      <c r="G89" s="127" t="s">
        <v>178</v>
      </c>
      <c r="H89" s="127" t="s">
        <v>408</v>
      </c>
      <c r="I89" s="127" t="s">
        <v>538</v>
      </c>
      <c r="J89" s="152" t="s">
        <v>552</v>
      </c>
      <c r="K89" s="127" t="s">
        <v>182</v>
      </c>
      <c r="L89" s="130">
        <v>41202</v>
      </c>
      <c r="M89" s="127" t="s">
        <v>230</v>
      </c>
      <c r="N89" s="127" t="s">
        <v>231</v>
      </c>
      <c r="O89" s="127" t="s">
        <v>185</v>
      </c>
      <c r="P89" s="127" t="s">
        <v>292</v>
      </c>
      <c r="Q89" s="85" t="str">
        <f t="shared" si="40"/>
        <v/>
      </c>
      <c r="R89" s="130"/>
      <c r="S89" s="128" t="s">
        <v>156</v>
      </c>
      <c r="T89" s="131"/>
      <c r="U89" s="132">
        <v>203</v>
      </c>
      <c r="V89" s="121">
        <v>218.2</v>
      </c>
      <c r="W89" s="116">
        <v>0.98</v>
      </c>
      <c r="X89" s="116">
        <v>1.66</v>
      </c>
      <c r="Y89" s="116">
        <f t="shared" si="41"/>
        <v>0.98403097023953534</v>
      </c>
      <c r="Z89" s="133">
        <v>1.454</v>
      </c>
      <c r="AA89" s="133">
        <v>0.83599999999999997</v>
      </c>
      <c r="AB89" s="133">
        <v>0.72</v>
      </c>
      <c r="AC89" s="121">
        <v>34.299999999999997</v>
      </c>
      <c r="AD89" s="134">
        <v>1.17</v>
      </c>
      <c r="AE89" s="124">
        <v>177.8</v>
      </c>
      <c r="AF89" s="128">
        <v>9.19</v>
      </c>
      <c r="AG89" s="128">
        <v>2090</v>
      </c>
      <c r="AH89" s="127">
        <v>2572</v>
      </c>
      <c r="AI89" s="127">
        <v>2572</v>
      </c>
      <c r="AJ89" s="135"/>
      <c r="AK89" s="128"/>
      <c r="AL89" s="131"/>
      <c r="AM89" s="124" t="s">
        <v>232</v>
      </c>
      <c r="AN89" s="136" t="s">
        <v>553</v>
      </c>
      <c r="AO89" s="137">
        <v>14.929999999999801</v>
      </c>
      <c r="AP89" s="128">
        <v>2090</v>
      </c>
      <c r="AQ89" s="128">
        <v>214.11</v>
      </c>
      <c r="AR89" s="128"/>
      <c r="AS89" s="128"/>
      <c r="AT89" s="122"/>
      <c r="AU89" s="124" t="s">
        <v>250</v>
      </c>
      <c r="AV89" s="115">
        <f>VLOOKUP(J89,'[63]ТР нефть'!$J$28:$BP$638,39,0)</f>
        <v>600</v>
      </c>
      <c r="AW89" s="115" t="str">
        <f>VLOOKUP(J89,'[63]ТР нефть'!$J$28:$BP$638,40,0)</f>
        <v>ГП</v>
      </c>
      <c r="AX89" s="115">
        <f>VLOOKUP(J89,'[63]ТР нефть'!$J$28:$BP$638,41,0)</f>
        <v>1200</v>
      </c>
      <c r="AY89" s="115" t="str">
        <f>VLOOKUP(J89,'[63]ТР нефть'!$J$28:$BP$638,42,0)</f>
        <v>ГК 86 1/8</v>
      </c>
      <c r="AZ89" s="115">
        <f>VLOOKUP(J89,'[63]ТР нефть'!$J$28:$BP$638,43,0)</f>
        <v>1595</v>
      </c>
      <c r="BA89" s="115" t="str">
        <f>VLOOKUP(J89,'[63]ТР нефть'!$J$28:$BP$638,44,0)</f>
        <v>ГК 86 5/32</v>
      </c>
      <c r="BB89" s="115" t="str">
        <f>VLOOKUP(J89,'[63]ТР нефть'!$J$28:$BP$638,45,0)</f>
        <v>-</v>
      </c>
      <c r="BC89" s="115" t="str">
        <f>VLOOKUP(J89,'[63]ТР нефть'!$J$28:$BP$638,46,0)</f>
        <v>-</v>
      </c>
      <c r="BD89" s="115" t="str">
        <f>VLOOKUP(J89,'[63]ТР нефть'!$J$28:$BP$638,47,0)</f>
        <v>-</v>
      </c>
      <c r="BE89" s="115" t="str">
        <f>VLOOKUP(J89,'[63]ТР нефть'!$J$28:$BP$638,48,0)</f>
        <v>-</v>
      </c>
      <c r="BF89" s="115" t="str">
        <f>VLOOKUP(J89,'[63]ТР нефть'!$J$28:$BP$638,49,0)</f>
        <v>-</v>
      </c>
      <c r="BG89" s="115" t="str">
        <f>VLOOKUP(J89,'[63]ТР нефть'!$J$28:$BP$638,50,0)</f>
        <v>-</v>
      </c>
      <c r="BH89" s="115" t="str">
        <f>VLOOKUP(J89,'[63]ТР нефть'!$J$28:$BP$638,51,0)</f>
        <v>-</v>
      </c>
      <c r="BI89" s="115" t="str">
        <f>VLOOKUP(J89,'[63]ТР нефть'!$J$28:$BP$638,52,0)</f>
        <v>-</v>
      </c>
      <c r="BJ89" s="115" t="str">
        <f>IF(IFERROR(VLOOKUP(J89,'[63]ТР нефть'!$J$28:$BP$638,53,0),"-")=0,"-",IFERROR(VLOOKUP(J89,'[63]ТР нефть'!$J$28:$BP$638,53,0),"-"))</f>
        <v>-</v>
      </c>
      <c r="BK89" s="138" t="str">
        <f>IF(IFERROR(VLOOKUP(J89,'[63]ТР нефть'!$J$28:$BP$638,54,0),"-")=0,"-",IFERROR(VLOOKUP(J89,'[63]ТР нефть'!$J$28:$BP$638,54,0),"-"))</f>
        <v>-</v>
      </c>
      <c r="BL89" s="138" t="str">
        <f>IF(IFERROR(VLOOKUP(J89,'[63]ТР нефть'!$J$28:$BP$638,55,0),"-")=0,"-",IFERROR(VLOOKUP(J89,'[63]ТР нефть'!$J$28:$BP$638,55,0),"-"))</f>
        <v>-</v>
      </c>
      <c r="BM89" s="138" t="str">
        <f>IF(IFERROR(VLOOKUP(J89,'[63]ТР нефть'!$J$28:$BP$638,56,0),"-")=0,"-",IFERROR(VLOOKUP(J89,'[63]ТР нефть'!$J$28:$BP$638,56,0),"-"))</f>
        <v>-</v>
      </c>
      <c r="BN89" s="138" t="str">
        <f>IF(IFERROR(VLOOKUP(J89,'[63]ТР нефть'!$J$28:$BP$638,57,0),"-")=0,"-",IFERROR(VLOOKUP(J89,'[63]ТР нефть'!$J$28:$BP$638,57,0),"-"))</f>
        <v>-</v>
      </c>
      <c r="BO89" s="115" t="str">
        <f>IF(IFERROR(VLOOKUP(J89,'[63]ТР нефть'!$J$28:$BP$638,58,0),"-")=0,"-",IFERROR(VLOOKUP(J89,'[63]ТР нефть'!$J$28:$BP$638,58,0),"-"))</f>
        <v>-</v>
      </c>
      <c r="BP89" s="115" t="str">
        <f>IF(IFERROR(VLOOKUP(J89,'[63]ТР нефть'!$J$28:$BP$638,59,0),"-")=0,"-",IFERROR(VLOOKUP(J89,'[63]ТР нефть'!$J$28:$BP$638,59,0),"-"))</f>
        <v>-</v>
      </c>
      <c r="BQ89" s="138">
        <v>2199</v>
      </c>
      <c r="BR89" s="128">
        <v>1879.28</v>
      </c>
      <c r="BS89" s="115">
        <f t="shared" si="2"/>
        <v>319.72000000000003</v>
      </c>
      <c r="BT89" s="128">
        <v>73</v>
      </c>
      <c r="BU89" s="128">
        <v>5.5</v>
      </c>
      <c r="BV89" s="127">
        <v>10</v>
      </c>
      <c r="BW89" s="127" t="s">
        <v>217</v>
      </c>
      <c r="BX89" s="127" t="s">
        <v>218</v>
      </c>
      <c r="BY89" s="139">
        <v>24</v>
      </c>
      <c r="BZ89" s="139">
        <v>24</v>
      </c>
      <c r="CA89" s="138">
        <v>48</v>
      </c>
      <c r="CB89" s="138">
        <v>51</v>
      </c>
      <c r="CC89" s="138">
        <v>47</v>
      </c>
      <c r="CD89" s="135">
        <v>45017</v>
      </c>
      <c r="CE89" s="138">
        <v>91</v>
      </c>
      <c r="CF89" s="138"/>
      <c r="CG89" s="138" t="str">
        <f t="shared" si="52"/>
        <v/>
      </c>
      <c r="CH89" s="138" t="s">
        <v>197</v>
      </c>
      <c r="CI89" s="127"/>
      <c r="CJ89" s="138"/>
      <c r="CK89" s="138"/>
      <c r="CL89" s="99"/>
      <c r="CM89" s="127"/>
      <c r="CN89" s="154">
        <v>64</v>
      </c>
      <c r="CO89" s="159">
        <f t="shared" si="4"/>
        <v>1.6552799999999999</v>
      </c>
      <c r="CP89" s="160">
        <v>2</v>
      </c>
      <c r="CQ89" s="161">
        <v>1</v>
      </c>
      <c r="CR89" s="138">
        <f>56/2</f>
        <v>28</v>
      </c>
      <c r="CS89" s="139"/>
      <c r="CT89" s="138"/>
      <c r="CU89" s="138">
        <f t="shared" si="5"/>
        <v>28</v>
      </c>
      <c r="CV89" s="115">
        <f t="shared" si="6"/>
        <v>16915.567154801607</v>
      </c>
      <c r="CW89" s="115" t="str">
        <f t="shared" si="7"/>
        <v/>
      </c>
      <c r="CX89" s="133">
        <f t="shared" si="8"/>
        <v>7.407407407407407E-2</v>
      </c>
      <c r="CY89" s="116"/>
      <c r="CZ89" s="131"/>
      <c r="DA89" s="145" t="str">
        <f t="shared" si="9"/>
        <v>Фон.</v>
      </c>
      <c r="DB89" s="146">
        <f t="shared" si="10"/>
        <v>1.6552799999999999</v>
      </c>
      <c r="DC89" s="142">
        <f t="shared" si="11"/>
        <v>2</v>
      </c>
      <c r="DD89" s="119">
        <f t="shared" si="12"/>
        <v>1</v>
      </c>
      <c r="DE89" s="115">
        <f t="shared" si="13"/>
        <v>28</v>
      </c>
      <c r="DF89" s="121">
        <f t="shared" si="14"/>
        <v>0</v>
      </c>
      <c r="DG89" s="115">
        <f t="shared" si="15"/>
        <v>16915.567154801607</v>
      </c>
      <c r="DH89" s="115">
        <f t="shared" si="16"/>
        <v>64</v>
      </c>
      <c r="DI89" s="147"/>
      <c r="DJ89" s="111" t="s">
        <v>197</v>
      </c>
      <c r="DK89" s="112">
        <v>41202</v>
      </c>
      <c r="DL89" s="113">
        <f t="shared" ca="1" si="42"/>
        <v>3902</v>
      </c>
      <c r="DM89" s="114"/>
      <c r="DN89" s="114"/>
      <c r="DO89" s="114"/>
      <c r="DP89" s="114"/>
      <c r="DQ89" s="112">
        <v>41202</v>
      </c>
      <c r="DR89" s="114" t="s">
        <v>324</v>
      </c>
      <c r="DS89" s="114"/>
      <c r="DT89" s="115">
        <v>47</v>
      </c>
      <c r="DU89" s="116">
        <f t="shared" si="43"/>
        <v>6.6989633796947445E-2</v>
      </c>
      <c r="DV89" s="117">
        <f t="shared" si="44"/>
        <v>2.4395052226910456</v>
      </c>
      <c r="DW89" s="118">
        <f t="shared" si="45"/>
        <v>2.9475438870656876</v>
      </c>
      <c r="DX89" s="119">
        <f t="shared" si="21"/>
        <v>1</v>
      </c>
      <c r="DY89" s="115">
        <f t="shared" si="46"/>
        <v>41.265614418919633</v>
      </c>
      <c r="DZ89" s="117">
        <f t="shared" si="47"/>
        <v>0.78422522269104578</v>
      </c>
      <c r="EA89" s="120">
        <f t="shared" si="47"/>
        <v>0.9475438870656876</v>
      </c>
      <c r="EB89" s="119">
        <f t="shared" si="47"/>
        <v>0</v>
      </c>
      <c r="EC89" s="121">
        <f t="shared" si="48"/>
        <v>13.265614418919633</v>
      </c>
      <c r="ED89" s="122"/>
      <c r="EE89" s="145">
        <v>10</v>
      </c>
      <c r="EF89" s="115">
        <v>48</v>
      </c>
      <c r="EG89" s="115">
        <v>51</v>
      </c>
      <c r="EH89" s="115">
        <v>47</v>
      </c>
      <c r="EI89" s="128" t="s">
        <v>218</v>
      </c>
      <c r="EJ89" s="121">
        <v>24</v>
      </c>
      <c r="EK89" s="121">
        <v>24</v>
      </c>
      <c r="EL89" s="162">
        <v>1.6552799999999999</v>
      </c>
      <c r="EM89" s="142">
        <v>2</v>
      </c>
      <c r="EN89" s="119">
        <v>1</v>
      </c>
      <c r="EO89" s="115">
        <v>28</v>
      </c>
      <c r="EP89" s="115">
        <v>16915.567154801607</v>
      </c>
      <c r="EQ89" s="115">
        <v>0</v>
      </c>
      <c r="ER89" s="115">
        <v>0</v>
      </c>
      <c r="ES89" s="115">
        <v>64</v>
      </c>
      <c r="ET89" s="150">
        <v>7.407407407407407E-2</v>
      </c>
      <c r="EU89" s="145">
        <f t="shared" si="25"/>
        <v>10</v>
      </c>
      <c r="EV89" s="115">
        <f t="shared" si="26"/>
        <v>48</v>
      </c>
      <c r="EW89" s="115">
        <f t="shared" si="26"/>
        <v>51</v>
      </c>
      <c r="EX89" s="115">
        <f t="shared" si="26"/>
        <v>47</v>
      </c>
      <c r="EY89" s="115" t="str">
        <f t="shared" si="53"/>
        <v>Периодический</v>
      </c>
      <c r="EZ89" s="115">
        <f t="shared" si="53"/>
        <v>24</v>
      </c>
      <c r="FA89" s="115">
        <f t="shared" si="53"/>
        <v>24</v>
      </c>
      <c r="FB89" s="149">
        <f t="shared" si="28"/>
        <v>1.6552799999999999</v>
      </c>
      <c r="FC89" s="142">
        <f t="shared" si="28"/>
        <v>2</v>
      </c>
      <c r="FD89" s="119">
        <f t="shared" si="28"/>
        <v>1</v>
      </c>
      <c r="FE89" s="121">
        <f t="shared" si="28"/>
        <v>28</v>
      </c>
      <c r="FF89" s="121">
        <f t="shared" si="49"/>
        <v>16915.567154801607</v>
      </c>
      <c r="FG89" s="121">
        <f t="shared" si="30"/>
        <v>0</v>
      </c>
      <c r="FH89" s="121">
        <f t="shared" si="50"/>
        <v>0</v>
      </c>
      <c r="FI89" s="121">
        <f t="shared" si="54"/>
        <v>64</v>
      </c>
      <c r="FJ89" s="144">
        <f t="shared" si="33"/>
        <v>7.407407407407407E-2</v>
      </c>
      <c r="FK89" s="132">
        <f t="shared" si="34"/>
        <v>0</v>
      </c>
      <c r="FL89" s="115">
        <f t="shared" si="34"/>
        <v>0</v>
      </c>
      <c r="FM89" s="115">
        <f t="shared" si="34"/>
        <v>0</v>
      </c>
      <c r="FN89" s="115">
        <f t="shared" si="34"/>
        <v>0</v>
      </c>
      <c r="FO89" s="115">
        <f t="shared" si="57"/>
        <v>0</v>
      </c>
      <c r="FP89" s="115">
        <f t="shared" si="56"/>
        <v>0</v>
      </c>
      <c r="FQ89" s="149">
        <f t="shared" si="56"/>
        <v>0</v>
      </c>
      <c r="FR89" s="142">
        <f t="shared" si="56"/>
        <v>0</v>
      </c>
      <c r="FS89" s="119">
        <f t="shared" si="56"/>
        <v>0</v>
      </c>
      <c r="FT89" s="121">
        <f t="shared" si="56"/>
        <v>0</v>
      </c>
      <c r="FU89" s="121">
        <f t="shared" si="36"/>
        <v>0</v>
      </c>
      <c r="FV89" s="121">
        <f t="shared" si="36"/>
        <v>0</v>
      </c>
      <c r="FW89" s="121">
        <f t="shared" si="37"/>
        <v>0</v>
      </c>
      <c r="FX89" s="121">
        <f t="shared" si="38"/>
        <v>0</v>
      </c>
      <c r="FY89" s="144">
        <f t="shared" si="38"/>
        <v>0</v>
      </c>
      <c r="FZ89" s="145"/>
      <c r="GA89" s="151" t="s">
        <v>427</v>
      </c>
      <c r="GB89" s="145"/>
      <c r="GC89" s="163" t="s">
        <v>554</v>
      </c>
      <c r="GD89" s="997" t="s">
        <v>416</v>
      </c>
      <c r="GE89" s="1004"/>
      <c r="GF89" s="1004">
        <v>0</v>
      </c>
      <c r="GG89" s="1004"/>
      <c r="GH89" s="1004">
        <v>0</v>
      </c>
      <c r="GI89" s="145"/>
      <c r="GJ89" s="996">
        <v>0</v>
      </c>
      <c r="GK89" s="145"/>
      <c r="GL89" s="996">
        <v>0</v>
      </c>
      <c r="GM89" s="1005"/>
      <c r="GN89" s="996">
        <v>0</v>
      </c>
      <c r="GO89" s="1006"/>
      <c r="GP89" s="996">
        <v>0</v>
      </c>
      <c r="GQ89" s="1006"/>
      <c r="GR89" s="996">
        <v>0</v>
      </c>
      <c r="GS89" s="1006"/>
      <c r="GT89" s="996">
        <v>0</v>
      </c>
      <c r="GU89" s="1006"/>
      <c r="GV89" s="996">
        <v>0</v>
      </c>
      <c r="GW89" s="1006"/>
      <c r="GX89" s="996">
        <v>0</v>
      </c>
      <c r="GY89" s="1006"/>
      <c r="GZ89" s="996">
        <v>0</v>
      </c>
      <c r="HA89" s="1006"/>
      <c r="HB89" s="996">
        <v>0</v>
      </c>
      <c r="HC89" s="1006" t="s">
        <v>199</v>
      </c>
      <c r="HD89" s="996">
        <v>-6.70472</v>
      </c>
      <c r="HE89" s="1006"/>
      <c r="HF89" s="996">
        <v>0</v>
      </c>
      <c r="HG89" s="1006"/>
      <c r="HH89" s="996">
        <v>0</v>
      </c>
      <c r="HI89" s="1006" t="s">
        <v>199</v>
      </c>
      <c r="HJ89" s="996">
        <v>2.4160399999999997</v>
      </c>
      <c r="HK89" s="1006"/>
      <c r="HL89" s="996">
        <v>0</v>
      </c>
      <c r="HM89" s="1006"/>
      <c r="HN89" s="996">
        <v>-0.38826013599999953</v>
      </c>
      <c r="HO89" s="1006"/>
      <c r="HP89" s="996">
        <v>0</v>
      </c>
      <c r="HQ89" s="1006"/>
      <c r="HR89" s="996">
        <v>0</v>
      </c>
      <c r="HS89" s="1006"/>
      <c r="HT89" s="996">
        <v>0</v>
      </c>
      <c r="HU89" s="1006"/>
      <c r="HV89" s="996">
        <v>0</v>
      </c>
      <c r="HW89" s="1006"/>
      <c r="HX89" s="996">
        <v>0</v>
      </c>
      <c r="HY89" s="1006"/>
      <c r="HZ89" s="996">
        <v>0</v>
      </c>
      <c r="IA89" s="1006" t="s">
        <v>204</v>
      </c>
      <c r="IB89" s="996">
        <v>-4.4780958639999993</v>
      </c>
      <c r="IC89" s="1006"/>
      <c r="ID89" s="996">
        <v>0</v>
      </c>
      <c r="IE89" s="1006"/>
      <c r="IF89" s="996">
        <v>0</v>
      </c>
      <c r="IG89" s="1006"/>
      <c r="IH89" s="996">
        <v>0</v>
      </c>
      <c r="II89" s="1006"/>
      <c r="IJ89" s="996">
        <v>0</v>
      </c>
      <c r="IK89" s="1006"/>
      <c r="IL89" s="996">
        <v>0.49676791999999992</v>
      </c>
      <c r="IM89" s="1006" t="s">
        <v>199</v>
      </c>
      <c r="IN89" s="996">
        <v>3.0047344799999989</v>
      </c>
      <c r="IO89" s="1006"/>
      <c r="IP89" s="996">
        <v>0</v>
      </c>
      <c r="IQ89" s="1006"/>
      <c r="IR89" s="996">
        <v>0</v>
      </c>
      <c r="IS89" s="1006"/>
      <c r="IT89" s="996">
        <v>0.81209039999999977</v>
      </c>
      <c r="IU89" s="1006"/>
      <c r="IV89" s="996">
        <v>1.6241807999999303E-2</v>
      </c>
      <c r="IW89" s="1006" t="s">
        <v>199</v>
      </c>
      <c r="IX89" s="996">
        <v>1.1450625120000009</v>
      </c>
      <c r="IY89" s="1006"/>
      <c r="IZ89" s="996">
        <v>0</v>
      </c>
      <c r="JA89" s="1006" t="s">
        <v>199</v>
      </c>
      <c r="JB89" s="996">
        <v>-7.1694691199999996</v>
      </c>
      <c r="JC89" s="1006" t="s">
        <v>199</v>
      </c>
      <c r="JD89" s="996">
        <v>5.3553324</v>
      </c>
      <c r="JE89" s="1006"/>
      <c r="JF89" s="996">
        <v>0</v>
      </c>
      <c r="JG89" s="1006"/>
      <c r="JH89" s="996">
        <v>0</v>
      </c>
      <c r="JI89" s="1006"/>
      <c r="JJ89" s="996">
        <v>0</v>
      </c>
      <c r="JK89" s="1007" t="s">
        <v>199</v>
      </c>
      <c r="JL89" s="1007">
        <v>-6.5274044</v>
      </c>
      <c r="JM89" s="1007"/>
      <c r="JN89" s="1007">
        <v>0</v>
      </c>
      <c r="JO89" s="1008"/>
      <c r="JP89" s="1007">
        <v>0</v>
      </c>
      <c r="JQ89" s="1008">
        <v>0</v>
      </c>
      <c r="JR89" s="1007">
        <v>0.30095999999999989</v>
      </c>
      <c r="JS89" s="1008">
        <v>0</v>
      </c>
      <c r="JT89" s="1007">
        <v>0</v>
      </c>
      <c r="JU89" s="1008"/>
      <c r="JV89" s="1007">
        <v>1.8726400000000254E-2</v>
      </c>
      <c r="JW89" s="1008" t="s">
        <v>199</v>
      </c>
      <c r="JX89" s="1007">
        <v>5.8438071999999988</v>
      </c>
      <c r="JY89" s="1008"/>
      <c r="JZ89" s="1007">
        <v>0</v>
      </c>
      <c r="KA89" s="1008"/>
      <c r="KB89" s="1007">
        <v>0</v>
      </c>
      <c r="KC89" s="1008" t="s">
        <v>199</v>
      </c>
      <c r="KD89" s="1007">
        <v>-1.6696591999999999</v>
      </c>
      <c r="KE89" s="1008" t="s">
        <v>199</v>
      </c>
      <c r="KF89" s="1007">
        <v>-1.9785461519999981</v>
      </c>
      <c r="KG89" s="1008"/>
      <c r="KH89" s="1007">
        <v>0</v>
      </c>
      <c r="KI89" s="1008" t="s">
        <v>206</v>
      </c>
      <c r="KJ89" s="1007">
        <v>-3.0304314480000034</v>
      </c>
      <c r="KK89" s="1008"/>
      <c r="KL89" s="1007">
        <v>0</v>
      </c>
      <c r="KM89" s="1008" t="s">
        <v>555</v>
      </c>
      <c r="KN89" s="1007">
        <v>5.426392400000001</v>
      </c>
      <c r="KO89" s="1008"/>
      <c r="KP89" s="1007">
        <v>0</v>
      </c>
      <c r="KQ89" s="1008">
        <v>0</v>
      </c>
      <c r="KR89" s="1007">
        <v>-1.2289199999999667E-2</v>
      </c>
      <c r="KS89" s="1008" t="s">
        <v>221</v>
      </c>
      <c r="KT89" s="1007">
        <v>-12.121999999999998</v>
      </c>
      <c r="KU89" s="1008" t="s">
        <v>314</v>
      </c>
      <c r="KV89" s="1007">
        <v>5.016</v>
      </c>
      <c r="KW89" s="1008">
        <v>0</v>
      </c>
      <c r="KX89" s="1007">
        <v>0</v>
      </c>
      <c r="KY89" s="1008">
        <v>0</v>
      </c>
      <c r="KZ89" s="1007">
        <v>0</v>
      </c>
      <c r="LA89" s="1008" t="s">
        <v>204</v>
      </c>
      <c r="LB89" s="1007">
        <v>6.6236280000000001</v>
      </c>
      <c r="LC89" s="1008">
        <v>0</v>
      </c>
      <c r="LD89" s="1007">
        <v>0</v>
      </c>
      <c r="LE89" s="1008">
        <v>0</v>
      </c>
      <c r="LF89" s="1007">
        <v>0</v>
      </c>
      <c r="LG89" s="1008">
        <v>0</v>
      </c>
      <c r="LH89" s="1007">
        <v>-9.6357759999999999</v>
      </c>
      <c r="LI89" s="1008">
        <v>0</v>
      </c>
      <c r="LJ89" s="1007">
        <v>0</v>
      </c>
      <c r="LK89" s="1008">
        <v>0</v>
      </c>
      <c r="LL89" s="1007">
        <v>0</v>
      </c>
      <c r="LM89" s="1008" t="s">
        <v>206</v>
      </c>
      <c r="LN89" s="1007">
        <v>-0.93330999999999997</v>
      </c>
      <c r="LO89" s="1008">
        <v>0</v>
      </c>
      <c r="LP89" s="1007">
        <v>0</v>
      </c>
      <c r="LQ89" s="1008">
        <v>0</v>
      </c>
      <c r="LR89" s="1007">
        <v>0</v>
      </c>
      <c r="LS89" s="1008">
        <v>0</v>
      </c>
      <c r="LT89" s="1007">
        <v>0.82862313599999904</v>
      </c>
      <c r="LU89" s="1008">
        <v>0</v>
      </c>
      <c r="LV89" s="1007">
        <v>0.59665325999999996</v>
      </c>
      <c r="LW89" s="1008">
        <v>0</v>
      </c>
      <c r="LX89" s="1007">
        <v>0</v>
      </c>
      <c r="LY89" s="1009">
        <v>0</v>
      </c>
      <c r="LZ89" s="1010">
        <v>0</v>
      </c>
      <c r="MA89" s="1011">
        <v>0</v>
      </c>
      <c r="MB89" s="1012">
        <v>0.21112344499999999</v>
      </c>
      <c r="MC89" s="995"/>
      <c r="MD89" s="996"/>
      <c r="ME89" s="997" t="s">
        <v>416</v>
      </c>
      <c r="MF89" s="997"/>
      <c r="MG89" s="998"/>
      <c r="NR89" s="1000"/>
      <c r="NS89" s="1000"/>
      <c r="NT89" s="1001"/>
      <c r="NU89" s="1000"/>
      <c r="NV89" s="1001"/>
      <c r="NX89" s="1002"/>
      <c r="NZ89" s="1001"/>
      <c r="OA89" s="1001"/>
      <c r="OC89" s="1003"/>
      <c r="OD89" s="1003"/>
      <c r="OE89" s="1001"/>
      <c r="OF89" s="1003"/>
      <c r="OG89" s="1003"/>
      <c r="QX89" s="1000">
        <f t="shared" si="51"/>
        <v>16</v>
      </c>
      <c r="ASU89" s="999" t="s">
        <v>208</v>
      </c>
    </row>
    <row r="90" spans="1:466 1191:1191" ht="21" customHeight="1" x14ac:dyDescent="0.25">
      <c r="A90" s="982" t="str">
        <f t="shared" si="0"/>
        <v>1004-1</v>
      </c>
      <c r="B90" s="124">
        <f>SUBTOTAL(103,$J$29:J90)</f>
        <v>62</v>
      </c>
      <c r="C90" s="126">
        <v>45068</v>
      </c>
      <c r="D90" s="124" t="s">
        <v>176</v>
      </c>
      <c r="E90" s="127" t="s">
        <v>177</v>
      </c>
      <c r="F90" s="128" t="s">
        <v>177</v>
      </c>
      <c r="G90" s="127" t="s">
        <v>178</v>
      </c>
      <c r="H90" s="127" t="s">
        <v>408</v>
      </c>
      <c r="I90" s="127" t="s">
        <v>538</v>
      </c>
      <c r="J90" s="152" t="s">
        <v>556</v>
      </c>
      <c r="K90" s="127" t="s">
        <v>182</v>
      </c>
      <c r="L90" s="130">
        <v>39590</v>
      </c>
      <c r="M90" s="127" t="s">
        <v>230</v>
      </c>
      <c r="N90" s="127" t="s">
        <v>231</v>
      </c>
      <c r="O90" s="127" t="s">
        <v>185</v>
      </c>
      <c r="P90" s="127" t="s">
        <v>186</v>
      </c>
      <c r="Q90" s="85" t="str">
        <f t="shared" si="40"/>
        <v/>
      </c>
      <c r="R90" s="130"/>
      <c r="S90" s="128" t="s">
        <v>156</v>
      </c>
      <c r="T90" s="131"/>
      <c r="U90" s="132">
        <v>203</v>
      </c>
      <c r="V90" s="121">
        <v>218.2</v>
      </c>
      <c r="W90" s="116">
        <v>0.98</v>
      </c>
      <c r="X90" s="116">
        <v>1.66</v>
      </c>
      <c r="Y90" s="116">
        <f t="shared" si="41"/>
        <v>1.0945094218772706</v>
      </c>
      <c r="Z90" s="133">
        <v>1.454</v>
      </c>
      <c r="AA90" s="133">
        <v>0.83599999999999997</v>
      </c>
      <c r="AB90" s="133">
        <v>0.72</v>
      </c>
      <c r="AC90" s="121">
        <v>34.299999999999997</v>
      </c>
      <c r="AD90" s="134">
        <v>1.17</v>
      </c>
      <c r="AE90" s="124">
        <v>139.69999999999999</v>
      </c>
      <c r="AF90" s="128">
        <v>7.72</v>
      </c>
      <c r="AG90" s="128">
        <v>1979</v>
      </c>
      <c r="AH90" s="127" t="s">
        <v>557</v>
      </c>
      <c r="AI90" s="127" t="s">
        <v>557</v>
      </c>
      <c r="AJ90" s="135"/>
      <c r="AK90" s="128"/>
      <c r="AL90" s="131"/>
      <c r="AM90" s="124" t="s">
        <v>232</v>
      </c>
      <c r="AN90" s="136" t="s">
        <v>558</v>
      </c>
      <c r="AO90" s="137">
        <v>49.49</v>
      </c>
      <c r="AP90" s="128">
        <v>1979</v>
      </c>
      <c r="AQ90" s="128">
        <v>83.6</v>
      </c>
      <c r="AR90" s="128"/>
      <c r="AS90" s="128"/>
      <c r="AT90" s="122"/>
      <c r="AU90" s="124" t="s">
        <v>189</v>
      </c>
      <c r="AV90" s="115">
        <f>VLOOKUP(J90,'[63]ТР нефть'!$J$28:$BP$638,39,0)</f>
        <v>530.04719999999998</v>
      </c>
      <c r="AW90" s="115" t="str">
        <f>VLOOKUP(J90,'[63]ТР нефть'!$J$28:$BP$638,40,0)</f>
        <v>ГП</v>
      </c>
      <c r="AX90" s="115">
        <f>VLOOKUP(J90,'[63]ТР нефть'!$J$28:$BP$638,41,0)</f>
        <v>1010.1072</v>
      </c>
      <c r="AY90" s="115" t="str">
        <f>VLOOKUP(J90,'[63]ТР нефть'!$J$28:$BP$638,42,0)</f>
        <v>ГК 86 1/8</v>
      </c>
      <c r="AZ90" s="115">
        <f>VLOOKUP(J90,'[63]ТР нефть'!$J$28:$BP$638,43,0)</f>
        <v>1310.0304000000001</v>
      </c>
      <c r="BA90" s="115" t="str">
        <f>VLOOKUP(J90,'[63]ТР нефть'!$J$28:$BP$638,44,0)</f>
        <v>ГК 86 5/32</v>
      </c>
      <c r="BB90" s="115">
        <f>VLOOKUP(J90,'[63]ТР нефть'!$J$28:$BP$638,45,0)</f>
        <v>1549.9079999999999</v>
      </c>
      <c r="BC90" s="115" t="str">
        <f>VLOOKUP(J90,'[63]ТР нефть'!$J$28:$BP$638,46,0)</f>
        <v>ГК 86 5/32</v>
      </c>
      <c r="BD90" s="115">
        <f>VLOOKUP(J90,'[63]ТР нефть'!$J$28:$BP$638,47,0)</f>
        <v>1755.9528</v>
      </c>
      <c r="BE90" s="115" t="str">
        <f>VLOOKUP(J90,'[63]ТР нефть'!$J$28:$BP$638,48,0)</f>
        <v>ЦКсОК 5/16</v>
      </c>
      <c r="BF90" s="115" t="str">
        <f>VLOOKUP(J90,'[63]ТР нефть'!$J$28:$BP$638,49,0)</f>
        <v>-</v>
      </c>
      <c r="BG90" s="115" t="str">
        <f>VLOOKUP(J90,'[63]ТР нефть'!$J$28:$BP$638,50,0)</f>
        <v>-</v>
      </c>
      <c r="BH90" s="115">
        <f>VLOOKUP(J90,'[63]ТР нефть'!$J$28:$BP$638,51,0)</f>
        <v>1770</v>
      </c>
      <c r="BI90" s="115" t="str">
        <f>VLOOKUP(J90,'[63]ТР нефть'!$J$28:$BP$638,52,0)</f>
        <v>закрыт</v>
      </c>
      <c r="BJ90" s="115" t="str">
        <f>IF(IFERROR(VLOOKUP(J90,'[63]ТР нефть'!$J$28:$BP$638,53,0),"-")=0,"-",IFERROR(VLOOKUP(J90,'[63]ТР нефть'!$J$28:$BP$638,53,0),"-"))</f>
        <v>-</v>
      </c>
      <c r="BK90" s="138" t="str">
        <f>IF(IFERROR(VLOOKUP(J90,'[63]ТР нефть'!$J$28:$BP$638,54,0),"-")=0,"-",IFERROR(VLOOKUP(J90,'[63]ТР нефть'!$J$28:$BP$638,54,0),"-"))</f>
        <v>-</v>
      </c>
      <c r="BL90" s="138" t="str">
        <f>IF(IFERROR(VLOOKUP(J90,'[63]ТР нефть'!$J$28:$BP$638,55,0),"-")=0,"-",IFERROR(VLOOKUP(J90,'[63]ТР нефть'!$J$28:$BP$638,55,0),"-"))</f>
        <v>-</v>
      </c>
      <c r="BM90" s="138" t="str">
        <f>IF(IFERROR(VLOOKUP(J90,'[63]ТР нефть'!$J$28:$BP$638,56,0),"-")=0,"-",IFERROR(VLOOKUP(J90,'[63]ТР нефть'!$J$28:$BP$638,56,0),"-"))</f>
        <v>-</v>
      </c>
      <c r="BN90" s="138" t="str">
        <f>IF(IFERROR(VLOOKUP(J90,'[63]ТР нефть'!$J$28:$BP$638,57,0),"-")=0,"-",IFERROR(VLOOKUP(J90,'[63]ТР нефть'!$J$28:$BP$638,57,0),"-"))</f>
        <v>-</v>
      </c>
      <c r="BO90" s="115" t="str">
        <f>IF(IFERROR(VLOOKUP(J90,'[63]ТР нефть'!$J$28:$BP$638,58,0),"-")=0,"-",IFERROR(VLOOKUP(J90,'[63]ТР нефть'!$J$28:$BP$638,58,0),"-"))</f>
        <v>-</v>
      </c>
      <c r="BP90" s="115" t="str">
        <f>IF(IFERROR(VLOOKUP(J90,'[63]ТР нефть'!$J$28:$BP$638,59,0),"-")=0,"-",IFERROR(VLOOKUP(J90,'[63]ТР нефть'!$J$28:$BP$638,59,0),"-"))</f>
        <v>-</v>
      </c>
      <c r="BQ90" s="138">
        <v>2184</v>
      </c>
      <c r="BR90" s="128">
        <v>1862.19</v>
      </c>
      <c r="BS90" s="115">
        <f t="shared" si="2"/>
        <v>321.80999999999995</v>
      </c>
      <c r="BT90" s="128">
        <v>73</v>
      </c>
      <c r="BU90" s="128">
        <v>5.5</v>
      </c>
      <c r="BV90" s="127">
        <v>18</v>
      </c>
      <c r="BW90" s="127" t="s">
        <v>194</v>
      </c>
      <c r="BX90" s="127" t="s">
        <v>195</v>
      </c>
      <c r="BY90" s="139">
        <v>24</v>
      </c>
      <c r="BZ90" s="139">
        <v>0</v>
      </c>
      <c r="CA90" s="138">
        <v>23</v>
      </c>
      <c r="CB90" s="138">
        <v>41</v>
      </c>
      <c r="CC90" s="138">
        <v>22</v>
      </c>
      <c r="CD90" s="135">
        <v>45017</v>
      </c>
      <c r="CE90" s="138">
        <v>88</v>
      </c>
      <c r="CF90" s="138">
        <v>67</v>
      </c>
      <c r="CG90" s="138" t="str">
        <f t="shared" si="52"/>
        <v>В работе</v>
      </c>
      <c r="CH90" s="138" t="s">
        <v>196</v>
      </c>
      <c r="CI90" s="127">
        <v>6</v>
      </c>
      <c r="CJ90" s="138"/>
      <c r="CK90" s="138"/>
      <c r="CL90" s="99"/>
      <c r="CM90" s="99"/>
      <c r="CN90" s="140">
        <v>52</v>
      </c>
      <c r="CO90" s="159">
        <f t="shared" si="4"/>
        <v>3.2008209551999998</v>
      </c>
      <c r="CP90" s="160">
        <v>5.1420000000000003</v>
      </c>
      <c r="CQ90" s="161">
        <v>25.54</v>
      </c>
      <c r="CR90" s="138">
        <v>7</v>
      </c>
      <c r="CS90" s="139">
        <v>5</v>
      </c>
      <c r="CT90" s="138"/>
      <c r="CU90" s="138">
        <f t="shared" si="5"/>
        <v>2</v>
      </c>
      <c r="CV90" s="115">
        <f t="shared" si="6"/>
        <v>624.83969831265745</v>
      </c>
      <c r="CW90" s="115">
        <f t="shared" si="7"/>
        <v>1058.9666721444723</v>
      </c>
      <c r="CX90" s="133">
        <f t="shared" si="8"/>
        <v>0.14283333333333334</v>
      </c>
      <c r="CY90" s="116"/>
      <c r="CZ90" s="131"/>
      <c r="DA90" s="145" t="str">
        <f t="shared" si="9"/>
        <v>Газлифт</v>
      </c>
      <c r="DB90" s="146">
        <f t="shared" si="10"/>
        <v>3.2008209551999998</v>
      </c>
      <c r="DC90" s="142">
        <f t="shared" si="11"/>
        <v>5.1420000000000003</v>
      </c>
      <c r="DD90" s="119">
        <f t="shared" si="12"/>
        <v>25.54</v>
      </c>
      <c r="DE90" s="115">
        <f t="shared" si="13"/>
        <v>2</v>
      </c>
      <c r="DF90" s="121">
        <f t="shared" si="14"/>
        <v>5</v>
      </c>
      <c r="DG90" s="115">
        <f t="shared" si="15"/>
        <v>624.83969831265745</v>
      </c>
      <c r="DH90" s="115">
        <f t="shared" si="16"/>
        <v>52</v>
      </c>
      <c r="DI90" s="147"/>
      <c r="DJ90" s="111" t="s">
        <v>197</v>
      </c>
      <c r="DK90" s="112">
        <v>43641</v>
      </c>
      <c r="DL90" s="113">
        <f t="shared" ca="1" si="42"/>
        <v>1463</v>
      </c>
      <c r="DM90" s="114"/>
      <c r="DN90" s="114"/>
      <c r="DO90" s="114"/>
      <c r="DP90" s="114"/>
      <c r="DQ90" s="112">
        <v>41505</v>
      </c>
      <c r="DR90" s="114" t="s">
        <v>198</v>
      </c>
      <c r="DS90" s="114"/>
      <c r="DT90" s="115">
        <v>55</v>
      </c>
      <c r="DU90" s="116">
        <f t="shared" si="43"/>
        <v>0.15581818181818183</v>
      </c>
      <c r="DV90" s="117">
        <f t="shared" si="44"/>
        <v>3.2008209551999998</v>
      </c>
      <c r="DW90" s="118">
        <f t="shared" si="45"/>
        <v>5.1420000000000003</v>
      </c>
      <c r="DX90" s="119">
        <f t="shared" si="21"/>
        <v>25.54</v>
      </c>
      <c r="DY90" s="115">
        <f t="shared" si="46"/>
        <v>2</v>
      </c>
      <c r="DZ90" s="117">
        <f t="shared" si="47"/>
        <v>0</v>
      </c>
      <c r="EA90" s="120">
        <f t="shared" si="47"/>
        <v>0</v>
      </c>
      <c r="EB90" s="119">
        <f t="shared" si="47"/>
        <v>0</v>
      </c>
      <c r="EC90" s="121">
        <f t="shared" si="48"/>
        <v>0</v>
      </c>
      <c r="ED90" s="122"/>
      <c r="EE90" s="145">
        <v>18</v>
      </c>
      <c r="EF90" s="115">
        <v>23</v>
      </c>
      <c r="EG90" s="115">
        <v>41</v>
      </c>
      <c r="EH90" s="115">
        <v>22</v>
      </c>
      <c r="EI90" s="128" t="s">
        <v>218</v>
      </c>
      <c r="EJ90" s="121">
        <v>24</v>
      </c>
      <c r="EK90" s="121">
        <v>48</v>
      </c>
      <c r="EL90" s="162">
        <v>3.2008209551999998</v>
      </c>
      <c r="EM90" s="142">
        <v>5.1420000000000003</v>
      </c>
      <c r="EN90" s="119">
        <v>25.54</v>
      </c>
      <c r="EO90" s="115">
        <v>7</v>
      </c>
      <c r="EP90" s="115">
        <v>624.83969831265745</v>
      </c>
      <c r="EQ90" s="115">
        <v>67</v>
      </c>
      <c r="ER90" s="115">
        <v>5</v>
      </c>
      <c r="ES90" s="115">
        <v>52</v>
      </c>
      <c r="ET90" s="150">
        <v>0.14283333333333334</v>
      </c>
      <c r="EU90" s="145">
        <f t="shared" si="25"/>
        <v>18</v>
      </c>
      <c r="EV90" s="115">
        <f t="shared" si="26"/>
        <v>23</v>
      </c>
      <c r="EW90" s="115">
        <f t="shared" si="26"/>
        <v>41</v>
      </c>
      <c r="EX90" s="115">
        <f t="shared" si="26"/>
        <v>22</v>
      </c>
      <c r="EY90" s="115" t="str">
        <f t="shared" si="53"/>
        <v>Постоянный</v>
      </c>
      <c r="EZ90" s="115">
        <f t="shared" si="53"/>
        <v>24</v>
      </c>
      <c r="FA90" s="115">
        <f t="shared" si="53"/>
        <v>0</v>
      </c>
      <c r="FB90" s="149">
        <f t="shared" si="28"/>
        <v>3.2008209551999998</v>
      </c>
      <c r="FC90" s="142">
        <f t="shared" si="28"/>
        <v>5.1420000000000003</v>
      </c>
      <c r="FD90" s="119">
        <f t="shared" si="28"/>
        <v>25.54</v>
      </c>
      <c r="FE90" s="121">
        <f t="shared" si="28"/>
        <v>7</v>
      </c>
      <c r="FF90" s="121">
        <f t="shared" si="49"/>
        <v>624.83969831265745</v>
      </c>
      <c r="FG90" s="121">
        <f t="shared" si="30"/>
        <v>67</v>
      </c>
      <c r="FH90" s="121">
        <f t="shared" si="50"/>
        <v>5</v>
      </c>
      <c r="FI90" s="121">
        <f t="shared" si="54"/>
        <v>52</v>
      </c>
      <c r="FJ90" s="144">
        <f t="shared" si="33"/>
        <v>0.14283333333333334</v>
      </c>
      <c r="FK90" s="132">
        <f t="shared" si="34"/>
        <v>0</v>
      </c>
      <c r="FL90" s="115">
        <f t="shared" si="34"/>
        <v>0</v>
      </c>
      <c r="FM90" s="115">
        <f t="shared" si="34"/>
        <v>0</v>
      </c>
      <c r="FN90" s="115">
        <f t="shared" si="34"/>
        <v>0</v>
      </c>
      <c r="FO90" s="115">
        <f t="shared" si="57"/>
        <v>0</v>
      </c>
      <c r="FP90" s="115">
        <f t="shared" si="56"/>
        <v>-48</v>
      </c>
      <c r="FQ90" s="149">
        <f t="shared" si="56"/>
        <v>0</v>
      </c>
      <c r="FR90" s="142">
        <f t="shared" si="56"/>
        <v>0</v>
      </c>
      <c r="FS90" s="119">
        <f t="shared" si="56"/>
        <v>0</v>
      </c>
      <c r="FT90" s="121">
        <f t="shared" si="56"/>
        <v>0</v>
      </c>
      <c r="FU90" s="121">
        <f t="shared" si="36"/>
        <v>0</v>
      </c>
      <c r="FV90" s="121">
        <f t="shared" si="36"/>
        <v>0</v>
      </c>
      <c r="FW90" s="121">
        <f t="shared" si="37"/>
        <v>0</v>
      </c>
      <c r="FX90" s="121">
        <f t="shared" si="38"/>
        <v>0</v>
      </c>
      <c r="FY90" s="144">
        <f t="shared" si="38"/>
        <v>0</v>
      </c>
      <c r="FZ90" s="145"/>
      <c r="GA90" s="151" t="s">
        <v>559</v>
      </c>
      <c r="GB90" s="145"/>
      <c r="GC90" s="151" t="s">
        <v>554</v>
      </c>
      <c r="GD90" s="997" t="s">
        <v>416</v>
      </c>
      <c r="GE90" s="1004"/>
      <c r="GF90" s="1004">
        <v>0</v>
      </c>
      <c r="GG90" s="1004"/>
      <c r="GH90" s="1004">
        <v>-0.12854904480000018</v>
      </c>
      <c r="GI90" s="145"/>
      <c r="GJ90" s="996">
        <v>0</v>
      </c>
      <c r="GK90" s="145"/>
      <c r="GL90" s="996">
        <v>0</v>
      </c>
      <c r="GM90" s="1005"/>
      <c r="GN90" s="996">
        <v>0</v>
      </c>
      <c r="GO90" s="1006" t="s">
        <v>199</v>
      </c>
      <c r="GP90" s="996">
        <v>1.1464210119999998</v>
      </c>
      <c r="GQ90" s="1006"/>
      <c r="GR90" s="996">
        <v>0</v>
      </c>
      <c r="GS90" s="1006"/>
      <c r="GT90" s="996">
        <v>0.45075698800000019</v>
      </c>
      <c r="GU90" s="1006"/>
      <c r="GV90" s="996">
        <v>0.60359199999999991</v>
      </c>
      <c r="GW90" s="1006"/>
      <c r="GX90" s="996">
        <v>-0.32929454799999958</v>
      </c>
      <c r="GY90" s="1006" t="s">
        <v>25</v>
      </c>
      <c r="GZ90" s="996">
        <v>-0.10213988840000021</v>
      </c>
      <c r="HA90" s="1006" t="s">
        <v>199</v>
      </c>
      <c r="HB90" s="996">
        <v>-3.8330517236000006</v>
      </c>
      <c r="HC90" s="1006"/>
      <c r="HD90" s="996">
        <v>0</v>
      </c>
      <c r="HE90" s="1006"/>
      <c r="HF90" s="996">
        <v>0</v>
      </c>
      <c r="HG90" s="1006"/>
      <c r="HH90" s="996">
        <v>0</v>
      </c>
      <c r="HI90" s="1006"/>
      <c r="HJ90" s="996">
        <v>0.24262726400000023</v>
      </c>
      <c r="HK90" s="1006"/>
      <c r="HL90" s="996">
        <v>0</v>
      </c>
      <c r="HM90" s="1006"/>
      <c r="HN90" s="996">
        <v>-0.33892610399999956</v>
      </c>
      <c r="HO90" s="1006"/>
      <c r="HP90" s="996">
        <v>-0.9381299400000005</v>
      </c>
      <c r="HQ90" s="1006" t="s">
        <v>199</v>
      </c>
      <c r="HR90" s="996">
        <v>2.8436330999999999</v>
      </c>
      <c r="HS90" s="1006"/>
      <c r="HT90" s="996">
        <v>-0.46971496000000013</v>
      </c>
      <c r="HU90" s="1006" t="s">
        <v>203</v>
      </c>
      <c r="HV90" s="996">
        <v>-1.962635399999999</v>
      </c>
      <c r="HW90" s="1006"/>
      <c r="HX90" s="996">
        <v>0</v>
      </c>
      <c r="HY90" s="1006"/>
      <c r="HZ90" s="996">
        <v>-0.77961180000000052</v>
      </c>
      <c r="IA90" s="1006" t="s">
        <v>203</v>
      </c>
      <c r="IB90" s="996">
        <v>-3.030077819999998</v>
      </c>
      <c r="IC90" s="1006"/>
      <c r="ID90" s="996">
        <v>-0.49829127920000182</v>
      </c>
      <c r="IE90" s="1006" t="s">
        <v>25</v>
      </c>
      <c r="IF90" s="996">
        <v>5.9267360591999996</v>
      </c>
      <c r="IG90" s="1006"/>
      <c r="IH90" s="996">
        <v>0</v>
      </c>
      <c r="II90" s="1006"/>
      <c r="IJ90" s="996">
        <v>0</v>
      </c>
      <c r="IK90" s="1006"/>
      <c r="IL90" s="996">
        <v>0.38342304000000027</v>
      </c>
      <c r="IM90" s="1006" t="s">
        <v>204</v>
      </c>
      <c r="IN90" s="996">
        <v>-1.6624578960000003</v>
      </c>
      <c r="IO90" s="1006"/>
      <c r="IP90" s="996">
        <v>0</v>
      </c>
      <c r="IQ90" s="1006"/>
      <c r="IR90" s="996">
        <v>0</v>
      </c>
      <c r="IS90" s="1006"/>
      <c r="IT90" s="996">
        <v>0</v>
      </c>
      <c r="IU90" s="1006"/>
      <c r="IV90" s="996">
        <v>0</v>
      </c>
      <c r="IW90" s="1006" t="s">
        <v>199</v>
      </c>
      <c r="IX90" s="996">
        <v>1.0744990960000003</v>
      </c>
      <c r="IY90" s="1006"/>
      <c r="IZ90" s="996">
        <v>0</v>
      </c>
      <c r="JA90" s="1006"/>
      <c r="JB90" s="996">
        <v>0</v>
      </c>
      <c r="JC90" s="1006"/>
      <c r="JD90" s="996">
        <v>0</v>
      </c>
      <c r="JE90" s="1006"/>
      <c r="JF90" s="996">
        <v>0</v>
      </c>
      <c r="JG90" s="1006"/>
      <c r="JH90" s="996">
        <v>0</v>
      </c>
      <c r="JI90" s="1006"/>
      <c r="JJ90" s="996">
        <v>0</v>
      </c>
      <c r="JK90" s="1007" t="s">
        <v>199</v>
      </c>
      <c r="JL90" s="1007">
        <v>-3.5526079160000004</v>
      </c>
      <c r="JM90" s="1007"/>
      <c r="JN90" s="1007">
        <v>0</v>
      </c>
      <c r="JO90" s="1008"/>
      <c r="JP90" s="1007">
        <v>0</v>
      </c>
      <c r="JQ90" s="1008" t="s">
        <v>204</v>
      </c>
      <c r="JR90" s="1007">
        <v>2.5987540532799995</v>
      </c>
      <c r="JS90" s="1008" t="s">
        <v>224</v>
      </c>
      <c r="JT90" s="1007">
        <v>4.8870666627200006</v>
      </c>
      <c r="JU90" s="1008"/>
      <c r="JV90" s="1007">
        <v>0</v>
      </c>
      <c r="JW90" s="1008" t="s">
        <v>197</v>
      </c>
      <c r="JX90" s="1007">
        <v>0</v>
      </c>
      <c r="JY90" s="1008"/>
      <c r="JZ90" s="1007">
        <v>0</v>
      </c>
      <c r="KA90" s="1008"/>
      <c r="KB90" s="1007">
        <v>0</v>
      </c>
      <c r="KC90" s="1008"/>
      <c r="KD90" s="1007">
        <v>0</v>
      </c>
      <c r="KE90" s="1008" t="s">
        <v>204</v>
      </c>
      <c r="KF90" s="1007">
        <v>-0.1671999999999999</v>
      </c>
      <c r="KG90" s="1008"/>
      <c r="KH90" s="1007">
        <v>0</v>
      </c>
      <c r="KI90" s="1008" t="s">
        <v>207</v>
      </c>
      <c r="KJ90" s="1007">
        <v>-2.7587999999999999</v>
      </c>
      <c r="KK90" s="1008"/>
      <c r="KL90" s="1007">
        <v>0</v>
      </c>
      <c r="KM90" s="1008"/>
      <c r="KN90" s="1007">
        <v>0</v>
      </c>
      <c r="KO90" s="1008"/>
      <c r="KP90" s="1007">
        <v>0</v>
      </c>
      <c r="KQ90" s="1008">
        <v>0</v>
      </c>
      <c r="KR90" s="1007">
        <v>0</v>
      </c>
      <c r="KS90" s="1008" t="s">
        <v>221</v>
      </c>
      <c r="KT90" s="1007">
        <v>-5.0160000000000018</v>
      </c>
      <c r="KU90" s="1008" t="s">
        <v>476</v>
      </c>
      <c r="KV90" s="1007">
        <v>8.6108000000000011</v>
      </c>
      <c r="KW90" s="1008">
        <v>0</v>
      </c>
      <c r="KX90" s="1007">
        <v>0</v>
      </c>
      <c r="KY90" s="1008">
        <v>0</v>
      </c>
      <c r="KZ90" s="1007">
        <v>0</v>
      </c>
      <c r="LA90" s="1008">
        <v>0</v>
      </c>
      <c r="LB90" s="1007">
        <v>0</v>
      </c>
      <c r="LC90" s="1008">
        <v>0</v>
      </c>
      <c r="LD90" s="1007">
        <v>0</v>
      </c>
      <c r="LE90" s="1008">
        <v>0</v>
      </c>
      <c r="LF90" s="1007">
        <v>0</v>
      </c>
      <c r="LG90" s="1008">
        <v>0</v>
      </c>
      <c r="LH90" s="1007">
        <v>-9.681756</v>
      </c>
      <c r="LI90" s="1008">
        <v>0</v>
      </c>
      <c r="LJ90" s="1007">
        <v>0</v>
      </c>
      <c r="LK90" s="1008">
        <v>0</v>
      </c>
      <c r="LL90" s="1007">
        <v>0</v>
      </c>
      <c r="LM90" s="1008" t="s">
        <v>206</v>
      </c>
      <c r="LN90" s="1007">
        <v>-0.77295000000000003</v>
      </c>
      <c r="LO90" s="1008">
        <v>0</v>
      </c>
      <c r="LP90" s="1007">
        <v>0.45188200000000001</v>
      </c>
      <c r="LQ90" s="1008">
        <v>0</v>
      </c>
      <c r="LR90" s="1007">
        <v>-0.375952544</v>
      </c>
      <c r="LS90" s="1008" t="s">
        <v>206</v>
      </c>
      <c r="LT90" s="1007">
        <v>1.5682189599999994</v>
      </c>
      <c r="LU90" s="1008" t="s">
        <v>223</v>
      </c>
      <c r="LV90" s="1007">
        <v>-0.66385879999999997</v>
      </c>
      <c r="LW90" s="1008">
        <v>0</v>
      </c>
      <c r="LX90" s="1007">
        <v>0</v>
      </c>
      <c r="LY90" s="1009">
        <v>0</v>
      </c>
      <c r="LZ90" s="1010">
        <v>0</v>
      </c>
      <c r="MA90" s="1011">
        <v>0</v>
      </c>
      <c r="MB90" s="1012">
        <v>-0.36812424700000002</v>
      </c>
      <c r="MC90" s="995"/>
      <c r="MD90" s="996"/>
      <c r="ME90" s="997" t="s">
        <v>416</v>
      </c>
      <c r="MF90" s="997"/>
      <c r="MG90" s="998"/>
      <c r="NR90" s="1000"/>
      <c r="NS90" s="1000"/>
      <c r="NT90" s="1001"/>
      <c r="NU90" s="1000"/>
      <c r="NV90" s="1001"/>
      <c r="NX90" s="1002"/>
      <c r="NZ90" s="1001"/>
      <c r="OA90" s="1001"/>
      <c r="OC90" s="1003"/>
      <c r="OD90" s="1003"/>
      <c r="OE90" s="1001"/>
      <c r="OF90" s="1003"/>
      <c r="OG90" s="1003"/>
      <c r="QX90" s="1000">
        <f t="shared" si="51"/>
        <v>29</v>
      </c>
      <c r="ASU90" s="999" t="s">
        <v>208</v>
      </c>
    </row>
    <row r="91" spans="1:466 1191:1191" ht="21" customHeight="1" x14ac:dyDescent="0.25">
      <c r="A91" s="982">
        <f t="shared" si="0"/>
        <v>1007</v>
      </c>
      <c r="B91" s="124">
        <f>SUBTOTAL(103,$J$29:J91)</f>
        <v>63</v>
      </c>
      <c r="C91" s="126">
        <v>45096</v>
      </c>
      <c r="D91" s="124" t="s">
        <v>176</v>
      </c>
      <c r="E91" s="127" t="s">
        <v>177</v>
      </c>
      <c r="F91" s="128" t="s">
        <v>177</v>
      </c>
      <c r="G91" s="127" t="s">
        <v>178</v>
      </c>
      <c r="H91" s="127" t="s">
        <v>421</v>
      </c>
      <c r="I91" s="127" t="s">
        <v>560</v>
      </c>
      <c r="J91" s="152">
        <v>1007</v>
      </c>
      <c r="K91" s="127" t="s">
        <v>561</v>
      </c>
      <c r="L91" s="130">
        <v>41268</v>
      </c>
      <c r="M91" s="127" t="s">
        <v>230</v>
      </c>
      <c r="N91" s="127" t="s">
        <v>465</v>
      </c>
      <c r="O91" s="127" t="s">
        <v>185</v>
      </c>
      <c r="P91" s="127" t="s">
        <v>208</v>
      </c>
      <c r="Q91" s="85" t="str">
        <f t="shared" si="40"/>
        <v/>
      </c>
      <c r="R91" s="130"/>
      <c r="S91" s="128" t="s">
        <v>156</v>
      </c>
      <c r="T91" s="131"/>
      <c r="U91" s="132">
        <v>203</v>
      </c>
      <c r="V91" s="121">
        <v>218.2</v>
      </c>
      <c r="W91" s="116">
        <v>0.98</v>
      </c>
      <c r="X91" s="116">
        <v>1.66</v>
      </c>
      <c r="Y91" s="116">
        <f t="shared" si="41"/>
        <v>0.99632533072023521</v>
      </c>
      <c r="Z91" s="133">
        <v>1.454</v>
      </c>
      <c r="AA91" s="133">
        <v>0.83599999999999997</v>
      </c>
      <c r="AB91" s="133">
        <v>0.72</v>
      </c>
      <c r="AC91" s="121">
        <v>34.299999999999997</v>
      </c>
      <c r="AD91" s="134">
        <v>1.17</v>
      </c>
      <c r="AE91" s="124">
        <v>177.8</v>
      </c>
      <c r="AF91" s="128">
        <v>9.19</v>
      </c>
      <c r="AG91" s="128">
        <v>1929</v>
      </c>
      <c r="AH91" s="127">
        <v>2730</v>
      </c>
      <c r="AI91" s="127">
        <v>2730</v>
      </c>
      <c r="AJ91" s="135"/>
      <c r="AK91" s="128"/>
      <c r="AL91" s="131"/>
      <c r="AM91" s="124" t="s">
        <v>232</v>
      </c>
      <c r="AN91" s="136" t="s">
        <v>562</v>
      </c>
      <c r="AO91" s="137">
        <v>6.3100000000001728</v>
      </c>
      <c r="AP91" s="128">
        <v>1929</v>
      </c>
      <c r="AQ91" s="128">
        <v>58.43</v>
      </c>
      <c r="AR91" s="128"/>
      <c r="AS91" s="128"/>
      <c r="AT91" s="122"/>
      <c r="AU91" s="124" t="s">
        <v>250</v>
      </c>
      <c r="AV91" s="115">
        <f>VLOOKUP(J91,'[63]ТР нефть'!$J$28:$BP$638,39,0)</f>
        <v>583</v>
      </c>
      <c r="AW91" s="115" t="str">
        <f>VLOOKUP(J91,'[63]ТР нефть'!$J$28:$BP$638,40,0)</f>
        <v>ГП</v>
      </c>
      <c r="AX91" s="115">
        <f>VLOOKUP(J91,'[63]ТР нефть'!$J$28:$BP$638,41,0)</f>
        <v>1135</v>
      </c>
      <c r="AY91" s="115" t="str">
        <f>VLOOKUP(J91,'[63]ТР нефть'!$J$28:$BP$638,42,0)</f>
        <v>ГК 80 5/32</v>
      </c>
      <c r="AZ91" s="115">
        <f>VLOOKUP(J91,'[63]ТР нефть'!$J$28:$BP$638,43,0)</f>
        <v>1669</v>
      </c>
      <c r="BA91" s="115" t="str">
        <f>VLOOKUP(J91,'[63]ТР нефть'!$J$28:$BP$638,44,0)</f>
        <v>ГК 79 5/32</v>
      </c>
      <c r="BB91" s="115">
        <f>VLOOKUP(J91,'[63]ТР нефть'!$J$28:$BP$638,45,0)</f>
        <v>1820</v>
      </c>
      <c r="BC91" s="115" t="str">
        <f>VLOOKUP(J91,'[63]ТР нефть'!$J$28:$BP$638,46,0)</f>
        <v>ЦКсОК 5/16</v>
      </c>
      <c r="BD91" s="115" t="str">
        <f>VLOOKUP(J91,'[63]ТР нефть'!$J$28:$BP$638,47,0)</f>
        <v>-</v>
      </c>
      <c r="BE91" s="115" t="str">
        <f>VLOOKUP(J91,'[63]ТР нефть'!$J$28:$BP$638,48,0)</f>
        <v>-</v>
      </c>
      <c r="BF91" s="115" t="str">
        <f>VLOOKUP(J91,'[63]ТР нефть'!$J$28:$BP$638,49,0)</f>
        <v>-</v>
      </c>
      <c r="BG91" s="115" t="str">
        <f>VLOOKUP(J91,'[63]ТР нефть'!$J$28:$BP$638,50,0)</f>
        <v>-</v>
      </c>
      <c r="BH91" s="115" t="str">
        <f>VLOOKUP(J91,'[63]ТР нефть'!$J$28:$BP$638,51,0)</f>
        <v>-</v>
      </c>
      <c r="BI91" s="115" t="str">
        <f>VLOOKUP(J91,'[63]ТР нефть'!$J$28:$BP$638,52,0)</f>
        <v>-</v>
      </c>
      <c r="BJ91" s="115" t="str">
        <f>IF(IFERROR(VLOOKUP(J91,'[63]ТР нефть'!$J$28:$BP$638,53,0),"-")=0,"-",IFERROR(VLOOKUP(J91,'[63]ТР нефть'!$J$28:$BP$638,53,0),"-"))</f>
        <v>-</v>
      </c>
      <c r="BK91" s="138" t="str">
        <f>IF(IFERROR(VLOOKUP(J91,'[63]ТР нефть'!$J$28:$BP$638,54,0),"-")=0,"-",IFERROR(VLOOKUP(J91,'[63]ТР нефть'!$J$28:$BP$638,54,0),"-"))</f>
        <v>-</v>
      </c>
      <c r="BL91" s="138" t="str">
        <f>IF(IFERROR(VLOOKUP(J91,'[63]ТР нефть'!$J$28:$BP$638,55,0),"-")=0,"-",IFERROR(VLOOKUP(J91,'[63]ТР нефть'!$J$28:$BP$638,55,0),"-"))</f>
        <v>-</v>
      </c>
      <c r="BM91" s="138" t="str">
        <f>IF(IFERROR(VLOOKUP(J91,'[63]ТР нефть'!$J$28:$BP$638,56,0),"-")=0,"-",IFERROR(VLOOKUP(J91,'[63]ТР нефть'!$J$28:$BP$638,56,0),"-"))</f>
        <v>-</v>
      </c>
      <c r="BN91" s="138" t="str">
        <f>IF(IFERROR(VLOOKUP(J91,'[63]ТР нефть'!$J$28:$BP$638,57,0),"-")=0,"-",IFERROR(VLOOKUP(J91,'[63]ТР нефть'!$J$28:$BP$638,57,0),"-"))</f>
        <v>-</v>
      </c>
      <c r="BO91" s="115" t="str">
        <f>IF(IFERROR(VLOOKUP(J91,'[63]ТР нефть'!$J$28:$BP$638,58,0),"-")=0,"-",IFERROR(VLOOKUP(J91,'[63]ТР нефть'!$J$28:$BP$638,58,0),"-"))</f>
        <v>-</v>
      </c>
      <c r="BP91" s="115" t="str">
        <f>IF(IFERROR(VLOOKUP(J91,'[63]ТР нефть'!$J$28:$BP$638,59,0),"-")=0,"-",IFERROR(VLOOKUP(J91,'[63]ТР нефть'!$J$28:$BP$638,59,0),"-"))</f>
        <v>-</v>
      </c>
      <c r="BQ91" s="138">
        <v>2000</v>
      </c>
      <c r="BR91" s="128">
        <v>1894.91</v>
      </c>
      <c r="BS91" s="115">
        <f t="shared" si="2"/>
        <v>105.08999999999992</v>
      </c>
      <c r="BT91" s="128">
        <v>73</v>
      </c>
      <c r="BU91" s="128">
        <v>5.5</v>
      </c>
      <c r="BV91" s="127">
        <v>18</v>
      </c>
      <c r="BW91" s="127" t="s">
        <v>234</v>
      </c>
      <c r="BX91" s="127" t="s">
        <v>195</v>
      </c>
      <c r="BY91" s="139">
        <v>24</v>
      </c>
      <c r="BZ91" s="139">
        <v>0</v>
      </c>
      <c r="CA91" s="138">
        <v>34</v>
      </c>
      <c r="CB91" s="138">
        <v>39</v>
      </c>
      <c r="CC91" s="138">
        <v>33</v>
      </c>
      <c r="CD91" s="135">
        <v>45017</v>
      </c>
      <c r="CE91" s="138">
        <v>76</v>
      </c>
      <c r="CF91" s="138"/>
      <c r="CG91" s="138" t="str">
        <f t="shared" si="52"/>
        <v/>
      </c>
      <c r="CH91" s="138" t="s">
        <v>197</v>
      </c>
      <c r="CI91" s="127"/>
      <c r="CJ91" s="138"/>
      <c r="CK91" s="138"/>
      <c r="CL91" s="99"/>
      <c r="CM91" s="127"/>
      <c r="CN91" s="154">
        <v>45</v>
      </c>
      <c r="CO91" s="141">
        <f t="shared" si="4"/>
        <v>12.840959999999999</v>
      </c>
      <c r="CP91" s="142">
        <v>16</v>
      </c>
      <c r="CQ91" s="143">
        <v>4</v>
      </c>
      <c r="CR91" s="138">
        <v>31.6</v>
      </c>
      <c r="CS91" s="139"/>
      <c r="CT91" s="138"/>
      <c r="CU91" s="138">
        <f t="shared" si="5"/>
        <v>31.6</v>
      </c>
      <c r="CV91" s="115">
        <f t="shared" si="6"/>
        <v>2460.8751993620417</v>
      </c>
      <c r="CW91" s="115" t="str">
        <f t="shared" si="7"/>
        <v/>
      </c>
      <c r="CX91" s="133">
        <f t="shared" si="8"/>
        <v>0.5161290322580645</v>
      </c>
      <c r="CY91" s="116"/>
      <c r="CZ91" s="131"/>
      <c r="DA91" s="145" t="str">
        <f t="shared" si="9"/>
        <v>Фон.</v>
      </c>
      <c r="DB91" s="146">
        <f t="shared" si="10"/>
        <v>12.840959999999999</v>
      </c>
      <c r="DC91" s="142">
        <f t="shared" si="11"/>
        <v>16</v>
      </c>
      <c r="DD91" s="119">
        <f t="shared" si="12"/>
        <v>4</v>
      </c>
      <c r="DE91" s="115">
        <f t="shared" si="13"/>
        <v>31.6</v>
      </c>
      <c r="DF91" s="121">
        <f t="shared" si="14"/>
        <v>0</v>
      </c>
      <c r="DG91" s="115">
        <f t="shared" si="15"/>
        <v>2460.8751993620417</v>
      </c>
      <c r="DH91" s="115">
        <f t="shared" si="16"/>
        <v>45</v>
      </c>
      <c r="DI91" s="147"/>
      <c r="DJ91" s="111" t="s">
        <v>197</v>
      </c>
      <c r="DK91" s="112">
        <v>41268</v>
      </c>
      <c r="DL91" s="113">
        <f t="shared" ca="1" si="42"/>
        <v>3836</v>
      </c>
      <c r="DM91" s="114"/>
      <c r="DN91" s="114"/>
      <c r="DO91" s="114"/>
      <c r="DP91" s="114"/>
      <c r="DQ91" s="112">
        <v>41268</v>
      </c>
      <c r="DR91" s="114" t="s">
        <v>324</v>
      </c>
      <c r="DS91" s="114"/>
      <c r="DT91" s="115">
        <v>55</v>
      </c>
      <c r="DU91" s="116">
        <f t="shared" si="43"/>
        <v>0.76190476190476186</v>
      </c>
      <c r="DV91" s="117">
        <f t="shared" si="44"/>
        <v>12.840959999999999</v>
      </c>
      <c r="DW91" s="118">
        <f t="shared" si="45"/>
        <v>16</v>
      </c>
      <c r="DX91" s="119">
        <f t="shared" si="21"/>
        <v>4</v>
      </c>
      <c r="DY91" s="115">
        <f t="shared" si="46"/>
        <v>31.6</v>
      </c>
      <c r="DZ91" s="117">
        <f t="shared" si="47"/>
        <v>0</v>
      </c>
      <c r="EA91" s="120">
        <f t="shared" si="47"/>
        <v>0</v>
      </c>
      <c r="EB91" s="119">
        <f t="shared" si="47"/>
        <v>0</v>
      </c>
      <c r="EC91" s="121">
        <f t="shared" si="48"/>
        <v>0</v>
      </c>
      <c r="ED91" s="122"/>
      <c r="EE91" s="145">
        <v>18</v>
      </c>
      <c r="EF91" s="115">
        <v>34</v>
      </c>
      <c r="EG91" s="115">
        <v>39</v>
      </c>
      <c r="EH91" s="115">
        <v>33</v>
      </c>
      <c r="EI91" s="128" t="s">
        <v>195</v>
      </c>
      <c r="EJ91" s="121">
        <v>24</v>
      </c>
      <c r="EK91" s="121">
        <v>0</v>
      </c>
      <c r="EL91" s="149">
        <v>12.840959999999999</v>
      </c>
      <c r="EM91" s="142">
        <v>16</v>
      </c>
      <c r="EN91" s="119">
        <v>4</v>
      </c>
      <c r="EO91" s="115">
        <v>31.6</v>
      </c>
      <c r="EP91" s="115">
        <v>2460.8751993620417</v>
      </c>
      <c r="EQ91" s="115">
        <v>0</v>
      </c>
      <c r="ER91" s="115">
        <v>0</v>
      </c>
      <c r="ES91" s="115">
        <v>45</v>
      </c>
      <c r="ET91" s="150">
        <v>0.5161290322580645</v>
      </c>
      <c r="EU91" s="145">
        <f t="shared" si="25"/>
        <v>18</v>
      </c>
      <c r="EV91" s="115">
        <f t="shared" si="26"/>
        <v>34</v>
      </c>
      <c r="EW91" s="115">
        <f t="shared" si="26"/>
        <v>39</v>
      </c>
      <c r="EX91" s="115">
        <f t="shared" si="26"/>
        <v>33</v>
      </c>
      <c r="EY91" s="115" t="str">
        <f t="shared" si="53"/>
        <v>Постоянный</v>
      </c>
      <c r="EZ91" s="115">
        <f t="shared" si="53"/>
        <v>24</v>
      </c>
      <c r="FA91" s="115">
        <f t="shared" si="53"/>
        <v>0</v>
      </c>
      <c r="FB91" s="149">
        <f t="shared" si="28"/>
        <v>12.840959999999999</v>
      </c>
      <c r="FC91" s="142">
        <f t="shared" si="28"/>
        <v>16</v>
      </c>
      <c r="FD91" s="119">
        <f t="shared" si="28"/>
        <v>4</v>
      </c>
      <c r="FE91" s="121">
        <f t="shared" si="28"/>
        <v>31.6</v>
      </c>
      <c r="FF91" s="121">
        <f t="shared" si="49"/>
        <v>2460.8751993620417</v>
      </c>
      <c r="FG91" s="121">
        <f t="shared" si="30"/>
        <v>0</v>
      </c>
      <c r="FH91" s="121">
        <f t="shared" si="50"/>
        <v>0</v>
      </c>
      <c r="FI91" s="121">
        <f t="shared" si="54"/>
        <v>45</v>
      </c>
      <c r="FJ91" s="144">
        <f t="shared" si="33"/>
        <v>0.5161290322580645</v>
      </c>
      <c r="FK91" s="132">
        <f t="shared" si="34"/>
        <v>0</v>
      </c>
      <c r="FL91" s="115">
        <f t="shared" si="34"/>
        <v>0</v>
      </c>
      <c r="FM91" s="115">
        <f t="shared" si="34"/>
        <v>0</v>
      </c>
      <c r="FN91" s="115">
        <f t="shared" si="34"/>
        <v>0</v>
      </c>
      <c r="FO91" s="115">
        <f t="shared" si="57"/>
        <v>0</v>
      </c>
      <c r="FP91" s="115">
        <f t="shared" si="56"/>
        <v>0</v>
      </c>
      <c r="FQ91" s="149">
        <f t="shared" si="56"/>
        <v>0</v>
      </c>
      <c r="FR91" s="142">
        <f t="shared" si="56"/>
        <v>0</v>
      </c>
      <c r="FS91" s="119">
        <f t="shared" si="56"/>
        <v>0</v>
      </c>
      <c r="FT91" s="121">
        <f t="shared" si="56"/>
        <v>0</v>
      </c>
      <c r="FU91" s="121">
        <f t="shared" si="36"/>
        <v>0</v>
      </c>
      <c r="FV91" s="121">
        <f t="shared" si="36"/>
        <v>0</v>
      </c>
      <c r="FW91" s="121">
        <f t="shared" si="37"/>
        <v>0</v>
      </c>
      <c r="FX91" s="121">
        <f t="shared" si="38"/>
        <v>0</v>
      </c>
      <c r="FY91" s="144">
        <f t="shared" si="38"/>
        <v>0</v>
      </c>
      <c r="FZ91" s="145"/>
      <c r="GA91" s="151" t="s">
        <v>283</v>
      </c>
      <c r="GB91" s="145" t="s">
        <v>199</v>
      </c>
      <c r="GC91" s="151" t="s">
        <v>304</v>
      </c>
      <c r="GD91" s="997" t="s">
        <v>238</v>
      </c>
      <c r="GE91" s="1004" t="s">
        <v>199</v>
      </c>
      <c r="GF91" s="1004">
        <v>-8.8281599999999969</v>
      </c>
      <c r="GG91" s="1004" t="s">
        <v>204</v>
      </c>
      <c r="GH91" s="1004">
        <v>7.8053139999999956</v>
      </c>
      <c r="GI91" s="145" t="s">
        <v>204</v>
      </c>
      <c r="GJ91" s="996">
        <v>-1.0601734000000018</v>
      </c>
      <c r="GK91" s="145" t="s">
        <v>199</v>
      </c>
      <c r="GL91" s="996">
        <v>-3.5349005999999985</v>
      </c>
      <c r="GM91" s="1005" t="s">
        <v>199</v>
      </c>
      <c r="GN91" s="996">
        <v>3.2303040000000038</v>
      </c>
      <c r="GO91" s="1006"/>
      <c r="GP91" s="996">
        <v>-4.6147200000010713E-3</v>
      </c>
      <c r="GQ91" s="1006" t="s">
        <v>204</v>
      </c>
      <c r="GR91" s="996">
        <v>1.06440774</v>
      </c>
      <c r="GS91" s="1006"/>
      <c r="GT91" s="996">
        <v>0</v>
      </c>
      <c r="GU91" s="1006" t="s">
        <v>223</v>
      </c>
      <c r="GV91" s="996">
        <v>-2.38532118</v>
      </c>
      <c r="GW91" s="1006"/>
      <c r="GX91" s="997">
        <v>0</v>
      </c>
      <c r="GY91" s="1006" t="s">
        <v>199</v>
      </c>
      <c r="GZ91" s="996">
        <v>3.9133159999999982</v>
      </c>
      <c r="HA91" s="1006"/>
      <c r="HB91" s="996">
        <v>0</v>
      </c>
      <c r="HC91" s="1006"/>
      <c r="HD91" s="996">
        <v>0</v>
      </c>
      <c r="HE91" s="1006"/>
      <c r="HF91" s="996">
        <v>0</v>
      </c>
      <c r="HG91" s="1006"/>
      <c r="HH91" s="996">
        <v>0</v>
      </c>
      <c r="HI91" s="1006"/>
      <c r="HJ91" s="996">
        <v>0</v>
      </c>
      <c r="HK91" s="1006" t="s">
        <v>204</v>
      </c>
      <c r="HL91" s="996">
        <v>-13.191762319999995</v>
      </c>
      <c r="HM91" s="1006" t="s">
        <v>204</v>
      </c>
      <c r="HN91" s="996">
        <v>17.062275119999995</v>
      </c>
      <c r="HO91" s="1006" t="s">
        <v>199</v>
      </c>
      <c r="HP91" s="996">
        <v>-7.790048640000002</v>
      </c>
      <c r="HQ91" s="1006" t="s">
        <v>223</v>
      </c>
      <c r="HR91" s="996">
        <v>-12.672505999999998</v>
      </c>
      <c r="HS91" s="1006" t="s">
        <v>199</v>
      </c>
      <c r="HT91" s="996">
        <v>16.057470000000002</v>
      </c>
      <c r="HU91" s="1006" t="s">
        <v>204</v>
      </c>
      <c r="HV91" s="996">
        <v>-4.2577480000000012</v>
      </c>
      <c r="HW91" s="1006"/>
      <c r="HX91" s="996">
        <v>0.83014800000000122</v>
      </c>
      <c r="HY91" s="1006"/>
      <c r="HZ91" s="996">
        <v>0</v>
      </c>
      <c r="IA91" s="1006" t="s">
        <v>199</v>
      </c>
      <c r="IB91" s="996">
        <v>-6.5709599999999995</v>
      </c>
      <c r="IC91" s="1006" t="s">
        <v>199</v>
      </c>
      <c r="ID91" s="996">
        <v>5.6196755999999972</v>
      </c>
      <c r="IE91" s="1006"/>
      <c r="IF91" s="996">
        <v>0</v>
      </c>
      <c r="IG91" s="1006"/>
      <c r="IH91" s="996">
        <v>0.53924440000000118</v>
      </c>
      <c r="II91" s="1006" t="s">
        <v>199</v>
      </c>
      <c r="IJ91" s="996">
        <v>3.2600739599999997</v>
      </c>
      <c r="IK91" s="1006" t="s">
        <v>199</v>
      </c>
      <c r="IL91" s="996">
        <v>-1.9226077200000002</v>
      </c>
      <c r="IM91" s="1006" t="s">
        <v>534</v>
      </c>
      <c r="IN91" s="996">
        <v>-2.507749200000001</v>
      </c>
      <c r="IO91" s="1006"/>
      <c r="IP91" s="996">
        <v>-0.81919807199999894</v>
      </c>
      <c r="IQ91" s="1006" t="s">
        <v>199</v>
      </c>
      <c r="IR91" s="996">
        <v>-1.7637836039999986</v>
      </c>
      <c r="IS91" s="1006"/>
      <c r="IT91" s="996">
        <v>0</v>
      </c>
      <c r="IU91" s="1006"/>
      <c r="IV91" s="996">
        <v>0</v>
      </c>
      <c r="IW91" s="1006"/>
      <c r="IX91" s="996">
        <v>0</v>
      </c>
      <c r="IY91" s="1006" t="s">
        <v>199</v>
      </c>
      <c r="IZ91" s="996">
        <v>5.0154983999999949</v>
      </c>
      <c r="JA91" s="1006" t="s">
        <v>199</v>
      </c>
      <c r="JB91" s="996">
        <v>8.9033164000000014</v>
      </c>
      <c r="JC91" s="1006" t="s">
        <v>199</v>
      </c>
      <c r="JD91" s="996">
        <v>-13.082898399999998</v>
      </c>
      <c r="JE91" s="1006"/>
      <c r="JF91" s="996">
        <v>0</v>
      </c>
      <c r="JG91" s="1006"/>
      <c r="JH91" s="996">
        <v>0</v>
      </c>
      <c r="JI91" s="1006"/>
      <c r="JJ91" s="996">
        <v>0</v>
      </c>
      <c r="JK91" s="1007" t="s">
        <v>199</v>
      </c>
      <c r="JL91" s="1007">
        <v>3.2990432640000016</v>
      </c>
      <c r="JM91" s="1007" t="s">
        <v>199</v>
      </c>
      <c r="JN91" s="1007">
        <v>7.9011831359999967</v>
      </c>
      <c r="JO91" s="1008" t="s">
        <v>199</v>
      </c>
      <c r="JP91" s="1007">
        <v>-7.7462221759999998</v>
      </c>
      <c r="JQ91" s="1008">
        <v>0</v>
      </c>
      <c r="JR91" s="1007">
        <v>0.77649017599999937</v>
      </c>
      <c r="JS91" s="1008" t="s">
        <v>199</v>
      </c>
      <c r="JT91" s="1007">
        <v>-6.6679359999999974</v>
      </c>
      <c r="JU91" s="1008" t="s">
        <v>199</v>
      </c>
      <c r="JV91" s="1007">
        <v>2.4678719999999963</v>
      </c>
      <c r="JW91" s="1008" t="s">
        <v>197</v>
      </c>
      <c r="JX91" s="1007">
        <v>2.173600000006104E-3</v>
      </c>
      <c r="JY91" s="1008"/>
      <c r="JZ91" s="1007">
        <v>0</v>
      </c>
      <c r="KA91" s="1008" t="s">
        <v>199</v>
      </c>
      <c r="KB91" s="1007">
        <v>-8.9475809280000043</v>
      </c>
      <c r="KC91" s="1008"/>
      <c r="KD91" s="1007">
        <v>0</v>
      </c>
      <c r="KE91" s="1008" t="s">
        <v>204</v>
      </c>
      <c r="KF91" s="1007">
        <v>1.4473233279999995</v>
      </c>
      <c r="KG91" s="1008" t="s">
        <v>207</v>
      </c>
      <c r="KH91" s="1007">
        <v>4.2617674880000003</v>
      </c>
      <c r="KI91" s="1008"/>
      <c r="KJ91" s="1007">
        <v>-2.24817119999976E-2</v>
      </c>
      <c r="KK91" s="1008" t="s">
        <v>206</v>
      </c>
      <c r="KL91" s="1007">
        <v>1.5705798239999993</v>
      </c>
      <c r="KM91" s="1008"/>
      <c r="KN91" s="1007">
        <v>0</v>
      </c>
      <c r="KO91" s="1008"/>
      <c r="KP91" s="1007">
        <v>0</v>
      </c>
      <c r="KQ91" s="1008">
        <v>0</v>
      </c>
      <c r="KR91" s="1007">
        <v>0</v>
      </c>
      <c r="KS91" s="1008" t="s">
        <v>207</v>
      </c>
      <c r="KT91" s="1007">
        <v>-4.845405839999998</v>
      </c>
      <c r="KU91" s="1008">
        <v>0</v>
      </c>
      <c r="KV91" s="1007">
        <v>2.339161439999998</v>
      </c>
      <c r="KW91" s="1008" t="s">
        <v>240</v>
      </c>
      <c r="KX91" s="1007">
        <v>-5.8479036000000022</v>
      </c>
      <c r="KY91" s="1008">
        <v>0</v>
      </c>
      <c r="KZ91" s="1007">
        <v>0</v>
      </c>
      <c r="LA91" s="1008">
        <v>0</v>
      </c>
      <c r="LB91" s="1007">
        <v>0</v>
      </c>
      <c r="LC91" s="1008" t="s">
        <v>223</v>
      </c>
      <c r="LD91" s="1007">
        <v>-4.1770739999999975</v>
      </c>
      <c r="LE91" s="1008" t="s">
        <v>199</v>
      </c>
      <c r="LF91" s="1007">
        <v>9.1895627999999974</v>
      </c>
      <c r="LG91" s="1008" t="s">
        <v>199</v>
      </c>
      <c r="LH91" s="1007">
        <v>-9.18956281</v>
      </c>
      <c r="LI91" s="1008">
        <v>0</v>
      </c>
      <c r="LJ91" s="1007">
        <v>0</v>
      </c>
      <c r="LK91" s="1008" t="s">
        <v>240</v>
      </c>
      <c r="LL91" s="1007">
        <v>-1.6782961000000001</v>
      </c>
      <c r="LM91" s="1008" t="s">
        <v>240</v>
      </c>
      <c r="LN91" s="1007">
        <v>-2.0336500000000002</v>
      </c>
      <c r="LO91" s="1008" t="s">
        <v>223</v>
      </c>
      <c r="LP91" s="1007">
        <v>-2.8582000000000001</v>
      </c>
      <c r="LQ91" s="1008" t="s">
        <v>223</v>
      </c>
      <c r="LR91" s="1007">
        <v>-2.5298400000000001</v>
      </c>
      <c r="LS91" s="1008">
        <v>0</v>
      </c>
      <c r="LT91" s="1007">
        <v>-0.84268799999996702</v>
      </c>
      <c r="LU91" s="1008" t="s">
        <v>223</v>
      </c>
      <c r="LV91" s="1007">
        <v>-7.4533446239999961</v>
      </c>
      <c r="LW91" s="1008">
        <v>0</v>
      </c>
      <c r="LX91" s="1007">
        <v>0</v>
      </c>
      <c r="LY91" s="1009">
        <v>0</v>
      </c>
      <c r="LZ91" s="1010">
        <v>0.41965439999960003</v>
      </c>
      <c r="MA91" s="1011">
        <v>0</v>
      </c>
      <c r="MB91" s="1012">
        <v>0</v>
      </c>
      <c r="MC91" s="995"/>
      <c r="MD91" s="996"/>
      <c r="ME91" s="997" t="s">
        <v>238</v>
      </c>
      <c r="MF91" s="997"/>
      <c r="MG91" s="998"/>
      <c r="NR91" s="1000"/>
      <c r="NS91" s="1000"/>
      <c r="NT91" s="1001"/>
      <c r="NU91" s="1000"/>
      <c r="NV91" s="1001"/>
      <c r="NX91" s="1002"/>
      <c r="NZ91" s="1001"/>
      <c r="OA91" s="1001"/>
      <c r="OC91" s="1003"/>
      <c r="OD91" s="1003"/>
      <c r="OE91" s="1001"/>
      <c r="OF91" s="1003"/>
      <c r="OG91" s="1003"/>
      <c r="QX91" s="1000">
        <f t="shared" si="51"/>
        <v>11</v>
      </c>
      <c r="ASU91" s="999" t="s">
        <v>208</v>
      </c>
    </row>
    <row r="92" spans="1:466 1191:1191" ht="21" customHeight="1" x14ac:dyDescent="0.25">
      <c r="A92" s="982" t="str">
        <f t="shared" si="0"/>
        <v>1007-1</v>
      </c>
      <c r="B92" s="124">
        <f>SUBTOTAL(103,$J$29:J92)</f>
        <v>64</v>
      </c>
      <c r="C92" s="126">
        <v>45096</v>
      </c>
      <c r="D92" s="124" t="s">
        <v>176</v>
      </c>
      <c r="E92" s="127" t="s">
        <v>177</v>
      </c>
      <c r="F92" s="128" t="s">
        <v>177</v>
      </c>
      <c r="G92" s="127" t="s">
        <v>178</v>
      </c>
      <c r="H92" s="127" t="s">
        <v>421</v>
      </c>
      <c r="I92" s="127" t="s">
        <v>560</v>
      </c>
      <c r="J92" s="152" t="s">
        <v>563</v>
      </c>
      <c r="K92" s="127" t="s">
        <v>561</v>
      </c>
      <c r="L92" s="130">
        <v>42166</v>
      </c>
      <c r="M92" s="127" t="s">
        <v>230</v>
      </c>
      <c r="N92" s="127" t="s">
        <v>465</v>
      </c>
      <c r="O92" s="127" t="s">
        <v>185</v>
      </c>
      <c r="P92" s="127" t="s">
        <v>208</v>
      </c>
      <c r="Q92" s="85" t="str">
        <f t="shared" si="40"/>
        <v/>
      </c>
      <c r="R92" s="130"/>
      <c r="S92" s="128"/>
      <c r="T92" s="131"/>
      <c r="U92" s="132">
        <v>203</v>
      </c>
      <c r="V92" s="121">
        <v>218.2</v>
      </c>
      <c r="W92" s="116">
        <v>0.98</v>
      </c>
      <c r="X92" s="116">
        <v>1.66</v>
      </c>
      <c r="Y92" s="116">
        <f t="shared" si="41"/>
        <v>1.0080805076343446</v>
      </c>
      <c r="Z92" s="133">
        <v>1.454</v>
      </c>
      <c r="AA92" s="133">
        <v>0.83599999999999997</v>
      </c>
      <c r="AB92" s="133">
        <v>0.72</v>
      </c>
      <c r="AC92" s="121">
        <v>34.299999999999997</v>
      </c>
      <c r="AD92" s="134">
        <v>1.17</v>
      </c>
      <c r="AE92" s="124" t="s">
        <v>564</v>
      </c>
      <c r="AF92" s="128">
        <v>9.19</v>
      </c>
      <c r="AG92" s="128">
        <v>1979</v>
      </c>
      <c r="AH92" s="127">
        <v>2650</v>
      </c>
      <c r="AI92" s="127">
        <v>2650</v>
      </c>
      <c r="AJ92" s="135"/>
      <c r="AK92" s="128"/>
      <c r="AL92" s="131"/>
      <c r="AM92" s="124" t="s">
        <v>232</v>
      </c>
      <c r="AN92" s="136" t="s">
        <v>565</v>
      </c>
      <c r="AO92" s="137">
        <v>85.212480000000141</v>
      </c>
      <c r="AP92" s="128">
        <v>1985</v>
      </c>
      <c r="AQ92" s="128">
        <v>32.51</v>
      </c>
      <c r="AR92" s="128" t="s">
        <v>566</v>
      </c>
      <c r="AS92" s="128">
        <v>114</v>
      </c>
      <c r="AT92" s="122">
        <v>6.5</v>
      </c>
      <c r="AU92" s="124" t="s">
        <v>189</v>
      </c>
      <c r="AV92" s="115">
        <f>VLOOKUP(J92,'[63]ТР нефть'!$J$28:$BP$638,39,0)</f>
        <v>379.99998662100001</v>
      </c>
      <c r="AW92" s="115" t="str">
        <f>VLOOKUP(J92,'[63]ТР нефть'!$J$28:$BP$638,40,0)</f>
        <v>ГП</v>
      </c>
      <c r="AX92" s="115">
        <f>VLOOKUP(J92,'[63]ТР нефть'!$J$28:$BP$638,41,0)</f>
        <v>720.00003339800003</v>
      </c>
      <c r="AY92" s="115" t="str">
        <f>VLOOKUP(J92,'[63]ТР нефть'!$J$28:$BP$638,42,0)</f>
        <v>ГП</v>
      </c>
      <c r="AZ92" s="115">
        <f>VLOOKUP(J92,'[63]ТР нефть'!$J$28:$BP$638,43,0)</f>
        <v>1020.000028711</v>
      </c>
      <c r="BA92" s="115" t="str">
        <f>VLOOKUP(J92,'[63]ТР нефть'!$J$28:$BP$638,44,0)</f>
        <v>ГП</v>
      </c>
      <c r="BB92" s="115">
        <f>VLOOKUP(J92,'[63]ТР нефть'!$J$28:$BP$638,45,0)</f>
        <v>1299.9999796879999</v>
      </c>
      <c r="BC92" s="115" t="str">
        <f>VLOOKUP(J92,'[63]ТР нефть'!$J$28:$BP$638,46,0)</f>
        <v>ГК 93/ 1,5</v>
      </c>
      <c r="BD92" s="115">
        <f>VLOOKUP(J92,'[63]ТР нефть'!$J$28:$BP$638,47,0)</f>
        <v>1540.000065234</v>
      </c>
      <c r="BE92" s="115" t="str">
        <f>VLOOKUP(J92,'[63]ТР нефть'!$J$28:$BP$638,48,0)</f>
        <v>ЦКсОК 5/16</v>
      </c>
      <c r="BF92" s="115" t="str">
        <f>VLOOKUP(J92,'[63]ТР нефть'!$J$28:$BP$638,49,0)</f>
        <v>-</v>
      </c>
      <c r="BG92" s="115" t="str">
        <f>VLOOKUP(J92,'[63]ТР нефть'!$J$28:$BP$638,50,0)</f>
        <v>-</v>
      </c>
      <c r="BH92" s="115">
        <f>VLOOKUP(J92,'[63]ТР нефть'!$J$28:$BP$638,51,0)</f>
        <v>1685</v>
      </c>
      <c r="BI92" s="115" t="str">
        <f>VLOOKUP(J92,'[63]ТР нефть'!$J$28:$BP$638,52,0)</f>
        <v>закрыт</v>
      </c>
      <c r="BJ92" s="115" t="str">
        <f>IF(IFERROR(VLOOKUP(J92,'[63]ТР нефть'!$J$28:$BP$638,53,0),"-")=0,"-",IFERROR(VLOOKUP(J92,'[63]ТР нефть'!$J$28:$BP$638,53,0),"-"))</f>
        <v>-</v>
      </c>
      <c r="BK92" s="138" t="str">
        <f>IF(IFERROR(VLOOKUP(J92,'[63]ТР нефть'!$J$28:$BP$638,54,0),"-")=0,"-",IFERROR(VLOOKUP(J92,'[63]ТР нефть'!$J$28:$BP$638,54,0),"-"))</f>
        <v>-</v>
      </c>
      <c r="BL92" s="138" t="str">
        <f>IF(IFERROR(VLOOKUP(J92,'[63]ТР нефть'!$J$28:$BP$638,55,0),"-")=0,"-",IFERROR(VLOOKUP(J92,'[63]ТР нефть'!$J$28:$BP$638,55,0),"-"))</f>
        <v>-</v>
      </c>
      <c r="BM92" s="138" t="str">
        <f>IF(IFERROR(VLOOKUP(J92,'[63]ТР нефть'!$J$28:$BP$638,56,0),"-")=0,"-",IFERROR(VLOOKUP(J92,'[63]ТР нефть'!$J$28:$BP$638,56,0),"-"))</f>
        <v>-</v>
      </c>
      <c r="BN92" s="138" t="str">
        <f>IF(IFERROR(VLOOKUP(J92,'[63]ТР нефть'!$J$28:$BP$638,57,0),"-")=0,"-",IFERROR(VLOOKUP(J92,'[63]ТР нефть'!$J$28:$BP$638,57,0),"-"))</f>
        <v>-</v>
      </c>
      <c r="BO92" s="115" t="str">
        <f>IF(IFERROR(VLOOKUP(J92,'[63]ТР нефть'!$J$28:$BP$638,58,0),"-")=0,"-",IFERROR(VLOOKUP(J92,'[63]ТР нефть'!$J$28:$BP$638,58,0),"-"))</f>
        <v>-</v>
      </c>
      <c r="BP92" s="115" t="str">
        <f>IF(IFERROR(VLOOKUP(J92,'[63]ТР нефть'!$J$28:$BP$638,59,0),"-")=0,"-",IFERROR(VLOOKUP(J92,'[63]ТР нефть'!$J$28:$BP$638,59,0),"-"))</f>
        <v>-</v>
      </c>
      <c r="BQ92" s="138">
        <v>1725</v>
      </c>
      <c r="BR92" s="128">
        <v>1662.09</v>
      </c>
      <c r="BS92" s="115">
        <f t="shared" si="2"/>
        <v>62.910000000000082</v>
      </c>
      <c r="BT92" s="128">
        <v>73</v>
      </c>
      <c r="BU92" s="128">
        <v>5.5</v>
      </c>
      <c r="BV92" s="127">
        <v>18</v>
      </c>
      <c r="BW92" s="127" t="s">
        <v>234</v>
      </c>
      <c r="BX92" s="127" t="s">
        <v>218</v>
      </c>
      <c r="BY92" s="139">
        <v>24</v>
      </c>
      <c r="BZ92" s="139">
        <v>24</v>
      </c>
      <c r="CA92" s="138">
        <v>32</v>
      </c>
      <c r="CB92" s="138">
        <v>45</v>
      </c>
      <c r="CC92" s="138">
        <v>31</v>
      </c>
      <c r="CD92" s="135">
        <v>45017</v>
      </c>
      <c r="CE92" s="138">
        <v>89.1</v>
      </c>
      <c r="CF92" s="138">
        <v>83</v>
      </c>
      <c r="CG92" s="138" t="str">
        <f t="shared" si="52"/>
        <v>В работе</v>
      </c>
      <c r="CH92" s="138" t="s">
        <v>196</v>
      </c>
      <c r="CI92" s="127">
        <v>6</v>
      </c>
      <c r="CJ92" s="138"/>
      <c r="CK92" s="138"/>
      <c r="CL92" s="99"/>
      <c r="CM92" s="99"/>
      <c r="CN92" s="140">
        <v>46</v>
      </c>
      <c r="CO92" s="141">
        <f t="shared" si="4"/>
        <v>2.6491167999999994</v>
      </c>
      <c r="CP92" s="142">
        <v>3.4</v>
      </c>
      <c r="CQ92" s="143">
        <v>6.8</v>
      </c>
      <c r="CR92" s="1018">
        <v>13</v>
      </c>
      <c r="CS92" s="139">
        <v>6.2</v>
      </c>
      <c r="CT92" s="138"/>
      <c r="CU92" s="138">
        <f t="shared" si="5"/>
        <v>6.8</v>
      </c>
      <c r="CV92" s="115">
        <f t="shared" si="6"/>
        <v>2566.893237776455</v>
      </c>
      <c r="CW92" s="115">
        <f t="shared" si="7"/>
        <v>2125.5833011981708</v>
      </c>
      <c r="CX92" s="133">
        <f t="shared" si="8"/>
        <v>7.88863109048724E-2</v>
      </c>
      <c r="CY92" s="116"/>
      <c r="CZ92" s="131"/>
      <c r="DA92" s="145" t="str">
        <f t="shared" si="9"/>
        <v>Газлифт</v>
      </c>
      <c r="DB92" s="146">
        <f t="shared" si="10"/>
        <v>2.6491167999999994</v>
      </c>
      <c r="DC92" s="142">
        <f t="shared" si="11"/>
        <v>3.4</v>
      </c>
      <c r="DD92" s="119">
        <f t="shared" si="12"/>
        <v>6.8</v>
      </c>
      <c r="DE92" s="115">
        <f t="shared" si="13"/>
        <v>6.8</v>
      </c>
      <c r="DF92" s="121">
        <f t="shared" si="14"/>
        <v>6.2</v>
      </c>
      <c r="DG92" s="115">
        <f t="shared" si="15"/>
        <v>2566.893237776455</v>
      </c>
      <c r="DH92" s="115">
        <f t="shared" si="16"/>
        <v>46</v>
      </c>
      <c r="DI92" s="147"/>
      <c r="DJ92" s="111" t="s">
        <v>197</v>
      </c>
      <c r="DK92" s="112">
        <v>42005</v>
      </c>
      <c r="DL92" s="113">
        <f t="shared" ca="1" si="42"/>
        <v>3099</v>
      </c>
      <c r="DM92" s="114"/>
      <c r="DN92" s="114"/>
      <c r="DO92" s="114"/>
      <c r="DP92" s="114"/>
      <c r="DQ92" s="112">
        <v>43357</v>
      </c>
      <c r="DR92" s="114" t="s">
        <v>198</v>
      </c>
      <c r="DS92" s="114"/>
      <c r="DT92" s="115">
        <v>59</v>
      </c>
      <c r="DU92" s="116">
        <f t="shared" si="43"/>
        <v>0.11295681063122925</v>
      </c>
      <c r="DV92" s="117">
        <f t="shared" si="44"/>
        <v>2.6491167999999994</v>
      </c>
      <c r="DW92" s="118">
        <f t="shared" si="45"/>
        <v>3.4</v>
      </c>
      <c r="DX92" s="119">
        <f t="shared" si="21"/>
        <v>6.8</v>
      </c>
      <c r="DY92" s="115">
        <f t="shared" si="46"/>
        <v>6.8</v>
      </c>
      <c r="DZ92" s="117">
        <f t="shared" si="47"/>
        <v>0</v>
      </c>
      <c r="EA92" s="120">
        <f t="shared" si="47"/>
        <v>0</v>
      </c>
      <c r="EB92" s="119">
        <f t="shared" si="47"/>
        <v>0</v>
      </c>
      <c r="EC92" s="121">
        <f t="shared" si="48"/>
        <v>0</v>
      </c>
      <c r="ED92" s="122"/>
      <c r="EE92" s="145">
        <v>18</v>
      </c>
      <c r="EF92" s="115">
        <v>32</v>
      </c>
      <c r="EG92" s="115">
        <v>45</v>
      </c>
      <c r="EH92" s="115">
        <v>31</v>
      </c>
      <c r="EI92" s="128" t="s">
        <v>218</v>
      </c>
      <c r="EJ92" s="121">
        <v>24</v>
      </c>
      <c r="EK92" s="121">
        <v>24</v>
      </c>
      <c r="EL92" s="149">
        <v>2.6491167999999994</v>
      </c>
      <c r="EM92" s="142">
        <v>3.4</v>
      </c>
      <c r="EN92" s="119">
        <v>6.8</v>
      </c>
      <c r="EO92" s="115">
        <v>13</v>
      </c>
      <c r="EP92" s="115">
        <v>2566.893237776455</v>
      </c>
      <c r="EQ92" s="115">
        <v>83</v>
      </c>
      <c r="ER92" s="115">
        <v>6.2</v>
      </c>
      <c r="ES92" s="115">
        <v>46</v>
      </c>
      <c r="ET92" s="150">
        <v>7.88863109048724E-2</v>
      </c>
      <c r="EU92" s="145">
        <f t="shared" si="25"/>
        <v>18</v>
      </c>
      <c r="EV92" s="115">
        <f t="shared" si="26"/>
        <v>32</v>
      </c>
      <c r="EW92" s="115">
        <f t="shared" si="26"/>
        <v>45</v>
      </c>
      <c r="EX92" s="115">
        <f t="shared" si="26"/>
        <v>31</v>
      </c>
      <c r="EY92" s="115" t="str">
        <f t="shared" si="53"/>
        <v>Периодический</v>
      </c>
      <c r="EZ92" s="115">
        <f t="shared" si="53"/>
        <v>24</v>
      </c>
      <c r="FA92" s="115">
        <f t="shared" si="53"/>
        <v>24</v>
      </c>
      <c r="FB92" s="149">
        <f t="shared" si="28"/>
        <v>2.6491167999999994</v>
      </c>
      <c r="FC92" s="142">
        <f t="shared" si="28"/>
        <v>3.4</v>
      </c>
      <c r="FD92" s="119">
        <f t="shared" si="28"/>
        <v>6.8</v>
      </c>
      <c r="FE92" s="121">
        <f t="shared" si="28"/>
        <v>13</v>
      </c>
      <c r="FF92" s="121">
        <f t="shared" si="49"/>
        <v>2566.893237776455</v>
      </c>
      <c r="FG92" s="121">
        <f t="shared" si="30"/>
        <v>83</v>
      </c>
      <c r="FH92" s="121">
        <f t="shared" si="50"/>
        <v>6.2</v>
      </c>
      <c r="FI92" s="121">
        <f t="shared" si="54"/>
        <v>46</v>
      </c>
      <c r="FJ92" s="144">
        <f t="shared" si="33"/>
        <v>7.88863109048724E-2</v>
      </c>
      <c r="FK92" s="132">
        <f t="shared" si="34"/>
        <v>0</v>
      </c>
      <c r="FL92" s="115">
        <f t="shared" si="34"/>
        <v>0</v>
      </c>
      <c r="FM92" s="115">
        <f t="shared" si="34"/>
        <v>0</v>
      </c>
      <c r="FN92" s="115">
        <f t="shared" ref="FN92:FN155" si="58">EX92-EH92</f>
        <v>0</v>
      </c>
      <c r="FO92" s="115">
        <f t="shared" si="57"/>
        <v>0</v>
      </c>
      <c r="FP92" s="115">
        <f t="shared" si="56"/>
        <v>0</v>
      </c>
      <c r="FQ92" s="149">
        <f t="shared" si="56"/>
        <v>0</v>
      </c>
      <c r="FR92" s="142">
        <f t="shared" si="56"/>
        <v>0</v>
      </c>
      <c r="FS92" s="119">
        <f t="shared" si="56"/>
        <v>0</v>
      </c>
      <c r="FT92" s="121">
        <f t="shared" si="56"/>
        <v>0</v>
      </c>
      <c r="FU92" s="121">
        <f t="shared" si="36"/>
        <v>0</v>
      </c>
      <c r="FV92" s="121">
        <f t="shared" si="36"/>
        <v>0</v>
      </c>
      <c r="FW92" s="121">
        <f t="shared" si="37"/>
        <v>0</v>
      </c>
      <c r="FX92" s="121">
        <f t="shared" si="38"/>
        <v>0</v>
      </c>
      <c r="FY92" s="144">
        <f t="shared" si="38"/>
        <v>0</v>
      </c>
      <c r="FZ92" s="145"/>
      <c r="GA92" s="151" t="s">
        <v>313</v>
      </c>
      <c r="GB92" s="145" t="s">
        <v>199</v>
      </c>
      <c r="GC92" s="151" t="s">
        <v>304</v>
      </c>
      <c r="GD92" s="997" t="s">
        <v>238</v>
      </c>
      <c r="GE92" s="1004" t="s">
        <v>199</v>
      </c>
      <c r="GF92" s="1004">
        <v>-8.7305151999999975</v>
      </c>
      <c r="GG92" s="1004" t="s">
        <v>204</v>
      </c>
      <c r="GH92" s="1004">
        <v>-1.1687280000000033</v>
      </c>
      <c r="GI92" s="145" t="s">
        <v>199</v>
      </c>
      <c r="GJ92" s="996">
        <v>2.0394387200000033</v>
      </c>
      <c r="GK92" s="145" t="s">
        <v>204</v>
      </c>
      <c r="GL92" s="996">
        <v>5.753218239999998</v>
      </c>
      <c r="GM92" s="1005"/>
      <c r="GN92" s="996">
        <v>0</v>
      </c>
      <c r="GO92" s="1006"/>
      <c r="GP92" s="996">
        <v>0</v>
      </c>
      <c r="GQ92" s="1006" t="s">
        <v>241</v>
      </c>
      <c r="GR92" s="996">
        <v>-2.243076532399999</v>
      </c>
      <c r="GS92" s="1006" t="s">
        <v>199</v>
      </c>
      <c r="GT92" s="996">
        <v>-1.185660427600002</v>
      </c>
      <c r="GU92" s="1006"/>
      <c r="GV92" s="996">
        <v>0</v>
      </c>
      <c r="GW92" s="1006"/>
      <c r="GX92" s="997">
        <v>0</v>
      </c>
      <c r="GY92" s="1006"/>
      <c r="GZ92" s="996">
        <v>0</v>
      </c>
      <c r="HA92" s="1006"/>
      <c r="HB92" s="996">
        <v>-0.79240259999999907</v>
      </c>
      <c r="HC92" s="1006"/>
      <c r="HD92" s="996">
        <v>0</v>
      </c>
      <c r="HE92" s="1006"/>
      <c r="HF92" s="996">
        <v>0</v>
      </c>
      <c r="HG92" s="1006"/>
      <c r="HH92" s="996">
        <v>-0.97490140000000025</v>
      </c>
      <c r="HI92" s="1006"/>
      <c r="HJ92" s="996">
        <v>0</v>
      </c>
      <c r="HK92" s="1006"/>
      <c r="HL92" s="996">
        <v>-0.4397359999999999</v>
      </c>
      <c r="HM92" s="1006"/>
      <c r="HN92" s="996">
        <v>0</v>
      </c>
      <c r="HO92" s="1006" t="s">
        <v>199</v>
      </c>
      <c r="HP92" s="996">
        <v>-7.1394400000000022</v>
      </c>
      <c r="HQ92" s="1006"/>
      <c r="HR92" s="996">
        <v>0</v>
      </c>
      <c r="HS92" s="1006" t="s">
        <v>199</v>
      </c>
      <c r="HT92" s="996">
        <v>1.6469200000000033</v>
      </c>
      <c r="HU92" s="1006"/>
      <c r="HV92" s="996">
        <v>-0.8360000000000003</v>
      </c>
      <c r="HW92" s="1006" t="s">
        <v>349</v>
      </c>
      <c r="HX92" s="996">
        <v>1.2205600000000008</v>
      </c>
      <c r="HY92" s="1006" t="s">
        <v>203</v>
      </c>
      <c r="HZ92" s="996">
        <v>-3.4812377599999973</v>
      </c>
      <c r="IA92" s="1006" t="s">
        <v>25</v>
      </c>
      <c r="IB92" s="996">
        <v>6.5945017599999964</v>
      </c>
      <c r="IC92" s="1006"/>
      <c r="ID92" s="996">
        <v>0</v>
      </c>
      <c r="IE92" s="1006"/>
      <c r="IF92" s="996">
        <v>0</v>
      </c>
      <c r="IG92" s="1006"/>
      <c r="IH92" s="996">
        <v>0</v>
      </c>
      <c r="II92" s="1006" t="s">
        <v>199</v>
      </c>
      <c r="IJ92" s="996">
        <v>5.4402699999999999</v>
      </c>
      <c r="IK92" s="1006" t="s">
        <v>199</v>
      </c>
      <c r="IL92" s="996">
        <v>-5.5794653376000003</v>
      </c>
      <c r="IM92" s="1006" t="s">
        <v>363</v>
      </c>
      <c r="IN92" s="996">
        <v>5.9457169375999994</v>
      </c>
      <c r="IO92" s="1006"/>
      <c r="IP92" s="996">
        <v>0</v>
      </c>
      <c r="IQ92" s="1006" t="s">
        <v>199</v>
      </c>
      <c r="IR92" s="996">
        <v>-4.4522684799999999</v>
      </c>
      <c r="IS92" s="1006"/>
      <c r="IT92" s="996">
        <v>0</v>
      </c>
      <c r="IU92" s="1006" t="s">
        <v>199</v>
      </c>
      <c r="IV92" s="996">
        <v>5.4867348800000002</v>
      </c>
      <c r="IW92" s="1006"/>
      <c r="IX92" s="996">
        <v>0</v>
      </c>
      <c r="IY92" s="1006"/>
      <c r="IZ92" s="996">
        <v>0</v>
      </c>
      <c r="JA92" s="1006"/>
      <c r="JB92" s="996">
        <v>0</v>
      </c>
      <c r="JC92" s="1006" t="s">
        <v>199</v>
      </c>
      <c r="JD92" s="996">
        <v>-3.0986841600000012</v>
      </c>
      <c r="JE92" s="1006"/>
      <c r="JF92" s="996">
        <v>0</v>
      </c>
      <c r="JG92" s="1006"/>
      <c r="JH92" s="996">
        <v>0</v>
      </c>
      <c r="JI92" s="1006"/>
      <c r="JJ92" s="996">
        <v>0</v>
      </c>
      <c r="JK92" s="1007"/>
      <c r="JL92" s="1007">
        <v>1.007841472</v>
      </c>
      <c r="JM92" s="1007" t="s">
        <v>204</v>
      </c>
      <c r="JN92" s="1007">
        <v>-2.3959693119999992</v>
      </c>
      <c r="JO92" s="1008"/>
      <c r="JP92" s="1007">
        <v>0</v>
      </c>
      <c r="JQ92" s="1008">
        <v>0</v>
      </c>
      <c r="JR92" s="1007">
        <v>4.0128000000001052E-2</v>
      </c>
      <c r="JS92" s="1008" t="s">
        <v>199</v>
      </c>
      <c r="JT92" s="1007">
        <v>-3.5964719999999986</v>
      </c>
      <c r="JU92" s="1008" t="s">
        <v>204</v>
      </c>
      <c r="JV92" s="1007">
        <v>-1.464504800000002</v>
      </c>
      <c r="JW92" s="1008" t="s">
        <v>197</v>
      </c>
      <c r="JX92" s="1007">
        <v>0</v>
      </c>
      <c r="JY92" s="1008"/>
      <c r="JZ92" s="1007">
        <v>0</v>
      </c>
      <c r="KA92" s="1008" t="s">
        <v>204</v>
      </c>
      <c r="KB92" s="1007">
        <v>0.92816063999999976</v>
      </c>
      <c r="KC92" s="1008"/>
      <c r="KD92" s="1007">
        <v>0</v>
      </c>
      <c r="KE92" s="1008" t="s">
        <v>204</v>
      </c>
      <c r="KF92" s="1007">
        <v>0.55164295999999879</v>
      </c>
      <c r="KG92" s="1008" t="s">
        <v>204</v>
      </c>
      <c r="KH92" s="1007">
        <v>-2.0471399519999984</v>
      </c>
      <c r="KI92" s="1008"/>
      <c r="KJ92" s="1007">
        <v>0</v>
      </c>
      <c r="KK92" s="1008"/>
      <c r="KL92" s="1007">
        <v>0</v>
      </c>
      <c r="KM92" s="1008"/>
      <c r="KN92" s="1007">
        <v>0</v>
      </c>
      <c r="KO92" s="1008"/>
      <c r="KP92" s="1007">
        <v>0</v>
      </c>
      <c r="KQ92" s="1008" t="s">
        <v>206</v>
      </c>
      <c r="KR92" s="1007">
        <v>-1.6402319999999992</v>
      </c>
      <c r="KS92" s="1008" t="s">
        <v>204</v>
      </c>
      <c r="KT92" s="1007">
        <v>2.4110657999999994</v>
      </c>
      <c r="KU92" s="1008" t="s">
        <v>207</v>
      </c>
      <c r="KV92" s="1007">
        <v>-3.880753799999999</v>
      </c>
      <c r="KW92" s="1008">
        <v>0</v>
      </c>
      <c r="KX92" s="1007">
        <v>0</v>
      </c>
      <c r="KY92" s="1008" t="s">
        <v>204</v>
      </c>
      <c r="KZ92" s="1007">
        <v>-1.5800400000000021</v>
      </c>
      <c r="LA92" s="1008">
        <v>0</v>
      </c>
      <c r="LB92" s="1007">
        <v>0</v>
      </c>
      <c r="LC92" s="1008">
        <v>0</v>
      </c>
      <c r="LD92" s="1007">
        <v>0</v>
      </c>
      <c r="LE92" s="1008">
        <v>0</v>
      </c>
      <c r="LF92" s="1007">
        <v>0</v>
      </c>
      <c r="LG92" s="1008" t="s">
        <v>223</v>
      </c>
      <c r="LH92" s="1007">
        <v>-1.5716800000000006</v>
      </c>
      <c r="LI92" s="1008" t="s">
        <v>223</v>
      </c>
      <c r="LJ92" s="1007">
        <v>2.7049615999999972</v>
      </c>
      <c r="LK92" s="1008" t="s">
        <v>240</v>
      </c>
      <c r="LL92" s="1007">
        <v>-1.6178272000000007</v>
      </c>
      <c r="LM92" s="1008" t="s">
        <v>206</v>
      </c>
      <c r="LN92" s="1007">
        <v>0.47161799999999998</v>
      </c>
      <c r="LO92" s="1008" t="s">
        <v>223</v>
      </c>
      <c r="LP92" s="1007">
        <v>-2.7748512000000005</v>
      </c>
      <c r="LQ92" s="1008" t="s">
        <v>199</v>
      </c>
      <c r="LR92" s="1007">
        <v>2.4972992000000005</v>
      </c>
      <c r="LS92" s="1008" t="s">
        <v>206</v>
      </c>
      <c r="LT92" s="1007">
        <v>-2.5198800000000001</v>
      </c>
      <c r="LU92" s="1008">
        <v>0</v>
      </c>
      <c r="LV92" s="1007">
        <v>0</v>
      </c>
      <c r="LW92" s="1008">
        <v>0</v>
      </c>
      <c r="LX92" s="1007">
        <v>0</v>
      </c>
      <c r="LY92" s="1009">
        <v>0</v>
      </c>
      <c r="LZ92" s="1010">
        <v>-0.43787999999992</v>
      </c>
      <c r="MA92" s="1011">
        <v>0</v>
      </c>
      <c r="MB92" s="1012">
        <v>1.2899400000000001</v>
      </c>
      <c r="MC92" s="995"/>
      <c r="MD92" s="996"/>
      <c r="ME92" s="997" t="s">
        <v>238</v>
      </c>
      <c r="MF92" s="997"/>
      <c r="MG92" s="998"/>
      <c r="NR92" s="1000"/>
      <c r="NS92" s="1000"/>
      <c r="NT92" s="1001"/>
      <c r="NU92" s="1000"/>
      <c r="NV92" s="1001"/>
      <c r="NX92" s="1002"/>
      <c r="NZ92" s="1001"/>
      <c r="OA92" s="1001"/>
      <c r="OC92" s="1003"/>
      <c r="OD92" s="1003"/>
      <c r="OE92" s="1001"/>
      <c r="OF92" s="1003"/>
      <c r="OG92" s="1003"/>
      <c r="OH92" s="1003"/>
      <c r="OI92" s="1016"/>
      <c r="QX92" s="1000">
        <f t="shared" si="51"/>
        <v>14</v>
      </c>
      <c r="ASU92" s="999" t="s">
        <v>208</v>
      </c>
    </row>
    <row r="93" spans="1:466 1191:1191" ht="21" customHeight="1" x14ac:dyDescent="0.25">
      <c r="A93" s="982" t="str">
        <f t="shared" ref="A93:A156" si="59">$J93</f>
        <v>1009-2</v>
      </c>
      <c r="B93" s="124">
        <f>SUBTOTAL(103,$J$29:J93)</f>
        <v>65</v>
      </c>
      <c r="C93" s="126">
        <v>45068</v>
      </c>
      <c r="D93" s="124" t="s">
        <v>176</v>
      </c>
      <c r="E93" s="127" t="s">
        <v>177</v>
      </c>
      <c r="F93" s="128" t="s">
        <v>177</v>
      </c>
      <c r="G93" s="127" t="s">
        <v>178</v>
      </c>
      <c r="H93" s="127" t="s">
        <v>421</v>
      </c>
      <c r="I93" s="127" t="s">
        <v>567</v>
      </c>
      <c r="J93" s="129" t="s">
        <v>568</v>
      </c>
      <c r="K93" s="127" t="s">
        <v>569</v>
      </c>
      <c r="L93" s="130">
        <v>39211</v>
      </c>
      <c r="M93" s="127" t="s">
        <v>230</v>
      </c>
      <c r="N93" s="127" t="s">
        <v>231</v>
      </c>
      <c r="O93" s="127" t="s">
        <v>185</v>
      </c>
      <c r="P93" s="127" t="s">
        <v>186</v>
      </c>
      <c r="Q93" s="85" t="str">
        <f t="shared" si="40"/>
        <v/>
      </c>
      <c r="R93" s="130"/>
      <c r="S93" s="128" t="s">
        <v>156</v>
      </c>
      <c r="T93" s="131"/>
      <c r="U93" s="132">
        <v>203</v>
      </c>
      <c r="V93" s="121">
        <v>218.2</v>
      </c>
      <c r="W93" s="116">
        <v>0.98</v>
      </c>
      <c r="X93" s="116">
        <v>1.66</v>
      </c>
      <c r="Y93" s="116">
        <f t="shared" si="41"/>
        <v>1.3899521531100476</v>
      </c>
      <c r="Z93" s="133">
        <v>1.454</v>
      </c>
      <c r="AA93" s="133">
        <v>0.83599999999999997</v>
      </c>
      <c r="AB93" s="133">
        <v>0.72</v>
      </c>
      <c r="AC93" s="121">
        <v>34.299999999999997</v>
      </c>
      <c r="AD93" s="134">
        <v>1.17</v>
      </c>
      <c r="AE93" s="124">
        <v>139.69999999999999</v>
      </c>
      <c r="AF93" s="128">
        <v>7.72</v>
      </c>
      <c r="AG93" s="128">
        <v>1913</v>
      </c>
      <c r="AH93" s="127">
        <v>2634</v>
      </c>
      <c r="AI93" s="127">
        <v>2634</v>
      </c>
      <c r="AJ93" s="135"/>
      <c r="AK93" s="128"/>
      <c r="AL93" s="131"/>
      <c r="AM93" s="124" t="s">
        <v>232</v>
      </c>
      <c r="AN93" s="136" t="s">
        <v>570</v>
      </c>
      <c r="AO93" s="137">
        <v>60.310000000000173</v>
      </c>
      <c r="AP93" s="128">
        <v>2060</v>
      </c>
      <c r="AQ93" s="128">
        <v>173</v>
      </c>
      <c r="AR93" s="128"/>
      <c r="AS93" s="128"/>
      <c r="AT93" s="122"/>
      <c r="AU93" s="124" t="s">
        <v>189</v>
      </c>
      <c r="AV93" s="115">
        <f>VLOOKUP(J93,'[63]ТР нефть'!$J$28:$BP$638,39,0)</f>
        <v>558.00002402300004</v>
      </c>
      <c r="AW93" s="115" t="str">
        <f>VLOOKUP(J93,'[63]ТР нефть'!$J$28:$BP$638,40,0)</f>
        <v>ГП</v>
      </c>
      <c r="AX93" s="115">
        <f>VLOOKUP(J93,'[63]ТР нефть'!$J$28:$BP$638,41,0)</f>
        <v>1057.0000400389999</v>
      </c>
      <c r="AY93" s="115" t="str">
        <f>VLOOKUP(J93,'[63]ТР нефть'!$J$28:$BP$638,42,0)</f>
        <v>ГП</v>
      </c>
      <c r="AZ93" s="115">
        <f>VLOOKUP(J93,'[63]ТР нефть'!$J$28:$BP$638,43,0)</f>
        <v>1499.999976563</v>
      </c>
      <c r="BA93" s="115" t="str">
        <f>VLOOKUP(J93,'[63]ТР нефть'!$J$28:$BP$638,44,0)</f>
        <v>ЦКсОК 5/16</v>
      </c>
      <c r="BB93" s="115" t="str">
        <f>VLOOKUP(J93,'[63]ТР нефть'!$J$28:$BP$638,45,0)</f>
        <v>-</v>
      </c>
      <c r="BC93" s="115" t="str">
        <f>VLOOKUP(J93,'[63]ТР нефть'!$J$28:$BP$638,46,0)</f>
        <v>-</v>
      </c>
      <c r="BD93" s="115" t="str">
        <f>VLOOKUP(J93,'[63]ТР нефть'!$J$28:$BP$638,47,0)</f>
        <v>-</v>
      </c>
      <c r="BE93" s="115" t="str">
        <f>VLOOKUP(J93,'[63]ТР нефть'!$J$28:$BP$638,48,0)</f>
        <v>-</v>
      </c>
      <c r="BF93" s="115" t="str">
        <f>VLOOKUP(J93,'[63]ТР нефть'!$J$28:$BP$638,49,0)</f>
        <v>-</v>
      </c>
      <c r="BG93" s="115" t="str">
        <f>VLOOKUP(J93,'[63]ТР нефть'!$J$28:$BP$638,50,0)</f>
        <v>-</v>
      </c>
      <c r="BH93" s="115" t="str">
        <f>VLOOKUP(J93,'[63]ТР нефть'!$J$28:$BP$638,51,0)</f>
        <v>-</v>
      </c>
      <c r="BI93" s="115" t="str">
        <f>VLOOKUP(J93,'[63]ТР нефть'!$J$28:$BP$638,52,0)</f>
        <v>-</v>
      </c>
      <c r="BJ93" s="115" t="str">
        <f>IF(IFERROR(VLOOKUP(J93,'[63]ТР нефть'!$J$28:$BP$638,53,0),"-")=0,"-",IFERROR(VLOOKUP(J93,'[63]ТР нефть'!$J$28:$BP$638,53,0),"-"))</f>
        <v>-</v>
      </c>
      <c r="BK93" s="138" t="str">
        <f>IF(IFERROR(VLOOKUP(J93,'[63]ТР нефть'!$J$28:$BP$638,54,0),"-")=0,"-",IFERROR(VLOOKUP(J93,'[63]ТР нефть'!$J$28:$BP$638,54,0),"-"))</f>
        <v>-</v>
      </c>
      <c r="BL93" s="138" t="str">
        <f>IF(IFERROR(VLOOKUP(J93,'[63]ТР нефть'!$J$28:$BP$638,55,0),"-")=0,"-",IFERROR(VLOOKUP(J93,'[63]ТР нефть'!$J$28:$BP$638,55,0),"-"))</f>
        <v>-</v>
      </c>
      <c r="BM93" s="138" t="str">
        <f>IF(IFERROR(VLOOKUP(J93,'[63]ТР нефть'!$J$28:$BP$638,56,0),"-")=0,"-",IFERROR(VLOOKUP(J93,'[63]ТР нефть'!$J$28:$BP$638,56,0),"-"))</f>
        <v>-</v>
      </c>
      <c r="BN93" s="138" t="str">
        <f>IF(IFERROR(VLOOKUP(J93,'[63]ТР нефть'!$J$28:$BP$638,57,0),"-")=0,"-",IFERROR(VLOOKUP(J93,'[63]ТР нефть'!$J$28:$BP$638,57,0),"-"))</f>
        <v>-</v>
      </c>
      <c r="BO93" s="115" t="str">
        <f>IF(IFERROR(VLOOKUP(J93,'[63]ТР нефть'!$J$28:$BP$638,58,0),"-")=0,"-",IFERROR(VLOOKUP(J93,'[63]ТР нефть'!$J$28:$BP$638,58,0),"-"))</f>
        <v>-</v>
      </c>
      <c r="BP93" s="115" t="str">
        <f>IF(IFERROR(VLOOKUP(J93,'[63]ТР нефть'!$J$28:$BP$638,59,0),"-")=0,"-",IFERROR(VLOOKUP(J93,'[63]ТР нефть'!$J$28:$BP$638,59,0),"-"))</f>
        <v>-</v>
      </c>
      <c r="BQ93" s="138">
        <v>1555</v>
      </c>
      <c r="BR93" s="128">
        <v>1551</v>
      </c>
      <c r="BS93" s="115">
        <f t="shared" ref="BS93:BS156" si="60">BQ93-BR93</f>
        <v>4</v>
      </c>
      <c r="BT93" s="128">
        <v>73</v>
      </c>
      <c r="BU93" s="128">
        <v>5.5</v>
      </c>
      <c r="BV93" s="127">
        <v>18</v>
      </c>
      <c r="BW93" s="127" t="s">
        <v>217</v>
      </c>
      <c r="BX93" s="127" t="s">
        <v>195</v>
      </c>
      <c r="BY93" s="139">
        <v>24</v>
      </c>
      <c r="BZ93" s="139">
        <v>0</v>
      </c>
      <c r="CA93" s="138">
        <v>23</v>
      </c>
      <c r="CB93" s="138">
        <v>58</v>
      </c>
      <c r="CC93" s="138">
        <v>22</v>
      </c>
      <c r="CD93" s="135">
        <v>45017</v>
      </c>
      <c r="CE93" s="138">
        <v>93.44</v>
      </c>
      <c r="CF93" s="138">
        <v>67</v>
      </c>
      <c r="CG93" s="138" t="str">
        <f t="shared" si="52"/>
        <v/>
      </c>
      <c r="CH93" s="138" t="s">
        <v>197</v>
      </c>
      <c r="CI93" s="127">
        <v>6</v>
      </c>
      <c r="CJ93" s="138"/>
      <c r="CK93" s="138"/>
      <c r="CL93" s="99"/>
      <c r="CM93" s="99"/>
      <c r="CN93" s="140">
        <v>82</v>
      </c>
      <c r="CO93" s="159">
        <f t="shared" ref="CO93:CO156" si="61">CP93*(1-CQ93/100)*0.836</f>
        <v>3.5112000000000001</v>
      </c>
      <c r="CP93" s="160">
        <v>15</v>
      </c>
      <c r="CQ93" s="161">
        <v>72</v>
      </c>
      <c r="CR93" s="138">
        <v>23</v>
      </c>
      <c r="CS93" s="139">
        <v>16.8</v>
      </c>
      <c r="CT93" s="138"/>
      <c r="CU93" s="138">
        <f t="shared" ref="CU93:CU156" si="62">IF(CR93&lt;&gt;"0",CR93-CS93,"0")</f>
        <v>6.1999999999999993</v>
      </c>
      <c r="CV93" s="115">
        <f t="shared" ref="CV93:CV156" si="63">(CR93-CS93)*1000/CO93</f>
        <v>1765.7780815675549</v>
      </c>
      <c r="CW93" s="115">
        <f t="shared" ref="CW93:CW156" si="64">IF(CP93&lt;&gt;0,IF(AU93=$AU$29,CS93/(CO93+(CP93-CO93/0.836)*1.158)*1000,""),"")</f>
        <v>1048.8462691039856</v>
      </c>
      <c r="CX93" s="133">
        <f t="shared" ref="CX93:CX156" si="65">IF(CP93&lt;&gt;0,CP93/(CE93-CN93),0)</f>
        <v>1.3111888111888115</v>
      </c>
      <c r="CY93" s="116"/>
      <c r="CZ93" s="131"/>
      <c r="DA93" s="145" t="str">
        <f t="shared" ref="DA93:DA156" si="66">AU93</f>
        <v>Газлифт</v>
      </c>
      <c r="DB93" s="146">
        <f t="shared" ref="DB93:DB156" si="67">IFERROR(DC93*(1-DD93/100)*$AA93,"-")</f>
        <v>3.5112000000000001</v>
      </c>
      <c r="DC93" s="142">
        <f t="shared" ref="DC93:DC156" si="68">IFERROR(IF(AND(FZ93="Технология",FQ93&lt;$JC$24),EM93,CP93),"-")</f>
        <v>15</v>
      </c>
      <c r="DD93" s="119">
        <f t="shared" ref="DD93:DD156" si="69">IFERROR(IF(AND(FZ93="Технология",FQ93&lt;$JC$29),EN93,CQ93),"-")</f>
        <v>72</v>
      </c>
      <c r="DE93" s="115">
        <f t="shared" ref="DE93:DE156" si="70">CU93</f>
        <v>6.1999999999999993</v>
      </c>
      <c r="DF93" s="121">
        <f t="shared" ref="DF93:DF156" si="71">CS93</f>
        <v>16.8</v>
      </c>
      <c r="DG93" s="115">
        <f t="shared" ref="DG93:DG156" si="72">CV93</f>
        <v>1765.7780815675549</v>
      </c>
      <c r="DH93" s="115">
        <f t="shared" ref="DH93:DH156" si="73">CN93</f>
        <v>82</v>
      </c>
      <c r="DI93" s="147"/>
      <c r="DJ93" s="111" t="s">
        <v>197</v>
      </c>
      <c r="DK93" s="112">
        <v>44111.083333333336</v>
      </c>
      <c r="DL93" s="113">
        <f t="shared" ca="1" si="42"/>
        <v>992.91666666666424</v>
      </c>
      <c r="DM93" s="114"/>
      <c r="DN93" s="114"/>
      <c r="DO93" s="114"/>
      <c r="DP93" s="114"/>
      <c r="DQ93" s="112">
        <v>43397</v>
      </c>
      <c r="DR93" s="114" t="s">
        <v>282</v>
      </c>
      <c r="DS93" s="114"/>
      <c r="DT93" s="115">
        <v>70</v>
      </c>
      <c r="DU93" s="116">
        <f t="shared" si="43"/>
        <v>1.2320426052820426</v>
      </c>
      <c r="DV93" s="117">
        <f t="shared" si="44"/>
        <v>6.7600147345612163</v>
      </c>
      <c r="DW93" s="118">
        <f t="shared" si="45"/>
        <v>28.879078667811076</v>
      </c>
      <c r="DX93" s="119">
        <f t="shared" ref="DX93:DX156" si="74">CQ93</f>
        <v>72</v>
      </c>
      <c r="DY93" s="115">
        <f t="shared" si="46"/>
        <v>11.936685849361908</v>
      </c>
      <c r="DZ93" s="117">
        <f t="shared" si="47"/>
        <v>3.2488147345612162</v>
      </c>
      <c r="EA93" s="120">
        <f t="shared" si="47"/>
        <v>13.879078667811076</v>
      </c>
      <c r="EB93" s="119">
        <f t="shared" si="47"/>
        <v>0</v>
      </c>
      <c r="EC93" s="121">
        <f t="shared" si="48"/>
        <v>5.7366858493619084</v>
      </c>
      <c r="ED93" s="122"/>
      <c r="EE93" s="145">
        <v>18</v>
      </c>
      <c r="EF93" s="115">
        <v>28</v>
      </c>
      <c r="EG93" s="115">
        <v>63</v>
      </c>
      <c r="EH93" s="115">
        <v>28</v>
      </c>
      <c r="EI93" s="128" t="s">
        <v>195</v>
      </c>
      <c r="EJ93" s="121">
        <v>24</v>
      </c>
      <c r="EK93" s="121">
        <v>0</v>
      </c>
      <c r="EL93" s="162">
        <v>3.6282400000000004</v>
      </c>
      <c r="EM93" s="142">
        <v>14</v>
      </c>
      <c r="EN93" s="119">
        <v>69</v>
      </c>
      <c r="EO93" s="115">
        <v>21.9</v>
      </c>
      <c r="EP93" s="115">
        <v>1405.6402002072623</v>
      </c>
      <c r="EQ93" s="115">
        <v>67</v>
      </c>
      <c r="ER93" s="115">
        <v>16.8</v>
      </c>
      <c r="ES93" s="115">
        <v>66</v>
      </c>
      <c r="ET93" s="150">
        <v>0.51020408163265307</v>
      </c>
      <c r="EU93" s="145">
        <f t="shared" ref="EU93:EU156" si="75">BV93</f>
        <v>18</v>
      </c>
      <c r="EV93" s="115">
        <f t="shared" ref="EV93:EX156" si="76">CA93</f>
        <v>23</v>
      </c>
      <c r="EW93" s="115">
        <f t="shared" si="76"/>
        <v>58</v>
      </c>
      <c r="EX93" s="115">
        <f t="shared" si="76"/>
        <v>22</v>
      </c>
      <c r="EY93" s="115" t="str">
        <f t="shared" ref="EY93:FA124" si="77">BX93</f>
        <v>Постоянный</v>
      </c>
      <c r="EZ93" s="115">
        <f t="shared" si="77"/>
        <v>24</v>
      </c>
      <c r="FA93" s="115">
        <f t="shared" si="77"/>
        <v>0</v>
      </c>
      <c r="FB93" s="149">
        <f t="shared" ref="FB93:FE156" si="78">CO93</f>
        <v>3.5112000000000001</v>
      </c>
      <c r="FC93" s="142">
        <f t="shared" si="78"/>
        <v>15</v>
      </c>
      <c r="FD93" s="119">
        <f t="shared" si="78"/>
        <v>72</v>
      </c>
      <c r="FE93" s="121">
        <f t="shared" si="78"/>
        <v>23</v>
      </c>
      <c r="FF93" s="121">
        <f t="shared" si="49"/>
        <v>1765.7780815675549</v>
      </c>
      <c r="FG93" s="121">
        <f t="shared" ref="FG93:FG156" si="79">CF93</f>
        <v>67</v>
      </c>
      <c r="FH93" s="121">
        <f t="shared" si="50"/>
        <v>16.8</v>
      </c>
      <c r="FI93" s="121">
        <f t="shared" si="54"/>
        <v>82</v>
      </c>
      <c r="FJ93" s="144">
        <f t="shared" ref="FJ93:FJ156" si="80">CX93</f>
        <v>1.3111888111888115</v>
      </c>
      <c r="FK93" s="132">
        <f t="shared" ref="FK93:FN156" si="81">EU93-EE93</f>
        <v>0</v>
      </c>
      <c r="FL93" s="115">
        <f t="shared" si="81"/>
        <v>-5</v>
      </c>
      <c r="FM93" s="115">
        <f t="shared" si="81"/>
        <v>-5</v>
      </c>
      <c r="FN93" s="115">
        <f t="shared" si="58"/>
        <v>-6</v>
      </c>
      <c r="FO93" s="115">
        <f t="shared" si="57"/>
        <v>0</v>
      </c>
      <c r="FP93" s="115">
        <f t="shared" si="56"/>
        <v>0</v>
      </c>
      <c r="FQ93" s="149">
        <f t="shared" si="56"/>
        <v>-0.11704000000000025</v>
      </c>
      <c r="FR93" s="142">
        <f t="shared" si="56"/>
        <v>1</v>
      </c>
      <c r="FS93" s="119">
        <f t="shared" si="56"/>
        <v>3</v>
      </c>
      <c r="FT93" s="121">
        <f t="shared" si="56"/>
        <v>1.1000000000000014</v>
      </c>
      <c r="FU93" s="121">
        <f t="shared" ref="FU93:FV156" si="82">FG93-EQ93</f>
        <v>0</v>
      </c>
      <c r="FV93" s="121">
        <f t="shared" si="82"/>
        <v>0</v>
      </c>
      <c r="FW93" s="121">
        <f t="shared" ref="FW93:FW156" si="83">FF93-EP93</f>
        <v>360.13788136029257</v>
      </c>
      <c r="FX93" s="121">
        <f t="shared" ref="FX93:FY156" si="84">FI93-ES93</f>
        <v>16</v>
      </c>
      <c r="FY93" s="144">
        <f t="shared" si="84"/>
        <v>0.8009847295561584</v>
      </c>
      <c r="FZ93" s="145"/>
      <c r="GA93" s="151"/>
      <c r="GB93" s="145" t="s">
        <v>199</v>
      </c>
      <c r="GC93" s="151" t="s">
        <v>415</v>
      </c>
      <c r="GD93" s="997" t="s">
        <v>416</v>
      </c>
      <c r="GE93" s="1004" t="s">
        <v>199</v>
      </c>
      <c r="GF93" s="1004">
        <v>-2.325210272000001</v>
      </c>
      <c r="GG93" s="1004" t="s">
        <v>221</v>
      </c>
      <c r="GH93" s="1004">
        <v>2.3254502720000012</v>
      </c>
      <c r="GI93" s="145"/>
      <c r="GJ93" s="996">
        <v>0</v>
      </c>
      <c r="GK93" s="145"/>
      <c r="GL93" s="996">
        <v>0</v>
      </c>
      <c r="GM93" s="1005"/>
      <c r="GN93" s="996">
        <v>0</v>
      </c>
      <c r="GO93" s="1006"/>
      <c r="GP93" s="996">
        <v>0</v>
      </c>
      <c r="GQ93" s="1006"/>
      <c r="GR93" s="996">
        <v>0</v>
      </c>
      <c r="GS93" s="1006"/>
      <c r="GT93" s="996">
        <v>-0.44894872000000019</v>
      </c>
      <c r="GU93" s="1006"/>
      <c r="GV93" s="996">
        <v>0</v>
      </c>
      <c r="GW93" s="1006"/>
      <c r="GX93" s="996">
        <v>0</v>
      </c>
      <c r="GY93" s="1006"/>
      <c r="GZ93" s="996">
        <v>-0.16433887360000066</v>
      </c>
      <c r="HA93" s="1006" t="s">
        <v>204</v>
      </c>
      <c r="HB93" s="996">
        <v>-2.5463911263999996</v>
      </c>
      <c r="HC93" s="1006" t="s">
        <v>199</v>
      </c>
      <c r="HD93" s="996">
        <v>1.4609100000000006</v>
      </c>
      <c r="HE93" s="1006"/>
      <c r="HF93" s="996">
        <v>0</v>
      </c>
      <c r="HG93" s="1006"/>
      <c r="HH93" s="996">
        <v>0</v>
      </c>
      <c r="HI93" s="1006"/>
      <c r="HJ93" s="996">
        <v>0.46324431999999982</v>
      </c>
      <c r="HK93" s="1006"/>
      <c r="HL93" s="996">
        <v>0</v>
      </c>
      <c r="HM93" s="1006"/>
      <c r="HN93" s="996">
        <v>0</v>
      </c>
      <c r="HO93" s="1006" t="s">
        <v>199</v>
      </c>
      <c r="HP93" s="996">
        <v>2.6600516799999996</v>
      </c>
      <c r="HQ93" s="1006" t="s">
        <v>199</v>
      </c>
      <c r="HR93" s="996">
        <v>-2.1865914399999999</v>
      </c>
      <c r="HS93" s="1006"/>
      <c r="HT93" s="996">
        <v>-0.17261727999999987</v>
      </c>
      <c r="HU93" s="1006"/>
      <c r="HV93" s="996">
        <v>0</v>
      </c>
      <c r="HW93" s="1006"/>
      <c r="HX93" s="996">
        <v>0</v>
      </c>
      <c r="HY93" s="1006"/>
      <c r="HZ93" s="996">
        <v>5.209952000000051E-2</v>
      </c>
      <c r="IA93" s="1006"/>
      <c r="IB93" s="996">
        <v>0</v>
      </c>
      <c r="IC93" s="1006"/>
      <c r="ID93" s="996">
        <v>-0.90623052080000033</v>
      </c>
      <c r="IE93" s="1006"/>
      <c r="IF93" s="996">
        <v>1.0245848800000346E-2</v>
      </c>
      <c r="IG93" s="1006"/>
      <c r="IH93" s="996">
        <v>0</v>
      </c>
      <c r="II93" s="1006" t="s">
        <v>204</v>
      </c>
      <c r="IJ93" s="996">
        <v>-1.5697068728000003</v>
      </c>
      <c r="IK93" s="1006"/>
      <c r="IL93" s="996">
        <v>0</v>
      </c>
      <c r="IM93" s="1006"/>
      <c r="IN93" s="996">
        <v>0</v>
      </c>
      <c r="IO93" s="1006"/>
      <c r="IP93" s="996">
        <v>-0.14287925519999867</v>
      </c>
      <c r="IQ93" s="1006"/>
      <c r="IR93" s="996">
        <v>0</v>
      </c>
      <c r="IS93" s="1006"/>
      <c r="IT93" s="996">
        <v>0</v>
      </c>
      <c r="IU93" s="1006"/>
      <c r="IV93" s="996">
        <v>0</v>
      </c>
      <c r="IW93" s="1006"/>
      <c r="IX93" s="996">
        <v>0.33548680000000264</v>
      </c>
      <c r="IY93" s="1006"/>
      <c r="IZ93" s="996">
        <v>0</v>
      </c>
      <c r="JA93" s="1006"/>
      <c r="JB93" s="996">
        <v>-4.6481600000001677E-2</v>
      </c>
      <c r="JC93" s="1006"/>
      <c r="JD93" s="996">
        <v>-0.49048120000000051</v>
      </c>
      <c r="JE93" s="1006" t="s">
        <v>146</v>
      </c>
      <c r="JF93" s="996">
        <v>-4.3938630120000006</v>
      </c>
      <c r="JG93" s="1006"/>
      <c r="JH93" s="996">
        <v>0</v>
      </c>
      <c r="JI93" s="1006"/>
      <c r="JJ93" s="996">
        <v>0</v>
      </c>
      <c r="JK93" s="1007"/>
      <c r="JL93" s="1007">
        <v>0</v>
      </c>
      <c r="JM93" s="1007" t="s">
        <v>199</v>
      </c>
      <c r="JN93" s="1007">
        <v>-3.9438157879999984</v>
      </c>
      <c r="JO93" s="1008"/>
      <c r="JP93" s="1007">
        <v>0</v>
      </c>
      <c r="JQ93" s="1008" t="s">
        <v>146</v>
      </c>
      <c r="JR93" s="1007">
        <v>-14.442401599999998</v>
      </c>
      <c r="JS93" s="1008">
        <v>0</v>
      </c>
      <c r="JT93" s="1007">
        <v>0</v>
      </c>
      <c r="JU93" s="1008" t="s">
        <v>146</v>
      </c>
      <c r="JV93" s="1007">
        <v>9.9768465719999959</v>
      </c>
      <c r="JW93" s="1008" t="s">
        <v>203</v>
      </c>
      <c r="JX93" s="1007">
        <v>2.7484946280000013</v>
      </c>
      <c r="JY93" s="1008" t="s">
        <v>199</v>
      </c>
      <c r="JZ93" s="1007">
        <v>2.4355244000000003</v>
      </c>
      <c r="KA93" s="1008" t="s">
        <v>224</v>
      </c>
      <c r="KB93" s="1007">
        <v>-17.555496142800003</v>
      </c>
      <c r="KC93" s="1008"/>
      <c r="KD93" s="1007">
        <v>0</v>
      </c>
      <c r="KE93" s="1008"/>
      <c r="KF93" s="1007">
        <v>0</v>
      </c>
      <c r="KG93" s="1008" t="s">
        <v>25</v>
      </c>
      <c r="KH93" s="1007">
        <v>22.032276142800001</v>
      </c>
      <c r="KI93" s="1008"/>
      <c r="KJ93" s="1007" t="e">
        <v>#VALUE!</v>
      </c>
      <c r="KK93" s="1008"/>
      <c r="KL93" s="1007">
        <v>0</v>
      </c>
      <c r="KM93" s="1008"/>
      <c r="KN93" s="1007">
        <v>0</v>
      </c>
      <c r="KO93" s="1008"/>
      <c r="KP93" s="1007">
        <v>0</v>
      </c>
      <c r="KQ93" s="1008"/>
      <c r="KR93" s="1007"/>
      <c r="KS93" s="1008"/>
      <c r="KT93" s="1007"/>
      <c r="KU93" s="1008"/>
      <c r="KV93" s="1007" t="s">
        <v>567</v>
      </c>
      <c r="KW93" s="1008"/>
      <c r="KX93" s="1007"/>
      <c r="KY93" s="1008" t="s">
        <v>197</v>
      </c>
      <c r="KZ93" s="1007" t="s">
        <v>197</v>
      </c>
      <c r="LA93" s="1008" t="s">
        <v>197</v>
      </c>
      <c r="LB93" s="1007" t="e">
        <v>#VALUE!</v>
      </c>
      <c r="LC93" s="1008"/>
      <c r="LD93" s="1007" t="e">
        <v>#VALUE!</v>
      </c>
      <c r="LE93" s="1008" t="e">
        <v>#VALUE!</v>
      </c>
      <c r="LF93" s="1007" t="e">
        <v>#VALUE!</v>
      </c>
      <c r="LG93" s="1008" t="e">
        <v>#VALUE!</v>
      </c>
      <c r="LH93" s="1007" t="e">
        <v>#VALUE!</v>
      </c>
      <c r="LI93" s="1008" t="e">
        <v>#VALUE!</v>
      </c>
      <c r="LJ93" s="1007" t="e">
        <v>#VALUE!</v>
      </c>
      <c r="LK93" s="1008" t="e">
        <v>#VALUE!</v>
      </c>
      <c r="LL93" s="1007"/>
      <c r="LM93" s="1008"/>
      <c r="LN93" s="1007"/>
      <c r="LO93" s="1008"/>
      <c r="LP93" s="1007"/>
      <c r="LQ93" s="1008"/>
      <c r="LR93" s="1007"/>
      <c r="LS93" s="1008"/>
      <c r="LT93" s="1007"/>
      <c r="LU93" s="1008"/>
      <c r="LV93" s="1007"/>
      <c r="LW93" s="1008"/>
      <c r="LX93" s="1007"/>
      <c r="LY93" s="1009"/>
      <c r="LZ93" s="1010"/>
      <c r="MA93" s="1011"/>
      <c r="MB93" s="1012"/>
      <c r="MC93" s="995"/>
      <c r="MD93" s="996"/>
      <c r="ME93" s="997" t="s">
        <v>416</v>
      </c>
      <c r="MF93" s="997"/>
      <c r="MG93" s="998"/>
      <c r="NR93" s="1000"/>
      <c r="NS93" s="1000"/>
      <c r="NT93" s="1001"/>
      <c r="NU93" s="1000"/>
      <c r="NV93" s="1001"/>
      <c r="NX93" s="1002"/>
      <c r="NZ93" s="1001"/>
      <c r="OA93" s="1001"/>
      <c r="OC93" s="1003"/>
      <c r="OD93" s="1003"/>
      <c r="OE93" s="1001"/>
      <c r="OF93" s="1003"/>
      <c r="OG93" s="1003"/>
      <c r="QX93" s="1000">
        <f t="shared" si="51"/>
        <v>59</v>
      </c>
      <c r="ASU93" s="999" t="s">
        <v>208</v>
      </c>
    </row>
    <row r="94" spans="1:466 1191:1191" ht="21" customHeight="1" x14ac:dyDescent="0.25">
      <c r="A94" s="982">
        <f t="shared" si="59"/>
        <v>1010</v>
      </c>
      <c r="B94" s="124">
        <f>SUBTOTAL(103,$J$29:J94)</f>
        <v>66</v>
      </c>
      <c r="C94" s="126">
        <v>45068</v>
      </c>
      <c r="D94" s="124" t="s">
        <v>176</v>
      </c>
      <c r="E94" s="127" t="s">
        <v>177</v>
      </c>
      <c r="F94" s="128" t="s">
        <v>177</v>
      </c>
      <c r="G94" s="127" t="s">
        <v>178</v>
      </c>
      <c r="H94" s="127" t="s">
        <v>421</v>
      </c>
      <c r="I94" s="127" t="s">
        <v>567</v>
      </c>
      <c r="J94" s="129">
        <v>1010</v>
      </c>
      <c r="K94" s="127" t="s">
        <v>571</v>
      </c>
      <c r="L94" s="130">
        <v>39344</v>
      </c>
      <c r="M94" s="127" t="s">
        <v>230</v>
      </c>
      <c r="N94" s="127" t="s">
        <v>231</v>
      </c>
      <c r="O94" s="127" t="s">
        <v>185</v>
      </c>
      <c r="P94" s="127" t="s">
        <v>186</v>
      </c>
      <c r="Q94" s="85" t="str">
        <f t="shared" ref="Q94:Q157" si="85">IF(R94="","",-4)</f>
        <v/>
      </c>
      <c r="R94" s="130"/>
      <c r="S94" s="128"/>
      <c r="T94" s="131"/>
      <c r="U94" s="132">
        <v>203</v>
      </c>
      <c r="V94" s="121">
        <v>218.2</v>
      </c>
      <c r="W94" s="116">
        <v>0.98</v>
      </c>
      <c r="X94" s="116">
        <v>1.66</v>
      </c>
      <c r="Y94" s="116">
        <f t="shared" si="41"/>
        <v>1.3326561373615569</v>
      </c>
      <c r="Z94" s="133">
        <v>1.454</v>
      </c>
      <c r="AA94" s="133">
        <v>0.83599999999999997</v>
      </c>
      <c r="AB94" s="133">
        <v>0.72</v>
      </c>
      <c r="AC94" s="121">
        <v>34.299999999999997</v>
      </c>
      <c r="AD94" s="134">
        <v>1.17</v>
      </c>
      <c r="AE94" s="124" t="s">
        <v>253</v>
      </c>
      <c r="AF94" s="128">
        <v>7.72</v>
      </c>
      <c r="AG94" s="128">
        <v>1956.6</v>
      </c>
      <c r="AH94" s="127">
        <v>2541.6</v>
      </c>
      <c r="AI94" s="127">
        <v>2541.6</v>
      </c>
      <c r="AJ94" s="135"/>
      <c r="AK94" s="128"/>
      <c r="AL94" s="131"/>
      <c r="AM94" s="124" t="s">
        <v>232</v>
      </c>
      <c r="AN94" s="136" t="s">
        <v>572</v>
      </c>
      <c r="AO94" s="137">
        <v>61.059999999999945</v>
      </c>
      <c r="AP94" s="128">
        <v>1941</v>
      </c>
      <c r="AQ94" s="128">
        <v>106.16</v>
      </c>
      <c r="AR94" s="128" t="s">
        <v>573</v>
      </c>
      <c r="AS94" s="128">
        <v>102</v>
      </c>
      <c r="AT94" s="122">
        <v>89</v>
      </c>
      <c r="AU94" s="124" t="s">
        <v>189</v>
      </c>
      <c r="AV94" s="115">
        <f>VLOOKUP(J94,'[63]ТР нефть'!$J$28:$BP$638,39,0)</f>
        <v>529.99998427699995</v>
      </c>
      <c r="AW94" s="115" t="str">
        <f>VLOOKUP(J94,'[63]ТР нефть'!$J$28:$BP$638,40,0)</f>
        <v>ГП</v>
      </c>
      <c r="AX94" s="115">
        <f>VLOOKUP(J94,'[63]ТР нефть'!$J$28:$BP$638,41,0)</f>
        <v>940.00000019499998</v>
      </c>
      <c r="AY94" s="115" t="str">
        <f>VLOOKUP(J94,'[63]ТР нефть'!$J$28:$BP$638,42,0)</f>
        <v>ГК 87 1/8</v>
      </c>
      <c r="AZ94" s="115">
        <f>VLOOKUP(J94,'[63]ТР нефть'!$J$28:$BP$638,43,0)</f>
        <v>1249.9999804690001</v>
      </c>
      <c r="BA94" s="115" t="str">
        <f>VLOOKUP(J94,'[63]ТР нефть'!$J$28:$BP$638,44,0)</f>
        <v>ГК 87 1/8</v>
      </c>
      <c r="BB94" s="115">
        <f>VLOOKUP(J94,'[63]ТР нефть'!$J$28:$BP$638,45,0)</f>
        <v>1499.999976563</v>
      </c>
      <c r="BC94" s="115" t="str">
        <f>VLOOKUP(J94,'[63]ТР нефть'!$J$28:$BP$638,46,0)</f>
        <v>ГК 86 5/32</v>
      </c>
      <c r="BD94" s="115">
        <f>VLOOKUP(J94,'[63]ТР нефть'!$J$28:$BP$638,47,0)</f>
        <v>1685.0000332029999</v>
      </c>
      <c r="BE94" s="115" t="str">
        <f>VLOOKUP(J94,'[63]ТР нефть'!$J$28:$BP$638,48,0)</f>
        <v>ЦКсОК 5/16</v>
      </c>
      <c r="BF94" s="115" t="str">
        <f>VLOOKUP(J94,'[63]ТР нефть'!$J$28:$BP$638,49,0)</f>
        <v>-</v>
      </c>
      <c r="BG94" s="115" t="str">
        <f>VLOOKUP(J94,'[63]ТР нефть'!$J$28:$BP$638,50,0)</f>
        <v>-</v>
      </c>
      <c r="BH94" s="115">
        <f>VLOOKUP(J94,'[63]ТР нефть'!$J$28:$BP$638,51,0)</f>
        <v>1695</v>
      </c>
      <c r="BI94" s="115" t="str">
        <f>VLOOKUP(J94,'[63]ТР нефть'!$J$28:$BP$638,52,0)</f>
        <v>закрыт</v>
      </c>
      <c r="BJ94" s="115" t="str">
        <f>IF(IFERROR(VLOOKUP(J94,'[63]ТР нефть'!$J$28:$BP$638,53,0),"-")=0,"-",IFERROR(VLOOKUP(J94,'[63]ТР нефть'!$J$28:$BP$638,53,0),"-"))</f>
        <v>-</v>
      </c>
      <c r="BK94" s="138" t="str">
        <f>IF(IFERROR(VLOOKUP(J94,'[63]ТР нефть'!$J$28:$BP$638,54,0),"-")=0,"-",IFERROR(VLOOKUP(J94,'[63]ТР нефть'!$J$28:$BP$638,54,0),"-"))</f>
        <v>-</v>
      </c>
      <c r="BL94" s="138" t="str">
        <f>IF(IFERROR(VLOOKUP(J94,'[63]ТР нефть'!$J$28:$BP$638,55,0),"-")=0,"-",IFERROR(VLOOKUP(J94,'[63]ТР нефть'!$J$28:$BP$638,55,0),"-"))</f>
        <v>-</v>
      </c>
      <c r="BM94" s="138" t="str">
        <f>IF(IFERROR(VLOOKUP(J94,'[63]ТР нефть'!$J$28:$BP$638,56,0),"-")=0,"-",IFERROR(VLOOKUP(J94,'[63]ТР нефть'!$J$28:$BP$638,56,0),"-"))</f>
        <v>-</v>
      </c>
      <c r="BN94" s="138" t="str">
        <f>IF(IFERROR(VLOOKUP(J94,'[63]ТР нефть'!$J$28:$BP$638,57,0),"-")=0,"-",IFERROR(VLOOKUP(J94,'[63]ТР нефть'!$J$28:$BP$638,57,0),"-"))</f>
        <v>-</v>
      </c>
      <c r="BO94" s="115" t="str">
        <f>IF(IFERROR(VLOOKUP(J94,'[63]ТР нефть'!$J$28:$BP$638,58,0),"-")=0,"-",IFERROR(VLOOKUP(J94,'[63]ТР нефть'!$J$28:$BP$638,58,0),"-"))</f>
        <v>-</v>
      </c>
      <c r="BP94" s="115" t="str">
        <f>IF(IFERROR(VLOOKUP(J94,'[63]ТР нефть'!$J$28:$BP$638,59,0),"-")=0,"-",IFERROR(VLOOKUP(J94,'[63]ТР нефть'!$J$28:$BP$638,59,0),"-"))</f>
        <v>-</v>
      </c>
      <c r="BQ94" s="138">
        <v>1800</v>
      </c>
      <c r="BR94" s="128">
        <v>1790.27</v>
      </c>
      <c r="BS94" s="115">
        <f t="shared" si="60"/>
        <v>9.7300000000000182</v>
      </c>
      <c r="BT94" s="128">
        <v>73</v>
      </c>
      <c r="BU94" s="128">
        <v>5.5</v>
      </c>
      <c r="BV94" s="127">
        <v>18</v>
      </c>
      <c r="BW94" s="127" t="s">
        <v>217</v>
      </c>
      <c r="BX94" s="127" t="s">
        <v>195</v>
      </c>
      <c r="BY94" s="139">
        <v>24</v>
      </c>
      <c r="BZ94" s="139">
        <v>0</v>
      </c>
      <c r="CA94" s="138">
        <v>28</v>
      </c>
      <c r="CB94" s="138">
        <v>66</v>
      </c>
      <c r="CC94" s="138">
        <v>27</v>
      </c>
      <c r="CD94" s="135">
        <v>45017</v>
      </c>
      <c r="CE94" s="138">
        <v>118</v>
      </c>
      <c r="CF94" s="138">
        <v>69</v>
      </c>
      <c r="CG94" s="138" t="str">
        <f t="shared" si="52"/>
        <v>В работе</v>
      </c>
      <c r="CH94" s="138" t="s">
        <v>196</v>
      </c>
      <c r="CI94" s="127">
        <v>6</v>
      </c>
      <c r="CJ94" s="138"/>
      <c r="CK94" s="138"/>
      <c r="CL94" s="99"/>
      <c r="CM94" s="99"/>
      <c r="CN94" s="173">
        <v>94</v>
      </c>
      <c r="CO94" s="159">
        <f t="shared" si="61"/>
        <v>4.6759152000000013</v>
      </c>
      <c r="CP94" s="160">
        <v>15.8</v>
      </c>
      <c r="CQ94" s="161">
        <v>64.599999999999994</v>
      </c>
      <c r="CR94" s="138">
        <v>16</v>
      </c>
      <c r="CS94" s="138">
        <v>13</v>
      </c>
      <c r="CT94" s="138"/>
      <c r="CU94" s="138">
        <f t="shared" si="62"/>
        <v>3</v>
      </c>
      <c r="CV94" s="115">
        <f t="shared" si="63"/>
        <v>641.58563012434422</v>
      </c>
      <c r="CW94" s="115">
        <f t="shared" si="64"/>
        <v>788.09899706764133</v>
      </c>
      <c r="CX94" s="133">
        <f t="shared" si="65"/>
        <v>0.65833333333333333</v>
      </c>
      <c r="CY94" s="116"/>
      <c r="CZ94" s="131"/>
      <c r="DA94" s="145" t="str">
        <f t="shared" si="66"/>
        <v>Газлифт</v>
      </c>
      <c r="DB94" s="146">
        <f t="shared" si="67"/>
        <v>4.6759152000000013</v>
      </c>
      <c r="DC94" s="142">
        <f t="shared" si="68"/>
        <v>15.8</v>
      </c>
      <c r="DD94" s="119">
        <f t="shared" si="69"/>
        <v>64.599999999999994</v>
      </c>
      <c r="DE94" s="115">
        <f t="shared" si="70"/>
        <v>3</v>
      </c>
      <c r="DF94" s="121">
        <f t="shared" si="71"/>
        <v>13</v>
      </c>
      <c r="DG94" s="115">
        <f t="shared" si="72"/>
        <v>641.58563012434422</v>
      </c>
      <c r="DH94" s="115">
        <f t="shared" si="73"/>
        <v>94</v>
      </c>
      <c r="DI94" s="147"/>
      <c r="DJ94" s="111">
        <v>43660</v>
      </c>
      <c r="DK94" s="112">
        <v>43730.083333333336</v>
      </c>
      <c r="DL94" s="113">
        <f t="shared" ca="1" si="42"/>
        <v>1373.9166666666642</v>
      </c>
      <c r="DM94" s="114"/>
      <c r="DN94" s="114"/>
      <c r="DO94" s="114"/>
      <c r="DP94" s="114"/>
      <c r="DQ94" s="112">
        <v>43110</v>
      </c>
      <c r="DR94" s="114" t="s">
        <v>405</v>
      </c>
      <c r="DS94" s="114"/>
      <c r="DT94" s="115">
        <v>60</v>
      </c>
      <c r="DU94" s="116">
        <f t="shared" si="43"/>
        <v>0.56564872325741899</v>
      </c>
      <c r="DV94" s="117">
        <f t="shared" si="44"/>
        <v>9.7092200538302311</v>
      </c>
      <c r="DW94" s="118">
        <f t="shared" si="45"/>
        <v>32.807625948930301</v>
      </c>
      <c r="DX94" s="119">
        <f t="shared" si="74"/>
        <v>64.599999999999994</v>
      </c>
      <c r="DY94" s="115">
        <f t="shared" si="46"/>
        <v>6.229296066252588</v>
      </c>
      <c r="DZ94" s="117">
        <f t="shared" si="47"/>
        <v>5.0333048538302299</v>
      </c>
      <c r="EA94" s="120">
        <f t="shared" si="47"/>
        <v>17.007625948930301</v>
      </c>
      <c r="EB94" s="119">
        <f t="shared" si="47"/>
        <v>0</v>
      </c>
      <c r="EC94" s="121">
        <f t="shared" si="48"/>
        <v>3.229296066252588</v>
      </c>
      <c r="ED94" s="122"/>
      <c r="EE94" s="145">
        <v>18</v>
      </c>
      <c r="EF94" s="115">
        <v>27</v>
      </c>
      <c r="EG94" s="115">
        <v>66</v>
      </c>
      <c r="EH94" s="115">
        <v>27</v>
      </c>
      <c r="EI94" s="128" t="s">
        <v>195</v>
      </c>
      <c r="EJ94" s="121">
        <v>24</v>
      </c>
      <c r="EK94" s="121">
        <v>0</v>
      </c>
      <c r="EL94" s="162">
        <v>4.6759152000000013</v>
      </c>
      <c r="EM94" s="142">
        <v>15.8</v>
      </c>
      <c r="EN94" s="119">
        <v>64.599999999999994</v>
      </c>
      <c r="EO94" s="115">
        <v>16</v>
      </c>
      <c r="EP94" s="115">
        <v>641.58563012434422</v>
      </c>
      <c r="EQ94" s="115">
        <v>69</v>
      </c>
      <c r="ER94" s="115">
        <v>13</v>
      </c>
      <c r="ES94" s="115">
        <v>94</v>
      </c>
      <c r="ET94" s="150">
        <v>0.65833333333333333</v>
      </c>
      <c r="EU94" s="145">
        <f t="shared" si="75"/>
        <v>18</v>
      </c>
      <c r="EV94" s="115">
        <f t="shared" si="76"/>
        <v>28</v>
      </c>
      <c r="EW94" s="115">
        <f t="shared" si="76"/>
        <v>66</v>
      </c>
      <c r="EX94" s="115">
        <f t="shared" si="76"/>
        <v>27</v>
      </c>
      <c r="EY94" s="115" t="str">
        <f t="shared" si="77"/>
        <v>Постоянный</v>
      </c>
      <c r="EZ94" s="115">
        <f t="shared" si="77"/>
        <v>24</v>
      </c>
      <c r="FA94" s="115">
        <f t="shared" si="77"/>
        <v>0</v>
      </c>
      <c r="FB94" s="149">
        <f t="shared" si="78"/>
        <v>4.6759152000000013</v>
      </c>
      <c r="FC94" s="142">
        <f t="shared" si="78"/>
        <v>15.8</v>
      </c>
      <c r="FD94" s="119">
        <f t="shared" si="78"/>
        <v>64.599999999999994</v>
      </c>
      <c r="FE94" s="121">
        <f t="shared" si="78"/>
        <v>16</v>
      </c>
      <c r="FF94" s="121">
        <f t="shared" si="49"/>
        <v>641.58563012434422</v>
      </c>
      <c r="FG94" s="121">
        <f t="shared" si="79"/>
        <v>69</v>
      </c>
      <c r="FH94" s="121">
        <f t="shared" si="50"/>
        <v>13</v>
      </c>
      <c r="FI94" s="121">
        <f t="shared" si="54"/>
        <v>94</v>
      </c>
      <c r="FJ94" s="144">
        <f t="shared" si="80"/>
        <v>0.65833333333333333</v>
      </c>
      <c r="FK94" s="132">
        <f t="shared" si="81"/>
        <v>0</v>
      </c>
      <c r="FL94" s="115">
        <f t="shared" si="81"/>
        <v>1</v>
      </c>
      <c r="FM94" s="115">
        <f t="shared" si="81"/>
        <v>0</v>
      </c>
      <c r="FN94" s="115">
        <f t="shared" si="58"/>
        <v>0</v>
      </c>
      <c r="FO94" s="115">
        <f t="shared" si="57"/>
        <v>0</v>
      </c>
      <c r="FP94" s="115">
        <f t="shared" si="56"/>
        <v>0</v>
      </c>
      <c r="FQ94" s="171">
        <f t="shared" si="56"/>
        <v>0</v>
      </c>
      <c r="FR94" s="117">
        <f t="shared" si="56"/>
        <v>0</v>
      </c>
      <c r="FS94" s="119">
        <f t="shared" si="56"/>
        <v>0</v>
      </c>
      <c r="FT94" s="121">
        <f t="shared" si="56"/>
        <v>0</v>
      </c>
      <c r="FU94" s="121">
        <f t="shared" si="82"/>
        <v>0</v>
      </c>
      <c r="FV94" s="121">
        <f t="shared" si="82"/>
        <v>0</v>
      </c>
      <c r="FW94" s="121">
        <f t="shared" si="83"/>
        <v>0</v>
      </c>
      <c r="FX94" s="121">
        <f t="shared" si="84"/>
        <v>0</v>
      </c>
      <c r="FY94" s="144">
        <f t="shared" si="84"/>
        <v>0</v>
      </c>
      <c r="FZ94" s="145"/>
      <c r="GA94" s="151" t="s">
        <v>574</v>
      </c>
      <c r="GB94" s="145" t="s">
        <v>199</v>
      </c>
      <c r="GC94" s="151" t="s">
        <v>575</v>
      </c>
      <c r="GD94" s="997" t="s">
        <v>416</v>
      </c>
      <c r="GE94" s="1004" t="s">
        <v>199</v>
      </c>
      <c r="GF94" s="1004">
        <v>3.5646371200000013</v>
      </c>
      <c r="GG94" s="1004"/>
      <c r="GH94" s="1004">
        <v>0</v>
      </c>
      <c r="GI94" s="145" t="s">
        <v>199</v>
      </c>
      <c r="GJ94" s="996">
        <v>-8.9207219200000001</v>
      </c>
      <c r="GK94" s="145"/>
      <c r="GL94" s="996">
        <v>3.2000000000000028E-2</v>
      </c>
      <c r="GM94" s="1005"/>
      <c r="GN94" s="996">
        <v>0</v>
      </c>
      <c r="GO94" s="1006" t="s">
        <v>259</v>
      </c>
      <c r="GP94" s="996">
        <v>5.5481976</v>
      </c>
      <c r="GQ94" s="1006"/>
      <c r="GR94" s="996">
        <v>-0.11157757600000107</v>
      </c>
      <c r="GS94" s="1006"/>
      <c r="GT94" s="996">
        <v>0</v>
      </c>
      <c r="GU94" s="1006"/>
      <c r="GV94" s="996">
        <v>-2.9120839439999999</v>
      </c>
      <c r="GW94" s="1006"/>
      <c r="GX94" s="996">
        <v>0</v>
      </c>
      <c r="GY94" s="1006" t="s">
        <v>146</v>
      </c>
      <c r="GZ94" s="996">
        <v>-4.9400552519999987</v>
      </c>
      <c r="HA94" s="1006" t="s">
        <v>199</v>
      </c>
      <c r="HB94" s="996">
        <v>9.5300463719999975</v>
      </c>
      <c r="HC94" s="1006" t="s">
        <v>199</v>
      </c>
      <c r="HD94" s="996">
        <v>-4.1824996400000005</v>
      </c>
      <c r="HE94" s="1006" t="s">
        <v>204</v>
      </c>
      <c r="HF94" s="996">
        <v>0</v>
      </c>
      <c r="HG94" s="1006" t="s">
        <v>199</v>
      </c>
      <c r="HH94" s="996">
        <v>2.0571870000000017</v>
      </c>
      <c r="HI94" s="1006" t="s">
        <v>199</v>
      </c>
      <c r="HJ94" s="996">
        <v>4.0545632159999991</v>
      </c>
      <c r="HK94" s="1006"/>
      <c r="HL94" s="996">
        <v>0</v>
      </c>
      <c r="HM94" s="1006"/>
      <c r="HN94" s="996">
        <v>0</v>
      </c>
      <c r="HO94" s="1006"/>
      <c r="HP94" s="996">
        <v>0</v>
      </c>
      <c r="HQ94" s="1006" t="s">
        <v>146</v>
      </c>
      <c r="HR94" s="996">
        <v>-2.8494357760000004</v>
      </c>
      <c r="HS94" s="1006"/>
      <c r="HT94" s="996">
        <v>-0.16592259200000026</v>
      </c>
      <c r="HU94" s="1006"/>
      <c r="HV94" s="996">
        <v>0</v>
      </c>
      <c r="HW94" s="1006" t="s">
        <v>206</v>
      </c>
      <c r="HX94" s="996">
        <v>-5.6692177291199979</v>
      </c>
      <c r="HY94" s="1006"/>
      <c r="HZ94" s="996">
        <v>0</v>
      </c>
      <c r="IA94" s="1006" t="s">
        <v>199</v>
      </c>
      <c r="IB94" s="996">
        <v>0</v>
      </c>
      <c r="IC94" s="1006"/>
      <c r="ID94" s="996">
        <v>0</v>
      </c>
      <c r="IE94" s="1006"/>
      <c r="IF94" s="996">
        <v>2.3602721119997838E-2</v>
      </c>
      <c r="IG94" s="1006"/>
      <c r="IH94" s="996">
        <v>0</v>
      </c>
      <c r="II94" s="1006"/>
      <c r="IJ94" s="996">
        <v>0</v>
      </c>
      <c r="IK94" s="1006"/>
      <c r="IL94" s="996">
        <v>0</v>
      </c>
      <c r="IM94" s="1006" t="s">
        <v>199</v>
      </c>
      <c r="IN94" s="996">
        <v>0.87119560000000185</v>
      </c>
      <c r="IO94" s="1006"/>
      <c r="IP94" s="996">
        <v>0</v>
      </c>
      <c r="IQ94" s="1006" t="s">
        <v>204</v>
      </c>
      <c r="IR94" s="996">
        <v>-2.8507599999999993</v>
      </c>
      <c r="IS94" s="1006"/>
      <c r="IT94" s="996">
        <v>0</v>
      </c>
      <c r="IU94" s="1006" t="s">
        <v>204</v>
      </c>
      <c r="IV94" s="996">
        <v>3.4359599999999988</v>
      </c>
      <c r="IW94" s="1006"/>
      <c r="IX94" s="996">
        <v>0</v>
      </c>
      <c r="IY94" s="1006"/>
      <c r="IZ94" s="996">
        <v>0</v>
      </c>
      <c r="JA94" s="1006"/>
      <c r="JB94" s="996">
        <v>0</v>
      </c>
      <c r="JC94" s="1006"/>
      <c r="JD94" s="996">
        <v>0</v>
      </c>
      <c r="JE94" s="1006"/>
      <c r="JF94" s="996">
        <v>0</v>
      </c>
      <c r="JG94" s="1006"/>
      <c r="JH94" s="996">
        <v>0</v>
      </c>
      <c r="JI94" s="1006" t="s">
        <v>204</v>
      </c>
      <c r="JJ94" s="996">
        <v>0.86488547199999921</v>
      </c>
      <c r="JK94" s="1007"/>
      <c r="JL94" s="1007">
        <v>0</v>
      </c>
      <c r="JM94" s="1007" t="s">
        <v>204</v>
      </c>
      <c r="JN94" s="1007">
        <v>-4.1466034719999998</v>
      </c>
      <c r="JO94" s="1008"/>
      <c r="JP94" s="1007">
        <v>2.9807579999999998</v>
      </c>
      <c r="JQ94" s="1008">
        <v>0</v>
      </c>
      <c r="JR94" s="1007">
        <v>0</v>
      </c>
      <c r="JS94" s="1008">
        <v>0</v>
      </c>
      <c r="JT94" s="1007">
        <v>0</v>
      </c>
      <c r="JU94" s="1008" t="s">
        <v>204</v>
      </c>
      <c r="JV94" s="1007">
        <v>-5.1636793999999995</v>
      </c>
      <c r="JW94" s="1008" t="s">
        <v>197</v>
      </c>
      <c r="JX94" s="1007">
        <v>0</v>
      </c>
      <c r="JY94" s="1008" t="s">
        <v>204</v>
      </c>
      <c r="JZ94" s="1007">
        <v>3.1990793999999987</v>
      </c>
      <c r="KA94" s="1008"/>
      <c r="KB94" s="1007">
        <v>-2.397647999999819E-2</v>
      </c>
      <c r="KC94" s="1008"/>
      <c r="KD94" s="1007">
        <v>0</v>
      </c>
      <c r="KE94" s="1008"/>
      <c r="KF94" s="1007">
        <v>0</v>
      </c>
      <c r="KG94" s="1008"/>
      <c r="KH94" s="1007">
        <v>0</v>
      </c>
      <c r="KI94" s="1008" t="s">
        <v>206</v>
      </c>
      <c r="KJ94" s="1007">
        <v>0.55065647999999889</v>
      </c>
      <c r="KK94" s="1008" t="s">
        <v>206</v>
      </c>
      <c r="KL94" s="1007">
        <v>4.7986400000000007</v>
      </c>
      <c r="KM94" s="1008"/>
      <c r="KN94" s="1007">
        <v>0</v>
      </c>
      <c r="KO94" s="1008" t="s">
        <v>206</v>
      </c>
      <c r="KP94" s="1007">
        <v>-2.5584943999999998</v>
      </c>
      <c r="KQ94" s="1008">
        <v>0</v>
      </c>
      <c r="KR94" s="1007">
        <v>0</v>
      </c>
      <c r="KS94" s="1008" t="s">
        <v>207</v>
      </c>
      <c r="KT94" s="1007">
        <v>-4.4806256000000007</v>
      </c>
      <c r="KU94" s="1008" t="s">
        <v>349</v>
      </c>
      <c r="KV94" s="1007">
        <v>1.7054400000000012</v>
      </c>
      <c r="KW94" s="1008" t="s">
        <v>349</v>
      </c>
      <c r="KX94" s="1007">
        <v>-3.5195600000000002</v>
      </c>
      <c r="KY94" s="1008">
        <v>0</v>
      </c>
      <c r="KZ94" s="1007">
        <v>0</v>
      </c>
      <c r="LA94" s="1008" t="s">
        <v>203</v>
      </c>
      <c r="LB94" s="1007">
        <v>-1.8266599999999986</v>
      </c>
      <c r="LC94" s="1008" t="s">
        <v>25</v>
      </c>
      <c r="LD94" s="1007">
        <v>5.0185079999999989</v>
      </c>
      <c r="LE94" s="1008">
        <v>0</v>
      </c>
      <c r="LF94" s="1007">
        <v>0</v>
      </c>
      <c r="LG94" s="1008">
        <v>0</v>
      </c>
      <c r="LH94" s="1007">
        <v>-1.1992</v>
      </c>
      <c r="LI94" s="1008">
        <v>0</v>
      </c>
      <c r="LJ94" s="1007">
        <v>0</v>
      </c>
      <c r="LK94" s="1008">
        <v>0</v>
      </c>
      <c r="LL94" s="1007">
        <v>0</v>
      </c>
      <c r="LM94" s="1008">
        <v>0</v>
      </c>
      <c r="LN94" s="1007">
        <v>0</v>
      </c>
      <c r="LO94" s="1008" t="s">
        <v>206</v>
      </c>
      <c r="LP94" s="1007">
        <v>-5.6847999999999992</v>
      </c>
      <c r="LQ94" s="1008">
        <v>0</v>
      </c>
      <c r="LR94" s="1007">
        <v>0</v>
      </c>
      <c r="LS94" s="1008">
        <v>0</v>
      </c>
      <c r="LT94" s="1007">
        <v>0.42912099999999997</v>
      </c>
      <c r="LU94" s="1008">
        <v>0</v>
      </c>
      <c r="LV94" s="1007">
        <v>0</v>
      </c>
      <c r="LW94" s="1008">
        <v>0</v>
      </c>
      <c r="LX94" s="1007">
        <v>0</v>
      </c>
      <c r="LY94" s="1009" t="s">
        <v>206</v>
      </c>
      <c r="LZ94" s="1010">
        <v>-5.5376221999999995</v>
      </c>
      <c r="MA94" s="1011" t="s">
        <v>223</v>
      </c>
      <c r="MB94" s="1012">
        <v>-3.4724346800000028</v>
      </c>
      <c r="MC94" s="995"/>
      <c r="MD94" s="996"/>
      <c r="ME94" s="997" t="s">
        <v>416</v>
      </c>
      <c r="MF94" s="997"/>
      <c r="MG94" s="998"/>
      <c r="NR94" s="1000"/>
      <c r="NS94" s="1000"/>
      <c r="NT94" s="1001"/>
      <c r="NU94" s="1000"/>
      <c r="NV94" s="1001"/>
      <c r="NX94" s="1002"/>
      <c r="NZ94" s="1001"/>
      <c r="OA94" s="1001"/>
      <c r="OC94" s="1003"/>
      <c r="OD94" s="1003"/>
      <c r="OE94" s="1001"/>
      <c r="OF94" s="1003"/>
      <c r="OG94" s="1003"/>
      <c r="QX94" s="1000">
        <f t="shared" si="51"/>
        <v>66</v>
      </c>
      <c r="ASU94" s="999" t="s">
        <v>208</v>
      </c>
    </row>
    <row r="95" spans="1:466 1191:1191" ht="21" customHeight="1" x14ac:dyDescent="0.25">
      <c r="A95" s="982" t="str">
        <f t="shared" si="59"/>
        <v>1010-1</v>
      </c>
      <c r="B95" s="124">
        <f>SUBTOTAL(103,$J$29:J95)</f>
        <v>67</v>
      </c>
      <c r="C95" s="126">
        <v>45068</v>
      </c>
      <c r="D95" s="124" t="s">
        <v>176</v>
      </c>
      <c r="E95" s="127" t="s">
        <v>177</v>
      </c>
      <c r="F95" s="128" t="s">
        <v>177</v>
      </c>
      <c r="G95" s="127" t="s">
        <v>178</v>
      </c>
      <c r="H95" s="127" t="s">
        <v>421</v>
      </c>
      <c r="I95" s="127" t="s">
        <v>567</v>
      </c>
      <c r="J95" s="129" t="s">
        <v>576</v>
      </c>
      <c r="K95" s="127" t="s">
        <v>571</v>
      </c>
      <c r="L95" s="130">
        <v>39535</v>
      </c>
      <c r="M95" s="127" t="s">
        <v>230</v>
      </c>
      <c r="N95" s="127" t="s">
        <v>231</v>
      </c>
      <c r="O95" s="127" t="s">
        <v>185</v>
      </c>
      <c r="P95" s="127" t="s">
        <v>186</v>
      </c>
      <c r="Q95" s="85" t="str">
        <f t="shared" si="85"/>
        <v/>
      </c>
      <c r="R95" s="130"/>
      <c r="S95" s="128" t="s">
        <v>156</v>
      </c>
      <c r="T95" s="131"/>
      <c r="U95" s="132">
        <v>203</v>
      </c>
      <c r="V95" s="121">
        <v>218.2</v>
      </c>
      <c r="W95" s="116">
        <v>0.98</v>
      </c>
      <c r="X95" s="116">
        <v>1.66</v>
      </c>
      <c r="Y95" s="116">
        <f t="shared" si="41"/>
        <v>0.98</v>
      </c>
      <c r="Z95" s="133">
        <v>1.454</v>
      </c>
      <c r="AA95" s="133">
        <v>0.83599999999999997</v>
      </c>
      <c r="AB95" s="133">
        <v>0.72</v>
      </c>
      <c r="AC95" s="121">
        <v>34.299999999999997</v>
      </c>
      <c r="AD95" s="134">
        <v>1.17</v>
      </c>
      <c r="AE95" s="124">
        <v>139.69999999999999</v>
      </c>
      <c r="AF95" s="128">
        <v>7.72</v>
      </c>
      <c r="AG95" s="128">
        <v>1928</v>
      </c>
      <c r="AH95" s="127">
        <v>2500</v>
      </c>
      <c r="AI95" s="127">
        <v>2500</v>
      </c>
      <c r="AJ95" s="135"/>
      <c r="AK95" s="128"/>
      <c r="AL95" s="131"/>
      <c r="AM95" s="124" t="s">
        <v>232</v>
      </c>
      <c r="AN95" s="136" t="s">
        <v>577</v>
      </c>
      <c r="AO95" s="137">
        <v>39.139999999999873</v>
      </c>
      <c r="AP95" s="128">
        <v>1928</v>
      </c>
      <c r="AQ95" s="128">
        <v>65.5</v>
      </c>
      <c r="AR95" s="128"/>
      <c r="AS95" s="128"/>
      <c r="AT95" s="122"/>
      <c r="AU95" s="124" t="s">
        <v>189</v>
      </c>
      <c r="AV95" s="115">
        <f>VLOOKUP(J95,'[63]ТР нефть'!$J$28:$BP$638,39,0)</f>
        <v>596.00001152300001</v>
      </c>
      <c r="AW95" s="115" t="str">
        <f>VLOOKUP(J95,'[63]ТР нефть'!$J$28:$BP$638,40,0)</f>
        <v>ГП</v>
      </c>
      <c r="AX95" s="115">
        <f>VLOOKUP(J95,'[63]ТР нефть'!$J$28:$BP$638,41,0)</f>
        <v>1195.000025977</v>
      </c>
      <c r="AY95" s="115" t="str">
        <f>VLOOKUP(J95,'[63]ТР нефть'!$J$28:$BP$638,42,0)</f>
        <v>ГК 89 5/32</v>
      </c>
      <c r="AZ95" s="115">
        <f>VLOOKUP(J95,'[63]ТР нефть'!$J$28:$BP$638,43,0)</f>
        <v>1750.999948828</v>
      </c>
      <c r="BA95" s="115" t="str">
        <f>VLOOKUP(J95,'[63]ТР нефть'!$J$28:$BP$638,44,0)</f>
        <v>ЦКсОК 5/16</v>
      </c>
      <c r="BB95" s="115" t="str">
        <f>VLOOKUP(J95,'[63]ТР нефть'!$J$28:$BP$638,45,0)</f>
        <v>-</v>
      </c>
      <c r="BC95" s="115" t="str">
        <f>VLOOKUP(J95,'[63]ТР нефть'!$J$28:$BP$638,46,0)</f>
        <v>-</v>
      </c>
      <c r="BD95" s="115" t="str">
        <f>VLOOKUP(J95,'[63]ТР нефть'!$J$28:$BP$638,47,0)</f>
        <v>-</v>
      </c>
      <c r="BE95" s="115" t="e">
        <f>VLOOKUP(J95,'[63]ТР нефть'!$J$28:$BP$638,48,0)</f>
        <v>#REF!</v>
      </c>
      <c r="BF95" s="115" t="str">
        <f>VLOOKUP(J95,'[63]ТР нефть'!$J$28:$BP$638,49,0)</f>
        <v>-</v>
      </c>
      <c r="BG95" s="115" t="str">
        <f>VLOOKUP(J95,'[63]ТР нефть'!$J$28:$BP$638,50,0)</f>
        <v>-</v>
      </c>
      <c r="BH95" s="115">
        <f>VLOOKUP(J95,'[63]ТР нефть'!$J$28:$BP$638,51,0)</f>
        <v>1761</v>
      </c>
      <c r="BI95" s="115" t="str">
        <f>VLOOKUP(J95,'[63]ТР нефть'!$J$28:$BP$638,52,0)</f>
        <v>закрыт</v>
      </c>
      <c r="BJ95" s="115" t="str">
        <f>IF(IFERROR(VLOOKUP(J95,'[63]ТР нефть'!$J$28:$BP$638,53,0),"-")=0,"-",IFERROR(VLOOKUP(J95,'[63]ТР нефть'!$J$28:$BP$638,53,0),"-"))</f>
        <v>-</v>
      </c>
      <c r="BK95" s="138" t="str">
        <f>IF(IFERROR(VLOOKUP(J95,'[63]ТР нефть'!$J$28:$BP$638,54,0),"-")=0,"-",IFERROR(VLOOKUP(J95,'[63]ТР нефть'!$J$28:$BP$638,54,0),"-"))</f>
        <v>-</v>
      </c>
      <c r="BL95" s="138" t="str">
        <f>IF(IFERROR(VLOOKUP(J95,'[63]ТР нефть'!$J$28:$BP$638,55,0),"-")=0,"-",IFERROR(VLOOKUP(J95,'[63]ТР нефть'!$J$28:$BP$638,55,0),"-"))</f>
        <v>-</v>
      </c>
      <c r="BM95" s="138" t="str">
        <f>IF(IFERROR(VLOOKUP(J95,'[63]ТР нефть'!$J$28:$BP$638,56,0),"-")=0,"-",IFERROR(VLOOKUP(J95,'[63]ТР нефть'!$J$28:$BP$638,56,0),"-"))</f>
        <v>-</v>
      </c>
      <c r="BN95" s="138" t="str">
        <f>IF(IFERROR(VLOOKUP(J95,'[63]ТР нефть'!$J$28:$BP$638,57,0),"-")=0,"-",IFERROR(VLOOKUP(J95,'[63]ТР нефть'!$J$28:$BP$638,57,0),"-"))</f>
        <v>-</v>
      </c>
      <c r="BO95" s="115" t="str">
        <f>IF(IFERROR(VLOOKUP(J95,'[63]ТР нефть'!$J$28:$BP$638,58,0),"-")=0,"-",IFERROR(VLOOKUP(J95,'[63]ТР нефть'!$J$28:$BP$638,58,0),"-"))</f>
        <v>-</v>
      </c>
      <c r="BP95" s="115" t="str">
        <f>IF(IFERROR(VLOOKUP(J95,'[63]ТР нефть'!$J$28:$BP$638,59,0),"-")=0,"-",IFERROR(VLOOKUP(J95,'[63]ТР нефть'!$J$28:$BP$638,59,0),"-"))</f>
        <v>-</v>
      </c>
      <c r="BQ95" s="138">
        <v>2419</v>
      </c>
      <c r="BR95" s="128">
        <v>1922.11</v>
      </c>
      <c r="BS95" s="115">
        <f t="shared" si="60"/>
        <v>496.8900000000001</v>
      </c>
      <c r="BT95" s="128">
        <v>73</v>
      </c>
      <c r="BU95" s="128">
        <v>5.5</v>
      </c>
      <c r="BV95" s="127">
        <v>65</v>
      </c>
      <c r="BW95" s="127" t="s">
        <v>217</v>
      </c>
      <c r="BX95" s="127" t="s">
        <v>195</v>
      </c>
      <c r="BY95" s="139">
        <v>24</v>
      </c>
      <c r="BZ95" s="139">
        <v>0</v>
      </c>
      <c r="CA95" s="115">
        <v>23</v>
      </c>
      <c r="CB95" s="115">
        <v>33</v>
      </c>
      <c r="CC95" s="115">
        <v>22</v>
      </c>
      <c r="CD95" s="135">
        <v>45017</v>
      </c>
      <c r="CE95" s="138">
        <v>91</v>
      </c>
      <c r="CF95" s="138">
        <v>72</v>
      </c>
      <c r="CG95" s="138" t="str">
        <f t="shared" si="52"/>
        <v>В работе</v>
      </c>
      <c r="CH95" s="138" t="s">
        <v>235</v>
      </c>
      <c r="CI95" s="127">
        <v>6</v>
      </c>
      <c r="CJ95" s="138"/>
      <c r="CK95" s="138"/>
      <c r="CL95" s="99"/>
      <c r="CM95" s="99"/>
      <c r="CN95" s="140">
        <v>37</v>
      </c>
      <c r="CO95" s="159">
        <f t="shared" si="61"/>
        <v>4.4307999999999996</v>
      </c>
      <c r="CP95" s="160">
        <v>5.3</v>
      </c>
      <c r="CQ95" s="161">
        <v>0</v>
      </c>
      <c r="CR95" s="115">
        <v>30.5</v>
      </c>
      <c r="CS95" s="115">
        <v>8.4</v>
      </c>
      <c r="CT95" s="138"/>
      <c r="CU95" s="138">
        <f t="shared" si="62"/>
        <v>22.1</v>
      </c>
      <c r="CV95" s="115">
        <f t="shared" si="63"/>
        <v>4987.8125846348294</v>
      </c>
      <c r="CW95" s="115">
        <f t="shared" si="64"/>
        <v>1895.8201679155009</v>
      </c>
      <c r="CX95" s="133">
        <f t="shared" si="65"/>
        <v>9.8148148148148151E-2</v>
      </c>
      <c r="CY95" s="116"/>
      <c r="CZ95" s="131"/>
      <c r="DA95" s="145" t="str">
        <f t="shared" si="66"/>
        <v>Газлифт</v>
      </c>
      <c r="DB95" s="146">
        <f t="shared" si="67"/>
        <v>4.4307999999999996</v>
      </c>
      <c r="DC95" s="142">
        <f t="shared" si="68"/>
        <v>5.3</v>
      </c>
      <c r="DD95" s="119">
        <f t="shared" si="69"/>
        <v>0</v>
      </c>
      <c r="DE95" s="115">
        <f t="shared" si="70"/>
        <v>22.1</v>
      </c>
      <c r="DF95" s="121">
        <f t="shared" si="71"/>
        <v>8.4</v>
      </c>
      <c r="DG95" s="115">
        <f t="shared" si="72"/>
        <v>4987.8125846348294</v>
      </c>
      <c r="DH95" s="115">
        <f t="shared" si="73"/>
        <v>37</v>
      </c>
      <c r="DI95" s="147"/>
      <c r="DJ95" s="111" t="s">
        <v>197</v>
      </c>
      <c r="DK95" s="112">
        <v>43222</v>
      </c>
      <c r="DL95" s="113">
        <f t="shared" ca="1" si="42"/>
        <v>1882</v>
      </c>
      <c r="DM95" s="114"/>
      <c r="DN95" s="114"/>
      <c r="DO95" s="114"/>
      <c r="DP95" s="114"/>
      <c r="DQ95" s="112">
        <v>42869</v>
      </c>
      <c r="DR95" s="114" t="s">
        <v>198</v>
      </c>
      <c r="DS95" s="114"/>
      <c r="DT95" s="115">
        <v>60</v>
      </c>
      <c r="DU95" s="116">
        <f t="shared" si="43"/>
        <v>0.17096774193548386</v>
      </c>
      <c r="DV95" s="117">
        <f t="shared" si="44"/>
        <v>4.4307999999999996</v>
      </c>
      <c r="DW95" s="118">
        <f t="shared" si="45"/>
        <v>5.3</v>
      </c>
      <c r="DX95" s="119">
        <f t="shared" si="74"/>
        <v>0</v>
      </c>
      <c r="DY95" s="115">
        <f t="shared" si="46"/>
        <v>22.1</v>
      </c>
      <c r="DZ95" s="117">
        <f t="shared" si="47"/>
        <v>0</v>
      </c>
      <c r="EA95" s="120">
        <f t="shared" si="47"/>
        <v>0</v>
      </c>
      <c r="EB95" s="119">
        <f t="shared" si="47"/>
        <v>0</v>
      </c>
      <c r="EC95" s="121">
        <f t="shared" si="48"/>
        <v>0</v>
      </c>
      <c r="ED95" s="122"/>
      <c r="EE95" s="145">
        <v>65</v>
      </c>
      <c r="EF95" s="115">
        <v>24</v>
      </c>
      <c r="EG95" s="115">
        <v>36</v>
      </c>
      <c r="EH95" s="115">
        <v>23</v>
      </c>
      <c r="EI95" s="128" t="s">
        <v>195</v>
      </c>
      <c r="EJ95" s="121">
        <v>24</v>
      </c>
      <c r="EK95" s="121">
        <v>0</v>
      </c>
      <c r="EL95" s="162">
        <v>4.4692559999999997</v>
      </c>
      <c r="EM95" s="142">
        <v>5.4</v>
      </c>
      <c r="EN95" s="119">
        <v>1</v>
      </c>
      <c r="EO95" s="115">
        <v>27</v>
      </c>
      <c r="EP95" s="115">
        <v>4175.3182269567578</v>
      </c>
      <c r="EQ95" s="115">
        <v>74</v>
      </c>
      <c r="ER95" s="115">
        <v>9</v>
      </c>
      <c r="ES95" s="115">
        <v>38</v>
      </c>
      <c r="ET95" s="150">
        <v>0.14210526315789473</v>
      </c>
      <c r="EU95" s="145">
        <f t="shared" si="75"/>
        <v>65</v>
      </c>
      <c r="EV95" s="115">
        <f t="shared" si="76"/>
        <v>23</v>
      </c>
      <c r="EW95" s="115">
        <f t="shared" si="76"/>
        <v>33</v>
      </c>
      <c r="EX95" s="115">
        <f t="shared" si="76"/>
        <v>22</v>
      </c>
      <c r="EY95" s="115" t="str">
        <f t="shared" si="77"/>
        <v>Постоянный</v>
      </c>
      <c r="EZ95" s="115">
        <f t="shared" si="77"/>
        <v>24</v>
      </c>
      <c r="FA95" s="115">
        <f t="shared" si="77"/>
        <v>0</v>
      </c>
      <c r="FB95" s="149">
        <f t="shared" si="78"/>
        <v>4.4307999999999996</v>
      </c>
      <c r="FC95" s="142">
        <f t="shared" si="78"/>
        <v>5.3</v>
      </c>
      <c r="FD95" s="119">
        <f t="shared" si="78"/>
        <v>0</v>
      </c>
      <c r="FE95" s="121">
        <f t="shared" si="78"/>
        <v>30.5</v>
      </c>
      <c r="FF95" s="121">
        <f t="shared" si="49"/>
        <v>4987.8125846348294</v>
      </c>
      <c r="FG95" s="121">
        <f t="shared" si="79"/>
        <v>72</v>
      </c>
      <c r="FH95" s="121">
        <f t="shared" si="50"/>
        <v>8.4</v>
      </c>
      <c r="FI95" s="121">
        <f t="shared" si="54"/>
        <v>37</v>
      </c>
      <c r="FJ95" s="144">
        <f t="shared" si="80"/>
        <v>9.8148148148148151E-2</v>
      </c>
      <c r="FK95" s="132">
        <f t="shared" si="81"/>
        <v>0</v>
      </c>
      <c r="FL95" s="115">
        <f t="shared" si="81"/>
        <v>-1</v>
      </c>
      <c r="FM95" s="115">
        <f t="shared" si="81"/>
        <v>-3</v>
      </c>
      <c r="FN95" s="115">
        <f t="shared" si="58"/>
        <v>-1</v>
      </c>
      <c r="FO95" s="115">
        <f t="shared" si="57"/>
        <v>0</v>
      </c>
      <c r="FP95" s="115">
        <f t="shared" si="56"/>
        <v>0</v>
      </c>
      <c r="FQ95" s="149">
        <f t="shared" si="56"/>
        <v>-3.8456000000000046E-2</v>
      </c>
      <c r="FR95" s="142">
        <f t="shared" si="56"/>
        <v>-0.10000000000000053</v>
      </c>
      <c r="FS95" s="119">
        <f t="shared" si="56"/>
        <v>-1</v>
      </c>
      <c r="FT95" s="121">
        <f t="shared" si="56"/>
        <v>3.5</v>
      </c>
      <c r="FU95" s="121">
        <f t="shared" si="82"/>
        <v>-2</v>
      </c>
      <c r="FV95" s="121">
        <f t="shared" si="82"/>
        <v>-0.59999999999999964</v>
      </c>
      <c r="FW95" s="121">
        <f t="shared" si="83"/>
        <v>812.49435767807154</v>
      </c>
      <c r="FX95" s="121">
        <f t="shared" si="84"/>
        <v>-1</v>
      </c>
      <c r="FY95" s="144">
        <f t="shared" si="84"/>
        <v>-4.3957115009746583E-2</v>
      </c>
      <c r="FZ95" s="145"/>
      <c r="GA95" s="151"/>
      <c r="GB95" s="145"/>
      <c r="GC95" s="151"/>
      <c r="GD95" s="997" t="s">
        <v>416</v>
      </c>
      <c r="GE95" s="1004"/>
      <c r="GF95" s="1004">
        <v>0</v>
      </c>
      <c r="GG95" s="1004"/>
      <c r="GH95" s="1004">
        <v>0</v>
      </c>
      <c r="GI95" s="145"/>
      <c r="GJ95" s="996">
        <v>0</v>
      </c>
      <c r="GK95" s="145"/>
      <c r="GL95" s="996">
        <v>0</v>
      </c>
      <c r="GM95" s="1005"/>
      <c r="GN95" s="996">
        <v>0</v>
      </c>
      <c r="GO95" s="1006"/>
      <c r="GP95" s="996">
        <v>0</v>
      </c>
      <c r="GQ95" s="1006"/>
      <c r="GR95" s="996">
        <v>0</v>
      </c>
      <c r="GS95" s="1006"/>
      <c r="GT95" s="996">
        <v>0</v>
      </c>
      <c r="GU95" s="1006"/>
      <c r="GV95" s="996">
        <v>0</v>
      </c>
      <c r="GW95" s="1006"/>
      <c r="GX95" s="996">
        <v>0</v>
      </c>
      <c r="GY95" s="1006"/>
      <c r="GZ95" s="996">
        <v>0.28925599999999996</v>
      </c>
      <c r="HA95" s="1006" t="s">
        <v>308</v>
      </c>
      <c r="HB95" s="996">
        <v>1.7004407199999996</v>
      </c>
      <c r="HC95" s="1006" t="s">
        <v>199</v>
      </c>
      <c r="HD95" s="996">
        <v>-2.5080000000000018</v>
      </c>
      <c r="HE95" s="1006" t="s">
        <v>223</v>
      </c>
      <c r="HF95" s="996">
        <v>-1.0122053919999985</v>
      </c>
      <c r="HG95" s="1006" t="s">
        <v>204</v>
      </c>
      <c r="HH95" s="996">
        <v>0</v>
      </c>
      <c r="HI95" s="1006" t="s">
        <v>223</v>
      </c>
      <c r="HJ95" s="996">
        <v>-2.6084353679999985</v>
      </c>
      <c r="HK95" s="1006"/>
      <c r="HL95" s="996">
        <v>0</v>
      </c>
      <c r="HM95" s="1006"/>
      <c r="HN95" s="996">
        <v>0.74886371999999923</v>
      </c>
      <c r="HO95" s="1006" t="s">
        <v>199</v>
      </c>
      <c r="HP95" s="996">
        <v>3.0311587679999992</v>
      </c>
      <c r="HQ95" s="1006" t="s">
        <v>199</v>
      </c>
      <c r="HR95" s="996">
        <v>-2.5895501280000008</v>
      </c>
      <c r="HS95" s="1006" t="s">
        <v>199</v>
      </c>
      <c r="HT95" s="996">
        <v>2.6809684000000011</v>
      </c>
      <c r="HU95" s="1006" t="s">
        <v>206</v>
      </c>
      <c r="HV95" s="996">
        <v>-3.9124800000000004</v>
      </c>
      <c r="HW95" s="1006" t="s">
        <v>206</v>
      </c>
      <c r="HX95" s="996">
        <v>7.3986000000000001</v>
      </c>
      <c r="HY95" s="1006"/>
      <c r="HZ95" s="996">
        <v>0</v>
      </c>
      <c r="IA95" s="1006"/>
      <c r="IB95" s="996">
        <v>0</v>
      </c>
      <c r="IC95" s="1006"/>
      <c r="ID95" s="996">
        <v>0</v>
      </c>
      <c r="IE95" s="1006"/>
      <c r="IF95" s="996">
        <v>0</v>
      </c>
      <c r="IG95" s="1006"/>
      <c r="IH95" s="996">
        <v>0</v>
      </c>
      <c r="II95" s="1006"/>
      <c r="IJ95" s="996">
        <v>0</v>
      </c>
      <c r="IK95" s="1006"/>
      <c r="IL95" s="996">
        <v>0</v>
      </c>
      <c r="IM95" s="1006"/>
      <c r="IN95" s="996">
        <v>0</v>
      </c>
      <c r="IO95" s="1006"/>
      <c r="IP95" s="996">
        <v>0</v>
      </c>
      <c r="IQ95" s="1006"/>
      <c r="IR95" s="996">
        <v>0</v>
      </c>
      <c r="IS95" s="1006"/>
      <c r="IT95" s="996">
        <v>-0.34276000000000018</v>
      </c>
      <c r="IU95" s="1006" t="s">
        <v>204</v>
      </c>
      <c r="IV95" s="996">
        <v>-1.3041599999999995</v>
      </c>
      <c r="IW95" s="1006"/>
      <c r="IX95" s="996">
        <v>0</v>
      </c>
      <c r="IY95" s="1006"/>
      <c r="IZ95" s="996">
        <v>0</v>
      </c>
      <c r="JA95" s="1006"/>
      <c r="JB95" s="996">
        <v>0</v>
      </c>
      <c r="JC95" s="1006"/>
      <c r="JD95" s="996">
        <v>0</v>
      </c>
      <c r="JE95" s="1006"/>
      <c r="JF95" s="996">
        <v>0</v>
      </c>
      <c r="JG95" s="1006"/>
      <c r="JH95" s="996">
        <v>0</v>
      </c>
      <c r="JI95" s="1006"/>
      <c r="JJ95" s="996">
        <v>0</v>
      </c>
      <c r="JK95" s="1007"/>
      <c r="JL95" s="1007">
        <v>0</v>
      </c>
      <c r="JM95" s="1007"/>
      <c r="JN95" s="1007">
        <v>0</v>
      </c>
      <c r="JO95" s="1008" t="s">
        <v>204</v>
      </c>
      <c r="JP95" s="1007">
        <v>-1.9211279999999995</v>
      </c>
      <c r="JQ95" s="1008" t="s">
        <v>204</v>
      </c>
      <c r="JR95" s="1007">
        <v>4.4291279999999986</v>
      </c>
      <c r="JS95" s="1008">
        <v>0</v>
      </c>
      <c r="JT95" s="1007">
        <v>0</v>
      </c>
      <c r="JU95" s="1008" t="s">
        <v>204</v>
      </c>
      <c r="JV95" s="1007">
        <v>-2.8431356799999987</v>
      </c>
      <c r="JW95" s="1008" t="s">
        <v>197</v>
      </c>
      <c r="JX95" s="1007">
        <v>0</v>
      </c>
      <c r="JY95" s="1008" t="s">
        <v>204</v>
      </c>
      <c r="JZ95" s="1007">
        <v>1.7061756799999994</v>
      </c>
      <c r="KA95" s="1008"/>
      <c r="KB95" s="1007">
        <v>3.2524579999999581E-2</v>
      </c>
      <c r="KC95" s="1008"/>
      <c r="KD95" s="1007">
        <v>0</v>
      </c>
      <c r="KE95" s="1008"/>
      <c r="KF95" s="1007">
        <v>0</v>
      </c>
      <c r="KG95" s="1008"/>
      <c r="KH95" s="1007">
        <v>0</v>
      </c>
      <c r="KI95" s="1008" t="s">
        <v>206</v>
      </c>
      <c r="KJ95" s="1007">
        <v>-0.4909217719999992</v>
      </c>
      <c r="KK95" s="1008"/>
      <c r="KL95" s="1007">
        <v>0</v>
      </c>
      <c r="KM95" s="1008"/>
      <c r="KN95" s="1007">
        <v>-5.2087632079999997</v>
      </c>
      <c r="KO95" s="1008" t="s">
        <v>206</v>
      </c>
      <c r="KP95" s="1007">
        <v>2.5960608959999991</v>
      </c>
      <c r="KQ95" s="1008">
        <v>0</v>
      </c>
      <c r="KR95" s="1007">
        <v>0</v>
      </c>
      <c r="KS95" s="1008" t="s">
        <v>221</v>
      </c>
      <c r="KT95" s="1007">
        <v>-5.0922732959999983</v>
      </c>
      <c r="KU95" s="1008" t="s">
        <v>476</v>
      </c>
      <c r="KV95" s="1007">
        <v>13.313132799999998</v>
      </c>
      <c r="KW95" s="1008">
        <v>0</v>
      </c>
      <c r="KX95" s="1007">
        <v>0</v>
      </c>
      <c r="KY95" s="1008">
        <v>0</v>
      </c>
      <c r="KZ95" s="1007">
        <v>0</v>
      </c>
      <c r="LA95" s="1008">
        <v>0</v>
      </c>
      <c r="LB95" s="1007">
        <v>0</v>
      </c>
      <c r="LC95" s="1008">
        <v>0</v>
      </c>
      <c r="LD95" s="1007">
        <v>0</v>
      </c>
      <c r="LE95" s="1008">
        <v>0</v>
      </c>
      <c r="LF95" s="1007">
        <v>0</v>
      </c>
      <c r="LG95" s="1008" t="s">
        <v>204</v>
      </c>
      <c r="LH95" s="1007">
        <v>-2.6842647999999998</v>
      </c>
      <c r="LI95" s="1008">
        <v>0</v>
      </c>
      <c r="LJ95" s="1007">
        <v>0</v>
      </c>
      <c r="LK95" s="1008">
        <v>0</v>
      </c>
      <c r="LL95" s="1007">
        <v>0</v>
      </c>
      <c r="LM95" s="1008">
        <v>0</v>
      </c>
      <c r="LN95" s="1007">
        <v>0</v>
      </c>
      <c r="LO95" s="1008">
        <v>0</v>
      </c>
      <c r="LP95" s="1007">
        <v>0</v>
      </c>
      <c r="LQ95" s="1008">
        <v>0</v>
      </c>
      <c r="LR95" s="1007">
        <v>0</v>
      </c>
      <c r="LS95" s="1008">
        <v>0</v>
      </c>
      <c r="LT95" s="1007">
        <v>5.6455972000000001</v>
      </c>
      <c r="LU95" s="1008">
        <v>0</v>
      </c>
      <c r="LV95" s="1007">
        <v>4.977633452000001</v>
      </c>
      <c r="LW95" s="1008">
        <v>0</v>
      </c>
      <c r="LX95" s="1007">
        <v>0</v>
      </c>
      <c r="LY95" s="1009" t="s">
        <v>206</v>
      </c>
      <c r="LZ95" s="1010">
        <v>-2.1389221200000001</v>
      </c>
      <c r="MA95" s="1011">
        <v>0</v>
      </c>
      <c r="MB95" s="1012">
        <v>0.34585821620000001</v>
      </c>
      <c r="MC95" s="995"/>
      <c r="MD95" s="996"/>
      <c r="ME95" s="997" t="s">
        <v>416</v>
      </c>
      <c r="MF95" s="997"/>
      <c r="MG95" s="998"/>
      <c r="NR95" s="1000"/>
      <c r="NS95" s="1000"/>
      <c r="NT95" s="1001"/>
      <c r="NU95" s="1000"/>
      <c r="NV95" s="1001"/>
      <c r="NX95" s="1002"/>
      <c r="NZ95" s="1001"/>
      <c r="OA95" s="1001"/>
      <c r="OC95" s="1003"/>
      <c r="OD95" s="1003"/>
      <c r="OE95" s="1001"/>
      <c r="OF95" s="1003"/>
      <c r="OG95" s="1003"/>
      <c r="QX95" s="1000">
        <f t="shared" si="51"/>
        <v>14</v>
      </c>
      <c r="ASU95" s="999" t="s">
        <v>208</v>
      </c>
    </row>
    <row r="96" spans="1:466 1191:1191" ht="21" customHeight="1" x14ac:dyDescent="0.25">
      <c r="A96" s="982" t="str">
        <f t="shared" si="59"/>
        <v>1012-2</v>
      </c>
      <c r="B96" s="145">
        <f>SUBTOTAL(103,$J$29:J96)</f>
        <v>68</v>
      </c>
      <c r="C96" s="126">
        <v>45068</v>
      </c>
      <c r="D96" s="145" t="s">
        <v>176</v>
      </c>
      <c r="E96" s="128" t="s">
        <v>177</v>
      </c>
      <c r="F96" s="128" t="s">
        <v>177</v>
      </c>
      <c r="G96" s="128" t="s">
        <v>178</v>
      </c>
      <c r="H96" s="128" t="s">
        <v>408</v>
      </c>
      <c r="I96" s="128" t="s">
        <v>538</v>
      </c>
      <c r="J96" s="129" t="s">
        <v>578</v>
      </c>
      <c r="K96" s="127" t="s">
        <v>579</v>
      </c>
      <c r="L96" s="135">
        <v>40057</v>
      </c>
      <c r="M96" s="128" t="s">
        <v>230</v>
      </c>
      <c r="N96" s="128" t="s">
        <v>231</v>
      </c>
      <c r="O96" s="127" t="s">
        <v>185</v>
      </c>
      <c r="P96" s="127" t="s">
        <v>292</v>
      </c>
      <c r="Q96" s="85" t="str">
        <f t="shared" si="85"/>
        <v/>
      </c>
      <c r="R96" s="130"/>
      <c r="S96" s="128"/>
      <c r="T96" s="131"/>
      <c r="U96" s="132">
        <v>203</v>
      </c>
      <c r="V96" s="121">
        <v>218.2</v>
      </c>
      <c r="W96" s="116">
        <v>0.98</v>
      </c>
      <c r="X96" s="116">
        <v>1.66</v>
      </c>
      <c r="Y96" s="116">
        <f t="shared" si="41"/>
        <v>1.0132037867463877</v>
      </c>
      <c r="Z96" s="133">
        <v>1.454</v>
      </c>
      <c r="AA96" s="133">
        <v>0.83599999999999997</v>
      </c>
      <c r="AB96" s="133">
        <v>0.72</v>
      </c>
      <c r="AC96" s="121">
        <v>34.299999999999997</v>
      </c>
      <c r="AD96" s="134">
        <v>1.17</v>
      </c>
      <c r="AE96" s="145">
        <v>139.69999999999999</v>
      </c>
      <c r="AF96" s="128">
        <v>7.72</v>
      </c>
      <c r="AG96" s="128">
        <v>1922</v>
      </c>
      <c r="AH96" s="128">
        <v>2500</v>
      </c>
      <c r="AI96" s="128">
        <v>2500</v>
      </c>
      <c r="AJ96" s="135"/>
      <c r="AK96" s="128"/>
      <c r="AL96" s="131"/>
      <c r="AM96" s="145" t="s">
        <v>232</v>
      </c>
      <c r="AN96" s="131" t="s">
        <v>580</v>
      </c>
      <c r="AO96" s="137">
        <v>9.16</v>
      </c>
      <c r="AP96" s="128">
        <v>1922</v>
      </c>
      <c r="AQ96" s="128">
        <v>65.91</v>
      </c>
      <c r="AR96" s="128"/>
      <c r="AS96" s="128"/>
      <c r="AT96" s="122"/>
      <c r="AU96" s="145" t="s">
        <v>250</v>
      </c>
      <c r="AV96" s="115">
        <f>VLOOKUP(J96,'[63]ТР нефть'!$J$28:$BP$638,39,0)</f>
        <v>527</v>
      </c>
      <c r="AW96" s="115" t="str">
        <f>VLOOKUP(J96,'[63]ТР нефть'!$J$28:$BP$638,40,0)</f>
        <v>ГП</v>
      </c>
      <c r="AX96" s="115">
        <f>VLOOKUP(J96,'[63]ТР нефть'!$J$28:$BP$638,41,0)</f>
        <v>987</v>
      </c>
      <c r="AY96" s="115" t="str">
        <f>VLOOKUP(J96,'[63]ТР нефть'!$J$28:$BP$638,42,0)</f>
        <v>ГП</v>
      </c>
      <c r="AZ96" s="115">
        <f>VLOOKUP(J96,'[63]ТР нефть'!$J$28:$BP$638,43,0)</f>
        <v>1381</v>
      </c>
      <c r="BA96" s="115" t="str">
        <f>VLOOKUP(J96,'[63]ТР нефть'!$J$28:$BP$638,44,0)</f>
        <v>ГК 90 5/32</v>
      </c>
      <c r="BB96" s="115">
        <f>VLOOKUP(J96,'[63]ТР нефть'!$J$28:$BP$638,45,0)</f>
        <v>1647</v>
      </c>
      <c r="BC96" s="115" t="str">
        <f>VLOOKUP(J96,'[63]ТР нефть'!$J$28:$BP$638,46,0)</f>
        <v>ЦКсОК 5/16</v>
      </c>
      <c r="BD96" s="115" t="str">
        <f>VLOOKUP(J96,'[63]ТР нефть'!$J$28:$BP$638,47,0)</f>
        <v>-</v>
      </c>
      <c r="BE96" s="115" t="str">
        <f>VLOOKUP(J96,'[63]ТР нефть'!$J$28:$BP$638,48,0)</f>
        <v>-</v>
      </c>
      <c r="BF96" s="115" t="str">
        <f>VLOOKUP(J96,'[63]ТР нефть'!$J$28:$BP$638,49,0)</f>
        <v>-</v>
      </c>
      <c r="BG96" s="115" t="str">
        <f>VLOOKUP(J96,'[63]ТР нефть'!$J$28:$BP$638,50,0)</f>
        <v>-</v>
      </c>
      <c r="BH96" s="115" t="str">
        <f>VLOOKUP(J96,'[63]ТР нефть'!$J$28:$BP$638,51,0)</f>
        <v>-</v>
      </c>
      <c r="BI96" s="115" t="str">
        <f>VLOOKUP(J96,'[63]ТР нефть'!$J$28:$BP$638,52,0)</f>
        <v>-</v>
      </c>
      <c r="BJ96" s="115" t="str">
        <f>IF(IFERROR(VLOOKUP(J96,'[63]ТР нефть'!$J$28:$BP$638,53,0),"-")=0,"-",IFERROR(VLOOKUP(J96,'[63]ТР нефть'!$J$28:$BP$638,53,0),"-"))</f>
        <v>-</v>
      </c>
      <c r="BK96" s="115" t="str">
        <f>IF(IFERROR(VLOOKUP(J96,'[63]ТР нефть'!$J$28:$BP$638,54,0),"-")=0,"-",IFERROR(VLOOKUP(J96,'[63]ТР нефть'!$J$28:$BP$638,54,0),"-"))</f>
        <v>-</v>
      </c>
      <c r="BL96" s="115" t="str">
        <f>IF(IFERROR(VLOOKUP(J96,'[63]ТР нефть'!$J$28:$BP$638,55,0),"-")=0,"-",IFERROR(VLOOKUP(J96,'[63]ТР нефть'!$J$28:$BP$638,55,0),"-"))</f>
        <v>-</v>
      </c>
      <c r="BM96" s="115" t="str">
        <f>IF(IFERROR(VLOOKUP(J96,'[63]ТР нефть'!$J$28:$BP$638,56,0),"-")=0,"-",IFERROR(VLOOKUP(J96,'[63]ТР нефть'!$J$28:$BP$638,56,0),"-"))</f>
        <v>-</v>
      </c>
      <c r="BN96" s="115" t="str">
        <f>IF(IFERROR(VLOOKUP(J96,'[63]ТР нефть'!$J$28:$BP$638,57,0),"-")=0,"-",IFERROR(VLOOKUP(J96,'[63]ТР нефть'!$J$28:$BP$638,57,0),"-"))</f>
        <v>-</v>
      </c>
      <c r="BO96" s="115" t="str">
        <f>IF(IFERROR(VLOOKUP(J96,'[63]ТР нефть'!$J$28:$BP$638,58,0),"-")=0,"-",IFERROR(VLOOKUP(J96,'[63]ТР нефть'!$J$28:$BP$638,58,0),"-"))</f>
        <v>-</v>
      </c>
      <c r="BP96" s="115" t="str">
        <f>IF(IFERROR(VLOOKUP(J96,'[63]ТР нефть'!$J$28:$BP$638,59,0),"-")=0,"-",IFERROR(VLOOKUP(J96,'[63]ТР нефть'!$J$28:$BP$638,59,0),"-"))</f>
        <v>-</v>
      </c>
      <c r="BQ96" s="115">
        <v>1934</v>
      </c>
      <c r="BR96" s="128">
        <v>1866.9</v>
      </c>
      <c r="BS96" s="115">
        <f t="shared" si="60"/>
        <v>67.099999999999909</v>
      </c>
      <c r="BT96" s="128">
        <v>73</v>
      </c>
      <c r="BU96" s="128">
        <v>5.5</v>
      </c>
      <c r="BV96" s="128">
        <v>18</v>
      </c>
      <c r="BW96" s="128" t="s">
        <v>217</v>
      </c>
      <c r="BX96" s="127" t="s">
        <v>195</v>
      </c>
      <c r="BY96" s="121">
        <v>24</v>
      </c>
      <c r="BZ96" s="121">
        <v>0</v>
      </c>
      <c r="CA96" s="115">
        <v>50</v>
      </c>
      <c r="CB96" s="115">
        <v>43</v>
      </c>
      <c r="CC96" s="115">
        <v>48</v>
      </c>
      <c r="CD96" s="135">
        <v>45017</v>
      </c>
      <c r="CE96" s="115">
        <v>80</v>
      </c>
      <c r="CF96" s="115"/>
      <c r="CG96" s="115" t="str">
        <f t="shared" si="52"/>
        <v/>
      </c>
      <c r="CH96" s="115" t="s">
        <v>197</v>
      </c>
      <c r="CI96" s="115"/>
      <c r="CJ96" s="121"/>
      <c r="CK96" s="121"/>
      <c r="CL96" s="99"/>
      <c r="CM96" s="121"/>
      <c r="CN96" s="150">
        <v>61</v>
      </c>
      <c r="CO96" s="159">
        <f t="shared" si="61"/>
        <v>1.461328</v>
      </c>
      <c r="CP96" s="160">
        <v>1.9</v>
      </c>
      <c r="CQ96" s="161">
        <v>8</v>
      </c>
      <c r="CR96" s="138">
        <v>89</v>
      </c>
      <c r="CS96" s="139"/>
      <c r="CT96" s="138"/>
      <c r="CU96" s="138">
        <f t="shared" si="62"/>
        <v>89</v>
      </c>
      <c r="CV96" s="115">
        <f t="shared" si="63"/>
        <v>60903.506947105649</v>
      </c>
      <c r="CW96" s="115" t="str">
        <f t="shared" si="64"/>
        <v/>
      </c>
      <c r="CX96" s="133">
        <f t="shared" si="65"/>
        <v>9.9999999999999992E-2</v>
      </c>
      <c r="CY96" s="116"/>
      <c r="CZ96" s="131"/>
      <c r="DA96" s="145" t="str">
        <f t="shared" si="66"/>
        <v>Фон.</v>
      </c>
      <c r="DB96" s="146">
        <f t="shared" si="67"/>
        <v>1.461328</v>
      </c>
      <c r="DC96" s="142">
        <f t="shared" si="68"/>
        <v>1.9</v>
      </c>
      <c r="DD96" s="119">
        <f t="shared" si="69"/>
        <v>8</v>
      </c>
      <c r="DE96" s="115">
        <f t="shared" si="70"/>
        <v>89</v>
      </c>
      <c r="DF96" s="121">
        <f t="shared" si="71"/>
        <v>0</v>
      </c>
      <c r="DG96" s="115">
        <f t="shared" si="72"/>
        <v>60903.506947105649</v>
      </c>
      <c r="DH96" s="115">
        <f t="shared" si="73"/>
        <v>61</v>
      </c>
      <c r="DI96" s="147"/>
      <c r="DJ96" s="111" t="s">
        <v>197</v>
      </c>
      <c r="DK96" s="112">
        <v>40057</v>
      </c>
      <c r="DL96" s="113">
        <f t="shared" ca="1" si="42"/>
        <v>5047</v>
      </c>
      <c r="DM96" s="114"/>
      <c r="DN96" s="114"/>
      <c r="DO96" s="114"/>
      <c r="DP96" s="114"/>
      <c r="DQ96" s="112">
        <v>40884</v>
      </c>
      <c r="DR96" s="114" t="s">
        <v>198</v>
      </c>
      <c r="DS96" s="114">
        <v>0</v>
      </c>
      <c r="DT96" s="115">
        <v>60</v>
      </c>
      <c r="DU96" s="116">
        <f t="shared" si="43"/>
        <v>9.9378881987577605E-2</v>
      </c>
      <c r="DV96" s="117">
        <f t="shared" si="44"/>
        <v>1.5286857142857138</v>
      </c>
      <c r="DW96" s="118">
        <f t="shared" si="45"/>
        <v>1.9875776397515521</v>
      </c>
      <c r="DX96" s="119">
        <f t="shared" si="74"/>
        <v>8</v>
      </c>
      <c r="DY96" s="115">
        <f t="shared" si="46"/>
        <v>93.10232101994113</v>
      </c>
      <c r="DZ96" s="117">
        <f t="shared" si="47"/>
        <v>6.7357714285713799E-2</v>
      </c>
      <c r="EA96" s="120">
        <f t="shared" si="47"/>
        <v>8.7577639751552194E-2</v>
      </c>
      <c r="EB96" s="119">
        <f t="shared" si="47"/>
        <v>0</v>
      </c>
      <c r="EC96" s="121">
        <f t="shared" si="48"/>
        <v>4.1023210199411295</v>
      </c>
      <c r="ED96" s="122"/>
      <c r="EE96" s="145">
        <v>18</v>
      </c>
      <c r="EF96" s="115">
        <v>50</v>
      </c>
      <c r="EG96" s="115">
        <v>43</v>
      </c>
      <c r="EH96" s="115">
        <v>48</v>
      </c>
      <c r="EI96" s="128" t="s">
        <v>195</v>
      </c>
      <c r="EJ96" s="121">
        <v>24</v>
      </c>
      <c r="EK96" s="121">
        <v>0</v>
      </c>
      <c r="EL96" s="162">
        <v>1.461328</v>
      </c>
      <c r="EM96" s="142">
        <v>1.9</v>
      </c>
      <c r="EN96" s="119">
        <v>8</v>
      </c>
      <c r="EO96" s="115">
        <v>89</v>
      </c>
      <c r="EP96" s="115">
        <v>60903.506947105649</v>
      </c>
      <c r="EQ96" s="115">
        <v>0</v>
      </c>
      <c r="ER96" s="115">
        <v>0</v>
      </c>
      <c r="ES96" s="115">
        <v>61</v>
      </c>
      <c r="ET96" s="150">
        <v>9.9999999999999992E-2</v>
      </c>
      <c r="EU96" s="145">
        <f t="shared" si="75"/>
        <v>18</v>
      </c>
      <c r="EV96" s="115">
        <f t="shared" si="76"/>
        <v>50</v>
      </c>
      <c r="EW96" s="115">
        <f t="shared" si="76"/>
        <v>43</v>
      </c>
      <c r="EX96" s="115">
        <f t="shared" si="76"/>
        <v>48</v>
      </c>
      <c r="EY96" s="115" t="str">
        <f t="shared" si="77"/>
        <v>Постоянный</v>
      </c>
      <c r="EZ96" s="115">
        <f t="shared" si="77"/>
        <v>24</v>
      </c>
      <c r="FA96" s="115">
        <f t="shared" si="77"/>
        <v>0</v>
      </c>
      <c r="FB96" s="149">
        <f t="shared" si="78"/>
        <v>1.461328</v>
      </c>
      <c r="FC96" s="142">
        <f t="shared" si="78"/>
        <v>1.9</v>
      </c>
      <c r="FD96" s="119">
        <f t="shared" si="78"/>
        <v>8</v>
      </c>
      <c r="FE96" s="121">
        <f t="shared" si="78"/>
        <v>89</v>
      </c>
      <c r="FF96" s="121">
        <f t="shared" si="49"/>
        <v>60903.506947105649</v>
      </c>
      <c r="FG96" s="121">
        <f t="shared" si="79"/>
        <v>0</v>
      </c>
      <c r="FH96" s="121">
        <f t="shared" si="50"/>
        <v>0</v>
      </c>
      <c r="FI96" s="121">
        <f t="shared" si="54"/>
        <v>61</v>
      </c>
      <c r="FJ96" s="144">
        <f t="shared" si="80"/>
        <v>9.9999999999999992E-2</v>
      </c>
      <c r="FK96" s="132">
        <f t="shared" si="81"/>
        <v>0</v>
      </c>
      <c r="FL96" s="115">
        <f t="shared" si="81"/>
        <v>0</v>
      </c>
      <c r="FM96" s="115">
        <f t="shared" si="81"/>
        <v>0</v>
      </c>
      <c r="FN96" s="115">
        <f t="shared" si="58"/>
        <v>0</v>
      </c>
      <c r="FO96" s="115">
        <f t="shared" si="57"/>
        <v>0</v>
      </c>
      <c r="FP96" s="115">
        <f t="shared" si="56"/>
        <v>0</v>
      </c>
      <c r="FQ96" s="149">
        <f t="shared" si="56"/>
        <v>0</v>
      </c>
      <c r="FR96" s="142">
        <f t="shared" si="56"/>
        <v>0</v>
      </c>
      <c r="FS96" s="119">
        <f t="shared" si="56"/>
        <v>0</v>
      </c>
      <c r="FT96" s="121">
        <f t="shared" si="56"/>
        <v>0</v>
      </c>
      <c r="FU96" s="121">
        <f t="shared" si="82"/>
        <v>0</v>
      </c>
      <c r="FV96" s="121">
        <f t="shared" si="82"/>
        <v>0</v>
      </c>
      <c r="FW96" s="121">
        <f t="shared" si="83"/>
        <v>0</v>
      </c>
      <c r="FX96" s="121">
        <f t="shared" si="84"/>
        <v>0</v>
      </c>
      <c r="FY96" s="144">
        <f t="shared" si="84"/>
        <v>0</v>
      </c>
      <c r="FZ96" s="145"/>
      <c r="GA96" s="163" t="s">
        <v>427</v>
      </c>
      <c r="GB96" s="145"/>
      <c r="GC96" s="163" t="s">
        <v>581</v>
      </c>
      <c r="GD96" s="997" t="s">
        <v>416</v>
      </c>
      <c r="GE96" s="1004"/>
      <c r="GF96" s="1004">
        <v>0</v>
      </c>
      <c r="GG96" s="1004"/>
      <c r="GH96" s="1004">
        <v>0</v>
      </c>
      <c r="GI96" s="145"/>
      <c r="GJ96" s="996">
        <v>0</v>
      </c>
      <c r="GK96" s="145"/>
      <c r="GL96" s="996">
        <v>0.94199999999999928</v>
      </c>
      <c r="GM96" s="1005"/>
      <c r="GN96" s="996">
        <v>0</v>
      </c>
      <c r="GO96" s="1006"/>
      <c r="GP96" s="996">
        <v>0</v>
      </c>
      <c r="GQ96" s="1006"/>
      <c r="GR96" s="996">
        <v>0</v>
      </c>
      <c r="GS96" s="1006" t="s">
        <v>203</v>
      </c>
      <c r="GT96" s="996">
        <v>-22.79761968</v>
      </c>
      <c r="GU96" s="1006" t="s">
        <v>434</v>
      </c>
      <c r="GV96" s="996">
        <v>7.4955174800000037</v>
      </c>
      <c r="GW96" s="1006"/>
      <c r="GX96" s="996">
        <v>0</v>
      </c>
      <c r="GY96" s="1006"/>
      <c r="GZ96" s="996">
        <v>0</v>
      </c>
      <c r="HA96" s="1006"/>
      <c r="HB96" s="996">
        <v>0</v>
      </c>
      <c r="HC96" s="1006"/>
      <c r="HD96" s="996">
        <v>0</v>
      </c>
      <c r="HE96" s="1006"/>
      <c r="HF96" s="996">
        <v>0</v>
      </c>
      <c r="HG96" s="1006"/>
      <c r="HH96" s="996">
        <v>0</v>
      </c>
      <c r="HI96" s="1006"/>
      <c r="HJ96" s="996">
        <v>0</v>
      </c>
      <c r="HK96" s="1006" t="s">
        <v>197</v>
      </c>
      <c r="HL96" s="996">
        <v>0</v>
      </c>
      <c r="HM96" s="1006"/>
      <c r="HN96" s="996">
        <v>0</v>
      </c>
      <c r="HO96" s="1006"/>
      <c r="HP96" s="996">
        <v>0</v>
      </c>
      <c r="HQ96" s="1006"/>
      <c r="HR96" s="996">
        <v>0</v>
      </c>
      <c r="HS96" s="1006"/>
      <c r="HT96" s="996">
        <v>0</v>
      </c>
      <c r="HU96" s="1006"/>
      <c r="HV96" s="996">
        <v>0</v>
      </c>
      <c r="HW96" s="1006"/>
      <c r="HX96" s="996">
        <v>0</v>
      </c>
      <c r="HY96" s="1006"/>
      <c r="HZ96" s="996">
        <v>0</v>
      </c>
      <c r="IA96" s="1006"/>
      <c r="IB96" s="996">
        <v>0</v>
      </c>
      <c r="IC96" s="1006"/>
      <c r="ID96" s="996">
        <v>0</v>
      </c>
      <c r="IE96" s="1006"/>
      <c r="IF96" s="996">
        <v>0</v>
      </c>
      <c r="IG96" s="1006"/>
      <c r="IH96" s="996">
        <v>0</v>
      </c>
      <c r="II96" s="1006"/>
      <c r="IJ96" s="996">
        <v>0</v>
      </c>
      <c r="IK96" s="1006"/>
      <c r="IL96" s="996">
        <v>0</v>
      </c>
      <c r="IM96" s="1006"/>
      <c r="IN96" s="996">
        <v>0</v>
      </c>
      <c r="IO96" s="1006"/>
      <c r="IP96" s="996">
        <v>0</v>
      </c>
      <c r="IQ96" s="1006"/>
      <c r="IR96" s="996">
        <v>0</v>
      </c>
      <c r="IS96" s="1006"/>
      <c r="IT96" s="996">
        <v>0</v>
      </c>
      <c r="IU96" s="1006"/>
      <c r="IV96" s="996">
        <v>0</v>
      </c>
      <c r="IW96" s="1006"/>
      <c r="IX96" s="996">
        <v>0</v>
      </c>
      <c r="IY96" s="1006"/>
      <c r="IZ96" s="996">
        <v>0</v>
      </c>
      <c r="JA96" s="1006"/>
      <c r="JB96" s="996">
        <v>0</v>
      </c>
      <c r="JC96" s="1006"/>
      <c r="JD96" s="996" t="e">
        <v>#VALUE!</v>
      </c>
      <c r="JE96" s="1006"/>
      <c r="JF96" s="996">
        <v>0</v>
      </c>
      <c r="JG96" s="1006"/>
      <c r="JH96" s="996">
        <v>0</v>
      </c>
      <c r="JI96" s="1006"/>
      <c r="JJ96" s="996">
        <v>0</v>
      </c>
      <c r="JK96" s="1007"/>
      <c r="JL96" s="1007">
        <v>0</v>
      </c>
      <c r="JM96" s="1007"/>
      <c r="JN96" s="1007">
        <v>0</v>
      </c>
      <c r="JO96" s="1008"/>
      <c r="JP96" s="1007">
        <v>0</v>
      </c>
      <c r="JQ96" s="1008">
        <v>0</v>
      </c>
      <c r="JR96" s="1007">
        <v>0</v>
      </c>
      <c r="JS96" s="1008">
        <v>0</v>
      </c>
      <c r="JT96" s="1007">
        <v>0</v>
      </c>
      <c r="JU96" s="1008"/>
      <c r="JV96" s="1007">
        <v>0</v>
      </c>
      <c r="JW96" s="1008" t="s">
        <v>197</v>
      </c>
      <c r="JX96" s="1007">
        <v>0</v>
      </c>
      <c r="JY96" s="1008"/>
      <c r="JZ96" s="1007">
        <v>0</v>
      </c>
      <c r="KA96" s="1008"/>
      <c r="KB96" s="1007">
        <v>-8.3600000000000001E-85</v>
      </c>
      <c r="KC96" s="1008"/>
      <c r="KD96" s="1007">
        <v>-7.6912000000000003</v>
      </c>
      <c r="KE96" s="1008"/>
      <c r="KF96" s="1007">
        <v>0</v>
      </c>
      <c r="KG96" s="1008" t="s">
        <v>204</v>
      </c>
      <c r="KH96" s="1007">
        <v>1.0032000000000005</v>
      </c>
      <c r="KI96" s="1008"/>
      <c r="KJ96" s="1007">
        <v>0</v>
      </c>
      <c r="KK96" s="1008"/>
      <c r="KL96" s="1007">
        <v>0</v>
      </c>
      <c r="KM96" s="1008" t="s">
        <v>206</v>
      </c>
      <c r="KN96" s="1007">
        <v>2.09</v>
      </c>
      <c r="KO96" s="1008"/>
      <c r="KP96" s="1007">
        <v>0</v>
      </c>
      <c r="KQ96" s="1008" t="s">
        <v>206</v>
      </c>
      <c r="KR96" s="1007">
        <v>-2.0498719999999997</v>
      </c>
      <c r="KS96" s="1008">
        <v>0</v>
      </c>
      <c r="KT96" s="1007">
        <v>0</v>
      </c>
      <c r="KU96" s="1008">
        <v>0</v>
      </c>
      <c r="KV96" s="1007">
        <v>0</v>
      </c>
      <c r="KW96" s="1008">
        <v>0</v>
      </c>
      <c r="KX96" s="1007">
        <v>0</v>
      </c>
      <c r="KY96" s="1008" t="s">
        <v>223</v>
      </c>
      <c r="KZ96" s="1007">
        <v>-6.5647736000000005</v>
      </c>
      <c r="LA96" s="1008" t="s">
        <v>206</v>
      </c>
      <c r="LB96" s="1007">
        <v>-1.3295743999999985</v>
      </c>
      <c r="LC96" s="1008">
        <v>0</v>
      </c>
      <c r="LD96" s="1007">
        <v>0</v>
      </c>
      <c r="LE96" s="1008">
        <v>0</v>
      </c>
      <c r="LF96" s="1007">
        <v>0</v>
      </c>
      <c r="LG96" s="1008">
        <v>0</v>
      </c>
      <c r="LH96" s="1007">
        <v>-14.81166</v>
      </c>
      <c r="LI96" s="1008">
        <v>0</v>
      </c>
      <c r="LJ96" s="1007">
        <v>0</v>
      </c>
      <c r="LK96" s="1008">
        <v>0</v>
      </c>
      <c r="LL96" s="1007">
        <v>0</v>
      </c>
      <c r="LM96" s="1008" t="s">
        <v>206</v>
      </c>
      <c r="LN96" s="1007">
        <v>7.9052160000000002</v>
      </c>
      <c r="LO96" s="1008">
        <v>0</v>
      </c>
      <c r="LP96" s="1007">
        <v>0</v>
      </c>
      <c r="LQ96" s="1008">
        <v>0</v>
      </c>
      <c r="LR96" s="1007">
        <v>0</v>
      </c>
      <c r="LS96" s="1008" t="s">
        <v>206</v>
      </c>
      <c r="LT96" s="1007">
        <v>-2.8821099999999991</v>
      </c>
      <c r="LU96" s="1008">
        <v>0</v>
      </c>
      <c r="LV96" s="1007">
        <v>-0.823461</v>
      </c>
      <c r="LW96" s="1008">
        <v>0</v>
      </c>
      <c r="LX96" s="1007">
        <v>0.42669441000000002</v>
      </c>
      <c r="LY96" s="1009" t="s">
        <v>206</v>
      </c>
      <c r="LZ96" s="1010">
        <v>-0.77614239999999901</v>
      </c>
      <c r="MA96" s="1011" t="s">
        <v>206</v>
      </c>
      <c r="MB96" s="1012">
        <v>4.5964324999999988</v>
      </c>
      <c r="MC96" s="995"/>
      <c r="MD96" s="996"/>
      <c r="ME96" s="997" t="s">
        <v>416</v>
      </c>
      <c r="MF96" s="997"/>
      <c r="MG96" s="998"/>
      <c r="NR96" s="1000"/>
      <c r="NS96" s="1000"/>
      <c r="NT96" s="1001"/>
      <c r="NU96" s="1000"/>
      <c r="NV96" s="1001"/>
      <c r="NX96" s="1002"/>
      <c r="NZ96" s="1001"/>
      <c r="OA96" s="1001"/>
      <c r="OC96" s="1003"/>
      <c r="OD96" s="1003"/>
      <c r="OE96" s="1001"/>
      <c r="OF96" s="1003"/>
      <c r="OG96" s="1003"/>
      <c r="QX96" s="1000">
        <f t="shared" si="51"/>
        <v>11</v>
      </c>
      <c r="ASU96" s="999" t="s">
        <v>582</v>
      </c>
    </row>
    <row r="97" spans="1:466 1191:1191" ht="21" customHeight="1" x14ac:dyDescent="0.25">
      <c r="A97" s="982" t="str">
        <f t="shared" si="59"/>
        <v>1014-2</v>
      </c>
      <c r="B97" s="124">
        <f>SUBTOTAL(103,$J$29:J97)</f>
        <v>69</v>
      </c>
      <c r="C97" s="126">
        <v>45068</v>
      </c>
      <c r="D97" s="124" t="s">
        <v>176</v>
      </c>
      <c r="E97" s="127" t="s">
        <v>177</v>
      </c>
      <c r="F97" s="128" t="s">
        <v>177</v>
      </c>
      <c r="G97" s="127" t="s">
        <v>178</v>
      </c>
      <c r="H97" s="127" t="s">
        <v>421</v>
      </c>
      <c r="I97" s="127" t="s">
        <v>422</v>
      </c>
      <c r="J97" s="152" t="s">
        <v>583</v>
      </c>
      <c r="K97" s="127" t="s">
        <v>182</v>
      </c>
      <c r="L97" s="130">
        <v>42076</v>
      </c>
      <c r="M97" s="127" t="s">
        <v>230</v>
      </c>
      <c r="N97" s="127" t="s">
        <v>231</v>
      </c>
      <c r="O97" s="127" t="s">
        <v>185</v>
      </c>
      <c r="P97" s="127" t="s">
        <v>186</v>
      </c>
      <c r="Q97" s="85" t="str">
        <f t="shared" si="85"/>
        <v/>
      </c>
      <c r="R97" s="130"/>
      <c r="S97" s="128"/>
      <c r="T97" s="131"/>
      <c r="U97" s="132">
        <v>203</v>
      </c>
      <c r="V97" s="121">
        <v>218.2</v>
      </c>
      <c r="W97" s="116">
        <v>0.98</v>
      </c>
      <c r="X97" s="116">
        <v>1.66</v>
      </c>
      <c r="Y97" s="116">
        <f t="shared" si="41"/>
        <v>1.0104222307797417</v>
      </c>
      <c r="Z97" s="133">
        <v>1.454</v>
      </c>
      <c r="AA97" s="133">
        <v>0.83599999999999997</v>
      </c>
      <c r="AB97" s="133">
        <v>0.72</v>
      </c>
      <c r="AC97" s="121">
        <v>34.299999999999997</v>
      </c>
      <c r="AD97" s="134">
        <v>1.17</v>
      </c>
      <c r="AE97" s="124">
        <v>177.8</v>
      </c>
      <c r="AF97" s="128">
        <v>9.19</v>
      </c>
      <c r="AG97" s="128">
        <v>2070</v>
      </c>
      <c r="AH97" s="127">
        <v>2970</v>
      </c>
      <c r="AI97" s="127">
        <v>2970</v>
      </c>
      <c r="AJ97" s="135"/>
      <c r="AK97" s="128"/>
      <c r="AL97" s="131"/>
      <c r="AM97" s="124" t="s">
        <v>232</v>
      </c>
      <c r="AN97" s="136" t="s">
        <v>584</v>
      </c>
      <c r="AO97" s="137">
        <v>26.68</v>
      </c>
      <c r="AP97" s="128">
        <v>2080</v>
      </c>
      <c r="AQ97" s="128">
        <v>203.18</v>
      </c>
      <c r="AR97" s="128"/>
      <c r="AS97" s="128"/>
      <c r="AT97" s="122"/>
      <c r="AU97" s="124" t="s">
        <v>189</v>
      </c>
      <c r="AV97" s="115">
        <f>VLOOKUP(J97,'[63]ТР нефть'!$J$28:$BP$638,39,0)</f>
        <v>380.000023828</v>
      </c>
      <c r="AW97" s="115" t="str">
        <f>VLOOKUP(J97,'[63]ТР нефть'!$J$28:$BP$638,40,0)</f>
        <v>ГП</v>
      </c>
      <c r="AX97" s="115">
        <f>VLOOKUP(J97,'[63]ТР нефть'!$J$28:$BP$638,41,0)</f>
        <v>720.00003339800003</v>
      </c>
      <c r="AY97" s="115" t="str">
        <f>VLOOKUP(J97,'[63]ТР нефть'!$J$28:$BP$638,42,0)</f>
        <v>ГП</v>
      </c>
      <c r="AZ97" s="115">
        <f>VLOOKUP(J97,'[63]ТР нефть'!$J$28:$BP$638,43,0)</f>
        <v>1010.00004375</v>
      </c>
      <c r="BA97" s="115" t="str">
        <f>VLOOKUP(J97,'[63]ТР нефть'!$J$28:$BP$638,44,0)</f>
        <v>ГК 86 1/8</v>
      </c>
      <c r="BB97" s="115">
        <f>VLOOKUP(J97,'[63]ТР нефть'!$J$28:$BP$638,45,0)</f>
        <v>1229.9999361329999</v>
      </c>
      <c r="BC97" s="115" t="str">
        <f>VLOOKUP(J97,'[63]ТР нефть'!$J$28:$BP$638,46,0)</f>
        <v>ГК 85 1/8</v>
      </c>
      <c r="BD97" s="115">
        <f>VLOOKUP(J97,'[63]ТР нефть'!$J$28:$BP$638,47,0)</f>
        <v>1399.9999781250001</v>
      </c>
      <c r="BE97" s="115" t="str">
        <f>VLOOKUP(J97,'[63]ТР нефть'!$J$28:$BP$638,48,0)</f>
        <v>ГК 84 1/8</v>
      </c>
      <c r="BF97" s="115" t="str">
        <f>VLOOKUP(J97,'[63]ТР нефть'!$J$28:$BP$638,49,0)</f>
        <v>-</v>
      </c>
      <c r="BG97" s="115" t="str">
        <f>VLOOKUP(J97,'[63]ТР нефть'!$J$28:$BP$638,50,0)</f>
        <v>-</v>
      </c>
      <c r="BH97" s="115">
        <f>VLOOKUP(J97,'[63]ТР нефть'!$J$28:$BP$638,51,0)</f>
        <v>1670</v>
      </c>
      <c r="BI97" s="115" t="str">
        <f>VLOOKUP(J97,'[63]ТР нефть'!$J$28:$BP$638,52,0)</f>
        <v>закрыт</v>
      </c>
      <c r="BJ97" s="115" t="str">
        <f>IF(IFERROR(VLOOKUP(J97,'[63]ТР нефть'!$J$28:$BP$638,53,0),"-")=0,"-",IFERROR(VLOOKUP(J97,'[63]ТР нефть'!$J$28:$BP$638,53,0),"-"))</f>
        <v>-</v>
      </c>
      <c r="BK97" s="138" t="str">
        <f>IF(IFERROR(VLOOKUP(J97,'[63]ТР нефть'!$J$28:$BP$638,54,0),"-")=0,"-",IFERROR(VLOOKUP(J97,'[63]ТР нефть'!$J$28:$BP$638,54,0),"-"))</f>
        <v>-</v>
      </c>
      <c r="BL97" s="138" t="str">
        <f>IF(IFERROR(VLOOKUP(J97,'[63]ТР нефть'!$J$28:$BP$638,55,0),"-")=0,"-",IFERROR(VLOOKUP(J97,'[63]ТР нефть'!$J$28:$BP$638,55,0),"-"))</f>
        <v>-</v>
      </c>
      <c r="BM97" s="138" t="str">
        <f>IF(IFERROR(VLOOKUP(J97,'[63]ТР нефть'!$J$28:$BP$638,56,0),"-")=0,"-",IFERROR(VLOOKUP(J97,'[63]ТР нефть'!$J$28:$BP$638,56,0),"-"))</f>
        <v>-</v>
      </c>
      <c r="BN97" s="138" t="str">
        <f>IF(IFERROR(VLOOKUP(J97,'[63]ТР нефть'!$J$28:$BP$638,57,0),"-")=0,"-",IFERROR(VLOOKUP(J97,'[63]ТР нефть'!$J$28:$BP$638,57,0),"-"))</f>
        <v>-</v>
      </c>
      <c r="BO97" s="115" t="str">
        <f>IF(IFERROR(VLOOKUP(J97,'[63]ТР нефть'!$J$28:$BP$638,58,0),"-")=0,"-",IFERROR(VLOOKUP(J97,'[63]ТР нефть'!$J$28:$BP$638,58,0),"-"))</f>
        <v>-</v>
      </c>
      <c r="BP97" s="115" t="str">
        <f>IF(IFERROR(VLOOKUP(J97,'[63]ТР нефть'!$J$28:$BP$638,59,0),"-")=0,"-",IFERROR(VLOOKUP(J97,'[63]ТР нефть'!$J$28:$BP$638,59,0),"-"))</f>
        <v>-</v>
      </c>
      <c r="BQ97" s="138">
        <v>2080</v>
      </c>
      <c r="BR97" s="128">
        <v>1766.46</v>
      </c>
      <c r="BS97" s="115">
        <f t="shared" si="60"/>
        <v>313.53999999999996</v>
      </c>
      <c r="BT97" s="128">
        <v>73</v>
      </c>
      <c r="BU97" s="128">
        <v>5.5</v>
      </c>
      <c r="BV97" s="127">
        <v>18</v>
      </c>
      <c r="BW97" s="127" t="s">
        <v>217</v>
      </c>
      <c r="BX97" s="127" t="s">
        <v>195</v>
      </c>
      <c r="BY97" s="139">
        <v>24</v>
      </c>
      <c r="BZ97" s="139">
        <v>0</v>
      </c>
      <c r="CA97" s="115">
        <v>25</v>
      </c>
      <c r="CB97" s="115">
        <v>77</v>
      </c>
      <c r="CC97" s="115">
        <v>24</v>
      </c>
      <c r="CD97" s="135">
        <v>45017</v>
      </c>
      <c r="CE97" s="138">
        <v>74</v>
      </c>
      <c r="CF97" s="138">
        <v>78</v>
      </c>
      <c r="CG97" s="138" t="str">
        <f t="shared" si="52"/>
        <v>В работе</v>
      </c>
      <c r="CH97" s="138" t="s">
        <v>196</v>
      </c>
      <c r="CI97" s="127"/>
      <c r="CJ97" s="138"/>
      <c r="CK97" s="138"/>
      <c r="CL97" s="99"/>
      <c r="CM97" s="99"/>
      <c r="CN97" s="140">
        <v>41</v>
      </c>
      <c r="CO97" s="159">
        <f t="shared" si="61"/>
        <v>6.9709859999999999</v>
      </c>
      <c r="CP97" s="160">
        <v>9</v>
      </c>
      <c r="CQ97" s="161">
        <v>7.35</v>
      </c>
      <c r="CR97" s="115">
        <v>21</v>
      </c>
      <c r="CS97" s="115">
        <v>2.16</v>
      </c>
      <c r="CT97" s="138"/>
      <c r="CU97" s="138">
        <f t="shared" si="62"/>
        <v>18.84</v>
      </c>
      <c r="CV97" s="115">
        <f t="shared" si="63"/>
        <v>2702.6305891304328</v>
      </c>
      <c r="CW97" s="115">
        <f t="shared" si="64"/>
        <v>279.1778677092409</v>
      </c>
      <c r="CX97" s="133">
        <f t="shared" si="65"/>
        <v>0.27272727272727271</v>
      </c>
      <c r="CY97" s="116"/>
      <c r="CZ97" s="131"/>
      <c r="DA97" s="145" t="str">
        <f t="shared" si="66"/>
        <v>Газлифт</v>
      </c>
      <c r="DB97" s="146">
        <f t="shared" si="67"/>
        <v>6.9709859999999999</v>
      </c>
      <c r="DC97" s="142">
        <f t="shared" si="68"/>
        <v>9</v>
      </c>
      <c r="DD97" s="119">
        <f t="shared" si="69"/>
        <v>7.35</v>
      </c>
      <c r="DE97" s="115">
        <f t="shared" si="70"/>
        <v>18.84</v>
      </c>
      <c r="DF97" s="121">
        <f t="shared" si="71"/>
        <v>2.16</v>
      </c>
      <c r="DG97" s="115">
        <f t="shared" si="72"/>
        <v>2702.6305891304328</v>
      </c>
      <c r="DH97" s="115">
        <f t="shared" si="73"/>
        <v>41</v>
      </c>
      <c r="DI97" s="147"/>
      <c r="DJ97" s="111" t="s">
        <v>197</v>
      </c>
      <c r="DK97" s="112">
        <v>42076</v>
      </c>
      <c r="DL97" s="113">
        <f t="shared" ca="1" si="42"/>
        <v>3028</v>
      </c>
      <c r="DM97" s="114"/>
      <c r="DN97" s="114"/>
      <c r="DO97" s="114"/>
      <c r="DP97" s="114"/>
      <c r="DQ97" s="112">
        <v>43513</v>
      </c>
      <c r="DR97" s="114" t="s">
        <v>198</v>
      </c>
      <c r="DS97" s="114"/>
      <c r="DT97" s="115">
        <v>50</v>
      </c>
      <c r="DU97" s="116">
        <f t="shared" si="43"/>
        <v>0.375</v>
      </c>
      <c r="DV97" s="117">
        <f t="shared" si="44"/>
        <v>6.9709859999999999</v>
      </c>
      <c r="DW97" s="118">
        <f t="shared" si="45"/>
        <v>9</v>
      </c>
      <c r="DX97" s="119">
        <f t="shared" si="74"/>
        <v>7.35</v>
      </c>
      <c r="DY97" s="115">
        <f t="shared" si="46"/>
        <v>18.84</v>
      </c>
      <c r="DZ97" s="117">
        <f t="shared" si="47"/>
        <v>0</v>
      </c>
      <c r="EA97" s="120">
        <f t="shared" si="47"/>
        <v>0</v>
      </c>
      <c r="EB97" s="119">
        <f t="shared" si="47"/>
        <v>0</v>
      </c>
      <c r="EC97" s="121">
        <f t="shared" si="48"/>
        <v>0</v>
      </c>
      <c r="ED97" s="122"/>
      <c r="EE97" s="145">
        <v>18</v>
      </c>
      <c r="EF97" s="115">
        <v>25</v>
      </c>
      <c r="EG97" s="115">
        <v>77</v>
      </c>
      <c r="EH97" s="115">
        <v>24</v>
      </c>
      <c r="EI97" s="128" t="s">
        <v>195</v>
      </c>
      <c r="EJ97" s="121">
        <v>24</v>
      </c>
      <c r="EK97" s="121">
        <v>0</v>
      </c>
      <c r="EL97" s="162">
        <v>6.9709859999999999</v>
      </c>
      <c r="EM97" s="142">
        <v>9</v>
      </c>
      <c r="EN97" s="119">
        <v>7.35</v>
      </c>
      <c r="EO97" s="115">
        <v>21</v>
      </c>
      <c r="EP97" s="115">
        <v>2702.6305891304328</v>
      </c>
      <c r="EQ97" s="115">
        <v>78</v>
      </c>
      <c r="ER97" s="115">
        <v>2.16</v>
      </c>
      <c r="ES97" s="115">
        <v>41</v>
      </c>
      <c r="ET97" s="150">
        <v>0.27272727272727271</v>
      </c>
      <c r="EU97" s="145">
        <f t="shared" si="75"/>
        <v>18</v>
      </c>
      <c r="EV97" s="115">
        <f t="shared" si="76"/>
        <v>25</v>
      </c>
      <c r="EW97" s="115">
        <f t="shared" si="76"/>
        <v>77</v>
      </c>
      <c r="EX97" s="115">
        <f t="shared" si="76"/>
        <v>24</v>
      </c>
      <c r="EY97" s="115" t="str">
        <f t="shared" si="77"/>
        <v>Постоянный</v>
      </c>
      <c r="EZ97" s="115">
        <f t="shared" si="77"/>
        <v>24</v>
      </c>
      <c r="FA97" s="115">
        <f t="shared" si="77"/>
        <v>0</v>
      </c>
      <c r="FB97" s="149">
        <f t="shared" si="78"/>
        <v>6.9709859999999999</v>
      </c>
      <c r="FC97" s="142">
        <f t="shared" si="78"/>
        <v>9</v>
      </c>
      <c r="FD97" s="119">
        <f t="shared" si="78"/>
        <v>7.35</v>
      </c>
      <c r="FE97" s="121">
        <f t="shared" si="78"/>
        <v>21</v>
      </c>
      <c r="FF97" s="121">
        <f t="shared" si="49"/>
        <v>2702.6305891304328</v>
      </c>
      <c r="FG97" s="121">
        <f t="shared" si="79"/>
        <v>78</v>
      </c>
      <c r="FH97" s="121">
        <f t="shared" si="50"/>
        <v>2.16</v>
      </c>
      <c r="FI97" s="121">
        <f t="shared" si="54"/>
        <v>41</v>
      </c>
      <c r="FJ97" s="144">
        <f t="shared" si="80"/>
        <v>0.27272727272727271</v>
      </c>
      <c r="FK97" s="132">
        <f t="shared" si="81"/>
        <v>0</v>
      </c>
      <c r="FL97" s="115">
        <f t="shared" si="81"/>
        <v>0</v>
      </c>
      <c r="FM97" s="115">
        <f t="shared" si="81"/>
        <v>0</v>
      </c>
      <c r="FN97" s="115">
        <f t="shared" si="58"/>
        <v>0</v>
      </c>
      <c r="FO97" s="115">
        <f t="shared" si="57"/>
        <v>0</v>
      </c>
      <c r="FP97" s="115">
        <f t="shared" si="56"/>
        <v>0</v>
      </c>
      <c r="FQ97" s="149">
        <f t="shared" si="56"/>
        <v>0</v>
      </c>
      <c r="FR97" s="142">
        <f t="shared" si="56"/>
        <v>0</v>
      </c>
      <c r="FS97" s="119">
        <f t="shared" si="56"/>
        <v>0</v>
      </c>
      <c r="FT97" s="121">
        <f t="shared" si="56"/>
        <v>0</v>
      </c>
      <c r="FU97" s="121">
        <f t="shared" si="82"/>
        <v>0</v>
      </c>
      <c r="FV97" s="121">
        <f t="shared" si="82"/>
        <v>0</v>
      </c>
      <c r="FW97" s="121">
        <f t="shared" si="83"/>
        <v>0</v>
      </c>
      <c r="FX97" s="121">
        <f t="shared" si="84"/>
        <v>0</v>
      </c>
      <c r="FY97" s="144">
        <f t="shared" si="84"/>
        <v>0</v>
      </c>
      <c r="FZ97" s="145"/>
      <c r="GA97" s="151" t="s">
        <v>585</v>
      </c>
      <c r="GB97" s="145"/>
      <c r="GC97" s="151"/>
      <c r="GD97" s="997" t="s">
        <v>416</v>
      </c>
      <c r="GE97" s="1004"/>
      <c r="GF97" s="1004">
        <v>0</v>
      </c>
      <c r="GG97" s="1004"/>
      <c r="GH97" s="1004">
        <v>0</v>
      </c>
      <c r="GI97" s="145"/>
      <c r="GJ97" s="996">
        <v>-0.77455400000000019</v>
      </c>
      <c r="GK97" s="145"/>
      <c r="GL97" s="996">
        <v>0.74554000000000009</v>
      </c>
      <c r="GM97" s="1005"/>
      <c r="GN97" s="996">
        <v>0</v>
      </c>
      <c r="GO97" s="1006"/>
      <c r="GP97" s="996">
        <v>0</v>
      </c>
      <c r="GQ97" s="1006"/>
      <c r="GR97" s="996">
        <v>0</v>
      </c>
      <c r="GS97" s="1006"/>
      <c r="GT97" s="996">
        <v>0</v>
      </c>
      <c r="GU97" s="1006"/>
      <c r="GV97" s="996">
        <v>0</v>
      </c>
      <c r="GW97" s="1006" t="s">
        <v>199</v>
      </c>
      <c r="GX97" s="996">
        <v>-3.3187987799999998</v>
      </c>
      <c r="GY97" s="1006" t="s">
        <v>199</v>
      </c>
      <c r="GZ97" s="996">
        <v>3.5850911976000006</v>
      </c>
      <c r="HA97" s="1006" t="s">
        <v>204</v>
      </c>
      <c r="HB97" s="996">
        <v>-2.4799786176000014</v>
      </c>
      <c r="HC97" s="1006" t="s">
        <v>199</v>
      </c>
      <c r="HD97" s="996">
        <v>-3.1931019999999988</v>
      </c>
      <c r="HE97" s="1006" t="s">
        <v>199</v>
      </c>
      <c r="HF97" s="996">
        <v>2.7669760799999992</v>
      </c>
      <c r="HG97" s="1006"/>
      <c r="HH97" s="996">
        <v>0</v>
      </c>
      <c r="HI97" s="1006"/>
      <c r="HJ97" s="996">
        <v>0</v>
      </c>
      <c r="HK97" s="1006"/>
      <c r="HL97" s="996">
        <v>0</v>
      </c>
      <c r="HM97" s="1006" t="s">
        <v>199</v>
      </c>
      <c r="HN97" s="996">
        <v>3.4738475200000014</v>
      </c>
      <c r="HO97" s="1006"/>
      <c r="HP97" s="996">
        <v>0</v>
      </c>
      <c r="HQ97" s="1006" t="s">
        <v>199</v>
      </c>
      <c r="HR97" s="996">
        <v>-3.6701236000000002</v>
      </c>
      <c r="HS97" s="1006" t="s">
        <v>203</v>
      </c>
      <c r="HT97" s="996">
        <v>-5.7015328744000016</v>
      </c>
      <c r="HU97" s="1006" t="s">
        <v>25</v>
      </c>
      <c r="HV97" s="996">
        <v>5.4505054824000005</v>
      </c>
      <c r="HW97" s="1006"/>
      <c r="HX97" s="996">
        <v>0</v>
      </c>
      <c r="HY97" s="1006" t="s">
        <v>199</v>
      </c>
      <c r="HZ97" s="996">
        <v>3.1699381119999996</v>
      </c>
      <c r="IA97" s="1006"/>
      <c r="IB97" s="996">
        <v>-0.65335071999999883</v>
      </c>
      <c r="IC97" s="1006" t="s">
        <v>199</v>
      </c>
      <c r="ID97" s="996">
        <v>-7.1728800000000001</v>
      </c>
      <c r="IE97" s="1006" t="s">
        <v>199</v>
      </c>
      <c r="IF97" s="996">
        <v>7.1745519999999994</v>
      </c>
      <c r="IG97" s="1006" t="s">
        <v>204</v>
      </c>
      <c r="IH97" s="996">
        <v>-1.1114796395999988</v>
      </c>
      <c r="II97" s="1006"/>
      <c r="IJ97" s="996">
        <v>-0.4845229444000001</v>
      </c>
      <c r="IK97" s="1006" t="s">
        <v>199</v>
      </c>
      <c r="IL97" s="996">
        <v>3.2679601151999984</v>
      </c>
      <c r="IM97" s="1006" t="s">
        <v>199</v>
      </c>
      <c r="IN97" s="996">
        <v>-4.5929415311999993</v>
      </c>
      <c r="IO97" s="1006"/>
      <c r="IP97" s="996">
        <v>0</v>
      </c>
      <c r="IQ97" s="1006" t="s">
        <v>534</v>
      </c>
      <c r="IR97" s="996">
        <v>-2.6902479999999986</v>
      </c>
      <c r="IS97" s="1006"/>
      <c r="IT97" s="996">
        <v>0</v>
      </c>
      <c r="IU97" s="1006" t="s">
        <v>199</v>
      </c>
      <c r="IV97" s="996">
        <v>5.3687919999999991</v>
      </c>
      <c r="IW97" s="1006" t="s">
        <v>199</v>
      </c>
      <c r="IX97" s="996">
        <v>-2.2755920000000014</v>
      </c>
      <c r="IY97" s="1006" t="s">
        <v>204</v>
      </c>
      <c r="IZ97" s="996">
        <v>3.555039840000001</v>
      </c>
      <c r="JA97" s="1006"/>
      <c r="JB97" s="996">
        <v>0</v>
      </c>
      <c r="JC97" s="1006" t="s">
        <v>204</v>
      </c>
      <c r="JD97" s="996">
        <v>-10.221303839999999</v>
      </c>
      <c r="JE97" s="1006"/>
      <c r="JF97" s="996">
        <v>0</v>
      </c>
      <c r="JG97" s="1006" t="s">
        <v>199</v>
      </c>
      <c r="JH97" s="996">
        <v>3.8186807999999992</v>
      </c>
      <c r="JI97" s="1006"/>
      <c r="JJ97" s="996">
        <v>0</v>
      </c>
      <c r="JK97" s="1007"/>
      <c r="JL97" s="1007">
        <v>0</v>
      </c>
      <c r="JM97" s="1007" t="s">
        <v>204</v>
      </c>
      <c r="JN97" s="1007">
        <v>-2.9208168000000008</v>
      </c>
      <c r="JO97" s="1008"/>
      <c r="JP97" s="1007">
        <v>0</v>
      </c>
      <c r="JQ97" s="1008">
        <v>0</v>
      </c>
      <c r="JR97" s="1007">
        <v>1.4044800000014845E-3</v>
      </c>
      <c r="JS97" s="1008" t="s">
        <v>199</v>
      </c>
      <c r="JT97" s="1007">
        <v>8.4427556399999979</v>
      </c>
      <c r="JU97" s="1008" t="s">
        <v>199</v>
      </c>
      <c r="JV97" s="1007">
        <v>-10.53254664</v>
      </c>
      <c r="JW97" s="1008" t="s">
        <v>197</v>
      </c>
      <c r="JX97" s="1007">
        <v>-1.8333479999999014E-2</v>
      </c>
      <c r="JY97" s="1008"/>
      <c r="JZ97" s="1007">
        <v>0</v>
      </c>
      <c r="KA97" s="1008" t="s">
        <v>203</v>
      </c>
      <c r="KB97" s="1007">
        <v>5.2647158519999966</v>
      </c>
      <c r="KC97" s="1008" t="s">
        <v>198</v>
      </c>
      <c r="KD97" s="1007">
        <v>-7.0746140519999958</v>
      </c>
      <c r="KE97" s="1008"/>
      <c r="KF97" s="1007">
        <v>0</v>
      </c>
      <c r="KG97" s="1008"/>
      <c r="KH97" s="1007">
        <v>0</v>
      </c>
      <c r="KI97" s="1008"/>
      <c r="KJ97" s="1007">
        <v>0</v>
      </c>
      <c r="KK97" s="1008"/>
      <c r="KL97" s="1007">
        <v>0</v>
      </c>
      <c r="KM97" s="1008"/>
      <c r="KN97" s="1007">
        <v>0</v>
      </c>
      <c r="KO97" s="1008"/>
      <c r="KP97" s="1007">
        <v>0</v>
      </c>
      <c r="KQ97" s="1008" t="s">
        <v>207</v>
      </c>
      <c r="KR97" s="1007">
        <v>4.6198438439999965</v>
      </c>
      <c r="KS97" s="1008" t="s">
        <v>204</v>
      </c>
      <c r="KT97" s="1007">
        <v>2.4811819560000004</v>
      </c>
      <c r="KU97" s="1008">
        <v>0</v>
      </c>
      <c r="KV97" s="1007">
        <v>0</v>
      </c>
      <c r="KW97" s="1008" t="s">
        <v>204</v>
      </c>
      <c r="KX97" s="1007">
        <v>-4.1770740000000011</v>
      </c>
      <c r="KY97" s="1008">
        <v>0</v>
      </c>
      <c r="KZ97" s="1007">
        <v>0</v>
      </c>
      <c r="LA97" s="1008">
        <v>0</v>
      </c>
      <c r="LB97" s="1007">
        <v>0</v>
      </c>
      <c r="LC97" s="1008">
        <v>0</v>
      </c>
      <c r="LD97" s="1007">
        <v>0</v>
      </c>
      <c r="LE97" s="1008">
        <v>0</v>
      </c>
      <c r="LF97" s="1007">
        <v>0</v>
      </c>
      <c r="LG97" s="1008">
        <v>0</v>
      </c>
      <c r="LH97" s="1007">
        <v>0</v>
      </c>
      <c r="LI97" s="1008">
        <v>0</v>
      </c>
      <c r="LJ97" s="1007">
        <v>0</v>
      </c>
      <c r="LK97" s="1008" t="s">
        <v>206</v>
      </c>
      <c r="LL97" s="1007">
        <v>4.17774</v>
      </c>
      <c r="LM97" s="1008" t="s">
        <v>206</v>
      </c>
      <c r="LN97" s="1007">
        <v>-4.1845999999999997</v>
      </c>
      <c r="LO97" s="1008" t="s">
        <v>203</v>
      </c>
      <c r="LP97" s="1007">
        <v>-1.6759599999999999</v>
      </c>
      <c r="LQ97" s="1008" t="s">
        <v>199</v>
      </c>
      <c r="LR97" s="1007">
        <v>2.9260000000000002</v>
      </c>
      <c r="LS97" s="1008">
        <v>0</v>
      </c>
      <c r="LT97" s="1007">
        <v>4.597999999999999</v>
      </c>
      <c r="LU97" s="1008">
        <v>0</v>
      </c>
      <c r="LV97" s="1007">
        <v>0</v>
      </c>
      <c r="LW97" s="1008" t="s">
        <v>206</v>
      </c>
      <c r="LX97" s="1007">
        <v>-2.9260000000000002</v>
      </c>
      <c r="LY97" s="1009" t="s">
        <v>206</v>
      </c>
      <c r="LZ97" s="1010">
        <v>-2.9</v>
      </c>
      <c r="MA97" s="1011" t="s">
        <v>206</v>
      </c>
      <c r="MB97" s="1012">
        <v>5.5897382000000002</v>
      </c>
      <c r="MC97" s="995"/>
      <c r="MD97" s="996"/>
      <c r="ME97" s="997" t="s">
        <v>416</v>
      </c>
      <c r="MF97" s="997"/>
      <c r="MG97" s="998"/>
      <c r="NR97" s="1000"/>
      <c r="NS97" s="1000"/>
      <c r="NT97" s="1001"/>
      <c r="NU97" s="1000"/>
      <c r="NV97" s="1001"/>
      <c r="NX97" s="1002"/>
      <c r="NZ97" s="1001"/>
      <c r="OA97" s="1001"/>
      <c r="OC97" s="1003"/>
      <c r="OD97" s="1003"/>
      <c r="OE97" s="1001"/>
      <c r="OF97" s="1003"/>
      <c r="OG97" s="1003"/>
      <c r="QX97" s="1000">
        <f t="shared" si="51"/>
        <v>16</v>
      </c>
      <c r="ASU97" s="999" t="s">
        <v>208</v>
      </c>
    </row>
    <row r="98" spans="1:466 1191:1191" ht="21" customHeight="1" x14ac:dyDescent="0.25">
      <c r="A98" s="982">
        <f t="shared" si="59"/>
        <v>1015</v>
      </c>
      <c r="B98" s="124">
        <f>SUBTOTAL(103,$J$29:J98)</f>
        <v>70</v>
      </c>
      <c r="C98" s="126">
        <v>45096</v>
      </c>
      <c r="D98" s="124" t="s">
        <v>176</v>
      </c>
      <c r="E98" s="127" t="s">
        <v>177</v>
      </c>
      <c r="F98" s="128" t="s">
        <v>177</v>
      </c>
      <c r="G98" s="127" t="s">
        <v>178</v>
      </c>
      <c r="H98" s="127" t="s">
        <v>421</v>
      </c>
      <c r="I98" s="127" t="s">
        <v>586</v>
      </c>
      <c r="J98" s="152">
        <v>1015</v>
      </c>
      <c r="K98" s="127" t="s">
        <v>587</v>
      </c>
      <c r="L98" s="130">
        <v>41661</v>
      </c>
      <c r="M98" s="127" t="s">
        <v>230</v>
      </c>
      <c r="N98" s="127" t="s">
        <v>465</v>
      </c>
      <c r="O98" s="127" t="s">
        <v>185</v>
      </c>
      <c r="P98" s="127" t="s">
        <v>208</v>
      </c>
      <c r="Q98" s="85" t="str">
        <f t="shared" si="85"/>
        <v/>
      </c>
      <c r="R98" s="130"/>
      <c r="S98" s="128" t="s">
        <v>156</v>
      </c>
      <c r="T98" s="131"/>
      <c r="U98" s="132">
        <v>203</v>
      </c>
      <c r="V98" s="121">
        <v>218.2</v>
      </c>
      <c r="W98" s="116">
        <v>0.98</v>
      </c>
      <c r="X98" s="116">
        <v>1.66</v>
      </c>
      <c r="Y98" s="116">
        <f t="shared" si="41"/>
        <v>0.98</v>
      </c>
      <c r="Z98" s="133">
        <v>1.454</v>
      </c>
      <c r="AA98" s="133">
        <v>0.83599999999999997</v>
      </c>
      <c r="AB98" s="133">
        <v>0.72</v>
      </c>
      <c r="AC98" s="121">
        <v>34.299999999999997</v>
      </c>
      <c r="AD98" s="134">
        <v>1.17</v>
      </c>
      <c r="AE98" s="124">
        <v>177.8</v>
      </c>
      <c r="AF98" s="128">
        <v>9.19</v>
      </c>
      <c r="AG98" s="128">
        <v>2107</v>
      </c>
      <c r="AH98" s="127">
        <v>2960</v>
      </c>
      <c r="AI98" s="127">
        <v>2960</v>
      </c>
      <c r="AJ98" s="135"/>
      <c r="AK98" s="128"/>
      <c r="AL98" s="131"/>
      <c r="AM98" s="124" t="s">
        <v>232</v>
      </c>
      <c r="AN98" s="136" t="s">
        <v>588</v>
      </c>
      <c r="AO98" s="137">
        <v>11</v>
      </c>
      <c r="AP98" s="128">
        <v>2107</v>
      </c>
      <c r="AQ98" s="128">
        <v>119.86</v>
      </c>
      <c r="AR98" s="128"/>
      <c r="AS98" s="128"/>
      <c r="AT98" s="122"/>
      <c r="AU98" s="124" t="s">
        <v>250</v>
      </c>
      <c r="AV98" s="115">
        <f>VLOOKUP(J98,'[63]ТР нефть'!$J$28:$BP$638,39,0)</f>
        <v>600</v>
      </c>
      <c r="AW98" s="115" t="str">
        <f>VLOOKUP(J98,'[63]ТР нефть'!$J$28:$BP$638,40,0)</f>
        <v>ГП</v>
      </c>
      <c r="AX98" s="115">
        <f>VLOOKUP(J98,'[63]ТР нефть'!$J$28:$BP$638,41,0)</f>
        <v>1200</v>
      </c>
      <c r="AY98" s="115" t="str">
        <f>VLOOKUP(J98,'[63]ТР нефть'!$J$28:$BP$638,42,0)</f>
        <v>ГП</v>
      </c>
      <c r="AZ98" s="115">
        <f>VLOOKUP(J98,'[63]ТР нефть'!$J$28:$BP$638,43,0)</f>
        <v>1760</v>
      </c>
      <c r="BA98" s="115" t="str">
        <f>VLOOKUP(J98,'[63]ТР нефть'!$J$28:$BP$638,44,0)</f>
        <v>ЦКсОК</v>
      </c>
      <c r="BB98" s="115" t="str">
        <f>VLOOKUP(J98,'[63]ТР нефть'!$J$28:$BP$638,45,0)</f>
        <v>-</v>
      </c>
      <c r="BC98" s="115" t="str">
        <f>VLOOKUP(J98,'[63]ТР нефть'!$J$28:$BP$638,46,0)</f>
        <v>-</v>
      </c>
      <c r="BD98" s="115" t="str">
        <f>VLOOKUP(J98,'[63]ТР нефть'!$J$28:$BP$638,47,0)</f>
        <v>-</v>
      </c>
      <c r="BE98" s="115" t="str">
        <f>VLOOKUP(J98,'[63]ТР нефть'!$J$28:$BP$638,48,0)</f>
        <v>-</v>
      </c>
      <c r="BF98" s="115" t="str">
        <f>VLOOKUP(J98,'[63]ТР нефть'!$J$28:$BP$638,49,0)</f>
        <v>-</v>
      </c>
      <c r="BG98" s="115" t="str">
        <f>VLOOKUP(J98,'[63]ТР нефть'!$J$28:$BP$638,50,0)</f>
        <v>-</v>
      </c>
      <c r="BH98" s="115">
        <f>VLOOKUP(J98,'[63]ТР нефть'!$J$28:$BP$638,51,0)</f>
        <v>1770</v>
      </c>
      <c r="BI98" s="115" t="str">
        <f>VLOOKUP(J98,'[63]ТР нефть'!$J$28:$BP$638,52,0)</f>
        <v>закрыт</v>
      </c>
      <c r="BJ98" s="115" t="str">
        <f>IF(IFERROR(VLOOKUP(J98,'[63]ТР нефть'!$J$28:$BP$638,53,0),"-")=0,"-",IFERROR(VLOOKUP(J98,'[63]ТР нефть'!$J$28:$BP$638,53,0),"-"))</f>
        <v>-</v>
      </c>
      <c r="BK98" s="138" t="str">
        <f>IF(IFERROR(VLOOKUP(J98,'[63]ТР нефть'!$J$28:$BP$638,54,0),"-")=0,"-",IFERROR(VLOOKUP(J98,'[63]ТР нефть'!$J$28:$BP$638,54,0),"-"))</f>
        <v>-</v>
      </c>
      <c r="BL98" s="138" t="str">
        <f>IF(IFERROR(VLOOKUP(J98,'[63]ТР нефть'!$J$28:$BP$638,55,0),"-")=0,"-",IFERROR(VLOOKUP(J98,'[63]ТР нефть'!$J$28:$BP$638,55,0),"-"))</f>
        <v>-</v>
      </c>
      <c r="BM98" s="138" t="str">
        <f>IF(IFERROR(VLOOKUP(J98,'[63]ТР нефть'!$J$28:$BP$638,56,0),"-")=0,"-",IFERROR(VLOOKUP(J98,'[63]ТР нефть'!$J$28:$BP$638,56,0),"-"))</f>
        <v>-</v>
      </c>
      <c r="BN98" s="138" t="str">
        <f>IF(IFERROR(VLOOKUP(J98,'[63]ТР нефть'!$J$28:$BP$638,57,0),"-")=0,"-",IFERROR(VLOOKUP(J98,'[63]ТР нефть'!$J$28:$BP$638,57,0),"-"))</f>
        <v>-</v>
      </c>
      <c r="BO98" s="115" t="str">
        <f>IF(IFERROR(VLOOKUP(J98,'[63]ТР нефть'!$J$28:$BP$638,58,0),"-")=0,"-",IFERROR(VLOOKUP(J98,'[63]ТР нефть'!$J$28:$BP$638,58,0),"-"))</f>
        <v>-</v>
      </c>
      <c r="BP98" s="115" t="str">
        <f>IF(IFERROR(VLOOKUP(J98,'[63]ТР нефть'!$J$28:$BP$638,59,0),"-")=0,"-",IFERROR(VLOOKUP(J98,'[63]ТР нефть'!$J$28:$BP$638,59,0),"-"))</f>
        <v>-</v>
      </c>
      <c r="BQ98" s="138">
        <v>2120</v>
      </c>
      <c r="BR98" s="128">
        <v>1787.83</v>
      </c>
      <c r="BS98" s="115">
        <f t="shared" si="60"/>
        <v>332.17000000000007</v>
      </c>
      <c r="BT98" s="128">
        <v>73</v>
      </c>
      <c r="BU98" s="128">
        <v>5.5</v>
      </c>
      <c r="BV98" s="127">
        <v>18</v>
      </c>
      <c r="BW98" s="127" t="s">
        <v>217</v>
      </c>
      <c r="BX98" s="127" t="s">
        <v>195</v>
      </c>
      <c r="BY98" s="139">
        <v>24</v>
      </c>
      <c r="BZ98" s="139">
        <v>0</v>
      </c>
      <c r="CA98" s="138">
        <v>45</v>
      </c>
      <c r="CB98" s="138">
        <v>74</v>
      </c>
      <c r="CC98" s="138">
        <v>42</v>
      </c>
      <c r="CD98" s="135">
        <v>45017</v>
      </c>
      <c r="CE98" s="138">
        <v>116.4</v>
      </c>
      <c r="CF98" s="138"/>
      <c r="CG98" s="138" t="str">
        <f t="shared" si="52"/>
        <v/>
      </c>
      <c r="CH98" s="138" t="s">
        <v>197</v>
      </c>
      <c r="CI98" s="127"/>
      <c r="CJ98" s="138"/>
      <c r="CK98" s="138"/>
      <c r="CL98" s="99"/>
      <c r="CM98" s="127"/>
      <c r="CN98" s="154">
        <v>95</v>
      </c>
      <c r="CO98" s="141">
        <f t="shared" si="61"/>
        <v>39.124799999999993</v>
      </c>
      <c r="CP98" s="142">
        <v>46.8</v>
      </c>
      <c r="CQ98" s="143">
        <v>0</v>
      </c>
      <c r="CR98" s="138">
        <v>210.8</v>
      </c>
      <c r="CS98" s="139"/>
      <c r="CT98" s="138"/>
      <c r="CU98" s="138">
        <f t="shared" si="62"/>
        <v>210.8</v>
      </c>
      <c r="CV98" s="115">
        <f t="shared" si="63"/>
        <v>5387.8869668343359</v>
      </c>
      <c r="CW98" s="115" t="str">
        <f t="shared" si="64"/>
        <v/>
      </c>
      <c r="CX98" s="133">
        <f t="shared" si="65"/>
        <v>2.1869158878504664</v>
      </c>
      <c r="CY98" s="116"/>
      <c r="CZ98" s="131"/>
      <c r="DA98" s="145" t="str">
        <f t="shared" si="66"/>
        <v>Фон.</v>
      </c>
      <c r="DB98" s="146">
        <f t="shared" si="67"/>
        <v>39.124799999999993</v>
      </c>
      <c r="DC98" s="142">
        <f t="shared" si="68"/>
        <v>46.8</v>
      </c>
      <c r="DD98" s="119">
        <f t="shared" si="69"/>
        <v>0</v>
      </c>
      <c r="DE98" s="115">
        <f t="shared" si="70"/>
        <v>210.8</v>
      </c>
      <c r="DF98" s="121">
        <f t="shared" si="71"/>
        <v>0</v>
      </c>
      <c r="DG98" s="115">
        <f t="shared" si="72"/>
        <v>5387.8869668343359</v>
      </c>
      <c r="DH98" s="115">
        <f t="shared" si="73"/>
        <v>95</v>
      </c>
      <c r="DI98" s="147"/>
      <c r="DJ98" s="111">
        <v>43162</v>
      </c>
      <c r="DK98" s="112">
        <v>41661</v>
      </c>
      <c r="DL98" s="113">
        <f t="shared" ca="1" si="42"/>
        <v>3443</v>
      </c>
      <c r="DM98" s="114"/>
      <c r="DN98" s="114"/>
      <c r="DO98" s="114"/>
      <c r="DP98" s="114"/>
      <c r="DQ98" s="112">
        <v>41683</v>
      </c>
      <c r="DR98" s="114" t="s">
        <v>589</v>
      </c>
      <c r="DS98" s="114"/>
      <c r="DT98" s="115">
        <v>70</v>
      </c>
      <c r="DU98" s="116">
        <f t="shared" si="43"/>
        <v>1.9595857539782764</v>
      </c>
      <c r="DV98" s="117">
        <f t="shared" si="44"/>
        <v>76.013115231118945</v>
      </c>
      <c r="DW98" s="118">
        <f t="shared" si="45"/>
        <v>90.924778984592038</v>
      </c>
      <c r="DX98" s="119">
        <f t="shared" si="74"/>
        <v>0</v>
      </c>
      <c r="DY98" s="115">
        <f t="shared" si="46"/>
        <v>409.55007286222235</v>
      </c>
      <c r="DZ98" s="117">
        <f t="shared" si="47"/>
        <v>36.888315231118952</v>
      </c>
      <c r="EA98" s="120">
        <f t="shared" si="47"/>
        <v>44.124778984592041</v>
      </c>
      <c r="EB98" s="119">
        <f t="shared" si="47"/>
        <v>0</v>
      </c>
      <c r="EC98" s="121">
        <f t="shared" si="48"/>
        <v>198.75007286222234</v>
      </c>
      <c r="ED98" s="122"/>
      <c r="EE98" s="145">
        <v>18</v>
      </c>
      <c r="EF98" s="115">
        <v>45</v>
      </c>
      <c r="EG98" s="115">
        <v>74</v>
      </c>
      <c r="EH98" s="115">
        <v>42</v>
      </c>
      <c r="EI98" s="128" t="s">
        <v>195</v>
      </c>
      <c r="EJ98" s="121">
        <v>24</v>
      </c>
      <c r="EK98" s="121">
        <v>0</v>
      </c>
      <c r="EL98" s="149">
        <v>39.124799999999993</v>
      </c>
      <c r="EM98" s="142">
        <v>46.8</v>
      </c>
      <c r="EN98" s="119">
        <v>0</v>
      </c>
      <c r="EO98" s="115">
        <v>210.8</v>
      </c>
      <c r="EP98" s="115">
        <v>5387.8869668343359</v>
      </c>
      <c r="EQ98" s="115">
        <v>0</v>
      </c>
      <c r="ER98" s="115">
        <v>0</v>
      </c>
      <c r="ES98" s="115">
        <v>95</v>
      </c>
      <c r="ET98" s="150">
        <v>2.1869158878504664</v>
      </c>
      <c r="EU98" s="145">
        <f t="shared" si="75"/>
        <v>18</v>
      </c>
      <c r="EV98" s="115">
        <f t="shared" si="76"/>
        <v>45</v>
      </c>
      <c r="EW98" s="115">
        <f t="shared" si="76"/>
        <v>74</v>
      </c>
      <c r="EX98" s="115">
        <f t="shared" si="76"/>
        <v>42</v>
      </c>
      <c r="EY98" s="115" t="str">
        <f t="shared" si="77"/>
        <v>Постоянный</v>
      </c>
      <c r="EZ98" s="115">
        <f t="shared" si="77"/>
        <v>24</v>
      </c>
      <c r="FA98" s="115">
        <f t="shared" si="77"/>
        <v>0</v>
      </c>
      <c r="FB98" s="149">
        <f t="shared" si="78"/>
        <v>39.124799999999993</v>
      </c>
      <c r="FC98" s="142">
        <f t="shared" si="78"/>
        <v>46.8</v>
      </c>
      <c r="FD98" s="119">
        <f t="shared" si="78"/>
        <v>0</v>
      </c>
      <c r="FE98" s="121">
        <f t="shared" si="78"/>
        <v>210.8</v>
      </c>
      <c r="FF98" s="121">
        <f t="shared" si="49"/>
        <v>5387.8869668343359</v>
      </c>
      <c r="FG98" s="121">
        <f t="shared" si="79"/>
        <v>0</v>
      </c>
      <c r="FH98" s="121">
        <f t="shared" si="50"/>
        <v>0</v>
      </c>
      <c r="FI98" s="121">
        <f t="shared" si="54"/>
        <v>95</v>
      </c>
      <c r="FJ98" s="144">
        <f t="shared" si="80"/>
        <v>2.1869158878504664</v>
      </c>
      <c r="FK98" s="132">
        <f t="shared" si="81"/>
        <v>0</v>
      </c>
      <c r="FL98" s="115">
        <f t="shared" si="81"/>
        <v>0</v>
      </c>
      <c r="FM98" s="115">
        <f t="shared" si="81"/>
        <v>0</v>
      </c>
      <c r="FN98" s="115">
        <f t="shared" si="58"/>
        <v>0</v>
      </c>
      <c r="FO98" s="115">
        <f t="shared" si="57"/>
        <v>0</v>
      </c>
      <c r="FP98" s="115">
        <f t="shared" si="56"/>
        <v>0</v>
      </c>
      <c r="FQ98" s="149">
        <f t="shared" si="56"/>
        <v>0</v>
      </c>
      <c r="FR98" s="142">
        <f t="shared" si="56"/>
        <v>0</v>
      </c>
      <c r="FS98" s="119">
        <f t="shared" si="56"/>
        <v>0</v>
      </c>
      <c r="FT98" s="121">
        <f t="shared" si="56"/>
        <v>0</v>
      </c>
      <c r="FU98" s="121">
        <f t="shared" si="82"/>
        <v>0</v>
      </c>
      <c r="FV98" s="121">
        <f t="shared" si="82"/>
        <v>0</v>
      </c>
      <c r="FW98" s="121">
        <f t="shared" si="83"/>
        <v>0</v>
      </c>
      <c r="FX98" s="121">
        <f t="shared" si="84"/>
        <v>0</v>
      </c>
      <c r="FY98" s="144">
        <f t="shared" si="84"/>
        <v>0</v>
      </c>
      <c r="FZ98" s="145"/>
      <c r="GA98" s="151" t="s">
        <v>283</v>
      </c>
      <c r="GB98" s="145" t="s">
        <v>221</v>
      </c>
      <c r="GC98" s="151" t="s">
        <v>590</v>
      </c>
      <c r="GD98" s="997" t="s">
        <v>238</v>
      </c>
      <c r="GE98" s="1004" t="s">
        <v>221</v>
      </c>
      <c r="GF98" s="1004">
        <v>20.063999999999993</v>
      </c>
      <c r="GG98" s="1004"/>
      <c r="GH98" s="1004">
        <v>0</v>
      </c>
      <c r="GI98" s="145"/>
      <c r="GJ98" s="996">
        <v>0</v>
      </c>
      <c r="GK98" s="145"/>
      <c r="GL98" s="996">
        <v>0</v>
      </c>
      <c r="GM98" s="1005"/>
      <c r="GN98" s="996">
        <v>0</v>
      </c>
      <c r="GO98" s="1006"/>
      <c r="GP98" s="996">
        <v>0</v>
      </c>
      <c r="GQ98" s="1006" t="s">
        <v>241</v>
      </c>
      <c r="GR98" s="996">
        <v>-2.5079999999999103E-2</v>
      </c>
      <c r="GS98" s="1006" t="s">
        <v>204</v>
      </c>
      <c r="GT98" s="996">
        <v>-6.1521240000000041</v>
      </c>
      <c r="GU98" s="1006"/>
      <c r="GV98" s="996">
        <v>0</v>
      </c>
      <c r="GW98" s="1006"/>
      <c r="GX98" s="997">
        <v>0</v>
      </c>
      <c r="GY98" s="1006" t="s">
        <v>204</v>
      </c>
      <c r="GZ98" s="996">
        <v>9.628262160000002</v>
      </c>
      <c r="HA98" s="1006"/>
      <c r="HB98" s="996">
        <v>0</v>
      </c>
      <c r="HC98" s="1006" t="s">
        <v>199</v>
      </c>
      <c r="HD98" s="996">
        <v>-2.1268341599999978</v>
      </c>
      <c r="HE98" s="1006"/>
      <c r="HF98" s="996">
        <v>0</v>
      </c>
      <c r="HG98" s="1006" t="s">
        <v>204</v>
      </c>
      <c r="HH98" s="996">
        <v>4.66906</v>
      </c>
      <c r="HI98" s="1006"/>
      <c r="HJ98" s="996">
        <v>0</v>
      </c>
      <c r="HK98" s="1006"/>
      <c r="HL98" s="996">
        <v>0</v>
      </c>
      <c r="HM98" s="1006"/>
      <c r="HN98" s="996">
        <v>0</v>
      </c>
      <c r="HO98" s="1006"/>
      <c r="HP98" s="996">
        <v>-7.4404000000001247E-2</v>
      </c>
      <c r="HQ98" s="1006"/>
      <c r="HR98" s="996">
        <v>0</v>
      </c>
      <c r="HS98" s="1006"/>
      <c r="HT98" s="996">
        <v>0</v>
      </c>
      <c r="HU98" s="1006"/>
      <c r="HV98" s="996">
        <v>0</v>
      </c>
      <c r="HW98" s="1006" t="s">
        <v>199</v>
      </c>
      <c r="HX98" s="996">
        <v>-7.3400799999999986</v>
      </c>
      <c r="HY98" s="1006"/>
      <c r="HZ98" s="996">
        <v>-0.83599999999999852</v>
      </c>
      <c r="IA98" s="1006" t="s">
        <v>204</v>
      </c>
      <c r="IB98" s="996">
        <v>-3.6783999999999999</v>
      </c>
      <c r="IC98" s="1006" t="s">
        <v>204</v>
      </c>
      <c r="ID98" s="996">
        <v>-3.4276000000000018</v>
      </c>
      <c r="IE98" s="1006"/>
      <c r="IF98" s="996">
        <v>-5.7683999999999997</v>
      </c>
      <c r="IG98" s="1006"/>
      <c r="IH98" s="996">
        <v>0</v>
      </c>
      <c r="II98" s="1006" t="s">
        <v>223</v>
      </c>
      <c r="IJ98" s="996">
        <v>-5.8073751559999991</v>
      </c>
      <c r="IK98" s="1006"/>
      <c r="IL98" s="996">
        <v>0</v>
      </c>
      <c r="IM98" s="1006"/>
      <c r="IN98" s="996">
        <v>0</v>
      </c>
      <c r="IO98" s="1006"/>
      <c r="IP98" s="996">
        <v>0.69957566800000137</v>
      </c>
      <c r="IQ98" s="1006"/>
      <c r="IR98" s="996">
        <v>0</v>
      </c>
      <c r="IS98" s="1006"/>
      <c r="IT98" s="996">
        <v>0</v>
      </c>
      <c r="IU98" s="1006" t="s">
        <v>199</v>
      </c>
      <c r="IV98" s="996">
        <v>19.236199487999997</v>
      </c>
      <c r="IW98" s="1006"/>
      <c r="IX98" s="996">
        <v>0</v>
      </c>
      <c r="IY98" s="1006"/>
      <c r="IZ98" s="996">
        <v>0</v>
      </c>
      <c r="JA98" s="1006"/>
      <c r="JB98" s="996">
        <v>0</v>
      </c>
      <c r="JC98" s="1006"/>
      <c r="JD98" s="996">
        <v>0</v>
      </c>
      <c r="JE98" s="1006"/>
      <c r="JF98" s="996">
        <v>0</v>
      </c>
      <c r="JG98" s="1006"/>
      <c r="JH98" s="996">
        <v>0</v>
      </c>
      <c r="JI98" s="1006"/>
      <c r="JJ98" s="996">
        <v>0</v>
      </c>
      <c r="JK98" s="1007"/>
      <c r="JL98" s="1007">
        <v>0</v>
      </c>
      <c r="JM98" s="1007"/>
      <c r="JN98" s="1007">
        <v>0</v>
      </c>
      <c r="JO98" s="1008"/>
      <c r="JP98" s="1007">
        <v>0</v>
      </c>
      <c r="JQ98" s="1008">
        <v>0</v>
      </c>
      <c r="JR98" s="1007">
        <v>0</v>
      </c>
      <c r="JS98" s="1008">
        <v>0</v>
      </c>
      <c r="JT98" s="1007">
        <v>0</v>
      </c>
      <c r="JU98" s="1008"/>
      <c r="JV98" s="1007">
        <v>0</v>
      </c>
      <c r="JW98" s="1008" t="s">
        <v>197</v>
      </c>
      <c r="JX98" s="1007">
        <v>0</v>
      </c>
      <c r="JY98" s="1008"/>
      <c r="JZ98" s="1007">
        <v>0</v>
      </c>
      <c r="KA98" s="1008"/>
      <c r="KB98" s="1007">
        <v>0</v>
      </c>
      <c r="KC98" s="1008"/>
      <c r="KD98" s="1007">
        <v>0</v>
      </c>
      <c r="KE98" s="1008"/>
      <c r="KF98" s="1007">
        <v>0</v>
      </c>
      <c r="KG98" s="1008"/>
      <c r="KH98" s="1007">
        <v>0</v>
      </c>
      <c r="KI98" s="1008" t="s">
        <v>207</v>
      </c>
      <c r="KJ98" s="1007">
        <v>-9.195999999999998</v>
      </c>
      <c r="KK98" s="1008" t="s">
        <v>199</v>
      </c>
      <c r="KL98" s="1007">
        <v>-15.884</v>
      </c>
      <c r="KM98" s="1008"/>
      <c r="KN98" s="1007">
        <v>0</v>
      </c>
      <c r="KO98" s="1008"/>
      <c r="KP98" s="1007">
        <v>0</v>
      </c>
      <c r="KQ98" s="1008">
        <v>0</v>
      </c>
      <c r="KR98" s="1007">
        <v>0</v>
      </c>
      <c r="KS98" s="1008">
        <v>0</v>
      </c>
      <c r="KT98" s="1007">
        <v>0</v>
      </c>
      <c r="KU98" s="1008">
        <v>0</v>
      </c>
      <c r="KV98" s="1007">
        <v>7.5240000000000009</v>
      </c>
      <c r="KW98" s="1008">
        <v>0</v>
      </c>
      <c r="KX98" s="1007">
        <v>0</v>
      </c>
      <c r="KY98" s="1008">
        <v>0</v>
      </c>
      <c r="KZ98" s="1007">
        <v>0</v>
      </c>
      <c r="LA98" s="1008">
        <v>0</v>
      </c>
      <c r="LB98" s="1007">
        <v>0</v>
      </c>
      <c r="LC98" s="1008">
        <v>0</v>
      </c>
      <c r="LD98" s="1007">
        <v>0</v>
      </c>
      <c r="LE98" s="1008">
        <v>0</v>
      </c>
      <c r="LF98" s="1007">
        <v>0</v>
      </c>
      <c r="LG98" s="1008">
        <v>0</v>
      </c>
      <c r="LH98" s="1007">
        <v>0</v>
      </c>
      <c r="LI98" s="1008">
        <v>0</v>
      </c>
      <c r="LJ98" s="1007">
        <v>0</v>
      </c>
      <c r="LK98" s="1008">
        <v>0</v>
      </c>
      <c r="LL98" s="1007">
        <v>0</v>
      </c>
      <c r="LM98" s="1008" t="s">
        <v>206</v>
      </c>
      <c r="LN98" s="1007">
        <v>-3.6115200000000001</v>
      </c>
      <c r="LO98" s="1008">
        <v>0</v>
      </c>
      <c r="LP98" s="1007">
        <v>0</v>
      </c>
      <c r="LQ98" s="1008">
        <v>0</v>
      </c>
      <c r="LR98" s="1007">
        <v>0</v>
      </c>
      <c r="LS98" s="1008" t="s">
        <v>206</v>
      </c>
      <c r="LT98" s="1007">
        <v>-5.16</v>
      </c>
      <c r="LU98" s="1008" t="s">
        <v>206</v>
      </c>
      <c r="LV98" s="1007">
        <v>4.355559999999997</v>
      </c>
      <c r="LW98" s="1008" t="s">
        <v>207</v>
      </c>
      <c r="LX98" s="1007">
        <v>18.3147536</v>
      </c>
      <c r="LY98" s="1009" t="s">
        <v>206</v>
      </c>
      <c r="LZ98" s="1010">
        <v>-1.9299394399999983</v>
      </c>
      <c r="MA98" s="1011" t="s">
        <v>206</v>
      </c>
      <c r="MB98" s="1012">
        <v>1.7968678</v>
      </c>
      <c r="MC98" s="995"/>
      <c r="MD98" s="996"/>
      <c r="ME98" s="997" t="s">
        <v>238</v>
      </c>
      <c r="MF98" s="997"/>
      <c r="MG98" s="998"/>
      <c r="NR98" s="1000"/>
      <c r="NS98" s="1000"/>
      <c r="NT98" s="1001"/>
      <c r="NU98" s="1000"/>
      <c r="NV98" s="1001"/>
      <c r="NX98" s="1002"/>
      <c r="NZ98" s="1001"/>
      <c r="OA98" s="1001"/>
      <c r="OC98" s="1003"/>
      <c r="OD98" s="1003"/>
      <c r="OE98" s="1001"/>
      <c r="OF98" s="1003"/>
      <c r="OG98" s="1003"/>
      <c r="OH98" s="1003"/>
      <c r="OI98" s="1016"/>
      <c r="QX98" s="1000">
        <f t="shared" si="51"/>
        <v>50</v>
      </c>
      <c r="ASU98" s="999" t="s">
        <v>315</v>
      </c>
    </row>
    <row r="99" spans="1:466 1191:1191" ht="21" customHeight="1" x14ac:dyDescent="0.25">
      <c r="A99" s="982" t="str">
        <f t="shared" si="59"/>
        <v>1015-1</v>
      </c>
      <c r="B99" s="124">
        <f>SUBTOTAL(103,$J$29:J99)</f>
        <v>71</v>
      </c>
      <c r="C99" s="126">
        <v>45068</v>
      </c>
      <c r="D99" s="124" t="s">
        <v>176</v>
      </c>
      <c r="E99" s="127" t="s">
        <v>177</v>
      </c>
      <c r="F99" s="128" t="s">
        <v>177</v>
      </c>
      <c r="G99" s="127" t="s">
        <v>178</v>
      </c>
      <c r="H99" s="127" t="s">
        <v>421</v>
      </c>
      <c r="I99" s="127" t="s">
        <v>567</v>
      </c>
      <c r="J99" s="152" t="s">
        <v>591</v>
      </c>
      <c r="K99" s="127" t="s">
        <v>592</v>
      </c>
      <c r="L99" s="130">
        <v>41932</v>
      </c>
      <c r="M99" s="127" t="s">
        <v>230</v>
      </c>
      <c r="N99" s="127" t="s">
        <v>231</v>
      </c>
      <c r="O99" s="127" t="s">
        <v>185</v>
      </c>
      <c r="P99" s="127" t="s">
        <v>186</v>
      </c>
      <c r="Q99" s="85" t="str">
        <f t="shared" si="85"/>
        <v/>
      </c>
      <c r="R99" s="130"/>
      <c r="S99" s="128"/>
      <c r="T99" s="131"/>
      <c r="U99" s="132">
        <v>203</v>
      </c>
      <c r="V99" s="121">
        <v>218.2</v>
      </c>
      <c r="W99" s="116">
        <v>0.98</v>
      </c>
      <c r="X99" s="116">
        <v>1.66</v>
      </c>
      <c r="Y99" s="116">
        <f t="shared" si="41"/>
        <v>0.98</v>
      </c>
      <c r="Z99" s="133">
        <v>1.454</v>
      </c>
      <c r="AA99" s="133">
        <v>0.83599999999999997</v>
      </c>
      <c r="AB99" s="133">
        <v>0.72</v>
      </c>
      <c r="AC99" s="121">
        <v>34.299999999999997</v>
      </c>
      <c r="AD99" s="134">
        <v>1.17</v>
      </c>
      <c r="AE99" s="124">
        <v>177.8</v>
      </c>
      <c r="AF99" s="128">
        <v>9.19</v>
      </c>
      <c r="AG99" s="128">
        <v>2118</v>
      </c>
      <c r="AH99" s="127" t="s">
        <v>593</v>
      </c>
      <c r="AI99" s="127" t="s">
        <v>593</v>
      </c>
      <c r="AJ99" s="135"/>
      <c r="AK99" s="128"/>
      <c r="AL99" s="131"/>
      <c r="AM99" s="124" t="s">
        <v>232</v>
      </c>
      <c r="AN99" s="136" t="s">
        <v>594</v>
      </c>
      <c r="AO99" s="137" t="s">
        <v>595</v>
      </c>
      <c r="AP99" s="128">
        <v>2118</v>
      </c>
      <c r="AQ99" s="128">
        <v>235.9</v>
      </c>
      <c r="AR99" s="128"/>
      <c r="AS99" s="128"/>
      <c r="AT99" s="122"/>
      <c r="AU99" s="124" t="s">
        <v>189</v>
      </c>
      <c r="AV99" s="115">
        <f>VLOOKUP(J99,'[63]ТР нефть'!$J$28:$BP$638,39,0)</f>
        <v>588.00001611300002</v>
      </c>
      <c r="AW99" s="115" t="str">
        <f>VLOOKUP(J99,'[63]ТР нефть'!$J$28:$BP$638,40,0)</f>
        <v>ГП</v>
      </c>
      <c r="AX99" s="115">
        <f>VLOOKUP(J99,'[63]ТР нефть'!$J$28:$BP$638,41,0)</f>
        <v>1195.000025977</v>
      </c>
      <c r="AY99" s="115" t="str">
        <f>VLOOKUP(J99,'[63]ТР нефть'!$J$28:$BP$638,42,0)</f>
        <v>ГП</v>
      </c>
      <c r="AZ99" s="115">
        <f>VLOOKUP(J99,'[63]ТР нефть'!$J$28:$BP$638,43,0)</f>
        <v>1499.999976563</v>
      </c>
      <c r="BA99" s="115" t="str">
        <f>VLOOKUP(J99,'[63]ТР нефть'!$J$28:$BP$638,44,0)</f>
        <v>ГК 90 /32</v>
      </c>
      <c r="BB99" s="115" t="str">
        <f>VLOOKUP(J99,'[63]ТР нефть'!$J$28:$BP$638,45,0)</f>
        <v>-</v>
      </c>
      <c r="BC99" s="115" t="str">
        <f>VLOOKUP(J99,'[63]ТР нефть'!$J$28:$BP$638,46,0)</f>
        <v>-</v>
      </c>
      <c r="BD99" s="115" t="str">
        <f>VLOOKUP(J99,'[63]ТР нефть'!$J$28:$BP$638,47,0)</f>
        <v>-</v>
      </c>
      <c r="BE99" s="115" t="str">
        <f>VLOOKUP(J99,'[63]ТР нефть'!$J$28:$BP$638,48,0)</f>
        <v>-</v>
      </c>
      <c r="BF99" s="115" t="str">
        <f>VLOOKUP(J99,'[63]ТР нефть'!$J$28:$BP$638,49,0)</f>
        <v>-</v>
      </c>
      <c r="BG99" s="115" t="str">
        <f>VLOOKUP(J99,'[63]ТР нефть'!$J$28:$BP$638,50,0)</f>
        <v>-</v>
      </c>
      <c r="BH99" s="115">
        <f>VLOOKUP(J99,'[63]ТР нефть'!$J$28:$BP$638,51,0)</f>
        <v>1747</v>
      </c>
      <c r="BI99" s="115" t="str">
        <f>VLOOKUP(J99,'[63]ТР нефть'!$J$28:$BP$638,52,0)</f>
        <v>закрыт</v>
      </c>
      <c r="BJ99" s="115" t="str">
        <f>IF(IFERROR(VLOOKUP(J99,'[63]ТР нефть'!$J$28:$BP$638,53,0),"-")=0,"-",IFERROR(VLOOKUP(J99,'[63]ТР нефть'!$J$28:$BP$638,53,0),"-"))</f>
        <v>-</v>
      </c>
      <c r="BK99" s="138" t="str">
        <f>IF(IFERROR(VLOOKUP(J99,'[63]ТР нефть'!$J$28:$BP$638,54,0),"-")=0,"-",IFERROR(VLOOKUP(J99,'[63]ТР нефть'!$J$28:$BP$638,54,0),"-"))</f>
        <v>-</v>
      </c>
      <c r="BL99" s="138" t="str">
        <f>IF(IFERROR(VLOOKUP(J99,'[63]ТР нефть'!$J$28:$BP$638,55,0),"-")=0,"-",IFERROR(VLOOKUP(J99,'[63]ТР нефть'!$J$28:$BP$638,55,0),"-"))</f>
        <v>-</v>
      </c>
      <c r="BM99" s="138" t="str">
        <f>IF(IFERROR(VLOOKUP(J99,'[63]ТР нефть'!$J$28:$BP$638,56,0),"-")=0,"-",IFERROR(VLOOKUP(J99,'[63]ТР нефть'!$J$28:$BP$638,56,0),"-"))</f>
        <v>-</v>
      </c>
      <c r="BN99" s="138" t="str">
        <f>IF(IFERROR(VLOOKUP(J99,'[63]ТР нефть'!$J$28:$BP$638,57,0),"-")=0,"-",IFERROR(VLOOKUP(J99,'[63]ТР нефть'!$J$28:$BP$638,57,0),"-"))</f>
        <v>-</v>
      </c>
      <c r="BO99" s="115" t="str">
        <f>IF(IFERROR(VLOOKUP(J99,'[63]ТР нефть'!$J$28:$BP$638,58,0),"-")=0,"-",IFERROR(VLOOKUP(J99,'[63]ТР нефть'!$J$28:$BP$638,58,0),"-"))</f>
        <v>-</v>
      </c>
      <c r="BP99" s="115" t="str">
        <f>IF(IFERROR(VLOOKUP(J99,'[63]ТР нефть'!$J$28:$BP$638,59,0),"-")=0,"-",IFERROR(VLOOKUP(J99,'[63]ТР нефть'!$J$28:$BP$638,59,0),"-"))</f>
        <v>-</v>
      </c>
      <c r="BQ99" s="138">
        <v>2120</v>
      </c>
      <c r="BR99" s="128">
        <v>1750.33</v>
      </c>
      <c r="BS99" s="115">
        <f t="shared" si="60"/>
        <v>369.67000000000007</v>
      </c>
      <c r="BT99" s="128">
        <v>73</v>
      </c>
      <c r="BU99" s="128">
        <v>5.5</v>
      </c>
      <c r="BV99" s="127">
        <v>65</v>
      </c>
      <c r="BW99" s="127" t="s">
        <v>217</v>
      </c>
      <c r="BX99" s="127" t="s">
        <v>195</v>
      </c>
      <c r="BY99" s="139">
        <v>24</v>
      </c>
      <c r="BZ99" s="139">
        <v>0</v>
      </c>
      <c r="CA99" s="115">
        <v>26</v>
      </c>
      <c r="CB99" s="115">
        <v>36</v>
      </c>
      <c r="CC99" s="115">
        <v>25</v>
      </c>
      <c r="CD99" s="135">
        <v>45017</v>
      </c>
      <c r="CE99" s="138">
        <v>83</v>
      </c>
      <c r="CF99" s="138">
        <v>69</v>
      </c>
      <c r="CG99" s="138" t="str">
        <f t="shared" si="52"/>
        <v>В работе</v>
      </c>
      <c r="CH99" s="138" t="s">
        <v>196</v>
      </c>
      <c r="CI99" s="127">
        <v>6</v>
      </c>
      <c r="CJ99" s="138"/>
      <c r="CK99" s="138"/>
      <c r="CL99" s="99"/>
      <c r="CM99" s="99"/>
      <c r="CN99" s="140">
        <v>49</v>
      </c>
      <c r="CO99" s="159">
        <f t="shared" si="61"/>
        <v>6.6879999999999997</v>
      </c>
      <c r="CP99" s="160">
        <v>8</v>
      </c>
      <c r="CQ99" s="161">
        <v>0</v>
      </c>
      <c r="CR99" s="115">
        <v>19</v>
      </c>
      <c r="CS99" s="115">
        <v>3</v>
      </c>
      <c r="CT99" s="138"/>
      <c r="CU99" s="138">
        <f t="shared" si="62"/>
        <v>16</v>
      </c>
      <c r="CV99" s="115">
        <f t="shared" si="63"/>
        <v>2392.3444976076557</v>
      </c>
      <c r="CW99" s="115">
        <f t="shared" si="64"/>
        <v>448.56459330143542</v>
      </c>
      <c r="CX99" s="133">
        <f t="shared" si="65"/>
        <v>0.23529411764705882</v>
      </c>
      <c r="CY99" s="116"/>
      <c r="CZ99" s="131"/>
      <c r="DA99" s="145" t="str">
        <f t="shared" si="66"/>
        <v>Газлифт</v>
      </c>
      <c r="DB99" s="146">
        <f t="shared" si="67"/>
        <v>6.3535999999999992</v>
      </c>
      <c r="DC99" s="142">
        <f t="shared" si="68"/>
        <v>8</v>
      </c>
      <c r="DD99" s="119">
        <f t="shared" si="69"/>
        <v>5</v>
      </c>
      <c r="DE99" s="115">
        <f t="shared" si="70"/>
        <v>16</v>
      </c>
      <c r="DF99" s="121">
        <f t="shared" si="71"/>
        <v>3</v>
      </c>
      <c r="DG99" s="115">
        <f t="shared" si="72"/>
        <v>2392.3444976076557</v>
      </c>
      <c r="DH99" s="115">
        <f t="shared" si="73"/>
        <v>49</v>
      </c>
      <c r="DI99" s="147"/>
      <c r="DJ99" s="111" t="s">
        <v>197</v>
      </c>
      <c r="DK99" s="112">
        <v>41932</v>
      </c>
      <c r="DL99" s="113">
        <f t="shared" ca="1" si="42"/>
        <v>3172</v>
      </c>
      <c r="DM99" s="114"/>
      <c r="DN99" s="114"/>
      <c r="DO99" s="114"/>
      <c r="DP99" s="114"/>
      <c r="DQ99" s="112">
        <v>42841</v>
      </c>
      <c r="DR99" s="114" t="s">
        <v>198</v>
      </c>
      <c r="DS99" s="114"/>
      <c r="DT99" s="115">
        <v>50</v>
      </c>
      <c r="DU99" s="116">
        <f t="shared" si="43"/>
        <v>0.24242424242424243</v>
      </c>
      <c r="DV99" s="117">
        <f t="shared" si="44"/>
        <v>6.6879999999999997</v>
      </c>
      <c r="DW99" s="118">
        <f t="shared" si="45"/>
        <v>8</v>
      </c>
      <c r="DX99" s="119">
        <f t="shared" si="74"/>
        <v>0</v>
      </c>
      <c r="DY99" s="115">
        <f t="shared" si="46"/>
        <v>16.000000000000004</v>
      </c>
      <c r="DZ99" s="117">
        <f t="shared" si="47"/>
        <v>0</v>
      </c>
      <c r="EA99" s="120">
        <f t="shared" si="47"/>
        <v>0</v>
      </c>
      <c r="EB99" s="119">
        <f t="shared" si="47"/>
        <v>0</v>
      </c>
      <c r="EC99" s="121">
        <f t="shared" si="48"/>
        <v>0</v>
      </c>
      <c r="ED99" s="122"/>
      <c r="EE99" s="145">
        <v>65</v>
      </c>
      <c r="EF99" s="115">
        <v>19</v>
      </c>
      <c r="EG99" s="115">
        <v>55</v>
      </c>
      <c r="EH99" s="115">
        <v>18</v>
      </c>
      <c r="EI99" s="128" t="s">
        <v>218</v>
      </c>
      <c r="EJ99" s="121">
        <v>24</v>
      </c>
      <c r="EK99" s="121">
        <v>24</v>
      </c>
      <c r="EL99" s="162">
        <v>2.3825999999999996</v>
      </c>
      <c r="EM99" s="142">
        <v>3</v>
      </c>
      <c r="EN99" s="119">
        <v>5</v>
      </c>
      <c r="EO99" s="115">
        <v>9</v>
      </c>
      <c r="EP99" s="115">
        <v>2518.2573659027958</v>
      </c>
      <c r="EQ99" s="115">
        <v>78</v>
      </c>
      <c r="ER99" s="115">
        <v>3</v>
      </c>
      <c r="ES99" s="115">
        <v>49</v>
      </c>
      <c r="ET99" s="150">
        <v>8.8235294117647065E-2</v>
      </c>
      <c r="EU99" s="145">
        <f t="shared" si="75"/>
        <v>65</v>
      </c>
      <c r="EV99" s="115">
        <f t="shared" si="76"/>
        <v>26</v>
      </c>
      <c r="EW99" s="115">
        <f t="shared" si="76"/>
        <v>36</v>
      </c>
      <c r="EX99" s="115">
        <f t="shared" si="76"/>
        <v>25</v>
      </c>
      <c r="EY99" s="115" t="str">
        <f t="shared" si="77"/>
        <v>Постоянный</v>
      </c>
      <c r="EZ99" s="115">
        <f t="shared" si="77"/>
        <v>24</v>
      </c>
      <c r="FA99" s="115">
        <f t="shared" si="77"/>
        <v>0</v>
      </c>
      <c r="FB99" s="149">
        <f t="shared" si="78"/>
        <v>6.6879999999999997</v>
      </c>
      <c r="FC99" s="142">
        <f t="shared" si="78"/>
        <v>8</v>
      </c>
      <c r="FD99" s="119">
        <f t="shared" si="78"/>
        <v>0</v>
      </c>
      <c r="FE99" s="121">
        <f t="shared" si="78"/>
        <v>19</v>
      </c>
      <c r="FF99" s="121">
        <f t="shared" si="49"/>
        <v>2392.3444976076557</v>
      </c>
      <c r="FG99" s="121">
        <f t="shared" si="79"/>
        <v>69</v>
      </c>
      <c r="FH99" s="121">
        <f t="shared" si="50"/>
        <v>3</v>
      </c>
      <c r="FI99" s="121">
        <f t="shared" si="54"/>
        <v>49</v>
      </c>
      <c r="FJ99" s="144">
        <f t="shared" si="80"/>
        <v>0.23529411764705882</v>
      </c>
      <c r="FK99" s="132">
        <f t="shared" si="81"/>
        <v>0</v>
      </c>
      <c r="FL99" s="115">
        <f t="shared" si="81"/>
        <v>7</v>
      </c>
      <c r="FM99" s="115">
        <f t="shared" si="81"/>
        <v>-19</v>
      </c>
      <c r="FN99" s="115">
        <f t="shared" si="58"/>
        <v>7</v>
      </c>
      <c r="FO99" s="115">
        <f t="shared" si="57"/>
        <v>0</v>
      </c>
      <c r="FP99" s="115">
        <f t="shared" si="56"/>
        <v>-24</v>
      </c>
      <c r="FQ99" s="149">
        <f t="shared" si="56"/>
        <v>4.3054000000000006</v>
      </c>
      <c r="FR99" s="142">
        <f t="shared" si="56"/>
        <v>5</v>
      </c>
      <c r="FS99" s="119">
        <f t="shared" si="56"/>
        <v>-5</v>
      </c>
      <c r="FT99" s="121">
        <f t="shared" si="56"/>
        <v>10</v>
      </c>
      <c r="FU99" s="121">
        <f t="shared" si="82"/>
        <v>-9</v>
      </c>
      <c r="FV99" s="121">
        <f t="shared" si="82"/>
        <v>0</v>
      </c>
      <c r="FW99" s="121">
        <f t="shared" si="83"/>
        <v>-125.91286829514002</v>
      </c>
      <c r="FX99" s="121">
        <f t="shared" si="84"/>
        <v>0</v>
      </c>
      <c r="FY99" s="144">
        <f t="shared" si="84"/>
        <v>0.14705882352941174</v>
      </c>
      <c r="FZ99" s="145" t="s">
        <v>199</v>
      </c>
      <c r="GA99" s="151" t="s">
        <v>596</v>
      </c>
      <c r="GB99" s="145"/>
      <c r="GC99" s="151"/>
      <c r="GD99" s="997" t="s">
        <v>416</v>
      </c>
      <c r="GE99" s="1004"/>
      <c r="GF99" s="1004">
        <v>0</v>
      </c>
      <c r="GG99" s="1004"/>
      <c r="GH99" s="1004">
        <v>0</v>
      </c>
      <c r="GI99" s="145"/>
      <c r="GJ99" s="996">
        <v>0</v>
      </c>
      <c r="GK99" s="145"/>
      <c r="GL99" s="996">
        <v>0</v>
      </c>
      <c r="GM99" s="1005"/>
      <c r="GN99" s="996">
        <v>0</v>
      </c>
      <c r="GO99" s="1006"/>
      <c r="GP99" s="996">
        <v>0</v>
      </c>
      <c r="GQ99" s="1006"/>
      <c r="GR99" s="996">
        <v>0</v>
      </c>
      <c r="GS99" s="1006"/>
      <c r="GT99" s="996">
        <v>0</v>
      </c>
      <c r="GU99" s="1006" t="s">
        <v>204</v>
      </c>
      <c r="GV99" s="996">
        <v>-1.2119910000000003</v>
      </c>
      <c r="GW99" s="1006"/>
      <c r="GX99" s="996">
        <v>0</v>
      </c>
      <c r="GY99" s="1006"/>
      <c r="GZ99" s="996">
        <v>0</v>
      </c>
      <c r="HA99" s="1006"/>
      <c r="HB99" s="996">
        <v>-0.20084899999999983</v>
      </c>
      <c r="HC99" s="1006"/>
      <c r="HD99" s="996">
        <v>-0.84969903040000005</v>
      </c>
      <c r="HE99" s="1006"/>
      <c r="HF99" s="996">
        <v>0</v>
      </c>
      <c r="HG99" s="1006"/>
      <c r="HH99" s="996">
        <v>0</v>
      </c>
      <c r="HI99" s="1006" t="s">
        <v>223</v>
      </c>
      <c r="HJ99" s="996">
        <v>-1.5871009696000002</v>
      </c>
      <c r="HK99" s="1006"/>
      <c r="HL99" s="996">
        <v>0</v>
      </c>
      <c r="HM99" s="1006" t="s">
        <v>199</v>
      </c>
      <c r="HN99" s="996">
        <v>2.3011253627999988</v>
      </c>
      <c r="HO99" s="1006"/>
      <c r="HP99" s="996">
        <v>0</v>
      </c>
      <c r="HQ99" s="1006"/>
      <c r="HR99" s="996">
        <v>0</v>
      </c>
      <c r="HS99" s="1006"/>
      <c r="HT99" s="996">
        <v>0</v>
      </c>
      <c r="HU99" s="1006"/>
      <c r="HV99" s="996">
        <v>0</v>
      </c>
      <c r="HW99" s="1006"/>
      <c r="HX99" s="996">
        <v>0</v>
      </c>
      <c r="HY99" s="1006"/>
      <c r="HZ99" s="996">
        <v>0.58415499999999998</v>
      </c>
      <c r="IA99" s="1006"/>
      <c r="IB99" s="996">
        <v>0</v>
      </c>
      <c r="IC99" s="1006"/>
      <c r="ID99" s="996">
        <v>0</v>
      </c>
      <c r="IE99" s="1006"/>
      <c r="IF99" s="996">
        <v>0</v>
      </c>
      <c r="IG99" s="1006"/>
      <c r="IH99" s="996">
        <v>0</v>
      </c>
      <c r="II99" s="1006"/>
      <c r="IJ99" s="996">
        <v>0</v>
      </c>
      <c r="IK99" s="1006" t="s">
        <v>204</v>
      </c>
      <c r="IL99" s="996">
        <v>-2.1307550000000006</v>
      </c>
      <c r="IM99" s="1006"/>
      <c r="IN99" s="996">
        <v>0</v>
      </c>
      <c r="IO99" s="1006"/>
      <c r="IP99" s="996">
        <v>-0.5102108000000003</v>
      </c>
      <c r="IQ99" s="1006" t="s">
        <v>199</v>
      </c>
      <c r="IR99" s="996">
        <v>6.8243683200000005</v>
      </c>
      <c r="IS99" s="1006"/>
      <c r="IT99" s="996">
        <v>0</v>
      </c>
      <c r="IU99" s="1006"/>
      <c r="IV99" s="996">
        <v>0</v>
      </c>
      <c r="IW99" s="1006" t="s">
        <v>199</v>
      </c>
      <c r="IX99" s="996">
        <v>-8.0430055199999995</v>
      </c>
      <c r="IY99" s="1006"/>
      <c r="IZ99" s="996">
        <v>0</v>
      </c>
      <c r="JA99" s="1006"/>
      <c r="JB99" s="996">
        <v>0</v>
      </c>
      <c r="JC99" s="1006"/>
      <c r="JD99" s="996">
        <v>0</v>
      </c>
      <c r="JE99" s="1006"/>
      <c r="JF99" s="996">
        <v>0</v>
      </c>
      <c r="JG99" s="1006"/>
      <c r="JH99" s="996">
        <v>0</v>
      </c>
      <c r="JI99" s="1006"/>
      <c r="JJ99" s="996">
        <v>0</v>
      </c>
      <c r="JK99" s="1007"/>
      <c r="JL99" s="1007">
        <v>0</v>
      </c>
      <c r="JM99" s="1007"/>
      <c r="JN99" s="1007">
        <v>0</v>
      </c>
      <c r="JO99" s="1008"/>
      <c r="JP99" s="1007">
        <v>0</v>
      </c>
      <c r="JQ99" s="1008" t="s">
        <v>199</v>
      </c>
      <c r="JR99" s="1007">
        <v>3.8734387999999997</v>
      </c>
      <c r="JS99" s="1008">
        <v>0</v>
      </c>
      <c r="JT99" s="1007">
        <v>0</v>
      </c>
      <c r="JU99" s="1008" t="s">
        <v>199</v>
      </c>
      <c r="JV99" s="1007">
        <v>-2.4351843999999998</v>
      </c>
      <c r="JW99" s="1008" t="s">
        <v>197</v>
      </c>
      <c r="JX99" s="1007">
        <v>0</v>
      </c>
      <c r="JY99" s="1008"/>
      <c r="JZ99" s="1007">
        <v>0</v>
      </c>
      <c r="KA99" s="1008"/>
      <c r="KB99" s="1007">
        <v>0</v>
      </c>
      <c r="KC99" s="1008"/>
      <c r="KD99" s="1007">
        <v>0</v>
      </c>
      <c r="KE99" s="1008"/>
      <c r="KF99" s="1007">
        <v>0</v>
      </c>
      <c r="KG99" s="1008"/>
      <c r="KH99" s="1007">
        <v>0</v>
      </c>
      <c r="KI99" s="1008"/>
      <c r="KJ99" s="1007">
        <v>0</v>
      </c>
      <c r="KK99" s="1008" t="s">
        <v>206</v>
      </c>
      <c r="KL99" s="1007">
        <v>0.83574919999999953</v>
      </c>
      <c r="KM99" s="1008"/>
      <c r="KN99" s="1007">
        <v>0</v>
      </c>
      <c r="KO99" s="1008" t="s">
        <v>207</v>
      </c>
      <c r="KP99" s="1007">
        <v>-9.7782656399999972</v>
      </c>
      <c r="KQ99" s="1008" t="s">
        <v>207</v>
      </c>
      <c r="KR99" s="1007">
        <v>5.5995196399999969</v>
      </c>
      <c r="KS99" s="1008" t="s">
        <v>204</v>
      </c>
      <c r="KT99" s="1007">
        <v>2.5072476000000012</v>
      </c>
      <c r="KU99" s="1008">
        <v>0</v>
      </c>
      <c r="KV99" s="1007">
        <v>0</v>
      </c>
      <c r="KW99" s="1008" t="s">
        <v>504</v>
      </c>
      <c r="KX99" s="1007">
        <v>0</v>
      </c>
      <c r="KY99" s="1008">
        <v>0</v>
      </c>
      <c r="KZ99" s="1007">
        <v>0</v>
      </c>
      <c r="LA99" s="1008">
        <v>0</v>
      </c>
      <c r="LB99" s="1007">
        <v>0</v>
      </c>
      <c r="LC99" s="1008">
        <v>0</v>
      </c>
      <c r="LD99" s="1007">
        <v>0</v>
      </c>
      <c r="LE99" s="1008">
        <v>0</v>
      </c>
      <c r="LF99" s="1007">
        <v>0</v>
      </c>
      <c r="LG99" s="1008" t="s">
        <v>204</v>
      </c>
      <c r="LH99" s="1007">
        <v>-2.572476</v>
      </c>
      <c r="LI99" s="1008" t="s">
        <v>204</v>
      </c>
      <c r="LJ99" s="1007">
        <v>2.9251222000000023</v>
      </c>
      <c r="LK99" s="1008" t="s">
        <v>206</v>
      </c>
      <c r="LL99" s="1007">
        <v>-2.4236726800000001</v>
      </c>
      <c r="LM99" s="1008" t="s">
        <v>203</v>
      </c>
      <c r="LN99" s="1007">
        <v>-2.93973</v>
      </c>
      <c r="LO99" s="1008">
        <v>0</v>
      </c>
      <c r="LP99" s="1007">
        <v>0</v>
      </c>
      <c r="LQ99" s="1008" t="s">
        <v>199</v>
      </c>
      <c r="LR99" s="1007">
        <v>-9.7244694000000003</v>
      </c>
      <c r="LS99" s="1008" t="s">
        <v>25</v>
      </c>
      <c r="LT99" s="1007">
        <v>12.217922640000001</v>
      </c>
      <c r="LU99" s="1008">
        <v>0</v>
      </c>
      <c r="LV99" s="1007">
        <v>0</v>
      </c>
      <c r="LW99" s="1008">
        <v>0</v>
      </c>
      <c r="LX99" s="1007">
        <v>0</v>
      </c>
      <c r="LY99" s="1009">
        <v>0</v>
      </c>
      <c r="LZ99" s="1010">
        <v>-0.57691680000000001</v>
      </c>
      <c r="MA99" s="1011" t="s">
        <v>206</v>
      </c>
      <c r="MB99" s="1012">
        <v>1.2819123680000004</v>
      </c>
      <c r="MC99" s="995"/>
      <c r="MD99" s="996"/>
      <c r="ME99" s="997" t="s">
        <v>416</v>
      </c>
      <c r="MF99" s="997"/>
      <c r="MG99" s="998"/>
      <c r="NR99" s="1000"/>
      <c r="NS99" s="1000"/>
      <c r="NT99" s="1001"/>
      <c r="NU99" s="1000"/>
      <c r="NV99" s="1001"/>
      <c r="NX99" s="1002"/>
      <c r="NZ99" s="1001"/>
      <c r="OA99" s="1001"/>
      <c r="OC99" s="1003"/>
      <c r="OD99" s="1003"/>
      <c r="OE99" s="1001"/>
      <c r="OF99" s="1003"/>
      <c r="OG99" s="1003"/>
      <c r="QX99" s="1000">
        <f t="shared" si="51"/>
        <v>23</v>
      </c>
      <c r="ASU99" s="999" t="s">
        <v>225</v>
      </c>
    </row>
    <row r="100" spans="1:466 1191:1191" ht="21" customHeight="1" x14ac:dyDescent="0.25">
      <c r="A100" s="982">
        <f t="shared" si="59"/>
        <v>1016</v>
      </c>
      <c r="B100" s="124">
        <f>SUBTOTAL(103,$J$29:J100)</f>
        <v>72</v>
      </c>
      <c r="C100" s="126">
        <v>45096</v>
      </c>
      <c r="D100" s="124" t="s">
        <v>176</v>
      </c>
      <c r="E100" s="127" t="s">
        <v>177</v>
      </c>
      <c r="F100" s="128" t="s">
        <v>177</v>
      </c>
      <c r="G100" s="127" t="s">
        <v>178</v>
      </c>
      <c r="H100" s="127" t="s">
        <v>421</v>
      </c>
      <c r="I100" s="127" t="s">
        <v>560</v>
      </c>
      <c r="J100" s="152">
        <v>1016</v>
      </c>
      <c r="K100" s="127" t="s">
        <v>597</v>
      </c>
      <c r="L100" s="130">
        <v>41398</v>
      </c>
      <c r="M100" s="127" t="s">
        <v>230</v>
      </c>
      <c r="N100" s="127" t="s">
        <v>231</v>
      </c>
      <c r="O100" s="127" t="s">
        <v>185</v>
      </c>
      <c r="P100" s="127" t="s">
        <v>315</v>
      </c>
      <c r="Q100" s="85" t="str">
        <f t="shared" si="85"/>
        <v/>
      </c>
      <c r="R100" s="130"/>
      <c r="S100" s="128" t="s">
        <v>156</v>
      </c>
      <c r="T100" s="131"/>
      <c r="U100" s="132">
        <v>203</v>
      </c>
      <c r="V100" s="121">
        <v>218.2</v>
      </c>
      <c r="W100" s="116">
        <v>0.98</v>
      </c>
      <c r="X100" s="116">
        <v>1.66</v>
      </c>
      <c r="Y100" s="116">
        <f t="shared" si="41"/>
        <v>1.2517697753154817</v>
      </c>
      <c r="Z100" s="133">
        <v>1.454</v>
      </c>
      <c r="AA100" s="133">
        <v>0.83599999999999997</v>
      </c>
      <c r="AB100" s="133">
        <v>0.72</v>
      </c>
      <c r="AC100" s="121">
        <v>34.299999999999997</v>
      </c>
      <c r="AD100" s="134">
        <v>1.17</v>
      </c>
      <c r="AE100" s="124">
        <v>177.8</v>
      </c>
      <c r="AF100" s="128">
        <v>9.19</v>
      </c>
      <c r="AG100" s="128">
        <v>2048</v>
      </c>
      <c r="AH100" s="127" t="s">
        <v>598</v>
      </c>
      <c r="AI100" s="127" t="s">
        <v>598</v>
      </c>
      <c r="AJ100" s="135"/>
      <c r="AK100" s="128"/>
      <c r="AL100" s="131"/>
      <c r="AM100" s="124" t="s">
        <v>232</v>
      </c>
      <c r="AN100" s="136" t="s">
        <v>599</v>
      </c>
      <c r="AO100" s="137">
        <v>52.24</v>
      </c>
      <c r="AP100" s="128">
        <v>2048.6</v>
      </c>
      <c r="AQ100" s="128">
        <v>193</v>
      </c>
      <c r="AR100" s="128"/>
      <c r="AS100" s="128"/>
      <c r="AT100" s="122"/>
      <c r="AU100" s="124" t="s">
        <v>250</v>
      </c>
      <c r="AV100" s="115">
        <f>VLOOKUP(J100,'[63]ТР нефть'!$J$28:$BP$638,39,0)</f>
        <v>600</v>
      </c>
      <c r="AW100" s="115" t="str">
        <f>VLOOKUP(J100,'[63]ТР нефть'!$J$28:$BP$638,40,0)</f>
        <v>ГП</v>
      </c>
      <c r="AX100" s="115">
        <f>VLOOKUP(J100,'[63]ТР нефть'!$J$28:$BP$638,41,0)</f>
        <v>1200</v>
      </c>
      <c r="AY100" s="115" t="str">
        <f>VLOOKUP(J100,'[63]ТР нефть'!$J$28:$BP$638,42,0)</f>
        <v>ГК 90 5/32</v>
      </c>
      <c r="AZ100" s="115">
        <f>VLOOKUP(J100,'[63]ТР нефть'!$J$28:$BP$638,43,0)</f>
        <v>1800</v>
      </c>
      <c r="BA100" s="115" t="str">
        <f>VLOOKUP(J100,'[63]ТР нефть'!$J$28:$BP$638,44,0)</f>
        <v>ЦКсОК 5/16</v>
      </c>
      <c r="BB100" s="115" t="str">
        <f>VLOOKUP(J100,'[63]ТР нефть'!$J$28:$BP$638,45,0)</f>
        <v>-</v>
      </c>
      <c r="BC100" s="115" t="str">
        <f>VLOOKUP(J100,'[63]ТР нефть'!$J$28:$BP$638,46,0)</f>
        <v>-</v>
      </c>
      <c r="BD100" s="115" t="str">
        <f>VLOOKUP(J100,'[63]ТР нефть'!$J$28:$BP$638,47,0)</f>
        <v>-</v>
      </c>
      <c r="BE100" s="115" t="str">
        <f>VLOOKUP(J100,'[63]ТР нефть'!$J$28:$BP$638,48,0)</f>
        <v>-</v>
      </c>
      <c r="BF100" s="115" t="str">
        <f>VLOOKUP(J100,'[63]ТР нефть'!$J$28:$BP$638,49,0)</f>
        <v>-</v>
      </c>
      <c r="BG100" s="115" t="str">
        <f>VLOOKUP(J100,'[63]ТР нефть'!$J$28:$BP$638,50,0)</f>
        <v>-</v>
      </c>
      <c r="BH100" s="115" t="str">
        <f>VLOOKUP(J100,'[63]ТР нефть'!$J$28:$BP$638,51,0)</f>
        <v>-</v>
      </c>
      <c r="BI100" s="115" t="str">
        <f>VLOOKUP(J100,'[63]ТР нефть'!$J$28:$BP$638,52,0)</f>
        <v>-</v>
      </c>
      <c r="BJ100" s="115" t="str">
        <f>IF(IFERROR(VLOOKUP(J100,'[63]ТР нефть'!$J$28:$BP$638,53,0),"-")=0,"-",IFERROR(VLOOKUP(J100,'[63]ТР нефть'!$J$28:$BP$638,53,0),"-"))</f>
        <v>-</v>
      </c>
      <c r="BK100" s="138" t="str">
        <f>IF(IFERROR(VLOOKUP(J100,'[63]ТР нефть'!$J$28:$BP$638,54,0),"-")=0,"-",IFERROR(VLOOKUP(J100,'[63]ТР нефть'!$J$28:$BP$638,54,0),"-"))</f>
        <v>-</v>
      </c>
      <c r="BL100" s="138" t="str">
        <f>IF(IFERROR(VLOOKUP(J100,'[63]ТР нефть'!$J$28:$BP$638,55,0),"-")=0,"-",IFERROR(VLOOKUP(J100,'[63]ТР нефть'!$J$28:$BP$638,55,0),"-"))</f>
        <v>-</v>
      </c>
      <c r="BM100" s="138" t="str">
        <f>IF(IFERROR(VLOOKUP(J100,'[63]ТР нефть'!$J$28:$BP$638,56,0),"-")=0,"-",IFERROR(VLOOKUP(J100,'[63]ТР нефть'!$J$28:$BP$638,56,0),"-"))</f>
        <v>-</v>
      </c>
      <c r="BN100" s="138" t="str">
        <f>IF(IFERROR(VLOOKUP(J100,'[63]ТР нефть'!$J$28:$BP$638,57,0),"-")=0,"-",IFERROR(VLOOKUP(J100,'[63]ТР нефть'!$J$28:$BP$638,57,0),"-"))</f>
        <v>-</v>
      </c>
      <c r="BO100" s="115" t="str">
        <f>IF(IFERROR(VLOOKUP(J100,'[63]ТР нефть'!$J$28:$BP$638,58,0),"-")=0,"-",IFERROR(VLOOKUP(J100,'[63]ТР нефть'!$J$28:$BP$638,58,0),"-"))</f>
        <v>-</v>
      </c>
      <c r="BP100" s="115" t="str">
        <f>IF(IFERROR(VLOOKUP(J100,'[63]ТР нефть'!$J$28:$BP$638,59,0),"-")=0,"-",IFERROR(VLOOKUP(J100,'[63]ТР нефть'!$J$28:$BP$638,59,0),"-"))</f>
        <v>-</v>
      </c>
      <c r="BQ100" s="138">
        <v>2050</v>
      </c>
      <c r="BR100" s="128">
        <v>1855.47</v>
      </c>
      <c r="BS100" s="115">
        <f t="shared" si="60"/>
        <v>194.52999999999997</v>
      </c>
      <c r="BT100" s="128">
        <v>73</v>
      </c>
      <c r="BU100" s="128">
        <v>5.5</v>
      </c>
      <c r="BV100" s="127">
        <v>18</v>
      </c>
      <c r="BW100" s="127" t="s">
        <v>234</v>
      </c>
      <c r="BX100" s="127" t="s">
        <v>195</v>
      </c>
      <c r="BY100" s="139">
        <v>24</v>
      </c>
      <c r="BZ100" s="139">
        <v>0</v>
      </c>
      <c r="CA100" s="138">
        <v>38</v>
      </c>
      <c r="CB100" s="138">
        <v>49</v>
      </c>
      <c r="CC100" s="138">
        <v>24</v>
      </c>
      <c r="CD100" s="135">
        <v>45017</v>
      </c>
      <c r="CE100" s="138">
        <v>75.2</v>
      </c>
      <c r="CF100" s="138"/>
      <c r="CG100" s="138" t="str">
        <f t="shared" si="52"/>
        <v/>
      </c>
      <c r="CH100" s="138" t="s">
        <v>197</v>
      </c>
      <c r="CI100" s="127"/>
      <c r="CJ100" s="138"/>
      <c r="CK100" s="138"/>
      <c r="CL100" s="99"/>
      <c r="CM100" s="127"/>
      <c r="CN100" s="154">
        <v>68</v>
      </c>
      <c r="CO100" s="141">
        <f t="shared" si="61"/>
        <v>7.8191079999999982</v>
      </c>
      <c r="CP100" s="142">
        <v>19.899999999999999</v>
      </c>
      <c r="CQ100" s="143">
        <v>53</v>
      </c>
      <c r="CR100" s="138">
        <v>59</v>
      </c>
      <c r="CS100" s="139"/>
      <c r="CT100" s="138"/>
      <c r="CU100" s="138">
        <f t="shared" si="62"/>
        <v>59</v>
      </c>
      <c r="CV100" s="115">
        <f t="shared" si="63"/>
        <v>7545.6177354245538</v>
      </c>
      <c r="CW100" s="115" t="str">
        <f t="shared" si="64"/>
        <v/>
      </c>
      <c r="CX100" s="133">
        <f t="shared" si="65"/>
        <v>2.7638888888888875</v>
      </c>
      <c r="CY100" s="116"/>
      <c r="CZ100" s="131"/>
      <c r="DA100" s="145" t="str">
        <f t="shared" si="66"/>
        <v>Фон.</v>
      </c>
      <c r="DB100" s="146">
        <f t="shared" si="67"/>
        <v>7.8191079999999982</v>
      </c>
      <c r="DC100" s="142">
        <f t="shared" si="68"/>
        <v>19.899999999999999</v>
      </c>
      <c r="DD100" s="119">
        <f t="shared" si="69"/>
        <v>53</v>
      </c>
      <c r="DE100" s="115">
        <f t="shared" si="70"/>
        <v>59</v>
      </c>
      <c r="DF100" s="121">
        <f t="shared" si="71"/>
        <v>0</v>
      </c>
      <c r="DG100" s="115">
        <f t="shared" si="72"/>
        <v>7545.6177354245538</v>
      </c>
      <c r="DH100" s="115">
        <f t="shared" si="73"/>
        <v>68</v>
      </c>
      <c r="DI100" s="147"/>
      <c r="DJ100" s="111">
        <v>41806</v>
      </c>
      <c r="DK100" s="112">
        <v>41398</v>
      </c>
      <c r="DL100" s="113">
        <f t="shared" ca="1" si="42"/>
        <v>3706</v>
      </c>
      <c r="DM100" s="114"/>
      <c r="DN100" s="114"/>
      <c r="DO100" s="114"/>
      <c r="DP100" s="114"/>
      <c r="DQ100" s="112">
        <v>41398</v>
      </c>
      <c r="DR100" s="114" t="s">
        <v>324</v>
      </c>
      <c r="DS100" s="114"/>
      <c r="DT100" s="115">
        <v>60</v>
      </c>
      <c r="DU100" s="116">
        <f t="shared" si="43"/>
        <v>2.6274005486968424</v>
      </c>
      <c r="DV100" s="117">
        <f t="shared" si="44"/>
        <v>15.691844998628245</v>
      </c>
      <c r="DW100" s="118">
        <f t="shared" si="45"/>
        <v>39.936488340192014</v>
      </c>
      <c r="DX100" s="119">
        <f t="shared" si="74"/>
        <v>53</v>
      </c>
      <c r="DY100" s="115">
        <f t="shared" si="46"/>
        <v>118.40466392318237</v>
      </c>
      <c r="DZ100" s="117">
        <f t="shared" si="47"/>
        <v>7.8727369986282465</v>
      </c>
      <c r="EA100" s="120">
        <f t="shared" si="47"/>
        <v>20.036488340192015</v>
      </c>
      <c r="EB100" s="119">
        <f t="shared" si="47"/>
        <v>0</v>
      </c>
      <c r="EC100" s="121">
        <f t="shared" si="48"/>
        <v>59.404663923182369</v>
      </c>
      <c r="ED100" s="122"/>
      <c r="EE100" s="145">
        <v>18</v>
      </c>
      <c r="EF100" s="115">
        <v>38</v>
      </c>
      <c r="EG100" s="115">
        <v>49</v>
      </c>
      <c r="EH100" s="115">
        <v>24</v>
      </c>
      <c r="EI100" s="128" t="s">
        <v>195</v>
      </c>
      <c r="EJ100" s="121">
        <v>24</v>
      </c>
      <c r="EK100" s="121">
        <v>0</v>
      </c>
      <c r="EL100" s="149">
        <v>7.8191079999999982</v>
      </c>
      <c r="EM100" s="142">
        <v>19.899999999999999</v>
      </c>
      <c r="EN100" s="119">
        <v>53</v>
      </c>
      <c r="EO100" s="115">
        <v>59</v>
      </c>
      <c r="EP100" s="115">
        <v>7545.6177354245538</v>
      </c>
      <c r="EQ100" s="115">
        <v>0</v>
      </c>
      <c r="ER100" s="115">
        <v>0</v>
      </c>
      <c r="ES100" s="115">
        <v>68</v>
      </c>
      <c r="ET100" s="150">
        <v>2.7638888888888875</v>
      </c>
      <c r="EU100" s="145">
        <f t="shared" si="75"/>
        <v>18</v>
      </c>
      <c r="EV100" s="115">
        <f t="shared" si="76"/>
        <v>38</v>
      </c>
      <c r="EW100" s="115">
        <f t="shared" si="76"/>
        <v>49</v>
      </c>
      <c r="EX100" s="115">
        <f t="shared" si="76"/>
        <v>24</v>
      </c>
      <c r="EY100" s="115" t="str">
        <f t="shared" si="77"/>
        <v>Постоянный</v>
      </c>
      <c r="EZ100" s="115">
        <f t="shared" si="77"/>
        <v>24</v>
      </c>
      <c r="FA100" s="115">
        <f t="shared" si="77"/>
        <v>0</v>
      </c>
      <c r="FB100" s="149">
        <f t="shared" si="78"/>
        <v>7.8191079999999982</v>
      </c>
      <c r="FC100" s="142">
        <f t="shared" si="78"/>
        <v>19.899999999999999</v>
      </c>
      <c r="FD100" s="119">
        <f t="shared" si="78"/>
        <v>53</v>
      </c>
      <c r="FE100" s="121">
        <f t="shared" si="78"/>
        <v>59</v>
      </c>
      <c r="FF100" s="121">
        <f t="shared" si="49"/>
        <v>7545.6177354245538</v>
      </c>
      <c r="FG100" s="121">
        <f t="shared" si="79"/>
        <v>0</v>
      </c>
      <c r="FH100" s="121">
        <f t="shared" si="50"/>
        <v>0</v>
      </c>
      <c r="FI100" s="121">
        <f t="shared" si="54"/>
        <v>68</v>
      </c>
      <c r="FJ100" s="144">
        <f t="shared" si="80"/>
        <v>2.7638888888888875</v>
      </c>
      <c r="FK100" s="132">
        <f t="shared" si="81"/>
        <v>0</v>
      </c>
      <c r="FL100" s="115">
        <f t="shared" si="81"/>
        <v>0</v>
      </c>
      <c r="FM100" s="115">
        <f t="shared" si="81"/>
        <v>0</v>
      </c>
      <c r="FN100" s="115">
        <f t="shared" si="58"/>
        <v>0</v>
      </c>
      <c r="FO100" s="115">
        <f t="shared" si="57"/>
        <v>0</v>
      </c>
      <c r="FP100" s="115">
        <f t="shared" si="56"/>
        <v>0</v>
      </c>
      <c r="FQ100" s="149">
        <f t="shared" si="56"/>
        <v>0</v>
      </c>
      <c r="FR100" s="142">
        <f t="shared" si="56"/>
        <v>0</v>
      </c>
      <c r="FS100" s="119">
        <f t="shared" si="56"/>
        <v>0</v>
      </c>
      <c r="FT100" s="121">
        <f t="shared" si="56"/>
        <v>0</v>
      </c>
      <c r="FU100" s="121">
        <f t="shared" si="82"/>
        <v>0</v>
      </c>
      <c r="FV100" s="121">
        <f t="shared" si="82"/>
        <v>0</v>
      </c>
      <c r="FW100" s="121">
        <f t="shared" si="83"/>
        <v>0</v>
      </c>
      <c r="FX100" s="121">
        <f t="shared" si="84"/>
        <v>0</v>
      </c>
      <c r="FY100" s="144">
        <f t="shared" si="84"/>
        <v>0</v>
      </c>
      <c r="FZ100" s="145"/>
      <c r="GA100" s="151" t="s">
        <v>283</v>
      </c>
      <c r="GB100" s="145"/>
      <c r="GC100" s="151" t="s">
        <v>313</v>
      </c>
      <c r="GD100" s="997" t="s">
        <v>238</v>
      </c>
      <c r="GE100" s="1004"/>
      <c r="GF100" s="1004">
        <v>0</v>
      </c>
      <c r="GG100" s="1004"/>
      <c r="GH100" s="1004">
        <v>0</v>
      </c>
      <c r="GI100" s="145"/>
      <c r="GJ100" s="996">
        <v>0</v>
      </c>
      <c r="GK100" s="145"/>
      <c r="GL100" s="996">
        <v>0</v>
      </c>
      <c r="GM100" s="1005"/>
      <c r="GN100" s="996">
        <v>0</v>
      </c>
      <c r="GO100" s="1006" t="s">
        <v>308</v>
      </c>
      <c r="GP100" s="996">
        <v>-15.113886832000002</v>
      </c>
      <c r="GQ100" s="1006"/>
      <c r="GR100" s="996">
        <v>0</v>
      </c>
      <c r="GS100" s="1006" t="s">
        <v>308</v>
      </c>
      <c r="GT100" s="996">
        <v>1.277875156800004</v>
      </c>
      <c r="GU100" s="1006"/>
      <c r="GV100" s="996">
        <v>0</v>
      </c>
      <c r="GW100" s="1006"/>
      <c r="GX100" s="997">
        <v>-0.78153694080000591</v>
      </c>
      <c r="GY100" s="1006" t="s">
        <v>199</v>
      </c>
      <c r="GZ100" s="996">
        <v>4.2223801840000004</v>
      </c>
      <c r="HA100" s="1006"/>
      <c r="HB100" s="996">
        <v>0</v>
      </c>
      <c r="HC100" s="1006"/>
      <c r="HD100" s="996">
        <v>0</v>
      </c>
      <c r="HE100" s="1006"/>
      <c r="HF100" s="996">
        <v>0</v>
      </c>
      <c r="HG100" s="1006" t="s">
        <v>199</v>
      </c>
      <c r="HH100" s="996">
        <v>-2.6049760000000042</v>
      </c>
      <c r="HI100" s="1006"/>
      <c r="HJ100" s="996">
        <v>0</v>
      </c>
      <c r="HK100" s="1006" t="s">
        <v>199</v>
      </c>
      <c r="HL100" s="996">
        <v>12.048423138400004</v>
      </c>
      <c r="HM100" s="1006" t="s">
        <v>199</v>
      </c>
      <c r="HN100" s="996">
        <v>-5.0745111384000019</v>
      </c>
      <c r="HO100" s="1006" t="s">
        <v>199</v>
      </c>
      <c r="HP100" s="996">
        <v>-6.4445568000000009</v>
      </c>
      <c r="HQ100" s="1006" t="s">
        <v>204</v>
      </c>
      <c r="HR100" s="996">
        <v>-3.5004991999999966</v>
      </c>
      <c r="HS100" s="1006"/>
      <c r="HT100" s="996">
        <v>0</v>
      </c>
      <c r="HU100" s="1006"/>
      <c r="HV100" s="996">
        <v>0</v>
      </c>
      <c r="HW100" s="1006" t="s">
        <v>204</v>
      </c>
      <c r="HX100" s="996">
        <v>1.1285999999999987</v>
      </c>
      <c r="HY100" s="1006" t="s">
        <v>241</v>
      </c>
      <c r="HZ100" s="996">
        <v>-5.8520000000000003</v>
      </c>
      <c r="IA100" s="1006" t="s">
        <v>199</v>
      </c>
      <c r="IB100" s="996">
        <v>-2.1736000000000004</v>
      </c>
      <c r="IC100" s="1006" t="s">
        <v>199</v>
      </c>
      <c r="ID100" s="996">
        <v>3.845600000000001</v>
      </c>
      <c r="IE100" s="1006" t="s">
        <v>199</v>
      </c>
      <c r="IF100" s="996">
        <v>-2.9659608000000013</v>
      </c>
      <c r="IG100" s="1006" t="s">
        <v>199</v>
      </c>
      <c r="IH100" s="996">
        <v>-2.0247084000000015</v>
      </c>
      <c r="II100" s="1006" t="s">
        <v>199</v>
      </c>
      <c r="IJ100" s="996">
        <v>6.9193212000000024</v>
      </c>
      <c r="IK100" s="1006"/>
      <c r="IL100" s="996">
        <v>0</v>
      </c>
      <c r="IM100" s="1006" t="s">
        <v>534</v>
      </c>
      <c r="IN100" s="996">
        <v>-5.8305983999999995</v>
      </c>
      <c r="IO100" s="1006" t="s">
        <v>534</v>
      </c>
      <c r="IP100" s="996">
        <v>-2.288048400000001</v>
      </c>
      <c r="IQ100" s="1006"/>
      <c r="IR100" s="996">
        <v>0</v>
      </c>
      <c r="IS100" s="1006" t="s">
        <v>199</v>
      </c>
      <c r="IT100" s="996">
        <v>2.1320508000000018</v>
      </c>
      <c r="IU100" s="1006" t="s">
        <v>199</v>
      </c>
      <c r="IV100" s="996">
        <v>3.3549335424000013</v>
      </c>
      <c r="IW100" s="1006"/>
      <c r="IX100" s="996">
        <v>0</v>
      </c>
      <c r="IY100" s="1006" t="s">
        <v>204</v>
      </c>
      <c r="IZ100" s="996">
        <v>-5.4934215424000001</v>
      </c>
      <c r="JA100" s="1006" t="s">
        <v>199</v>
      </c>
      <c r="JB100" s="996">
        <v>15.593071999999999</v>
      </c>
      <c r="JC100" s="1006" t="s">
        <v>199</v>
      </c>
      <c r="JD100" s="996">
        <v>-9.4217200000000041</v>
      </c>
      <c r="JE100" s="1006" t="s">
        <v>199</v>
      </c>
      <c r="JF100" s="996">
        <v>-4.2906863999999949</v>
      </c>
      <c r="JG100" s="1006"/>
      <c r="JH100" s="996">
        <v>0</v>
      </c>
      <c r="JI100" s="1006" t="s">
        <v>204</v>
      </c>
      <c r="JJ100" s="996">
        <v>7.6095119319999966</v>
      </c>
      <c r="JK100" s="1007"/>
      <c r="JL100" s="1007">
        <v>0</v>
      </c>
      <c r="JM100" s="1007" t="s">
        <v>204</v>
      </c>
      <c r="JN100" s="1007">
        <v>-3.1227835319999961</v>
      </c>
      <c r="JO100" s="1008"/>
      <c r="JP100" s="1007">
        <v>0</v>
      </c>
      <c r="JQ100" s="1008" t="s">
        <v>204</v>
      </c>
      <c r="JR100" s="1007">
        <v>2.5778059999999954</v>
      </c>
      <c r="JS100" s="1008" t="s">
        <v>199</v>
      </c>
      <c r="JT100" s="1007">
        <v>-7.4086319999999972</v>
      </c>
      <c r="JU100" s="1008" t="s">
        <v>204</v>
      </c>
      <c r="JV100" s="1007">
        <v>-6.0583248000000012</v>
      </c>
      <c r="JW100" s="1008" t="s">
        <v>600</v>
      </c>
      <c r="JX100" s="1007">
        <v>7.2879135999999995</v>
      </c>
      <c r="JY100" s="1008" t="s">
        <v>199</v>
      </c>
      <c r="JZ100" s="1007">
        <v>-4.5240976000000011</v>
      </c>
      <c r="KA100" s="1008" t="s">
        <v>204</v>
      </c>
      <c r="KB100" s="1007">
        <v>1.0533599999999979</v>
      </c>
      <c r="KC100" s="1008" t="s">
        <v>204</v>
      </c>
      <c r="KD100" s="1007">
        <v>0.7555768000000036</v>
      </c>
      <c r="KE100" s="1008" t="s">
        <v>204</v>
      </c>
      <c r="KF100" s="1007">
        <v>-0.47986400000000273</v>
      </c>
      <c r="KG100" s="1008"/>
      <c r="KH100" s="1007">
        <v>0</v>
      </c>
      <c r="KI100" s="1008" t="s">
        <v>206</v>
      </c>
      <c r="KJ100" s="1007">
        <v>0.8569000000000031</v>
      </c>
      <c r="KK100" s="1008" t="s">
        <v>199</v>
      </c>
      <c r="KL100" s="1007">
        <v>-14.763760000000005</v>
      </c>
      <c r="KM100" s="1008"/>
      <c r="KN100" s="1007">
        <v>0</v>
      </c>
      <c r="KO100" s="1008"/>
      <c r="KP100" s="1007">
        <v>0</v>
      </c>
      <c r="KQ100" s="1008" t="s">
        <v>207</v>
      </c>
      <c r="KR100" s="1007">
        <v>2.239409920000007</v>
      </c>
      <c r="KS100" s="1008">
        <v>0</v>
      </c>
      <c r="KT100" s="1007">
        <v>0</v>
      </c>
      <c r="KU100" s="1008" t="s">
        <v>207</v>
      </c>
      <c r="KV100" s="1007">
        <v>-8.4022347200000027</v>
      </c>
      <c r="KW100" s="1008">
        <v>0</v>
      </c>
      <c r="KX100" s="1007">
        <v>0</v>
      </c>
      <c r="KY100" s="1008" t="s">
        <v>223</v>
      </c>
      <c r="KZ100" s="1007">
        <v>-2.5052412000000004</v>
      </c>
      <c r="LA100" s="1008">
        <v>0</v>
      </c>
      <c r="LB100" s="1007">
        <v>0</v>
      </c>
      <c r="LC100" s="1008">
        <v>0</v>
      </c>
      <c r="LD100" s="1007">
        <v>0</v>
      </c>
      <c r="LE100" s="1008">
        <v>0</v>
      </c>
      <c r="LF100" s="1007">
        <v>0</v>
      </c>
      <c r="LG100" s="1008" t="s">
        <v>204</v>
      </c>
      <c r="LH100" s="1007">
        <v>-5.8455628000000033</v>
      </c>
      <c r="LI100" s="1008" t="s">
        <v>223</v>
      </c>
      <c r="LJ100" s="1007">
        <v>-3.3403216000000029</v>
      </c>
      <c r="LK100" s="1008" t="s">
        <v>207</v>
      </c>
      <c r="LL100" s="1007">
        <v>9.5199165599999915</v>
      </c>
      <c r="LM100" s="1008" t="s">
        <v>240</v>
      </c>
      <c r="LN100" s="1007">
        <v>-3.1108099999999999</v>
      </c>
      <c r="LO100" s="1008">
        <v>0</v>
      </c>
      <c r="LP100" s="1007">
        <v>0.39592961999999998</v>
      </c>
      <c r="LQ100" s="1008">
        <v>0</v>
      </c>
      <c r="LR100" s="1007">
        <v>0</v>
      </c>
      <c r="LS100" s="1008" t="s">
        <v>206</v>
      </c>
      <c r="LT100" s="1007">
        <v>-6.4317761000000004</v>
      </c>
      <c r="LU100" s="1008">
        <v>0</v>
      </c>
      <c r="LV100" s="1007">
        <v>0.25414439999999999</v>
      </c>
      <c r="LW100" s="1008" t="s">
        <v>206</v>
      </c>
      <c r="LX100" s="1007">
        <v>4.3946847999999932</v>
      </c>
      <c r="LY100" s="1009" t="s">
        <v>223</v>
      </c>
      <c r="LZ100" s="1010">
        <v>-4.6575879999999996</v>
      </c>
      <c r="MA100" s="1011" t="s">
        <v>223</v>
      </c>
      <c r="MB100" s="1012">
        <v>-11.954652863999996</v>
      </c>
      <c r="MC100" s="995"/>
      <c r="MD100" s="996"/>
      <c r="ME100" s="997" t="s">
        <v>238</v>
      </c>
      <c r="MF100" s="997"/>
      <c r="MG100" s="998"/>
      <c r="NR100" s="1000"/>
      <c r="NS100" s="1000"/>
      <c r="NT100" s="1001"/>
      <c r="NU100" s="1000"/>
      <c r="NV100" s="1001"/>
      <c r="NX100" s="1002"/>
      <c r="NZ100" s="1001"/>
      <c r="OA100" s="1001"/>
      <c r="OC100" s="1003"/>
      <c r="OD100" s="1003"/>
      <c r="OE100" s="1001"/>
      <c r="OF100" s="1003"/>
      <c r="OG100" s="1003"/>
      <c r="QX100" s="1000">
        <f t="shared" si="51"/>
        <v>30</v>
      </c>
      <c r="ASU100" s="999" t="s">
        <v>208</v>
      </c>
    </row>
    <row r="101" spans="1:466 1191:1191" ht="21" customHeight="1" x14ac:dyDescent="0.25">
      <c r="A101" s="982" t="str">
        <f t="shared" si="59"/>
        <v>1017-2</v>
      </c>
      <c r="B101" s="124">
        <f>SUBTOTAL(103,$J$29:J101)</f>
        <v>73</v>
      </c>
      <c r="C101" s="126">
        <v>45068</v>
      </c>
      <c r="D101" s="124" t="s">
        <v>176</v>
      </c>
      <c r="E101" s="127" t="s">
        <v>177</v>
      </c>
      <c r="F101" s="128" t="s">
        <v>177</v>
      </c>
      <c r="G101" s="127" t="s">
        <v>178</v>
      </c>
      <c r="H101" s="127" t="s">
        <v>179</v>
      </c>
      <c r="I101" s="127" t="s">
        <v>601</v>
      </c>
      <c r="J101" s="152" t="s">
        <v>602</v>
      </c>
      <c r="K101" s="127" t="s">
        <v>601</v>
      </c>
      <c r="L101" s="130">
        <v>41772</v>
      </c>
      <c r="M101" s="127" t="s">
        <v>230</v>
      </c>
      <c r="N101" s="127" t="s">
        <v>245</v>
      </c>
      <c r="O101" s="127" t="s">
        <v>185</v>
      </c>
      <c r="P101" s="127" t="s">
        <v>186</v>
      </c>
      <c r="Q101" s="85" t="str">
        <f t="shared" si="85"/>
        <v/>
      </c>
      <c r="R101" s="130"/>
      <c r="S101" s="128" t="s">
        <v>156</v>
      </c>
      <c r="T101" s="131"/>
      <c r="U101" s="132">
        <v>203</v>
      </c>
      <c r="V101" s="121">
        <v>218.2</v>
      </c>
      <c r="W101" s="116">
        <v>0.98</v>
      </c>
      <c r="X101" s="116">
        <v>1.66</v>
      </c>
      <c r="Y101" s="116">
        <f t="shared" si="41"/>
        <v>0.98809523809523803</v>
      </c>
      <c r="Z101" s="133">
        <v>1.454</v>
      </c>
      <c r="AA101" s="133">
        <v>0.83599999999999997</v>
      </c>
      <c r="AB101" s="133">
        <v>0.72</v>
      </c>
      <c r="AC101" s="121">
        <v>34.299999999999997</v>
      </c>
      <c r="AD101" s="134">
        <v>1.17</v>
      </c>
      <c r="AE101" s="124">
        <v>177.8</v>
      </c>
      <c r="AF101" s="128">
        <v>9.19</v>
      </c>
      <c r="AG101" s="128">
        <v>2117.5</v>
      </c>
      <c r="AH101" s="127">
        <v>2969</v>
      </c>
      <c r="AI101" s="127">
        <v>2969</v>
      </c>
      <c r="AJ101" s="135"/>
      <c r="AK101" s="128"/>
      <c r="AL101" s="131"/>
      <c r="AM101" s="124" t="s">
        <v>232</v>
      </c>
      <c r="AN101" s="136" t="s">
        <v>603</v>
      </c>
      <c r="AO101" s="137">
        <v>23</v>
      </c>
      <c r="AP101" s="128">
        <v>2117.5</v>
      </c>
      <c r="AQ101" s="128">
        <v>97.31</v>
      </c>
      <c r="AR101" s="128"/>
      <c r="AS101" s="128"/>
      <c r="AT101" s="122"/>
      <c r="AU101" s="124" t="s">
        <v>189</v>
      </c>
      <c r="AV101" s="115">
        <f>VLOOKUP(J101,'[63]ТР нефть'!$J$28:$BP$638,39,0)</f>
        <v>599.99999062500001</v>
      </c>
      <c r="AW101" s="115" t="str">
        <f>VLOOKUP(J101,'[63]ТР нефть'!$J$28:$BP$638,40,0)</f>
        <v>ГП</v>
      </c>
      <c r="AX101" s="115">
        <f>VLOOKUP(J101,'[63]ТР нефть'!$J$28:$BP$638,41,0)</f>
        <v>1199.99998125</v>
      </c>
      <c r="AY101" s="115" t="str">
        <f>VLOOKUP(J101,'[63]ТР нефть'!$J$28:$BP$638,42,0)</f>
        <v>ГК 81 1/8</v>
      </c>
      <c r="AZ101" s="115">
        <f>VLOOKUP(J101,'[63]ТР нефть'!$J$28:$BP$638,43,0)</f>
        <v>1865.000060156</v>
      </c>
      <c r="BA101" s="115" t="str">
        <f>VLOOKUP(J101,'[63]ТР нефть'!$J$28:$BP$638,44,0)</f>
        <v>ЦКсОК 5/16</v>
      </c>
      <c r="BB101" s="115" t="str">
        <f>VLOOKUP(J101,'[63]ТР нефть'!$J$28:$BP$638,45,0)</f>
        <v>-</v>
      </c>
      <c r="BC101" s="115" t="str">
        <f>VLOOKUP(J101,'[63]ТР нефть'!$J$28:$BP$638,46,0)</f>
        <v>-</v>
      </c>
      <c r="BD101" s="115" t="str">
        <f>VLOOKUP(J101,'[63]ТР нефть'!$J$28:$BP$638,47,0)</f>
        <v>-</v>
      </c>
      <c r="BE101" s="115" t="str">
        <f>VLOOKUP(J101,'[63]ТР нефть'!$J$28:$BP$638,48,0)</f>
        <v>-</v>
      </c>
      <c r="BF101" s="115" t="str">
        <f>VLOOKUP(J101,'[63]ТР нефть'!$J$28:$BP$638,49,0)</f>
        <v>-</v>
      </c>
      <c r="BG101" s="115" t="str">
        <f>VLOOKUP(J101,'[63]ТР нефть'!$J$28:$BP$638,50,0)</f>
        <v>-</v>
      </c>
      <c r="BH101" s="115">
        <f>VLOOKUP(J101,'[63]ТР нефть'!$J$28:$BP$638,51,0)</f>
        <v>1875</v>
      </c>
      <c r="BI101" s="115" t="str">
        <f>VLOOKUP(J101,'[63]ТР нефть'!$J$28:$BP$638,52,0)</f>
        <v xml:space="preserve">закрыт </v>
      </c>
      <c r="BJ101" s="115" t="str">
        <f>IF(IFERROR(VLOOKUP(J101,'[63]ТР нефть'!$J$28:$BP$638,53,0),"-")=0,"-",IFERROR(VLOOKUP(J101,'[63]ТР нефть'!$J$28:$BP$638,53,0),"-"))</f>
        <v>-</v>
      </c>
      <c r="BK101" s="138" t="str">
        <f>IF(IFERROR(VLOOKUP(J101,'[63]ТР нефть'!$J$28:$BP$638,54,0),"-")=0,"-",IFERROR(VLOOKUP(J101,'[63]ТР нефть'!$J$28:$BP$638,54,0),"-"))</f>
        <v>-</v>
      </c>
      <c r="BL101" s="138" t="str">
        <f>IF(IFERROR(VLOOKUP(J101,'[63]ТР нефть'!$J$28:$BP$638,55,0),"-")=0,"-",IFERROR(VLOOKUP(J101,'[63]ТР нефть'!$J$28:$BP$638,55,0),"-"))</f>
        <v>-</v>
      </c>
      <c r="BM101" s="138" t="str">
        <f>IF(IFERROR(VLOOKUP(J101,'[63]ТР нефть'!$J$28:$BP$638,56,0),"-")=0,"-",IFERROR(VLOOKUP(J101,'[63]ТР нефть'!$J$28:$BP$638,56,0),"-"))</f>
        <v>-</v>
      </c>
      <c r="BN101" s="138" t="str">
        <f>IF(IFERROR(VLOOKUP(J101,'[63]ТР нефть'!$J$28:$BP$638,57,0),"-")=0,"-",IFERROR(VLOOKUP(J101,'[63]ТР нефть'!$J$28:$BP$638,57,0),"-"))</f>
        <v>-</v>
      </c>
      <c r="BO101" s="115" t="str">
        <f>IF(IFERROR(VLOOKUP(J101,'[63]ТР нефть'!$J$28:$BP$638,58,0),"-")=0,"-",IFERROR(VLOOKUP(J101,'[63]ТР нефть'!$J$28:$BP$638,58,0),"-"))</f>
        <v>-</v>
      </c>
      <c r="BP101" s="115" t="str">
        <f>IF(IFERROR(VLOOKUP(J101,'[63]ТР нефть'!$J$28:$BP$638,59,0),"-")=0,"-",IFERROR(VLOOKUP(J101,'[63]ТР нефть'!$J$28:$BP$638,59,0),"-"))</f>
        <v>-</v>
      </c>
      <c r="BQ101" s="138">
        <v>2200</v>
      </c>
      <c r="BR101" s="128">
        <v>1931.55</v>
      </c>
      <c r="BS101" s="115">
        <f t="shared" si="60"/>
        <v>268.45000000000005</v>
      </c>
      <c r="BT101" s="128">
        <v>73</v>
      </c>
      <c r="BU101" s="128">
        <v>5.5</v>
      </c>
      <c r="BV101" s="127">
        <v>18</v>
      </c>
      <c r="BW101" s="127" t="s">
        <v>217</v>
      </c>
      <c r="BX101" s="127" t="s">
        <v>195</v>
      </c>
      <c r="BY101" s="139">
        <v>24</v>
      </c>
      <c r="BZ101" s="139">
        <v>0</v>
      </c>
      <c r="CA101" s="80">
        <v>18</v>
      </c>
      <c r="CB101" s="138">
        <v>42</v>
      </c>
      <c r="CC101" s="138">
        <v>17</v>
      </c>
      <c r="CD101" s="135">
        <v>45017</v>
      </c>
      <c r="CE101" s="138">
        <v>79</v>
      </c>
      <c r="CF101" s="138">
        <v>83</v>
      </c>
      <c r="CG101" s="138" t="str">
        <f t="shared" si="52"/>
        <v>В работе</v>
      </c>
      <c r="CH101" s="138" t="s">
        <v>196</v>
      </c>
      <c r="CI101" s="138">
        <v>5</v>
      </c>
      <c r="CJ101" s="139"/>
      <c r="CK101" s="139">
        <f t="shared" si="55"/>
        <v>26</v>
      </c>
      <c r="CL101" s="99"/>
      <c r="CM101" s="99"/>
      <c r="CN101" s="140">
        <v>44</v>
      </c>
      <c r="CO101" s="141">
        <f t="shared" si="61"/>
        <v>8.028944000000001</v>
      </c>
      <c r="CP101" s="142">
        <v>9.8000000000000007</v>
      </c>
      <c r="CQ101" s="143">
        <v>2</v>
      </c>
      <c r="CR101" s="115">
        <v>13</v>
      </c>
      <c r="CS101" s="139">
        <v>8</v>
      </c>
      <c r="CT101" s="138"/>
      <c r="CU101" s="138">
        <f>IF(CR101&lt;&gt;"0",CR101-CS101,"0")</f>
        <v>5</v>
      </c>
      <c r="CV101" s="115">
        <f>(CR101-CS101)*1000/CO101</f>
        <v>622.74690170961458</v>
      </c>
      <c r="CW101" s="115">
        <f t="shared" si="64"/>
        <v>969.00257657785107</v>
      </c>
      <c r="CX101" s="133">
        <f t="shared" si="65"/>
        <v>0.28000000000000003</v>
      </c>
      <c r="CY101" s="116"/>
      <c r="CZ101" s="174"/>
      <c r="DA101" s="145" t="str">
        <f t="shared" si="66"/>
        <v>Газлифт</v>
      </c>
      <c r="DB101" s="146">
        <f t="shared" si="67"/>
        <v>8.028944000000001</v>
      </c>
      <c r="DC101" s="142">
        <f t="shared" si="68"/>
        <v>9.8000000000000007</v>
      </c>
      <c r="DD101" s="119">
        <f t="shared" si="69"/>
        <v>2</v>
      </c>
      <c r="DE101" s="115">
        <f t="shared" si="70"/>
        <v>5</v>
      </c>
      <c r="DF101" s="121">
        <f t="shared" si="71"/>
        <v>8</v>
      </c>
      <c r="DG101" s="115">
        <f t="shared" si="72"/>
        <v>622.74690170961458</v>
      </c>
      <c r="DH101" s="115">
        <f t="shared" si="73"/>
        <v>44</v>
      </c>
      <c r="DI101" s="147"/>
      <c r="DJ101" s="111" t="s">
        <v>197</v>
      </c>
      <c r="DK101" s="112">
        <v>41772</v>
      </c>
      <c r="DL101" s="113">
        <f t="shared" ca="1" si="42"/>
        <v>3332</v>
      </c>
      <c r="DM101" s="114"/>
      <c r="DN101" s="114"/>
      <c r="DO101" s="114"/>
      <c r="DP101" s="114"/>
      <c r="DQ101" s="112">
        <v>43204</v>
      </c>
      <c r="DR101" s="114" t="s">
        <v>198</v>
      </c>
      <c r="DS101" s="114"/>
      <c r="DT101" s="115">
        <v>43</v>
      </c>
      <c r="DU101" s="116">
        <f t="shared" si="43"/>
        <v>0.27803852889667247</v>
      </c>
      <c r="DV101" s="117">
        <f t="shared" si="44"/>
        <v>8.2004906143607688</v>
      </c>
      <c r="DW101" s="118">
        <f t="shared" si="45"/>
        <v>10.00938704028021</v>
      </c>
      <c r="DX101" s="119">
        <f t="shared" si="74"/>
        <v>2</v>
      </c>
      <c r="DY101" s="115">
        <f t="shared" si="46"/>
        <v>5.1068301225919424</v>
      </c>
      <c r="DZ101" s="117">
        <f t="shared" si="47"/>
        <v>0.17154661436076779</v>
      </c>
      <c r="EA101" s="120">
        <f t="shared" si="47"/>
        <v>0.20938704028020894</v>
      </c>
      <c r="EB101" s="119">
        <f t="shared" si="47"/>
        <v>0</v>
      </c>
      <c r="EC101" s="121">
        <f t="shared" si="48"/>
        <v>0.10683012259194236</v>
      </c>
      <c r="ED101" s="122"/>
      <c r="EE101" s="145">
        <v>18</v>
      </c>
      <c r="EF101" s="148">
        <v>19</v>
      </c>
      <c r="EG101" s="115">
        <v>38</v>
      </c>
      <c r="EH101" s="115">
        <v>18</v>
      </c>
      <c r="EI101" s="128" t="s">
        <v>195</v>
      </c>
      <c r="EJ101" s="121">
        <v>24</v>
      </c>
      <c r="EK101" s="121">
        <v>0</v>
      </c>
      <c r="EL101" s="149">
        <v>8.1354503999999999</v>
      </c>
      <c r="EM101" s="142">
        <v>9.8000000000000007</v>
      </c>
      <c r="EN101" s="119">
        <v>0.7</v>
      </c>
      <c r="EO101" s="115">
        <v>12.6</v>
      </c>
      <c r="EP101" s="115">
        <v>565.42659273050208</v>
      </c>
      <c r="EQ101" s="115">
        <v>82</v>
      </c>
      <c r="ER101" s="115">
        <v>8</v>
      </c>
      <c r="ES101" s="115">
        <v>43</v>
      </c>
      <c r="ET101" s="150">
        <v>0.27222222222222225</v>
      </c>
      <c r="EU101" s="145">
        <f t="shared" si="75"/>
        <v>18</v>
      </c>
      <c r="EV101" s="115">
        <f t="shared" si="76"/>
        <v>18</v>
      </c>
      <c r="EW101" s="115">
        <f t="shared" si="76"/>
        <v>42</v>
      </c>
      <c r="EX101" s="115">
        <f t="shared" si="76"/>
        <v>17</v>
      </c>
      <c r="EY101" s="115" t="str">
        <f t="shared" si="77"/>
        <v>Постоянный</v>
      </c>
      <c r="EZ101" s="115">
        <f t="shared" si="77"/>
        <v>24</v>
      </c>
      <c r="FA101" s="115">
        <f t="shared" si="77"/>
        <v>0</v>
      </c>
      <c r="FB101" s="149">
        <f t="shared" si="78"/>
        <v>8.028944000000001</v>
      </c>
      <c r="FC101" s="142">
        <f t="shared" si="78"/>
        <v>9.8000000000000007</v>
      </c>
      <c r="FD101" s="119">
        <f t="shared" si="78"/>
        <v>2</v>
      </c>
      <c r="FE101" s="121">
        <f t="shared" si="78"/>
        <v>13</v>
      </c>
      <c r="FF101" s="121">
        <f t="shared" si="49"/>
        <v>622.74690170961458</v>
      </c>
      <c r="FG101" s="121">
        <f t="shared" si="79"/>
        <v>83</v>
      </c>
      <c r="FH101" s="121">
        <f t="shared" si="50"/>
        <v>8</v>
      </c>
      <c r="FI101" s="121">
        <f t="shared" si="54"/>
        <v>44</v>
      </c>
      <c r="FJ101" s="144">
        <f t="shared" si="80"/>
        <v>0.28000000000000003</v>
      </c>
      <c r="FK101" s="132">
        <f t="shared" si="81"/>
        <v>0</v>
      </c>
      <c r="FL101" s="115">
        <f t="shared" si="81"/>
        <v>-1</v>
      </c>
      <c r="FM101" s="115">
        <f t="shared" si="81"/>
        <v>4</v>
      </c>
      <c r="FN101" s="115">
        <f t="shared" si="58"/>
        <v>-1</v>
      </c>
      <c r="FO101" s="115">
        <f t="shared" si="57"/>
        <v>0</v>
      </c>
      <c r="FP101" s="115">
        <f t="shared" si="56"/>
        <v>0</v>
      </c>
      <c r="FQ101" s="149">
        <f t="shared" si="56"/>
        <v>-0.10650639999999889</v>
      </c>
      <c r="FR101" s="142">
        <f t="shared" si="56"/>
        <v>0</v>
      </c>
      <c r="FS101" s="119">
        <f t="shared" si="56"/>
        <v>1.3</v>
      </c>
      <c r="FT101" s="121">
        <f t="shared" si="56"/>
        <v>0.40000000000000036</v>
      </c>
      <c r="FU101" s="121">
        <f t="shared" si="82"/>
        <v>1</v>
      </c>
      <c r="FV101" s="121">
        <f t="shared" si="82"/>
        <v>0</v>
      </c>
      <c r="FW101" s="121">
        <f>FF101-EP101</f>
        <v>57.320308979112497</v>
      </c>
      <c r="FX101" s="121">
        <f t="shared" si="84"/>
        <v>1</v>
      </c>
      <c r="FY101" s="144">
        <f t="shared" si="84"/>
        <v>7.7777777777777724E-3</v>
      </c>
      <c r="FZ101" s="145"/>
      <c r="GA101" s="151"/>
      <c r="GB101" s="145" t="s">
        <v>199</v>
      </c>
      <c r="GC101" s="151" t="s">
        <v>415</v>
      </c>
      <c r="GD101" s="997" t="s">
        <v>220</v>
      </c>
      <c r="GE101" s="1004" t="s">
        <v>199</v>
      </c>
      <c r="GF101" s="1004">
        <v>-2.4135110999999991</v>
      </c>
      <c r="GG101" s="1004"/>
      <c r="GH101" s="1004">
        <v>0</v>
      </c>
      <c r="GI101" s="145"/>
      <c r="GJ101" s="996">
        <v>0</v>
      </c>
      <c r="GK101" s="145"/>
      <c r="GL101" s="996">
        <v>0</v>
      </c>
      <c r="GM101" s="1005" t="s">
        <v>240</v>
      </c>
      <c r="GN101" s="996">
        <v>-3.0028148567999988</v>
      </c>
      <c r="GO101" s="1006"/>
      <c r="GP101" s="996">
        <v>-0.66022364320000193</v>
      </c>
      <c r="GQ101" s="1006"/>
      <c r="GR101" s="996">
        <v>0</v>
      </c>
      <c r="GS101" s="1006"/>
      <c r="GT101" s="996">
        <v>-0.42803199999999997</v>
      </c>
      <c r="GU101" s="1006"/>
      <c r="GV101" s="996">
        <v>0</v>
      </c>
      <c r="GW101" s="1006" t="s">
        <v>544</v>
      </c>
      <c r="GX101" s="996">
        <v>5.4219081796000008</v>
      </c>
      <c r="GY101" s="1006" t="s">
        <v>203</v>
      </c>
      <c r="GZ101" s="996">
        <v>-2.5157963938800005</v>
      </c>
      <c r="HA101" s="1006"/>
      <c r="HB101" s="996">
        <v>0</v>
      </c>
      <c r="HC101" s="1006"/>
      <c r="HD101" s="996">
        <v>0</v>
      </c>
      <c r="HE101" s="1006" t="s">
        <v>199</v>
      </c>
      <c r="HF101" s="996">
        <v>-1.756352399999999</v>
      </c>
      <c r="HG101" s="1006"/>
      <c r="HH101" s="996">
        <v>0</v>
      </c>
      <c r="HI101" s="1006" t="s">
        <v>223</v>
      </c>
      <c r="HJ101" s="996">
        <v>-4.343020000000001</v>
      </c>
      <c r="HK101" s="1006"/>
      <c r="HL101" s="996">
        <v>0</v>
      </c>
      <c r="HM101" s="1006" t="s">
        <v>199</v>
      </c>
      <c r="HN101" s="996">
        <v>6.8552</v>
      </c>
      <c r="HO101" s="1006"/>
      <c r="HP101" s="996">
        <v>-0.72731999999999886</v>
      </c>
      <c r="HQ101" s="1006"/>
      <c r="HR101" s="996">
        <v>-9.1960000000000264E-2</v>
      </c>
      <c r="HS101" s="1006"/>
      <c r="HT101" s="996">
        <v>0</v>
      </c>
      <c r="HU101" s="1006"/>
      <c r="HV101" s="996">
        <v>0</v>
      </c>
      <c r="HW101" s="1006"/>
      <c r="HX101" s="996">
        <v>0</v>
      </c>
      <c r="HY101" s="1006"/>
      <c r="HZ101" s="996">
        <v>0</v>
      </c>
      <c r="IA101" s="1006"/>
      <c r="IB101" s="996">
        <v>0</v>
      </c>
      <c r="IC101" s="1006"/>
      <c r="ID101" s="996">
        <v>-2.75880000000015E-2</v>
      </c>
      <c r="IE101" s="1006"/>
      <c r="IF101" s="996">
        <v>0</v>
      </c>
      <c r="IG101" s="1006"/>
      <c r="IH101" s="996">
        <v>0</v>
      </c>
      <c r="II101" s="1006"/>
      <c r="IJ101" s="996">
        <v>0</v>
      </c>
      <c r="IK101" s="1006"/>
      <c r="IL101" s="996">
        <v>0</v>
      </c>
      <c r="IM101" s="1006" t="s">
        <v>204</v>
      </c>
      <c r="IN101" s="996">
        <v>-1.4412639999999985</v>
      </c>
      <c r="IO101" s="1006"/>
      <c r="IP101" s="996">
        <v>-0.41412095999999998</v>
      </c>
      <c r="IQ101" s="1006"/>
      <c r="IR101" s="996">
        <v>0</v>
      </c>
      <c r="IS101" s="1006"/>
      <c r="IT101" s="996">
        <v>0</v>
      </c>
      <c r="IU101" s="1006" t="s">
        <v>204</v>
      </c>
      <c r="IV101" s="996">
        <v>-3.538988640000003</v>
      </c>
      <c r="IW101" s="1006" t="s">
        <v>204</v>
      </c>
      <c r="IX101" s="996">
        <v>1.6883856000000019</v>
      </c>
      <c r="IY101" s="1006"/>
      <c r="IZ101" s="996">
        <v>-0.49658399999999858</v>
      </c>
      <c r="JA101" s="1006" t="s">
        <v>204</v>
      </c>
      <c r="JB101" s="996">
        <v>2.3742399999999986</v>
      </c>
      <c r="JC101" s="1006"/>
      <c r="JD101" s="996">
        <v>0</v>
      </c>
      <c r="JE101" s="1006"/>
      <c r="JF101" s="996">
        <v>0</v>
      </c>
      <c r="JG101" s="1006"/>
      <c r="JH101" s="996">
        <v>0</v>
      </c>
      <c r="JI101" s="1006"/>
      <c r="JJ101" s="996">
        <v>0</v>
      </c>
      <c r="JK101" s="1007" t="s">
        <v>204</v>
      </c>
      <c r="JL101" s="1007">
        <v>-3.3439999999999994</v>
      </c>
      <c r="JM101" s="1007"/>
      <c r="JN101" s="1007">
        <v>0</v>
      </c>
      <c r="JO101" s="1008"/>
      <c r="JP101" s="1007">
        <v>0</v>
      </c>
      <c r="JQ101" s="1008">
        <v>0</v>
      </c>
      <c r="JR101" s="1007">
        <v>0</v>
      </c>
      <c r="JS101" s="1008" t="s">
        <v>199</v>
      </c>
      <c r="JT101" s="1007">
        <v>3.3439999999999994</v>
      </c>
      <c r="JU101" s="1008" t="s">
        <v>207</v>
      </c>
      <c r="JV101" s="1007">
        <v>-6.6880000000000006</v>
      </c>
      <c r="JW101" s="1008" t="s">
        <v>197</v>
      </c>
      <c r="JX101" s="1007">
        <v>0</v>
      </c>
      <c r="JY101" s="1008"/>
      <c r="JZ101" s="1007">
        <v>0</v>
      </c>
      <c r="KA101" s="1008" t="s">
        <v>204</v>
      </c>
      <c r="KB101" s="1007">
        <v>-1.0951599999999964</v>
      </c>
      <c r="KC101" s="1008"/>
      <c r="KD101" s="1007">
        <v>0</v>
      </c>
      <c r="KE101" s="1008" t="s">
        <v>199</v>
      </c>
      <c r="KF101" s="1007">
        <v>8.719479999999999</v>
      </c>
      <c r="KG101" s="1008" t="s">
        <v>207</v>
      </c>
      <c r="KH101" s="1007">
        <v>-3.3105600000000006</v>
      </c>
      <c r="KI101" s="1008" t="s">
        <v>207</v>
      </c>
      <c r="KJ101" s="1007">
        <v>-1.0759319999999999</v>
      </c>
      <c r="KK101" s="1008" t="s">
        <v>199</v>
      </c>
      <c r="KL101" s="1007">
        <v>-3.8899080000000001</v>
      </c>
      <c r="KM101" s="1008"/>
      <c r="KN101" s="1007">
        <v>0</v>
      </c>
      <c r="KO101" s="1008"/>
      <c r="KP101" s="1007">
        <v>0</v>
      </c>
      <c r="KQ101" s="1008" t="s">
        <v>203</v>
      </c>
      <c r="KR101" s="1007">
        <v>-1.8478944000000013</v>
      </c>
      <c r="KS101" s="1008" t="s">
        <v>207</v>
      </c>
      <c r="KT101" s="1007">
        <v>8.356656000000001</v>
      </c>
      <c r="KU101" s="1008" t="s">
        <v>207</v>
      </c>
      <c r="KV101" s="1007">
        <v>-5.8496592000000014</v>
      </c>
      <c r="KW101" s="1008" t="s">
        <v>342</v>
      </c>
      <c r="KX101" s="1007">
        <v>4.1783280000000005</v>
      </c>
      <c r="KY101" s="1008" t="s">
        <v>204</v>
      </c>
      <c r="KZ101" s="1007">
        <v>-0.83566560000000045</v>
      </c>
      <c r="LA101" s="1008">
        <v>0</v>
      </c>
      <c r="LB101" s="1007">
        <v>0</v>
      </c>
      <c r="LC101" s="1008">
        <v>0</v>
      </c>
      <c r="LD101" s="1007">
        <v>0</v>
      </c>
      <c r="LE101" s="1008" t="s">
        <v>206</v>
      </c>
      <c r="LF101" s="1007">
        <v>-6.9360244799999986</v>
      </c>
      <c r="LG101" s="1008" t="s">
        <v>206</v>
      </c>
      <c r="LH101" s="1007">
        <v>1.4263151999999999</v>
      </c>
      <c r="LI101" s="1008">
        <v>0</v>
      </c>
      <c r="LJ101" s="1007">
        <v>0</v>
      </c>
      <c r="LK101" s="1008">
        <v>0</v>
      </c>
      <c r="LL101" s="1007">
        <v>0</v>
      </c>
      <c r="LM101" s="1008" t="s">
        <v>206</v>
      </c>
      <c r="LN101" s="1007">
        <v>-2.8277199999999998</v>
      </c>
      <c r="LO101" s="1008">
        <v>0</v>
      </c>
      <c r="LP101" s="1007">
        <v>0</v>
      </c>
      <c r="LQ101" s="1008">
        <v>0</v>
      </c>
      <c r="LR101" s="1007">
        <v>0</v>
      </c>
      <c r="LS101" s="1008" t="s">
        <v>206</v>
      </c>
      <c r="LT101" s="1007">
        <v>4.9233599999999997</v>
      </c>
      <c r="LU101" s="1008">
        <v>0</v>
      </c>
      <c r="LV101" s="1007">
        <v>0.46188999999998298</v>
      </c>
      <c r="LW101" s="1008">
        <v>0</v>
      </c>
      <c r="LX101" s="1007">
        <v>0.91638139999999901</v>
      </c>
      <c r="LY101" s="1009" t="s">
        <v>206</v>
      </c>
      <c r="LZ101" s="1010">
        <v>1.6423220000000018</v>
      </c>
      <c r="MA101" s="1011" t="s">
        <v>206</v>
      </c>
      <c r="MB101" s="1012">
        <v>0.95471199999999901</v>
      </c>
      <c r="MC101" s="995"/>
      <c r="MD101" s="996"/>
      <c r="ME101" s="997" t="s">
        <v>220</v>
      </c>
      <c r="MF101" s="997"/>
      <c r="MG101" s="998"/>
      <c r="NR101" s="1000"/>
      <c r="NS101" s="1000"/>
      <c r="NT101" s="1001"/>
      <c r="NU101" s="1000"/>
      <c r="NV101" s="1001"/>
      <c r="NX101" s="1002"/>
      <c r="NZ101" s="1001"/>
      <c r="OA101" s="1001"/>
      <c r="OC101" s="1003"/>
      <c r="OD101" s="1003"/>
      <c r="OE101" s="1001"/>
      <c r="OF101" s="1003"/>
      <c r="OG101" s="1003"/>
      <c r="QX101" s="1000">
        <f t="shared" si="51"/>
        <v>26</v>
      </c>
      <c r="ASU101" s="999" t="s">
        <v>208</v>
      </c>
    </row>
    <row r="102" spans="1:466 1191:1191" ht="21" customHeight="1" x14ac:dyDescent="0.25">
      <c r="A102" s="982">
        <f t="shared" si="59"/>
        <v>1018</v>
      </c>
      <c r="B102" s="124">
        <f>SUBTOTAL(103,$J$29:J102)</f>
        <v>74</v>
      </c>
      <c r="C102" s="126">
        <v>45068</v>
      </c>
      <c r="D102" s="124" t="s">
        <v>176</v>
      </c>
      <c r="E102" s="127" t="s">
        <v>177</v>
      </c>
      <c r="F102" s="128" t="s">
        <v>177</v>
      </c>
      <c r="G102" s="127" t="s">
        <v>178</v>
      </c>
      <c r="H102" s="127" t="s">
        <v>421</v>
      </c>
      <c r="I102" s="127" t="s">
        <v>567</v>
      </c>
      <c r="J102" s="152">
        <v>1018</v>
      </c>
      <c r="K102" s="127" t="s">
        <v>604</v>
      </c>
      <c r="L102" s="130">
        <v>38849</v>
      </c>
      <c r="M102" s="127" t="s">
        <v>230</v>
      </c>
      <c r="N102" s="127" t="s">
        <v>231</v>
      </c>
      <c r="O102" s="127" t="s">
        <v>185</v>
      </c>
      <c r="P102" s="127" t="s">
        <v>186</v>
      </c>
      <c r="Q102" s="85" t="str">
        <f t="shared" si="85"/>
        <v/>
      </c>
      <c r="R102" s="130"/>
      <c r="S102" s="128" t="s">
        <v>156</v>
      </c>
      <c r="T102" s="131"/>
      <c r="U102" s="132">
        <v>203</v>
      </c>
      <c r="V102" s="121">
        <v>218.2</v>
      </c>
      <c r="W102" s="116">
        <v>0.98</v>
      </c>
      <c r="X102" s="116">
        <v>1.66</v>
      </c>
      <c r="Y102" s="116">
        <f t="shared" si="41"/>
        <v>1.0789601445334367</v>
      </c>
      <c r="Z102" s="133">
        <v>1.454</v>
      </c>
      <c r="AA102" s="133">
        <v>0.83599999999999997</v>
      </c>
      <c r="AB102" s="133">
        <v>0.72</v>
      </c>
      <c r="AC102" s="121">
        <v>34.299999999999997</v>
      </c>
      <c r="AD102" s="134">
        <v>1.17</v>
      </c>
      <c r="AE102" s="124">
        <v>139.69999999999999</v>
      </c>
      <c r="AF102" s="128">
        <v>7.72</v>
      </c>
      <c r="AG102" s="128">
        <v>1916</v>
      </c>
      <c r="AH102" s="127">
        <v>2431</v>
      </c>
      <c r="AI102" s="127">
        <v>2431</v>
      </c>
      <c r="AJ102" s="135"/>
      <c r="AK102" s="128"/>
      <c r="AL102" s="131"/>
      <c r="AM102" s="124" t="s">
        <v>232</v>
      </c>
      <c r="AN102" s="136" t="s">
        <v>605</v>
      </c>
      <c r="AO102" s="137">
        <v>44.32</v>
      </c>
      <c r="AP102" s="128">
        <v>1916</v>
      </c>
      <c r="AQ102" s="128">
        <v>48.62</v>
      </c>
      <c r="AR102" s="128"/>
      <c r="AS102" s="128"/>
      <c r="AT102" s="122"/>
      <c r="AU102" s="124" t="s">
        <v>189</v>
      </c>
      <c r="AV102" s="115">
        <f>VLOOKUP(J102,'[63]ТР нефть'!$J$28:$BP$638,39,0)</f>
        <v>599.99999062500001</v>
      </c>
      <c r="AW102" s="115" t="str">
        <f>VLOOKUP(J102,'[63]ТР нефть'!$J$28:$BP$638,40,0)</f>
        <v>ГП</v>
      </c>
      <c r="AX102" s="115">
        <f>VLOOKUP(J102,'[63]ТР нефть'!$J$28:$BP$638,41,0)</f>
        <v>1199.99998125</v>
      </c>
      <c r="AY102" s="115" t="str">
        <f>VLOOKUP(J102,'[63]ТР нефть'!$J$28:$BP$638,42,0)</f>
        <v>ГК 87 1/8</v>
      </c>
      <c r="AZ102" s="115">
        <f>VLOOKUP(J102,'[63]ТР нефть'!$J$28:$BP$638,43,0)</f>
        <v>1777.0000734380001</v>
      </c>
      <c r="BA102" s="115" t="str">
        <f>VLOOKUP(J102,'[63]ТР нефть'!$J$28:$BP$638,44,0)</f>
        <v>ЦКсОК 5/16</v>
      </c>
      <c r="BB102" s="115" t="str">
        <f>VLOOKUP(J102,'[63]ТР нефть'!$J$28:$BP$638,45,0)</f>
        <v>-</v>
      </c>
      <c r="BC102" s="115" t="str">
        <f>VLOOKUP(J102,'[63]ТР нефть'!$J$28:$BP$638,46,0)</f>
        <v>-</v>
      </c>
      <c r="BD102" s="115" t="str">
        <f>VLOOKUP(J102,'[63]ТР нефть'!$J$28:$BP$638,47,0)</f>
        <v>-</v>
      </c>
      <c r="BE102" s="115" t="str">
        <f>VLOOKUP(J102,'[63]ТР нефть'!$J$28:$BP$638,48,0)</f>
        <v>-</v>
      </c>
      <c r="BF102" s="115" t="str">
        <f>VLOOKUP(J102,'[63]ТР нефть'!$J$28:$BP$638,49,0)</f>
        <v>-</v>
      </c>
      <c r="BG102" s="115" t="str">
        <f>VLOOKUP(J102,'[63]ТР нефть'!$J$28:$BP$638,50,0)</f>
        <v>-</v>
      </c>
      <c r="BH102" s="115">
        <f>VLOOKUP(J102,'[63]ТР нефть'!$J$28:$BP$638,51,0)</f>
        <v>1788</v>
      </c>
      <c r="BI102" s="115" t="str">
        <f>VLOOKUP(J102,'[63]ТР нефть'!$J$28:$BP$638,52,0)</f>
        <v>открыт</v>
      </c>
      <c r="BJ102" s="115" t="str">
        <f>IF(IFERROR(VLOOKUP(J102,'[63]ТР нефть'!$J$28:$BP$638,53,0),"-")=0,"-",IFERROR(VLOOKUP(J102,'[63]ТР нефть'!$J$28:$BP$638,53,0),"-"))</f>
        <v>-</v>
      </c>
      <c r="BK102" s="138" t="str">
        <f>IF(IFERROR(VLOOKUP(J102,'[63]ТР нефть'!$J$28:$BP$638,54,0),"-")=0,"-",IFERROR(VLOOKUP(J102,'[63]ТР нефть'!$J$28:$BP$638,54,0),"-"))</f>
        <v>-</v>
      </c>
      <c r="BL102" s="138" t="str">
        <f>IF(IFERROR(VLOOKUP(J102,'[63]ТР нефть'!$J$28:$BP$638,55,0),"-")=0,"-",IFERROR(VLOOKUP(J102,'[63]ТР нефть'!$J$28:$BP$638,55,0),"-"))</f>
        <v>-</v>
      </c>
      <c r="BM102" s="138" t="str">
        <f>IF(IFERROR(VLOOKUP(J102,'[63]ТР нефть'!$J$28:$BP$638,56,0),"-")=0,"-",IFERROR(VLOOKUP(J102,'[63]ТР нефть'!$J$28:$BP$638,56,0),"-"))</f>
        <v>-</v>
      </c>
      <c r="BN102" s="138" t="str">
        <f>IF(IFERROR(VLOOKUP(J102,'[63]ТР нефть'!$J$28:$BP$638,57,0),"-")=0,"-",IFERROR(VLOOKUP(J102,'[63]ТР нефть'!$J$28:$BP$638,57,0),"-"))</f>
        <v>-</v>
      </c>
      <c r="BO102" s="115" t="str">
        <f>IF(IFERROR(VLOOKUP(J102,'[63]ТР нефть'!$J$28:$BP$638,58,0),"-")=0,"-",IFERROR(VLOOKUP(J102,'[63]ТР нефть'!$J$28:$BP$638,58,0),"-"))</f>
        <v>-</v>
      </c>
      <c r="BP102" s="115" t="str">
        <f>IF(IFERROR(VLOOKUP(J102,'[63]ТР нефть'!$J$28:$BP$638,59,0),"-")=0,"-",IFERROR(VLOOKUP(J102,'[63]ТР нефть'!$J$28:$BP$638,59,0),"-"))</f>
        <v>-</v>
      </c>
      <c r="BQ102" s="138">
        <v>2000</v>
      </c>
      <c r="BR102" s="128">
        <v>1888.98</v>
      </c>
      <c r="BS102" s="115">
        <f t="shared" si="60"/>
        <v>111.01999999999998</v>
      </c>
      <c r="BT102" s="128">
        <v>73</v>
      </c>
      <c r="BU102" s="128">
        <v>5.5</v>
      </c>
      <c r="BV102" s="127">
        <v>18</v>
      </c>
      <c r="BW102" s="127" t="s">
        <v>217</v>
      </c>
      <c r="BX102" s="127" t="s">
        <v>195</v>
      </c>
      <c r="BY102" s="139">
        <v>24</v>
      </c>
      <c r="BZ102" s="139">
        <v>0</v>
      </c>
      <c r="CA102" s="138">
        <v>28</v>
      </c>
      <c r="CB102" s="138">
        <v>40</v>
      </c>
      <c r="CC102" s="138">
        <v>27</v>
      </c>
      <c r="CD102" s="135">
        <v>45017</v>
      </c>
      <c r="CE102" s="138">
        <v>91</v>
      </c>
      <c r="CF102" s="138">
        <v>70</v>
      </c>
      <c r="CG102" s="138" t="str">
        <f t="shared" si="52"/>
        <v>В работе</v>
      </c>
      <c r="CH102" s="138" t="s">
        <v>196</v>
      </c>
      <c r="CI102" s="127">
        <v>6</v>
      </c>
      <c r="CJ102" s="138"/>
      <c r="CK102" s="138"/>
      <c r="CL102" s="99"/>
      <c r="CM102" s="99"/>
      <c r="CN102" s="140">
        <v>51</v>
      </c>
      <c r="CO102" s="159">
        <f t="shared" si="61"/>
        <v>8.3301948443999994</v>
      </c>
      <c r="CP102" s="142">
        <v>12.839</v>
      </c>
      <c r="CQ102" s="119">
        <v>22.39</v>
      </c>
      <c r="CR102" s="138">
        <v>21</v>
      </c>
      <c r="CS102" s="138">
        <v>11.47</v>
      </c>
      <c r="CT102" s="138"/>
      <c r="CU102" s="138">
        <v>11.47</v>
      </c>
      <c r="CV102" s="115">
        <f t="shared" si="63"/>
        <v>1144.030863384495</v>
      </c>
      <c r="CW102" s="115">
        <f t="shared" si="64"/>
        <v>983.78580533581601</v>
      </c>
      <c r="CX102" s="133">
        <f t="shared" si="65"/>
        <v>0.32097500000000001</v>
      </c>
      <c r="CY102" s="116"/>
      <c r="CZ102" s="131"/>
      <c r="DA102" s="145" t="str">
        <f t="shared" si="66"/>
        <v>Газлифт</v>
      </c>
      <c r="DB102" s="146">
        <f t="shared" si="67"/>
        <v>8.3301948443999994</v>
      </c>
      <c r="DC102" s="142">
        <f t="shared" si="68"/>
        <v>12.839</v>
      </c>
      <c r="DD102" s="119">
        <f t="shared" si="69"/>
        <v>22.39</v>
      </c>
      <c r="DE102" s="115">
        <f t="shared" si="70"/>
        <v>11.47</v>
      </c>
      <c r="DF102" s="121">
        <f t="shared" si="71"/>
        <v>11.47</v>
      </c>
      <c r="DG102" s="115">
        <f t="shared" si="72"/>
        <v>1144.030863384495</v>
      </c>
      <c r="DH102" s="115">
        <f t="shared" si="73"/>
        <v>51</v>
      </c>
      <c r="DI102" s="147"/>
      <c r="DJ102" s="111">
        <v>43545</v>
      </c>
      <c r="DK102" s="112">
        <v>41320</v>
      </c>
      <c r="DL102" s="113">
        <f t="shared" ca="1" si="42"/>
        <v>3784</v>
      </c>
      <c r="DM102" s="114"/>
      <c r="DN102" s="114"/>
      <c r="DO102" s="114"/>
      <c r="DP102" s="114"/>
      <c r="DQ102" s="112">
        <v>41320</v>
      </c>
      <c r="DR102" s="114" t="s">
        <v>282</v>
      </c>
      <c r="DS102" s="114"/>
      <c r="DT102" s="115">
        <v>55</v>
      </c>
      <c r="DU102" s="116">
        <f t="shared" si="43"/>
        <v>0.35663888888888889</v>
      </c>
      <c r="DV102" s="117">
        <f t="shared" si="44"/>
        <v>8.3301948443999994</v>
      </c>
      <c r="DW102" s="118">
        <f t="shared" si="45"/>
        <v>12.839</v>
      </c>
      <c r="DX102" s="119">
        <f t="shared" si="74"/>
        <v>22.39</v>
      </c>
      <c r="DY102" s="115">
        <f t="shared" si="46"/>
        <v>9.5299999999999994</v>
      </c>
      <c r="DZ102" s="117">
        <f t="shared" si="47"/>
        <v>0</v>
      </c>
      <c r="EA102" s="120">
        <f t="shared" si="47"/>
        <v>0</v>
      </c>
      <c r="EB102" s="119">
        <f t="shared" si="47"/>
        <v>0</v>
      </c>
      <c r="EC102" s="121">
        <f t="shared" si="48"/>
        <v>-1.9400000000000013</v>
      </c>
      <c r="ED102" s="122"/>
      <c r="EE102" s="145">
        <v>18</v>
      </c>
      <c r="EF102" s="115">
        <v>28</v>
      </c>
      <c r="EG102" s="115">
        <v>40</v>
      </c>
      <c r="EH102" s="115">
        <v>27</v>
      </c>
      <c r="EI102" s="128" t="s">
        <v>195</v>
      </c>
      <c r="EJ102" s="121">
        <v>24</v>
      </c>
      <c r="EK102" s="121">
        <v>0</v>
      </c>
      <c r="EL102" s="162">
        <v>8.3301948443999994</v>
      </c>
      <c r="EM102" s="142">
        <v>12.839</v>
      </c>
      <c r="EN102" s="119">
        <v>22.39</v>
      </c>
      <c r="EO102" s="115">
        <v>21</v>
      </c>
      <c r="EP102" s="115">
        <v>1144.030863384495</v>
      </c>
      <c r="EQ102" s="115">
        <v>70</v>
      </c>
      <c r="ER102" s="115">
        <v>11.47</v>
      </c>
      <c r="ES102" s="115">
        <v>51</v>
      </c>
      <c r="ET102" s="150">
        <v>0.32097500000000001</v>
      </c>
      <c r="EU102" s="145">
        <f t="shared" si="75"/>
        <v>18</v>
      </c>
      <c r="EV102" s="115">
        <f t="shared" si="76"/>
        <v>28</v>
      </c>
      <c r="EW102" s="115">
        <f t="shared" si="76"/>
        <v>40</v>
      </c>
      <c r="EX102" s="115">
        <f t="shared" si="76"/>
        <v>27</v>
      </c>
      <c r="EY102" s="115" t="str">
        <f t="shared" si="77"/>
        <v>Постоянный</v>
      </c>
      <c r="EZ102" s="115">
        <f t="shared" si="77"/>
        <v>24</v>
      </c>
      <c r="FA102" s="115">
        <f t="shared" si="77"/>
        <v>0</v>
      </c>
      <c r="FB102" s="149">
        <f t="shared" si="78"/>
        <v>8.3301948443999994</v>
      </c>
      <c r="FC102" s="117">
        <f t="shared" si="78"/>
        <v>12.839</v>
      </c>
      <c r="FD102" s="119">
        <f t="shared" si="78"/>
        <v>22.39</v>
      </c>
      <c r="FE102" s="121">
        <f t="shared" si="78"/>
        <v>21</v>
      </c>
      <c r="FF102" s="121">
        <f t="shared" si="49"/>
        <v>1144.030863384495</v>
      </c>
      <c r="FG102" s="121">
        <f t="shared" si="79"/>
        <v>70</v>
      </c>
      <c r="FH102" s="121">
        <f t="shared" si="50"/>
        <v>11.47</v>
      </c>
      <c r="FI102" s="121">
        <f t="shared" si="54"/>
        <v>51</v>
      </c>
      <c r="FJ102" s="144">
        <f t="shared" si="80"/>
        <v>0.32097500000000001</v>
      </c>
      <c r="FK102" s="132">
        <f t="shared" si="81"/>
        <v>0</v>
      </c>
      <c r="FL102" s="115">
        <f t="shared" si="81"/>
        <v>0</v>
      </c>
      <c r="FM102" s="115">
        <f t="shared" si="81"/>
        <v>0</v>
      </c>
      <c r="FN102" s="115">
        <f t="shared" si="58"/>
        <v>0</v>
      </c>
      <c r="FO102" s="115">
        <f t="shared" si="57"/>
        <v>0</v>
      </c>
      <c r="FP102" s="115">
        <f t="shared" si="56"/>
        <v>0</v>
      </c>
      <c r="FQ102" s="149">
        <f t="shared" si="56"/>
        <v>0</v>
      </c>
      <c r="FR102" s="142">
        <f t="shared" si="56"/>
        <v>0</v>
      </c>
      <c r="FS102" s="119">
        <f t="shared" si="56"/>
        <v>0</v>
      </c>
      <c r="FT102" s="121">
        <f t="shared" si="56"/>
        <v>0</v>
      </c>
      <c r="FU102" s="121">
        <f t="shared" si="82"/>
        <v>0</v>
      </c>
      <c r="FV102" s="121">
        <f t="shared" si="82"/>
        <v>0</v>
      </c>
      <c r="FW102" s="121">
        <f t="shared" si="83"/>
        <v>0</v>
      </c>
      <c r="FX102" s="121">
        <f t="shared" si="84"/>
        <v>0</v>
      </c>
      <c r="FY102" s="144">
        <f t="shared" si="84"/>
        <v>0</v>
      </c>
      <c r="FZ102" s="145"/>
      <c r="GA102" s="151" t="s">
        <v>606</v>
      </c>
      <c r="GB102" s="145" t="s">
        <v>199</v>
      </c>
      <c r="GC102" s="151" t="s">
        <v>415</v>
      </c>
      <c r="GD102" s="997" t="s">
        <v>416</v>
      </c>
      <c r="GE102" s="1004" t="s">
        <v>199</v>
      </c>
      <c r="GF102" s="1004">
        <v>-4.6040435276</v>
      </c>
      <c r="GG102" s="1004"/>
      <c r="GH102" s="1004">
        <v>0.64503837200000014</v>
      </c>
      <c r="GI102" s="145" t="s">
        <v>203</v>
      </c>
      <c r="GJ102" s="996">
        <v>-6.0608000000000022</v>
      </c>
      <c r="GK102" s="145"/>
      <c r="GL102" s="996">
        <v>0.80355929468571485</v>
      </c>
      <c r="GM102" s="1005"/>
      <c r="GN102" s="996">
        <v>0</v>
      </c>
      <c r="GO102" s="1006"/>
      <c r="GP102" s="996">
        <v>0</v>
      </c>
      <c r="GQ102" s="1006"/>
      <c r="GR102" s="996">
        <v>0</v>
      </c>
      <c r="GS102" s="1006"/>
      <c r="GT102" s="996">
        <v>1.0401929163999999</v>
      </c>
      <c r="GU102" s="1006"/>
      <c r="GV102" s="996">
        <v>0.24052056788571435</v>
      </c>
      <c r="GW102" s="1006"/>
      <c r="GX102" s="996">
        <v>0</v>
      </c>
      <c r="GY102" s="1006"/>
      <c r="GZ102" s="996">
        <v>-0.19167419857142859</v>
      </c>
      <c r="HA102" s="1006"/>
      <c r="HB102" s="996">
        <v>0</v>
      </c>
      <c r="HC102" s="1006" t="s">
        <v>206</v>
      </c>
      <c r="HD102" s="996">
        <v>0</v>
      </c>
      <c r="HE102" s="1006"/>
      <c r="HF102" s="996">
        <v>0</v>
      </c>
      <c r="HG102" s="1006" t="s">
        <v>199</v>
      </c>
      <c r="HH102" s="996">
        <v>-1.5714342159999999</v>
      </c>
      <c r="HI102" s="1006"/>
      <c r="HJ102" s="996">
        <v>0</v>
      </c>
      <c r="HK102" s="1006"/>
      <c r="HL102" s="996">
        <v>0</v>
      </c>
      <c r="HM102" s="1006"/>
      <c r="HN102" s="996">
        <v>0</v>
      </c>
      <c r="HO102" s="1006"/>
      <c r="HP102" s="996">
        <v>0</v>
      </c>
      <c r="HQ102" s="1006"/>
      <c r="HR102" s="996">
        <v>-0.70342210400000016</v>
      </c>
      <c r="HS102" s="1006"/>
      <c r="HT102" s="996">
        <v>0</v>
      </c>
      <c r="HU102" s="1006" t="s">
        <v>204</v>
      </c>
      <c r="HV102" s="996">
        <v>-7.4237602559999996</v>
      </c>
      <c r="HW102" s="1006"/>
      <c r="HX102" s="996">
        <v>0</v>
      </c>
      <c r="HY102" s="1006" t="s">
        <v>204</v>
      </c>
      <c r="HZ102" s="996">
        <v>3.8549765759999994</v>
      </c>
      <c r="IA102" s="1006"/>
      <c r="IB102" s="996">
        <v>0</v>
      </c>
      <c r="IC102" s="1006"/>
      <c r="ID102" s="996">
        <v>0</v>
      </c>
      <c r="IE102" s="1006" t="s">
        <v>199</v>
      </c>
      <c r="IF102" s="996">
        <v>1.2122000000000002</v>
      </c>
      <c r="IG102" s="1006"/>
      <c r="IH102" s="996">
        <v>0</v>
      </c>
      <c r="II102" s="1006"/>
      <c r="IJ102" s="996">
        <v>0</v>
      </c>
      <c r="IK102" s="1006"/>
      <c r="IL102" s="996">
        <v>2.0063999999999638E-3</v>
      </c>
      <c r="IM102" s="1006" t="s">
        <v>199</v>
      </c>
      <c r="IN102" s="996">
        <v>3.4247576000000004</v>
      </c>
      <c r="IO102" s="1006"/>
      <c r="IP102" s="996">
        <v>0</v>
      </c>
      <c r="IQ102" s="1006"/>
      <c r="IR102" s="996">
        <v>0</v>
      </c>
      <c r="IS102" s="1006"/>
      <c r="IT102" s="996">
        <v>0</v>
      </c>
      <c r="IU102" s="1006"/>
      <c r="IV102" s="996">
        <v>0</v>
      </c>
      <c r="IW102" s="1006"/>
      <c r="IX102" s="996">
        <v>-0.54256399999999982</v>
      </c>
      <c r="IY102" s="1006"/>
      <c r="IZ102" s="996">
        <v>0</v>
      </c>
      <c r="JA102" s="1006"/>
      <c r="JB102" s="996">
        <v>0</v>
      </c>
      <c r="JC102" s="1006"/>
      <c r="JD102" s="996">
        <v>0</v>
      </c>
      <c r="JE102" s="1006"/>
      <c r="JF102" s="996">
        <v>0</v>
      </c>
      <c r="JG102" s="1006"/>
      <c r="JH102" s="996">
        <v>0</v>
      </c>
      <c r="JI102" s="1006"/>
      <c r="JJ102" s="996">
        <v>0</v>
      </c>
      <c r="JK102" s="1007"/>
      <c r="JL102" s="1007">
        <v>0</v>
      </c>
      <c r="JM102" s="1007"/>
      <c r="JN102" s="1007">
        <v>0</v>
      </c>
      <c r="JO102" s="1008" t="s">
        <v>199</v>
      </c>
      <c r="JP102" s="1007">
        <v>-1.6302000000000003</v>
      </c>
      <c r="JQ102" s="1008" t="s">
        <v>204</v>
      </c>
      <c r="JR102" s="1007">
        <v>-1.7555999999999998</v>
      </c>
      <c r="JS102" s="1008">
        <v>0</v>
      </c>
      <c r="JT102" s="1007">
        <v>0</v>
      </c>
      <c r="JU102" s="1008"/>
      <c r="JV102" s="1007">
        <v>0</v>
      </c>
      <c r="JW102" s="1008" t="s">
        <v>197</v>
      </c>
      <c r="JX102" s="1007">
        <v>0</v>
      </c>
      <c r="JY102" s="1008"/>
      <c r="JZ102" s="1007">
        <v>0</v>
      </c>
      <c r="KA102" s="1008"/>
      <c r="KB102" s="1007">
        <v>0</v>
      </c>
      <c r="KC102" s="1008"/>
      <c r="KD102" s="1007">
        <v>0</v>
      </c>
      <c r="KE102" s="1008" t="s">
        <v>204</v>
      </c>
      <c r="KF102" s="1007">
        <v>-1.5048000000000004</v>
      </c>
      <c r="KG102" s="1008" t="s">
        <v>207</v>
      </c>
      <c r="KH102" s="1007">
        <v>5.3504000000000005</v>
      </c>
      <c r="KI102" s="1008" t="s">
        <v>207</v>
      </c>
      <c r="KJ102" s="1007">
        <v>-2.9260000000000002</v>
      </c>
      <c r="KK102" s="1008"/>
      <c r="KL102" s="1007">
        <v>0</v>
      </c>
      <c r="KM102" s="1008"/>
      <c r="KN102" s="1007">
        <v>0</v>
      </c>
      <c r="KO102" s="1008" t="s">
        <v>314</v>
      </c>
      <c r="KP102" s="1007">
        <v>-20.481999999999999</v>
      </c>
      <c r="KQ102" s="1008" t="s">
        <v>206</v>
      </c>
      <c r="KR102" s="1007">
        <v>0.83599999999999852</v>
      </c>
      <c r="KS102" s="1008" t="s">
        <v>204</v>
      </c>
      <c r="KT102" s="1007">
        <v>3.3440000000000012</v>
      </c>
      <c r="KU102" s="1008" t="s">
        <v>206</v>
      </c>
      <c r="KV102" s="1007">
        <v>15.883999999999999</v>
      </c>
      <c r="KW102" s="1008">
        <v>0</v>
      </c>
      <c r="KX102" s="1007">
        <v>0</v>
      </c>
      <c r="KY102" s="1008">
        <v>0</v>
      </c>
      <c r="KZ102" s="1007">
        <v>0</v>
      </c>
      <c r="LA102" s="1008">
        <v>0</v>
      </c>
      <c r="LB102" s="1007">
        <v>0</v>
      </c>
      <c r="LC102" s="1008">
        <v>0</v>
      </c>
      <c r="LD102" s="1007">
        <v>0</v>
      </c>
      <c r="LE102" s="1008">
        <v>0</v>
      </c>
      <c r="LF102" s="1007">
        <v>0</v>
      </c>
      <c r="LG102" s="1008">
        <v>0</v>
      </c>
      <c r="LH102" s="1007">
        <v>-5.116352</v>
      </c>
      <c r="LI102" s="1008">
        <v>0</v>
      </c>
      <c r="LJ102" s="1007">
        <v>0</v>
      </c>
      <c r="LK102" s="1008">
        <v>0</v>
      </c>
      <c r="LL102" s="1007">
        <v>0</v>
      </c>
      <c r="LM102" s="1008" t="s">
        <v>206</v>
      </c>
      <c r="LN102" s="1007">
        <v>-1.4101600000000001</v>
      </c>
      <c r="LO102" s="1008">
        <v>0</v>
      </c>
      <c r="LP102" s="1007">
        <v>0.66879999999999995</v>
      </c>
      <c r="LQ102" s="1008" t="s">
        <v>206</v>
      </c>
      <c r="LR102" s="1007">
        <v>-3.6784000000000008</v>
      </c>
      <c r="LS102" s="1008">
        <v>0</v>
      </c>
      <c r="LT102" s="1007">
        <v>0</v>
      </c>
      <c r="LU102" s="1008">
        <v>0</v>
      </c>
      <c r="LV102" s="1007">
        <v>0</v>
      </c>
      <c r="LW102" s="1008">
        <v>0</v>
      </c>
      <c r="LX102" s="1007">
        <v>0</v>
      </c>
      <c r="LY102" s="1009" t="s">
        <v>207</v>
      </c>
      <c r="LZ102" s="1010">
        <v>2.1399439999999998</v>
      </c>
      <c r="MA102" s="1011">
        <v>0</v>
      </c>
      <c r="MB102" s="1012">
        <v>0</v>
      </c>
      <c r="MC102" s="995"/>
      <c r="MD102" s="996"/>
      <c r="ME102" s="997" t="s">
        <v>416</v>
      </c>
      <c r="MF102" s="997"/>
      <c r="MG102" s="998"/>
      <c r="NR102" s="1000"/>
      <c r="NS102" s="1000"/>
      <c r="NT102" s="1001"/>
      <c r="NU102" s="1000"/>
      <c r="NV102" s="1001"/>
      <c r="NX102" s="1002"/>
      <c r="NZ102" s="1001"/>
      <c r="OA102" s="1001"/>
      <c r="OC102" s="1003"/>
      <c r="OD102" s="1003"/>
      <c r="OE102" s="1001"/>
      <c r="OF102" s="1003"/>
      <c r="OG102" s="1003"/>
      <c r="QX102" s="1000">
        <f t="shared" si="51"/>
        <v>23</v>
      </c>
      <c r="ASU102" s="999" t="s">
        <v>225</v>
      </c>
    </row>
    <row r="103" spans="1:466 1191:1191" ht="21" customHeight="1" x14ac:dyDescent="0.25">
      <c r="A103" s="982" t="str">
        <f t="shared" si="59"/>
        <v>1018-1</v>
      </c>
      <c r="B103" s="124">
        <f>SUBTOTAL(103,$J$29:J103)</f>
        <v>75</v>
      </c>
      <c r="C103" s="126">
        <v>45068</v>
      </c>
      <c r="D103" s="124" t="s">
        <v>176</v>
      </c>
      <c r="E103" s="127" t="s">
        <v>177</v>
      </c>
      <c r="F103" s="128" t="s">
        <v>177</v>
      </c>
      <c r="G103" s="127" t="s">
        <v>178</v>
      </c>
      <c r="H103" s="127" t="s">
        <v>421</v>
      </c>
      <c r="I103" s="127" t="s">
        <v>567</v>
      </c>
      <c r="J103" s="152" t="s">
        <v>607</v>
      </c>
      <c r="K103" s="127" t="s">
        <v>604</v>
      </c>
      <c r="L103" s="130">
        <v>38953</v>
      </c>
      <c r="M103" s="127" t="s">
        <v>230</v>
      </c>
      <c r="N103" s="127" t="s">
        <v>231</v>
      </c>
      <c r="O103" s="127" t="s">
        <v>608</v>
      </c>
      <c r="P103" s="127" t="s">
        <v>292</v>
      </c>
      <c r="Q103" s="85" t="str">
        <f t="shared" si="85"/>
        <v/>
      </c>
      <c r="R103" s="130"/>
      <c r="S103" s="128"/>
      <c r="T103" s="131"/>
      <c r="U103" s="132">
        <v>203</v>
      </c>
      <c r="V103" s="121">
        <v>218.2</v>
      </c>
      <c r="W103" s="116">
        <v>0.98</v>
      </c>
      <c r="X103" s="116">
        <v>1.66</v>
      </c>
      <c r="Y103" s="116">
        <f t="shared" si="41"/>
        <v>1.0110627719080172</v>
      </c>
      <c r="Z103" s="133">
        <v>1.454</v>
      </c>
      <c r="AA103" s="133">
        <v>0.83599999999999997</v>
      </c>
      <c r="AB103" s="133">
        <v>0.72</v>
      </c>
      <c r="AC103" s="121">
        <v>34.299999999999997</v>
      </c>
      <c r="AD103" s="134">
        <v>1.17</v>
      </c>
      <c r="AE103" s="124">
        <v>139.69999999999999</v>
      </c>
      <c r="AF103" s="128">
        <v>7.72</v>
      </c>
      <c r="AG103" s="128">
        <v>1970</v>
      </c>
      <c r="AH103" s="127" t="s">
        <v>609</v>
      </c>
      <c r="AI103" s="127" t="s">
        <v>609</v>
      </c>
      <c r="AJ103" s="135"/>
      <c r="AK103" s="128"/>
      <c r="AL103" s="131"/>
      <c r="AM103" s="124" t="s">
        <v>232</v>
      </c>
      <c r="AN103" s="136" t="s">
        <v>610</v>
      </c>
      <c r="AO103" s="137">
        <v>53.19</v>
      </c>
      <c r="AP103" s="128">
        <v>2048</v>
      </c>
      <c r="AQ103" s="128">
        <v>163.69999999999999</v>
      </c>
      <c r="AR103" s="128" t="s">
        <v>611</v>
      </c>
      <c r="AS103" s="128">
        <v>102</v>
      </c>
      <c r="AT103" s="122">
        <v>6.5</v>
      </c>
      <c r="AU103" s="124" t="s">
        <v>250</v>
      </c>
      <c r="AV103" s="115">
        <f>VLOOKUP(J103,'[63]ТР нефть'!$J$28:$BP$638,39,0)</f>
        <v>500</v>
      </c>
      <c r="AW103" s="115" t="str">
        <f>VLOOKUP(J103,'[63]ТР нефть'!$J$28:$BP$638,40,0)</f>
        <v>ГК 77 1/8</v>
      </c>
      <c r="AX103" s="115">
        <f>VLOOKUP(J103,'[63]ТР нефть'!$J$28:$BP$638,41,0)</f>
        <v>910</v>
      </c>
      <c r="AY103" s="115" t="str">
        <f>VLOOKUP(J103,'[63]ТР нефть'!$J$28:$BP$638,42,0)</f>
        <v>ГК 79 1/8</v>
      </c>
      <c r="AZ103" s="115">
        <f>VLOOKUP(J103,'[63]ТР нефть'!$J$28:$BP$638,43,0)</f>
        <v>1240</v>
      </c>
      <c r="BA103" s="115" t="str">
        <f>VLOOKUP(J103,'[63]ТР нефть'!$J$28:$BP$638,44,0)</f>
        <v>ГК 78 5/32</v>
      </c>
      <c r="BB103" s="115">
        <f>VLOOKUP(J103,'[63]ТР нефть'!$J$28:$BP$638,45,0)</f>
        <v>1510</v>
      </c>
      <c r="BC103" s="115" t="str">
        <f>VLOOKUP(J103,'[63]ТР нефть'!$J$28:$BP$638,46,0)</f>
        <v>ГК 78 5/32</v>
      </c>
      <c r="BD103" s="115">
        <f>VLOOKUP(J103,'[63]ТР нефть'!$J$28:$BP$638,47,0)</f>
        <v>1680</v>
      </c>
      <c r="BE103" s="115" t="str">
        <f>VLOOKUP(J103,'[63]ТР нефть'!$J$28:$BP$638,48,0)</f>
        <v>ЦКсОК 5/16</v>
      </c>
      <c r="BF103" s="115" t="str">
        <f>VLOOKUP(J103,'[63]ТР нефть'!$J$28:$BP$638,49,0)</f>
        <v>-</v>
      </c>
      <c r="BG103" s="115" t="str">
        <f>VLOOKUP(J103,'[63]ТР нефть'!$J$28:$BP$638,50,0)</f>
        <v>-</v>
      </c>
      <c r="BH103" s="115">
        <f>VLOOKUP(J103,'[63]ТР нефть'!$J$28:$BP$638,51,0)</f>
        <v>1690</v>
      </c>
      <c r="BI103" s="115" t="str">
        <f>VLOOKUP(J103,'[63]ТР нефть'!$J$28:$BP$638,52,0)</f>
        <v>открыт</v>
      </c>
      <c r="BJ103" s="115" t="str">
        <f>IF(IFERROR(VLOOKUP(J103,'[63]ТР нефть'!$J$28:$BP$638,53,0),"-")=0,"-",IFERROR(VLOOKUP(J103,'[63]ТР нефть'!$J$28:$BP$638,53,0),"-"))</f>
        <v>-</v>
      </c>
      <c r="BK103" s="138" t="str">
        <f>IF(IFERROR(VLOOKUP(J103,'[63]ТР нефть'!$J$28:$BP$638,54,0),"-")=0,"-",IFERROR(VLOOKUP(J103,'[63]ТР нефть'!$J$28:$BP$638,54,0),"-"))</f>
        <v>-</v>
      </c>
      <c r="BL103" s="138" t="str">
        <f>IF(IFERROR(VLOOKUP(J103,'[63]ТР нефть'!$J$28:$BP$638,55,0),"-")=0,"-",IFERROR(VLOOKUP(J103,'[63]ТР нефть'!$J$28:$BP$638,55,0),"-"))</f>
        <v>-</v>
      </c>
      <c r="BM103" s="138" t="str">
        <f>IF(IFERROR(VLOOKUP(J103,'[63]ТР нефть'!$J$28:$BP$638,56,0),"-")=0,"-",IFERROR(VLOOKUP(J103,'[63]ТР нефть'!$J$28:$BP$638,56,0),"-"))</f>
        <v>-</v>
      </c>
      <c r="BN103" s="138" t="str">
        <f>IF(IFERROR(VLOOKUP(J103,'[63]ТР нефть'!$J$28:$BP$638,57,0),"-")=0,"-",IFERROR(VLOOKUP(J103,'[63]ТР нефть'!$J$28:$BP$638,57,0),"-"))</f>
        <v>-</v>
      </c>
      <c r="BO103" s="115" t="str">
        <f>IF(IFERROR(VLOOKUP(J103,'[63]ТР нефть'!$J$28:$BP$638,58,0),"-")=0,"-",IFERROR(VLOOKUP(J103,'[63]ТР нефть'!$J$28:$BP$638,58,0),"-"))</f>
        <v>-</v>
      </c>
      <c r="BP103" s="115" t="str">
        <f>IF(IFERROR(VLOOKUP(J103,'[63]ТР нефть'!$J$28:$BP$638,59,0),"-")=0,"-",IFERROR(VLOOKUP(J103,'[63]ТР нефть'!$J$28:$BP$638,59,0),"-"))</f>
        <v>-</v>
      </c>
      <c r="BQ103" s="138">
        <v>1870</v>
      </c>
      <c r="BR103" s="128">
        <v>1756.78</v>
      </c>
      <c r="BS103" s="115">
        <f t="shared" si="60"/>
        <v>113.22000000000003</v>
      </c>
      <c r="BT103" s="128">
        <v>73</v>
      </c>
      <c r="BU103" s="128">
        <v>5.5</v>
      </c>
      <c r="BV103" s="127">
        <v>18</v>
      </c>
      <c r="BW103" s="127" t="s">
        <v>217</v>
      </c>
      <c r="BX103" s="127" t="s">
        <v>218</v>
      </c>
      <c r="BY103" s="139">
        <v>24</v>
      </c>
      <c r="BZ103" s="139">
        <v>720</v>
      </c>
      <c r="CA103" s="80">
        <v>26</v>
      </c>
      <c r="CB103" s="138">
        <v>52</v>
      </c>
      <c r="CC103" s="138">
        <v>25</v>
      </c>
      <c r="CD103" s="135">
        <v>45017</v>
      </c>
      <c r="CE103" s="138">
        <v>132.19999999999999</v>
      </c>
      <c r="CF103" s="138"/>
      <c r="CG103" s="138" t="str">
        <f t="shared" si="52"/>
        <v/>
      </c>
      <c r="CH103" s="138" t="s">
        <v>197</v>
      </c>
      <c r="CI103" s="127"/>
      <c r="CJ103" s="138"/>
      <c r="CK103" s="138"/>
      <c r="CL103" s="99"/>
      <c r="CM103" s="127"/>
      <c r="CN103" s="154">
        <v>64</v>
      </c>
      <c r="CO103" s="141">
        <f t="shared" si="61"/>
        <v>8.2743099999999981</v>
      </c>
      <c r="CP103" s="142">
        <v>10.7</v>
      </c>
      <c r="CQ103" s="143">
        <v>7.5</v>
      </c>
      <c r="CR103" s="138">
        <v>78</v>
      </c>
      <c r="CS103" s="139"/>
      <c r="CT103" s="138"/>
      <c r="CU103" s="138">
        <f t="shared" si="62"/>
        <v>78</v>
      </c>
      <c r="CV103" s="115">
        <f t="shared" si="63"/>
        <v>9426.7679117654552</v>
      </c>
      <c r="CW103" s="115" t="str">
        <f t="shared" si="64"/>
        <v/>
      </c>
      <c r="CX103" s="133">
        <f t="shared" si="65"/>
        <v>0.15689149560117305</v>
      </c>
      <c r="CY103" s="116"/>
      <c r="CZ103" s="131" t="s">
        <v>612</v>
      </c>
      <c r="DA103" s="145" t="str">
        <f t="shared" si="66"/>
        <v>Фон.</v>
      </c>
      <c r="DB103" s="146">
        <f t="shared" si="67"/>
        <v>8.2743099999999981</v>
      </c>
      <c r="DC103" s="142">
        <f t="shared" si="68"/>
        <v>10.7</v>
      </c>
      <c r="DD103" s="119">
        <f t="shared" si="69"/>
        <v>7.5</v>
      </c>
      <c r="DE103" s="115">
        <f t="shared" si="70"/>
        <v>78</v>
      </c>
      <c r="DF103" s="121">
        <f t="shared" si="71"/>
        <v>0</v>
      </c>
      <c r="DG103" s="115">
        <f t="shared" si="72"/>
        <v>9426.7679117654552</v>
      </c>
      <c r="DH103" s="115">
        <f t="shared" si="73"/>
        <v>64</v>
      </c>
      <c r="DI103" s="147"/>
      <c r="DJ103" s="111" t="s">
        <v>197</v>
      </c>
      <c r="DK103" s="112">
        <v>43021</v>
      </c>
      <c r="DL103" s="113">
        <f t="shared" ca="1" si="42"/>
        <v>2083</v>
      </c>
      <c r="DM103" s="114"/>
      <c r="DN103" s="114"/>
      <c r="DO103" s="114"/>
      <c r="DP103" s="114"/>
      <c r="DQ103" s="112">
        <v>43021</v>
      </c>
      <c r="DR103" s="114" t="s">
        <v>282</v>
      </c>
      <c r="DS103" s="114"/>
      <c r="DT103" s="128">
        <v>64</v>
      </c>
      <c r="DU103" s="116">
        <f t="shared" si="43"/>
        <v>0.15689149560117305</v>
      </c>
      <c r="DV103" s="117">
        <f t="shared" si="44"/>
        <v>8.2743099999999981</v>
      </c>
      <c r="DW103" s="118">
        <f t="shared" si="45"/>
        <v>10.7</v>
      </c>
      <c r="DX103" s="119">
        <f t="shared" si="74"/>
        <v>7.5</v>
      </c>
      <c r="DY103" s="121">
        <f t="shared" si="46"/>
        <v>78</v>
      </c>
      <c r="DZ103" s="117">
        <f t="shared" si="47"/>
        <v>0</v>
      </c>
      <c r="EA103" s="120">
        <f t="shared" si="47"/>
        <v>0</v>
      </c>
      <c r="EB103" s="119">
        <f t="shared" si="47"/>
        <v>0</v>
      </c>
      <c r="EC103" s="121">
        <f t="shared" si="48"/>
        <v>0</v>
      </c>
      <c r="ED103" s="122"/>
      <c r="EE103" s="145">
        <v>18</v>
      </c>
      <c r="EF103" s="148">
        <v>26</v>
      </c>
      <c r="EG103" s="115">
        <v>52</v>
      </c>
      <c r="EH103" s="115">
        <v>25</v>
      </c>
      <c r="EI103" s="128" t="s">
        <v>218</v>
      </c>
      <c r="EJ103" s="121">
        <v>24</v>
      </c>
      <c r="EK103" s="121">
        <v>720</v>
      </c>
      <c r="EL103" s="149">
        <v>8.2743099999999981</v>
      </c>
      <c r="EM103" s="142">
        <v>10.7</v>
      </c>
      <c r="EN103" s="119">
        <v>7.5</v>
      </c>
      <c r="EO103" s="115">
        <v>78</v>
      </c>
      <c r="EP103" s="115">
        <v>9426.7679117654552</v>
      </c>
      <c r="EQ103" s="115">
        <v>0</v>
      </c>
      <c r="ER103" s="115">
        <v>0</v>
      </c>
      <c r="ES103" s="115">
        <v>64</v>
      </c>
      <c r="ET103" s="150">
        <v>0.15689149560117305</v>
      </c>
      <c r="EU103" s="145">
        <f t="shared" si="75"/>
        <v>18</v>
      </c>
      <c r="EV103" s="115">
        <f t="shared" si="76"/>
        <v>26</v>
      </c>
      <c r="EW103" s="115">
        <f t="shared" si="76"/>
        <v>52</v>
      </c>
      <c r="EX103" s="115">
        <f t="shared" si="76"/>
        <v>25</v>
      </c>
      <c r="EY103" s="115" t="str">
        <f t="shared" si="77"/>
        <v>Периодический</v>
      </c>
      <c r="EZ103" s="115">
        <f t="shared" si="77"/>
        <v>24</v>
      </c>
      <c r="FA103" s="115">
        <f t="shared" si="77"/>
        <v>720</v>
      </c>
      <c r="FB103" s="149">
        <f t="shared" si="78"/>
        <v>8.2743099999999981</v>
      </c>
      <c r="FC103" s="142">
        <f t="shared" si="78"/>
        <v>10.7</v>
      </c>
      <c r="FD103" s="119">
        <f t="shared" si="78"/>
        <v>7.5</v>
      </c>
      <c r="FE103" s="121">
        <f t="shared" si="78"/>
        <v>78</v>
      </c>
      <c r="FF103" s="121">
        <f t="shared" si="49"/>
        <v>9426.7679117654552</v>
      </c>
      <c r="FG103" s="121">
        <f t="shared" si="79"/>
        <v>0</v>
      </c>
      <c r="FH103" s="121">
        <f t="shared" si="50"/>
        <v>0</v>
      </c>
      <c r="FI103" s="121">
        <f t="shared" si="54"/>
        <v>64</v>
      </c>
      <c r="FJ103" s="144">
        <f t="shared" si="80"/>
        <v>0.15689149560117305</v>
      </c>
      <c r="FK103" s="132">
        <f t="shared" si="81"/>
        <v>0</v>
      </c>
      <c r="FL103" s="115">
        <f t="shared" si="81"/>
        <v>0</v>
      </c>
      <c r="FM103" s="115">
        <f t="shared" si="81"/>
        <v>0</v>
      </c>
      <c r="FN103" s="115">
        <f t="shared" si="58"/>
        <v>0</v>
      </c>
      <c r="FO103" s="115">
        <f t="shared" si="57"/>
        <v>0</v>
      </c>
      <c r="FP103" s="115">
        <f t="shared" si="56"/>
        <v>0</v>
      </c>
      <c r="FQ103" s="149">
        <f t="shared" si="56"/>
        <v>0</v>
      </c>
      <c r="FR103" s="142">
        <f t="shared" si="56"/>
        <v>0</v>
      </c>
      <c r="FS103" s="119">
        <f t="shared" si="56"/>
        <v>0</v>
      </c>
      <c r="FT103" s="121">
        <f t="shared" si="56"/>
        <v>0</v>
      </c>
      <c r="FU103" s="121">
        <f t="shared" si="82"/>
        <v>0</v>
      </c>
      <c r="FV103" s="121">
        <f t="shared" si="82"/>
        <v>0</v>
      </c>
      <c r="FW103" s="121">
        <f t="shared" si="83"/>
        <v>0</v>
      </c>
      <c r="FX103" s="121">
        <f t="shared" si="84"/>
        <v>0</v>
      </c>
      <c r="FY103" s="144">
        <f t="shared" si="84"/>
        <v>0</v>
      </c>
      <c r="FZ103" s="145"/>
      <c r="GA103" s="151"/>
      <c r="GB103" s="145"/>
      <c r="GC103" s="151" t="s">
        <v>613</v>
      </c>
      <c r="GD103" s="997" t="s">
        <v>416</v>
      </c>
      <c r="GE103" s="1004"/>
      <c r="GF103" s="1004">
        <v>0</v>
      </c>
      <c r="GG103" s="1004"/>
      <c r="GH103" s="1004">
        <v>0</v>
      </c>
      <c r="GI103" s="145"/>
      <c r="GJ103" s="996">
        <v>0</v>
      </c>
      <c r="GK103" s="145"/>
      <c r="GL103" s="996">
        <v>7.9743099999999982</v>
      </c>
      <c r="GM103" s="1005"/>
      <c r="GN103" s="996">
        <v>0</v>
      </c>
      <c r="GO103" s="1006"/>
      <c r="GP103" s="996">
        <v>0</v>
      </c>
      <c r="GQ103" s="1006"/>
      <c r="GR103" s="996">
        <v>0</v>
      </c>
      <c r="GS103" s="1006" t="s">
        <v>199</v>
      </c>
      <c r="GT103" s="996">
        <v>-9.6635437331612906</v>
      </c>
      <c r="GU103" s="1006"/>
      <c r="GV103" s="996">
        <v>0</v>
      </c>
      <c r="GW103" s="1006"/>
      <c r="GX103" s="996">
        <v>0</v>
      </c>
      <c r="GY103" s="1006"/>
      <c r="GZ103" s="996">
        <v>0</v>
      </c>
      <c r="HA103" s="1006"/>
      <c r="HB103" s="996">
        <v>0</v>
      </c>
      <c r="HC103" s="1006"/>
      <c r="HD103" s="996">
        <v>0</v>
      </c>
      <c r="HE103" s="1006"/>
      <c r="HF103" s="996">
        <v>0</v>
      </c>
      <c r="HG103" s="1006"/>
      <c r="HH103" s="996">
        <v>0</v>
      </c>
      <c r="HI103" s="1006"/>
      <c r="HJ103" s="996">
        <v>0</v>
      </c>
      <c r="HK103" s="1006"/>
      <c r="HL103" s="996">
        <v>0</v>
      </c>
      <c r="HM103" s="1006"/>
      <c r="HN103" s="996">
        <v>0</v>
      </c>
      <c r="HO103" s="1006" t="s">
        <v>199</v>
      </c>
      <c r="HP103" s="996">
        <v>-2.6165061119999997</v>
      </c>
      <c r="HQ103" s="1006"/>
      <c r="HR103" s="996">
        <v>0</v>
      </c>
      <c r="HS103" s="1006"/>
      <c r="HT103" s="996">
        <v>0</v>
      </c>
      <c r="HU103" s="1006"/>
      <c r="HV103" s="996">
        <v>0</v>
      </c>
      <c r="HW103" s="1006" t="s">
        <v>221</v>
      </c>
      <c r="HX103" s="996">
        <v>-3.5900849599999987</v>
      </c>
      <c r="HY103" s="1006" t="s">
        <v>204</v>
      </c>
      <c r="HZ103" s="996">
        <v>6.1708169599999998</v>
      </c>
      <c r="IA103" s="1006"/>
      <c r="IB103" s="996">
        <v>0</v>
      </c>
      <c r="IC103" s="1006"/>
      <c r="ID103" s="996">
        <v>0</v>
      </c>
      <c r="IE103" s="1006"/>
      <c r="IF103" s="996">
        <v>0</v>
      </c>
      <c r="IG103" s="1006"/>
      <c r="IH103" s="996">
        <v>0</v>
      </c>
      <c r="II103" s="1006"/>
      <c r="IJ103" s="996">
        <v>0</v>
      </c>
      <c r="IK103" s="1006"/>
      <c r="IL103" s="996">
        <v>0.59690399999999855</v>
      </c>
      <c r="IM103" s="1006"/>
      <c r="IN103" s="996">
        <v>0</v>
      </c>
      <c r="IO103" s="1006" t="s">
        <v>534</v>
      </c>
      <c r="IP103" s="996">
        <v>-1.4136759999999988</v>
      </c>
      <c r="IQ103" s="1006"/>
      <c r="IR103" s="996">
        <v>0</v>
      </c>
      <c r="IS103" s="1006" t="s">
        <v>204</v>
      </c>
      <c r="IT103" s="996">
        <v>-2.3319384000000003</v>
      </c>
      <c r="IU103" s="1006" t="s">
        <v>204</v>
      </c>
      <c r="IV103" s="996">
        <v>-5.7286171843999991</v>
      </c>
      <c r="IW103" s="1006"/>
      <c r="IX103" s="996">
        <v>6.8769467843999994</v>
      </c>
      <c r="IY103" s="1006"/>
      <c r="IZ103" s="996">
        <v>0</v>
      </c>
      <c r="JA103" s="1006"/>
      <c r="JB103" s="996">
        <v>0</v>
      </c>
      <c r="JC103" s="1006"/>
      <c r="JD103" s="996">
        <v>0</v>
      </c>
      <c r="JE103" s="1006"/>
      <c r="JF103" s="996">
        <v>0</v>
      </c>
      <c r="JG103" s="1006"/>
      <c r="JH103" s="996">
        <v>0</v>
      </c>
      <c r="JI103" s="1006"/>
      <c r="JJ103" s="996">
        <v>0</v>
      </c>
      <c r="JK103" s="1007"/>
      <c r="JL103" s="1007">
        <v>0</v>
      </c>
      <c r="JM103" s="1007" t="s">
        <v>204</v>
      </c>
      <c r="JN103" s="1007">
        <v>2.5253888</v>
      </c>
      <c r="JO103" s="1008"/>
      <c r="JP103" s="1007">
        <v>0</v>
      </c>
      <c r="JQ103" s="1008" t="s">
        <v>204</v>
      </c>
      <c r="JR103" s="1007">
        <v>-4.3471999999999991</v>
      </c>
      <c r="JS103" s="1008">
        <v>0</v>
      </c>
      <c r="JT103" s="1007">
        <v>0</v>
      </c>
      <c r="JU103" s="1008"/>
      <c r="JV103" s="1007">
        <v>0</v>
      </c>
      <c r="JW103" s="1008" t="s">
        <v>197</v>
      </c>
      <c r="JX103" s="1007">
        <v>13.793999999999999</v>
      </c>
      <c r="JY103" s="1008"/>
      <c r="JZ103" s="1007">
        <v>0</v>
      </c>
      <c r="KA103" s="1008"/>
      <c r="KB103" s="1007">
        <v>-8.3265599999999996E-85</v>
      </c>
      <c r="KC103" s="1008"/>
      <c r="KD103" s="1007">
        <v>-21.232727999999998</v>
      </c>
      <c r="KE103" s="1008"/>
      <c r="KF103" s="1007">
        <v>0</v>
      </c>
      <c r="KG103" s="1008" t="s">
        <v>204</v>
      </c>
      <c r="KH103" s="1007">
        <v>7.493903999999997</v>
      </c>
      <c r="KI103" s="1008" t="s">
        <v>206</v>
      </c>
      <c r="KJ103" s="1007">
        <v>-7.910231999999997</v>
      </c>
      <c r="KK103" s="1008"/>
      <c r="KL103" s="1007">
        <v>0</v>
      </c>
      <c r="KM103" s="1008"/>
      <c r="KN103" s="1007">
        <v>0</v>
      </c>
      <c r="KO103" s="1008" t="s">
        <v>206</v>
      </c>
      <c r="KP103" s="1007">
        <v>-3.3306240000000003</v>
      </c>
      <c r="KQ103" s="1008" t="s">
        <v>207</v>
      </c>
      <c r="KR103" s="1007">
        <v>-6.4114512000000055</v>
      </c>
      <c r="KS103" s="1008" t="s">
        <v>207</v>
      </c>
      <c r="KT103" s="1007">
        <v>-3.7208687999999981</v>
      </c>
      <c r="KU103" s="1008">
        <v>0</v>
      </c>
      <c r="KV103" s="1007">
        <v>0</v>
      </c>
      <c r="KW103" s="1008">
        <v>0</v>
      </c>
      <c r="KX103" s="1007">
        <v>0</v>
      </c>
      <c r="KY103" s="1008">
        <v>0</v>
      </c>
      <c r="KZ103" s="1007">
        <v>0</v>
      </c>
      <c r="LA103" s="1008" t="s">
        <v>204</v>
      </c>
      <c r="LB103" s="1007">
        <v>-3.3440000000000012</v>
      </c>
      <c r="LC103" s="1008" t="s">
        <v>199</v>
      </c>
      <c r="LD103" s="1007">
        <v>16.72</v>
      </c>
      <c r="LE103" s="1008">
        <v>0</v>
      </c>
      <c r="LF103" s="1007">
        <v>0</v>
      </c>
      <c r="LG103" s="1008" t="s">
        <v>203</v>
      </c>
      <c r="LH103" s="1007">
        <v>-3.3440000000000012</v>
      </c>
      <c r="LI103" s="1008" t="s">
        <v>25</v>
      </c>
      <c r="LJ103" s="1007">
        <v>24.244</v>
      </c>
      <c r="LK103" s="1008">
        <v>0</v>
      </c>
      <c r="LL103" s="1007">
        <v>0</v>
      </c>
      <c r="LM103" s="1008">
        <v>0</v>
      </c>
      <c r="LN103" s="1007">
        <v>0</v>
      </c>
      <c r="LO103" s="1008">
        <v>0</v>
      </c>
      <c r="LP103" s="1007">
        <v>0</v>
      </c>
      <c r="LQ103" s="1008">
        <v>0</v>
      </c>
      <c r="LR103" s="1007">
        <v>0</v>
      </c>
      <c r="LS103" s="1008">
        <v>0</v>
      </c>
      <c r="LT103" s="1007">
        <v>0</v>
      </c>
      <c r="LU103" s="1008">
        <v>0</v>
      </c>
      <c r="LV103" s="1007">
        <v>0</v>
      </c>
      <c r="LW103" s="1008">
        <v>0</v>
      </c>
      <c r="LX103" s="1007">
        <v>0</v>
      </c>
      <c r="LY103" s="1009">
        <v>0</v>
      </c>
      <c r="LZ103" s="1010">
        <v>0</v>
      </c>
      <c r="MA103" s="1011">
        <v>0</v>
      </c>
      <c r="MB103" s="1012">
        <v>0</v>
      </c>
      <c r="MC103" s="995"/>
      <c r="MD103" s="996"/>
      <c r="ME103" s="997" t="s">
        <v>416</v>
      </c>
      <c r="MF103" s="997"/>
      <c r="MG103" s="998"/>
      <c r="NR103" s="1000"/>
      <c r="NS103" s="1000"/>
      <c r="NT103" s="1001"/>
      <c r="NU103" s="1000"/>
      <c r="NV103" s="1001"/>
      <c r="NX103" s="1002"/>
      <c r="NZ103" s="1001"/>
      <c r="OA103" s="1001"/>
      <c r="OC103" s="1003"/>
      <c r="OD103" s="1003"/>
      <c r="OE103" s="1001"/>
      <c r="OF103" s="1003"/>
      <c r="OG103" s="1003"/>
      <c r="QX103" s="1000">
        <f t="shared" si="51"/>
        <v>38</v>
      </c>
      <c r="ASU103" s="999" t="s">
        <v>292</v>
      </c>
    </row>
    <row r="104" spans="1:466 1191:1191" ht="21" customHeight="1" x14ac:dyDescent="0.25">
      <c r="A104" s="982" t="str">
        <f t="shared" si="59"/>
        <v>1018-2</v>
      </c>
      <c r="B104" s="124">
        <f>SUBTOTAL(103,$J$29:J104)</f>
        <v>76</v>
      </c>
      <c r="C104" s="126">
        <v>45068</v>
      </c>
      <c r="D104" s="124" t="s">
        <v>176</v>
      </c>
      <c r="E104" s="127" t="s">
        <v>177</v>
      </c>
      <c r="F104" s="128" t="s">
        <v>177</v>
      </c>
      <c r="G104" s="127" t="s">
        <v>178</v>
      </c>
      <c r="H104" s="127" t="s">
        <v>179</v>
      </c>
      <c r="I104" s="127" t="s">
        <v>601</v>
      </c>
      <c r="J104" s="152" t="s">
        <v>614</v>
      </c>
      <c r="K104" s="127" t="s">
        <v>601</v>
      </c>
      <c r="L104" s="130">
        <v>41888</v>
      </c>
      <c r="M104" s="127" t="s">
        <v>230</v>
      </c>
      <c r="N104" s="127" t="s">
        <v>245</v>
      </c>
      <c r="O104" s="127" t="s">
        <v>185</v>
      </c>
      <c r="P104" s="127" t="s">
        <v>186</v>
      </c>
      <c r="Q104" s="85" t="str">
        <f t="shared" si="85"/>
        <v/>
      </c>
      <c r="R104" s="130"/>
      <c r="S104" s="128"/>
      <c r="T104" s="131"/>
      <c r="U104" s="132">
        <v>203</v>
      </c>
      <c r="V104" s="121">
        <v>218.2</v>
      </c>
      <c r="W104" s="116">
        <v>0.98</v>
      </c>
      <c r="X104" s="116">
        <v>1.66</v>
      </c>
      <c r="Y104" s="116">
        <f t="shared" si="41"/>
        <v>1.0674540682414697</v>
      </c>
      <c r="Z104" s="133">
        <v>1.454</v>
      </c>
      <c r="AA104" s="133">
        <v>0.83599999999999997</v>
      </c>
      <c r="AB104" s="133">
        <v>0.72</v>
      </c>
      <c r="AC104" s="121">
        <v>34.299999999999997</v>
      </c>
      <c r="AD104" s="134">
        <v>1.17</v>
      </c>
      <c r="AE104" s="124">
        <v>177.8</v>
      </c>
      <c r="AF104" s="128">
        <v>9.19</v>
      </c>
      <c r="AG104" s="128">
        <v>2290.5100000000002</v>
      </c>
      <c r="AH104" s="127" t="s">
        <v>615</v>
      </c>
      <c r="AI104" s="127" t="s">
        <v>615</v>
      </c>
      <c r="AJ104" s="135"/>
      <c r="AK104" s="128"/>
      <c r="AL104" s="131"/>
      <c r="AM104" s="124" t="s">
        <v>232</v>
      </c>
      <c r="AN104" s="136" t="s">
        <v>616</v>
      </c>
      <c r="AO104" s="137">
        <v>6.7</v>
      </c>
      <c r="AP104" s="128">
        <v>2290</v>
      </c>
      <c r="AQ104" s="128">
        <v>338.9</v>
      </c>
      <c r="AR104" s="128"/>
      <c r="AS104" s="128"/>
      <c r="AT104" s="122"/>
      <c r="AU104" s="124" t="s">
        <v>189</v>
      </c>
      <c r="AV104" s="115">
        <f>VLOOKUP(J104,'[63]ТР нефть'!$J$28:$BP$638,39,0)</f>
        <v>599.99999062500001</v>
      </c>
      <c r="AW104" s="115" t="str">
        <f>VLOOKUP(J104,'[63]ТР нефть'!$J$28:$BP$638,40,0)</f>
        <v>ГК 82 1/8</v>
      </c>
      <c r="AX104" s="115">
        <f>VLOOKUP(J104,'[63]ТР нефть'!$J$28:$BP$638,41,0)</f>
        <v>1199.99998125</v>
      </c>
      <c r="AY104" s="115" t="str">
        <f>VLOOKUP(J104,'[63]ТР нефть'!$J$28:$BP$638,42,0)</f>
        <v>ГК 77 1/8</v>
      </c>
      <c r="AZ104" s="115">
        <f>VLOOKUP(J104,'[63]ТР нефть'!$J$28:$BP$638,43,0)</f>
        <v>1499.999976563</v>
      </c>
      <c r="BA104" s="115" t="str">
        <f>VLOOKUP(J104,'[63]ТР нефть'!$J$28:$BP$638,44,0)</f>
        <v>ГК 78 1/8</v>
      </c>
      <c r="BB104" s="115">
        <f>VLOOKUP(J104,'[63]ТР нефть'!$J$28:$BP$638,45,0)</f>
        <v>1899.9999703129999</v>
      </c>
      <c r="BC104" s="115" t="str">
        <f>VLOOKUP(J104,'[63]ТР нефть'!$J$28:$BP$638,46,0)</f>
        <v>ЦКсОК 5/16</v>
      </c>
      <c r="BD104" s="115" t="str">
        <f>VLOOKUP(J104,'[63]ТР нефть'!$J$28:$BP$638,47,0)</f>
        <v>-</v>
      </c>
      <c r="BE104" s="115" t="str">
        <f>VLOOKUP(J104,'[63]ТР нефть'!$J$28:$BP$638,48,0)</f>
        <v>-</v>
      </c>
      <c r="BF104" s="115" t="str">
        <f>VLOOKUP(J104,'[63]ТР нефть'!$J$28:$BP$638,49,0)</f>
        <v>-</v>
      </c>
      <c r="BG104" s="115" t="str">
        <f>VLOOKUP(J104,'[63]ТР нефть'!$J$28:$BP$638,50,0)</f>
        <v>-</v>
      </c>
      <c r="BH104" s="115">
        <f>VLOOKUP(J104,'[63]ТР нефть'!$J$28:$BP$638,51,0)</f>
        <v>1900</v>
      </c>
      <c r="BI104" s="115" t="str">
        <f>VLOOKUP(J104,'[63]ТР нефть'!$J$28:$BP$638,52,0)</f>
        <v>открыт</v>
      </c>
      <c r="BJ104" s="115" t="str">
        <f>IF(IFERROR(VLOOKUP(J104,'[63]ТР нефть'!$J$28:$BP$638,53,0),"-")=0,"-",IFERROR(VLOOKUP(J104,'[63]ТР нефть'!$J$28:$BP$638,53,0),"-"))</f>
        <v>-</v>
      </c>
      <c r="BK104" s="138" t="str">
        <f>IF(IFERROR(VLOOKUP(J104,'[63]ТР нефть'!$J$28:$BP$638,54,0),"-")=0,"-",IFERROR(VLOOKUP(J104,'[63]ТР нефть'!$J$28:$BP$638,54,0),"-"))</f>
        <v>-</v>
      </c>
      <c r="BL104" s="138" t="str">
        <f>IF(IFERROR(VLOOKUP(J104,'[63]ТР нефть'!$J$28:$BP$638,55,0),"-")=0,"-",IFERROR(VLOOKUP(J104,'[63]ТР нефть'!$J$28:$BP$638,55,0),"-"))</f>
        <v>-</v>
      </c>
      <c r="BM104" s="138" t="str">
        <f>IF(IFERROR(VLOOKUP(J104,'[63]ТР нефть'!$J$28:$BP$638,56,0),"-")=0,"-",IFERROR(VLOOKUP(J104,'[63]ТР нефть'!$J$28:$BP$638,56,0),"-"))</f>
        <v>-</v>
      </c>
      <c r="BN104" s="138" t="str">
        <f>IF(IFERROR(VLOOKUP(J104,'[63]ТР нефть'!$J$28:$BP$638,57,0),"-")=0,"-",IFERROR(VLOOKUP(J104,'[63]ТР нефть'!$J$28:$BP$638,57,0),"-"))</f>
        <v>-</v>
      </c>
      <c r="BO104" s="115" t="str">
        <f>IF(IFERROR(VLOOKUP(J104,'[63]ТР нефть'!$J$28:$BP$638,58,0),"-")=0,"-",IFERROR(VLOOKUP(J104,'[63]ТР нефть'!$J$28:$BP$638,58,0),"-"))</f>
        <v>-</v>
      </c>
      <c r="BP104" s="115" t="str">
        <f>IF(IFERROR(VLOOKUP(J104,'[63]ТР нефть'!$J$28:$BP$638,59,0),"-")=0,"-",IFERROR(VLOOKUP(J104,'[63]ТР нефть'!$J$28:$BP$638,59,0),"-"))</f>
        <v>-</v>
      </c>
      <c r="BQ104" s="138">
        <v>2280</v>
      </c>
      <c r="BR104" s="128">
        <v>1949.7</v>
      </c>
      <c r="BS104" s="115">
        <f t="shared" si="60"/>
        <v>330.29999999999995</v>
      </c>
      <c r="BT104" s="128">
        <v>73</v>
      </c>
      <c r="BU104" s="128">
        <v>5.5</v>
      </c>
      <c r="BV104" s="127">
        <v>18</v>
      </c>
      <c r="BW104" s="127" t="s">
        <v>217</v>
      </c>
      <c r="BX104" s="127" t="s">
        <v>218</v>
      </c>
      <c r="BY104" s="139">
        <v>24</v>
      </c>
      <c r="BZ104" s="139">
        <v>24</v>
      </c>
      <c r="CA104" s="80">
        <v>18</v>
      </c>
      <c r="CB104" s="138">
        <v>35</v>
      </c>
      <c r="CC104" s="138">
        <v>17</v>
      </c>
      <c r="CD104" s="135">
        <v>45017</v>
      </c>
      <c r="CE104" s="138">
        <v>88</v>
      </c>
      <c r="CF104" s="138">
        <v>82</v>
      </c>
      <c r="CG104" s="138" t="str">
        <f t="shared" si="52"/>
        <v>В работе</v>
      </c>
      <c r="CH104" s="138" t="s">
        <v>196</v>
      </c>
      <c r="CI104" s="127">
        <v>5</v>
      </c>
      <c r="CJ104" s="138"/>
      <c r="CK104" s="138">
        <f t="shared" si="55"/>
        <v>43</v>
      </c>
      <c r="CL104" s="99"/>
      <c r="CM104" s="99"/>
      <c r="CN104" s="140">
        <v>61</v>
      </c>
      <c r="CO104" s="141">
        <f t="shared" si="61"/>
        <v>3.3439999999999999</v>
      </c>
      <c r="CP104" s="142">
        <v>5</v>
      </c>
      <c r="CQ104" s="143">
        <v>20</v>
      </c>
      <c r="CR104" s="138">
        <v>8.85</v>
      </c>
      <c r="CS104" s="139">
        <v>3.6</v>
      </c>
      <c r="CT104" s="138"/>
      <c r="CU104" s="138">
        <f t="shared" si="62"/>
        <v>5.25</v>
      </c>
      <c r="CV104" s="115">
        <f t="shared" si="63"/>
        <v>1569.9760765550241</v>
      </c>
      <c r="CW104" s="115">
        <f t="shared" si="64"/>
        <v>799.6446023989339</v>
      </c>
      <c r="CX104" s="133">
        <f t="shared" si="65"/>
        <v>0.18518518518518517</v>
      </c>
      <c r="CY104" s="116"/>
      <c r="CZ104" s="131"/>
      <c r="DA104" s="145" t="str">
        <f t="shared" si="66"/>
        <v>Газлифт</v>
      </c>
      <c r="DB104" s="146">
        <f t="shared" si="67"/>
        <v>3.3439999999999999</v>
      </c>
      <c r="DC104" s="142">
        <f t="shared" si="68"/>
        <v>5</v>
      </c>
      <c r="DD104" s="119">
        <f t="shared" si="69"/>
        <v>20</v>
      </c>
      <c r="DE104" s="115">
        <f t="shared" si="70"/>
        <v>5.25</v>
      </c>
      <c r="DF104" s="121">
        <f t="shared" si="71"/>
        <v>3.6</v>
      </c>
      <c r="DG104" s="115">
        <f t="shared" si="72"/>
        <v>1569.9760765550241</v>
      </c>
      <c r="DH104" s="115">
        <f t="shared" si="73"/>
        <v>61</v>
      </c>
      <c r="DI104" s="147"/>
      <c r="DJ104" s="111" t="s">
        <v>197</v>
      </c>
      <c r="DK104" s="112">
        <v>43019</v>
      </c>
      <c r="DL104" s="113">
        <f t="shared" ca="1" si="42"/>
        <v>2085</v>
      </c>
      <c r="DM104" s="114"/>
      <c r="DN104" s="114"/>
      <c r="DO104" s="114"/>
      <c r="DP104" s="114"/>
      <c r="DQ104" s="112">
        <v>42776</v>
      </c>
      <c r="DR104" s="114" t="s">
        <v>198</v>
      </c>
      <c r="DS104" s="114"/>
      <c r="DT104" s="115">
        <v>60</v>
      </c>
      <c r="DU104" s="116">
        <f t="shared" si="43"/>
        <v>0.18410223088585667</v>
      </c>
      <c r="DV104" s="117">
        <f t="shared" si="44"/>
        <v>3.4475720164609069</v>
      </c>
      <c r="DW104" s="118">
        <f t="shared" si="45"/>
        <v>5.1548624648039869</v>
      </c>
      <c r="DX104" s="119">
        <f t="shared" si="74"/>
        <v>20</v>
      </c>
      <c r="DY104" s="115">
        <f t="shared" si="46"/>
        <v>5.4126055880441877</v>
      </c>
      <c r="DZ104" s="117">
        <f t="shared" si="47"/>
        <v>0.10357201646090708</v>
      </c>
      <c r="EA104" s="120">
        <f t="shared" si="47"/>
        <v>0.15486246480398691</v>
      </c>
      <c r="EB104" s="119">
        <f t="shared" si="47"/>
        <v>0</v>
      </c>
      <c r="EC104" s="121">
        <f t="shared" si="48"/>
        <v>0.16260558804418768</v>
      </c>
      <c r="ED104" s="122"/>
      <c r="EE104" s="145">
        <v>18</v>
      </c>
      <c r="EF104" s="148">
        <v>18</v>
      </c>
      <c r="EG104" s="115">
        <v>36</v>
      </c>
      <c r="EH104" s="115">
        <v>17</v>
      </c>
      <c r="EI104" s="128" t="s">
        <v>218</v>
      </c>
      <c r="EJ104" s="121">
        <v>24</v>
      </c>
      <c r="EK104" s="121">
        <v>24</v>
      </c>
      <c r="EL104" s="149">
        <v>3.3439999999999999</v>
      </c>
      <c r="EM104" s="142">
        <v>5</v>
      </c>
      <c r="EN104" s="119">
        <v>20</v>
      </c>
      <c r="EO104" s="115">
        <v>8.85</v>
      </c>
      <c r="EP104" s="115">
        <v>1569.9760765550241</v>
      </c>
      <c r="EQ104" s="115">
        <v>82</v>
      </c>
      <c r="ER104" s="115">
        <v>3.6</v>
      </c>
      <c r="ES104" s="115">
        <v>61</v>
      </c>
      <c r="ET104" s="150">
        <v>0.18518518518518517</v>
      </c>
      <c r="EU104" s="145">
        <f t="shared" si="75"/>
        <v>18</v>
      </c>
      <c r="EV104" s="115">
        <f t="shared" si="76"/>
        <v>18</v>
      </c>
      <c r="EW104" s="115">
        <f t="shared" si="76"/>
        <v>35</v>
      </c>
      <c r="EX104" s="115">
        <f t="shared" si="76"/>
        <v>17</v>
      </c>
      <c r="EY104" s="115" t="str">
        <f t="shared" si="77"/>
        <v>Периодический</v>
      </c>
      <c r="EZ104" s="115">
        <f t="shared" si="77"/>
        <v>24</v>
      </c>
      <c r="FA104" s="115">
        <f t="shared" si="77"/>
        <v>24</v>
      </c>
      <c r="FB104" s="149">
        <f t="shared" si="78"/>
        <v>3.3439999999999999</v>
      </c>
      <c r="FC104" s="142">
        <f t="shared" si="78"/>
        <v>5</v>
      </c>
      <c r="FD104" s="119">
        <f t="shared" si="78"/>
        <v>20</v>
      </c>
      <c r="FE104" s="121">
        <f t="shared" si="78"/>
        <v>8.85</v>
      </c>
      <c r="FF104" s="121">
        <f t="shared" si="49"/>
        <v>1569.9760765550241</v>
      </c>
      <c r="FG104" s="121">
        <f t="shared" si="79"/>
        <v>82</v>
      </c>
      <c r="FH104" s="121">
        <f t="shared" si="50"/>
        <v>3.6</v>
      </c>
      <c r="FI104" s="121">
        <f t="shared" si="54"/>
        <v>61</v>
      </c>
      <c r="FJ104" s="144">
        <f t="shared" si="80"/>
        <v>0.18518518518518517</v>
      </c>
      <c r="FK104" s="132">
        <f t="shared" si="81"/>
        <v>0</v>
      </c>
      <c r="FL104" s="115">
        <f t="shared" si="81"/>
        <v>0</v>
      </c>
      <c r="FM104" s="115">
        <f t="shared" si="81"/>
        <v>-1</v>
      </c>
      <c r="FN104" s="115">
        <f t="shared" si="58"/>
        <v>0</v>
      </c>
      <c r="FO104" s="115">
        <f t="shared" si="57"/>
        <v>0</v>
      </c>
      <c r="FP104" s="115">
        <f t="shared" si="56"/>
        <v>0</v>
      </c>
      <c r="FQ104" s="149">
        <f t="shared" si="56"/>
        <v>0</v>
      </c>
      <c r="FR104" s="142">
        <f t="shared" si="56"/>
        <v>0</v>
      </c>
      <c r="FS104" s="119">
        <f t="shared" si="56"/>
        <v>0</v>
      </c>
      <c r="FT104" s="121">
        <f t="shared" si="56"/>
        <v>0</v>
      </c>
      <c r="FU104" s="121">
        <f t="shared" si="82"/>
        <v>0</v>
      </c>
      <c r="FV104" s="121">
        <f t="shared" si="82"/>
        <v>0</v>
      </c>
      <c r="FW104" s="121">
        <f t="shared" si="83"/>
        <v>0</v>
      </c>
      <c r="FX104" s="121">
        <f t="shared" si="84"/>
        <v>0</v>
      </c>
      <c r="FY104" s="144">
        <f t="shared" si="84"/>
        <v>0</v>
      </c>
      <c r="FZ104" s="145"/>
      <c r="GA104" s="151" t="s">
        <v>617</v>
      </c>
      <c r="GB104" s="145"/>
      <c r="GC104" s="151"/>
      <c r="GD104" s="997" t="s">
        <v>220</v>
      </c>
      <c r="GE104" s="1004"/>
      <c r="GF104" s="1004">
        <v>1.0374425599999997</v>
      </c>
      <c r="GG104" s="1004"/>
      <c r="GH104" s="1004">
        <v>0</v>
      </c>
      <c r="GI104" s="145"/>
      <c r="GJ104" s="996">
        <v>0</v>
      </c>
      <c r="GK104" s="145"/>
      <c r="GL104" s="996">
        <v>0</v>
      </c>
      <c r="GM104" s="1005"/>
      <c r="GN104" s="996">
        <v>0</v>
      </c>
      <c r="GO104" s="1006"/>
      <c r="GP104" s="996">
        <v>-0.49003887239999999</v>
      </c>
      <c r="GQ104" s="1006"/>
      <c r="GR104" s="996">
        <v>0</v>
      </c>
      <c r="GS104" s="1006"/>
      <c r="GT104" s="996">
        <v>0.70873647240000004</v>
      </c>
      <c r="GU104" s="1006"/>
      <c r="GV104" s="996">
        <v>1.8759840000000416E-2</v>
      </c>
      <c r="GW104" s="1006"/>
      <c r="GX104" s="996">
        <v>-0.72230400000000028</v>
      </c>
      <c r="GY104" s="1006"/>
      <c r="GZ104" s="996">
        <v>-0.38509503999999994</v>
      </c>
      <c r="HA104" s="1006"/>
      <c r="HB104" s="996">
        <v>-0.16750095999999992</v>
      </c>
      <c r="HC104" s="1006"/>
      <c r="HD104" s="996">
        <v>-0.12539999999999951</v>
      </c>
      <c r="HE104" s="1006"/>
      <c r="HF104" s="996">
        <v>0.16719999999999935</v>
      </c>
      <c r="HG104" s="1006"/>
      <c r="HH104" s="996">
        <v>0</v>
      </c>
      <c r="HI104" s="1006"/>
      <c r="HJ104" s="996">
        <v>0</v>
      </c>
      <c r="HK104" s="1006"/>
      <c r="HL104" s="996">
        <v>0</v>
      </c>
      <c r="HM104" s="1006"/>
      <c r="HN104" s="996">
        <v>0</v>
      </c>
      <c r="HO104" s="1006"/>
      <c r="HP104" s="996">
        <v>0</v>
      </c>
      <c r="HQ104" s="1006"/>
      <c r="HR104" s="996">
        <v>0.71331700000000042</v>
      </c>
      <c r="HS104" s="1006"/>
      <c r="HT104" s="996">
        <v>0</v>
      </c>
      <c r="HU104" s="1006"/>
      <c r="HV104" s="996">
        <v>0</v>
      </c>
      <c r="HW104" s="1006"/>
      <c r="HX104" s="996">
        <v>0</v>
      </c>
      <c r="HY104" s="1006"/>
      <c r="HZ104" s="996">
        <v>0.10567040000000016</v>
      </c>
      <c r="IA104" s="1006"/>
      <c r="IB104" s="996">
        <v>0</v>
      </c>
      <c r="IC104" s="1006"/>
      <c r="ID104" s="996">
        <v>0</v>
      </c>
      <c r="IE104" s="1006" t="s">
        <v>199</v>
      </c>
      <c r="IF104" s="996">
        <v>2.4661999999999988</v>
      </c>
      <c r="IG104" s="1006" t="s">
        <v>199</v>
      </c>
      <c r="IH104" s="996">
        <v>-2.6417599999999997</v>
      </c>
      <c r="II104" s="1006"/>
      <c r="IJ104" s="996">
        <v>0.23407999999999962</v>
      </c>
      <c r="IK104" s="1006" t="s">
        <v>199</v>
      </c>
      <c r="IL104" s="996">
        <v>1.5025428000000001</v>
      </c>
      <c r="IM104" s="1006" t="s">
        <v>199</v>
      </c>
      <c r="IN104" s="996">
        <v>-1.6307490848000001</v>
      </c>
      <c r="IO104" s="1006"/>
      <c r="IP104" s="996">
        <v>0</v>
      </c>
      <c r="IQ104" s="1006"/>
      <c r="IR104" s="996">
        <v>0.25109828480000029</v>
      </c>
      <c r="IS104" s="1006"/>
      <c r="IT104" s="996">
        <v>-0.44015399999999971</v>
      </c>
      <c r="IU104" s="1006"/>
      <c r="IV104" s="996">
        <v>0</v>
      </c>
      <c r="IW104" s="1006"/>
      <c r="IX104" s="996">
        <v>2.4661999999999296E-2</v>
      </c>
      <c r="IY104" s="1006"/>
      <c r="IZ104" s="996">
        <v>0</v>
      </c>
      <c r="JA104" s="1006"/>
      <c r="JB104" s="996">
        <v>0</v>
      </c>
      <c r="JC104" s="1006"/>
      <c r="JD104" s="996">
        <v>0</v>
      </c>
      <c r="JE104" s="1006"/>
      <c r="JF104" s="996">
        <v>0</v>
      </c>
      <c r="JG104" s="1006"/>
      <c r="JH104" s="996">
        <v>0</v>
      </c>
      <c r="JI104" s="1006"/>
      <c r="JJ104" s="996">
        <v>0</v>
      </c>
      <c r="JK104" s="1007"/>
      <c r="JL104" s="1007">
        <v>0</v>
      </c>
      <c r="JM104" s="1007"/>
      <c r="JN104" s="1007">
        <v>0</v>
      </c>
      <c r="JO104" s="1008"/>
      <c r="JP104" s="1007">
        <v>0</v>
      </c>
      <c r="JQ104" s="1008">
        <v>0</v>
      </c>
      <c r="JR104" s="1007">
        <v>0</v>
      </c>
      <c r="JS104" s="1008">
        <v>0</v>
      </c>
      <c r="JT104" s="1007">
        <v>-0.39709999999999912</v>
      </c>
      <c r="JU104" s="1008"/>
      <c r="JV104" s="1007">
        <v>0</v>
      </c>
      <c r="JW104" s="1008" t="s">
        <v>197</v>
      </c>
      <c r="JX104" s="1007">
        <v>0</v>
      </c>
      <c r="JY104" s="1008"/>
      <c r="JZ104" s="1007">
        <v>0</v>
      </c>
      <c r="KA104" s="1008"/>
      <c r="KB104" s="1007">
        <v>0</v>
      </c>
      <c r="KC104" s="1008"/>
      <c r="KD104" s="1007">
        <v>0</v>
      </c>
      <c r="KE104" s="1008" t="s">
        <v>206</v>
      </c>
      <c r="KF104" s="1007">
        <v>0.18809999999999949</v>
      </c>
      <c r="KG104" s="1008" t="s">
        <v>204</v>
      </c>
      <c r="KH104" s="1007">
        <v>0.79127400000000048</v>
      </c>
      <c r="KI104" s="1008"/>
      <c r="KJ104" s="1007">
        <v>0</v>
      </c>
      <c r="KK104" s="1008"/>
      <c r="KL104" s="1007">
        <v>0</v>
      </c>
      <c r="KM104" s="1008"/>
      <c r="KN104" s="1007">
        <v>0</v>
      </c>
      <c r="KO104" s="1008" t="s">
        <v>314</v>
      </c>
      <c r="KP104" s="1007">
        <v>0.52960600000000024</v>
      </c>
      <c r="KQ104" s="1008">
        <v>0</v>
      </c>
      <c r="KR104" s="1007">
        <v>0</v>
      </c>
      <c r="KS104" s="1008">
        <v>0</v>
      </c>
      <c r="KT104" s="1007">
        <v>0</v>
      </c>
      <c r="KU104" s="1008" t="s">
        <v>206</v>
      </c>
      <c r="KV104" s="1007">
        <v>-0.63117999999999963</v>
      </c>
      <c r="KW104" s="1008" t="s">
        <v>206</v>
      </c>
      <c r="KX104" s="1007">
        <v>1.2999799999999997</v>
      </c>
      <c r="KY104" s="1008" t="s">
        <v>206</v>
      </c>
      <c r="KZ104" s="1007">
        <v>-5.0160000000000426E-2</v>
      </c>
      <c r="LA104" s="1008" t="s">
        <v>204</v>
      </c>
      <c r="LB104" s="1007">
        <v>0.22571999999999992</v>
      </c>
      <c r="LC104" s="1008">
        <v>0</v>
      </c>
      <c r="LD104" s="1007">
        <v>0</v>
      </c>
      <c r="LE104" s="1008" t="s">
        <v>206</v>
      </c>
      <c r="LF104" s="1007">
        <v>-0.5851999999999995</v>
      </c>
      <c r="LG104" s="1008" t="s">
        <v>206</v>
      </c>
      <c r="LH104" s="1007">
        <v>0.22989999999999899</v>
      </c>
      <c r="LI104" s="1008">
        <v>0</v>
      </c>
      <c r="LJ104" s="1007">
        <v>0</v>
      </c>
      <c r="LK104" s="1008">
        <v>0</v>
      </c>
      <c r="LL104" s="1007">
        <v>0</v>
      </c>
      <c r="LM104" s="1008">
        <v>0</v>
      </c>
      <c r="LN104" s="1007">
        <v>0</v>
      </c>
      <c r="LO104" s="1008">
        <v>0</v>
      </c>
      <c r="LP104" s="1007">
        <v>0</v>
      </c>
      <c r="LQ104" s="1008">
        <v>0</v>
      </c>
      <c r="LR104" s="1007">
        <v>-0.71324100000000001</v>
      </c>
      <c r="LS104" s="1008">
        <v>0</v>
      </c>
      <c r="LT104" s="1007">
        <v>-0.39291999999999999</v>
      </c>
      <c r="LU104" s="1008">
        <v>0</v>
      </c>
      <c r="LV104" s="1007">
        <v>-0.18392</v>
      </c>
      <c r="LW104" s="1008" t="s">
        <v>207</v>
      </c>
      <c r="LX104" s="1007">
        <v>-4.5394800000000002</v>
      </c>
      <c r="LY104" s="1009">
        <v>0</v>
      </c>
      <c r="LZ104" s="1010">
        <v>4.5144000000000002</v>
      </c>
      <c r="MA104" s="1011">
        <v>0</v>
      </c>
      <c r="MB104" s="1012">
        <v>5.8435563999999971</v>
      </c>
      <c r="MC104" s="995"/>
      <c r="MD104" s="996"/>
      <c r="ME104" s="997" t="s">
        <v>220</v>
      </c>
      <c r="MF104" s="997"/>
      <c r="MG104" s="998"/>
      <c r="NR104" s="1000"/>
      <c r="NS104" s="1000"/>
      <c r="NT104" s="1001"/>
      <c r="NU104" s="1000"/>
      <c r="NV104" s="1001"/>
      <c r="NX104" s="1002"/>
      <c r="NZ104" s="1001"/>
      <c r="OA104" s="1001"/>
      <c r="OC104" s="1003"/>
      <c r="OD104" s="1003"/>
      <c r="OE104" s="1001"/>
      <c r="OF104" s="1003"/>
      <c r="OG104" s="1003"/>
      <c r="QX104" s="1000">
        <f t="shared" si="51"/>
        <v>43</v>
      </c>
      <c r="ASU104" s="999" t="s">
        <v>225</v>
      </c>
    </row>
    <row r="105" spans="1:466 1191:1191" ht="21" customHeight="1" x14ac:dyDescent="0.25">
      <c r="A105" s="982" t="str">
        <f t="shared" si="59"/>
        <v>1019-1</v>
      </c>
      <c r="B105" s="124">
        <f>SUBTOTAL(103,$J$29:J105)</f>
        <v>77</v>
      </c>
      <c r="C105" s="126">
        <v>45068</v>
      </c>
      <c r="D105" s="124" t="s">
        <v>176</v>
      </c>
      <c r="E105" s="127" t="s">
        <v>177</v>
      </c>
      <c r="F105" s="128" t="s">
        <v>177</v>
      </c>
      <c r="G105" s="127" t="s">
        <v>178</v>
      </c>
      <c r="H105" s="127" t="s">
        <v>421</v>
      </c>
      <c r="I105" s="127" t="s">
        <v>567</v>
      </c>
      <c r="J105" s="129" t="s">
        <v>618</v>
      </c>
      <c r="K105" s="127" t="s">
        <v>619</v>
      </c>
      <c r="L105" s="130">
        <v>38699</v>
      </c>
      <c r="M105" s="127" t="s">
        <v>230</v>
      </c>
      <c r="N105" s="127" t="s">
        <v>231</v>
      </c>
      <c r="O105" s="127" t="s">
        <v>185</v>
      </c>
      <c r="P105" s="127" t="s">
        <v>186</v>
      </c>
      <c r="Q105" s="85" t="str">
        <f t="shared" si="85"/>
        <v/>
      </c>
      <c r="R105" s="130"/>
      <c r="S105" s="128" t="s">
        <v>156</v>
      </c>
      <c r="T105" s="131"/>
      <c r="U105" s="132">
        <v>203</v>
      </c>
      <c r="V105" s="121">
        <v>218.2</v>
      </c>
      <c r="W105" s="116">
        <v>0.98</v>
      </c>
      <c r="X105" s="116">
        <v>1.66</v>
      </c>
      <c r="Y105" s="116">
        <f t="shared" si="41"/>
        <v>1.1018694120834462</v>
      </c>
      <c r="Z105" s="133">
        <v>1.454</v>
      </c>
      <c r="AA105" s="133">
        <v>0.83599999999999997</v>
      </c>
      <c r="AB105" s="133">
        <v>0.72</v>
      </c>
      <c r="AC105" s="121">
        <v>34.299999999999997</v>
      </c>
      <c r="AD105" s="134">
        <v>1.17</v>
      </c>
      <c r="AE105" s="124">
        <v>139.69999999999999</v>
      </c>
      <c r="AF105" s="128">
        <v>7.72</v>
      </c>
      <c r="AG105" s="128">
        <v>1937</v>
      </c>
      <c r="AH105" s="127">
        <v>2500</v>
      </c>
      <c r="AI105" s="127">
        <v>2500</v>
      </c>
      <c r="AJ105" s="135"/>
      <c r="AK105" s="128"/>
      <c r="AL105" s="131"/>
      <c r="AM105" s="124" t="s">
        <v>232</v>
      </c>
      <c r="AN105" s="136" t="s">
        <v>620</v>
      </c>
      <c r="AO105" s="137">
        <v>87.4</v>
      </c>
      <c r="AP105" s="128">
        <v>1937</v>
      </c>
      <c r="AQ105" s="128">
        <v>68.650000000000006</v>
      </c>
      <c r="AR105" s="128"/>
      <c r="AS105" s="128"/>
      <c r="AT105" s="122"/>
      <c r="AU105" s="124" t="s">
        <v>189</v>
      </c>
      <c r="AV105" s="115">
        <f>VLOOKUP(J105,'[63]ТР нефть'!$J$28:$BP$638,39,0)</f>
        <v>370.00000166000001</v>
      </c>
      <c r="AW105" s="115" t="str">
        <f>VLOOKUP(J105,'[63]ТР нефть'!$J$28:$BP$638,40,0)</f>
        <v>ГП</v>
      </c>
      <c r="AX105" s="115">
        <f>VLOOKUP(J105,'[63]ТР нефть'!$J$28:$BP$638,41,0)</f>
        <v>790.00000253899998</v>
      </c>
      <c r="AY105" s="115" t="str">
        <f>VLOOKUP(J105,'[63]ТР нефть'!$J$28:$BP$638,42,0)</f>
        <v>ГК 84 1/8</v>
      </c>
      <c r="AZ105" s="115">
        <f>VLOOKUP(J105,'[63]ТР нефть'!$J$28:$BP$638,43,0)</f>
        <v>1180.000011328</v>
      </c>
      <c r="BA105" s="115" t="str">
        <f>VLOOKUP(J105,'[63]ТР нефть'!$J$28:$BP$638,44,0)</f>
        <v>ГК 85 1/8</v>
      </c>
      <c r="BB105" s="115">
        <f>VLOOKUP(J105,'[63]ТР нефть'!$J$28:$BP$638,45,0)</f>
        <v>1549.9999757810001</v>
      </c>
      <c r="BC105" s="115" t="str">
        <f>VLOOKUP(J105,'[63]ТР нефть'!$J$28:$BP$638,46,0)</f>
        <v>ГК 86 5/32</v>
      </c>
      <c r="BD105" s="115">
        <f>VLOOKUP(J105,'[63]ТР нефть'!$J$28:$BP$638,47,0)</f>
        <v>1690.000062891</v>
      </c>
      <c r="BE105" s="115" t="str">
        <f>VLOOKUP(J105,'[63]ТР нефть'!$J$28:$BP$638,48,0)</f>
        <v>ЦКсОК 5/16</v>
      </c>
      <c r="BF105" s="115" t="str">
        <f>VLOOKUP(J105,'[63]ТР нефть'!$J$28:$BP$638,49,0)</f>
        <v>-</v>
      </c>
      <c r="BG105" s="115" t="str">
        <f>VLOOKUP(J105,'[63]ТР нефть'!$J$28:$BP$638,50,0)</f>
        <v>-</v>
      </c>
      <c r="BH105" s="115">
        <f>VLOOKUP(J105,'[63]ТР нефть'!$J$28:$BP$638,51,0)</f>
        <v>1725</v>
      </c>
      <c r="BI105" s="115" t="str">
        <f>VLOOKUP(J105,'[63]ТР нефть'!$J$28:$BP$638,52,0)</f>
        <v xml:space="preserve">закрыт </v>
      </c>
      <c r="BJ105" s="115" t="str">
        <f>IF(IFERROR(VLOOKUP(J105,'[63]ТР нефть'!$J$28:$BP$638,53,0),"-")=0,"-",IFERROR(VLOOKUP(J105,'[63]ТР нефть'!$J$28:$BP$638,53,0),"-"))</f>
        <v>-</v>
      </c>
      <c r="BK105" s="138" t="str">
        <f>IF(IFERROR(VLOOKUP(J105,'[63]ТР нефть'!$J$28:$BP$638,54,0),"-")=0,"-",IFERROR(VLOOKUP(J105,'[63]ТР нефть'!$J$28:$BP$638,54,0),"-"))</f>
        <v>-</v>
      </c>
      <c r="BL105" s="138" t="str">
        <f>IF(IFERROR(VLOOKUP(J105,'[63]ТР нефть'!$J$28:$BP$638,55,0),"-")=0,"-",IFERROR(VLOOKUP(J105,'[63]ТР нефть'!$J$28:$BP$638,55,0),"-"))</f>
        <v>-</v>
      </c>
      <c r="BM105" s="138" t="str">
        <f>IF(IFERROR(VLOOKUP(J105,'[63]ТР нефть'!$J$28:$BP$638,56,0),"-")=0,"-",IFERROR(VLOOKUP(J105,'[63]ТР нефть'!$J$28:$BP$638,56,0),"-"))</f>
        <v>-</v>
      </c>
      <c r="BN105" s="138" t="str">
        <f>IF(IFERROR(VLOOKUP(J105,'[63]ТР нефть'!$J$28:$BP$638,57,0),"-")=0,"-",IFERROR(VLOOKUP(J105,'[63]ТР нефть'!$J$28:$BP$638,57,0),"-"))</f>
        <v>-</v>
      </c>
      <c r="BO105" s="115" t="str">
        <f>IF(IFERROR(VLOOKUP(J105,'[63]ТР нефть'!$J$28:$BP$638,58,0),"-")=0,"-",IFERROR(VLOOKUP(J105,'[63]ТР нефть'!$J$28:$BP$638,58,0),"-"))</f>
        <v>-</v>
      </c>
      <c r="BP105" s="115" t="str">
        <f>IF(IFERROR(VLOOKUP(J105,'[63]ТР нефть'!$J$28:$BP$638,59,0),"-")=0,"-",IFERROR(VLOOKUP(J105,'[63]ТР нефть'!$J$28:$BP$638,59,0),"-"))</f>
        <v>-</v>
      </c>
      <c r="BQ105" s="138">
        <v>2380</v>
      </c>
      <c r="BR105" s="128">
        <v>1928.92</v>
      </c>
      <c r="BS105" s="115">
        <f t="shared" si="60"/>
        <v>451.07999999999993</v>
      </c>
      <c r="BT105" s="128">
        <v>73</v>
      </c>
      <c r="BU105" s="128">
        <v>5.5</v>
      </c>
      <c r="BV105" s="127">
        <v>18</v>
      </c>
      <c r="BW105" s="127" t="s">
        <v>217</v>
      </c>
      <c r="BX105" s="127" t="s">
        <v>195</v>
      </c>
      <c r="BY105" s="139">
        <v>24</v>
      </c>
      <c r="BZ105" s="139">
        <v>0</v>
      </c>
      <c r="CA105" s="138">
        <v>25</v>
      </c>
      <c r="CB105" s="138">
        <v>46</v>
      </c>
      <c r="CC105" s="138">
        <v>24</v>
      </c>
      <c r="CD105" s="135">
        <v>45017</v>
      </c>
      <c r="CE105" s="138">
        <v>121</v>
      </c>
      <c r="CF105" s="138">
        <v>68</v>
      </c>
      <c r="CG105" s="138" t="str">
        <f t="shared" si="52"/>
        <v/>
      </c>
      <c r="CH105" s="138" t="s">
        <v>197</v>
      </c>
      <c r="CI105" s="127"/>
      <c r="CJ105" s="138"/>
      <c r="CK105" s="138"/>
      <c r="CL105" s="99"/>
      <c r="CM105" s="99"/>
      <c r="CN105" s="140">
        <v>59</v>
      </c>
      <c r="CO105" s="159">
        <f t="shared" si="61"/>
        <v>28.378019999999999</v>
      </c>
      <c r="CP105" s="160">
        <v>46.5</v>
      </c>
      <c r="CQ105" s="161">
        <v>27</v>
      </c>
      <c r="CR105" s="138">
        <v>64</v>
      </c>
      <c r="CS105" s="139">
        <v>13.68</v>
      </c>
      <c r="CT105" s="138"/>
      <c r="CU105" s="138">
        <f t="shared" si="62"/>
        <v>50.32</v>
      </c>
      <c r="CV105" s="115">
        <f t="shared" si="63"/>
        <v>1773.2033454060572</v>
      </c>
      <c r="CW105" s="115">
        <f t="shared" si="64"/>
        <v>318.75695970171063</v>
      </c>
      <c r="CX105" s="133">
        <f t="shared" si="65"/>
        <v>0.75</v>
      </c>
      <c r="CY105" s="116"/>
      <c r="CZ105" s="131"/>
      <c r="DA105" s="145" t="str">
        <f t="shared" si="66"/>
        <v>Газлифт</v>
      </c>
      <c r="DB105" s="146">
        <f t="shared" si="67"/>
        <v>27.872657999999998</v>
      </c>
      <c r="DC105" s="142">
        <f t="shared" si="68"/>
        <v>46.5</v>
      </c>
      <c r="DD105" s="119">
        <f t="shared" si="69"/>
        <v>28.3</v>
      </c>
      <c r="DE105" s="115">
        <f t="shared" si="70"/>
        <v>50.32</v>
      </c>
      <c r="DF105" s="121">
        <f t="shared" si="71"/>
        <v>13.68</v>
      </c>
      <c r="DG105" s="115">
        <f t="shared" si="72"/>
        <v>1773.2033454060572</v>
      </c>
      <c r="DH105" s="115">
        <f t="shared" si="73"/>
        <v>59</v>
      </c>
      <c r="DI105" s="147"/>
      <c r="DJ105" s="111" t="s">
        <v>197</v>
      </c>
      <c r="DK105" s="112">
        <v>42651</v>
      </c>
      <c r="DL105" s="113">
        <f t="shared" ca="1" si="42"/>
        <v>2453</v>
      </c>
      <c r="DM105" s="114"/>
      <c r="DN105" s="114"/>
      <c r="DO105" s="114"/>
      <c r="DP105" s="114"/>
      <c r="DQ105" s="112">
        <v>42656</v>
      </c>
      <c r="DR105" s="114" t="s">
        <v>198</v>
      </c>
      <c r="DS105" s="114"/>
      <c r="DT105" s="115">
        <v>60</v>
      </c>
      <c r="DU105" s="116">
        <f t="shared" si="43"/>
        <v>0.76229508196721307</v>
      </c>
      <c r="DV105" s="117">
        <f t="shared" si="44"/>
        <v>28.378019999999999</v>
      </c>
      <c r="DW105" s="118">
        <f t="shared" si="45"/>
        <v>46.5</v>
      </c>
      <c r="DX105" s="119">
        <f t="shared" si="74"/>
        <v>27</v>
      </c>
      <c r="DY105" s="115">
        <f t="shared" si="46"/>
        <v>50.32</v>
      </c>
      <c r="DZ105" s="117">
        <f t="shared" si="47"/>
        <v>0</v>
      </c>
      <c r="EA105" s="120">
        <f t="shared" si="47"/>
        <v>0</v>
      </c>
      <c r="EB105" s="119">
        <f t="shared" si="47"/>
        <v>0</v>
      </c>
      <c r="EC105" s="121">
        <f t="shared" si="48"/>
        <v>0</v>
      </c>
      <c r="ED105" s="122"/>
      <c r="EE105" s="145">
        <v>18</v>
      </c>
      <c r="EF105" s="115">
        <v>29</v>
      </c>
      <c r="EG105" s="115">
        <v>54</v>
      </c>
      <c r="EH105" s="115">
        <v>28</v>
      </c>
      <c r="EI105" s="128" t="s">
        <v>195</v>
      </c>
      <c r="EJ105" s="121">
        <v>24</v>
      </c>
      <c r="EK105" s="121">
        <v>0</v>
      </c>
      <c r="EL105" s="162">
        <v>23.065373759999996</v>
      </c>
      <c r="EM105" s="142">
        <v>38.479999999999997</v>
      </c>
      <c r="EN105" s="119">
        <v>28.3</v>
      </c>
      <c r="EO105" s="115">
        <v>48.137</v>
      </c>
      <c r="EP105" s="115">
        <v>1493.8843115456198</v>
      </c>
      <c r="EQ105" s="115">
        <v>68</v>
      </c>
      <c r="ER105" s="115">
        <v>13.68</v>
      </c>
      <c r="ES105" s="115">
        <v>67</v>
      </c>
      <c r="ET105" s="150">
        <v>0.71259259259259256</v>
      </c>
      <c r="EU105" s="145">
        <f t="shared" si="75"/>
        <v>18</v>
      </c>
      <c r="EV105" s="115">
        <f t="shared" si="76"/>
        <v>25</v>
      </c>
      <c r="EW105" s="115">
        <f t="shared" si="76"/>
        <v>46</v>
      </c>
      <c r="EX105" s="115">
        <f t="shared" si="76"/>
        <v>24</v>
      </c>
      <c r="EY105" s="115" t="str">
        <f t="shared" si="77"/>
        <v>Постоянный</v>
      </c>
      <c r="EZ105" s="115">
        <f t="shared" si="77"/>
        <v>24</v>
      </c>
      <c r="FA105" s="115">
        <f t="shared" si="77"/>
        <v>0</v>
      </c>
      <c r="FB105" s="149">
        <f t="shared" si="78"/>
        <v>28.378019999999999</v>
      </c>
      <c r="FC105" s="142">
        <f t="shared" si="78"/>
        <v>46.5</v>
      </c>
      <c r="FD105" s="119">
        <f t="shared" si="78"/>
        <v>27</v>
      </c>
      <c r="FE105" s="121">
        <f t="shared" si="78"/>
        <v>64</v>
      </c>
      <c r="FF105" s="121">
        <f t="shared" si="49"/>
        <v>1773.2033454060572</v>
      </c>
      <c r="FG105" s="121">
        <f t="shared" si="79"/>
        <v>68</v>
      </c>
      <c r="FH105" s="121">
        <f t="shared" si="50"/>
        <v>13.68</v>
      </c>
      <c r="FI105" s="121">
        <f t="shared" si="54"/>
        <v>59</v>
      </c>
      <c r="FJ105" s="144">
        <f t="shared" si="80"/>
        <v>0.75</v>
      </c>
      <c r="FK105" s="132">
        <f t="shared" si="81"/>
        <v>0</v>
      </c>
      <c r="FL105" s="115">
        <f t="shared" si="81"/>
        <v>-4</v>
      </c>
      <c r="FM105" s="115">
        <f t="shared" si="81"/>
        <v>-8</v>
      </c>
      <c r="FN105" s="115">
        <f t="shared" si="58"/>
        <v>-4</v>
      </c>
      <c r="FO105" s="115">
        <f t="shared" si="57"/>
        <v>0</v>
      </c>
      <c r="FP105" s="115">
        <f t="shared" si="56"/>
        <v>0</v>
      </c>
      <c r="FQ105" s="149">
        <f t="shared" si="56"/>
        <v>5.312646240000003</v>
      </c>
      <c r="FR105" s="142">
        <f t="shared" si="56"/>
        <v>8.0200000000000031</v>
      </c>
      <c r="FS105" s="119">
        <f t="shared" si="56"/>
        <v>-1.3000000000000007</v>
      </c>
      <c r="FT105" s="121">
        <f t="shared" si="56"/>
        <v>15.863</v>
      </c>
      <c r="FU105" s="121">
        <f t="shared" si="82"/>
        <v>0</v>
      </c>
      <c r="FV105" s="121">
        <f t="shared" si="82"/>
        <v>0</v>
      </c>
      <c r="FW105" s="121">
        <f t="shared" si="83"/>
        <v>279.31903386043746</v>
      </c>
      <c r="FX105" s="121">
        <f t="shared" si="84"/>
        <v>-8</v>
      </c>
      <c r="FY105" s="144">
        <f t="shared" si="84"/>
        <v>3.7407407407407445E-2</v>
      </c>
      <c r="FZ105" s="145" t="s">
        <v>199</v>
      </c>
      <c r="GA105" s="151" t="s">
        <v>621</v>
      </c>
      <c r="GB105" s="145" t="s">
        <v>199</v>
      </c>
      <c r="GC105" s="163" t="s">
        <v>415</v>
      </c>
      <c r="GD105" s="997" t="s">
        <v>416</v>
      </c>
      <c r="GE105" s="1004" t="s">
        <v>199</v>
      </c>
      <c r="GF105" s="1004">
        <v>-4.5878342400000029</v>
      </c>
      <c r="GG105" s="1004"/>
      <c r="GH105" s="1004">
        <v>0</v>
      </c>
      <c r="GI105" s="145"/>
      <c r="GJ105" s="996">
        <v>-0.69743801599999955</v>
      </c>
      <c r="GK105" s="145"/>
      <c r="GL105" s="996">
        <v>0.35064601600000245</v>
      </c>
      <c r="GM105" s="1005"/>
      <c r="GN105" s="996">
        <v>0</v>
      </c>
      <c r="GO105" s="1006"/>
      <c r="GP105" s="996">
        <v>0</v>
      </c>
      <c r="GQ105" s="1006" t="s">
        <v>259</v>
      </c>
      <c r="GR105" s="996">
        <v>5.1246800000000015</v>
      </c>
      <c r="GS105" s="1006"/>
      <c r="GT105" s="996">
        <v>2.8340400000001154E-2</v>
      </c>
      <c r="GU105" s="1006" t="s">
        <v>146</v>
      </c>
      <c r="GV105" s="996">
        <v>13.679585039999999</v>
      </c>
      <c r="GW105" s="1006"/>
      <c r="GX105" s="996">
        <v>0</v>
      </c>
      <c r="GY105" s="1006" t="s">
        <v>199</v>
      </c>
      <c r="GZ105" s="996">
        <v>3.346474559999999</v>
      </c>
      <c r="HA105" s="1006"/>
      <c r="HB105" s="996">
        <v>0</v>
      </c>
      <c r="HC105" s="1006"/>
      <c r="HD105" s="996">
        <v>0</v>
      </c>
      <c r="HE105" s="1006"/>
      <c r="HF105" s="996">
        <v>0</v>
      </c>
      <c r="HG105" s="1006"/>
      <c r="HH105" s="996">
        <v>0</v>
      </c>
      <c r="HI105" s="1006"/>
      <c r="HJ105" s="996">
        <v>0</v>
      </c>
      <c r="HK105" s="1006"/>
      <c r="HL105" s="996">
        <v>0</v>
      </c>
      <c r="HM105" s="1006"/>
      <c r="HN105" s="996">
        <v>-0.69827735999999985</v>
      </c>
      <c r="HO105" s="1006" t="s">
        <v>204</v>
      </c>
      <c r="HP105" s="996">
        <v>1.1676913599999998</v>
      </c>
      <c r="HQ105" s="1006"/>
      <c r="HR105" s="996">
        <v>0</v>
      </c>
      <c r="HS105" s="1006"/>
      <c r="HT105" s="996">
        <v>0</v>
      </c>
      <c r="HU105" s="1006"/>
      <c r="HV105" s="996">
        <v>0</v>
      </c>
      <c r="HW105" s="1006"/>
      <c r="HX105" s="996">
        <v>0</v>
      </c>
      <c r="HY105" s="1006"/>
      <c r="HZ105" s="996">
        <v>0</v>
      </c>
      <c r="IA105" s="1006"/>
      <c r="IB105" s="996">
        <v>0.23989855999999998</v>
      </c>
      <c r="IC105" s="1006"/>
      <c r="ID105" s="996">
        <v>0</v>
      </c>
      <c r="IE105" s="1006"/>
      <c r="IF105" s="996">
        <v>-0.40882071999999997</v>
      </c>
      <c r="IG105" s="1006"/>
      <c r="IH105" s="996">
        <v>0</v>
      </c>
      <c r="II105" s="1006"/>
      <c r="IJ105" s="996">
        <v>0</v>
      </c>
      <c r="IK105" s="1006"/>
      <c r="IL105" s="996">
        <v>0</v>
      </c>
      <c r="IM105" s="1006"/>
      <c r="IN105" s="996">
        <v>0</v>
      </c>
      <c r="IO105" s="1006"/>
      <c r="IP105" s="996">
        <v>0</v>
      </c>
      <c r="IQ105" s="1006"/>
      <c r="IR105" s="996">
        <v>0</v>
      </c>
      <c r="IS105" s="1006"/>
      <c r="IT105" s="996">
        <v>0</v>
      </c>
      <c r="IU105" s="1006"/>
      <c r="IV105" s="996">
        <v>0</v>
      </c>
      <c r="IW105" s="1006" t="s">
        <v>199</v>
      </c>
      <c r="IX105" s="996">
        <v>-1.9892118400000001</v>
      </c>
      <c r="IY105" s="1006"/>
      <c r="IZ105" s="996">
        <v>0</v>
      </c>
      <c r="JA105" s="1006"/>
      <c r="JB105" s="996">
        <v>-0.9263359111599998</v>
      </c>
      <c r="JC105" s="1006" t="s">
        <v>622</v>
      </c>
      <c r="JD105" s="996">
        <v>3.3841759111599998</v>
      </c>
      <c r="JE105" s="1006"/>
      <c r="JF105" s="996">
        <v>0</v>
      </c>
      <c r="JG105" s="1006"/>
      <c r="JH105" s="996">
        <v>0</v>
      </c>
      <c r="JI105" s="1006"/>
      <c r="JJ105" s="996">
        <v>0</v>
      </c>
      <c r="JK105" s="1007"/>
      <c r="JL105" s="1007">
        <v>0</v>
      </c>
      <c r="JM105" s="1007"/>
      <c r="JN105" s="1007">
        <v>0</v>
      </c>
      <c r="JO105" s="1008"/>
      <c r="JP105" s="1007">
        <v>0</v>
      </c>
      <c r="JQ105" s="1008">
        <v>0</v>
      </c>
      <c r="JR105" s="1007">
        <v>0</v>
      </c>
      <c r="JS105" s="1008">
        <v>0</v>
      </c>
      <c r="JT105" s="1007">
        <v>0</v>
      </c>
      <c r="JU105" s="1008"/>
      <c r="JV105" s="1007">
        <v>0</v>
      </c>
      <c r="JW105" s="1008" t="s">
        <v>197</v>
      </c>
      <c r="JX105" s="1007">
        <v>0</v>
      </c>
      <c r="JY105" s="1008"/>
      <c r="JZ105" s="1007">
        <v>0</v>
      </c>
      <c r="KA105" s="1008"/>
      <c r="KB105" s="1007">
        <v>-8.3600000000000001E-85</v>
      </c>
      <c r="KC105" s="1008"/>
      <c r="KD105" s="1007">
        <v>-4.0713200000000001</v>
      </c>
      <c r="KE105" s="1008"/>
      <c r="KF105" s="1007">
        <v>0</v>
      </c>
      <c r="KG105" s="1008"/>
      <c r="KH105" s="1007">
        <v>0</v>
      </c>
      <c r="KI105" s="1008" t="s">
        <v>206</v>
      </c>
      <c r="KJ105" s="1007">
        <v>-0.97711680000000012</v>
      </c>
      <c r="KK105" s="1008"/>
      <c r="KL105" s="1007">
        <v>3.2436800000000154E-2</v>
      </c>
      <c r="KM105" s="1008"/>
      <c r="KN105" s="1007">
        <v>0.8360000000000003</v>
      </c>
      <c r="KO105" s="1008"/>
      <c r="KP105" s="1007">
        <v>0</v>
      </c>
      <c r="KQ105" s="1008" t="s">
        <v>221</v>
      </c>
      <c r="KR105" s="1007">
        <v>-3.101560000000001</v>
      </c>
      <c r="KS105" s="1008" t="s">
        <v>221</v>
      </c>
      <c r="KT105" s="1007">
        <v>-0.82763999999999882</v>
      </c>
      <c r="KU105" s="1008" t="s">
        <v>476</v>
      </c>
      <c r="KV105" s="1007">
        <v>8.1091999999999995</v>
      </c>
      <c r="KW105" s="1008">
        <v>0</v>
      </c>
      <c r="KX105" s="1007">
        <v>0</v>
      </c>
      <c r="KY105" s="1008">
        <v>0</v>
      </c>
      <c r="KZ105" s="1007">
        <v>0</v>
      </c>
      <c r="LA105" s="1008">
        <v>0</v>
      </c>
      <c r="LB105" s="1007">
        <v>0</v>
      </c>
      <c r="LC105" s="1008">
        <v>0</v>
      </c>
      <c r="LD105" s="1007">
        <v>0</v>
      </c>
      <c r="LE105" s="1008">
        <v>0</v>
      </c>
      <c r="LF105" s="1007">
        <v>0.4138200000000003</v>
      </c>
      <c r="LG105" s="1008" t="s">
        <v>204</v>
      </c>
      <c r="LH105" s="1007">
        <v>-2.4838719999999999</v>
      </c>
      <c r="LI105" s="1008">
        <v>0</v>
      </c>
      <c r="LJ105" s="1007">
        <v>0</v>
      </c>
      <c r="LK105" s="1008">
        <v>0</v>
      </c>
      <c r="LL105" s="1007">
        <v>0</v>
      </c>
      <c r="LM105" s="1008">
        <v>0</v>
      </c>
      <c r="LN105" s="1007">
        <v>0</v>
      </c>
      <c r="LO105" s="1008" t="s">
        <v>206</v>
      </c>
      <c r="LP105" s="1007">
        <v>-2.2522679999999999</v>
      </c>
      <c r="LQ105" s="1008">
        <v>0</v>
      </c>
      <c r="LR105" s="1007">
        <v>0</v>
      </c>
      <c r="LS105" s="1008">
        <v>0</v>
      </c>
      <c r="LT105" s="1007">
        <v>0</v>
      </c>
      <c r="LU105" s="1008" t="s">
        <v>206</v>
      </c>
      <c r="LV105" s="1007">
        <v>1.423433792</v>
      </c>
      <c r="LW105" s="1008">
        <v>0</v>
      </c>
      <c r="LX105" s="1007">
        <v>0</v>
      </c>
      <c r="LY105" s="1009" t="s">
        <v>223</v>
      </c>
      <c r="LZ105" s="1010">
        <v>-1.1523912000000001</v>
      </c>
      <c r="MA105" s="1011">
        <v>0</v>
      </c>
      <c r="MB105" s="1012">
        <v>-3.6653479999999998</v>
      </c>
      <c r="MC105" s="995"/>
      <c r="MD105" s="996"/>
      <c r="ME105" s="997" t="s">
        <v>416</v>
      </c>
      <c r="MF105" s="997"/>
      <c r="MG105" s="998"/>
      <c r="NR105" s="1000"/>
      <c r="NS105" s="1000"/>
      <c r="NT105" s="1001"/>
      <c r="NU105" s="1000"/>
      <c r="NV105" s="1001"/>
      <c r="NX105" s="1002"/>
      <c r="NZ105" s="1001"/>
      <c r="OA105" s="1001"/>
      <c r="OC105" s="1003"/>
      <c r="OD105" s="1003"/>
      <c r="OE105" s="1001"/>
      <c r="OF105" s="1003"/>
      <c r="OG105" s="1003"/>
      <c r="OH105" s="1003"/>
      <c r="OI105" s="1016"/>
      <c r="QX105" s="1000">
        <f t="shared" si="51"/>
        <v>34</v>
      </c>
      <c r="ASU105" s="999" t="s">
        <v>208</v>
      </c>
    </row>
    <row r="106" spans="1:466 1191:1191" ht="21" customHeight="1" x14ac:dyDescent="0.25">
      <c r="A106" s="982" t="str">
        <f t="shared" si="59"/>
        <v>1019-2</v>
      </c>
      <c r="B106" s="124">
        <f>SUBTOTAL(103,$J$29:J106)</f>
        <v>78</v>
      </c>
      <c r="C106" s="126">
        <v>45068</v>
      </c>
      <c r="D106" s="124" t="s">
        <v>176</v>
      </c>
      <c r="E106" s="127" t="s">
        <v>177</v>
      </c>
      <c r="F106" s="128" t="s">
        <v>177</v>
      </c>
      <c r="G106" s="127" t="s">
        <v>178</v>
      </c>
      <c r="H106" s="127" t="s">
        <v>421</v>
      </c>
      <c r="I106" s="127" t="s">
        <v>567</v>
      </c>
      <c r="J106" s="152" t="s">
        <v>623</v>
      </c>
      <c r="K106" s="127" t="s">
        <v>619</v>
      </c>
      <c r="L106" s="130">
        <v>38587</v>
      </c>
      <c r="M106" s="127" t="s">
        <v>230</v>
      </c>
      <c r="N106" s="127" t="s">
        <v>231</v>
      </c>
      <c r="O106" s="127" t="s">
        <v>608</v>
      </c>
      <c r="P106" s="127" t="s">
        <v>292</v>
      </c>
      <c r="Q106" s="85" t="str">
        <f t="shared" si="85"/>
        <v/>
      </c>
      <c r="R106" s="130"/>
      <c r="S106" s="128"/>
      <c r="T106" s="131"/>
      <c r="U106" s="132">
        <v>203</v>
      </c>
      <c r="V106" s="121">
        <v>218.2</v>
      </c>
      <c r="W106" s="116">
        <v>0.98</v>
      </c>
      <c r="X106" s="116">
        <v>1.66</v>
      </c>
      <c r="Y106" s="116">
        <f t="shared" si="41"/>
        <v>0.98932107324430174</v>
      </c>
      <c r="Z106" s="133">
        <v>1.454</v>
      </c>
      <c r="AA106" s="133">
        <v>0.83599999999999997</v>
      </c>
      <c r="AB106" s="133">
        <v>0.72</v>
      </c>
      <c r="AC106" s="121">
        <v>34.299999999999997</v>
      </c>
      <c r="AD106" s="134">
        <v>1.17</v>
      </c>
      <c r="AE106" s="124">
        <v>139.69999999999999</v>
      </c>
      <c r="AF106" s="128">
        <v>7.72</v>
      </c>
      <c r="AG106" s="128">
        <v>1965</v>
      </c>
      <c r="AH106" s="127">
        <v>2500</v>
      </c>
      <c r="AI106" s="127">
        <v>2500</v>
      </c>
      <c r="AJ106" s="135"/>
      <c r="AK106" s="128"/>
      <c r="AL106" s="131"/>
      <c r="AM106" s="124" t="s">
        <v>232</v>
      </c>
      <c r="AN106" s="136" t="s">
        <v>624</v>
      </c>
      <c r="AO106" s="137">
        <v>5.58</v>
      </c>
      <c r="AP106" s="128">
        <v>1965</v>
      </c>
      <c r="AQ106" s="128">
        <v>23.3</v>
      </c>
      <c r="AR106" s="128"/>
      <c r="AS106" s="128"/>
      <c r="AT106" s="122"/>
      <c r="AU106" s="124" t="s">
        <v>250</v>
      </c>
      <c r="AV106" s="115">
        <f>VLOOKUP(J106,'[63]ТР нефть'!$J$28:$BP$638,39,0)</f>
        <v>450</v>
      </c>
      <c r="AW106" s="115" t="str">
        <f>VLOOKUP(J106,'[63]ТР нефть'!$J$28:$BP$638,40,0)</f>
        <v>ГП</v>
      </c>
      <c r="AX106" s="115">
        <f>VLOOKUP(J106,'[63]ТР нефть'!$J$28:$BP$638,41,0)</f>
        <v>890</v>
      </c>
      <c r="AY106" s="115" t="str">
        <f>VLOOKUP(J106,'[63]ТР нефть'!$J$28:$BP$638,42,0)</f>
        <v>ГП</v>
      </c>
      <c r="AZ106" s="115">
        <f>VLOOKUP(J106,'[63]ТР нефть'!$J$28:$BP$638,43,0)</f>
        <v>1300</v>
      </c>
      <c r="BA106" s="115" t="str">
        <f>VLOOKUP(J106,'[63]ТР нефть'!$J$28:$BP$638,44,0)</f>
        <v>ГК 82/3</v>
      </c>
      <c r="BB106" s="115">
        <f>VLOOKUP(J106,'[63]ТР нефть'!$J$28:$BP$638,45,0)</f>
        <v>1680</v>
      </c>
      <c r="BC106" s="115" t="str">
        <f>VLOOKUP(J106,'[63]ТР нефть'!$J$28:$BP$638,46,0)</f>
        <v>ЦКсОК 5/16</v>
      </c>
      <c r="BD106" s="115" t="str">
        <f>VLOOKUP(J106,'[63]ТР нефть'!$J$28:$BP$638,47,0)</f>
        <v>-</v>
      </c>
      <c r="BE106" s="115" t="str">
        <f>VLOOKUP(J106,'[63]ТР нефть'!$J$28:$BP$638,48,0)</f>
        <v>-</v>
      </c>
      <c r="BF106" s="115" t="str">
        <f>VLOOKUP(J106,'[63]ТР нефть'!$J$28:$BP$638,49,0)</f>
        <v>-</v>
      </c>
      <c r="BG106" s="115" t="str">
        <f>VLOOKUP(J106,'[63]ТР нефть'!$J$28:$BP$638,50,0)</f>
        <v>-</v>
      </c>
      <c r="BH106" s="115">
        <f>VLOOKUP(J106,'[63]ТР нефть'!$J$28:$BP$638,51,0)</f>
        <v>1750</v>
      </c>
      <c r="BI106" s="115" t="str">
        <f>VLOOKUP(J106,'[63]ТР нефть'!$J$28:$BP$638,52,0)</f>
        <v>открыт</v>
      </c>
      <c r="BJ106" s="115" t="str">
        <f>IF(IFERROR(VLOOKUP(J106,'[63]ТР нефть'!$J$28:$BP$638,53,0),"-")=0,"-",IFERROR(VLOOKUP(J106,'[63]ТР нефть'!$J$28:$BP$638,53,0),"-"))</f>
        <v>-</v>
      </c>
      <c r="BK106" s="138" t="str">
        <f>IF(IFERROR(VLOOKUP(J106,'[63]ТР нефть'!$J$28:$BP$638,54,0),"-")=0,"-",IFERROR(VLOOKUP(J106,'[63]ТР нефть'!$J$28:$BP$638,54,0),"-"))</f>
        <v>-</v>
      </c>
      <c r="BL106" s="138" t="str">
        <f>IF(IFERROR(VLOOKUP(J106,'[63]ТР нефть'!$J$28:$BP$638,55,0),"-")=0,"-",IFERROR(VLOOKUP(J106,'[63]ТР нефть'!$J$28:$BP$638,55,0),"-"))</f>
        <v>-</v>
      </c>
      <c r="BM106" s="138" t="str">
        <f>IF(IFERROR(VLOOKUP(J106,'[63]ТР нефть'!$J$28:$BP$638,56,0),"-")=0,"-",IFERROR(VLOOKUP(J106,'[63]ТР нефть'!$J$28:$BP$638,56,0),"-"))</f>
        <v>-</v>
      </c>
      <c r="BN106" s="138" t="str">
        <f>IF(IFERROR(VLOOKUP(J106,'[63]ТР нефть'!$J$28:$BP$638,57,0),"-")=0,"-",IFERROR(VLOOKUP(J106,'[63]ТР нефть'!$J$28:$BP$638,57,0),"-"))</f>
        <v>-</v>
      </c>
      <c r="BO106" s="115" t="str">
        <f>IF(IFERROR(VLOOKUP(J106,'[63]ТР нефть'!$J$28:$BP$638,58,0),"-")=0,"-",IFERROR(VLOOKUP(J106,'[63]ТР нефть'!$J$28:$BP$638,58,0),"-"))</f>
        <v>-</v>
      </c>
      <c r="BP106" s="115" t="str">
        <f>IF(IFERROR(VLOOKUP(J106,'[63]ТР нефть'!$J$28:$BP$638,59,0),"-")=0,"-",IFERROR(VLOOKUP(J106,'[63]ТР нефть'!$J$28:$BP$638,59,0),"-"))</f>
        <v>-</v>
      </c>
      <c r="BQ106" s="138">
        <v>1980</v>
      </c>
      <c r="BR106" s="128">
        <v>1778.23</v>
      </c>
      <c r="BS106" s="115">
        <f t="shared" si="60"/>
        <v>201.76999999999998</v>
      </c>
      <c r="BT106" s="128">
        <v>73</v>
      </c>
      <c r="BU106" s="128">
        <v>5.5</v>
      </c>
      <c r="BV106" s="127">
        <v>18</v>
      </c>
      <c r="BW106" s="127" t="s">
        <v>217</v>
      </c>
      <c r="BX106" s="127" t="s">
        <v>218</v>
      </c>
      <c r="BY106" s="139">
        <v>24</v>
      </c>
      <c r="BZ106" s="139">
        <v>720</v>
      </c>
      <c r="CA106" s="138">
        <v>28</v>
      </c>
      <c r="CB106" s="138">
        <v>54</v>
      </c>
      <c r="CC106" s="138">
        <v>27</v>
      </c>
      <c r="CD106" s="135">
        <v>45017</v>
      </c>
      <c r="CE106" s="138">
        <v>119.1</v>
      </c>
      <c r="CF106" s="138"/>
      <c r="CG106" s="138" t="str">
        <f t="shared" si="52"/>
        <v/>
      </c>
      <c r="CH106" s="138" t="s">
        <v>197</v>
      </c>
      <c r="CI106" s="127"/>
      <c r="CJ106" s="138"/>
      <c r="CK106" s="138"/>
      <c r="CL106" s="99"/>
      <c r="CM106" s="127"/>
      <c r="CN106" s="154">
        <v>54</v>
      </c>
      <c r="CO106" s="141">
        <f t="shared" si="61"/>
        <v>2.7770247999999995</v>
      </c>
      <c r="CP106" s="142">
        <v>3.4</v>
      </c>
      <c r="CQ106" s="143">
        <v>2.2999999999999998</v>
      </c>
      <c r="CR106" s="138">
        <v>74.8</v>
      </c>
      <c r="CS106" s="139"/>
      <c r="CT106" s="138"/>
      <c r="CU106" s="138">
        <f t="shared" si="62"/>
        <v>74.8</v>
      </c>
      <c r="CV106" s="115">
        <f t="shared" si="63"/>
        <v>26935.30140602274</v>
      </c>
      <c r="CW106" s="115" t="str">
        <f t="shared" si="64"/>
        <v/>
      </c>
      <c r="CX106" s="133">
        <f t="shared" si="65"/>
        <v>5.22273425499232E-2</v>
      </c>
      <c r="CY106" s="116"/>
      <c r="CZ106" s="131" t="s">
        <v>612</v>
      </c>
      <c r="DA106" s="145" t="str">
        <f t="shared" si="66"/>
        <v>Фон.</v>
      </c>
      <c r="DB106" s="146">
        <f t="shared" si="67"/>
        <v>2.7770247999999995</v>
      </c>
      <c r="DC106" s="142">
        <f t="shared" si="68"/>
        <v>3.4</v>
      </c>
      <c r="DD106" s="119">
        <f t="shared" si="69"/>
        <v>2.2999999999999998</v>
      </c>
      <c r="DE106" s="115">
        <f t="shared" si="70"/>
        <v>74.8</v>
      </c>
      <c r="DF106" s="121">
        <f t="shared" si="71"/>
        <v>0</v>
      </c>
      <c r="DG106" s="115">
        <f t="shared" si="72"/>
        <v>26935.30140602274</v>
      </c>
      <c r="DH106" s="115">
        <f t="shared" si="73"/>
        <v>54</v>
      </c>
      <c r="DI106" s="147"/>
      <c r="DJ106" s="111" t="s">
        <v>197</v>
      </c>
      <c r="DK106" s="112">
        <v>41987</v>
      </c>
      <c r="DL106" s="113">
        <f t="shared" ca="1" si="42"/>
        <v>3117</v>
      </c>
      <c r="DM106" s="114"/>
      <c r="DN106" s="114"/>
      <c r="DO106" s="114"/>
      <c r="DP106" s="114"/>
      <c r="DQ106" s="112"/>
      <c r="DR106" s="114"/>
      <c r="DS106" s="114"/>
      <c r="DT106" s="115">
        <v>47</v>
      </c>
      <c r="DU106" s="116">
        <f t="shared" si="43"/>
        <v>5.0425290065144582E-2</v>
      </c>
      <c r="DV106" s="117">
        <f t="shared" si="44"/>
        <v>2.9695080777320637</v>
      </c>
      <c r="DW106" s="118">
        <f t="shared" si="45"/>
        <v>3.6356634136969239</v>
      </c>
      <c r="DX106" s="119">
        <f t="shared" si="74"/>
        <v>2.2999999999999998</v>
      </c>
      <c r="DY106" s="115">
        <f t="shared" si="46"/>
        <v>79.984595101332332</v>
      </c>
      <c r="DZ106" s="117">
        <f t="shared" si="47"/>
        <v>0.1924832777320642</v>
      </c>
      <c r="EA106" s="120">
        <f t="shared" si="47"/>
        <v>0.23566341369692401</v>
      </c>
      <c r="EB106" s="119">
        <f t="shared" si="47"/>
        <v>0</v>
      </c>
      <c r="EC106" s="121">
        <f t="shared" si="48"/>
        <v>5.1845951013323344</v>
      </c>
      <c r="ED106" s="122"/>
      <c r="EE106" s="145">
        <v>18</v>
      </c>
      <c r="EF106" s="115">
        <v>28</v>
      </c>
      <c r="EG106" s="115">
        <v>54</v>
      </c>
      <c r="EH106" s="115">
        <v>27</v>
      </c>
      <c r="EI106" s="128" t="s">
        <v>218</v>
      </c>
      <c r="EJ106" s="121">
        <v>24</v>
      </c>
      <c r="EK106" s="121">
        <v>720</v>
      </c>
      <c r="EL106" s="149">
        <v>2.7770247999999995</v>
      </c>
      <c r="EM106" s="142">
        <v>3.4</v>
      </c>
      <c r="EN106" s="119">
        <v>2.2999999999999998</v>
      </c>
      <c r="EO106" s="115">
        <v>74.8</v>
      </c>
      <c r="EP106" s="115">
        <v>26935.30140602274</v>
      </c>
      <c r="EQ106" s="115">
        <v>0</v>
      </c>
      <c r="ER106" s="115">
        <v>0</v>
      </c>
      <c r="ES106" s="115">
        <v>54</v>
      </c>
      <c r="ET106" s="150">
        <v>5.22273425499232E-2</v>
      </c>
      <c r="EU106" s="145">
        <f t="shared" si="75"/>
        <v>18</v>
      </c>
      <c r="EV106" s="115">
        <f t="shared" si="76"/>
        <v>28</v>
      </c>
      <c r="EW106" s="115">
        <f t="shared" si="76"/>
        <v>54</v>
      </c>
      <c r="EX106" s="115">
        <f t="shared" si="76"/>
        <v>27</v>
      </c>
      <c r="EY106" s="115" t="str">
        <f t="shared" si="77"/>
        <v>Периодический</v>
      </c>
      <c r="EZ106" s="115">
        <f t="shared" si="77"/>
        <v>24</v>
      </c>
      <c r="FA106" s="115">
        <f t="shared" si="77"/>
        <v>720</v>
      </c>
      <c r="FB106" s="149">
        <f t="shared" si="78"/>
        <v>2.7770247999999995</v>
      </c>
      <c r="FC106" s="142">
        <f t="shared" si="78"/>
        <v>3.4</v>
      </c>
      <c r="FD106" s="119">
        <f t="shared" si="78"/>
        <v>2.2999999999999998</v>
      </c>
      <c r="FE106" s="121">
        <f t="shared" si="78"/>
        <v>74.8</v>
      </c>
      <c r="FF106" s="121">
        <f t="shared" si="49"/>
        <v>26935.30140602274</v>
      </c>
      <c r="FG106" s="121">
        <f t="shared" si="79"/>
        <v>0</v>
      </c>
      <c r="FH106" s="121">
        <f t="shared" si="50"/>
        <v>0</v>
      </c>
      <c r="FI106" s="121">
        <f t="shared" si="54"/>
        <v>54</v>
      </c>
      <c r="FJ106" s="144">
        <f t="shared" si="80"/>
        <v>5.22273425499232E-2</v>
      </c>
      <c r="FK106" s="132">
        <f t="shared" si="81"/>
        <v>0</v>
      </c>
      <c r="FL106" s="115">
        <f t="shared" si="81"/>
        <v>0</v>
      </c>
      <c r="FM106" s="115">
        <f t="shared" si="81"/>
        <v>0</v>
      </c>
      <c r="FN106" s="115">
        <f t="shared" si="58"/>
        <v>0</v>
      </c>
      <c r="FO106" s="115">
        <f t="shared" si="57"/>
        <v>0</v>
      </c>
      <c r="FP106" s="115">
        <f t="shared" si="56"/>
        <v>0</v>
      </c>
      <c r="FQ106" s="149">
        <f t="shared" si="56"/>
        <v>0</v>
      </c>
      <c r="FR106" s="142">
        <f t="shared" si="56"/>
        <v>0</v>
      </c>
      <c r="FS106" s="119">
        <f t="shared" si="56"/>
        <v>0</v>
      </c>
      <c r="FT106" s="121">
        <f t="shared" si="56"/>
        <v>0</v>
      </c>
      <c r="FU106" s="121">
        <f t="shared" si="82"/>
        <v>0</v>
      </c>
      <c r="FV106" s="121">
        <f t="shared" si="82"/>
        <v>0</v>
      </c>
      <c r="FW106" s="121">
        <f t="shared" si="83"/>
        <v>0</v>
      </c>
      <c r="FX106" s="121">
        <f t="shared" si="84"/>
        <v>0</v>
      </c>
      <c r="FY106" s="144">
        <f t="shared" si="84"/>
        <v>0</v>
      </c>
      <c r="FZ106" s="145"/>
      <c r="GA106" s="151"/>
      <c r="GB106" s="145"/>
      <c r="GC106" s="151" t="s">
        <v>613</v>
      </c>
      <c r="GD106" s="997" t="s">
        <v>416</v>
      </c>
      <c r="GE106" s="1004"/>
      <c r="GF106" s="1004">
        <v>0</v>
      </c>
      <c r="GG106" s="1004"/>
      <c r="GH106" s="1004">
        <v>0</v>
      </c>
      <c r="GI106" s="145"/>
      <c r="GJ106" s="996">
        <v>0</v>
      </c>
      <c r="GK106" s="145"/>
      <c r="GL106" s="996">
        <v>0</v>
      </c>
      <c r="GM106" s="1005"/>
      <c r="GN106" s="996">
        <v>0</v>
      </c>
      <c r="GO106" s="1006"/>
      <c r="GP106" s="996">
        <v>0</v>
      </c>
      <c r="GQ106" s="1006"/>
      <c r="GR106" s="996">
        <v>0</v>
      </c>
      <c r="GS106" s="1006" t="s">
        <v>199</v>
      </c>
      <c r="GT106" s="996">
        <v>-4.775548061935484</v>
      </c>
      <c r="GU106" s="1006"/>
      <c r="GV106" s="996">
        <v>0</v>
      </c>
      <c r="GW106" s="1006"/>
      <c r="GX106" s="996">
        <v>0</v>
      </c>
      <c r="GY106" s="1006"/>
      <c r="GZ106" s="996">
        <v>0</v>
      </c>
      <c r="HA106" s="1006"/>
      <c r="HB106" s="996">
        <v>0</v>
      </c>
      <c r="HC106" s="1006"/>
      <c r="HD106" s="996">
        <v>0</v>
      </c>
      <c r="HE106" s="1006"/>
      <c r="HF106" s="996">
        <v>0</v>
      </c>
      <c r="HG106" s="1006" t="s">
        <v>204</v>
      </c>
      <c r="HH106" s="996">
        <v>-2.932587680000001</v>
      </c>
      <c r="HI106" s="1006"/>
      <c r="HJ106" s="996">
        <v>0</v>
      </c>
      <c r="HK106" s="1006"/>
      <c r="HL106" s="996">
        <v>0</v>
      </c>
      <c r="HM106" s="1006"/>
      <c r="HN106" s="996">
        <v>9.0187680000001436E-2</v>
      </c>
      <c r="HO106" s="1006"/>
      <c r="HP106" s="996">
        <v>0</v>
      </c>
      <c r="HQ106" s="1006"/>
      <c r="HR106" s="996">
        <v>0</v>
      </c>
      <c r="HS106" s="1006"/>
      <c r="HT106" s="996">
        <v>0</v>
      </c>
      <c r="HU106" s="1006"/>
      <c r="HV106" s="996">
        <v>0</v>
      </c>
      <c r="HW106" s="1006"/>
      <c r="HX106" s="996">
        <v>0</v>
      </c>
      <c r="HY106" s="1006"/>
      <c r="HZ106" s="996">
        <v>0.58066887999999928</v>
      </c>
      <c r="IA106" s="1006"/>
      <c r="IB106" s="996">
        <v>0</v>
      </c>
      <c r="IC106" s="1006" t="s">
        <v>204</v>
      </c>
      <c r="ID106" s="996">
        <v>-2.4977966199999999</v>
      </c>
      <c r="IE106" s="1006"/>
      <c r="IF106" s="996">
        <v>-5.4211255999998542E-2</v>
      </c>
      <c r="IG106" s="1006"/>
      <c r="IH106" s="996">
        <v>0</v>
      </c>
      <c r="II106" s="1006"/>
      <c r="IJ106" s="996">
        <v>0</v>
      </c>
      <c r="IK106" s="1006"/>
      <c r="IL106" s="996">
        <v>0</v>
      </c>
      <c r="IM106" s="1006"/>
      <c r="IN106" s="996">
        <v>0</v>
      </c>
      <c r="IO106" s="1006"/>
      <c r="IP106" s="996">
        <v>0</v>
      </c>
      <c r="IQ106" s="1006"/>
      <c r="IR106" s="996">
        <v>0</v>
      </c>
      <c r="IS106" s="1006"/>
      <c r="IT106" s="996">
        <v>0</v>
      </c>
      <c r="IU106" s="1006" t="s">
        <v>199</v>
      </c>
      <c r="IV106" s="996">
        <v>-5.729848027200001</v>
      </c>
      <c r="IW106" s="1006"/>
      <c r="IX106" s="996">
        <v>0</v>
      </c>
      <c r="IY106" s="1006" t="s">
        <v>223</v>
      </c>
      <c r="IZ106" s="996">
        <v>-4.5334143183999966</v>
      </c>
      <c r="JA106" s="1006"/>
      <c r="JB106" s="996">
        <v>0.23850352679999531</v>
      </c>
      <c r="JC106" s="1006" t="s">
        <v>622</v>
      </c>
      <c r="JD106" s="996">
        <v>3.0674451808000001</v>
      </c>
      <c r="JE106" s="1006"/>
      <c r="JF106" s="996">
        <v>0</v>
      </c>
      <c r="JG106" s="1006"/>
      <c r="JH106" s="996">
        <v>0</v>
      </c>
      <c r="JI106" s="1006"/>
      <c r="JJ106" s="996">
        <v>0</v>
      </c>
      <c r="JK106" s="1007"/>
      <c r="JL106" s="1007">
        <v>0</v>
      </c>
      <c r="JM106" s="1007"/>
      <c r="JN106" s="1007">
        <v>0</v>
      </c>
      <c r="JO106" s="1008"/>
      <c r="JP106" s="1007">
        <v>0</v>
      </c>
      <c r="JQ106" s="1008">
        <v>0</v>
      </c>
      <c r="JR106" s="1007">
        <v>0</v>
      </c>
      <c r="JS106" s="1008">
        <v>0</v>
      </c>
      <c r="JT106" s="1007">
        <v>0</v>
      </c>
      <c r="JU106" s="1008"/>
      <c r="JV106" s="1007">
        <v>0</v>
      </c>
      <c r="JW106" s="1008" t="s">
        <v>197</v>
      </c>
      <c r="JX106" s="1007">
        <v>0</v>
      </c>
      <c r="JY106" s="1008"/>
      <c r="JZ106" s="1007">
        <v>0</v>
      </c>
      <c r="KA106" s="1008"/>
      <c r="KB106" s="1007">
        <v>0</v>
      </c>
      <c r="KC106" s="1008"/>
      <c r="KD106" s="1007">
        <v>0</v>
      </c>
      <c r="KE106" s="1008"/>
      <c r="KF106" s="1007">
        <v>0</v>
      </c>
      <c r="KG106" s="1008"/>
      <c r="KH106" s="1007">
        <v>0</v>
      </c>
      <c r="KI106" s="1008"/>
      <c r="KJ106" s="1007">
        <v>0</v>
      </c>
      <c r="KK106" s="1008"/>
      <c r="KL106" s="1007">
        <v>0</v>
      </c>
      <c r="KM106" s="1008"/>
      <c r="KN106" s="1007">
        <v>0</v>
      </c>
      <c r="KO106" s="1008" t="s">
        <v>522</v>
      </c>
      <c r="KP106" s="1007">
        <v>16.619852634000001</v>
      </c>
      <c r="KQ106" s="1008">
        <v>0</v>
      </c>
      <c r="KR106" s="1007">
        <v>0</v>
      </c>
      <c r="KS106" s="1008">
        <v>0</v>
      </c>
      <c r="KT106" s="1007">
        <v>0</v>
      </c>
      <c r="KU106" s="1008">
        <v>0</v>
      </c>
      <c r="KV106" s="1007">
        <v>0</v>
      </c>
      <c r="KW106" s="1008">
        <v>0</v>
      </c>
      <c r="KX106" s="1007">
        <v>0</v>
      </c>
      <c r="KY106" s="1008">
        <v>0</v>
      </c>
      <c r="KZ106" s="1007">
        <v>0</v>
      </c>
      <c r="LA106" s="1008">
        <v>0</v>
      </c>
      <c r="LB106" s="1007">
        <v>0</v>
      </c>
      <c r="LC106" s="1008">
        <v>0</v>
      </c>
      <c r="LD106" s="1007">
        <v>0</v>
      </c>
      <c r="LE106" s="1008">
        <v>0</v>
      </c>
      <c r="LF106" s="1007">
        <v>0</v>
      </c>
      <c r="LG106" s="1008">
        <v>0</v>
      </c>
      <c r="LH106" s="1007">
        <v>0</v>
      </c>
      <c r="LI106" s="1008">
        <v>0</v>
      </c>
      <c r="LJ106" s="1007">
        <v>0</v>
      </c>
      <c r="LK106" s="1008">
        <v>0</v>
      </c>
      <c r="LL106" s="1007">
        <v>0</v>
      </c>
      <c r="LM106" s="1008">
        <v>0</v>
      </c>
      <c r="LN106" s="1007">
        <v>0</v>
      </c>
      <c r="LO106" s="1008">
        <v>0</v>
      </c>
      <c r="LP106" s="1007">
        <v>0</v>
      </c>
      <c r="LQ106" s="1008">
        <v>0</v>
      </c>
      <c r="LR106" s="1007">
        <v>0</v>
      </c>
      <c r="LS106" s="1008">
        <v>0</v>
      </c>
      <c r="LT106" s="1007">
        <v>0</v>
      </c>
      <c r="LU106" s="1008">
        <v>0</v>
      </c>
      <c r="LV106" s="1007">
        <v>0</v>
      </c>
      <c r="LW106" s="1008">
        <v>0</v>
      </c>
      <c r="LX106" s="1007">
        <v>0</v>
      </c>
      <c r="LY106" s="1009">
        <v>0</v>
      </c>
      <c r="LZ106" s="1010">
        <v>0</v>
      </c>
      <c r="MA106" s="1011">
        <v>0</v>
      </c>
      <c r="MB106" s="1012">
        <v>0</v>
      </c>
      <c r="MC106" s="995"/>
      <c r="MD106" s="996"/>
      <c r="ME106" s="997" t="s">
        <v>416</v>
      </c>
      <c r="MF106" s="997"/>
      <c r="MG106" s="998"/>
      <c r="NR106" s="1000"/>
      <c r="NS106" s="1000"/>
      <c r="NT106" s="1001"/>
      <c r="NU106" s="1000"/>
      <c r="NV106" s="1001"/>
      <c r="NX106" s="1002"/>
      <c r="NZ106" s="1001"/>
      <c r="OA106" s="1001"/>
      <c r="OC106" s="1003"/>
      <c r="OD106" s="1003"/>
      <c r="OE106" s="1001"/>
      <c r="OF106" s="1003"/>
      <c r="OG106" s="1003"/>
      <c r="QX106" s="1000">
        <f t="shared" si="51"/>
        <v>26</v>
      </c>
      <c r="ASU106" s="999" t="s">
        <v>455</v>
      </c>
    </row>
    <row r="107" spans="1:466 1191:1191" ht="21" customHeight="1" x14ac:dyDescent="0.25">
      <c r="A107" s="982">
        <f t="shared" si="59"/>
        <v>1020</v>
      </c>
      <c r="B107" s="124">
        <f>SUBTOTAL(103,$J$29:J107)</f>
        <v>79</v>
      </c>
      <c r="C107" s="126">
        <v>45068</v>
      </c>
      <c r="D107" s="124" t="s">
        <v>176</v>
      </c>
      <c r="E107" s="127" t="s">
        <v>177</v>
      </c>
      <c r="F107" s="128" t="s">
        <v>177</v>
      </c>
      <c r="G107" s="127" t="s">
        <v>178</v>
      </c>
      <c r="H107" s="127" t="s">
        <v>421</v>
      </c>
      <c r="I107" s="127" t="s">
        <v>567</v>
      </c>
      <c r="J107" s="152">
        <v>1020</v>
      </c>
      <c r="K107" s="127" t="s">
        <v>625</v>
      </c>
      <c r="L107" s="130">
        <v>41176</v>
      </c>
      <c r="M107" s="127" t="s">
        <v>230</v>
      </c>
      <c r="N107" s="127" t="s">
        <v>231</v>
      </c>
      <c r="O107" s="127" t="s">
        <v>185</v>
      </c>
      <c r="P107" s="127" t="s">
        <v>186</v>
      </c>
      <c r="Q107" s="85" t="str">
        <f t="shared" si="85"/>
        <v/>
      </c>
      <c r="R107" s="130"/>
      <c r="S107" s="128" t="s">
        <v>156</v>
      </c>
      <c r="T107" s="131"/>
      <c r="U107" s="132">
        <v>203</v>
      </c>
      <c r="V107" s="121">
        <v>218.2</v>
      </c>
      <c r="W107" s="116">
        <v>0.98</v>
      </c>
      <c r="X107" s="116">
        <v>1.66</v>
      </c>
      <c r="Y107" s="116">
        <f t="shared" si="41"/>
        <v>1.0262427453949028</v>
      </c>
      <c r="Z107" s="133">
        <v>1.454</v>
      </c>
      <c r="AA107" s="133">
        <v>0.83599999999999997</v>
      </c>
      <c r="AB107" s="133">
        <v>0.72</v>
      </c>
      <c r="AC107" s="121">
        <v>34.299999999999997</v>
      </c>
      <c r="AD107" s="134">
        <v>1.17</v>
      </c>
      <c r="AE107" s="124">
        <v>139.69999999999999</v>
      </c>
      <c r="AF107" s="128">
        <v>7.72</v>
      </c>
      <c r="AG107" s="128">
        <v>1929</v>
      </c>
      <c r="AH107" s="127">
        <v>2579</v>
      </c>
      <c r="AI107" s="127">
        <v>2579</v>
      </c>
      <c r="AJ107" s="135"/>
      <c r="AK107" s="128"/>
      <c r="AL107" s="131"/>
      <c r="AM107" s="124" t="s">
        <v>232</v>
      </c>
      <c r="AN107" s="136" t="s">
        <v>626</v>
      </c>
      <c r="AO107" s="137">
        <v>102.5</v>
      </c>
      <c r="AP107" s="128">
        <v>1956</v>
      </c>
      <c r="AQ107" s="128">
        <v>10.28</v>
      </c>
      <c r="AR107" s="128"/>
      <c r="AS107" s="128"/>
      <c r="AT107" s="122"/>
      <c r="AU107" s="124" t="s">
        <v>189</v>
      </c>
      <c r="AV107" s="115">
        <f>VLOOKUP(J107,'[63]ТР нефть'!$J$28:$BP$638,39,0)</f>
        <v>490.00000722700003</v>
      </c>
      <c r="AW107" s="115" t="str">
        <f>VLOOKUP(J107,'[63]ТР нефть'!$J$28:$BP$638,40,0)</f>
        <v>ГК 83 1/8</v>
      </c>
      <c r="AX107" s="115">
        <f>VLOOKUP(J107,'[63]ТР нефть'!$J$28:$BP$638,41,0)</f>
        <v>859.99997168000004</v>
      </c>
      <c r="AY107" s="115" t="str">
        <f>VLOOKUP(J107,'[63]ТР нефть'!$J$28:$BP$638,42,0)</f>
        <v>ГК 83 1/8</v>
      </c>
      <c r="AZ107" s="115">
        <f>VLOOKUP(J107,'[63]ТР нефть'!$J$28:$BP$638,43,0)</f>
        <v>1149.9999820309999</v>
      </c>
      <c r="BA107" s="115" t="str">
        <f>VLOOKUP(J107,'[63]ТР нефть'!$J$28:$BP$638,44,0)</f>
        <v>ГК 83 1/8</v>
      </c>
      <c r="BB107" s="115">
        <f>VLOOKUP(J107,'[63]ТР нефть'!$J$28:$BP$638,45,0)</f>
        <v>1369.999948828</v>
      </c>
      <c r="BC107" s="115" t="str">
        <f>VLOOKUP(J107,'[63]ТР нефть'!$J$28:$BP$638,46,0)</f>
        <v>ГК 80 1/8</v>
      </c>
      <c r="BD107" s="115">
        <f>VLOOKUP(J107,'[63]ТР нефть'!$J$28:$BP$638,47,0)</f>
        <v>1560.000035156</v>
      </c>
      <c r="BE107" s="115" t="str">
        <f>VLOOKUP(J107,'[63]ТР нефть'!$J$28:$BP$638,48,0)</f>
        <v>ЦКсОК 5/16</v>
      </c>
      <c r="BF107" s="115" t="str">
        <f>VLOOKUP(J107,'[63]ТР нефть'!$J$28:$BP$638,49,0)</f>
        <v>-</v>
      </c>
      <c r="BG107" s="115" t="str">
        <f>VLOOKUP(J107,'[63]ТР нефть'!$J$28:$BP$638,50,0)</f>
        <v>-</v>
      </c>
      <c r="BH107" s="115">
        <f>VLOOKUP(J107,'[63]ТР нефть'!$J$28:$BP$638,51,0)</f>
        <v>1580</v>
      </c>
      <c r="BI107" s="115" t="str">
        <f>VLOOKUP(J107,'[63]ТР нефть'!$J$28:$BP$638,52,0)</f>
        <v>Закрыт</v>
      </c>
      <c r="BJ107" s="115" t="str">
        <f>IF(IFERROR(VLOOKUP(J107,'[63]ТР нефть'!$J$28:$BP$638,53,0),"-")=0,"-",IFERROR(VLOOKUP(J107,'[63]ТР нефть'!$J$28:$BP$638,53,0),"-"))</f>
        <v>-</v>
      </c>
      <c r="BK107" s="138" t="str">
        <f>IF(IFERROR(VLOOKUP(J107,'[63]ТР нефть'!$J$28:$BP$638,54,0),"-")=0,"-",IFERROR(VLOOKUP(J107,'[63]ТР нефть'!$J$28:$BP$638,54,0),"-"))</f>
        <v>-</v>
      </c>
      <c r="BL107" s="138" t="str">
        <f>IF(IFERROR(VLOOKUP(J107,'[63]ТР нефть'!$J$28:$BP$638,55,0),"-")=0,"-",IFERROR(VLOOKUP(J107,'[63]ТР нефть'!$J$28:$BP$638,55,0),"-"))</f>
        <v>-</v>
      </c>
      <c r="BM107" s="138" t="str">
        <f>IF(IFERROR(VLOOKUP(J107,'[63]ТР нефть'!$J$28:$BP$638,56,0),"-")=0,"-",IFERROR(VLOOKUP(J107,'[63]ТР нефть'!$J$28:$BP$638,56,0),"-"))</f>
        <v>-</v>
      </c>
      <c r="BN107" s="138" t="str">
        <f>IF(IFERROR(VLOOKUP(J107,'[63]ТР нефть'!$J$28:$BP$638,57,0),"-")=0,"-",IFERROR(VLOOKUP(J107,'[63]ТР нефть'!$J$28:$BP$638,57,0),"-"))</f>
        <v>-</v>
      </c>
      <c r="BO107" s="115" t="str">
        <f>IF(IFERROR(VLOOKUP(J107,'[63]ТР нефть'!$J$28:$BP$638,58,0),"-")=0,"-",IFERROR(VLOOKUP(J107,'[63]ТР нефть'!$J$28:$BP$638,58,0),"-"))</f>
        <v>-</v>
      </c>
      <c r="BP107" s="115" t="str">
        <f>IF(IFERROR(VLOOKUP(J107,'[63]ТР нефть'!$J$28:$BP$638,59,0),"-")=0,"-",IFERROR(VLOOKUP(J107,'[63]ТР нефть'!$J$28:$BP$638,59,0),"-"))</f>
        <v>-</v>
      </c>
      <c r="BQ107" s="138">
        <v>1950</v>
      </c>
      <c r="BR107" s="128">
        <v>1909.22</v>
      </c>
      <c r="BS107" s="115">
        <f t="shared" si="60"/>
        <v>40.779999999999973</v>
      </c>
      <c r="BT107" s="128">
        <v>73</v>
      </c>
      <c r="BU107" s="128">
        <v>5.5</v>
      </c>
      <c r="BV107" s="127">
        <v>18</v>
      </c>
      <c r="BW107" s="127" t="s">
        <v>217</v>
      </c>
      <c r="BX107" s="127" t="s">
        <v>218</v>
      </c>
      <c r="BY107" s="139">
        <v>24</v>
      </c>
      <c r="BZ107" s="139">
        <v>48</v>
      </c>
      <c r="CA107" s="148">
        <v>27</v>
      </c>
      <c r="CB107" s="115">
        <v>27</v>
      </c>
      <c r="CC107" s="115">
        <v>26</v>
      </c>
      <c r="CD107" s="135">
        <v>45017</v>
      </c>
      <c r="CE107" s="138">
        <v>87</v>
      </c>
      <c r="CF107" s="115">
        <v>80</v>
      </c>
      <c r="CG107" s="138" t="str">
        <f t="shared" si="52"/>
        <v>В работе</v>
      </c>
      <c r="CH107" s="138" t="s">
        <v>196</v>
      </c>
      <c r="CI107" s="127">
        <v>6</v>
      </c>
      <c r="CJ107" s="138"/>
      <c r="CK107" s="138"/>
      <c r="CL107" s="99"/>
      <c r="CM107" s="99"/>
      <c r="CN107" s="140">
        <v>38</v>
      </c>
      <c r="CO107" s="159">
        <f t="shared" si="61"/>
        <v>3.0505639999999996</v>
      </c>
      <c r="CP107" s="175">
        <v>4.0999999999999996</v>
      </c>
      <c r="CQ107" s="161">
        <v>11</v>
      </c>
      <c r="CR107" s="115">
        <v>8.3000000000000007</v>
      </c>
      <c r="CS107" s="115">
        <v>2.6</v>
      </c>
      <c r="CT107" s="138"/>
      <c r="CU107" s="138">
        <f t="shared" si="62"/>
        <v>5.7000000000000011</v>
      </c>
      <c r="CV107" s="115">
        <f t="shared" si="63"/>
        <v>1868.5069383890984</v>
      </c>
      <c r="CW107" s="115">
        <f t="shared" si="64"/>
        <v>727.71607429645258</v>
      </c>
      <c r="CX107" s="133">
        <f t="shared" si="65"/>
        <v>8.3673469387755092E-2</v>
      </c>
      <c r="CY107" s="116"/>
      <c r="CZ107" s="131"/>
      <c r="DA107" s="145" t="str">
        <f t="shared" si="66"/>
        <v>Газлифт</v>
      </c>
      <c r="DB107" s="146">
        <f t="shared" si="67"/>
        <v>3.0505639999999996</v>
      </c>
      <c r="DC107" s="142">
        <f t="shared" si="68"/>
        <v>4.0999999999999996</v>
      </c>
      <c r="DD107" s="119">
        <f t="shared" si="69"/>
        <v>11</v>
      </c>
      <c r="DE107" s="115">
        <f t="shared" si="70"/>
        <v>5.7000000000000011</v>
      </c>
      <c r="DF107" s="121">
        <f t="shared" si="71"/>
        <v>2.6</v>
      </c>
      <c r="DG107" s="115">
        <f t="shared" si="72"/>
        <v>1868.5069383890984</v>
      </c>
      <c r="DH107" s="115">
        <f t="shared" si="73"/>
        <v>38</v>
      </c>
      <c r="DI107" s="147"/>
      <c r="DJ107" s="111">
        <v>43424</v>
      </c>
      <c r="DK107" s="112">
        <v>43644.083333333336</v>
      </c>
      <c r="DL107" s="113">
        <f t="shared" ca="1" si="42"/>
        <v>1459.9166666666642</v>
      </c>
      <c r="DM107" s="114"/>
      <c r="DN107" s="114"/>
      <c r="DO107" s="114"/>
      <c r="DP107" s="114"/>
      <c r="DQ107" s="112">
        <v>43471.5</v>
      </c>
      <c r="DR107" s="114" t="s">
        <v>282</v>
      </c>
      <c r="DS107" s="114"/>
      <c r="DT107" s="115">
        <v>60</v>
      </c>
      <c r="DU107" s="116">
        <f t="shared" si="43"/>
        <v>0.15185185185185185</v>
      </c>
      <c r="DV107" s="117">
        <f t="shared" si="44"/>
        <v>3.0505639999999996</v>
      </c>
      <c r="DW107" s="118">
        <f t="shared" si="45"/>
        <v>4.0999999999999996</v>
      </c>
      <c r="DX107" s="119">
        <f t="shared" si="74"/>
        <v>11</v>
      </c>
      <c r="DY107" s="115">
        <f t="shared" si="46"/>
        <v>5.7000000000000011</v>
      </c>
      <c r="DZ107" s="117">
        <f t="shared" si="47"/>
        <v>0</v>
      </c>
      <c r="EA107" s="120">
        <f t="shared" si="47"/>
        <v>0</v>
      </c>
      <c r="EB107" s="119">
        <f t="shared" si="47"/>
        <v>0</v>
      </c>
      <c r="EC107" s="121">
        <f t="shared" si="48"/>
        <v>0</v>
      </c>
      <c r="ED107" s="122"/>
      <c r="EE107" s="145">
        <v>18</v>
      </c>
      <c r="EF107" s="148">
        <v>26</v>
      </c>
      <c r="EG107" s="115">
        <v>27</v>
      </c>
      <c r="EH107" s="115">
        <v>26</v>
      </c>
      <c r="EI107" s="128" t="s">
        <v>218</v>
      </c>
      <c r="EJ107" s="121">
        <v>24</v>
      </c>
      <c r="EK107" s="121">
        <v>48</v>
      </c>
      <c r="EL107" s="162">
        <v>3.0505639999999996</v>
      </c>
      <c r="EM107" s="117">
        <v>4.0999999999999996</v>
      </c>
      <c r="EN107" s="119">
        <v>11</v>
      </c>
      <c r="EO107" s="115">
        <v>8.3000000000000007</v>
      </c>
      <c r="EP107" s="115">
        <v>1868.5069383890984</v>
      </c>
      <c r="EQ107" s="115">
        <v>76</v>
      </c>
      <c r="ER107" s="115">
        <v>2.6</v>
      </c>
      <c r="ES107" s="115">
        <v>38</v>
      </c>
      <c r="ET107" s="150">
        <v>8.3673469387755092E-2</v>
      </c>
      <c r="EU107" s="145">
        <f t="shared" si="75"/>
        <v>18</v>
      </c>
      <c r="EV107" s="115">
        <f t="shared" si="76"/>
        <v>27</v>
      </c>
      <c r="EW107" s="115">
        <f t="shared" si="76"/>
        <v>27</v>
      </c>
      <c r="EX107" s="115">
        <f t="shared" si="76"/>
        <v>26</v>
      </c>
      <c r="EY107" s="115" t="str">
        <f t="shared" si="77"/>
        <v>Периодический</v>
      </c>
      <c r="EZ107" s="115">
        <f t="shared" si="77"/>
        <v>24</v>
      </c>
      <c r="FA107" s="115">
        <f t="shared" si="77"/>
        <v>48</v>
      </c>
      <c r="FB107" s="149">
        <f t="shared" si="78"/>
        <v>3.0505639999999996</v>
      </c>
      <c r="FC107" s="117">
        <f t="shared" si="78"/>
        <v>4.0999999999999996</v>
      </c>
      <c r="FD107" s="119">
        <f t="shared" si="78"/>
        <v>11</v>
      </c>
      <c r="FE107" s="121">
        <f t="shared" si="78"/>
        <v>8.3000000000000007</v>
      </c>
      <c r="FF107" s="116">
        <f t="shared" si="49"/>
        <v>1868.5069383890984</v>
      </c>
      <c r="FG107" s="121">
        <f t="shared" si="79"/>
        <v>80</v>
      </c>
      <c r="FH107" s="121">
        <f t="shared" si="50"/>
        <v>2.6</v>
      </c>
      <c r="FI107" s="121">
        <f t="shared" si="54"/>
        <v>38</v>
      </c>
      <c r="FJ107" s="144">
        <f t="shared" si="80"/>
        <v>8.3673469387755092E-2</v>
      </c>
      <c r="FK107" s="132">
        <f t="shared" si="81"/>
        <v>0</v>
      </c>
      <c r="FL107" s="115">
        <f t="shared" si="81"/>
        <v>1</v>
      </c>
      <c r="FM107" s="115">
        <f t="shared" si="81"/>
        <v>0</v>
      </c>
      <c r="FN107" s="115">
        <f t="shared" si="58"/>
        <v>0</v>
      </c>
      <c r="FO107" s="115">
        <f t="shared" si="57"/>
        <v>0</v>
      </c>
      <c r="FP107" s="115">
        <f t="shared" si="56"/>
        <v>0</v>
      </c>
      <c r="FQ107" s="149">
        <f t="shared" si="56"/>
        <v>0</v>
      </c>
      <c r="FR107" s="142">
        <f t="shared" si="56"/>
        <v>0</v>
      </c>
      <c r="FS107" s="119">
        <f t="shared" si="56"/>
        <v>0</v>
      </c>
      <c r="FT107" s="121">
        <f t="shared" si="56"/>
        <v>0</v>
      </c>
      <c r="FU107" s="121">
        <f t="shared" si="82"/>
        <v>4</v>
      </c>
      <c r="FV107" s="121">
        <f t="shared" si="82"/>
        <v>0</v>
      </c>
      <c r="FW107" s="121">
        <f t="shared" si="83"/>
        <v>0</v>
      </c>
      <c r="FX107" s="121">
        <f t="shared" si="84"/>
        <v>0</v>
      </c>
      <c r="FY107" s="144">
        <f t="shared" si="84"/>
        <v>0</v>
      </c>
      <c r="FZ107" s="145"/>
      <c r="GA107" s="151" t="s">
        <v>627</v>
      </c>
      <c r="GB107" s="145"/>
      <c r="GC107" s="151"/>
      <c r="GD107" s="997" t="s">
        <v>416</v>
      </c>
      <c r="GE107" s="1004"/>
      <c r="GF107" s="1004">
        <v>0</v>
      </c>
      <c r="GG107" s="1004"/>
      <c r="GH107" s="1004">
        <v>0</v>
      </c>
      <c r="GI107" s="145"/>
      <c r="GJ107" s="996">
        <v>-0.66963600000000056</v>
      </c>
      <c r="GK107" s="145"/>
      <c r="GL107" s="996">
        <v>0</v>
      </c>
      <c r="GM107" s="1005"/>
      <c r="GN107" s="996">
        <v>0</v>
      </c>
      <c r="GO107" s="1006"/>
      <c r="GP107" s="996">
        <v>0</v>
      </c>
      <c r="GQ107" s="1006"/>
      <c r="GR107" s="996">
        <v>0</v>
      </c>
      <c r="GS107" s="1006"/>
      <c r="GT107" s="996">
        <v>0</v>
      </c>
      <c r="GU107" s="1006"/>
      <c r="GV107" s="996">
        <v>0</v>
      </c>
      <c r="GW107" s="1006" t="s">
        <v>199</v>
      </c>
      <c r="GX107" s="996">
        <v>3.3682272800000002</v>
      </c>
      <c r="GY107" s="1006" t="s">
        <v>199</v>
      </c>
      <c r="GZ107" s="996">
        <v>-1.3085573599999998</v>
      </c>
      <c r="HA107" s="1006"/>
      <c r="HB107" s="996">
        <v>0</v>
      </c>
      <c r="HC107" s="1006" t="s">
        <v>199</v>
      </c>
      <c r="HD107" s="996">
        <v>0</v>
      </c>
      <c r="HE107" s="1006"/>
      <c r="HF107" s="996">
        <v>0</v>
      </c>
      <c r="HG107" s="1006"/>
      <c r="HH107" s="996">
        <v>0</v>
      </c>
      <c r="HI107" s="1006" t="s">
        <v>223</v>
      </c>
      <c r="HJ107" s="996">
        <v>-1.5451620799999997</v>
      </c>
      <c r="HK107" s="1006"/>
      <c r="HL107" s="996">
        <v>0</v>
      </c>
      <c r="HM107" s="1006"/>
      <c r="HN107" s="996">
        <v>0</v>
      </c>
      <c r="HO107" s="1006"/>
      <c r="HP107" s="996">
        <v>0</v>
      </c>
      <c r="HQ107" s="1006" t="s">
        <v>221</v>
      </c>
      <c r="HR107" s="996">
        <v>-1.809428451600001</v>
      </c>
      <c r="HS107" s="1006"/>
      <c r="HT107" s="996">
        <v>0</v>
      </c>
      <c r="HU107" s="1006"/>
      <c r="HV107" s="996">
        <v>0</v>
      </c>
      <c r="HW107" s="1006"/>
      <c r="HX107" s="996">
        <v>0</v>
      </c>
      <c r="HY107" s="1006" t="s">
        <v>628</v>
      </c>
      <c r="HZ107" s="996">
        <v>-1.2925112261599985</v>
      </c>
      <c r="IA107" s="1006"/>
      <c r="IB107" s="996">
        <v>0</v>
      </c>
      <c r="IC107" s="1006"/>
      <c r="ID107" s="996">
        <v>0</v>
      </c>
      <c r="IE107" s="1006"/>
      <c r="IF107" s="996">
        <v>0.13979103775999846</v>
      </c>
      <c r="IG107" s="1006"/>
      <c r="IH107" s="996">
        <v>0</v>
      </c>
      <c r="II107" s="1006"/>
      <c r="IJ107" s="996">
        <v>0</v>
      </c>
      <c r="IK107" s="1006"/>
      <c r="IL107" s="996">
        <v>0</v>
      </c>
      <c r="IM107" s="1006"/>
      <c r="IN107" s="996">
        <v>0</v>
      </c>
      <c r="IO107" s="1006"/>
      <c r="IP107" s="996">
        <v>0</v>
      </c>
      <c r="IQ107" s="1006"/>
      <c r="IR107" s="996">
        <v>0</v>
      </c>
      <c r="IS107" s="1006"/>
      <c r="IT107" s="996">
        <v>0</v>
      </c>
      <c r="IU107" s="1006"/>
      <c r="IV107" s="996">
        <v>0</v>
      </c>
      <c r="IW107" s="1006"/>
      <c r="IX107" s="996">
        <v>0</v>
      </c>
      <c r="IY107" s="1006"/>
      <c r="IZ107" s="996">
        <v>0</v>
      </c>
      <c r="JA107" s="1006"/>
      <c r="JB107" s="996">
        <v>0</v>
      </c>
      <c r="JC107" s="1006"/>
      <c r="JD107" s="996">
        <v>0</v>
      </c>
      <c r="JE107" s="1006" t="s">
        <v>204</v>
      </c>
      <c r="JF107" s="996">
        <v>3.0300820000000011</v>
      </c>
      <c r="JG107" s="1006"/>
      <c r="JH107" s="996">
        <v>0</v>
      </c>
      <c r="JI107" s="1006" t="s">
        <v>203</v>
      </c>
      <c r="JJ107" s="996">
        <v>-1.0855627199999995</v>
      </c>
      <c r="JK107" s="1007" t="s">
        <v>204</v>
      </c>
      <c r="JL107" s="1007">
        <v>-10.655221279999999</v>
      </c>
      <c r="JM107" s="1007"/>
      <c r="JN107" s="1007">
        <v>0</v>
      </c>
      <c r="JO107" s="1008"/>
      <c r="JP107" s="1007">
        <v>0</v>
      </c>
      <c r="JQ107" s="1008" t="s">
        <v>204</v>
      </c>
      <c r="JR107" s="1007">
        <v>-1.4053159999999991</v>
      </c>
      <c r="JS107" s="1008">
        <v>0</v>
      </c>
      <c r="JT107" s="1007">
        <v>0</v>
      </c>
      <c r="JU107" s="1008"/>
      <c r="JV107" s="1007">
        <v>0</v>
      </c>
      <c r="JW107" s="1008" t="s">
        <v>197</v>
      </c>
      <c r="JX107" s="1007">
        <v>0</v>
      </c>
      <c r="JY107" s="1008"/>
      <c r="JZ107" s="1007">
        <v>0</v>
      </c>
      <c r="KA107" s="1008"/>
      <c r="KB107" s="1007">
        <v>0</v>
      </c>
      <c r="KC107" s="1008"/>
      <c r="KD107" s="1007">
        <v>-4.8504719999999999</v>
      </c>
      <c r="KE107" s="1008"/>
      <c r="KF107" s="1007">
        <v>0</v>
      </c>
      <c r="KG107" s="1008"/>
      <c r="KH107" s="1007">
        <v>0</v>
      </c>
      <c r="KI107" s="1008"/>
      <c r="KJ107" s="1007">
        <v>0</v>
      </c>
      <c r="KK107" s="1008" t="s">
        <v>206</v>
      </c>
      <c r="KL107" s="1007">
        <v>0.67047200000000018</v>
      </c>
      <c r="KM107" s="1008"/>
      <c r="KN107" s="1007">
        <v>0</v>
      </c>
      <c r="KO107" s="1008"/>
      <c r="KP107" s="1007">
        <v>0</v>
      </c>
      <c r="KQ107" s="1008">
        <v>0</v>
      </c>
      <c r="KR107" s="1007">
        <v>0</v>
      </c>
      <c r="KS107" s="1008">
        <v>0</v>
      </c>
      <c r="KT107" s="1007">
        <v>0</v>
      </c>
      <c r="KU107" s="1008" t="s">
        <v>206</v>
      </c>
      <c r="KV107" s="1007">
        <v>0.83599999999999985</v>
      </c>
      <c r="KW107" s="1008" t="s">
        <v>206</v>
      </c>
      <c r="KX107" s="1007">
        <v>-7.5240000000000009</v>
      </c>
      <c r="KY107" s="1008" t="s">
        <v>206</v>
      </c>
      <c r="KZ107" s="1007">
        <v>5.0160000000000009</v>
      </c>
      <c r="LA107" s="1008" t="s">
        <v>204</v>
      </c>
      <c r="LB107" s="1007">
        <v>1.6719999999999997</v>
      </c>
      <c r="LC107" s="1008" t="s">
        <v>206</v>
      </c>
      <c r="LD107" s="1007">
        <v>-1.6719999999999997</v>
      </c>
      <c r="LE107" s="1008" t="s">
        <v>206</v>
      </c>
      <c r="LF107" s="1007">
        <v>-4.1800000000000006</v>
      </c>
      <c r="LG107" s="1008">
        <v>0</v>
      </c>
      <c r="LH107" s="1007">
        <v>0</v>
      </c>
      <c r="LI107" s="1008">
        <v>0</v>
      </c>
      <c r="LJ107" s="1007">
        <v>0</v>
      </c>
      <c r="LK107" s="1008">
        <v>0</v>
      </c>
      <c r="LL107" s="1007">
        <v>0</v>
      </c>
      <c r="LM107" s="1008" t="s">
        <v>206</v>
      </c>
      <c r="LN107" s="1007">
        <v>1.78904</v>
      </c>
      <c r="LO107" s="1008">
        <v>0</v>
      </c>
      <c r="LP107" s="1007">
        <v>0</v>
      </c>
      <c r="LQ107" s="1008" t="s">
        <v>206</v>
      </c>
      <c r="LR107" s="1007">
        <v>3.1323248000000001</v>
      </c>
      <c r="LS107" s="1008">
        <v>0</v>
      </c>
      <c r="LT107" s="1007">
        <v>0</v>
      </c>
      <c r="LU107" s="1008">
        <v>0</v>
      </c>
      <c r="LV107" s="1007">
        <v>-0.56584800000000002</v>
      </c>
      <c r="LW107" s="1008" t="s">
        <v>206</v>
      </c>
      <c r="LX107" s="1007">
        <v>1.6762554000000001</v>
      </c>
      <c r="LY107" s="1009">
        <v>0</v>
      </c>
      <c r="LZ107" s="1010">
        <v>0.28161161600000001</v>
      </c>
      <c r="MA107" s="1011">
        <v>0</v>
      </c>
      <c r="MB107" s="1012">
        <v>-0.19971755999999999</v>
      </c>
      <c r="MC107" s="995"/>
      <c r="MD107" s="996"/>
      <c r="ME107" s="997" t="s">
        <v>416</v>
      </c>
      <c r="MF107" s="997"/>
      <c r="MG107" s="998"/>
      <c r="NR107" s="1000"/>
      <c r="NS107" s="1000"/>
      <c r="NT107" s="1001"/>
      <c r="NU107" s="1000"/>
      <c r="NV107" s="1001"/>
      <c r="NX107" s="1002"/>
      <c r="NZ107" s="1001"/>
      <c r="OA107" s="1001"/>
      <c r="OC107" s="1003"/>
      <c r="OD107" s="1003"/>
      <c r="OE107" s="1001"/>
      <c r="OF107" s="1003"/>
      <c r="OG107" s="1003"/>
      <c r="QX107" s="1000">
        <f t="shared" si="51"/>
        <v>11</v>
      </c>
      <c r="ASU107" s="999" t="s">
        <v>225</v>
      </c>
    </row>
    <row r="108" spans="1:466 1191:1191" s="1026" customFormat="1" ht="21" customHeight="1" x14ac:dyDescent="0.25">
      <c r="A108" s="982" t="str">
        <f t="shared" si="59"/>
        <v>1020-2</v>
      </c>
      <c r="B108" s="124">
        <f>SUBTOTAL(103,$J$29:J108)</f>
        <v>80</v>
      </c>
      <c r="C108" s="126">
        <v>45068</v>
      </c>
      <c r="D108" s="124" t="s">
        <v>176</v>
      </c>
      <c r="E108" s="127" t="s">
        <v>177</v>
      </c>
      <c r="F108" s="128" t="s">
        <v>177</v>
      </c>
      <c r="G108" s="127" t="s">
        <v>178</v>
      </c>
      <c r="H108" s="127" t="s">
        <v>421</v>
      </c>
      <c r="I108" s="127" t="s">
        <v>567</v>
      </c>
      <c r="J108" s="152" t="s">
        <v>629</v>
      </c>
      <c r="K108" s="127" t="s">
        <v>625</v>
      </c>
      <c r="L108" s="130">
        <v>41248</v>
      </c>
      <c r="M108" s="127" t="s">
        <v>230</v>
      </c>
      <c r="N108" s="127" t="s">
        <v>231</v>
      </c>
      <c r="O108" s="127" t="s">
        <v>185</v>
      </c>
      <c r="P108" s="127" t="s">
        <v>186</v>
      </c>
      <c r="Q108" s="85" t="str">
        <f t="shared" si="85"/>
        <v/>
      </c>
      <c r="R108" s="130"/>
      <c r="S108" s="128" t="s">
        <v>156</v>
      </c>
      <c r="T108" s="131"/>
      <c r="U108" s="132">
        <v>203</v>
      </c>
      <c r="V108" s="121">
        <v>218.2</v>
      </c>
      <c r="W108" s="116">
        <v>0.98</v>
      </c>
      <c r="X108" s="116">
        <v>1.66</v>
      </c>
      <c r="Y108" s="116">
        <f t="shared" si="41"/>
        <v>0.99479244378456511</v>
      </c>
      <c r="Z108" s="133">
        <v>1.454</v>
      </c>
      <c r="AA108" s="133">
        <v>0.83599999999999997</v>
      </c>
      <c r="AB108" s="133">
        <v>0.72</v>
      </c>
      <c r="AC108" s="121">
        <v>34.299999999999997</v>
      </c>
      <c r="AD108" s="134">
        <v>1.17</v>
      </c>
      <c r="AE108" s="124">
        <v>177.8</v>
      </c>
      <c r="AF108" s="128">
        <v>9.19</v>
      </c>
      <c r="AG108" s="128">
        <v>1937</v>
      </c>
      <c r="AH108" s="127">
        <v>2595</v>
      </c>
      <c r="AI108" s="127">
        <v>2595</v>
      </c>
      <c r="AJ108" s="135"/>
      <c r="AK108" s="128"/>
      <c r="AL108" s="131"/>
      <c r="AM108" s="124" t="s">
        <v>232</v>
      </c>
      <c r="AN108" s="136" t="s">
        <v>630</v>
      </c>
      <c r="AO108" s="137">
        <v>86.15</v>
      </c>
      <c r="AP108" s="128">
        <v>1937</v>
      </c>
      <c r="AQ108" s="128">
        <v>27.05</v>
      </c>
      <c r="AR108" s="128"/>
      <c r="AS108" s="128"/>
      <c r="AT108" s="122"/>
      <c r="AU108" s="124" t="s">
        <v>189</v>
      </c>
      <c r="AV108" s="115">
        <f>VLOOKUP(J108,'[63]ТР нефть'!$J$28:$BP$638,39,0)</f>
        <v>577.99999394500003</v>
      </c>
      <c r="AW108" s="115" t="str">
        <f>VLOOKUP(J108,'[63]ТР нефть'!$J$28:$BP$638,40,0)</f>
        <v>ГК 84 1/8</v>
      </c>
      <c r="AX108" s="115">
        <f>VLOOKUP(J108,'[63]ТР нефть'!$J$28:$BP$638,41,0)</f>
        <v>1058.9999923830001</v>
      </c>
      <c r="AY108" s="115" t="str">
        <f>VLOOKUP(J108,'[63]ТР нефть'!$J$28:$BP$638,42,0)</f>
        <v>ГК 84 1/8</v>
      </c>
      <c r="AZ108" s="115">
        <f>VLOOKUP(J108,'[63]ТР нефть'!$J$28:$BP$638,43,0)</f>
        <v>1417.999995703</v>
      </c>
      <c r="BA108" s="115" t="str">
        <f>VLOOKUP(J108,'[63]ТР нефть'!$J$28:$BP$638,44,0)</f>
        <v>ГК 85 1/8</v>
      </c>
      <c r="BB108" s="115">
        <f>VLOOKUP(J108,'[63]ТР нефть'!$J$28:$BP$638,45,0)</f>
        <v>1798.999995703</v>
      </c>
      <c r="BC108" s="115" t="str">
        <f>VLOOKUP(J108,'[63]ТР нефть'!$J$28:$BP$638,46,0)</f>
        <v>ЦКсОК 5/16</v>
      </c>
      <c r="BD108" s="115" t="str">
        <f>VLOOKUP(J108,'[63]ТР нефть'!$J$28:$BP$638,47,0)</f>
        <v>-</v>
      </c>
      <c r="BE108" s="115" t="str">
        <f>VLOOKUP(J108,'[63]ТР нефть'!$J$28:$BP$638,48,0)</f>
        <v>-</v>
      </c>
      <c r="BF108" s="115" t="str">
        <f>VLOOKUP(J108,'[63]ТР нефть'!$J$28:$BP$638,49,0)</f>
        <v>-</v>
      </c>
      <c r="BG108" s="115" t="str">
        <f>VLOOKUP(J108,'[63]ТР нефть'!$J$28:$BP$638,50,0)</f>
        <v>-</v>
      </c>
      <c r="BH108" s="115">
        <f>VLOOKUP(J108,'[63]ТР нефть'!$J$28:$BP$638,51,0)</f>
        <v>1780</v>
      </c>
      <c r="BI108" s="115" t="str">
        <f>VLOOKUP(J108,'[63]ТР нефть'!$J$28:$BP$638,52,0)</f>
        <v xml:space="preserve">открыт </v>
      </c>
      <c r="BJ108" s="115" t="str">
        <f>IF(IFERROR(VLOOKUP(J108,'[63]ТР нефть'!$J$28:$BP$638,53,0),"-")=0,"-",IFERROR(VLOOKUP(J108,'[63]ТР нефть'!$J$28:$BP$638,53,0),"-"))</f>
        <v>-</v>
      </c>
      <c r="BK108" s="138" t="str">
        <f>IF(IFERROR(VLOOKUP(J108,'[63]ТР нефть'!$J$28:$BP$638,54,0),"-")=0,"-",IFERROR(VLOOKUP(J108,'[63]ТР нефть'!$J$28:$BP$638,54,0),"-"))</f>
        <v>-</v>
      </c>
      <c r="BL108" s="138" t="str">
        <f>IF(IFERROR(VLOOKUP(J108,'[63]ТР нефть'!$J$28:$BP$638,55,0),"-")=0,"-",IFERROR(VLOOKUP(J108,'[63]ТР нефть'!$J$28:$BP$638,55,0),"-"))</f>
        <v>-</v>
      </c>
      <c r="BM108" s="138" t="str">
        <f>IF(IFERROR(VLOOKUP(J108,'[63]ТР нефть'!$J$28:$BP$638,56,0),"-")=0,"-",IFERROR(VLOOKUP(J108,'[63]ТР нефть'!$J$28:$BP$638,56,0),"-"))</f>
        <v>-</v>
      </c>
      <c r="BN108" s="138" t="str">
        <f>IF(IFERROR(VLOOKUP(J108,'[63]ТР нефть'!$J$28:$BP$638,57,0),"-")=0,"-",IFERROR(VLOOKUP(J108,'[63]ТР нефть'!$J$28:$BP$638,57,0),"-"))</f>
        <v>-</v>
      </c>
      <c r="BO108" s="115" t="str">
        <f>IF(IFERROR(VLOOKUP(J108,'[63]ТР нефть'!$J$28:$BP$638,58,0),"-")=0,"-",IFERROR(VLOOKUP(J108,'[63]ТР нефть'!$J$28:$BP$638,58,0),"-"))</f>
        <v>-</v>
      </c>
      <c r="BP108" s="115" t="str">
        <f>IF(IFERROR(VLOOKUP(J108,'[63]ТР нефть'!$J$28:$BP$638,59,0),"-")=0,"-",IFERROR(VLOOKUP(J108,'[63]ТР нефть'!$J$28:$BP$638,59,0),"-"))</f>
        <v>-</v>
      </c>
      <c r="BQ108" s="138">
        <v>2051</v>
      </c>
      <c r="BR108" s="128">
        <v>1792.12</v>
      </c>
      <c r="BS108" s="115">
        <f t="shared" si="60"/>
        <v>258.88000000000011</v>
      </c>
      <c r="BT108" s="128">
        <v>73</v>
      </c>
      <c r="BU108" s="128">
        <v>5.5</v>
      </c>
      <c r="BV108" s="127">
        <v>12</v>
      </c>
      <c r="BW108" s="127" t="s">
        <v>217</v>
      </c>
      <c r="BX108" s="127" t="s">
        <v>195</v>
      </c>
      <c r="BY108" s="139">
        <v>24</v>
      </c>
      <c r="BZ108" s="139">
        <v>0</v>
      </c>
      <c r="CA108" s="138">
        <v>26</v>
      </c>
      <c r="CB108" s="138">
        <v>44</v>
      </c>
      <c r="CC108" s="138">
        <v>25</v>
      </c>
      <c r="CD108" s="135">
        <v>45017</v>
      </c>
      <c r="CE108" s="138">
        <v>79</v>
      </c>
      <c r="CF108" s="138">
        <v>78</v>
      </c>
      <c r="CG108" s="138" t="str">
        <f t="shared" si="52"/>
        <v>В работе</v>
      </c>
      <c r="CH108" s="138" t="s">
        <v>196</v>
      </c>
      <c r="CI108" s="127">
        <v>6</v>
      </c>
      <c r="CJ108" s="138"/>
      <c r="CK108" s="138"/>
      <c r="CL108" s="99"/>
      <c r="CM108" s="99"/>
      <c r="CN108" s="140">
        <v>45</v>
      </c>
      <c r="CO108" s="159">
        <f t="shared" si="61"/>
        <v>5.6395723999999996</v>
      </c>
      <c r="CP108" s="142">
        <v>7</v>
      </c>
      <c r="CQ108" s="119">
        <v>3.63</v>
      </c>
      <c r="CR108" s="138">
        <v>24</v>
      </c>
      <c r="CS108" s="139">
        <v>12</v>
      </c>
      <c r="CT108" s="138"/>
      <c r="CU108" s="138">
        <f t="shared" si="62"/>
        <v>12</v>
      </c>
      <c r="CV108" s="115">
        <f t="shared" si="63"/>
        <v>2127.8208964920818</v>
      </c>
      <c r="CW108" s="115">
        <f t="shared" si="64"/>
        <v>2022.3059674103374</v>
      </c>
      <c r="CX108" s="133">
        <f t="shared" si="65"/>
        <v>0.20588235294117646</v>
      </c>
      <c r="CY108" s="116"/>
      <c r="CZ108" s="131"/>
      <c r="DA108" s="145" t="str">
        <f t="shared" si="66"/>
        <v>Газлифт</v>
      </c>
      <c r="DB108" s="146">
        <f t="shared" si="67"/>
        <v>5.6395723999999996</v>
      </c>
      <c r="DC108" s="142">
        <f t="shared" si="68"/>
        <v>7</v>
      </c>
      <c r="DD108" s="119">
        <f t="shared" si="69"/>
        <v>3.63</v>
      </c>
      <c r="DE108" s="115">
        <f t="shared" si="70"/>
        <v>12</v>
      </c>
      <c r="DF108" s="121">
        <f t="shared" si="71"/>
        <v>12</v>
      </c>
      <c r="DG108" s="115">
        <f t="shared" si="72"/>
        <v>2127.8208964920818</v>
      </c>
      <c r="DH108" s="115">
        <f t="shared" si="73"/>
        <v>45</v>
      </c>
      <c r="DI108" s="147"/>
      <c r="DJ108" s="111" t="s">
        <v>197</v>
      </c>
      <c r="DK108" s="112">
        <v>42597</v>
      </c>
      <c r="DL108" s="113">
        <f t="shared" ca="1" si="42"/>
        <v>2507</v>
      </c>
      <c r="DM108" s="114"/>
      <c r="DN108" s="114"/>
      <c r="DO108" s="114"/>
      <c r="DP108" s="114"/>
      <c r="DQ108" s="112">
        <v>42628</v>
      </c>
      <c r="DR108" s="114" t="s">
        <v>198</v>
      </c>
      <c r="DS108" s="114"/>
      <c r="DT108" s="115">
        <v>47</v>
      </c>
      <c r="DU108" s="116">
        <f t="shared" si="43"/>
        <v>0.21875</v>
      </c>
      <c r="DV108" s="117">
        <f t="shared" si="44"/>
        <v>5.6395723999999996</v>
      </c>
      <c r="DW108" s="118">
        <f t="shared" si="45"/>
        <v>7</v>
      </c>
      <c r="DX108" s="119">
        <f t="shared" si="74"/>
        <v>3.63</v>
      </c>
      <c r="DY108" s="115">
        <f t="shared" si="46"/>
        <v>12</v>
      </c>
      <c r="DZ108" s="117">
        <f t="shared" si="47"/>
        <v>0</v>
      </c>
      <c r="EA108" s="120">
        <f t="shared" si="47"/>
        <v>0</v>
      </c>
      <c r="EB108" s="119">
        <f t="shared" si="47"/>
        <v>0</v>
      </c>
      <c r="EC108" s="121">
        <f t="shared" si="48"/>
        <v>0</v>
      </c>
      <c r="ED108" s="122"/>
      <c r="EE108" s="145">
        <v>12</v>
      </c>
      <c r="EF108" s="115">
        <v>26</v>
      </c>
      <c r="EG108" s="115">
        <v>44</v>
      </c>
      <c r="EH108" s="115">
        <v>25</v>
      </c>
      <c r="EI108" s="128" t="s">
        <v>195</v>
      </c>
      <c r="EJ108" s="121">
        <v>24</v>
      </c>
      <c r="EK108" s="121">
        <v>0</v>
      </c>
      <c r="EL108" s="162">
        <v>5.6395723999999996</v>
      </c>
      <c r="EM108" s="142">
        <v>7</v>
      </c>
      <c r="EN108" s="119">
        <v>3.63</v>
      </c>
      <c r="EO108" s="115">
        <v>24</v>
      </c>
      <c r="EP108" s="115">
        <v>2127.8208964920818</v>
      </c>
      <c r="EQ108" s="115">
        <v>78</v>
      </c>
      <c r="ER108" s="115">
        <v>12</v>
      </c>
      <c r="ES108" s="115">
        <v>45</v>
      </c>
      <c r="ET108" s="150">
        <v>0.20588235294117646</v>
      </c>
      <c r="EU108" s="145">
        <f t="shared" si="75"/>
        <v>12</v>
      </c>
      <c r="EV108" s="115">
        <f t="shared" si="76"/>
        <v>26</v>
      </c>
      <c r="EW108" s="115">
        <f t="shared" si="76"/>
        <v>44</v>
      </c>
      <c r="EX108" s="115">
        <f t="shared" si="76"/>
        <v>25</v>
      </c>
      <c r="EY108" s="115" t="str">
        <f t="shared" si="77"/>
        <v>Постоянный</v>
      </c>
      <c r="EZ108" s="115">
        <f t="shared" si="77"/>
        <v>24</v>
      </c>
      <c r="FA108" s="115">
        <f t="shared" si="77"/>
        <v>0</v>
      </c>
      <c r="FB108" s="149">
        <f t="shared" si="78"/>
        <v>5.6395723999999996</v>
      </c>
      <c r="FC108" s="142">
        <f t="shared" si="78"/>
        <v>7</v>
      </c>
      <c r="FD108" s="119">
        <f t="shared" si="78"/>
        <v>3.63</v>
      </c>
      <c r="FE108" s="121">
        <f t="shared" si="78"/>
        <v>24</v>
      </c>
      <c r="FF108" s="121">
        <f t="shared" si="49"/>
        <v>2127.8208964920818</v>
      </c>
      <c r="FG108" s="121">
        <f t="shared" si="79"/>
        <v>78</v>
      </c>
      <c r="FH108" s="121">
        <f t="shared" si="50"/>
        <v>12</v>
      </c>
      <c r="FI108" s="121">
        <f t="shared" si="54"/>
        <v>45</v>
      </c>
      <c r="FJ108" s="144">
        <f t="shared" si="80"/>
        <v>0.20588235294117646</v>
      </c>
      <c r="FK108" s="132">
        <f t="shared" si="81"/>
        <v>0</v>
      </c>
      <c r="FL108" s="115">
        <f t="shared" si="81"/>
        <v>0</v>
      </c>
      <c r="FM108" s="115">
        <f t="shared" si="81"/>
        <v>0</v>
      </c>
      <c r="FN108" s="115">
        <f t="shared" si="58"/>
        <v>0</v>
      </c>
      <c r="FO108" s="115">
        <f t="shared" si="57"/>
        <v>0</v>
      </c>
      <c r="FP108" s="115">
        <f t="shared" si="56"/>
        <v>0</v>
      </c>
      <c r="FQ108" s="149">
        <f t="shared" si="56"/>
        <v>0</v>
      </c>
      <c r="FR108" s="142">
        <f t="shared" si="56"/>
        <v>0</v>
      </c>
      <c r="FS108" s="119">
        <f t="shared" si="56"/>
        <v>0</v>
      </c>
      <c r="FT108" s="121">
        <f t="shared" si="56"/>
        <v>0</v>
      </c>
      <c r="FU108" s="121">
        <f t="shared" si="82"/>
        <v>0</v>
      </c>
      <c r="FV108" s="121">
        <f t="shared" si="82"/>
        <v>0</v>
      </c>
      <c r="FW108" s="121">
        <f t="shared" si="83"/>
        <v>0</v>
      </c>
      <c r="FX108" s="121">
        <f t="shared" si="84"/>
        <v>0</v>
      </c>
      <c r="FY108" s="144">
        <f t="shared" si="84"/>
        <v>0</v>
      </c>
      <c r="FZ108" s="145"/>
      <c r="GA108" s="151"/>
      <c r="GB108" s="145"/>
      <c r="GC108" s="151" t="s">
        <v>631</v>
      </c>
      <c r="GD108" s="997" t="s">
        <v>416</v>
      </c>
      <c r="GE108" s="1004"/>
      <c r="GF108" s="1004">
        <v>0</v>
      </c>
      <c r="GG108" s="1004"/>
      <c r="GH108" s="1004">
        <v>0</v>
      </c>
      <c r="GI108" s="145"/>
      <c r="GJ108" s="996">
        <v>-0.64452255999999952</v>
      </c>
      <c r="GK108" s="145"/>
      <c r="GL108" s="996">
        <v>0</v>
      </c>
      <c r="GM108" s="1005"/>
      <c r="GN108" s="996">
        <v>0</v>
      </c>
      <c r="GO108" s="1006"/>
      <c r="GP108" s="996">
        <v>0</v>
      </c>
      <c r="GQ108" s="1006"/>
      <c r="GR108" s="996">
        <v>0</v>
      </c>
      <c r="GS108" s="1006"/>
      <c r="GT108" s="996">
        <v>0</v>
      </c>
      <c r="GU108" s="1006"/>
      <c r="GV108" s="996">
        <v>0</v>
      </c>
      <c r="GW108" s="1006" t="s">
        <v>203</v>
      </c>
      <c r="GX108" s="996">
        <v>-0.37694404000000059</v>
      </c>
      <c r="GY108" s="1006" t="s">
        <v>146</v>
      </c>
      <c r="GZ108" s="996">
        <v>1.1230389999999995</v>
      </c>
      <c r="HA108" s="1006"/>
      <c r="HB108" s="996">
        <v>0</v>
      </c>
      <c r="HC108" s="1006" t="s">
        <v>199</v>
      </c>
      <c r="HD108" s="996">
        <v>-2.6939431200000001</v>
      </c>
      <c r="HE108" s="1006"/>
      <c r="HF108" s="996">
        <v>0</v>
      </c>
      <c r="HG108" s="1006"/>
      <c r="HH108" s="996">
        <v>0.33050424000000067</v>
      </c>
      <c r="HI108" s="1006"/>
      <c r="HJ108" s="996">
        <v>-0.30350143999999979</v>
      </c>
      <c r="HK108" s="1006"/>
      <c r="HL108" s="996">
        <v>0</v>
      </c>
      <c r="HM108" s="1006" t="s">
        <v>199</v>
      </c>
      <c r="HN108" s="996">
        <v>2.1881380399999983</v>
      </c>
      <c r="HO108" s="1006"/>
      <c r="HP108" s="996">
        <v>-1.0784399999999472E-2</v>
      </c>
      <c r="HQ108" s="1006" t="s">
        <v>199</v>
      </c>
      <c r="HR108" s="996">
        <v>-3.6224298000000008</v>
      </c>
      <c r="HS108" s="1006" t="s">
        <v>199</v>
      </c>
      <c r="HT108" s="996">
        <v>4.2269330400000014</v>
      </c>
      <c r="HU108" s="1006"/>
      <c r="HV108" s="996">
        <v>0.18815016000000018</v>
      </c>
      <c r="HW108" s="1006" t="s">
        <v>221</v>
      </c>
      <c r="HX108" s="996">
        <v>-3.2107206999999995</v>
      </c>
      <c r="HY108" s="1006" t="s">
        <v>221</v>
      </c>
      <c r="HZ108" s="996">
        <v>5.3389275719999993</v>
      </c>
      <c r="IA108" s="1006" t="s">
        <v>221</v>
      </c>
      <c r="IB108" s="996">
        <v>-5.0746888720000012</v>
      </c>
      <c r="IC108" s="1006"/>
      <c r="ID108" s="996">
        <v>0</v>
      </c>
      <c r="IE108" s="1006"/>
      <c r="IF108" s="996">
        <v>0</v>
      </c>
      <c r="IG108" s="1006"/>
      <c r="IH108" s="996">
        <v>0</v>
      </c>
      <c r="II108" s="1006"/>
      <c r="IJ108" s="996">
        <v>0</v>
      </c>
      <c r="IK108" s="1006"/>
      <c r="IL108" s="996">
        <v>0</v>
      </c>
      <c r="IM108" s="1006"/>
      <c r="IN108" s="996">
        <v>0</v>
      </c>
      <c r="IO108" s="1006"/>
      <c r="IP108" s="996">
        <v>0</v>
      </c>
      <c r="IQ108" s="1006"/>
      <c r="IR108" s="996">
        <v>0</v>
      </c>
      <c r="IS108" s="1006"/>
      <c r="IT108" s="996">
        <v>0</v>
      </c>
      <c r="IU108" s="1006"/>
      <c r="IV108" s="996">
        <v>0</v>
      </c>
      <c r="IW108" s="1006"/>
      <c r="IX108" s="996">
        <v>0</v>
      </c>
      <c r="IY108" s="1006"/>
      <c r="IZ108" s="996">
        <v>0</v>
      </c>
      <c r="JA108" s="1006"/>
      <c r="JB108" s="996">
        <v>0</v>
      </c>
      <c r="JC108" s="1006"/>
      <c r="JD108" s="996">
        <v>0</v>
      </c>
      <c r="JE108" s="1006" t="s">
        <v>223</v>
      </c>
      <c r="JF108" s="996">
        <v>-2.2296119999999995</v>
      </c>
      <c r="JG108" s="1006"/>
      <c r="JH108" s="996">
        <v>0</v>
      </c>
      <c r="JI108" s="1006" t="s">
        <v>203</v>
      </c>
      <c r="JJ108" s="996">
        <v>-1.3212979999999988</v>
      </c>
      <c r="JK108" s="1007" t="s">
        <v>204</v>
      </c>
      <c r="JL108" s="1007">
        <v>-2.8113844000000014</v>
      </c>
      <c r="JM108" s="1007"/>
      <c r="JN108" s="1007">
        <v>0</v>
      </c>
      <c r="JO108" s="1008" t="s">
        <v>25</v>
      </c>
      <c r="JP108" s="1007">
        <v>5.5152592000000009</v>
      </c>
      <c r="JQ108" s="1008" t="s">
        <v>199</v>
      </c>
      <c r="JR108" s="1007">
        <v>-4.1915367999999997</v>
      </c>
      <c r="JS108" s="1008">
        <v>0</v>
      </c>
      <c r="JT108" s="1007">
        <v>0</v>
      </c>
      <c r="JU108" s="1008" t="s">
        <v>204</v>
      </c>
      <c r="JV108" s="1007">
        <v>-14.2956</v>
      </c>
      <c r="JW108" s="1008" t="s">
        <v>197</v>
      </c>
      <c r="JX108" s="1007">
        <v>0</v>
      </c>
      <c r="JY108" s="1008"/>
      <c r="JZ108" s="1007">
        <v>0</v>
      </c>
      <c r="KA108" s="1008" t="s">
        <v>199</v>
      </c>
      <c r="KB108" s="1007">
        <v>4.2636000000000003</v>
      </c>
      <c r="KC108" s="1008"/>
      <c r="KD108" s="1007">
        <v>0</v>
      </c>
      <c r="KE108" s="1008"/>
      <c r="KF108" s="1007">
        <v>0</v>
      </c>
      <c r="KG108" s="1008"/>
      <c r="KH108" s="1007">
        <v>0</v>
      </c>
      <c r="KI108" s="1008"/>
      <c r="KJ108" s="1007">
        <v>0</v>
      </c>
      <c r="KK108" s="1008" t="s">
        <v>206</v>
      </c>
      <c r="KL108" s="1007">
        <v>7.5239999999999991</v>
      </c>
      <c r="KM108" s="1008" t="s">
        <v>207</v>
      </c>
      <c r="KN108" s="1007">
        <v>-4.3187759999999979</v>
      </c>
      <c r="KO108" s="1008" t="s">
        <v>206</v>
      </c>
      <c r="KP108" s="1007">
        <v>-6.290064000000001</v>
      </c>
      <c r="KQ108" s="1008" t="s">
        <v>207</v>
      </c>
      <c r="KR108" s="1007">
        <v>9.9316800000000001</v>
      </c>
      <c r="KS108" s="1008">
        <v>0</v>
      </c>
      <c r="KT108" s="1007">
        <v>0</v>
      </c>
      <c r="KU108" s="1008">
        <v>0</v>
      </c>
      <c r="KV108" s="1007">
        <v>0</v>
      </c>
      <c r="KW108" s="1008">
        <v>0</v>
      </c>
      <c r="KX108" s="1007">
        <v>0</v>
      </c>
      <c r="KY108" s="1008">
        <v>0</v>
      </c>
      <c r="KZ108" s="1007">
        <v>0</v>
      </c>
      <c r="LA108" s="1008" t="s">
        <v>206</v>
      </c>
      <c r="LB108" s="1007">
        <v>-1.6552800000000012</v>
      </c>
      <c r="LC108" s="1008" t="s">
        <v>199</v>
      </c>
      <c r="LD108" s="1007">
        <v>-7.4487599999999965</v>
      </c>
      <c r="LE108" s="1008">
        <v>0</v>
      </c>
      <c r="LF108" s="1007">
        <v>0</v>
      </c>
      <c r="LG108" s="1008">
        <v>0</v>
      </c>
      <c r="LH108" s="1007">
        <v>0</v>
      </c>
      <c r="LI108" s="1008" t="s">
        <v>223</v>
      </c>
      <c r="LJ108" s="1007">
        <v>-2.4829200000000036</v>
      </c>
      <c r="LK108" s="1008" t="s">
        <v>240</v>
      </c>
      <c r="LL108" s="1007">
        <v>-4.1381999999999977</v>
      </c>
      <c r="LM108" s="1008">
        <v>0</v>
      </c>
      <c r="LN108" s="1007">
        <v>-7.8625800000000003</v>
      </c>
      <c r="LO108" s="1008" t="s">
        <v>207</v>
      </c>
      <c r="LP108" s="1007">
        <v>3.7243800000000036</v>
      </c>
      <c r="LQ108" s="1008" t="s">
        <v>199</v>
      </c>
      <c r="LR108" s="1007">
        <v>23.635680000000001</v>
      </c>
      <c r="LS108" s="1008" t="s">
        <v>207</v>
      </c>
      <c r="LT108" s="1007">
        <v>-16.699935999999994</v>
      </c>
      <c r="LU108" s="1008" t="s">
        <v>206</v>
      </c>
      <c r="LV108" s="1007">
        <v>-1.45853488</v>
      </c>
      <c r="LW108" s="1008">
        <v>0</v>
      </c>
      <c r="LX108" s="1007">
        <v>0</v>
      </c>
      <c r="LY108" s="1009" t="s">
        <v>206</v>
      </c>
      <c r="LZ108" s="1010">
        <v>-7.9219581999999997</v>
      </c>
      <c r="MA108" s="1011">
        <v>0</v>
      </c>
      <c r="MB108" s="1012">
        <v>0</v>
      </c>
      <c r="MC108" s="995"/>
      <c r="MD108" s="996"/>
      <c r="ME108" s="997" t="s">
        <v>416</v>
      </c>
      <c r="MF108" s="997"/>
      <c r="MG108" s="998"/>
      <c r="MH108" s="878"/>
      <c r="MI108" s="878"/>
      <c r="MJ108" s="878"/>
      <c r="MK108" s="878"/>
      <c r="ML108" s="878"/>
      <c r="MM108" s="878"/>
      <c r="MN108" s="878"/>
      <c r="MO108" s="878"/>
      <c r="MP108" s="878"/>
      <c r="MQ108" s="878"/>
      <c r="MR108" s="878"/>
      <c r="MS108" s="878"/>
      <c r="MT108" s="878"/>
      <c r="MU108" s="878"/>
      <c r="MV108" s="878"/>
      <c r="MW108" s="878"/>
      <c r="MX108" s="878"/>
      <c r="MY108" s="878"/>
      <c r="MZ108" s="878"/>
      <c r="NA108" s="878"/>
      <c r="NB108" s="878"/>
      <c r="NC108" s="878"/>
      <c r="ND108" s="878"/>
      <c r="NE108" s="878"/>
      <c r="NF108" s="878"/>
      <c r="NG108" s="878"/>
      <c r="NH108" s="878"/>
      <c r="NI108" s="878"/>
      <c r="NJ108" s="878"/>
      <c r="NK108" s="878"/>
      <c r="NL108" s="878"/>
      <c r="NM108" s="878"/>
      <c r="NR108" s="1027"/>
      <c r="NS108" s="1027"/>
      <c r="NT108" s="1028"/>
      <c r="NU108" s="1027"/>
      <c r="NV108" s="1028"/>
      <c r="NW108" s="1029"/>
      <c r="NX108" s="1030"/>
      <c r="NY108" s="1029"/>
      <c r="NZ108" s="1028"/>
      <c r="OA108" s="1028"/>
      <c r="OB108" s="1029"/>
      <c r="OC108" s="1031"/>
      <c r="OD108" s="1031"/>
      <c r="OE108" s="1028"/>
      <c r="OF108" s="1031"/>
      <c r="OG108" s="1031"/>
      <c r="QX108" s="1000">
        <f t="shared" si="51"/>
        <v>19</v>
      </c>
      <c r="ASU108" s="1026" t="s">
        <v>208</v>
      </c>
    </row>
    <row r="109" spans="1:466 1191:1191" s="1032" customFormat="1" ht="21" customHeight="1" x14ac:dyDescent="0.25">
      <c r="A109" s="982" t="str">
        <f t="shared" si="59"/>
        <v>1021-2</v>
      </c>
      <c r="B109" s="124">
        <f>SUBTOTAL(103,$J$29:J109)</f>
        <v>81</v>
      </c>
      <c r="C109" s="126">
        <v>45068</v>
      </c>
      <c r="D109" s="124" t="s">
        <v>176</v>
      </c>
      <c r="E109" s="127" t="s">
        <v>177</v>
      </c>
      <c r="F109" s="128" t="s">
        <v>177</v>
      </c>
      <c r="G109" s="127" t="s">
        <v>178</v>
      </c>
      <c r="H109" s="127" t="s">
        <v>408</v>
      </c>
      <c r="I109" s="127" t="s">
        <v>632</v>
      </c>
      <c r="J109" s="152" t="s">
        <v>633</v>
      </c>
      <c r="K109" s="127" t="s">
        <v>634</v>
      </c>
      <c r="L109" s="130">
        <v>41636</v>
      </c>
      <c r="M109" s="127" t="s">
        <v>230</v>
      </c>
      <c r="N109" s="127" t="s">
        <v>231</v>
      </c>
      <c r="O109" s="127" t="s">
        <v>185</v>
      </c>
      <c r="P109" s="127" t="s">
        <v>186</v>
      </c>
      <c r="Q109" s="85">
        <f t="shared" si="85"/>
        <v>-4</v>
      </c>
      <c r="R109" s="130">
        <v>41618</v>
      </c>
      <c r="S109" s="128" t="s">
        <v>211</v>
      </c>
      <c r="T109" s="131" t="s">
        <v>635</v>
      </c>
      <c r="U109" s="132">
        <v>203</v>
      </c>
      <c r="V109" s="121">
        <v>218.2</v>
      </c>
      <c r="W109" s="116">
        <v>0.98</v>
      </c>
      <c r="X109" s="116">
        <v>1.66</v>
      </c>
      <c r="Y109" s="116">
        <f t="shared" ref="Y109:Y172" si="86">(W109*X109)/((CQ109/100)*W109+(1-CQ109/100)*X109)</f>
        <v>0.98140707761730661</v>
      </c>
      <c r="Z109" s="133">
        <v>1.454</v>
      </c>
      <c r="AA109" s="133">
        <v>0.83599999999999997</v>
      </c>
      <c r="AB109" s="133">
        <v>0.72</v>
      </c>
      <c r="AC109" s="121">
        <v>34.299999999999997</v>
      </c>
      <c r="AD109" s="134">
        <v>1.17</v>
      </c>
      <c r="AE109" s="124">
        <v>177.8</v>
      </c>
      <c r="AF109" s="128">
        <v>9.19</v>
      </c>
      <c r="AG109" s="128">
        <v>2215</v>
      </c>
      <c r="AH109" s="127">
        <v>2905</v>
      </c>
      <c r="AI109" s="127">
        <v>2905</v>
      </c>
      <c r="AJ109" s="135"/>
      <c r="AK109" s="128"/>
      <c r="AL109" s="131"/>
      <c r="AM109" s="124" t="s">
        <v>187</v>
      </c>
      <c r="AN109" s="136" t="s">
        <v>636</v>
      </c>
      <c r="AO109" s="137">
        <v>38</v>
      </c>
      <c r="AP109" s="128">
        <v>2342</v>
      </c>
      <c r="AQ109" s="128">
        <v>429</v>
      </c>
      <c r="AR109" s="128" t="s">
        <v>637</v>
      </c>
      <c r="AS109" s="128">
        <v>114.3</v>
      </c>
      <c r="AT109" s="122">
        <v>7.37</v>
      </c>
      <c r="AU109" s="124" t="s">
        <v>189</v>
      </c>
      <c r="AV109" s="115">
        <f>VLOOKUP(J109,'[63]ТР нефть'!$J$28:$BP$638,39,0)</f>
        <v>599.99999062500001</v>
      </c>
      <c r="AW109" s="115" t="str">
        <f>VLOOKUP(J109,'[63]ТР нефть'!$J$28:$BP$638,40,0)</f>
        <v>ГП</v>
      </c>
      <c r="AX109" s="115">
        <f>VLOOKUP(J109,'[63]ТР нефть'!$J$28:$BP$638,41,0)</f>
        <v>1199.99998125</v>
      </c>
      <c r="AY109" s="115" t="str">
        <f>VLOOKUP(J109,'[63]ТР нефть'!$J$28:$BP$638,42,0)</f>
        <v>ГК 83/2</v>
      </c>
      <c r="AZ109" s="115">
        <f>VLOOKUP(J109,'[63]ТР нефть'!$J$28:$BP$638,43,0)</f>
        <v>1880.000000391</v>
      </c>
      <c r="BA109" s="115" t="str">
        <f>VLOOKUP(J109,'[63]ТР нефть'!$J$28:$BP$638,44,0)</f>
        <v>ЦКсОК 5/16</v>
      </c>
      <c r="BB109" s="115" t="str">
        <f>VLOOKUP(J109,'[63]ТР нефть'!$J$28:$BP$638,45,0)</f>
        <v>-</v>
      </c>
      <c r="BC109" s="115" t="str">
        <f>VLOOKUP(J109,'[63]ТР нефть'!$J$28:$BP$638,46,0)</f>
        <v>-</v>
      </c>
      <c r="BD109" s="115" t="str">
        <f>VLOOKUP(J109,'[63]ТР нефть'!$J$28:$BP$638,47,0)</f>
        <v>-</v>
      </c>
      <c r="BE109" s="115" t="str">
        <f>VLOOKUP(J109,'[63]ТР нефть'!$J$28:$BP$638,48,0)</f>
        <v>-</v>
      </c>
      <c r="BF109" s="115" t="str">
        <f>VLOOKUP(J109,'[63]ТР нефть'!$J$28:$BP$638,49,0)</f>
        <v>-</v>
      </c>
      <c r="BG109" s="115" t="str">
        <f>VLOOKUP(J109,'[63]ТР нефть'!$J$28:$BP$638,50,0)</f>
        <v>-</v>
      </c>
      <c r="BH109" s="115">
        <f>VLOOKUP(J109,'[63]ТР нефть'!$J$28:$BP$638,51,0)</f>
        <v>1890</v>
      </c>
      <c r="BI109" s="115" t="str">
        <f>VLOOKUP(J109,'[63]ТР нефть'!$J$28:$BP$638,52,0)</f>
        <v>закрыт</v>
      </c>
      <c r="BJ109" s="115" t="str">
        <f>IF(IFERROR(VLOOKUP(J109,'[63]ТР нефть'!$J$28:$BP$638,53,0),"-")=0,"-",IFERROR(VLOOKUP(J109,'[63]ТР нефть'!$J$28:$BP$638,53,0),"-"))</f>
        <v>-</v>
      </c>
      <c r="BK109" s="138" t="str">
        <f>IF(IFERROR(VLOOKUP(J109,'[63]ТР нефть'!$J$28:$BP$638,54,0),"-")=0,"-",IFERROR(VLOOKUP(J109,'[63]ТР нефть'!$J$28:$BP$638,54,0),"-"))</f>
        <v>-</v>
      </c>
      <c r="BL109" s="138" t="str">
        <f>IF(IFERROR(VLOOKUP(J109,'[63]ТР нефть'!$J$28:$BP$638,55,0),"-")=0,"-",IFERROR(VLOOKUP(J109,'[63]ТР нефть'!$J$28:$BP$638,55,0),"-"))</f>
        <v>-</v>
      </c>
      <c r="BM109" s="138" t="str">
        <f>IF(IFERROR(VLOOKUP(J109,'[63]ТР нефть'!$J$28:$BP$638,56,0),"-")=0,"-",IFERROR(VLOOKUP(J109,'[63]ТР нефть'!$J$28:$BP$638,56,0),"-"))</f>
        <v>-</v>
      </c>
      <c r="BN109" s="138" t="str">
        <f>IF(IFERROR(VLOOKUP(J109,'[63]ТР нефть'!$J$28:$BP$638,57,0),"-")=0,"-",IFERROR(VLOOKUP(J109,'[63]ТР нефть'!$J$28:$BP$638,57,0),"-"))</f>
        <v>-</v>
      </c>
      <c r="BO109" s="115" t="str">
        <f>IF(IFERROR(VLOOKUP(J109,'[63]ТР нефть'!$J$28:$BP$638,58,0),"-")=0,"-",IFERROR(VLOOKUP(J109,'[63]ТР нефть'!$J$28:$BP$638,58,0),"-"))</f>
        <v>-</v>
      </c>
      <c r="BP109" s="115" t="str">
        <f>IF(IFERROR(VLOOKUP(J109,'[63]ТР нефть'!$J$28:$BP$638,59,0),"-")=0,"-",IFERROR(VLOOKUP(J109,'[63]ТР нефть'!$J$28:$BP$638,59,0),"-"))</f>
        <v>-</v>
      </c>
      <c r="BQ109" s="138">
        <v>2127</v>
      </c>
      <c r="BR109" s="128">
        <v>1854.02</v>
      </c>
      <c r="BS109" s="115">
        <f t="shared" si="60"/>
        <v>272.98</v>
      </c>
      <c r="BT109" s="128">
        <v>73</v>
      </c>
      <c r="BU109" s="128">
        <v>5.5</v>
      </c>
      <c r="BV109" s="127">
        <v>65</v>
      </c>
      <c r="BW109" s="127" t="s">
        <v>217</v>
      </c>
      <c r="BX109" s="127" t="s">
        <v>195</v>
      </c>
      <c r="BY109" s="139">
        <v>24</v>
      </c>
      <c r="BZ109" s="139">
        <v>0</v>
      </c>
      <c r="CA109" s="138">
        <v>19</v>
      </c>
      <c r="CB109" s="138">
        <v>38</v>
      </c>
      <c r="CC109" s="138">
        <v>18</v>
      </c>
      <c r="CD109" s="135">
        <v>45017</v>
      </c>
      <c r="CE109" s="138">
        <v>81.099999999999994</v>
      </c>
      <c r="CF109" s="138">
        <v>69</v>
      </c>
      <c r="CG109" s="138" t="str">
        <f t="shared" si="52"/>
        <v>В работе</v>
      </c>
      <c r="CH109" s="138" t="s">
        <v>196</v>
      </c>
      <c r="CI109" s="127">
        <v>6</v>
      </c>
      <c r="CJ109" s="138"/>
      <c r="CK109" s="138"/>
      <c r="CL109" s="99"/>
      <c r="CM109" s="99"/>
      <c r="CN109" s="140">
        <v>44</v>
      </c>
      <c r="CO109" s="159">
        <f t="shared" si="61"/>
        <v>10.6633472</v>
      </c>
      <c r="CP109" s="160">
        <v>12.8</v>
      </c>
      <c r="CQ109" s="161">
        <v>0.35</v>
      </c>
      <c r="CR109" s="173">
        <v>31</v>
      </c>
      <c r="CS109" s="176">
        <v>6</v>
      </c>
      <c r="CT109" s="138"/>
      <c r="CU109" s="138">
        <f t="shared" si="62"/>
        <v>25</v>
      </c>
      <c r="CV109" s="115">
        <f t="shared" si="63"/>
        <v>2344.4796020521585</v>
      </c>
      <c r="CW109" s="115">
        <f t="shared" si="64"/>
        <v>559.95087961563775</v>
      </c>
      <c r="CX109" s="133">
        <f t="shared" si="65"/>
        <v>0.34501347708894886</v>
      </c>
      <c r="CY109" s="116"/>
      <c r="CZ109" s="144"/>
      <c r="DA109" s="145" t="str">
        <f t="shared" si="66"/>
        <v>Газлифт</v>
      </c>
      <c r="DB109" s="146">
        <f t="shared" si="67"/>
        <v>10.6633472</v>
      </c>
      <c r="DC109" s="142">
        <f t="shared" si="68"/>
        <v>12.8</v>
      </c>
      <c r="DD109" s="119">
        <f t="shared" si="69"/>
        <v>0.35</v>
      </c>
      <c r="DE109" s="115">
        <f t="shared" si="70"/>
        <v>25</v>
      </c>
      <c r="DF109" s="121">
        <f t="shared" si="71"/>
        <v>6</v>
      </c>
      <c r="DG109" s="115">
        <f t="shared" si="72"/>
        <v>2344.4796020521585</v>
      </c>
      <c r="DH109" s="115">
        <f t="shared" si="73"/>
        <v>44</v>
      </c>
      <c r="DI109" s="147"/>
      <c r="DJ109" s="111" t="s">
        <v>197</v>
      </c>
      <c r="DK109" s="112">
        <v>41636</v>
      </c>
      <c r="DL109" s="113">
        <f t="shared" ref="DL109:DL172" ca="1" si="87">TODAY()-DK109</f>
        <v>3468</v>
      </c>
      <c r="DM109" s="114"/>
      <c r="DN109" s="114"/>
      <c r="DO109" s="114"/>
      <c r="DP109" s="114"/>
      <c r="DQ109" s="112">
        <v>43267</v>
      </c>
      <c r="DR109" s="114" t="s">
        <v>198</v>
      </c>
      <c r="DS109" s="114"/>
      <c r="DT109" s="115">
        <v>53</v>
      </c>
      <c r="DU109" s="116">
        <f t="shared" ref="DU109:DU172" si="88">DW109/(CE109-DT109)</f>
        <v>0.45551601423487559</v>
      </c>
      <c r="DV109" s="117">
        <f t="shared" ref="DV109:DV172" si="89">DW109*(1-DX109/100)*$AA109</f>
        <v>10.6633472</v>
      </c>
      <c r="DW109" s="118">
        <f t="shared" ref="DW109:DW172" si="90">IF(DT109&lt;CN109,IF(MQ109=1,CP109,(1-0.2*(DT109/CE109)-0.8*(DT109/CE109)^2)*(CP109/(1-0.2*(CN109/CE109)-0.8*(CN109/CE109)^2))),CP109)</f>
        <v>12.8</v>
      </c>
      <c r="DX109" s="119">
        <f t="shared" si="74"/>
        <v>0.35</v>
      </c>
      <c r="DY109" s="115">
        <f t="shared" ref="DY109:DY172" si="91">(CV109*DV109)/1000</f>
        <v>25</v>
      </c>
      <c r="DZ109" s="117">
        <f t="shared" ref="DZ109:EB172" si="92">DV109-CO109</f>
        <v>0</v>
      </c>
      <c r="EA109" s="120">
        <f t="shared" si="92"/>
        <v>0</v>
      </c>
      <c r="EB109" s="119">
        <f t="shared" si="92"/>
        <v>0</v>
      </c>
      <c r="EC109" s="121">
        <f t="shared" ref="EC109:EC172" si="93">DY109-CU109</f>
        <v>0</v>
      </c>
      <c r="ED109" s="122"/>
      <c r="EE109" s="145">
        <v>65</v>
      </c>
      <c r="EF109" s="115">
        <v>22</v>
      </c>
      <c r="EG109" s="115">
        <v>38</v>
      </c>
      <c r="EH109" s="115">
        <v>21</v>
      </c>
      <c r="EI109" s="128" t="s">
        <v>195</v>
      </c>
      <c r="EJ109" s="121">
        <v>24</v>
      </c>
      <c r="EK109" s="121">
        <v>0</v>
      </c>
      <c r="EL109" s="162">
        <v>9.9968880000000002</v>
      </c>
      <c r="EM109" s="142">
        <v>12</v>
      </c>
      <c r="EN109" s="119">
        <v>0.35</v>
      </c>
      <c r="EO109" s="115">
        <v>28.4</v>
      </c>
      <c r="EP109" s="115">
        <v>2000.6225937511754</v>
      </c>
      <c r="EQ109" s="115">
        <v>69</v>
      </c>
      <c r="ER109" s="115">
        <v>8.4</v>
      </c>
      <c r="ES109" s="115">
        <v>43</v>
      </c>
      <c r="ET109" s="150">
        <v>0.31496062992125989</v>
      </c>
      <c r="EU109" s="145">
        <f t="shared" si="75"/>
        <v>65</v>
      </c>
      <c r="EV109" s="115">
        <f t="shared" si="76"/>
        <v>19</v>
      </c>
      <c r="EW109" s="115">
        <f t="shared" si="76"/>
        <v>38</v>
      </c>
      <c r="EX109" s="115">
        <f t="shared" si="76"/>
        <v>18</v>
      </c>
      <c r="EY109" s="115" t="str">
        <f t="shared" si="77"/>
        <v>Постоянный</v>
      </c>
      <c r="EZ109" s="115">
        <f t="shared" si="77"/>
        <v>24</v>
      </c>
      <c r="FA109" s="115">
        <f t="shared" si="77"/>
        <v>0</v>
      </c>
      <c r="FB109" s="149">
        <f t="shared" si="78"/>
        <v>10.6633472</v>
      </c>
      <c r="FC109" s="142">
        <f t="shared" si="78"/>
        <v>12.8</v>
      </c>
      <c r="FD109" s="119">
        <f t="shared" si="78"/>
        <v>0.35</v>
      </c>
      <c r="FE109" s="121">
        <f t="shared" si="78"/>
        <v>31</v>
      </c>
      <c r="FF109" s="121">
        <f t="shared" ref="FF109:FF172" si="94">CV109</f>
        <v>2344.4796020521585</v>
      </c>
      <c r="FG109" s="121">
        <f t="shared" si="79"/>
        <v>69</v>
      </c>
      <c r="FH109" s="121">
        <f t="shared" ref="FH109:FH172" si="95">CS109</f>
        <v>6</v>
      </c>
      <c r="FI109" s="121">
        <f t="shared" si="54"/>
        <v>44</v>
      </c>
      <c r="FJ109" s="144">
        <f t="shared" si="80"/>
        <v>0.34501347708894886</v>
      </c>
      <c r="FK109" s="132">
        <f t="shared" si="81"/>
        <v>0</v>
      </c>
      <c r="FL109" s="115">
        <f t="shared" si="81"/>
        <v>-3</v>
      </c>
      <c r="FM109" s="115">
        <f t="shared" si="81"/>
        <v>0</v>
      </c>
      <c r="FN109" s="115">
        <f t="shared" si="58"/>
        <v>-3</v>
      </c>
      <c r="FO109" s="115">
        <f t="shared" si="57"/>
        <v>0</v>
      </c>
      <c r="FP109" s="115">
        <f t="shared" si="56"/>
        <v>0</v>
      </c>
      <c r="FQ109" s="149">
        <f t="shared" si="56"/>
        <v>0.66645920000000025</v>
      </c>
      <c r="FR109" s="142">
        <f t="shared" si="56"/>
        <v>0.80000000000000071</v>
      </c>
      <c r="FS109" s="119">
        <f t="shared" si="56"/>
        <v>0</v>
      </c>
      <c r="FT109" s="121">
        <f t="shared" si="56"/>
        <v>2.6000000000000014</v>
      </c>
      <c r="FU109" s="121">
        <f t="shared" si="82"/>
        <v>0</v>
      </c>
      <c r="FV109" s="121">
        <f t="shared" si="82"/>
        <v>-2.4000000000000004</v>
      </c>
      <c r="FW109" s="121">
        <f t="shared" si="83"/>
        <v>343.85700830098313</v>
      </c>
      <c r="FX109" s="121">
        <f t="shared" si="84"/>
        <v>1</v>
      </c>
      <c r="FY109" s="144">
        <f t="shared" si="84"/>
        <v>3.0052847167688967E-2</v>
      </c>
      <c r="FZ109" s="145"/>
      <c r="GA109" s="151"/>
      <c r="GB109" s="145"/>
      <c r="GC109" s="151"/>
      <c r="GD109" s="997" t="s">
        <v>416</v>
      </c>
      <c r="GE109" s="1004"/>
      <c r="GF109" s="1004">
        <v>0</v>
      </c>
      <c r="GG109" s="1004"/>
      <c r="GH109" s="1004">
        <v>-0.4217619999999993</v>
      </c>
      <c r="GI109" s="145"/>
      <c r="GJ109" s="996">
        <v>0</v>
      </c>
      <c r="GK109" s="145"/>
      <c r="GL109" s="996">
        <v>0</v>
      </c>
      <c r="GM109" s="1005"/>
      <c r="GN109" s="996">
        <v>0</v>
      </c>
      <c r="GO109" s="1006"/>
      <c r="GP109" s="996">
        <v>0</v>
      </c>
      <c r="GQ109" s="1006"/>
      <c r="GR109" s="996">
        <v>0.86683167999999888</v>
      </c>
      <c r="GS109" s="1006" t="s">
        <v>199</v>
      </c>
      <c r="GT109" s="996">
        <v>-1.2911852799999988</v>
      </c>
      <c r="GU109" s="1006"/>
      <c r="GV109" s="996">
        <v>0.83407719999999941</v>
      </c>
      <c r="GW109" s="1006"/>
      <c r="GX109" s="996">
        <v>0</v>
      </c>
      <c r="GY109" s="1006"/>
      <c r="GZ109" s="996">
        <v>0</v>
      </c>
      <c r="HA109" s="1006"/>
      <c r="HB109" s="996">
        <v>8.3407720000000296E-2</v>
      </c>
      <c r="HC109" s="1006"/>
      <c r="HD109" s="996">
        <v>-6.1613200000003587E-3</v>
      </c>
      <c r="HE109" s="1006" t="s">
        <v>199</v>
      </c>
      <c r="HF109" s="996">
        <v>8.4587892839999999</v>
      </c>
      <c r="HG109" s="1006" t="s">
        <v>199</v>
      </c>
      <c r="HH109" s="996">
        <v>-2.1637243319999993</v>
      </c>
      <c r="HI109" s="1006"/>
      <c r="HJ109" s="996">
        <v>-0.29258495200000034</v>
      </c>
      <c r="HK109" s="1006"/>
      <c r="HL109" s="996">
        <v>0</v>
      </c>
      <c r="HM109" s="1006"/>
      <c r="HN109" s="996">
        <v>-0.33440000000000047</v>
      </c>
      <c r="HO109" s="1006" t="s">
        <v>199</v>
      </c>
      <c r="HP109" s="996">
        <v>-1.914439999999999</v>
      </c>
      <c r="HQ109" s="1006" t="s">
        <v>204</v>
      </c>
      <c r="HR109" s="996">
        <v>5.5092399999999984</v>
      </c>
      <c r="HS109" s="1006" t="s">
        <v>204</v>
      </c>
      <c r="HT109" s="996">
        <v>-2.959453375999999</v>
      </c>
      <c r="HU109" s="1006"/>
      <c r="HV109" s="996">
        <v>-0.49414288000000006</v>
      </c>
      <c r="HW109" s="1006"/>
      <c r="HX109" s="996">
        <v>0</v>
      </c>
      <c r="HY109" s="1006" t="s">
        <v>204</v>
      </c>
      <c r="HZ109" s="996">
        <v>-1.382789144000002</v>
      </c>
      <c r="IA109" s="1006"/>
      <c r="IB109" s="996">
        <v>-0.8128344399999996</v>
      </c>
      <c r="IC109" s="1006"/>
      <c r="ID109" s="996">
        <v>-0.82922840000000164</v>
      </c>
      <c r="IE109" s="1006" t="s">
        <v>199</v>
      </c>
      <c r="IF109" s="996">
        <v>1.2116482400000024</v>
      </c>
      <c r="IG109" s="1006"/>
      <c r="IH109" s="996">
        <v>0</v>
      </c>
      <c r="II109" s="1006"/>
      <c r="IJ109" s="996">
        <v>0</v>
      </c>
      <c r="IK109" s="1006"/>
      <c r="IL109" s="996">
        <v>0</v>
      </c>
      <c r="IM109" s="1006" t="s">
        <v>199</v>
      </c>
      <c r="IN109" s="996">
        <v>-1.6719999999999988</v>
      </c>
      <c r="IO109" s="1006"/>
      <c r="IP109" s="996">
        <v>-0.58519999999999861</v>
      </c>
      <c r="IQ109" s="1006"/>
      <c r="IR109" s="996">
        <v>0</v>
      </c>
      <c r="IS109" s="1006" t="s">
        <v>199</v>
      </c>
      <c r="IT109" s="996">
        <v>3.3690799999999985</v>
      </c>
      <c r="IU109" s="1006"/>
      <c r="IV109" s="996">
        <v>0</v>
      </c>
      <c r="IW109" s="1006" t="s">
        <v>199</v>
      </c>
      <c r="IX109" s="996">
        <v>-4.3722799999999982</v>
      </c>
      <c r="IY109" s="1006"/>
      <c r="IZ109" s="996">
        <v>0</v>
      </c>
      <c r="JA109" s="1006"/>
      <c r="JB109" s="996">
        <v>0</v>
      </c>
      <c r="JC109" s="1006"/>
      <c r="JD109" s="996">
        <v>0</v>
      </c>
      <c r="JE109" s="1006"/>
      <c r="JF109" s="996">
        <v>0</v>
      </c>
      <c r="JG109" s="1006"/>
      <c r="JH109" s="996">
        <v>0</v>
      </c>
      <c r="JI109" s="1006"/>
      <c r="JJ109" s="996">
        <v>0</v>
      </c>
      <c r="JK109" s="1007"/>
      <c r="JL109" s="1007">
        <v>0</v>
      </c>
      <c r="JM109" s="1007"/>
      <c r="JN109" s="1007">
        <v>0</v>
      </c>
      <c r="JO109" s="1008"/>
      <c r="JP109" s="1007">
        <v>0</v>
      </c>
      <c r="JQ109" s="1008" t="s">
        <v>204</v>
      </c>
      <c r="JR109" s="1007">
        <v>-1.7517544000000029</v>
      </c>
      <c r="JS109" s="1008">
        <v>0</v>
      </c>
      <c r="JT109" s="1007">
        <v>0</v>
      </c>
      <c r="JU109" s="1008"/>
      <c r="JV109" s="1007">
        <v>-3.8455999999982282E-3</v>
      </c>
      <c r="JW109" s="1008" t="s">
        <v>197</v>
      </c>
      <c r="JX109" s="1007">
        <v>0</v>
      </c>
      <c r="JY109" s="1008" t="s">
        <v>240</v>
      </c>
      <c r="JZ109" s="1007">
        <v>-1.6720000000000006</v>
      </c>
      <c r="KA109" s="1008"/>
      <c r="KB109" s="1007">
        <v>0</v>
      </c>
      <c r="KC109" s="1008"/>
      <c r="KD109" s="1007">
        <v>0</v>
      </c>
      <c r="KE109" s="1008"/>
      <c r="KF109" s="1007">
        <v>0</v>
      </c>
      <c r="KG109" s="1008"/>
      <c r="KH109" s="1007">
        <v>0</v>
      </c>
      <c r="KI109" s="1008" t="s">
        <v>206</v>
      </c>
      <c r="KJ109" s="1007">
        <v>0.66880000000000095</v>
      </c>
      <c r="KK109" s="1008"/>
      <c r="KL109" s="1007">
        <v>0</v>
      </c>
      <c r="KM109" s="1008" t="s">
        <v>206</v>
      </c>
      <c r="KN109" s="1007">
        <v>-2.1125720000000001</v>
      </c>
      <c r="KO109" s="1008"/>
      <c r="KP109" s="1007">
        <v>0</v>
      </c>
      <c r="KQ109" s="1008">
        <v>0</v>
      </c>
      <c r="KR109" s="1007">
        <v>0</v>
      </c>
      <c r="KS109" s="1008" t="s">
        <v>25</v>
      </c>
      <c r="KT109" s="1007">
        <v>1.4437719999999992</v>
      </c>
      <c r="KU109" s="1008">
        <v>0</v>
      </c>
      <c r="KV109" s="1007">
        <v>0</v>
      </c>
      <c r="KW109" s="1008">
        <v>0</v>
      </c>
      <c r="KX109" s="1007">
        <v>0</v>
      </c>
      <c r="KY109" s="1008">
        <v>0</v>
      </c>
      <c r="KZ109" s="1007">
        <v>0</v>
      </c>
      <c r="LA109" s="1008">
        <v>0</v>
      </c>
      <c r="LB109" s="1007">
        <v>0</v>
      </c>
      <c r="LC109" s="1008">
        <v>0</v>
      </c>
      <c r="LD109" s="1007">
        <v>0</v>
      </c>
      <c r="LE109" s="1008">
        <v>0</v>
      </c>
      <c r="LF109" s="1007">
        <v>0</v>
      </c>
      <c r="LG109" s="1008" t="s">
        <v>223</v>
      </c>
      <c r="LH109" s="1007">
        <v>-1.8224799999999988</v>
      </c>
      <c r="LI109" s="1008">
        <v>0</v>
      </c>
      <c r="LJ109" s="1007">
        <v>0</v>
      </c>
      <c r="LK109" s="1008">
        <v>0</v>
      </c>
      <c r="LL109" s="1007">
        <v>0</v>
      </c>
      <c r="LM109" s="1008" t="s">
        <v>206</v>
      </c>
      <c r="LN109" s="1007">
        <v>-8.36</v>
      </c>
      <c r="LO109" s="1008">
        <v>0</v>
      </c>
      <c r="LP109" s="1007">
        <v>0</v>
      </c>
      <c r="LQ109" s="1008" t="s">
        <v>206</v>
      </c>
      <c r="LR109" s="1007">
        <v>6.3837999999999999</v>
      </c>
      <c r="LS109" s="1008">
        <v>0</v>
      </c>
      <c r="LT109" s="1007">
        <v>0</v>
      </c>
      <c r="LU109" s="1008" t="s">
        <v>206</v>
      </c>
      <c r="LV109" s="1007">
        <v>2.4886884000000045</v>
      </c>
      <c r="LW109" s="1008" t="s">
        <v>206</v>
      </c>
      <c r="LX109" s="1007">
        <v>2.5139559999999999</v>
      </c>
      <c r="LY109" s="1009">
        <v>0</v>
      </c>
      <c r="LZ109" s="1010">
        <v>0</v>
      </c>
      <c r="MA109" s="1011" t="s">
        <v>223</v>
      </c>
      <c r="MB109" s="1012">
        <v>-6.8688756</v>
      </c>
      <c r="MC109" s="995"/>
      <c r="MD109" s="996"/>
      <c r="ME109" s="997" t="s">
        <v>416</v>
      </c>
      <c r="MF109" s="997"/>
      <c r="MG109" s="998"/>
      <c r="MH109" s="878"/>
      <c r="MI109" s="878"/>
      <c r="MJ109" s="878"/>
      <c r="MK109" s="878"/>
      <c r="ML109" s="878"/>
      <c r="MM109" s="878"/>
      <c r="MN109" s="878"/>
      <c r="MO109" s="878"/>
      <c r="MP109" s="878"/>
      <c r="MQ109" s="878"/>
      <c r="MR109" s="878"/>
      <c r="MS109" s="878"/>
      <c r="MT109" s="878"/>
      <c r="MU109" s="878"/>
      <c r="MV109" s="878"/>
      <c r="MW109" s="878"/>
      <c r="MX109" s="878"/>
      <c r="MY109" s="878"/>
      <c r="MZ109" s="878"/>
      <c r="NA109" s="878"/>
      <c r="NB109" s="878"/>
      <c r="NC109" s="878"/>
      <c r="ND109" s="878"/>
      <c r="NE109" s="878"/>
      <c r="NF109" s="878"/>
      <c r="NG109" s="878"/>
      <c r="NH109" s="878"/>
      <c r="NI109" s="878"/>
      <c r="NJ109" s="878"/>
      <c r="NK109" s="878"/>
      <c r="NL109" s="878"/>
      <c r="NM109" s="878"/>
      <c r="NR109" s="1027"/>
      <c r="NS109" s="1027"/>
      <c r="NT109" s="1028"/>
      <c r="NU109" s="1027"/>
      <c r="NV109" s="1028"/>
      <c r="NW109" s="1029"/>
      <c r="NX109" s="1030"/>
      <c r="NY109" s="1029"/>
      <c r="NZ109" s="1028"/>
      <c r="OA109" s="1028"/>
      <c r="OB109" s="1029"/>
      <c r="OC109" s="1031"/>
      <c r="OD109" s="1031"/>
      <c r="OE109" s="1028"/>
      <c r="OF109" s="1031"/>
      <c r="OG109" s="1031"/>
      <c r="QX109" s="1000">
        <f t="shared" si="51"/>
        <v>25</v>
      </c>
      <c r="ASU109" s="1032" t="s">
        <v>208</v>
      </c>
    </row>
    <row r="110" spans="1:466 1191:1191" ht="21" customHeight="1" x14ac:dyDescent="0.25">
      <c r="A110" s="982" t="str">
        <f t="shared" si="59"/>
        <v>1021-1</v>
      </c>
      <c r="B110" s="124">
        <f>SUBTOTAL(103,$J$29:J110)</f>
        <v>82</v>
      </c>
      <c r="C110" s="126">
        <v>45068</v>
      </c>
      <c r="D110" s="124" t="s">
        <v>176</v>
      </c>
      <c r="E110" s="127" t="s">
        <v>177</v>
      </c>
      <c r="F110" s="128" t="s">
        <v>177</v>
      </c>
      <c r="G110" s="127" t="s">
        <v>178</v>
      </c>
      <c r="H110" s="127" t="s">
        <v>408</v>
      </c>
      <c r="I110" s="127" t="s">
        <v>538</v>
      </c>
      <c r="J110" s="152" t="s">
        <v>638</v>
      </c>
      <c r="K110" s="127" t="s">
        <v>639</v>
      </c>
      <c r="L110" s="130">
        <v>41415</v>
      </c>
      <c r="M110" s="127" t="s">
        <v>230</v>
      </c>
      <c r="N110" s="127" t="s">
        <v>231</v>
      </c>
      <c r="O110" s="127" t="s">
        <v>185</v>
      </c>
      <c r="P110" s="127" t="s">
        <v>292</v>
      </c>
      <c r="Q110" s="85" t="str">
        <f t="shared" si="85"/>
        <v/>
      </c>
      <c r="R110" s="130"/>
      <c r="S110" s="128"/>
      <c r="T110" s="131"/>
      <c r="U110" s="132">
        <v>203</v>
      </c>
      <c r="V110" s="121">
        <v>218.2</v>
      </c>
      <c r="W110" s="116">
        <v>0.98</v>
      </c>
      <c r="X110" s="116">
        <v>1.66</v>
      </c>
      <c r="Y110" s="116">
        <f t="shared" si="86"/>
        <v>0.99305811599758742</v>
      </c>
      <c r="Z110" s="133">
        <v>1.454</v>
      </c>
      <c r="AA110" s="133">
        <v>0.83599999999999997</v>
      </c>
      <c r="AB110" s="133">
        <v>0.72</v>
      </c>
      <c r="AC110" s="121">
        <v>34.299999999999997</v>
      </c>
      <c r="AD110" s="134">
        <v>1.17</v>
      </c>
      <c r="AE110" s="124" t="s">
        <v>518</v>
      </c>
      <c r="AF110" s="128">
        <v>9.19</v>
      </c>
      <c r="AG110" s="128">
        <v>2134</v>
      </c>
      <c r="AH110" s="127">
        <v>2648</v>
      </c>
      <c r="AI110" s="127">
        <v>2648</v>
      </c>
      <c r="AJ110" s="135"/>
      <c r="AK110" s="128"/>
      <c r="AL110" s="131"/>
      <c r="AM110" s="124" t="s">
        <v>232</v>
      </c>
      <c r="AN110" s="136" t="s">
        <v>640</v>
      </c>
      <c r="AO110" s="137">
        <v>10.16</v>
      </c>
      <c r="AP110" s="128">
        <v>2030</v>
      </c>
      <c r="AQ110" s="128">
        <v>174</v>
      </c>
      <c r="AR110" s="128"/>
      <c r="AS110" s="128"/>
      <c r="AT110" s="122"/>
      <c r="AU110" s="124" t="s">
        <v>189</v>
      </c>
      <c r="AV110" s="115">
        <f>VLOOKUP(J110,'[63]ТР нефть'!$J$28:$BP$638,39,0)</f>
        <v>529.99998427699995</v>
      </c>
      <c r="AW110" s="115" t="str">
        <f>VLOOKUP(J110,'[63]ТР нефть'!$J$28:$BP$638,40,0)</f>
        <v>ГП</v>
      </c>
      <c r="AX110" s="115">
        <f>VLOOKUP(J110,'[63]ТР нефть'!$J$28:$BP$638,41,0)</f>
        <v>899.99998593800001</v>
      </c>
      <c r="AY110" s="115" t="str">
        <f>VLOOKUP(J110,'[63]ТР нефть'!$J$28:$BP$638,42,0)</f>
        <v>ГП</v>
      </c>
      <c r="AZ110" s="115">
        <f>VLOOKUP(J110,'[63]ТР нефть'!$J$28:$BP$638,43,0)</f>
        <v>1299.9999796879999</v>
      </c>
      <c r="BA110" s="115" t="str">
        <f>VLOOKUP(J110,'[63]ТР нефть'!$J$28:$BP$638,44,0)</f>
        <v>ГК 81 5/32</v>
      </c>
      <c r="BB110" s="115">
        <f>VLOOKUP(J110,'[63]ТР нефть'!$J$28:$BP$638,45,0)</f>
        <v>1630.000004297</v>
      </c>
      <c r="BC110" s="115" t="str">
        <f>VLOOKUP(J110,'[63]ТР нефть'!$J$28:$BP$638,46,0)</f>
        <v>ЦКсОК 5/16</v>
      </c>
      <c r="BD110" s="115" t="str">
        <f>VLOOKUP(J110,'[63]ТР нефть'!$J$28:$BP$638,47,0)</f>
        <v>-</v>
      </c>
      <c r="BE110" s="115" t="str">
        <f>VLOOKUP(J110,'[63]ТР нефть'!$J$28:$BP$638,48,0)</f>
        <v>-</v>
      </c>
      <c r="BF110" s="115" t="str">
        <f>VLOOKUP(J110,'[63]ТР нефть'!$J$28:$BP$638,49,0)</f>
        <v>-</v>
      </c>
      <c r="BG110" s="115" t="str">
        <f>VLOOKUP(J110,'[63]ТР нефть'!$J$28:$BP$638,50,0)</f>
        <v>-</v>
      </c>
      <c r="BH110" s="115">
        <f>VLOOKUP(J110,'[63]ТР нефть'!$J$28:$BP$638,51,0)</f>
        <v>1640</v>
      </c>
      <c r="BI110" s="115" t="str">
        <f>VLOOKUP(J110,'[63]ТР нефть'!$J$28:$BP$638,52,0)</f>
        <v>открыт</v>
      </c>
      <c r="BJ110" s="115" t="str">
        <f>IF(IFERROR(VLOOKUP(J110,'[63]ТР нефть'!$J$28:$BP$638,53,0),"-")=0,"-",IFERROR(VLOOKUP(J110,'[63]ТР нефть'!$J$28:$BP$638,53,0),"-"))</f>
        <v>-</v>
      </c>
      <c r="BK110" s="138" t="str">
        <f>IF(IFERROR(VLOOKUP(J110,'[63]ТР нефть'!$J$28:$BP$638,54,0),"-")=0,"-",IFERROR(VLOOKUP(J110,'[63]ТР нефть'!$J$28:$BP$638,54,0),"-"))</f>
        <v>-</v>
      </c>
      <c r="BL110" s="138" t="str">
        <f>IF(IFERROR(VLOOKUP(J110,'[63]ТР нефть'!$J$28:$BP$638,55,0),"-")=0,"-",IFERROR(VLOOKUP(J110,'[63]ТР нефть'!$J$28:$BP$638,55,0),"-"))</f>
        <v>-</v>
      </c>
      <c r="BM110" s="138" t="str">
        <f>IF(IFERROR(VLOOKUP(J110,'[63]ТР нефть'!$J$28:$BP$638,56,0),"-")=0,"-",IFERROR(VLOOKUP(J110,'[63]ТР нефть'!$J$28:$BP$638,56,0),"-"))</f>
        <v>-</v>
      </c>
      <c r="BN110" s="138" t="str">
        <f>IF(IFERROR(VLOOKUP(J110,'[63]ТР нефть'!$J$28:$BP$638,57,0),"-")=0,"-",IFERROR(VLOOKUP(J110,'[63]ТР нефть'!$J$28:$BP$638,57,0),"-"))</f>
        <v>-</v>
      </c>
      <c r="BO110" s="115" t="str">
        <f>IF(IFERROR(VLOOKUP(J110,'[63]ТР нефть'!$J$28:$BP$638,58,0),"-")=0,"-",IFERROR(VLOOKUP(J110,'[63]ТР нефть'!$J$28:$BP$638,58,0),"-"))</f>
        <v>-</v>
      </c>
      <c r="BP110" s="115" t="str">
        <f>IF(IFERROR(VLOOKUP(J110,'[63]ТР нефть'!$J$28:$BP$638,59,0),"-")=0,"-",IFERROR(VLOOKUP(J110,'[63]ТР нефть'!$J$28:$BP$638,59,0),"-"))</f>
        <v>-</v>
      </c>
      <c r="BQ110" s="138">
        <v>1680</v>
      </c>
      <c r="BR110" s="128">
        <v>1596.5</v>
      </c>
      <c r="BS110" s="115">
        <f t="shared" si="60"/>
        <v>83.5</v>
      </c>
      <c r="BT110" s="128">
        <v>73</v>
      </c>
      <c r="BU110" s="128">
        <v>5.5</v>
      </c>
      <c r="BV110" s="127">
        <v>18</v>
      </c>
      <c r="BW110" s="127" t="s">
        <v>217</v>
      </c>
      <c r="BX110" s="127" t="s">
        <v>195</v>
      </c>
      <c r="BY110" s="139">
        <v>24</v>
      </c>
      <c r="BZ110" s="139">
        <v>0</v>
      </c>
      <c r="CA110" s="115">
        <v>22</v>
      </c>
      <c r="CB110" s="115">
        <v>45</v>
      </c>
      <c r="CC110" s="115">
        <v>21</v>
      </c>
      <c r="CD110" s="135">
        <v>45017</v>
      </c>
      <c r="CE110" s="138">
        <v>89</v>
      </c>
      <c r="CF110" s="115">
        <v>76</v>
      </c>
      <c r="CG110" s="138" t="str">
        <f t="shared" si="52"/>
        <v>В работе</v>
      </c>
      <c r="CH110" s="138" t="s">
        <v>196</v>
      </c>
      <c r="CI110" s="127">
        <v>6</v>
      </c>
      <c r="CJ110" s="138"/>
      <c r="CK110" s="138"/>
      <c r="CL110" s="99"/>
      <c r="CM110" s="99"/>
      <c r="CN110" s="140">
        <v>46</v>
      </c>
      <c r="CO110" s="159">
        <f t="shared" si="61"/>
        <v>9.2244741599999998</v>
      </c>
      <c r="CP110" s="160">
        <v>11.4</v>
      </c>
      <c r="CQ110" s="161">
        <v>3.21</v>
      </c>
      <c r="CR110" s="115">
        <v>14.5</v>
      </c>
      <c r="CS110" s="115">
        <v>9.5</v>
      </c>
      <c r="CT110" s="138"/>
      <c r="CU110" s="138">
        <f t="shared" si="62"/>
        <v>5</v>
      </c>
      <c r="CV110" s="115">
        <f t="shared" si="63"/>
        <v>542.03631700562971</v>
      </c>
      <c r="CW110" s="115">
        <f t="shared" si="64"/>
        <v>984.63628677744543</v>
      </c>
      <c r="CX110" s="133">
        <f t="shared" si="65"/>
        <v>0.26511627906976742</v>
      </c>
      <c r="CY110" s="116"/>
      <c r="CZ110" s="131"/>
      <c r="DA110" s="145" t="str">
        <f t="shared" si="66"/>
        <v>Газлифт</v>
      </c>
      <c r="DB110" s="146">
        <f t="shared" si="67"/>
        <v>9.2244741599999998</v>
      </c>
      <c r="DC110" s="142">
        <f t="shared" si="68"/>
        <v>11.4</v>
      </c>
      <c r="DD110" s="119">
        <f t="shared" si="69"/>
        <v>3.21</v>
      </c>
      <c r="DE110" s="115">
        <f t="shared" si="70"/>
        <v>5</v>
      </c>
      <c r="DF110" s="121">
        <f t="shared" si="71"/>
        <v>9.5</v>
      </c>
      <c r="DG110" s="115">
        <f t="shared" si="72"/>
        <v>542.03631700562971</v>
      </c>
      <c r="DH110" s="115">
        <f t="shared" si="73"/>
        <v>46</v>
      </c>
      <c r="DI110" s="147"/>
      <c r="DJ110" s="111" t="s">
        <v>197</v>
      </c>
      <c r="DK110" s="112">
        <v>41640</v>
      </c>
      <c r="DL110" s="113">
        <f t="shared" ca="1" si="87"/>
        <v>3464</v>
      </c>
      <c r="DM110" s="114"/>
      <c r="DN110" s="114"/>
      <c r="DO110" s="114"/>
      <c r="DP110" s="114"/>
      <c r="DQ110" s="112">
        <v>42021</v>
      </c>
      <c r="DR110" s="114" t="s">
        <v>282</v>
      </c>
      <c r="DS110" s="114"/>
      <c r="DT110" s="115">
        <v>70</v>
      </c>
      <c r="DU110" s="116">
        <f t="shared" si="88"/>
        <v>0.6</v>
      </c>
      <c r="DV110" s="117">
        <f t="shared" si="89"/>
        <v>9.2244741599999998</v>
      </c>
      <c r="DW110" s="118">
        <f t="shared" si="90"/>
        <v>11.4</v>
      </c>
      <c r="DX110" s="119">
        <f t="shared" si="74"/>
        <v>3.21</v>
      </c>
      <c r="DY110" s="115">
        <f t="shared" si="91"/>
        <v>5</v>
      </c>
      <c r="DZ110" s="117">
        <f t="shared" si="92"/>
        <v>0</v>
      </c>
      <c r="EA110" s="120">
        <f t="shared" si="92"/>
        <v>0</v>
      </c>
      <c r="EB110" s="119">
        <f t="shared" si="92"/>
        <v>0</v>
      </c>
      <c r="EC110" s="121">
        <f t="shared" si="93"/>
        <v>0</v>
      </c>
      <c r="ED110" s="122"/>
      <c r="EE110" s="145">
        <v>18</v>
      </c>
      <c r="EF110" s="115">
        <v>22</v>
      </c>
      <c r="EG110" s="115">
        <v>45</v>
      </c>
      <c r="EH110" s="115">
        <v>21</v>
      </c>
      <c r="EI110" s="128" t="s">
        <v>195</v>
      </c>
      <c r="EJ110" s="121">
        <v>24</v>
      </c>
      <c r="EK110" s="121">
        <v>0</v>
      </c>
      <c r="EL110" s="162">
        <v>9.2244741599999998</v>
      </c>
      <c r="EM110" s="142">
        <v>11.4</v>
      </c>
      <c r="EN110" s="119">
        <v>3.21</v>
      </c>
      <c r="EO110" s="115">
        <v>14.5</v>
      </c>
      <c r="EP110" s="115">
        <v>542.03631700562971</v>
      </c>
      <c r="EQ110" s="115">
        <v>76</v>
      </c>
      <c r="ER110" s="115">
        <v>9.5</v>
      </c>
      <c r="ES110" s="115">
        <v>46</v>
      </c>
      <c r="ET110" s="150">
        <v>0.26511627906976742</v>
      </c>
      <c r="EU110" s="145">
        <f t="shared" si="75"/>
        <v>18</v>
      </c>
      <c r="EV110" s="115">
        <f t="shared" si="76"/>
        <v>22</v>
      </c>
      <c r="EW110" s="115">
        <f t="shared" si="76"/>
        <v>45</v>
      </c>
      <c r="EX110" s="115">
        <f t="shared" si="76"/>
        <v>21</v>
      </c>
      <c r="EY110" s="115" t="str">
        <f t="shared" si="77"/>
        <v>Постоянный</v>
      </c>
      <c r="EZ110" s="115">
        <f t="shared" si="77"/>
        <v>24</v>
      </c>
      <c r="FA110" s="115">
        <f t="shared" si="77"/>
        <v>0</v>
      </c>
      <c r="FB110" s="149">
        <f t="shared" si="78"/>
        <v>9.2244741599999998</v>
      </c>
      <c r="FC110" s="142">
        <f t="shared" si="78"/>
        <v>11.4</v>
      </c>
      <c r="FD110" s="119">
        <f t="shared" si="78"/>
        <v>3.21</v>
      </c>
      <c r="FE110" s="121">
        <f t="shared" si="78"/>
        <v>14.5</v>
      </c>
      <c r="FF110" s="121">
        <f t="shared" si="94"/>
        <v>542.03631700562971</v>
      </c>
      <c r="FG110" s="121">
        <f t="shared" si="79"/>
        <v>76</v>
      </c>
      <c r="FH110" s="121">
        <f t="shared" si="95"/>
        <v>9.5</v>
      </c>
      <c r="FI110" s="121">
        <f t="shared" si="54"/>
        <v>46</v>
      </c>
      <c r="FJ110" s="144">
        <f t="shared" si="80"/>
        <v>0.26511627906976742</v>
      </c>
      <c r="FK110" s="132">
        <f t="shared" si="81"/>
        <v>0</v>
      </c>
      <c r="FL110" s="115">
        <f t="shared" si="81"/>
        <v>0</v>
      </c>
      <c r="FM110" s="115">
        <f t="shared" si="81"/>
        <v>0</v>
      </c>
      <c r="FN110" s="115">
        <f t="shared" si="58"/>
        <v>0</v>
      </c>
      <c r="FO110" s="115">
        <f t="shared" si="57"/>
        <v>0</v>
      </c>
      <c r="FP110" s="115">
        <f t="shared" si="56"/>
        <v>0</v>
      </c>
      <c r="FQ110" s="149">
        <f t="shared" si="56"/>
        <v>0</v>
      </c>
      <c r="FR110" s="142">
        <f t="shared" si="56"/>
        <v>0</v>
      </c>
      <c r="FS110" s="119">
        <f t="shared" si="56"/>
        <v>0</v>
      </c>
      <c r="FT110" s="121">
        <f t="shared" si="56"/>
        <v>0</v>
      </c>
      <c r="FU110" s="121">
        <f t="shared" si="82"/>
        <v>0</v>
      </c>
      <c r="FV110" s="121">
        <f t="shared" si="82"/>
        <v>0</v>
      </c>
      <c r="FW110" s="121">
        <f t="shared" si="83"/>
        <v>0</v>
      </c>
      <c r="FX110" s="121">
        <f t="shared" si="84"/>
        <v>0</v>
      </c>
      <c r="FY110" s="144">
        <f t="shared" si="84"/>
        <v>0</v>
      </c>
      <c r="FZ110" s="145"/>
      <c r="GA110" s="151" t="s">
        <v>641</v>
      </c>
      <c r="GB110" s="145"/>
      <c r="GC110" s="151" t="s">
        <v>642</v>
      </c>
      <c r="GD110" s="997" t="s">
        <v>416</v>
      </c>
      <c r="GE110" s="1004"/>
      <c r="GF110" s="1004">
        <v>0</v>
      </c>
      <c r="GG110" s="1004"/>
      <c r="GH110" s="1004">
        <v>0</v>
      </c>
      <c r="GI110" s="145" t="s">
        <v>223</v>
      </c>
      <c r="GJ110" s="996">
        <v>-1.755886748</v>
      </c>
      <c r="GK110" s="145" t="s">
        <v>207</v>
      </c>
      <c r="GL110" s="996">
        <v>1.5028328919999989</v>
      </c>
      <c r="GM110" s="1005"/>
      <c r="GN110" s="996">
        <v>0</v>
      </c>
      <c r="GO110" s="1006" t="s">
        <v>199</v>
      </c>
      <c r="GP110" s="996">
        <v>3.2514180160000015</v>
      </c>
      <c r="GQ110" s="1006"/>
      <c r="GR110" s="996">
        <v>0</v>
      </c>
      <c r="GS110" s="1006"/>
      <c r="GT110" s="996">
        <v>0</v>
      </c>
      <c r="GU110" s="1006" t="s">
        <v>204</v>
      </c>
      <c r="GV110" s="996">
        <v>-1.9457900000000015</v>
      </c>
      <c r="GW110" s="1006" t="s">
        <v>199</v>
      </c>
      <c r="GX110" s="996">
        <v>1.8193491800000015</v>
      </c>
      <c r="GY110" s="1006" t="s">
        <v>203</v>
      </c>
      <c r="GZ110" s="996">
        <v>-4.047449180000001</v>
      </c>
      <c r="HA110" s="1006"/>
      <c r="HB110" s="996">
        <v>-0.71883878000000045</v>
      </c>
      <c r="HC110" s="1006" t="s">
        <v>308</v>
      </c>
      <c r="HD110" s="996">
        <v>1.9768239919999999</v>
      </c>
      <c r="HE110" s="1006"/>
      <c r="HF110" s="996">
        <v>0</v>
      </c>
      <c r="HG110" s="1006"/>
      <c r="HH110" s="996">
        <v>0</v>
      </c>
      <c r="HI110" s="1006"/>
      <c r="HJ110" s="996">
        <v>0</v>
      </c>
      <c r="HK110" s="1006"/>
      <c r="HL110" s="996">
        <v>0</v>
      </c>
      <c r="HM110" s="1006" t="s">
        <v>308</v>
      </c>
      <c r="HN110" s="996">
        <v>2.6219702080000014</v>
      </c>
      <c r="HO110" s="1006"/>
      <c r="HP110" s="996">
        <v>0</v>
      </c>
      <c r="HQ110" s="1006"/>
      <c r="HR110" s="996">
        <v>0</v>
      </c>
      <c r="HS110" s="1006" t="s">
        <v>643</v>
      </c>
      <c r="HT110" s="996">
        <v>0</v>
      </c>
      <c r="HU110" s="1006"/>
      <c r="HV110" s="996">
        <v>0.11092883999999881</v>
      </c>
      <c r="HW110" s="1006"/>
      <c r="HX110" s="996">
        <v>0</v>
      </c>
      <c r="HY110" s="1006" t="s">
        <v>204</v>
      </c>
      <c r="HZ110" s="996">
        <v>-1.2226291000000007</v>
      </c>
      <c r="IA110" s="1006" t="s">
        <v>199</v>
      </c>
      <c r="IB110" s="996">
        <v>-6.5897040396000008</v>
      </c>
      <c r="IC110" s="1006" t="s">
        <v>221</v>
      </c>
      <c r="ID110" s="996">
        <v>-1.1070417335999991</v>
      </c>
      <c r="IE110" s="1006" t="s">
        <v>199</v>
      </c>
      <c r="IF110" s="996">
        <v>4.6978256731999988</v>
      </c>
      <c r="IG110" s="1006"/>
      <c r="IH110" s="996">
        <v>0</v>
      </c>
      <c r="II110" s="1006"/>
      <c r="IJ110" s="996">
        <v>3.4694000000001779E-2</v>
      </c>
      <c r="IK110" s="1006" t="s">
        <v>204</v>
      </c>
      <c r="IL110" s="996">
        <v>-3.892415999999999</v>
      </c>
      <c r="IM110" s="1006"/>
      <c r="IN110" s="996">
        <v>0</v>
      </c>
      <c r="IO110" s="1006" t="s">
        <v>204</v>
      </c>
      <c r="IP110" s="996">
        <v>-1.6574535999999984</v>
      </c>
      <c r="IQ110" s="1006"/>
      <c r="IR110" s="996">
        <v>0.73300479999999979</v>
      </c>
      <c r="IS110" s="1006" t="s">
        <v>204</v>
      </c>
      <c r="IT110" s="996">
        <v>1.9594167999999978</v>
      </c>
      <c r="IU110" s="1006"/>
      <c r="IV110" s="996">
        <v>0</v>
      </c>
      <c r="IW110" s="1006" t="s">
        <v>204</v>
      </c>
      <c r="IX110" s="996">
        <v>-1.2221065999999983</v>
      </c>
      <c r="IY110" s="1006"/>
      <c r="IZ110" s="996">
        <v>0</v>
      </c>
      <c r="JA110" s="1006"/>
      <c r="JB110" s="996">
        <v>0</v>
      </c>
      <c r="JC110" s="1006"/>
      <c r="JD110" s="996">
        <v>0</v>
      </c>
      <c r="JE110" s="1006"/>
      <c r="JF110" s="996">
        <v>0</v>
      </c>
      <c r="JG110" s="1006"/>
      <c r="JH110" s="996">
        <v>0</v>
      </c>
      <c r="JI110" s="1006"/>
      <c r="JJ110" s="996">
        <v>0</v>
      </c>
      <c r="JK110" s="1007"/>
      <c r="JL110" s="1007">
        <v>0</v>
      </c>
      <c r="JM110" s="1007"/>
      <c r="JN110" s="1007">
        <v>0</v>
      </c>
      <c r="JO110" s="1008"/>
      <c r="JP110" s="1007">
        <v>0</v>
      </c>
      <c r="JQ110" s="1008" t="s">
        <v>223</v>
      </c>
      <c r="JR110" s="1007">
        <v>-1.6069174000000004</v>
      </c>
      <c r="JS110" s="1008" t="s">
        <v>644</v>
      </c>
      <c r="JT110" s="1007">
        <v>-12.536238000000001</v>
      </c>
      <c r="JU110" s="1008"/>
      <c r="JV110" s="1007">
        <v>0</v>
      </c>
      <c r="JW110" s="1008" t="s">
        <v>197</v>
      </c>
      <c r="JX110" s="1007">
        <v>0</v>
      </c>
      <c r="JY110" s="1008"/>
      <c r="JZ110" s="1007">
        <v>0</v>
      </c>
      <c r="KA110" s="1008"/>
      <c r="KB110" s="1007">
        <v>0</v>
      </c>
      <c r="KC110" s="1008"/>
      <c r="KD110" s="1007">
        <v>0</v>
      </c>
      <c r="KE110" s="1008" t="s">
        <v>199</v>
      </c>
      <c r="KF110" s="1007">
        <v>5.0144951999999989</v>
      </c>
      <c r="KG110" s="1008"/>
      <c r="KH110" s="1007">
        <v>0</v>
      </c>
      <c r="KI110" s="1008"/>
      <c r="KJ110" s="1007">
        <v>0</v>
      </c>
      <c r="KK110" s="1008"/>
      <c r="KL110" s="1007">
        <v>-0.83574919999999864</v>
      </c>
      <c r="KM110" s="1008"/>
      <c r="KN110" s="1007">
        <v>0</v>
      </c>
      <c r="KO110" s="1008"/>
      <c r="KP110" s="1007">
        <v>0</v>
      </c>
      <c r="KQ110" s="1008" t="s">
        <v>207</v>
      </c>
      <c r="KR110" s="1007">
        <v>-6.6859935999999998</v>
      </c>
      <c r="KS110" s="1008" t="s">
        <v>204</v>
      </c>
      <c r="KT110" s="1007">
        <v>4.1787460000000003</v>
      </c>
      <c r="KU110" s="1008">
        <v>0</v>
      </c>
      <c r="KV110" s="1007">
        <v>0</v>
      </c>
      <c r="KW110" s="1008" t="s">
        <v>204</v>
      </c>
      <c r="KX110" s="1007">
        <v>-1.6714984000000008</v>
      </c>
      <c r="KY110" s="1008">
        <v>0</v>
      </c>
      <c r="KZ110" s="1007">
        <v>0</v>
      </c>
      <c r="LA110" s="1008" t="s">
        <v>204</v>
      </c>
      <c r="LB110" s="1007">
        <v>4.1787460000000003</v>
      </c>
      <c r="LC110" s="1008">
        <v>0</v>
      </c>
      <c r="LD110" s="1007">
        <v>0</v>
      </c>
      <c r="LE110" s="1008" t="s">
        <v>199</v>
      </c>
      <c r="LF110" s="1007">
        <v>-5.0144952000000025</v>
      </c>
      <c r="LG110" s="1008">
        <v>0</v>
      </c>
      <c r="LH110" s="1007">
        <v>0</v>
      </c>
      <c r="LI110" s="1008">
        <v>0</v>
      </c>
      <c r="LJ110" s="1007">
        <v>0</v>
      </c>
      <c r="LK110" s="1008" t="s">
        <v>204</v>
      </c>
      <c r="LL110" s="1007">
        <v>4.1787460000000003</v>
      </c>
      <c r="LM110" s="1008" t="s">
        <v>206</v>
      </c>
      <c r="LN110" s="1007">
        <v>0.88089300000000004</v>
      </c>
      <c r="LO110" s="1008">
        <v>0</v>
      </c>
      <c r="LP110" s="1007">
        <v>0</v>
      </c>
      <c r="LQ110" s="1008" t="s">
        <v>206</v>
      </c>
      <c r="LR110" s="1007">
        <v>5.54664</v>
      </c>
      <c r="LS110" s="1008">
        <v>0</v>
      </c>
      <c r="LT110" s="1007">
        <v>0</v>
      </c>
      <c r="LU110" s="1008">
        <v>0</v>
      </c>
      <c r="LV110" s="1007">
        <v>-0.22745000000000001</v>
      </c>
      <c r="LW110" s="1008">
        <v>0</v>
      </c>
      <c r="LX110" s="1007">
        <v>0</v>
      </c>
      <c r="LY110" s="1009">
        <v>0</v>
      </c>
      <c r="LZ110" s="1010">
        <v>0</v>
      </c>
      <c r="MA110" s="1011">
        <v>0</v>
      </c>
      <c r="MB110" s="1012">
        <v>-0.77246399999999904</v>
      </c>
      <c r="MC110" s="995"/>
      <c r="MD110" s="996"/>
      <c r="ME110" s="997" t="s">
        <v>416</v>
      </c>
      <c r="MF110" s="997"/>
      <c r="MG110" s="998"/>
      <c r="NR110" s="1000"/>
      <c r="NS110" s="1000"/>
      <c r="NT110" s="1001"/>
      <c r="NU110" s="1000"/>
      <c r="NV110" s="1001"/>
      <c r="NX110" s="1002"/>
      <c r="NZ110" s="1001"/>
      <c r="OA110" s="1001"/>
      <c r="OC110" s="1003"/>
      <c r="OD110" s="1003"/>
      <c r="OE110" s="1001"/>
      <c r="OF110" s="1003"/>
      <c r="OG110" s="1003"/>
      <c r="QX110" s="1000">
        <f t="shared" si="51"/>
        <v>24</v>
      </c>
      <c r="ASU110" s="999" t="s">
        <v>208</v>
      </c>
    </row>
    <row r="111" spans="1:466 1191:1191" ht="21" customHeight="1" x14ac:dyDescent="0.25">
      <c r="A111" s="982">
        <f t="shared" si="59"/>
        <v>1022</v>
      </c>
      <c r="B111" s="124">
        <f>SUBTOTAL(103,$J$29:J111)</f>
        <v>83</v>
      </c>
      <c r="C111" s="126">
        <v>45068</v>
      </c>
      <c r="D111" s="124" t="s">
        <v>176</v>
      </c>
      <c r="E111" s="127" t="s">
        <v>177</v>
      </c>
      <c r="F111" s="128" t="s">
        <v>177</v>
      </c>
      <c r="G111" s="127" t="s">
        <v>178</v>
      </c>
      <c r="H111" s="127" t="s">
        <v>421</v>
      </c>
      <c r="I111" s="127" t="s">
        <v>538</v>
      </c>
      <c r="J111" s="152">
        <v>1022</v>
      </c>
      <c r="K111" s="127" t="s">
        <v>645</v>
      </c>
      <c r="L111" s="130">
        <v>40049</v>
      </c>
      <c r="M111" s="127" t="s">
        <v>230</v>
      </c>
      <c r="N111" s="127" t="s">
        <v>231</v>
      </c>
      <c r="O111" s="127" t="s">
        <v>185</v>
      </c>
      <c r="P111" s="127" t="s">
        <v>186</v>
      </c>
      <c r="Q111" s="85" t="str">
        <f t="shared" si="85"/>
        <v/>
      </c>
      <c r="R111" s="130"/>
      <c r="S111" s="128" t="s">
        <v>156</v>
      </c>
      <c r="T111" s="131"/>
      <c r="U111" s="132">
        <v>203</v>
      </c>
      <c r="V111" s="121">
        <v>218.2</v>
      </c>
      <c r="W111" s="116">
        <v>0.98</v>
      </c>
      <c r="X111" s="116">
        <v>1.66</v>
      </c>
      <c r="Y111" s="116">
        <f t="shared" si="86"/>
        <v>0.98132656434360654</v>
      </c>
      <c r="Z111" s="133">
        <v>1.454</v>
      </c>
      <c r="AA111" s="133">
        <v>0.83599999999999997</v>
      </c>
      <c r="AB111" s="133">
        <v>0.72</v>
      </c>
      <c r="AC111" s="121">
        <v>34.299999999999997</v>
      </c>
      <c r="AD111" s="134">
        <v>1.17</v>
      </c>
      <c r="AE111" s="124">
        <v>139.69999999999999</v>
      </c>
      <c r="AF111" s="128">
        <v>7.72</v>
      </c>
      <c r="AG111" s="128">
        <v>1886</v>
      </c>
      <c r="AH111" s="127">
        <v>2745</v>
      </c>
      <c r="AI111" s="127">
        <v>2745</v>
      </c>
      <c r="AJ111" s="135"/>
      <c r="AK111" s="128"/>
      <c r="AL111" s="131"/>
      <c r="AM111" s="124" t="s">
        <v>232</v>
      </c>
      <c r="AN111" s="136" t="s">
        <v>646</v>
      </c>
      <c r="AO111" s="137">
        <v>120.76</v>
      </c>
      <c r="AP111" s="128">
        <v>1886</v>
      </c>
      <c r="AQ111" s="128">
        <v>39</v>
      </c>
      <c r="AR111" s="128"/>
      <c r="AS111" s="128"/>
      <c r="AT111" s="122"/>
      <c r="AU111" s="124" t="s">
        <v>250</v>
      </c>
      <c r="AV111" s="115">
        <f>VLOOKUP(J111,'[63]ТР нефть'!$J$28:$BP$638,39,0)</f>
        <v>592</v>
      </c>
      <c r="AW111" s="115" t="str">
        <f>VLOOKUP(J111,'[63]ТР нефть'!$J$28:$BP$638,40,0)</f>
        <v>ГК 90 1/8</v>
      </c>
      <c r="AX111" s="115">
        <f>VLOOKUP(J111,'[63]ТР нефть'!$J$28:$BP$638,41,0)</f>
        <v>1197</v>
      </c>
      <c r="AY111" s="115" t="str">
        <f>VLOOKUP(J111,'[63]ТР нефть'!$J$28:$BP$638,42,0)</f>
        <v>ГК 90 1/8</v>
      </c>
      <c r="AZ111" s="115">
        <f>VLOOKUP(J111,'[63]ТР нефть'!$J$28:$BP$638,43,0)</f>
        <v>1717</v>
      </c>
      <c r="BA111" s="115" t="str">
        <f>VLOOKUP(J111,'[63]ТР нефть'!$J$28:$BP$638,44,0)</f>
        <v>ЦКсОК 5/16</v>
      </c>
      <c r="BB111" s="115" t="str">
        <f>VLOOKUP(J111,'[63]ТР нефть'!$J$28:$BP$638,45,0)</f>
        <v>-</v>
      </c>
      <c r="BC111" s="115" t="str">
        <f>VLOOKUP(J111,'[63]ТР нефть'!$J$28:$BP$638,46,0)</f>
        <v>-</v>
      </c>
      <c r="BD111" s="115" t="str">
        <f>VLOOKUP(J111,'[63]ТР нефть'!$J$28:$BP$638,47,0)</f>
        <v>-</v>
      </c>
      <c r="BE111" s="115" t="str">
        <f>VLOOKUP(J111,'[63]ТР нефть'!$J$28:$BP$638,48,0)</f>
        <v>-</v>
      </c>
      <c r="BF111" s="115" t="str">
        <f>VLOOKUP(J111,'[63]ТР нефть'!$J$28:$BP$638,49,0)</f>
        <v>-</v>
      </c>
      <c r="BG111" s="115" t="str">
        <f>VLOOKUP(J111,'[63]ТР нефть'!$J$28:$BP$638,50,0)</f>
        <v>-</v>
      </c>
      <c r="BH111" s="115">
        <f>VLOOKUP(J111,'[63]ТР нефть'!$J$28:$BP$638,51,0)</f>
        <v>1729</v>
      </c>
      <c r="BI111" s="115" t="str">
        <f>VLOOKUP(J111,'[63]ТР нефть'!$J$28:$BP$638,52,0)</f>
        <v>закрыт</v>
      </c>
      <c r="BJ111" s="115" t="str">
        <f>IF(IFERROR(VLOOKUP(J111,'[63]ТР нефть'!$J$28:$BP$638,53,0),"-")=0,"-",IFERROR(VLOOKUP(J111,'[63]ТР нефть'!$J$28:$BP$638,53,0),"-"))</f>
        <v>-</v>
      </c>
      <c r="BK111" s="138" t="str">
        <f>IF(IFERROR(VLOOKUP(J111,'[63]ТР нефть'!$J$28:$BP$638,54,0),"-")=0,"-",IFERROR(VLOOKUP(J111,'[63]ТР нефть'!$J$28:$BP$638,54,0),"-"))</f>
        <v>-</v>
      </c>
      <c r="BL111" s="138" t="str">
        <f>IF(IFERROR(VLOOKUP(J111,'[63]ТР нефть'!$J$28:$BP$638,55,0),"-")=0,"-",IFERROR(VLOOKUP(J111,'[63]ТР нефть'!$J$28:$BP$638,55,0),"-"))</f>
        <v>-</v>
      </c>
      <c r="BM111" s="138" t="str">
        <f>IF(IFERROR(VLOOKUP(J111,'[63]ТР нефть'!$J$28:$BP$638,56,0),"-")=0,"-",IFERROR(VLOOKUP(J111,'[63]ТР нефть'!$J$28:$BP$638,56,0),"-"))</f>
        <v>-</v>
      </c>
      <c r="BN111" s="138" t="str">
        <f>IF(IFERROR(VLOOKUP(J111,'[63]ТР нефть'!$J$28:$BP$638,57,0),"-")=0,"-",IFERROR(VLOOKUP(J111,'[63]ТР нефть'!$J$28:$BP$638,57,0),"-"))</f>
        <v>-</v>
      </c>
      <c r="BO111" s="115" t="str">
        <f>IF(IFERROR(VLOOKUP(J111,'[63]ТР нефть'!$J$28:$BP$638,58,0),"-")=0,"-",IFERROR(VLOOKUP(J111,'[63]ТР нефть'!$J$28:$BP$638,58,0),"-"))</f>
        <v>-</v>
      </c>
      <c r="BP111" s="115" t="str">
        <f>IF(IFERROR(VLOOKUP(J111,'[63]ТР нефть'!$J$28:$BP$638,59,0),"-")=0,"-",IFERROR(VLOOKUP(J111,'[63]ТР нефть'!$J$28:$BP$638,59,0),"-"))</f>
        <v>-</v>
      </c>
      <c r="BQ111" s="138">
        <v>2344</v>
      </c>
      <c r="BR111" s="128">
        <v>1892.68</v>
      </c>
      <c r="BS111" s="115">
        <f t="shared" si="60"/>
        <v>451.31999999999994</v>
      </c>
      <c r="BT111" s="128">
        <v>73</v>
      </c>
      <c r="BU111" s="128">
        <v>5.5</v>
      </c>
      <c r="BV111" s="127">
        <v>65</v>
      </c>
      <c r="BW111" s="127" t="s">
        <v>217</v>
      </c>
      <c r="BX111" s="127" t="s">
        <v>195</v>
      </c>
      <c r="BY111" s="139">
        <v>24</v>
      </c>
      <c r="BZ111" s="139">
        <v>0</v>
      </c>
      <c r="CA111" s="138">
        <v>55</v>
      </c>
      <c r="CB111" s="138">
        <v>70</v>
      </c>
      <c r="CC111" s="138">
        <v>54</v>
      </c>
      <c r="CD111" s="135">
        <v>45017</v>
      </c>
      <c r="CE111" s="138">
        <v>121.3</v>
      </c>
      <c r="CF111" s="138"/>
      <c r="CG111" s="138" t="str">
        <f t="shared" si="52"/>
        <v/>
      </c>
      <c r="CH111" s="138" t="s">
        <v>197</v>
      </c>
      <c r="CI111" s="127"/>
      <c r="CJ111" s="138"/>
      <c r="CK111" s="138"/>
      <c r="CL111" s="99"/>
      <c r="CM111" s="127"/>
      <c r="CN111" s="154">
        <v>85</v>
      </c>
      <c r="CO111" s="159">
        <f t="shared" si="61"/>
        <v>16.664823999999999</v>
      </c>
      <c r="CP111" s="160">
        <v>20</v>
      </c>
      <c r="CQ111" s="161">
        <v>0.33</v>
      </c>
      <c r="CR111" s="138">
        <v>149</v>
      </c>
      <c r="CS111" s="139"/>
      <c r="CT111" s="138"/>
      <c r="CU111" s="138">
        <f t="shared" si="62"/>
        <v>149</v>
      </c>
      <c r="CV111" s="115">
        <f t="shared" si="63"/>
        <v>8940.9885156902947</v>
      </c>
      <c r="CW111" s="115" t="str">
        <f t="shared" si="64"/>
        <v/>
      </c>
      <c r="CX111" s="133">
        <f t="shared" si="65"/>
        <v>0.55096418732782371</v>
      </c>
      <c r="CY111" s="116"/>
      <c r="CZ111" s="131"/>
      <c r="DA111" s="145" t="str">
        <f t="shared" si="66"/>
        <v>Фон.</v>
      </c>
      <c r="DB111" s="146">
        <f t="shared" si="67"/>
        <v>16.664823999999999</v>
      </c>
      <c r="DC111" s="142">
        <f t="shared" si="68"/>
        <v>20</v>
      </c>
      <c r="DD111" s="119">
        <f t="shared" si="69"/>
        <v>0.33</v>
      </c>
      <c r="DE111" s="115">
        <f t="shared" si="70"/>
        <v>149</v>
      </c>
      <c r="DF111" s="121">
        <f t="shared" si="71"/>
        <v>0</v>
      </c>
      <c r="DG111" s="115">
        <f t="shared" si="72"/>
        <v>8940.9885156902947</v>
      </c>
      <c r="DH111" s="115">
        <f t="shared" si="73"/>
        <v>85</v>
      </c>
      <c r="DI111" s="147"/>
      <c r="DJ111" s="111">
        <v>41725</v>
      </c>
      <c r="DK111" s="112">
        <v>41000</v>
      </c>
      <c r="DL111" s="113">
        <f t="shared" ca="1" si="87"/>
        <v>4104</v>
      </c>
      <c r="DM111" s="114"/>
      <c r="DN111" s="114"/>
      <c r="DO111" s="114"/>
      <c r="DP111" s="114"/>
      <c r="DQ111" s="112">
        <v>40049</v>
      </c>
      <c r="DR111" s="114" t="s">
        <v>324</v>
      </c>
      <c r="DS111" s="114"/>
      <c r="DT111" s="115">
        <v>69</v>
      </c>
      <c r="DU111" s="116">
        <f t="shared" si="88"/>
        <v>0.51370934528980927</v>
      </c>
      <c r="DV111" s="117">
        <f t="shared" si="89"/>
        <v>22.386690286061889</v>
      </c>
      <c r="DW111" s="118">
        <f t="shared" si="90"/>
        <v>26.866998758657026</v>
      </c>
      <c r="DX111" s="119">
        <f t="shared" si="74"/>
        <v>0.33</v>
      </c>
      <c r="DY111" s="115">
        <f t="shared" si="91"/>
        <v>200.15914075199481</v>
      </c>
      <c r="DZ111" s="117">
        <f t="shared" si="92"/>
        <v>5.7218662860618892</v>
      </c>
      <c r="EA111" s="120">
        <f t="shared" si="92"/>
        <v>6.8669987586570258</v>
      </c>
      <c r="EB111" s="119">
        <f t="shared" si="92"/>
        <v>0</v>
      </c>
      <c r="EC111" s="121">
        <f t="shared" si="93"/>
        <v>51.159140751994812</v>
      </c>
      <c r="ED111" s="122"/>
      <c r="EE111" s="145">
        <v>65</v>
      </c>
      <c r="EF111" s="115">
        <v>47</v>
      </c>
      <c r="EG111" s="115">
        <v>70</v>
      </c>
      <c r="EH111" s="115">
        <v>46</v>
      </c>
      <c r="EI111" s="128" t="s">
        <v>195</v>
      </c>
      <c r="EJ111" s="121">
        <v>24</v>
      </c>
      <c r="EK111" s="121">
        <v>0</v>
      </c>
      <c r="EL111" s="162">
        <v>16.664823999999999</v>
      </c>
      <c r="EM111" s="142">
        <v>20</v>
      </c>
      <c r="EN111" s="119">
        <v>0.33</v>
      </c>
      <c r="EO111" s="115">
        <v>149</v>
      </c>
      <c r="EP111" s="115">
        <v>8940.9885156902947</v>
      </c>
      <c r="EQ111" s="115">
        <v>0</v>
      </c>
      <c r="ER111" s="115">
        <v>0</v>
      </c>
      <c r="ES111" s="115">
        <v>84</v>
      </c>
      <c r="ET111" s="150">
        <v>0.53619302949061665</v>
      </c>
      <c r="EU111" s="145">
        <f t="shared" si="75"/>
        <v>65</v>
      </c>
      <c r="EV111" s="115">
        <f t="shared" si="76"/>
        <v>55</v>
      </c>
      <c r="EW111" s="115">
        <f t="shared" si="76"/>
        <v>70</v>
      </c>
      <c r="EX111" s="115">
        <f t="shared" si="76"/>
        <v>54</v>
      </c>
      <c r="EY111" s="115" t="str">
        <f t="shared" si="77"/>
        <v>Постоянный</v>
      </c>
      <c r="EZ111" s="115">
        <f t="shared" si="77"/>
        <v>24</v>
      </c>
      <c r="FA111" s="115">
        <f t="shared" si="77"/>
        <v>0</v>
      </c>
      <c r="FB111" s="149">
        <f t="shared" si="78"/>
        <v>16.664823999999999</v>
      </c>
      <c r="FC111" s="142">
        <f t="shared" si="78"/>
        <v>20</v>
      </c>
      <c r="FD111" s="119">
        <f t="shared" si="78"/>
        <v>0.33</v>
      </c>
      <c r="FE111" s="121">
        <f t="shared" si="78"/>
        <v>149</v>
      </c>
      <c r="FF111" s="121">
        <f t="shared" si="94"/>
        <v>8940.9885156902947</v>
      </c>
      <c r="FG111" s="121">
        <f t="shared" si="79"/>
        <v>0</v>
      </c>
      <c r="FH111" s="121">
        <f t="shared" si="95"/>
        <v>0</v>
      </c>
      <c r="FI111" s="121">
        <f t="shared" si="54"/>
        <v>85</v>
      </c>
      <c r="FJ111" s="144">
        <f t="shared" si="80"/>
        <v>0.55096418732782371</v>
      </c>
      <c r="FK111" s="132">
        <f t="shared" si="81"/>
        <v>0</v>
      </c>
      <c r="FL111" s="115">
        <f t="shared" si="81"/>
        <v>8</v>
      </c>
      <c r="FM111" s="115">
        <f t="shared" si="81"/>
        <v>0</v>
      </c>
      <c r="FN111" s="115">
        <f t="shared" si="58"/>
        <v>8</v>
      </c>
      <c r="FO111" s="115">
        <f t="shared" si="57"/>
        <v>0</v>
      </c>
      <c r="FP111" s="115">
        <f t="shared" si="56"/>
        <v>0</v>
      </c>
      <c r="FQ111" s="149">
        <f t="shared" si="56"/>
        <v>0</v>
      </c>
      <c r="FR111" s="142">
        <f t="shared" si="56"/>
        <v>0</v>
      </c>
      <c r="FS111" s="119">
        <f t="shared" si="56"/>
        <v>0</v>
      </c>
      <c r="FT111" s="121">
        <f t="shared" si="56"/>
        <v>0</v>
      </c>
      <c r="FU111" s="121">
        <f t="shared" si="82"/>
        <v>0</v>
      </c>
      <c r="FV111" s="121">
        <f t="shared" si="82"/>
        <v>0</v>
      </c>
      <c r="FW111" s="121">
        <f t="shared" si="83"/>
        <v>0</v>
      </c>
      <c r="FX111" s="121">
        <f t="shared" si="84"/>
        <v>1</v>
      </c>
      <c r="FY111" s="144">
        <f t="shared" si="84"/>
        <v>1.4771157837207061E-2</v>
      </c>
      <c r="FZ111" s="145"/>
      <c r="GA111" s="151" t="s">
        <v>585</v>
      </c>
      <c r="GB111" s="145"/>
      <c r="GC111" s="151" t="s">
        <v>647</v>
      </c>
      <c r="GD111" s="997" t="s">
        <v>416</v>
      </c>
      <c r="GE111" s="1004"/>
      <c r="GF111" s="1004">
        <v>0</v>
      </c>
      <c r="GG111" s="1004"/>
      <c r="GH111" s="1004">
        <v>0</v>
      </c>
      <c r="GI111" s="145"/>
      <c r="GJ111" s="996">
        <v>0</v>
      </c>
      <c r="GK111" s="145"/>
      <c r="GL111" s="996">
        <v>0</v>
      </c>
      <c r="GM111" s="1005"/>
      <c r="GN111" s="996">
        <v>0</v>
      </c>
      <c r="GO111" s="1006"/>
      <c r="GP111" s="996">
        <v>0</v>
      </c>
      <c r="GQ111" s="1006"/>
      <c r="GR111" s="996">
        <v>0</v>
      </c>
      <c r="GS111" s="1006"/>
      <c r="GT111" s="996">
        <v>0</v>
      </c>
      <c r="GU111" s="1006"/>
      <c r="GV111" s="996">
        <v>0</v>
      </c>
      <c r="GW111" s="1006" t="s">
        <v>199</v>
      </c>
      <c r="GX111" s="996">
        <v>-4.3053572804000027</v>
      </c>
      <c r="GY111" s="1006"/>
      <c r="GZ111" s="996">
        <v>0</v>
      </c>
      <c r="HA111" s="1006" t="s">
        <v>204</v>
      </c>
      <c r="HB111" s="996">
        <v>-2.6867460795999953</v>
      </c>
      <c r="HC111" s="1006" t="s">
        <v>199</v>
      </c>
      <c r="HD111" s="996">
        <v>2.4907449599999971</v>
      </c>
      <c r="HE111" s="1006" t="s">
        <v>204</v>
      </c>
      <c r="HF111" s="996">
        <v>1.9670243999999997</v>
      </c>
      <c r="HG111" s="1006"/>
      <c r="HH111" s="996">
        <v>0</v>
      </c>
      <c r="HI111" s="1006" t="s">
        <v>221</v>
      </c>
      <c r="HJ111" s="996">
        <v>6.8888573599999994</v>
      </c>
      <c r="HK111" s="1006" t="s">
        <v>221</v>
      </c>
      <c r="HL111" s="996">
        <v>-6.9719557600000002</v>
      </c>
      <c r="HM111" s="1006" t="s">
        <v>199</v>
      </c>
      <c r="HN111" s="996">
        <v>6.523148324000001</v>
      </c>
      <c r="HO111" s="1006"/>
      <c r="HP111" s="996">
        <v>0</v>
      </c>
      <c r="HQ111" s="1006"/>
      <c r="HR111" s="996">
        <v>0</v>
      </c>
      <c r="HS111" s="1006"/>
      <c r="HT111" s="996">
        <v>0</v>
      </c>
      <c r="HU111" s="1006" t="s">
        <v>204</v>
      </c>
      <c r="HV111" s="996">
        <v>-2.8951507640000038</v>
      </c>
      <c r="HW111" s="1006"/>
      <c r="HX111" s="996">
        <v>0</v>
      </c>
      <c r="HY111" s="1006" t="s">
        <v>204</v>
      </c>
      <c r="HZ111" s="996">
        <v>4.0044749448000019</v>
      </c>
      <c r="IA111" s="1006"/>
      <c r="IB111" s="996">
        <v>0</v>
      </c>
      <c r="IC111" s="1006" t="s">
        <v>199</v>
      </c>
      <c r="ID111" s="996">
        <v>5.7647618951999995</v>
      </c>
      <c r="IE111" s="1006"/>
      <c r="IF111" s="996">
        <v>0</v>
      </c>
      <c r="IG111" s="1006" t="s">
        <v>199</v>
      </c>
      <c r="IH111" s="996">
        <v>-2.2696396800000009</v>
      </c>
      <c r="II111" s="1006"/>
      <c r="IJ111" s="996">
        <v>-0.54274792000000005</v>
      </c>
      <c r="IK111" s="1006" t="s">
        <v>199</v>
      </c>
      <c r="IL111" s="996">
        <v>-1.0437459999999987</v>
      </c>
      <c r="IM111" s="1006" t="s">
        <v>204</v>
      </c>
      <c r="IN111" s="996">
        <v>-5.9201273120000018</v>
      </c>
      <c r="IO111" s="1006" t="s">
        <v>199</v>
      </c>
      <c r="IP111" s="996">
        <v>8.2664683200000013</v>
      </c>
      <c r="IQ111" s="1006"/>
      <c r="IR111" s="996">
        <v>0</v>
      </c>
      <c r="IS111" s="1006"/>
      <c r="IT111" s="996">
        <v>0</v>
      </c>
      <c r="IU111" s="1006" t="s">
        <v>199</v>
      </c>
      <c r="IV111" s="996">
        <v>-2.3463410079999996</v>
      </c>
      <c r="IW111" s="1006" t="s">
        <v>199</v>
      </c>
      <c r="IX111" s="996">
        <v>-3.4234868799999987</v>
      </c>
      <c r="IY111" s="1006"/>
      <c r="IZ111" s="996">
        <v>0</v>
      </c>
      <c r="JA111" s="1006"/>
      <c r="JB111" s="996">
        <v>0</v>
      </c>
      <c r="JC111" s="1006"/>
      <c r="JD111" s="996">
        <v>0</v>
      </c>
      <c r="JE111" s="1006"/>
      <c r="JF111" s="996">
        <v>0</v>
      </c>
      <c r="JG111" s="1006"/>
      <c r="JH111" s="996">
        <v>0</v>
      </c>
      <c r="JI111" s="1006" t="s">
        <v>223</v>
      </c>
      <c r="JJ111" s="996">
        <v>-9.1916447744000003</v>
      </c>
      <c r="JK111" s="1007" t="s">
        <v>204</v>
      </c>
      <c r="JL111" s="1007">
        <v>-3.667305945599999</v>
      </c>
      <c r="JM111" s="1007" t="s">
        <v>199</v>
      </c>
      <c r="JN111" s="1007">
        <v>16.382637215999999</v>
      </c>
      <c r="JO111" s="1008" t="s">
        <v>199</v>
      </c>
      <c r="JP111" s="1007">
        <v>-10.036661535999997</v>
      </c>
      <c r="JQ111" s="1008">
        <v>0</v>
      </c>
      <c r="JR111" s="1007">
        <v>0</v>
      </c>
      <c r="JS111" s="1008" t="s">
        <v>199</v>
      </c>
      <c r="JT111" s="1007">
        <v>3.6739859199999962</v>
      </c>
      <c r="JU111" s="1008"/>
      <c r="JV111" s="1007">
        <v>0</v>
      </c>
      <c r="JW111" s="1008" t="s">
        <v>197</v>
      </c>
      <c r="JX111" s="1007">
        <v>0</v>
      </c>
      <c r="JY111" s="1008"/>
      <c r="JZ111" s="1007">
        <v>0</v>
      </c>
      <c r="KA111" s="1008" t="s">
        <v>199</v>
      </c>
      <c r="KB111" s="1007">
        <v>-5.0099807999999975</v>
      </c>
      <c r="KC111" s="1008" t="s">
        <v>204</v>
      </c>
      <c r="KD111" s="1007">
        <v>-3.8409852800000053</v>
      </c>
      <c r="KE111" s="1008"/>
      <c r="KF111" s="1007">
        <v>0</v>
      </c>
      <c r="KG111" s="1008" t="s">
        <v>204</v>
      </c>
      <c r="KH111" s="1007">
        <v>-4.5089827199999988</v>
      </c>
      <c r="KI111" s="1008"/>
      <c r="KJ111" s="1007">
        <v>0</v>
      </c>
      <c r="KK111" s="1008"/>
      <c r="KL111" s="1007">
        <v>0</v>
      </c>
      <c r="KM111" s="1008" t="s">
        <v>206</v>
      </c>
      <c r="KN111" s="1007">
        <v>-5.4274792000000005</v>
      </c>
      <c r="KO111" s="1008" t="s">
        <v>207</v>
      </c>
      <c r="KP111" s="1007">
        <v>10.161911056000001</v>
      </c>
      <c r="KQ111" s="1008">
        <v>0</v>
      </c>
      <c r="KR111" s="1007">
        <v>0</v>
      </c>
      <c r="KS111" s="1008" t="s">
        <v>204</v>
      </c>
      <c r="KT111" s="1007">
        <v>-1.4312286559999947</v>
      </c>
      <c r="KU111" s="1008" t="s">
        <v>600</v>
      </c>
      <c r="KV111" s="1007">
        <v>-5.8508296000000044</v>
      </c>
      <c r="KW111" s="1008">
        <v>0</v>
      </c>
      <c r="KX111" s="1007">
        <v>0</v>
      </c>
      <c r="KY111" s="1008">
        <v>0</v>
      </c>
      <c r="KZ111" s="1007">
        <v>0</v>
      </c>
      <c r="LA111" s="1008">
        <v>0</v>
      </c>
      <c r="LB111" s="1007">
        <v>0</v>
      </c>
      <c r="LC111" s="1008">
        <v>0</v>
      </c>
      <c r="LD111" s="1007">
        <v>0</v>
      </c>
      <c r="LE111" s="1008" t="s">
        <v>206</v>
      </c>
      <c r="LF111" s="1007">
        <v>2.5074984000000029</v>
      </c>
      <c r="LG111" s="1008">
        <v>0</v>
      </c>
      <c r="LH111" s="1007">
        <v>0</v>
      </c>
      <c r="LI111" s="1008" t="s">
        <v>223</v>
      </c>
      <c r="LJ111" s="1007">
        <v>-2.50749840000001</v>
      </c>
      <c r="LK111" s="1008">
        <v>0</v>
      </c>
      <c r="LL111" s="1007">
        <v>0</v>
      </c>
      <c r="LM111" s="1008">
        <v>0</v>
      </c>
      <c r="LN111" s="1007">
        <v>0</v>
      </c>
      <c r="LO111" s="1008">
        <v>0</v>
      </c>
      <c r="LP111" s="1007">
        <v>0</v>
      </c>
      <c r="LQ111" s="1008" t="s">
        <v>206</v>
      </c>
      <c r="LR111" s="1007">
        <v>-3.5522893999999994</v>
      </c>
      <c r="LS111" s="1008" t="s">
        <v>206</v>
      </c>
      <c r="LT111" s="1007">
        <v>3.5522893999999994</v>
      </c>
      <c r="LU111" s="1008">
        <v>0</v>
      </c>
      <c r="LV111" s="1007">
        <v>6.2451582600000037</v>
      </c>
      <c r="LW111" s="1008">
        <v>0</v>
      </c>
      <c r="LX111" s="1007">
        <v>-0.32767214</v>
      </c>
      <c r="LY111" s="1009" t="s">
        <v>207</v>
      </c>
      <c r="LZ111" s="1010">
        <v>-11.937427919999998</v>
      </c>
      <c r="MA111" s="1011" t="s">
        <v>207</v>
      </c>
      <c r="MB111" s="1012">
        <v>-6.4459445610000001</v>
      </c>
      <c r="MC111" s="995"/>
      <c r="MD111" s="996"/>
      <c r="ME111" s="997" t="s">
        <v>416</v>
      </c>
      <c r="MF111" s="997"/>
      <c r="MG111" s="998"/>
      <c r="NR111" s="1000"/>
      <c r="NS111" s="1000"/>
      <c r="NT111" s="1001"/>
      <c r="NU111" s="1000"/>
      <c r="NV111" s="1001"/>
      <c r="NX111" s="1002"/>
      <c r="NZ111" s="1001"/>
      <c r="OA111" s="1001"/>
      <c r="OC111" s="1003"/>
      <c r="OD111" s="1003"/>
      <c r="OE111" s="1001"/>
      <c r="OF111" s="1003"/>
      <c r="OG111" s="1003"/>
      <c r="QX111" s="1000">
        <f t="shared" si="51"/>
        <v>30</v>
      </c>
      <c r="ASU111" s="999" t="s">
        <v>208</v>
      </c>
    </row>
    <row r="112" spans="1:466 1191:1191" ht="21" customHeight="1" x14ac:dyDescent="0.25">
      <c r="A112" s="982" t="str">
        <f t="shared" si="59"/>
        <v>1022-2</v>
      </c>
      <c r="B112" s="124">
        <f>SUBTOTAL(103,$J$29:J112)</f>
        <v>84</v>
      </c>
      <c r="C112" s="126">
        <v>45068</v>
      </c>
      <c r="D112" s="124" t="s">
        <v>176</v>
      </c>
      <c r="E112" s="127" t="s">
        <v>177</v>
      </c>
      <c r="F112" s="128" t="s">
        <v>177</v>
      </c>
      <c r="G112" s="127" t="s">
        <v>178</v>
      </c>
      <c r="H112" s="127" t="s">
        <v>421</v>
      </c>
      <c r="I112" s="127" t="s">
        <v>538</v>
      </c>
      <c r="J112" s="152" t="s">
        <v>648</v>
      </c>
      <c r="K112" s="127" t="s">
        <v>645</v>
      </c>
      <c r="L112" s="130">
        <v>41240</v>
      </c>
      <c r="M112" s="127" t="s">
        <v>230</v>
      </c>
      <c r="N112" s="127" t="s">
        <v>231</v>
      </c>
      <c r="O112" s="127" t="s">
        <v>185</v>
      </c>
      <c r="P112" s="127" t="s">
        <v>292</v>
      </c>
      <c r="Q112" s="85" t="str">
        <f t="shared" si="85"/>
        <v/>
      </c>
      <c r="R112" s="130"/>
      <c r="S112" s="128" t="s">
        <v>156</v>
      </c>
      <c r="T112" s="131"/>
      <c r="U112" s="132">
        <v>203</v>
      </c>
      <c r="V112" s="121">
        <v>218.2</v>
      </c>
      <c r="W112" s="116">
        <v>0.98</v>
      </c>
      <c r="X112" s="116">
        <v>1.66</v>
      </c>
      <c r="Y112" s="116">
        <f t="shared" si="86"/>
        <v>0.98004014622285718</v>
      </c>
      <c r="Z112" s="133">
        <v>1.454</v>
      </c>
      <c r="AA112" s="133">
        <v>0.83599999999999997</v>
      </c>
      <c r="AB112" s="133">
        <v>0.72</v>
      </c>
      <c r="AC112" s="121">
        <v>34.299999999999997</v>
      </c>
      <c r="AD112" s="134">
        <v>1.17</v>
      </c>
      <c r="AE112" s="124">
        <v>177.8</v>
      </c>
      <c r="AF112" s="128">
        <v>8.0500000000000007</v>
      </c>
      <c r="AG112" s="128">
        <v>1944</v>
      </c>
      <c r="AH112" s="127">
        <v>2695</v>
      </c>
      <c r="AI112" s="127">
        <v>2695</v>
      </c>
      <c r="AJ112" s="135"/>
      <c r="AK112" s="128"/>
      <c r="AL112" s="131"/>
      <c r="AM112" s="124" t="s">
        <v>232</v>
      </c>
      <c r="AN112" s="136" t="s">
        <v>649</v>
      </c>
      <c r="AO112" s="137">
        <v>78.650000000000006</v>
      </c>
      <c r="AP112" s="128">
        <v>1944</v>
      </c>
      <c r="AQ112" s="128">
        <v>94.69</v>
      </c>
      <c r="AR112" s="128"/>
      <c r="AS112" s="128"/>
      <c r="AT112" s="122"/>
      <c r="AU112" s="124" t="s">
        <v>250</v>
      </c>
      <c r="AV112" s="115">
        <f>VLOOKUP(J112,'[63]ТР нефть'!$J$28:$BP$638,39,0)</f>
        <v>600</v>
      </c>
      <c r="AW112" s="115" t="str">
        <f>VLOOKUP(J112,'[63]ТР нефть'!$J$28:$BP$638,40,0)</f>
        <v>ГП</v>
      </c>
      <c r="AX112" s="115">
        <f>VLOOKUP(J112,'[63]ТР нефть'!$J$28:$BP$638,41,0)</f>
        <v>1200</v>
      </c>
      <c r="AY112" s="115" t="str">
        <f>VLOOKUP(J112,'[63]ТР нефть'!$J$28:$BP$638,42,0)</f>
        <v>ГК 90 1/8</v>
      </c>
      <c r="AZ112" s="115">
        <f>VLOOKUP(J112,'[63]ТР нефть'!$J$28:$BP$638,43,0)</f>
        <v>1665</v>
      </c>
      <c r="BA112" s="115" t="str">
        <f>VLOOKUP(J112,'[63]ТР нефть'!$J$28:$BP$638,44,0)</f>
        <v>ЦКсОК 5/16</v>
      </c>
      <c r="BB112" s="115" t="str">
        <f>VLOOKUP(J112,'[63]ТР нефть'!$J$28:$BP$638,45,0)</f>
        <v>-</v>
      </c>
      <c r="BC112" s="115" t="str">
        <f>VLOOKUP(J112,'[63]ТР нефть'!$J$28:$BP$638,46,0)</f>
        <v>-</v>
      </c>
      <c r="BD112" s="115" t="str">
        <f>VLOOKUP(J112,'[63]ТР нефть'!$J$28:$BP$638,47,0)</f>
        <v>-</v>
      </c>
      <c r="BE112" s="115" t="str">
        <f>VLOOKUP(J112,'[63]ТР нефть'!$J$28:$BP$638,48,0)</f>
        <v>-</v>
      </c>
      <c r="BF112" s="115" t="str">
        <f>VLOOKUP(J112,'[63]ТР нефть'!$J$28:$BP$638,49,0)</f>
        <v>-</v>
      </c>
      <c r="BG112" s="115" t="str">
        <f>VLOOKUP(J112,'[63]ТР нефть'!$J$28:$BP$638,50,0)</f>
        <v>-</v>
      </c>
      <c r="BH112" s="115">
        <f>VLOOKUP(J112,'[63]ТР нефть'!$J$28:$BP$638,51,0)</f>
        <v>1675</v>
      </c>
      <c r="BI112" s="115" t="str">
        <f>VLOOKUP(J112,'[63]ТР нефть'!$J$28:$BP$638,52,0)</f>
        <v>закрыт</v>
      </c>
      <c r="BJ112" s="115" t="str">
        <f>IF(IFERROR(VLOOKUP(J112,'[63]ТР нефть'!$J$28:$BP$638,53,0),"-")=0,"-",IFERROR(VLOOKUP(J112,'[63]ТР нефть'!$J$28:$BP$638,53,0),"-"))</f>
        <v>-</v>
      </c>
      <c r="BK112" s="138" t="str">
        <f>IF(IFERROR(VLOOKUP(J112,'[63]ТР нефть'!$J$28:$BP$638,54,0),"-")=0,"-",IFERROR(VLOOKUP(J112,'[63]ТР нефть'!$J$28:$BP$638,54,0),"-"))</f>
        <v>-</v>
      </c>
      <c r="BL112" s="138" t="str">
        <f>IF(IFERROR(VLOOKUP(J112,'[63]ТР нефть'!$J$28:$BP$638,55,0),"-")=0,"-",IFERROR(VLOOKUP(J112,'[63]ТР нефть'!$J$28:$BP$638,55,0),"-"))</f>
        <v>-</v>
      </c>
      <c r="BM112" s="138" t="str">
        <f>IF(IFERROR(VLOOKUP(J112,'[63]ТР нефть'!$J$28:$BP$638,56,0),"-")=0,"-",IFERROR(VLOOKUP(J112,'[63]ТР нефть'!$J$28:$BP$638,56,0),"-"))</f>
        <v>-</v>
      </c>
      <c r="BN112" s="138" t="str">
        <f>IF(IFERROR(VLOOKUP(J112,'[63]ТР нефть'!$J$28:$BP$638,57,0),"-")=0,"-",IFERROR(VLOOKUP(J112,'[63]ТР нефть'!$J$28:$BP$638,57,0),"-"))</f>
        <v>-</v>
      </c>
      <c r="BO112" s="115" t="str">
        <f>IF(IFERROR(VLOOKUP(J112,'[63]ТР нефть'!$J$28:$BP$638,58,0),"-")=0,"-",IFERROR(VLOOKUP(J112,'[63]ТР нефть'!$J$28:$BP$638,58,0),"-"))</f>
        <v>-</v>
      </c>
      <c r="BP112" s="115" t="str">
        <f>IF(IFERROR(VLOOKUP(J112,'[63]ТР нефть'!$J$28:$BP$638,59,0),"-")=0,"-",IFERROR(VLOOKUP(J112,'[63]ТР нефть'!$J$28:$BP$638,59,0),"-"))</f>
        <v>-</v>
      </c>
      <c r="BQ112" s="138">
        <v>1955</v>
      </c>
      <c r="BR112" s="128">
        <v>1582.13</v>
      </c>
      <c r="BS112" s="115">
        <f t="shared" si="60"/>
        <v>372.86999999999989</v>
      </c>
      <c r="BT112" s="128">
        <v>73</v>
      </c>
      <c r="BU112" s="128">
        <v>5.5</v>
      </c>
      <c r="BV112" s="127">
        <v>18</v>
      </c>
      <c r="BW112" s="127" t="s">
        <v>217</v>
      </c>
      <c r="BX112" s="127" t="s">
        <v>195</v>
      </c>
      <c r="BY112" s="139">
        <v>24</v>
      </c>
      <c r="BZ112" s="139">
        <v>0</v>
      </c>
      <c r="CA112" s="138">
        <v>80</v>
      </c>
      <c r="CB112" s="138">
        <v>96</v>
      </c>
      <c r="CC112" s="138">
        <v>78</v>
      </c>
      <c r="CD112" s="135">
        <v>45017</v>
      </c>
      <c r="CE112" s="138">
        <v>131</v>
      </c>
      <c r="CF112" s="138"/>
      <c r="CG112" s="138" t="str">
        <f t="shared" si="52"/>
        <v/>
      </c>
      <c r="CH112" s="138" t="s">
        <v>197</v>
      </c>
      <c r="CI112" s="127"/>
      <c r="CJ112" s="138"/>
      <c r="CK112" s="138"/>
      <c r="CL112" s="99"/>
      <c r="CM112" s="127"/>
      <c r="CN112" s="154">
        <v>120</v>
      </c>
      <c r="CO112" s="159">
        <f t="shared" si="61"/>
        <v>7.5232476000000004</v>
      </c>
      <c r="CP112" s="160">
        <v>9</v>
      </c>
      <c r="CQ112" s="161">
        <v>0.01</v>
      </c>
      <c r="CR112" s="138">
        <v>97</v>
      </c>
      <c r="CS112" s="139"/>
      <c r="CT112" s="138"/>
      <c r="CU112" s="138">
        <f t="shared" si="62"/>
        <v>97</v>
      </c>
      <c r="CV112" s="115">
        <f t="shared" si="63"/>
        <v>12893.3680183542</v>
      </c>
      <c r="CW112" s="115" t="str">
        <f t="shared" si="64"/>
        <v/>
      </c>
      <c r="CX112" s="133">
        <f t="shared" si="65"/>
        <v>0.81818181818181823</v>
      </c>
      <c r="CY112" s="116"/>
      <c r="CZ112" s="131"/>
      <c r="DA112" s="145" t="str">
        <f t="shared" si="66"/>
        <v>Фон.</v>
      </c>
      <c r="DB112" s="146">
        <f t="shared" si="67"/>
        <v>7.5232476000000004</v>
      </c>
      <c r="DC112" s="142">
        <f t="shared" si="68"/>
        <v>9</v>
      </c>
      <c r="DD112" s="119">
        <f t="shared" si="69"/>
        <v>0.01</v>
      </c>
      <c r="DE112" s="115">
        <f t="shared" si="70"/>
        <v>97</v>
      </c>
      <c r="DF112" s="121">
        <f t="shared" si="71"/>
        <v>0</v>
      </c>
      <c r="DG112" s="115">
        <f t="shared" si="72"/>
        <v>12893.3680183542</v>
      </c>
      <c r="DH112" s="115">
        <f t="shared" si="73"/>
        <v>120</v>
      </c>
      <c r="DI112" s="147"/>
      <c r="DJ112" s="111" t="s">
        <v>197</v>
      </c>
      <c r="DK112" s="112">
        <v>41240</v>
      </c>
      <c r="DL112" s="113">
        <f t="shared" ca="1" si="87"/>
        <v>3864</v>
      </c>
      <c r="DM112" s="114"/>
      <c r="DN112" s="114"/>
      <c r="DO112" s="114"/>
      <c r="DP112" s="114"/>
      <c r="DQ112" s="112">
        <v>41240</v>
      </c>
      <c r="DR112" s="114" t="s">
        <v>324</v>
      </c>
      <c r="DS112" s="114"/>
      <c r="DT112" s="115">
        <v>69</v>
      </c>
      <c r="DU112" s="116">
        <f t="shared" si="88"/>
        <v>0.67112535042050436</v>
      </c>
      <c r="DV112" s="117">
        <f t="shared" si="89"/>
        <v>34.782290586079277</v>
      </c>
      <c r="DW112" s="118">
        <f t="shared" si="90"/>
        <v>41.609771726071273</v>
      </c>
      <c r="DX112" s="119">
        <f t="shared" si="74"/>
        <v>0.01</v>
      </c>
      <c r="DY112" s="115">
        <f t="shared" si="91"/>
        <v>448.46087304765689</v>
      </c>
      <c r="DZ112" s="117">
        <f t="shared" si="92"/>
        <v>27.259042986079276</v>
      </c>
      <c r="EA112" s="120">
        <f t="shared" si="92"/>
        <v>32.609771726071273</v>
      </c>
      <c r="EB112" s="119">
        <f t="shared" si="92"/>
        <v>0</v>
      </c>
      <c r="EC112" s="121">
        <f t="shared" si="93"/>
        <v>351.46087304765689</v>
      </c>
      <c r="ED112" s="122"/>
      <c r="EE112" s="145">
        <v>18</v>
      </c>
      <c r="EF112" s="115">
        <v>80</v>
      </c>
      <c r="EG112" s="115">
        <v>96</v>
      </c>
      <c r="EH112" s="115">
        <v>78</v>
      </c>
      <c r="EI112" s="128" t="s">
        <v>195</v>
      </c>
      <c r="EJ112" s="121">
        <v>24</v>
      </c>
      <c r="EK112" s="121">
        <v>0</v>
      </c>
      <c r="EL112" s="162">
        <v>7.5232476000000004</v>
      </c>
      <c r="EM112" s="142">
        <v>9</v>
      </c>
      <c r="EN112" s="119">
        <v>0.01</v>
      </c>
      <c r="EO112" s="115">
        <v>97</v>
      </c>
      <c r="EP112" s="115">
        <v>12893.3680183542</v>
      </c>
      <c r="EQ112" s="115">
        <v>0</v>
      </c>
      <c r="ER112" s="115">
        <v>0</v>
      </c>
      <c r="ES112" s="115">
        <v>120</v>
      </c>
      <c r="ET112" s="150">
        <v>0.81818181818181823</v>
      </c>
      <c r="EU112" s="145">
        <f t="shared" si="75"/>
        <v>18</v>
      </c>
      <c r="EV112" s="115">
        <f t="shared" si="76"/>
        <v>80</v>
      </c>
      <c r="EW112" s="115">
        <f t="shared" si="76"/>
        <v>96</v>
      </c>
      <c r="EX112" s="115">
        <f t="shared" si="76"/>
        <v>78</v>
      </c>
      <c r="EY112" s="115" t="str">
        <f t="shared" si="77"/>
        <v>Постоянный</v>
      </c>
      <c r="EZ112" s="115">
        <f t="shared" si="77"/>
        <v>24</v>
      </c>
      <c r="FA112" s="115">
        <f t="shared" si="77"/>
        <v>0</v>
      </c>
      <c r="FB112" s="149">
        <f t="shared" si="78"/>
        <v>7.5232476000000004</v>
      </c>
      <c r="FC112" s="142">
        <f t="shared" si="78"/>
        <v>9</v>
      </c>
      <c r="FD112" s="119">
        <f t="shared" si="78"/>
        <v>0.01</v>
      </c>
      <c r="FE112" s="121">
        <f t="shared" si="78"/>
        <v>97</v>
      </c>
      <c r="FF112" s="121">
        <f t="shared" si="94"/>
        <v>12893.3680183542</v>
      </c>
      <c r="FG112" s="121">
        <f t="shared" si="79"/>
        <v>0</v>
      </c>
      <c r="FH112" s="121">
        <f t="shared" si="95"/>
        <v>0</v>
      </c>
      <c r="FI112" s="121">
        <f t="shared" si="54"/>
        <v>120</v>
      </c>
      <c r="FJ112" s="144">
        <f t="shared" si="80"/>
        <v>0.81818181818181823</v>
      </c>
      <c r="FK112" s="132">
        <f t="shared" si="81"/>
        <v>0</v>
      </c>
      <c r="FL112" s="115">
        <f t="shared" si="81"/>
        <v>0</v>
      </c>
      <c r="FM112" s="115">
        <f t="shared" si="81"/>
        <v>0</v>
      </c>
      <c r="FN112" s="115">
        <f t="shared" si="58"/>
        <v>0</v>
      </c>
      <c r="FO112" s="115">
        <f t="shared" si="57"/>
        <v>0</v>
      </c>
      <c r="FP112" s="115">
        <f t="shared" si="56"/>
        <v>0</v>
      </c>
      <c r="FQ112" s="149">
        <f t="shared" si="56"/>
        <v>0</v>
      </c>
      <c r="FR112" s="142">
        <f t="shared" si="56"/>
        <v>0</v>
      </c>
      <c r="FS112" s="119">
        <f t="shared" si="56"/>
        <v>0</v>
      </c>
      <c r="FT112" s="121">
        <f t="shared" si="56"/>
        <v>0</v>
      </c>
      <c r="FU112" s="121">
        <f t="shared" si="82"/>
        <v>0</v>
      </c>
      <c r="FV112" s="121">
        <f t="shared" si="82"/>
        <v>0</v>
      </c>
      <c r="FW112" s="121">
        <f t="shared" si="83"/>
        <v>0</v>
      </c>
      <c r="FX112" s="121">
        <f t="shared" si="84"/>
        <v>0</v>
      </c>
      <c r="FY112" s="144">
        <f t="shared" si="84"/>
        <v>0</v>
      </c>
      <c r="FZ112" s="145"/>
      <c r="GA112" s="151" t="s">
        <v>427</v>
      </c>
      <c r="GB112" s="145"/>
      <c r="GC112" s="151"/>
      <c r="GD112" s="997" t="s">
        <v>416</v>
      </c>
      <c r="GE112" s="1004"/>
      <c r="GF112" s="1004">
        <v>0</v>
      </c>
      <c r="GG112" s="1004"/>
      <c r="GH112" s="1004">
        <v>0</v>
      </c>
      <c r="GI112" s="145"/>
      <c r="GJ112" s="996">
        <v>0</v>
      </c>
      <c r="GK112" s="145"/>
      <c r="GL112" s="996">
        <v>0</v>
      </c>
      <c r="GM112" s="1005"/>
      <c r="GN112" s="996">
        <v>0</v>
      </c>
      <c r="GO112" s="1006"/>
      <c r="GP112" s="996">
        <v>0</v>
      </c>
      <c r="GQ112" s="1006"/>
      <c r="GR112" s="996">
        <v>0</v>
      </c>
      <c r="GS112" s="1006"/>
      <c r="GT112" s="996">
        <v>0</v>
      </c>
      <c r="GU112" s="1006"/>
      <c r="GV112" s="996">
        <v>0</v>
      </c>
      <c r="GW112" s="1006"/>
      <c r="GX112" s="996">
        <v>0</v>
      </c>
      <c r="GY112" s="1006"/>
      <c r="GZ112" s="996">
        <v>0</v>
      </c>
      <c r="HA112" s="1006"/>
      <c r="HB112" s="996">
        <v>0</v>
      </c>
      <c r="HC112" s="1006"/>
      <c r="HD112" s="996">
        <v>0</v>
      </c>
      <c r="HE112" s="1006"/>
      <c r="HF112" s="996">
        <v>0</v>
      </c>
      <c r="HG112" s="1006"/>
      <c r="HH112" s="996">
        <v>0</v>
      </c>
      <c r="HI112" s="1006"/>
      <c r="HJ112" s="996">
        <v>0</v>
      </c>
      <c r="HK112" s="1006"/>
      <c r="HL112" s="996">
        <v>0</v>
      </c>
      <c r="HM112" s="1006"/>
      <c r="HN112" s="996">
        <v>0</v>
      </c>
      <c r="HO112" s="1006"/>
      <c r="HP112" s="996">
        <v>0</v>
      </c>
      <c r="HQ112" s="1006"/>
      <c r="HR112" s="996">
        <v>0</v>
      </c>
      <c r="HS112" s="1006"/>
      <c r="HT112" s="996">
        <v>0</v>
      </c>
      <c r="HU112" s="1006" t="s">
        <v>628</v>
      </c>
      <c r="HV112" s="996">
        <v>-1.2538746000000005</v>
      </c>
      <c r="HW112" s="1006"/>
      <c r="HX112" s="996">
        <v>0</v>
      </c>
      <c r="HY112" s="1006" t="s">
        <v>628</v>
      </c>
      <c r="HZ112" s="996">
        <v>-1.3114582799999983</v>
      </c>
      <c r="IA112" s="1006"/>
      <c r="IB112" s="996">
        <v>0</v>
      </c>
      <c r="IC112" s="1006"/>
      <c r="ID112" s="996">
        <v>0</v>
      </c>
      <c r="IE112" s="1006"/>
      <c r="IF112" s="996">
        <v>0</v>
      </c>
      <c r="IG112" s="1006"/>
      <c r="IH112" s="996">
        <v>0</v>
      </c>
      <c r="II112" s="1006"/>
      <c r="IJ112" s="996">
        <v>-0.10358374400000159</v>
      </c>
      <c r="IK112" s="1006" t="s">
        <v>223</v>
      </c>
      <c r="IL112" s="996">
        <v>-1.1690757759999979</v>
      </c>
      <c r="IM112" s="1006"/>
      <c r="IN112" s="996">
        <v>0</v>
      </c>
      <c r="IO112" s="1006" t="s">
        <v>199</v>
      </c>
      <c r="IP112" s="996">
        <v>1.8308399999999985</v>
      </c>
      <c r="IQ112" s="1006"/>
      <c r="IR112" s="996">
        <v>0</v>
      </c>
      <c r="IS112" s="1006"/>
      <c r="IT112" s="996">
        <v>-0.40963999999999956</v>
      </c>
      <c r="IU112" s="1006" t="s">
        <v>223</v>
      </c>
      <c r="IV112" s="996">
        <v>-1.5883999999999983</v>
      </c>
      <c r="IW112" s="1006"/>
      <c r="IX112" s="996">
        <v>0</v>
      </c>
      <c r="IY112" s="1006"/>
      <c r="IZ112" s="996">
        <v>0</v>
      </c>
      <c r="JA112" s="1006"/>
      <c r="JB112" s="996">
        <v>0</v>
      </c>
      <c r="JC112" s="1006"/>
      <c r="JD112" s="996">
        <v>0</v>
      </c>
      <c r="JE112" s="1006"/>
      <c r="JF112" s="996">
        <v>0</v>
      </c>
      <c r="JG112" s="1006"/>
      <c r="JH112" s="996">
        <v>0</v>
      </c>
      <c r="JI112" s="1006"/>
      <c r="JJ112" s="996">
        <v>0</v>
      </c>
      <c r="JK112" s="1007"/>
      <c r="JL112" s="1007">
        <v>0</v>
      </c>
      <c r="JM112" s="1007"/>
      <c r="JN112" s="1007">
        <v>0</v>
      </c>
      <c r="JO112" s="1008" t="s">
        <v>204</v>
      </c>
      <c r="JP112" s="1007">
        <v>-1.2623600000000028</v>
      </c>
      <c r="JQ112" s="1008">
        <v>0</v>
      </c>
      <c r="JR112" s="1007">
        <v>0</v>
      </c>
      <c r="JS112" s="1008">
        <v>0</v>
      </c>
      <c r="JT112" s="1007">
        <v>0</v>
      </c>
      <c r="JU112" s="1008"/>
      <c r="JV112" s="1007">
        <v>0</v>
      </c>
      <c r="JW112" s="1008" t="s">
        <v>197</v>
      </c>
      <c r="JX112" s="1007">
        <v>0</v>
      </c>
      <c r="JY112" s="1008"/>
      <c r="JZ112" s="1007">
        <v>0</v>
      </c>
      <c r="KA112" s="1008"/>
      <c r="KB112" s="1007">
        <v>0</v>
      </c>
      <c r="KC112" s="1008"/>
      <c r="KD112" s="1007">
        <v>0</v>
      </c>
      <c r="KE112" s="1008"/>
      <c r="KF112" s="1007">
        <v>0</v>
      </c>
      <c r="KG112" s="1008"/>
      <c r="KH112" s="1007">
        <v>0</v>
      </c>
      <c r="KI112" s="1008"/>
      <c r="KJ112" s="1007">
        <v>0</v>
      </c>
      <c r="KK112" s="1008"/>
      <c r="KL112" s="1007">
        <v>0</v>
      </c>
      <c r="KM112" s="1008"/>
      <c r="KN112" s="1007">
        <v>0</v>
      </c>
      <c r="KO112" s="1008"/>
      <c r="KP112" s="1007">
        <v>0</v>
      </c>
      <c r="KQ112" s="1008">
        <v>0</v>
      </c>
      <c r="KR112" s="1007">
        <v>0</v>
      </c>
      <c r="KS112" s="1008">
        <v>0</v>
      </c>
      <c r="KT112" s="1007">
        <v>0</v>
      </c>
      <c r="KU112" s="1008">
        <v>0</v>
      </c>
      <c r="KV112" s="1007">
        <v>0</v>
      </c>
      <c r="KW112" s="1008">
        <v>0</v>
      </c>
      <c r="KX112" s="1007">
        <v>0</v>
      </c>
      <c r="KY112" s="1008">
        <v>0</v>
      </c>
      <c r="KZ112" s="1007">
        <v>0</v>
      </c>
      <c r="LA112" s="1008">
        <v>0</v>
      </c>
      <c r="LB112" s="1007">
        <v>0</v>
      </c>
      <c r="LC112" s="1008">
        <v>0</v>
      </c>
      <c r="LD112" s="1007">
        <v>0</v>
      </c>
      <c r="LE112" s="1008">
        <v>0</v>
      </c>
      <c r="LF112" s="1007">
        <v>0</v>
      </c>
      <c r="LG112" s="1008">
        <v>0</v>
      </c>
      <c r="LH112" s="1007">
        <v>0</v>
      </c>
      <c r="LI112" s="1008">
        <v>0</v>
      </c>
      <c r="LJ112" s="1007">
        <v>0</v>
      </c>
      <c r="LK112" s="1008">
        <v>0</v>
      </c>
      <c r="LL112" s="1007">
        <v>0</v>
      </c>
      <c r="LM112" s="1008">
        <v>0</v>
      </c>
      <c r="LN112" s="1007">
        <v>0</v>
      </c>
      <c r="LO112" s="1008">
        <v>0</v>
      </c>
      <c r="LP112" s="1007">
        <v>0</v>
      </c>
      <c r="LQ112" s="1008">
        <v>0</v>
      </c>
      <c r="LR112" s="1007">
        <v>0</v>
      </c>
      <c r="LS112" s="1008">
        <v>0</v>
      </c>
      <c r="LT112" s="1007">
        <v>0</v>
      </c>
      <c r="LU112" s="1008">
        <v>0</v>
      </c>
      <c r="LV112" s="1007">
        <v>0</v>
      </c>
      <c r="LW112" s="1008">
        <v>0</v>
      </c>
      <c r="LX112" s="1007">
        <v>0</v>
      </c>
      <c r="LY112" s="1009">
        <v>0</v>
      </c>
      <c r="LZ112" s="1010">
        <v>0</v>
      </c>
      <c r="MA112" s="1011">
        <v>0</v>
      </c>
      <c r="MB112" s="1012">
        <v>0</v>
      </c>
      <c r="MC112" s="995"/>
      <c r="MD112" s="996"/>
      <c r="ME112" s="997" t="s">
        <v>416</v>
      </c>
      <c r="MF112" s="997"/>
      <c r="MG112" s="998"/>
      <c r="NR112" s="1000"/>
      <c r="NS112" s="1000"/>
      <c r="NT112" s="1001"/>
      <c r="NU112" s="1000"/>
      <c r="NV112" s="1001"/>
      <c r="NX112" s="1002"/>
      <c r="NZ112" s="1001"/>
      <c r="OA112" s="1001"/>
      <c r="OC112" s="1003"/>
      <c r="OD112" s="1003"/>
      <c r="OE112" s="1001"/>
      <c r="OF112" s="1003"/>
      <c r="OG112" s="1003"/>
      <c r="QX112" s="1000">
        <f t="shared" si="51"/>
        <v>40</v>
      </c>
      <c r="ASU112" s="999" t="s">
        <v>292</v>
      </c>
    </row>
    <row r="113" spans="1:466 1191:1191" ht="21" customHeight="1" x14ac:dyDescent="0.25">
      <c r="A113" s="982" t="str">
        <f t="shared" si="59"/>
        <v>1022-1</v>
      </c>
      <c r="B113" s="124">
        <f>SUBTOTAL(103,$J$29:J113)</f>
        <v>85</v>
      </c>
      <c r="C113" s="126">
        <v>45068</v>
      </c>
      <c r="D113" s="124" t="s">
        <v>176</v>
      </c>
      <c r="E113" s="127" t="s">
        <v>177</v>
      </c>
      <c r="F113" s="128" t="s">
        <v>177</v>
      </c>
      <c r="G113" s="127" t="s">
        <v>178</v>
      </c>
      <c r="H113" s="127" t="s">
        <v>421</v>
      </c>
      <c r="I113" s="127" t="s">
        <v>538</v>
      </c>
      <c r="J113" s="152" t="s">
        <v>650</v>
      </c>
      <c r="K113" s="127" t="s">
        <v>645</v>
      </c>
      <c r="L113" s="130">
        <v>41166</v>
      </c>
      <c r="M113" s="127" t="s">
        <v>230</v>
      </c>
      <c r="N113" s="127" t="s">
        <v>231</v>
      </c>
      <c r="O113" s="127" t="s">
        <v>185</v>
      </c>
      <c r="P113" s="127" t="s">
        <v>186</v>
      </c>
      <c r="Q113" s="85" t="str">
        <f t="shared" si="85"/>
        <v/>
      </c>
      <c r="R113" s="130"/>
      <c r="S113" s="128" t="s">
        <v>156</v>
      </c>
      <c r="T113" s="131"/>
      <c r="U113" s="132">
        <v>203</v>
      </c>
      <c r="V113" s="121">
        <v>218.2</v>
      </c>
      <c r="W113" s="116">
        <v>0.98</v>
      </c>
      <c r="X113" s="116">
        <v>1.66</v>
      </c>
      <c r="Y113" s="116">
        <f t="shared" si="86"/>
        <v>0.9983209944425897</v>
      </c>
      <c r="Z113" s="133">
        <v>1.454</v>
      </c>
      <c r="AA113" s="133">
        <v>0.83599999999999997</v>
      </c>
      <c r="AB113" s="133">
        <v>0.72</v>
      </c>
      <c r="AC113" s="121">
        <v>34.299999999999997</v>
      </c>
      <c r="AD113" s="134">
        <v>1.17</v>
      </c>
      <c r="AE113" s="124">
        <v>177.8</v>
      </c>
      <c r="AF113" s="128">
        <v>8.0500000000000007</v>
      </c>
      <c r="AG113" s="128">
        <v>1889</v>
      </c>
      <c r="AH113" s="127">
        <v>2500</v>
      </c>
      <c r="AI113" s="127">
        <v>2500</v>
      </c>
      <c r="AJ113" s="135"/>
      <c r="AK113" s="128"/>
      <c r="AL113" s="131"/>
      <c r="AM113" s="124" t="s">
        <v>232</v>
      </c>
      <c r="AN113" s="136" t="s">
        <v>651</v>
      </c>
      <c r="AO113" s="137">
        <v>97.43</v>
      </c>
      <c r="AP113" s="128">
        <v>1889</v>
      </c>
      <c r="AQ113" s="128">
        <v>43.14</v>
      </c>
      <c r="AR113" s="128"/>
      <c r="AS113" s="128"/>
      <c r="AT113" s="122"/>
      <c r="AU113" s="124" t="s">
        <v>250</v>
      </c>
      <c r="AV113" s="115">
        <f>VLOOKUP(J113,'[63]ТР нефть'!$J$28:$BP$638,39,0)</f>
        <v>612</v>
      </c>
      <c r="AW113" s="115" t="str">
        <f>VLOOKUP(J113,'[63]ТР нефть'!$J$28:$BP$638,40,0)</f>
        <v>ГП</v>
      </c>
      <c r="AX113" s="115">
        <f>VLOOKUP(J113,'[63]ТР нефть'!$J$28:$BP$638,41,0)</f>
        <v>1212</v>
      </c>
      <c r="AY113" s="115" t="str">
        <f>VLOOKUP(J113,'[63]ТР нефть'!$J$28:$BP$638,42,0)</f>
        <v>ГП</v>
      </c>
      <c r="AZ113" s="115">
        <f>VLOOKUP(J113,'[63]ТР нефть'!$J$28:$BP$638,43,0)</f>
        <v>1707</v>
      </c>
      <c r="BA113" s="115" t="str">
        <f>VLOOKUP(J113,'[63]ТР нефть'!$J$28:$BP$638,44,0)</f>
        <v>ЦКсОК 5/16</v>
      </c>
      <c r="BB113" s="115" t="str">
        <f>VLOOKUP(J113,'[63]ТР нефть'!$J$28:$BP$638,45,0)</f>
        <v>-</v>
      </c>
      <c r="BC113" s="115" t="str">
        <f>VLOOKUP(J113,'[63]ТР нефть'!$J$28:$BP$638,46,0)</f>
        <v>-</v>
      </c>
      <c r="BD113" s="115" t="str">
        <f>VLOOKUP(J113,'[63]ТР нефть'!$J$28:$BP$638,47,0)</f>
        <v>-</v>
      </c>
      <c r="BE113" s="115" t="str">
        <f>VLOOKUP(J113,'[63]ТР нефть'!$J$28:$BP$638,48,0)</f>
        <v>-</v>
      </c>
      <c r="BF113" s="115" t="str">
        <f>VLOOKUP(J113,'[63]ТР нефть'!$J$28:$BP$638,49,0)</f>
        <v>-</v>
      </c>
      <c r="BG113" s="115" t="str">
        <f>VLOOKUP(J113,'[63]ТР нефть'!$J$28:$BP$638,50,0)</f>
        <v>-</v>
      </c>
      <c r="BH113" s="115">
        <f>VLOOKUP(J113,'[63]ТР нефть'!$J$28:$BP$638,51,0)</f>
        <v>1718</v>
      </c>
      <c r="BI113" s="115" t="str">
        <f>VLOOKUP(J113,'[63]ТР нефть'!$J$28:$BP$638,52,0)</f>
        <v>закрыт</v>
      </c>
      <c r="BJ113" s="115" t="str">
        <f>IF(IFERROR(VLOOKUP(J113,'[63]ТР нефть'!$J$28:$BP$638,53,0),"-")=0,"-",IFERROR(VLOOKUP(J113,'[63]ТР нефть'!$J$28:$BP$638,53,0),"-"))</f>
        <v>-</v>
      </c>
      <c r="BK113" s="138" t="str">
        <f>IF(IFERROR(VLOOKUP(J113,'[63]ТР нефть'!$J$28:$BP$638,54,0),"-")=0,"-",IFERROR(VLOOKUP(J113,'[63]ТР нефть'!$J$28:$BP$638,54,0),"-"))</f>
        <v>-</v>
      </c>
      <c r="BL113" s="138" t="str">
        <f>IF(IFERROR(VLOOKUP(J113,'[63]ТР нефть'!$J$28:$BP$638,55,0),"-")=0,"-",IFERROR(VLOOKUP(J113,'[63]ТР нефть'!$J$28:$BP$638,55,0),"-"))</f>
        <v>-</v>
      </c>
      <c r="BM113" s="138" t="str">
        <f>IF(IFERROR(VLOOKUP(J113,'[63]ТР нефть'!$J$28:$BP$638,56,0),"-")=0,"-",IFERROR(VLOOKUP(J113,'[63]ТР нефть'!$J$28:$BP$638,56,0),"-"))</f>
        <v>-</v>
      </c>
      <c r="BN113" s="138" t="str">
        <f>IF(IFERROR(VLOOKUP(J113,'[63]ТР нефть'!$J$28:$BP$638,57,0),"-")=0,"-",IFERROR(VLOOKUP(J113,'[63]ТР нефть'!$J$28:$BP$638,57,0),"-"))</f>
        <v>-</v>
      </c>
      <c r="BO113" s="115" t="str">
        <f>IF(IFERROR(VLOOKUP(J113,'[63]ТР нефть'!$J$28:$BP$638,58,0),"-")=0,"-",IFERROR(VLOOKUP(J113,'[63]ТР нефть'!$J$28:$BP$638,58,0),"-"))</f>
        <v>-</v>
      </c>
      <c r="BP113" s="115" t="str">
        <f>IF(IFERROR(VLOOKUP(J113,'[63]ТР нефть'!$J$28:$BP$638,59,0),"-")=0,"-",IFERROR(VLOOKUP(J113,'[63]ТР нефть'!$J$28:$BP$638,59,0),"-"))</f>
        <v>-</v>
      </c>
      <c r="BQ113" s="138">
        <v>2107</v>
      </c>
      <c r="BR113" s="128">
        <v>1866.22</v>
      </c>
      <c r="BS113" s="115">
        <f t="shared" si="60"/>
        <v>240.77999999999997</v>
      </c>
      <c r="BT113" s="128">
        <v>73</v>
      </c>
      <c r="BU113" s="128">
        <v>5.5</v>
      </c>
      <c r="BV113" s="127">
        <v>18</v>
      </c>
      <c r="BW113" s="127" t="s">
        <v>217</v>
      </c>
      <c r="BX113" s="127" t="s">
        <v>195</v>
      </c>
      <c r="BY113" s="139">
        <v>24</v>
      </c>
      <c r="BZ113" s="139">
        <v>0</v>
      </c>
      <c r="CA113" s="138">
        <v>47</v>
      </c>
      <c r="CB113" s="138">
        <v>57</v>
      </c>
      <c r="CC113" s="138">
        <v>46</v>
      </c>
      <c r="CD113" s="135">
        <v>45017</v>
      </c>
      <c r="CE113" s="138">
        <v>98.2</v>
      </c>
      <c r="CF113" s="138"/>
      <c r="CG113" s="138" t="str">
        <f t="shared" si="52"/>
        <v/>
      </c>
      <c r="CH113" s="138" t="s">
        <v>197</v>
      </c>
      <c r="CI113" s="127"/>
      <c r="CJ113" s="138"/>
      <c r="CK113" s="138"/>
      <c r="CL113" s="99"/>
      <c r="CM113" s="127"/>
      <c r="CN113" s="154">
        <v>73</v>
      </c>
      <c r="CO113" s="159">
        <f t="shared" si="61"/>
        <v>8.2410071040000012</v>
      </c>
      <c r="CP113" s="160">
        <v>10.32</v>
      </c>
      <c r="CQ113" s="161">
        <v>4.4800000000000004</v>
      </c>
      <c r="CR113" s="138">
        <v>54.5</v>
      </c>
      <c r="CS113" s="139"/>
      <c r="CT113" s="138"/>
      <c r="CU113" s="138">
        <f t="shared" si="62"/>
        <v>54.5</v>
      </c>
      <c r="CV113" s="115">
        <f t="shared" si="63"/>
        <v>6613.2693871295069</v>
      </c>
      <c r="CW113" s="115" t="str">
        <f t="shared" si="64"/>
        <v/>
      </c>
      <c r="CX113" s="133">
        <f t="shared" si="65"/>
        <v>0.40952380952380951</v>
      </c>
      <c r="CY113" s="116"/>
      <c r="CZ113" s="131"/>
      <c r="DA113" s="145" t="str">
        <f t="shared" si="66"/>
        <v>Фон.</v>
      </c>
      <c r="DB113" s="146">
        <f t="shared" si="67"/>
        <v>8.2410071040000012</v>
      </c>
      <c r="DC113" s="142">
        <f t="shared" si="68"/>
        <v>10.32</v>
      </c>
      <c r="DD113" s="119">
        <f t="shared" si="69"/>
        <v>4.4800000000000004</v>
      </c>
      <c r="DE113" s="115">
        <f>DC645</f>
        <v>0</v>
      </c>
      <c r="DF113" s="121">
        <f t="shared" si="71"/>
        <v>0</v>
      </c>
      <c r="DG113" s="115">
        <f t="shared" si="72"/>
        <v>6613.2693871295069</v>
      </c>
      <c r="DH113" s="115">
        <f t="shared" si="73"/>
        <v>73</v>
      </c>
      <c r="DI113" s="147"/>
      <c r="DJ113" s="111" t="s">
        <v>197</v>
      </c>
      <c r="DK113" s="112">
        <v>41166</v>
      </c>
      <c r="DL113" s="113">
        <f t="shared" ca="1" si="87"/>
        <v>3938</v>
      </c>
      <c r="DM113" s="114"/>
      <c r="DN113" s="114"/>
      <c r="DO113" s="114"/>
      <c r="DP113" s="114"/>
      <c r="DQ113" s="112">
        <v>41166</v>
      </c>
      <c r="DR113" s="114" t="s">
        <v>324</v>
      </c>
      <c r="DS113" s="114"/>
      <c r="DT113" s="115">
        <v>69</v>
      </c>
      <c r="DU113" s="116">
        <f t="shared" si="88"/>
        <v>0.40115550690263335</v>
      </c>
      <c r="DV113" s="117">
        <f t="shared" si="89"/>
        <v>9.3539749186090155</v>
      </c>
      <c r="DW113" s="118">
        <f t="shared" si="90"/>
        <v>11.713740801556895</v>
      </c>
      <c r="DX113" s="119">
        <f t="shared" si="74"/>
        <v>4.4800000000000004</v>
      </c>
      <c r="DY113" s="115">
        <f t="shared" si="91"/>
        <v>61.860355977214226</v>
      </c>
      <c r="DZ113" s="117">
        <f t="shared" si="92"/>
        <v>1.1129678146090143</v>
      </c>
      <c r="EA113" s="120">
        <f t="shared" si="92"/>
        <v>1.3937408015568948</v>
      </c>
      <c r="EB113" s="119">
        <f t="shared" si="92"/>
        <v>0</v>
      </c>
      <c r="EC113" s="121">
        <f t="shared" si="93"/>
        <v>7.3603559772142262</v>
      </c>
      <c r="ED113" s="122"/>
      <c r="EE113" s="145">
        <v>18</v>
      </c>
      <c r="EF113" s="115">
        <v>41</v>
      </c>
      <c r="EG113" s="115">
        <v>38</v>
      </c>
      <c r="EH113" s="115">
        <v>38</v>
      </c>
      <c r="EI113" s="128" t="s">
        <v>195</v>
      </c>
      <c r="EJ113" s="121">
        <v>24</v>
      </c>
      <c r="EK113" s="121">
        <v>0</v>
      </c>
      <c r="EL113" s="162">
        <v>8.2410071040000012</v>
      </c>
      <c r="EM113" s="142">
        <v>10.32</v>
      </c>
      <c r="EN113" s="119">
        <v>4.4800000000000004</v>
      </c>
      <c r="EO113" s="115">
        <v>54.5</v>
      </c>
      <c r="EP113" s="115">
        <v>6613.2693871295069</v>
      </c>
      <c r="EQ113" s="115">
        <v>0</v>
      </c>
      <c r="ER113" s="115">
        <v>0</v>
      </c>
      <c r="ES113" s="115">
        <v>70</v>
      </c>
      <c r="ET113" s="150">
        <v>0.36595744680851061</v>
      </c>
      <c r="EU113" s="145">
        <f t="shared" si="75"/>
        <v>18</v>
      </c>
      <c r="EV113" s="115">
        <f t="shared" si="76"/>
        <v>47</v>
      </c>
      <c r="EW113" s="115">
        <f t="shared" si="76"/>
        <v>57</v>
      </c>
      <c r="EX113" s="115">
        <f t="shared" si="76"/>
        <v>46</v>
      </c>
      <c r="EY113" s="115" t="str">
        <f t="shared" si="77"/>
        <v>Постоянный</v>
      </c>
      <c r="EZ113" s="115">
        <f t="shared" si="77"/>
        <v>24</v>
      </c>
      <c r="FA113" s="115">
        <f t="shared" si="77"/>
        <v>0</v>
      </c>
      <c r="FB113" s="149">
        <f t="shared" si="78"/>
        <v>8.2410071040000012</v>
      </c>
      <c r="FC113" s="142">
        <f t="shared" si="78"/>
        <v>10.32</v>
      </c>
      <c r="FD113" s="119">
        <f t="shared" si="78"/>
        <v>4.4800000000000004</v>
      </c>
      <c r="FE113" s="121">
        <f t="shared" si="78"/>
        <v>54.5</v>
      </c>
      <c r="FF113" s="121">
        <f t="shared" si="94"/>
        <v>6613.2693871295069</v>
      </c>
      <c r="FG113" s="121">
        <f t="shared" si="79"/>
        <v>0</v>
      </c>
      <c r="FH113" s="121">
        <f t="shared" si="95"/>
        <v>0</v>
      </c>
      <c r="FI113" s="121">
        <f t="shared" si="54"/>
        <v>73</v>
      </c>
      <c r="FJ113" s="144">
        <f t="shared" si="80"/>
        <v>0.40952380952380951</v>
      </c>
      <c r="FK113" s="132">
        <f t="shared" si="81"/>
        <v>0</v>
      </c>
      <c r="FL113" s="115">
        <f t="shared" si="81"/>
        <v>6</v>
      </c>
      <c r="FM113" s="115">
        <f t="shared" si="81"/>
        <v>19</v>
      </c>
      <c r="FN113" s="115">
        <f t="shared" si="58"/>
        <v>8</v>
      </c>
      <c r="FO113" s="115">
        <f t="shared" si="57"/>
        <v>0</v>
      </c>
      <c r="FP113" s="115">
        <f t="shared" si="56"/>
        <v>0</v>
      </c>
      <c r="FQ113" s="149">
        <f t="shared" si="56"/>
        <v>0</v>
      </c>
      <c r="FR113" s="142">
        <f t="shared" si="56"/>
        <v>0</v>
      </c>
      <c r="FS113" s="119">
        <f t="shared" si="56"/>
        <v>0</v>
      </c>
      <c r="FT113" s="121">
        <f t="shared" si="56"/>
        <v>0</v>
      </c>
      <c r="FU113" s="121">
        <f t="shared" si="82"/>
        <v>0</v>
      </c>
      <c r="FV113" s="121">
        <f t="shared" si="82"/>
        <v>0</v>
      </c>
      <c r="FW113" s="121">
        <f t="shared" si="83"/>
        <v>0</v>
      </c>
      <c r="FX113" s="121">
        <f t="shared" si="84"/>
        <v>3</v>
      </c>
      <c r="FY113" s="144">
        <f t="shared" si="84"/>
        <v>4.3566362715298901E-2</v>
      </c>
      <c r="FZ113" s="145"/>
      <c r="GA113" s="163" t="s">
        <v>627</v>
      </c>
      <c r="GB113" s="145"/>
      <c r="GC113" s="163" t="s">
        <v>652</v>
      </c>
      <c r="GD113" s="997" t="s">
        <v>416</v>
      </c>
      <c r="GE113" s="1004"/>
      <c r="GF113" s="1004">
        <v>0</v>
      </c>
      <c r="GG113" s="1004"/>
      <c r="GH113" s="1004">
        <v>-0.543012096</v>
      </c>
      <c r="GI113" s="145"/>
      <c r="GJ113" s="996">
        <v>0</v>
      </c>
      <c r="GK113" s="145"/>
      <c r="GL113" s="996">
        <v>0.98401920000000143</v>
      </c>
      <c r="GM113" s="1005"/>
      <c r="GN113" s="996">
        <v>0</v>
      </c>
      <c r="GO113" s="1006"/>
      <c r="GP113" s="996">
        <v>0</v>
      </c>
      <c r="GQ113" s="1006"/>
      <c r="GR113" s="996">
        <v>0</v>
      </c>
      <c r="GS113" s="1006"/>
      <c r="GT113" s="996">
        <v>0</v>
      </c>
      <c r="GU113" s="1006" t="s">
        <v>223</v>
      </c>
      <c r="GV113" s="996">
        <v>-2.7281355199999995</v>
      </c>
      <c r="GW113" s="1006"/>
      <c r="GX113" s="996">
        <v>0</v>
      </c>
      <c r="GY113" s="1006"/>
      <c r="GZ113" s="996">
        <v>0</v>
      </c>
      <c r="HA113" s="1006" t="s">
        <v>204</v>
      </c>
      <c r="HB113" s="996">
        <v>-1.3335872000000002</v>
      </c>
      <c r="HC113" s="1006" t="s">
        <v>199</v>
      </c>
      <c r="HD113" s="996">
        <v>1.1969847999999992</v>
      </c>
      <c r="HE113" s="1006"/>
      <c r="HF113" s="996">
        <v>-0.83098399999999906</v>
      </c>
      <c r="HG113" s="1006"/>
      <c r="HH113" s="996">
        <v>0</v>
      </c>
      <c r="HI113" s="1006" t="s">
        <v>221</v>
      </c>
      <c r="HJ113" s="996">
        <v>2.5760503999999997</v>
      </c>
      <c r="HK113" s="1006" t="s">
        <v>221</v>
      </c>
      <c r="HL113" s="996">
        <v>-2.5760503999999997</v>
      </c>
      <c r="HM113" s="1006" t="s">
        <v>199</v>
      </c>
      <c r="HN113" s="996">
        <v>2.3830815360000024</v>
      </c>
      <c r="HO113" s="1006"/>
      <c r="HP113" s="996">
        <v>0</v>
      </c>
      <c r="HQ113" s="1006"/>
      <c r="HR113" s="996">
        <v>0</v>
      </c>
      <c r="HS113" s="1006"/>
      <c r="HT113" s="996">
        <v>0</v>
      </c>
      <c r="HU113" s="1006"/>
      <c r="HV113" s="996">
        <v>0.56603587039999681</v>
      </c>
      <c r="HW113" s="1006" t="s">
        <v>221</v>
      </c>
      <c r="HX113" s="996">
        <v>-8.2503159639999986</v>
      </c>
      <c r="HY113" s="1006"/>
      <c r="HZ113" s="996">
        <v>0</v>
      </c>
      <c r="IA113" s="1006"/>
      <c r="IB113" s="996">
        <v>0</v>
      </c>
      <c r="IC113" s="1006" t="s">
        <v>199</v>
      </c>
      <c r="ID113" s="996">
        <v>4.1510631975999992</v>
      </c>
      <c r="IE113" s="1006"/>
      <c r="IF113" s="996">
        <v>0</v>
      </c>
      <c r="IG113" s="1006" t="s">
        <v>199</v>
      </c>
      <c r="IH113" s="996">
        <v>-1.6404326400000002</v>
      </c>
      <c r="II113" s="1006"/>
      <c r="IJ113" s="996">
        <v>-0.3678399999999975</v>
      </c>
      <c r="IK113" s="1006"/>
      <c r="IL113" s="996">
        <v>-0.75240000000000329</v>
      </c>
      <c r="IM113" s="1006" t="s">
        <v>204</v>
      </c>
      <c r="IN113" s="996">
        <v>-5.6095599999999965</v>
      </c>
      <c r="IO113" s="1006" t="s">
        <v>199</v>
      </c>
      <c r="IP113" s="996">
        <v>6.3703199999999978</v>
      </c>
      <c r="IQ113" s="1006"/>
      <c r="IR113" s="996">
        <v>0</v>
      </c>
      <c r="IS113" s="1006"/>
      <c r="IT113" s="996">
        <v>0</v>
      </c>
      <c r="IU113" s="1006" t="s">
        <v>199</v>
      </c>
      <c r="IV113" s="996">
        <v>-1.8057600000000011</v>
      </c>
      <c r="IW113" s="1006" t="s">
        <v>199</v>
      </c>
      <c r="IX113" s="996">
        <v>-2.5212087999999966</v>
      </c>
      <c r="IY113" s="1006"/>
      <c r="IZ113" s="996">
        <v>0</v>
      </c>
      <c r="JA113" s="1006"/>
      <c r="JB113" s="996">
        <v>0</v>
      </c>
      <c r="JC113" s="1006"/>
      <c r="JD113" s="996">
        <v>0</v>
      </c>
      <c r="JE113" s="1006"/>
      <c r="JF113" s="996">
        <v>0</v>
      </c>
      <c r="JG113" s="1006"/>
      <c r="JH113" s="996">
        <v>0</v>
      </c>
      <c r="JI113" s="1006" t="s">
        <v>223</v>
      </c>
      <c r="JJ113" s="996">
        <v>-7.0402190892000007</v>
      </c>
      <c r="JK113" s="1007" t="s">
        <v>204</v>
      </c>
      <c r="JL113" s="1007">
        <v>-3.0423045707999989</v>
      </c>
      <c r="JM113" s="1007" t="s">
        <v>199</v>
      </c>
      <c r="JN113" s="1007">
        <v>12.689950811999999</v>
      </c>
      <c r="JO113" s="1008" t="s">
        <v>199</v>
      </c>
      <c r="JP113" s="1007">
        <v>-7.7192327519999999</v>
      </c>
      <c r="JQ113" s="1008">
        <v>0</v>
      </c>
      <c r="JR113" s="1007">
        <v>0</v>
      </c>
      <c r="JS113" s="1008" t="s">
        <v>199</v>
      </c>
      <c r="JT113" s="1007">
        <v>2.8404103200000002</v>
      </c>
      <c r="JU113" s="1008"/>
      <c r="JV113" s="1007">
        <v>0</v>
      </c>
      <c r="JW113" s="1008" t="s">
        <v>197</v>
      </c>
      <c r="JX113" s="1007">
        <v>0</v>
      </c>
      <c r="JY113" s="1008"/>
      <c r="JZ113" s="1007">
        <v>0</v>
      </c>
      <c r="KA113" s="1008" t="s">
        <v>199</v>
      </c>
      <c r="KB113" s="1007">
        <v>-3.6758251199999989</v>
      </c>
      <c r="KC113" s="1008" t="s">
        <v>204</v>
      </c>
      <c r="KD113" s="1007">
        <v>-2.5062443999999999</v>
      </c>
      <c r="KE113" s="1008"/>
      <c r="KF113" s="1007">
        <v>0</v>
      </c>
      <c r="KG113" s="1008" t="s">
        <v>204</v>
      </c>
      <c r="KH113" s="1007">
        <v>-3.3416592000000023</v>
      </c>
      <c r="KI113" s="1008"/>
      <c r="KJ113" s="1007">
        <v>0</v>
      </c>
      <c r="KK113" s="1008" t="s">
        <v>206</v>
      </c>
      <c r="KL113" s="1007">
        <v>1.6708296000000011</v>
      </c>
      <c r="KM113" s="1008" t="s">
        <v>206</v>
      </c>
      <c r="KN113" s="1007">
        <v>0</v>
      </c>
      <c r="KO113" s="1008" t="s">
        <v>207</v>
      </c>
      <c r="KP113" s="1007">
        <v>6.6833183999999974</v>
      </c>
      <c r="KQ113" s="1008">
        <v>0</v>
      </c>
      <c r="KR113" s="1007">
        <v>0</v>
      </c>
      <c r="KS113" s="1008" t="s">
        <v>204</v>
      </c>
      <c r="KT113" s="1007">
        <v>-0.83541479999999524</v>
      </c>
      <c r="KU113" s="1008">
        <v>0</v>
      </c>
      <c r="KV113" s="1007">
        <v>0</v>
      </c>
      <c r="KW113" s="1008">
        <v>0</v>
      </c>
      <c r="KX113" s="1007">
        <v>0</v>
      </c>
      <c r="KY113" s="1008">
        <v>0</v>
      </c>
      <c r="KZ113" s="1007">
        <v>0</v>
      </c>
      <c r="LA113" s="1008">
        <v>0</v>
      </c>
      <c r="LB113" s="1007">
        <v>0</v>
      </c>
      <c r="LC113" s="1008">
        <v>0</v>
      </c>
      <c r="LD113" s="1007">
        <v>0</v>
      </c>
      <c r="LE113" s="1008" t="s">
        <v>206</v>
      </c>
      <c r="LF113" s="1007">
        <v>2.5062443999999964</v>
      </c>
      <c r="LG113" s="1008">
        <v>0</v>
      </c>
      <c r="LH113" s="1007">
        <v>0</v>
      </c>
      <c r="LI113" s="1008" t="s">
        <v>204</v>
      </c>
      <c r="LJ113" s="1007">
        <v>-2.5062443999999999</v>
      </c>
      <c r="LK113" s="1008">
        <v>0</v>
      </c>
      <c r="LL113" s="1007">
        <v>0</v>
      </c>
      <c r="LM113" s="1008">
        <v>0</v>
      </c>
      <c r="LN113" s="1007">
        <v>0</v>
      </c>
      <c r="LO113" s="1008">
        <v>0</v>
      </c>
      <c r="LP113" s="1007">
        <v>0</v>
      </c>
      <c r="LQ113" s="1008" t="s">
        <v>206</v>
      </c>
      <c r="LR113" s="1007">
        <v>-1.678296</v>
      </c>
      <c r="LS113" s="1008" t="s">
        <v>206</v>
      </c>
      <c r="LT113" s="1007">
        <v>2.499552</v>
      </c>
      <c r="LU113" s="1008">
        <v>0</v>
      </c>
      <c r="LV113" s="1007">
        <v>3.5583336800000005</v>
      </c>
      <c r="LW113" s="1008">
        <v>0</v>
      </c>
      <c r="LX113" s="1007">
        <v>-0.82596800000000004</v>
      </c>
      <c r="LY113" s="1009" t="s">
        <v>207</v>
      </c>
      <c r="LZ113" s="1010">
        <v>-7.7528967999999985</v>
      </c>
      <c r="MA113" s="1011" t="s">
        <v>223</v>
      </c>
      <c r="MB113" s="1012">
        <v>-3.4553551999999996</v>
      </c>
      <c r="MC113" s="995"/>
      <c r="MD113" s="996"/>
      <c r="ME113" s="997" t="s">
        <v>416</v>
      </c>
      <c r="MF113" s="997"/>
      <c r="MG113" s="998"/>
      <c r="NR113" s="1000"/>
      <c r="NS113" s="1000"/>
      <c r="NT113" s="1001"/>
      <c r="NU113" s="1000"/>
      <c r="NV113" s="1001"/>
      <c r="NX113" s="1002"/>
      <c r="NZ113" s="1001"/>
      <c r="OA113" s="1001"/>
      <c r="OC113" s="1003"/>
      <c r="OD113" s="1003"/>
      <c r="OE113" s="1001"/>
      <c r="OF113" s="1003"/>
      <c r="OG113" s="1003"/>
      <c r="QX113" s="1000">
        <f t="shared" ref="QX113:QX164" si="96">CN113-CA113</f>
        <v>26</v>
      </c>
      <c r="ASU113" s="999" t="s">
        <v>208</v>
      </c>
    </row>
    <row r="114" spans="1:466 1191:1191" ht="21" customHeight="1" x14ac:dyDescent="0.25">
      <c r="A114" s="982">
        <f t="shared" si="59"/>
        <v>1027</v>
      </c>
      <c r="B114" s="124">
        <f>SUBTOTAL(103,$J$29:J114)</f>
        <v>86</v>
      </c>
      <c r="C114" s="126">
        <v>45096</v>
      </c>
      <c r="D114" s="124" t="s">
        <v>176</v>
      </c>
      <c r="E114" s="127" t="s">
        <v>177</v>
      </c>
      <c r="F114" s="128" t="s">
        <v>177</v>
      </c>
      <c r="G114" s="127" t="s">
        <v>178</v>
      </c>
      <c r="H114" s="127" t="s">
        <v>226</v>
      </c>
      <c r="I114" s="127" t="s">
        <v>456</v>
      </c>
      <c r="J114" s="152">
        <v>1027</v>
      </c>
      <c r="K114" s="127" t="s">
        <v>653</v>
      </c>
      <c r="L114" s="130">
        <v>38512</v>
      </c>
      <c r="M114" s="127" t="s">
        <v>230</v>
      </c>
      <c r="N114" s="127" t="s">
        <v>231</v>
      </c>
      <c r="O114" s="127" t="s">
        <v>185</v>
      </c>
      <c r="P114" s="127" t="s">
        <v>315</v>
      </c>
      <c r="Q114" s="85" t="str">
        <f t="shared" si="85"/>
        <v/>
      </c>
      <c r="R114" s="130"/>
      <c r="S114" s="128"/>
      <c r="T114" s="131"/>
      <c r="U114" s="132">
        <v>203</v>
      </c>
      <c r="V114" s="121">
        <v>218.2</v>
      </c>
      <c r="W114" s="116">
        <v>0.98</v>
      </c>
      <c r="X114" s="116">
        <v>1.66</v>
      </c>
      <c r="Y114" s="116">
        <f t="shared" si="86"/>
        <v>0.98403097023953534</v>
      </c>
      <c r="Z114" s="133">
        <v>1.454</v>
      </c>
      <c r="AA114" s="133">
        <v>0.83599999999999997</v>
      </c>
      <c r="AB114" s="133">
        <v>0.72</v>
      </c>
      <c r="AC114" s="121">
        <v>34.299999999999997</v>
      </c>
      <c r="AD114" s="134">
        <v>1.17</v>
      </c>
      <c r="AE114" s="124">
        <v>139.69999999999999</v>
      </c>
      <c r="AF114" s="128">
        <v>7.72</v>
      </c>
      <c r="AG114" s="128">
        <v>2050</v>
      </c>
      <c r="AH114" s="127">
        <v>2400</v>
      </c>
      <c r="AI114" s="127">
        <v>2400</v>
      </c>
      <c r="AJ114" s="135"/>
      <c r="AK114" s="128"/>
      <c r="AL114" s="131"/>
      <c r="AM114" s="124" t="s">
        <v>232</v>
      </c>
      <c r="AN114" s="136" t="s">
        <v>654</v>
      </c>
      <c r="AO114" s="137">
        <v>16.45</v>
      </c>
      <c r="AP114" s="128">
        <v>2050</v>
      </c>
      <c r="AQ114" s="128">
        <v>200.1</v>
      </c>
      <c r="AR114" s="128">
        <v>1886</v>
      </c>
      <c r="AS114" s="128">
        <v>1996</v>
      </c>
      <c r="AT114" s="122">
        <v>110</v>
      </c>
      <c r="AU114" s="124" t="s">
        <v>250</v>
      </c>
      <c r="AV114" s="115">
        <f>VLOOKUP(J114,'[63]ТР нефть'!$J$28:$BP$638,39,0)</f>
        <v>489</v>
      </c>
      <c r="AW114" s="115" t="str">
        <f>VLOOKUP(J114,'[63]ТР нефть'!$J$28:$BP$638,40,0)</f>
        <v>ГП</v>
      </c>
      <c r="AX114" s="115">
        <f>VLOOKUP(J114,'[63]ТР нефть'!$J$28:$BP$638,41,0)</f>
        <v>887</v>
      </c>
      <c r="AY114" s="115" t="str">
        <f>VLOOKUP(J114,'[63]ТР нефть'!$J$28:$BP$638,42,0)</f>
        <v>ГП</v>
      </c>
      <c r="AZ114" s="115">
        <f>VLOOKUP(J114,'[63]ТР нефть'!$J$28:$BP$638,43,0)</f>
        <v>1203</v>
      </c>
      <c r="BA114" s="115" t="str">
        <f>VLOOKUP(J114,'[63]ТР нефть'!$J$28:$BP$638,44,0)</f>
        <v>ГП</v>
      </c>
      <c r="BB114" s="115">
        <f>VLOOKUP(J114,'[63]ТР нефть'!$J$28:$BP$638,45,0)</f>
        <v>1445</v>
      </c>
      <c r="BC114" s="115" t="str">
        <f>VLOOKUP(J114,'[63]ТР нефть'!$J$28:$BP$638,46,0)</f>
        <v>ГК 75 1/8</v>
      </c>
      <c r="BD114" s="115">
        <f>VLOOKUP(J114,'[63]ТР нефть'!$J$28:$BP$638,47,0)</f>
        <v>1758</v>
      </c>
      <c r="BE114" s="115" t="str">
        <f>VLOOKUP(J114,'[63]ТР нефть'!$J$28:$BP$638,48,0)</f>
        <v>ЦКсОК 5/16</v>
      </c>
      <c r="BF114" s="115" t="str">
        <f>VLOOKUP(J114,'[63]ТР нефть'!$J$28:$BP$638,49,0)</f>
        <v>-</v>
      </c>
      <c r="BG114" s="115" t="str">
        <f>VLOOKUP(J114,'[63]ТР нефть'!$J$28:$BP$638,50,0)</f>
        <v>-</v>
      </c>
      <c r="BH114" s="115" t="str">
        <f>VLOOKUP(J114,'[63]ТР нефть'!$J$28:$BP$638,51,0)</f>
        <v>-</v>
      </c>
      <c r="BI114" s="115" t="str">
        <f>VLOOKUP(J114,'[63]ТР нефть'!$J$28:$BP$638,52,0)</f>
        <v>-</v>
      </c>
      <c r="BJ114" s="115" t="str">
        <f>IF(IFERROR(VLOOKUP(J114,'[63]ТР нефть'!$J$28:$BP$638,53,0),"-")=0,"-",IFERROR(VLOOKUP(J114,'[63]ТР нефть'!$J$28:$BP$638,53,0),"-"))</f>
        <v>-</v>
      </c>
      <c r="BK114" s="138" t="str">
        <f>IF(IFERROR(VLOOKUP(J114,'[63]ТР нефть'!$J$28:$BP$638,54,0),"-")=0,"-",IFERROR(VLOOKUP(J114,'[63]ТР нефть'!$J$28:$BP$638,54,0),"-"))</f>
        <v>-</v>
      </c>
      <c r="BL114" s="138" t="str">
        <f>IF(IFERROR(VLOOKUP(J114,'[63]ТР нефть'!$J$28:$BP$638,55,0),"-")=0,"-",IFERROR(VLOOKUP(J114,'[63]ТР нефть'!$J$28:$BP$638,55,0),"-"))</f>
        <v>-</v>
      </c>
      <c r="BM114" s="138" t="str">
        <f>IF(IFERROR(VLOOKUP(J114,'[63]ТР нефть'!$J$28:$BP$638,56,0),"-")=0,"-",IFERROR(VLOOKUP(J114,'[63]ТР нефть'!$J$28:$BP$638,56,0),"-"))</f>
        <v>-</v>
      </c>
      <c r="BN114" s="138" t="str">
        <f>IF(IFERROR(VLOOKUP(J114,'[63]ТР нефть'!$J$28:$BP$638,57,0),"-")=0,"-",IFERROR(VLOOKUP(J114,'[63]ТР нефть'!$J$28:$BP$638,57,0),"-"))</f>
        <v>-</v>
      </c>
      <c r="BO114" s="115" t="str">
        <f>IF(IFERROR(VLOOKUP(J114,'[63]ТР нефть'!$J$28:$BP$638,58,0),"-")=0,"-",IFERROR(VLOOKUP(J114,'[63]ТР нефть'!$J$28:$BP$638,58,0),"-"))</f>
        <v>-</v>
      </c>
      <c r="BP114" s="115" t="str">
        <f>IF(IFERROR(VLOOKUP(J114,'[63]ТР нефть'!$J$28:$BP$638,59,0),"-")=0,"-",IFERROR(VLOOKUP(J114,'[63]ТР нефть'!$J$28:$BP$638,59,0),"-"))</f>
        <v>-</v>
      </c>
      <c r="BQ114" s="138">
        <v>2347</v>
      </c>
      <c r="BR114" s="128">
        <v>1868.28</v>
      </c>
      <c r="BS114" s="115">
        <f t="shared" si="60"/>
        <v>478.72</v>
      </c>
      <c r="BT114" s="128">
        <v>73</v>
      </c>
      <c r="BU114" s="128">
        <v>5.5</v>
      </c>
      <c r="BV114" s="127">
        <v>12</v>
      </c>
      <c r="BW114" s="127" t="s">
        <v>234</v>
      </c>
      <c r="BX114" s="127" t="s">
        <v>195</v>
      </c>
      <c r="BY114" s="139">
        <v>24</v>
      </c>
      <c r="BZ114" s="139">
        <v>0</v>
      </c>
      <c r="CA114" s="138">
        <v>50</v>
      </c>
      <c r="CB114" s="138">
        <v>63</v>
      </c>
      <c r="CC114" s="138">
        <v>40</v>
      </c>
      <c r="CD114" s="135">
        <v>45017</v>
      </c>
      <c r="CE114" s="138">
        <v>112.3</v>
      </c>
      <c r="CF114" s="138"/>
      <c r="CG114" s="138" t="str">
        <f t="shared" si="52"/>
        <v/>
      </c>
      <c r="CH114" s="138" t="s">
        <v>197</v>
      </c>
      <c r="CI114" s="127"/>
      <c r="CJ114" s="138"/>
      <c r="CK114" s="138"/>
      <c r="CL114" s="99"/>
      <c r="CM114" s="127"/>
      <c r="CN114" s="154">
        <v>91</v>
      </c>
      <c r="CO114" s="141">
        <f t="shared" si="61"/>
        <v>6.124536</v>
      </c>
      <c r="CP114" s="142">
        <v>7.4</v>
      </c>
      <c r="CQ114" s="143">
        <v>1</v>
      </c>
      <c r="CR114" s="138">
        <v>33.700000000000003</v>
      </c>
      <c r="CS114" s="139"/>
      <c r="CT114" s="138"/>
      <c r="CU114" s="138">
        <f t="shared" si="62"/>
        <v>33.700000000000003</v>
      </c>
      <c r="CV114" s="115">
        <f t="shared" si="63"/>
        <v>5502.4576555677031</v>
      </c>
      <c r="CW114" s="115" t="str">
        <f t="shared" si="64"/>
        <v/>
      </c>
      <c r="CX114" s="133">
        <f t="shared" si="65"/>
        <v>0.34741784037558693</v>
      </c>
      <c r="CY114" s="116"/>
      <c r="CZ114" s="131"/>
      <c r="DA114" s="145" t="str">
        <f t="shared" si="66"/>
        <v>Фон.</v>
      </c>
      <c r="DB114" s="146">
        <f t="shared" si="67"/>
        <v>6.124536</v>
      </c>
      <c r="DC114" s="142">
        <f t="shared" si="68"/>
        <v>7.4</v>
      </c>
      <c r="DD114" s="119">
        <f t="shared" si="69"/>
        <v>1</v>
      </c>
      <c r="DE114" s="115">
        <f t="shared" si="70"/>
        <v>33.700000000000003</v>
      </c>
      <c r="DF114" s="121">
        <f t="shared" si="71"/>
        <v>0</v>
      </c>
      <c r="DG114" s="115">
        <f t="shared" si="72"/>
        <v>5502.4576555677031</v>
      </c>
      <c r="DH114" s="115">
        <f t="shared" si="73"/>
        <v>91</v>
      </c>
      <c r="DI114" s="147"/>
      <c r="DJ114" s="111">
        <v>43582</v>
      </c>
      <c r="DK114" s="112">
        <v>42448</v>
      </c>
      <c r="DL114" s="113">
        <f t="shared" ca="1" si="87"/>
        <v>2656</v>
      </c>
      <c r="DM114" s="114"/>
      <c r="DN114" s="114"/>
      <c r="DO114" s="114"/>
      <c r="DP114" s="114"/>
      <c r="DQ114" s="112"/>
      <c r="DR114" s="114"/>
      <c r="DS114" s="114"/>
      <c r="DT114" s="115">
        <v>70</v>
      </c>
      <c r="DU114" s="116">
        <f t="shared" si="88"/>
        <v>0.31588558906110903</v>
      </c>
      <c r="DV114" s="117">
        <f t="shared" si="89"/>
        <v>11.058892919761682</v>
      </c>
      <c r="DW114" s="118">
        <f t="shared" si="90"/>
        <v>13.36196041728491</v>
      </c>
      <c r="DX114" s="119">
        <f t="shared" si="74"/>
        <v>1</v>
      </c>
      <c r="DY114" s="115">
        <f t="shared" si="91"/>
        <v>60.851090008446143</v>
      </c>
      <c r="DZ114" s="117">
        <f t="shared" si="92"/>
        <v>4.9343569197616821</v>
      </c>
      <c r="EA114" s="120">
        <f t="shared" si="92"/>
        <v>5.9619604172849101</v>
      </c>
      <c r="EB114" s="119">
        <f t="shared" si="92"/>
        <v>0</v>
      </c>
      <c r="EC114" s="121">
        <f t="shared" si="93"/>
        <v>27.15109000844614</v>
      </c>
      <c r="ED114" s="122"/>
      <c r="EE114" s="145">
        <v>12</v>
      </c>
      <c r="EF114" s="115">
        <v>50</v>
      </c>
      <c r="EG114" s="115">
        <v>63</v>
      </c>
      <c r="EH114" s="115">
        <v>40</v>
      </c>
      <c r="EI114" s="128" t="s">
        <v>195</v>
      </c>
      <c r="EJ114" s="121">
        <v>24</v>
      </c>
      <c r="EK114" s="121">
        <v>0</v>
      </c>
      <c r="EL114" s="149">
        <v>6.124536</v>
      </c>
      <c r="EM114" s="142">
        <v>7.4</v>
      </c>
      <c r="EN114" s="119">
        <v>1</v>
      </c>
      <c r="EO114" s="115">
        <v>33.700000000000003</v>
      </c>
      <c r="EP114" s="115">
        <v>5502.4576555677031</v>
      </c>
      <c r="EQ114" s="115">
        <v>0</v>
      </c>
      <c r="ER114" s="115">
        <v>0</v>
      </c>
      <c r="ES114" s="115">
        <v>91</v>
      </c>
      <c r="ET114" s="150">
        <v>0.34741784037558693</v>
      </c>
      <c r="EU114" s="145">
        <f t="shared" si="75"/>
        <v>12</v>
      </c>
      <c r="EV114" s="115">
        <f t="shared" si="76"/>
        <v>50</v>
      </c>
      <c r="EW114" s="115">
        <f t="shared" si="76"/>
        <v>63</v>
      </c>
      <c r="EX114" s="115">
        <f t="shared" si="76"/>
        <v>40</v>
      </c>
      <c r="EY114" s="115" t="str">
        <f t="shared" si="77"/>
        <v>Постоянный</v>
      </c>
      <c r="EZ114" s="115">
        <f t="shared" si="77"/>
        <v>24</v>
      </c>
      <c r="FA114" s="115">
        <f t="shared" si="77"/>
        <v>0</v>
      </c>
      <c r="FB114" s="149">
        <f t="shared" si="78"/>
        <v>6.124536</v>
      </c>
      <c r="FC114" s="142">
        <f t="shared" si="78"/>
        <v>7.4</v>
      </c>
      <c r="FD114" s="119">
        <f t="shared" si="78"/>
        <v>1</v>
      </c>
      <c r="FE114" s="121">
        <f t="shared" si="78"/>
        <v>33.700000000000003</v>
      </c>
      <c r="FF114" s="121">
        <f t="shared" si="94"/>
        <v>5502.4576555677031</v>
      </c>
      <c r="FG114" s="121">
        <f t="shared" si="79"/>
        <v>0</v>
      </c>
      <c r="FH114" s="121">
        <f t="shared" si="95"/>
        <v>0</v>
      </c>
      <c r="FI114" s="121">
        <f t="shared" si="54"/>
        <v>91</v>
      </c>
      <c r="FJ114" s="144">
        <f t="shared" si="80"/>
        <v>0.34741784037558693</v>
      </c>
      <c r="FK114" s="132">
        <f t="shared" si="81"/>
        <v>0</v>
      </c>
      <c r="FL114" s="115">
        <f t="shared" si="81"/>
        <v>0</v>
      </c>
      <c r="FM114" s="115">
        <f t="shared" si="81"/>
        <v>0</v>
      </c>
      <c r="FN114" s="115">
        <f t="shared" si="58"/>
        <v>0</v>
      </c>
      <c r="FO114" s="115">
        <f t="shared" si="57"/>
        <v>0</v>
      </c>
      <c r="FP114" s="115">
        <f t="shared" si="56"/>
        <v>0</v>
      </c>
      <c r="FQ114" s="149">
        <f t="shared" si="56"/>
        <v>0</v>
      </c>
      <c r="FR114" s="142">
        <f t="shared" si="56"/>
        <v>0</v>
      </c>
      <c r="FS114" s="119">
        <f t="shared" si="56"/>
        <v>0</v>
      </c>
      <c r="FT114" s="121">
        <f t="shared" si="56"/>
        <v>0</v>
      </c>
      <c r="FU114" s="121">
        <f t="shared" si="82"/>
        <v>0</v>
      </c>
      <c r="FV114" s="121">
        <f t="shared" si="82"/>
        <v>0</v>
      </c>
      <c r="FW114" s="121">
        <f t="shared" si="83"/>
        <v>0</v>
      </c>
      <c r="FX114" s="121">
        <f t="shared" si="84"/>
        <v>0</v>
      </c>
      <c r="FY114" s="144">
        <f t="shared" si="84"/>
        <v>0</v>
      </c>
      <c r="FZ114" s="145"/>
      <c r="GA114" s="151" t="s">
        <v>283</v>
      </c>
      <c r="GB114" s="145"/>
      <c r="GC114" s="151" t="s">
        <v>348</v>
      </c>
      <c r="GD114" s="997" t="s">
        <v>238</v>
      </c>
      <c r="GE114" s="1004"/>
      <c r="GF114" s="1004">
        <v>0</v>
      </c>
      <c r="GG114" s="1004"/>
      <c r="GH114" s="1004">
        <v>0.33105600000000024</v>
      </c>
      <c r="GI114" s="145"/>
      <c r="GJ114" s="996">
        <v>0</v>
      </c>
      <c r="GK114" s="145"/>
      <c r="GL114" s="996">
        <v>0.70101944000000049</v>
      </c>
      <c r="GM114" s="1005"/>
      <c r="GN114" s="996">
        <v>0</v>
      </c>
      <c r="GO114" s="1006"/>
      <c r="GP114" s="996">
        <v>0</v>
      </c>
      <c r="GQ114" s="1006"/>
      <c r="GR114" s="996">
        <v>0</v>
      </c>
      <c r="GS114" s="1006"/>
      <c r="GT114" s="996">
        <v>0</v>
      </c>
      <c r="GU114" s="1006"/>
      <c r="GV114" s="996">
        <v>0</v>
      </c>
      <c r="GW114" s="1006"/>
      <c r="GX114" s="997">
        <v>0</v>
      </c>
      <c r="GY114" s="1006"/>
      <c r="GZ114" s="996">
        <v>0</v>
      </c>
      <c r="HA114" s="1006"/>
      <c r="HB114" s="996">
        <v>0</v>
      </c>
      <c r="HC114" s="1006"/>
      <c r="HD114" s="996">
        <v>0</v>
      </c>
      <c r="HE114" s="1006"/>
      <c r="HF114" s="996">
        <v>0</v>
      </c>
      <c r="HG114" s="1006"/>
      <c r="HH114" s="996">
        <v>0</v>
      </c>
      <c r="HI114" s="1006"/>
      <c r="HJ114" s="996">
        <v>-0.50089776000000086</v>
      </c>
      <c r="HK114" s="1006"/>
      <c r="HL114" s="996">
        <v>0</v>
      </c>
      <c r="HM114" s="1006"/>
      <c r="HN114" s="996">
        <v>0</v>
      </c>
      <c r="HO114" s="1006"/>
      <c r="HP114" s="996">
        <v>0</v>
      </c>
      <c r="HQ114" s="1006"/>
      <c r="HR114" s="996">
        <v>0</v>
      </c>
      <c r="HS114" s="1006"/>
      <c r="HT114" s="996">
        <v>0</v>
      </c>
      <c r="HU114" s="1006"/>
      <c r="HV114" s="996">
        <v>0</v>
      </c>
      <c r="HW114" s="1006"/>
      <c r="HX114" s="996">
        <v>0.91831256000000039</v>
      </c>
      <c r="HY114" s="1006" t="s">
        <v>204</v>
      </c>
      <c r="HZ114" s="996">
        <v>-2.5879717600000003</v>
      </c>
      <c r="IA114" s="1006" t="s">
        <v>204</v>
      </c>
      <c r="IB114" s="996">
        <v>2.0870740000000003</v>
      </c>
      <c r="IC114" s="1006"/>
      <c r="ID114" s="996">
        <v>-0.66786368000000085</v>
      </c>
      <c r="IE114" s="1006"/>
      <c r="IF114" s="996">
        <v>0</v>
      </c>
      <c r="IG114" s="1006"/>
      <c r="IH114" s="996">
        <v>0</v>
      </c>
      <c r="II114" s="1006"/>
      <c r="IJ114" s="996">
        <v>-0.16696591999999999</v>
      </c>
      <c r="IK114" s="1006"/>
      <c r="IL114" s="996">
        <v>0</v>
      </c>
      <c r="IM114" s="1006"/>
      <c r="IN114" s="996">
        <v>0</v>
      </c>
      <c r="IO114" s="1006"/>
      <c r="IP114" s="996">
        <v>0</v>
      </c>
      <c r="IQ114" s="1006"/>
      <c r="IR114" s="996">
        <v>0</v>
      </c>
      <c r="IS114" s="1006"/>
      <c r="IT114" s="996">
        <v>0</v>
      </c>
      <c r="IU114" s="1006" t="s">
        <v>199</v>
      </c>
      <c r="IV114" s="996">
        <v>1.5945245360000007</v>
      </c>
      <c r="IW114" s="1006"/>
      <c r="IX114" s="996">
        <v>0</v>
      </c>
      <c r="IY114" s="1006"/>
      <c r="IZ114" s="996">
        <v>0</v>
      </c>
      <c r="JA114" s="1006"/>
      <c r="JB114" s="996">
        <v>0</v>
      </c>
      <c r="JC114" s="1006"/>
      <c r="JD114" s="996">
        <v>0</v>
      </c>
      <c r="JE114" s="1006"/>
      <c r="JF114" s="996">
        <v>0</v>
      </c>
      <c r="JG114" s="1006"/>
      <c r="JH114" s="996">
        <v>0</v>
      </c>
      <c r="JI114" s="1006"/>
      <c r="JJ114" s="996">
        <v>0</v>
      </c>
      <c r="JK114" s="1007"/>
      <c r="JL114" s="1007">
        <v>0</v>
      </c>
      <c r="JM114" s="1007" t="s">
        <v>204</v>
      </c>
      <c r="JN114" s="1007">
        <v>-2.9405514160000008</v>
      </c>
      <c r="JO114" s="1008"/>
      <c r="JP114" s="1007">
        <v>0</v>
      </c>
      <c r="JQ114" s="1008" t="s">
        <v>204</v>
      </c>
      <c r="JR114" s="1007">
        <v>-7.3568000000000007</v>
      </c>
      <c r="JS114" s="1008">
        <v>0</v>
      </c>
      <c r="JT114" s="1007">
        <v>0</v>
      </c>
      <c r="JU114" s="1008" t="s">
        <v>204</v>
      </c>
      <c r="JV114" s="1007">
        <v>8.6108000000000011</v>
      </c>
      <c r="JW114" s="1008" t="s">
        <v>197</v>
      </c>
      <c r="JX114" s="1007">
        <v>0</v>
      </c>
      <c r="JY114" s="1008"/>
      <c r="JZ114" s="1007">
        <v>0</v>
      </c>
      <c r="KA114" s="1008" t="s">
        <v>204</v>
      </c>
      <c r="KB114" s="1007">
        <v>-3.9292000000000007</v>
      </c>
      <c r="KC114" s="1008" t="s">
        <v>204</v>
      </c>
      <c r="KD114" s="1007">
        <v>2.508</v>
      </c>
      <c r="KE114" s="1008"/>
      <c r="KF114" s="1007">
        <v>0</v>
      </c>
      <c r="KG114" s="1008" t="s">
        <v>204</v>
      </c>
      <c r="KH114" s="1007">
        <v>-2.508</v>
      </c>
      <c r="KI114" s="1008"/>
      <c r="KJ114" s="1007">
        <v>0</v>
      </c>
      <c r="KK114" s="1008"/>
      <c r="KL114" s="1007">
        <v>0</v>
      </c>
      <c r="KM114" s="1008" t="s">
        <v>206</v>
      </c>
      <c r="KN114" s="1007">
        <v>1.2038400000000014</v>
      </c>
      <c r="KO114" s="1008" t="s">
        <v>204</v>
      </c>
      <c r="KP114" s="1007">
        <v>1.8391999999999991</v>
      </c>
      <c r="KQ114" s="1008">
        <v>0</v>
      </c>
      <c r="KR114" s="1007">
        <v>0</v>
      </c>
      <c r="KS114" s="1008" t="s">
        <v>207</v>
      </c>
      <c r="KT114" s="1007">
        <v>3.6486383999999998</v>
      </c>
      <c r="KU114" s="1008">
        <v>0</v>
      </c>
      <c r="KV114" s="1007">
        <v>0</v>
      </c>
      <c r="KW114" s="1008">
        <v>0</v>
      </c>
      <c r="KX114" s="1007">
        <v>0</v>
      </c>
      <c r="KY114" s="1008">
        <v>0</v>
      </c>
      <c r="KZ114" s="1007">
        <v>0</v>
      </c>
      <c r="LA114" s="1008">
        <v>0</v>
      </c>
      <c r="LB114" s="1007">
        <v>0</v>
      </c>
      <c r="LC114" s="1008">
        <v>0</v>
      </c>
      <c r="LD114" s="1007">
        <v>0</v>
      </c>
      <c r="LE114" s="1008">
        <v>0</v>
      </c>
      <c r="LF114" s="1007">
        <v>0</v>
      </c>
      <c r="LG114" s="1008">
        <v>0</v>
      </c>
      <c r="LH114" s="1007">
        <v>0</v>
      </c>
      <c r="LI114" s="1008">
        <v>0</v>
      </c>
      <c r="LJ114" s="1007">
        <v>0</v>
      </c>
      <c r="LK114" s="1008">
        <v>0</v>
      </c>
      <c r="LL114" s="1007">
        <v>0</v>
      </c>
      <c r="LM114" s="1008">
        <v>0</v>
      </c>
      <c r="LN114" s="1007">
        <v>0.48434700000000003</v>
      </c>
      <c r="LO114" s="1008">
        <v>0</v>
      </c>
      <c r="LP114" s="1007">
        <v>0</v>
      </c>
      <c r="LQ114" s="1008">
        <v>0</v>
      </c>
      <c r="LR114" s="1007">
        <v>-0.66864319999999999</v>
      </c>
      <c r="LS114" s="1008">
        <v>0</v>
      </c>
      <c r="LT114" s="1007">
        <v>0</v>
      </c>
      <c r="LU114" s="1008" t="s">
        <v>206</v>
      </c>
      <c r="LV114" s="1007">
        <v>-3.6818944799999991</v>
      </c>
      <c r="LW114" s="1008">
        <v>0</v>
      </c>
      <c r="LX114" s="1007">
        <v>0</v>
      </c>
      <c r="LY114" s="1009" t="s">
        <v>207</v>
      </c>
      <c r="LZ114" s="1010">
        <v>5.3685</v>
      </c>
      <c r="MA114" s="1011">
        <v>0</v>
      </c>
      <c r="MB114" s="1012">
        <v>1.4943500000000001</v>
      </c>
      <c r="MC114" s="995"/>
      <c r="MD114" s="996"/>
      <c r="ME114" s="997" t="s">
        <v>238</v>
      </c>
      <c r="MF114" s="997"/>
      <c r="MG114" s="998"/>
      <c r="NR114" s="1000"/>
      <c r="NS114" s="1000"/>
      <c r="NT114" s="1001"/>
      <c r="NU114" s="1000"/>
      <c r="NV114" s="1001"/>
      <c r="NX114" s="1002"/>
      <c r="NZ114" s="1001"/>
      <c r="OA114" s="1001"/>
      <c r="OC114" s="1003"/>
      <c r="OD114" s="1003"/>
      <c r="OE114" s="1001"/>
      <c r="OF114" s="1003"/>
      <c r="OG114" s="1003"/>
      <c r="QX114" s="1000">
        <f t="shared" si="96"/>
        <v>41</v>
      </c>
      <c r="ASU114" s="999" t="s">
        <v>292</v>
      </c>
    </row>
    <row r="115" spans="1:466 1191:1191" ht="21" customHeight="1" x14ac:dyDescent="0.25">
      <c r="A115" s="982" t="str">
        <f t="shared" si="59"/>
        <v>1027-2</v>
      </c>
      <c r="B115" s="124">
        <f>SUBTOTAL(103,$J$29:J115)</f>
        <v>87</v>
      </c>
      <c r="C115" s="126">
        <v>45096</v>
      </c>
      <c r="D115" s="124" t="s">
        <v>176</v>
      </c>
      <c r="E115" s="127" t="s">
        <v>177</v>
      </c>
      <c r="F115" s="128" t="s">
        <v>177</v>
      </c>
      <c r="G115" s="127" t="s">
        <v>178</v>
      </c>
      <c r="H115" s="127" t="s">
        <v>226</v>
      </c>
      <c r="I115" s="127" t="s">
        <v>456</v>
      </c>
      <c r="J115" s="152" t="s">
        <v>655</v>
      </c>
      <c r="K115" s="127" t="s">
        <v>653</v>
      </c>
      <c r="L115" s="130">
        <v>38713</v>
      </c>
      <c r="M115" s="127" t="s">
        <v>230</v>
      </c>
      <c r="N115" s="127" t="s">
        <v>231</v>
      </c>
      <c r="O115" s="127" t="s">
        <v>185</v>
      </c>
      <c r="P115" s="127" t="s">
        <v>208</v>
      </c>
      <c r="Q115" s="85" t="str">
        <f t="shared" si="85"/>
        <v/>
      </c>
      <c r="R115" s="130"/>
      <c r="S115" s="128"/>
      <c r="T115" s="131"/>
      <c r="U115" s="132">
        <v>203</v>
      </c>
      <c r="V115" s="121">
        <v>218.2</v>
      </c>
      <c r="W115" s="116">
        <v>0.98</v>
      </c>
      <c r="X115" s="116">
        <v>1.66</v>
      </c>
      <c r="Y115" s="116">
        <f t="shared" si="86"/>
        <v>0.98373154263715523</v>
      </c>
      <c r="Z115" s="133">
        <v>1.454</v>
      </c>
      <c r="AA115" s="133">
        <v>0.83599999999999997</v>
      </c>
      <c r="AB115" s="133">
        <v>0.72</v>
      </c>
      <c r="AC115" s="121">
        <v>34.299999999999997</v>
      </c>
      <c r="AD115" s="134">
        <v>1.17</v>
      </c>
      <c r="AE115" s="124">
        <v>139.69999999999999</v>
      </c>
      <c r="AF115" s="128">
        <v>7.72</v>
      </c>
      <c r="AG115" s="128">
        <v>1900</v>
      </c>
      <c r="AH115" s="127" t="s">
        <v>656</v>
      </c>
      <c r="AI115" s="127" t="s">
        <v>656</v>
      </c>
      <c r="AJ115" s="135"/>
      <c r="AK115" s="128"/>
      <c r="AL115" s="131"/>
      <c r="AM115" s="124" t="s">
        <v>232</v>
      </c>
      <c r="AN115" s="136" t="s">
        <v>657</v>
      </c>
      <c r="AO115" s="137">
        <v>13.35</v>
      </c>
      <c r="AP115" s="128">
        <v>1790</v>
      </c>
      <c r="AQ115" s="128">
        <v>60.3</v>
      </c>
      <c r="AR115" s="128"/>
      <c r="AS115" s="128"/>
      <c r="AT115" s="122"/>
      <c r="AU115" s="124" t="s">
        <v>250</v>
      </c>
      <c r="AV115" s="115">
        <f>VLOOKUP(J115,'[63]ТР нефть'!$J$28:$BP$638,39,0)</f>
        <v>600</v>
      </c>
      <c r="AW115" s="115" t="str">
        <f>VLOOKUP(J115,'[63]ТР нефть'!$J$28:$BP$638,40,0)</f>
        <v>ГП</v>
      </c>
      <c r="AX115" s="115">
        <f>VLOOKUP(J115,'[63]ТР нефть'!$J$28:$BP$638,41,0)</f>
        <v>1200</v>
      </c>
      <c r="AY115" s="115" t="str">
        <f>VLOOKUP(J115,'[63]ТР нефть'!$J$28:$BP$638,42,0)</f>
        <v>ГП</v>
      </c>
      <c r="AZ115" s="115">
        <f>VLOOKUP(J115,'[63]ТР нефть'!$J$28:$BP$638,43,0)</f>
        <v>1730</v>
      </c>
      <c r="BA115" s="115" t="str">
        <f>VLOOKUP(J115,'[63]ТР нефть'!$J$28:$BP$638,44,0)</f>
        <v>ГК 78 1/8</v>
      </c>
      <c r="BB115" s="115" t="str">
        <f>VLOOKUP(J115,'[63]ТР нефть'!$J$28:$BP$638,45,0)</f>
        <v>-</v>
      </c>
      <c r="BC115" s="115" t="str">
        <f>VLOOKUP(J115,'[63]ТР нефть'!$J$28:$BP$638,46,0)</f>
        <v>-</v>
      </c>
      <c r="BD115" s="115" t="str">
        <f>VLOOKUP(J115,'[63]ТР нефть'!$J$28:$BP$638,47,0)</f>
        <v>-</v>
      </c>
      <c r="BE115" s="115" t="str">
        <f>VLOOKUP(J115,'[63]ТР нефть'!$J$28:$BP$638,48,0)</f>
        <v>-</v>
      </c>
      <c r="BF115" s="115" t="str">
        <f>VLOOKUP(J115,'[63]ТР нефть'!$J$28:$BP$638,49,0)</f>
        <v>-</v>
      </c>
      <c r="BG115" s="115" t="str">
        <f>VLOOKUP(J115,'[63]ТР нефть'!$J$28:$BP$638,50,0)</f>
        <v>-</v>
      </c>
      <c r="BH115" s="115">
        <f>VLOOKUP(J115,'[63]ТР нефть'!$J$28:$BP$638,51,0)</f>
        <v>1740</v>
      </c>
      <c r="BI115" s="115" t="str">
        <f>VLOOKUP(J115,'[63]ТР нефть'!$J$28:$BP$638,52,0)</f>
        <v>закрыт</v>
      </c>
      <c r="BJ115" s="115" t="str">
        <f>IF(IFERROR(VLOOKUP(J115,'[63]ТР нефть'!$J$28:$BP$638,53,0),"-")=0,"-",IFERROR(VLOOKUP(J115,'[63]ТР нефть'!$J$28:$BP$638,53,0),"-"))</f>
        <v>-</v>
      </c>
      <c r="BK115" s="138" t="str">
        <f>IF(IFERROR(VLOOKUP(J115,'[63]ТР нефть'!$J$28:$BP$638,54,0),"-")=0,"-",IFERROR(VLOOKUP(J115,'[63]ТР нефть'!$J$28:$BP$638,54,0),"-"))</f>
        <v>-</v>
      </c>
      <c r="BL115" s="138" t="str">
        <f>IF(IFERROR(VLOOKUP(J115,'[63]ТР нефть'!$J$28:$BP$638,55,0),"-")=0,"-",IFERROR(VLOOKUP(J115,'[63]ТР нефть'!$J$28:$BP$638,55,0),"-"))</f>
        <v>-</v>
      </c>
      <c r="BM115" s="138" t="str">
        <f>IF(IFERROR(VLOOKUP(J115,'[63]ТР нефть'!$J$28:$BP$638,56,0),"-")=0,"-",IFERROR(VLOOKUP(J115,'[63]ТР нефть'!$J$28:$BP$638,56,0),"-"))</f>
        <v>-</v>
      </c>
      <c r="BN115" s="138" t="str">
        <f>IF(IFERROR(VLOOKUP(J115,'[63]ТР нефть'!$J$28:$BP$638,57,0),"-")=0,"-",IFERROR(VLOOKUP(J115,'[63]ТР нефть'!$J$28:$BP$638,57,0),"-"))</f>
        <v>-</v>
      </c>
      <c r="BO115" s="115" t="str">
        <f>IF(IFERROR(VLOOKUP(J115,'[63]ТР нефть'!$J$28:$BP$638,58,0),"-")=0,"-",IFERROR(VLOOKUP(J115,'[63]ТР нефть'!$J$28:$BP$638,58,0),"-"))</f>
        <v>-</v>
      </c>
      <c r="BP115" s="115" t="str">
        <f>IF(IFERROR(VLOOKUP(J115,'[63]ТР нефть'!$J$28:$BP$638,59,0),"-")=0,"-",IFERROR(VLOOKUP(J115,'[63]ТР нефть'!$J$28:$BP$638,59,0),"-"))</f>
        <v>-</v>
      </c>
      <c r="BQ115" s="138">
        <v>1790</v>
      </c>
      <c r="BR115" s="128">
        <v>1785.97</v>
      </c>
      <c r="BS115" s="115">
        <f t="shared" si="60"/>
        <v>4.0299999999999727</v>
      </c>
      <c r="BT115" s="128">
        <v>73</v>
      </c>
      <c r="BU115" s="128">
        <v>5.5</v>
      </c>
      <c r="BV115" s="127">
        <v>18</v>
      </c>
      <c r="BW115" s="127" t="s">
        <v>234</v>
      </c>
      <c r="BX115" s="127" t="s">
        <v>195</v>
      </c>
      <c r="BY115" s="139">
        <v>24</v>
      </c>
      <c r="BZ115" s="139">
        <v>0</v>
      </c>
      <c r="CA115" s="138">
        <v>61</v>
      </c>
      <c r="CB115" s="138">
        <v>50</v>
      </c>
      <c r="CC115" s="138">
        <v>60</v>
      </c>
      <c r="CD115" s="135">
        <v>45017</v>
      </c>
      <c r="CE115" s="138">
        <v>123.6</v>
      </c>
      <c r="CF115" s="138"/>
      <c r="CG115" s="138" t="str">
        <f t="shared" si="52"/>
        <v/>
      </c>
      <c r="CH115" s="138" t="s">
        <v>197</v>
      </c>
      <c r="CI115" s="127"/>
      <c r="CJ115" s="138"/>
      <c r="CK115" s="138"/>
      <c r="CL115" s="99"/>
      <c r="CM115" s="127"/>
      <c r="CN115" s="154">
        <v>104</v>
      </c>
      <c r="CO115" s="141">
        <f t="shared" si="61"/>
        <v>18.221690079999998</v>
      </c>
      <c r="CP115" s="142">
        <v>22</v>
      </c>
      <c r="CQ115" s="143">
        <v>0.92600000000000005</v>
      </c>
      <c r="CR115" s="138">
        <v>75</v>
      </c>
      <c r="CS115" s="139"/>
      <c r="CT115" s="138"/>
      <c r="CU115" s="138">
        <f t="shared" si="62"/>
        <v>75</v>
      </c>
      <c r="CV115" s="115">
        <f t="shared" si="63"/>
        <v>4115.9738570199634</v>
      </c>
      <c r="CW115" s="115" t="str">
        <f t="shared" si="64"/>
        <v/>
      </c>
      <c r="CX115" s="133">
        <f t="shared" si="65"/>
        <v>1.1224489795918371</v>
      </c>
      <c r="CY115" s="116"/>
      <c r="CZ115" s="131"/>
      <c r="DA115" s="145" t="str">
        <f t="shared" si="66"/>
        <v>Фон.</v>
      </c>
      <c r="DB115" s="146">
        <f t="shared" si="67"/>
        <v>18.221690079999998</v>
      </c>
      <c r="DC115" s="142">
        <f t="shared" si="68"/>
        <v>22</v>
      </c>
      <c r="DD115" s="119">
        <f t="shared" si="69"/>
        <v>0.92600000000000005</v>
      </c>
      <c r="DE115" s="115">
        <f t="shared" si="70"/>
        <v>75</v>
      </c>
      <c r="DF115" s="121">
        <f t="shared" si="71"/>
        <v>0</v>
      </c>
      <c r="DG115" s="115">
        <f t="shared" si="72"/>
        <v>4115.9738570199634</v>
      </c>
      <c r="DH115" s="115">
        <f t="shared" si="73"/>
        <v>104</v>
      </c>
      <c r="DI115" s="147"/>
      <c r="DJ115" s="111" t="s">
        <v>197</v>
      </c>
      <c r="DK115" s="112">
        <v>42448</v>
      </c>
      <c r="DL115" s="113">
        <f t="shared" ca="1" si="87"/>
        <v>2656</v>
      </c>
      <c r="DM115" s="114"/>
      <c r="DN115" s="114"/>
      <c r="DO115" s="114"/>
      <c r="DP115" s="114"/>
      <c r="DQ115" s="112"/>
      <c r="DR115" s="114"/>
      <c r="DS115" s="114"/>
      <c r="DT115" s="115">
        <v>70</v>
      </c>
      <c r="DU115" s="116">
        <f t="shared" si="88"/>
        <v>0.97481545809813286</v>
      </c>
      <c r="DV115" s="117">
        <f t="shared" si="89"/>
        <v>43.276603850838029</v>
      </c>
      <c r="DW115" s="118">
        <f t="shared" si="90"/>
        <v>52.250108554059914</v>
      </c>
      <c r="DX115" s="119">
        <f t="shared" si="74"/>
        <v>0.92600000000000005</v>
      </c>
      <c r="DY115" s="115">
        <f t="shared" si="91"/>
        <v>178.12537007065879</v>
      </c>
      <c r="DZ115" s="117">
        <f t="shared" si="92"/>
        <v>25.054913770838031</v>
      </c>
      <c r="EA115" s="120">
        <f t="shared" si="92"/>
        <v>30.250108554059914</v>
      </c>
      <c r="EB115" s="119">
        <f t="shared" si="92"/>
        <v>0</v>
      </c>
      <c r="EC115" s="121">
        <f t="shared" si="93"/>
        <v>103.12537007065879</v>
      </c>
      <c r="ED115" s="122"/>
      <c r="EE115" s="145">
        <v>18</v>
      </c>
      <c r="EF115" s="115">
        <v>61</v>
      </c>
      <c r="EG115" s="115">
        <v>50</v>
      </c>
      <c r="EH115" s="115">
        <v>60</v>
      </c>
      <c r="EI115" s="128" t="s">
        <v>195</v>
      </c>
      <c r="EJ115" s="121">
        <v>24</v>
      </c>
      <c r="EK115" s="121">
        <v>0</v>
      </c>
      <c r="EL115" s="149">
        <v>18.221690079999998</v>
      </c>
      <c r="EM115" s="142">
        <v>22</v>
      </c>
      <c r="EN115" s="119">
        <v>0.92600000000000005</v>
      </c>
      <c r="EO115" s="115">
        <v>75</v>
      </c>
      <c r="EP115" s="115">
        <v>4115.9738570199634</v>
      </c>
      <c r="EQ115" s="115">
        <v>0</v>
      </c>
      <c r="ER115" s="115">
        <v>0</v>
      </c>
      <c r="ES115" s="115">
        <v>104</v>
      </c>
      <c r="ET115" s="150">
        <v>1.1224489795918371</v>
      </c>
      <c r="EU115" s="145">
        <f t="shared" si="75"/>
        <v>18</v>
      </c>
      <c r="EV115" s="115">
        <f t="shared" si="76"/>
        <v>61</v>
      </c>
      <c r="EW115" s="115">
        <f t="shared" si="76"/>
        <v>50</v>
      </c>
      <c r="EX115" s="115">
        <f t="shared" si="76"/>
        <v>60</v>
      </c>
      <c r="EY115" s="115" t="str">
        <f t="shared" si="77"/>
        <v>Постоянный</v>
      </c>
      <c r="EZ115" s="115">
        <f t="shared" si="77"/>
        <v>24</v>
      </c>
      <c r="FA115" s="115">
        <f t="shared" si="77"/>
        <v>0</v>
      </c>
      <c r="FB115" s="149">
        <f t="shared" si="78"/>
        <v>18.221690079999998</v>
      </c>
      <c r="FC115" s="142">
        <f t="shared" si="78"/>
        <v>22</v>
      </c>
      <c r="FD115" s="119">
        <f t="shared" si="78"/>
        <v>0.92600000000000005</v>
      </c>
      <c r="FE115" s="121">
        <f t="shared" si="78"/>
        <v>75</v>
      </c>
      <c r="FF115" s="121">
        <f t="shared" si="94"/>
        <v>4115.9738570199634</v>
      </c>
      <c r="FG115" s="121">
        <f t="shared" si="79"/>
        <v>0</v>
      </c>
      <c r="FH115" s="121">
        <f t="shared" si="95"/>
        <v>0</v>
      </c>
      <c r="FI115" s="121">
        <f t="shared" si="54"/>
        <v>104</v>
      </c>
      <c r="FJ115" s="144">
        <f t="shared" si="80"/>
        <v>1.1224489795918371</v>
      </c>
      <c r="FK115" s="132">
        <f t="shared" si="81"/>
        <v>0</v>
      </c>
      <c r="FL115" s="115">
        <f t="shared" si="81"/>
        <v>0</v>
      </c>
      <c r="FM115" s="115">
        <f t="shared" si="81"/>
        <v>0</v>
      </c>
      <c r="FN115" s="115">
        <f t="shared" si="58"/>
        <v>0</v>
      </c>
      <c r="FO115" s="115">
        <f t="shared" si="57"/>
        <v>0</v>
      </c>
      <c r="FP115" s="115">
        <f t="shared" si="56"/>
        <v>0</v>
      </c>
      <c r="FQ115" s="149">
        <f t="shared" si="56"/>
        <v>0</v>
      </c>
      <c r="FR115" s="142">
        <f t="shared" si="56"/>
        <v>0</v>
      </c>
      <c r="FS115" s="119">
        <f t="shared" si="56"/>
        <v>0</v>
      </c>
      <c r="FT115" s="121">
        <f t="shared" si="56"/>
        <v>0</v>
      </c>
      <c r="FU115" s="121">
        <f t="shared" si="82"/>
        <v>0</v>
      </c>
      <c r="FV115" s="121">
        <f t="shared" si="82"/>
        <v>0</v>
      </c>
      <c r="FW115" s="121">
        <f t="shared" si="83"/>
        <v>0</v>
      </c>
      <c r="FX115" s="121">
        <f t="shared" si="84"/>
        <v>0</v>
      </c>
      <c r="FY115" s="144">
        <f t="shared" si="84"/>
        <v>0</v>
      </c>
      <c r="FZ115" s="145"/>
      <c r="GA115" s="151" t="s">
        <v>283</v>
      </c>
      <c r="GB115" s="145"/>
      <c r="GC115" s="151" t="s">
        <v>658</v>
      </c>
      <c r="GD115" s="997" t="s">
        <v>238</v>
      </c>
      <c r="GE115" s="1004"/>
      <c r="GF115" s="1004">
        <v>0</v>
      </c>
      <c r="GG115" s="1004"/>
      <c r="GH115" s="1004">
        <v>0</v>
      </c>
      <c r="GI115" s="145"/>
      <c r="GJ115" s="996">
        <v>0</v>
      </c>
      <c r="GK115" s="145"/>
      <c r="GL115" s="996">
        <v>0</v>
      </c>
      <c r="GM115" s="1005"/>
      <c r="GN115" s="996">
        <v>0</v>
      </c>
      <c r="GO115" s="1006"/>
      <c r="GP115" s="996">
        <v>0</v>
      </c>
      <c r="GQ115" s="1006"/>
      <c r="GR115" s="996">
        <v>0</v>
      </c>
      <c r="GS115" s="1006"/>
      <c r="GT115" s="996">
        <v>0</v>
      </c>
      <c r="GU115" s="1006"/>
      <c r="GV115" s="996">
        <v>0</v>
      </c>
      <c r="GW115" s="1006"/>
      <c r="GX115" s="997">
        <v>0</v>
      </c>
      <c r="GY115" s="1006" t="s">
        <v>199</v>
      </c>
      <c r="GZ115" s="996">
        <v>-4.9695518399999976</v>
      </c>
      <c r="HA115" s="1006"/>
      <c r="HB115" s="996">
        <v>0</v>
      </c>
      <c r="HC115" s="1006"/>
      <c r="HD115" s="996">
        <v>0</v>
      </c>
      <c r="HE115" s="1006"/>
      <c r="HF115" s="996">
        <v>-5.6828755280001531E-2</v>
      </c>
      <c r="HG115" s="1006"/>
      <c r="HH115" s="996">
        <v>0</v>
      </c>
      <c r="HI115" s="1006"/>
      <c r="HJ115" s="996">
        <v>0</v>
      </c>
      <c r="HK115" s="1006"/>
      <c r="HL115" s="996">
        <v>0</v>
      </c>
      <c r="HM115" s="1006"/>
      <c r="HN115" s="996">
        <v>0</v>
      </c>
      <c r="HO115" s="1006"/>
      <c r="HP115" s="996">
        <v>0</v>
      </c>
      <c r="HQ115" s="1006"/>
      <c r="HR115" s="996">
        <v>0</v>
      </c>
      <c r="HS115" s="1006"/>
      <c r="HT115" s="996">
        <v>0</v>
      </c>
      <c r="HU115" s="1006"/>
      <c r="HV115" s="996">
        <v>0</v>
      </c>
      <c r="HW115" s="1006" t="s">
        <v>204</v>
      </c>
      <c r="HX115" s="996">
        <v>-3.0095999999999989</v>
      </c>
      <c r="HY115" s="1006"/>
      <c r="HZ115" s="996">
        <v>-0.83599999999999852</v>
      </c>
      <c r="IA115" s="1006" t="s">
        <v>241</v>
      </c>
      <c r="IB115" s="996">
        <v>2.7363952000000005</v>
      </c>
      <c r="IC115" s="1006"/>
      <c r="ID115" s="996">
        <v>0.32245523199999226</v>
      </c>
      <c r="IE115" s="1006"/>
      <c r="IF115" s="996">
        <v>0</v>
      </c>
      <c r="IG115" s="1006"/>
      <c r="IH115" s="996">
        <v>0</v>
      </c>
      <c r="II115" s="1006"/>
      <c r="IJ115" s="996">
        <v>-0.80183435199999664</v>
      </c>
      <c r="IK115" s="1006"/>
      <c r="IL115" s="996">
        <v>0</v>
      </c>
      <c r="IM115" s="1006"/>
      <c r="IN115" s="996">
        <v>0</v>
      </c>
      <c r="IO115" s="1006"/>
      <c r="IP115" s="996">
        <v>0</v>
      </c>
      <c r="IQ115" s="1006"/>
      <c r="IR115" s="996">
        <v>0</v>
      </c>
      <c r="IS115" s="1006"/>
      <c r="IT115" s="996">
        <v>0</v>
      </c>
      <c r="IU115" s="1006" t="s">
        <v>204</v>
      </c>
      <c r="IV115" s="996">
        <v>19.230716999999999</v>
      </c>
      <c r="IW115" s="1006"/>
      <c r="IX115" s="996">
        <v>0</v>
      </c>
      <c r="IY115" s="1006"/>
      <c r="IZ115" s="996">
        <v>0</v>
      </c>
      <c r="JA115" s="1006"/>
      <c r="JB115" s="996">
        <v>0</v>
      </c>
      <c r="JC115" s="1006"/>
      <c r="JD115" s="996">
        <v>0</v>
      </c>
      <c r="JE115" s="1006"/>
      <c r="JF115" s="996">
        <v>0</v>
      </c>
      <c r="JG115" s="1006"/>
      <c r="JH115" s="996">
        <v>0</v>
      </c>
      <c r="JI115" s="1006"/>
      <c r="JJ115" s="996">
        <v>0</v>
      </c>
      <c r="JK115" s="1007"/>
      <c r="JL115" s="1007">
        <v>0</v>
      </c>
      <c r="JM115" s="1007"/>
      <c r="JN115" s="1007">
        <v>0</v>
      </c>
      <c r="JO115" s="1008"/>
      <c r="JP115" s="1007">
        <v>0</v>
      </c>
      <c r="JQ115" s="1008">
        <v>0</v>
      </c>
      <c r="JR115" s="1007">
        <v>0</v>
      </c>
      <c r="JS115" s="1008">
        <v>0</v>
      </c>
      <c r="JT115" s="1007">
        <v>0</v>
      </c>
      <c r="JU115" s="1008" t="s">
        <v>204</v>
      </c>
      <c r="JV115" s="1007">
        <v>4.9309202800000005</v>
      </c>
      <c r="JW115" s="1008" t="s">
        <v>197</v>
      </c>
      <c r="JX115" s="1007">
        <v>0</v>
      </c>
      <c r="JY115" s="1008"/>
      <c r="JZ115" s="1007">
        <v>0</v>
      </c>
      <c r="KA115" s="1008" t="s">
        <v>204</v>
      </c>
      <c r="KB115" s="1007">
        <v>-2.3400977600000004</v>
      </c>
      <c r="KC115" s="1008"/>
      <c r="KD115" s="1007">
        <v>0</v>
      </c>
      <c r="KE115" s="1008"/>
      <c r="KF115" s="1007">
        <v>0</v>
      </c>
      <c r="KG115" s="1008"/>
      <c r="KH115" s="1007">
        <v>0</v>
      </c>
      <c r="KI115" s="1008"/>
      <c r="KJ115" s="1007">
        <v>0</v>
      </c>
      <c r="KK115" s="1008"/>
      <c r="KL115" s="1007">
        <v>0</v>
      </c>
      <c r="KM115" s="1008"/>
      <c r="KN115" s="1007">
        <v>0</v>
      </c>
      <c r="KO115" s="1008"/>
      <c r="KP115" s="1007">
        <v>0</v>
      </c>
      <c r="KQ115" s="1008">
        <v>0</v>
      </c>
      <c r="KR115" s="1007">
        <v>0</v>
      </c>
      <c r="KS115" s="1008">
        <v>0</v>
      </c>
      <c r="KT115" s="1007">
        <v>0</v>
      </c>
      <c r="KU115" s="1008" t="s">
        <v>206</v>
      </c>
      <c r="KV115" s="1007">
        <v>-1.6714983999999999</v>
      </c>
      <c r="KW115" s="1008" t="s">
        <v>204</v>
      </c>
      <c r="KX115" s="1007">
        <v>0.4178746000000011</v>
      </c>
      <c r="KY115" s="1008">
        <v>0</v>
      </c>
      <c r="KZ115" s="1007">
        <v>0</v>
      </c>
      <c r="LA115" s="1008">
        <v>0</v>
      </c>
      <c r="LB115" s="1007">
        <v>0</v>
      </c>
      <c r="LC115" s="1008">
        <v>0</v>
      </c>
      <c r="LD115" s="1007">
        <v>0</v>
      </c>
      <c r="LE115" s="1008">
        <v>0</v>
      </c>
      <c r="LF115" s="1007">
        <v>0</v>
      </c>
      <c r="LG115" s="1008">
        <v>0</v>
      </c>
      <c r="LH115" s="1007">
        <v>0</v>
      </c>
      <c r="LI115" s="1008">
        <v>0</v>
      </c>
      <c r="LJ115" s="1007">
        <v>0</v>
      </c>
      <c r="LK115" s="1008">
        <v>0</v>
      </c>
      <c r="LL115" s="1007">
        <v>0</v>
      </c>
      <c r="LM115" s="1008">
        <v>0</v>
      </c>
      <c r="LN115" s="1007">
        <v>0.75217400000000001</v>
      </c>
      <c r="LO115" s="1008">
        <v>0</v>
      </c>
      <c r="LP115" s="1007">
        <v>0</v>
      </c>
      <c r="LQ115" s="1008" t="s">
        <v>206</v>
      </c>
      <c r="LR115" s="1007">
        <v>-1.4923439999999999</v>
      </c>
      <c r="LS115" s="1008">
        <v>0</v>
      </c>
      <c r="LT115" s="1007">
        <v>0</v>
      </c>
      <c r="LU115" s="1008">
        <v>0</v>
      </c>
      <c r="LV115" s="1007">
        <v>-0.16526399999996999</v>
      </c>
      <c r="LW115" s="1008">
        <v>0</v>
      </c>
      <c r="LX115" s="1007">
        <v>0</v>
      </c>
      <c r="LY115" s="1009" t="s">
        <v>207</v>
      </c>
      <c r="LZ115" s="1010">
        <v>5.7734160000000001</v>
      </c>
      <c r="MA115" s="1011">
        <v>0</v>
      </c>
      <c r="MB115" s="1012">
        <v>2.8498399999999999</v>
      </c>
      <c r="MC115" s="995"/>
      <c r="MD115" s="996"/>
      <c r="ME115" s="997" t="s">
        <v>238</v>
      </c>
      <c r="MF115" s="997"/>
      <c r="MG115" s="998"/>
      <c r="NR115" s="1000"/>
      <c r="NS115" s="1000"/>
      <c r="NT115" s="1001"/>
      <c r="NU115" s="1000"/>
      <c r="NV115" s="1001"/>
      <c r="NX115" s="1002"/>
      <c r="NZ115" s="1001"/>
      <c r="OA115" s="1001"/>
      <c r="OC115" s="1003"/>
      <c r="OD115" s="1003"/>
      <c r="OE115" s="1001"/>
      <c r="OF115" s="1003"/>
      <c r="OG115" s="1003"/>
      <c r="QX115" s="1000">
        <f t="shared" si="96"/>
        <v>43</v>
      </c>
      <c r="ASU115" s="999" t="s">
        <v>208</v>
      </c>
    </row>
    <row r="116" spans="1:466 1191:1191" ht="21" customHeight="1" x14ac:dyDescent="0.25">
      <c r="A116" s="982" t="str">
        <f t="shared" si="59"/>
        <v>1027-1</v>
      </c>
      <c r="B116" s="124">
        <f>SUBTOTAL(103,$J$29:J116)</f>
        <v>88</v>
      </c>
      <c r="C116" s="126">
        <v>45096</v>
      </c>
      <c r="D116" s="124" t="s">
        <v>176</v>
      </c>
      <c r="E116" s="127" t="s">
        <v>177</v>
      </c>
      <c r="F116" s="128" t="s">
        <v>177</v>
      </c>
      <c r="G116" s="127" t="s">
        <v>178</v>
      </c>
      <c r="H116" s="127" t="s">
        <v>226</v>
      </c>
      <c r="I116" s="127" t="s">
        <v>456</v>
      </c>
      <c r="J116" s="152" t="s">
        <v>659</v>
      </c>
      <c r="K116" s="127" t="s">
        <v>653</v>
      </c>
      <c r="L116" s="130">
        <v>38615</v>
      </c>
      <c r="M116" s="127" t="s">
        <v>230</v>
      </c>
      <c r="N116" s="127" t="s">
        <v>231</v>
      </c>
      <c r="O116" s="127" t="s">
        <v>185</v>
      </c>
      <c r="P116" s="127" t="s">
        <v>315</v>
      </c>
      <c r="Q116" s="85" t="str">
        <f t="shared" si="85"/>
        <v/>
      </c>
      <c r="R116" s="130"/>
      <c r="S116" s="128"/>
      <c r="T116" s="131"/>
      <c r="U116" s="132">
        <v>203</v>
      </c>
      <c r="V116" s="121">
        <v>218.2</v>
      </c>
      <c r="W116" s="116">
        <v>0.98</v>
      </c>
      <c r="X116" s="116">
        <v>1.66</v>
      </c>
      <c r="Y116" s="116">
        <f t="shared" si="86"/>
        <v>0.98</v>
      </c>
      <c r="Z116" s="133">
        <v>1.454</v>
      </c>
      <c r="AA116" s="133">
        <v>0.83599999999999997</v>
      </c>
      <c r="AB116" s="133">
        <v>0.72</v>
      </c>
      <c r="AC116" s="121">
        <v>34.299999999999997</v>
      </c>
      <c r="AD116" s="134">
        <v>1.17</v>
      </c>
      <c r="AE116" s="124">
        <v>139.69999999999999</v>
      </c>
      <c r="AF116" s="128">
        <v>7.72</v>
      </c>
      <c r="AG116" s="128">
        <v>1919</v>
      </c>
      <c r="AH116" s="127">
        <v>2500</v>
      </c>
      <c r="AI116" s="127">
        <v>2500</v>
      </c>
      <c r="AJ116" s="135"/>
      <c r="AK116" s="128"/>
      <c r="AL116" s="131"/>
      <c r="AM116" s="124" t="s">
        <v>232</v>
      </c>
      <c r="AN116" s="136" t="s">
        <v>660</v>
      </c>
      <c r="AO116" s="137">
        <v>79.84</v>
      </c>
      <c r="AP116" s="128">
        <v>1919</v>
      </c>
      <c r="AQ116" s="128">
        <v>37.799999999999997</v>
      </c>
      <c r="AR116" s="128"/>
      <c r="AS116" s="128"/>
      <c r="AT116" s="122"/>
      <c r="AU116" s="124" t="s">
        <v>250</v>
      </c>
      <c r="AV116" s="115">
        <f>VLOOKUP(J116,'[63]ТР нефть'!$J$28:$BP$638,39,0)</f>
        <v>489</v>
      </c>
      <c r="AW116" s="115" t="str">
        <f>VLOOKUP(J116,'[63]ТР нефть'!$J$28:$BP$638,40,0)</f>
        <v>ГП</v>
      </c>
      <c r="AX116" s="115">
        <f>VLOOKUP(J116,'[63]ТР нефть'!$J$28:$BP$638,41,0)</f>
        <v>887</v>
      </c>
      <c r="AY116" s="115" t="str">
        <f>VLOOKUP(J116,'[63]ТР нефть'!$J$28:$BP$638,42,0)</f>
        <v>ГК 79 1/8</v>
      </c>
      <c r="AZ116" s="115">
        <f>VLOOKUP(J116,'[63]ТР нефть'!$J$28:$BP$638,43,0)</f>
        <v>1203</v>
      </c>
      <c r="BA116" s="115" t="str">
        <f>VLOOKUP(J116,'[63]ТР нефть'!$J$28:$BP$638,44,0)</f>
        <v>ГК 79 1/8</v>
      </c>
      <c r="BB116" s="115">
        <f>VLOOKUP(J116,'[63]ТР нефть'!$J$28:$BP$638,45,0)</f>
        <v>1445</v>
      </c>
      <c r="BC116" s="115" t="str">
        <f>VLOOKUP(J116,'[63]ТР нефть'!$J$28:$BP$638,46,0)</f>
        <v>ГК 79 1/8</v>
      </c>
      <c r="BD116" s="115">
        <f>VLOOKUP(J116,'[63]ТР нефть'!$J$28:$BP$638,47,0)</f>
        <v>1622</v>
      </c>
      <c r="BE116" s="115" t="str">
        <f>VLOOKUP(J116,'[63]ТР нефть'!$J$28:$BP$638,48,0)</f>
        <v>ГК 79 1/8</v>
      </c>
      <c r="BF116" s="115">
        <f>VLOOKUP(J116,'[63]ТР нефть'!$J$28:$BP$638,49,0)</f>
        <v>1730</v>
      </c>
      <c r="BG116" s="115" t="str">
        <f>VLOOKUP(J116,'[63]ТР нефть'!$J$28:$BP$638,50,0)</f>
        <v>ЦКсОК 5/16</v>
      </c>
      <c r="BH116" s="115">
        <f>VLOOKUP(J116,'[63]ТР нефть'!$J$28:$BP$638,51,0)</f>
        <v>1751</v>
      </c>
      <c r="BI116" s="115" t="str">
        <f>VLOOKUP(J116,'[63]ТР нефть'!$J$28:$BP$638,52,0)</f>
        <v>закрыт</v>
      </c>
      <c r="BJ116" s="115" t="str">
        <f>IF(IFERROR(VLOOKUP(J116,'[63]ТР нефть'!$J$28:$BP$638,53,0),"-")=0,"-",IFERROR(VLOOKUP(J116,'[63]ТР нефть'!$J$28:$BP$638,53,0),"-"))</f>
        <v>-</v>
      </c>
      <c r="BK116" s="138" t="str">
        <f>IF(IFERROR(VLOOKUP(J116,'[63]ТР нефть'!$J$28:$BP$638,54,0),"-")=0,"-",IFERROR(VLOOKUP(J116,'[63]ТР нефть'!$J$28:$BP$638,54,0),"-"))</f>
        <v>-</v>
      </c>
      <c r="BL116" s="138" t="str">
        <f>IF(IFERROR(VLOOKUP(J116,'[63]ТР нефть'!$J$28:$BP$638,55,0),"-")=0,"-",IFERROR(VLOOKUP(J116,'[63]ТР нефть'!$J$28:$BP$638,55,0),"-"))</f>
        <v>-</v>
      </c>
      <c r="BM116" s="138" t="str">
        <f>IF(IFERROR(VLOOKUP(J116,'[63]ТР нефть'!$J$28:$BP$638,56,0),"-")=0,"-",IFERROR(VLOOKUP(J116,'[63]ТР нефть'!$J$28:$BP$638,56,0),"-"))</f>
        <v>-</v>
      </c>
      <c r="BN116" s="138" t="str">
        <f>IF(IFERROR(VLOOKUP(J116,'[63]ТР нефть'!$J$28:$BP$638,57,0),"-")=0,"-",IFERROR(VLOOKUP(J116,'[63]ТР нефть'!$J$28:$BP$638,57,0),"-"))</f>
        <v>-</v>
      </c>
      <c r="BO116" s="115" t="str">
        <f>IF(IFERROR(VLOOKUP(J116,'[63]ТР нефть'!$J$28:$BP$638,58,0),"-")=0,"-",IFERROR(VLOOKUP(J116,'[63]ТР нефть'!$J$28:$BP$638,58,0),"-"))</f>
        <v>-</v>
      </c>
      <c r="BP116" s="115" t="str">
        <f>IF(IFERROR(VLOOKUP(J116,'[63]ТР нефть'!$J$28:$BP$638,59,0),"-")=0,"-",IFERROR(VLOOKUP(J116,'[63]ТР нефть'!$J$28:$BP$638,59,0),"-"))</f>
        <v>-</v>
      </c>
      <c r="BQ116" s="138">
        <v>2473</v>
      </c>
      <c r="BR116" s="128">
        <v>1903</v>
      </c>
      <c r="BS116" s="115">
        <f t="shared" si="60"/>
        <v>570</v>
      </c>
      <c r="BT116" s="128">
        <v>73</v>
      </c>
      <c r="BU116" s="128">
        <v>5.5</v>
      </c>
      <c r="BV116" s="127">
        <v>18</v>
      </c>
      <c r="BW116" s="127" t="s">
        <v>234</v>
      </c>
      <c r="BX116" s="127" t="s">
        <v>195</v>
      </c>
      <c r="BY116" s="139">
        <v>24</v>
      </c>
      <c r="BZ116" s="139">
        <v>0</v>
      </c>
      <c r="CA116" s="138">
        <v>65</v>
      </c>
      <c r="CB116" s="138">
        <v>55</v>
      </c>
      <c r="CC116" s="138">
        <v>61</v>
      </c>
      <c r="CD116" s="135">
        <v>45017</v>
      </c>
      <c r="CE116" s="138">
        <v>121</v>
      </c>
      <c r="CF116" s="138"/>
      <c r="CG116" s="138" t="str">
        <f t="shared" si="52"/>
        <v/>
      </c>
      <c r="CH116" s="138" t="s">
        <v>197</v>
      </c>
      <c r="CI116" s="127"/>
      <c r="CJ116" s="138"/>
      <c r="CK116" s="138"/>
      <c r="CL116" s="99"/>
      <c r="CM116" s="127"/>
      <c r="CN116" s="154">
        <v>72</v>
      </c>
      <c r="CO116" s="141">
        <f t="shared" si="61"/>
        <v>6.1863999999999999</v>
      </c>
      <c r="CP116" s="142">
        <v>7.4</v>
      </c>
      <c r="CQ116" s="143">
        <v>0</v>
      </c>
      <c r="CR116" s="138">
        <v>63.3</v>
      </c>
      <c r="CS116" s="139"/>
      <c r="CT116" s="138"/>
      <c r="CU116" s="138">
        <f t="shared" si="62"/>
        <v>63.3</v>
      </c>
      <c r="CV116" s="115">
        <f t="shared" si="63"/>
        <v>10232.122074227338</v>
      </c>
      <c r="CW116" s="115" t="str">
        <f t="shared" si="64"/>
        <v/>
      </c>
      <c r="CX116" s="133">
        <f t="shared" si="65"/>
        <v>0.15102040816326531</v>
      </c>
      <c r="CY116" s="116"/>
      <c r="CZ116" s="131"/>
      <c r="DA116" s="145" t="str">
        <f t="shared" si="66"/>
        <v>Фон.</v>
      </c>
      <c r="DB116" s="146">
        <f t="shared" si="67"/>
        <v>6.1863999999999999</v>
      </c>
      <c r="DC116" s="142">
        <f t="shared" si="68"/>
        <v>7.4</v>
      </c>
      <c r="DD116" s="119">
        <f t="shared" si="69"/>
        <v>0</v>
      </c>
      <c r="DE116" s="115">
        <f t="shared" si="70"/>
        <v>63.3</v>
      </c>
      <c r="DF116" s="121">
        <f t="shared" si="71"/>
        <v>0</v>
      </c>
      <c r="DG116" s="115">
        <f t="shared" si="72"/>
        <v>10232.122074227338</v>
      </c>
      <c r="DH116" s="115">
        <f t="shared" si="73"/>
        <v>72</v>
      </c>
      <c r="DI116" s="147"/>
      <c r="DJ116" s="111" t="s">
        <v>197</v>
      </c>
      <c r="DK116" s="112">
        <v>44246</v>
      </c>
      <c r="DL116" s="113">
        <f t="shared" ca="1" si="87"/>
        <v>858</v>
      </c>
      <c r="DM116" s="114"/>
      <c r="DN116" s="114"/>
      <c r="DO116" s="114"/>
      <c r="DP116" s="114"/>
      <c r="DQ116" s="112"/>
      <c r="DR116" s="114"/>
      <c r="DS116" s="114"/>
      <c r="DT116" s="115">
        <v>55</v>
      </c>
      <c r="DU116" s="116">
        <f t="shared" si="88"/>
        <v>0.13952053385743998</v>
      </c>
      <c r="DV116" s="117">
        <f t="shared" si="89"/>
        <v>7.6981849761181085</v>
      </c>
      <c r="DW116" s="118">
        <f t="shared" si="90"/>
        <v>9.2083552345910391</v>
      </c>
      <c r="DX116" s="119">
        <f t="shared" si="74"/>
        <v>0</v>
      </c>
      <c r="DY116" s="115">
        <f t="shared" si="91"/>
        <v>78.76876842562335</v>
      </c>
      <c r="DZ116" s="117">
        <f t="shared" si="92"/>
        <v>1.5117849761181086</v>
      </c>
      <c r="EA116" s="120">
        <f t="shared" si="92"/>
        <v>1.8083552345910388</v>
      </c>
      <c r="EB116" s="119">
        <f t="shared" si="92"/>
        <v>0</v>
      </c>
      <c r="EC116" s="121">
        <f t="shared" si="93"/>
        <v>15.468768425623352</v>
      </c>
      <c r="ED116" s="122"/>
      <c r="EE116" s="145">
        <v>18</v>
      </c>
      <c r="EF116" s="115">
        <v>65</v>
      </c>
      <c r="EG116" s="115">
        <v>55</v>
      </c>
      <c r="EH116" s="115">
        <v>61</v>
      </c>
      <c r="EI116" s="128" t="s">
        <v>195</v>
      </c>
      <c r="EJ116" s="121">
        <v>24</v>
      </c>
      <c r="EK116" s="121">
        <v>0</v>
      </c>
      <c r="EL116" s="149">
        <v>6.1863999999999999</v>
      </c>
      <c r="EM116" s="142">
        <v>7.4</v>
      </c>
      <c r="EN116" s="119">
        <v>0</v>
      </c>
      <c r="EO116" s="115">
        <v>63.3</v>
      </c>
      <c r="EP116" s="115">
        <v>10232.122074227338</v>
      </c>
      <c r="EQ116" s="115">
        <v>0</v>
      </c>
      <c r="ER116" s="115">
        <v>0</v>
      </c>
      <c r="ES116" s="115">
        <v>72</v>
      </c>
      <c r="ET116" s="150">
        <v>0.15102040816326531</v>
      </c>
      <c r="EU116" s="145">
        <f t="shared" si="75"/>
        <v>18</v>
      </c>
      <c r="EV116" s="115">
        <f t="shared" si="76"/>
        <v>65</v>
      </c>
      <c r="EW116" s="115">
        <f t="shared" si="76"/>
        <v>55</v>
      </c>
      <c r="EX116" s="115">
        <f t="shared" si="76"/>
        <v>61</v>
      </c>
      <c r="EY116" s="115" t="str">
        <f t="shared" si="77"/>
        <v>Постоянный</v>
      </c>
      <c r="EZ116" s="115">
        <f t="shared" si="77"/>
        <v>24</v>
      </c>
      <c r="FA116" s="115">
        <f t="shared" si="77"/>
        <v>0</v>
      </c>
      <c r="FB116" s="149">
        <f t="shared" si="78"/>
        <v>6.1863999999999999</v>
      </c>
      <c r="FC116" s="142">
        <f t="shared" si="78"/>
        <v>7.4</v>
      </c>
      <c r="FD116" s="119">
        <f t="shared" si="78"/>
        <v>0</v>
      </c>
      <c r="FE116" s="121">
        <f t="shared" si="78"/>
        <v>63.3</v>
      </c>
      <c r="FF116" s="121">
        <f t="shared" si="94"/>
        <v>10232.122074227338</v>
      </c>
      <c r="FG116" s="121">
        <f t="shared" si="79"/>
        <v>0</v>
      </c>
      <c r="FH116" s="121">
        <f t="shared" si="95"/>
        <v>0</v>
      </c>
      <c r="FI116" s="121">
        <f t="shared" si="54"/>
        <v>72</v>
      </c>
      <c r="FJ116" s="144">
        <f t="shared" si="80"/>
        <v>0.15102040816326531</v>
      </c>
      <c r="FK116" s="132">
        <f t="shared" si="81"/>
        <v>0</v>
      </c>
      <c r="FL116" s="115">
        <f t="shared" si="81"/>
        <v>0</v>
      </c>
      <c r="FM116" s="115">
        <f t="shared" si="81"/>
        <v>0</v>
      </c>
      <c r="FN116" s="115">
        <f t="shared" si="58"/>
        <v>0</v>
      </c>
      <c r="FO116" s="115">
        <f t="shared" si="57"/>
        <v>0</v>
      </c>
      <c r="FP116" s="115">
        <f t="shared" si="56"/>
        <v>0</v>
      </c>
      <c r="FQ116" s="149">
        <f t="shared" si="56"/>
        <v>0</v>
      </c>
      <c r="FR116" s="142">
        <f t="shared" si="56"/>
        <v>0</v>
      </c>
      <c r="FS116" s="119">
        <f t="shared" si="56"/>
        <v>0</v>
      </c>
      <c r="FT116" s="121">
        <f t="shared" si="56"/>
        <v>0</v>
      </c>
      <c r="FU116" s="121">
        <f t="shared" si="82"/>
        <v>0</v>
      </c>
      <c r="FV116" s="121">
        <f t="shared" si="82"/>
        <v>0</v>
      </c>
      <c r="FW116" s="121">
        <f t="shared" si="83"/>
        <v>0</v>
      </c>
      <c r="FX116" s="121">
        <f t="shared" si="84"/>
        <v>0</v>
      </c>
      <c r="FY116" s="144">
        <f t="shared" si="84"/>
        <v>0</v>
      </c>
      <c r="FZ116" s="145"/>
      <c r="GA116" s="151" t="s">
        <v>283</v>
      </c>
      <c r="GB116" s="145" t="s">
        <v>199</v>
      </c>
      <c r="GC116" s="163" t="s">
        <v>415</v>
      </c>
      <c r="GD116" s="997" t="s">
        <v>238</v>
      </c>
      <c r="GE116" s="1004" t="s">
        <v>199</v>
      </c>
      <c r="GF116" s="1004">
        <v>-0.98497519999999916</v>
      </c>
      <c r="GG116" s="1004"/>
      <c r="GH116" s="1004">
        <v>-6.2243585800001E-2</v>
      </c>
      <c r="GI116" s="145"/>
      <c r="GJ116" s="996">
        <v>0</v>
      </c>
      <c r="GK116" s="145"/>
      <c r="GL116" s="996">
        <v>0</v>
      </c>
      <c r="GM116" s="1005"/>
      <c r="GN116" s="996">
        <v>0</v>
      </c>
      <c r="GO116" s="1006"/>
      <c r="GP116" s="996">
        <v>0</v>
      </c>
      <c r="GQ116" s="1006"/>
      <c r="GR116" s="996">
        <v>0</v>
      </c>
      <c r="GS116" s="1006"/>
      <c r="GT116" s="996">
        <v>0</v>
      </c>
      <c r="GU116" s="1006"/>
      <c r="GV116" s="996">
        <v>0</v>
      </c>
      <c r="GW116" s="1006"/>
      <c r="GX116" s="997">
        <v>0</v>
      </c>
      <c r="GY116" s="1006"/>
      <c r="GZ116" s="996">
        <v>0</v>
      </c>
      <c r="HA116" s="1006"/>
      <c r="HB116" s="996">
        <v>0</v>
      </c>
      <c r="HC116" s="1006"/>
      <c r="HD116" s="996">
        <v>0</v>
      </c>
      <c r="HE116" s="1006" t="s">
        <v>206</v>
      </c>
      <c r="HF116" s="996">
        <v>2.2176187858</v>
      </c>
      <c r="HG116" s="1006"/>
      <c r="HH116" s="996">
        <v>0</v>
      </c>
      <c r="HI116" s="1006"/>
      <c r="HJ116" s="996">
        <v>0</v>
      </c>
      <c r="HK116" s="1006"/>
      <c r="HL116" s="996">
        <v>0</v>
      </c>
      <c r="HM116" s="1006"/>
      <c r="HN116" s="996">
        <v>0</v>
      </c>
      <c r="HO116" s="1006"/>
      <c r="HP116" s="996">
        <v>0</v>
      </c>
      <c r="HQ116" s="1006"/>
      <c r="HR116" s="996">
        <v>0</v>
      </c>
      <c r="HS116" s="1006"/>
      <c r="HT116" s="996">
        <v>0</v>
      </c>
      <c r="HU116" s="1006" t="s">
        <v>241</v>
      </c>
      <c r="HV116" s="996">
        <v>-5.1430719999999983</v>
      </c>
      <c r="HW116" s="1006"/>
      <c r="HX116" s="996">
        <v>0</v>
      </c>
      <c r="HY116" s="1006"/>
      <c r="HZ116" s="996">
        <v>0</v>
      </c>
      <c r="IA116" s="1006" t="s">
        <v>221</v>
      </c>
      <c r="IB116" s="996">
        <v>1.3720431999999967</v>
      </c>
      <c r="IC116" s="1006"/>
      <c r="ID116" s="996">
        <v>-0.74337119999999857</v>
      </c>
      <c r="IE116" s="1006"/>
      <c r="IF116" s="996">
        <v>0</v>
      </c>
      <c r="IG116" s="1006"/>
      <c r="IH116" s="996">
        <v>0</v>
      </c>
      <c r="II116" s="1006"/>
      <c r="IJ116" s="996">
        <v>0</v>
      </c>
      <c r="IK116" s="1006"/>
      <c r="IL116" s="996">
        <v>0</v>
      </c>
      <c r="IM116" s="1006"/>
      <c r="IN116" s="996">
        <v>0</v>
      </c>
      <c r="IO116" s="1006"/>
      <c r="IP116" s="996">
        <v>0</v>
      </c>
      <c r="IQ116" s="1006"/>
      <c r="IR116" s="996">
        <v>0</v>
      </c>
      <c r="IS116" s="1006"/>
      <c r="IT116" s="996">
        <v>0</v>
      </c>
      <c r="IU116" s="1006"/>
      <c r="IV116" s="996">
        <v>0</v>
      </c>
      <c r="IW116" s="1006"/>
      <c r="IX116" s="996">
        <v>0</v>
      </c>
      <c r="IY116" s="1006"/>
      <c r="IZ116" s="996">
        <v>0</v>
      </c>
      <c r="JA116" s="1006"/>
      <c r="JB116" s="996">
        <v>0</v>
      </c>
      <c r="JC116" s="1006"/>
      <c r="JD116" s="996">
        <v>0</v>
      </c>
      <c r="JE116" s="1006"/>
      <c r="JF116" s="996">
        <v>0</v>
      </c>
      <c r="JG116" s="1006"/>
      <c r="JH116" s="996">
        <v>0</v>
      </c>
      <c r="JI116" s="1006"/>
      <c r="JJ116" s="996">
        <v>0</v>
      </c>
      <c r="JK116" s="1007"/>
      <c r="JL116" s="1007">
        <v>0</v>
      </c>
      <c r="JM116" s="1007" t="s">
        <v>204</v>
      </c>
      <c r="JN116" s="1007">
        <v>-13.041599999999999</v>
      </c>
      <c r="JO116" s="1008" t="s">
        <v>204</v>
      </c>
      <c r="JP116" s="1007">
        <v>16.72</v>
      </c>
      <c r="JQ116" s="1008">
        <v>0</v>
      </c>
      <c r="JR116" s="1007">
        <v>0</v>
      </c>
      <c r="JS116" s="1008">
        <v>0</v>
      </c>
      <c r="JT116" s="1007">
        <v>0</v>
      </c>
      <c r="JU116" s="1008" t="s">
        <v>204</v>
      </c>
      <c r="JV116" s="1007">
        <v>3.3660703999999999</v>
      </c>
      <c r="JW116" s="1008" t="s">
        <v>197</v>
      </c>
      <c r="JX116" s="1007">
        <v>0</v>
      </c>
      <c r="JY116" s="1008"/>
      <c r="JZ116" s="1007">
        <v>0</v>
      </c>
      <c r="KA116" s="1008" t="s">
        <v>204</v>
      </c>
      <c r="KB116" s="1007">
        <v>-1.6572864000000003</v>
      </c>
      <c r="KC116" s="1008" t="s">
        <v>204</v>
      </c>
      <c r="KD116" s="1007">
        <v>1.07723616</v>
      </c>
      <c r="KE116" s="1008"/>
      <c r="KF116" s="1007">
        <v>0</v>
      </c>
      <c r="KG116" s="1008" t="s">
        <v>204</v>
      </c>
      <c r="KH116" s="1007">
        <v>-1.1048241599999997</v>
      </c>
      <c r="KI116" s="1008"/>
      <c r="KJ116" s="1007">
        <v>0</v>
      </c>
      <c r="KK116" s="1008"/>
      <c r="KL116" s="1007">
        <v>0</v>
      </c>
      <c r="KM116" s="1008" t="s">
        <v>206</v>
      </c>
      <c r="KN116" s="1007">
        <v>0</v>
      </c>
      <c r="KO116" s="1008" t="s">
        <v>204</v>
      </c>
      <c r="KP116" s="1007">
        <v>0.83416079999999937</v>
      </c>
      <c r="KQ116" s="1008">
        <v>0</v>
      </c>
      <c r="KR116" s="1007">
        <v>0</v>
      </c>
      <c r="KS116" s="1008">
        <v>0</v>
      </c>
      <c r="KT116" s="1007">
        <v>0</v>
      </c>
      <c r="KU116" s="1008" t="s">
        <v>206</v>
      </c>
      <c r="KV116" s="1007">
        <v>-0.83416079999999937</v>
      </c>
      <c r="KW116" s="1008" t="s">
        <v>204</v>
      </c>
      <c r="KX116" s="1007">
        <v>0.41708040000000013</v>
      </c>
      <c r="KY116" s="1008">
        <v>0</v>
      </c>
      <c r="KZ116" s="1007">
        <v>0</v>
      </c>
      <c r="LA116" s="1008">
        <v>0</v>
      </c>
      <c r="LB116" s="1007">
        <v>0</v>
      </c>
      <c r="LC116" s="1008">
        <v>0</v>
      </c>
      <c r="LD116" s="1007">
        <v>0</v>
      </c>
      <c r="LE116" s="1008">
        <v>0</v>
      </c>
      <c r="LF116" s="1007">
        <v>0</v>
      </c>
      <c r="LG116" s="1008">
        <v>0</v>
      </c>
      <c r="LH116" s="1007">
        <v>0</v>
      </c>
      <c r="LI116" s="1008">
        <v>0</v>
      </c>
      <c r="LJ116" s="1007">
        <v>0</v>
      </c>
      <c r="LK116" s="1008">
        <v>0</v>
      </c>
      <c r="LL116" s="1007">
        <v>0</v>
      </c>
      <c r="LM116" s="1008">
        <v>0</v>
      </c>
      <c r="LN116" s="1007">
        <v>0.750745</v>
      </c>
      <c r="LO116" s="1008">
        <v>0</v>
      </c>
      <c r="LP116" s="1007">
        <v>0</v>
      </c>
      <c r="LQ116" s="1008">
        <v>0</v>
      </c>
      <c r="LR116" s="1007">
        <v>-0.75744719999999999</v>
      </c>
      <c r="LS116" s="1008">
        <v>0</v>
      </c>
      <c r="LT116" s="1007">
        <v>0</v>
      </c>
      <c r="LU116" s="1008">
        <v>0</v>
      </c>
      <c r="LV116" s="1007">
        <v>3.3357235999999997</v>
      </c>
      <c r="LW116" s="1008">
        <v>0</v>
      </c>
      <c r="LX116" s="1007">
        <v>0</v>
      </c>
      <c r="LY116" s="1009">
        <v>0</v>
      </c>
      <c r="LZ116" s="1010">
        <v>0.29260000000000003</v>
      </c>
      <c r="MA116" s="1011">
        <v>0</v>
      </c>
      <c r="MB116" s="1012">
        <v>0.12540000000000001</v>
      </c>
      <c r="MC116" s="995"/>
      <c r="MD116" s="996"/>
      <c r="ME116" s="997" t="s">
        <v>238</v>
      </c>
      <c r="MF116" s="997"/>
      <c r="MG116" s="998"/>
      <c r="NR116" s="1000"/>
      <c r="NS116" s="1000"/>
      <c r="NT116" s="1001"/>
      <c r="NU116" s="1000"/>
      <c r="NV116" s="1001"/>
      <c r="NX116" s="1002"/>
      <c r="NZ116" s="1001"/>
      <c r="OA116" s="1001"/>
      <c r="OC116" s="1003"/>
      <c r="OD116" s="1003"/>
      <c r="OE116" s="1001"/>
      <c r="OF116" s="1003"/>
      <c r="OG116" s="1003"/>
      <c r="QX116" s="1000">
        <f t="shared" si="96"/>
        <v>7</v>
      </c>
      <c r="ASU116" s="999" t="s">
        <v>292</v>
      </c>
    </row>
    <row r="117" spans="1:466 1191:1191" ht="21" customHeight="1" x14ac:dyDescent="0.25">
      <c r="A117" s="982" t="str">
        <f t="shared" si="59"/>
        <v>1028-2</v>
      </c>
      <c r="B117" s="124">
        <f>SUBTOTAL(103,$J$29:J117)</f>
        <v>89</v>
      </c>
      <c r="C117" s="126">
        <v>45068</v>
      </c>
      <c r="D117" s="124" t="s">
        <v>176</v>
      </c>
      <c r="E117" s="127" t="s">
        <v>177</v>
      </c>
      <c r="F117" s="128" t="s">
        <v>177</v>
      </c>
      <c r="G117" s="127" t="s">
        <v>178</v>
      </c>
      <c r="H117" s="127" t="s">
        <v>179</v>
      </c>
      <c r="I117" s="127" t="s">
        <v>601</v>
      </c>
      <c r="J117" s="152" t="s">
        <v>661</v>
      </c>
      <c r="K117" s="127" t="s">
        <v>601</v>
      </c>
      <c r="L117" s="130">
        <v>42003</v>
      </c>
      <c r="M117" s="127" t="s">
        <v>230</v>
      </c>
      <c r="N117" s="127" t="s">
        <v>245</v>
      </c>
      <c r="O117" s="127" t="s">
        <v>185</v>
      </c>
      <c r="P117" s="127" t="s">
        <v>186</v>
      </c>
      <c r="Q117" s="85" t="str">
        <f t="shared" si="85"/>
        <v/>
      </c>
      <c r="R117" s="130"/>
      <c r="S117" s="128"/>
      <c r="T117" s="131"/>
      <c r="U117" s="132">
        <v>203</v>
      </c>
      <c r="V117" s="121">
        <v>218.2</v>
      </c>
      <c r="W117" s="116">
        <v>0.98</v>
      </c>
      <c r="X117" s="116">
        <v>1.66</v>
      </c>
      <c r="Y117" s="116">
        <f t="shared" si="86"/>
        <v>1.0627123072903057</v>
      </c>
      <c r="Z117" s="133">
        <v>1.454</v>
      </c>
      <c r="AA117" s="133">
        <v>0.83599999999999997</v>
      </c>
      <c r="AB117" s="133">
        <v>0.72</v>
      </c>
      <c r="AC117" s="121">
        <v>34.299999999999997</v>
      </c>
      <c r="AD117" s="134">
        <v>1.17</v>
      </c>
      <c r="AE117" s="124">
        <v>177.8</v>
      </c>
      <c r="AF117" s="128">
        <v>9.19</v>
      </c>
      <c r="AG117" s="128">
        <v>2120</v>
      </c>
      <c r="AH117" s="127">
        <v>2953</v>
      </c>
      <c r="AI117" s="127">
        <v>2953</v>
      </c>
      <c r="AJ117" s="135"/>
      <c r="AK117" s="128"/>
      <c r="AL117" s="131"/>
      <c r="AM117" s="124" t="s">
        <v>232</v>
      </c>
      <c r="AN117" s="136" t="s">
        <v>662</v>
      </c>
      <c r="AO117" s="137">
        <v>40.119999999999997</v>
      </c>
      <c r="AP117" s="128">
        <v>2012</v>
      </c>
      <c r="AQ117" s="128">
        <v>104.5</v>
      </c>
      <c r="AR117" s="128"/>
      <c r="AS117" s="128"/>
      <c r="AT117" s="122"/>
      <c r="AU117" s="124" t="s">
        <v>189</v>
      </c>
      <c r="AV117" s="115">
        <f>VLOOKUP(J117,'[63]ТР нефть'!$J$28:$BP$638,39,0)</f>
        <v>479.99998505899998</v>
      </c>
      <c r="AW117" s="115" t="str">
        <f>VLOOKUP(J117,'[63]ТР нефть'!$J$28:$BP$638,40,0)</f>
        <v>ГП</v>
      </c>
      <c r="AX117" s="115">
        <f>VLOOKUP(J117,'[63]ТР нефть'!$J$28:$BP$638,41,0)</f>
        <v>849.99998671900005</v>
      </c>
      <c r="AY117" s="115" t="str">
        <f>VLOOKUP(J117,'[63]ТР нефть'!$J$28:$BP$638,42,0)</f>
        <v>ГП</v>
      </c>
      <c r="AZ117" s="115">
        <f>VLOOKUP(J117,'[63]ТР нефть'!$J$28:$BP$638,43,0)</f>
        <v>1159.9999669920001</v>
      </c>
      <c r="BA117" s="115" t="str">
        <f>VLOOKUP(J117,'[63]ТР нефть'!$J$28:$BP$638,44,0)</f>
        <v>ГП</v>
      </c>
      <c r="BB117" s="115">
        <f>VLOOKUP(J117,'[63]ТР нефть'!$J$28:$BP$638,45,0)</f>
        <v>1360.0000382809999</v>
      </c>
      <c r="BC117" s="115" t="str">
        <f>VLOOKUP(J117,'[63]ТР нефть'!$J$28:$BP$638,46,0)</f>
        <v>ГК 89 1/8</v>
      </c>
      <c r="BD117" s="115" t="str">
        <f>VLOOKUP(J117,'[63]ТР нефть'!$J$28:$BP$638,47,0)</f>
        <v>-</v>
      </c>
      <c r="BE117" s="115" t="str">
        <f>VLOOKUP(J117,'[63]ТР нефть'!$J$28:$BP$638,48,0)</f>
        <v>-</v>
      </c>
      <c r="BF117" s="115" t="str">
        <f>VLOOKUP(J117,'[63]ТР нефть'!$J$28:$BP$638,49,0)</f>
        <v>-</v>
      </c>
      <c r="BG117" s="115" t="str">
        <f>VLOOKUP(J117,'[63]ТР нефть'!$J$28:$BP$638,50,0)</f>
        <v>-</v>
      </c>
      <c r="BH117" s="115">
        <f>VLOOKUP(J117,'[63]ТР нефть'!$J$28:$BP$638,51,0)</f>
        <v>1830</v>
      </c>
      <c r="BI117" s="115" t="str">
        <f>VLOOKUP(J117,'[63]ТР нефть'!$J$28:$BP$638,52,0)</f>
        <v>открыт</v>
      </c>
      <c r="BJ117" s="115" t="str">
        <f>IF(IFERROR(VLOOKUP(J117,'[63]ТР нефть'!$J$28:$BP$638,53,0),"-")=0,"-",IFERROR(VLOOKUP(J117,'[63]ТР нефть'!$J$28:$BP$638,53,0),"-"))</f>
        <v>-</v>
      </c>
      <c r="BK117" s="138" t="str">
        <f>IF(IFERROR(VLOOKUP(J117,'[63]ТР нефть'!$J$28:$BP$638,54,0),"-")=0,"-",IFERROR(VLOOKUP(J117,'[63]ТР нефть'!$J$28:$BP$638,54,0),"-"))</f>
        <v>-</v>
      </c>
      <c r="BL117" s="138" t="str">
        <f>IF(IFERROR(VLOOKUP(J117,'[63]ТР нефть'!$J$28:$BP$638,55,0),"-")=0,"-",IFERROR(VLOOKUP(J117,'[63]ТР нефть'!$J$28:$BP$638,55,0),"-"))</f>
        <v>-</v>
      </c>
      <c r="BM117" s="138" t="str">
        <f>IF(IFERROR(VLOOKUP(J117,'[63]ТР нефть'!$J$28:$BP$638,56,0),"-")=0,"-",IFERROR(VLOOKUP(J117,'[63]ТР нефть'!$J$28:$BP$638,56,0),"-"))</f>
        <v>-</v>
      </c>
      <c r="BN117" s="138" t="str">
        <f>IF(IFERROR(VLOOKUP(J117,'[63]ТР нефть'!$J$28:$BP$638,57,0),"-")=0,"-",IFERROR(VLOOKUP(J117,'[63]ТР нефть'!$J$28:$BP$638,57,0),"-"))</f>
        <v>-</v>
      </c>
      <c r="BO117" s="115" t="str">
        <f>IF(IFERROR(VLOOKUP(J117,'[63]ТР нефть'!$J$28:$BP$638,58,0),"-")=0,"-",IFERROR(VLOOKUP(J117,'[63]ТР нефть'!$J$28:$BP$638,58,0),"-"))</f>
        <v>-</v>
      </c>
      <c r="BP117" s="115" t="str">
        <f>IF(IFERROR(VLOOKUP(J117,'[63]ТР нефть'!$J$28:$BP$638,59,0),"-")=0,"-",IFERROR(VLOOKUP(J117,'[63]ТР нефть'!$J$28:$BP$638,59,0),"-"))</f>
        <v>-</v>
      </c>
      <c r="BQ117" s="138">
        <v>2125</v>
      </c>
      <c r="BR117" s="128">
        <v>1881.49</v>
      </c>
      <c r="BS117" s="115">
        <f t="shared" si="60"/>
        <v>243.51</v>
      </c>
      <c r="BT117" s="128">
        <v>73</v>
      </c>
      <c r="BU117" s="128">
        <v>5.5</v>
      </c>
      <c r="BV117" s="127">
        <v>65</v>
      </c>
      <c r="BW117" s="127" t="s">
        <v>217</v>
      </c>
      <c r="BX117" s="127" t="s">
        <v>195</v>
      </c>
      <c r="BY117" s="139">
        <v>24</v>
      </c>
      <c r="BZ117" s="139">
        <v>0</v>
      </c>
      <c r="CA117" s="80">
        <v>18</v>
      </c>
      <c r="CB117" s="138">
        <v>33</v>
      </c>
      <c r="CC117" s="138">
        <v>17</v>
      </c>
      <c r="CD117" s="135">
        <v>45017</v>
      </c>
      <c r="CE117" s="138">
        <v>92</v>
      </c>
      <c r="CF117" s="138">
        <v>82</v>
      </c>
      <c r="CG117" s="138" t="str">
        <f t="shared" si="52"/>
        <v>В работе</v>
      </c>
      <c r="CH117" s="138" t="s">
        <v>196</v>
      </c>
      <c r="CI117" s="138">
        <v>5</v>
      </c>
      <c r="CJ117" s="139"/>
      <c r="CK117" s="139">
        <f t="shared" si="55"/>
        <v>36</v>
      </c>
      <c r="CL117" s="99"/>
      <c r="CM117" s="99"/>
      <c r="CN117" s="140">
        <v>54</v>
      </c>
      <c r="CO117" s="141">
        <f t="shared" si="61"/>
        <v>6.7716000000000012</v>
      </c>
      <c r="CP117" s="142">
        <v>10</v>
      </c>
      <c r="CQ117" s="143">
        <v>19</v>
      </c>
      <c r="CR117" s="115">
        <v>22</v>
      </c>
      <c r="CS117" s="139">
        <v>9.6</v>
      </c>
      <c r="CT117" s="138"/>
      <c r="CU117" s="138">
        <f t="shared" si="62"/>
        <v>12.4</v>
      </c>
      <c r="CV117" s="115">
        <f>(CR117-CS117)*1000/CO117</f>
        <v>1831.1772697737606</v>
      </c>
      <c r="CW117" s="115">
        <f t="shared" si="64"/>
        <v>1070.0193941015182</v>
      </c>
      <c r="CX117" s="133">
        <f t="shared" si="65"/>
        <v>0.26315789473684209</v>
      </c>
      <c r="CY117" s="116"/>
      <c r="CZ117" s="131"/>
      <c r="DA117" s="145" t="str">
        <f t="shared" si="66"/>
        <v>Газлифт</v>
      </c>
      <c r="DB117" s="146">
        <f t="shared" si="67"/>
        <v>6.7716000000000012</v>
      </c>
      <c r="DC117" s="142">
        <f t="shared" si="68"/>
        <v>10</v>
      </c>
      <c r="DD117" s="119">
        <f t="shared" si="69"/>
        <v>19</v>
      </c>
      <c r="DE117" s="115">
        <f t="shared" si="70"/>
        <v>12.4</v>
      </c>
      <c r="DF117" s="121">
        <f t="shared" si="71"/>
        <v>9.6</v>
      </c>
      <c r="DG117" s="115">
        <f t="shared" si="72"/>
        <v>1831.1772697737606</v>
      </c>
      <c r="DH117" s="115">
        <f t="shared" si="73"/>
        <v>54</v>
      </c>
      <c r="DI117" s="147"/>
      <c r="DJ117" s="111" t="s">
        <v>197</v>
      </c>
      <c r="DK117" s="112">
        <v>42003</v>
      </c>
      <c r="DL117" s="113">
        <f t="shared" ca="1" si="87"/>
        <v>3101</v>
      </c>
      <c r="DM117" s="114"/>
      <c r="DN117" s="114"/>
      <c r="DO117" s="114"/>
      <c r="DP117" s="114"/>
      <c r="DQ117" s="112">
        <v>43247</v>
      </c>
      <c r="DR117" s="114" t="s">
        <v>198</v>
      </c>
      <c r="DS117" s="114"/>
      <c r="DT117" s="115">
        <v>45</v>
      </c>
      <c r="DU117" s="116">
        <f t="shared" si="88"/>
        <v>0.24914356898162565</v>
      </c>
      <c r="DV117" s="117">
        <f t="shared" si="89"/>
        <v>7.9293727810650889</v>
      </c>
      <c r="DW117" s="118">
        <f t="shared" si="90"/>
        <v>11.709747742136406</v>
      </c>
      <c r="DX117" s="119">
        <f t="shared" si="74"/>
        <v>19</v>
      </c>
      <c r="DY117" s="115">
        <f t="shared" si="91"/>
        <v>14.520087200249142</v>
      </c>
      <c r="DZ117" s="117">
        <f t="shared" si="92"/>
        <v>1.1577727810650877</v>
      </c>
      <c r="EA117" s="120">
        <f t="shared" si="92"/>
        <v>1.7097477421364058</v>
      </c>
      <c r="EB117" s="119">
        <f t="shared" si="92"/>
        <v>0</v>
      </c>
      <c r="EC117" s="121">
        <f t="shared" si="93"/>
        <v>2.1200872002491415</v>
      </c>
      <c r="ED117" s="122"/>
      <c r="EE117" s="145">
        <v>65</v>
      </c>
      <c r="EF117" s="148">
        <v>18</v>
      </c>
      <c r="EG117" s="115">
        <v>38</v>
      </c>
      <c r="EH117" s="115">
        <v>17</v>
      </c>
      <c r="EI117" s="128" t="s">
        <v>195</v>
      </c>
      <c r="EJ117" s="121">
        <v>24</v>
      </c>
      <c r="EK117" s="121">
        <v>0</v>
      </c>
      <c r="EL117" s="149">
        <v>6.7716000000000012</v>
      </c>
      <c r="EM117" s="142">
        <v>10</v>
      </c>
      <c r="EN117" s="119">
        <v>19</v>
      </c>
      <c r="EO117" s="115">
        <v>22</v>
      </c>
      <c r="EP117" s="115">
        <v>1831.1772697737606</v>
      </c>
      <c r="EQ117" s="115">
        <v>82</v>
      </c>
      <c r="ER117" s="115">
        <v>9.6</v>
      </c>
      <c r="ES117" s="115">
        <v>54</v>
      </c>
      <c r="ET117" s="150">
        <v>0.26315789473684209</v>
      </c>
      <c r="EU117" s="145">
        <f t="shared" si="75"/>
        <v>65</v>
      </c>
      <c r="EV117" s="115">
        <f t="shared" si="76"/>
        <v>18</v>
      </c>
      <c r="EW117" s="115">
        <f t="shared" si="76"/>
        <v>33</v>
      </c>
      <c r="EX117" s="115">
        <f t="shared" si="76"/>
        <v>17</v>
      </c>
      <c r="EY117" s="115" t="str">
        <f t="shared" si="77"/>
        <v>Постоянный</v>
      </c>
      <c r="EZ117" s="115">
        <f t="shared" si="77"/>
        <v>24</v>
      </c>
      <c r="FA117" s="115">
        <f t="shared" si="77"/>
        <v>0</v>
      </c>
      <c r="FB117" s="149">
        <f t="shared" si="78"/>
        <v>6.7716000000000012</v>
      </c>
      <c r="FC117" s="142">
        <f t="shared" si="78"/>
        <v>10</v>
      </c>
      <c r="FD117" s="119">
        <f t="shared" si="78"/>
        <v>19</v>
      </c>
      <c r="FE117" s="121">
        <f t="shared" si="78"/>
        <v>22</v>
      </c>
      <c r="FF117" s="121">
        <f t="shared" si="94"/>
        <v>1831.1772697737606</v>
      </c>
      <c r="FG117" s="121">
        <f t="shared" si="79"/>
        <v>82</v>
      </c>
      <c r="FH117" s="121">
        <f t="shared" si="95"/>
        <v>9.6</v>
      </c>
      <c r="FI117" s="121">
        <f t="shared" si="54"/>
        <v>54</v>
      </c>
      <c r="FJ117" s="144">
        <f t="shared" si="80"/>
        <v>0.26315789473684209</v>
      </c>
      <c r="FK117" s="132">
        <f t="shared" si="81"/>
        <v>0</v>
      </c>
      <c r="FL117" s="115">
        <f t="shared" si="81"/>
        <v>0</v>
      </c>
      <c r="FM117" s="115">
        <f t="shared" si="81"/>
        <v>-5</v>
      </c>
      <c r="FN117" s="115">
        <f t="shared" si="58"/>
        <v>0</v>
      </c>
      <c r="FO117" s="115">
        <f t="shared" si="57"/>
        <v>0</v>
      </c>
      <c r="FP117" s="115">
        <f t="shared" si="56"/>
        <v>0</v>
      </c>
      <c r="FQ117" s="149">
        <f t="shared" si="56"/>
        <v>0</v>
      </c>
      <c r="FR117" s="142">
        <f t="shared" si="56"/>
        <v>0</v>
      </c>
      <c r="FS117" s="119">
        <f t="shared" si="56"/>
        <v>0</v>
      </c>
      <c r="FT117" s="121">
        <f t="shared" si="56"/>
        <v>0</v>
      </c>
      <c r="FU117" s="121">
        <f t="shared" si="82"/>
        <v>0</v>
      </c>
      <c r="FV117" s="121">
        <f t="shared" si="82"/>
        <v>0</v>
      </c>
      <c r="FW117" s="121">
        <f>FF117-EP117</f>
        <v>0</v>
      </c>
      <c r="FX117" s="121">
        <f t="shared" si="84"/>
        <v>0</v>
      </c>
      <c r="FY117" s="144">
        <f t="shared" si="84"/>
        <v>0</v>
      </c>
      <c r="FZ117" s="145"/>
      <c r="GA117" s="151"/>
      <c r="GB117" s="145"/>
      <c r="GC117" s="151"/>
      <c r="GD117" s="997" t="s">
        <v>220</v>
      </c>
      <c r="GE117" s="1004"/>
      <c r="GF117" s="1004">
        <v>0.17856960000000122</v>
      </c>
      <c r="GG117" s="1004"/>
      <c r="GH117" s="1004">
        <v>0</v>
      </c>
      <c r="GI117" s="145"/>
      <c r="GJ117" s="996">
        <v>0</v>
      </c>
      <c r="GK117" s="145"/>
      <c r="GL117" s="996">
        <v>0</v>
      </c>
      <c r="GM117" s="1005"/>
      <c r="GN117" s="996">
        <v>0</v>
      </c>
      <c r="GO117" s="1006"/>
      <c r="GP117" s="996">
        <v>-0.75958959999999998</v>
      </c>
      <c r="GQ117" s="1006" t="s">
        <v>203</v>
      </c>
      <c r="GR117" s="996">
        <v>-1.1881649999999997</v>
      </c>
      <c r="GS117" s="1006" t="s">
        <v>199</v>
      </c>
      <c r="GT117" s="996">
        <v>3.4645929999999998</v>
      </c>
      <c r="GU117" s="1006"/>
      <c r="GV117" s="996">
        <v>0</v>
      </c>
      <c r="GW117" s="1006" t="s">
        <v>199</v>
      </c>
      <c r="GX117" s="996">
        <v>-3.2879880000000012</v>
      </c>
      <c r="GY117" s="1006" t="s">
        <v>203</v>
      </c>
      <c r="GZ117" s="996">
        <v>-2.2516823999999982</v>
      </c>
      <c r="HA117" s="1006" t="s">
        <v>25</v>
      </c>
      <c r="HB117" s="996">
        <v>6.1466063999999996</v>
      </c>
      <c r="HC117" s="1006" t="s">
        <v>199</v>
      </c>
      <c r="HD117" s="996">
        <v>-2.0509671600000008</v>
      </c>
      <c r="HE117" s="1006"/>
      <c r="HF117" s="996">
        <v>0</v>
      </c>
      <c r="HG117" s="1006" t="s">
        <v>199</v>
      </c>
      <c r="HH117" s="996">
        <v>-1.5722568399999997</v>
      </c>
      <c r="HI117" s="1006"/>
      <c r="HJ117" s="996">
        <v>-7.5199999999995271E-3</v>
      </c>
      <c r="HK117" s="1006"/>
      <c r="HL117" s="996">
        <v>-0.13376000000000055</v>
      </c>
      <c r="HM117" s="1006" t="s">
        <v>199</v>
      </c>
      <c r="HN117" s="996">
        <v>3.7595070480000006</v>
      </c>
      <c r="HO117" s="1006"/>
      <c r="HP117" s="996">
        <v>0</v>
      </c>
      <c r="HQ117" s="1006" t="s">
        <v>199</v>
      </c>
      <c r="HR117" s="996">
        <v>-2.717683848000001</v>
      </c>
      <c r="HS117" s="1006"/>
      <c r="HT117" s="996">
        <v>0</v>
      </c>
      <c r="HU117" s="1006" t="s">
        <v>203</v>
      </c>
      <c r="HV117" s="996">
        <v>-1.6821991999999995</v>
      </c>
      <c r="HW117" s="1006"/>
      <c r="HX117" s="996">
        <v>0</v>
      </c>
      <c r="HY117" s="1006"/>
      <c r="HZ117" s="996">
        <v>0</v>
      </c>
      <c r="IA117" s="1006"/>
      <c r="IB117" s="996">
        <v>-0.73066400000000087</v>
      </c>
      <c r="IC117" s="1006" t="s">
        <v>314</v>
      </c>
      <c r="ID117" s="996">
        <v>2.8842000000000017</v>
      </c>
      <c r="IE117" s="1006"/>
      <c r="IF117" s="996">
        <v>0</v>
      </c>
      <c r="IG117" s="1006"/>
      <c r="IH117" s="996">
        <v>0</v>
      </c>
      <c r="II117" s="1006"/>
      <c r="IJ117" s="996">
        <v>0</v>
      </c>
      <c r="IK117" s="1006"/>
      <c r="IL117" s="996">
        <v>0</v>
      </c>
      <c r="IM117" s="1006" t="s">
        <v>204</v>
      </c>
      <c r="IN117" s="996">
        <v>1.2982160399999998</v>
      </c>
      <c r="IO117" s="1006"/>
      <c r="IP117" s="996">
        <v>0.65467995999999928</v>
      </c>
      <c r="IQ117" s="1006"/>
      <c r="IR117" s="996">
        <v>0</v>
      </c>
      <c r="IS117" s="1006" t="s">
        <v>199</v>
      </c>
      <c r="IT117" s="996">
        <v>2.6869040000000006</v>
      </c>
      <c r="IU117" s="1006" t="s">
        <v>199</v>
      </c>
      <c r="IV117" s="996">
        <v>-5.3389885999999986</v>
      </c>
      <c r="IW117" s="1006" t="s">
        <v>199</v>
      </c>
      <c r="IX117" s="996">
        <v>4.0766285999999985</v>
      </c>
      <c r="IY117" s="1006"/>
      <c r="IZ117" s="996">
        <v>0.41432160000000007</v>
      </c>
      <c r="JA117" s="1006"/>
      <c r="JB117" s="996">
        <v>0</v>
      </c>
      <c r="JC117" s="1006"/>
      <c r="JD117" s="996">
        <v>0</v>
      </c>
      <c r="JE117" s="1006"/>
      <c r="JF117" s="996">
        <v>-1.0078815999999993</v>
      </c>
      <c r="JG117" s="1006"/>
      <c r="JH117" s="996">
        <v>0</v>
      </c>
      <c r="JI117" s="1006"/>
      <c r="JJ117" s="996">
        <v>-0.23408000000000051</v>
      </c>
      <c r="JK117" s="1007"/>
      <c r="JL117" s="1007">
        <v>0</v>
      </c>
      <c r="JM117" s="1007"/>
      <c r="JN117" s="1007">
        <v>0</v>
      </c>
      <c r="JO117" s="1008" t="s">
        <v>204</v>
      </c>
      <c r="JP117" s="1007">
        <v>-8.1490004551999995</v>
      </c>
      <c r="JQ117" s="1008" t="s">
        <v>25</v>
      </c>
      <c r="JR117" s="1007">
        <v>5.5574004552000007</v>
      </c>
      <c r="JS117" s="1008" t="s">
        <v>199</v>
      </c>
      <c r="JT117" s="1007">
        <v>4.7150399999999992</v>
      </c>
      <c r="JU117" s="1008" t="s">
        <v>207</v>
      </c>
      <c r="JV117" s="1007">
        <v>-5.5008800000000004</v>
      </c>
      <c r="JW117" s="1008" t="s">
        <v>197</v>
      </c>
      <c r="JX117" s="1007">
        <v>0</v>
      </c>
      <c r="JY117" s="1008"/>
      <c r="JZ117" s="1007">
        <v>0</v>
      </c>
      <c r="KA117" s="1008"/>
      <c r="KB117" s="1007">
        <v>0</v>
      </c>
      <c r="KC117" s="1008" t="s">
        <v>206</v>
      </c>
      <c r="KD117" s="1007">
        <v>-3.1433599999999995</v>
      </c>
      <c r="KE117" s="1008" t="s">
        <v>199</v>
      </c>
      <c r="KF117" s="1007">
        <v>3.2102400000000006</v>
      </c>
      <c r="KG117" s="1008" t="s">
        <v>207</v>
      </c>
      <c r="KH117" s="1007">
        <v>-1.1586960000000008</v>
      </c>
      <c r="KI117" s="1008" t="s">
        <v>207</v>
      </c>
      <c r="KJ117" s="1007">
        <v>-4.5110392799999985</v>
      </c>
      <c r="KK117" s="1008"/>
      <c r="KL117" s="1007">
        <v>0</v>
      </c>
      <c r="KM117" s="1008" t="s">
        <v>203</v>
      </c>
      <c r="KN117" s="1007">
        <v>-2.2555447200000014</v>
      </c>
      <c r="KO117" s="1008"/>
      <c r="KP117" s="1007">
        <v>0</v>
      </c>
      <c r="KQ117" s="1008" t="s">
        <v>203</v>
      </c>
      <c r="KR117" s="1007">
        <v>-2.3575199999999974</v>
      </c>
      <c r="KS117" s="1008" t="s">
        <v>204</v>
      </c>
      <c r="KT117" s="1007">
        <v>1.0031999999999996</v>
      </c>
      <c r="KU117" s="1008">
        <v>0</v>
      </c>
      <c r="KV117" s="1007">
        <v>3.929199999999998</v>
      </c>
      <c r="KW117" s="1008" t="s">
        <v>206</v>
      </c>
      <c r="KX117" s="1007">
        <v>-2.4578400000000009</v>
      </c>
      <c r="KY117" s="1008">
        <v>0</v>
      </c>
      <c r="KZ117" s="1007">
        <v>0</v>
      </c>
      <c r="LA117" s="1008">
        <v>0</v>
      </c>
      <c r="LB117" s="1007">
        <v>0</v>
      </c>
      <c r="LC117" s="1008" t="s">
        <v>206</v>
      </c>
      <c r="LD117" s="1007">
        <v>-3.686759999999996</v>
      </c>
      <c r="LE117" s="1008" t="s">
        <v>199</v>
      </c>
      <c r="LF117" s="1007">
        <v>-2.8674800000000005</v>
      </c>
      <c r="LG117" s="1008" t="s">
        <v>199</v>
      </c>
      <c r="LH117" s="1007">
        <v>3.9191679999999991</v>
      </c>
      <c r="LI117" s="1008">
        <v>0</v>
      </c>
      <c r="LJ117" s="1007">
        <v>0</v>
      </c>
      <c r="LK117" s="1008">
        <v>0</v>
      </c>
      <c r="LL117" s="1007">
        <v>0</v>
      </c>
      <c r="LM117" s="1008" t="s">
        <v>206</v>
      </c>
      <c r="LN117" s="1007">
        <v>-0.93222000000000005</v>
      </c>
      <c r="LO117" s="1008">
        <v>0</v>
      </c>
      <c r="LP117" s="1007">
        <v>0.31918479999999899</v>
      </c>
      <c r="LQ117" s="1008" t="s">
        <v>206</v>
      </c>
      <c r="LR117" s="1007">
        <v>-2.7284532000000006</v>
      </c>
      <c r="LS117" s="1008">
        <v>0</v>
      </c>
      <c r="LT117" s="1007">
        <v>0</v>
      </c>
      <c r="LU117" s="1008">
        <v>0</v>
      </c>
      <c r="LV117" s="1007">
        <v>-0.22162359999999701</v>
      </c>
      <c r="LW117" s="1008">
        <v>0</v>
      </c>
      <c r="LX117" s="1007">
        <v>0</v>
      </c>
      <c r="LY117" s="1009" t="s">
        <v>207</v>
      </c>
      <c r="LZ117" s="1010">
        <v>-4.4632368000000007</v>
      </c>
      <c r="MA117" s="1011" t="s">
        <v>206</v>
      </c>
      <c r="MB117" s="1012">
        <v>-1.2466432000000012</v>
      </c>
      <c r="MC117" s="995"/>
      <c r="MD117" s="996"/>
      <c r="ME117" s="997" t="s">
        <v>220</v>
      </c>
      <c r="MF117" s="997"/>
      <c r="MG117" s="998"/>
      <c r="NR117" s="1000"/>
      <c r="NS117" s="1000"/>
      <c r="NT117" s="1001"/>
      <c r="NU117" s="1000"/>
      <c r="NV117" s="1001"/>
      <c r="NX117" s="1002"/>
      <c r="NZ117" s="1001"/>
      <c r="OA117" s="1001"/>
      <c r="OC117" s="1003"/>
      <c r="OD117" s="1003"/>
      <c r="OE117" s="1001"/>
      <c r="OF117" s="1003"/>
      <c r="OG117" s="1003"/>
      <c r="OH117" s="1003"/>
      <c r="OI117" s="1016"/>
      <c r="QX117" s="1000">
        <f t="shared" si="96"/>
        <v>36</v>
      </c>
      <c r="ASU117" s="999" t="s">
        <v>208</v>
      </c>
    </row>
    <row r="118" spans="1:466 1191:1191" ht="21" customHeight="1" x14ac:dyDescent="0.25">
      <c r="A118" s="982" t="str">
        <f t="shared" si="59"/>
        <v>1029-2</v>
      </c>
      <c r="B118" s="124">
        <f>SUBTOTAL(103,$J$29:J118)</f>
        <v>90</v>
      </c>
      <c r="C118" s="126">
        <v>45068</v>
      </c>
      <c r="D118" s="124" t="s">
        <v>176</v>
      </c>
      <c r="E118" s="127" t="s">
        <v>177</v>
      </c>
      <c r="F118" s="128" t="s">
        <v>177</v>
      </c>
      <c r="G118" s="127" t="s">
        <v>178</v>
      </c>
      <c r="H118" s="127" t="s">
        <v>179</v>
      </c>
      <c r="I118" s="127" t="s">
        <v>663</v>
      </c>
      <c r="J118" s="152" t="s">
        <v>664</v>
      </c>
      <c r="K118" s="127" t="s">
        <v>663</v>
      </c>
      <c r="L118" s="130">
        <v>41686</v>
      </c>
      <c r="M118" s="127" t="s">
        <v>230</v>
      </c>
      <c r="N118" s="127" t="s">
        <v>184</v>
      </c>
      <c r="O118" s="127" t="s">
        <v>185</v>
      </c>
      <c r="P118" s="127" t="s">
        <v>186</v>
      </c>
      <c r="Q118" s="85" t="str">
        <f t="shared" si="85"/>
        <v/>
      </c>
      <c r="R118" s="130"/>
      <c r="S118" s="128" t="s">
        <v>156</v>
      </c>
      <c r="T118" s="131"/>
      <c r="U118" s="132">
        <v>203</v>
      </c>
      <c r="V118" s="121">
        <v>218.2</v>
      </c>
      <c r="W118" s="116">
        <v>0.98</v>
      </c>
      <c r="X118" s="116">
        <v>1.66</v>
      </c>
      <c r="Y118" s="116">
        <f t="shared" si="86"/>
        <v>0.98136681932908965</v>
      </c>
      <c r="Z118" s="133">
        <v>1.454</v>
      </c>
      <c r="AA118" s="133">
        <v>0.83599999999999997</v>
      </c>
      <c r="AB118" s="133">
        <v>0.72</v>
      </c>
      <c r="AC118" s="121">
        <v>34.299999999999997</v>
      </c>
      <c r="AD118" s="134">
        <v>1.17</v>
      </c>
      <c r="AE118" s="124">
        <v>177.8</v>
      </c>
      <c r="AF118" s="128">
        <v>9.19</v>
      </c>
      <c r="AG118" s="128">
        <v>1846</v>
      </c>
      <c r="AH118" s="127">
        <v>2773</v>
      </c>
      <c r="AI118" s="127">
        <v>2773</v>
      </c>
      <c r="AJ118" s="135"/>
      <c r="AK118" s="128"/>
      <c r="AL118" s="131"/>
      <c r="AM118" s="124" t="s">
        <v>232</v>
      </c>
      <c r="AN118" s="136" t="s">
        <v>665</v>
      </c>
      <c r="AO118" s="137">
        <v>33.5</v>
      </c>
      <c r="AP118" s="128">
        <v>2000</v>
      </c>
      <c r="AQ118" s="128">
        <v>182.47</v>
      </c>
      <c r="AR118" s="128"/>
      <c r="AS118" s="128"/>
      <c r="AT118" s="122"/>
      <c r="AU118" s="124" t="s">
        <v>189</v>
      </c>
      <c r="AV118" s="115">
        <f>VLOOKUP(J118,'[63]ТР нефть'!$J$28:$BP$638,39,0)</f>
        <v>449.999992969</v>
      </c>
      <c r="AW118" s="115" t="str">
        <f>VLOOKUP(J118,'[63]ТР нефть'!$J$28:$BP$638,40,0)</f>
        <v>ГП</v>
      </c>
      <c r="AX118" s="115">
        <f>VLOOKUP(J118,'[63]ТР нефть'!$J$28:$BP$638,41,0)</f>
        <v>899.99998593800001</v>
      </c>
      <c r="AY118" s="115" t="str">
        <f>VLOOKUP(J118,'[63]ТР нефть'!$J$28:$BP$638,42,0)</f>
        <v>ГП</v>
      </c>
      <c r="AZ118" s="115">
        <f>VLOOKUP(J118,'[63]ТР нефть'!$J$28:$BP$638,43,0)</f>
        <v>1349.999978906</v>
      </c>
      <c r="BA118" s="115" t="str">
        <f>VLOOKUP(J118,'[63]ТР нефть'!$J$28:$BP$638,44,0)</f>
        <v>ГК 77 1/8</v>
      </c>
      <c r="BB118" s="115">
        <f>VLOOKUP(J118,'[63]ТР нефть'!$J$28:$BP$638,45,0)</f>
        <v>1790.0000613279999</v>
      </c>
      <c r="BC118" s="115" t="str">
        <f>VLOOKUP(J118,'[63]ТР нефть'!$J$28:$BP$638,46,0)</f>
        <v>ЦКсОК 5/16</v>
      </c>
      <c r="BD118" s="115" t="str">
        <f>VLOOKUP(J118,'[63]ТР нефть'!$J$28:$BP$638,47,0)</f>
        <v>-</v>
      </c>
      <c r="BE118" s="115" t="str">
        <f>VLOOKUP(J118,'[63]ТР нефть'!$J$28:$BP$638,48,0)</f>
        <v>-</v>
      </c>
      <c r="BF118" s="115" t="str">
        <f>VLOOKUP(J118,'[63]ТР нефть'!$J$28:$BP$638,49,0)</f>
        <v>-</v>
      </c>
      <c r="BG118" s="115" t="str">
        <f>VLOOKUP(J118,'[63]ТР нефть'!$J$28:$BP$638,50,0)</f>
        <v>-</v>
      </c>
      <c r="BH118" s="115">
        <f>VLOOKUP(J118,'[63]ТР нефть'!$J$28:$BP$638,51,0)</f>
        <v>1800</v>
      </c>
      <c r="BI118" s="115" t="str">
        <f>VLOOKUP(J118,'[63]ТР нефть'!$J$28:$BP$638,52,0)</f>
        <v>закрыт</v>
      </c>
      <c r="BJ118" s="115" t="str">
        <f>IF(IFERROR(VLOOKUP(J118,'[63]ТР нефть'!$J$28:$BP$638,53,0),"-")=0,"-",IFERROR(VLOOKUP(J118,'[63]ТР нефть'!$J$28:$BP$638,53,0),"-"))</f>
        <v>-</v>
      </c>
      <c r="BK118" s="138" t="str">
        <f>IF(IFERROR(VLOOKUP(J118,'[63]ТР нефть'!$J$28:$BP$638,54,0),"-")=0,"-",IFERROR(VLOOKUP(J118,'[63]ТР нефть'!$J$28:$BP$638,54,0),"-"))</f>
        <v>-</v>
      </c>
      <c r="BL118" s="138" t="str">
        <f>IF(IFERROR(VLOOKUP(J118,'[63]ТР нефть'!$J$28:$BP$638,55,0),"-")=0,"-",IFERROR(VLOOKUP(J118,'[63]ТР нефть'!$J$28:$BP$638,55,0),"-"))</f>
        <v>-</v>
      </c>
      <c r="BM118" s="138" t="str">
        <f>IF(IFERROR(VLOOKUP(J118,'[63]ТР нефть'!$J$28:$BP$638,56,0),"-")=0,"-",IFERROR(VLOOKUP(J118,'[63]ТР нефть'!$J$28:$BP$638,56,0),"-"))</f>
        <v>-</v>
      </c>
      <c r="BN118" s="138" t="str">
        <f>IF(IFERROR(VLOOKUP(J118,'[63]ТР нефть'!$J$28:$BP$638,57,0),"-")=0,"-",IFERROR(VLOOKUP(J118,'[63]ТР нефть'!$J$28:$BP$638,57,0),"-"))</f>
        <v>-</v>
      </c>
      <c r="BO118" s="115" t="str">
        <f>IF(IFERROR(VLOOKUP(J118,'[63]ТР нефть'!$J$28:$BP$638,58,0),"-")=0,"-",IFERROR(VLOOKUP(J118,'[63]ТР нефть'!$J$28:$BP$638,58,0),"-"))</f>
        <v>-</v>
      </c>
      <c r="BP118" s="115" t="str">
        <f>IF(IFERROR(VLOOKUP(J118,'[63]ТР нефть'!$J$28:$BP$638,59,0),"-")=0,"-",IFERROR(VLOOKUP(J118,'[63]ТР нефть'!$J$28:$BP$638,59,0),"-"))</f>
        <v>-</v>
      </c>
      <c r="BQ118" s="138">
        <v>2010</v>
      </c>
      <c r="BR118" s="128">
        <v>1822</v>
      </c>
      <c r="BS118" s="115">
        <f t="shared" si="60"/>
        <v>188</v>
      </c>
      <c r="BT118" s="128">
        <v>73</v>
      </c>
      <c r="BU118" s="128">
        <v>5.5</v>
      </c>
      <c r="BV118" s="127">
        <v>65</v>
      </c>
      <c r="BW118" s="127" t="s">
        <v>217</v>
      </c>
      <c r="BX118" s="127" t="s">
        <v>195</v>
      </c>
      <c r="BY118" s="139">
        <v>24</v>
      </c>
      <c r="BZ118" s="139">
        <v>0</v>
      </c>
      <c r="CA118" s="80">
        <v>25</v>
      </c>
      <c r="CB118" s="138">
        <v>39</v>
      </c>
      <c r="CC118" s="138">
        <v>24</v>
      </c>
      <c r="CD118" s="135">
        <v>45017</v>
      </c>
      <c r="CE118" s="138">
        <v>90</v>
      </c>
      <c r="CF118" s="138">
        <v>71</v>
      </c>
      <c r="CG118" s="138" t="str">
        <f t="shared" si="52"/>
        <v>В работе</v>
      </c>
      <c r="CH118" s="138" t="s">
        <v>196</v>
      </c>
      <c r="CI118" s="127">
        <v>5</v>
      </c>
      <c r="CJ118" s="138"/>
      <c r="CK118" s="138">
        <f t="shared" si="55"/>
        <v>20</v>
      </c>
      <c r="CL118" s="99"/>
      <c r="CM118" s="99"/>
      <c r="CN118" s="140">
        <v>45</v>
      </c>
      <c r="CO118" s="141">
        <f t="shared" si="61"/>
        <v>5.4155243999999998</v>
      </c>
      <c r="CP118" s="142">
        <v>6.5</v>
      </c>
      <c r="CQ118" s="143">
        <v>0.34</v>
      </c>
      <c r="CR118" s="138">
        <v>9.6999999999999993</v>
      </c>
      <c r="CS118" s="139">
        <v>4.8</v>
      </c>
      <c r="CT118" s="138"/>
      <c r="CU118" s="138">
        <f t="shared" si="62"/>
        <v>4.8999999999999995</v>
      </c>
      <c r="CV118" s="115">
        <f t="shared" si="63"/>
        <v>904.80619014476224</v>
      </c>
      <c r="CW118" s="115">
        <f t="shared" si="64"/>
        <v>882.17193376609021</v>
      </c>
      <c r="CX118" s="133">
        <f t="shared" si="65"/>
        <v>0.14444444444444443</v>
      </c>
      <c r="CY118" s="116"/>
      <c r="CZ118" s="131"/>
      <c r="DA118" s="145" t="str">
        <f t="shared" si="66"/>
        <v>Газлифт</v>
      </c>
      <c r="DB118" s="146">
        <f t="shared" si="67"/>
        <v>5.4155243999999998</v>
      </c>
      <c r="DC118" s="142">
        <f t="shared" si="68"/>
        <v>6.5</v>
      </c>
      <c r="DD118" s="119">
        <f t="shared" si="69"/>
        <v>0.34</v>
      </c>
      <c r="DE118" s="115">
        <f t="shared" si="70"/>
        <v>4.8999999999999995</v>
      </c>
      <c r="DF118" s="121">
        <f t="shared" si="71"/>
        <v>4.8</v>
      </c>
      <c r="DG118" s="115">
        <f t="shared" si="72"/>
        <v>904.80619014476224</v>
      </c>
      <c r="DH118" s="115">
        <f t="shared" si="73"/>
        <v>45</v>
      </c>
      <c r="DI118" s="147"/>
      <c r="DJ118" s="111" t="s">
        <v>197</v>
      </c>
      <c r="DK118" s="112">
        <v>41688</v>
      </c>
      <c r="DL118" s="113">
        <f t="shared" ca="1" si="87"/>
        <v>3416</v>
      </c>
      <c r="DM118" s="114"/>
      <c r="DN118" s="114"/>
      <c r="DO118" s="114"/>
      <c r="DP118" s="114"/>
      <c r="DQ118" s="112" t="s">
        <v>666</v>
      </c>
      <c r="DR118" s="114" t="s">
        <v>198</v>
      </c>
      <c r="DS118" s="114"/>
      <c r="DT118" s="115">
        <v>45</v>
      </c>
      <c r="DU118" s="116">
        <f t="shared" si="88"/>
        <v>0.14444444444444443</v>
      </c>
      <c r="DV118" s="117">
        <f t="shared" si="89"/>
        <v>5.4155243999999998</v>
      </c>
      <c r="DW118" s="118">
        <f t="shared" si="90"/>
        <v>6.5</v>
      </c>
      <c r="DX118" s="119">
        <f t="shared" si="74"/>
        <v>0.34</v>
      </c>
      <c r="DY118" s="115">
        <f t="shared" si="91"/>
        <v>4.8999999999999995</v>
      </c>
      <c r="DZ118" s="117">
        <f t="shared" si="92"/>
        <v>0</v>
      </c>
      <c r="EA118" s="120">
        <f t="shared" si="92"/>
        <v>0</v>
      </c>
      <c r="EB118" s="119">
        <f t="shared" si="92"/>
        <v>0</v>
      </c>
      <c r="EC118" s="121">
        <f t="shared" si="93"/>
        <v>0</v>
      </c>
      <c r="ED118" s="122"/>
      <c r="EE118" s="145">
        <v>65</v>
      </c>
      <c r="EF118" s="148">
        <v>26</v>
      </c>
      <c r="EG118" s="115">
        <v>43</v>
      </c>
      <c r="EH118" s="115">
        <v>25</v>
      </c>
      <c r="EI118" s="128" t="s">
        <v>195</v>
      </c>
      <c r="EJ118" s="121">
        <v>24</v>
      </c>
      <c r="EK118" s="121">
        <v>0</v>
      </c>
      <c r="EL118" s="149">
        <v>5.3322086400000002</v>
      </c>
      <c r="EM118" s="142">
        <v>6.4</v>
      </c>
      <c r="EN118" s="119">
        <v>0.34</v>
      </c>
      <c r="EO118" s="115">
        <v>14</v>
      </c>
      <c r="EP118" s="115">
        <v>915.19299589897537</v>
      </c>
      <c r="EQ118" s="115">
        <v>73</v>
      </c>
      <c r="ER118" s="115">
        <v>9.1199999999999992</v>
      </c>
      <c r="ES118" s="115">
        <v>46</v>
      </c>
      <c r="ET118" s="150">
        <v>0.14545454545454548</v>
      </c>
      <c r="EU118" s="145">
        <f t="shared" si="75"/>
        <v>65</v>
      </c>
      <c r="EV118" s="115">
        <f t="shared" si="76"/>
        <v>25</v>
      </c>
      <c r="EW118" s="115">
        <f t="shared" si="76"/>
        <v>39</v>
      </c>
      <c r="EX118" s="115">
        <f t="shared" si="76"/>
        <v>24</v>
      </c>
      <c r="EY118" s="115" t="str">
        <f t="shared" si="77"/>
        <v>Постоянный</v>
      </c>
      <c r="EZ118" s="115">
        <f t="shared" si="77"/>
        <v>24</v>
      </c>
      <c r="FA118" s="115">
        <f t="shared" si="77"/>
        <v>0</v>
      </c>
      <c r="FB118" s="149">
        <f t="shared" si="78"/>
        <v>5.4155243999999998</v>
      </c>
      <c r="FC118" s="142">
        <f t="shared" si="78"/>
        <v>6.5</v>
      </c>
      <c r="FD118" s="119">
        <f t="shared" si="78"/>
        <v>0.34</v>
      </c>
      <c r="FE118" s="121">
        <f t="shared" si="78"/>
        <v>9.6999999999999993</v>
      </c>
      <c r="FF118" s="121">
        <f t="shared" si="94"/>
        <v>904.80619014476224</v>
      </c>
      <c r="FG118" s="121">
        <f t="shared" si="79"/>
        <v>71</v>
      </c>
      <c r="FH118" s="121">
        <f t="shared" si="95"/>
        <v>4.8</v>
      </c>
      <c r="FI118" s="121">
        <f t="shared" si="54"/>
        <v>45</v>
      </c>
      <c r="FJ118" s="144">
        <f t="shared" si="80"/>
        <v>0.14444444444444443</v>
      </c>
      <c r="FK118" s="132">
        <f t="shared" si="81"/>
        <v>0</v>
      </c>
      <c r="FL118" s="115">
        <f t="shared" si="81"/>
        <v>-1</v>
      </c>
      <c r="FM118" s="115">
        <f t="shared" si="81"/>
        <v>-4</v>
      </c>
      <c r="FN118" s="115">
        <f t="shared" si="58"/>
        <v>-1</v>
      </c>
      <c r="FO118" s="115">
        <f t="shared" si="57"/>
        <v>0</v>
      </c>
      <c r="FP118" s="115">
        <f t="shared" si="56"/>
        <v>0</v>
      </c>
      <c r="FQ118" s="149">
        <f t="shared" si="56"/>
        <v>8.3315759999999628E-2</v>
      </c>
      <c r="FR118" s="142">
        <f t="shared" si="56"/>
        <v>9.9999999999999645E-2</v>
      </c>
      <c r="FS118" s="119">
        <f t="shared" si="56"/>
        <v>0</v>
      </c>
      <c r="FT118" s="121">
        <f t="shared" si="56"/>
        <v>-4.3000000000000007</v>
      </c>
      <c r="FU118" s="121">
        <f t="shared" si="82"/>
        <v>-2</v>
      </c>
      <c r="FV118" s="121">
        <f t="shared" si="82"/>
        <v>-4.3199999999999994</v>
      </c>
      <c r="FW118" s="121">
        <f t="shared" si="83"/>
        <v>-10.386805754213128</v>
      </c>
      <c r="FX118" s="121">
        <f t="shared" si="84"/>
        <v>-1</v>
      </c>
      <c r="FY118" s="144">
        <f t="shared" si="84"/>
        <v>-1.0101010101010444E-3</v>
      </c>
      <c r="FZ118" s="145"/>
      <c r="GA118" s="125"/>
      <c r="GB118" s="145"/>
      <c r="GC118" s="125"/>
      <c r="GD118" s="997" t="s">
        <v>202</v>
      </c>
      <c r="GE118" s="1004"/>
      <c r="GF118" s="1004">
        <v>0.6082050480000003</v>
      </c>
      <c r="GG118" s="1004"/>
      <c r="GH118" s="1004">
        <v>0</v>
      </c>
      <c r="GI118" s="145"/>
      <c r="GJ118" s="996">
        <v>-1.6116408000000249E-2</v>
      </c>
      <c r="GK118" s="145"/>
      <c r="GL118" s="996">
        <v>-0.79754399999999936</v>
      </c>
      <c r="GM118" s="1005"/>
      <c r="GN118" s="996">
        <v>-0.11030518399999956</v>
      </c>
      <c r="GO118" s="1006" t="s">
        <v>204</v>
      </c>
      <c r="GP118" s="996">
        <v>-1.6208668960000008</v>
      </c>
      <c r="GQ118" s="1006"/>
      <c r="GR118" s="996">
        <v>0.76865852800000045</v>
      </c>
      <c r="GS118" s="1006" t="s">
        <v>199</v>
      </c>
      <c r="GT118" s="996">
        <v>1.4942095520000001</v>
      </c>
      <c r="GU118" s="1006"/>
      <c r="GV118" s="996">
        <v>0.57433199999999918</v>
      </c>
      <c r="GW118" s="1006"/>
      <c r="GX118" s="996">
        <v>0</v>
      </c>
      <c r="GY118" s="1006"/>
      <c r="GZ118" s="996">
        <v>0</v>
      </c>
      <c r="HA118" s="1006" t="s">
        <v>199</v>
      </c>
      <c r="HB118" s="996">
        <v>-2.1463463999999997</v>
      </c>
      <c r="HC118" s="1006" t="s">
        <v>25</v>
      </c>
      <c r="HD118" s="996">
        <v>-0.10667360000000059</v>
      </c>
      <c r="HE118" s="1006"/>
      <c r="HF118" s="996">
        <v>0</v>
      </c>
      <c r="HG118" s="1006"/>
      <c r="HH118" s="996">
        <v>0.85460100000000061</v>
      </c>
      <c r="HI118" s="1006" t="s">
        <v>199</v>
      </c>
      <c r="HJ118" s="996">
        <v>1.0860559600000004</v>
      </c>
      <c r="HK118" s="1006"/>
      <c r="HL118" s="996">
        <v>0</v>
      </c>
      <c r="HM118" s="1006"/>
      <c r="HN118" s="996">
        <v>0</v>
      </c>
      <c r="HO118" s="1006"/>
      <c r="HP118" s="996">
        <v>0</v>
      </c>
      <c r="HQ118" s="1006"/>
      <c r="HR118" s="996">
        <v>0</v>
      </c>
      <c r="HS118" s="1006"/>
      <c r="HT118" s="996">
        <v>-0.37774827199999983</v>
      </c>
      <c r="HU118" s="1006"/>
      <c r="HV118" s="996">
        <v>0</v>
      </c>
      <c r="HW118" s="1006" t="s">
        <v>204</v>
      </c>
      <c r="HX118" s="996">
        <v>-2.4607743600000012</v>
      </c>
      <c r="HY118" s="1006" t="s">
        <v>199</v>
      </c>
      <c r="HZ118" s="996">
        <v>1.7183712480000004</v>
      </c>
      <c r="IA118" s="1006"/>
      <c r="IB118" s="996">
        <v>-0.28511780000000009</v>
      </c>
      <c r="IC118" s="1006"/>
      <c r="ID118" s="996">
        <v>5.012990400000028E-2</v>
      </c>
      <c r="IE118" s="1006"/>
      <c r="IF118" s="996">
        <v>-0.25064951999999963</v>
      </c>
      <c r="IG118" s="1006"/>
      <c r="IH118" s="996">
        <v>0</v>
      </c>
      <c r="II118" s="1006"/>
      <c r="IJ118" s="996">
        <v>0.9190482400000004</v>
      </c>
      <c r="IK118" s="1006"/>
      <c r="IL118" s="996">
        <v>-3.2604000000011624E-3</v>
      </c>
      <c r="IM118" s="1006"/>
      <c r="IN118" s="996">
        <v>0</v>
      </c>
      <c r="IO118" s="1006" t="s">
        <v>204</v>
      </c>
      <c r="IP118" s="996">
        <v>-2.9059359999999996</v>
      </c>
      <c r="IQ118" s="1006" t="s">
        <v>199</v>
      </c>
      <c r="IR118" s="996">
        <v>2.5072475999999995</v>
      </c>
      <c r="IS118" s="1006"/>
      <c r="IT118" s="996">
        <v>0</v>
      </c>
      <c r="IU118" s="1006"/>
      <c r="IV118" s="996">
        <v>0.84678439999999977</v>
      </c>
      <c r="IW118" s="1006"/>
      <c r="IX118" s="996">
        <v>0</v>
      </c>
      <c r="IY118" s="1006"/>
      <c r="IZ118" s="996">
        <v>0</v>
      </c>
      <c r="JA118" s="1006"/>
      <c r="JB118" s="996">
        <v>0</v>
      </c>
      <c r="JC118" s="1006" t="s">
        <v>204</v>
      </c>
      <c r="JD118" s="996">
        <v>-2.4929519999999989</v>
      </c>
      <c r="JE118" s="1006"/>
      <c r="JF118" s="996">
        <v>0</v>
      </c>
      <c r="JG118" s="1006"/>
      <c r="JH118" s="996">
        <v>0</v>
      </c>
      <c r="JI118" s="1006"/>
      <c r="JJ118" s="996">
        <v>0</v>
      </c>
      <c r="JK118" s="1007" t="s">
        <v>204</v>
      </c>
      <c r="JL118" s="1007">
        <v>1.6268560000000001</v>
      </c>
      <c r="JM118" s="1007"/>
      <c r="JN118" s="1007">
        <v>0</v>
      </c>
      <c r="JO118" s="1008" t="s">
        <v>199</v>
      </c>
      <c r="JP118" s="1007">
        <v>-1.6720000000000006</v>
      </c>
      <c r="JQ118" s="1008" t="s">
        <v>204</v>
      </c>
      <c r="JR118" s="1007">
        <v>-1.6719999999999997</v>
      </c>
      <c r="JS118" s="1008">
        <v>0</v>
      </c>
      <c r="JT118" s="1007">
        <v>0</v>
      </c>
      <c r="JU118" s="1008"/>
      <c r="JV118" s="1007">
        <v>0</v>
      </c>
      <c r="JW118" s="1008" t="s">
        <v>197</v>
      </c>
      <c r="JX118" s="1007">
        <v>0</v>
      </c>
      <c r="JY118" s="1008"/>
      <c r="JZ118" s="1007">
        <v>0</v>
      </c>
      <c r="KA118" s="1008"/>
      <c r="KB118" s="1007">
        <v>0</v>
      </c>
      <c r="KC118" s="1008"/>
      <c r="KD118" s="1007">
        <v>0</v>
      </c>
      <c r="KE118" s="1008" t="s">
        <v>199</v>
      </c>
      <c r="KF118" s="1007">
        <v>1.6719999999999997</v>
      </c>
      <c r="KG118" s="1008" t="s">
        <v>207</v>
      </c>
      <c r="KH118" s="1007">
        <v>-1.8809999999999993</v>
      </c>
      <c r="KI118" s="1008" t="s">
        <v>203</v>
      </c>
      <c r="KJ118" s="1007">
        <v>-1.7138000000000009</v>
      </c>
      <c r="KK118" s="1008"/>
      <c r="KL118" s="1007">
        <v>0</v>
      </c>
      <c r="KM118" s="1008" t="s">
        <v>203</v>
      </c>
      <c r="KN118" s="1007">
        <v>-1.4512</v>
      </c>
      <c r="KO118" s="1008"/>
      <c r="KP118" s="1007">
        <v>0</v>
      </c>
      <c r="KQ118" s="1008">
        <v>0</v>
      </c>
      <c r="KR118" s="1007">
        <v>0</v>
      </c>
      <c r="KS118" s="1008">
        <v>0</v>
      </c>
      <c r="KT118" s="1007">
        <v>0</v>
      </c>
      <c r="KU118" s="1008" t="s">
        <v>206</v>
      </c>
      <c r="KV118" s="1007">
        <v>-3.3439999999999994</v>
      </c>
      <c r="KW118" s="1008">
        <v>0</v>
      </c>
      <c r="KX118" s="1007">
        <v>0</v>
      </c>
      <c r="KY118" s="1008">
        <v>0</v>
      </c>
      <c r="KZ118" s="1007">
        <v>0</v>
      </c>
      <c r="LA118" s="1008" t="s">
        <v>206</v>
      </c>
      <c r="LB118" s="1007">
        <v>-1.6719999999999988</v>
      </c>
      <c r="LC118" s="1008" t="s">
        <v>204</v>
      </c>
      <c r="LD118" s="1007">
        <v>7.1461279999999991</v>
      </c>
      <c r="LE118" s="1008">
        <v>0</v>
      </c>
      <c r="LF118" s="1007">
        <v>0</v>
      </c>
      <c r="LG118" s="1008">
        <v>0</v>
      </c>
      <c r="LH118" s="1007">
        <v>-9.1868400000000001</v>
      </c>
      <c r="LI118" s="1008">
        <v>0</v>
      </c>
      <c r="LJ118" s="1007">
        <v>0</v>
      </c>
      <c r="LK118" s="1008">
        <v>0</v>
      </c>
      <c r="LL118" s="1007">
        <v>0</v>
      </c>
      <c r="LM118" s="1008" t="s">
        <v>206</v>
      </c>
      <c r="LN118" s="1007">
        <v>2.8395579999999998</v>
      </c>
      <c r="LO118" s="1008">
        <v>0</v>
      </c>
      <c r="LP118" s="1007">
        <v>0.51983999999990005</v>
      </c>
      <c r="LQ118" s="1008" t="s">
        <v>199</v>
      </c>
      <c r="LR118" s="1007">
        <v>-1.62612</v>
      </c>
      <c r="LS118" s="1008">
        <v>0</v>
      </c>
      <c r="LT118" s="1007">
        <v>-3.757485599999999</v>
      </c>
      <c r="LU118" s="1008">
        <v>0</v>
      </c>
      <c r="LV118" s="1007">
        <v>0.1158696</v>
      </c>
      <c r="LW118" s="1008">
        <v>0</v>
      </c>
      <c r="LX118" s="1007">
        <v>0.33156000000000002</v>
      </c>
      <c r="LY118" s="1009">
        <v>0</v>
      </c>
      <c r="LZ118" s="1010">
        <v>-0.17388890000000001</v>
      </c>
      <c r="MA118" s="1011">
        <v>0</v>
      </c>
      <c r="MB118" s="1012">
        <v>0.83675242000000005</v>
      </c>
      <c r="MC118" s="995"/>
      <c r="MD118" s="996"/>
      <c r="ME118" s="997" t="s">
        <v>202</v>
      </c>
      <c r="MF118" s="997"/>
      <c r="MG118" s="998"/>
      <c r="NR118" s="1000"/>
      <c r="NS118" s="1000"/>
      <c r="NT118" s="1001"/>
      <c r="NU118" s="1000"/>
      <c r="NV118" s="1001"/>
      <c r="NX118" s="1002"/>
      <c r="NZ118" s="1001"/>
      <c r="OA118" s="1001"/>
      <c r="OC118" s="1003"/>
      <c r="OD118" s="1003"/>
      <c r="OE118" s="1001"/>
      <c r="OF118" s="1003"/>
      <c r="OG118" s="1003"/>
      <c r="QX118" s="1000">
        <f t="shared" si="96"/>
        <v>20</v>
      </c>
      <c r="ASU118" s="999" t="s">
        <v>208</v>
      </c>
    </row>
    <row r="119" spans="1:466 1191:1191" ht="21" customHeight="1" x14ac:dyDescent="0.25">
      <c r="A119" s="982" t="str">
        <f t="shared" si="59"/>
        <v>1029-1</v>
      </c>
      <c r="B119" s="124">
        <f>SUBTOTAL(103,$J$29:J119)</f>
        <v>91</v>
      </c>
      <c r="C119" s="126">
        <v>45068</v>
      </c>
      <c r="D119" s="124" t="s">
        <v>176</v>
      </c>
      <c r="E119" s="127" t="s">
        <v>177</v>
      </c>
      <c r="F119" s="128" t="s">
        <v>177</v>
      </c>
      <c r="G119" s="127" t="s">
        <v>178</v>
      </c>
      <c r="H119" s="127" t="s">
        <v>421</v>
      </c>
      <c r="I119" s="127" t="s">
        <v>567</v>
      </c>
      <c r="J119" s="152" t="s">
        <v>667</v>
      </c>
      <c r="K119" s="127" t="s">
        <v>182</v>
      </c>
      <c r="L119" s="130">
        <v>39102</v>
      </c>
      <c r="M119" s="127" t="s">
        <v>230</v>
      </c>
      <c r="N119" s="127" t="s">
        <v>231</v>
      </c>
      <c r="O119" s="127" t="s">
        <v>608</v>
      </c>
      <c r="P119" s="127" t="s">
        <v>292</v>
      </c>
      <c r="Q119" s="85" t="str">
        <f t="shared" si="85"/>
        <v/>
      </c>
      <c r="R119" s="130"/>
      <c r="S119" s="128" t="s">
        <v>156</v>
      </c>
      <c r="T119" s="131"/>
      <c r="U119" s="132">
        <v>203</v>
      </c>
      <c r="V119" s="121">
        <v>218.2</v>
      </c>
      <c r="W119" s="116">
        <v>0.98</v>
      </c>
      <c r="X119" s="116">
        <v>1.66</v>
      </c>
      <c r="Y119" s="116">
        <f t="shared" si="86"/>
        <v>1.0004920049200492</v>
      </c>
      <c r="Z119" s="133">
        <v>1.454</v>
      </c>
      <c r="AA119" s="133">
        <v>0.83599999999999997</v>
      </c>
      <c r="AB119" s="133">
        <v>0.72</v>
      </c>
      <c r="AC119" s="121">
        <v>34.299999999999997</v>
      </c>
      <c r="AD119" s="134">
        <v>1.17</v>
      </c>
      <c r="AE119" s="124">
        <v>139.69999999999999</v>
      </c>
      <c r="AF119" s="128">
        <v>7.72</v>
      </c>
      <c r="AG119" s="128">
        <v>2019</v>
      </c>
      <c r="AH119" s="127">
        <v>2490</v>
      </c>
      <c r="AI119" s="127">
        <v>2490</v>
      </c>
      <c r="AJ119" s="135"/>
      <c r="AK119" s="128"/>
      <c r="AL119" s="131"/>
      <c r="AM119" s="124" t="s">
        <v>232</v>
      </c>
      <c r="AN119" s="136" t="s">
        <v>668</v>
      </c>
      <c r="AO119" s="137">
        <v>68.17</v>
      </c>
      <c r="AP119" s="128">
        <v>2019</v>
      </c>
      <c r="AQ119" s="128">
        <v>88.54</v>
      </c>
      <c r="AR119" s="128"/>
      <c r="AS119" s="128"/>
      <c r="AT119" s="122"/>
      <c r="AU119" s="124" t="s">
        <v>250</v>
      </c>
      <c r="AV119" s="115">
        <f>VLOOKUP(J119,'[63]ТР нефть'!$J$28:$BP$638,39,0)</f>
        <v>602</v>
      </c>
      <c r="AW119" s="115" t="str">
        <f>VLOOKUP(J119,'[63]ТР нефть'!$J$28:$BP$638,40,0)</f>
        <v>ГП</v>
      </c>
      <c r="AX119" s="115">
        <f>VLOOKUP(J119,'[63]ТР нефть'!$J$28:$BP$638,41,0)</f>
        <v>1207</v>
      </c>
      <c r="AY119" s="115" t="str">
        <f>VLOOKUP(J119,'[63]ТР нефть'!$J$28:$BP$638,42,0)</f>
        <v>ГП</v>
      </c>
      <c r="AZ119" s="115">
        <f>VLOOKUP(J119,'[63]ТР нефть'!$J$28:$BP$638,43,0)</f>
        <v>1780</v>
      </c>
      <c r="BA119" s="115" t="str">
        <f>VLOOKUP(J119,'[63]ТР нефть'!$J$28:$BP$638,44,0)</f>
        <v>ЦКсОК 5/16</v>
      </c>
      <c r="BB119" s="115" t="str">
        <f>VLOOKUP(J119,'[63]ТР нефть'!$J$28:$BP$638,45,0)</f>
        <v>-</v>
      </c>
      <c r="BC119" s="115" t="str">
        <f>VLOOKUP(J119,'[63]ТР нефть'!$J$28:$BP$638,46,0)</f>
        <v>-</v>
      </c>
      <c r="BD119" s="115" t="str">
        <f>VLOOKUP(J119,'[63]ТР нефть'!$J$28:$BP$638,47,0)</f>
        <v>-</v>
      </c>
      <c r="BE119" s="115" t="str">
        <f>VLOOKUP(J119,'[63]ТР нефть'!$J$28:$BP$638,48,0)</f>
        <v>-</v>
      </c>
      <c r="BF119" s="115" t="str">
        <f>VLOOKUP(J119,'[63]ТР нефть'!$J$28:$BP$638,49,0)</f>
        <v>-</v>
      </c>
      <c r="BG119" s="115" t="str">
        <f>VLOOKUP(J119,'[63]ТР нефть'!$J$28:$BP$638,50,0)</f>
        <v>-</v>
      </c>
      <c r="BH119" s="115" t="str">
        <f>VLOOKUP(J119,'[63]ТР нефть'!$J$28:$BP$638,51,0)</f>
        <v>-</v>
      </c>
      <c r="BI119" s="115" t="str">
        <f>VLOOKUP(J119,'[63]ТР нефть'!$J$28:$BP$638,52,0)</f>
        <v>-</v>
      </c>
      <c r="BJ119" s="115" t="str">
        <f>IF(IFERROR(VLOOKUP(J119,'[63]ТР нефть'!$J$28:$BP$638,53,0),"-")=0,"-",IFERROR(VLOOKUP(J119,'[63]ТР нефть'!$J$28:$BP$638,53,0),"-"))</f>
        <v>-</v>
      </c>
      <c r="BK119" s="138" t="str">
        <f>IF(IFERROR(VLOOKUP(J119,'[63]ТР нефть'!$J$28:$BP$638,54,0),"-")=0,"-",IFERROR(VLOOKUP(J119,'[63]ТР нефть'!$J$28:$BP$638,54,0),"-"))</f>
        <v>-</v>
      </c>
      <c r="BL119" s="138" t="str">
        <f>IF(IFERROR(VLOOKUP(J119,'[63]ТР нефть'!$J$28:$BP$638,55,0),"-")=0,"-",IFERROR(VLOOKUP(J119,'[63]ТР нефть'!$J$28:$BP$638,55,0),"-"))</f>
        <v>-</v>
      </c>
      <c r="BM119" s="138" t="str">
        <f>IF(IFERROR(VLOOKUP(J119,'[63]ТР нефть'!$J$28:$BP$638,56,0),"-")=0,"-",IFERROR(VLOOKUP(J119,'[63]ТР нефть'!$J$28:$BP$638,56,0),"-"))</f>
        <v>-</v>
      </c>
      <c r="BN119" s="138" t="str">
        <f>IF(IFERROR(VLOOKUP(J119,'[63]ТР нефть'!$J$28:$BP$638,57,0),"-")=0,"-",IFERROR(VLOOKUP(J119,'[63]ТР нефть'!$J$28:$BP$638,57,0),"-"))</f>
        <v>-</v>
      </c>
      <c r="BO119" s="115" t="str">
        <f>IF(IFERROR(VLOOKUP(J119,'[63]ТР нефть'!$J$28:$BP$638,58,0),"-")=0,"-",IFERROR(VLOOKUP(J119,'[63]ТР нефть'!$J$28:$BP$638,58,0),"-"))</f>
        <v>-</v>
      </c>
      <c r="BP119" s="115" t="str">
        <f>IF(IFERROR(VLOOKUP(J119,'[63]ТР нефть'!$J$28:$BP$638,59,0),"-")=0,"-",IFERROR(VLOOKUP(J119,'[63]ТР нефть'!$J$28:$BP$638,59,0),"-"))</f>
        <v>-</v>
      </c>
      <c r="BQ119" s="138">
        <v>2466</v>
      </c>
      <c r="BR119" s="128">
        <v>1934.76</v>
      </c>
      <c r="BS119" s="115">
        <f t="shared" si="60"/>
        <v>531.24</v>
      </c>
      <c r="BT119" s="128">
        <v>73</v>
      </c>
      <c r="BU119" s="128">
        <v>5.5</v>
      </c>
      <c r="BV119" s="127">
        <v>18</v>
      </c>
      <c r="BW119" s="127" t="s">
        <v>217</v>
      </c>
      <c r="BX119" s="127" t="s">
        <v>218</v>
      </c>
      <c r="BY119" s="139">
        <v>24</v>
      </c>
      <c r="BZ119" s="139">
        <v>720</v>
      </c>
      <c r="CA119" s="138">
        <v>28</v>
      </c>
      <c r="CB119" s="138">
        <v>38</v>
      </c>
      <c r="CC119" s="138">
        <v>27</v>
      </c>
      <c r="CD119" s="135">
        <v>45017</v>
      </c>
      <c r="CE119" s="138">
        <v>114.6</v>
      </c>
      <c r="CF119" s="138"/>
      <c r="CG119" s="138" t="str">
        <f t="shared" si="52"/>
        <v/>
      </c>
      <c r="CH119" s="138" t="s">
        <v>197</v>
      </c>
      <c r="CI119" s="127"/>
      <c r="CJ119" s="138"/>
      <c r="CK119" s="138"/>
      <c r="CL119" s="99"/>
      <c r="CM119" s="127"/>
      <c r="CN119" s="154">
        <v>56</v>
      </c>
      <c r="CO119" s="141">
        <f t="shared" si="61"/>
        <v>1.9854999999999998</v>
      </c>
      <c r="CP119" s="142">
        <v>2.5</v>
      </c>
      <c r="CQ119" s="143">
        <v>5</v>
      </c>
      <c r="CR119" s="138">
        <v>65</v>
      </c>
      <c r="CS119" s="139"/>
      <c r="CT119" s="138"/>
      <c r="CU119" s="138">
        <f t="shared" si="62"/>
        <v>65</v>
      </c>
      <c r="CV119" s="115">
        <f t="shared" si="63"/>
        <v>32737.34575673634</v>
      </c>
      <c r="CW119" s="115" t="str">
        <f t="shared" si="64"/>
        <v/>
      </c>
      <c r="CX119" s="133">
        <f t="shared" si="65"/>
        <v>4.2662116040955635E-2</v>
      </c>
      <c r="CY119" s="116"/>
      <c r="CZ119" s="131" t="s">
        <v>612</v>
      </c>
      <c r="DA119" s="145" t="str">
        <f t="shared" si="66"/>
        <v>Фон.</v>
      </c>
      <c r="DB119" s="146">
        <f t="shared" si="67"/>
        <v>1.9854999999999998</v>
      </c>
      <c r="DC119" s="142">
        <f t="shared" si="68"/>
        <v>2.5</v>
      </c>
      <c r="DD119" s="119">
        <f t="shared" si="69"/>
        <v>5</v>
      </c>
      <c r="DE119" s="115">
        <f t="shared" si="70"/>
        <v>65</v>
      </c>
      <c r="DF119" s="121">
        <f t="shared" si="71"/>
        <v>0</v>
      </c>
      <c r="DG119" s="115">
        <f t="shared" si="72"/>
        <v>32737.34575673634</v>
      </c>
      <c r="DH119" s="115">
        <f t="shared" si="73"/>
        <v>56</v>
      </c>
      <c r="DI119" s="147"/>
      <c r="DJ119" s="111" t="s">
        <v>197</v>
      </c>
      <c r="DK119" s="112">
        <v>39102</v>
      </c>
      <c r="DL119" s="113">
        <f t="shared" ca="1" si="87"/>
        <v>6002</v>
      </c>
      <c r="DM119" s="114"/>
      <c r="DN119" s="114"/>
      <c r="DO119" s="114"/>
      <c r="DP119" s="114"/>
      <c r="DQ119" s="112">
        <v>40774</v>
      </c>
      <c r="DR119" s="114" t="s">
        <v>198</v>
      </c>
      <c r="DS119" s="114"/>
      <c r="DT119" s="115">
        <v>56</v>
      </c>
      <c r="DU119" s="116">
        <f t="shared" si="88"/>
        <v>4.2662116040955635E-2</v>
      </c>
      <c r="DV119" s="117">
        <f t="shared" si="89"/>
        <v>1.9854999999999998</v>
      </c>
      <c r="DW119" s="118">
        <f t="shared" si="90"/>
        <v>2.5</v>
      </c>
      <c r="DX119" s="119">
        <f t="shared" si="74"/>
        <v>5</v>
      </c>
      <c r="DY119" s="115">
        <f t="shared" si="91"/>
        <v>65</v>
      </c>
      <c r="DZ119" s="117">
        <f t="shared" si="92"/>
        <v>0</v>
      </c>
      <c r="EA119" s="120">
        <f t="shared" si="92"/>
        <v>0</v>
      </c>
      <c r="EB119" s="119">
        <f t="shared" si="92"/>
        <v>0</v>
      </c>
      <c r="EC119" s="121">
        <f t="shared" si="93"/>
        <v>0</v>
      </c>
      <c r="ED119" s="122"/>
      <c r="EE119" s="145">
        <v>18</v>
      </c>
      <c r="EF119" s="115">
        <v>28</v>
      </c>
      <c r="EG119" s="115">
        <v>38</v>
      </c>
      <c r="EH119" s="115">
        <v>27</v>
      </c>
      <c r="EI119" s="128" t="s">
        <v>218</v>
      </c>
      <c r="EJ119" s="121">
        <v>24</v>
      </c>
      <c r="EK119" s="121">
        <v>720</v>
      </c>
      <c r="EL119" s="149">
        <v>1.9854999999999998</v>
      </c>
      <c r="EM119" s="142">
        <v>2.5</v>
      </c>
      <c r="EN119" s="119">
        <v>5</v>
      </c>
      <c r="EO119" s="115">
        <v>65</v>
      </c>
      <c r="EP119" s="115">
        <v>32737.34575673634</v>
      </c>
      <c r="EQ119" s="115">
        <v>0</v>
      </c>
      <c r="ER119" s="115">
        <v>0</v>
      </c>
      <c r="ES119" s="115">
        <v>56</v>
      </c>
      <c r="ET119" s="150">
        <v>4.2662116040955635E-2</v>
      </c>
      <c r="EU119" s="145">
        <f t="shared" si="75"/>
        <v>18</v>
      </c>
      <c r="EV119" s="115">
        <f t="shared" si="76"/>
        <v>28</v>
      </c>
      <c r="EW119" s="115">
        <f t="shared" si="76"/>
        <v>38</v>
      </c>
      <c r="EX119" s="115">
        <f t="shared" si="76"/>
        <v>27</v>
      </c>
      <c r="EY119" s="115" t="str">
        <f t="shared" si="77"/>
        <v>Периодический</v>
      </c>
      <c r="EZ119" s="115">
        <f t="shared" si="77"/>
        <v>24</v>
      </c>
      <c r="FA119" s="115">
        <f t="shared" si="77"/>
        <v>720</v>
      </c>
      <c r="FB119" s="149">
        <f t="shared" si="78"/>
        <v>1.9854999999999998</v>
      </c>
      <c r="FC119" s="142">
        <f t="shared" si="78"/>
        <v>2.5</v>
      </c>
      <c r="FD119" s="119">
        <f t="shared" si="78"/>
        <v>5</v>
      </c>
      <c r="FE119" s="121">
        <f t="shared" si="78"/>
        <v>65</v>
      </c>
      <c r="FF119" s="121">
        <f t="shared" si="94"/>
        <v>32737.34575673634</v>
      </c>
      <c r="FG119" s="121">
        <f t="shared" si="79"/>
        <v>0</v>
      </c>
      <c r="FH119" s="121">
        <f t="shared" si="95"/>
        <v>0</v>
      </c>
      <c r="FI119" s="121">
        <f t="shared" si="54"/>
        <v>56</v>
      </c>
      <c r="FJ119" s="144">
        <f t="shared" si="80"/>
        <v>4.2662116040955635E-2</v>
      </c>
      <c r="FK119" s="132">
        <f t="shared" si="81"/>
        <v>0</v>
      </c>
      <c r="FL119" s="115">
        <f t="shared" si="81"/>
        <v>0</v>
      </c>
      <c r="FM119" s="115">
        <f t="shared" si="81"/>
        <v>0</v>
      </c>
      <c r="FN119" s="115">
        <f t="shared" si="58"/>
        <v>0</v>
      </c>
      <c r="FO119" s="115">
        <f t="shared" si="57"/>
        <v>0</v>
      </c>
      <c r="FP119" s="115">
        <f t="shared" si="56"/>
        <v>0</v>
      </c>
      <c r="FQ119" s="149">
        <f t="shared" si="56"/>
        <v>0</v>
      </c>
      <c r="FR119" s="142">
        <f t="shared" si="56"/>
        <v>0</v>
      </c>
      <c r="FS119" s="119">
        <f t="shared" si="56"/>
        <v>0</v>
      </c>
      <c r="FT119" s="121">
        <f t="shared" si="56"/>
        <v>0</v>
      </c>
      <c r="FU119" s="121">
        <f t="shared" si="82"/>
        <v>0</v>
      </c>
      <c r="FV119" s="121">
        <f t="shared" si="82"/>
        <v>0</v>
      </c>
      <c r="FW119" s="121">
        <f t="shared" si="83"/>
        <v>0</v>
      </c>
      <c r="FX119" s="121">
        <f t="shared" si="84"/>
        <v>0</v>
      </c>
      <c r="FY119" s="144">
        <f t="shared" si="84"/>
        <v>0</v>
      </c>
      <c r="FZ119" s="145"/>
      <c r="GA119" s="151"/>
      <c r="GB119" s="145"/>
      <c r="GC119" s="151" t="s">
        <v>613</v>
      </c>
      <c r="GD119" s="997" t="s">
        <v>416</v>
      </c>
      <c r="GE119" s="1004"/>
      <c r="GF119" s="1004">
        <v>0</v>
      </c>
      <c r="GG119" s="1004"/>
      <c r="GH119" s="1004">
        <v>0</v>
      </c>
      <c r="GI119" s="145"/>
      <c r="GJ119" s="996">
        <v>0</v>
      </c>
      <c r="GK119" s="145"/>
      <c r="GL119" s="996">
        <v>0</v>
      </c>
      <c r="GM119" s="1005"/>
      <c r="GN119" s="996">
        <v>0</v>
      </c>
      <c r="GO119" s="1006"/>
      <c r="GP119" s="996">
        <v>0</v>
      </c>
      <c r="GQ119" s="1006"/>
      <c r="GR119" s="996">
        <v>0</v>
      </c>
      <c r="GS119" s="1006" t="s">
        <v>199</v>
      </c>
      <c r="GT119" s="996">
        <v>-1.8511887793548385</v>
      </c>
      <c r="GU119" s="1006"/>
      <c r="GV119" s="996">
        <v>0</v>
      </c>
      <c r="GW119" s="1006"/>
      <c r="GX119" s="996">
        <v>0</v>
      </c>
      <c r="GY119" s="1006"/>
      <c r="GZ119" s="996">
        <v>0</v>
      </c>
      <c r="HA119" s="1006"/>
      <c r="HB119" s="996">
        <v>0</v>
      </c>
      <c r="HC119" s="1006"/>
      <c r="HD119" s="996">
        <v>0</v>
      </c>
      <c r="HE119" s="1006" t="s">
        <v>204</v>
      </c>
      <c r="HF119" s="996">
        <v>0</v>
      </c>
      <c r="HG119" s="1006"/>
      <c r="HH119" s="996">
        <v>0</v>
      </c>
      <c r="HI119" s="1006"/>
      <c r="HJ119" s="996">
        <v>0</v>
      </c>
      <c r="HK119" s="1006"/>
      <c r="HL119" s="996">
        <v>0</v>
      </c>
      <c r="HM119" s="1006" t="s">
        <v>204</v>
      </c>
      <c r="HN119" s="996">
        <v>-16.354962271999998</v>
      </c>
      <c r="HO119" s="1006"/>
      <c r="HP119" s="996">
        <v>0</v>
      </c>
      <c r="HQ119" s="1006"/>
      <c r="HR119" s="996">
        <v>0</v>
      </c>
      <c r="HS119" s="1006"/>
      <c r="HT119" s="996">
        <v>0</v>
      </c>
      <c r="HU119" s="1006"/>
      <c r="HV119" s="996">
        <v>0.39184323199999938</v>
      </c>
      <c r="HW119" s="1006" t="s">
        <v>204</v>
      </c>
      <c r="HX119" s="996">
        <v>4.3750153919999981</v>
      </c>
      <c r="HY119" s="1006"/>
      <c r="HZ119" s="996">
        <v>0</v>
      </c>
      <c r="IA119" s="1006"/>
      <c r="IB119" s="996">
        <v>0</v>
      </c>
      <c r="IC119" s="1006" t="s">
        <v>199</v>
      </c>
      <c r="ID119" s="996">
        <v>5.2031778920000011</v>
      </c>
      <c r="IE119" s="1006" t="s">
        <v>204</v>
      </c>
      <c r="IF119" s="996">
        <v>-1.0309292840000008</v>
      </c>
      <c r="IG119" s="1006"/>
      <c r="IH119" s="996">
        <v>0</v>
      </c>
      <c r="II119" s="1006"/>
      <c r="IJ119" s="996">
        <v>0</v>
      </c>
      <c r="IK119" s="1006" t="s">
        <v>223</v>
      </c>
      <c r="IL119" s="996">
        <v>-4.0428959999999989</v>
      </c>
      <c r="IM119" s="1006" t="s">
        <v>199</v>
      </c>
      <c r="IN119" s="996">
        <v>-2.1769439999999989</v>
      </c>
      <c r="IO119" s="1006"/>
      <c r="IP119" s="996">
        <v>0</v>
      </c>
      <c r="IQ119" s="1006"/>
      <c r="IR119" s="996">
        <v>0</v>
      </c>
      <c r="IS119" s="1006" t="s">
        <v>204</v>
      </c>
      <c r="IT119" s="996">
        <v>-3.4861199999999997</v>
      </c>
      <c r="IU119" s="1006"/>
      <c r="IV119" s="996">
        <v>0</v>
      </c>
      <c r="IW119" s="1006" t="s">
        <v>199</v>
      </c>
      <c r="IX119" s="996">
        <v>0</v>
      </c>
      <c r="IY119" s="1006"/>
      <c r="IZ119" s="996">
        <v>0</v>
      </c>
      <c r="JA119" s="1006"/>
      <c r="JB119" s="996">
        <v>0</v>
      </c>
      <c r="JC119" s="1006" t="s">
        <v>199</v>
      </c>
      <c r="JD119" s="996">
        <v>3.8899079999999984</v>
      </c>
      <c r="JE119" s="1006"/>
      <c r="JF119" s="996">
        <v>0</v>
      </c>
      <c r="JG119" s="1006"/>
      <c r="JH119" s="996">
        <v>0</v>
      </c>
      <c r="JI119" s="1006"/>
      <c r="JJ119" s="996">
        <v>0</v>
      </c>
      <c r="JK119" s="1007"/>
      <c r="JL119" s="1007">
        <v>0</v>
      </c>
      <c r="JM119" s="1007"/>
      <c r="JN119" s="1007">
        <v>0</v>
      </c>
      <c r="JO119" s="1008"/>
      <c r="JP119" s="1007">
        <v>0</v>
      </c>
      <c r="JQ119" s="1008">
        <v>0</v>
      </c>
      <c r="JR119" s="1007">
        <v>0</v>
      </c>
      <c r="JS119" s="1008">
        <v>0</v>
      </c>
      <c r="JT119" s="1007">
        <v>0</v>
      </c>
      <c r="JU119" s="1008"/>
      <c r="JV119" s="1007">
        <v>0</v>
      </c>
      <c r="JW119" s="1008" t="s">
        <v>197</v>
      </c>
      <c r="JX119" s="1007">
        <v>6.1195199999998451E-2</v>
      </c>
      <c r="JY119" s="1008" t="s">
        <v>204</v>
      </c>
      <c r="JZ119" s="1007">
        <v>-3.0315031999999977</v>
      </c>
      <c r="KA119" s="1008" t="s">
        <v>199</v>
      </c>
      <c r="KB119" s="1007">
        <v>6.446396</v>
      </c>
      <c r="KC119" s="1008"/>
      <c r="KD119" s="1007">
        <v>0</v>
      </c>
      <c r="KE119" s="1008" t="s">
        <v>199</v>
      </c>
      <c r="KF119" s="1007">
        <v>-6.4626143999999996</v>
      </c>
      <c r="KG119" s="1008" t="s">
        <v>204</v>
      </c>
      <c r="KH119" s="1007">
        <v>-1.4401437600000015</v>
      </c>
      <c r="KI119" s="1008" t="s">
        <v>206</v>
      </c>
      <c r="KJ119" s="1007">
        <v>-0.19100927999999939</v>
      </c>
      <c r="KK119" s="1008"/>
      <c r="KL119" s="1007">
        <v>0</v>
      </c>
      <c r="KM119" s="1008" t="s">
        <v>221</v>
      </c>
      <c r="KN119" s="1007">
        <v>-5.1484725599999983</v>
      </c>
      <c r="KO119" s="1008"/>
      <c r="KP119" s="1007">
        <v>0</v>
      </c>
      <c r="KQ119" s="1008">
        <v>0</v>
      </c>
      <c r="KR119" s="1007">
        <v>0</v>
      </c>
      <c r="KS119" s="1008" t="s">
        <v>207</v>
      </c>
      <c r="KT119" s="1007">
        <v>-6.7607320000000044</v>
      </c>
      <c r="KU119" s="1008" t="s">
        <v>207</v>
      </c>
      <c r="KV119" s="1007">
        <v>21.670792000000002</v>
      </c>
      <c r="KW119" s="1008">
        <v>0</v>
      </c>
      <c r="KX119" s="1007">
        <v>0</v>
      </c>
      <c r="KY119" s="1008">
        <v>0</v>
      </c>
      <c r="KZ119" s="1007">
        <v>0</v>
      </c>
      <c r="LA119" s="1008">
        <v>0</v>
      </c>
      <c r="LB119" s="1007">
        <v>0</v>
      </c>
      <c r="LC119" s="1008">
        <v>0</v>
      </c>
      <c r="LD119" s="1007">
        <v>0</v>
      </c>
      <c r="LE119" s="1008">
        <v>0</v>
      </c>
      <c r="LF119" s="1007">
        <v>0</v>
      </c>
      <c r="LG119" s="1008">
        <v>0</v>
      </c>
      <c r="LH119" s="1007">
        <v>0</v>
      </c>
      <c r="LI119" s="1008">
        <v>0</v>
      </c>
      <c r="LJ119" s="1007">
        <v>0</v>
      </c>
      <c r="LK119" s="1008">
        <v>0</v>
      </c>
      <c r="LL119" s="1007">
        <v>0</v>
      </c>
      <c r="LM119" s="1008">
        <v>0</v>
      </c>
      <c r="LN119" s="1007">
        <v>0</v>
      </c>
      <c r="LO119" s="1008">
        <v>0</v>
      </c>
      <c r="LP119" s="1007">
        <v>0</v>
      </c>
      <c r="LQ119" s="1008" t="s">
        <v>206</v>
      </c>
      <c r="LR119" s="1007">
        <v>-15.836348000000001</v>
      </c>
      <c r="LS119" s="1008">
        <v>0</v>
      </c>
      <c r="LT119" s="1007">
        <v>0</v>
      </c>
      <c r="LU119" s="1008">
        <v>0</v>
      </c>
      <c r="LV119" s="1007">
        <v>0</v>
      </c>
      <c r="LW119" s="1008">
        <v>0</v>
      </c>
      <c r="LX119" s="1007">
        <v>0</v>
      </c>
      <c r="LY119" s="1009">
        <v>0</v>
      </c>
      <c r="LZ119" s="1010">
        <v>-0.33697999999986999</v>
      </c>
      <c r="MA119" s="1011" t="s">
        <v>206</v>
      </c>
      <c r="MB119" s="1012">
        <v>-1.6917964800000043</v>
      </c>
      <c r="MC119" s="995"/>
      <c r="MD119" s="996"/>
      <c r="ME119" s="997" t="s">
        <v>416</v>
      </c>
      <c r="MF119" s="997"/>
      <c r="MG119" s="998"/>
      <c r="NR119" s="1000"/>
      <c r="NS119" s="1000"/>
      <c r="NT119" s="1001"/>
      <c r="NU119" s="1000"/>
      <c r="NV119" s="1001"/>
      <c r="NX119" s="1002"/>
      <c r="NZ119" s="1001"/>
      <c r="OA119" s="1001"/>
      <c r="OC119" s="1003"/>
      <c r="OD119" s="1003"/>
      <c r="OE119" s="1001"/>
      <c r="OF119" s="1003"/>
      <c r="OG119" s="1003"/>
      <c r="QX119" s="1000">
        <f t="shared" si="96"/>
        <v>28</v>
      </c>
      <c r="ASU119" s="999" t="s">
        <v>292</v>
      </c>
    </row>
    <row r="120" spans="1:466 1191:1191" ht="21" customHeight="1" x14ac:dyDescent="0.25">
      <c r="A120" s="982" t="str">
        <f t="shared" si="59"/>
        <v>1030-2</v>
      </c>
      <c r="B120" s="124">
        <f>SUBTOTAL(103,$J$29:J120)</f>
        <v>92</v>
      </c>
      <c r="C120" s="126">
        <v>45096</v>
      </c>
      <c r="D120" s="124" t="s">
        <v>176</v>
      </c>
      <c r="E120" s="127" t="s">
        <v>177</v>
      </c>
      <c r="F120" s="128" t="s">
        <v>177</v>
      </c>
      <c r="G120" s="127" t="s">
        <v>178</v>
      </c>
      <c r="H120" s="127" t="s">
        <v>179</v>
      </c>
      <c r="I120" s="127" t="s">
        <v>417</v>
      </c>
      <c r="J120" s="152" t="s">
        <v>669</v>
      </c>
      <c r="K120" s="127" t="s">
        <v>670</v>
      </c>
      <c r="L120" s="130">
        <v>38317</v>
      </c>
      <c r="M120" s="127" t="s">
        <v>230</v>
      </c>
      <c r="N120" s="127" t="s">
        <v>231</v>
      </c>
      <c r="O120" s="127" t="s">
        <v>185</v>
      </c>
      <c r="P120" s="127" t="s">
        <v>315</v>
      </c>
      <c r="Q120" s="85" t="str">
        <f t="shared" si="85"/>
        <v/>
      </c>
      <c r="R120" s="130"/>
      <c r="S120" s="128" t="s">
        <v>156</v>
      </c>
      <c r="T120" s="131"/>
      <c r="U120" s="132">
        <v>203</v>
      </c>
      <c r="V120" s="121">
        <v>218.2</v>
      </c>
      <c r="W120" s="116">
        <v>0.98</v>
      </c>
      <c r="X120" s="116">
        <v>1.66</v>
      </c>
      <c r="Y120" s="116">
        <f t="shared" si="86"/>
        <v>1.0034294737361527</v>
      </c>
      <c r="Z120" s="133">
        <v>1.454</v>
      </c>
      <c r="AA120" s="133">
        <v>0.83599999999999997</v>
      </c>
      <c r="AB120" s="133">
        <v>0.72</v>
      </c>
      <c r="AC120" s="121">
        <v>34.299999999999997</v>
      </c>
      <c r="AD120" s="134">
        <v>1.17</v>
      </c>
      <c r="AE120" s="124">
        <v>139.69999999999999</v>
      </c>
      <c r="AF120" s="128">
        <v>7.72</v>
      </c>
      <c r="AG120" s="128">
        <v>1921</v>
      </c>
      <c r="AH120" s="127">
        <v>2450</v>
      </c>
      <c r="AI120" s="127">
        <v>2450</v>
      </c>
      <c r="AJ120" s="135"/>
      <c r="AK120" s="128"/>
      <c r="AL120" s="131"/>
      <c r="AM120" s="124" t="s">
        <v>232</v>
      </c>
      <c r="AN120" s="136" t="s">
        <v>671</v>
      </c>
      <c r="AO120" s="137">
        <v>3.13</v>
      </c>
      <c r="AP120" s="128">
        <v>1889</v>
      </c>
      <c r="AQ120" s="128">
        <v>67.78</v>
      </c>
      <c r="AR120" s="128"/>
      <c r="AS120" s="128"/>
      <c r="AT120" s="122"/>
      <c r="AU120" s="124" t="s">
        <v>250</v>
      </c>
      <c r="AV120" s="115">
        <f>VLOOKUP(J120,'[63]ТР нефть'!$J$28:$BP$638,39,0)</f>
        <v>550</v>
      </c>
      <c r="AW120" s="115" t="str">
        <f>VLOOKUP(J120,'[63]ТР нефть'!$J$28:$BP$638,40,0)</f>
        <v>ГК 79/3</v>
      </c>
      <c r="AX120" s="115">
        <f>VLOOKUP(J120,'[63]ТР нефть'!$J$28:$BP$638,41,0)</f>
        <v>990</v>
      </c>
      <c r="AY120" s="115" t="str">
        <f>VLOOKUP(J120,'[63]ТР нефть'!$J$28:$BP$638,42,0)</f>
        <v>ГК 80/3</v>
      </c>
      <c r="AZ120" s="115">
        <f>VLOOKUP(J120,'[63]ТР нефть'!$J$28:$BP$638,43,0)</f>
        <v>1340</v>
      </c>
      <c r="BA120" s="115" t="str">
        <f>VLOOKUP(J120,'[63]ТР нефть'!$J$28:$BP$638,44,0)</f>
        <v>ГК 80/4</v>
      </c>
      <c r="BB120" s="115">
        <f>VLOOKUP(J120,'[63]ТР нефть'!$J$28:$BP$638,45,0)</f>
        <v>1630</v>
      </c>
      <c r="BC120" s="115" t="str">
        <f>VLOOKUP(J120,'[63]ТР нефть'!$J$28:$BP$638,46,0)</f>
        <v>ЦКсОК 5/16</v>
      </c>
      <c r="BD120" s="115" t="str">
        <f>VLOOKUP(J120,'[63]ТР нефть'!$J$28:$BP$638,47,0)</f>
        <v>-</v>
      </c>
      <c r="BE120" s="115" t="str">
        <f>VLOOKUP(J120,'[63]ТР нефть'!$J$28:$BP$638,48,0)</f>
        <v>-</v>
      </c>
      <c r="BF120" s="115" t="str">
        <f>VLOOKUP(J120,'[63]ТР нефть'!$J$28:$BP$638,49,0)</f>
        <v>-</v>
      </c>
      <c r="BG120" s="115" t="str">
        <f>VLOOKUP(J120,'[63]ТР нефть'!$J$28:$BP$638,50,0)</f>
        <v>-</v>
      </c>
      <c r="BH120" s="115">
        <f>VLOOKUP(J120,'[63]ТР нефть'!$J$28:$BP$638,51,0)</f>
        <v>1640</v>
      </c>
      <c r="BI120" s="115" t="str">
        <f>VLOOKUP(J120,'[63]ТР нефть'!$J$28:$BP$638,52,0)</f>
        <v>закрыт</v>
      </c>
      <c r="BJ120" s="115" t="str">
        <f>IF(IFERROR(VLOOKUP(J120,'[63]ТР нефть'!$J$28:$BP$638,53,0),"-")=0,"-",IFERROR(VLOOKUP(J120,'[63]ТР нефть'!$J$28:$BP$638,53,0),"-"))</f>
        <v>-</v>
      </c>
      <c r="BK120" s="138" t="str">
        <f>IF(IFERROR(VLOOKUP(J120,'[63]ТР нефть'!$J$28:$BP$638,54,0),"-")=0,"-",IFERROR(VLOOKUP(J120,'[63]ТР нефть'!$J$28:$BP$638,54,0),"-"))</f>
        <v>-</v>
      </c>
      <c r="BL120" s="138" t="str">
        <f>IF(IFERROR(VLOOKUP(J120,'[63]ТР нефть'!$J$28:$BP$638,55,0),"-")=0,"-",IFERROR(VLOOKUP(J120,'[63]ТР нефть'!$J$28:$BP$638,55,0),"-"))</f>
        <v>-</v>
      </c>
      <c r="BM120" s="138" t="str">
        <f>IF(IFERROR(VLOOKUP(J120,'[63]ТР нефть'!$J$28:$BP$638,56,0),"-")=0,"-",IFERROR(VLOOKUP(J120,'[63]ТР нефть'!$J$28:$BP$638,56,0),"-"))</f>
        <v>-</v>
      </c>
      <c r="BN120" s="138" t="str">
        <f>IF(IFERROR(VLOOKUP(J120,'[63]ТР нефть'!$J$28:$BP$638,57,0),"-")=0,"-",IFERROR(VLOOKUP(J120,'[63]ТР нефть'!$J$28:$BP$638,57,0),"-"))</f>
        <v>-</v>
      </c>
      <c r="BO120" s="115" t="str">
        <f>IF(IFERROR(VLOOKUP(J120,'[63]ТР нефть'!$J$28:$BP$638,58,0),"-")=0,"-",IFERROR(VLOOKUP(J120,'[63]ТР нефть'!$J$28:$BP$638,58,0),"-"))</f>
        <v>-</v>
      </c>
      <c r="BP120" s="115" t="str">
        <f>IF(IFERROR(VLOOKUP(J120,'[63]ТР нефть'!$J$28:$BP$638,59,0),"-")=0,"-",IFERROR(VLOOKUP(J120,'[63]ТР нефть'!$J$28:$BP$638,59,0),"-"))</f>
        <v>-</v>
      </c>
      <c r="BQ120" s="138">
        <v>1680</v>
      </c>
      <c r="BR120" s="128">
        <v>1554.18</v>
      </c>
      <c r="BS120" s="115">
        <f t="shared" si="60"/>
        <v>125.81999999999994</v>
      </c>
      <c r="BT120" s="128">
        <v>73</v>
      </c>
      <c r="BU120" s="128">
        <v>5.5</v>
      </c>
      <c r="BV120" s="127">
        <v>65</v>
      </c>
      <c r="BW120" s="127" t="s">
        <v>217</v>
      </c>
      <c r="BX120" s="127" t="s">
        <v>195</v>
      </c>
      <c r="BY120" s="139">
        <v>24</v>
      </c>
      <c r="BZ120" s="139">
        <v>0</v>
      </c>
      <c r="CA120" s="138">
        <v>25</v>
      </c>
      <c r="CB120" s="138">
        <v>23</v>
      </c>
      <c r="CC120" s="138">
        <v>19</v>
      </c>
      <c r="CD120" s="135">
        <v>45017</v>
      </c>
      <c r="CE120" s="138">
        <v>111.3</v>
      </c>
      <c r="CF120" s="138"/>
      <c r="CG120" s="138" t="str">
        <f t="shared" si="52"/>
        <v/>
      </c>
      <c r="CH120" s="138" t="s">
        <v>197</v>
      </c>
      <c r="CI120" s="127"/>
      <c r="CJ120" s="138"/>
      <c r="CK120" s="138"/>
      <c r="CL120" s="99"/>
      <c r="CM120" s="127"/>
      <c r="CN120" s="154">
        <v>41</v>
      </c>
      <c r="CO120" s="141">
        <f t="shared" si="61"/>
        <v>2.6803831999999996</v>
      </c>
      <c r="CP120" s="142">
        <v>3.4</v>
      </c>
      <c r="CQ120" s="143">
        <v>5.7</v>
      </c>
      <c r="CR120" s="138">
        <v>27</v>
      </c>
      <c r="CS120" s="139"/>
      <c r="CT120" s="138"/>
      <c r="CU120" s="138">
        <f t="shared" si="62"/>
        <v>27</v>
      </c>
      <c r="CV120" s="115">
        <f t="shared" si="63"/>
        <v>10073.186550341012</v>
      </c>
      <c r="CW120" s="115" t="str">
        <f t="shared" si="64"/>
        <v/>
      </c>
      <c r="CX120" s="133">
        <f t="shared" si="65"/>
        <v>4.8364153627311522E-2</v>
      </c>
      <c r="CY120" s="116"/>
      <c r="CZ120" s="131"/>
      <c r="DA120" s="145" t="str">
        <f t="shared" si="66"/>
        <v>Фон.</v>
      </c>
      <c r="DB120" s="146">
        <f t="shared" si="67"/>
        <v>2.6803831999999996</v>
      </c>
      <c r="DC120" s="142">
        <f t="shared" si="68"/>
        <v>3.4</v>
      </c>
      <c r="DD120" s="119">
        <f t="shared" si="69"/>
        <v>5.7</v>
      </c>
      <c r="DE120" s="115">
        <f t="shared" si="70"/>
        <v>27</v>
      </c>
      <c r="DF120" s="121">
        <f t="shared" si="71"/>
        <v>0</v>
      </c>
      <c r="DG120" s="115">
        <f t="shared" si="72"/>
        <v>10073.186550341012</v>
      </c>
      <c r="DH120" s="115">
        <f t="shared" si="73"/>
        <v>41</v>
      </c>
      <c r="DI120" s="147"/>
      <c r="DJ120" s="111" t="s">
        <v>197</v>
      </c>
      <c r="DK120" s="112">
        <v>43590</v>
      </c>
      <c r="DL120" s="113">
        <f t="shared" ca="1" si="87"/>
        <v>1514</v>
      </c>
      <c r="DM120" s="114"/>
      <c r="DN120" s="114"/>
      <c r="DO120" s="114"/>
      <c r="DP120" s="114"/>
      <c r="DQ120" s="112">
        <v>43568.333333333336</v>
      </c>
      <c r="DR120" s="114" t="s">
        <v>282</v>
      </c>
      <c r="DS120" s="114"/>
      <c r="DT120" s="128">
        <v>40</v>
      </c>
      <c r="DU120" s="116">
        <f t="shared" si="88"/>
        <v>4.8095650345549898E-2</v>
      </c>
      <c r="DV120" s="117">
        <f t="shared" si="89"/>
        <v>2.7034186257891473</v>
      </c>
      <c r="DW120" s="118">
        <f t="shared" si="90"/>
        <v>3.4292198696377074</v>
      </c>
      <c r="DX120" s="119">
        <f t="shared" si="74"/>
        <v>5.7</v>
      </c>
      <c r="DY120" s="121">
        <f t="shared" si="91"/>
        <v>27.232040141240617</v>
      </c>
      <c r="DZ120" s="117">
        <f t="shared" si="92"/>
        <v>2.3035425789147634E-2</v>
      </c>
      <c r="EA120" s="120">
        <f t="shared" si="92"/>
        <v>2.9219869637707507E-2</v>
      </c>
      <c r="EB120" s="119">
        <f t="shared" si="92"/>
        <v>0</v>
      </c>
      <c r="EC120" s="121">
        <f t="shared" si="93"/>
        <v>0.232040141240617</v>
      </c>
      <c r="ED120" s="122"/>
      <c r="EE120" s="145">
        <v>65</v>
      </c>
      <c r="EF120" s="115">
        <v>25</v>
      </c>
      <c r="EG120" s="115">
        <v>23</v>
      </c>
      <c r="EH120" s="115">
        <v>19</v>
      </c>
      <c r="EI120" s="128" t="s">
        <v>195</v>
      </c>
      <c r="EJ120" s="121">
        <v>24</v>
      </c>
      <c r="EK120" s="121">
        <v>0</v>
      </c>
      <c r="EL120" s="149">
        <v>2.6803831999999996</v>
      </c>
      <c r="EM120" s="142">
        <v>3.4</v>
      </c>
      <c r="EN120" s="119">
        <v>5.7</v>
      </c>
      <c r="EO120" s="115">
        <v>27</v>
      </c>
      <c r="EP120" s="115">
        <v>10073.186550341012</v>
      </c>
      <c r="EQ120" s="115">
        <v>0</v>
      </c>
      <c r="ER120" s="115">
        <v>0</v>
      </c>
      <c r="ES120" s="115">
        <v>41</v>
      </c>
      <c r="ET120" s="150">
        <v>4.8364153627311522E-2</v>
      </c>
      <c r="EU120" s="145">
        <f t="shared" si="75"/>
        <v>65</v>
      </c>
      <c r="EV120" s="115">
        <f t="shared" si="76"/>
        <v>25</v>
      </c>
      <c r="EW120" s="115">
        <f t="shared" si="76"/>
        <v>23</v>
      </c>
      <c r="EX120" s="115">
        <f t="shared" si="76"/>
        <v>19</v>
      </c>
      <c r="EY120" s="115" t="str">
        <f t="shared" si="77"/>
        <v>Постоянный</v>
      </c>
      <c r="EZ120" s="115">
        <f t="shared" si="77"/>
        <v>24</v>
      </c>
      <c r="FA120" s="115">
        <f t="shared" si="77"/>
        <v>0</v>
      </c>
      <c r="FB120" s="149">
        <f t="shared" si="78"/>
        <v>2.6803831999999996</v>
      </c>
      <c r="FC120" s="142">
        <f t="shared" si="78"/>
        <v>3.4</v>
      </c>
      <c r="FD120" s="119">
        <f t="shared" si="78"/>
        <v>5.7</v>
      </c>
      <c r="FE120" s="121">
        <f t="shared" si="78"/>
        <v>27</v>
      </c>
      <c r="FF120" s="121">
        <f t="shared" si="94"/>
        <v>10073.186550341012</v>
      </c>
      <c r="FG120" s="121">
        <f t="shared" si="79"/>
        <v>0</v>
      </c>
      <c r="FH120" s="121">
        <f t="shared" si="95"/>
        <v>0</v>
      </c>
      <c r="FI120" s="121">
        <f t="shared" si="54"/>
        <v>41</v>
      </c>
      <c r="FJ120" s="144">
        <f t="shared" si="80"/>
        <v>4.8364153627311522E-2</v>
      </c>
      <c r="FK120" s="132">
        <f t="shared" si="81"/>
        <v>0</v>
      </c>
      <c r="FL120" s="115">
        <f t="shared" si="81"/>
        <v>0</v>
      </c>
      <c r="FM120" s="115">
        <f t="shared" si="81"/>
        <v>0</v>
      </c>
      <c r="FN120" s="115">
        <f t="shared" si="58"/>
        <v>0</v>
      </c>
      <c r="FO120" s="115">
        <f t="shared" si="57"/>
        <v>0</v>
      </c>
      <c r="FP120" s="115">
        <f t="shared" si="56"/>
        <v>0</v>
      </c>
      <c r="FQ120" s="149">
        <f t="shared" si="56"/>
        <v>0</v>
      </c>
      <c r="FR120" s="142">
        <f t="shared" si="56"/>
        <v>0</v>
      </c>
      <c r="FS120" s="119">
        <f t="shared" si="56"/>
        <v>0</v>
      </c>
      <c r="FT120" s="121">
        <f t="shared" si="56"/>
        <v>0</v>
      </c>
      <c r="FU120" s="121">
        <f t="shared" si="82"/>
        <v>0</v>
      </c>
      <c r="FV120" s="121">
        <f t="shared" si="82"/>
        <v>0</v>
      </c>
      <c r="FW120" s="121">
        <f t="shared" si="83"/>
        <v>0</v>
      </c>
      <c r="FX120" s="121">
        <f t="shared" si="84"/>
        <v>0</v>
      </c>
      <c r="FY120" s="144">
        <f t="shared" si="84"/>
        <v>0</v>
      </c>
      <c r="FZ120" s="145"/>
      <c r="GA120" s="1033" t="s">
        <v>283</v>
      </c>
      <c r="GB120" s="145"/>
      <c r="GC120" s="151" t="s">
        <v>420</v>
      </c>
      <c r="GD120" s="997" t="s">
        <v>238</v>
      </c>
      <c r="GE120" s="1004"/>
      <c r="GF120" s="1004">
        <v>0</v>
      </c>
      <c r="GG120" s="1004"/>
      <c r="GH120" s="1004">
        <v>0</v>
      </c>
      <c r="GI120" s="145"/>
      <c r="GJ120" s="996">
        <v>0</v>
      </c>
      <c r="GK120" s="145"/>
      <c r="GL120" s="996">
        <v>0</v>
      </c>
      <c r="GM120" s="1005"/>
      <c r="GN120" s="996">
        <v>0</v>
      </c>
      <c r="GO120" s="1006"/>
      <c r="GP120" s="996">
        <v>0</v>
      </c>
      <c r="GQ120" s="1006"/>
      <c r="GR120" s="996">
        <v>0</v>
      </c>
      <c r="GS120" s="1006"/>
      <c r="GT120" s="996">
        <v>0</v>
      </c>
      <c r="GU120" s="1006" t="s">
        <v>204</v>
      </c>
      <c r="GV120" s="996">
        <v>-9.2712928351999988</v>
      </c>
      <c r="GW120" s="1006"/>
      <c r="GX120" s="997">
        <v>0</v>
      </c>
      <c r="GY120" s="1006"/>
      <c r="GZ120" s="996">
        <v>0</v>
      </c>
      <c r="HA120" s="1006"/>
      <c r="HB120" s="996">
        <v>0</v>
      </c>
      <c r="HC120" s="1006"/>
      <c r="HD120" s="996">
        <v>0</v>
      </c>
      <c r="HE120" s="1006"/>
      <c r="HF120" s="996">
        <v>0</v>
      </c>
      <c r="HG120" s="1006"/>
      <c r="HH120" s="996">
        <v>0</v>
      </c>
      <c r="HI120" s="1006"/>
      <c r="HJ120" s="996">
        <v>0</v>
      </c>
      <c r="HK120" s="1006" t="s">
        <v>223</v>
      </c>
      <c r="HL120" s="996">
        <v>-2.09</v>
      </c>
      <c r="HM120" s="1006"/>
      <c r="HN120" s="996">
        <v>0</v>
      </c>
      <c r="HO120" s="1006"/>
      <c r="HP120" s="996">
        <v>0</v>
      </c>
      <c r="HQ120" s="1006"/>
      <c r="HR120" s="996">
        <v>0</v>
      </c>
      <c r="HS120" s="1006"/>
      <c r="HT120" s="996">
        <v>0</v>
      </c>
      <c r="HU120" s="1006"/>
      <c r="HV120" s="996">
        <v>0</v>
      </c>
      <c r="HW120" s="1006" t="s">
        <v>199</v>
      </c>
      <c r="HX120" s="996">
        <v>5.8281907199999967</v>
      </c>
      <c r="HY120" s="1006"/>
      <c r="HZ120" s="996">
        <v>0</v>
      </c>
      <c r="IA120" s="1006" t="s">
        <v>146</v>
      </c>
      <c r="IB120" s="996">
        <v>-1.7317907200000011</v>
      </c>
      <c r="IC120" s="1006"/>
      <c r="ID120" s="996">
        <v>0</v>
      </c>
      <c r="IE120" s="1006"/>
      <c r="IF120" s="996">
        <v>0</v>
      </c>
      <c r="IG120" s="1006"/>
      <c r="IH120" s="996">
        <v>-0.50159999999999627</v>
      </c>
      <c r="II120" s="1006"/>
      <c r="IJ120" s="996">
        <v>-0.27395720000000168</v>
      </c>
      <c r="IK120" s="1006" t="s">
        <v>204</v>
      </c>
      <c r="IL120" s="996">
        <v>13.1968452</v>
      </c>
      <c r="IM120" s="1006" t="s">
        <v>199</v>
      </c>
      <c r="IN120" s="996">
        <v>-3.4596879999999999</v>
      </c>
      <c r="IO120" s="1006" t="s">
        <v>204</v>
      </c>
      <c r="IP120" s="996">
        <v>-1.5047999999999995</v>
      </c>
      <c r="IQ120" s="1006"/>
      <c r="IR120" s="996">
        <v>0</v>
      </c>
      <c r="IS120" s="1006"/>
      <c r="IT120" s="996">
        <v>0</v>
      </c>
      <c r="IU120" s="1006"/>
      <c r="IV120" s="996">
        <v>0</v>
      </c>
      <c r="IW120" s="1006"/>
      <c r="IX120" s="996">
        <v>0</v>
      </c>
      <c r="IY120" s="1006"/>
      <c r="IZ120" s="996">
        <v>0</v>
      </c>
      <c r="JA120" s="1006"/>
      <c r="JB120" s="996">
        <v>0</v>
      </c>
      <c r="JC120" s="1006"/>
      <c r="JD120" s="996">
        <v>0</v>
      </c>
      <c r="JE120" s="1006"/>
      <c r="JF120" s="996">
        <v>0</v>
      </c>
      <c r="JG120" s="1006" t="s">
        <v>223</v>
      </c>
      <c r="JH120" s="996">
        <v>-3.9823695999999984</v>
      </c>
      <c r="JI120" s="1006"/>
      <c r="JJ120" s="996">
        <v>0</v>
      </c>
      <c r="JK120" s="1007"/>
      <c r="JL120" s="1007">
        <v>0</v>
      </c>
      <c r="JM120" s="1007" t="s">
        <v>203</v>
      </c>
      <c r="JN120" s="1007">
        <v>-5.9660304000000011</v>
      </c>
      <c r="JO120" s="1008"/>
      <c r="JP120" s="1007">
        <v>0</v>
      </c>
      <c r="JQ120" s="1008">
        <v>0</v>
      </c>
      <c r="JR120" s="1007">
        <v>0</v>
      </c>
      <c r="JS120" s="1008">
        <v>0</v>
      </c>
      <c r="JT120" s="1007">
        <v>0</v>
      </c>
      <c r="JU120" s="1008" t="s">
        <v>203</v>
      </c>
      <c r="JV120" s="1007">
        <v>9.9035903999999988</v>
      </c>
      <c r="JW120" s="1008" t="s">
        <v>197</v>
      </c>
      <c r="JX120" s="1007">
        <v>19.4400096</v>
      </c>
      <c r="JY120" s="1008"/>
      <c r="JZ120" s="1007">
        <v>0</v>
      </c>
      <c r="KA120" s="1008"/>
      <c r="KB120" s="1007">
        <v>0</v>
      </c>
      <c r="KC120" s="1008"/>
      <c r="KD120" s="1007">
        <v>0</v>
      </c>
      <c r="KE120" s="1008"/>
      <c r="KF120" s="1007">
        <v>0</v>
      </c>
      <c r="KG120" s="1008"/>
      <c r="KH120" s="1007">
        <v>0</v>
      </c>
      <c r="KI120" s="1008"/>
      <c r="KJ120" s="1007">
        <v>0</v>
      </c>
      <c r="KK120" s="1008"/>
      <c r="KL120" s="1007">
        <v>0</v>
      </c>
      <c r="KM120" s="1008"/>
      <c r="KN120" s="1007">
        <v>0</v>
      </c>
      <c r="KO120" s="1008"/>
      <c r="KP120" s="1007">
        <v>0</v>
      </c>
      <c r="KQ120" s="1008"/>
      <c r="KR120" s="1007"/>
      <c r="KS120" s="1008"/>
      <c r="KT120" s="1007"/>
      <c r="KU120" s="1008"/>
      <c r="KV120" s="1007" t="s">
        <v>567</v>
      </c>
      <c r="KW120" s="1008"/>
      <c r="KX120" s="1007"/>
      <c r="KY120" s="1008" t="s">
        <v>197</v>
      </c>
      <c r="KZ120" s="1007" t="s">
        <v>197</v>
      </c>
      <c r="LA120" s="1008" t="s">
        <v>197</v>
      </c>
      <c r="LB120" s="1007" t="e">
        <v>#VALUE!</v>
      </c>
      <c r="LC120" s="1008"/>
      <c r="LD120" s="1007" t="e">
        <v>#VALUE!</v>
      </c>
      <c r="LE120" s="1008" t="e">
        <v>#VALUE!</v>
      </c>
      <c r="LF120" s="1007" t="e">
        <v>#VALUE!</v>
      </c>
      <c r="LG120" s="1008" t="e">
        <v>#VALUE!</v>
      </c>
      <c r="LH120" s="1007" t="e">
        <v>#VALUE!</v>
      </c>
      <c r="LI120" s="1008" t="e">
        <v>#VALUE!</v>
      </c>
      <c r="LJ120" s="1007" t="e">
        <v>#VALUE!</v>
      </c>
      <c r="LK120" s="1008" t="e">
        <v>#VALUE!</v>
      </c>
      <c r="LL120" s="1007"/>
      <c r="LM120" s="1008"/>
      <c r="LN120" s="1007"/>
      <c r="LO120" s="1008"/>
      <c r="LP120" s="1007"/>
      <c r="LQ120" s="1008"/>
      <c r="LR120" s="1007"/>
      <c r="LS120" s="1008"/>
      <c r="LT120" s="1007"/>
      <c r="LU120" s="1008"/>
      <c r="LV120" s="1007"/>
      <c r="LW120" s="1008"/>
      <c r="LX120" s="1007"/>
      <c r="LY120" s="1009"/>
      <c r="LZ120" s="1010"/>
      <c r="MA120" s="1011"/>
      <c r="MB120" s="1012"/>
      <c r="MC120" s="995"/>
      <c r="MD120" s="996"/>
      <c r="ME120" s="997" t="s">
        <v>238</v>
      </c>
      <c r="MF120" s="997"/>
      <c r="MG120" s="998"/>
      <c r="NR120" s="1000"/>
      <c r="NS120" s="1000"/>
      <c r="NT120" s="1001"/>
      <c r="NU120" s="1000"/>
      <c r="NV120" s="1001"/>
      <c r="NX120" s="1002"/>
      <c r="NZ120" s="1001"/>
      <c r="OA120" s="1001"/>
      <c r="OC120" s="1003"/>
      <c r="OD120" s="1003"/>
      <c r="OE120" s="1001"/>
      <c r="OF120" s="1003"/>
      <c r="OG120" s="1003"/>
      <c r="QX120" s="1000">
        <f t="shared" si="96"/>
        <v>16</v>
      </c>
      <c r="ASU120" s="999" t="s">
        <v>292</v>
      </c>
    </row>
    <row r="121" spans="1:466 1191:1191" ht="21" customHeight="1" x14ac:dyDescent="0.25">
      <c r="A121" s="982">
        <f t="shared" si="59"/>
        <v>1033</v>
      </c>
      <c r="B121" s="177">
        <f>SUBTOTAL(103,$J$29:J121)</f>
        <v>93</v>
      </c>
      <c r="C121" s="126">
        <v>45068</v>
      </c>
      <c r="D121" s="177" t="s">
        <v>176</v>
      </c>
      <c r="E121" s="178" t="s">
        <v>177</v>
      </c>
      <c r="F121" s="178" t="s">
        <v>177</v>
      </c>
      <c r="G121" s="178" t="s">
        <v>178</v>
      </c>
      <c r="H121" s="178" t="s">
        <v>408</v>
      </c>
      <c r="I121" s="178" t="s">
        <v>538</v>
      </c>
      <c r="J121" s="152">
        <v>1033</v>
      </c>
      <c r="K121" s="178" t="s">
        <v>672</v>
      </c>
      <c r="L121" s="179">
        <v>39465</v>
      </c>
      <c r="M121" s="178" t="s">
        <v>230</v>
      </c>
      <c r="N121" s="178" t="s">
        <v>231</v>
      </c>
      <c r="O121" s="178" t="s">
        <v>185</v>
      </c>
      <c r="P121" s="178" t="s">
        <v>186</v>
      </c>
      <c r="Q121" s="85" t="str">
        <f t="shared" si="85"/>
        <v/>
      </c>
      <c r="R121" s="130"/>
      <c r="S121" s="128" t="s">
        <v>156</v>
      </c>
      <c r="T121" s="131"/>
      <c r="U121" s="132">
        <v>203</v>
      </c>
      <c r="V121" s="121">
        <v>218.2</v>
      </c>
      <c r="W121" s="116">
        <v>0.98</v>
      </c>
      <c r="X121" s="116">
        <v>1.66</v>
      </c>
      <c r="Y121" s="116">
        <f t="shared" si="86"/>
        <v>0.98136681932908965</v>
      </c>
      <c r="Z121" s="133">
        <v>1.454</v>
      </c>
      <c r="AA121" s="133">
        <v>0.83599999999999997</v>
      </c>
      <c r="AB121" s="133">
        <v>0.72</v>
      </c>
      <c r="AC121" s="121">
        <v>34.299999999999997</v>
      </c>
      <c r="AD121" s="134">
        <v>1.17</v>
      </c>
      <c r="AE121" s="124">
        <v>139.69999999999999</v>
      </c>
      <c r="AF121" s="128">
        <v>7.72</v>
      </c>
      <c r="AG121" s="128">
        <v>1933</v>
      </c>
      <c r="AH121" s="127">
        <v>2401</v>
      </c>
      <c r="AI121" s="127">
        <v>2401</v>
      </c>
      <c r="AJ121" s="135"/>
      <c r="AK121" s="128"/>
      <c r="AL121" s="131"/>
      <c r="AM121" s="124" t="s">
        <v>232</v>
      </c>
      <c r="AN121" s="136" t="s">
        <v>673</v>
      </c>
      <c r="AO121" s="137">
        <v>24.7</v>
      </c>
      <c r="AP121" s="128">
        <v>1931</v>
      </c>
      <c r="AQ121" s="128">
        <v>80.64</v>
      </c>
      <c r="AR121" s="128"/>
      <c r="AS121" s="128"/>
      <c r="AT121" s="122"/>
      <c r="AU121" s="124" t="s">
        <v>250</v>
      </c>
      <c r="AV121" s="115">
        <f>VLOOKUP(J121,'[63]ТР нефть'!$J$28:$BP$638,39,0)</f>
        <v>600</v>
      </c>
      <c r="AW121" s="115" t="str">
        <f>VLOOKUP(J121,'[63]ТР нефть'!$J$28:$BP$638,40,0)</f>
        <v>ГК 88 1/8</v>
      </c>
      <c r="AX121" s="115">
        <f>VLOOKUP(J121,'[63]ТР нефть'!$J$28:$BP$638,41,0)</f>
        <v>1200</v>
      </c>
      <c r="AY121" s="115" t="str">
        <f>VLOOKUP(J121,'[63]ТР нефть'!$J$28:$BP$638,42,0)</f>
        <v>ГП</v>
      </c>
      <c r="AZ121" s="115">
        <f>VLOOKUP(J121,'[63]ТР нефть'!$J$28:$BP$638,43,0)</f>
        <v>1700</v>
      </c>
      <c r="BA121" s="115" t="str">
        <f>VLOOKUP(J121,'[63]ТР нефть'!$J$28:$BP$638,44,0)</f>
        <v>ЦКсОК 5/16</v>
      </c>
      <c r="BB121" s="115" t="str">
        <f>VLOOKUP(J121,'[63]ТР нефть'!$J$28:$BP$638,45,0)</f>
        <v>-</v>
      </c>
      <c r="BC121" s="115" t="str">
        <f>VLOOKUP(J121,'[63]ТР нефть'!$J$28:$BP$638,46,0)</f>
        <v>-</v>
      </c>
      <c r="BD121" s="115" t="str">
        <f>VLOOKUP(J121,'[63]ТР нефть'!$J$28:$BP$638,47,0)</f>
        <v>-</v>
      </c>
      <c r="BE121" s="115" t="str">
        <f>VLOOKUP(J121,'[63]ТР нефть'!$J$28:$BP$638,48,0)</f>
        <v>-</v>
      </c>
      <c r="BF121" s="115" t="str">
        <f>VLOOKUP(J121,'[63]ТР нефть'!$J$28:$BP$638,49,0)</f>
        <v>-</v>
      </c>
      <c r="BG121" s="115" t="str">
        <f>VLOOKUP(J121,'[63]ТР нефть'!$J$28:$BP$638,50,0)</f>
        <v>-</v>
      </c>
      <c r="BH121" s="115">
        <f>VLOOKUP(J121,'[63]ТР нефть'!$J$28:$BP$638,51,0)</f>
        <v>1710</v>
      </c>
      <c r="BI121" s="115" t="str">
        <f>VLOOKUP(J121,'[63]ТР нефть'!$J$28:$BP$638,52,0)</f>
        <v>закрыт</v>
      </c>
      <c r="BJ121" s="115" t="str">
        <f>IF(IFERROR(VLOOKUP(J121,'[63]ТР нефть'!$J$28:$BP$638,53,0),"-")=0,"-",IFERROR(VLOOKUP(J121,'[63]ТР нефть'!$J$28:$BP$638,53,0),"-"))</f>
        <v>-</v>
      </c>
      <c r="BK121" s="138" t="str">
        <f>IF(IFERROR(VLOOKUP(J121,'[63]ТР нефть'!$J$28:$BP$638,54,0),"-")=0,"-",IFERROR(VLOOKUP(J121,'[63]ТР нефть'!$J$28:$BP$638,54,0),"-"))</f>
        <v>-</v>
      </c>
      <c r="BL121" s="138" t="str">
        <f>IF(IFERROR(VLOOKUP(J121,'[63]ТР нефть'!$J$28:$BP$638,55,0),"-")=0,"-",IFERROR(VLOOKUP(J121,'[63]ТР нефть'!$J$28:$BP$638,55,0),"-"))</f>
        <v>-</v>
      </c>
      <c r="BM121" s="138" t="str">
        <f>IF(IFERROR(VLOOKUP(J121,'[63]ТР нефть'!$J$28:$BP$638,56,0),"-")=0,"-",IFERROR(VLOOKUP(J121,'[63]ТР нефть'!$J$28:$BP$638,56,0),"-"))</f>
        <v>-</v>
      </c>
      <c r="BN121" s="138" t="str">
        <f>IF(IFERROR(VLOOKUP(J121,'[63]ТР нефть'!$J$28:$BP$638,57,0),"-")=0,"-",IFERROR(VLOOKUP(J121,'[63]ТР нефть'!$J$28:$BP$638,57,0),"-"))</f>
        <v>-</v>
      </c>
      <c r="BO121" s="115" t="str">
        <f>IF(IFERROR(VLOOKUP(J121,'[63]ТР нефть'!$J$28:$BP$638,58,0),"-")=0,"-",IFERROR(VLOOKUP(J121,'[63]ТР нефть'!$J$28:$BP$638,58,0),"-"))</f>
        <v>-</v>
      </c>
      <c r="BP121" s="115" t="str">
        <f>IF(IFERROR(VLOOKUP(J121,'[63]ТР нефть'!$J$28:$BP$638,59,0),"-")=0,"-",IFERROR(VLOOKUP(J121,'[63]ТР нефть'!$J$28:$BP$638,59,0),"-"))</f>
        <v>-</v>
      </c>
      <c r="BQ121" s="138">
        <v>2368</v>
      </c>
      <c r="BR121" s="128">
        <v>1874.63</v>
      </c>
      <c r="BS121" s="115">
        <f t="shared" si="60"/>
        <v>493.36999999999989</v>
      </c>
      <c r="BT121" s="128">
        <v>73</v>
      </c>
      <c r="BU121" s="128">
        <v>5.5</v>
      </c>
      <c r="BV121" s="178">
        <v>65</v>
      </c>
      <c r="BW121" s="178" t="s">
        <v>217</v>
      </c>
      <c r="BX121" s="178" t="s">
        <v>195</v>
      </c>
      <c r="BY121" s="180">
        <v>24</v>
      </c>
      <c r="BZ121" s="180">
        <v>0</v>
      </c>
      <c r="CA121" s="181">
        <v>25</v>
      </c>
      <c r="CB121" s="181">
        <v>31</v>
      </c>
      <c r="CC121" s="181">
        <v>24</v>
      </c>
      <c r="CD121" s="135">
        <v>45017</v>
      </c>
      <c r="CE121" s="181">
        <v>86</v>
      </c>
      <c r="CF121" s="181"/>
      <c r="CG121" s="138" t="str">
        <f t="shared" si="52"/>
        <v/>
      </c>
      <c r="CH121" s="138" t="s">
        <v>197</v>
      </c>
      <c r="CI121" s="127"/>
      <c r="CJ121" s="138"/>
      <c r="CK121" s="138"/>
      <c r="CL121" s="99"/>
      <c r="CM121" s="127"/>
      <c r="CN121" s="182">
        <v>47</v>
      </c>
      <c r="CO121" s="159">
        <f t="shared" si="61"/>
        <v>13.08057432</v>
      </c>
      <c r="CP121" s="160">
        <v>15.7</v>
      </c>
      <c r="CQ121" s="161">
        <v>0.34</v>
      </c>
      <c r="CR121" s="181">
        <v>10</v>
      </c>
      <c r="CS121" s="180"/>
      <c r="CT121" s="138"/>
      <c r="CU121" s="181">
        <f t="shared" si="62"/>
        <v>10</v>
      </c>
      <c r="CV121" s="181">
        <f t="shared" si="63"/>
        <v>764.49242635395228</v>
      </c>
      <c r="CW121" s="181" t="str">
        <f t="shared" si="64"/>
        <v/>
      </c>
      <c r="CX121" s="183">
        <f t="shared" si="65"/>
        <v>0.40256410256410252</v>
      </c>
      <c r="CY121" s="184"/>
      <c r="CZ121" s="151"/>
      <c r="DA121" s="177" t="str">
        <f t="shared" si="66"/>
        <v>Фон.</v>
      </c>
      <c r="DB121" s="185">
        <f t="shared" si="67"/>
        <v>13.08057432</v>
      </c>
      <c r="DC121" s="142">
        <f t="shared" si="68"/>
        <v>15.7</v>
      </c>
      <c r="DD121" s="181">
        <f t="shared" si="69"/>
        <v>0.34</v>
      </c>
      <c r="DE121" s="181">
        <f t="shared" si="70"/>
        <v>10</v>
      </c>
      <c r="DF121" s="180">
        <f t="shared" si="71"/>
        <v>0</v>
      </c>
      <c r="DG121" s="181">
        <f t="shared" si="72"/>
        <v>764.49242635395228</v>
      </c>
      <c r="DH121" s="181">
        <f t="shared" si="73"/>
        <v>47</v>
      </c>
      <c r="DI121" s="186"/>
      <c r="DJ121" s="111">
        <v>43110</v>
      </c>
      <c r="DK121" s="112">
        <v>39465</v>
      </c>
      <c r="DL121" s="113">
        <f t="shared" ca="1" si="87"/>
        <v>5639</v>
      </c>
      <c r="DM121" s="114"/>
      <c r="DN121" s="114"/>
      <c r="DO121" s="114"/>
      <c r="DP121" s="114"/>
      <c r="DQ121" s="112">
        <v>39465</v>
      </c>
      <c r="DR121" s="114" t="s">
        <v>324</v>
      </c>
      <c r="DS121" s="114"/>
      <c r="DT121" s="115">
        <v>47</v>
      </c>
      <c r="DU121" s="116">
        <f t="shared" si="88"/>
        <v>0.40256410256410252</v>
      </c>
      <c r="DV121" s="117">
        <f t="shared" si="89"/>
        <v>13.08057432</v>
      </c>
      <c r="DW121" s="118">
        <f t="shared" si="90"/>
        <v>15.7</v>
      </c>
      <c r="DX121" s="119">
        <f t="shared" si="74"/>
        <v>0.34</v>
      </c>
      <c r="DY121" s="115">
        <f t="shared" si="91"/>
        <v>10</v>
      </c>
      <c r="DZ121" s="117">
        <f t="shared" si="92"/>
        <v>0</v>
      </c>
      <c r="EA121" s="120">
        <f t="shared" si="92"/>
        <v>0</v>
      </c>
      <c r="EB121" s="119">
        <f t="shared" si="92"/>
        <v>0</v>
      </c>
      <c r="EC121" s="121">
        <f t="shared" si="93"/>
        <v>0</v>
      </c>
      <c r="ED121" s="122"/>
      <c r="EE121" s="177">
        <v>65</v>
      </c>
      <c r="EF121" s="181">
        <v>27</v>
      </c>
      <c r="EG121" s="181">
        <v>31</v>
      </c>
      <c r="EH121" s="181">
        <v>27</v>
      </c>
      <c r="EI121" s="178" t="s">
        <v>195</v>
      </c>
      <c r="EJ121" s="180">
        <v>24</v>
      </c>
      <c r="EK121" s="180">
        <v>0</v>
      </c>
      <c r="EL121" s="187">
        <v>12.497363999999999</v>
      </c>
      <c r="EM121" s="181">
        <v>15</v>
      </c>
      <c r="EN121" s="181">
        <v>0.34</v>
      </c>
      <c r="EO121" s="181">
        <v>10</v>
      </c>
      <c r="EP121" s="181">
        <v>800.16873958380347</v>
      </c>
      <c r="EQ121" s="181">
        <v>0</v>
      </c>
      <c r="ER121" s="181">
        <v>0</v>
      </c>
      <c r="ES121" s="181">
        <v>45</v>
      </c>
      <c r="ET121" s="182">
        <v>0.38461538461538464</v>
      </c>
      <c r="EU121" s="177">
        <f t="shared" si="75"/>
        <v>65</v>
      </c>
      <c r="EV121" s="181">
        <f t="shared" si="76"/>
        <v>25</v>
      </c>
      <c r="EW121" s="181">
        <f t="shared" si="76"/>
        <v>31</v>
      </c>
      <c r="EX121" s="181">
        <f t="shared" si="76"/>
        <v>24</v>
      </c>
      <c r="EY121" s="181" t="str">
        <f t="shared" si="77"/>
        <v>Постоянный</v>
      </c>
      <c r="EZ121" s="181">
        <f t="shared" si="77"/>
        <v>24</v>
      </c>
      <c r="FA121" s="181">
        <f t="shared" si="77"/>
        <v>0</v>
      </c>
      <c r="FB121" s="180">
        <f t="shared" si="78"/>
        <v>13.08057432</v>
      </c>
      <c r="FC121" s="181">
        <f t="shared" si="78"/>
        <v>15.7</v>
      </c>
      <c r="FD121" s="181">
        <f t="shared" si="78"/>
        <v>0.34</v>
      </c>
      <c r="FE121" s="180">
        <f t="shared" si="78"/>
        <v>10</v>
      </c>
      <c r="FF121" s="180">
        <f t="shared" si="94"/>
        <v>764.49242635395228</v>
      </c>
      <c r="FG121" s="180">
        <f t="shared" si="79"/>
        <v>0</v>
      </c>
      <c r="FH121" s="180">
        <f t="shared" si="95"/>
        <v>0</v>
      </c>
      <c r="FI121" s="180">
        <v>45</v>
      </c>
      <c r="FJ121" s="188">
        <f t="shared" si="80"/>
        <v>0.40256410256410252</v>
      </c>
      <c r="FK121" s="189">
        <f t="shared" si="81"/>
        <v>0</v>
      </c>
      <c r="FL121" s="181">
        <f t="shared" si="81"/>
        <v>-2</v>
      </c>
      <c r="FM121" s="181">
        <f t="shared" si="81"/>
        <v>0</v>
      </c>
      <c r="FN121" s="181">
        <f t="shared" si="58"/>
        <v>-3</v>
      </c>
      <c r="FO121" s="181">
        <f t="shared" si="57"/>
        <v>0</v>
      </c>
      <c r="FP121" s="181">
        <f t="shared" si="56"/>
        <v>0</v>
      </c>
      <c r="FQ121" s="149">
        <f t="shared" si="56"/>
        <v>0.58321032000000095</v>
      </c>
      <c r="FR121" s="142">
        <f t="shared" si="56"/>
        <v>0.69999999999999929</v>
      </c>
      <c r="FS121" s="181">
        <f t="shared" si="56"/>
        <v>0</v>
      </c>
      <c r="FT121" s="180">
        <f t="shared" si="56"/>
        <v>0</v>
      </c>
      <c r="FU121" s="180">
        <f t="shared" si="82"/>
        <v>0</v>
      </c>
      <c r="FV121" s="180">
        <f t="shared" si="82"/>
        <v>0</v>
      </c>
      <c r="FW121" s="180">
        <f t="shared" si="83"/>
        <v>-35.676313229851189</v>
      </c>
      <c r="FX121" s="180">
        <f t="shared" si="84"/>
        <v>0</v>
      </c>
      <c r="FY121" s="188">
        <f t="shared" si="84"/>
        <v>1.7948717948717885E-2</v>
      </c>
      <c r="FZ121" s="145"/>
      <c r="GA121" s="1034"/>
      <c r="GB121" s="145"/>
      <c r="GC121" s="1033"/>
      <c r="GD121" s="997" t="s">
        <v>416</v>
      </c>
      <c r="GE121" s="1004"/>
      <c r="GF121" s="1004">
        <v>-0.54155244000000025</v>
      </c>
      <c r="GG121" s="1004"/>
      <c r="GH121" s="1004">
        <v>0.70791643999999998</v>
      </c>
      <c r="GI121" s="145" t="s">
        <v>204</v>
      </c>
      <c r="GJ121" s="996">
        <v>2.6310000000000002</v>
      </c>
      <c r="GK121" s="145" t="s">
        <v>207</v>
      </c>
      <c r="GL121" s="996">
        <v>-3.7175896000000002</v>
      </c>
      <c r="GM121" s="1005" t="s">
        <v>205</v>
      </c>
      <c r="GN121" s="996">
        <v>-9.7233488000000001</v>
      </c>
      <c r="GO121" s="1006"/>
      <c r="GP121" s="996">
        <v>0</v>
      </c>
      <c r="GQ121" s="1006"/>
      <c r="GR121" s="996">
        <v>5.0995999999999988</v>
      </c>
      <c r="GS121" s="1006"/>
      <c r="GT121" s="996">
        <v>-0.87729839999999726</v>
      </c>
      <c r="GU121" s="1006"/>
      <c r="GV121" s="996">
        <v>-0.49929264000000018</v>
      </c>
      <c r="GW121" s="1006" t="s">
        <v>223</v>
      </c>
      <c r="GX121" s="996">
        <v>1.4645917439999998</v>
      </c>
      <c r="GY121" s="1006" t="s">
        <v>223</v>
      </c>
      <c r="GZ121" s="996">
        <v>-3.1289005440000004</v>
      </c>
      <c r="HA121" s="1006" t="s">
        <v>199</v>
      </c>
      <c r="HB121" s="996">
        <v>1.0396412399999981</v>
      </c>
      <c r="HC121" s="1006"/>
      <c r="HD121" s="996">
        <v>-0.40558539999999965</v>
      </c>
      <c r="HE121" s="1006" t="s">
        <v>674</v>
      </c>
      <c r="HF121" s="996">
        <v>-3.5616066199999992</v>
      </c>
      <c r="HG121" s="1006" t="s">
        <v>199</v>
      </c>
      <c r="HH121" s="996">
        <v>2.2948325399999998</v>
      </c>
      <c r="HI121" s="1006"/>
      <c r="HJ121" s="996">
        <v>0</v>
      </c>
      <c r="HK121" s="1006"/>
      <c r="HL121" s="996">
        <v>0</v>
      </c>
      <c r="HM121" s="1006"/>
      <c r="HN121" s="996">
        <v>-0.89863312000000128</v>
      </c>
      <c r="HO121" s="1006" t="s">
        <v>199</v>
      </c>
      <c r="HP121" s="996">
        <v>-2.0104036039999986</v>
      </c>
      <c r="HQ121" s="1006"/>
      <c r="HR121" s="996">
        <v>-0.85444299600000129</v>
      </c>
      <c r="HS121" s="1006"/>
      <c r="HT121" s="996">
        <v>0</v>
      </c>
      <c r="HU121" s="1006" t="s">
        <v>204</v>
      </c>
      <c r="HV121" s="996">
        <v>0.98317779999999999</v>
      </c>
      <c r="HW121" s="1006"/>
      <c r="HX121" s="996">
        <v>4.3722799999999395E-2</v>
      </c>
      <c r="HY121" s="1006"/>
      <c r="HZ121" s="996">
        <v>-0.33163283999999571</v>
      </c>
      <c r="IA121" s="1006" t="s">
        <v>204</v>
      </c>
      <c r="IB121" s="996">
        <v>3.0144705359999975</v>
      </c>
      <c r="IC121" s="1006" t="s">
        <v>204</v>
      </c>
      <c r="ID121" s="996">
        <v>2.1065093279999996</v>
      </c>
      <c r="IE121" s="1006"/>
      <c r="IF121" s="996">
        <v>0</v>
      </c>
      <c r="IG121" s="1006"/>
      <c r="IH121" s="996">
        <v>0</v>
      </c>
      <c r="II121" s="1006" t="s">
        <v>199</v>
      </c>
      <c r="IJ121" s="996">
        <v>-2.6414958239999997</v>
      </c>
      <c r="IK121" s="1006"/>
      <c r="IL121" s="996">
        <v>0</v>
      </c>
      <c r="IM121" s="1006"/>
      <c r="IN121" s="996">
        <v>0</v>
      </c>
      <c r="IO121" s="1006"/>
      <c r="IP121" s="996">
        <v>0</v>
      </c>
      <c r="IQ121" s="1006"/>
      <c r="IR121" s="996">
        <v>0</v>
      </c>
      <c r="IS121" s="1006"/>
      <c r="IT121" s="996">
        <v>0</v>
      </c>
      <c r="IU121" s="1006"/>
      <c r="IV121" s="996">
        <v>0</v>
      </c>
      <c r="IW121" s="1006" t="s">
        <v>204</v>
      </c>
      <c r="IX121" s="996">
        <v>-1.6718328000000007</v>
      </c>
      <c r="IY121" s="1006"/>
      <c r="IZ121" s="996">
        <v>0</v>
      </c>
      <c r="JA121" s="1006" t="s">
        <v>204</v>
      </c>
      <c r="JB121" s="996">
        <v>-3.5977841855999984</v>
      </c>
      <c r="JC121" s="1006"/>
      <c r="JD121" s="996">
        <v>0</v>
      </c>
      <c r="JE121" s="1006" t="s">
        <v>204</v>
      </c>
      <c r="JF121" s="996">
        <v>3.4807558895999993</v>
      </c>
      <c r="JG121" s="1006"/>
      <c r="JH121" s="996">
        <v>0</v>
      </c>
      <c r="JI121" s="1006"/>
      <c r="JJ121" s="996">
        <v>0</v>
      </c>
      <c r="JK121" s="1035" t="s">
        <v>223</v>
      </c>
      <c r="JL121" s="1035">
        <v>-2.6331366599999999</v>
      </c>
      <c r="JM121" s="1035"/>
      <c r="JN121" s="1035">
        <v>0</v>
      </c>
      <c r="JO121" s="1036"/>
      <c r="JP121" s="1035">
        <v>0</v>
      </c>
      <c r="JQ121" s="1036" t="s">
        <v>223</v>
      </c>
      <c r="JR121" s="1035">
        <v>1.9428397560000015</v>
      </c>
      <c r="JS121" s="1036" t="s">
        <v>223</v>
      </c>
      <c r="JT121" s="1035">
        <v>-1.6686560000000021</v>
      </c>
      <c r="JU121" s="1036" t="s">
        <v>223</v>
      </c>
      <c r="JV121" s="1035">
        <v>-7.8426831999999962</v>
      </c>
      <c r="JW121" s="1036" t="s">
        <v>197</v>
      </c>
      <c r="JX121" s="1035">
        <v>0</v>
      </c>
      <c r="JY121" s="1036" t="s">
        <v>199</v>
      </c>
      <c r="JZ121" s="1035">
        <v>11.430293599999997</v>
      </c>
      <c r="KA121" s="1036"/>
      <c r="KB121" s="1035">
        <v>0</v>
      </c>
      <c r="KC121" s="1036" t="s">
        <v>199</v>
      </c>
      <c r="KD121" s="1035">
        <v>-7.4255192000000019</v>
      </c>
      <c r="KE121" s="1036" t="s">
        <v>204</v>
      </c>
      <c r="KF121" s="1035">
        <v>-2.1692527999999953</v>
      </c>
      <c r="KG121" s="1036" t="s">
        <v>204</v>
      </c>
      <c r="KH121" s="1035">
        <v>-1.5017904000000044</v>
      </c>
      <c r="KI121" s="1036"/>
      <c r="KJ121" s="1035">
        <v>0</v>
      </c>
      <c r="KK121" s="1036"/>
      <c r="KL121" s="1035">
        <v>0</v>
      </c>
      <c r="KM121" s="1036" t="s">
        <v>240</v>
      </c>
      <c r="KN121" s="1035">
        <v>5.8402960000000022</v>
      </c>
      <c r="KO121" s="1036"/>
      <c r="KP121" s="1035">
        <v>0</v>
      </c>
      <c r="KQ121" s="1036" t="s">
        <v>240</v>
      </c>
      <c r="KR121" s="1035">
        <v>-5.8402960000000022</v>
      </c>
      <c r="KS121" s="1036" t="s">
        <v>204</v>
      </c>
      <c r="KT121" s="1035">
        <v>-0.83432799999999929</v>
      </c>
      <c r="KU121" s="1036">
        <v>0</v>
      </c>
      <c r="KV121" s="1035">
        <v>0</v>
      </c>
      <c r="KW121" s="1036" t="s">
        <v>204</v>
      </c>
      <c r="KX121" s="1035">
        <v>1.6686560000000021</v>
      </c>
      <c r="KY121" s="1036">
        <v>0</v>
      </c>
      <c r="KZ121" s="1035">
        <v>0</v>
      </c>
      <c r="LA121" s="1036">
        <v>0</v>
      </c>
      <c r="LB121" s="1035">
        <v>0</v>
      </c>
      <c r="LC121" s="1036">
        <v>0</v>
      </c>
      <c r="LD121" s="1035">
        <v>0</v>
      </c>
      <c r="LE121" s="1036">
        <v>0</v>
      </c>
      <c r="LF121" s="1035">
        <v>0</v>
      </c>
      <c r="LG121" s="1036">
        <v>0</v>
      </c>
      <c r="LH121" s="1035">
        <v>0</v>
      </c>
      <c r="LI121" s="1036" t="s">
        <v>204</v>
      </c>
      <c r="LJ121" s="1035">
        <v>-1.6686560000000021</v>
      </c>
      <c r="LK121" s="1036" t="s">
        <v>206</v>
      </c>
      <c r="LL121" s="1035">
        <v>2.7365958399999997</v>
      </c>
      <c r="LM121" s="1036" t="s">
        <v>206</v>
      </c>
      <c r="LN121" s="1035">
        <v>0.60071600000000003</v>
      </c>
      <c r="LO121" s="1036" t="s">
        <v>206</v>
      </c>
      <c r="LP121" s="1035">
        <v>-2.4828364000000001</v>
      </c>
      <c r="LQ121" s="1036">
        <v>0</v>
      </c>
      <c r="LR121" s="1035">
        <v>0</v>
      </c>
      <c r="LS121" s="1036" t="s">
        <v>206</v>
      </c>
      <c r="LT121" s="1035">
        <v>3.6829979999999978</v>
      </c>
      <c r="LU121" s="1036">
        <v>0</v>
      </c>
      <c r="LV121" s="1035">
        <v>0</v>
      </c>
      <c r="LW121" s="1036" t="s">
        <v>206</v>
      </c>
      <c r="LX121" s="1035">
        <v>2.9662116000000047</v>
      </c>
      <c r="LY121" s="1009" t="s">
        <v>223</v>
      </c>
      <c r="LZ121" s="1010">
        <v>-4.8212520000000003</v>
      </c>
      <c r="MA121" s="1011">
        <v>0</v>
      </c>
      <c r="MB121" s="1012">
        <v>1.179972</v>
      </c>
      <c r="MC121" s="995"/>
      <c r="MD121" s="996"/>
      <c r="ME121" s="997" t="s">
        <v>416</v>
      </c>
      <c r="MF121" s="997"/>
      <c r="MG121" s="998"/>
      <c r="NR121" s="1000"/>
      <c r="NS121" s="1000"/>
      <c r="NT121" s="1001"/>
      <c r="NU121" s="1000"/>
      <c r="NV121" s="1001"/>
      <c r="NX121" s="1002"/>
      <c r="NZ121" s="1001"/>
      <c r="OA121" s="1001"/>
      <c r="OC121" s="1003"/>
      <c r="OD121" s="1003"/>
      <c r="OE121" s="1001"/>
      <c r="OF121" s="1003"/>
      <c r="OG121" s="1003"/>
      <c r="QX121" s="1000">
        <f t="shared" si="96"/>
        <v>22</v>
      </c>
      <c r="ASU121" s="999" t="s">
        <v>208</v>
      </c>
    </row>
    <row r="122" spans="1:466 1191:1191" ht="21" customHeight="1" x14ac:dyDescent="0.25">
      <c r="A122" s="982" t="str">
        <f t="shared" si="59"/>
        <v>1033-2</v>
      </c>
      <c r="B122" s="124">
        <f>SUBTOTAL(103,$J$29:J122)</f>
        <v>94</v>
      </c>
      <c r="C122" s="126">
        <v>45068</v>
      </c>
      <c r="D122" s="124" t="s">
        <v>176</v>
      </c>
      <c r="E122" s="127" t="s">
        <v>177</v>
      </c>
      <c r="F122" s="128" t="s">
        <v>177</v>
      </c>
      <c r="G122" s="127" t="s">
        <v>178</v>
      </c>
      <c r="H122" s="127" t="s">
        <v>421</v>
      </c>
      <c r="I122" s="127" t="s">
        <v>538</v>
      </c>
      <c r="J122" s="190" t="s">
        <v>675</v>
      </c>
      <c r="K122" s="127" t="s">
        <v>672</v>
      </c>
      <c r="L122" s="130">
        <v>39749</v>
      </c>
      <c r="M122" s="127" t="s">
        <v>230</v>
      </c>
      <c r="N122" s="127" t="s">
        <v>231</v>
      </c>
      <c r="O122" s="127" t="s">
        <v>185</v>
      </c>
      <c r="P122" s="127" t="s">
        <v>292</v>
      </c>
      <c r="Q122" s="85" t="str">
        <f t="shared" si="85"/>
        <v/>
      </c>
      <c r="R122" s="130"/>
      <c r="S122" s="128" t="s">
        <v>156</v>
      </c>
      <c r="T122" s="131"/>
      <c r="U122" s="132">
        <v>203</v>
      </c>
      <c r="V122" s="121">
        <v>218.2</v>
      </c>
      <c r="W122" s="116">
        <v>0.98</v>
      </c>
      <c r="X122" s="116">
        <v>1.66</v>
      </c>
      <c r="Y122" s="116">
        <f t="shared" si="86"/>
        <v>1.0048202713286505</v>
      </c>
      <c r="Z122" s="133">
        <v>1.454</v>
      </c>
      <c r="AA122" s="133">
        <v>0.83599999999999997</v>
      </c>
      <c r="AB122" s="133">
        <v>0.72</v>
      </c>
      <c r="AC122" s="121">
        <v>34.299999999999997</v>
      </c>
      <c r="AD122" s="134">
        <v>1.17</v>
      </c>
      <c r="AE122" s="124">
        <v>139.69999999999999</v>
      </c>
      <c r="AF122" s="128">
        <v>7.72</v>
      </c>
      <c r="AG122" s="128">
        <v>1947</v>
      </c>
      <c r="AH122" s="127">
        <v>1930</v>
      </c>
      <c r="AI122" s="127">
        <v>1930</v>
      </c>
      <c r="AJ122" s="135"/>
      <c r="AK122" s="128"/>
      <c r="AL122" s="131"/>
      <c r="AM122" s="124" t="s">
        <v>187</v>
      </c>
      <c r="AN122" s="136" t="s">
        <v>676</v>
      </c>
      <c r="AO122" s="137">
        <v>64.37</v>
      </c>
      <c r="AP122" s="128">
        <v>1803.8</v>
      </c>
      <c r="AQ122" s="128">
        <v>99.4</v>
      </c>
      <c r="AR122" s="128"/>
      <c r="AS122" s="128"/>
      <c r="AT122" s="122"/>
      <c r="AU122" s="124" t="s">
        <v>250</v>
      </c>
      <c r="AV122" s="115">
        <f>VLOOKUP(J122,'[63]ТР нефть'!$J$28:$BP$638,39,0)</f>
        <v>600</v>
      </c>
      <c r="AW122" s="115" t="str">
        <f>VLOOKUP(J122,'[63]ТР нефть'!$J$28:$BP$638,40,0)</f>
        <v>ГК 94/3</v>
      </c>
      <c r="AX122" s="115">
        <f>VLOOKUP(J122,'[63]ТР нефть'!$J$28:$BP$638,41,0)</f>
        <v>1200</v>
      </c>
      <c r="AY122" s="115" t="str">
        <f>VLOOKUP(J122,'[63]ТР нефть'!$J$28:$BP$638,42,0)</f>
        <v>ГК 97/4</v>
      </c>
      <c r="AZ122" s="115">
        <f>VLOOKUP(J122,'[63]ТР нефть'!$J$28:$BP$638,43,0)</f>
        <v>1730</v>
      </c>
      <c r="BA122" s="115" t="str">
        <f>VLOOKUP(J122,'[63]ТР нефть'!$J$28:$BP$638,44,0)</f>
        <v>ЦКсОК 5/16</v>
      </c>
      <c r="BB122" s="115" t="str">
        <f>VLOOKUP(J122,'[63]ТР нефть'!$J$28:$BP$638,45,0)</f>
        <v>-</v>
      </c>
      <c r="BC122" s="115" t="str">
        <f>VLOOKUP(J122,'[63]ТР нефть'!$J$28:$BP$638,46,0)</f>
        <v>-</v>
      </c>
      <c r="BD122" s="115" t="str">
        <f>VLOOKUP(J122,'[63]ТР нефть'!$J$28:$BP$638,47,0)</f>
        <v>-</v>
      </c>
      <c r="BE122" s="115" t="str">
        <f>VLOOKUP(J122,'[63]ТР нефть'!$J$28:$BP$638,48,0)</f>
        <v>-</v>
      </c>
      <c r="BF122" s="115" t="str">
        <f>VLOOKUP(J122,'[63]ТР нефть'!$J$28:$BP$638,49,0)</f>
        <v>-</v>
      </c>
      <c r="BG122" s="115" t="str">
        <f>VLOOKUP(J122,'[63]ТР нефть'!$J$28:$BP$638,50,0)</f>
        <v>-</v>
      </c>
      <c r="BH122" s="115">
        <f>VLOOKUP(J122,'[63]ТР нефть'!$J$28:$BP$638,51,0)</f>
        <v>1740</v>
      </c>
      <c r="BI122" s="115" t="str">
        <f>VLOOKUP(J122,'[63]ТР нефть'!$J$28:$BP$638,52,0)</f>
        <v>открыт</v>
      </c>
      <c r="BJ122" s="115" t="str">
        <f>IF(IFERROR(VLOOKUP(J122,'[63]ТР нефть'!$J$28:$BP$638,53,0),"-")=0,"-",IFERROR(VLOOKUP(J122,'[63]ТР нефть'!$J$28:$BP$638,53,0),"-"))</f>
        <v>-</v>
      </c>
      <c r="BK122" s="138" t="str">
        <f>IF(IFERROR(VLOOKUP(J122,'[63]ТР нефть'!$J$28:$BP$638,54,0),"-")=0,"-",IFERROR(VLOOKUP(J122,'[63]ТР нефть'!$J$28:$BP$638,54,0),"-"))</f>
        <v>-</v>
      </c>
      <c r="BL122" s="138" t="str">
        <f>IF(IFERROR(VLOOKUP(J122,'[63]ТР нефть'!$J$28:$BP$638,55,0),"-")=0,"-",IFERROR(VLOOKUP(J122,'[63]ТР нефть'!$J$28:$BP$638,55,0),"-"))</f>
        <v>-</v>
      </c>
      <c r="BM122" s="138" t="str">
        <f>IF(IFERROR(VLOOKUP(J122,'[63]ТР нефть'!$J$28:$BP$638,56,0),"-")=0,"-",IFERROR(VLOOKUP(J122,'[63]ТР нефть'!$J$28:$BP$638,56,0),"-"))</f>
        <v>-</v>
      </c>
      <c r="BN122" s="138" t="str">
        <f>IF(IFERROR(VLOOKUP(J122,'[63]ТР нефть'!$J$28:$BP$638,57,0),"-")=0,"-",IFERROR(VLOOKUP(J122,'[63]ТР нефть'!$J$28:$BP$638,57,0),"-"))</f>
        <v>-</v>
      </c>
      <c r="BO122" s="115" t="str">
        <f>IF(IFERROR(VLOOKUP(J122,'[63]ТР нефть'!$J$28:$BP$638,58,0),"-")=0,"-",IFERROR(VLOOKUP(J122,'[63]ТР нефть'!$J$28:$BP$638,58,0),"-"))</f>
        <v>-</v>
      </c>
      <c r="BP122" s="115" t="str">
        <f>IF(IFERROR(VLOOKUP(J122,'[63]ТР нефть'!$J$28:$BP$638,59,0),"-")=0,"-",IFERROR(VLOOKUP(J122,'[63]ТР нефть'!$J$28:$BP$638,59,0),"-"))</f>
        <v>-</v>
      </c>
      <c r="BQ122" s="138">
        <v>1790</v>
      </c>
      <c r="BR122" s="128">
        <v>1586.46</v>
      </c>
      <c r="BS122" s="115">
        <f t="shared" si="60"/>
        <v>203.53999999999996</v>
      </c>
      <c r="BT122" s="128">
        <v>73</v>
      </c>
      <c r="BU122" s="128">
        <v>5.5</v>
      </c>
      <c r="BV122" s="127">
        <v>65</v>
      </c>
      <c r="BW122" s="127" t="s">
        <v>217</v>
      </c>
      <c r="BX122" s="127" t="s">
        <v>195</v>
      </c>
      <c r="BY122" s="139">
        <v>24</v>
      </c>
      <c r="BZ122" s="139">
        <v>0</v>
      </c>
      <c r="CA122" s="138">
        <v>56</v>
      </c>
      <c r="CB122" s="138">
        <v>75</v>
      </c>
      <c r="CC122" s="138">
        <v>55</v>
      </c>
      <c r="CD122" s="135">
        <v>45017</v>
      </c>
      <c r="CE122" s="138">
        <v>125.3</v>
      </c>
      <c r="CF122" s="138"/>
      <c r="CG122" s="138" t="str">
        <f t="shared" si="52"/>
        <v/>
      </c>
      <c r="CH122" s="138" t="s">
        <v>197</v>
      </c>
      <c r="CI122" s="127"/>
      <c r="CJ122" s="138"/>
      <c r="CK122" s="138"/>
      <c r="CL122" s="99"/>
      <c r="CM122" s="127"/>
      <c r="CN122" s="154">
        <v>109</v>
      </c>
      <c r="CO122" s="159">
        <f t="shared" si="61"/>
        <v>2.3567675999999995</v>
      </c>
      <c r="CP122" s="160">
        <v>3</v>
      </c>
      <c r="CQ122" s="161">
        <v>6.03</v>
      </c>
      <c r="CR122" s="138">
        <v>64.5</v>
      </c>
      <c r="CS122" s="139"/>
      <c r="CT122" s="138"/>
      <c r="CU122" s="138">
        <f t="shared" si="62"/>
        <v>64.5</v>
      </c>
      <c r="CV122" s="115">
        <f t="shared" si="63"/>
        <v>27367.993348177399</v>
      </c>
      <c r="CW122" s="115" t="str">
        <f t="shared" si="64"/>
        <v/>
      </c>
      <c r="CX122" s="133">
        <f t="shared" si="65"/>
        <v>0.18404907975460125</v>
      </c>
      <c r="CY122" s="116"/>
      <c r="CZ122" s="131"/>
      <c r="DA122" s="145" t="str">
        <f t="shared" si="66"/>
        <v>Фон.</v>
      </c>
      <c r="DB122" s="146">
        <f t="shared" si="67"/>
        <v>2.3567675999999995</v>
      </c>
      <c r="DC122" s="142">
        <f t="shared" si="68"/>
        <v>3</v>
      </c>
      <c r="DD122" s="119">
        <f t="shared" si="69"/>
        <v>6.03</v>
      </c>
      <c r="DE122" s="115">
        <f t="shared" si="70"/>
        <v>64.5</v>
      </c>
      <c r="DF122" s="121">
        <f t="shared" si="71"/>
        <v>0</v>
      </c>
      <c r="DG122" s="115">
        <f t="shared" si="72"/>
        <v>27367.993348177399</v>
      </c>
      <c r="DH122" s="115">
        <f t="shared" si="73"/>
        <v>109</v>
      </c>
      <c r="DI122" s="147"/>
      <c r="DJ122" s="111" t="s">
        <v>197</v>
      </c>
      <c r="DK122" s="112">
        <v>43811</v>
      </c>
      <c r="DL122" s="113">
        <f t="shared" ca="1" si="87"/>
        <v>1293</v>
      </c>
      <c r="DM122" s="114"/>
      <c r="DN122" s="114"/>
      <c r="DO122" s="114"/>
      <c r="DP122" s="114"/>
      <c r="DQ122" s="112">
        <v>39749</v>
      </c>
      <c r="DR122" s="114" t="s">
        <v>324</v>
      </c>
      <c r="DS122" s="114"/>
      <c r="DT122" s="115">
        <v>69</v>
      </c>
      <c r="DU122" s="116">
        <f t="shared" si="88"/>
        <v>0.15633345362684964</v>
      </c>
      <c r="DV122" s="117">
        <f t="shared" si="89"/>
        <v>6.9144210368358046</v>
      </c>
      <c r="DW122" s="118">
        <f t="shared" si="90"/>
        <v>8.8015734391916336</v>
      </c>
      <c r="DX122" s="119">
        <f t="shared" si="74"/>
        <v>6.03</v>
      </c>
      <c r="DY122" s="115">
        <f t="shared" si="91"/>
        <v>189.23382894262016</v>
      </c>
      <c r="DZ122" s="117">
        <f t="shared" si="92"/>
        <v>4.557653436835805</v>
      </c>
      <c r="EA122" s="120">
        <f t="shared" si="92"/>
        <v>5.8015734391916336</v>
      </c>
      <c r="EB122" s="119">
        <f t="shared" si="92"/>
        <v>0</v>
      </c>
      <c r="EC122" s="121">
        <f t="shared" si="93"/>
        <v>124.73382894262016</v>
      </c>
      <c r="ED122" s="122"/>
      <c r="EE122" s="145">
        <v>65</v>
      </c>
      <c r="EF122" s="115">
        <v>56</v>
      </c>
      <c r="EG122" s="115">
        <v>75</v>
      </c>
      <c r="EH122" s="115">
        <v>55</v>
      </c>
      <c r="EI122" s="128" t="s">
        <v>195</v>
      </c>
      <c r="EJ122" s="121">
        <v>24</v>
      </c>
      <c r="EK122" s="121">
        <v>0</v>
      </c>
      <c r="EL122" s="162">
        <v>2.3567675999999995</v>
      </c>
      <c r="EM122" s="142">
        <v>3</v>
      </c>
      <c r="EN122" s="119">
        <v>6.03</v>
      </c>
      <c r="EO122" s="115">
        <v>64.5</v>
      </c>
      <c r="EP122" s="115">
        <v>27367.993348177399</v>
      </c>
      <c r="EQ122" s="115">
        <v>0</v>
      </c>
      <c r="ER122" s="115">
        <v>0</v>
      </c>
      <c r="ES122" s="115">
        <v>109</v>
      </c>
      <c r="ET122" s="150">
        <v>0.18404907975460125</v>
      </c>
      <c r="EU122" s="145">
        <f t="shared" si="75"/>
        <v>65</v>
      </c>
      <c r="EV122" s="115">
        <f t="shared" si="76"/>
        <v>56</v>
      </c>
      <c r="EW122" s="115">
        <f t="shared" si="76"/>
        <v>75</v>
      </c>
      <c r="EX122" s="115">
        <f t="shared" si="76"/>
        <v>55</v>
      </c>
      <c r="EY122" s="115" t="str">
        <f t="shared" si="77"/>
        <v>Постоянный</v>
      </c>
      <c r="EZ122" s="115">
        <f t="shared" si="77"/>
        <v>24</v>
      </c>
      <c r="FA122" s="115">
        <f t="shared" si="77"/>
        <v>0</v>
      </c>
      <c r="FB122" s="149">
        <f t="shared" si="78"/>
        <v>2.3567675999999995</v>
      </c>
      <c r="FC122" s="142">
        <f t="shared" si="78"/>
        <v>3</v>
      </c>
      <c r="FD122" s="119">
        <f t="shared" si="78"/>
        <v>6.03</v>
      </c>
      <c r="FE122" s="121">
        <f t="shared" si="78"/>
        <v>64.5</v>
      </c>
      <c r="FF122" s="121">
        <f t="shared" si="94"/>
        <v>27367.993348177399</v>
      </c>
      <c r="FG122" s="121">
        <f t="shared" si="79"/>
        <v>0</v>
      </c>
      <c r="FH122" s="121">
        <f t="shared" si="95"/>
        <v>0</v>
      </c>
      <c r="FI122" s="121">
        <f t="shared" ref="FI122:FI156" si="97">CN122</f>
        <v>109</v>
      </c>
      <c r="FJ122" s="144">
        <f t="shared" si="80"/>
        <v>0.18404907975460125</v>
      </c>
      <c r="FK122" s="132">
        <f t="shared" si="81"/>
        <v>0</v>
      </c>
      <c r="FL122" s="115">
        <f t="shared" si="81"/>
        <v>0</v>
      </c>
      <c r="FM122" s="115">
        <f t="shared" si="81"/>
        <v>0</v>
      </c>
      <c r="FN122" s="115">
        <f t="shared" si="58"/>
        <v>0</v>
      </c>
      <c r="FO122" s="115">
        <f t="shared" si="57"/>
        <v>0</v>
      </c>
      <c r="FP122" s="115">
        <f t="shared" si="56"/>
        <v>0</v>
      </c>
      <c r="FQ122" s="149">
        <f t="shared" si="56"/>
        <v>0</v>
      </c>
      <c r="FR122" s="142">
        <f t="shared" si="56"/>
        <v>0</v>
      </c>
      <c r="FS122" s="119">
        <f t="shared" si="56"/>
        <v>0</v>
      </c>
      <c r="FT122" s="121">
        <f t="shared" si="56"/>
        <v>0</v>
      </c>
      <c r="FU122" s="121">
        <f t="shared" si="82"/>
        <v>0</v>
      </c>
      <c r="FV122" s="121">
        <f t="shared" si="82"/>
        <v>0</v>
      </c>
      <c r="FW122" s="121">
        <f t="shared" si="83"/>
        <v>0</v>
      </c>
      <c r="FX122" s="121">
        <f t="shared" si="84"/>
        <v>0</v>
      </c>
      <c r="FY122" s="144">
        <f t="shared" si="84"/>
        <v>0</v>
      </c>
      <c r="FZ122" s="145"/>
      <c r="GA122" s="151" t="s">
        <v>427</v>
      </c>
      <c r="GB122" s="145"/>
      <c r="GC122" s="151" t="s">
        <v>652</v>
      </c>
      <c r="GD122" s="997" t="s">
        <v>416</v>
      </c>
      <c r="GE122" s="1004"/>
      <c r="GF122" s="1004">
        <v>0</v>
      </c>
      <c r="GG122" s="1004"/>
      <c r="GH122" s="1004">
        <v>0</v>
      </c>
      <c r="GI122" s="145"/>
      <c r="GJ122" s="996">
        <v>0</v>
      </c>
      <c r="GK122" s="145"/>
      <c r="GL122" s="996">
        <v>0</v>
      </c>
      <c r="GM122" s="1005"/>
      <c r="GN122" s="996">
        <v>0</v>
      </c>
      <c r="GO122" s="1006"/>
      <c r="GP122" s="996">
        <v>0</v>
      </c>
      <c r="GQ122" s="1006"/>
      <c r="GR122" s="996">
        <v>0</v>
      </c>
      <c r="GS122" s="1006"/>
      <c r="GT122" s="996">
        <v>0</v>
      </c>
      <c r="GU122" s="1006"/>
      <c r="GV122" s="996">
        <v>0</v>
      </c>
      <c r="GW122" s="1006"/>
      <c r="GX122" s="996">
        <v>0</v>
      </c>
      <c r="GY122" s="1006"/>
      <c r="GZ122" s="996">
        <v>0</v>
      </c>
      <c r="HA122" s="1006"/>
      <c r="HB122" s="996">
        <v>0</v>
      </c>
      <c r="HC122" s="1006"/>
      <c r="HD122" s="996">
        <v>0</v>
      </c>
      <c r="HE122" s="1006"/>
      <c r="HF122" s="996">
        <v>0</v>
      </c>
      <c r="HG122" s="1006"/>
      <c r="HH122" s="996">
        <v>0</v>
      </c>
      <c r="HI122" s="1006"/>
      <c r="HJ122" s="996">
        <v>0</v>
      </c>
      <c r="HK122" s="1006"/>
      <c r="HL122" s="996">
        <v>0</v>
      </c>
      <c r="HM122" s="1006"/>
      <c r="HN122" s="996">
        <v>0</v>
      </c>
      <c r="HO122" s="1006"/>
      <c r="HP122" s="996">
        <v>0</v>
      </c>
      <c r="HQ122" s="1006"/>
      <c r="HR122" s="996">
        <v>0</v>
      </c>
      <c r="HS122" s="1006"/>
      <c r="HT122" s="996">
        <v>0</v>
      </c>
      <c r="HU122" s="1006"/>
      <c r="HV122" s="996">
        <v>0</v>
      </c>
      <c r="HW122" s="1006"/>
      <c r="HX122" s="996">
        <v>0</v>
      </c>
      <c r="HY122" s="1006"/>
      <c r="HZ122" s="996">
        <v>0.5928368599999998</v>
      </c>
      <c r="IA122" s="1006" t="s">
        <v>204</v>
      </c>
      <c r="IB122" s="996">
        <v>-1.1047482512000002</v>
      </c>
      <c r="IC122" s="1006"/>
      <c r="ID122" s="996">
        <v>0</v>
      </c>
      <c r="IE122" s="1006" t="s">
        <v>223</v>
      </c>
      <c r="IF122" s="996">
        <v>-3.7295680487999996</v>
      </c>
      <c r="IG122" s="1006"/>
      <c r="IH122" s="996">
        <v>0</v>
      </c>
      <c r="II122" s="1006" t="s">
        <v>204</v>
      </c>
      <c r="IJ122" s="996">
        <v>1.9988609519999994</v>
      </c>
      <c r="IK122" s="1006"/>
      <c r="IL122" s="996">
        <v>8.4150088000000345E-2</v>
      </c>
      <c r="IM122" s="1006" t="s">
        <v>204</v>
      </c>
      <c r="IN122" s="996">
        <v>-1.0672376000000003</v>
      </c>
      <c r="IO122" s="1006"/>
      <c r="IP122" s="996">
        <v>0</v>
      </c>
      <c r="IQ122" s="1006" t="s">
        <v>204</v>
      </c>
      <c r="IR122" s="996">
        <v>-1.3003979999999995</v>
      </c>
      <c r="IS122" s="1006" t="s">
        <v>204</v>
      </c>
      <c r="IT122" s="996">
        <v>1.4543055999999996</v>
      </c>
      <c r="IU122" s="1006"/>
      <c r="IV122" s="996">
        <v>0</v>
      </c>
      <c r="IW122" s="1006"/>
      <c r="IX122" s="996">
        <v>0</v>
      </c>
      <c r="IY122" s="1006"/>
      <c r="IZ122" s="996">
        <v>0</v>
      </c>
      <c r="JA122" s="1006"/>
      <c r="JB122" s="996">
        <v>0</v>
      </c>
      <c r="JC122" s="1006"/>
      <c r="JD122" s="996">
        <v>-0.41758200000000034</v>
      </c>
      <c r="JE122" s="1006"/>
      <c r="JF122" s="996">
        <v>0</v>
      </c>
      <c r="JG122" s="1006"/>
      <c r="JH122" s="996">
        <v>0</v>
      </c>
      <c r="JI122" s="1006" t="s">
        <v>239</v>
      </c>
      <c r="JJ122" s="996">
        <v>-1.6703279999999987</v>
      </c>
      <c r="JK122" s="1007"/>
      <c r="JL122" s="1007">
        <v>0</v>
      </c>
      <c r="JM122" s="1007"/>
      <c r="JN122" s="1007">
        <v>0</v>
      </c>
      <c r="JO122" s="1008"/>
      <c r="JP122" s="1007">
        <v>0</v>
      </c>
      <c r="JQ122" s="1008">
        <v>0</v>
      </c>
      <c r="JR122" s="1007">
        <v>0</v>
      </c>
      <c r="JS122" s="1008">
        <v>0</v>
      </c>
      <c r="JT122" s="1007">
        <v>0</v>
      </c>
      <c r="JU122" s="1008"/>
      <c r="JV122" s="1007">
        <v>0</v>
      </c>
      <c r="JW122" s="1008" t="s">
        <v>197</v>
      </c>
      <c r="JX122" s="1007">
        <v>0</v>
      </c>
      <c r="JY122" s="1008" t="s">
        <v>199</v>
      </c>
      <c r="JZ122" s="1007">
        <v>-2.3384592000000026</v>
      </c>
      <c r="KA122" s="1008" t="s">
        <v>199</v>
      </c>
      <c r="KB122" s="1007">
        <v>4.0087872000000013</v>
      </c>
      <c r="KC122" s="1008"/>
      <c r="KD122" s="1007">
        <v>0</v>
      </c>
      <c r="KE122" s="1008"/>
      <c r="KF122" s="1007">
        <v>0</v>
      </c>
      <c r="KG122" s="1008"/>
      <c r="KH122" s="1007">
        <v>0</v>
      </c>
      <c r="KI122" s="1008"/>
      <c r="KJ122" s="1007">
        <v>0</v>
      </c>
      <c r="KK122" s="1008"/>
      <c r="KL122" s="1007">
        <v>0</v>
      </c>
      <c r="KM122" s="1008"/>
      <c r="KN122" s="1007">
        <v>0</v>
      </c>
      <c r="KO122" s="1008"/>
      <c r="KP122" s="1007">
        <v>0</v>
      </c>
      <c r="KQ122" s="1008" t="s">
        <v>206</v>
      </c>
      <c r="KR122" s="1007">
        <v>-0.60131807999999953</v>
      </c>
      <c r="KS122" s="1008" t="s">
        <v>204</v>
      </c>
      <c r="KT122" s="1007">
        <v>-1.9041739199999999</v>
      </c>
      <c r="KU122" s="1008">
        <v>0</v>
      </c>
      <c r="KV122" s="1007">
        <v>0</v>
      </c>
      <c r="KW122" s="1008">
        <v>0</v>
      </c>
      <c r="KX122" s="1007">
        <v>0</v>
      </c>
      <c r="KY122" s="1008">
        <v>0</v>
      </c>
      <c r="KZ122" s="1007">
        <v>0</v>
      </c>
      <c r="LA122" s="1008">
        <v>0</v>
      </c>
      <c r="LB122" s="1007">
        <v>0</v>
      </c>
      <c r="LC122" s="1008" t="s">
        <v>204</v>
      </c>
      <c r="LD122" s="1007">
        <v>-3.3383152000000003</v>
      </c>
      <c r="LE122" s="1008">
        <v>0</v>
      </c>
      <c r="LF122" s="1007">
        <v>0</v>
      </c>
      <c r="LG122" s="1008">
        <v>0</v>
      </c>
      <c r="LH122" s="1007">
        <v>0</v>
      </c>
      <c r="LI122" s="1008">
        <v>0</v>
      </c>
      <c r="LJ122" s="1007">
        <v>0</v>
      </c>
      <c r="LK122" s="1008" t="s">
        <v>206</v>
      </c>
      <c r="LL122" s="1007">
        <v>-3.1881696000000019</v>
      </c>
      <c r="LM122" s="1008">
        <v>0</v>
      </c>
      <c r="LN122" s="1007">
        <v>3.1881699999999999</v>
      </c>
      <c r="LO122" s="1008">
        <v>0</v>
      </c>
      <c r="LP122" s="1007">
        <v>0</v>
      </c>
      <c r="LQ122" s="1008" t="s">
        <v>206</v>
      </c>
      <c r="LR122" s="1007">
        <v>5.8775639999999987</v>
      </c>
      <c r="LS122" s="1008">
        <v>0</v>
      </c>
      <c r="LT122" s="1007">
        <v>0</v>
      </c>
      <c r="LU122" s="1008">
        <v>0</v>
      </c>
      <c r="LV122" s="1007">
        <v>0</v>
      </c>
      <c r="LW122" s="1008">
        <v>0</v>
      </c>
      <c r="LX122" s="1007">
        <v>0</v>
      </c>
      <c r="LY122" s="1009" t="s">
        <v>223</v>
      </c>
      <c r="LZ122" s="1010">
        <v>-6.9965999999999999</v>
      </c>
      <c r="MA122" s="1011" t="s">
        <v>206</v>
      </c>
      <c r="MB122" s="1012">
        <v>0.29999999999999</v>
      </c>
      <c r="MC122" s="995"/>
      <c r="MD122" s="996"/>
      <c r="ME122" s="997" t="s">
        <v>416</v>
      </c>
      <c r="MF122" s="997"/>
      <c r="MG122" s="998"/>
      <c r="NR122" s="1000"/>
      <c r="NS122" s="1000"/>
      <c r="NT122" s="1001"/>
      <c r="NU122" s="1000"/>
      <c r="NV122" s="1001"/>
      <c r="NX122" s="1002"/>
      <c r="NZ122" s="1001"/>
      <c r="OA122" s="1001"/>
      <c r="OC122" s="1003"/>
      <c r="OD122" s="1003"/>
      <c r="OE122" s="1001"/>
      <c r="OF122" s="1003"/>
      <c r="OG122" s="1003"/>
      <c r="QX122" s="1000">
        <f t="shared" si="96"/>
        <v>53</v>
      </c>
      <c r="ASU122" s="999" t="s">
        <v>292</v>
      </c>
    </row>
    <row r="123" spans="1:466 1191:1191" ht="21" customHeight="1" x14ac:dyDescent="0.25">
      <c r="A123" s="982" t="str">
        <f t="shared" si="59"/>
        <v>1033-1</v>
      </c>
      <c r="B123" s="124">
        <f>SUBTOTAL(103,$J$29:J123)</f>
        <v>95</v>
      </c>
      <c r="C123" s="126">
        <v>45068</v>
      </c>
      <c r="D123" s="124" t="s">
        <v>176</v>
      </c>
      <c r="E123" s="127" t="s">
        <v>177</v>
      </c>
      <c r="F123" s="128" t="s">
        <v>177</v>
      </c>
      <c r="G123" s="127" t="s">
        <v>178</v>
      </c>
      <c r="H123" s="127" t="s">
        <v>408</v>
      </c>
      <c r="I123" s="127" t="s">
        <v>538</v>
      </c>
      <c r="J123" s="152" t="s">
        <v>677</v>
      </c>
      <c r="K123" s="127" t="s">
        <v>672</v>
      </c>
      <c r="L123" s="130">
        <v>39616</v>
      </c>
      <c r="M123" s="127" t="s">
        <v>230</v>
      </c>
      <c r="N123" s="127" t="s">
        <v>231</v>
      </c>
      <c r="O123" s="127" t="s">
        <v>185</v>
      </c>
      <c r="P123" s="127" t="s">
        <v>292</v>
      </c>
      <c r="Q123" s="85" t="str">
        <f t="shared" si="85"/>
        <v/>
      </c>
      <c r="R123" s="130"/>
      <c r="S123" s="128" t="s">
        <v>156</v>
      </c>
      <c r="T123" s="131"/>
      <c r="U123" s="132">
        <v>203</v>
      </c>
      <c r="V123" s="121">
        <v>218.2</v>
      </c>
      <c r="W123" s="116">
        <v>0.98</v>
      </c>
      <c r="X123" s="116">
        <v>1.66</v>
      </c>
      <c r="Y123" s="116">
        <f t="shared" si="86"/>
        <v>1.3899521531100476</v>
      </c>
      <c r="Z123" s="133">
        <v>1.454</v>
      </c>
      <c r="AA123" s="133">
        <v>0.83599999999999997</v>
      </c>
      <c r="AB123" s="133">
        <v>0.72</v>
      </c>
      <c r="AC123" s="121">
        <v>34.299999999999997</v>
      </c>
      <c r="AD123" s="134">
        <v>1.17</v>
      </c>
      <c r="AE123" s="124" t="s">
        <v>678</v>
      </c>
      <c r="AF123" s="128" t="s">
        <v>679</v>
      </c>
      <c r="AG123" s="128" t="s">
        <v>680</v>
      </c>
      <c r="AH123" s="127">
        <v>2481</v>
      </c>
      <c r="AI123" s="127">
        <v>2481</v>
      </c>
      <c r="AJ123" s="135"/>
      <c r="AK123" s="128"/>
      <c r="AL123" s="131"/>
      <c r="AM123" s="124" t="s">
        <v>232</v>
      </c>
      <c r="AN123" s="136" t="s">
        <v>681</v>
      </c>
      <c r="AO123" s="137">
        <v>32.51</v>
      </c>
      <c r="AP123" s="128">
        <v>1886.5</v>
      </c>
      <c r="AQ123" s="128">
        <v>41.11</v>
      </c>
      <c r="AR123" s="128" t="s">
        <v>682</v>
      </c>
      <c r="AS123" s="128">
        <v>102</v>
      </c>
      <c r="AT123" s="122">
        <v>6.5</v>
      </c>
      <c r="AU123" s="124" t="s">
        <v>189</v>
      </c>
      <c r="AV123" s="115">
        <f>VLOOKUP(J123,'[63]ТР нефть'!$J$28:$BP$638,39,0)</f>
        <v>646.00001074199997</v>
      </c>
      <c r="AW123" s="115" t="str">
        <f>VLOOKUP(J123,'[63]ТР нефть'!$J$28:$BP$638,40,0)</f>
        <v>ГП</v>
      </c>
      <c r="AX123" s="115">
        <f>VLOOKUP(J123,'[63]ТР нефть'!$J$28:$BP$638,41,0)</f>
        <v>1208.9999900390001</v>
      </c>
      <c r="AY123" s="115" t="str">
        <f>VLOOKUP(J123,'[63]ТР нефть'!$J$28:$BP$638,42,0)</f>
        <v>ГК 88 1/4</v>
      </c>
      <c r="AZ123" s="115">
        <f>VLOOKUP(J123,'[63]ТР нефть'!$J$28:$BP$638,43,0)</f>
        <v>1540.000065234</v>
      </c>
      <c r="BA123" s="115" t="str">
        <f>VLOOKUP(J123,'[63]ТР нефть'!$J$28:$BP$638,44,0)</f>
        <v>ЦКсОК 5/16</v>
      </c>
      <c r="BB123" s="115" t="str">
        <f>VLOOKUP(J123,'[63]ТР нефть'!$J$28:$BP$638,45,0)</f>
        <v>-</v>
      </c>
      <c r="BC123" s="115" t="str">
        <f>VLOOKUP(J123,'[63]ТР нефть'!$J$28:$BP$638,46,0)</f>
        <v>-</v>
      </c>
      <c r="BD123" s="115" t="str">
        <f>VLOOKUP(J123,'[63]ТР нефть'!$J$28:$BP$638,47,0)</f>
        <v>-</v>
      </c>
      <c r="BE123" s="115" t="str">
        <f>VLOOKUP(J123,'[63]ТР нефть'!$J$28:$BP$638,48,0)</f>
        <v>-</v>
      </c>
      <c r="BF123" s="115" t="str">
        <f>VLOOKUP(J123,'[63]ТР нефть'!$J$28:$BP$638,49,0)</f>
        <v>-</v>
      </c>
      <c r="BG123" s="115" t="str">
        <f>VLOOKUP(J123,'[63]ТР нефть'!$J$28:$BP$638,50,0)</f>
        <v>-</v>
      </c>
      <c r="BH123" s="115">
        <f>VLOOKUP(J123,'[63]ТР нефть'!$J$28:$BP$638,51,0)</f>
        <v>1550</v>
      </c>
      <c r="BI123" s="115" t="str">
        <f>VLOOKUP(J123,'[63]ТР нефть'!$J$28:$BP$638,52,0)</f>
        <v>закрыт</v>
      </c>
      <c r="BJ123" s="115" t="str">
        <f>IF(IFERROR(VLOOKUP(J123,'[63]ТР нефть'!$J$28:$BP$638,53,0),"-")=0,"-",IFERROR(VLOOKUP(J123,'[63]ТР нефть'!$J$28:$BP$638,53,0),"-"))</f>
        <v>-</v>
      </c>
      <c r="BK123" s="138" t="str">
        <f>IF(IFERROR(VLOOKUP(J123,'[63]ТР нефть'!$J$28:$BP$638,54,0),"-")=0,"-",IFERROR(VLOOKUP(J123,'[63]ТР нефть'!$J$28:$BP$638,54,0),"-"))</f>
        <v>-</v>
      </c>
      <c r="BL123" s="138" t="str">
        <f>IF(IFERROR(VLOOKUP(J123,'[63]ТР нефть'!$J$28:$BP$638,55,0),"-")=0,"-",IFERROR(VLOOKUP(J123,'[63]ТР нефть'!$J$28:$BP$638,55,0),"-"))</f>
        <v>-</v>
      </c>
      <c r="BM123" s="138" t="str">
        <f>IF(IFERROR(VLOOKUP(J123,'[63]ТР нефть'!$J$28:$BP$638,56,0),"-")=0,"-",IFERROR(VLOOKUP(J123,'[63]ТР нефть'!$J$28:$BP$638,56,0),"-"))</f>
        <v>-</v>
      </c>
      <c r="BN123" s="138" t="str">
        <f>IF(IFERROR(VLOOKUP(J123,'[63]ТР нефть'!$J$28:$BP$638,57,0),"-")=0,"-",IFERROR(VLOOKUP(J123,'[63]ТР нефть'!$J$28:$BP$638,57,0),"-"))</f>
        <v>-</v>
      </c>
      <c r="BO123" s="115" t="str">
        <f>IF(IFERROR(VLOOKUP(J123,'[63]ТР нефть'!$J$28:$BP$638,58,0),"-")=0,"-",IFERROR(VLOOKUP(J123,'[63]ТР нефть'!$J$28:$BP$638,58,0),"-"))</f>
        <v>-</v>
      </c>
      <c r="BP123" s="115" t="str">
        <f>IF(IFERROR(VLOOKUP(J123,'[63]ТР нефть'!$J$28:$BP$638,59,0),"-")=0,"-",IFERROR(VLOOKUP(J123,'[63]ТР нефть'!$J$28:$BP$638,59,0),"-"))</f>
        <v>-</v>
      </c>
      <c r="BQ123" s="138">
        <v>1886.5</v>
      </c>
      <c r="BR123" s="128">
        <v>1845.64</v>
      </c>
      <c r="BS123" s="115">
        <f t="shared" si="60"/>
        <v>40.8599999999999</v>
      </c>
      <c r="BT123" s="128">
        <v>73</v>
      </c>
      <c r="BU123" s="128">
        <v>5.5</v>
      </c>
      <c r="BV123" s="127">
        <v>18</v>
      </c>
      <c r="BW123" s="127" t="s">
        <v>217</v>
      </c>
      <c r="BX123" s="127" t="s">
        <v>195</v>
      </c>
      <c r="BY123" s="139">
        <v>24</v>
      </c>
      <c r="BZ123" s="139">
        <v>0</v>
      </c>
      <c r="CA123" s="138">
        <v>28</v>
      </c>
      <c r="CB123" s="138">
        <v>84</v>
      </c>
      <c r="CC123" s="138">
        <v>27</v>
      </c>
      <c r="CD123" s="135">
        <v>45017</v>
      </c>
      <c r="CE123" s="138">
        <v>159.9</v>
      </c>
      <c r="CF123" s="138">
        <v>75</v>
      </c>
      <c r="CG123" s="138"/>
      <c r="CH123" s="138"/>
      <c r="CI123" s="127"/>
      <c r="CJ123" s="138"/>
      <c r="CK123" s="138"/>
      <c r="CL123" s="99"/>
      <c r="CM123" s="99"/>
      <c r="CN123" s="140">
        <v>81</v>
      </c>
      <c r="CO123" s="159">
        <f t="shared" si="61"/>
        <v>6.3201600000000004</v>
      </c>
      <c r="CP123" s="160">
        <v>27</v>
      </c>
      <c r="CQ123" s="161">
        <v>72</v>
      </c>
      <c r="CR123" s="138">
        <v>56</v>
      </c>
      <c r="CS123" s="139">
        <v>16</v>
      </c>
      <c r="CT123" s="138"/>
      <c r="CU123" s="138">
        <f t="shared" si="62"/>
        <v>40</v>
      </c>
      <c r="CV123" s="115">
        <f t="shared" si="63"/>
        <v>6328.9536973747499</v>
      </c>
      <c r="CW123" s="115">
        <f t="shared" si="64"/>
        <v>554.94511592803474</v>
      </c>
      <c r="CX123" s="133">
        <f t="shared" si="65"/>
        <v>0.34220532319391633</v>
      </c>
      <c r="CY123" s="133"/>
      <c r="CZ123" s="131"/>
      <c r="DA123" s="145" t="str">
        <f t="shared" si="66"/>
        <v>Газлифт</v>
      </c>
      <c r="DB123" s="146">
        <f t="shared" si="67"/>
        <v>6.3201600000000004</v>
      </c>
      <c r="DC123" s="142">
        <f t="shared" si="68"/>
        <v>27</v>
      </c>
      <c r="DD123" s="119">
        <f t="shared" si="69"/>
        <v>72</v>
      </c>
      <c r="DE123" s="115">
        <f t="shared" si="70"/>
        <v>40</v>
      </c>
      <c r="DF123" s="121">
        <f t="shared" si="71"/>
        <v>16</v>
      </c>
      <c r="DG123" s="115">
        <f t="shared" si="72"/>
        <v>6328.9536973747499</v>
      </c>
      <c r="DH123" s="115">
        <f t="shared" si="73"/>
        <v>81</v>
      </c>
      <c r="DI123" s="147"/>
      <c r="DJ123" s="111" t="s">
        <v>197</v>
      </c>
      <c r="DK123" s="112">
        <v>43796</v>
      </c>
      <c r="DL123" s="113">
        <f t="shared" ca="1" si="87"/>
        <v>1308</v>
      </c>
      <c r="DM123" s="114"/>
      <c r="DN123" s="114"/>
      <c r="DO123" s="114"/>
      <c r="DP123" s="114"/>
      <c r="DQ123" s="112">
        <v>39616</v>
      </c>
      <c r="DR123" s="114" t="s">
        <v>324</v>
      </c>
      <c r="DS123" s="114"/>
      <c r="DT123" s="115">
        <v>69</v>
      </c>
      <c r="DU123" s="116">
        <f t="shared" si="88"/>
        <v>0.32758506906547125</v>
      </c>
      <c r="DV123" s="117">
        <f t="shared" si="89"/>
        <v>6.9703131686862587</v>
      </c>
      <c r="DW123" s="118">
        <f t="shared" si="90"/>
        <v>29.77748277805134</v>
      </c>
      <c r="DX123" s="119">
        <f t="shared" si="74"/>
        <v>72</v>
      </c>
      <c r="DY123" s="115">
        <f t="shared" si="91"/>
        <v>44.114789300816803</v>
      </c>
      <c r="DZ123" s="117">
        <f t="shared" si="92"/>
        <v>0.65015316868625828</v>
      </c>
      <c r="EA123" s="120">
        <f t="shared" si="92"/>
        <v>2.7774827780513398</v>
      </c>
      <c r="EB123" s="119">
        <f t="shared" si="92"/>
        <v>0</v>
      </c>
      <c r="EC123" s="121">
        <f t="shared" si="93"/>
        <v>4.1147893008168026</v>
      </c>
      <c r="ED123" s="122"/>
      <c r="EE123" s="145">
        <v>18</v>
      </c>
      <c r="EF123" s="115">
        <v>28</v>
      </c>
      <c r="EG123" s="115">
        <v>84</v>
      </c>
      <c r="EH123" s="115">
        <v>27</v>
      </c>
      <c r="EI123" s="128" t="s">
        <v>195</v>
      </c>
      <c r="EJ123" s="121">
        <v>24</v>
      </c>
      <c r="EK123" s="121">
        <v>0</v>
      </c>
      <c r="EL123" s="162">
        <v>6.3201600000000004</v>
      </c>
      <c r="EM123" s="142">
        <v>27</v>
      </c>
      <c r="EN123" s="119">
        <v>72</v>
      </c>
      <c r="EO123" s="115">
        <v>56</v>
      </c>
      <c r="EP123" s="115">
        <v>6328.9536973747499</v>
      </c>
      <c r="EQ123" s="115">
        <v>75</v>
      </c>
      <c r="ER123" s="115">
        <v>16</v>
      </c>
      <c r="ES123" s="115">
        <v>81</v>
      </c>
      <c r="ET123" s="150">
        <v>0.34220532319391633</v>
      </c>
      <c r="EU123" s="145">
        <f t="shared" si="75"/>
        <v>18</v>
      </c>
      <c r="EV123" s="115">
        <f t="shared" si="76"/>
        <v>28</v>
      </c>
      <c r="EW123" s="115">
        <f t="shared" si="76"/>
        <v>84</v>
      </c>
      <c r="EX123" s="115">
        <f t="shared" si="76"/>
        <v>27</v>
      </c>
      <c r="EY123" s="115" t="str">
        <f t="shared" si="77"/>
        <v>Постоянный</v>
      </c>
      <c r="EZ123" s="115">
        <f t="shared" si="77"/>
        <v>24</v>
      </c>
      <c r="FA123" s="115">
        <f t="shared" si="77"/>
        <v>0</v>
      </c>
      <c r="FB123" s="149">
        <f t="shared" si="78"/>
        <v>6.3201600000000004</v>
      </c>
      <c r="FC123" s="142">
        <f t="shared" si="78"/>
        <v>27</v>
      </c>
      <c r="FD123" s="119">
        <f t="shared" si="78"/>
        <v>72</v>
      </c>
      <c r="FE123" s="121">
        <f t="shared" si="78"/>
        <v>56</v>
      </c>
      <c r="FF123" s="121">
        <f t="shared" si="94"/>
        <v>6328.9536973747499</v>
      </c>
      <c r="FG123" s="121">
        <f t="shared" si="79"/>
        <v>75</v>
      </c>
      <c r="FH123" s="121">
        <f t="shared" si="95"/>
        <v>16</v>
      </c>
      <c r="FI123" s="121">
        <f t="shared" si="97"/>
        <v>81</v>
      </c>
      <c r="FJ123" s="144">
        <f t="shared" si="80"/>
        <v>0.34220532319391633</v>
      </c>
      <c r="FK123" s="132">
        <f t="shared" si="81"/>
        <v>0</v>
      </c>
      <c r="FL123" s="115">
        <f t="shared" si="81"/>
        <v>0</v>
      </c>
      <c r="FM123" s="115">
        <f t="shared" si="81"/>
        <v>0</v>
      </c>
      <c r="FN123" s="115">
        <f t="shared" si="58"/>
        <v>0</v>
      </c>
      <c r="FO123" s="115">
        <f t="shared" si="57"/>
        <v>0</v>
      </c>
      <c r="FP123" s="115">
        <f t="shared" si="57"/>
        <v>0</v>
      </c>
      <c r="FQ123" s="149">
        <f t="shared" si="57"/>
        <v>0</v>
      </c>
      <c r="FR123" s="142">
        <f t="shared" si="57"/>
        <v>0</v>
      </c>
      <c r="FS123" s="119">
        <f t="shared" si="57"/>
        <v>0</v>
      </c>
      <c r="FT123" s="121">
        <f t="shared" si="57"/>
        <v>0</v>
      </c>
      <c r="FU123" s="121">
        <f t="shared" si="82"/>
        <v>0</v>
      </c>
      <c r="FV123" s="121">
        <f t="shared" si="82"/>
        <v>0</v>
      </c>
      <c r="FW123" s="121">
        <f t="shared" si="83"/>
        <v>0</v>
      </c>
      <c r="FX123" s="121">
        <f t="shared" si="84"/>
        <v>0</v>
      </c>
      <c r="FY123" s="144">
        <f t="shared" si="84"/>
        <v>0</v>
      </c>
      <c r="FZ123" s="145"/>
      <c r="GA123" s="151" t="s">
        <v>427</v>
      </c>
      <c r="GB123" s="145"/>
      <c r="GC123" s="151" t="s">
        <v>683</v>
      </c>
      <c r="GD123" s="997" t="s">
        <v>416</v>
      </c>
      <c r="GE123" s="1004"/>
      <c r="GF123" s="1004">
        <v>0</v>
      </c>
      <c r="GG123" s="1004"/>
      <c r="GH123" s="1004">
        <v>0</v>
      </c>
      <c r="GI123" s="145"/>
      <c r="GJ123" s="996">
        <v>0</v>
      </c>
      <c r="GK123" s="145"/>
      <c r="GL123" s="996">
        <v>0</v>
      </c>
      <c r="GM123" s="1005"/>
      <c r="GN123" s="996">
        <v>0</v>
      </c>
      <c r="GO123" s="1006"/>
      <c r="GP123" s="996">
        <v>0</v>
      </c>
      <c r="GQ123" s="1006"/>
      <c r="GR123" s="996">
        <v>0</v>
      </c>
      <c r="GS123" s="1006"/>
      <c r="GT123" s="996">
        <v>0</v>
      </c>
      <c r="GU123" s="1006"/>
      <c r="GV123" s="996">
        <v>0</v>
      </c>
      <c r="GW123" s="1006" t="s">
        <v>146</v>
      </c>
      <c r="GX123" s="996">
        <v>-1.4708822857142838</v>
      </c>
      <c r="GY123" s="1006" t="s">
        <v>199</v>
      </c>
      <c r="GZ123" s="996">
        <v>7.2715109161409508</v>
      </c>
      <c r="HA123" s="1006"/>
      <c r="HB123" s="996">
        <v>0.43038701757333336</v>
      </c>
      <c r="HC123" s="1006"/>
      <c r="HD123" s="996">
        <v>0</v>
      </c>
      <c r="HE123" s="1006"/>
      <c r="HF123" s="996">
        <v>0</v>
      </c>
      <c r="HG123" s="1006"/>
      <c r="HH123" s="996">
        <v>0</v>
      </c>
      <c r="HI123" s="1006"/>
      <c r="HJ123" s="996">
        <v>4.9402583999999999E-2</v>
      </c>
      <c r="HK123" s="1006"/>
      <c r="HL123" s="996">
        <v>0</v>
      </c>
      <c r="HM123" s="1006" t="s">
        <v>199</v>
      </c>
      <c r="HN123" s="996">
        <v>-1.8744056319999998</v>
      </c>
      <c r="HO123" s="1006" t="s">
        <v>204</v>
      </c>
      <c r="HP123" s="996">
        <v>1.8152485999999997</v>
      </c>
      <c r="HQ123" s="1006"/>
      <c r="HR123" s="996">
        <v>0</v>
      </c>
      <c r="HS123" s="1006" t="s">
        <v>146</v>
      </c>
      <c r="HT123" s="996">
        <v>-1.2329495199999996</v>
      </c>
      <c r="HU123" s="1006"/>
      <c r="HV123" s="996">
        <v>-6.8451680000000126E-2</v>
      </c>
      <c r="HW123" s="1006" t="s">
        <v>199</v>
      </c>
      <c r="HX123" s="996">
        <v>-8.4064815999999958</v>
      </c>
      <c r="HY123" s="1006" t="s">
        <v>199</v>
      </c>
      <c r="HZ123" s="996">
        <v>5.415574559999996</v>
      </c>
      <c r="IA123" s="1006" t="s">
        <v>199</v>
      </c>
      <c r="IB123" s="996">
        <v>-4.6749019680000021</v>
      </c>
      <c r="IC123" s="1006" t="s">
        <v>199</v>
      </c>
      <c r="ID123" s="996">
        <v>1.5952786080000045</v>
      </c>
      <c r="IE123" s="1006"/>
      <c r="IF123" s="996">
        <v>0</v>
      </c>
      <c r="IG123" s="1006"/>
      <c r="IH123" s="996">
        <v>0</v>
      </c>
      <c r="II123" s="1006"/>
      <c r="IJ123" s="996">
        <v>-0.47451360000000253</v>
      </c>
      <c r="IK123" s="1006"/>
      <c r="IL123" s="996">
        <v>-4.094727999999999</v>
      </c>
      <c r="IM123" s="1006"/>
      <c r="IN123" s="996">
        <v>0</v>
      </c>
      <c r="IO123" s="1006"/>
      <c r="IP123" s="996">
        <v>0</v>
      </c>
      <c r="IQ123" s="1006"/>
      <c r="IR123" s="996">
        <v>0</v>
      </c>
      <c r="IS123" s="1006"/>
      <c r="IT123" s="996">
        <v>0</v>
      </c>
      <c r="IU123" s="1006"/>
      <c r="IV123" s="996">
        <v>0.62867199999999812</v>
      </c>
      <c r="IW123" s="1006" t="s">
        <v>146</v>
      </c>
      <c r="IX123" s="996">
        <v>-10.999449463199998</v>
      </c>
      <c r="IY123" s="1006"/>
      <c r="IZ123" s="996">
        <v>0</v>
      </c>
      <c r="JA123" s="1006" t="s">
        <v>204</v>
      </c>
      <c r="JB123" s="996">
        <v>14.756834743199999</v>
      </c>
      <c r="JC123" s="1006"/>
      <c r="JD123" s="996">
        <v>0</v>
      </c>
      <c r="JE123" s="1006"/>
      <c r="JF123" s="996">
        <v>-0.61603540019999947</v>
      </c>
      <c r="JG123" s="1006" t="s">
        <v>199</v>
      </c>
      <c r="JH123" s="996">
        <v>-12.6299498798</v>
      </c>
      <c r="JI123" s="1006" t="s">
        <v>25</v>
      </c>
      <c r="JJ123" s="996">
        <v>26.797143999999999</v>
      </c>
      <c r="JK123" s="1007"/>
      <c r="JL123" s="1007">
        <v>0</v>
      </c>
      <c r="JM123" s="1007"/>
      <c r="JN123" s="1007">
        <v>0</v>
      </c>
      <c r="JO123" s="1008"/>
      <c r="JP123" s="1007">
        <v>0</v>
      </c>
      <c r="JQ123" s="1008">
        <v>0</v>
      </c>
      <c r="JR123" s="1007">
        <v>0</v>
      </c>
      <c r="JS123" s="1008">
        <v>0</v>
      </c>
      <c r="JT123" s="1007">
        <v>0.75240000000000018</v>
      </c>
      <c r="JU123" s="1008"/>
      <c r="JV123" s="1007">
        <v>0</v>
      </c>
      <c r="JW123" s="1008" t="s">
        <v>197</v>
      </c>
      <c r="JX123" s="1007">
        <v>0</v>
      </c>
      <c r="JY123" s="1008"/>
      <c r="JZ123" s="1007">
        <v>0</v>
      </c>
      <c r="KA123" s="1008"/>
      <c r="KB123" s="1007">
        <v>0</v>
      </c>
      <c r="KC123" s="1008" t="s">
        <v>204</v>
      </c>
      <c r="KD123" s="1007">
        <v>-4.2962876000000012</v>
      </c>
      <c r="KE123" s="1008"/>
      <c r="KF123" s="1007">
        <v>0</v>
      </c>
      <c r="KG123" s="1008" t="s">
        <v>207</v>
      </c>
      <c r="KH123" s="1007">
        <v>4.1362772000000003</v>
      </c>
      <c r="KI123" s="1008" t="s">
        <v>206</v>
      </c>
      <c r="KJ123" s="1007">
        <v>-2.2526856</v>
      </c>
      <c r="KK123" s="1008" t="s">
        <v>206</v>
      </c>
      <c r="KL123" s="1007">
        <v>-0.41716400000000053</v>
      </c>
      <c r="KM123" s="1008"/>
      <c r="KN123" s="1007">
        <v>-6.25746</v>
      </c>
      <c r="KO123" s="1008" t="s">
        <v>206</v>
      </c>
      <c r="KP123" s="1007">
        <v>7.3420864000000003</v>
      </c>
      <c r="KQ123" s="1008">
        <v>0</v>
      </c>
      <c r="KR123" s="1007">
        <v>0</v>
      </c>
      <c r="KS123" s="1008" t="s">
        <v>204</v>
      </c>
      <c r="KT123" s="1007">
        <v>-1.5084784000000004</v>
      </c>
      <c r="KU123" s="1008">
        <v>0</v>
      </c>
      <c r="KV123" s="1007">
        <v>0</v>
      </c>
      <c r="KW123" s="1008">
        <v>0</v>
      </c>
      <c r="KX123" s="1007">
        <v>0</v>
      </c>
      <c r="KY123" s="1008">
        <v>0</v>
      </c>
      <c r="KZ123" s="1007">
        <v>0</v>
      </c>
      <c r="LA123" s="1008">
        <v>0</v>
      </c>
      <c r="LB123" s="1007">
        <v>0</v>
      </c>
      <c r="LC123" s="1008" t="s">
        <v>204</v>
      </c>
      <c r="LD123" s="1007">
        <v>-3.3406559999999992</v>
      </c>
      <c r="LE123" s="1008">
        <v>0</v>
      </c>
      <c r="LF123" s="1007">
        <v>0</v>
      </c>
      <c r="LG123" s="1008">
        <v>0</v>
      </c>
      <c r="LH123" s="1007">
        <v>0</v>
      </c>
      <c r="LI123" s="1008">
        <v>0</v>
      </c>
      <c r="LJ123" s="1007">
        <v>0</v>
      </c>
      <c r="LK123" s="1008" t="s">
        <v>206</v>
      </c>
      <c r="LL123" s="1007">
        <v>-2.7692279999999982</v>
      </c>
      <c r="LM123" s="1008">
        <v>0</v>
      </c>
      <c r="LN123" s="1007">
        <v>2.769228</v>
      </c>
      <c r="LO123" s="1008" t="s">
        <v>206</v>
      </c>
      <c r="LP123" s="1007">
        <v>-1.6783199999999994</v>
      </c>
      <c r="LQ123" s="1008" t="s">
        <v>206</v>
      </c>
      <c r="LR123" s="1007">
        <v>5.9371200000000002</v>
      </c>
      <c r="LS123" s="1008">
        <v>0</v>
      </c>
      <c r="LT123" s="1007">
        <v>0</v>
      </c>
      <c r="LU123" s="1008">
        <v>0</v>
      </c>
      <c r="LV123" s="1007">
        <v>-0.57543999999999995</v>
      </c>
      <c r="LW123" s="1008">
        <v>0</v>
      </c>
      <c r="LX123" s="1007">
        <v>0</v>
      </c>
      <c r="LY123" s="1009" t="s">
        <v>223</v>
      </c>
      <c r="LZ123" s="1010">
        <v>-6.1416600000000008</v>
      </c>
      <c r="MA123" s="1011">
        <v>0</v>
      </c>
      <c r="MB123" s="1012">
        <v>1.2312000000000001</v>
      </c>
      <c r="MC123" s="995"/>
      <c r="MD123" s="996"/>
      <c r="ME123" s="997" t="s">
        <v>416</v>
      </c>
      <c r="MF123" s="997"/>
      <c r="MG123" s="998"/>
      <c r="NR123" s="1000"/>
      <c r="NS123" s="1000"/>
      <c r="NT123" s="1001"/>
      <c r="NU123" s="1000"/>
      <c r="NV123" s="1001"/>
      <c r="NX123" s="1002"/>
      <c r="NZ123" s="1001"/>
      <c r="OA123" s="1001"/>
      <c r="OC123" s="1003"/>
      <c r="OD123" s="1003"/>
      <c r="OE123" s="1001"/>
      <c r="OF123" s="1003"/>
      <c r="OG123" s="1003"/>
      <c r="QX123" s="1000">
        <f t="shared" si="96"/>
        <v>53</v>
      </c>
      <c r="ASU123" s="999" t="s">
        <v>208</v>
      </c>
    </row>
    <row r="124" spans="1:466 1191:1191" ht="21" customHeight="1" x14ac:dyDescent="0.25">
      <c r="A124" s="982" t="str">
        <f t="shared" si="59"/>
        <v>1034-2</v>
      </c>
      <c r="B124" s="124">
        <f>SUBTOTAL(103,$J$29:J124)</f>
        <v>96</v>
      </c>
      <c r="C124" s="126">
        <v>45068</v>
      </c>
      <c r="D124" s="124" t="s">
        <v>176</v>
      </c>
      <c r="E124" s="127" t="s">
        <v>177</v>
      </c>
      <c r="F124" s="128" t="s">
        <v>177</v>
      </c>
      <c r="G124" s="127" t="s">
        <v>178</v>
      </c>
      <c r="H124" s="127" t="s">
        <v>421</v>
      </c>
      <c r="I124" s="127" t="s">
        <v>684</v>
      </c>
      <c r="J124" s="190" t="s">
        <v>685</v>
      </c>
      <c r="K124" s="127" t="s">
        <v>686</v>
      </c>
      <c r="L124" s="130">
        <v>38980</v>
      </c>
      <c r="M124" s="127" t="s">
        <v>183</v>
      </c>
      <c r="N124" s="127" t="s">
        <v>465</v>
      </c>
      <c r="O124" s="127" t="s">
        <v>185</v>
      </c>
      <c r="P124" s="127" t="s">
        <v>292</v>
      </c>
      <c r="Q124" s="85" t="str">
        <f t="shared" si="85"/>
        <v/>
      </c>
      <c r="R124" s="130"/>
      <c r="S124" s="128" t="s">
        <v>156</v>
      </c>
      <c r="T124" s="131"/>
      <c r="U124" s="132">
        <v>203</v>
      </c>
      <c r="V124" s="121">
        <v>218.2</v>
      </c>
      <c r="W124" s="116">
        <v>0.98</v>
      </c>
      <c r="X124" s="116">
        <v>1.66</v>
      </c>
      <c r="Y124" s="116">
        <f t="shared" si="86"/>
        <v>0.98</v>
      </c>
      <c r="Z124" s="133">
        <v>1.454</v>
      </c>
      <c r="AA124" s="133">
        <v>0.83599999999999997</v>
      </c>
      <c r="AB124" s="133">
        <v>0.72</v>
      </c>
      <c r="AC124" s="121">
        <v>34.299999999999997</v>
      </c>
      <c r="AD124" s="134">
        <v>1.17</v>
      </c>
      <c r="AE124" s="124">
        <v>139.69999999999999</v>
      </c>
      <c r="AF124" s="128">
        <v>7.72</v>
      </c>
      <c r="AG124" s="128">
        <v>2049</v>
      </c>
      <c r="AH124" s="127">
        <v>2500</v>
      </c>
      <c r="AI124" s="127">
        <v>1920</v>
      </c>
      <c r="AJ124" s="135"/>
      <c r="AK124" s="128"/>
      <c r="AL124" s="131"/>
      <c r="AM124" s="124" t="s">
        <v>187</v>
      </c>
      <c r="AN124" s="136" t="s">
        <v>687</v>
      </c>
      <c r="AO124" s="137">
        <v>37.81</v>
      </c>
      <c r="AP124" s="128">
        <v>1753</v>
      </c>
      <c r="AQ124" s="128">
        <v>0.64</v>
      </c>
      <c r="AR124" s="128"/>
      <c r="AS124" s="128"/>
      <c r="AT124" s="122"/>
      <c r="AU124" s="124" t="s">
        <v>250</v>
      </c>
      <c r="AV124" s="115">
        <f>VLOOKUP(J124,'[63]ТР нефть'!$J$28:$BP$638,39,0)</f>
        <v>600</v>
      </c>
      <c r="AW124" s="115" t="str">
        <f>VLOOKUP(J124,'[63]ТР нефть'!$J$28:$BP$638,40,0)</f>
        <v>ГК 45 1/8</v>
      </c>
      <c r="AX124" s="115">
        <f>VLOOKUP(J124,'[63]ТР нефть'!$J$28:$BP$638,41,0)</f>
        <v>1200</v>
      </c>
      <c r="AY124" s="115" t="str">
        <f>VLOOKUP(J124,'[63]ТР нефть'!$J$28:$BP$638,42,0)</f>
        <v>ГП</v>
      </c>
      <c r="AZ124" s="115">
        <f>VLOOKUP(J124,'[63]ТР нефть'!$J$28:$BP$638,43,0)</f>
        <v>1690</v>
      </c>
      <c r="BA124" s="115" t="str">
        <f>VLOOKUP(J124,'[63]ТР нефть'!$J$28:$BP$638,44,0)</f>
        <v>ЦКсОК 5/16</v>
      </c>
      <c r="BB124" s="115" t="str">
        <f>VLOOKUP(J124,'[63]ТР нефть'!$J$28:$BP$638,45,0)</f>
        <v>-</v>
      </c>
      <c r="BC124" s="115" t="str">
        <f>VLOOKUP(J124,'[63]ТР нефть'!$J$28:$BP$638,46,0)</f>
        <v>-</v>
      </c>
      <c r="BD124" s="115" t="str">
        <f>VLOOKUP(J124,'[63]ТР нефть'!$J$28:$BP$638,47,0)</f>
        <v>-</v>
      </c>
      <c r="BE124" s="115" t="str">
        <f>VLOOKUP(J124,'[63]ТР нефть'!$J$28:$BP$638,48,0)</f>
        <v>-</v>
      </c>
      <c r="BF124" s="115" t="str">
        <f>VLOOKUP(J124,'[63]ТР нефть'!$J$28:$BP$638,49,0)</f>
        <v>-</v>
      </c>
      <c r="BG124" s="115" t="str">
        <f>VLOOKUP(J124,'[63]ТР нефть'!$J$28:$BP$638,50,0)</f>
        <v>-</v>
      </c>
      <c r="BH124" s="115">
        <f>VLOOKUP(J124,'[63]ТР нефть'!$J$28:$BP$638,51,0)</f>
        <v>1700</v>
      </c>
      <c r="BI124" s="115" t="str">
        <f>VLOOKUP(J124,'[63]ТР нефть'!$J$28:$BP$638,52,0)</f>
        <v>закрыт</v>
      </c>
      <c r="BJ124" s="115" t="str">
        <f>IF(IFERROR(VLOOKUP(J124,'[63]ТР нефть'!$J$28:$BP$638,53,0),"-")=0,"-",IFERROR(VLOOKUP(J124,'[63]ТР нефть'!$J$28:$BP$638,53,0),"-"))</f>
        <v>-</v>
      </c>
      <c r="BK124" s="138" t="str">
        <f>IF(IFERROR(VLOOKUP(J124,'[63]ТР нефть'!$J$28:$BP$638,54,0),"-")=0,"-",IFERROR(VLOOKUP(J124,'[63]ТР нефть'!$J$28:$BP$638,54,0),"-"))</f>
        <v>-</v>
      </c>
      <c r="BL124" s="138" t="str">
        <f>IF(IFERROR(VLOOKUP(J124,'[63]ТР нефть'!$J$28:$BP$638,55,0),"-")=0,"-",IFERROR(VLOOKUP(J124,'[63]ТР нефть'!$J$28:$BP$638,55,0),"-"))</f>
        <v>-</v>
      </c>
      <c r="BM124" s="138" t="str">
        <f>IF(IFERROR(VLOOKUP(J124,'[63]ТР нефть'!$J$28:$BP$638,56,0),"-")=0,"-",IFERROR(VLOOKUP(J124,'[63]ТР нефть'!$J$28:$BP$638,56,0),"-"))</f>
        <v>-</v>
      </c>
      <c r="BN124" s="138" t="str">
        <f>IF(IFERROR(VLOOKUP(J124,'[63]ТР нефть'!$J$28:$BP$638,57,0),"-")=0,"-",IFERROR(VLOOKUP(J124,'[63]ТР нефть'!$J$28:$BP$638,57,0),"-"))</f>
        <v>-</v>
      </c>
      <c r="BO124" s="115" t="str">
        <f>IF(IFERROR(VLOOKUP(J124,'[63]ТР нефть'!$J$28:$BP$638,58,0),"-")=0,"-",IFERROR(VLOOKUP(J124,'[63]ТР нефть'!$J$28:$BP$638,58,0),"-"))</f>
        <v>-</v>
      </c>
      <c r="BP124" s="115" t="str">
        <f>IF(IFERROR(VLOOKUP(J124,'[63]ТР нефть'!$J$28:$BP$638,59,0),"-")=0,"-",IFERROR(VLOOKUP(J124,'[63]ТР нефть'!$J$28:$BP$638,59,0),"-"))</f>
        <v>-</v>
      </c>
      <c r="BQ124" s="138">
        <v>1730</v>
      </c>
      <c r="BR124" s="128">
        <v>1729.36</v>
      </c>
      <c r="BS124" s="115">
        <f t="shared" si="60"/>
        <v>0.64000000000010004</v>
      </c>
      <c r="BT124" s="128">
        <v>73</v>
      </c>
      <c r="BU124" s="128">
        <v>5.5</v>
      </c>
      <c r="BV124" s="127">
        <v>65</v>
      </c>
      <c r="BW124" s="127" t="s">
        <v>217</v>
      </c>
      <c r="BX124" s="127" t="s">
        <v>195</v>
      </c>
      <c r="BY124" s="139">
        <v>24</v>
      </c>
      <c r="BZ124" s="139">
        <v>0</v>
      </c>
      <c r="CA124" s="138">
        <v>50</v>
      </c>
      <c r="CB124" s="138">
        <v>60</v>
      </c>
      <c r="CC124" s="138">
        <v>49</v>
      </c>
      <c r="CD124" s="135">
        <v>45017</v>
      </c>
      <c r="CE124" s="138">
        <v>122.4</v>
      </c>
      <c r="CF124" s="138"/>
      <c r="CG124" s="138" t="str">
        <f>IF(CH124&lt;&gt;"","В работе","")</f>
        <v/>
      </c>
      <c r="CH124" s="138" t="s">
        <v>197</v>
      </c>
      <c r="CI124" s="127"/>
      <c r="CJ124" s="138"/>
      <c r="CK124" s="138"/>
      <c r="CL124" s="99"/>
      <c r="CM124" s="127"/>
      <c r="CN124" s="154">
        <v>94</v>
      </c>
      <c r="CO124" s="159">
        <f t="shared" si="61"/>
        <v>4.9833959999999999</v>
      </c>
      <c r="CP124" s="160">
        <v>5.9610000000000003</v>
      </c>
      <c r="CQ124" s="161">
        <v>0</v>
      </c>
      <c r="CR124" s="138">
        <v>269</v>
      </c>
      <c r="CS124" s="139"/>
      <c r="CT124" s="138"/>
      <c r="CU124" s="138">
        <f t="shared" si="62"/>
        <v>269</v>
      </c>
      <c r="CV124" s="115">
        <f t="shared" si="63"/>
        <v>53979.254307705029</v>
      </c>
      <c r="CW124" s="115" t="str">
        <f t="shared" si="64"/>
        <v/>
      </c>
      <c r="CX124" s="133">
        <f t="shared" si="65"/>
        <v>0.20989436619718307</v>
      </c>
      <c r="CY124" s="116"/>
      <c r="CZ124" s="131"/>
      <c r="DA124" s="145" t="str">
        <f t="shared" si="66"/>
        <v>Фон.</v>
      </c>
      <c r="DB124" s="146">
        <f t="shared" si="67"/>
        <v>4.9833959999999999</v>
      </c>
      <c r="DC124" s="142">
        <f t="shared" si="68"/>
        <v>5.9610000000000003</v>
      </c>
      <c r="DD124" s="119">
        <f t="shared" si="69"/>
        <v>0</v>
      </c>
      <c r="DE124" s="115">
        <f t="shared" si="70"/>
        <v>269</v>
      </c>
      <c r="DF124" s="121">
        <f t="shared" si="71"/>
        <v>0</v>
      </c>
      <c r="DG124" s="115">
        <f t="shared" si="72"/>
        <v>53979.254307705029</v>
      </c>
      <c r="DH124" s="115">
        <f t="shared" si="73"/>
        <v>94</v>
      </c>
      <c r="DI124" s="147"/>
      <c r="DJ124" s="111" t="s">
        <v>197</v>
      </c>
      <c r="DK124" s="112">
        <v>42060</v>
      </c>
      <c r="DL124" s="113">
        <f t="shared" ca="1" si="87"/>
        <v>3044</v>
      </c>
      <c r="DM124" s="114"/>
      <c r="DN124" s="114"/>
      <c r="DO124" s="114"/>
      <c r="DP124" s="114"/>
      <c r="DQ124" s="112">
        <v>42070</v>
      </c>
      <c r="DR124" s="114" t="s">
        <v>688</v>
      </c>
      <c r="DS124" s="114"/>
      <c r="DT124" s="115">
        <v>69</v>
      </c>
      <c r="DU124" s="116">
        <f t="shared" si="88"/>
        <v>0.18864999714888511</v>
      </c>
      <c r="DV124" s="117">
        <f t="shared" si="89"/>
        <v>8.4217886327193892</v>
      </c>
      <c r="DW124" s="118">
        <f t="shared" si="90"/>
        <v>10.073909847750466</v>
      </c>
      <c r="DX124" s="119">
        <f t="shared" si="74"/>
        <v>0</v>
      </c>
      <c r="DY124" s="115">
        <f t="shared" si="91"/>
        <v>454.60187033129932</v>
      </c>
      <c r="DZ124" s="117">
        <f t="shared" si="92"/>
        <v>3.4383926327193892</v>
      </c>
      <c r="EA124" s="120">
        <f t="shared" si="92"/>
        <v>4.1129098477504655</v>
      </c>
      <c r="EB124" s="119">
        <f t="shared" si="92"/>
        <v>0</v>
      </c>
      <c r="EC124" s="121">
        <f t="shared" si="93"/>
        <v>185.60187033129932</v>
      </c>
      <c r="ED124" s="122"/>
      <c r="EE124" s="145">
        <v>65</v>
      </c>
      <c r="EF124" s="115">
        <v>50</v>
      </c>
      <c r="EG124" s="115">
        <v>60</v>
      </c>
      <c r="EH124" s="115">
        <v>49</v>
      </c>
      <c r="EI124" s="128" t="s">
        <v>195</v>
      </c>
      <c r="EJ124" s="121">
        <v>24</v>
      </c>
      <c r="EK124" s="121">
        <v>0</v>
      </c>
      <c r="EL124" s="162">
        <v>4.9833959999999999</v>
      </c>
      <c r="EM124" s="142">
        <v>5.9610000000000003</v>
      </c>
      <c r="EN124" s="119">
        <v>0</v>
      </c>
      <c r="EO124" s="115">
        <v>269</v>
      </c>
      <c r="EP124" s="115">
        <v>53979.254307705029</v>
      </c>
      <c r="EQ124" s="115">
        <v>0</v>
      </c>
      <c r="ER124" s="115">
        <v>0</v>
      </c>
      <c r="ES124" s="115">
        <v>94</v>
      </c>
      <c r="ET124" s="150">
        <v>0.20989436619718307</v>
      </c>
      <c r="EU124" s="145">
        <f t="shared" si="75"/>
        <v>65</v>
      </c>
      <c r="EV124" s="115">
        <f t="shared" si="76"/>
        <v>50</v>
      </c>
      <c r="EW124" s="115">
        <f t="shared" si="76"/>
        <v>60</v>
      </c>
      <c r="EX124" s="115">
        <f t="shared" si="76"/>
        <v>49</v>
      </c>
      <c r="EY124" s="115" t="str">
        <f t="shared" si="77"/>
        <v>Постоянный</v>
      </c>
      <c r="EZ124" s="115">
        <f t="shared" si="77"/>
        <v>24</v>
      </c>
      <c r="FA124" s="115">
        <f t="shared" si="77"/>
        <v>0</v>
      </c>
      <c r="FB124" s="149">
        <f t="shared" si="78"/>
        <v>4.9833959999999999</v>
      </c>
      <c r="FC124" s="142">
        <f t="shared" si="78"/>
        <v>5.9610000000000003</v>
      </c>
      <c r="FD124" s="119">
        <f t="shared" si="78"/>
        <v>0</v>
      </c>
      <c r="FE124" s="121">
        <f t="shared" si="78"/>
        <v>269</v>
      </c>
      <c r="FF124" s="121">
        <f t="shared" si="94"/>
        <v>53979.254307705029</v>
      </c>
      <c r="FG124" s="121">
        <f t="shared" si="79"/>
        <v>0</v>
      </c>
      <c r="FH124" s="121">
        <f t="shared" si="95"/>
        <v>0</v>
      </c>
      <c r="FI124" s="121">
        <f t="shared" si="97"/>
        <v>94</v>
      </c>
      <c r="FJ124" s="144">
        <f t="shared" si="80"/>
        <v>0.20989436619718307</v>
      </c>
      <c r="FK124" s="132">
        <f t="shared" si="81"/>
        <v>0</v>
      </c>
      <c r="FL124" s="115">
        <f t="shared" si="81"/>
        <v>0</v>
      </c>
      <c r="FM124" s="115">
        <f t="shared" si="81"/>
        <v>0</v>
      </c>
      <c r="FN124" s="115">
        <f t="shared" si="58"/>
        <v>0</v>
      </c>
      <c r="FO124" s="115">
        <f t="shared" si="57"/>
        <v>0</v>
      </c>
      <c r="FP124" s="115">
        <f t="shared" si="57"/>
        <v>0</v>
      </c>
      <c r="FQ124" s="149">
        <f t="shared" si="57"/>
        <v>0</v>
      </c>
      <c r="FR124" s="142">
        <f t="shared" si="57"/>
        <v>0</v>
      </c>
      <c r="FS124" s="119">
        <f t="shared" si="57"/>
        <v>0</v>
      </c>
      <c r="FT124" s="121">
        <f t="shared" si="57"/>
        <v>0</v>
      </c>
      <c r="FU124" s="121">
        <f t="shared" si="82"/>
        <v>0</v>
      </c>
      <c r="FV124" s="121">
        <f t="shared" si="82"/>
        <v>0</v>
      </c>
      <c r="FW124" s="121">
        <f t="shared" si="83"/>
        <v>0</v>
      </c>
      <c r="FX124" s="121">
        <f t="shared" si="84"/>
        <v>0</v>
      </c>
      <c r="FY124" s="144">
        <f t="shared" si="84"/>
        <v>0</v>
      </c>
      <c r="FZ124" s="145"/>
      <c r="GA124" s="151" t="s">
        <v>427</v>
      </c>
      <c r="GB124" s="145"/>
      <c r="GC124" s="151" t="s">
        <v>652</v>
      </c>
      <c r="GD124" s="997" t="s">
        <v>416</v>
      </c>
      <c r="GE124" s="1004"/>
      <c r="GF124" s="1004">
        <v>0</v>
      </c>
      <c r="GG124" s="1004"/>
      <c r="GH124" s="1004">
        <v>0</v>
      </c>
      <c r="GI124" s="145"/>
      <c r="GJ124" s="996">
        <v>0</v>
      </c>
      <c r="GK124" s="145"/>
      <c r="GL124" s="996">
        <v>0</v>
      </c>
      <c r="GM124" s="1005"/>
      <c r="GN124" s="996">
        <v>0</v>
      </c>
      <c r="GO124" s="1006"/>
      <c r="GP124" s="996">
        <v>0</v>
      </c>
      <c r="GQ124" s="1006"/>
      <c r="GR124" s="996">
        <v>0</v>
      </c>
      <c r="GS124" s="1006"/>
      <c r="GT124" s="996">
        <v>0</v>
      </c>
      <c r="GU124" s="1006"/>
      <c r="GV124" s="996">
        <v>0</v>
      </c>
      <c r="GW124" s="1006"/>
      <c r="GX124" s="996">
        <v>0</v>
      </c>
      <c r="GY124" s="1006"/>
      <c r="GZ124" s="996">
        <v>0</v>
      </c>
      <c r="HA124" s="1006"/>
      <c r="HB124" s="996">
        <v>0</v>
      </c>
      <c r="HC124" s="1006" t="s">
        <v>204</v>
      </c>
      <c r="HD124" s="996">
        <v>0</v>
      </c>
      <c r="HE124" s="1006"/>
      <c r="HF124" s="996">
        <v>0</v>
      </c>
      <c r="HG124" s="1006" t="s">
        <v>223</v>
      </c>
      <c r="HH124" s="996">
        <v>-6.9776847007999985</v>
      </c>
      <c r="HI124" s="1006"/>
      <c r="HJ124" s="996">
        <v>0</v>
      </c>
      <c r="HK124" s="1006"/>
      <c r="HL124" s="996">
        <v>-0.51922889919999982</v>
      </c>
      <c r="HM124" s="1006" t="s">
        <v>199</v>
      </c>
      <c r="HN124" s="996">
        <v>-3.104557060000003</v>
      </c>
      <c r="HO124" s="1006" t="s">
        <v>204</v>
      </c>
      <c r="HP124" s="996">
        <v>2.2810803400000026</v>
      </c>
      <c r="HQ124" s="1006"/>
      <c r="HR124" s="996">
        <v>0</v>
      </c>
      <c r="HS124" s="1006"/>
      <c r="HT124" s="996">
        <v>0</v>
      </c>
      <c r="HU124" s="1006" t="s">
        <v>223</v>
      </c>
      <c r="HV124" s="996">
        <v>-2.0742815279999984</v>
      </c>
      <c r="HW124" s="1006"/>
      <c r="HX124" s="996">
        <v>0</v>
      </c>
      <c r="HY124" s="1006"/>
      <c r="HZ124" s="996">
        <v>0.17114424799999917</v>
      </c>
      <c r="IA124" s="1006"/>
      <c r="IB124" s="996">
        <v>0</v>
      </c>
      <c r="IC124" s="1006"/>
      <c r="ID124" s="996">
        <v>0</v>
      </c>
      <c r="IE124" s="1006"/>
      <c r="IF124" s="996">
        <v>-0.28566120000000161</v>
      </c>
      <c r="IG124" s="1006"/>
      <c r="IH124" s="996">
        <v>0.47829232000000133</v>
      </c>
      <c r="II124" s="1006"/>
      <c r="IJ124" s="996">
        <v>0.8631532799999988</v>
      </c>
      <c r="IK124" s="1006"/>
      <c r="IL124" s="996">
        <v>-0.62098079999999811</v>
      </c>
      <c r="IM124" s="1006" t="s">
        <v>199</v>
      </c>
      <c r="IN124" s="996">
        <v>3.4593679999999978</v>
      </c>
      <c r="IO124" s="1006"/>
      <c r="IP124" s="996">
        <v>0</v>
      </c>
      <c r="IQ124" s="1006"/>
      <c r="IR124" s="996">
        <v>0</v>
      </c>
      <c r="IS124" s="1006"/>
      <c r="IT124" s="996">
        <v>0</v>
      </c>
      <c r="IU124" s="1006" t="s">
        <v>204</v>
      </c>
      <c r="IV124" s="996">
        <v>1.4563120000000005</v>
      </c>
      <c r="IW124" s="1006" t="s">
        <v>204</v>
      </c>
      <c r="IX124" s="996">
        <v>9.4384399999999999</v>
      </c>
      <c r="IY124" s="1006"/>
      <c r="IZ124" s="996">
        <v>0</v>
      </c>
      <c r="JA124" s="1006"/>
      <c r="JB124" s="996">
        <v>0</v>
      </c>
      <c r="JC124" s="1006"/>
      <c r="JD124" s="996">
        <v>0</v>
      </c>
      <c r="JE124" s="1006"/>
      <c r="JF124" s="996">
        <v>0</v>
      </c>
      <c r="JG124" s="1006"/>
      <c r="JH124" s="996">
        <v>0</v>
      </c>
      <c r="JI124" s="1006"/>
      <c r="JJ124" s="996">
        <v>0</v>
      </c>
      <c r="JK124" s="1007"/>
      <c r="JL124" s="1007">
        <v>-1.0199199999999999</v>
      </c>
      <c r="JM124" s="1007"/>
      <c r="JN124" s="1007">
        <v>0</v>
      </c>
      <c r="JO124" s="1008"/>
      <c r="JP124" s="1007">
        <v>0</v>
      </c>
      <c r="JQ124" s="1008">
        <v>0</v>
      </c>
      <c r="JR124" s="1007">
        <v>0</v>
      </c>
      <c r="JS124" s="1008">
        <v>0</v>
      </c>
      <c r="JT124" s="1007">
        <v>-0.88798916800000005</v>
      </c>
      <c r="JU124" s="1008"/>
      <c r="JV124" s="1007">
        <v>0</v>
      </c>
      <c r="JW124" s="1008" t="s">
        <v>197</v>
      </c>
      <c r="JX124" s="1007">
        <v>0</v>
      </c>
      <c r="JY124" s="1008"/>
      <c r="JZ124" s="1007">
        <v>0</v>
      </c>
      <c r="KA124" s="1008"/>
      <c r="KB124" s="1007">
        <v>0</v>
      </c>
      <c r="KC124" s="1008"/>
      <c r="KD124" s="1007">
        <v>0</v>
      </c>
      <c r="KE124" s="1008"/>
      <c r="KF124" s="1007">
        <v>0</v>
      </c>
      <c r="KG124" s="1008" t="s">
        <v>204</v>
      </c>
      <c r="KH124" s="1007">
        <v>-3.5097052319999991</v>
      </c>
      <c r="KI124" s="1008"/>
      <c r="KJ124" s="1007">
        <v>0</v>
      </c>
      <c r="KK124" s="1008"/>
      <c r="KL124" s="1007">
        <v>0</v>
      </c>
      <c r="KM124" s="1008"/>
      <c r="KN124" s="1007">
        <v>0</v>
      </c>
      <c r="KO124" s="1008"/>
      <c r="KP124" s="1007">
        <v>0</v>
      </c>
      <c r="KQ124" s="1008">
        <v>0</v>
      </c>
      <c r="KR124" s="1007">
        <v>0</v>
      </c>
      <c r="KS124" s="1008" t="s">
        <v>204</v>
      </c>
      <c r="KT124" s="1007">
        <v>-0.83365920000000049</v>
      </c>
      <c r="KU124" s="1008" t="s">
        <v>206</v>
      </c>
      <c r="KV124" s="1007">
        <v>-0.83365920000000049</v>
      </c>
      <c r="KW124" s="1008">
        <v>0</v>
      </c>
      <c r="KX124" s="1007">
        <v>0</v>
      </c>
      <c r="KY124" s="1008">
        <v>0</v>
      </c>
      <c r="KZ124" s="1007">
        <v>0</v>
      </c>
      <c r="LA124" s="1008">
        <v>0</v>
      </c>
      <c r="LB124" s="1007">
        <v>0</v>
      </c>
      <c r="LC124" s="1008" t="s">
        <v>204</v>
      </c>
      <c r="LD124" s="1007">
        <v>-0.8336591999999996</v>
      </c>
      <c r="LE124" s="1008">
        <v>0</v>
      </c>
      <c r="LF124" s="1007">
        <v>0</v>
      </c>
      <c r="LG124" s="1008">
        <v>0</v>
      </c>
      <c r="LH124" s="1007">
        <v>0</v>
      </c>
      <c r="LI124" s="1008">
        <v>0</v>
      </c>
      <c r="LJ124" s="1007">
        <v>0</v>
      </c>
      <c r="LK124" s="1008" t="s">
        <v>204</v>
      </c>
      <c r="LL124" s="1007">
        <v>-0.666927363</v>
      </c>
      <c r="LM124" s="1008">
        <v>0</v>
      </c>
      <c r="LN124" s="1007">
        <v>0</v>
      </c>
      <c r="LO124" s="1008">
        <v>0</v>
      </c>
      <c r="LP124" s="1007">
        <v>0</v>
      </c>
      <c r="LQ124" s="1008">
        <v>0</v>
      </c>
      <c r="LR124" s="1007">
        <v>0</v>
      </c>
      <c r="LS124" s="1008" t="s">
        <v>204</v>
      </c>
      <c r="LT124" s="1007">
        <v>1.6673184000000001</v>
      </c>
      <c r="LU124" s="1008">
        <v>0</v>
      </c>
      <c r="LV124" s="1007">
        <v>0</v>
      </c>
      <c r="LW124" s="1008">
        <v>0</v>
      </c>
      <c r="LX124" s="1007">
        <v>0</v>
      </c>
      <c r="LY124" s="1009">
        <v>0</v>
      </c>
      <c r="LZ124" s="1010">
        <v>0.14847360000000001</v>
      </c>
      <c r="MA124" s="1011">
        <v>0</v>
      </c>
      <c r="MB124" s="1012">
        <v>6.4248000000000003</v>
      </c>
      <c r="MC124" s="995"/>
      <c r="MD124" s="996"/>
      <c r="ME124" s="997" t="s">
        <v>416</v>
      </c>
      <c r="MF124" s="997"/>
      <c r="MG124" s="998"/>
      <c r="NR124" s="1000"/>
      <c r="NS124" s="1000"/>
      <c r="NT124" s="1001"/>
      <c r="NU124" s="1000"/>
      <c r="NV124" s="1001"/>
      <c r="NX124" s="1002"/>
      <c r="NZ124" s="1001"/>
      <c r="OA124" s="1001"/>
      <c r="OC124" s="1003"/>
      <c r="OD124" s="1003"/>
      <c r="OE124" s="1001"/>
      <c r="OF124" s="1003"/>
      <c r="OG124" s="1003"/>
      <c r="QX124" s="1000">
        <f t="shared" si="96"/>
        <v>44</v>
      </c>
      <c r="ASU124" s="999" t="s">
        <v>292</v>
      </c>
    </row>
    <row r="125" spans="1:466 1191:1191" ht="21" customHeight="1" x14ac:dyDescent="0.25">
      <c r="A125" s="982" t="str">
        <f t="shared" si="59"/>
        <v>1034-1</v>
      </c>
      <c r="B125" s="124">
        <f>SUBTOTAL(103,$J$29:J125)</f>
        <v>97</v>
      </c>
      <c r="C125" s="126">
        <v>45068</v>
      </c>
      <c r="D125" s="124" t="s">
        <v>176</v>
      </c>
      <c r="E125" s="127" t="s">
        <v>177</v>
      </c>
      <c r="F125" s="128" t="s">
        <v>177</v>
      </c>
      <c r="G125" s="127" t="s">
        <v>178</v>
      </c>
      <c r="H125" s="127" t="s">
        <v>408</v>
      </c>
      <c r="I125" s="127" t="s">
        <v>684</v>
      </c>
      <c r="J125" s="129" t="s">
        <v>689</v>
      </c>
      <c r="K125" s="127" t="s">
        <v>686</v>
      </c>
      <c r="L125" s="130">
        <v>39025</v>
      </c>
      <c r="M125" s="127" t="s">
        <v>230</v>
      </c>
      <c r="N125" s="127" t="s">
        <v>465</v>
      </c>
      <c r="O125" s="127" t="s">
        <v>185</v>
      </c>
      <c r="P125" s="127" t="s">
        <v>186</v>
      </c>
      <c r="Q125" s="85" t="str">
        <f t="shared" si="85"/>
        <v/>
      </c>
      <c r="R125" s="130"/>
      <c r="S125" s="128" t="s">
        <v>156</v>
      </c>
      <c r="T125" s="131"/>
      <c r="U125" s="132">
        <v>203</v>
      </c>
      <c r="V125" s="121">
        <v>218.2</v>
      </c>
      <c r="W125" s="116">
        <v>0.98</v>
      </c>
      <c r="X125" s="116">
        <v>1.66</v>
      </c>
      <c r="Y125" s="116">
        <f t="shared" si="86"/>
        <v>1.0627123072903057</v>
      </c>
      <c r="Z125" s="133">
        <v>1.454</v>
      </c>
      <c r="AA125" s="133">
        <v>0.83599999999999997</v>
      </c>
      <c r="AB125" s="133">
        <v>0.72</v>
      </c>
      <c r="AC125" s="121">
        <v>34.299999999999997</v>
      </c>
      <c r="AD125" s="134">
        <v>1.17</v>
      </c>
      <c r="AE125" s="124">
        <v>139.69999999999999</v>
      </c>
      <c r="AF125" s="128">
        <v>7.72</v>
      </c>
      <c r="AG125" s="128">
        <v>1947</v>
      </c>
      <c r="AH125" s="127">
        <v>2400</v>
      </c>
      <c r="AI125" s="127">
        <v>2400</v>
      </c>
      <c r="AJ125" s="135"/>
      <c r="AK125" s="128"/>
      <c r="AL125" s="131"/>
      <c r="AM125" s="124" t="s">
        <v>232</v>
      </c>
      <c r="AN125" s="136" t="s">
        <v>690</v>
      </c>
      <c r="AO125" s="137">
        <v>17.25</v>
      </c>
      <c r="AP125" s="128">
        <v>1947</v>
      </c>
      <c r="AQ125" s="128">
        <v>97.4</v>
      </c>
      <c r="AR125" s="128"/>
      <c r="AS125" s="128"/>
      <c r="AT125" s="122"/>
      <c r="AU125" s="124" t="s">
        <v>250</v>
      </c>
      <c r="AV125" s="115">
        <f>VLOOKUP(J125,'[63]ТР нефть'!$J$28:$BP$638,39,0)</f>
        <v>597</v>
      </c>
      <c r="AW125" s="115" t="str">
        <f>VLOOKUP(J125,'[63]ТР нефть'!$J$28:$BP$638,40,0)</f>
        <v>ГК 45 1/8</v>
      </c>
      <c r="AX125" s="115">
        <f>VLOOKUP(J125,'[63]ТР нефть'!$J$28:$BP$638,41,0)</f>
        <v>1194</v>
      </c>
      <c r="AY125" s="115" t="str">
        <f>VLOOKUP(J125,'[63]ТР нефть'!$J$28:$BP$638,42,0)</f>
        <v>ГК 65 1/8</v>
      </c>
      <c r="AZ125" s="115">
        <f>VLOOKUP(J125,'[63]ТР нефть'!$J$28:$BP$638,43,0)</f>
        <v>1700</v>
      </c>
      <c r="BA125" s="115" t="str">
        <f>VLOOKUP(J125,'[63]ТР нефть'!$J$28:$BP$638,44,0)</f>
        <v>ЦКсОК 5/16</v>
      </c>
      <c r="BB125" s="115" t="str">
        <f>VLOOKUP(J125,'[63]ТР нефть'!$J$28:$BP$638,45,0)</f>
        <v>-</v>
      </c>
      <c r="BC125" s="115" t="str">
        <f>VLOOKUP(J125,'[63]ТР нефть'!$J$28:$BP$638,46,0)</f>
        <v>-</v>
      </c>
      <c r="BD125" s="115" t="str">
        <f>VLOOKUP(J125,'[63]ТР нефть'!$J$28:$BP$638,47,0)</f>
        <v>-</v>
      </c>
      <c r="BE125" s="115" t="str">
        <f>VLOOKUP(J125,'[63]ТР нефть'!$J$28:$BP$638,48,0)</f>
        <v>-</v>
      </c>
      <c r="BF125" s="115" t="str">
        <f>VLOOKUP(J125,'[63]ТР нефть'!$J$28:$BP$638,49,0)</f>
        <v>-</v>
      </c>
      <c r="BG125" s="115" t="str">
        <f>VLOOKUP(J125,'[63]ТР нефть'!$J$28:$BP$638,50,0)</f>
        <v>-</v>
      </c>
      <c r="BH125" s="115">
        <f>VLOOKUP(J125,'[63]ТР нефть'!$J$28:$BP$638,51,0)</f>
        <v>1711</v>
      </c>
      <c r="BI125" s="115" t="str">
        <f>VLOOKUP(J125,'[63]ТР нефть'!$J$28:$BP$638,52,0)</f>
        <v>закрыт</v>
      </c>
      <c r="BJ125" s="115" t="str">
        <f>IF(IFERROR(VLOOKUP(J125,'[63]ТР нефть'!$J$28:$BP$638,53,0),"-")=0,"-",IFERROR(VLOOKUP(J125,'[63]ТР нефть'!$J$28:$BP$638,53,0),"-"))</f>
        <v>-</v>
      </c>
      <c r="BK125" s="138" t="str">
        <f>IF(IFERROR(VLOOKUP(J125,'[63]ТР нефть'!$J$28:$BP$638,54,0),"-")=0,"-",IFERROR(VLOOKUP(J125,'[63]ТР нефть'!$J$28:$BP$638,54,0),"-"))</f>
        <v>-</v>
      </c>
      <c r="BL125" s="138" t="str">
        <f>IF(IFERROR(VLOOKUP(J125,'[63]ТР нефть'!$J$28:$BP$638,55,0),"-")=0,"-",IFERROR(VLOOKUP(J125,'[63]ТР нефть'!$J$28:$BP$638,55,0),"-"))</f>
        <v>-</v>
      </c>
      <c r="BM125" s="138" t="str">
        <f>IF(IFERROR(VLOOKUP(J125,'[63]ТР нефть'!$J$28:$BP$638,56,0),"-")=0,"-",IFERROR(VLOOKUP(J125,'[63]ТР нефть'!$J$28:$BP$638,56,0),"-"))</f>
        <v>-</v>
      </c>
      <c r="BN125" s="138" t="str">
        <f>IF(IFERROR(VLOOKUP(J125,'[63]ТР нефть'!$J$28:$BP$638,57,0),"-")=0,"-",IFERROR(VLOOKUP(J125,'[63]ТР нефть'!$J$28:$BP$638,57,0),"-"))</f>
        <v>-</v>
      </c>
      <c r="BO125" s="115" t="str">
        <f>IF(IFERROR(VLOOKUP(J125,'[63]ТР нефть'!$J$28:$BP$638,58,0),"-")=0,"-",IFERROR(VLOOKUP(J125,'[63]ТР нефть'!$J$28:$BP$638,58,0),"-"))</f>
        <v>-</v>
      </c>
      <c r="BP125" s="115" t="str">
        <f>IF(IFERROR(VLOOKUP(J125,'[63]ТР нефть'!$J$28:$BP$638,59,0),"-")=0,"-",IFERROR(VLOOKUP(J125,'[63]ТР нефть'!$J$28:$BP$638,59,0),"-"))</f>
        <v>-</v>
      </c>
      <c r="BQ125" s="138">
        <v>1960</v>
      </c>
      <c r="BR125" s="128">
        <v>1848.26</v>
      </c>
      <c r="BS125" s="115">
        <f t="shared" si="60"/>
        <v>111.74000000000001</v>
      </c>
      <c r="BT125" s="128">
        <v>73</v>
      </c>
      <c r="BU125" s="128">
        <v>5.5</v>
      </c>
      <c r="BV125" s="127">
        <v>18</v>
      </c>
      <c r="BW125" s="127" t="s">
        <v>217</v>
      </c>
      <c r="BX125" s="127" t="s">
        <v>195</v>
      </c>
      <c r="BY125" s="139">
        <v>24</v>
      </c>
      <c r="BZ125" s="139">
        <v>0</v>
      </c>
      <c r="CA125" s="138">
        <v>28</v>
      </c>
      <c r="CB125" s="138">
        <v>32</v>
      </c>
      <c r="CC125" s="138">
        <v>27</v>
      </c>
      <c r="CD125" s="135">
        <v>45017</v>
      </c>
      <c r="CE125" s="138">
        <v>91.5</v>
      </c>
      <c r="CF125" s="138"/>
      <c r="CG125" s="138" t="str">
        <f>IF(CH125&lt;&gt;"","В работе","")</f>
        <v/>
      </c>
      <c r="CH125" s="138" t="s">
        <v>197</v>
      </c>
      <c r="CI125" s="127"/>
      <c r="CJ125" s="138"/>
      <c r="CK125" s="138"/>
      <c r="CL125" s="99"/>
      <c r="CM125" s="127"/>
      <c r="CN125" s="138">
        <v>60</v>
      </c>
      <c r="CO125" s="159">
        <f t="shared" si="61"/>
        <v>5.6881440000000003</v>
      </c>
      <c r="CP125" s="160">
        <v>8.4</v>
      </c>
      <c r="CQ125" s="161">
        <v>19</v>
      </c>
      <c r="CR125" s="138">
        <v>17.2</v>
      </c>
      <c r="CS125" s="139"/>
      <c r="CT125" s="138"/>
      <c r="CU125" s="138">
        <f t="shared" si="62"/>
        <v>17.2</v>
      </c>
      <c r="CV125" s="115">
        <f t="shared" si="63"/>
        <v>3023.8334331901583</v>
      </c>
      <c r="CW125" s="115" t="str">
        <f t="shared" si="64"/>
        <v/>
      </c>
      <c r="CX125" s="133">
        <f t="shared" si="65"/>
        <v>0.26666666666666666</v>
      </c>
      <c r="CY125" s="116"/>
      <c r="CZ125" s="131"/>
      <c r="DA125" s="145" t="str">
        <f t="shared" si="66"/>
        <v>Фон.</v>
      </c>
      <c r="DB125" s="146">
        <f t="shared" si="67"/>
        <v>5.6881440000000003</v>
      </c>
      <c r="DC125" s="142">
        <f t="shared" si="68"/>
        <v>8.4</v>
      </c>
      <c r="DD125" s="119">
        <f t="shared" si="69"/>
        <v>19</v>
      </c>
      <c r="DE125" s="115">
        <f t="shared" si="70"/>
        <v>17.2</v>
      </c>
      <c r="DF125" s="121">
        <f t="shared" si="71"/>
        <v>0</v>
      </c>
      <c r="DG125" s="115">
        <f t="shared" si="72"/>
        <v>3023.8334331901583</v>
      </c>
      <c r="DH125" s="115">
        <f t="shared" si="73"/>
        <v>60</v>
      </c>
      <c r="DI125" s="147"/>
      <c r="DJ125" s="111" t="s">
        <v>197</v>
      </c>
      <c r="DK125" s="112">
        <v>43802.083333333336</v>
      </c>
      <c r="DL125" s="113">
        <f t="shared" ca="1" si="87"/>
        <v>1301.9166666666642</v>
      </c>
      <c r="DM125" s="114"/>
      <c r="DN125" s="114"/>
      <c r="DO125" s="114"/>
      <c r="DP125" s="114"/>
      <c r="DQ125" s="112">
        <v>41476</v>
      </c>
      <c r="DR125" s="114" t="s">
        <v>691</v>
      </c>
      <c r="DS125" s="114"/>
      <c r="DT125" s="115">
        <v>59</v>
      </c>
      <c r="DU125" s="116">
        <f t="shared" si="88"/>
        <v>0.26513739545997611</v>
      </c>
      <c r="DV125" s="117">
        <f t="shared" si="89"/>
        <v>5.8350642580645173</v>
      </c>
      <c r="DW125" s="118">
        <f t="shared" si="90"/>
        <v>8.616965352449224</v>
      </c>
      <c r="DX125" s="119">
        <f t="shared" si="74"/>
        <v>19</v>
      </c>
      <c r="DY125" s="115">
        <f t="shared" si="91"/>
        <v>17.644262388348412</v>
      </c>
      <c r="DZ125" s="117">
        <f t="shared" si="92"/>
        <v>0.14692025806451703</v>
      </c>
      <c r="EA125" s="120">
        <f t="shared" si="92"/>
        <v>0.21696535244922366</v>
      </c>
      <c r="EB125" s="119">
        <f t="shared" si="92"/>
        <v>0</v>
      </c>
      <c r="EC125" s="121">
        <f t="shared" si="93"/>
        <v>0.44426238834841314</v>
      </c>
      <c r="ED125" s="122"/>
      <c r="EE125" s="145">
        <v>18</v>
      </c>
      <c r="EF125" s="115">
        <v>28</v>
      </c>
      <c r="EG125" s="115">
        <v>32</v>
      </c>
      <c r="EH125" s="115">
        <v>27</v>
      </c>
      <c r="EI125" s="128" t="s">
        <v>195</v>
      </c>
      <c r="EJ125" s="121">
        <v>24</v>
      </c>
      <c r="EK125" s="121">
        <v>0</v>
      </c>
      <c r="EL125" s="162">
        <v>5.7</v>
      </c>
      <c r="EM125" s="142">
        <v>8.4</v>
      </c>
      <c r="EN125" s="119">
        <v>19</v>
      </c>
      <c r="EO125" s="115">
        <v>17.2</v>
      </c>
      <c r="EP125" s="115">
        <v>3023.8334331901583</v>
      </c>
      <c r="EQ125" s="115">
        <v>0</v>
      </c>
      <c r="ER125" s="115">
        <v>0</v>
      </c>
      <c r="ES125" s="115">
        <v>60</v>
      </c>
      <c r="ET125" s="150">
        <v>0.24126984126984125</v>
      </c>
      <c r="EU125" s="145">
        <f t="shared" si="75"/>
        <v>18</v>
      </c>
      <c r="EV125" s="115">
        <f t="shared" si="76"/>
        <v>28</v>
      </c>
      <c r="EW125" s="115">
        <f t="shared" si="76"/>
        <v>32</v>
      </c>
      <c r="EX125" s="115">
        <f t="shared" si="76"/>
        <v>27</v>
      </c>
      <c r="EY125" s="115" t="str">
        <f t="shared" ref="EY125:FA156" si="98">BX125</f>
        <v>Постоянный</v>
      </c>
      <c r="EZ125" s="115">
        <f t="shared" si="98"/>
        <v>24</v>
      </c>
      <c r="FA125" s="115">
        <f t="shared" si="98"/>
        <v>0</v>
      </c>
      <c r="FB125" s="149">
        <f t="shared" si="78"/>
        <v>5.6881440000000003</v>
      </c>
      <c r="FC125" s="142">
        <f t="shared" si="78"/>
        <v>8.4</v>
      </c>
      <c r="FD125" s="119">
        <f t="shared" si="78"/>
        <v>19</v>
      </c>
      <c r="FE125" s="121">
        <f t="shared" si="78"/>
        <v>17.2</v>
      </c>
      <c r="FF125" s="121">
        <f t="shared" si="94"/>
        <v>3023.8334331901583</v>
      </c>
      <c r="FG125" s="121">
        <f t="shared" si="79"/>
        <v>0</v>
      </c>
      <c r="FH125" s="121">
        <f t="shared" si="95"/>
        <v>0</v>
      </c>
      <c r="FI125" s="121">
        <f t="shared" si="97"/>
        <v>60</v>
      </c>
      <c r="FJ125" s="144">
        <f t="shared" si="80"/>
        <v>0.26666666666666666</v>
      </c>
      <c r="FK125" s="132">
        <f t="shared" si="81"/>
        <v>0</v>
      </c>
      <c r="FL125" s="115">
        <f t="shared" si="81"/>
        <v>0</v>
      </c>
      <c r="FM125" s="115">
        <f t="shared" si="81"/>
        <v>0</v>
      </c>
      <c r="FN125" s="115">
        <f t="shared" si="58"/>
        <v>0</v>
      </c>
      <c r="FO125" s="115">
        <f t="shared" si="57"/>
        <v>0</v>
      </c>
      <c r="FP125" s="115">
        <f t="shared" si="57"/>
        <v>0</v>
      </c>
      <c r="FQ125" s="149">
        <f t="shared" si="57"/>
        <v>-1.1855999999999867E-2</v>
      </c>
      <c r="FR125" s="142">
        <f t="shared" si="57"/>
        <v>0</v>
      </c>
      <c r="FS125" s="119">
        <f t="shared" si="57"/>
        <v>0</v>
      </c>
      <c r="FT125" s="121">
        <f t="shared" si="57"/>
        <v>0</v>
      </c>
      <c r="FU125" s="121">
        <f t="shared" si="82"/>
        <v>0</v>
      </c>
      <c r="FV125" s="121">
        <f t="shared" si="82"/>
        <v>0</v>
      </c>
      <c r="FW125" s="121">
        <f t="shared" si="83"/>
        <v>0</v>
      </c>
      <c r="FX125" s="121">
        <f t="shared" si="84"/>
        <v>0</v>
      </c>
      <c r="FY125" s="144">
        <f t="shared" si="84"/>
        <v>2.5396825396825418E-2</v>
      </c>
      <c r="FZ125" s="145"/>
      <c r="GA125" s="151" t="s">
        <v>585</v>
      </c>
      <c r="GB125" s="145" t="s">
        <v>199</v>
      </c>
      <c r="GC125" s="151" t="s">
        <v>415</v>
      </c>
      <c r="GD125" s="997" t="s">
        <v>416</v>
      </c>
      <c r="GE125" s="1004" t="s">
        <v>199</v>
      </c>
      <c r="GF125" s="1004">
        <v>-2.2872959999999996</v>
      </c>
      <c r="GG125" s="1004"/>
      <c r="GH125" s="1004">
        <v>0</v>
      </c>
      <c r="GI125" s="145"/>
      <c r="GJ125" s="996">
        <v>0</v>
      </c>
      <c r="GK125" s="145"/>
      <c r="GL125" s="996">
        <v>0</v>
      </c>
      <c r="GM125" s="1005"/>
      <c r="GN125" s="996">
        <v>0</v>
      </c>
      <c r="GO125" s="1006" t="s">
        <v>204</v>
      </c>
      <c r="GP125" s="996">
        <v>2.7208497799999991</v>
      </c>
      <c r="GQ125" s="1006"/>
      <c r="GR125" s="996">
        <v>0.76192621999999988</v>
      </c>
      <c r="GS125" s="1006"/>
      <c r="GT125" s="996">
        <v>0</v>
      </c>
      <c r="GU125" s="1006"/>
      <c r="GV125" s="996">
        <v>0</v>
      </c>
      <c r="GW125" s="1006"/>
      <c r="GX125" s="996">
        <v>0</v>
      </c>
      <c r="GY125" s="1006" t="s">
        <v>146</v>
      </c>
      <c r="GZ125" s="996">
        <v>-6.0240613399999994</v>
      </c>
      <c r="HA125" s="1006" t="s">
        <v>204</v>
      </c>
      <c r="HB125" s="996">
        <v>-1.8886786600000001</v>
      </c>
      <c r="HC125" s="1006" t="s">
        <v>204</v>
      </c>
      <c r="HD125" s="996">
        <v>6.3890555959999995</v>
      </c>
      <c r="HE125" s="1006"/>
      <c r="HF125" s="996">
        <v>0</v>
      </c>
      <c r="HG125" s="1006"/>
      <c r="HH125" s="996">
        <v>0</v>
      </c>
      <c r="HI125" s="1006" t="s">
        <v>221</v>
      </c>
      <c r="HJ125" s="996">
        <v>-4.9999780599999992</v>
      </c>
      <c r="HK125" s="1006"/>
      <c r="HL125" s="996">
        <v>0</v>
      </c>
      <c r="HM125" s="1006" t="s">
        <v>221</v>
      </c>
      <c r="HN125" s="996">
        <v>8.7357184639999979</v>
      </c>
      <c r="HO125" s="1006"/>
      <c r="HP125" s="996">
        <v>0</v>
      </c>
      <c r="HQ125" s="1006"/>
      <c r="HR125" s="996">
        <v>0</v>
      </c>
      <c r="HS125" s="1006"/>
      <c r="HT125" s="996">
        <v>0</v>
      </c>
      <c r="HU125" s="1006" t="s">
        <v>204</v>
      </c>
      <c r="HV125" s="996">
        <v>-3.2801295999999995</v>
      </c>
      <c r="HW125" s="1006"/>
      <c r="HX125" s="996">
        <v>0</v>
      </c>
      <c r="HY125" s="1006"/>
      <c r="HZ125" s="996">
        <v>0.11795959999999983</v>
      </c>
      <c r="IA125" s="1006" t="s">
        <v>199</v>
      </c>
      <c r="IB125" s="996">
        <v>-1.0303700000000005</v>
      </c>
      <c r="IC125" s="1006"/>
      <c r="ID125" s="996">
        <v>0</v>
      </c>
      <c r="IE125" s="1006"/>
      <c r="IF125" s="996">
        <v>0</v>
      </c>
      <c r="IG125" s="1006"/>
      <c r="IH125" s="996">
        <v>-0.13208800000000043</v>
      </c>
      <c r="II125" s="1006"/>
      <c r="IJ125" s="996">
        <v>0</v>
      </c>
      <c r="IK125" s="1006"/>
      <c r="IL125" s="996">
        <v>-0.64572640000000003</v>
      </c>
      <c r="IM125" s="1006" t="s">
        <v>199</v>
      </c>
      <c r="IN125" s="996">
        <v>-1.3753035999999987</v>
      </c>
      <c r="IO125" s="1006"/>
      <c r="IP125" s="996">
        <v>0</v>
      </c>
      <c r="IQ125" s="1006"/>
      <c r="IR125" s="996">
        <v>0</v>
      </c>
      <c r="IS125" s="1006"/>
      <c r="IT125" s="996">
        <v>-0.62774487599999951</v>
      </c>
      <c r="IU125" s="1006"/>
      <c r="IV125" s="996">
        <v>0</v>
      </c>
      <c r="IW125" s="1006"/>
      <c r="IX125" s="996">
        <v>-0.42232462800000192</v>
      </c>
      <c r="IY125" s="1006" t="s">
        <v>204</v>
      </c>
      <c r="IZ125" s="996">
        <v>1.8057992919999997</v>
      </c>
      <c r="JA125" s="1006"/>
      <c r="JB125" s="996">
        <v>0</v>
      </c>
      <c r="JC125" s="1006"/>
      <c r="JD125" s="996">
        <v>0</v>
      </c>
      <c r="JE125" s="1006"/>
      <c r="JF125" s="996">
        <v>0</v>
      </c>
      <c r="JG125" s="1006"/>
      <c r="JH125" s="996">
        <v>0</v>
      </c>
      <c r="JI125" s="1006"/>
      <c r="JJ125" s="996">
        <v>0</v>
      </c>
      <c r="JK125" s="1007"/>
      <c r="JL125" s="1007">
        <v>0</v>
      </c>
      <c r="JM125" s="1007"/>
      <c r="JN125" s="1007">
        <v>0</v>
      </c>
      <c r="JO125" s="1008"/>
      <c r="JP125" s="1007">
        <v>0</v>
      </c>
      <c r="JQ125" s="1008">
        <v>0</v>
      </c>
      <c r="JR125" s="1007">
        <v>0</v>
      </c>
      <c r="JS125" s="1008">
        <v>0</v>
      </c>
      <c r="JT125" s="1007">
        <v>0</v>
      </c>
      <c r="JU125" s="1008" t="s">
        <v>199</v>
      </c>
      <c r="JV125" s="1007">
        <v>-5.562311787999997</v>
      </c>
      <c r="JW125" s="1008" t="s">
        <v>223</v>
      </c>
      <c r="JX125" s="1007">
        <v>3.406699999999999</v>
      </c>
      <c r="JY125" s="1008"/>
      <c r="JZ125" s="1007">
        <v>-1.6414859999999365E-2</v>
      </c>
      <c r="KA125" s="1008" t="s">
        <v>240</v>
      </c>
      <c r="KB125" s="1007">
        <v>-2.6129723400000007</v>
      </c>
      <c r="KC125" s="1008" t="s">
        <v>204</v>
      </c>
      <c r="KD125" s="1007">
        <v>-3.2142527999999988</v>
      </c>
      <c r="KE125" s="1008" t="s">
        <v>204</v>
      </c>
      <c r="KF125" s="1007">
        <v>2.4578399999999974</v>
      </c>
      <c r="KG125" s="1008" t="s">
        <v>204</v>
      </c>
      <c r="KH125" s="1007">
        <v>3.9597976000000017</v>
      </c>
      <c r="KI125" s="1008"/>
      <c r="KJ125" s="1007">
        <v>0</v>
      </c>
      <c r="KK125" s="1008"/>
      <c r="KL125" s="1007">
        <v>0</v>
      </c>
      <c r="KM125" s="1008"/>
      <c r="KN125" s="1007">
        <v>0</v>
      </c>
      <c r="KO125" s="1008"/>
      <c r="KP125" s="1007">
        <v>0</v>
      </c>
      <c r="KQ125" s="1008">
        <v>0</v>
      </c>
      <c r="KR125" s="1007">
        <v>0</v>
      </c>
      <c r="KS125" s="1008" t="s">
        <v>204</v>
      </c>
      <c r="KT125" s="1007">
        <v>-1.1884576000000013</v>
      </c>
      <c r="KU125" s="1008" t="s">
        <v>207</v>
      </c>
      <c r="KV125" s="1007">
        <v>-2.2571999999999992</v>
      </c>
      <c r="KW125" s="1008">
        <v>0</v>
      </c>
      <c r="KX125" s="1007">
        <v>0</v>
      </c>
      <c r="KY125" s="1008">
        <v>0</v>
      </c>
      <c r="KZ125" s="1007">
        <v>0</v>
      </c>
      <c r="LA125" s="1008">
        <v>0</v>
      </c>
      <c r="LB125" s="1007">
        <v>0</v>
      </c>
      <c r="LC125" s="1008">
        <v>0</v>
      </c>
      <c r="LD125" s="1007">
        <v>0</v>
      </c>
      <c r="LE125" s="1008" t="s">
        <v>204</v>
      </c>
      <c r="LF125" s="1007">
        <v>2.4285800000000002</v>
      </c>
      <c r="LG125" s="1008">
        <v>0</v>
      </c>
      <c r="LH125" s="1007">
        <v>0</v>
      </c>
      <c r="LI125" s="1008">
        <v>0</v>
      </c>
      <c r="LJ125" s="1007">
        <v>0</v>
      </c>
      <c r="LK125" s="1008" t="s">
        <v>207</v>
      </c>
      <c r="LL125" s="1007">
        <v>2.3174000000000001</v>
      </c>
      <c r="LM125" s="1008" t="s">
        <v>555</v>
      </c>
      <c r="LN125" s="1007">
        <v>-3.22194</v>
      </c>
      <c r="LO125" s="1008" t="s">
        <v>206</v>
      </c>
      <c r="LP125" s="1007">
        <v>2.2655600000000007</v>
      </c>
      <c r="LQ125" s="1008" t="s">
        <v>206</v>
      </c>
      <c r="LR125" s="1007">
        <v>-3.3439999999999994</v>
      </c>
      <c r="LS125" s="1008">
        <v>0</v>
      </c>
      <c r="LT125" s="1007">
        <v>0.66879999999999895</v>
      </c>
      <c r="LU125" s="1008" t="s">
        <v>692</v>
      </c>
      <c r="LV125" s="1007">
        <v>-1.7225360000000001</v>
      </c>
      <c r="LW125" s="1008">
        <v>0</v>
      </c>
      <c r="LX125" s="1007">
        <v>0</v>
      </c>
      <c r="LY125" s="1009">
        <v>0</v>
      </c>
      <c r="LZ125" s="1010">
        <v>0.3394163</v>
      </c>
      <c r="MA125" s="1011">
        <v>0</v>
      </c>
      <c r="MB125" s="1012">
        <v>0.73273728000000005</v>
      </c>
      <c r="MC125" s="995"/>
      <c r="MD125" s="996"/>
      <c r="ME125" s="997" t="s">
        <v>416</v>
      </c>
      <c r="MF125" s="997"/>
      <c r="MG125" s="998"/>
      <c r="NR125" s="1000"/>
      <c r="NS125" s="1000"/>
      <c r="NT125" s="1001"/>
      <c r="NU125" s="1000"/>
      <c r="NV125" s="1001"/>
      <c r="NX125" s="1002"/>
      <c r="NZ125" s="1001"/>
      <c r="OA125" s="1001"/>
      <c r="OC125" s="1003"/>
      <c r="OD125" s="1003"/>
      <c r="OE125" s="1001"/>
      <c r="OF125" s="1003"/>
      <c r="OG125" s="1003"/>
      <c r="QX125" s="1000">
        <f t="shared" si="96"/>
        <v>32</v>
      </c>
      <c r="ASU125" s="999" t="s">
        <v>208</v>
      </c>
    </row>
    <row r="126" spans="1:466 1191:1191" ht="21" customHeight="1" x14ac:dyDescent="0.25">
      <c r="A126" s="982" t="str">
        <f t="shared" si="59"/>
        <v>1034-3</v>
      </c>
      <c r="B126" s="124">
        <f>SUBTOTAL(103,$J$29:J126)</f>
        <v>98</v>
      </c>
      <c r="C126" s="126">
        <v>45068</v>
      </c>
      <c r="D126" s="124" t="s">
        <v>176</v>
      </c>
      <c r="E126" s="127" t="s">
        <v>177</v>
      </c>
      <c r="F126" s="128" t="s">
        <v>177</v>
      </c>
      <c r="G126" s="127" t="s">
        <v>178</v>
      </c>
      <c r="H126" s="127" t="s">
        <v>421</v>
      </c>
      <c r="I126" s="127" t="s">
        <v>684</v>
      </c>
      <c r="J126" s="129" t="s">
        <v>693</v>
      </c>
      <c r="K126" s="127" t="s">
        <v>686</v>
      </c>
      <c r="L126" s="130">
        <v>39318</v>
      </c>
      <c r="M126" s="127" t="s">
        <v>230</v>
      </c>
      <c r="N126" s="127" t="s">
        <v>231</v>
      </c>
      <c r="O126" s="127" t="s">
        <v>185</v>
      </c>
      <c r="P126" s="127" t="s">
        <v>292</v>
      </c>
      <c r="Q126" s="85" t="str">
        <f t="shared" si="85"/>
        <v/>
      </c>
      <c r="R126" s="130"/>
      <c r="S126" s="128"/>
      <c r="T126" s="131"/>
      <c r="U126" s="132">
        <v>203</v>
      </c>
      <c r="V126" s="121">
        <v>218.2</v>
      </c>
      <c r="W126" s="116">
        <v>0.98</v>
      </c>
      <c r="X126" s="116">
        <v>1.66</v>
      </c>
      <c r="Y126" s="116">
        <f t="shared" si="86"/>
        <v>0.98</v>
      </c>
      <c r="Z126" s="133">
        <v>1.454</v>
      </c>
      <c r="AA126" s="133">
        <v>0.83599999999999997</v>
      </c>
      <c r="AB126" s="133">
        <v>0.72</v>
      </c>
      <c r="AC126" s="121">
        <v>34.299999999999997</v>
      </c>
      <c r="AD126" s="134">
        <v>1.17</v>
      </c>
      <c r="AE126" s="124">
        <v>139.69999999999999</v>
      </c>
      <c r="AF126" s="128">
        <v>7.72</v>
      </c>
      <c r="AG126" s="128">
        <v>1930</v>
      </c>
      <c r="AH126" s="127">
        <v>2500</v>
      </c>
      <c r="AI126" s="127">
        <v>2500</v>
      </c>
      <c r="AJ126" s="135"/>
      <c r="AK126" s="128"/>
      <c r="AL126" s="131"/>
      <c r="AM126" s="124" t="s">
        <v>232</v>
      </c>
      <c r="AN126" s="136" t="s">
        <v>694</v>
      </c>
      <c r="AO126" s="137">
        <v>39</v>
      </c>
      <c r="AP126" s="128">
        <v>1905</v>
      </c>
      <c r="AQ126" s="128">
        <v>60.4</v>
      </c>
      <c r="AR126" s="128"/>
      <c r="AS126" s="128"/>
      <c r="AT126" s="122"/>
      <c r="AU126" s="124" t="s">
        <v>250</v>
      </c>
      <c r="AV126" s="115">
        <f>VLOOKUP(J126,'[63]ТР нефть'!$J$28:$BP$638,39,0)</f>
        <v>505</v>
      </c>
      <c r="AW126" s="115" t="str">
        <f>VLOOKUP(J126,'[63]ТР нефть'!$J$28:$BP$638,40,0)</f>
        <v>ГП</v>
      </c>
      <c r="AX126" s="115">
        <f>VLOOKUP(J126,'[63]ТР нефть'!$J$28:$BP$638,41,0)</f>
        <v>905</v>
      </c>
      <c r="AY126" s="115" t="str">
        <f>VLOOKUP(J126,'[63]ТР нефть'!$J$28:$BP$638,42,0)</f>
        <v>ГП</v>
      </c>
      <c r="AZ126" s="115">
        <f>VLOOKUP(J126,'[63]ТР нефть'!$J$28:$BP$638,43,0)</f>
        <v>1205</v>
      </c>
      <c r="BA126" s="115" t="str">
        <f>VLOOKUP(J126,'[63]ТР нефть'!$J$28:$BP$638,44,0)</f>
        <v>ГП</v>
      </c>
      <c r="BB126" s="115">
        <f>VLOOKUP(J126,'[63]ТР нефть'!$J$28:$BP$638,45,0)</f>
        <v>1395</v>
      </c>
      <c r="BC126" s="115" t="str">
        <f>VLOOKUP(J126,'[63]ТР нефть'!$J$28:$BP$638,46,0)</f>
        <v>ГП</v>
      </c>
      <c r="BD126" s="115">
        <f>VLOOKUP(J126,'[63]ТР нефть'!$J$28:$BP$638,47,0)</f>
        <v>1485</v>
      </c>
      <c r="BE126" s="115" t="str">
        <f>VLOOKUP(J126,'[63]ТР нефть'!$J$28:$BP$638,48,0)</f>
        <v>ЦКсОК 5/16</v>
      </c>
      <c r="BF126" s="115" t="str">
        <f>VLOOKUP(J126,'[63]ТР нефть'!$J$28:$BP$638,49,0)</f>
        <v>-</v>
      </c>
      <c r="BG126" s="115" t="str">
        <f>VLOOKUP(J126,'[63]ТР нефть'!$J$28:$BP$638,50,0)</f>
        <v>-</v>
      </c>
      <c r="BH126" s="115">
        <f>VLOOKUP(J126,'[63]ТР нефть'!$J$28:$BP$638,51,0)</f>
        <v>1500</v>
      </c>
      <c r="BI126" s="115" t="str">
        <f>VLOOKUP(J126,'[63]ТР нефть'!$J$28:$BP$638,52,0)</f>
        <v>закрыт</v>
      </c>
      <c r="BJ126" s="115" t="str">
        <f>IF(IFERROR(VLOOKUP(J126,'[63]ТР нефть'!$J$28:$BP$638,53,0),"-")=0,"-",IFERROR(VLOOKUP(J126,'[63]ТР нефть'!$J$28:$BP$638,53,0),"-"))</f>
        <v>-</v>
      </c>
      <c r="BK126" s="138" t="str">
        <f>IF(IFERROR(VLOOKUP(J126,'[63]ТР нефть'!$J$28:$BP$638,54,0),"-")=0,"-",IFERROR(VLOOKUP(J126,'[63]ТР нефть'!$J$28:$BP$638,54,0),"-"))</f>
        <v>-</v>
      </c>
      <c r="BL126" s="138" t="str">
        <f>IF(IFERROR(VLOOKUP(J126,'[63]ТР нефть'!$J$28:$BP$638,55,0),"-")=0,"-",IFERROR(VLOOKUP(J126,'[63]ТР нефть'!$J$28:$BP$638,55,0),"-"))</f>
        <v>-</v>
      </c>
      <c r="BM126" s="138" t="str">
        <f>IF(IFERROR(VLOOKUP(J126,'[63]ТР нефть'!$J$28:$BP$638,56,0),"-")=0,"-",IFERROR(VLOOKUP(J126,'[63]ТР нефть'!$J$28:$BP$638,56,0),"-"))</f>
        <v>-</v>
      </c>
      <c r="BN126" s="138" t="str">
        <f>IF(IFERROR(VLOOKUP(J126,'[63]ТР нефть'!$J$28:$BP$638,57,0),"-")=0,"-",IFERROR(VLOOKUP(J126,'[63]ТР нефть'!$J$28:$BP$638,57,0),"-"))</f>
        <v>-</v>
      </c>
      <c r="BO126" s="115" t="str">
        <f>IF(IFERROR(VLOOKUP(J126,'[63]ТР нефть'!$J$28:$BP$638,58,0),"-")=0,"-",IFERROR(VLOOKUP(J126,'[63]ТР нефть'!$J$28:$BP$638,58,0),"-"))</f>
        <v>-</v>
      </c>
      <c r="BP126" s="115" t="str">
        <f>IF(IFERROR(VLOOKUP(J126,'[63]ТР нефть'!$J$28:$BP$638,59,0),"-")=0,"-",IFERROR(VLOOKUP(J126,'[63]ТР нефть'!$J$28:$BP$638,59,0),"-"))</f>
        <v>-</v>
      </c>
      <c r="BQ126" s="138">
        <v>1615</v>
      </c>
      <c r="BR126" s="128">
        <v>1603.37</v>
      </c>
      <c r="BS126" s="115">
        <f t="shared" si="60"/>
        <v>11.630000000000109</v>
      </c>
      <c r="BT126" s="128">
        <v>73</v>
      </c>
      <c r="BU126" s="128">
        <v>5.5</v>
      </c>
      <c r="BV126" s="127">
        <v>65</v>
      </c>
      <c r="BW126" s="127" t="s">
        <v>217</v>
      </c>
      <c r="BX126" s="127" t="s">
        <v>195</v>
      </c>
      <c r="BY126" s="139">
        <v>24</v>
      </c>
      <c r="BZ126" s="139">
        <v>0</v>
      </c>
      <c r="CA126" s="138">
        <v>45</v>
      </c>
      <c r="CB126" s="138">
        <v>60</v>
      </c>
      <c r="CC126" s="138">
        <v>44</v>
      </c>
      <c r="CD126" s="135">
        <v>45017</v>
      </c>
      <c r="CE126" s="138">
        <v>113.1</v>
      </c>
      <c r="CF126" s="138"/>
      <c r="CG126" s="138" t="str">
        <f>IF(CH126&lt;&gt;"","В работе","")</f>
        <v/>
      </c>
      <c r="CH126" s="138" t="s">
        <v>197</v>
      </c>
      <c r="CI126" s="127"/>
      <c r="CJ126" s="138"/>
      <c r="CK126" s="138"/>
      <c r="CL126" s="99"/>
      <c r="CM126" s="127"/>
      <c r="CN126" s="154">
        <v>52</v>
      </c>
      <c r="CO126" s="159">
        <f t="shared" si="61"/>
        <v>4.0964</v>
      </c>
      <c r="CP126" s="160">
        <v>4.9000000000000004</v>
      </c>
      <c r="CQ126" s="161">
        <v>0</v>
      </c>
      <c r="CR126" s="138">
        <v>25.8</v>
      </c>
      <c r="CS126" s="139"/>
      <c r="CT126" s="138"/>
      <c r="CU126" s="138">
        <f t="shared" si="62"/>
        <v>25.8</v>
      </c>
      <c r="CV126" s="115">
        <f t="shared" si="63"/>
        <v>6298.2130651303587</v>
      </c>
      <c r="CW126" s="115" t="str">
        <f t="shared" si="64"/>
        <v/>
      </c>
      <c r="CX126" s="133">
        <f t="shared" si="65"/>
        <v>8.0196399345335526E-2</v>
      </c>
      <c r="CY126" s="116"/>
      <c r="CZ126" s="131"/>
      <c r="DA126" s="145" t="str">
        <f t="shared" si="66"/>
        <v>Фон.</v>
      </c>
      <c r="DB126" s="146">
        <f t="shared" si="67"/>
        <v>4.0964</v>
      </c>
      <c r="DC126" s="142">
        <f t="shared" si="68"/>
        <v>4.9000000000000004</v>
      </c>
      <c r="DD126" s="119">
        <f t="shared" si="69"/>
        <v>0</v>
      </c>
      <c r="DE126" s="115">
        <f t="shared" si="70"/>
        <v>25.8</v>
      </c>
      <c r="DF126" s="121">
        <f t="shared" si="71"/>
        <v>0</v>
      </c>
      <c r="DG126" s="115">
        <f t="shared" si="72"/>
        <v>6298.2130651303587</v>
      </c>
      <c r="DH126" s="115">
        <f t="shared" si="73"/>
        <v>52</v>
      </c>
      <c r="DI126" s="147"/>
      <c r="DJ126" s="111" t="s">
        <v>197</v>
      </c>
      <c r="DK126" s="112">
        <v>42070</v>
      </c>
      <c r="DL126" s="113">
        <f t="shared" ca="1" si="87"/>
        <v>3034</v>
      </c>
      <c r="DM126" s="114"/>
      <c r="DN126" s="114"/>
      <c r="DO126" s="114"/>
      <c r="DP126" s="114"/>
      <c r="DQ126" s="112">
        <v>42234</v>
      </c>
      <c r="DR126" s="114" t="s">
        <v>282</v>
      </c>
      <c r="DS126" s="114"/>
      <c r="DT126" s="115">
        <v>64</v>
      </c>
      <c r="DU126" s="116">
        <f t="shared" si="88"/>
        <v>9.9796334012219975E-2</v>
      </c>
      <c r="DV126" s="117">
        <f t="shared" si="89"/>
        <v>4.0964</v>
      </c>
      <c r="DW126" s="118">
        <f t="shared" si="90"/>
        <v>4.9000000000000004</v>
      </c>
      <c r="DX126" s="119">
        <f t="shared" si="74"/>
        <v>0</v>
      </c>
      <c r="DY126" s="115">
        <f t="shared" si="91"/>
        <v>25.8</v>
      </c>
      <c r="DZ126" s="117">
        <f t="shared" si="92"/>
        <v>0</v>
      </c>
      <c r="EA126" s="120">
        <f t="shared" si="92"/>
        <v>0</v>
      </c>
      <c r="EB126" s="119">
        <f t="shared" si="92"/>
        <v>0</v>
      </c>
      <c r="EC126" s="121">
        <f t="shared" si="93"/>
        <v>0</v>
      </c>
      <c r="ED126" s="122"/>
      <c r="EE126" s="145">
        <v>65</v>
      </c>
      <c r="EF126" s="115">
        <v>44</v>
      </c>
      <c r="EG126" s="115">
        <v>60</v>
      </c>
      <c r="EH126" s="115">
        <v>44</v>
      </c>
      <c r="EI126" s="128" t="s">
        <v>195</v>
      </c>
      <c r="EJ126" s="121">
        <v>24</v>
      </c>
      <c r="EK126" s="121">
        <v>0</v>
      </c>
      <c r="EL126" s="162">
        <v>4.0964</v>
      </c>
      <c r="EM126" s="142">
        <v>4.9000000000000004</v>
      </c>
      <c r="EN126" s="119">
        <v>0</v>
      </c>
      <c r="EO126" s="115">
        <v>25.8</v>
      </c>
      <c r="EP126" s="115">
        <v>6298.2130651303587</v>
      </c>
      <c r="EQ126" s="115">
        <v>0</v>
      </c>
      <c r="ER126" s="115">
        <v>0</v>
      </c>
      <c r="ES126" s="115">
        <v>52</v>
      </c>
      <c r="ET126" s="150">
        <v>8.0196399345335526E-2</v>
      </c>
      <c r="EU126" s="145">
        <f t="shared" si="75"/>
        <v>65</v>
      </c>
      <c r="EV126" s="115">
        <f t="shared" si="76"/>
        <v>45</v>
      </c>
      <c r="EW126" s="115">
        <f t="shared" si="76"/>
        <v>60</v>
      </c>
      <c r="EX126" s="115">
        <f t="shared" si="76"/>
        <v>44</v>
      </c>
      <c r="EY126" s="115" t="str">
        <f t="shared" si="98"/>
        <v>Постоянный</v>
      </c>
      <c r="EZ126" s="115">
        <f t="shared" si="98"/>
        <v>24</v>
      </c>
      <c r="FA126" s="115">
        <f t="shared" si="98"/>
        <v>0</v>
      </c>
      <c r="FB126" s="149">
        <f t="shared" si="78"/>
        <v>4.0964</v>
      </c>
      <c r="FC126" s="142">
        <f t="shared" si="78"/>
        <v>4.9000000000000004</v>
      </c>
      <c r="FD126" s="119">
        <f t="shared" si="78"/>
        <v>0</v>
      </c>
      <c r="FE126" s="121">
        <f t="shared" si="78"/>
        <v>25.8</v>
      </c>
      <c r="FF126" s="121">
        <f t="shared" si="94"/>
        <v>6298.2130651303587</v>
      </c>
      <c r="FG126" s="121">
        <f t="shared" si="79"/>
        <v>0</v>
      </c>
      <c r="FH126" s="121">
        <f t="shared" si="95"/>
        <v>0</v>
      </c>
      <c r="FI126" s="121">
        <f t="shared" si="97"/>
        <v>52</v>
      </c>
      <c r="FJ126" s="144">
        <f t="shared" si="80"/>
        <v>8.0196399345335526E-2</v>
      </c>
      <c r="FK126" s="132">
        <f t="shared" si="81"/>
        <v>0</v>
      </c>
      <c r="FL126" s="115">
        <f t="shared" si="81"/>
        <v>1</v>
      </c>
      <c r="FM126" s="115">
        <f t="shared" si="81"/>
        <v>0</v>
      </c>
      <c r="FN126" s="115">
        <f t="shared" si="58"/>
        <v>0</v>
      </c>
      <c r="FO126" s="115">
        <f t="shared" si="57"/>
        <v>0</v>
      </c>
      <c r="FP126" s="115">
        <f t="shared" si="57"/>
        <v>0</v>
      </c>
      <c r="FQ126" s="149">
        <f t="shared" si="57"/>
        <v>0</v>
      </c>
      <c r="FR126" s="142">
        <f t="shared" si="57"/>
        <v>0</v>
      </c>
      <c r="FS126" s="119">
        <f t="shared" si="57"/>
        <v>0</v>
      </c>
      <c r="FT126" s="121">
        <f t="shared" si="57"/>
        <v>0</v>
      </c>
      <c r="FU126" s="121">
        <f t="shared" si="82"/>
        <v>0</v>
      </c>
      <c r="FV126" s="121">
        <f t="shared" si="82"/>
        <v>0</v>
      </c>
      <c r="FW126" s="121">
        <f t="shared" si="83"/>
        <v>0</v>
      </c>
      <c r="FX126" s="121">
        <f t="shared" si="84"/>
        <v>0</v>
      </c>
      <c r="FY126" s="144">
        <f t="shared" si="84"/>
        <v>0</v>
      </c>
      <c r="FZ126" s="145"/>
      <c r="GA126" s="151" t="s">
        <v>427</v>
      </c>
      <c r="GB126" s="145"/>
      <c r="GC126" s="151" t="s">
        <v>695</v>
      </c>
      <c r="GD126" s="997" t="s">
        <v>416</v>
      </c>
      <c r="GE126" s="1004"/>
      <c r="GF126" s="1004">
        <v>-0.41465599999999991</v>
      </c>
      <c r="GG126" s="1004"/>
      <c r="GH126" s="1004">
        <v>0</v>
      </c>
      <c r="GI126" s="145"/>
      <c r="GJ126" s="996">
        <v>0</v>
      </c>
      <c r="GK126" s="145"/>
      <c r="GL126" s="996">
        <v>0</v>
      </c>
      <c r="GM126" s="1005"/>
      <c r="GN126" s="996">
        <v>0</v>
      </c>
      <c r="GO126" s="1006"/>
      <c r="GP126" s="996">
        <v>0</v>
      </c>
      <c r="GQ126" s="1006"/>
      <c r="GR126" s="996">
        <v>0</v>
      </c>
      <c r="GS126" s="1006"/>
      <c r="GT126" s="996">
        <v>0</v>
      </c>
      <c r="GU126" s="1006"/>
      <c r="GV126" s="996">
        <v>0</v>
      </c>
      <c r="GW126" s="1006" t="s">
        <v>199</v>
      </c>
      <c r="GX126" s="996">
        <v>2.9310159999999996</v>
      </c>
      <c r="GY126" s="1006"/>
      <c r="GZ126" s="996">
        <v>0</v>
      </c>
      <c r="HA126" s="1006" t="s">
        <v>199</v>
      </c>
      <c r="HB126" s="996">
        <v>1.2314280000000002</v>
      </c>
      <c r="HC126" s="1006" t="s">
        <v>204</v>
      </c>
      <c r="HD126" s="996">
        <v>0</v>
      </c>
      <c r="HE126" s="1006"/>
      <c r="HF126" s="996">
        <v>9.7611360000000036E-2</v>
      </c>
      <c r="HG126" s="1006" t="s">
        <v>204</v>
      </c>
      <c r="HH126" s="996">
        <v>0</v>
      </c>
      <c r="HI126" s="1006"/>
      <c r="HJ126" s="996">
        <v>0</v>
      </c>
      <c r="HK126" s="1006"/>
      <c r="HL126" s="996">
        <v>0</v>
      </c>
      <c r="HM126" s="1006"/>
      <c r="HN126" s="996">
        <v>-6.6679360000000076E-2</v>
      </c>
      <c r="HO126" s="1006"/>
      <c r="HP126" s="996">
        <v>0</v>
      </c>
      <c r="HQ126" s="1006"/>
      <c r="HR126" s="996">
        <v>0</v>
      </c>
      <c r="HS126" s="1006"/>
      <c r="HT126" s="996">
        <v>0</v>
      </c>
      <c r="HU126" s="1006"/>
      <c r="HV126" s="996">
        <v>-5.4339999999999999E-2</v>
      </c>
      <c r="HW126" s="1006"/>
      <c r="HX126" s="996">
        <v>0</v>
      </c>
      <c r="HY126" s="1006"/>
      <c r="HZ126" s="996">
        <v>4.1763216000000325E-3</v>
      </c>
      <c r="IA126" s="1006"/>
      <c r="IB126" s="996">
        <v>0</v>
      </c>
      <c r="IC126" s="1006"/>
      <c r="ID126" s="996">
        <v>0</v>
      </c>
      <c r="IE126" s="1006"/>
      <c r="IF126" s="996">
        <v>1.0871678400000029E-2</v>
      </c>
      <c r="IG126" s="1006"/>
      <c r="IH126" s="996">
        <v>1.0366399999999776E-3</v>
      </c>
      <c r="II126" s="1006"/>
      <c r="IJ126" s="996">
        <v>-2.1428352000000039E-2</v>
      </c>
      <c r="IK126" s="1006"/>
      <c r="IL126" s="996">
        <v>-1.4770447999999936E-2</v>
      </c>
      <c r="IM126" s="1006"/>
      <c r="IN126" s="996">
        <v>0</v>
      </c>
      <c r="IO126" s="1006"/>
      <c r="IP126" s="996">
        <v>0</v>
      </c>
      <c r="IQ126" s="1006"/>
      <c r="IR126" s="996">
        <v>0</v>
      </c>
      <c r="IS126" s="1006"/>
      <c r="IT126" s="996">
        <v>0</v>
      </c>
      <c r="IU126" s="1006"/>
      <c r="IV126" s="996">
        <v>0</v>
      </c>
      <c r="IW126" s="1006" t="s">
        <v>204</v>
      </c>
      <c r="IX126" s="996">
        <v>-11.772368080000001</v>
      </c>
      <c r="IY126" s="1006" t="s">
        <v>199</v>
      </c>
      <c r="IZ126" s="996">
        <v>1.7437455200000009</v>
      </c>
      <c r="JA126" s="1006"/>
      <c r="JB126" s="996">
        <v>0</v>
      </c>
      <c r="JC126" s="1006"/>
      <c r="JD126" s="996">
        <v>-1.01717792</v>
      </c>
      <c r="JE126" s="1006" t="s">
        <v>204</v>
      </c>
      <c r="JF126" s="996">
        <v>4.9672946400000004</v>
      </c>
      <c r="JG126" s="1006"/>
      <c r="JH126" s="996">
        <v>0</v>
      </c>
      <c r="JI126" s="1006"/>
      <c r="JJ126" s="996">
        <v>0</v>
      </c>
      <c r="JK126" s="1007"/>
      <c r="JL126" s="1007">
        <v>0</v>
      </c>
      <c r="JM126" s="1007"/>
      <c r="JN126" s="1007">
        <v>0</v>
      </c>
      <c r="JO126" s="1008"/>
      <c r="JP126" s="1007">
        <v>0</v>
      </c>
      <c r="JQ126" s="1008">
        <v>0</v>
      </c>
      <c r="JR126" s="1007">
        <v>0</v>
      </c>
      <c r="JS126" s="1008" t="s">
        <v>204</v>
      </c>
      <c r="JT126" s="1007">
        <v>-3.5112000000000005</v>
      </c>
      <c r="JU126" s="1008"/>
      <c r="JV126" s="1007">
        <v>0</v>
      </c>
      <c r="JW126" s="1008" t="s">
        <v>197</v>
      </c>
      <c r="JX126" s="1007">
        <v>0</v>
      </c>
      <c r="JY126" s="1008"/>
      <c r="JZ126" s="1007">
        <v>-1.90608000000001E-2</v>
      </c>
      <c r="KA126" s="1008"/>
      <c r="KB126" s="1007">
        <v>0</v>
      </c>
      <c r="KC126" s="1008"/>
      <c r="KD126" s="1007">
        <v>0</v>
      </c>
      <c r="KE126" s="1008"/>
      <c r="KF126" s="1007">
        <v>0</v>
      </c>
      <c r="KG126" s="1008" t="s">
        <v>204</v>
      </c>
      <c r="KH126" s="1007">
        <v>-1.6668167999999994</v>
      </c>
      <c r="KI126" s="1008"/>
      <c r="KJ126" s="1007">
        <v>0</v>
      </c>
      <c r="KK126" s="1008"/>
      <c r="KL126" s="1007">
        <v>0</v>
      </c>
      <c r="KM126" s="1008"/>
      <c r="KN126" s="1007">
        <v>0</v>
      </c>
      <c r="KO126" s="1008"/>
      <c r="KP126" s="1007">
        <v>0</v>
      </c>
      <c r="KQ126" s="1008">
        <v>0</v>
      </c>
      <c r="KR126" s="1007">
        <v>0</v>
      </c>
      <c r="KS126" s="1008" t="s">
        <v>204</v>
      </c>
      <c r="KT126" s="1007">
        <v>-1.6668167999999994</v>
      </c>
      <c r="KU126" s="1008">
        <v>0</v>
      </c>
      <c r="KV126" s="1007">
        <v>0</v>
      </c>
      <c r="KW126" s="1008">
        <v>0</v>
      </c>
      <c r="KX126" s="1007">
        <v>0</v>
      </c>
      <c r="KY126" s="1008">
        <v>0</v>
      </c>
      <c r="KZ126" s="1007">
        <v>0</v>
      </c>
      <c r="LA126" s="1008">
        <v>0</v>
      </c>
      <c r="LB126" s="1007">
        <v>0</v>
      </c>
      <c r="LC126" s="1008" t="s">
        <v>204</v>
      </c>
      <c r="LD126" s="1007">
        <v>-0.83340839999999972</v>
      </c>
      <c r="LE126" s="1008">
        <v>0</v>
      </c>
      <c r="LF126" s="1007">
        <v>0</v>
      </c>
      <c r="LG126" s="1008">
        <v>0</v>
      </c>
      <c r="LH126" s="1007">
        <v>0</v>
      </c>
      <c r="LI126" s="1008">
        <v>0</v>
      </c>
      <c r="LJ126" s="1007">
        <v>0</v>
      </c>
      <c r="LK126" s="1008" t="s">
        <v>204</v>
      </c>
      <c r="LL126" s="1007">
        <v>-1.7834939759999973</v>
      </c>
      <c r="LM126" s="1008">
        <v>0</v>
      </c>
      <c r="LN126" s="1007">
        <v>0</v>
      </c>
      <c r="LO126" s="1008">
        <v>0</v>
      </c>
      <c r="LP126" s="1007">
        <v>0</v>
      </c>
      <c r="LQ126" s="1008" t="s">
        <v>206</v>
      </c>
      <c r="LR126" s="1007">
        <v>2.5225200000000001</v>
      </c>
      <c r="LS126" s="1008">
        <v>0</v>
      </c>
      <c r="LT126" s="1007">
        <v>0</v>
      </c>
      <c r="LU126" s="1008">
        <v>0</v>
      </c>
      <c r="LV126" s="1007">
        <v>0</v>
      </c>
      <c r="LW126" s="1008">
        <v>0</v>
      </c>
      <c r="LX126" s="1007">
        <v>0</v>
      </c>
      <c r="LY126" s="1009">
        <v>0</v>
      </c>
      <c r="LZ126" s="1010">
        <v>0.79793480000000006</v>
      </c>
      <c r="MA126" s="1011">
        <v>0</v>
      </c>
      <c r="MB126" s="1012">
        <v>11.352879999999999</v>
      </c>
      <c r="MC126" s="995"/>
      <c r="MD126" s="996"/>
      <c r="ME126" s="997" t="s">
        <v>416</v>
      </c>
      <c r="MF126" s="997"/>
      <c r="MG126" s="998"/>
      <c r="NR126" s="1000"/>
      <c r="NS126" s="1000"/>
      <c r="NT126" s="1001"/>
      <c r="NU126" s="1000"/>
      <c r="NV126" s="1001"/>
      <c r="NX126" s="1002"/>
      <c r="NZ126" s="1001"/>
      <c r="OA126" s="1001"/>
      <c r="OC126" s="1003"/>
      <c r="OD126" s="1003"/>
      <c r="OE126" s="1001"/>
      <c r="OF126" s="1003"/>
      <c r="OG126" s="1003"/>
      <c r="QX126" s="1000">
        <f t="shared" si="96"/>
        <v>7</v>
      </c>
      <c r="ASU126" s="999" t="s">
        <v>292</v>
      </c>
    </row>
    <row r="127" spans="1:466 1191:1191" ht="21" customHeight="1" x14ac:dyDescent="0.25">
      <c r="A127" s="982" t="str">
        <f t="shared" si="59"/>
        <v>1036-2</v>
      </c>
      <c r="B127" s="124">
        <f>SUBTOTAL(103,$J$29:J127)</f>
        <v>99</v>
      </c>
      <c r="C127" s="126">
        <v>45096</v>
      </c>
      <c r="D127" s="124" t="s">
        <v>176</v>
      </c>
      <c r="E127" s="127" t="s">
        <v>177</v>
      </c>
      <c r="F127" s="128" t="s">
        <v>177</v>
      </c>
      <c r="G127" s="127" t="s">
        <v>178</v>
      </c>
      <c r="H127" s="127" t="s">
        <v>421</v>
      </c>
      <c r="I127" s="127" t="s">
        <v>560</v>
      </c>
      <c r="J127" s="152" t="s">
        <v>696</v>
      </c>
      <c r="K127" s="127" t="s">
        <v>597</v>
      </c>
      <c r="L127" s="130">
        <v>41641</v>
      </c>
      <c r="M127" s="127" t="s">
        <v>230</v>
      </c>
      <c r="N127" s="127" t="s">
        <v>231</v>
      </c>
      <c r="O127" s="127" t="s">
        <v>185</v>
      </c>
      <c r="P127" s="127" t="s">
        <v>315</v>
      </c>
      <c r="Q127" s="85" t="str">
        <f t="shared" si="85"/>
        <v/>
      </c>
      <c r="R127" s="130"/>
      <c r="S127" s="128" t="s">
        <v>156</v>
      </c>
      <c r="T127" s="131"/>
      <c r="U127" s="132">
        <v>203</v>
      </c>
      <c r="V127" s="121">
        <v>218.2</v>
      </c>
      <c r="W127" s="116">
        <v>0.98</v>
      </c>
      <c r="X127" s="116">
        <v>1.66</v>
      </c>
      <c r="Y127" s="116">
        <f t="shared" si="86"/>
        <v>0.98</v>
      </c>
      <c r="Z127" s="133">
        <v>1.454</v>
      </c>
      <c r="AA127" s="133">
        <v>0.83599999999999997</v>
      </c>
      <c r="AB127" s="133">
        <v>0.72</v>
      </c>
      <c r="AC127" s="121">
        <v>34.299999999999997</v>
      </c>
      <c r="AD127" s="134">
        <v>1.17</v>
      </c>
      <c r="AE127" s="124">
        <v>177.8</v>
      </c>
      <c r="AF127" s="128">
        <v>9.19</v>
      </c>
      <c r="AG127" s="128">
        <v>2060</v>
      </c>
      <c r="AH127" s="127" t="s">
        <v>697</v>
      </c>
      <c r="AI127" s="127" t="s">
        <v>697</v>
      </c>
      <c r="AJ127" s="135"/>
      <c r="AK127" s="128"/>
      <c r="AL127" s="131"/>
      <c r="AM127" s="124" t="s">
        <v>232</v>
      </c>
      <c r="AN127" s="136" t="s">
        <v>698</v>
      </c>
      <c r="AO127" s="137">
        <v>18.47</v>
      </c>
      <c r="AP127" s="128">
        <v>2060</v>
      </c>
      <c r="AQ127" s="128">
        <v>203.07</v>
      </c>
      <c r="AR127" s="128"/>
      <c r="AS127" s="128"/>
      <c r="AT127" s="122"/>
      <c r="AU127" s="124" t="s">
        <v>250</v>
      </c>
      <c r="AV127" s="115">
        <f>VLOOKUP(J127,'[63]ТР нефть'!$J$28:$BP$638,39,0)</f>
        <v>600</v>
      </c>
      <c r="AW127" s="115" t="str">
        <f>VLOOKUP(J127,'[63]ТР нефть'!$J$28:$BP$638,40,0)</f>
        <v>ГП</v>
      </c>
      <c r="AX127" s="115">
        <f>VLOOKUP(J127,'[63]ТР нефть'!$J$28:$BP$638,41,0)</f>
        <v>1200</v>
      </c>
      <c r="AY127" s="115" t="str">
        <f>VLOOKUP(J127,'[63]ТР нефть'!$J$28:$BP$638,42,0)</f>
        <v>ГП</v>
      </c>
      <c r="AZ127" s="115">
        <f>VLOOKUP(J127,'[63]ТР нефть'!$J$28:$BP$638,43,0)</f>
        <v>1800</v>
      </c>
      <c r="BA127" s="115" t="str">
        <f>VLOOKUP(J127,'[63]ТР нефть'!$J$28:$BP$638,44,0)</f>
        <v>ЦКсОК 5/16</v>
      </c>
      <c r="BB127" s="115" t="str">
        <f>VLOOKUP(J127,'[63]ТР нефть'!$J$28:$BP$638,45,0)</f>
        <v>-</v>
      </c>
      <c r="BC127" s="115" t="str">
        <f>VLOOKUP(J127,'[63]ТР нефть'!$J$28:$BP$638,46,0)</f>
        <v>-</v>
      </c>
      <c r="BD127" s="115" t="str">
        <f>VLOOKUP(J127,'[63]ТР нефть'!$J$28:$BP$638,47,0)</f>
        <v>-</v>
      </c>
      <c r="BE127" s="115" t="str">
        <f>VLOOKUP(J127,'[63]ТР нефть'!$J$28:$BP$638,48,0)</f>
        <v>-</v>
      </c>
      <c r="BF127" s="115" t="str">
        <f>VLOOKUP(J127,'[63]ТР нефть'!$J$28:$BP$638,49,0)</f>
        <v>-</v>
      </c>
      <c r="BG127" s="115" t="str">
        <f>VLOOKUP(J127,'[63]ТР нефть'!$J$28:$BP$638,50,0)</f>
        <v>-</v>
      </c>
      <c r="BH127" s="115" t="str">
        <f>VLOOKUP(J127,'[63]ТР нефть'!$J$28:$BP$638,51,0)</f>
        <v>-</v>
      </c>
      <c r="BI127" s="115" t="str">
        <f>VLOOKUP(J127,'[63]ТР нефть'!$J$28:$BP$638,52,0)</f>
        <v>-</v>
      </c>
      <c r="BJ127" s="115" t="str">
        <f>IF(IFERROR(VLOOKUP(J127,'[63]ТР нефть'!$J$28:$BP$638,53,0),"-")=0,"-",IFERROR(VLOOKUP(J127,'[63]ТР нефть'!$J$28:$BP$638,53,0),"-"))</f>
        <v>-</v>
      </c>
      <c r="BK127" s="138" t="str">
        <f>IF(IFERROR(VLOOKUP(J127,'[63]ТР нефть'!$J$28:$BP$638,54,0),"-")=0,"-",IFERROR(VLOOKUP(J127,'[63]ТР нефть'!$J$28:$BP$638,54,0),"-"))</f>
        <v>-</v>
      </c>
      <c r="BL127" s="138" t="str">
        <f>IF(IFERROR(VLOOKUP(J127,'[63]ТР нефть'!$J$28:$BP$638,55,0),"-")=0,"-",IFERROR(VLOOKUP(J127,'[63]ТР нефть'!$J$28:$BP$638,55,0),"-"))</f>
        <v>-</v>
      </c>
      <c r="BM127" s="138" t="str">
        <f>IF(IFERROR(VLOOKUP(J127,'[63]ТР нефть'!$J$28:$BP$638,56,0),"-")=0,"-",IFERROR(VLOOKUP(J127,'[63]ТР нефть'!$J$28:$BP$638,56,0),"-"))</f>
        <v>-</v>
      </c>
      <c r="BN127" s="138" t="str">
        <f>IF(IFERROR(VLOOKUP(J127,'[63]ТР нефть'!$J$28:$BP$638,57,0),"-")=0,"-",IFERROR(VLOOKUP(J127,'[63]ТР нефть'!$J$28:$BP$638,57,0),"-"))</f>
        <v>-</v>
      </c>
      <c r="BO127" s="115" t="str">
        <f>IF(IFERROR(VLOOKUP(J127,'[63]ТР нефть'!$J$28:$BP$638,58,0),"-")=0,"-",IFERROR(VLOOKUP(J127,'[63]ТР нефть'!$J$28:$BP$638,58,0),"-"))</f>
        <v>-</v>
      </c>
      <c r="BP127" s="115" t="str">
        <f>IF(IFERROR(VLOOKUP(J127,'[63]ТР нефть'!$J$28:$BP$638,59,0),"-")=0,"-",IFERROR(VLOOKUP(J127,'[63]ТР нефть'!$J$28:$BP$638,59,0),"-"))</f>
        <v>-</v>
      </c>
      <c r="BQ127" s="138">
        <v>2070</v>
      </c>
      <c r="BR127" s="128">
        <v>1859.2</v>
      </c>
      <c r="BS127" s="115">
        <f t="shared" si="60"/>
        <v>210.79999999999995</v>
      </c>
      <c r="BT127" s="128">
        <v>73</v>
      </c>
      <c r="BU127" s="128">
        <v>5.5</v>
      </c>
      <c r="BV127" s="127">
        <v>6</v>
      </c>
      <c r="BW127" s="127" t="s">
        <v>234</v>
      </c>
      <c r="BX127" s="127" t="s">
        <v>195</v>
      </c>
      <c r="BY127" s="139">
        <v>24</v>
      </c>
      <c r="BZ127" s="139">
        <v>0</v>
      </c>
      <c r="CA127" s="138">
        <v>47</v>
      </c>
      <c r="CB127" s="138">
        <v>20</v>
      </c>
      <c r="CC127" s="138">
        <v>35</v>
      </c>
      <c r="CD127" s="135">
        <v>45017</v>
      </c>
      <c r="CE127" s="138">
        <v>109</v>
      </c>
      <c r="CF127" s="138"/>
      <c r="CG127" s="138" t="str">
        <f>IF(CH127&lt;&gt;"","В работе","")</f>
        <v/>
      </c>
      <c r="CH127" s="138" t="s">
        <v>197</v>
      </c>
      <c r="CI127" s="127"/>
      <c r="CJ127" s="138"/>
      <c r="CK127" s="138"/>
      <c r="CL127" s="99"/>
      <c r="CM127" s="138"/>
      <c r="CN127" s="154">
        <v>96.39</v>
      </c>
      <c r="CO127" s="141">
        <f t="shared" si="61"/>
        <v>18.609359999999999</v>
      </c>
      <c r="CP127" s="142">
        <v>22.26</v>
      </c>
      <c r="CQ127" s="143">
        <v>0</v>
      </c>
      <c r="CR127" s="138">
        <v>190</v>
      </c>
      <c r="CS127" s="139"/>
      <c r="CT127" s="138"/>
      <c r="CU127" s="138">
        <f t="shared" si="62"/>
        <v>190</v>
      </c>
      <c r="CV127" s="115">
        <f t="shared" si="63"/>
        <v>10209.915870293229</v>
      </c>
      <c r="CW127" s="115" t="str">
        <f t="shared" si="64"/>
        <v/>
      </c>
      <c r="CX127" s="133">
        <f t="shared" si="65"/>
        <v>1.7652656621728788</v>
      </c>
      <c r="CY127" s="116"/>
      <c r="CZ127" s="131"/>
      <c r="DA127" s="145" t="str">
        <f t="shared" si="66"/>
        <v>Фон.</v>
      </c>
      <c r="DB127" s="146">
        <f t="shared" si="67"/>
        <v>18.609359999999999</v>
      </c>
      <c r="DC127" s="142">
        <f t="shared" si="68"/>
        <v>22.26</v>
      </c>
      <c r="DD127" s="119">
        <f t="shared" si="69"/>
        <v>0</v>
      </c>
      <c r="DE127" s="115">
        <f t="shared" si="70"/>
        <v>190</v>
      </c>
      <c r="DF127" s="121">
        <f t="shared" si="71"/>
        <v>0</v>
      </c>
      <c r="DG127" s="115">
        <f t="shared" si="72"/>
        <v>10209.915870293229</v>
      </c>
      <c r="DH127" s="115">
        <f t="shared" si="73"/>
        <v>96.39</v>
      </c>
      <c r="DI127" s="147"/>
      <c r="DJ127" s="111" t="s">
        <v>197</v>
      </c>
      <c r="DK127" s="112">
        <v>42634</v>
      </c>
      <c r="DL127" s="113">
        <f t="shared" ca="1" si="87"/>
        <v>2470</v>
      </c>
      <c r="DM127" s="114"/>
      <c r="DN127" s="114"/>
      <c r="DO127" s="114"/>
      <c r="DP127" s="114"/>
      <c r="DQ127" s="112">
        <v>41529</v>
      </c>
      <c r="DR127" s="114" t="s">
        <v>324</v>
      </c>
      <c r="DS127" s="114"/>
      <c r="DT127" s="115">
        <v>70</v>
      </c>
      <c r="DU127" s="116">
        <f t="shared" si="88"/>
        <v>1.5650190974172813</v>
      </c>
      <c r="DV127" s="117">
        <f t="shared" si="89"/>
        <v>51.02588265219304</v>
      </c>
      <c r="DW127" s="118">
        <f t="shared" si="90"/>
        <v>61.035744799273971</v>
      </c>
      <c r="DX127" s="119">
        <f t="shared" si="74"/>
        <v>0</v>
      </c>
      <c r="DY127" s="115">
        <f t="shared" si="91"/>
        <v>520.96996908634571</v>
      </c>
      <c r="DZ127" s="117">
        <f t="shared" si="92"/>
        <v>32.416522652193038</v>
      </c>
      <c r="EA127" s="120">
        <f t="shared" si="92"/>
        <v>38.775744799273966</v>
      </c>
      <c r="EB127" s="119">
        <f t="shared" si="92"/>
        <v>0</v>
      </c>
      <c r="EC127" s="121">
        <f t="shared" si="93"/>
        <v>330.96996908634571</v>
      </c>
      <c r="ED127" s="122"/>
      <c r="EE127" s="145">
        <v>6</v>
      </c>
      <c r="EF127" s="115">
        <v>47</v>
      </c>
      <c r="EG127" s="115">
        <v>20</v>
      </c>
      <c r="EH127" s="115">
        <v>35</v>
      </c>
      <c r="EI127" s="128" t="s">
        <v>195</v>
      </c>
      <c r="EJ127" s="121">
        <v>24</v>
      </c>
      <c r="EK127" s="121">
        <v>0</v>
      </c>
      <c r="EL127" s="149">
        <v>18.609359999999999</v>
      </c>
      <c r="EM127" s="142">
        <v>22.26</v>
      </c>
      <c r="EN127" s="119">
        <v>0</v>
      </c>
      <c r="EO127" s="115">
        <v>190</v>
      </c>
      <c r="EP127" s="115">
        <v>10209.915870293229</v>
      </c>
      <c r="EQ127" s="115">
        <v>0</v>
      </c>
      <c r="ER127" s="115">
        <v>0</v>
      </c>
      <c r="ES127" s="115">
        <v>96.39</v>
      </c>
      <c r="ET127" s="150">
        <v>1.7652656621728788</v>
      </c>
      <c r="EU127" s="145">
        <f t="shared" si="75"/>
        <v>6</v>
      </c>
      <c r="EV127" s="115">
        <f t="shared" si="76"/>
        <v>47</v>
      </c>
      <c r="EW127" s="115">
        <f t="shared" si="76"/>
        <v>20</v>
      </c>
      <c r="EX127" s="115">
        <f t="shared" si="76"/>
        <v>35</v>
      </c>
      <c r="EY127" s="115" t="str">
        <f t="shared" si="98"/>
        <v>Постоянный</v>
      </c>
      <c r="EZ127" s="115">
        <f t="shared" si="98"/>
        <v>24</v>
      </c>
      <c r="FA127" s="115">
        <f t="shared" si="98"/>
        <v>0</v>
      </c>
      <c r="FB127" s="149">
        <f t="shared" si="78"/>
        <v>18.609359999999999</v>
      </c>
      <c r="FC127" s="142">
        <f t="shared" si="78"/>
        <v>22.26</v>
      </c>
      <c r="FD127" s="119">
        <f t="shared" si="78"/>
        <v>0</v>
      </c>
      <c r="FE127" s="121">
        <f t="shared" si="78"/>
        <v>190</v>
      </c>
      <c r="FF127" s="121">
        <f t="shared" si="94"/>
        <v>10209.915870293229</v>
      </c>
      <c r="FG127" s="121">
        <f t="shared" si="79"/>
        <v>0</v>
      </c>
      <c r="FH127" s="121">
        <f t="shared" si="95"/>
        <v>0</v>
      </c>
      <c r="FI127" s="121">
        <f t="shared" si="97"/>
        <v>96.39</v>
      </c>
      <c r="FJ127" s="144">
        <f t="shared" si="80"/>
        <v>1.7652656621728788</v>
      </c>
      <c r="FK127" s="132">
        <f t="shared" si="81"/>
        <v>0</v>
      </c>
      <c r="FL127" s="115">
        <f t="shared" si="81"/>
        <v>0</v>
      </c>
      <c r="FM127" s="115">
        <f t="shared" si="81"/>
        <v>0</v>
      </c>
      <c r="FN127" s="115">
        <f t="shared" si="58"/>
        <v>0</v>
      </c>
      <c r="FO127" s="115">
        <f t="shared" si="57"/>
        <v>0</v>
      </c>
      <c r="FP127" s="115">
        <f t="shared" si="57"/>
        <v>0</v>
      </c>
      <c r="FQ127" s="149">
        <f t="shared" si="57"/>
        <v>0</v>
      </c>
      <c r="FR127" s="142">
        <f t="shared" si="57"/>
        <v>0</v>
      </c>
      <c r="FS127" s="119">
        <f t="shared" si="57"/>
        <v>0</v>
      </c>
      <c r="FT127" s="121">
        <f t="shared" si="57"/>
        <v>0</v>
      </c>
      <c r="FU127" s="121">
        <f t="shared" si="82"/>
        <v>0</v>
      </c>
      <c r="FV127" s="121">
        <f t="shared" si="82"/>
        <v>0</v>
      </c>
      <c r="FW127" s="121">
        <f t="shared" si="83"/>
        <v>0</v>
      </c>
      <c r="FX127" s="121">
        <f t="shared" si="84"/>
        <v>0</v>
      </c>
      <c r="FY127" s="144">
        <f t="shared" si="84"/>
        <v>0</v>
      </c>
      <c r="FZ127" s="145"/>
      <c r="GA127" s="151" t="s">
        <v>283</v>
      </c>
      <c r="GB127" s="145"/>
      <c r="GC127" s="151" t="s">
        <v>699</v>
      </c>
      <c r="GD127" s="997" t="s">
        <v>238</v>
      </c>
      <c r="GE127" s="1004"/>
      <c r="GF127" s="1004">
        <v>0</v>
      </c>
      <c r="GG127" s="1004"/>
      <c r="GH127" s="1004">
        <v>0</v>
      </c>
      <c r="GI127" s="145"/>
      <c r="GJ127" s="996">
        <v>0</v>
      </c>
      <c r="GK127" s="145"/>
      <c r="GL127" s="996">
        <v>0</v>
      </c>
      <c r="GM127" s="1005"/>
      <c r="GN127" s="996">
        <v>0</v>
      </c>
      <c r="GO127" s="1006"/>
      <c r="GP127" s="996">
        <v>0</v>
      </c>
      <c r="GQ127" s="1006"/>
      <c r="GR127" s="996">
        <v>0</v>
      </c>
      <c r="GS127" s="1006"/>
      <c r="GT127" s="996">
        <v>0</v>
      </c>
      <c r="GU127" s="1006"/>
      <c r="GV127" s="996">
        <v>0</v>
      </c>
      <c r="GW127" s="1006"/>
      <c r="GX127" s="997">
        <v>0</v>
      </c>
      <c r="GY127" s="1006"/>
      <c r="GZ127" s="996">
        <v>-0.61863999999999919</v>
      </c>
      <c r="HA127" s="1006" t="s">
        <v>204</v>
      </c>
      <c r="HB127" s="996">
        <v>-2.3658800000000006</v>
      </c>
      <c r="HC127" s="1006" t="s">
        <v>206</v>
      </c>
      <c r="HD127" s="996">
        <v>3.3674080000000011</v>
      </c>
      <c r="HE127" s="1006" t="s">
        <v>206</v>
      </c>
      <c r="HF127" s="996">
        <v>-7.5705250720000024</v>
      </c>
      <c r="HG127" s="1006" t="s">
        <v>204</v>
      </c>
      <c r="HH127" s="996">
        <v>-6.7483157279999979</v>
      </c>
      <c r="HI127" s="1006"/>
      <c r="HJ127" s="996">
        <v>0</v>
      </c>
      <c r="HK127" s="1006" t="s">
        <v>199</v>
      </c>
      <c r="HL127" s="996">
        <v>9.1794471999999985</v>
      </c>
      <c r="HM127" s="1006" t="s">
        <v>199</v>
      </c>
      <c r="HN127" s="996">
        <v>10.0665155976</v>
      </c>
      <c r="HO127" s="1006" t="s">
        <v>199</v>
      </c>
      <c r="HP127" s="996">
        <v>-22.750842637600009</v>
      </c>
      <c r="HQ127" s="1006"/>
      <c r="HR127" s="996">
        <v>0</v>
      </c>
      <c r="HS127" s="1006"/>
      <c r="HT127" s="996">
        <v>0</v>
      </c>
      <c r="HU127" s="1006" t="s">
        <v>204</v>
      </c>
      <c r="HV127" s="996">
        <v>7.6773558400000077</v>
      </c>
      <c r="HW127" s="1006" t="s">
        <v>204</v>
      </c>
      <c r="HX127" s="996">
        <v>6.2587139999999977</v>
      </c>
      <c r="HY127" s="1006"/>
      <c r="HZ127" s="996">
        <v>0</v>
      </c>
      <c r="IA127" s="1006"/>
      <c r="IB127" s="996">
        <v>0</v>
      </c>
      <c r="IC127" s="1006" t="s">
        <v>199</v>
      </c>
      <c r="ID127" s="996">
        <v>1.668990400000002</v>
      </c>
      <c r="IE127" s="1006"/>
      <c r="IF127" s="996">
        <v>0</v>
      </c>
      <c r="IG127" s="1006"/>
      <c r="IH127" s="996">
        <v>0</v>
      </c>
      <c r="II127" s="1006"/>
      <c r="IJ127" s="996">
        <v>0</v>
      </c>
      <c r="IK127" s="1006"/>
      <c r="IL127" s="996">
        <v>0</v>
      </c>
      <c r="IM127" s="1006"/>
      <c r="IN127" s="996">
        <v>0</v>
      </c>
      <c r="IO127" s="1006"/>
      <c r="IP127" s="996">
        <v>0</v>
      </c>
      <c r="IQ127" s="1006"/>
      <c r="IR127" s="996">
        <v>0</v>
      </c>
      <c r="IS127" s="1006"/>
      <c r="IT127" s="996">
        <v>0</v>
      </c>
      <c r="IU127" s="1006"/>
      <c r="IV127" s="996">
        <v>0</v>
      </c>
      <c r="IW127" s="1006"/>
      <c r="IX127" s="996">
        <v>0</v>
      </c>
      <c r="IY127" s="1006"/>
      <c r="IZ127" s="996">
        <v>0</v>
      </c>
      <c r="JA127" s="1006"/>
      <c r="JB127" s="996">
        <v>0</v>
      </c>
      <c r="JC127" s="1006"/>
      <c r="JD127" s="996">
        <v>0</v>
      </c>
      <c r="JE127" s="1006"/>
      <c r="JF127" s="996">
        <v>0</v>
      </c>
      <c r="JG127" s="1006" t="s">
        <v>199</v>
      </c>
      <c r="JH127" s="996">
        <v>3.2461863280000003</v>
      </c>
      <c r="JI127" s="1006" t="s">
        <v>199</v>
      </c>
      <c r="JJ127" s="996">
        <v>-7.8509579280000032</v>
      </c>
      <c r="JK127" s="1007"/>
      <c r="JL127" s="1007">
        <v>0</v>
      </c>
      <c r="JM127" s="1007" t="s">
        <v>204</v>
      </c>
      <c r="JN127" s="1007">
        <v>-11.192585359999999</v>
      </c>
      <c r="JO127" s="1008"/>
      <c r="JP127" s="1007">
        <v>0</v>
      </c>
      <c r="JQ127" s="1008">
        <v>0</v>
      </c>
      <c r="JR127" s="1007">
        <v>0</v>
      </c>
      <c r="JS127" s="1008">
        <v>0</v>
      </c>
      <c r="JT127" s="1007">
        <v>0</v>
      </c>
      <c r="JU127" s="1008"/>
      <c r="JV127" s="1007">
        <v>0</v>
      </c>
      <c r="JW127" s="1008" t="s">
        <v>197</v>
      </c>
      <c r="JX127" s="1007">
        <v>0</v>
      </c>
      <c r="JY127" s="1008"/>
      <c r="JZ127" s="1007">
        <v>0</v>
      </c>
      <c r="KA127" s="1008"/>
      <c r="KB127" s="1007">
        <v>0</v>
      </c>
      <c r="KC127" s="1008" t="s">
        <v>199</v>
      </c>
      <c r="KD127" s="1007">
        <v>-8.700870639999998</v>
      </c>
      <c r="KE127" s="1008"/>
      <c r="KF127" s="1007">
        <v>0</v>
      </c>
      <c r="KG127" s="1008"/>
      <c r="KH127" s="1007">
        <v>0</v>
      </c>
      <c r="KI127" s="1008"/>
      <c r="KJ127" s="1007">
        <v>0</v>
      </c>
      <c r="KK127" s="1008"/>
      <c r="KL127" s="1007">
        <v>0</v>
      </c>
      <c r="KM127" s="1008"/>
      <c r="KN127" s="1007">
        <v>0</v>
      </c>
      <c r="KO127" s="1008"/>
      <c r="KP127" s="1007">
        <v>0</v>
      </c>
      <c r="KQ127" s="1008" t="s">
        <v>206</v>
      </c>
      <c r="KR127" s="1007">
        <v>5.4507199999996203E-2</v>
      </c>
      <c r="KS127" s="1008" t="s">
        <v>221</v>
      </c>
      <c r="KT127" s="1007">
        <v>16.487592000000003</v>
      </c>
      <c r="KU127" s="1008" t="s">
        <v>476</v>
      </c>
      <c r="KV127" s="1007">
        <v>28.401260799999999</v>
      </c>
      <c r="KW127" s="1008">
        <v>0</v>
      </c>
      <c r="KX127" s="1007">
        <v>0</v>
      </c>
      <c r="KY127" s="1008">
        <v>0</v>
      </c>
      <c r="KZ127" s="1007">
        <v>0</v>
      </c>
      <c r="LA127" s="1008">
        <v>0</v>
      </c>
      <c r="LB127" s="1007">
        <v>0</v>
      </c>
      <c r="LC127" s="1008">
        <v>0</v>
      </c>
      <c r="LD127" s="1007">
        <v>0</v>
      </c>
      <c r="LE127" s="1008">
        <v>0</v>
      </c>
      <c r="LF127" s="1007">
        <v>0</v>
      </c>
      <c r="LG127" s="1008">
        <v>0</v>
      </c>
      <c r="LH127" s="1007">
        <v>0</v>
      </c>
      <c r="LI127" s="1008">
        <v>0</v>
      </c>
      <c r="LJ127" s="1007">
        <v>0</v>
      </c>
      <c r="LK127" s="1008">
        <v>0</v>
      </c>
      <c r="LL127" s="1007">
        <v>0</v>
      </c>
      <c r="LM127" s="1008">
        <v>0</v>
      </c>
      <c r="LN127" s="1007">
        <v>0</v>
      </c>
      <c r="LO127" s="1008">
        <v>0</v>
      </c>
      <c r="LP127" s="1007">
        <v>0</v>
      </c>
      <c r="LQ127" s="1008">
        <v>0</v>
      </c>
      <c r="LR127" s="1007">
        <v>0</v>
      </c>
      <c r="LS127" s="1008" t="s">
        <v>240</v>
      </c>
      <c r="LT127" s="1007">
        <v>-5.119872</v>
      </c>
      <c r="LU127" s="1008">
        <v>0</v>
      </c>
      <c r="LV127" s="1007">
        <v>0</v>
      </c>
      <c r="LW127" s="1008" t="s">
        <v>206</v>
      </c>
      <c r="LX127" s="1007">
        <v>1.2163360000000001</v>
      </c>
      <c r="LY127" s="1009">
        <v>0</v>
      </c>
      <c r="LZ127" s="1010">
        <v>0.72239999999675997</v>
      </c>
      <c r="MA127" s="1011">
        <v>0</v>
      </c>
      <c r="MB127" s="1012">
        <v>0</v>
      </c>
      <c r="MC127" s="995"/>
      <c r="MD127" s="996"/>
      <c r="ME127" s="997" t="s">
        <v>238</v>
      </c>
      <c r="MF127" s="997"/>
      <c r="MG127" s="998"/>
      <c r="NR127" s="1000"/>
      <c r="NS127" s="1000"/>
      <c r="NT127" s="1001"/>
      <c r="NU127" s="1000"/>
      <c r="NV127" s="1001"/>
      <c r="NX127" s="1002"/>
      <c r="NZ127" s="1001"/>
      <c r="OA127" s="1001"/>
      <c r="OC127" s="1003"/>
      <c r="OD127" s="1003"/>
      <c r="OE127" s="1001"/>
      <c r="OF127" s="1003"/>
      <c r="OG127" s="1003"/>
      <c r="QX127" s="1000">
        <f t="shared" si="96"/>
        <v>49.39</v>
      </c>
      <c r="ASU127" s="999" t="s">
        <v>292</v>
      </c>
    </row>
    <row r="128" spans="1:466 1191:1191" ht="21" customHeight="1" x14ac:dyDescent="0.25">
      <c r="A128" s="982" t="str">
        <f t="shared" si="59"/>
        <v>1036-1</v>
      </c>
      <c r="B128" s="124">
        <f>SUBTOTAL(103,$J$29:J128)</f>
        <v>100</v>
      </c>
      <c r="C128" s="126">
        <v>45096</v>
      </c>
      <c r="D128" s="124" t="s">
        <v>176</v>
      </c>
      <c r="E128" s="127" t="s">
        <v>177</v>
      </c>
      <c r="F128" s="128" t="s">
        <v>177</v>
      </c>
      <c r="G128" s="127" t="s">
        <v>178</v>
      </c>
      <c r="H128" s="127" t="s">
        <v>421</v>
      </c>
      <c r="I128" s="80" t="s">
        <v>560</v>
      </c>
      <c r="J128" s="152" t="s">
        <v>700</v>
      </c>
      <c r="K128" s="127" t="s">
        <v>597</v>
      </c>
      <c r="L128" s="130">
        <v>41588</v>
      </c>
      <c r="M128" s="127" t="s">
        <v>230</v>
      </c>
      <c r="N128" s="127" t="s">
        <v>701</v>
      </c>
      <c r="O128" s="127" t="s">
        <v>608</v>
      </c>
      <c r="P128" s="127" t="s">
        <v>702</v>
      </c>
      <c r="Q128" s="85" t="str">
        <f t="shared" si="85"/>
        <v/>
      </c>
      <c r="R128" s="130"/>
      <c r="S128" s="128" t="s">
        <v>156</v>
      </c>
      <c r="T128" s="131"/>
      <c r="U128" s="132">
        <v>203</v>
      </c>
      <c r="V128" s="121">
        <v>218.2</v>
      </c>
      <c r="W128" s="116">
        <v>0.98</v>
      </c>
      <c r="X128" s="116">
        <v>1.66</v>
      </c>
      <c r="Y128" s="116">
        <f t="shared" si="86"/>
        <v>0.98024092668559493</v>
      </c>
      <c r="Z128" s="133">
        <v>1.454</v>
      </c>
      <c r="AA128" s="133">
        <v>0.83599999999999997</v>
      </c>
      <c r="AB128" s="133">
        <v>0.72</v>
      </c>
      <c r="AC128" s="121">
        <v>34.299999999999997</v>
      </c>
      <c r="AD128" s="134">
        <v>1.17</v>
      </c>
      <c r="AE128" s="124">
        <v>177.8</v>
      </c>
      <c r="AF128" s="128">
        <v>9.19</v>
      </c>
      <c r="AG128" s="128">
        <v>1978</v>
      </c>
      <c r="AH128" s="127">
        <v>2770</v>
      </c>
      <c r="AI128" s="127">
        <v>2770</v>
      </c>
      <c r="AJ128" s="135"/>
      <c r="AK128" s="128"/>
      <c r="AL128" s="131"/>
      <c r="AM128" s="124" t="s">
        <v>232</v>
      </c>
      <c r="AN128" s="136" t="s">
        <v>703</v>
      </c>
      <c r="AO128" s="137">
        <v>50.79</v>
      </c>
      <c r="AP128" s="128">
        <v>1978</v>
      </c>
      <c r="AQ128" s="128">
        <v>120.7</v>
      </c>
      <c r="AR128" s="128"/>
      <c r="AS128" s="128"/>
      <c r="AT128" s="122"/>
      <c r="AU128" s="124" t="s">
        <v>250</v>
      </c>
      <c r="AV128" s="115">
        <f>VLOOKUP(J128,'[63]ТР нефть'!$J$28:$BP$638,39,0)</f>
        <v>560</v>
      </c>
      <c r="AW128" s="115" t="str">
        <f>VLOOKUP(J128,'[63]ТР нефть'!$J$28:$BP$638,40,0)</f>
        <v>ГК 89 1/8</v>
      </c>
      <c r="AX128" s="115">
        <f>VLOOKUP(J128,'[63]ТР нефть'!$J$28:$BP$638,41,0)</f>
        <v>1000</v>
      </c>
      <c r="AY128" s="115" t="str">
        <f>VLOOKUP(J128,'[63]ТР нефть'!$J$28:$BP$638,42,0)</f>
        <v>ГК 87 1/8</v>
      </c>
      <c r="AZ128" s="115">
        <f>VLOOKUP(J128,'[63]ТР нефть'!$J$28:$BP$638,43,0)</f>
        <v>1349.999978906</v>
      </c>
      <c r="BA128" s="115" t="str">
        <f>VLOOKUP(J128,'[63]ТР нефть'!$J$28:$BP$638,44,0)</f>
        <v>ГК 86 1/8</v>
      </c>
      <c r="BB128" s="115">
        <f>VLOOKUP(J128,'[63]ТР нефть'!$J$28:$BP$638,45,0)</f>
        <v>1660.0000335939999</v>
      </c>
      <c r="BC128" s="115" t="str">
        <f>VLOOKUP(J128,'[63]ТР нефть'!$J$28:$BP$638,46,0)</f>
        <v>ГК 85 5/32</v>
      </c>
      <c r="BD128" s="115">
        <f>VLOOKUP(J128,'[63]ТР нефть'!$J$28:$BP$638,47,0)</f>
        <v>1957.999927734</v>
      </c>
      <c r="BE128" s="115" t="str">
        <f>VLOOKUP(J128,'[63]ТР нефть'!$J$28:$BP$638,48,0)</f>
        <v>ЦКсОК 5/16</v>
      </c>
      <c r="BF128" s="115" t="str">
        <f>VLOOKUP(J128,'[63]ТР нефть'!$J$28:$BP$638,49,0)</f>
        <v>-</v>
      </c>
      <c r="BG128" s="115" t="str">
        <f>VLOOKUP(J128,'[63]ТР нефть'!$J$28:$BP$638,50,0)</f>
        <v>-</v>
      </c>
      <c r="BH128" s="115">
        <f>VLOOKUP(J128,'[63]ТР нефть'!$J$28:$BP$638,51,0)</f>
        <v>1810</v>
      </c>
      <c r="BI128" s="115" t="str">
        <f>VLOOKUP(J128,'[63]ТР нефть'!$J$28:$BP$638,52,0)</f>
        <v>закрыт</v>
      </c>
      <c r="BJ128" s="115" t="str">
        <f>IF(IFERROR(VLOOKUP(J128,'[63]ТР нефть'!$J$28:$BP$638,53,0),"-")=0,"-",IFERROR(VLOOKUP(J128,'[63]ТР нефть'!$J$28:$BP$638,53,0),"-"))</f>
        <v>-</v>
      </c>
      <c r="BK128" s="138" t="str">
        <f>IF(IFERROR(VLOOKUP(J128,'[63]ТР нефть'!$J$28:$BP$638,54,0),"-")=0,"-",IFERROR(VLOOKUP(J128,'[63]ТР нефть'!$J$28:$BP$638,54,0),"-"))</f>
        <v>-</v>
      </c>
      <c r="BL128" s="138" t="str">
        <f>IF(IFERROR(VLOOKUP(J128,'[63]ТР нефть'!$J$28:$BP$638,55,0),"-")=0,"-",IFERROR(VLOOKUP(J128,'[63]ТР нефть'!$J$28:$BP$638,55,0),"-"))</f>
        <v>-</v>
      </c>
      <c r="BM128" s="138" t="str">
        <f>IF(IFERROR(VLOOKUP(J128,'[63]ТР нефть'!$J$28:$BP$638,56,0),"-")=0,"-",IFERROR(VLOOKUP(J128,'[63]ТР нефть'!$J$28:$BP$638,56,0),"-"))</f>
        <v>-</v>
      </c>
      <c r="BN128" s="138" t="str">
        <f>IF(IFERROR(VLOOKUP(J128,'[63]ТР нефть'!$J$28:$BP$638,57,0),"-")=0,"-",IFERROR(VLOOKUP(J128,'[63]ТР нефть'!$J$28:$BP$638,57,0),"-"))</f>
        <v>-</v>
      </c>
      <c r="BO128" s="115" t="str">
        <f>IF(IFERROR(VLOOKUP(J128,'[63]ТР нефть'!$J$28:$BP$638,58,0),"-")=0,"-",IFERROR(VLOOKUP(J128,'[63]ТР нефть'!$J$28:$BP$638,58,0),"-"))</f>
        <v>-</v>
      </c>
      <c r="BP128" s="115" t="str">
        <f>IF(IFERROR(VLOOKUP(J128,'[63]ТР нефть'!$J$28:$BP$638,59,0),"-")=0,"-",IFERROR(VLOOKUP(J128,'[63]ТР нефть'!$J$28:$BP$638,59,0),"-"))</f>
        <v>-</v>
      </c>
      <c r="BQ128" s="138">
        <v>2019</v>
      </c>
      <c r="BR128" s="128">
        <v>1877</v>
      </c>
      <c r="BS128" s="115">
        <f t="shared" si="60"/>
        <v>142</v>
      </c>
      <c r="BT128" s="128">
        <v>73</v>
      </c>
      <c r="BU128" s="128">
        <v>5.5</v>
      </c>
      <c r="BV128" s="127">
        <v>18</v>
      </c>
      <c r="BW128" s="127" t="s">
        <v>234</v>
      </c>
      <c r="BX128" s="127" t="s">
        <v>218</v>
      </c>
      <c r="BY128" s="139">
        <v>24</v>
      </c>
      <c r="BZ128" s="139">
        <v>720</v>
      </c>
      <c r="CA128" s="138">
        <v>45</v>
      </c>
      <c r="CB128" s="138">
        <v>47</v>
      </c>
      <c r="CC128" s="138">
        <v>38</v>
      </c>
      <c r="CD128" s="135">
        <v>45017</v>
      </c>
      <c r="CE128" s="138">
        <v>260.2</v>
      </c>
      <c r="CF128" s="138"/>
      <c r="CG128" s="138"/>
      <c r="CH128" s="138"/>
      <c r="CI128" s="138">
        <v>6</v>
      </c>
      <c r="CJ128" s="138"/>
      <c r="CK128" s="138"/>
      <c r="CL128" s="99"/>
      <c r="CM128" s="127"/>
      <c r="CN128" s="154">
        <v>68</v>
      </c>
      <c r="CO128" s="141">
        <f t="shared" si="61"/>
        <v>6.2662379999999995</v>
      </c>
      <c r="CP128" s="142">
        <v>7.5</v>
      </c>
      <c r="CQ128" s="143">
        <v>0.06</v>
      </c>
      <c r="CR128" s="138">
        <v>35</v>
      </c>
      <c r="CS128" s="139"/>
      <c r="CT128" s="138"/>
      <c r="CU128" s="138">
        <f t="shared" si="62"/>
        <v>35</v>
      </c>
      <c r="CV128" s="115">
        <f t="shared" si="63"/>
        <v>5585.4884541570245</v>
      </c>
      <c r="CW128" s="115" t="str">
        <f t="shared" si="64"/>
        <v/>
      </c>
      <c r="CX128" s="133">
        <f t="shared" si="65"/>
        <v>3.9021852237252866E-2</v>
      </c>
      <c r="CY128" s="116"/>
      <c r="CZ128" s="131"/>
      <c r="DA128" s="145" t="str">
        <f t="shared" si="66"/>
        <v>Фон.</v>
      </c>
      <c r="DB128" s="146">
        <f t="shared" si="67"/>
        <v>6.2662379999999995</v>
      </c>
      <c r="DC128" s="142">
        <f t="shared" si="68"/>
        <v>7.5</v>
      </c>
      <c r="DD128" s="119">
        <f t="shared" si="69"/>
        <v>0.06</v>
      </c>
      <c r="DE128" s="115">
        <f t="shared" si="70"/>
        <v>35</v>
      </c>
      <c r="DF128" s="121">
        <f t="shared" si="71"/>
        <v>0</v>
      </c>
      <c r="DG128" s="115">
        <f t="shared" si="72"/>
        <v>5585.4884541570245</v>
      </c>
      <c r="DH128" s="115">
        <f t="shared" si="73"/>
        <v>68</v>
      </c>
      <c r="DI128" s="147"/>
      <c r="DJ128" s="111" t="s">
        <v>197</v>
      </c>
      <c r="DK128" s="112">
        <v>43643</v>
      </c>
      <c r="DL128" s="113">
        <f t="shared" ca="1" si="87"/>
        <v>1461</v>
      </c>
      <c r="DM128" s="114"/>
      <c r="DN128" s="114"/>
      <c r="DO128" s="114"/>
      <c r="DP128" s="114"/>
      <c r="DQ128" s="112">
        <v>43910</v>
      </c>
      <c r="DR128" s="114" t="s">
        <v>198</v>
      </c>
      <c r="DS128" s="114"/>
      <c r="DT128" s="115">
        <v>60</v>
      </c>
      <c r="DU128" s="116">
        <f t="shared" si="88"/>
        <v>3.8228019261034113E-2</v>
      </c>
      <c r="DV128" s="117">
        <f t="shared" si="89"/>
        <v>6.3942776753381887</v>
      </c>
      <c r="DW128" s="118">
        <f t="shared" si="90"/>
        <v>7.6532494560590294</v>
      </c>
      <c r="DX128" s="119">
        <f t="shared" si="74"/>
        <v>0.06</v>
      </c>
      <c r="DY128" s="115">
        <f t="shared" si="91"/>
        <v>35.715164128275475</v>
      </c>
      <c r="DZ128" s="117">
        <f t="shared" si="92"/>
        <v>0.12803967533818916</v>
      </c>
      <c r="EA128" s="120">
        <f t="shared" si="92"/>
        <v>0.1532494560590294</v>
      </c>
      <c r="EB128" s="119">
        <f t="shared" si="92"/>
        <v>0</v>
      </c>
      <c r="EC128" s="121">
        <f t="shared" si="93"/>
        <v>0.71516412827547526</v>
      </c>
      <c r="ED128" s="122"/>
      <c r="EE128" s="145">
        <v>18</v>
      </c>
      <c r="EF128" s="115">
        <v>45</v>
      </c>
      <c r="EG128" s="115">
        <v>47</v>
      </c>
      <c r="EH128" s="115">
        <v>38</v>
      </c>
      <c r="EI128" s="128" t="s">
        <v>218</v>
      </c>
      <c r="EJ128" s="121">
        <v>24</v>
      </c>
      <c r="EK128" s="121">
        <v>720</v>
      </c>
      <c r="EL128" s="149">
        <v>6.2662379999999995</v>
      </c>
      <c r="EM128" s="142">
        <v>7.5</v>
      </c>
      <c r="EN128" s="119">
        <v>0.06</v>
      </c>
      <c r="EO128" s="115">
        <v>35</v>
      </c>
      <c r="EP128" s="115">
        <v>5585.4884541570245</v>
      </c>
      <c r="EQ128" s="115">
        <v>0</v>
      </c>
      <c r="ER128" s="115">
        <v>0</v>
      </c>
      <c r="ES128" s="115">
        <v>68</v>
      </c>
      <c r="ET128" s="150">
        <v>3.9021852237252866E-2</v>
      </c>
      <c r="EU128" s="145">
        <f t="shared" si="75"/>
        <v>18</v>
      </c>
      <c r="EV128" s="115">
        <f t="shared" si="76"/>
        <v>45</v>
      </c>
      <c r="EW128" s="115">
        <f t="shared" si="76"/>
        <v>47</v>
      </c>
      <c r="EX128" s="115">
        <f t="shared" si="76"/>
        <v>38</v>
      </c>
      <c r="EY128" s="115" t="str">
        <f t="shared" si="98"/>
        <v>Периодический</v>
      </c>
      <c r="EZ128" s="115">
        <f t="shared" si="98"/>
        <v>24</v>
      </c>
      <c r="FA128" s="115">
        <f t="shared" si="98"/>
        <v>720</v>
      </c>
      <c r="FB128" s="149">
        <f t="shared" si="78"/>
        <v>6.2662379999999995</v>
      </c>
      <c r="FC128" s="142">
        <f t="shared" si="78"/>
        <v>7.5</v>
      </c>
      <c r="FD128" s="119">
        <f t="shared" si="78"/>
        <v>0.06</v>
      </c>
      <c r="FE128" s="121">
        <f t="shared" si="78"/>
        <v>35</v>
      </c>
      <c r="FF128" s="121">
        <f t="shared" si="94"/>
        <v>5585.4884541570245</v>
      </c>
      <c r="FG128" s="121">
        <f t="shared" si="79"/>
        <v>0</v>
      </c>
      <c r="FH128" s="121">
        <f t="shared" si="95"/>
        <v>0</v>
      </c>
      <c r="FI128" s="121">
        <f t="shared" si="97"/>
        <v>68</v>
      </c>
      <c r="FJ128" s="144">
        <f t="shared" si="80"/>
        <v>3.9021852237252866E-2</v>
      </c>
      <c r="FK128" s="132">
        <f t="shared" si="81"/>
        <v>0</v>
      </c>
      <c r="FL128" s="115">
        <f t="shared" si="81"/>
        <v>0</v>
      </c>
      <c r="FM128" s="115">
        <f t="shared" si="81"/>
        <v>0</v>
      </c>
      <c r="FN128" s="115">
        <f t="shared" si="58"/>
        <v>0</v>
      </c>
      <c r="FO128" s="115">
        <f t="shared" si="57"/>
        <v>0</v>
      </c>
      <c r="FP128" s="115">
        <f t="shared" si="57"/>
        <v>0</v>
      </c>
      <c r="FQ128" s="149">
        <f t="shared" si="57"/>
        <v>0</v>
      </c>
      <c r="FR128" s="142">
        <f t="shared" si="57"/>
        <v>0</v>
      </c>
      <c r="FS128" s="119">
        <f t="shared" si="57"/>
        <v>0</v>
      </c>
      <c r="FT128" s="121">
        <f t="shared" si="57"/>
        <v>0</v>
      </c>
      <c r="FU128" s="121">
        <f t="shared" si="82"/>
        <v>0</v>
      </c>
      <c r="FV128" s="121">
        <f t="shared" si="82"/>
        <v>0</v>
      </c>
      <c r="FW128" s="121">
        <f t="shared" si="83"/>
        <v>0</v>
      </c>
      <c r="FX128" s="121">
        <f t="shared" si="84"/>
        <v>0</v>
      </c>
      <c r="FY128" s="144">
        <f t="shared" si="84"/>
        <v>0</v>
      </c>
      <c r="FZ128" s="145"/>
      <c r="GA128" s="151"/>
      <c r="GB128" s="145"/>
      <c r="GC128" s="151" t="s">
        <v>704</v>
      </c>
      <c r="GD128" s="997" t="s">
        <v>238</v>
      </c>
      <c r="GE128" s="1004"/>
      <c r="GF128" s="1004">
        <v>0</v>
      </c>
      <c r="GG128" s="1004"/>
      <c r="GH128" s="1004">
        <v>0</v>
      </c>
      <c r="GI128" s="145"/>
      <c r="GJ128" s="996">
        <v>0</v>
      </c>
      <c r="GK128" s="145"/>
      <c r="GL128" s="996">
        <v>0</v>
      </c>
      <c r="GM128" s="1005"/>
      <c r="GN128" s="996">
        <v>0</v>
      </c>
      <c r="GO128" s="1006"/>
      <c r="GP128" s="996">
        <v>0</v>
      </c>
      <c r="GQ128" s="1006"/>
      <c r="GR128" s="996">
        <v>0</v>
      </c>
      <c r="GS128" s="1006" t="s">
        <v>199</v>
      </c>
      <c r="GT128" s="996">
        <v>-5.1100160206451601</v>
      </c>
      <c r="GU128" s="1006"/>
      <c r="GV128" s="996">
        <v>0</v>
      </c>
      <c r="GW128" s="1006"/>
      <c r="GX128" s="997">
        <v>0</v>
      </c>
      <c r="GY128" s="1006"/>
      <c r="GZ128" s="996">
        <v>0</v>
      </c>
      <c r="HA128" s="1006"/>
      <c r="HB128" s="996">
        <v>0</v>
      </c>
      <c r="HC128" s="1006"/>
      <c r="HD128" s="996">
        <v>0</v>
      </c>
      <c r="HE128" s="1006"/>
      <c r="HF128" s="996">
        <v>0.54797559519999872</v>
      </c>
      <c r="HG128" s="1006" t="s">
        <v>204</v>
      </c>
      <c r="HH128" s="996">
        <v>-2.5948680911999995</v>
      </c>
      <c r="HI128" s="1006"/>
      <c r="HJ128" s="996">
        <v>0</v>
      </c>
      <c r="HK128" s="1006" t="s">
        <v>199</v>
      </c>
      <c r="HL128" s="996">
        <v>3.0410703840000002</v>
      </c>
      <c r="HM128" s="1006"/>
      <c r="HN128" s="996">
        <v>0</v>
      </c>
      <c r="HO128" s="1006" t="s">
        <v>199</v>
      </c>
      <c r="HP128" s="996">
        <v>-7.2171879999999993</v>
      </c>
      <c r="HQ128" s="1006"/>
      <c r="HR128" s="996">
        <v>0</v>
      </c>
      <c r="HS128" s="1006"/>
      <c r="HT128" s="996">
        <v>0</v>
      </c>
      <c r="HU128" s="1006"/>
      <c r="HV128" s="996">
        <v>0</v>
      </c>
      <c r="HW128" s="1006"/>
      <c r="HX128" s="996">
        <v>0</v>
      </c>
      <c r="HY128" s="1006"/>
      <c r="HZ128" s="996">
        <v>-0.20063999999999993</v>
      </c>
      <c r="IA128" s="1006" t="s">
        <v>199</v>
      </c>
      <c r="IB128" s="996">
        <v>-1.6720000000000006</v>
      </c>
      <c r="IC128" s="1006"/>
      <c r="ID128" s="996">
        <v>0.8360000000000003</v>
      </c>
      <c r="IE128" s="1006" t="s">
        <v>199</v>
      </c>
      <c r="IF128" s="996">
        <v>0.33440000000000047</v>
      </c>
      <c r="IG128" s="1006" t="s">
        <v>204</v>
      </c>
      <c r="IH128" s="996">
        <v>1.3375999999999983</v>
      </c>
      <c r="II128" s="1006"/>
      <c r="IJ128" s="996">
        <v>0</v>
      </c>
      <c r="IK128" s="1006"/>
      <c r="IL128" s="996">
        <v>0</v>
      </c>
      <c r="IM128" s="1006" t="s">
        <v>199</v>
      </c>
      <c r="IN128" s="996">
        <v>-1.6719999999999988</v>
      </c>
      <c r="IO128" s="1006"/>
      <c r="IP128" s="996">
        <v>0</v>
      </c>
      <c r="IQ128" s="1006"/>
      <c r="IR128" s="996">
        <v>-0.68342999999999776</v>
      </c>
      <c r="IS128" s="1006" t="s">
        <v>203</v>
      </c>
      <c r="IT128" s="996">
        <v>-3.170530000000003</v>
      </c>
      <c r="IU128" s="1006" t="s">
        <v>199</v>
      </c>
      <c r="IV128" s="996">
        <v>2.1819600000000001</v>
      </c>
      <c r="IW128" s="1006"/>
      <c r="IX128" s="996">
        <v>1.0119445599999999</v>
      </c>
      <c r="IY128" s="1006"/>
      <c r="IZ128" s="996">
        <v>0</v>
      </c>
      <c r="JA128" s="1006"/>
      <c r="JB128" s="996">
        <v>5.5440000000572809E-5</v>
      </c>
      <c r="JC128" s="1006" t="s">
        <v>25</v>
      </c>
      <c r="JD128" s="996">
        <v>3.2</v>
      </c>
      <c r="JE128" s="1006"/>
      <c r="JF128" s="996">
        <v>0</v>
      </c>
      <c r="JG128" s="1006" t="s">
        <v>199</v>
      </c>
      <c r="JH128" s="996">
        <v>2.8289387279999989</v>
      </c>
      <c r="JI128" s="1006" t="s">
        <v>199</v>
      </c>
      <c r="JJ128" s="996">
        <v>-4.9966867280000002</v>
      </c>
      <c r="JK128" s="1007"/>
      <c r="JL128" s="1007">
        <v>0</v>
      </c>
      <c r="JM128" s="1007" t="s">
        <v>204</v>
      </c>
      <c r="JN128" s="1007">
        <v>-6.9617063999999971</v>
      </c>
      <c r="JO128" s="1008" t="s">
        <v>204</v>
      </c>
      <c r="JP128" s="1007">
        <v>-3.364048952000001</v>
      </c>
      <c r="JQ128" s="1008" t="s">
        <v>204</v>
      </c>
      <c r="JR128" s="1007">
        <v>16.684036952</v>
      </c>
      <c r="JS128" s="1008" t="s">
        <v>224</v>
      </c>
      <c r="JT128" s="1007">
        <v>0</v>
      </c>
      <c r="JU128" s="1008" t="s">
        <v>705</v>
      </c>
      <c r="JV128" s="1007">
        <v>0</v>
      </c>
      <c r="JW128" s="1008" t="s">
        <v>197</v>
      </c>
      <c r="JX128" s="1007">
        <v>0</v>
      </c>
      <c r="JY128" s="1008"/>
      <c r="JZ128" s="1007">
        <v>0</v>
      </c>
      <c r="KA128" s="1008"/>
      <c r="KB128" s="1007">
        <v>0</v>
      </c>
      <c r="KC128" s="1008" t="s">
        <v>204</v>
      </c>
      <c r="KD128" s="1007">
        <v>-1.0891408</v>
      </c>
      <c r="KE128" s="1008" t="s">
        <v>204</v>
      </c>
      <c r="KF128" s="1007">
        <v>-1.6669840000000002</v>
      </c>
      <c r="KG128" s="1008" t="s">
        <v>204</v>
      </c>
      <c r="KH128" s="1007">
        <v>-3.2988559999999989</v>
      </c>
      <c r="KI128" s="1008" t="s">
        <v>206</v>
      </c>
      <c r="KJ128" s="1007">
        <v>2.6049759999999988</v>
      </c>
      <c r="KK128" s="1008" t="s">
        <v>206</v>
      </c>
      <c r="KL128" s="1007">
        <v>1.337600000000001</v>
      </c>
      <c r="KM128" s="1008"/>
      <c r="KN128" s="1007">
        <v>0</v>
      </c>
      <c r="KO128" s="1008"/>
      <c r="KP128" s="1007">
        <v>0</v>
      </c>
      <c r="KQ128" s="1008" t="s">
        <v>206</v>
      </c>
      <c r="KR128" s="1007">
        <v>-1.5048000000000004</v>
      </c>
      <c r="KS128" s="1008" t="s">
        <v>207</v>
      </c>
      <c r="KT128" s="1007">
        <v>-5.016</v>
      </c>
      <c r="KU128" s="1008">
        <v>0</v>
      </c>
      <c r="KV128" s="1007">
        <v>0</v>
      </c>
      <c r="KW128" s="1008">
        <v>0</v>
      </c>
      <c r="KX128" s="1007">
        <v>0</v>
      </c>
      <c r="KY128" s="1008">
        <v>0</v>
      </c>
      <c r="KZ128" s="1007">
        <v>0</v>
      </c>
      <c r="LA128" s="1008">
        <v>0</v>
      </c>
      <c r="LB128" s="1007">
        <v>0</v>
      </c>
      <c r="LC128" s="1008">
        <v>0</v>
      </c>
      <c r="LD128" s="1007">
        <v>0</v>
      </c>
      <c r="LE128" s="1008">
        <v>0</v>
      </c>
      <c r="LF128" s="1007">
        <v>0</v>
      </c>
      <c r="LG128" s="1008">
        <v>0</v>
      </c>
      <c r="LH128" s="1007">
        <v>0</v>
      </c>
      <c r="LI128" s="1008">
        <v>0</v>
      </c>
      <c r="LJ128" s="1007">
        <v>0</v>
      </c>
      <c r="LK128" s="1008" t="s">
        <v>204</v>
      </c>
      <c r="LL128" s="1007">
        <v>-1.5336000000000001</v>
      </c>
      <c r="LM128" s="1008" t="s">
        <v>221</v>
      </c>
      <c r="LN128" s="1007">
        <v>-1.68872</v>
      </c>
      <c r="LO128" s="1008" t="s">
        <v>221</v>
      </c>
      <c r="LP128" s="1007">
        <v>5.4572000000000003</v>
      </c>
      <c r="LQ128" s="1008">
        <v>0</v>
      </c>
      <c r="LR128" s="1007">
        <v>11.286</v>
      </c>
      <c r="LS128" s="1008">
        <v>0</v>
      </c>
      <c r="LT128" s="1007">
        <v>-11.882446399999999</v>
      </c>
      <c r="LU128" s="1008">
        <v>0</v>
      </c>
      <c r="LV128" s="1007">
        <v>0</v>
      </c>
      <c r="LW128" s="1008" t="s">
        <v>207</v>
      </c>
      <c r="LX128" s="1007">
        <v>-1.9789424160000024</v>
      </c>
      <c r="LY128" s="1009">
        <v>0</v>
      </c>
      <c r="LZ128" s="1010">
        <v>-0.13877599999965201</v>
      </c>
      <c r="MA128" s="1011" t="s">
        <v>206</v>
      </c>
      <c r="MB128" s="1012">
        <v>1.5198463279999999</v>
      </c>
      <c r="MC128" s="995"/>
      <c r="MD128" s="996"/>
      <c r="ME128" s="997" t="s">
        <v>238</v>
      </c>
      <c r="MF128" s="997"/>
      <c r="MG128" s="998"/>
      <c r="NR128" s="1000"/>
      <c r="NS128" s="1000"/>
      <c r="NT128" s="1001"/>
      <c r="NU128" s="1000"/>
      <c r="NV128" s="1001"/>
      <c r="NX128" s="1002"/>
      <c r="NZ128" s="1001"/>
      <c r="OA128" s="1001"/>
      <c r="OC128" s="1003"/>
      <c r="OD128" s="1003"/>
      <c r="OE128" s="1001"/>
      <c r="OF128" s="1003"/>
      <c r="OG128" s="1003"/>
      <c r="QX128" s="1000">
        <f t="shared" si="96"/>
        <v>23</v>
      </c>
      <c r="ASU128" s="999" t="s">
        <v>292</v>
      </c>
    </row>
    <row r="129" spans="1:466 1191:1191" ht="21" customHeight="1" x14ac:dyDescent="0.25">
      <c r="A129" s="982" t="str">
        <f t="shared" si="59"/>
        <v>1040-1</v>
      </c>
      <c r="B129" s="124">
        <f>SUBTOTAL(103,$J$29:J129)</f>
        <v>101</v>
      </c>
      <c r="C129" s="126">
        <v>45068</v>
      </c>
      <c r="D129" s="124" t="s">
        <v>176</v>
      </c>
      <c r="E129" s="127" t="s">
        <v>177</v>
      </c>
      <c r="F129" s="128" t="s">
        <v>177</v>
      </c>
      <c r="G129" s="127" t="s">
        <v>178</v>
      </c>
      <c r="H129" s="127" t="s">
        <v>421</v>
      </c>
      <c r="I129" s="127" t="s">
        <v>422</v>
      </c>
      <c r="J129" s="129" t="s">
        <v>706</v>
      </c>
      <c r="K129" s="127" t="s">
        <v>707</v>
      </c>
      <c r="L129" s="130">
        <v>40444</v>
      </c>
      <c r="M129" s="127" t="s">
        <v>230</v>
      </c>
      <c r="N129" s="127" t="s">
        <v>465</v>
      </c>
      <c r="O129" s="127" t="s">
        <v>185</v>
      </c>
      <c r="P129" s="127" t="s">
        <v>186</v>
      </c>
      <c r="Q129" s="85" t="str">
        <f t="shared" si="85"/>
        <v/>
      </c>
      <c r="R129" s="130"/>
      <c r="S129" s="128"/>
      <c r="T129" s="131"/>
      <c r="U129" s="132">
        <v>203</v>
      </c>
      <c r="V129" s="121">
        <v>218.2</v>
      </c>
      <c r="W129" s="116">
        <v>0.98</v>
      </c>
      <c r="X129" s="116">
        <v>1.66</v>
      </c>
      <c r="Y129" s="116">
        <f t="shared" si="86"/>
        <v>0.98</v>
      </c>
      <c r="Z129" s="133">
        <v>1.454</v>
      </c>
      <c r="AA129" s="133">
        <v>0.83599999999999997</v>
      </c>
      <c r="AB129" s="133">
        <v>0.72</v>
      </c>
      <c r="AC129" s="121">
        <v>34.299999999999997</v>
      </c>
      <c r="AD129" s="134">
        <v>1.17</v>
      </c>
      <c r="AE129" s="124">
        <v>139.69999999999999</v>
      </c>
      <c r="AF129" s="128">
        <v>7.72</v>
      </c>
      <c r="AG129" s="128">
        <v>1989</v>
      </c>
      <c r="AH129" s="127">
        <v>2690</v>
      </c>
      <c r="AI129" s="127">
        <v>2690</v>
      </c>
      <c r="AJ129" s="135"/>
      <c r="AK129" s="128"/>
      <c r="AL129" s="131"/>
      <c r="AM129" s="124" t="s">
        <v>232</v>
      </c>
      <c r="AN129" s="136" t="s">
        <v>708</v>
      </c>
      <c r="AO129" s="137">
        <v>32.299999999999997</v>
      </c>
      <c r="AP129" s="128">
        <v>1924</v>
      </c>
      <c r="AQ129" s="128">
        <v>22.11</v>
      </c>
      <c r="AR129" s="128" t="s">
        <v>709</v>
      </c>
      <c r="AS129" s="128">
        <v>102</v>
      </c>
      <c r="AT129" s="122">
        <v>6.5</v>
      </c>
      <c r="AU129" s="124" t="s">
        <v>189</v>
      </c>
      <c r="AV129" s="115">
        <f>VLOOKUP(J129,'[63]ТР нефть'!$J$28:$BP$638,39,0)</f>
        <v>529.99998427699995</v>
      </c>
      <c r="AW129" s="115" t="str">
        <f>VLOOKUP(J129,'[63]ТР нефть'!$J$28:$BP$638,40,0)</f>
        <v>ГП</v>
      </c>
      <c r="AX129" s="115">
        <f>VLOOKUP(J129,'[63]ТР нефть'!$J$28:$BP$638,41,0)</f>
        <v>949.99998515599998</v>
      </c>
      <c r="AY129" s="115" t="str">
        <f>VLOOKUP(J129,'[63]ТР нефть'!$J$28:$BP$638,42,0)</f>
        <v>ГП</v>
      </c>
      <c r="AZ129" s="115">
        <f>VLOOKUP(J129,'[63]ТР нефть'!$J$28:$BP$638,43,0)</f>
        <v>1299.9999796879999</v>
      </c>
      <c r="BA129" s="115" t="str">
        <f>VLOOKUP(J129,'[63]ТР нефть'!$J$28:$BP$638,44,0)</f>
        <v>ГК 84 1/8</v>
      </c>
      <c r="BB129" s="115">
        <f>VLOOKUP(J129,'[63]ТР нефть'!$J$28:$BP$638,45,0)</f>
        <v>1599.9999749999999</v>
      </c>
      <c r="BC129" s="115" t="str">
        <f>VLOOKUP(J129,'[63]ТР нефть'!$J$28:$BP$638,46,0)</f>
        <v>ЦКсОК 5/16</v>
      </c>
      <c r="BD129" s="115" t="str">
        <f>VLOOKUP(J129,'[63]ТР нефть'!$J$28:$BP$638,47,0)</f>
        <v>-</v>
      </c>
      <c r="BE129" s="115" t="str">
        <f>VLOOKUP(J129,'[63]ТР нефть'!$J$28:$BP$638,48,0)</f>
        <v>-</v>
      </c>
      <c r="BF129" s="115" t="str">
        <f>VLOOKUP(J129,'[63]ТР нефть'!$J$28:$BP$638,49,0)</f>
        <v>-</v>
      </c>
      <c r="BG129" s="115" t="str">
        <f>VLOOKUP(J129,'[63]ТР нефть'!$J$28:$BP$638,50,0)</f>
        <v>-</v>
      </c>
      <c r="BH129" s="115">
        <f>VLOOKUP(J129,'[63]ТР нефть'!$J$28:$BP$638,51,0)</f>
        <v>1610</v>
      </c>
      <c r="BI129" s="115" t="str">
        <f>VLOOKUP(J129,'[63]ТР нефть'!$J$28:$BP$638,52,0)</f>
        <v>закрыт</v>
      </c>
      <c r="BJ129" s="115" t="str">
        <f>IF(IFERROR(VLOOKUP(J129,'[63]ТР нефть'!$J$28:$BP$638,53,0),"-")=0,"-",IFERROR(VLOOKUP(J129,'[63]ТР нефть'!$J$28:$BP$638,53,0),"-"))</f>
        <v>-</v>
      </c>
      <c r="BK129" s="138" t="str">
        <f>IF(IFERROR(VLOOKUP(J129,'[63]ТР нефть'!$J$28:$BP$638,54,0),"-")=0,"-",IFERROR(VLOOKUP(J129,'[63]ТР нефть'!$J$28:$BP$638,54,0),"-"))</f>
        <v>-</v>
      </c>
      <c r="BL129" s="138" t="str">
        <f>IF(IFERROR(VLOOKUP(J129,'[63]ТР нефть'!$J$28:$BP$638,55,0),"-")=0,"-",IFERROR(VLOOKUP(J129,'[63]ТР нефть'!$J$28:$BP$638,55,0),"-"))</f>
        <v>-</v>
      </c>
      <c r="BM129" s="138" t="str">
        <f>IF(IFERROR(VLOOKUP(J129,'[63]ТР нефть'!$J$28:$BP$638,56,0),"-")=0,"-",IFERROR(VLOOKUP(J129,'[63]ТР нефть'!$J$28:$BP$638,56,0),"-"))</f>
        <v>-</v>
      </c>
      <c r="BN129" s="138" t="str">
        <f>IF(IFERROR(VLOOKUP(J129,'[63]ТР нефть'!$J$28:$BP$638,57,0),"-")=0,"-",IFERROR(VLOOKUP(J129,'[63]ТР нефть'!$J$28:$BP$638,57,0),"-"))</f>
        <v>-</v>
      </c>
      <c r="BO129" s="115" t="str">
        <f>IF(IFERROR(VLOOKUP(J129,'[63]ТР нефть'!$J$28:$BP$638,58,0),"-")=0,"-",IFERROR(VLOOKUP(J129,'[63]ТР нефть'!$J$28:$BP$638,58,0),"-"))</f>
        <v>-</v>
      </c>
      <c r="BP129" s="115" t="str">
        <f>IF(IFERROR(VLOOKUP(J129,'[63]ТР нефть'!$J$28:$BP$638,59,0),"-")=0,"-",IFERROR(VLOOKUP(J129,'[63]ТР нефть'!$J$28:$BP$638,59,0),"-"))</f>
        <v>-</v>
      </c>
      <c r="BQ129" s="138">
        <v>1650</v>
      </c>
      <c r="BR129" s="128">
        <v>1631.29</v>
      </c>
      <c r="BS129" s="115">
        <f t="shared" si="60"/>
        <v>18.710000000000036</v>
      </c>
      <c r="BT129" s="128">
        <v>73</v>
      </c>
      <c r="BU129" s="128">
        <v>5.5</v>
      </c>
      <c r="BV129" s="127">
        <v>18</v>
      </c>
      <c r="BW129" s="127" t="s">
        <v>217</v>
      </c>
      <c r="BX129" s="127" t="s">
        <v>195</v>
      </c>
      <c r="BY129" s="139">
        <v>24</v>
      </c>
      <c r="BZ129" s="139">
        <v>0</v>
      </c>
      <c r="CA129" s="138">
        <v>26</v>
      </c>
      <c r="CB129" s="138">
        <v>48</v>
      </c>
      <c r="CC129" s="138">
        <v>25</v>
      </c>
      <c r="CD129" s="135">
        <v>45017</v>
      </c>
      <c r="CE129" s="138">
        <v>78</v>
      </c>
      <c r="CF129" s="138">
        <v>74</v>
      </c>
      <c r="CG129" s="138" t="str">
        <f t="shared" ref="CG129:CG150" si="99">IF(CH129&lt;&gt;"","В работе","")</f>
        <v>В работе</v>
      </c>
      <c r="CH129" s="138" t="s">
        <v>196</v>
      </c>
      <c r="CI129" s="127">
        <v>6</v>
      </c>
      <c r="CJ129" s="138"/>
      <c r="CK129" s="138"/>
      <c r="CL129" s="99"/>
      <c r="CM129" s="99"/>
      <c r="CN129" s="140">
        <v>52</v>
      </c>
      <c r="CO129" s="159">
        <f t="shared" si="61"/>
        <v>5.2667999999999999</v>
      </c>
      <c r="CP129" s="160">
        <v>6.3</v>
      </c>
      <c r="CQ129" s="161">
        <v>0</v>
      </c>
      <c r="CR129" s="138">
        <v>7</v>
      </c>
      <c r="CS129" s="138">
        <v>4</v>
      </c>
      <c r="CT129" s="138"/>
      <c r="CU129" s="138">
        <f t="shared" si="62"/>
        <v>3</v>
      </c>
      <c r="CV129" s="115">
        <f t="shared" si="63"/>
        <v>569.60583276372756</v>
      </c>
      <c r="CW129" s="115">
        <f t="shared" si="64"/>
        <v>759.47444368496997</v>
      </c>
      <c r="CX129" s="133">
        <f t="shared" si="65"/>
        <v>0.24230769230769231</v>
      </c>
      <c r="CY129" s="116"/>
      <c r="CZ129" s="131"/>
      <c r="DA129" s="145" t="str">
        <f t="shared" si="66"/>
        <v>Газлифт</v>
      </c>
      <c r="DB129" s="146">
        <f t="shared" si="67"/>
        <v>5.2667999999999999</v>
      </c>
      <c r="DC129" s="142">
        <f t="shared" si="68"/>
        <v>6.3</v>
      </c>
      <c r="DD129" s="119">
        <f t="shared" si="69"/>
        <v>0</v>
      </c>
      <c r="DE129" s="115">
        <f t="shared" si="70"/>
        <v>3</v>
      </c>
      <c r="DF129" s="121">
        <f t="shared" si="71"/>
        <v>4</v>
      </c>
      <c r="DG129" s="115">
        <f t="shared" si="72"/>
        <v>569.60583276372756</v>
      </c>
      <c r="DH129" s="115">
        <f t="shared" si="73"/>
        <v>52</v>
      </c>
      <c r="DI129" s="147"/>
      <c r="DJ129" s="111" t="s">
        <v>197</v>
      </c>
      <c r="DK129" s="112">
        <v>42234</v>
      </c>
      <c r="DL129" s="113">
        <f t="shared" ca="1" si="87"/>
        <v>2870</v>
      </c>
      <c r="DM129" s="114"/>
      <c r="DN129" s="114"/>
      <c r="DO129" s="114"/>
      <c r="DP129" s="114"/>
      <c r="DQ129" s="112">
        <v>43494</v>
      </c>
      <c r="DR129" s="114" t="s">
        <v>198</v>
      </c>
      <c r="DS129" s="114"/>
      <c r="DT129" s="115">
        <v>55</v>
      </c>
      <c r="DU129" s="116">
        <f t="shared" si="88"/>
        <v>0.27391304347826084</v>
      </c>
      <c r="DV129" s="117">
        <f t="shared" si="89"/>
        <v>5.2667999999999999</v>
      </c>
      <c r="DW129" s="118">
        <f t="shared" si="90"/>
        <v>6.3</v>
      </c>
      <c r="DX129" s="119">
        <f t="shared" si="74"/>
        <v>0</v>
      </c>
      <c r="DY129" s="115">
        <f t="shared" si="91"/>
        <v>3.0000000000000004</v>
      </c>
      <c r="DZ129" s="117">
        <f t="shared" si="92"/>
        <v>0</v>
      </c>
      <c r="EA129" s="120">
        <f t="shared" si="92"/>
        <v>0</v>
      </c>
      <c r="EB129" s="119">
        <f t="shared" si="92"/>
        <v>0</v>
      </c>
      <c r="EC129" s="121">
        <f t="shared" si="93"/>
        <v>0</v>
      </c>
      <c r="ED129" s="122"/>
      <c r="EE129" s="145">
        <v>18</v>
      </c>
      <c r="EF129" s="115">
        <v>26</v>
      </c>
      <c r="EG129" s="115">
        <v>48</v>
      </c>
      <c r="EH129" s="115">
        <v>25</v>
      </c>
      <c r="EI129" s="128" t="s">
        <v>195</v>
      </c>
      <c r="EJ129" s="121">
        <v>24</v>
      </c>
      <c r="EK129" s="121">
        <v>0</v>
      </c>
      <c r="EL129" s="159">
        <f>EM129*(1-EN129/100)*0.836</f>
        <v>5.2667999999999999</v>
      </c>
      <c r="EM129" s="142">
        <v>6.3</v>
      </c>
      <c r="EN129" s="119">
        <v>0</v>
      </c>
      <c r="EO129" s="138">
        <v>7</v>
      </c>
      <c r="EP129" s="115">
        <v>569.60583276372756</v>
      </c>
      <c r="EQ129" s="115">
        <v>74</v>
      </c>
      <c r="ER129" s="115">
        <v>4</v>
      </c>
      <c r="ES129" s="115">
        <v>52</v>
      </c>
      <c r="ET129" s="150">
        <v>0.18153846153846154</v>
      </c>
      <c r="EU129" s="145">
        <f t="shared" si="75"/>
        <v>18</v>
      </c>
      <c r="EV129" s="115">
        <f t="shared" si="76"/>
        <v>26</v>
      </c>
      <c r="EW129" s="115">
        <f t="shared" si="76"/>
        <v>48</v>
      </c>
      <c r="EX129" s="115">
        <f t="shared" si="76"/>
        <v>25</v>
      </c>
      <c r="EY129" s="115" t="str">
        <f t="shared" si="98"/>
        <v>Постоянный</v>
      </c>
      <c r="EZ129" s="115">
        <f t="shared" si="98"/>
        <v>24</v>
      </c>
      <c r="FA129" s="115">
        <f t="shared" si="98"/>
        <v>0</v>
      </c>
      <c r="FB129" s="149">
        <f t="shared" si="78"/>
        <v>5.2667999999999999</v>
      </c>
      <c r="FC129" s="142">
        <f t="shared" si="78"/>
        <v>6.3</v>
      </c>
      <c r="FD129" s="119">
        <f t="shared" si="78"/>
        <v>0</v>
      </c>
      <c r="FE129" s="121">
        <f t="shared" si="78"/>
        <v>7</v>
      </c>
      <c r="FF129" s="121">
        <f t="shared" si="94"/>
        <v>569.60583276372756</v>
      </c>
      <c r="FG129" s="121">
        <f t="shared" si="79"/>
        <v>74</v>
      </c>
      <c r="FH129" s="121">
        <f t="shared" si="95"/>
        <v>4</v>
      </c>
      <c r="FI129" s="121">
        <f t="shared" si="97"/>
        <v>52</v>
      </c>
      <c r="FJ129" s="144">
        <f t="shared" si="80"/>
        <v>0.24230769230769231</v>
      </c>
      <c r="FK129" s="132">
        <f t="shared" si="81"/>
        <v>0</v>
      </c>
      <c r="FL129" s="115">
        <f t="shared" si="81"/>
        <v>0</v>
      </c>
      <c r="FM129" s="115">
        <f t="shared" si="81"/>
        <v>0</v>
      </c>
      <c r="FN129" s="115">
        <f t="shared" si="58"/>
        <v>0</v>
      </c>
      <c r="FO129" s="115">
        <f t="shared" si="57"/>
        <v>0</v>
      </c>
      <c r="FP129" s="115">
        <f t="shared" si="57"/>
        <v>0</v>
      </c>
      <c r="FQ129" s="149">
        <f t="shared" si="57"/>
        <v>0</v>
      </c>
      <c r="FR129" s="142">
        <f t="shared" si="57"/>
        <v>0</v>
      </c>
      <c r="FS129" s="119">
        <f t="shared" si="57"/>
        <v>0</v>
      </c>
      <c r="FT129" s="121">
        <f t="shared" si="57"/>
        <v>0</v>
      </c>
      <c r="FU129" s="121">
        <f t="shared" si="82"/>
        <v>0</v>
      </c>
      <c r="FV129" s="121">
        <f t="shared" si="82"/>
        <v>0</v>
      </c>
      <c r="FW129" s="121">
        <f t="shared" si="83"/>
        <v>0</v>
      </c>
      <c r="FX129" s="121">
        <f t="shared" si="84"/>
        <v>0</v>
      </c>
      <c r="FY129" s="144">
        <f t="shared" si="84"/>
        <v>6.076923076923077E-2</v>
      </c>
      <c r="FZ129" s="145" t="s">
        <v>204</v>
      </c>
      <c r="GA129" s="151" t="s">
        <v>710</v>
      </c>
      <c r="GB129" s="145"/>
      <c r="GC129" s="151"/>
      <c r="GD129" s="997" t="s">
        <v>416</v>
      </c>
      <c r="GE129" s="1004"/>
      <c r="GF129" s="1004">
        <v>0</v>
      </c>
      <c r="GG129" s="1004"/>
      <c r="GH129" s="1004">
        <v>0</v>
      </c>
      <c r="GI129" s="145"/>
      <c r="GJ129" s="996">
        <v>0</v>
      </c>
      <c r="GK129" s="145"/>
      <c r="GL129" s="996">
        <v>0</v>
      </c>
      <c r="GM129" s="1005"/>
      <c r="GN129" s="996">
        <v>0</v>
      </c>
      <c r="GO129" s="1006" t="s">
        <v>199</v>
      </c>
      <c r="GP129" s="996">
        <v>-5.6145759999999996</v>
      </c>
      <c r="GQ129" s="1006"/>
      <c r="GR129" s="996">
        <v>0.59021599999999985</v>
      </c>
      <c r="GS129" s="1006" t="s">
        <v>221</v>
      </c>
      <c r="GT129" s="996">
        <v>2.6329839999999995</v>
      </c>
      <c r="GU129" s="1006"/>
      <c r="GV129" s="996">
        <v>0</v>
      </c>
      <c r="GW129" s="1006"/>
      <c r="GX129" s="996">
        <v>0</v>
      </c>
      <c r="GY129" s="1006"/>
      <c r="GZ129" s="996">
        <v>0.12129490559999923</v>
      </c>
      <c r="HA129" s="1006"/>
      <c r="HB129" s="996">
        <v>0</v>
      </c>
      <c r="HC129" s="1006" t="s">
        <v>199</v>
      </c>
      <c r="HD129" s="996">
        <v>-1.8848991040000014</v>
      </c>
      <c r="HE129" s="1006" t="s">
        <v>204</v>
      </c>
      <c r="HF129" s="996">
        <v>-5.3540265679999983</v>
      </c>
      <c r="HG129" s="1006"/>
      <c r="HH129" s="996">
        <v>0</v>
      </c>
      <c r="HI129" s="1006"/>
      <c r="HJ129" s="996">
        <v>0</v>
      </c>
      <c r="HK129" s="1006"/>
      <c r="HL129" s="996">
        <v>0</v>
      </c>
      <c r="HM129" s="1006" t="s">
        <v>199</v>
      </c>
      <c r="HN129" s="996">
        <v>8.5933092079999973</v>
      </c>
      <c r="HO129" s="1006" t="s">
        <v>199</v>
      </c>
      <c r="HP129" s="996">
        <v>-2.7347566399999996</v>
      </c>
      <c r="HQ129" s="1006"/>
      <c r="HR129" s="996">
        <v>0.46790920000000025</v>
      </c>
      <c r="HS129" s="1006"/>
      <c r="HT129" s="996">
        <v>0.36625160000000001</v>
      </c>
      <c r="HU129" s="1006"/>
      <c r="HV129" s="996">
        <v>0</v>
      </c>
      <c r="HW129" s="1006"/>
      <c r="HX129" s="996">
        <v>0</v>
      </c>
      <c r="HY129" s="1006"/>
      <c r="HZ129" s="996">
        <v>0</v>
      </c>
      <c r="IA129" s="1006"/>
      <c r="IB129" s="996">
        <v>0</v>
      </c>
      <c r="IC129" s="1006"/>
      <c r="ID129" s="996">
        <v>0</v>
      </c>
      <c r="IE129" s="1006"/>
      <c r="IF129" s="996">
        <v>0.11980883200000036</v>
      </c>
      <c r="IG129" s="1006"/>
      <c r="IH129" s="996">
        <v>9.5277247999999481E-2</v>
      </c>
      <c r="II129" s="1006" t="s">
        <v>199</v>
      </c>
      <c r="IJ129" s="996">
        <v>2.1574819200000004</v>
      </c>
      <c r="IK129" s="1006" t="s">
        <v>199</v>
      </c>
      <c r="IL129" s="996">
        <v>-4.3306806399999989</v>
      </c>
      <c r="IM129" s="1006"/>
      <c r="IN129" s="996">
        <v>0</v>
      </c>
      <c r="IO129" s="1006"/>
      <c r="IP129" s="996">
        <v>0</v>
      </c>
      <c r="IQ129" s="1006"/>
      <c r="IR129" s="996">
        <v>0</v>
      </c>
      <c r="IS129" s="1006" t="s">
        <v>223</v>
      </c>
      <c r="IT129" s="996">
        <v>-2.2011707533200013</v>
      </c>
      <c r="IU129" s="1006"/>
      <c r="IV129" s="996">
        <v>1.6339331999937201E-4</v>
      </c>
      <c r="IW129" s="1006"/>
      <c r="IX129" s="996">
        <v>0</v>
      </c>
      <c r="IY129" s="1006"/>
      <c r="IZ129" s="996">
        <v>0</v>
      </c>
      <c r="JA129" s="1006"/>
      <c r="JB129" s="996">
        <v>0</v>
      </c>
      <c r="JC129" s="1006"/>
      <c r="JD129" s="996">
        <v>0</v>
      </c>
      <c r="JE129" s="1006"/>
      <c r="JF129" s="996">
        <v>0</v>
      </c>
      <c r="JG129" s="1006"/>
      <c r="JH129" s="996">
        <v>0</v>
      </c>
      <c r="JI129" s="1006"/>
      <c r="JJ129" s="996">
        <v>0</v>
      </c>
      <c r="JK129" s="1007"/>
      <c r="JL129" s="1007">
        <v>0</v>
      </c>
      <c r="JM129" s="1007"/>
      <c r="JN129" s="1007">
        <v>0</v>
      </c>
      <c r="JO129" s="1008" t="s">
        <v>199</v>
      </c>
      <c r="JP129" s="1007">
        <v>-3.7588399200000016</v>
      </c>
      <c r="JQ129" s="1008">
        <v>0</v>
      </c>
      <c r="JR129" s="1007">
        <v>0</v>
      </c>
      <c r="JS129" s="1008" t="s">
        <v>199</v>
      </c>
      <c r="JT129" s="1007">
        <v>7.0436511199999998</v>
      </c>
      <c r="JU129" s="1008" t="s">
        <v>199</v>
      </c>
      <c r="JV129" s="1007">
        <v>-3.8455999999999992</v>
      </c>
      <c r="JW129" s="1008" t="s">
        <v>197</v>
      </c>
      <c r="JX129" s="1007">
        <v>0</v>
      </c>
      <c r="JY129" s="1008"/>
      <c r="JZ129" s="1007">
        <v>0</v>
      </c>
      <c r="KA129" s="1008"/>
      <c r="KB129" s="1007">
        <v>0</v>
      </c>
      <c r="KC129" s="1008"/>
      <c r="KD129" s="1007">
        <v>0</v>
      </c>
      <c r="KE129" s="1008"/>
      <c r="KF129" s="1007">
        <v>0</v>
      </c>
      <c r="KG129" s="1008" t="s">
        <v>207</v>
      </c>
      <c r="KH129" s="1007">
        <v>5.7683999999999997</v>
      </c>
      <c r="KI129" s="1008"/>
      <c r="KJ129" s="1007">
        <v>0</v>
      </c>
      <c r="KK129" s="1008"/>
      <c r="KL129" s="1007">
        <v>0</v>
      </c>
      <c r="KM129" s="1008"/>
      <c r="KN129" s="1007">
        <v>0</v>
      </c>
      <c r="KO129" s="1008"/>
      <c r="KP129" s="1007">
        <v>0</v>
      </c>
      <c r="KQ129" s="1008">
        <v>0</v>
      </c>
      <c r="KR129" s="1007">
        <v>0</v>
      </c>
      <c r="KS129" s="1008" t="s">
        <v>207</v>
      </c>
      <c r="KT129" s="1007">
        <v>-2.9259999999999997</v>
      </c>
      <c r="KU129" s="1008" t="s">
        <v>207</v>
      </c>
      <c r="KV129" s="1007">
        <v>-16.302</v>
      </c>
      <c r="KW129" s="1008">
        <v>0</v>
      </c>
      <c r="KX129" s="1007">
        <v>4.18</v>
      </c>
      <c r="KY129" s="1008" t="s">
        <v>204</v>
      </c>
      <c r="KZ129" s="1007">
        <v>-10.867999999999999</v>
      </c>
      <c r="LA129" s="1008" t="s">
        <v>204</v>
      </c>
      <c r="LB129" s="1007">
        <v>14.211999999999998</v>
      </c>
      <c r="LC129" s="1008" t="s">
        <v>223</v>
      </c>
      <c r="LD129" s="1007">
        <v>-16.72</v>
      </c>
      <c r="LE129" s="1008">
        <v>0</v>
      </c>
      <c r="LF129" s="1007">
        <v>0</v>
      </c>
      <c r="LG129" s="1008" t="s">
        <v>199</v>
      </c>
      <c r="LH129" s="1007">
        <v>15.883999999999999</v>
      </c>
      <c r="LI129" s="1008" t="s">
        <v>199</v>
      </c>
      <c r="LJ129" s="1007">
        <v>-15.583039999999999</v>
      </c>
      <c r="LK129" s="1008">
        <v>0</v>
      </c>
      <c r="LL129" s="1007">
        <v>0.334424</v>
      </c>
      <c r="LM129" s="1008">
        <v>0</v>
      </c>
      <c r="LN129" s="1007">
        <v>0</v>
      </c>
      <c r="LO129" s="1008">
        <v>0</v>
      </c>
      <c r="LP129" s="1007">
        <v>0</v>
      </c>
      <c r="LQ129" s="1008">
        <v>0</v>
      </c>
      <c r="LR129" s="1007">
        <v>0</v>
      </c>
      <c r="LS129" s="1008">
        <v>0</v>
      </c>
      <c r="LT129" s="1007">
        <v>0</v>
      </c>
      <c r="LU129" s="1008">
        <v>0</v>
      </c>
      <c r="LV129" s="1007">
        <v>0</v>
      </c>
      <c r="LW129" s="1008">
        <v>0</v>
      </c>
      <c r="LX129" s="1007">
        <v>0</v>
      </c>
      <c r="LY129" s="1009">
        <v>0</v>
      </c>
      <c r="LZ129" s="1010">
        <v>0</v>
      </c>
      <c r="MA129" s="1011">
        <v>0</v>
      </c>
      <c r="MB129" s="1012">
        <v>0</v>
      </c>
      <c r="MC129" s="995"/>
      <c r="MD129" s="996"/>
      <c r="ME129" s="997" t="s">
        <v>416</v>
      </c>
      <c r="MF129" s="997"/>
      <c r="MG129" s="998"/>
      <c r="NR129" s="1000"/>
      <c r="NS129" s="1000"/>
      <c r="NT129" s="1001"/>
      <c r="NU129" s="1000"/>
      <c r="NV129" s="1001"/>
      <c r="NX129" s="1002"/>
      <c r="NZ129" s="1001"/>
      <c r="OA129" s="1001"/>
      <c r="OC129" s="1003"/>
      <c r="OD129" s="1003"/>
      <c r="OE129" s="1001"/>
      <c r="OF129" s="1003"/>
      <c r="OG129" s="1003"/>
      <c r="QX129" s="1000">
        <f t="shared" si="96"/>
        <v>26</v>
      </c>
      <c r="ASU129" s="999" t="s">
        <v>208</v>
      </c>
    </row>
    <row r="130" spans="1:466 1191:1191" ht="21" customHeight="1" x14ac:dyDescent="0.25">
      <c r="A130" s="982" t="str">
        <f t="shared" si="59"/>
        <v>1040-2</v>
      </c>
      <c r="B130" s="124">
        <f>SUBTOTAL(103,$J$29:J130)</f>
        <v>102</v>
      </c>
      <c r="C130" s="126">
        <v>45068</v>
      </c>
      <c r="D130" s="124" t="s">
        <v>176</v>
      </c>
      <c r="E130" s="127" t="s">
        <v>177</v>
      </c>
      <c r="F130" s="128" t="s">
        <v>177</v>
      </c>
      <c r="G130" s="127" t="s">
        <v>178</v>
      </c>
      <c r="H130" s="127" t="s">
        <v>421</v>
      </c>
      <c r="I130" s="127" t="s">
        <v>422</v>
      </c>
      <c r="J130" s="152" t="s">
        <v>711</v>
      </c>
      <c r="K130" s="127" t="s">
        <v>707</v>
      </c>
      <c r="L130" s="130">
        <v>40296</v>
      </c>
      <c r="M130" s="127" t="s">
        <v>230</v>
      </c>
      <c r="N130" s="127" t="s">
        <v>231</v>
      </c>
      <c r="O130" s="127" t="s">
        <v>185</v>
      </c>
      <c r="P130" s="127" t="s">
        <v>186</v>
      </c>
      <c r="Q130" s="85" t="str">
        <f t="shared" si="85"/>
        <v/>
      </c>
      <c r="R130" s="130"/>
      <c r="S130" s="128" t="s">
        <v>156</v>
      </c>
      <c r="T130" s="131"/>
      <c r="U130" s="132">
        <v>203</v>
      </c>
      <c r="V130" s="121">
        <v>218.2</v>
      </c>
      <c r="W130" s="116">
        <v>0.98</v>
      </c>
      <c r="X130" s="116">
        <v>1.66</v>
      </c>
      <c r="Y130" s="116">
        <f t="shared" si="86"/>
        <v>0.98068293341628265</v>
      </c>
      <c r="Z130" s="133">
        <v>1.454</v>
      </c>
      <c r="AA130" s="133">
        <v>0.83599999999999997</v>
      </c>
      <c r="AB130" s="133">
        <v>0.72</v>
      </c>
      <c r="AC130" s="121">
        <v>34.299999999999997</v>
      </c>
      <c r="AD130" s="134">
        <v>1.17</v>
      </c>
      <c r="AE130" s="124">
        <v>139.69999999999999</v>
      </c>
      <c r="AF130" s="128">
        <v>7.72</v>
      </c>
      <c r="AG130" s="128">
        <v>1950.6</v>
      </c>
      <c r="AH130" s="127">
        <v>2400</v>
      </c>
      <c r="AI130" s="127">
        <v>2400</v>
      </c>
      <c r="AJ130" s="135"/>
      <c r="AK130" s="128"/>
      <c r="AL130" s="131"/>
      <c r="AM130" s="124" t="s">
        <v>232</v>
      </c>
      <c r="AN130" s="136" t="s">
        <v>712</v>
      </c>
      <c r="AO130" s="137">
        <v>45.41</v>
      </c>
      <c r="AP130" s="128">
        <v>1950.6</v>
      </c>
      <c r="AQ130" s="128">
        <v>16.2</v>
      </c>
      <c r="AR130" s="128"/>
      <c r="AS130" s="128"/>
      <c r="AT130" s="122"/>
      <c r="AU130" s="124" t="s">
        <v>189</v>
      </c>
      <c r="AV130" s="115">
        <f>VLOOKUP(J130,'[63]ТР нефть'!$J$28:$BP$638,39,0)</f>
        <v>549.99999140600005</v>
      </c>
      <c r="AW130" s="115" t="str">
        <f>VLOOKUP(J130,'[63]ТР нефть'!$J$28:$BP$638,40,0)</f>
        <v>ГП</v>
      </c>
      <c r="AX130" s="115">
        <f>VLOOKUP(J130,'[63]ТР нефть'!$J$28:$BP$638,41,0)</f>
        <v>980.00001445299995</v>
      </c>
      <c r="AY130" s="115" t="str">
        <f>VLOOKUP(J130,'[63]ТР нефть'!$J$28:$BP$638,42,0)</f>
        <v>ГК 85 1/8</v>
      </c>
      <c r="AZ130" s="115">
        <f>VLOOKUP(J130,'[63]ТР нефть'!$J$28:$BP$638,43,0)</f>
        <v>1330.000008984</v>
      </c>
      <c r="BA130" s="115" t="str">
        <f>VLOOKUP(J130,'[63]ТР нефть'!$J$28:$BP$638,44,0)</f>
        <v>ГК 85 1/8</v>
      </c>
      <c r="BB130" s="115">
        <f>VLOOKUP(J130,'[63]ТР нефть'!$J$28:$BP$638,45,0)</f>
        <v>1610.000034375</v>
      </c>
      <c r="BC130" s="115" t="str">
        <f>VLOOKUP(J130,'[63]ТР нефть'!$J$28:$BP$638,46,0)</f>
        <v>ГК 84 1/8</v>
      </c>
      <c r="BD130" s="115">
        <f>VLOOKUP(J130,'[63]ТР нефть'!$J$28:$BP$638,47,0)</f>
        <v>1760</v>
      </c>
      <c r="BE130" s="115" t="str">
        <f>VLOOKUP(J130,'[63]ТР нефть'!$J$28:$BP$638,48,0)</f>
        <v>ЦКсОК 5/16</v>
      </c>
      <c r="BF130" s="115" t="str">
        <f>VLOOKUP(J130,'[63]ТР нефть'!$J$28:$BP$638,49,0)</f>
        <v>-</v>
      </c>
      <c r="BG130" s="115" t="str">
        <f>VLOOKUP(J130,'[63]ТР нефть'!$J$28:$BP$638,50,0)</f>
        <v>-</v>
      </c>
      <c r="BH130" s="115">
        <f>VLOOKUP(J130,'[63]ТР нефть'!$J$28:$BP$638,51,0)</f>
        <v>1780</v>
      </c>
      <c r="BI130" s="115" t="str">
        <f>VLOOKUP(J130,'[63]ТР нефть'!$J$28:$BP$638,52,0)</f>
        <v>закрыт</v>
      </c>
      <c r="BJ130" s="115" t="str">
        <f>IF(IFERROR(VLOOKUP(J130,'[63]ТР нефть'!$J$28:$BP$638,53,0),"-")=0,"-",IFERROR(VLOOKUP(J130,'[63]ТР нефть'!$J$28:$BP$638,53,0),"-"))</f>
        <v>-</v>
      </c>
      <c r="BK130" s="138" t="str">
        <f>IF(IFERROR(VLOOKUP(J130,'[63]ТР нефть'!$J$28:$BP$638,54,0),"-")=0,"-",IFERROR(VLOOKUP(J130,'[63]ТР нефть'!$J$28:$BP$638,54,0),"-"))</f>
        <v>-</v>
      </c>
      <c r="BL130" s="138" t="str">
        <f>IF(IFERROR(VLOOKUP(J130,'[63]ТР нефть'!$J$28:$BP$638,55,0),"-")=0,"-",IFERROR(VLOOKUP(J130,'[63]ТР нефть'!$J$28:$BP$638,55,0),"-"))</f>
        <v>-</v>
      </c>
      <c r="BM130" s="138" t="str">
        <f>IF(IFERROR(VLOOKUP(J130,'[63]ТР нефть'!$J$28:$BP$638,56,0),"-")=0,"-",IFERROR(VLOOKUP(J130,'[63]ТР нефть'!$J$28:$BP$638,56,0),"-"))</f>
        <v>-</v>
      </c>
      <c r="BN130" s="138" t="str">
        <f>IF(IFERROR(VLOOKUP(J130,'[63]ТР нефть'!$J$28:$BP$638,57,0),"-")=0,"-",IFERROR(VLOOKUP(J130,'[63]ТР нефть'!$J$28:$BP$638,57,0),"-"))</f>
        <v>-</v>
      </c>
      <c r="BO130" s="115" t="str">
        <f>IF(IFERROR(VLOOKUP(J130,'[63]ТР нефть'!$J$28:$BP$638,58,0),"-")=0,"-",IFERROR(VLOOKUP(J130,'[63]ТР нефть'!$J$28:$BP$638,58,0),"-"))</f>
        <v>-</v>
      </c>
      <c r="BP130" s="115" t="str">
        <f>IF(IFERROR(VLOOKUP(J130,'[63]ТР нефть'!$J$28:$BP$638,59,0),"-")=0,"-",IFERROR(VLOOKUP(J130,'[63]ТР нефть'!$J$28:$BP$638,59,0),"-"))</f>
        <v>-</v>
      </c>
      <c r="BQ130" s="138">
        <v>2377</v>
      </c>
      <c r="BR130" s="128">
        <v>1892.16</v>
      </c>
      <c r="BS130" s="115">
        <f t="shared" si="60"/>
        <v>484.83999999999992</v>
      </c>
      <c r="BT130" s="128">
        <v>73</v>
      </c>
      <c r="BU130" s="128">
        <v>5.5</v>
      </c>
      <c r="BV130" s="127">
        <v>18</v>
      </c>
      <c r="BW130" s="127" t="s">
        <v>217</v>
      </c>
      <c r="BX130" s="127" t="s">
        <v>195</v>
      </c>
      <c r="BY130" s="139">
        <v>24</v>
      </c>
      <c r="BZ130" s="139">
        <v>0</v>
      </c>
      <c r="CA130" s="138">
        <v>25</v>
      </c>
      <c r="CB130" s="138">
        <v>36</v>
      </c>
      <c r="CC130" s="138">
        <v>24</v>
      </c>
      <c r="CD130" s="135">
        <v>45017</v>
      </c>
      <c r="CE130" s="138">
        <v>68</v>
      </c>
      <c r="CF130" s="138">
        <v>70</v>
      </c>
      <c r="CG130" s="138" t="str">
        <f t="shared" si="99"/>
        <v>В работе</v>
      </c>
      <c r="CH130" s="138" t="s">
        <v>235</v>
      </c>
      <c r="CI130" s="127">
        <v>6</v>
      </c>
      <c r="CJ130" s="138"/>
      <c r="CK130" s="138"/>
      <c r="CL130" s="99"/>
      <c r="CM130" s="99"/>
      <c r="CN130" s="140">
        <v>42</v>
      </c>
      <c r="CO130" s="159">
        <f t="shared" si="61"/>
        <v>10.432234999999999</v>
      </c>
      <c r="CP130" s="160">
        <v>12.5</v>
      </c>
      <c r="CQ130" s="161">
        <v>0.17</v>
      </c>
      <c r="CR130" s="138">
        <v>32</v>
      </c>
      <c r="CS130" s="139">
        <v>12.5</v>
      </c>
      <c r="CT130" s="138"/>
      <c r="CU130" s="138">
        <f t="shared" si="62"/>
        <v>19.5</v>
      </c>
      <c r="CV130" s="115">
        <f t="shared" si="63"/>
        <v>1869.2063589441766</v>
      </c>
      <c r="CW130" s="115">
        <f t="shared" si="64"/>
        <v>1195.3895260447885</v>
      </c>
      <c r="CX130" s="133">
        <f t="shared" si="65"/>
        <v>0.48076923076923078</v>
      </c>
      <c r="CY130" s="116"/>
      <c r="CZ130" s="131"/>
      <c r="DA130" s="145" t="str">
        <f t="shared" si="66"/>
        <v>Газлифт</v>
      </c>
      <c r="DB130" s="146">
        <f t="shared" si="67"/>
        <v>10.432234999999999</v>
      </c>
      <c r="DC130" s="142">
        <f t="shared" si="68"/>
        <v>12.5</v>
      </c>
      <c r="DD130" s="119">
        <f t="shared" si="69"/>
        <v>0.17</v>
      </c>
      <c r="DE130" s="115">
        <f t="shared" si="70"/>
        <v>19.5</v>
      </c>
      <c r="DF130" s="121">
        <f t="shared" si="71"/>
        <v>12.5</v>
      </c>
      <c r="DG130" s="115">
        <f t="shared" si="72"/>
        <v>1869.2063589441766</v>
      </c>
      <c r="DH130" s="115">
        <f t="shared" si="73"/>
        <v>42</v>
      </c>
      <c r="DI130" s="147"/>
      <c r="DJ130" s="111" t="s">
        <v>197</v>
      </c>
      <c r="DK130" s="112">
        <v>42978.083333333336</v>
      </c>
      <c r="DL130" s="113">
        <f t="shared" ca="1" si="87"/>
        <v>2125.9166666666642</v>
      </c>
      <c r="DM130" s="114"/>
      <c r="DN130" s="114"/>
      <c r="DO130" s="114"/>
      <c r="DP130" s="114"/>
      <c r="DQ130" s="112">
        <v>42983</v>
      </c>
      <c r="DR130" s="114" t="s">
        <v>713</v>
      </c>
      <c r="DS130" s="114"/>
      <c r="DT130" s="115">
        <v>45</v>
      </c>
      <c r="DU130" s="116">
        <f t="shared" si="88"/>
        <v>0.54347826086956519</v>
      </c>
      <c r="DV130" s="117">
        <f t="shared" si="89"/>
        <v>10.432234999999999</v>
      </c>
      <c r="DW130" s="118">
        <f t="shared" si="90"/>
        <v>12.5</v>
      </c>
      <c r="DX130" s="119">
        <f t="shared" si="74"/>
        <v>0.17</v>
      </c>
      <c r="DY130" s="115">
        <f t="shared" si="91"/>
        <v>19.5</v>
      </c>
      <c r="DZ130" s="117">
        <f t="shared" si="92"/>
        <v>0</v>
      </c>
      <c r="EA130" s="120">
        <f t="shared" si="92"/>
        <v>0</v>
      </c>
      <c r="EB130" s="119">
        <f t="shared" si="92"/>
        <v>0</v>
      </c>
      <c r="EC130" s="121">
        <f t="shared" si="93"/>
        <v>0</v>
      </c>
      <c r="ED130" s="122"/>
      <c r="EE130" s="145">
        <v>18</v>
      </c>
      <c r="EF130" s="115">
        <v>28</v>
      </c>
      <c r="EG130" s="115">
        <v>36</v>
      </c>
      <c r="EH130" s="115">
        <v>27</v>
      </c>
      <c r="EI130" s="128" t="s">
        <v>218</v>
      </c>
      <c r="EJ130" s="121">
        <v>24</v>
      </c>
      <c r="EK130" s="121">
        <v>24</v>
      </c>
      <c r="EL130" s="162">
        <v>3.6721467200000002</v>
      </c>
      <c r="EM130" s="142">
        <v>4.4000000000000004</v>
      </c>
      <c r="EN130" s="119">
        <v>0.17</v>
      </c>
      <c r="EO130" s="115">
        <v>8.5</v>
      </c>
      <c r="EP130" s="115">
        <v>1661.1536698076159</v>
      </c>
      <c r="EQ130" s="115">
        <v>74</v>
      </c>
      <c r="ER130" s="115">
        <v>2.4</v>
      </c>
      <c r="ES130" s="115">
        <v>36</v>
      </c>
      <c r="ET130" s="150">
        <v>0.13750000000000001</v>
      </c>
      <c r="EU130" s="145">
        <f t="shared" si="75"/>
        <v>18</v>
      </c>
      <c r="EV130" s="115">
        <f t="shared" si="76"/>
        <v>25</v>
      </c>
      <c r="EW130" s="115">
        <f t="shared" si="76"/>
        <v>36</v>
      </c>
      <c r="EX130" s="115">
        <f t="shared" si="76"/>
        <v>24</v>
      </c>
      <c r="EY130" s="115" t="str">
        <f t="shared" si="98"/>
        <v>Постоянный</v>
      </c>
      <c r="EZ130" s="115">
        <f t="shared" si="98"/>
        <v>24</v>
      </c>
      <c r="FA130" s="115">
        <f t="shared" si="98"/>
        <v>0</v>
      </c>
      <c r="FB130" s="149">
        <f t="shared" si="78"/>
        <v>10.432234999999999</v>
      </c>
      <c r="FC130" s="142">
        <f t="shared" si="78"/>
        <v>12.5</v>
      </c>
      <c r="FD130" s="119">
        <f t="shared" si="78"/>
        <v>0.17</v>
      </c>
      <c r="FE130" s="121">
        <f t="shared" si="78"/>
        <v>32</v>
      </c>
      <c r="FF130" s="121">
        <f t="shared" si="94"/>
        <v>1869.2063589441766</v>
      </c>
      <c r="FG130" s="121">
        <f t="shared" si="79"/>
        <v>70</v>
      </c>
      <c r="FH130" s="121">
        <f t="shared" si="95"/>
        <v>12.5</v>
      </c>
      <c r="FI130" s="121">
        <f t="shared" si="97"/>
        <v>42</v>
      </c>
      <c r="FJ130" s="144">
        <f t="shared" si="80"/>
        <v>0.48076923076923078</v>
      </c>
      <c r="FK130" s="132">
        <f t="shared" si="81"/>
        <v>0</v>
      </c>
      <c r="FL130" s="115">
        <f t="shared" si="81"/>
        <v>-3</v>
      </c>
      <c r="FM130" s="115">
        <f t="shared" si="81"/>
        <v>0</v>
      </c>
      <c r="FN130" s="115">
        <f t="shared" si="58"/>
        <v>-3</v>
      </c>
      <c r="FO130" s="115">
        <f t="shared" si="57"/>
        <v>0</v>
      </c>
      <c r="FP130" s="115">
        <f t="shared" si="57"/>
        <v>-24</v>
      </c>
      <c r="FQ130" s="149">
        <f t="shared" si="57"/>
        <v>6.760088279999998</v>
      </c>
      <c r="FR130" s="142">
        <f t="shared" si="57"/>
        <v>8.1</v>
      </c>
      <c r="FS130" s="119">
        <f t="shared" si="57"/>
        <v>0</v>
      </c>
      <c r="FT130" s="121">
        <f t="shared" si="57"/>
        <v>23.5</v>
      </c>
      <c r="FU130" s="121">
        <f t="shared" si="82"/>
        <v>-4</v>
      </c>
      <c r="FV130" s="121">
        <f t="shared" si="82"/>
        <v>10.1</v>
      </c>
      <c r="FW130" s="121">
        <f t="shared" si="83"/>
        <v>208.05268913656073</v>
      </c>
      <c r="FX130" s="121">
        <f t="shared" si="84"/>
        <v>6</v>
      </c>
      <c r="FY130" s="144">
        <f t="shared" si="84"/>
        <v>0.34326923076923077</v>
      </c>
      <c r="FZ130" s="145" t="s">
        <v>199</v>
      </c>
      <c r="GA130" s="151" t="s">
        <v>714</v>
      </c>
      <c r="GB130" s="145"/>
      <c r="GC130" s="151" t="s">
        <v>715</v>
      </c>
      <c r="GD130" s="997" t="s">
        <v>416</v>
      </c>
      <c r="GE130" s="1004"/>
      <c r="GF130" s="1004">
        <v>0</v>
      </c>
      <c r="GG130" s="1004"/>
      <c r="GH130" s="1004">
        <v>0</v>
      </c>
      <c r="GI130" s="145"/>
      <c r="GJ130" s="996">
        <v>0.83457880000000051</v>
      </c>
      <c r="GK130" s="145"/>
      <c r="GL130" s="996">
        <v>0</v>
      </c>
      <c r="GM130" s="1005"/>
      <c r="GN130" s="996">
        <v>0</v>
      </c>
      <c r="GO130" s="1006"/>
      <c r="GP130" s="996">
        <v>0</v>
      </c>
      <c r="GQ130" s="1006"/>
      <c r="GR130" s="996">
        <v>-0.25730407999999994</v>
      </c>
      <c r="GS130" s="1006"/>
      <c r="GT130" s="996">
        <v>-0.24511938000000066</v>
      </c>
      <c r="GU130" s="1006"/>
      <c r="GV130" s="996">
        <v>0</v>
      </c>
      <c r="GW130" s="1006" t="s">
        <v>204</v>
      </c>
      <c r="GX130" s="996">
        <v>-1.8239299583999995</v>
      </c>
      <c r="GY130" s="1006"/>
      <c r="GZ130" s="996">
        <v>0</v>
      </c>
      <c r="HA130" s="1006" t="s">
        <v>199</v>
      </c>
      <c r="HB130" s="996">
        <v>1.3856394023999998</v>
      </c>
      <c r="HC130" s="1006" t="s">
        <v>199</v>
      </c>
      <c r="HD130" s="996">
        <v>-1.0372377399999992</v>
      </c>
      <c r="HE130" s="1006"/>
      <c r="HF130" s="996">
        <v>0</v>
      </c>
      <c r="HG130" s="1006"/>
      <c r="HH130" s="996">
        <v>0</v>
      </c>
      <c r="HI130" s="1006"/>
      <c r="HJ130" s="996">
        <v>0</v>
      </c>
      <c r="HK130" s="1006"/>
      <c r="HL130" s="996">
        <v>0</v>
      </c>
      <c r="HM130" s="1006" t="s">
        <v>204</v>
      </c>
      <c r="HN130" s="996">
        <v>2.0196806959999996</v>
      </c>
      <c r="HO130" s="1006" t="s">
        <v>199</v>
      </c>
      <c r="HP130" s="996">
        <v>-5.2995753799999985</v>
      </c>
      <c r="HQ130" s="1006" t="s">
        <v>199</v>
      </c>
      <c r="HR130" s="996">
        <v>1.9340943599999978</v>
      </c>
      <c r="HS130" s="1006"/>
      <c r="HT130" s="996">
        <v>0</v>
      </c>
      <c r="HU130" s="1006" t="s">
        <v>199</v>
      </c>
      <c r="HV130" s="996">
        <v>1.0416560000000006</v>
      </c>
      <c r="HW130" s="1006" t="s">
        <v>204</v>
      </c>
      <c r="HX130" s="996">
        <v>-4.4826320000000015</v>
      </c>
      <c r="HY130" s="1006"/>
      <c r="HZ130" s="996">
        <v>0</v>
      </c>
      <c r="IA130" s="1006" t="s">
        <v>199</v>
      </c>
      <c r="IB130" s="996">
        <v>-1.3493039999999983</v>
      </c>
      <c r="IC130" s="1006"/>
      <c r="ID130" s="996">
        <v>0</v>
      </c>
      <c r="IE130" s="1006" t="s">
        <v>199</v>
      </c>
      <c r="IF130" s="996">
        <v>4.8738799999999998</v>
      </c>
      <c r="IG130" s="1006"/>
      <c r="IH130" s="996">
        <v>0.72731999999999886</v>
      </c>
      <c r="II130" s="1006" t="s">
        <v>199</v>
      </c>
      <c r="IJ130" s="996">
        <v>1.6134800000000009</v>
      </c>
      <c r="IK130" s="1006"/>
      <c r="IL130" s="996">
        <v>7.1895999999999294E-2</v>
      </c>
      <c r="IM130" s="1006" t="s">
        <v>199</v>
      </c>
      <c r="IN130" s="996">
        <v>-2.6551359999999993</v>
      </c>
      <c r="IO130" s="1006"/>
      <c r="IP130" s="996">
        <v>-0.78584000000000032</v>
      </c>
      <c r="IQ130" s="1006"/>
      <c r="IR130" s="996">
        <v>0</v>
      </c>
      <c r="IS130" s="1006"/>
      <c r="IT130" s="996">
        <v>0</v>
      </c>
      <c r="IU130" s="1006"/>
      <c r="IV130" s="996">
        <v>0</v>
      </c>
      <c r="IW130" s="1006"/>
      <c r="IX130" s="996">
        <v>0</v>
      </c>
      <c r="IY130" s="1006"/>
      <c r="IZ130" s="996">
        <v>0</v>
      </c>
      <c r="JA130" s="1006"/>
      <c r="JB130" s="996">
        <v>0</v>
      </c>
      <c r="JC130" s="1006"/>
      <c r="JD130" s="996">
        <v>0</v>
      </c>
      <c r="JE130" s="1006"/>
      <c r="JF130" s="996">
        <v>0</v>
      </c>
      <c r="JG130" s="1006"/>
      <c r="JH130" s="996">
        <v>0</v>
      </c>
      <c r="JI130" s="1006" t="s">
        <v>204</v>
      </c>
      <c r="JJ130" s="996">
        <v>-3.4108800000000006</v>
      </c>
      <c r="JK130" s="1007"/>
      <c r="JL130" s="1007">
        <v>0</v>
      </c>
      <c r="JM130" s="1007" t="s">
        <v>199</v>
      </c>
      <c r="JN130" s="1007">
        <v>2.5105080000000015</v>
      </c>
      <c r="JO130" s="1008"/>
      <c r="JP130" s="1007">
        <v>0</v>
      </c>
      <c r="JQ130" s="1008" t="s">
        <v>25</v>
      </c>
      <c r="JR130" s="1007">
        <v>2.9067719999999992</v>
      </c>
      <c r="JS130" s="1008">
        <v>0</v>
      </c>
      <c r="JT130" s="1007">
        <v>0</v>
      </c>
      <c r="JU130" s="1008" t="s">
        <v>204</v>
      </c>
      <c r="JV130" s="1007">
        <v>-10.6172</v>
      </c>
      <c r="JW130" s="1008" t="s">
        <v>197</v>
      </c>
      <c r="JX130" s="1007">
        <v>0</v>
      </c>
      <c r="JY130" s="1008"/>
      <c r="JZ130" s="1007">
        <v>0</v>
      </c>
      <c r="KA130" s="1008"/>
      <c r="KB130" s="1007">
        <v>0</v>
      </c>
      <c r="KC130" s="1008"/>
      <c r="KD130" s="1007">
        <v>0</v>
      </c>
      <c r="KE130" s="1008"/>
      <c r="KF130" s="1007">
        <v>0</v>
      </c>
      <c r="KG130" s="1008" t="s">
        <v>204</v>
      </c>
      <c r="KH130" s="1007">
        <v>-1.8392000000000017</v>
      </c>
      <c r="KI130" s="1008"/>
      <c r="KJ130" s="1007">
        <v>0</v>
      </c>
      <c r="KK130" s="1008"/>
      <c r="KL130" s="1007">
        <v>0</v>
      </c>
      <c r="KM130" s="1008"/>
      <c r="KN130" s="1007">
        <v>0</v>
      </c>
      <c r="KO130" s="1008"/>
      <c r="KP130" s="1007">
        <v>0</v>
      </c>
      <c r="KQ130" s="1008" t="s">
        <v>207</v>
      </c>
      <c r="KR130" s="1007">
        <v>4.4308000000000014</v>
      </c>
      <c r="KS130" s="1008" t="s">
        <v>207</v>
      </c>
      <c r="KT130" s="1007">
        <v>-1.0868000000000002</v>
      </c>
      <c r="KU130" s="1008" t="s">
        <v>206</v>
      </c>
      <c r="KV130" s="1007">
        <v>3.3439999999999994</v>
      </c>
      <c r="KW130" s="1008" t="s">
        <v>204</v>
      </c>
      <c r="KX130" s="1007">
        <v>0</v>
      </c>
      <c r="KY130" s="1008" t="s">
        <v>206</v>
      </c>
      <c r="KZ130" s="1007">
        <v>-3.3439999999999994</v>
      </c>
      <c r="LA130" s="1008" t="s">
        <v>204</v>
      </c>
      <c r="LB130" s="1007">
        <v>2.09</v>
      </c>
      <c r="LC130" s="1008" t="s">
        <v>206</v>
      </c>
      <c r="LD130" s="1007">
        <v>4.1800000000000006</v>
      </c>
      <c r="LE130" s="1008" t="s">
        <v>203</v>
      </c>
      <c r="LF130" s="1007">
        <v>-3.7619999999999996</v>
      </c>
      <c r="LG130" s="1008" t="s">
        <v>206</v>
      </c>
      <c r="LH130" s="1007">
        <v>-0.83599999999999997</v>
      </c>
      <c r="LI130" s="1008" t="s">
        <v>203</v>
      </c>
      <c r="LJ130" s="1007">
        <v>-5.8520000000000003</v>
      </c>
      <c r="LK130" s="1008" t="s">
        <v>25</v>
      </c>
      <c r="LL130" s="1007">
        <v>18.391999999999999</v>
      </c>
      <c r="LM130" s="1008">
        <v>0</v>
      </c>
      <c r="LN130" s="1007">
        <v>0</v>
      </c>
      <c r="LO130" s="1008">
        <v>0</v>
      </c>
      <c r="LP130" s="1007">
        <v>0</v>
      </c>
      <c r="LQ130" s="1008">
        <v>0</v>
      </c>
      <c r="LR130" s="1007">
        <v>0</v>
      </c>
      <c r="LS130" s="1008">
        <v>0</v>
      </c>
      <c r="LT130" s="1007">
        <v>-0.41591</v>
      </c>
      <c r="LU130" s="1008">
        <v>0</v>
      </c>
      <c r="LV130" s="1007">
        <v>4.9992000000000001</v>
      </c>
      <c r="LW130" s="1008" t="s">
        <v>206</v>
      </c>
      <c r="LX130" s="1007">
        <v>-1.2477299999999998</v>
      </c>
      <c r="LY130" s="1009" t="s">
        <v>206</v>
      </c>
      <c r="LZ130" s="1010">
        <v>-2.1325941999999998</v>
      </c>
      <c r="MA130" s="1011" t="s">
        <v>207</v>
      </c>
      <c r="MB130" s="1012">
        <v>4.2831114399999999</v>
      </c>
      <c r="MC130" s="995"/>
      <c r="MD130" s="996"/>
      <c r="ME130" s="997" t="s">
        <v>416</v>
      </c>
      <c r="MF130" s="997"/>
      <c r="MG130" s="998"/>
      <c r="NR130" s="1000"/>
      <c r="NS130" s="1000"/>
      <c r="NT130" s="1001"/>
      <c r="NU130" s="1000"/>
      <c r="NV130" s="1001"/>
      <c r="NX130" s="1002"/>
      <c r="NZ130" s="1001"/>
      <c r="OA130" s="1001"/>
      <c r="OC130" s="1003"/>
      <c r="OD130" s="1003"/>
      <c r="OE130" s="1001"/>
      <c r="OF130" s="1003"/>
      <c r="OG130" s="1003"/>
      <c r="QX130" s="1000">
        <f t="shared" si="96"/>
        <v>17</v>
      </c>
      <c r="ASU130" s="999" t="s">
        <v>225</v>
      </c>
    </row>
    <row r="131" spans="1:466 1191:1191" ht="21" customHeight="1" x14ac:dyDescent="0.25">
      <c r="A131" s="982">
        <f t="shared" si="59"/>
        <v>1044</v>
      </c>
      <c r="B131" s="124">
        <f>SUBTOTAL(103,$J$29:J131)</f>
        <v>103</v>
      </c>
      <c r="C131" s="126">
        <v>45068</v>
      </c>
      <c r="D131" s="124" t="s">
        <v>176</v>
      </c>
      <c r="E131" s="127" t="s">
        <v>177</v>
      </c>
      <c r="F131" s="128" t="s">
        <v>177</v>
      </c>
      <c r="G131" s="127" t="s">
        <v>178</v>
      </c>
      <c r="H131" s="127" t="s">
        <v>408</v>
      </c>
      <c r="I131" s="127" t="s">
        <v>684</v>
      </c>
      <c r="J131" s="152">
        <v>1044</v>
      </c>
      <c r="K131" s="127" t="s">
        <v>716</v>
      </c>
      <c r="L131" s="130">
        <v>41137</v>
      </c>
      <c r="M131" s="127" t="s">
        <v>230</v>
      </c>
      <c r="N131" s="127" t="s">
        <v>231</v>
      </c>
      <c r="O131" s="127" t="s">
        <v>185</v>
      </c>
      <c r="P131" s="127" t="s">
        <v>186</v>
      </c>
      <c r="Q131" s="85" t="str">
        <f t="shared" si="85"/>
        <v/>
      </c>
      <c r="R131" s="130"/>
      <c r="S131" s="128" t="s">
        <v>156</v>
      </c>
      <c r="T131" s="131"/>
      <c r="U131" s="132">
        <v>203</v>
      </c>
      <c r="V131" s="121">
        <v>218.2</v>
      </c>
      <c r="W131" s="116">
        <v>0.98</v>
      </c>
      <c r="X131" s="116">
        <v>1.66</v>
      </c>
      <c r="Y131" s="116">
        <f t="shared" si="86"/>
        <v>1.0405260195466406</v>
      </c>
      <c r="Z131" s="133">
        <v>1.454</v>
      </c>
      <c r="AA131" s="133">
        <v>0.83599999999999997</v>
      </c>
      <c r="AB131" s="133">
        <v>0.72</v>
      </c>
      <c r="AC131" s="121">
        <v>34.299999999999997</v>
      </c>
      <c r="AD131" s="134">
        <v>1.17</v>
      </c>
      <c r="AE131" s="124">
        <v>139.69999999999999</v>
      </c>
      <c r="AF131" s="128">
        <v>7.72</v>
      </c>
      <c r="AG131" s="128">
        <v>1879</v>
      </c>
      <c r="AH131" s="127">
        <v>2500</v>
      </c>
      <c r="AI131" s="127">
        <v>2500</v>
      </c>
      <c r="AJ131" s="135"/>
      <c r="AK131" s="128"/>
      <c r="AL131" s="131"/>
      <c r="AM131" s="124" t="s">
        <v>232</v>
      </c>
      <c r="AN131" s="136" t="s">
        <v>717</v>
      </c>
      <c r="AO131" s="137">
        <v>91.73</v>
      </c>
      <c r="AP131" s="128">
        <v>1880</v>
      </c>
      <c r="AQ131" s="128">
        <v>16.14</v>
      </c>
      <c r="AR131" s="128"/>
      <c r="AS131" s="128"/>
      <c r="AT131" s="122"/>
      <c r="AU131" s="124" t="s">
        <v>189</v>
      </c>
      <c r="AV131" s="115">
        <f>VLOOKUP(J131,'[63]ТР нефть'!$J$28:$BP$638,39,0)</f>
        <v>599.99999062500001</v>
      </c>
      <c r="AW131" s="115" t="str">
        <f>VLOOKUP(J131,'[63]ТР нефть'!$J$28:$BP$638,40,0)</f>
        <v>ГП</v>
      </c>
      <c r="AX131" s="115">
        <f>VLOOKUP(J131,'[63]ТР нефть'!$J$28:$BP$638,41,0)</f>
        <v>1199.99998125</v>
      </c>
      <c r="AY131" s="115" t="str">
        <f>VLOOKUP(J131,'[63]ТР нефть'!$J$28:$BP$638,42,0)</f>
        <v>ГП</v>
      </c>
      <c r="AZ131" s="115">
        <f>VLOOKUP(J131,'[63]ТР нефть'!$J$28:$BP$638,43,0)</f>
        <v>1771.000067578</v>
      </c>
      <c r="BA131" s="115" t="str">
        <f>VLOOKUP(J131,'[63]ТР нефть'!$J$28:$BP$638,44,0)</f>
        <v>ЦКсОК 5/16</v>
      </c>
      <c r="BB131" s="115" t="str">
        <f>VLOOKUP(J131,'[63]ТР нефть'!$J$28:$BP$638,45,0)</f>
        <v>-</v>
      </c>
      <c r="BC131" s="115" t="str">
        <f>VLOOKUP(J131,'[63]ТР нефть'!$J$28:$BP$638,46,0)</f>
        <v>-</v>
      </c>
      <c r="BD131" s="115" t="str">
        <f>VLOOKUP(J131,'[63]ТР нефть'!$J$28:$BP$638,47,0)</f>
        <v>-</v>
      </c>
      <c r="BE131" s="115" t="str">
        <f>VLOOKUP(J131,'[63]ТР нефть'!$J$28:$BP$638,48,0)</f>
        <v>-</v>
      </c>
      <c r="BF131" s="115" t="str">
        <f>VLOOKUP(J131,'[63]ТР нефть'!$J$28:$BP$638,49,0)</f>
        <v>-</v>
      </c>
      <c r="BG131" s="115" t="str">
        <f>VLOOKUP(J131,'[63]ТР нефть'!$J$28:$BP$638,50,0)</f>
        <v>-</v>
      </c>
      <c r="BH131" s="115">
        <f>VLOOKUP(J131,'[63]ТР нефть'!$J$28:$BP$638,51,0)</f>
        <v>1783</v>
      </c>
      <c r="BI131" s="115" t="str">
        <f>VLOOKUP(J131,'[63]ТР нефть'!$J$28:$BP$638,52,0)</f>
        <v>закрыт</v>
      </c>
      <c r="BJ131" s="115" t="str">
        <f>IF(IFERROR(VLOOKUP(J131,'[63]ТР нефть'!$J$28:$BP$638,53,0),"-")=0,"-",IFERROR(VLOOKUP(J131,'[63]ТР нефть'!$J$28:$BP$638,53,0),"-"))</f>
        <v>-</v>
      </c>
      <c r="BK131" s="138" t="str">
        <f>IF(IFERROR(VLOOKUP(J131,'[63]ТР нефть'!$J$28:$BP$638,54,0),"-")=0,"-",IFERROR(VLOOKUP(J131,'[63]ТР нефть'!$J$28:$BP$638,54,0),"-"))</f>
        <v>-</v>
      </c>
      <c r="BL131" s="138" t="str">
        <f>IF(IFERROR(VLOOKUP(J131,'[63]ТР нефть'!$J$28:$BP$638,55,0),"-")=0,"-",IFERROR(VLOOKUP(J131,'[63]ТР нефть'!$J$28:$BP$638,55,0),"-"))</f>
        <v>-</v>
      </c>
      <c r="BM131" s="138" t="str">
        <f>IF(IFERROR(VLOOKUP(J131,'[63]ТР нефть'!$J$28:$BP$638,56,0),"-")=0,"-",IFERROR(VLOOKUP(J131,'[63]ТР нефть'!$J$28:$BP$638,56,0),"-"))</f>
        <v>-</v>
      </c>
      <c r="BN131" s="138" t="str">
        <f>IF(IFERROR(VLOOKUP(J131,'[63]ТР нефть'!$J$28:$BP$638,57,0),"-")=0,"-",IFERROR(VLOOKUP(J131,'[63]ТР нефть'!$J$28:$BP$638,57,0),"-"))</f>
        <v>-</v>
      </c>
      <c r="BO131" s="115" t="str">
        <f>IF(IFERROR(VLOOKUP(J131,'[63]ТР нефть'!$J$28:$BP$638,58,0),"-")=0,"-",IFERROR(VLOOKUP(J131,'[63]ТР нефть'!$J$28:$BP$638,58,0),"-"))</f>
        <v>-</v>
      </c>
      <c r="BP131" s="115" t="str">
        <f>IF(IFERROR(VLOOKUP(J131,'[63]ТР нефть'!$J$28:$BP$638,59,0),"-")=0,"-",IFERROR(VLOOKUP(J131,'[63]ТР нефть'!$J$28:$BP$638,59,0),"-"))</f>
        <v>-</v>
      </c>
      <c r="BQ131" s="138">
        <v>1983</v>
      </c>
      <c r="BR131" s="128">
        <v>1804.67</v>
      </c>
      <c r="BS131" s="115">
        <f t="shared" si="60"/>
        <v>178.32999999999993</v>
      </c>
      <c r="BT131" s="128">
        <v>73</v>
      </c>
      <c r="BU131" s="128">
        <v>5.5</v>
      </c>
      <c r="BV131" s="127">
        <v>18</v>
      </c>
      <c r="BW131" s="127" t="s">
        <v>217</v>
      </c>
      <c r="BX131" s="127" t="s">
        <v>195</v>
      </c>
      <c r="BY131" s="139">
        <v>24</v>
      </c>
      <c r="BZ131" s="139">
        <v>0</v>
      </c>
      <c r="CA131" s="115">
        <v>23</v>
      </c>
      <c r="CB131" s="115">
        <v>35</v>
      </c>
      <c r="CC131" s="115">
        <v>22</v>
      </c>
      <c r="CD131" s="135">
        <v>45017</v>
      </c>
      <c r="CE131" s="138">
        <v>78.7</v>
      </c>
      <c r="CF131" s="138">
        <v>64</v>
      </c>
      <c r="CG131" s="138" t="str">
        <f t="shared" si="99"/>
        <v>В работе</v>
      </c>
      <c r="CH131" s="138" t="s">
        <v>235</v>
      </c>
      <c r="CI131" s="127">
        <v>6</v>
      </c>
      <c r="CJ131" s="138"/>
      <c r="CK131" s="138"/>
      <c r="CL131" s="99"/>
      <c r="CM131" s="99"/>
      <c r="CN131" s="140">
        <v>42</v>
      </c>
      <c r="CO131" s="159">
        <f t="shared" si="61"/>
        <v>8.1770832000000002</v>
      </c>
      <c r="CP131" s="160">
        <v>11.4</v>
      </c>
      <c r="CQ131" s="161">
        <v>14.2</v>
      </c>
      <c r="CR131" s="115">
        <v>25</v>
      </c>
      <c r="CS131" s="115">
        <v>7.2</v>
      </c>
      <c r="CT131" s="138"/>
      <c r="CU131" s="138">
        <f t="shared" si="62"/>
        <v>17.8</v>
      </c>
      <c r="CV131" s="115">
        <f t="shared" si="63"/>
        <v>2176.8153221187722</v>
      </c>
      <c r="CW131" s="115">
        <f t="shared" si="64"/>
        <v>716.30005236153386</v>
      </c>
      <c r="CX131" s="133">
        <f t="shared" si="65"/>
        <v>0.31062670299727518</v>
      </c>
      <c r="CY131" s="116"/>
      <c r="CZ131" s="131"/>
      <c r="DA131" s="145" t="str">
        <f t="shared" si="66"/>
        <v>Газлифт</v>
      </c>
      <c r="DB131" s="146">
        <f t="shared" si="67"/>
        <v>8.1770832000000002</v>
      </c>
      <c r="DC131" s="142">
        <f t="shared" si="68"/>
        <v>11.4</v>
      </c>
      <c r="DD131" s="119">
        <f t="shared" si="69"/>
        <v>14.2</v>
      </c>
      <c r="DE131" s="115">
        <f t="shared" si="70"/>
        <v>17.8</v>
      </c>
      <c r="DF131" s="121">
        <f t="shared" si="71"/>
        <v>7.2</v>
      </c>
      <c r="DG131" s="115">
        <f t="shared" si="72"/>
        <v>2176.8153221187722</v>
      </c>
      <c r="DH131" s="115">
        <f t="shared" si="73"/>
        <v>42</v>
      </c>
      <c r="DI131" s="147"/>
      <c r="DJ131" s="111">
        <v>43519</v>
      </c>
      <c r="DK131" s="112">
        <v>41137</v>
      </c>
      <c r="DL131" s="113">
        <f t="shared" ca="1" si="87"/>
        <v>3967</v>
      </c>
      <c r="DM131" s="114"/>
      <c r="DN131" s="114"/>
      <c r="DO131" s="114"/>
      <c r="DP131" s="114"/>
      <c r="DQ131" s="112">
        <v>41137</v>
      </c>
      <c r="DR131" s="114" t="s">
        <v>324</v>
      </c>
      <c r="DS131" s="114"/>
      <c r="DT131" s="115">
        <v>46</v>
      </c>
      <c r="DU131" s="116">
        <f t="shared" si="88"/>
        <v>0.34862385321100914</v>
      </c>
      <c r="DV131" s="117">
        <f t="shared" si="89"/>
        <v>8.1770832000000002</v>
      </c>
      <c r="DW131" s="118">
        <f t="shared" si="90"/>
        <v>11.4</v>
      </c>
      <c r="DX131" s="119">
        <f t="shared" si="74"/>
        <v>14.2</v>
      </c>
      <c r="DY131" s="115">
        <f t="shared" si="91"/>
        <v>17.8</v>
      </c>
      <c r="DZ131" s="117">
        <f t="shared" si="92"/>
        <v>0</v>
      </c>
      <c r="EA131" s="120">
        <f t="shared" si="92"/>
        <v>0</v>
      </c>
      <c r="EB131" s="119">
        <f t="shared" si="92"/>
        <v>0</v>
      </c>
      <c r="EC131" s="121">
        <f t="shared" si="93"/>
        <v>0</v>
      </c>
      <c r="ED131" s="122"/>
      <c r="EE131" s="145">
        <v>18</v>
      </c>
      <c r="EF131" s="115">
        <v>21</v>
      </c>
      <c r="EG131" s="115">
        <v>35</v>
      </c>
      <c r="EH131" s="115">
        <v>20</v>
      </c>
      <c r="EI131" s="128" t="s">
        <v>195</v>
      </c>
      <c r="EJ131" s="121">
        <v>24</v>
      </c>
      <c r="EK131" s="121">
        <v>0</v>
      </c>
      <c r="EL131" s="162">
        <v>7.26845988</v>
      </c>
      <c r="EM131" s="142">
        <v>9.15</v>
      </c>
      <c r="EN131" s="119">
        <v>4.9800000000000004</v>
      </c>
      <c r="EO131" s="115">
        <v>23.795000000000002</v>
      </c>
      <c r="EP131" s="115">
        <v>2388.9242407154902</v>
      </c>
      <c r="EQ131" s="115">
        <v>66</v>
      </c>
      <c r="ER131" s="115">
        <v>6.4311999999999996</v>
      </c>
      <c r="ES131" s="115">
        <v>43</v>
      </c>
      <c r="ET131" s="150">
        <v>0.25630252100840334</v>
      </c>
      <c r="EU131" s="145">
        <f t="shared" si="75"/>
        <v>18</v>
      </c>
      <c r="EV131" s="115">
        <f t="shared" si="76"/>
        <v>23</v>
      </c>
      <c r="EW131" s="115">
        <f t="shared" si="76"/>
        <v>35</v>
      </c>
      <c r="EX131" s="115">
        <f t="shared" si="76"/>
        <v>22</v>
      </c>
      <c r="EY131" s="115" t="str">
        <f t="shared" si="98"/>
        <v>Постоянный</v>
      </c>
      <c r="EZ131" s="115">
        <f t="shared" si="98"/>
        <v>24</v>
      </c>
      <c r="FA131" s="115">
        <f t="shared" si="98"/>
        <v>0</v>
      </c>
      <c r="FB131" s="149">
        <f t="shared" si="78"/>
        <v>8.1770832000000002</v>
      </c>
      <c r="FC131" s="142">
        <f t="shared" si="78"/>
        <v>11.4</v>
      </c>
      <c r="FD131" s="119">
        <f t="shared" si="78"/>
        <v>14.2</v>
      </c>
      <c r="FE131" s="121">
        <f t="shared" si="78"/>
        <v>25</v>
      </c>
      <c r="FF131" s="121">
        <f t="shared" si="94"/>
        <v>2176.8153221187722</v>
      </c>
      <c r="FG131" s="121">
        <f t="shared" si="79"/>
        <v>64</v>
      </c>
      <c r="FH131" s="121">
        <f t="shared" si="95"/>
        <v>7.2</v>
      </c>
      <c r="FI131" s="121">
        <f t="shared" si="97"/>
        <v>42</v>
      </c>
      <c r="FJ131" s="144">
        <f t="shared" si="80"/>
        <v>0.31062670299727518</v>
      </c>
      <c r="FK131" s="132">
        <f t="shared" si="81"/>
        <v>0</v>
      </c>
      <c r="FL131" s="115">
        <f t="shared" si="81"/>
        <v>2</v>
      </c>
      <c r="FM131" s="115">
        <f t="shared" si="81"/>
        <v>0</v>
      </c>
      <c r="FN131" s="115">
        <f t="shared" si="58"/>
        <v>2</v>
      </c>
      <c r="FO131" s="115">
        <f t="shared" si="57"/>
        <v>0</v>
      </c>
      <c r="FP131" s="115">
        <f t="shared" si="57"/>
        <v>0</v>
      </c>
      <c r="FQ131" s="149">
        <f t="shared" si="57"/>
        <v>0.90862332000000023</v>
      </c>
      <c r="FR131" s="142">
        <f t="shared" si="57"/>
        <v>2.25</v>
      </c>
      <c r="FS131" s="119">
        <f t="shared" si="57"/>
        <v>9.2199999999999989</v>
      </c>
      <c r="FT131" s="121">
        <f t="shared" si="57"/>
        <v>1.2049999999999983</v>
      </c>
      <c r="FU131" s="121">
        <f t="shared" si="82"/>
        <v>-2</v>
      </c>
      <c r="FV131" s="121">
        <f t="shared" si="82"/>
        <v>0.76880000000000059</v>
      </c>
      <c r="FW131" s="121">
        <f t="shared" si="83"/>
        <v>-212.10891859671801</v>
      </c>
      <c r="FX131" s="121">
        <f t="shared" si="84"/>
        <v>-1</v>
      </c>
      <c r="FY131" s="144">
        <f t="shared" si="84"/>
        <v>5.4324181988871845E-2</v>
      </c>
      <c r="FZ131" s="145"/>
      <c r="GA131" s="1033"/>
      <c r="GB131" s="145"/>
      <c r="GC131" s="1033" t="s">
        <v>718</v>
      </c>
      <c r="GD131" s="997" t="s">
        <v>416</v>
      </c>
      <c r="GE131" s="1004"/>
      <c r="GF131" s="1004">
        <v>0</v>
      </c>
      <c r="GG131" s="1004" t="s">
        <v>204</v>
      </c>
      <c r="GH131" s="1004">
        <v>-12.522168119999998</v>
      </c>
      <c r="GI131" s="145"/>
      <c r="GJ131" s="996">
        <v>0.79062799999999811</v>
      </c>
      <c r="GK131" s="145" t="s">
        <v>206</v>
      </c>
      <c r="GL131" s="996">
        <v>0</v>
      </c>
      <c r="GM131" s="1005" t="s">
        <v>204</v>
      </c>
      <c r="GN131" s="996">
        <v>-6.0610000000000017</v>
      </c>
      <c r="GO131" s="1006" t="s">
        <v>204</v>
      </c>
      <c r="GP131" s="996">
        <v>8.34328</v>
      </c>
      <c r="GQ131" s="1006"/>
      <c r="GR131" s="996">
        <v>0</v>
      </c>
      <c r="GS131" s="1006"/>
      <c r="GT131" s="996">
        <v>0</v>
      </c>
      <c r="GU131" s="1006"/>
      <c r="GV131" s="996">
        <v>0</v>
      </c>
      <c r="GW131" s="1006"/>
      <c r="GX131" s="996">
        <v>-0.52904253600000128</v>
      </c>
      <c r="GY131" s="1006"/>
      <c r="GZ131" s="996">
        <v>0</v>
      </c>
      <c r="HA131" s="1006"/>
      <c r="HB131" s="996">
        <v>0</v>
      </c>
      <c r="HC131" s="1006" t="s">
        <v>199</v>
      </c>
      <c r="HD131" s="996">
        <v>2.1074105360000006</v>
      </c>
      <c r="HE131" s="1006"/>
      <c r="HF131" s="996">
        <v>0</v>
      </c>
      <c r="HG131" s="1006"/>
      <c r="HH131" s="996">
        <v>0</v>
      </c>
      <c r="HI131" s="1006" t="s">
        <v>199</v>
      </c>
      <c r="HJ131" s="996">
        <v>-3.1890958880000007</v>
      </c>
      <c r="HK131" s="1006"/>
      <c r="HL131" s="996">
        <v>0</v>
      </c>
      <c r="HM131" s="1006"/>
      <c r="HN131" s="996">
        <v>0</v>
      </c>
      <c r="HO131" s="1006" t="s">
        <v>203</v>
      </c>
      <c r="HP131" s="996">
        <v>-0.97217771199999881</v>
      </c>
      <c r="HQ131" s="1006"/>
      <c r="HR131" s="996">
        <v>0</v>
      </c>
      <c r="HS131" s="1006"/>
      <c r="HT131" s="996">
        <v>0</v>
      </c>
      <c r="HU131" s="1006"/>
      <c r="HV131" s="996">
        <v>-0.73265368000000208</v>
      </c>
      <c r="HW131" s="1006" t="s">
        <v>203</v>
      </c>
      <c r="HX131" s="996">
        <v>-1.6923966443999987</v>
      </c>
      <c r="HY131" s="1006" t="s">
        <v>719</v>
      </c>
      <c r="HZ131" s="996">
        <v>-11.978120219999997</v>
      </c>
      <c r="IA131" s="1006" t="s">
        <v>221</v>
      </c>
      <c r="IB131" s="996">
        <v>5.3397768643999974</v>
      </c>
      <c r="IC131" s="1006" t="s">
        <v>25</v>
      </c>
      <c r="ID131" s="996">
        <v>18.162099999999999</v>
      </c>
      <c r="IE131" s="1006"/>
      <c r="IF131" s="996">
        <v>0</v>
      </c>
      <c r="IG131" s="1006"/>
      <c r="IH131" s="996">
        <v>0</v>
      </c>
      <c r="II131" s="1006"/>
      <c r="IJ131" s="996">
        <v>-8.34328</v>
      </c>
      <c r="IK131" s="1006"/>
      <c r="IL131" s="996">
        <v>0</v>
      </c>
      <c r="IM131" s="1006" t="s">
        <v>199</v>
      </c>
      <c r="IN131" s="996">
        <v>2.6698496000000009</v>
      </c>
      <c r="IO131" s="1006"/>
      <c r="IP131" s="996">
        <v>0</v>
      </c>
      <c r="IQ131" s="1006"/>
      <c r="IR131" s="996">
        <v>-0.89502159999999975</v>
      </c>
      <c r="IS131" s="1006"/>
      <c r="IT131" s="996">
        <v>0.10458359999999978</v>
      </c>
      <c r="IU131" s="1006" t="s">
        <v>204</v>
      </c>
      <c r="IV131" s="996">
        <v>-4.0245876000000003</v>
      </c>
      <c r="IW131" s="1006"/>
      <c r="IX131" s="996">
        <v>0</v>
      </c>
      <c r="IY131" s="1006"/>
      <c r="IZ131" s="996">
        <v>0</v>
      </c>
      <c r="JA131" s="1006" t="s">
        <v>204</v>
      </c>
      <c r="JB131" s="996">
        <v>2.9749895999999989</v>
      </c>
      <c r="JC131" s="1006"/>
      <c r="JD131" s="996">
        <v>-0.88966409400000046</v>
      </c>
      <c r="JE131" s="1006" t="s">
        <v>204</v>
      </c>
      <c r="JF131" s="996">
        <v>-3.3337828259999984</v>
      </c>
      <c r="JG131" s="1006"/>
      <c r="JH131" s="996">
        <v>0</v>
      </c>
      <c r="JI131" s="1006"/>
      <c r="JJ131" s="996">
        <v>0</v>
      </c>
      <c r="JK131" s="1007"/>
      <c r="JL131" s="1007">
        <v>0</v>
      </c>
      <c r="JM131" s="1007"/>
      <c r="JN131" s="1007">
        <v>0</v>
      </c>
      <c r="JO131" s="1008"/>
      <c r="JP131" s="1007">
        <v>0</v>
      </c>
      <c r="JQ131" s="1008">
        <v>0</v>
      </c>
      <c r="JR131" s="1007">
        <v>0</v>
      </c>
      <c r="JS131" s="1008" t="s">
        <v>204</v>
      </c>
      <c r="JT131" s="1007">
        <v>-1.2549655800000004</v>
      </c>
      <c r="JU131" s="1008"/>
      <c r="JV131" s="1007">
        <v>0</v>
      </c>
      <c r="JW131" s="1008" t="s">
        <v>197</v>
      </c>
      <c r="JX131" s="1007">
        <v>0</v>
      </c>
      <c r="JY131" s="1008"/>
      <c r="JZ131" s="1007">
        <v>0</v>
      </c>
      <c r="KA131" s="1008"/>
      <c r="KB131" s="1007">
        <v>0</v>
      </c>
      <c r="KC131" s="1008" t="s">
        <v>204</v>
      </c>
      <c r="KD131" s="1007">
        <v>-2.5493610999999987</v>
      </c>
      <c r="KE131" s="1008" t="s">
        <v>204</v>
      </c>
      <c r="KF131" s="1007">
        <v>-0.51623000000000019</v>
      </c>
      <c r="KG131" s="1008" t="s">
        <v>204</v>
      </c>
      <c r="KH131" s="1007">
        <v>2.0962700000000005</v>
      </c>
      <c r="KI131" s="1008"/>
      <c r="KJ131" s="1007">
        <v>0</v>
      </c>
      <c r="KK131" s="1008"/>
      <c r="KL131" s="1007">
        <v>0</v>
      </c>
      <c r="KM131" s="1008"/>
      <c r="KN131" s="1007">
        <v>0</v>
      </c>
      <c r="KO131" s="1008"/>
      <c r="KP131" s="1007">
        <v>0</v>
      </c>
      <c r="KQ131" s="1008">
        <v>0</v>
      </c>
      <c r="KR131" s="1007">
        <v>0</v>
      </c>
      <c r="KS131" s="1008" t="s">
        <v>204</v>
      </c>
      <c r="KT131" s="1007">
        <v>1.4211999999999989</v>
      </c>
      <c r="KU131" s="1008" t="s">
        <v>207</v>
      </c>
      <c r="KV131" s="1007">
        <v>-2.5080000000000009</v>
      </c>
      <c r="KW131" s="1008">
        <v>0</v>
      </c>
      <c r="KX131" s="1007">
        <v>0</v>
      </c>
      <c r="KY131" s="1008">
        <v>0</v>
      </c>
      <c r="KZ131" s="1007">
        <v>0</v>
      </c>
      <c r="LA131" s="1008">
        <v>0</v>
      </c>
      <c r="LB131" s="1007">
        <v>0</v>
      </c>
      <c r="LC131" s="1008">
        <v>0</v>
      </c>
      <c r="LD131" s="1007">
        <v>0</v>
      </c>
      <c r="LE131" s="1008">
        <v>0</v>
      </c>
      <c r="LF131" s="1007">
        <v>0</v>
      </c>
      <c r="LG131" s="1008">
        <v>0</v>
      </c>
      <c r="LH131" s="1007">
        <v>0</v>
      </c>
      <c r="LI131" s="1008">
        <v>0</v>
      </c>
      <c r="LJ131" s="1007">
        <v>0</v>
      </c>
      <c r="LK131" s="1008" t="s">
        <v>204</v>
      </c>
      <c r="LL131" s="1007">
        <v>2.3826000000000018</v>
      </c>
      <c r="LM131" s="1008">
        <v>0</v>
      </c>
      <c r="LN131" s="1007">
        <v>-4.18</v>
      </c>
      <c r="LO131" s="1008">
        <v>0</v>
      </c>
      <c r="LP131" s="1007">
        <v>0.56848100000000001</v>
      </c>
      <c r="LQ131" s="1008">
        <v>0</v>
      </c>
      <c r="LR131" s="1007">
        <v>0.87575999999998999</v>
      </c>
      <c r="LS131" s="1008">
        <v>0</v>
      </c>
      <c r="LT131" s="1007">
        <v>0</v>
      </c>
      <c r="LU131" s="1008" t="s">
        <v>206</v>
      </c>
      <c r="LV131" s="1007">
        <v>2.8749756</v>
      </c>
      <c r="LW131" s="1008" t="s">
        <v>223</v>
      </c>
      <c r="LX131" s="1007">
        <v>-3.8332655999999998</v>
      </c>
      <c r="LY131" s="1009">
        <v>0</v>
      </c>
      <c r="LZ131" s="1010">
        <v>-0.49642999999999998</v>
      </c>
      <c r="MA131" s="1011" t="s">
        <v>207</v>
      </c>
      <c r="MB131" s="1012">
        <v>-1.2199497199999989</v>
      </c>
      <c r="MC131" s="995"/>
      <c r="MD131" s="996"/>
      <c r="ME131" s="997" t="s">
        <v>416</v>
      </c>
      <c r="MF131" s="997"/>
      <c r="MG131" s="998"/>
      <c r="NR131" s="1000"/>
      <c r="NS131" s="1000"/>
      <c r="NT131" s="1001"/>
      <c r="NU131" s="1000"/>
      <c r="NV131" s="1001"/>
      <c r="NX131" s="1002"/>
      <c r="NZ131" s="1001"/>
      <c r="OA131" s="1001"/>
      <c r="OC131" s="1003"/>
      <c r="OD131" s="1003"/>
      <c r="OE131" s="1001"/>
      <c r="OF131" s="1003"/>
      <c r="OG131" s="1003"/>
      <c r="QX131" s="1000">
        <f t="shared" si="96"/>
        <v>19</v>
      </c>
      <c r="ASU131" s="999" t="s">
        <v>208</v>
      </c>
    </row>
    <row r="132" spans="1:466 1191:1191" ht="21" customHeight="1" x14ac:dyDescent="0.25">
      <c r="A132" s="982" t="str">
        <f t="shared" si="59"/>
        <v>1044-2</v>
      </c>
      <c r="B132" s="124">
        <f>SUBTOTAL(103,$J$29:J132)</f>
        <v>104</v>
      </c>
      <c r="C132" s="126">
        <v>45068</v>
      </c>
      <c r="D132" s="124" t="s">
        <v>176</v>
      </c>
      <c r="E132" s="127" t="s">
        <v>177</v>
      </c>
      <c r="F132" s="128" t="s">
        <v>177</v>
      </c>
      <c r="G132" s="127" t="s">
        <v>178</v>
      </c>
      <c r="H132" s="127" t="s">
        <v>408</v>
      </c>
      <c r="I132" s="127" t="s">
        <v>684</v>
      </c>
      <c r="J132" s="152" t="s">
        <v>720</v>
      </c>
      <c r="K132" s="127" t="s">
        <v>716</v>
      </c>
      <c r="L132" s="130">
        <v>41015</v>
      </c>
      <c r="M132" s="127" t="s">
        <v>230</v>
      </c>
      <c r="N132" s="127" t="s">
        <v>231</v>
      </c>
      <c r="O132" s="127" t="s">
        <v>185</v>
      </c>
      <c r="P132" s="127" t="s">
        <v>186</v>
      </c>
      <c r="Q132" s="85" t="str">
        <f t="shared" si="85"/>
        <v/>
      </c>
      <c r="R132" s="130"/>
      <c r="S132" s="128" t="s">
        <v>156</v>
      </c>
      <c r="T132" s="131"/>
      <c r="U132" s="132">
        <v>203</v>
      </c>
      <c r="V132" s="121">
        <v>218.2</v>
      </c>
      <c r="W132" s="116">
        <v>0.98</v>
      </c>
      <c r="X132" s="116">
        <v>1.66</v>
      </c>
      <c r="Y132" s="116">
        <f t="shared" si="86"/>
        <v>1.0631373399869819</v>
      </c>
      <c r="Z132" s="133">
        <v>1.454</v>
      </c>
      <c r="AA132" s="133">
        <v>0.83599999999999997</v>
      </c>
      <c r="AB132" s="133">
        <v>0.72</v>
      </c>
      <c r="AC132" s="121">
        <v>34.299999999999997</v>
      </c>
      <c r="AD132" s="134">
        <v>1.17</v>
      </c>
      <c r="AE132" s="124">
        <v>139.69999999999999</v>
      </c>
      <c r="AF132" s="128">
        <v>7.72</v>
      </c>
      <c r="AG132" s="128">
        <v>1880</v>
      </c>
      <c r="AH132" s="127">
        <v>2400</v>
      </c>
      <c r="AI132" s="127">
        <v>2400</v>
      </c>
      <c r="AJ132" s="135"/>
      <c r="AK132" s="128"/>
      <c r="AL132" s="131"/>
      <c r="AM132" s="124" t="s">
        <v>232</v>
      </c>
      <c r="AN132" s="136" t="s">
        <v>721</v>
      </c>
      <c r="AO132" s="137">
        <v>53.79</v>
      </c>
      <c r="AP132" s="128">
        <v>1899</v>
      </c>
      <c r="AQ132" s="128">
        <v>32.090000000000003</v>
      </c>
      <c r="AR132" s="128"/>
      <c r="AS132" s="128"/>
      <c r="AT132" s="122"/>
      <c r="AU132" s="124" t="s">
        <v>189</v>
      </c>
      <c r="AV132" s="115">
        <f>VLOOKUP(J132,'[63]ТР нефть'!$J$28:$BP$638,39,0)</f>
        <v>379.99998662100001</v>
      </c>
      <c r="AW132" s="115" t="str">
        <f>VLOOKUP(J132,'[63]ТР нефть'!$J$28:$BP$638,40,0)</f>
        <v>ГП</v>
      </c>
      <c r="AX132" s="115">
        <f>VLOOKUP(J132,'[63]ТР нефть'!$J$28:$BP$638,41,0)</f>
        <v>720.00003339800003</v>
      </c>
      <c r="AY132" s="115" t="str">
        <f>VLOOKUP(J132,'[63]ТР нефть'!$J$28:$BP$638,42,0)</f>
        <v>ГП</v>
      </c>
      <c r="AZ132" s="115">
        <f>VLOOKUP(J132,'[63]ТР нефть'!$J$28:$BP$638,43,0)</f>
        <v>1080.0000128910001</v>
      </c>
      <c r="BA132" s="115" t="str">
        <f>VLOOKUP(J132,'[63]ТР нефть'!$J$28:$BP$638,44,0)</f>
        <v>ГП</v>
      </c>
      <c r="BB132" s="115">
        <f>VLOOKUP(J132,'[63]ТР нефть'!$J$28:$BP$638,45,0)</f>
        <v>1380.0000082030001</v>
      </c>
      <c r="BC132" s="115" t="str">
        <f>VLOOKUP(J132,'[63]ТР нефть'!$J$28:$BP$638,46,0)</f>
        <v>ГК 84 1/8</v>
      </c>
      <c r="BD132" s="115">
        <f>VLOOKUP(J132,'[63]ТР нефть'!$J$28:$BP$638,47,0)</f>
        <v>1640.0000636719999</v>
      </c>
      <c r="BE132" s="115" t="str">
        <f>VLOOKUP(J132,'[63]ТР нефть'!$J$28:$BP$638,48,0)</f>
        <v>ЦКсОК 5/16</v>
      </c>
      <c r="BF132" s="115" t="str">
        <f>VLOOKUP(J132,'[63]ТР нефть'!$J$28:$BP$638,49,0)</f>
        <v>-</v>
      </c>
      <c r="BG132" s="115" t="str">
        <f>VLOOKUP(J132,'[63]ТР нефть'!$J$28:$BP$638,50,0)</f>
        <v>-</v>
      </c>
      <c r="BH132" s="115">
        <f>VLOOKUP(J132,'[63]ТР нефть'!$J$28:$BP$638,51,0)</f>
        <v>1700</v>
      </c>
      <c r="BI132" s="115" t="str">
        <f>VLOOKUP(J132,'[63]ТР нефть'!$J$28:$BP$638,52,0)</f>
        <v>закрыт</v>
      </c>
      <c r="BJ132" s="115" t="str">
        <f>IF(IFERROR(VLOOKUP(J132,'[63]ТР нефть'!$J$28:$BP$638,53,0),"-")=0,"-",IFERROR(VLOOKUP(J132,'[63]ТР нефть'!$J$28:$BP$638,53,0),"-"))</f>
        <v>-</v>
      </c>
      <c r="BK132" s="138" t="str">
        <f>IF(IFERROR(VLOOKUP(J132,'[63]ТР нефть'!$J$28:$BP$638,54,0),"-")=0,"-",IFERROR(VLOOKUP(J132,'[63]ТР нефть'!$J$28:$BP$638,54,0),"-"))</f>
        <v>-</v>
      </c>
      <c r="BL132" s="138" t="str">
        <f>IF(IFERROR(VLOOKUP(J132,'[63]ТР нефть'!$J$28:$BP$638,55,0),"-")=0,"-",IFERROR(VLOOKUP(J132,'[63]ТР нефть'!$J$28:$BP$638,55,0),"-"))</f>
        <v>-</v>
      </c>
      <c r="BM132" s="138" t="str">
        <f>IF(IFERROR(VLOOKUP(J132,'[63]ТР нефть'!$J$28:$BP$638,56,0),"-")=0,"-",IFERROR(VLOOKUP(J132,'[63]ТР нефть'!$J$28:$BP$638,56,0),"-"))</f>
        <v>-</v>
      </c>
      <c r="BN132" s="138" t="str">
        <f>IF(IFERROR(VLOOKUP(J132,'[63]ТР нефть'!$J$28:$BP$638,57,0),"-")=0,"-",IFERROR(VLOOKUP(J132,'[63]ТР нефть'!$J$28:$BP$638,57,0),"-"))</f>
        <v>-</v>
      </c>
      <c r="BO132" s="115" t="str">
        <f>IF(IFERROR(VLOOKUP(J132,'[63]ТР нефть'!$J$28:$BP$638,58,0),"-")=0,"-",IFERROR(VLOOKUP(J132,'[63]ТР нефть'!$J$28:$BP$638,58,0),"-"))</f>
        <v>-</v>
      </c>
      <c r="BP132" s="115" t="str">
        <f>IF(IFERROR(VLOOKUP(J132,'[63]ТР нефть'!$J$28:$BP$638,59,0),"-")=0,"-",IFERROR(VLOOKUP(J132,'[63]ТР нефть'!$J$28:$BP$638,59,0),"-"))</f>
        <v>-</v>
      </c>
      <c r="BQ132" s="138">
        <v>1900</v>
      </c>
      <c r="BR132" s="128">
        <v>1867.3</v>
      </c>
      <c r="BS132" s="115">
        <f t="shared" si="60"/>
        <v>32.700000000000045</v>
      </c>
      <c r="BT132" s="128">
        <v>73</v>
      </c>
      <c r="BU132" s="128">
        <v>5.5</v>
      </c>
      <c r="BV132" s="127">
        <v>18</v>
      </c>
      <c r="BW132" s="127" t="s">
        <v>217</v>
      </c>
      <c r="BX132" s="127" t="s">
        <v>195</v>
      </c>
      <c r="BY132" s="139">
        <v>24</v>
      </c>
      <c r="BZ132" s="139">
        <v>0</v>
      </c>
      <c r="CA132" s="138">
        <v>22</v>
      </c>
      <c r="CB132" s="138">
        <v>38</v>
      </c>
      <c r="CC132" s="138">
        <v>20</v>
      </c>
      <c r="CD132" s="135">
        <v>45017</v>
      </c>
      <c r="CE132" s="138">
        <v>72</v>
      </c>
      <c r="CF132" s="138">
        <v>76</v>
      </c>
      <c r="CG132" s="138" t="str">
        <f t="shared" si="99"/>
        <v>В работе</v>
      </c>
      <c r="CH132" s="138" t="s">
        <v>196</v>
      </c>
      <c r="CI132" s="127">
        <v>6</v>
      </c>
      <c r="CJ132" s="138"/>
      <c r="CK132" s="138"/>
      <c r="CL132" s="99"/>
      <c r="CM132" s="99"/>
      <c r="CN132" s="140">
        <v>46</v>
      </c>
      <c r="CO132" s="159">
        <f t="shared" si="61"/>
        <v>5.5465423199999995</v>
      </c>
      <c r="CP132" s="160">
        <v>8.1999999999999993</v>
      </c>
      <c r="CQ132" s="161">
        <v>19.09</v>
      </c>
      <c r="CR132" s="138">
        <v>25.6</v>
      </c>
      <c r="CS132" s="139">
        <v>7</v>
      </c>
      <c r="CT132" s="138"/>
      <c r="CU132" s="138">
        <f t="shared" si="62"/>
        <v>18.600000000000001</v>
      </c>
      <c r="CV132" s="115">
        <f t="shared" si="63"/>
        <v>3353.4405629487746</v>
      </c>
      <c r="CW132" s="115">
        <f t="shared" si="64"/>
        <v>951.18357919716743</v>
      </c>
      <c r="CX132" s="133">
        <f t="shared" si="65"/>
        <v>0.31538461538461537</v>
      </c>
      <c r="CY132" s="116"/>
      <c r="CZ132" s="131"/>
      <c r="DA132" s="145" t="str">
        <f t="shared" si="66"/>
        <v>Газлифт</v>
      </c>
      <c r="DB132" s="146">
        <f t="shared" si="67"/>
        <v>5.5465423199999995</v>
      </c>
      <c r="DC132" s="142">
        <f t="shared" si="68"/>
        <v>8.1999999999999993</v>
      </c>
      <c r="DD132" s="119">
        <f t="shared" si="69"/>
        <v>19.09</v>
      </c>
      <c r="DE132" s="115">
        <f t="shared" si="70"/>
        <v>18.600000000000001</v>
      </c>
      <c r="DF132" s="121">
        <f t="shared" si="71"/>
        <v>7</v>
      </c>
      <c r="DG132" s="115">
        <f t="shared" si="72"/>
        <v>3353.4405629487746</v>
      </c>
      <c r="DH132" s="115">
        <f t="shared" si="73"/>
        <v>46</v>
      </c>
      <c r="DI132" s="147"/>
      <c r="DJ132" s="111" t="s">
        <v>197</v>
      </c>
      <c r="DK132" s="112">
        <v>42698</v>
      </c>
      <c r="DL132" s="113">
        <f t="shared" ca="1" si="87"/>
        <v>2406</v>
      </c>
      <c r="DM132" s="114"/>
      <c r="DN132" s="114"/>
      <c r="DO132" s="114"/>
      <c r="DP132" s="114"/>
      <c r="DQ132" s="112">
        <v>43182</v>
      </c>
      <c r="DR132" s="114" t="s">
        <v>198</v>
      </c>
      <c r="DS132" s="114"/>
      <c r="DT132" s="115">
        <v>44</v>
      </c>
      <c r="DU132" s="116">
        <f t="shared" si="88"/>
        <v>0.31074660633484152</v>
      </c>
      <c r="DV132" s="117">
        <f t="shared" si="89"/>
        <v>5.8853582535746591</v>
      </c>
      <c r="DW132" s="118">
        <f t="shared" si="90"/>
        <v>8.7009049773755631</v>
      </c>
      <c r="DX132" s="119">
        <f t="shared" si="74"/>
        <v>19.09</v>
      </c>
      <c r="DY132" s="115">
        <f t="shared" si="91"/>
        <v>19.73619909502262</v>
      </c>
      <c r="DZ132" s="117">
        <f t="shared" si="92"/>
        <v>0.33881593357465967</v>
      </c>
      <c r="EA132" s="120">
        <f t="shared" si="92"/>
        <v>0.50090497737556383</v>
      </c>
      <c r="EB132" s="119">
        <f t="shared" si="92"/>
        <v>0</v>
      </c>
      <c r="EC132" s="121">
        <f t="shared" si="93"/>
        <v>1.1361990950226186</v>
      </c>
      <c r="ED132" s="122"/>
      <c r="EE132" s="145">
        <v>18</v>
      </c>
      <c r="EF132" s="115">
        <v>22</v>
      </c>
      <c r="EG132" s="115">
        <v>38</v>
      </c>
      <c r="EH132" s="115">
        <v>20</v>
      </c>
      <c r="EI132" s="128" t="s">
        <v>195</v>
      </c>
      <c r="EJ132" s="121">
        <v>24</v>
      </c>
      <c r="EK132" s="121">
        <v>0</v>
      </c>
      <c r="EL132" s="162">
        <v>5.5465423199999995</v>
      </c>
      <c r="EM132" s="142">
        <v>8.1999999999999993</v>
      </c>
      <c r="EN132" s="119">
        <v>19.09</v>
      </c>
      <c r="EO132" s="115">
        <v>25.6</v>
      </c>
      <c r="EP132" s="115">
        <v>3353.4405629487746</v>
      </c>
      <c r="EQ132" s="115">
        <v>76</v>
      </c>
      <c r="ER132" s="115">
        <v>7</v>
      </c>
      <c r="ES132" s="115">
        <v>46</v>
      </c>
      <c r="ET132" s="150">
        <v>0.31538461538461537</v>
      </c>
      <c r="EU132" s="145">
        <f t="shared" si="75"/>
        <v>18</v>
      </c>
      <c r="EV132" s="115">
        <f t="shared" si="76"/>
        <v>22</v>
      </c>
      <c r="EW132" s="115">
        <f t="shared" si="76"/>
        <v>38</v>
      </c>
      <c r="EX132" s="115">
        <f t="shared" si="76"/>
        <v>20</v>
      </c>
      <c r="EY132" s="115" t="str">
        <f t="shared" si="98"/>
        <v>Постоянный</v>
      </c>
      <c r="EZ132" s="115">
        <f t="shared" si="98"/>
        <v>24</v>
      </c>
      <c r="FA132" s="115">
        <f t="shared" si="98"/>
        <v>0</v>
      </c>
      <c r="FB132" s="149">
        <f t="shared" si="78"/>
        <v>5.5465423199999995</v>
      </c>
      <c r="FC132" s="142">
        <f t="shared" si="78"/>
        <v>8.1999999999999993</v>
      </c>
      <c r="FD132" s="119">
        <f t="shared" si="78"/>
        <v>19.09</v>
      </c>
      <c r="FE132" s="121">
        <f t="shared" si="78"/>
        <v>25.6</v>
      </c>
      <c r="FF132" s="121">
        <f t="shared" si="94"/>
        <v>3353.4405629487746</v>
      </c>
      <c r="FG132" s="121">
        <f t="shared" si="79"/>
        <v>76</v>
      </c>
      <c r="FH132" s="121">
        <f t="shared" si="95"/>
        <v>7</v>
      </c>
      <c r="FI132" s="121">
        <f t="shared" si="97"/>
        <v>46</v>
      </c>
      <c r="FJ132" s="144">
        <f t="shared" si="80"/>
        <v>0.31538461538461537</v>
      </c>
      <c r="FK132" s="132">
        <f t="shared" si="81"/>
        <v>0</v>
      </c>
      <c r="FL132" s="115">
        <f t="shared" si="81"/>
        <v>0</v>
      </c>
      <c r="FM132" s="115">
        <f t="shared" si="81"/>
        <v>0</v>
      </c>
      <c r="FN132" s="115">
        <f t="shared" si="58"/>
        <v>0</v>
      </c>
      <c r="FO132" s="115">
        <f t="shared" si="57"/>
        <v>0</v>
      </c>
      <c r="FP132" s="115">
        <f t="shared" si="57"/>
        <v>0</v>
      </c>
      <c r="FQ132" s="149">
        <f t="shared" si="57"/>
        <v>0</v>
      </c>
      <c r="FR132" s="142">
        <f t="shared" si="57"/>
        <v>0</v>
      </c>
      <c r="FS132" s="119">
        <f t="shared" si="57"/>
        <v>0</v>
      </c>
      <c r="FT132" s="121">
        <f t="shared" si="57"/>
        <v>0</v>
      </c>
      <c r="FU132" s="121">
        <f t="shared" si="82"/>
        <v>0</v>
      </c>
      <c r="FV132" s="121">
        <f t="shared" si="82"/>
        <v>0</v>
      </c>
      <c r="FW132" s="121">
        <f t="shared" si="83"/>
        <v>0</v>
      </c>
      <c r="FX132" s="121">
        <f t="shared" si="84"/>
        <v>0</v>
      </c>
      <c r="FY132" s="144">
        <f t="shared" si="84"/>
        <v>0</v>
      </c>
      <c r="FZ132" s="145"/>
      <c r="GA132" s="131" t="s">
        <v>722</v>
      </c>
      <c r="GB132" s="145"/>
      <c r="GC132" s="151"/>
      <c r="GD132" s="997" t="s">
        <v>416</v>
      </c>
      <c r="GE132" s="1004"/>
      <c r="GF132" s="1004">
        <v>0</v>
      </c>
      <c r="GG132" s="1004"/>
      <c r="GH132" s="1004">
        <v>0</v>
      </c>
      <c r="GI132" s="145"/>
      <c r="GJ132" s="996">
        <v>0</v>
      </c>
      <c r="GK132" s="145"/>
      <c r="GL132" s="996">
        <v>0</v>
      </c>
      <c r="GM132" s="1005"/>
      <c r="GN132" s="996">
        <v>0</v>
      </c>
      <c r="GO132" s="1006"/>
      <c r="GP132" s="996">
        <v>0</v>
      </c>
      <c r="GQ132" s="1006"/>
      <c r="GR132" s="996">
        <v>0</v>
      </c>
      <c r="GS132" s="1006"/>
      <c r="GT132" s="996">
        <v>0</v>
      </c>
      <c r="GU132" s="1006"/>
      <c r="GV132" s="996">
        <v>0</v>
      </c>
      <c r="GW132" s="1006" t="s">
        <v>204</v>
      </c>
      <c r="GX132" s="996">
        <v>-2.2115376799999993</v>
      </c>
      <c r="GY132" s="1006"/>
      <c r="GZ132" s="996">
        <v>2.9092799999990149E-3</v>
      </c>
      <c r="HA132" s="1006"/>
      <c r="HB132" s="996">
        <v>-0.68048142800000111</v>
      </c>
      <c r="HC132" s="1006" t="s">
        <v>204</v>
      </c>
      <c r="HD132" s="996">
        <v>3.8047872324000007</v>
      </c>
      <c r="HE132" s="1006"/>
      <c r="HF132" s="996">
        <v>0</v>
      </c>
      <c r="HG132" s="1006"/>
      <c r="HH132" s="996">
        <v>0</v>
      </c>
      <c r="HI132" s="1006"/>
      <c r="HJ132" s="996">
        <v>0</v>
      </c>
      <c r="HK132" s="1006" t="s">
        <v>223</v>
      </c>
      <c r="HL132" s="996">
        <v>-4.4376693284000002</v>
      </c>
      <c r="HM132" s="1006"/>
      <c r="HN132" s="996">
        <v>0.90411644400000135</v>
      </c>
      <c r="HO132" s="1006" t="s">
        <v>199</v>
      </c>
      <c r="HP132" s="996">
        <v>-2.6671744000000004</v>
      </c>
      <c r="HQ132" s="1006" t="s">
        <v>204</v>
      </c>
      <c r="HR132" s="996">
        <v>6.2326098999999999</v>
      </c>
      <c r="HS132" s="1006"/>
      <c r="HT132" s="996">
        <v>0</v>
      </c>
      <c r="HU132" s="1006" t="s">
        <v>223</v>
      </c>
      <c r="HV132" s="996">
        <v>-2.3364737</v>
      </c>
      <c r="HW132" s="1006"/>
      <c r="HX132" s="996">
        <v>0.25328952439999863</v>
      </c>
      <c r="HY132" s="1006"/>
      <c r="HZ132" s="996">
        <v>0.33039313560000139</v>
      </c>
      <c r="IA132" s="1006" t="s">
        <v>203</v>
      </c>
      <c r="IB132" s="996">
        <v>-1.9951315560000005</v>
      </c>
      <c r="IC132" s="1006"/>
      <c r="ID132" s="996">
        <v>0.12891788799999837</v>
      </c>
      <c r="IE132" s="1006" t="s">
        <v>223</v>
      </c>
      <c r="IF132" s="996">
        <v>-6.8808576759999962</v>
      </c>
      <c r="IG132" s="1006"/>
      <c r="IH132" s="996">
        <v>0</v>
      </c>
      <c r="II132" s="1006" t="s">
        <v>25</v>
      </c>
      <c r="IJ132" s="996">
        <v>13.456940683999997</v>
      </c>
      <c r="IK132" s="1006"/>
      <c r="IL132" s="996">
        <v>0</v>
      </c>
      <c r="IM132" s="1006"/>
      <c r="IN132" s="996">
        <v>0</v>
      </c>
      <c r="IO132" s="1006" t="s">
        <v>199</v>
      </c>
      <c r="IP132" s="996">
        <v>-2.6927225600000004</v>
      </c>
      <c r="IQ132" s="1006" t="s">
        <v>199</v>
      </c>
      <c r="IR132" s="996">
        <v>-3.3538982399999995</v>
      </c>
      <c r="IS132" s="1006"/>
      <c r="IT132" s="996">
        <v>0.48053279999999976</v>
      </c>
      <c r="IU132" s="1006"/>
      <c r="IV132" s="996">
        <v>-1.5048000000000172E-2</v>
      </c>
      <c r="IW132" s="1006" t="s">
        <v>199</v>
      </c>
      <c r="IX132" s="996">
        <v>2.48292</v>
      </c>
      <c r="IY132" s="1006" t="s">
        <v>199</v>
      </c>
      <c r="IZ132" s="996">
        <v>-3.9500999999999999</v>
      </c>
      <c r="JA132" s="1006" t="s">
        <v>223</v>
      </c>
      <c r="JB132" s="996">
        <v>2.0369976000000003</v>
      </c>
      <c r="JC132" s="1006" t="s">
        <v>223</v>
      </c>
      <c r="JD132" s="996">
        <v>-1.4969750399999997</v>
      </c>
      <c r="JE132" s="1006" t="s">
        <v>223</v>
      </c>
      <c r="JF132" s="996">
        <v>-3.0297111503999989</v>
      </c>
      <c r="JG132" s="1006"/>
      <c r="JH132" s="996">
        <v>0</v>
      </c>
      <c r="JI132" s="1006" t="s">
        <v>203</v>
      </c>
      <c r="JJ132" s="996">
        <v>-2.0240447832000008</v>
      </c>
      <c r="JK132" s="1007" t="s">
        <v>25</v>
      </c>
      <c r="JL132" s="1007">
        <v>8.1334929896000006</v>
      </c>
      <c r="JM132" s="1007" t="s">
        <v>199</v>
      </c>
      <c r="JN132" s="1007">
        <v>-5.4881259840000007</v>
      </c>
      <c r="JO132" s="1008"/>
      <c r="JP132" s="1007">
        <v>0</v>
      </c>
      <c r="JQ132" s="1008" t="s">
        <v>223</v>
      </c>
      <c r="JR132" s="1007">
        <v>-1.9174596319999999</v>
      </c>
      <c r="JS132" s="1008" t="s">
        <v>204</v>
      </c>
      <c r="JT132" s="1007">
        <v>1.890406672000001</v>
      </c>
      <c r="JU132" s="1008"/>
      <c r="JV132" s="1007">
        <v>0</v>
      </c>
      <c r="JW132" s="1008" t="s">
        <v>197</v>
      </c>
      <c r="JX132" s="1007">
        <v>0</v>
      </c>
      <c r="JY132" s="1008"/>
      <c r="JZ132" s="1007">
        <v>0</v>
      </c>
      <c r="KA132" s="1008"/>
      <c r="KB132" s="1007">
        <v>0</v>
      </c>
      <c r="KC132" s="1008" t="s">
        <v>199</v>
      </c>
      <c r="KD132" s="1007">
        <v>2.4764393279999997</v>
      </c>
      <c r="KE132" s="1008" t="s">
        <v>240</v>
      </c>
      <c r="KF132" s="1007">
        <v>-3.1768000000000001</v>
      </c>
      <c r="KG132" s="1008" t="s">
        <v>207</v>
      </c>
      <c r="KH132" s="1007">
        <v>2.09</v>
      </c>
      <c r="KI132" s="1008"/>
      <c r="KJ132" s="1007">
        <v>0</v>
      </c>
      <c r="KK132" s="1008"/>
      <c r="KL132" s="1007">
        <v>0</v>
      </c>
      <c r="KM132" s="1008"/>
      <c r="KN132" s="1007">
        <v>0</v>
      </c>
      <c r="KO132" s="1008"/>
      <c r="KP132" s="1007">
        <v>0</v>
      </c>
      <c r="KQ132" s="1008">
        <v>0</v>
      </c>
      <c r="KR132" s="1007">
        <v>0</v>
      </c>
      <c r="KS132" s="1008" t="s">
        <v>207</v>
      </c>
      <c r="KT132" s="1007">
        <v>-8.0841200000000004</v>
      </c>
      <c r="KU132" s="1008" t="s">
        <v>206</v>
      </c>
      <c r="KV132" s="1007">
        <v>3.2670880000000011</v>
      </c>
      <c r="KW132" s="1008">
        <v>0</v>
      </c>
      <c r="KX132" s="1007">
        <v>0</v>
      </c>
      <c r="KY132" s="1008" t="s">
        <v>25</v>
      </c>
      <c r="KZ132" s="1007">
        <v>4.7551679999999994</v>
      </c>
      <c r="LA132" s="1008">
        <v>0</v>
      </c>
      <c r="LB132" s="1007">
        <v>0</v>
      </c>
      <c r="LC132" s="1008">
        <v>0</v>
      </c>
      <c r="LD132" s="1007">
        <v>0</v>
      </c>
      <c r="LE132" s="1008">
        <v>0</v>
      </c>
      <c r="LF132" s="1007">
        <v>0</v>
      </c>
      <c r="LG132" s="1008">
        <v>0</v>
      </c>
      <c r="LH132" s="1007">
        <v>0</v>
      </c>
      <c r="LI132" s="1008">
        <v>0</v>
      </c>
      <c r="LJ132" s="1007">
        <v>0</v>
      </c>
      <c r="LK132" s="1008">
        <v>0</v>
      </c>
      <c r="LL132" s="1007">
        <v>0</v>
      </c>
      <c r="LM132" s="1008" t="s">
        <v>555</v>
      </c>
      <c r="LN132" s="1007">
        <v>-1.4746999999999999</v>
      </c>
      <c r="LO132" s="1008" t="s">
        <v>223</v>
      </c>
      <c r="LP132" s="1007">
        <v>-1.9147326000000024</v>
      </c>
      <c r="LQ132" s="1008">
        <v>0</v>
      </c>
      <c r="LR132" s="1007">
        <v>0</v>
      </c>
      <c r="LS132" s="1008">
        <v>0</v>
      </c>
      <c r="LT132" s="1007">
        <v>0</v>
      </c>
      <c r="LU132" s="1008" t="s">
        <v>692</v>
      </c>
      <c r="LV132" s="1007">
        <v>-4.551727399999999</v>
      </c>
      <c r="LW132" s="1008" t="s">
        <v>206</v>
      </c>
      <c r="LX132" s="1007">
        <v>0.114949999999997</v>
      </c>
      <c r="LY132" s="1009" t="s">
        <v>206</v>
      </c>
      <c r="LZ132" s="1010">
        <v>-1.6586239999999961</v>
      </c>
      <c r="MA132" s="1011" t="s">
        <v>206</v>
      </c>
      <c r="MB132" s="1012">
        <v>-6.4354611199999994</v>
      </c>
      <c r="MC132" s="995"/>
      <c r="MD132" s="996"/>
      <c r="ME132" s="997" t="s">
        <v>416</v>
      </c>
      <c r="MF132" s="997"/>
      <c r="MG132" s="998"/>
      <c r="NR132" s="1000"/>
      <c r="NS132" s="1000"/>
      <c r="NT132" s="1001"/>
      <c r="NU132" s="1000"/>
      <c r="NV132" s="1001"/>
      <c r="NX132" s="1002"/>
      <c r="NZ132" s="1001"/>
      <c r="OA132" s="1001"/>
      <c r="OC132" s="1003"/>
      <c r="OD132" s="1003"/>
      <c r="OE132" s="1001"/>
      <c r="OF132" s="1003"/>
      <c r="OG132" s="1003"/>
      <c r="QX132" s="1000">
        <f t="shared" si="96"/>
        <v>24</v>
      </c>
      <c r="ASU132" s="999" t="s">
        <v>208</v>
      </c>
    </row>
    <row r="133" spans="1:466 1191:1191" ht="21" customHeight="1" x14ac:dyDescent="0.25">
      <c r="A133" s="982" t="str">
        <f t="shared" si="59"/>
        <v>1044-1</v>
      </c>
      <c r="B133" s="124">
        <f>SUBTOTAL(103,$J$29:J133)</f>
        <v>105</v>
      </c>
      <c r="C133" s="126">
        <v>45068</v>
      </c>
      <c r="D133" s="124" t="s">
        <v>176</v>
      </c>
      <c r="E133" s="127" t="s">
        <v>177</v>
      </c>
      <c r="F133" s="128" t="s">
        <v>177</v>
      </c>
      <c r="G133" s="127" t="s">
        <v>178</v>
      </c>
      <c r="H133" s="127" t="s">
        <v>408</v>
      </c>
      <c r="I133" s="127" t="s">
        <v>684</v>
      </c>
      <c r="J133" s="129" t="s">
        <v>723</v>
      </c>
      <c r="K133" s="127" t="s">
        <v>716</v>
      </c>
      <c r="L133" s="130">
        <v>41082</v>
      </c>
      <c r="M133" s="127" t="s">
        <v>230</v>
      </c>
      <c r="N133" s="127" t="s">
        <v>231</v>
      </c>
      <c r="O133" s="127" t="s">
        <v>185</v>
      </c>
      <c r="P133" s="127" t="s">
        <v>186</v>
      </c>
      <c r="Q133" s="85" t="str">
        <f t="shared" si="85"/>
        <v/>
      </c>
      <c r="R133" s="130"/>
      <c r="S133" s="128" t="s">
        <v>156</v>
      </c>
      <c r="T133" s="131"/>
      <c r="U133" s="132">
        <v>203</v>
      </c>
      <c r="V133" s="121">
        <v>218.2</v>
      </c>
      <c r="W133" s="116">
        <v>0.98</v>
      </c>
      <c r="X133" s="116">
        <v>1.66</v>
      </c>
      <c r="Y133" s="116">
        <f t="shared" si="86"/>
        <v>1.0441591784338895</v>
      </c>
      <c r="Z133" s="133">
        <v>1.454</v>
      </c>
      <c r="AA133" s="133">
        <v>0.83599999999999997</v>
      </c>
      <c r="AB133" s="133">
        <v>0.72</v>
      </c>
      <c r="AC133" s="121">
        <v>34.299999999999997</v>
      </c>
      <c r="AD133" s="134">
        <v>1.17</v>
      </c>
      <c r="AE133" s="124">
        <v>139.69999999999999</v>
      </c>
      <c r="AF133" s="128">
        <v>7.72</v>
      </c>
      <c r="AG133" s="128">
        <v>1880</v>
      </c>
      <c r="AH133" s="127">
        <v>2285</v>
      </c>
      <c r="AI133" s="127">
        <v>2285</v>
      </c>
      <c r="AJ133" s="135"/>
      <c r="AK133" s="128"/>
      <c r="AL133" s="131"/>
      <c r="AM133" s="124" t="s">
        <v>232</v>
      </c>
      <c r="AN133" s="136" t="s">
        <v>724</v>
      </c>
      <c r="AO133" s="137">
        <v>65.7</v>
      </c>
      <c r="AP133" s="128">
        <v>1880</v>
      </c>
      <c r="AQ133" s="128">
        <v>20.78</v>
      </c>
      <c r="AR133" s="128"/>
      <c r="AS133" s="128"/>
      <c r="AT133" s="122"/>
      <c r="AU133" s="124" t="s">
        <v>189</v>
      </c>
      <c r="AV133" s="115">
        <f>VLOOKUP(J133,'[63]ТР нефть'!$J$28:$BP$638,39,0)</f>
        <v>510.00001435500002</v>
      </c>
      <c r="AW133" s="115" t="str">
        <f>VLOOKUP(J133,'[63]ТР нефть'!$J$28:$BP$638,40,0)</f>
        <v>ГП</v>
      </c>
      <c r="AX133" s="115">
        <f>VLOOKUP(J133,'[63]ТР нефть'!$J$28:$BP$638,41,0)</f>
        <v>940.00000019499998</v>
      </c>
      <c r="AY133" s="115" t="str">
        <f>VLOOKUP(J133,'[63]ТР нефть'!$J$28:$BP$638,42,0)</f>
        <v>ГК 80 1/8</v>
      </c>
      <c r="AZ133" s="115">
        <f>VLOOKUP(J133,'[63]ТР нефть'!$J$28:$BP$638,43,0)</f>
        <v>1299.9999796879999</v>
      </c>
      <c r="BA133" s="115" t="str">
        <f>VLOOKUP(J133,'[63]ТР нефть'!$J$28:$BP$638,44,0)</f>
        <v>ГК 79 1/8</v>
      </c>
      <c r="BB133" s="115">
        <f>VLOOKUP(J133,'[63]ТР нефть'!$J$28:$BP$638,45,0)</f>
        <v>1540.000065234</v>
      </c>
      <c r="BC133" s="115" t="str">
        <f>VLOOKUP(J133,'[63]ТР нефть'!$J$28:$BP$638,46,0)</f>
        <v>ГК 77 1/8</v>
      </c>
      <c r="BD133" s="115">
        <f>VLOOKUP(J133,'[63]ТР нефть'!$J$28:$BP$638,47,0)</f>
        <v>1730.000002734</v>
      </c>
      <c r="BE133" s="115" t="str">
        <f>VLOOKUP(J133,'[63]ТР нефть'!$J$28:$BP$638,48,0)</f>
        <v>ЦКсОК 5/16</v>
      </c>
      <c r="BF133" s="115" t="str">
        <f>VLOOKUP(J133,'[63]ТР нефть'!$J$28:$BP$638,49,0)</f>
        <v>-</v>
      </c>
      <c r="BG133" s="115" t="str">
        <f>VLOOKUP(J133,'[63]ТР нефть'!$J$28:$BP$638,50,0)</f>
        <v>-</v>
      </c>
      <c r="BH133" s="115">
        <f>VLOOKUP(J133,'[63]ТР нефть'!$J$28:$BP$638,51,0)</f>
        <v>1740</v>
      </c>
      <c r="BI133" s="115" t="str">
        <f>VLOOKUP(J133,'[63]ТР нефть'!$J$28:$BP$638,52,0)</f>
        <v>закрыт</v>
      </c>
      <c r="BJ133" s="115" t="str">
        <f>IF(IFERROR(VLOOKUP(J133,'[63]ТР нефть'!$J$28:$BP$638,53,0),"-")=0,"-",IFERROR(VLOOKUP(J133,'[63]ТР нефть'!$J$28:$BP$638,53,0),"-"))</f>
        <v>-</v>
      </c>
      <c r="BK133" s="138" t="str">
        <f>IF(IFERROR(VLOOKUP(J133,'[63]ТР нефть'!$J$28:$BP$638,54,0),"-")=0,"-",IFERROR(VLOOKUP(J133,'[63]ТР нефть'!$J$28:$BP$638,54,0),"-"))</f>
        <v>-</v>
      </c>
      <c r="BL133" s="138" t="str">
        <f>IF(IFERROR(VLOOKUP(J133,'[63]ТР нефть'!$J$28:$BP$638,55,0),"-")=0,"-",IFERROR(VLOOKUP(J133,'[63]ТР нефть'!$J$28:$BP$638,55,0),"-"))</f>
        <v>-</v>
      </c>
      <c r="BM133" s="138" t="str">
        <f>IF(IFERROR(VLOOKUP(J133,'[63]ТР нефть'!$J$28:$BP$638,56,0),"-")=0,"-",IFERROR(VLOOKUP(J133,'[63]ТР нефть'!$J$28:$BP$638,56,0),"-"))</f>
        <v>-</v>
      </c>
      <c r="BN133" s="138" t="str">
        <f>IF(IFERROR(VLOOKUP(J133,'[63]ТР нефть'!$J$28:$BP$638,57,0),"-")=0,"-",IFERROR(VLOOKUP(J133,'[63]ТР нефть'!$J$28:$BP$638,57,0),"-"))</f>
        <v>-</v>
      </c>
      <c r="BO133" s="115" t="str">
        <f>IF(IFERROR(VLOOKUP(J133,'[63]ТР нефть'!$J$28:$BP$638,58,0),"-")=0,"-",IFERROR(VLOOKUP(J133,'[63]ТР нефть'!$J$28:$BP$638,58,0),"-"))</f>
        <v>-</v>
      </c>
      <c r="BP133" s="115" t="str">
        <f>IF(IFERROR(VLOOKUP(J133,'[63]ТР нефть'!$J$28:$BP$638,59,0),"-")=0,"-",IFERROR(VLOOKUP(J133,'[63]ТР нефть'!$J$28:$BP$638,59,0),"-"))</f>
        <v>-</v>
      </c>
      <c r="BQ133" s="138">
        <v>1930</v>
      </c>
      <c r="BR133" s="128">
        <v>1851.51</v>
      </c>
      <c r="BS133" s="115">
        <f t="shared" si="60"/>
        <v>78.490000000000009</v>
      </c>
      <c r="BT133" s="128">
        <v>73</v>
      </c>
      <c r="BU133" s="128">
        <v>5.5</v>
      </c>
      <c r="BV133" s="127">
        <v>65</v>
      </c>
      <c r="BW133" s="127" t="s">
        <v>217</v>
      </c>
      <c r="BX133" s="127" t="s">
        <v>195</v>
      </c>
      <c r="BY133" s="139">
        <v>24</v>
      </c>
      <c r="BZ133" s="139">
        <v>0</v>
      </c>
      <c r="CA133" s="138">
        <v>25</v>
      </c>
      <c r="CB133" s="138">
        <v>33</v>
      </c>
      <c r="CC133" s="138">
        <v>24</v>
      </c>
      <c r="CD133" s="135">
        <v>45017</v>
      </c>
      <c r="CE133" s="138">
        <v>69.599999999999994</v>
      </c>
      <c r="CF133" s="138">
        <v>63</v>
      </c>
      <c r="CG133" s="138" t="str">
        <f t="shared" si="99"/>
        <v>В работе</v>
      </c>
      <c r="CH133" s="138" t="s">
        <v>196</v>
      </c>
      <c r="CI133" s="127">
        <v>6</v>
      </c>
      <c r="CJ133" s="138"/>
      <c r="CK133" s="138"/>
      <c r="CL133" s="99"/>
      <c r="CM133" s="99"/>
      <c r="CN133" s="140">
        <v>41</v>
      </c>
      <c r="CO133" s="159">
        <f>CP133*(1-CQ133/100)*0.836</f>
        <v>5.8269199999999985</v>
      </c>
      <c r="CP133" s="160">
        <v>8.1999999999999993</v>
      </c>
      <c r="CQ133" s="161">
        <v>15</v>
      </c>
      <c r="CR133" s="138">
        <v>23</v>
      </c>
      <c r="CS133" s="138">
        <v>5</v>
      </c>
      <c r="CT133" s="138"/>
      <c r="CU133" s="138">
        <f t="shared" si="62"/>
        <v>18</v>
      </c>
      <c r="CV133" s="115">
        <f t="shared" si="63"/>
        <v>3089.1105421045772</v>
      </c>
      <c r="CW133" s="115">
        <f t="shared" si="64"/>
        <v>689.53533592782514</v>
      </c>
      <c r="CX133" s="133">
        <f t="shared" si="65"/>
        <v>0.28671328671328672</v>
      </c>
      <c r="CY133" s="116"/>
      <c r="CZ133" s="131"/>
      <c r="DA133" s="145" t="str">
        <f t="shared" si="66"/>
        <v>Газлифт</v>
      </c>
      <c r="DB133" s="146">
        <f t="shared" si="67"/>
        <v>5.8269199999999985</v>
      </c>
      <c r="DC133" s="142">
        <f t="shared" si="68"/>
        <v>8.1999999999999993</v>
      </c>
      <c r="DD133" s="119">
        <f t="shared" si="69"/>
        <v>15</v>
      </c>
      <c r="DE133" s="115">
        <f t="shared" si="70"/>
        <v>18</v>
      </c>
      <c r="DF133" s="121">
        <f t="shared" si="71"/>
        <v>5</v>
      </c>
      <c r="DG133" s="115">
        <f t="shared" si="72"/>
        <v>3089.1105421045772</v>
      </c>
      <c r="DH133" s="115">
        <f t="shared" si="73"/>
        <v>41</v>
      </c>
      <c r="DI133" s="147"/>
      <c r="DJ133" s="111" t="s">
        <v>197</v>
      </c>
      <c r="DK133" s="112">
        <v>42983</v>
      </c>
      <c r="DL133" s="113">
        <f t="shared" ca="1" si="87"/>
        <v>2121</v>
      </c>
      <c r="DM133" s="114"/>
      <c r="DN133" s="114"/>
      <c r="DO133" s="114"/>
      <c r="DP133" s="114"/>
      <c r="DQ133" s="112">
        <v>43148</v>
      </c>
      <c r="DR133" s="114" t="s">
        <v>198</v>
      </c>
      <c r="DS133" s="114"/>
      <c r="DT133" s="115">
        <v>52</v>
      </c>
      <c r="DU133" s="116">
        <f t="shared" si="88"/>
        <v>0.46590909090909099</v>
      </c>
      <c r="DV133" s="117">
        <f t="shared" si="89"/>
        <v>5.8269199999999985</v>
      </c>
      <c r="DW133" s="118">
        <f t="shared" si="90"/>
        <v>8.1999999999999993</v>
      </c>
      <c r="DX133" s="119">
        <f t="shared" si="74"/>
        <v>15</v>
      </c>
      <c r="DY133" s="115">
        <f t="shared" si="91"/>
        <v>18</v>
      </c>
      <c r="DZ133" s="117">
        <f t="shared" si="92"/>
        <v>0</v>
      </c>
      <c r="EA133" s="120">
        <f t="shared" si="92"/>
        <v>0</v>
      </c>
      <c r="EB133" s="119">
        <f t="shared" si="92"/>
        <v>0</v>
      </c>
      <c r="EC133" s="121">
        <f t="shared" si="93"/>
        <v>0</v>
      </c>
      <c r="ED133" s="122"/>
      <c r="EE133" s="145">
        <v>65</v>
      </c>
      <c r="EF133" s="115">
        <v>25</v>
      </c>
      <c r="EG133" s="115">
        <v>33</v>
      </c>
      <c r="EH133" s="115">
        <v>24</v>
      </c>
      <c r="EI133" s="128" t="s">
        <v>195</v>
      </c>
      <c r="EJ133" s="121">
        <v>24</v>
      </c>
      <c r="EK133" s="121">
        <v>0</v>
      </c>
      <c r="EL133" s="159">
        <f>EM133*(1-EN133/100)*0.836</f>
        <v>5.8269199999999985</v>
      </c>
      <c r="EM133" s="142">
        <v>8.1999999999999993</v>
      </c>
      <c r="EN133" s="119">
        <v>15</v>
      </c>
      <c r="EO133" s="138">
        <v>23</v>
      </c>
      <c r="EP133" s="115">
        <v>3089.1105421045772</v>
      </c>
      <c r="EQ133" s="138">
        <v>63</v>
      </c>
      <c r="ER133" s="115">
        <v>5</v>
      </c>
      <c r="ES133" s="115">
        <v>41</v>
      </c>
      <c r="ET133" s="150">
        <v>0.28671328671328672</v>
      </c>
      <c r="EU133" s="145">
        <f t="shared" si="75"/>
        <v>65</v>
      </c>
      <c r="EV133" s="115">
        <f t="shared" si="76"/>
        <v>25</v>
      </c>
      <c r="EW133" s="115">
        <f t="shared" si="76"/>
        <v>33</v>
      </c>
      <c r="EX133" s="115">
        <f t="shared" si="76"/>
        <v>24</v>
      </c>
      <c r="EY133" s="115" t="str">
        <f t="shared" si="98"/>
        <v>Постоянный</v>
      </c>
      <c r="EZ133" s="115">
        <f t="shared" si="98"/>
        <v>24</v>
      </c>
      <c r="FA133" s="115">
        <f t="shared" si="98"/>
        <v>0</v>
      </c>
      <c r="FB133" s="149">
        <f t="shared" si="78"/>
        <v>5.8269199999999985</v>
      </c>
      <c r="FC133" s="142">
        <f t="shared" si="78"/>
        <v>8.1999999999999993</v>
      </c>
      <c r="FD133" s="119">
        <f t="shared" si="78"/>
        <v>15</v>
      </c>
      <c r="FE133" s="121">
        <f t="shared" si="78"/>
        <v>23</v>
      </c>
      <c r="FF133" s="121">
        <f t="shared" si="94"/>
        <v>3089.1105421045772</v>
      </c>
      <c r="FG133" s="121">
        <f t="shared" si="79"/>
        <v>63</v>
      </c>
      <c r="FH133" s="121">
        <f t="shared" si="95"/>
        <v>5</v>
      </c>
      <c r="FI133" s="121">
        <f t="shared" si="97"/>
        <v>41</v>
      </c>
      <c r="FJ133" s="144">
        <f t="shared" si="80"/>
        <v>0.28671328671328672</v>
      </c>
      <c r="FK133" s="132">
        <f t="shared" si="81"/>
        <v>0</v>
      </c>
      <c r="FL133" s="115">
        <f t="shared" si="81"/>
        <v>0</v>
      </c>
      <c r="FM133" s="115">
        <f t="shared" si="81"/>
        <v>0</v>
      </c>
      <c r="FN133" s="115">
        <f t="shared" si="58"/>
        <v>0</v>
      </c>
      <c r="FO133" s="115">
        <f t="shared" si="57"/>
        <v>0</v>
      </c>
      <c r="FP133" s="115">
        <f t="shared" si="57"/>
        <v>0</v>
      </c>
      <c r="FQ133" s="149">
        <f t="shared" si="57"/>
        <v>0</v>
      </c>
      <c r="FR133" s="142">
        <f t="shared" si="57"/>
        <v>0</v>
      </c>
      <c r="FS133" s="119">
        <f t="shared" si="57"/>
        <v>0</v>
      </c>
      <c r="FT133" s="121">
        <f t="shared" si="57"/>
        <v>0</v>
      </c>
      <c r="FU133" s="121">
        <f t="shared" si="82"/>
        <v>0</v>
      </c>
      <c r="FV133" s="121">
        <f t="shared" si="82"/>
        <v>0</v>
      </c>
      <c r="FW133" s="121">
        <f t="shared" si="83"/>
        <v>0</v>
      </c>
      <c r="FX133" s="121">
        <f t="shared" si="84"/>
        <v>0</v>
      </c>
      <c r="FY133" s="144">
        <f>FJ133-ET133</f>
        <v>0</v>
      </c>
      <c r="FZ133" s="145" t="s">
        <v>25</v>
      </c>
      <c r="GA133" s="131" t="s">
        <v>725</v>
      </c>
      <c r="GB133" s="145"/>
      <c r="GC133" s="1033"/>
      <c r="GD133" s="997" t="s">
        <v>416</v>
      </c>
      <c r="GE133" s="1004"/>
      <c r="GF133" s="1004">
        <v>0</v>
      </c>
      <c r="GG133" s="1004" t="s">
        <v>223</v>
      </c>
      <c r="GH133" s="1004">
        <v>-2.0682640000000005</v>
      </c>
      <c r="GI133" s="145" t="s">
        <v>199</v>
      </c>
      <c r="GJ133" s="996">
        <v>2.6559720000000007</v>
      </c>
      <c r="GK133" s="145"/>
      <c r="GL133" s="996">
        <v>0</v>
      </c>
      <c r="GM133" s="1005"/>
      <c r="GN133" s="996">
        <v>0</v>
      </c>
      <c r="GO133" s="1006"/>
      <c r="GP133" s="996">
        <v>0</v>
      </c>
      <c r="GQ133" s="1006"/>
      <c r="GR133" s="996">
        <v>0</v>
      </c>
      <c r="GS133" s="1006"/>
      <c r="GT133" s="996">
        <v>0</v>
      </c>
      <c r="GU133" s="1006"/>
      <c r="GV133" s="996">
        <v>0</v>
      </c>
      <c r="GW133" s="1006"/>
      <c r="GX133" s="996">
        <v>-1.3969560000000047E-2</v>
      </c>
      <c r="GY133" s="1006"/>
      <c r="GZ133" s="996">
        <v>-0.94873459999999987</v>
      </c>
      <c r="HA133" s="1006" t="s">
        <v>199</v>
      </c>
      <c r="HB133" s="996">
        <v>1.5116879293999999</v>
      </c>
      <c r="HC133" s="1006" t="s">
        <v>204</v>
      </c>
      <c r="HD133" s="996">
        <v>1.2467442305999996</v>
      </c>
      <c r="HE133" s="1006"/>
      <c r="HF133" s="996">
        <v>0</v>
      </c>
      <c r="HG133" s="1006" t="s">
        <v>199</v>
      </c>
      <c r="HH133" s="996">
        <v>-2.2362999999999995</v>
      </c>
      <c r="HI133" s="1006"/>
      <c r="HJ133" s="996">
        <v>0</v>
      </c>
      <c r="HK133" s="1006"/>
      <c r="HL133" s="996">
        <v>0</v>
      </c>
      <c r="HM133" s="1006"/>
      <c r="HN133" s="996">
        <v>-0.39764340000000065</v>
      </c>
      <c r="HO133" s="1006"/>
      <c r="HP133" s="996">
        <v>-0.70461423999999973</v>
      </c>
      <c r="HQ133" s="1006"/>
      <c r="HR133" s="996">
        <v>0</v>
      </c>
      <c r="HS133" s="1006"/>
      <c r="HT133" s="996">
        <v>0</v>
      </c>
      <c r="HU133" s="1006"/>
      <c r="HV133" s="996">
        <v>0.7640053520000003</v>
      </c>
      <c r="HW133" s="1006"/>
      <c r="HX133" s="996">
        <v>0</v>
      </c>
      <c r="HY133" s="1006" t="s">
        <v>199</v>
      </c>
      <c r="HZ133" s="996">
        <v>-1.1759109120000004</v>
      </c>
      <c r="IA133" s="1006" t="s">
        <v>199</v>
      </c>
      <c r="IB133" s="996">
        <v>1.8057771379999998</v>
      </c>
      <c r="IC133" s="1006"/>
      <c r="ID133" s="996">
        <v>0</v>
      </c>
      <c r="IE133" s="1006"/>
      <c r="IF133" s="996">
        <v>0</v>
      </c>
      <c r="IG133" s="1006"/>
      <c r="IH133" s="996">
        <v>-0.28215041800000007</v>
      </c>
      <c r="II133" s="1006"/>
      <c r="IJ133" s="996">
        <v>-0.86134751999999937</v>
      </c>
      <c r="IK133" s="1006"/>
      <c r="IL133" s="996">
        <v>0</v>
      </c>
      <c r="IM133" s="1006"/>
      <c r="IN133" s="996">
        <v>-0.52333600000000047</v>
      </c>
      <c r="IO133" s="1006"/>
      <c r="IP133" s="996">
        <v>0</v>
      </c>
      <c r="IQ133" s="1006" t="s">
        <v>199</v>
      </c>
      <c r="IR133" s="996">
        <v>1.1163107999999999</v>
      </c>
      <c r="IS133" s="1006"/>
      <c r="IT133" s="996">
        <v>0</v>
      </c>
      <c r="IU133" s="1006" t="s">
        <v>204</v>
      </c>
      <c r="IV133" s="996">
        <v>-2.431213399999999</v>
      </c>
      <c r="IW133" s="1006"/>
      <c r="IX133" s="996">
        <v>0</v>
      </c>
      <c r="IY133" s="1006" t="s">
        <v>223</v>
      </c>
      <c r="IZ133" s="996">
        <v>-3.3537812000000011</v>
      </c>
      <c r="JA133" s="1006" t="s">
        <v>204</v>
      </c>
      <c r="JB133" s="996">
        <v>2.1105238000000002</v>
      </c>
      <c r="JC133" s="1006"/>
      <c r="JD133" s="996">
        <v>0</v>
      </c>
      <c r="JE133" s="1006"/>
      <c r="JF133" s="996">
        <v>0</v>
      </c>
      <c r="JG133" s="1006"/>
      <c r="JH133" s="996">
        <v>0</v>
      </c>
      <c r="JI133" s="1006"/>
      <c r="JJ133" s="996">
        <v>0</v>
      </c>
      <c r="JK133" s="1007"/>
      <c r="JL133" s="1007">
        <v>0</v>
      </c>
      <c r="JM133" s="1007" t="s">
        <v>204</v>
      </c>
      <c r="JN133" s="1007">
        <v>-4.068441651999998</v>
      </c>
      <c r="JO133" s="1008"/>
      <c r="JP133" s="1007">
        <v>0</v>
      </c>
      <c r="JQ133" s="1008">
        <v>0</v>
      </c>
      <c r="JR133" s="1007">
        <v>0</v>
      </c>
      <c r="JS133" s="1008">
        <v>0</v>
      </c>
      <c r="JT133" s="1007">
        <v>0</v>
      </c>
      <c r="JU133" s="1008" t="s">
        <v>204</v>
      </c>
      <c r="JV133" s="1007">
        <v>2.2961216519999983</v>
      </c>
      <c r="JW133" s="1008" t="s">
        <v>197</v>
      </c>
      <c r="JX133" s="1007">
        <v>0</v>
      </c>
      <c r="JY133" s="1008"/>
      <c r="JZ133" s="1007">
        <v>0</v>
      </c>
      <c r="KA133" s="1008"/>
      <c r="KB133" s="1007">
        <v>0</v>
      </c>
      <c r="KC133" s="1008" t="s">
        <v>204</v>
      </c>
      <c r="KD133" s="1007">
        <v>-1.3681140000000003</v>
      </c>
      <c r="KE133" s="1008" t="s">
        <v>199</v>
      </c>
      <c r="KF133" s="1007">
        <v>-7.8744511999999993</v>
      </c>
      <c r="KG133" s="1008" t="s">
        <v>207</v>
      </c>
      <c r="KH133" s="1007">
        <v>6.7345652000000005</v>
      </c>
      <c r="KI133" s="1008"/>
      <c r="KJ133" s="1007">
        <v>0</v>
      </c>
      <c r="KK133" s="1008"/>
      <c r="KL133" s="1007">
        <v>0</v>
      </c>
      <c r="KM133" s="1008"/>
      <c r="KN133" s="1007">
        <v>0</v>
      </c>
      <c r="KO133" s="1008"/>
      <c r="KP133" s="1007">
        <v>0</v>
      </c>
      <c r="KQ133" s="1008">
        <v>0</v>
      </c>
      <c r="KR133" s="1007">
        <v>0</v>
      </c>
      <c r="KS133" s="1008">
        <v>0</v>
      </c>
      <c r="KT133" s="1007">
        <v>0</v>
      </c>
      <c r="KU133" s="1008" t="s">
        <v>206</v>
      </c>
      <c r="KV133" s="1007">
        <v>4.1799999999999988</v>
      </c>
      <c r="KW133" s="1008" t="s">
        <v>203</v>
      </c>
      <c r="KX133" s="1007">
        <v>-5.6859871200000009</v>
      </c>
      <c r="KY133" s="1008">
        <v>0</v>
      </c>
      <c r="KZ133" s="1007">
        <v>0</v>
      </c>
      <c r="LA133" s="1008" t="s">
        <v>25</v>
      </c>
      <c r="LB133" s="1007">
        <v>4.9849008000000019</v>
      </c>
      <c r="LC133" s="1008" t="s">
        <v>204</v>
      </c>
      <c r="LD133" s="1007">
        <v>2.492450400000001</v>
      </c>
      <c r="LE133" s="1008" t="s">
        <v>204</v>
      </c>
      <c r="LF133" s="1007">
        <v>-0.83081680000000091</v>
      </c>
      <c r="LG133" s="1008">
        <v>0</v>
      </c>
      <c r="LH133" s="1007">
        <v>0</v>
      </c>
      <c r="LI133" s="1008">
        <v>0</v>
      </c>
      <c r="LJ133" s="1007">
        <v>0</v>
      </c>
      <c r="LK133" s="1008">
        <v>0</v>
      </c>
      <c r="LL133" s="1007">
        <v>0</v>
      </c>
      <c r="LM133" s="1008" t="s">
        <v>555</v>
      </c>
      <c r="LN133" s="1007">
        <v>-4.1540800000000004</v>
      </c>
      <c r="LO133" s="1008">
        <v>0</v>
      </c>
      <c r="LP133" s="1007">
        <v>0</v>
      </c>
      <c r="LQ133" s="1008">
        <v>0</v>
      </c>
      <c r="LR133" s="1007">
        <v>0</v>
      </c>
      <c r="LS133" s="1008" t="s">
        <v>206</v>
      </c>
      <c r="LT133" s="1007">
        <v>2.4924539999999999</v>
      </c>
      <c r="LU133" s="1008">
        <v>0</v>
      </c>
      <c r="LV133" s="1007">
        <v>0</v>
      </c>
      <c r="LW133" s="1008">
        <v>0</v>
      </c>
      <c r="LX133" s="1007">
        <v>0.83816809999999997</v>
      </c>
      <c r="LY133" s="1009">
        <v>0</v>
      </c>
      <c r="LZ133" s="1010">
        <v>-0.72564830000000002</v>
      </c>
      <c r="MA133" s="1011" t="s">
        <v>223</v>
      </c>
      <c r="MB133" s="1012">
        <v>-3.845600000000001</v>
      </c>
      <c r="MC133" s="995"/>
      <c r="MD133" s="996"/>
      <c r="ME133" s="997" t="s">
        <v>416</v>
      </c>
      <c r="MF133" s="997"/>
      <c r="MG133" s="998"/>
      <c r="NR133" s="1000"/>
      <c r="NS133" s="1000"/>
      <c r="NT133" s="1001"/>
      <c r="NU133" s="1000"/>
      <c r="NV133" s="1001"/>
      <c r="NX133" s="1002"/>
      <c r="NZ133" s="1001"/>
      <c r="OA133" s="1001"/>
      <c r="OC133" s="1003"/>
      <c r="OD133" s="1003"/>
      <c r="OE133" s="1001"/>
      <c r="OF133" s="1003"/>
      <c r="OG133" s="1003"/>
      <c r="QX133" s="1000">
        <f t="shared" si="96"/>
        <v>16</v>
      </c>
      <c r="ASU133" s="999" t="s">
        <v>225</v>
      </c>
    </row>
    <row r="134" spans="1:466 1191:1191" ht="21" customHeight="1" x14ac:dyDescent="0.25">
      <c r="A134" s="982">
        <f t="shared" si="59"/>
        <v>1045</v>
      </c>
      <c r="B134" s="124">
        <f>SUBTOTAL(103,$J$29:J134)</f>
        <v>106</v>
      </c>
      <c r="C134" s="126">
        <v>45068</v>
      </c>
      <c r="D134" s="124" t="s">
        <v>176</v>
      </c>
      <c r="E134" s="127" t="s">
        <v>177</v>
      </c>
      <c r="F134" s="128" t="s">
        <v>177</v>
      </c>
      <c r="G134" s="127" t="s">
        <v>178</v>
      </c>
      <c r="H134" s="127" t="s">
        <v>421</v>
      </c>
      <c r="I134" s="127" t="s">
        <v>684</v>
      </c>
      <c r="J134" s="190">
        <v>1045</v>
      </c>
      <c r="K134" s="127" t="s">
        <v>726</v>
      </c>
      <c r="L134" s="130">
        <v>38618</v>
      </c>
      <c r="M134" s="127" t="s">
        <v>230</v>
      </c>
      <c r="N134" s="127" t="s">
        <v>231</v>
      </c>
      <c r="O134" s="127" t="s">
        <v>185</v>
      </c>
      <c r="P134" s="127" t="s">
        <v>186</v>
      </c>
      <c r="Q134" s="85" t="str">
        <f t="shared" si="85"/>
        <v/>
      </c>
      <c r="R134" s="130"/>
      <c r="S134" s="128" t="s">
        <v>156</v>
      </c>
      <c r="T134" s="131"/>
      <c r="U134" s="132">
        <v>203</v>
      </c>
      <c r="V134" s="121">
        <v>218.2</v>
      </c>
      <c r="W134" s="116">
        <v>0.98</v>
      </c>
      <c r="X134" s="116">
        <v>1.66</v>
      </c>
      <c r="Y134" s="116">
        <f t="shared" si="86"/>
        <v>0.98809523809523803</v>
      </c>
      <c r="Z134" s="133">
        <v>1.454</v>
      </c>
      <c r="AA134" s="133">
        <v>0.83599999999999997</v>
      </c>
      <c r="AB134" s="133">
        <v>0.72</v>
      </c>
      <c r="AC134" s="121">
        <v>34.299999999999997</v>
      </c>
      <c r="AD134" s="134">
        <v>1.17</v>
      </c>
      <c r="AE134" s="124">
        <v>139.69999999999999</v>
      </c>
      <c r="AF134" s="128">
        <v>7.72</v>
      </c>
      <c r="AG134" s="128">
        <v>2047</v>
      </c>
      <c r="AH134" s="127">
        <v>2630</v>
      </c>
      <c r="AI134" s="127">
        <v>2630</v>
      </c>
      <c r="AJ134" s="135"/>
      <c r="AK134" s="128"/>
      <c r="AL134" s="131"/>
      <c r="AM134" s="124" t="s">
        <v>187</v>
      </c>
      <c r="AN134" s="136" t="s">
        <v>727</v>
      </c>
      <c r="AO134" s="137">
        <v>18.899999999999999</v>
      </c>
      <c r="AP134" s="128">
        <v>1920</v>
      </c>
      <c r="AQ134" s="128">
        <v>0.36</v>
      </c>
      <c r="AR134" s="128" t="s">
        <v>728</v>
      </c>
      <c r="AS134" s="128">
        <v>102</v>
      </c>
      <c r="AT134" s="122">
        <v>7.4</v>
      </c>
      <c r="AU134" s="124" t="s">
        <v>250</v>
      </c>
      <c r="AV134" s="115">
        <f>VLOOKUP(J134,'[63]ТР нефть'!$J$28:$BP$638,39,0)</f>
        <v>597</v>
      </c>
      <c r="AW134" s="115" t="str">
        <f>VLOOKUP(J134,'[63]ТР нефть'!$J$28:$BP$638,40,0)</f>
        <v>ГП</v>
      </c>
      <c r="AX134" s="115">
        <f>VLOOKUP(J134,'[63]ТР нефть'!$J$28:$BP$638,41,0)</f>
        <v>1197</v>
      </c>
      <c r="AY134" s="115" t="str">
        <f>VLOOKUP(J134,'[63]ТР нефть'!$J$28:$BP$638,42,0)</f>
        <v>ГП</v>
      </c>
      <c r="AZ134" s="115">
        <f>VLOOKUP(J134,'[63]ТР нефть'!$J$28:$BP$638,43,0)</f>
        <v>1775</v>
      </c>
      <c r="BA134" s="115" t="str">
        <f>VLOOKUP(J134,'[63]ТР нефть'!$J$28:$BP$638,44,0)</f>
        <v>ЦКсОК 5/16</v>
      </c>
      <c r="BB134" s="115" t="str">
        <f>VLOOKUP(J134,'[63]ТР нефть'!$J$28:$BP$638,45,0)</f>
        <v>-</v>
      </c>
      <c r="BC134" s="115" t="str">
        <f>VLOOKUP(J134,'[63]ТР нефть'!$J$28:$BP$638,46,0)</f>
        <v>-</v>
      </c>
      <c r="BD134" s="115" t="str">
        <f>VLOOKUP(J134,'[63]ТР нефть'!$J$28:$BP$638,47,0)</f>
        <v>-</v>
      </c>
      <c r="BE134" s="115" t="str">
        <f>VLOOKUP(J134,'[63]ТР нефть'!$J$28:$BP$638,48,0)</f>
        <v>-</v>
      </c>
      <c r="BF134" s="115" t="str">
        <f>VLOOKUP(J134,'[63]ТР нефть'!$J$28:$BP$638,49,0)</f>
        <v>-</v>
      </c>
      <c r="BG134" s="115" t="str">
        <f>VLOOKUP(J134,'[63]ТР нефть'!$J$28:$BP$638,50,0)</f>
        <v>-</v>
      </c>
      <c r="BH134" s="115">
        <f>VLOOKUP(J134,'[63]ТР нефть'!$J$28:$BP$638,51,0)</f>
        <v>1887</v>
      </c>
      <c r="BI134" s="115" t="str">
        <f>VLOOKUP(J134,'[63]ТР нефть'!$J$28:$BP$638,52,0)</f>
        <v>закрыт</v>
      </c>
      <c r="BJ134" s="115" t="str">
        <f>IF(IFERROR(VLOOKUP(J134,'[63]ТР нефть'!$J$28:$BP$638,53,0),"-")=0,"-",IFERROR(VLOOKUP(J134,'[63]ТР нефть'!$J$28:$BP$638,53,0),"-"))</f>
        <v>-</v>
      </c>
      <c r="BK134" s="138" t="str">
        <f>IF(IFERROR(VLOOKUP(J134,'[63]ТР нефть'!$J$28:$BP$638,54,0),"-")=0,"-",IFERROR(VLOOKUP(J134,'[63]ТР нефть'!$J$28:$BP$638,54,0),"-"))</f>
        <v>-</v>
      </c>
      <c r="BL134" s="138" t="str">
        <f>IF(IFERROR(VLOOKUP(J134,'[63]ТР нефть'!$J$28:$BP$638,55,0),"-")=0,"-",IFERROR(VLOOKUP(J134,'[63]ТР нефть'!$J$28:$BP$638,55,0),"-"))</f>
        <v>-</v>
      </c>
      <c r="BM134" s="138" t="str">
        <f>IF(IFERROR(VLOOKUP(J134,'[63]ТР нефть'!$J$28:$BP$638,56,0),"-")=0,"-",IFERROR(VLOOKUP(J134,'[63]ТР нефть'!$J$28:$BP$638,56,0),"-"))</f>
        <v>-</v>
      </c>
      <c r="BN134" s="138" t="str">
        <f>IF(IFERROR(VLOOKUP(J134,'[63]ТР нефть'!$J$28:$BP$638,57,0),"-")=0,"-",IFERROR(VLOOKUP(J134,'[63]ТР нефть'!$J$28:$BP$638,57,0),"-"))</f>
        <v>-</v>
      </c>
      <c r="BO134" s="115" t="str">
        <f>IF(IFERROR(VLOOKUP(J134,'[63]ТР нефть'!$J$28:$BP$638,58,0),"-")=0,"-",IFERROR(VLOOKUP(J134,'[63]ТР нефть'!$J$28:$BP$638,58,0),"-"))</f>
        <v>-</v>
      </c>
      <c r="BP134" s="115" t="str">
        <f>IF(IFERROR(VLOOKUP(J134,'[63]ТР нефть'!$J$28:$BP$638,59,0),"-")=0,"-",IFERROR(VLOOKUP(J134,'[63]ТР нефть'!$J$28:$BP$638,59,0),"-"))</f>
        <v>-</v>
      </c>
      <c r="BQ134" s="138">
        <v>1632</v>
      </c>
      <c r="BR134" s="128">
        <v>1631.64</v>
      </c>
      <c r="BS134" s="115">
        <f t="shared" si="60"/>
        <v>0.35999999999989996</v>
      </c>
      <c r="BT134" s="128">
        <v>73</v>
      </c>
      <c r="BU134" s="128">
        <v>5.5</v>
      </c>
      <c r="BV134" s="127">
        <v>65</v>
      </c>
      <c r="BW134" s="127" t="s">
        <v>217</v>
      </c>
      <c r="BX134" s="127" t="s">
        <v>195</v>
      </c>
      <c r="BY134" s="139">
        <v>24</v>
      </c>
      <c r="BZ134" s="139">
        <v>0</v>
      </c>
      <c r="CA134" s="138">
        <v>37</v>
      </c>
      <c r="CB134" s="138">
        <v>64</v>
      </c>
      <c r="CC134" s="138">
        <v>36</v>
      </c>
      <c r="CD134" s="135">
        <v>45017</v>
      </c>
      <c r="CE134" s="138">
        <v>115</v>
      </c>
      <c r="CF134" s="138"/>
      <c r="CG134" s="138" t="str">
        <f t="shared" si="99"/>
        <v/>
      </c>
      <c r="CH134" s="138" t="s">
        <v>197</v>
      </c>
      <c r="CI134" s="127"/>
      <c r="CJ134" s="138"/>
      <c r="CK134" s="138"/>
      <c r="CL134" s="99"/>
      <c r="CM134" s="138"/>
      <c r="CN134" s="154">
        <v>47</v>
      </c>
      <c r="CO134" s="159">
        <f t="shared" si="61"/>
        <v>5.4072480000000001</v>
      </c>
      <c r="CP134" s="160">
        <v>6.6</v>
      </c>
      <c r="CQ134" s="161">
        <v>2</v>
      </c>
      <c r="CR134" s="138">
        <v>38</v>
      </c>
      <c r="CS134" s="139"/>
      <c r="CT134" s="138"/>
      <c r="CU134" s="138">
        <f t="shared" si="62"/>
        <v>38</v>
      </c>
      <c r="CV134" s="115">
        <f t="shared" si="63"/>
        <v>7027.6044302018327</v>
      </c>
      <c r="CW134" s="115" t="str">
        <f t="shared" si="64"/>
        <v/>
      </c>
      <c r="CX134" s="133">
        <f t="shared" si="65"/>
        <v>9.7058823529411753E-2</v>
      </c>
      <c r="CY134" s="116"/>
      <c r="CZ134" s="144"/>
      <c r="DA134" s="145" t="str">
        <f t="shared" si="66"/>
        <v>Фон.</v>
      </c>
      <c r="DB134" s="146">
        <f t="shared" si="67"/>
        <v>5.4072480000000001</v>
      </c>
      <c r="DC134" s="142">
        <f t="shared" si="68"/>
        <v>6.6</v>
      </c>
      <c r="DD134" s="119">
        <f t="shared" si="69"/>
        <v>2</v>
      </c>
      <c r="DE134" s="115">
        <f t="shared" si="70"/>
        <v>38</v>
      </c>
      <c r="DF134" s="121">
        <f t="shared" si="71"/>
        <v>0</v>
      </c>
      <c r="DG134" s="115">
        <f t="shared" si="72"/>
        <v>7027.6044302018327</v>
      </c>
      <c r="DH134" s="115">
        <f t="shared" si="73"/>
        <v>47</v>
      </c>
      <c r="DI134" s="147"/>
      <c r="DJ134" s="111">
        <v>43338</v>
      </c>
      <c r="DK134" s="112" t="s">
        <v>729</v>
      </c>
      <c r="DL134" s="113">
        <f t="shared" ca="1" si="87"/>
        <v>1132</v>
      </c>
      <c r="DM134" s="114"/>
      <c r="DN134" s="114"/>
      <c r="DO134" s="114"/>
      <c r="DP134" s="114"/>
      <c r="DQ134" s="112">
        <v>43404</v>
      </c>
      <c r="DR134" s="114" t="s">
        <v>282</v>
      </c>
      <c r="DS134" s="114"/>
      <c r="DT134" s="115">
        <v>55</v>
      </c>
      <c r="DU134" s="116">
        <f t="shared" si="88"/>
        <v>0.11</v>
      </c>
      <c r="DV134" s="117">
        <f t="shared" si="89"/>
        <v>5.4072480000000001</v>
      </c>
      <c r="DW134" s="118">
        <f t="shared" si="90"/>
        <v>6.6</v>
      </c>
      <c r="DX134" s="119">
        <f t="shared" si="74"/>
        <v>2</v>
      </c>
      <c r="DY134" s="115">
        <f t="shared" si="91"/>
        <v>38</v>
      </c>
      <c r="DZ134" s="117">
        <f t="shared" si="92"/>
        <v>0</v>
      </c>
      <c r="EA134" s="120">
        <f t="shared" si="92"/>
        <v>0</v>
      </c>
      <c r="EB134" s="119">
        <f t="shared" si="92"/>
        <v>0</v>
      </c>
      <c r="EC134" s="121">
        <f t="shared" si="93"/>
        <v>0</v>
      </c>
      <c r="ED134" s="122"/>
      <c r="EE134" s="145">
        <v>65</v>
      </c>
      <c r="EF134" s="115">
        <v>37</v>
      </c>
      <c r="EG134" s="115">
        <v>63</v>
      </c>
      <c r="EH134" s="115">
        <v>35</v>
      </c>
      <c r="EI134" s="128" t="s">
        <v>195</v>
      </c>
      <c r="EJ134" s="121">
        <v>24</v>
      </c>
      <c r="EK134" s="121">
        <v>0</v>
      </c>
      <c r="EL134" s="162">
        <v>5.5483647999999999</v>
      </c>
      <c r="EM134" s="142">
        <v>6.8</v>
      </c>
      <c r="EN134" s="119">
        <v>2.4</v>
      </c>
      <c r="EO134" s="115">
        <v>37.700000000000003</v>
      </c>
      <c r="EP134" s="115">
        <v>6794.7947474542407</v>
      </c>
      <c r="EQ134" s="115">
        <v>0</v>
      </c>
      <c r="ER134" s="115">
        <v>0</v>
      </c>
      <c r="ES134" s="115">
        <v>47</v>
      </c>
      <c r="ET134" s="150">
        <v>0.11525423728813559</v>
      </c>
      <c r="EU134" s="145">
        <f t="shared" si="75"/>
        <v>65</v>
      </c>
      <c r="EV134" s="115">
        <f t="shared" si="76"/>
        <v>37</v>
      </c>
      <c r="EW134" s="115">
        <f t="shared" si="76"/>
        <v>64</v>
      </c>
      <c r="EX134" s="115">
        <f t="shared" si="76"/>
        <v>36</v>
      </c>
      <c r="EY134" s="115" t="str">
        <f t="shared" si="98"/>
        <v>Постоянный</v>
      </c>
      <c r="EZ134" s="115">
        <f t="shared" si="98"/>
        <v>24</v>
      </c>
      <c r="FA134" s="115">
        <f t="shared" si="98"/>
        <v>0</v>
      </c>
      <c r="FB134" s="149">
        <f t="shared" si="78"/>
        <v>5.4072480000000001</v>
      </c>
      <c r="FC134" s="142">
        <f t="shared" si="78"/>
        <v>6.6</v>
      </c>
      <c r="FD134" s="119">
        <f t="shared" si="78"/>
        <v>2</v>
      </c>
      <c r="FE134" s="121">
        <f t="shared" si="78"/>
        <v>38</v>
      </c>
      <c r="FF134" s="121">
        <f t="shared" si="94"/>
        <v>7027.6044302018327</v>
      </c>
      <c r="FG134" s="121">
        <f t="shared" si="79"/>
        <v>0</v>
      </c>
      <c r="FH134" s="121">
        <f t="shared" si="95"/>
        <v>0</v>
      </c>
      <c r="FI134" s="121">
        <f t="shared" si="97"/>
        <v>47</v>
      </c>
      <c r="FJ134" s="144">
        <f t="shared" si="80"/>
        <v>9.7058823529411753E-2</v>
      </c>
      <c r="FK134" s="132">
        <f t="shared" si="81"/>
        <v>0</v>
      </c>
      <c r="FL134" s="115">
        <f t="shared" si="81"/>
        <v>0</v>
      </c>
      <c r="FM134" s="115">
        <f t="shared" si="81"/>
        <v>1</v>
      </c>
      <c r="FN134" s="115">
        <f t="shared" si="58"/>
        <v>1</v>
      </c>
      <c r="FO134" s="115">
        <f t="shared" si="57"/>
        <v>0</v>
      </c>
      <c r="FP134" s="115">
        <f t="shared" si="57"/>
        <v>0</v>
      </c>
      <c r="FQ134" s="149">
        <f t="shared" si="57"/>
        <v>-0.14111679999999982</v>
      </c>
      <c r="FR134" s="142">
        <f t="shared" si="57"/>
        <v>-0.20000000000000018</v>
      </c>
      <c r="FS134" s="119">
        <f t="shared" si="57"/>
        <v>-0.39999999999999991</v>
      </c>
      <c r="FT134" s="121">
        <f t="shared" si="57"/>
        <v>0.29999999999999716</v>
      </c>
      <c r="FU134" s="121">
        <f t="shared" si="82"/>
        <v>0</v>
      </c>
      <c r="FV134" s="121">
        <f t="shared" si="82"/>
        <v>0</v>
      </c>
      <c r="FW134" s="121">
        <f t="shared" si="83"/>
        <v>232.80968274759198</v>
      </c>
      <c r="FX134" s="121">
        <f t="shared" si="84"/>
        <v>0</v>
      </c>
      <c r="FY134" s="144">
        <f t="shared" si="84"/>
        <v>-1.8195413758723841E-2</v>
      </c>
      <c r="FZ134" s="145"/>
      <c r="GA134" s="151"/>
      <c r="GB134" s="145" t="s">
        <v>199</v>
      </c>
      <c r="GC134" s="151" t="s">
        <v>415</v>
      </c>
      <c r="GD134" s="997" t="s">
        <v>416</v>
      </c>
      <c r="GE134" s="1004" t="s">
        <v>199</v>
      </c>
      <c r="GF134" s="1004">
        <v>-3.4269312000000003</v>
      </c>
      <c r="GG134" s="1004"/>
      <c r="GH134" s="1004">
        <v>0</v>
      </c>
      <c r="GI134" s="145"/>
      <c r="GJ134" s="996">
        <v>0</v>
      </c>
      <c r="GK134" s="145"/>
      <c r="GL134" s="996">
        <v>0</v>
      </c>
      <c r="GM134" s="1005"/>
      <c r="GN134" s="996">
        <v>0</v>
      </c>
      <c r="GO134" s="1006"/>
      <c r="GP134" s="996">
        <v>0</v>
      </c>
      <c r="GQ134" s="1006"/>
      <c r="GR134" s="996">
        <v>0</v>
      </c>
      <c r="GS134" s="1006"/>
      <c r="GT134" s="996">
        <v>0</v>
      </c>
      <c r="GU134" s="1006"/>
      <c r="GV134" s="996">
        <v>0</v>
      </c>
      <c r="GW134" s="1006"/>
      <c r="GX134" s="996">
        <v>0</v>
      </c>
      <c r="GY134" s="1006"/>
      <c r="GZ134" s="996">
        <v>0</v>
      </c>
      <c r="HA134" s="1006" t="s">
        <v>204</v>
      </c>
      <c r="HB134" s="996">
        <v>-1.4542219999999997</v>
      </c>
      <c r="HC134" s="1006" t="s">
        <v>199</v>
      </c>
      <c r="HD134" s="996">
        <v>4.262513199999999</v>
      </c>
      <c r="HE134" s="1006"/>
      <c r="HF134" s="996">
        <v>0</v>
      </c>
      <c r="HG134" s="1006" t="s">
        <v>199</v>
      </c>
      <c r="HH134" s="996">
        <v>6.0427952640000004</v>
      </c>
      <c r="HI134" s="1006" t="s">
        <v>221</v>
      </c>
      <c r="HJ134" s="996">
        <v>-1.4045000640000005</v>
      </c>
      <c r="HK134" s="1006"/>
      <c r="HL134" s="996">
        <v>0</v>
      </c>
      <c r="HM134" s="1006"/>
      <c r="HN134" s="996">
        <v>0</v>
      </c>
      <c r="HO134" s="1006"/>
      <c r="HP134" s="996">
        <v>0</v>
      </c>
      <c r="HQ134" s="1006"/>
      <c r="HR134" s="996">
        <v>0</v>
      </c>
      <c r="HS134" s="1006"/>
      <c r="HT134" s="996">
        <v>-0.14031892159999959</v>
      </c>
      <c r="HU134" s="1006" t="s">
        <v>199</v>
      </c>
      <c r="HV134" s="996">
        <v>-2.1847927023999993</v>
      </c>
      <c r="HW134" s="1006"/>
      <c r="HX134" s="996">
        <v>0</v>
      </c>
      <c r="HY134" s="1006" t="s">
        <v>204</v>
      </c>
      <c r="HZ134" s="996">
        <v>-1.6754275999999999</v>
      </c>
      <c r="IA134" s="1006"/>
      <c r="IB134" s="996">
        <v>0.92611243999999981</v>
      </c>
      <c r="IC134" s="1006"/>
      <c r="ID134" s="996">
        <v>0</v>
      </c>
      <c r="IE134" s="1006" t="s">
        <v>221</v>
      </c>
      <c r="IF134" s="996">
        <v>-2.7175484159999987</v>
      </c>
      <c r="IG134" s="1006"/>
      <c r="IH134" s="996">
        <v>0</v>
      </c>
      <c r="II134" s="1006"/>
      <c r="IJ134" s="996">
        <v>0</v>
      </c>
      <c r="IK134" s="1006"/>
      <c r="IL134" s="996">
        <v>0</v>
      </c>
      <c r="IM134" s="1006"/>
      <c r="IN134" s="996">
        <v>0</v>
      </c>
      <c r="IO134" s="1006"/>
      <c r="IP134" s="996">
        <v>0</v>
      </c>
      <c r="IQ134" s="1006"/>
      <c r="IR134" s="996">
        <v>0</v>
      </c>
      <c r="IS134" s="1006" t="s">
        <v>204</v>
      </c>
      <c r="IT134" s="996">
        <v>2.1187584000000008</v>
      </c>
      <c r="IU134" s="1006" t="s">
        <v>204</v>
      </c>
      <c r="IV134" s="996">
        <v>-1.7759984000000006</v>
      </c>
      <c r="IW134" s="1006"/>
      <c r="IX134" s="996">
        <v>0</v>
      </c>
      <c r="IY134" s="1006"/>
      <c r="IZ134" s="996">
        <v>0</v>
      </c>
      <c r="JA134" s="1006"/>
      <c r="JB134" s="996">
        <v>0</v>
      </c>
      <c r="JC134" s="1006"/>
      <c r="JD134" s="996">
        <v>-0.95578960400000135</v>
      </c>
      <c r="JE134" s="1006"/>
      <c r="JF134" s="996">
        <v>0</v>
      </c>
      <c r="JG134" s="1006"/>
      <c r="JH134" s="996">
        <v>0</v>
      </c>
      <c r="JI134" s="1006"/>
      <c r="JJ134" s="996">
        <v>0</v>
      </c>
      <c r="JK134" s="1007" t="s">
        <v>223</v>
      </c>
      <c r="JL134" s="1007">
        <v>-2.7908279959999991</v>
      </c>
      <c r="JM134" s="1007"/>
      <c r="JN134" s="1007">
        <v>0</v>
      </c>
      <c r="JO134" s="1008"/>
      <c r="JP134" s="1007">
        <v>0</v>
      </c>
      <c r="JQ134" s="1008">
        <v>0</v>
      </c>
      <c r="JR134" s="1007">
        <v>-1.2038400000001559E-2</v>
      </c>
      <c r="JS134" s="1008" t="s">
        <v>223</v>
      </c>
      <c r="JT134" s="1007">
        <v>-2.3337775999999977</v>
      </c>
      <c r="JU134" s="1008"/>
      <c r="JV134" s="1007">
        <v>0</v>
      </c>
      <c r="JW134" s="1008" t="s">
        <v>197</v>
      </c>
      <c r="JX134" s="1007">
        <v>0</v>
      </c>
      <c r="JY134" s="1008" t="s">
        <v>204</v>
      </c>
      <c r="JZ134" s="1007">
        <v>-4.2091346000000023</v>
      </c>
      <c r="KA134" s="1008" t="s">
        <v>240</v>
      </c>
      <c r="KB134" s="1007">
        <v>-3.1255950000000006</v>
      </c>
      <c r="KC134" s="1008" t="s">
        <v>240</v>
      </c>
      <c r="KD134" s="1007">
        <v>-7.9376527999999951</v>
      </c>
      <c r="KE134" s="1008"/>
      <c r="KF134" s="1007">
        <v>0</v>
      </c>
      <c r="KG134" s="1008" t="s">
        <v>203</v>
      </c>
      <c r="KH134" s="1007">
        <v>5.1893586447999951</v>
      </c>
      <c r="KI134" s="1008"/>
      <c r="KJ134" s="1007">
        <v>27.419657355200002</v>
      </c>
      <c r="KK134" s="1008"/>
      <c r="KL134" s="1007">
        <v>-3.320592</v>
      </c>
      <c r="KM134" s="1008"/>
      <c r="KN134" s="1007">
        <v>0</v>
      </c>
      <c r="KO134" s="1008" t="s">
        <v>206</v>
      </c>
      <c r="KP134" s="1007">
        <v>1.660296</v>
      </c>
      <c r="KQ134" s="1008" t="s">
        <v>206</v>
      </c>
      <c r="KR134" s="1007">
        <v>-1.4942663999999997</v>
      </c>
      <c r="KS134" s="1008" t="s">
        <v>204</v>
      </c>
      <c r="KT134" s="1007">
        <v>-1.0254376000000001</v>
      </c>
      <c r="KU134" s="1008">
        <v>0</v>
      </c>
      <c r="KV134" s="1007">
        <v>0</v>
      </c>
      <c r="KW134" s="1008" t="s">
        <v>204</v>
      </c>
      <c r="KX134" s="1007">
        <v>-1.2540000000000004</v>
      </c>
      <c r="KY134" s="1008">
        <v>0</v>
      </c>
      <c r="KZ134" s="1007">
        <v>0</v>
      </c>
      <c r="LA134" s="1008">
        <v>0</v>
      </c>
      <c r="LB134" s="1007">
        <v>0</v>
      </c>
      <c r="LC134" s="1008">
        <v>0</v>
      </c>
      <c r="LD134" s="1007">
        <v>0</v>
      </c>
      <c r="LE134" s="1008">
        <v>0</v>
      </c>
      <c r="LF134" s="1007">
        <v>0</v>
      </c>
      <c r="LG134" s="1008">
        <v>0</v>
      </c>
      <c r="LH134" s="1007">
        <v>0</v>
      </c>
      <c r="LI134" s="1008">
        <v>0</v>
      </c>
      <c r="LJ134" s="1007">
        <v>0</v>
      </c>
      <c r="LK134" s="1008">
        <v>0</v>
      </c>
      <c r="LL134" s="1007">
        <v>-0.33445999999999998</v>
      </c>
      <c r="LM134" s="1008">
        <v>0</v>
      </c>
      <c r="LN134" s="1007">
        <v>-0.41799999999999998</v>
      </c>
      <c r="LO134" s="1008">
        <v>0</v>
      </c>
      <c r="LP134" s="1007">
        <v>-0.71755552</v>
      </c>
      <c r="LQ134" s="1008">
        <v>0</v>
      </c>
      <c r="LR134" s="1007">
        <v>0</v>
      </c>
      <c r="LS134" s="1008">
        <v>0</v>
      </c>
      <c r="LT134" s="1007">
        <v>0</v>
      </c>
      <c r="LU134" s="1008">
        <v>0</v>
      </c>
      <c r="LV134" s="1007">
        <v>0</v>
      </c>
      <c r="LW134" s="1008" t="s">
        <v>223</v>
      </c>
      <c r="LX134" s="1007">
        <v>-1.1834248800000005</v>
      </c>
      <c r="LY134" s="1009">
        <v>0</v>
      </c>
      <c r="LZ134" s="1010">
        <v>0.77154440999999996</v>
      </c>
      <c r="MA134" s="1011" t="s">
        <v>207</v>
      </c>
      <c r="MB134" s="1012">
        <v>0.94667199999999996</v>
      </c>
      <c r="MC134" s="995"/>
      <c r="MD134" s="996"/>
      <c r="ME134" s="997" t="s">
        <v>416</v>
      </c>
      <c r="MF134" s="997"/>
      <c r="MG134" s="998"/>
      <c r="NR134" s="1000"/>
      <c r="NS134" s="1000"/>
      <c r="NT134" s="1001"/>
      <c r="NU134" s="1000"/>
      <c r="NV134" s="1001"/>
      <c r="NX134" s="1002"/>
      <c r="NZ134" s="1001"/>
      <c r="OA134" s="1001"/>
      <c r="OC134" s="1003"/>
      <c r="OD134" s="1003"/>
      <c r="OE134" s="1001"/>
      <c r="OF134" s="1003"/>
      <c r="OG134" s="1003"/>
      <c r="QX134" s="1000">
        <f t="shared" si="96"/>
        <v>10</v>
      </c>
      <c r="ASU134" s="999" t="s">
        <v>292</v>
      </c>
    </row>
    <row r="135" spans="1:466 1191:1191" ht="21" customHeight="1" x14ac:dyDescent="0.25">
      <c r="A135" s="982" t="str">
        <f t="shared" si="59"/>
        <v>1045-1</v>
      </c>
      <c r="B135" s="124">
        <f>SUBTOTAL(103,$J$29:J135)</f>
        <v>107</v>
      </c>
      <c r="C135" s="126">
        <v>45068</v>
      </c>
      <c r="D135" s="124" t="s">
        <v>176</v>
      </c>
      <c r="E135" s="127" t="s">
        <v>177</v>
      </c>
      <c r="F135" s="128" t="s">
        <v>177</v>
      </c>
      <c r="G135" s="127" t="s">
        <v>178</v>
      </c>
      <c r="H135" s="127" t="s">
        <v>408</v>
      </c>
      <c r="I135" s="127" t="s">
        <v>684</v>
      </c>
      <c r="J135" s="152" t="s">
        <v>730</v>
      </c>
      <c r="K135" s="127" t="s">
        <v>726</v>
      </c>
      <c r="L135" s="130">
        <v>38666</v>
      </c>
      <c r="M135" s="127" t="s">
        <v>230</v>
      </c>
      <c r="N135" s="127" t="s">
        <v>231</v>
      </c>
      <c r="O135" s="127" t="s">
        <v>185</v>
      </c>
      <c r="P135" s="127" t="s">
        <v>186</v>
      </c>
      <c r="Q135" s="85" t="str">
        <f t="shared" si="85"/>
        <v/>
      </c>
      <c r="R135" s="130"/>
      <c r="S135" s="128" t="s">
        <v>156</v>
      </c>
      <c r="T135" s="131"/>
      <c r="U135" s="132">
        <v>203</v>
      </c>
      <c r="V135" s="121">
        <v>218.2</v>
      </c>
      <c r="W135" s="116">
        <v>0.98</v>
      </c>
      <c r="X135" s="116">
        <v>1.66</v>
      </c>
      <c r="Y135" s="116">
        <f t="shared" si="86"/>
        <v>0.98028109265066365</v>
      </c>
      <c r="Z135" s="133">
        <v>1.454</v>
      </c>
      <c r="AA135" s="133">
        <v>0.83599999999999997</v>
      </c>
      <c r="AB135" s="133">
        <v>0.72</v>
      </c>
      <c r="AC135" s="121">
        <v>34.299999999999997</v>
      </c>
      <c r="AD135" s="134">
        <v>1.17</v>
      </c>
      <c r="AE135" s="124">
        <v>139.69999999999999</v>
      </c>
      <c r="AF135" s="128">
        <v>7.72</v>
      </c>
      <c r="AG135" s="128">
        <v>1898.5</v>
      </c>
      <c r="AH135" s="127">
        <v>2426</v>
      </c>
      <c r="AI135" s="127">
        <v>2426</v>
      </c>
      <c r="AJ135" s="135">
        <v>43760</v>
      </c>
      <c r="AK135" s="128"/>
      <c r="AL135" s="131"/>
      <c r="AM135" s="124" t="s">
        <v>232</v>
      </c>
      <c r="AN135" s="136" t="s">
        <v>731</v>
      </c>
      <c r="AO135" s="137">
        <v>24.05</v>
      </c>
      <c r="AP135" s="128">
        <v>1899</v>
      </c>
      <c r="AQ135" s="128">
        <v>49.32</v>
      </c>
      <c r="AR135" s="128"/>
      <c r="AS135" s="128"/>
      <c r="AT135" s="122"/>
      <c r="AU135" s="124" t="s">
        <v>250</v>
      </c>
      <c r="AV135" s="115">
        <f>VLOOKUP(J135,'[63]ТР нефть'!$J$28:$BP$638,39,0)</f>
        <v>600</v>
      </c>
      <c r="AW135" s="115" t="str">
        <f>VLOOKUP(J135,'[63]ТР нефть'!$J$28:$BP$638,40,0)</f>
        <v>ГК 82 1/8</v>
      </c>
      <c r="AX135" s="115">
        <f>VLOOKUP(J135,'[63]ТР нефть'!$J$28:$BP$638,41,0)</f>
        <v>1200</v>
      </c>
      <c r="AY135" s="115" t="str">
        <f>VLOOKUP(J135,'[63]ТР нефть'!$J$28:$BP$638,42,0)</f>
        <v>ГК 82 5/32</v>
      </c>
      <c r="AZ135" s="115">
        <f>VLOOKUP(J135,'[63]ТР нефть'!$J$28:$BP$638,43,0)</f>
        <v>1720</v>
      </c>
      <c r="BA135" s="115" t="str">
        <f>VLOOKUP(J135,'[63]ТР нефть'!$J$28:$BP$638,44,0)</f>
        <v>ЦКсОК 5/16</v>
      </c>
      <c r="BB135" s="115" t="str">
        <f>VLOOKUP(J135,'[63]ТР нефть'!$J$28:$BP$638,45,0)</f>
        <v>-</v>
      </c>
      <c r="BC135" s="115" t="str">
        <f>VLOOKUP(J135,'[63]ТР нефть'!$J$28:$BP$638,46,0)</f>
        <v>-</v>
      </c>
      <c r="BD135" s="115" t="str">
        <f>VLOOKUP(J135,'[63]ТР нефть'!$J$28:$BP$638,47,0)</f>
        <v>-</v>
      </c>
      <c r="BE135" s="115" t="str">
        <f>VLOOKUP(J135,'[63]ТР нефть'!$J$28:$BP$638,48,0)</f>
        <v>-</v>
      </c>
      <c r="BF135" s="115" t="str">
        <f>VLOOKUP(J135,'[63]ТР нефть'!$J$28:$BP$638,49,0)</f>
        <v>-</v>
      </c>
      <c r="BG135" s="115" t="str">
        <f>VLOOKUP(J135,'[63]ТР нефть'!$J$28:$BP$638,50,0)</f>
        <v>-</v>
      </c>
      <c r="BH135" s="115" t="str">
        <f>VLOOKUP(J135,'[63]ТР нефть'!$J$28:$BP$638,51,0)</f>
        <v>-</v>
      </c>
      <c r="BI135" s="115" t="str">
        <f>VLOOKUP(J135,'[63]ТР нефть'!$J$28:$BP$638,52,0)</f>
        <v>-</v>
      </c>
      <c r="BJ135" s="115" t="str">
        <f>IF(IFERROR(VLOOKUP(J135,'[63]ТР нефть'!$J$28:$BP$638,53,0),"-")=0,"-",IFERROR(VLOOKUP(J135,'[63]ТР нефть'!$J$28:$BP$638,53,0),"-"))</f>
        <v>-</v>
      </c>
      <c r="BK135" s="138" t="str">
        <f>IF(IFERROR(VLOOKUP(J135,'[63]ТР нефть'!$J$28:$BP$638,54,0),"-")=0,"-",IFERROR(VLOOKUP(J135,'[63]ТР нефть'!$J$28:$BP$638,54,0),"-"))</f>
        <v>-</v>
      </c>
      <c r="BL135" s="138" t="str">
        <f>IF(IFERROR(VLOOKUP(J135,'[63]ТР нефть'!$J$28:$BP$638,55,0),"-")=0,"-",IFERROR(VLOOKUP(J135,'[63]ТР нефть'!$J$28:$BP$638,55,0),"-"))</f>
        <v>-</v>
      </c>
      <c r="BM135" s="138" t="str">
        <f>IF(IFERROR(VLOOKUP(J135,'[63]ТР нефть'!$J$28:$BP$638,56,0),"-")=0,"-",IFERROR(VLOOKUP(J135,'[63]ТР нефть'!$J$28:$BP$638,56,0),"-"))</f>
        <v>-</v>
      </c>
      <c r="BN135" s="138" t="str">
        <f>IF(IFERROR(VLOOKUP(J135,'[63]ТР нефть'!$J$28:$BP$638,57,0),"-")=0,"-",IFERROR(VLOOKUP(J135,'[63]ТР нефть'!$J$28:$BP$638,57,0),"-"))</f>
        <v>-</v>
      </c>
      <c r="BO135" s="115" t="str">
        <f>IF(IFERROR(VLOOKUP(J135,'[63]ТР нефть'!$J$28:$BP$638,58,0),"-")=0,"-",IFERROR(VLOOKUP(J135,'[63]ТР нефть'!$J$28:$BP$638,58,0),"-"))</f>
        <v>-</v>
      </c>
      <c r="BP135" s="115" t="str">
        <f>IF(IFERROR(VLOOKUP(J135,'[63]ТР нефть'!$J$28:$BP$638,59,0),"-")=0,"-",IFERROR(VLOOKUP(J135,'[63]ТР нефть'!$J$28:$BP$638,59,0),"-"))</f>
        <v>-</v>
      </c>
      <c r="BQ135" s="138">
        <v>2281</v>
      </c>
      <c r="BR135" s="128">
        <v>1869.68</v>
      </c>
      <c r="BS135" s="115">
        <f t="shared" si="60"/>
        <v>411.31999999999994</v>
      </c>
      <c r="BT135" s="128">
        <v>73</v>
      </c>
      <c r="BU135" s="128">
        <v>5.5</v>
      </c>
      <c r="BV135" s="127">
        <v>18</v>
      </c>
      <c r="BW135" s="127" t="s">
        <v>217</v>
      </c>
      <c r="BX135" s="127" t="s">
        <v>195</v>
      </c>
      <c r="BY135" s="139">
        <v>24</v>
      </c>
      <c r="BZ135" s="139">
        <v>0</v>
      </c>
      <c r="CA135" s="138">
        <v>26</v>
      </c>
      <c r="CB135" s="138">
        <v>38</v>
      </c>
      <c r="CC135" s="138">
        <v>26</v>
      </c>
      <c r="CD135" s="135">
        <v>45017</v>
      </c>
      <c r="CE135" s="138">
        <v>89.4</v>
      </c>
      <c r="CF135" s="138"/>
      <c r="CG135" s="138" t="str">
        <f t="shared" si="99"/>
        <v/>
      </c>
      <c r="CH135" s="138" t="s">
        <v>197</v>
      </c>
      <c r="CI135" s="127"/>
      <c r="CJ135" s="138"/>
      <c r="CK135" s="138"/>
      <c r="CL135" s="99"/>
      <c r="CM135" s="138"/>
      <c r="CN135" s="154">
        <v>47</v>
      </c>
      <c r="CO135" s="159">
        <f t="shared" si="61"/>
        <v>12.280597559999999</v>
      </c>
      <c r="CP135" s="160">
        <v>14.7</v>
      </c>
      <c r="CQ135" s="161">
        <v>7.0000000000000007E-2</v>
      </c>
      <c r="CR135" s="138">
        <v>39</v>
      </c>
      <c r="CS135" s="139"/>
      <c r="CT135" s="138"/>
      <c r="CU135" s="138">
        <f t="shared" si="62"/>
        <v>39</v>
      </c>
      <c r="CV135" s="115">
        <f t="shared" si="63"/>
        <v>3175.7412299731777</v>
      </c>
      <c r="CW135" s="115" t="str">
        <f t="shared" si="64"/>
        <v/>
      </c>
      <c r="CX135" s="133">
        <f t="shared" si="65"/>
        <v>0.34669811320754712</v>
      </c>
      <c r="CY135" s="116"/>
      <c r="CZ135" s="131"/>
      <c r="DA135" s="145" t="str">
        <f t="shared" si="66"/>
        <v>Фон.</v>
      </c>
      <c r="DB135" s="146">
        <f t="shared" si="67"/>
        <v>12.280597559999999</v>
      </c>
      <c r="DC135" s="142">
        <f t="shared" si="68"/>
        <v>14.7</v>
      </c>
      <c r="DD135" s="119">
        <f t="shared" si="69"/>
        <v>7.0000000000000007E-2</v>
      </c>
      <c r="DE135" s="115">
        <f t="shared" si="70"/>
        <v>39</v>
      </c>
      <c r="DF135" s="121">
        <f t="shared" si="71"/>
        <v>0</v>
      </c>
      <c r="DG135" s="115">
        <f t="shared" si="72"/>
        <v>3175.7412299731777</v>
      </c>
      <c r="DH135" s="115">
        <f t="shared" si="73"/>
        <v>47</v>
      </c>
      <c r="DI135" s="147"/>
      <c r="DJ135" s="111" t="s">
        <v>197</v>
      </c>
      <c r="DK135" s="112">
        <v>38666</v>
      </c>
      <c r="DL135" s="113">
        <f t="shared" ca="1" si="87"/>
        <v>6438</v>
      </c>
      <c r="DM135" s="114"/>
      <c r="DN135" s="114"/>
      <c r="DO135" s="114"/>
      <c r="DP135" s="114"/>
      <c r="DQ135" s="112">
        <v>44502</v>
      </c>
      <c r="DR135" s="114" t="s">
        <v>732</v>
      </c>
      <c r="DS135" s="114"/>
      <c r="DT135" s="115">
        <v>44</v>
      </c>
      <c r="DU135" s="116">
        <f t="shared" si="88"/>
        <v>0.34014633783984544</v>
      </c>
      <c r="DV135" s="117">
        <f t="shared" si="89"/>
        <v>12.901013129793194</v>
      </c>
      <c r="DW135" s="118">
        <f t="shared" si="90"/>
        <v>15.442643737928984</v>
      </c>
      <c r="DX135" s="119">
        <f t="shared" si="74"/>
        <v>7.0000000000000007E-2</v>
      </c>
      <c r="DY135" s="115">
        <f t="shared" si="91"/>
        <v>40.970279304709557</v>
      </c>
      <c r="DZ135" s="117">
        <f t="shared" si="92"/>
        <v>0.62041556979319523</v>
      </c>
      <c r="EA135" s="120">
        <f t="shared" si="92"/>
        <v>0.74264373792898475</v>
      </c>
      <c r="EB135" s="119">
        <f t="shared" si="92"/>
        <v>0</v>
      </c>
      <c r="EC135" s="121">
        <f t="shared" si="93"/>
        <v>1.9702793047095568</v>
      </c>
      <c r="ED135" s="122"/>
      <c r="EE135" s="145">
        <v>18</v>
      </c>
      <c r="EF135" s="115">
        <v>26</v>
      </c>
      <c r="EG135" s="115">
        <v>38</v>
      </c>
      <c r="EH135" s="115">
        <v>26</v>
      </c>
      <c r="EI135" s="128" t="s">
        <v>195</v>
      </c>
      <c r="EJ135" s="121">
        <v>24</v>
      </c>
      <c r="EK135" s="121">
        <v>0</v>
      </c>
      <c r="EL135" s="162">
        <v>12.280597559999999</v>
      </c>
      <c r="EM135" s="142">
        <v>14.7</v>
      </c>
      <c r="EN135" s="119">
        <v>7.0000000000000007E-2</v>
      </c>
      <c r="EO135" s="115">
        <v>39</v>
      </c>
      <c r="EP135" s="115">
        <v>3175.7412299731777</v>
      </c>
      <c r="EQ135" s="115">
        <v>0</v>
      </c>
      <c r="ER135" s="115">
        <v>0</v>
      </c>
      <c r="ES135" s="115">
        <v>47</v>
      </c>
      <c r="ET135" s="150">
        <v>0.34669811320754712</v>
      </c>
      <c r="EU135" s="145">
        <f t="shared" si="75"/>
        <v>18</v>
      </c>
      <c r="EV135" s="115">
        <f t="shared" si="76"/>
        <v>26</v>
      </c>
      <c r="EW135" s="115">
        <f t="shared" si="76"/>
        <v>38</v>
      </c>
      <c r="EX135" s="115">
        <f t="shared" si="76"/>
        <v>26</v>
      </c>
      <c r="EY135" s="115" t="str">
        <f t="shared" si="98"/>
        <v>Постоянный</v>
      </c>
      <c r="EZ135" s="115">
        <f t="shared" si="98"/>
        <v>24</v>
      </c>
      <c r="FA135" s="115">
        <f t="shared" si="98"/>
        <v>0</v>
      </c>
      <c r="FB135" s="149">
        <f t="shared" si="78"/>
        <v>12.280597559999999</v>
      </c>
      <c r="FC135" s="142">
        <f t="shared" si="78"/>
        <v>14.7</v>
      </c>
      <c r="FD135" s="119">
        <f t="shared" si="78"/>
        <v>7.0000000000000007E-2</v>
      </c>
      <c r="FE135" s="121">
        <f t="shared" si="78"/>
        <v>39</v>
      </c>
      <c r="FF135" s="121">
        <f t="shared" si="94"/>
        <v>3175.7412299731777</v>
      </c>
      <c r="FG135" s="121">
        <f t="shared" si="79"/>
        <v>0</v>
      </c>
      <c r="FH135" s="121">
        <f t="shared" si="95"/>
        <v>0</v>
      </c>
      <c r="FI135" s="121">
        <f t="shared" si="97"/>
        <v>47</v>
      </c>
      <c r="FJ135" s="144">
        <f t="shared" si="80"/>
        <v>0.34669811320754712</v>
      </c>
      <c r="FK135" s="132">
        <f t="shared" si="81"/>
        <v>0</v>
      </c>
      <c r="FL135" s="115">
        <f t="shared" si="81"/>
        <v>0</v>
      </c>
      <c r="FM135" s="115">
        <f t="shared" si="81"/>
        <v>0</v>
      </c>
      <c r="FN135" s="115">
        <f t="shared" si="58"/>
        <v>0</v>
      </c>
      <c r="FO135" s="115">
        <f t="shared" si="57"/>
        <v>0</v>
      </c>
      <c r="FP135" s="115">
        <f t="shared" si="57"/>
        <v>0</v>
      </c>
      <c r="FQ135" s="149">
        <f t="shared" si="57"/>
        <v>0</v>
      </c>
      <c r="FR135" s="142">
        <f t="shared" si="57"/>
        <v>0</v>
      </c>
      <c r="FS135" s="119">
        <f t="shared" si="57"/>
        <v>0</v>
      </c>
      <c r="FT135" s="121">
        <f t="shared" si="57"/>
        <v>0</v>
      </c>
      <c r="FU135" s="121">
        <f t="shared" si="82"/>
        <v>0</v>
      </c>
      <c r="FV135" s="121">
        <f t="shared" si="82"/>
        <v>0</v>
      </c>
      <c r="FW135" s="121">
        <f t="shared" si="83"/>
        <v>0</v>
      </c>
      <c r="FX135" s="121">
        <f t="shared" si="84"/>
        <v>0</v>
      </c>
      <c r="FY135" s="144">
        <f t="shared" si="84"/>
        <v>0</v>
      </c>
      <c r="FZ135" s="145"/>
      <c r="GA135" s="151" t="s">
        <v>585</v>
      </c>
      <c r="GB135" s="145"/>
      <c r="GC135" s="151"/>
      <c r="GD135" s="997" t="s">
        <v>416</v>
      </c>
      <c r="GE135" s="1004"/>
      <c r="GF135" s="1004">
        <v>0.12184867199999871</v>
      </c>
      <c r="GG135" s="1004"/>
      <c r="GH135" s="1004">
        <v>0</v>
      </c>
      <c r="GI135" s="145"/>
      <c r="GJ135" s="996">
        <v>0</v>
      </c>
      <c r="GK135" s="145"/>
      <c r="GL135" s="996">
        <v>0</v>
      </c>
      <c r="GM135" s="1005"/>
      <c r="GN135" s="996">
        <v>0</v>
      </c>
      <c r="GO135" s="1006"/>
      <c r="GP135" s="996">
        <v>0</v>
      </c>
      <c r="GQ135" s="1006"/>
      <c r="GR135" s="996">
        <v>0</v>
      </c>
      <c r="GS135" s="1006"/>
      <c r="GT135" s="996">
        <v>0</v>
      </c>
      <c r="GU135" s="1006"/>
      <c r="GV135" s="996">
        <v>0</v>
      </c>
      <c r="GW135" s="1006"/>
      <c r="GX135" s="996">
        <v>0</v>
      </c>
      <c r="GY135" s="1006"/>
      <c r="GZ135" s="996">
        <v>0</v>
      </c>
      <c r="HA135" s="1006"/>
      <c r="HB135" s="996">
        <v>-0.65023411200000147</v>
      </c>
      <c r="HC135" s="1006" t="s">
        <v>204</v>
      </c>
      <c r="HD135" s="996">
        <v>2.7593434000000023</v>
      </c>
      <c r="HE135" s="1006"/>
      <c r="HF135" s="996">
        <v>0</v>
      </c>
      <c r="HG135" s="1006"/>
      <c r="HH135" s="996">
        <v>0</v>
      </c>
      <c r="HI135" s="1006" t="s">
        <v>206</v>
      </c>
      <c r="HJ135" s="996">
        <v>-5.8442519519999987</v>
      </c>
      <c r="HK135" s="1006"/>
      <c r="HL135" s="996">
        <v>0</v>
      </c>
      <c r="HM135" s="1006" t="s">
        <v>203</v>
      </c>
      <c r="HN135" s="996">
        <v>-5.2120307140000026</v>
      </c>
      <c r="HO135" s="1006" t="s">
        <v>25</v>
      </c>
      <c r="HP135" s="996">
        <v>10.677858906000001</v>
      </c>
      <c r="HQ135" s="1006"/>
      <c r="HR135" s="996">
        <v>0</v>
      </c>
      <c r="HS135" s="1006"/>
      <c r="HT135" s="996">
        <v>0</v>
      </c>
      <c r="HU135" s="1006"/>
      <c r="HV135" s="996">
        <v>2.8425170399998478E-2</v>
      </c>
      <c r="HW135" s="1006"/>
      <c r="HX135" s="996">
        <v>0</v>
      </c>
      <c r="HY135" s="1006"/>
      <c r="HZ135" s="996">
        <v>-0.18995709039999831</v>
      </c>
      <c r="IA135" s="1006"/>
      <c r="IB135" s="996">
        <v>0</v>
      </c>
      <c r="IC135" s="1006"/>
      <c r="ID135" s="996">
        <v>0</v>
      </c>
      <c r="IE135" s="1006" t="s">
        <v>199</v>
      </c>
      <c r="IF135" s="996">
        <v>-1.6426380080000005</v>
      </c>
      <c r="IG135" s="1006"/>
      <c r="IH135" s="996">
        <v>-0.72911071199999888</v>
      </c>
      <c r="II135" s="1006" t="s">
        <v>199</v>
      </c>
      <c r="IJ135" s="996">
        <v>2.3190639999999991</v>
      </c>
      <c r="IK135" s="1006" t="s">
        <v>199</v>
      </c>
      <c r="IL135" s="996">
        <v>-2.3157200000000007</v>
      </c>
      <c r="IM135" s="1006" t="s">
        <v>204</v>
      </c>
      <c r="IN135" s="996">
        <v>1.362680000000001</v>
      </c>
      <c r="IO135" s="1006"/>
      <c r="IP135" s="996">
        <v>0</v>
      </c>
      <c r="IQ135" s="1006"/>
      <c r="IR135" s="996">
        <v>-5.8519999999999683E-2</v>
      </c>
      <c r="IS135" s="1006" t="s">
        <v>223</v>
      </c>
      <c r="IT135" s="996">
        <v>-1.3041600000000013</v>
      </c>
      <c r="IU135" s="1006"/>
      <c r="IV135" s="996">
        <v>-0.67715999999999887</v>
      </c>
      <c r="IW135" s="1006"/>
      <c r="IX135" s="996">
        <v>0</v>
      </c>
      <c r="IY135" s="1006"/>
      <c r="IZ135" s="996">
        <v>0</v>
      </c>
      <c r="JA135" s="1006"/>
      <c r="JB135" s="996">
        <v>0</v>
      </c>
      <c r="JC135" s="1006"/>
      <c r="JD135" s="996">
        <v>0</v>
      </c>
      <c r="JE135" s="1006"/>
      <c r="JF135" s="996">
        <v>0</v>
      </c>
      <c r="JG135" s="1006"/>
      <c r="JH135" s="996">
        <v>0</v>
      </c>
      <c r="JI135" s="1006"/>
      <c r="JJ135" s="996">
        <v>0</v>
      </c>
      <c r="JK135" s="1007"/>
      <c r="JL135" s="1007">
        <v>0</v>
      </c>
      <c r="JM135" s="1007"/>
      <c r="JN135" s="1007">
        <v>0</v>
      </c>
      <c r="JO135" s="1008" t="s">
        <v>204</v>
      </c>
      <c r="JP135" s="1007">
        <v>0.94467999999999996</v>
      </c>
      <c r="JQ135" s="1008" t="s">
        <v>204</v>
      </c>
      <c r="JR135" s="1007">
        <v>-4.1784952000000022</v>
      </c>
      <c r="JS135" s="1008">
        <v>0</v>
      </c>
      <c r="JT135" s="1007">
        <v>0</v>
      </c>
      <c r="JU135" s="1008"/>
      <c r="JV135" s="1007">
        <v>0</v>
      </c>
      <c r="JW135" s="1008" t="s">
        <v>197</v>
      </c>
      <c r="JX135" s="1007">
        <v>0</v>
      </c>
      <c r="JY135" s="1008"/>
      <c r="JZ135" s="1007">
        <v>1.5549600000003494E-2</v>
      </c>
      <c r="KA135" s="1008"/>
      <c r="KB135" s="1007">
        <v>0</v>
      </c>
      <c r="KC135" s="1008" t="s">
        <v>204</v>
      </c>
      <c r="KD135" s="1007">
        <v>-2.7532823999999998</v>
      </c>
      <c r="KE135" s="1008" t="s">
        <v>199</v>
      </c>
      <c r="KF135" s="1007">
        <v>5.866504599999999</v>
      </c>
      <c r="KG135" s="1008"/>
      <c r="KH135" s="1007">
        <v>0</v>
      </c>
      <c r="KI135" s="1008"/>
      <c r="KJ135" s="1007">
        <v>0</v>
      </c>
      <c r="KK135" s="1008"/>
      <c r="KL135" s="1007">
        <v>0</v>
      </c>
      <c r="KM135" s="1008" t="s">
        <v>206</v>
      </c>
      <c r="KN135" s="1007">
        <v>2.0362033999999998</v>
      </c>
      <c r="KO135" s="1008"/>
      <c r="KP135" s="1007">
        <v>0</v>
      </c>
      <c r="KQ135" s="1008">
        <v>0</v>
      </c>
      <c r="KR135" s="1007">
        <v>0</v>
      </c>
      <c r="KS135" s="1008" t="s">
        <v>207</v>
      </c>
      <c r="KT135" s="1007">
        <v>-1.9892620000000001</v>
      </c>
      <c r="KU135" s="1008">
        <v>0</v>
      </c>
      <c r="KV135" s="1007">
        <v>0</v>
      </c>
      <c r="KW135" s="1008" t="s">
        <v>204</v>
      </c>
      <c r="KX135" s="1007">
        <v>-1.5143304000000004</v>
      </c>
      <c r="KY135" s="1008">
        <v>0</v>
      </c>
      <c r="KZ135" s="1007">
        <v>0</v>
      </c>
      <c r="LA135" s="1008" t="s">
        <v>555</v>
      </c>
      <c r="LB135" s="1007">
        <v>-2.3396295999999985</v>
      </c>
      <c r="LC135" s="1008">
        <v>0</v>
      </c>
      <c r="LD135" s="1007">
        <v>0</v>
      </c>
      <c r="LE135" s="1008">
        <v>0</v>
      </c>
      <c r="LF135" s="1007">
        <v>0</v>
      </c>
      <c r="LG135" s="1008">
        <v>0</v>
      </c>
      <c r="LH135" s="1007">
        <v>0</v>
      </c>
      <c r="LI135" s="1008">
        <v>0</v>
      </c>
      <c r="LJ135" s="1007">
        <v>0</v>
      </c>
      <c r="LK135" s="1008">
        <v>0</v>
      </c>
      <c r="LL135" s="1007">
        <v>0</v>
      </c>
      <c r="LM135" s="1008">
        <v>0</v>
      </c>
      <c r="LN135" s="1007">
        <v>0</v>
      </c>
      <c r="LO135" s="1008" t="s">
        <v>206</v>
      </c>
      <c r="LP135" s="1007">
        <v>2.5674600000000001</v>
      </c>
      <c r="LQ135" s="1008" t="s">
        <v>206</v>
      </c>
      <c r="LR135" s="1007">
        <v>-3.377176</v>
      </c>
      <c r="LS135" s="1008">
        <v>0</v>
      </c>
      <c r="LT135" s="1007">
        <v>0</v>
      </c>
      <c r="LU135" s="1008">
        <v>0</v>
      </c>
      <c r="LV135" s="1007">
        <v>0</v>
      </c>
      <c r="LW135" s="1008">
        <v>0</v>
      </c>
      <c r="LX135" s="1007">
        <v>-0.23951413999999999</v>
      </c>
      <c r="LY135" s="1009">
        <v>0</v>
      </c>
      <c r="LZ135" s="1010">
        <v>0</v>
      </c>
      <c r="MA135" s="1011">
        <v>0</v>
      </c>
      <c r="MB135" s="1012">
        <v>-0.46994943</v>
      </c>
      <c r="MC135" s="995"/>
      <c r="MD135" s="996"/>
      <c r="ME135" s="997" t="s">
        <v>416</v>
      </c>
      <c r="MF135" s="997"/>
      <c r="MG135" s="998"/>
      <c r="NR135" s="1000"/>
      <c r="NS135" s="1000"/>
      <c r="NT135" s="1001"/>
      <c r="NU135" s="1000"/>
      <c r="NV135" s="1001"/>
      <c r="NX135" s="1002"/>
      <c r="NZ135" s="1001"/>
      <c r="OA135" s="1001"/>
      <c r="OC135" s="1003"/>
      <c r="OD135" s="1003"/>
      <c r="OE135" s="1001"/>
      <c r="OF135" s="1003"/>
      <c r="OG135" s="1003"/>
      <c r="QX135" s="1000">
        <f t="shared" si="96"/>
        <v>21</v>
      </c>
      <c r="ASU135" s="999" t="s">
        <v>208</v>
      </c>
    </row>
    <row r="136" spans="1:466 1191:1191" ht="21" customHeight="1" x14ac:dyDescent="0.25">
      <c r="A136" s="982" t="str">
        <f t="shared" si="59"/>
        <v>1046-2</v>
      </c>
      <c r="B136" s="124">
        <f>SUBTOTAL(103,$J$29:J136)</f>
        <v>108</v>
      </c>
      <c r="C136" s="126">
        <v>45068</v>
      </c>
      <c r="D136" s="124" t="s">
        <v>176</v>
      </c>
      <c r="E136" s="127" t="s">
        <v>177</v>
      </c>
      <c r="F136" s="128" t="s">
        <v>177</v>
      </c>
      <c r="G136" s="127" t="s">
        <v>178</v>
      </c>
      <c r="H136" s="127" t="s">
        <v>408</v>
      </c>
      <c r="I136" s="127" t="s">
        <v>733</v>
      </c>
      <c r="J136" s="152" t="s">
        <v>734</v>
      </c>
      <c r="K136" s="127" t="s">
        <v>733</v>
      </c>
      <c r="L136" s="130">
        <v>41440</v>
      </c>
      <c r="M136" s="127" t="s">
        <v>230</v>
      </c>
      <c r="N136" s="127" t="s">
        <v>231</v>
      </c>
      <c r="O136" s="127" t="s">
        <v>185</v>
      </c>
      <c r="P136" s="127" t="s">
        <v>186</v>
      </c>
      <c r="Q136" s="85">
        <f t="shared" si="85"/>
        <v>-4</v>
      </c>
      <c r="R136" s="130">
        <v>41986</v>
      </c>
      <c r="S136" s="128" t="s">
        <v>211</v>
      </c>
      <c r="T136" s="131" t="s">
        <v>735</v>
      </c>
      <c r="U136" s="132">
        <v>203</v>
      </c>
      <c r="V136" s="121">
        <v>218.2</v>
      </c>
      <c r="W136" s="116">
        <v>0.98</v>
      </c>
      <c r="X136" s="116">
        <v>1.66</v>
      </c>
      <c r="Y136" s="116">
        <f t="shared" si="86"/>
        <v>0.98524673562828546</v>
      </c>
      <c r="Z136" s="133">
        <v>1.454</v>
      </c>
      <c r="AA136" s="133">
        <v>0.83599999999999997</v>
      </c>
      <c r="AB136" s="133">
        <v>0.72</v>
      </c>
      <c r="AC136" s="121">
        <v>34.299999999999997</v>
      </c>
      <c r="AD136" s="134">
        <v>1.17</v>
      </c>
      <c r="AE136" s="124">
        <v>177.8</v>
      </c>
      <c r="AF136" s="128">
        <v>9.19</v>
      </c>
      <c r="AG136" s="128">
        <v>2214</v>
      </c>
      <c r="AH136" s="127">
        <v>2780</v>
      </c>
      <c r="AI136" s="127">
        <v>2780</v>
      </c>
      <c r="AJ136" s="135"/>
      <c r="AK136" s="128"/>
      <c r="AL136" s="131"/>
      <c r="AM136" s="124" t="s">
        <v>232</v>
      </c>
      <c r="AN136" s="136" t="s">
        <v>736</v>
      </c>
      <c r="AO136" s="137">
        <v>20</v>
      </c>
      <c r="AP136" s="128">
        <v>2110</v>
      </c>
      <c r="AQ136" s="128">
        <v>234.94</v>
      </c>
      <c r="AR136" s="128"/>
      <c r="AS136" s="128"/>
      <c r="AT136" s="122"/>
      <c r="AU136" s="124" t="s">
        <v>189</v>
      </c>
      <c r="AV136" s="115">
        <f>VLOOKUP(J136,'[63]ТР нефть'!$J$28:$BP$638,39,0)</f>
        <v>512.00000390599996</v>
      </c>
      <c r="AW136" s="115" t="str">
        <f>VLOOKUP(J136,'[63]ТР нефть'!$J$28:$BP$638,40,0)</f>
        <v>ГК 71 1/8</v>
      </c>
      <c r="AX136" s="115">
        <f>VLOOKUP(J136,'[63]ТР нефть'!$J$28:$BP$638,41,0)</f>
        <v>936.00002109399998</v>
      </c>
      <c r="AY136" s="115" t="str">
        <f>VLOOKUP(J136,'[63]ТР нефть'!$J$28:$BP$638,42,0)</f>
        <v>ГК 80 1/8</v>
      </c>
      <c r="AZ136" s="115">
        <f>VLOOKUP(J136,'[63]ТР нефть'!$J$28:$BP$638,43,0)</f>
        <v>1312.999967578</v>
      </c>
      <c r="BA136" s="115" t="str">
        <f>VLOOKUP(J136,'[63]ТР нефть'!$J$28:$BP$638,44,0)</f>
        <v>ГК 70 1/8</v>
      </c>
      <c r="BB136" s="115">
        <f>VLOOKUP(J136,'[63]ТР нефть'!$J$28:$BP$638,45,0)</f>
        <v>1615.0000640630001</v>
      </c>
      <c r="BC136" s="115" t="str">
        <f>VLOOKUP(J136,'[63]ТР нефть'!$J$28:$BP$638,46,0)</f>
        <v>ГК 69 1/8</v>
      </c>
      <c r="BD136" s="115">
        <f>VLOOKUP(J136,'[63]ТР нефть'!$J$28:$BP$638,47,0)</f>
        <v>1910.000029688</v>
      </c>
      <c r="BE136" s="115" t="str">
        <f>VLOOKUP(J136,'[63]ТР нефть'!$J$28:$BP$638,48,0)</f>
        <v>ЦКсОК 5/16</v>
      </c>
      <c r="BF136" s="115" t="str">
        <f>VLOOKUP(J136,'[63]ТР нефть'!$J$28:$BP$638,49,0)</f>
        <v>-</v>
      </c>
      <c r="BG136" s="115" t="str">
        <f>VLOOKUP(J136,'[63]ТР нефть'!$J$28:$BP$638,50,0)</f>
        <v>-</v>
      </c>
      <c r="BH136" s="115">
        <f>VLOOKUP(J136,'[63]ТР нефть'!$J$28:$BP$638,51,0)</f>
        <v>1714</v>
      </c>
      <c r="BI136" s="115" t="str">
        <f>VLOOKUP(J136,'[63]ТР нефть'!$J$28:$BP$638,52,0)</f>
        <v>закрыт</v>
      </c>
      <c r="BJ136" s="115" t="str">
        <f>IF(IFERROR(VLOOKUP(J136,'[63]ТР нефть'!$J$28:$BP$638,53,0),"-")=0,"-",IFERROR(VLOOKUP(J136,'[63]ТР нефть'!$J$28:$BP$638,53,0),"-"))</f>
        <v>-</v>
      </c>
      <c r="BK136" s="138" t="str">
        <f>IF(IFERROR(VLOOKUP(J136,'[63]ТР нефть'!$J$28:$BP$638,54,0),"-")=0,"-",IFERROR(VLOOKUP(J136,'[63]ТР нефть'!$J$28:$BP$638,54,0),"-"))</f>
        <v>-</v>
      </c>
      <c r="BL136" s="138" t="str">
        <f>IF(IFERROR(VLOOKUP(J136,'[63]ТР нефть'!$J$28:$BP$638,55,0),"-")=0,"-",IFERROR(VLOOKUP(J136,'[63]ТР нефть'!$J$28:$BP$638,55,0),"-"))</f>
        <v>-</v>
      </c>
      <c r="BM136" s="138" t="str">
        <f>IF(IFERROR(VLOOKUP(J136,'[63]ТР нефть'!$J$28:$BP$638,56,0),"-")=0,"-",IFERROR(VLOOKUP(J136,'[63]ТР нефть'!$J$28:$BP$638,56,0),"-"))</f>
        <v>-</v>
      </c>
      <c r="BN136" s="138" t="str">
        <f>IF(IFERROR(VLOOKUP(J136,'[63]ТР нефть'!$J$28:$BP$638,57,0),"-")=0,"-",IFERROR(VLOOKUP(J136,'[63]ТР нефть'!$J$28:$BP$638,57,0),"-"))</f>
        <v>-</v>
      </c>
      <c r="BO136" s="115" t="str">
        <f>IF(IFERROR(VLOOKUP(J136,'[63]ТР нефть'!$J$28:$BP$638,58,0),"-")=0,"-",IFERROR(VLOOKUP(J136,'[63]ТР нефть'!$J$28:$BP$638,58,0),"-"))</f>
        <v>-</v>
      </c>
      <c r="BP136" s="115" t="str">
        <f>IF(IFERROR(VLOOKUP(J136,'[63]ТР нефть'!$J$28:$BP$638,59,0),"-")=0,"-",IFERROR(VLOOKUP(J136,'[63]ТР нефть'!$J$28:$BP$638,59,0),"-"))</f>
        <v>-</v>
      </c>
      <c r="BQ136" s="138">
        <v>2500</v>
      </c>
      <c r="BR136" s="128">
        <v>1906</v>
      </c>
      <c r="BS136" s="115">
        <f t="shared" si="60"/>
        <v>594</v>
      </c>
      <c r="BT136" s="128">
        <v>73</v>
      </c>
      <c r="BU136" s="128">
        <v>5.5</v>
      </c>
      <c r="BV136" s="127">
        <v>65</v>
      </c>
      <c r="BW136" s="127" t="s">
        <v>217</v>
      </c>
      <c r="BX136" s="127" t="s">
        <v>195</v>
      </c>
      <c r="BY136" s="139">
        <v>24</v>
      </c>
      <c r="BZ136" s="139">
        <v>0</v>
      </c>
      <c r="CA136" s="138">
        <v>23</v>
      </c>
      <c r="CB136" s="138">
        <v>51</v>
      </c>
      <c r="CC136" s="138">
        <v>22</v>
      </c>
      <c r="CD136" s="135">
        <v>45017</v>
      </c>
      <c r="CE136" s="138">
        <v>98</v>
      </c>
      <c r="CF136" s="138">
        <v>64</v>
      </c>
      <c r="CG136" s="138" t="str">
        <f t="shared" si="99"/>
        <v>В работе</v>
      </c>
      <c r="CH136" s="138" t="s">
        <v>196</v>
      </c>
      <c r="CI136" s="127">
        <v>6</v>
      </c>
      <c r="CJ136" s="138"/>
      <c r="CK136" s="138"/>
      <c r="CL136" s="99"/>
      <c r="CM136" s="99"/>
      <c r="CN136" s="140">
        <v>42</v>
      </c>
      <c r="CO136" s="162">
        <f>CP136*(1-CQ136/100)*0.836</f>
        <v>12.5420064</v>
      </c>
      <c r="CP136" s="160">
        <v>15.2</v>
      </c>
      <c r="CQ136" s="161">
        <v>1.3</v>
      </c>
      <c r="CR136" s="138">
        <v>33.537999999999997</v>
      </c>
      <c r="CS136" s="138">
        <v>9.6</v>
      </c>
      <c r="CT136" s="138"/>
      <c r="CU136" s="138">
        <f t="shared" si="62"/>
        <v>23.937999999999995</v>
      </c>
      <c r="CV136" s="115">
        <f t="shared" si="63"/>
        <v>1908.6260392914483</v>
      </c>
      <c r="CW136" s="115">
        <f t="shared" si="64"/>
        <v>751.71324845739036</v>
      </c>
      <c r="CX136" s="133">
        <f t="shared" si="65"/>
        <v>0.27142857142857141</v>
      </c>
      <c r="CY136" s="116"/>
      <c r="CZ136" s="131"/>
      <c r="DA136" s="145" t="str">
        <f t="shared" si="66"/>
        <v>Газлифт</v>
      </c>
      <c r="DB136" s="146">
        <f t="shared" si="67"/>
        <v>12.5420064</v>
      </c>
      <c r="DC136" s="142">
        <f t="shared" si="68"/>
        <v>15.2</v>
      </c>
      <c r="DD136" s="119">
        <f t="shared" si="69"/>
        <v>1.3</v>
      </c>
      <c r="DE136" s="115">
        <f t="shared" si="70"/>
        <v>23.937999999999995</v>
      </c>
      <c r="DF136" s="121">
        <f t="shared" si="71"/>
        <v>9.6</v>
      </c>
      <c r="DG136" s="115">
        <f t="shared" si="72"/>
        <v>1908.6260392914483</v>
      </c>
      <c r="DH136" s="115">
        <f t="shared" si="73"/>
        <v>42</v>
      </c>
      <c r="DI136" s="147"/>
      <c r="DJ136" s="111" t="s">
        <v>197</v>
      </c>
      <c r="DK136" s="112">
        <v>43394</v>
      </c>
      <c r="DL136" s="113">
        <f t="shared" ca="1" si="87"/>
        <v>1710</v>
      </c>
      <c r="DM136" s="114"/>
      <c r="DN136" s="114"/>
      <c r="DO136" s="114"/>
      <c r="DP136" s="114"/>
      <c r="DQ136" s="112">
        <v>43843</v>
      </c>
      <c r="DR136" s="114" t="s">
        <v>198</v>
      </c>
      <c r="DS136" s="114"/>
      <c r="DT136" s="115">
        <v>60</v>
      </c>
      <c r="DU136" s="116">
        <f t="shared" si="88"/>
        <v>0.39999999999999997</v>
      </c>
      <c r="DV136" s="117">
        <f t="shared" si="89"/>
        <v>12.5420064</v>
      </c>
      <c r="DW136" s="118">
        <f t="shared" si="90"/>
        <v>15.2</v>
      </c>
      <c r="DX136" s="119">
        <f t="shared" si="74"/>
        <v>1.3</v>
      </c>
      <c r="DY136" s="115">
        <f t="shared" si="91"/>
        <v>23.937999999999995</v>
      </c>
      <c r="DZ136" s="172">
        <f t="shared" si="92"/>
        <v>0</v>
      </c>
      <c r="EA136" s="120">
        <f t="shared" si="92"/>
        <v>0</v>
      </c>
      <c r="EB136" s="119">
        <f t="shared" si="92"/>
        <v>0</v>
      </c>
      <c r="EC136" s="121">
        <f t="shared" si="93"/>
        <v>0</v>
      </c>
      <c r="ED136" s="122"/>
      <c r="EE136" s="145">
        <v>65</v>
      </c>
      <c r="EF136" s="115">
        <v>23</v>
      </c>
      <c r="EG136" s="115">
        <v>51</v>
      </c>
      <c r="EH136" s="115">
        <v>22</v>
      </c>
      <c r="EI136" s="128" t="s">
        <v>195</v>
      </c>
      <c r="EJ136" s="121">
        <v>24</v>
      </c>
      <c r="EK136" s="121">
        <v>0</v>
      </c>
      <c r="EL136" s="162">
        <v>12.5420064</v>
      </c>
      <c r="EM136" s="142">
        <v>15.2</v>
      </c>
      <c r="EN136" s="119">
        <v>1.3</v>
      </c>
      <c r="EO136" s="115">
        <v>33.537999999999997</v>
      </c>
      <c r="EP136" s="115">
        <v>1908.6260392914483</v>
      </c>
      <c r="EQ136" s="115">
        <v>64</v>
      </c>
      <c r="ER136" s="115">
        <v>9.6</v>
      </c>
      <c r="ES136" s="115">
        <v>42</v>
      </c>
      <c r="ET136" s="150">
        <v>0.27142857142857141</v>
      </c>
      <c r="EU136" s="145">
        <f t="shared" si="75"/>
        <v>65</v>
      </c>
      <c r="EV136" s="115">
        <f t="shared" si="76"/>
        <v>23</v>
      </c>
      <c r="EW136" s="115">
        <f t="shared" si="76"/>
        <v>51</v>
      </c>
      <c r="EX136" s="115">
        <f t="shared" si="76"/>
        <v>22</v>
      </c>
      <c r="EY136" s="115" t="str">
        <f t="shared" si="98"/>
        <v>Постоянный</v>
      </c>
      <c r="EZ136" s="115">
        <f t="shared" si="98"/>
        <v>24</v>
      </c>
      <c r="FA136" s="115">
        <f t="shared" si="98"/>
        <v>0</v>
      </c>
      <c r="FB136" s="149">
        <f t="shared" si="78"/>
        <v>12.5420064</v>
      </c>
      <c r="FC136" s="142">
        <f t="shared" si="78"/>
        <v>15.2</v>
      </c>
      <c r="FD136" s="119">
        <f t="shared" si="78"/>
        <v>1.3</v>
      </c>
      <c r="FE136" s="121">
        <f t="shared" si="78"/>
        <v>33.537999999999997</v>
      </c>
      <c r="FF136" s="121">
        <f t="shared" si="94"/>
        <v>1908.6260392914483</v>
      </c>
      <c r="FG136" s="121">
        <f t="shared" si="79"/>
        <v>64</v>
      </c>
      <c r="FH136" s="121">
        <f t="shared" si="95"/>
        <v>9.6</v>
      </c>
      <c r="FI136" s="121">
        <f t="shared" si="97"/>
        <v>42</v>
      </c>
      <c r="FJ136" s="144">
        <f t="shared" si="80"/>
        <v>0.27142857142857141</v>
      </c>
      <c r="FK136" s="132">
        <f t="shared" si="81"/>
        <v>0</v>
      </c>
      <c r="FL136" s="115">
        <f t="shared" si="81"/>
        <v>0</v>
      </c>
      <c r="FM136" s="115">
        <f t="shared" si="81"/>
        <v>0</v>
      </c>
      <c r="FN136" s="115">
        <f t="shared" si="58"/>
        <v>0</v>
      </c>
      <c r="FO136" s="115">
        <f t="shared" si="57"/>
        <v>0</v>
      </c>
      <c r="FP136" s="115">
        <f t="shared" si="57"/>
        <v>0</v>
      </c>
      <c r="FQ136" s="149">
        <f t="shared" si="57"/>
        <v>0</v>
      </c>
      <c r="FR136" s="142">
        <f t="shared" si="57"/>
        <v>0</v>
      </c>
      <c r="FS136" s="119">
        <f t="shared" si="57"/>
        <v>0</v>
      </c>
      <c r="FT136" s="121">
        <f t="shared" si="57"/>
        <v>0</v>
      </c>
      <c r="FU136" s="121">
        <f t="shared" si="82"/>
        <v>0</v>
      </c>
      <c r="FV136" s="121">
        <f t="shared" si="82"/>
        <v>0</v>
      </c>
      <c r="FW136" s="121">
        <f t="shared" si="83"/>
        <v>0</v>
      </c>
      <c r="FX136" s="121">
        <f t="shared" si="84"/>
        <v>0</v>
      </c>
      <c r="FY136" s="144">
        <f t="shared" si="84"/>
        <v>0</v>
      </c>
      <c r="FZ136" s="145"/>
      <c r="GA136" s="151"/>
      <c r="GB136" s="145" t="s">
        <v>199</v>
      </c>
      <c r="GC136" s="151" t="s">
        <v>415</v>
      </c>
      <c r="GD136" s="997" t="s">
        <v>416</v>
      </c>
      <c r="GE136" s="1004" t="s">
        <v>199</v>
      </c>
      <c r="GF136" s="1004">
        <v>-1.1730768720000011</v>
      </c>
      <c r="GG136" s="1004"/>
      <c r="GH136" s="1004">
        <v>0</v>
      </c>
      <c r="GI136" s="145"/>
      <c r="GJ136" s="996">
        <v>-0.22707348399999994</v>
      </c>
      <c r="GK136" s="145" t="s">
        <v>206</v>
      </c>
      <c r="GL136" s="996">
        <v>0</v>
      </c>
      <c r="GM136" s="1005"/>
      <c r="GN136" s="996">
        <v>0</v>
      </c>
      <c r="GO136" s="1006"/>
      <c r="GP136" s="996">
        <v>0</v>
      </c>
      <c r="GQ136" s="1006"/>
      <c r="GR136" s="996">
        <v>0</v>
      </c>
      <c r="GS136" s="1006"/>
      <c r="GT136" s="996">
        <v>0</v>
      </c>
      <c r="GU136" s="1006"/>
      <c r="GV136" s="996">
        <v>0</v>
      </c>
      <c r="GW136" s="1006"/>
      <c r="GX136" s="996">
        <v>0</v>
      </c>
      <c r="GY136" s="1006"/>
      <c r="GZ136" s="996">
        <v>-0.72411143199999728</v>
      </c>
      <c r="HA136" s="1006" t="s">
        <v>203</v>
      </c>
      <c r="HB136" s="996">
        <v>-5.1745198120000016</v>
      </c>
      <c r="HC136" s="1006" t="s">
        <v>308</v>
      </c>
      <c r="HD136" s="996">
        <v>-0.39425759999999954</v>
      </c>
      <c r="HE136" s="1006" t="s">
        <v>203</v>
      </c>
      <c r="HF136" s="996">
        <v>-6.1278800000000029</v>
      </c>
      <c r="HG136" s="1006" t="s">
        <v>203</v>
      </c>
      <c r="HH136" s="996">
        <v>-12.757360000000002</v>
      </c>
      <c r="HI136" s="1006" t="s">
        <v>25</v>
      </c>
      <c r="HJ136" s="996">
        <v>24.287381712000002</v>
      </c>
      <c r="HK136" s="1006" t="s">
        <v>197</v>
      </c>
      <c r="HL136" s="996">
        <v>0</v>
      </c>
      <c r="HM136" s="1006"/>
      <c r="HN136" s="996">
        <v>0</v>
      </c>
      <c r="HO136" s="1006"/>
      <c r="HP136" s="996">
        <v>0.80432228800000161</v>
      </c>
      <c r="HQ136" s="1006" t="s">
        <v>199</v>
      </c>
      <c r="HR136" s="996">
        <v>-3.3585798400000009</v>
      </c>
      <c r="HS136" s="1006" t="s">
        <v>199</v>
      </c>
      <c r="HT136" s="996">
        <v>1.8668373240000022</v>
      </c>
      <c r="HU136" s="1006" t="s">
        <v>204</v>
      </c>
      <c r="HV136" s="996">
        <v>1.371358515999999</v>
      </c>
      <c r="HW136" s="1006"/>
      <c r="HX136" s="996">
        <v>-0.76892000000000138</v>
      </c>
      <c r="HY136" s="1006" t="s">
        <v>204</v>
      </c>
      <c r="HZ136" s="996">
        <v>2.8510902200000006</v>
      </c>
      <c r="IA136" s="1006" t="s">
        <v>223</v>
      </c>
      <c r="IB136" s="996">
        <v>-1.9068282200000013</v>
      </c>
      <c r="IC136" s="1006"/>
      <c r="ID136" s="996">
        <v>0</v>
      </c>
      <c r="IE136" s="1006"/>
      <c r="IF136" s="996">
        <v>0.34987519600000017</v>
      </c>
      <c r="IG136" s="1006"/>
      <c r="IH136" s="996">
        <v>-0.53839319599999946</v>
      </c>
      <c r="II136" s="1006"/>
      <c r="IJ136" s="996">
        <v>0.24197602000000096</v>
      </c>
      <c r="IK136" s="1006" t="s">
        <v>199</v>
      </c>
      <c r="IL136" s="996">
        <v>-2.4163284199999993</v>
      </c>
      <c r="IM136" s="1006"/>
      <c r="IN136" s="996">
        <v>0</v>
      </c>
      <c r="IO136" s="1006" t="s">
        <v>199</v>
      </c>
      <c r="IP136" s="996">
        <v>2.8015195999999989</v>
      </c>
      <c r="IQ136" s="1006"/>
      <c r="IR136" s="996">
        <v>0</v>
      </c>
      <c r="IS136" s="1006"/>
      <c r="IT136" s="996">
        <v>0.91583799999999993</v>
      </c>
      <c r="IU136" s="1006" t="s">
        <v>199</v>
      </c>
      <c r="IV136" s="996">
        <v>-3.3822051999999987</v>
      </c>
      <c r="IW136" s="1006"/>
      <c r="IX136" s="996">
        <v>0</v>
      </c>
      <c r="IY136" s="1006"/>
      <c r="IZ136" s="996">
        <v>0</v>
      </c>
      <c r="JA136" s="1006" t="s">
        <v>203</v>
      </c>
      <c r="JB136" s="996">
        <v>-2.280273600000001</v>
      </c>
      <c r="JC136" s="1006" t="s">
        <v>203</v>
      </c>
      <c r="JD136" s="996">
        <v>-3.6084075720000008</v>
      </c>
      <c r="JE136" s="1006"/>
      <c r="JF136" s="996">
        <v>0</v>
      </c>
      <c r="JG136" s="1006" t="s">
        <v>25</v>
      </c>
      <c r="JH136" s="996">
        <v>7.1259611720000002</v>
      </c>
      <c r="JI136" s="1006" t="s">
        <v>204</v>
      </c>
      <c r="JJ136" s="996">
        <v>2.9009200000000002</v>
      </c>
      <c r="JK136" s="1007" t="s">
        <v>204</v>
      </c>
      <c r="JL136" s="1007">
        <v>-5.746664</v>
      </c>
      <c r="JM136" s="1007"/>
      <c r="JN136" s="1007">
        <v>0</v>
      </c>
      <c r="JO136" s="1008"/>
      <c r="JP136" s="1007">
        <v>0</v>
      </c>
      <c r="JQ136" s="1008">
        <v>0</v>
      </c>
      <c r="JR136" s="1007">
        <v>0</v>
      </c>
      <c r="JS136" s="1008">
        <v>0</v>
      </c>
      <c r="JT136" s="1007">
        <v>0</v>
      </c>
      <c r="JU136" s="1008"/>
      <c r="JV136" s="1007">
        <v>0</v>
      </c>
      <c r="JW136" s="1008" t="s">
        <v>197</v>
      </c>
      <c r="JX136" s="1007">
        <v>-4.6815999999999747E-2</v>
      </c>
      <c r="JY136" s="1008"/>
      <c r="JZ136" s="1007">
        <v>0</v>
      </c>
      <c r="KA136" s="1008"/>
      <c r="KB136" s="1007">
        <v>-7.2230399999995143E-3</v>
      </c>
      <c r="KC136" s="1008"/>
      <c r="KD136" s="1007">
        <v>0</v>
      </c>
      <c r="KE136" s="1008"/>
      <c r="KF136" s="1007">
        <v>0</v>
      </c>
      <c r="KG136" s="1008" t="s">
        <v>203</v>
      </c>
      <c r="KH136" s="1007">
        <v>-3.644424960000002</v>
      </c>
      <c r="KI136" s="1008" t="s">
        <v>207</v>
      </c>
      <c r="KJ136" s="1007">
        <v>-4.5693084799999983</v>
      </c>
      <c r="KK136" s="1008"/>
      <c r="KL136" s="1007">
        <v>19.807916479999999</v>
      </c>
      <c r="KM136" s="1008"/>
      <c r="KN136" s="1007">
        <v>0</v>
      </c>
      <c r="KO136" s="1008"/>
      <c r="KP136" s="1007">
        <v>0</v>
      </c>
      <c r="KQ136" s="1008" t="s">
        <v>240</v>
      </c>
      <c r="KR136" s="1007">
        <v>-1.6708296000000011</v>
      </c>
      <c r="KS136" s="1008" t="s">
        <v>207</v>
      </c>
      <c r="KT136" s="1007">
        <v>-2.5062443999999999</v>
      </c>
      <c r="KU136" s="1008">
        <v>0</v>
      </c>
      <c r="KV136" s="1007">
        <v>0</v>
      </c>
      <c r="KW136" s="1008">
        <v>0</v>
      </c>
      <c r="KX136" s="1007">
        <v>0</v>
      </c>
      <c r="KY136" s="1008">
        <v>0</v>
      </c>
      <c r="KZ136" s="1007">
        <v>0</v>
      </c>
      <c r="LA136" s="1008" t="s">
        <v>199</v>
      </c>
      <c r="LB136" s="1007">
        <v>-1.6708295999999994</v>
      </c>
      <c r="LC136" s="1008" t="s">
        <v>204</v>
      </c>
      <c r="LD136" s="1007">
        <v>0.25062444000000106</v>
      </c>
      <c r="LE136" s="1008">
        <v>0</v>
      </c>
      <c r="LF136" s="1007">
        <v>0</v>
      </c>
      <c r="LG136" s="1008">
        <v>0</v>
      </c>
      <c r="LH136" s="1007">
        <v>0</v>
      </c>
      <c r="LI136" s="1008">
        <v>0</v>
      </c>
      <c r="LJ136" s="1007">
        <v>0</v>
      </c>
      <c r="LK136" s="1008">
        <v>0</v>
      </c>
      <c r="LL136" s="1007">
        <v>0</v>
      </c>
      <c r="LM136" s="1008">
        <v>0</v>
      </c>
      <c r="LN136" s="1007">
        <v>0</v>
      </c>
      <c r="LO136" s="1008" t="s">
        <v>206</v>
      </c>
      <c r="LP136" s="1007">
        <v>-2.5549200000000001</v>
      </c>
      <c r="LQ136" s="1008">
        <v>0</v>
      </c>
      <c r="LR136" s="1007">
        <v>0</v>
      </c>
      <c r="LS136" s="1008" t="s">
        <v>206</v>
      </c>
      <c r="LT136" s="1007">
        <v>-1.2527460000000019</v>
      </c>
      <c r="LU136" s="1008" t="s">
        <v>207</v>
      </c>
      <c r="LV136" s="1007">
        <v>8.8252340000000018</v>
      </c>
      <c r="LW136" s="1008" t="s">
        <v>207</v>
      </c>
      <c r="LX136" s="1007">
        <v>-7.9471600000000002</v>
      </c>
      <c r="LY136" s="1009">
        <v>0</v>
      </c>
      <c r="LZ136" s="1010">
        <v>-0.46636100000000003</v>
      </c>
      <c r="MA136" s="1011">
        <v>0</v>
      </c>
      <c r="MB136" s="1012">
        <v>4.4492756000000018</v>
      </c>
      <c r="MC136" s="995"/>
      <c r="MD136" s="996"/>
      <c r="ME136" s="997" t="s">
        <v>416</v>
      </c>
      <c r="MF136" s="997"/>
      <c r="MG136" s="998"/>
      <c r="NR136" s="1000"/>
      <c r="NS136" s="1000"/>
      <c r="NT136" s="1001"/>
      <c r="NU136" s="1000"/>
      <c r="NV136" s="1001"/>
      <c r="NX136" s="1002"/>
      <c r="NZ136" s="1001"/>
      <c r="OA136" s="1001"/>
      <c r="OC136" s="1003"/>
      <c r="OD136" s="1003"/>
      <c r="OE136" s="1001"/>
      <c r="OF136" s="1003"/>
      <c r="OG136" s="1003"/>
      <c r="QX136" s="1000">
        <f t="shared" si="96"/>
        <v>19</v>
      </c>
      <c r="ASU136" s="999" t="s">
        <v>208</v>
      </c>
    </row>
    <row r="137" spans="1:466 1191:1191" ht="21" customHeight="1" x14ac:dyDescent="0.25">
      <c r="A137" s="982" t="str">
        <f t="shared" si="59"/>
        <v>1046-1</v>
      </c>
      <c r="B137" s="124">
        <f>SUBTOTAL(103,$J$29:J137)</f>
        <v>109</v>
      </c>
      <c r="C137" s="126">
        <v>45068</v>
      </c>
      <c r="D137" s="124" t="s">
        <v>176</v>
      </c>
      <c r="E137" s="127" t="s">
        <v>177</v>
      </c>
      <c r="F137" s="128" t="s">
        <v>177</v>
      </c>
      <c r="G137" s="127" t="s">
        <v>178</v>
      </c>
      <c r="H137" s="127" t="s">
        <v>421</v>
      </c>
      <c r="I137" s="127" t="s">
        <v>684</v>
      </c>
      <c r="J137" s="190" t="s">
        <v>737</v>
      </c>
      <c r="K137" s="127" t="s">
        <v>738</v>
      </c>
      <c r="L137" s="130">
        <v>40429</v>
      </c>
      <c r="M137" s="127" t="s">
        <v>230</v>
      </c>
      <c r="N137" s="127" t="s">
        <v>231</v>
      </c>
      <c r="O137" s="127" t="s">
        <v>185</v>
      </c>
      <c r="P137" s="127" t="s">
        <v>186</v>
      </c>
      <c r="Q137" s="85" t="str">
        <f t="shared" si="85"/>
        <v/>
      </c>
      <c r="R137" s="130"/>
      <c r="S137" s="128" t="s">
        <v>156</v>
      </c>
      <c r="T137" s="131"/>
      <c r="U137" s="132">
        <v>203</v>
      </c>
      <c r="V137" s="121">
        <v>218.2</v>
      </c>
      <c r="W137" s="116">
        <v>0.98</v>
      </c>
      <c r="X137" s="116">
        <v>1.66</v>
      </c>
      <c r="Y137" s="116">
        <f t="shared" si="86"/>
        <v>0.98</v>
      </c>
      <c r="Z137" s="133">
        <v>1.454</v>
      </c>
      <c r="AA137" s="133">
        <v>0.83599999999999997</v>
      </c>
      <c r="AB137" s="133">
        <v>0.72</v>
      </c>
      <c r="AC137" s="121">
        <v>34.299999999999997</v>
      </c>
      <c r="AD137" s="134">
        <v>1.17</v>
      </c>
      <c r="AE137" s="124">
        <v>139.69999999999999</v>
      </c>
      <c r="AF137" s="128">
        <v>7.72</v>
      </c>
      <c r="AG137" s="128">
        <v>1944</v>
      </c>
      <c r="AH137" s="127">
        <v>2500</v>
      </c>
      <c r="AI137" s="127">
        <v>2500</v>
      </c>
      <c r="AJ137" s="135"/>
      <c r="AK137" s="128"/>
      <c r="AL137" s="131"/>
      <c r="AM137" s="124" t="s">
        <v>232</v>
      </c>
      <c r="AN137" s="136" t="s">
        <v>739</v>
      </c>
      <c r="AO137" s="137">
        <v>66.34</v>
      </c>
      <c r="AP137" s="128">
        <v>1944</v>
      </c>
      <c r="AQ137" s="128">
        <v>86.14</v>
      </c>
      <c r="AR137" s="128"/>
      <c r="AS137" s="128"/>
      <c r="AT137" s="122"/>
      <c r="AU137" s="124" t="s">
        <v>250</v>
      </c>
      <c r="AV137" s="115">
        <f>VLOOKUP(J137,'[63]ТР нефть'!$J$28:$BP$638,39,0)</f>
        <v>510</v>
      </c>
      <c r="AW137" s="115" t="str">
        <f>VLOOKUP(J137,'[63]ТР нефть'!$J$28:$BP$638,40,0)</f>
        <v>ГК 78 1/8</v>
      </c>
      <c r="AX137" s="115">
        <f>VLOOKUP(J137,'[63]ТР нефть'!$J$28:$BP$638,41,0)</f>
        <v>970</v>
      </c>
      <c r="AY137" s="115" t="str">
        <f>VLOOKUP(J137,'[63]ТР нефть'!$J$28:$BP$638,42,0)</f>
        <v>ГК 78 1/8</v>
      </c>
      <c r="AZ137" s="115">
        <f>VLOOKUP(J137,'[63]ТР нефть'!$J$28:$BP$638,43,0)</f>
        <v>1400</v>
      </c>
      <c r="BA137" s="115" t="str">
        <f>VLOOKUP(J137,'[63]ТР нефть'!$J$28:$BP$638,44,0)</f>
        <v>ГК 78 1/8</v>
      </c>
      <c r="BB137" s="115">
        <f>VLOOKUP(J137,'[63]ТР нефть'!$J$28:$BP$638,45,0)</f>
        <v>1678</v>
      </c>
      <c r="BC137" s="115" t="str">
        <f>VLOOKUP(J137,'[63]ТР нефть'!$J$28:$BP$638,46,0)</f>
        <v>ГК 79 1/8</v>
      </c>
      <c r="BD137" s="115" t="str">
        <f>VLOOKUP(J137,'[63]ТР нефть'!$J$28:$BP$638,47,0)</f>
        <v>-</v>
      </c>
      <c r="BE137" s="115" t="str">
        <f>VLOOKUP(J137,'[63]ТР нефть'!$J$28:$BP$638,48,0)</f>
        <v>-</v>
      </c>
      <c r="BF137" s="115" t="str">
        <f>VLOOKUP(J137,'[63]ТР нефть'!$J$28:$BP$638,49,0)</f>
        <v>-</v>
      </c>
      <c r="BG137" s="115" t="str">
        <f>VLOOKUP(J137,'[63]ТР нефть'!$J$28:$BP$638,50,0)</f>
        <v>-</v>
      </c>
      <c r="BH137" s="115">
        <f>VLOOKUP(J137,'[63]ТР нефть'!$J$28:$BP$638,51,0)</f>
        <v>1717</v>
      </c>
      <c r="BI137" s="115" t="str">
        <f>VLOOKUP(J137,'[63]ТР нефть'!$J$28:$BP$638,52,0)</f>
        <v>закрыт</v>
      </c>
      <c r="BJ137" s="115" t="str">
        <f>IF(IFERROR(VLOOKUP(J137,'[63]ТР нефть'!$J$28:$BP$638,53,0),"-")=0,"-",IFERROR(VLOOKUP(J137,'[63]ТР нефть'!$J$28:$BP$638,53,0),"-"))</f>
        <v>-</v>
      </c>
      <c r="BK137" s="138" t="str">
        <f>IF(IFERROR(VLOOKUP(J137,'[63]ТР нефть'!$J$28:$BP$638,54,0),"-")=0,"-",IFERROR(VLOOKUP(J137,'[63]ТР нефть'!$J$28:$BP$638,54,0),"-"))</f>
        <v>-</v>
      </c>
      <c r="BL137" s="138" t="str">
        <f>IF(IFERROR(VLOOKUP(J137,'[63]ТР нефть'!$J$28:$BP$638,55,0),"-")=0,"-",IFERROR(VLOOKUP(J137,'[63]ТР нефть'!$J$28:$BP$638,55,0),"-"))</f>
        <v>-</v>
      </c>
      <c r="BM137" s="138" t="str">
        <f>IF(IFERROR(VLOOKUP(J137,'[63]ТР нефть'!$J$28:$BP$638,56,0),"-")=0,"-",IFERROR(VLOOKUP(J137,'[63]ТР нефть'!$J$28:$BP$638,56,0),"-"))</f>
        <v>-</v>
      </c>
      <c r="BN137" s="138" t="str">
        <f>IF(IFERROR(VLOOKUP(J137,'[63]ТР нефть'!$J$28:$BP$638,57,0),"-")=0,"-",IFERROR(VLOOKUP(J137,'[63]ТР нефть'!$J$28:$BP$638,57,0),"-"))</f>
        <v>-</v>
      </c>
      <c r="BO137" s="115" t="str">
        <f>IF(IFERROR(VLOOKUP(J137,'[63]ТР нефть'!$J$28:$BP$638,58,0),"-")=0,"-",IFERROR(VLOOKUP(J137,'[63]ТР нефть'!$J$28:$BP$638,58,0),"-"))</f>
        <v>-</v>
      </c>
      <c r="BP137" s="115" t="str">
        <f>IF(IFERROR(VLOOKUP(J137,'[63]ТР нефть'!$J$28:$BP$638,59,0),"-")=0,"-",IFERROR(VLOOKUP(J137,'[63]ТР нефть'!$J$28:$BP$638,59,0),"-"))</f>
        <v>-</v>
      </c>
      <c r="BQ137" s="138">
        <v>2034</v>
      </c>
      <c r="BR137" s="128">
        <v>1804.42</v>
      </c>
      <c r="BS137" s="115">
        <f t="shared" si="60"/>
        <v>229.57999999999993</v>
      </c>
      <c r="BT137" s="128">
        <v>73</v>
      </c>
      <c r="BU137" s="128">
        <v>5.5</v>
      </c>
      <c r="BV137" s="127">
        <v>65</v>
      </c>
      <c r="BW137" s="127" t="s">
        <v>217</v>
      </c>
      <c r="BX137" s="127" t="s">
        <v>195</v>
      </c>
      <c r="BY137" s="139">
        <v>24</v>
      </c>
      <c r="BZ137" s="139">
        <v>0</v>
      </c>
      <c r="CA137" s="138">
        <v>36</v>
      </c>
      <c r="CB137" s="138">
        <v>40</v>
      </c>
      <c r="CC137" s="138">
        <v>35</v>
      </c>
      <c r="CD137" s="135">
        <v>45017</v>
      </c>
      <c r="CE137" s="138">
        <v>127.8</v>
      </c>
      <c r="CF137" s="138"/>
      <c r="CG137" s="138" t="str">
        <f t="shared" si="99"/>
        <v/>
      </c>
      <c r="CH137" s="138" t="s">
        <v>197</v>
      </c>
      <c r="CI137" s="127"/>
      <c r="CJ137" s="138"/>
      <c r="CK137" s="138"/>
      <c r="CL137" s="99"/>
      <c r="CM137" s="138"/>
      <c r="CN137" s="138">
        <v>61</v>
      </c>
      <c r="CO137" s="162">
        <f>CP137*(1-CQ137/100)*0.836</f>
        <v>8.36</v>
      </c>
      <c r="CP137" s="160">
        <v>10</v>
      </c>
      <c r="CQ137" s="161">
        <v>0</v>
      </c>
      <c r="CR137" s="138">
        <v>85.941999999999993</v>
      </c>
      <c r="CS137" s="139"/>
      <c r="CT137" s="138"/>
      <c r="CU137" s="138">
        <f t="shared" si="62"/>
        <v>85.941999999999993</v>
      </c>
      <c r="CV137" s="115">
        <f t="shared" si="63"/>
        <v>10280.143540669857</v>
      </c>
      <c r="CW137" s="115" t="str">
        <f t="shared" si="64"/>
        <v/>
      </c>
      <c r="CX137" s="133">
        <f t="shared" si="65"/>
        <v>0.14970059880239522</v>
      </c>
      <c r="CY137" s="116"/>
      <c r="CZ137" s="131"/>
      <c r="DA137" s="145" t="str">
        <f t="shared" si="66"/>
        <v>Фон.</v>
      </c>
      <c r="DB137" s="146">
        <f t="shared" si="67"/>
        <v>8.36</v>
      </c>
      <c r="DC137" s="142">
        <f t="shared" si="68"/>
        <v>10</v>
      </c>
      <c r="DD137" s="119">
        <f t="shared" si="69"/>
        <v>0</v>
      </c>
      <c r="DE137" s="115">
        <f t="shared" si="70"/>
        <v>85.941999999999993</v>
      </c>
      <c r="DF137" s="121">
        <f t="shared" si="71"/>
        <v>0</v>
      </c>
      <c r="DG137" s="115">
        <f t="shared" si="72"/>
        <v>10280.143540669857</v>
      </c>
      <c r="DH137" s="115">
        <f t="shared" si="73"/>
        <v>61</v>
      </c>
      <c r="DI137" s="147"/>
      <c r="DJ137" s="111" t="s">
        <v>197</v>
      </c>
      <c r="DK137" s="112">
        <v>40429</v>
      </c>
      <c r="DL137" s="113">
        <f t="shared" ca="1" si="87"/>
        <v>4675</v>
      </c>
      <c r="DM137" s="114"/>
      <c r="DN137" s="114"/>
      <c r="DO137" s="114"/>
      <c r="DP137" s="114"/>
      <c r="DQ137" s="112">
        <v>40429</v>
      </c>
      <c r="DR137" s="114" t="s">
        <v>324</v>
      </c>
      <c r="DS137" s="114"/>
      <c r="DT137" s="115">
        <v>61</v>
      </c>
      <c r="DU137" s="116">
        <f t="shared" si="88"/>
        <v>0.14970059880239522</v>
      </c>
      <c r="DV137" s="117">
        <f t="shared" si="89"/>
        <v>8.36</v>
      </c>
      <c r="DW137" s="118">
        <f t="shared" si="90"/>
        <v>10</v>
      </c>
      <c r="DX137" s="119">
        <f t="shared" si="74"/>
        <v>0</v>
      </c>
      <c r="DY137" s="115">
        <f t="shared" si="91"/>
        <v>85.941999999999993</v>
      </c>
      <c r="DZ137" s="117">
        <f t="shared" si="92"/>
        <v>0</v>
      </c>
      <c r="EA137" s="120">
        <f t="shared" si="92"/>
        <v>0</v>
      </c>
      <c r="EB137" s="119">
        <f t="shared" si="92"/>
        <v>0</v>
      </c>
      <c r="EC137" s="121">
        <f t="shared" si="93"/>
        <v>0</v>
      </c>
      <c r="ED137" s="122"/>
      <c r="EE137" s="145">
        <v>65</v>
      </c>
      <c r="EF137" s="115">
        <v>42</v>
      </c>
      <c r="EG137" s="115">
        <v>40</v>
      </c>
      <c r="EH137" s="115">
        <v>41</v>
      </c>
      <c r="EI137" s="128" t="s">
        <v>195</v>
      </c>
      <c r="EJ137" s="121">
        <v>24</v>
      </c>
      <c r="EK137" s="121">
        <v>0</v>
      </c>
      <c r="EL137" s="162">
        <v>8.36</v>
      </c>
      <c r="EM137" s="142">
        <v>10</v>
      </c>
      <c r="EN137" s="119">
        <v>0</v>
      </c>
      <c r="EO137" s="115">
        <v>85.941999999999993</v>
      </c>
      <c r="EP137" s="115">
        <v>10280.143540669857</v>
      </c>
      <c r="EQ137" s="115">
        <v>0</v>
      </c>
      <c r="ER137" s="115">
        <v>0</v>
      </c>
      <c r="ES137" s="115">
        <v>58</v>
      </c>
      <c r="ET137" s="150">
        <v>0.14326647564469916</v>
      </c>
      <c r="EU137" s="145">
        <f t="shared" si="75"/>
        <v>65</v>
      </c>
      <c r="EV137" s="115">
        <f t="shared" si="76"/>
        <v>36</v>
      </c>
      <c r="EW137" s="115">
        <f t="shared" si="76"/>
        <v>40</v>
      </c>
      <c r="EX137" s="115">
        <f t="shared" si="76"/>
        <v>35</v>
      </c>
      <c r="EY137" s="115" t="str">
        <f t="shared" si="98"/>
        <v>Постоянный</v>
      </c>
      <c r="EZ137" s="115">
        <f t="shared" si="98"/>
        <v>24</v>
      </c>
      <c r="FA137" s="115">
        <f t="shared" si="98"/>
        <v>0</v>
      </c>
      <c r="FB137" s="149">
        <f t="shared" si="78"/>
        <v>8.36</v>
      </c>
      <c r="FC137" s="142">
        <f t="shared" si="78"/>
        <v>10</v>
      </c>
      <c r="FD137" s="119">
        <f t="shared" si="78"/>
        <v>0</v>
      </c>
      <c r="FE137" s="121">
        <f t="shared" si="78"/>
        <v>85.941999999999993</v>
      </c>
      <c r="FF137" s="121">
        <f t="shared" si="94"/>
        <v>10280.143540669857</v>
      </c>
      <c r="FG137" s="121">
        <f t="shared" si="79"/>
        <v>0</v>
      </c>
      <c r="FH137" s="121">
        <f t="shared" si="95"/>
        <v>0</v>
      </c>
      <c r="FI137" s="121">
        <f t="shared" si="97"/>
        <v>61</v>
      </c>
      <c r="FJ137" s="144">
        <f t="shared" si="80"/>
        <v>0.14970059880239522</v>
      </c>
      <c r="FK137" s="132">
        <f t="shared" si="81"/>
        <v>0</v>
      </c>
      <c r="FL137" s="115">
        <f t="shared" si="81"/>
        <v>-6</v>
      </c>
      <c r="FM137" s="115">
        <f t="shared" si="81"/>
        <v>0</v>
      </c>
      <c r="FN137" s="115">
        <f t="shared" si="58"/>
        <v>-6</v>
      </c>
      <c r="FO137" s="115">
        <f t="shared" ref="FO137:FT200" si="100">EZ137-EJ137</f>
        <v>0</v>
      </c>
      <c r="FP137" s="115">
        <f t="shared" si="100"/>
        <v>0</v>
      </c>
      <c r="FQ137" s="149">
        <f t="shared" si="100"/>
        <v>0</v>
      </c>
      <c r="FR137" s="142">
        <f t="shared" si="100"/>
        <v>0</v>
      </c>
      <c r="FS137" s="119">
        <f t="shared" si="100"/>
        <v>0</v>
      </c>
      <c r="FT137" s="121">
        <f t="shared" si="100"/>
        <v>0</v>
      </c>
      <c r="FU137" s="121">
        <f t="shared" si="82"/>
        <v>0</v>
      </c>
      <c r="FV137" s="121">
        <f t="shared" si="82"/>
        <v>0</v>
      </c>
      <c r="FW137" s="121">
        <f t="shared" si="83"/>
        <v>0</v>
      </c>
      <c r="FX137" s="121">
        <f t="shared" si="84"/>
        <v>3</v>
      </c>
      <c r="FY137" s="144">
        <f t="shared" si="84"/>
        <v>6.4341231576960645E-3</v>
      </c>
      <c r="FZ137" s="145"/>
      <c r="GA137" s="1033"/>
      <c r="GB137" s="145" t="s">
        <v>204</v>
      </c>
      <c r="GC137" s="1033" t="s">
        <v>219</v>
      </c>
      <c r="GD137" s="997" t="s">
        <v>416</v>
      </c>
      <c r="GE137" s="1004" t="s">
        <v>204</v>
      </c>
      <c r="GF137" s="1004">
        <v>1.3704548000000001</v>
      </c>
      <c r="GG137" s="1004"/>
      <c r="GH137" s="1004">
        <v>0</v>
      </c>
      <c r="GI137" s="145"/>
      <c r="GJ137" s="996">
        <v>0</v>
      </c>
      <c r="GK137" s="145"/>
      <c r="GL137" s="996">
        <v>0</v>
      </c>
      <c r="GM137" s="1005"/>
      <c r="GN137" s="996">
        <v>0</v>
      </c>
      <c r="GO137" s="1006"/>
      <c r="GP137" s="996">
        <v>0</v>
      </c>
      <c r="GQ137" s="1006"/>
      <c r="GR137" s="996">
        <v>0</v>
      </c>
      <c r="GS137" s="1006"/>
      <c r="GT137" s="996">
        <v>0</v>
      </c>
      <c r="GU137" s="1006"/>
      <c r="GV137" s="996">
        <v>0</v>
      </c>
      <c r="GW137" s="1006"/>
      <c r="GX137" s="996">
        <v>0</v>
      </c>
      <c r="GY137" s="1006"/>
      <c r="GZ137" s="996">
        <v>0</v>
      </c>
      <c r="HA137" s="1006"/>
      <c r="HB137" s="996">
        <v>0.16306180000000037</v>
      </c>
      <c r="HC137" s="1006"/>
      <c r="HD137" s="996">
        <v>0</v>
      </c>
      <c r="HE137" s="1006"/>
      <c r="HF137" s="996">
        <v>0</v>
      </c>
      <c r="HG137" s="1006" t="s">
        <v>204</v>
      </c>
      <c r="HH137" s="996">
        <v>-1.7584298600000015</v>
      </c>
      <c r="HI137" s="1006"/>
      <c r="HJ137" s="996">
        <v>0.24428839599999996</v>
      </c>
      <c r="HK137" s="1006"/>
      <c r="HL137" s="996">
        <v>0</v>
      </c>
      <c r="HM137" s="1006"/>
      <c r="HN137" s="996">
        <v>0</v>
      </c>
      <c r="HO137" s="1006"/>
      <c r="HP137" s="996">
        <v>0</v>
      </c>
      <c r="HQ137" s="1006"/>
      <c r="HR137" s="996">
        <v>0</v>
      </c>
      <c r="HS137" s="1006"/>
      <c r="HT137" s="996">
        <v>0</v>
      </c>
      <c r="HU137" s="1006" t="s">
        <v>223</v>
      </c>
      <c r="HV137" s="996">
        <v>-2.5447472159999993</v>
      </c>
      <c r="HW137" s="1006"/>
      <c r="HX137" s="996">
        <v>0</v>
      </c>
      <c r="HY137" s="1006"/>
      <c r="HZ137" s="996">
        <v>-0.71178712000000033</v>
      </c>
      <c r="IA137" s="1006" t="s">
        <v>204</v>
      </c>
      <c r="IB137" s="996">
        <v>4.8053798319999999</v>
      </c>
      <c r="IC137" s="1006"/>
      <c r="ID137" s="996">
        <v>0</v>
      </c>
      <c r="IE137" s="1006"/>
      <c r="IF137" s="996">
        <v>0</v>
      </c>
      <c r="IG137" s="1006"/>
      <c r="IH137" s="996">
        <v>-0.35559427200000027</v>
      </c>
      <c r="II137" s="1006" t="s">
        <v>204</v>
      </c>
      <c r="IJ137" s="996">
        <v>-3.0290871599999987</v>
      </c>
      <c r="IK137" s="1006"/>
      <c r="IL137" s="996">
        <v>-0.5076192000000006</v>
      </c>
      <c r="IM137" s="1006" t="s">
        <v>204</v>
      </c>
      <c r="IN137" s="996">
        <v>1.3208800000000007</v>
      </c>
      <c r="IO137" s="1006" t="s">
        <v>199</v>
      </c>
      <c r="IP137" s="996">
        <v>1.614834319999999</v>
      </c>
      <c r="IQ137" s="1006"/>
      <c r="IR137" s="996">
        <v>-0.46656825599999951</v>
      </c>
      <c r="IS137" s="1006"/>
      <c r="IT137" s="996">
        <v>-6.1466064000001097E-2</v>
      </c>
      <c r="IU137" s="1006"/>
      <c r="IV137" s="996">
        <v>-8.3599999999998786E-2</v>
      </c>
      <c r="IW137" s="1006"/>
      <c r="IX137" s="996">
        <v>0</v>
      </c>
      <c r="IY137" s="1006"/>
      <c r="IZ137" s="996">
        <v>0</v>
      </c>
      <c r="JA137" s="1006"/>
      <c r="JB137" s="996">
        <v>0.83599999999999941</v>
      </c>
      <c r="JC137" s="1006"/>
      <c r="JD137" s="996">
        <v>-0.71929439999999989</v>
      </c>
      <c r="JE137" s="1006"/>
      <c r="JF137" s="996">
        <v>0</v>
      </c>
      <c r="JG137" s="1006" t="s">
        <v>199</v>
      </c>
      <c r="JH137" s="996">
        <v>-5.5167209459999995</v>
      </c>
      <c r="JI137" s="1006"/>
      <c r="JJ137" s="996">
        <v>0</v>
      </c>
      <c r="JK137" s="1007" t="s">
        <v>204</v>
      </c>
      <c r="JL137" s="1007">
        <v>3.5214313859999997</v>
      </c>
      <c r="JM137" s="1007"/>
      <c r="JN137" s="1007">
        <v>0</v>
      </c>
      <c r="JO137" s="1008"/>
      <c r="JP137" s="1007">
        <v>0</v>
      </c>
      <c r="JQ137" s="1008" t="s">
        <v>204</v>
      </c>
      <c r="JR137" s="1007">
        <v>-1.4654160399999991</v>
      </c>
      <c r="JS137" s="1008" t="s">
        <v>204</v>
      </c>
      <c r="JT137" s="1007">
        <v>-3.5112000000000005</v>
      </c>
      <c r="JU137" s="1008" t="s">
        <v>199</v>
      </c>
      <c r="JV137" s="1007">
        <v>6.4572639999999986</v>
      </c>
      <c r="JW137" s="1008" t="s">
        <v>197</v>
      </c>
      <c r="JX137" s="1007">
        <v>0</v>
      </c>
      <c r="JY137" s="1008" t="s">
        <v>199</v>
      </c>
      <c r="JZ137" s="1007">
        <v>-7.1197103999999989</v>
      </c>
      <c r="KA137" s="1008"/>
      <c r="KB137" s="1007">
        <v>0</v>
      </c>
      <c r="KC137" s="1008" t="s">
        <v>204</v>
      </c>
      <c r="KD137" s="1007">
        <v>-0.41783279999999934</v>
      </c>
      <c r="KE137" s="1008"/>
      <c r="KF137" s="1007">
        <v>0</v>
      </c>
      <c r="KG137" s="1008" t="s">
        <v>204</v>
      </c>
      <c r="KH137" s="1007">
        <v>2.2562971199999975</v>
      </c>
      <c r="KI137" s="1008"/>
      <c r="KJ137" s="1007">
        <v>0</v>
      </c>
      <c r="KK137" s="1008" t="s">
        <v>206</v>
      </c>
      <c r="KL137" s="1007">
        <v>2.7576964800000017</v>
      </c>
      <c r="KM137" s="1008"/>
      <c r="KN137" s="1007">
        <v>0</v>
      </c>
      <c r="KO137" s="1008"/>
      <c r="KP137" s="1007">
        <v>0</v>
      </c>
      <c r="KQ137" s="1008">
        <v>0</v>
      </c>
      <c r="KR137" s="1007">
        <v>0</v>
      </c>
      <c r="KS137" s="1008" t="s">
        <v>204</v>
      </c>
      <c r="KT137" s="1007">
        <v>-6.2674920000000007</v>
      </c>
      <c r="KU137" s="1008" t="s">
        <v>207</v>
      </c>
      <c r="KV137" s="1007">
        <v>5.8496592000000014</v>
      </c>
      <c r="KW137" s="1008">
        <v>0</v>
      </c>
      <c r="KX137" s="1007">
        <v>0</v>
      </c>
      <c r="KY137" s="1008" t="s">
        <v>204</v>
      </c>
      <c r="KZ137" s="1007">
        <v>-5.0139935999999992</v>
      </c>
      <c r="LA137" s="1008">
        <v>0</v>
      </c>
      <c r="LB137" s="1007">
        <v>0</v>
      </c>
      <c r="LC137" s="1008">
        <v>0</v>
      </c>
      <c r="LD137" s="1007">
        <v>0</v>
      </c>
      <c r="LE137" s="1008" t="s">
        <v>204</v>
      </c>
      <c r="LF137" s="1007">
        <v>2.9248295999999971</v>
      </c>
      <c r="LG137" s="1008">
        <v>0</v>
      </c>
      <c r="LH137" s="1007">
        <v>0</v>
      </c>
      <c r="LI137" s="1008" t="s">
        <v>223</v>
      </c>
      <c r="LJ137" s="1007">
        <v>-1.1699318399999967</v>
      </c>
      <c r="LK137" s="1008" t="s">
        <v>555</v>
      </c>
      <c r="LL137" s="1007">
        <v>-2.5956336000000002</v>
      </c>
      <c r="LM137" s="1008" t="s">
        <v>555</v>
      </c>
      <c r="LN137" s="1007">
        <v>-3.3510200000000001</v>
      </c>
      <c r="LO137" s="1008">
        <v>0</v>
      </c>
      <c r="LP137" s="1007">
        <v>0</v>
      </c>
      <c r="LQ137" s="1008">
        <v>0</v>
      </c>
      <c r="LR137" s="1007">
        <v>0</v>
      </c>
      <c r="LS137" s="1008">
        <v>0</v>
      </c>
      <c r="LT137" s="1007">
        <v>0</v>
      </c>
      <c r="LU137" s="1008">
        <v>0</v>
      </c>
      <c r="LV137" s="1007">
        <v>0</v>
      </c>
      <c r="LW137" s="1008">
        <v>0</v>
      </c>
      <c r="LX137" s="1007">
        <v>0</v>
      </c>
      <c r="LY137" s="1009">
        <v>0</v>
      </c>
      <c r="LZ137" s="1010">
        <v>-0.16721</v>
      </c>
      <c r="MA137" s="1011" t="s">
        <v>206</v>
      </c>
      <c r="MB137" s="1012">
        <v>6.6535359999999999</v>
      </c>
      <c r="MC137" s="995"/>
      <c r="MD137" s="996"/>
      <c r="ME137" s="997" t="s">
        <v>416</v>
      </c>
      <c r="MF137" s="997"/>
      <c r="MG137" s="998"/>
      <c r="NR137" s="1000"/>
      <c r="NS137" s="1000"/>
      <c r="NT137" s="1001"/>
      <c r="NU137" s="1000"/>
      <c r="NV137" s="1001"/>
      <c r="NX137" s="1002"/>
      <c r="NZ137" s="1001"/>
      <c r="OA137" s="1001"/>
      <c r="OC137" s="1003"/>
      <c r="OD137" s="1003"/>
      <c r="OE137" s="1001"/>
      <c r="OF137" s="1003"/>
      <c r="OG137" s="1003"/>
      <c r="QX137" s="1000">
        <f t="shared" si="96"/>
        <v>25</v>
      </c>
      <c r="ASU137" s="999" t="s">
        <v>292</v>
      </c>
    </row>
    <row r="138" spans="1:466 1191:1191" ht="21" customHeight="1" x14ac:dyDescent="0.25">
      <c r="A138" s="982">
        <f t="shared" si="59"/>
        <v>1049</v>
      </c>
      <c r="B138" s="124">
        <f>SUBTOTAL(103,$J$29:J138)</f>
        <v>110</v>
      </c>
      <c r="C138" s="126">
        <v>45096</v>
      </c>
      <c r="D138" s="124" t="s">
        <v>176</v>
      </c>
      <c r="E138" s="127" t="s">
        <v>177</v>
      </c>
      <c r="F138" s="128" t="s">
        <v>177</v>
      </c>
      <c r="G138" s="127" t="s">
        <v>178</v>
      </c>
      <c r="H138" s="127" t="s">
        <v>408</v>
      </c>
      <c r="I138" s="127" t="s">
        <v>456</v>
      </c>
      <c r="J138" s="152">
        <v>1049</v>
      </c>
      <c r="K138" s="127" t="s">
        <v>740</v>
      </c>
      <c r="L138" s="130">
        <v>38134</v>
      </c>
      <c r="M138" s="127" t="s">
        <v>230</v>
      </c>
      <c r="N138" s="127" t="s">
        <v>231</v>
      </c>
      <c r="O138" s="127" t="s">
        <v>185</v>
      </c>
      <c r="P138" s="127" t="s">
        <v>225</v>
      </c>
      <c r="Q138" s="85" t="str">
        <f t="shared" si="85"/>
        <v/>
      </c>
      <c r="R138" s="130"/>
      <c r="S138" s="128" t="s">
        <v>156</v>
      </c>
      <c r="T138" s="131"/>
      <c r="U138" s="132">
        <v>203</v>
      </c>
      <c r="V138" s="121">
        <v>218.2</v>
      </c>
      <c r="W138" s="116">
        <v>0.98</v>
      </c>
      <c r="X138" s="116">
        <v>1.66</v>
      </c>
      <c r="Y138" s="116">
        <f t="shared" si="86"/>
        <v>0.98</v>
      </c>
      <c r="Z138" s="133">
        <v>1.454</v>
      </c>
      <c r="AA138" s="133">
        <v>0.83599999999999997</v>
      </c>
      <c r="AB138" s="133">
        <v>0.72</v>
      </c>
      <c r="AC138" s="121">
        <v>34.299999999999997</v>
      </c>
      <c r="AD138" s="134">
        <v>1.17</v>
      </c>
      <c r="AE138" s="124">
        <v>139.69999999999999</v>
      </c>
      <c r="AF138" s="128">
        <v>7.72</v>
      </c>
      <c r="AG138" s="128">
        <v>1990</v>
      </c>
      <c r="AH138" s="127">
        <v>2520</v>
      </c>
      <c r="AI138" s="127">
        <v>2520</v>
      </c>
      <c r="AJ138" s="135"/>
      <c r="AK138" s="128"/>
      <c r="AL138" s="131"/>
      <c r="AM138" s="124" t="s">
        <v>232</v>
      </c>
      <c r="AN138" s="136" t="s">
        <v>741</v>
      </c>
      <c r="AO138" s="137">
        <v>3.82</v>
      </c>
      <c r="AP138" s="128">
        <v>2010</v>
      </c>
      <c r="AQ138" s="128">
        <v>129.94</v>
      </c>
      <c r="AR138" s="128"/>
      <c r="AS138" s="128"/>
      <c r="AT138" s="122"/>
      <c r="AU138" s="124" t="s">
        <v>189</v>
      </c>
      <c r="AV138" s="115">
        <f>VLOOKUP(J138,'[63]ТР нефть'!$J$28:$BP$638,39,0)</f>
        <v>440.00000800800001</v>
      </c>
      <c r="AW138" s="115" t="str">
        <f>VLOOKUP(J138,'[63]ТР нефть'!$J$28:$BP$638,40,0)</f>
        <v>ГП</v>
      </c>
      <c r="AX138" s="115">
        <f>VLOOKUP(J138,'[63]ТР нефть'!$J$28:$BP$638,41,0)</f>
        <v>880.00001601600002</v>
      </c>
      <c r="AY138" s="115" t="str">
        <f>VLOOKUP(J138,'[63]ТР нефть'!$J$28:$BP$638,42,0)</f>
        <v>ГП</v>
      </c>
      <c r="AZ138" s="115">
        <f>VLOOKUP(J138,'[63]ТР нефть'!$J$28:$BP$638,43,0)</f>
        <v>1199.99998125</v>
      </c>
      <c r="BA138" s="115" t="str">
        <f>VLOOKUP(J138,'[63]ТР нефть'!$J$28:$BP$638,44,0)</f>
        <v>ГП</v>
      </c>
      <c r="BB138" s="115">
        <f>VLOOKUP(J138,'[63]ТР нефть'!$J$28:$BP$638,45,0)</f>
        <v>1510.0000359380001</v>
      </c>
      <c r="BC138" s="115" t="str">
        <f>VLOOKUP(J138,'[63]ТР нефть'!$J$28:$BP$638,46,0)</f>
        <v>ЦКсОК 5/16</v>
      </c>
      <c r="BD138" s="115" t="str">
        <f>VLOOKUP(J138,'[63]ТР нефть'!$J$28:$BP$638,47,0)</f>
        <v>-</v>
      </c>
      <c r="BE138" s="115" t="str">
        <f>VLOOKUP(J138,'[63]ТР нефть'!$J$28:$BP$638,48,0)</f>
        <v>-</v>
      </c>
      <c r="BF138" s="115" t="str">
        <f>VLOOKUP(J138,'[63]ТР нефть'!$J$28:$BP$638,49,0)</f>
        <v>-</v>
      </c>
      <c r="BG138" s="115" t="str">
        <f>VLOOKUP(J138,'[63]ТР нефть'!$J$28:$BP$638,50,0)</f>
        <v>-</v>
      </c>
      <c r="BH138" s="115">
        <f>VLOOKUP(J138,'[63]ТР нефть'!$J$28:$BP$638,51,0)</f>
        <v>1530</v>
      </c>
      <c r="BI138" s="115" t="str">
        <f>VLOOKUP(J138,'[63]ТР нефть'!$J$28:$BP$638,52,0)</f>
        <v>закрыт</v>
      </c>
      <c r="BJ138" s="115" t="str">
        <f>IF(IFERROR(VLOOKUP(J138,'[63]ТР нефть'!$J$28:$BP$638,53,0),"-")=0,"-",IFERROR(VLOOKUP(J138,'[63]ТР нефть'!$J$28:$BP$638,53,0),"-"))</f>
        <v>-</v>
      </c>
      <c r="BK138" s="138" t="str">
        <f>IF(IFERROR(VLOOKUP(J138,'[63]ТР нефть'!$J$28:$BP$638,54,0),"-")=0,"-",IFERROR(VLOOKUP(J138,'[63]ТР нефть'!$J$28:$BP$638,54,0),"-"))</f>
        <v>-</v>
      </c>
      <c r="BL138" s="138" t="str">
        <f>IF(IFERROR(VLOOKUP(J138,'[63]ТР нефть'!$J$28:$BP$638,55,0),"-")=0,"-",IFERROR(VLOOKUP(J138,'[63]ТР нефть'!$J$28:$BP$638,55,0),"-"))</f>
        <v>-</v>
      </c>
      <c r="BM138" s="138" t="str">
        <f>IF(IFERROR(VLOOKUP(J138,'[63]ТР нефть'!$J$28:$BP$638,56,0),"-")=0,"-",IFERROR(VLOOKUP(J138,'[63]ТР нефть'!$J$28:$BP$638,56,0),"-"))</f>
        <v>-</v>
      </c>
      <c r="BN138" s="138" t="str">
        <f>IF(IFERROR(VLOOKUP(J138,'[63]ТР нефть'!$J$28:$BP$638,57,0),"-")=0,"-",IFERROR(VLOOKUP(J138,'[63]ТР нефть'!$J$28:$BP$638,57,0),"-"))</f>
        <v>-</v>
      </c>
      <c r="BO138" s="115" t="str">
        <f>IF(IFERROR(VLOOKUP(J138,'[63]ТР нефть'!$J$28:$BP$638,58,0),"-")=0,"-",IFERROR(VLOOKUP(J138,'[63]ТР нефть'!$J$28:$BP$638,58,0),"-"))</f>
        <v>-</v>
      </c>
      <c r="BP138" s="115" t="str">
        <f>IF(IFERROR(VLOOKUP(J138,'[63]ТР нефть'!$J$28:$BP$638,59,0),"-")=0,"-",IFERROR(VLOOKUP(J138,'[63]ТР нефть'!$J$28:$BP$638,59,0),"-"))</f>
        <v>-</v>
      </c>
      <c r="BQ138" s="138">
        <v>1565</v>
      </c>
      <c r="BR138" s="128">
        <v>1555.86</v>
      </c>
      <c r="BS138" s="115">
        <f t="shared" si="60"/>
        <v>9.1400000000001</v>
      </c>
      <c r="BT138" s="128">
        <v>73</v>
      </c>
      <c r="BU138" s="128">
        <v>5.5</v>
      </c>
      <c r="BV138" s="127">
        <v>18</v>
      </c>
      <c r="BW138" s="127" t="s">
        <v>234</v>
      </c>
      <c r="BX138" s="127" t="s">
        <v>218</v>
      </c>
      <c r="BY138" s="139">
        <v>24</v>
      </c>
      <c r="BZ138" s="139">
        <v>24</v>
      </c>
      <c r="CA138" s="138">
        <v>20</v>
      </c>
      <c r="CB138" s="138">
        <v>36</v>
      </c>
      <c r="CC138" s="138">
        <v>19</v>
      </c>
      <c r="CD138" s="135">
        <v>45017</v>
      </c>
      <c r="CE138" s="138">
        <v>90.1</v>
      </c>
      <c r="CF138" s="138">
        <v>77</v>
      </c>
      <c r="CG138" s="138" t="str">
        <f t="shared" si="99"/>
        <v/>
      </c>
      <c r="CH138" s="138" t="s">
        <v>197</v>
      </c>
      <c r="CI138" s="127">
        <v>6</v>
      </c>
      <c r="CJ138" s="138"/>
      <c r="CK138" s="138"/>
      <c r="CL138" s="99"/>
      <c r="CM138" s="99"/>
      <c r="CN138" s="140">
        <v>33</v>
      </c>
      <c r="CO138" s="141">
        <f t="shared" si="61"/>
        <v>2.7170000000000001</v>
      </c>
      <c r="CP138" s="142">
        <v>3.25</v>
      </c>
      <c r="CQ138" s="143">
        <v>0</v>
      </c>
      <c r="CR138" s="138">
        <v>14</v>
      </c>
      <c r="CS138" s="139">
        <v>4.2</v>
      </c>
      <c r="CT138" s="138"/>
      <c r="CU138" s="138">
        <f t="shared" si="62"/>
        <v>9.8000000000000007</v>
      </c>
      <c r="CV138" s="115">
        <f t="shared" si="63"/>
        <v>3606.9193963930807</v>
      </c>
      <c r="CW138" s="115">
        <f t="shared" si="64"/>
        <v>1545.8225984541775</v>
      </c>
      <c r="CX138" s="133">
        <f t="shared" si="65"/>
        <v>5.6917688266199654E-2</v>
      </c>
      <c r="CY138" s="116"/>
      <c r="CZ138" s="131"/>
      <c r="DA138" s="145" t="str">
        <f t="shared" si="66"/>
        <v>Газлифт</v>
      </c>
      <c r="DB138" s="146">
        <f t="shared" si="67"/>
        <v>2.7170000000000001</v>
      </c>
      <c r="DC138" s="142">
        <f t="shared" si="68"/>
        <v>3.25</v>
      </c>
      <c r="DD138" s="119">
        <f t="shared" si="69"/>
        <v>0</v>
      </c>
      <c r="DE138" s="115">
        <f t="shared" si="70"/>
        <v>9.8000000000000007</v>
      </c>
      <c r="DF138" s="121">
        <f t="shared" si="71"/>
        <v>4.2</v>
      </c>
      <c r="DG138" s="115">
        <f t="shared" si="72"/>
        <v>3606.9193963930807</v>
      </c>
      <c r="DH138" s="115">
        <f t="shared" si="73"/>
        <v>33</v>
      </c>
      <c r="DI138" s="147"/>
      <c r="DJ138" s="111">
        <v>43540</v>
      </c>
      <c r="DK138" s="112">
        <v>44187</v>
      </c>
      <c r="DL138" s="113">
        <f t="shared" ca="1" si="87"/>
        <v>917</v>
      </c>
      <c r="DM138" s="114"/>
      <c r="DN138" s="114"/>
      <c r="DO138" s="114"/>
      <c r="DP138" s="114"/>
      <c r="DQ138" s="112">
        <v>42276</v>
      </c>
      <c r="DR138" s="114" t="s">
        <v>282</v>
      </c>
      <c r="DS138" s="114"/>
      <c r="DT138" s="115">
        <v>38</v>
      </c>
      <c r="DU138" s="116">
        <f t="shared" si="88"/>
        <v>6.2380038387715935E-2</v>
      </c>
      <c r="DV138" s="117">
        <f t="shared" si="89"/>
        <v>2.7170000000000001</v>
      </c>
      <c r="DW138" s="118">
        <f t="shared" si="90"/>
        <v>3.25</v>
      </c>
      <c r="DX138" s="119">
        <f t="shared" si="74"/>
        <v>0</v>
      </c>
      <c r="DY138" s="115">
        <f t="shared" si="91"/>
        <v>9.8000000000000007</v>
      </c>
      <c r="DZ138" s="117">
        <f t="shared" si="92"/>
        <v>0</v>
      </c>
      <c r="EA138" s="120">
        <f t="shared" si="92"/>
        <v>0</v>
      </c>
      <c r="EB138" s="119">
        <f t="shared" si="92"/>
        <v>0</v>
      </c>
      <c r="EC138" s="121">
        <f t="shared" si="93"/>
        <v>0</v>
      </c>
      <c r="ED138" s="122"/>
      <c r="EE138" s="145">
        <v>18</v>
      </c>
      <c r="EF138" s="115">
        <v>20</v>
      </c>
      <c r="EG138" s="115">
        <v>36</v>
      </c>
      <c r="EH138" s="115">
        <v>19</v>
      </c>
      <c r="EI138" s="128" t="s">
        <v>218</v>
      </c>
      <c r="EJ138" s="121">
        <v>24</v>
      </c>
      <c r="EK138" s="121">
        <v>24</v>
      </c>
      <c r="EL138" s="149">
        <v>2.7170000000000001</v>
      </c>
      <c r="EM138" s="142">
        <v>3.25</v>
      </c>
      <c r="EN138" s="119">
        <v>0</v>
      </c>
      <c r="EO138" s="115">
        <v>14</v>
      </c>
      <c r="EP138" s="115">
        <v>3606.9193963930807</v>
      </c>
      <c r="EQ138" s="115">
        <v>77</v>
      </c>
      <c r="ER138" s="115">
        <v>4.2</v>
      </c>
      <c r="ES138" s="115">
        <v>33</v>
      </c>
      <c r="ET138" s="150">
        <v>5.6917688266199654E-2</v>
      </c>
      <c r="EU138" s="145">
        <f t="shared" si="75"/>
        <v>18</v>
      </c>
      <c r="EV138" s="115">
        <f t="shared" si="76"/>
        <v>20</v>
      </c>
      <c r="EW138" s="115">
        <f t="shared" si="76"/>
        <v>36</v>
      </c>
      <c r="EX138" s="115">
        <f t="shared" si="76"/>
        <v>19</v>
      </c>
      <c r="EY138" s="115" t="str">
        <f t="shared" si="98"/>
        <v>Периодический</v>
      </c>
      <c r="EZ138" s="115">
        <f t="shared" si="98"/>
        <v>24</v>
      </c>
      <c r="FA138" s="115">
        <f t="shared" si="98"/>
        <v>24</v>
      </c>
      <c r="FB138" s="149">
        <f t="shared" si="78"/>
        <v>2.7170000000000001</v>
      </c>
      <c r="FC138" s="142">
        <f t="shared" si="78"/>
        <v>3.25</v>
      </c>
      <c r="FD138" s="119">
        <f t="shared" si="78"/>
        <v>0</v>
      </c>
      <c r="FE138" s="121">
        <f t="shared" si="78"/>
        <v>14</v>
      </c>
      <c r="FF138" s="121">
        <f t="shared" si="94"/>
        <v>3606.9193963930807</v>
      </c>
      <c r="FG138" s="121">
        <f t="shared" si="79"/>
        <v>77</v>
      </c>
      <c r="FH138" s="121">
        <f t="shared" si="95"/>
        <v>4.2</v>
      </c>
      <c r="FI138" s="121">
        <f t="shared" si="97"/>
        <v>33</v>
      </c>
      <c r="FJ138" s="144">
        <f t="shared" si="80"/>
        <v>5.6917688266199654E-2</v>
      </c>
      <c r="FK138" s="132">
        <f t="shared" si="81"/>
        <v>0</v>
      </c>
      <c r="FL138" s="115">
        <f t="shared" si="81"/>
        <v>0</v>
      </c>
      <c r="FM138" s="115">
        <f t="shared" si="81"/>
        <v>0</v>
      </c>
      <c r="FN138" s="115">
        <f t="shared" si="58"/>
        <v>0</v>
      </c>
      <c r="FO138" s="115">
        <f t="shared" si="100"/>
        <v>0</v>
      </c>
      <c r="FP138" s="115">
        <f t="shared" si="100"/>
        <v>0</v>
      </c>
      <c r="FQ138" s="149">
        <f t="shared" si="100"/>
        <v>0</v>
      </c>
      <c r="FR138" s="142">
        <f t="shared" si="100"/>
        <v>0</v>
      </c>
      <c r="FS138" s="119">
        <f t="shared" si="100"/>
        <v>0</v>
      </c>
      <c r="FT138" s="121">
        <f t="shared" si="100"/>
        <v>0</v>
      </c>
      <c r="FU138" s="121">
        <f t="shared" si="82"/>
        <v>0</v>
      </c>
      <c r="FV138" s="121">
        <f t="shared" si="82"/>
        <v>0</v>
      </c>
      <c r="FW138" s="121">
        <f t="shared" si="83"/>
        <v>0</v>
      </c>
      <c r="FX138" s="121">
        <f t="shared" si="84"/>
        <v>0</v>
      </c>
      <c r="FY138" s="144">
        <f t="shared" si="84"/>
        <v>0</v>
      </c>
      <c r="FZ138" s="145"/>
      <c r="GA138" s="151" t="s">
        <v>283</v>
      </c>
      <c r="GB138" s="145"/>
      <c r="GC138" s="151" t="s">
        <v>420</v>
      </c>
      <c r="GD138" s="997" t="s">
        <v>238</v>
      </c>
      <c r="GE138" s="1004"/>
      <c r="GF138" s="1004">
        <v>0</v>
      </c>
      <c r="GG138" s="1004"/>
      <c r="GH138" s="1004">
        <v>0</v>
      </c>
      <c r="GI138" s="145"/>
      <c r="GJ138" s="996">
        <v>0</v>
      </c>
      <c r="GK138" s="145"/>
      <c r="GL138" s="996">
        <v>0.45979999999999999</v>
      </c>
      <c r="GM138" s="1005"/>
      <c r="GN138" s="996">
        <v>0</v>
      </c>
      <c r="GO138" s="1006"/>
      <c r="GP138" s="996">
        <v>0</v>
      </c>
      <c r="GQ138" s="1006"/>
      <c r="GR138" s="996">
        <v>0</v>
      </c>
      <c r="GS138" s="1006"/>
      <c r="GT138" s="996">
        <v>0</v>
      </c>
      <c r="GU138" s="1006"/>
      <c r="GV138" s="996">
        <v>0</v>
      </c>
      <c r="GW138" s="1006"/>
      <c r="GX138" s="997">
        <v>0</v>
      </c>
      <c r="GY138" s="1006"/>
      <c r="GZ138" s="996">
        <v>0</v>
      </c>
      <c r="HA138" s="1006"/>
      <c r="HB138" s="996">
        <v>0</v>
      </c>
      <c r="HC138" s="1006"/>
      <c r="HD138" s="996">
        <v>0</v>
      </c>
      <c r="HE138" s="1006"/>
      <c r="HF138" s="996">
        <v>0</v>
      </c>
      <c r="HG138" s="1006" t="s">
        <v>204</v>
      </c>
      <c r="HH138" s="996">
        <v>-3.0158699999999996</v>
      </c>
      <c r="HI138" s="1006"/>
      <c r="HJ138" s="996">
        <v>0</v>
      </c>
      <c r="HK138" s="1006"/>
      <c r="HL138" s="996">
        <v>0</v>
      </c>
      <c r="HM138" s="1006"/>
      <c r="HN138" s="996">
        <v>0</v>
      </c>
      <c r="HO138" s="1006"/>
      <c r="HP138" s="996">
        <v>0.14061520000000005</v>
      </c>
      <c r="HQ138" s="1006" t="s">
        <v>204</v>
      </c>
      <c r="HR138" s="996">
        <v>-10.4785912</v>
      </c>
      <c r="HS138" s="1006"/>
      <c r="HT138" s="996">
        <v>0</v>
      </c>
      <c r="HU138" s="1006"/>
      <c r="HV138" s="996">
        <v>0</v>
      </c>
      <c r="HW138" s="1006" t="s">
        <v>25</v>
      </c>
      <c r="HX138" s="996">
        <v>12.129323360000001</v>
      </c>
      <c r="HY138" s="1006" t="s">
        <v>221</v>
      </c>
      <c r="HZ138" s="996">
        <v>-4.7369933600000005</v>
      </c>
      <c r="IA138" s="1006" t="s">
        <v>199</v>
      </c>
      <c r="IB138" s="996">
        <v>1.4680160000000013</v>
      </c>
      <c r="IC138" s="1006" t="s">
        <v>204</v>
      </c>
      <c r="ID138" s="996">
        <v>-2.5654176336800001</v>
      </c>
      <c r="IE138" s="1006"/>
      <c r="IF138" s="996">
        <v>0</v>
      </c>
      <c r="IG138" s="1006"/>
      <c r="IH138" s="996">
        <v>0</v>
      </c>
      <c r="II138" s="1006"/>
      <c r="IJ138" s="996">
        <v>0</v>
      </c>
      <c r="IK138" s="1006" t="s">
        <v>239</v>
      </c>
      <c r="IL138" s="996">
        <v>2.8840673936799996</v>
      </c>
      <c r="IM138" s="1006"/>
      <c r="IN138" s="996">
        <v>0</v>
      </c>
      <c r="IO138" s="1006"/>
      <c r="IP138" s="996">
        <v>0</v>
      </c>
      <c r="IQ138" s="1006"/>
      <c r="IR138" s="996">
        <v>0</v>
      </c>
      <c r="IS138" s="1006"/>
      <c r="IT138" s="996">
        <v>0</v>
      </c>
      <c r="IU138" s="1006"/>
      <c r="IV138" s="996">
        <v>0</v>
      </c>
      <c r="IW138" s="1006"/>
      <c r="IX138" s="996">
        <v>0</v>
      </c>
      <c r="IY138" s="1006"/>
      <c r="IZ138" s="996">
        <v>0</v>
      </c>
      <c r="JA138" s="1006"/>
      <c r="JB138" s="996">
        <v>0</v>
      </c>
      <c r="JC138" s="1006"/>
      <c r="JD138" s="996">
        <v>0</v>
      </c>
      <c r="JE138" s="1006"/>
      <c r="JF138" s="996">
        <v>0</v>
      </c>
      <c r="JG138" s="1006"/>
      <c r="JH138" s="996">
        <v>0</v>
      </c>
      <c r="JI138" s="1006" t="s">
        <v>204</v>
      </c>
      <c r="JJ138" s="996">
        <v>2.4260720000000005</v>
      </c>
      <c r="JK138" s="1007"/>
      <c r="JL138" s="1007">
        <v>0</v>
      </c>
      <c r="JM138" s="1007"/>
      <c r="JN138" s="1007">
        <v>0</v>
      </c>
      <c r="JO138" s="1008"/>
      <c r="JP138" s="1007">
        <v>0</v>
      </c>
      <c r="JQ138" s="1008">
        <v>0</v>
      </c>
      <c r="JR138" s="1007">
        <v>0</v>
      </c>
      <c r="JS138" s="1008" t="s">
        <v>204</v>
      </c>
      <c r="JT138" s="1007">
        <v>2.3223578399999996</v>
      </c>
      <c r="JU138" s="1008"/>
      <c r="JV138" s="1007">
        <v>0</v>
      </c>
      <c r="JW138" s="1008" t="s">
        <v>197</v>
      </c>
      <c r="JX138" s="1007">
        <v>0</v>
      </c>
      <c r="JY138" s="1008"/>
      <c r="JZ138" s="1007">
        <v>0</v>
      </c>
      <c r="KA138" s="1008"/>
      <c r="KB138" s="1007">
        <v>0</v>
      </c>
      <c r="KC138" s="1008" t="s">
        <v>206</v>
      </c>
      <c r="KD138" s="1007">
        <v>-4.9241235999999997</v>
      </c>
      <c r="KE138" s="1008" t="s">
        <v>204</v>
      </c>
      <c r="KF138" s="1007">
        <v>0.1203839999999996</v>
      </c>
      <c r="KG138" s="1008" t="s">
        <v>204</v>
      </c>
      <c r="KH138" s="1007">
        <v>-0.20063999999999993</v>
      </c>
      <c r="KI138" s="1008"/>
      <c r="KJ138" s="1007">
        <v>0</v>
      </c>
      <c r="KK138" s="1008"/>
      <c r="KL138" s="1007">
        <v>0</v>
      </c>
      <c r="KM138" s="1008" t="s">
        <v>206</v>
      </c>
      <c r="KN138" s="1007">
        <v>-0.8360000000000003</v>
      </c>
      <c r="KO138" s="1008"/>
      <c r="KP138" s="1007">
        <v>0</v>
      </c>
      <c r="KQ138" s="1008">
        <v>0</v>
      </c>
      <c r="KR138" s="1007">
        <v>0</v>
      </c>
      <c r="KS138" s="1008">
        <v>0</v>
      </c>
      <c r="KT138" s="1007">
        <v>0</v>
      </c>
      <c r="KU138" s="1008" t="s">
        <v>260</v>
      </c>
      <c r="KV138" s="1007">
        <v>7.524</v>
      </c>
      <c r="KW138" s="1008">
        <v>0</v>
      </c>
      <c r="KX138" s="1007">
        <v>0</v>
      </c>
      <c r="KY138" s="1008">
        <v>0</v>
      </c>
      <c r="KZ138" s="1007">
        <v>0</v>
      </c>
      <c r="LA138" s="1008">
        <v>0</v>
      </c>
      <c r="LB138" s="1007">
        <v>0</v>
      </c>
      <c r="LC138" s="1008">
        <v>0</v>
      </c>
      <c r="LD138" s="1007">
        <v>0</v>
      </c>
      <c r="LE138" s="1008">
        <v>0</v>
      </c>
      <c r="LF138" s="1007">
        <v>0</v>
      </c>
      <c r="LG138" s="1008">
        <v>0</v>
      </c>
      <c r="LH138" s="1007">
        <v>-5.8484887999999993</v>
      </c>
      <c r="LI138" s="1008">
        <v>0</v>
      </c>
      <c r="LJ138" s="1007">
        <v>0</v>
      </c>
      <c r="LK138" s="1008">
        <v>0</v>
      </c>
      <c r="LL138" s="1007">
        <v>0</v>
      </c>
      <c r="LM138" s="1008">
        <v>0</v>
      </c>
      <c r="LN138" s="1007">
        <v>-0.51800999999999997</v>
      </c>
      <c r="LO138" s="1008">
        <v>0</v>
      </c>
      <c r="LP138" s="1007">
        <v>0</v>
      </c>
      <c r="LQ138" s="1008">
        <v>0</v>
      </c>
      <c r="LR138" s="1007">
        <v>0</v>
      </c>
      <c r="LS138" s="1008">
        <v>0</v>
      </c>
      <c r="LT138" s="1007">
        <v>0</v>
      </c>
      <c r="LU138" s="1008">
        <v>0</v>
      </c>
      <c r="LV138" s="1007">
        <v>0</v>
      </c>
      <c r="LW138" s="1008">
        <v>0</v>
      </c>
      <c r="LX138" s="1007">
        <v>0.57886987999998996</v>
      </c>
      <c r="LY138" s="1009" t="s">
        <v>207</v>
      </c>
      <c r="LZ138" s="1010">
        <v>1.4539432000000001</v>
      </c>
      <c r="MA138" s="1011" t="s">
        <v>206</v>
      </c>
      <c r="MB138" s="1012">
        <v>-1.51242432</v>
      </c>
      <c r="MC138" s="995"/>
      <c r="MD138" s="996"/>
      <c r="ME138" s="997" t="s">
        <v>238</v>
      </c>
      <c r="MF138" s="997"/>
      <c r="MG138" s="998"/>
      <c r="NR138" s="1000"/>
      <c r="NS138" s="1000"/>
      <c r="NT138" s="1001"/>
      <c r="NU138" s="1000"/>
      <c r="NV138" s="1001"/>
      <c r="NX138" s="1002"/>
      <c r="NZ138" s="1001"/>
      <c r="OA138" s="1001"/>
      <c r="OC138" s="1003"/>
      <c r="OD138" s="1003"/>
      <c r="OE138" s="1001"/>
      <c r="OF138" s="1003"/>
      <c r="OG138" s="1003"/>
      <c r="QX138" s="1000">
        <f t="shared" si="96"/>
        <v>13</v>
      </c>
      <c r="ASU138" s="999" t="s">
        <v>225</v>
      </c>
    </row>
    <row r="139" spans="1:466 1191:1191" ht="21" customHeight="1" x14ac:dyDescent="0.25">
      <c r="A139" s="982" t="str">
        <f t="shared" si="59"/>
        <v>1049-2</v>
      </c>
      <c r="B139" s="124">
        <f>SUBTOTAL(103,$J$29:J139)</f>
        <v>111</v>
      </c>
      <c r="C139" s="126">
        <v>45096</v>
      </c>
      <c r="D139" s="124" t="s">
        <v>176</v>
      </c>
      <c r="E139" s="127" t="s">
        <v>177</v>
      </c>
      <c r="F139" s="128" t="s">
        <v>177</v>
      </c>
      <c r="G139" s="127" t="s">
        <v>178</v>
      </c>
      <c r="H139" s="127" t="s">
        <v>408</v>
      </c>
      <c r="I139" s="127" t="s">
        <v>456</v>
      </c>
      <c r="J139" s="152" t="s">
        <v>742</v>
      </c>
      <c r="K139" s="127" t="s">
        <v>740</v>
      </c>
      <c r="L139" s="130">
        <v>38352</v>
      </c>
      <c r="M139" s="127" t="s">
        <v>230</v>
      </c>
      <c r="N139" s="127" t="s">
        <v>231</v>
      </c>
      <c r="O139" s="127" t="s">
        <v>185</v>
      </c>
      <c r="P139" s="127" t="s">
        <v>208</v>
      </c>
      <c r="Q139" s="85" t="str">
        <f t="shared" si="85"/>
        <v/>
      </c>
      <c r="R139" s="130"/>
      <c r="S139" s="128" t="s">
        <v>156</v>
      </c>
      <c r="T139" s="131"/>
      <c r="U139" s="132">
        <v>203</v>
      </c>
      <c r="V139" s="121">
        <v>218.2</v>
      </c>
      <c r="W139" s="116">
        <v>0.98</v>
      </c>
      <c r="X139" s="116">
        <v>1.66</v>
      </c>
      <c r="Y139" s="116">
        <f t="shared" si="86"/>
        <v>0.98443589185002289</v>
      </c>
      <c r="Z139" s="133">
        <v>1.454</v>
      </c>
      <c r="AA139" s="133">
        <v>0.83599999999999997</v>
      </c>
      <c r="AB139" s="133">
        <v>0.72</v>
      </c>
      <c r="AC139" s="121">
        <v>34.299999999999997</v>
      </c>
      <c r="AD139" s="134">
        <v>1.17</v>
      </c>
      <c r="AE139" s="124">
        <v>139.69999999999999</v>
      </c>
      <c r="AF139" s="128">
        <v>7.72</v>
      </c>
      <c r="AG139" s="128">
        <v>1932</v>
      </c>
      <c r="AH139" s="127">
        <v>2303</v>
      </c>
      <c r="AI139" s="127">
        <v>2303</v>
      </c>
      <c r="AJ139" s="135"/>
      <c r="AK139" s="128"/>
      <c r="AL139" s="131"/>
      <c r="AM139" s="124" t="s">
        <v>232</v>
      </c>
      <c r="AN139" s="136" t="s">
        <v>743</v>
      </c>
      <c r="AO139" s="137">
        <v>56.7</v>
      </c>
      <c r="AP139" s="128">
        <v>1932</v>
      </c>
      <c r="AQ139" s="128">
        <v>56.3</v>
      </c>
      <c r="AR139" s="128"/>
      <c r="AS139" s="128"/>
      <c r="AT139" s="122"/>
      <c r="AU139" s="124" t="s">
        <v>189</v>
      </c>
      <c r="AV139" s="115">
        <f>VLOOKUP(J139,'[63]ТР нефть'!$J$28:$BP$638,39,0)</f>
        <v>604.000006934</v>
      </c>
      <c r="AW139" s="115" t="str">
        <f>VLOOKUP(J139,'[63]ТР нефть'!$J$28:$BP$638,40,0)</f>
        <v>ГК 77 1/8</v>
      </c>
      <c r="AX139" s="115">
        <f>VLOOKUP(J139,'[63]ТР нефть'!$J$28:$BP$638,41,0)</f>
        <v>1062.9999714840001</v>
      </c>
      <c r="AY139" s="115" t="str">
        <f>VLOOKUP(J139,'[63]ТР нефть'!$J$28:$BP$638,42,0)</f>
        <v>ГК 77 1/8</v>
      </c>
      <c r="AZ139" s="115">
        <f>VLOOKUP(J139,'[63]ТР нефть'!$J$28:$BP$638,43,0)</f>
        <v>1421.0000730469999</v>
      </c>
      <c r="BA139" s="115" t="str">
        <f>VLOOKUP(J139,'[63]ТР нефть'!$J$28:$BP$638,44,0)</f>
        <v>ГК 77 1/8</v>
      </c>
      <c r="BB139" s="115">
        <f>VLOOKUP(J139,'[63]ТР нефть'!$J$28:$BP$638,45,0)</f>
        <v>1682.9999320310001</v>
      </c>
      <c r="BC139" s="115" t="str">
        <f>VLOOKUP(J139,'[63]ТР нефть'!$J$28:$BP$638,46,0)</f>
        <v>ГК 76 5/32</v>
      </c>
      <c r="BD139" s="115">
        <f>VLOOKUP(J139,'[63]ТР нефть'!$J$28:$BP$638,47,0)</f>
        <v>1860.000030469</v>
      </c>
      <c r="BE139" s="115" t="str">
        <f>VLOOKUP(J139,'[63]ТР нефть'!$J$28:$BP$638,48,0)</f>
        <v>ЦКсОК 5/16</v>
      </c>
      <c r="BF139" s="115" t="str">
        <f>VLOOKUP(J139,'[63]ТР нефть'!$J$28:$BP$638,49,0)</f>
        <v>-</v>
      </c>
      <c r="BG139" s="115" t="str">
        <f>VLOOKUP(J139,'[63]ТР нефть'!$J$28:$BP$638,50,0)</f>
        <v>-</v>
      </c>
      <c r="BH139" s="115" t="str">
        <f>VLOOKUP(J139,'[63]ТР нефть'!$J$28:$BP$638,51,0)</f>
        <v>-</v>
      </c>
      <c r="BI139" s="115" t="str">
        <f>VLOOKUP(J139,'[63]ТР нефть'!$J$28:$BP$638,52,0)</f>
        <v>-</v>
      </c>
      <c r="BJ139" s="115" t="str">
        <f>IF(IFERROR(VLOOKUP(J139,'[63]ТР нефть'!$J$28:$BP$638,53,0),"-")=0,"-",IFERROR(VLOOKUP(J139,'[63]ТР нефть'!$J$28:$BP$638,53,0),"-"))</f>
        <v>-</v>
      </c>
      <c r="BK139" s="138" t="str">
        <f>IF(IFERROR(VLOOKUP(J139,'[63]ТР нефть'!$J$28:$BP$638,54,0),"-")=0,"-",IFERROR(VLOOKUP(J139,'[63]ТР нефть'!$J$28:$BP$638,54,0),"-"))</f>
        <v>-</v>
      </c>
      <c r="BL139" s="138" t="str">
        <f>IF(IFERROR(VLOOKUP(J139,'[63]ТР нефть'!$J$28:$BP$638,55,0),"-")=0,"-",IFERROR(VLOOKUP(J139,'[63]ТР нефть'!$J$28:$BP$638,55,0),"-"))</f>
        <v>-</v>
      </c>
      <c r="BM139" s="138" t="str">
        <f>IF(IFERROR(VLOOKUP(J139,'[63]ТР нефть'!$J$28:$BP$638,56,0),"-")=0,"-",IFERROR(VLOOKUP(J139,'[63]ТР нефть'!$J$28:$BP$638,56,0),"-"))</f>
        <v>-</v>
      </c>
      <c r="BN139" s="138" t="str">
        <f>IF(IFERROR(VLOOKUP(J139,'[63]ТР нефть'!$J$28:$BP$638,57,0),"-")=0,"-",IFERROR(VLOOKUP(J139,'[63]ТР нефть'!$J$28:$BP$638,57,0),"-"))</f>
        <v>-</v>
      </c>
      <c r="BO139" s="115" t="str">
        <f>IF(IFERROR(VLOOKUP(J139,'[63]ТР нефть'!$J$28:$BP$638,58,0),"-")=0,"-",IFERROR(VLOOKUP(J139,'[63]ТР нефть'!$J$28:$BP$638,58,0),"-"))</f>
        <v>-</v>
      </c>
      <c r="BP139" s="115" t="str">
        <f>IF(IFERROR(VLOOKUP(J139,'[63]ТР нефть'!$J$28:$BP$638,59,0),"-")=0,"-",IFERROR(VLOOKUP(J139,'[63]ТР нефть'!$J$28:$BP$638,59,0),"-"))</f>
        <v>-</v>
      </c>
      <c r="BQ139" s="138">
        <v>2207</v>
      </c>
      <c r="BR139" s="128">
        <v>1890.3802675000002</v>
      </c>
      <c r="BS139" s="115">
        <f t="shared" si="60"/>
        <v>316.61973249999983</v>
      </c>
      <c r="BT139" s="128">
        <v>73</v>
      </c>
      <c r="BU139" s="128">
        <v>5.5</v>
      </c>
      <c r="BV139" s="127">
        <v>65</v>
      </c>
      <c r="BW139" s="127" t="s">
        <v>234</v>
      </c>
      <c r="BX139" s="127" t="s">
        <v>195</v>
      </c>
      <c r="BY139" s="139">
        <v>24</v>
      </c>
      <c r="BZ139" s="139">
        <v>0</v>
      </c>
      <c r="CA139" s="138">
        <v>23</v>
      </c>
      <c r="CB139" s="138">
        <v>33</v>
      </c>
      <c r="CC139" s="138">
        <v>22</v>
      </c>
      <c r="CD139" s="135">
        <v>45017</v>
      </c>
      <c r="CE139" s="138">
        <v>81</v>
      </c>
      <c r="CF139" s="138">
        <v>70</v>
      </c>
      <c r="CG139" s="138" t="str">
        <f t="shared" si="99"/>
        <v>В работе</v>
      </c>
      <c r="CH139" s="138" t="s">
        <v>196</v>
      </c>
      <c r="CI139" s="127">
        <v>6</v>
      </c>
      <c r="CJ139" s="138"/>
      <c r="CK139" s="138"/>
      <c r="CL139" s="99"/>
      <c r="CM139" s="99"/>
      <c r="CN139" s="140">
        <v>39</v>
      </c>
      <c r="CO139" s="141">
        <f t="shared" si="61"/>
        <v>9.5082459999999998</v>
      </c>
      <c r="CP139" s="142">
        <v>11.5</v>
      </c>
      <c r="CQ139" s="143">
        <v>1.1000000000000001</v>
      </c>
      <c r="CR139" s="138">
        <v>23.8</v>
      </c>
      <c r="CS139" s="139">
        <v>7.4</v>
      </c>
      <c r="CT139" s="138"/>
      <c r="CU139" s="138">
        <f t="shared" si="62"/>
        <v>16.399999999999999</v>
      </c>
      <c r="CV139" s="115">
        <f t="shared" si="63"/>
        <v>1724.8186468881854</v>
      </c>
      <c r="CW139" s="115">
        <f t="shared" si="64"/>
        <v>766.46345372782457</v>
      </c>
      <c r="CX139" s="133">
        <f t="shared" si="65"/>
        <v>0.27380952380952384</v>
      </c>
      <c r="CY139" s="116"/>
      <c r="CZ139" s="131"/>
      <c r="DA139" s="145" t="str">
        <f t="shared" si="66"/>
        <v>Газлифт</v>
      </c>
      <c r="DB139" s="146">
        <f t="shared" si="67"/>
        <v>9.5082459999999998</v>
      </c>
      <c r="DC139" s="142">
        <f t="shared" si="68"/>
        <v>11.5</v>
      </c>
      <c r="DD139" s="119">
        <f t="shared" si="69"/>
        <v>1.1000000000000001</v>
      </c>
      <c r="DE139" s="115">
        <f t="shared" si="70"/>
        <v>16.399999999999999</v>
      </c>
      <c r="DF139" s="121">
        <f t="shared" si="71"/>
        <v>7.4</v>
      </c>
      <c r="DG139" s="115">
        <f t="shared" si="72"/>
        <v>1724.8186468881854</v>
      </c>
      <c r="DH139" s="115">
        <f t="shared" si="73"/>
        <v>39</v>
      </c>
      <c r="DI139" s="147"/>
      <c r="DJ139" s="111" t="s">
        <v>197</v>
      </c>
      <c r="DK139" s="112">
        <v>43898</v>
      </c>
      <c r="DL139" s="113">
        <f t="shared" ca="1" si="87"/>
        <v>1206</v>
      </c>
      <c r="DM139" s="114"/>
      <c r="DN139" s="114"/>
      <c r="DO139" s="114"/>
      <c r="DP139" s="114"/>
      <c r="DQ139" s="112">
        <v>41433</v>
      </c>
      <c r="DR139" s="114" t="s">
        <v>589</v>
      </c>
      <c r="DS139" s="114"/>
      <c r="DT139" s="115">
        <v>44</v>
      </c>
      <c r="DU139" s="116">
        <f t="shared" si="88"/>
        <v>0.3108108108108108</v>
      </c>
      <c r="DV139" s="117">
        <f t="shared" si="89"/>
        <v>9.5082459999999998</v>
      </c>
      <c r="DW139" s="118">
        <f t="shared" si="90"/>
        <v>11.5</v>
      </c>
      <c r="DX139" s="119">
        <f t="shared" si="74"/>
        <v>1.1000000000000001</v>
      </c>
      <c r="DY139" s="115">
        <f t="shared" si="91"/>
        <v>16.399999999999999</v>
      </c>
      <c r="DZ139" s="117">
        <f t="shared" si="92"/>
        <v>0</v>
      </c>
      <c r="EA139" s="120">
        <f t="shared" si="92"/>
        <v>0</v>
      </c>
      <c r="EB139" s="119">
        <f t="shared" si="92"/>
        <v>0</v>
      </c>
      <c r="EC139" s="121">
        <f t="shared" si="93"/>
        <v>0</v>
      </c>
      <c r="ED139" s="122"/>
      <c r="EE139" s="145">
        <v>65</v>
      </c>
      <c r="EF139" s="115">
        <v>23</v>
      </c>
      <c r="EG139" s="115">
        <v>33</v>
      </c>
      <c r="EH139" s="115">
        <v>22</v>
      </c>
      <c r="EI139" s="128" t="s">
        <v>195</v>
      </c>
      <c r="EJ139" s="121">
        <v>24</v>
      </c>
      <c r="EK139" s="121">
        <v>0</v>
      </c>
      <c r="EL139" s="149">
        <v>9.5082459999999998</v>
      </c>
      <c r="EM139" s="142">
        <v>11.5</v>
      </c>
      <c r="EN139" s="119">
        <v>1.1000000000000001</v>
      </c>
      <c r="EO139" s="115">
        <v>23.8</v>
      </c>
      <c r="EP139" s="115">
        <v>1724.8186468881854</v>
      </c>
      <c r="EQ139" s="115">
        <v>70</v>
      </c>
      <c r="ER139" s="115">
        <v>7.4</v>
      </c>
      <c r="ES139" s="115">
        <v>39</v>
      </c>
      <c r="ET139" s="150">
        <v>0.27380952380952384</v>
      </c>
      <c r="EU139" s="145">
        <f t="shared" si="75"/>
        <v>65</v>
      </c>
      <c r="EV139" s="115">
        <f t="shared" si="76"/>
        <v>23</v>
      </c>
      <c r="EW139" s="115">
        <f t="shared" si="76"/>
        <v>33</v>
      </c>
      <c r="EX139" s="115">
        <f t="shared" si="76"/>
        <v>22</v>
      </c>
      <c r="EY139" s="115" t="str">
        <f t="shared" si="98"/>
        <v>Постоянный</v>
      </c>
      <c r="EZ139" s="115">
        <f t="shared" si="98"/>
        <v>24</v>
      </c>
      <c r="FA139" s="115">
        <f t="shared" si="98"/>
        <v>0</v>
      </c>
      <c r="FB139" s="149">
        <f t="shared" si="78"/>
        <v>9.5082459999999998</v>
      </c>
      <c r="FC139" s="142">
        <f t="shared" si="78"/>
        <v>11.5</v>
      </c>
      <c r="FD139" s="119">
        <f t="shared" si="78"/>
        <v>1.1000000000000001</v>
      </c>
      <c r="FE139" s="121">
        <f t="shared" si="78"/>
        <v>23.8</v>
      </c>
      <c r="FF139" s="121">
        <f t="shared" si="94"/>
        <v>1724.8186468881854</v>
      </c>
      <c r="FG139" s="121">
        <f t="shared" si="79"/>
        <v>70</v>
      </c>
      <c r="FH139" s="121">
        <f t="shared" si="95"/>
        <v>7.4</v>
      </c>
      <c r="FI139" s="121">
        <f t="shared" si="97"/>
        <v>39</v>
      </c>
      <c r="FJ139" s="144">
        <f t="shared" si="80"/>
        <v>0.27380952380952384</v>
      </c>
      <c r="FK139" s="132">
        <f t="shared" si="81"/>
        <v>0</v>
      </c>
      <c r="FL139" s="115">
        <f t="shared" si="81"/>
        <v>0</v>
      </c>
      <c r="FM139" s="115">
        <f t="shared" si="81"/>
        <v>0</v>
      </c>
      <c r="FN139" s="115">
        <f t="shared" si="58"/>
        <v>0</v>
      </c>
      <c r="FO139" s="115">
        <f t="shared" si="100"/>
        <v>0</v>
      </c>
      <c r="FP139" s="115">
        <f t="shared" si="100"/>
        <v>0</v>
      </c>
      <c r="FQ139" s="149">
        <f t="shared" si="100"/>
        <v>0</v>
      </c>
      <c r="FR139" s="142">
        <f t="shared" si="100"/>
        <v>0</v>
      </c>
      <c r="FS139" s="119">
        <f t="shared" si="100"/>
        <v>0</v>
      </c>
      <c r="FT139" s="121">
        <f t="shared" si="100"/>
        <v>0</v>
      </c>
      <c r="FU139" s="121">
        <f t="shared" si="82"/>
        <v>0</v>
      </c>
      <c r="FV139" s="121">
        <f t="shared" si="82"/>
        <v>0</v>
      </c>
      <c r="FW139" s="121">
        <f t="shared" si="83"/>
        <v>0</v>
      </c>
      <c r="FX139" s="121">
        <f t="shared" si="84"/>
        <v>0</v>
      </c>
      <c r="FY139" s="144">
        <f t="shared" si="84"/>
        <v>0</v>
      </c>
      <c r="FZ139" s="145"/>
      <c r="GA139" s="151" t="s">
        <v>744</v>
      </c>
      <c r="GB139" s="145" t="s">
        <v>204</v>
      </c>
      <c r="GC139" s="151" t="s">
        <v>745</v>
      </c>
      <c r="GD139" s="997" t="s">
        <v>238</v>
      </c>
      <c r="GE139" s="1004" t="s">
        <v>204</v>
      </c>
      <c r="GF139" s="1004">
        <v>-2.6973539999999989</v>
      </c>
      <c r="GG139" s="1004"/>
      <c r="GH139" s="1004">
        <v>0</v>
      </c>
      <c r="GI139" s="145" t="s">
        <v>204</v>
      </c>
      <c r="GJ139" s="996">
        <v>2.3743403199999982</v>
      </c>
      <c r="GK139" s="145"/>
      <c r="GL139" s="996">
        <v>0</v>
      </c>
      <c r="GM139" s="1005"/>
      <c r="GN139" s="996">
        <v>9.0956800000000726E-2</v>
      </c>
      <c r="GO139" s="1006"/>
      <c r="GP139" s="996">
        <v>0</v>
      </c>
      <c r="GQ139" s="1006"/>
      <c r="GR139" s="996">
        <v>0</v>
      </c>
      <c r="GS139" s="1006"/>
      <c r="GT139" s="996">
        <v>0</v>
      </c>
      <c r="GU139" s="1006"/>
      <c r="GV139" s="996">
        <v>0</v>
      </c>
      <c r="GW139" s="1006"/>
      <c r="GX139" s="997">
        <v>0</v>
      </c>
      <c r="GY139" s="1006"/>
      <c r="GZ139" s="996">
        <v>0</v>
      </c>
      <c r="HA139" s="1006" t="s">
        <v>204</v>
      </c>
      <c r="HB139" s="996">
        <v>-3.0396959999999993</v>
      </c>
      <c r="HC139" s="1006"/>
      <c r="HD139" s="996">
        <v>0</v>
      </c>
      <c r="HE139" s="1006"/>
      <c r="HF139" s="996">
        <v>0</v>
      </c>
      <c r="HG139" s="1006" t="s">
        <v>204</v>
      </c>
      <c r="HH139" s="996">
        <v>-3.5948000000000011</v>
      </c>
      <c r="HI139" s="1006"/>
      <c r="HJ139" s="996">
        <v>0</v>
      </c>
      <c r="HK139" s="1006"/>
      <c r="HL139" s="996">
        <v>0</v>
      </c>
      <c r="HM139" s="1006"/>
      <c r="HN139" s="996">
        <v>0</v>
      </c>
      <c r="HO139" s="1006"/>
      <c r="HP139" s="996">
        <v>0</v>
      </c>
      <c r="HQ139" s="1006" t="s">
        <v>204</v>
      </c>
      <c r="HR139" s="996">
        <v>2.257200000000001</v>
      </c>
      <c r="HS139" s="1006"/>
      <c r="HT139" s="996">
        <v>0</v>
      </c>
      <c r="HU139" s="1006"/>
      <c r="HV139" s="996">
        <v>0.91959999999999908</v>
      </c>
      <c r="HW139" s="1006"/>
      <c r="HX139" s="996">
        <v>-0.75239999999999974</v>
      </c>
      <c r="HY139" s="1006"/>
      <c r="HZ139" s="996">
        <v>-0.8360000000000003</v>
      </c>
      <c r="IA139" s="1006" t="s">
        <v>204</v>
      </c>
      <c r="IB139" s="996">
        <v>-8.6107999999999976</v>
      </c>
      <c r="IC139" s="1006"/>
      <c r="ID139" s="996">
        <v>-0.74236800000000258</v>
      </c>
      <c r="IE139" s="1006"/>
      <c r="IF139" s="996">
        <v>0</v>
      </c>
      <c r="IG139" s="1006"/>
      <c r="IH139" s="996">
        <v>0</v>
      </c>
      <c r="II139" s="1006"/>
      <c r="IJ139" s="996">
        <v>-1.0023639999999965</v>
      </c>
      <c r="IK139" s="1006"/>
      <c r="IL139" s="996">
        <v>0.89201199999999758</v>
      </c>
      <c r="IM139" s="1006"/>
      <c r="IN139" s="996">
        <v>0</v>
      </c>
      <c r="IO139" s="1006"/>
      <c r="IP139" s="996">
        <v>0</v>
      </c>
      <c r="IQ139" s="1006"/>
      <c r="IR139" s="996">
        <v>0</v>
      </c>
      <c r="IS139" s="1006"/>
      <c r="IT139" s="996">
        <v>0</v>
      </c>
      <c r="IU139" s="1006"/>
      <c r="IV139" s="996">
        <v>0</v>
      </c>
      <c r="IW139" s="1006" t="s">
        <v>203</v>
      </c>
      <c r="IX139" s="996">
        <v>-4.7624130100799995</v>
      </c>
      <c r="IY139" s="1006"/>
      <c r="IZ139" s="996">
        <v>0</v>
      </c>
      <c r="JA139" s="1006"/>
      <c r="JB139" s="996">
        <v>0</v>
      </c>
      <c r="JC139" s="1006" t="s">
        <v>25</v>
      </c>
      <c r="JD139" s="996">
        <v>19.41428277008</v>
      </c>
      <c r="JE139" s="1006"/>
      <c r="JF139" s="996">
        <v>0</v>
      </c>
      <c r="JG139" s="1006"/>
      <c r="JH139" s="996">
        <v>0</v>
      </c>
      <c r="JI139" s="1006" t="s">
        <v>204</v>
      </c>
      <c r="JJ139" s="996">
        <v>2.4260720000000005</v>
      </c>
      <c r="JK139" s="1007"/>
      <c r="JL139" s="1007">
        <v>0</v>
      </c>
      <c r="JM139" s="1007"/>
      <c r="JN139" s="1007">
        <v>0</v>
      </c>
      <c r="JO139" s="1008"/>
      <c r="JP139" s="1007">
        <v>0</v>
      </c>
      <c r="JQ139" s="1008">
        <v>0</v>
      </c>
      <c r="JR139" s="1007">
        <v>0</v>
      </c>
      <c r="JS139" s="1008" t="s">
        <v>204</v>
      </c>
      <c r="JT139" s="1007">
        <v>2.3434250399999996</v>
      </c>
      <c r="JU139" s="1008"/>
      <c r="JV139" s="1007">
        <v>0</v>
      </c>
      <c r="JW139" s="1008" t="s">
        <v>197</v>
      </c>
      <c r="JX139" s="1007">
        <v>0</v>
      </c>
      <c r="JY139" s="1008"/>
      <c r="JZ139" s="1007">
        <v>0</v>
      </c>
      <c r="KA139" s="1008"/>
      <c r="KB139" s="1007">
        <v>0</v>
      </c>
      <c r="KC139" s="1008" t="s">
        <v>204</v>
      </c>
      <c r="KD139" s="1007">
        <v>-5.3581747999999996</v>
      </c>
      <c r="KE139" s="1008" t="s">
        <v>204</v>
      </c>
      <c r="KF139" s="1007">
        <v>0.12790799999999969</v>
      </c>
      <c r="KG139" s="1008" t="s">
        <v>204</v>
      </c>
      <c r="KH139" s="1007">
        <v>-0.21318000000000037</v>
      </c>
      <c r="KI139" s="1008"/>
      <c r="KJ139" s="1007">
        <v>0</v>
      </c>
      <c r="KK139" s="1008"/>
      <c r="KL139" s="1007">
        <v>0</v>
      </c>
      <c r="KM139" s="1008" t="s">
        <v>206</v>
      </c>
      <c r="KN139" s="1007">
        <v>-0.75239999999999974</v>
      </c>
      <c r="KO139" s="1008"/>
      <c r="KP139" s="1007">
        <v>0</v>
      </c>
      <c r="KQ139" s="1008">
        <v>0</v>
      </c>
      <c r="KR139" s="1007">
        <v>0</v>
      </c>
      <c r="KS139" s="1008">
        <v>0</v>
      </c>
      <c r="KT139" s="1007">
        <v>0</v>
      </c>
      <c r="KU139" s="1008" t="s">
        <v>476</v>
      </c>
      <c r="KV139" s="1007">
        <v>7.8583999999999996</v>
      </c>
      <c r="KW139" s="1008">
        <v>0</v>
      </c>
      <c r="KX139" s="1007">
        <v>0</v>
      </c>
      <c r="KY139" s="1008">
        <v>0</v>
      </c>
      <c r="KZ139" s="1007">
        <v>0</v>
      </c>
      <c r="LA139" s="1008">
        <v>0</v>
      </c>
      <c r="LB139" s="1007">
        <v>0</v>
      </c>
      <c r="LC139" s="1008">
        <v>0</v>
      </c>
      <c r="LD139" s="1007">
        <v>0</v>
      </c>
      <c r="LE139" s="1008">
        <v>0</v>
      </c>
      <c r="LF139" s="1007">
        <v>0</v>
      </c>
      <c r="LG139" s="1008">
        <v>0</v>
      </c>
      <c r="LH139" s="1007">
        <v>-6.1197695999999997</v>
      </c>
      <c r="LI139" s="1008">
        <v>0</v>
      </c>
      <c r="LJ139" s="1007">
        <v>0</v>
      </c>
      <c r="LK139" s="1008">
        <v>0</v>
      </c>
      <c r="LL139" s="1007">
        <v>0</v>
      </c>
      <c r="LM139" s="1008">
        <v>0</v>
      </c>
      <c r="LN139" s="1007">
        <v>-0.53439999999999999</v>
      </c>
      <c r="LO139" s="1008">
        <v>0</v>
      </c>
      <c r="LP139" s="1007">
        <v>0</v>
      </c>
      <c r="LQ139" s="1008">
        <v>0</v>
      </c>
      <c r="LR139" s="1007">
        <v>0</v>
      </c>
      <c r="LS139" s="1008">
        <v>0</v>
      </c>
      <c r="LT139" s="1007">
        <v>0</v>
      </c>
      <c r="LU139" s="1008">
        <v>0</v>
      </c>
      <c r="LV139" s="1007">
        <v>0</v>
      </c>
      <c r="LW139" s="1008">
        <v>0</v>
      </c>
      <c r="LX139" s="1007">
        <v>0.72567711999999995</v>
      </c>
      <c r="LY139" s="1009" t="s">
        <v>207</v>
      </c>
      <c r="LZ139" s="1010">
        <v>1.1781246400000009</v>
      </c>
      <c r="MA139" s="1011" t="s">
        <v>206</v>
      </c>
      <c r="MB139" s="1012">
        <v>-0.95418932000000001</v>
      </c>
      <c r="MC139" s="995"/>
      <c r="MD139" s="996"/>
      <c r="ME139" s="997" t="s">
        <v>238</v>
      </c>
      <c r="MF139" s="997"/>
      <c r="MG139" s="998"/>
      <c r="NR139" s="1000"/>
      <c r="NS139" s="1000"/>
      <c r="NT139" s="1001"/>
      <c r="NU139" s="1000"/>
      <c r="NV139" s="1001"/>
      <c r="NX139" s="1002"/>
      <c r="NZ139" s="1001"/>
      <c r="OA139" s="1001"/>
      <c r="OC139" s="1003"/>
      <c r="OD139" s="1003"/>
      <c r="OE139" s="1001"/>
      <c r="OF139" s="1003"/>
      <c r="OG139" s="1003"/>
      <c r="QX139" s="1000">
        <f t="shared" si="96"/>
        <v>16</v>
      </c>
      <c r="ASU139" s="999" t="s">
        <v>315</v>
      </c>
    </row>
    <row r="140" spans="1:466 1191:1191" ht="21" customHeight="1" x14ac:dyDescent="0.25">
      <c r="A140" s="982">
        <f t="shared" si="59"/>
        <v>1050</v>
      </c>
      <c r="B140" s="124">
        <f>SUBTOTAL(103,$J$29:J140)</f>
        <v>112</v>
      </c>
      <c r="C140" s="126">
        <v>45068</v>
      </c>
      <c r="D140" s="124" t="s">
        <v>176</v>
      </c>
      <c r="E140" s="127" t="s">
        <v>177</v>
      </c>
      <c r="F140" s="128" t="s">
        <v>177</v>
      </c>
      <c r="G140" s="127" t="s">
        <v>178</v>
      </c>
      <c r="H140" s="127" t="s">
        <v>421</v>
      </c>
      <c r="I140" s="127" t="s">
        <v>422</v>
      </c>
      <c r="J140" s="152">
        <v>1050</v>
      </c>
      <c r="K140" s="127" t="s">
        <v>746</v>
      </c>
      <c r="L140" s="130">
        <v>40005</v>
      </c>
      <c r="M140" s="127" t="s">
        <v>183</v>
      </c>
      <c r="N140" s="127" t="s">
        <v>231</v>
      </c>
      <c r="O140" s="127" t="s">
        <v>185</v>
      </c>
      <c r="P140" s="127" t="s">
        <v>186</v>
      </c>
      <c r="Q140" s="85">
        <f t="shared" si="85"/>
        <v>-4</v>
      </c>
      <c r="R140" s="130">
        <v>42233</v>
      </c>
      <c r="S140" s="128" t="s">
        <v>747</v>
      </c>
      <c r="T140" s="131" t="s">
        <v>748</v>
      </c>
      <c r="U140" s="132">
        <v>203</v>
      </c>
      <c r="V140" s="121">
        <v>218.2</v>
      </c>
      <c r="W140" s="116">
        <v>0.98</v>
      </c>
      <c r="X140" s="116">
        <v>1.66</v>
      </c>
      <c r="Y140" s="116">
        <f t="shared" si="86"/>
        <v>1.0232579203735757</v>
      </c>
      <c r="Z140" s="133">
        <v>1.454</v>
      </c>
      <c r="AA140" s="133">
        <v>0.83599999999999997</v>
      </c>
      <c r="AB140" s="133">
        <v>0.72</v>
      </c>
      <c r="AC140" s="121">
        <v>34.299999999999997</v>
      </c>
      <c r="AD140" s="134">
        <v>1.17</v>
      </c>
      <c r="AE140" s="124">
        <v>139.69999999999999</v>
      </c>
      <c r="AF140" s="128">
        <v>7.72</v>
      </c>
      <c r="AG140" s="128">
        <v>2049</v>
      </c>
      <c r="AH140" s="127">
        <v>2049</v>
      </c>
      <c r="AI140" s="127">
        <v>2049</v>
      </c>
      <c r="AJ140" s="135"/>
      <c r="AK140" s="128"/>
      <c r="AL140" s="131"/>
      <c r="AM140" s="124" t="s">
        <v>187</v>
      </c>
      <c r="AN140" s="136" t="s">
        <v>749</v>
      </c>
      <c r="AO140" s="137">
        <v>161.80000000000001</v>
      </c>
      <c r="AP140" s="128">
        <v>1887</v>
      </c>
      <c r="AQ140" s="128">
        <v>2.76</v>
      </c>
      <c r="AR140" s="128"/>
      <c r="AS140" s="128"/>
      <c r="AT140" s="122"/>
      <c r="AU140" s="124" t="s">
        <v>189</v>
      </c>
      <c r="AV140" s="115">
        <f>VLOOKUP(J140,'[63]ТР нефть'!$J$28:$BP$638,39,0)</f>
        <v>549.99999140600005</v>
      </c>
      <c r="AW140" s="115" t="str">
        <f>VLOOKUP(J140,'[63]ТР нефть'!$J$28:$BP$638,40,0)</f>
        <v>ГП</v>
      </c>
      <c r="AX140" s="115">
        <f>VLOOKUP(J140,'[63]ТР нефть'!$J$28:$BP$638,41,0)</f>
        <v>970.00002949199995</v>
      </c>
      <c r="AY140" s="115" t="str">
        <f>VLOOKUP(J140,'[63]ТР нефть'!$J$28:$BP$638,42,0)</f>
        <v>ГП</v>
      </c>
      <c r="AZ140" s="115">
        <f>VLOOKUP(J140,'[63]ТР нефть'!$J$28:$BP$638,43,0)</f>
        <v>1299.9999796879999</v>
      </c>
      <c r="BA140" s="115" t="str">
        <f>VLOOKUP(J140,'[63]ТР нефть'!$J$28:$BP$638,44,0)</f>
        <v>ГК 82 1/8</v>
      </c>
      <c r="BB140" s="115">
        <f>VLOOKUP(J140,'[63]ТР нефть'!$J$28:$BP$638,45,0)</f>
        <v>1560.000035156</v>
      </c>
      <c r="BC140" s="115" t="str">
        <f>VLOOKUP(J140,'[63]ТР нефть'!$J$28:$BP$638,46,0)</f>
        <v>ГК 82 1/8</v>
      </c>
      <c r="BD140" s="115">
        <f>VLOOKUP(J140,'[63]ТР нефть'!$J$28:$BP$638,47,0)</f>
        <v>1769.9999425779999</v>
      </c>
      <c r="BE140" s="115" t="str">
        <f>VLOOKUP(J140,'[63]ТР нефть'!$J$28:$BP$638,48,0)</f>
        <v>ЦКсОК 5/16</v>
      </c>
      <c r="BF140" s="115" t="str">
        <f>VLOOKUP(J140,'[63]ТР нефть'!$J$28:$BP$638,49,0)</f>
        <v>-</v>
      </c>
      <c r="BG140" s="115" t="str">
        <f>VLOOKUP(J140,'[63]ТР нефть'!$J$28:$BP$638,50,0)</f>
        <v>-</v>
      </c>
      <c r="BH140" s="115">
        <f>VLOOKUP(J140,'[63]ТР нефть'!$J$28:$BP$638,51,0)</f>
        <v>1780</v>
      </c>
      <c r="BI140" s="115" t="str">
        <f>VLOOKUP(J140,'[63]ТР нефть'!$J$28:$BP$638,52,0)</f>
        <v>закрыт</v>
      </c>
      <c r="BJ140" s="115" t="str">
        <f>IF(IFERROR(VLOOKUP(J140,'[63]ТР нефть'!$J$28:$BP$638,53,0),"-")=0,"-",IFERROR(VLOOKUP(J140,'[63]ТР нефть'!$J$28:$BP$638,53,0),"-"))</f>
        <v>-</v>
      </c>
      <c r="BK140" s="138" t="str">
        <f>IF(IFERROR(VLOOKUP(J140,'[63]ТР нефть'!$J$28:$BP$638,54,0),"-")=0,"-",IFERROR(VLOOKUP(J140,'[63]ТР нефть'!$J$28:$BP$638,54,0),"-"))</f>
        <v>-</v>
      </c>
      <c r="BL140" s="138" t="str">
        <f>IF(IFERROR(VLOOKUP(J140,'[63]ТР нефть'!$J$28:$BP$638,55,0),"-")=0,"-",IFERROR(VLOOKUP(J140,'[63]ТР нефть'!$J$28:$BP$638,55,0),"-"))</f>
        <v>-</v>
      </c>
      <c r="BM140" s="138" t="str">
        <f>IF(IFERROR(VLOOKUP(J140,'[63]ТР нефть'!$J$28:$BP$638,56,0),"-")=0,"-",IFERROR(VLOOKUP(J140,'[63]ТР нефть'!$J$28:$BP$638,56,0),"-"))</f>
        <v>-</v>
      </c>
      <c r="BN140" s="138" t="str">
        <f>IF(IFERROR(VLOOKUP(J140,'[63]ТР нефть'!$J$28:$BP$638,57,0),"-")=0,"-",IFERROR(VLOOKUP(J140,'[63]ТР нефть'!$J$28:$BP$638,57,0),"-"))</f>
        <v>-</v>
      </c>
      <c r="BO140" s="115" t="str">
        <f>IF(IFERROR(VLOOKUP(J140,'[63]ТР нефть'!$J$28:$BP$638,58,0),"-")=0,"-",IFERROR(VLOOKUP(J140,'[63]ТР нефть'!$J$28:$BP$638,58,0),"-"))</f>
        <v>-</v>
      </c>
      <c r="BP140" s="115" t="str">
        <f>IF(IFERROR(VLOOKUP(J140,'[63]ТР нефть'!$J$28:$BP$638,59,0),"-")=0,"-",IFERROR(VLOOKUP(J140,'[63]ТР нефть'!$J$28:$BP$638,59,0),"-"))</f>
        <v>-</v>
      </c>
      <c r="BQ140" s="138">
        <v>1870</v>
      </c>
      <c r="BR140" s="128">
        <v>1867.27</v>
      </c>
      <c r="BS140" s="115">
        <f t="shared" si="60"/>
        <v>2.7300000000000182</v>
      </c>
      <c r="BT140" s="128">
        <v>73</v>
      </c>
      <c r="BU140" s="128">
        <v>5.5</v>
      </c>
      <c r="BV140" s="127">
        <v>18</v>
      </c>
      <c r="BW140" s="127" t="s">
        <v>217</v>
      </c>
      <c r="BX140" s="127" t="s">
        <v>195</v>
      </c>
      <c r="BY140" s="139">
        <v>24</v>
      </c>
      <c r="BZ140" s="139">
        <v>0</v>
      </c>
      <c r="CA140" s="138">
        <v>28</v>
      </c>
      <c r="CB140" s="138">
        <v>43</v>
      </c>
      <c r="CC140" s="138">
        <v>26</v>
      </c>
      <c r="CD140" s="135">
        <v>45017</v>
      </c>
      <c r="CE140" s="138">
        <v>86</v>
      </c>
      <c r="CF140" s="138">
        <v>69</v>
      </c>
      <c r="CG140" s="138" t="str">
        <f t="shared" si="99"/>
        <v>В работе</v>
      </c>
      <c r="CH140" s="138" t="s">
        <v>196</v>
      </c>
      <c r="CI140" s="127">
        <v>6</v>
      </c>
      <c r="CJ140" s="138"/>
      <c r="CK140" s="138"/>
      <c r="CL140" s="99"/>
      <c r="CM140" s="99"/>
      <c r="CN140" s="173">
        <v>42</v>
      </c>
      <c r="CO140" s="159">
        <f t="shared" si="61"/>
        <v>3.6736515200000004</v>
      </c>
      <c r="CP140" s="160">
        <v>4.9000000000000004</v>
      </c>
      <c r="CQ140" s="161">
        <v>10.32</v>
      </c>
      <c r="CR140" s="138">
        <v>10.958</v>
      </c>
      <c r="CS140" s="138">
        <v>9.1920000000000002</v>
      </c>
      <c r="CT140" s="138"/>
      <c r="CU140" s="138">
        <f t="shared" si="62"/>
        <v>1.766</v>
      </c>
      <c r="CV140" s="115">
        <f t="shared" si="63"/>
        <v>480.72061010294186</v>
      </c>
      <c r="CW140" s="115">
        <f t="shared" si="64"/>
        <v>2158.1370915547113</v>
      </c>
      <c r="CX140" s="133">
        <f t="shared" si="65"/>
        <v>0.11136363636363637</v>
      </c>
      <c r="CY140" s="116"/>
      <c r="CZ140" s="131"/>
      <c r="DA140" s="145" t="str">
        <f t="shared" si="66"/>
        <v>Газлифт</v>
      </c>
      <c r="DB140" s="146">
        <f t="shared" si="67"/>
        <v>3.6736515200000004</v>
      </c>
      <c r="DC140" s="142">
        <f t="shared" si="68"/>
        <v>4.9000000000000004</v>
      </c>
      <c r="DD140" s="119">
        <f t="shared" si="69"/>
        <v>10.32</v>
      </c>
      <c r="DE140" s="115">
        <f t="shared" si="70"/>
        <v>1.766</v>
      </c>
      <c r="DF140" s="121">
        <f t="shared" si="71"/>
        <v>9.1920000000000002</v>
      </c>
      <c r="DG140" s="115">
        <f t="shared" si="72"/>
        <v>480.72061010294186</v>
      </c>
      <c r="DH140" s="115">
        <f t="shared" si="73"/>
        <v>42</v>
      </c>
      <c r="DI140" s="147"/>
      <c r="DJ140" s="111">
        <v>43110</v>
      </c>
      <c r="DK140" s="112">
        <v>42257</v>
      </c>
      <c r="DL140" s="113">
        <f t="shared" ca="1" si="87"/>
        <v>2847</v>
      </c>
      <c r="DM140" s="114"/>
      <c r="DN140" s="114"/>
      <c r="DO140" s="114"/>
      <c r="DP140" s="114"/>
      <c r="DQ140" s="112" t="s">
        <v>750</v>
      </c>
      <c r="DR140" s="114" t="s">
        <v>198</v>
      </c>
      <c r="DS140" s="114"/>
      <c r="DT140" s="115">
        <v>50</v>
      </c>
      <c r="DU140" s="116">
        <f t="shared" si="88"/>
        <v>0.13611111111111113</v>
      </c>
      <c r="DV140" s="117">
        <f t="shared" si="89"/>
        <v>3.6736515200000004</v>
      </c>
      <c r="DW140" s="118">
        <f t="shared" si="90"/>
        <v>4.9000000000000004</v>
      </c>
      <c r="DX140" s="119">
        <f t="shared" si="74"/>
        <v>10.32</v>
      </c>
      <c r="DY140" s="115">
        <f t="shared" si="91"/>
        <v>1.766</v>
      </c>
      <c r="DZ140" s="117">
        <f t="shared" si="92"/>
        <v>0</v>
      </c>
      <c r="EA140" s="120">
        <f t="shared" si="92"/>
        <v>0</v>
      </c>
      <c r="EB140" s="119">
        <f t="shared" si="92"/>
        <v>0</v>
      </c>
      <c r="EC140" s="121">
        <f t="shared" si="93"/>
        <v>0</v>
      </c>
      <c r="ED140" s="122"/>
      <c r="EE140" s="145">
        <v>18</v>
      </c>
      <c r="EF140" s="115">
        <v>28</v>
      </c>
      <c r="EG140" s="115">
        <v>43</v>
      </c>
      <c r="EH140" s="115">
        <v>26</v>
      </c>
      <c r="EI140" s="128" t="s">
        <v>195</v>
      </c>
      <c r="EJ140" s="121">
        <v>24</v>
      </c>
      <c r="EK140" s="121">
        <v>0</v>
      </c>
      <c r="EL140" s="162">
        <v>3.6736515200000004</v>
      </c>
      <c r="EM140" s="142">
        <v>4.9000000000000004</v>
      </c>
      <c r="EN140" s="119">
        <v>10.32</v>
      </c>
      <c r="EO140" s="115">
        <v>10.958</v>
      </c>
      <c r="EP140" s="115">
        <v>480.72061010294186</v>
      </c>
      <c r="EQ140" s="115">
        <v>69</v>
      </c>
      <c r="ER140" s="115">
        <v>9.1920000000000002</v>
      </c>
      <c r="ES140" s="115">
        <v>41</v>
      </c>
      <c r="ET140" s="150">
        <v>0.1088888888888889</v>
      </c>
      <c r="EU140" s="145">
        <f t="shared" si="75"/>
        <v>18</v>
      </c>
      <c r="EV140" s="115">
        <f t="shared" si="76"/>
        <v>28</v>
      </c>
      <c r="EW140" s="115">
        <f t="shared" si="76"/>
        <v>43</v>
      </c>
      <c r="EX140" s="115">
        <f t="shared" si="76"/>
        <v>26</v>
      </c>
      <c r="EY140" s="115" t="str">
        <f t="shared" si="98"/>
        <v>Постоянный</v>
      </c>
      <c r="EZ140" s="115">
        <f t="shared" si="98"/>
        <v>24</v>
      </c>
      <c r="FA140" s="115">
        <f t="shared" si="98"/>
        <v>0</v>
      </c>
      <c r="FB140" s="149">
        <f t="shared" si="78"/>
        <v>3.6736515200000004</v>
      </c>
      <c r="FC140" s="142">
        <f t="shared" si="78"/>
        <v>4.9000000000000004</v>
      </c>
      <c r="FD140" s="119">
        <f t="shared" si="78"/>
        <v>10.32</v>
      </c>
      <c r="FE140" s="121">
        <f t="shared" si="78"/>
        <v>10.958</v>
      </c>
      <c r="FF140" s="121">
        <f t="shared" si="94"/>
        <v>480.72061010294186</v>
      </c>
      <c r="FG140" s="121">
        <f t="shared" si="79"/>
        <v>69</v>
      </c>
      <c r="FH140" s="121">
        <f t="shared" si="95"/>
        <v>9.1920000000000002</v>
      </c>
      <c r="FI140" s="121">
        <f t="shared" si="97"/>
        <v>42</v>
      </c>
      <c r="FJ140" s="144">
        <f t="shared" si="80"/>
        <v>0.11136363636363637</v>
      </c>
      <c r="FK140" s="132">
        <f t="shared" si="81"/>
        <v>0</v>
      </c>
      <c r="FL140" s="115">
        <f t="shared" si="81"/>
        <v>0</v>
      </c>
      <c r="FM140" s="115">
        <f t="shared" si="81"/>
        <v>0</v>
      </c>
      <c r="FN140" s="115">
        <f t="shared" si="58"/>
        <v>0</v>
      </c>
      <c r="FO140" s="115">
        <f t="shared" si="100"/>
        <v>0</v>
      </c>
      <c r="FP140" s="115">
        <f t="shared" si="100"/>
        <v>0</v>
      </c>
      <c r="FQ140" s="149">
        <f t="shared" si="100"/>
        <v>0</v>
      </c>
      <c r="FR140" s="142">
        <f t="shared" si="100"/>
        <v>0</v>
      </c>
      <c r="FS140" s="119">
        <f t="shared" si="100"/>
        <v>0</v>
      </c>
      <c r="FT140" s="121">
        <f t="shared" si="100"/>
        <v>0</v>
      </c>
      <c r="FU140" s="121">
        <f t="shared" si="82"/>
        <v>0</v>
      </c>
      <c r="FV140" s="121">
        <f t="shared" si="82"/>
        <v>0</v>
      </c>
      <c r="FW140" s="121">
        <f t="shared" si="83"/>
        <v>0</v>
      </c>
      <c r="FX140" s="121">
        <f t="shared" si="84"/>
        <v>1</v>
      </c>
      <c r="FY140" s="144">
        <f t="shared" si="84"/>
        <v>2.4747474747474768E-3</v>
      </c>
      <c r="FZ140" s="145"/>
      <c r="GA140" s="151"/>
      <c r="GB140" s="145" t="s">
        <v>199</v>
      </c>
      <c r="GC140" s="151" t="s">
        <v>415</v>
      </c>
      <c r="GD140" s="997" t="s">
        <v>416</v>
      </c>
      <c r="GE140" s="1004" t="s">
        <v>199</v>
      </c>
      <c r="GF140" s="1004">
        <v>-0.8653101599999995</v>
      </c>
      <c r="GG140" s="1004"/>
      <c r="GH140" s="1004">
        <v>0</v>
      </c>
      <c r="GI140" s="145"/>
      <c r="GJ140" s="996">
        <v>-0.44103832000000054</v>
      </c>
      <c r="GK140" s="145" t="s">
        <v>206</v>
      </c>
      <c r="GL140" s="996">
        <v>0</v>
      </c>
      <c r="GM140" s="1005"/>
      <c r="GN140" s="996">
        <v>0</v>
      </c>
      <c r="GO140" s="1006"/>
      <c r="GP140" s="996">
        <v>0</v>
      </c>
      <c r="GQ140" s="1006"/>
      <c r="GR140" s="996">
        <v>-0.44090640000000025</v>
      </c>
      <c r="GS140" s="1006"/>
      <c r="GT140" s="996">
        <v>-0.58812181999999957</v>
      </c>
      <c r="GU140" s="1006"/>
      <c r="GV140" s="996">
        <v>0.39684501999999977</v>
      </c>
      <c r="GW140" s="1006"/>
      <c r="GX140" s="996">
        <v>0</v>
      </c>
      <c r="GY140" s="1006"/>
      <c r="GZ140" s="996">
        <v>0.91414342800000004</v>
      </c>
      <c r="HA140" s="1006" t="s">
        <v>199</v>
      </c>
      <c r="HB140" s="996">
        <v>2.6737712760000001</v>
      </c>
      <c r="HC140" s="1006" t="s">
        <v>204</v>
      </c>
      <c r="HD140" s="996">
        <v>-5.9703475039999994</v>
      </c>
      <c r="HE140" s="1006" t="s">
        <v>204</v>
      </c>
      <c r="HF140" s="996">
        <v>-1.5761944000000012</v>
      </c>
      <c r="HG140" s="1006"/>
      <c r="HH140" s="996">
        <v>0</v>
      </c>
      <c r="HI140" s="1006"/>
      <c r="HJ140" s="996">
        <v>0</v>
      </c>
      <c r="HK140" s="1006"/>
      <c r="HL140" s="996">
        <v>0</v>
      </c>
      <c r="HM140" s="1006"/>
      <c r="HN140" s="996">
        <v>0</v>
      </c>
      <c r="HO140" s="1006" t="s">
        <v>204</v>
      </c>
      <c r="HP140" s="996">
        <v>6.3227516000000001</v>
      </c>
      <c r="HQ140" s="1006" t="s">
        <v>199</v>
      </c>
      <c r="HR140" s="996">
        <v>-2.7521086560000003</v>
      </c>
      <c r="HS140" s="1006"/>
      <c r="HT140" s="996">
        <v>0.60016105600000103</v>
      </c>
      <c r="HU140" s="1006"/>
      <c r="HV140" s="996">
        <v>0</v>
      </c>
      <c r="HW140" s="1006" t="s">
        <v>204</v>
      </c>
      <c r="HX140" s="996">
        <v>-3.9450840000000005</v>
      </c>
      <c r="HY140" s="1006" t="s">
        <v>204</v>
      </c>
      <c r="HZ140" s="996">
        <v>6.5861810519999997</v>
      </c>
      <c r="IA140" s="1006"/>
      <c r="IB140" s="996">
        <v>0</v>
      </c>
      <c r="IC140" s="1006"/>
      <c r="ID140" s="996">
        <v>0</v>
      </c>
      <c r="IE140" s="1006"/>
      <c r="IF140" s="996">
        <v>0</v>
      </c>
      <c r="IG140" s="1006"/>
      <c r="IH140" s="996">
        <v>0.75858054800000008</v>
      </c>
      <c r="II140" s="1006"/>
      <c r="IJ140" s="996">
        <v>0</v>
      </c>
      <c r="IK140" s="1006"/>
      <c r="IL140" s="996">
        <v>-0.53469322719999979</v>
      </c>
      <c r="IM140" s="1006" t="s">
        <v>199</v>
      </c>
      <c r="IN140" s="996">
        <v>-7.2786463728000008</v>
      </c>
      <c r="IO140" s="1006"/>
      <c r="IP140" s="996">
        <v>0</v>
      </c>
      <c r="IQ140" s="1006"/>
      <c r="IR140" s="996">
        <v>0</v>
      </c>
      <c r="IS140" s="1006"/>
      <c r="IT140" s="996">
        <v>0</v>
      </c>
      <c r="IU140" s="1006"/>
      <c r="IV140" s="996">
        <v>0</v>
      </c>
      <c r="IW140" s="1006"/>
      <c r="IX140" s="996">
        <v>0</v>
      </c>
      <c r="IY140" s="1006"/>
      <c r="IZ140" s="996">
        <v>0</v>
      </c>
      <c r="JA140" s="1006"/>
      <c r="JB140" s="996">
        <v>0</v>
      </c>
      <c r="JC140" s="1006"/>
      <c r="JD140" s="996">
        <v>0</v>
      </c>
      <c r="JE140" s="1006"/>
      <c r="JF140" s="996">
        <v>0</v>
      </c>
      <c r="JG140" s="1006" t="s">
        <v>199</v>
      </c>
      <c r="JH140" s="996">
        <v>4.982978000000001</v>
      </c>
      <c r="JI140" s="1006"/>
      <c r="JJ140" s="996">
        <v>0</v>
      </c>
      <c r="JK140" s="1007"/>
      <c r="JL140" s="1007">
        <v>0</v>
      </c>
      <c r="JM140" s="1007"/>
      <c r="JN140" s="1007">
        <v>0</v>
      </c>
      <c r="JO140" s="1008" t="s">
        <v>199</v>
      </c>
      <c r="JP140" s="1007">
        <v>0.65325039999999968</v>
      </c>
      <c r="JQ140" s="1008">
        <v>0</v>
      </c>
      <c r="JR140" s="1007">
        <v>0.5158955999999999</v>
      </c>
      <c r="JS140" s="1008" t="s">
        <v>146</v>
      </c>
      <c r="JT140" s="1007">
        <v>-4.2985615200000007</v>
      </c>
      <c r="JU140" s="1008"/>
      <c r="JV140" s="1007">
        <v>0</v>
      </c>
      <c r="JW140" s="1008" t="s">
        <v>197</v>
      </c>
      <c r="JX140" s="1007">
        <v>0</v>
      </c>
      <c r="JY140" s="1008" t="s">
        <v>199</v>
      </c>
      <c r="JZ140" s="1007">
        <v>3.6249461600000012</v>
      </c>
      <c r="KA140" s="1008"/>
      <c r="KB140" s="1007">
        <v>0</v>
      </c>
      <c r="KC140" s="1008" t="s">
        <v>751</v>
      </c>
      <c r="KD140" s="1007">
        <v>-5.9176928800000006</v>
      </c>
      <c r="KE140" s="1008"/>
      <c r="KF140" s="1007">
        <v>0</v>
      </c>
      <c r="KG140" s="1008" t="s">
        <v>204</v>
      </c>
      <c r="KH140" s="1007">
        <v>0.41749839999999949</v>
      </c>
      <c r="KI140" s="1008" t="s">
        <v>206</v>
      </c>
      <c r="KJ140" s="1007">
        <v>-0.58449775999999964</v>
      </c>
      <c r="KK140" s="1008"/>
      <c r="KL140" s="1007">
        <v>0</v>
      </c>
      <c r="KM140" s="1008"/>
      <c r="KN140" s="1007">
        <v>0</v>
      </c>
      <c r="KO140" s="1008" t="s">
        <v>206</v>
      </c>
      <c r="KP140" s="1007">
        <v>3.3399872000000004</v>
      </c>
      <c r="KQ140" s="1008" t="s">
        <v>207</v>
      </c>
      <c r="KR140" s="1007">
        <v>-3.3399872000000004</v>
      </c>
      <c r="KS140" s="1008" t="s">
        <v>204</v>
      </c>
      <c r="KT140" s="1007">
        <v>0</v>
      </c>
      <c r="KU140" s="1008" t="s">
        <v>25</v>
      </c>
      <c r="KV140" s="1007">
        <v>5.8449776000000009</v>
      </c>
      <c r="KW140" s="1008">
        <v>0</v>
      </c>
      <c r="KX140" s="1007">
        <v>0</v>
      </c>
      <c r="KY140" s="1008">
        <v>0</v>
      </c>
      <c r="KZ140" s="1007">
        <v>0</v>
      </c>
      <c r="LA140" s="1008">
        <v>0</v>
      </c>
      <c r="LB140" s="1007">
        <v>0</v>
      </c>
      <c r="LC140" s="1008">
        <v>0</v>
      </c>
      <c r="LD140" s="1007">
        <v>0</v>
      </c>
      <c r="LE140" s="1008" t="s">
        <v>223</v>
      </c>
      <c r="LF140" s="1007">
        <v>-2.5049904000000005</v>
      </c>
      <c r="LG140" s="1008">
        <v>0</v>
      </c>
      <c r="LH140" s="1007">
        <v>0</v>
      </c>
      <c r="LI140" s="1008" t="s">
        <v>204</v>
      </c>
      <c r="LJ140" s="1007">
        <v>2.5049904000000005</v>
      </c>
      <c r="LK140" s="1008">
        <v>0</v>
      </c>
      <c r="LL140" s="1007">
        <v>0</v>
      </c>
      <c r="LM140" s="1008" t="s">
        <v>240</v>
      </c>
      <c r="LN140" s="1007">
        <v>-0.91849999999999998</v>
      </c>
      <c r="LO140" s="1008" t="s">
        <v>223</v>
      </c>
      <c r="LP140" s="1007">
        <v>-4.9148432</v>
      </c>
      <c r="LQ140" s="1008">
        <v>0</v>
      </c>
      <c r="LR140" s="1007">
        <v>0</v>
      </c>
      <c r="LS140" s="1008" t="s">
        <v>206</v>
      </c>
      <c r="LT140" s="1007">
        <v>-2.9224888</v>
      </c>
      <c r="LU140" s="1008">
        <v>0</v>
      </c>
      <c r="LV140" s="1007">
        <v>0</v>
      </c>
      <c r="LW140" s="1008">
        <v>0</v>
      </c>
      <c r="LX140" s="1007">
        <v>0</v>
      </c>
      <c r="LY140" s="1009" t="s">
        <v>206</v>
      </c>
      <c r="LZ140" s="1010">
        <v>-1.7562688000000009</v>
      </c>
      <c r="MA140" s="1011">
        <v>0</v>
      </c>
      <c r="MB140" s="1012">
        <v>0.58461481000000004</v>
      </c>
      <c r="MC140" s="995"/>
      <c r="MD140" s="996"/>
      <c r="ME140" s="997" t="s">
        <v>416</v>
      </c>
      <c r="MF140" s="997"/>
      <c r="MG140" s="998"/>
      <c r="NR140" s="1000"/>
      <c r="NS140" s="1000"/>
      <c r="NT140" s="1001"/>
      <c r="NU140" s="1000"/>
      <c r="NV140" s="1001"/>
      <c r="NX140" s="1002"/>
      <c r="NZ140" s="1001"/>
      <c r="OA140" s="1001"/>
      <c r="OC140" s="1003"/>
      <c r="OD140" s="1003"/>
      <c r="OE140" s="1001"/>
      <c r="OF140" s="1003"/>
      <c r="OG140" s="1003"/>
      <c r="QX140" s="1000">
        <f t="shared" si="96"/>
        <v>14</v>
      </c>
      <c r="ASU140" s="999" t="s">
        <v>208</v>
      </c>
    </row>
    <row r="141" spans="1:466 1191:1191" ht="21" customHeight="1" x14ac:dyDescent="0.25">
      <c r="A141" s="982" t="str">
        <f t="shared" si="59"/>
        <v>1050-1</v>
      </c>
      <c r="B141" s="124">
        <f>SUBTOTAL(103,$J$29:J141)</f>
        <v>113</v>
      </c>
      <c r="C141" s="126">
        <v>45068</v>
      </c>
      <c r="D141" s="124" t="s">
        <v>176</v>
      </c>
      <c r="E141" s="127" t="s">
        <v>177</v>
      </c>
      <c r="F141" s="128" t="s">
        <v>177</v>
      </c>
      <c r="G141" s="127" t="s">
        <v>178</v>
      </c>
      <c r="H141" s="127" t="s">
        <v>421</v>
      </c>
      <c r="I141" s="127" t="s">
        <v>422</v>
      </c>
      <c r="J141" s="152" t="s">
        <v>752</v>
      </c>
      <c r="K141" s="127" t="s">
        <v>746</v>
      </c>
      <c r="L141" s="130">
        <v>40297</v>
      </c>
      <c r="M141" s="127" t="s">
        <v>230</v>
      </c>
      <c r="N141" s="127" t="s">
        <v>231</v>
      </c>
      <c r="O141" s="127" t="s">
        <v>185</v>
      </c>
      <c r="P141" s="127" t="s">
        <v>186</v>
      </c>
      <c r="Q141" s="85" t="str">
        <f t="shared" si="85"/>
        <v/>
      </c>
      <c r="R141" s="130"/>
      <c r="S141" s="128" t="s">
        <v>156</v>
      </c>
      <c r="T141" s="131"/>
      <c r="U141" s="132">
        <v>203</v>
      </c>
      <c r="V141" s="121">
        <v>218.2</v>
      </c>
      <c r="W141" s="116">
        <v>0.98</v>
      </c>
      <c r="X141" s="116">
        <v>1.66</v>
      </c>
      <c r="Y141" s="116">
        <f t="shared" si="86"/>
        <v>0.98</v>
      </c>
      <c r="Z141" s="133">
        <v>1.454</v>
      </c>
      <c r="AA141" s="133">
        <v>0.83599999999999997</v>
      </c>
      <c r="AB141" s="133">
        <v>0.72</v>
      </c>
      <c r="AC141" s="121">
        <v>34.299999999999997</v>
      </c>
      <c r="AD141" s="134">
        <v>1.17</v>
      </c>
      <c r="AE141" s="124">
        <v>139.69999999999999</v>
      </c>
      <c r="AF141" s="128">
        <v>7.72</v>
      </c>
      <c r="AG141" s="128">
        <v>1924</v>
      </c>
      <c r="AH141" s="127">
        <v>2500</v>
      </c>
      <c r="AI141" s="127">
        <v>2500</v>
      </c>
      <c r="AJ141" s="135"/>
      <c r="AK141" s="128"/>
      <c r="AL141" s="131"/>
      <c r="AM141" s="124" t="s">
        <v>232</v>
      </c>
      <c r="AN141" s="136" t="s">
        <v>753</v>
      </c>
      <c r="AO141" s="137">
        <v>25.1</v>
      </c>
      <c r="AP141" s="128">
        <v>1924</v>
      </c>
      <c r="AQ141" s="128">
        <v>55.3</v>
      </c>
      <c r="AR141" s="128"/>
      <c r="AS141" s="128"/>
      <c r="AT141" s="122"/>
      <c r="AU141" s="124" t="s">
        <v>189</v>
      </c>
      <c r="AV141" s="115">
        <f>VLOOKUP(J141,'[63]ТР нефть'!$J$28:$BP$638,39,0)</f>
        <v>598.00000107400001</v>
      </c>
      <c r="AW141" s="115" t="str">
        <f>VLOOKUP(J141,'[63]ТР нефть'!$J$28:$BP$638,40,0)</f>
        <v>ГП</v>
      </c>
      <c r="AX141" s="115">
        <f>VLOOKUP(J141,'[63]ТР нефть'!$J$28:$BP$638,41,0)</f>
        <v>1192.000023047</v>
      </c>
      <c r="AY141" s="115" t="str">
        <f>VLOOKUP(J141,'[63]ТР нефть'!$J$28:$BP$638,42,0)</f>
        <v>ГК 83 1/8</v>
      </c>
      <c r="AZ141" s="115">
        <f>VLOOKUP(J141,'[63]ТР нефть'!$J$28:$BP$638,43,0)</f>
        <v>1761.0000082030001</v>
      </c>
      <c r="BA141" s="115" t="str">
        <f>VLOOKUP(J141,'[63]ТР нефть'!$J$28:$BP$638,44,0)</f>
        <v>ЦКсОК 5/16</v>
      </c>
      <c r="BB141" s="115" t="str">
        <f>VLOOKUP(J141,'[63]ТР нефть'!$J$28:$BP$638,45,0)</f>
        <v>-</v>
      </c>
      <c r="BC141" s="115" t="str">
        <f>VLOOKUP(J141,'[63]ТР нефть'!$J$28:$BP$638,46,0)</f>
        <v>-</v>
      </c>
      <c r="BD141" s="115" t="str">
        <f>VLOOKUP(J141,'[63]ТР нефть'!$J$28:$BP$638,47,0)</f>
        <v>-</v>
      </c>
      <c r="BE141" s="115" t="str">
        <f>VLOOKUP(J141,'[63]ТР нефть'!$J$28:$BP$638,48,0)</f>
        <v>-</v>
      </c>
      <c r="BF141" s="115" t="str">
        <f>VLOOKUP(J141,'[63]ТР нефть'!$J$28:$BP$638,49,0)</f>
        <v>-</v>
      </c>
      <c r="BG141" s="115" t="str">
        <f>VLOOKUP(J141,'[63]ТР нефть'!$J$28:$BP$638,50,0)</f>
        <v>-</v>
      </c>
      <c r="BH141" s="115">
        <f>VLOOKUP(J141,'[63]ТР нефть'!$J$28:$BP$638,51,0)</f>
        <v>1774</v>
      </c>
      <c r="BI141" s="115" t="str">
        <f>VLOOKUP(J141,'[63]ТР нефть'!$J$28:$BP$638,52,0)</f>
        <v>закрыт</v>
      </c>
      <c r="BJ141" s="115" t="str">
        <f>IF(IFERROR(VLOOKUP(J141,'[63]ТР нефть'!$J$28:$BP$638,53,0),"-")=0,"-",IFERROR(VLOOKUP(J141,'[63]ТР нефть'!$J$28:$BP$638,53,0),"-"))</f>
        <v>-</v>
      </c>
      <c r="BK141" s="138" t="str">
        <f>IF(IFERROR(VLOOKUP(J141,'[63]ТР нефть'!$J$28:$BP$638,54,0),"-")=0,"-",IFERROR(VLOOKUP(J141,'[63]ТР нефть'!$J$28:$BP$638,54,0),"-"))</f>
        <v>-</v>
      </c>
      <c r="BL141" s="138" t="str">
        <f>IF(IFERROR(VLOOKUP(J141,'[63]ТР нефть'!$J$28:$BP$638,55,0),"-")=0,"-",IFERROR(VLOOKUP(J141,'[63]ТР нефть'!$J$28:$BP$638,55,0),"-"))</f>
        <v>-</v>
      </c>
      <c r="BM141" s="138" t="str">
        <f>IF(IFERROR(VLOOKUP(J141,'[63]ТР нефть'!$J$28:$BP$638,56,0),"-")=0,"-",IFERROR(VLOOKUP(J141,'[63]ТР нефть'!$J$28:$BP$638,56,0),"-"))</f>
        <v>-</v>
      </c>
      <c r="BN141" s="138" t="str">
        <f>IF(IFERROR(VLOOKUP(J141,'[63]ТР нефть'!$J$28:$BP$638,57,0),"-")=0,"-",IFERROR(VLOOKUP(J141,'[63]ТР нефть'!$J$28:$BP$638,57,0),"-"))</f>
        <v>-</v>
      </c>
      <c r="BO141" s="115" t="str">
        <f>IF(IFERROR(VLOOKUP(J141,'[63]ТР нефть'!$J$28:$BP$638,58,0),"-")=0,"-",IFERROR(VLOOKUP(J141,'[63]ТР нефть'!$J$28:$BP$638,58,0),"-"))</f>
        <v>-</v>
      </c>
      <c r="BP141" s="115" t="str">
        <f>IF(IFERROR(VLOOKUP(J141,'[63]ТР нефть'!$J$28:$BP$638,59,0),"-")=0,"-",IFERROR(VLOOKUP(J141,'[63]ТР нефть'!$J$28:$BP$638,59,0),"-"))</f>
        <v>-</v>
      </c>
      <c r="BQ141" s="138">
        <v>2214</v>
      </c>
      <c r="BR141" s="128">
        <v>1934.1298795180724</v>
      </c>
      <c r="BS141" s="115">
        <f t="shared" si="60"/>
        <v>279.87012048192764</v>
      </c>
      <c r="BT141" s="128">
        <v>73</v>
      </c>
      <c r="BU141" s="128">
        <v>5.5</v>
      </c>
      <c r="BV141" s="127">
        <v>18</v>
      </c>
      <c r="BW141" s="127" t="s">
        <v>217</v>
      </c>
      <c r="BX141" s="127" t="s">
        <v>195</v>
      </c>
      <c r="BY141" s="139">
        <v>24</v>
      </c>
      <c r="BZ141" s="139">
        <v>0</v>
      </c>
      <c r="CA141" s="138">
        <v>19</v>
      </c>
      <c r="CB141" s="138">
        <v>28</v>
      </c>
      <c r="CC141" s="138">
        <v>18</v>
      </c>
      <c r="CD141" s="135">
        <v>45017</v>
      </c>
      <c r="CE141" s="138">
        <v>93</v>
      </c>
      <c r="CF141" s="138">
        <v>71</v>
      </c>
      <c r="CG141" s="138" t="str">
        <f t="shared" si="99"/>
        <v>В работе</v>
      </c>
      <c r="CH141" s="138" t="s">
        <v>196</v>
      </c>
      <c r="CI141" s="127">
        <v>6</v>
      </c>
      <c r="CJ141" s="138"/>
      <c r="CK141" s="138"/>
      <c r="CL141" s="99"/>
      <c r="CM141" s="99"/>
      <c r="CN141" s="140">
        <v>36</v>
      </c>
      <c r="CO141" s="159">
        <f t="shared" si="61"/>
        <v>10.868</v>
      </c>
      <c r="CP141" s="160">
        <v>13</v>
      </c>
      <c r="CQ141" s="161">
        <v>0</v>
      </c>
      <c r="CR141" s="138">
        <v>18</v>
      </c>
      <c r="CS141" s="138">
        <v>9.6</v>
      </c>
      <c r="CT141" s="138"/>
      <c r="CU141" s="138">
        <f t="shared" si="62"/>
        <v>8.4</v>
      </c>
      <c r="CV141" s="115">
        <f t="shared" si="63"/>
        <v>772.91129922708865</v>
      </c>
      <c r="CW141" s="115">
        <f t="shared" si="64"/>
        <v>883.32719911667289</v>
      </c>
      <c r="CX141" s="133">
        <f t="shared" si="65"/>
        <v>0.22807017543859648</v>
      </c>
      <c r="CY141" s="116"/>
      <c r="CZ141" s="131"/>
      <c r="DA141" s="145" t="str">
        <f t="shared" si="66"/>
        <v>Газлифт</v>
      </c>
      <c r="DB141" s="146">
        <f t="shared" si="67"/>
        <v>10.868</v>
      </c>
      <c r="DC141" s="142">
        <f t="shared" si="68"/>
        <v>13</v>
      </c>
      <c r="DD141" s="119">
        <f t="shared" si="69"/>
        <v>0</v>
      </c>
      <c r="DE141" s="115">
        <f t="shared" si="70"/>
        <v>8.4</v>
      </c>
      <c r="DF141" s="121">
        <f t="shared" si="71"/>
        <v>9.6</v>
      </c>
      <c r="DG141" s="115">
        <f t="shared" si="72"/>
        <v>772.91129922708865</v>
      </c>
      <c r="DH141" s="115">
        <f t="shared" si="73"/>
        <v>36</v>
      </c>
      <c r="DI141" s="147"/>
      <c r="DJ141" s="111" t="s">
        <v>197</v>
      </c>
      <c r="DK141" s="112">
        <v>43394.083333333336</v>
      </c>
      <c r="DL141" s="113">
        <f t="shared" ca="1" si="87"/>
        <v>1709.9166666666642</v>
      </c>
      <c r="DM141" s="114"/>
      <c r="DN141" s="114"/>
      <c r="DO141" s="114"/>
      <c r="DP141" s="114"/>
      <c r="DQ141" s="112">
        <v>43604</v>
      </c>
      <c r="DR141" s="114" t="s">
        <v>198</v>
      </c>
      <c r="DS141" s="114"/>
      <c r="DT141" s="115">
        <v>50</v>
      </c>
      <c r="DU141" s="116">
        <f t="shared" si="88"/>
        <v>0.30232558139534882</v>
      </c>
      <c r="DV141" s="117">
        <f t="shared" si="89"/>
        <v>10.868</v>
      </c>
      <c r="DW141" s="118">
        <f t="shared" si="90"/>
        <v>13</v>
      </c>
      <c r="DX141" s="119">
        <f t="shared" si="74"/>
        <v>0</v>
      </c>
      <c r="DY141" s="115">
        <f t="shared" si="91"/>
        <v>8.4</v>
      </c>
      <c r="DZ141" s="117">
        <f t="shared" si="92"/>
        <v>0</v>
      </c>
      <c r="EA141" s="120">
        <f t="shared" si="92"/>
        <v>0</v>
      </c>
      <c r="EB141" s="119">
        <f t="shared" si="92"/>
        <v>0</v>
      </c>
      <c r="EC141" s="121">
        <f t="shared" si="93"/>
        <v>0</v>
      </c>
      <c r="ED141" s="122"/>
      <c r="EE141" s="145">
        <v>18</v>
      </c>
      <c r="EF141" s="115">
        <v>29</v>
      </c>
      <c r="EG141" s="115">
        <v>40</v>
      </c>
      <c r="EH141" s="115">
        <v>28</v>
      </c>
      <c r="EI141" s="128" t="s">
        <v>195</v>
      </c>
      <c r="EJ141" s="121">
        <v>24</v>
      </c>
      <c r="EK141" s="121">
        <v>0</v>
      </c>
      <c r="EL141" s="162">
        <v>7.4404000000000003</v>
      </c>
      <c r="EM141" s="142">
        <v>8.9</v>
      </c>
      <c r="EN141" s="119">
        <v>0</v>
      </c>
      <c r="EO141" s="115">
        <v>15</v>
      </c>
      <c r="EP141" s="115">
        <v>1196.709854308908</v>
      </c>
      <c r="EQ141" s="115">
        <v>69</v>
      </c>
      <c r="ER141" s="115">
        <v>6.0960000000000001</v>
      </c>
      <c r="ES141" s="115">
        <v>44</v>
      </c>
      <c r="ET141" s="150">
        <v>0.1816326530612245</v>
      </c>
      <c r="EU141" s="145">
        <f t="shared" si="75"/>
        <v>18</v>
      </c>
      <c r="EV141" s="115">
        <f t="shared" si="76"/>
        <v>19</v>
      </c>
      <c r="EW141" s="115">
        <f t="shared" si="76"/>
        <v>28</v>
      </c>
      <c r="EX141" s="115">
        <f t="shared" si="76"/>
        <v>18</v>
      </c>
      <c r="EY141" s="115" t="str">
        <f t="shared" si="98"/>
        <v>Постоянный</v>
      </c>
      <c r="EZ141" s="115">
        <f t="shared" si="98"/>
        <v>24</v>
      </c>
      <c r="FA141" s="115">
        <f t="shared" si="98"/>
        <v>0</v>
      </c>
      <c r="FB141" s="149">
        <f t="shared" si="78"/>
        <v>10.868</v>
      </c>
      <c r="FC141" s="142">
        <f t="shared" si="78"/>
        <v>13</v>
      </c>
      <c r="FD141" s="119">
        <f t="shared" si="78"/>
        <v>0</v>
      </c>
      <c r="FE141" s="121">
        <f t="shared" si="78"/>
        <v>18</v>
      </c>
      <c r="FF141" s="121">
        <f t="shared" si="94"/>
        <v>772.91129922708865</v>
      </c>
      <c r="FG141" s="121">
        <f t="shared" si="79"/>
        <v>71</v>
      </c>
      <c r="FH141" s="121">
        <f t="shared" si="95"/>
        <v>9.6</v>
      </c>
      <c r="FI141" s="121">
        <f t="shared" si="97"/>
        <v>36</v>
      </c>
      <c r="FJ141" s="144">
        <f t="shared" si="80"/>
        <v>0.22807017543859648</v>
      </c>
      <c r="FK141" s="132">
        <f t="shared" si="81"/>
        <v>0</v>
      </c>
      <c r="FL141" s="115">
        <f t="shared" si="81"/>
        <v>-10</v>
      </c>
      <c r="FM141" s="115">
        <f t="shared" si="81"/>
        <v>-12</v>
      </c>
      <c r="FN141" s="115">
        <f t="shared" si="58"/>
        <v>-10</v>
      </c>
      <c r="FO141" s="115">
        <f t="shared" si="100"/>
        <v>0</v>
      </c>
      <c r="FP141" s="115">
        <f t="shared" si="100"/>
        <v>0</v>
      </c>
      <c r="FQ141" s="149">
        <f t="shared" si="100"/>
        <v>3.4276</v>
      </c>
      <c r="FR141" s="142">
        <f t="shared" si="100"/>
        <v>4.0999999999999996</v>
      </c>
      <c r="FS141" s="119">
        <f t="shared" si="100"/>
        <v>0</v>
      </c>
      <c r="FT141" s="121">
        <f t="shared" si="100"/>
        <v>3</v>
      </c>
      <c r="FU141" s="121">
        <f t="shared" si="82"/>
        <v>2</v>
      </c>
      <c r="FV141" s="121">
        <f t="shared" si="82"/>
        <v>3.5039999999999996</v>
      </c>
      <c r="FW141" s="121">
        <f t="shared" si="83"/>
        <v>-423.79855508181936</v>
      </c>
      <c r="FX141" s="121">
        <f t="shared" si="84"/>
        <v>-8</v>
      </c>
      <c r="FY141" s="144">
        <f t="shared" si="84"/>
        <v>4.6437522377371976E-2</v>
      </c>
      <c r="FZ141" s="145" t="s">
        <v>199</v>
      </c>
      <c r="GA141" s="151" t="s">
        <v>200</v>
      </c>
      <c r="GB141" s="145"/>
      <c r="GC141" s="151"/>
      <c r="GD141" s="997" t="s">
        <v>416</v>
      </c>
      <c r="GE141" s="1004"/>
      <c r="GF141" s="1004">
        <v>0.47652000000000072</v>
      </c>
      <c r="GG141" s="1004"/>
      <c r="GH141" s="1004">
        <v>0</v>
      </c>
      <c r="GI141" s="145" t="s">
        <v>199</v>
      </c>
      <c r="GJ141" s="996">
        <v>-7.0235704000000005</v>
      </c>
      <c r="GK141" s="145" t="s">
        <v>207</v>
      </c>
      <c r="GL141" s="996">
        <v>10.860843840000001</v>
      </c>
      <c r="GM141" s="1005"/>
      <c r="GN141" s="996">
        <v>0</v>
      </c>
      <c r="GO141" s="1006"/>
      <c r="GP141" s="996">
        <v>0</v>
      </c>
      <c r="GQ141" s="1006"/>
      <c r="GR141" s="996">
        <v>0</v>
      </c>
      <c r="GS141" s="1006"/>
      <c r="GT141" s="996">
        <v>0</v>
      </c>
      <c r="GU141" s="1006"/>
      <c r="GV141" s="996">
        <v>0</v>
      </c>
      <c r="GW141" s="1006"/>
      <c r="GX141" s="996">
        <v>0</v>
      </c>
      <c r="GY141" s="1006"/>
      <c r="GZ141" s="996">
        <v>-0.32147544000000039</v>
      </c>
      <c r="HA141" s="1006" t="s">
        <v>199</v>
      </c>
      <c r="HB141" s="996">
        <v>-5.0226880000000005</v>
      </c>
      <c r="HC141" s="1006" t="s">
        <v>204</v>
      </c>
      <c r="HD141" s="996">
        <v>0</v>
      </c>
      <c r="HE141" s="1006" t="s">
        <v>204</v>
      </c>
      <c r="HF141" s="996">
        <v>-3.5676299999999994</v>
      </c>
      <c r="HG141" s="1006" t="s">
        <v>221</v>
      </c>
      <c r="HH141" s="996">
        <v>8.4224684280000002</v>
      </c>
      <c r="HI141" s="1006"/>
      <c r="HJ141" s="996">
        <v>0</v>
      </c>
      <c r="HK141" s="1006"/>
      <c r="HL141" s="996">
        <v>0</v>
      </c>
      <c r="HM141" s="1006"/>
      <c r="HN141" s="996">
        <v>-0.29956638800000013</v>
      </c>
      <c r="HO141" s="1006" t="s">
        <v>199</v>
      </c>
      <c r="HP141" s="996">
        <v>-5.8221046399999992</v>
      </c>
      <c r="HQ141" s="1006"/>
      <c r="HR141" s="996">
        <v>0</v>
      </c>
      <c r="HS141" s="1006"/>
      <c r="HT141" s="996">
        <v>0</v>
      </c>
      <c r="HU141" s="1006" t="s">
        <v>203</v>
      </c>
      <c r="HV141" s="996">
        <v>-2.1195179896000003</v>
      </c>
      <c r="HW141" s="1006" t="s">
        <v>25</v>
      </c>
      <c r="HX141" s="996">
        <v>8.6987125895999995</v>
      </c>
      <c r="HY141" s="1006"/>
      <c r="HZ141" s="996">
        <v>0</v>
      </c>
      <c r="IA141" s="1006"/>
      <c r="IB141" s="996">
        <v>0</v>
      </c>
      <c r="IC141" s="1006" t="s">
        <v>204</v>
      </c>
      <c r="ID141" s="996">
        <v>-1.2437171999999994</v>
      </c>
      <c r="IE141" s="1006"/>
      <c r="IF141" s="996">
        <v>0</v>
      </c>
      <c r="IG141" s="1006"/>
      <c r="IH141" s="996">
        <v>0</v>
      </c>
      <c r="II141" s="1006"/>
      <c r="IJ141" s="996">
        <v>0</v>
      </c>
      <c r="IK141" s="1006" t="s">
        <v>204</v>
      </c>
      <c r="IL141" s="996">
        <v>-1.8678748000000001</v>
      </c>
      <c r="IM141" s="1006"/>
      <c r="IN141" s="996">
        <v>0</v>
      </c>
      <c r="IO141" s="1006"/>
      <c r="IP141" s="996">
        <v>0</v>
      </c>
      <c r="IQ141" s="1006"/>
      <c r="IR141" s="996">
        <v>0</v>
      </c>
      <c r="IS141" s="1006"/>
      <c r="IT141" s="996">
        <v>0</v>
      </c>
      <c r="IU141" s="1006"/>
      <c r="IV141" s="996">
        <v>0</v>
      </c>
      <c r="IW141" s="1006"/>
      <c r="IX141" s="996">
        <v>0</v>
      </c>
      <c r="IY141" s="1006"/>
      <c r="IZ141" s="996">
        <v>0</v>
      </c>
      <c r="JA141" s="1006"/>
      <c r="JB141" s="996">
        <v>0</v>
      </c>
      <c r="JC141" s="1006"/>
      <c r="JD141" s="996">
        <v>0</v>
      </c>
      <c r="JE141" s="1006"/>
      <c r="JF141" s="996">
        <v>0</v>
      </c>
      <c r="JG141" s="1006" t="s">
        <v>199</v>
      </c>
      <c r="JH141" s="996">
        <v>2.09</v>
      </c>
      <c r="JI141" s="1006"/>
      <c r="JJ141" s="996">
        <v>0</v>
      </c>
      <c r="JK141" s="1007"/>
      <c r="JL141" s="1007">
        <v>0</v>
      </c>
      <c r="JM141" s="1007" t="s">
        <v>199</v>
      </c>
      <c r="JN141" s="1007">
        <v>-2.5915999999999997</v>
      </c>
      <c r="JO141" s="1008" t="s">
        <v>199</v>
      </c>
      <c r="JP141" s="1007">
        <v>-1.0868000000000002</v>
      </c>
      <c r="JQ141" s="1008">
        <v>0</v>
      </c>
      <c r="JR141" s="1007">
        <v>0</v>
      </c>
      <c r="JS141" s="1008" t="s">
        <v>203</v>
      </c>
      <c r="JT141" s="1007">
        <v>-9.7093625199999991</v>
      </c>
      <c r="JU141" s="1008"/>
      <c r="JV141" s="1007">
        <v>0</v>
      </c>
      <c r="JW141" s="1008" t="s">
        <v>25</v>
      </c>
      <c r="JX141" s="1007">
        <v>7.7865625200000004</v>
      </c>
      <c r="JY141" s="1008" t="s">
        <v>199</v>
      </c>
      <c r="JZ141" s="1007">
        <v>3.0931999999999986</v>
      </c>
      <c r="KA141" s="1008"/>
      <c r="KB141" s="1007">
        <v>0</v>
      </c>
      <c r="KC141" s="1008"/>
      <c r="KD141" s="1007">
        <v>0</v>
      </c>
      <c r="KE141" s="1008"/>
      <c r="KF141" s="1007">
        <v>0</v>
      </c>
      <c r="KG141" s="1008"/>
      <c r="KH141" s="1007">
        <v>0</v>
      </c>
      <c r="KI141" s="1008"/>
      <c r="KJ141" s="1007">
        <v>0</v>
      </c>
      <c r="KK141" s="1008"/>
      <c r="KL141" s="1007">
        <v>0</v>
      </c>
      <c r="KM141" s="1008"/>
      <c r="KN141" s="1007">
        <v>0</v>
      </c>
      <c r="KO141" s="1008" t="s">
        <v>206</v>
      </c>
      <c r="KP141" s="1007">
        <v>-3.3440000000000003</v>
      </c>
      <c r="KQ141" s="1008" t="s">
        <v>240</v>
      </c>
      <c r="KR141" s="1007">
        <v>-3.3439999999999994</v>
      </c>
      <c r="KS141" s="1008" t="s">
        <v>204</v>
      </c>
      <c r="KT141" s="1007">
        <v>0</v>
      </c>
      <c r="KU141" s="1008" t="s">
        <v>206</v>
      </c>
      <c r="KV141" s="1007">
        <v>-3.3439999999999994</v>
      </c>
      <c r="KW141" s="1008">
        <v>0</v>
      </c>
      <c r="KX141" s="1007">
        <v>0</v>
      </c>
      <c r="KY141" s="1008">
        <v>0</v>
      </c>
      <c r="KZ141" s="1007">
        <v>8.6107999999999993</v>
      </c>
      <c r="LA141" s="1008">
        <v>0</v>
      </c>
      <c r="LB141" s="1007">
        <v>0</v>
      </c>
      <c r="LC141" s="1008">
        <v>0</v>
      </c>
      <c r="LD141" s="1007">
        <v>0</v>
      </c>
      <c r="LE141" s="1008">
        <v>0</v>
      </c>
      <c r="LF141" s="1007">
        <v>0</v>
      </c>
      <c r="LG141" s="1008">
        <v>0</v>
      </c>
      <c r="LH141" s="1007">
        <v>-8.2784639999999996</v>
      </c>
      <c r="LI141" s="1008">
        <v>0</v>
      </c>
      <c r="LJ141" s="1007">
        <v>0</v>
      </c>
      <c r="LK141" s="1008">
        <v>0</v>
      </c>
      <c r="LL141" s="1007">
        <v>0</v>
      </c>
      <c r="LM141" s="1008" t="s">
        <v>206</v>
      </c>
      <c r="LN141" s="1007">
        <v>-0.3342</v>
      </c>
      <c r="LO141" s="1008" t="s">
        <v>206</v>
      </c>
      <c r="LP141" s="1007">
        <v>-3.3419936000000003</v>
      </c>
      <c r="LQ141" s="1008">
        <v>0</v>
      </c>
      <c r="LR141" s="1007">
        <v>0</v>
      </c>
      <c r="LS141" s="1008" t="s">
        <v>206</v>
      </c>
      <c r="LT141" s="1007">
        <v>-5.1299400000000004</v>
      </c>
      <c r="LU141" s="1008">
        <v>0</v>
      </c>
      <c r="LV141" s="1007">
        <v>0</v>
      </c>
      <c r="LW141" s="1008">
        <v>0</v>
      </c>
      <c r="LX141" s="1007">
        <v>0</v>
      </c>
      <c r="LY141" s="1009" t="s">
        <v>206</v>
      </c>
      <c r="LZ141" s="1010">
        <v>-2.1146285599999999</v>
      </c>
      <c r="MA141" s="1011">
        <v>0</v>
      </c>
      <c r="MB141" s="1012">
        <v>0.5497495999998</v>
      </c>
      <c r="MC141" s="995"/>
      <c r="MD141" s="996"/>
      <c r="ME141" s="997" t="s">
        <v>416</v>
      </c>
      <c r="MF141" s="997"/>
      <c r="MG141" s="998"/>
      <c r="NR141" s="1000"/>
      <c r="NS141" s="1000"/>
      <c r="NT141" s="1001"/>
      <c r="NU141" s="1000"/>
      <c r="NV141" s="1001"/>
      <c r="NX141" s="1002"/>
      <c r="NZ141" s="1001"/>
      <c r="OA141" s="1001"/>
      <c r="OC141" s="1003"/>
      <c r="OD141" s="1003"/>
      <c r="OE141" s="1001"/>
      <c r="OF141" s="1003"/>
      <c r="OG141" s="1003"/>
      <c r="QX141" s="1000">
        <f t="shared" si="96"/>
        <v>17</v>
      </c>
      <c r="ASU141" s="999" t="s">
        <v>208</v>
      </c>
    </row>
    <row r="142" spans="1:466 1191:1191" ht="21" customHeight="1" x14ac:dyDescent="0.25">
      <c r="A142" s="982" t="str">
        <f t="shared" si="59"/>
        <v>1050-2</v>
      </c>
      <c r="B142" s="124">
        <f>SUBTOTAL(103,$J$29:J142)</f>
        <v>114</v>
      </c>
      <c r="C142" s="126">
        <v>45068</v>
      </c>
      <c r="D142" s="124" t="s">
        <v>176</v>
      </c>
      <c r="E142" s="127" t="s">
        <v>177</v>
      </c>
      <c r="F142" s="128" t="s">
        <v>177</v>
      </c>
      <c r="G142" s="127" t="s">
        <v>178</v>
      </c>
      <c r="H142" s="127" t="s">
        <v>421</v>
      </c>
      <c r="I142" s="127" t="s">
        <v>422</v>
      </c>
      <c r="J142" s="152" t="s">
        <v>754</v>
      </c>
      <c r="K142" s="127" t="s">
        <v>746</v>
      </c>
      <c r="L142" s="130">
        <v>40179</v>
      </c>
      <c r="M142" s="127" t="s">
        <v>230</v>
      </c>
      <c r="N142" s="127" t="s">
        <v>465</v>
      </c>
      <c r="O142" s="127" t="s">
        <v>185</v>
      </c>
      <c r="P142" s="127" t="s">
        <v>292</v>
      </c>
      <c r="Q142" s="85" t="str">
        <f t="shared" si="85"/>
        <v/>
      </c>
      <c r="R142" s="130"/>
      <c r="S142" s="128" t="s">
        <v>156</v>
      </c>
      <c r="T142" s="131"/>
      <c r="U142" s="132">
        <v>203</v>
      </c>
      <c r="V142" s="121">
        <v>218.2</v>
      </c>
      <c r="W142" s="116">
        <v>0.98</v>
      </c>
      <c r="X142" s="116">
        <v>1.66</v>
      </c>
      <c r="Y142" s="116">
        <f t="shared" si="86"/>
        <v>0.98028109265066365</v>
      </c>
      <c r="Z142" s="133">
        <v>1.454</v>
      </c>
      <c r="AA142" s="133">
        <v>0.83599999999999997</v>
      </c>
      <c r="AB142" s="133">
        <v>0.72</v>
      </c>
      <c r="AC142" s="121">
        <v>34.299999999999997</v>
      </c>
      <c r="AD142" s="134">
        <v>1.17</v>
      </c>
      <c r="AE142" s="124">
        <v>139.69999999999999</v>
      </c>
      <c r="AF142" s="128">
        <v>7.72</v>
      </c>
      <c r="AG142" s="128">
        <v>1941</v>
      </c>
      <c r="AH142" s="127" t="s">
        <v>755</v>
      </c>
      <c r="AI142" s="127" t="s">
        <v>755</v>
      </c>
      <c r="AJ142" s="135"/>
      <c r="AK142" s="128"/>
      <c r="AL142" s="131"/>
      <c r="AM142" s="124" t="s">
        <v>232</v>
      </c>
      <c r="AN142" s="136" t="s">
        <v>756</v>
      </c>
      <c r="AO142" s="137" t="s">
        <v>757</v>
      </c>
      <c r="AP142" s="128">
        <v>1943</v>
      </c>
      <c r="AQ142" s="128">
        <v>61</v>
      </c>
      <c r="AR142" s="128" t="s">
        <v>758</v>
      </c>
      <c r="AS142" s="128">
        <v>102</v>
      </c>
      <c r="AT142" s="122">
        <v>6.5</v>
      </c>
      <c r="AU142" s="124" t="s">
        <v>250</v>
      </c>
      <c r="AV142" s="115">
        <f>VLOOKUP(J142,'[63]ТР нефть'!$J$28:$BP$638,39,0)</f>
        <v>550</v>
      </c>
      <c r="AW142" s="115" t="str">
        <f>VLOOKUP(J142,'[63]ТР нефть'!$J$28:$BP$638,40,0)</f>
        <v>ГК 83 1/8</v>
      </c>
      <c r="AX142" s="115">
        <f>VLOOKUP(J142,'[63]ТР нефть'!$J$28:$BP$638,41,0)</f>
        <v>1000</v>
      </c>
      <c r="AY142" s="115" t="str">
        <f>VLOOKUP(J142,'[63]ТР нефть'!$J$28:$BP$638,42,0)</f>
        <v>ГК 84 1/8</v>
      </c>
      <c r="AZ142" s="115">
        <f>VLOOKUP(J142,'[63]ТР нефть'!$J$28:$BP$638,43,0)</f>
        <v>1350</v>
      </c>
      <c r="BA142" s="115" t="str">
        <f>VLOOKUP(J142,'[63]ТР нефть'!$J$28:$BP$638,44,0)</f>
        <v>ГК 86 1/8</v>
      </c>
      <c r="BB142" s="115">
        <f>VLOOKUP(J142,'[63]ТР нефть'!$J$28:$BP$638,45,0)</f>
        <v>1598</v>
      </c>
      <c r="BC142" s="115" t="str">
        <f>VLOOKUP(J142,'[63]ТР нефть'!$J$28:$BP$638,46,0)</f>
        <v>ЦКсОК 5/16</v>
      </c>
      <c r="BD142" s="115" t="str">
        <f>VLOOKUP(J142,'[63]ТР нефть'!$J$28:$BP$638,47,0)</f>
        <v>-</v>
      </c>
      <c r="BE142" s="115" t="str">
        <f>VLOOKUP(J142,'[63]ТР нефть'!$J$28:$BP$638,48,0)</f>
        <v>-</v>
      </c>
      <c r="BF142" s="115" t="str">
        <f>VLOOKUP(J142,'[63]ТР нефть'!$J$28:$BP$638,49,0)</f>
        <v>-</v>
      </c>
      <c r="BG142" s="115" t="str">
        <f>VLOOKUP(J142,'[63]ТР нефть'!$J$28:$BP$638,50,0)</f>
        <v>-</v>
      </c>
      <c r="BH142" s="115">
        <f>VLOOKUP(J142,'[63]ТР нефть'!$J$28:$BP$638,51,0)</f>
        <v>1608</v>
      </c>
      <c r="BI142" s="115" t="str">
        <f>VLOOKUP(J142,'[63]ТР нефть'!$J$28:$BP$638,52,0)</f>
        <v>закрыт</v>
      </c>
      <c r="BJ142" s="115" t="str">
        <f>IF(IFERROR(VLOOKUP(J142,'[63]ТР нефть'!$J$28:$BP$638,53,0),"-")=0,"-",IFERROR(VLOOKUP(J142,'[63]ТР нефть'!$J$28:$BP$638,53,0),"-"))</f>
        <v>-</v>
      </c>
      <c r="BK142" s="138" t="str">
        <f>IF(IFERROR(VLOOKUP(J142,'[63]ТР нефть'!$J$28:$BP$638,54,0),"-")=0,"-",IFERROR(VLOOKUP(J142,'[63]ТР нефть'!$J$28:$BP$638,54,0),"-"))</f>
        <v>-</v>
      </c>
      <c r="BL142" s="138" t="str">
        <f>IF(IFERROR(VLOOKUP(J142,'[63]ТР нефть'!$J$28:$BP$638,55,0),"-")=0,"-",IFERROR(VLOOKUP(J142,'[63]ТР нефть'!$J$28:$BP$638,55,0),"-"))</f>
        <v>-</v>
      </c>
      <c r="BM142" s="138" t="str">
        <f>IF(IFERROR(VLOOKUP(J142,'[63]ТР нефть'!$J$28:$BP$638,56,0),"-")=0,"-",IFERROR(VLOOKUP(J142,'[63]ТР нефть'!$J$28:$BP$638,56,0),"-"))</f>
        <v>-</v>
      </c>
      <c r="BN142" s="138" t="str">
        <f>IF(IFERROR(VLOOKUP(J142,'[63]ТР нефть'!$J$28:$BP$638,57,0),"-")=0,"-",IFERROR(VLOOKUP(J142,'[63]ТР нефть'!$J$28:$BP$638,57,0),"-"))</f>
        <v>-</v>
      </c>
      <c r="BO142" s="115" t="str">
        <f>IF(IFERROR(VLOOKUP(J142,'[63]ТР нефть'!$J$28:$BP$638,58,0),"-")=0,"-",IFERROR(VLOOKUP(J142,'[63]ТР нефть'!$J$28:$BP$638,58,0),"-"))</f>
        <v>-</v>
      </c>
      <c r="BP142" s="115" t="str">
        <f>IF(IFERROR(VLOOKUP(J142,'[63]ТР нефть'!$J$28:$BP$638,59,0),"-")=0,"-",IFERROR(VLOOKUP(J142,'[63]ТР нефть'!$J$28:$BP$638,59,0),"-"))</f>
        <v>-</v>
      </c>
      <c r="BQ142" s="138">
        <v>1660</v>
      </c>
      <c r="BR142" s="128">
        <v>1658.27</v>
      </c>
      <c r="BS142" s="115">
        <f t="shared" si="60"/>
        <v>1.7300000000000182</v>
      </c>
      <c r="BT142" s="128">
        <v>73</v>
      </c>
      <c r="BU142" s="128">
        <v>5.5</v>
      </c>
      <c r="BV142" s="127">
        <v>10</v>
      </c>
      <c r="BW142" s="127" t="s">
        <v>217</v>
      </c>
      <c r="BX142" s="127" t="s">
        <v>195</v>
      </c>
      <c r="BY142" s="139">
        <v>24</v>
      </c>
      <c r="BZ142" s="139">
        <v>0</v>
      </c>
      <c r="CA142" s="80">
        <v>69</v>
      </c>
      <c r="CB142" s="138">
        <v>52</v>
      </c>
      <c r="CC142" s="138">
        <v>29</v>
      </c>
      <c r="CD142" s="135">
        <v>45017</v>
      </c>
      <c r="CE142" s="80">
        <v>115.2</v>
      </c>
      <c r="CF142" s="80"/>
      <c r="CG142" s="138" t="str">
        <f t="shared" si="99"/>
        <v/>
      </c>
      <c r="CH142" s="138" t="s">
        <v>197</v>
      </c>
      <c r="CI142" s="127"/>
      <c r="CJ142" s="138"/>
      <c r="CK142" s="138"/>
      <c r="CL142" s="99"/>
      <c r="CM142" s="138"/>
      <c r="CN142" s="154">
        <v>91</v>
      </c>
      <c r="CO142" s="159">
        <f t="shared" si="61"/>
        <v>7.3616752175999993</v>
      </c>
      <c r="CP142" s="160">
        <v>8.8119999999999994</v>
      </c>
      <c r="CQ142" s="161">
        <v>7.0000000000000007E-2</v>
      </c>
      <c r="CR142" s="138">
        <v>95.409000000000006</v>
      </c>
      <c r="CS142" s="139"/>
      <c r="CT142" s="138"/>
      <c r="CU142" s="138">
        <f t="shared" si="62"/>
        <v>95.409000000000006</v>
      </c>
      <c r="CV142" s="115">
        <f t="shared" si="63"/>
        <v>12960.229455912422</v>
      </c>
      <c r="CW142" s="115" t="str">
        <f t="shared" si="64"/>
        <v/>
      </c>
      <c r="CX142" s="133">
        <f t="shared" si="65"/>
        <v>0.3641322314049586</v>
      </c>
      <c r="CY142" s="116"/>
      <c r="CZ142" s="131"/>
      <c r="DA142" s="145" t="str">
        <f t="shared" si="66"/>
        <v>Фон.</v>
      </c>
      <c r="DB142" s="146">
        <f t="shared" si="67"/>
        <v>7.3616752175999993</v>
      </c>
      <c r="DC142" s="142">
        <f t="shared" si="68"/>
        <v>8.8119999999999994</v>
      </c>
      <c r="DD142" s="119">
        <f t="shared" si="69"/>
        <v>7.0000000000000007E-2</v>
      </c>
      <c r="DE142" s="115">
        <f t="shared" si="70"/>
        <v>95.409000000000006</v>
      </c>
      <c r="DF142" s="121">
        <f t="shared" si="71"/>
        <v>0</v>
      </c>
      <c r="DG142" s="115">
        <f t="shared" si="72"/>
        <v>12960.229455912422</v>
      </c>
      <c r="DH142" s="115">
        <f t="shared" si="73"/>
        <v>91</v>
      </c>
      <c r="DI142" s="147"/>
      <c r="DJ142" s="191">
        <v>60</v>
      </c>
      <c r="DK142" s="112">
        <v>43166</v>
      </c>
      <c r="DL142" s="113">
        <f t="shared" ca="1" si="87"/>
        <v>1938</v>
      </c>
      <c r="DM142" s="113">
        <v>164</v>
      </c>
      <c r="DN142" s="114"/>
      <c r="DO142" s="114"/>
      <c r="DP142" s="114"/>
      <c r="DQ142" s="192"/>
      <c r="DR142" s="112">
        <v>43031</v>
      </c>
      <c r="DS142" s="114" t="s">
        <v>282</v>
      </c>
      <c r="DT142" s="148">
        <v>60</v>
      </c>
      <c r="DU142" s="116">
        <f t="shared" si="88"/>
        <v>0.31609776683664498</v>
      </c>
      <c r="DV142" s="117">
        <f t="shared" si="89"/>
        <v>14.576815946957987</v>
      </c>
      <c r="DW142" s="117">
        <f t="shared" si="90"/>
        <v>17.448596729382803</v>
      </c>
      <c r="DX142" s="118">
        <f t="shared" si="74"/>
        <v>7.0000000000000007E-2</v>
      </c>
      <c r="DY142" s="142">
        <f t="shared" si="91"/>
        <v>188.91887940917883</v>
      </c>
      <c r="DZ142" s="117">
        <f t="shared" si="92"/>
        <v>7.2151407293579881</v>
      </c>
      <c r="EA142" s="117">
        <f t="shared" si="92"/>
        <v>8.6365967293828039</v>
      </c>
      <c r="EB142" s="120">
        <f t="shared" si="92"/>
        <v>0</v>
      </c>
      <c r="EC142" s="121">
        <f t="shared" si="93"/>
        <v>93.509879409178822</v>
      </c>
      <c r="ED142" s="122"/>
      <c r="EE142" s="145">
        <v>10</v>
      </c>
      <c r="EF142" s="148">
        <v>69</v>
      </c>
      <c r="EG142" s="115">
        <v>52</v>
      </c>
      <c r="EH142" s="115">
        <v>29</v>
      </c>
      <c r="EI142" s="128" t="s">
        <v>195</v>
      </c>
      <c r="EJ142" s="121">
        <v>24</v>
      </c>
      <c r="EK142" s="121">
        <v>0</v>
      </c>
      <c r="EL142" s="162">
        <v>7.3616752175999993</v>
      </c>
      <c r="EM142" s="142">
        <v>8.8119999999999994</v>
      </c>
      <c r="EN142" s="119">
        <v>7.0000000000000007E-2</v>
      </c>
      <c r="EO142" s="121">
        <v>95.409000000000006</v>
      </c>
      <c r="EP142" s="121">
        <v>12960.229455912422</v>
      </c>
      <c r="EQ142" s="121">
        <v>0</v>
      </c>
      <c r="ER142" s="121">
        <v>0</v>
      </c>
      <c r="ES142" s="115">
        <v>91</v>
      </c>
      <c r="ET142" s="150">
        <v>0.3641322314049586</v>
      </c>
      <c r="EU142" s="145">
        <f t="shared" si="75"/>
        <v>10</v>
      </c>
      <c r="EV142" s="115">
        <f t="shared" si="76"/>
        <v>69</v>
      </c>
      <c r="EW142" s="115">
        <f t="shared" si="76"/>
        <v>52</v>
      </c>
      <c r="EX142" s="115">
        <f t="shared" si="76"/>
        <v>29</v>
      </c>
      <c r="EY142" s="115" t="str">
        <f t="shared" si="98"/>
        <v>Постоянный</v>
      </c>
      <c r="EZ142" s="115">
        <f t="shared" si="98"/>
        <v>24</v>
      </c>
      <c r="FA142" s="115">
        <f t="shared" si="98"/>
        <v>0</v>
      </c>
      <c r="FB142" s="149">
        <f t="shared" si="78"/>
        <v>7.3616752175999993</v>
      </c>
      <c r="FC142" s="142">
        <f t="shared" si="78"/>
        <v>8.8119999999999994</v>
      </c>
      <c r="FD142" s="119">
        <f t="shared" si="78"/>
        <v>7.0000000000000007E-2</v>
      </c>
      <c r="FE142" s="121">
        <f t="shared" si="78"/>
        <v>95.409000000000006</v>
      </c>
      <c r="FF142" s="121">
        <f t="shared" si="94"/>
        <v>12960.229455912422</v>
      </c>
      <c r="FG142" s="121">
        <f t="shared" si="79"/>
        <v>0</v>
      </c>
      <c r="FH142" s="121">
        <f t="shared" si="95"/>
        <v>0</v>
      </c>
      <c r="FI142" s="121">
        <f t="shared" si="97"/>
        <v>91</v>
      </c>
      <c r="FJ142" s="144">
        <f t="shared" si="80"/>
        <v>0.3641322314049586</v>
      </c>
      <c r="FK142" s="132">
        <f t="shared" si="81"/>
        <v>0</v>
      </c>
      <c r="FL142" s="115">
        <f t="shared" si="81"/>
        <v>0</v>
      </c>
      <c r="FM142" s="115">
        <f t="shared" si="81"/>
        <v>0</v>
      </c>
      <c r="FN142" s="115">
        <f t="shared" si="58"/>
        <v>0</v>
      </c>
      <c r="FO142" s="115">
        <f t="shared" si="100"/>
        <v>0</v>
      </c>
      <c r="FP142" s="115">
        <f t="shared" si="100"/>
        <v>0</v>
      </c>
      <c r="FQ142" s="149">
        <f t="shared" si="100"/>
        <v>0</v>
      </c>
      <c r="FR142" s="142">
        <f t="shared" si="100"/>
        <v>0</v>
      </c>
      <c r="FS142" s="119">
        <f t="shared" si="100"/>
        <v>0</v>
      </c>
      <c r="FT142" s="121">
        <f t="shared" si="100"/>
        <v>0</v>
      </c>
      <c r="FU142" s="121">
        <f t="shared" si="82"/>
        <v>0</v>
      </c>
      <c r="FV142" s="121">
        <f t="shared" si="82"/>
        <v>0</v>
      </c>
      <c r="FW142" s="121">
        <f t="shared" si="83"/>
        <v>0</v>
      </c>
      <c r="FX142" s="121">
        <f t="shared" si="84"/>
        <v>0</v>
      </c>
      <c r="FY142" s="144">
        <f t="shared" si="84"/>
        <v>0</v>
      </c>
      <c r="FZ142" s="145"/>
      <c r="GA142" s="151" t="s">
        <v>427</v>
      </c>
      <c r="GB142" s="145"/>
      <c r="GC142" s="151" t="s">
        <v>759</v>
      </c>
      <c r="GD142" s="997" t="s">
        <v>416</v>
      </c>
      <c r="GE142" s="1004"/>
      <c r="GF142" s="1004">
        <v>0</v>
      </c>
      <c r="GG142" s="1004"/>
      <c r="GH142" s="1004">
        <v>0</v>
      </c>
      <c r="GI142" s="145"/>
      <c r="GJ142" s="996">
        <v>0</v>
      </c>
      <c r="GK142" s="145"/>
      <c r="GL142" s="996">
        <v>0</v>
      </c>
      <c r="GM142" s="1005"/>
      <c r="GN142" s="996">
        <v>0</v>
      </c>
      <c r="GO142" s="1006"/>
      <c r="GP142" s="996">
        <v>0</v>
      </c>
      <c r="GQ142" s="1006"/>
      <c r="GR142" s="996">
        <v>0</v>
      </c>
      <c r="GS142" s="1006"/>
      <c r="GT142" s="996">
        <v>0</v>
      </c>
      <c r="GU142" s="1006"/>
      <c r="GV142" s="996">
        <v>0</v>
      </c>
      <c r="GW142" s="1006"/>
      <c r="GX142" s="996">
        <v>0</v>
      </c>
      <c r="GY142" s="1006"/>
      <c r="GZ142" s="996">
        <v>0</v>
      </c>
      <c r="HA142" s="1006"/>
      <c r="HB142" s="996">
        <v>0.31345953759999912</v>
      </c>
      <c r="HC142" s="1006" t="s">
        <v>199</v>
      </c>
      <c r="HD142" s="996">
        <v>-2.8719526000000002</v>
      </c>
      <c r="HE142" s="1006"/>
      <c r="HF142" s="996">
        <v>0</v>
      </c>
      <c r="HG142" s="1006"/>
      <c r="HH142" s="996">
        <v>0</v>
      </c>
      <c r="HI142" s="1006" t="s">
        <v>275</v>
      </c>
      <c r="HJ142" s="996">
        <v>-4.208231719999997</v>
      </c>
      <c r="HK142" s="1006"/>
      <c r="HL142" s="996">
        <v>0</v>
      </c>
      <c r="HM142" s="1006" t="s">
        <v>204</v>
      </c>
      <c r="HN142" s="996">
        <v>2.7855519999999974</v>
      </c>
      <c r="HO142" s="1006"/>
      <c r="HP142" s="996">
        <v>0</v>
      </c>
      <c r="HQ142" s="1006"/>
      <c r="HR142" s="996">
        <v>0</v>
      </c>
      <c r="HS142" s="1006" t="s">
        <v>643</v>
      </c>
      <c r="HT142" s="996">
        <v>0</v>
      </c>
      <c r="HU142" s="1006"/>
      <c r="HV142" s="996">
        <v>0</v>
      </c>
      <c r="HW142" s="1006"/>
      <c r="HX142" s="996">
        <v>0</v>
      </c>
      <c r="HY142" s="1006" t="s">
        <v>204</v>
      </c>
      <c r="HZ142" s="996">
        <v>2.0583657599999992</v>
      </c>
      <c r="IA142" s="1006"/>
      <c r="IB142" s="996">
        <v>0</v>
      </c>
      <c r="IC142" s="1006"/>
      <c r="ID142" s="996">
        <v>0</v>
      </c>
      <c r="IE142" s="1006"/>
      <c r="IF142" s="996">
        <v>0</v>
      </c>
      <c r="IG142" s="1006"/>
      <c r="IH142" s="996">
        <v>0</v>
      </c>
      <c r="II142" s="1006"/>
      <c r="IJ142" s="996">
        <v>0</v>
      </c>
      <c r="IK142" s="1006" t="s">
        <v>204</v>
      </c>
      <c r="IL142" s="996">
        <v>-3.9554565863999986</v>
      </c>
      <c r="IM142" s="1006" t="s">
        <v>199</v>
      </c>
      <c r="IN142" s="996">
        <v>-3.3295811736000012</v>
      </c>
      <c r="IO142" s="1006"/>
      <c r="IP142" s="996">
        <v>0</v>
      </c>
      <c r="IQ142" s="1006"/>
      <c r="IR142" s="996">
        <v>0</v>
      </c>
      <c r="IS142" s="1006"/>
      <c r="IT142" s="996">
        <v>0</v>
      </c>
      <c r="IU142" s="1006"/>
      <c r="IV142" s="996">
        <v>0</v>
      </c>
      <c r="IW142" s="1006"/>
      <c r="IX142" s="996">
        <v>0</v>
      </c>
      <c r="IY142" s="1006" t="s">
        <v>204</v>
      </c>
      <c r="IZ142" s="996">
        <v>14.585809040000001</v>
      </c>
      <c r="JA142" s="1006"/>
      <c r="JB142" s="996"/>
      <c r="JC142" s="1006"/>
      <c r="JD142" s="996">
        <v>0</v>
      </c>
      <c r="JE142" s="1006"/>
      <c r="JF142" s="996">
        <v>0</v>
      </c>
      <c r="JG142" s="1006"/>
      <c r="JH142" s="996">
        <v>0</v>
      </c>
      <c r="JI142" s="1006"/>
      <c r="JJ142" s="996">
        <v>0</v>
      </c>
      <c r="JK142" s="1007"/>
      <c r="JL142" s="1007">
        <v>0</v>
      </c>
      <c r="JM142" s="1007"/>
      <c r="JN142" s="1007">
        <v>0</v>
      </c>
      <c r="JO142" s="1008" t="s">
        <v>199</v>
      </c>
      <c r="JP142" s="1007">
        <v>-16.35311304</v>
      </c>
      <c r="JQ142" s="1008">
        <v>0</v>
      </c>
      <c r="JR142" s="1007">
        <v>0</v>
      </c>
      <c r="JS142" s="1008">
        <v>0</v>
      </c>
      <c r="JT142" s="1007">
        <v>0</v>
      </c>
      <c r="JU142" s="1008" t="s">
        <v>622</v>
      </c>
      <c r="JV142" s="1007">
        <v>18.336824</v>
      </c>
      <c r="JW142" s="1008" t="s">
        <v>197</v>
      </c>
      <c r="JX142" s="1007">
        <v>0</v>
      </c>
      <c r="JY142" s="1008"/>
      <c r="JZ142" s="1007">
        <v>0</v>
      </c>
      <c r="KA142" s="1008"/>
      <c r="KB142" s="1007">
        <v>-8.3349200000000003E-85</v>
      </c>
      <c r="KC142" s="1008"/>
      <c r="KD142" s="1007">
        <v>-18.336824</v>
      </c>
      <c r="KE142" s="1008"/>
      <c r="KF142" s="1007">
        <v>0</v>
      </c>
      <c r="KG142" s="1008"/>
      <c r="KH142" s="1007">
        <v>0</v>
      </c>
      <c r="KI142" s="1008"/>
      <c r="KJ142" s="1007"/>
      <c r="KK142" s="1008"/>
      <c r="KL142" s="1007"/>
      <c r="KM142" s="1008"/>
      <c r="KN142" s="1007">
        <v>0</v>
      </c>
      <c r="KO142" s="1008"/>
      <c r="KP142" s="1007">
        <v>0</v>
      </c>
      <c r="KQ142" s="1008" t="s">
        <v>240</v>
      </c>
      <c r="KR142" s="1007">
        <v>-6.6679359999999974</v>
      </c>
      <c r="KS142" s="1008" t="s">
        <v>221</v>
      </c>
      <c r="KT142" s="1007">
        <v>0</v>
      </c>
      <c r="KU142" s="1008" t="s">
        <v>206</v>
      </c>
      <c r="KV142" s="1007">
        <v>-2.6671744000000004</v>
      </c>
      <c r="KW142" s="1008">
        <v>0</v>
      </c>
      <c r="KX142" s="1007">
        <v>0</v>
      </c>
      <c r="KY142" s="1008" t="s">
        <v>224</v>
      </c>
      <c r="KZ142" s="1007">
        <v>27.671934399999998</v>
      </c>
      <c r="LA142" s="1008">
        <v>0</v>
      </c>
      <c r="LB142" s="1007">
        <v>0</v>
      </c>
      <c r="LC142" s="1008">
        <v>0</v>
      </c>
      <c r="LD142" s="1007">
        <v>0</v>
      </c>
      <c r="LE142" s="1008">
        <v>0</v>
      </c>
      <c r="LF142" s="1007">
        <v>0</v>
      </c>
      <c r="LG142" s="1008" t="s">
        <v>221</v>
      </c>
      <c r="LH142" s="1007">
        <v>3.4275999999999982</v>
      </c>
      <c r="LI142" s="1008" t="s">
        <v>25</v>
      </c>
      <c r="LJ142" s="1007">
        <v>19.980399999999999</v>
      </c>
      <c r="LK142" s="1008">
        <v>0</v>
      </c>
      <c r="LL142" s="1007">
        <v>0</v>
      </c>
      <c r="LM142" s="1008">
        <v>0</v>
      </c>
      <c r="LN142" s="1007">
        <v>0</v>
      </c>
      <c r="LO142" s="1008">
        <v>0</v>
      </c>
      <c r="LP142" s="1007">
        <v>0</v>
      </c>
      <c r="LQ142" s="1008">
        <v>0</v>
      </c>
      <c r="LR142" s="1007">
        <v>0</v>
      </c>
      <c r="LS142" s="1008">
        <v>0</v>
      </c>
      <c r="LT142" s="1007">
        <v>0.12528713999999999</v>
      </c>
      <c r="LU142" s="1008">
        <v>0</v>
      </c>
      <c r="LV142" s="1007">
        <v>0</v>
      </c>
      <c r="LW142" s="1008">
        <v>0</v>
      </c>
      <c r="LX142" s="1007">
        <v>0</v>
      </c>
      <c r="LY142" s="1009">
        <v>0</v>
      </c>
      <c r="LZ142" s="1010">
        <v>0.17125999999993</v>
      </c>
      <c r="MA142" s="1011">
        <v>0</v>
      </c>
      <c r="MB142" s="1012">
        <v>-0.52459</v>
      </c>
      <c r="MC142" s="995"/>
      <c r="MD142" s="996"/>
      <c r="ME142" s="997" t="s">
        <v>416</v>
      </c>
      <c r="MF142" s="997"/>
      <c r="MG142" s="998"/>
      <c r="NR142" s="1000"/>
      <c r="NS142" s="1000"/>
      <c r="NT142" s="1001"/>
      <c r="NU142" s="1000"/>
      <c r="NV142" s="1001"/>
      <c r="NX142" s="1002"/>
      <c r="NZ142" s="1001"/>
      <c r="OA142" s="1001"/>
      <c r="OC142" s="1003"/>
      <c r="OD142" s="1003"/>
      <c r="OE142" s="1001"/>
      <c r="OF142" s="1003"/>
      <c r="OG142" s="1003"/>
      <c r="QX142" s="1000">
        <f t="shared" si="96"/>
        <v>22</v>
      </c>
      <c r="ASU142" s="999" t="s">
        <v>292</v>
      </c>
    </row>
    <row r="143" spans="1:466 1191:1191" ht="21" customHeight="1" x14ac:dyDescent="0.25">
      <c r="A143" s="982">
        <f t="shared" si="59"/>
        <v>1051</v>
      </c>
      <c r="B143" s="124">
        <f>SUBTOTAL(103,$J$29:J143)</f>
        <v>115</v>
      </c>
      <c r="C143" s="126">
        <v>45096</v>
      </c>
      <c r="D143" s="124" t="s">
        <v>176</v>
      </c>
      <c r="E143" s="127" t="s">
        <v>177</v>
      </c>
      <c r="F143" s="128" t="s">
        <v>177</v>
      </c>
      <c r="G143" s="127" t="s">
        <v>178</v>
      </c>
      <c r="H143" s="127" t="s">
        <v>421</v>
      </c>
      <c r="I143" s="127" t="s">
        <v>760</v>
      </c>
      <c r="J143" s="129">
        <v>1051</v>
      </c>
      <c r="K143" s="127" t="s">
        <v>761</v>
      </c>
      <c r="L143" s="130">
        <v>40024</v>
      </c>
      <c r="M143" s="127" t="s">
        <v>183</v>
      </c>
      <c r="N143" s="127" t="s">
        <v>231</v>
      </c>
      <c r="O143" s="127" t="s">
        <v>185</v>
      </c>
      <c r="P143" s="127" t="s">
        <v>208</v>
      </c>
      <c r="Q143" s="85">
        <f t="shared" si="85"/>
        <v>-4</v>
      </c>
      <c r="R143" s="130">
        <v>41838</v>
      </c>
      <c r="S143" s="128" t="s">
        <v>211</v>
      </c>
      <c r="T143" s="131" t="s">
        <v>762</v>
      </c>
      <c r="U143" s="132">
        <v>203</v>
      </c>
      <c r="V143" s="121">
        <v>218.2</v>
      </c>
      <c r="W143" s="116">
        <v>0.98</v>
      </c>
      <c r="X143" s="116">
        <v>1.66</v>
      </c>
      <c r="Y143" s="116">
        <f t="shared" si="86"/>
        <v>0.98</v>
      </c>
      <c r="Z143" s="133">
        <v>1.454</v>
      </c>
      <c r="AA143" s="133">
        <v>0.83599999999999997</v>
      </c>
      <c r="AB143" s="133">
        <v>0.72</v>
      </c>
      <c r="AC143" s="121">
        <v>34.299999999999997</v>
      </c>
      <c r="AD143" s="134">
        <v>1.17</v>
      </c>
      <c r="AE143" s="124">
        <v>139.69999999999999</v>
      </c>
      <c r="AF143" s="128">
        <v>7.72</v>
      </c>
      <c r="AG143" s="128">
        <v>2048</v>
      </c>
      <c r="AH143" s="127">
        <v>2035</v>
      </c>
      <c r="AI143" s="127">
        <v>2035</v>
      </c>
      <c r="AJ143" s="135"/>
      <c r="AK143" s="128"/>
      <c r="AL143" s="131"/>
      <c r="AM143" s="124" t="s">
        <v>187</v>
      </c>
      <c r="AN143" s="136" t="s">
        <v>763</v>
      </c>
      <c r="AO143" s="137">
        <v>50.98</v>
      </c>
      <c r="AP143" s="128">
        <v>1892</v>
      </c>
      <c r="AQ143" s="128">
        <v>0.28000000000000003</v>
      </c>
      <c r="AR143" s="128"/>
      <c r="AS143" s="128"/>
      <c r="AT143" s="122"/>
      <c r="AU143" s="124" t="s">
        <v>189</v>
      </c>
      <c r="AV143" s="115">
        <f>VLOOKUP(J143,'[63]ТР нефть'!$J$28:$BP$638,39,0)</f>
        <v>600.15120000000002</v>
      </c>
      <c r="AW143" s="115" t="str">
        <f>VLOOKUP(J143,'[63]ТР нефть'!$J$28:$BP$638,40,0)</f>
        <v>ГК 80 1/8</v>
      </c>
      <c r="AX143" s="115">
        <f>VLOOKUP(J143,'[63]ТР нефть'!$J$28:$BP$638,41,0)</f>
        <v>1160.0688</v>
      </c>
      <c r="AY143" s="115" t="str">
        <f>VLOOKUP(J143,'[63]ТР нефть'!$J$28:$BP$638,42,0)</f>
        <v>ГК 83 1/8</v>
      </c>
      <c r="AZ143" s="115">
        <f>VLOOKUP(J143,'[63]ТР нефть'!$J$28:$BP$638,43,0)</f>
        <v>1549.9079999999999</v>
      </c>
      <c r="BA143" s="115" t="str">
        <f>VLOOKUP(J143,'[63]ТР нефть'!$J$28:$BP$638,44,0)</f>
        <v>ГК 82 1/8</v>
      </c>
      <c r="BB143" s="115">
        <f>VLOOKUP(J143,'[63]ТР нефть'!$J$28:$BP$638,45,0)</f>
        <v>1830.0192</v>
      </c>
      <c r="BC143" s="115" t="str">
        <f>VLOOKUP(J143,'[63]ТР нефть'!$J$28:$BP$638,46,0)</f>
        <v>ЦКсОК 5/16</v>
      </c>
      <c r="BD143" s="115" t="str">
        <f>VLOOKUP(J143,'[63]ТР нефть'!$J$28:$BP$638,47,0)</f>
        <v>-</v>
      </c>
      <c r="BE143" s="115" t="str">
        <f>VLOOKUP(J143,'[63]ТР нефть'!$J$28:$BP$638,48,0)</f>
        <v>-</v>
      </c>
      <c r="BF143" s="115" t="str">
        <f>VLOOKUP(J143,'[63]ТР нефть'!$J$28:$BP$638,49,0)</f>
        <v>-</v>
      </c>
      <c r="BG143" s="115" t="str">
        <f>VLOOKUP(J143,'[63]ТР нефть'!$J$28:$BP$638,50,0)</f>
        <v>-</v>
      </c>
      <c r="BH143" s="115">
        <f>VLOOKUP(J143,'[63]ТР нефть'!$J$28:$BP$638,51,0)</f>
        <v>1840</v>
      </c>
      <c r="BI143" s="115" t="str">
        <f>VLOOKUP(J143,'[63]ТР нефть'!$J$28:$BP$638,52,0)</f>
        <v>закрыт</v>
      </c>
      <c r="BJ143" s="115" t="str">
        <f>IF(IFERROR(VLOOKUP(J143,'[63]ТР нефть'!$J$28:$BP$638,53,0),"-")=0,"-",IFERROR(VLOOKUP(J143,'[63]ТР нефть'!$J$28:$BP$638,53,0),"-"))</f>
        <v>-</v>
      </c>
      <c r="BK143" s="138" t="str">
        <f>IF(IFERROR(VLOOKUP(J143,'[63]ТР нефть'!$J$28:$BP$638,54,0),"-")=0,"-",IFERROR(VLOOKUP(J143,'[63]ТР нефть'!$J$28:$BP$638,54,0),"-"))</f>
        <v>-</v>
      </c>
      <c r="BL143" s="138" t="str">
        <f>IF(IFERROR(VLOOKUP(J143,'[63]ТР нефть'!$J$28:$BP$638,55,0),"-")=0,"-",IFERROR(VLOOKUP(J143,'[63]ТР нефть'!$J$28:$BP$638,55,0),"-"))</f>
        <v>-</v>
      </c>
      <c r="BM143" s="138" t="str">
        <f>IF(IFERROR(VLOOKUP(J143,'[63]ТР нефть'!$J$28:$BP$638,56,0),"-")=0,"-",IFERROR(VLOOKUP(J143,'[63]ТР нефть'!$J$28:$BP$638,56,0),"-"))</f>
        <v>-</v>
      </c>
      <c r="BN143" s="138" t="str">
        <f>IF(IFERROR(VLOOKUP(J143,'[63]ТР нефть'!$J$28:$BP$638,57,0),"-")=0,"-",IFERROR(VLOOKUP(J143,'[63]ТР нефть'!$J$28:$BP$638,57,0),"-"))</f>
        <v>-</v>
      </c>
      <c r="BO143" s="115" t="str">
        <f>IF(IFERROR(VLOOKUP(J143,'[63]ТР нефть'!$J$28:$BP$638,58,0),"-")=0,"-",IFERROR(VLOOKUP(J143,'[63]ТР нефть'!$J$28:$BP$638,58,0),"-"))</f>
        <v>-</v>
      </c>
      <c r="BP143" s="115" t="str">
        <f>IF(IFERROR(VLOOKUP(J143,'[63]ТР нефть'!$J$28:$BP$638,59,0),"-")=0,"-",IFERROR(VLOOKUP(J143,'[63]ТР нефть'!$J$28:$BP$638,59,0),"-"))</f>
        <v>-</v>
      </c>
      <c r="BQ143" s="138">
        <v>1920</v>
      </c>
      <c r="BR143" s="128">
        <v>1919.712</v>
      </c>
      <c r="BS143" s="115">
        <f t="shared" si="60"/>
        <v>0.28800000000001091</v>
      </c>
      <c r="BT143" s="128">
        <v>73</v>
      </c>
      <c r="BU143" s="128">
        <v>5.5</v>
      </c>
      <c r="BV143" s="127">
        <v>18</v>
      </c>
      <c r="BW143" s="127" t="s">
        <v>234</v>
      </c>
      <c r="BX143" s="127" t="s">
        <v>195</v>
      </c>
      <c r="BY143" s="139">
        <v>24</v>
      </c>
      <c r="BZ143" s="139">
        <v>0</v>
      </c>
      <c r="CA143" s="138">
        <v>19</v>
      </c>
      <c r="CB143" s="138">
        <v>63</v>
      </c>
      <c r="CC143" s="138">
        <v>18</v>
      </c>
      <c r="CD143" s="135">
        <v>45017</v>
      </c>
      <c r="CE143" s="138">
        <v>81</v>
      </c>
      <c r="CF143" s="138">
        <v>73</v>
      </c>
      <c r="CG143" s="138" t="str">
        <f t="shared" si="99"/>
        <v>В работе</v>
      </c>
      <c r="CH143" s="138" t="s">
        <v>196</v>
      </c>
      <c r="CI143" s="127">
        <v>6</v>
      </c>
      <c r="CJ143" s="138"/>
      <c r="CK143" s="138"/>
      <c r="CL143" s="99"/>
      <c r="CM143" s="99"/>
      <c r="CN143" s="140">
        <v>32</v>
      </c>
      <c r="CO143" s="141">
        <f t="shared" si="61"/>
        <v>5.016</v>
      </c>
      <c r="CP143" s="142">
        <v>6</v>
      </c>
      <c r="CQ143" s="143">
        <v>0</v>
      </c>
      <c r="CR143" s="138">
        <v>25</v>
      </c>
      <c r="CS143" s="139">
        <v>9.6</v>
      </c>
      <c r="CT143" s="138"/>
      <c r="CU143" s="138">
        <f t="shared" si="62"/>
        <v>15.4</v>
      </c>
      <c r="CV143" s="115">
        <f t="shared" si="63"/>
        <v>3070.1754385964914</v>
      </c>
      <c r="CW143" s="115">
        <f t="shared" si="64"/>
        <v>1913.8755980861245</v>
      </c>
      <c r="CX143" s="133">
        <f t="shared" si="65"/>
        <v>0.12244897959183673</v>
      </c>
      <c r="CY143" s="116"/>
      <c r="CZ143" s="131"/>
      <c r="DA143" s="145" t="str">
        <f t="shared" si="66"/>
        <v>Газлифт</v>
      </c>
      <c r="DB143" s="146">
        <f t="shared" si="67"/>
        <v>5.016</v>
      </c>
      <c r="DC143" s="142">
        <f t="shared" si="68"/>
        <v>6</v>
      </c>
      <c r="DD143" s="119">
        <f t="shared" si="69"/>
        <v>0</v>
      </c>
      <c r="DE143" s="115">
        <f t="shared" si="70"/>
        <v>15.4</v>
      </c>
      <c r="DF143" s="121">
        <f t="shared" si="71"/>
        <v>9.6</v>
      </c>
      <c r="DG143" s="115">
        <f t="shared" si="72"/>
        <v>3070.1754385964914</v>
      </c>
      <c r="DH143" s="115">
        <f t="shared" si="73"/>
        <v>32</v>
      </c>
      <c r="DI143" s="147"/>
      <c r="DJ143" s="111">
        <v>43384</v>
      </c>
      <c r="DK143" s="112">
        <v>41829</v>
      </c>
      <c r="DL143" s="113">
        <f t="shared" ca="1" si="87"/>
        <v>3275</v>
      </c>
      <c r="DM143" s="114"/>
      <c r="DN143" s="114"/>
      <c r="DO143" s="114"/>
      <c r="DP143" s="114"/>
      <c r="DQ143" s="112">
        <v>43449</v>
      </c>
      <c r="DR143" s="114" t="s">
        <v>198</v>
      </c>
      <c r="DS143" s="114"/>
      <c r="DT143" s="115">
        <v>39</v>
      </c>
      <c r="DU143" s="116">
        <f t="shared" si="88"/>
        <v>0.14285714285714285</v>
      </c>
      <c r="DV143" s="117">
        <f t="shared" si="89"/>
        <v>5.016</v>
      </c>
      <c r="DW143" s="118">
        <f t="shared" si="90"/>
        <v>6</v>
      </c>
      <c r="DX143" s="119">
        <f t="shared" si="74"/>
        <v>0</v>
      </c>
      <c r="DY143" s="115">
        <f t="shared" si="91"/>
        <v>15.400000000000002</v>
      </c>
      <c r="DZ143" s="117">
        <f t="shared" si="92"/>
        <v>0</v>
      </c>
      <c r="EA143" s="120">
        <f t="shared" si="92"/>
        <v>0</v>
      </c>
      <c r="EB143" s="119">
        <f t="shared" si="92"/>
        <v>0</v>
      </c>
      <c r="EC143" s="121">
        <f t="shared" si="93"/>
        <v>0</v>
      </c>
      <c r="ED143" s="122"/>
      <c r="EE143" s="145">
        <v>18</v>
      </c>
      <c r="EF143" s="115">
        <v>24</v>
      </c>
      <c r="EG143" s="115">
        <v>64</v>
      </c>
      <c r="EH143" s="115">
        <v>23</v>
      </c>
      <c r="EI143" s="128" t="s">
        <v>218</v>
      </c>
      <c r="EJ143" s="121">
        <v>24</v>
      </c>
      <c r="EK143" s="121">
        <v>24</v>
      </c>
      <c r="EL143" s="149">
        <v>7.9419999999999993</v>
      </c>
      <c r="EM143" s="142">
        <v>9.5</v>
      </c>
      <c r="EN143" s="119">
        <v>0</v>
      </c>
      <c r="EO143" s="115">
        <v>11.65</v>
      </c>
      <c r="EP143" s="115">
        <v>1240.2417527071268</v>
      </c>
      <c r="EQ143" s="115">
        <v>73</v>
      </c>
      <c r="ER143" s="115">
        <v>1.8</v>
      </c>
      <c r="ES143" s="115">
        <v>41</v>
      </c>
      <c r="ET143" s="150">
        <v>0.23749999999999999</v>
      </c>
      <c r="EU143" s="145">
        <f t="shared" si="75"/>
        <v>18</v>
      </c>
      <c r="EV143" s="115">
        <f t="shared" si="76"/>
        <v>19</v>
      </c>
      <c r="EW143" s="115">
        <f t="shared" si="76"/>
        <v>63</v>
      </c>
      <c r="EX143" s="115">
        <f t="shared" si="76"/>
        <v>18</v>
      </c>
      <c r="EY143" s="115" t="str">
        <f t="shared" si="98"/>
        <v>Постоянный</v>
      </c>
      <c r="EZ143" s="115">
        <f t="shared" si="98"/>
        <v>24</v>
      </c>
      <c r="FA143" s="115">
        <f t="shared" si="98"/>
        <v>0</v>
      </c>
      <c r="FB143" s="149">
        <f t="shared" si="78"/>
        <v>5.016</v>
      </c>
      <c r="FC143" s="142">
        <f t="shared" si="78"/>
        <v>6</v>
      </c>
      <c r="FD143" s="119">
        <f t="shared" si="78"/>
        <v>0</v>
      </c>
      <c r="FE143" s="121">
        <f t="shared" si="78"/>
        <v>25</v>
      </c>
      <c r="FF143" s="121">
        <f t="shared" si="94"/>
        <v>3070.1754385964914</v>
      </c>
      <c r="FG143" s="121">
        <f t="shared" si="79"/>
        <v>73</v>
      </c>
      <c r="FH143" s="121">
        <f t="shared" si="95"/>
        <v>9.6</v>
      </c>
      <c r="FI143" s="121">
        <f t="shared" si="97"/>
        <v>32</v>
      </c>
      <c r="FJ143" s="144">
        <f t="shared" si="80"/>
        <v>0.12244897959183673</v>
      </c>
      <c r="FK143" s="132">
        <f t="shared" si="81"/>
        <v>0</v>
      </c>
      <c r="FL143" s="115">
        <f t="shared" si="81"/>
        <v>-5</v>
      </c>
      <c r="FM143" s="115">
        <f t="shared" si="81"/>
        <v>-1</v>
      </c>
      <c r="FN143" s="115">
        <f t="shared" si="58"/>
        <v>-5</v>
      </c>
      <c r="FO143" s="115">
        <f t="shared" si="100"/>
        <v>0</v>
      </c>
      <c r="FP143" s="115">
        <f t="shared" si="100"/>
        <v>-24</v>
      </c>
      <c r="FQ143" s="149">
        <f t="shared" si="100"/>
        <v>-2.9259999999999993</v>
      </c>
      <c r="FR143" s="142">
        <f t="shared" si="100"/>
        <v>-3.5</v>
      </c>
      <c r="FS143" s="119">
        <f t="shared" si="100"/>
        <v>0</v>
      </c>
      <c r="FT143" s="121">
        <f t="shared" si="100"/>
        <v>13.35</v>
      </c>
      <c r="FU143" s="121">
        <f t="shared" si="82"/>
        <v>0</v>
      </c>
      <c r="FV143" s="121">
        <f t="shared" si="82"/>
        <v>7.8</v>
      </c>
      <c r="FW143" s="121">
        <f t="shared" si="83"/>
        <v>1829.9336858893646</v>
      </c>
      <c r="FX143" s="121">
        <f t="shared" si="84"/>
        <v>-9</v>
      </c>
      <c r="FY143" s="144">
        <f t="shared" si="84"/>
        <v>-0.11505102040816326</v>
      </c>
      <c r="FZ143" s="145" t="s">
        <v>221</v>
      </c>
      <c r="GA143" s="151" t="s">
        <v>764</v>
      </c>
      <c r="GB143" s="145" t="s">
        <v>221</v>
      </c>
      <c r="GC143" s="151" t="s">
        <v>765</v>
      </c>
      <c r="GD143" s="997" t="s">
        <v>238</v>
      </c>
      <c r="GE143" s="1004" t="s">
        <v>221</v>
      </c>
      <c r="GF143" s="1004">
        <v>3.4432900479999997</v>
      </c>
      <c r="GG143" s="1004"/>
      <c r="GH143" s="1004">
        <v>0</v>
      </c>
      <c r="GI143" s="145"/>
      <c r="GJ143" s="996">
        <v>0</v>
      </c>
      <c r="GK143" s="145"/>
      <c r="GL143" s="996">
        <v>0</v>
      </c>
      <c r="GM143" s="1005"/>
      <c r="GN143" s="996">
        <v>0</v>
      </c>
      <c r="GO143" s="1006"/>
      <c r="GP143" s="996">
        <v>0</v>
      </c>
      <c r="GQ143" s="1006"/>
      <c r="GR143" s="996">
        <v>0</v>
      </c>
      <c r="GS143" s="1006"/>
      <c r="GT143" s="996">
        <v>0</v>
      </c>
      <c r="GU143" s="1006"/>
      <c r="GV143" s="996">
        <v>0</v>
      </c>
      <c r="GW143" s="1006" t="s">
        <v>204</v>
      </c>
      <c r="GX143" s="997">
        <v>0</v>
      </c>
      <c r="GY143" s="1006"/>
      <c r="GZ143" s="996">
        <v>0</v>
      </c>
      <c r="HA143" s="1006"/>
      <c r="HB143" s="996">
        <v>0</v>
      </c>
      <c r="HC143" s="1006"/>
      <c r="HD143" s="996">
        <v>0</v>
      </c>
      <c r="HE143" s="1006"/>
      <c r="HF143" s="996">
        <v>0.33751995200000007</v>
      </c>
      <c r="HG143" s="1006"/>
      <c r="HH143" s="996">
        <v>-0.66671000000000014</v>
      </c>
      <c r="HI143" s="1006" t="s">
        <v>204</v>
      </c>
      <c r="HJ143" s="996">
        <v>-8.6626319999999968</v>
      </c>
      <c r="HK143" s="1006" t="s">
        <v>199</v>
      </c>
      <c r="HL143" s="996">
        <v>3.292351919999998</v>
      </c>
      <c r="HM143" s="1006" t="s">
        <v>199</v>
      </c>
      <c r="HN143" s="996">
        <v>4.346180079999999</v>
      </c>
      <c r="HO143" s="1006"/>
      <c r="HP143" s="996">
        <v>0</v>
      </c>
      <c r="HQ143" s="1006"/>
      <c r="HR143" s="996">
        <v>0</v>
      </c>
      <c r="HS143" s="1006"/>
      <c r="HT143" s="996">
        <v>0</v>
      </c>
      <c r="HU143" s="1006"/>
      <c r="HV143" s="996">
        <v>-0.50159999999999982</v>
      </c>
      <c r="HW143" s="1006"/>
      <c r="HX143" s="996">
        <v>-0.75240000000000062</v>
      </c>
      <c r="HY143" s="1006"/>
      <c r="HZ143" s="996">
        <v>-8.3599999999999675E-2</v>
      </c>
      <c r="IA143" s="1006"/>
      <c r="IB143" s="996">
        <v>8.3599999999999675E-2</v>
      </c>
      <c r="IC143" s="1006"/>
      <c r="ID143" s="996">
        <v>0.88616000000000028</v>
      </c>
      <c r="IE143" s="1006"/>
      <c r="IF143" s="996">
        <v>0.8255081999999998</v>
      </c>
      <c r="IG143" s="1006"/>
      <c r="IH143" s="996">
        <v>0</v>
      </c>
      <c r="II143" s="1006"/>
      <c r="IJ143" s="996">
        <v>0</v>
      </c>
      <c r="IK143" s="1006"/>
      <c r="IL143" s="996">
        <v>0</v>
      </c>
      <c r="IM143" s="1006"/>
      <c r="IN143" s="996">
        <v>0</v>
      </c>
      <c r="IO143" s="1006" t="s">
        <v>199</v>
      </c>
      <c r="IP143" s="996">
        <v>-2.954434032</v>
      </c>
      <c r="IQ143" s="1006" t="s">
        <v>204</v>
      </c>
      <c r="IR143" s="996">
        <v>3.9806658320000006</v>
      </c>
      <c r="IS143" s="1006"/>
      <c r="IT143" s="996">
        <v>-0.38121600000000022</v>
      </c>
      <c r="IU143" s="1006" t="s">
        <v>199</v>
      </c>
      <c r="IV143" s="996">
        <v>-2.2714119999999998</v>
      </c>
      <c r="IW143" s="1006"/>
      <c r="IX143" s="996">
        <v>0</v>
      </c>
      <c r="IY143" s="1006"/>
      <c r="IZ143" s="996">
        <v>0</v>
      </c>
      <c r="JA143" s="1006"/>
      <c r="JB143" s="996">
        <v>0</v>
      </c>
      <c r="JC143" s="1006"/>
      <c r="JD143" s="996">
        <v>0</v>
      </c>
      <c r="JE143" s="1006"/>
      <c r="JF143" s="996">
        <v>0</v>
      </c>
      <c r="JG143" s="1006"/>
      <c r="JH143" s="996">
        <v>0</v>
      </c>
      <c r="JI143" s="1006"/>
      <c r="JJ143" s="996">
        <v>0</v>
      </c>
      <c r="JK143" s="1007"/>
      <c r="JL143" s="1007">
        <v>0</v>
      </c>
      <c r="JM143" s="1007" t="s">
        <v>199</v>
      </c>
      <c r="JN143" s="1007">
        <v>3.0139471999999996</v>
      </c>
      <c r="JO143" s="1008" t="s">
        <v>199</v>
      </c>
      <c r="JP143" s="1007">
        <v>-2.7277008</v>
      </c>
      <c r="JQ143" s="1008">
        <v>0</v>
      </c>
      <c r="JR143" s="1007">
        <v>0</v>
      </c>
      <c r="JS143" s="1008" t="s">
        <v>223</v>
      </c>
      <c r="JT143" s="1007">
        <v>-7.3464336000000001</v>
      </c>
      <c r="JU143" s="1008"/>
      <c r="JV143" s="1007">
        <v>0</v>
      </c>
      <c r="JW143" s="1008" t="s">
        <v>197</v>
      </c>
      <c r="JX143" s="1007">
        <v>0</v>
      </c>
      <c r="JY143" s="1008" t="s">
        <v>204</v>
      </c>
      <c r="JZ143" s="1007">
        <v>-3.1122608000000014</v>
      </c>
      <c r="KA143" s="1008"/>
      <c r="KB143" s="1007">
        <v>-4.6710663999995461E-2</v>
      </c>
      <c r="KC143" s="1008"/>
      <c r="KD143" s="1007">
        <v>0</v>
      </c>
      <c r="KE143" s="1008"/>
      <c r="KF143" s="1007">
        <v>0</v>
      </c>
      <c r="KG143" s="1008" t="s">
        <v>25</v>
      </c>
      <c r="KH143" s="1007">
        <v>7.3898866639999969</v>
      </c>
      <c r="KI143" s="1008"/>
      <c r="KJ143" s="1007" t="e">
        <v>#VALUE!</v>
      </c>
      <c r="KK143" s="1008"/>
      <c r="KL143" s="1007">
        <v>0</v>
      </c>
      <c r="KM143" s="1008" t="s">
        <v>207</v>
      </c>
      <c r="KN143" s="1007">
        <v>5.8519999999999994</v>
      </c>
      <c r="KO143" s="1008" t="s">
        <v>206</v>
      </c>
      <c r="KP143" s="1007">
        <v>-1.6720000000000006</v>
      </c>
      <c r="KQ143" s="1008" t="s">
        <v>204</v>
      </c>
      <c r="KR143" s="1007">
        <v>-1.6719999999999997</v>
      </c>
      <c r="KS143" s="1008" t="s">
        <v>204</v>
      </c>
      <c r="KT143" s="1007">
        <v>-0.8360000000000003</v>
      </c>
      <c r="KU143" s="1008">
        <v>0</v>
      </c>
      <c r="KV143" s="1007">
        <v>0</v>
      </c>
      <c r="KW143" s="1008">
        <v>0</v>
      </c>
      <c r="KX143" s="1007">
        <v>0</v>
      </c>
      <c r="KY143" s="1008" t="s">
        <v>221</v>
      </c>
      <c r="KZ143" s="1007">
        <v>3.2403360000000001</v>
      </c>
      <c r="LA143" s="1008">
        <v>0</v>
      </c>
      <c r="LB143" s="1007">
        <v>0</v>
      </c>
      <c r="LC143" s="1008">
        <v>0</v>
      </c>
      <c r="LD143" s="1007">
        <v>0</v>
      </c>
      <c r="LE143" s="1008">
        <v>0</v>
      </c>
      <c r="LF143" s="1007">
        <v>0</v>
      </c>
      <c r="LG143" s="1008">
        <v>0</v>
      </c>
      <c r="LH143" s="1007">
        <v>-6.6859935999999998</v>
      </c>
      <c r="LI143" s="1008">
        <v>0</v>
      </c>
      <c r="LJ143" s="1007">
        <v>0</v>
      </c>
      <c r="LK143" s="1008">
        <v>0</v>
      </c>
      <c r="LL143" s="1007">
        <v>0</v>
      </c>
      <c r="LM143" s="1008">
        <v>0</v>
      </c>
      <c r="LN143" s="1007">
        <v>0</v>
      </c>
      <c r="LO143" s="1008" t="s">
        <v>223</v>
      </c>
      <c r="LP143" s="1007">
        <v>-1.8386482399999995</v>
      </c>
      <c r="LQ143" s="1008" t="s">
        <v>206</v>
      </c>
      <c r="LR143" s="1007">
        <v>-4.8473453600000003</v>
      </c>
      <c r="LS143" s="1008">
        <v>0</v>
      </c>
      <c r="LT143" s="1007">
        <v>0</v>
      </c>
      <c r="LU143" s="1008">
        <v>0</v>
      </c>
      <c r="LV143" s="1007">
        <v>0</v>
      </c>
      <c r="LW143" s="1008">
        <v>0</v>
      </c>
      <c r="LX143" s="1007">
        <v>-0.756412799999998</v>
      </c>
      <c r="LY143" s="1009">
        <v>0</v>
      </c>
      <c r="LZ143" s="1010">
        <v>0</v>
      </c>
      <c r="MA143" s="1011" t="s">
        <v>206</v>
      </c>
      <c r="MB143" s="1012">
        <v>2.8236752719999991</v>
      </c>
      <c r="MC143" s="995"/>
      <c r="MD143" s="996"/>
      <c r="ME143" s="997" t="s">
        <v>238</v>
      </c>
      <c r="MF143" s="997"/>
      <c r="MG143" s="998"/>
      <c r="NR143" s="1000"/>
      <c r="NS143" s="1000"/>
      <c r="NT143" s="1001"/>
      <c r="NU143" s="1000"/>
      <c r="NV143" s="1001"/>
      <c r="NX143" s="1002"/>
      <c r="NZ143" s="1001"/>
      <c r="OA143" s="1001"/>
      <c r="OC143" s="1003"/>
      <c r="OD143" s="1003"/>
      <c r="OE143" s="1001"/>
      <c r="OF143" s="1003"/>
      <c r="OG143" s="1003"/>
      <c r="QX143" s="1000">
        <f t="shared" si="96"/>
        <v>13</v>
      </c>
      <c r="ASU143" s="999" t="s">
        <v>225</v>
      </c>
    </row>
    <row r="144" spans="1:466 1191:1191" ht="21" customHeight="1" x14ac:dyDescent="0.25">
      <c r="A144" s="982" t="str">
        <f t="shared" si="59"/>
        <v>1051-1</v>
      </c>
      <c r="B144" s="124">
        <f>SUBTOTAL(103,$J$29:J144)</f>
        <v>116</v>
      </c>
      <c r="C144" s="126">
        <v>45096</v>
      </c>
      <c r="D144" s="124" t="s">
        <v>176</v>
      </c>
      <c r="E144" s="127" t="s">
        <v>177</v>
      </c>
      <c r="F144" s="128" t="s">
        <v>177</v>
      </c>
      <c r="G144" s="127" t="s">
        <v>178</v>
      </c>
      <c r="H144" s="127" t="s">
        <v>421</v>
      </c>
      <c r="I144" s="127" t="s">
        <v>760</v>
      </c>
      <c r="J144" s="152" t="s">
        <v>766</v>
      </c>
      <c r="K144" s="127" t="s">
        <v>761</v>
      </c>
      <c r="L144" s="130">
        <v>40289</v>
      </c>
      <c r="M144" s="127" t="s">
        <v>230</v>
      </c>
      <c r="N144" s="127" t="s">
        <v>231</v>
      </c>
      <c r="O144" s="127" t="s">
        <v>185</v>
      </c>
      <c r="P144" s="127" t="s">
        <v>208</v>
      </c>
      <c r="Q144" s="85" t="str">
        <f t="shared" si="85"/>
        <v/>
      </c>
      <c r="R144" s="130"/>
      <c r="S144" s="128" t="s">
        <v>156</v>
      </c>
      <c r="T144" s="131"/>
      <c r="U144" s="132">
        <v>203</v>
      </c>
      <c r="V144" s="121">
        <v>218.2</v>
      </c>
      <c r="W144" s="116">
        <v>0.98</v>
      </c>
      <c r="X144" s="116">
        <v>1.66</v>
      </c>
      <c r="Y144" s="116">
        <f t="shared" si="86"/>
        <v>0.98120581919949812</v>
      </c>
      <c r="Z144" s="133">
        <v>1.454</v>
      </c>
      <c r="AA144" s="133">
        <v>0.83599999999999997</v>
      </c>
      <c r="AB144" s="133">
        <v>0.72</v>
      </c>
      <c r="AC144" s="121">
        <v>34.299999999999997</v>
      </c>
      <c r="AD144" s="134">
        <v>1.17</v>
      </c>
      <c r="AE144" s="124">
        <v>139.69999999999999</v>
      </c>
      <c r="AF144" s="128">
        <v>7.72</v>
      </c>
      <c r="AG144" s="128">
        <v>1977</v>
      </c>
      <c r="AH144" s="127">
        <v>2500</v>
      </c>
      <c r="AI144" s="127">
        <v>2500</v>
      </c>
      <c r="AJ144" s="135">
        <v>44493</v>
      </c>
      <c r="AK144" s="128" t="s">
        <v>767</v>
      </c>
      <c r="AL144" s="131"/>
      <c r="AM144" s="124" t="s">
        <v>187</v>
      </c>
      <c r="AN144" s="136" t="s">
        <v>768</v>
      </c>
      <c r="AO144" s="137">
        <v>96.17</v>
      </c>
      <c r="AP144" s="128">
        <v>2055.15</v>
      </c>
      <c r="AQ144" s="128">
        <v>134.85</v>
      </c>
      <c r="AR144" s="128" t="s">
        <v>769</v>
      </c>
      <c r="AS144" s="128">
        <v>102</v>
      </c>
      <c r="AT144" s="122">
        <v>6.5</v>
      </c>
      <c r="AU144" s="124" t="s">
        <v>189</v>
      </c>
      <c r="AV144" s="115">
        <f>VLOOKUP(J144,'[63]ТР нефть'!$J$28:$BP$638,39,0)</f>
        <v>599.99999062500001</v>
      </c>
      <c r="AW144" s="115" t="str">
        <f>VLOOKUP(J144,'[63]ТР нефть'!$J$28:$BP$638,40,0)</f>
        <v>ГК 80 1/8</v>
      </c>
      <c r="AX144" s="115">
        <f>VLOOKUP(J144,'[63]ТР нефть'!$J$28:$BP$638,41,0)</f>
        <v>1099.9999828130001</v>
      </c>
      <c r="AY144" s="115" t="str">
        <f>VLOOKUP(J144,'[63]ТР нефть'!$J$28:$BP$638,42,0)</f>
        <v>ГК 80 5/32</v>
      </c>
      <c r="AZ144" s="115">
        <f>VLOOKUP(J144,'[63]ТР нефть'!$J$28:$BP$638,43,0)</f>
        <v>1390.000067578</v>
      </c>
      <c r="BA144" s="115" t="str">
        <f>VLOOKUP(J144,'[63]ТР нефть'!$J$28:$BP$638,44,0)</f>
        <v>ГК 80 3/16</v>
      </c>
      <c r="BB144" s="115">
        <f>VLOOKUP(J144,'[63]ТР нефть'!$J$28:$BP$638,45,0)</f>
        <v>1799.999971875</v>
      </c>
      <c r="BC144" s="115" t="str">
        <f>VLOOKUP(J144,'[63]ТР нефть'!$J$28:$BP$638,46,0)</f>
        <v>ЦКсОК 5/16</v>
      </c>
      <c r="BD144" s="115" t="str">
        <f>VLOOKUP(J144,'[63]ТР нефть'!$J$28:$BP$638,47,0)</f>
        <v>-</v>
      </c>
      <c r="BE144" s="115" t="str">
        <f>VLOOKUP(J144,'[63]ТР нефть'!$J$28:$BP$638,48,0)</f>
        <v>-</v>
      </c>
      <c r="BF144" s="115" t="str">
        <f>VLOOKUP(J144,'[63]ТР нефть'!$J$28:$BP$638,49,0)</f>
        <v>-</v>
      </c>
      <c r="BG144" s="115" t="str">
        <f>VLOOKUP(J144,'[63]ТР нефть'!$J$28:$BP$638,50,0)</f>
        <v>-</v>
      </c>
      <c r="BH144" s="115">
        <f>VLOOKUP(J144,'[63]ТР нефть'!$J$28:$BP$638,51,0)</f>
        <v>1879</v>
      </c>
      <c r="BI144" s="115" t="str">
        <f>VLOOKUP(J144,'[63]ТР нефть'!$J$28:$BP$638,52,0)</f>
        <v>закрыт</v>
      </c>
      <c r="BJ144" s="115" t="str">
        <f>IF(IFERROR(VLOOKUP(J144,'[63]ТР нефть'!$J$28:$BP$638,53,0),"-")=0,"-",IFERROR(VLOOKUP(J144,'[63]ТР нефть'!$J$28:$BP$638,53,0),"-"))</f>
        <v>-</v>
      </c>
      <c r="BK144" s="138" t="str">
        <f>IF(IFERROR(VLOOKUP(J144,'[63]ТР нефть'!$J$28:$BP$638,54,0),"-")=0,"-",IFERROR(VLOOKUP(J144,'[63]ТР нефть'!$J$28:$BP$638,54,0),"-"))</f>
        <v>-</v>
      </c>
      <c r="BL144" s="138" t="str">
        <f>IF(IFERROR(VLOOKUP(J144,'[63]ТР нефть'!$J$28:$BP$638,55,0),"-")=0,"-",IFERROR(VLOOKUP(J144,'[63]ТР нефть'!$J$28:$BP$638,55,0),"-"))</f>
        <v>-</v>
      </c>
      <c r="BM144" s="138" t="str">
        <f>IF(IFERROR(VLOOKUP(J144,'[63]ТР нефть'!$J$28:$BP$638,56,0),"-")=0,"-",IFERROR(VLOOKUP(J144,'[63]ТР нефть'!$J$28:$BP$638,56,0),"-"))</f>
        <v>-</v>
      </c>
      <c r="BN144" s="138" t="str">
        <f>IF(IFERROR(VLOOKUP(J144,'[63]ТР нефть'!$J$28:$BP$638,57,0),"-")=0,"-",IFERROR(VLOOKUP(J144,'[63]ТР нефть'!$J$28:$BP$638,57,0),"-"))</f>
        <v>-</v>
      </c>
      <c r="BO144" s="115" t="str">
        <f>IF(IFERROR(VLOOKUP(J144,'[63]ТР нефть'!$J$28:$BP$638,58,0),"-")=0,"-",IFERROR(VLOOKUP(J144,'[63]ТР нефть'!$J$28:$BP$638,58,0),"-"))</f>
        <v>-</v>
      </c>
      <c r="BP144" s="115" t="str">
        <f>IF(IFERROR(VLOOKUP(J144,'[63]ТР нефть'!$J$28:$BP$638,59,0),"-")=0,"-",IFERROR(VLOOKUP(J144,'[63]ТР нефть'!$J$28:$BP$638,59,0),"-"))</f>
        <v>-</v>
      </c>
      <c r="BQ144" s="138">
        <v>1883.7</v>
      </c>
      <c r="BR144" s="128">
        <v>1858.39</v>
      </c>
      <c r="BS144" s="115">
        <f t="shared" si="60"/>
        <v>25.309999999999945</v>
      </c>
      <c r="BT144" s="128">
        <v>73</v>
      </c>
      <c r="BU144" s="128">
        <v>5.5</v>
      </c>
      <c r="BV144" s="127">
        <v>18</v>
      </c>
      <c r="BW144" s="127" t="s">
        <v>234</v>
      </c>
      <c r="BX144" s="127" t="s">
        <v>195</v>
      </c>
      <c r="BY144" s="139">
        <v>24</v>
      </c>
      <c r="BZ144" s="139">
        <v>0</v>
      </c>
      <c r="CA144" s="138">
        <v>19</v>
      </c>
      <c r="CB144" s="138">
        <v>38</v>
      </c>
      <c r="CC144" s="138">
        <v>18</v>
      </c>
      <c r="CD144" s="135">
        <v>45017</v>
      </c>
      <c r="CE144" s="138">
        <v>96.8</v>
      </c>
      <c r="CF144" s="138">
        <v>72</v>
      </c>
      <c r="CG144" s="138" t="str">
        <f t="shared" si="99"/>
        <v>В работе</v>
      </c>
      <c r="CH144" s="138" t="s">
        <v>196</v>
      </c>
      <c r="CI144" s="127">
        <v>6</v>
      </c>
      <c r="CJ144" s="138"/>
      <c r="CK144" s="138"/>
      <c r="CL144" s="99"/>
      <c r="CM144" s="99"/>
      <c r="CN144" s="140">
        <v>38</v>
      </c>
      <c r="CO144" s="141">
        <f t="shared" si="61"/>
        <v>6.6679360000000001</v>
      </c>
      <c r="CP144" s="142">
        <v>8</v>
      </c>
      <c r="CQ144" s="143">
        <v>0.3</v>
      </c>
      <c r="CR144" s="138">
        <v>12.5</v>
      </c>
      <c r="CS144" s="139">
        <v>8.4</v>
      </c>
      <c r="CT144" s="138"/>
      <c r="CU144" s="138">
        <f t="shared" si="62"/>
        <v>4.0999999999999996</v>
      </c>
      <c r="CV144" s="115">
        <f t="shared" si="63"/>
        <v>614.88292629083423</v>
      </c>
      <c r="CW144" s="115">
        <f t="shared" si="64"/>
        <v>1254.5312473863935</v>
      </c>
      <c r="CX144" s="133">
        <f t="shared" si="65"/>
        <v>0.1360544217687075</v>
      </c>
      <c r="CY144" s="116"/>
      <c r="CZ144" s="131"/>
      <c r="DA144" s="145" t="str">
        <f t="shared" si="66"/>
        <v>Газлифт</v>
      </c>
      <c r="DB144" s="146">
        <f t="shared" si="67"/>
        <v>6.6679360000000001</v>
      </c>
      <c r="DC144" s="142">
        <f t="shared" si="68"/>
        <v>8</v>
      </c>
      <c r="DD144" s="119">
        <f t="shared" si="69"/>
        <v>0.3</v>
      </c>
      <c r="DE144" s="115">
        <f t="shared" si="70"/>
        <v>4.0999999999999996</v>
      </c>
      <c r="DF144" s="121">
        <f t="shared" si="71"/>
        <v>8.4</v>
      </c>
      <c r="DG144" s="115">
        <f t="shared" si="72"/>
        <v>614.88292629083423</v>
      </c>
      <c r="DH144" s="115">
        <f t="shared" si="73"/>
        <v>38</v>
      </c>
      <c r="DI144" s="147"/>
      <c r="DJ144" s="111" t="s">
        <v>197</v>
      </c>
      <c r="DK144" s="112">
        <v>40289</v>
      </c>
      <c r="DL144" s="113">
        <f t="shared" ca="1" si="87"/>
        <v>4815</v>
      </c>
      <c r="DM144" s="114"/>
      <c r="DN144" s="114"/>
      <c r="DO144" s="114"/>
      <c r="DP144" s="114"/>
      <c r="DQ144" s="112">
        <v>44508</v>
      </c>
      <c r="DR144" s="114" t="s">
        <v>770</v>
      </c>
      <c r="DS144" s="114"/>
      <c r="DT144" s="115">
        <v>43</v>
      </c>
      <c r="DU144" s="116">
        <f t="shared" si="88"/>
        <v>0.14869888475836432</v>
      </c>
      <c r="DV144" s="117">
        <f t="shared" si="89"/>
        <v>6.6679360000000001</v>
      </c>
      <c r="DW144" s="118">
        <f t="shared" si="90"/>
        <v>8</v>
      </c>
      <c r="DX144" s="119">
        <f t="shared" si="74"/>
        <v>0.3</v>
      </c>
      <c r="DY144" s="115">
        <f t="shared" si="91"/>
        <v>4.0999999999999996</v>
      </c>
      <c r="DZ144" s="117">
        <f t="shared" si="92"/>
        <v>0</v>
      </c>
      <c r="EA144" s="120">
        <f t="shared" si="92"/>
        <v>0</v>
      </c>
      <c r="EB144" s="119">
        <f t="shared" si="92"/>
        <v>0</v>
      </c>
      <c r="EC144" s="121">
        <f t="shared" si="93"/>
        <v>0</v>
      </c>
      <c r="ED144" s="122"/>
      <c r="EE144" s="145">
        <v>18</v>
      </c>
      <c r="EF144" s="115">
        <v>23</v>
      </c>
      <c r="EG144" s="115">
        <v>38</v>
      </c>
      <c r="EH144" s="115">
        <v>22</v>
      </c>
      <c r="EI144" s="128" t="s">
        <v>195</v>
      </c>
      <c r="EJ144" s="121">
        <v>24</v>
      </c>
      <c r="EK144" s="121">
        <v>0</v>
      </c>
      <c r="EL144" s="149">
        <v>6.8346343999999997</v>
      </c>
      <c r="EM144" s="142">
        <v>8.1999999999999993</v>
      </c>
      <c r="EN144" s="119">
        <v>0.3</v>
      </c>
      <c r="EO144" s="115">
        <v>9.9</v>
      </c>
      <c r="EP144" s="115">
        <v>395.04673432129744</v>
      </c>
      <c r="EQ144" s="115">
        <v>72</v>
      </c>
      <c r="ER144" s="115">
        <v>7.2</v>
      </c>
      <c r="ES144" s="115">
        <v>44</v>
      </c>
      <c r="ET144" s="150">
        <v>0.1553030303030303</v>
      </c>
      <c r="EU144" s="145">
        <f t="shared" si="75"/>
        <v>18</v>
      </c>
      <c r="EV144" s="115">
        <f t="shared" si="76"/>
        <v>19</v>
      </c>
      <c r="EW144" s="115">
        <f t="shared" si="76"/>
        <v>38</v>
      </c>
      <c r="EX144" s="115">
        <f t="shared" si="76"/>
        <v>18</v>
      </c>
      <c r="EY144" s="115" t="str">
        <f t="shared" si="98"/>
        <v>Постоянный</v>
      </c>
      <c r="EZ144" s="115">
        <f t="shared" si="98"/>
        <v>24</v>
      </c>
      <c r="FA144" s="115">
        <f t="shared" si="98"/>
        <v>0</v>
      </c>
      <c r="FB144" s="149">
        <f t="shared" si="78"/>
        <v>6.6679360000000001</v>
      </c>
      <c r="FC144" s="142">
        <f t="shared" si="78"/>
        <v>8</v>
      </c>
      <c r="FD144" s="119">
        <f t="shared" si="78"/>
        <v>0.3</v>
      </c>
      <c r="FE144" s="121">
        <f t="shared" si="78"/>
        <v>12.5</v>
      </c>
      <c r="FF144" s="121">
        <f t="shared" si="94"/>
        <v>614.88292629083423</v>
      </c>
      <c r="FG144" s="121">
        <f t="shared" si="79"/>
        <v>72</v>
      </c>
      <c r="FH144" s="121">
        <f t="shared" si="95"/>
        <v>8.4</v>
      </c>
      <c r="FI144" s="121">
        <f t="shared" si="97"/>
        <v>38</v>
      </c>
      <c r="FJ144" s="144">
        <f t="shared" si="80"/>
        <v>0.1360544217687075</v>
      </c>
      <c r="FK144" s="132">
        <f t="shared" si="81"/>
        <v>0</v>
      </c>
      <c r="FL144" s="115">
        <f t="shared" si="81"/>
        <v>-4</v>
      </c>
      <c r="FM144" s="115">
        <f t="shared" si="81"/>
        <v>0</v>
      </c>
      <c r="FN144" s="115">
        <f t="shared" si="58"/>
        <v>-4</v>
      </c>
      <c r="FO144" s="115">
        <f t="shared" si="100"/>
        <v>0</v>
      </c>
      <c r="FP144" s="115">
        <f t="shared" si="100"/>
        <v>0</v>
      </c>
      <c r="FQ144" s="149">
        <f t="shared" si="100"/>
        <v>-0.16669839999999958</v>
      </c>
      <c r="FR144" s="142">
        <f t="shared" si="100"/>
        <v>-0.19999999999999929</v>
      </c>
      <c r="FS144" s="119">
        <f t="shared" si="100"/>
        <v>0</v>
      </c>
      <c r="FT144" s="121">
        <f t="shared" si="100"/>
        <v>2.5999999999999996</v>
      </c>
      <c r="FU144" s="121">
        <f t="shared" si="82"/>
        <v>0</v>
      </c>
      <c r="FV144" s="121">
        <f t="shared" si="82"/>
        <v>1.2000000000000002</v>
      </c>
      <c r="FW144" s="121">
        <f t="shared" si="83"/>
        <v>219.8361919695368</v>
      </c>
      <c r="FX144" s="121">
        <f t="shared" si="84"/>
        <v>-6</v>
      </c>
      <c r="FY144" s="144">
        <f t="shared" si="84"/>
        <v>-1.9248608534322809E-2</v>
      </c>
      <c r="FZ144" s="145"/>
      <c r="GA144" s="1037" t="s">
        <v>251</v>
      </c>
      <c r="GB144" s="145" t="s">
        <v>199</v>
      </c>
      <c r="GC144" s="151" t="s">
        <v>771</v>
      </c>
      <c r="GD144" s="997" t="s">
        <v>238</v>
      </c>
      <c r="GE144" s="1004" t="s">
        <v>199</v>
      </c>
      <c r="GF144" s="1004">
        <v>3.4410595999999996</v>
      </c>
      <c r="GG144" s="1004"/>
      <c r="GH144" s="1004">
        <v>0</v>
      </c>
      <c r="GI144" s="145"/>
      <c r="GJ144" s="996">
        <v>0</v>
      </c>
      <c r="GK144" s="145"/>
      <c r="GL144" s="996">
        <v>0</v>
      </c>
      <c r="GM144" s="1005"/>
      <c r="GN144" s="996">
        <v>0</v>
      </c>
      <c r="GO144" s="1006"/>
      <c r="GP144" s="996">
        <v>0</v>
      </c>
      <c r="GQ144" s="1006"/>
      <c r="GR144" s="996">
        <v>0</v>
      </c>
      <c r="GS144" s="1006"/>
      <c r="GT144" s="996">
        <v>2.112572000000057E-2</v>
      </c>
      <c r="GU144" s="1006" t="s">
        <v>204</v>
      </c>
      <c r="GV144" s="996">
        <v>-2.5533697199999996</v>
      </c>
      <c r="GW144" s="1006" t="s">
        <v>204</v>
      </c>
      <c r="GX144" s="997">
        <v>0</v>
      </c>
      <c r="GY144" s="1006"/>
      <c r="GZ144" s="996">
        <v>0</v>
      </c>
      <c r="HA144" s="1006" t="s">
        <v>204</v>
      </c>
      <c r="HB144" s="996">
        <v>-2.7184212000000008</v>
      </c>
      <c r="HC144" s="1006"/>
      <c r="HD144" s="996">
        <v>0</v>
      </c>
      <c r="HE144" s="1006"/>
      <c r="HF144" s="996">
        <v>0</v>
      </c>
      <c r="HG144" s="1006"/>
      <c r="HH144" s="996">
        <v>-8.986999999999945E-2</v>
      </c>
      <c r="HI144" s="1006"/>
      <c r="HJ144" s="996">
        <v>7.9160840000001897E-2</v>
      </c>
      <c r="HK144" s="1006"/>
      <c r="HL144" s="996">
        <v>-0.17321084000000297</v>
      </c>
      <c r="HM144" s="1006" t="s">
        <v>203</v>
      </c>
      <c r="HN144" s="996">
        <v>-8.4937599999999982</v>
      </c>
      <c r="HO144" s="1006" t="s">
        <v>25</v>
      </c>
      <c r="HP144" s="996">
        <v>12.996455999999998</v>
      </c>
      <c r="HQ144" s="1006"/>
      <c r="HR144" s="996">
        <v>0</v>
      </c>
      <c r="HS144" s="1006"/>
      <c r="HT144" s="996">
        <v>0</v>
      </c>
      <c r="HU144" s="1006"/>
      <c r="HV144" s="996">
        <v>0.49909200000000054</v>
      </c>
      <c r="HW144" s="1006"/>
      <c r="HX144" s="996">
        <v>0.23157199999999989</v>
      </c>
      <c r="HY144" s="1006"/>
      <c r="HZ144" s="996">
        <v>-0.25079999999999991</v>
      </c>
      <c r="IA144" s="1006"/>
      <c r="IB144" s="996">
        <v>-0.16719999999999979</v>
      </c>
      <c r="IC144" s="1006" t="s">
        <v>205</v>
      </c>
      <c r="ID144" s="996">
        <v>1.3127999999999993</v>
      </c>
      <c r="IE144" s="1006" t="s">
        <v>199</v>
      </c>
      <c r="IF144" s="996">
        <v>3.476288639999999</v>
      </c>
      <c r="IG144" s="1006"/>
      <c r="IH144" s="996">
        <v>-0.49527984000000003</v>
      </c>
      <c r="II144" s="1006"/>
      <c r="IJ144" s="996">
        <v>0</v>
      </c>
      <c r="IK144" s="1006"/>
      <c r="IL144" s="996">
        <v>0</v>
      </c>
      <c r="IM144" s="1006"/>
      <c r="IN144" s="996">
        <v>0</v>
      </c>
      <c r="IO144" s="1006"/>
      <c r="IP144" s="996">
        <v>-2.3600800000000088E-2</v>
      </c>
      <c r="IQ144" s="1006" t="s">
        <v>204</v>
      </c>
      <c r="IR144" s="996">
        <v>1.1857038159999997</v>
      </c>
      <c r="IS144" s="1006"/>
      <c r="IT144" s="996">
        <v>0</v>
      </c>
      <c r="IU144" s="1006"/>
      <c r="IV144" s="996">
        <v>0</v>
      </c>
      <c r="IW144" s="1006"/>
      <c r="IX144" s="996">
        <v>0</v>
      </c>
      <c r="IY144" s="1006"/>
      <c r="IZ144" s="996">
        <v>0</v>
      </c>
      <c r="JA144" s="1006"/>
      <c r="JB144" s="996">
        <v>0</v>
      </c>
      <c r="JC144" s="1006"/>
      <c r="JD144" s="996">
        <v>0</v>
      </c>
      <c r="JE144" s="1006"/>
      <c r="JF144" s="996">
        <v>0</v>
      </c>
      <c r="JG144" s="1006"/>
      <c r="JH144" s="996">
        <v>0</v>
      </c>
      <c r="JI144" s="1006"/>
      <c r="JJ144" s="996">
        <v>0</v>
      </c>
      <c r="JK144" s="1007"/>
      <c r="JL144" s="1007">
        <v>0</v>
      </c>
      <c r="JM144" s="1007" t="s">
        <v>199</v>
      </c>
      <c r="JN144" s="1007">
        <v>-1.1610367999999993</v>
      </c>
      <c r="JO144" s="1008" t="s">
        <v>199</v>
      </c>
      <c r="JP144" s="1007">
        <v>2.5864167999999994</v>
      </c>
      <c r="JQ144" s="1008" t="s">
        <v>199</v>
      </c>
      <c r="JR144" s="1007">
        <v>-5.0059680000000002</v>
      </c>
      <c r="JS144" s="1008" t="s">
        <v>204</v>
      </c>
      <c r="JT144" s="1007">
        <v>-1.7564359999999999</v>
      </c>
      <c r="JU144" s="1008" t="s">
        <v>204</v>
      </c>
      <c r="JV144" s="1007">
        <v>4.6778380000000004</v>
      </c>
      <c r="JW144" s="1008" t="s">
        <v>197</v>
      </c>
      <c r="JX144" s="1007">
        <v>0</v>
      </c>
      <c r="JY144" s="1008"/>
      <c r="JZ144" s="1007">
        <v>0</v>
      </c>
      <c r="KA144" s="1008"/>
      <c r="KB144" s="1007">
        <v>0</v>
      </c>
      <c r="KC144" s="1008"/>
      <c r="KD144" s="1007">
        <v>0</v>
      </c>
      <c r="KE144" s="1008"/>
      <c r="KF144" s="1007">
        <v>0</v>
      </c>
      <c r="KG144" s="1008"/>
      <c r="KH144" s="1007">
        <v>0</v>
      </c>
      <c r="KI144" s="1008" t="s">
        <v>206</v>
      </c>
      <c r="KJ144" s="1007">
        <v>-2.4507339999999997</v>
      </c>
      <c r="KK144" s="1008"/>
      <c r="KL144" s="1007">
        <v>0</v>
      </c>
      <c r="KM144" s="1008"/>
      <c r="KN144" s="1007">
        <v>0</v>
      </c>
      <c r="KO144" s="1008"/>
      <c r="KP144" s="1007">
        <v>0</v>
      </c>
      <c r="KQ144" s="1008">
        <v>0</v>
      </c>
      <c r="KR144" s="1007">
        <v>0</v>
      </c>
      <c r="KS144" s="1008">
        <v>0</v>
      </c>
      <c r="KT144" s="1007">
        <v>0</v>
      </c>
      <c r="KU144" s="1008" t="s">
        <v>206</v>
      </c>
      <c r="KV144" s="1007">
        <v>1.24146</v>
      </c>
      <c r="KW144" s="1008">
        <v>0</v>
      </c>
      <c r="KX144" s="1007">
        <v>0</v>
      </c>
      <c r="KY144" s="1008">
        <v>0</v>
      </c>
      <c r="KZ144" s="1007">
        <v>0</v>
      </c>
      <c r="LA144" s="1008">
        <v>0</v>
      </c>
      <c r="LB144" s="1007">
        <v>0</v>
      </c>
      <c r="LC144" s="1008">
        <v>0</v>
      </c>
      <c r="LD144" s="1007">
        <v>0</v>
      </c>
      <c r="LE144" s="1008">
        <v>0</v>
      </c>
      <c r="LF144" s="1007">
        <v>0</v>
      </c>
      <c r="LG144" s="1008">
        <v>0</v>
      </c>
      <c r="LH144" s="1007">
        <v>0</v>
      </c>
      <c r="LI144" s="1008">
        <v>0</v>
      </c>
      <c r="LJ144" s="1007">
        <v>0</v>
      </c>
      <c r="LK144" s="1008" t="s">
        <v>206</v>
      </c>
      <c r="LL144" s="1007">
        <v>0.33221000000000001</v>
      </c>
      <c r="LM144" s="1008">
        <v>0</v>
      </c>
      <c r="LN144" s="1007">
        <v>0</v>
      </c>
      <c r="LO144" s="1008">
        <v>0</v>
      </c>
      <c r="LP144" s="1007">
        <v>0</v>
      </c>
      <c r="LQ144" s="1008">
        <v>0</v>
      </c>
      <c r="LR144" s="1007">
        <v>0</v>
      </c>
      <c r="LS144" s="1008">
        <v>0</v>
      </c>
      <c r="LT144" s="1007">
        <v>-0.412774999999999</v>
      </c>
      <c r="LU144" s="1008">
        <v>0</v>
      </c>
      <c r="LV144" s="1007">
        <v>0</v>
      </c>
      <c r="LW144" s="1008">
        <v>0</v>
      </c>
      <c r="LX144" s="1007">
        <v>-0.59774899999999997</v>
      </c>
      <c r="LY144" s="1009">
        <v>0</v>
      </c>
      <c r="LZ144" s="1010">
        <v>-0.84164299999999903</v>
      </c>
      <c r="MA144" s="1011">
        <v>0</v>
      </c>
      <c r="MB144" s="1012">
        <v>-1.69651968</v>
      </c>
      <c r="MC144" s="995"/>
      <c r="MD144" s="996"/>
      <c r="ME144" s="997" t="s">
        <v>238</v>
      </c>
      <c r="MF144" s="997"/>
      <c r="MG144" s="998"/>
      <c r="NR144" s="1000"/>
      <c r="NS144" s="1000"/>
      <c r="NT144" s="1001"/>
      <c r="NU144" s="1000"/>
      <c r="NV144" s="1001"/>
      <c r="NX144" s="1002"/>
      <c r="NZ144" s="1001"/>
      <c r="OA144" s="1001"/>
      <c r="OC144" s="1003"/>
      <c r="OD144" s="1003"/>
      <c r="OE144" s="1001"/>
      <c r="OF144" s="1003"/>
      <c r="OG144" s="1003"/>
      <c r="QX144" s="1000">
        <f t="shared" si="96"/>
        <v>19</v>
      </c>
      <c r="ASU144" s="999" t="s">
        <v>225</v>
      </c>
    </row>
    <row r="145" spans="1:466 1191:1191" ht="21" customHeight="1" x14ac:dyDescent="0.25">
      <c r="A145" s="982">
        <f t="shared" si="59"/>
        <v>1052</v>
      </c>
      <c r="B145" s="124">
        <f>SUBTOTAL(103,$J$29:J145)</f>
        <v>117</v>
      </c>
      <c r="C145" s="126">
        <v>45096</v>
      </c>
      <c r="D145" s="124" t="s">
        <v>176</v>
      </c>
      <c r="E145" s="127" t="s">
        <v>177</v>
      </c>
      <c r="F145" s="128" t="s">
        <v>177</v>
      </c>
      <c r="G145" s="127" t="s">
        <v>178</v>
      </c>
      <c r="H145" s="127" t="s">
        <v>421</v>
      </c>
      <c r="I145" s="127" t="s">
        <v>760</v>
      </c>
      <c r="J145" s="152">
        <v>1052</v>
      </c>
      <c r="K145" s="127" t="s">
        <v>772</v>
      </c>
      <c r="L145" s="130">
        <v>39952</v>
      </c>
      <c r="M145" s="127" t="s">
        <v>230</v>
      </c>
      <c r="N145" s="127" t="s">
        <v>231</v>
      </c>
      <c r="O145" s="127" t="s">
        <v>185</v>
      </c>
      <c r="P145" s="127" t="s">
        <v>225</v>
      </c>
      <c r="Q145" s="85" t="str">
        <f t="shared" si="85"/>
        <v/>
      </c>
      <c r="R145" s="130"/>
      <c r="S145" s="128" t="s">
        <v>156</v>
      </c>
      <c r="T145" s="131"/>
      <c r="U145" s="132">
        <v>203</v>
      </c>
      <c r="V145" s="121">
        <v>218.2</v>
      </c>
      <c r="W145" s="116">
        <v>0.98</v>
      </c>
      <c r="X145" s="116">
        <v>1.66</v>
      </c>
      <c r="Y145" s="116">
        <f t="shared" si="86"/>
        <v>0.98</v>
      </c>
      <c r="Z145" s="133">
        <v>1.454</v>
      </c>
      <c r="AA145" s="133">
        <v>0.83599999999999997</v>
      </c>
      <c r="AB145" s="133">
        <v>0.72</v>
      </c>
      <c r="AC145" s="121">
        <v>34.299999999999997</v>
      </c>
      <c r="AD145" s="134">
        <v>1.17</v>
      </c>
      <c r="AE145" s="124">
        <v>139.69999999999999</v>
      </c>
      <c r="AF145" s="128">
        <v>7.72</v>
      </c>
      <c r="AG145" s="128">
        <v>1977</v>
      </c>
      <c r="AH145" s="127">
        <v>2469</v>
      </c>
      <c r="AI145" s="127">
        <v>2469</v>
      </c>
      <c r="AJ145" s="135"/>
      <c r="AK145" s="128"/>
      <c r="AL145" s="131"/>
      <c r="AM145" s="124" t="s">
        <v>232</v>
      </c>
      <c r="AN145" s="136" t="s">
        <v>773</v>
      </c>
      <c r="AO145" s="137">
        <v>41.37</v>
      </c>
      <c r="AP145" s="128">
        <v>1977</v>
      </c>
      <c r="AQ145" s="128">
        <v>68.72</v>
      </c>
      <c r="AR145" s="128"/>
      <c r="AS145" s="128"/>
      <c r="AT145" s="122"/>
      <c r="AU145" s="124" t="s">
        <v>189</v>
      </c>
      <c r="AV145" s="115">
        <f>VLOOKUP(J145,'[63]ТР нефть'!$J$28:$BP$638,39,0)</f>
        <v>570.00003574200002</v>
      </c>
      <c r="AW145" s="115" t="str">
        <f>VLOOKUP(J145,'[63]ТР нефть'!$J$28:$BP$638,40,0)</f>
        <v>ГП</v>
      </c>
      <c r="AX145" s="115">
        <f>VLOOKUP(J145,'[63]ТР нефть'!$J$28:$BP$638,41,0)</f>
        <v>1010.00004375</v>
      </c>
      <c r="AY145" s="115" t="str">
        <f>VLOOKUP(J145,'[63]ТР нефть'!$J$28:$BP$638,42,0)</f>
        <v>ГП</v>
      </c>
      <c r="AZ145" s="115">
        <f>VLOOKUP(J145,'[63]ТР нефть'!$J$28:$BP$638,43,0)</f>
        <v>1360.0000382809999</v>
      </c>
      <c r="BA145" s="115" t="str">
        <f>VLOOKUP(J145,'[63]ТР нефть'!$J$28:$BP$638,44,0)</f>
        <v>ГК 83 1/8</v>
      </c>
      <c r="BB145" s="115">
        <f>VLOOKUP(J145,'[63]ТР нефть'!$J$28:$BP$638,45,0)</f>
        <v>1640.0000636719999</v>
      </c>
      <c r="BC145" s="115" t="str">
        <f>VLOOKUP(J145,'[63]ТР нефть'!$J$28:$BP$638,46,0)</f>
        <v>ГК 82 5/32</v>
      </c>
      <c r="BD145" s="115">
        <f>VLOOKUP(J145,'[63]ТР нефть'!$J$28:$BP$638,47,0)</f>
        <v>1825.000120313</v>
      </c>
      <c r="BE145" s="115" t="str">
        <f>VLOOKUP(J145,'[63]ТР нефть'!$J$28:$BP$638,48,0)</f>
        <v>ЦКсОК 5/16</v>
      </c>
      <c r="BF145" s="115" t="str">
        <f>VLOOKUP(J145,'[63]ТР нефть'!$J$28:$BP$638,49,0)</f>
        <v>-</v>
      </c>
      <c r="BG145" s="115" t="str">
        <f>VLOOKUP(J145,'[63]ТР нефть'!$J$28:$BP$638,50,0)</f>
        <v>-</v>
      </c>
      <c r="BH145" s="115" t="str">
        <f>VLOOKUP(J145,'[63]ТР нефть'!$J$28:$BP$638,51,0)</f>
        <v>-</v>
      </c>
      <c r="BI145" s="115" t="str">
        <f>VLOOKUP(J145,'[63]ТР нефть'!$J$28:$BP$638,52,0)</f>
        <v>-</v>
      </c>
      <c r="BJ145" s="115" t="str">
        <f>IF(IFERROR(VLOOKUP(J145,'[63]ТР нефть'!$J$28:$BP$638,53,0),"-")=0,"-",IFERROR(VLOOKUP(J145,'[63]ТР нефть'!$J$28:$BP$638,53,0),"-"))</f>
        <v>-</v>
      </c>
      <c r="BK145" s="138" t="str">
        <f>IF(IFERROR(VLOOKUP(J145,'[63]ТР нефть'!$J$28:$BP$638,54,0),"-")=0,"-",IFERROR(VLOOKUP(J145,'[63]ТР нефть'!$J$28:$BP$638,54,0),"-"))</f>
        <v>-</v>
      </c>
      <c r="BL145" s="138" t="str">
        <f>IF(IFERROR(VLOOKUP(J145,'[63]ТР нефть'!$J$28:$BP$638,55,0),"-")=0,"-",IFERROR(VLOOKUP(J145,'[63]ТР нефть'!$J$28:$BP$638,55,0),"-"))</f>
        <v>-</v>
      </c>
      <c r="BM145" s="138" t="str">
        <f>IF(IFERROR(VLOOKUP(J145,'[63]ТР нефть'!$J$28:$BP$638,56,0),"-")=0,"-",IFERROR(VLOOKUP(J145,'[63]ТР нефть'!$J$28:$BP$638,56,0),"-"))</f>
        <v>-</v>
      </c>
      <c r="BN145" s="138" t="str">
        <f>IF(IFERROR(VLOOKUP(J145,'[63]ТР нефть'!$J$28:$BP$638,57,0),"-")=0,"-",IFERROR(VLOOKUP(J145,'[63]ТР нефть'!$J$28:$BP$638,57,0),"-"))</f>
        <v>-</v>
      </c>
      <c r="BO145" s="115" t="str">
        <f>IF(IFERROR(VLOOKUP(J145,'[63]ТР нефть'!$J$28:$BP$638,58,0),"-")=0,"-",IFERROR(VLOOKUP(J145,'[63]ТР нефть'!$J$28:$BP$638,58,0),"-"))</f>
        <v>-</v>
      </c>
      <c r="BP145" s="115" t="str">
        <f>IF(IFERROR(VLOOKUP(J145,'[63]ТР нефть'!$J$28:$BP$638,59,0),"-")=0,"-",IFERROR(VLOOKUP(J145,'[63]ТР нефть'!$J$28:$BP$638,59,0),"-"))</f>
        <v>-</v>
      </c>
      <c r="BQ145" s="138">
        <v>2300</v>
      </c>
      <c r="BR145" s="128">
        <v>1946.4</v>
      </c>
      <c r="BS145" s="115">
        <f t="shared" si="60"/>
        <v>353.59999999999991</v>
      </c>
      <c r="BT145" s="128">
        <v>73</v>
      </c>
      <c r="BU145" s="128">
        <v>5.5</v>
      </c>
      <c r="BV145" s="127">
        <v>18</v>
      </c>
      <c r="BW145" s="127" t="s">
        <v>234</v>
      </c>
      <c r="BX145" s="127" t="s">
        <v>218</v>
      </c>
      <c r="BY145" s="139">
        <v>24</v>
      </c>
      <c r="BZ145" s="139">
        <v>24</v>
      </c>
      <c r="CA145" s="138">
        <v>23</v>
      </c>
      <c r="CB145" s="138">
        <v>72</v>
      </c>
      <c r="CC145" s="138">
        <v>22</v>
      </c>
      <c r="CD145" s="135">
        <v>45017</v>
      </c>
      <c r="CE145" s="138">
        <v>140</v>
      </c>
      <c r="CF145" s="138">
        <v>72</v>
      </c>
      <c r="CG145" s="138" t="str">
        <f t="shared" si="99"/>
        <v>В работе</v>
      </c>
      <c r="CH145" s="138" t="s">
        <v>196</v>
      </c>
      <c r="CI145" s="127">
        <v>6</v>
      </c>
      <c r="CJ145" s="138"/>
      <c r="CK145" s="138"/>
      <c r="CL145" s="99"/>
      <c r="CM145" s="99"/>
      <c r="CN145" s="140">
        <v>132</v>
      </c>
      <c r="CO145" s="141">
        <f t="shared" si="61"/>
        <v>0.41799999999999998</v>
      </c>
      <c r="CP145" s="142">
        <v>0.5</v>
      </c>
      <c r="CQ145" s="143">
        <v>0</v>
      </c>
      <c r="CR145" s="138">
        <v>4</v>
      </c>
      <c r="CS145" s="139">
        <v>3</v>
      </c>
      <c r="CT145" s="138"/>
      <c r="CU145" s="138">
        <f t="shared" si="62"/>
        <v>1</v>
      </c>
      <c r="CV145" s="115">
        <f t="shared" si="63"/>
        <v>2392.3444976076557</v>
      </c>
      <c r="CW145" s="115">
        <f t="shared" si="64"/>
        <v>7177.0334928229668</v>
      </c>
      <c r="CX145" s="133">
        <f t="shared" si="65"/>
        <v>6.25E-2</v>
      </c>
      <c r="CY145" s="116"/>
      <c r="CZ145" s="131"/>
      <c r="DA145" s="145" t="str">
        <f t="shared" si="66"/>
        <v>Газлифт</v>
      </c>
      <c r="DB145" s="146">
        <f t="shared" si="67"/>
        <v>0.41799999999999998</v>
      </c>
      <c r="DC145" s="142">
        <f t="shared" si="68"/>
        <v>0.5</v>
      </c>
      <c r="DD145" s="119">
        <f t="shared" si="69"/>
        <v>0</v>
      </c>
      <c r="DE145" s="115">
        <f t="shared" si="70"/>
        <v>1</v>
      </c>
      <c r="DF145" s="121">
        <f t="shared" si="71"/>
        <v>3</v>
      </c>
      <c r="DG145" s="115">
        <f t="shared" si="72"/>
        <v>2392.3444976076557</v>
      </c>
      <c r="DH145" s="115">
        <f t="shared" si="73"/>
        <v>132</v>
      </c>
      <c r="DI145" s="147"/>
      <c r="DJ145" s="111">
        <v>43644</v>
      </c>
      <c r="DK145" s="112">
        <v>43721</v>
      </c>
      <c r="DL145" s="113">
        <f t="shared" ca="1" si="87"/>
        <v>1383</v>
      </c>
      <c r="DM145" s="114"/>
      <c r="DN145" s="114"/>
      <c r="DO145" s="114"/>
      <c r="DP145" s="114"/>
      <c r="DQ145" s="112">
        <v>43679.999305555553</v>
      </c>
      <c r="DR145" s="114" t="s">
        <v>282</v>
      </c>
      <c r="DS145" s="114"/>
      <c r="DT145" s="115">
        <v>52</v>
      </c>
      <c r="DU145" s="116">
        <f t="shared" si="88"/>
        <v>4.6213355048859976E-2</v>
      </c>
      <c r="DV145" s="117">
        <f t="shared" si="89"/>
        <v>3.3998241042345305</v>
      </c>
      <c r="DW145" s="118">
        <f t="shared" si="90"/>
        <v>4.0667752442996781</v>
      </c>
      <c r="DX145" s="119">
        <f t="shared" si="74"/>
        <v>0</v>
      </c>
      <c r="DY145" s="115">
        <f t="shared" si="91"/>
        <v>8.1335504885993561</v>
      </c>
      <c r="DZ145" s="117">
        <f t="shared" si="92"/>
        <v>2.9818241042345304</v>
      </c>
      <c r="EA145" s="120">
        <f t="shared" si="92"/>
        <v>3.5667752442996781</v>
      </c>
      <c r="EB145" s="119">
        <f t="shared" si="92"/>
        <v>0</v>
      </c>
      <c r="EC145" s="121">
        <f t="shared" si="93"/>
        <v>7.1335504885993561</v>
      </c>
      <c r="ED145" s="122"/>
      <c r="EE145" s="145">
        <v>18</v>
      </c>
      <c r="EF145" s="115">
        <v>23</v>
      </c>
      <c r="EG145" s="115">
        <v>72</v>
      </c>
      <c r="EH145" s="115">
        <v>22</v>
      </c>
      <c r="EI145" s="128" t="s">
        <v>218</v>
      </c>
      <c r="EJ145" s="121">
        <v>24</v>
      </c>
      <c r="EK145" s="121">
        <v>24</v>
      </c>
      <c r="EL145" s="149">
        <v>0.41799999999999998</v>
      </c>
      <c r="EM145" s="142">
        <v>0.5</v>
      </c>
      <c r="EN145" s="119">
        <v>0</v>
      </c>
      <c r="EO145" s="115">
        <v>4</v>
      </c>
      <c r="EP145" s="115">
        <v>2392.3444976076557</v>
      </c>
      <c r="EQ145" s="115">
        <v>72</v>
      </c>
      <c r="ER145" s="115">
        <v>3</v>
      </c>
      <c r="ES145" s="115">
        <v>132</v>
      </c>
      <c r="ET145" s="150">
        <v>6.25E-2</v>
      </c>
      <c r="EU145" s="145">
        <f t="shared" si="75"/>
        <v>18</v>
      </c>
      <c r="EV145" s="115">
        <f t="shared" si="76"/>
        <v>23</v>
      </c>
      <c r="EW145" s="115">
        <f t="shared" si="76"/>
        <v>72</v>
      </c>
      <c r="EX145" s="115">
        <f t="shared" si="76"/>
        <v>22</v>
      </c>
      <c r="EY145" s="115" t="str">
        <f t="shared" si="98"/>
        <v>Периодический</v>
      </c>
      <c r="EZ145" s="115">
        <f t="shared" si="98"/>
        <v>24</v>
      </c>
      <c r="FA145" s="115">
        <f t="shared" si="98"/>
        <v>24</v>
      </c>
      <c r="FB145" s="149">
        <f t="shared" si="78"/>
        <v>0.41799999999999998</v>
      </c>
      <c r="FC145" s="142">
        <f t="shared" si="78"/>
        <v>0.5</v>
      </c>
      <c r="FD145" s="119">
        <f t="shared" si="78"/>
        <v>0</v>
      </c>
      <c r="FE145" s="121">
        <f t="shared" si="78"/>
        <v>4</v>
      </c>
      <c r="FF145" s="121">
        <f t="shared" si="94"/>
        <v>2392.3444976076557</v>
      </c>
      <c r="FG145" s="121">
        <f t="shared" si="79"/>
        <v>72</v>
      </c>
      <c r="FH145" s="121">
        <f t="shared" si="95"/>
        <v>3</v>
      </c>
      <c r="FI145" s="121">
        <f t="shared" si="97"/>
        <v>132</v>
      </c>
      <c r="FJ145" s="144">
        <f t="shared" si="80"/>
        <v>6.25E-2</v>
      </c>
      <c r="FK145" s="132">
        <f t="shared" si="81"/>
        <v>0</v>
      </c>
      <c r="FL145" s="115">
        <f t="shared" si="81"/>
        <v>0</v>
      </c>
      <c r="FM145" s="115">
        <f t="shared" si="81"/>
        <v>0</v>
      </c>
      <c r="FN145" s="115">
        <f t="shared" si="58"/>
        <v>0</v>
      </c>
      <c r="FO145" s="115">
        <f t="shared" si="100"/>
        <v>0</v>
      </c>
      <c r="FP145" s="115">
        <f t="shared" si="100"/>
        <v>0</v>
      </c>
      <c r="FQ145" s="149">
        <f t="shared" si="100"/>
        <v>0</v>
      </c>
      <c r="FR145" s="142">
        <f t="shared" si="100"/>
        <v>0</v>
      </c>
      <c r="FS145" s="119">
        <f t="shared" si="100"/>
        <v>0</v>
      </c>
      <c r="FT145" s="121">
        <f t="shared" si="100"/>
        <v>0</v>
      </c>
      <c r="FU145" s="121">
        <f t="shared" si="82"/>
        <v>0</v>
      </c>
      <c r="FV145" s="121">
        <f t="shared" si="82"/>
        <v>0</v>
      </c>
      <c r="FW145" s="121">
        <f t="shared" si="83"/>
        <v>0</v>
      </c>
      <c r="FX145" s="121">
        <f t="shared" si="84"/>
        <v>0</v>
      </c>
      <c r="FY145" s="144">
        <f t="shared" si="84"/>
        <v>0</v>
      </c>
      <c r="FZ145" s="145"/>
      <c r="GA145" s="151" t="s">
        <v>283</v>
      </c>
      <c r="GB145" s="145" t="s">
        <v>199</v>
      </c>
      <c r="GC145" s="151" t="s">
        <v>774</v>
      </c>
      <c r="GD145" s="997" t="s">
        <v>238</v>
      </c>
      <c r="GE145" s="1004" t="s">
        <v>199</v>
      </c>
      <c r="GF145" s="1004">
        <v>-0.35446399999999995</v>
      </c>
      <c r="GG145" s="1004"/>
      <c r="GH145" s="1004">
        <v>0</v>
      </c>
      <c r="GI145" s="145"/>
      <c r="GJ145" s="996">
        <v>0</v>
      </c>
      <c r="GK145" s="145"/>
      <c r="GL145" s="996">
        <v>-0.26317505720000012</v>
      </c>
      <c r="GM145" s="1005"/>
      <c r="GN145" s="996">
        <v>0</v>
      </c>
      <c r="GO145" s="1006"/>
      <c r="GP145" s="996">
        <v>0.2106808616000001</v>
      </c>
      <c r="GQ145" s="1006"/>
      <c r="GR145" s="996">
        <v>0</v>
      </c>
      <c r="GS145" s="1006"/>
      <c r="GT145" s="996">
        <v>0</v>
      </c>
      <c r="GU145" s="1006"/>
      <c r="GV145" s="996">
        <v>-0.35012808599999989</v>
      </c>
      <c r="GW145" s="1006"/>
      <c r="GX145" s="997">
        <v>0.40641563159999972</v>
      </c>
      <c r="GY145" s="1006"/>
      <c r="GZ145" s="996">
        <v>-0.73498402999999957</v>
      </c>
      <c r="HA145" s="1006"/>
      <c r="HB145" s="996">
        <v>0</v>
      </c>
      <c r="HC145" s="1006"/>
      <c r="HD145" s="996">
        <v>0</v>
      </c>
      <c r="HE145" s="1006"/>
      <c r="HF145" s="996">
        <v>0.60077467999999967</v>
      </c>
      <c r="HG145" s="1006" t="s">
        <v>199</v>
      </c>
      <c r="HH145" s="996">
        <v>-0.97310399999999964</v>
      </c>
      <c r="HI145" s="1006"/>
      <c r="HJ145" s="996">
        <v>0</v>
      </c>
      <c r="HK145" s="1006"/>
      <c r="HL145" s="996">
        <v>0</v>
      </c>
      <c r="HM145" s="1006"/>
      <c r="HN145" s="996">
        <v>0</v>
      </c>
      <c r="HO145" s="1006"/>
      <c r="HP145" s="996">
        <v>0</v>
      </c>
      <c r="HQ145" s="1006" t="s">
        <v>223</v>
      </c>
      <c r="HR145" s="996">
        <v>-1.3242239999999998</v>
      </c>
      <c r="HS145" s="1006"/>
      <c r="HT145" s="996">
        <v>0.76284999999999981</v>
      </c>
      <c r="HU145" s="1006"/>
      <c r="HV145" s="996">
        <v>0.9318055999999999</v>
      </c>
      <c r="HW145" s="1006"/>
      <c r="HX145" s="996">
        <v>0</v>
      </c>
      <c r="HY145" s="1006"/>
      <c r="HZ145" s="996">
        <v>0.40203239999999996</v>
      </c>
      <c r="IA145" s="1006" t="s">
        <v>199</v>
      </c>
      <c r="IB145" s="996">
        <v>-1.6051200000000001</v>
      </c>
      <c r="IC145" s="1006" t="s">
        <v>204</v>
      </c>
      <c r="ID145" s="996">
        <v>-2.5523080000000009</v>
      </c>
      <c r="IE145" s="1006"/>
      <c r="IF145" s="996">
        <v>0.44558800000000165</v>
      </c>
      <c r="IG145" s="1006"/>
      <c r="IH145" s="996">
        <v>0</v>
      </c>
      <c r="II145" s="1006" t="s">
        <v>199</v>
      </c>
      <c r="IJ145" s="996">
        <v>2.909279999999999</v>
      </c>
      <c r="IK145" s="1006"/>
      <c r="IL145" s="996">
        <v>0</v>
      </c>
      <c r="IM145" s="1006"/>
      <c r="IN145" s="996">
        <v>0.7524000000000004</v>
      </c>
      <c r="IO145" s="1006"/>
      <c r="IP145" s="996">
        <v>0</v>
      </c>
      <c r="IQ145" s="1006"/>
      <c r="IR145" s="996">
        <v>-0.63126694400000027</v>
      </c>
      <c r="IS145" s="1006"/>
      <c r="IT145" s="996">
        <v>0</v>
      </c>
      <c r="IU145" s="1006"/>
      <c r="IV145" s="996">
        <v>0</v>
      </c>
      <c r="IW145" s="1006"/>
      <c r="IX145" s="996">
        <v>-0.72188265600000046</v>
      </c>
      <c r="IY145" s="1006"/>
      <c r="IZ145" s="996">
        <v>0</v>
      </c>
      <c r="JA145" s="1006"/>
      <c r="JB145" s="996">
        <v>0</v>
      </c>
      <c r="JC145" s="1006"/>
      <c r="JD145" s="996">
        <v>0.19545680000000099</v>
      </c>
      <c r="JE145" s="1006"/>
      <c r="JF145" s="996">
        <v>-0.42506160840000051</v>
      </c>
      <c r="JG145" s="1006"/>
      <c r="JH145" s="996">
        <v>0</v>
      </c>
      <c r="JI145" s="1006"/>
      <c r="JJ145" s="996">
        <v>0</v>
      </c>
      <c r="JK145" s="1007" t="s">
        <v>203</v>
      </c>
      <c r="JL145" s="1007">
        <v>-9.0196346393999995</v>
      </c>
      <c r="JM145" s="1007"/>
      <c r="JN145" s="1007">
        <v>0</v>
      </c>
      <c r="JO145" s="1008" t="s">
        <v>25</v>
      </c>
      <c r="JP145" s="1007">
        <v>7.9978310477999992</v>
      </c>
      <c r="JQ145" s="1008">
        <v>0</v>
      </c>
      <c r="JR145" s="1007">
        <v>0</v>
      </c>
      <c r="JS145" s="1008">
        <v>0</v>
      </c>
      <c r="JT145" s="1007">
        <v>0</v>
      </c>
      <c r="JU145" s="1008"/>
      <c r="JV145" s="1007">
        <v>0</v>
      </c>
      <c r="JW145" s="1008" t="s">
        <v>197</v>
      </c>
      <c r="JX145" s="1007">
        <v>0</v>
      </c>
      <c r="JY145" s="1008"/>
      <c r="JZ145" s="1007">
        <v>0</v>
      </c>
      <c r="KA145" s="1008"/>
      <c r="KB145" s="1007">
        <v>0</v>
      </c>
      <c r="KC145" s="1008"/>
      <c r="KD145" s="1007">
        <v>0</v>
      </c>
      <c r="KE145" s="1008"/>
      <c r="KF145" s="1007">
        <v>0</v>
      </c>
      <c r="KG145" s="1008"/>
      <c r="KH145" s="1007">
        <v>0</v>
      </c>
      <c r="KI145" s="1008"/>
      <c r="KJ145" s="1007">
        <v>0</v>
      </c>
      <c r="KK145" s="1008"/>
      <c r="KL145" s="1007">
        <v>0</v>
      </c>
      <c r="KM145" s="1008"/>
      <c r="KN145" s="1007">
        <v>0</v>
      </c>
      <c r="KO145" s="1008"/>
      <c r="KP145" s="1007">
        <v>0</v>
      </c>
      <c r="KQ145" s="1008">
        <v>0</v>
      </c>
      <c r="KR145" s="1007">
        <v>0</v>
      </c>
      <c r="KS145" s="1008">
        <v>0</v>
      </c>
      <c r="KT145" s="1007">
        <v>0</v>
      </c>
      <c r="KU145" s="1008">
        <v>0</v>
      </c>
      <c r="KV145" s="1007">
        <v>0</v>
      </c>
      <c r="KW145" s="1008">
        <v>0</v>
      </c>
      <c r="KX145" s="1007">
        <v>0</v>
      </c>
      <c r="KY145" s="1008">
        <v>0</v>
      </c>
      <c r="KZ145" s="1007">
        <v>0</v>
      </c>
      <c r="LA145" s="1008">
        <v>0</v>
      </c>
      <c r="LB145" s="1007">
        <v>0</v>
      </c>
      <c r="LC145" s="1008">
        <v>0</v>
      </c>
      <c r="LD145" s="1007">
        <v>0</v>
      </c>
      <c r="LE145" s="1008">
        <v>0</v>
      </c>
      <c r="LF145" s="1007">
        <v>0</v>
      </c>
      <c r="LG145" s="1008" t="s">
        <v>199</v>
      </c>
      <c r="LH145" s="1007">
        <v>-1.6732800000000001</v>
      </c>
      <c r="LI145" s="1008">
        <v>0</v>
      </c>
      <c r="LJ145" s="1007">
        <v>0</v>
      </c>
      <c r="LK145" s="1008">
        <v>0</v>
      </c>
      <c r="LL145" s="1007">
        <v>0</v>
      </c>
      <c r="LM145" s="1008">
        <v>0</v>
      </c>
      <c r="LN145" s="1007">
        <v>0</v>
      </c>
      <c r="LO145" s="1008">
        <v>0</v>
      </c>
      <c r="LP145" s="1007">
        <v>0</v>
      </c>
      <c r="LQ145" s="1008" t="s">
        <v>206</v>
      </c>
      <c r="LR145" s="1007">
        <v>-7.9889400000000004</v>
      </c>
      <c r="LS145" s="1008" t="s">
        <v>206</v>
      </c>
      <c r="LT145" s="1007">
        <v>7.5164759999999999</v>
      </c>
      <c r="LU145" s="1008">
        <v>0</v>
      </c>
      <c r="LV145" s="1007">
        <v>0</v>
      </c>
      <c r="LW145" s="1008">
        <v>0</v>
      </c>
      <c r="LX145" s="1007">
        <v>-0.41758200000000001</v>
      </c>
      <c r="LY145" s="1009">
        <v>0</v>
      </c>
      <c r="LZ145" s="1010">
        <v>-0.58461479999999999</v>
      </c>
      <c r="MA145" s="1011">
        <v>0</v>
      </c>
      <c r="MB145" s="1012">
        <v>-0.167328</v>
      </c>
      <c r="MC145" s="995"/>
      <c r="MD145" s="996"/>
      <c r="ME145" s="997" t="s">
        <v>238</v>
      </c>
      <c r="MF145" s="997"/>
      <c r="MG145" s="998"/>
      <c r="NR145" s="1000"/>
      <c r="NS145" s="1000"/>
      <c r="NT145" s="1001"/>
      <c r="NU145" s="1000"/>
      <c r="NV145" s="1001"/>
      <c r="NX145" s="1002"/>
      <c r="NZ145" s="1001"/>
      <c r="OA145" s="1001"/>
      <c r="OC145" s="1003"/>
      <c r="OD145" s="1003"/>
      <c r="OE145" s="1001"/>
      <c r="OF145" s="1003"/>
      <c r="OG145" s="1003"/>
      <c r="QX145" s="1000">
        <f t="shared" si="96"/>
        <v>109</v>
      </c>
      <c r="ASU145" s="999" t="s">
        <v>208</v>
      </c>
    </row>
    <row r="146" spans="1:466 1191:1191" ht="21" customHeight="1" x14ac:dyDescent="0.25">
      <c r="A146" s="982" t="str">
        <f t="shared" si="59"/>
        <v>1052-1</v>
      </c>
      <c r="B146" s="124">
        <f>SUBTOTAL(103,$J$29:J146)</f>
        <v>118</v>
      </c>
      <c r="C146" s="126">
        <v>45096</v>
      </c>
      <c r="D146" s="124" t="s">
        <v>176</v>
      </c>
      <c r="E146" s="127" t="s">
        <v>177</v>
      </c>
      <c r="F146" s="128" t="s">
        <v>177</v>
      </c>
      <c r="G146" s="127" t="s">
        <v>178</v>
      </c>
      <c r="H146" s="127" t="s">
        <v>421</v>
      </c>
      <c r="I146" s="127" t="s">
        <v>760</v>
      </c>
      <c r="J146" s="152" t="s">
        <v>775</v>
      </c>
      <c r="K146" s="127" t="s">
        <v>772</v>
      </c>
      <c r="L146" s="130">
        <v>40061</v>
      </c>
      <c r="M146" s="127" t="s">
        <v>230</v>
      </c>
      <c r="N146" s="127" t="s">
        <v>465</v>
      </c>
      <c r="O146" s="127" t="s">
        <v>185</v>
      </c>
      <c r="P146" s="127" t="s">
        <v>225</v>
      </c>
      <c r="Q146" s="85" t="str">
        <f t="shared" si="85"/>
        <v/>
      </c>
      <c r="R146" s="130"/>
      <c r="S146" s="128" t="s">
        <v>156</v>
      </c>
      <c r="T146" s="131"/>
      <c r="U146" s="132">
        <v>203</v>
      </c>
      <c r="V146" s="121">
        <v>218.2</v>
      </c>
      <c r="W146" s="116">
        <v>0.98</v>
      </c>
      <c r="X146" s="116">
        <v>1.66</v>
      </c>
      <c r="Y146" s="116">
        <f t="shared" si="86"/>
        <v>0.98</v>
      </c>
      <c r="Z146" s="133">
        <v>1.454</v>
      </c>
      <c r="AA146" s="133">
        <v>0.83599999999999997</v>
      </c>
      <c r="AB146" s="133">
        <v>0.72</v>
      </c>
      <c r="AC146" s="121">
        <v>34.299999999999997</v>
      </c>
      <c r="AD146" s="134">
        <v>1.17</v>
      </c>
      <c r="AE146" s="124">
        <v>139.69999999999999</v>
      </c>
      <c r="AF146" s="128">
        <v>7.72</v>
      </c>
      <c r="AG146" s="128">
        <v>1942</v>
      </c>
      <c r="AH146" s="127">
        <v>2498</v>
      </c>
      <c r="AI146" s="127">
        <v>2498</v>
      </c>
      <c r="AJ146" s="135"/>
      <c r="AK146" s="128"/>
      <c r="AL146" s="131"/>
      <c r="AM146" s="124" t="s">
        <v>232</v>
      </c>
      <c r="AN146" s="136" t="s">
        <v>776</v>
      </c>
      <c r="AO146" s="137">
        <v>81.459999999999994</v>
      </c>
      <c r="AP146" s="128">
        <v>1942</v>
      </c>
      <c r="AQ146" s="128">
        <v>65.8</v>
      </c>
      <c r="AR146" s="128"/>
      <c r="AS146" s="128"/>
      <c r="AT146" s="122"/>
      <c r="AU146" s="124" t="s">
        <v>189</v>
      </c>
      <c r="AV146" s="115">
        <f>VLOOKUP(J146,'[63]ТР нефть'!$J$28:$BP$638,39,0)</f>
        <v>582.99998642599996</v>
      </c>
      <c r="AW146" s="115" t="str">
        <f>VLOOKUP(J146,'[63]ТР нефть'!$J$28:$BP$638,40,0)</f>
        <v>ГП</v>
      </c>
      <c r="AX146" s="115">
        <f>VLOOKUP(J146,'[63]ТР нефть'!$J$28:$BP$638,41,0)</f>
        <v>1186.999993359</v>
      </c>
      <c r="AY146" s="115" t="str">
        <f>VLOOKUP(J146,'[63]ТР нефть'!$J$28:$BP$638,42,0)</f>
        <v>ГК 76 1/8</v>
      </c>
      <c r="AZ146" s="115">
        <f>VLOOKUP(J146,'[63]ТР нефть'!$J$28:$BP$638,43,0)</f>
        <v>1738.999937109</v>
      </c>
      <c r="BA146" s="115" t="str">
        <f>VLOOKUP(J146,'[63]ТР нефть'!$J$28:$BP$638,44,0)</f>
        <v>ЦКсОК 5/16</v>
      </c>
      <c r="BB146" s="115" t="str">
        <f>VLOOKUP(J146,'[63]ТР нефть'!$J$28:$BP$638,45,0)</f>
        <v>-</v>
      </c>
      <c r="BC146" s="115" t="str">
        <f>VLOOKUP(J146,'[63]ТР нефть'!$J$28:$BP$638,46,0)</f>
        <v>-</v>
      </c>
      <c r="BD146" s="115" t="str">
        <f>VLOOKUP(J146,'[63]ТР нефть'!$J$28:$BP$638,47,0)</f>
        <v>-</v>
      </c>
      <c r="BE146" s="115" t="str">
        <f>VLOOKUP(J146,'[63]ТР нефть'!$J$28:$BP$638,48,0)</f>
        <v>-</v>
      </c>
      <c r="BF146" s="115" t="str">
        <f>VLOOKUP(J146,'[63]ТР нефть'!$J$28:$BP$638,49,0)</f>
        <v>-</v>
      </c>
      <c r="BG146" s="115" t="str">
        <f>VLOOKUP(J146,'[63]ТР нефть'!$J$28:$BP$638,50,0)</f>
        <v>-</v>
      </c>
      <c r="BH146" s="115">
        <f>VLOOKUP(J146,'[63]ТР нефть'!$J$28:$BP$638,51,0)</f>
        <v>1751</v>
      </c>
      <c r="BI146" s="115" t="str">
        <f>VLOOKUP(J146,'[63]ТР нефть'!$J$28:$BP$638,52,0)</f>
        <v>открыт</v>
      </c>
      <c r="BJ146" s="115" t="str">
        <f>IF(IFERROR(VLOOKUP(J146,'[63]ТР нефть'!$J$28:$BP$638,53,0),"-")=0,"-",IFERROR(VLOOKUP(J146,'[63]ТР нефть'!$J$28:$BP$638,53,0),"-"))</f>
        <v>-</v>
      </c>
      <c r="BK146" s="138" t="str">
        <f>IF(IFERROR(VLOOKUP(J146,'[63]ТР нефть'!$J$28:$BP$638,54,0),"-")=0,"-",IFERROR(VLOOKUP(J146,'[63]ТР нефть'!$J$28:$BP$638,54,0),"-"))</f>
        <v>-</v>
      </c>
      <c r="BL146" s="138" t="str">
        <f>IF(IFERROR(VLOOKUP(J146,'[63]ТР нефть'!$J$28:$BP$638,55,0),"-")=0,"-",IFERROR(VLOOKUP(J146,'[63]ТР нефть'!$J$28:$BP$638,55,0),"-"))</f>
        <v>-</v>
      </c>
      <c r="BM146" s="138" t="str">
        <f>IF(IFERROR(VLOOKUP(J146,'[63]ТР нефть'!$J$28:$BP$638,56,0),"-")=0,"-",IFERROR(VLOOKUP(J146,'[63]ТР нефть'!$J$28:$BP$638,56,0),"-"))</f>
        <v>-</v>
      </c>
      <c r="BN146" s="138" t="str">
        <f>IF(IFERROR(VLOOKUP(J146,'[63]ТР нефть'!$J$28:$BP$638,57,0),"-")=0,"-",IFERROR(VLOOKUP(J146,'[63]ТР нефть'!$J$28:$BP$638,57,0),"-"))</f>
        <v>-</v>
      </c>
      <c r="BO146" s="115" t="str">
        <f>IF(IFERROR(VLOOKUP(J146,'[63]ТР нефть'!$J$28:$BP$638,58,0),"-")=0,"-",IFERROR(VLOOKUP(J146,'[63]ТР нефть'!$J$28:$BP$638,58,0),"-"))</f>
        <v>-</v>
      </c>
      <c r="BP146" s="115" t="str">
        <f>IF(IFERROR(VLOOKUP(J146,'[63]ТР нефть'!$J$28:$BP$638,59,0),"-")=0,"-",IFERROR(VLOOKUP(J146,'[63]ТР нефть'!$J$28:$BP$638,59,0),"-"))</f>
        <v>-</v>
      </c>
      <c r="BQ146" s="138">
        <v>2071</v>
      </c>
      <c r="BR146" s="128">
        <v>1900.22</v>
      </c>
      <c r="BS146" s="115">
        <f t="shared" si="60"/>
        <v>170.77999999999997</v>
      </c>
      <c r="BT146" s="128">
        <v>73</v>
      </c>
      <c r="BU146" s="128">
        <v>5.5</v>
      </c>
      <c r="BV146" s="127">
        <v>18</v>
      </c>
      <c r="BW146" s="127" t="s">
        <v>234</v>
      </c>
      <c r="BX146" s="127" t="s">
        <v>218</v>
      </c>
      <c r="BY146" s="139">
        <v>24</v>
      </c>
      <c r="BZ146" s="139">
        <v>72</v>
      </c>
      <c r="CA146" s="138">
        <v>18</v>
      </c>
      <c r="CB146" s="138">
        <v>69</v>
      </c>
      <c r="CC146" s="138">
        <v>17</v>
      </c>
      <c r="CD146" s="135">
        <v>45017</v>
      </c>
      <c r="CE146" s="138">
        <v>99.8</v>
      </c>
      <c r="CF146" s="138">
        <v>73</v>
      </c>
      <c r="CG146" s="138" t="str">
        <f t="shared" si="99"/>
        <v>В работе</v>
      </c>
      <c r="CH146" s="138" t="s">
        <v>196</v>
      </c>
      <c r="CI146" s="127">
        <v>6</v>
      </c>
      <c r="CJ146" s="138"/>
      <c r="CK146" s="138"/>
      <c r="CL146" s="99"/>
      <c r="CM146" s="99"/>
      <c r="CN146" s="140">
        <v>37</v>
      </c>
      <c r="CO146" s="141">
        <f t="shared" si="61"/>
        <v>1.881</v>
      </c>
      <c r="CP146" s="142">
        <v>2.25</v>
      </c>
      <c r="CQ146" s="119">
        <v>0</v>
      </c>
      <c r="CR146" s="138">
        <v>5.4</v>
      </c>
      <c r="CS146" s="139">
        <v>1.8</v>
      </c>
      <c r="CT146" s="138"/>
      <c r="CU146" s="138">
        <f t="shared" si="62"/>
        <v>3.6000000000000005</v>
      </c>
      <c r="CV146" s="115">
        <f t="shared" si="63"/>
        <v>1913.8755980861247</v>
      </c>
      <c r="CW146" s="115">
        <f t="shared" si="64"/>
        <v>956.93779904306223</v>
      </c>
      <c r="CX146" s="133">
        <f t="shared" si="65"/>
        <v>3.5828025477707005E-2</v>
      </c>
      <c r="CY146" s="116"/>
      <c r="CZ146" s="131"/>
      <c r="DA146" s="145" t="str">
        <f t="shared" si="66"/>
        <v>Газлифт</v>
      </c>
      <c r="DB146" s="146">
        <f t="shared" si="67"/>
        <v>1.881</v>
      </c>
      <c r="DC146" s="142">
        <f t="shared" si="68"/>
        <v>2.25</v>
      </c>
      <c r="DD146" s="119">
        <f t="shared" si="69"/>
        <v>0</v>
      </c>
      <c r="DE146" s="115">
        <f t="shared" si="70"/>
        <v>3.6000000000000005</v>
      </c>
      <c r="DF146" s="121">
        <f t="shared" si="71"/>
        <v>1.8</v>
      </c>
      <c r="DG146" s="115">
        <f t="shared" si="72"/>
        <v>1913.8755980861247</v>
      </c>
      <c r="DH146" s="115">
        <f t="shared" si="73"/>
        <v>37</v>
      </c>
      <c r="DI146" s="147"/>
      <c r="DJ146" s="111" t="s">
        <v>197</v>
      </c>
      <c r="DK146" s="112">
        <v>42322</v>
      </c>
      <c r="DL146" s="113">
        <f t="shared" ca="1" si="87"/>
        <v>2782</v>
      </c>
      <c r="DM146" s="114"/>
      <c r="DN146" s="114"/>
      <c r="DO146" s="114"/>
      <c r="DP146" s="114"/>
      <c r="DQ146" s="112">
        <v>41090</v>
      </c>
      <c r="DR146" s="114" t="s">
        <v>198</v>
      </c>
      <c r="DS146" s="114"/>
      <c r="DT146" s="115">
        <v>39</v>
      </c>
      <c r="DU146" s="116">
        <f t="shared" si="88"/>
        <v>3.7006578947368425E-2</v>
      </c>
      <c r="DV146" s="117">
        <f t="shared" si="89"/>
        <v>1.881</v>
      </c>
      <c r="DW146" s="118">
        <f t="shared" si="90"/>
        <v>2.25</v>
      </c>
      <c r="DX146" s="119">
        <f t="shared" si="74"/>
        <v>0</v>
      </c>
      <c r="DY146" s="115">
        <f t="shared" si="91"/>
        <v>3.6000000000000005</v>
      </c>
      <c r="DZ146" s="117">
        <f t="shared" si="92"/>
        <v>0</v>
      </c>
      <c r="EA146" s="120">
        <f t="shared" si="92"/>
        <v>0</v>
      </c>
      <c r="EB146" s="119">
        <f t="shared" si="92"/>
        <v>0</v>
      </c>
      <c r="EC146" s="121">
        <f t="shared" si="93"/>
        <v>0</v>
      </c>
      <c r="ED146" s="122"/>
      <c r="EE146" s="145">
        <v>18</v>
      </c>
      <c r="EF146" s="115">
        <v>18</v>
      </c>
      <c r="EG146" s="115">
        <v>69</v>
      </c>
      <c r="EH146" s="115">
        <v>17</v>
      </c>
      <c r="EI146" s="128" t="s">
        <v>218</v>
      </c>
      <c r="EJ146" s="121">
        <v>24</v>
      </c>
      <c r="EK146" s="121">
        <v>72</v>
      </c>
      <c r="EL146" s="149">
        <v>1.881</v>
      </c>
      <c r="EM146" s="142">
        <v>2.25</v>
      </c>
      <c r="EN146" s="119">
        <v>0</v>
      </c>
      <c r="EO146" s="115">
        <v>5.4</v>
      </c>
      <c r="EP146" s="115">
        <v>1913.8755980861247</v>
      </c>
      <c r="EQ146" s="115">
        <v>73</v>
      </c>
      <c r="ER146" s="115">
        <v>1.8</v>
      </c>
      <c r="ES146" s="115">
        <v>37</v>
      </c>
      <c r="ET146" s="150">
        <v>3.5828025477707005E-2</v>
      </c>
      <c r="EU146" s="145">
        <f t="shared" si="75"/>
        <v>18</v>
      </c>
      <c r="EV146" s="115">
        <f t="shared" si="76"/>
        <v>18</v>
      </c>
      <c r="EW146" s="115">
        <f t="shared" si="76"/>
        <v>69</v>
      </c>
      <c r="EX146" s="115">
        <f t="shared" si="76"/>
        <v>17</v>
      </c>
      <c r="EY146" s="115" t="str">
        <f t="shared" si="98"/>
        <v>Периодический</v>
      </c>
      <c r="EZ146" s="115">
        <f t="shared" si="98"/>
        <v>24</v>
      </c>
      <c r="FA146" s="115">
        <f t="shared" si="98"/>
        <v>72</v>
      </c>
      <c r="FB146" s="149">
        <f t="shared" si="78"/>
        <v>1.881</v>
      </c>
      <c r="FC146" s="142">
        <f t="shared" si="78"/>
        <v>2.25</v>
      </c>
      <c r="FD146" s="119">
        <f t="shared" si="78"/>
        <v>0</v>
      </c>
      <c r="FE146" s="121">
        <f t="shared" si="78"/>
        <v>5.4</v>
      </c>
      <c r="FF146" s="121">
        <f t="shared" si="94"/>
        <v>1913.8755980861247</v>
      </c>
      <c r="FG146" s="121">
        <f t="shared" si="79"/>
        <v>73</v>
      </c>
      <c r="FH146" s="121">
        <f t="shared" si="95"/>
        <v>1.8</v>
      </c>
      <c r="FI146" s="121">
        <f t="shared" si="97"/>
        <v>37</v>
      </c>
      <c r="FJ146" s="144">
        <f t="shared" si="80"/>
        <v>3.5828025477707005E-2</v>
      </c>
      <c r="FK146" s="132">
        <f t="shared" si="81"/>
        <v>0</v>
      </c>
      <c r="FL146" s="115">
        <f t="shared" si="81"/>
        <v>0</v>
      </c>
      <c r="FM146" s="115">
        <f t="shared" si="81"/>
        <v>0</v>
      </c>
      <c r="FN146" s="115">
        <f t="shared" si="58"/>
        <v>0</v>
      </c>
      <c r="FO146" s="115">
        <f t="shared" si="100"/>
        <v>0</v>
      </c>
      <c r="FP146" s="115">
        <f t="shared" si="100"/>
        <v>0</v>
      </c>
      <c r="FQ146" s="149">
        <f t="shared" si="100"/>
        <v>0</v>
      </c>
      <c r="FR146" s="142">
        <f t="shared" si="100"/>
        <v>0</v>
      </c>
      <c r="FS146" s="119">
        <f t="shared" si="100"/>
        <v>0</v>
      </c>
      <c r="FT146" s="121">
        <f t="shared" si="100"/>
        <v>0</v>
      </c>
      <c r="FU146" s="121">
        <f t="shared" si="82"/>
        <v>0</v>
      </c>
      <c r="FV146" s="121">
        <f t="shared" si="82"/>
        <v>0</v>
      </c>
      <c r="FW146" s="121">
        <f t="shared" si="83"/>
        <v>0</v>
      </c>
      <c r="FX146" s="121">
        <f t="shared" si="84"/>
        <v>0</v>
      </c>
      <c r="FY146" s="144">
        <f t="shared" si="84"/>
        <v>0</v>
      </c>
      <c r="FZ146" s="145"/>
      <c r="GA146" s="163" t="s">
        <v>266</v>
      </c>
      <c r="GB146" s="145"/>
      <c r="GC146" s="151" t="s">
        <v>237</v>
      </c>
      <c r="GD146" s="997" t="s">
        <v>238</v>
      </c>
      <c r="GE146" s="1004"/>
      <c r="GF146" s="1004">
        <v>0.52808197200000007</v>
      </c>
      <c r="GG146" s="1004"/>
      <c r="GH146" s="1004">
        <v>0</v>
      </c>
      <c r="GI146" s="145"/>
      <c r="GJ146" s="996">
        <v>0</v>
      </c>
      <c r="GK146" s="145"/>
      <c r="GL146" s="996">
        <v>0</v>
      </c>
      <c r="GM146" s="1005"/>
      <c r="GN146" s="996">
        <v>0</v>
      </c>
      <c r="GO146" s="1006"/>
      <c r="GP146" s="996">
        <v>0</v>
      </c>
      <c r="GQ146" s="1006"/>
      <c r="GR146" s="996">
        <v>0</v>
      </c>
      <c r="GS146" s="1006"/>
      <c r="GT146" s="996">
        <v>0</v>
      </c>
      <c r="GU146" s="1006"/>
      <c r="GV146" s="996">
        <v>0</v>
      </c>
      <c r="GW146" s="1006"/>
      <c r="GX146" s="997">
        <v>0</v>
      </c>
      <c r="GY146" s="1006"/>
      <c r="GZ146" s="996">
        <v>0.94591142799999983</v>
      </c>
      <c r="HA146" s="1006"/>
      <c r="HB146" s="996">
        <v>0</v>
      </c>
      <c r="HC146" s="1006"/>
      <c r="HD146" s="996">
        <v>0</v>
      </c>
      <c r="HE146" s="1006"/>
      <c r="HF146" s="996">
        <v>0</v>
      </c>
      <c r="HG146" s="1006"/>
      <c r="HH146" s="996">
        <v>-0.99131207999999993</v>
      </c>
      <c r="HI146" s="1006"/>
      <c r="HJ146" s="996">
        <v>0</v>
      </c>
      <c r="HK146" s="1006"/>
      <c r="HL146" s="996">
        <v>-0.46062262399999998</v>
      </c>
      <c r="HM146" s="1006"/>
      <c r="HN146" s="996">
        <v>-0.62397869599999956</v>
      </c>
      <c r="HO146" s="1006"/>
      <c r="HP146" s="996">
        <v>0</v>
      </c>
      <c r="HQ146" s="1006"/>
      <c r="HR146" s="996">
        <v>-2.5080000000000435E-2</v>
      </c>
      <c r="HS146" s="1006"/>
      <c r="HT146" s="996">
        <v>0.83600000000000008</v>
      </c>
      <c r="HU146" s="1006"/>
      <c r="HV146" s="996">
        <v>-0.49491200000000002</v>
      </c>
      <c r="HW146" s="1006"/>
      <c r="HX146" s="996">
        <v>0</v>
      </c>
      <c r="HY146" s="1006"/>
      <c r="HZ146" s="996">
        <v>0</v>
      </c>
      <c r="IA146" s="1006"/>
      <c r="IB146" s="996">
        <v>0.4288679999999998</v>
      </c>
      <c r="IC146" s="1006"/>
      <c r="ID146" s="996">
        <v>0.26983572000000011</v>
      </c>
      <c r="IE146" s="1006" t="s">
        <v>204</v>
      </c>
      <c r="IF146" s="996">
        <v>-1.75417044</v>
      </c>
      <c r="IG146" s="1006"/>
      <c r="IH146" s="996">
        <v>0</v>
      </c>
      <c r="II146" s="1006"/>
      <c r="IJ146" s="996">
        <v>0</v>
      </c>
      <c r="IK146" s="1006"/>
      <c r="IL146" s="996">
        <v>0</v>
      </c>
      <c r="IM146" s="1006"/>
      <c r="IN146" s="996">
        <v>0</v>
      </c>
      <c r="IO146" s="1006"/>
      <c r="IP146" s="996">
        <v>0</v>
      </c>
      <c r="IQ146" s="1006"/>
      <c r="IR146" s="996">
        <v>0</v>
      </c>
      <c r="IS146" s="1006"/>
      <c r="IT146" s="996">
        <v>0</v>
      </c>
      <c r="IU146" s="1006"/>
      <c r="IV146" s="996">
        <v>0</v>
      </c>
      <c r="IW146" s="1006"/>
      <c r="IX146" s="996">
        <v>0</v>
      </c>
      <c r="IY146" s="1006"/>
      <c r="IZ146" s="996">
        <v>0</v>
      </c>
      <c r="JA146" s="1006"/>
      <c r="JB146" s="996">
        <v>0</v>
      </c>
      <c r="JC146" s="1006"/>
      <c r="JD146" s="996">
        <v>0.98775072000000019</v>
      </c>
      <c r="JE146" s="1006"/>
      <c r="JF146" s="996">
        <v>0</v>
      </c>
      <c r="JG146" s="1006"/>
      <c r="JH146" s="996">
        <v>0</v>
      </c>
      <c r="JI146" s="1006" t="s">
        <v>199</v>
      </c>
      <c r="JJ146" s="996">
        <v>1.3150279999999999</v>
      </c>
      <c r="JK146" s="1007"/>
      <c r="JL146" s="1007">
        <v>0</v>
      </c>
      <c r="JM146" s="1007"/>
      <c r="JN146" s="1007">
        <v>0</v>
      </c>
      <c r="JO146" s="1008" t="s">
        <v>199</v>
      </c>
      <c r="JP146" s="1007">
        <v>-2.4243999999999999</v>
      </c>
      <c r="JQ146" s="1008" t="s">
        <v>204</v>
      </c>
      <c r="JR146" s="1007">
        <v>-2.0693508</v>
      </c>
      <c r="JS146" s="1008">
        <v>0</v>
      </c>
      <c r="JT146" s="1007">
        <v>0</v>
      </c>
      <c r="JU146" s="1008"/>
      <c r="JV146" s="1007">
        <v>0</v>
      </c>
      <c r="JW146" s="1008" t="s">
        <v>197</v>
      </c>
      <c r="JX146" s="1007">
        <v>0</v>
      </c>
      <c r="JY146" s="1008"/>
      <c r="JZ146" s="1007">
        <v>0</v>
      </c>
      <c r="KA146" s="1008"/>
      <c r="KB146" s="1007">
        <v>0</v>
      </c>
      <c r="KC146" s="1008"/>
      <c r="KD146" s="1007">
        <v>0</v>
      </c>
      <c r="KE146" s="1008" t="s">
        <v>199</v>
      </c>
      <c r="KF146" s="1007">
        <v>3.0307507999999999</v>
      </c>
      <c r="KG146" s="1008"/>
      <c r="KH146" s="1007">
        <v>0</v>
      </c>
      <c r="KI146" s="1008"/>
      <c r="KJ146" s="1007">
        <v>0</v>
      </c>
      <c r="KK146" s="1008"/>
      <c r="KL146" s="1007">
        <v>0</v>
      </c>
      <c r="KM146" s="1008"/>
      <c r="KN146" s="1007">
        <v>0</v>
      </c>
      <c r="KO146" s="1008"/>
      <c r="KP146" s="1007">
        <v>0</v>
      </c>
      <c r="KQ146" s="1008">
        <v>0</v>
      </c>
      <c r="KR146" s="1007">
        <v>0</v>
      </c>
      <c r="KS146" s="1008" t="s">
        <v>221</v>
      </c>
      <c r="KT146" s="1007">
        <v>-1.3794</v>
      </c>
      <c r="KU146" s="1008" t="s">
        <v>260</v>
      </c>
      <c r="KV146" s="1007">
        <v>3.762</v>
      </c>
      <c r="KW146" s="1008">
        <v>0</v>
      </c>
      <c r="KX146" s="1007">
        <v>0</v>
      </c>
      <c r="KY146" s="1008">
        <v>0</v>
      </c>
      <c r="KZ146" s="1007">
        <v>0</v>
      </c>
      <c r="LA146" s="1008">
        <v>0</v>
      </c>
      <c r="LB146" s="1007">
        <v>0</v>
      </c>
      <c r="LC146" s="1008">
        <v>0</v>
      </c>
      <c r="LD146" s="1007">
        <v>0</v>
      </c>
      <c r="LE146" s="1008">
        <v>0</v>
      </c>
      <c r="LF146" s="1007">
        <v>0</v>
      </c>
      <c r="LG146" s="1008">
        <v>0</v>
      </c>
      <c r="LH146" s="1007">
        <v>-2.1729479199999999</v>
      </c>
      <c r="LI146" s="1008">
        <v>0</v>
      </c>
      <c r="LJ146" s="1007">
        <v>0</v>
      </c>
      <c r="LK146" s="1008" t="s">
        <v>555</v>
      </c>
      <c r="LL146" s="1007">
        <v>0.51449520000000004</v>
      </c>
      <c r="LM146" s="1008">
        <v>0</v>
      </c>
      <c r="LN146" s="1007">
        <v>-1.8386499999999999</v>
      </c>
      <c r="LO146" s="1008">
        <v>0</v>
      </c>
      <c r="LP146" s="1007">
        <v>0</v>
      </c>
      <c r="LQ146" s="1008">
        <v>0</v>
      </c>
      <c r="LR146" s="1007">
        <v>0</v>
      </c>
      <c r="LS146" s="1008">
        <v>0</v>
      </c>
      <c r="LT146" s="1007">
        <v>0</v>
      </c>
      <c r="LU146" s="1008">
        <v>0</v>
      </c>
      <c r="LV146" s="1007">
        <v>0.41787459999999998</v>
      </c>
      <c r="LW146" s="1008">
        <v>0</v>
      </c>
      <c r="LX146" s="1007">
        <v>0.36194399999999</v>
      </c>
      <c r="LY146" s="1009">
        <v>0</v>
      </c>
      <c r="LZ146" s="1010">
        <v>0.63386355999999999</v>
      </c>
      <c r="MA146" s="1011">
        <v>0</v>
      </c>
      <c r="MB146" s="1012">
        <v>0</v>
      </c>
      <c r="MC146" s="995"/>
      <c r="MD146" s="996"/>
      <c r="ME146" s="997" t="s">
        <v>238</v>
      </c>
      <c r="MF146" s="997"/>
      <c r="MG146" s="998"/>
      <c r="NR146" s="1000"/>
      <c r="NS146" s="1000"/>
      <c r="NT146" s="1001"/>
      <c r="NU146" s="1000"/>
      <c r="NV146" s="1001"/>
      <c r="NX146" s="1002"/>
      <c r="NZ146" s="1001"/>
      <c r="OA146" s="1001"/>
      <c r="OC146" s="1003"/>
      <c r="OD146" s="1003"/>
      <c r="OE146" s="1001"/>
      <c r="OF146" s="1003"/>
      <c r="OG146" s="1003"/>
      <c r="QX146" s="1000">
        <f t="shared" si="96"/>
        <v>19</v>
      </c>
      <c r="ASU146" s="999" t="s">
        <v>225</v>
      </c>
    </row>
    <row r="147" spans="1:466 1191:1191" ht="21" customHeight="1" x14ac:dyDescent="0.25">
      <c r="A147" s="982" t="str">
        <f t="shared" si="59"/>
        <v>1055-1</v>
      </c>
      <c r="B147" s="124">
        <f>SUBTOTAL(103,$J$29:J147)</f>
        <v>119</v>
      </c>
      <c r="C147" s="126">
        <v>45068</v>
      </c>
      <c r="D147" s="124" t="s">
        <v>176</v>
      </c>
      <c r="E147" s="127" t="s">
        <v>177</v>
      </c>
      <c r="F147" s="128" t="s">
        <v>177</v>
      </c>
      <c r="G147" s="127" t="s">
        <v>178</v>
      </c>
      <c r="H147" s="127" t="s">
        <v>179</v>
      </c>
      <c r="I147" s="127" t="s">
        <v>663</v>
      </c>
      <c r="J147" s="152" t="s">
        <v>777</v>
      </c>
      <c r="K147" s="127" t="s">
        <v>663</v>
      </c>
      <c r="L147" s="130">
        <v>41756</v>
      </c>
      <c r="M147" s="127" t="s">
        <v>230</v>
      </c>
      <c r="N147" s="127" t="s">
        <v>184</v>
      </c>
      <c r="O147" s="127" t="s">
        <v>185</v>
      </c>
      <c r="P147" s="127" t="s">
        <v>186</v>
      </c>
      <c r="Q147" s="85" t="str">
        <f t="shared" si="85"/>
        <v/>
      </c>
      <c r="R147" s="130"/>
      <c r="S147" s="128" t="s">
        <v>156</v>
      </c>
      <c r="T147" s="131"/>
      <c r="U147" s="132">
        <v>203</v>
      </c>
      <c r="V147" s="121">
        <v>218.2</v>
      </c>
      <c r="W147" s="116">
        <v>0.98</v>
      </c>
      <c r="X147" s="116">
        <v>1.66</v>
      </c>
      <c r="Y147" s="116">
        <f t="shared" si="86"/>
        <v>0.98012044853704894</v>
      </c>
      <c r="Z147" s="133">
        <v>1.454</v>
      </c>
      <c r="AA147" s="133">
        <v>0.83599999999999997</v>
      </c>
      <c r="AB147" s="133">
        <v>0.72</v>
      </c>
      <c r="AC147" s="121">
        <v>34.299999999999997</v>
      </c>
      <c r="AD147" s="134">
        <v>1.17</v>
      </c>
      <c r="AE147" s="124">
        <v>177.8</v>
      </c>
      <c r="AF147" s="128">
        <v>9.19</v>
      </c>
      <c r="AG147" s="128">
        <v>2053</v>
      </c>
      <c r="AH147" s="127">
        <v>2749</v>
      </c>
      <c r="AI147" s="127">
        <v>2749</v>
      </c>
      <c r="AJ147" s="135"/>
      <c r="AK147" s="128"/>
      <c r="AL147" s="131"/>
      <c r="AM147" s="124" t="s">
        <v>232</v>
      </c>
      <c r="AN147" s="136" t="s">
        <v>778</v>
      </c>
      <c r="AO147" s="137">
        <v>38.1</v>
      </c>
      <c r="AP147" s="128">
        <v>2053.19</v>
      </c>
      <c r="AQ147" s="128">
        <v>248.55</v>
      </c>
      <c r="AR147" s="128"/>
      <c r="AS147" s="128"/>
      <c r="AT147" s="122"/>
      <c r="AU147" s="124" t="s">
        <v>189</v>
      </c>
      <c r="AV147" s="115">
        <f>VLOOKUP(J147,'[63]ТР нефть'!$J$28:$BP$638,39,0)</f>
        <v>599.99999062500001</v>
      </c>
      <c r="AW147" s="115" t="str">
        <f>VLOOKUP(J147,'[63]ТР нефть'!$J$28:$BP$638,40,0)</f>
        <v>ГК 78 1/8</v>
      </c>
      <c r="AX147" s="115">
        <f>VLOOKUP(J147,'[63]ТР нефть'!$J$28:$BP$638,41,0)</f>
        <v>1199.99998125</v>
      </c>
      <c r="AY147" s="115" t="str">
        <f>VLOOKUP(J147,'[63]ТР нефть'!$J$28:$BP$638,42,0)</f>
        <v>ГК 78 1/8</v>
      </c>
      <c r="AZ147" s="115">
        <f>VLOOKUP(J147,'[63]ТР нефть'!$J$28:$BP$638,43,0)</f>
        <v>1780.000001953</v>
      </c>
      <c r="BA147" s="115" t="str">
        <f>VLOOKUP(J147,'[63]ТР нефть'!$J$28:$BP$638,44,0)</f>
        <v>ЦКсОК 5/16</v>
      </c>
      <c r="BB147" s="115" t="str">
        <f>VLOOKUP(J147,'[63]ТР нефть'!$J$28:$BP$638,45,0)</f>
        <v>-</v>
      </c>
      <c r="BC147" s="115" t="str">
        <f>VLOOKUP(J147,'[63]ТР нефть'!$J$28:$BP$638,46,0)</f>
        <v>-</v>
      </c>
      <c r="BD147" s="115" t="str">
        <f>VLOOKUP(J147,'[63]ТР нефть'!$J$28:$BP$638,47,0)</f>
        <v>-</v>
      </c>
      <c r="BE147" s="115" t="str">
        <f>VLOOKUP(J147,'[63]ТР нефть'!$J$28:$BP$638,48,0)</f>
        <v>-</v>
      </c>
      <c r="BF147" s="115" t="str">
        <f>VLOOKUP(J147,'[63]ТР нефть'!$J$28:$BP$638,49,0)</f>
        <v>-</v>
      </c>
      <c r="BG147" s="115" t="str">
        <f>VLOOKUP(J147,'[63]ТР нефть'!$J$28:$BP$638,50,0)</f>
        <v>-</v>
      </c>
      <c r="BH147" s="115">
        <f>VLOOKUP(J147,'[63]ТР нефть'!$J$28:$BP$638,51,0)</f>
        <v>1790</v>
      </c>
      <c r="BI147" s="115" t="str">
        <f>VLOOKUP(J147,'[63]ТР нефть'!$J$28:$BP$638,52,0)</f>
        <v>закрыт</v>
      </c>
      <c r="BJ147" s="115" t="str">
        <f>IF(IFERROR(VLOOKUP(J147,'[63]ТР нефть'!$J$28:$BP$638,53,0),"-")=0,"-",IFERROR(VLOOKUP(J147,'[63]ТР нефть'!$J$28:$BP$638,53,0),"-"))</f>
        <v>-</v>
      </c>
      <c r="BK147" s="138" t="str">
        <f>IF(IFERROR(VLOOKUP(J147,'[63]ТР нефть'!$J$28:$BP$638,54,0),"-")=0,"-",IFERROR(VLOOKUP(J147,'[63]ТР нефть'!$J$28:$BP$638,54,0),"-"))</f>
        <v>-</v>
      </c>
      <c r="BL147" s="138" t="str">
        <f>IF(IFERROR(VLOOKUP(J147,'[63]ТР нефть'!$J$28:$BP$638,55,0),"-")=0,"-",IFERROR(VLOOKUP(J147,'[63]ТР нефть'!$J$28:$BP$638,55,0),"-"))</f>
        <v>-</v>
      </c>
      <c r="BM147" s="138" t="str">
        <f>IF(IFERROR(VLOOKUP(J147,'[63]ТР нефть'!$J$28:$BP$638,56,0),"-")=0,"-",IFERROR(VLOOKUP(J147,'[63]ТР нефть'!$J$28:$BP$638,56,0),"-"))</f>
        <v>-</v>
      </c>
      <c r="BN147" s="138" t="str">
        <f>IF(IFERROR(VLOOKUP(J147,'[63]ТР нефть'!$J$28:$BP$638,57,0),"-")=0,"-",IFERROR(VLOOKUP(J147,'[63]ТР нефть'!$J$28:$BP$638,57,0),"-"))</f>
        <v>-</v>
      </c>
      <c r="BO147" s="115" t="str">
        <f>IF(IFERROR(VLOOKUP(J147,'[63]ТР нефть'!$J$28:$BP$638,58,0),"-")=0,"-",IFERROR(VLOOKUP(J147,'[63]ТР нефть'!$J$28:$BP$638,58,0),"-"))</f>
        <v>-</v>
      </c>
      <c r="BP147" s="115" t="str">
        <f>IF(IFERROR(VLOOKUP(J147,'[63]ТР нефть'!$J$28:$BP$638,59,0),"-")=0,"-",IFERROR(VLOOKUP(J147,'[63]ТР нефть'!$J$28:$BP$638,59,0),"-"))</f>
        <v>-</v>
      </c>
      <c r="BQ147" s="138">
        <v>2094.5</v>
      </c>
      <c r="BR147" s="128">
        <v>1808.91</v>
      </c>
      <c r="BS147" s="115">
        <f t="shared" si="60"/>
        <v>285.58999999999992</v>
      </c>
      <c r="BT147" s="128">
        <v>73</v>
      </c>
      <c r="BU147" s="128">
        <v>5.5</v>
      </c>
      <c r="BV147" s="127">
        <v>18</v>
      </c>
      <c r="BW147" s="127" t="s">
        <v>194</v>
      </c>
      <c r="BX147" s="127" t="s">
        <v>195</v>
      </c>
      <c r="BY147" s="139">
        <v>24</v>
      </c>
      <c r="BZ147" s="139">
        <v>0</v>
      </c>
      <c r="CA147" s="80">
        <v>26</v>
      </c>
      <c r="CB147" s="138">
        <v>38</v>
      </c>
      <c r="CC147" s="138">
        <v>25</v>
      </c>
      <c r="CD147" s="135">
        <v>45017</v>
      </c>
      <c r="CE147" s="138">
        <v>123</v>
      </c>
      <c r="CF147" s="138">
        <v>72</v>
      </c>
      <c r="CG147" s="138" t="str">
        <f t="shared" si="99"/>
        <v>В работе</v>
      </c>
      <c r="CH147" s="138" t="s">
        <v>196</v>
      </c>
      <c r="CI147" s="127">
        <v>5</v>
      </c>
      <c r="CJ147" s="138"/>
      <c r="CK147" s="138">
        <f t="shared" ref="CK147:CK187" si="101">CN147-CA147</f>
        <v>21</v>
      </c>
      <c r="CL147" s="99"/>
      <c r="CM147" s="99"/>
      <c r="CN147" s="140">
        <v>47</v>
      </c>
      <c r="CO147" s="141">
        <f t="shared" si="61"/>
        <v>5.8502444000000002</v>
      </c>
      <c r="CP147" s="142">
        <v>7</v>
      </c>
      <c r="CQ147" s="143">
        <v>0.03</v>
      </c>
      <c r="CR147" s="138">
        <v>13</v>
      </c>
      <c r="CS147" s="139">
        <v>9.6</v>
      </c>
      <c r="CT147" s="138"/>
      <c r="CU147" s="138">
        <f t="shared" si="62"/>
        <v>3.4000000000000004</v>
      </c>
      <c r="CV147" s="115">
        <f t="shared" si="63"/>
        <v>581.17230110933485</v>
      </c>
      <c r="CW147" s="115">
        <f t="shared" si="64"/>
        <v>1640.2752641603513</v>
      </c>
      <c r="CX147" s="133">
        <f t="shared" si="65"/>
        <v>9.2105263157894732E-2</v>
      </c>
      <c r="CY147" s="116"/>
      <c r="CZ147" s="131"/>
      <c r="DA147" s="145" t="str">
        <f t="shared" si="66"/>
        <v>Газлифт</v>
      </c>
      <c r="DB147" s="146">
        <f t="shared" si="67"/>
        <v>5.8502444000000002</v>
      </c>
      <c r="DC147" s="142">
        <f t="shared" si="68"/>
        <v>7</v>
      </c>
      <c r="DD147" s="119">
        <f t="shared" si="69"/>
        <v>0.03</v>
      </c>
      <c r="DE147" s="115">
        <f t="shared" si="70"/>
        <v>3.4000000000000004</v>
      </c>
      <c r="DF147" s="121">
        <f t="shared" si="71"/>
        <v>9.6</v>
      </c>
      <c r="DG147" s="115">
        <f t="shared" si="72"/>
        <v>581.17230110933485</v>
      </c>
      <c r="DH147" s="115">
        <f t="shared" si="73"/>
        <v>47</v>
      </c>
      <c r="DI147" s="1038"/>
      <c r="DJ147" s="111" t="s">
        <v>197</v>
      </c>
      <c r="DK147" s="112">
        <v>41756</v>
      </c>
      <c r="DL147" s="113">
        <f t="shared" ca="1" si="87"/>
        <v>3348</v>
      </c>
      <c r="DM147" s="114"/>
      <c r="DN147" s="114"/>
      <c r="DO147" s="114"/>
      <c r="DP147" s="114"/>
      <c r="DQ147" s="112" t="s">
        <v>779</v>
      </c>
      <c r="DR147" s="114" t="s">
        <v>198</v>
      </c>
      <c r="DS147" s="114"/>
      <c r="DT147" s="115">
        <v>50</v>
      </c>
      <c r="DU147" s="116">
        <f t="shared" si="88"/>
        <v>9.5890410958904104E-2</v>
      </c>
      <c r="DV147" s="117">
        <f t="shared" si="89"/>
        <v>5.8502444000000002</v>
      </c>
      <c r="DW147" s="118">
        <f t="shared" si="90"/>
        <v>7</v>
      </c>
      <c r="DX147" s="119">
        <f t="shared" si="74"/>
        <v>0.03</v>
      </c>
      <c r="DY147" s="115">
        <f t="shared" si="91"/>
        <v>3.4</v>
      </c>
      <c r="DZ147" s="117">
        <f t="shared" si="92"/>
        <v>0</v>
      </c>
      <c r="EA147" s="120">
        <f t="shared" si="92"/>
        <v>0</v>
      </c>
      <c r="EB147" s="119">
        <f t="shared" si="92"/>
        <v>0</v>
      </c>
      <c r="EC147" s="121">
        <f t="shared" si="93"/>
        <v>0</v>
      </c>
      <c r="ED147" s="122"/>
      <c r="EE147" s="145">
        <v>18</v>
      </c>
      <c r="EF147" s="148">
        <v>26</v>
      </c>
      <c r="EG147" s="115">
        <v>42</v>
      </c>
      <c r="EH147" s="115">
        <v>25</v>
      </c>
      <c r="EI147" s="128" t="s">
        <v>195</v>
      </c>
      <c r="EJ147" s="121">
        <v>24</v>
      </c>
      <c r="EK147" s="121">
        <v>0</v>
      </c>
      <c r="EL147" s="149">
        <v>5.8502444000000002</v>
      </c>
      <c r="EM147" s="142">
        <v>7</v>
      </c>
      <c r="EN147" s="119">
        <v>0.03</v>
      </c>
      <c r="EO147" s="115">
        <v>12</v>
      </c>
      <c r="EP147" s="115">
        <v>410.23927137129527</v>
      </c>
      <c r="EQ147" s="115">
        <v>78</v>
      </c>
      <c r="ER147" s="115">
        <v>9.6</v>
      </c>
      <c r="ES147" s="115">
        <v>50</v>
      </c>
      <c r="ET147" s="150">
        <v>9.5890410958904104E-2</v>
      </c>
      <c r="EU147" s="145">
        <f t="shared" si="75"/>
        <v>18</v>
      </c>
      <c r="EV147" s="115">
        <f t="shared" si="76"/>
        <v>26</v>
      </c>
      <c r="EW147" s="115">
        <f t="shared" si="76"/>
        <v>38</v>
      </c>
      <c r="EX147" s="115">
        <f t="shared" si="76"/>
        <v>25</v>
      </c>
      <c r="EY147" s="115" t="str">
        <f t="shared" si="98"/>
        <v>Постоянный</v>
      </c>
      <c r="EZ147" s="115">
        <f t="shared" si="98"/>
        <v>24</v>
      </c>
      <c r="FA147" s="115">
        <f t="shared" si="98"/>
        <v>0</v>
      </c>
      <c r="FB147" s="149">
        <f t="shared" si="78"/>
        <v>5.8502444000000002</v>
      </c>
      <c r="FC147" s="142">
        <f t="shared" si="78"/>
        <v>7</v>
      </c>
      <c r="FD147" s="119">
        <f t="shared" si="78"/>
        <v>0.03</v>
      </c>
      <c r="FE147" s="121">
        <f t="shared" si="78"/>
        <v>13</v>
      </c>
      <c r="FF147" s="121">
        <f t="shared" si="94"/>
        <v>581.17230110933485</v>
      </c>
      <c r="FG147" s="121">
        <f t="shared" si="79"/>
        <v>72</v>
      </c>
      <c r="FH147" s="121">
        <f t="shared" si="95"/>
        <v>9.6</v>
      </c>
      <c r="FI147" s="121">
        <f t="shared" si="97"/>
        <v>47</v>
      </c>
      <c r="FJ147" s="144">
        <f t="shared" si="80"/>
        <v>9.2105263157894732E-2</v>
      </c>
      <c r="FK147" s="132">
        <f t="shared" si="81"/>
        <v>0</v>
      </c>
      <c r="FL147" s="115">
        <f t="shared" si="81"/>
        <v>0</v>
      </c>
      <c r="FM147" s="115">
        <f t="shared" si="81"/>
        <v>-4</v>
      </c>
      <c r="FN147" s="115">
        <f t="shared" si="58"/>
        <v>0</v>
      </c>
      <c r="FO147" s="115">
        <f t="shared" si="100"/>
        <v>0</v>
      </c>
      <c r="FP147" s="115">
        <f t="shared" si="100"/>
        <v>0</v>
      </c>
      <c r="FQ147" s="149">
        <f t="shared" si="100"/>
        <v>0</v>
      </c>
      <c r="FR147" s="142">
        <f t="shared" si="100"/>
        <v>0</v>
      </c>
      <c r="FS147" s="119">
        <f t="shared" si="100"/>
        <v>0</v>
      </c>
      <c r="FT147" s="121">
        <f t="shared" si="100"/>
        <v>1</v>
      </c>
      <c r="FU147" s="121">
        <f t="shared" si="82"/>
        <v>-6</v>
      </c>
      <c r="FV147" s="121">
        <f t="shared" si="82"/>
        <v>0</v>
      </c>
      <c r="FW147" s="121">
        <f t="shared" si="83"/>
        <v>170.93302973803958</v>
      </c>
      <c r="FX147" s="121">
        <f t="shared" si="84"/>
        <v>-3</v>
      </c>
      <c r="FY147" s="144">
        <f t="shared" si="84"/>
        <v>-3.7851478010093725E-3</v>
      </c>
      <c r="FZ147" s="145"/>
      <c r="GA147" s="151"/>
      <c r="GB147" s="145" t="s">
        <v>221</v>
      </c>
      <c r="GC147" s="151" t="s">
        <v>780</v>
      </c>
      <c r="GD147" s="997" t="s">
        <v>202</v>
      </c>
      <c r="GE147" s="1004" t="s">
        <v>221</v>
      </c>
      <c r="GF147" s="1004">
        <v>1.6714984000000008</v>
      </c>
      <c r="GG147" s="1004"/>
      <c r="GH147" s="1004">
        <v>0</v>
      </c>
      <c r="GI147" s="145" t="s">
        <v>223</v>
      </c>
      <c r="GJ147" s="996">
        <v>-2.1161333600000001</v>
      </c>
      <c r="GK147" s="145"/>
      <c r="GL147" s="996">
        <v>-0.31620864000000015</v>
      </c>
      <c r="GM147" s="1005"/>
      <c r="GN147" s="996">
        <v>0</v>
      </c>
      <c r="GO147" s="1006"/>
      <c r="GP147" s="996">
        <v>-0.31615848000000035</v>
      </c>
      <c r="GQ147" s="1006" t="s">
        <v>25</v>
      </c>
      <c r="GR147" s="996">
        <v>1.7440464799999997</v>
      </c>
      <c r="GS147" s="1006"/>
      <c r="GT147" s="996">
        <v>0</v>
      </c>
      <c r="GU147" s="1006" t="s">
        <v>204</v>
      </c>
      <c r="GV147" s="996">
        <v>0</v>
      </c>
      <c r="GW147" s="1006"/>
      <c r="GX147" s="996">
        <v>0</v>
      </c>
      <c r="GY147" s="1006" t="s">
        <v>199</v>
      </c>
      <c r="GZ147" s="996">
        <v>2.940363316</v>
      </c>
      <c r="HA147" s="1006"/>
      <c r="HB147" s="996">
        <v>0</v>
      </c>
      <c r="HC147" s="1006" t="s">
        <v>204</v>
      </c>
      <c r="HD147" s="996">
        <v>-3.436805195999999</v>
      </c>
      <c r="HE147" s="1006"/>
      <c r="HF147" s="996">
        <v>0</v>
      </c>
      <c r="HG147" s="1006"/>
      <c r="HH147" s="996">
        <v>1.7581079999999361E-2</v>
      </c>
      <c r="HI147" s="1006"/>
      <c r="HJ147" s="996">
        <v>0</v>
      </c>
      <c r="HK147" s="1006"/>
      <c r="HL147" s="996">
        <v>0</v>
      </c>
      <c r="HM147" s="1006" t="s">
        <v>199</v>
      </c>
      <c r="HN147" s="996">
        <v>1.2156777600000002</v>
      </c>
      <c r="HO147" s="1006"/>
      <c r="HP147" s="996">
        <v>0</v>
      </c>
      <c r="HQ147" s="1006"/>
      <c r="HR147" s="996">
        <v>1.7856959999997812E-3</v>
      </c>
      <c r="HS147" s="1006"/>
      <c r="HT147" s="996">
        <v>0</v>
      </c>
      <c r="HU147" s="1006" t="s">
        <v>223</v>
      </c>
      <c r="HV147" s="996">
        <v>-1.1547835199999996</v>
      </c>
      <c r="HW147" s="1006"/>
      <c r="HX147" s="996">
        <v>0</v>
      </c>
      <c r="HY147" s="1006"/>
      <c r="HZ147" s="996">
        <v>0</v>
      </c>
      <c r="IA147" s="1006"/>
      <c r="IB147" s="996">
        <v>-0.83631768000000051</v>
      </c>
      <c r="IC147" s="1006"/>
      <c r="ID147" s="996">
        <v>2.2959904000000364E-2</v>
      </c>
      <c r="IE147" s="1006"/>
      <c r="IF147" s="996">
        <v>0.33312928000000053</v>
      </c>
      <c r="IG147" s="1006" t="s">
        <v>199</v>
      </c>
      <c r="IH147" s="996">
        <v>1.0826701599999993</v>
      </c>
      <c r="II147" s="1006" t="s">
        <v>204</v>
      </c>
      <c r="IJ147" s="996">
        <v>2.9148812</v>
      </c>
      <c r="IK147" s="1006" t="s">
        <v>199</v>
      </c>
      <c r="IL147" s="996">
        <v>-2.8315988799999996</v>
      </c>
      <c r="IM147" s="1006"/>
      <c r="IN147" s="996">
        <v>0</v>
      </c>
      <c r="IO147" s="1006"/>
      <c r="IP147" s="996">
        <v>-0.41641159999999999</v>
      </c>
      <c r="IQ147" s="1006"/>
      <c r="IR147" s="996">
        <v>0.32620719999999981</v>
      </c>
      <c r="IS147" s="1006"/>
      <c r="IT147" s="996">
        <v>-0.85899618639999975</v>
      </c>
      <c r="IU147" s="1006"/>
      <c r="IV147" s="996">
        <v>0</v>
      </c>
      <c r="IW147" s="1006" t="s">
        <v>203</v>
      </c>
      <c r="IX147" s="996">
        <v>-2.4769113336000004</v>
      </c>
      <c r="IY147" s="1006"/>
      <c r="IZ147" s="996">
        <v>0</v>
      </c>
      <c r="JA147" s="1006"/>
      <c r="JB147" s="996">
        <v>0</v>
      </c>
      <c r="JC147" s="1006"/>
      <c r="JD147" s="996">
        <v>0</v>
      </c>
      <c r="JE147" s="1006" t="s">
        <v>203</v>
      </c>
      <c r="JF147" s="996">
        <v>-1.9105944000000008</v>
      </c>
      <c r="JG147" s="1006" t="s">
        <v>25</v>
      </c>
      <c r="JH147" s="996">
        <v>4.3983632000000012</v>
      </c>
      <c r="JI147" s="1006"/>
      <c r="JJ147" s="996">
        <v>0</v>
      </c>
      <c r="JK147" s="1007"/>
      <c r="JL147" s="1007">
        <v>0</v>
      </c>
      <c r="JM147" s="1007"/>
      <c r="JN147" s="1007">
        <v>0</v>
      </c>
      <c r="JO147" s="1008" t="s">
        <v>199</v>
      </c>
      <c r="JP147" s="1007">
        <v>-1.6720000000000006</v>
      </c>
      <c r="JQ147" s="1008">
        <v>0</v>
      </c>
      <c r="JR147" s="1007">
        <v>1.7305200000000021E-2</v>
      </c>
      <c r="JS147" s="1008">
        <v>0</v>
      </c>
      <c r="JT147" s="1007">
        <v>0</v>
      </c>
      <c r="JU147" s="1008"/>
      <c r="JV147" s="1007">
        <v>0</v>
      </c>
      <c r="JW147" s="1008" t="s">
        <v>197</v>
      </c>
      <c r="JX147" s="1007">
        <v>0</v>
      </c>
      <c r="JY147" s="1008"/>
      <c r="JZ147" s="1007">
        <v>0</v>
      </c>
      <c r="KA147" s="1008"/>
      <c r="KB147" s="1007">
        <v>0</v>
      </c>
      <c r="KC147" s="1008"/>
      <c r="KD147" s="1007">
        <v>0</v>
      </c>
      <c r="KE147" s="1008"/>
      <c r="KF147" s="1007">
        <v>0</v>
      </c>
      <c r="KG147" s="1008" t="s">
        <v>204</v>
      </c>
      <c r="KH147" s="1007">
        <v>-1.6681544000000006</v>
      </c>
      <c r="KI147" s="1008" t="s">
        <v>314</v>
      </c>
      <c r="KJ147" s="1007">
        <v>0</v>
      </c>
      <c r="KK147" s="1008"/>
      <c r="KL147" s="1007">
        <v>0</v>
      </c>
      <c r="KM147" s="1008"/>
      <c r="KN147" s="1007">
        <v>0</v>
      </c>
      <c r="KO147" s="1008" t="s">
        <v>204</v>
      </c>
      <c r="KP147" s="1007">
        <v>-0.41703859999999793</v>
      </c>
      <c r="KQ147" s="1008">
        <v>0</v>
      </c>
      <c r="KR147" s="1007">
        <v>0</v>
      </c>
      <c r="KS147" s="1008">
        <v>0</v>
      </c>
      <c r="KT147" s="1007">
        <v>0</v>
      </c>
      <c r="KU147" s="1008" t="s">
        <v>206</v>
      </c>
      <c r="KV147" s="1007">
        <v>-0.43208659999999988</v>
      </c>
      <c r="KW147" s="1008">
        <v>0</v>
      </c>
      <c r="KX147" s="1007">
        <v>0</v>
      </c>
      <c r="KY147" s="1008">
        <v>0</v>
      </c>
      <c r="KZ147" s="1007">
        <v>0</v>
      </c>
      <c r="LA147" s="1008" t="s">
        <v>206</v>
      </c>
      <c r="LB147" s="1007">
        <v>-2.4106896000000013</v>
      </c>
      <c r="LC147" s="1008">
        <v>0</v>
      </c>
      <c r="LD147" s="1007">
        <v>0</v>
      </c>
      <c r="LE147" s="1008">
        <v>0</v>
      </c>
      <c r="LF147" s="1007">
        <v>0</v>
      </c>
      <c r="LG147" s="1008">
        <v>0</v>
      </c>
      <c r="LH147" s="1007">
        <v>-11.315761599999998</v>
      </c>
      <c r="LI147" s="1008">
        <v>0</v>
      </c>
      <c r="LJ147" s="1007">
        <v>0</v>
      </c>
      <c r="LK147" s="1008">
        <v>0</v>
      </c>
      <c r="LL147" s="1007">
        <v>0</v>
      </c>
      <c r="LM147" s="1008" t="s">
        <v>206</v>
      </c>
      <c r="LN147" s="1007">
        <v>5.5339859999999996</v>
      </c>
      <c r="LO147" s="1008">
        <v>0</v>
      </c>
      <c r="LP147" s="1007">
        <v>-0.82596800000000004</v>
      </c>
      <c r="LQ147" s="1008">
        <v>0</v>
      </c>
      <c r="LR147" s="1007">
        <v>0</v>
      </c>
      <c r="LS147" s="1008">
        <v>0</v>
      </c>
      <c r="LT147" s="1007">
        <v>-0.82596800000000004</v>
      </c>
      <c r="LU147" s="1008">
        <v>0</v>
      </c>
      <c r="LV147" s="1007">
        <v>0</v>
      </c>
      <c r="LW147" s="1008" t="s">
        <v>223</v>
      </c>
      <c r="LX147" s="1007">
        <v>-4.9524600000000003</v>
      </c>
      <c r="LY147" s="1009" t="s">
        <v>206</v>
      </c>
      <c r="LZ147" s="1010">
        <v>-1.3392720000000011</v>
      </c>
      <c r="MA147" s="1011" t="s">
        <v>206</v>
      </c>
      <c r="MB147" s="1012">
        <v>4.5750999999999999</v>
      </c>
      <c r="MC147" s="995"/>
      <c r="MD147" s="996"/>
      <c r="ME147" s="997" t="s">
        <v>202</v>
      </c>
      <c r="MF147" s="997"/>
      <c r="MG147" s="998"/>
      <c r="NR147" s="1000"/>
      <c r="NS147" s="1000"/>
      <c r="NT147" s="1001"/>
      <c r="NU147" s="1000"/>
      <c r="NV147" s="1001"/>
      <c r="NX147" s="1002"/>
      <c r="NZ147" s="1001"/>
      <c r="OA147" s="1001"/>
      <c r="OC147" s="1003"/>
      <c r="OD147" s="1003"/>
      <c r="OE147" s="1001"/>
      <c r="OF147" s="1003"/>
      <c r="OG147" s="1003"/>
      <c r="QX147" s="1000">
        <f t="shared" si="96"/>
        <v>21</v>
      </c>
      <c r="ASU147" s="999" t="s">
        <v>208</v>
      </c>
    </row>
    <row r="148" spans="1:466 1191:1191" ht="21" customHeight="1" x14ac:dyDescent="0.25">
      <c r="A148" s="982">
        <f t="shared" si="59"/>
        <v>1056</v>
      </c>
      <c r="B148" s="124">
        <f>SUBTOTAL(103,$J$29:J148)</f>
        <v>120</v>
      </c>
      <c r="C148" s="126">
        <v>45068</v>
      </c>
      <c r="D148" s="124" t="s">
        <v>176</v>
      </c>
      <c r="E148" s="127" t="s">
        <v>177</v>
      </c>
      <c r="F148" s="128" t="s">
        <v>177</v>
      </c>
      <c r="G148" s="127" t="s">
        <v>178</v>
      </c>
      <c r="H148" s="127" t="s">
        <v>408</v>
      </c>
      <c r="I148" s="127" t="s">
        <v>684</v>
      </c>
      <c r="J148" s="152">
        <v>1056</v>
      </c>
      <c r="K148" s="127" t="s">
        <v>781</v>
      </c>
      <c r="L148" s="130">
        <v>41225</v>
      </c>
      <c r="M148" s="127" t="s">
        <v>230</v>
      </c>
      <c r="N148" s="127" t="s">
        <v>231</v>
      </c>
      <c r="O148" s="127" t="s">
        <v>185</v>
      </c>
      <c r="P148" s="127" t="s">
        <v>186</v>
      </c>
      <c r="Q148" s="85" t="str">
        <f t="shared" si="85"/>
        <v/>
      </c>
      <c r="R148" s="130"/>
      <c r="S148" s="128" t="s">
        <v>156</v>
      </c>
      <c r="T148" s="131"/>
      <c r="U148" s="132">
        <v>203</v>
      </c>
      <c r="V148" s="121">
        <v>218.2</v>
      </c>
      <c r="W148" s="116">
        <v>0.98</v>
      </c>
      <c r="X148" s="116">
        <v>1.66</v>
      </c>
      <c r="Y148" s="116">
        <f t="shared" si="86"/>
        <v>1.0175131348511381</v>
      </c>
      <c r="Z148" s="133">
        <v>1.454</v>
      </c>
      <c r="AA148" s="133">
        <v>0.83599999999999997</v>
      </c>
      <c r="AB148" s="133">
        <v>0.72</v>
      </c>
      <c r="AC148" s="121">
        <v>34.299999999999997</v>
      </c>
      <c r="AD148" s="134">
        <v>1.17</v>
      </c>
      <c r="AE148" s="124">
        <v>139.69999999999999</v>
      </c>
      <c r="AF148" s="128">
        <v>7.72</v>
      </c>
      <c r="AG148" s="128">
        <v>1942</v>
      </c>
      <c r="AH148" s="127">
        <v>2500</v>
      </c>
      <c r="AI148" s="127">
        <v>2500</v>
      </c>
      <c r="AJ148" s="135"/>
      <c r="AK148" s="128"/>
      <c r="AL148" s="131"/>
      <c r="AM148" s="124" t="s">
        <v>232</v>
      </c>
      <c r="AN148" s="136" t="s">
        <v>782</v>
      </c>
      <c r="AO148" s="137">
        <v>37.909999999999997</v>
      </c>
      <c r="AP148" s="128">
        <v>1942</v>
      </c>
      <c r="AQ148" s="128">
        <v>33.25</v>
      </c>
      <c r="AR148" s="128"/>
      <c r="AS148" s="128"/>
      <c r="AT148" s="122"/>
      <c r="AU148" s="124" t="s">
        <v>189</v>
      </c>
      <c r="AV148" s="115">
        <f>VLOOKUP(J148,'[63]ТР нефть'!$J$28:$BP$638,39,0)</f>
        <v>599.99999062500001</v>
      </c>
      <c r="AW148" s="115" t="str">
        <f>VLOOKUP(J148,'[63]ТР нефть'!$J$28:$BP$638,40,0)</f>
        <v>ГП</v>
      </c>
      <c r="AX148" s="115">
        <f>VLOOKUP(J148,'[63]ТР нефть'!$J$28:$BP$638,41,0)</f>
        <v>1199.99998125</v>
      </c>
      <c r="AY148" s="115" t="str">
        <f>VLOOKUP(J148,'[63]ТР нефть'!$J$28:$BP$638,42,0)</f>
        <v>ГК 86 1/8</v>
      </c>
      <c r="AZ148" s="115">
        <f>VLOOKUP(J148,'[63]ТР нефть'!$J$28:$BP$638,43,0)</f>
        <v>1794.999942187</v>
      </c>
      <c r="BA148" s="115" t="str">
        <f>VLOOKUP(J148,'[63]ТР нефть'!$J$28:$BP$638,44,0)</f>
        <v>ЦКсОК 5/16</v>
      </c>
      <c r="BB148" s="115" t="str">
        <f>VLOOKUP(J148,'[63]ТР нефть'!$J$28:$BP$638,45,0)</f>
        <v>-</v>
      </c>
      <c r="BC148" s="115" t="str">
        <f>VLOOKUP(J148,'[63]ТР нефть'!$J$28:$BP$638,46,0)</f>
        <v>-</v>
      </c>
      <c r="BD148" s="115" t="str">
        <f>VLOOKUP(J148,'[63]ТР нефть'!$J$28:$BP$638,47,0)</f>
        <v>-</v>
      </c>
      <c r="BE148" s="115" t="str">
        <f>VLOOKUP(J148,'[63]ТР нефть'!$J$28:$BP$638,48,0)</f>
        <v>-</v>
      </c>
      <c r="BF148" s="115" t="str">
        <f>VLOOKUP(J148,'[63]ТР нефть'!$J$28:$BP$638,49,0)</f>
        <v>-</v>
      </c>
      <c r="BG148" s="115" t="str">
        <f>VLOOKUP(J148,'[63]ТР нефть'!$J$28:$BP$638,50,0)</f>
        <v>-</v>
      </c>
      <c r="BH148" s="115">
        <f>VLOOKUP(J148,'[63]ТР нефть'!$J$28:$BP$638,51,0)</f>
        <v>1805</v>
      </c>
      <c r="BI148" s="115" t="str">
        <f>VLOOKUP(J148,'[63]ТР нефть'!$J$28:$BP$638,52,0)</f>
        <v>закрыт</v>
      </c>
      <c r="BJ148" s="115" t="str">
        <f>IF(IFERROR(VLOOKUP(J148,'[63]ТР нефть'!$J$28:$BP$638,53,0),"-")=0,"-",IFERROR(VLOOKUP(J148,'[63]ТР нефть'!$J$28:$BP$638,53,0),"-"))</f>
        <v>-</v>
      </c>
      <c r="BK148" s="138" t="str">
        <f>IF(IFERROR(VLOOKUP(J148,'[63]ТР нефть'!$J$28:$BP$638,54,0),"-")=0,"-",IFERROR(VLOOKUP(J148,'[63]ТР нефть'!$J$28:$BP$638,54,0),"-"))</f>
        <v>-</v>
      </c>
      <c r="BL148" s="138" t="str">
        <f>IF(IFERROR(VLOOKUP(J148,'[63]ТР нефть'!$J$28:$BP$638,55,0),"-")=0,"-",IFERROR(VLOOKUP(J148,'[63]ТР нефть'!$J$28:$BP$638,55,0),"-"))</f>
        <v>-</v>
      </c>
      <c r="BM148" s="138" t="str">
        <f>IF(IFERROR(VLOOKUP(J148,'[63]ТР нефть'!$J$28:$BP$638,56,0),"-")=0,"-",IFERROR(VLOOKUP(J148,'[63]ТР нефть'!$J$28:$BP$638,56,0),"-"))</f>
        <v>-</v>
      </c>
      <c r="BN148" s="138" t="str">
        <f>IF(IFERROR(VLOOKUP(J148,'[63]ТР нефть'!$J$28:$BP$638,57,0),"-")=0,"-",IFERROR(VLOOKUP(J148,'[63]ТР нефть'!$J$28:$BP$638,57,0),"-"))</f>
        <v>-</v>
      </c>
      <c r="BO148" s="115" t="str">
        <f>IF(IFERROR(VLOOKUP(J148,'[63]ТР нефть'!$J$28:$BP$638,58,0),"-")=0,"-",IFERROR(VLOOKUP(J148,'[63]ТР нефть'!$J$28:$BP$638,58,0),"-"))</f>
        <v>-</v>
      </c>
      <c r="BP148" s="115" t="str">
        <f>IF(IFERROR(VLOOKUP(J148,'[63]ТР нефть'!$J$28:$BP$638,59,0),"-")=0,"-",IFERROR(VLOOKUP(J148,'[63]ТР нефть'!$J$28:$BP$638,59,0),"-"))</f>
        <v>-</v>
      </c>
      <c r="BQ148" s="138">
        <v>2280</v>
      </c>
      <c r="BR148" s="128">
        <v>1904.3</v>
      </c>
      <c r="BS148" s="115">
        <f t="shared" si="60"/>
        <v>375.70000000000005</v>
      </c>
      <c r="BT148" s="128">
        <v>73</v>
      </c>
      <c r="BU148" s="128">
        <v>5.5</v>
      </c>
      <c r="BV148" s="127">
        <v>65</v>
      </c>
      <c r="BW148" s="127" t="s">
        <v>217</v>
      </c>
      <c r="BX148" s="127" t="s">
        <v>195</v>
      </c>
      <c r="BY148" s="139">
        <v>24</v>
      </c>
      <c r="BZ148" s="139">
        <v>0</v>
      </c>
      <c r="CA148" s="138">
        <v>26</v>
      </c>
      <c r="CB148" s="138">
        <v>38</v>
      </c>
      <c r="CC148" s="138">
        <v>25</v>
      </c>
      <c r="CD148" s="135">
        <v>45017</v>
      </c>
      <c r="CE148" s="138">
        <v>93</v>
      </c>
      <c r="CF148" s="138">
        <v>71</v>
      </c>
      <c r="CG148" s="138" t="str">
        <f t="shared" si="99"/>
        <v>В работе</v>
      </c>
      <c r="CH148" s="138" t="s">
        <v>196</v>
      </c>
      <c r="CI148" s="127">
        <v>6</v>
      </c>
      <c r="CJ148" s="138"/>
      <c r="CK148" s="138"/>
      <c r="CL148" s="99"/>
      <c r="CM148" s="99"/>
      <c r="CN148" s="140">
        <v>47</v>
      </c>
      <c r="CO148" s="159">
        <f t="shared" si="61"/>
        <v>10.650639999999999</v>
      </c>
      <c r="CP148" s="160">
        <v>14</v>
      </c>
      <c r="CQ148" s="161">
        <v>9</v>
      </c>
      <c r="CR148" s="138">
        <v>21.425999999999998</v>
      </c>
      <c r="CS148" s="138">
        <v>8.4</v>
      </c>
      <c r="CT148" s="138"/>
      <c r="CU148" s="138">
        <f t="shared" si="62"/>
        <v>13.025999999999998</v>
      </c>
      <c r="CV148" s="115">
        <f t="shared" si="63"/>
        <v>1223.0250952055462</v>
      </c>
      <c r="CW148" s="115">
        <f t="shared" si="64"/>
        <v>693.65765682443532</v>
      </c>
      <c r="CX148" s="133">
        <f t="shared" si="65"/>
        <v>0.30434782608695654</v>
      </c>
      <c r="CY148" s="116"/>
      <c r="CZ148" s="131"/>
      <c r="DA148" s="145" t="str">
        <f t="shared" si="66"/>
        <v>Газлифт</v>
      </c>
      <c r="DB148" s="146">
        <f t="shared" si="67"/>
        <v>10.650639999999999</v>
      </c>
      <c r="DC148" s="142">
        <f t="shared" si="68"/>
        <v>14</v>
      </c>
      <c r="DD148" s="119">
        <f t="shared" si="69"/>
        <v>9</v>
      </c>
      <c r="DE148" s="115">
        <f t="shared" si="70"/>
        <v>13.025999999999998</v>
      </c>
      <c r="DF148" s="121">
        <f t="shared" si="71"/>
        <v>8.4</v>
      </c>
      <c r="DG148" s="115">
        <f t="shared" si="72"/>
        <v>1223.0250952055462</v>
      </c>
      <c r="DH148" s="115">
        <f t="shared" si="73"/>
        <v>47</v>
      </c>
      <c r="DI148" s="147"/>
      <c r="DJ148" s="111">
        <v>43140</v>
      </c>
      <c r="DK148" s="112">
        <v>41225</v>
      </c>
      <c r="DL148" s="113">
        <f t="shared" ca="1" si="87"/>
        <v>3879</v>
      </c>
      <c r="DM148" s="114"/>
      <c r="DN148" s="114"/>
      <c r="DO148" s="114"/>
      <c r="DP148" s="114"/>
      <c r="DQ148" s="112">
        <v>41824</v>
      </c>
      <c r="DR148" s="114" t="s">
        <v>198</v>
      </c>
      <c r="DS148" s="114"/>
      <c r="DT148" s="115">
        <v>53</v>
      </c>
      <c r="DU148" s="116">
        <f t="shared" si="88"/>
        <v>0.35</v>
      </c>
      <c r="DV148" s="117">
        <f t="shared" si="89"/>
        <v>10.650639999999999</v>
      </c>
      <c r="DW148" s="118">
        <f t="shared" si="90"/>
        <v>14</v>
      </c>
      <c r="DX148" s="119">
        <f t="shared" si="74"/>
        <v>9</v>
      </c>
      <c r="DY148" s="115">
        <f t="shared" si="91"/>
        <v>13.025999999999998</v>
      </c>
      <c r="DZ148" s="117">
        <f t="shared" si="92"/>
        <v>0</v>
      </c>
      <c r="EA148" s="120">
        <f t="shared" si="92"/>
        <v>0</v>
      </c>
      <c r="EB148" s="119">
        <f t="shared" si="92"/>
        <v>0</v>
      </c>
      <c r="EC148" s="121">
        <f t="shared" si="93"/>
        <v>0</v>
      </c>
      <c r="ED148" s="122"/>
      <c r="EE148" s="145">
        <v>65</v>
      </c>
      <c r="EF148" s="115">
        <v>26</v>
      </c>
      <c r="EG148" s="115">
        <v>39</v>
      </c>
      <c r="EH148" s="115">
        <v>26</v>
      </c>
      <c r="EI148" s="128" t="s">
        <v>195</v>
      </c>
      <c r="EJ148" s="121">
        <v>24</v>
      </c>
      <c r="EK148" s="121">
        <v>0</v>
      </c>
      <c r="EL148" s="162">
        <v>11.115591432</v>
      </c>
      <c r="EM148" s="142">
        <v>14.420999999999999</v>
      </c>
      <c r="EN148" s="119">
        <v>7.8</v>
      </c>
      <c r="EO148" s="115">
        <v>21.425999999999998</v>
      </c>
      <c r="EP148" s="115">
        <v>1171.8674691928886</v>
      </c>
      <c r="EQ148" s="115">
        <v>64</v>
      </c>
      <c r="ER148" s="115">
        <v>8.4</v>
      </c>
      <c r="ES148" s="115">
        <v>50</v>
      </c>
      <c r="ET148" s="150">
        <v>0.36052499999999998</v>
      </c>
      <c r="EU148" s="145">
        <f t="shared" si="75"/>
        <v>65</v>
      </c>
      <c r="EV148" s="115">
        <f t="shared" si="76"/>
        <v>26</v>
      </c>
      <c r="EW148" s="115">
        <f t="shared" si="76"/>
        <v>38</v>
      </c>
      <c r="EX148" s="115">
        <f t="shared" si="76"/>
        <v>25</v>
      </c>
      <c r="EY148" s="115" t="str">
        <f t="shared" si="98"/>
        <v>Постоянный</v>
      </c>
      <c r="EZ148" s="115">
        <f t="shared" si="98"/>
        <v>24</v>
      </c>
      <c r="FA148" s="115">
        <f t="shared" si="98"/>
        <v>0</v>
      </c>
      <c r="FB148" s="149">
        <f t="shared" si="78"/>
        <v>10.650639999999999</v>
      </c>
      <c r="FC148" s="142">
        <f t="shared" si="78"/>
        <v>14</v>
      </c>
      <c r="FD148" s="119">
        <f t="shared" si="78"/>
        <v>9</v>
      </c>
      <c r="FE148" s="121">
        <f t="shared" si="78"/>
        <v>21.425999999999998</v>
      </c>
      <c r="FF148" s="121">
        <f t="shared" si="94"/>
        <v>1223.0250952055462</v>
      </c>
      <c r="FG148" s="121">
        <f t="shared" si="79"/>
        <v>71</v>
      </c>
      <c r="FH148" s="121">
        <f t="shared" si="95"/>
        <v>8.4</v>
      </c>
      <c r="FI148" s="121">
        <f t="shared" si="97"/>
        <v>47</v>
      </c>
      <c r="FJ148" s="144">
        <f t="shared" si="80"/>
        <v>0.30434782608695654</v>
      </c>
      <c r="FK148" s="132">
        <f t="shared" si="81"/>
        <v>0</v>
      </c>
      <c r="FL148" s="115">
        <f t="shared" si="81"/>
        <v>0</v>
      </c>
      <c r="FM148" s="115">
        <f t="shared" si="81"/>
        <v>-1</v>
      </c>
      <c r="FN148" s="115">
        <f t="shared" si="58"/>
        <v>-1</v>
      </c>
      <c r="FO148" s="115">
        <f t="shared" si="100"/>
        <v>0</v>
      </c>
      <c r="FP148" s="115">
        <f t="shared" si="100"/>
        <v>0</v>
      </c>
      <c r="FQ148" s="149">
        <f t="shared" si="100"/>
        <v>-0.46495143200000122</v>
      </c>
      <c r="FR148" s="142">
        <f t="shared" si="100"/>
        <v>-0.42099999999999937</v>
      </c>
      <c r="FS148" s="119">
        <f t="shared" si="100"/>
        <v>1.2000000000000002</v>
      </c>
      <c r="FT148" s="121">
        <f t="shared" si="100"/>
        <v>0</v>
      </c>
      <c r="FU148" s="121">
        <f t="shared" si="82"/>
        <v>7</v>
      </c>
      <c r="FV148" s="121">
        <f t="shared" si="82"/>
        <v>0</v>
      </c>
      <c r="FW148" s="121">
        <f t="shared" si="83"/>
        <v>51.157626012657602</v>
      </c>
      <c r="FX148" s="121">
        <f t="shared" si="84"/>
        <v>-3</v>
      </c>
      <c r="FY148" s="144">
        <f t="shared" si="84"/>
        <v>-5.6177173913043443E-2</v>
      </c>
      <c r="FZ148" s="145"/>
      <c r="GA148" s="1024"/>
      <c r="GB148" s="145" t="s">
        <v>199</v>
      </c>
      <c r="GC148" s="1024" t="s">
        <v>415</v>
      </c>
      <c r="GD148" s="997" t="s">
        <v>416</v>
      </c>
      <c r="GE148" s="1004" t="s">
        <v>199</v>
      </c>
      <c r="GF148" s="1004">
        <v>-1.0908445679999978</v>
      </c>
      <c r="GG148" s="1004"/>
      <c r="GH148" s="1004">
        <v>0</v>
      </c>
      <c r="GI148" s="145" t="s">
        <v>204</v>
      </c>
      <c r="GJ148" s="996">
        <v>-3.6608440000000009</v>
      </c>
      <c r="GK148" s="145" t="s">
        <v>207</v>
      </c>
      <c r="GL148" s="996">
        <v>4.7712192000000009</v>
      </c>
      <c r="GM148" s="1005"/>
      <c r="GN148" s="996">
        <v>0</v>
      </c>
      <c r="GO148" s="1006"/>
      <c r="GP148" s="996">
        <v>0</v>
      </c>
      <c r="GQ148" s="1006"/>
      <c r="GR148" s="996">
        <v>0</v>
      </c>
      <c r="GS148" s="1006"/>
      <c r="GT148" s="996">
        <v>0</v>
      </c>
      <c r="GU148" s="1006" t="s">
        <v>25</v>
      </c>
      <c r="GV148" s="996">
        <v>3.8204238599999982</v>
      </c>
      <c r="GW148" s="1006"/>
      <c r="GX148" s="996">
        <v>0</v>
      </c>
      <c r="GY148" s="1006"/>
      <c r="GZ148" s="996">
        <v>-0.32214089599999962</v>
      </c>
      <c r="HA148" s="1006" t="s">
        <v>199</v>
      </c>
      <c r="HB148" s="996">
        <v>1.2705954360000007</v>
      </c>
      <c r="HC148" s="1006"/>
      <c r="HD148" s="996">
        <v>0</v>
      </c>
      <c r="HE148" s="1006"/>
      <c r="HF148" s="996">
        <v>0</v>
      </c>
      <c r="HG148" s="1006"/>
      <c r="HH148" s="996">
        <v>0</v>
      </c>
      <c r="HI148" s="1006" t="s">
        <v>204</v>
      </c>
      <c r="HJ148" s="996">
        <v>-1.8573830000000013</v>
      </c>
      <c r="HK148" s="1006"/>
      <c r="HL148" s="996">
        <v>0</v>
      </c>
      <c r="HM148" s="1006" t="s">
        <v>199</v>
      </c>
      <c r="HN148" s="996">
        <v>3.6621398000000012</v>
      </c>
      <c r="HO148" s="1006"/>
      <c r="HP148" s="996">
        <v>0</v>
      </c>
      <c r="HQ148" s="1006"/>
      <c r="HR148" s="996">
        <v>0</v>
      </c>
      <c r="HS148" s="1006" t="s">
        <v>204</v>
      </c>
      <c r="HT148" s="996">
        <v>-6.3263798400000004</v>
      </c>
      <c r="HU148" s="1006" t="s">
        <v>204</v>
      </c>
      <c r="HV148" s="996">
        <v>2.1201190735999997</v>
      </c>
      <c r="HW148" s="1006"/>
      <c r="HX148" s="996">
        <v>0</v>
      </c>
      <c r="HY148" s="1006"/>
      <c r="HZ148" s="996">
        <v>-0.46731363359999989</v>
      </c>
      <c r="IA148" s="1006"/>
      <c r="IB148" s="996">
        <v>0</v>
      </c>
      <c r="IC148" s="1006" t="s">
        <v>221</v>
      </c>
      <c r="ID148" s="996">
        <v>-8.8281599999999987</v>
      </c>
      <c r="IE148" s="1006" t="s">
        <v>204</v>
      </c>
      <c r="IF148" s="996">
        <v>-5.3980519999999999</v>
      </c>
      <c r="IG148" s="1006" t="s">
        <v>199</v>
      </c>
      <c r="IH148" s="996">
        <v>8.6322852000000001</v>
      </c>
      <c r="II148" s="1006"/>
      <c r="IJ148" s="996">
        <v>-4.0420600000002693E-2</v>
      </c>
      <c r="IK148" s="1006" t="s">
        <v>199</v>
      </c>
      <c r="IL148" s="996">
        <v>-4.3909645999999967</v>
      </c>
      <c r="IM148" s="1006" t="s">
        <v>199</v>
      </c>
      <c r="IN148" s="996">
        <v>1.6017759999999974</v>
      </c>
      <c r="IO148" s="1006"/>
      <c r="IP148" s="996">
        <v>0</v>
      </c>
      <c r="IQ148" s="1006"/>
      <c r="IR148" s="996">
        <v>-0.58937999999999846</v>
      </c>
      <c r="IS148" s="1006"/>
      <c r="IT148" s="996">
        <v>0.74056641999999684</v>
      </c>
      <c r="IU148" s="1006"/>
      <c r="IV148" s="996">
        <v>0</v>
      </c>
      <c r="IW148" s="1006"/>
      <c r="IX148" s="996">
        <v>0</v>
      </c>
      <c r="IY148" s="1006"/>
      <c r="IZ148" s="996">
        <v>0</v>
      </c>
      <c r="JA148" s="1006"/>
      <c r="JB148" s="996">
        <v>0</v>
      </c>
      <c r="JC148" s="1006"/>
      <c r="JD148" s="996">
        <v>0</v>
      </c>
      <c r="JE148" s="1006" t="s">
        <v>199</v>
      </c>
      <c r="JF148" s="996">
        <v>2.2782295800000014</v>
      </c>
      <c r="JG148" s="1006" t="s">
        <v>199</v>
      </c>
      <c r="JH148" s="996">
        <v>2.5080000000000009</v>
      </c>
      <c r="JI148" s="1006" t="s">
        <v>199</v>
      </c>
      <c r="JJ148" s="996">
        <v>-7.014357679999998</v>
      </c>
      <c r="JK148" s="1007"/>
      <c r="JL148" s="1007">
        <v>0</v>
      </c>
      <c r="JM148" s="1007"/>
      <c r="JN148" s="1007">
        <v>0</v>
      </c>
      <c r="JO148" s="1008"/>
      <c r="JP148" s="1007">
        <v>0</v>
      </c>
      <c r="JQ148" s="1008">
        <v>0</v>
      </c>
      <c r="JR148" s="1007">
        <v>0</v>
      </c>
      <c r="JS148" s="1008">
        <v>0</v>
      </c>
      <c r="JT148" s="1007">
        <v>0</v>
      </c>
      <c r="JU148" s="1008" t="s">
        <v>199</v>
      </c>
      <c r="JV148" s="1007">
        <v>1.8562376799999996</v>
      </c>
      <c r="JW148" s="1008" t="s">
        <v>197</v>
      </c>
      <c r="JX148" s="1007">
        <v>0</v>
      </c>
      <c r="JY148" s="1008" t="s">
        <v>529</v>
      </c>
      <c r="JZ148" s="1007">
        <v>-3.2451012000000006</v>
      </c>
      <c r="KA148" s="1008" t="s">
        <v>204</v>
      </c>
      <c r="KB148" s="1007">
        <v>-2.9277555999999976</v>
      </c>
      <c r="KC148" s="1008" t="s">
        <v>204</v>
      </c>
      <c r="KD148" s="1007">
        <v>2.777024799999996</v>
      </c>
      <c r="KE148" s="1008" t="s">
        <v>204</v>
      </c>
      <c r="KF148" s="1007">
        <v>-1.2817551999999992</v>
      </c>
      <c r="KG148" s="1008"/>
      <c r="KH148" s="1007">
        <v>0</v>
      </c>
      <c r="KI148" s="1008"/>
      <c r="KJ148" s="1007">
        <v>0</v>
      </c>
      <c r="KK148" s="1008"/>
      <c r="KL148" s="1007">
        <v>0</v>
      </c>
      <c r="KM148" s="1008"/>
      <c r="KN148" s="1007">
        <v>1.08419168</v>
      </c>
      <c r="KO148" s="1008"/>
      <c r="KP148" s="1007">
        <v>0</v>
      </c>
      <c r="KQ148" s="1008">
        <v>0</v>
      </c>
      <c r="KR148" s="1007">
        <v>0</v>
      </c>
      <c r="KS148" s="1008" t="s">
        <v>204</v>
      </c>
      <c r="KT148" s="1007">
        <v>-3.5277929280000002</v>
      </c>
      <c r="KU148" s="1008">
        <v>0</v>
      </c>
      <c r="KV148" s="1007">
        <v>0</v>
      </c>
      <c r="KW148" s="1008">
        <v>0</v>
      </c>
      <c r="KX148" s="1007">
        <v>0</v>
      </c>
      <c r="KY148" s="1008">
        <v>0</v>
      </c>
      <c r="KZ148" s="1007">
        <v>0</v>
      </c>
      <c r="LA148" s="1008">
        <v>0</v>
      </c>
      <c r="LB148" s="1007">
        <v>0</v>
      </c>
      <c r="LC148" s="1008">
        <v>0</v>
      </c>
      <c r="LD148" s="1007">
        <v>0</v>
      </c>
      <c r="LE148" s="1008">
        <v>0</v>
      </c>
      <c r="LF148" s="1007">
        <v>0</v>
      </c>
      <c r="LG148" s="1008">
        <v>0</v>
      </c>
      <c r="LH148" s="1007">
        <v>0</v>
      </c>
      <c r="LI148" s="1008">
        <v>0</v>
      </c>
      <c r="LJ148" s="1007">
        <v>0</v>
      </c>
      <c r="LK148" s="1008" t="s">
        <v>555</v>
      </c>
      <c r="LL148" s="1007">
        <v>2.4436124800000001</v>
      </c>
      <c r="LM148" s="1008" t="s">
        <v>555</v>
      </c>
      <c r="LN148" s="1007">
        <v>-2.5019800000000001</v>
      </c>
      <c r="LO148" s="1008">
        <v>0</v>
      </c>
      <c r="LP148" s="1007">
        <v>0</v>
      </c>
      <c r="LQ148" s="1008">
        <v>0</v>
      </c>
      <c r="LR148" s="1007">
        <v>0</v>
      </c>
      <c r="LS148" s="1008">
        <v>0</v>
      </c>
      <c r="LT148" s="1007">
        <v>-5.3961600000000001</v>
      </c>
      <c r="LU148" s="1008">
        <v>0</v>
      </c>
      <c r="LV148" s="1007">
        <v>0</v>
      </c>
      <c r="LW148" s="1008">
        <v>0</v>
      </c>
      <c r="LX148" s="1007">
        <v>0.24768309999999999</v>
      </c>
      <c r="LY148" s="1009">
        <v>0</v>
      </c>
      <c r="LZ148" s="1010">
        <v>0</v>
      </c>
      <c r="MA148" s="1011" t="s">
        <v>206</v>
      </c>
      <c r="MB148" s="1012">
        <v>-1.7583153279999983</v>
      </c>
      <c r="MC148" s="995"/>
      <c r="MD148" s="996"/>
      <c r="ME148" s="997" t="s">
        <v>416</v>
      </c>
      <c r="MF148" s="997"/>
      <c r="MG148" s="998"/>
      <c r="NR148" s="1000"/>
      <c r="NS148" s="1000"/>
      <c r="NT148" s="1001"/>
      <c r="NU148" s="1000"/>
      <c r="NV148" s="1001"/>
      <c r="NX148" s="1002"/>
      <c r="NZ148" s="1001"/>
      <c r="OA148" s="1001"/>
      <c r="OC148" s="1003"/>
      <c r="OD148" s="1003"/>
      <c r="OE148" s="1001"/>
      <c r="OF148" s="1003"/>
      <c r="OG148" s="1003"/>
      <c r="QX148" s="1000">
        <f t="shared" si="96"/>
        <v>21</v>
      </c>
      <c r="ASU148" s="999" t="s">
        <v>208</v>
      </c>
    </row>
    <row r="149" spans="1:466 1191:1191" ht="21" customHeight="1" x14ac:dyDescent="0.25">
      <c r="A149" s="982" t="str">
        <f t="shared" si="59"/>
        <v>1056-2</v>
      </c>
      <c r="B149" s="124">
        <f>SUBTOTAL(103,$J$29:J149)</f>
        <v>121</v>
      </c>
      <c r="C149" s="126">
        <v>45068</v>
      </c>
      <c r="D149" s="124" t="s">
        <v>176</v>
      </c>
      <c r="E149" s="127" t="s">
        <v>177</v>
      </c>
      <c r="F149" s="128" t="s">
        <v>177</v>
      </c>
      <c r="G149" s="127" t="s">
        <v>178</v>
      </c>
      <c r="H149" s="127" t="s">
        <v>408</v>
      </c>
      <c r="I149" s="127" t="s">
        <v>684</v>
      </c>
      <c r="J149" s="152" t="s">
        <v>783</v>
      </c>
      <c r="K149" s="127" t="s">
        <v>781</v>
      </c>
      <c r="L149" s="130">
        <v>41427</v>
      </c>
      <c r="M149" s="127" t="s">
        <v>230</v>
      </c>
      <c r="N149" s="127" t="s">
        <v>231</v>
      </c>
      <c r="O149" s="127" t="s">
        <v>185</v>
      </c>
      <c r="P149" s="127" t="s">
        <v>186</v>
      </c>
      <c r="Q149" s="85" t="str">
        <f t="shared" si="85"/>
        <v/>
      </c>
      <c r="R149" s="130"/>
      <c r="S149" s="128" t="s">
        <v>156</v>
      </c>
      <c r="T149" s="131"/>
      <c r="U149" s="132">
        <v>203</v>
      </c>
      <c r="V149" s="121">
        <v>218.2</v>
      </c>
      <c r="W149" s="116">
        <v>0.98</v>
      </c>
      <c r="X149" s="116">
        <v>1.66</v>
      </c>
      <c r="Y149" s="116">
        <f t="shared" si="86"/>
        <v>1.0089307864053585</v>
      </c>
      <c r="Z149" s="133">
        <v>1.454</v>
      </c>
      <c r="AA149" s="133">
        <v>0.83599999999999997</v>
      </c>
      <c r="AB149" s="133">
        <v>0.72</v>
      </c>
      <c r="AC149" s="121">
        <v>34.299999999999997</v>
      </c>
      <c r="AD149" s="134">
        <v>1.17</v>
      </c>
      <c r="AE149" s="124">
        <v>177.8</v>
      </c>
      <c r="AF149" s="128">
        <v>9.19</v>
      </c>
      <c r="AG149" s="128">
        <v>2070</v>
      </c>
      <c r="AH149" s="127">
        <v>2500</v>
      </c>
      <c r="AI149" s="127">
        <v>2500</v>
      </c>
      <c r="AJ149" s="135"/>
      <c r="AK149" s="128"/>
      <c r="AL149" s="131"/>
      <c r="AM149" s="124" t="s">
        <v>232</v>
      </c>
      <c r="AN149" s="136" t="s">
        <v>784</v>
      </c>
      <c r="AO149" s="137">
        <v>20</v>
      </c>
      <c r="AP149" s="128">
        <v>2070</v>
      </c>
      <c r="AQ149" s="128">
        <v>139.27000000000001</v>
      </c>
      <c r="AR149" s="128"/>
      <c r="AS149" s="128"/>
      <c r="AT149" s="122"/>
      <c r="AU149" s="124" t="s">
        <v>250</v>
      </c>
      <c r="AV149" s="115">
        <f>VLOOKUP(J149,'[63]ТР нефть'!$J$28:$BP$638,39,0)</f>
        <v>544</v>
      </c>
      <c r="AW149" s="115" t="str">
        <f>VLOOKUP(J149,'[63]ТР нефть'!$J$28:$BP$638,40,0)</f>
        <v>ГП</v>
      </c>
      <c r="AX149" s="115">
        <f>VLOOKUP(J149,'[63]ТР нефть'!$J$28:$BP$638,41,0)</f>
        <v>1043</v>
      </c>
      <c r="AY149" s="115" t="str">
        <f>VLOOKUP(J149,'[63]ТР нефть'!$J$28:$BP$638,42,0)</f>
        <v>ГП</v>
      </c>
      <c r="AZ149" s="115">
        <f>VLOOKUP(J149,'[63]ТР нефть'!$J$28:$BP$638,43,0)</f>
        <v>1480</v>
      </c>
      <c r="BA149" s="115" t="str">
        <f>VLOOKUP(J149,'[63]ТР нефть'!$J$28:$BP$638,44,0)</f>
        <v>ГК 81 5/32</v>
      </c>
      <c r="BB149" s="115">
        <f>VLOOKUP(J149,'[63]ТР нефть'!$J$28:$BP$638,45,0)</f>
        <v>1882</v>
      </c>
      <c r="BC149" s="115" t="str">
        <f>VLOOKUP(J149,'[63]ТР нефть'!$J$28:$BP$638,46,0)</f>
        <v>ЦКсОК 5/16</v>
      </c>
      <c r="BD149" s="115" t="str">
        <f>VLOOKUP(J149,'[63]ТР нефть'!$J$28:$BP$638,47,0)</f>
        <v>-</v>
      </c>
      <c r="BE149" s="115" t="str">
        <f>VLOOKUP(J149,'[63]ТР нефть'!$J$28:$BP$638,48,0)</f>
        <v>-</v>
      </c>
      <c r="BF149" s="115" t="str">
        <f>VLOOKUP(J149,'[63]ТР нефть'!$J$28:$BP$638,49,0)</f>
        <v>-</v>
      </c>
      <c r="BG149" s="115" t="str">
        <f>VLOOKUP(J149,'[63]ТР нефть'!$J$28:$BP$638,50,0)</f>
        <v>-</v>
      </c>
      <c r="BH149" s="115" t="str">
        <f>VLOOKUP(J149,'[63]ТР нефть'!$J$28:$BP$638,51,0)</f>
        <v>-</v>
      </c>
      <c r="BI149" s="115" t="str">
        <f>VLOOKUP(J149,'[63]ТР нефть'!$J$28:$BP$638,52,0)</f>
        <v>-</v>
      </c>
      <c r="BJ149" s="115" t="str">
        <f>IF(IFERROR(VLOOKUP(J149,'[63]ТР нефть'!$J$28:$BP$638,53,0),"-")=0,"-",IFERROR(VLOOKUP(J149,'[63]ТР нефть'!$J$28:$BP$638,53,0),"-"))</f>
        <v>-</v>
      </c>
      <c r="BK149" s="138" t="str">
        <f>IF(IFERROR(VLOOKUP(J149,'[63]ТР нефть'!$J$28:$BP$638,54,0),"-")=0,"-",IFERROR(VLOOKUP(J149,'[63]ТР нефть'!$J$28:$BP$638,54,0),"-"))</f>
        <v>-</v>
      </c>
      <c r="BL149" s="138" t="str">
        <f>IF(IFERROR(VLOOKUP(J149,'[63]ТР нефть'!$J$28:$BP$638,55,0),"-")=0,"-",IFERROR(VLOOKUP(J149,'[63]ТР нефть'!$J$28:$BP$638,55,0),"-"))</f>
        <v>-</v>
      </c>
      <c r="BM149" s="138" t="str">
        <f>IF(IFERROR(VLOOKUP(J149,'[63]ТР нефть'!$J$28:$BP$638,56,0),"-")=0,"-",IFERROR(VLOOKUP(J149,'[63]ТР нефть'!$J$28:$BP$638,56,0),"-"))</f>
        <v>-</v>
      </c>
      <c r="BN149" s="138" t="str">
        <f>IF(IFERROR(VLOOKUP(J149,'[63]ТР нефть'!$J$28:$BP$638,57,0),"-")=0,"-",IFERROR(VLOOKUP(J149,'[63]ТР нефть'!$J$28:$BP$638,57,0),"-"))</f>
        <v>-</v>
      </c>
      <c r="BO149" s="115" t="str">
        <f>IF(IFERROR(VLOOKUP(J149,'[63]ТР нефть'!$J$28:$BP$638,58,0),"-")=0,"-",IFERROR(VLOOKUP(J149,'[63]ТР нефть'!$J$28:$BP$638,58,0),"-"))</f>
        <v>-</v>
      </c>
      <c r="BP149" s="115" t="str">
        <f>IF(IFERROR(VLOOKUP(J149,'[63]ТР нефть'!$J$28:$BP$638,59,0),"-")=0,"-",IFERROR(VLOOKUP(J149,'[63]ТР нефть'!$J$28:$BP$638,59,0),"-"))</f>
        <v>-</v>
      </c>
      <c r="BQ149" s="138">
        <v>2065</v>
      </c>
      <c r="BR149" s="128">
        <v>1863.51</v>
      </c>
      <c r="BS149" s="115">
        <f t="shared" si="60"/>
        <v>201.49</v>
      </c>
      <c r="BT149" s="128">
        <v>73</v>
      </c>
      <c r="BU149" s="128">
        <v>5.5</v>
      </c>
      <c r="BV149" s="127">
        <v>18</v>
      </c>
      <c r="BW149" s="127" t="s">
        <v>217</v>
      </c>
      <c r="BX149" s="127" t="s">
        <v>195</v>
      </c>
      <c r="BY149" s="139">
        <v>24</v>
      </c>
      <c r="BZ149" s="139">
        <v>0</v>
      </c>
      <c r="CA149" s="138">
        <v>28</v>
      </c>
      <c r="CB149" s="138">
        <v>32</v>
      </c>
      <c r="CC149" s="138">
        <v>26</v>
      </c>
      <c r="CD149" s="135">
        <v>45017</v>
      </c>
      <c r="CE149" s="138">
        <v>91</v>
      </c>
      <c r="CF149" s="138"/>
      <c r="CG149" s="138" t="str">
        <f t="shared" si="99"/>
        <v/>
      </c>
      <c r="CH149" s="138" t="s">
        <v>197</v>
      </c>
      <c r="CI149" s="127"/>
      <c r="CJ149" s="138"/>
      <c r="CK149" s="138"/>
      <c r="CL149" s="99"/>
      <c r="CM149" s="138"/>
      <c r="CN149" s="154">
        <v>47</v>
      </c>
      <c r="CO149" s="159">
        <f t="shared" si="61"/>
        <v>15.549599999999998</v>
      </c>
      <c r="CP149" s="160">
        <v>20</v>
      </c>
      <c r="CQ149" s="161">
        <v>7</v>
      </c>
      <c r="CR149" s="138">
        <v>32</v>
      </c>
      <c r="CS149" s="139"/>
      <c r="CT149" s="138"/>
      <c r="CU149" s="138">
        <f t="shared" si="62"/>
        <v>32</v>
      </c>
      <c r="CV149" s="115">
        <f t="shared" si="63"/>
        <v>2057.9307506302416</v>
      </c>
      <c r="CW149" s="115" t="str">
        <f t="shared" si="64"/>
        <v/>
      </c>
      <c r="CX149" s="133">
        <f t="shared" si="65"/>
        <v>0.45454545454545453</v>
      </c>
      <c r="CY149" s="116"/>
      <c r="CZ149" s="131"/>
      <c r="DA149" s="145" t="str">
        <f t="shared" si="66"/>
        <v>Фон.</v>
      </c>
      <c r="DB149" s="146">
        <f t="shared" si="67"/>
        <v>15.549599999999998</v>
      </c>
      <c r="DC149" s="142">
        <f t="shared" si="68"/>
        <v>20</v>
      </c>
      <c r="DD149" s="119">
        <f t="shared" si="69"/>
        <v>7</v>
      </c>
      <c r="DE149" s="115">
        <f t="shared" si="70"/>
        <v>32</v>
      </c>
      <c r="DF149" s="121">
        <f t="shared" si="71"/>
        <v>0</v>
      </c>
      <c r="DG149" s="115">
        <f t="shared" si="72"/>
        <v>2057.9307506302416</v>
      </c>
      <c r="DH149" s="115">
        <f t="shared" si="73"/>
        <v>47</v>
      </c>
      <c r="DI149" s="147"/>
      <c r="DJ149" s="111" t="s">
        <v>197</v>
      </c>
      <c r="DK149" s="112">
        <v>43164.083333333336</v>
      </c>
      <c r="DL149" s="113">
        <f t="shared" ca="1" si="87"/>
        <v>1939.9166666666642</v>
      </c>
      <c r="DM149" s="114"/>
      <c r="DN149" s="114"/>
      <c r="DO149" s="114"/>
      <c r="DP149" s="114"/>
      <c r="DQ149" s="112">
        <v>42703</v>
      </c>
      <c r="DR149" s="114" t="s">
        <v>198</v>
      </c>
      <c r="DS149" s="114"/>
      <c r="DT149" s="115">
        <v>46</v>
      </c>
      <c r="DU149" s="116">
        <f t="shared" si="88"/>
        <v>0.4517178000848297</v>
      </c>
      <c r="DV149" s="117">
        <f t="shared" si="89"/>
        <v>15.804069984447901</v>
      </c>
      <c r="DW149" s="118">
        <f t="shared" si="90"/>
        <v>20.327301003817336</v>
      </c>
      <c r="DX149" s="119">
        <f t="shared" si="74"/>
        <v>7</v>
      </c>
      <c r="DY149" s="115">
        <f t="shared" si="91"/>
        <v>32.523681606107743</v>
      </c>
      <c r="DZ149" s="117">
        <f t="shared" si="92"/>
        <v>0.25446998444790303</v>
      </c>
      <c r="EA149" s="120">
        <f t="shared" si="92"/>
        <v>0.32730100381733607</v>
      </c>
      <c r="EB149" s="119">
        <f t="shared" si="92"/>
        <v>0</v>
      </c>
      <c r="EC149" s="121">
        <f t="shared" si="93"/>
        <v>0.52368160610774339</v>
      </c>
      <c r="ED149" s="122"/>
      <c r="EE149" s="145">
        <v>18</v>
      </c>
      <c r="EF149" s="115">
        <v>31</v>
      </c>
      <c r="EG149" s="115">
        <v>32</v>
      </c>
      <c r="EH149" s="115">
        <v>26</v>
      </c>
      <c r="EI149" s="128" t="s">
        <v>195</v>
      </c>
      <c r="EJ149" s="121">
        <v>24</v>
      </c>
      <c r="EK149" s="121">
        <v>0</v>
      </c>
      <c r="EL149" s="162">
        <v>17.096664816000001</v>
      </c>
      <c r="EM149" s="142">
        <v>22.86</v>
      </c>
      <c r="EN149" s="119">
        <v>10.54</v>
      </c>
      <c r="EO149" s="115">
        <v>33</v>
      </c>
      <c r="EP149" s="115">
        <v>1930.2010278119731</v>
      </c>
      <c r="EQ149" s="115">
        <v>0</v>
      </c>
      <c r="ER149" s="115">
        <v>0</v>
      </c>
      <c r="ES149" s="115">
        <v>56</v>
      </c>
      <c r="ET149" s="150">
        <v>0.65314285714285714</v>
      </c>
      <c r="EU149" s="145">
        <f t="shared" si="75"/>
        <v>18</v>
      </c>
      <c r="EV149" s="115">
        <f t="shared" si="76"/>
        <v>28</v>
      </c>
      <c r="EW149" s="115">
        <f t="shared" si="76"/>
        <v>32</v>
      </c>
      <c r="EX149" s="115">
        <f t="shared" si="76"/>
        <v>26</v>
      </c>
      <c r="EY149" s="115" t="str">
        <f t="shared" si="98"/>
        <v>Постоянный</v>
      </c>
      <c r="EZ149" s="115">
        <f t="shared" si="98"/>
        <v>24</v>
      </c>
      <c r="FA149" s="115">
        <f t="shared" si="98"/>
        <v>0</v>
      </c>
      <c r="FB149" s="149">
        <f t="shared" si="78"/>
        <v>15.549599999999998</v>
      </c>
      <c r="FC149" s="142">
        <f t="shared" si="78"/>
        <v>20</v>
      </c>
      <c r="FD149" s="119">
        <f t="shared" si="78"/>
        <v>7</v>
      </c>
      <c r="FE149" s="121">
        <f t="shared" si="78"/>
        <v>32</v>
      </c>
      <c r="FF149" s="121">
        <f t="shared" si="94"/>
        <v>2057.9307506302416</v>
      </c>
      <c r="FG149" s="121">
        <f t="shared" si="79"/>
        <v>0</v>
      </c>
      <c r="FH149" s="121">
        <f t="shared" si="95"/>
        <v>0</v>
      </c>
      <c r="FI149" s="121">
        <f t="shared" si="97"/>
        <v>47</v>
      </c>
      <c r="FJ149" s="144">
        <f t="shared" si="80"/>
        <v>0.45454545454545453</v>
      </c>
      <c r="FK149" s="132">
        <f t="shared" si="81"/>
        <v>0</v>
      </c>
      <c r="FL149" s="115">
        <f t="shared" si="81"/>
        <v>-3</v>
      </c>
      <c r="FM149" s="115">
        <f t="shared" si="81"/>
        <v>0</v>
      </c>
      <c r="FN149" s="115">
        <f t="shared" si="58"/>
        <v>0</v>
      </c>
      <c r="FO149" s="115">
        <f t="shared" si="100"/>
        <v>0</v>
      </c>
      <c r="FP149" s="115">
        <f t="shared" si="100"/>
        <v>0</v>
      </c>
      <c r="FQ149" s="149">
        <f t="shared" si="100"/>
        <v>-1.5470648160000025</v>
      </c>
      <c r="FR149" s="142">
        <f t="shared" si="100"/>
        <v>-2.8599999999999994</v>
      </c>
      <c r="FS149" s="119">
        <f t="shared" si="100"/>
        <v>-3.5399999999999991</v>
      </c>
      <c r="FT149" s="121">
        <f t="shared" si="100"/>
        <v>-1</v>
      </c>
      <c r="FU149" s="121">
        <f t="shared" si="82"/>
        <v>0</v>
      </c>
      <c r="FV149" s="121">
        <f t="shared" si="82"/>
        <v>0</v>
      </c>
      <c r="FW149" s="121">
        <f t="shared" si="83"/>
        <v>127.72972281826856</v>
      </c>
      <c r="FX149" s="121">
        <f t="shared" si="84"/>
        <v>-9</v>
      </c>
      <c r="FY149" s="144">
        <f t="shared" si="84"/>
        <v>-0.19859740259740261</v>
      </c>
      <c r="FZ149" s="145" t="s">
        <v>221</v>
      </c>
      <c r="GA149" s="151" t="s">
        <v>785</v>
      </c>
      <c r="GB149" s="145"/>
      <c r="GC149" s="151" t="s">
        <v>786</v>
      </c>
      <c r="GD149" s="997" t="s">
        <v>416</v>
      </c>
      <c r="GE149" s="1004"/>
      <c r="GF149" s="1004">
        <v>0</v>
      </c>
      <c r="GG149" s="1004" t="s">
        <v>221</v>
      </c>
      <c r="GH149" s="1004">
        <v>2.0266648160000003</v>
      </c>
      <c r="GI149" s="145"/>
      <c r="GJ149" s="996">
        <v>0</v>
      </c>
      <c r="GK149" s="145" t="s">
        <v>206</v>
      </c>
      <c r="GL149" s="996">
        <v>-4.1480077360000003</v>
      </c>
      <c r="GM149" s="1005"/>
      <c r="GN149" s="996">
        <v>0</v>
      </c>
      <c r="GO149" s="1006" t="s">
        <v>203</v>
      </c>
      <c r="GP149" s="996">
        <v>-1.9771232799999989</v>
      </c>
      <c r="GQ149" s="1006"/>
      <c r="GR149" s="996">
        <v>-13.355174404</v>
      </c>
      <c r="GS149" s="1006"/>
      <c r="GT149" s="996">
        <v>0</v>
      </c>
      <c r="GU149" s="1006"/>
      <c r="GV149" s="996">
        <v>0</v>
      </c>
      <c r="GW149" s="1006"/>
      <c r="GX149" s="996">
        <v>0</v>
      </c>
      <c r="GY149" s="1006"/>
      <c r="GZ149" s="996">
        <v>-0.75784520240000219</v>
      </c>
      <c r="HA149" s="1006" t="s">
        <v>199</v>
      </c>
      <c r="HB149" s="996">
        <v>2.872966166400003</v>
      </c>
      <c r="HC149" s="1006"/>
      <c r="HD149" s="996">
        <v>0</v>
      </c>
      <c r="HE149" s="1006"/>
      <c r="HF149" s="996">
        <v>0</v>
      </c>
      <c r="HG149" s="1006"/>
      <c r="HH149" s="996">
        <v>0</v>
      </c>
      <c r="HI149" s="1006" t="s">
        <v>199</v>
      </c>
      <c r="HJ149" s="996">
        <v>-3.3014559600000002</v>
      </c>
      <c r="HK149" s="1006"/>
      <c r="HL149" s="996">
        <v>0</v>
      </c>
      <c r="HM149" s="1006"/>
      <c r="HN149" s="996">
        <v>-6.5082599999998436E-2</v>
      </c>
      <c r="HO149" s="1006"/>
      <c r="HP149" s="996">
        <v>-0.88236456000000096</v>
      </c>
      <c r="HQ149" s="1006"/>
      <c r="HR149" s="996">
        <v>0</v>
      </c>
      <c r="HS149" s="1006" t="s">
        <v>204</v>
      </c>
      <c r="HT149" s="996">
        <v>-2.9852322720000011</v>
      </c>
      <c r="HU149" s="1006" t="s">
        <v>204</v>
      </c>
      <c r="HV149" s="996">
        <v>3.6480632320000002</v>
      </c>
      <c r="HW149" s="1006"/>
      <c r="HX149" s="996">
        <v>0</v>
      </c>
      <c r="HY149" s="1006"/>
      <c r="HZ149" s="996">
        <v>-0.80373039999999918</v>
      </c>
      <c r="IA149" s="1006"/>
      <c r="IB149" s="996">
        <v>0</v>
      </c>
      <c r="IC149" s="1006"/>
      <c r="ID149" s="996">
        <v>0</v>
      </c>
      <c r="IE149" s="1006" t="s">
        <v>204</v>
      </c>
      <c r="IF149" s="996">
        <v>-4.6615869959999987</v>
      </c>
      <c r="IG149" s="1006" t="s">
        <v>199</v>
      </c>
      <c r="IH149" s="996">
        <v>7.7056887159999974</v>
      </c>
      <c r="II149" s="1006"/>
      <c r="IJ149" s="996">
        <v>0</v>
      </c>
      <c r="IK149" s="1006" t="s">
        <v>199</v>
      </c>
      <c r="IL149" s="996">
        <v>-3.7195897199999983</v>
      </c>
      <c r="IM149" s="1006" t="s">
        <v>199</v>
      </c>
      <c r="IN149" s="996">
        <v>2.5300703999999996</v>
      </c>
      <c r="IO149" s="1006"/>
      <c r="IP149" s="996">
        <v>0</v>
      </c>
      <c r="IQ149" s="1006"/>
      <c r="IR149" s="996">
        <v>-0.41184704000000139</v>
      </c>
      <c r="IS149" s="1006"/>
      <c r="IT149" s="996">
        <v>0.83602508000000064</v>
      </c>
      <c r="IU149" s="1006"/>
      <c r="IV149" s="996">
        <v>0</v>
      </c>
      <c r="IW149" s="1006"/>
      <c r="IX149" s="996">
        <v>0</v>
      </c>
      <c r="IY149" s="1006"/>
      <c r="IZ149" s="996">
        <v>0</v>
      </c>
      <c r="JA149" s="1006"/>
      <c r="JB149" s="996">
        <v>0</v>
      </c>
      <c r="JC149" s="1006"/>
      <c r="JD149" s="996">
        <v>0</v>
      </c>
      <c r="JE149" s="1006" t="s">
        <v>199</v>
      </c>
      <c r="JF149" s="996">
        <v>2.0375075599999981</v>
      </c>
      <c r="JG149" s="1006" t="s">
        <v>199</v>
      </c>
      <c r="JH149" s="996">
        <v>2.1167520000000017</v>
      </c>
      <c r="JI149" s="1006" t="s">
        <v>199</v>
      </c>
      <c r="JJ149" s="996">
        <v>-6.2106440000000003</v>
      </c>
      <c r="JK149" s="1007"/>
      <c r="JL149" s="1007">
        <v>0</v>
      </c>
      <c r="JM149" s="1007"/>
      <c r="JN149" s="1007">
        <v>0</v>
      </c>
      <c r="JO149" s="1008"/>
      <c r="JP149" s="1007">
        <v>0</v>
      </c>
      <c r="JQ149" s="1008">
        <v>0</v>
      </c>
      <c r="JR149" s="1007">
        <v>0</v>
      </c>
      <c r="JS149" s="1008">
        <v>0</v>
      </c>
      <c r="JT149" s="1007">
        <v>0</v>
      </c>
      <c r="JU149" s="1008" t="s">
        <v>199</v>
      </c>
      <c r="JV149" s="1007">
        <v>1.6218400000000006</v>
      </c>
      <c r="JW149" s="1008" t="s">
        <v>197</v>
      </c>
      <c r="JX149" s="1007">
        <v>0</v>
      </c>
      <c r="JY149" s="1008" t="s">
        <v>529</v>
      </c>
      <c r="JZ149" s="1007">
        <v>-2.6735279999999992</v>
      </c>
      <c r="KA149" s="1008" t="s">
        <v>204</v>
      </c>
      <c r="KB149" s="1007">
        <v>-2.326588000000001</v>
      </c>
      <c r="KC149" s="1008" t="s">
        <v>204</v>
      </c>
      <c r="KD149" s="1007">
        <v>2.2052844</v>
      </c>
      <c r="KE149" s="1008" t="s">
        <v>204</v>
      </c>
      <c r="KF149" s="1007">
        <v>-0.97552840000000174</v>
      </c>
      <c r="KG149" s="1008"/>
      <c r="KH149" s="1007">
        <v>0</v>
      </c>
      <c r="KI149" s="1008"/>
      <c r="KJ149" s="1007">
        <v>0</v>
      </c>
      <c r="KK149" s="1008"/>
      <c r="KL149" s="1007">
        <v>0</v>
      </c>
      <c r="KM149" s="1008"/>
      <c r="KN149" s="1007">
        <v>1.0031999999999996</v>
      </c>
      <c r="KO149" s="1008"/>
      <c r="KP149" s="1007">
        <v>0</v>
      </c>
      <c r="KQ149" s="1008">
        <v>0</v>
      </c>
      <c r="KR149" s="1007">
        <v>0</v>
      </c>
      <c r="KS149" s="1008" t="s">
        <v>204</v>
      </c>
      <c r="KT149" s="1007">
        <v>-2.4983023999999965</v>
      </c>
      <c r="KU149" s="1008">
        <v>0</v>
      </c>
      <c r="KV149" s="1007">
        <v>0</v>
      </c>
      <c r="KW149" s="1008">
        <v>0</v>
      </c>
      <c r="KX149" s="1007">
        <v>0</v>
      </c>
      <c r="KY149" s="1008">
        <v>0</v>
      </c>
      <c r="KZ149" s="1007">
        <v>0</v>
      </c>
      <c r="LA149" s="1008" t="s">
        <v>204</v>
      </c>
      <c r="LB149" s="1007">
        <v>-5.3840072000000028</v>
      </c>
      <c r="LC149" s="1008">
        <v>0</v>
      </c>
      <c r="LD149" s="1007">
        <v>0</v>
      </c>
      <c r="LE149" s="1008">
        <v>0</v>
      </c>
      <c r="LF149" s="1007">
        <v>0</v>
      </c>
      <c r="LG149" s="1008">
        <v>0</v>
      </c>
      <c r="LH149" s="1007">
        <v>0</v>
      </c>
      <c r="LI149" s="1008">
        <v>0</v>
      </c>
      <c r="LJ149" s="1007">
        <v>0</v>
      </c>
      <c r="LK149" s="1008" t="s">
        <v>555</v>
      </c>
      <c r="LL149" s="1007">
        <v>2.7772000000000001</v>
      </c>
      <c r="LM149" s="1008" t="s">
        <v>555</v>
      </c>
      <c r="LN149" s="1007">
        <v>-0.82830999999999999</v>
      </c>
      <c r="LO149" s="1008">
        <v>0</v>
      </c>
      <c r="LP149" s="1007">
        <v>0</v>
      </c>
      <c r="LQ149" s="1008">
        <v>0</v>
      </c>
      <c r="LR149" s="1007">
        <v>0</v>
      </c>
      <c r="LS149" s="1008">
        <v>0</v>
      </c>
      <c r="LT149" s="1007">
        <v>0</v>
      </c>
      <c r="LU149" s="1008">
        <v>0</v>
      </c>
      <c r="LV149" s="1007">
        <v>0</v>
      </c>
      <c r="LW149" s="1008">
        <v>0</v>
      </c>
      <c r="LX149" s="1007">
        <v>0</v>
      </c>
      <c r="LY149" s="1009">
        <v>0</v>
      </c>
      <c r="LZ149" s="1010">
        <v>0</v>
      </c>
      <c r="MA149" s="1011" t="s">
        <v>206</v>
      </c>
      <c r="MB149" s="1012">
        <v>-2.2364337600000006</v>
      </c>
      <c r="MC149" s="995"/>
      <c r="MD149" s="996"/>
      <c r="ME149" s="997" t="s">
        <v>416</v>
      </c>
      <c r="MF149" s="997"/>
      <c r="MG149" s="998"/>
      <c r="NR149" s="1000"/>
      <c r="NS149" s="1000"/>
      <c r="NT149" s="1001"/>
      <c r="NU149" s="1000"/>
      <c r="NV149" s="1001"/>
      <c r="NX149" s="1002"/>
      <c r="NZ149" s="1001"/>
      <c r="OA149" s="1001"/>
      <c r="OC149" s="1003"/>
      <c r="OD149" s="1003"/>
      <c r="OE149" s="1001"/>
      <c r="OF149" s="1003"/>
      <c r="OG149" s="1003"/>
      <c r="QX149" s="1000">
        <f t="shared" si="96"/>
        <v>19</v>
      </c>
      <c r="ASU149" s="999" t="s">
        <v>208</v>
      </c>
    </row>
    <row r="150" spans="1:466 1191:1191" ht="21" customHeight="1" x14ac:dyDescent="0.25">
      <c r="A150" s="982" t="str">
        <f t="shared" si="59"/>
        <v>1056-1</v>
      </c>
      <c r="B150" s="124">
        <f>SUBTOTAL(103,$J$29:J150)</f>
        <v>122</v>
      </c>
      <c r="C150" s="126">
        <v>45068</v>
      </c>
      <c r="D150" s="124" t="s">
        <v>176</v>
      </c>
      <c r="E150" s="127" t="s">
        <v>177</v>
      </c>
      <c r="F150" s="128" t="s">
        <v>177</v>
      </c>
      <c r="G150" s="127" t="s">
        <v>178</v>
      </c>
      <c r="H150" s="127" t="s">
        <v>408</v>
      </c>
      <c r="I150" s="127" t="s">
        <v>684</v>
      </c>
      <c r="J150" s="129" t="s">
        <v>787</v>
      </c>
      <c r="K150" s="127" t="s">
        <v>781</v>
      </c>
      <c r="L150" s="130">
        <v>41299</v>
      </c>
      <c r="M150" s="127" t="s">
        <v>230</v>
      </c>
      <c r="N150" s="127" t="s">
        <v>231</v>
      </c>
      <c r="O150" s="127" t="s">
        <v>185</v>
      </c>
      <c r="P150" s="127" t="s">
        <v>186</v>
      </c>
      <c r="Q150" s="85" t="str">
        <f t="shared" si="85"/>
        <v/>
      </c>
      <c r="R150" s="130"/>
      <c r="S150" s="128" t="s">
        <v>156</v>
      </c>
      <c r="T150" s="131"/>
      <c r="U150" s="132">
        <v>203</v>
      </c>
      <c r="V150" s="121">
        <v>218.2</v>
      </c>
      <c r="W150" s="116">
        <v>0.98</v>
      </c>
      <c r="X150" s="116">
        <v>1.66</v>
      </c>
      <c r="Y150" s="116">
        <f t="shared" si="86"/>
        <v>1.1778163915435851</v>
      </c>
      <c r="Z150" s="133">
        <v>1.454</v>
      </c>
      <c r="AA150" s="133">
        <v>0.83599999999999997</v>
      </c>
      <c r="AB150" s="133">
        <v>0.72</v>
      </c>
      <c r="AC150" s="121">
        <v>34.299999999999997</v>
      </c>
      <c r="AD150" s="134">
        <v>1.17</v>
      </c>
      <c r="AE150" s="124">
        <v>177.8</v>
      </c>
      <c r="AF150" s="128">
        <v>9.19</v>
      </c>
      <c r="AG150" s="128">
        <v>1970</v>
      </c>
      <c r="AH150" s="127">
        <v>2500</v>
      </c>
      <c r="AI150" s="127">
        <v>2500</v>
      </c>
      <c r="AJ150" s="135"/>
      <c r="AK150" s="128"/>
      <c r="AL150" s="131"/>
      <c r="AM150" s="124" t="s">
        <v>232</v>
      </c>
      <c r="AN150" s="136" t="s">
        <v>788</v>
      </c>
      <c r="AO150" s="137">
        <v>76.11</v>
      </c>
      <c r="AP150" s="128">
        <v>1970</v>
      </c>
      <c r="AQ150" s="128">
        <v>102.42</v>
      </c>
      <c r="AR150" s="128"/>
      <c r="AS150" s="128"/>
      <c r="AT150" s="122"/>
      <c r="AU150" s="124" t="s">
        <v>189</v>
      </c>
      <c r="AV150" s="115">
        <f>VLOOKUP(J150,'[63]ТР нефть'!$J$28:$BP$638,39,0)</f>
        <v>510.00001435500002</v>
      </c>
      <c r="AW150" s="115" t="str">
        <f>VLOOKUP(J150,'[63]ТР нефть'!$J$28:$BP$638,40,0)</f>
        <v>ГП</v>
      </c>
      <c r="AX150" s="115">
        <f>VLOOKUP(J150,'[63]ТР нефть'!$J$28:$BP$638,41,0)</f>
        <v>970.00002949199995</v>
      </c>
      <c r="AY150" s="115" t="str">
        <f>VLOOKUP(J150,'[63]ТР нефть'!$J$28:$BP$638,42,0)</f>
        <v>ГК 86 1/8</v>
      </c>
      <c r="AZ150" s="115">
        <f>VLOOKUP(J150,'[63]ТР нефть'!$J$28:$BP$638,43,0)</f>
        <v>1399.9999781250001</v>
      </c>
      <c r="BA150" s="115" t="str">
        <f>VLOOKUP(J150,'[63]ТР нефть'!$J$28:$BP$638,44,0)</f>
        <v>ГК 87 5/32</v>
      </c>
      <c r="BB150" s="115">
        <f>VLOOKUP(J150,'[63]ТР нефть'!$J$28:$BP$638,45,0)</f>
        <v>1678.000051172</v>
      </c>
      <c r="BC150" s="115" t="str">
        <f>VLOOKUP(J150,'[63]ТР нефть'!$J$28:$BP$638,46,0)</f>
        <v>ЦКсОК 5/16</v>
      </c>
      <c r="BD150" s="115" t="str">
        <f>VLOOKUP(J150,'[63]ТР нефть'!$J$28:$BP$638,47,0)</f>
        <v>-</v>
      </c>
      <c r="BE150" s="115" t="str">
        <f>VLOOKUP(J150,'[63]ТР нефть'!$J$28:$BP$638,48,0)</f>
        <v>-</v>
      </c>
      <c r="BF150" s="115" t="str">
        <f>VLOOKUP(J150,'[63]ТР нефть'!$J$28:$BP$638,49,0)</f>
        <v>-</v>
      </c>
      <c r="BG150" s="115" t="str">
        <f>VLOOKUP(J150,'[63]ТР нефть'!$J$28:$BP$638,50,0)</f>
        <v>-</v>
      </c>
      <c r="BH150" s="115">
        <f>VLOOKUP(J150,'[63]ТР нефть'!$J$28:$BP$638,51,0)</f>
        <v>1688</v>
      </c>
      <c r="BI150" s="115" t="str">
        <f>VLOOKUP(J150,'[63]ТР нефть'!$J$28:$BP$638,52,0)</f>
        <v xml:space="preserve">открыт </v>
      </c>
      <c r="BJ150" s="115" t="str">
        <f>IF(IFERROR(VLOOKUP(J150,'[63]ТР нефть'!$J$28:$BP$638,53,0),"-")=0,"-",IFERROR(VLOOKUP(J150,'[63]ТР нефть'!$J$28:$BP$638,53,0),"-"))</f>
        <v>-</v>
      </c>
      <c r="BK150" s="138" t="str">
        <f>IF(IFERROR(VLOOKUP(J150,'[63]ТР нефть'!$J$28:$BP$638,54,0),"-")=0,"-",IFERROR(VLOOKUP(J150,'[63]ТР нефть'!$J$28:$BP$638,54,0),"-"))</f>
        <v>-</v>
      </c>
      <c r="BL150" s="138" t="str">
        <f>IF(IFERROR(VLOOKUP(J150,'[63]ТР нефть'!$J$28:$BP$638,55,0),"-")=0,"-",IFERROR(VLOOKUP(J150,'[63]ТР нефть'!$J$28:$BP$638,55,0),"-"))</f>
        <v>-</v>
      </c>
      <c r="BM150" s="138" t="str">
        <f>IF(IFERROR(VLOOKUP(J150,'[63]ТР нефть'!$J$28:$BP$638,56,0),"-")=0,"-",IFERROR(VLOOKUP(J150,'[63]ТР нефть'!$J$28:$BP$638,56,0),"-"))</f>
        <v>-</v>
      </c>
      <c r="BN150" s="138" t="str">
        <f>IF(IFERROR(VLOOKUP(J150,'[63]ТР нефть'!$J$28:$BP$638,57,0),"-")=0,"-",IFERROR(VLOOKUP(J150,'[63]ТР нефть'!$J$28:$BP$638,57,0),"-"))</f>
        <v>-</v>
      </c>
      <c r="BO150" s="115" t="str">
        <f>IF(IFERROR(VLOOKUP(J150,'[63]ТР нефть'!$J$28:$BP$638,58,0),"-")=0,"-",IFERROR(VLOOKUP(J150,'[63]ТР нефть'!$J$28:$BP$638,58,0),"-"))</f>
        <v>-</v>
      </c>
      <c r="BP150" s="115" t="str">
        <f>IF(IFERROR(VLOOKUP(J150,'[63]ТР нефть'!$J$28:$BP$638,59,0),"-")=0,"-",IFERROR(VLOOKUP(J150,'[63]ТР нефть'!$J$28:$BP$638,59,0),"-"))</f>
        <v>-</v>
      </c>
      <c r="BQ150" s="138">
        <v>2200</v>
      </c>
      <c r="BR150" s="128">
        <v>1874.43</v>
      </c>
      <c r="BS150" s="115">
        <f t="shared" si="60"/>
        <v>325.56999999999994</v>
      </c>
      <c r="BT150" s="128">
        <v>73</v>
      </c>
      <c r="BU150" s="128">
        <v>5.5</v>
      </c>
      <c r="BV150" s="127">
        <v>65</v>
      </c>
      <c r="BW150" s="127" t="s">
        <v>217</v>
      </c>
      <c r="BX150" s="127" t="s">
        <v>195</v>
      </c>
      <c r="BY150" s="139">
        <v>24</v>
      </c>
      <c r="BZ150" s="139">
        <v>0</v>
      </c>
      <c r="CA150" s="138">
        <v>25</v>
      </c>
      <c r="CB150" s="138">
        <v>47</v>
      </c>
      <c r="CC150" s="138">
        <v>24</v>
      </c>
      <c r="CD150" s="135">
        <v>45017</v>
      </c>
      <c r="CE150" s="138">
        <v>84</v>
      </c>
      <c r="CF150" s="138">
        <v>14</v>
      </c>
      <c r="CG150" s="138" t="str">
        <f t="shared" si="99"/>
        <v>В работе</v>
      </c>
      <c r="CH150" s="138" t="s">
        <v>196</v>
      </c>
      <c r="CI150" s="127">
        <v>6</v>
      </c>
      <c r="CJ150" s="138"/>
      <c r="CK150" s="138"/>
      <c r="CL150" s="99"/>
      <c r="CM150" s="99"/>
      <c r="CN150" s="140">
        <v>61</v>
      </c>
      <c r="CO150" s="159">
        <f t="shared" si="61"/>
        <v>13.810720000000002</v>
      </c>
      <c r="CP150" s="160">
        <v>28</v>
      </c>
      <c r="CQ150" s="161">
        <v>41</v>
      </c>
      <c r="CR150" s="138">
        <v>21</v>
      </c>
      <c r="CS150" s="139">
        <v>8.4</v>
      </c>
      <c r="CT150" s="138"/>
      <c r="CU150" s="138">
        <f t="shared" si="62"/>
        <v>12.6</v>
      </c>
      <c r="CV150" s="115">
        <f t="shared" si="63"/>
        <v>912.33476603681765</v>
      </c>
      <c r="CW150" s="115">
        <f t="shared" si="64"/>
        <v>309.91095225305264</v>
      </c>
      <c r="CX150" s="133">
        <f t="shared" si="65"/>
        <v>1.2173913043478262</v>
      </c>
      <c r="CY150" s="116"/>
      <c r="CZ150" s="131"/>
      <c r="DA150" s="145" t="str">
        <f t="shared" si="66"/>
        <v>Газлифт</v>
      </c>
      <c r="DB150" s="146">
        <f t="shared" si="67"/>
        <v>13.810720000000002</v>
      </c>
      <c r="DC150" s="142">
        <f t="shared" si="68"/>
        <v>28</v>
      </c>
      <c r="DD150" s="119">
        <f t="shared" si="69"/>
        <v>41</v>
      </c>
      <c r="DE150" s="115">
        <f t="shared" si="70"/>
        <v>12.6</v>
      </c>
      <c r="DF150" s="121">
        <f t="shared" si="71"/>
        <v>8.4</v>
      </c>
      <c r="DG150" s="115">
        <f t="shared" si="72"/>
        <v>912.33476603681765</v>
      </c>
      <c r="DH150" s="115">
        <f t="shared" si="73"/>
        <v>61</v>
      </c>
      <c r="DI150" s="147"/>
      <c r="DJ150" s="111" t="s">
        <v>197</v>
      </c>
      <c r="DK150" s="112">
        <v>42917</v>
      </c>
      <c r="DL150" s="113">
        <f t="shared" ca="1" si="87"/>
        <v>2187</v>
      </c>
      <c r="DM150" s="114"/>
      <c r="DN150" s="114"/>
      <c r="DO150" s="114"/>
      <c r="DP150" s="114"/>
      <c r="DQ150" s="112">
        <v>41299</v>
      </c>
      <c r="DR150" s="114" t="s">
        <v>324</v>
      </c>
      <c r="DS150" s="114"/>
      <c r="DT150" s="115">
        <v>60</v>
      </c>
      <c r="DU150" s="116">
        <f t="shared" si="88"/>
        <v>1.210057621791514</v>
      </c>
      <c r="DV150" s="117">
        <f t="shared" si="89"/>
        <v>14.324371712938714</v>
      </c>
      <c r="DW150" s="118">
        <f t="shared" si="90"/>
        <v>29.041382922996334</v>
      </c>
      <c r="DX150" s="119">
        <f t="shared" si="74"/>
        <v>41</v>
      </c>
      <c r="DY150" s="115">
        <f t="shared" si="91"/>
        <v>13.06862231534835</v>
      </c>
      <c r="DZ150" s="117">
        <f t="shared" si="92"/>
        <v>0.51365171293871192</v>
      </c>
      <c r="EA150" s="120">
        <f t="shared" si="92"/>
        <v>1.0413829229963341</v>
      </c>
      <c r="EB150" s="119">
        <f t="shared" si="92"/>
        <v>0</v>
      </c>
      <c r="EC150" s="121">
        <f t="shared" si="93"/>
        <v>0.46862231534834997</v>
      </c>
      <c r="ED150" s="122"/>
      <c r="EE150" s="145">
        <v>65</v>
      </c>
      <c r="EF150" s="115">
        <v>26</v>
      </c>
      <c r="EG150" s="115">
        <v>47</v>
      </c>
      <c r="EH150" s="115">
        <v>26</v>
      </c>
      <c r="EI150" s="128" t="s">
        <v>195</v>
      </c>
      <c r="EJ150" s="121">
        <v>24</v>
      </c>
      <c r="EK150" s="121">
        <v>0</v>
      </c>
      <c r="EL150" s="162">
        <v>16.403732630999997</v>
      </c>
      <c r="EM150" s="142">
        <v>32.354999999999997</v>
      </c>
      <c r="EN150" s="119">
        <v>39.354999999999997</v>
      </c>
      <c r="EO150" s="115">
        <v>40.950000000000003</v>
      </c>
      <c r="EP150" s="115">
        <v>1618.5340615601997</v>
      </c>
      <c r="EQ150" s="115">
        <v>14</v>
      </c>
      <c r="ER150" s="115">
        <v>14.4</v>
      </c>
      <c r="ES150" s="115">
        <v>55</v>
      </c>
      <c r="ET150" s="150">
        <v>1.1156896551724136</v>
      </c>
      <c r="EU150" s="145">
        <f t="shared" si="75"/>
        <v>65</v>
      </c>
      <c r="EV150" s="115">
        <f t="shared" si="76"/>
        <v>25</v>
      </c>
      <c r="EW150" s="115">
        <f t="shared" si="76"/>
        <v>47</v>
      </c>
      <c r="EX150" s="115">
        <f t="shared" si="76"/>
        <v>24</v>
      </c>
      <c r="EY150" s="115" t="str">
        <f t="shared" si="98"/>
        <v>Постоянный</v>
      </c>
      <c r="EZ150" s="115">
        <f t="shared" si="98"/>
        <v>24</v>
      </c>
      <c r="FA150" s="115">
        <f t="shared" si="98"/>
        <v>0</v>
      </c>
      <c r="FB150" s="149">
        <f t="shared" si="78"/>
        <v>13.810720000000002</v>
      </c>
      <c r="FC150" s="142">
        <f t="shared" si="78"/>
        <v>28</v>
      </c>
      <c r="FD150" s="119">
        <f t="shared" si="78"/>
        <v>41</v>
      </c>
      <c r="FE150" s="121">
        <f t="shared" si="78"/>
        <v>21</v>
      </c>
      <c r="FF150" s="121">
        <f t="shared" si="94"/>
        <v>912.33476603681765</v>
      </c>
      <c r="FG150" s="121">
        <f t="shared" si="79"/>
        <v>14</v>
      </c>
      <c r="FH150" s="121">
        <f t="shared" si="95"/>
        <v>8.4</v>
      </c>
      <c r="FI150" s="121">
        <f t="shared" si="97"/>
        <v>61</v>
      </c>
      <c r="FJ150" s="144">
        <f t="shared" si="80"/>
        <v>1.2173913043478262</v>
      </c>
      <c r="FK150" s="132">
        <f t="shared" si="81"/>
        <v>0</v>
      </c>
      <c r="FL150" s="115">
        <f t="shared" si="81"/>
        <v>-1</v>
      </c>
      <c r="FM150" s="115">
        <f t="shared" si="81"/>
        <v>0</v>
      </c>
      <c r="FN150" s="115">
        <f t="shared" si="58"/>
        <v>-2</v>
      </c>
      <c r="FO150" s="115">
        <f t="shared" si="100"/>
        <v>0</v>
      </c>
      <c r="FP150" s="115">
        <f t="shared" si="100"/>
        <v>0</v>
      </c>
      <c r="FQ150" s="149">
        <f t="shared" si="100"/>
        <v>-2.5930126309999952</v>
      </c>
      <c r="FR150" s="142">
        <f t="shared" si="100"/>
        <v>-4.3549999999999969</v>
      </c>
      <c r="FS150" s="119">
        <f t="shared" si="100"/>
        <v>1.6450000000000031</v>
      </c>
      <c r="FT150" s="121">
        <f t="shared" si="100"/>
        <v>-19.950000000000003</v>
      </c>
      <c r="FU150" s="121">
        <f t="shared" si="82"/>
        <v>0</v>
      </c>
      <c r="FV150" s="121">
        <f t="shared" si="82"/>
        <v>-6</v>
      </c>
      <c r="FW150" s="121">
        <f t="shared" si="83"/>
        <v>-706.19929552338203</v>
      </c>
      <c r="FX150" s="121">
        <f t="shared" si="84"/>
        <v>6</v>
      </c>
      <c r="FY150" s="144">
        <f t="shared" si="84"/>
        <v>0.10170164917541258</v>
      </c>
      <c r="FZ150" s="145" t="s">
        <v>221</v>
      </c>
      <c r="GA150" s="1039" t="s">
        <v>789</v>
      </c>
      <c r="GB150" s="145" t="s">
        <v>25</v>
      </c>
      <c r="GC150" s="1039" t="s">
        <v>790</v>
      </c>
      <c r="GD150" s="997" t="s">
        <v>416</v>
      </c>
      <c r="GE150" s="1004" t="s">
        <v>25</v>
      </c>
      <c r="GF150" s="1004">
        <v>2.5564693989999956</v>
      </c>
      <c r="GG150" s="1004" t="s">
        <v>25</v>
      </c>
      <c r="GH150" s="1004">
        <v>2.6783391800000018</v>
      </c>
      <c r="GI150" s="145"/>
      <c r="GJ150" s="996">
        <v>0.64892405199999992</v>
      </c>
      <c r="GK150" s="145" t="s">
        <v>206</v>
      </c>
      <c r="GL150" s="996">
        <v>-3.913836326400002</v>
      </c>
      <c r="GM150" s="1005"/>
      <c r="GN150" s="996">
        <v>0.92680832639999799</v>
      </c>
      <c r="GO150" s="1006"/>
      <c r="GP150" s="996">
        <v>-0.32493647999999986</v>
      </c>
      <c r="GQ150" s="1006"/>
      <c r="GR150" s="996">
        <v>0</v>
      </c>
      <c r="GS150" s="1006" t="s">
        <v>204</v>
      </c>
      <c r="GT150" s="996">
        <v>-5.0222114799999957</v>
      </c>
      <c r="GU150" s="1006"/>
      <c r="GV150" s="996">
        <v>0</v>
      </c>
      <c r="GW150" s="1006"/>
      <c r="GX150" s="996">
        <v>0</v>
      </c>
      <c r="GY150" s="1006"/>
      <c r="GZ150" s="996">
        <v>-0.86290248000000247</v>
      </c>
      <c r="HA150" s="1006" t="s">
        <v>199</v>
      </c>
      <c r="HB150" s="996">
        <v>3.3042816400000028</v>
      </c>
      <c r="HC150" s="1006"/>
      <c r="HD150" s="996">
        <v>0</v>
      </c>
      <c r="HE150" s="1006"/>
      <c r="HF150" s="996">
        <v>0</v>
      </c>
      <c r="HG150" s="1006"/>
      <c r="HH150" s="996">
        <v>0</v>
      </c>
      <c r="HI150" s="1006" t="s">
        <v>204</v>
      </c>
      <c r="HJ150" s="996">
        <v>-4.8003329000000008</v>
      </c>
      <c r="HK150" s="1006"/>
      <c r="HL150" s="996">
        <v>0</v>
      </c>
      <c r="HM150" s="1006" t="s">
        <v>199</v>
      </c>
      <c r="HN150" s="996">
        <v>9.7736106247999999</v>
      </c>
      <c r="HO150" s="1006" t="s">
        <v>204</v>
      </c>
      <c r="HP150" s="996">
        <v>-11.343402100800002</v>
      </c>
      <c r="HQ150" s="1006" t="s">
        <v>204</v>
      </c>
      <c r="HR150" s="996">
        <v>5.3546853360000028</v>
      </c>
      <c r="HS150" s="1006" t="s">
        <v>204</v>
      </c>
      <c r="HT150" s="996">
        <v>-3.3147132480000003</v>
      </c>
      <c r="HU150" s="1006" t="s">
        <v>204</v>
      </c>
      <c r="HV150" s="996">
        <v>4.061331973599998</v>
      </c>
      <c r="HW150" s="1006"/>
      <c r="HX150" s="996">
        <v>0</v>
      </c>
      <c r="HY150" s="1006"/>
      <c r="HZ150" s="996">
        <v>-0.89087888560000295</v>
      </c>
      <c r="IA150" s="1006"/>
      <c r="IB150" s="996">
        <v>0</v>
      </c>
      <c r="IC150" s="1006"/>
      <c r="ID150" s="996">
        <v>0</v>
      </c>
      <c r="IE150" s="1006" t="s">
        <v>204</v>
      </c>
      <c r="IF150" s="996">
        <v>-5.8261589891999925</v>
      </c>
      <c r="IG150" s="1006" t="s">
        <v>199</v>
      </c>
      <c r="IH150" s="996">
        <v>8.8764529611999965</v>
      </c>
      <c r="II150" s="1006"/>
      <c r="IJ150" s="996">
        <v>0</v>
      </c>
      <c r="IK150" s="1006" t="s">
        <v>199</v>
      </c>
      <c r="IL150" s="996">
        <v>-4.2847315720000001</v>
      </c>
      <c r="IM150" s="1006" t="s">
        <v>199</v>
      </c>
      <c r="IN150" s="996">
        <v>3.2011108799999999</v>
      </c>
      <c r="IO150" s="1006"/>
      <c r="IP150" s="996">
        <v>0</v>
      </c>
      <c r="IQ150" s="1006"/>
      <c r="IR150" s="996">
        <v>-0.46250027999999865</v>
      </c>
      <c r="IS150" s="1006"/>
      <c r="IT150" s="996">
        <v>0.93782981599999893</v>
      </c>
      <c r="IU150" s="1006"/>
      <c r="IV150" s="996">
        <v>0</v>
      </c>
      <c r="IW150" s="1006"/>
      <c r="IX150" s="996">
        <v>0</v>
      </c>
      <c r="IY150" s="1006"/>
      <c r="IZ150" s="996">
        <v>0</v>
      </c>
      <c r="JA150" s="1006"/>
      <c r="JB150" s="996">
        <v>0</v>
      </c>
      <c r="JC150" s="1006"/>
      <c r="JD150" s="996">
        <v>0</v>
      </c>
      <c r="JE150" s="1006" t="s">
        <v>199</v>
      </c>
      <c r="JF150" s="996">
        <v>2.6249931840000009</v>
      </c>
      <c r="JG150" s="1006"/>
      <c r="JH150" s="996">
        <v>0</v>
      </c>
      <c r="JI150" s="1006" t="s">
        <v>199</v>
      </c>
      <c r="JJ150" s="996">
        <v>-7.6397023999999991</v>
      </c>
      <c r="JK150" s="1007"/>
      <c r="JL150" s="1007">
        <v>0</v>
      </c>
      <c r="JM150" s="1007"/>
      <c r="JN150" s="1007">
        <v>0</v>
      </c>
      <c r="JO150" s="1008"/>
      <c r="JP150" s="1007">
        <v>0</v>
      </c>
      <c r="JQ150" s="1008">
        <v>0</v>
      </c>
      <c r="JR150" s="1007">
        <v>0</v>
      </c>
      <c r="JS150" s="1008">
        <v>0</v>
      </c>
      <c r="JT150" s="1007">
        <v>0.41216471999999982</v>
      </c>
      <c r="JU150" s="1008" t="s">
        <v>199</v>
      </c>
      <c r="JV150" s="1007">
        <v>2.7758376799999951</v>
      </c>
      <c r="JW150" s="1008" t="s">
        <v>197</v>
      </c>
      <c r="JX150" s="1007">
        <v>0</v>
      </c>
      <c r="JY150" s="1008" t="s">
        <v>240</v>
      </c>
      <c r="JZ150" s="1007">
        <v>-3.6148639999999972</v>
      </c>
      <c r="KA150" s="1008" t="s">
        <v>204</v>
      </c>
      <c r="KB150" s="1007">
        <v>-2.9058524000000006</v>
      </c>
      <c r="KC150" s="1008" t="s">
        <v>204</v>
      </c>
      <c r="KD150" s="1007">
        <v>2.6953476000000016</v>
      </c>
      <c r="KE150" s="1008" t="s">
        <v>204</v>
      </c>
      <c r="KF150" s="1007">
        <v>-0.53721360000000118</v>
      </c>
      <c r="KG150" s="1008"/>
      <c r="KH150" s="1007">
        <v>0</v>
      </c>
      <c r="KI150" s="1008"/>
      <c r="KJ150" s="1007">
        <v>0</v>
      </c>
      <c r="KK150" s="1008"/>
      <c r="KL150" s="1007">
        <v>0</v>
      </c>
      <c r="KM150" s="1008"/>
      <c r="KN150" s="1007">
        <v>0</v>
      </c>
      <c r="KO150" s="1008"/>
      <c r="KP150" s="1007">
        <v>0</v>
      </c>
      <c r="KQ150" s="1008">
        <v>0</v>
      </c>
      <c r="KR150" s="1007">
        <v>0</v>
      </c>
      <c r="KS150" s="1008" t="s">
        <v>223</v>
      </c>
      <c r="KT150" s="1007">
        <v>-3.355369599999996</v>
      </c>
      <c r="KU150" s="1008" t="s">
        <v>206</v>
      </c>
      <c r="KV150" s="1007">
        <v>1.1805991999999961</v>
      </c>
      <c r="KW150" s="1008">
        <v>0</v>
      </c>
      <c r="KX150" s="1007">
        <v>0</v>
      </c>
      <c r="KY150" s="1008" t="s">
        <v>224</v>
      </c>
      <c r="KZ150" s="1007">
        <v>23.4579928</v>
      </c>
      <c r="LA150" s="1008">
        <v>0</v>
      </c>
      <c r="LB150" s="1007">
        <v>0</v>
      </c>
      <c r="LC150" s="1008">
        <v>0</v>
      </c>
      <c r="LD150" s="1007">
        <v>0</v>
      </c>
      <c r="LE150" s="1008">
        <v>0</v>
      </c>
      <c r="LF150" s="1007">
        <v>0</v>
      </c>
      <c r="LG150" s="1008">
        <v>0</v>
      </c>
      <c r="LH150" s="1007">
        <v>0</v>
      </c>
      <c r="LI150" s="1008">
        <v>0</v>
      </c>
      <c r="LJ150" s="1007">
        <v>0</v>
      </c>
      <c r="LK150" s="1008" t="s">
        <v>146</v>
      </c>
      <c r="LL150" s="1007">
        <v>-2.9343599999999981</v>
      </c>
      <c r="LM150" s="1008" t="s">
        <v>555</v>
      </c>
      <c r="LN150" s="1007">
        <v>-1.6552800000000001</v>
      </c>
      <c r="LO150" s="1008">
        <v>0</v>
      </c>
      <c r="LP150" s="1007">
        <v>0</v>
      </c>
      <c r="LQ150" s="1008">
        <v>0</v>
      </c>
      <c r="LR150" s="1007">
        <v>0</v>
      </c>
      <c r="LS150" s="1008">
        <v>0</v>
      </c>
      <c r="LT150" s="1007">
        <v>0</v>
      </c>
      <c r="LU150" s="1008">
        <v>0</v>
      </c>
      <c r="LV150" s="1007">
        <v>0</v>
      </c>
      <c r="LW150" s="1008">
        <v>0</v>
      </c>
      <c r="LX150" s="1007">
        <v>0</v>
      </c>
      <c r="LY150" s="1009">
        <v>0</v>
      </c>
      <c r="LZ150" s="1010">
        <v>0</v>
      </c>
      <c r="MA150" s="1011" t="s">
        <v>206</v>
      </c>
      <c r="MB150" s="1012">
        <v>-2.48292</v>
      </c>
      <c r="MC150" s="995"/>
      <c r="MD150" s="996"/>
      <c r="ME150" s="997" t="s">
        <v>416</v>
      </c>
      <c r="MF150" s="997"/>
      <c r="MG150" s="998"/>
      <c r="NR150" s="1000"/>
      <c r="NS150" s="1000"/>
      <c r="NT150" s="1001"/>
      <c r="NU150" s="1000"/>
      <c r="NV150" s="1001"/>
      <c r="NX150" s="1002"/>
      <c r="NZ150" s="1001"/>
      <c r="OA150" s="1001"/>
      <c r="OC150" s="1003"/>
      <c r="OD150" s="1003"/>
      <c r="OE150" s="1001"/>
      <c r="OF150" s="1003"/>
      <c r="OG150" s="1003"/>
      <c r="QX150" s="1000">
        <f t="shared" si="96"/>
        <v>36</v>
      </c>
      <c r="ASU150" s="999" t="s">
        <v>208</v>
      </c>
    </row>
    <row r="151" spans="1:466 1191:1191" ht="21" customHeight="1" x14ac:dyDescent="0.25">
      <c r="A151" s="982">
        <f t="shared" si="59"/>
        <v>1057</v>
      </c>
      <c r="B151" s="124">
        <f>SUBTOTAL(103,$J$29:J151)</f>
        <v>123</v>
      </c>
      <c r="C151" s="126">
        <v>45068</v>
      </c>
      <c r="D151" s="124" t="s">
        <v>176</v>
      </c>
      <c r="E151" s="127" t="s">
        <v>177</v>
      </c>
      <c r="F151" s="128" t="s">
        <v>177</v>
      </c>
      <c r="G151" s="127" t="s">
        <v>178</v>
      </c>
      <c r="H151" s="127" t="s">
        <v>408</v>
      </c>
      <c r="I151" s="127" t="s">
        <v>684</v>
      </c>
      <c r="J151" s="152">
        <v>1057</v>
      </c>
      <c r="K151" s="127" t="s">
        <v>791</v>
      </c>
      <c r="L151" s="130">
        <v>38219</v>
      </c>
      <c r="M151" s="127" t="s">
        <v>230</v>
      </c>
      <c r="N151" s="127" t="s">
        <v>231</v>
      </c>
      <c r="O151" s="127" t="s">
        <v>185</v>
      </c>
      <c r="P151" s="127" t="s">
        <v>292</v>
      </c>
      <c r="Q151" s="85" t="str">
        <f t="shared" si="85"/>
        <v/>
      </c>
      <c r="R151" s="130"/>
      <c r="S151" s="128" t="s">
        <v>156</v>
      </c>
      <c r="T151" s="131"/>
      <c r="U151" s="132">
        <v>203</v>
      </c>
      <c r="V151" s="121">
        <v>218.2</v>
      </c>
      <c r="W151" s="116">
        <v>0.98</v>
      </c>
      <c r="X151" s="116">
        <v>1.66</v>
      </c>
      <c r="Y151" s="116">
        <f t="shared" si="86"/>
        <v>0.99087817095633013</v>
      </c>
      <c r="Z151" s="133">
        <v>1.454</v>
      </c>
      <c r="AA151" s="133">
        <v>0.83599999999999997</v>
      </c>
      <c r="AB151" s="133">
        <v>0.72</v>
      </c>
      <c r="AC151" s="121">
        <v>34.299999999999997</v>
      </c>
      <c r="AD151" s="134">
        <v>1.17</v>
      </c>
      <c r="AE151" s="124">
        <v>139.69999999999999</v>
      </c>
      <c r="AF151" s="128">
        <v>7.72</v>
      </c>
      <c r="AG151" s="128">
        <v>2047</v>
      </c>
      <c r="AH151" s="127">
        <v>2464</v>
      </c>
      <c r="AI151" s="127">
        <v>2464</v>
      </c>
      <c r="AJ151" s="135"/>
      <c r="AK151" s="128"/>
      <c r="AL151" s="131"/>
      <c r="AM151" s="124" t="s">
        <v>232</v>
      </c>
      <c r="AN151" s="136" t="s">
        <v>792</v>
      </c>
      <c r="AO151" s="137">
        <v>25</v>
      </c>
      <c r="AP151" s="128">
        <v>1965</v>
      </c>
      <c r="AQ151" s="128">
        <v>1.4</v>
      </c>
      <c r="AR151" s="128"/>
      <c r="AS151" s="128"/>
      <c r="AT151" s="122"/>
      <c r="AU151" s="124" t="s">
        <v>250</v>
      </c>
      <c r="AV151" s="115">
        <f>VLOOKUP(J151,'[63]ТР нефть'!$J$28:$BP$638,39,0)</f>
        <v>640</v>
      </c>
      <c r="AW151" s="115" t="str">
        <f>VLOOKUP(J151,'[63]ТР нефть'!$J$28:$BP$638,40,0)</f>
        <v>ГП</v>
      </c>
      <c r="AX151" s="115">
        <f>VLOOKUP(J151,'[63]ТР нефть'!$J$28:$BP$638,41,0)</f>
        <v>1160</v>
      </c>
      <c r="AY151" s="115" t="str">
        <f>VLOOKUP(J151,'[63]ТР нефть'!$J$28:$BP$638,42,0)</f>
        <v>ГК 92 1/8</v>
      </c>
      <c r="AZ151" s="115">
        <f>VLOOKUP(J151,'[63]ТР нефть'!$J$28:$BP$638,43,0)</f>
        <v>1570</v>
      </c>
      <c r="BA151" s="115" t="str">
        <f>VLOOKUP(J151,'[63]ТР нефть'!$J$28:$BP$638,44,0)</f>
        <v>ЦКсОК 5/16</v>
      </c>
      <c r="BB151" s="115" t="str">
        <f>VLOOKUP(J151,'[63]ТР нефть'!$J$28:$BP$638,45,0)</f>
        <v>-</v>
      </c>
      <c r="BC151" s="115" t="str">
        <f>VLOOKUP(J151,'[63]ТР нефть'!$J$28:$BP$638,46,0)</f>
        <v>-</v>
      </c>
      <c r="BD151" s="115" t="str">
        <f>VLOOKUP(J151,'[63]ТР нефть'!$J$28:$BP$638,47,0)</f>
        <v>-</v>
      </c>
      <c r="BE151" s="115" t="str">
        <f>VLOOKUP(J151,'[63]ТР нефть'!$J$28:$BP$638,48,0)</f>
        <v>-</v>
      </c>
      <c r="BF151" s="115" t="str">
        <f>VLOOKUP(J151,'[63]ТР нефть'!$J$28:$BP$638,49,0)</f>
        <v>-</v>
      </c>
      <c r="BG151" s="115" t="str">
        <f>VLOOKUP(J151,'[63]ТР нефть'!$J$28:$BP$638,50,0)</f>
        <v>-</v>
      </c>
      <c r="BH151" s="115">
        <f>VLOOKUP(J151,'[63]ТР нефть'!$J$28:$BP$638,51,0)</f>
        <v>1580</v>
      </c>
      <c r="BI151" s="115" t="str">
        <f>VLOOKUP(J151,'[63]ТР нефть'!$J$28:$BP$638,52,0)</f>
        <v>закрыт</v>
      </c>
      <c r="BJ151" s="115" t="str">
        <f>IF(IFERROR(VLOOKUP(J151,'[63]ТР нефть'!$J$28:$BP$638,53,0),"-")=0,"-",IFERROR(VLOOKUP(J151,'[63]ТР нефть'!$J$28:$BP$638,53,0),"-"))</f>
        <v>-</v>
      </c>
      <c r="BK151" s="138" t="str">
        <f>IF(IFERROR(VLOOKUP(J151,'[63]ТР нефть'!$J$28:$BP$638,54,0),"-")=0,"-",IFERROR(VLOOKUP(J151,'[63]ТР нефть'!$J$28:$BP$638,54,0),"-"))</f>
        <v>-</v>
      </c>
      <c r="BL151" s="138" t="str">
        <f>IF(IFERROR(VLOOKUP(J151,'[63]ТР нефть'!$J$28:$BP$638,55,0),"-")=0,"-",IFERROR(VLOOKUP(J151,'[63]ТР нефть'!$J$28:$BP$638,55,0),"-"))</f>
        <v>-</v>
      </c>
      <c r="BM151" s="138" t="str">
        <f>IF(IFERROR(VLOOKUP(J151,'[63]ТР нефть'!$J$28:$BP$638,56,0),"-")=0,"-",IFERROR(VLOOKUP(J151,'[63]ТР нефть'!$J$28:$BP$638,56,0),"-"))</f>
        <v>-</v>
      </c>
      <c r="BN151" s="138" t="str">
        <f>IF(IFERROR(VLOOKUP(J151,'[63]ТР нефть'!$J$28:$BP$638,57,0),"-")=0,"-",IFERROR(VLOOKUP(J151,'[63]ТР нефть'!$J$28:$BP$638,57,0),"-"))</f>
        <v>-</v>
      </c>
      <c r="BO151" s="115" t="str">
        <f>IF(IFERROR(VLOOKUP(J151,'[63]ТР нефть'!$J$28:$BP$638,58,0),"-")=0,"-",IFERROR(VLOOKUP(J151,'[63]ТР нефть'!$J$28:$BP$638,58,0),"-"))</f>
        <v>-</v>
      </c>
      <c r="BP151" s="115" t="str">
        <f>IF(IFERROR(VLOOKUP(J151,'[63]ТР нефть'!$J$28:$BP$638,59,0),"-")=0,"-",IFERROR(VLOOKUP(J151,'[63]ТР нефть'!$J$28:$BP$638,59,0),"-"))</f>
        <v>-</v>
      </c>
      <c r="BQ151" s="138">
        <v>1650</v>
      </c>
      <c r="BR151" s="128">
        <v>1645.12</v>
      </c>
      <c r="BS151" s="115">
        <f t="shared" si="60"/>
        <v>4.8800000000001091</v>
      </c>
      <c r="BT151" s="128">
        <v>73</v>
      </c>
      <c r="BU151" s="128">
        <v>5.5</v>
      </c>
      <c r="BV151" s="127">
        <v>10</v>
      </c>
      <c r="BW151" s="127" t="s">
        <v>217</v>
      </c>
      <c r="BX151" s="127" t="s">
        <v>195</v>
      </c>
      <c r="BY151" s="139">
        <v>24</v>
      </c>
      <c r="BZ151" s="139">
        <v>0</v>
      </c>
      <c r="CA151" s="138">
        <v>30</v>
      </c>
      <c r="CB151" s="138">
        <v>37</v>
      </c>
      <c r="CC151" s="138">
        <v>25</v>
      </c>
      <c r="CD151" s="135">
        <v>45017</v>
      </c>
      <c r="CE151" s="138">
        <v>115</v>
      </c>
      <c r="CF151" s="138"/>
      <c r="CG151" s="138"/>
      <c r="CH151" s="138"/>
      <c r="CI151" s="127"/>
      <c r="CJ151" s="138"/>
      <c r="CK151" s="138"/>
      <c r="CL151" s="99"/>
      <c r="CM151" s="138"/>
      <c r="CN151" s="154">
        <v>42</v>
      </c>
      <c r="CO151" s="159">
        <f t="shared" si="61"/>
        <v>6.4274020799999994</v>
      </c>
      <c r="CP151" s="160">
        <v>7.9</v>
      </c>
      <c r="CQ151" s="161">
        <v>2.68</v>
      </c>
      <c r="CR151" s="138">
        <v>26.004000000000001</v>
      </c>
      <c r="CS151" s="139"/>
      <c r="CT151" s="138"/>
      <c r="CU151" s="138">
        <f t="shared" si="62"/>
        <v>26.004000000000001</v>
      </c>
      <c r="CV151" s="115">
        <f t="shared" si="63"/>
        <v>4045.8025927638873</v>
      </c>
      <c r="CW151" s="115" t="str">
        <f t="shared" si="64"/>
        <v/>
      </c>
      <c r="CX151" s="133">
        <f t="shared" si="65"/>
        <v>0.10821917808219178</v>
      </c>
      <c r="CY151" s="116"/>
      <c r="CZ151" s="131"/>
      <c r="DA151" s="145" t="str">
        <f t="shared" si="66"/>
        <v>Фон.</v>
      </c>
      <c r="DB151" s="146">
        <f t="shared" si="67"/>
        <v>6.4274020799999994</v>
      </c>
      <c r="DC151" s="142">
        <f t="shared" si="68"/>
        <v>7.9</v>
      </c>
      <c r="DD151" s="119">
        <f t="shared" si="69"/>
        <v>2.68</v>
      </c>
      <c r="DE151" s="115">
        <f t="shared" si="70"/>
        <v>26.004000000000001</v>
      </c>
      <c r="DF151" s="121">
        <f t="shared" si="71"/>
        <v>0</v>
      </c>
      <c r="DG151" s="115">
        <f t="shared" si="72"/>
        <v>4045.8025927638873</v>
      </c>
      <c r="DH151" s="115">
        <f t="shared" si="73"/>
        <v>42</v>
      </c>
      <c r="DI151" s="147"/>
      <c r="DJ151" s="111">
        <v>43307</v>
      </c>
      <c r="DK151" s="112">
        <v>42370</v>
      </c>
      <c r="DL151" s="113">
        <f t="shared" ca="1" si="87"/>
        <v>2734</v>
      </c>
      <c r="DM151" s="114"/>
      <c r="DN151" s="114"/>
      <c r="DO151" s="114"/>
      <c r="DP151" s="114"/>
      <c r="DQ151" s="112" t="s">
        <v>793</v>
      </c>
      <c r="DR151" s="114" t="s">
        <v>198</v>
      </c>
      <c r="DS151" s="114"/>
      <c r="DT151" s="115">
        <v>47</v>
      </c>
      <c r="DU151" s="116">
        <f t="shared" si="88"/>
        <v>0.1161764705882353</v>
      </c>
      <c r="DV151" s="117">
        <f t="shared" si="89"/>
        <v>6.4274020799999994</v>
      </c>
      <c r="DW151" s="118">
        <f t="shared" si="90"/>
        <v>7.9</v>
      </c>
      <c r="DX151" s="119">
        <f t="shared" si="74"/>
        <v>2.68</v>
      </c>
      <c r="DY151" s="115">
        <f t="shared" si="91"/>
        <v>26.004000000000001</v>
      </c>
      <c r="DZ151" s="117">
        <f t="shared" si="92"/>
        <v>0</v>
      </c>
      <c r="EA151" s="120">
        <f t="shared" si="92"/>
        <v>0</v>
      </c>
      <c r="EB151" s="119">
        <f t="shared" si="92"/>
        <v>0</v>
      </c>
      <c r="EC151" s="121">
        <f t="shared" si="93"/>
        <v>0</v>
      </c>
      <c r="ED151" s="122"/>
      <c r="EE151" s="145">
        <v>10</v>
      </c>
      <c r="EF151" s="115">
        <v>30</v>
      </c>
      <c r="EG151" s="115">
        <v>37</v>
      </c>
      <c r="EH151" s="115">
        <v>25</v>
      </c>
      <c r="EI151" s="128" t="s">
        <v>195</v>
      </c>
      <c r="EJ151" s="121">
        <v>24</v>
      </c>
      <c r="EK151" s="121">
        <v>0</v>
      </c>
      <c r="EL151" s="162">
        <v>6.4274020799999994</v>
      </c>
      <c r="EM151" s="142">
        <v>7.9</v>
      </c>
      <c r="EN151" s="119">
        <v>2.68</v>
      </c>
      <c r="EO151" s="115">
        <v>26.004000000000001</v>
      </c>
      <c r="EP151" s="115">
        <v>4045.8025927638873</v>
      </c>
      <c r="EQ151" s="115">
        <v>0</v>
      </c>
      <c r="ER151" s="115">
        <v>0</v>
      </c>
      <c r="ES151" s="115">
        <v>42</v>
      </c>
      <c r="ET151" s="150">
        <v>0.10821917808219178</v>
      </c>
      <c r="EU151" s="145">
        <f t="shared" si="75"/>
        <v>10</v>
      </c>
      <c r="EV151" s="115">
        <f t="shared" si="76"/>
        <v>30</v>
      </c>
      <c r="EW151" s="115">
        <f t="shared" si="76"/>
        <v>37</v>
      </c>
      <c r="EX151" s="115">
        <f t="shared" si="76"/>
        <v>25</v>
      </c>
      <c r="EY151" s="115" t="str">
        <f t="shared" si="98"/>
        <v>Постоянный</v>
      </c>
      <c r="EZ151" s="115">
        <f t="shared" si="98"/>
        <v>24</v>
      </c>
      <c r="FA151" s="115">
        <f t="shared" si="98"/>
        <v>0</v>
      </c>
      <c r="FB151" s="149">
        <f t="shared" si="78"/>
        <v>6.4274020799999994</v>
      </c>
      <c r="FC151" s="142">
        <f t="shared" si="78"/>
        <v>7.9</v>
      </c>
      <c r="FD151" s="119">
        <f t="shared" si="78"/>
        <v>2.68</v>
      </c>
      <c r="FE151" s="121">
        <f t="shared" si="78"/>
        <v>26.004000000000001</v>
      </c>
      <c r="FF151" s="121">
        <f t="shared" si="94"/>
        <v>4045.8025927638873</v>
      </c>
      <c r="FG151" s="121">
        <f t="shared" si="79"/>
        <v>0</v>
      </c>
      <c r="FH151" s="121">
        <f t="shared" si="95"/>
        <v>0</v>
      </c>
      <c r="FI151" s="121">
        <f t="shared" si="97"/>
        <v>42</v>
      </c>
      <c r="FJ151" s="144">
        <f t="shared" si="80"/>
        <v>0.10821917808219178</v>
      </c>
      <c r="FK151" s="132">
        <f t="shared" si="81"/>
        <v>0</v>
      </c>
      <c r="FL151" s="115">
        <f t="shared" si="81"/>
        <v>0</v>
      </c>
      <c r="FM151" s="115">
        <f t="shared" si="81"/>
        <v>0</v>
      </c>
      <c r="FN151" s="115">
        <f t="shared" si="58"/>
        <v>0</v>
      </c>
      <c r="FO151" s="115">
        <f t="shared" si="100"/>
        <v>0</v>
      </c>
      <c r="FP151" s="115">
        <f t="shared" si="100"/>
        <v>0</v>
      </c>
      <c r="FQ151" s="149">
        <f t="shared" si="100"/>
        <v>0</v>
      </c>
      <c r="FR151" s="142">
        <f t="shared" si="100"/>
        <v>0</v>
      </c>
      <c r="FS151" s="119">
        <f t="shared" si="100"/>
        <v>0</v>
      </c>
      <c r="FT151" s="121">
        <f t="shared" si="100"/>
        <v>0</v>
      </c>
      <c r="FU151" s="121">
        <f t="shared" si="82"/>
        <v>0</v>
      </c>
      <c r="FV151" s="121">
        <f t="shared" si="82"/>
        <v>0</v>
      </c>
      <c r="FW151" s="121">
        <f t="shared" si="83"/>
        <v>0</v>
      </c>
      <c r="FX151" s="121">
        <f t="shared" si="84"/>
        <v>0</v>
      </c>
      <c r="FY151" s="144">
        <f t="shared" si="84"/>
        <v>0</v>
      </c>
      <c r="FZ151" s="145"/>
      <c r="GA151" s="1024" t="s">
        <v>427</v>
      </c>
      <c r="GB151" s="145"/>
      <c r="GC151" s="1039"/>
      <c r="GD151" s="997" t="s">
        <v>416</v>
      </c>
      <c r="GE151" s="1004"/>
      <c r="GF151" s="1004">
        <v>-0.1937179200000001</v>
      </c>
      <c r="GG151" s="1004" t="s">
        <v>223</v>
      </c>
      <c r="GH151" s="1004">
        <v>-3.2102400000000006</v>
      </c>
      <c r="GI151" s="145"/>
      <c r="GJ151" s="996">
        <v>1.5688719999996437E-2</v>
      </c>
      <c r="GK151" s="145"/>
      <c r="GL151" s="996">
        <v>0.89679999999999893</v>
      </c>
      <c r="GM151" s="1005"/>
      <c r="GN151" s="996">
        <v>0</v>
      </c>
      <c r="GO151" s="1006"/>
      <c r="GP151" s="996">
        <v>0</v>
      </c>
      <c r="GQ151" s="1006"/>
      <c r="GR151" s="996">
        <v>0</v>
      </c>
      <c r="GS151" s="1006"/>
      <c r="GT151" s="996">
        <v>0</v>
      </c>
      <c r="GU151" s="1006"/>
      <c r="GV151" s="996">
        <v>0</v>
      </c>
      <c r="GW151" s="1006"/>
      <c r="GX151" s="996">
        <v>-0.50591376000000032</v>
      </c>
      <c r="GY151" s="1006"/>
      <c r="GZ151" s="996">
        <v>-0.75220153359999831</v>
      </c>
      <c r="HA151" s="1006"/>
      <c r="HB151" s="996">
        <v>-4.3770786400001427E-2</v>
      </c>
      <c r="HC151" s="1006" t="s">
        <v>204</v>
      </c>
      <c r="HD151" s="996">
        <v>2.5608352000000005</v>
      </c>
      <c r="HE151" s="1006"/>
      <c r="HF151" s="996">
        <v>0</v>
      </c>
      <c r="HG151" s="1006" t="s">
        <v>223</v>
      </c>
      <c r="HH151" s="996">
        <v>-1.2877827600000007</v>
      </c>
      <c r="HI151" s="1006"/>
      <c r="HJ151" s="996">
        <v>0.2315803600000006</v>
      </c>
      <c r="HK151" s="1006"/>
      <c r="HL151" s="996">
        <v>0</v>
      </c>
      <c r="HM151" s="1006" t="s">
        <v>223</v>
      </c>
      <c r="HN151" s="996">
        <v>-1.1458149120000005</v>
      </c>
      <c r="HO151" s="1006"/>
      <c r="HP151" s="996">
        <v>-0.82651808800000026</v>
      </c>
      <c r="HQ151" s="1006"/>
      <c r="HR151" s="996">
        <v>0.8584884000000006</v>
      </c>
      <c r="HS151" s="1006"/>
      <c r="HT151" s="996">
        <v>0</v>
      </c>
      <c r="HU151" s="1006"/>
      <c r="HV151" s="996">
        <v>0</v>
      </c>
      <c r="HW151" s="1006"/>
      <c r="HX151" s="996">
        <v>0</v>
      </c>
      <c r="HY151" s="1006"/>
      <c r="HZ151" s="996">
        <v>-0.69333659999999941</v>
      </c>
      <c r="IA151" s="1006" t="s">
        <v>221</v>
      </c>
      <c r="IB151" s="996">
        <v>-1.7262564000000005</v>
      </c>
      <c r="IC151" s="1006" t="s">
        <v>221</v>
      </c>
      <c r="ID151" s="996">
        <v>-3.9124381999999986</v>
      </c>
      <c r="IE151" s="1006" t="s">
        <v>199</v>
      </c>
      <c r="IF151" s="996">
        <v>6.0635497999999988</v>
      </c>
      <c r="IG151" s="1006"/>
      <c r="IH151" s="996">
        <v>0.75857803999999973</v>
      </c>
      <c r="II151" s="1006"/>
      <c r="IJ151" s="996">
        <v>-0.8411806920000009</v>
      </c>
      <c r="IK151" s="1006" t="s">
        <v>221</v>
      </c>
      <c r="IL151" s="996">
        <v>1.3662806520000013</v>
      </c>
      <c r="IM151" s="1006"/>
      <c r="IN151" s="996">
        <v>0</v>
      </c>
      <c r="IO151" s="1006"/>
      <c r="IP151" s="996">
        <v>0</v>
      </c>
      <c r="IQ151" s="1006"/>
      <c r="IR151" s="996">
        <v>0</v>
      </c>
      <c r="IS151" s="1006"/>
      <c r="IT151" s="996">
        <v>0</v>
      </c>
      <c r="IU151" s="1006"/>
      <c r="IV151" s="996">
        <v>0</v>
      </c>
      <c r="IW151" s="1006"/>
      <c r="IX151" s="996">
        <v>0</v>
      </c>
      <c r="IY151" s="1006"/>
      <c r="IZ151" s="996">
        <v>0</v>
      </c>
      <c r="JA151" s="1006"/>
      <c r="JB151" s="996">
        <v>0</v>
      </c>
      <c r="JC151" s="1006"/>
      <c r="JD151" s="996">
        <v>-0.1818801600000004</v>
      </c>
      <c r="JE151" s="1006"/>
      <c r="JF151" s="996">
        <v>0</v>
      </c>
      <c r="JG151" s="1006"/>
      <c r="JH151" s="996">
        <v>0</v>
      </c>
      <c r="JI151" s="1006"/>
      <c r="JJ151" s="996">
        <v>0</v>
      </c>
      <c r="JK151" s="1007"/>
      <c r="JL151" s="1007">
        <v>0</v>
      </c>
      <c r="JM151" s="1007"/>
      <c r="JN151" s="1007">
        <v>0</v>
      </c>
      <c r="JO151" s="1008"/>
      <c r="JP151" s="1007">
        <v>0</v>
      </c>
      <c r="JQ151" s="1008">
        <v>0</v>
      </c>
      <c r="JR151" s="1007">
        <v>-2.4578399999999334E-3</v>
      </c>
      <c r="JS151" s="1008">
        <v>0</v>
      </c>
      <c r="JT151" s="1007">
        <v>0</v>
      </c>
      <c r="JU151" s="1008" t="s">
        <v>204</v>
      </c>
      <c r="JV151" s="1007">
        <v>-7.7748000000000008</v>
      </c>
      <c r="JW151" s="1008" t="s">
        <v>197</v>
      </c>
      <c r="JX151" s="1007">
        <v>0</v>
      </c>
      <c r="JY151" s="1008" t="s">
        <v>199</v>
      </c>
      <c r="JZ151" s="1007">
        <v>3.5111999999999988</v>
      </c>
      <c r="KA151" s="1008"/>
      <c r="KB151" s="1007">
        <v>0</v>
      </c>
      <c r="KC151" s="1008"/>
      <c r="KD151" s="1007">
        <v>0</v>
      </c>
      <c r="KE151" s="1008" t="s">
        <v>240</v>
      </c>
      <c r="KF151" s="1007">
        <v>2.7588000000000026</v>
      </c>
      <c r="KG151" s="1008" t="s">
        <v>203</v>
      </c>
      <c r="KH151" s="1007">
        <v>-3.7620000000000022</v>
      </c>
      <c r="KI151" s="1008"/>
      <c r="KJ151" s="1007">
        <v>0</v>
      </c>
      <c r="KK151" s="1008" t="s">
        <v>206</v>
      </c>
      <c r="KL151" s="1007">
        <v>3.3440000000000012</v>
      </c>
      <c r="KM151" s="1008"/>
      <c r="KN151" s="1007">
        <v>0</v>
      </c>
      <c r="KO151" s="1008"/>
      <c r="KP151" s="1007">
        <v>0</v>
      </c>
      <c r="KQ151" s="1008">
        <v>0</v>
      </c>
      <c r="KR151" s="1007">
        <v>0</v>
      </c>
      <c r="KS151" s="1008">
        <v>0</v>
      </c>
      <c r="KT151" s="1007">
        <v>0</v>
      </c>
      <c r="KU151" s="1008" t="s">
        <v>207</v>
      </c>
      <c r="KV151" s="1007">
        <v>-5.0159999999999982</v>
      </c>
      <c r="KW151" s="1008" t="s">
        <v>204</v>
      </c>
      <c r="KX151" s="1007">
        <v>1.6720000000000006</v>
      </c>
      <c r="KY151" s="1008" t="s">
        <v>204</v>
      </c>
      <c r="KZ151" s="1007">
        <v>-5.8519999999999968</v>
      </c>
      <c r="LA151" s="1008">
        <v>0</v>
      </c>
      <c r="LB151" s="1007">
        <v>0</v>
      </c>
      <c r="LC151" s="1008">
        <v>0</v>
      </c>
      <c r="LD151" s="1007">
        <v>0</v>
      </c>
      <c r="LE151" s="1008">
        <v>0</v>
      </c>
      <c r="LF151" s="1007">
        <v>0</v>
      </c>
      <c r="LG151" s="1008" t="s">
        <v>204</v>
      </c>
      <c r="LH151" s="1007">
        <v>-0.33439999999999898</v>
      </c>
      <c r="LI151" s="1008">
        <v>0</v>
      </c>
      <c r="LJ151" s="1007">
        <v>0</v>
      </c>
      <c r="LK151" s="1008" t="s">
        <v>207</v>
      </c>
      <c r="LL151" s="1007">
        <v>2.64</v>
      </c>
      <c r="LM151" s="1008" t="s">
        <v>206</v>
      </c>
      <c r="LN151" s="1007">
        <v>0.83599999999999997</v>
      </c>
      <c r="LO151" s="1008">
        <v>0</v>
      </c>
      <c r="LP151" s="1007">
        <v>-5.16</v>
      </c>
      <c r="LQ151" s="1008" t="s">
        <v>206</v>
      </c>
      <c r="LR151" s="1007">
        <v>1.5884</v>
      </c>
      <c r="LS151" s="1008">
        <v>0</v>
      </c>
      <c r="LT151" s="1007">
        <v>0.334424</v>
      </c>
      <c r="LU151" s="1008">
        <v>0</v>
      </c>
      <c r="LV151" s="1007">
        <v>0</v>
      </c>
      <c r="LW151" s="1008" t="s">
        <v>207</v>
      </c>
      <c r="LX151" s="1007">
        <v>3.3941599999999994</v>
      </c>
      <c r="LY151" s="1009" t="s">
        <v>206</v>
      </c>
      <c r="LZ151" s="1010">
        <v>-5.8520000000000003</v>
      </c>
      <c r="MA151" s="1011">
        <v>0</v>
      </c>
      <c r="MB151" s="1012">
        <v>-4.18</v>
      </c>
      <c r="MC151" s="995"/>
      <c r="MD151" s="996"/>
      <c r="ME151" s="997" t="s">
        <v>416</v>
      </c>
      <c r="MF151" s="997"/>
      <c r="MG151" s="998"/>
      <c r="NR151" s="1000"/>
      <c r="NS151" s="1000"/>
      <c r="NT151" s="1001"/>
      <c r="NU151" s="1000"/>
      <c r="NV151" s="1001"/>
      <c r="NX151" s="1002"/>
      <c r="NZ151" s="1001"/>
      <c r="OA151" s="1001"/>
      <c r="OC151" s="1003"/>
      <c r="OD151" s="1003"/>
      <c r="OE151" s="1001"/>
      <c r="OF151" s="1003"/>
      <c r="OG151" s="1003"/>
      <c r="QX151" s="1000">
        <f t="shared" si="96"/>
        <v>12</v>
      </c>
      <c r="ASU151" s="999" t="s">
        <v>225</v>
      </c>
    </row>
    <row r="152" spans="1:466 1191:1191" ht="21" customHeight="1" x14ac:dyDescent="0.25">
      <c r="A152" s="982" t="str">
        <f t="shared" si="59"/>
        <v>1057-1</v>
      </c>
      <c r="B152" s="124">
        <f>SUBTOTAL(103,$J$29:J152)</f>
        <v>124</v>
      </c>
      <c r="C152" s="126">
        <v>45068</v>
      </c>
      <c r="D152" s="124" t="s">
        <v>176</v>
      </c>
      <c r="E152" s="127" t="s">
        <v>177</v>
      </c>
      <c r="F152" s="128" t="s">
        <v>177</v>
      </c>
      <c r="G152" s="127" t="s">
        <v>178</v>
      </c>
      <c r="H152" s="127" t="s">
        <v>794</v>
      </c>
      <c r="I152" s="127" t="s">
        <v>684</v>
      </c>
      <c r="J152" s="190" t="s">
        <v>795</v>
      </c>
      <c r="K152" s="127" t="s">
        <v>791</v>
      </c>
      <c r="L152" s="130">
        <v>38344</v>
      </c>
      <c r="M152" s="127" t="s">
        <v>230</v>
      </c>
      <c r="N152" s="127" t="s">
        <v>231</v>
      </c>
      <c r="O152" s="127" t="s">
        <v>185</v>
      </c>
      <c r="P152" s="127" t="s">
        <v>292</v>
      </c>
      <c r="Q152" s="85" t="str">
        <f t="shared" si="85"/>
        <v/>
      </c>
      <c r="R152" s="130"/>
      <c r="S152" s="128" t="s">
        <v>156</v>
      </c>
      <c r="T152" s="131"/>
      <c r="U152" s="132">
        <v>203</v>
      </c>
      <c r="V152" s="121">
        <v>218.2</v>
      </c>
      <c r="W152" s="116">
        <v>0.98</v>
      </c>
      <c r="X152" s="116">
        <v>1.66</v>
      </c>
      <c r="Y152" s="116">
        <f t="shared" si="86"/>
        <v>0.98891212371735637</v>
      </c>
      <c r="Z152" s="133">
        <v>1.454</v>
      </c>
      <c r="AA152" s="133">
        <v>0.83599999999999997</v>
      </c>
      <c r="AB152" s="133">
        <v>0.72</v>
      </c>
      <c r="AC152" s="121">
        <v>34.299999999999997</v>
      </c>
      <c r="AD152" s="134">
        <v>1.17</v>
      </c>
      <c r="AE152" s="124">
        <v>139.69999999999999</v>
      </c>
      <c r="AF152" s="128">
        <v>7.72</v>
      </c>
      <c r="AG152" s="128">
        <v>1985</v>
      </c>
      <c r="AH152" s="127">
        <v>2500</v>
      </c>
      <c r="AI152" s="127">
        <v>2500</v>
      </c>
      <c r="AJ152" s="135"/>
      <c r="AK152" s="128"/>
      <c r="AL152" s="131"/>
      <c r="AM152" s="124" t="s">
        <v>232</v>
      </c>
      <c r="AN152" s="136" t="s">
        <v>796</v>
      </c>
      <c r="AO152" s="137">
        <v>8.23</v>
      </c>
      <c r="AP152" s="128">
        <v>1985</v>
      </c>
      <c r="AQ152" s="128">
        <v>218.6</v>
      </c>
      <c r="AR152" s="128"/>
      <c r="AS152" s="128"/>
      <c r="AT152" s="122"/>
      <c r="AU152" s="124" t="s">
        <v>250</v>
      </c>
      <c r="AV152" s="115">
        <f>VLOOKUP(J152,'[63]ТР нефть'!$J$28:$BP$638,39,0)</f>
        <v>600</v>
      </c>
      <c r="AW152" s="115" t="str">
        <f>VLOOKUP(J152,'[63]ТР нефть'!$J$28:$BP$638,40,0)</f>
        <v>ГП</v>
      </c>
      <c r="AX152" s="115">
        <f>VLOOKUP(J152,'[63]ТР нефть'!$J$28:$BP$638,41,0)</f>
        <v>1199</v>
      </c>
      <c r="AY152" s="115" t="str">
        <f>VLOOKUP(J152,'[63]ТР нефть'!$J$28:$BP$638,42,0)</f>
        <v>ГП</v>
      </c>
      <c r="AZ152" s="115">
        <f>VLOOKUP(J152,'[63]ТР нефть'!$J$28:$BP$638,43,0)</f>
        <v>1765</v>
      </c>
      <c r="BA152" s="115" t="str">
        <f>VLOOKUP(J152,'[63]ТР нефть'!$J$28:$BP$638,44,0)</f>
        <v>ЦКсОК 5/16</v>
      </c>
      <c r="BB152" s="115" t="str">
        <f>VLOOKUP(J152,'[63]ТР нефть'!$J$28:$BP$638,45,0)</f>
        <v>-</v>
      </c>
      <c r="BC152" s="115" t="str">
        <f>VLOOKUP(J152,'[63]ТР нефть'!$J$28:$BP$638,46,0)</f>
        <v>-</v>
      </c>
      <c r="BD152" s="115" t="str">
        <f>VLOOKUP(J152,'[63]ТР нефть'!$J$28:$BP$638,47,0)</f>
        <v>-</v>
      </c>
      <c r="BE152" s="115" t="str">
        <f>VLOOKUP(J152,'[63]ТР нефть'!$J$28:$BP$638,48,0)</f>
        <v>-</v>
      </c>
      <c r="BF152" s="115" t="str">
        <f>VLOOKUP(J152,'[63]ТР нефть'!$J$28:$BP$638,49,0)</f>
        <v>-</v>
      </c>
      <c r="BG152" s="115" t="str">
        <f>VLOOKUP(J152,'[63]ТР нефть'!$J$28:$BP$638,50,0)</f>
        <v>-</v>
      </c>
      <c r="BH152" s="115" t="str">
        <f>VLOOKUP(J152,'[63]ТР нефть'!$J$28:$BP$638,51,0)</f>
        <v>-</v>
      </c>
      <c r="BI152" s="115" t="str">
        <f>VLOOKUP(J152,'[63]ТР нефть'!$J$28:$BP$638,52,0)</f>
        <v>-</v>
      </c>
      <c r="BJ152" s="115" t="str">
        <f>IF(IFERROR(VLOOKUP(J152,'[63]ТР нефть'!$J$28:$BP$638,53,0),"-")=0,"-",IFERROR(VLOOKUP(J152,'[63]ТР нефть'!$J$28:$BP$638,53,0),"-"))</f>
        <v>-</v>
      </c>
      <c r="BK152" s="138" t="str">
        <f>IF(IFERROR(VLOOKUP(J152,'[63]ТР нефть'!$J$28:$BP$638,54,0),"-")=0,"-",IFERROR(VLOOKUP(J152,'[63]ТР нефть'!$J$28:$BP$638,54,0),"-"))</f>
        <v>-</v>
      </c>
      <c r="BL152" s="138" t="str">
        <f>IF(IFERROR(VLOOKUP(J152,'[63]ТР нефть'!$J$28:$BP$638,55,0),"-")=0,"-",IFERROR(VLOOKUP(J152,'[63]ТР нефть'!$J$28:$BP$638,55,0),"-"))</f>
        <v>-</v>
      </c>
      <c r="BM152" s="138" t="str">
        <f>IF(IFERROR(VLOOKUP(J152,'[63]ТР нефть'!$J$28:$BP$638,56,0),"-")=0,"-",IFERROR(VLOOKUP(J152,'[63]ТР нефть'!$J$28:$BP$638,56,0),"-"))</f>
        <v>-</v>
      </c>
      <c r="BN152" s="138" t="str">
        <f>IF(IFERROR(VLOOKUP(J152,'[63]ТР нефть'!$J$28:$BP$638,57,0),"-")=0,"-",IFERROR(VLOOKUP(J152,'[63]ТР нефть'!$J$28:$BP$638,57,0),"-"))</f>
        <v>-</v>
      </c>
      <c r="BO152" s="115" t="str">
        <f>IF(IFERROR(VLOOKUP(J152,'[63]ТР нефть'!$J$28:$BP$638,58,0),"-")=0,"-",IFERROR(VLOOKUP(J152,'[63]ТР нефть'!$J$28:$BP$638,58,0),"-"))</f>
        <v>-</v>
      </c>
      <c r="BP152" s="115" t="str">
        <f>IF(IFERROR(VLOOKUP(J152,'[63]ТР нефть'!$J$28:$BP$638,59,0),"-")=0,"-",IFERROR(VLOOKUP(J152,'[63]ТР нефть'!$J$28:$BP$638,59,0),"-"))</f>
        <v>-</v>
      </c>
      <c r="BQ152" s="138">
        <v>2452</v>
      </c>
      <c r="BR152" s="128">
        <v>1876.33</v>
      </c>
      <c r="BS152" s="115">
        <f t="shared" si="60"/>
        <v>575.67000000000007</v>
      </c>
      <c r="BT152" s="128">
        <v>73</v>
      </c>
      <c r="BU152" s="128">
        <v>5.5</v>
      </c>
      <c r="BV152" s="127">
        <v>65</v>
      </c>
      <c r="BW152" s="127" t="s">
        <v>217</v>
      </c>
      <c r="BX152" s="127" t="s">
        <v>195</v>
      </c>
      <c r="BY152" s="139">
        <v>24</v>
      </c>
      <c r="BZ152" s="139">
        <v>0</v>
      </c>
      <c r="CA152" s="138">
        <v>43</v>
      </c>
      <c r="CB152" s="138">
        <v>43</v>
      </c>
      <c r="CC152" s="138">
        <v>42</v>
      </c>
      <c r="CD152" s="135">
        <v>45017</v>
      </c>
      <c r="CE152" s="138">
        <v>125.4</v>
      </c>
      <c r="CF152" s="138"/>
      <c r="CG152" s="138" t="str">
        <f t="shared" ref="CG152:CG161" si="102">IF(CH152&lt;&gt;"","В работе","")</f>
        <v/>
      </c>
      <c r="CH152" s="138" t="s">
        <v>197</v>
      </c>
      <c r="CI152" s="127"/>
      <c r="CJ152" s="138"/>
      <c r="CK152" s="138"/>
      <c r="CL152" s="99"/>
      <c r="CM152" s="138"/>
      <c r="CN152" s="154">
        <v>104</v>
      </c>
      <c r="CO152" s="159">
        <f t="shared" si="61"/>
        <v>5.7232560000000001</v>
      </c>
      <c r="CP152" s="160">
        <v>7</v>
      </c>
      <c r="CQ152" s="161">
        <v>2.2000000000000002</v>
      </c>
      <c r="CR152" s="138">
        <v>130</v>
      </c>
      <c r="CS152" s="139"/>
      <c r="CT152" s="138"/>
      <c r="CU152" s="138">
        <f t="shared" si="62"/>
        <v>130</v>
      </c>
      <c r="CV152" s="115">
        <f t="shared" si="63"/>
        <v>22714.34302432042</v>
      </c>
      <c r="CW152" s="115" t="str">
        <f t="shared" si="64"/>
        <v/>
      </c>
      <c r="CX152" s="133">
        <f t="shared" si="65"/>
        <v>0.32710280373831768</v>
      </c>
      <c r="CY152" s="116"/>
      <c r="CZ152" s="131"/>
      <c r="DA152" s="145" t="str">
        <f t="shared" si="66"/>
        <v>Фон.</v>
      </c>
      <c r="DB152" s="146">
        <f t="shared" si="67"/>
        <v>5.7232560000000001</v>
      </c>
      <c r="DC152" s="142">
        <f t="shared" si="68"/>
        <v>7</v>
      </c>
      <c r="DD152" s="119">
        <f t="shared" si="69"/>
        <v>2.2000000000000002</v>
      </c>
      <c r="DE152" s="115">
        <f t="shared" si="70"/>
        <v>130</v>
      </c>
      <c r="DF152" s="121">
        <f t="shared" si="71"/>
        <v>0</v>
      </c>
      <c r="DG152" s="115">
        <f t="shared" si="72"/>
        <v>22714.34302432042</v>
      </c>
      <c r="DH152" s="115">
        <f t="shared" si="73"/>
        <v>104</v>
      </c>
      <c r="DI152" s="147"/>
      <c r="DJ152" s="111" t="s">
        <v>197</v>
      </c>
      <c r="DK152" s="112">
        <v>38344</v>
      </c>
      <c r="DL152" s="113">
        <f t="shared" ca="1" si="87"/>
        <v>6760</v>
      </c>
      <c r="DM152" s="114"/>
      <c r="DN152" s="114"/>
      <c r="DO152" s="114"/>
      <c r="DP152" s="114"/>
      <c r="DQ152" s="112">
        <v>38344</v>
      </c>
      <c r="DR152" s="114" t="s">
        <v>324</v>
      </c>
      <c r="DS152" s="114"/>
      <c r="DT152" s="115">
        <v>69</v>
      </c>
      <c r="DU152" s="116">
        <f t="shared" si="88"/>
        <v>0.28319638712914746</v>
      </c>
      <c r="DV152" s="117">
        <f t="shared" si="89"/>
        <v>13.059060827196884</v>
      </c>
      <c r="DW152" s="118">
        <f t="shared" si="90"/>
        <v>15.972276234083918</v>
      </c>
      <c r="DX152" s="119">
        <f t="shared" si="74"/>
        <v>2.2000000000000002</v>
      </c>
      <c r="DY152" s="115">
        <f t="shared" si="91"/>
        <v>296.6279872044156</v>
      </c>
      <c r="DZ152" s="117">
        <f t="shared" si="92"/>
        <v>7.3358048271968839</v>
      </c>
      <c r="EA152" s="120">
        <f t="shared" si="92"/>
        <v>8.9722762340839175</v>
      </c>
      <c r="EB152" s="119">
        <f t="shared" si="92"/>
        <v>0</v>
      </c>
      <c r="EC152" s="121">
        <f t="shared" si="93"/>
        <v>166.6279872044156</v>
      </c>
      <c r="ED152" s="122"/>
      <c r="EE152" s="145">
        <v>65</v>
      </c>
      <c r="EF152" s="115">
        <v>43</v>
      </c>
      <c r="EG152" s="115">
        <v>43</v>
      </c>
      <c r="EH152" s="115">
        <v>42</v>
      </c>
      <c r="EI152" s="128" t="s">
        <v>195</v>
      </c>
      <c r="EJ152" s="121">
        <v>24</v>
      </c>
      <c r="EK152" s="121">
        <v>0</v>
      </c>
      <c r="EL152" s="162">
        <v>5.7232560000000001</v>
      </c>
      <c r="EM152" s="142">
        <v>7</v>
      </c>
      <c r="EN152" s="119">
        <v>2.2000000000000002</v>
      </c>
      <c r="EO152" s="115">
        <v>130</v>
      </c>
      <c r="EP152" s="115">
        <v>22714.34302432042</v>
      </c>
      <c r="EQ152" s="115">
        <v>0</v>
      </c>
      <c r="ER152" s="115">
        <v>0</v>
      </c>
      <c r="ES152" s="115">
        <v>104</v>
      </c>
      <c r="ET152" s="150">
        <v>0.32710280373831768</v>
      </c>
      <c r="EU152" s="145">
        <f t="shared" si="75"/>
        <v>65</v>
      </c>
      <c r="EV152" s="115">
        <f t="shared" si="76"/>
        <v>43</v>
      </c>
      <c r="EW152" s="115">
        <f t="shared" si="76"/>
        <v>43</v>
      </c>
      <c r="EX152" s="115">
        <f t="shared" si="76"/>
        <v>42</v>
      </c>
      <c r="EY152" s="115" t="str">
        <f t="shared" si="98"/>
        <v>Постоянный</v>
      </c>
      <c r="EZ152" s="115">
        <f t="shared" si="98"/>
        <v>24</v>
      </c>
      <c r="FA152" s="115">
        <f t="shared" si="98"/>
        <v>0</v>
      </c>
      <c r="FB152" s="149">
        <f t="shared" si="78"/>
        <v>5.7232560000000001</v>
      </c>
      <c r="FC152" s="142">
        <f t="shared" si="78"/>
        <v>7</v>
      </c>
      <c r="FD152" s="119">
        <f t="shared" si="78"/>
        <v>2.2000000000000002</v>
      </c>
      <c r="FE152" s="121">
        <f t="shared" si="78"/>
        <v>130</v>
      </c>
      <c r="FF152" s="121">
        <f t="shared" si="94"/>
        <v>22714.34302432042</v>
      </c>
      <c r="FG152" s="121">
        <f t="shared" si="79"/>
        <v>0</v>
      </c>
      <c r="FH152" s="121">
        <f t="shared" si="95"/>
        <v>0</v>
      </c>
      <c r="FI152" s="121">
        <f t="shared" si="97"/>
        <v>104</v>
      </c>
      <c r="FJ152" s="144">
        <f t="shared" si="80"/>
        <v>0.32710280373831768</v>
      </c>
      <c r="FK152" s="132">
        <f t="shared" si="81"/>
        <v>0</v>
      </c>
      <c r="FL152" s="115">
        <f t="shared" si="81"/>
        <v>0</v>
      </c>
      <c r="FM152" s="115">
        <f t="shared" si="81"/>
        <v>0</v>
      </c>
      <c r="FN152" s="115">
        <f t="shared" si="58"/>
        <v>0</v>
      </c>
      <c r="FO152" s="115">
        <f t="shared" si="100"/>
        <v>0</v>
      </c>
      <c r="FP152" s="115">
        <f t="shared" si="100"/>
        <v>0</v>
      </c>
      <c r="FQ152" s="149">
        <f t="shared" si="100"/>
        <v>0</v>
      </c>
      <c r="FR152" s="142">
        <f t="shared" si="100"/>
        <v>0</v>
      </c>
      <c r="FS152" s="119">
        <f t="shared" si="100"/>
        <v>0</v>
      </c>
      <c r="FT152" s="121">
        <f t="shared" si="100"/>
        <v>0</v>
      </c>
      <c r="FU152" s="121">
        <f t="shared" si="82"/>
        <v>0</v>
      </c>
      <c r="FV152" s="121">
        <f t="shared" si="82"/>
        <v>0</v>
      </c>
      <c r="FW152" s="121">
        <f t="shared" si="83"/>
        <v>0</v>
      </c>
      <c r="FX152" s="121">
        <f t="shared" si="84"/>
        <v>0</v>
      </c>
      <c r="FY152" s="144">
        <f t="shared" si="84"/>
        <v>0</v>
      </c>
      <c r="FZ152" s="145"/>
      <c r="GA152" s="151" t="s">
        <v>427</v>
      </c>
      <c r="GB152" s="145"/>
      <c r="GC152" s="151" t="s">
        <v>797</v>
      </c>
      <c r="GD152" s="997" t="s">
        <v>416</v>
      </c>
      <c r="GE152" s="1004"/>
      <c r="GF152" s="1004">
        <v>0</v>
      </c>
      <c r="GG152" s="1004"/>
      <c r="GH152" s="1004">
        <v>0</v>
      </c>
      <c r="GI152" s="145"/>
      <c r="GJ152" s="996">
        <v>0</v>
      </c>
      <c r="GK152" s="145"/>
      <c r="GL152" s="996">
        <v>0</v>
      </c>
      <c r="GM152" s="1005"/>
      <c r="GN152" s="996">
        <v>0</v>
      </c>
      <c r="GO152" s="1006"/>
      <c r="GP152" s="996">
        <v>0</v>
      </c>
      <c r="GQ152" s="1006"/>
      <c r="GR152" s="996">
        <v>0</v>
      </c>
      <c r="GS152" s="1006"/>
      <c r="GT152" s="996">
        <v>0</v>
      </c>
      <c r="GU152" s="1006"/>
      <c r="GV152" s="996">
        <v>0</v>
      </c>
      <c r="GW152" s="1006" t="s">
        <v>204</v>
      </c>
      <c r="GX152" s="996">
        <v>-10.871397044200002</v>
      </c>
      <c r="GY152" s="1006"/>
      <c r="GZ152" s="996">
        <v>0</v>
      </c>
      <c r="HA152" s="1006"/>
      <c r="HB152" s="996">
        <v>0</v>
      </c>
      <c r="HC152" s="1006"/>
      <c r="HD152" s="996">
        <v>0</v>
      </c>
      <c r="HE152" s="1006"/>
      <c r="HF152" s="996">
        <v>0</v>
      </c>
      <c r="HG152" s="1006" t="s">
        <v>204</v>
      </c>
      <c r="HH152" s="996">
        <v>-4.0508267557999993</v>
      </c>
      <c r="HI152" s="1006"/>
      <c r="HJ152" s="996">
        <v>0</v>
      </c>
      <c r="HK152" s="1006"/>
      <c r="HL152" s="996">
        <v>0</v>
      </c>
      <c r="HM152" s="1006"/>
      <c r="HN152" s="996">
        <v>0</v>
      </c>
      <c r="HO152" s="1006"/>
      <c r="HP152" s="996">
        <v>0</v>
      </c>
      <c r="HQ152" s="1006"/>
      <c r="HR152" s="996">
        <v>0</v>
      </c>
      <c r="HS152" s="1006"/>
      <c r="HT152" s="996">
        <v>0</v>
      </c>
      <c r="HU152" s="1006"/>
      <c r="HV152" s="996">
        <v>0</v>
      </c>
      <c r="HW152" s="1006"/>
      <c r="HX152" s="996">
        <v>0</v>
      </c>
      <c r="HY152" s="1006" t="s">
        <v>204</v>
      </c>
      <c r="HZ152" s="996">
        <v>-2.3403401999999964</v>
      </c>
      <c r="IA152" s="1006"/>
      <c r="IB152" s="996">
        <v>0</v>
      </c>
      <c r="IC152" s="1006" t="s">
        <v>204</v>
      </c>
      <c r="ID152" s="996">
        <v>-1.4164737576000022</v>
      </c>
      <c r="IE152" s="1006" t="s">
        <v>204</v>
      </c>
      <c r="IF152" s="996">
        <v>6.0102937575999995</v>
      </c>
      <c r="IG152" s="1006"/>
      <c r="IH152" s="996">
        <v>0</v>
      </c>
      <c r="II152" s="1006"/>
      <c r="IJ152" s="996">
        <v>0</v>
      </c>
      <c r="IK152" s="1006"/>
      <c r="IL152" s="996">
        <v>0</v>
      </c>
      <c r="IM152" s="1006"/>
      <c r="IN152" s="996">
        <v>0</v>
      </c>
      <c r="IO152" s="1006"/>
      <c r="IP152" s="996">
        <v>0</v>
      </c>
      <c r="IQ152" s="1006"/>
      <c r="IR152" s="996">
        <v>0</v>
      </c>
      <c r="IS152" s="1006"/>
      <c r="IT152" s="996">
        <v>0</v>
      </c>
      <c r="IU152" s="1006"/>
      <c r="IV152" s="996">
        <v>0</v>
      </c>
      <c r="IW152" s="1006"/>
      <c r="IX152" s="996">
        <v>0</v>
      </c>
      <c r="IY152" s="1006"/>
      <c r="IZ152" s="996">
        <v>0</v>
      </c>
      <c r="JA152" s="1006"/>
      <c r="JB152" s="996">
        <v>0</v>
      </c>
      <c r="JC152" s="1006"/>
      <c r="JD152" s="996">
        <v>0</v>
      </c>
      <c r="JE152" s="1006"/>
      <c r="JF152" s="996">
        <v>0</v>
      </c>
      <c r="JG152" s="1006"/>
      <c r="JH152" s="996">
        <v>0</v>
      </c>
      <c r="JI152" s="1006"/>
      <c r="JJ152" s="996">
        <v>0</v>
      </c>
      <c r="JK152" s="1007"/>
      <c r="JL152" s="1007">
        <v>0</v>
      </c>
      <c r="JM152" s="1007"/>
      <c r="JN152" s="1007">
        <v>0</v>
      </c>
      <c r="JO152" s="1008"/>
      <c r="JP152" s="1007">
        <v>0</v>
      </c>
      <c r="JQ152" s="1008">
        <v>0</v>
      </c>
      <c r="JR152" s="1007">
        <v>0</v>
      </c>
      <c r="JS152" s="1008">
        <v>0</v>
      </c>
      <c r="JT152" s="1007">
        <v>0</v>
      </c>
      <c r="JU152" s="1008"/>
      <c r="JV152" s="1007">
        <v>0</v>
      </c>
      <c r="JW152" s="1008" t="s">
        <v>197</v>
      </c>
      <c r="JX152" s="1007">
        <v>0</v>
      </c>
      <c r="JY152" s="1008"/>
      <c r="JZ152" s="1007">
        <v>0</v>
      </c>
      <c r="KA152" s="1008"/>
      <c r="KB152" s="1007">
        <v>0</v>
      </c>
      <c r="KC152" s="1008"/>
      <c r="KD152" s="1007">
        <v>0</v>
      </c>
      <c r="KE152" s="1008"/>
      <c r="KF152" s="1007">
        <v>0</v>
      </c>
      <c r="KG152" s="1008"/>
      <c r="KH152" s="1007">
        <v>0</v>
      </c>
      <c r="KI152" s="1008"/>
      <c r="KJ152" s="1007">
        <v>0</v>
      </c>
      <c r="KK152" s="1008"/>
      <c r="KL152" s="1007">
        <v>0</v>
      </c>
      <c r="KM152" s="1008"/>
      <c r="KN152" s="1007">
        <v>0</v>
      </c>
      <c r="KO152" s="1008"/>
      <c r="KP152" s="1007">
        <v>0</v>
      </c>
      <c r="KQ152" s="1008">
        <v>0</v>
      </c>
      <c r="KR152" s="1007">
        <v>0</v>
      </c>
      <c r="KS152" s="1008">
        <v>0</v>
      </c>
      <c r="KT152" s="1007">
        <v>0</v>
      </c>
      <c r="KU152" s="1008">
        <v>0</v>
      </c>
      <c r="KV152" s="1007">
        <v>0</v>
      </c>
      <c r="KW152" s="1008">
        <v>0</v>
      </c>
      <c r="KX152" s="1007">
        <v>0</v>
      </c>
      <c r="KY152" s="1008">
        <v>0</v>
      </c>
      <c r="KZ152" s="1007">
        <v>0</v>
      </c>
      <c r="LA152" s="1008">
        <v>0</v>
      </c>
      <c r="LB152" s="1007">
        <v>0</v>
      </c>
      <c r="LC152" s="1008">
        <v>0</v>
      </c>
      <c r="LD152" s="1007">
        <v>0</v>
      </c>
      <c r="LE152" s="1008">
        <v>0</v>
      </c>
      <c r="LF152" s="1007">
        <v>0</v>
      </c>
      <c r="LG152" s="1008">
        <v>0</v>
      </c>
      <c r="LH152" s="1007">
        <v>0</v>
      </c>
      <c r="LI152" s="1008">
        <v>0</v>
      </c>
      <c r="LJ152" s="1007">
        <v>0</v>
      </c>
      <c r="LK152" s="1008">
        <v>0</v>
      </c>
      <c r="LL152" s="1007">
        <v>0</v>
      </c>
      <c r="LM152" s="1008">
        <v>0</v>
      </c>
      <c r="LN152" s="1007">
        <v>0</v>
      </c>
      <c r="LO152" s="1008">
        <v>0</v>
      </c>
      <c r="LP152" s="1007">
        <v>0</v>
      </c>
      <c r="LQ152" s="1008">
        <v>0</v>
      </c>
      <c r="LR152" s="1007">
        <v>0</v>
      </c>
      <c r="LS152" s="1008">
        <v>0</v>
      </c>
      <c r="LT152" s="1007">
        <v>0</v>
      </c>
      <c r="LU152" s="1008">
        <v>0</v>
      </c>
      <c r="LV152" s="1007">
        <v>0</v>
      </c>
      <c r="LW152" s="1008">
        <v>0</v>
      </c>
      <c r="LX152" s="1007">
        <v>0</v>
      </c>
      <c r="LY152" s="1009">
        <v>0</v>
      </c>
      <c r="LZ152" s="1010">
        <v>0</v>
      </c>
      <c r="MA152" s="1011">
        <v>0</v>
      </c>
      <c r="MB152" s="1012">
        <v>0</v>
      </c>
      <c r="MC152" s="995"/>
      <c r="MD152" s="996"/>
      <c r="ME152" s="997" t="s">
        <v>416</v>
      </c>
      <c r="MF152" s="997"/>
      <c r="MG152" s="998"/>
      <c r="NR152" s="1000"/>
      <c r="NS152" s="1000"/>
      <c r="NT152" s="1001"/>
      <c r="NU152" s="1000"/>
      <c r="NV152" s="1001"/>
      <c r="NX152" s="1002"/>
      <c r="NZ152" s="1001"/>
      <c r="OA152" s="1001"/>
      <c r="OC152" s="1003"/>
      <c r="OD152" s="1003"/>
      <c r="OE152" s="1001"/>
      <c r="OF152" s="1003"/>
      <c r="OG152" s="1003"/>
      <c r="QX152" s="1000">
        <f t="shared" si="96"/>
        <v>61</v>
      </c>
      <c r="ASU152" s="999" t="s">
        <v>208</v>
      </c>
    </row>
    <row r="153" spans="1:466 1191:1191" ht="21" customHeight="1" x14ac:dyDescent="0.25">
      <c r="A153" s="982" t="str">
        <f t="shared" si="59"/>
        <v>1057-2</v>
      </c>
      <c r="B153" s="124">
        <f>SUBTOTAL(103,$J$29:J153)</f>
        <v>125</v>
      </c>
      <c r="C153" s="126">
        <v>45068</v>
      </c>
      <c r="D153" s="124" t="s">
        <v>176</v>
      </c>
      <c r="E153" s="127" t="s">
        <v>177</v>
      </c>
      <c r="F153" s="128" t="s">
        <v>177</v>
      </c>
      <c r="G153" s="127" t="s">
        <v>178</v>
      </c>
      <c r="H153" s="127" t="s">
        <v>421</v>
      </c>
      <c r="I153" s="127" t="s">
        <v>684</v>
      </c>
      <c r="J153" s="190" t="s">
        <v>798</v>
      </c>
      <c r="K153" s="127" t="s">
        <v>791</v>
      </c>
      <c r="L153" s="130">
        <v>38492</v>
      </c>
      <c r="M153" s="127" t="s">
        <v>230</v>
      </c>
      <c r="N153" s="127" t="s">
        <v>231</v>
      </c>
      <c r="O153" s="127" t="s">
        <v>185</v>
      </c>
      <c r="P153" s="127" t="s">
        <v>292</v>
      </c>
      <c r="Q153" s="85" t="str">
        <f t="shared" si="85"/>
        <v/>
      </c>
      <c r="R153" s="130"/>
      <c r="S153" s="128"/>
      <c r="T153" s="131"/>
      <c r="U153" s="132">
        <v>203</v>
      </c>
      <c r="V153" s="121">
        <v>218.2</v>
      </c>
      <c r="W153" s="116">
        <v>0.98</v>
      </c>
      <c r="X153" s="116">
        <v>1.66</v>
      </c>
      <c r="Y153" s="116">
        <f t="shared" si="86"/>
        <v>0.98080354989630048</v>
      </c>
      <c r="Z153" s="133">
        <v>1.454</v>
      </c>
      <c r="AA153" s="133">
        <v>0.83599999999999997</v>
      </c>
      <c r="AB153" s="133">
        <v>0.72</v>
      </c>
      <c r="AC153" s="121">
        <v>34.299999999999997</v>
      </c>
      <c r="AD153" s="134">
        <v>1.17</v>
      </c>
      <c r="AE153" s="124">
        <v>139.69999999999999</v>
      </c>
      <c r="AF153" s="128">
        <v>7.72</v>
      </c>
      <c r="AG153" s="128">
        <v>1957</v>
      </c>
      <c r="AH153" s="127">
        <v>2749</v>
      </c>
      <c r="AI153" s="127">
        <v>1940</v>
      </c>
      <c r="AJ153" s="135"/>
      <c r="AK153" s="128"/>
      <c r="AL153" s="131"/>
      <c r="AM153" s="124" t="s">
        <v>187</v>
      </c>
      <c r="AN153" s="136" t="s">
        <v>799</v>
      </c>
      <c r="AO153" s="137">
        <v>73.98</v>
      </c>
      <c r="AP153" s="128">
        <v>1786</v>
      </c>
      <c r="AQ153" s="128">
        <v>6.2</v>
      </c>
      <c r="AR153" s="128"/>
      <c r="AS153" s="128"/>
      <c r="AT153" s="122"/>
      <c r="AU153" s="124" t="s">
        <v>250</v>
      </c>
      <c r="AV153" s="115">
        <f>VLOOKUP(J153,'[63]ТР нефть'!$J$28:$BP$638,39,0)</f>
        <v>1692</v>
      </c>
      <c r="AW153" s="115" t="str">
        <f>VLOOKUP(J153,'[63]ТР нефть'!$J$28:$BP$638,40,0)</f>
        <v>ЦКсОК 5/16</v>
      </c>
      <c r="AX153" s="115" t="str">
        <f>VLOOKUP(J153,'[63]ТР нефть'!$J$28:$BP$638,41,0)</f>
        <v>-</v>
      </c>
      <c r="AY153" s="115" t="str">
        <f>VLOOKUP(J153,'[63]ТР нефть'!$J$28:$BP$638,42,0)</f>
        <v>-</v>
      </c>
      <c r="AZ153" s="115" t="str">
        <f>VLOOKUP(J153,'[63]ТР нефть'!$J$28:$BP$638,43,0)</f>
        <v>-</v>
      </c>
      <c r="BA153" s="115" t="str">
        <f>VLOOKUP(J153,'[63]ТР нефть'!$J$28:$BP$638,44,0)</f>
        <v>-</v>
      </c>
      <c r="BB153" s="115" t="str">
        <f>VLOOKUP(J153,'[63]ТР нефть'!$J$28:$BP$638,45,0)</f>
        <v>-</v>
      </c>
      <c r="BC153" s="115" t="str">
        <f>VLOOKUP(J153,'[63]ТР нефть'!$J$28:$BP$638,46,0)</f>
        <v>-</v>
      </c>
      <c r="BD153" s="115" t="str">
        <f>VLOOKUP(J153,'[63]ТР нефть'!$J$28:$BP$638,47,0)</f>
        <v>-</v>
      </c>
      <c r="BE153" s="115" t="str">
        <f>VLOOKUP(J153,'[63]ТР нефть'!$J$28:$BP$638,48,0)</f>
        <v>-</v>
      </c>
      <c r="BF153" s="115" t="str">
        <f>VLOOKUP(J153,'[63]ТР нефть'!$J$28:$BP$638,49,0)</f>
        <v>-</v>
      </c>
      <c r="BG153" s="115" t="str">
        <f>VLOOKUP(J153,'[63]ТР нефть'!$J$28:$BP$638,50,0)</f>
        <v>-</v>
      </c>
      <c r="BH153" s="115">
        <f>VLOOKUP(J153,'[63]ТР нефть'!$J$28:$BP$638,51,0)</f>
        <v>1702</v>
      </c>
      <c r="BI153" s="115" t="str">
        <f>VLOOKUP(J153,'[63]ТР нефть'!$J$28:$BP$638,52,0)</f>
        <v>закрыт</v>
      </c>
      <c r="BJ153" s="115" t="str">
        <f>IF(IFERROR(VLOOKUP(J153,'[63]ТР нефть'!$J$28:$BP$638,53,0),"-")=0,"-",IFERROR(VLOOKUP(J153,'[63]ТР нефть'!$J$28:$BP$638,53,0),"-"))</f>
        <v>-</v>
      </c>
      <c r="BK153" s="138" t="str">
        <f>IF(IFERROR(VLOOKUP(J153,'[63]ТР нефть'!$J$28:$BP$638,54,0),"-")=0,"-",IFERROR(VLOOKUP(J153,'[63]ТР нефть'!$J$28:$BP$638,54,0),"-"))</f>
        <v>-</v>
      </c>
      <c r="BL153" s="138" t="str">
        <f>IF(IFERROR(VLOOKUP(J153,'[63]ТР нефть'!$J$28:$BP$638,55,0),"-")=0,"-",IFERROR(VLOOKUP(J153,'[63]ТР нефть'!$J$28:$BP$638,55,0),"-"))</f>
        <v>-</v>
      </c>
      <c r="BM153" s="138" t="str">
        <f>IF(IFERROR(VLOOKUP(J153,'[63]ТР нефть'!$J$28:$BP$638,56,0),"-")=0,"-",IFERROR(VLOOKUP(J153,'[63]ТР нефть'!$J$28:$BP$638,56,0),"-"))</f>
        <v>-</v>
      </c>
      <c r="BN153" s="138" t="str">
        <f>IF(IFERROR(VLOOKUP(J153,'[63]ТР нефть'!$J$28:$BP$638,57,0),"-")=0,"-",IFERROR(VLOOKUP(J153,'[63]ТР нефть'!$J$28:$BP$638,57,0),"-"))</f>
        <v>-</v>
      </c>
      <c r="BO153" s="115" t="str">
        <f>IF(IFERROR(VLOOKUP(J153,'[63]ТР нефть'!$J$28:$BP$638,58,0),"-")=0,"-",IFERROR(VLOOKUP(J153,'[63]ТР нефть'!$J$28:$BP$638,58,0),"-"))</f>
        <v>-</v>
      </c>
      <c r="BP153" s="115" t="str">
        <f>IF(IFERROR(VLOOKUP(J153,'[63]ТР нефть'!$J$28:$BP$638,59,0),"-")=0,"-",IFERROR(VLOOKUP(J153,'[63]ТР нефть'!$J$28:$BP$638,59,0),"-"))</f>
        <v>-</v>
      </c>
      <c r="BQ153" s="138">
        <v>1735</v>
      </c>
      <c r="BR153" s="128">
        <v>1732.61</v>
      </c>
      <c r="BS153" s="115">
        <f t="shared" si="60"/>
        <v>2.3900000000001</v>
      </c>
      <c r="BT153" s="128">
        <v>73</v>
      </c>
      <c r="BU153" s="128">
        <v>5.5</v>
      </c>
      <c r="BV153" s="127">
        <v>50</v>
      </c>
      <c r="BW153" s="127" t="s">
        <v>217</v>
      </c>
      <c r="BX153" s="127" t="s">
        <v>195</v>
      </c>
      <c r="BY153" s="139">
        <v>24</v>
      </c>
      <c r="BZ153" s="139">
        <v>0</v>
      </c>
      <c r="CA153" s="138">
        <v>50</v>
      </c>
      <c r="CB153" s="138">
        <v>82</v>
      </c>
      <c r="CC153" s="138">
        <v>48</v>
      </c>
      <c r="CD153" s="135">
        <v>45017</v>
      </c>
      <c r="CE153" s="138">
        <v>119.3</v>
      </c>
      <c r="CF153" s="138"/>
      <c r="CG153" s="138" t="str">
        <f t="shared" si="102"/>
        <v/>
      </c>
      <c r="CH153" s="138" t="s">
        <v>197</v>
      </c>
      <c r="CI153" s="127"/>
      <c r="CJ153" s="138"/>
      <c r="CK153" s="138"/>
      <c r="CL153" s="99"/>
      <c r="CM153" s="138"/>
      <c r="CN153" s="154">
        <v>75</v>
      </c>
      <c r="CO153" s="159">
        <f t="shared" si="61"/>
        <v>9.2193243999999996</v>
      </c>
      <c r="CP153" s="160">
        <v>11.05</v>
      </c>
      <c r="CQ153" s="161">
        <v>0.2</v>
      </c>
      <c r="CR153" s="138">
        <v>105</v>
      </c>
      <c r="CS153" s="139"/>
      <c r="CT153" s="138"/>
      <c r="CU153" s="138">
        <f t="shared" si="62"/>
        <v>105</v>
      </c>
      <c r="CV153" s="115">
        <f t="shared" si="63"/>
        <v>11389.120877447376</v>
      </c>
      <c r="CW153" s="115" t="str">
        <f t="shared" si="64"/>
        <v/>
      </c>
      <c r="CX153" s="133">
        <f t="shared" si="65"/>
        <v>0.24943566591422126</v>
      </c>
      <c r="CY153" s="116"/>
      <c r="CZ153" s="131"/>
      <c r="DA153" s="145" t="str">
        <f t="shared" si="66"/>
        <v>Фон.</v>
      </c>
      <c r="DB153" s="146">
        <f t="shared" si="67"/>
        <v>9.2193243999999996</v>
      </c>
      <c r="DC153" s="142">
        <f t="shared" si="68"/>
        <v>11.05</v>
      </c>
      <c r="DD153" s="119">
        <f t="shared" si="69"/>
        <v>0.2</v>
      </c>
      <c r="DE153" s="115">
        <f t="shared" si="70"/>
        <v>105</v>
      </c>
      <c r="DF153" s="121">
        <f t="shared" si="71"/>
        <v>0</v>
      </c>
      <c r="DG153" s="115">
        <f t="shared" si="72"/>
        <v>11389.120877447376</v>
      </c>
      <c r="DH153" s="115">
        <f t="shared" si="73"/>
        <v>75</v>
      </c>
      <c r="DI153" s="147"/>
      <c r="DJ153" s="111" t="s">
        <v>197</v>
      </c>
      <c r="DK153" s="112">
        <v>41769</v>
      </c>
      <c r="DL153" s="113">
        <f t="shared" ca="1" si="87"/>
        <v>3335</v>
      </c>
      <c r="DM153" s="114"/>
      <c r="DN153" s="114"/>
      <c r="DO153" s="114"/>
      <c r="DP153" s="114"/>
      <c r="DQ153" s="112">
        <v>42870</v>
      </c>
      <c r="DR153" s="114" t="s">
        <v>800</v>
      </c>
      <c r="DS153" s="114"/>
      <c r="DT153" s="115">
        <v>69</v>
      </c>
      <c r="DU153" s="116">
        <f t="shared" si="88"/>
        <v>0.24275807976593203</v>
      </c>
      <c r="DV153" s="117">
        <f t="shared" si="89"/>
        <v>10.187755117700011</v>
      </c>
      <c r="DW153" s="118">
        <f t="shared" si="90"/>
        <v>12.21073141222638</v>
      </c>
      <c r="DX153" s="119">
        <f t="shared" si="74"/>
        <v>0.2</v>
      </c>
      <c r="DY153" s="115">
        <f t="shared" si="91"/>
        <v>116.02957450531854</v>
      </c>
      <c r="DZ153" s="117">
        <f t="shared" si="92"/>
        <v>0.9684307177000111</v>
      </c>
      <c r="EA153" s="120">
        <f t="shared" si="92"/>
        <v>1.1607314122263794</v>
      </c>
      <c r="EB153" s="119">
        <f t="shared" si="92"/>
        <v>0</v>
      </c>
      <c r="EC153" s="121">
        <f t="shared" si="93"/>
        <v>11.029574505318536</v>
      </c>
      <c r="ED153" s="122"/>
      <c r="EE153" s="145">
        <v>50</v>
      </c>
      <c r="EF153" s="115">
        <v>50</v>
      </c>
      <c r="EG153" s="115">
        <v>82</v>
      </c>
      <c r="EH153" s="115">
        <v>48</v>
      </c>
      <c r="EI153" s="128" t="s">
        <v>195</v>
      </c>
      <c r="EJ153" s="121">
        <v>24</v>
      </c>
      <c r="EK153" s="121">
        <v>0</v>
      </c>
      <c r="EL153" s="162">
        <v>9.2193243999999996</v>
      </c>
      <c r="EM153" s="142">
        <v>11.05</v>
      </c>
      <c r="EN153" s="119">
        <v>0.2</v>
      </c>
      <c r="EO153" s="115">
        <v>105</v>
      </c>
      <c r="EP153" s="115">
        <v>11389.120877447376</v>
      </c>
      <c r="EQ153" s="115">
        <v>0</v>
      </c>
      <c r="ER153" s="115">
        <v>0</v>
      </c>
      <c r="ES153" s="115">
        <v>75</v>
      </c>
      <c r="ET153" s="150">
        <v>0.24943566591422126</v>
      </c>
      <c r="EU153" s="145">
        <f t="shared" si="75"/>
        <v>50</v>
      </c>
      <c r="EV153" s="115">
        <f t="shared" si="76"/>
        <v>50</v>
      </c>
      <c r="EW153" s="115">
        <f t="shared" si="76"/>
        <v>82</v>
      </c>
      <c r="EX153" s="115">
        <f t="shared" si="76"/>
        <v>48</v>
      </c>
      <c r="EY153" s="115" t="str">
        <f t="shared" si="98"/>
        <v>Постоянный</v>
      </c>
      <c r="EZ153" s="115">
        <f t="shared" si="98"/>
        <v>24</v>
      </c>
      <c r="FA153" s="115">
        <f t="shared" si="98"/>
        <v>0</v>
      </c>
      <c r="FB153" s="149">
        <f t="shared" si="78"/>
        <v>9.2193243999999996</v>
      </c>
      <c r="FC153" s="142">
        <f t="shared" si="78"/>
        <v>11.05</v>
      </c>
      <c r="FD153" s="119">
        <f t="shared" si="78"/>
        <v>0.2</v>
      </c>
      <c r="FE153" s="121">
        <f t="shared" si="78"/>
        <v>105</v>
      </c>
      <c r="FF153" s="121">
        <f t="shared" si="94"/>
        <v>11389.120877447376</v>
      </c>
      <c r="FG153" s="121">
        <f t="shared" si="79"/>
        <v>0</v>
      </c>
      <c r="FH153" s="121">
        <f t="shared" si="95"/>
        <v>0</v>
      </c>
      <c r="FI153" s="121">
        <f t="shared" si="97"/>
        <v>75</v>
      </c>
      <c r="FJ153" s="144">
        <f t="shared" si="80"/>
        <v>0.24943566591422126</v>
      </c>
      <c r="FK153" s="132">
        <f t="shared" si="81"/>
        <v>0</v>
      </c>
      <c r="FL153" s="115">
        <f t="shared" si="81"/>
        <v>0</v>
      </c>
      <c r="FM153" s="115">
        <f t="shared" si="81"/>
        <v>0</v>
      </c>
      <c r="FN153" s="115">
        <f t="shared" si="58"/>
        <v>0</v>
      </c>
      <c r="FO153" s="115">
        <f t="shared" si="100"/>
        <v>0</v>
      </c>
      <c r="FP153" s="115">
        <f t="shared" si="100"/>
        <v>0</v>
      </c>
      <c r="FQ153" s="149">
        <f t="shared" si="100"/>
        <v>0</v>
      </c>
      <c r="FR153" s="142">
        <f t="shared" si="100"/>
        <v>0</v>
      </c>
      <c r="FS153" s="119">
        <f t="shared" si="100"/>
        <v>0</v>
      </c>
      <c r="FT153" s="121">
        <f t="shared" si="100"/>
        <v>0</v>
      </c>
      <c r="FU153" s="121">
        <f t="shared" si="82"/>
        <v>0</v>
      </c>
      <c r="FV153" s="121">
        <f t="shared" si="82"/>
        <v>0</v>
      </c>
      <c r="FW153" s="121">
        <f t="shared" si="83"/>
        <v>0</v>
      </c>
      <c r="FX153" s="121">
        <f t="shared" si="84"/>
        <v>0</v>
      </c>
      <c r="FY153" s="144">
        <f t="shared" si="84"/>
        <v>0</v>
      </c>
      <c r="FZ153" s="145"/>
      <c r="GA153" s="151" t="s">
        <v>427</v>
      </c>
      <c r="GB153" s="145"/>
      <c r="GC153" s="151" t="s">
        <v>652</v>
      </c>
      <c r="GD153" s="997" t="s">
        <v>416</v>
      </c>
      <c r="GE153" s="1004"/>
      <c r="GF153" s="1004">
        <v>0</v>
      </c>
      <c r="GG153" s="1004"/>
      <c r="GH153" s="1004">
        <v>0</v>
      </c>
      <c r="GI153" s="145"/>
      <c r="GJ153" s="996">
        <v>0</v>
      </c>
      <c r="GK153" s="145"/>
      <c r="GL153" s="996">
        <v>0</v>
      </c>
      <c r="GM153" s="1005"/>
      <c r="GN153" s="996">
        <v>0</v>
      </c>
      <c r="GO153" s="1006"/>
      <c r="GP153" s="996">
        <v>0</v>
      </c>
      <c r="GQ153" s="1006"/>
      <c r="GR153" s="996">
        <v>0</v>
      </c>
      <c r="GS153" s="1006"/>
      <c r="GT153" s="996">
        <v>0</v>
      </c>
      <c r="GU153" s="1006"/>
      <c r="GV153" s="996">
        <v>0</v>
      </c>
      <c r="GW153" s="1006"/>
      <c r="GX153" s="996">
        <v>0</v>
      </c>
      <c r="GY153" s="1006"/>
      <c r="GZ153" s="996">
        <v>0</v>
      </c>
      <c r="HA153" s="1006"/>
      <c r="HB153" s="996">
        <v>0</v>
      </c>
      <c r="HC153" s="1006" t="s">
        <v>204</v>
      </c>
      <c r="HD153" s="996">
        <v>0</v>
      </c>
      <c r="HE153" s="1006"/>
      <c r="HF153" s="996">
        <v>0</v>
      </c>
      <c r="HG153" s="1006"/>
      <c r="HH153" s="996">
        <v>0</v>
      </c>
      <c r="HI153" s="1006"/>
      <c r="HJ153" s="996">
        <v>-0.64547560000000104</v>
      </c>
      <c r="HK153" s="1006"/>
      <c r="HL153" s="996">
        <v>0</v>
      </c>
      <c r="HM153" s="1006"/>
      <c r="HN153" s="996">
        <v>0</v>
      </c>
      <c r="HO153" s="1006"/>
      <c r="HP153" s="996">
        <v>0</v>
      </c>
      <c r="HQ153" s="1006"/>
      <c r="HR153" s="996">
        <v>-0.41799999999999926</v>
      </c>
      <c r="HS153" s="1006"/>
      <c r="HT153" s="996">
        <v>0</v>
      </c>
      <c r="HU153" s="1006"/>
      <c r="HV153" s="996">
        <v>0</v>
      </c>
      <c r="HW153" s="1006"/>
      <c r="HX153" s="996">
        <v>0</v>
      </c>
      <c r="HY153" s="1006"/>
      <c r="HZ153" s="996">
        <v>0</v>
      </c>
      <c r="IA153" s="1006"/>
      <c r="IB153" s="996">
        <v>0</v>
      </c>
      <c r="IC153" s="1006"/>
      <c r="ID153" s="996">
        <v>0</v>
      </c>
      <c r="IE153" s="1006"/>
      <c r="IF153" s="996">
        <v>-0.16719999999999935</v>
      </c>
      <c r="IG153" s="1006"/>
      <c r="IH153" s="996">
        <v>0</v>
      </c>
      <c r="II153" s="1006"/>
      <c r="IJ153" s="996">
        <v>0</v>
      </c>
      <c r="IK153" s="1006"/>
      <c r="IL153" s="996">
        <v>0</v>
      </c>
      <c r="IM153" s="1006"/>
      <c r="IN153" s="996">
        <v>0</v>
      </c>
      <c r="IO153" s="1006"/>
      <c r="IP153" s="996">
        <v>0</v>
      </c>
      <c r="IQ153" s="1006"/>
      <c r="IR153" s="996">
        <v>0</v>
      </c>
      <c r="IS153" s="1006"/>
      <c r="IT153" s="996">
        <v>0</v>
      </c>
      <c r="IU153" s="1006"/>
      <c r="IV153" s="996">
        <v>0</v>
      </c>
      <c r="IW153" s="1006"/>
      <c r="IX153" s="996">
        <v>0</v>
      </c>
      <c r="IY153" s="1006"/>
      <c r="IZ153" s="996">
        <v>0</v>
      </c>
      <c r="JA153" s="1006"/>
      <c r="JB153" s="996">
        <v>0</v>
      </c>
      <c r="JC153" s="1006"/>
      <c r="JD153" s="996">
        <v>0</v>
      </c>
      <c r="JE153" s="1006"/>
      <c r="JF153" s="996">
        <v>0</v>
      </c>
      <c r="JG153" s="1006"/>
      <c r="JH153" s="996">
        <v>0</v>
      </c>
      <c r="JI153" s="1006"/>
      <c r="JJ153" s="996">
        <v>0</v>
      </c>
      <c r="JK153" s="1007"/>
      <c r="JL153" s="1007">
        <v>0</v>
      </c>
      <c r="JM153" s="1007"/>
      <c r="JN153" s="1007">
        <v>0</v>
      </c>
      <c r="JO153" s="1008"/>
      <c r="JP153" s="1007">
        <v>0</v>
      </c>
      <c r="JQ153" s="1008">
        <v>0</v>
      </c>
      <c r="JR153" s="1007">
        <v>0</v>
      </c>
      <c r="JS153" s="1008">
        <v>0</v>
      </c>
      <c r="JT153" s="1007">
        <v>0</v>
      </c>
      <c r="JU153" s="1008"/>
      <c r="JV153" s="1007">
        <v>0</v>
      </c>
      <c r="JW153" s="1008" t="s">
        <v>197</v>
      </c>
      <c r="JX153" s="1007">
        <v>0</v>
      </c>
      <c r="JY153" s="1008"/>
      <c r="JZ153" s="1007">
        <v>0</v>
      </c>
      <c r="KA153" s="1008"/>
      <c r="KB153" s="1007">
        <v>0</v>
      </c>
      <c r="KC153" s="1008"/>
      <c r="KD153" s="1007">
        <v>0</v>
      </c>
      <c r="KE153" s="1008"/>
      <c r="KF153" s="1007">
        <v>0</v>
      </c>
      <c r="KG153" s="1008"/>
      <c r="KH153" s="1007">
        <v>0</v>
      </c>
      <c r="KI153" s="1008"/>
      <c r="KJ153" s="1007">
        <v>0</v>
      </c>
      <c r="KK153" s="1008"/>
      <c r="KL153" s="1007">
        <v>0</v>
      </c>
      <c r="KM153" s="1008"/>
      <c r="KN153" s="1007">
        <v>0</v>
      </c>
      <c r="KO153" s="1008"/>
      <c r="KP153" s="1007">
        <v>0</v>
      </c>
      <c r="KQ153" s="1008">
        <v>0</v>
      </c>
      <c r="KR153" s="1007">
        <v>0</v>
      </c>
      <c r="KS153" s="1008">
        <v>0</v>
      </c>
      <c r="KT153" s="1007">
        <v>0</v>
      </c>
      <c r="KU153" s="1008">
        <v>0</v>
      </c>
      <c r="KV153" s="1007">
        <v>0</v>
      </c>
      <c r="KW153" s="1008">
        <v>0</v>
      </c>
      <c r="KX153" s="1007">
        <v>0</v>
      </c>
      <c r="KY153" s="1008">
        <v>0</v>
      </c>
      <c r="KZ153" s="1007">
        <v>0</v>
      </c>
      <c r="LA153" s="1008">
        <v>0</v>
      </c>
      <c r="LB153" s="1007">
        <v>0</v>
      </c>
      <c r="LC153" s="1008">
        <v>0</v>
      </c>
      <c r="LD153" s="1007">
        <v>0</v>
      </c>
      <c r="LE153" s="1008" t="s">
        <v>204</v>
      </c>
      <c r="LF153" s="1007">
        <v>1.3376000000000001</v>
      </c>
      <c r="LG153" s="1008">
        <v>0</v>
      </c>
      <c r="LH153" s="1007">
        <v>0</v>
      </c>
      <c r="LI153" s="1008">
        <v>0</v>
      </c>
      <c r="LJ153" s="1007">
        <v>0</v>
      </c>
      <c r="LK153" s="1008">
        <v>0</v>
      </c>
      <c r="LL153" s="1007">
        <v>0</v>
      </c>
      <c r="LM153" s="1008">
        <v>0</v>
      </c>
      <c r="LN153" s="1007">
        <v>0</v>
      </c>
      <c r="LO153" s="1008">
        <v>0</v>
      </c>
      <c r="LP153" s="1007">
        <v>0</v>
      </c>
      <c r="LQ153" s="1008">
        <v>0</v>
      </c>
      <c r="LR153" s="1007">
        <v>0</v>
      </c>
      <c r="LS153" s="1008">
        <v>0</v>
      </c>
      <c r="LT153" s="1007">
        <v>0</v>
      </c>
      <c r="LU153" s="1008">
        <v>0</v>
      </c>
      <c r="LV153" s="1007">
        <v>0</v>
      </c>
      <c r="LW153" s="1008">
        <v>0</v>
      </c>
      <c r="LX153" s="1007">
        <v>0</v>
      </c>
      <c r="LY153" s="1009">
        <v>0</v>
      </c>
      <c r="LZ153" s="1010">
        <v>0</v>
      </c>
      <c r="MA153" s="1011">
        <v>0</v>
      </c>
      <c r="MB153" s="1012">
        <v>0</v>
      </c>
      <c r="MC153" s="995"/>
      <c r="MD153" s="996"/>
      <c r="ME153" s="997" t="s">
        <v>416</v>
      </c>
      <c r="MF153" s="997"/>
      <c r="MG153" s="998"/>
      <c r="NR153" s="1000"/>
      <c r="NS153" s="1000"/>
      <c r="NT153" s="1001"/>
      <c r="NU153" s="1000"/>
      <c r="NV153" s="1001"/>
      <c r="NX153" s="1002"/>
      <c r="NZ153" s="1001"/>
      <c r="OA153" s="1001"/>
      <c r="OC153" s="1003"/>
      <c r="OD153" s="1003"/>
      <c r="OE153" s="1001"/>
      <c r="OF153" s="1003"/>
      <c r="OG153" s="1003"/>
      <c r="QX153" s="1000">
        <f t="shared" si="96"/>
        <v>25</v>
      </c>
      <c r="ASU153" s="999" t="s">
        <v>292</v>
      </c>
    </row>
    <row r="154" spans="1:466 1191:1191" ht="21" customHeight="1" x14ac:dyDescent="0.25">
      <c r="A154" s="982" t="str">
        <f t="shared" si="59"/>
        <v>1058-2</v>
      </c>
      <c r="B154" s="124">
        <f>SUBTOTAL(103,$J$29:J154)</f>
        <v>126</v>
      </c>
      <c r="C154" s="126">
        <v>45068</v>
      </c>
      <c r="D154" s="124" t="s">
        <v>176</v>
      </c>
      <c r="E154" s="127" t="s">
        <v>177</v>
      </c>
      <c r="F154" s="128" t="s">
        <v>177</v>
      </c>
      <c r="G154" s="127" t="s">
        <v>178</v>
      </c>
      <c r="H154" s="127" t="s">
        <v>421</v>
      </c>
      <c r="I154" s="127" t="s">
        <v>567</v>
      </c>
      <c r="J154" s="152" t="s">
        <v>801</v>
      </c>
      <c r="K154" s="127" t="s">
        <v>802</v>
      </c>
      <c r="L154" s="130">
        <v>39819</v>
      </c>
      <c r="M154" s="127" t="s">
        <v>230</v>
      </c>
      <c r="N154" s="127" t="s">
        <v>231</v>
      </c>
      <c r="O154" s="127" t="s">
        <v>185</v>
      </c>
      <c r="P154" s="127" t="s">
        <v>186</v>
      </c>
      <c r="Q154" s="85" t="str">
        <f t="shared" si="85"/>
        <v/>
      </c>
      <c r="R154" s="130"/>
      <c r="S154" s="128" t="s">
        <v>156</v>
      </c>
      <c r="T154" s="131"/>
      <c r="U154" s="132">
        <v>203</v>
      </c>
      <c r="V154" s="121">
        <v>218.2</v>
      </c>
      <c r="W154" s="116">
        <v>0.98</v>
      </c>
      <c r="X154" s="116">
        <v>1.66</v>
      </c>
      <c r="Y154" s="116">
        <f t="shared" si="86"/>
        <v>1.2517697753154817</v>
      </c>
      <c r="Z154" s="133">
        <v>1.454</v>
      </c>
      <c r="AA154" s="133">
        <v>0.83599999999999997</v>
      </c>
      <c r="AB154" s="133">
        <v>0.72</v>
      </c>
      <c r="AC154" s="121">
        <v>34.299999999999997</v>
      </c>
      <c r="AD154" s="134">
        <v>1.17</v>
      </c>
      <c r="AE154" s="124">
        <v>139.69999999999999</v>
      </c>
      <c r="AF154" s="128">
        <v>7.72</v>
      </c>
      <c r="AG154" s="128">
        <v>1956</v>
      </c>
      <c r="AH154" s="127">
        <v>2310</v>
      </c>
      <c r="AI154" s="127">
        <v>2310</v>
      </c>
      <c r="AJ154" s="135"/>
      <c r="AK154" s="128"/>
      <c r="AL154" s="131"/>
      <c r="AM154" s="124" t="s">
        <v>232</v>
      </c>
      <c r="AN154" s="136" t="s">
        <v>803</v>
      </c>
      <c r="AO154" s="137">
        <v>72.64</v>
      </c>
      <c r="AP154" s="128">
        <v>1956</v>
      </c>
      <c r="AQ154" s="128">
        <v>70</v>
      </c>
      <c r="AR154" s="128"/>
      <c r="AS154" s="128"/>
      <c r="AT154" s="122"/>
      <c r="AU154" s="124" t="s">
        <v>189</v>
      </c>
      <c r="AV154" s="115">
        <f>VLOOKUP(J154,'[63]ТР нефть'!$J$28:$BP$638,39,0)</f>
        <v>410.00001591799997</v>
      </c>
      <c r="AW154" s="115" t="str">
        <f>VLOOKUP(J154,'[63]ТР нефть'!$J$28:$BP$638,40,0)</f>
        <v>ГП</v>
      </c>
      <c r="AX154" s="115">
        <f>VLOOKUP(J154,'[63]ТР нефть'!$J$28:$BP$638,41,0)</f>
        <v>820.00003183599995</v>
      </c>
      <c r="AY154" s="115" t="str">
        <f>VLOOKUP(J154,'[63]ТР нефть'!$J$28:$BP$638,42,0)</f>
        <v>ГК 86 1/8</v>
      </c>
      <c r="AZ154" s="115">
        <f>VLOOKUP(J154,'[63]ТР нефть'!$J$28:$BP$638,43,0)</f>
        <v>1209.9999662109999</v>
      </c>
      <c r="BA154" s="115" t="str">
        <f>VLOOKUP(J154,'[63]ТР нефть'!$J$28:$BP$638,44,0)</f>
        <v>ГК 86 1/8</v>
      </c>
      <c r="BB154" s="115">
        <f>VLOOKUP(J154,'[63]ТР нефть'!$J$28:$BP$638,45,0)</f>
        <v>1565.000064844</v>
      </c>
      <c r="BC154" s="115" t="str">
        <f>VLOOKUP(J154,'[63]ТР нефть'!$J$28:$BP$638,46,0)</f>
        <v>ГК 86 1/8</v>
      </c>
      <c r="BD154" s="115">
        <f>VLOOKUP(J154,'[63]ТР нефть'!$J$28:$BP$638,47,0)</f>
        <v>1730.000002734</v>
      </c>
      <c r="BE154" s="115" t="str">
        <f>VLOOKUP(J154,'[63]ТР нефть'!$J$28:$BP$638,48,0)</f>
        <v>ЦКсОК 5/16</v>
      </c>
      <c r="BF154" s="115" t="str">
        <f>VLOOKUP(J154,'[63]ТР нефть'!$J$28:$BP$638,49,0)</f>
        <v>-</v>
      </c>
      <c r="BG154" s="115" t="str">
        <f>VLOOKUP(J154,'[63]ТР нефть'!$J$28:$BP$638,50,0)</f>
        <v>-</v>
      </c>
      <c r="BH154" s="115">
        <f>VLOOKUP(J154,'[63]ТР нефть'!$J$28:$BP$638,51,0)</f>
        <v>1770</v>
      </c>
      <c r="BI154" s="115" t="str">
        <f>VLOOKUP(J154,'[63]ТР нефть'!$J$28:$BP$638,52,0)</f>
        <v>закрыт</v>
      </c>
      <c r="BJ154" s="115" t="str">
        <f>IF(IFERROR(VLOOKUP(J154,'[63]ТР нефть'!$J$28:$BP$638,53,0),"-")=0,"-",IFERROR(VLOOKUP(J154,'[63]ТР нефть'!$J$28:$BP$638,53,0),"-"))</f>
        <v>-</v>
      </c>
      <c r="BK154" s="138" t="str">
        <f>IF(IFERROR(VLOOKUP(J154,'[63]ТР нефть'!$J$28:$BP$638,54,0),"-")=0,"-",IFERROR(VLOOKUP(J154,'[63]ТР нефть'!$J$28:$BP$638,54,0),"-"))</f>
        <v>-</v>
      </c>
      <c r="BL154" s="138" t="str">
        <f>IF(IFERROR(VLOOKUP(J154,'[63]ТР нефть'!$J$28:$BP$638,55,0),"-")=0,"-",IFERROR(VLOOKUP(J154,'[63]ТР нефть'!$J$28:$BP$638,55,0),"-"))</f>
        <v>-</v>
      </c>
      <c r="BM154" s="138" t="str">
        <f>IF(IFERROR(VLOOKUP(J154,'[63]ТР нефть'!$J$28:$BP$638,56,0),"-")=0,"-",IFERROR(VLOOKUP(J154,'[63]ТР нефть'!$J$28:$BP$638,56,0),"-"))</f>
        <v>-</v>
      </c>
      <c r="BN154" s="138" t="str">
        <f>IF(IFERROR(VLOOKUP(J154,'[63]ТР нефть'!$J$28:$BP$638,57,0),"-")=0,"-",IFERROR(VLOOKUP(J154,'[63]ТР нефть'!$J$28:$BP$638,57,0),"-"))</f>
        <v>-</v>
      </c>
      <c r="BO154" s="115" t="str">
        <f>IF(IFERROR(VLOOKUP(J154,'[63]ТР нефть'!$J$28:$BP$638,58,0),"-")=0,"-",IFERROR(VLOOKUP(J154,'[63]ТР нефть'!$J$28:$BP$638,58,0),"-"))</f>
        <v>-</v>
      </c>
      <c r="BP154" s="115" t="str">
        <f>IF(IFERROR(VLOOKUP(J154,'[63]ТР нефть'!$J$28:$BP$638,59,0),"-")=0,"-",IFERROR(VLOOKUP(J154,'[63]ТР нефть'!$J$28:$BP$638,59,0),"-"))</f>
        <v>-</v>
      </c>
      <c r="BQ154" s="138">
        <v>2265</v>
      </c>
      <c r="BR154" s="128">
        <v>1945.49</v>
      </c>
      <c r="BS154" s="115">
        <f t="shared" si="60"/>
        <v>319.51</v>
      </c>
      <c r="BT154" s="128">
        <v>73</v>
      </c>
      <c r="BU154" s="128">
        <v>5.5</v>
      </c>
      <c r="BV154" s="127">
        <v>65</v>
      </c>
      <c r="BW154" s="127" t="s">
        <v>217</v>
      </c>
      <c r="BX154" s="127" t="s">
        <v>195</v>
      </c>
      <c r="BY154" s="139">
        <v>24</v>
      </c>
      <c r="BZ154" s="139">
        <v>0</v>
      </c>
      <c r="CA154" s="80">
        <v>28</v>
      </c>
      <c r="CB154" s="138">
        <v>52</v>
      </c>
      <c r="CC154" s="138">
        <v>27</v>
      </c>
      <c r="CD154" s="135">
        <v>45017</v>
      </c>
      <c r="CE154" s="138">
        <v>108</v>
      </c>
      <c r="CF154" s="138">
        <v>78</v>
      </c>
      <c r="CG154" s="138" t="str">
        <f t="shared" si="102"/>
        <v>В работе</v>
      </c>
      <c r="CH154" s="138" t="s">
        <v>196</v>
      </c>
      <c r="CI154" s="127">
        <v>6</v>
      </c>
      <c r="CJ154" s="138"/>
      <c r="CK154" s="138"/>
      <c r="CL154" s="99"/>
      <c r="CM154" s="99"/>
      <c r="CN154" s="140">
        <v>71</v>
      </c>
      <c r="CO154" s="159">
        <f t="shared" si="61"/>
        <v>4.2828280000000003</v>
      </c>
      <c r="CP154" s="160">
        <v>10.9</v>
      </c>
      <c r="CQ154" s="161">
        <v>53</v>
      </c>
      <c r="CR154" s="138">
        <v>22</v>
      </c>
      <c r="CS154" s="139">
        <v>8.1999999999999993</v>
      </c>
      <c r="CT154" s="138"/>
      <c r="CU154" s="138">
        <f t="shared" si="62"/>
        <v>13.8</v>
      </c>
      <c r="CV154" s="115">
        <f t="shared" si="63"/>
        <v>3222.1700241055673</v>
      </c>
      <c r="CW154" s="115">
        <f t="shared" si="64"/>
        <v>747.31645042184175</v>
      </c>
      <c r="CX154" s="133">
        <f t="shared" si="65"/>
        <v>0.29459459459459458</v>
      </c>
      <c r="CY154" s="116"/>
      <c r="CZ154" s="131"/>
      <c r="DA154" s="145" t="str">
        <f t="shared" si="66"/>
        <v>Газлифт</v>
      </c>
      <c r="DB154" s="146">
        <f t="shared" si="67"/>
        <v>4.2828280000000003</v>
      </c>
      <c r="DC154" s="142">
        <f t="shared" si="68"/>
        <v>10.9</v>
      </c>
      <c r="DD154" s="119">
        <f t="shared" si="69"/>
        <v>53</v>
      </c>
      <c r="DE154" s="115">
        <f t="shared" si="70"/>
        <v>13.8</v>
      </c>
      <c r="DF154" s="121">
        <f t="shared" si="71"/>
        <v>8.1999999999999993</v>
      </c>
      <c r="DG154" s="115">
        <f t="shared" si="72"/>
        <v>3222.1700241055673</v>
      </c>
      <c r="DH154" s="115">
        <f t="shared" si="73"/>
        <v>71</v>
      </c>
      <c r="DI154" s="147"/>
      <c r="DJ154" s="111" t="s">
        <v>197</v>
      </c>
      <c r="DK154" s="112">
        <v>39819</v>
      </c>
      <c r="DL154" s="113">
        <f t="shared" ca="1" si="87"/>
        <v>5285</v>
      </c>
      <c r="DM154" s="114"/>
      <c r="DN154" s="114"/>
      <c r="DO154" s="114"/>
      <c r="DP154" s="114"/>
      <c r="DQ154" s="112">
        <v>42657</v>
      </c>
      <c r="DR154" s="114" t="s">
        <v>198</v>
      </c>
      <c r="DS154" s="114"/>
      <c r="DT154" s="115">
        <v>60</v>
      </c>
      <c r="DU154" s="116">
        <f t="shared" si="88"/>
        <v>0.27886381527158238</v>
      </c>
      <c r="DV154" s="117">
        <f t="shared" si="89"/>
        <v>5.2594161742324861</v>
      </c>
      <c r="DW154" s="118">
        <f t="shared" si="90"/>
        <v>13.385463133035953</v>
      </c>
      <c r="DX154" s="119">
        <f t="shared" si="74"/>
        <v>53</v>
      </c>
      <c r="DY154" s="115">
        <f t="shared" si="91"/>
        <v>16.946733140907902</v>
      </c>
      <c r="DZ154" s="117">
        <f t="shared" si="92"/>
        <v>0.97658817423248578</v>
      </c>
      <c r="EA154" s="120">
        <f t="shared" si="92"/>
        <v>2.4854631330359531</v>
      </c>
      <c r="EB154" s="119">
        <f t="shared" si="92"/>
        <v>0</v>
      </c>
      <c r="EC154" s="121">
        <f t="shared" si="93"/>
        <v>3.1467331409079016</v>
      </c>
      <c r="ED154" s="122"/>
      <c r="EE154" s="145">
        <v>65</v>
      </c>
      <c r="EF154" s="148">
        <v>28</v>
      </c>
      <c r="EG154" s="115">
        <v>52</v>
      </c>
      <c r="EH154" s="115">
        <v>27</v>
      </c>
      <c r="EI154" s="128" t="s">
        <v>195</v>
      </c>
      <c r="EJ154" s="121">
        <v>24</v>
      </c>
      <c r="EK154" s="121">
        <v>0</v>
      </c>
      <c r="EL154" s="159">
        <f>EM154*(1-EN154/100)*0.836</f>
        <v>4.2828280000000003</v>
      </c>
      <c r="EM154" s="142">
        <v>10.9</v>
      </c>
      <c r="EN154" s="119">
        <v>53</v>
      </c>
      <c r="EO154" s="115">
        <v>22</v>
      </c>
      <c r="EP154" s="115">
        <v>3222.1700241055673</v>
      </c>
      <c r="EQ154" s="115">
        <v>78</v>
      </c>
      <c r="ER154" s="115">
        <v>8.1999999999999993</v>
      </c>
      <c r="ES154" s="115">
        <v>71</v>
      </c>
      <c r="ET154" s="150">
        <v>0.29459459459459458</v>
      </c>
      <c r="EU154" s="145">
        <f t="shared" si="75"/>
        <v>65</v>
      </c>
      <c r="EV154" s="115">
        <f t="shared" si="76"/>
        <v>28</v>
      </c>
      <c r="EW154" s="115">
        <f t="shared" si="76"/>
        <v>52</v>
      </c>
      <c r="EX154" s="115">
        <f t="shared" si="76"/>
        <v>27</v>
      </c>
      <c r="EY154" s="115" t="str">
        <f t="shared" si="98"/>
        <v>Постоянный</v>
      </c>
      <c r="EZ154" s="115">
        <f t="shared" si="98"/>
        <v>24</v>
      </c>
      <c r="FA154" s="115">
        <f t="shared" si="98"/>
        <v>0</v>
      </c>
      <c r="FB154" s="149">
        <f t="shared" si="78"/>
        <v>4.2828280000000003</v>
      </c>
      <c r="FC154" s="142">
        <f t="shared" si="78"/>
        <v>10.9</v>
      </c>
      <c r="FD154" s="119">
        <f t="shared" si="78"/>
        <v>53</v>
      </c>
      <c r="FE154" s="121">
        <f t="shared" si="78"/>
        <v>22</v>
      </c>
      <c r="FF154" s="121">
        <f t="shared" si="94"/>
        <v>3222.1700241055673</v>
      </c>
      <c r="FG154" s="121">
        <f t="shared" si="79"/>
        <v>78</v>
      </c>
      <c r="FH154" s="121">
        <f t="shared" si="95"/>
        <v>8.1999999999999993</v>
      </c>
      <c r="FI154" s="121">
        <f t="shared" si="97"/>
        <v>71</v>
      </c>
      <c r="FJ154" s="144">
        <f t="shared" si="80"/>
        <v>0.29459459459459458</v>
      </c>
      <c r="FK154" s="132">
        <f t="shared" si="81"/>
        <v>0</v>
      </c>
      <c r="FL154" s="115">
        <f t="shared" si="81"/>
        <v>0</v>
      </c>
      <c r="FM154" s="115">
        <f t="shared" si="81"/>
        <v>0</v>
      </c>
      <c r="FN154" s="115">
        <f t="shared" si="58"/>
        <v>0</v>
      </c>
      <c r="FO154" s="115">
        <f t="shared" si="100"/>
        <v>0</v>
      </c>
      <c r="FP154" s="115">
        <f t="shared" si="100"/>
        <v>0</v>
      </c>
      <c r="FQ154" s="149">
        <f t="shared" si="100"/>
        <v>0</v>
      </c>
      <c r="FR154" s="142">
        <f t="shared" si="100"/>
        <v>0</v>
      </c>
      <c r="FS154" s="119">
        <f t="shared" si="100"/>
        <v>0</v>
      </c>
      <c r="FT154" s="121">
        <f t="shared" si="100"/>
        <v>0</v>
      </c>
      <c r="FU154" s="121">
        <f t="shared" si="82"/>
        <v>0</v>
      </c>
      <c r="FV154" s="121">
        <f t="shared" si="82"/>
        <v>0</v>
      </c>
      <c r="FW154" s="121">
        <f t="shared" si="83"/>
        <v>0</v>
      </c>
      <c r="FX154" s="121">
        <f t="shared" si="84"/>
        <v>0</v>
      </c>
      <c r="FY154" s="144">
        <f t="shared" si="84"/>
        <v>0</v>
      </c>
      <c r="FZ154" s="145"/>
      <c r="GA154" s="151" t="s">
        <v>804</v>
      </c>
      <c r="GB154" s="145"/>
      <c r="GC154" s="151"/>
      <c r="GD154" s="997" t="s">
        <v>416</v>
      </c>
      <c r="GE154" s="1004"/>
      <c r="GF154" s="1004">
        <v>3.0932000000001292E-2</v>
      </c>
      <c r="GG154" s="1004"/>
      <c r="GH154" s="1004">
        <v>0</v>
      </c>
      <c r="GI154" s="145"/>
      <c r="GJ154" s="996">
        <v>0</v>
      </c>
      <c r="GK154" s="145"/>
      <c r="GL154" s="996">
        <v>0</v>
      </c>
      <c r="GM154" s="1005"/>
      <c r="GN154" s="996">
        <v>-0.30932000000000093</v>
      </c>
      <c r="GO154" s="1006" t="s">
        <v>199</v>
      </c>
      <c r="GP154" s="996">
        <v>-3.7364184000000003</v>
      </c>
      <c r="GQ154" s="1006"/>
      <c r="GR154" s="996">
        <v>0</v>
      </c>
      <c r="GS154" s="1006"/>
      <c r="GT154" s="996">
        <v>0</v>
      </c>
      <c r="GU154" s="1006"/>
      <c r="GV154" s="996">
        <v>-5.4493823999999691E-2</v>
      </c>
      <c r="GW154" s="1006"/>
      <c r="GX154" s="996">
        <v>0</v>
      </c>
      <c r="GY154" s="1006" t="s">
        <v>199</v>
      </c>
      <c r="GZ154" s="996">
        <v>1.8621528815999993</v>
      </c>
      <c r="HA154" s="1006"/>
      <c r="HB154" s="996">
        <v>-0.8229346575999994</v>
      </c>
      <c r="HC154" s="1006" t="s">
        <v>199</v>
      </c>
      <c r="HD154" s="996">
        <v>2.1137841999999996</v>
      </c>
      <c r="HE154" s="1006"/>
      <c r="HF154" s="996">
        <v>0</v>
      </c>
      <c r="HG154" s="1006" t="s">
        <v>199</v>
      </c>
      <c r="HH154" s="996">
        <v>-2.9347362000000006</v>
      </c>
      <c r="HI154" s="1006"/>
      <c r="HJ154" s="996">
        <v>0.76903640000000184</v>
      </c>
      <c r="HK154" s="1006"/>
      <c r="HL154" s="996">
        <v>0</v>
      </c>
      <c r="HM154" s="1006" t="s">
        <v>204</v>
      </c>
      <c r="HN154" s="996">
        <v>-2.1133745600000013</v>
      </c>
      <c r="HO154" s="1006" t="s">
        <v>199</v>
      </c>
      <c r="HP154" s="996">
        <v>1.1917681599999996</v>
      </c>
      <c r="HQ154" s="1006"/>
      <c r="HR154" s="996">
        <v>0.56848000000000098</v>
      </c>
      <c r="HS154" s="1006"/>
      <c r="HT154" s="996">
        <v>0</v>
      </c>
      <c r="HU154" s="1006"/>
      <c r="HV154" s="996">
        <v>0</v>
      </c>
      <c r="HW154" s="1006"/>
      <c r="HX154" s="996">
        <v>0.14184729679999997</v>
      </c>
      <c r="HY154" s="1006"/>
      <c r="HZ154" s="996">
        <v>-5.2094336799999752E-2</v>
      </c>
      <c r="IA154" s="1006"/>
      <c r="IB154" s="996">
        <v>0</v>
      </c>
      <c r="IC154" s="1006"/>
      <c r="ID154" s="996">
        <v>-0.73589736000000006</v>
      </c>
      <c r="IE154" s="1006"/>
      <c r="IF154" s="996">
        <v>0.70327831200000102</v>
      </c>
      <c r="IG154" s="1006"/>
      <c r="IH154" s="996">
        <v>0</v>
      </c>
      <c r="II154" s="1006"/>
      <c r="IJ154" s="996">
        <v>0</v>
      </c>
      <c r="IK154" s="1006" t="s">
        <v>199</v>
      </c>
      <c r="IL154" s="996">
        <v>0.99288208799999822</v>
      </c>
      <c r="IM154" s="1006" t="s">
        <v>199</v>
      </c>
      <c r="IN154" s="996">
        <v>1.2516592000000006</v>
      </c>
      <c r="IO154" s="1006" t="s">
        <v>204</v>
      </c>
      <c r="IP154" s="996">
        <v>-5.3005744000000012</v>
      </c>
      <c r="IQ154" s="1006"/>
      <c r="IR154" s="996">
        <v>0</v>
      </c>
      <c r="IS154" s="1006"/>
      <c r="IT154" s="996">
        <v>0</v>
      </c>
      <c r="IU154" s="1006"/>
      <c r="IV154" s="996">
        <v>0</v>
      </c>
      <c r="IW154" s="1006"/>
      <c r="IX154" s="996">
        <v>0</v>
      </c>
      <c r="IY154" s="1006"/>
      <c r="IZ154" s="996">
        <v>0</v>
      </c>
      <c r="JA154" s="1006"/>
      <c r="JB154" s="996">
        <v>0</v>
      </c>
      <c r="JC154" s="1006"/>
      <c r="JD154" s="996">
        <v>-0.8968607999999989</v>
      </c>
      <c r="JE154" s="1006"/>
      <c r="JF154" s="996">
        <v>0</v>
      </c>
      <c r="JG154" s="1006"/>
      <c r="JH154" s="996">
        <v>0</v>
      </c>
      <c r="JI154" s="1006"/>
      <c r="JJ154" s="996">
        <v>0</v>
      </c>
      <c r="JK154" s="1007"/>
      <c r="JL154" s="1007">
        <v>0</v>
      </c>
      <c r="JM154" s="1007"/>
      <c r="JN154" s="1007">
        <v>0</v>
      </c>
      <c r="JO154" s="1008" t="s">
        <v>199</v>
      </c>
      <c r="JP154" s="1007">
        <v>1.914439999999999</v>
      </c>
      <c r="JQ154" s="1008">
        <v>0</v>
      </c>
      <c r="JR154" s="1007">
        <v>0</v>
      </c>
      <c r="JS154" s="1008" t="s">
        <v>199</v>
      </c>
      <c r="JT154" s="1007">
        <v>-1.4429359999999978</v>
      </c>
      <c r="JU154" s="1008" t="s">
        <v>204</v>
      </c>
      <c r="JV154" s="1007">
        <v>-2.0382516000000024</v>
      </c>
      <c r="JW154" s="1008" t="s">
        <v>197</v>
      </c>
      <c r="JX154" s="1007">
        <v>0</v>
      </c>
      <c r="JY154" s="1008" t="s">
        <v>199</v>
      </c>
      <c r="JZ154" s="1007">
        <v>-7.1819923999999986</v>
      </c>
      <c r="KA154" s="1008"/>
      <c r="KB154" s="1007">
        <v>0</v>
      </c>
      <c r="KC154" s="1008"/>
      <c r="KD154" s="1007">
        <v>0</v>
      </c>
      <c r="KE154" s="1008"/>
      <c r="KF154" s="1007">
        <v>0</v>
      </c>
      <c r="KG154" s="1008" t="s">
        <v>207</v>
      </c>
      <c r="KH154" s="1007">
        <v>11.882068</v>
      </c>
      <c r="KI154" s="1008" t="s">
        <v>207</v>
      </c>
      <c r="KJ154" s="1007">
        <v>-6.9078679999999997</v>
      </c>
      <c r="KK154" s="1008" t="s">
        <v>207</v>
      </c>
      <c r="KL154" s="1007">
        <v>-4.909828000000001</v>
      </c>
      <c r="KM154" s="1008" t="s">
        <v>206</v>
      </c>
      <c r="KN154" s="1007">
        <v>-1.7489119999999971</v>
      </c>
      <c r="KO154" s="1008"/>
      <c r="KP154" s="1007">
        <v>0</v>
      </c>
      <c r="KQ154" s="1008">
        <v>0</v>
      </c>
      <c r="KR154" s="1007">
        <v>-0.25080000000000169</v>
      </c>
      <c r="KS154" s="1008">
        <v>0</v>
      </c>
      <c r="KT154" s="1007">
        <v>0</v>
      </c>
      <c r="KU154" s="1008" t="s">
        <v>206</v>
      </c>
      <c r="KV154" s="1007">
        <v>15.817454399999999</v>
      </c>
      <c r="KW154" s="1008">
        <v>0</v>
      </c>
      <c r="KX154" s="1007">
        <v>0</v>
      </c>
      <c r="KY154" s="1008">
        <v>0</v>
      </c>
      <c r="KZ154" s="1007">
        <v>0</v>
      </c>
      <c r="LA154" s="1008">
        <v>0</v>
      </c>
      <c r="LB154" s="1007">
        <v>0</v>
      </c>
      <c r="LC154" s="1008">
        <v>0</v>
      </c>
      <c r="LD154" s="1007">
        <v>0</v>
      </c>
      <c r="LE154" s="1008">
        <v>0</v>
      </c>
      <c r="LF154" s="1007">
        <v>0</v>
      </c>
      <c r="LG154" s="1008">
        <v>0</v>
      </c>
      <c r="LH154" s="1007">
        <v>-5.7976599999999996</v>
      </c>
      <c r="LI154" s="1008">
        <v>0</v>
      </c>
      <c r="LJ154" s="1007">
        <v>0</v>
      </c>
      <c r="LK154" s="1008">
        <v>0</v>
      </c>
      <c r="LL154" s="1007">
        <v>0</v>
      </c>
      <c r="LM154" s="1008" t="s">
        <v>259</v>
      </c>
      <c r="LN154" s="1007">
        <v>-2.5100899999999999</v>
      </c>
      <c r="LO154" s="1008">
        <v>0</v>
      </c>
      <c r="LP154" s="1007">
        <v>-0.66574859999999902</v>
      </c>
      <c r="LQ154" s="1008" t="s">
        <v>206</v>
      </c>
      <c r="LR154" s="1007">
        <v>-2.326462600000001</v>
      </c>
      <c r="LS154" s="1008">
        <v>0</v>
      </c>
      <c r="LT154" s="1007">
        <v>0.93585399999999996</v>
      </c>
      <c r="LU154" s="1008">
        <v>0</v>
      </c>
      <c r="LV154" s="1007">
        <v>0</v>
      </c>
      <c r="LW154" s="1008" t="s">
        <v>206</v>
      </c>
      <c r="LX154" s="1007">
        <v>1.47433616</v>
      </c>
      <c r="LY154" s="1009" t="s">
        <v>206</v>
      </c>
      <c r="LZ154" s="1010">
        <v>-2.6185632000000001</v>
      </c>
      <c r="MA154" s="1011">
        <v>0</v>
      </c>
      <c r="MB154" s="1012">
        <v>0</v>
      </c>
      <c r="MC154" s="995"/>
      <c r="MD154" s="996"/>
      <c r="ME154" s="997" t="s">
        <v>416</v>
      </c>
      <c r="MF154" s="997"/>
      <c r="MG154" s="998"/>
      <c r="NR154" s="1000"/>
      <c r="NS154" s="1000"/>
      <c r="NT154" s="1001"/>
      <c r="NU154" s="1000"/>
      <c r="NV154" s="1001"/>
      <c r="NX154" s="1002"/>
      <c r="NZ154" s="1001"/>
      <c r="OA154" s="1001"/>
      <c r="OC154" s="1003"/>
      <c r="OD154" s="1003"/>
      <c r="OE154" s="1001"/>
      <c r="OF154" s="1003"/>
      <c r="OG154" s="1003"/>
      <c r="QX154" s="1000">
        <f t="shared" si="96"/>
        <v>43</v>
      </c>
      <c r="ASU154" s="999" t="s">
        <v>208</v>
      </c>
    </row>
    <row r="155" spans="1:466 1191:1191" ht="21" customHeight="1" x14ac:dyDescent="0.25">
      <c r="A155" s="982" t="str">
        <f t="shared" si="59"/>
        <v>1058-1</v>
      </c>
      <c r="B155" s="124">
        <f>SUBTOTAL(103,$J$29:J155)</f>
        <v>127</v>
      </c>
      <c r="C155" s="126">
        <v>45068</v>
      </c>
      <c r="D155" s="124" t="s">
        <v>176</v>
      </c>
      <c r="E155" s="127" t="s">
        <v>177</v>
      </c>
      <c r="F155" s="128" t="s">
        <v>177</v>
      </c>
      <c r="G155" s="127" t="s">
        <v>178</v>
      </c>
      <c r="H155" s="127" t="s">
        <v>421</v>
      </c>
      <c r="I155" s="127" t="s">
        <v>567</v>
      </c>
      <c r="J155" s="129" t="s">
        <v>805</v>
      </c>
      <c r="K155" s="127" t="s">
        <v>802</v>
      </c>
      <c r="L155" s="130">
        <v>39720</v>
      </c>
      <c r="M155" s="127" t="s">
        <v>230</v>
      </c>
      <c r="N155" s="127" t="s">
        <v>231</v>
      </c>
      <c r="O155" s="127" t="s">
        <v>185</v>
      </c>
      <c r="P155" s="127" t="s">
        <v>186</v>
      </c>
      <c r="Q155" s="85">
        <f t="shared" si="85"/>
        <v>-4</v>
      </c>
      <c r="R155" s="130">
        <v>39644</v>
      </c>
      <c r="S155" s="128" t="s">
        <v>437</v>
      </c>
      <c r="T155" s="131"/>
      <c r="U155" s="132">
        <v>203</v>
      </c>
      <c r="V155" s="121">
        <v>218.2</v>
      </c>
      <c r="W155" s="116">
        <v>0.98</v>
      </c>
      <c r="X155" s="116">
        <v>1.66</v>
      </c>
      <c r="Y155" s="116">
        <f t="shared" si="86"/>
        <v>0.98</v>
      </c>
      <c r="Z155" s="133">
        <v>1.454</v>
      </c>
      <c r="AA155" s="133">
        <v>0.83599999999999997</v>
      </c>
      <c r="AB155" s="133">
        <v>0.72</v>
      </c>
      <c r="AC155" s="121">
        <v>34.299999999999997</v>
      </c>
      <c r="AD155" s="134">
        <v>1.17</v>
      </c>
      <c r="AE155" s="124">
        <v>139.69999999999999</v>
      </c>
      <c r="AF155" s="128">
        <v>7.72</v>
      </c>
      <c r="AG155" s="128">
        <v>1970</v>
      </c>
      <c r="AH155" s="127" t="s">
        <v>806</v>
      </c>
      <c r="AI155" s="127" t="s">
        <v>806</v>
      </c>
      <c r="AJ155" s="135"/>
      <c r="AK155" s="128"/>
      <c r="AL155" s="131"/>
      <c r="AM155" s="124" t="s">
        <v>232</v>
      </c>
      <c r="AN155" s="136" t="s">
        <v>807</v>
      </c>
      <c r="AO155" s="137" t="s">
        <v>808</v>
      </c>
      <c r="AP155" s="128">
        <v>1970</v>
      </c>
      <c r="AQ155" s="128">
        <v>76.75</v>
      </c>
      <c r="AR155" s="128"/>
      <c r="AS155" s="128"/>
      <c r="AT155" s="122"/>
      <c r="AU155" s="124" t="s">
        <v>189</v>
      </c>
      <c r="AV155" s="115">
        <f>VLOOKUP(J155,'[63]ТР нефть'!$J$28:$BP$638,39,0)</f>
        <v>524.00001562499995</v>
      </c>
      <c r="AW155" s="115" t="str">
        <f>VLOOKUP(J155,'[63]ТР нефть'!$J$28:$BP$638,40,0)</f>
        <v>ГП</v>
      </c>
      <c r="AX155" s="115">
        <f>VLOOKUP(J155,'[63]ТР нефть'!$J$28:$BP$638,41,0)</f>
        <v>989.000023242</v>
      </c>
      <c r="AY155" s="115" t="str">
        <f>VLOOKUP(J155,'[63]ТР нефть'!$J$28:$BP$638,42,0)</f>
        <v>ГП</v>
      </c>
      <c r="AZ155" s="115">
        <f>VLOOKUP(J155,'[63]ТР нефть'!$J$28:$BP$638,43,0)</f>
        <v>1373.0000261719999</v>
      </c>
      <c r="BA155" s="115" t="str">
        <f>VLOOKUP(J155,'[63]ТР нефть'!$J$28:$BP$638,44,0)</f>
        <v>ГП</v>
      </c>
      <c r="BB155" s="115">
        <f>VLOOKUP(J155,'[63]ТР нефть'!$J$28:$BP$638,45,0)</f>
        <v>1673.999997656</v>
      </c>
      <c r="BC155" s="115" t="str">
        <f>VLOOKUP(J155,'[63]ТР нефть'!$J$28:$BP$638,46,0)</f>
        <v>ЦКсОК 5/16</v>
      </c>
      <c r="BD155" s="115" t="str">
        <f>VLOOKUP(J155,'[63]ТР нефть'!$J$28:$BP$638,47,0)</f>
        <v>-</v>
      </c>
      <c r="BE155" s="115" t="str">
        <f>VLOOKUP(J155,'[63]ТР нефть'!$J$28:$BP$638,48,0)</f>
        <v>-</v>
      </c>
      <c r="BF155" s="115" t="str">
        <f>VLOOKUP(J155,'[63]ТР нефть'!$J$28:$BP$638,49,0)</f>
        <v>-</v>
      </c>
      <c r="BG155" s="115" t="str">
        <f>VLOOKUP(J155,'[63]ТР нефть'!$J$28:$BP$638,50,0)</f>
        <v>-</v>
      </c>
      <c r="BH155" s="115">
        <f>VLOOKUP(J155,'[63]ТР нефть'!$J$28:$BP$638,51,0)</f>
        <v>1772</v>
      </c>
      <c r="BI155" s="115" t="str">
        <f>VLOOKUP(J155,'[63]ТР нефть'!$J$28:$BP$638,52,0)</f>
        <v>закрыт</v>
      </c>
      <c r="BJ155" s="115" t="str">
        <f>IF(IFERROR(VLOOKUP(J155,'[63]ТР нефть'!$J$28:$BP$638,53,0),"-")=0,"-",IFERROR(VLOOKUP(J155,'[63]ТР нефть'!$J$28:$BP$638,53,0),"-"))</f>
        <v>-</v>
      </c>
      <c r="BK155" s="138" t="str">
        <f>IF(IFERROR(VLOOKUP(J155,'[63]ТР нефть'!$J$28:$BP$638,54,0),"-")=0,"-",IFERROR(VLOOKUP(J155,'[63]ТР нефть'!$J$28:$BP$638,54,0),"-"))</f>
        <v>-</v>
      </c>
      <c r="BL155" s="138" t="str">
        <f>IF(IFERROR(VLOOKUP(J155,'[63]ТР нефть'!$J$28:$BP$638,55,0),"-")=0,"-",IFERROR(VLOOKUP(J155,'[63]ТР нефть'!$J$28:$BP$638,55,0),"-"))</f>
        <v>-</v>
      </c>
      <c r="BM155" s="138" t="str">
        <f>IF(IFERROR(VLOOKUP(J155,'[63]ТР нефть'!$J$28:$BP$638,56,0),"-")=0,"-",IFERROR(VLOOKUP(J155,'[63]ТР нефть'!$J$28:$BP$638,56,0),"-"))</f>
        <v>-</v>
      </c>
      <c r="BN155" s="138" t="str">
        <f>IF(IFERROR(VLOOKUP(J155,'[63]ТР нефть'!$J$28:$BP$638,57,0),"-")=0,"-",IFERROR(VLOOKUP(J155,'[63]ТР нефть'!$J$28:$BP$638,57,0),"-"))</f>
        <v>-</v>
      </c>
      <c r="BO155" s="115" t="str">
        <f>IF(IFERROR(VLOOKUP(J155,'[63]ТР нефть'!$J$28:$BP$638,58,0),"-")=0,"-",IFERROR(VLOOKUP(J155,'[63]ТР нефть'!$J$28:$BP$638,58,0),"-"))</f>
        <v>-</v>
      </c>
      <c r="BP155" s="115" t="str">
        <f>IF(IFERROR(VLOOKUP(J155,'[63]ТР нефть'!$J$28:$BP$638,59,0),"-")=0,"-",IFERROR(VLOOKUP(J155,'[63]ТР нефть'!$J$28:$BP$638,59,0),"-"))</f>
        <v>-</v>
      </c>
      <c r="BQ155" s="138">
        <v>2157</v>
      </c>
      <c r="BR155" s="128">
        <v>1919.37</v>
      </c>
      <c r="BS155" s="115">
        <f t="shared" si="60"/>
        <v>237.63000000000011</v>
      </c>
      <c r="BT155" s="128">
        <v>73</v>
      </c>
      <c r="BU155" s="128">
        <v>5.5</v>
      </c>
      <c r="BV155" s="127">
        <v>65</v>
      </c>
      <c r="BW155" s="127" t="s">
        <v>217</v>
      </c>
      <c r="BX155" s="127" t="s">
        <v>195</v>
      </c>
      <c r="BY155" s="139">
        <v>24</v>
      </c>
      <c r="BZ155" s="139">
        <v>0</v>
      </c>
      <c r="CA155" s="138">
        <v>26</v>
      </c>
      <c r="CB155" s="138">
        <v>44</v>
      </c>
      <c r="CC155" s="138">
        <v>25</v>
      </c>
      <c r="CD155" s="135">
        <v>45017</v>
      </c>
      <c r="CE155" s="138">
        <v>85</v>
      </c>
      <c r="CF155" s="138">
        <v>68</v>
      </c>
      <c r="CG155" s="138" t="str">
        <f t="shared" si="102"/>
        <v>В работе</v>
      </c>
      <c r="CH155" s="138" t="s">
        <v>196</v>
      </c>
      <c r="CI155" s="127">
        <v>6</v>
      </c>
      <c r="CJ155" s="138"/>
      <c r="CK155" s="138"/>
      <c r="CL155" s="99"/>
      <c r="CM155" s="99"/>
      <c r="CN155" s="140">
        <v>51</v>
      </c>
      <c r="CO155" s="159">
        <f t="shared" si="61"/>
        <v>10.951599999999999</v>
      </c>
      <c r="CP155" s="160">
        <v>13.1</v>
      </c>
      <c r="CQ155" s="161">
        <v>0</v>
      </c>
      <c r="CR155" s="138">
        <v>30.7</v>
      </c>
      <c r="CS155" s="139">
        <v>18</v>
      </c>
      <c r="CT155" s="138"/>
      <c r="CU155" s="138">
        <f t="shared" si="62"/>
        <v>12.7</v>
      </c>
      <c r="CV155" s="115">
        <f t="shared" si="63"/>
        <v>1159.6479053289017</v>
      </c>
      <c r="CW155" s="115">
        <f t="shared" si="64"/>
        <v>1643.5954563716718</v>
      </c>
      <c r="CX155" s="133">
        <f t="shared" si="65"/>
        <v>0.38529411764705879</v>
      </c>
      <c r="CY155" s="116"/>
      <c r="CZ155" s="131"/>
      <c r="DA155" s="145" t="str">
        <f t="shared" si="66"/>
        <v>Газлифт</v>
      </c>
      <c r="DB155" s="146">
        <f t="shared" si="67"/>
        <v>10.951599999999999</v>
      </c>
      <c r="DC155" s="142">
        <f t="shared" si="68"/>
        <v>13.1</v>
      </c>
      <c r="DD155" s="119">
        <f t="shared" si="69"/>
        <v>0</v>
      </c>
      <c r="DE155" s="115">
        <f t="shared" si="70"/>
        <v>12.7</v>
      </c>
      <c r="DF155" s="121">
        <f t="shared" si="71"/>
        <v>18</v>
      </c>
      <c r="DG155" s="115">
        <f t="shared" si="72"/>
        <v>1159.6479053289017</v>
      </c>
      <c r="DH155" s="115">
        <f t="shared" si="73"/>
        <v>51</v>
      </c>
      <c r="DI155" s="147"/>
      <c r="DJ155" s="111" t="s">
        <v>197</v>
      </c>
      <c r="DK155" s="112">
        <v>41057</v>
      </c>
      <c r="DL155" s="113">
        <f t="shared" ca="1" si="87"/>
        <v>4047</v>
      </c>
      <c r="DM155" s="114"/>
      <c r="DN155" s="114"/>
      <c r="DO155" s="114"/>
      <c r="DP155" s="114"/>
      <c r="DQ155" s="112">
        <v>39854</v>
      </c>
      <c r="DR155" s="114" t="s">
        <v>809</v>
      </c>
      <c r="DS155" s="114"/>
      <c r="DT155" s="115">
        <v>50</v>
      </c>
      <c r="DU155" s="116">
        <f t="shared" si="88"/>
        <v>0.38284391658094069</v>
      </c>
      <c r="DV155" s="117">
        <f t="shared" si="89"/>
        <v>11.202012999158324</v>
      </c>
      <c r="DW155" s="118">
        <f t="shared" si="90"/>
        <v>13.399537080332925</v>
      </c>
      <c r="DX155" s="119">
        <f t="shared" si="74"/>
        <v>0</v>
      </c>
      <c r="DY155" s="115">
        <f t="shared" si="91"/>
        <v>12.990390909941079</v>
      </c>
      <c r="DZ155" s="117">
        <f t="shared" si="92"/>
        <v>0.25041299915832482</v>
      </c>
      <c r="EA155" s="120">
        <f t="shared" si="92"/>
        <v>0.29953708033292514</v>
      </c>
      <c r="EB155" s="119">
        <f t="shared" si="92"/>
        <v>0</v>
      </c>
      <c r="EC155" s="121">
        <f t="shared" si="93"/>
        <v>0.2903909099410793</v>
      </c>
      <c r="ED155" s="122"/>
      <c r="EE155" s="145">
        <v>65</v>
      </c>
      <c r="EF155" s="115">
        <v>26</v>
      </c>
      <c r="EG155" s="115">
        <v>44</v>
      </c>
      <c r="EH155" s="115">
        <v>25</v>
      </c>
      <c r="EI155" s="128" t="s">
        <v>195</v>
      </c>
      <c r="EJ155" s="121">
        <v>24</v>
      </c>
      <c r="EK155" s="121">
        <v>0</v>
      </c>
      <c r="EL155" s="162">
        <v>10.951599999999999</v>
      </c>
      <c r="EM155" s="142">
        <v>13.1</v>
      </c>
      <c r="EN155" s="119">
        <v>0</v>
      </c>
      <c r="EO155" s="115">
        <v>30.7</v>
      </c>
      <c r="EP155" s="115">
        <v>1159.6479053289017</v>
      </c>
      <c r="EQ155" s="115">
        <v>68</v>
      </c>
      <c r="ER155" s="115">
        <v>18</v>
      </c>
      <c r="ES155" s="115">
        <v>51</v>
      </c>
      <c r="ET155" s="150">
        <v>0.38529411764705879</v>
      </c>
      <c r="EU155" s="145">
        <f t="shared" si="75"/>
        <v>65</v>
      </c>
      <c r="EV155" s="115">
        <f t="shared" si="76"/>
        <v>26</v>
      </c>
      <c r="EW155" s="115">
        <f t="shared" si="76"/>
        <v>44</v>
      </c>
      <c r="EX155" s="115">
        <f t="shared" si="76"/>
        <v>25</v>
      </c>
      <c r="EY155" s="115" t="str">
        <f t="shared" si="98"/>
        <v>Постоянный</v>
      </c>
      <c r="EZ155" s="115">
        <f t="shared" si="98"/>
        <v>24</v>
      </c>
      <c r="FA155" s="115">
        <f t="shared" si="98"/>
        <v>0</v>
      </c>
      <c r="FB155" s="149">
        <f t="shared" si="78"/>
        <v>10.951599999999999</v>
      </c>
      <c r="FC155" s="142">
        <f t="shared" si="78"/>
        <v>13.1</v>
      </c>
      <c r="FD155" s="119">
        <f t="shared" si="78"/>
        <v>0</v>
      </c>
      <c r="FE155" s="121">
        <f t="shared" si="78"/>
        <v>30.7</v>
      </c>
      <c r="FF155" s="121">
        <f t="shared" si="94"/>
        <v>1159.6479053289017</v>
      </c>
      <c r="FG155" s="121">
        <f t="shared" si="79"/>
        <v>68</v>
      </c>
      <c r="FH155" s="121">
        <f t="shared" si="95"/>
        <v>18</v>
      </c>
      <c r="FI155" s="121">
        <f t="shared" si="97"/>
        <v>51</v>
      </c>
      <c r="FJ155" s="144">
        <f t="shared" si="80"/>
        <v>0.38529411764705879</v>
      </c>
      <c r="FK155" s="132">
        <f t="shared" si="81"/>
        <v>0</v>
      </c>
      <c r="FL155" s="115">
        <f t="shared" si="81"/>
        <v>0</v>
      </c>
      <c r="FM155" s="115">
        <f t="shared" si="81"/>
        <v>0</v>
      </c>
      <c r="FN155" s="115">
        <f t="shared" si="58"/>
        <v>0</v>
      </c>
      <c r="FO155" s="115">
        <f t="shared" si="100"/>
        <v>0</v>
      </c>
      <c r="FP155" s="115">
        <f t="shared" si="100"/>
        <v>0</v>
      </c>
      <c r="FQ155" s="149">
        <f t="shared" si="100"/>
        <v>0</v>
      </c>
      <c r="FR155" s="142">
        <f t="shared" si="100"/>
        <v>0</v>
      </c>
      <c r="FS155" s="119">
        <f t="shared" si="100"/>
        <v>0</v>
      </c>
      <c r="FT155" s="121">
        <f t="shared" si="100"/>
        <v>0</v>
      </c>
      <c r="FU155" s="121">
        <f t="shared" si="82"/>
        <v>0</v>
      </c>
      <c r="FV155" s="121">
        <f t="shared" si="82"/>
        <v>0</v>
      </c>
      <c r="FW155" s="121">
        <f t="shared" si="83"/>
        <v>0</v>
      </c>
      <c r="FX155" s="121">
        <f t="shared" si="84"/>
        <v>0</v>
      </c>
      <c r="FY155" s="144">
        <f t="shared" si="84"/>
        <v>0</v>
      </c>
      <c r="FZ155" s="145"/>
      <c r="GA155" s="151" t="s">
        <v>810</v>
      </c>
      <c r="GB155" s="145" t="s">
        <v>199</v>
      </c>
      <c r="GC155" s="151" t="s">
        <v>811</v>
      </c>
      <c r="GD155" s="997" t="s">
        <v>416</v>
      </c>
      <c r="GE155" s="1004" t="s">
        <v>199</v>
      </c>
      <c r="GF155" s="1004">
        <v>-9.1606589360000008</v>
      </c>
      <c r="GG155" s="1004" t="s">
        <v>221</v>
      </c>
      <c r="GH155" s="1004">
        <v>5.1071457360000014</v>
      </c>
      <c r="GI155" s="145" t="s">
        <v>223</v>
      </c>
      <c r="GJ155" s="996">
        <v>-6.4049554799999999</v>
      </c>
      <c r="GK155" s="145"/>
      <c r="GL155" s="996">
        <v>0</v>
      </c>
      <c r="GM155" s="1005"/>
      <c r="GN155" s="996">
        <v>0</v>
      </c>
      <c r="GO155" s="1006" t="s">
        <v>25</v>
      </c>
      <c r="GP155" s="996">
        <v>19.514794899599998</v>
      </c>
      <c r="GQ155" s="1006"/>
      <c r="GR155" s="996">
        <v>0</v>
      </c>
      <c r="GS155" s="1006"/>
      <c r="GT155" s="996">
        <v>0</v>
      </c>
      <c r="GU155" s="1006"/>
      <c r="GV155" s="996">
        <v>0</v>
      </c>
      <c r="GW155" s="1006"/>
      <c r="GX155" s="996">
        <v>0</v>
      </c>
      <c r="GY155" s="1006"/>
      <c r="GZ155" s="996">
        <v>5.6993380399999793E-2</v>
      </c>
      <c r="HA155" s="1006"/>
      <c r="HB155" s="996">
        <v>0.83548168</v>
      </c>
      <c r="HC155" s="1006" t="s">
        <v>199</v>
      </c>
      <c r="HD155" s="996">
        <v>-1.36751208</v>
      </c>
      <c r="HE155" s="1006"/>
      <c r="HF155" s="996">
        <v>0</v>
      </c>
      <c r="HG155" s="1006"/>
      <c r="HH155" s="996">
        <v>0</v>
      </c>
      <c r="HI155" s="1006"/>
      <c r="HJ155" s="996">
        <v>0.77171160000000016</v>
      </c>
      <c r="HK155" s="1006"/>
      <c r="HL155" s="996">
        <v>0</v>
      </c>
      <c r="HM155" s="1006"/>
      <c r="HN155" s="996">
        <v>0</v>
      </c>
      <c r="HO155" s="1006"/>
      <c r="HP155" s="996">
        <v>-0.86626320000000012</v>
      </c>
      <c r="HQ155" s="1006"/>
      <c r="HR155" s="996">
        <v>0</v>
      </c>
      <c r="HS155" s="1006"/>
      <c r="HT155" s="996">
        <v>0</v>
      </c>
      <c r="HU155" s="1006" t="s">
        <v>204</v>
      </c>
      <c r="HV155" s="996">
        <v>1.7124623999999999</v>
      </c>
      <c r="HW155" s="1006"/>
      <c r="HX155" s="996">
        <v>0</v>
      </c>
      <c r="HY155" s="1006"/>
      <c r="HZ155" s="996">
        <v>0.45102199999999992</v>
      </c>
      <c r="IA155" s="1006"/>
      <c r="IB155" s="996">
        <v>0</v>
      </c>
      <c r="IC155" s="1006"/>
      <c r="ID155" s="996">
        <v>0</v>
      </c>
      <c r="IE155" s="1006"/>
      <c r="IF155" s="996">
        <v>0</v>
      </c>
      <c r="IG155" s="1006"/>
      <c r="IH155" s="996">
        <v>0</v>
      </c>
      <c r="II155" s="1006"/>
      <c r="IJ155" s="996">
        <v>0</v>
      </c>
      <c r="IK155" s="1006" t="s">
        <v>199</v>
      </c>
      <c r="IL155" s="996">
        <v>-2.174266292</v>
      </c>
      <c r="IM155" s="1006"/>
      <c r="IN155" s="996">
        <v>0</v>
      </c>
      <c r="IO155" s="1006"/>
      <c r="IP155" s="996">
        <v>0</v>
      </c>
      <c r="IQ155" s="1006" t="s">
        <v>204</v>
      </c>
      <c r="IR155" s="996">
        <v>-2.5333333079999996</v>
      </c>
      <c r="IS155" s="1006"/>
      <c r="IT155" s="996">
        <v>0</v>
      </c>
      <c r="IU155" s="1006"/>
      <c r="IV155" s="996">
        <v>0</v>
      </c>
      <c r="IW155" s="1006"/>
      <c r="IX155" s="996">
        <v>0</v>
      </c>
      <c r="IY155" s="1006"/>
      <c r="IZ155" s="996">
        <v>0</v>
      </c>
      <c r="JA155" s="1006"/>
      <c r="JB155" s="996">
        <v>0</v>
      </c>
      <c r="JC155" s="1006" t="s">
        <v>204</v>
      </c>
      <c r="JD155" s="996">
        <v>2.6714547199999998</v>
      </c>
      <c r="JE155" s="1006"/>
      <c r="JF155" s="996">
        <v>0</v>
      </c>
      <c r="JG155" s="1006"/>
      <c r="JH155" s="996">
        <v>0</v>
      </c>
      <c r="JI155" s="1006"/>
      <c r="JJ155" s="996">
        <v>0</v>
      </c>
      <c r="JK155" s="1007" t="s">
        <v>223</v>
      </c>
      <c r="JL155" s="1007">
        <v>-5.2497623199999994</v>
      </c>
      <c r="JM155" s="1007"/>
      <c r="JN155" s="1007">
        <v>0</v>
      </c>
      <c r="JO155" s="1008"/>
      <c r="JP155" s="1007">
        <v>0</v>
      </c>
      <c r="JQ155" s="1008">
        <v>0</v>
      </c>
      <c r="JR155" s="1007">
        <v>0</v>
      </c>
      <c r="JS155" s="1008">
        <v>0</v>
      </c>
      <c r="JT155" s="1007">
        <v>0</v>
      </c>
      <c r="JU155" s="1008"/>
      <c r="JV155" s="1007">
        <v>0</v>
      </c>
      <c r="JW155" s="1008" t="s">
        <v>197</v>
      </c>
      <c r="JX155" s="1007">
        <v>0</v>
      </c>
      <c r="JY155" s="1008"/>
      <c r="JZ155" s="1007">
        <v>0</v>
      </c>
      <c r="KA155" s="1008"/>
      <c r="KB155" s="1007">
        <v>0</v>
      </c>
      <c r="KC155" s="1008"/>
      <c r="KD155" s="1007">
        <v>0</v>
      </c>
      <c r="KE155" s="1008" t="s">
        <v>204</v>
      </c>
      <c r="KF155" s="1007">
        <v>0.54725312400000092</v>
      </c>
      <c r="KG155" s="1008"/>
      <c r="KH155" s="1007">
        <v>0</v>
      </c>
      <c r="KI155" s="1008" t="s">
        <v>207</v>
      </c>
      <c r="KJ155" s="1007">
        <v>5.1172320759999987</v>
      </c>
      <c r="KK155" s="1008"/>
      <c r="KL155" s="1007">
        <v>0</v>
      </c>
      <c r="KM155" s="1008" t="s">
        <v>221</v>
      </c>
      <c r="KN155" s="1007">
        <v>-7.691618000000001</v>
      </c>
      <c r="KO155" s="1008" t="s">
        <v>207</v>
      </c>
      <c r="KP155" s="1007">
        <v>3.9964980000000008</v>
      </c>
      <c r="KQ155" s="1008" t="s">
        <v>206</v>
      </c>
      <c r="KR155" s="1007">
        <v>2.2739199999999999</v>
      </c>
      <c r="KS155" s="1008">
        <v>0</v>
      </c>
      <c r="KT155" s="1007">
        <v>0</v>
      </c>
      <c r="KU155" s="1008" t="s">
        <v>476</v>
      </c>
      <c r="KV155" s="1007">
        <v>3.3439999999999999</v>
      </c>
      <c r="KW155" s="1008">
        <v>0</v>
      </c>
      <c r="KX155" s="1007">
        <v>0</v>
      </c>
      <c r="KY155" s="1008">
        <v>0</v>
      </c>
      <c r="KZ155" s="1007">
        <v>0</v>
      </c>
      <c r="LA155" s="1008">
        <v>0</v>
      </c>
      <c r="LB155" s="1007">
        <v>0</v>
      </c>
      <c r="LC155" s="1008">
        <v>0</v>
      </c>
      <c r="LD155" s="1007">
        <v>0</v>
      </c>
      <c r="LE155" s="1008" t="s">
        <v>206</v>
      </c>
      <c r="LF155" s="1007">
        <v>1.0868</v>
      </c>
      <c r="LG155" s="1008">
        <v>0</v>
      </c>
      <c r="LH155" s="1007">
        <v>-0.83599999999999997</v>
      </c>
      <c r="LI155" s="1008" t="s">
        <v>204</v>
      </c>
      <c r="LJ155" s="1007">
        <v>-7.9419999999999993</v>
      </c>
      <c r="LK155" s="1008">
        <v>0</v>
      </c>
      <c r="LL155" s="1007">
        <v>0</v>
      </c>
      <c r="LM155" s="1008" t="s">
        <v>555</v>
      </c>
      <c r="LN155" s="1007">
        <v>-2.09</v>
      </c>
      <c r="LO155" s="1008">
        <v>0</v>
      </c>
      <c r="LP155" s="1007">
        <v>0</v>
      </c>
      <c r="LQ155" s="1008" t="s">
        <v>206</v>
      </c>
      <c r="LR155" s="1007">
        <v>4.5979999999999999</v>
      </c>
      <c r="LS155" s="1008">
        <v>0</v>
      </c>
      <c r="LT155" s="1007">
        <v>1.5883999999999991</v>
      </c>
      <c r="LU155" s="1008" t="s">
        <v>259</v>
      </c>
      <c r="LV155" s="1007">
        <v>-1.4513400000000001</v>
      </c>
      <c r="LW155" s="1008">
        <v>0</v>
      </c>
      <c r="LX155" s="1007">
        <v>1.1543399999999999</v>
      </c>
      <c r="LY155" s="1009" t="s">
        <v>206</v>
      </c>
      <c r="LZ155" s="1010">
        <v>-1.564114</v>
      </c>
      <c r="MA155" s="1011">
        <v>0</v>
      </c>
      <c r="MB155" s="1012">
        <v>0</v>
      </c>
      <c r="MC155" s="995"/>
      <c r="MD155" s="996"/>
      <c r="ME155" s="997" t="s">
        <v>416</v>
      </c>
      <c r="MF155" s="997"/>
      <c r="MG155" s="998"/>
      <c r="NR155" s="1000"/>
      <c r="NS155" s="1000"/>
      <c r="NT155" s="1001"/>
      <c r="NU155" s="1000"/>
      <c r="NV155" s="1001"/>
      <c r="NX155" s="1002"/>
      <c r="NZ155" s="1001"/>
      <c r="OA155" s="1001"/>
      <c r="OC155" s="1003"/>
      <c r="OD155" s="1003"/>
      <c r="OE155" s="1001"/>
      <c r="OF155" s="1003"/>
      <c r="OG155" s="1003"/>
      <c r="QX155" s="1000">
        <f t="shared" si="96"/>
        <v>25</v>
      </c>
      <c r="ASU155" s="999" t="s">
        <v>225</v>
      </c>
    </row>
    <row r="156" spans="1:466 1191:1191" ht="21" customHeight="1" x14ac:dyDescent="0.25">
      <c r="A156" s="982" t="str">
        <f t="shared" si="59"/>
        <v>1059-1</v>
      </c>
      <c r="B156" s="124">
        <f>SUBTOTAL(103,$J$29:J156)</f>
        <v>128</v>
      </c>
      <c r="C156" s="126">
        <v>45096</v>
      </c>
      <c r="D156" s="124" t="s">
        <v>176</v>
      </c>
      <c r="E156" s="127" t="s">
        <v>177</v>
      </c>
      <c r="F156" s="128" t="s">
        <v>177</v>
      </c>
      <c r="G156" s="127" t="s">
        <v>178</v>
      </c>
      <c r="H156" s="127" t="s">
        <v>408</v>
      </c>
      <c r="I156" s="127" t="s">
        <v>456</v>
      </c>
      <c r="J156" s="152" t="s">
        <v>812</v>
      </c>
      <c r="K156" s="127" t="s">
        <v>813</v>
      </c>
      <c r="L156" s="130">
        <v>38382</v>
      </c>
      <c r="M156" s="127" t="s">
        <v>230</v>
      </c>
      <c r="N156" s="127" t="s">
        <v>465</v>
      </c>
      <c r="O156" s="127" t="s">
        <v>185</v>
      </c>
      <c r="P156" s="127" t="s">
        <v>208</v>
      </c>
      <c r="Q156" s="85" t="str">
        <f t="shared" si="85"/>
        <v/>
      </c>
      <c r="R156" s="130"/>
      <c r="S156" s="128"/>
      <c r="T156" s="131"/>
      <c r="U156" s="132">
        <v>203</v>
      </c>
      <c r="V156" s="121">
        <v>218.2</v>
      </c>
      <c r="W156" s="116">
        <v>0.98</v>
      </c>
      <c r="X156" s="116">
        <v>1.66</v>
      </c>
      <c r="Y156" s="116">
        <f t="shared" si="86"/>
        <v>0.98403097023953534</v>
      </c>
      <c r="Z156" s="133">
        <v>1.454</v>
      </c>
      <c r="AA156" s="133">
        <v>0.83599999999999997</v>
      </c>
      <c r="AB156" s="133">
        <v>0.72</v>
      </c>
      <c r="AC156" s="121">
        <v>34.299999999999997</v>
      </c>
      <c r="AD156" s="134">
        <v>1.17</v>
      </c>
      <c r="AE156" s="124" t="s">
        <v>253</v>
      </c>
      <c r="AF156" s="128">
        <v>7.72</v>
      </c>
      <c r="AG156" s="128">
        <v>1955</v>
      </c>
      <c r="AH156" s="127">
        <v>2620</v>
      </c>
      <c r="AI156" s="127">
        <v>2620</v>
      </c>
      <c r="AJ156" s="135"/>
      <c r="AK156" s="128"/>
      <c r="AL156" s="131"/>
      <c r="AM156" s="124" t="s">
        <v>232</v>
      </c>
      <c r="AN156" s="136" t="s">
        <v>814</v>
      </c>
      <c r="AO156" s="137">
        <v>657.5</v>
      </c>
      <c r="AP156" s="128">
        <v>1962.5</v>
      </c>
      <c r="AQ156" s="128">
        <v>10.9</v>
      </c>
      <c r="AR156" s="128" t="s">
        <v>815</v>
      </c>
      <c r="AS156" s="128">
        <v>102</v>
      </c>
      <c r="AT156" s="122">
        <v>6.5</v>
      </c>
      <c r="AU156" s="124" t="s">
        <v>250</v>
      </c>
      <c r="AV156" s="115">
        <f>VLOOKUP(J156,'[63]ТР нефть'!$J$28:$BP$638,39,0)</f>
        <v>550</v>
      </c>
      <c r="AW156" s="115" t="str">
        <f>VLOOKUP(J156,'[63]ТР нефть'!$J$28:$BP$638,40,0)</f>
        <v>ГК 90 1/8</v>
      </c>
      <c r="AX156" s="115">
        <f>VLOOKUP(J156,'[63]ТР нефть'!$J$28:$BP$638,41,0)</f>
        <v>1010</v>
      </c>
      <c r="AY156" s="115" t="str">
        <f>VLOOKUP(J156,'[63]ТР нефть'!$J$28:$BP$638,42,0)</f>
        <v>ГК 801/8</v>
      </c>
      <c r="AZ156" s="115">
        <f>VLOOKUP(J156,'[63]ТР нефть'!$J$28:$BP$638,43,0)</f>
        <v>1460</v>
      </c>
      <c r="BA156" s="115" t="str">
        <f>VLOOKUP(J156,'[63]ТР нефть'!$J$28:$BP$638,44,0)</f>
        <v>ЦКсОК 5/16</v>
      </c>
      <c r="BB156" s="115" t="str">
        <f>VLOOKUP(J156,'[63]ТР нефть'!$J$28:$BP$638,45,0)</f>
        <v>-</v>
      </c>
      <c r="BC156" s="115" t="str">
        <f>VLOOKUP(J156,'[63]ТР нефть'!$J$28:$BP$638,46,0)</f>
        <v>-</v>
      </c>
      <c r="BD156" s="115" t="str">
        <f>VLOOKUP(J156,'[63]ТР нефть'!$J$28:$BP$638,47,0)</f>
        <v>-</v>
      </c>
      <c r="BE156" s="115" t="str">
        <f>VLOOKUP(J156,'[63]ТР нефть'!$J$28:$BP$638,48,0)</f>
        <v>-</v>
      </c>
      <c r="BF156" s="115" t="str">
        <f>VLOOKUP(J156,'[63]ТР нефть'!$J$28:$BP$638,49,0)</f>
        <v>-</v>
      </c>
      <c r="BG156" s="115" t="str">
        <f>VLOOKUP(J156,'[63]ТР нефть'!$J$28:$BP$638,50,0)</f>
        <v>-</v>
      </c>
      <c r="BH156" s="115">
        <f>VLOOKUP(J156,'[63]ТР нефть'!$J$28:$BP$638,51,0)</f>
        <v>1485</v>
      </c>
      <c r="BI156" s="115" t="str">
        <f>VLOOKUP(J156,'[63]ТР нефть'!$J$28:$BP$638,52,0)</f>
        <v>закрыт</v>
      </c>
      <c r="BJ156" s="115" t="str">
        <f>IF(IFERROR(VLOOKUP(J156,'[63]ТР нефть'!$J$28:$BP$638,53,0),"-")=0,"-",IFERROR(VLOOKUP(J156,'[63]ТР нефть'!$J$28:$BP$638,53,0),"-"))</f>
        <v>-</v>
      </c>
      <c r="BK156" s="138" t="str">
        <f>IF(IFERROR(VLOOKUP(J156,'[63]ТР нефть'!$J$28:$BP$638,54,0),"-")=0,"-",IFERROR(VLOOKUP(J156,'[63]ТР нефть'!$J$28:$BP$638,54,0),"-"))</f>
        <v>-</v>
      </c>
      <c r="BL156" s="138" t="str">
        <f>IF(IFERROR(VLOOKUP(J156,'[63]ТР нефть'!$J$28:$BP$638,55,0),"-")=0,"-",IFERROR(VLOOKUP(J156,'[63]ТР нефть'!$J$28:$BP$638,55,0),"-"))</f>
        <v>-</v>
      </c>
      <c r="BM156" s="138" t="str">
        <f>IF(IFERROR(VLOOKUP(J156,'[63]ТР нефть'!$J$28:$BP$638,56,0),"-")=0,"-",IFERROR(VLOOKUP(J156,'[63]ТР нефть'!$J$28:$BP$638,56,0),"-"))</f>
        <v>-</v>
      </c>
      <c r="BN156" s="138" t="str">
        <f>IF(IFERROR(VLOOKUP(J156,'[63]ТР нефть'!$J$28:$BP$638,57,0),"-")=0,"-",IFERROR(VLOOKUP(J156,'[63]ТР нефть'!$J$28:$BP$638,57,0),"-"))</f>
        <v>-</v>
      </c>
      <c r="BO156" s="115" t="str">
        <f>IF(IFERROR(VLOOKUP(J156,'[63]ТР нефть'!$J$28:$BP$638,58,0),"-")=0,"-",IFERROR(VLOOKUP(J156,'[63]ТР нефть'!$J$28:$BP$638,58,0),"-"))</f>
        <v>-</v>
      </c>
      <c r="BP156" s="115" t="str">
        <f>IF(IFERROR(VLOOKUP(J156,'[63]ТР нефть'!$J$28:$BP$638,59,0),"-")=0,"-",IFERROR(VLOOKUP(J156,'[63]ТР нефть'!$J$28:$BP$638,59,0),"-"))</f>
        <v>-</v>
      </c>
      <c r="BQ156" s="138">
        <v>1514</v>
      </c>
      <c r="BR156" s="128">
        <v>1485.64</v>
      </c>
      <c r="BS156" s="115">
        <f t="shared" si="60"/>
        <v>28.3599999999999</v>
      </c>
      <c r="BT156" s="128">
        <v>73</v>
      </c>
      <c r="BU156" s="128">
        <v>5.5</v>
      </c>
      <c r="BV156" s="127">
        <v>18</v>
      </c>
      <c r="BW156" s="127" t="s">
        <v>234</v>
      </c>
      <c r="BX156" s="127" t="s">
        <v>195</v>
      </c>
      <c r="BY156" s="139">
        <v>24</v>
      </c>
      <c r="BZ156" s="139">
        <v>0</v>
      </c>
      <c r="CA156" s="138">
        <v>23</v>
      </c>
      <c r="CB156" s="138">
        <v>33</v>
      </c>
      <c r="CC156" s="138">
        <v>22</v>
      </c>
      <c r="CD156" s="135">
        <v>45017</v>
      </c>
      <c r="CE156" s="138">
        <v>104</v>
      </c>
      <c r="CF156" s="138"/>
      <c r="CG156" s="138" t="str">
        <f t="shared" si="102"/>
        <v/>
      </c>
      <c r="CH156" s="138" t="s">
        <v>197</v>
      </c>
      <c r="CI156" s="127"/>
      <c r="CJ156" s="138"/>
      <c r="CK156" s="138"/>
      <c r="CL156" s="99"/>
      <c r="CM156" s="138"/>
      <c r="CN156" s="154">
        <v>44</v>
      </c>
      <c r="CO156" s="141">
        <f t="shared" si="61"/>
        <v>8.6902200000000001</v>
      </c>
      <c r="CP156" s="142">
        <v>10.5</v>
      </c>
      <c r="CQ156" s="143">
        <v>1</v>
      </c>
      <c r="CR156" s="138">
        <v>41.2</v>
      </c>
      <c r="CS156" s="139"/>
      <c r="CT156" s="138"/>
      <c r="CU156" s="138">
        <f t="shared" si="62"/>
        <v>41.2</v>
      </c>
      <c r="CV156" s="115">
        <f t="shared" si="63"/>
        <v>4740.961678760722</v>
      </c>
      <c r="CW156" s="115" t="str">
        <f t="shared" si="64"/>
        <v/>
      </c>
      <c r="CX156" s="133">
        <f t="shared" si="65"/>
        <v>0.17499999999999999</v>
      </c>
      <c r="CY156" s="116"/>
      <c r="CZ156" s="131"/>
      <c r="DA156" s="145" t="str">
        <f t="shared" si="66"/>
        <v>Фон.</v>
      </c>
      <c r="DB156" s="146">
        <f t="shared" si="67"/>
        <v>8.6902200000000001</v>
      </c>
      <c r="DC156" s="142">
        <f t="shared" si="68"/>
        <v>10.5</v>
      </c>
      <c r="DD156" s="119">
        <f t="shared" si="69"/>
        <v>1</v>
      </c>
      <c r="DE156" s="115">
        <f t="shared" si="70"/>
        <v>41.2</v>
      </c>
      <c r="DF156" s="121">
        <f t="shared" si="71"/>
        <v>0</v>
      </c>
      <c r="DG156" s="115">
        <f t="shared" si="72"/>
        <v>4740.961678760722</v>
      </c>
      <c r="DH156" s="115">
        <f t="shared" si="73"/>
        <v>44</v>
      </c>
      <c r="DI156" s="147"/>
      <c r="DJ156" s="111" t="s">
        <v>197</v>
      </c>
      <c r="DK156" s="112">
        <v>42908</v>
      </c>
      <c r="DL156" s="113">
        <f t="shared" ca="1" si="87"/>
        <v>2196</v>
      </c>
      <c r="DM156" s="114"/>
      <c r="DN156" s="114"/>
      <c r="DO156" s="114"/>
      <c r="DP156" s="114"/>
      <c r="DQ156" s="112">
        <v>42914</v>
      </c>
      <c r="DR156" s="114" t="s">
        <v>282</v>
      </c>
      <c r="DS156" s="114"/>
      <c r="DT156" s="115">
        <v>37</v>
      </c>
      <c r="DU156" s="116">
        <f t="shared" si="88"/>
        <v>0.16795977011494254</v>
      </c>
      <c r="DV156" s="117">
        <f t="shared" si="89"/>
        <v>9.3136850172413794</v>
      </c>
      <c r="DW156" s="118">
        <f t="shared" si="90"/>
        <v>11.253304597701151</v>
      </c>
      <c r="DX156" s="119">
        <f t="shared" si="74"/>
        <v>1</v>
      </c>
      <c r="DY156" s="115">
        <f t="shared" si="91"/>
        <v>44.155823754789274</v>
      </c>
      <c r="DZ156" s="117">
        <f t="shared" si="92"/>
        <v>0.62346501724137937</v>
      </c>
      <c r="EA156" s="120">
        <f t="shared" si="92"/>
        <v>0.75330459770115077</v>
      </c>
      <c r="EB156" s="119">
        <f t="shared" si="92"/>
        <v>0</v>
      </c>
      <c r="EC156" s="121">
        <f t="shared" si="93"/>
        <v>2.9558237547892716</v>
      </c>
      <c r="ED156" s="122"/>
      <c r="EE156" s="145">
        <v>18</v>
      </c>
      <c r="EF156" s="115">
        <v>23</v>
      </c>
      <c r="EG156" s="115">
        <v>33</v>
      </c>
      <c r="EH156" s="115">
        <v>22</v>
      </c>
      <c r="EI156" s="128" t="s">
        <v>195</v>
      </c>
      <c r="EJ156" s="121">
        <v>24</v>
      </c>
      <c r="EK156" s="121">
        <v>0</v>
      </c>
      <c r="EL156" s="149">
        <v>8.6902200000000001</v>
      </c>
      <c r="EM156" s="142">
        <v>10.5</v>
      </c>
      <c r="EN156" s="119">
        <v>1</v>
      </c>
      <c r="EO156" s="115">
        <v>41.2</v>
      </c>
      <c r="EP156" s="115">
        <v>4740.961678760722</v>
      </c>
      <c r="EQ156" s="115">
        <v>0</v>
      </c>
      <c r="ER156" s="115">
        <v>0</v>
      </c>
      <c r="ES156" s="115">
        <v>44</v>
      </c>
      <c r="ET156" s="150">
        <v>0.17499999999999999</v>
      </c>
      <c r="EU156" s="145">
        <f t="shared" si="75"/>
        <v>18</v>
      </c>
      <c r="EV156" s="115">
        <f t="shared" si="76"/>
        <v>23</v>
      </c>
      <c r="EW156" s="115">
        <f t="shared" si="76"/>
        <v>33</v>
      </c>
      <c r="EX156" s="115">
        <f t="shared" si="76"/>
        <v>22</v>
      </c>
      <c r="EY156" s="115" t="str">
        <f t="shared" si="98"/>
        <v>Постоянный</v>
      </c>
      <c r="EZ156" s="115">
        <f t="shared" si="98"/>
        <v>24</v>
      </c>
      <c r="FA156" s="115">
        <f t="shared" si="98"/>
        <v>0</v>
      </c>
      <c r="FB156" s="149">
        <f t="shared" si="78"/>
        <v>8.6902200000000001</v>
      </c>
      <c r="FC156" s="142">
        <f t="shared" si="78"/>
        <v>10.5</v>
      </c>
      <c r="FD156" s="119">
        <f t="shared" si="78"/>
        <v>1</v>
      </c>
      <c r="FE156" s="121">
        <f t="shared" ref="FE156:FE219" si="103">CR156</f>
        <v>41.2</v>
      </c>
      <c r="FF156" s="121">
        <f t="shared" si="94"/>
        <v>4740.961678760722</v>
      </c>
      <c r="FG156" s="121">
        <f t="shared" si="79"/>
        <v>0</v>
      </c>
      <c r="FH156" s="121">
        <f t="shared" si="95"/>
        <v>0</v>
      </c>
      <c r="FI156" s="121">
        <f t="shared" si="97"/>
        <v>44</v>
      </c>
      <c r="FJ156" s="144">
        <f t="shared" si="80"/>
        <v>0.17499999999999999</v>
      </c>
      <c r="FK156" s="132">
        <f t="shared" si="81"/>
        <v>0</v>
      </c>
      <c r="FL156" s="115">
        <f t="shared" si="81"/>
        <v>0</v>
      </c>
      <c r="FM156" s="115">
        <f t="shared" si="81"/>
        <v>0</v>
      </c>
      <c r="FN156" s="115">
        <f t="shared" si="81"/>
        <v>0</v>
      </c>
      <c r="FO156" s="115">
        <f t="shared" si="100"/>
        <v>0</v>
      </c>
      <c r="FP156" s="115">
        <f t="shared" si="100"/>
        <v>0</v>
      </c>
      <c r="FQ156" s="149">
        <f t="shared" si="100"/>
        <v>0</v>
      </c>
      <c r="FR156" s="142">
        <f t="shared" si="100"/>
        <v>0</v>
      </c>
      <c r="FS156" s="119">
        <f t="shared" si="100"/>
        <v>0</v>
      </c>
      <c r="FT156" s="121">
        <f t="shared" si="100"/>
        <v>0</v>
      </c>
      <c r="FU156" s="121">
        <f t="shared" si="82"/>
        <v>0</v>
      </c>
      <c r="FV156" s="121">
        <f t="shared" si="82"/>
        <v>0</v>
      </c>
      <c r="FW156" s="121">
        <f t="shared" si="83"/>
        <v>0</v>
      </c>
      <c r="FX156" s="121">
        <f t="shared" si="84"/>
        <v>0</v>
      </c>
      <c r="FY156" s="144">
        <f t="shared" si="84"/>
        <v>0</v>
      </c>
      <c r="FZ156" s="145"/>
      <c r="GA156" s="163" t="s">
        <v>283</v>
      </c>
      <c r="GB156" s="145"/>
      <c r="GC156" s="151" t="s">
        <v>237</v>
      </c>
      <c r="GD156" s="997" t="s">
        <v>238</v>
      </c>
      <c r="GE156" s="1004"/>
      <c r="GF156" s="1004">
        <v>0.6813400000000005</v>
      </c>
      <c r="GG156" s="1004"/>
      <c r="GH156" s="1004">
        <v>0</v>
      </c>
      <c r="GI156" s="145"/>
      <c r="GJ156" s="996">
        <v>0</v>
      </c>
      <c r="GK156" s="145"/>
      <c r="GL156" s="996">
        <v>0</v>
      </c>
      <c r="GM156" s="1005"/>
      <c r="GN156" s="996">
        <v>0</v>
      </c>
      <c r="GO156" s="1006"/>
      <c r="GP156" s="996">
        <v>0</v>
      </c>
      <c r="GQ156" s="1006"/>
      <c r="GR156" s="996">
        <v>0</v>
      </c>
      <c r="GS156" s="1006"/>
      <c r="GT156" s="996">
        <v>0</v>
      </c>
      <c r="GU156" s="1006"/>
      <c r="GV156" s="996">
        <v>0</v>
      </c>
      <c r="GW156" s="1006"/>
      <c r="GX156" s="997">
        <v>0</v>
      </c>
      <c r="GY156" s="1006"/>
      <c r="GZ156" s="996">
        <v>0</v>
      </c>
      <c r="HA156" s="1006"/>
      <c r="HB156" s="996">
        <v>0</v>
      </c>
      <c r="HC156" s="1006"/>
      <c r="HD156" s="996">
        <v>0</v>
      </c>
      <c r="HE156" s="1006"/>
      <c r="HF156" s="996">
        <v>0</v>
      </c>
      <c r="HG156" s="1006"/>
      <c r="HH156" s="996">
        <v>0</v>
      </c>
      <c r="HI156" s="1006"/>
      <c r="HJ156" s="996">
        <v>0</v>
      </c>
      <c r="HK156" s="1006"/>
      <c r="HL156" s="996">
        <v>0.10868000000000055</v>
      </c>
      <c r="HM156" s="1006"/>
      <c r="HN156" s="996">
        <v>0</v>
      </c>
      <c r="HO156" s="1006"/>
      <c r="HP156" s="996">
        <v>0</v>
      </c>
      <c r="HQ156" s="1006"/>
      <c r="HR156" s="996">
        <v>0</v>
      </c>
      <c r="HS156" s="1006"/>
      <c r="HT156" s="996">
        <v>0</v>
      </c>
      <c r="HU156" s="1006"/>
      <c r="HV156" s="996">
        <v>0</v>
      </c>
      <c r="HW156" s="1006"/>
      <c r="HX156" s="996">
        <v>0</v>
      </c>
      <c r="HY156" s="1006" t="s">
        <v>241</v>
      </c>
      <c r="HZ156" s="996">
        <v>2.5497999999999985</v>
      </c>
      <c r="IA156" s="1006" t="s">
        <v>223</v>
      </c>
      <c r="IB156" s="996">
        <v>-1.3375999999999992</v>
      </c>
      <c r="IC156" s="1006"/>
      <c r="ID156" s="996">
        <v>0</v>
      </c>
      <c r="IE156" s="1006" t="s">
        <v>204</v>
      </c>
      <c r="IF156" s="996">
        <v>-4.9327344000000002</v>
      </c>
      <c r="IG156" s="1006"/>
      <c r="IH156" s="996">
        <v>0</v>
      </c>
      <c r="II156" s="1006"/>
      <c r="IJ156" s="996">
        <v>0</v>
      </c>
      <c r="IK156" s="1006"/>
      <c r="IL156" s="996">
        <v>0</v>
      </c>
      <c r="IM156" s="1006"/>
      <c r="IN156" s="996">
        <v>-0.72130079999999985</v>
      </c>
      <c r="IO156" s="1006"/>
      <c r="IP156" s="996">
        <v>0</v>
      </c>
      <c r="IQ156" s="1006"/>
      <c r="IR156" s="996">
        <v>0</v>
      </c>
      <c r="IS156" s="1006" t="s">
        <v>199</v>
      </c>
      <c r="IT156" s="996">
        <v>3.4403423120000003</v>
      </c>
      <c r="IU156" s="1006"/>
      <c r="IV156" s="996">
        <v>0</v>
      </c>
      <c r="IW156" s="1006"/>
      <c r="IX156" s="996">
        <v>0</v>
      </c>
      <c r="IY156" s="1006" t="s">
        <v>199</v>
      </c>
      <c r="IZ156" s="996">
        <v>-4.6780235920000006</v>
      </c>
      <c r="JA156" s="1006"/>
      <c r="JB156" s="996">
        <v>0</v>
      </c>
      <c r="JC156" s="1006"/>
      <c r="JD156" s="996">
        <v>0</v>
      </c>
      <c r="JE156" s="1006"/>
      <c r="JF156" s="996">
        <v>0</v>
      </c>
      <c r="JG156" s="1006"/>
      <c r="JH156" s="996">
        <v>0</v>
      </c>
      <c r="JI156" s="1006"/>
      <c r="JJ156" s="996">
        <v>0</v>
      </c>
      <c r="JK156" s="1007"/>
      <c r="JL156" s="1007">
        <v>0</v>
      </c>
      <c r="JM156" s="1007"/>
      <c r="JN156" s="1007">
        <v>0</v>
      </c>
      <c r="JO156" s="1008"/>
      <c r="JP156" s="1007">
        <v>0</v>
      </c>
      <c r="JQ156" s="1008">
        <v>0</v>
      </c>
      <c r="JR156" s="1007">
        <v>0</v>
      </c>
      <c r="JS156" s="1008" t="s">
        <v>204</v>
      </c>
      <c r="JT156" s="1007">
        <v>-1.7331283199999969</v>
      </c>
      <c r="JU156" s="1008"/>
      <c r="JV156" s="1007">
        <v>0</v>
      </c>
      <c r="JW156" s="1008" t="s">
        <v>197</v>
      </c>
      <c r="JX156" s="1007">
        <v>0</v>
      </c>
      <c r="JY156" s="1008"/>
      <c r="JZ156" s="1007">
        <v>0</v>
      </c>
      <c r="KA156" s="1008"/>
      <c r="KB156" s="1007">
        <v>0</v>
      </c>
      <c r="KC156" s="1008"/>
      <c r="KD156" s="1007">
        <v>0</v>
      </c>
      <c r="KE156" s="1008"/>
      <c r="KF156" s="1007">
        <v>0</v>
      </c>
      <c r="KG156" s="1008" t="s">
        <v>204</v>
      </c>
      <c r="KH156" s="1007">
        <v>-0.66311520000000179</v>
      </c>
      <c r="KI156" s="1008"/>
      <c r="KJ156" s="1007">
        <v>0</v>
      </c>
      <c r="KK156" s="1008"/>
      <c r="KL156" s="1007">
        <v>0</v>
      </c>
      <c r="KM156" s="1008"/>
      <c r="KN156" s="1007">
        <v>-2.4160400000000006</v>
      </c>
      <c r="KO156" s="1008" t="s">
        <v>206</v>
      </c>
      <c r="KP156" s="1007">
        <v>-1.5047999999999995</v>
      </c>
      <c r="KQ156" s="1008">
        <v>0</v>
      </c>
      <c r="KR156" s="1007">
        <v>0</v>
      </c>
      <c r="KS156" s="1008" t="s">
        <v>204</v>
      </c>
      <c r="KT156" s="1007">
        <v>1.5047999999999995</v>
      </c>
      <c r="KU156" s="1008" t="s">
        <v>206</v>
      </c>
      <c r="KV156" s="1007">
        <v>-1.6720000000000006</v>
      </c>
      <c r="KW156" s="1008">
        <v>0</v>
      </c>
      <c r="KX156" s="1007">
        <v>0</v>
      </c>
      <c r="KY156" s="1008">
        <v>0</v>
      </c>
      <c r="KZ156" s="1007">
        <v>0</v>
      </c>
      <c r="LA156" s="1008" t="s">
        <v>204</v>
      </c>
      <c r="LB156" s="1007">
        <v>-5.8520000000000003</v>
      </c>
      <c r="LC156" s="1008">
        <v>0</v>
      </c>
      <c r="LD156" s="1007">
        <v>0</v>
      </c>
      <c r="LE156" s="1008">
        <v>0</v>
      </c>
      <c r="LF156" s="1007">
        <v>0</v>
      </c>
      <c r="LG156" s="1008">
        <v>0</v>
      </c>
      <c r="LH156" s="1007">
        <v>0</v>
      </c>
      <c r="LI156" s="1008" t="s">
        <v>204</v>
      </c>
      <c r="LJ156" s="1007">
        <v>8.360000000000003</v>
      </c>
      <c r="LK156" s="1008" t="s">
        <v>203</v>
      </c>
      <c r="LL156" s="1007">
        <v>-18.224799999999998</v>
      </c>
      <c r="LM156" s="1008" t="s">
        <v>314</v>
      </c>
      <c r="LN156" s="1007">
        <v>7.1059999999999999</v>
      </c>
      <c r="LO156" s="1008" t="s">
        <v>221</v>
      </c>
      <c r="LP156" s="1007">
        <v>11.224</v>
      </c>
      <c r="LQ156" s="1008" t="s">
        <v>25</v>
      </c>
      <c r="LR156" s="1007">
        <v>17.472399999999997</v>
      </c>
      <c r="LS156" s="1008">
        <v>0</v>
      </c>
      <c r="LT156" s="1007">
        <v>0</v>
      </c>
      <c r="LU156" s="1008">
        <v>0</v>
      </c>
      <c r="LV156" s="1007">
        <v>0</v>
      </c>
      <c r="LW156" s="1008">
        <v>0</v>
      </c>
      <c r="LX156" s="1007">
        <v>0</v>
      </c>
      <c r="LY156" s="1009">
        <v>0</v>
      </c>
      <c r="LZ156" s="1010">
        <v>0</v>
      </c>
      <c r="MA156" s="1011">
        <v>0</v>
      </c>
      <c r="MB156" s="1012">
        <v>-2.9</v>
      </c>
      <c r="MC156" s="995"/>
      <c r="MD156" s="996"/>
      <c r="ME156" s="997" t="s">
        <v>238</v>
      </c>
      <c r="MF156" s="997"/>
      <c r="MG156" s="998"/>
      <c r="NR156" s="1000"/>
      <c r="NS156" s="1000"/>
      <c r="NT156" s="1001"/>
      <c r="NU156" s="1000"/>
      <c r="NV156" s="1001"/>
      <c r="NX156" s="1002"/>
      <c r="NZ156" s="1001"/>
      <c r="OA156" s="1001"/>
      <c r="OC156" s="1003"/>
      <c r="OD156" s="1003"/>
      <c r="OE156" s="1001"/>
      <c r="OF156" s="1003"/>
      <c r="OG156" s="1003"/>
      <c r="QX156" s="1000">
        <f t="shared" si="96"/>
        <v>21</v>
      </c>
      <c r="ASU156" s="999" t="s">
        <v>292</v>
      </c>
    </row>
    <row r="157" spans="1:466 1191:1191" ht="21" customHeight="1" x14ac:dyDescent="0.25">
      <c r="A157" s="982" t="str">
        <f t="shared" ref="A157:A220" si="104">$J157</f>
        <v>1059-2</v>
      </c>
      <c r="B157" s="124">
        <f>SUBTOTAL(103,$J$29:J157)</f>
        <v>129</v>
      </c>
      <c r="C157" s="126">
        <v>45096</v>
      </c>
      <c r="D157" s="124" t="s">
        <v>176</v>
      </c>
      <c r="E157" s="127" t="s">
        <v>177</v>
      </c>
      <c r="F157" s="128" t="s">
        <v>177</v>
      </c>
      <c r="G157" s="127" t="s">
        <v>178</v>
      </c>
      <c r="H157" s="127" t="s">
        <v>226</v>
      </c>
      <c r="I157" s="127" t="s">
        <v>456</v>
      </c>
      <c r="J157" s="152" t="s">
        <v>816</v>
      </c>
      <c r="K157" s="127" t="s">
        <v>813</v>
      </c>
      <c r="L157" s="130">
        <v>38533</v>
      </c>
      <c r="M157" s="127" t="s">
        <v>230</v>
      </c>
      <c r="N157" s="127" t="s">
        <v>231</v>
      </c>
      <c r="O157" s="127" t="s">
        <v>185</v>
      </c>
      <c r="P157" s="127" t="s">
        <v>208</v>
      </c>
      <c r="Q157" s="85" t="str">
        <f t="shared" si="85"/>
        <v/>
      </c>
      <c r="R157" s="130"/>
      <c r="S157" s="128" t="s">
        <v>156</v>
      </c>
      <c r="T157" s="131"/>
      <c r="U157" s="132">
        <v>203</v>
      </c>
      <c r="V157" s="121">
        <v>218.2</v>
      </c>
      <c r="W157" s="116">
        <v>0.98</v>
      </c>
      <c r="X157" s="116">
        <v>1.66</v>
      </c>
      <c r="Y157" s="116">
        <f t="shared" si="86"/>
        <v>0.98080354989630048</v>
      </c>
      <c r="Z157" s="133">
        <v>1.454</v>
      </c>
      <c r="AA157" s="133">
        <v>0.83599999999999997</v>
      </c>
      <c r="AB157" s="133">
        <v>0.72</v>
      </c>
      <c r="AC157" s="121">
        <v>34.299999999999997</v>
      </c>
      <c r="AD157" s="134">
        <v>1.17</v>
      </c>
      <c r="AE157" s="124">
        <v>139.69999999999999</v>
      </c>
      <c r="AF157" s="128">
        <v>7.72</v>
      </c>
      <c r="AG157" s="128">
        <v>1933</v>
      </c>
      <c r="AH157" s="127">
        <v>2451</v>
      </c>
      <c r="AI157" s="127">
        <v>2451</v>
      </c>
      <c r="AJ157" s="135"/>
      <c r="AK157" s="128"/>
      <c r="AL157" s="131"/>
      <c r="AM157" s="124" t="s">
        <v>232</v>
      </c>
      <c r="AN157" s="136" t="s">
        <v>817</v>
      </c>
      <c r="AO157" s="137">
        <v>44.400000000000091</v>
      </c>
      <c r="AP157" s="128">
        <v>1832</v>
      </c>
      <c r="AQ157" s="128">
        <v>65.5</v>
      </c>
      <c r="AR157" s="128"/>
      <c r="AS157" s="128"/>
      <c r="AT157" s="122"/>
      <c r="AU157" s="124" t="s">
        <v>250</v>
      </c>
      <c r="AV157" s="115">
        <f>VLOOKUP(J157,'[63]ТР нефть'!$J$28:$BP$638,39,0)</f>
        <v>600</v>
      </c>
      <c r="AW157" s="115" t="str">
        <f>VLOOKUP(J157,'[63]ТР нефть'!$J$28:$BP$638,40,0)</f>
        <v>ГК 80 1/8</v>
      </c>
      <c r="AX157" s="115">
        <f>VLOOKUP(J157,'[63]ТР нефть'!$J$28:$BP$638,41,0)</f>
        <v>1200</v>
      </c>
      <c r="AY157" s="115" t="str">
        <f>VLOOKUP(J157,'[63]ТР нефть'!$J$28:$BP$638,42,0)</f>
        <v>ГК 60 1/8</v>
      </c>
      <c r="AZ157" s="115">
        <f>VLOOKUP(J157,'[63]ТР нефть'!$J$28:$BP$638,43,0)</f>
        <v>1750</v>
      </c>
      <c r="BA157" s="115" t="str">
        <f>VLOOKUP(J157,'[63]ТР нефть'!$J$28:$BP$638,44,0)</f>
        <v>ЦКсОК 5/16</v>
      </c>
      <c r="BB157" s="115" t="str">
        <f>VLOOKUP(J157,'[63]ТР нефть'!$J$28:$BP$638,45,0)</f>
        <v>-</v>
      </c>
      <c r="BC157" s="115" t="str">
        <f>VLOOKUP(J157,'[63]ТР нефть'!$J$28:$BP$638,46,0)</f>
        <v>-</v>
      </c>
      <c r="BD157" s="115" t="str">
        <f>VLOOKUP(J157,'[63]ТР нефть'!$J$28:$BP$638,47,0)</f>
        <v>-</v>
      </c>
      <c r="BE157" s="115" t="str">
        <f>VLOOKUP(J157,'[63]ТР нефть'!$J$28:$BP$638,48,0)</f>
        <v>-</v>
      </c>
      <c r="BF157" s="115" t="str">
        <f>VLOOKUP(J157,'[63]ТР нефть'!$J$28:$BP$638,49,0)</f>
        <v>-</v>
      </c>
      <c r="BG157" s="115" t="str">
        <f>VLOOKUP(J157,'[63]ТР нефть'!$J$28:$BP$638,50,0)</f>
        <v>-</v>
      </c>
      <c r="BH157" s="115">
        <f>VLOOKUP(J157,'[63]ТР нефть'!$J$28:$BP$638,51,0)</f>
        <v>1760</v>
      </c>
      <c r="BI157" s="115" t="str">
        <f>VLOOKUP(J157,'[63]ТР нефть'!$J$28:$BP$638,52,0)</f>
        <v>закрыт</v>
      </c>
      <c r="BJ157" s="115" t="str">
        <f>IF(IFERROR(VLOOKUP(J157,'[63]ТР нефть'!$J$28:$BP$638,53,0),"-")=0,"-",IFERROR(VLOOKUP(J157,'[63]ТР нефть'!$J$28:$BP$638,53,0),"-"))</f>
        <v>-</v>
      </c>
      <c r="BK157" s="138" t="str">
        <f>IF(IFERROR(VLOOKUP(J157,'[63]ТР нефть'!$J$28:$BP$638,54,0),"-")=0,"-",IFERROR(VLOOKUP(J157,'[63]ТР нефть'!$J$28:$BP$638,54,0),"-"))</f>
        <v>-</v>
      </c>
      <c r="BL157" s="138" t="str">
        <f>IF(IFERROR(VLOOKUP(J157,'[63]ТР нефть'!$J$28:$BP$638,55,0),"-")=0,"-",IFERROR(VLOOKUP(J157,'[63]ТР нефть'!$J$28:$BP$638,55,0),"-"))</f>
        <v>-</v>
      </c>
      <c r="BM157" s="138" t="str">
        <f>IF(IFERROR(VLOOKUP(J157,'[63]ТР нефть'!$J$28:$BP$638,56,0),"-")=0,"-",IFERROR(VLOOKUP(J157,'[63]ТР нефть'!$J$28:$BP$638,56,0),"-"))</f>
        <v>-</v>
      </c>
      <c r="BN157" s="138" t="str">
        <f>IF(IFERROR(VLOOKUP(J157,'[63]ТР нефть'!$J$28:$BP$638,57,0),"-")=0,"-",IFERROR(VLOOKUP(J157,'[63]ТР нефть'!$J$28:$BP$638,57,0),"-"))</f>
        <v>-</v>
      </c>
      <c r="BO157" s="115" t="str">
        <f>IF(IFERROR(VLOOKUP(J157,'[63]ТР нефть'!$J$28:$BP$638,58,0),"-")=0,"-",IFERROR(VLOOKUP(J157,'[63]ТР нефть'!$J$28:$BP$638,58,0),"-"))</f>
        <v>-</v>
      </c>
      <c r="BP157" s="115" t="str">
        <f>IF(IFERROR(VLOOKUP(J157,'[63]ТР нефть'!$J$28:$BP$638,59,0),"-")=0,"-",IFERROR(VLOOKUP(J157,'[63]ТР нефть'!$J$28:$BP$638,59,0),"-"))</f>
        <v>-</v>
      </c>
      <c r="BQ157" s="138">
        <v>1832</v>
      </c>
      <c r="BR157" s="128">
        <v>1673.63</v>
      </c>
      <c r="BS157" s="115">
        <f t="shared" ref="BS157:BS220" si="105">BQ157-BR157</f>
        <v>158.36999999999989</v>
      </c>
      <c r="BT157" s="128">
        <v>73</v>
      </c>
      <c r="BU157" s="128">
        <v>5.5</v>
      </c>
      <c r="BV157" s="127">
        <v>65</v>
      </c>
      <c r="BW157" s="127" t="s">
        <v>234</v>
      </c>
      <c r="BX157" s="127" t="s">
        <v>195</v>
      </c>
      <c r="BY157" s="139">
        <v>24</v>
      </c>
      <c r="BZ157" s="139">
        <v>0</v>
      </c>
      <c r="CA157" s="115">
        <v>54</v>
      </c>
      <c r="CB157" s="115">
        <v>60</v>
      </c>
      <c r="CC157" s="115">
        <v>53</v>
      </c>
      <c r="CD157" s="135">
        <v>45017</v>
      </c>
      <c r="CE157" s="138">
        <v>129.9</v>
      </c>
      <c r="CF157" s="138"/>
      <c r="CG157" s="138" t="str">
        <f t="shared" si="102"/>
        <v/>
      </c>
      <c r="CH157" s="138" t="s">
        <v>197</v>
      </c>
      <c r="CI157" s="127"/>
      <c r="CJ157" s="138"/>
      <c r="CK157" s="138"/>
      <c r="CL157" s="99"/>
      <c r="CM157" s="138"/>
      <c r="CN157" s="154">
        <v>78</v>
      </c>
      <c r="CO157" s="141">
        <f t="shared" ref="CO157:CO220" si="106">CP157*(1-CQ157/100)*0.836</f>
        <v>8.2231367679999998</v>
      </c>
      <c r="CP157" s="142">
        <v>9.8559999999999999</v>
      </c>
      <c r="CQ157" s="119">
        <v>0.2</v>
      </c>
      <c r="CR157" s="115">
        <v>81.254000000000005</v>
      </c>
      <c r="CS157" s="139"/>
      <c r="CT157" s="138"/>
      <c r="CU157" s="138">
        <f t="shared" ref="CU157:CU164" si="107">IF(CR157&lt;&gt;"0",CR157-CS157,"0")</f>
        <v>81.254000000000005</v>
      </c>
      <c r="CV157" s="115">
        <f t="shared" ref="CV157:CV164" si="108">(CR157-CS157)*1000/CO157</f>
        <v>9881.1441779974539</v>
      </c>
      <c r="CW157" s="115" t="str">
        <f t="shared" ref="CW157:CW219" si="109">IF(CP157&lt;&gt;0,IF(AU157=$AU$29,CS157/(CO157+(CP157-CO157/0.836)*1.158)*1000,""),"")</f>
        <v/>
      </c>
      <c r="CX157" s="133">
        <f t="shared" ref="CX157:CX164" si="110">IF(CP157&lt;&gt;0,CP157/(CE157-CN157),0)</f>
        <v>0.18990366088631982</v>
      </c>
      <c r="CY157" s="116"/>
      <c r="CZ157" s="131"/>
      <c r="DA157" s="145" t="str">
        <f t="shared" ref="DA157:DA220" si="111">AU157</f>
        <v>Фон.</v>
      </c>
      <c r="DB157" s="146">
        <f t="shared" ref="DB157:DB220" si="112">IFERROR(DC157*(1-DD157/100)*$AA157,"-")</f>
        <v>8.2231367679999998</v>
      </c>
      <c r="DC157" s="142">
        <f t="shared" ref="DC157:DC179" si="113">IFERROR(IF(AND(FZ157="Технология",FQ157&lt;$JC$24),EM157,CP157),"-")</f>
        <v>9.8559999999999999</v>
      </c>
      <c r="DD157" s="119">
        <f t="shared" ref="DD157:DD179" si="114">IFERROR(IF(AND(FZ157="Технология",FQ157&lt;$JC$29),EN157,CQ157),"-")</f>
        <v>0.2</v>
      </c>
      <c r="DE157" s="115">
        <f t="shared" ref="DE157:DE220" si="115">CU157</f>
        <v>81.254000000000005</v>
      </c>
      <c r="DF157" s="121">
        <f t="shared" ref="DF157:DF220" si="116">CS157</f>
        <v>0</v>
      </c>
      <c r="DG157" s="115">
        <f t="shared" ref="DG157:DG220" si="117">CV157</f>
        <v>9881.1441779974539</v>
      </c>
      <c r="DH157" s="115">
        <f t="shared" ref="DH157:DH220" si="118">CN157</f>
        <v>78</v>
      </c>
      <c r="DI157" s="147"/>
      <c r="DJ157" s="111" t="s">
        <v>197</v>
      </c>
      <c r="DK157" s="112">
        <v>42109</v>
      </c>
      <c r="DL157" s="113">
        <f t="shared" ca="1" si="87"/>
        <v>2995</v>
      </c>
      <c r="DM157" s="114"/>
      <c r="DN157" s="114"/>
      <c r="DO157" s="114"/>
      <c r="DP157" s="114"/>
      <c r="DQ157" s="112">
        <v>38534</v>
      </c>
      <c r="DR157" s="114" t="s">
        <v>198</v>
      </c>
      <c r="DS157" s="114"/>
      <c r="DT157" s="115">
        <v>68</v>
      </c>
      <c r="DU157" s="116">
        <f t="shared" si="88"/>
        <v>0.18200335258111666</v>
      </c>
      <c r="DV157" s="117">
        <f t="shared" si="89"/>
        <v>9.3995455261272411</v>
      </c>
      <c r="DW157" s="118">
        <f t="shared" si="90"/>
        <v>11.266007524771123</v>
      </c>
      <c r="DX157" s="119">
        <f t="shared" ref="DX157:DX220" si="119">CQ157</f>
        <v>0.2</v>
      </c>
      <c r="DY157" s="115">
        <f t="shared" si="91"/>
        <v>92.878264551314203</v>
      </c>
      <c r="DZ157" s="117">
        <f t="shared" si="92"/>
        <v>1.1764087581272413</v>
      </c>
      <c r="EA157" s="120">
        <f t="shared" si="92"/>
        <v>1.4100075247711228</v>
      </c>
      <c r="EB157" s="119">
        <f t="shared" si="92"/>
        <v>0</v>
      </c>
      <c r="EC157" s="121">
        <f t="shared" si="93"/>
        <v>11.624264551314198</v>
      </c>
      <c r="ED157" s="122"/>
      <c r="EE157" s="145">
        <v>65</v>
      </c>
      <c r="EF157" s="115">
        <v>54</v>
      </c>
      <c r="EG157" s="115">
        <v>60</v>
      </c>
      <c r="EH157" s="115">
        <v>53</v>
      </c>
      <c r="EI157" s="128" t="s">
        <v>195</v>
      </c>
      <c r="EJ157" s="121">
        <v>24</v>
      </c>
      <c r="EK157" s="121">
        <v>0</v>
      </c>
      <c r="EL157" s="149">
        <v>8.2231367679999998</v>
      </c>
      <c r="EM157" s="142">
        <v>9.8559999999999999</v>
      </c>
      <c r="EN157" s="119">
        <v>0.2</v>
      </c>
      <c r="EO157" s="115">
        <v>81.254000000000005</v>
      </c>
      <c r="EP157" s="115">
        <v>9881.1441779974539</v>
      </c>
      <c r="EQ157" s="115">
        <v>0</v>
      </c>
      <c r="ER157" s="115">
        <v>0</v>
      </c>
      <c r="ES157" s="115">
        <v>124</v>
      </c>
      <c r="ET157" s="150">
        <v>0.18990366088631982</v>
      </c>
      <c r="EU157" s="145">
        <f t="shared" ref="EU157:EU220" si="120">BV157</f>
        <v>65</v>
      </c>
      <c r="EV157" s="115">
        <f t="shared" ref="EV157:EX220" si="121">CA157</f>
        <v>54</v>
      </c>
      <c r="EW157" s="115">
        <f t="shared" si="121"/>
        <v>60</v>
      </c>
      <c r="EX157" s="115">
        <f t="shared" si="121"/>
        <v>53</v>
      </c>
      <c r="EY157" s="115" t="str">
        <f t="shared" ref="EY157:FA190" si="122">BX157</f>
        <v>Постоянный</v>
      </c>
      <c r="EZ157" s="115">
        <f t="shared" si="122"/>
        <v>24</v>
      </c>
      <c r="FA157" s="115">
        <f t="shared" si="122"/>
        <v>0</v>
      </c>
      <c r="FB157" s="149">
        <f t="shared" ref="FB157:FE220" si="123">CO157</f>
        <v>8.2231367679999998</v>
      </c>
      <c r="FC157" s="142">
        <f t="shared" si="123"/>
        <v>9.8559999999999999</v>
      </c>
      <c r="FD157" s="119">
        <f t="shared" si="123"/>
        <v>0.2</v>
      </c>
      <c r="FE157" s="121">
        <f t="shared" si="103"/>
        <v>81.254000000000005</v>
      </c>
      <c r="FF157" s="121">
        <f t="shared" si="94"/>
        <v>9881.1441779974539</v>
      </c>
      <c r="FG157" s="121">
        <f t="shared" ref="FG157:FG220" si="124">CF157</f>
        <v>0</v>
      </c>
      <c r="FH157" s="121">
        <f t="shared" si="95"/>
        <v>0</v>
      </c>
      <c r="FI157" s="121">
        <v>124</v>
      </c>
      <c r="FJ157" s="144">
        <f t="shared" ref="FJ157:FJ220" si="125">CX157</f>
        <v>0.18990366088631982</v>
      </c>
      <c r="FK157" s="132">
        <f t="shared" ref="FK157:FN220" si="126">EU157-EE157</f>
        <v>0</v>
      </c>
      <c r="FL157" s="115">
        <f t="shared" si="126"/>
        <v>0</v>
      </c>
      <c r="FM157" s="115">
        <f t="shared" si="126"/>
        <v>0</v>
      </c>
      <c r="FN157" s="115">
        <f t="shared" si="126"/>
        <v>0</v>
      </c>
      <c r="FO157" s="115">
        <f t="shared" si="100"/>
        <v>0</v>
      </c>
      <c r="FP157" s="115">
        <f t="shared" si="100"/>
        <v>0</v>
      </c>
      <c r="FQ157" s="149">
        <f t="shared" si="100"/>
        <v>0</v>
      </c>
      <c r="FR157" s="142">
        <f t="shared" si="100"/>
        <v>0</v>
      </c>
      <c r="FS157" s="119">
        <f t="shared" si="100"/>
        <v>0</v>
      </c>
      <c r="FT157" s="121">
        <f t="shared" si="100"/>
        <v>0</v>
      </c>
      <c r="FU157" s="121">
        <f t="shared" ref="FU157:FV220" si="127">FG157-EQ157</f>
        <v>0</v>
      </c>
      <c r="FV157" s="121">
        <f t="shared" si="127"/>
        <v>0</v>
      </c>
      <c r="FW157" s="121">
        <f t="shared" ref="FW157:FW220" si="128">FF157-EP157</f>
        <v>0</v>
      </c>
      <c r="FX157" s="121">
        <f t="shared" ref="FX157:FY220" si="129">FI157-ES157</f>
        <v>0</v>
      </c>
      <c r="FY157" s="144">
        <f t="shared" si="129"/>
        <v>0</v>
      </c>
      <c r="FZ157" s="145"/>
      <c r="GA157" s="151" t="s">
        <v>283</v>
      </c>
      <c r="GB157" s="145"/>
      <c r="GC157" s="151" t="s">
        <v>818</v>
      </c>
      <c r="GD157" s="997" t="s">
        <v>238</v>
      </c>
      <c r="GE157" s="1004"/>
      <c r="GF157" s="1004">
        <v>0</v>
      </c>
      <c r="GG157" s="1004"/>
      <c r="GH157" s="1004">
        <v>0</v>
      </c>
      <c r="GI157" s="145"/>
      <c r="GJ157" s="996">
        <v>0</v>
      </c>
      <c r="GK157" s="145"/>
      <c r="GL157" s="996">
        <v>0</v>
      </c>
      <c r="GM157" s="1005"/>
      <c r="GN157" s="996">
        <v>0</v>
      </c>
      <c r="GO157" s="1006"/>
      <c r="GP157" s="996">
        <v>0</v>
      </c>
      <c r="GQ157" s="1006"/>
      <c r="GR157" s="996">
        <v>0</v>
      </c>
      <c r="GS157" s="1006"/>
      <c r="GT157" s="996">
        <v>0</v>
      </c>
      <c r="GU157" s="1006" t="s">
        <v>204</v>
      </c>
      <c r="GV157" s="996">
        <v>-1.3716352320000009</v>
      </c>
      <c r="GW157" s="1006"/>
      <c r="GX157" s="997">
        <v>-0.75089519999999865</v>
      </c>
      <c r="GY157" s="1006"/>
      <c r="GZ157" s="996">
        <v>0</v>
      </c>
      <c r="HA157" s="1006"/>
      <c r="HB157" s="996">
        <v>0</v>
      </c>
      <c r="HC157" s="1006"/>
      <c r="HD157" s="996">
        <v>0</v>
      </c>
      <c r="HE157" s="1006"/>
      <c r="HF157" s="996">
        <v>0</v>
      </c>
      <c r="HG157" s="1006"/>
      <c r="HH157" s="996">
        <v>0</v>
      </c>
      <c r="HI157" s="1006"/>
      <c r="HJ157" s="996">
        <v>0</v>
      </c>
      <c r="HK157" s="1006"/>
      <c r="HL157" s="996">
        <v>0</v>
      </c>
      <c r="HM157" s="1006"/>
      <c r="HN157" s="996">
        <v>0</v>
      </c>
      <c r="HO157" s="1006"/>
      <c r="HP157" s="996">
        <v>0</v>
      </c>
      <c r="HQ157" s="1006"/>
      <c r="HR157" s="996">
        <v>0</v>
      </c>
      <c r="HS157" s="1006"/>
      <c r="HT157" s="996">
        <v>0</v>
      </c>
      <c r="HU157" s="1006"/>
      <c r="HV157" s="996">
        <v>0</v>
      </c>
      <c r="HW157" s="1006" t="s">
        <v>204</v>
      </c>
      <c r="HX157" s="996">
        <v>-2.7532823999999998</v>
      </c>
      <c r="HY157" s="1006"/>
      <c r="HZ157" s="996">
        <v>-0.58402959999999737</v>
      </c>
      <c r="IA157" s="1006"/>
      <c r="IB157" s="996">
        <v>0</v>
      </c>
      <c r="IC157" s="1006"/>
      <c r="ID157" s="996">
        <v>0.78297919999999621</v>
      </c>
      <c r="IE157" s="1006"/>
      <c r="IF157" s="996">
        <v>0</v>
      </c>
      <c r="IG157" s="1006"/>
      <c r="IH157" s="996">
        <v>0</v>
      </c>
      <c r="II157" s="1006" t="s">
        <v>204</v>
      </c>
      <c r="IJ157" s="996">
        <v>-8.0654487760000002</v>
      </c>
      <c r="IK157" s="1006"/>
      <c r="IL157" s="996">
        <v>0</v>
      </c>
      <c r="IM157" s="1006"/>
      <c r="IN157" s="996">
        <v>0</v>
      </c>
      <c r="IO157" s="1006"/>
      <c r="IP157" s="996">
        <v>0</v>
      </c>
      <c r="IQ157" s="1006" t="s">
        <v>204</v>
      </c>
      <c r="IR157" s="996">
        <v>12.237088776</v>
      </c>
      <c r="IS157" s="1006"/>
      <c r="IT157" s="996">
        <v>0</v>
      </c>
      <c r="IU157" s="1006"/>
      <c r="IV157" s="996">
        <v>0</v>
      </c>
      <c r="IW157" s="1006"/>
      <c r="IX157" s="996">
        <v>0</v>
      </c>
      <c r="IY157" s="1006"/>
      <c r="IZ157" s="996">
        <v>0</v>
      </c>
      <c r="JA157" s="1006"/>
      <c r="JB157" s="996">
        <v>0</v>
      </c>
      <c r="JC157" s="1006"/>
      <c r="JD157" s="996">
        <v>0</v>
      </c>
      <c r="JE157" s="1006"/>
      <c r="JF157" s="996">
        <v>0</v>
      </c>
      <c r="JG157" s="1006"/>
      <c r="JH157" s="996">
        <v>0</v>
      </c>
      <c r="JI157" s="1006"/>
      <c r="JJ157" s="996">
        <v>0</v>
      </c>
      <c r="JK157" s="1007"/>
      <c r="JL157" s="1007">
        <v>0</v>
      </c>
      <c r="JM157" s="1007"/>
      <c r="JN157" s="1007">
        <v>0</v>
      </c>
      <c r="JO157" s="1008"/>
      <c r="JP157" s="1007">
        <v>0</v>
      </c>
      <c r="JQ157" s="1008">
        <v>0</v>
      </c>
      <c r="JR157" s="1007">
        <v>0</v>
      </c>
      <c r="JS157" s="1008">
        <v>0</v>
      </c>
      <c r="JT157" s="1007">
        <v>0</v>
      </c>
      <c r="JU157" s="1008"/>
      <c r="JV157" s="1007">
        <v>0</v>
      </c>
      <c r="JW157" s="1008" t="s">
        <v>197</v>
      </c>
      <c r="JX157" s="1007">
        <v>0</v>
      </c>
      <c r="JY157" s="1008"/>
      <c r="JZ157" s="1007">
        <v>0</v>
      </c>
      <c r="KA157" s="1008" t="s">
        <v>204</v>
      </c>
      <c r="KB157" s="1007">
        <v>1.0846264000000003</v>
      </c>
      <c r="KC157" s="1008" t="s">
        <v>204</v>
      </c>
      <c r="KD157" s="1007">
        <v>-1.0846264000000003</v>
      </c>
      <c r="KE157" s="1008"/>
      <c r="KF157" s="1007">
        <v>0</v>
      </c>
      <c r="KG157" s="1008" t="s">
        <v>207</v>
      </c>
      <c r="KH157" s="1007">
        <v>1.0846264000000003</v>
      </c>
      <c r="KI157" s="1008"/>
      <c r="KJ157" s="1007">
        <v>0</v>
      </c>
      <c r="KK157" s="1008"/>
      <c r="KL157" s="1007">
        <v>0</v>
      </c>
      <c r="KM157" s="1008"/>
      <c r="KN157" s="1007">
        <v>0</v>
      </c>
      <c r="KO157" s="1008"/>
      <c r="KP157" s="1007">
        <v>0</v>
      </c>
      <c r="KQ157" s="1008">
        <v>0</v>
      </c>
      <c r="KR157" s="1007">
        <v>0</v>
      </c>
      <c r="KS157" s="1008">
        <v>0</v>
      </c>
      <c r="KT157" s="1007">
        <v>0</v>
      </c>
      <c r="KU157" s="1008" t="s">
        <v>206</v>
      </c>
      <c r="KV157" s="1007">
        <v>-0.83432800000000018</v>
      </c>
      <c r="KW157" s="1008" t="s">
        <v>204</v>
      </c>
      <c r="KX157" s="1007">
        <v>0.83432800000000018</v>
      </c>
      <c r="KY157" s="1008">
        <v>0</v>
      </c>
      <c r="KZ157" s="1007">
        <v>0</v>
      </c>
      <c r="LA157" s="1008">
        <v>0</v>
      </c>
      <c r="LB157" s="1007">
        <v>0</v>
      </c>
      <c r="LC157" s="1008">
        <v>0</v>
      </c>
      <c r="LD157" s="1007">
        <v>0</v>
      </c>
      <c r="LE157" s="1008">
        <v>0</v>
      </c>
      <c r="LF157" s="1007">
        <v>0</v>
      </c>
      <c r="LG157" s="1008">
        <v>0</v>
      </c>
      <c r="LH157" s="1007">
        <v>0</v>
      </c>
      <c r="LI157" s="1008">
        <v>0</v>
      </c>
      <c r="LJ157" s="1007">
        <v>0</v>
      </c>
      <c r="LK157" s="1008" t="s">
        <v>555</v>
      </c>
      <c r="LL157" s="1007">
        <v>-1.1965623999999999</v>
      </c>
      <c r="LM157" s="1008" t="s">
        <v>555</v>
      </c>
      <c r="LN157" s="1007">
        <v>3.8712819999999999</v>
      </c>
      <c r="LO157" s="1008">
        <v>0</v>
      </c>
      <c r="LP157" s="1007">
        <v>-0.18355215999999999</v>
      </c>
      <c r="LQ157" s="1008">
        <v>0</v>
      </c>
      <c r="LR157" s="1007">
        <v>0</v>
      </c>
      <c r="LS157" s="1008">
        <v>0</v>
      </c>
      <c r="LT157" s="1007">
        <v>0</v>
      </c>
      <c r="LU157" s="1008">
        <v>0</v>
      </c>
      <c r="LV157" s="1007">
        <v>0</v>
      </c>
      <c r="LW157" s="1008">
        <v>0</v>
      </c>
      <c r="LX157" s="1007">
        <v>0</v>
      </c>
      <c r="LY157" s="1009" t="s">
        <v>206</v>
      </c>
      <c r="LZ157" s="1010">
        <v>-1.2514919999999998</v>
      </c>
      <c r="MA157" s="1011">
        <v>0</v>
      </c>
      <c r="MB157" s="1012">
        <v>3.3513920000000001</v>
      </c>
      <c r="MC157" s="995"/>
      <c r="MD157" s="996"/>
      <c r="ME157" s="997" t="s">
        <v>238</v>
      </c>
      <c r="MF157" s="997"/>
      <c r="MG157" s="998"/>
      <c r="NR157" s="1000"/>
      <c r="NS157" s="1000"/>
      <c r="NT157" s="1001"/>
      <c r="NU157" s="1000"/>
      <c r="NV157" s="1001"/>
      <c r="NX157" s="1002"/>
      <c r="NZ157" s="1001"/>
      <c r="OA157" s="1001"/>
      <c r="OC157" s="1003"/>
      <c r="OD157" s="1003"/>
      <c r="OE157" s="1001"/>
      <c r="OF157" s="1003"/>
      <c r="OG157" s="1003"/>
      <c r="QX157" s="1000">
        <f t="shared" si="96"/>
        <v>24</v>
      </c>
      <c r="ASU157" s="999" t="s">
        <v>208</v>
      </c>
    </row>
    <row r="158" spans="1:466 1191:1191" ht="21" customHeight="1" x14ac:dyDescent="0.25">
      <c r="A158" s="982">
        <f t="shared" si="104"/>
        <v>1060</v>
      </c>
      <c r="B158" s="124">
        <f>SUBTOTAL(103,$J$29:J158)</f>
        <v>130</v>
      </c>
      <c r="C158" s="126">
        <v>45096</v>
      </c>
      <c r="D158" s="124" t="s">
        <v>176</v>
      </c>
      <c r="E158" s="127" t="s">
        <v>177</v>
      </c>
      <c r="F158" s="128" t="s">
        <v>177</v>
      </c>
      <c r="G158" s="127" t="s">
        <v>178</v>
      </c>
      <c r="H158" s="127" t="s">
        <v>226</v>
      </c>
      <c r="I158" s="127" t="s">
        <v>456</v>
      </c>
      <c r="J158" s="152">
        <v>1060</v>
      </c>
      <c r="K158" s="127" t="s">
        <v>819</v>
      </c>
      <c r="L158" s="130">
        <v>38140</v>
      </c>
      <c r="M158" s="127" t="s">
        <v>230</v>
      </c>
      <c r="N158" s="127" t="s">
        <v>231</v>
      </c>
      <c r="O158" s="127" t="s">
        <v>185</v>
      </c>
      <c r="P158" s="127" t="s">
        <v>315</v>
      </c>
      <c r="Q158" s="85" t="str">
        <f t="shared" ref="Q158:Q164" si="130">IF(R158="","",-4)</f>
        <v/>
      </c>
      <c r="R158" s="130"/>
      <c r="S158" s="128" t="s">
        <v>156</v>
      </c>
      <c r="T158" s="131"/>
      <c r="U158" s="132">
        <v>203</v>
      </c>
      <c r="V158" s="121">
        <v>218.2</v>
      </c>
      <c r="W158" s="116">
        <v>0.98</v>
      </c>
      <c r="X158" s="116">
        <v>1.66</v>
      </c>
      <c r="Y158" s="116">
        <f t="shared" si="86"/>
        <v>0.98524673562828546</v>
      </c>
      <c r="Z158" s="133">
        <v>1.454</v>
      </c>
      <c r="AA158" s="133">
        <v>0.83599999999999997</v>
      </c>
      <c r="AB158" s="133">
        <v>0.72</v>
      </c>
      <c r="AC158" s="121">
        <v>34.299999999999997</v>
      </c>
      <c r="AD158" s="134">
        <v>1.17</v>
      </c>
      <c r="AE158" s="124">
        <v>139.69999999999999</v>
      </c>
      <c r="AF158" s="128">
        <v>7.72</v>
      </c>
      <c r="AG158" s="128">
        <v>1990</v>
      </c>
      <c r="AH158" s="127" t="s">
        <v>820</v>
      </c>
      <c r="AI158" s="127" t="s">
        <v>820</v>
      </c>
      <c r="AJ158" s="135"/>
      <c r="AK158" s="128"/>
      <c r="AL158" s="131"/>
      <c r="AM158" s="124" t="s">
        <v>187</v>
      </c>
      <c r="AN158" s="136" t="s">
        <v>821</v>
      </c>
      <c r="AO158" s="137">
        <v>91.46</v>
      </c>
      <c r="AP158" s="128">
        <v>1864</v>
      </c>
      <c r="AQ158" s="128">
        <v>0.4</v>
      </c>
      <c r="AR158" s="128"/>
      <c r="AS158" s="128"/>
      <c r="AT158" s="122"/>
      <c r="AU158" s="124" t="s">
        <v>250</v>
      </c>
      <c r="AV158" s="115">
        <f>VLOOKUP(J158,'[63]ТР нефть'!$J$28:$BP$638,39,0)</f>
        <v>554</v>
      </c>
      <c r="AW158" s="115" t="str">
        <f>VLOOKUP(J158,'[63]ТР нефть'!$J$28:$BP$638,40,0)</f>
        <v>ГК 83 5/32</v>
      </c>
      <c r="AX158" s="115">
        <f>VLOOKUP(J158,'[63]ТР нефть'!$J$28:$BP$638,41,0)</f>
        <v>968</v>
      </c>
      <c r="AY158" s="115" t="str">
        <f>VLOOKUP(J158,'[63]ТР нефть'!$J$28:$BP$638,42,0)</f>
        <v>ГК 84 5/32</v>
      </c>
      <c r="AZ158" s="115">
        <f>VLOOKUP(J158,'[63]ТР нефть'!$J$28:$BP$638,43,0)</f>
        <v>1344</v>
      </c>
      <c r="BA158" s="115" t="str">
        <f>VLOOKUP(J158,'[63]ТР нефть'!$J$28:$BP$638,44,0)</f>
        <v>ГК 85 5/32</v>
      </c>
      <c r="BB158" s="115">
        <f>VLOOKUP(J158,'[63]ТР нефть'!$J$28:$BP$638,45,0)</f>
        <v>1478</v>
      </c>
      <c r="BC158" s="115" t="str">
        <f>VLOOKUP(J158,'[63]ТР нефть'!$J$28:$BP$638,46,0)</f>
        <v>ЦКсОК 5/16</v>
      </c>
      <c r="BD158" s="115" t="str">
        <f>VLOOKUP(J158,'[63]ТР нефть'!$J$28:$BP$638,47,0)</f>
        <v>-</v>
      </c>
      <c r="BE158" s="115" t="str">
        <f>VLOOKUP(J158,'[63]ТР нефть'!$J$28:$BP$638,48,0)</f>
        <v>-</v>
      </c>
      <c r="BF158" s="115" t="str">
        <f>VLOOKUP(J158,'[63]ТР нефть'!$J$28:$BP$638,49,0)</f>
        <v>-</v>
      </c>
      <c r="BG158" s="115" t="str">
        <f>VLOOKUP(J158,'[63]ТР нефть'!$J$28:$BP$638,50,0)</f>
        <v>-</v>
      </c>
      <c r="BH158" s="115">
        <f>VLOOKUP(J158,'[63]ТР нефть'!$J$28:$BP$638,51,0)</f>
        <v>1488</v>
      </c>
      <c r="BI158" s="115" t="str">
        <f>VLOOKUP(J158,'[63]ТР нефть'!$J$28:$BP$638,52,0)</f>
        <v>закрыт</v>
      </c>
      <c r="BJ158" s="115" t="str">
        <f>IF(IFERROR(VLOOKUP(J158,'[63]ТР нефть'!$J$28:$BP$638,53,0),"-")=0,"-",IFERROR(VLOOKUP(J158,'[63]ТР нефть'!$J$28:$BP$638,53,0),"-"))</f>
        <v>-</v>
      </c>
      <c r="BK158" s="138" t="str">
        <f>IF(IFERROR(VLOOKUP(J158,'[63]ТР нефть'!$J$28:$BP$638,54,0),"-")=0,"-",IFERROR(VLOOKUP(J158,'[63]ТР нефть'!$J$28:$BP$638,54,0),"-"))</f>
        <v>-</v>
      </c>
      <c r="BL158" s="138" t="str">
        <f>IF(IFERROR(VLOOKUP(J158,'[63]ТР нефть'!$J$28:$BP$638,55,0),"-")=0,"-",IFERROR(VLOOKUP(J158,'[63]ТР нефть'!$J$28:$BP$638,55,0),"-"))</f>
        <v>-</v>
      </c>
      <c r="BM158" s="138" t="str">
        <f>IF(IFERROR(VLOOKUP(J158,'[63]ТР нефть'!$J$28:$BP$638,56,0),"-")=0,"-",IFERROR(VLOOKUP(J158,'[63]ТР нефть'!$J$28:$BP$638,56,0),"-"))</f>
        <v>-</v>
      </c>
      <c r="BN158" s="138" t="str">
        <f>IF(IFERROR(VLOOKUP(J158,'[63]ТР нефть'!$J$28:$BP$638,57,0),"-")=0,"-",IFERROR(VLOOKUP(J158,'[63]ТР нефть'!$J$28:$BP$638,57,0),"-"))</f>
        <v>-</v>
      </c>
      <c r="BO158" s="115" t="str">
        <f>IF(IFERROR(VLOOKUP(J158,'[63]ТР нефть'!$J$28:$BP$638,58,0),"-")=0,"-",IFERROR(VLOOKUP(J158,'[63]ТР нефть'!$J$28:$BP$638,58,0),"-"))</f>
        <v>-</v>
      </c>
      <c r="BP158" s="115" t="str">
        <f>IF(IFERROR(VLOOKUP(J158,'[63]ТР нефть'!$J$28:$BP$638,59,0),"-")=0,"-",IFERROR(VLOOKUP(J158,'[63]ТР нефть'!$J$28:$BP$638,59,0),"-"))</f>
        <v>-</v>
      </c>
      <c r="BQ158" s="138">
        <v>1510</v>
      </c>
      <c r="BR158" s="128">
        <v>1508</v>
      </c>
      <c r="BS158" s="115">
        <f t="shared" si="105"/>
        <v>2</v>
      </c>
      <c r="BT158" s="128">
        <v>73</v>
      </c>
      <c r="BU158" s="128">
        <v>5.5</v>
      </c>
      <c r="BV158" s="127">
        <v>18</v>
      </c>
      <c r="BW158" s="127" t="s">
        <v>234</v>
      </c>
      <c r="BX158" s="127" t="s">
        <v>195</v>
      </c>
      <c r="BY158" s="139">
        <v>24</v>
      </c>
      <c r="BZ158" s="139">
        <v>0</v>
      </c>
      <c r="CA158" s="138">
        <v>52</v>
      </c>
      <c r="CB158" s="138">
        <v>53</v>
      </c>
      <c r="CC158" s="138">
        <v>50</v>
      </c>
      <c r="CD158" s="135">
        <v>45017</v>
      </c>
      <c r="CE158" s="138">
        <v>91.5</v>
      </c>
      <c r="CF158" s="138"/>
      <c r="CG158" s="138" t="str">
        <f t="shared" si="102"/>
        <v/>
      </c>
      <c r="CH158" s="138" t="s">
        <v>197</v>
      </c>
      <c r="CI158" s="127"/>
      <c r="CJ158" s="138"/>
      <c r="CK158" s="138"/>
      <c r="CL158" s="99"/>
      <c r="CM158" s="138"/>
      <c r="CN158" s="154">
        <v>67</v>
      </c>
      <c r="CO158" s="141">
        <f t="shared" si="106"/>
        <v>4.4557128000000006</v>
      </c>
      <c r="CP158" s="142">
        <v>5.4</v>
      </c>
      <c r="CQ158" s="143">
        <v>1.3</v>
      </c>
      <c r="CR158" s="138">
        <v>63.2</v>
      </c>
      <c r="CS158" s="139"/>
      <c r="CT158" s="138"/>
      <c r="CU158" s="138">
        <f t="shared" si="107"/>
        <v>63.2</v>
      </c>
      <c r="CV158" s="115">
        <f t="shared" si="108"/>
        <v>14184.038073549083</v>
      </c>
      <c r="CW158" s="115" t="str">
        <f t="shared" si="109"/>
        <v/>
      </c>
      <c r="CX158" s="133">
        <f t="shared" si="110"/>
        <v>0.22040816326530613</v>
      </c>
      <c r="CY158" s="116"/>
      <c r="CZ158" s="131"/>
      <c r="DA158" s="145" t="str">
        <f t="shared" si="111"/>
        <v>Фон.</v>
      </c>
      <c r="DB158" s="146">
        <f t="shared" si="112"/>
        <v>4.4557128000000006</v>
      </c>
      <c r="DC158" s="142">
        <f t="shared" si="113"/>
        <v>5.4</v>
      </c>
      <c r="DD158" s="119">
        <f t="shared" si="114"/>
        <v>1.3</v>
      </c>
      <c r="DE158" s="115">
        <f t="shared" si="115"/>
        <v>63.2</v>
      </c>
      <c r="DF158" s="121">
        <f t="shared" si="116"/>
        <v>0</v>
      </c>
      <c r="DG158" s="115">
        <f t="shared" si="117"/>
        <v>14184.038073549083</v>
      </c>
      <c r="DH158" s="115">
        <f t="shared" si="118"/>
        <v>67</v>
      </c>
      <c r="DI158" s="147"/>
      <c r="DJ158" s="111">
        <v>43636</v>
      </c>
      <c r="DK158" s="112">
        <v>43888</v>
      </c>
      <c r="DL158" s="113">
        <f t="shared" ca="1" si="87"/>
        <v>1216</v>
      </c>
      <c r="DM158" s="114"/>
      <c r="DN158" s="114"/>
      <c r="DO158" s="114"/>
      <c r="DP158" s="114"/>
      <c r="DQ158" s="112">
        <v>39427</v>
      </c>
      <c r="DR158" s="114" t="s">
        <v>198</v>
      </c>
      <c r="DS158" s="114"/>
      <c r="DT158" s="115">
        <v>63</v>
      </c>
      <c r="DU158" s="116">
        <f t="shared" si="88"/>
        <v>0.21554733540556126</v>
      </c>
      <c r="DV158" s="117">
        <f t="shared" si="89"/>
        <v>5.0688676127990542</v>
      </c>
      <c r="DW158" s="118">
        <f t="shared" si="90"/>
        <v>6.1430990590584962</v>
      </c>
      <c r="DX158" s="119">
        <f t="shared" si="119"/>
        <v>1.3</v>
      </c>
      <c r="DY158" s="115">
        <f t="shared" si="91"/>
        <v>71.89701120972164</v>
      </c>
      <c r="DZ158" s="117">
        <f t="shared" si="92"/>
        <v>0.61315481279905359</v>
      </c>
      <c r="EA158" s="120">
        <f t="shared" si="92"/>
        <v>0.74309905905849583</v>
      </c>
      <c r="EB158" s="119">
        <f t="shared" si="92"/>
        <v>0</v>
      </c>
      <c r="EC158" s="121">
        <f t="shared" si="93"/>
        <v>8.6970112097216372</v>
      </c>
      <c r="ED158" s="122"/>
      <c r="EE158" s="145">
        <v>18</v>
      </c>
      <c r="EF158" s="115">
        <v>52</v>
      </c>
      <c r="EG158" s="115">
        <v>53</v>
      </c>
      <c r="EH158" s="115">
        <v>50</v>
      </c>
      <c r="EI158" s="128" t="s">
        <v>195</v>
      </c>
      <c r="EJ158" s="121">
        <v>24</v>
      </c>
      <c r="EK158" s="121">
        <v>0</v>
      </c>
      <c r="EL158" s="149">
        <v>4.4557128000000006</v>
      </c>
      <c r="EM158" s="142">
        <v>5.4</v>
      </c>
      <c r="EN158" s="119">
        <v>1.3</v>
      </c>
      <c r="EO158" s="115">
        <v>63.2</v>
      </c>
      <c r="EP158" s="115">
        <v>14184.038073549083</v>
      </c>
      <c r="EQ158" s="115">
        <v>0</v>
      </c>
      <c r="ER158" s="115">
        <v>0</v>
      </c>
      <c r="ES158" s="115">
        <v>67</v>
      </c>
      <c r="ET158" s="150">
        <v>0.22040816326530613</v>
      </c>
      <c r="EU158" s="145">
        <f t="shared" si="120"/>
        <v>18</v>
      </c>
      <c r="EV158" s="115">
        <f t="shared" si="121"/>
        <v>52</v>
      </c>
      <c r="EW158" s="115">
        <f t="shared" si="121"/>
        <v>53</v>
      </c>
      <c r="EX158" s="115">
        <f t="shared" si="121"/>
        <v>50</v>
      </c>
      <c r="EY158" s="115" t="str">
        <f t="shared" si="122"/>
        <v>Постоянный</v>
      </c>
      <c r="EZ158" s="115">
        <f t="shared" si="122"/>
        <v>24</v>
      </c>
      <c r="FA158" s="115">
        <f t="shared" si="122"/>
        <v>0</v>
      </c>
      <c r="FB158" s="149">
        <f t="shared" si="123"/>
        <v>4.4557128000000006</v>
      </c>
      <c r="FC158" s="142">
        <f t="shared" si="123"/>
        <v>5.4</v>
      </c>
      <c r="FD158" s="119">
        <f t="shared" si="123"/>
        <v>1.3</v>
      </c>
      <c r="FE158" s="121">
        <f t="shared" si="103"/>
        <v>63.2</v>
      </c>
      <c r="FF158" s="121">
        <f t="shared" si="94"/>
        <v>14184.038073549083</v>
      </c>
      <c r="FG158" s="121">
        <f t="shared" si="124"/>
        <v>0</v>
      </c>
      <c r="FH158" s="121">
        <f t="shared" si="95"/>
        <v>0</v>
      </c>
      <c r="FI158" s="121">
        <f t="shared" ref="FI158:FI185" si="131">CN158</f>
        <v>67</v>
      </c>
      <c r="FJ158" s="144">
        <f t="shared" si="125"/>
        <v>0.22040816326530613</v>
      </c>
      <c r="FK158" s="132">
        <f t="shared" si="126"/>
        <v>0</v>
      </c>
      <c r="FL158" s="115">
        <f t="shared" si="126"/>
        <v>0</v>
      </c>
      <c r="FM158" s="115">
        <f t="shared" si="126"/>
        <v>0</v>
      </c>
      <c r="FN158" s="115">
        <f t="shared" si="126"/>
        <v>0</v>
      </c>
      <c r="FO158" s="115">
        <f t="shared" si="100"/>
        <v>0</v>
      </c>
      <c r="FP158" s="115">
        <f t="shared" si="100"/>
        <v>0</v>
      </c>
      <c r="FQ158" s="149">
        <f t="shared" si="100"/>
        <v>0</v>
      </c>
      <c r="FR158" s="142">
        <f t="shared" si="100"/>
        <v>0</v>
      </c>
      <c r="FS158" s="119">
        <f t="shared" si="100"/>
        <v>0</v>
      </c>
      <c r="FT158" s="121">
        <f t="shared" si="100"/>
        <v>0</v>
      </c>
      <c r="FU158" s="121">
        <f t="shared" si="127"/>
        <v>0</v>
      </c>
      <c r="FV158" s="121">
        <f t="shared" si="127"/>
        <v>0</v>
      </c>
      <c r="FW158" s="121">
        <f t="shared" si="128"/>
        <v>0</v>
      </c>
      <c r="FX158" s="121">
        <f t="shared" si="129"/>
        <v>0</v>
      </c>
      <c r="FY158" s="144">
        <f t="shared" si="129"/>
        <v>0</v>
      </c>
      <c r="FZ158" s="145"/>
      <c r="GA158" s="151" t="s">
        <v>283</v>
      </c>
      <c r="GB158" s="145" t="s">
        <v>221</v>
      </c>
      <c r="GC158" s="151" t="s">
        <v>590</v>
      </c>
      <c r="GD158" s="997" t="s">
        <v>238</v>
      </c>
      <c r="GE158" s="1004" t="s">
        <v>221</v>
      </c>
      <c r="GF158" s="1004">
        <v>2.3531728000000007</v>
      </c>
      <c r="GG158" s="1004"/>
      <c r="GH158" s="1004">
        <v>0</v>
      </c>
      <c r="GI158" s="145"/>
      <c r="GJ158" s="996">
        <v>0</v>
      </c>
      <c r="GK158" s="145"/>
      <c r="GL158" s="996">
        <v>0</v>
      </c>
      <c r="GM158" s="1005"/>
      <c r="GN158" s="996">
        <v>0</v>
      </c>
      <c r="GO158" s="1006"/>
      <c r="GP158" s="996">
        <v>0</v>
      </c>
      <c r="GQ158" s="1006"/>
      <c r="GR158" s="996">
        <v>0</v>
      </c>
      <c r="GS158" s="1006"/>
      <c r="GT158" s="996">
        <v>0</v>
      </c>
      <c r="GU158" s="1006"/>
      <c r="GV158" s="996">
        <v>-0.9906600000000001</v>
      </c>
      <c r="GW158" s="1006"/>
      <c r="GX158" s="997">
        <v>0</v>
      </c>
      <c r="GY158" s="1006"/>
      <c r="GZ158" s="996">
        <v>0</v>
      </c>
      <c r="HA158" s="1006"/>
      <c r="HB158" s="996">
        <v>0.16720000000000024</v>
      </c>
      <c r="HC158" s="1006"/>
      <c r="HD158" s="996">
        <v>0</v>
      </c>
      <c r="HE158" s="1006"/>
      <c r="HF158" s="996">
        <v>0</v>
      </c>
      <c r="HG158" s="1006"/>
      <c r="HH158" s="996">
        <v>0</v>
      </c>
      <c r="HI158" s="1006"/>
      <c r="HJ158" s="996">
        <v>0</v>
      </c>
      <c r="HK158" s="1006"/>
      <c r="HL158" s="996">
        <v>0</v>
      </c>
      <c r="HM158" s="1006"/>
      <c r="HN158" s="996">
        <v>0</v>
      </c>
      <c r="HO158" s="1006"/>
      <c r="HP158" s="996">
        <v>0</v>
      </c>
      <c r="HQ158" s="1006"/>
      <c r="HR158" s="996">
        <v>0</v>
      </c>
      <c r="HS158" s="1006"/>
      <c r="HT158" s="996">
        <v>0</v>
      </c>
      <c r="HU158" s="1006"/>
      <c r="HV158" s="996">
        <v>0</v>
      </c>
      <c r="HW158" s="1006" t="s">
        <v>204</v>
      </c>
      <c r="HX158" s="996">
        <v>-9.5233107199999996</v>
      </c>
      <c r="HY158" s="1006"/>
      <c r="HZ158" s="996">
        <v>0.71855872000000076</v>
      </c>
      <c r="IA158" s="1006" t="s">
        <v>204</v>
      </c>
      <c r="IB158" s="996">
        <v>-1.1287672000000022</v>
      </c>
      <c r="IC158" s="1006"/>
      <c r="ID158" s="996">
        <v>-0.54048079999999921</v>
      </c>
      <c r="IE158" s="1006"/>
      <c r="IF158" s="996">
        <v>-0.89109240000000156</v>
      </c>
      <c r="IG158" s="1006"/>
      <c r="IH158" s="996">
        <v>0</v>
      </c>
      <c r="II158" s="1006"/>
      <c r="IJ158" s="996">
        <v>0</v>
      </c>
      <c r="IK158" s="1006"/>
      <c r="IL158" s="996">
        <v>0</v>
      </c>
      <c r="IM158" s="1006"/>
      <c r="IN158" s="996">
        <v>0</v>
      </c>
      <c r="IO158" s="1006"/>
      <c r="IP158" s="996">
        <v>0</v>
      </c>
      <c r="IQ158" s="1006"/>
      <c r="IR158" s="996">
        <v>0</v>
      </c>
      <c r="IS158" s="1006" t="s">
        <v>199</v>
      </c>
      <c r="IT158" s="996">
        <v>6.4271680000000018</v>
      </c>
      <c r="IU158" s="1006"/>
      <c r="IV158" s="996">
        <v>0</v>
      </c>
      <c r="IW158" s="1006"/>
      <c r="IX158" s="996">
        <v>0</v>
      </c>
      <c r="IY158" s="1006"/>
      <c r="IZ158" s="996">
        <v>0</v>
      </c>
      <c r="JA158" s="1006" t="s">
        <v>203</v>
      </c>
      <c r="JB158" s="996">
        <v>-9.6399159999999995</v>
      </c>
      <c r="JC158" s="1006"/>
      <c r="JD158" s="996"/>
      <c r="JE158" s="1006" t="s">
        <v>25</v>
      </c>
      <c r="JF158" s="996">
        <v>18</v>
      </c>
      <c r="JG158" s="1006"/>
      <c r="JH158" s="996">
        <v>0</v>
      </c>
      <c r="JI158" s="1006"/>
      <c r="JJ158" s="996">
        <v>0</v>
      </c>
      <c r="JK158" s="1007"/>
      <c r="JL158" s="1007">
        <v>0</v>
      </c>
      <c r="JM158" s="1007"/>
      <c r="JN158" s="1007">
        <v>0</v>
      </c>
      <c r="JO158" s="1008"/>
      <c r="JP158" s="1007">
        <v>0</v>
      </c>
      <c r="JQ158" s="1008">
        <v>0</v>
      </c>
      <c r="JR158" s="1007">
        <v>0</v>
      </c>
      <c r="JS158" s="1008">
        <v>0</v>
      </c>
      <c r="JT158" s="1007">
        <v>0</v>
      </c>
      <c r="JU158" s="1008"/>
      <c r="JV158" s="1007">
        <v>0</v>
      </c>
      <c r="JW158" s="1008" t="s">
        <v>197</v>
      </c>
      <c r="JX158" s="1007">
        <v>0</v>
      </c>
      <c r="JY158" s="1008"/>
      <c r="JZ158" s="1007">
        <v>0</v>
      </c>
      <c r="KA158" s="1008"/>
      <c r="KB158" s="1007">
        <v>0</v>
      </c>
      <c r="KC158" s="1008"/>
      <c r="KD158" s="1007">
        <v>0</v>
      </c>
      <c r="KE158" s="1008" t="s">
        <v>204</v>
      </c>
      <c r="KF158" s="1007">
        <v>0.10868</v>
      </c>
      <c r="KG158" s="1008"/>
      <c r="KH158" s="1007">
        <v>0</v>
      </c>
      <c r="KI158" s="1008"/>
      <c r="KJ158" s="1007">
        <v>0</v>
      </c>
      <c r="KK158" s="1008"/>
      <c r="KL158" s="1007">
        <v>0</v>
      </c>
      <c r="KM158" s="1008"/>
      <c r="KN158" s="1007">
        <v>0</v>
      </c>
      <c r="KO158" s="1008" t="s">
        <v>259</v>
      </c>
      <c r="KP158" s="1007">
        <v>-0.63535999999999992</v>
      </c>
      <c r="KQ158" s="1008">
        <v>0</v>
      </c>
      <c r="KR158" s="1007">
        <v>0</v>
      </c>
      <c r="KS158" s="1008">
        <v>0</v>
      </c>
      <c r="KT158" s="1007">
        <v>0</v>
      </c>
      <c r="KU158" s="1008" t="s">
        <v>476</v>
      </c>
      <c r="KV158" s="1007">
        <v>0.83599999999999997</v>
      </c>
      <c r="KW158" s="1008">
        <v>0</v>
      </c>
      <c r="KX158" s="1007">
        <v>0</v>
      </c>
      <c r="KY158" s="1008">
        <v>0</v>
      </c>
      <c r="KZ158" s="1007">
        <v>0</v>
      </c>
      <c r="LA158" s="1008">
        <v>0</v>
      </c>
      <c r="LB158" s="1007">
        <v>0</v>
      </c>
      <c r="LC158" s="1008">
        <v>0</v>
      </c>
      <c r="LD158" s="1007">
        <v>0</v>
      </c>
      <c r="LE158" s="1008">
        <v>0</v>
      </c>
      <c r="LF158" s="1007">
        <v>0</v>
      </c>
      <c r="LG158" s="1008">
        <v>0</v>
      </c>
      <c r="LH158" s="1007">
        <v>0</v>
      </c>
      <c r="LI158" s="1008">
        <v>0</v>
      </c>
      <c r="LJ158" s="1007">
        <v>0</v>
      </c>
      <c r="LK158" s="1008">
        <v>0</v>
      </c>
      <c r="LL158" s="1007">
        <v>0</v>
      </c>
      <c r="LM158" s="1008" t="s">
        <v>555</v>
      </c>
      <c r="LN158" s="1007">
        <v>1.8391999999999999</v>
      </c>
      <c r="LO158" s="1008">
        <v>0</v>
      </c>
      <c r="LP158" s="1007">
        <v>0</v>
      </c>
      <c r="LQ158" s="1008">
        <v>0</v>
      </c>
      <c r="LR158" s="1007">
        <v>0</v>
      </c>
      <c r="LS158" s="1008">
        <v>0</v>
      </c>
      <c r="LT158" s="1007">
        <v>0</v>
      </c>
      <c r="LU158" s="1008">
        <v>0</v>
      </c>
      <c r="LV158" s="1007">
        <v>0</v>
      </c>
      <c r="LW158" s="1008">
        <v>0</v>
      </c>
      <c r="LX158" s="1007">
        <v>0</v>
      </c>
      <c r="LY158" s="1009">
        <v>0</v>
      </c>
      <c r="LZ158" s="1010">
        <v>0</v>
      </c>
      <c r="MA158" s="1011">
        <v>0</v>
      </c>
      <c r="MB158" s="1012">
        <v>6.4248000000000003</v>
      </c>
      <c r="MC158" s="995"/>
      <c r="MD158" s="996"/>
      <c r="ME158" s="997" t="s">
        <v>238</v>
      </c>
      <c r="MF158" s="997"/>
      <c r="MG158" s="998"/>
      <c r="NR158" s="1000"/>
      <c r="NS158" s="1000"/>
      <c r="NT158" s="1001"/>
      <c r="NU158" s="1000"/>
      <c r="NV158" s="1001"/>
      <c r="NX158" s="1002"/>
      <c r="NZ158" s="1001"/>
      <c r="OA158" s="1001"/>
      <c r="OC158" s="1003"/>
      <c r="OD158" s="1003"/>
      <c r="OE158" s="1001"/>
      <c r="OF158" s="1003"/>
      <c r="OG158" s="1003"/>
      <c r="QX158" s="1000">
        <f t="shared" si="96"/>
        <v>15</v>
      </c>
      <c r="ASU158" s="999" t="s">
        <v>292</v>
      </c>
    </row>
    <row r="159" spans="1:466 1191:1191" ht="21" customHeight="1" x14ac:dyDescent="0.25">
      <c r="A159" s="982" t="str">
        <f t="shared" si="104"/>
        <v>1060-2</v>
      </c>
      <c r="B159" s="124">
        <f>SUBTOTAL(103,$J$29:J159)</f>
        <v>131</v>
      </c>
      <c r="C159" s="126">
        <v>45096</v>
      </c>
      <c r="D159" s="124" t="s">
        <v>176</v>
      </c>
      <c r="E159" s="127" t="s">
        <v>177</v>
      </c>
      <c r="F159" s="128" t="s">
        <v>177</v>
      </c>
      <c r="G159" s="127" t="s">
        <v>178</v>
      </c>
      <c r="H159" s="127" t="s">
        <v>408</v>
      </c>
      <c r="I159" s="127" t="s">
        <v>456</v>
      </c>
      <c r="J159" s="152" t="s">
        <v>822</v>
      </c>
      <c r="K159" s="127" t="s">
        <v>819</v>
      </c>
      <c r="L159" s="130">
        <v>38434</v>
      </c>
      <c r="M159" s="127" t="s">
        <v>230</v>
      </c>
      <c r="N159" s="127" t="s">
        <v>231</v>
      </c>
      <c r="O159" s="127" t="s">
        <v>185</v>
      </c>
      <c r="P159" s="127" t="s">
        <v>208</v>
      </c>
      <c r="Q159" s="85" t="str">
        <f t="shared" si="130"/>
        <v/>
      </c>
      <c r="R159" s="130"/>
      <c r="S159" s="128" t="s">
        <v>156</v>
      </c>
      <c r="T159" s="131"/>
      <c r="U159" s="132">
        <v>203</v>
      </c>
      <c r="V159" s="121">
        <v>218.2</v>
      </c>
      <c r="W159" s="116">
        <v>0.98</v>
      </c>
      <c r="X159" s="116">
        <v>1.66</v>
      </c>
      <c r="Y159" s="116">
        <f t="shared" si="86"/>
        <v>0.98</v>
      </c>
      <c r="Z159" s="133">
        <v>1.454</v>
      </c>
      <c r="AA159" s="133">
        <v>0.83599999999999997</v>
      </c>
      <c r="AB159" s="133">
        <v>0.72</v>
      </c>
      <c r="AC159" s="121">
        <v>34.299999999999997</v>
      </c>
      <c r="AD159" s="134">
        <v>1.17</v>
      </c>
      <c r="AE159" s="124">
        <v>139.69999999999999</v>
      </c>
      <c r="AF159" s="128">
        <v>7.72</v>
      </c>
      <c r="AG159" s="128">
        <v>1906</v>
      </c>
      <c r="AH159" s="127">
        <v>2439</v>
      </c>
      <c r="AI159" s="127">
        <v>2439</v>
      </c>
      <c r="AJ159" s="135"/>
      <c r="AK159" s="128"/>
      <c r="AL159" s="131"/>
      <c r="AM159" s="124" t="s">
        <v>232</v>
      </c>
      <c r="AN159" s="136" t="s">
        <v>823</v>
      </c>
      <c r="AO159" s="137">
        <v>46.13</v>
      </c>
      <c r="AP159" s="128">
        <v>1906</v>
      </c>
      <c r="AQ159" s="128">
        <v>41</v>
      </c>
      <c r="AR159" s="128"/>
      <c r="AS159" s="128"/>
      <c r="AT159" s="122"/>
      <c r="AU159" s="124" t="s">
        <v>250</v>
      </c>
      <c r="AV159" s="115">
        <f>VLOOKUP(J159,'[63]ТР нефть'!$J$28:$BP$638,39,0)</f>
        <v>600</v>
      </c>
      <c r="AW159" s="115" t="str">
        <f>VLOOKUP(J159,'[63]ТР нефть'!$J$28:$BP$638,40,0)</f>
        <v>ГП</v>
      </c>
      <c r="AX159" s="115">
        <f>VLOOKUP(J159,'[63]ТР нефть'!$J$28:$BP$638,41,0)</f>
        <v>1200</v>
      </c>
      <c r="AY159" s="115" t="str">
        <f>VLOOKUP(J159,'[63]ТР нефть'!$J$28:$BP$638,42,0)</f>
        <v>ГП</v>
      </c>
      <c r="AZ159" s="115">
        <f>VLOOKUP(J159,'[63]ТР нефть'!$J$28:$BP$638,43,0)</f>
        <v>1720</v>
      </c>
      <c r="BA159" s="115" t="str">
        <f>VLOOKUP(J159,'[63]ТР нефть'!$J$28:$BP$638,44,0)</f>
        <v>ЦКсОК 5/16</v>
      </c>
      <c r="BB159" s="115" t="str">
        <f>VLOOKUP(J159,'[63]ТР нефть'!$J$28:$BP$638,45,0)</f>
        <v>-</v>
      </c>
      <c r="BC159" s="115" t="str">
        <f>VLOOKUP(J159,'[63]ТР нефть'!$J$28:$BP$638,46,0)</f>
        <v>-</v>
      </c>
      <c r="BD159" s="115" t="str">
        <f>VLOOKUP(J159,'[63]ТР нефть'!$J$28:$BP$638,47,0)</f>
        <v>-</v>
      </c>
      <c r="BE159" s="115" t="str">
        <f>VLOOKUP(J159,'[63]ТР нефть'!$J$28:$BP$638,48,0)</f>
        <v>-</v>
      </c>
      <c r="BF159" s="115" t="str">
        <f>VLOOKUP(J159,'[63]ТР нефть'!$J$28:$BP$638,49,0)</f>
        <v>-</v>
      </c>
      <c r="BG159" s="115" t="str">
        <f>VLOOKUP(J159,'[63]ТР нефть'!$J$28:$BP$638,50,0)</f>
        <v>-</v>
      </c>
      <c r="BH159" s="115">
        <f>VLOOKUP(J159,'[63]ТР нефть'!$J$28:$BP$638,51,0)</f>
        <v>1730</v>
      </c>
      <c r="BI159" s="115" t="str">
        <f>VLOOKUP(J159,'[63]ТР нефть'!$J$28:$BP$638,52,0)</f>
        <v>закрыт</v>
      </c>
      <c r="BJ159" s="115" t="str">
        <f>IF(IFERROR(VLOOKUP(J159,'[63]ТР нефть'!$J$28:$BP$638,53,0),"-")=0,"-",IFERROR(VLOOKUP(J159,'[63]ТР нефть'!$J$28:$BP$638,53,0),"-"))</f>
        <v>-</v>
      </c>
      <c r="BK159" s="138" t="str">
        <f>IF(IFERROR(VLOOKUP(J159,'[63]ТР нефть'!$J$28:$BP$638,54,0),"-")=0,"-",IFERROR(VLOOKUP(J159,'[63]ТР нефть'!$J$28:$BP$638,54,0),"-"))</f>
        <v>-</v>
      </c>
      <c r="BL159" s="138" t="str">
        <f>IF(IFERROR(VLOOKUP(J159,'[63]ТР нефть'!$J$28:$BP$638,55,0),"-")=0,"-",IFERROR(VLOOKUP(J159,'[63]ТР нефть'!$J$28:$BP$638,55,0),"-"))</f>
        <v>-</v>
      </c>
      <c r="BM159" s="138" t="str">
        <f>IF(IFERROR(VLOOKUP(J159,'[63]ТР нефть'!$J$28:$BP$638,56,0),"-")=0,"-",IFERROR(VLOOKUP(J159,'[63]ТР нефть'!$J$28:$BP$638,56,0),"-"))</f>
        <v>-</v>
      </c>
      <c r="BN159" s="138" t="str">
        <f>IF(IFERROR(VLOOKUP(J159,'[63]ТР нефть'!$J$28:$BP$638,57,0),"-")=0,"-",IFERROR(VLOOKUP(J159,'[63]ТР нефть'!$J$28:$BP$638,57,0),"-"))</f>
        <v>-</v>
      </c>
      <c r="BO159" s="115" t="str">
        <f>IF(IFERROR(VLOOKUP(J159,'[63]ТР нефть'!$J$28:$BP$638,58,0),"-")=0,"-",IFERROR(VLOOKUP(J159,'[63]ТР нефть'!$J$28:$BP$638,58,0),"-"))</f>
        <v>-</v>
      </c>
      <c r="BP159" s="115" t="str">
        <f>IF(IFERROR(VLOOKUP(J159,'[63]ТР нефть'!$J$28:$BP$638,59,0),"-")=0,"-",IFERROR(VLOOKUP(J159,'[63]ТР нефть'!$J$28:$BP$638,59,0),"-"))</f>
        <v>-</v>
      </c>
      <c r="BQ159" s="138">
        <v>1920</v>
      </c>
      <c r="BR159" s="128">
        <v>1871.84</v>
      </c>
      <c r="BS159" s="115">
        <f t="shared" si="105"/>
        <v>48.160000000000082</v>
      </c>
      <c r="BT159" s="128">
        <v>73</v>
      </c>
      <c r="BU159" s="128">
        <v>5.5</v>
      </c>
      <c r="BV159" s="127">
        <v>18</v>
      </c>
      <c r="BW159" s="127" t="s">
        <v>234</v>
      </c>
      <c r="BX159" s="127" t="s">
        <v>195</v>
      </c>
      <c r="BY159" s="139">
        <v>24</v>
      </c>
      <c r="BZ159" s="139">
        <v>0</v>
      </c>
      <c r="CA159" s="138">
        <v>24</v>
      </c>
      <c r="CB159" s="138">
        <v>43</v>
      </c>
      <c r="CC159" s="138">
        <v>23</v>
      </c>
      <c r="CD159" s="135">
        <v>45017</v>
      </c>
      <c r="CE159" s="138">
        <v>90</v>
      </c>
      <c r="CF159" s="138"/>
      <c r="CG159" s="138" t="str">
        <f t="shared" si="102"/>
        <v/>
      </c>
      <c r="CH159" s="138" t="s">
        <v>197</v>
      </c>
      <c r="CI159" s="127"/>
      <c r="CJ159" s="138"/>
      <c r="CK159" s="138"/>
      <c r="CL159" s="99"/>
      <c r="CM159" s="127"/>
      <c r="CN159" s="154">
        <v>46</v>
      </c>
      <c r="CO159" s="141">
        <f t="shared" si="106"/>
        <v>15.131600000000001</v>
      </c>
      <c r="CP159" s="142">
        <v>18.100000000000001</v>
      </c>
      <c r="CQ159" s="119">
        <v>0</v>
      </c>
      <c r="CR159" s="115">
        <v>17.100000000000001</v>
      </c>
      <c r="CS159" s="139"/>
      <c r="CT159" s="138"/>
      <c r="CU159" s="138">
        <f t="shared" si="107"/>
        <v>17.100000000000001</v>
      </c>
      <c r="CV159" s="115">
        <f t="shared" si="108"/>
        <v>1130.0853842290305</v>
      </c>
      <c r="CW159" s="115" t="str">
        <f t="shared" si="109"/>
        <v/>
      </c>
      <c r="CX159" s="133">
        <f t="shared" si="110"/>
        <v>0.41136363636363638</v>
      </c>
      <c r="CY159" s="116"/>
      <c r="CZ159" s="131"/>
      <c r="DA159" s="145" t="str">
        <f t="shared" si="111"/>
        <v>Фон.</v>
      </c>
      <c r="DB159" s="146">
        <f t="shared" si="112"/>
        <v>15.131600000000001</v>
      </c>
      <c r="DC159" s="142">
        <f t="shared" si="113"/>
        <v>18.100000000000001</v>
      </c>
      <c r="DD159" s="119">
        <f t="shared" si="114"/>
        <v>0</v>
      </c>
      <c r="DE159" s="115">
        <f t="shared" si="115"/>
        <v>17.100000000000001</v>
      </c>
      <c r="DF159" s="121">
        <f t="shared" si="116"/>
        <v>0</v>
      </c>
      <c r="DG159" s="115">
        <f t="shared" si="117"/>
        <v>1130.0853842290305</v>
      </c>
      <c r="DH159" s="115">
        <f t="shared" si="118"/>
        <v>46</v>
      </c>
      <c r="DI159" s="147"/>
      <c r="DJ159" s="111" t="s">
        <v>197</v>
      </c>
      <c r="DK159" s="112">
        <v>41700</v>
      </c>
      <c r="DL159" s="113">
        <f t="shared" ca="1" si="87"/>
        <v>3404</v>
      </c>
      <c r="DM159" s="114"/>
      <c r="DN159" s="114"/>
      <c r="DO159" s="114"/>
      <c r="DP159" s="114"/>
      <c r="DQ159" s="112">
        <v>41708</v>
      </c>
      <c r="DR159" s="114" t="s">
        <v>824</v>
      </c>
      <c r="DS159" s="114"/>
      <c r="DT159" s="115">
        <v>50</v>
      </c>
      <c r="DU159" s="116">
        <f t="shared" si="88"/>
        <v>0.45250000000000001</v>
      </c>
      <c r="DV159" s="117">
        <f t="shared" si="89"/>
        <v>15.131600000000001</v>
      </c>
      <c r="DW159" s="118">
        <f t="shared" si="90"/>
        <v>18.100000000000001</v>
      </c>
      <c r="DX159" s="119">
        <f t="shared" si="119"/>
        <v>0</v>
      </c>
      <c r="DY159" s="115">
        <f t="shared" si="91"/>
        <v>17.100000000000001</v>
      </c>
      <c r="DZ159" s="117">
        <f t="shared" si="92"/>
        <v>0</v>
      </c>
      <c r="EA159" s="120">
        <f t="shared" si="92"/>
        <v>0</v>
      </c>
      <c r="EB159" s="119">
        <f t="shared" si="92"/>
        <v>0</v>
      </c>
      <c r="EC159" s="121">
        <f t="shared" si="93"/>
        <v>0</v>
      </c>
      <c r="ED159" s="122"/>
      <c r="EE159" s="145">
        <v>18</v>
      </c>
      <c r="EF159" s="115">
        <v>20</v>
      </c>
      <c r="EG159" s="115">
        <v>40</v>
      </c>
      <c r="EH159" s="115">
        <v>19</v>
      </c>
      <c r="EI159" s="128" t="s">
        <v>195</v>
      </c>
      <c r="EJ159" s="121">
        <v>24</v>
      </c>
      <c r="EK159" s="121">
        <v>0</v>
      </c>
      <c r="EL159" s="149">
        <v>14.797199999999998</v>
      </c>
      <c r="EM159" s="142">
        <v>17.7</v>
      </c>
      <c r="EN159" s="119">
        <v>0</v>
      </c>
      <c r="EO159" s="115">
        <v>11.8</v>
      </c>
      <c r="EP159" s="115">
        <v>797.44816586921854</v>
      </c>
      <c r="EQ159" s="115">
        <v>0</v>
      </c>
      <c r="ER159" s="115">
        <v>0</v>
      </c>
      <c r="ES159" s="115">
        <v>48</v>
      </c>
      <c r="ET159" s="150">
        <v>0.42142857142857143</v>
      </c>
      <c r="EU159" s="145">
        <f t="shared" si="120"/>
        <v>18</v>
      </c>
      <c r="EV159" s="115">
        <f t="shared" si="121"/>
        <v>24</v>
      </c>
      <c r="EW159" s="115">
        <f t="shared" si="121"/>
        <v>43</v>
      </c>
      <c r="EX159" s="115">
        <f t="shared" si="121"/>
        <v>23</v>
      </c>
      <c r="EY159" s="115" t="str">
        <f t="shared" si="122"/>
        <v>Постоянный</v>
      </c>
      <c r="EZ159" s="115">
        <f t="shared" si="122"/>
        <v>24</v>
      </c>
      <c r="FA159" s="115">
        <f t="shared" si="122"/>
        <v>0</v>
      </c>
      <c r="FB159" s="149">
        <f t="shared" si="123"/>
        <v>15.131600000000001</v>
      </c>
      <c r="FC159" s="142">
        <f t="shared" si="123"/>
        <v>18.100000000000001</v>
      </c>
      <c r="FD159" s="119">
        <f t="shared" si="123"/>
        <v>0</v>
      </c>
      <c r="FE159" s="121">
        <f t="shared" si="103"/>
        <v>17.100000000000001</v>
      </c>
      <c r="FF159" s="121">
        <f t="shared" si="94"/>
        <v>1130.0853842290305</v>
      </c>
      <c r="FG159" s="121">
        <f t="shared" si="124"/>
        <v>0</v>
      </c>
      <c r="FH159" s="121">
        <f t="shared" si="95"/>
        <v>0</v>
      </c>
      <c r="FI159" s="121">
        <f t="shared" si="131"/>
        <v>46</v>
      </c>
      <c r="FJ159" s="144">
        <f t="shared" si="125"/>
        <v>0.41136363636363638</v>
      </c>
      <c r="FK159" s="132">
        <f t="shared" si="126"/>
        <v>0</v>
      </c>
      <c r="FL159" s="115">
        <f t="shared" si="126"/>
        <v>4</v>
      </c>
      <c r="FM159" s="115">
        <f t="shared" si="126"/>
        <v>3</v>
      </c>
      <c r="FN159" s="115">
        <f t="shared" si="126"/>
        <v>4</v>
      </c>
      <c r="FO159" s="115">
        <f t="shared" si="100"/>
        <v>0</v>
      </c>
      <c r="FP159" s="115">
        <f t="shared" si="100"/>
        <v>0</v>
      </c>
      <c r="FQ159" s="149">
        <f t="shared" si="100"/>
        <v>0.33440000000000225</v>
      </c>
      <c r="FR159" s="142">
        <f t="shared" si="100"/>
        <v>0.40000000000000213</v>
      </c>
      <c r="FS159" s="119">
        <f t="shared" si="100"/>
        <v>0</v>
      </c>
      <c r="FT159" s="121">
        <f t="shared" si="100"/>
        <v>5.3000000000000007</v>
      </c>
      <c r="FU159" s="121">
        <f t="shared" si="127"/>
        <v>0</v>
      </c>
      <c r="FV159" s="121">
        <f t="shared" si="127"/>
        <v>0</v>
      </c>
      <c r="FW159" s="121">
        <f t="shared" si="128"/>
        <v>332.63721835981198</v>
      </c>
      <c r="FX159" s="121">
        <f t="shared" si="129"/>
        <v>-2</v>
      </c>
      <c r="FY159" s="144">
        <f t="shared" si="129"/>
        <v>-1.0064935064935054E-2</v>
      </c>
      <c r="FZ159" s="145"/>
      <c r="GA159" s="1033" t="s">
        <v>825</v>
      </c>
      <c r="GB159" s="145"/>
      <c r="GC159" s="151" t="s">
        <v>818</v>
      </c>
      <c r="GD159" s="997" t="s">
        <v>238</v>
      </c>
      <c r="GE159" s="1004"/>
      <c r="GF159" s="1004">
        <v>0</v>
      </c>
      <c r="GG159" s="1004" t="s">
        <v>199</v>
      </c>
      <c r="GH159" s="1004">
        <v>-1.5884000000000018</v>
      </c>
      <c r="GI159" s="145"/>
      <c r="GJ159" s="996">
        <v>0.76912000000000091</v>
      </c>
      <c r="GK159" s="145" t="s">
        <v>204</v>
      </c>
      <c r="GL159" s="996">
        <v>-4.8347970000000018</v>
      </c>
      <c r="GM159" s="1005"/>
      <c r="GN159" s="996">
        <v>0</v>
      </c>
      <c r="GO159" s="1006" t="s">
        <v>199</v>
      </c>
      <c r="GP159" s="996">
        <v>2.6711871999999985</v>
      </c>
      <c r="GQ159" s="1006" t="s">
        <v>204</v>
      </c>
      <c r="GR159" s="996">
        <v>4.4241538000000027</v>
      </c>
      <c r="GS159" s="1006"/>
      <c r="GT159" s="996">
        <v>0</v>
      </c>
      <c r="GU159" s="1006"/>
      <c r="GV159" s="996">
        <v>0</v>
      </c>
      <c r="GW159" s="1006"/>
      <c r="GX159" s="997">
        <v>0</v>
      </c>
      <c r="GY159" s="1006"/>
      <c r="GZ159" s="996">
        <v>0</v>
      </c>
      <c r="HA159" s="1006" t="s">
        <v>204</v>
      </c>
      <c r="HB159" s="996">
        <v>-1.7529666000000024</v>
      </c>
      <c r="HC159" s="1006"/>
      <c r="HD159" s="996">
        <v>0</v>
      </c>
      <c r="HE159" s="1006"/>
      <c r="HF159" s="996">
        <v>0</v>
      </c>
      <c r="HG159" s="1006"/>
      <c r="HH159" s="996">
        <v>-0.15025427999999863</v>
      </c>
      <c r="HI159" s="1006"/>
      <c r="HJ159" s="996">
        <v>0</v>
      </c>
      <c r="HK159" s="1006" t="s">
        <v>199</v>
      </c>
      <c r="HL159" s="996">
        <v>-6.6946629200000007</v>
      </c>
      <c r="HM159" s="1006"/>
      <c r="HN159" s="996">
        <v>1.6694920000000018</v>
      </c>
      <c r="HO159" s="1006"/>
      <c r="HP159" s="996">
        <v>0</v>
      </c>
      <c r="HQ159" s="1006"/>
      <c r="HR159" s="996">
        <v>0</v>
      </c>
      <c r="HS159" s="1006"/>
      <c r="HT159" s="996">
        <v>0</v>
      </c>
      <c r="HU159" s="1006" t="s">
        <v>204</v>
      </c>
      <c r="HV159" s="996">
        <v>5.1201572399999993</v>
      </c>
      <c r="HW159" s="1006"/>
      <c r="HX159" s="996">
        <v>0.82864320000000014</v>
      </c>
      <c r="HY159" s="1006"/>
      <c r="HZ159" s="996">
        <v>-0.56199263999999971</v>
      </c>
      <c r="IA159" s="1006" t="s">
        <v>204</v>
      </c>
      <c r="IB159" s="996">
        <v>-2.0188129279999991</v>
      </c>
      <c r="IC159" s="1006" t="s">
        <v>199</v>
      </c>
      <c r="ID159" s="996">
        <v>2.8736396479999993</v>
      </c>
      <c r="IE159" s="1006"/>
      <c r="IF159" s="996">
        <v>0.16717491999999723</v>
      </c>
      <c r="IG159" s="1006"/>
      <c r="IH159" s="996">
        <v>0</v>
      </c>
      <c r="II159" s="1006" t="s">
        <v>204</v>
      </c>
      <c r="IJ159" s="996">
        <v>-1.6717491999999972</v>
      </c>
      <c r="IK159" s="1006" t="s">
        <v>204</v>
      </c>
      <c r="IL159" s="996">
        <v>3.109453512</v>
      </c>
      <c r="IM159" s="1006"/>
      <c r="IN159" s="996">
        <v>0</v>
      </c>
      <c r="IO159" s="1006"/>
      <c r="IP159" s="996">
        <v>0</v>
      </c>
      <c r="IQ159" s="1006"/>
      <c r="IR159" s="996">
        <v>0</v>
      </c>
      <c r="IS159" s="1006"/>
      <c r="IT159" s="996">
        <v>0</v>
      </c>
      <c r="IU159" s="1006"/>
      <c r="IV159" s="996">
        <v>0</v>
      </c>
      <c r="IW159" s="1006"/>
      <c r="IX159" s="996">
        <v>0</v>
      </c>
      <c r="IY159" s="1006"/>
      <c r="IZ159" s="996">
        <v>0</v>
      </c>
      <c r="JA159" s="1006"/>
      <c r="JB159" s="996">
        <v>0</v>
      </c>
      <c r="JC159" s="1006"/>
      <c r="JD159" s="996">
        <v>0</v>
      </c>
      <c r="JE159" s="1006"/>
      <c r="JF159" s="996">
        <v>0</v>
      </c>
      <c r="JG159" s="1006"/>
      <c r="JH159" s="996">
        <v>0</v>
      </c>
      <c r="JI159" s="1006"/>
      <c r="JJ159" s="996">
        <v>0</v>
      </c>
      <c r="JK159" s="1007" t="s">
        <v>204</v>
      </c>
      <c r="JL159" s="1007">
        <v>5.0243332480000014</v>
      </c>
      <c r="JM159" s="1007"/>
      <c r="JN159" s="1007">
        <v>0</v>
      </c>
      <c r="JO159" s="1008"/>
      <c r="JP159" s="1007">
        <v>-0.56572120000000048</v>
      </c>
      <c r="JQ159" s="1008" t="s">
        <v>25</v>
      </c>
      <c r="JR159" s="1007">
        <v>1.0129811999999987</v>
      </c>
      <c r="JS159" s="1008">
        <v>0</v>
      </c>
      <c r="JT159" s="1007">
        <v>0</v>
      </c>
      <c r="JU159" s="1008"/>
      <c r="JV159" s="1007">
        <v>0</v>
      </c>
      <c r="JW159" s="1008" t="s">
        <v>197</v>
      </c>
      <c r="JX159" s="1007">
        <v>-4.1465599999998659E-2</v>
      </c>
      <c r="JY159" s="1008"/>
      <c r="JZ159" s="1007">
        <v>0</v>
      </c>
      <c r="KA159" s="1008" t="s">
        <v>204</v>
      </c>
      <c r="KB159" s="1007">
        <v>2.660486399999999</v>
      </c>
      <c r="KC159" s="1008"/>
      <c r="KD159" s="1007">
        <v>0</v>
      </c>
      <c r="KE159" s="1008" t="s">
        <v>199</v>
      </c>
      <c r="KF159" s="1007">
        <v>-1.5047999999999995</v>
      </c>
      <c r="KG159" s="1008"/>
      <c r="KH159" s="1007">
        <v>0</v>
      </c>
      <c r="KI159" s="1008" t="s">
        <v>207</v>
      </c>
      <c r="KJ159" s="1007">
        <v>-3.3440000000000003</v>
      </c>
      <c r="KK159" s="1008"/>
      <c r="KL159" s="1007">
        <v>0</v>
      </c>
      <c r="KM159" s="1008"/>
      <c r="KN159" s="1007">
        <v>0</v>
      </c>
      <c r="KO159" s="1008"/>
      <c r="KP159" s="1007">
        <v>0</v>
      </c>
      <c r="KQ159" s="1008" t="s">
        <v>206</v>
      </c>
      <c r="KR159" s="1007">
        <v>-4.18</v>
      </c>
      <c r="KS159" s="1008">
        <v>0</v>
      </c>
      <c r="KT159" s="1007">
        <v>0</v>
      </c>
      <c r="KU159" s="1008" t="s">
        <v>206</v>
      </c>
      <c r="KV159" s="1007">
        <v>-4.1800000000000015</v>
      </c>
      <c r="KW159" s="1008" t="s">
        <v>204</v>
      </c>
      <c r="KX159" s="1007">
        <v>0.98898800000000264</v>
      </c>
      <c r="KY159" s="1008">
        <v>0</v>
      </c>
      <c r="KZ159" s="1007">
        <v>0</v>
      </c>
      <c r="LA159" s="1008">
        <v>0</v>
      </c>
      <c r="LB159" s="1007">
        <v>0</v>
      </c>
      <c r="LC159" s="1008">
        <v>0</v>
      </c>
      <c r="LD159" s="1007">
        <v>0</v>
      </c>
      <c r="LE159" s="1008">
        <v>0</v>
      </c>
      <c r="LF159" s="1007">
        <v>0</v>
      </c>
      <c r="LG159" s="1008">
        <v>0</v>
      </c>
      <c r="LH159" s="1007">
        <v>-13.279176</v>
      </c>
      <c r="LI159" s="1008">
        <v>0</v>
      </c>
      <c r="LJ159" s="1007">
        <v>0</v>
      </c>
      <c r="LK159" s="1008" t="s">
        <v>240</v>
      </c>
      <c r="LL159" s="1007">
        <v>-4.764348</v>
      </c>
      <c r="LM159" s="1008" t="s">
        <v>555</v>
      </c>
      <c r="LN159" s="1007">
        <v>3.424172</v>
      </c>
      <c r="LO159" s="1008">
        <v>0</v>
      </c>
      <c r="LP159" s="1007">
        <v>0</v>
      </c>
      <c r="LQ159" s="1008">
        <v>0</v>
      </c>
      <c r="LR159" s="1007">
        <v>0</v>
      </c>
      <c r="LS159" s="1008">
        <v>0</v>
      </c>
      <c r="LT159" s="1007">
        <v>0</v>
      </c>
      <c r="LU159" s="1008">
        <v>0</v>
      </c>
      <c r="LV159" s="1007">
        <v>0</v>
      </c>
      <c r="LW159" s="1008">
        <v>0</v>
      </c>
      <c r="LX159" s="1007">
        <v>0</v>
      </c>
      <c r="LY159" s="1009">
        <v>0</v>
      </c>
      <c r="LZ159" s="1010">
        <v>0</v>
      </c>
      <c r="MA159" s="1011">
        <v>0</v>
      </c>
      <c r="MB159" s="1012">
        <v>0</v>
      </c>
      <c r="MC159" s="995"/>
      <c r="MD159" s="996"/>
      <c r="ME159" s="997" t="s">
        <v>238</v>
      </c>
      <c r="MF159" s="997"/>
      <c r="MG159" s="998"/>
      <c r="NR159" s="1000"/>
      <c r="NS159" s="1000"/>
      <c r="NT159" s="1001"/>
      <c r="NU159" s="1000"/>
      <c r="NV159" s="1001"/>
      <c r="NX159" s="1002"/>
      <c r="NZ159" s="1001"/>
      <c r="OA159" s="1001"/>
      <c r="OC159" s="1003"/>
      <c r="OD159" s="1003"/>
      <c r="OE159" s="1001"/>
      <c r="OF159" s="1003"/>
      <c r="OG159" s="1003"/>
      <c r="QX159" s="1000">
        <f t="shared" si="96"/>
        <v>22</v>
      </c>
      <c r="ASU159" s="999" t="s">
        <v>208</v>
      </c>
    </row>
    <row r="160" spans="1:466 1191:1191" ht="21" customHeight="1" x14ac:dyDescent="0.25">
      <c r="A160" s="982">
        <f t="shared" si="104"/>
        <v>1061</v>
      </c>
      <c r="B160" s="124">
        <f>SUBTOTAL(103,$J$29:J160)</f>
        <v>132</v>
      </c>
      <c r="C160" s="126">
        <v>45096</v>
      </c>
      <c r="D160" s="124" t="s">
        <v>176</v>
      </c>
      <c r="E160" s="127" t="s">
        <v>177</v>
      </c>
      <c r="F160" s="128" t="s">
        <v>177</v>
      </c>
      <c r="G160" s="127" t="s">
        <v>178</v>
      </c>
      <c r="H160" s="127" t="s">
        <v>408</v>
      </c>
      <c r="I160" s="127" t="s">
        <v>456</v>
      </c>
      <c r="J160" s="152">
        <v>1061</v>
      </c>
      <c r="K160" s="127" t="s">
        <v>826</v>
      </c>
      <c r="L160" s="130">
        <v>38717</v>
      </c>
      <c r="M160" s="127" t="s">
        <v>183</v>
      </c>
      <c r="N160" s="127" t="s">
        <v>231</v>
      </c>
      <c r="O160" s="127" t="s">
        <v>185</v>
      </c>
      <c r="P160" s="127" t="s">
        <v>208</v>
      </c>
      <c r="Q160" s="85" t="str">
        <f t="shared" si="130"/>
        <v/>
      </c>
      <c r="R160" s="130"/>
      <c r="S160" s="128" t="s">
        <v>156</v>
      </c>
      <c r="T160" s="131"/>
      <c r="U160" s="132">
        <v>203</v>
      </c>
      <c r="V160" s="121">
        <v>218.2</v>
      </c>
      <c r="W160" s="116">
        <v>0.98</v>
      </c>
      <c r="X160" s="116">
        <v>1.66</v>
      </c>
      <c r="Y160" s="116">
        <f t="shared" si="86"/>
        <v>0.98012044853704894</v>
      </c>
      <c r="Z160" s="133">
        <v>1.454</v>
      </c>
      <c r="AA160" s="133">
        <v>0.83599999999999997</v>
      </c>
      <c r="AB160" s="133">
        <v>0.72</v>
      </c>
      <c r="AC160" s="121">
        <v>34.299999999999997</v>
      </c>
      <c r="AD160" s="134">
        <v>1.17</v>
      </c>
      <c r="AE160" s="124">
        <v>139.69999999999999</v>
      </c>
      <c r="AF160" s="128">
        <v>7.72</v>
      </c>
      <c r="AG160" s="128">
        <v>2048</v>
      </c>
      <c r="AH160" s="127">
        <v>2020</v>
      </c>
      <c r="AI160" s="127">
        <v>2020</v>
      </c>
      <c r="AJ160" s="135"/>
      <c r="AK160" s="128"/>
      <c r="AL160" s="131"/>
      <c r="AM160" s="124" t="s">
        <v>232</v>
      </c>
      <c r="AN160" s="136" t="s">
        <v>827</v>
      </c>
      <c r="AO160" s="137">
        <v>79.48</v>
      </c>
      <c r="AP160" s="128">
        <v>1874</v>
      </c>
      <c r="AQ160" s="128">
        <v>24.76</v>
      </c>
      <c r="AR160" s="128"/>
      <c r="AS160" s="128"/>
      <c r="AT160" s="122"/>
      <c r="AU160" s="124" t="s">
        <v>189</v>
      </c>
      <c r="AV160" s="115">
        <f>VLOOKUP(J160,'[63]ТР нефть'!$J$28:$BP$638,39,0)</f>
        <v>549.99999140600005</v>
      </c>
      <c r="AW160" s="115" t="str">
        <f>VLOOKUP(J160,'[63]ТР нефть'!$J$28:$BP$638,40,0)</f>
        <v>ГП</v>
      </c>
      <c r="AX160" s="115">
        <f>VLOOKUP(J160,'[63]ТР нефть'!$J$28:$BP$638,41,0)</f>
        <v>970.00002949199995</v>
      </c>
      <c r="AY160" s="115" t="str">
        <f>VLOOKUP(J160,'[63]ТР нефть'!$J$28:$BP$638,42,0)</f>
        <v>ГК 81 1/8</v>
      </c>
      <c r="AZ160" s="115">
        <f>VLOOKUP(J160,'[63]ТР нефть'!$J$28:$BP$638,43,0)</f>
        <v>1299.9999796879999</v>
      </c>
      <c r="BA160" s="115" t="str">
        <f>VLOOKUP(J160,'[63]ТР нефть'!$J$28:$BP$638,44,0)</f>
        <v>ГК 81 5/32</v>
      </c>
      <c r="BB160" s="115">
        <f>VLOOKUP(J160,'[63]ТР нефть'!$J$28:$BP$638,45,0)</f>
        <v>1560.000035156</v>
      </c>
      <c r="BC160" s="115" t="str">
        <f>VLOOKUP(J160,'[63]ТР нефть'!$J$28:$BP$638,46,0)</f>
        <v>ГК 81 5/32</v>
      </c>
      <c r="BD160" s="115">
        <f>VLOOKUP(J160,'[63]ТР нефть'!$J$28:$BP$638,47,0)</f>
        <v>1790.0000613279999</v>
      </c>
      <c r="BE160" s="115" t="str">
        <f>VLOOKUP(J160,'[63]ТР нефть'!$J$28:$BP$638,48,0)</f>
        <v>ЦКсОК 5/16</v>
      </c>
      <c r="BF160" s="115" t="str">
        <f>VLOOKUP(J160,'[63]ТР нефть'!$J$28:$BP$638,49,0)</f>
        <v>-</v>
      </c>
      <c r="BG160" s="115" t="str">
        <f>VLOOKUP(J160,'[63]ТР нефть'!$J$28:$BP$638,50,0)</f>
        <v>-</v>
      </c>
      <c r="BH160" s="115">
        <f>VLOOKUP(J160,'[63]ТР нефть'!$J$28:$BP$638,51,0)</f>
        <v>1800</v>
      </c>
      <c r="BI160" s="115" t="str">
        <f>VLOOKUP(J160,'[63]ТР нефть'!$J$28:$BP$638,52,0)</f>
        <v>закрыт</v>
      </c>
      <c r="BJ160" s="115" t="str">
        <f>IF(IFERROR(VLOOKUP(J160,'[63]ТР нефть'!$J$28:$BP$638,53,0),"-")=0,"-",IFERROR(VLOOKUP(J160,'[63]ТР нефть'!$J$28:$BP$638,53,0),"-"))</f>
        <v>-</v>
      </c>
      <c r="BK160" s="138" t="str">
        <f>IF(IFERROR(VLOOKUP(J160,'[63]ТР нефть'!$J$28:$BP$638,54,0),"-")=0,"-",IFERROR(VLOOKUP(J160,'[63]ТР нефть'!$J$28:$BP$638,54,0),"-"))</f>
        <v>-</v>
      </c>
      <c r="BL160" s="138" t="str">
        <f>IF(IFERROR(VLOOKUP(J160,'[63]ТР нефть'!$J$28:$BP$638,55,0),"-")=0,"-",IFERROR(VLOOKUP(J160,'[63]ТР нефть'!$J$28:$BP$638,55,0),"-"))</f>
        <v>-</v>
      </c>
      <c r="BM160" s="138" t="str">
        <f>IF(IFERROR(VLOOKUP(J160,'[63]ТР нефть'!$J$28:$BP$638,56,0),"-")=0,"-",IFERROR(VLOOKUP(J160,'[63]ТР нефть'!$J$28:$BP$638,56,0),"-"))</f>
        <v>-</v>
      </c>
      <c r="BN160" s="138" t="str">
        <f>IF(IFERROR(VLOOKUP(J160,'[63]ТР нефть'!$J$28:$BP$638,57,0),"-")=0,"-",IFERROR(VLOOKUP(J160,'[63]ТР нефть'!$J$28:$BP$638,57,0),"-"))</f>
        <v>-</v>
      </c>
      <c r="BO160" s="115" t="str">
        <f>IF(IFERROR(VLOOKUP(J160,'[63]ТР нефть'!$J$28:$BP$638,58,0),"-")=0,"-",IFERROR(VLOOKUP(J160,'[63]ТР нефть'!$J$28:$BP$638,58,0),"-"))</f>
        <v>-</v>
      </c>
      <c r="BP160" s="115" t="str">
        <f>IF(IFERROR(VLOOKUP(J160,'[63]ТР нефть'!$J$28:$BP$638,59,0),"-")=0,"-",IFERROR(VLOOKUP(J160,'[63]ТР нефть'!$J$28:$BP$638,59,0),"-"))</f>
        <v>-</v>
      </c>
      <c r="BQ160" s="138">
        <v>1960</v>
      </c>
      <c r="BR160" s="128">
        <v>1916.85</v>
      </c>
      <c r="BS160" s="115">
        <f t="shared" si="105"/>
        <v>43.150000000000091</v>
      </c>
      <c r="BT160" s="128">
        <v>73</v>
      </c>
      <c r="BU160" s="128">
        <v>5.5</v>
      </c>
      <c r="BV160" s="127">
        <v>18</v>
      </c>
      <c r="BW160" s="127" t="s">
        <v>234</v>
      </c>
      <c r="BX160" s="127" t="s">
        <v>195</v>
      </c>
      <c r="BY160" s="139">
        <v>24</v>
      </c>
      <c r="BZ160" s="139">
        <v>0</v>
      </c>
      <c r="CA160" s="80">
        <v>24</v>
      </c>
      <c r="CB160" s="138">
        <v>39</v>
      </c>
      <c r="CC160" s="138">
        <v>23</v>
      </c>
      <c r="CD160" s="135">
        <v>45017</v>
      </c>
      <c r="CE160" s="138">
        <v>111.1</v>
      </c>
      <c r="CF160" s="138">
        <v>87</v>
      </c>
      <c r="CG160" s="138" t="str">
        <f t="shared" si="102"/>
        <v>В работе</v>
      </c>
      <c r="CH160" s="138" t="s">
        <v>235</v>
      </c>
      <c r="CI160" s="127">
        <v>6</v>
      </c>
      <c r="CJ160" s="138"/>
      <c r="CK160" s="138"/>
      <c r="CL160" s="99"/>
      <c r="CM160" s="99"/>
      <c r="CN160" s="140">
        <v>40</v>
      </c>
      <c r="CO160" s="141">
        <f t="shared" si="106"/>
        <v>1.4993340648</v>
      </c>
      <c r="CP160" s="142">
        <v>1.794</v>
      </c>
      <c r="CQ160" s="143">
        <v>0.03</v>
      </c>
      <c r="CR160" s="138">
        <v>18.533999999999999</v>
      </c>
      <c r="CS160" s="139">
        <v>8.8320000000000007</v>
      </c>
      <c r="CT160" s="138"/>
      <c r="CU160" s="138">
        <f t="shared" si="107"/>
        <v>9.7019999999999982</v>
      </c>
      <c r="CV160" s="115">
        <f t="shared" si="108"/>
        <v>6470.8727879761555</v>
      </c>
      <c r="CW160" s="115">
        <f t="shared" si="109"/>
        <v>5888.167614934594</v>
      </c>
      <c r="CX160" s="133">
        <f t="shared" si="110"/>
        <v>2.5232067510548527E-2</v>
      </c>
      <c r="CY160" s="116"/>
      <c r="CZ160" s="131"/>
      <c r="DA160" s="145" t="str">
        <f t="shared" si="111"/>
        <v>Газлифт</v>
      </c>
      <c r="DB160" s="146">
        <f t="shared" si="112"/>
        <v>1.4993340648</v>
      </c>
      <c r="DC160" s="142">
        <f t="shared" si="113"/>
        <v>1.794</v>
      </c>
      <c r="DD160" s="119">
        <f t="shared" si="114"/>
        <v>0.03</v>
      </c>
      <c r="DE160" s="115">
        <f t="shared" si="115"/>
        <v>9.7019999999999982</v>
      </c>
      <c r="DF160" s="121">
        <f t="shared" si="116"/>
        <v>8.8320000000000007</v>
      </c>
      <c r="DG160" s="115">
        <f t="shared" si="117"/>
        <v>6470.8727879761555</v>
      </c>
      <c r="DH160" s="115">
        <f t="shared" si="118"/>
        <v>40</v>
      </c>
      <c r="DI160" s="147"/>
      <c r="DJ160" s="111">
        <v>43483</v>
      </c>
      <c r="DK160" s="112">
        <v>38717</v>
      </c>
      <c r="DL160" s="113">
        <f t="shared" ca="1" si="87"/>
        <v>6387</v>
      </c>
      <c r="DM160" s="114"/>
      <c r="DN160" s="114"/>
      <c r="DO160" s="114"/>
      <c r="DP160" s="114"/>
      <c r="DQ160" s="112">
        <v>38743</v>
      </c>
      <c r="DR160" s="114" t="s">
        <v>198</v>
      </c>
      <c r="DS160" s="114"/>
      <c r="DT160" s="115">
        <v>48</v>
      </c>
      <c r="DU160" s="116">
        <f t="shared" si="88"/>
        <v>2.8431061806656104E-2</v>
      </c>
      <c r="DV160" s="117">
        <f t="shared" si="89"/>
        <v>1.4993340648</v>
      </c>
      <c r="DW160" s="118">
        <f t="shared" si="90"/>
        <v>1.794</v>
      </c>
      <c r="DX160" s="119">
        <f t="shared" si="119"/>
        <v>0.03</v>
      </c>
      <c r="DY160" s="115">
        <f t="shared" si="91"/>
        <v>9.7019999999999982</v>
      </c>
      <c r="DZ160" s="117">
        <f t="shared" si="92"/>
        <v>0</v>
      </c>
      <c r="EA160" s="120">
        <f t="shared" si="92"/>
        <v>0</v>
      </c>
      <c r="EB160" s="119">
        <f t="shared" si="92"/>
        <v>0</v>
      </c>
      <c r="EC160" s="121">
        <f t="shared" si="93"/>
        <v>0</v>
      </c>
      <c r="ED160" s="122"/>
      <c r="EE160" s="145">
        <v>18</v>
      </c>
      <c r="EF160" s="148">
        <v>24</v>
      </c>
      <c r="EG160" s="115">
        <v>39</v>
      </c>
      <c r="EH160" s="115">
        <v>23</v>
      </c>
      <c r="EI160" s="128" t="s">
        <v>195</v>
      </c>
      <c r="EJ160" s="121">
        <v>24</v>
      </c>
      <c r="EK160" s="121">
        <v>0</v>
      </c>
      <c r="EL160" s="149">
        <v>1.4993340648</v>
      </c>
      <c r="EM160" s="142">
        <v>1.794</v>
      </c>
      <c r="EN160" s="119">
        <v>0.03</v>
      </c>
      <c r="EO160" s="115">
        <v>18.533999999999999</v>
      </c>
      <c r="EP160" s="115">
        <v>6470.8727879761555</v>
      </c>
      <c r="EQ160" s="115">
        <v>87</v>
      </c>
      <c r="ER160" s="115">
        <v>8.8320000000000007</v>
      </c>
      <c r="ES160" s="115">
        <v>40</v>
      </c>
      <c r="ET160" s="150">
        <v>2.5232067510548527E-2</v>
      </c>
      <c r="EU160" s="145">
        <f t="shared" si="120"/>
        <v>18</v>
      </c>
      <c r="EV160" s="115">
        <f t="shared" si="121"/>
        <v>24</v>
      </c>
      <c r="EW160" s="115">
        <f t="shared" si="121"/>
        <v>39</v>
      </c>
      <c r="EX160" s="115">
        <f t="shared" si="121"/>
        <v>23</v>
      </c>
      <c r="EY160" s="115" t="str">
        <f t="shared" si="122"/>
        <v>Постоянный</v>
      </c>
      <c r="EZ160" s="115">
        <f t="shared" si="122"/>
        <v>24</v>
      </c>
      <c r="FA160" s="115">
        <f t="shared" si="122"/>
        <v>0</v>
      </c>
      <c r="FB160" s="149">
        <f t="shared" si="123"/>
        <v>1.4993340648</v>
      </c>
      <c r="FC160" s="142">
        <f t="shared" si="123"/>
        <v>1.794</v>
      </c>
      <c r="FD160" s="119">
        <f t="shared" si="123"/>
        <v>0.03</v>
      </c>
      <c r="FE160" s="121">
        <f t="shared" si="103"/>
        <v>18.533999999999999</v>
      </c>
      <c r="FF160" s="121">
        <f t="shared" si="94"/>
        <v>6470.8727879761555</v>
      </c>
      <c r="FG160" s="121">
        <f t="shared" si="124"/>
        <v>87</v>
      </c>
      <c r="FH160" s="121">
        <f t="shared" si="95"/>
        <v>8.8320000000000007</v>
      </c>
      <c r="FI160" s="121">
        <f t="shared" si="131"/>
        <v>40</v>
      </c>
      <c r="FJ160" s="144">
        <f t="shared" si="125"/>
        <v>2.5232067510548527E-2</v>
      </c>
      <c r="FK160" s="132">
        <f t="shared" si="126"/>
        <v>0</v>
      </c>
      <c r="FL160" s="115">
        <f t="shared" si="126"/>
        <v>0</v>
      </c>
      <c r="FM160" s="115">
        <f t="shared" si="126"/>
        <v>0</v>
      </c>
      <c r="FN160" s="115">
        <f t="shared" si="126"/>
        <v>0</v>
      </c>
      <c r="FO160" s="115">
        <f t="shared" si="100"/>
        <v>0</v>
      </c>
      <c r="FP160" s="115">
        <f t="shared" si="100"/>
        <v>0</v>
      </c>
      <c r="FQ160" s="149">
        <f t="shared" si="100"/>
        <v>0</v>
      </c>
      <c r="FR160" s="142">
        <f t="shared" si="100"/>
        <v>0</v>
      </c>
      <c r="FS160" s="119">
        <f t="shared" si="100"/>
        <v>0</v>
      </c>
      <c r="FT160" s="121">
        <f t="shared" si="100"/>
        <v>0</v>
      </c>
      <c r="FU160" s="121">
        <f t="shared" si="127"/>
        <v>0</v>
      </c>
      <c r="FV160" s="121">
        <f t="shared" si="127"/>
        <v>0</v>
      </c>
      <c r="FW160" s="121">
        <f t="shared" si="128"/>
        <v>0</v>
      </c>
      <c r="FX160" s="121">
        <f t="shared" si="129"/>
        <v>0</v>
      </c>
      <c r="FY160" s="144">
        <f t="shared" si="129"/>
        <v>0</v>
      </c>
      <c r="FZ160" s="145"/>
      <c r="GA160" s="151" t="s">
        <v>283</v>
      </c>
      <c r="GB160" s="145"/>
      <c r="GC160" s="151" t="s">
        <v>818</v>
      </c>
      <c r="GD160" s="997" t="s">
        <v>238</v>
      </c>
      <c r="GE160" s="1004"/>
      <c r="GF160" s="1004">
        <v>0</v>
      </c>
      <c r="GG160" s="1004"/>
      <c r="GH160" s="1004">
        <v>0</v>
      </c>
      <c r="GI160" s="145"/>
      <c r="GJ160" s="996">
        <v>0</v>
      </c>
      <c r="GK160" s="145"/>
      <c r="GL160" s="996">
        <v>0</v>
      </c>
      <c r="GM160" s="1005"/>
      <c r="GN160" s="996">
        <v>0</v>
      </c>
      <c r="GO160" s="1006"/>
      <c r="GP160" s="996">
        <v>0</v>
      </c>
      <c r="GQ160" s="1006"/>
      <c r="GR160" s="996">
        <v>0</v>
      </c>
      <c r="GS160" s="1006"/>
      <c r="GT160" s="996">
        <v>-0.31089870239999984</v>
      </c>
      <c r="GU160" s="1006"/>
      <c r="GV160" s="996">
        <v>0</v>
      </c>
      <c r="GW160" s="1006"/>
      <c r="GX160" s="997">
        <v>0.55660896719999964</v>
      </c>
      <c r="GY160" s="1006"/>
      <c r="GZ160" s="996">
        <v>0</v>
      </c>
      <c r="HA160" s="1006"/>
      <c r="HB160" s="996">
        <v>-0.66340779999999966</v>
      </c>
      <c r="HC160" s="1006"/>
      <c r="HD160" s="996">
        <v>0</v>
      </c>
      <c r="HE160" s="1006"/>
      <c r="HF160" s="996">
        <v>0</v>
      </c>
      <c r="HG160" s="1006"/>
      <c r="HH160" s="996">
        <v>0</v>
      </c>
      <c r="HI160" s="1006"/>
      <c r="HJ160" s="996">
        <v>0</v>
      </c>
      <c r="HK160" s="1006"/>
      <c r="HL160" s="996">
        <v>0</v>
      </c>
      <c r="HM160" s="1006"/>
      <c r="HN160" s="996">
        <v>0</v>
      </c>
      <c r="HO160" s="1006"/>
      <c r="HP160" s="996">
        <v>0</v>
      </c>
      <c r="HQ160" s="1006"/>
      <c r="HR160" s="996">
        <v>0</v>
      </c>
      <c r="HS160" s="1006"/>
      <c r="HT160" s="996">
        <v>0</v>
      </c>
      <c r="HU160" s="1006"/>
      <c r="HV160" s="996">
        <v>-0.23744072000000016</v>
      </c>
      <c r="HW160" s="1006"/>
      <c r="HX160" s="996">
        <v>0.82864320000000014</v>
      </c>
      <c r="HY160" s="1006"/>
      <c r="HZ160" s="996">
        <v>7.1829119999999858E-2</v>
      </c>
      <c r="IA160" s="1006"/>
      <c r="IB160" s="996">
        <v>-0.25079999999999991</v>
      </c>
      <c r="IC160" s="1006"/>
      <c r="ID160" s="996">
        <v>-0.68468400000000029</v>
      </c>
      <c r="IE160" s="1006"/>
      <c r="IF160" s="996">
        <v>-4.5143999999996964E-3</v>
      </c>
      <c r="IG160" s="1006"/>
      <c r="IH160" s="996">
        <v>0.3741935999999999</v>
      </c>
      <c r="II160" s="1006" t="s">
        <v>204</v>
      </c>
      <c r="IJ160" s="996">
        <v>-2.8112983087199996</v>
      </c>
      <c r="IK160" s="1006"/>
      <c r="IL160" s="996">
        <v>0</v>
      </c>
      <c r="IM160" s="1006"/>
      <c r="IN160" s="996">
        <v>0</v>
      </c>
      <c r="IO160" s="1006"/>
      <c r="IP160" s="996">
        <v>0</v>
      </c>
      <c r="IQ160" s="1006" t="s">
        <v>204</v>
      </c>
      <c r="IR160" s="996">
        <v>-3.3212000060800015</v>
      </c>
      <c r="IS160" s="1006"/>
      <c r="IT160" s="996">
        <v>0</v>
      </c>
      <c r="IU160" s="1006"/>
      <c r="IV160" s="996">
        <v>0</v>
      </c>
      <c r="IW160" s="1006"/>
      <c r="IX160" s="996">
        <v>0</v>
      </c>
      <c r="IY160" s="1006"/>
      <c r="IZ160" s="996">
        <v>0</v>
      </c>
      <c r="JA160" s="1006"/>
      <c r="JB160" s="996">
        <v>0</v>
      </c>
      <c r="JC160" s="1006"/>
      <c r="JD160" s="996">
        <v>0</v>
      </c>
      <c r="JE160" s="1006"/>
      <c r="JF160" s="996">
        <v>0</v>
      </c>
      <c r="JG160" s="1006"/>
      <c r="JH160" s="996">
        <v>0</v>
      </c>
      <c r="JI160" s="1006"/>
      <c r="JJ160" s="996">
        <v>0</v>
      </c>
      <c r="JK160" s="1007"/>
      <c r="JL160" s="1007">
        <v>0</v>
      </c>
      <c r="JM160" s="1007"/>
      <c r="JN160" s="1007">
        <v>0</v>
      </c>
      <c r="JO160" s="1008" t="s">
        <v>25</v>
      </c>
      <c r="JP160" s="1007">
        <v>7.9523031148000012</v>
      </c>
      <c r="JQ160" s="1008">
        <v>0</v>
      </c>
      <c r="JR160" s="1007">
        <v>0</v>
      </c>
      <c r="JS160" s="1008">
        <v>0</v>
      </c>
      <c r="JT160" s="1007">
        <v>0</v>
      </c>
      <c r="JU160" s="1008"/>
      <c r="JV160" s="1007">
        <v>0</v>
      </c>
      <c r="JW160" s="1008" t="s">
        <v>197</v>
      </c>
      <c r="JX160" s="1007">
        <v>0</v>
      </c>
      <c r="JY160" s="1008"/>
      <c r="JZ160" s="1007">
        <v>0</v>
      </c>
      <c r="KA160" s="1008"/>
      <c r="KB160" s="1007">
        <v>-2.1736</v>
      </c>
      <c r="KC160" s="1008"/>
      <c r="KD160" s="1007">
        <v>0</v>
      </c>
      <c r="KE160" s="1008" t="s">
        <v>199</v>
      </c>
      <c r="KF160" s="1007">
        <v>-0.70223999999999975</v>
      </c>
      <c r="KG160" s="1008"/>
      <c r="KH160" s="1007">
        <v>0</v>
      </c>
      <c r="KI160" s="1008" t="s">
        <v>207</v>
      </c>
      <c r="KJ160" s="1007">
        <v>-1.7221600000000001</v>
      </c>
      <c r="KK160" s="1008"/>
      <c r="KL160" s="1007">
        <v>0</v>
      </c>
      <c r="KM160" s="1008"/>
      <c r="KN160" s="1007">
        <v>0</v>
      </c>
      <c r="KO160" s="1008"/>
      <c r="KP160" s="1007">
        <v>0</v>
      </c>
      <c r="KQ160" s="1008" t="s">
        <v>206</v>
      </c>
      <c r="KR160" s="1007">
        <v>-2.09</v>
      </c>
      <c r="KS160" s="1008">
        <v>0</v>
      </c>
      <c r="KT160" s="1007">
        <v>0.41800000000000015</v>
      </c>
      <c r="KU160" s="1008" t="s">
        <v>206</v>
      </c>
      <c r="KV160" s="1007">
        <v>-2.09</v>
      </c>
      <c r="KW160" s="1008" t="s">
        <v>204</v>
      </c>
      <c r="KX160" s="1007">
        <v>1.2406239999999995</v>
      </c>
      <c r="KY160" s="1008">
        <v>0</v>
      </c>
      <c r="KZ160" s="1007">
        <v>0</v>
      </c>
      <c r="LA160" s="1008">
        <v>0</v>
      </c>
      <c r="LB160" s="1007">
        <v>0</v>
      </c>
      <c r="LC160" s="1008">
        <v>0</v>
      </c>
      <c r="LD160" s="1007">
        <v>0</v>
      </c>
      <c r="LE160" s="1008">
        <v>0</v>
      </c>
      <c r="LF160" s="1007">
        <v>0</v>
      </c>
      <c r="LG160" s="1008">
        <v>0</v>
      </c>
      <c r="LH160" s="1007">
        <v>-7.5744720000000001</v>
      </c>
      <c r="LI160" s="1008">
        <v>0</v>
      </c>
      <c r="LJ160" s="1007">
        <v>0</v>
      </c>
      <c r="LK160" s="1008">
        <v>0</v>
      </c>
      <c r="LL160" s="1007">
        <v>0</v>
      </c>
      <c r="LM160" s="1008" t="s">
        <v>555</v>
      </c>
      <c r="LN160" s="1007">
        <v>0.83416100000000004</v>
      </c>
      <c r="LO160" s="1008">
        <v>0</v>
      </c>
      <c r="LP160" s="1007">
        <v>0</v>
      </c>
      <c r="LQ160" s="1008">
        <v>0</v>
      </c>
      <c r="LR160" s="1007">
        <v>0</v>
      </c>
      <c r="LS160" s="1008">
        <v>0</v>
      </c>
      <c r="LT160" s="1007">
        <v>-0.83416799999999003</v>
      </c>
      <c r="LU160" s="1008">
        <v>0</v>
      </c>
      <c r="LV160" s="1007">
        <v>0</v>
      </c>
      <c r="LW160" s="1008">
        <v>0</v>
      </c>
      <c r="LX160" s="1007">
        <v>0</v>
      </c>
      <c r="LY160" s="1009">
        <v>0</v>
      </c>
      <c r="LZ160" s="1010">
        <v>0</v>
      </c>
      <c r="MA160" s="1011">
        <v>0</v>
      </c>
      <c r="MB160" s="1012">
        <v>0.97596813599999999</v>
      </c>
      <c r="MC160" s="995"/>
      <c r="MD160" s="996"/>
      <c r="ME160" s="997" t="s">
        <v>238</v>
      </c>
      <c r="MF160" s="997"/>
      <c r="MG160" s="998"/>
      <c r="NR160" s="1000"/>
      <c r="NS160" s="1000"/>
      <c r="NT160" s="1001"/>
      <c r="NU160" s="1000"/>
      <c r="NV160" s="1001"/>
      <c r="NX160" s="1002"/>
      <c r="NZ160" s="1001"/>
      <c r="OA160" s="1001"/>
      <c r="OC160" s="1003"/>
      <c r="OD160" s="1003"/>
      <c r="OE160" s="1001"/>
      <c r="OF160" s="1003"/>
      <c r="OG160" s="1003"/>
      <c r="QX160" s="1000">
        <f t="shared" si="96"/>
        <v>16</v>
      </c>
      <c r="ASU160" s="999" t="s">
        <v>225</v>
      </c>
    </row>
    <row r="161" spans="1:466 1191:1191" ht="21" customHeight="1" x14ac:dyDescent="0.25">
      <c r="A161" s="982" t="str">
        <f t="shared" si="104"/>
        <v>1061-1</v>
      </c>
      <c r="B161" s="124">
        <f>SUBTOTAL(103,$J$29:J161)</f>
        <v>133</v>
      </c>
      <c r="C161" s="126">
        <v>45096</v>
      </c>
      <c r="D161" s="124" t="s">
        <v>176</v>
      </c>
      <c r="E161" s="127" t="s">
        <v>177</v>
      </c>
      <c r="F161" s="128" t="s">
        <v>177</v>
      </c>
      <c r="G161" s="127" t="s">
        <v>178</v>
      </c>
      <c r="H161" s="127" t="s">
        <v>226</v>
      </c>
      <c r="I161" s="127" t="s">
        <v>456</v>
      </c>
      <c r="J161" s="152" t="s">
        <v>828</v>
      </c>
      <c r="K161" s="127" t="s">
        <v>826</v>
      </c>
      <c r="L161" s="130">
        <v>38837</v>
      </c>
      <c r="M161" s="127" t="s">
        <v>230</v>
      </c>
      <c r="N161" s="127" t="s">
        <v>231</v>
      </c>
      <c r="O161" s="127" t="s">
        <v>185</v>
      </c>
      <c r="P161" s="127" t="s">
        <v>208</v>
      </c>
      <c r="Q161" s="85" t="str">
        <f t="shared" si="130"/>
        <v/>
      </c>
      <c r="R161" s="130"/>
      <c r="S161" s="128" t="s">
        <v>156</v>
      </c>
      <c r="T161" s="131"/>
      <c r="U161" s="132">
        <v>203</v>
      </c>
      <c r="V161" s="121">
        <v>218.2</v>
      </c>
      <c r="W161" s="116">
        <v>0.98</v>
      </c>
      <c r="X161" s="116">
        <v>1.66</v>
      </c>
      <c r="Y161" s="116">
        <f t="shared" si="86"/>
        <v>0.98403097023953534</v>
      </c>
      <c r="Z161" s="133">
        <v>1.454</v>
      </c>
      <c r="AA161" s="133">
        <v>0.83599999999999997</v>
      </c>
      <c r="AB161" s="133">
        <v>0.72</v>
      </c>
      <c r="AC161" s="121">
        <v>34.299999999999997</v>
      </c>
      <c r="AD161" s="134">
        <v>1.17</v>
      </c>
      <c r="AE161" s="124">
        <v>139.69999999999999</v>
      </c>
      <c r="AF161" s="128">
        <v>7.72</v>
      </c>
      <c r="AG161" s="128">
        <v>1929</v>
      </c>
      <c r="AH161" s="127">
        <v>2500</v>
      </c>
      <c r="AI161" s="127">
        <v>2500</v>
      </c>
      <c r="AJ161" s="135"/>
      <c r="AK161" s="128"/>
      <c r="AL161" s="131"/>
      <c r="AM161" s="124" t="s">
        <v>232</v>
      </c>
      <c r="AN161" s="136" t="s">
        <v>829</v>
      </c>
      <c r="AO161" s="137">
        <v>94.17</v>
      </c>
      <c r="AP161" s="128">
        <v>1929</v>
      </c>
      <c r="AQ161" s="128">
        <v>61.3</v>
      </c>
      <c r="AR161" s="128"/>
      <c r="AS161" s="128"/>
      <c r="AT161" s="122"/>
      <c r="AU161" s="124" t="s">
        <v>250</v>
      </c>
      <c r="AV161" s="115">
        <f>VLOOKUP(J161,'[63]ТР нефть'!$J$28:$BP$638,39,0)</f>
        <v>602</v>
      </c>
      <c r="AW161" s="115" t="str">
        <f>VLOOKUP(J161,'[63]ТР нефть'!$J$28:$BP$638,40,0)</f>
        <v>ГП</v>
      </c>
      <c r="AX161" s="115">
        <f>VLOOKUP(J161,'[63]ТР нефть'!$J$28:$BP$638,41,0)</f>
        <v>1204</v>
      </c>
      <c r="AY161" s="115" t="str">
        <f>VLOOKUP(J161,'[63]ТР нефть'!$J$28:$BP$638,42,0)</f>
        <v>ГК 80 5/32</v>
      </c>
      <c r="AZ161" s="115">
        <f>VLOOKUP(J161,'[63]ТР нефть'!$J$28:$BP$638,43,0)</f>
        <v>1728</v>
      </c>
      <c r="BA161" s="115" t="str">
        <f>VLOOKUP(J161,'[63]ТР нефть'!$J$28:$BP$638,44,0)</f>
        <v>ЦКсОК 5/16</v>
      </c>
      <c r="BB161" s="115" t="str">
        <f>VLOOKUP(J161,'[63]ТР нефть'!$J$28:$BP$638,45,0)</f>
        <v>-</v>
      </c>
      <c r="BC161" s="115" t="str">
        <f>VLOOKUP(J161,'[63]ТР нефть'!$J$28:$BP$638,46,0)</f>
        <v>-</v>
      </c>
      <c r="BD161" s="115" t="str">
        <f>VLOOKUP(J161,'[63]ТР нефть'!$J$28:$BP$638,47,0)</f>
        <v>-</v>
      </c>
      <c r="BE161" s="115" t="str">
        <f>VLOOKUP(J161,'[63]ТР нефть'!$J$28:$BP$638,48,0)</f>
        <v>-</v>
      </c>
      <c r="BF161" s="115" t="str">
        <f>VLOOKUP(J161,'[63]ТР нефть'!$J$28:$BP$638,49,0)</f>
        <v>-</v>
      </c>
      <c r="BG161" s="115" t="str">
        <f>VLOOKUP(J161,'[63]ТР нефть'!$J$28:$BP$638,50,0)</f>
        <v>-</v>
      </c>
      <c r="BH161" s="115">
        <f>VLOOKUP(J161,'[63]ТР нефть'!$J$28:$BP$638,51,0)</f>
        <v>1739</v>
      </c>
      <c r="BI161" s="115" t="str">
        <f>VLOOKUP(J161,'[63]ТР нефть'!$J$28:$BP$638,52,0)</f>
        <v>закрыт</v>
      </c>
      <c r="BJ161" s="115" t="str">
        <f>IF(IFERROR(VLOOKUP(J161,'[63]ТР нефть'!$J$28:$BP$638,53,0),"-")=0,"-",IFERROR(VLOOKUP(J161,'[63]ТР нефть'!$J$28:$BP$638,53,0),"-"))</f>
        <v>-</v>
      </c>
      <c r="BK161" s="138" t="str">
        <f>IF(IFERROR(VLOOKUP(J161,'[63]ТР нефть'!$J$28:$BP$638,54,0),"-")=0,"-",IFERROR(VLOOKUP(J161,'[63]ТР нефть'!$J$28:$BP$638,54,0),"-"))</f>
        <v>-</v>
      </c>
      <c r="BL161" s="138" t="str">
        <f>IF(IFERROR(VLOOKUP(J161,'[63]ТР нефть'!$J$28:$BP$638,55,0),"-")=0,"-",IFERROR(VLOOKUP(J161,'[63]ТР нефть'!$J$28:$BP$638,55,0),"-"))</f>
        <v>-</v>
      </c>
      <c r="BM161" s="138" t="str">
        <f>IF(IFERROR(VLOOKUP(J161,'[63]ТР нефть'!$J$28:$BP$638,56,0),"-")=0,"-",IFERROR(VLOOKUP(J161,'[63]ТР нефть'!$J$28:$BP$638,56,0),"-"))</f>
        <v>-</v>
      </c>
      <c r="BN161" s="138" t="str">
        <f>IF(IFERROR(VLOOKUP(J161,'[63]ТР нефть'!$J$28:$BP$638,57,0),"-")=0,"-",IFERROR(VLOOKUP(J161,'[63]ТР нефть'!$J$28:$BP$638,57,0),"-"))</f>
        <v>-</v>
      </c>
      <c r="BO161" s="115" t="str">
        <f>IF(IFERROR(VLOOKUP(J161,'[63]ТР нефть'!$J$28:$BP$638,58,0),"-")=0,"-",IFERROR(VLOOKUP(J161,'[63]ТР нефть'!$J$28:$BP$638,58,0),"-"))</f>
        <v>-</v>
      </c>
      <c r="BP161" s="115" t="str">
        <f>IF(IFERROR(VLOOKUP(J161,'[63]ТР нефть'!$J$28:$BP$638,59,0),"-")=0,"-",IFERROR(VLOOKUP(J161,'[63]ТР нефть'!$J$28:$BP$638,59,0),"-"))</f>
        <v>-</v>
      </c>
      <c r="BQ161" s="138">
        <v>2400.8000000000002</v>
      </c>
      <c r="BR161" s="128">
        <v>1896.64</v>
      </c>
      <c r="BS161" s="115">
        <f t="shared" si="105"/>
        <v>504.16000000000008</v>
      </c>
      <c r="BT161" s="128">
        <v>73</v>
      </c>
      <c r="BU161" s="128">
        <v>5.5</v>
      </c>
      <c r="BV161" s="127">
        <v>18</v>
      </c>
      <c r="BW161" s="127" t="s">
        <v>234</v>
      </c>
      <c r="BX161" s="127" t="s">
        <v>195</v>
      </c>
      <c r="BY161" s="139">
        <v>24</v>
      </c>
      <c r="BZ161" s="139">
        <v>0</v>
      </c>
      <c r="CA161" s="138">
        <v>25</v>
      </c>
      <c r="CB161" s="138">
        <v>36</v>
      </c>
      <c r="CC161" s="138">
        <v>24</v>
      </c>
      <c r="CD161" s="135">
        <v>45017</v>
      </c>
      <c r="CE161" s="138">
        <v>86.8</v>
      </c>
      <c r="CF161" s="138"/>
      <c r="CG161" s="138" t="str">
        <f t="shared" si="102"/>
        <v/>
      </c>
      <c r="CH161" s="138" t="s">
        <v>197</v>
      </c>
      <c r="CI161" s="127"/>
      <c r="CJ161" s="138"/>
      <c r="CK161" s="138"/>
      <c r="CL161" s="99"/>
      <c r="CM161" s="127"/>
      <c r="CN161" s="154">
        <v>56</v>
      </c>
      <c r="CO161" s="141">
        <f t="shared" si="106"/>
        <v>8.359163999999998</v>
      </c>
      <c r="CP161" s="142">
        <v>10.1</v>
      </c>
      <c r="CQ161" s="143">
        <v>1</v>
      </c>
      <c r="CR161" s="138">
        <v>10.7</v>
      </c>
      <c r="CS161" s="139"/>
      <c r="CT161" s="138"/>
      <c r="CU161" s="138">
        <f t="shared" si="107"/>
        <v>10.7</v>
      </c>
      <c r="CV161" s="115">
        <f t="shared" si="108"/>
        <v>1280.0323094510411</v>
      </c>
      <c r="CW161" s="115" t="str">
        <f t="shared" si="109"/>
        <v/>
      </c>
      <c r="CX161" s="133">
        <f t="shared" si="110"/>
        <v>0.32792207792207795</v>
      </c>
      <c r="CY161" s="116"/>
      <c r="CZ161" s="131"/>
      <c r="DA161" s="145" t="str">
        <f t="shared" si="111"/>
        <v>Фон.</v>
      </c>
      <c r="DB161" s="146">
        <f t="shared" si="112"/>
        <v>8.4436</v>
      </c>
      <c r="DC161" s="142">
        <f t="shared" si="113"/>
        <v>10.1</v>
      </c>
      <c r="DD161" s="119">
        <f t="shared" si="114"/>
        <v>0</v>
      </c>
      <c r="DE161" s="115">
        <f t="shared" si="115"/>
        <v>10.7</v>
      </c>
      <c r="DF161" s="121">
        <f t="shared" si="116"/>
        <v>0</v>
      </c>
      <c r="DG161" s="115">
        <f t="shared" si="117"/>
        <v>1280.0323094510411</v>
      </c>
      <c r="DH161" s="115">
        <f t="shared" si="118"/>
        <v>56</v>
      </c>
      <c r="DI161" s="147"/>
      <c r="DJ161" s="111" t="s">
        <v>197</v>
      </c>
      <c r="DK161" s="112">
        <v>38837</v>
      </c>
      <c r="DL161" s="113">
        <f t="shared" ca="1" si="87"/>
        <v>6267</v>
      </c>
      <c r="DM161" s="114"/>
      <c r="DN161" s="114"/>
      <c r="DO161" s="114"/>
      <c r="DP161" s="114"/>
      <c r="DQ161" s="112">
        <v>41427</v>
      </c>
      <c r="DR161" s="114" t="s">
        <v>688</v>
      </c>
      <c r="DS161" s="114"/>
      <c r="DT161" s="115">
        <v>60</v>
      </c>
      <c r="DU161" s="116">
        <f t="shared" si="88"/>
        <v>0.37686567164179108</v>
      </c>
      <c r="DV161" s="117">
        <f t="shared" si="89"/>
        <v>8.359163999999998</v>
      </c>
      <c r="DW161" s="118">
        <f t="shared" si="90"/>
        <v>10.1</v>
      </c>
      <c r="DX161" s="119">
        <f t="shared" si="119"/>
        <v>1</v>
      </c>
      <c r="DY161" s="115">
        <f t="shared" si="91"/>
        <v>10.7</v>
      </c>
      <c r="DZ161" s="117">
        <f t="shared" si="92"/>
        <v>0</v>
      </c>
      <c r="EA161" s="120">
        <f t="shared" si="92"/>
        <v>0</v>
      </c>
      <c r="EB161" s="119">
        <f t="shared" si="92"/>
        <v>0</v>
      </c>
      <c r="EC161" s="121">
        <f t="shared" si="93"/>
        <v>0</v>
      </c>
      <c r="ED161" s="122"/>
      <c r="EE161" s="145">
        <v>18</v>
      </c>
      <c r="EF161" s="148">
        <v>55</v>
      </c>
      <c r="EG161" s="115">
        <v>58</v>
      </c>
      <c r="EH161" s="115">
        <v>53</v>
      </c>
      <c r="EI161" s="128" t="s">
        <v>195</v>
      </c>
      <c r="EJ161" s="121">
        <v>24</v>
      </c>
      <c r="EK161" s="121">
        <v>0</v>
      </c>
      <c r="EL161" s="149">
        <v>4.18</v>
      </c>
      <c r="EM161" s="142">
        <v>5</v>
      </c>
      <c r="EN161" s="119">
        <v>0</v>
      </c>
      <c r="EO161" s="115">
        <v>11.2</v>
      </c>
      <c r="EP161" s="115">
        <v>2679.4258373205744</v>
      </c>
      <c r="EQ161" s="115">
        <v>0</v>
      </c>
      <c r="ER161" s="115">
        <v>0</v>
      </c>
      <c r="ES161" s="115">
        <v>56</v>
      </c>
      <c r="ET161" s="150">
        <v>0.16233766233766236</v>
      </c>
      <c r="EU161" s="145">
        <f t="shared" si="120"/>
        <v>18</v>
      </c>
      <c r="EV161" s="115">
        <f t="shared" si="121"/>
        <v>25</v>
      </c>
      <c r="EW161" s="115">
        <f t="shared" si="121"/>
        <v>36</v>
      </c>
      <c r="EX161" s="115">
        <f t="shared" si="121"/>
        <v>24</v>
      </c>
      <c r="EY161" s="115" t="str">
        <f t="shared" si="122"/>
        <v>Постоянный</v>
      </c>
      <c r="EZ161" s="115">
        <f t="shared" si="122"/>
        <v>24</v>
      </c>
      <c r="FA161" s="115">
        <f t="shared" si="122"/>
        <v>0</v>
      </c>
      <c r="FB161" s="149">
        <f t="shared" si="123"/>
        <v>8.359163999999998</v>
      </c>
      <c r="FC161" s="142">
        <f t="shared" si="123"/>
        <v>10.1</v>
      </c>
      <c r="FD161" s="119">
        <f t="shared" si="123"/>
        <v>1</v>
      </c>
      <c r="FE161" s="121">
        <f t="shared" si="103"/>
        <v>10.7</v>
      </c>
      <c r="FF161" s="121">
        <f t="shared" si="94"/>
        <v>1280.0323094510411</v>
      </c>
      <c r="FG161" s="121">
        <f t="shared" si="124"/>
        <v>0</v>
      </c>
      <c r="FH161" s="121">
        <f t="shared" si="95"/>
        <v>0</v>
      </c>
      <c r="FI161" s="121">
        <f t="shared" si="131"/>
        <v>56</v>
      </c>
      <c r="FJ161" s="144">
        <f t="shared" si="125"/>
        <v>0.32792207792207795</v>
      </c>
      <c r="FK161" s="132">
        <f t="shared" si="126"/>
        <v>0</v>
      </c>
      <c r="FL161" s="115">
        <f t="shared" si="126"/>
        <v>-30</v>
      </c>
      <c r="FM161" s="115">
        <f t="shared" si="126"/>
        <v>-22</v>
      </c>
      <c r="FN161" s="115">
        <f t="shared" si="126"/>
        <v>-29</v>
      </c>
      <c r="FO161" s="115">
        <f t="shared" si="100"/>
        <v>0</v>
      </c>
      <c r="FP161" s="115">
        <f t="shared" si="100"/>
        <v>0</v>
      </c>
      <c r="FQ161" s="149">
        <f t="shared" si="100"/>
        <v>4.1791639999999983</v>
      </c>
      <c r="FR161" s="142">
        <f t="shared" si="100"/>
        <v>5.0999999999999996</v>
      </c>
      <c r="FS161" s="119">
        <f t="shared" si="100"/>
        <v>1</v>
      </c>
      <c r="FT161" s="121">
        <f t="shared" si="100"/>
        <v>-0.5</v>
      </c>
      <c r="FU161" s="121">
        <f t="shared" si="127"/>
        <v>0</v>
      </c>
      <c r="FV161" s="121">
        <f t="shared" si="127"/>
        <v>0</v>
      </c>
      <c r="FW161" s="121">
        <f t="shared" si="128"/>
        <v>-1399.3935278695333</v>
      </c>
      <c r="FX161" s="121">
        <f t="shared" si="129"/>
        <v>0</v>
      </c>
      <c r="FY161" s="144">
        <f t="shared" si="129"/>
        <v>0.16558441558441558</v>
      </c>
      <c r="FZ161" s="145" t="s">
        <v>199</v>
      </c>
      <c r="GA161" s="1034" t="s">
        <v>830</v>
      </c>
      <c r="GB161" s="145" t="s">
        <v>199</v>
      </c>
      <c r="GC161" s="151" t="s">
        <v>415</v>
      </c>
      <c r="GD161" s="997" t="s">
        <v>238</v>
      </c>
      <c r="GE161" s="1004" t="s">
        <v>199</v>
      </c>
      <c r="GF161" s="1004">
        <v>-6.1028000000000002</v>
      </c>
      <c r="GG161" s="1004"/>
      <c r="GH161" s="1004">
        <v>0</v>
      </c>
      <c r="GI161" s="145"/>
      <c r="GJ161" s="996">
        <v>0</v>
      </c>
      <c r="GK161" s="145"/>
      <c r="GL161" s="996">
        <v>0</v>
      </c>
      <c r="GM161" s="1005"/>
      <c r="GN161" s="996">
        <v>0</v>
      </c>
      <c r="GO161" s="1006"/>
      <c r="GP161" s="996">
        <v>0</v>
      </c>
      <c r="GQ161" s="1006"/>
      <c r="GR161" s="996">
        <v>0</v>
      </c>
      <c r="GS161" s="1006"/>
      <c r="GT161" s="996">
        <v>0</v>
      </c>
      <c r="GU161" s="1006"/>
      <c r="GV161" s="996">
        <v>0</v>
      </c>
      <c r="GW161" s="1006"/>
      <c r="GX161" s="997">
        <v>0</v>
      </c>
      <c r="GY161" s="1006"/>
      <c r="GZ161" s="996">
        <v>0</v>
      </c>
      <c r="HA161" s="1006"/>
      <c r="HB161" s="996">
        <v>0</v>
      </c>
      <c r="HC161" s="1006"/>
      <c r="HD161" s="996">
        <v>0</v>
      </c>
      <c r="HE161" s="1006"/>
      <c r="HF161" s="996">
        <v>-1.008222688</v>
      </c>
      <c r="HG161" s="1006"/>
      <c r="HH161" s="996">
        <v>0</v>
      </c>
      <c r="HI161" s="1006"/>
      <c r="HJ161" s="996">
        <v>0</v>
      </c>
      <c r="HK161" s="1006"/>
      <c r="HL161" s="996">
        <v>0</v>
      </c>
      <c r="HM161" s="1006"/>
      <c r="HN161" s="996">
        <v>0</v>
      </c>
      <c r="HO161" s="1006"/>
      <c r="HP161" s="996">
        <v>0.34399999999999986</v>
      </c>
      <c r="HQ161" s="1006"/>
      <c r="HR161" s="996">
        <v>0</v>
      </c>
      <c r="HS161" s="1006"/>
      <c r="HT161" s="996">
        <v>0</v>
      </c>
      <c r="HU161" s="1006"/>
      <c r="HV161" s="996">
        <v>0</v>
      </c>
      <c r="HW161" s="1006"/>
      <c r="HX161" s="996">
        <v>0</v>
      </c>
      <c r="HY161" s="1006"/>
      <c r="HZ161" s="996">
        <v>0</v>
      </c>
      <c r="IA161" s="1006"/>
      <c r="IB161" s="996">
        <v>0</v>
      </c>
      <c r="IC161" s="1006" t="s">
        <v>204</v>
      </c>
      <c r="ID161" s="996">
        <v>5.0643525679999994</v>
      </c>
      <c r="IE161" s="1006"/>
      <c r="IF161" s="996">
        <v>0</v>
      </c>
      <c r="IG161" s="1006"/>
      <c r="IH161" s="996">
        <v>0</v>
      </c>
      <c r="II161" s="1006"/>
      <c r="IJ161" s="996">
        <v>0</v>
      </c>
      <c r="IK161" s="1006"/>
      <c r="IL161" s="996">
        <v>0</v>
      </c>
      <c r="IM161" s="1006"/>
      <c r="IN161" s="996">
        <v>0</v>
      </c>
      <c r="IO161" s="1006"/>
      <c r="IP161" s="996">
        <v>0</v>
      </c>
      <c r="IQ161" s="1006"/>
      <c r="IR161" s="996">
        <v>-0.91026856799999989</v>
      </c>
      <c r="IS161" s="1006"/>
      <c r="IT161" s="996">
        <v>0</v>
      </c>
      <c r="IU161" s="1006"/>
      <c r="IV161" s="996">
        <v>0</v>
      </c>
      <c r="IW161" s="1006"/>
      <c r="IX161" s="996">
        <v>0</v>
      </c>
      <c r="IY161" s="1006"/>
      <c r="IZ161" s="996">
        <v>0</v>
      </c>
      <c r="JA161" s="1006"/>
      <c r="JB161" s="996">
        <v>0</v>
      </c>
      <c r="JC161" s="1006"/>
      <c r="JD161" s="996">
        <v>0</v>
      </c>
      <c r="JE161" s="1006" t="s">
        <v>831</v>
      </c>
      <c r="JF161" s="996">
        <v>1.6101359999999998</v>
      </c>
      <c r="JG161" s="1006"/>
      <c r="JH161" s="996">
        <v>0</v>
      </c>
      <c r="JI161" s="1006"/>
      <c r="JJ161" s="996">
        <v>0</v>
      </c>
      <c r="JK161" s="1007"/>
      <c r="JL161" s="1007">
        <v>0</v>
      </c>
      <c r="JM161" s="1007"/>
      <c r="JN161" s="1007">
        <v>0</v>
      </c>
      <c r="JO161" s="1008"/>
      <c r="JP161" s="1007">
        <v>0</v>
      </c>
      <c r="JQ161" s="1008">
        <v>0</v>
      </c>
      <c r="JR161" s="1007">
        <v>0</v>
      </c>
      <c r="JS161" s="1008">
        <v>0</v>
      </c>
      <c r="JT161" s="1007">
        <v>0</v>
      </c>
      <c r="JU161" s="1008"/>
      <c r="JV161" s="1007">
        <v>0</v>
      </c>
      <c r="JW161" s="1008" t="s">
        <v>197</v>
      </c>
      <c r="JX161" s="1007">
        <v>0</v>
      </c>
      <c r="JY161" s="1008"/>
      <c r="JZ161" s="1007">
        <v>0</v>
      </c>
      <c r="KA161" s="1008"/>
      <c r="KB161" s="1007">
        <v>-2.5916000000000001</v>
      </c>
      <c r="KC161" s="1008"/>
      <c r="KD161" s="1007">
        <v>0</v>
      </c>
      <c r="KE161" s="1008"/>
      <c r="KF161" s="1007">
        <v>0</v>
      </c>
      <c r="KG161" s="1008"/>
      <c r="KH161" s="1007">
        <v>0</v>
      </c>
      <c r="KI161" s="1008" t="s">
        <v>207</v>
      </c>
      <c r="KJ161" s="1007">
        <v>-1.5883999999999996</v>
      </c>
      <c r="KK161" s="1008"/>
      <c r="KL161" s="1007">
        <v>0</v>
      </c>
      <c r="KM161" s="1008"/>
      <c r="KN161" s="1007">
        <v>0</v>
      </c>
      <c r="KO161" s="1008"/>
      <c r="KP161" s="1007">
        <v>0</v>
      </c>
      <c r="KQ161" s="1008" t="s">
        <v>206</v>
      </c>
      <c r="KR161" s="1007">
        <v>-1.6719999999999997</v>
      </c>
      <c r="KS161" s="1008">
        <v>0</v>
      </c>
      <c r="KT161" s="1007">
        <v>0</v>
      </c>
      <c r="KU161" s="1008" t="s">
        <v>206</v>
      </c>
      <c r="KV161" s="1007">
        <v>-2.508</v>
      </c>
      <c r="KW161" s="1008" t="s">
        <v>204</v>
      </c>
      <c r="KX161" s="1007">
        <v>1.3375999999999992</v>
      </c>
      <c r="KY161" s="1008">
        <v>0</v>
      </c>
      <c r="KZ161" s="1007">
        <v>0</v>
      </c>
      <c r="LA161" s="1008">
        <v>0</v>
      </c>
      <c r="LB161" s="1007">
        <v>0</v>
      </c>
      <c r="LC161" s="1008">
        <v>0</v>
      </c>
      <c r="LD161" s="1007">
        <v>0</v>
      </c>
      <c r="LE161" s="1008">
        <v>0</v>
      </c>
      <c r="LF161" s="1007">
        <v>0</v>
      </c>
      <c r="LG161" s="1008">
        <v>0</v>
      </c>
      <c r="LH161" s="1007">
        <v>-7.6796631999999985</v>
      </c>
      <c r="LI161" s="1008">
        <v>0</v>
      </c>
      <c r="LJ161" s="1007">
        <v>0</v>
      </c>
      <c r="LK161" s="1008">
        <v>0</v>
      </c>
      <c r="LL161" s="1007">
        <v>0</v>
      </c>
      <c r="LM161" s="1008" t="s">
        <v>555</v>
      </c>
      <c r="LN161" s="1007">
        <v>1.001695</v>
      </c>
      <c r="LO161" s="1008">
        <v>0</v>
      </c>
      <c r="LP161" s="1007">
        <v>0</v>
      </c>
      <c r="LQ161" s="1008">
        <v>0</v>
      </c>
      <c r="LR161" s="1007">
        <v>0</v>
      </c>
      <c r="LS161" s="1008">
        <v>0</v>
      </c>
      <c r="LT161" s="1007">
        <v>-0.75127140999999997</v>
      </c>
      <c r="LU161" s="1008">
        <v>0</v>
      </c>
      <c r="LV161" s="1007">
        <v>0</v>
      </c>
      <c r="LW161" s="1008">
        <v>0</v>
      </c>
      <c r="LX161" s="1007">
        <v>0</v>
      </c>
      <c r="LY161" s="1009">
        <v>0</v>
      </c>
      <c r="LZ161" s="1010">
        <v>0</v>
      </c>
      <c r="MA161" s="1011">
        <v>0</v>
      </c>
      <c r="MB161" s="1012">
        <v>0</v>
      </c>
      <c r="MC161" s="995"/>
      <c r="MD161" s="996"/>
      <c r="ME161" s="997" t="s">
        <v>238</v>
      </c>
      <c r="MF161" s="997"/>
      <c r="MG161" s="998"/>
      <c r="NR161" s="1000"/>
      <c r="NS161" s="1000"/>
      <c r="NT161" s="1001"/>
      <c r="NU161" s="1000"/>
      <c r="NV161" s="1001"/>
      <c r="NX161" s="1002"/>
      <c r="NZ161" s="1001"/>
      <c r="OA161" s="1001"/>
      <c r="OC161" s="1003"/>
      <c r="OD161" s="1003"/>
      <c r="OE161" s="1001"/>
      <c r="OF161" s="1003"/>
      <c r="OG161" s="1003"/>
      <c r="QX161" s="1000">
        <f t="shared" si="96"/>
        <v>31</v>
      </c>
      <c r="ASU161" s="999" t="s">
        <v>225</v>
      </c>
    </row>
    <row r="162" spans="1:466 1191:1191" ht="21" customHeight="1" x14ac:dyDescent="0.25">
      <c r="A162" s="982" t="str">
        <f t="shared" si="104"/>
        <v>1061-2</v>
      </c>
      <c r="B162" s="124">
        <f>SUBTOTAL(103,$J$29:J162)</f>
        <v>134</v>
      </c>
      <c r="C162" s="126">
        <v>45096</v>
      </c>
      <c r="D162" s="124" t="s">
        <v>176</v>
      </c>
      <c r="E162" s="127" t="s">
        <v>177</v>
      </c>
      <c r="F162" s="128" t="s">
        <v>177</v>
      </c>
      <c r="G162" s="127" t="s">
        <v>178</v>
      </c>
      <c r="H162" s="127" t="s">
        <v>408</v>
      </c>
      <c r="I162" s="127" t="s">
        <v>456</v>
      </c>
      <c r="J162" s="152" t="s">
        <v>832</v>
      </c>
      <c r="K162" s="127" t="s">
        <v>826</v>
      </c>
      <c r="L162" s="130">
        <v>38960</v>
      </c>
      <c r="M162" s="127" t="s">
        <v>230</v>
      </c>
      <c r="N162" s="127" t="s">
        <v>465</v>
      </c>
      <c r="O162" s="127" t="s">
        <v>185</v>
      </c>
      <c r="P162" s="127" t="s">
        <v>208</v>
      </c>
      <c r="Q162" s="85" t="str">
        <f t="shared" si="130"/>
        <v/>
      </c>
      <c r="R162" s="130"/>
      <c r="S162" s="128"/>
      <c r="T162" s="131"/>
      <c r="U162" s="132">
        <v>203</v>
      </c>
      <c r="V162" s="121">
        <v>218.2</v>
      </c>
      <c r="W162" s="116">
        <v>0.98</v>
      </c>
      <c r="X162" s="116">
        <v>1.66</v>
      </c>
      <c r="Y162" s="116">
        <f t="shared" si="86"/>
        <v>0.98</v>
      </c>
      <c r="Z162" s="133">
        <v>1.454</v>
      </c>
      <c r="AA162" s="133">
        <v>0.83599999999999997</v>
      </c>
      <c r="AB162" s="133">
        <v>0.72</v>
      </c>
      <c r="AC162" s="121">
        <v>34.299999999999997</v>
      </c>
      <c r="AD162" s="134">
        <v>1.17</v>
      </c>
      <c r="AE162" s="124">
        <v>139.69999999999999</v>
      </c>
      <c r="AF162" s="128">
        <v>7.72</v>
      </c>
      <c r="AG162" s="128">
        <v>1973</v>
      </c>
      <c r="AH162" s="127">
        <v>2500</v>
      </c>
      <c r="AI162" s="127">
        <v>2500</v>
      </c>
      <c r="AJ162" s="135"/>
      <c r="AK162" s="128"/>
      <c r="AL162" s="131"/>
      <c r="AM162" s="124" t="s">
        <v>232</v>
      </c>
      <c r="AN162" s="136" t="s">
        <v>833</v>
      </c>
      <c r="AO162" s="137">
        <v>16.2</v>
      </c>
      <c r="AP162" s="128">
        <v>1973</v>
      </c>
      <c r="AQ162" s="128">
        <v>103</v>
      </c>
      <c r="AR162" s="128"/>
      <c r="AS162" s="128"/>
      <c r="AT162" s="122"/>
      <c r="AU162" s="124" t="s">
        <v>250</v>
      </c>
      <c r="AV162" s="115">
        <f>VLOOKUP(J162,'[63]ТР нефть'!$J$28:$BP$638,39,0)</f>
        <v>444</v>
      </c>
      <c r="AW162" s="115" t="str">
        <f>VLOOKUP(J162,'[63]ТР нефть'!$J$28:$BP$638,40,0)</f>
        <v>ГП</v>
      </c>
      <c r="AX162" s="115">
        <f>VLOOKUP(J162,'[63]ТР нефть'!$J$28:$BP$638,41,0)</f>
        <v>816</v>
      </c>
      <c r="AY162" s="115" t="str">
        <f>VLOOKUP(J162,'[63]ТР нефть'!$J$28:$BP$638,42,0)</f>
        <v>ГП</v>
      </c>
      <c r="AZ162" s="115">
        <f>VLOOKUP(J162,'[63]ТР нефть'!$J$28:$BP$638,43,0)</f>
        <v>1124</v>
      </c>
      <c r="BA162" s="115" t="str">
        <f>VLOOKUP(J162,'[63]ТР нефть'!$J$28:$BP$638,44,0)</f>
        <v>ГК 87 1/8</v>
      </c>
      <c r="BB162" s="115">
        <f>VLOOKUP(J162,'[63]ТР нефть'!$J$28:$BP$638,45,0)</f>
        <v>1377</v>
      </c>
      <c r="BC162" s="115" t="str">
        <f>VLOOKUP(J162,'[63]ТР нефть'!$J$28:$BP$638,46,0)</f>
        <v>ГК 86 5/32</v>
      </c>
      <c r="BD162" s="115">
        <f>VLOOKUP(J162,'[63]ТР нефть'!$J$28:$BP$638,47,0)</f>
        <v>1560</v>
      </c>
      <c r="BE162" s="115" t="str">
        <f>VLOOKUP(J162,'[63]ТР нефть'!$J$28:$BP$638,48,0)</f>
        <v>ЦКсОК 5/16</v>
      </c>
      <c r="BF162" s="115" t="str">
        <f>VLOOKUP(J162,'[63]ТР нефть'!$J$28:$BP$638,49,0)</f>
        <v>-</v>
      </c>
      <c r="BG162" s="115" t="str">
        <f>VLOOKUP(J162,'[63]ТР нефть'!$J$28:$BP$638,50,0)</f>
        <v>-</v>
      </c>
      <c r="BH162" s="115">
        <f>VLOOKUP(J162,'[63]ТР нефть'!$J$28:$BP$638,51,0)</f>
        <v>1570</v>
      </c>
      <c r="BI162" s="115" t="str">
        <f>VLOOKUP(J162,'[63]ТР нефть'!$J$28:$BP$638,52,0)</f>
        <v>закрыт</v>
      </c>
      <c r="BJ162" s="115" t="str">
        <f>IF(IFERROR(VLOOKUP(J162,'[63]ТР нефть'!$J$28:$BP$638,53,0),"-")=0,"-",IFERROR(VLOOKUP(J162,'[63]ТР нефть'!$J$28:$BP$638,53,0),"-"))</f>
        <v>-</v>
      </c>
      <c r="BK162" s="138" t="str">
        <f>IF(IFERROR(VLOOKUP(J162,'[63]ТР нефть'!$J$28:$BP$638,54,0),"-")=0,"-",IFERROR(VLOOKUP(J162,'[63]ТР нефть'!$J$28:$BP$638,54,0),"-"))</f>
        <v>-</v>
      </c>
      <c r="BL162" s="138" t="str">
        <f>IF(IFERROR(VLOOKUP(J162,'[63]ТР нефть'!$J$28:$BP$638,55,0),"-")=0,"-",IFERROR(VLOOKUP(J162,'[63]ТР нефть'!$J$28:$BP$638,55,0),"-"))</f>
        <v>-</v>
      </c>
      <c r="BM162" s="138" t="str">
        <f>IF(IFERROR(VLOOKUP(J162,'[63]ТР нефть'!$J$28:$BP$638,56,0),"-")=0,"-",IFERROR(VLOOKUP(J162,'[63]ТР нефть'!$J$28:$BP$638,56,0),"-"))</f>
        <v>-</v>
      </c>
      <c r="BN162" s="138" t="str">
        <f>IF(IFERROR(VLOOKUP(J162,'[63]ТР нефть'!$J$28:$BP$638,57,0),"-")=0,"-",IFERROR(VLOOKUP(J162,'[63]ТР нефть'!$J$28:$BP$638,57,0),"-"))</f>
        <v>-</v>
      </c>
      <c r="BO162" s="115" t="str">
        <f>IF(IFERROR(VLOOKUP(J162,'[63]ТР нефть'!$J$28:$BP$638,58,0),"-")=0,"-",IFERROR(VLOOKUP(J162,'[63]ТР нефть'!$J$28:$BP$638,58,0),"-"))</f>
        <v>-</v>
      </c>
      <c r="BP162" s="115" t="str">
        <f>IF(IFERROR(VLOOKUP(J162,'[63]ТР нефть'!$J$28:$BP$638,59,0),"-")=0,"-",IFERROR(VLOOKUP(J162,'[63]ТР нефть'!$J$28:$BP$638,59,0),"-"))</f>
        <v>-</v>
      </c>
      <c r="BQ162" s="138">
        <v>1990</v>
      </c>
      <c r="BR162" s="128">
        <v>1872.93</v>
      </c>
      <c r="BS162" s="115">
        <f t="shared" si="105"/>
        <v>117.06999999999994</v>
      </c>
      <c r="BT162" s="128">
        <v>73</v>
      </c>
      <c r="BU162" s="128">
        <v>5.5</v>
      </c>
      <c r="BV162" s="127">
        <v>18</v>
      </c>
      <c r="BW162" s="127" t="s">
        <v>234</v>
      </c>
      <c r="BX162" s="127" t="s">
        <v>195</v>
      </c>
      <c r="BY162" s="139">
        <v>24</v>
      </c>
      <c r="BZ162" s="139">
        <v>0</v>
      </c>
      <c r="CA162" s="115">
        <v>22</v>
      </c>
      <c r="CB162" s="115">
        <v>80</v>
      </c>
      <c r="CC162" s="115">
        <v>20</v>
      </c>
      <c r="CD162" s="135">
        <v>45017</v>
      </c>
      <c r="CE162" s="138">
        <v>96</v>
      </c>
      <c r="CF162" s="138"/>
      <c r="CG162" s="138"/>
      <c r="CH162" s="138"/>
      <c r="CI162" s="138"/>
      <c r="CJ162" s="139"/>
      <c r="CK162" s="138"/>
      <c r="CL162" s="99"/>
      <c r="CM162" s="139"/>
      <c r="CN162" s="154">
        <v>38</v>
      </c>
      <c r="CO162" s="141">
        <f t="shared" si="106"/>
        <v>6.0100039999999995</v>
      </c>
      <c r="CP162" s="142">
        <v>7.1890000000000001</v>
      </c>
      <c r="CQ162" s="119">
        <v>0</v>
      </c>
      <c r="CR162" s="115">
        <v>17.256</v>
      </c>
      <c r="CS162" s="139"/>
      <c r="CT162" s="138"/>
      <c r="CU162" s="138">
        <f t="shared" si="107"/>
        <v>17.256</v>
      </c>
      <c r="CV162" s="115">
        <f t="shared" si="108"/>
        <v>2871.2127313060028</v>
      </c>
      <c r="CW162" s="115" t="str">
        <f t="shared" si="109"/>
        <v/>
      </c>
      <c r="CX162" s="133">
        <f t="shared" si="110"/>
        <v>0.12394827586206897</v>
      </c>
      <c r="CY162" s="116"/>
      <c r="CZ162" s="131"/>
      <c r="DA162" s="145" t="str">
        <f t="shared" si="111"/>
        <v>Фон.</v>
      </c>
      <c r="DB162" s="146">
        <f t="shared" si="112"/>
        <v>6.0100039999999995</v>
      </c>
      <c r="DC162" s="142">
        <f t="shared" si="113"/>
        <v>7.1890000000000001</v>
      </c>
      <c r="DD162" s="119">
        <f t="shared" si="114"/>
        <v>0</v>
      </c>
      <c r="DE162" s="115">
        <f t="shared" si="115"/>
        <v>17.256</v>
      </c>
      <c r="DF162" s="121">
        <f t="shared" si="116"/>
        <v>0</v>
      </c>
      <c r="DG162" s="115">
        <f t="shared" si="117"/>
        <v>2871.2127313060028</v>
      </c>
      <c r="DH162" s="115">
        <f t="shared" si="118"/>
        <v>38</v>
      </c>
      <c r="DI162" s="147"/>
      <c r="DJ162" s="111" t="s">
        <v>197</v>
      </c>
      <c r="DK162" s="112">
        <v>44012</v>
      </c>
      <c r="DL162" s="113">
        <f t="shared" ca="1" si="87"/>
        <v>1092</v>
      </c>
      <c r="DM162" s="114"/>
      <c r="DN162" s="114"/>
      <c r="DO162" s="114"/>
      <c r="DP162" s="114"/>
      <c r="DQ162" s="112">
        <v>41875</v>
      </c>
      <c r="DR162" s="114" t="s">
        <v>198</v>
      </c>
      <c r="DS162" s="114">
        <v>0</v>
      </c>
      <c r="DT162" s="115">
        <v>40</v>
      </c>
      <c r="DU162" s="116">
        <f t="shared" si="88"/>
        <v>0.12837499999999999</v>
      </c>
      <c r="DV162" s="117">
        <f t="shared" si="89"/>
        <v>6.0100039999999995</v>
      </c>
      <c r="DW162" s="118">
        <f t="shared" si="90"/>
        <v>7.1890000000000001</v>
      </c>
      <c r="DX162" s="119">
        <f t="shared" si="119"/>
        <v>0</v>
      </c>
      <c r="DY162" s="115">
        <f t="shared" si="91"/>
        <v>17.256</v>
      </c>
      <c r="DZ162" s="117">
        <f t="shared" si="92"/>
        <v>0</v>
      </c>
      <c r="EA162" s="120">
        <f t="shared" si="92"/>
        <v>0</v>
      </c>
      <c r="EB162" s="119">
        <f t="shared" si="92"/>
        <v>0</v>
      </c>
      <c r="EC162" s="121">
        <f t="shared" si="93"/>
        <v>0</v>
      </c>
      <c r="ED162" s="122"/>
      <c r="EE162" s="145">
        <v>18</v>
      </c>
      <c r="EF162" s="115">
        <v>22</v>
      </c>
      <c r="EG162" s="115">
        <v>80</v>
      </c>
      <c r="EH162" s="115">
        <v>20</v>
      </c>
      <c r="EI162" s="128" t="s">
        <v>195</v>
      </c>
      <c r="EJ162" s="121">
        <v>24</v>
      </c>
      <c r="EK162" s="121">
        <v>0</v>
      </c>
      <c r="EL162" s="149">
        <v>6.0100039999999995</v>
      </c>
      <c r="EM162" s="142">
        <v>7.1890000000000001</v>
      </c>
      <c r="EN162" s="119">
        <v>0</v>
      </c>
      <c r="EO162" s="115">
        <v>17.256</v>
      </c>
      <c r="EP162" s="115">
        <v>2871.2127313060028</v>
      </c>
      <c r="EQ162" s="115">
        <v>0</v>
      </c>
      <c r="ER162" s="115">
        <v>0</v>
      </c>
      <c r="ES162" s="115">
        <v>38</v>
      </c>
      <c r="ET162" s="150">
        <v>0.12394827586206897</v>
      </c>
      <c r="EU162" s="145">
        <f t="shared" si="120"/>
        <v>18</v>
      </c>
      <c r="EV162" s="115">
        <f t="shared" si="121"/>
        <v>22</v>
      </c>
      <c r="EW162" s="115">
        <f t="shared" si="121"/>
        <v>80</v>
      </c>
      <c r="EX162" s="115">
        <f t="shared" si="121"/>
        <v>20</v>
      </c>
      <c r="EY162" s="115" t="str">
        <f t="shared" si="122"/>
        <v>Постоянный</v>
      </c>
      <c r="EZ162" s="115">
        <f t="shared" si="122"/>
        <v>24</v>
      </c>
      <c r="FA162" s="115">
        <f t="shared" si="122"/>
        <v>0</v>
      </c>
      <c r="FB162" s="149">
        <f t="shared" si="123"/>
        <v>6.0100039999999995</v>
      </c>
      <c r="FC162" s="142">
        <f t="shared" si="123"/>
        <v>7.1890000000000001</v>
      </c>
      <c r="FD162" s="119">
        <f t="shared" si="123"/>
        <v>0</v>
      </c>
      <c r="FE162" s="121">
        <f t="shared" si="103"/>
        <v>17.256</v>
      </c>
      <c r="FF162" s="121">
        <f t="shared" si="94"/>
        <v>2871.2127313060028</v>
      </c>
      <c r="FG162" s="121">
        <f t="shared" si="124"/>
        <v>0</v>
      </c>
      <c r="FH162" s="121">
        <f t="shared" si="95"/>
        <v>0</v>
      </c>
      <c r="FI162" s="121">
        <f t="shared" si="131"/>
        <v>38</v>
      </c>
      <c r="FJ162" s="144">
        <f t="shared" si="125"/>
        <v>0.12394827586206897</v>
      </c>
      <c r="FK162" s="132">
        <f t="shared" si="126"/>
        <v>0</v>
      </c>
      <c r="FL162" s="115">
        <f t="shared" si="126"/>
        <v>0</v>
      </c>
      <c r="FM162" s="115">
        <f t="shared" si="126"/>
        <v>0</v>
      </c>
      <c r="FN162" s="115">
        <f t="shared" si="126"/>
        <v>0</v>
      </c>
      <c r="FO162" s="115">
        <f t="shared" si="100"/>
        <v>0</v>
      </c>
      <c r="FP162" s="115">
        <f t="shared" si="100"/>
        <v>0</v>
      </c>
      <c r="FQ162" s="149">
        <f t="shared" si="100"/>
        <v>0</v>
      </c>
      <c r="FR162" s="142">
        <f t="shared" si="100"/>
        <v>0</v>
      </c>
      <c r="FS162" s="119">
        <f t="shared" si="100"/>
        <v>0</v>
      </c>
      <c r="FT162" s="121">
        <f t="shared" si="100"/>
        <v>0</v>
      </c>
      <c r="FU162" s="121">
        <f t="shared" si="127"/>
        <v>0</v>
      </c>
      <c r="FV162" s="121">
        <f t="shared" si="127"/>
        <v>0</v>
      </c>
      <c r="FW162" s="121">
        <f t="shared" si="128"/>
        <v>0</v>
      </c>
      <c r="FX162" s="121">
        <f t="shared" si="129"/>
        <v>0</v>
      </c>
      <c r="FY162" s="144">
        <f t="shared" si="129"/>
        <v>0</v>
      </c>
      <c r="FZ162" s="145"/>
      <c r="GA162" s="151" t="s">
        <v>834</v>
      </c>
      <c r="GB162" s="145"/>
      <c r="GC162" s="151" t="s">
        <v>818</v>
      </c>
      <c r="GD162" s="997" t="s">
        <v>238</v>
      </c>
      <c r="GE162" s="1004"/>
      <c r="GF162" s="1004">
        <v>0</v>
      </c>
      <c r="GG162" s="1004"/>
      <c r="GH162" s="1004">
        <v>0</v>
      </c>
      <c r="GI162" s="145"/>
      <c r="GJ162" s="996">
        <v>0</v>
      </c>
      <c r="GK162" s="145"/>
      <c r="GL162" s="996">
        <v>0</v>
      </c>
      <c r="GM162" s="1005"/>
      <c r="GN162" s="996">
        <v>0</v>
      </c>
      <c r="GO162" s="1006"/>
      <c r="GP162" s="996">
        <v>0</v>
      </c>
      <c r="GQ162" s="1006"/>
      <c r="GR162" s="996">
        <v>0</v>
      </c>
      <c r="GS162" s="1006"/>
      <c r="GT162" s="996">
        <v>0</v>
      </c>
      <c r="GU162" s="1006"/>
      <c r="GV162" s="996">
        <v>-0.83148559999999883</v>
      </c>
      <c r="GW162" s="1006"/>
      <c r="GX162" s="997">
        <v>0</v>
      </c>
      <c r="GY162" s="1006"/>
      <c r="GZ162" s="996">
        <v>0</v>
      </c>
      <c r="HA162" s="1006" t="s">
        <v>204</v>
      </c>
      <c r="HB162" s="996">
        <v>-3.1704464000000003</v>
      </c>
      <c r="HC162" s="1006"/>
      <c r="HD162" s="996">
        <v>0</v>
      </c>
      <c r="HE162" s="1006" t="s">
        <v>204</v>
      </c>
      <c r="HF162" s="996">
        <v>6.5745046399999989</v>
      </c>
      <c r="HG162" s="1006" t="s">
        <v>199</v>
      </c>
      <c r="HH162" s="996">
        <v>-5.1561470400000005</v>
      </c>
      <c r="HI162" s="1006"/>
      <c r="HJ162" s="996">
        <v>0</v>
      </c>
      <c r="HK162" s="1006"/>
      <c r="HL162" s="996">
        <v>0.50059680000000029</v>
      </c>
      <c r="HM162" s="1006"/>
      <c r="HN162" s="996">
        <v>0</v>
      </c>
      <c r="HO162" s="1006"/>
      <c r="HP162" s="996">
        <v>0</v>
      </c>
      <c r="HQ162" s="1006"/>
      <c r="HR162" s="996">
        <v>0</v>
      </c>
      <c r="HS162" s="1006"/>
      <c r="HT162" s="996">
        <v>0</v>
      </c>
      <c r="HU162" s="1006"/>
      <c r="HV162" s="996">
        <v>0.92887960000000014</v>
      </c>
      <c r="HW162" s="1006"/>
      <c r="HX162" s="996">
        <v>0.75265079999999962</v>
      </c>
      <c r="HY162" s="1006"/>
      <c r="HZ162" s="996">
        <v>3.8623199999999969E-2</v>
      </c>
      <c r="IA162" s="1006"/>
      <c r="IB162" s="996">
        <v>-0.87316020000000005</v>
      </c>
      <c r="IC162" s="1006" t="s">
        <v>204</v>
      </c>
      <c r="ID162" s="996">
        <v>-3.2040117999999991</v>
      </c>
      <c r="IE162" s="1006"/>
      <c r="IF162" s="996">
        <v>0</v>
      </c>
      <c r="IG162" s="1006" t="s">
        <v>199</v>
      </c>
      <c r="IH162" s="996">
        <v>2.09</v>
      </c>
      <c r="II162" s="1006" t="s">
        <v>204</v>
      </c>
      <c r="IJ162" s="996">
        <v>4.5144000000000002</v>
      </c>
      <c r="IK162" s="1006" t="s">
        <v>203</v>
      </c>
      <c r="IL162" s="996">
        <v>-14.254636</v>
      </c>
      <c r="IM162" s="1006"/>
      <c r="IN162" s="996">
        <v>0</v>
      </c>
      <c r="IO162" s="1006"/>
      <c r="IP162" s="996">
        <v>0</v>
      </c>
      <c r="IQ162" s="1006"/>
      <c r="IR162" s="996">
        <v>0</v>
      </c>
      <c r="IS162" s="1006"/>
      <c r="IT162" s="996">
        <v>0</v>
      </c>
      <c r="IU162" s="1006"/>
      <c r="IV162" s="996">
        <v>2.3599999999746046E-4</v>
      </c>
      <c r="IW162" s="1006"/>
      <c r="IX162" s="996" t="e">
        <v>#VALUE!</v>
      </c>
      <c r="IY162" s="1006"/>
      <c r="IZ162" s="996">
        <v>0</v>
      </c>
      <c r="JA162" s="1006"/>
      <c r="JB162" s="996">
        <v>0</v>
      </c>
      <c r="JC162" s="1006"/>
      <c r="JD162" s="996" t="e">
        <v>#VALUE!</v>
      </c>
      <c r="JE162" s="1006"/>
      <c r="JF162" s="996">
        <v>0</v>
      </c>
      <c r="JG162" s="1006"/>
      <c r="JH162" s="996">
        <v>0</v>
      </c>
      <c r="JI162" s="1006"/>
      <c r="JJ162" s="996">
        <v>0</v>
      </c>
      <c r="JK162" s="1007"/>
      <c r="JL162" s="1007">
        <v>0</v>
      </c>
      <c r="JM162" s="1007"/>
      <c r="JN162" s="1007">
        <v>0</v>
      </c>
      <c r="JO162" s="1008"/>
      <c r="JP162" s="1007">
        <v>0</v>
      </c>
      <c r="JQ162" s="1008">
        <v>0</v>
      </c>
      <c r="JR162" s="1007">
        <v>0</v>
      </c>
      <c r="JS162" s="1008">
        <v>0</v>
      </c>
      <c r="JT162" s="1007">
        <v>0</v>
      </c>
      <c r="JU162" s="1008"/>
      <c r="JV162" s="1007">
        <v>0</v>
      </c>
      <c r="JW162" s="1008" t="s">
        <v>197</v>
      </c>
      <c r="JX162" s="1007">
        <v>0</v>
      </c>
      <c r="JY162" s="1008"/>
      <c r="JZ162" s="1007">
        <v>0</v>
      </c>
      <c r="KA162" s="1008"/>
      <c r="KB162" s="1007">
        <v>0</v>
      </c>
      <c r="KC162" s="1008"/>
      <c r="KD162" s="1007">
        <v>0</v>
      </c>
      <c r="KE162" s="1008"/>
      <c r="KF162" s="1007">
        <v>0</v>
      </c>
      <c r="KG162" s="1008"/>
      <c r="KH162" s="1007">
        <v>0</v>
      </c>
      <c r="KI162" s="1008"/>
      <c r="KJ162" s="1007">
        <v>0</v>
      </c>
      <c r="KK162" s="1008"/>
      <c r="KL162" s="1007">
        <v>0</v>
      </c>
      <c r="KM162" s="1008"/>
      <c r="KN162" s="1007">
        <v>0</v>
      </c>
      <c r="KO162" s="1008"/>
      <c r="KP162" s="1007">
        <v>0</v>
      </c>
      <c r="KQ162" s="1008"/>
      <c r="KR162" s="1007"/>
      <c r="KS162" s="1008"/>
      <c r="KT162" s="1007"/>
      <c r="KU162" s="1008"/>
      <c r="KV162" s="1007" t="s">
        <v>456</v>
      </c>
      <c r="KW162" s="1008"/>
      <c r="KX162" s="1007"/>
      <c r="KY162" s="1008">
        <v>8.6940000000000008</v>
      </c>
      <c r="KZ162" s="1007">
        <v>10.4</v>
      </c>
      <c r="LA162" s="1008">
        <v>0</v>
      </c>
      <c r="LB162" s="1007">
        <v>10.94</v>
      </c>
      <c r="LC162" s="1008"/>
      <c r="LD162" s="1007">
        <v>8.6940000000000008</v>
      </c>
      <c r="LE162" s="1008">
        <v>10.4</v>
      </c>
      <c r="LF162" s="1007">
        <v>0</v>
      </c>
      <c r="LG162" s="1008">
        <v>10.94</v>
      </c>
      <c r="LH162" s="1007">
        <v>8.6940000000000008</v>
      </c>
      <c r="LI162" s="1008">
        <v>10.4</v>
      </c>
      <c r="LJ162" s="1007">
        <v>-0.1</v>
      </c>
      <c r="LK162" s="1008">
        <v>-159.06</v>
      </c>
      <c r="LL162" s="1007"/>
      <c r="LM162" s="1008"/>
      <c r="LN162" s="1007"/>
      <c r="LO162" s="1008"/>
      <c r="LP162" s="1007"/>
      <c r="LQ162" s="1008"/>
      <c r="LR162" s="1007"/>
      <c r="LS162" s="1008"/>
      <c r="LT162" s="1007"/>
      <c r="LU162" s="1008"/>
      <c r="LV162" s="1007"/>
      <c r="LW162" s="1008"/>
      <c r="LX162" s="1007"/>
      <c r="LY162" s="1009"/>
      <c r="LZ162" s="1010"/>
      <c r="MA162" s="1011"/>
      <c r="MB162" s="1012"/>
      <c r="MC162" s="995"/>
      <c r="MD162" s="996"/>
      <c r="ME162" s="997" t="s">
        <v>238</v>
      </c>
      <c r="MF162" s="997"/>
      <c r="MG162" s="998"/>
      <c r="NR162" s="1000"/>
      <c r="NS162" s="1000"/>
      <c r="NT162" s="1001"/>
      <c r="NU162" s="1000"/>
      <c r="NV162" s="1001"/>
      <c r="NX162" s="1002"/>
      <c r="NZ162" s="1001"/>
      <c r="OA162" s="1001"/>
      <c r="OC162" s="1003"/>
      <c r="OD162" s="1003"/>
      <c r="OE162" s="1001"/>
      <c r="OF162" s="1003"/>
      <c r="OG162" s="1003"/>
      <c r="QX162" s="1000">
        <f t="shared" si="96"/>
        <v>16</v>
      </c>
      <c r="ASU162" s="999" t="s">
        <v>208</v>
      </c>
    </row>
    <row r="163" spans="1:466 1191:1191" ht="21" customHeight="1" x14ac:dyDescent="0.25">
      <c r="A163" s="982" t="str">
        <f t="shared" si="104"/>
        <v>1061-3</v>
      </c>
      <c r="B163" s="124">
        <f>SUBTOTAL(103,$J$29:J163)</f>
        <v>135</v>
      </c>
      <c r="C163" s="126">
        <v>45096</v>
      </c>
      <c r="D163" s="124" t="s">
        <v>176</v>
      </c>
      <c r="E163" s="127" t="s">
        <v>177</v>
      </c>
      <c r="F163" s="128" t="s">
        <v>177</v>
      </c>
      <c r="G163" s="127" t="s">
        <v>178</v>
      </c>
      <c r="H163" s="127" t="s">
        <v>226</v>
      </c>
      <c r="I163" s="127" t="s">
        <v>456</v>
      </c>
      <c r="J163" s="152" t="s">
        <v>835</v>
      </c>
      <c r="K163" s="127" t="s">
        <v>826</v>
      </c>
      <c r="L163" s="130">
        <v>39100</v>
      </c>
      <c r="M163" s="127" t="s">
        <v>230</v>
      </c>
      <c r="N163" s="127" t="s">
        <v>231</v>
      </c>
      <c r="O163" s="127" t="s">
        <v>185</v>
      </c>
      <c r="P163" s="127" t="s">
        <v>315</v>
      </c>
      <c r="Q163" s="85" t="str">
        <f t="shared" si="130"/>
        <v/>
      </c>
      <c r="R163" s="130"/>
      <c r="S163" s="128" t="s">
        <v>156</v>
      </c>
      <c r="T163" s="131"/>
      <c r="U163" s="132">
        <v>203</v>
      </c>
      <c r="V163" s="121">
        <v>218.2</v>
      </c>
      <c r="W163" s="116">
        <v>0.98</v>
      </c>
      <c r="X163" s="116">
        <v>1.66</v>
      </c>
      <c r="Y163" s="116">
        <f t="shared" si="86"/>
        <v>0.98</v>
      </c>
      <c r="Z163" s="133">
        <v>1.454</v>
      </c>
      <c r="AA163" s="133">
        <v>0.83599999999999997</v>
      </c>
      <c r="AB163" s="133">
        <v>0.72</v>
      </c>
      <c r="AC163" s="121">
        <v>34.299999999999997</v>
      </c>
      <c r="AD163" s="134">
        <v>1.17</v>
      </c>
      <c r="AE163" s="124">
        <v>139.69999999999999</v>
      </c>
      <c r="AF163" s="128">
        <v>7.72</v>
      </c>
      <c r="AG163" s="128">
        <v>2024</v>
      </c>
      <c r="AH163" s="127">
        <v>2380</v>
      </c>
      <c r="AI163" s="127">
        <v>2380</v>
      </c>
      <c r="AJ163" s="135"/>
      <c r="AK163" s="128"/>
      <c r="AL163" s="131"/>
      <c r="AM163" s="124" t="s">
        <v>232</v>
      </c>
      <c r="AN163" s="136" t="s">
        <v>836</v>
      </c>
      <c r="AO163" s="137">
        <v>37.950000000000003</v>
      </c>
      <c r="AP163" s="128">
        <v>2024</v>
      </c>
      <c r="AQ163" s="128">
        <v>153.6</v>
      </c>
      <c r="AR163" s="128"/>
      <c r="AS163" s="128"/>
      <c r="AT163" s="122"/>
      <c r="AU163" s="124" t="s">
        <v>250</v>
      </c>
      <c r="AV163" s="115">
        <f>VLOOKUP(J163,'[63]ТР нефть'!$J$28:$BP$638,39,0)</f>
        <v>599</v>
      </c>
      <c r="AW163" s="115" t="str">
        <f>VLOOKUP(J163,'[63]ТР нефть'!$J$28:$BP$638,40,0)</f>
        <v>ГП</v>
      </c>
      <c r="AX163" s="115">
        <f>VLOOKUP(J163,'[63]ТР нефть'!$J$28:$BP$638,41,0)</f>
        <v>1202</v>
      </c>
      <c r="AY163" s="115" t="str">
        <f>VLOOKUP(J163,'[63]ТР нефть'!$J$28:$BP$638,42,0)</f>
        <v>ГП</v>
      </c>
      <c r="AZ163" s="115">
        <f>VLOOKUP(J163,'[63]ТР нефть'!$J$28:$BP$638,43,0)</f>
        <v>1703</v>
      </c>
      <c r="BA163" s="115" t="str">
        <f>VLOOKUP(J163,'[63]ТР нефть'!$J$28:$BP$638,44,0)</f>
        <v>ЦКсОК 5/16</v>
      </c>
      <c r="BB163" s="115" t="str">
        <f>VLOOKUP(J163,'[63]ТР нефть'!$J$28:$BP$638,45,0)</f>
        <v>-</v>
      </c>
      <c r="BC163" s="115" t="str">
        <f>VLOOKUP(J163,'[63]ТР нефть'!$J$28:$BP$638,46,0)</f>
        <v>-</v>
      </c>
      <c r="BD163" s="115" t="str">
        <f>VLOOKUP(J163,'[63]ТР нефть'!$J$28:$BP$638,47,0)</f>
        <v>-</v>
      </c>
      <c r="BE163" s="115" t="str">
        <f>VLOOKUP(J163,'[63]ТР нефть'!$J$28:$BP$638,48,0)</f>
        <v>-</v>
      </c>
      <c r="BF163" s="115" t="str">
        <f>VLOOKUP(J163,'[63]ТР нефть'!$J$28:$BP$638,49,0)</f>
        <v>-</v>
      </c>
      <c r="BG163" s="115" t="str">
        <f>VLOOKUP(J163,'[63]ТР нефть'!$J$28:$BP$638,50,0)</f>
        <v>-</v>
      </c>
      <c r="BH163" s="115" t="str">
        <f>VLOOKUP(J163,'[63]ТР нефть'!$J$28:$BP$638,51,0)</f>
        <v>-</v>
      </c>
      <c r="BI163" s="115" t="str">
        <f>VLOOKUP(J163,'[63]ТР нефть'!$J$28:$BP$638,52,0)</f>
        <v>-</v>
      </c>
      <c r="BJ163" s="115" t="str">
        <f>IF(IFERROR(VLOOKUP(J163,'[63]ТР нефть'!$J$28:$BP$638,53,0),"-")=0,"-",IFERROR(VLOOKUP(J163,'[63]ТР нефть'!$J$28:$BP$638,53,0),"-"))</f>
        <v>-</v>
      </c>
      <c r="BK163" s="138" t="str">
        <f>IF(IFERROR(VLOOKUP(J163,'[63]ТР нефть'!$J$28:$BP$638,54,0),"-")=0,"-",IFERROR(VLOOKUP(J163,'[63]ТР нефть'!$J$28:$BP$638,54,0),"-"))</f>
        <v>-</v>
      </c>
      <c r="BL163" s="138" t="str">
        <f>IF(IFERROR(VLOOKUP(J163,'[63]ТР нефть'!$J$28:$BP$638,55,0),"-")=0,"-",IFERROR(VLOOKUP(J163,'[63]ТР нефть'!$J$28:$BP$638,55,0),"-"))</f>
        <v>-</v>
      </c>
      <c r="BM163" s="138" t="str">
        <f>IF(IFERROR(VLOOKUP(J163,'[63]ТР нефть'!$J$28:$BP$638,56,0),"-")=0,"-",IFERROR(VLOOKUP(J163,'[63]ТР нефть'!$J$28:$BP$638,56,0),"-"))</f>
        <v>-</v>
      </c>
      <c r="BN163" s="138" t="str">
        <f>IF(IFERROR(VLOOKUP(J163,'[63]ТР нефть'!$J$28:$BP$638,57,0),"-")=0,"-",IFERROR(VLOOKUP(J163,'[63]ТР нефть'!$J$28:$BP$638,57,0),"-"))</f>
        <v>-</v>
      </c>
      <c r="BO163" s="115" t="str">
        <f>IF(IFERROR(VLOOKUP(J163,'[63]ТР нефть'!$J$28:$BP$638,58,0),"-")=0,"-",IFERROR(VLOOKUP(J163,'[63]ТР нефть'!$J$28:$BP$638,58,0),"-"))</f>
        <v>-</v>
      </c>
      <c r="BP163" s="115" t="str">
        <f>IF(IFERROR(VLOOKUP(J163,'[63]ТР нефть'!$J$28:$BP$638,59,0),"-")=0,"-",IFERROR(VLOOKUP(J163,'[63]ТР нефть'!$J$28:$BP$638,59,0),"-"))</f>
        <v>-</v>
      </c>
      <c r="BQ163" s="138">
        <v>2342</v>
      </c>
      <c r="BR163" s="128">
        <v>1890.39</v>
      </c>
      <c r="BS163" s="115">
        <f t="shared" si="105"/>
        <v>451.6099999999999</v>
      </c>
      <c r="BT163" s="128">
        <v>73</v>
      </c>
      <c r="BU163" s="128">
        <v>5.5</v>
      </c>
      <c r="BV163" s="127">
        <v>18</v>
      </c>
      <c r="BW163" s="127" t="s">
        <v>234</v>
      </c>
      <c r="BX163" s="127" t="s">
        <v>195</v>
      </c>
      <c r="BY163" s="139">
        <v>24</v>
      </c>
      <c r="BZ163" s="139">
        <v>0</v>
      </c>
      <c r="CA163" s="138">
        <v>58</v>
      </c>
      <c r="CB163" s="138">
        <v>59</v>
      </c>
      <c r="CC163" s="138">
        <v>56</v>
      </c>
      <c r="CD163" s="135">
        <v>45017</v>
      </c>
      <c r="CE163" s="138">
        <v>103.1</v>
      </c>
      <c r="CF163" s="138"/>
      <c r="CG163" s="138" t="str">
        <f t="shared" ref="CG163:CG172" si="132">IF(CH163&lt;&gt;"","В работе","")</f>
        <v/>
      </c>
      <c r="CH163" s="138" t="s">
        <v>197</v>
      </c>
      <c r="CI163" s="127"/>
      <c r="CJ163" s="138"/>
      <c r="CK163" s="138"/>
      <c r="CL163" s="99"/>
      <c r="CM163" s="138"/>
      <c r="CN163" s="154">
        <v>65</v>
      </c>
      <c r="CO163" s="141">
        <f t="shared" si="106"/>
        <v>6.9388000000000005</v>
      </c>
      <c r="CP163" s="142">
        <v>8.3000000000000007</v>
      </c>
      <c r="CQ163" s="143">
        <v>0</v>
      </c>
      <c r="CR163" s="138">
        <v>35.6</v>
      </c>
      <c r="CS163" s="139"/>
      <c r="CT163" s="138"/>
      <c r="CU163" s="138">
        <f t="shared" si="107"/>
        <v>35.6</v>
      </c>
      <c r="CV163" s="115">
        <f t="shared" si="108"/>
        <v>5130.5701273995501</v>
      </c>
      <c r="CW163" s="115" t="str">
        <f t="shared" si="109"/>
        <v/>
      </c>
      <c r="CX163" s="133">
        <f t="shared" si="110"/>
        <v>0.21784776902887143</v>
      </c>
      <c r="CY163" s="116"/>
      <c r="CZ163" s="131"/>
      <c r="DA163" s="145" t="str">
        <f t="shared" si="111"/>
        <v>Фон.</v>
      </c>
      <c r="DB163" s="146">
        <f t="shared" si="112"/>
        <v>6.9388000000000005</v>
      </c>
      <c r="DC163" s="142">
        <f t="shared" si="113"/>
        <v>8.3000000000000007</v>
      </c>
      <c r="DD163" s="119">
        <f t="shared" si="114"/>
        <v>0</v>
      </c>
      <c r="DE163" s="115">
        <f t="shared" si="115"/>
        <v>35.6</v>
      </c>
      <c r="DF163" s="121">
        <f t="shared" si="116"/>
        <v>0</v>
      </c>
      <c r="DG163" s="115">
        <f t="shared" si="117"/>
        <v>5130.5701273995501</v>
      </c>
      <c r="DH163" s="115">
        <f t="shared" si="118"/>
        <v>65</v>
      </c>
      <c r="DI163" s="147"/>
      <c r="DJ163" s="111" t="s">
        <v>197</v>
      </c>
      <c r="DK163" s="112">
        <v>42871</v>
      </c>
      <c r="DL163" s="113">
        <f t="shared" ca="1" si="87"/>
        <v>2233</v>
      </c>
      <c r="DM163" s="114"/>
      <c r="DN163" s="114"/>
      <c r="DO163" s="114"/>
      <c r="DP163" s="114"/>
      <c r="DQ163" s="112">
        <v>41200</v>
      </c>
      <c r="DR163" s="114" t="s">
        <v>198</v>
      </c>
      <c r="DS163" s="114"/>
      <c r="DT163" s="115">
        <v>64</v>
      </c>
      <c r="DU163" s="116">
        <f t="shared" si="88"/>
        <v>0.21672411838268768</v>
      </c>
      <c r="DV163" s="117">
        <f t="shared" si="89"/>
        <v>7.0841912920459409</v>
      </c>
      <c r="DW163" s="118">
        <f t="shared" si="90"/>
        <v>8.4739130287630875</v>
      </c>
      <c r="DX163" s="119">
        <f t="shared" si="119"/>
        <v>0</v>
      </c>
      <c r="DY163" s="115">
        <f t="shared" si="91"/>
        <v>36.34594021975493</v>
      </c>
      <c r="DZ163" s="117">
        <f t="shared" si="92"/>
        <v>0.14539129204594037</v>
      </c>
      <c r="EA163" s="120">
        <f t="shared" si="92"/>
        <v>0.17391302876308679</v>
      </c>
      <c r="EB163" s="119">
        <f t="shared" si="92"/>
        <v>0</v>
      </c>
      <c r="EC163" s="121">
        <f t="shared" si="93"/>
        <v>0.74594021975492808</v>
      </c>
      <c r="ED163" s="122"/>
      <c r="EE163" s="145">
        <v>18</v>
      </c>
      <c r="EF163" s="115">
        <v>58</v>
      </c>
      <c r="EG163" s="115">
        <v>59</v>
      </c>
      <c r="EH163" s="115">
        <v>56</v>
      </c>
      <c r="EI163" s="128" t="s">
        <v>195</v>
      </c>
      <c r="EJ163" s="121">
        <v>24</v>
      </c>
      <c r="EK163" s="121">
        <v>0</v>
      </c>
      <c r="EL163" s="149">
        <v>6.9388000000000005</v>
      </c>
      <c r="EM163" s="142">
        <v>8.3000000000000007</v>
      </c>
      <c r="EN163" s="119">
        <v>0</v>
      </c>
      <c r="EO163" s="115">
        <v>35.6</v>
      </c>
      <c r="EP163" s="115">
        <v>5130.5701273995501</v>
      </c>
      <c r="EQ163" s="115">
        <v>0</v>
      </c>
      <c r="ER163" s="115">
        <v>0</v>
      </c>
      <c r="ES163" s="115">
        <v>65</v>
      </c>
      <c r="ET163" s="150">
        <v>0.21784776902887143</v>
      </c>
      <c r="EU163" s="145">
        <f t="shared" si="120"/>
        <v>18</v>
      </c>
      <c r="EV163" s="115">
        <f t="shared" si="121"/>
        <v>58</v>
      </c>
      <c r="EW163" s="115">
        <f t="shared" si="121"/>
        <v>59</v>
      </c>
      <c r="EX163" s="115">
        <f t="shared" si="121"/>
        <v>56</v>
      </c>
      <c r="EY163" s="115" t="str">
        <f t="shared" si="122"/>
        <v>Постоянный</v>
      </c>
      <c r="EZ163" s="115">
        <f t="shared" si="122"/>
        <v>24</v>
      </c>
      <c r="FA163" s="115">
        <f t="shared" si="122"/>
        <v>0</v>
      </c>
      <c r="FB163" s="149">
        <f t="shared" si="123"/>
        <v>6.9388000000000005</v>
      </c>
      <c r="FC163" s="142">
        <f t="shared" si="123"/>
        <v>8.3000000000000007</v>
      </c>
      <c r="FD163" s="119">
        <f t="shared" si="123"/>
        <v>0</v>
      </c>
      <c r="FE163" s="121">
        <f t="shared" si="103"/>
        <v>35.6</v>
      </c>
      <c r="FF163" s="121">
        <f t="shared" si="94"/>
        <v>5130.5701273995501</v>
      </c>
      <c r="FG163" s="121">
        <f t="shared" si="124"/>
        <v>0</v>
      </c>
      <c r="FH163" s="121">
        <f t="shared" si="95"/>
        <v>0</v>
      </c>
      <c r="FI163" s="121">
        <f t="shared" si="131"/>
        <v>65</v>
      </c>
      <c r="FJ163" s="144">
        <f t="shared" si="125"/>
        <v>0.21784776902887143</v>
      </c>
      <c r="FK163" s="132">
        <f t="shared" si="126"/>
        <v>0</v>
      </c>
      <c r="FL163" s="115">
        <f t="shared" si="126"/>
        <v>0</v>
      </c>
      <c r="FM163" s="115">
        <f t="shared" si="126"/>
        <v>0</v>
      </c>
      <c r="FN163" s="115">
        <f t="shared" si="126"/>
        <v>0</v>
      </c>
      <c r="FO163" s="115">
        <f t="shared" si="100"/>
        <v>0</v>
      </c>
      <c r="FP163" s="115">
        <f t="shared" si="100"/>
        <v>0</v>
      </c>
      <c r="FQ163" s="149">
        <f t="shared" si="100"/>
        <v>0</v>
      </c>
      <c r="FR163" s="142">
        <f t="shared" si="100"/>
        <v>0</v>
      </c>
      <c r="FS163" s="119">
        <f t="shared" si="100"/>
        <v>0</v>
      </c>
      <c r="FT163" s="121">
        <f t="shared" si="100"/>
        <v>0</v>
      </c>
      <c r="FU163" s="121">
        <f t="shared" si="127"/>
        <v>0</v>
      </c>
      <c r="FV163" s="121">
        <f t="shared" si="127"/>
        <v>0</v>
      </c>
      <c r="FW163" s="121">
        <f t="shared" si="128"/>
        <v>0</v>
      </c>
      <c r="FX163" s="121">
        <f t="shared" si="129"/>
        <v>0</v>
      </c>
      <c r="FY163" s="144">
        <f t="shared" si="129"/>
        <v>0</v>
      </c>
      <c r="FZ163" s="145"/>
      <c r="GA163" s="151" t="s">
        <v>283</v>
      </c>
      <c r="GB163" s="145" t="s">
        <v>221</v>
      </c>
      <c r="GC163" s="151" t="s">
        <v>590</v>
      </c>
      <c r="GD163" s="997" t="s">
        <v>238</v>
      </c>
      <c r="GE163" s="1004" t="s">
        <v>221</v>
      </c>
      <c r="GF163" s="1004">
        <v>1.4212000000000007</v>
      </c>
      <c r="GG163" s="1004"/>
      <c r="GH163" s="1004">
        <v>0</v>
      </c>
      <c r="GI163" s="145"/>
      <c r="GJ163" s="996">
        <v>0</v>
      </c>
      <c r="GK163" s="145"/>
      <c r="GL163" s="996">
        <v>0</v>
      </c>
      <c r="GM163" s="1005"/>
      <c r="GN163" s="996">
        <v>0</v>
      </c>
      <c r="GO163" s="1006"/>
      <c r="GP163" s="996">
        <v>0</v>
      </c>
      <c r="GQ163" s="1006" t="s">
        <v>204</v>
      </c>
      <c r="GR163" s="996">
        <v>-2.5556520000000003</v>
      </c>
      <c r="GS163" s="1006"/>
      <c r="GT163" s="996">
        <v>0</v>
      </c>
      <c r="GU163" s="1006"/>
      <c r="GV163" s="996">
        <v>0</v>
      </c>
      <c r="GW163" s="1006"/>
      <c r="GX163" s="997">
        <v>0</v>
      </c>
      <c r="GY163" s="1006"/>
      <c r="GZ163" s="996">
        <v>0</v>
      </c>
      <c r="HA163" s="1006"/>
      <c r="HB163" s="996">
        <v>0</v>
      </c>
      <c r="HC163" s="1006"/>
      <c r="HD163" s="996">
        <v>0</v>
      </c>
      <c r="HE163" s="1006"/>
      <c r="HF163" s="996">
        <v>-0.95554800000000029</v>
      </c>
      <c r="HG163" s="1006"/>
      <c r="HH163" s="996">
        <v>0</v>
      </c>
      <c r="HI163" s="1006"/>
      <c r="HJ163" s="996">
        <v>-0.8360000000000003</v>
      </c>
      <c r="HK163" s="1006"/>
      <c r="HL163" s="996">
        <v>0</v>
      </c>
      <c r="HM163" s="1006"/>
      <c r="HN163" s="996">
        <v>0</v>
      </c>
      <c r="HO163" s="1006"/>
      <c r="HP163" s="996">
        <v>0</v>
      </c>
      <c r="HQ163" s="1006"/>
      <c r="HR163" s="996">
        <v>0</v>
      </c>
      <c r="HS163" s="1006"/>
      <c r="HT163" s="996">
        <v>0</v>
      </c>
      <c r="HU163" s="1006"/>
      <c r="HV163" s="996">
        <v>0</v>
      </c>
      <c r="HW163" s="1006"/>
      <c r="HX163" s="996">
        <v>0</v>
      </c>
      <c r="HY163" s="1006"/>
      <c r="HZ163" s="996">
        <v>8.3600000000002339E-2</v>
      </c>
      <c r="IA163" s="1006"/>
      <c r="IB163" s="996">
        <v>0.83599999999999852</v>
      </c>
      <c r="IC163" s="1006" t="s">
        <v>204</v>
      </c>
      <c r="ID163" s="996">
        <v>-1.5884</v>
      </c>
      <c r="IE163" s="1006"/>
      <c r="IF163" s="996">
        <v>-0.83599999999999852</v>
      </c>
      <c r="IG163" s="1006"/>
      <c r="IH163" s="996">
        <v>0</v>
      </c>
      <c r="II163" s="1006" t="s">
        <v>223</v>
      </c>
      <c r="IJ163" s="996">
        <v>-2.7847511119999986</v>
      </c>
      <c r="IK163" s="1006"/>
      <c r="IL163" s="996">
        <v>0</v>
      </c>
      <c r="IM163" s="1006"/>
      <c r="IN163" s="996">
        <v>0</v>
      </c>
      <c r="IO163" s="1006"/>
      <c r="IP163" s="996">
        <v>0</v>
      </c>
      <c r="IQ163" s="1006" t="s">
        <v>204</v>
      </c>
      <c r="IR163" s="996">
        <v>6.254151111999998</v>
      </c>
      <c r="IS163" s="1006"/>
      <c r="IT163" s="996">
        <v>0</v>
      </c>
      <c r="IU163" s="1006"/>
      <c r="IV163" s="996">
        <v>0</v>
      </c>
      <c r="IW163" s="1006"/>
      <c r="IX163" s="996">
        <v>0</v>
      </c>
      <c r="IY163" s="1006"/>
      <c r="IZ163" s="996">
        <v>0</v>
      </c>
      <c r="JA163" s="1006"/>
      <c r="JB163" s="996">
        <v>0</v>
      </c>
      <c r="JC163" s="1006"/>
      <c r="JD163" s="996">
        <v>0</v>
      </c>
      <c r="JE163" s="1006"/>
      <c r="JF163" s="996">
        <v>0</v>
      </c>
      <c r="JG163" s="1006"/>
      <c r="JH163" s="996">
        <v>0</v>
      </c>
      <c r="JI163" s="1006"/>
      <c r="JJ163" s="996">
        <v>0</v>
      </c>
      <c r="JK163" s="1007"/>
      <c r="JL163" s="1007">
        <v>0</v>
      </c>
      <c r="JM163" s="1007"/>
      <c r="JN163" s="1007">
        <v>0</v>
      </c>
      <c r="JO163" s="1008"/>
      <c r="JP163" s="1007">
        <v>0</v>
      </c>
      <c r="JQ163" s="1008">
        <v>0</v>
      </c>
      <c r="JR163" s="1007">
        <v>0</v>
      </c>
      <c r="JS163" s="1008">
        <v>0</v>
      </c>
      <c r="JT163" s="1007">
        <v>0</v>
      </c>
      <c r="JU163" s="1008"/>
      <c r="JV163" s="1007">
        <v>0</v>
      </c>
      <c r="JW163" s="1008" t="s">
        <v>197</v>
      </c>
      <c r="JX163" s="1007">
        <v>0</v>
      </c>
      <c r="JY163" s="1008"/>
      <c r="JZ163" s="1007">
        <v>0</v>
      </c>
      <c r="KA163" s="1008" t="s">
        <v>204</v>
      </c>
      <c r="KB163" s="1007">
        <v>1.2121999999999993</v>
      </c>
      <c r="KC163" s="1008" t="s">
        <v>204</v>
      </c>
      <c r="KD163" s="1007">
        <v>-1.2038399999999996</v>
      </c>
      <c r="KE163" s="1008"/>
      <c r="KF163" s="1007">
        <v>0</v>
      </c>
      <c r="KG163" s="1008" t="s">
        <v>207</v>
      </c>
      <c r="KH163" s="1007">
        <v>1.2038399999999996</v>
      </c>
      <c r="KI163" s="1008" t="s">
        <v>206</v>
      </c>
      <c r="KJ163" s="1007">
        <v>-0.8360000000000003</v>
      </c>
      <c r="KK163" s="1008" t="s">
        <v>206</v>
      </c>
      <c r="KL163" s="1007">
        <v>2.9260000000000002</v>
      </c>
      <c r="KM163" s="1008"/>
      <c r="KN163" s="1007">
        <v>0</v>
      </c>
      <c r="KO163" s="1008"/>
      <c r="KP163" s="1007">
        <v>0</v>
      </c>
      <c r="KQ163" s="1008">
        <v>0</v>
      </c>
      <c r="KR163" s="1007">
        <v>0</v>
      </c>
      <c r="KS163" s="1008">
        <v>0</v>
      </c>
      <c r="KT163" s="1007">
        <v>0</v>
      </c>
      <c r="KU163" s="1008" t="s">
        <v>206</v>
      </c>
      <c r="KV163" s="1007">
        <v>-1.2539999999999996</v>
      </c>
      <c r="KW163" s="1008" t="s">
        <v>204</v>
      </c>
      <c r="KX163" s="1007">
        <v>1.0867999999999993</v>
      </c>
      <c r="KY163" s="1008">
        <v>0</v>
      </c>
      <c r="KZ163" s="1007">
        <v>0</v>
      </c>
      <c r="LA163" s="1008">
        <v>0</v>
      </c>
      <c r="LB163" s="1007">
        <v>0</v>
      </c>
      <c r="LC163" s="1008">
        <v>0</v>
      </c>
      <c r="LD163" s="1007">
        <v>0</v>
      </c>
      <c r="LE163" s="1008">
        <v>0</v>
      </c>
      <c r="LF163" s="1007">
        <v>0</v>
      </c>
      <c r="LG163" s="1008">
        <v>0</v>
      </c>
      <c r="LH163" s="1007">
        <v>0</v>
      </c>
      <c r="LI163" s="1008">
        <v>0</v>
      </c>
      <c r="LJ163" s="1007">
        <v>0</v>
      </c>
      <c r="LK163" s="1008" t="s">
        <v>555</v>
      </c>
      <c r="LL163" s="1007">
        <v>-1.5336000000000001</v>
      </c>
      <c r="LM163" s="1008" t="s">
        <v>555</v>
      </c>
      <c r="LN163" s="1007">
        <v>3.3105600000000002</v>
      </c>
      <c r="LO163" s="1008">
        <v>0</v>
      </c>
      <c r="LP163" s="1007">
        <v>0</v>
      </c>
      <c r="LQ163" s="1008">
        <v>0</v>
      </c>
      <c r="LR163" s="1007">
        <v>0</v>
      </c>
      <c r="LS163" s="1008">
        <v>0</v>
      </c>
      <c r="LT163" s="1007">
        <v>0</v>
      </c>
      <c r="LU163" s="1008">
        <v>0</v>
      </c>
      <c r="LV163" s="1007">
        <v>0</v>
      </c>
      <c r="LW163" s="1008">
        <v>0</v>
      </c>
      <c r="LX163" s="1007">
        <v>0</v>
      </c>
      <c r="LY163" s="1009" t="s">
        <v>206</v>
      </c>
      <c r="LZ163" s="1010">
        <v>-1.254</v>
      </c>
      <c r="MA163" s="1011">
        <v>0</v>
      </c>
      <c r="MB163" s="1012">
        <v>2.4914967200000002</v>
      </c>
      <c r="MC163" s="995"/>
      <c r="MD163" s="996"/>
      <c r="ME163" s="997" t="s">
        <v>238</v>
      </c>
      <c r="MF163" s="997"/>
      <c r="MG163" s="998"/>
      <c r="NR163" s="1000"/>
      <c r="NS163" s="1000"/>
      <c r="NT163" s="1001"/>
      <c r="NU163" s="1000"/>
      <c r="NV163" s="1001"/>
      <c r="NX163" s="1002"/>
      <c r="NZ163" s="1001"/>
      <c r="OA163" s="1001"/>
      <c r="OC163" s="1003"/>
      <c r="OD163" s="1003"/>
      <c r="OE163" s="1001"/>
      <c r="OF163" s="1003"/>
      <c r="OG163" s="1003"/>
      <c r="QX163" s="1000">
        <f t="shared" si="96"/>
        <v>7</v>
      </c>
      <c r="ASU163" s="999" t="s">
        <v>208</v>
      </c>
    </row>
    <row r="164" spans="1:466 1191:1191" ht="21" customHeight="1" x14ac:dyDescent="0.25">
      <c r="A164" s="982" t="str">
        <f t="shared" si="104"/>
        <v>1063-2</v>
      </c>
      <c r="B164" s="124">
        <f>SUBTOTAL(103,$J$29:J164)</f>
        <v>136</v>
      </c>
      <c r="C164" s="126">
        <v>45096</v>
      </c>
      <c r="D164" s="124" t="s">
        <v>176</v>
      </c>
      <c r="E164" s="127" t="s">
        <v>177</v>
      </c>
      <c r="F164" s="128" t="s">
        <v>177</v>
      </c>
      <c r="G164" s="127" t="s">
        <v>178</v>
      </c>
      <c r="H164" s="127" t="s">
        <v>421</v>
      </c>
      <c r="I164" s="127" t="s">
        <v>760</v>
      </c>
      <c r="J164" s="152" t="s">
        <v>837</v>
      </c>
      <c r="K164" s="127" t="s">
        <v>838</v>
      </c>
      <c r="L164" s="130">
        <v>41532</v>
      </c>
      <c r="M164" s="127" t="s">
        <v>230</v>
      </c>
      <c r="N164" s="127" t="s">
        <v>231</v>
      </c>
      <c r="O164" s="127" t="s">
        <v>185</v>
      </c>
      <c r="P164" s="127" t="s">
        <v>208</v>
      </c>
      <c r="Q164" s="85" t="str">
        <f t="shared" si="130"/>
        <v/>
      </c>
      <c r="R164" s="130"/>
      <c r="S164" s="128" t="s">
        <v>156</v>
      </c>
      <c r="T164" s="131"/>
      <c r="U164" s="132">
        <v>203</v>
      </c>
      <c r="V164" s="121">
        <v>218.2</v>
      </c>
      <c r="W164" s="116">
        <v>0.98</v>
      </c>
      <c r="X164" s="116">
        <v>1.66</v>
      </c>
      <c r="Y164" s="116">
        <f t="shared" si="86"/>
        <v>0.98</v>
      </c>
      <c r="Z164" s="133">
        <v>1.454</v>
      </c>
      <c r="AA164" s="133">
        <v>0.83599999999999997</v>
      </c>
      <c r="AB164" s="133">
        <v>0.72</v>
      </c>
      <c r="AC164" s="121">
        <v>34.299999999999997</v>
      </c>
      <c r="AD164" s="134">
        <v>1.17</v>
      </c>
      <c r="AE164" s="124">
        <v>177.8</v>
      </c>
      <c r="AF164" s="128">
        <v>9.19</v>
      </c>
      <c r="AG164" s="128">
        <v>2108</v>
      </c>
      <c r="AH164" s="127" t="s">
        <v>839</v>
      </c>
      <c r="AI164" s="127" t="s">
        <v>839</v>
      </c>
      <c r="AJ164" s="135"/>
      <c r="AK164" s="128"/>
      <c r="AL164" s="131"/>
      <c r="AM164" s="124" t="s">
        <v>232</v>
      </c>
      <c r="AN164" s="136" t="s">
        <v>840</v>
      </c>
      <c r="AO164" s="137">
        <v>26</v>
      </c>
      <c r="AP164" s="128">
        <v>2108</v>
      </c>
      <c r="AQ164" s="128">
        <v>216.52</v>
      </c>
      <c r="AR164" s="128"/>
      <c r="AS164" s="128"/>
      <c r="AT164" s="122"/>
      <c r="AU164" s="124" t="s">
        <v>189</v>
      </c>
      <c r="AV164" s="115">
        <f>VLOOKUP(J164,'[63]ТР нефть'!$J$28:$BP$638,39,0)</f>
        <v>549.85919999999999</v>
      </c>
      <c r="AW164" s="115" t="str">
        <f>VLOOKUP(J164,'[63]ТР нефть'!$J$28:$BP$638,40,0)</f>
        <v>ГК 86 1/8</v>
      </c>
      <c r="AX164" s="115">
        <f>VLOOKUP(J164,'[63]ТР нефть'!$J$28:$BP$638,41,0)</f>
        <v>979.93200000000002</v>
      </c>
      <c r="AY164" s="115" t="str">
        <f>VLOOKUP(J164,'[63]ТР нефть'!$J$28:$BP$638,42,0)</f>
        <v>ГК 87 1/8</v>
      </c>
      <c r="AZ164" s="115">
        <f>VLOOKUP(J164,'[63]ТР нефть'!$J$28:$BP$638,43,0)</f>
        <v>1320.0888</v>
      </c>
      <c r="BA164" s="115" t="str">
        <f>VLOOKUP(J164,'[63]ТР нефть'!$J$28:$BP$638,44,0)</f>
        <v>ГК 87 5/32</v>
      </c>
      <c r="BB164" s="115">
        <f>VLOOKUP(J164,'[63]ТР нефть'!$J$28:$BP$638,45,0)</f>
        <v>1605.0768</v>
      </c>
      <c r="BC164" s="115" t="str">
        <f>VLOOKUP(J164,'[63]ТР нефть'!$J$28:$BP$638,46,0)</f>
        <v>ГК 86 5/32</v>
      </c>
      <c r="BD164" s="115">
        <f>VLOOKUP(J164,'[63]ТР нефть'!$J$28:$BP$638,47,0)</f>
        <v>1880.0064</v>
      </c>
      <c r="BE164" s="115" t="str">
        <f>VLOOKUP(J164,'[63]ТР нефть'!$J$28:$BP$638,48,0)</f>
        <v>ЦКсОК 5/16</v>
      </c>
      <c r="BF164" s="115" t="str">
        <f>VLOOKUP(J164,'[63]ТР нефть'!$J$28:$BP$638,49,0)</f>
        <v>-</v>
      </c>
      <c r="BG164" s="115" t="str">
        <f>VLOOKUP(J164,'[63]ТР нефть'!$J$28:$BP$638,50,0)</f>
        <v>-</v>
      </c>
      <c r="BH164" s="115">
        <f>VLOOKUP(J164,'[63]ТР нефть'!$J$28:$BP$638,51,0)</f>
        <v>1890</v>
      </c>
      <c r="BI164" s="115" t="str">
        <f>VLOOKUP(J164,'[63]ТР нефть'!$J$28:$BP$638,52,0)</f>
        <v>закрыт</v>
      </c>
      <c r="BJ164" s="115" t="str">
        <f>IF(IFERROR(VLOOKUP(J164,'[63]ТР нефть'!$J$28:$BP$638,53,0),"-")=0,"-",IFERROR(VLOOKUP(J164,'[63]ТР нефть'!$J$28:$BP$638,53,0),"-"))</f>
        <v>-</v>
      </c>
      <c r="BK164" s="138" t="str">
        <f>IF(IFERROR(VLOOKUP(J164,'[63]ТР нефть'!$J$28:$BP$638,54,0),"-")=0,"-",IFERROR(VLOOKUP(J164,'[63]ТР нефть'!$J$28:$BP$638,54,0),"-"))</f>
        <v>-</v>
      </c>
      <c r="BL164" s="138" t="str">
        <f>IF(IFERROR(VLOOKUP(J164,'[63]ТР нефть'!$J$28:$BP$638,55,0),"-")=0,"-",IFERROR(VLOOKUP(J164,'[63]ТР нефть'!$J$28:$BP$638,55,0),"-"))</f>
        <v>-</v>
      </c>
      <c r="BM164" s="138" t="str">
        <f>IF(IFERROR(VLOOKUP(J164,'[63]ТР нефть'!$J$28:$BP$638,56,0),"-")=0,"-",IFERROR(VLOOKUP(J164,'[63]ТР нефть'!$J$28:$BP$638,56,0),"-"))</f>
        <v>-</v>
      </c>
      <c r="BN164" s="138" t="str">
        <f>IF(IFERROR(VLOOKUP(J164,'[63]ТР нефть'!$J$28:$BP$638,57,0),"-")=0,"-",IFERROR(VLOOKUP(J164,'[63]ТР нефть'!$J$28:$BP$638,57,0),"-"))</f>
        <v>-</v>
      </c>
      <c r="BO164" s="115" t="str">
        <f>IF(IFERROR(VLOOKUP(J164,'[63]ТР нефть'!$J$28:$BP$638,58,0),"-")=0,"-",IFERROR(VLOOKUP(J164,'[63]ТР нефть'!$J$28:$BP$638,58,0),"-"))</f>
        <v>-</v>
      </c>
      <c r="BP164" s="115" t="str">
        <f>IF(IFERROR(VLOOKUP(J164,'[63]ТР нефть'!$J$28:$BP$638,59,0),"-")=0,"-",IFERROR(VLOOKUP(J164,'[63]ТР нефть'!$J$28:$BP$638,59,0),"-"))</f>
        <v>-</v>
      </c>
      <c r="BQ164" s="138">
        <v>2070</v>
      </c>
      <c r="BR164" s="128">
        <v>1611.25</v>
      </c>
      <c r="BS164" s="115">
        <f t="shared" si="105"/>
        <v>458.75</v>
      </c>
      <c r="BT164" s="128">
        <v>73</v>
      </c>
      <c r="BU164" s="128">
        <v>5.5</v>
      </c>
      <c r="BV164" s="127">
        <v>18</v>
      </c>
      <c r="BW164" s="127" t="s">
        <v>234</v>
      </c>
      <c r="BX164" s="127" t="s">
        <v>195</v>
      </c>
      <c r="BY164" s="139">
        <v>24</v>
      </c>
      <c r="BZ164" s="139">
        <v>0</v>
      </c>
      <c r="CA164" s="138">
        <v>24</v>
      </c>
      <c r="CB164" s="138">
        <v>37</v>
      </c>
      <c r="CC164" s="138">
        <v>23</v>
      </c>
      <c r="CD164" s="135">
        <v>45017</v>
      </c>
      <c r="CE164" s="138">
        <v>79</v>
      </c>
      <c r="CF164" s="138">
        <v>70</v>
      </c>
      <c r="CG164" s="138" t="str">
        <f t="shared" si="132"/>
        <v/>
      </c>
      <c r="CH164" s="138" t="s">
        <v>197</v>
      </c>
      <c r="CI164" s="127">
        <v>6</v>
      </c>
      <c r="CJ164" s="138"/>
      <c r="CK164" s="138"/>
      <c r="CL164" s="99"/>
      <c r="CM164" s="99"/>
      <c r="CN164" s="140">
        <v>46</v>
      </c>
      <c r="CO164" s="141">
        <f t="shared" si="106"/>
        <v>8.2764000000000006</v>
      </c>
      <c r="CP164" s="142">
        <v>9.9</v>
      </c>
      <c r="CQ164" s="143">
        <v>0</v>
      </c>
      <c r="CR164" s="138">
        <v>24.6</v>
      </c>
      <c r="CS164" s="139">
        <v>7.2</v>
      </c>
      <c r="CT164" s="138"/>
      <c r="CU164" s="138">
        <f t="shared" si="107"/>
        <v>17.400000000000002</v>
      </c>
      <c r="CV164" s="115">
        <f t="shared" si="108"/>
        <v>2102.3633463824854</v>
      </c>
      <c r="CW164" s="115">
        <f t="shared" si="109"/>
        <v>869.94345367551102</v>
      </c>
      <c r="CX164" s="133">
        <f t="shared" si="110"/>
        <v>0.3</v>
      </c>
      <c r="CY164" s="116"/>
      <c r="CZ164" s="131"/>
      <c r="DA164" s="145" t="str">
        <f t="shared" si="111"/>
        <v>Газлифт</v>
      </c>
      <c r="DB164" s="146">
        <f t="shared" si="112"/>
        <v>8.2764000000000006</v>
      </c>
      <c r="DC164" s="142">
        <f t="shared" si="113"/>
        <v>9.9</v>
      </c>
      <c r="DD164" s="119">
        <f t="shared" si="114"/>
        <v>0</v>
      </c>
      <c r="DE164" s="115">
        <f t="shared" si="115"/>
        <v>17.400000000000002</v>
      </c>
      <c r="DF164" s="121">
        <f t="shared" si="116"/>
        <v>7.2</v>
      </c>
      <c r="DG164" s="115">
        <f t="shared" si="117"/>
        <v>2102.3633463824854</v>
      </c>
      <c r="DH164" s="115">
        <f t="shared" si="118"/>
        <v>46</v>
      </c>
      <c r="DI164" s="147"/>
      <c r="DJ164" s="111" t="s">
        <v>197</v>
      </c>
      <c r="DK164" s="112">
        <v>43515</v>
      </c>
      <c r="DL164" s="113">
        <f t="shared" ca="1" si="87"/>
        <v>1589</v>
      </c>
      <c r="DM164" s="114"/>
      <c r="DN164" s="114"/>
      <c r="DO164" s="114"/>
      <c r="DP164" s="114"/>
      <c r="DQ164" s="112">
        <v>43474.25</v>
      </c>
      <c r="DR164" s="114" t="s">
        <v>282</v>
      </c>
      <c r="DS164" s="114"/>
      <c r="DT164" s="115">
        <v>43</v>
      </c>
      <c r="DU164" s="116">
        <f t="shared" si="88"/>
        <v>0.29378238341968904</v>
      </c>
      <c r="DV164" s="117">
        <f t="shared" si="89"/>
        <v>8.841674611398961</v>
      </c>
      <c r="DW164" s="118">
        <f t="shared" si="90"/>
        <v>10.576165803108806</v>
      </c>
      <c r="DX164" s="119">
        <f t="shared" si="119"/>
        <v>0</v>
      </c>
      <c r="DY164" s="115">
        <f t="shared" si="91"/>
        <v>18.58841262364578</v>
      </c>
      <c r="DZ164" s="117">
        <f t="shared" si="92"/>
        <v>0.5652746113989604</v>
      </c>
      <c r="EA164" s="120">
        <f t="shared" si="92"/>
        <v>0.67616580310880536</v>
      </c>
      <c r="EB164" s="119">
        <f t="shared" si="92"/>
        <v>0</v>
      </c>
      <c r="EC164" s="121">
        <f t="shared" si="93"/>
        <v>1.1884126236457782</v>
      </c>
      <c r="ED164" s="122"/>
      <c r="EE164" s="145">
        <v>18</v>
      </c>
      <c r="EF164" s="115">
        <v>24</v>
      </c>
      <c r="EG164" s="115">
        <v>37</v>
      </c>
      <c r="EH164" s="115">
        <v>23</v>
      </c>
      <c r="EI164" s="128" t="s">
        <v>195</v>
      </c>
      <c r="EJ164" s="121">
        <v>24</v>
      </c>
      <c r="EK164" s="121">
        <v>0</v>
      </c>
      <c r="EL164" s="149">
        <v>8.2764000000000006</v>
      </c>
      <c r="EM164" s="142">
        <v>9.9</v>
      </c>
      <c r="EN164" s="119">
        <v>0</v>
      </c>
      <c r="EO164" s="115">
        <v>24.6</v>
      </c>
      <c r="EP164" s="115">
        <v>2102.3633463824854</v>
      </c>
      <c r="EQ164" s="115">
        <v>70</v>
      </c>
      <c r="ER164" s="115">
        <v>7.2</v>
      </c>
      <c r="ES164" s="115">
        <v>46</v>
      </c>
      <c r="ET164" s="150">
        <v>0.3</v>
      </c>
      <c r="EU164" s="145">
        <f t="shared" si="120"/>
        <v>18</v>
      </c>
      <c r="EV164" s="115">
        <f t="shared" si="121"/>
        <v>24</v>
      </c>
      <c r="EW164" s="115">
        <f t="shared" si="121"/>
        <v>37</v>
      </c>
      <c r="EX164" s="115">
        <f t="shared" si="121"/>
        <v>23</v>
      </c>
      <c r="EY164" s="115" t="str">
        <f t="shared" si="122"/>
        <v>Постоянный</v>
      </c>
      <c r="EZ164" s="115">
        <f t="shared" si="122"/>
        <v>24</v>
      </c>
      <c r="FA164" s="115">
        <f t="shared" si="122"/>
        <v>0</v>
      </c>
      <c r="FB164" s="149">
        <f t="shared" si="123"/>
        <v>8.2764000000000006</v>
      </c>
      <c r="FC164" s="142">
        <f t="shared" si="123"/>
        <v>9.9</v>
      </c>
      <c r="FD164" s="119">
        <f t="shared" si="123"/>
        <v>0</v>
      </c>
      <c r="FE164" s="121">
        <f t="shared" si="103"/>
        <v>24.6</v>
      </c>
      <c r="FF164" s="121">
        <f t="shared" si="94"/>
        <v>2102.3633463824854</v>
      </c>
      <c r="FG164" s="121">
        <f t="shared" si="124"/>
        <v>70</v>
      </c>
      <c r="FH164" s="121">
        <f t="shared" si="95"/>
        <v>7.2</v>
      </c>
      <c r="FI164" s="121">
        <f t="shared" si="131"/>
        <v>46</v>
      </c>
      <c r="FJ164" s="144">
        <f t="shared" si="125"/>
        <v>0.3</v>
      </c>
      <c r="FK164" s="132">
        <f t="shared" si="126"/>
        <v>0</v>
      </c>
      <c r="FL164" s="115">
        <f t="shared" si="126"/>
        <v>0</v>
      </c>
      <c r="FM164" s="115">
        <f t="shared" si="126"/>
        <v>0</v>
      </c>
      <c r="FN164" s="115">
        <f t="shared" si="126"/>
        <v>0</v>
      </c>
      <c r="FO164" s="115">
        <f t="shared" si="100"/>
        <v>0</v>
      </c>
      <c r="FP164" s="115">
        <f t="shared" si="100"/>
        <v>0</v>
      </c>
      <c r="FQ164" s="149">
        <f t="shared" si="100"/>
        <v>0</v>
      </c>
      <c r="FR164" s="142">
        <f t="shared" si="100"/>
        <v>0</v>
      </c>
      <c r="FS164" s="119">
        <f t="shared" si="100"/>
        <v>0</v>
      </c>
      <c r="FT164" s="121">
        <f t="shared" si="100"/>
        <v>0</v>
      </c>
      <c r="FU164" s="121">
        <f t="shared" si="127"/>
        <v>0</v>
      </c>
      <c r="FV164" s="121">
        <f t="shared" si="127"/>
        <v>0</v>
      </c>
      <c r="FW164" s="121">
        <f t="shared" si="128"/>
        <v>0</v>
      </c>
      <c r="FX164" s="121">
        <f t="shared" si="129"/>
        <v>0</v>
      </c>
      <c r="FY164" s="144">
        <f t="shared" si="129"/>
        <v>0</v>
      </c>
      <c r="FZ164" s="145"/>
      <c r="GA164" s="163" t="s">
        <v>841</v>
      </c>
      <c r="GB164" s="145"/>
      <c r="GC164" s="151" t="s">
        <v>237</v>
      </c>
      <c r="GD164" s="997" t="s">
        <v>238</v>
      </c>
      <c r="GE164" s="1004"/>
      <c r="GF164" s="1004">
        <v>0.54340000000000099</v>
      </c>
      <c r="GG164" s="1004"/>
      <c r="GH164" s="1004">
        <v>0</v>
      </c>
      <c r="GI164" s="145"/>
      <c r="GJ164" s="996">
        <v>0</v>
      </c>
      <c r="GK164" s="145"/>
      <c r="GL164" s="996">
        <v>0</v>
      </c>
      <c r="GM164" s="1005"/>
      <c r="GN164" s="996">
        <v>0</v>
      </c>
      <c r="GO164" s="1006"/>
      <c r="GP164" s="996">
        <v>0</v>
      </c>
      <c r="GQ164" s="1006"/>
      <c r="GR164" s="996">
        <v>4.1800000000000281E-2</v>
      </c>
      <c r="GS164" s="1006"/>
      <c r="GT164" s="996">
        <v>0</v>
      </c>
      <c r="GU164" s="1006"/>
      <c r="GV164" s="996">
        <v>0</v>
      </c>
      <c r="GW164" s="1006"/>
      <c r="GX164" s="997">
        <v>0</v>
      </c>
      <c r="GY164" s="1006"/>
      <c r="GZ164" s="996">
        <v>0.58220000000000027</v>
      </c>
      <c r="HA164" s="1006"/>
      <c r="HB164" s="996">
        <v>0</v>
      </c>
      <c r="HC164" s="1006"/>
      <c r="HD164" s="996">
        <v>0.41716065600000007</v>
      </c>
      <c r="HE164" s="1006" t="s">
        <v>199</v>
      </c>
      <c r="HF164" s="996">
        <v>1.2255793439999998</v>
      </c>
      <c r="HG164" s="1006"/>
      <c r="HH164" s="996">
        <v>-0.55594000000000054</v>
      </c>
      <c r="HI164" s="1006"/>
      <c r="HJ164" s="996">
        <v>0</v>
      </c>
      <c r="HK164" s="1006" t="s">
        <v>223</v>
      </c>
      <c r="HL164" s="996">
        <v>-1.0031999999999996</v>
      </c>
      <c r="HM164" s="1006"/>
      <c r="HN164" s="996">
        <v>0</v>
      </c>
      <c r="HO164" s="1006"/>
      <c r="HP164" s="996">
        <v>0</v>
      </c>
      <c r="HQ164" s="1006"/>
      <c r="HR164" s="996">
        <v>0</v>
      </c>
      <c r="HS164" s="1006"/>
      <c r="HT164" s="996">
        <v>0</v>
      </c>
      <c r="HU164" s="1006"/>
      <c r="HV164" s="996">
        <v>-0.6286719999999999</v>
      </c>
      <c r="HW164" s="1006"/>
      <c r="HX164" s="996">
        <v>0</v>
      </c>
      <c r="HY164" s="1006"/>
      <c r="HZ164" s="996">
        <v>0</v>
      </c>
      <c r="IA164" s="1006"/>
      <c r="IB164" s="996">
        <v>0.71939472000000038</v>
      </c>
      <c r="IC164" s="1006" t="s">
        <v>199</v>
      </c>
      <c r="ID164" s="996">
        <v>3.0059884799999992</v>
      </c>
      <c r="IE164" s="1006"/>
      <c r="IF164" s="996">
        <v>0</v>
      </c>
      <c r="IG164" s="1006" t="s">
        <v>223</v>
      </c>
      <c r="IH164" s="996">
        <v>-3.0131111999999991</v>
      </c>
      <c r="II164" s="1006"/>
      <c r="IJ164" s="996">
        <v>0</v>
      </c>
      <c r="IK164" s="1006" t="s">
        <v>204</v>
      </c>
      <c r="IL164" s="996">
        <v>2.0899999999999994</v>
      </c>
      <c r="IM164" s="1006"/>
      <c r="IN164" s="996">
        <v>0</v>
      </c>
      <c r="IO164" s="1006"/>
      <c r="IP164" s="996">
        <v>0</v>
      </c>
      <c r="IQ164" s="1006"/>
      <c r="IR164" s="996">
        <v>0</v>
      </c>
      <c r="IS164" s="1006"/>
      <c r="IT164" s="996">
        <v>0</v>
      </c>
      <c r="IU164" s="1006"/>
      <c r="IV164" s="996">
        <v>0</v>
      </c>
      <c r="IW164" s="1006"/>
      <c r="IX164" s="996">
        <v>0</v>
      </c>
      <c r="IY164" s="1006"/>
      <c r="IZ164" s="996">
        <v>0</v>
      </c>
      <c r="JA164" s="1006"/>
      <c r="JB164" s="996">
        <v>0</v>
      </c>
      <c r="JC164" s="1006" t="s">
        <v>199</v>
      </c>
      <c r="JD164" s="996">
        <v>-5.9355999999999991</v>
      </c>
      <c r="JE164" s="1006"/>
      <c r="JF164" s="996">
        <v>0</v>
      </c>
      <c r="JG164" s="1006"/>
      <c r="JH164" s="996">
        <v>0</v>
      </c>
      <c r="JI164" s="1006"/>
      <c r="JJ164" s="996">
        <v>0</v>
      </c>
      <c r="JK164" s="1007"/>
      <c r="JL164" s="1007">
        <v>0</v>
      </c>
      <c r="JM164" s="1007"/>
      <c r="JN164" s="1007">
        <v>0</v>
      </c>
      <c r="JO164" s="1008"/>
      <c r="JP164" s="1007">
        <v>0</v>
      </c>
      <c r="JQ164" s="1008">
        <v>0</v>
      </c>
      <c r="JR164" s="1007">
        <v>0</v>
      </c>
      <c r="JS164" s="1008" t="s">
        <v>203</v>
      </c>
      <c r="JT164" s="1007">
        <v>-3.0824992000000009</v>
      </c>
      <c r="JU164" s="1008" t="s">
        <v>203</v>
      </c>
      <c r="JV164" s="1007">
        <v>-2.9156336000000014</v>
      </c>
      <c r="JW164" s="1008" t="s">
        <v>197</v>
      </c>
      <c r="JX164" s="1007">
        <v>0</v>
      </c>
      <c r="JY164" s="1008" t="s">
        <v>199</v>
      </c>
      <c r="JZ164" s="1007">
        <v>5.4018073120000025</v>
      </c>
      <c r="KA164" s="1008" t="s">
        <v>199</v>
      </c>
      <c r="KB164" s="1007">
        <v>-8.2279889120000025</v>
      </c>
      <c r="KC164" s="1008" t="s">
        <v>282</v>
      </c>
      <c r="KD164" s="1007">
        <v>13.599546400000001</v>
      </c>
      <c r="KE164" s="1008"/>
      <c r="KF164" s="1007">
        <v>0</v>
      </c>
      <c r="KG164" s="1008"/>
      <c r="KH164" s="1007">
        <v>0</v>
      </c>
      <c r="KI164" s="1008"/>
      <c r="KJ164" s="1007">
        <v>0</v>
      </c>
      <c r="KK164" s="1008"/>
      <c r="KL164" s="1007">
        <v>0</v>
      </c>
      <c r="KM164" s="1008"/>
      <c r="KN164" s="1007">
        <v>0</v>
      </c>
      <c r="KO164" s="1008"/>
      <c r="KP164" s="1007">
        <v>0</v>
      </c>
      <c r="KQ164" s="1008">
        <v>0</v>
      </c>
      <c r="KR164" s="1007">
        <v>0</v>
      </c>
      <c r="KS164" s="1008">
        <v>0</v>
      </c>
      <c r="KT164" s="1007">
        <v>0</v>
      </c>
      <c r="KU164" s="1008">
        <v>0</v>
      </c>
      <c r="KV164" s="1007">
        <v>0</v>
      </c>
      <c r="KW164" s="1008">
        <v>0</v>
      </c>
      <c r="KX164" s="1007">
        <v>0</v>
      </c>
      <c r="KY164" s="1008">
        <v>0</v>
      </c>
      <c r="KZ164" s="1007">
        <v>0</v>
      </c>
      <c r="LA164" s="1008">
        <v>0</v>
      </c>
      <c r="LB164" s="1007">
        <v>0</v>
      </c>
      <c r="LC164" s="1008">
        <v>0</v>
      </c>
      <c r="LD164" s="1007">
        <v>0</v>
      </c>
      <c r="LE164" s="1008">
        <v>0</v>
      </c>
      <c r="LF164" s="1007">
        <v>0</v>
      </c>
      <c r="LG164" s="1008">
        <v>0</v>
      </c>
      <c r="LH164" s="1007">
        <v>0</v>
      </c>
      <c r="LI164" s="1008" t="s">
        <v>203</v>
      </c>
      <c r="LJ164" s="1007">
        <v>-2.08582</v>
      </c>
      <c r="LK164" s="1008" t="s">
        <v>203</v>
      </c>
      <c r="LL164" s="1007">
        <v>1.2514920000000007</v>
      </c>
      <c r="LM164" s="1008">
        <v>0</v>
      </c>
      <c r="LN164" s="1007">
        <v>5.0059680000000002</v>
      </c>
      <c r="LO164" s="1008">
        <v>0</v>
      </c>
      <c r="LP164" s="1007">
        <v>0</v>
      </c>
      <c r="LQ164" s="1008" t="s">
        <v>206</v>
      </c>
      <c r="LR164" s="1007">
        <v>1.8462639999999999</v>
      </c>
      <c r="LS164" s="1008">
        <v>0</v>
      </c>
      <c r="LT164" s="1007">
        <v>0</v>
      </c>
      <c r="LU164" s="1008">
        <v>0</v>
      </c>
      <c r="LV164" s="1007">
        <v>-0.25298399999999999</v>
      </c>
      <c r="LW164" s="1008">
        <v>0</v>
      </c>
      <c r="LX164" s="1007">
        <v>-2.6346116799999999</v>
      </c>
      <c r="LY164" s="1009">
        <v>0</v>
      </c>
      <c r="LZ164" s="1010">
        <v>-0.71479320000000002</v>
      </c>
      <c r="MA164" s="1011">
        <v>0</v>
      </c>
      <c r="MB164" s="1012">
        <v>0.66492960000000001</v>
      </c>
      <c r="MC164" s="995"/>
      <c r="MD164" s="996"/>
      <c r="ME164" s="997" t="s">
        <v>238</v>
      </c>
      <c r="MF164" s="997"/>
      <c r="MG164" s="998"/>
      <c r="NR164" s="1000"/>
      <c r="NS164" s="1000"/>
      <c r="NT164" s="1001"/>
      <c r="NU164" s="1000"/>
      <c r="NV164" s="1001"/>
      <c r="NX164" s="1002"/>
      <c r="NZ164" s="1001"/>
      <c r="OA164" s="1001"/>
      <c r="OC164" s="1003"/>
      <c r="OD164" s="1003"/>
      <c r="OE164" s="1001"/>
      <c r="OF164" s="1003"/>
      <c r="OG164" s="1003"/>
      <c r="OH164" s="1003"/>
      <c r="OI164" s="1016"/>
      <c r="QX164" s="1000">
        <f t="shared" si="96"/>
        <v>22</v>
      </c>
      <c r="ASU164" s="999" t="s">
        <v>208</v>
      </c>
    </row>
    <row r="165" spans="1:466 1191:1191" ht="21" customHeight="1" x14ac:dyDescent="0.25">
      <c r="A165" s="982">
        <f t="shared" si="104"/>
        <v>1065</v>
      </c>
      <c r="B165" s="145">
        <f>SUBTOTAL(103,$J$29:J165)</f>
        <v>137</v>
      </c>
      <c r="C165" s="126">
        <v>45096</v>
      </c>
      <c r="D165" s="145" t="s">
        <v>176</v>
      </c>
      <c r="E165" s="128" t="s">
        <v>177</v>
      </c>
      <c r="F165" s="128" t="s">
        <v>177</v>
      </c>
      <c r="G165" s="128" t="s">
        <v>178</v>
      </c>
      <c r="H165" s="128" t="s">
        <v>408</v>
      </c>
      <c r="I165" s="128" t="s">
        <v>760</v>
      </c>
      <c r="J165" s="152">
        <v>1065</v>
      </c>
      <c r="K165" s="127" t="s">
        <v>838</v>
      </c>
      <c r="L165" s="135">
        <v>41729</v>
      </c>
      <c r="M165" s="128" t="s">
        <v>230</v>
      </c>
      <c r="N165" s="128" t="s">
        <v>465</v>
      </c>
      <c r="O165" s="127" t="s">
        <v>582</v>
      </c>
      <c r="P165" s="127" t="s">
        <v>582</v>
      </c>
      <c r="Q165" s="127">
        <v>-4</v>
      </c>
      <c r="R165" s="130"/>
      <c r="S165" s="128" t="s">
        <v>156</v>
      </c>
      <c r="T165" s="131"/>
      <c r="U165" s="132">
        <v>203</v>
      </c>
      <c r="V165" s="121">
        <v>218.2</v>
      </c>
      <c r="W165" s="116">
        <v>0.98</v>
      </c>
      <c r="X165" s="116">
        <v>1.66</v>
      </c>
      <c r="Y165" s="116">
        <f t="shared" si="86"/>
        <v>0.98</v>
      </c>
      <c r="Z165" s="133">
        <v>1.454</v>
      </c>
      <c r="AA165" s="133">
        <v>0.83599999999999997</v>
      </c>
      <c r="AB165" s="133">
        <v>0.72</v>
      </c>
      <c r="AC165" s="121">
        <v>34.299999999999997</v>
      </c>
      <c r="AD165" s="134">
        <v>1.17</v>
      </c>
      <c r="AE165" s="145">
        <v>177.8</v>
      </c>
      <c r="AF165" s="128">
        <v>9.19</v>
      </c>
      <c r="AG165" s="128">
        <v>2074</v>
      </c>
      <c r="AH165" s="128">
        <v>2647</v>
      </c>
      <c r="AI165" s="128">
        <v>2647</v>
      </c>
      <c r="AJ165" s="135"/>
      <c r="AK165" s="128"/>
      <c r="AL165" s="131"/>
      <c r="AM165" s="145" t="s">
        <v>232</v>
      </c>
      <c r="AN165" s="131" t="s">
        <v>842</v>
      </c>
      <c r="AO165" s="137">
        <v>20</v>
      </c>
      <c r="AP165" s="128">
        <v>2074</v>
      </c>
      <c r="AQ165" s="128">
        <v>344</v>
      </c>
      <c r="AR165" s="128"/>
      <c r="AS165" s="128"/>
      <c r="AT165" s="122"/>
      <c r="AU165" s="145" t="s">
        <v>250</v>
      </c>
      <c r="AV165" s="128">
        <f>VLOOKUP(J165,'[63]ТР нефть'!$J$28:$BP$638,39,0)</f>
        <v>600</v>
      </c>
      <c r="AW165" s="128" t="str">
        <f>VLOOKUP(J165,'[63]ТР нефть'!$J$28:$BP$638,40,0)</f>
        <v>ГК65/2</v>
      </c>
      <c r="AX165" s="128">
        <f>VLOOKUP(J165,'[63]ТР нефть'!$J$28:$BP$638,41,0)</f>
        <v>1200</v>
      </c>
      <c r="AY165" s="128" t="str">
        <f>VLOOKUP(J165,'[63]ТР нефть'!$J$28:$BP$638,42,0)</f>
        <v>ГК45</v>
      </c>
      <c r="AZ165" s="128">
        <f>VLOOKUP(J165,'[63]ТР нефть'!$J$28:$BP$638,43,0)</f>
        <v>1770</v>
      </c>
      <c r="BA165" s="128" t="str">
        <f>VLOOKUP(J165,'[63]ТР нефть'!$J$28:$BP$638,44,0)</f>
        <v>ЦКсОК</v>
      </c>
      <c r="BB165" s="128" t="str">
        <f>VLOOKUP(J165,'[63]ТР нефть'!$J$28:$BP$638,45,0)</f>
        <v>-</v>
      </c>
      <c r="BC165" s="128" t="str">
        <f>VLOOKUP(J165,'[63]ТР нефть'!$J$28:$BP$638,46,0)</f>
        <v>-</v>
      </c>
      <c r="BD165" s="128" t="str">
        <f>VLOOKUP(J165,'[63]ТР нефть'!$J$28:$BP$638,47,0)</f>
        <v>-</v>
      </c>
      <c r="BE165" s="128" t="str">
        <f>VLOOKUP(J165,'[63]ТР нефть'!$J$28:$BP$638,48,0)</f>
        <v>-</v>
      </c>
      <c r="BF165" s="128" t="str">
        <f>VLOOKUP(J165,'[63]ТР нефть'!$J$28:$BP$638,49,0)</f>
        <v>-</v>
      </c>
      <c r="BG165" s="128" t="str">
        <f>VLOOKUP(J165,'[63]ТР нефть'!$J$28:$BP$638,50,0)</f>
        <v>-</v>
      </c>
      <c r="BH165" s="128">
        <f>VLOOKUP(J165,'[63]ТР нефть'!$J$28:$BP$638,51,0)</f>
        <v>1780</v>
      </c>
      <c r="BI165" s="128" t="str">
        <f>VLOOKUP(J165,'[63]ТР нефть'!$J$28:$BP$638,52,0)</f>
        <v>закр</v>
      </c>
      <c r="BJ165" s="128" t="str">
        <f>IF(IFERROR(VLOOKUP(J165,'[63]ТР нефть'!$J$28:$BP$638,53,0),"-")=0,"-",IFERROR(VLOOKUP(J165,'[63]ТР нефть'!$J$28:$BP$638,53,0),"-"))</f>
        <v>-</v>
      </c>
      <c r="BK165" s="128" t="str">
        <f>IF(IFERROR(VLOOKUP(J165,'[63]ТР нефть'!$J$28:$BP$638,54,0),"-")=0,"-",IFERROR(VLOOKUP(J165,'[63]ТР нефть'!$J$28:$BP$638,54,0),"-"))</f>
        <v>-</v>
      </c>
      <c r="BL165" s="128" t="str">
        <f>IF(IFERROR(VLOOKUP(J165,'[63]ТР нефть'!$J$28:$BP$638,55,0),"-")=0,"-",IFERROR(VLOOKUP(J165,'[63]ТР нефть'!$J$28:$BP$638,55,0),"-"))</f>
        <v>-</v>
      </c>
      <c r="BM165" s="128" t="str">
        <f>IF(IFERROR(VLOOKUP(J165,'[63]ТР нефть'!$J$28:$BP$638,56,0),"-")=0,"-",IFERROR(VLOOKUP(J165,'[63]ТР нефть'!$J$28:$BP$638,56,0),"-"))</f>
        <v>-</v>
      </c>
      <c r="BN165" s="128" t="str">
        <f>IF(IFERROR(VLOOKUP(J165,'[63]ТР нефть'!$J$28:$BP$638,57,0),"-")=0,"-",IFERROR(VLOOKUP(J165,'[63]ТР нефть'!$J$28:$BP$638,57,0),"-"))</f>
        <v>-</v>
      </c>
      <c r="BO165" s="128" t="str">
        <f>IF(IFERROR(VLOOKUP(J165,'[63]ТР нефть'!$J$28:$BP$638,58,0),"-")=0,"-",IFERROR(VLOOKUP(J165,'[63]ТР нефть'!$J$28:$BP$638,58,0),"-"))</f>
        <v>-</v>
      </c>
      <c r="BP165" s="128" t="str">
        <f>IF(IFERROR(VLOOKUP(J165,'[63]ТР нефть'!$J$28:$BP$638,59,0),"-")=0,"-",IFERROR(VLOOKUP(J165,'[63]ТР нефть'!$J$28:$BP$638,59,0),"-"))</f>
        <v>-</v>
      </c>
      <c r="BQ165" s="115">
        <v>2390</v>
      </c>
      <c r="BR165" s="128">
        <v>1938.8</v>
      </c>
      <c r="BS165" s="115">
        <f t="shared" si="105"/>
        <v>451.20000000000005</v>
      </c>
      <c r="BT165" s="128">
        <v>73</v>
      </c>
      <c r="BU165" s="128">
        <v>5.5</v>
      </c>
      <c r="BV165" s="128">
        <v>65</v>
      </c>
      <c r="BW165" s="128" t="s">
        <v>217</v>
      </c>
      <c r="BX165" s="127" t="s">
        <v>195</v>
      </c>
      <c r="BY165" s="121">
        <v>24</v>
      </c>
      <c r="BZ165" s="121">
        <v>0</v>
      </c>
      <c r="CA165" s="115">
        <v>98</v>
      </c>
      <c r="CB165" s="115">
        <v>36</v>
      </c>
      <c r="CC165" s="115"/>
      <c r="CD165" s="135">
        <v>45017</v>
      </c>
      <c r="CE165" s="115">
        <v>151.9</v>
      </c>
      <c r="CF165" s="115"/>
      <c r="CG165" s="115" t="str">
        <f t="shared" si="132"/>
        <v/>
      </c>
      <c r="CH165" s="115" t="s">
        <v>197</v>
      </c>
      <c r="CI165" s="128"/>
      <c r="CJ165" s="115"/>
      <c r="CK165" s="138"/>
      <c r="CL165" s="115"/>
      <c r="CM165" s="115"/>
      <c r="CN165" s="150"/>
      <c r="CO165" s="141">
        <f t="shared" si="106"/>
        <v>0</v>
      </c>
      <c r="CP165" s="142"/>
      <c r="CQ165" s="119"/>
      <c r="CR165" s="138"/>
      <c r="CS165" s="139"/>
      <c r="CT165" s="138"/>
      <c r="CU165" s="138"/>
      <c r="CV165" s="115"/>
      <c r="CW165" s="115" t="str">
        <f t="shared" si="109"/>
        <v/>
      </c>
      <c r="CX165" s="133"/>
      <c r="CY165" s="116"/>
      <c r="CZ165" s="131"/>
      <c r="DA165" s="145" t="str">
        <f t="shared" si="111"/>
        <v>Фон.</v>
      </c>
      <c r="DB165" s="146">
        <f t="shared" si="112"/>
        <v>0</v>
      </c>
      <c r="DC165" s="142">
        <f t="shared" si="113"/>
        <v>0</v>
      </c>
      <c r="DD165" s="119">
        <f t="shared" si="114"/>
        <v>0</v>
      </c>
      <c r="DE165" s="115">
        <f t="shared" si="115"/>
        <v>0</v>
      </c>
      <c r="DF165" s="121">
        <f t="shared" si="116"/>
        <v>0</v>
      </c>
      <c r="DG165" s="115">
        <f t="shared" si="117"/>
        <v>0</v>
      </c>
      <c r="DH165" s="115">
        <f t="shared" si="118"/>
        <v>0</v>
      </c>
      <c r="DI165" s="150"/>
      <c r="DJ165" s="111" t="s">
        <v>197</v>
      </c>
      <c r="DK165" s="112">
        <v>41697</v>
      </c>
      <c r="DL165" s="113">
        <f t="shared" ca="1" si="87"/>
        <v>3407</v>
      </c>
      <c r="DM165" s="114"/>
      <c r="DN165" s="114"/>
      <c r="DO165" s="114"/>
      <c r="DP165" s="114"/>
      <c r="DQ165" s="112">
        <v>41654</v>
      </c>
      <c r="DR165" s="114" t="s">
        <v>324</v>
      </c>
      <c r="DS165" s="114"/>
      <c r="DT165" s="115">
        <v>60</v>
      </c>
      <c r="DU165" s="116">
        <f t="shared" si="88"/>
        <v>0</v>
      </c>
      <c r="DV165" s="117">
        <f t="shared" si="89"/>
        <v>0</v>
      </c>
      <c r="DW165" s="118">
        <f t="shared" si="90"/>
        <v>0</v>
      </c>
      <c r="DX165" s="119">
        <f t="shared" si="119"/>
        <v>0</v>
      </c>
      <c r="DY165" s="115">
        <f t="shared" si="91"/>
        <v>0</v>
      </c>
      <c r="DZ165" s="117">
        <f t="shared" si="92"/>
        <v>0</v>
      </c>
      <c r="EA165" s="120">
        <f t="shared" si="92"/>
        <v>0</v>
      </c>
      <c r="EB165" s="119">
        <f t="shared" si="92"/>
        <v>0</v>
      </c>
      <c r="EC165" s="121">
        <f t="shared" si="93"/>
        <v>0</v>
      </c>
      <c r="ED165" s="122"/>
      <c r="EE165" s="145">
        <v>65</v>
      </c>
      <c r="EF165" s="115">
        <v>98</v>
      </c>
      <c r="EG165" s="115">
        <v>36</v>
      </c>
      <c r="EH165" s="115">
        <v>0</v>
      </c>
      <c r="EI165" s="128" t="s">
        <v>195</v>
      </c>
      <c r="EJ165" s="121">
        <v>24</v>
      </c>
      <c r="EK165" s="121">
        <v>0</v>
      </c>
      <c r="EL165" s="149">
        <v>0</v>
      </c>
      <c r="EM165" s="142">
        <v>0</v>
      </c>
      <c r="EN165" s="119">
        <v>0</v>
      </c>
      <c r="EO165" s="115">
        <v>0</v>
      </c>
      <c r="EP165" s="115">
        <v>0</v>
      </c>
      <c r="EQ165" s="115">
        <v>0</v>
      </c>
      <c r="ER165" s="115">
        <v>0</v>
      </c>
      <c r="ES165" s="115">
        <v>0</v>
      </c>
      <c r="ET165" s="150">
        <v>0</v>
      </c>
      <c r="EU165" s="145">
        <f t="shared" si="120"/>
        <v>65</v>
      </c>
      <c r="EV165" s="115">
        <f t="shared" si="121"/>
        <v>98</v>
      </c>
      <c r="EW165" s="115">
        <f t="shared" si="121"/>
        <v>36</v>
      </c>
      <c r="EX165" s="115">
        <f t="shared" si="121"/>
        <v>0</v>
      </c>
      <c r="EY165" s="115" t="str">
        <f t="shared" si="122"/>
        <v>Постоянный</v>
      </c>
      <c r="EZ165" s="115">
        <f t="shared" si="122"/>
        <v>24</v>
      </c>
      <c r="FA165" s="115">
        <f t="shared" si="122"/>
        <v>0</v>
      </c>
      <c r="FB165" s="149">
        <f t="shared" si="123"/>
        <v>0</v>
      </c>
      <c r="FC165" s="142">
        <f t="shared" si="123"/>
        <v>0</v>
      </c>
      <c r="FD165" s="119">
        <f t="shared" si="123"/>
        <v>0</v>
      </c>
      <c r="FE165" s="121">
        <f t="shared" si="103"/>
        <v>0</v>
      </c>
      <c r="FF165" s="121">
        <f t="shared" si="94"/>
        <v>0</v>
      </c>
      <c r="FG165" s="121">
        <f t="shared" si="124"/>
        <v>0</v>
      </c>
      <c r="FH165" s="121">
        <f t="shared" si="95"/>
        <v>0</v>
      </c>
      <c r="FI165" s="121">
        <f t="shared" si="131"/>
        <v>0</v>
      </c>
      <c r="FJ165" s="144">
        <f t="shared" si="125"/>
        <v>0</v>
      </c>
      <c r="FK165" s="132">
        <f t="shared" si="126"/>
        <v>0</v>
      </c>
      <c r="FL165" s="115">
        <f t="shared" si="126"/>
        <v>0</v>
      </c>
      <c r="FM165" s="115">
        <f t="shared" si="126"/>
        <v>0</v>
      </c>
      <c r="FN165" s="115">
        <f t="shared" si="126"/>
        <v>0</v>
      </c>
      <c r="FO165" s="115">
        <f t="shared" si="100"/>
        <v>0</v>
      </c>
      <c r="FP165" s="115">
        <f t="shared" si="100"/>
        <v>0</v>
      </c>
      <c r="FQ165" s="149">
        <f t="shared" si="100"/>
        <v>0</v>
      </c>
      <c r="FR165" s="142">
        <f t="shared" si="100"/>
        <v>0</v>
      </c>
      <c r="FS165" s="119">
        <f t="shared" si="100"/>
        <v>0</v>
      </c>
      <c r="FT165" s="121">
        <f t="shared" si="100"/>
        <v>0</v>
      </c>
      <c r="FU165" s="121">
        <f t="shared" si="127"/>
        <v>0</v>
      </c>
      <c r="FV165" s="121">
        <f t="shared" si="127"/>
        <v>0</v>
      </c>
      <c r="FW165" s="121">
        <f t="shared" si="128"/>
        <v>0</v>
      </c>
      <c r="FX165" s="121">
        <f t="shared" si="129"/>
        <v>0</v>
      </c>
      <c r="FY165" s="144">
        <f t="shared" si="129"/>
        <v>0</v>
      </c>
      <c r="FZ165" s="145"/>
      <c r="GA165" s="151"/>
      <c r="GB165" s="145"/>
      <c r="GC165" s="151" t="s">
        <v>394</v>
      </c>
      <c r="GD165" s="997" t="s">
        <v>238</v>
      </c>
      <c r="GE165" s="1004"/>
      <c r="GF165" s="1004">
        <v>0</v>
      </c>
      <c r="GG165" s="1004"/>
      <c r="GH165" s="1004">
        <v>0</v>
      </c>
      <c r="GI165" s="145"/>
      <c r="GJ165" s="996">
        <v>0</v>
      </c>
      <c r="GK165" s="145"/>
      <c r="GL165" s="996">
        <v>0</v>
      </c>
      <c r="GM165" s="1005"/>
      <c r="GN165" s="996">
        <v>0</v>
      </c>
      <c r="GO165" s="1006"/>
      <c r="GP165" s="996">
        <v>0</v>
      </c>
      <c r="GQ165" s="1006"/>
      <c r="GR165" s="996">
        <v>-1.6719999999999999</v>
      </c>
      <c r="GS165" s="1006"/>
      <c r="GT165" s="996">
        <v>0</v>
      </c>
      <c r="GU165" s="1006"/>
      <c r="GV165" s="996">
        <v>0</v>
      </c>
      <c r="GW165" s="1006"/>
      <c r="GX165" s="997">
        <v>0</v>
      </c>
      <c r="GY165" s="1006"/>
      <c r="GZ165" s="996">
        <v>0</v>
      </c>
      <c r="HA165" s="1006"/>
      <c r="HB165" s="996">
        <v>0</v>
      </c>
      <c r="HC165" s="1006"/>
      <c r="HD165" s="996">
        <v>0</v>
      </c>
      <c r="HE165" s="1006"/>
      <c r="HF165" s="996">
        <v>0</v>
      </c>
      <c r="HG165" s="1006"/>
      <c r="HH165" s="996">
        <v>0</v>
      </c>
      <c r="HI165" s="1006"/>
      <c r="HJ165" s="996">
        <v>0</v>
      </c>
      <c r="HK165" s="1006" t="s">
        <v>197</v>
      </c>
      <c r="HL165" s="996">
        <v>0</v>
      </c>
      <c r="HM165" s="1006"/>
      <c r="HN165" s="996">
        <v>0</v>
      </c>
      <c r="HO165" s="1006"/>
      <c r="HP165" s="996">
        <v>0</v>
      </c>
      <c r="HQ165" s="1006"/>
      <c r="HR165" s="996">
        <v>0</v>
      </c>
      <c r="HS165" s="1006"/>
      <c r="HT165" s="996">
        <v>0</v>
      </c>
      <c r="HU165" s="1006"/>
      <c r="HV165" s="996">
        <v>0</v>
      </c>
      <c r="HW165" s="1006"/>
      <c r="HX165" s="996">
        <v>0</v>
      </c>
      <c r="HY165" s="1006"/>
      <c r="HZ165" s="996">
        <v>0</v>
      </c>
      <c r="IA165" s="1006"/>
      <c r="IB165" s="996">
        <v>0</v>
      </c>
      <c r="IC165" s="1006" t="s">
        <v>199</v>
      </c>
      <c r="ID165" s="996">
        <v>-10.428263999999999</v>
      </c>
      <c r="IE165" s="1006" t="s">
        <v>199</v>
      </c>
      <c r="IF165" s="996">
        <v>0</v>
      </c>
      <c r="IG165" s="1006"/>
      <c r="IH165" s="996">
        <v>0</v>
      </c>
      <c r="II165" s="1006"/>
      <c r="IJ165" s="996">
        <v>0</v>
      </c>
      <c r="IK165" s="1006"/>
      <c r="IL165" s="996">
        <v>0</v>
      </c>
      <c r="IM165" s="1006"/>
      <c r="IN165" s="996">
        <v>0</v>
      </c>
      <c r="IO165" s="1006" t="s">
        <v>204</v>
      </c>
      <c r="IP165" s="996">
        <v>0.85522799999999854</v>
      </c>
      <c r="IQ165" s="1006"/>
      <c r="IR165" s="996">
        <v>0</v>
      </c>
      <c r="IS165" s="1006"/>
      <c r="IT165" s="996">
        <v>0</v>
      </c>
      <c r="IU165" s="1006"/>
      <c r="IV165" s="996">
        <v>0</v>
      </c>
      <c r="IW165" s="1006" t="s">
        <v>204</v>
      </c>
      <c r="IX165" s="996">
        <v>2.8850360000000013</v>
      </c>
      <c r="IY165" s="1006"/>
      <c r="IZ165" s="996">
        <v>0</v>
      </c>
      <c r="JA165" s="1006"/>
      <c r="JB165" s="996">
        <v>0</v>
      </c>
      <c r="JC165" s="1006"/>
      <c r="JD165" s="996">
        <v>0</v>
      </c>
      <c r="JE165" s="1006"/>
      <c r="JF165" s="996">
        <v>0</v>
      </c>
      <c r="JG165" s="1006"/>
      <c r="JH165" s="996">
        <v>0</v>
      </c>
      <c r="JI165" s="1006"/>
      <c r="JJ165" s="996">
        <v>0</v>
      </c>
      <c r="JK165" s="1007"/>
      <c r="JL165" s="1007">
        <v>0</v>
      </c>
      <c r="JM165" s="1007"/>
      <c r="JN165" s="1007">
        <v>0</v>
      </c>
      <c r="JO165" s="1008"/>
      <c r="JP165" s="1007">
        <v>0</v>
      </c>
      <c r="JQ165" s="1008">
        <v>0</v>
      </c>
      <c r="JR165" s="1007">
        <v>0</v>
      </c>
      <c r="JS165" s="1008">
        <v>0</v>
      </c>
      <c r="JT165" s="1007">
        <v>0</v>
      </c>
      <c r="JU165" s="1008"/>
      <c r="JV165" s="1007">
        <v>0</v>
      </c>
      <c r="JW165" s="1008" t="s">
        <v>197</v>
      </c>
      <c r="JX165" s="1007">
        <v>0</v>
      </c>
      <c r="JY165" s="1008"/>
      <c r="JZ165" s="1007">
        <v>0</v>
      </c>
      <c r="KA165" s="1008"/>
      <c r="KB165" s="1007">
        <v>0</v>
      </c>
      <c r="KC165" s="1008"/>
      <c r="KD165" s="1007">
        <v>0</v>
      </c>
      <c r="KE165" s="1008"/>
      <c r="KF165" s="1007">
        <v>0</v>
      </c>
      <c r="KG165" s="1008"/>
      <c r="KH165" s="1007">
        <v>0</v>
      </c>
      <c r="KI165" s="1008"/>
      <c r="KJ165" s="1007">
        <v>0</v>
      </c>
      <c r="KK165" s="1008"/>
      <c r="KL165" s="1007">
        <v>0</v>
      </c>
      <c r="KM165" s="1008"/>
      <c r="KN165" s="1007">
        <v>0</v>
      </c>
      <c r="KO165" s="1008"/>
      <c r="KP165" s="1007">
        <v>0</v>
      </c>
      <c r="KQ165" s="1008">
        <v>0</v>
      </c>
      <c r="KR165" s="1007">
        <v>0</v>
      </c>
      <c r="KS165" s="1008">
        <v>0</v>
      </c>
      <c r="KT165" s="1007">
        <v>0</v>
      </c>
      <c r="KU165" s="1008">
        <v>0</v>
      </c>
      <c r="KV165" s="1007">
        <v>0</v>
      </c>
      <c r="KW165" s="1008">
        <v>0</v>
      </c>
      <c r="KX165" s="1007">
        <v>0</v>
      </c>
      <c r="KY165" s="1008">
        <v>0</v>
      </c>
      <c r="KZ165" s="1007">
        <v>0</v>
      </c>
      <c r="LA165" s="1008">
        <v>0</v>
      </c>
      <c r="LB165" s="1007">
        <v>0</v>
      </c>
      <c r="LC165" s="1008">
        <v>0</v>
      </c>
      <c r="LD165" s="1007">
        <v>0</v>
      </c>
      <c r="LE165" s="1008">
        <v>0</v>
      </c>
      <c r="LF165" s="1007">
        <v>0</v>
      </c>
      <c r="LG165" s="1008">
        <v>0</v>
      </c>
      <c r="LH165" s="1007">
        <v>0</v>
      </c>
      <c r="LI165" s="1008">
        <v>0</v>
      </c>
      <c r="LJ165" s="1007">
        <v>0</v>
      </c>
      <c r="LK165" s="1008">
        <v>0</v>
      </c>
      <c r="LL165" s="1007">
        <v>0</v>
      </c>
      <c r="LM165" s="1008">
        <v>0</v>
      </c>
      <c r="LN165" s="1007">
        <v>0</v>
      </c>
      <c r="LO165" s="1008">
        <v>0</v>
      </c>
      <c r="LP165" s="1007">
        <v>0</v>
      </c>
      <c r="LQ165" s="1008">
        <v>0</v>
      </c>
      <c r="LR165" s="1007">
        <v>0</v>
      </c>
      <c r="LS165" s="1008">
        <v>0</v>
      </c>
      <c r="LT165" s="1007">
        <v>0</v>
      </c>
      <c r="LU165" s="1008">
        <v>0</v>
      </c>
      <c r="LV165" s="1007">
        <v>0</v>
      </c>
      <c r="LW165" s="1008">
        <v>0</v>
      </c>
      <c r="LX165" s="1007">
        <v>0</v>
      </c>
      <c r="LY165" s="1009">
        <v>0</v>
      </c>
      <c r="LZ165" s="1010">
        <v>0</v>
      </c>
      <c r="MA165" s="1011">
        <v>0</v>
      </c>
      <c r="MB165" s="1012">
        <v>0</v>
      </c>
      <c r="MC165" s="995"/>
      <c r="MD165" s="996"/>
      <c r="ME165" s="997" t="s">
        <v>238</v>
      </c>
      <c r="MF165" s="997">
        <f>CN165-CA165</f>
        <v>-98</v>
      </c>
      <c r="MG165" s="998"/>
      <c r="NR165" s="1000"/>
      <c r="NS165" s="1000"/>
      <c r="NT165" s="1001"/>
      <c r="NU165" s="1000"/>
      <c r="NV165" s="1001"/>
      <c r="NX165" s="1002"/>
      <c r="NZ165" s="1001"/>
      <c r="OA165" s="1001"/>
      <c r="OC165" s="1003"/>
      <c r="OD165" s="1003"/>
      <c r="OE165" s="1001"/>
      <c r="OF165" s="1003"/>
      <c r="OG165" s="1003"/>
      <c r="ASU165" s="999" t="s">
        <v>582</v>
      </c>
    </row>
    <row r="166" spans="1:466 1191:1191" ht="21" customHeight="1" x14ac:dyDescent="0.25">
      <c r="A166" s="982" t="str">
        <f t="shared" si="104"/>
        <v>1065-2</v>
      </c>
      <c r="B166" s="124">
        <f>SUBTOTAL(103,$J$29:J166)</f>
        <v>138</v>
      </c>
      <c r="C166" s="126">
        <v>45068</v>
      </c>
      <c r="D166" s="124" t="s">
        <v>176</v>
      </c>
      <c r="E166" s="127" t="s">
        <v>177</v>
      </c>
      <c r="F166" s="128" t="s">
        <v>177</v>
      </c>
      <c r="G166" s="127" t="s">
        <v>178</v>
      </c>
      <c r="H166" s="127" t="s">
        <v>179</v>
      </c>
      <c r="I166" s="127" t="s">
        <v>663</v>
      </c>
      <c r="J166" s="129" t="s">
        <v>843</v>
      </c>
      <c r="K166" s="127" t="s">
        <v>663</v>
      </c>
      <c r="L166" s="130">
        <v>41786</v>
      </c>
      <c r="M166" s="127" t="s">
        <v>230</v>
      </c>
      <c r="N166" s="127" t="s">
        <v>184</v>
      </c>
      <c r="O166" s="127" t="s">
        <v>185</v>
      </c>
      <c r="P166" s="127" t="s">
        <v>292</v>
      </c>
      <c r="Q166" s="85" t="str">
        <f t="shared" ref="Q166:Q204" si="133">IF(R166="","",-4)</f>
        <v/>
      </c>
      <c r="R166" s="130"/>
      <c r="S166" s="128"/>
      <c r="T166" s="131"/>
      <c r="U166" s="132">
        <v>203</v>
      </c>
      <c r="V166" s="121">
        <v>218.2</v>
      </c>
      <c r="W166" s="116">
        <v>0.98</v>
      </c>
      <c r="X166" s="116">
        <v>1.66</v>
      </c>
      <c r="Y166" s="116">
        <f t="shared" si="86"/>
        <v>0.99301689618126765</v>
      </c>
      <c r="Z166" s="133">
        <v>1.454</v>
      </c>
      <c r="AA166" s="133">
        <v>0.83599999999999997</v>
      </c>
      <c r="AB166" s="133">
        <v>0.72</v>
      </c>
      <c r="AC166" s="121">
        <v>34.299999999999997</v>
      </c>
      <c r="AD166" s="134">
        <v>1.17</v>
      </c>
      <c r="AE166" s="124">
        <v>177.8</v>
      </c>
      <c r="AF166" s="128">
        <v>9.19</v>
      </c>
      <c r="AG166" s="128">
        <v>2139</v>
      </c>
      <c r="AH166" s="127">
        <v>2960</v>
      </c>
      <c r="AI166" s="127">
        <v>2960</v>
      </c>
      <c r="AJ166" s="135"/>
      <c r="AK166" s="128"/>
      <c r="AL166" s="131"/>
      <c r="AM166" s="124" t="s">
        <v>232</v>
      </c>
      <c r="AN166" s="136" t="s">
        <v>844</v>
      </c>
      <c r="AO166" s="137">
        <v>17</v>
      </c>
      <c r="AP166" s="128">
        <v>2139</v>
      </c>
      <c r="AQ166" s="128">
        <v>324</v>
      </c>
      <c r="AR166" s="128"/>
      <c r="AS166" s="128"/>
      <c r="AT166" s="122"/>
      <c r="AU166" s="124" t="s">
        <v>189</v>
      </c>
      <c r="AV166" s="115">
        <f>VLOOKUP(J166,'[63]ТР нефть'!$J$28:$BP$638,39,0)</f>
        <v>324.99999492199998</v>
      </c>
      <c r="AW166" s="115" t="str">
        <f>VLOOKUP(J166,'[63]ТР нефть'!$J$28:$BP$638,40,0)</f>
        <v>ГП</v>
      </c>
      <c r="AX166" s="115">
        <f>VLOOKUP(J166,'[63]ТР нефть'!$J$28:$BP$638,41,0)</f>
        <v>635.00004960900003</v>
      </c>
      <c r="AY166" s="115" t="str">
        <f>VLOOKUP(J166,'[63]ТР нефть'!$J$28:$BP$638,42,0)</f>
        <v>ГП</v>
      </c>
      <c r="AZ166" s="115">
        <f>VLOOKUP(J166,'[63]ТР нефть'!$J$28:$BP$638,43,0)</f>
        <v>960.00004453099996</v>
      </c>
      <c r="BA166" s="115" t="str">
        <f>VLOOKUP(J166,'[63]ТР нефть'!$J$28:$BP$638,44,0)</f>
        <v>ГП</v>
      </c>
      <c r="BB166" s="115">
        <f>VLOOKUP(J166,'[63]ТР нефть'!$J$28:$BP$638,45,0)</f>
        <v>1290.000069141</v>
      </c>
      <c r="BC166" s="115" t="str">
        <f>VLOOKUP(J166,'[63]ТР нефть'!$J$28:$BP$638,46,0)</f>
        <v>ГК 77 1/8</v>
      </c>
      <c r="BD166" s="115">
        <f>VLOOKUP(J166,'[63]ТР нефть'!$J$28:$BP$638,47,0)</f>
        <v>1549.9999757810001</v>
      </c>
      <c r="BE166" s="115" t="str">
        <f>VLOOKUP(J166,'[63]ТР нефть'!$J$28:$BP$638,48,0)</f>
        <v>ГК 77 1/8</v>
      </c>
      <c r="BF166" s="115" t="str">
        <f>VLOOKUP(J166,'[63]ТР нефть'!$J$28:$BP$638,49,0)</f>
        <v>-</v>
      </c>
      <c r="BG166" s="115" t="str">
        <f>VLOOKUP(J166,'[63]ТР нефть'!$J$28:$BP$638,50,0)</f>
        <v>-</v>
      </c>
      <c r="BH166" s="115">
        <f>VLOOKUP(J166,'[63]ТР нефть'!$J$28:$BP$638,51,0)</f>
        <v>1750</v>
      </c>
      <c r="BI166" s="115" t="str">
        <f>VLOOKUP(J166,'[63]ТР нефть'!$J$28:$BP$638,52,0)</f>
        <v>закрыт</v>
      </c>
      <c r="BJ166" s="115" t="str">
        <f>IF(IFERROR(VLOOKUP(J166,'[63]ТР нефть'!$J$28:$BP$638,53,0),"-")=0,"-",IFERROR(VLOOKUP(J166,'[63]ТР нефть'!$J$28:$BP$638,53,0),"-"))</f>
        <v>-</v>
      </c>
      <c r="BK166" s="138" t="str">
        <f>IF(IFERROR(VLOOKUP(J166,'[63]ТР нефть'!$J$28:$BP$638,54,0),"-")=0,"-",IFERROR(VLOOKUP(J166,'[63]ТР нефть'!$J$28:$BP$638,54,0),"-"))</f>
        <v>-</v>
      </c>
      <c r="BL166" s="138" t="str">
        <f>IF(IFERROR(VLOOKUP(J166,'[63]ТР нефть'!$J$28:$BP$638,55,0),"-")=0,"-",IFERROR(VLOOKUP(J166,'[63]ТР нефть'!$J$28:$BP$638,55,0),"-"))</f>
        <v>-</v>
      </c>
      <c r="BM166" s="138" t="str">
        <f>IF(IFERROR(VLOOKUP(J166,'[63]ТР нефть'!$J$28:$BP$638,56,0),"-")=0,"-",IFERROR(VLOOKUP(J166,'[63]ТР нефть'!$J$28:$BP$638,56,0),"-"))</f>
        <v>-</v>
      </c>
      <c r="BN166" s="138" t="str">
        <f>IF(IFERROR(VLOOKUP(J166,'[63]ТР нефть'!$J$28:$BP$638,57,0),"-")=0,"-",IFERROR(VLOOKUP(J166,'[63]ТР нефть'!$J$28:$BP$638,57,0),"-"))</f>
        <v>-</v>
      </c>
      <c r="BO166" s="115" t="str">
        <f>IF(IFERROR(VLOOKUP(J166,'[63]ТР нефть'!$J$28:$BP$638,58,0),"-")=0,"-",IFERROR(VLOOKUP(J166,'[63]ТР нефть'!$J$28:$BP$638,58,0),"-"))</f>
        <v>-</v>
      </c>
      <c r="BP166" s="115" t="str">
        <f>IF(IFERROR(VLOOKUP(J166,'[63]ТР нефть'!$J$28:$BP$638,59,0),"-")=0,"-",IFERROR(VLOOKUP(J166,'[63]ТР нефть'!$J$28:$BP$638,59,0),"-"))</f>
        <v>-</v>
      </c>
      <c r="BQ166" s="138">
        <v>2100</v>
      </c>
      <c r="BR166" s="128">
        <v>1801.4</v>
      </c>
      <c r="BS166" s="115">
        <f t="shared" si="105"/>
        <v>298.59999999999991</v>
      </c>
      <c r="BT166" s="128">
        <v>73</v>
      </c>
      <c r="BU166" s="128">
        <v>5.5</v>
      </c>
      <c r="BV166" s="127">
        <v>18</v>
      </c>
      <c r="BW166" s="127" t="s">
        <v>194</v>
      </c>
      <c r="BX166" s="127" t="s">
        <v>218</v>
      </c>
      <c r="BY166" s="139">
        <v>24</v>
      </c>
      <c r="BZ166" s="139">
        <v>72</v>
      </c>
      <c r="CA166" s="138">
        <v>28</v>
      </c>
      <c r="CB166" s="138">
        <v>38</v>
      </c>
      <c r="CC166" s="138">
        <v>27</v>
      </c>
      <c r="CD166" s="135">
        <v>45017</v>
      </c>
      <c r="CE166" s="138">
        <v>113</v>
      </c>
      <c r="CF166" s="138">
        <v>74</v>
      </c>
      <c r="CG166" s="138" t="str">
        <f t="shared" si="132"/>
        <v>В работе</v>
      </c>
      <c r="CH166" s="138" t="s">
        <v>196</v>
      </c>
      <c r="CI166" s="138">
        <v>5</v>
      </c>
      <c r="CJ166" s="139"/>
      <c r="CK166" s="139">
        <f t="shared" si="101"/>
        <v>45</v>
      </c>
      <c r="CL166" s="99"/>
      <c r="CM166" s="99"/>
      <c r="CN166" s="140">
        <v>73</v>
      </c>
      <c r="CO166" s="141">
        <f t="shared" si="106"/>
        <v>1.0985541599999997</v>
      </c>
      <c r="CP166" s="142">
        <f>5.43/4</f>
        <v>1.3574999999999999</v>
      </c>
      <c r="CQ166" s="143">
        <v>3.2</v>
      </c>
      <c r="CR166" s="138">
        <f>9.7/4</f>
        <v>2.4249999999999998</v>
      </c>
      <c r="CS166" s="139">
        <f>9/4</f>
        <v>2.25</v>
      </c>
      <c r="CT166" s="138"/>
      <c r="CU166" s="138">
        <f t="shared" ref="CU166:CU204" si="134">IF(CR166&lt;&gt;"0",CR166-CS166,"0")</f>
        <v>0.17499999999999982</v>
      </c>
      <c r="CV166" s="115">
        <f t="shared" ref="CV166:CV204" si="135">(CR166-CS166)*1000/CO166</f>
        <v>159.30029339654939</v>
      </c>
      <c r="CW166" s="115">
        <f t="shared" si="109"/>
        <v>1958.4671271031589</v>
      </c>
      <c r="CX166" s="133">
        <f t="shared" ref="CX166:CX204" si="136">IF(CP166&lt;&gt;0,CP166/(CE166-CN166),0)</f>
        <v>3.3937499999999995E-2</v>
      </c>
      <c r="CY166" s="116"/>
      <c r="CZ166" s="131"/>
      <c r="DA166" s="145" t="str">
        <f t="shared" si="111"/>
        <v>Газлифт</v>
      </c>
      <c r="DB166" s="146">
        <f t="shared" si="112"/>
        <v>1.0985541599999997</v>
      </c>
      <c r="DC166" s="142">
        <f t="shared" si="113"/>
        <v>1.3574999999999999</v>
      </c>
      <c r="DD166" s="119">
        <f t="shared" si="114"/>
        <v>3.2</v>
      </c>
      <c r="DE166" s="115">
        <f t="shared" si="115"/>
        <v>0.17499999999999982</v>
      </c>
      <c r="DF166" s="121">
        <f t="shared" si="116"/>
        <v>2.25</v>
      </c>
      <c r="DG166" s="115">
        <f t="shared" si="117"/>
        <v>159.30029339654939</v>
      </c>
      <c r="DH166" s="115">
        <f t="shared" si="118"/>
        <v>73</v>
      </c>
      <c r="DI166" s="147"/>
      <c r="DJ166" s="111" t="s">
        <v>197</v>
      </c>
      <c r="DK166" s="112">
        <v>42124</v>
      </c>
      <c r="DL166" s="113">
        <f t="shared" ca="1" si="87"/>
        <v>2980</v>
      </c>
      <c r="DM166" s="114"/>
      <c r="DN166" s="114"/>
      <c r="DO166" s="114"/>
      <c r="DP166" s="114"/>
      <c r="DQ166" s="112">
        <v>42377</v>
      </c>
      <c r="DR166" s="114" t="s">
        <v>198</v>
      </c>
      <c r="DS166" s="114">
        <v>0</v>
      </c>
      <c r="DT166" s="115">
        <v>60</v>
      </c>
      <c r="DU166" s="116">
        <f t="shared" si="88"/>
        <v>3.1878281796966154E-2</v>
      </c>
      <c r="DV166" s="117">
        <f t="shared" si="89"/>
        <v>1.3672640967444571</v>
      </c>
      <c r="DW166" s="118">
        <f t="shared" si="90"/>
        <v>1.6895489352392061</v>
      </c>
      <c r="DX166" s="119">
        <f t="shared" si="119"/>
        <v>3.2</v>
      </c>
      <c r="DY166" s="115">
        <f t="shared" si="91"/>
        <v>0.21780557176196014</v>
      </c>
      <c r="DZ166" s="117">
        <f t="shared" si="92"/>
        <v>0.26870993674445742</v>
      </c>
      <c r="EA166" s="120">
        <f t="shared" si="92"/>
        <v>0.3320489352392062</v>
      </c>
      <c r="EB166" s="119">
        <f t="shared" si="92"/>
        <v>0</v>
      </c>
      <c r="EC166" s="121">
        <f t="shared" si="93"/>
        <v>4.2805571761960315E-2</v>
      </c>
      <c r="ED166" s="122"/>
      <c r="EE166" s="145">
        <v>18</v>
      </c>
      <c r="EF166" s="115">
        <v>25</v>
      </c>
      <c r="EG166" s="115">
        <v>49</v>
      </c>
      <c r="EH166" s="115">
        <v>24</v>
      </c>
      <c r="EI166" s="128" t="s">
        <v>218</v>
      </c>
      <c r="EJ166" s="121">
        <v>24</v>
      </c>
      <c r="EK166" s="121">
        <v>72</v>
      </c>
      <c r="EL166" s="149">
        <v>1.0985541599999997</v>
      </c>
      <c r="EM166" s="142">
        <v>1.3574999999999999</v>
      </c>
      <c r="EN166" s="119">
        <v>3.2</v>
      </c>
      <c r="EO166" s="115">
        <v>2.4249999999999998</v>
      </c>
      <c r="EP166" s="115">
        <v>159.30029339654939</v>
      </c>
      <c r="EQ166" s="115">
        <v>73</v>
      </c>
      <c r="ER166" s="115">
        <v>2.25</v>
      </c>
      <c r="ES166" s="115">
        <v>70</v>
      </c>
      <c r="ET166" s="150">
        <v>3.1569767441860463E-2</v>
      </c>
      <c r="EU166" s="145">
        <f t="shared" si="120"/>
        <v>18</v>
      </c>
      <c r="EV166" s="115">
        <f t="shared" si="121"/>
        <v>28</v>
      </c>
      <c r="EW166" s="115">
        <f t="shared" si="121"/>
        <v>38</v>
      </c>
      <c r="EX166" s="115">
        <f t="shared" si="121"/>
        <v>27</v>
      </c>
      <c r="EY166" s="115" t="str">
        <f t="shared" si="122"/>
        <v>Периодический</v>
      </c>
      <c r="EZ166" s="115">
        <f t="shared" si="122"/>
        <v>24</v>
      </c>
      <c r="FA166" s="115">
        <f t="shared" si="122"/>
        <v>72</v>
      </c>
      <c r="FB166" s="149">
        <f t="shared" si="123"/>
        <v>1.0985541599999997</v>
      </c>
      <c r="FC166" s="142">
        <f t="shared" si="123"/>
        <v>1.3574999999999999</v>
      </c>
      <c r="FD166" s="119">
        <f t="shared" si="123"/>
        <v>3.2</v>
      </c>
      <c r="FE166" s="121">
        <f t="shared" si="103"/>
        <v>2.4249999999999998</v>
      </c>
      <c r="FF166" s="121">
        <f t="shared" si="94"/>
        <v>159.30029339654939</v>
      </c>
      <c r="FG166" s="121">
        <f t="shared" si="124"/>
        <v>74</v>
      </c>
      <c r="FH166" s="121">
        <f t="shared" si="95"/>
        <v>2.25</v>
      </c>
      <c r="FI166" s="121">
        <f t="shared" si="131"/>
        <v>73</v>
      </c>
      <c r="FJ166" s="144">
        <f t="shared" si="125"/>
        <v>3.3937499999999995E-2</v>
      </c>
      <c r="FK166" s="132">
        <f t="shared" si="126"/>
        <v>0</v>
      </c>
      <c r="FL166" s="115">
        <f t="shared" si="126"/>
        <v>3</v>
      </c>
      <c r="FM166" s="115">
        <f t="shared" si="126"/>
        <v>-11</v>
      </c>
      <c r="FN166" s="115">
        <f t="shared" si="126"/>
        <v>3</v>
      </c>
      <c r="FO166" s="115">
        <f t="shared" si="100"/>
        <v>0</v>
      </c>
      <c r="FP166" s="115">
        <f t="shared" si="100"/>
        <v>0</v>
      </c>
      <c r="FQ166" s="149">
        <f t="shared" si="100"/>
        <v>0</v>
      </c>
      <c r="FR166" s="142">
        <f t="shared" si="100"/>
        <v>0</v>
      </c>
      <c r="FS166" s="119">
        <f t="shared" si="100"/>
        <v>0</v>
      </c>
      <c r="FT166" s="121">
        <f t="shared" si="100"/>
        <v>0</v>
      </c>
      <c r="FU166" s="121">
        <f t="shared" si="127"/>
        <v>1</v>
      </c>
      <c r="FV166" s="121">
        <f t="shared" si="127"/>
        <v>0</v>
      </c>
      <c r="FW166" s="121">
        <f t="shared" si="128"/>
        <v>0</v>
      </c>
      <c r="FX166" s="121">
        <f t="shared" si="129"/>
        <v>3</v>
      </c>
      <c r="FY166" s="144">
        <f t="shared" si="129"/>
        <v>2.367732558139532E-3</v>
      </c>
      <c r="FZ166" s="145"/>
      <c r="GA166" s="125"/>
      <c r="GB166" s="145"/>
      <c r="GC166" s="125"/>
      <c r="GD166" s="997" t="s">
        <v>202</v>
      </c>
      <c r="GE166" s="1004"/>
      <c r="GF166" s="1004">
        <v>-9.546284000000016E-2</v>
      </c>
      <c r="GG166" s="1004"/>
      <c r="GH166" s="1004">
        <v>0</v>
      </c>
      <c r="GI166" s="145"/>
      <c r="GJ166" s="996">
        <v>0</v>
      </c>
      <c r="GK166" s="145"/>
      <c r="GL166" s="996">
        <v>0</v>
      </c>
      <c r="GM166" s="1005"/>
      <c r="GN166" s="996">
        <v>0</v>
      </c>
      <c r="GO166" s="1006"/>
      <c r="GP166" s="996">
        <v>0</v>
      </c>
      <c r="GQ166" s="1006"/>
      <c r="GR166" s="996">
        <v>0</v>
      </c>
      <c r="GS166" s="1006"/>
      <c r="GT166" s="996">
        <v>0</v>
      </c>
      <c r="GU166" s="1006"/>
      <c r="GV166" s="996">
        <v>0</v>
      </c>
      <c r="GW166" s="1006"/>
      <c r="GX166" s="996">
        <v>0.27625619999999984</v>
      </c>
      <c r="GY166" s="1006"/>
      <c r="GZ166" s="996">
        <v>0</v>
      </c>
      <c r="HA166" s="1006" t="s">
        <v>204</v>
      </c>
      <c r="HB166" s="996">
        <v>0.83432800000000007</v>
      </c>
      <c r="HC166" s="1006" t="s">
        <v>241</v>
      </c>
      <c r="HD166" s="996">
        <v>0</v>
      </c>
      <c r="HE166" s="1006"/>
      <c r="HF166" s="996">
        <v>0</v>
      </c>
      <c r="HG166" s="1006" t="s">
        <v>199</v>
      </c>
      <c r="HH166" s="996">
        <v>-2.7589671999999994</v>
      </c>
      <c r="HI166" s="1006"/>
      <c r="HJ166" s="996">
        <v>0</v>
      </c>
      <c r="HK166" s="1006"/>
      <c r="HL166" s="996">
        <v>0</v>
      </c>
      <c r="HM166" s="1006"/>
      <c r="HN166" s="996">
        <v>0</v>
      </c>
      <c r="HO166" s="1006" t="s">
        <v>203</v>
      </c>
      <c r="HP166" s="996">
        <v>-1.8754824000000001</v>
      </c>
      <c r="HQ166" s="1006"/>
      <c r="HR166" s="996">
        <v>0.6730602560000003</v>
      </c>
      <c r="HS166" s="1006" t="s">
        <v>643</v>
      </c>
      <c r="HT166" s="996">
        <v>0</v>
      </c>
      <c r="HU166" s="1006" t="s">
        <v>25</v>
      </c>
      <c r="HV166" s="996">
        <v>1.9130221439999997</v>
      </c>
      <c r="HW166" s="1006"/>
      <c r="HX166" s="996">
        <v>0</v>
      </c>
      <c r="HY166" s="1006"/>
      <c r="HZ166" s="996">
        <v>0</v>
      </c>
      <c r="IA166" s="1006" t="s">
        <v>199</v>
      </c>
      <c r="IB166" s="996">
        <v>-2.6835599999999995</v>
      </c>
      <c r="IC166" s="1006" t="s">
        <v>199</v>
      </c>
      <c r="ID166" s="996">
        <v>-2.8740208640000011</v>
      </c>
      <c r="IE166" s="1006" t="s">
        <v>221</v>
      </c>
      <c r="IF166" s="996">
        <v>7.6893808640000003</v>
      </c>
      <c r="IG166" s="1006"/>
      <c r="IH166" s="996">
        <v>0</v>
      </c>
      <c r="II166" s="1006"/>
      <c r="IJ166" s="996">
        <v>0</v>
      </c>
      <c r="IK166" s="1006"/>
      <c r="IL166" s="996">
        <v>0</v>
      </c>
      <c r="IM166" s="1006"/>
      <c r="IN166" s="996">
        <v>0</v>
      </c>
      <c r="IO166" s="1006"/>
      <c r="IP166" s="996">
        <v>0</v>
      </c>
      <c r="IQ166" s="1006"/>
      <c r="IR166" s="996">
        <v>0</v>
      </c>
      <c r="IS166" s="1006"/>
      <c r="IT166" s="996">
        <v>0</v>
      </c>
      <c r="IU166" s="1006"/>
      <c r="IV166" s="996" t="e">
        <v>#VALUE!</v>
      </c>
      <c r="IW166" s="1006"/>
      <c r="IX166" s="996" t="e">
        <v>#VALUE!</v>
      </c>
      <c r="IY166" s="1006"/>
      <c r="IZ166" s="996">
        <v>0</v>
      </c>
      <c r="JA166" s="1006"/>
      <c r="JB166" s="996">
        <v>0</v>
      </c>
      <c r="JC166" s="1006"/>
      <c r="JD166" s="996" t="e">
        <v>#VALUE!</v>
      </c>
      <c r="JE166" s="1006"/>
      <c r="JF166" s="996">
        <v>0</v>
      </c>
      <c r="JG166" s="1006"/>
      <c r="JH166" s="996">
        <v>0</v>
      </c>
      <c r="JI166" s="1006"/>
      <c r="JJ166" s="996">
        <v>0</v>
      </c>
      <c r="JK166" s="1007"/>
      <c r="JL166" s="1007">
        <v>0</v>
      </c>
      <c r="JM166" s="1007"/>
      <c r="JN166" s="1007">
        <v>0</v>
      </c>
      <c r="JO166" s="1008"/>
      <c r="JP166" s="1007">
        <v>0</v>
      </c>
      <c r="JQ166" s="1008">
        <v>0</v>
      </c>
      <c r="JR166" s="1007">
        <v>0</v>
      </c>
      <c r="JS166" s="1008">
        <v>0</v>
      </c>
      <c r="JT166" s="1007">
        <v>0</v>
      </c>
      <c r="JU166" s="1008"/>
      <c r="JV166" s="1007">
        <v>0</v>
      </c>
      <c r="JW166" s="1008" t="s">
        <v>197</v>
      </c>
      <c r="JX166" s="1007">
        <v>0</v>
      </c>
      <c r="JY166" s="1008"/>
      <c r="JZ166" s="1007">
        <v>0</v>
      </c>
      <c r="KA166" s="1008"/>
      <c r="KB166" s="1007">
        <v>0</v>
      </c>
      <c r="KC166" s="1008"/>
      <c r="KD166" s="1007">
        <v>0</v>
      </c>
      <c r="KE166" s="1008"/>
      <c r="KF166" s="1007">
        <v>0</v>
      </c>
      <c r="KG166" s="1008"/>
      <c r="KH166" s="1007">
        <v>-3.45268</v>
      </c>
      <c r="KI166" s="1008"/>
      <c r="KJ166" s="1007">
        <v>0</v>
      </c>
      <c r="KK166" s="1008"/>
      <c r="KL166" s="1007">
        <v>0</v>
      </c>
      <c r="KM166" s="1008"/>
      <c r="KN166" s="1007">
        <v>0</v>
      </c>
      <c r="KO166" s="1008"/>
      <c r="KP166" s="1007">
        <v>0</v>
      </c>
      <c r="KQ166" s="1008"/>
      <c r="KR166" s="1007"/>
      <c r="KS166" s="1008"/>
      <c r="KT166" s="1007"/>
      <c r="KU166" s="1008"/>
      <c r="KV166" s="1007" t="s">
        <v>663</v>
      </c>
      <c r="KW166" s="1008"/>
      <c r="KX166" s="1007"/>
      <c r="KY166" s="1008" t="s">
        <v>197</v>
      </c>
      <c r="KZ166" s="1007" t="s">
        <v>197</v>
      </c>
      <c r="LA166" s="1008" t="s">
        <v>197</v>
      </c>
      <c r="LB166" s="1007" t="e">
        <v>#VALUE!</v>
      </c>
      <c r="LC166" s="1008"/>
      <c r="LD166" s="1007" t="e">
        <v>#VALUE!</v>
      </c>
      <c r="LE166" s="1008" t="e">
        <v>#VALUE!</v>
      </c>
      <c r="LF166" s="1007" t="e">
        <v>#VALUE!</v>
      </c>
      <c r="LG166" s="1008" t="e">
        <v>#VALUE!</v>
      </c>
      <c r="LH166" s="1007" t="e">
        <v>#VALUE!</v>
      </c>
      <c r="LI166" s="1008" t="e">
        <v>#VALUE!</v>
      </c>
      <c r="LJ166" s="1007" t="e">
        <v>#VALUE!</v>
      </c>
      <c r="LK166" s="1008" t="e">
        <v>#VALUE!</v>
      </c>
      <c r="LL166" s="1007"/>
      <c r="LM166" s="1008"/>
      <c r="LN166" s="1007"/>
      <c r="LO166" s="1008"/>
      <c r="LP166" s="1007"/>
      <c r="LQ166" s="1008"/>
      <c r="LR166" s="1007"/>
      <c r="LS166" s="1008"/>
      <c r="LT166" s="1007"/>
      <c r="LU166" s="1008"/>
      <c r="LV166" s="1007"/>
      <c r="LW166" s="1008"/>
      <c r="LX166" s="1007"/>
      <c r="LY166" s="1009"/>
      <c r="LZ166" s="1010"/>
      <c r="MA166" s="1011"/>
      <c r="MB166" s="1012"/>
      <c r="MC166" s="995"/>
      <c r="MD166" s="996"/>
      <c r="ME166" s="997" t="s">
        <v>202</v>
      </c>
      <c r="MF166" s="997"/>
      <c r="MG166" s="998"/>
      <c r="NR166" s="1000"/>
      <c r="NS166" s="1000"/>
      <c r="NT166" s="1001"/>
      <c r="NU166" s="1000"/>
      <c r="NV166" s="1001"/>
      <c r="NX166" s="1002"/>
      <c r="NZ166" s="1001"/>
      <c r="OA166" s="1001"/>
      <c r="OC166" s="1003"/>
      <c r="OD166" s="1003"/>
      <c r="OE166" s="1001"/>
      <c r="OF166" s="1003"/>
      <c r="OG166" s="1003"/>
      <c r="QX166" s="1000">
        <f>CN166-CA166</f>
        <v>45</v>
      </c>
      <c r="ASU166" s="999" t="s">
        <v>225</v>
      </c>
    </row>
    <row r="167" spans="1:466 1191:1191" ht="21" customHeight="1" x14ac:dyDescent="0.25">
      <c r="A167" s="982">
        <f t="shared" si="104"/>
        <v>1068</v>
      </c>
      <c r="B167" s="124">
        <f>SUBTOTAL(103,$J$29:J167)</f>
        <v>139</v>
      </c>
      <c r="C167" s="126">
        <v>45068</v>
      </c>
      <c r="D167" s="124" t="s">
        <v>176</v>
      </c>
      <c r="E167" s="127" t="s">
        <v>177</v>
      </c>
      <c r="F167" s="128" t="s">
        <v>177</v>
      </c>
      <c r="G167" s="127" t="s">
        <v>178</v>
      </c>
      <c r="H167" s="127" t="s">
        <v>408</v>
      </c>
      <c r="I167" s="127" t="s">
        <v>684</v>
      </c>
      <c r="J167" s="152">
        <v>1068</v>
      </c>
      <c r="K167" s="127" t="s">
        <v>845</v>
      </c>
      <c r="L167" s="130">
        <v>39269</v>
      </c>
      <c r="M167" s="127" t="s">
        <v>230</v>
      </c>
      <c r="N167" s="127" t="s">
        <v>231</v>
      </c>
      <c r="O167" s="127" t="s">
        <v>185</v>
      </c>
      <c r="P167" s="127" t="s">
        <v>186</v>
      </c>
      <c r="Q167" s="85" t="str">
        <f t="shared" si="133"/>
        <v/>
      </c>
      <c r="R167" s="130"/>
      <c r="S167" s="128" t="s">
        <v>156</v>
      </c>
      <c r="T167" s="131"/>
      <c r="U167" s="132">
        <v>203</v>
      </c>
      <c r="V167" s="121">
        <v>218.2</v>
      </c>
      <c r="W167" s="116">
        <v>0.98</v>
      </c>
      <c r="X167" s="116">
        <v>1.66</v>
      </c>
      <c r="Y167" s="116">
        <f t="shared" si="86"/>
        <v>0.98120581919949812</v>
      </c>
      <c r="Z167" s="133">
        <v>1.454</v>
      </c>
      <c r="AA167" s="133">
        <v>0.83599999999999997</v>
      </c>
      <c r="AB167" s="133">
        <v>0.72</v>
      </c>
      <c r="AC167" s="121">
        <v>34.299999999999997</v>
      </c>
      <c r="AD167" s="134">
        <v>1.17</v>
      </c>
      <c r="AE167" s="124">
        <v>139.69999999999999</v>
      </c>
      <c r="AF167" s="128">
        <v>7.72</v>
      </c>
      <c r="AG167" s="128">
        <v>1945</v>
      </c>
      <c r="AH167" s="127">
        <v>2400</v>
      </c>
      <c r="AI167" s="127">
        <v>2400</v>
      </c>
      <c r="AJ167" s="135"/>
      <c r="AK167" s="128"/>
      <c r="AL167" s="131"/>
      <c r="AM167" s="124" t="s">
        <v>232</v>
      </c>
      <c r="AN167" s="136" t="s">
        <v>846</v>
      </c>
      <c r="AO167" s="137">
        <v>38.39</v>
      </c>
      <c r="AP167" s="128">
        <v>1945</v>
      </c>
      <c r="AQ167" s="128">
        <v>45.82</v>
      </c>
      <c r="AR167" s="128"/>
      <c r="AS167" s="128"/>
      <c r="AT167" s="122"/>
      <c r="AU167" s="124" t="s">
        <v>189</v>
      </c>
      <c r="AV167" s="115">
        <f>VLOOKUP(J167,'[63]ТР нефть'!$J$28:$BP$638,39,0)</f>
        <v>599.99999062500001</v>
      </c>
      <c r="AW167" s="115" t="str">
        <f>VLOOKUP(J167,'[63]ТР нефть'!$J$28:$BP$638,40,0)</f>
        <v>ГП</v>
      </c>
      <c r="AX167" s="115">
        <f>VLOOKUP(J167,'[63]ТР нефть'!$J$28:$BP$638,41,0)</f>
        <v>1199.99998125</v>
      </c>
      <c r="AY167" s="115" t="str">
        <f>VLOOKUP(J167,'[63]ТР нефть'!$J$28:$BP$638,42,0)</f>
        <v>ГК 95 1/8</v>
      </c>
      <c r="AZ167" s="115">
        <f>VLOOKUP(J167,'[63]ТР нефть'!$J$28:$BP$638,43,0)</f>
        <v>1749.999972656</v>
      </c>
      <c r="BA167" s="115" t="str">
        <f>VLOOKUP(J167,'[63]ТР нефть'!$J$28:$BP$638,44,0)</f>
        <v>ЦКсОК 5/16</v>
      </c>
      <c r="BB167" s="115" t="str">
        <f>VLOOKUP(J167,'[63]ТР нефть'!$J$28:$BP$638,45,0)</f>
        <v>-</v>
      </c>
      <c r="BC167" s="115" t="str">
        <f>VLOOKUP(J167,'[63]ТР нефть'!$J$28:$BP$638,46,0)</f>
        <v>-</v>
      </c>
      <c r="BD167" s="115" t="str">
        <f>VLOOKUP(J167,'[63]ТР нефть'!$J$28:$BP$638,47,0)</f>
        <v>-</v>
      </c>
      <c r="BE167" s="115" t="str">
        <f>VLOOKUP(J167,'[63]ТР нефть'!$J$28:$BP$638,48,0)</f>
        <v>-</v>
      </c>
      <c r="BF167" s="115" t="str">
        <f>VLOOKUP(J167,'[63]ТР нефть'!$J$28:$BP$638,49,0)</f>
        <v>-</v>
      </c>
      <c r="BG167" s="115" t="str">
        <f>VLOOKUP(J167,'[63]ТР нефть'!$J$28:$BP$638,50,0)</f>
        <v>-</v>
      </c>
      <c r="BH167" s="115">
        <f>VLOOKUP(J167,'[63]ТР нефть'!$J$28:$BP$638,51,0)</f>
        <v>1760</v>
      </c>
      <c r="BI167" s="115" t="str">
        <f>VLOOKUP(J167,'[63]ТР нефть'!$J$28:$BP$638,52,0)</f>
        <v>закрыт</v>
      </c>
      <c r="BJ167" s="115" t="str">
        <f>IF(IFERROR(VLOOKUP(J167,'[63]ТР нефть'!$J$28:$BP$638,53,0),"-")=0,"-",IFERROR(VLOOKUP(J167,'[63]ТР нефть'!$J$28:$BP$638,53,0),"-"))</f>
        <v>-</v>
      </c>
      <c r="BK167" s="138" t="str">
        <f>IF(IFERROR(VLOOKUP(J167,'[63]ТР нефть'!$J$28:$BP$638,54,0),"-")=0,"-",IFERROR(VLOOKUP(J167,'[63]ТР нефть'!$J$28:$BP$638,54,0),"-"))</f>
        <v>-</v>
      </c>
      <c r="BL167" s="138" t="str">
        <f>IF(IFERROR(VLOOKUP(J167,'[63]ТР нефть'!$J$28:$BP$638,55,0),"-")=0,"-",IFERROR(VLOOKUP(J167,'[63]ТР нефть'!$J$28:$BP$638,55,0),"-"))</f>
        <v>-</v>
      </c>
      <c r="BM167" s="138" t="str">
        <f>IF(IFERROR(VLOOKUP(J167,'[63]ТР нефть'!$J$28:$BP$638,56,0),"-")=0,"-",IFERROR(VLOOKUP(J167,'[63]ТР нефть'!$J$28:$BP$638,56,0),"-"))</f>
        <v>-</v>
      </c>
      <c r="BN167" s="138" t="str">
        <f>IF(IFERROR(VLOOKUP(J167,'[63]ТР нефть'!$J$28:$BP$638,57,0),"-")=0,"-",IFERROR(VLOOKUP(J167,'[63]ТР нефть'!$J$28:$BP$638,57,0),"-"))</f>
        <v>-</v>
      </c>
      <c r="BO167" s="115" t="str">
        <f>IF(IFERROR(VLOOKUP(J167,'[63]ТР нефть'!$J$28:$BP$638,58,0),"-")=0,"-",IFERROR(VLOOKUP(J167,'[63]ТР нефть'!$J$28:$BP$638,58,0),"-"))</f>
        <v>-</v>
      </c>
      <c r="BP167" s="115" t="str">
        <f>IF(IFERROR(VLOOKUP(J167,'[63]ТР нефть'!$J$28:$BP$638,59,0),"-")=0,"-",IFERROR(VLOOKUP(J167,'[63]ТР нефть'!$J$28:$BP$638,59,0),"-"))</f>
        <v>-</v>
      </c>
      <c r="BQ167" s="138">
        <v>1945</v>
      </c>
      <c r="BR167" s="128">
        <v>1832.1</v>
      </c>
      <c r="BS167" s="115">
        <f t="shared" si="105"/>
        <v>112.90000000000009</v>
      </c>
      <c r="BT167" s="128">
        <v>73</v>
      </c>
      <c r="BU167" s="128">
        <v>5.5</v>
      </c>
      <c r="BV167" s="127">
        <v>18</v>
      </c>
      <c r="BW167" s="127" t="s">
        <v>217</v>
      </c>
      <c r="BX167" s="127" t="s">
        <v>195</v>
      </c>
      <c r="BY167" s="139">
        <v>24</v>
      </c>
      <c r="BZ167" s="139">
        <v>0</v>
      </c>
      <c r="CA167" s="138">
        <v>21</v>
      </c>
      <c r="CB167" s="138">
        <v>57</v>
      </c>
      <c r="CC167" s="138">
        <v>19</v>
      </c>
      <c r="CD167" s="135">
        <v>45017</v>
      </c>
      <c r="CE167" s="138">
        <v>75</v>
      </c>
      <c r="CF167" s="138">
        <v>57</v>
      </c>
      <c r="CG167" s="138" t="str">
        <f t="shared" si="132"/>
        <v>В работе</v>
      </c>
      <c r="CH167" s="138" t="s">
        <v>196</v>
      </c>
      <c r="CI167" s="127">
        <v>6</v>
      </c>
      <c r="CJ167" s="138"/>
      <c r="CK167" s="138"/>
      <c r="CL167" s="99"/>
      <c r="CM167" s="99"/>
      <c r="CN167" s="140">
        <v>36</v>
      </c>
      <c r="CO167" s="159">
        <f t="shared" si="106"/>
        <v>10.501999199999998</v>
      </c>
      <c r="CP167" s="160">
        <v>12.6</v>
      </c>
      <c r="CQ167" s="161">
        <v>0.3</v>
      </c>
      <c r="CR167" s="138">
        <v>11.5</v>
      </c>
      <c r="CS167" s="139">
        <v>2.8</v>
      </c>
      <c r="CT167" s="138"/>
      <c r="CU167" s="138">
        <f t="shared" si="134"/>
        <v>8.6999999999999993</v>
      </c>
      <c r="CV167" s="115">
        <f t="shared" si="135"/>
        <v>828.4136986032147</v>
      </c>
      <c r="CW167" s="115">
        <f t="shared" si="109"/>
        <v>265.50925870611496</v>
      </c>
      <c r="CX167" s="133">
        <f t="shared" si="136"/>
        <v>0.32307692307692309</v>
      </c>
      <c r="CY167" s="116"/>
      <c r="CZ167" s="131"/>
      <c r="DA167" s="145" t="str">
        <f t="shared" si="111"/>
        <v>Газлифт</v>
      </c>
      <c r="DB167" s="146">
        <f t="shared" si="112"/>
        <v>10.501999199999998</v>
      </c>
      <c r="DC167" s="142">
        <f t="shared" si="113"/>
        <v>12.6</v>
      </c>
      <c r="DD167" s="119">
        <f t="shared" si="114"/>
        <v>0.3</v>
      </c>
      <c r="DE167" s="115">
        <f t="shared" si="115"/>
        <v>8.6999999999999993</v>
      </c>
      <c r="DF167" s="121">
        <f t="shared" si="116"/>
        <v>2.8</v>
      </c>
      <c r="DG167" s="115">
        <f t="shared" si="117"/>
        <v>828.4136986032147</v>
      </c>
      <c r="DH167" s="115">
        <f t="shared" si="118"/>
        <v>36</v>
      </c>
      <c r="DI167" s="147"/>
      <c r="DJ167" s="111">
        <v>43139</v>
      </c>
      <c r="DK167" s="112">
        <v>43404</v>
      </c>
      <c r="DL167" s="113">
        <f t="shared" ca="1" si="87"/>
        <v>1700</v>
      </c>
      <c r="DM167" s="114"/>
      <c r="DN167" s="114"/>
      <c r="DO167" s="114"/>
      <c r="DP167" s="114"/>
      <c r="DQ167" s="112">
        <v>41875</v>
      </c>
      <c r="DR167" s="114" t="s">
        <v>847</v>
      </c>
      <c r="DS167" s="114"/>
      <c r="DT167" s="115">
        <v>55</v>
      </c>
      <c r="DU167" s="116">
        <f t="shared" si="88"/>
        <v>0.63</v>
      </c>
      <c r="DV167" s="117">
        <f t="shared" si="89"/>
        <v>10.501999199999998</v>
      </c>
      <c r="DW167" s="118">
        <f t="shared" si="90"/>
        <v>12.6</v>
      </c>
      <c r="DX167" s="119">
        <f t="shared" si="119"/>
        <v>0.3</v>
      </c>
      <c r="DY167" s="115">
        <f t="shared" si="91"/>
        <v>8.6999999999999993</v>
      </c>
      <c r="DZ167" s="117">
        <f t="shared" si="92"/>
        <v>0</v>
      </c>
      <c r="EA167" s="120">
        <f t="shared" si="92"/>
        <v>0</v>
      </c>
      <c r="EB167" s="119">
        <f t="shared" si="92"/>
        <v>0</v>
      </c>
      <c r="EC167" s="121">
        <f t="shared" si="93"/>
        <v>0</v>
      </c>
      <c r="ED167" s="122"/>
      <c r="EE167" s="145">
        <v>18</v>
      </c>
      <c r="EF167" s="115">
        <v>21</v>
      </c>
      <c r="EG167" s="115">
        <v>49</v>
      </c>
      <c r="EH167" s="115">
        <v>20</v>
      </c>
      <c r="EI167" s="128" t="s">
        <v>218</v>
      </c>
      <c r="EJ167" s="121">
        <v>24</v>
      </c>
      <c r="EK167" s="121">
        <v>24</v>
      </c>
      <c r="EL167" s="162">
        <v>6.2095153999999999</v>
      </c>
      <c r="EM167" s="142">
        <v>7.45</v>
      </c>
      <c r="EN167" s="119">
        <v>0.3</v>
      </c>
      <c r="EO167" s="115">
        <v>10.5</v>
      </c>
      <c r="EP167" s="115">
        <v>917.94602844531153</v>
      </c>
      <c r="EQ167" s="115">
        <v>78</v>
      </c>
      <c r="ER167" s="115">
        <v>4.8</v>
      </c>
      <c r="ES167" s="115">
        <v>44</v>
      </c>
      <c r="ET167" s="150">
        <v>0.24032258064516129</v>
      </c>
      <c r="EU167" s="145">
        <f t="shared" si="120"/>
        <v>18</v>
      </c>
      <c r="EV167" s="115">
        <f t="shared" si="121"/>
        <v>21</v>
      </c>
      <c r="EW167" s="115">
        <f t="shared" si="121"/>
        <v>57</v>
      </c>
      <c r="EX167" s="115">
        <f t="shared" si="121"/>
        <v>19</v>
      </c>
      <c r="EY167" s="115" t="str">
        <f t="shared" si="122"/>
        <v>Постоянный</v>
      </c>
      <c r="EZ167" s="115">
        <f t="shared" si="122"/>
        <v>24</v>
      </c>
      <c r="FA167" s="115">
        <f t="shared" si="122"/>
        <v>0</v>
      </c>
      <c r="FB167" s="149">
        <f t="shared" si="123"/>
        <v>10.501999199999998</v>
      </c>
      <c r="FC167" s="142">
        <f t="shared" si="123"/>
        <v>12.6</v>
      </c>
      <c r="FD167" s="119">
        <f t="shared" si="123"/>
        <v>0.3</v>
      </c>
      <c r="FE167" s="121">
        <f t="shared" si="103"/>
        <v>11.5</v>
      </c>
      <c r="FF167" s="121">
        <f t="shared" si="94"/>
        <v>828.4136986032147</v>
      </c>
      <c r="FG167" s="121">
        <f t="shared" si="124"/>
        <v>57</v>
      </c>
      <c r="FH167" s="121">
        <f t="shared" si="95"/>
        <v>2.8</v>
      </c>
      <c r="FI167" s="121">
        <f t="shared" si="131"/>
        <v>36</v>
      </c>
      <c r="FJ167" s="144">
        <f t="shared" si="125"/>
        <v>0.32307692307692309</v>
      </c>
      <c r="FK167" s="132">
        <f t="shared" si="126"/>
        <v>0</v>
      </c>
      <c r="FL167" s="115">
        <f t="shared" si="126"/>
        <v>0</v>
      </c>
      <c r="FM167" s="115">
        <f t="shared" si="126"/>
        <v>8</v>
      </c>
      <c r="FN167" s="115">
        <f t="shared" si="126"/>
        <v>-1</v>
      </c>
      <c r="FO167" s="115">
        <f t="shared" si="100"/>
        <v>0</v>
      </c>
      <c r="FP167" s="115">
        <f t="shared" si="100"/>
        <v>-24</v>
      </c>
      <c r="FQ167" s="149">
        <f t="shared" si="100"/>
        <v>4.2924837999999985</v>
      </c>
      <c r="FR167" s="142">
        <f t="shared" si="100"/>
        <v>5.1499999999999995</v>
      </c>
      <c r="FS167" s="119">
        <f t="shared" si="100"/>
        <v>0</v>
      </c>
      <c r="FT167" s="121">
        <f t="shared" si="100"/>
        <v>1</v>
      </c>
      <c r="FU167" s="121">
        <f t="shared" si="127"/>
        <v>-21</v>
      </c>
      <c r="FV167" s="121">
        <f t="shared" si="127"/>
        <v>-2</v>
      </c>
      <c r="FW167" s="121">
        <f t="shared" si="128"/>
        <v>-89.532329842096829</v>
      </c>
      <c r="FX167" s="121">
        <f t="shared" si="129"/>
        <v>-8</v>
      </c>
      <c r="FY167" s="144">
        <f t="shared" si="129"/>
        <v>8.2754342431761801E-2</v>
      </c>
      <c r="FZ167" s="145" t="s">
        <v>199</v>
      </c>
      <c r="GA167" s="1024" t="s">
        <v>848</v>
      </c>
      <c r="GB167" s="145"/>
      <c r="GC167" s="1024"/>
      <c r="GD167" s="997" t="s">
        <v>416</v>
      </c>
      <c r="GE167" s="1004"/>
      <c r="GF167" s="1004">
        <v>0</v>
      </c>
      <c r="GG167" s="1004"/>
      <c r="GH167" s="1004">
        <v>0</v>
      </c>
      <c r="GI167" s="145"/>
      <c r="GJ167" s="996">
        <v>0</v>
      </c>
      <c r="GK167" s="145"/>
      <c r="GL167" s="996">
        <v>0</v>
      </c>
      <c r="GM167" s="1005"/>
      <c r="GN167" s="996">
        <v>0</v>
      </c>
      <c r="GO167" s="1006"/>
      <c r="GP167" s="996">
        <v>0.79181740000000023</v>
      </c>
      <c r="GQ167" s="1006" t="s">
        <v>204</v>
      </c>
      <c r="GR167" s="996">
        <v>-2.2871288000000005</v>
      </c>
      <c r="GS167" s="1006" t="s">
        <v>204</v>
      </c>
      <c r="GT167" s="996">
        <v>4.1599067400000003</v>
      </c>
      <c r="GU167" s="1006"/>
      <c r="GV167" s="996">
        <v>-0.10421994000000012</v>
      </c>
      <c r="GW167" s="1006" t="s">
        <v>204</v>
      </c>
      <c r="GX167" s="996">
        <v>-2.571953999999999</v>
      </c>
      <c r="GY167" s="1006" t="s">
        <v>204</v>
      </c>
      <c r="GZ167" s="996">
        <v>-5.5729281520000011</v>
      </c>
      <c r="HA167" s="1006" t="s">
        <v>199</v>
      </c>
      <c r="HB167" s="996">
        <v>3.5486369160000013</v>
      </c>
      <c r="HC167" s="1006" t="s">
        <v>204</v>
      </c>
      <c r="HD167" s="996">
        <v>0</v>
      </c>
      <c r="HE167" s="1006"/>
      <c r="HF167" s="996">
        <v>0</v>
      </c>
      <c r="HG167" s="1006" t="s">
        <v>199</v>
      </c>
      <c r="HH167" s="996">
        <v>3.6015306359999988</v>
      </c>
      <c r="HI167" s="1006" t="s">
        <v>223</v>
      </c>
      <c r="HJ167" s="996">
        <v>-3.1111321999999992</v>
      </c>
      <c r="HK167" s="1006"/>
      <c r="HL167" s="996">
        <v>0</v>
      </c>
      <c r="HM167" s="1006"/>
      <c r="HN167" s="996">
        <v>0</v>
      </c>
      <c r="HO167" s="1006" t="s">
        <v>204</v>
      </c>
      <c r="HP167" s="996">
        <v>-1.4097493080000003</v>
      </c>
      <c r="HQ167" s="1006"/>
      <c r="HR167" s="996">
        <v>8.3658519999998404E-2</v>
      </c>
      <c r="HS167" s="1006" t="s">
        <v>203</v>
      </c>
      <c r="HT167" s="996">
        <v>-1.2322633311999986</v>
      </c>
      <c r="HU167" s="1006"/>
      <c r="HV167" s="996">
        <v>0</v>
      </c>
      <c r="HW167" s="1006"/>
      <c r="HX167" s="996">
        <v>0</v>
      </c>
      <c r="HY167" s="1006"/>
      <c r="HZ167" s="996">
        <v>-0.37482210479999978</v>
      </c>
      <c r="IA167" s="1006" t="s">
        <v>199</v>
      </c>
      <c r="IB167" s="996">
        <v>3.0685640831999992</v>
      </c>
      <c r="IC167" s="1006" t="s">
        <v>199</v>
      </c>
      <c r="ID167" s="996">
        <v>-4.6357430591999984</v>
      </c>
      <c r="IE167" s="1006" t="s">
        <v>221</v>
      </c>
      <c r="IF167" s="996">
        <v>-4.4228580000000015</v>
      </c>
      <c r="IG167" s="1006" t="s">
        <v>199</v>
      </c>
      <c r="IH167" s="996">
        <v>6.3099775200000003</v>
      </c>
      <c r="II167" s="1006"/>
      <c r="IJ167" s="996">
        <v>0</v>
      </c>
      <c r="IK167" s="1006" t="s">
        <v>199</v>
      </c>
      <c r="IL167" s="996">
        <v>-4.67977752</v>
      </c>
      <c r="IM167" s="1006" t="s">
        <v>199</v>
      </c>
      <c r="IN167" s="996">
        <v>7.6911999999999994</v>
      </c>
      <c r="IO167" s="1006"/>
      <c r="IP167" s="996">
        <v>0</v>
      </c>
      <c r="IQ167" s="1006" t="s">
        <v>204</v>
      </c>
      <c r="IR167" s="996">
        <v>-3.8706799999999992</v>
      </c>
      <c r="IS167" s="1006" t="s">
        <v>199</v>
      </c>
      <c r="IT167" s="996">
        <v>1.1954799999999999</v>
      </c>
      <c r="IU167" s="1006" t="s">
        <v>199</v>
      </c>
      <c r="IV167" s="996">
        <v>1.6720000000000006</v>
      </c>
      <c r="IW167" s="1006"/>
      <c r="IX167" s="996">
        <v>0</v>
      </c>
      <c r="IY167" s="1006"/>
      <c r="IZ167" s="996">
        <v>0</v>
      </c>
      <c r="JA167" s="1006" t="s">
        <v>223</v>
      </c>
      <c r="JB167" s="996">
        <v>-1.9855</v>
      </c>
      <c r="JC167" s="1006"/>
      <c r="JD167" s="996">
        <v>-0.5731616000000006</v>
      </c>
      <c r="JE167" s="1006"/>
      <c r="JF167" s="996">
        <v>0</v>
      </c>
      <c r="JG167" s="1006"/>
      <c r="JH167" s="996">
        <v>0</v>
      </c>
      <c r="JI167" s="1006"/>
      <c r="JJ167" s="996">
        <v>0</v>
      </c>
      <c r="JK167" s="1007"/>
      <c r="JL167" s="1007">
        <v>0</v>
      </c>
      <c r="JM167" s="1007"/>
      <c r="JN167" s="1007">
        <v>0</v>
      </c>
      <c r="JO167" s="1008" t="s">
        <v>223</v>
      </c>
      <c r="JP167" s="1007">
        <v>-1.6062904000000007</v>
      </c>
      <c r="JQ167" s="1008">
        <v>0</v>
      </c>
      <c r="JR167" s="1007">
        <v>0</v>
      </c>
      <c r="JS167" s="1008" t="s">
        <v>204</v>
      </c>
      <c r="JT167" s="1007">
        <v>-11.52295584</v>
      </c>
      <c r="JU167" s="1008"/>
      <c r="JV167" s="1007">
        <v>0</v>
      </c>
      <c r="JW167" s="1008" t="s">
        <v>197</v>
      </c>
      <c r="JX167" s="1007">
        <v>0</v>
      </c>
      <c r="JY167" s="1008"/>
      <c r="JZ167" s="1007">
        <v>1.9261440000001073E-2</v>
      </c>
      <c r="KA167" s="1008" t="s">
        <v>199</v>
      </c>
      <c r="KB167" s="1007">
        <v>5.3503164000000005</v>
      </c>
      <c r="KC167" s="1008" t="s">
        <v>204</v>
      </c>
      <c r="KD167" s="1007">
        <v>8.0908581599999998</v>
      </c>
      <c r="KE167" s="1008" t="s">
        <v>199</v>
      </c>
      <c r="KF167" s="1007">
        <v>3.9181982399999997</v>
      </c>
      <c r="KG167" s="1008"/>
      <c r="KH167" s="1007">
        <v>0</v>
      </c>
      <c r="KI167" s="1008"/>
      <c r="KJ167" s="1007">
        <v>0</v>
      </c>
      <c r="KK167" s="1008"/>
      <c r="KL167" s="1007">
        <v>0</v>
      </c>
      <c r="KM167" s="1008"/>
      <c r="KN167" s="1007">
        <v>0</v>
      </c>
      <c r="KO167" s="1008"/>
      <c r="KP167" s="1007">
        <v>0</v>
      </c>
      <c r="KQ167" s="1008">
        <v>0</v>
      </c>
      <c r="KR167" s="1007">
        <v>0</v>
      </c>
      <c r="KS167" s="1008" t="s">
        <v>204</v>
      </c>
      <c r="KT167" s="1007">
        <v>-2.5009775999999997</v>
      </c>
      <c r="KU167" s="1008" t="s">
        <v>207</v>
      </c>
      <c r="KV167" s="1007">
        <v>-4.9477673519999996</v>
      </c>
      <c r="KW167" s="1008">
        <v>0</v>
      </c>
      <c r="KX167" s="1007">
        <v>0</v>
      </c>
      <c r="KY167" s="1008">
        <v>0</v>
      </c>
      <c r="KZ167" s="1007">
        <v>0</v>
      </c>
      <c r="LA167" s="1008">
        <v>0</v>
      </c>
      <c r="LB167" s="1007">
        <v>0</v>
      </c>
      <c r="LC167" s="1008">
        <v>0</v>
      </c>
      <c r="LD167" s="1007">
        <v>0</v>
      </c>
      <c r="LE167" s="1008">
        <v>0</v>
      </c>
      <c r="LF167" s="1007">
        <v>0</v>
      </c>
      <c r="LG167" s="1008">
        <v>0</v>
      </c>
      <c r="LH167" s="1007">
        <v>-15.194879999999999</v>
      </c>
      <c r="LI167" s="1008">
        <v>0</v>
      </c>
      <c r="LJ167" s="1007">
        <v>0</v>
      </c>
      <c r="LK167" s="1008">
        <v>0</v>
      </c>
      <c r="LL167" s="1007">
        <v>0</v>
      </c>
      <c r="LM167" s="1008" t="s">
        <v>555</v>
      </c>
      <c r="LN167" s="1007">
        <v>-3.33765</v>
      </c>
      <c r="LO167" s="1008" t="s">
        <v>206</v>
      </c>
      <c r="LP167" s="1007">
        <v>3.337646399999997</v>
      </c>
      <c r="LQ167" s="1008" t="s">
        <v>206</v>
      </c>
      <c r="LR167" s="1007">
        <v>5.6739988800000027</v>
      </c>
      <c r="LS167" s="1008">
        <v>0</v>
      </c>
      <c r="LT167" s="1007">
        <v>0</v>
      </c>
      <c r="LU167" s="1008">
        <v>0</v>
      </c>
      <c r="LV167" s="1007">
        <v>0</v>
      </c>
      <c r="LW167" s="1008">
        <v>0</v>
      </c>
      <c r="LX167" s="1007">
        <v>-4.8395872800000017</v>
      </c>
      <c r="LY167" s="1009">
        <v>0</v>
      </c>
      <c r="LZ167" s="1010">
        <v>0</v>
      </c>
      <c r="MA167" s="1011">
        <v>0</v>
      </c>
      <c r="MB167" s="1012">
        <v>-0.66752928199999995</v>
      </c>
      <c r="MC167" s="995"/>
      <c r="MD167" s="996"/>
      <c r="ME167" s="997" t="s">
        <v>416</v>
      </c>
      <c r="MF167" s="997"/>
      <c r="MG167" s="998"/>
      <c r="NR167" s="1000"/>
      <c r="NS167" s="1000"/>
      <c r="NT167" s="1001"/>
      <c r="NU167" s="1000"/>
      <c r="NV167" s="1001"/>
      <c r="NX167" s="1002"/>
      <c r="NZ167" s="1001"/>
      <c r="OA167" s="1001"/>
      <c r="OC167" s="1003"/>
      <c r="OD167" s="1003"/>
      <c r="OE167" s="1001"/>
      <c r="OF167" s="1003"/>
      <c r="OG167" s="1003"/>
      <c r="QX167" s="1000">
        <f>CN167-CA167</f>
        <v>15</v>
      </c>
      <c r="ASU167" s="999" t="s">
        <v>225</v>
      </c>
    </row>
    <row r="168" spans="1:466 1191:1191" ht="21" customHeight="1" x14ac:dyDescent="0.25">
      <c r="A168" s="982" t="str">
        <f t="shared" si="104"/>
        <v>1068-1</v>
      </c>
      <c r="B168" s="124">
        <f>SUBTOTAL(103,$J$29:J168)</f>
        <v>140</v>
      </c>
      <c r="C168" s="126">
        <v>45068</v>
      </c>
      <c r="D168" s="124" t="s">
        <v>176</v>
      </c>
      <c r="E168" s="127" t="s">
        <v>177</v>
      </c>
      <c r="F168" s="128" t="s">
        <v>177</v>
      </c>
      <c r="G168" s="127" t="s">
        <v>178</v>
      </c>
      <c r="H168" s="127" t="s">
        <v>408</v>
      </c>
      <c r="I168" s="127" t="s">
        <v>684</v>
      </c>
      <c r="J168" s="152" t="s">
        <v>849</v>
      </c>
      <c r="K168" s="127" t="s">
        <v>845</v>
      </c>
      <c r="L168" s="130">
        <v>39480</v>
      </c>
      <c r="M168" s="127" t="s">
        <v>230</v>
      </c>
      <c r="N168" s="127" t="s">
        <v>231</v>
      </c>
      <c r="O168" s="127" t="s">
        <v>185</v>
      </c>
      <c r="P168" s="127" t="s">
        <v>186</v>
      </c>
      <c r="Q168" s="85" t="str">
        <f t="shared" si="133"/>
        <v/>
      </c>
      <c r="R168" s="130"/>
      <c r="S168" s="128" t="s">
        <v>156</v>
      </c>
      <c r="T168" s="131"/>
      <c r="U168" s="132">
        <v>203</v>
      </c>
      <c r="V168" s="121">
        <v>218.2</v>
      </c>
      <c r="W168" s="116">
        <v>0.98</v>
      </c>
      <c r="X168" s="116">
        <v>1.66</v>
      </c>
      <c r="Y168" s="116">
        <f t="shared" si="86"/>
        <v>0.98</v>
      </c>
      <c r="Z168" s="133">
        <v>1.454</v>
      </c>
      <c r="AA168" s="133">
        <v>0.83599999999999997</v>
      </c>
      <c r="AB168" s="133">
        <v>0.72</v>
      </c>
      <c r="AC168" s="121">
        <v>34.299999999999997</v>
      </c>
      <c r="AD168" s="134">
        <v>1.17</v>
      </c>
      <c r="AE168" s="124">
        <v>139.69999999999999</v>
      </c>
      <c r="AF168" s="128">
        <v>7.72</v>
      </c>
      <c r="AG168" s="128">
        <v>1953</v>
      </c>
      <c r="AH168" s="127">
        <v>2450</v>
      </c>
      <c r="AI168" s="127">
        <v>2450</v>
      </c>
      <c r="AJ168" s="135"/>
      <c r="AK168" s="128"/>
      <c r="AL168" s="131"/>
      <c r="AM168" s="124" t="s">
        <v>232</v>
      </c>
      <c r="AN168" s="136" t="s">
        <v>850</v>
      </c>
      <c r="AO168" s="137">
        <v>85.6</v>
      </c>
      <c r="AP168" s="128">
        <v>1953</v>
      </c>
      <c r="AQ168" s="128">
        <v>73.989999999999995</v>
      </c>
      <c r="AR168" s="128"/>
      <c r="AS168" s="128"/>
      <c r="AT168" s="122"/>
      <c r="AU168" s="124" t="s">
        <v>250</v>
      </c>
      <c r="AV168" s="115">
        <f>VLOOKUP(J168,'[63]ТР нефть'!$J$28:$BP$638,39,0)</f>
        <v>550</v>
      </c>
      <c r="AW168" s="115" t="str">
        <f>VLOOKUP(J168,'[63]ТР нефть'!$J$28:$BP$638,40,0)</f>
        <v>ГК 82 1/8</v>
      </c>
      <c r="AX168" s="115">
        <f>VLOOKUP(J168,'[63]ТР нефть'!$J$28:$BP$638,41,0)</f>
        <v>960</v>
      </c>
      <c r="AY168" s="115" t="str">
        <f>VLOOKUP(J168,'[63]ТР нефть'!$J$28:$BP$638,42,0)</f>
        <v>ГК 82 1/8</v>
      </c>
      <c r="AZ168" s="115">
        <f>VLOOKUP(J168,'[63]ТР нефть'!$J$28:$BP$638,43,0)</f>
        <v>1275</v>
      </c>
      <c r="BA168" s="115" t="str">
        <f>VLOOKUP(J168,'[63]ТР нефть'!$J$28:$BP$638,44,0)</f>
        <v>ГК 83 5/32</v>
      </c>
      <c r="BB168" s="115">
        <f>VLOOKUP(J168,'[63]ТР нефть'!$J$28:$BP$638,45,0)</f>
        <v>1520</v>
      </c>
      <c r="BC168" s="115" t="str">
        <f>VLOOKUP(J168,'[63]ТР нефть'!$J$28:$BP$638,46,0)</f>
        <v>ГК 83 3/16</v>
      </c>
      <c r="BD168" s="115">
        <f>VLOOKUP(J168,'[63]ТР нефть'!$J$28:$BP$638,47,0)</f>
        <v>1740</v>
      </c>
      <c r="BE168" s="115" t="str">
        <f>VLOOKUP(J168,'[63]ТР нефть'!$J$28:$BP$638,48,0)</f>
        <v>ЦКсОК 5/16</v>
      </c>
      <c r="BF168" s="115" t="str">
        <f>VLOOKUP(J168,'[63]ТР нефть'!$J$28:$BP$638,49,0)</f>
        <v>-</v>
      </c>
      <c r="BG168" s="115" t="str">
        <f>VLOOKUP(J168,'[63]ТР нефть'!$J$28:$BP$638,50,0)</f>
        <v>-</v>
      </c>
      <c r="BH168" s="115">
        <f>VLOOKUP(J168,'[63]ТР нефть'!$J$28:$BP$638,51,0)</f>
        <v>1750</v>
      </c>
      <c r="BI168" s="115" t="str">
        <f>VLOOKUP(J168,'[63]ТР нефть'!$J$28:$BP$638,52,0)</f>
        <v>закрыт</v>
      </c>
      <c r="BJ168" s="115" t="str">
        <f>IF(IFERROR(VLOOKUP(J168,'[63]ТР нефть'!$J$28:$BP$638,53,0),"-")=0,"-",IFERROR(VLOOKUP(J168,'[63]ТР нефть'!$J$28:$BP$638,53,0),"-"))</f>
        <v>-</v>
      </c>
      <c r="BK168" s="138" t="str">
        <f>IF(IFERROR(VLOOKUP(J168,'[63]ТР нефть'!$J$28:$BP$638,54,0),"-")=0,"-",IFERROR(VLOOKUP(J168,'[63]ТР нефть'!$J$28:$BP$638,54,0),"-"))</f>
        <v>-</v>
      </c>
      <c r="BL168" s="138" t="str">
        <f>IF(IFERROR(VLOOKUP(J168,'[63]ТР нефть'!$J$28:$BP$638,55,0),"-")=0,"-",IFERROR(VLOOKUP(J168,'[63]ТР нефть'!$J$28:$BP$638,55,0),"-"))</f>
        <v>-</v>
      </c>
      <c r="BM168" s="138" t="str">
        <f>IF(IFERROR(VLOOKUP(J168,'[63]ТР нефть'!$J$28:$BP$638,56,0),"-")=0,"-",IFERROR(VLOOKUP(J168,'[63]ТР нефть'!$J$28:$BP$638,56,0),"-"))</f>
        <v>-</v>
      </c>
      <c r="BN168" s="138" t="str">
        <f>IF(IFERROR(VLOOKUP(J168,'[63]ТР нефть'!$J$28:$BP$638,57,0),"-")=0,"-",IFERROR(VLOOKUP(J168,'[63]ТР нефть'!$J$28:$BP$638,57,0),"-"))</f>
        <v>-</v>
      </c>
      <c r="BO168" s="115" t="str">
        <f>IF(IFERROR(VLOOKUP(J168,'[63]ТР нефть'!$J$28:$BP$638,58,0),"-")=0,"-",IFERROR(VLOOKUP(J168,'[63]ТР нефть'!$J$28:$BP$638,58,0),"-"))</f>
        <v>-</v>
      </c>
      <c r="BP168" s="115" t="str">
        <f>IF(IFERROR(VLOOKUP(J168,'[63]ТР нефть'!$J$28:$BP$638,59,0),"-")=0,"-",IFERROR(VLOOKUP(J168,'[63]ТР нефть'!$J$28:$BP$638,59,0),"-"))</f>
        <v>-</v>
      </c>
      <c r="BQ168" s="138">
        <v>2361</v>
      </c>
      <c r="BR168" s="128">
        <v>1906.59</v>
      </c>
      <c r="BS168" s="115">
        <f t="shared" si="105"/>
        <v>454.41000000000008</v>
      </c>
      <c r="BT168" s="128">
        <v>73</v>
      </c>
      <c r="BU168" s="128">
        <v>5.5</v>
      </c>
      <c r="BV168" s="127">
        <v>65</v>
      </c>
      <c r="BW168" s="127" t="s">
        <v>217</v>
      </c>
      <c r="BX168" s="127" t="s">
        <v>195</v>
      </c>
      <c r="BY168" s="139">
        <v>24</v>
      </c>
      <c r="BZ168" s="139">
        <v>0</v>
      </c>
      <c r="CA168" s="138">
        <v>24</v>
      </c>
      <c r="CB168" s="138">
        <v>35</v>
      </c>
      <c r="CC168" s="138">
        <v>23</v>
      </c>
      <c r="CD168" s="135">
        <v>45017</v>
      </c>
      <c r="CE168" s="138">
        <v>102.2</v>
      </c>
      <c r="CF168" s="138"/>
      <c r="CG168" s="138" t="str">
        <f t="shared" si="132"/>
        <v/>
      </c>
      <c r="CH168" s="138" t="s">
        <v>197</v>
      </c>
      <c r="CI168" s="127"/>
      <c r="CJ168" s="138"/>
      <c r="CK168" s="138"/>
      <c r="CL168" s="99"/>
      <c r="CM168" s="138"/>
      <c r="CN168" s="154">
        <v>40</v>
      </c>
      <c r="CO168" s="159">
        <f t="shared" si="106"/>
        <v>10.366400000000001</v>
      </c>
      <c r="CP168" s="160">
        <v>12.4</v>
      </c>
      <c r="CQ168" s="161">
        <v>0</v>
      </c>
      <c r="CR168" s="138">
        <v>31</v>
      </c>
      <c r="CS168" s="139"/>
      <c r="CT168" s="138"/>
      <c r="CU168" s="138">
        <f t="shared" si="134"/>
        <v>31</v>
      </c>
      <c r="CV168" s="115">
        <f t="shared" si="135"/>
        <v>2990.4306220095691</v>
      </c>
      <c r="CW168" s="115" t="str">
        <f t="shared" si="109"/>
        <v/>
      </c>
      <c r="CX168" s="133">
        <f t="shared" si="136"/>
        <v>0.19935691318327975</v>
      </c>
      <c r="CY168" s="116"/>
      <c r="CZ168" s="131"/>
      <c r="DA168" s="145" t="str">
        <f t="shared" si="111"/>
        <v>Фон.</v>
      </c>
      <c r="DB168" s="146">
        <f t="shared" si="112"/>
        <v>10.366400000000001</v>
      </c>
      <c r="DC168" s="142">
        <f t="shared" si="113"/>
        <v>12.4</v>
      </c>
      <c r="DD168" s="119">
        <f t="shared" si="114"/>
        <v>0</v>
      </c>
      <c r="DE168" s="115">
        <f t="shared" si="115"/>
        <v>31</v>
      </c>
      <c r="DF168" s="121">
        <f t="shared" si="116"/>
        <v>0</v>
      </c>
      <c r="DG168" s="115">
        <f t="shared" si="117"/>
        <v>2990.4306220095691</v>
      </c>
      <c r="DH168" s="115">
        <f t="shared" si="118"/>
        <v>40</v>
      </c>
      <c r="DI168" s="147"/>
      <c r="DJ168" s="111" t="s">
        <v>197</v>
      </c>
      <c r="DK168" s="112">
        <v>43304</v>
      </c>
      <c r="DL168" s="113">
        <f t="shared" ca="1" si="87"/>
        <v>1800</v>
      </c>
      <c r="DM168" s="114"/>
      <c r="DN168" s="114"/>
      <c r="DO168" s="114"/>
      <c r="DP168" s="114"/>
      <c r="DQ168" s="112" t="s">
        <v>851</v>
      </c>
      <c r="DR168" s="114" t="s">
        <v>198</v>
      </c>
      <c r="DS168" s="114"/>
      <c r="DT168" s="115">
        <v>47</v>
      </c>
      <c r="DU168" s="116">
        <f t="shared" si="88"/>
        <v>0.22463768115942029</v>
      </c>
      <c r="DV168" s="117">
        <f t="shared" si="89"/>
        <v>10.366400000000001</v>
      </c>
      <c r="DW168" s="118">
        <f t="shared" si="90"/>
        <v>12.4</v>
      </c>
      <c r="DX168" s="119">
        <f t="shared" si="119"/>
        <v>0</v>
      </c>
      <c r="DY168" s="115">
        <f t="shared" si="91"/>
        <v>31</v>
      </c>
      <c r="DZ168" s="117">
        <f t="shared" si="92"/>
        <v>0</v>
      </c>
      <c r="EA168" s="120">
        <f t="shared" si="92"/>
        <v>0</v>
      </c>
      <c r="EB168" s="119">
        <f t="shared" si="92"/>
        <v>0</v>
      </c>
      <c r="EC168" s="121">
        <f t="shared" si="93"/>
        <v>0</v>
      </c>
      <c r="ED168" s="122"/>
      <c r="EE168" s="145">
        <v>65</v>
      </c>
      <c r="EF168" s="115">
        <v>25</v>
      </c>
      <c r="EG168" s="115">
        <v>36</v>
      </c>
      <c r="EH168" s="115">
        <v>25</v>
      </c>
      <c r="EI168" s="128" t="s">
        <v>195</v>
      </c>
      <c r="EJ168" s="121">
        <v>24</v>
      </c>
      <c r="EK168" s="121">
        <v>0</v>
      </c>
      <c r="EL168" s="162">
        <v>8.9451999999999998</v>
      </c>
      <c r="EM168" s="142">
        <v>10.7</v>
      </c>
      <c r="EN168" s="119">
        <v>0</v>
      </c>
      <c r="EO168" s="115">
        <v>25.657</v>
      </c>
      <c r="EP168" s="115">
        <v>2868.2421857532531</v>
      </c>
      <c r="EQ168" s="115">
        <v>0</v>
      </c>
      <c r="ER168" s="115">
        <v>0</v>
      </c>
      <c r="ES168" s="115">
        <v>42</v>
      </c>
      <c r="ET168" s="150">
        <v>0.17774086378737539</v>
      </c>
      <c r="EU168" s="145">
        <f t="shared" si="120"/>
        <v>65</v>
      </c>
      <c r="EV168" s="115">
        <f t="shared" si="121"/>
        <v>24</v>
      </c>
      <c r="EW168" s="115">
        <f t="shared" si="121"/>
        <v>35</v>
      </c>
      <c r="EX168" s="115">
        <f t="shared" si="121"/>
        <v>23</v>
      </c>
      <c r="EY168" s="115" t="str">
        <f t="shared" si="122"/>
        <v>Постоянный</v>
      </c>
      <c r="EZ168" s="115">
        <f t="shared" si="122"/>
        <v>24</v>
      </c>
      <c r="FA168" s="115">
        <f t="shared" si="122"/>
        <v>0</v>
      </c>
      <c r="FB168" s="149">
        <f t="shared" si="123"/>
        <v>10.366400000000001</v>
      </c>
      <c r="FC168" s="142">
        <f t="shared" si="123"/>
        <v>12.4</v>
      </c>
      <c r="FD168" s="119">
        <f t="shared" si="123"/>
        <v>0</v>
      </c>
      <c r="FE168" s="121">
        <f t="shared" si="103"/>
        <v>31</v>
      </c>
      <c r="FF168" s="121">
        <f t="shared" si="94"/>
        <v>2990.4306220095691</v>
      </c>
      <c r="FG168" s="121">
        <f t="shared" si="124"/>
        <v>0</v>
      </c>
      <c r="FH168" s="121">
        <f t="shared" si="95"/>
        <v>0</v>
      </c>
      <c r="FI168" s="121">
        <f t="shared" si="131"/>
        <v>40</v>
      </c>
      <c r="FJ168" s="144">
        <f t="shared" si="125"/>
        <v>0.19935691318327975</v>
      </c>
      <c r="FK168" s="132">
        <f t="shared" si="126"/>
        <v>0</v>
      </c>
      <c r="FL168" s="115">
        <f t="shared" si="126"/>
        <v>-1</v>
      </c>
      <c r="FM168" s="115">
        <f t="shared" si="126"/>
        <v>-1</v>
      </c>
      <c r="FN168" s="115">
        <f t="shared" si="126"/>
        <v>-2</v>
      </c>
      <c r="FO168" s="115">
        <f t="shared" si="100"/>
        <v>0</v>
      </c>
      <c r="FP168" s="115">
        <f t="shared" si="100"/>
        <v>0</v>
      </c>
      <c r="FQ168" s="149">
        <f t="shared" si="100"/>
        <v>1.4212000000000007</v>
      </c>
      <c r="FR168" s="142">
        <f t="shared" si="100"/>
        <v>1.7000000000000011</v>
      </c>
      <c r="FS168" s="119">
        <f t="shared" si="100"/>
        <v>0</v>
      </c>
      <c r="FT168" s="121">
        <f t="shared" si="100"/>
        <v>5.343</v>
      </c>
      <c r="FU168" s="121">
        <f t="shared" si="127"/>
        <v>0</v>
      </c>
      <c r="FV168" s="121">
        <f t="shared" si="127"/>
        <v>0</v>
      </c>
      <c r="FW168" s="121">
        <f t="shared" si="128"/>
        <v>122.18843625631598</v>
      </c>
      <c r="FX168" s="121">
        <f t="shared" si="129"/>
        <v>-2</v>
      </c>
      <c r="FY168" s="144">
        <f t="shared" si="129"/>
        <v>2.1616049395904363E-2</v>
      </c>
      <c r="FZ168" s="145" t="s">
        <v>199</v>
      </c>
      <c r="GA168" s="1034" t="s">
        <v>200</v>
      </c>
      <c r="GB168" s="145" t="s">
        <v>199</v>
      </c>
      <c r="GC168" s="131" t="s">
        <v>415</v>
      </c>
      <c r="GD168" s="997" t="s">
        <v>416</v>
      </c>
      <c r="GE168" s="1004" t="s">
        <v>199</v>
      </c>
      <c r="GF168" s="1004">
        <v>-1.0031999999999996</v>
      </c>
      <c r="GG168" s="1004"/>
      <c r="GH168" s="1004">
        <v>-0.74375408799999931</v>
      </c>
      <c r="GI168" s="145"/>
      <c r="GJ168" s="996">
        <v>0</v>
      </c>
      <c r="GK168" s="145"/>
      <c r="GL168" s="996">
        <v>0</v>
      </c>
      <c r="GM168" s="1005"/>
      <c r="GN168" s="996">
        <v>0</v>
      </c>
      <c r="GO168" s="1006"/>
      <c r="GP168" s="996">
        <v>0</v>
      </c>
      <c r="GQ168" s="1006"/>
      <c r="GR168" s="996">
        <v>0</v>
      </c>
      <c r="GS168" s="1006"/>
      <c r="GT168" s="996">
        <v>0</v>
      </c>
      <c r="GU168" s="1006"/>
      <c r="GV168" s="996">
        <v>0</v>
      </c>
      <c r="GW168" s="1006" t="s">
        <v>204</v>
      </c>
      <c r="GX168" s="996">
        <v>0</v>
      </c>
      <c r="GY168" s="1006"/>
      <c r="GZ168" s="996">
        <v>0</v>
      </c>
      <c r="HA168" s="1006" t="s">
        <v>204</v>
      </c>
      <c r="HB168" s="996">
        <v>-1.6043191120000007</v>
      </c>
      <c r="HC168" s="1006" t="s">
        <v>199</v>
      </c>
      <c r="HD168" s="996">
        <v>2.043139692</v>
      </c>
      <c r="HE168" s="1006"/>
      <c r="HF168" s="996">
        <v>0</v>
      </c>
      <c r="HG168" s="1006"/>
      <c r="HH168" s="996">
        <v>0</v>
      </c>
      <c r="HI168" s="1006" t="s">
        <v>199</v>
      </c>
      <c r="HJ168" s="996">
        <v>-6.201988892000001</v>
      </c>
      <c r="HK168" s="1006" t="s">
        <v>223</v>
      </c>
      <c r="HL168" s="996">
        <v>-3.6757833199999972</v>
      </c>
      <c r="HM168" s="1006"/>
      <c r="HN168" s="996">
        <v>-0.54447007999999997</v>
      </c>
      <c r="HO168" s="1006" t="s">
        <v>203</v>
      </c>
      <c r="HP168" s="996">
        <v>-4.5300415600000008</v>
      </c>
      <c r="HQ168" s="1006" t="s">
        <v>25</v>
      </c>
      <c r="HR168" s="996">
        <v>9.3074722399999992</v>
      </c>
      <c r="HS168" s="1006"/>
      <c r="HT168" s="996">
        <v>0</v>
      </c>
      <c r="HU168" s="1006"/>
      <c r="HV168" s="996">
        <v>0</v>
      </c>
      <c r="HW168" s="1006" t="s">
        <v>241</v>
      </c>
      <c r="HX168" s="996">
        <v>-4.5998642800000002</v>
      </c>
      <c r="HY168" s="1006" t="s">
        <v>199</v>
      </c>
      <c r="HZ168" s="996">
        <v>5.5263362000000003</v>
      </c>
      <c r="IA168" s="1006" t="s">
        <v>204</v>
      </c>
      <c r="IB168" s="996">
        <v>-1.2506389455999996</v>
      </c>
      <c r="IC168" s="1006"/>
      <c r="ID168" s="996">
        <v>0</v>
      </c>
      <c r="IE168" s="1006" t="s">
        <v>204</v>
      </c>
      <c r="IF168" s="996">
        <v>-5.1865610543999985</v>
      </c>
      <c r="IG168" s="1006" t="s">
        <v>204</v>
      </c>
      <c r="IH168" s="996">
        <v>5.1831999999999976</v>
      </c>
      <c r="II168" s="1006"/>
      <c r="IJ168" s="996">
        <v>8.3600000000000563E-2</v>
      </c>
      <c r="IK168" s="1006"/>
      <c r="IL168" s="996">
        <v>-0.70993119999999976</v>
      </c>
      <c r="IM168" s="1006"/>
      <c r="IN168" s="996">
        <v>-0.46046880000000101</v>
      </c>
      <c r="IO168" s="1006"/>
      <c r="IP168" s="996">
        <v>-0.16719999999999935</v>
      </c>
      <c r="IQ168" s="1006"/>
      <c r="IR168" s="996">
        <v>0.50159999999999982</v>
      </c>
      <c r="IS168" s="1006"/>
      <c r="IT168" s="996">
        <v>0.28424000000000049</v>
      </c>
      <c r="IU168" s="1006"/>
      <c r="IV168" s="996">
        <v>9.6957608000000306E-2</v>
      </c>
      <c r="IW168" s="1006"/>
      <c r="IX168" s="996">
        <v>0</v>
      </c>
      <c r="IY168" s="1006"/>
      <c r="IZ168" s="996">
        <v>0</v>
      </c>
      <c r="JA168" s="1006"/>
      <c r="JB168" s="996">
        <v>0</v>
      </c>
      <c r="JC168" s="1006"/>
      <c r="JD168" s="996">
        <v>0.71396239199999911</v>
      </c>
      <c r="JE168" s="1006"/>
      <c r="JF168" s="996">
        <v>0</v>
      </c>
      <c r="JG168" s="1006" t="s">
        <v>199</v>
      </c>
      <c r="JH168" s="996">
        <v>1.9121155856000005</v>
      </c>
      <c r="JI168" s="1006" t="s">
        <v>199</v>
      </c>
      <c r="JJ168" s="996">
        <v>-4.905458729600003</v>
      </c>
      <c r="JK168" s="1007"/>
      <c r="JL168" s="1007">
        <v>0</v>
      </c>
      <c r="JM168" s="1007"/>
      <c r="JN168" s="1007">
        <v>0</v>
      </c>
      <c r="JO168" s="1008"/>
      <c r="JP168" s="1007">
        <v>0</v>
      </c>
      <c r="JQ168" s="1008">
        <v>0</v>
      </c>
      <c r="JR168" s="1007">
        <v>3.4836120000036885E-3</v>
      </c>
      <c r="JS168" s="1008" t="s">
        <v>204</v>
      </c>
      <c r="JT168" s="1007">
        <v>-12.400900468</v>
      </c>
      <c r="JU168" s="1008"/>
      <c r="JV168" s="1007">
        <v>0</v>
      </c>
      <c r="JW168" s="1008" t="s">
        <v>197</v>
      </c>
      <c r="JX168" s="1007">
        <v>0</v>
      </c>
      <c r="JY168" s="1008" t="s">
        <v>204</v>
      </c>
      <c r="JZ168" s="1007">
        <v>0.3343999999999987</v>
      </c>
      <c r="KA168" s="1008" t="s">
        <v>199</v>
      </c>
      <c r="KB168" s="1007">
        <v>7.5240000000000009</v>
      </c>
      <c r="KC168" s="1008" t="s">
        <v>199</v>
      </c>
      <c r="KD168" s="1007">
        <v>8.2763999999999989</v>
      </c>
      <c r="KE168" s="1008" t="s">
        <v>199</v>
      </c>
      <c r="KF168" s="1007">
        <v>-8.669319999999999</v>
      </c>
      <c r="KG168" s="1008"/>
      <c r="KH168" s="1007">
        <v>0</v>
      </c>
      <c r="KI168" s="1008"/>
      <c r="KJ168" s="1007">
        <v>0</v>
      </c>
      <c r="KK168" s="1008"/>
      <c r="KL168" s="1007">
        <v>0</v>
      </c>
      <c r="KM168" s="1008"/>
      <c r="KN168" s="1007">
        <v>16.527719999999999</v>
      </c>
      <c r="KO168" s="1008"/>
      <c r="KP168" s="1007">
        <v>0</v>
      </c>
      <c r="KQ168" s="1008">
        <v>0</v>
      </c>
      <c r="KR168" s="1007">
        <v>-14.125306799999999</v>
      </c>
      <c r="KS168" s="1008">
        <v>0</v>
      </c>
      <c r="KT168" s="1007">
        <v>0</v>
      </c>
      <c r="KU168" s="1008" t="s">
        <v>207</v>
      </c>
      <c r="KV168" s="1007">
        <v>-6.6472032000000016</v>
      </c>
      <c r="KW168" s="1008">
        <v>0</v>
      </c>
      <c r="KX168" s="1007">
        <v>0</v>
      </c>
      <c r="KY168" s="1008" t="s">
        <v>204</v>
      </c>
      <c r="KZ168" s="1007">
        <v>5.8163028000000008</v>
      </c>
      <c r="LA168" s="1008" t="s">
        <v>223</v>
      </c>
      <c r="LB168" s="1007">
        <v>-4.154501999999999</v>
      </c>
      <c r="LC168" s="1008">
        <v>0</v>
      </c>
      <c r="LD168" s="1007">
        <v>0</v>
      </c>
      <c r="LE168" s="1008">
        <v>0</v>
      </c>
      <c r="LF168" s="1007">
        <v>0</v>
      </c>
      <c r="LG168" s="1008">
        <v>0</v>
      </c>
      <c r="LH168" s="1007">
        <v>0</v>
      </c>
      <c r="LI168" s="1008">
        <v>0</v>
      </c>
      <c r="LJ168" s="1007">
        <v>0</v>
      </c>
      <c r="LK168" s="1008">
        <v>0</v>
      </c>
      <c r="LL168" s="1007">
        <v>0</v>
      </c>
      <c r="LM168" s="1008">
        <v>0</v>
      </c>
      <c r="LN168" s="1007">
        <v>-0.83089999999999997</v>
      </c>
      <c r="LO168" s="1008">
        <v>0</v>
      </c>
      <c r="LP168" s="1007">
        <v>0</v>
      </c>
      <c r="LQ168" s="1008">
        <v>0</v>
      </c>
      <c r="LR168" s="1007">
        <v>0</v>
      </c>
      <c r="LS168" s="1008">
        <v>0</v>
      </c>
      <c r="LT168" s="1007">
        <v>0</v>
      </c>
      <c r="LU168" s="1008">
        <v>0</v>
      </c>
      <c r="LV168" s="1007">
        <v>0</v>
      </c>
      <c r="LW168" s="1008" t="s">
        <v>207</v>
      </c>
      <c r="LX168" s="1007">
        <v>8.9478512000000006</v>
      </c>
      <c r="LY168" s="1009">
        <v>0</v>
      </c>
      <c r="LZ168" s="1010">
        <v>-0.92517612100000002</v>
      </c>
      <c r="MA168" s="1011">
        <v>0</v>
      </c>
      <c r="MB168" s="1012">
        <v>6.251190000000002</v>
      </c>
      <c r="MC168" s="995"/>
      <c r="MD168" s="996"/>
      <c r="ME168" s="997" t="s">
        <v>416</v>
      </c>
      <c r="MF168" s="997"/>
      <c r="MG168" s="998"/>
      <c r="NR168" s="1000"/>
      <c r="NS168" s="1000"/>
      <c r="NT168" s="1001"/>
      <c r="NU168" s="1000"/>
      <c r="NV168" s="1001"/>
      <c r="NX168" s="1002"/>
      <c r="NZ168" s="1001"/>
      <c r="OA168" s="1001"/>
      <c r="OC168" s="1003"/>
      <c r="OD168" s="1003"/>
      <c r="OE168" s="1001"/>
      <c r="OF168" s="1003"/>
      <c r="OG168" s="1003"/>
      <c r="QX168" s="1000">
        <f>CN168-CA168</f>
        <v>16</v>
      </c>
      <c r="ASU168" s="999" t="s">
        <v>208</v>
      </c>
    </row>
    <row r="169" spans="1:466 1191:1191" ht="21" customHeight="1" x14ac:dyDescent="0.25">
      <c r="A169" s="982">
        <f t="shared" si="104"/>
        <v>1069</v>
      </c>
      <c r="B169" s="124">
        <f>SUBTOTAL(103,$J$29:J169)</f>
        <v>141</v>
      </c>
      <c r="C169" s="126">
        <v>45068</v>
      </c>
      <c r="D169" s="124" t="s">
        <v>176</v>
      </c>
      <c r="E169" s="127" t="s">
        <v>177</v>
      </c>
      <c r="F169" s="128" t="s">
        <v>177</v>
      </c>
      <c r="G169" s="127" t="s">
        <v>178</v>
      </c>
      <c r="H169" s="127" t="s">
        <v>421</v>
      </c>
      <c r="I169" s="127" t="s">
        <v>632</v>
      </c>
      <c r="J169" s="152">
        <v>1069</v>
      </c>
      <c r="K169" s="127" t="s">
        <v>852</v>
      </c>
      <c r="L169" s="130">
        <v>39123</v>
      </c>
      <c r="M169" s="127" t="s">
        <v>230</v>
      </c>
      <c r="N169" s="127" t="s">
        <v>231</v>
      </c>
      <c r="O169" s="127" t="s">
        <v>185</v>
      </c>
      <c r="P169" s="127" t="s">
        <v>292</v>
      </c>
      <c r="Q169" s="85" t="str">
        <f t="shared" si="133"/>
        <v/>
      </c>
      <c r="R169" s="130"/>
      <c r="S169" s="128" t="s">
        <v>156</v>
      </c>
      <c r="T169" s="131"/>
      <c r="U169" s="132">
        <v>203</v>
      </c>
      <c r="V169" s="121">
        <v>218.2</v>
      </c>
      <c r="W169" s="116">
        <v>0.98</v>
      </c>
      <c r="X169" s="116">
        <v>1.66</v>
      </c>
      <c r="Y169" s="116">
        <f t="shared" si="86"/>
        <v>0.99338799776261755</v>
      </c>
      <c r="Z169" s="133">
        <v>1.454</v>
      </c>
      <c r="AA169" s="133">
        <v>0.83599999999999997</v>
      </c>
      <c r="AB169" s="133">
        <v>0.72</v>
      </c>
      <c r="AC169" s="121">
        <v>34.299999999999997</v>
      </c>
      <c r="AD169" s="134">
        <v>1.17</v>
      </c>
      <c r="AE169" s="124">
        <v>139.69999999999999</v>
      </c>
      <c r="AF169" s="128">
        <v>7.72</v>
      </c>
      <c r="AG169" s="128">
        <v>1966</v>
      </c>
      <c r="AH169" s="127">
        <v>2500</v>
      </c>
      <c r="AI169" s="127">
        <v>2500</v>
      </c>
      <c r="AJ169" s="135"/>
      <c r="AK169" s="128"/>
      <c r="AL169" s="131"/>
      <c r="AM169" s="124" t="s">
        <v>232</v>
      </c>
      <c r="AN169" s="136" t="s">
        <v>853</v>
      </c>
      <c r="AO169" s="137">
        <v>42.76</v>
      </c>
      <c r="AP169" s="128">
        <v>1966</v>
      </c>
      <c r="AQ169" s="128">
        <v>104.1</v>
      </c>
      <c r="AR169" s="128"/>
      <c r="AS169" s="128"/>
      <c r="AT169" s="122"/>
      <c r="AU169" s="124" t="s">
        <v>250</v>
      </c>
      <c r="AV169" s="115">
        <f>VLOOKUP(J169,'[63]ТР нефть'!$J$28:$BP$638,39,0)</f>
        <v>596</v>
      </c>
      <c r="AW169" s="115" t="str">
        <f>VLOOKUP(J169,'[63]ТР нефть'!$J$28:$BP$638,40,0)</f>
        <v>ГП</v>
      </c>
      <c r="AX169" s="115">
        <f>VLOOKUP(J169,'[63]ТР нефть'!$J$28:$BP$638,41,0)</f>
        <v>1201</v>
      </c>
      <c r="AY169" s="115" t="str">
        <f>VLOOKUP(J169,'[63]ТР нефть'!$J$28:$BP$638,42,0)</f>
        <v>ГП</v>
      </c>
      <c r="AZ169" s="115">
        <f>VLOOKUP(J169,'[63]ТР нефть'!$J$28:$BP$638,43,0)</f>
        <v>1720</v>
      </c>
      <c r="BA169" s="115" t="str">
        <f>VLOOKUP(J169,'[63]ТР нефть'!$J$28:$BP$638,44,0)</f>
        <v>ЦКсОК 5/16</v>
      </c>
      <c r="BB169" s="115" t="str">
        <f>VLOOKUP(J169,'[63]ТР нефть'!$J$28:$BP$638,45,0)</f>
        <v>-</v>
      </c>
      <c r="BC169" s="115" t="str">
        <f>VLOOKUP(J169,'[63]ТР нефть'!$J$28:$BP$638,46,0)</f>
        <v>-</v>
      </c>
      <c r="BD169" s="115" t="str">
        <f>VLOOKUP(J169,'[63]ТР нефть'!$J$28:$BP$638,47,0)</f>
        <v>-</v>
      </c>
      <c r="BE169" s="115" t="str">
        <f>VLOOKUP(J169,'[63]ТР нефть'!$J$28:$BP$638,48,0)</f>
        <v>-</v>
      </c>
      <c r="BF169" s="115" t="str">
        <f>VLOOKUP(J169,'[63]ТР нефть'!$J$28:$BP$638,49,0)</f>
        <v>-</v>
      </c>
      <c r="BG169" s="115" t="str">
        <f>VLOOKUP(J169,'[63]ТР нефть'!$J$28:$BP$638,50,0)</f>
        <v>-</v>
      </c>
      <c r="BH169" s="115">
        <f>VLOOKUP(J169,'[63]ТР нефть'!$J$28:$BP$638,51,0)</f>
        <v>1731</v>
      </c>
      <c r="BI169" s="115" t="str">
        <f>VLOOKUP(J169,'[63]ТР нефть'!$J$28:$BP$638,52,0)</f>
        <v>закрыт</v>
      </c>
      <c r="BJ169" s="115" t="str">
        <f>IF(IFERROR(VLOOKUP(J169,'[63]ТР нефть'!$J$28:$BP$638,53,0),"-")=0,"-",IFERROR(VLOOKUP(J169,'[63]ТР нефть'!$J$28:$BP$638,53,0),"-"))</f>
        <v>-</v>
      </c>
      <c r="BK169" s="138" t="str">
        <f>IF(IFERROR(VLOOKUP(J169,'[63]ТР нефть'!$J$28:$BP$638,54,0),"-")=0,"-",IFERROR(VLOOKUP(J169,'[63]ТР нефть'!$J$28:$BP$638,54,0),"-"))</f>
        <v>-</v>
      </c>
      <c r="BL169" s="138" t="str">
        <f>IF(IFERROR(VLOOKUP(J169,'[63]ТР нефть'!$J$28:$BP$638,55,0),"-")=0,"-",IFERROR(VLOOKUP(J169,'[63]ТР нефть'!$J$28:$BP$638,55,0),"-"))</f>
        <v>-</v>
      </c>
      <c r="BM169" s="138" t="str">
        <f>IF(IFERROR(VLOOKUP(J169,'[63]ТР нефть'!$J$28:$BP$638,56,0),"-")=0,"-",IFERROR(VLOOKUP(J169,'[63]ТР нефть'!$J$28:$BP$638,56,0),"-"))</f>
        <v>-</v>
      </c>
      <c r="BN169" s="138" t="str">
        <f>IF(IFERROR(VLOOKUP(J169,'[63]ТР нефть'!$J$28:$BP$638,57,0),"-")=0,"-",IFERROR(VLOOKUP(J169,'[63]ТР нефть'!$J$28:$BP$638,57,0),"-"))</f>
        <v>-</v>
      </c>
      <c r="BO169" s="115" t="str">
        <f>IF(IFERROR(VLOOKUP(J169,'[63]ТР нефть'!$J$28:$BP$638,58,0),"-")=0,"-",IFERROR(VLOOKUP(J169,'[63]ТР нефть'!$J$28:$BP$638,58,0),"-"))</f>
        <v>-</v>
      </c>
      <c r="BP169" s="115" t="str">
        <f>IF(IFERROR(VLOOKUP(J169,'[63]ТР нефть'!$J$28:$BP$638,59,0),"-")=0,"-",IFERROR(VLOOKUP(J169,'[63]ТР нефть'!$J$28:$BP$638,59,0),"-"))</f>
        <v>-</v>
      </c>
      <c r="BQ169" s="138">
        <v>2370</v>
      </c>
      <c r="BR169" s="128">
        <v>1874.68</v>
      </c>
      <c r="BS169" s="115">
        <f t="shared" si="105"/>
        <v>495.31999999999994</v>
      </c>
      <c r="BT169" s="128">
        <v>73</v>
      </c>
      <c r="BU169" s="128">
        <v>5.5</v>
      </c>
      <c r="BV169" s="127">
        <v>65</v>
      </c>
      <c r="BW169" s="127" t="s">
        <v>217</v>
      </c>
      <c r="BX169" s="127" t="s">
        <v>195</v>
      </c>
      <c r="BY169" s="139">
        <v>24</v>
      </c>
      <c r="BZ169" s="139">
        <v>0</v>
      </c>
      <c r="CA169" s="138">
        <v>35</v>
      </c>
      <c r="CB169" s="138">
        <v>17</v>
      </c>
      <c r="CC169" s="138">
        <v>34</v>
      </c>
      <c r="CD169" s="135">
        <v>45017</v>
      </c>
      <c r="CE169" s="138">
        <v>126.4</v>
      </c>
      <c r="CF169" s="138"/>
      <c r="CG169" s="138" t="str">
        <f t="shared" si="132"/>
        <v/>
      </c>
      <c r="CH169" s="138" t="s">
        <v>197</v>
      </c>
      <c r="CI169" s="127"/>
      <c r="CJ169" s="138"/>
      <c r="CK169" s="138"/>
      <c r="CL169" s="99"/>
      <c r="CM169" s="138"/>
      <c r="CN169" s="154">
        <v>59</v>
      </c>
      <c r="CO169" s="159">
        <f t="shared" si="106"/>
        <v>2.2637876799999996</v>
      </c>
      <c r="CP169" s="160">
        <v>2.8</v>
      </c>
      <c r="CQ169" s="161">
        <v>3.29</v>
      </c>
      <c r="CR169" s="119">
        <v>110</v>
      </c>
      <c r="CS169" s="139"/>
      <c r="CT169" s="138"/>
      <c r="CU169" s="138">
        <f t="shared" si="134"/>
        <v>110</v>
      </c>
      <c r="CV169" s="115">
        <f t="shared" si="135"/>
        <v>48591.129358915859</v>
      </c>
      <c r="CW169" s="115" t="str">
        <f t="shared" si="109"/>
        <v/>
      </c>
      <c r="CX169" s="133">
        <f t="shared" si="136"/>
        <v>4.1543026706231445E-2</v>
      </c>
      <c r="CY169" s="116"/>
      <c r="CZ169" s="131"/>
      <c r="DA169" s="145" t="str">
        <f t="shared" si="111"/>
        <v>Фон.</v>
      </c>
      <c r="DB169" s="146">
        <f t="shared" si="112"/>
        <v>2.2637876799999996</v>
      </c>
      <c r="DC169" s="142">
        <f t="shared" si="113"/>
        <v>2.8</v>
      </c>
      <c r="DD169" s="119">
        <f t="shared" si="114"/>
        <v>3.29</v>
      </c>
      <c r="DE169" s="115">
        <f t="shared" si="115"/>
        <v>110</v>
      </c>
      <c r="DF169" s="121">
        <f t="shared" si="116"/>
        <v>0</v>
      </c>
      <c r="DG169" s="115">
        <f t="shared" si="117"/>
        <v>48591.129358915859</v>
      </c>
      <c r="DH169" s="115">
        <f t="shared" si="118"/>
        <v>59</v>
      </c>
      <c r="DI169" s="147"/>
      <c r="DJ169" s="111">
        <v>41725</v>
      </c>
      <c r="DK169" s="112">
        <v>39123</v>
      </c>
      <c r="DL169" s="113">
        <f t="shared" ca="1" si="87"/>
        <v>5981</v>
      </c>
      <c r="DM169" s="114"/>
      <c r="DN169" s="114"/>
      <c r="DO169" s="114"/>
      <c r="DP169" s="114"/>
      <c r="DQ169" s="112">
        <v>40823</v>
      </c>
      <c r="DR169" s="114" t="s">
        <v>198</v>
      </c>
      <c r="DS169" s="114"/>
      <c r="DT169" s="115">
        <v>60</v>
      </c>
      <c r="DU169" s="116">
        <f t="shared" si="88"/>
        <v>4.2168674698795178E-2</v>
      </c>
      <c r="DV169" s="117">
        <f t="shared" si="89"/>
        <v>2.2637876799999996</v>
      </c>
      <c r="DW169" s="118">
        <f t="shared" si="90"/>
        <v>2.8</v>
      </c>
      <c r="DX169" s="119">
        <f t="shared" si="119"/>
        <v>3.29</v>
      </c>
      <c r="DY169" s="115">
        <f t="shared" si="91"/>
        <v>110</v>
      </c>
      <c r="DZ169" s="117">
        <f t="shared" si="92"/>
        <v>0</v>
      </c>
      <c r="EA169" s="120">
        <f t="shared" si="92"/>
        <v>0</v>
      </c>
      <c r="EB169" s="119">
        <f t="shared" si="92"/>
        <v>0</v>
      </c>
      <c r="EC169" s="121">
        <f t="shared" si="93"/>
        <v>0</v>
      </c>
      <c r="ED169" s="122"/>
      <c r="EE169" s="145">
        <v>65</v>
      </c>
      <c r="EF169" s="115">
        <v>35</v>
      </c>
      <c r="EG169" s="115">
        <v>17</v>
      </c>
      <c r="EH169" s="115">
        <v>34</v>
      </c>
      <c r="EI169" s="128" t="s">
        <v>195</v>
      </c>
      <c r="EJ169" s="121">
        <v>24</v>
      </c>
      <c r="EK169" s="121">
        <v>0</v>
      </c>
      <c r="EL169" s="162">
        <v>2.2637876799999996</v>
      </c>
      <c r="EM169" s="142">
        <v>2.8</v>
      </c>
      <c r="EN169" s="119">
        <v>3.29</v>
      </c>
      <c r="EO169" s="115">
        <v>110</v>
      </c>
      <c r="EP169" s="115">
        <v>48591.129358915859</v>
      </c>
      <c r="EQ169" s="115">
        <v>0</v>
      </c>
      <c r="ER169" s="115">
        <v>0</v>
      </c>
      <c r="ES169" s="115">
        <v>59</v>
      </c>
      <c r="ET169" s="150">
        <v>4.1543026706231445E-2</v>
      </c>
      <c r="EU169" s="145">
        <f t="shared" si="120"/>
        <v>65</v>
      </c>
      <c r="EV169" s="115">
        <f t="shared" si="121"/>
        <v>35</v>
      </c>
      <c r="EW169" s="115">
        <f t="shared" si="121"/>
        <v>17</v>
      </c>
      <c r="EX169" s="115">
        <f t="shared" si="121"/>
        <v>34</v>
      </c>
      <c r="EY169" s="115" t="str">
        <f t="shared" si="122"/>
        <v>Постоянный</v>
      </c>
      <c r="EZ169" s="115">
        <f t="shared" si="122"/>
        <v>24</v>
      </c>
      <c r="FA169" s="115">
        <f t="shared" si="122"/>
        <v>0</v>
      </c>
      <c r="FB169" s="149">
        <f t="shared" si="123"/>
        <v>2.2637876799999996</v>
      </c>
      <c r="FC169" s="142">
        <f t="shared" si="123"/>
        <v>2.8</v>
      </c>
      <c r="FD169" s="119">
        <f t="shared" si="123"/>
        <v>3.29</v>
      </c>
      <c r="FE169" s="121">
        <f t="shared" si="103"/>
        <v>110</v>
      </c>
      <c r="FF169" s="121">
        <f t="shared" si="94"/>
        <v>48591.129358915859</v>
      </c>
      <c r="FG169" s="121">
        <f t="shared" si="124"/>
        <v>0</v>
      </c>
      <c r="FH169" s="121">
        <f t="shared" si="95"/>
        <v>0</v>
      </c>
      <c r="FI169" s="121">
        <f t="shared" si="131"/>
        <v>59</v>
      </c>
      <c r="FJ169" s="144">
        <f t="shared" si="125"/>
        <v>4.1543026706231445E-2</v>
      </c>
      <c r="FK169" s="132">
        <f t="shared" si="126"/>
        <v>0</v>
      </c>
      <c r="FL169" s="115">
        <f t="shared" si="126"/>
        <v>0</v>
      </c>
      <c r="FM169" s="115">
        <f t="shared" si="126"/>
        <v>0</v>
      </c>
      <c r="FN169" s="115">
        <f t="shared" si="126"/>
        <v>0</v>
      </c>
      <c r="FO169" s="115">
        <f t="shared" si="100"/>
        <v>0</v>
      </c>
      <c r="FP169" s="115">
        <f t="shared" si="100"/>
        <v>0</v>
      </c>
      <c r="FQ169" s="149">
        <f t="shared" si="100"/>
        <v>0</v>
      </c>
      <c r="FR169" s="142">
        <f t="shared" si="100"/>
        <v>0</v>
      </c>
      <c r="FS169" s="119">
        <f t="shared" si="100"/>
        <v>0</v>
      </c>
      <c r="FT169" s="121">
        <f t="shared" si="100"/>
        <v>0</v>
      </c>
      <c r="FU169" s="121">
        <f t="shared" si="127"/>
        <v>0</v>
      </c>
      <c r="FV169" s="121">
        <f t="shared" si="127"/>
        <v>0</v>
      </c>
      <c r="FW169" s="121">
        <f t="shared" si="128"/>
        <v>0</v>
      </c>
      <c r="FX169" s="121">
        <f t="shared" si="129"/>
        <v>0</v>
      </c>
      <c r="FY169" s="144">
        <f t="shared" si="129"/>
        <v>0</v>
      </c>
      <c r="FZ169" s="145"/>
      <c r="GA169" s="151" t="s">
        <v>427</v>
      </c>
      <c r="GB169" s="145"/>
      <c r="GC169" s="151"/>
      <c r="GD169" s="997" t="s">
        <v>416</v>
      </c>
      <c r="GE169" s="1004"/>
      <c r="GF169" s="1004">
        <v>0</v>
      </c>
      <c r="GG169" s="1004"/>
      <c r="GH169" s="1004">
        <v>0</v>
      </c>
      <c r="GI169" s="145"/>
      <c r="GJ169" s="996">
        <v>0</v>
      </c>
      <c r="GK169" s="145"/>
      <c r="GL169" s="996">
        <v>0</v>
      </c>
      <c r="GM169" s="1005"/>
      <c r="GN169" s="996">
        <v>0</v>
      </c>
      <c r="GO169" s="1006"/>
      <c r="GP169" s="996">
        <v>0</v>
      </c>
      <c r="GQ169" s="1006"/>
      <c r="GR169" s="996">
        <v>0</v>
      </c>
      <c r="GS169" s="1006"/>
      <c r="GT169" s="996">
        <v>0</v>
      </c>
      <c r="GU169" s="1006"/>
      <c r="GV169" s="996">
        <v>0</v>
      </c>
      <c r="GW169" s="1006"/>
      <c r="GX169" s="996">
        <v>0</v>
      </c>
      <c r="GY169" s="1006"/>
      <c r="GZ169" s="996">
        <v>0</v>
      </c>
      <c r="HA169" s="1006" t="s">
        <v>204</v>
      </c>
      <c r="HB169" s="996">
        <v>0</v>
      </c>
      <c r="HC169" s="1006" t="s">
        <v>204</v>
      </c>
      <c r="HD169" s="996">
        <v>-4.4549637439999987</v>
      </c>
      <c r="HE169" s="1006"/>
      <c r="HF169" s="996">
        <v>0</v>
      </c>
      <c r="HG169" s="1006"/>
      <c r="HH169" s="996">
        <v>0</v>
      </c>
      <c r="HI169" s="1006"/>
      <c r="HJ169" s="996">
        <v>0</v>
      </c>
      <c r="HK169" s="1006"/>
      <c r="HL169" s="996">
        <v>0</v>
      </c>
      <c r="HM169" s="1006"/>
      <c r="HN169" s="996">
        <v>0</v>
      </c>
      <c r="HO169" s="1006"/>
      <c r="HP169" s="996">
        <v>0</v>
      </c>
      <c r="HQ169" s="1006"/>
      <c r="HR169" s="996">
        <v>0</v>
      </c>
      <c r="HS169" s="1006"/>
      <c r="HT169" s="996">
        <v>0</v>
      </c>
      <c r="HU169" s="1006"/>
      <c r="HV169" s="996">
        <v>0</v>
      </c>
      <c r="HW169" s="1006"/>
      <c r="HX169" s="996">
        <v>0</v>
      </c>
      <c r="HY169" s="1006" t="s">
        <v>204</v>
      </c>
      <c r="HZ169" s="996">
        <v>-1.3872048960000019</v>
      </c>
      <c r="IA169" s="1006"/>
      <c r="IB169" s="996">
        <v>0.85745844800000182</v>
      </c>
      <c r="IC169" s="1006"/>
      <c r="ID169" s="996">
        <v>-0.43347268800000105</v>
      </c>
      <c r="IE169" s="1006"/>
      <c r="IF169" s="996">
        <v>6.1645971199999039E-2</v>
      </c>
      <c r="IG169" s="1006"/>
      <c r="IH169" s="996">
        <v>-0.23542194719999987</v>
      </c>
      <c r="II169" s="1006" t="s">
        <v>223</v>
      </c>
      <c r="IJ169" s="996">
        <v>-1.6112211279999995</v>
      </c>
      <c r="IK169" s="1006" t="s">
        <v>199</v>
      </c>
      <c r="IL169" s="996">
        <v>-1.2923523359999987</v>
      </c>
      <c r="IM169" s="1006"/>
      <c r="IN169" s="996">
        <v>0</v>
      </c>
      <c r="IO169" s="1006"/>
      <c r="IP169" s="996">
        <v>0</v>
      </c>
      <c r="IQ169" s="1006"/>
      <c r="IR169" s="996">
        <v>-0.55451880000000031</v>
      </c>
      <c r="IS169" s="1006"/>
      <c r="IT169" s="996">
        <v>0</v>
      </c>
      <c r="IU169" s="1006"/>
      <c r="IV169" s="996">
        <v>0</v>
      </c>
      <c r="IW169" s="1006"/>
      <c r="IX169" s="996">
        <v>0</v>
      </c>
      <c r="IY169" s="1006"/>
      <c r="IZ169" s="996">
        <v>0</v>
      </c>
      <c r="JA169" s="1006"/>
      <c r="JB169" s="996">
        <v>0</v>
      </c>
      <c r="JC169" s="1006"/>
      <c r="JD169" s="996">
        <v>0.61303879999999822</v>
      </c>
      <c r="JE169" s="1006"/>
      <c r="JF169" s="996">
        <v>0</v>
      </c>
      <c r="JG169" s="1006"/>
      <c r="JH169" s="996">
        <v>0</v>
      </c>
      <c r="JI169" s="1006"/>
      <c r="JJ169" s="996">
        <v>0</v>
      </c>
      <c r="JK169" s="1007"/>
      <c r="JL169" s="1007">
        <v>0</v>
      </c>
      <c r="JM169" s="1007"/>
      <c r="JN169" s="1007">
        <v>0</v>
      </c>
      <c r="JO169" s="1008"/>
      <c r="JP169" s="1007">
        <v>0</v>
      </c>
      <c r="JQ169" s="1008">
        <v>0</v>
      </c>
      <c r="JR169" s="1007">
        <v>0</v>
      </c>
      <c r="JS169" s="1008" t="s">
        <v>223</v>
      </c>
      <c r="JT169" s="1007">
        <v>-2.6751999999999985</v>
      </c>
      <c r="JU169" s="1008"/>
      <c r="JV169" s="1007">
        <v>-0.32068959999999791</v>
      </c>
      <c r="JW169" s="1008" t="s">
        <v>197</v>
      </c>
      <c r="JX169" s="1007">
        <v>0</v>
      </c>
      <c r="JY169" s="1008"/>
      <c r="JZ169" s="1007">
        <v>0</v>
      </c>
      <c r="KA169" s="1008"/>
      <c r="KB169" s="1007">
        <v>0</v>
      </c>
      <c r="KC169" s="1008"/>
      <c r="KD169" s="1007">
        <v>0</v>
      </c>
      <c r="KE169" s="1008"/>
      <c r="KF169" s="1007">
        <v>0</v>
      </c>
      <c r="KG169" s="1008"/>
      <c r="KH169" s="1007">
        <v>0</v>
      </c>
      <c r="KI169" s="1008"/>
      <c r="KJ169" s="1007">
        <v>0</v>
      </c>
      <c r="KK169" s="1008"/>
      <c r="KL169" s="1007">
        <v>0</v>
      </c>
      <c r="KM169" s="1008" t="s">
        <v>206</v>
      </c>
      <c r="KN169" s="1007">
        <v>-1.3362624000000007</v>
      </c>
      <c r="KO169" s="1008"/>
      <c r="KP169" s="1007">
        <v>0</v>
      </c>
      <c r="KQ169" s="1008" t="s">
        <v>207</v>
      </c>
      <c r="KR169" s="1007">
        <v>-1.6703280000000014</v>
      </c>
      <c r="KS169" s="1008" t="s">
        <v>204</v>
      </c>
      <c r="KT169" s="1007">
        <v>-1.6703280000000014</v>
      </c>
      <c r="KU169" s="1008">
        <v>0</v>
      </c>
      <c r="KV169" s="1007">
        <v>0</v>
      </c>
      <c r="KW169" s="1008">
        <v>0</v>
      </c>
      <c r="KX169" s="1007">
        <v>0</v>
      </c>
      <c r="KY169" s="1008">
        <v>0</v>
      </c>
      <c r="KZ169" s="1007">
        <v>0</v>
      </c>
      <c r="LA169" s="1008">
        <v>0</v>
      </c>
      <c r="LB169" s="1007">
        <v>0</v>
      </c>
      <c r="LC169" s="1008">
        <v>0</v>
      </c>
      <c r="LD169" s="1007">
        <v>0</v>
      </c>
      <c r="LE169" s="1008" t="s">
        <v>204</v>
      </c>
      <c r="LF169" s="1007">
        <v>2.5054920000000003</v>
      </c>
      <c r="LG169" s="1008">
        <v>0</v>
      </c>
      <c r="LH169" s="1007">
        <v>0</v>
      </c>
      <c r="LI169" s="1008">
        <v>0</v>
      </c>
      <c r="LJ169" s="1007">
        <v>0</v>
      </c>
      <c r="LK169" s="1008">
        <v>0</v>
      </c>
      <c r="LL169" s="1007">
        <v>0</v>
      </c>
      <c r="LM169" s="1008">
        <v>0</v>
      </c>
      <c r="LN169" s="1007">
        <v>0</v>
      </c>
      <c r="LO169" s="1008">
        <v>0</v>
      </c>
      <c r="LP169" s="1007">
        <v>0</v>
      </c>
      <c r="LQ169" s="1008">
        <v>0</v>
      </c>
      <c r="LR169" s="1007">
        <v>0</v>
      </c>
      <c r="LS169" s="1008">
        <v>0</v>
      </c>
      <c r="LT169" s="1007">
        <v>0</v>
      </c>
      <c r="LU169" s="1008">
        <v>0</v>
      </c>
      <c r="LV169" s="1007">
        <v>0</v>
      </c>
      <c r="LW169" s="1008">
        <v>0</v>
      </c>
      <c r="LX169" s="1007">
        <v>0</v>
      </c>
      <c r="LY169" s="1009">
        <v>0</v>
      </c>
      <c r="LZ169" s="1010">
        <v>1.6732800000000001</v>
      </c>
      <c r="MA169" s="1011" t="s">
        <v>223</v>
      </c>
      <c r="MB169" s="1012">
        <v>-7.8171353999999997</v>
      </c>
      <c r="MC169" s="995"/>
      <c r="MD169" s="996"/>
      <c r="ME169" s="997" t="s">
        <v>416</v>
      </c>
      <c r="MF169" s="997"/>
      <c r="MG169" s="998"/>
      <c r="NR169" s="1000"/>
      <c r="NS169" s="1000"/>
      <c r="NT169" s="1001"/>
      <c r="NU169" s="1000"/>
      <c r="NV169" s="1001"/>
      <c r="NX169" s="1002"/>
      <c r="NZ169" s="1001"/>
      <c r="OA169" s="1001"/>
      <c r="OC169" s="1003"/>
      <c r="OD169" s="1003"/>
      <c r="OE169" s="1001"/>
      <c r="OF169" s="1003"/>
      <c r="OG169" s="1003"/>
      <c r="QX169" s="1000">
        <f>CN169-CA169</f>
        <v>24</v>
      </c>
      <c r="ASU169" s="999" t="s">
        <v>292</v>
      </c>
    </row>
    <row r="170" spans="1:466 1191:1191" ht="21" customHeight="1" x14ac:dyDescent="0.25">
      <c r="A170" s="982" t="str">
        <f t="shared" si="104"/>
        <v>1069-2</v>
      </c>
      <c r="B170" s="124">
        <f>SUBTOTAL(103,$J$29:J170)</f>
        <v>142</v>
      </c>
      <c r="C170" s="126">
        <v>45068</v>
      </c>
      <c r="D170" s="124" t="s">
        <v>176</v>
      </c>
      <c r="E170" s="127" t="s">
        <v>177</v>
      </c>
      <c r="F170" s="128" t="s">
        <v>177</v>
      </c>
      <c r="G170" s="127" t="s">
        <v>178</v>
      </c>
      <c r="H170" s="127" t="s">
        <v>408</v>
      </c>
      <c r="I170" s="127" t="s">
        <v>632</v>
      </c>
      <c r="J170" s="152" t="s">
        <v>854</v>
      </c>
      <c r="K170" s="127" t="s">
        <v>852</v>
      </c>
      <c r="L170" s="130">
        <v>39490</v>
      </c>
      <c r="M170" s="127" t="s">
        <v>230</v>
      </c>
      <c r="N170" s="127" t="s">
        <v>231</v>
      </c>
      <c r="O170" s="127" t="s">
        <v>855</v>
      </c>
      <c r="P170" s="127" t="s">
        <v>292</v>
      </c>
      <c r="Q170" s="85" t="str">
        <f t="shared" si="133"/>
        <v/>
      </c>
      <c r="R170" s="130"/>
      <c r="S170" s="128" t="s">
        <v>156</v>
      </c>
      <c r="T170" s="131"/>
      <c r="U170" s="132">
        <v>203</v>
      </c>
      <c r="V170" s="121">
        <v>218.2</v>
      </c>
      <c r="W170" s="116">
        <v>0.98</v>
      </c>
      <c r="X170" s="116">
        <v>1.66</v>
      </c>
      <c r="Y170" s="116">
        <f t="shared" si="86"/>
        <v>1.0025044123011999</v>
      </c>
      <c r="Z170" s="133">
        <v>1.454</v>
      </c>
      <c r="AA170" s="133">
        <v>0.83599999999999997</v>
      </c>
      <c r="AB170" s="133">
        <v>0.72</v>
      </c>
      <c r="AC170" s="121">
        <v>34.299999999999997</v>
      </c>
      <c r="AD170" s="134">
        <v>1.17</v>
      </c>
      <c r="AE170" s="124">
        <v>139.69999999999999</v>
      </c>
      <c r="AF170" s="128">
        <v>7.72</v>
      </c>
      <c r="AG170" s="128">
        <v>1925</v>
      </c>
      <c r="AH170" s="127" t="s">
        <v>856</v>
      </c>
      <c r="AI170" s="127" t="s">
        <v>856</v>
      </c>
      <c r="AJ170" s="135"/>
      <c r="AK170" s="128"/>
      <c r="AL170" s="131"/>
      <c r="AM170" s="124" t="s">
        <v>232</v>
      </c>
      <c r="AN170" s="136" t="s">
        <v>857</v>
      </c>
      <c r="AO170" s="137">
        <v>91.26</v>
      </c>
      <c r="AP170" s="128">
        <v>1925</v>
      </c>
      <c r="AQ170" s="128">
        <v>60.7</v>
      </c>
      <c r="AR170" s="128"/>
      <c r="AS170" s="128"/>
      <c r="AT170" s="122"/>
      <c r="AU170" s="124" t="s">
        <v>250</v>
      </c>
      <c r="AV170" s="115">
        <f>VLOOKUP(J170,'[63]ТР нефть'!$J$28:$BP$638,39,0)</f>
        <v>600</v>
      </c>
      <c r="AW170" s="115" t="str">
        <f>VLOOKUP(J170,'[63]ТР нефть'!$J$28:$BP$638,40,0)</f>
        <v>ГП</v>
      </c>
      <c r="AX170" s="115">
        <f>VLOOKUP(J170,'[63]ТР нефть'!$J$28:$BP$638,41,0)</f>
        <v>1200</v>
      </c>
      <c r="AY170" s="115" t="str">
        <f>VLOOKUP(J170,'[63]ТР нефть'!$J$28:$BP$638,42,0)</f>
        <v>ГП</v>
      </c>
      <c r="AZ170" s="115">
        <f>VLOOKUP(J170,'[63]ТР нефть'!$J$28:$BP$638,43,0)</f>
        <v>1745</v>
      </c>
      <c r="BA170" s="115" t="str">
        <f>VLOOKUP(J170,'[63]ТР нефть'!$J$28:$BP$638,44,0)</f>
        <v>ЦКсОК 5/16</v>
      </c>
      <c r="BB170" s="115" t="str">
        <f>VLOOKUP(J170,'[63]ТР нефть'!$J$28:$BP$638,45,0)</f>
        <v>-</v>
      </c>
      <c r="BC170" s="115" t="str">
        <f>VLOOKUP(J170,'[63]ТР нефть'!$J$28:$BP$638,46,0)</f>
        <v>-</v>
      </c>
      <c r="BD170" s="115" t="str">
        <f>VLOOKUP(J170,'[63]ТР нефть'!$J$28:$BP$638,47,0)</f>
        <v>-</v>
      </c>
      <c r="BE170" s="115" t="str">
        <f>VLOOKUP(J170,'[63]ТР нефть'!$J$28:$BP$638,48,0)</f>
        <v>-</v>
      </c>
      <c r="BF170" s="115" t="str">
        <f>VLOOKUP(J170,'[63]ТР нефть'!$J$28:$BP$638,49,0)</f>
        <v>-</v>
      </c>
      <c r="BG170" s="115" t="str">
        <f>VLOOKUP(J170,'[63]ТР нефть'!$J$28:$BP$638,50,0)</f>
        <v>-</v>
      </c>
      <c r="BH170" s="115">
        <f>VLOOKUP(J170,'[63]ТР нефть'!$J$28:$BP$638,51,0)</f>
        <v>1757</v>
      </c>
      <c r="BI170" s="115" t="str">
        <f>VLOOKUP(J170,'[63]ТР нефть'!$J$28:$BP$638,52,0)</f>
        <v>закрыт</v>
      </c>
      <c r="BJ170" s="115" t="str">
        <f>IF(IFERROR(VLOOKUP(J170,'[63]ТР нефть'!$J$28:$BP$638,53,0),"-")=0,"-",IFERROR(VLOOKUP(J170,'[63]ТР нефть'!$J$28:$BP$638,53,0),"-"))</f>
        <v>-</v>
      </c>
      <c r="BK170" s="138" t="str">
        <f>IF(IFERROR(VLOOKUP(J170,'[63]ТР нефть'!$J$28:$BP$638,54,0),"-")=0,"-",IFERROR(VLOOKUP(J170,'[63]ТР нефть'!$J$28:$BP$638,54,0),"-"))</f>
        <v>-</v>
      </c>
      <c r="BL170" s="138" t="str">
        <f>IF(IFERROR(VLOOKUP(J170,'[63]ТР нефть'!$J$28:$BP$638,55,0),"-")=0,"-",IFERROR(VLOOKUP(J170,'[63]ТР нефть'!$J$28:$BP$638,55,0),"-"))</f>
        <v>-</v>
      </c>
      <c r="BM170" s="138" t="str">
        <f>IF(IFERROR(VLOOKUP(J170,'[63]ТР нефть'!$J$28:$BP$638,56,0),"-")=0,"-",IFERROR(VLOOKUP(J170,'[63]ТР нефть'!$J$28:$BP$638,56,0),"-"))</f>
        <v>-</v>
      </c>
      <c r="BN170" s="138" t="str">
        <f>IF(IFERROR(VLOOKUP(J170,'[63]ТР нефть'!$J$28:$BP$638,57,0),"-")=0,"-",IFERROR(VLOOKUP(J170,'[63]ТР нефть'!$J$28:$BP$638,57,0),"-"))</f>
        <v>-</v>
      </c>
      <c r="BO170" s="115" t="str">
        <f>IF(IFERROR(VLOOKUP(J170,'[63]ТР нефть'!$J$28:$BP$638,58,0),"-")=0,"-",IFERROR(VLOOKUP(J170,'[63]ТР нефть'!$J$28:$BP$638,58,0),"-"))</f>
        <v>-</v>
      </c>
      <c r="BP170" s="115" t="str">
        <f>IF(IFERROR(VLOOKUP(J170,'[63]ТР нефть'!$J$28:$BP$638,59,0),"-")=0,"-",IFERROR(VLOOKUP(J170,'[63]ТР нефть'!$J$28:$BP$638,59,0),"-"))</f>
        <v>-</v>
      </c>
      <c r="BQ170" s="138">
        <v>1930</v>
      </c>
      <c r="BR170" s="128">
        <v>1864.1</v>
      </c>
      <c r="BS170" s="115">
        <f t="shared" si="105"/>
        <v>65.900000000000091</v>
      </c>
      <c r="BT170" s="128">
        <v>73</v>
      </c>
      <c r="BU170" s="128">
        <v>5.5</v>
      </c>
      <c r="BV170" s="127">
        <v>18</v>
      </c>
      <c r="BW170" s="127" t="s">
        <v>217</v>
      </c>
      <c r="BX170" s="127" t="s">
        <v>218</v>
      </c>
      <c r="BY170" s="139">
        <v>24</v>
      </c>
      <c r="BZ170" s="139">
        <v>72</v>
      </c>
      <c r="CA170" s="138">
        <v>19</v>
      </c>
      <c r="CB170" s="138">
        <v>44</v>
      </c>
      <c r="CC170" s="138">
        <v>18</v>
      </c>
      <c r="CD170" s="135">
        <v>45017</v>
      </c>
      <c r="CE170" s="138">
        <v>106</v>
      </c>
      <c r="CF170" s="138"/>
      <c r="CG170" s="138" t="str">
        <f t="shared" si="132"/>
        <v/>
      </c>
      <c r="CH170" s="138" t="s">
        <v>197</v>
      </c>
      <c r="CI170" s="127"/>
      <c r="CJ170" s="138"/>
      <c r="CK170" s="138"/>
      <c r="CL170" s="99"/>
      <c r="CM170" s="138"/>
      <c r="CN170" s="154">
        <v>41</v>
      </c>
      <c r="CO170" s="159">
        <f t="shared" si="106"/>
        <v>3.1607487999999999</v>
      </c>
      <c r="CP170" s="160">
        <v>4</v>
      </c>
      <c r="CQ170" s="161">
        <v>5.48</v>
      </c>
      <c r="CR170" s="138">
        <f>42/3</f>
        <v>14</v>
      </c>
      <c r="CS170" s="139"/>
      <c r="CT170" s="138"/>
      <c r="CU170" s="138">
        <f t="shared" si="134"/>
        <v>14</v>
      </c>
      <c r="CV170" s="115">
        <f t="shared" si="135"/>
        <v>4429.3301637890363</v>
      </c>
      <c r="CW170" s="115" t="str">
        <f t="shared" si="109"/>
        <v/>
      </c>
      <c r="CX170" s="133">
        <f t="shared" si="136"/>
        <v>6.1538461538461542E-2</v>
      </c>
      <c r="CY170" s="116"/>
      <c r="CZ170" s="131"/>
      <c r="DA170" s="145" t="str">
        <f t="shared" si="111"/>
        <v>Фон.</v>
      </c>
      <c r="DB170" s="146">
        <f t="shared" si="112"/>
        <v>3.1607487999999999</v>
      </c>
      <c r="DC170" s="142">
        <f t="shared" si="113"/>
        <v>4</v>
      </c>
      <c r="DD170" s="119">
        <f t="shared" si="114"/>
        <v>5.48</v>
      </c>
      <c r="DE170" s="115">
        <f t="shared" si="115"/>
        <v>14</v>
      </c>
      <c r="DF170" s="121">
        <f t="shared" si="116"/>
        <v>0</v>
      </c>
      <c r="DG170" s="115">
        <f t="shared" si="117"/>
        <v>4429.3301637890363</v>
      </c>
      <c r="DH170" s="115">
        <f t="shared" si="118"/>
        <v>41</v>
      </c>
      <c r="DI170" s="147"/>
      <c r="DJ170" s="111" t="s">
        <v>197</v>
      </c>
      <c r="DK170" s="112">
        <v>41180</v>
      </c>
      <c r="DL170" s="113">
        <f t="shared" ca="1" si="87"/>
        <v>3924</v>
      </c>
      <c r="DM170" s="114"/>
      <c r="DN170" s="114"/>
      <c r="DO170" s="114"/>
      <c r="DP170" s="114"/>
      <c r="DQ170" s="112">
        <v>39490</v>
      </c>
      <c r="DR170" s="114" t="s">
        <v>324</v>
      </c>
      <c r="DS170" s="114"/>
      <c r="DT170" s="115">
        <v>53</v>
      </c>
      <c r="DU170" s="116">
        <f t="shared" si="88"/>
        <v>7.5471698113207544E-2</v>
      </c>
      <c r="DV170" s="117">
        <f t="shared" si="89"/>
        <v>3.1607487999999999</v>
      </c>
      <c r="DW170" s="118">
        <f t="shared" si="90"/>
        <v>4</v>
      </c>
      <c r="DX170" s="119">
        <f t="shared" si="119"/>
        <v>5.48</v>
      </c>
      <c r="DY170" s="115">
        <f t="shared" si="91"/>
        <v>14</v>
      </c>
      <c r="DZ170" s="117">
        <f t="shared" si="92"/>
        <v>0</v>
      </c>
      <c r="EA170" s="120">
        <f t="shared" si="92"/>
        <v>0</v>
      </c>
      <c r="EB170" s="119">
        <f t="shared" si="92"/>
        <v>0</v>
      </c>
      <c r="EC170" s="121">
        <f t="shared" si="93"/>
        <v>0</v>
      </c>
      <c r="ED170" s="122"/>
      <c r="EE170" s="145">
        <v>18</v>
      </c>
      <c r="EF170" s="115">
        <v>19</v>
      </c>
      <c r="EG170" s="115">
        <v>44</v>
      </c>
      <c r="EH170" s="115">
        <v>18</v>
      </c>
      <c r="EI170" s="128" t="s">
        <v>218</v>
      </c>
      <c r="EJ170" s="121">
        <v>24</v>
      </c>
      <c r="EK170" s="121">
        <v>72</v>
      </c>
      <c r="EL170" s="162">
        <v>3.1607487999999999</v>
      </c>
      <c r="EM170" s="142">
        <v>4</v>
      </c>
      <c r="EN170" s="119">
        <v>5.48</v>
      </c>
      <c r="EO170" s="115">
        <v>14</v>
      </c>
      <c r="EP170" s="115">
        <v>4429.3301637890363</v>
      </c>
      <c r="EQ170" s="115">
        <v>0</v>
      </c>
      <c r="ER170" s="115">
        <v>0</v>
      </c>
      <c r="ES170" s="115">
        <v>41</v>
      </c>
      <c r="ET170" s="150">
        <v>6.1538461538461542E-2</v>
      </c>
      <c r="EU170" s="145">
        <f t="shared" si="120"/>
        <v>18</v>
      </c>
      <c r="EV170" s="115">
        <f t="shared" si="121"/>
        <v>19</v>
      </c>
      <c r="EW170" s="115">
        <f t="shared" si="121"/>
        <v>44</v>
      </c>
      <c r="EX170" s="115">
        <f t="shared" si="121"/>
        <v>18</v>
      </c>
      <c r="EY170" s="115" t="str">
        <f t="shared" si="122"/>
        <v>Периодический</v>
      </c>
      <c r="EZ170" s="115">
        <f t="shared" si="122"/>
        <v>24</v>
      </c>
      <c r="FA170" s="115">
        <f t="shared" si="122"/>
        <v>72</v>
      </c>
      <c r="FB170" s="149">
        <f t="shared" si="123"/>
        <v>3.1607487999999999</v>
      </c>
      <c r="FC170" s="142">
        <f t="shared" si="123"/>
        <v>4</v>
      </c>
      <c r="FD170" s="119">
        <f t="shared" si="123"/>
        <v>5.48</v>
      </c>
      <c r="FE170" s="121">
        <f t="shared" si="103"/>
        <v>14</v>
      </c>
      <c r="FF170" s="121">
        <f t="shared" si="94"/>
        <v>4429.3301637890363</v>
      </c>
      <c r="FG170" s="121">
        <f t="shared" si="124"/>
        <v>0</v>
      </c>
      <c r="FH170" s="121">
        <f t="shared" si="95"/>
        <v>0</v>
      </c>
      <c r="FI170" s="121">
        <f t="shared" si="131"/>
        <v>41</v>
      </c>
      <c r="FJ170" s="144">
        <f t="shared" si="125"/>
        <v>6.1538461538461542E-2</v>
      </c>
      <c r="FK170" s="132">
        <f t="shared" si="126"/>
        <v>0</v>
      </c>
      <c r="FL170" s="115">
        <f t="shared" si="126"/>
        <v>0</v>
      </c>
      <c r="FM170" s="115">
        <f t="shared" si="126"/>
        <v>0</v>
      </c>
      <c r="FN170" s="115">
        <f t="shared" si="126"/>
        <v>0</v>
      </c>
      <c r="FO170" s="115">
        <f t="shared" si="100"/>
        <v>0</v>
      </c>
      <c r="FP170" s="115">
        <f t="shared" si="100"/>
        <v>0</v>
      </c>
      <c r="FQ170" s="149">
        <f t="shared" si="100"/>
        <v>0</v>
      </c>
      <c r="FR170" s="142">
        <f t="shared" si="100"/>
        <v>0</v>
      </c>
      <c r="FS170" s="119">
        <f t="shared" si="100"/>
        <v>0</v>
      </c>
      <c r="FT170" s="121">
        <f t="shared" si="100"/>
        <v>0</v>
      </c>
      <c r="FU170" s="121">
        <f t="shared" si="127"/>
        <v>0</v>
      </c>
      <c r="FV170" s="121">
        <f t="shared" si="127"/>
        <v>0</v>
      </c>
      <c r="FW170" s="121">
        <f t="shared" si="128"/>
        <v>0</v>
      </c>
      <c r="FX170" s="121">
        <f t="shared" si="129"/>
        <v>0</v>
      </c>
      <c r="FY170" s="144">
        <f t="shared" si="129"/>
        <v>0</v>
      </c>
      <c r="FZ170" s="145"/>
      <c r="GA170" s="1039"/>
      <c r="GB170" s="145"/>
      <c r="GC170" s="1039" t="s">
        <v>858</v>
      </c>
      <c r="GD170" s="997" t="s">
        <v>416</v>
      </c>
      <c r="GE170" s="1004"/>
      <c r="GF170" s="1004">
        <v>0</v>
      </c>
      <c r="GG170" s="1004"/>
      <c r="GH170" s="1004">
        <v>0</v>
      </c>
      <c r="GI170" s="145"/>
      <c r="GJ170" s="996">
        <v>0</v>
      </c>
      <c r="GK170" s="145"/>
      <c r="GL170" s="996">
        <v>0</v>
      </c>
      <c r="GM170" s="1005"/>
      <c r="GN170" s="996">
        <v>0</v>
      </c>
      <c r="GO170" s="1006"/>
      <c r="GP170" s="996">
        <v>0</v>
      </c>
      <c r="GQ170" s="1006"/>
      <c r="GR170" s="996">
        <v>0.65776480000000026</v>
      </c>
      <c r="GS170" s="1006"/>
      <c r="GT170" s="996">
        <v>0</v>
      </c>
      <c r="GU170" s="1006"/>
      <c r="GV170" s="996">
        <v>0.63459087999999997</v>
      </c>
      <c r="GW170" s="1006"/>
      <c r="GX170" s="996">
        <v>0</v>
      </c>
      <c r="GY170" s="1006"/>
      <c r="GZ170" s="996">
        <v>0</v>
      </c>
      <c r="HA170" s="1006" t="s">
        <v>223</v>
      </c>
      <c r="HB170" s="996">
        <v>-3.460856080000001</v>
      </c>
      <c r="HC170" s="1006" t="s">
        <v>223</v>
      </c>
      <c r="HD170" s="996">
        <v>-6.9388835999999978</v>
      </c>
      <c r="HE170" s="1006" t="s">
        <v>628</v>
      </c>
      <c r="HF170" s="996">
        <v>-3.5227501760000024</v>
      </c>
      <c r="HG170" s="1006"/>
      <c r="HH170" s="996">
        <v>0</v>
      </c>
      <c r="HI170" s="1006" t="s">
        <v>199</v>
      </c>
      <c r="HJ170" s="996">
        <v>-2.720748623999997</v>
      </c>
      <c r="HK170" s="1006" t="s">
        <v>221</v>
      </c>
      <c r="HL170" s="996">
        <v>18.511631599999998</v>
      </c>
      <c r="HM170" s="1006"/>
      <c r="HN170" s="996">
        <v>0</v>
      </c>
      <c r="HO170" s="1006"/>
      <c r="HP170" s="996">
        <v>0</v>
      </c>
      <c r="HQ170" s="1006"/>
      <c r="HR170" s="996">
        <v>0</v>
      </c>
      <c r="HS170" s="1006"/>
      <c r="HT170" s="996">
        <v>0</v>
      </c>
      <c r="HU170" s="1006"/>
      <c r="HV170" s="996">
        <v>0</v>
      </c>
      <c r="HW170" s="1006"/>
      <c r="HX170" s="996">
        <v>0</v>
      </c>
      <c r="HY170" s="1006"/>
      <c r="HZ170" s="996">
        <v>0</v>
      </c>
      <c r="IA170" s="1006"/>
      <c r="IB170" s="996">
        <v>0</v>
      </c>
      <c r="IC170" s="1006"/>
      <c r="ID170" s="996">
        <v>0</v>
      </c>
      <c r="IE170" s="1006"/>
      <c r="IF170" s="996">
        <v>0</v>
      </c>
      <c r="IG170" s="1006"/>
      <c r="IH170" s="996">
        <v>0</v>
      </c>
      <c r="II170" s="1006"/>
      <c r="IJ170" s="996">
        <v>0</v>
      </c>
      <c r="IK170" s="1006"/>
      <c r="IL170" s="996">
        <v>0</v>
      </c>
      <c r="IM170" s="1006"/>
      <c r="IN170" s="996">
        <v>0</v>
      </c>
      <c r="IO170" s="1006"/>
      <c r="IP170" s="996">
        <v>0</v>
      </c>
      <c r="IQ170" s="1006"/>
      <c r="IR170" s="996">
        <v>0</v>
      </c>
      <c r="IS170" s="1006"/>
      <c r="IT170" s="996">
        <v>0</v>
      </c>
      <c r="IU170" s="1006"/>
      <c r="IV170" s="996">
        <v>0</v>
      </c>
      <c r="IW170" s="1006"/>
      <c r="IX170" s="996">
        <v>0</v>
      </c>
      <c r="IY170" s="1006"/>
      <c r="IZ170" s="996">
        <v>0</v>
      </c>
      <c r="JA170" s="1006"/>
      <c r="JB170" s="996">
        <v>0</v>
      </c>
      <c r="JC170" s="1006"/>
      <c r="JD170" s="996">
        <v>0</v>
      </c>
      <c r="JE170" s="1006"/>
      <c r="JF170" s="996">
        <v>0</v>
      </c>
      <c r="JG170" s="1006" t="s">
        <v>199</v>
      </c>
      <c r="JH170" s="996">
        <v>-3.2147376799999998</v>
      </c>
      <c r="JI170" s="1006"/>
      <c r="JJ170" s="996">
        <v>0</v>
      </c>
      <c r="JK170" s="1007"/>
      <c r="JL170" s="1007">
        <v>0</v>
      </c>
      <c r="JM170" s="1007"/>
      <c r="JN170" s="1007">
        <v>0</v>
      </c>
      <c r="JO170" s="1008"/>
      <c r="JP170" s="1007">
        <v>0</v>
      </c>
      <c r="JQ170" s="1008">
        <v>0</v>
      </c>
      <c r="JR170" s="1007">
        <v>0</v>
      </c>
      <c r="JS170" s="1008">
        <v>0</v>
      </c>
      <c r="JT170" s="1007">
        <v>0</v>
      </c>
      <c r="JU170" s="1008"/>
      <c r="JV170" s="1007">
        <v>0</v>
      </c>
      <c r="JW170" s="1008" t="s">
        <v>197</v>
      </c>
      <c r="JX170" s="1007">
        <v>0</v>
      </c>
      <c r="JY170" s="1008"/>
      <c r="JZ170" s="1007">
        <v>4.8822399999998822E-2</v>
      </c>
      <c r="KA170" s="1008"/>
      <c r="KB170" s="1007">
        <v>0</v>
      </c>
      <c r="KC170" s="1008" t="s">
        <v>204</v>
      </c>
      <c r="KD170" s="1007">
        <v>-0.83399359999999767</v>
      </c>
      <c r="KE170" s="1008"/>
      <c r="KF170" s="1007">
        <v>0</v>
      </c>
      <c r="KG170" s="1008"/>
      <c r="KH170" s="1007">
        <v>0</v>
      </c>
      <c r="KI170" s="1008" t="s">
        <v>206</v>
      </c>
      <c r="KJ170" s="1007">
        <v>1.294529279999999</v>
      </c>
      <c r="KK170" s="1008"/>
      <c r="KL170" s="1007">
        <v>0</v>
      </c>
      <c r="KM170" s="1008"/>
      <c r="KN170" s="1007">
        <v>0</v>
      </c>
      <c r="KO170" s="1008" t="s">
        <v>206</v>
      </c>
      <c r="KP170" s="1007">
        <v>3.3629939199999992</v>
      </c>
      <c r="KQ170" s="1008">
        <v>0</v>
      </c>
      <c r="KR170" s="1007">
        <v>0</v>
      </c>
      <c r="KS170" s="1008">
        <v>0</v>
      </c>
      <c r="KT170" s="1007">
        <v>0</v>
      </c>
      <c r="KU170" s="1008" t="s">
        <v>207</v>
      </c>
      <c r="KV170" s="1007">
        <v>-6.7715999999999994</v>
      </c>
      <c r="KW170" s="1008" t="s">
        <v>204</v>
      </c>
      <c r="KX170" s="1007">
        <v>1.6720000000000006</v>
      </c>
      <c r="KY170" s="1008">
        <v>0</v>
      </c>
      <c r="KZ170" s="1007">
        <v>0</v>
      </c>
      <c r="LA170" s="1008">
        <v>0</v>
      </c>
      <c r="LB170" s="1007">
        <v>0</v>
      </c>
      <c r="LC170" s="1008">
        <v>0</v>
      </c>
      <c r="LD170" s="1007">
        <v>0</v>
      </c>
      <c r="LE170" s="1008" t="s">
        <v>204</v>
      </c>
      <c r="LF170" s="1007">
        <v>1.2062811199999981</v>
      </c>
      <c r="LG170" s="1008">
        <v>0</v>
      </c>
      <c r="LH170" s="1007">
        <v>0</v>
      </c>
      <c r="LI170" s="1008">
        <v>0</v>
      </c>
      <c r="LJ170" s="1007">
        <v>0</v>
      </c>
      <c r="LK170" s="1008" t="s">
        <v>207</v>
      </c>
      <c r="LL170" s="1007">
        <v>2.1476000000000002</v>
      </c>
      <c r="LM170" s="1008">
        <v>0</v>
      </c>
      <c r="LN170" s="1007">
        <v>0</v>
      </c>
      <c r="LO170" s="1008">
        <v>0</v>
      </c>
      <c r="LP170" s="1007">
        <v>-0.83811199999990005</v>
      </c>
      <c r="LQ170" s="1008">
        <v>0</v>
      </c>
      <c r="LR170" s="1007">
        <v>0</v>
      </c>
      <c r="LS170" s="1008">
        <v>0</v>
      </c>
      <c r="LT170" s="1007">
        <v>-1.61188</v>
      </c>
      <c r="LU170" s="1008">
        <v>0</v>
      </c>
      <c r="LV170" s="1007">
        <v>0</v>
      </c>
      <c r="LW170" s="1008">
        <v>0</v>
      </c>
      <c r="LX170" s="1007">
        <v>4.2212800000000001</v>
      </c>
      <c r="LY170" s="1009" t="s">
        <v>207</v>
      </c>
      <c r="LZ170" s="1010">
        <v>-3.7452800000000002</v>
      </c>
      <c r="MA170" s="1011">
        <v>0</v>
      </c>
      <c r="MB170" s="1012">
        <v>0</v>
      </c>
      <c r="MC170" s="995"/>
      <c r="MD170" s="996"/>
      <c r="ME170" s="997" t="s">
        <v>416</v>
      </c>
      <c r="MF170" s="997"/>
      <c r="MG170" s="998"/>
      <c r="NR170" s="1000"/>
      <c r="NS170" s="1000"/>
      <c r="NT170" s="1001"/>
      <c r="NU170" s="1000"/>
      <c r="NV170" s="1001"/>
      <c r="NX170" s="1002"/>
      <c r="NZ170" s="1001"/>
      <c r="OA170" s="1001"/>
      <c r="OC170" s="1003"/>
      <c r="OD170" s="1003"/>
      <c r="OE170" s="1001"/>
      <c r="OF170" s="1003"/>
      <c r="OG170" s="1003"/>
      <c r="QX170" s="1000">
        <f>CN170-CA170</f>
        <v>22</v>
      </c>
      <c r="ASU170" s="999" t="s">
        <v>292</v>
      </c>
    </row>
    <row r="171" spans="1:466 1191:1191" ht="21" customHeight="1" x14ac:dyDescent="0.25">
      <c r="A171" s="982" t="str">
        <f t="shared" si="104"/>
        <v>1070-2</v>
      </c>
      <c r="B171" s="124">
        <f>SUBTOTAL(103,$J$29:J171)</f>
        <v>143</v>
      </c>
      <c r="C171" s="126">
        <v>45096</v>
      </c>
      <c r="D171" s="124" t="s">
        <v>176</v>
      </c>
      <c r="E171" s="127" t="s">
        <v>177</v>
      </c>
      <c r="F171" s="128" t="s">
        <v>177</v>
      </c>
      <c r="G171" s="127" t="s">
        <v>178</v>
      </c>
      <c r="H171" s="127" t="s">
        <v>408</v>
      </c>
      <c r="I171" s="127" t="s">
        <v>456</v>
      </c>
      <c r="J171" s="152" t="s">
        <v>859</v>
      </c>
      <c r="K171" s="127" t="s">
        <v>860</v>
      </c>
      <c r="L171" s="130">
        <v>38797</v>
      </c>
      <c r="M171" s="127" t="s">
        <v>230</v>
      </c>
      <c r="N171" s="127" t="s">
        <v>231</v>
      </c>
      <c r="O171" s="127" t="s">
        <v>185</v>
      </c>
      <c r="P171" s="127" t="s">
        <v>208</v>
      </c>
      <c r="Q171" s="85" t="str">
        <f t="shared" si="133"/>
        <v/>
      </c>
      <c r="R171" s="130"/>
      <c r="S171" s="128" t="s">
        <v>156</v>
      </c>
      <c r="T171" s="131"/>
      <c r="U171" s="132">
        <v>203</v>
      </c>
      <c r="V171" s="121">
        <v>218.2</v>
      </c>
      <c r="W171" s="116">
        <v>0.98</v>
      </c>
      <c r="X171" s="116">
        <v>1.66</v>
      </c>
      <c r="Y171" s="116">
        <f t="shared" si="86"/>
        <v>1.0046936758893281</v>
      </c>
      <c r="Z171" s="133">
        <v>1.454</v>
      </c>
      <c r="AA171" s="133">
        <v>0.83599999999999997</v>
      </c>
      <c r="AB171" s="133">
        <v>0.72</v>
      </c>
      <c r="AC171" s="121">
        <v>34.299999999999997</v>
      </c>
      <c r="AD171" s="134">
        <v>1.17</v>
      </c>
      <c r="AE171" s="124">
        <v>139.69999999999999</v>
      </c>
      <c r="AF171" s="128">
        <v>7.72</v>
      </c>
      <c r="AG171" s="128">
        <v>1920</v>
      </c>
      <c r="AH171" s="127">
        <v>2400</v>
      </c>
      <c r="AI171" s="127">
        <v>2400</v>
      </c>
      <c r="AJ171" s="135"/>
      <c r="AK171" s="128"/>
      <c r="AL171" s="131"/>
      <c r="AM171" s="124" t="s">
        <v>232</v>
      </c>
      <c r="AN171" s="136" t="s">
        <v>861</v>
      </c>
      <c r="AO171" s="137">
        <v>89.78</v>
      </c>
      <c r="AP171" s="128">
        <v>1945</v>
      </c>
      <c r="AQ171" s="128">
        <v>54.9</v>
      </c>
      <c r="AR171" s="128"/>
      <c r="AS171" s="128"/>
      <c r="AT171" s="122"/>
      <c r="AU171" s="124" t="s">
        <v>189</v>
      </c>
      <c r="AV171" s="115">
        <f>VLOOKUP(J171,'[63]ТР нефть'!$J$28:$BP$638,39,0)</f>
        <v>621.00001113300004</v>
      </c>
      <c r="AW171" s="115" t="str">
        <f>VLOOKUP(J171,'[63]ТР нефть'!$J$28:$BP$638,40,0)</f>
        <v>ГП</v>
      </c>
      <c r="AX171" s="115">
        <f>VLOOKUP(J171,'[63]ТР нефть'!$J$28:$BP$638,41,0)</f>
        <v>1137.999970312</v>
      </c>
      <c r="AY171" s="115" t="str">
        <f>VLOOKUP(J171,'[63]ТР нефть'!$J$28:$BP$638,42,0)</f>
        <v>ГК 84 1/8</v>
      </c>
      <c r="AZ171" s="115">
        <f>VLOOKUP(J171,'[63]ТР нефть'!$J$28:$BP$638,43,0)</f>
        <v>1553.000053125</v>
      </c>
      <c r="BA171" s="115" t="str">
        <f>VLOOKUP(J171,'[63]ТР нефть'!$J$28:$BP$638,44,0)</f>
        <v>ГК 84 1/8</v>
      </c>
      <c r="BB171" s="115">
        <f>VLOOKUP(J171,'[63]ТР нефть'!$J$28:$BP$638,45,0)</f>
        <v>1790.0000613279999</v>
      </c>
      <c r="BC171" s="115" t="str">
        <f>VLOOKUP(J171,'[63]ТР нефть'!$J$28:$BP$638,46,0)</f>
        <v>ЦКсОК 5/16</v>
      </c>
      <c r="BD171" s="115" t="str">
        <f>VLOOKUP(J171,'[63]ТР нефть'!$J$28:$BP$638,47,0)</f>
        <v>-</v>
      </c>
      <c r="BE171" s="115" t="str">
        <f>VLOOKUP(J171,'[63]ТР нефть'!$J$28:$BP$638,48,0)</f>
        <v>-</v>
      </c>
      <c r="BF171" s="115" t="str">
        <f>VLOOKUP(J171,'[63]ТР нефть'!$J$28:$BP$638,49,0)</f>
        <v>-</v>
      </c>
      <c r="BG171" s="115" t="str">
        <f>VLOOKUP(J171,'[63]ТР нефть'!$J$28:$BP$638,50,0)</f>
        <v>-</v>
      </c>
      <c r="BH171" s="115">
        <f>VLOOKUP(J171,'[63]ТР нефть'!$J$28:$BP$638,51,0)</f>
        <v>1790</v>
      </c>
      <c r="BI171" s="115" t="str">
        <f>VLOOKUP(J171,'[63]ТР нефть'!$J$28:$BP$638,52,0)</f>
        <v>закрыт</v>
      </c>
      <c r="BJ171" s="115" t="str">
        <f>IF(IFERROR(VLOOKUP(J171,'[63]ТР нефть'!$J$28:$BP$638,53,0),"-")=0,"-",IFERROR(VLOOKUP(J171,'[63]ТР нефть'!$J$28:$BP$638,53,0),"-"))</f>
        <v>-</v>
      </c>
      <c r="BK171" s="138" t="str">
        <f>IF(IFERROR(VLOOKUP(J171,'[63]ТР нефть'!$J$28:$BP$638,54,0),"-")=0,"-",IFERROR(VLOOKUP(J171,'[63]ТР нефть'!$J$28:$BP$638,54,0),"-"))</f>
        <v>-</v>
      </c>
      <c r="BL171" s="138" t="str">
        <f>IF(IFERROR(VLOOKUP(J171,'[63]ТР нефть'!$J$28:$BP$638,55,0),"-")=0,"-",IFERROR(VLOOKUP(J171,'[63]ТР нефть'!$J$28:$BP$638,55,0),"-"))</f>
        <v>-</v>
      </c>
      <c r="BM171" s="138" t="str">
        <f>IF(IFERROR(VLOOKUP(J171,'[63]ТР нефть'!$J$28:$BP$638,56,0),"-")=0,"-",IFERROR(VLOOKUP(J171,'[63]ТР нефть'!$J$28:$BP$638,56,0),"-"))</f>
        <v>-</v>
      </c>
      <c r="BN171" s="138" t="str">
        <f>IF(IFERROR(VLOOKUP(J171,'[63]ТР нефть'!$J$28:$BP$638,57,0),"-")=0,"-",IFERROR(VLOOKUP(J171,'[63]ТР нефть'!$J$28:$BP$638,57,0),"-"))</f>
        <v>-</v>
      </c>
      <c r="BO171" s="115" t="str">
        <f>IF(IFERROR(VLOOKUP(J171,'[63]ТР нефть'!$J$28:$BP$638,58,0),"-")=0,"-",IFERROR(VLOOKUP(J171,'[63]ТР нефть'!$J$28:$BP$638,58,0),"-"))</f>
        <v>-</v>
      </c>
      <c r="BP171" s="115" t="str">
        <f>IF(IFERROR(VLOOKUP(J171,'[63]ТР нефть'!$J$28:$BP$638,59,0),"-")=0,"-",IFERROR(VLOOKUP(J171,'[63]ТР нефть'!$J$28:$BP$638,59,0),"-"))</f>
        <v>-</v>
      </c>
      <c r="BQ171" s="138">
        <v>1820</v>
      </c>
      <c r="BR171" s="128">
        <v>1725.41</v>
      </c>
      <c r="BS171" s="115">
        <f t="shared" si="105"/>
        <v>94.589999999999918</v>
      </c>
      <c r="BT171" s="128">
        <v>73</v>
      </c>
      <c r="BU171" s="128">
        <v>5.5</v>
      </c>
      <c r="BV171" s="127">
        <v>65</v>
      </c>
      <c r="BW171" s="127" t="s">
        <v>217</v>
      </c>
      <c r="BX171" s="127" t="s">
        <v>195</v>
      </c>
      <c r="BY171" s="139">
        <v>24</v>
      </c>
      <c r="BZ171" s="139">
        <v>0</v>
      </c>
      <c r="CA171" s="138">
        <v>21</v>
      </c>
      <c r="CB171" s="138">
        <v>36</v>
      </c>
      <c r="CC171" s="138">
        <v>20</v>
      </c>
      <c r="CD171" s="135">
        <v>45017</v>
      </c>
      <c r="CE171" s="138">
        <v>90</v>
      </c>
      <c r="CF171" s="138">
        <v>76</v>
      </c>
      <c r="CG171" s="138" t="str">
        <f t="shared" si="132"/>
        <v/>
      </c>
      <c r="CH171" s="138" t="s">
        <v>197</v>
      </c>
      <c r="CI171" s="127"/>
      <c r="CJ171" s="138"/>
      <c r="CK171" s="138"/>
      <c r="CL171" s="99"/>
      <c r="CM171" s="99"/>
      <c r="CN171" s="140">
        <v>40</v>
      </c>
      <c r="CO171" s="141">
        <f t="shared" si="106"/>
        <v>9.4300799999999985</v>
      </c>
      <c r="CP171" s="142">
        <v>12</v>
      </c>
      <c r="CQ171" s="143">
        <v>6</v>
      </c>
      <c r="CR171" s="138">
        <v>29</v>
      </c>
      <c r="CS171" s="139">
        <v>7</v>
      </c>
      <c r="CT171" s="138"/>
      <c r="CU171" s="138">
        <f t="shared" si="134"/>
        <v>22</v>
      </c>
      <c r="CV171" s="115">
        <f t="shared" si="135"/>
        <v>2332.9600597237777</v>
      </c>
      <c r="CW171" s="115">
        <f t="shared" si="109"/>
        <v>682.00595488628051</v>
      </c>
      <c r="CX171" s="133">
        <f t="shared" si="136"/>
        <v>0.24</v>
      </c>
      <c r="CY171" s="116"/>
      <c r="CZ171" s="131"/>
      <c r="DA171" s="145" t="str">
        <f t="shared" si="111"/>
        <v>Газлифт</v>
      </c>
      <c r="DB171" s="146">
        <f t="shared" si="112"/>
        <v>9.4300799999999985</v>
      </c>
      <c r="DC171" s="142">
        <f t="shared" si="113"/>
        <v>12</v>
      </c>
      <c r="DD171" s="119">
        <f t="shared" si="114"/>
        <v>6</v>
      </c>
      <c r="DE171" s="115">
        <f t="shared" si="115"/>
        <v>22</v>
      </c>
      <c r="DF171" s="121">
        <f t="shared" si="116"/>
        <v>7</v>
      </c>
      <c r="DG171" s="115">
        <f t="shared" si="117"/>
        <v>2332.9600597237777</v>
      </c>
      <c r="DH171" s="115">
        <f t="shared" si="118"/>
        <v>40</v>
      </c>
      <c r="DI171" s="147"/>
      <c r="DJ171" s="111" t="s">
        <v>197</v>
      </c>
      <c r="DK171" s="112">
        <v>42096</v>
      </c>
      <c r="DL171" s="113">
        <f t="shared" ca="1" si="87"/>
        <v>3008</v>
      </c>
      <c r="DM171" s="114"/>
      <c r="DN171" s="114"/>
      <c r="DO171" s="114"/>
      <c r="DP171" s="114"/>
      <c r="DQ171" s="112">
        <v>41870</v>
      </c>
      <c r="DR171" s="114" t="s">
        <v>198</v>
      </c>
      <c r="DS171" s="114"/>
      <c r="DT171" s="115">
        <v>62</v>
      </c>
      <c r="DU171" s="116">
        <f t="shared" si="88"/>
        <v>0.42857142857142855</v>
      </c>
      <c r="DV171" s="117">
        <f t="shared" si="89"/>
        <v>9.4300799999999985</v>
      </c>
      <c r="DW171" s="118">
        <f t="shared" si="90"/>
        <v>12</v>
      </c>
      <c r="DX171" s="119">
        <f t="shared" si="119"/>
        <v>6</v>
      </c>
      <c r="DY171" s="115">
        <f t="shared" si="91"/>
        <v>21.999999999999996</v>
      </c>
      <c r="DZ171" s="117">
        <f t="shared" si="92"/>
        <v>0</v>
      </c>
      <c r="EA171" s="120">
        <f t="shared" si="92"/>
        <v>0</v>
      </c>
      <c r="EB171" s="119">
        <f t="shared" si="92"/>
        <v>0</v>
      </c>
      <c r="EC171" s="121">
        <f t="shared" si="93"/>
        <v>0</v>
      </c>
      <c r="ED171" s="122"/>
      <c r="EE171" s="145">
        <v>65</v>
      </c>
      <c r="EF171" s="115">
        <v>21</v>
      </c>
      <c r="EG171" s="115">
        <v>36</v>
      </c>
      <c r="EH171" s="115">
        <v>20</v>
      </c>
      <c r="EI171" s="128" t="s">
        <v>195</v>
      </c>
      <c r="EJ171" s="121">
        <v>24</v>
      </c>
      <c r="EK171" s="121">
        <v>0</v>
      </c>
      <c r="EL171" s="149">
        <v>9.4300799999999985</v>
      </c>
      <c r="EM171" s="142">
        <v>12</v>
      </c>
      <c r="EN171" s="119">
        <v>6</v>
      </c>
      <c r="EO171" s="115">
        <v>29</v>
      </c>
      <c r="EP171" s="115">
        <v>2332.9600597237777</v>
      </c>
      <c r="EQ171" s="115">
        <v>76</v>
      </c>
      <c r="ER171" s="115">
        <v>7</v>
      </c>
      <c r="ES171" s="115">
        <v>40</v>
      </c>
      <c r="ET171" s="150">
        <v>0.24</v>
      </c>
      <c r="EU171" s="145">
        <f t="shared" si="120"/>
        <v>65</v>
      </c>
      <c r="EV171" s="115">
        <f t="shared" si="121"/>
        <v>21</v>
      </c>
      <c r="EW171" s="115">
        <f t="shared" si="121"/>
        <v>36</v>
      </c>
      <c r="EX171" s="115">
        <f t="shared" si="121"/>
        <v>20</v>
      </c>
      <c r="EY171" s="115" t="str">
        <f t="shared" si="122"/>
        <v>Постоянный</v>
      </c>
      <c r="EZ171" s="115">
        <f t="shared" si="122"/>
        <v>24</v>
      </c>
      <c r="FA171" s="115">
        <f t="shared" si="122"/>
        <v>0</v>
      </c>
      <c r="FB171" s="149">
        <f t="shared" si="123"/>
        <v>9.4300799999999985</v>
      </c>
      <c r="FC171" s="142">
        <f t="shared" si="123"/>
        <v>12</v>
      </c>
      <c r="FD171" s="119">
        <f t="shared" si="123"/>
        <v>6</v>
      </c>
      <c r="FE171" s="121">
        <f t="shared" si="103"/>
        <v>29</v>
      </c>
      <c r="FF171" s="121">
        <f t="shared" si="94"/>
        <v>2332.9600597237777</v>
      </c>
      <c r="FG171" s="121">
        <f t="shared" si="124"/>
        <v>76</v>
      </c>
      <c r="FH171" s="121">
        <f t="shared" si="95"/>
        <v>7</v>
      </c>
      <c r="FI171" s="121">
        <f t="shared" si="131"/>
        <v>40</v>
      </c>
      <c r="FJ171" s="144">
        <f t="shared" si="125"/>
        <v>0.24</v>
      </c>
      <c r="FK171" s="132">
        <f t="shared" si="126"/>
        <v>0</v>
      </c>
      <c r="FL171" s="115">
        <f t="shared" si="126"/>
        <v>0</v>
      </c>
      <c r="FM171" s="115">
        <f t="shared" si="126"/>
        <v>0</v>
      </c>
      <c r="FN171" s="115">
        <f t="shared" si="126"/>
        <v>0</v>
      </c>
      <c r="FO171" s="115">
        <f t="shared" si="100"/>
        <v>0</v>
      </c>
      <c r="FP171" s="115">
        <f t="shared" si="100"/>
        <v>0</v>
      </c>
      <c r="FQ171" s="149">
        <f t="shared" si="100"/>
        <v>0</v>
      </c>
      <c r="FR171" s="142">
        <f t="shared" si="100"/>
        <v>0</v>
      </c>
      <c r="FS171" s="119">
        <f t="shared" si="100"/>
        <v>0</v>
      </c>
      <c r="FT171" s="121">
        <f t="shared" si="100"/>
        <v>0</v>
      </c>
      <c r="FU171" s="121">
        <f t="shared" si="127"/>
        <v>0</v>
      </c>
      <c r="FV171" s="121">
        <f t="shared" si="127"/>
        <v>0</v>
      </c>
      <c r="FW171" s="121">
        <f t="shared" si="128"/>
        <v>0</v>
      </c>
      <c r="FX171" s="121">
        <f t="shared" si="129"/>
        <v>0</v>
      </c>
      <c r="FY171" s="144">
        <f t="shared" si="129"/>
        <v>0</v>
      </c>
      <c r="FZ171" s="145"/>
      <c r="GA171" s="151" t="s">
        <v>862</v>
      </c>
      <c r="GB171" s="145"/>
      <c r="GC171" s="151" t="s">
        <v>818</v>
      </c>
      <c r="GD171" s="997" t="s">
        <v>238</v>
      </c>
      <c r="GE171" s="1004"/>
      <c r="GF171" s="1004">
        <v>0</v>
      </c>
      <c r="GG171" s="1004"/>
      <c r="GH171" s="1004">
        <v>0</v>
      </c>
      <c r="GI171" s="145"/>
      <c r="GJ171" s="996">
        <v>0</v>
      </c>
      <c r="GK171" s="145"/>
      <c r="GL171" s="996">
        <v>0</v>
      </c>
      <c r="GM171" s="1005"/>
      <c r="GN171" s="996">
        <v>0</v>
      </c>
      <c r="GO171" s="1006"/>
      <c r="GP171" s="996">
        <v>0</v>
      </c>
      <c r="GQ171" s="1006"/>
      <c r="GR171" s="996">
        <v>0</v>
      </c>
      <c r="GS171" s="1006" t="s">
        <v>203</v>
      </c>
      <c r="GT171" s="996">
        <v>-6.1509728279999987</v>
      </c>
      <c r="GU171" s="1006"/>
      <c r="GV171" s="996">
        <v>0</v>
      </c>
      <c r="GW171" s="1006"/>
      <c r="GX171" s="997">
        <v>0</v>
      </c>
      <c r="GY171" s="1006"/>
      <c r="GZ171" s="996">
        <v>0</v>
      </c>
      <c r="HA171" s="1006"/>
      <c r="HB171" s="996">
        <v>0</v>
      </c>
      <c r="HC171" s="1006"/>
      <c r="HD171" s="996">
        <v>0</v>
      </c>
      <c r="HE171" s="1006" t="s">
        <v>203</v>
      </c>
      <c r="HF171" s="996">
        <v>-4.1987071720000024</v>
      </c>
      <c r="HG171" s="1006" t="s">
        <v>25</v>
      </c>
      <c r="HH171" s="996">
        <v>17.77336</v>
      </c>
      <c r="HI171" s="1006"/>
      <c r="HJ171" s="996">
        <v>0</v>
      </c>
      <c r="HK171" s="1006"/>
      <c r="HL171" s="996">
        <v>-18.400764624000001</v>
      </c>
      <c r="HM171" s="1006"/>
      <c r="HN171" s="996">
        <v>0</v>
      </c>
      <c r="HO171" s="1006"/>
      <c r="HP171" s="996">
        <v>0</v>
      </c>
      <c r="HQ171" s="1006"/>
      <c r="HR171" s="996">
        <v>0</v>
      </c>
      <c r="HS171" s="1006"/>
      <c r="HT171" s="996">
        <v>0</v>
      </c>
      <c r="HU171" s="1006"/>
      <c r="HV171" s="996">
        <v>0</v>
      </c>
      <c r="HW171" s="1006"/>
      <c r="HX171" s="996">
        <v>-0.40490405999999979</v>
      </c>
      <c r="HY171" s="1006" t="s">
        <v>199</v>
      </c>
      <c r="HZ171" s="996">
        <v>-7.6119313159999997</v>
      </c>
      <c r="IA171" s="1006" t="s">
        <v>199</v>
      </c>
      <c r="IB171" s="996">
        <v>3.3440000000000012</v>
      </c>
      <c r="IC171" s="1006"/>
      <c r="ID171" s="996">
        <v>0</v>
      </c>
      <c r="IE171" s="1006" t="s">
        <v>204</v>
      </c>
      <c r="IF171" s="996">
        <v>1.7555999999999994</v>
      </c>
      <c r="IG171" s="1006"/>
      <c r="IH171" s="996">
        <v>0</v>
      </c>
      <c r="II171" s="1006"/>
      <c r="IJ171" s="996">
        <v>0</v>
      </c>
      <c r="IK171" s="1006"/>
      <c r="IL171" s="996">
        <v>0</v>
      </c>
      <c r="IM171" s="1006"/>
      <c r="IN171" s="996">
        <v>0</v>
      </c>
      <c r="IO171" s="1006"/>
      <c r="IP171" s="996">
        <v>0</v>
      </c>
      <c r="IQ171" s="1006"/>
      <c r="IR171" s="996">
        <v>0</v>
      </c>
      <c r="IS171" s="1006"/>
      <c r="IT171" s="996">
        <v>0</v>
      </c>
      <c r="IU171" s="1006"/>
      <c r="IV171" s="996">
        <v>0</v>
      </c>
      <c r="IW171" s="1006"/>
      <c r="IX171" s="996">
        <v>0</v>
      </c>
      <c r="IY171" s="1006"/>
      <c r="IZ171" s="996">
        <v>0</v>
      </c>
      <c r="JA171" s="1006"/>
      <c r="JB171" s="996">
        <v>0</v>
      </c>
      <c r="JC171" s="1006"/>
      <c r="JD171" s="996">
        <v>0</v>
      </c>
      <c r="JE171" s="1006"/>
      <c r="JF171" s="996">
        <v>0</v>
      </c>
      <c r="JG171" s="1006"/>
      <c r="JH171" s="996">
        <v>0</v>
      </c>
      <c r="JI171" s="1006"/>
      <c r="JJ171" s="996">
        <v>0</v>
      </c>
      <c r="JK171" s="1007"/>
      <c r="JL171" s="1007">
        <v>0</v>
      </c>
      <c r="JM171" s="1007"/>
      <c r="JN171" s="1007">
        <v>0</v>
      </c>
      <c r="JO171" s="1008"/>
      <c r="JP171" s="1007">
        <v>0</v>
      </c>
      <c r="JQ171" s="1008">
        <v>0</v>
      </c>
      <c r="JR171" s="1007">
        <v>0</v>
      </c>
      <c r="JS171" s="1008">
        <v>0</v>
      </c>
      <c r="JT171" s="1007">
        <v>0</v>
      </c>
      <c r="JU171" s="1008"/>
      <c r="JV171" s="1007">
        <v>0</v>
      </c>
      <c r="JW171" s="1008" t="s">
        <v>197</v>
      </c>
      <c r="JX171" s="1007">
        <v>0</v>
      </c>
      <c r="JY171" s="1008"/>
      <c r="JZ171" s="1007">
        <v>0</v>
      </c>
      <c r="KA171" s="1008" t="s">
        <v>204</v>
      </c>
      <c r="KB171" s="1007">
        <v>1.3375999999999992</v>
      </c>
      <c r="KC171" s="1008" t="s">
        <v>204</v>
      </c>
      <c r="KD171" s="1007">
        <v>-4.1799999999999988</v>
      </c>
      <c r="KE171" s="1008"/>
      <c r="KF171" s="1007">
        <v>0</v>
      </c>
      <c r="KG171" s="1008" t="s">
        <v>207</v>
      </c>
      <c r="KH171" s="1007">
        <v>1.6719999999999988</v>
      </c>
      <c r="KI171" s="1008" t="s">
        <v>207</v>
      </c>
      <c r="KJ171" s="1007">
        <v>-1.6719999999999988</v>
      </c>
      <c r="KK171" s="1008"/>
      <c r="KL171" s="1007">
        <v>0</v>
      </c>
      <c r="KM171" s="1008"/>
      <c r="KN171" s="1007">
        <v>0</v>
      </c>
      <c r="KO171" s="1008"/>
      <c r="KP171" s="1007">
        <v>0</v>
      </c>
      <c r="KQ171" s="1008">
        <v>0</v>
      </c>
      <c r="KR171" s="1007">
        <v>0</v>
      </c>
      <c r="KS171" s="1008">
        <v>0</v>
      </c>
      <c r="KT171" s="1007">
        <v>0</v>
      </c>
      <c r="KU171" s="1008" t="s">
        <v>206</v>
      </c>
      <c r="KV171" s="1007">
        <v>-5.8520000000000021</v>
      </c>
      <c r="KW171" s="1008" t="s">
        <v>204</v>
      </c>
      <c r="KX171" s="1007">
        <v>3.3440000000000012</v>
      </c>
      <c r="KY171" s="1008">
        <v>0</v>
      </c>
      <c r="KZ171" s="1007">
        <v>0</v>
      </c>
      <c r="LA171" s="1008">
        <v>0</v>
      </c>
      <c r="LB171" s="1007">
        <v>0</v>
      </c>
      <c r="LC171" s="1008" t="s">
        <v>204</v>
      </c>
      <c r="LD171" s="1007">
        <v>1.1118800000000011</v>
      </c>
      <c r="LE171" s="1008">
        <v>0</v>
      </c>
      <c r="LF171" s="1007">
        <v>0</v>
      </c>
      <c r="LG171" s="1008">
        <v>0</v>
      </c>
      <c r="LH171" s="1007">
        <v>0</v>
      </c>
      <c r="LI171" s="1008">
        <v>0</v>
      </c>
      <c r="LJ171" s="1007">
        <v>0</v>
      </c>
      <c r="LK171" s="1008" t="s">
        <v>555</v>
      </c>
      <c r="LL171" s="1007">
        <v>-2.7280000000000002</v>
      </c>
      <c r="LM171" s="1008" t="s">
        <v>555</v>
      </c>
      <c r="LN171" s="1007">
        <v>7.1896000000000004</v>
      </c>
      <c r="LO171" s="1008">
        <v>0</v>
      </c>
      <c r="LP171" s="1007">
        <v>0.2583242</v>
      </c>
      <c r="LQ171" s="1008">
        <v>0</v>
      </c>
      <c r="LR171" s="1007">
        <v>0</v>
      </c>
      <c r="LS171" s="1008">
        <v>0</v>
      </c>
      <c r="LT171" s="1007">
        <v>0</v>
      </c>
      <c r="LU171" s="1008">
        <v>0</v>
      </c>
      <c r="LV171" s="1007">
        <v>0</v>
      </c>
      <c r="LW171" s="1008">
        <v>0</v>
      </c>
      <c r="LX171" s="1007">
        <v>0</v>
      </c>
      <c r="LY171" s="1009" t="s">
        <v>207</v>
      </c>
      <c r="LZ171" s="1010">
        <v>1.8651159999999996</v>
      </c>
      <c r="MA171" s="1011">
        <v>0</v>
      </c>
      <c r="MB171" s="1012">
        <v>-1.7542260000000001</v>
      </c>
      <c r="MC171" s="995"/>
      <c r="MD171" s="996"/>
      <c r="ME171" s="997" t="s">
        <v>238</v>
      </c>
      <c r="MF171" s="997"/>
      <c r="MG171" s="998"/>
      <c r="NR171" s="1000"/>
      <c r="NS171" s="1000"/>
      <c r="NT171" s="1001"/>
      <c r="NU171" s="1000"/>
      <c r="NV171" s="1001"/>
      <c r="NX171" s="1002"/>
      <c r="NZ171" s="1001"/>
      <c r="OA171" s="1001"/>
      <c r="OC171" s="1003"/>
      <c r="OD171" s="1003"/>
      <c r="OE171" s="1001"/>
      <c r="OF171" s="1003"/>
      <c r="OG171" s="1003"/>
      <c r="QX171" s="1000">
        <f>CN171-CA171</f>
        <v>19</v>
      </c>
      <c r="ASU171" s="999" t="s">
        <v>208</v>
      </c>
    </row>
    <row r="172" spans="1:466 1191:1191" ht="21" customHeight="1" x14ac:dyDescent="0.25">
      <c r="A172" s="982" t="str">
        <f t="shared" si="104"/>
        <v>1070-1</v>
      </c>
      <c r="B172" s="124">
        <f>SUBTOTAL(103,$J$29:J172)</f>
        <v>144</v>
      </c>
      <c r="C172" s="126">
        <v>45096</v>
      </c>
      <c r="D172" s="124" t="s">
        <v>176</v>
      </c>
      <c r="E172" s="127" t="s">
        <v>177</v>
      </c>
      <c r="F172" s="128" t="s">
        <v>177</v>
      </c>
      <c r="G172" s="127" t="s">
        <v>178</v>
      </c>
      <c r="H172" s="127" t="s">
        <v>226</v>
      </c>
      <c r="I172" s="127" t="s">
        <v>456</v>
      </c>
      <c r="J172" s="152" t="s">
        <v>863</v>
      </c>
      <c r="K172" s="127" t="s">
        <v>860</v>
      </c>
      <c r="L172" s="130">
        <v>38939</v>
      </c>
      <c r="M172" s="127" t="s">
        <v>230</v>
      </c>
      <c r="N172" s="127" t="s">
        <v>231</v>
      </c>
      <c r="O172" s="127" t="s">
        <v>185</v>
      </c>
      <c r="P172" s="127" t="s">
        <v>315</v>
      </c>
      <c r="Q172" s="85" t="str">
        <f t="shared" si="133"/>
        <v/>
      </c>
      <c r="R172" s="130"/>
      <c r="S172" s="128" t="s">
        <v>156</v>
      </c>
      <c r="T172" s="131"/>
      <c r="U172" s="132">
        <v>203</v>
      </c>
      <c r="V172" s="121">
        <v>218.2</v>
      </c>
      <c r="W172" s="116">
        <v>0.98</v>
      </c>
      <c r="X172" s="116">
        <v>1.66</v>
      </c>
      <c r="Y172" s="116">
        <f t="shared" si="86"/>
        <v>0.98850351214058285</v>
      </c>
      <c r="Z172" s="133">
        <v>1.454</v>
      </c>
      <c r="AA172" s="133">
        <v>0.83599999999999997</v>
      </c>
      <c r="AB172" s="133">
        <v>0.72</v>
      </c>
      <c r="AC172" s="121">
        <v>34.299999999999997</v>
      </c>
      <c r="AD172" s="134">
        <v>1.17</v>
      </c>
      <c r="AE172" s="124">
        <v>139.69999999999999</v>
      </c>
      <c r="AF172" s="128">
        <v>7.72</v>
      </c>
      <c r="AG172" s="128">
        <v>1940</v>
      </c>
      <c r="AH172" s="127">
        <v>2500</v>
      </c>
      <c r="AI172" s="127">
        <v>2500</v>
      </c>
      <c r="AJ172" s="135"/>
      <c r="AK172" s="128"/>
      <c r="AL172" s="131"/>
      <c r="AM172" s="124" t="s">
        <v>232</v>
      </c>
      <c r="AN172" s="136" t="s">
        <v>864</v>
      </c>
      <c r="AO172" s="137">
        <v>56.12</v>
      </c>
      <c r="AP172" s="128">
        <v>1940</v>
      </c>
      <c r="AQ172" s="128">
        <v>73.2</v>
      </c>
      <c r="AR172" s="128"/>
      <c r="AS172" s="128"/>
      <c r="AT172" s="122"/>
      <c r="AU172" s="124" t="s">
        <v>250</v>
      </c>
      <c r="AV172" s="115">
        <f>VLOOKUP(J172,'[63]ТР нефть'!$J$28:$BP$638,39,0)</f>
        <v>600</v>
      </c>
      <c r="AW172" s="115" t="str">
        <f>VLOOKUP(J172,'[63]ТР нефть'!$J$28:$BP$638,40,0)</f>
        <v>ГП</v>
      </c>
      <c r="AX172" s="115">
        <f>VLOOKUP(J172,'[63]ТР нефть'!$J$28:$BP$638,41,0)</f>
        <v>1200</v>
      </c>
      <c r="AY172" s="115" t="str">
        <f>VLOOKUP(J172,'[63]ТР нефть'!$J$28:$BP$638,42,0)</f>
        <v>ГК 82 1/8</v>
      </c>
      <c r="AZ172" s="115">
        <f>VLOOKUP(J172,'[63]ТР нефть'!$J$28:$BP$638,43,0)</f>
        <v>1740</v>
      </c>
      <c r="BA172" s="115" t="str">
        <f>VLOOKUP(J172,'[63]ТР нефть'!$J$28:$BP$638,44,0)</f>
        <v>ГК 81 1/8</v>
      </c>
      <c r="BB172" s="115">
        <f>VLOOKUP(J172,'[63]ТР нефть'!$J$28:$BP$638,45,0)</f>
        <v>1850</v>
      </c>
      <c r="BC172" s="115" t="str">
        <f>VLOOKUP(J172,'[63]ТР нефть'!$J$28:$BP$638,46,0)</f>
        <v>ЦКсОК 5/16</v>
      </c>
      <c r="BD172" s="115" t="str">
        <f>VLOOKUP(J172,'[63]ТР нефть'!$J$28:$BP$638,47,0)</f>
        <v>-</v>
      </c>
      <c r="BE172" s="115" t="str">
        <f>VLOOKUP(J172,'[63]ТР нефть'!$J$28:$BP$638,48,0)</f>
        <v>-</v>
      </c>
      <c r="BF172" s="115" t="str">
        <f>VLOOKUP(J172,'[63]ТР нефть'!$J$28:$BP$638,49,0)</f>
        <v>-</v>
      </c>
      <c r="BG172" s="115" t="str">
        <f>VLOOKUP(J172,'[63]ТР нефть'!$J$28:$BP$638,50,0)</f>
        <v>-</v>
      </c>
      <c r="BH172" s="115">
        <f>VLOOKUP(J172,'[63]ТР нефть'!$J$28:$BP$638,51,0)</f>
        <v>1750</v>
      </c>
      <c r="BI172" s="115" t="str">
        <f>VLOOKUP(J172,'[63]ТР нефть'!$J$28:$BP$638,52,0)</f>
        <v>открыт</v>
      </c>
      <c r="BJ172" s="115" t="str">
        <f>IF(IFERROR(VLOOKUP(J172,'[63]ТР нефть'!$J$28:$BP$638,53,0),"-")=0,"-",IFERROR(VLOOKUP(J172,'[63]ТР нефть'!$J$28:$BP$638,53,0),"-"))</f>
        <v>-</v>
      </c>
      <c r="BK172" s="138" t="str">
        <f>IF(IFERROR(VLOOKUP(J172,'[63]ТР нефть'!$J$28:$BP$638,54,0),"-")=0,"-",IFERROR(VLOOKUP(J172,'[63]ТР нефть'!$J$28:$BP$638,54,0),"-"))</f>
        <v>-</v>
      </c>
      <c r="BL172" s="138" t="str">
        <f>IF(IFERROR(VLOOKUP(J172,'[63]ТР нефть'!$J$28:$BP$638,55,0),"-")=0,"-",IFERROR(VLOOKUP(J172,'[63]ТР нефть'!$J$28:$BP$638,55,0),"-"))</f>
        <v>-</v>
      </c>
      <c r="BM172" s="138" t="str">
        <f>IF(IFERROR(VLOOKUP(J172,'[63]ТР нефть'!$J$28:$BP$638,56,0),"-")=0,"-",IFERROR(VLOOKUP(J172,'[63]ТР нефть'!$J$28:$BP$638,56,0),"-"))</f>
        <v>-</v>
      </c>
      <c r="BN172" s="138" t="str">
        <f>IF(IFERROR(VLOOKUP(J172,'[63]ТР нефть'!$J$28:$BP$638,57,0),"-")=0,"-",IFERROR(VLOOKUP(J172,'[63]ТР нефть'!$J$28:$BP$638,57,0),"-"))</f>
        <v>-</v>
      </c>
      <c r="BO172" s="115" t="str">
        <f>IF(IFERROR(VLOOKUP(J172,'[63]ТР нефть'!$J$28:$BP$638,58,0),"-")=0,"-",IFERROR(VLOOKUP(J172,'[63]ТР нефть'!$J$28:$BP$638,58,0),"-"))</f>
        <v>-</v>
      </c>
      <c r="BP172" s="115" t="str">
        <f>IF(IFERROR(VLOOKUP(J172,'[63]ТР нефть'!$J$28:$BP$638,59,0),"-")=0,"-",IFERROR(VLOOKUP(J172,'[63]ТР нефть'!$J$28:$BP$638,59,0),"-"))</f>
        <v>-</v>
      </c>
      <c r="BQ172" s="138">
        <v>2370</v>
      </c>
      <c r="BR172" s="128">
        <v>1875.79</v>
      </c>
      <c r="BS172" s="115">
        <f t="shared" si="105"/>
        <v>494.21000000000004</v>
      </c>
      <c r="BT172" s="128">
        <v>73</v>
      </c>
      <c r="BU172" s="128">
        <v>5.5</v>
      </c>
      <c r="BV172" s="127">
        <v>18</v>
      </c>
      <c r="BW172" s="127" t="s">
        <v>234</v>
      </c>
      <c r="BX172" s="127" t="s">
        <v>195</v>
      </c>
      <c r="BY172" s="139">
        <v>24</v>
      </c>
      <c r="BZ172" s="139">
        <v>0</v>
      </c>
      <c r="CA172" s="138">
        <v>42</v>
      </c>
      <c r="CB172" s="138">
        <v>51</v>
      </c>
      <c r="CC172" s="138">
        <v>41</v>
      </c>
      <c r="CD172" s="135">
        <v>45017</v>
      </c>
      <c r="CE172" s="138">
        <v>95.3</v>
      </c>
      <c r="CF172" s="138"/>
      <c r="CG172" s="138" t="str">
        <f t="shared" si="132"/>
        <v/>
      </c>
      <c r="CH172" s="138" t="s">
        <v>197</v>
      </c>
      <c r="CI172" s="127"/>
      <c r="CJ172" s="138"/>
      <c r="CK172" s="138"/>
      <c r="CL172" s="99"/>
      <c r="CM172" s="138"/>
      <c r="CN172" s="154">
        <v>60</v>
      </c>
      <c r="CO172" s="141">
        <f t="shared" si="106"/>
        <v>6.7112407999999988</v>
      </c>
      <c r="CP172" s="142">
        <v>8.1999999999999993</v>
      </c>
      <c r="CQ172" s="143">
        <v>2.1</v>
      </c>
      <c r="CR172" s="138">
        <v>50</v>
      </c>
      <c r="CS172" s="139"/>
      <c r="CT172" s="138"/>
      <c r="CU172" s="138">
        <f t="shared" si="134"/>
        <v>50</v>
      </c>
      <c r="CV172" s="115">
        <f t="shared" si="135"/>
        <v>7450.1871546614766</v>
      </c>
      <c r="CW172" s="115" t="str">
        <f t="shared" si="109"/>
        <v/>
      </c>
      <c r="CX172" s="133">
        <f t="shared" si="136"/>
        <v>0.23229461756373937</v>
      </c>
      <c r="CY172" s="116"/>
      <c r="CZ172" s="131"/>
      <c r="DA172" s="145" t="str">
        <f t="shared" si="111"/>
        <v>Фон.</v>
      </c>
      <c r="DB172" s="146">
        <f t="shared" si="112"/>
        <v>6.7112407999999988</v>
      </c>
      <c r="DC172" s="142">
        <f t="shared" si="113"/>
        <v>8.1999999999999993</v>
      </c>
      <c r="DD172" s="119">
        <f t="shared" si="114"/>
        <v>2.1</v>
      </c>
      <c r="DE172" s="115">
        <f t="shared" si="115"/>
        <v>50</v>
      </c>
      <c r="DF172" s="121">
        <f t="shared" si="116"/>
        <v>0</v>
      </c>
      <c r="DG172" s="115">
        <f t="shared" si="117"/>
        <v>7450.1871546614766</v>
      </c>
      <c r="DH172" s="115">
        <f t="shared" si="118"/>
        <v>60</v>
      </c>
      <c r="DI172" s="147"/>
      <c r="DJ172" s="111" t="s">
        <v>197</v>
      </c>
      <c r="DK172" s="112">
        <v>38939</v>
      </c>
      <c r="DL172" s="113">
        <f t="shared" ca="1" si="87"/>
        <v>6165</v>
      </c>
      <c r="DM172" s="114"/>
      <c r="DN172" s="114"/>
      <c r="DO172" s="114"/>
      <c r="DP172" s="114"/>
      <c r="DQ172" s="112">
        <v>42176</v>
      </c>
      <c r="DR172" s="114" t="s">
        <v>198</v>
      </c>
      <c r="DS172" s="114"/>
      <c r="DT172" s="115">
        <v>55</v>
      </c>
      <c r="DU172" s="116">
        <f t="shared" si="88"/>
        <v>0.22581046913209282</v>
      </c>
      <c r="DV172" s="117">
        <f t="shared" si="89"/>
        <v>7.4479729110133661</v>
      </c>
      <c r="DW172" s="118">
        <f t="shared" si="90"/>
        <v>9.1001619060233399</v>
      </c>
      <c r="DX172" s="119">
        <f t="shared" si="119"/>
        <v>2.1</v>
      </c>
      <c r="DY172" s="115">
        <f t="shared" si="91"/>
        <v>55.488792109898419</v>
      </c>
      <c r="DZ172" s="117">
        <f t="shared" si="92"/>
        <v>0.73673211101336733</v>
      </c>
      <c r="EA172" s="120">
        <f t="shared" si="92"/>
        <v>0.90016190602334056</v>
      </c>
      <c r="EB172" s="119">
        <f t="shared" si="92"/>
        <v>0</v>
      </c>
      <c r="EC172" s="121">
        <f t="shared" si="93"/>
        <v>5.4887921098984194</v>
      </c>
      <c r="ED172" s="122"/>
      <c r="EE172" s="145">
        <v>18</v>
      </c>
      <c r="EF172" s="115">
        <v>42</v>
      </c>
      <c r="EG172" s="115">
        <v>51</v>
      </c>
      <c r="EH172" s="115">
        <v>41</v>
      </c>
      <c r="EI172" s="128" t="s">
        <v>195</v>
      </c>
      <c r="EJ172" s="121">
        <v>24</v>
      </c>
      <c r="EK172" s="121">
        <v>0</v>
      </c>
      <c r="EL172" s="149">
        <v>6.7112407999999988</v>
      </c>
      <c r="EM172" s="142">
        <v>8.1999999999999993</v>
      </c>
      <c r="EN172" s="119">
        <v>2.1</v>
      </c>
      <c r="EO172" s="115">
        <v>50</v>
      </c>
      <c r="EP172" s="115">
        <v>7450.1871546614766</v>
      </c>
      <c r="EQ172" s="115">
        <v>0</v>
      </c>
      <c r="ER172" s="115">
        <v>0</v>
      </c>
      <c r="ES172" s="115">
        <v>60</v>
      </c>
      <c r="ET172" s="150">
        <v>0.23229461756373937</v>
      </c>
      <c r="EU172" s="145">
        <f t="shared" si="120"/>
        <v>18</v>
      </c>
      <c r="EV172" s="115">
        <f t="shared" si="121"/>
        <v>42</v>
      </c>
      <c r="EW172" s="115">
        <f t="shared" si="121"/>
        <v>51</v>
      </c>
      <c r="EX172" s="115">
        <f t="shared" si="121"/>
        <v>41</v>
      </c>
      <c r="EY172" s="115" t="str">
        <f t="shared" si="122"/>
        <v>Постоянный</v>
      </c>
      <c r="EZ172" s="115">
        <f t="shared" si="122"/>
        <v>24</v>
      </c>
      <c r="FA172" s="115">
        <f t="shared" si="122"/>
        <v>0</v>
      </c>
      <c r="FB172" s="149">
        <f t="shared" si="123"/>
        <v>6.7112407999999988</v>
      </c>
      <c r="FC172" s="142">
        <f t="shared" si="123"/>
        <v>8.1999999999999993</v>
      </c>
      <c r="FD172" s="119">
        <f t="shared" si="123"/>
        <v>2.1</v>
      </c>
      <c r="FE172" s="121">
        <f t="shared" si="103"/>
        <v>50</v>
      </c>
      <c r="FF172" s="121">
        <f t="shared" si="94"/>
        <v>7450.1871546614766</v>
      </c>
      <c r="FG172" s="121">
        <f t="shared" si="124"/>
        <v>0</v>
      </c>
      <c r="FH172" s="121">
        <f t="shared" si="95"/>
        <v>0</v>
      </c>
      <c r="FI172" s="121">
        <f t="shared" si="131"/>
        <v>60</v>
      </c>
      <c r="FJ172" s="144">
        <f t="shared" si="125"/>
        <v>0.23229461756373937</v>
      </c>
      <c r="FK172" s="132">
        <f t="shared" si="126"/>
        <v>0</v>
      </c>
      <c r="FL172" s="115">
        <f t="shared" si="126"/>
        <v>0</v>
      </c>
      <c r="FM172" s="115">
        <f t="shared" si="126"/>
        <v>0</v>
      </c>
      <c r="FN172" s="115">
        <f t="shared" si="126"/>
        <v>0</v>
      </c>
      <c r="FO172" s="115">
        <f t="shared" si="100"/>
        <v>0</v>
      </c>
      <c r="FP172" s="115">
        <f t="shared" si="100"/>
        <v>0</v>
      </c>
      <c r="FQ172" s="149">
        <f t="shared" si="100"/>
        <v>0</v>
      </c>
      <c r="FR172" s="142">
        <f t="shared" si="100"/>
        <v>0</v>
      </c>
      <c r="FS172" s="119">
        <f t="shared" si="100"/>
        <v>0</v>
      </c>
      <c r="FT172" s="121">
        <f t="shared" si="100"/>
        <v>0</v>
      </c>
      <c r="FU172" s="121">
        <f t="shared" si="127"/>
        <v>0</v>
      </c>
      <c r="FV172" s="121">
        <f t="shared" si="127"/>
        <v>0</v>
      </c>
      <c r="FW172" s="121">
        <f t="shared" si="128"/>
        <v>0</v>
      </c>
      <c r="FX172" s="121">
        <f t="shared" si="129"/>
        <v>0</v>
      </c>
      <c r="FY172" s="144">
        <f t="shared" si="129"/>
        <v>0</v>
      </c>
      <c r="FZ172" s="145"/>
      <c r="GA172" s="151" t="s">
        <v>283</v>
      </c>
      <c r="GB172" s="145"/>
      <c r="GC172" s="151" t="s">
        <v>865</v>
      </c>
      <c r="GD172" s="997" t="s">
        <v>238</v>
      </c>
      <c r="GE172" s="1004"/>
      <c r="GF172" s="1004">
        <v>0</v>
      </c>
      <c r="GG172" s="1004" t="s">
        <v>199</v>
      </c>
      <c r="GH172" s="1004">
        <v>-3.4879592000000006</v>
      </c>
      <c r="GI172" s="145"/>
      <c r="GJ172" s="996">
        <v>0</v>
      </c>
      <c r="GK172" s="145"/>
      <c r="GL172" s="996">
        <v>0</v>
      </c>
      <c r="GM172" s="1005"/>
      <c r="GN172" s="996">
        <v>0</v>
      </c>
      <c r="GO172" s="1006"/>
      <c r="GP172" s="996">
        <v>0</v>
      </c>
      <c r="GQ172" s="1006" t="s">
        <v>204</v>
      </c>
      <c r="GR172" s="996">
        <v>-3.0547439999999995</v>
      </c>
      <c r="GS172" s="1006"/>
      <c r="GT172" s="996">
        <v>0</v>
      </c>
      <c r="GU172" s="1006"/>
      <c r="GV172" s="996">
        <v>0.21234399999999987</v>
      </c>
      <c r="GW172" s="1006"/>
      <c r="GX172" s="997">
        <v>0</v>
      </c>
      <c r="GY172" s="1006"/>
      <c r="GZ172" s="996">
        <v>0</v>
      </c>
      <c r="HA172" s="1006" t="s">
        <v>199</v>
      </c>
      <c r="HB172" s="996">
        <v>-2.9506620000000012</v>
      </c>
      <c r="HC172" s="1006"/>
      <c r="HD172" s="996">
        <v>0</v>
      </c>
      <c r="HE172" s="1006" t="s">
        <v>204</v>
      </c>
      <c r="HF172" s="996">
        <v>0</v>
      </c>
      <c r="HG172" s="1006"/>
      <c r="HH172" s="996">
        <v>0</v>
      </c>
      <c r="HI172" s="1006"/>
      <c r="HJ172" s="996">
        <v>0</v>
      </c>
      <c r="HK172" s="1006"/>
      <c r="HL172" s="996">
        <v>0</v>
      </c>
      <c r="HM172" s="1006"/>
      <c r="HN172" s="996">
        <v>0</v>
      </c>
      <c r="HO172" s="1006"/>
      <c r="HP172" s="996">
        <v>0</v>
      </c>
      <c r="HQ172" s="1006"/>
      <c r="HR172" s="996">
        <v>0</v>
      </c>
      <c r="HS172" s="1006"/>
      <c r="HT172" s="996">
        <v>0</v>
      </c>
      <c r="HU172" s="1006" t="s">
        <v>25</v>
      </c>
      <c r="HV172" s="996">
        <v>5.7930620000000008</v>
      </c>
      <c r="HW172" s="1006"/>
      <c r="HX172" s="996">
        <v>-0.48387680000000088</v>
      </c>
      <c r="HY172" s="1006" t="s">
        <v>223</v>
      </c>
      <c r="HZ172" s="996">
        <v>-2.6950132</v>
      </c>
      <c r="IA172" s="1006" t="s">
        <v>204</v>
      </c>
      <c r="IB172" s="996">
        <v>-2.049036000000001</v>
      </c>
      <c r="IC172" s="1006"/>
      <c r="ID172" s="996">
        <v>-0.61404199999999776</v>
      </c>
      <c r="IE172" s="1006" t="s">
        <v>204</v>
      </c>
      <c r="IF172" s="996">
        <v>1.6663152000000014</v>
      </c>
      <c r="IG172" s="1006" t="s">
        <v>204</v>
      </c>
      <c r="IH172" s="996">
        <v>-2.2326215999999999</v>
      </c>
      <c r="II172" s="1006"/>
      <c r="IJ172" s="996">
        <v>0</v>
      </c>
      <c r="IK172" s="1006"/>
      <c r="IL172" s="996">
        <v>0</v>
      </c>
      <c r="IM172" s="1006"/>
      <c r="IN172" s="996">
        <v>0</v>
      </c>
      <c r="IO172" s="1006"/>
      <c r="IP172" s="996">
        <v>0</v>
      </c>
      <c r="IQ172" s="1006" t="s">
        <v>239</v>
      </c>
      <c r="IR172" s="996">
        <v>-0.94852560000000352</v>
      </c>
      <c r="IS172" s="1006"/>
      <c r="IT172" s="996">
        <v>0</v>
      </c>
      <c r="IU172" s="1006"/>
      <c r="IV172" s="996">
        <v>0</v>
      </c>
      <c r="IW172" s="1006"/>
      <c r="IX172" s="996">
        <v>0</v>
      </c>
      <c r="IY172" s="1006"/>
      <c r="IZ172" s="996">
        <v>0</v>
      </c>
      <c r="JA172" s="1006"/>
      <c r="JB172" s="996">
        <v>0</v>
      </c>
      <c r="JC172" s="1006"/>
      <c r="JD172" s="996">
        <v>0</v>
      </c>
      <c r="JE172" s="1006"/>
      <c r="JF172" s="996">
        <v>0</v>
      </c>
      <c r="JG172" s="1006"/>
      <c r="JH172" s="996">
        <v>0</v>
      </c>
      <c r="JI172" s="1006"/>
      <c r="JJ172" s="996">
        <v>0</v>
      </c>
      <c r="JK172" s="1007"/>
      <c r="JL172" s="1007">
        <v>0</v>
      </c>
      <c r="JM172" s="1007"/>
      <c r="JN172" s="1007">
        <v>0</v>
      </c>
      <c r="JO172" s="1008"/>
      <c r="JP172" s="1007">
        <v>0</v>
      </c>
      <c r="JQ172" s="1008">
        <v>0</v>
      </c>
      <c r="JR172" s="1007">
        <v>0</v>
      </c>
      <c r="JS172" s="1008">
        <v>0</v>
      </c>
      <c r="JT172" s="1007">
        <v>0</v>
      </c>
      <c r="JU172" s="1008"/>
      <c r="JV172" s="1007">
        <v>0</v>
      </c>
      <c r="JW172" s="1008" t="s">
        <v>197</v>
      </c>
      <c r="JX172" s="1007">
        <v>0</v>
      </c>
      <c r="JY172" s="1008"/>
      <c r="JZ172" s="1007">
        <v>0</v>
      </c>
      <c r="KA172" s="1008"/>
      <c r="KB172" s="1007">
        <v>0</v>
      </c>
      <c r="KC172" s="1008"/>
      <c r="KD172" s="1007">
        <v>0</v>
      </c>
      <c r="KE172" s="1008"/>
      <c r="KF172" s="1007">
        <v>0</v>
      </c>
      <c r="KG172" s="1008"/>
      <c r="KH172" s="1007">
        <v>0</v>
      </c>
      <c r="KI172" s="1008" t="s">
        <v>206</v>
      </c>
      <c r="KJ172" s="1007">
        <v>0.83600000000000207</v>
      </c>
      <c r="KK172" s="1008"/>
      <c r="KL172" s="1007">
        <v>0</v>
      </c>
      <c r="KM172" s="1008"/>
      <c r="KN172" s="1007">
        <v>0</v>
      </c>
      <c r="KO172" s="1008" t="s">
        <v>221</v>
      </c>
      <c r="KP172" s="1007">
        <v>-7.774799999999999</v>
      </c>
      <c r="KQ172" s="1008" t="s">
        <v>206</v>
      </c>
      <c r="KR172" s="1007">
        <v>-0.58520000000000039</v>
      </c>
      <c r="KS172" s="1008" t="s">
        <v>204</v>
      </c>
      <c r="KT172" s="1007">
        <v>-2.5079999999999991</v>
      </c>
      <c r="KU172" s="1008" t="s">
        <v>476</v>
      </c>
      <c r="KV172" s="1007">
        <v>27.587999999999997</v>
      </c>
      <c r="KW172" s="1008">
        <v>0</v>
      </c>
      <c r="KX172" s="1007">
        <v>0</v>
      </c>
      <c r="KY172" s="1008">
        <v>0</v>
      </c>
      <c r="KZ172" s="1007">
        <v>0</v>
      </c>
      <c r="LA172" s="1008">
        <v>0</v>
      </c>
      <c r="LB172" s="1007">
        <v>0</v>
      </c>
      <c r="LC172" s="1008">
        <v>0</v>
      </c>
      <c r="LD172" s="1007">
        <v>0</v>
      </c>
      <c r="LE172" s="1008">
        <v>0</v>
      </c>
      <c r="LF172" s="1007">
        <v>0</v>
      </c>
      <c r="LG172" s="1008">
        <v>0</v>
      </c>
      <c r="LH172" s="1007">
        <v>0</v>
      </c>
      <c r="LI172" s="1008">
        <v>0</v>
      </c>
      <c r="LJ172" s="1007">
        <v>0</v>
      </c>
      <c r="LK172" s="1008">
        <v>0</v>
      </c>
      <c r="LL172" s="1007">
        <v>0</v>
      </c>
      <c r="LM172" s="1008">
        <v>0</v>
      </c>
      <c r="LN172" s="1007">
        <v>0</v>
      </c>
      <c r="LO172" s="1008">
        <v>0</v>
      </c>
      <c r="LP172" s="1007">
        <v>0</v>
      </c>
      <c r="LQ172" s="1008" t="s">
        <v>206</v>
      </c>
      <c r="LR172" s="1007">
        <v>4.2552399999999988</v>
      </c>
      <c r="LS172" s="1008">
        <v>0</v>
      </c>
      <c r="LT172" s="1007">
        <v>0</v>
      </c>
      <c r="LU172" s="1008">
        <v>0</v>
      </c>
      <c r="LV172" s="1007">
        <v>0</v>
      </c>
      <c r="LW172" s="1008">
        <v>0</v>
      </c>
      <c r="LX172" s="1007">
        <v>0</v>
      </c>
      <c r="LY172" s="1009">
        <v>0</v>
      </c>
      <c r="LZ172" s="1010">
        <v>0</v>
      </c>
      <c r="MA172" s="1011">
        <v>0</v>
      </c>
      <c r="MB172" s="1012">
        <v>1.9348799999999999</v>
      </c>
      <c r="MC172" s="995"/>
      <c r="MD172" s="996"/>
      <c r="ME172" s="997" t="s">
        <v>238</v>
      </c>
      <c r="MF172" s="997"/>
      <c r="MG172" s="998"/>
      <c r="NR172" s="1000"/>
      <c r="NS172" s="1000"/>
      <c r="NT172" s="1001"/>
      <c r="NU172" s="1000"/>
      <c r="NV172" s="1001"/>
      <c r="NX172" s="1002"/>
      <c r="NZ172" s="1001"/>
      <c r="OA172" s="1001"/>
      <c r="OC172" s="1003"/>
      <c r="OD172" s="1003"/>
      <c r="OE172" s="1001"/>
      <c r="OF172" s="1003"/>
      <c r="OG172" s="1003"/>
      <c r="OH172" s="1003"/>
      <c r="OI172" s="1016"/>
      <c r="QX172" s="1000">
        <f>CN172-CA172</f>
        <v>18</v>
      </c>
      <c r="ASU172" s="999" t="s">
        <v>208</v>
      </c>
    </row>
    <row r="173" spans="1:466 1191:1191" ht="21" customHeight="1" x14ac:dyDescent="0.25">
      <c r="A173" s="982">
        <f t="shared" si="104"/>
        <v>1071</v>
      </c>
      <c r="B173" s="124">
        <f>SUBTOTAL(103,$J$29:J173)</f>
        <v>145</v>
      </c>
      <c r="C173" s="126">
        <v>45068</v>
      </c>
      <c r="D173" s="124" t="s">
        <v>176</v>
      </c>
      <c r="E173" s="127" t="s">
        <v>177</v>
      </c>
      <c r="F173" s="128" t="s">
        <v>177</v>
      </c>
      <c r="G173" s="127" t="s">
        <v>178</v>
      </c>
      <c r="H173" s="127" t="s">
        <v>408</v>
      </c>
      <c r="I173" s="127" t="s">
        <v>632</v>
      </c>
      <c r="J173" s="152">
        <v>1071</v>
      </c>
      <c r="K173" s="127" t="s">
        <v>866</v>
      </c>
      <c r="L173" s="130">
        <v>39724</v>
      </c>
      <c r="M173" s="127" t="s">
        <v>230</v>
      </c>
      <c r="N173" s="127" t="s">
        <v>231</v>
      </c>
      <c r="O173" s="127" t="s">
        <v>185</v>
      </c>
      <c r="P173" s="127" t="s">
        <v>186</v>
      </c>
      <c r="Q173" s="85" t="str">
        <f t="shared" si="133"/>
        <v/>
      </c>
      <c r="R173" s="130"/>
      <c r="S173" s="128" t="s">
        <v>156</v>
      </c>
      <c r="T173" s="131"/>
      <c r="U173" s="132">
        <v>203</v>
      </c>
      <c r="V173" s="121">
        <v>218.2</v>
      </c>
      <c r="W173" s="116">
        <v>0.98</v>
      </c>
      <c r="X173" s="116">
        <v>1.66</v>
      </c>
      <c r="Y173" s="116">
        <f t="shared" ref="Y173:Y236" si="137">(W173*X173)/((CQ173/100)*W173+(1-CQ173/100)*X173)</f>
        <v>0.98160841861363191</v>
      </c>
      <c r="Z173" s="133">
        <v>1.454</v>
      </c>
      <c r="AA173" s="133">
        <v>0.83599999999999997</v>
      </c>
      <c r="AB173" s="133">
        <v>0.72</v>
      </c>
      <c r="AC173" s="121">
        <v>34.299999999999997</v>
      </c>
      <c r="AD173" s="134">
        <v>1.17</v>
      </c>
      <c r="AE173" s="124">
        <v>139.69999999999999</v>
      </c>
      <c r="AF173" s="128">
        <v>7.72</v>
      </c>
      <c r="AG173" s="128">
        <v>2002</v>
      </c>
      <c r="AH173" s="127" t="s">
        <v>867</v>
      </c>
      <c r="AI173" s="127" t="s">
        <v>867</v>
      </c>
      <c r="AJ173" s="135"/>
      <c r="AK173" s="128"/>
      <c r="AL173" s="131"/>
      <c r="AM173" s="124" t="s">
        <v>232</v>
      </c>
      <c r="AN173" s="136" t="s">
        <v>868</v>
      </c>
      <c r="AO173" s="137" t="s">
        <v>869</v>
      </c>
      <c r="AP173" s="128">
        <v>2002</v>
      </c>
      <c r="AQ173" s="128">
        <v>121</v>
      </c>
      <c r="AR173" s="128"/>
      <c r="AS173" s="128"/>
      <c r="AT173" s="122"/>
      <c r="AU173" s="124" t="s">
        <v>250</v>
      </c>
      <c r="AV173" s="115">
        <f>VLOOKUP(J173,'[63]ТР нефть'!$J$28:$BP$638,39,0)</f>
        <v>600</v>
      </c>
      <c r="AW173" s="115" t="str">
        <f>VLOOKUP(J173,'[63]ТР нефть'!$J$28:$BP$638,40,0)</f>
        <v>ГП</v>
      </c>
      <c r="AX173" s="115">
        <f>VLOOKUP(J173,'[63]ТР нефть'!$J$28:$BP$638,41,0)</f>
        <v>1202</v>
      </c>
      <c r="AY173" s="115" t="str">
        <f>VLOOKUP(J173,'[63]ТР нефть'!$J$28:$BP$638,42,0)</f>
        <v>ГК 88 1/8</v>
      </c>
      <c r="AZ173" s="115">
        <f>VLOOKUP(J173,'[63]ТР нефть'!$J$28:$BP$638,43,0)</f>
        <v>1744</v>
      </c>
      <c r="BA173" s="115" t="str">
        <f>VLOOKUP(J173,'[63]ТР нефть'!$J$28:$BP$638,44,0)</f>
        <v>ЦКсОК 5/16</v>
      </c>
      <c r="BB173" s="115" t="str">
        <f>VLOOKUP(J173,'[63]ТР нефть'!$J$28:$BP$638,45,0)</f>
        <v>-</v>
      </c>
      <c r="BC173" s="115" t="str">
        <f>VLOOKUP(J173,'[63]ТР нефть'!$J$28:$BP$638,46,0)</f>
        <v>-</v>
      </c>
      <c r="BD173" s="115" t="str">
        <f>VLOOKUP(J173,'[63]ТР нефть'!$J$28:$BP$638,47,0)</f>
        <v>-</v>
      </c>
      <c r="BE173" s="115" t="str">
        <f>VLOOKUP(J173,'[63]ТР нефть'!$J$28:$BP$638,48,0)</f>
        <v>-</v>
      </c>
      <c r="BF173" s="115" t="str">
        <f>VLOOKUP(J173,'[63]ТР нефть'!$J$28:$BP$638,49,0)</f>
        <v>-</v>
      </c>
      <c r="BG173" s="115" t="str">
        <f>VLOOKUP(J173,'[63]ТР нефть'!$J$28:$BP$638,50,0)</f>
        <v>-</v>
      </c>
      <c r="BH173" s="115">
        <f>VLOOKUP(J173,'[63]ТР нефть'!$J$28:$BP$638,51,0)</f>
        <v>1750</v>
      </c>
      <c r="BI173" s="115" t="str">
        <f>VLOOKUP(J173,'[63]ТР нефть'!$J$28:$BP$638,52,0)</f>
        <v>закрыт</v>
      </c>
      <c r="BJ173" s="115" t="str">
        <f>IF(IFERROR(VLOOKUP(J173,'[63]ТР нефть'!$J$28:$BP$638,53,0),"-")=0,"-",IFERROR(VLOOKUP(J173,'[63]ТР нефть'!$J$28:$BP$638,53,0),"-"))</f>
        <v>-</v>
      </c>
      <c r="BK173" s="138" t="str">
        <f>IF(IFERROR(VLOOKUP(J173,'[63]ТР нефть'!$J$28:$BP$638,54,0),"-")=0,"-",IFERROR(VLOOKUP(J173,'[63]ТР нефть'!$J$28:$BP$638,54,0),"-"))</f>
        <v>-</v>
      </c>
      <c r="BL173" s="138" t="str">
        <f>IF(IFERROR(VLOOKUP(J173,'[63]ТР нефть'!$J$28:$BP$638,55,0),"-")=0,"-",IFERROR(VLOOKUP(J173,'[63]ТР нефть'!$J$28:$BP$638,55,0),"-"))</f>
        <v>-</v>
      </c>
      <c r="BM173" s="138" t="str">
        <f>IF(IFERROR(VLOOKUP(J173,'[63]ТР нефть'!$J$28:$BP$638,56,0),"-")=0,"-",IFERROR(VLOOKUP(J173,'[63]ТР нефть'!$J$28:$BP$638,56,0),"-"))</f>
        <v>-</v>
      </c>
      <c r="BN173" s="138" t="str">
        <f>IF(IFERROR(VLOOKUP(J173,'[63]ТР нефть'!$J$28:$BP$638,57,0),"-")=0,"-",IFERROR(VLOOKUP(J173,'[63]ТР нефть'!$J$28:$BP$638,57,0),"-"))</f>
        <v>-</v>
      </c>
      <c r="BO173" s="115" t="str">
        <f>IF(IFERROR(VLOOKUP(J173,'[63]ТР нефть'!$J$28:$BP$638,58,0),"-")=0,"-",IFERROR(VLOOKUP(J173,'[63]ТР нефть'!$J$28:$BP$638,58,0),"-"))</f>
        <v>-</v>
      </c>
      <c r="BP173" s="115" t="str">
        <f>IF(IFERROR(VLOOKUP(J173,'[63]ТР нефть'!$J$28:$BP$638,59,0),"-")=0,"-",IFERROR(VLOOKUP(J173,'[63]ТР нефть'!$J$28:$BP$638,59,0),"-"))</f>
        <v>-</v>
      </c>
      <c r="BQ173" s="138">
        <v>2097</v>
      </c>
      <c r="BR173" s="128">
        <v>1751.61</v>
      </c>
      <c r="BS173" s="115">
        <f t="shared" si="105"/>
        <v>345.3900000000001</v>
      </c>
      <c r="BT173" s="128">
        <v>73</v>
      </c>
      <c r="BU173" s="128">
        <v>5.5</v>
      </c>
      <c r="BV173" s="127">
        <v>18</v>
      </c>
      <c r="BW173" s="127" t="s">
        <v>217</v>
      </c>
      <c r="BX173" s="127" t="s">
        <v>195</v>
      </c>
      <c r="BY173" s="139">
        <v>24</v>
      </c>
      <c r="BZ173" s="139">
        <v>0</v>
      </c>
      <c r="CA173" s="138">
        <v>22</v>
      </c>
      <c r="CB173" s="138">
        <v>66</v>
      </c>
      <c r="CC173" s="138">
        <v>21</v>
      </c>
      <c r="CD173" s="135">
        <v>45017</v>
      </c>
      <c r="CE173" s="138">
        <v>72.400000000000006</v>
      </c>
      <c r="CF173" s="138"/>
      <c r="CG173" s="138"/>
      <c r="CH173" s="138"/>
      <c r="CI173" s="127"/>
      <c r="CJ173" s="138"/>
      <c r="CK173" s="138"/>
      <c r="CL173" s="99"/>
      <c r="CM173" s="127"/>
      <c r="CN173" s="154">
        <v>40</v>
      </c>
      <c r="CO173" s="159">
        <f t="shared" si="106"/>
        <v>2.8310303999999999</v>
      </c>
      <c r="CP173" s="160">
        <v>3.4</v>
      </c>
      <c r="CQ173" s="161">
        <v>0.4</v>
      </c>
      <c r="CR173" s="138">
        <v>10.4</v>
      </c>
      <c r="CS173" s="139"/>
      <c r="CT173" s="138"/>
      <c r="CU173" s="138">
        <f t="shared" si="134"/>
        <v>10.4</v>
      </c>
      <c r="CV173" s="115">
        <f t="shared" si="135"/>
        <v>3673.5741163358757</v>
      </c>
      <c r="CW173" s="115" t="str">
        <f t="shared" si="109"/>
        <v/>
      </c>
      <c r="CX173" s="133">
        <f t="shared" si="136"/>
        <v>0.10493827160493825</v>
      </c>
      <c r="CY173" s="116"/>
      <c r="CZ173" s="131"/>
      <c r="DA173" s="145" t="str">
        <f t="shared" si="111"/>
        <v>Фон.</v>
      </c>
      <c r="DB173" s="146">
        <f t="shared" si="112"/>
        <v>2.8310303999999999</v>
      </c>
      <c r="DC173" s="142">
        <f t="shared" si="113"/>
        <v>3.4</v>
      </c>
      <c r="DD173" s="119">
        <f t="shared" si="114"/>
        <v>0.4</v>
      </c>
      <c r="DE173" s="115">
        <f t="shared" si="115"/>
        <v>10.4</v>
      </c>
      <c r="DF173" s="121">
        <f t="shared" si="116"/>
        <v>0</v>
      </c>
      <c r="DG173" s="115">
        <f t="shared" si="117"/>
        <v>3673.5741163358757</v>
      </c>
      <c r="DH173" s="115">
        <f t="shared" si="118"/>
        <v>40</v>
      </c>
      <c r="DI173" s="147"/>
      <c r="DJ173" s="111">
        <v>43540</v>
      </c>
      <c r="DK173" s="112">
        <v>40829</v>
      </c>
      <c r="DL173" s="113">
        <f t="shared" ref="DL173:DL236" ca="1" si="138">TODAY()-DK173</f>
        <v>4275</v>
      </c>
      <c r="DM173" s="114"/>
      <c r="DN173" s="114"/>
      <c r="DO173" s="114"/>
      <c r="DP173" s="114"/>
      <c r="DQ173" s="112">
        <v>43400</v>
      </c>
      <c r="DR173" s="114" t="s">
        <v>198</v>
      </c>
      <c r="DS173" s="114"/>
      <c r="DT173" s="115">
        <v>49</v>
      </c>
      <c r="DU173" s="116">
        <f t="shared" ref="DU173:DU236" si="139">DW173/(CE173-DT173)</f>
        <v>0.14529914529914525</v>
      </c>
      <c r="DV173" s="117">
        <f t="shared" ref="DV173:DV236" si="140">DW173*(1-DX173/100)*$AA173</f>
        <v>2.8310303999999999</v>
      </c>
      <c r="DW173" s="118">
        <f t="shared" ref="DW173:DW236" si="141">IF(DT173&lt;CN173,IF(MQ173=1,CP173,(1-0.2*(DT173/CE173)-0.8*(DT173/CE173)^2)*(CP173/(1-0.2*(CN173/CE173)-0.8*(CN173/CE173)^2))),CP173)</f>
        <v>3.4</v>
      </c>
      <c r="DX173" s="119">
        <f t="shared" si="119"/>
        <v>0.4</v>
      </c>
      <c r="DY173" s="115">
        <f t="shared" ref="DY173:DY236" si="142">(CV173*DV173)/1000</f>
        <v>10.4</v>
      </c>
      <c r="DZ173" s="117">
        <f t="shared" ref="DZ173:EB236" si="143">DV173-CO173</f>
        <v>0</v>
      </c>
      <c r="EA173" s="120">
        <f t="shared" si="143"/>
        <v>0</v>
      </c>
      <c r="EB173" s="119">
        <f t="shared" si="143"/>
        <v>0</v>
      </c>
      <c r="EC173" s="121">
        <f t="shared" ref="EC173:EC236" si="144">DY173-CU173</f>
        <v>0</v>
      </c>
      <c r="ED173" s="122"/>
      <c r="EE173" s="145">
        <v>18</v>
      </c>
      <c r="EF173" s="115">
        <v>22</v>
      </c>
      <c r="EG173" s="115">
        <v>66</v>
      </c>
      <c r="EH173" s="115">
        <v>21</v>
      </c>
      <c r="EI173" s="128" t="s">
        <v>195</v>
      </c>
      <c r="EJ173" s="121">
        <v>24</v>
      </c>
      <c r="EK173" s="121">
        <v>0</v>
      </c>
      <c r="EL173" s="162">
        <v>2.8310303999999999</v>
      </c>
      <c r="EM173" s="142">
        <v>3.4</v>
      </c>
      <c r="EN173" s="119">
        <v>0.4</v>
      </c>
      <c r="EO173" s="115">
        <v>10.4</v>
      </c>
      <c r="EP173" s="115">
        <v>3673.5741163358757</v>
      </c>
      <c r="EQ173" s="115">
        <v>0</v>
      </c>
      <c r="ER173" s="115">
        <v>0</v>
      </c>
      <c r="ES173" s="115">
        <v>40</v>
      </c>
      <c r="ET173" s="150">
        <v>0.10493827160493825</v>
      </c>
      <c r="EU173" s="145">
        <f t="shared" si="120"/>
        <v>18</v>
      </c>
      <c r="EV173" s="115">
        <f t="shared" si="121"/>
        <v>22</v>
      </c>
      <c r="EW173" s="115">
        <f t="shared" si="121"/>
        <v>66</v>
      </c>
      <c r="EX173" s="115">
        <f t="shared" si="121"/>
        <v>21</v>
      </c>
      <c r="EY173" s="115" t="str">
        <f t="shared" si="122"/>
        <v>Постоянный</v>
      </c>
      <c r="EZ173" s="115">
        <f t="shared" si="122"/>
        <v>24</v>
      </c>
      <c r="FA173" s="115">
        <f t="shared" si="122"/>
        <v>0</v>
      </c>
      <c r="FB173" s="149">
        <f t="shared" si="123"/>
        <v>2.8310303999999999</v>
      </c>
      <c r="FC173" s="142">
        <f t="shared" si="123"/>
        <v>3.4</v>
      </c>
      <c r="FD173" s="119">
        <f t="shared" si="123"/>
        <v>0.4</v>
      </c>
      <c r="FE173" s="121">
        <f t="shared" si="103"/>
        <v>10.4</v>
      </c>
      <c r="FF173" s="121">
        <f t="shared" ref="FF173:FF236" si="145">CV173</f>
        <v>3673.5741163358757</v>
      </c>
      <c r="FG173" s="121">
        <f t="shared" si="124"/>
        <v>0</v>
      </c>
      <c r="FH173" s="121">
        <f t="shared" ref="FH173:FH236" si="146">CS173</f>
        <v>0</v>
      </c>
      <c r="FI173" s="121">
        <f t="shared" si="131"/>
        <v>40</v>
      </c>
      <c r="FJ173" s="144">
        <f t="shared" si="125"/>
        <v>0.10493827160493825</v>
      </c>
      <c r="FK173" s="132">
        <f t="shared" si="126"/>
        <v>0</v>
      </c>
      <c r="FL173" s="115">
        <f t="shared" si="126"/>
        <v>0</v>
      </c>
      <c r="FM173" s="115">
        <f t="shared" si="126"/>
        <v>0</v>
      </c>
      <c r="FN173" s="115">
        <f t="shared" si="126"/>
        <v>0</v>
      </c>
      <c r="FO173" s="115">
        <f t="shared" si="100"/>
        <v>0</v>
      </c>
      <c r="FP173" s="115">
        <f t="shared" si="100"/>
        <v>0</v>
      </c>
      <c r="FQ173" s="149">
        <f t="shared" si="100"/>
        <v>0</v>
      </c>
      <c r="FR173" s="142">
        <f t="shared" si="100"/>
        <v>0</v>
      </c>
      <c r="FS173" s="119">
        <f t="shared" si="100"/>
        <v>0</v>
      </c>
      <c r="FT173" s="121">
        <f t="shared" si="100"/>
        <v>0</v>
      </c>
      <c r="FU173" s="121">
        <f t="shared" si="127"/>
        <v>0</v>
      </c>
      <c r="FV173" s="121">
        <f t="shared" si="127"/>
        <v>0</v>
      </c>
      <c r="FW173" s="121">
        <f t="shared" si="128"/>
        <v>0</v>
      </c>
      <c r="FX173" s="121">
        <f t="shared" si="129"/>
        <v>0</v>
      </c>
      <c r="FY173" s="144">
        <f t="shared" si="129"/>
        <v>0</v>
      </c>
      <c r="FZ173" s="145"/>
      <c r="GA173" s="151" t="s">
        <v>870</v>
      </c>
      <c r="GB173" s="145"/>
      <c r="GC173" s="151"/>
      <c r="GD173" s="997" t="s">
        <v>416</v>
      </c>
      <c r="GE173" s="1004"/>
      <c r="GF173" s="1004">
        <v>0.16653119999999966</v>
      </c>
      <c r="GG173" s="1004"/>
      <c r="GH173" s="1004">
        <v>0</v>
      </c>
      <c r="GI173" s="145"/>
      <c r="GJ173" s="996">
        <v>0</v>
      </c>
      <c r="GK173" s="145"/>
      <c r="GL173" s="996">
        <v>0</v>
      </c>
      <c r="GM173" s="1005"/>
      <c r="GN173" s="996">
        <v>0</v>
      </c>
      <c r="GO173" s="1006"/>
      <c r="GP173" s="996">
        <v>0</v>
      </c>
      <c r="GQ173" s="1006"/>
      <c r="GR173" s="996">
        <v>0</v>
      </c>
      <c r="GS173" s="1006"/>
      <c r="GT173" s="996">
        <v>0</v>
      </c>
      <c r="GU173" s="1006"/>
      <c r="GV173" s="996">
        <v>0</v>
      </c>
      <c r="GW173" s="1006"/>
      <c r="GX173" s="996">
        <v>0</v>
      </c>
      <c r="GY173" s="1006"/>
      <c r="GZ173" s="996">
        <v>0</v>
      </c>
      <c r="HA173" s="1006"/>
      <c r="HB173" s="996">
        <v>0</v>
      </c>
      <c r="HC173" s="1006"/>
      <c r="HD173" s="996">
        <v>-0.25857479999999988</v>
      </c>
      <c r="HE173" s="1006"/>
      <c r="HF173" s="996">
        <v>0</v>
      </c>
      <c r="HG173" s="1006"/>
      <c r="HH173" s="996">
        <v>-0.88527383999999953</v>
      </c>
      <c r="HI173" s="1006"/>
      <c r="HJ173" s="996">
        <v>0</v>
      </c>
      <c r="HK173" s="1006"/>
      <c r="HL173" s="996">
        <v>0.88527383999999953</v>
      </c>
      <c r="HM173" s="1006" t="s">
        <v>199</v>
      </c>
      <c r="HN173" s="996">
        <v>1.8797460000000001</v>
      </c>
      <c r="HO173" s="1006"/>
      <c r="HP173" s="996">
        <v>0</v>
      </c>
      <c r="HQ173" s="1006"/>
      <c r="HR173" s="996">
        <v>0</v>
      </c>
      <c r="HS173" s="1006" t="s">
        <v>223</v>
      </c>
      <c r="HT173" s="996">
        <v>-5.2183120000000001</v>
      </c>
      <c r="HU173" s="1006"/>
      <c r="HV173" s="996">
        <v>0</v>
      </c>
      <c r="HW173" s="1006"/>
      <c r="HX173" s="996">
        <v>0</v>
      </c>
      <c r="HY173" s="1006" t="s">
        <v>199</v>
      </c>
      <c r="HZ173" s="996">
        <v>1.7436451999999996</v>
      </c>
      <c r="IA173" s="1006"/>
      <c r="IB173" s="996">
        <v>-0.89155220000000046</v>
      </c>
      <c r="IC173" s="1006" t="s">
        <v>199</v>
      </c>
      <c r="ID173" s="996">
        <v>2.4134902000000009</v>
      </c>
      <c r="IE173" s="1006"/>
      <c r="IF173" s="996">
        <v>0</v>
      </c>
      <c r="IG173" s="1006"/>
      <c r="IH173" s="996">
        <v>0</v>
      </c>
      <c r="II173" s="1006"/>
      <c r="IJ173" s="996">
        <v>0</v>
      </c>
      <c r="IK173" s="1006"/>
      <c r="IL173" s="996">
        <v>-0.33289520000000028</v>
      </c>
      <c r="IM173" s="1006"/>
      <c r="IN173" s="996">
        <v>-0.91546179999999922</v>
      </c>
      <c r="IO173" s="1006"/>
      <c r="IP173" s="996">
        <v>0</v>
      </c>
      <c r="IQ173" s="1006"/>
      <c r="IR173" s="996">
        <v>0</v>
      </c>
      <c r="IS173" s="1006"/>
      <c r="IT173" s="996">
        <v>0</v>
      </c>
      <c r="IU173" s="1006"/>
      <c r="IV173" s="996">
        <v>0</v>
      </c>
      <c r="IW173" s="1006"/>
      <c r="IX173" s="996">
        <v>0</v>
      </c>
      <c r="IY173" s="1006"/>
      <c r="IZ173" s="996">
        <v>0</v>
      </c>
      <c r="JA173" s="1006"/>
      <c r="JB173" s="996">
        <v>0</v>
      </c>
      <c r="JC173" s="1006"/>
      <c r="JD173" s="996">
        <v>0</v>
      </c>
      <c r="JE173" s="1006"/>
      <c r="JF173" s="996">
        <v>0</v>
      </c>
      <c r="JG173" s="1006"/>
      <c r="JH173" s="996">
        <v>0</v>
      </c>
      <c r="JI173" s="1006"/>
      <c r="JJ173" s="996">
        <v>0</v>
      </c>
      <c r="JK173" s="1007"/>
      <c r="JL173" s="1007">
        <v>0</v>
      </c>
      <c r="JM173" s="1007"/>
      <c r="JN173" s="1007">
        <v>0</v>
      </c>
      <c r="JO173" s="1008"/>
      <c r="JP173" s="1007">
        <v>0</v>
      </c>
      <c r="JQ173" s="1008" t="s">
        <v>223</v>
      </c>
      <c r="JR173" s="1007">
        <v>-3.3517748000000003</v>
      </c>
      <c r="JS173" s="1008">
        <v>0</v>
      </c>
      <c r="JT173" s="1007">
        <v>0</v>
      </c>
      <c r="JU173" s="1008"/>
      <c r="JV173" s="1007">
        <v>0</v>
      </c>
      <c r="JW173" s="1008" t="s">
        <v>197</v>
      </c>
      <c r="JX173" s="1007">
        <v>0</v>
      </c>
      <c r="JY173" s="1008"/>
      <c r="JZ173" s="1007">
        <v>-1.1411400000000071E-2</v>
      </c>
      <c r="KA173" s="1008"/>
      <c r="KB173" s="1007">
        <v>0</v>
      </c>
      <c r="KC173" s="1008"/>
      <c r="KD173" s="1007">
        <v>0</v>
      </c>
      <c r="KE173" s="1008"/>
      <c r="KF173" s="1007">
        <v>0</v>
      </c>
      <c r="KG173" s="1008" t="s">
        <v>203</v>
      </c>
      <c r="KH173" s="1007">
        <v>-2.4980348800000005</v>
      </c>
      <c r="KI173" s="1008" t="s">
        <v>25</v>
      </c>
      <c r="KJ173" s="1007">
        <v>0.63555395200000042</v>
      </c>
      <c r="KK173" s="1008"/>
      <c r="KL173" s="1007">
        <v>3.6180809280000004</v>
      </c>
      <c r="KM173" s="1008"/>
      <c r="KN173" s="1007">
        <v>0</v>
      </c>
      <c r="KO173" s="1008" t="s">
        <v>206</v>
      </c>
      <c r="KP173" s="1007">
        <v>2.5079999999999996</v>
      </c>
      <c r="KQ173" s="1008" t="s">
        <v>207</v>
      </c>
      <c r="KR173" s="1007">
        <v>-2.9259999999999997</v>
      </c>
      <c r="KS173" s="1008">
        <v>0</v>
      </c>
      <c r="KT173" s="1007">
        <v>0</v>
      </c>
      <c r="KU173" s="1008" t="s">
        <v>206</v>
      </c>
      <c r="KV173" s="1007">
        <v>-1.2540000000000004</v>
      </c>
      <c r="KW173" s="1008" t="s">
        <v>221</v>
      </c>
      <c r="KX173" s="1007">
        <v>-11.703999999999997</v>
      </c>
      <c r="KY173" s="1008" t="s">
        <v>221</v>
      </c>
      <c r="KZ173" s="1007">
        <v>13.160311999999998</v>
      </c>
      <c r="LA173" s="1008">
        <v>0</v>
      </c>
      <c r="LB173" s="1007">
        <v>0</v>
      </c>
      <c r="LC173" s="1008">
        <v>0</v>
      </c>
      <c r="LD173" s="1007">
        <v>0</v>
      </c>
      <c r="LE173" s="1008">
        <v>0</v>
      </c>
      <c r="LF173" s="1007">
        <v>0</v>
      </c>
      <c r="LG173" s="1008">
        <v>0</v>
      </c>
      <c r="LH173" s="1007">
        <v>-0.61362410000000001</v>
      </c>
      <c r="LI173" s="1008">
        <v>0</v>
      </c>
      <c r="LJ173" s="1007">
        <v>0</v>
      </c>
      <c r="LK173" s="1008">
        <v>0</v>
      </c>
      <c r="LL173" s="1007">
        <v>0</v>
      </c>
      <c r="LM173" s="1008" t="s">
        <v>555</v>
      </c>
      <c r="LN173" s="1007">
        <v>1.670328</v>
      </c>
      <c r="LO173" s="1008">
        <v>0</v>
      </c>
      <c r="LP173" s="1007">
        <v>0.83516400000000002</v>
      </c>
      <c r="LQ173" s="1008">
        <v>0</v>
      </c>
      <c r="LR173" s="1007">
        <v>0</v>
      </c>
      <c r="LS173" s="1008">
        <v>0</v>
      </c>
      <c r="LT173" s="1007">
        <v>-1.8265752</v>
      </c>
      <c r="LU173" s="1008">
        <v>0</v>
      </c>
      <c r="LV173" s="1007">
        <v>0</v>
      </c>
      <c r="LW173" s="1008">
        <v>0</v>
      </c>
      <c r="LX173" s="1007">
        <v>0</v>
      </c>
      <c r="LY173" s="1009">
        <v>0</v>
      </c>
      <c r="LZ173" s="1010">
        <v>0.73494431999999899</v>
      </c>
      <c r="MA173" s="1011">
        <v>0</v>
      </c>
      <c r="MB173" s="1012">
        <v>0</v>
      </c>
      <c r="MC173" s="995"/>
      <c r="MD173" s="996"/>
      <c r="ME173" s="997" t="s">
        <v>416</v>
      </c>
      <c r="MF173" s="997"/>
      <c r="MG173" s="998"/>
      <c r="NR173" s="1000"/>
      <c r="NS173" s="1000"/>
      <c r="NT173" s="1001"/>
      <c r="NU173" s="1000"/>
      <c r="NV173" s="1001"/>
      <c r="NX173" s="1002"/>
      <c r="NZ173" s="1001"/>
      <c r="OA173" s="1001"/>
      <c r="OC173" s="1003"/>
      <c r="OD173" s="1003"/>
      <c r="OE173" s="1001"/>
      <c r="OF173" s="1003"/>
      <c r="OG173" s="1003"/>
      <c r="QX173" s="1000">
        <f>CN173-CA173</f>
        <v>18</v>
      </c>
      <c r="ASU173" s="999" t="s">
        <v>225</v>
      </c>
    </row>
    <row r="174" spans="1:466 1191:1191" ht="21" customHeight="1" x14ac:dyDescent="0.25">
      <c r="A174" s="982" t="str">
        <f t="shared" si="104"/>
        <v>1071-1</v>
      </c>
      <c r="B174" s="124">
        <f>SUBTOTAL(103,$J$29:J174)</f>
        <v>146</v>
      </c>
      <c r="C174" s="126">
        <v>45068</v>
      </c>
      <c r="D174" s="124" t="s">
        <v>176</v>
      </c>
      <c r="E174" s="127" t="s">
        <v>177</v>
      </c>
      <c r="F174" s="128" t="s">
        <v>177</v>
      </c>
      <c r="G174" s="127" t="s">
        <v>178</v>
      </c>
      <c r="H174" s="127" t="s">
        <v>408</v>
      </c>
      <c r="I174" s="127" t="s">
        <v>632</v>
      </c>
      <c r="J174" s="152" t="s">
        <v>871</v>
      </c>
      <c r="K174" s="127" t="s">
        <v>866</v>
      </c>
      <c r="L174" s="130">
        <v>39858</v>
      </c>
      <c r="M174" s="127" t="s">
        <v>230</v>
      </c>
      <c r="N174" s="127" t="s">
        <v>231</v>
      </c>
      <c r="O174" s="127" t="s">
        <v>185</v>
      </c>
      <c r="P174" s="127" t="s">
        <v>186</v>
      </c>
      <c r="Q174" s="85" t="str">
        <f t="shared" si="133"/>
        <v/>
      </c>
      <c r="R174" s="130"/>
      <c r="S174" s="128" t="s">
        <v>156</v>
      </c>
      <c r="T174" s="131"/>
      <c r="U174" s="132">
        <v>203</v>
      </c>
      <c r="V174" s="121">
        <v>218.2</v>
      </c>
      <c r="W174" s="116">
        <v>0.98</v>
      </c>
      <c r="X174" s="116">
        <v>1.66</v>
      </c>
      <c r="Y174" s="116">
        <f t="shared" si="137"/>
        <v>0.98</v>
      </c>
      <c r="Z174" s="133">
        <v>1.454</v>
      </c>
      <c r="AA174" s="133">
        <v>0.83599999999999997</v>
      </c>
      <c r="AB174" s="133">
        <v>0.72</v>
      </c>
      <c r="AC174" s="121">
        <v>34.299999999999997</v>
      </c>
      <c r="AD174" s="134">
        <v>1.17</v>
      </c>
      <c r="AE174" s="124">
        <v>139.69999999999999</v>
      </c>
      <c r="AF174" s="128">
        <v>7.72</v>
      </c>
      <c r="AG174" s="128">
        <v>1961</v>
      </c>
      <c r="AH174" s="127" t="s">
        <v>872</v>
      </c>
      <c r="AI174" s="127" t="s">
        <v>872</v>
      </c>
      <c r="AJ174" s="135"/>
      <c r="AK174" s="128"/>
      <c r="AL174" s="131"/>
      <c r="AM174" s="124" t="s">
        <v>232</v>
      </c>
      <c r="AN174" s="136" t="s">
        <v>873</v>
      </c>
      <c r="AO174" s="137" t="s">
        <v>874</v>
      </c>
      <c r="AP174" s="128" t="s">
        <v>875</v>
      </c>
      <c r="AQ174" s="128" t="s">
        <v>876</v>
      </c>
      <c r="AR174" s="128"/>
      <c r="AS174" s="128"/>
      <c r="AT174" s="122"/>
      <c r="AU174" s="124" t="s">
        <v>189</v>
      </c>
      <c r="AV174" s="115">
        <f>VLOOKUP(J174,'[63]ТР нефть'!$J$28:$BP$638,39,0)</f>
        <v>560.00001357400004</v>
      </c>
      <c r="AW174" s="115" t="str">
        <f>VLOOKUP(J174,'[63]ТР нефть'!$J$28:$BP$638,40,0)</f>
        <v>ГП</v>
      </c>
      <c r="AX174" s="115">
        <f>VLOOKUP(J174,'[63]ТР нефть'!$J$28:$BP$638,41,0)</f>
        <v>1049.999983594</v>
      </c>
      <c r="AY174" s="115" t="str">
        <f>VLOOKUP(J174,'[63]ТР нефть'!$J$28:$BP$638,42,0)</f>
        <v>ГК 82 1/8</v>
      </c>
      <c r="AZ174" s="115">
        <f>VLOOKUP(J174,'[63]ТР нефть'!$J$28:$BP$638,43,0)</f>
        <v>1399.9999781250001</v>
      </c>
      <c r="BA174" s="115" t="str">
        <f>VLOOKUP(J174,'[63]ТР нефть'!$J$28:$BP$638,44,0)</f>
        <v>ГК 82 1/8</v>
      </c>
      <c r="BB174" s="115">
        <f>VLOOKUP(J174,'[63]ТР нефть'!$J$28:$BP$638,45,0)</f>
        <v>1649.999974219</v>
      </c>
      <c r="BC174" s="115" t="str">
        <f>VLOOKUP(J174,'[63]ТР нефть'!$J$28:$BP$638,46,0)</f>
        <v>ГК 81 1/8</v>
      </c>
      <c r="BD174" s="115">
        <f>VLOOKUP(J174,'[63]ТР нефть'!$J$28:$BP$638,47,0)</f>
        <v>1849.9999710940001</v>
      </c>
      <c r="BE174" s="115" t="str">
        <f>VLOOKUP(J174,'[63]ТР нефть'!$J$28:$BP$638,48,0)</f>
        <v>ЦКсОК 5/16</v>
      </c>
      <c r="BF174" s="115" t="str">
        <f>VLOOKUP(J174,'[63]ТР нефть'!$J$28:$BP$638,49,0)</f>
        <v>-</v>
      </c>
      <c r="BG174" s="115" t="str">
        <f>VLOOKUP(J174,'[63]ТР нефть'!$J$28:$BP$638,50,0)</f>
        <v>-</v>
      </c>
      <c r="BH174" s="115">
        <f>VLOOKUP(J174,'[63]ТР нефть'!$J$28:$BP$638,51,0)</f>
        <v>1740</v>
      </c>
      <c r="BI174" s="115" t="str">
        <f>VLOOKUP(J174,'[63]ТР нефть'!$J$28:$BP$638,52,0)</f>
        <v>закрыт</v>
      </c>
      <c r="BJ174" s="115" t="str">
        <f>IF(IFERROR(VLOOKUP(J174,'[63]ТР нефть'!$J$28:$BP$638,53,0),"-")=0,"-",IFERROR(VLOOKUP(J174,'[63]ТР нефть'!$J$28:$BP$638,53,0),"-"))</f>
        <v>-</v>
      </c>
      <c r="BK174" s="138" t="str">
        <f>IF(IFERROR(VLOOKUP(J174,'[63]ТР нефть'!$J$28:$BP$638,54,0),"-")=0,"-",IFERROR(VLOOKUP(J174,'[63]ТР нефть'!$J$28:$BP$638,54,0),"-"))</f>
        <v>-</v>
      </c>
      <c r="BL174" s="138" t="str">
        <f>IF(IFERROR(VLOOKUP(J174,'[63]ТР нефть'!$J$28:$BP$638,55,0),"-")=0,"-",IFERROR(VLOOKUP(J174,'[63]ТР нефть'!$J$28:$BP$638,55,0),"-"))</f>
        <v>-</v>
      </c>
      <c r="BM174" s="138" t="str">
        <f>IF(IFERROR(VLOOKUP(J174,'[63]ТР нефть'!$J$28:$BP$638,56,0),"-")=0,"-",IFERROR(VLOOKUP(J174,'[63]ТР нефть'!$J$28:$BP$638,56,0),"-"))</f>
        <v>-</v>
      </c>
      <c r="BN174" s="138" t="str">
        <f>IF(IFERROR(VLOOKUP(J174,'[63]ТР нефть'!$J$28:$BP$638,57,0),"-")=0,"-",IFERROR(VLOOKUP(J174,'[63]ТР нефть'!$J$28:$BP$638,57,0),"-"))</f>
        <v>-</v>
      </c>
      <c r="BO174" s="115" t="str">
        <f>IF(IFERROR(VLOOKUP(J174,'[63]ТР нефть'!$J$28:$BP$638,58,0),"-")=0,"-",IFERROR(VLOOKUP(J174,'[63]ТР нефть'!$J$28:$BP$638,58,0),"-"))</f>
        <v>-</v>
      </c>
      <c r="BP174" s="115" t="str">
        <f>IF(IFERROR(VLOOKUP(J174,'[63]ТР нефть'!$J$28:$BP$638,59,0),"-")=0,"-",IFERROR(VLOOKUP(J174,'[63]ТР нефть'!$J$28:$BP$638,59,0),"-"))</f>
        <v>-</v>
      </c>
      <c r="BQ174" s="138">
        <v>2000</v>
      </c>
      <c r="BR174" s="128">
        <v>1625.57</v>
      </c>
      <c r="BS174" s="115">
        <f t="shared" si="105"/>
        <v>374.43000000000006</v>
      </c>
      <c r="BT174" s="128">
        <v>73</v>
      </c>
      <c r="BU174" s="128">
        <v>5.5</v>
      </c>
      <c r="BV174" s="127">
        <v>18</v>
      </c>
      <c r="BW174" s="127" t="s">
        <v>217</v>
      </c>
      <c r="BX174" s="127" t="s">
        <v>195</v>
      </c>
      <c r="BY174" s="139">
        <v>24</v>
      </c>
      <c r="BZ174" s="139">
        <v>0</v>
      </c>
      <c r="CA174" s="138">
        <v>21</v>
      </c>
      <c r="CB174" s="138">
        <v>39</v>
      </c>
      <c r="CC174" s="138">
        <v>20</v>
      </c>
      <c r="CD174" s="135">
        <v>45017</v>
      </c>
      <c r="CE174" s="138">
        <v>85</v>
      </c>
      <c r="CF174" s="138">
        <v>74</v>
      </c>
      <c r="CG174" s="138" t="str">
        <f>IF(CH174&lt;&gt;"","В работе","")</f>
        <v>В работе</v>
      </c>
      <c r="CH174" s="138" t="s">
        <v>235</v>
      </c>
      <c r="CI174" s="127">
        <v>6</v>
      </c>
      <c r="CJ174" s="138"/>
      <c r="CK174" s="138"/>
      <c r="CL174" s="99"/>
      <c r="CM174" s="99"/>
      <c r="CN174" s="173">
        <v>38</v>
      </c>
      <c r="CO174" s="159">
        <f t="shared" si="106"/>
        <v>4.4307999999999996</v>
      </c>
      <c r="CP174" s="160">
        <v>5.3</v>
      </c>
      <c r="CQ174" s="161">
        <v>0</v>
      </c>
      <c r="CR174" s="138">
        <v>15</v>
      </c>
      <c r="CS174" s="138">
        <v>6.9</v>
      </c>
      <c r="CT174" s="138"/>
      <c r="CU174" s="138">
        <f t="shared" si="134"/>
        <v>8.1</v>
      </c>
      <c r="CV174" s="115">
        <f t="shared" si="135"/>
        <v>1828.1123047756614</v>
      </c>
      <c r="CW174" s="115">
        <f t="shared" si="109"/>
        <v>1557.2808522163041</v>
      </c>
      <c r="CX174" s="133">
        <f t="shared" si="136"/>
        <v>0.11276595744680851</v>
      </c>
      <c r="CY174" s="116"/>
      <c r="CZ174" s="131"/>
      <c r="DA174" s="145" t="str">
        <f t="shared" si="111"/>
        <v>Газлифт</v>
      </c>
      <c r="DB174" s="146">
        <f t="shared" si="112"/>
        <v>4.4307999999999996</v>
      </c>
      <c r="DC174" s="142">
        <f t="shared" si="113"/>
        <v>5.3</v>
      </c>
      <c r="DD174" s="119">
        <f t="shared" si="114"/>
        <v>0</v>
      </c>
      <c r="DE174" s="115">
        <f t="shared" si="115"/>
        <v>8.1</v>
      </c>
      <c r="DF174" s="121">
        <f t="shared" si="116"/>
        <v>6.9</v>
      </c>
      <c r="DG174" s="115">
        <f t="shared" si="117"/>
        <v>1828.1123047756614</v>
      </c>
      <c r="DH174" s="115">
        <f t="shared" si="118"/>
        <v>38</v>
      </c>
      <c r="DI174" s="147"/>
      <c r="DJ174" s="111" t="s">
        <v>197</v>
      </c>
      <c r="DK174" s="112">
        <v>42159</v>
      </c>
      <c r="DL174" s="113">
        <f t="shared" ca="1" si="138"/>
        <v>2945</v>
      </c>
      <c r="DM174" s="114"/>
      <c r="DN174" s="114"/>
      <c r="DO174" s="114"/>
      <c r="DP174" s="114"/>
      <c r="DQ174" s="112">
        <v>43143</v>
      </c>
      <c r="DR174" s="114" t="s">
        <v>198</v>
      </c>
      <c r="DS174" s="114"/>
      <c r="DT174" s="115">
        <v>50</v>
      </c>
      <c r="DU174" s="116">
        <f t="shared" si="139"/>
        <v>0.15142857142857141</v>
      </c>
      <c r="DV174" s="117">
        <f t="shared" si="140"/>
        <v>4.4307999999999996</v>
      </c>
      <c r="DW174" s="118">
        <f t="shared" si="141"/>
        <v>5.3</v>
      </c>
      <c r="DX174" s="119">
        <f t="shared" si="119"/>
        <v>0</v>
      </c>
      <c r="DY174" s="115">
        <f t="shared" si="142"/>
        <v>8.1</v>
      </c>
      <c r="DZ174" s="117">
        <f t="shared" si="143"/>
        <v>0</v>
      </c>
      <c r="EA174" s="120">
        <f t="shared" si="143"/>
        <v>0</v>
      </c>
      <c r="EB174" s="119">
        <f t="shared" si="143"/>
        <v>0</v>
      </c>
      <c r="EC174" s="121">
        <f t="shared" si="144"/>
        <v>0</v>
      </c>
      <c r="ED174" s="122"/>
      <c r="EE174" s="145">
        <v>18</v>
      </c>
      <c r="EF174" s="115">
        <v>20</v>
      </c>
      <c r="EG174" s="115">
        <v>37</v>
      </c>
      <c r="EH174" s="115">
        <v>20</v>
      </c>
      <c r="EI174" s="128" t="s">
        <v>195</v>
      </c>
      <c r="EJ174" s="121">
        <v>24</v>
      </c>
      <c r="EK174" s="121">
        <v>0</v>
      </c>
      <c r="EL174" s="162">
        <v>4.12148</v>
      </c>
      <c r="EM174" s="142">
        <v>5.8</v>
      </c>
      <c r="EN174" s="119">
        <v>15</v>
      </c>
      <c r="EO174" s="115">
        <v>14</v>
      </c>
      <c r="EP174" s="115">
        <v>1649.8927569707969</v>
      </c>
      <c r="EQ174" s="115">
        <v>78</v>
      </c>
      <c r="ER174" s="115">
        <v>7.2</v>
      </c>
      <c r="ES174" s="115">
        <v>42</v>
      </c>
      <c r="ET174" s="150">
        <v>0.13488372093023254</v>
      </c>
      <c r="EU174" s="145">
        <f t="shared" si="120"/>
        <v>18</v>
      </c>
      <c r="EV174" s="115">
        <f t="shared" si="121"/>
        <v>21</v>
      </c>
      <c r="EW174" s="115">
        <f t="shared" si="121"/>
        <v>39</v>
      </c>
      <c r="EX174" s="115">
        <f t="shared" si="121"/>
        <v>20</v>
      </c>
      <c r="EY174" s="115" t="str">
        <f t="shared" si="122"/>
        <v>Постоянный</v>
      </c>
      <c r="EZ174" s="115">
        <f t="shared" si="122"/>
        <v>24</v>
      </c>
      <c r="FA174" s="115">
        <f t="shared" si="122"/>
        <v>0</v>
      </c>
      <c r="FB174" s="149">
        <f t="shared" si="123"/>
        <v>4.4307999999999996</v>
      </c>
      <c r="FC174" s="142">
        <f t="shared" si="123"/>
        <v>5.3</v>
      </c>
      <c r="FD174" s="119">
        <f t="shared" si="123"/>
        <v>0</v>
      </c>
      <c r="FE174" s="121">
        <f t="shared" si="103"/>
        <v>15</v>
      </c>
      <c r="FF174" s="121">
        <f t="shared" si="145"/>
        <v>1828.1123047756614</v>
      </c>
      <c r="FG174" s="121">
        <f t="shared" si="124"/>
        <v>74</v>
      </c>
      <c r="FH174" s="121">
        <f t="shared" si="146"/>
        <v>6.9</v>
      </c>
      <c r="FI174" s="121">
        <f t="shared" si="131"/>
        <v>38</v>
      </c>
      <c r="FJ174" s="144">
        <f t="shared" si="125"/>
        <v>0.11276595744680851</v>
      </c>
      <c r="FK174" s="132">
        <f t="shared" si="126"/>
        <v>0</v>
      </c>
      <c r="FL174" s="115">
        <f t="shared" si="126"/>
        <v>1</v>
      </c>
      <c r="FM174" s="115">
        <f t="shared" si="126"/>
        <v>2</v>
      </c>
      <c r="FN174" s="115">
        <f t="shared" si="126"/>
        <v>0</v>
      </c>
      <c r="FO174" s="115">
        <f t="shared" si="100"/>
        <v>0</v>
      </c>
      <c r="FP174" s="115">
        <f t="shared" si="100"/>
        <v>0</v>
      </c>
      <c r="FQ174" s="149">
        <f t="shared" si="100"/>
        <v>0.3093199999999996</v>
      </c>
      <c r="FR174" s="142">
        <f t="shared" si="100"/>
        <v>-0.5</v>
      </c>
      <c r="FS174" s="119">
        <f t="shared" si="100"/>
        <v>-15</v>
      </c>
      <c r="FT174" s="121">
        <f t="shared" si="100"/>
        <v>1</v>
      </c>
      <c r="FU174" s="121">
        <f t="shared" si="127"/>
        <v>-4</v>
      </c>
      <c r="FV174" s="121">
        <f t="shared" si="127"/>
        <v>-0.29999999999999982</v>
      </c>
      <c r="FW174" s="121">
        <f t="shared" si="128"/>
        <v>178.21954780486453</v>
      </c>
      <c r="FX174" s="121">
        <f t="shared" si="129"/>
        <v>-4</v>
      </c>
      <c r="FY174" s="144">
        <f t="shared" si="129"/>
        <v>-2.2117763483424036E-2</v>
      </c>
      <c r="FZ174" s="145"/>
      <c r="GA174" s="1039"/>
      <c r="GB174" s="145"/>
      <c r="GC174" s="1039"/>
      <c r="GD174" s="997" t="s">
        <v>416</v>
      </c>
      <c r="GE174" s="1004"/>
      <c r="GF174" s="1004">
        <v>0</v>
      </c>
      <c r="GG174" s="1004"/>
      <c r="GH174" s="1004">
        <v>0</v>
      </c>
      <c r="GI174" s="145"/>
      <c r="GJ174" s="996">
        <v>0</v>
      </c>
      <c r="GK174" s="145"/>
      <c r="GL174" s="996">
        <v>0.5684800000000001</v>
      </c>
      <c r="GM174" s="1005"/>
      <c r="GN174" s="996">
        <v>0</v>
      </c>
      <c r="GO174" s="1006"/>
      <c r="GP174" s="996">
        <v>-0.10483774400000012</v>
      </c>
      <c r="GQ174" s="1006"/>
      <c r="GR174" s="996">
        <v>0</v>
      </c>
      <c r="GS174" s="1006"/>
      <c r="GT174" s="996">
        <v>-0.73492425600000022</v>
      </c>
      <c r="GU174" s="1006" t="s">
        <v>203</v>
      </c>
      <c r="GV174" s="996">
        <v>-4.1093579999999994</v>
      </c>
      <c r="GW174" s="1006"/>
      <c r="GX174" s="996">
        <v>0</v>
      </c>
      <c r="GY174" s="1006"/>
      <c r="GZ174" s="996">
        <v>0</v>
      </c>
      <c r="HA174" s="1006"/>
      <c r="HB174" s="996">
        <v>0</v>
      </c>
      <c r="HC174" s="1006" t="s">
        <v>25</v>
      </c>
      <c r="HD174" s="996">
        <v>4.3279719999999999</v>
      </c>
      <c r="HE174" s="1006"/>
      <c r="HF174" s="996">
        <v>0</v>
      </c>
      <c r="HG174" s="1006"/>
      <c r="HH174" s="996">
        <v>0</v>
      </c>
      <c r="HI174" s="1006"/>
      <c r="HJ174" s="996">
        <v>0</v>
      </c>
      <c r="HK174" s="1006" t="s">
        <v>199</v>
      </c>
      <c r="HL174" s="996">
        <v>-4.1741479999999997</v>
      </c>
      <c r="HM174" s="1006" t="s">
        <v>199</v>
      </c>
      <c r="HN174" s="996">
        <v>5.5098753599999988</v>
      </c>
      <c r="HO174" s="1006"/>
      <c r="HP174" s="996">
        <v>7.4103040000000231E-2</v>
      </c>
      <c r="HQ174" s="1006"/>
      <c r="HR174" s="996">
        <v>0</v>
      </c>
      <c r="HS174" s="1006"/>
      <c r="HT174" s="996">
        <v>0</v>
      </c>
      <c r="HU174" s="1006"/>
      <c r="HV174" s="996">
        <v>0</v>
      </c>
      <c r="HW174" s="1006" t="s">
        <v>241</v>
      </c>
      <c r="HX174" s="996">
        <v>-5.3073481735999994</v>
      </c>
      <c r="HY174" s="1006" t="s">
        <v>199</v>
      </c>
      <c r="HZ174" s="996">
        <v>3.9752657735999994</v>
      </c>
      <c r="IA174" s="1006"/>
      <c r="IB174" s="996">
        <v>0</v>
      </c>
      <c r="IC174" s="1006"/>
      <c r="ID174" s="996">
        <v>0</v>
      </c>
      <c r="IE174" s="1006"/>
      <c r="IF174" s="996">
        <v>0</v>
      </c>
      <c r="IG174" s="1006"/>
      <c r="IH174" s="996">
        <v>0.75240000000000018</v>
      </c>
      <c r="II174" s="1006"/>
      <c r="IJ174" s="996">
        <v>0</v>
      </c>
      <c r="IK174" s="1006"/>
      <c r="IL174" s="996">
        <v>-0.58519999999999994</v>
      </c>
      <c r="IM174" s="1006" t="s">
        <v>199</v>
      </c>
      <c r="IN174" s="996">
        <v>-2.0629135999999999</v>
      </c>
      <c r="IO174" s="1006"/>
      <c r="IP174" s="996">
        <v>0</v>
      </c>
      <c r="IQ174" s="1006"/>
      <c r="IR174" s="996">
        <v>0</v>
      </c>
      <c r="IS174" s="1006"/>
      <c r="IT174" s="996">
        <v>0</v>
      </c>
      <c r="IU174" s="1006"/>
      <c r="IV174" s="996">
        <v>-0.8276400000000006</v>
      </c>
      <c r="IW174" s="1006"/>
      <c r="IX174" s="996">
        <v>0</v>
      </c>
      <c r="IY174" s="1006"/>
      <c r="IZ174" s="996">
        <v>0</v>
      </c>
      <c r="JA174" s="1006"/>
      <c r="JB174" s="996">
        <v>0</v>
      </c>
      <c r="JC174" s="1006"/>
      <c r="JD174" s="996">
        <v>0</v>
      </c>
      <c r="JE174" s="1006" t="s">
        <v>199</v>
      </c>
      <c r="JF174" s="996">
        <v>-1.5402463999999991</v>
      </c>
      <c r="JG174" s="1006"/>
      <c r="JH174" s="996">
        <v>0</v>
      </c>
      <c r="JI174" s="1006"/>
      <c r="JJ174" s="996">
        <v>0</v>
      </c>
      <c r="JK174" s="1007"/>
      <c r="JL174" s="1007">
        <v>0</v>
      </c>
      <c r="JM174" s="1007"/>
      <c r="JN174" s="1007">
        <v>0</v>
      </c>
      <c r="JO174" s="1008"/>
      <c r="JP174" s="1007">
        <v>0</v>
      </c>
      <c r="JQ174" s="1008">
        <v>0</v>
      </c>
      <c r="JR174" s="1007">
        <v>0</v>
      </c>
      <c r="JS174" s="1008">
        <v>0</v>
      </c>
      <c r="JT174" s="1007">
        <v>0</v>
      </c>
      <c r="JU174" s="1008" t="s">
        <v>204</v>
      </c>
      <c r="JV174" s="1007">
        <v>-3.2353199999999998</v>
      </c>
      <c r="JW174" s="1008" t="s">
        <v>197</v>
      </c>
      <c r="JX174" s="1007">
        <v>0</v>
      </c>
      <c r="JY174" s="1008"/>
      <c r="JZ174" s="1007">
        <v>0</v>
      </c>
      <c r="KA174" s="1008" t="s">
        <v>199</v>
      </c>
      <c r="KB174" s="1007">
        <v>7.5869340799999998</v>
      </c>
      <c r="KC174" s="1008"/>
      <c r="KD174" s="1007">
        <v>0</v>
      </c>
      <c r="KE174" s="1008" t="s">
        <v>199</v>
      </c>
      <c r="KF174" s="1007">
        <v>-4.3424180800000007</v>
      </c>
      <c r="KG174" s="1008"/>
      <c r="KH174" s="1007">
        <v>0</v>
      </c>
      <c r="KI174" s="1008" t="s">
        <v>207</v>
      </c>
      <c r="KJ174" s="1007">
        <v>-1.6811959999999999</v>
      </c>
      <c r="KK174" s="1008"/>
      <c r="KL174" s="1007">
        <v>0</v>
      </c>
      <c r="KM174" s="1008"/>
      <c r="KN174" s="1007">
        <v>0</v>
      </c>
      <c r="KO174" s="1008" t="s">
        <v>203</v>
      </c>
      <c r="KP174" s="1007">
        <v>2.2572000000000001</v>
      </c>
      <c r="KQ174" s="1008" t="s">
        <v>203</v>
      </c>
      <c r="KR174" s="1007">
        <v>-3.5111999999999997</v>
      </c>
      <c r="KS174" s="1008">
        <v>0</v>
      </c>
      <c r="KT174" s="1007">
        <v>0</v>
      </c>
      <c r="KU174" s="1008" t="s">
        <v>207</v>
      </c>
      <c r="KV174" s="1007">
        <v>-3.7620000000000005</v>
      </c>
      <c r="KW174" s="1008" t="s">
        <v>204</v>
      </c>
      <c r="KX174" s="1007">
        <v>-8.3599999999999977</v>
      </c>
      <c r="KY174" s="1008" t="s">
        <v>204</v>
      </c>
      <c r="KZ174" s="1007">
        <v>9.195999999999998</v>
      </c>
      <c r="LA174" s="1008" t="s">
        <v>25</v>
      </c>
      <c r="LB174" s="1007">
        <v>5.016</v>
      </c>
      <c r="LC174" s="1008">
        <v>0</v>
      </c>
      <c r="LD174" s="1007">
        <v>0</v>
      </c>
      <c r="LE174" s="1008">
        <v>0</v>
      </c>
      <c r="LF174" s="1007">
        <v>0</v>
      </c>
      <c r="LG174" s="1008">
        <v>0</v>
      </c>
      <c r="LH174" s="1007">
        <v>0</v>
      </c>
      <c r="LI174" s="1008">
        <v>0</v>
      </c>
      <c r="LJ174" s="1007">
        <v>0</v>
      </c>
      <c r="LK174" s="1008">
        <v>0</v>
      </c>
      <c r="LL174" s="1007">
        <v>0</v>
      </c>
      <c r="LM174" s="1008" t="s">
        <v>555</v>
      </c>
      <c r="LN174" s="1007">
        <v>1.198423</v>
      </c>
      <c r="LO174" s="1008">
        <v>0</v>
      </c>
      <c r="LP174" s="1007">
        <v>0</v>
      </c>
      <c r="LQ174" s="1008">
        <v>0</v>
      </c>
      <c r="LR174" s="1007">
        <v>0</v>
      </c>
      <c r="LS174" s="1008">
        <v>0</v>
      </c>
      <c r="LT174" s="1007">
        <v>0</v>
      </c>
      <c r="LU174" s="1008" t="s">
        <v>206</v>
      </c>
      <c r="LV174" s="1007">
        <v>0.96539680000000005</v>
      </c>
      <c r="LW174" s="1008" t="s">
        <v>206</v>
      </c>
      <c r="LX174" s="1007">
        <v>1.2663895199999997</v>
      </c>
      <c r="LY174" s="1009">
        <v>0</v>
      </c>
      <c r="LZ174" s="1010">
        <v>0</v>
      </c>
      <c r="MA174" s="1011">
        <v>0</v>
      </c>
      <c r="MB174" s="1012">
        <v>-0.65775841000000002</v>
      </c>
      <c r="MC174" s="995"/>
      <c r="MD174" s="996"/>
      <c r="ME174" s="997" t="s">
        <v>416</v>
      </c>
      <c r="MF174" s="997"/>
      <c r="MG174" s="998"/>
      <c r="NR174" s="1000"/>
      <c r="NS174" s="1000"/>
      <c r="NT174" s="1001"/>
      <c r="NU174" s="1000"/>
      <c r="NV174" s="1001"/>
      <c r="NX174" s="1002"/>
      <c r="NZ174" s="1001"/>
      <c r="OA174" s="1001"/>
      <c r="OC174" s="1003"/>
      <c r="OD174" s="1003"/>
      <c r="OE174" s="1001"/>
      <c r="OF174" s="1003"/>
      <c r="OG174" s="1003"/>
      <c r="QX174" s="1000">
        <f>CN174-CA174</f>
        <v>17</v>
      </c>
      <c r="ASU174" s="999" t="s">
        <v>208</v>
      </c>
    </row>
    <row r="175" spans="1:466 1191:1191" ht="21" customHeight="1" x14ac:dyDescent="0.25">
      <c r="A175" s="982">
        <f t="shared" si="104"/>
        <v>1073</v>
      </c>
      <c r="B175" s="124">
        <f>SUBTOTAL(103,$J$29:J175)</f>
        <v>147</v>
      </c>
      <c r="C175" s="126">
        <v>45096</v>
      </c>
      <c r="D175" s="124" t="s">
        <v>176</v>
      </c>
      <c r="E175" s="127" t="s">
        <v>177</v>
      </c>
      <c r="F175" s="128" t="s">
        <v>177</v>
      </c>
      <c r="G175" s="127" t="s">
        <v>178</v>
      </c>
      <c r="H175" s="127" t="s">
        <v>421</v>
      </c>
      <c r="I175" s="127" t="s">
        <v>760</v>
      </c>
      <c r="J175" s="152">
        <v>1073</v>
      </c>
      <c r="K175" s="127" t="s">
        <v>877</v>
      </c>
      <c r="L175" s="130">
        <v>40033</v>
      </c>
      <c r="M175" s="127" t="s">
        <v>230</v>
      </c>
      <c r="N175" s="127" t="s">
        <v>465</v>
      </c>
      <c r="O175" s="127" t="s">
        <v>608</v>
      </c>
      <c r="P175" s="127" t="s">
        <v>702</v>
      </c>
      <c r="Q175" s="85" t="str">
        <f t="shared" si="133"/>
        <v/>
      </c>
      <c r="R175" s="130"/>
      <c r="S175" s="128" t="s">
        <v>156</v>
      </c>
      <c r="T175" s="131"/>
      <c r="U175" s="132">
        <v>203</v>
      </c>
      <c r="V175" s="121">
        <v>218.2</v>
      </c>
      <c r="W175" s="116">
        <v>0.98</v>
      </c>
      <c r="X175" s="116">
        <v>1.66</v>
      </c>
      <c r="Y175" s="116">
        <f t="shared" si="137"/>
        <v>1.0892767705769388</v>
      </c>
      <c r="Z175" s="133">
        <v>1.454</v>
      </c>
      <c r="AA175" s="133">
        <v>0.83599999999999997</v>
      </c>
      <c r="AB175" s="133">
        <v>0.72</v>
      </c>
      <c r="AC175" s="121">
        <v>34.299999999999997</v>
      </c>
      <c r="AD175" s="134">
        <v>1.17</v>
      </c>
      <c r="AE175" s="124">
        <v>139.69999999999999</v>
      </c>
      <c r="AF175" s="128">
        <v>7.72</v>
      </c>
      <c r="AG175" s="128">
        <v>1988</v>
      </c>
      <c r="AH175" s="127">
        <v>2843</v>
      </c>
      <c r="AI175" s="127">
        <v>2843</v>
      </c>
      <c r="AJ175" s="135"/>
      <c r="AK175" s="128"/>
      <c r="AL175" s="131"/>
      <c r="AM175" s="124" t="s">
        <v>232</v>
      </c>
      <c r="AN175" s="136" t="s">
        <v>878</v>
      </c>
      <c r="AO175" s="137">
        <v>37.26</v>
      </c>
      <c r="AP175" s="128">
        <v>1988</v>
      </c>
      <c r="AQ175" s="128">
        <v>0.3</v>
      </c>
      <c r="AR175" s="128"/>
      <c r="AS175" s="128"/>
      <c r="AT175" s="122"/>
      <c r="AU175" s="124" t="s">
        <v>250</v>
      </c>
      <c r="AV175" s="115">
        <f>VLOOKUP(J175,'[63]ТР нефть'!$J$28:$BP$638,39,0)</f>
        <v>598</v>
      </c>
      <c r="AW175" s="115" t="str">
        <f>VLOOKUP(J175,'[63]ТР нефть'!$J$28:$BP$638,40,0)</f>
        <v>ГП</v>
      </c>
      <c r="AX175" s="115">
        <f>VLOOKUP(J175,'[63]ТР нефть'!$J$28:$BP$638,41,0)</f>
        <v>1203</v>
      </c>
      <c r="AY175" s="115" t="str">
        <f>VLOOKUP(J175,'[63]ТР нефть'!$J$28:$BP$638,42,0)</f>
        <v>ГК 45/1,5</v>
      </c>
      <c r="AZ175" s="115">
        <f>VLOOKUP(J175,'[63]ТР нефть'!$J$28:$BP$638,43,0)</f>
        <v>1754</v>
      </c>
      <c r="BA175" s="115" t="str">
        <f>VLOOKUP(J175,'[63]ТР нефть'!$J$28:$BP$638,44,0)</f>
        <v>ЦКсОК 5/16</v>
      </c>
      <c r="BB175" s="115" t="str">
        <f>VLOOKUP(J175,'[63]ТР нефть'!$J$28:$BP$638,45,0)</f>
        <v>-</v>
      </c>
      <c r="BC175" s="115" t="str">
        <f>VLOOKUP(J175,'[63]ТР нефть'!$J$28:$BP$638,46,0)</f>
        <v>-</v>
      </c>
      <c r="BD175" s="115" t="str">
        <f>VLOOKUP(J175,'[63]ТР нефть'!$J$28:$BP$638,47,0)</f>
        <v>-</v>
      </c>
      <c r="BE175" s="115" t="str">
        <f>VLOOKUP(J175,'[63]ТР нефть'!$J$28:$BP$638,48,0)</f>
        <v>-</v>
      </c>
      <c r="BF175" s="115" t="str">
        <f>VLOOKUP(J175,'[63]ТР нефть'!$J$28:$BP$638,49,0)</f>
        <v>-</v>
      </c>
      <c r="BG175" s="115" t="str">
        <f>VLOOKUP(J175,'[63]ТР нефть'!$J$28:$BP$638,50,0)</f>
        <v>-</v>
      </c>
      <c r="BH175" s="115">
        <f>VLOOKUP(J175,'[63]ТР нефть'!$J$28:$BP$638,51,0)</f>
        <v>1769</v>
      </c>
      <c r="BI175" s="115" t="str">
        <f>VLOOKUP(J175,'[63]ТР нефть'!$J$28:$BP$638,52,0)</f>
        <v>закрыт</v>
      </c>
      <c r="BJ175" s="115" t="str">
        <f>IF(IFERROR(VLOOKUP(J175,'[63]ТР нефть'!$J$28:$BP$638,53,0),"-")=0,"-",IFERROR(VLOOKUP(J175,'[63]ТР нефть'!$J$28:$BP$638,53,0),"-"))</f>
        <v>-</v>
      </c>
      <c r="BK175" s="138" t="str">
        <f>IF(IFERROR(VLOOKUP(J175,'[63]ТР нефть'!$J$28:$BP$638,54,0),"-")=0,"-",IFERROR(VLOOKUP(J175,'[63]ТР нефть'!$J$28:$BP$638,54,0),"-"))</f>
        <v>-</v>
      </c>
      <c r="BL175" s="138" t="str">
        <f>IF(IFERROR(VLOOKUP(J175,'[63]ТР нефть'!$J$28:$BP$638,55,0),"-")=0,"-",IFERROR(VLOOKUP(J175,'[63]ТР нефть'!$J$28:$BP$638,55,0),"-"))</f>
        <v>-</v>
      </c>
      <c r="BM175" s="138" t="str">
        <f>IF(IFERROR(VLOOKUP(J175,'[63]ТР нефть'!$J$28:$BP$638,56,0),"-")=0,"-",IFERROR(VLOOKUP(J175,'[63]ТР нефть'!$J$28:$BP$638,56,0),"-"))</f>
        <v>-</v>
      </c>
      <c r="BN175" s="138" t="str">
        <f>IF(IFERROR(VLOOKUP(J175,'[63]ТР нефть'!$J$28:$BP$638,57,0),"-")=0,"-",IFERROR(VLOOKUP(J175,'[63]ТР нефть'!$J$28:$BP$638,57,0),"-"))</f>
        <v>-</v>
      </c>
      <c r="BO175" s="115" t="str">
        <f>IF(IFERROR(VLOOKUP(J175,'[63]ТР нефть'!$J$28:$BP$638,58,0),"-")=0,"-",IFERROR(VLOOKUP(J175,'[63]ТР нефть'!$J$28:$BP$638,58,0),"-"))</f>
        <v>-</v>
      </c>
      <c r="BP175" s="115" t="str">
        <f>IF(IFERROR(VLOOKUP(J175,'[63]ТР нефть'!$J$28:$BP$638,59,0),"-")=0,"-",IFERROR(VLOOKUP(J175,'[63]ТР нефть'!$J$28:$BP$638,59,0),"-"))</f>
        <v>-</v>
      </c>
      <c r="BQ175" s="138">
        <v>1988</v>
      </c>
      <c r="BR175" s="128">
        <v>1931.65</v>
      </c>
      <c r="BS175" s="115">
        <f t="shared" si="105"/>
        <v>56.349999999999909</v>
      </c>
      <c r="BT175" s="128">
        <v>73</v>
      </c>
      <c r="BU175" s="128">
        <v>5.5</v>
      </c>
      <c r="BV175" s="127">
        <v>6</v>
      </c>
      <c r="BW175" s="127" t="s">
        <v>234</v>
      </c>
      <c r="BX175" s="127" t="s">
        <v>218</v>
      </c>
      <c r="BY175" s="139">
        <v>24</v>
      </c>
      <c r="BZ175" s="139">
        <v>720</v>
      </c>
      <c r="CA175" s="80">
        <v>23</v>
      </c>
      <c r="CB175" s="138">
        <v>87</v>
      </c>
      <c r="CC175" s="138">
        <v>22</v>
      </c>
      <c r="CD175" s="135">
        <v>45017</v>
      </c>
      <c r="CE175" s="138">
        <v>67.599999999999994</v>
      </c>
      <c r="CF175" s="138"/>
      <c r="CG175" s="138"/>
      <c r="CH175" s="138"/>
      <c r="CI175" s="127"/>
      <c r="CJ175" s="138"/>
      <c r="CK175" s="138"/>
      <c r="CL175" s="99"/>
      <c r="CM175" s="127"/>
      <c r="CN175" s="154">
        <v>42</v>
      </c>
      <c r="CO175" s="141">
        <f t="shared" si="106"/>
        <v>1.2625271999999998</v>
      </c>
      <c r="CP175" s="142">
        <v>2</v>
      </c>
      <c r="CQ175" s="143">
        <v>24.49</v>
      </c>
      <c r="CR175" s="138">
        <v>50</v>
      </c>
      <c r="CS175" s="139"/>
      <c r="CT175" s="138"/>
      <c r="CU175" s="138">
        <f t="shared" si="134"/>
        <v>50</v>
      </c>
      <c r="CV175" s="115">
        <f t="shared" si="135"/>
        <v>39603.107164740693</v>
      </c>
      <c r="CW175" s="115" t="str">
        <f t="shared" si="109"/>
        <v/>
      </c>
      <c r="CX175" s="133">
        <f t="shared" si="136"/>
        <v>7.8125000000000014E-2</v>
      </c>
      <c r="CY175" s="116"/>
      <c r="CZ175" s="131"/>
      <c r="DA175" s="145" t="str">
        <f t="shared" si="111"/>
        <v>Фон.</v>
      </c>
      <c r="DB175" s="146">
        <f t="shared" si="112"/>
        <v>1.2625271999999998</v>
      </c>
      <c r="DC175" s="142">
        <f t="shared" si="113"/>
        <v>2</v>
      </c>
      <c r="DD175" s="119">
        <f t="shared" si="114"/>
        <v>24.49</v>
      </c>
      <c r="DE175" s="115">
        <f t="shared" si="115"/>
        <v>50</v>
      </c>
      <c r="DF175" s="121">
        <f t="shared" si="116"/>
        <v>0</v>
      </c>
      <c r="DG175" s="115">
        <f t="shared" si="117"/>
        <v>39603.107164740693</v>
      </c>
      <c r="DH175" s="115">
        <f t="shared" si="118"/>
        <v>42</v>
      </c>
      <c r="DI175" s="147"/>
      <c r="DJ175" s="111">
        <v>43514</v>
      </c>
      <c r="DK175" s="112">
        <v>40033</v>
      </c>
      <c r="DL175" s="113">
        <f t="shared" ca="1" si="138"/>
        <v>5071</v>
      </c>
      <c r="DM175" s="114"/>
      <c r="DN175" s="114"/>
      <c r="DO175" s="114"/>
      <c r="DP175" s="114"/>
      <c r="DQ175" s="112">
        <v>40779</v>
      </c>
      <c r="DR175" s="114" t="s">
        <v>198</v>
      </c>
      <c r="DS175" s="114"/>
      <c r="DT175" s="115">
        <v>42</v>
      </c>
      <c r="DU175" s="116">
        <f t="shared" si="139"/>
        <v>7.8125000000000014E-2</v>
      </c>
      <c r="DV175" s="117">
        <f t="shared" si="140"/>
        <v>1.2625271999999998</v>
      </c>
      <c r="DW175" s="118">
        <f t="shared" si="141"/>
        <v>2</v>
      </c>
      <c r="DX175" s="119">
        <f t="shared" si="119"/>
        <v>24.49</v>
      </c>
      <c r="DY175" s="115">
        <f t="shared" si="142"/>
        <v>50</v>
      </c>
      <c r="DZ175" s="117">
        <f t="shared" si="143"/>
        <v>0</v>
      </c>
      <c r="EA175" s="120">
        <f t="shared" si="143"/>
        <v>0</v>
      </c>
      <c r="EB175" s="119">
        <f t="shared" si="143"/>
        <v>0</v>
      </c>
      <c r="EC175" s="121">
        <f t="shared" si="144"/>
        <v>0</v>
      </c>
      <c r="ED175" s="122"/>
      <c r="EE175" s="145">
        <v>6</v>
      </c>
      <c r="EF175" s="148">
        <v>23</v>
      </c>
      <c r="EG175" s="115">
        <v>87</v>
      </c>
      <c r="EH175" s="115">
        <v>22</v>
      </c>
      <c r="EI175" s="128" t="s">
        <v>218</v>
      </c>
      <c r="EJ175" s="121">
        <v>24</v>
      </c>
      <c r="EK175" s="121">
        <v>720</v>
      </c>
      <c r="EL175" s="149">
        <v>1.2625271999999998</v>
      </c>
      <c r="EM175" s="142">
        <v>2</v>
      </c>
      <c r="EN175" s="119">
        <v>24.49</v>
      </c>
      <c r="EO175" s="115">
        <v>50</v>
      </c>
      <c r="EP175" s="115">
        <v>39603.107164740693</v>
      </c>
      <c r="EQ175" s="115">
        <v>0</v>
      </c>
      <c r="ER175" s="115">
        <v>0</v>
      </c>
      <c r="ES175" s="115">
        <v>42</v>
      </c>
      <c r="ET175" s="150">
        <v>7.8125000000000014E-2</v>
      </c>
      <c r="EU175" s="145">
        <f t="shared" si="120"/>
        <v>6</v>
      </c>
      <c r="EV175" s="115">
        <f t="shared" si="121"/>
        <v>23</v>
      </c>
      <c r="EW175" s="115">
        <f t="shared" si="121"/>
        <v>87</v>
      </c>
      <c r="EX175" s="115">
        <f t="shared" si="121"/>
        <v>22</v>
      </c>
      <c r="EY175" s="115" t="str">
        <f t="shared" si="122"/>
        <v>Периодический</v>
      </c>
      <c r="EZ175" s="115">
        <f t="shared" si="122"/>
        <v>24</v>
      </c>
      <c r="FA175" s="115">
        <f t="shared" si="122"/>
        <v>720</v>
      </c>
      <c r="FB175" s="149">
        <f t="shared" si="123"/>
        <v>1.2625271999999998</v>
      </c>
      <c r="FC175" s="142">
        <f t="shared" si="123"/>
        <v>2</v>
      </c>
      <c r="FD175" s="119">
        <f t="shared" si="123"/>
        <v>24.49</v>
      </c>
      <c r="FE175" s="121">
        <f t="shared" si="103"/>
        <v>50</v>
      </c>
      <c r="FF175" s="121">
        <f t="shared" si="145"/>
        <v>39603.107164740693</v>
      </c>
      <c r="FG175" s="121">
        <f t="shared" si="124"/>
        <v>0</v>
      </c>
      <c r="FH175" s="121">
        <f t="shared" si="146"/>
        <v>0</v>
      </c>
      <c r="FI175" s="121">
        <f t="shared" si="131"/>
        <v>42</v>
      </c>
      <c r="FJ175" s="144">
        <f t="shared" si="125"/>
        <v>7.8125000000000014E-2</v>
      </c>
      <c r="FK175" s="132">
        <f t="shared" si="126"/>
        <v>0</v>
      </c>
      <c r="FL175" s="115">
        <f t="shared" si="126"/>
        <v>0</v>
      </c>
      <c r="FM175" s="115">
        <f t="shared" si="126"/>
        <v>0</v>
      </c>
      <c r="FN175" s="115">
        <f t="shared" si="126"/>
        <v>0</v>
      </c>
      <c r="FO175" s="115">
        <f t="shared" si="100"/>
        <v>0</v>
      </c>
      <c r="FP175" s="115">
        <f t="shared" si="100"/>
        <v>0</v>
      </c>
      <c r="FQ175" s="149">
        <f t="shared" si="100"/>
        <v>0</v>
      </c>
      <c r="FR175" s="142">
        <f t="shared" si="100"/>
        <v>0</v>
      </c>
      <c r="FS175" s="119">
        <f t="shared" si="100"/>
        <v>0</v>
      </c>
      <c r="FT175" s="121">
        <f t="shared" si="100"/>
        <v>0</v>
      </c>
      <c r="FU175" s="121">
        <f t="shared" si="127"/>
        <v>0</v>
      </c>
      <c r="FV175" s="121">
        <f t="shared" si="127"/>
        <v>0</v>
      </c>
      <c r="FW175" s="121">
        <f t="shared" si="128"/>
        <v>0</v>
      </c>
      <c r="FX175" s="121">
        <f t="shared" si="129"/>
        <v>0</v>
      </c>
      <c r="FY175" s="144">
        <f t="shared" si="129"/>
        <v>0</v>
      </c>
      <c r="FZ175" s="145"/>
      <c r="GA175" s="151"/>
      <c r="GB175" s="145"/>
      <c r="GC175" s="151" t="s">
        <v>704</v>
      </c>
      <c r="GD175" s="997" t="s">
        <v>238</v>
      </c>
      <c r="GE175" s="1004"/>
      <c r="GF175" s="1004">
        <v>0</v>
      </c>
      <c r="GG175" s="1004"/>
      <c r="GH175" s="1004">
        <v>0</v>
      </c>
      <c r="GI175" s="145"/>
      <c r="GJ175" s="996">
        <v>0</v>
      </c>
      <c r="GK175" s="145"/>
      <c r="GL175" s="996">
        <v>0</v>
      </c>
      <c r="GM175" s="1005"/>
      <c r="GN175" s="996">
        <v>0</v>
      </c>
      <c r="GO175" s="1006"/>
      <c r="GP175" s="996">
        <v>0</v>
      </c>
      <c r="GQ175" s="1006"/>
      <c r="GR175" s="996">
        <v>0</v>
      </c>
      <c r="GS175" s="1006" t="s">
        <v>199</v>
      </c>
      <c r="GT175" s="996">
        <v>-5.6202823741935477</v>
      </c>
      <c r="GU175" s="1006"/>
      <c r="GV175" s="996">
        <v>0</v>
      </c>
      <c r="GW175" s="1006"/>
      <c r="GX175" s="997">
        <v>0</v>
      </c>
      <c r="GY175" s="1006"/>
      <c r="GZ175" s="996">
        <v>0</v>
      </c>
      <c r="HA175" s="1006"/>
      <c r="HB175" s="996">
        <v>0</v>
      </c>
      <c r="HC175" s="1006"/>
      <c r="HD175" s="996">
        <v>0</v>
      </c>
      <c r="HE175" s="1006"/>
      <c r="HF175" s="996">
        <v>0</v>
      </c>
      <c r="HG175" s="1006"/>
      <c r="HH175" s="996">
        <v>0</v>
      </c>
      <c r="HI175" s="1006"/>
      <c r="HJ175" s="996">
        <v>0</v>
      </c>
      <c r="HK175" s="1006"/>
      <c r="HL175" s="996">
        <v>0</v>
      </c>
      <c r="HM175" s="1006"/>
      <c r="HN175" s="996">
        <v>0</v>
      </c>
      <c r="HO175" s="1006"/>
      <c r="HP175" s="996">
        <v>0</v>
      </c>
      <c r="HQ175" s="1006"/>
      <c r="HR175" s="996">
        <v>0</v>
      </c>
      <c r="HS175" s="1006"/>
      <c r="HT175" s="996">
        <v>0</v>
      </c>
      <c r="HU175" s="1006"/>
      <c r="HV175" s="996">
        <v>0</v>
      </c>
      <c r="HW175" s="1006"/>
      <c r="HX175" s="996">
        <v>-4.4188452000009093E-3</v>
      </c>
      <c r="HY175" s="1006" t="s">
        <v>25</v>
      </c>
      <c r="HZ175" s="996">
        <v>0.92144396520000083</v>
      </c>
      <c r="IA175" s="1006"/>
      <c r="IB175" s="996">
        <v>0</v>
      </c>
      <c r="IC175" s="1006"/>
      <c r="ID175" s="996">
        <v>0</v>
      </c>
      <c r="IE175" s="1006"/>
      <c r="IF175" s="996">
        <v>0</v>
      </c>
      <c r="IG175" s="1006"/>
      <c r="IH175" s="996">
        <v>0</v>
      </c>
      <c r="II175" s="1006"/>
      <c r="IJ175" s="996">
        <v>0</v>
      </c>
      <c r="IK175" s="1006"/>
      <c r="IL175" s="996">
        <v>0</v>
      </c>
      <c r="IM175" s="1006"/>
      <c r="IN175" s="996">
        <v>0</v>
      </c>
      <c r="IO175" s="1006" t="s">
        <v>199</v>
      </c>
      <c r="IP175" s="996">
        <v>1.5465999999999993</v>
      </c>
      <c r="IQ175" s="1006"/>
      <c r="IR175" s="996">
        <v>0</v>
      </c>
      <c r="IS175" s="1006" t="s">
        <v>204</v>
      </c>
      <c r="IT175" s="996">
        <v>-2.3199000000000001</v>
      </c>
      <c r="IU175" s="1006"/>
      <c r="IV175" s="996">
        <v>0</v>
      </c>
      <c r="IW175" s="1006"/>
      <c r="IX175" s="996">
        <v>0</v>
      </c>
      <c r="IY175" s="1006"/>
      <c r="IZ175" s="996">
        <v>0</v>
      </c>
      <c r="JA175" s="1006"/>
      <c r="JB175" s="996">
        <v>0</v>
      </c>
      <c r="JC175" s="1006"/>
      <c r="JD175" s="996">
        <v>0</v>
      </c>
      <c r="JE175" s="1006"/>
      <c r="JF175" s="996">
        <v>0</v>
      </c>
      <c r="JG175" s="1006"/>
      <c r="JH175" s="996">
        <v>0</v>
      </c>
      <c r="JI175" s="1006"/>
      <c r="JJ175" s="996">
        <v>0</v>
      </c>
      <c r="JK175" s="1007"/>
      <c r="JL175" s="1007">
        <v>0</v>
      </c>
      <c r="JM175" s="1007"/>
      <c r="JN175" s="1007">
        <v>0</v>
      </c>
      <c r="JO175" s="1008"/>
      <c r="JP175" s="1007">
        <v>0</v>
      </c>
      <c r="JQ175" s="1008" t="s">
        <v>204</v>
      </c>
      <c r="JR175" s="1007">
        <v>-4.3681000000000001</v>
      </c>
      <c r="JS175" s="1008">
        <v>0</v>
      </c>
      <c r="JT175" s="1007">
        <v>0</v>
      </c>
      <c r="JU175" s="1008"/>
      <c r="JV175" s="1007">
        <v>0</v>
      </c>
      <c r="JW175" s="1008" t="s">
        <v>197</v>
      </c>
      <c r="JX175" s="1007">
        <v>0</v>
      </c>
      <c r="JY175" s="1008"/>
      <c r="JZ175" s="1007"/>
      <c r="KA175" s="1008"/>
      <c r="KB175" s="1007">
        <v>0</v>
      </c>
      <c r="KC175" s="1008"/>
      <c r="KD175" s="1007">
        <v>0</v>
      </c>
      <c r="KE175" s="1008"/>
      <c r="KF175" s="1007">
        <v>0</v>
      </c>
      <c r="KG175" s="1008"/>
      <c r="KH175" s="1007">
        <v>0</v>
      </c>
      <c r="KI175" s="1008" t="s">
        <v>206</v>
      </c>
      <c r="KJ175" s="1007">
        <v>0</v>
      </c>
      <c r="KK175" s="1008" t="s">
        <v>223</v>
      </c>
      <c r="KL175" s="1007">
        <v>-1.5047999999999995</v>
      </c>
      <c r="KM175" s="1008"/>
      <c r="KN175" s="1007">
        <v>0</v>
      </c>
      <c r="KO175" s="1008"/>
      <c r="KP175" s="1007">
        <v>0</v>
      </c>
      <c r="KQ175" s="1008" t="s">
        <v>207</v>
      </c>
      <c r="KR175" s="1007">
        <v>-1.0031999999999996</v>
      </c>
      <c r="KS175" s="1008" t="s">
        <v>204</v>
      </c>
      <c r="KT175" s="1007">
        <v>-4.0963999999999992</v>
      </c>
      <c r="KU175" s="1008" t="s">
        <v>476</v>
      </c>
      <c r="KV175" s="1007">
        <v>16.636399999999998</v>
      </c>
      <c r="KW175" s="1008">
        <v>0</v>
      </c>
      <c r="KX175" s="1007">
        <v>0</v>
      </c>
      <c r="KY175" s="1008">
        <v>0</v>
      </c>
      <c r="KZ175" s="1007">
        <v>0</v>
      </c>
      <c r="LA175" s="1008" t="s">
        <v>204</v>
      </c>
      <c r="LB175" s="1007">
        <v>5.768399999999998</v>
      </c>
      <c r="LC175" s="1008" t="s">
        <v>206</v>
      </c>
      <c r="LD175" s="1007">
        <v>0.75240000000000151</v>
      </c>
      <c r="LE175" s="1008">
        <v>0</v>
      </c>
      <c r="LF175" s="1007">
        <v>0</v>
      </c>
      <c r="LG175" s="1008">
        <v>0</v>
      </c>
      <c r="LH175" s="1007">
        <v>-9.8293535999999992</v>
      </c>
      <c r="LI175" s="1008">
        <v>0</v>
      </c>
      <c r="LJ175" s="1007">
        <v>0</v>
      </c>
      <c r="LK175" s="1008">
        <v>0</v>
      </c>
      <c r="LL175" s="1007">
        <v>0</v>
      </c>
      <c r="LM175" s="1008">
        <v>0</v>
      </c>
      <c r="LN175" s="1007">
        <v>0</v>
      </c>
      <c r="LO175" s="1008">
        <v>0</v>
      </c>
      <c r="LP175" s="1007">
        <v>0</v>
      </c>
      <c r="LQ175" s="1008" t="s">
        <v>223</v>
      </c>
      <c r="LR175" s="1007">
        <v>-4.9146768000000023</v>
      </c>
      <c r="LS175" s="1008" t="s">
        <v>206</v>
      </c>
      <c r="LT175" s="1007">
        <v>2.4573384000000029</v>
      </c>
      <c r="LU175" s="1008">
        <v>0</v>
      </c>
      <c r="LV175" s="1007">
        <v>0</v>
      </c>
      <c r="LW175" s="1008">
        <v>0</v>
      </c>
      <c r="LX175" s="1007">
        <v>-1.75932</v>
      </c>
      <c r="LY175" s="1009">
        <v>0</v>
      </c>
      <c r="LZ175" s="1010">
        <v>0.83516409999999996</v>
      </c>
      <c r="MA175" s="1011" t="s">
        <v>206</v>
      </c>
      <c r="MB175" s="1012">
        <v>4.1713883999999997</v>
      </c>
      <c r="MC175" s="995"/>
      <c r="MD175" s="996"/>
      <c r="ME175" s="997" t="s">
        <v>238</v>
      </c>
      <c r="MF175" s="997"/>
      <c r="MG175" s="998"/>
      <c r="NR175" s="1000"/>
      <c r="NS175" s="1000"/>
      <c r="NT175" s="1001"/>
      <c r="NU175" s="1000"/>
      <c r="NV175" s="1001"/>
      <c r="NX175" s="1002"/>
      <c r="NZ175" s="1001"/>
      <c r="OA175" s="1001"/>
      <c r="OC175" s="1003"/>
      <c r="OD175" s="1003"/>
      <c r="OE175" s="1001"/>
      <c r="OF175" s="1003"/>
      <c r="OG175" s="1003"/>
      <c r="QX175" s="1000">
        <f>CN175-CA175</f>
        <v>19</v>
      </c>
      <c r="ASU175" s="999" t="s">
        <v>292</v>
      </c>
    </row>
    <row r="176" spans="1:466 1191:1191" ht="21" customHeight="1" x14ac:dyDescent="0.25">
      <c r="A176" s="982" t="str">
        <f t="shared" si="104"/>
        <v>1073-2</v>
      </c>
      <c r="B176" s="124">
        <f>SUBTOTAL(103,$J$29:J176)</f>
        <v>148</v>
      </c>
      <c r="C176" s="126">
        <v>45096</v>
      </c>
      <c r="D176" s="124" t="s">
        <v>176</v>
      </c>
      <c r="E176" s="127" t="s">
        <v>177</v>
      </c>
      <c r="F176" s="128" t="s">
        <v>177</v>
      </c>
      <c r="G176" s="127" t="s">
        <v>178</v>
      </c>
      <c r="H176" s="127" t="s">
        <v>421</v>
      </c>
      <c r="I176" s="127" t="s">
        <v>760</v>
      </c>
      <c r="J176" s="152" t="s">
        <v>879</v>
      </c>
      <c r="K176" s="127" t="s">
        <v>877</v>
      </c>
      <c r="L176" s="130">
        <v>40326</v>
      </c>
      <c r="M176" s="127" t="s">
        <v>230</v>
      </c>
      <c r="N176" s="127" t="s">
        <v>465</v>
      </c>
      <c r="O176" s="127" t="s">
        <v>608</v>
      </c>
      <c r="P176" s="127" t="s">
        <v>702</v>
      </c>
      <c r="Q176" s="85" t="str">
        <f t="shared" si="133"/>
        <v/>
      </c>
      <c r="R176" s="130"/>
      <c r="S176" s="128" t="s">
        <v>156</v>
      </c>
      <c r="T176" s="131"/>
      <c r="U176" s="132">
        <v>203</v>
      </c>
      <c r="V176" s="121">
        <v>218.2</v>
      </c>
      <c r="W176" s="116">
        <v>0.98</v>
      </c>
      <c r="X176" s="116">
        <v>1.66</v>
      </c>
      <c r="Y176" s="116">
        <f t="shared" si="137"/>
        <v>0.99882116017486111</v>
      </c>
      <c r="Z176" s="133">
        <v>1.454</v>
      </c>
      <c r="AA176" s="133">
        <v>0.83599999999999997</v>
      </c>
      <c r="AB176" s="133">
        <v>0.72</v>
      </c>
      <c r="AC176" s="121">
        <v>34.299999999999997</v>
      </c>
      <c r="AD176" s="134">
        <v>1.17</v>
      </c>
      <c r="AE176" s="124">
        <v>139.69999999999999</v>
      </c>
      <c r="AF176" s="128">
        <v>7.72</v>
      </c>
      <c r="AG176" s="128">
        <v>1959</v>
      </c>
      <c r="AH176" s="127">
        <v>2508</v>
      </c>
      <c r="AI176" s="127">
        <v>2508</v>
      </c>
      <c r="AJ176" s="135"/>
      <c r="AK176" s="128"/>
      <c r="AL176" s="131"/>
      <c r="AM176" s="124" t="s">
        <v>232</v>
      </c>
      <c r="AN176" s="136" t="s">
        <v>880</v>
      </c>
      <c r="AO176" s="137">
        <v>306.18</v>
      </c>
      <c r="AP176" s="128">
        <v>1587</v>
      </c>
      <c r="AQ176" s="128">
        <v>2</v>
      </c>
      <c r="AR176" s="128"/>
      <c r="AS176" s="128"/>
      <c r="AT176" s="122"/>
      <c r="AU176" s="124" t="s">
        <v>250</v>
      </c>
      <c r="AV176" s="115">
        <f>VLOOKUP(J176,'[63]ТР нефть'!$J$28:$BP$638,39,0)</f>
        <v>563.39</v>
      </c>
      <c r="AW176" s="115" t="str">
        <f>VLOOKUP(J176,'[63]ТР нефть'!$J$28:$BP$638,40,0)</f>
        <v>ГК 72 1/4</v>
      </c>
      <c r="AX176" s="115">
        <f>VLOOKUP(J176,'[63]ТР нефть'!$J$28:$BP$638,41,0)</f>
        <v>1017.56</v>
      </c>
      <c r="AY176" s="115" t="str">
        <f>VLOOKUP(J176,'[63]ТР нефть'!$J$28:$BP$638,42,0)</f>
        <v>ГК 74 1/4</v>
      </c>
      <c r="AZ176" s="115">
        <f>VLOOKUP(J176,'[63]ТР нефть'!$J$28:$BP$638,43,0)</f>
        <v>1357.05</v>
      </c>
      <c r="BA176" s="115" t="str">
        <f>VLOOKUP(J176,'[63]ТР нефть'!$J$28:$BP$638,44,0)</f>
        <v>ГК 75 1/4</v>
      </c>
      <c r="BB176" s="115">
        <f>VLOOKUP(J176,'[63]ТР нефть'!$J$28:$BP$638,45,0)</f>
        <v>1472.16</v>
      </c>
      <c r="BC176" s="115" t="str">
        <f>VLOOKUP(J176,'[63]ТР нефть'!$J$28:$BP$638,46,0)</f>
        <v>ЦКсОК 5/16</v>
      </c>
      <c r="BD176" s="115" t="str">
        <f>VLOOKUP(J176,'[63]ТР нефть'!$J$28:$BP$638,47,0)</f>
        <v>-</v>
      </c>
      <c r="BE176" s="115" t="str">
        <f>VLOOKUP(J176,'[63]ТР нефть'!$J$28:$BP$638,48,0)</f>
        <v>-</v>
      </c>
      <c r="BF176" s="115" t="str">
        <f>VLOOKUP(J176,'[63]ТР нефть'!$J$28:$BP$638,49,0)</f>
        <v>-</v>
      </c>
      <c r="BG176" s="115" t="str">
        <f>VLOOKUP(J176,'[63]ТР нефть'!$J$28:$BP$638,50,0)</f>
        <v>-</v>
      </c>
      <c r="BH176" s="115">
        <f>VLOOKUP(J176,'[63]ТР нефть'!$J$28:$BP$638,51,0)</f>
        <v>1490</v>
      </c>
      <c r="BI176" s="115" t="str">
        <f>VLOOKUP(J176,'[63]ТР нефть'!$J$28:$BP$638,52,0)</f>
        <v>закрыт</v>
      </c>
      <c r="BJ176" s="115" t="str">
        <f>IF(IFERROR(VLOOKUP(J176,'[63]ТР нефть'!$J$28:$BP$638,53,0),"-")=0,"-",IFERROR(VLOOKUP(J176,'[63]ТР нефть'!$J$28:$BP$638,53,0),"-"))</f>
        <v>-</v>
      </c>
      <c r="BK176" s="138" t="str">
        <f>IF(IFERROR(VLOOKUP(J176,'[63]ТР нефть'!$J$28:$BP$638,54,0),"-")=0,"-",IFERROR(VLOOKUP(J176,'[63]ТР нефть'!$J$28:$BP$638,54,0),"-"))</f>
        <v>-</v>
      </c>
      <c r="BL176" s="138" t="str">
        <f>IF(IFERROR(VLOOKUP(J176,'[63]ТР нефть'!$J$28:$BP$638,55,0),"-")=0,"-",IFERROR(VLOOKUP(J176,'[63]ТР нефть'!$J$28:$BP$638,55,0),"-"))</f>
        <v>-</v>
      </c>
      <c r="BM176" s="138" t="str">
        <f>IF(IFERROR(VLOOKUP(J176,'[63]ТР нефть'!$J$28:$BP$638,56,0),"-")=0,"-",IFERROR(VLOOKUP(J176,'[63]ТР нефть'!$J$28:$BP$638,56,0),"-"))</f>
        <v>-</v>
      </c>
      <c r="BN176" s="138" t="str">
        <f>IF(IFERROR(VLOOKUP(J176,'[63]ТР нефть'!$J$28:$BP$638,57,0),"-")=0,"-",IFERROR(VLOOKUP(J176,'[63]ТР нефть'!$J$28:$BP$638,57,0),"-"))</f>
        <v>-</v>
      </c>
      <c r="BO176" s="115" t="str">
        <f>IF(IFERROR(VLOOKUP(J176,'[63]ТР нефть'!$J$28:$BP$638,58,0),"-")=0,"-",IFERROR(VLOOKUP(J176,'[63]ТР нефть'!$J$28:$BP$638,58,0),"-"))</f>
        <v>-</v>
      </c>
      <c r="BP176" s="115" t="str">
        <f>IF(IFERROR(VLOOKUP(J176,'[63]ТР нефть'!$J$28:$BP$638,59,0),"-")=0,"-",IFERROR(VLOOKUP(J176,'[63]ТР нефть'!$J$28:$BP$638,59,0),"-"))</f>
        <v>-</v>
      </c>
      <c r="BQ176" s="138">
        <v>1888</v>
      </c>
      <c r="BR176" s="128">
        <v>1843</v>
      </c>
      <c r="BS176" s="115">
        <f t="shared" si="105"/>
        <v>45</v>
      </c>
      <c r="BT176" s="128">
        <v>73</v>
      </c>
      <c r="BU176" s="128">
        <v>5.5</v>
      </c>
      <c r="BV176" s="127">
        <v>18</v>
      </c>
      <c r="BW176" s="127" t="s">
        <v>234</v>
      </c>
      <c r="BX176" s="127" t="s">
        <v>218</v>
      </c>
      <c r="BY176" s="139">
        <v>24</v>
      </c>
      <c r="BZ176" s="139">
        <v>720</v>
      </c>
      <c r="CA176" s="80">
        <v>23</v>
      </c>
      <c r="CB176" s="138">
        <v>26</v>
      </c>
      <c r="CC176" s="138">
        <v>22</v>
      </c>
      <c r="CD176" s="135">
        <v>45017</v>
      </c>
      <c r="CE176" s="138">
        <v>117.4</v>
      </c>
      <c r="CF176" s="138"/>
      <c r="CG176" s="138" t="str">
        <f t="shared" ref="CG176:CG183" si="147">IF(CH176&lt;&gt;"","В работе","")</f>
        <v/>
      </c>
      <c r="CH176" s="138" t="s">
        <v>197</v>
      </c>
      <c r="CI176" s="127"/>
      <c r="CJ176" s="138"/>
      <c r="CK176" s="138"/>
      <c r="CL176" s="99"/>
      <c r="CM176" s="138"/>
      <c r="CN176" s="154">
        <v>43</v>
      </c>
      <c r="CO176" s="141">
        <f t="shared" si="106"/>
        <v>3.1901759999999997</v>
      </c>
      <c r="CP176" s="142">
        <v>4</v>
      </c>
      <c r="CQ176" s="143">
        <v>4.5999999999999996</v>
      </c>
      <c r="CR176" s="138">
        <v>39</v>
      </c>
      <c r="CS176" s="139"/>
      <c r="CT176" s="138"/>
      <c r="CU176" s="138">
        <f t="shared" si="134"/>
        <v>39</v>
      </c>
      <c r="CV176" s="115">
        <f t="shared" si="135"/>
        <v>12225.030844693209</v>
      </c>
      <c r="CW176" s="115" t="str">
        <f t="shared" si="109"/>
        <v/>
      </c>
      <c r="CX176" s="133">
        <f t="shared" si="136"/>
        <v>5.3763440860215048E-2</v>
      </c>
      <c r="CY176" s="116"/>
      <c r="CZ176" s="131"/>
      <c r="DA176" s="145" t="str">
        <f t="shared" si="111"/>
        <v>Фон.</v>
      </c>
      <c r="DB176" s="146">
        <f t="shared" si="112"/>
        <v>3.1901759999999997</v>
      </c>
      <c r="DC176" s="142">
        <f t="shared" si="113"/>
        <v>4</v>
      </c>
      <c r="DD176" s="119">
        <f t="shared" si="114"/>
        <v>4.5999999999999996</v>
      </c>
      <c r="DE176" s="115">
        <f t="shared" si="115"/>
        <v>39</v>
      </c>
      <c r="DF176" s="121">
        <f t="shared" si="116"/>
        <v>0</v>
      </c>
      <c r="DG176" s="115">
        <f t="shared" si="117"/>
        <v>12225.030844693209</v>
      </c>
      <c r="DH176" s="115">
        <f t="shared" si="118"/>
        <v>43</v>
      </c>
      <c r="DI176" s="147"/>
      <c r="DJ176" s="111" t="s">
        <v>197</v>
      </c>
      <c r="DK176" s="112">
        <v>43846</v>
      </c>
      <c r="DL176" s="113">
        <f t="shared" ca="1" si="138"/>
        <v>1258</v>
      </c>
      <c r="DM176" s="114"/>
      <c r="DN176" s="114"/>
      <c r="DO176" s="114"/>
      <c r="DP176" s="114"/>
      <c r="DQ176" s="112">
        <v>43626</v>
      </c>
      <c r="DR176" s="114" t="s">
        <v>198</v>
      </c>
      <c r="DS176" s="114"/>
      <c r="DT176" s="115">
        <v>43</v>
      </c>
      <c r="DU176" s="116">
        <f t="shared" si="139"/>
        <v>5.3763440860215048E-2</v>
      </c>
      <c r="DV176" s="117">
        <f t="shared" si="140"/>
        <v>3.1901759999999997</v>
      </c>
      <c r="DW176" s="118">
        <f t="shared" si="141"/>
        <v>4</v>
      </c>
      <c r="DX176" s="119">
        <f t="shared" si="119"/>
        <v>4.5999999999999996</v>
      </c>
      <c r="DY176" s="115">
        <f t="shared" si="142"/>
        <v>39</v>
      </c>
      <c r="DZ176" s="117">
        <f t="shared" si="143"/>
        <v>0</v>
      </c>
      <c r="EA176" s="120">
        <f t="shared" si="143"/>
        <v>0</v>
      </c>
      <c r="EB176" s="119">
        <f t="shared" si="143"/>
        <v>0</v>
      </c>
      <c r="EC176" s="121">
        <f t="shared" si="144"/>
        <v>0</v>
      </c>
      <c r="ED176" s="122"/>
      <c r="EE176" s="145">
        <v>18</v>
      </c>
      <c r="EF176" s="148">
        <v>23</v>
      </c>
      <c r="EG176" s="115">
        <v>26</v>
      </c>
      <c r="EH176" s="115">
        <v>22</v>
      </c>
      <c r="EI176" s="128" t="s">
        <v>218</v>
      </c>
      <c r="EJ176" s="121">
        <v>24</v>
      </c>
      <c r="EK176" s="121">
        <v>720</v>
      </c>
      <c r="EL176" s="149">
        <v>3.1901759999999997</v>
      </c>
      <c r="EM176" s="142">
        <v>4</v>
      </c>
      <c r="EN176" s="119">
        <v>4.5999999999999996</v>
      </c>
      <c r="EO176" s="115">
        <v>39</v>
      </c>
      <c r="EP176" s="115">
        <v>12225.030844693209</v>
      </c>
      <c r="EQ176" s="115">
        <v>0</v>
      </c>
      <c r="ER176" s="115">
        <v>0</v>
      </c>
      <c r="ES176" s="115">
        <v>43</v>
      </c>
      <c r="ET176" s="150">
        <v>5.3763440860215048E-2</v>
      </c>
      <c r="EU176" s="145">
        <f t="shared" si="120"/>
        <v>18</v>
      </c>
      <c r="EV176" s="115">
        <f t="shared" si="121"/>
        <v>23</v>
      </c>
      <c r="EW176" s="115">
        <f t="shared" si="121"/>
        <v>26</v>
      </c>
      <c r="EX176" s="115">
        <f t="shared" si="121"/>
        <v>22</v>
      </c>
      <c r="EY176" s="115" t="str">
        <f t="shared" si="122"/>
        <v>Периодический</v>
      </c>
      <c r="EZ176" s="115">
        <f t="shared" si="122"/>
        <v>24</v>
      </c>
      <c r="FA176" s="115">
        <f t="shared" si="122"/>
        <v>720</v>
      </c>
      <c r="FB176" s="149">
        <f t="shared" si="123"/>
        <v>3.1901759999999997</v>
      </c>
      <c r="FC176" s="142">
        <f t="shared" si="123"/>
        <v>4</v>
      </c>
      <c r="FD176" s="119">
        <f t="shared" si="123"/>
        <v>4.5999999999999996</v>
      </c>
      <c r="FE176" s="121">
        <f t="shared" si="103"/>
        <v>39</v>
      </c>
      <c r="FF176" s="121">
        <f t="shared" si="145"/>
        <v>12225.030844693209</v>
      </c>
      <c r="FG176" s="121">
        <f t="shared" si="124"/>
        <v>0</v>
      </c>
      <c r="FH176" s="121">
        <f t="shared" si="146"/>
        <v>0</v>
      </c>
      <c r="FI176" s="121">
        <f t="shared" si="131"/>
        <v>43</v>
      </c>
      <c r="FJ176" s="144">
        <f t="shared" si="125"/>
        <v>5.3763440860215048E-2</v>
      </c>
      <c r="FK176" s="132">
        <f t="shared" si="126"/>
        <v>0</v>
      </c>
      <c r="FL176" s="115">
        <f t="shared" si="126"/>
        <v>0</v>
      </c>
      <c r="FM176" s="115">
        <f t="shared" si="126"/>
        <v>0</v>
      </c>
      <c r="FN176" s="115">
        <f t="shared" si="126"/>
        <v>0</v>
      </c>
      <c r="FO176" s="115">
        <f t="shared" si="100"/>
        <v>0</v>
      </c>
      <c r="FP176" s="115">
        <f t="shared" si="100"/>
        <v>0</v>
      </c>
      <c r="FQ176" s="149">
        <f t="shared" si="100"/>
        <v>0</v>
      </c>
      <c r="FR176" s="142">
        <f t="shared" si="100"/>
        <v>0</v>
      </c>
      <c r="FS176" s="119">
        <f t="shared" si="100"/>
        <v>0</v>
      </c>
      <c r="FT176" s="121">
        <f t="shared" si="100"/>
        <v>0</v>
      </c>
      <c r="FU176" s="121">
        <f t="shared" si="127"/>
        <v>0</v>
      </c>
      <c r="FV176" s="121">
        <f t="shared" si="127"/>
        <v>0</v>
      </c>
      <c r="FW176" s="121">
        <f t="shared" si="128"/>
        <v>0</v>
      </c>
      <c r="FX176" s="121">
        <f t="shared" si="129"/>
        <v>0</v>
      </c>
      <c r="FY176" s="144">
        <f t="shared" si="129"/>
        <v>0</v>
      </c>
      <c r="FZ176" s="145"/>
      <c r="GA176" s="151"/>
      <c r="GB176" s="145"/>
      <c r="GC176" s="151" t="s">
        <v>704</v>
      </c>
      <c r="GD176" s="997" t="s">
        <v>238</v>
      </c>
      <c r="GE176" s="1004"/>
      <c r="GF176" s="1004">
        <v>0</v>
      </c>
      <c r="GG176" s="1004"/>
      <c r="GH176" s="1004">
        <v>0</v>
      </c>
      <c r="GI176" s="145"/>
      <c r="GJ176" s="996">
        <v>0</v>
      </c>
      <c r="GK176" s="145"/>
      <c r="GL176" s="996">
        <v>0</v>
      </c>
      <c r="GM176" s="1005"/>
      <c r="GN176" s="996">
        <v>0</v>
      </c>
      <c r="GO176" s="1006"/>
      <c r="GP176" s="996">
        <v>0</v>
      </c>
      <c r="GQ176" s="1006"/>
      <c r="GR176" s="996">
        <v>0</v>
      </c>
      <c r="GS176" s="1006" t="s">
        <v>199</v>
      </c>
      <c r="GT176" s="996">
        <v>-3.6717301128299353</v>
      </c>
      <c r="GU176" s="1006"/>
      <c r="GV176" s="996">
        <v>0</v>
      </c>
      <c r="GW176" s="1006"/>
      <c r="GX176" s="997">
        <v>0</v>
      </c>
      <c r="GY176" s="1006"/>
      <c r="GZ176" s="996">
        <v>0</v>
      </c>
      <c r="HA176" s="1006"/>
      <c r="HB176" s="996">
        <v>0</v>
      </c>
      <c r="HC176" s="1006"/>
      <c r="HD176" s="996">
        <v>0</v>
      </c>
      <c r="HE176" s="1006"/>
      <c r="HF176" s="996">
        <v>0</v>
      </c>
      <c r="HG176" s="1006"/>
      <c r="HH176" s="996">
        <v>0</v>
      </c>
      <c r="HI176" s="1006"/>
      <c r="HJ176" s="996">
        <v>0</v>
      </c>
      <c r="HK176" s="1006"/>
      <c r="HL176" s="996">
        <v>0</v>
      </c>
      <c r="HM176" s="1006"/>
      <c r="HN176" s="996">
        <v>1.310848</v>
      </c>
      <c r="HO176" s="1006"/>
      <c r="HP176" s="996">
        <v>-0.94215999999999989</v>
      </c>
      <c r="HQ176" s="1006"/>
      <c r="HR176" s="996">
        <v>0</v>
      </c>
      <c r="HS176" s="1006"/>
      <c r="HT176" s="996">
        <v>0</v>
      </c>
      <c r="HU176" s="1006"/>
      <c r="HV176" s="996">
        <v>0</v>
      </c>
      <c r="HW176" s="1006"/>
      <c r="HX176" s="996">
        <v>0.34443200000000029</v>
      </c>
      <c r="HY176" s="1006" t="s">
        <v>223</v>
      </c>
      <c r="HZ176" s="996">
        <v>-7.8257960000000013</v>
      </c>
      <c r="IA176" s="1006"/>
      <c r="IB176" s="996">
        <v>0</v>
      </c>
      <c r="IC176" s="1006"/>
      <c r="ID176" s="996">
        <v>0</v>
      </c>
      <c r="IE176" s="1006"/>
      <c r="IF176" s="996">
        <v>0</v>
      </c>
      <c r="IG176" s="1006"/>
      <c r="IH176" s="996">
        <v>0</v>
      </c>
      <c r="II176" s="1006" t="s">
        <v>204</v>
      </c>
      <c r="IJ176" s="996">
        <v>-1.3702039999999993</v>
      </c>
      <c r="IK176" s="1006"/>
      <c r="IL176" s="996">
        <v>0</v>
      </c>
      <c r="IM176" s="1006"/>
      <c r="IN176" s="996">
        <v>0</v>
      </c>
      <c r="IO176" s="1006"/>
      <c r="IP176" s="996">
        <v>0</v>
      </c>
      <c r="IQ176" s="1006"/>
      <c r="IR176" s="996">
        <v>0</v>
      </c>
      <c r="IS176" s="1006"/>
      <c r="IT176" s="996">
        <v>-0.91959999999999908</v>
      </c>
      <c r="IU176" s="1006"/>
      <c r="IV176" s="996">
        <v>0</v>
      </c>
      <c r="IW176" s="1006"/>
      <c r="IX176" s="996">
        <v>0</v>
      </c>
      <c r="IY176" s="1006"/>
      <c r="IZ176" s="996">
        <v>0</v>
      </c>
      <c r="JA176" s="1006"/>
      <c r="JB176" s="996">
        <v>-0.52258025599999947</v>
      </c>
      <c r="JC176" s="1006"/>
      <c r="JD176" s="996">
        <v>0.2187960807999989</v>
      </c>
      <c r="JE176" s="1006"/>
      <c r="JF176" s="996">
        <v>0</v>
      </c>
      <c r="JG176" s="1006" t="s">
        <v>25</v>
      </c>
      <c r="JH176" s="996">
        <v>13.7</v>
      </c>
      <c r="JI176" s="1006"/>
      <c r="JJ176" s="996">
        <v>0</v>
      </c>
      <c r="JK176" s="1007"/>
      <c r="JL176" s="1007">
        <v>0</v>
      </c>
      <c r="JM176" s="1007"/>
      <c r="JN176" s="1007">
        <v>0</v>
      </c>
      <c r="JO176" s="1008"/>
      <c r="JP176" s="1007">
        <v>-1.5675000000000003</v>
      </c>
      <c r="JQ176" s="1008">
        <v>0</v>
      </c>
      <c r="JR176" s="1007">
        <v>2.207040000000049E-2</v>
      </c>
      <c r="JS176" s="1008" t="s">
        <v>203</v>
      </c>
      <c r="JT176" s="1007">
        <v>-1.9728345999999997</v>
      </c>
      <c r="JU176" s="1008" t="s">
        <v>25</v>
      </c>
      <c r="JV176" s="1007">
        <v>2.2015641999999991</v>
      </c>
      <c r="JW176" s="1008" t="s">
        <v>197</v>
      </c>
      <c r="JX176" s="1007">
        <v>0</v>
      </c>
      <c r="JY176" s="1008"/>
      <c r="JZ176" s="1007">
        <v>0</v>
      </c>
      <c r="KA176" s="1008"/>
      <c r="KB176" s="1007">
        <v>0</v>
      </c>
      <c r="KC176" s="1008"/>
      <c r="KD176" s="1007">
        <v>0</v>
      </c>
      <c r="KE176" s="1008"/>
      <c r="KF176" s="1007">
        <v>0</v>
      </c>
      <c r="KG176" s="1008"/>
      <c r="KH176" s="1007">
        <v>0</v>
      </c>
      <c r="KI176" s="1008" t="s">
        <v>207</v>
      </c>
      <c r="KJ176" s="1007">
        <v>-6.4371999999999989</v>
      </c>
      <c r="KK176" s="1008"/>
      <c r="KL176" s="1007">
        <v>0</v>
      </c>
      <c r="KM176" s="1008"/>
      <c r="KN176" s="1007">
        <v>0</v>
      </c>
      <c r="KO176" s="1008" t="s">
        <v>206</v>
      </c>
      <c r="KP176" s="1007">
        <v>4.920110799999998</v>
      </c>
      <c r="KQ176" s="1008" t="s">
        <v>207</v>
      </c>
      <c r="KR176" s="1007">
        <v>-1.4390067999999996</v>
      </c>
      <c r="KS176" s="1008" t="s">
        <v>204</v>
      </c>
      <c r="KT176" s="1007">
        <v>6.0027140800000005</v>
      </c>
      <c r="KU176" s="1008" t="s">
        <v>207</v>
      </c>
      <c r="KV176" s="1007">
        <v>-6.82500368</v>
      </c>
      <c r="KW176" s="1008">
        <v>0</v>
      </c>
      <c r="KX176" s="1007">
        <v>0</v>
      </c>
      <c r="KY176" s="1008">
        <v>0</v>
      </c>
      <c r="KZ176" s="1007">
        <v>0</v>
      </c>
      <c r="LA176" s="1008">
        <v>0</v>
      </c>
      <c r="LB176" s="1007">
        <v>0</v>
      </c>
      <c r="LC176" s="1008">
        <v>0</v>
      </c>
      <c r="LD176" s="1007">
        <v>0</v>
      </c>
      <c r="LE176" s="1008">
        <v>0</v>
      </c>
      <c r="LF176" s="1007">
        <v>0</v>
      </c>
      <c r="LG176" s="1008">
        <v>0</v>
      </c>
      <c r="LH176" s="1007">
        <v>0</v>
      </c>
      <c r="LI176" s="1008">
        <v>0</v>
      </c>
      <c r="LJ176" s="1007">
        <v>0</v>
      </c>
      <c r="LK176" s="1008">
        <v>0</v>
      </c>
      <c r="LL176" s="1007">
        <v>0</v>
      </c>
      <c r="LM176" s="1008" t="s">
        <v>240</v>
      </c>
      <c r="LN176" s="1007">
        <v>-5.75481</v>
      </c>
      <c r="LO176" s="1008">
        <v>0</v>
      </c>
      <c r="LP176" s="1007">
        <v>0</v>
      </c>
      <c r="LQ176" s="1008">
        <v>0</v>
      </c>
      <c r="LR176" s="1007">
        <v>0</v>
      </c>
      <c r="LS176" s="1008" t="s">
        <v>206</v>
      </c>
      <c r="LT176" s="1007">
        <v>2.4668688000000003</v>
      </c>
      <c r="LU176" s="1008">
        <v>0</v>
      </c>
      <c r="LV176" s="1007">
        <v>0</v>
      </c>
      <c r="LW176" s="1008">
        <v>0</v>
      </c>
      <c r="LX176" s="1007">
        <v>0</v>
      </c>
      <c r="LY176" s="1009" t="s">
        <v>206</v>
      </c>
      <c r="LZ176" s="1010">
        <v>-2.8</v>
      </c>
      <c r="MA176" s="1011">
        <v>0</v>
      </c>
      <c r="MB176" s="1012">
        <v>0</v>
      </c>
      <c r="MC176" s="995"/>
      <c r="MD176" s="996"/>
      <c r="ME176" s="997" t="s">
        <v>238</v>
      </c>
      <c r="MF176" s="997"/>
      <c r="MG176" s="998"/>
      <c r="NR176" s="1000"/>
      <c r="NS176" s="1000"/>
      <c r="NT176" s="1001"/>
      <c r="NU176" s="1000"/>
      <c r="NV176" s="1001"/>
      <c r="NX176" s="1002"/>
      <c r="NZ176" s="1001"/>
      <c r="OA176" s="1001"/>
      <c r="OC176" s="1003"/>
      <c r="OD176" s="1003"/>
      <c r="OE176" s="1001"/>
      <c r="OF176" s="1003"/>
      <c r="OG176" s="1003"/>
      <c r="QX176" s="1000">
        <f>CN176-CA176</f>
        <v>20</v>
      </c>
      <c r="ASU176" s="999" t="s">
        <v>292</v>
      </c>
    </row>
    <row r="177" spans="1:466 1191:1191" ht="21" customHeight="1" x14ac:dyDescent="0.25">
      <c r="A177" s="982">
        <f t="shared" si="104"/>
        <v>1074</v>
      </c>
      <c r="B177" s="124">
        <f>SUBTOTAL(103,$J$29:J177)</f>
        <v>149</v>
      </c>
      <c r="C177" s="126">
        <v>45068</v>
      </c>
      <c r="D177" s="124" t="s">
        <v>176</v>
      </c>
      <c r="E177" s="127" t="s">
        <v>177</v>
      </c>
      <c r="F177" s="128" t="s">
        <v>177</v>
      </c>
      <c r="G177" s="127" t="s">
        <v>178</v>
      </c>
      <c r="H177" s="127" t="s">
        <v>179</v>
      </c>
      <c r="I177" s="127" t="s">
        <v>881</v>
      </c>
      <c r="J177" s="152">
        <v>1074</v>
      </c>
      <c r="K177" s="127" t="s">
        <v>881</v>
      </c>
      <c r="L177" s="130">
        <v>41561</v>
      </c>
      <c r="M177" s="127" t="s">
        <v>230</v>
      </c>
      <c r="N177" s="127" t="s">
        <v>184</v>
      </c>
      <c r="O177" s="127" t="s">
        <v>185</v>
      </c>
      <c r="P177" s="127" t="s">
        <v>186</v>
      </c>
      <c r="Q177" s="85" t="str">
        <f t="shared" si="133"/>
        <v/>
      </c>
      <c r="R177" s="130"/>
      <c r="S177" s="128" t="s">
        <v>156</v>
      </c>
      <c r="T177" s="131"/>
      <c r="U177" s="132">
        <v>203</v>
      </c>
      <c r="V177" s="121">
        <v>218.2</v>
      </c>
      <c r="W177" s="116">
        <v>0.98</v>
      </c>
      <c r="X177" s="116">
        <v>1.66</v>
      </c>
      <c r="Y177" s="116">
        <f t="shared" si="137"/>
        <v>1.6097367900257271</v>
      </c>
      <c r="Z177" s="133">
        <v>1.454</v>
      </c>
      <c r="AA177" s="133">
        <v>0.83599999999999997</v>
      </c>
      <c r="AB177" s="133">
        <v>0.72</v>
      </c>
      <c r="AC177" s="121">
        <v>34.299999999999997</v>
      </c>
      <c r="AD177" s="134">
        <v>1.17</v>
      </c>
      <c r="AE177" s="124">
        <v>177.8</v>
      </c>
      <c r="AF177" s="128">
        <v>9.19</v>
      </c>
      <c r="AG177" s="128">
        <v>2049</v>
      </c>
      <c r="AH177" s="127">
        <v>2559</v>
      </c>
      <c r="AI177" s="127">
        <v>2559</v>
      </c>
      <c r="AJ177" s="135"/>
      <c r="AK177" s="128"/>
      <c r="AL177" s="131"/>
      <c r="AM177" s="124" t="s">
        <v>232</v>
      </c>
      <c r="AN177" s="136" t="s">
        <v>882</v>
      </c>
      <c r="AO177" s="137">
        <v>30</v>
      </c>
      <c r="AP177" s="128">
        <v>2049</v>
      </c>
      <c r="AQ177" s="128">
        <v>223</v>
      </c>
      <c r="AR177" s="128"/>
      <c r="AS177" s="128"/>
      <c r="AT177" s="122"/>
      <c r="AU177" s="124" t="s">
        <v>883</v>
      </c>
      <c r="AV177" s="115">
        <f>VLOOKUP(J177,'[63]ТР нефть'!$J$28:$BP$638,39,0)</f>
        <v>300</v>
      </c>
      <c r="AW177" s="115" t="str">
        <f>VLOOKUP(J177,'[63]ТР нефть'!$J$28:$BP$638,40,0)</f>
        <v>ГП</v>
      </c>
      <c r="AX177" s="115" t="str">
        <f>VLOOKUP(J177,'[63]ТР нефть'!$J$28:$BP$638,41,0)</f>
        <v>-</v>
      </c>
      <c r="AY177" s="115" t="str">
        <f>VLOOKUP(J177,'[63]ТР нефть'!$J$28:$BP$638,42,0)</f>
        <v>-</v>
      </c>
      <c r="AZ177" s="115" t="str">
        <f>VLOOKUP(J177,'[63]ТР нефть'!$J$28:$BP$638,43,0)</f>
        <v>-</v>
      </c>
      <c r="BA177" s="115" t="str">
        <f>VLOOKUP(J177,'[63]ТР нефть'!$J$28:$BP$638,44,0)</f>
        <v>-</v>
      </c>
      <c r="BB177" s="115" t="str">
        <f>VLOOKUP(J177,'[63]ТР нефть'!$J$28:$BP$638,45,0)</f>
        <v>-</v>
      </c>
      <c r="BC177" s="115" t="str">
        <f>VLOOKUP(J177,'[63]ТР нефть'!$J$28:$BP$638,46,0)</f>
        <v>-</v>
      </c>
      <c r="BD177" s="115" t="str">
        <f>VLOOKUP(J177,'[63]ТР нефть'!$J$28:$BP$638,47,0)</f>
        <v>-</v>
      </c>
      <c r="BE177" s="115" t="str">
        <f>VLOOKUP(J177,'[63]ТР нефть'!$J$28:$BP$638,48,0)</f>
        <v>-</v>
      </c>
      <c r="BF177" s="115" t="str">
        <f>VLOOKUP(J177,'[63]ТР нефть'!$J$28:$BP$638,49,0)</f>
        <v>-</v>
      </c>
      <c r="BG177" s="115" t="str">
        <f>VLOOKUP(J177,'[63]ТР нефть'!$J$28:$BP$638,50,0)</f>
        <v>-</v>
      </c>
      <c r="BH177" s="115">
        <f>VLOOKUP(J177,'[63]ТР нефть'!$J$28:$BP$638,51,0)</f>
        <v>1850</v>
      </c>
      <c r="BI177" s="115" t="str">
        <f>VLOOKUP(J177,'[63]ТР нефть'!$J$28:$BP$638,52,0)</f>
        <v>открыт</v>
      </c>
      <c r="BJ177" s="115" t="str">
        <f>IF(IFERROR(VLOOKUP(J177,'[63]ТР нефть'!$J$28:$BP$638,53,0),"-")=0,"-",IFERROR(VLOOKUP(J177,'[63]ТР нефть'!$J$28:$BP$638,53,0),"-"))</f>
        <v xml:space="preserve">2 диспергатора </v>
      </c>
      <c r="BK177" s="138" t="str">
        <f>IF(IFERROR(VLOOKUP(J177,'[63]ТР нефть'!$J$28:$BP$638,54,0),"-")=0,"-",IFERROR(VLOOKUP(J177,'[63]ТР нефть'!$J$28:$BP$638,54,0),"-"))</f>
        <v>D1050N</v>
      </c>
      <c r="BL177" s="138" t="str">
        <f>IF(IFERROR(VLOOKUP(J177,'[63]ТР нефть'!$J$28:$BP$638,55,0),"-")=0,"-",IFERROR(VLOOKUP(J177,'[63]ТР нефть'!$J$28:$BP$638,55,0),"-"))</f>
        <v>-</v>
      </c>
      <c r="BM177" s="138">
        <f>IF(IFERROR(VLOOKUP(J177,'[63]ТР нефть'!$J$28:$BP$638,56,0),"-")=0,"-",IFERROR(VLOOKUP(J177,'[63]ТР нефть'!$J$28:$BP$638,56,0),"-"))</f>
        <v>1338</v>
      </c>
      <c r="BN177" s="138">
        <v>48</v>
      </c>
      <c r="BO177" s="115">
        <f>IF(IFERROR(VLOOKUP(J177,'[63]ТР нефть'!$J$28:$BP$638,58,0),"-")=0,"-",IFERROR(VLOOKUP(J177,'[63]ТР нефть'!$J$28:$BP$638,58,0),"-"))</f>
        <v>90</v>
      </c>
      <c r="BP177" s="115" t="str">
        <f>IF(IFERROR(VLOOKUP(J177,'[63]ТР нефть'!$J$28:$BP$638,59,0),"-")=0,"-",IFERROR(VLOOKUP(J177,'[63]ТР нефть'!$J$28:$BP$638,59,0),"-"))</f>
        <v>-</v>
      </c>
      <c r="BQ177" s="138">
        <v>1894</v>
      </c>
      <c r="BR177" s="128">
        <v>1709</v>
      </c>
      <c r="BS177" s="115">
        <f t="shared" si="105"/>
        <v>185</v>
      </c>
      <c r="BT177" s="128">
        <v>73</v>
      </c>
      <c r="BU177" s="128">
        <v>5.5</v>
      </c>
      <c r="BV177" s="127">
        <v>65</v>
      </c>
      <c r="BW177" s="127" t="s">
        <v>217</v>
      </c>
      <c r="BX177" s="127" t="s">
        <v>195</v>
      </c>
      <c r="BY177" s="139">
        <v>24</v>
      </c>
      <c r="BZ177" s="139">
        <v>0</v>
      </c>
      <c r="CA177" s="138">
        <v>28</v>
      </c>
      <c r="CB177" s="138">
        <v>27</v>
      </c>
      <c r="CC177" s="138">
        <v>27</v>
      </c>
      <c r="CD177" s="135">
        <v>45017</v>
      </c>
      <c r="CE177" s="138">
        <v>107</v>
      </c>
      <c r="CF177" s="138"/>
      <c r="CG177" s="138" t="str">
        <f t="shared" si="147"/>
        <v/>
      </c>
      <c r="CH177" s="138" t="s">
        <v>197</v>
      </c>
      <c r="CI177" s="127"/>
      <c r="CJ177" s="138">
        <f>IF((BR177-(100*(CM177-CB177))/(9.8*(AB177+AA177)/2))&gt;0,BR177-(100*(CM177-CB177))/(9.8*(AB177+AA177)/2),0)</f>
        <v>1315.5264151933268</v>
      </c>
      <c r="CK177" s="138">
        <f t="shared" si="101"/>
        <v>42.196485574999997</v>
      </c>
      <c r="CL177" s="99"/>
      <c r="CM177" s="127">
        <v>57</v>
      </c>
      <c r="CN177" s="154">
        <f>IF(CM177=0,0,(((AP177-AQ177-BR177)*((AD177*(CQ177/100))+(AB177*((100-CQ177)/100)))*9.81/100+CM177)))</f>
        <v>70.196485574999997</v>
      </c>
      <c r="CO177" s="141">
        <f t="shared" si="106"/>
        <v>4.6648800000000046</v>
      </c>
      <c r="CP177" s="142">
        <v>124</v>
      </c>
      <c r="CQ177" s="143">
        <v>95.5</v>
      </c>
      <c r="CR177" s="138">
        <v>29</v>
      </c>
      <c r="CS177" s="139"/>
      <c r="CT177" s="138"/>
      <c r="CU177" s="138">
        <f t="shared" si="134"/>
        <v>29</v>
      </c>
      <c r="CV177" s="115">
        <f t="shared" si="135"/>
        <v>6216.6658091955142</v>
      </c>
      <c r="CW177" s="115" t="str">
        <f t="shared" si="109"/>
        <v/>
      </c>
      <c r="CX177" s="133">
        <f t="shared" si="136"/>
        <v>3.3692434523527162</v>
      </c>
      <c r="CY177" s="116"/>
      <c r="CZ177" s="131"/>
      <c r="DA177" s="145" t="str">
        <f t="shared" si="111"/>
        <v>ЭЦН</v>
      </c>
      <c r="DB177" s="146">
        <f t="shared" si="112"/>
        <v>4.6648800000000046</v>
      </c>
      <c r="DC177" s="142">
        <f t="shared" si="113"/>
        <v>124</v>
      </c>
      <c r="DD177" s="119">
        <f t="shared" si="114"/>
        <v>95.5</v>
      </c>
      <c r="DE177" s="115">
        <f t="shared" si="115"/>
        <v>29</v>
      </c>
      <c r="DF177" s="121">
        <f t="shared" si="116"/>
        <v>0</v>
      </c>
      <c r="DG177" s="115">
        <f t="shared" si="117"/>
        <v>6216.6658091955142</v>
      </c>
      <c r="DH177" s="115">
        <f t="shared" si="118"/>
        <v>70.196485574999997</v>
      </c>
      <c r="DI177" s="147"/>
      <c r="DJ177" s="111">
        <v>44303</v>
      </c>
      <c r="DK177" s="112">
        <v>44318</v>
      </c>
      <c r="DL177" s="113">
        <f t="shared" ca="1" si="138"/>
        <v>786</v>
      </c>
      <c r="DM177" s="114">
        <v>21.3</v>
      </c>
      <c r="DN177" s="114">
        <v>75</v>
      </c>
      <c r="DO177" s="114" t="s">
        <v>192</v>
      </c>
      <c r="DP177" s="114" t="s">
        <v>884</v>
      </c>
      <c r="DQ177" s="112">
        <v>41561</v>
      </c>
      <c r="DR177" s="114" t="s">
        <v>324</v>
      </c>
      <c r="DS177" s="114"/>
      <c r="DT177" s="115">
        <v>60</v>
      </c>
      <c r="DU177" s="116">
        <f t="shared" si="139"/>
        <v>3.200795135316413</v>
      </c>
      <c r="DV177" s="117">
        <f t="shared" si="140"/>
        <v>5.6594539105583674</v>
      </c>
      <c r="DW177" s="118">
        <f t="shared" si="141"/>
        <v>150.43737135987141</v>
      </c>
      <c r="DX177" s="119">
        <f t="shared" si="119"/>
        <v>95.5</v>
      </c>
      <c r="DY177" s="115">
        <f t="shared" si="142"/>
        <v>35.182933624486054</v>
      </c>
      <c r="DZ177" s="117">
        <f t="shared" si="143"/>
        <v>0.99457391055836286</v>
      </c>
      <c r="EA177" s="120">
        <f t="shared" si="143"/>
        <v>26.437371359871406</v>
      </c>
      <c r="EB177" s="119">
        <f t="shared" si="143"/>
        <v>0</v>
      </c>
      <c r="EC177" s="121">
        <f t="shared" si="144"/>
        <v>6.1829336244860542</v>
      </c>
      <c r="ED177" s="122"/>
      <c r="EE177" s="145">
        <v>65</v>
      </c>
      <c r="EF177" s="115">
        <v>27</v>
      </c>
      <c r="EG177" s="115">
        <v>30</v>
      </c>
      <c r="EH177" s="115">
        <v>26</v>
      </c>
      <c r="EI177" s="128" t="s">
        <v>195</v>
      </c>
      <c r="EJ177" s="121">
        <v>24</v>
      </c>
      <c r="EK177" s="121">
        <v>0</v>
      </c>
      <c r="EL177" s="149">
        <v>8.6007679999999951</v>
      </c>
      <c r="EM177" s="142">
        <v>128.6</v>
      </c>
      <c r="EN177" s="119">
        <v>92</v>
      </c>
      <c r="EO177" s="115">
        <v>21.5</v>
      </c>
      <c r="EP177" s="115">
        <v>2499.776764121531</v>
      </c>
      <c r="EQ177" s="115">
        <v>0</v>
      </c>
      <c r="ER177" s="115">
        <v>0</v>
      </c>
      <c r="ES177" s="115">
        <v>77.015711800000005</v>
      </c>
      <c r="ET177" s="150">
        <v>10.73071657272061</v>
      </c>
      <c r="EU177" s="145">
        <f t="shared" si="120"/>
        <v>65</v>
      </c>
      <c r="EV177" s="115">
        <f t="shared" si="121"/>
        <v>28</v>
      </c>
      <c r="EW177" s="115">
        <f t="shared" si="121"/>
        <v>27</v>
      </c>
      <c r="EX177" s="115">
        <f t="shared" si="121"/>
        <v>27</v>
      </c>
      <c r="EY177" s="115" t="str">
        <f t="shared" si="122"/>
        <v>Постоянный</v>
      </c>
      <c r="EZ177" s="115">
        <f t="shared" si="122"/>
        <v>24</v>
      </c>
      <c r="FA177" s="115">
        <f t="shared" si="122"/>
        <v>0</v>
      </c>
      <c r="FB177" s="149">
        <f t="shared" si="123"/>
        <v>4.6648800000000046</v>
      </c>
      <c r="FC177" s="142">
        <f t="shared" si="123"/>
        <v>124</v>
      </c>
      <c r="FD177" s="119">
        <f t="shared" si="123"/>
        <v>95.5</v>
      </c>
      <c r="FE177" s="121">
        <f t="shared" si="103"/>
        <v>29</v>
      </c>
      <c r="FF177" s="121">
        <f t="shared" si="145"/>
        <v>6216.6658091955142</v>
      </c>
      <c r="FG177" s="121">
        <f t="shared" si="124"/>
        <v>0</v>
      </c>
      <c r="FH177" s="121">
        <f t="shared" si="146"/>
        <v>0</v>
      </c>
      <c r="FI177" s="121">
        <f t="shared" si="131"/>
        <v>70.196485574999997</v>
      </c>
      <c r="FJ177" s="144">
        <f t="shared" si="125"/>
        <v>3.3692434523527162</v>
      </c>
      <c r="FK177" s="132">
        <f t="shared" si="126"/>
        <v>0</v>
      </c>
      <c r="FL177" s="115">
        <f t="shared" si="126"/>
        <v>1</v>
      </c>
      <c r="FM177" s="115">
        <f t="shared" si="126"/>
        <v>-3</v>
      </c>
      <c r="FN177" s="115">
        <f t="shared" si="126"/>
        <v>1</v>
      </c>
      <c r="FO177" s="115">
        <f t="shared" si="100"/>
        <v>0</v>
      </c>
      <c r="FP177" s="115">
        <f t="shared" si="100"/>
        <v>0</v>
      </c>
      <c r="FQ177" s="149">
        <f t="shared" si="100"/>
        <v>-3.9358879999999905</v>
      </c>
      <c r="FR177" s="142">
        <f t="shared" si="100"/>
        <v>-4.5999999999999943</v>
      </c>
      <c r="FS177" s="119">
        <f t="shared" si="100"/>
        <v>3.5</v>
      </c>
      <c r="FT177" s="121">
        <f t="shared" si="100"/>
        <v>7.5</v>
      </c>
      <c r="FU177" s="121">
        <f t="shared" si="127"/>
        <v>0</v>
      </c>
      <c r="FV177" s="121">
        <f t="shared" si="127"/>
        <v>0</v>
      </c>
      <c r="FW177" s="121">
        <f t="shared" si="128"/>
        <v>3716.8890450739832</v>
      </c>
      <c r="FX177" s="121">
        <f t="shared" si="129"/>
        <v>-6.8192262250000084</v>
      </c>
      <c r="FY177" s="144">
        <f t="shared" si="129"/>
        <v>-7.3614731203678936</v>
      </c>
      <c r="FZ177" s="145" t="s">
        <v>259</v>
      </c>
      <c r="GA177" s="151" t="s">
        <v>885</v>
      </c>
      <c r="GB177" s="145"/>
      <c r="GC177" s="151"/>
      <c r="GD177" s="997" t="s">
        <v>220</v>
      </c>
      <c r="GE177" s="1004"/>
      <c r="GF177" s="1004">
        <v>0.44140800000000091</v>
      </c>
      <c r="GG177" s="1004"/>
      <c r="GH177" s="1004">
        <v>0</v>
      </c>
      <c r="GI177" s="145"/>
      <c r="GJ177" s="996">
        <v>0</v>
      </c>
      <c r="GK177" s="145"/>
      <c r="GL177" s="996">
        <v>0</v>
      </c>
      <c r="GM177" s="1005"/>
      <c r="GN177" s="996">
        <v>0</v>
      </c>
      <c r="GO177" s="1006" t="s">
        <v>259</v>
      </c>
      <c r="GP177" s="996">
        <v>-4.6941400000000044</v>
      </c>
      <c r="GQ177" s="1006"/>
      <c r="GR177" s="996">
        <v>0</v>
      </c>
      <c r="GS177" s="1006" t="s">
        <v>146</v>
      </c>
      <c r="GT177" s="996">
        <v>-6.4079400000000053</v>
      </c>
      <c r="GU177" s="1006"/>
      <c r="GV177" s="996">
        <v>-0.75239999999999796</v>
      </c>
      <c r="GW177" s="1006" t="s">
        <v>199</v>
      </c>
      <c r="GX177" s="1036">
        <v>3.5112000000000059</v>
      </c>
      <c r="GY177" s="1006" t="s">
        <v>199</v>
      </c>
      <c r="GZ177" s="996">
        <v>10.387534079999995</v>
      </c>
      <c r="HA177" s="1006" t="s">
        <v>199</v>
      </c>
      <c r="HB177" s="996">
        <v>-4.1095084799999997</v>
      </c>
      <c r="HC177" s="1006"/>
      <c r="HD177" s="996">
        <v>-0.29494080000000089</v>
      </c>
      <c r="HE177" s="1006"/>
      <c r="HF177" s="996">
        <v>-0.51564479999999691</v>
      </c>
      <c r="HG177" s="1006" t="s">
        <v>146</v>
      </c>
      <c r="HH177" s="996">
        <v>-2.9427200000000013</v>
      </c>
      <c r="HI177" s="1006" t="s">
        <v>886</v>
      </c>
      <c r="HJ177" s="996">
        <v>-8.627519999999997</v>
      </c>
      <c r="HK177" s="1006" t="s">
        <v>886</v>
      </c>
      <c r="HL177" s="996">
        <v>10.165759999999997</v>
      </c>
      <c r="HM177" s="1006"/>
      <c r="HN177" s="996">
        <v>0</v>
      </c>
      <c r="HO177" s="1006"/>
      <c r="HP177" s="996">
        <v>0</v>
      </c>
      <c r="HQ177" s="1006"/>
      <c r="HR177" s="996">
        <v>-0.91960000000000264</v>
      </c>
      <c r="HS177" s="1006" t="s">
        <v>204</v>
      </c>
      <c r="HT177" s="996">
        <v>-3.780993920000002</v>
      </c>
      <c r="HU177" s="1006" t="s">
        <v>886</v>
      </c>
      <c r="HV177" s="996">
        <v>-7.6477129519999991</v>
      </c>
      <c r="HW177" s="1006"/>
      <c r="HX177" s="996">
        <v>7.206738000000712E-2</v>
      </c>
      <c r="HY177" s="1006" t="s">
        <v>221</v>
      </c>
      <c r="HZ177" s="996">
        <v>1.3608382920000004</v>
      </c>
      <c r="IA177" s="1006" t="s">
        <v>239</v>
      </c>
      <c r="IB177" s="996">
        <v>-9.1485987999999985</v>
      </c>
      <c r="IC177" s="1006"/>
      <c r="ID177" s="996">
        <v>0</v>
      </c>
      <c r="IE177" s="1006"/>
      <c r="IF177" s="996">
        <v>0.41799999999999216</v>
      </c>
      <c r="IG177" s="1006"/>
      <c r="IH177" s="996">
        <v>0</v>
      </c>
      <c r="II177" s="1006"/>
      <c r="IJ177" s="996">
        <v>-0.84435999999999467</v>
      </c>
      <c r="IK177" s="1006" t="s">
        <v>199</v>
      </c>
      <c r="IL177" s="996">
        <v>2.0631138220000018</v>
      </c>
      <c r="IM177" s="1006" t="s">
        <v>199</v>
      </c>
      <c r="IN177" s="996">
        <v>3.451938049999999</v>
      </c>
      <c r="IO177" s="1006"/>
      <c r="IP177" s="996">
        <v>0.69074332799999993</v>
      </c>
      <c r="IQ177" s="1006" t="s">
        <v>146</v>
      </c>
      <c r="IR177" s="996">
        <v>-2.4964631999999973</v>
      </c>
      <c r="IS177" s="1006"/>
      <c r="IT177" s="996">
        <v>-0.86693200000000559</v>
      </c>
      <c r="IU177" s="1006"/>
      <c r="IV177" s="996">
        <v>0</v>
      </c>
      <c r="IW177" s="1006" t="s">
        <v>223</v>
      </c>
      <c r="IX177" s="996">
        <v>-3.2687600000000003</v>
      </c>
      <c r="IY177" s="1006"/>
      <c r="IZ177" s="996">
        <v>-0.6687999999999974</v>
      </c>
      <c r="JA177" s="1006"/>
      <c r="JB177" s="996">
        <v>-0.75240000000000151</v>
      </c>
      <c r="JC177" s="1006"/>
      <c r="JD177" s="996">
        <v>0.77079200000000014</v>
      </c>
      <c r="JE177" s="1006" t="s">
        <v>223</v>
      </c>
      <c r="JF177" s="996">
        <v>-2.6467760000000027</v>
      </c>
      <c r="JG177" s="1006" t="s">
        <v>224</v>
      </c>
      <c r="JH177" s="996">
        <v>5.6524233919999958</v>
      </c>
      <c r="JI177" s="1006"/>
      <c r="JJ177" s="996">
        <v>0.75430607999999921</v>
      </c>
      <c r="JK177" s="1007" t="s">
        <v>146</v>
      </c>
      <c r="JL177" s="1007">
        <v>5.7349600000000009</v>
      </c>
      <c r="JM177" s="1007" t="s">
        <v>146</v>
      </c>
      <c r="JN177" s="1007">
        <v>3.8155199999999994</v>
      </c>
      <c r="JO177" s="1008" t="s">
        <v>239</v>
      </c>
      <c r="JP177" s="1007">
        <v>-35.736847300000008</v>
      </c>
      <c r="JQ177" s="1008">
        <v>0</v>
      </c>
      <c r="JR177" s="1007">
        <v>0</v>
      </c>
      <c r="JS177" s="1008">
        <v>0</v>
      </c>
      <c r="JT177" s="1007">
        <v>0</v>
      </c>
      <c r="JU177" s="1008" t="s">
        <v>223</v>
      </c>
      <c r="JV177" s="1007">
        <v>-1.1254566399999959</v>
      </c>
      <c r="JW177" s="1008" t="s">
        <v>197</v>
      </c>
      <c r="JX177" s="1007">
        <v>0</v>
      </c>
      <c r="JY177" s="1008" t="s">
        <v>240</v>
      </c>
      <c r="JZ177" s="1007">
        <v>-2.0981593599999968</v>
      </c>
      <c r="KA177" s="1008" t="s">
        <v>259</v>
      </c>
      <c r="KB177" s="1007">
        <v>4.3806399999999925</v>
      </c>
      <c r="KC177" s="1008" t="s">
        <v>240</v>
      </c>
      <c r="KD177" s="1007">
        <v>-1.0533599999999907</v>
      </c>
      <c r="KE177" s="1008" t="s">
        <v>199</v>
      </c>
      <c r="KF177" s="1007">
        <v>5.2082799999999949</v>
      </c>
      <c r="KG177" s="1008" t="s">
        <v>207</v>
      </c>
      <c r="KH177" s="1007">
        <v>32.4786</v>
      </c>
      <c r="KI177" s="1008" t="s">
        <v>207</v>
      </c>
      <c r="KJ177" s="1007">
        <v>-5.5426800000000043</v>
      </c>
      <c r="KK177" s="1008" t="s">
        <v>206</v>
      </c>
      <c r="KL177" s="1007">
        <v>-5.1665122695999877</v>
      </c>
      <c r="KM177" s="1008"/>
      <c r="KN177" s="1007">
        <v>0</v>
      </c>
      <c r="KO177" s="1008" t="s">
        <v>887</v>
      </c>
      <c r="KP177" s="1007">
        <v>-68.660679999999999</v>
      </c>
      <c r="KQ177" s="1008">
        <v>0</v>
      </c>
      <c r="KR177" s="1007">
        <v>0</v>
      </c>
      <c r="KS177" s="1008">
        <v>0</v>
      </c>
      <c r="KT177" s="1007">
        <v>0</v>
      </c>
      <c r="KU177" s="1008">
        <v>0</v>
      </c>
      <c r="KV177" s="1007">
        <v>0</v>
      </c>
      <c r="KW177" s="1008">
        <v>0</v>
      </c>
      <c r="KX177" s="1007">
        <v>0</v>
      </c>
      <c r="KY177" s="1008">
        <v>0</v>
      </c>
      <c r="KZ177" s="1007">
        <v>0</v>
      </c>
      <c r="LA177" s="1008">
        <v>0</v>
      </c>
      <c r="LB177" s="1007">
        <v>0</v>
      </c>
      <c r="LC177" s="1008">
        <v>0</v>
      </c>
      <c r="LD177" s="1007">
        <v>0</v>
      </c>
      <c r="LE177" s="1008">
        <v>0</v>
      </c>
      <c r="LF177" s="1007">
        <v>0</v>
      </c>
      <c r="LG177" s="1008">
        <v>0</v>
      </c>
      <c r="LH177" s="1007">
        <v>0</v>
      </c>
      <c r="LI177" s="1008">
        <v>0</v>
      </c>
      <c r="LJ177" s="1007">
        <v>0</v>
      </c>
      <c r="LK177" s="1008" t="s">
        <v>555</v>
      </c>
      <c r="LL177" s="1007">
        <v>4.1111399999999998</v>
      </c>
      <c r="LM177" s="1008" t="s">
        <v>207</v>
      </c>
      <c r="LN177" s="1007">
        <v>17.255040000000001</v>
      </c>
      <c r="LO177" s="1008" t="s">
        <v>206</v>
      </c>
      <c r="LP177" s="1007">
        <v>18.851800000000015</v>
      </c>
      <c r="LQ177" s="1008" t="s">
        <v>146</v>
      </c>
      <c r="LR177" s="1007">
        <v>5.5779999999998999</v>
      </c>
      <c r="LS177" s="1008">
        <v>0</v>
      </c>
      <c r="LT177" s="1007">
        <v>0</v>
      </c>
      <c r="LU177" s="1008">
        <v>0</v>
      </c>
      <c r="LV177" s="1007">
        <v>0</v>
      </c>
      <c r="LW177" s="1008" t="s">
        <v>207</v>
      </c>
      <c r="LX177" s="1007">
        <v>16.631383999999997</v>
      </c>
      <c r="LY177" s="1009">
        <v>0</v>
      </c>
      <c r="LZ177" s="1010">
        <v>-0.27588000000000001</v>
      </c>
      <c r="MA177" s="1011">
        <v>0</v>
      </c>
      <c r="MB177" s="1012">
        <v>-0.23480999999999999</v>
      </c>
      <c r="MC177" s="995"/>
      <c r="MD177" s="996"/>
      <c r="ME177" s="997" t="s">
        <v>220</v>
      </c>
      <c r="MF177" s="997"/>
      <c r="MG177" s="998"/>
      <c r="NR177" s="1000"/>
      <c r="NS177" s="1000"/>
      <c r="NT177" s="1001"/>
      <c r="NU177" s="1000"/>
      <c r="NV177" s="1001"/>
      <c r="NX177" s="1002"/>
      <c r="NZ177" s="1001"/>
      <c r="OA177" s="1001"/>
      <c r="OC177" s="1003"/>
      <c r="OD177" s="1003"/>
      <c r="OE177" s="1001"/>
      <c r="OF177" s="1003"/>
      <c r="OG177" s="1003"/>
      <c r="OH177" s="1003"/>
      <c r="OI177" s="1016"/>
      <c r="QX177" s="1000">
        <f>CN177-CA177</f>
        <v>42.196485574999997</v>
      </c>
      <c r="ASU177" s="999" t="s">
        <v>208</v>
      </c>
    </row>
    <row r="178" spans="1:466 1191:1191" ht="21" customHeight="1" x14ac:dyDescent="0.25">
      <c r="A178" s="982" t="str">
        <f t="shared" si="104"/>
        <v>1077-1</v>
      </c>
      <c r="B178" s="124">
        <f>SUBTOTAL(103,$J$29:J178)</f>
        <v>150</v>
      </c>
      <c r="C178" s="126">
        <v>45068</v>
      </c>
      <c r="D178" s="124" t="s">
        <v>176</v>
      </c>
      <c r="E178" s="127" t="s">
        <v>177</v>
      </c>
      <c r="F178" s="128" t="s">
        <v>177</v>
      </c>
      <c r="G178" s="127" t="s">
        <v>178</v>
      </c>
      <c r="H178" s="127" t="s">
        <v>408</v>
      </c>
      <c r="I178" s="127" t="s">
        <v>888</v>
      </c>
      <c r="J178" s="152" t="s">
        <v>889</v>
      </c>
      <c r="K178" s="127" t="s">
        <v>890</v>
      </c>
      <c r="L178" s="130">
        <v>39415</v>
      </c>
      <c r="M178" s="127" t="s">
        <v>230</v>
      </c>
      <c r="N178" s="127" t="s">
        <v>231</v>
      </c>
      <c r="O178" s="127" t="s">
        <v>185</v>
      </c>
      <c r="P178" s="127" t="s">
        <v>186</v>
      </c>
      <c r="Q178" s="85" t="str">
        <f t="shared" si="133"/>
        <v/>
      </c>
      <c r="R178" s="130"/>
      <c r="S178" s="128"/>
      <c r="T178" s="131"/>
      <c r="U178" s="132">
        <v>203</v>
      </c>
      <c r="V178" s="121">
        <v>218.2</v>
      </c>
      <c r="W178" s="116">
        <v>0.98</v>
      </c>
      <c r="X178" s="116">
        <v>1.66</v>
      </c>
      <c r="Y178" s="116">
        <f t="shared" si="137"/>
        <v>0.98</v>
      </c>
      <c r="Z178" s="133">
        <v>1.454</v>
      </c>
      <c r="AA178" s="133">
        <v>0.83599999999999997</v>
      </c>
      <c r="AB178" s="133">
        <v>0.72</v>
      </c>
      <c r="AC178" s="121">
        <v>34.299999999999997</v>
      </c>
      <c r="AD178" s="134">
        <v>1.17</v>
      </c>
      <c r="AE178" s="124">
        <v>139.69999999999999</v>
      </c>
      <c r="AF178" s="128">
        <v>7.72</v>
      </c>
      <c r="AG178" s="128">
        <v>1933</v>
      </c>
      <c r="AH178" s="127">
        <v>2400</v>
      </c>
      <c r="AI178" s="127">
        <v>2400</v>
      </c>
      <c r="AJ178" s="135"/>
      <c r="AK178" s="128"/>
      <c r="AL178" s="131"/>
      <c r="AM178" s="124" t="s">
        <v>232</v>
      </c>
      <c r="AN178" s="136" t="s">
        <v>891</v>
      </c>
      <c r="AO178" s="137">
        <v>54</v>
      </c>
      <c r="AP178" s="128">
        <v>1933</v>
      </c>
      <c r="AQ178" s="128">
        <v>54</v>
      </c>
      <c r="AR178" s="128"/>
      <c r="AS178" s="128"/>
      <c r="AT178" s="122"/>
      <c r="AU178" s="124" t="s">
        <v>189</v>
      </c>
      <c r="AV178" s="115">
        <f>VLOOKUP(J178,'[63]ТР нефть'!$J$28:$BP$638,39,0)</f>
        <v>499.99999218800002</v>
      </c>
      <c r="AW178" s="115" t="str">
        <f>VLOOKUP(J178,'[63]ТР нефть'!$J$28:$BP$638,40,0)</f>
        <v>ГП</v>
      </c>
      <c r="AX178" s="115">
        <f>VLOOKUP(J178,'[63]ТР нефть'!$J$28:$BP$638,41,0)</f>
        <v>899.99998593800001</v>
      </c>
      <c r="AY178" s="115" t="str">
        <f>VLOOKUP(J178,'[63]ТР нефть'!$J$28:$BP$638,42,0)</f>
        <v>ГК 81 1/8</v>
      </c>
      <c r="AZ178" s="115">
        <f>VLOOKUP(J178,'[63]ТР нефть'!$J$28:$BP$638,43,0)</f>
        <v>1260.000039844</v>
      </c>
      <c r="BA178" s="115" t="str">
        <f>VLOOKUP(J178,'[63]ТР нефть'!$J$28:$BP$638,44,0)</f>
        <v>ГК 81 1/8</v>
      </c>
      <c r="BB178" s="115">
        <f>VLOOKUP(J178,'[63]ТР нефть'!$J$28:$BP$638,45,0)</f>
        <v>1469.9999472659999</v>
      </c>
      <c r="BC178" s="115" t="str">
        <f>VLOOKUP(J178,'[63]ТР нефть'!$J$28:$BP$638,46,0)</f>
        <v>ГК 81 1/8</v>
      </c>
      <c r="BD178" s="115">
        <f>VLOOKUP(J178,'[63]ТР нефть'!$J$28:$BP$638,47,0)</f>
        <v>1694.9999437500001</v>
      </c>
      <c r="BE178" s="115" t="str">
        <f>VLOOKUP(J178,'[63]ТР нефть'!$J$28:$BP$638,48,0)</f>
        <v>ЦКсОК 5/16</v>
      </c>
      <c r="BF178" s="115" t="str">
        <f>VLOOKUP(J178,'[63]ТР нефть'!$J$28:$BP$638,49,0)</f>
        <v>-</v>
      </c>
      <c r="BG178" s="115" t="str">
        <f>VLOOKUP(J178,'[63]ТР нефть'!$J$28:$BP$638,50,0)</f>
        <v>-</v>
      </c>
      <c r="BH178" s="115">
        <f>VLOOKUP(J178,'[63]ТР нефть'!$J$28:$BP$638,51,0)</f>
        <v>1773</v>
      </c>
      <c r="BI178" s="115" t="str">
        <f>VLOOKUP(J178,'[63]ТР нефть'!$J$28:$BP$638,52,0)</f>
        <v>закрыт</v>
      </c>
      <c r="BJ178" s="115" t="str">
        <f>IF(IFERROR(VLOOKUP(J178,'[63]ТР нефть'!$J$28:$BP$638,53,0),"-")=0,"-",IFERROR(VLOOKUP(J178,'[63]ТР нефть'!$J$28:$BP$638,53,0),"-"))</f>
        <v>-</v>
      </c>
      <c r="BK178" s="138" t="str">
        <f>IF(IFERROR(VLOOKUP(J178,'[63]ТР нефть'!$J$28:$BP$638,54,0),"-")=0,"-",IFERROR(VLOOKUP(J178,'[63]ТР нефть'!$J$28:$BP$638,54,0),"-"))</f>
        <v>-</v>
      </c>
      <c r="BL178" s="138" t="str">
        <f>IF(IFERROR(VLOOKUP(J178,'[63]ТР нефть'!$J$28:$BP$638,55,0),"-")=0,"-",IFERROR(VLOOKUP(J178,'[63]ТР нефть'!$J$28:$BP$638,55,0),"-"))</f>
        <v>-</v>
      </c>
      <c r="BM178" s="138" t="str">
        <f>IF(IFERROR(VLOOKUP(J178,'[63]ТР нефть'!$J$28:$BP$638,56,0),"-")=0,"-",IFERROR(VLOOKUP(J178,'[63]ТР нефть'!$J$28:$BP$638,56,0),"-"))</f>
        <v>-</v>
      </c>
      <c r="BN178" s="138" t="str">
        <f>IF(IFERROR(VLOOKUP(J178,'[63]ТР нефть'!$J$28:$BP$638,57,0),"-")=0,"-",IFERROR(VLOOKUP(J178,'[63]ТР нефть'!$J$28:$BP$638,57,0),"-"))</f>
        <v>-</v>
      </c>
      <c r="BO178" s="115" t="str">
        <f>IF(IFERROR(VLOOKUP(J178,'[63]ТР нефть'!$J$28:$BP$638,58,0),"-")=0,"-",IFERROR(VLOOKUP(J178,'[63]ТР нефть'!$J$28:$BP$638,58,0),"-"))</f>
        <v>-</v>
      </c>
      <c r="BP178" s="115" t="str">
        <f>IF(IFERROR(VLOOKUP(J178,'[63]ТР нефть'!$J$28:$BP$638,59,0),"-")=0,"-",IFERROR(VLOOKUP(J178,'[63]ТР нефть'!$J$28:$BP$638,59,0),"-"))</f>
        <v>-</v>
      </c>
      <c r="BQ178" s="138">
        <v>2357</v>
      </c>
      <c r="BR178" s="128">
        <v>1930.13</v>
      </c>
      <c r="BS178" s="115">
        <f t="shared" si="105"/>
        <v>426.86999999999989</v>
      </c>
      <c r="BT178" s="128">
        <v>73</v>
      </c>
      <c r="BU178" s="128">
        <v>5.5</v>
      </c>
      <c r="BV178" s="127">
        <v>18</v>
      </c>
      <c r="BW178" s="127" t="s">
        <v>217</v>
      </c>
      <c r="BX178" s="127" t="s">
        <v>195</v>
      </c>
      <c r="BY178" s="139">
        <v>24</v>
      </c>
      <c r="BZ178" s="139">
        <v>0</v>
      </c>
      <c r="CA178" s="138">
        <v>24</v>
      </c>
      <c r="CB178" s="138">
        <v>36</v>
      </c>
      <c r="CC178" s="138">
        <v>23</v>
      </c>
      <c r="CD178" s="135">
        <v>45017</v>
      </c>
      <c r="CE178" s="138">
        <v>89</v>
      </c>
      <c r="CF178" s="138">
        <v>66</v>
      </c>
      <c r="CG178" s="138" t="str">
        <f t="shared" si="147"/>
        <v>В работе</v>
      </c>
      <c r="CH178" s="138" t="s">
        <v>196</v>
      </c>
      <c r="CI178" s="138">
        <v>6</v>
      </c>
      <c r="CJ178" s="139"/>
      <c r="CK178" s="139"/>
      <c r="CL178" s="99"/>
      <c r="CM178" s="99"/>
      <c r="CN178" s="140">
        <v>41</v>
      </c>
      <c r="CO178" s="159">
        <f t="shared" si="106"/>
        <v>13.710399999999998</v>
      </c>
      <c r="CP178" s="160">
        <v>16.399999999999999</v>
      </c>
      <c r="CQ178" s="161">
        <v>0</v>
      </c>
      <c r="CR178" s="138">
        <v>29</v>
      </c>
      <c r="CS178" s="139">
        <v>9</v>
      </c>
      <c r="CT178" s="138"/>
      <c r="CU178" s="138">
        <f t="shared" si="134"/>
        <v>20</v>
      </c>
      <c r="CV178" s="115">
        <f t="shared" si="135"/>
        <v>1458.746644882717</v>
      </c>
      <c r="CW178" s="115">
        <f t="shared" si="109"/>
        <v>656.43599019722262</v>
      </c>
      <c r="CX178" s="133">
        <f t="shared" si="136"/>
        <v>0.34166666666666662</v>
      </c>
      <c r="CY178" s="116"/>
      <c r="CZ178" s="131"/>
      <c r="DA178" s="145" t="str">
        <f t="shared" si="111"/>
        <v>Газлифт</v>
      </c>
      <c r="DB178" s="146">
        <f t="shared" si="112"/>
        <v>13.710399999999998</v>
      </c>
      <c r="DC178" s="142">
        <f t="shared" si="113"/>
        <v>16.399999999999999</v>
      </c>
      <c r="DD178" s="119">
        <f t="shared" si="114"/>
        <v>0</v>
      </c>
      <c r="DE178" s="115">
        <f t="shared" si="115"/>
        <v>20</v>
      </c>
      <c r="DF178" s="121">
        <f t="shared" si="116"/>
        <v>9</v>
      </c>
      <c r="DG178" s="115">
        <f t="shared" si="117"/>
        <v>1458.746644882717</v>
      </c>
      <c r="DH178" s="115">
        <f t="shared" si="118"/>
        <v>41</v>
      </c>
      <c r="DI178" s="147"/>
      <c r="DJ178" s="111" t="s">
        <v>197</v>
      </c>
      <c r="DK178" s="112">
        <v>44214</v>
      </c>
      <c r="DL178" s="113">
        <f t="shared" ca="1" si="138"/>
        <v>890</v>
      </c>
      <c r="DM178" s="114"/>
      <c r="DN178" s="114"/>
      <c r="DO178" s="114"/>
      <c r="DP178" s="114"/>
      <c r="DQ178" s="112">
        <v>41194</v>
      </c>
      <c r="DR178" s="114" t="s">
        <v>198</v>
      </c>
      <c r="DS178" s="114">
        <v>0</v>
      </c>
      <c r="DT178" s="115">
        <v>44</v>
      </c>
      <c r="DU178" s="116">
        <f t="shared" si="139"/>
        <v>0.3644444444444444</v>
      </c>
      <c r="DV178" s="117">
        <f t="shared" si="140"/>
        <v>13.710399999999998</v>
      </c>
      <c r="DW178" s="118">
        <f t="shared" si="141"/>
        <v>16.399999999999999</v>
      </c>
      <c r="DX178" s="119">
        <f t="shared" si="119"/>
        <v>0</v>
      </c>
      <c r="DY178" s="115">
        <f t="shared" si="142"/>
        <v>20</v>
      </c>
      <c r="DZ178" s="117">
        <f t="shared" si="143"/>
        <v>0</v>
      </c>
      <c r="EA178" s="120">
        <f t="shared" si="143"/>
        <v>0</v>
      </c>
      <c r="EB178" s="119">
        <f t="shared" si="143"/>
        <v>0</v>
      </c>
      <c r="EC178" s="121">
        <f t="shared" si="144"/>
        <v>0</v>
      </c>
      <c r="ED178" s="122"/>
      <c r="EE178" s="145">
        <v>18</v>
      </c>
      <c r="EF178" s="115">
        <v>24</v>
      </c>
      <c r="EG178" s="115">
        <v>36</v>
      </c>
      <c r="EH178" s="115">
        <v>23</v>
      </c>
      <c r="EI178" s="128" t="s">
        <v>195</v>
      </c>
      <c r="EJ178" s="121">
        <v>24</v>
      </c>
      <c r="EK178" s="121">
        <v>0</v>
      </c>
      <c r="EL178" s="162">
        <v>13.375999999999999</v>
      </c>
      <c r="EM178" s="142">
        <v>16</v>
      </c>
      <c r="EN178" s="119">
        <v>0</v>
      </c>
      <c r="EO178" s="115">
        <v>25.451000000000001</v>
      </c>
      <c r="EP178" s="115">
        <v>1005.6070574162679</v>
      </c>
      <c r="EQ178" s="115">
        <v>66</v>
      </c>
      <c r="ER178" s="115">
        <v>12</v>
      </c>
      <c r="ES178" s="115">
        <v>41</v>
      </c>
      <c r="ET178" s="150">
        <v>0.33333333333333331</v>
      </c>
      <c r="EU178" s="145">
        <f t="shared" si="120"/>
        <v>18</v>
      </c>
      <c r="EV178" s="115">
        <f t="shared" si="121"/>
        <v>24</v>
      </c>
      <c r="EW178" s="115">
        <f t="shared" si="121"/>
        <v>36</v>
      </c>
      <c r="EX178" s="115">
        <f t="shared" si="121"/>
        <v>23</v>
      </c>
      <c r="EY178" s="115" t="str">
        <f t="shared" si="122"/>
        <v>Постоянный</v>
      </c>
      <c r="EZ178" s="115">
        <f t="shared" si="122"/>
        <v>24</v>
      </c>
      <c r="FA178" s="115">
        <f t="shared" si="122"/>
        <v>0</v>
      </c>
      <c r="FB178" s="149">
        <f t="shared" si="123"/>
        <v>13.710399999999998</v>
      </c>
      <c r="FC178" s="142">
        <f t="shared" si="123"/>
        <v>16.399999999999999</v>
      </c>
      <c r="FD178" s="119">
        <f t="shared" si="123"/>
        <v>0</v>
      </c>
      <c r="FE178" s="121">
        <f t="shared" si="103"/>
        <v>29</v>
      </c>
      <c r="FF178" s="121">
        <f t="shared" si="145"/>
        <v>1458.746644882717</v>
      </c>
      <c r="FG178" s="121">
        <f t="shared" si="124"/>
        <v>66</v>
      </c>
      <c r="FH178" s="121">
        <f t="shared" si="146"/>
        <v>9</v>
      </c>
      <c r="FI178" s="121">
        <f t="shared" si="131"/>
        <v>41</v>
      </c>
      <c r="FJ178" s="144">
        <f t="shared" si="125"/>
        <v>0.34166666666666662</v>
      </c>
      <c r="FK178" s="132">
        <f t="shared" si="126"/>
        <v>0</v>
      </c>
      <c r="FL178" s="115">
        <f t="shared" si="126"/>
        <v>0</v>
      </c>
      <c r="FM178" s="115">
        <f t="shared" si="126"/>
        <v>0</v>
      </c>
      <c r="FN178" s="115">
        <f t="shared" si="126"/>
        <v>0</v>
      </c>
      <c r="FO178" s="115">
        <f t="shared" si="100"/>
        <v>0</v>
      </c>
      <c r="FP178" s="115">
        <f t="shared" si="100"/>
        <v>0</v>
      </c>
      <c r="FQ178" s="149">
        <f t="shared" si="100"/>
        <v>0.3343999999999987</v>
      </c>
      <c r="FR178" s="142">
        <f t="shared" si="100"/>
        <v>0.39999999999999858</v>
      </c>
      <c r="FS178" s="119">
        <f t="shared" si="100"/>
        <v>0</v>
      </c>
      <c r="FT178" s="121">
        <f t="shared" si="100"/>
        <v>3.5489999999999995</v>
      </c>
      <c r="FU178" s="121">
        <f t="shared" si="127"/>
        <v>0</v>
      </c>
      <c r="FV178" s="121">
        <f t="shared" si="127"/>
        <v>-3</v>
      </c>
      <c r="FW178" s="121">
        <f t="shared" si="128"/>
        <v>453.13958746644903</v>
      </c>
      <c r="FX178" s="121">
        <f t="shared" si="129"/>
        <v>0</v>
      </c>
      <c r="FY178" s="144">
        <f t="shared" si="129"/>
        <v>8.3333333333333037E-3</v>
      </c>
      <c r="FZ178" s="145"/>
      <c r="GA178" s="1039"/>
      <c r="GB178" s="145"/>
      <c r="GC178" s="1039"/>
      <c r="GD178" s="997" t="s">
        <v>416</v>
      </c>
      <c r="GE178" s="1004"/>
      <c r="GF178" s="1004">
        <v>0.8360000000000003</v>
      </c>
      <c r="GG178" s="1004"/>
      <c r="GH178" s="1004">
        <v>0</v>
      </c>
      <c r="GI178" s="145" t="s">
        <v>199</v>
      </c>
      <c r="GJ178" s="996">
        <v>-2.8494566760000009</v>
      </c>
      <c r="GK178" s="145"/>
      <c r="GL178" s="996">
        <v>7.757711574800001</v>
      </c>
      <c r="GM178" s="1005" t="s">
        <v>199</v>
      </c>
      <c r="GN178" s="996">
        <v>-7.3326548987999987</v>
      </c>
      <c r="GO178" s="1006"/>
      <c r="GP178" s="996">
        <v>0</v>
      </c>
      <c r="GQ178" s="1006"/>
      <c r="GR178" s="996">
        <v>0</v>
      </c>
      <c r="GS178" s="1006"/>
      <c r="GT178" s="996">
        <v>0</v>
      </c>
      <c r="GU178" s="1006"/>
      <c r="GV178" s="996">
        <v>0</v>
      </c>
      <c r="GW178" s="1006" t="s">
        <v>199</v>
      </c>
      <c r="GX178" s="1035">
        <v>2.0063999999999975</v>
      </c>
      <c r="GY178" s="1006"/>
      <c r="GZ178" s="996">
        <v>0</v>
      </c>
      <c r="HA178" s="1006" t="s">
        <v>207</v>
      </c>
      <c r="HB178" s="996">
        <v>2.7608398400000009</v>
      </c>
      <c r="HC178" s="1006" t="s">
        <v>223</v>
      </c>
      <c r="HD178" s="996">
        <v>-1.9090812400000008</v>
      </c>
      <c r="HE178" s="1006"/>
      <c r="HF178" s="996">
        <v>0</v>
      </c>
      <c r="HG178" s="1006"/>
      <c r="HH178" s="996">
        <v>-4.9424821599998836E-2</v>
      </c>
      <c r="HI178" s="1006" t="s">
        <v>223</v>
      </c>
      <c r="HJ178" s="996">
        <v>-5.0560606184000019</v>
      </c>
      <c r="HK178" s="1006" t="s">
        <v>223</v>
      </c>
      <c r="HL178" s="996">
        <v>-9.4483131599999979</v>
      </c>
      <c r="HM178" s="1006" t="s">
        <v>199</v>
      </c>
      <c r="HN178" s="996">
        <v>7.3651599999999995</v>
      </c>
      <c r="HO178" s="1006" t="s">
        <v>199</v>
      </c>
      <c r="HP178" s="996">
        <v>-5.5175999999999981</v>
      </c>
      <c r="HQ178" s="1006" t="s">
        <v>203</v>
      </c>
      <c r="HR178" s="996">
        <v>-3.6115200000000023</v>
      </c>
      <c r="HS178" s="1006"/>
      <c r="HT178" s="996">
        <v>-0.92027816320000255</v>
      </c>
      <c r="HU178" s="1006" t="s">
        <v>221</v>
      </c>
      <c r="HV178" s="996">
        <v>2.2902781632000035</v>
      </c>
      <c r="HW178" s="1006"/>
      <c r="HX178" s="996">
        <v>0</v>
      </c>
      <c r="HY178" s="1006"/>
      <c r="HZ178" s="996">
        <v>0</v>
      </c>
      <c r="IA178" s="1006"/>
      <c r="IB178" s="996">
        <v>0</v>
      </c>
      <c r="IC178" s="1006"/>
      <c r="ID178" s="996">
        <v>0</v>
      </c>
      <c r="IE178" s="1006"/>
      <c r="IF178" s="996">
        <v>0</v>
      </c>
      <c r="IG178" s="1006" t="s">
        <v>221</v>
      </c>
      <c r="IH178" s="996">
        <v>-3.5846360000000006</v>
      </c>
      <c r="II178" s="1006"/>
      <c r="IJ178" s="996">
        <v>0</v>
      </c>
      <c r="IK178" s="1006"/>
      <c r="IL178" s="996">
        <v>-13.3706496</v>
      </c>
      <c r="IM178" s="1006"/>
      <c r="IN178" s="996">
        <v>0</v>
      </c>
      <c r="IO178" s="1006"/>
      <c r="IP178" s="996">
        <v>0</v>
      </c>
      <c r="IQ178" s="1006"/>
      <c r="IR178" s="996">
        <v>0</v>
      </c>
      <c r="IS178" s="1006"/>
      <c r="IT178" s="996">
        <v>0</v>
      </c>
      <c r="IU178" s="1006"/>
      <c r="IV178" s="996">
        <v>0</v>
      </c>
      <c r="IW178" s="1006"/>
      <c r="IX178" s="996">
        <v>0</v>
      </c>
      <c r="IY178" s="1006"/>
      <c r="IZ178" s="996">
        <v>0</v>
      </c>
      <c r="JA178" s="1006"/>
      <c r="JB178" s="996">
        <v>0</v>
      </c>
      <c r="JC178" s="1006"/>
      <c r="JD178" s="996">
        <v>0</v>
      </c>
      <c r="JE178" s="1006"/>
      <c r="JF178" s="996">
        <v>0</v>
      </c>
      <c r="JG178" s="1006"/>
      <c r="JH178" s="996">
        <v>0</v>
      </c>
      <c r="JI178" s="1006"/>
      <c r="JJ178" s="996">
        <v>0</v>
      </c>
      <c r="JK178" s="1007"/>
      <c r="JL178" s="1007">
        <v>0</v>
      </c>
      <c r="JM178" s="1007"/>
      <c r="JN178" s="1007">
        <v>0</v>
      </c>
      <c r="JO178" s="1008"/>
      <c r="JP178" s="1007">
        <v>0</v>
      </c>
      <c r="JQ178" s="1008">
        <v>0</v>
      </c>
      <c r="JR178" s="1007">
        <v>-5.3503999999993113E-3</v>
      </c>
      <c r="JS178" s="1008" t="s">
        <v>204</v>
      </c>
      <c r="JT178" s="1007">
        <v>2.9260000000000002</v>
      </c>
      <c r="JU178" s="1008" t="s">
        <v>204</v>
      </c>
      <c r="JV178" s="1007">
        <v>-4.7652000000000001</v>
      </c>
      <c r="JW178" s="1008" t="s">
        <v>197</v>
      </c>
      <c r="JX178" s="1007">
        <v>0</v>
      </c>
      <c r="JY178" s="1008"/>
      <c r="JZ178" s="1007">
        <v>0</v>
      </c>
      <c r="KA178" s="1008"/>
      <c r="KB178" s="1007">
        <v>0</v>
      </c>
      <c r="KC178" s="1008"/>
      <c r="KD178" s="1007">
        <v>0</v>
      </c>
      <c r="KE178" s="1008"/>
      <c r="KF178" s="1007">
        <v>0</v>
      </c>
      <c r="KG178" s="1008"/>
      <c r="KH178" s="1007">
        <v>0</v>
      </c>
      <c r="KI178" s="1008"/>
      <c r="KJ178" s="1007">
        <v>0</v>
      </c>
      <c r="KK178" s="1008"/>
      <c r="KL178" s="1007">
        <v>0</v>
      </c>
      <c r="KM178" s="1008"/>
      <c r="KN178" s="1007">
        <v>0</v>
      </c>
      <c r="KO178" s="1008" t="s">
        <v>206</v>
      </c>
      <c r="KP178" s="1007">
        <v>1.0031999999999996</v>
      </c>
      <c r="KQ178" s="1008">
        <v>0</v>
      </c>
      <c r="KR178" s="1007">
        <v>0</v>
      </c>
      <c r="KS178" s="1008">
        <v>0</v>
      </c>
      <c r="KT178" s="1007">
        <v>0</v>
      </c>
      <c r="KU178" s="1008">
        <v>0</v>
      </c>
      <c r="KV178" s="1007">
        <v>0</v>
      </c>
      <c r="KW178" s="1008" t="s">
        <v>206</v>
      </c>
      <c r="KX178" s="1007">
        <v>4.18</v>
      </c>
      <c r="KY178" s="1008" t="s">
        <v>206</v>
      </c>
      <c r="KZ178" s="1007">
        <v>-2.5079999999999991</v>
      </c>
      <c r="LA178" s="1008">
        <v>0</v>
      </c>
      <c r="LB178" s="1007">
        <v>0</v>
      </c>
      <c r="LC178" s="1008" t="s">
        <v>204</v>
      </c>
      <c r="LD178" s="1007">
        <v>3.2896599999999996</v>
      </c>
      <c r="LE178" s="1008">
        <v>0</v>
      </c>
      <c r="LF178" s="1007">
        <v>0</v>
      </c>
      <c r="LG178" s="1008">
        <v>0</v>
      </c>
      <c r="LH178" s="1007">
        <v>-9.6438600000000001</v>
      </c>
      <c r="LI178" s="1008">
        <v>0</v>
      </c>
      <c r="LJ178" s="1007">
        <v>0</v>
      </c>
      <c r="LK178" s="1008">
        <v>0</v>
      </c>
      <c r="LL178" s="1007">
        <v>0</v>
      </c>
      <c r="LM178" s="1008">
        <v>0</v>
      </c>
      <c r="LN178" s="1007">
        <v>0</v>
      </c>
      <c r="LO178" s="1008">
        <v>0</v>
      </c>
      <c r="LP178" s="1007">
        <v>-4.8439512000000011</v>
      </c>
      <c r="LQ178" s="1008">
        <v>0</v>
      </c>
      <c r="LR178" s="1007">
        <v>0</v>
      </c>
      <c r="LS178" s="1008">
        <v>0</v>
      </c>
      <c r="LT178" s="1007">
        <v>0</v>
      </c>
      <c r="LU178" s="1008">
        <v>0</v>
      </c>
      <c r="LV178" s="1007">
        <v>0</v>
      </c>
      <c r="LW178" s="1008">
        <v>0</v>
      </c>
      <c r="LX178" s="1007">
        <v>1.9287719999999999</v>
      </c>
      <c r="LY178" s="1009" t="s">
        <v>206</v>
      </c>
      <c r="LZ178" s="1010">
        <v>-2.1714263999999996</v>
      </c>
      <c r="MA178" s="1011">
        <v>0</v>
      </c>
      <c r="MB178" s="1012">
        <v>0.83516399999998803</v>
      </c>
      <c r="MC178" s="995"/>
      <c r="MD178" s="996"/>
      <c r="ME178" s="997" t="s">
        <v>416</v>
      </c>
      <c r="MF178" s="997"/>
      <c r="MG178" s="998"/>
      <c r="NR178" s="1000"/>
      <c r="NS178" s="1000"/>
      <c r="NT178" s="1001"/>
      <c r="NU178" s="1000"/>
      <c r="NV178" s="1001"/>
      <c r="NX178" s="1002"/>
      <c r="NZ178" s="1001"/>
      <c r="OA178" s="1001"/>
      <c r="OC178" s="1003"/>
      <c r="OD178" s="1003"/>
      <c r="OE178" s="1001"/>
      <c r="OF178" s="1003"/>
      <c r="OG178" s="1003"/>
      <c r="QX178" s="1000">
        <f>CN178-CA178</f>
        <v>17</v>
      </c>
      <c r="ASU178" s="999" t="s">
        <v>208</v>
      </c>
    </row>
    <row r="179" spans="1:466 1191:1191" s="1023" customFormat="1" ht="21" customHeight="1" x14ac:dyDescent="0.25">
      <c r="A179" s="1017" t="str">
        <f t="shared" si="104"/>
        <v>1077-2</v>
      </c>
      <c r="B179" s="124">
        <f>SUBTOTAL(103,$J$29:J179)</f>
        <v>151</v>
      </c>
      <c r="C179" s="126">
        <v>45068</v>
      </c>
      <c r="D179" s="124" t="s">
        <v>176</v>
      </c>
      <c r="E179" s="127" t="s">
        <v>177</v>
      </c>
      <c r="F179" s="127" t="s">
        <v>177</v>
      </c>
      <c r="G179" s="127" t="s">
        <v>178</v>
      </c>
      <c r="H179" s="127" t="s">
        <v>408</v>
      </c>
      <c r="I179" s="127" t="s">
        <v>888</v>
      </c>
      <c r="J179" s="129" t="s">
        <v>892</v>
      </c>
      <c r="K179" s="127" t="s">
        <v>890</v>
      </c>
      <c r="L179" s="130">
        <v>39583</v>
      </c>
      <c r="M179" s="127" t="s">
        <v>230</v>
      </c>
      <c r="N179" s="127" t="s">
        <v>231</v>
      </c>
      <c r="O179" s="127" t="s">
        <v>185</v>
      </c>
      <c r="P179" s="127" t="s">
        <v>186</v>
      </c>
      <c r="Q179" s="85" t="str">
        <f t="shared" si="133"/>
        <v/>
      </c>
      <c r="R179" s="130"/>
      <c r="S179" s="127" t="s">
        <v>156</v>
      </c>
      <c r="T179" s="136"/>
      <c r="U179" s="169">
        <v>203</v>
      </c>
      <c r="V179" s="139">
        <v>218.2</v>
      </c>
      <c r="W179" s="165">
        <v>0.98</v>
      </c>
      <c r="X179" s="165">
        <v>1.66</v>
      </c>
      <c r="Y179" s="165">
        <f t="shared" si="137"/>
        <v>0.98</v>
      </c>
      <c r="Z179" s="164">
        <v>1.454</v>
      </c>
      <c r="AA179" s="164">
        <v>0.83599999999999997</v>
      </c>
      <c r="AB179" s="164">
        <v>0.72</v>
      </c>
      <c r="AC179" s="139">
        <v>34.299999999999997</v>
      </c>
      <c r="AD179" s="193">
        <v>1.17</v>
      </c>
      <c r="AE179" s="124">
        <v>139.69999999999999</v>
      </c>
      <c r="AF179" s="127">
        <v>7.72</v>
      </c>
      <c r="AG179" s="127">
        <v>1966</v>
      </c>
      <c r="AH179" s="127">
        <v>2500</v>
      </c>
      <c r="AI179" s="127">
        <v>2500</v>
      </c>
      <c r="AJ179" s="130"/>
      <c r="AK179" s="127"/>
      <c r="AL179" s="136"/>
      <c r="AM179" s="124" t="s">
        <v>232</v>
      </c>
      <c r="AN179" s="136" t="s">
        <v>853</v>
      </c>
      <c r="AO179" s="194">
        <v>55.71</v>
      </c>
      <c r="AP179" s="127">
        <v>1966</v>
      </c>
      <c r="AQ179" s="127">
        <v>86.5</v>
      </c>
      <c r="AR179" s="127"/>
      <c r="AS179" s="127"/>
      <c r="AT179" s="155"/>
      <c r="AU179" s="124" t="s">
        <v>189</v>
      </c>
      <c r="AV179" s="138">
        <f>VLOOKUP(J179,'[63]ТР нефть'!$J$28:$BP$638,39,0)</f>
        <v>602.000017383</v>
      </c>
      <c r="AW179" s="138" t="str">
        <f>VLOOKUP(J179,'[63]ТР нефть'!$J$28:$BP$638,40,0)</f>
        <v>ГП</v>
      </c>
      <c r="AX179" s="138">
        <f>VLOOKUP(J179,'[63]ТР нефть'!$J$28:$BP$638,41,0)</f>
        <v>1196.000002148</v>
      </c>
      <c r="AY179" s="138" t="str">
        <f>VLOOKUP(J179,'[63]ТР нефть'!$J$28:$BP$638,42,0)</f>
        <v>ГК 83 1/8</v>
      </c>
      <c r="AZ179" s="138">
        <f>VLOOKUP(J179,'[63]ТР нефть'!$J$28:$BP$638,43,0)</f>
        <v>1742.0000144529999</v>
      </c>
      <c r="BA179" s="138" t="str">
        <f>VLOOKUP(J179,'[63]ТР нефть'!$J$28:$BP$638,44,0)</f>
        <v>ЦКсОК 5/16</v>
      </c>
      <c r="BB179" s="138" t="str">
        <f>VLOOKUP(J179,'[63]ТР нефть'!$J$28:$BP$638,45,0)</f>
        <v>-</v>
      </c>
      <c r="BC179" s="138" t="str">
        <f>VLOOKUP(J179,'[63]ТР нефть'!$J$28:$BP$638,46,0)</f>
        <v>-</v>
      </c>
      <c r="BD179" s="138" t="str">
        <f>VLOOKUP(J179,'[63]ТР нефть'!$J$28:$BP$638,47,0)</f>
        <v>-</v>
      </c>
      <c r="BE179" s="138" t="str">
        <f>VLOOKUP(J179,'[63]ТР нефть'!$J$28:$BP$638,48,0)</f>
        <v>-</v>
      </c>
      <c r="BF179" s="138" t="str">
        <f>VLOOKUP(J179,'[63]ТР нефть'!$J$28:$BP$638,49,0)</f>
        <v>-</v>
      </c>
      <c r="BG179" s="138" t="str">
        <f>VLOOKUP(J179,'[63]ТР нефть'!$J$28:$BP$638,50,0)</f>
        <v>-</v>
      </c>
      <c r="BH179" s="138">
        <f>VLOOKUP(J179,'[63]ТР нефть'!$J$28:$BP$638,51,0)</f>
        <v>1753</v>
      </c>
      <c r="BI179" s="138" t="str">
        <f>VLOOKUP(J179,'[63]ТР нефть'!$J$28:$BP$638,52,0)</f>
        <v>закрыт</v>
      </c>
      <c r="BJ179" s="138" t="str">
        <f>IF(IFERROR(VLOOKUP(J179,'[63]ТР нефть'!$J$28:$BP$638,53,0),"-")=0,"-",IFERROR(VLOOKUP(J179,'[63]ТР нефть'!$J$28:$BP$638,53,0),"-"))</f>
        <v>-</v>
      </c>
      <c r="BK179" s="138" t="str">
        <f>IF(IFERROR(VLOOKUP(J179,'[63]ТР нефть'!$J$28:$BP$638,54,0),"-")=0,"-",IFERROR(VLOOKUP(J179,'[63]ТР нефть'!$J$28:$BP$638,54,0),"-"))</f>
        <v>-</v>
      </c>
      <c r="BL179" s="138" t="str">
        <f>IF(IFERROR(VLOOKUP(J179,'[63]ТР нефть'!$J$28:$BP$638,55,0),"-")=0,"-",IFERROR(VLOOKUP(J179,'[63]ТР нефть'!$J$28:$BP$638,55,0),"-"))</f>
        <v>-</v>
      </c>
      <c r="BM179" s="138" t="str">
        <f>IF(IFERROR(VLOOKUP(J179,'[63]ТР нефть'!$J$28:$BP$638,56,0),"-")=0,"-",IFERROR(VLOOKUP(J179,'[63]ТР нефть'!$J$28:$BP$638,56,0),"-"))</f>
        <v>-</v>
      </c>
      <c r="BN179" s="138" t="str">
        <f>IF(IFERROR(VLOOKUP(J179,'[63]ТР нефть'!$J$28:$BP$638,57,0),"-")=0,"-",IFERROR(VLOOKUP(J179,'[63]ТР нефть'!$J$28:$BP$638,57,0),"-"))</f>
        <v>-</v>
      </c>
      <c r="BO179" s="138" t="str">
        <f>IF(IFERROR(VLOOKUP(J179,'[63]ТР нефть'!$J$28:$BP$638,58,0),"-")=0,"-",IFERROR(VLOOKUP(J179,'[63]ТР нефть'!$J$28:$BP$638,58,0),"-"))</f>
        <v>-</v>
      </c>
      <c r="BP179" s="138" t="str">
        <f>IF(IFERROR(VLOOKUP(J179,'[63]ТР нефть'!$J$28:$BP$638,59,0),"-")=0,"-",IFERROR(VLOOKUP(J179,'[63]ТР нефть'!$J$28:$BP$638,59,0),"-"))</f>
        <v>-</v>
      </c>
      <c r="BQ179" s="138">
        <v>1970</v>
      </c>
      <c r="BR179" s="127">
        <v>1880.31</v>
      </c>
      <c r="BS179" s="138">
        <f t="shared" si="105"/>
        <v>89.690000000000055</v>
      </c>
      <c r="BT179" s="127">
        <v>73</v>
      </c>
      <c r="BU179" s="127">
        <v>5.5</v>
      </c>
      <c r="BV179" s="127">
        <v>18</v>
      </c>
      <c r="BW179" s="127" t="s">
        <v>217</v>
      </c>
      <c r="BX179" s="127" t="s">
        <v>195</v>
      </c>
      <c r="BY179" s="139">
        <v>24</v>
      </c>
      <c r="BZ179" s="139">
        <v>0</v>
      </c>
      <c r="CA179" s="138">
        <v>24</v>
      </c>
      <c r="CB179" s="138">
        <v>38</v>
      </c>
      <c r="CC179" s="138">
        <v>23</v>
      </c>
      <c r="CD179" s="130">
        <v>45017</v>
      </c>
      <c r="CE179" s="138">
        <v>89</v>
      </c>
      <c r="CF179" s="138">
        <v>66</v>
      </c>
      <c r="CG179" s="138" t="str">
        <f t="shared" si="147"/>
        <v>В работе</v>
      </c>
      <c r="CH179" s="138" t="s">
        <v>196</v>
      </c>
      <c r="CI179" s="127">
        <v>6</v>
      </c>
      <c r="CJ179" s="138"/>
      <c r="CK179" s="138"/>
      <c r="CL179" s="99"/>
      <c r="CM179" s="99"/>
      <c r="CN179" s="140">
        <v>39</v>
      </c>
      <c r="CO179" s="159">
        <f t="shared" si="106"/>
        <v>7.8583999999999996</v>
      </c>
      <c r="CP179" s="160">
        <v>9.4</v>
      </c>
      <c r="CQ179" s="161">
        <v>0</v>
      </c>
      <c r="CR179" s="138">
        <v>21</v>
      </c>
      <c r="CS179" s="139">
        <v>9.6</v>
      </c>
      <c r="CT179" s="138"/>
      <c r="CU179" s="138">
        <f t="shared" si="134"/>
        <v>11.4</v>
      </c>
      <c r="CV179" s="138">
        <f t="shared" si="135"/>
        <v>1450.6769825918764</v>
      </c>
      <c r="CW179" s="138">
        <f t="shared" si="109"/>
        <v>1221.6227221826325</v>
      </c>
      <c r="CX179" s="164">
        <f t="shared" si="136"/>
        <v>0.188</v>
      </c>
      <c r="CY179" s="165"/>
      <c r="CZ179" s="136"/>
      <c r="DA179" s="124" t="str">
        <f t="shared" si="111"/>
        <v>Газлифт</v>
      </c>
      <c r="DB179" s="166">
        <f t="shared" si="112"/>
        <v>7.8583999999999996</v>
      </c>
      <c r="DC179" s="138">
        <f t="shared" si="113"/>
        <v>9.4</v>
      </c>
      <c r="DD179" s="138">
        <f t="shared" si="114"/>
        <v>0</v>
      </c>
      <c r="DE179" s="138">
        <f t="shared" si="115"/>
        <v>11.4</v>
      </c>
      <c r="DF179" s="139">
        <f t="shared" si="116"/>
        <v>9.6</v>
      </c>
      <c r="DG179" s="138">
        <f t="shared" si="117"/>
        <v>1450.6769825918764</v>
      </c>
      <c r="DH179" s="138">
        <f t="shared" si="118"/>
        <v>39</v>
      </c>
      <c r="DI179" s="167"/>
      <c r="DJ179" s="195" t="s">
        <v>197</v>
      </c>
      <c r="DK179" s="196">
        <v>44214.083333333336</v>
      </c>
      <c r="DL179" s="197">
        <f t="shared" ca="1" si="138"/>
        <v>889.91666666666424</v>
      </c>
      <c r="DM179" s="198"/>
      <c r="DN179" s="198"/>
      <c r="DO179" s="198"/>
      <c r="DP179" s="198"/>
      <c r="DQ179" s="196">
        <v>41408</v>
      </c>
      <c r="DR179" s="198" t="s">
        <v>198</v>
      </c>
      <c r="DS179" s="198"/>
      <c r="DT179" s="138">
        <v>43</v>
      </c>
      <c r="DU179" s="165">
        <f t="shared" si="139"/>
        <v>0.20434782608695654</v>
      </c>
      <c r="DV179" s="139">
        <f t="shared" si="140"/>
        <v>7.8583999999999996</v>
      </c>
      <c r="DW179" s="138">
        <f t="shared" si="141"/>
        <v>9.4</v>
      </c>
      <c r="DX179" s="138">
        <f t="shared" si="119"/>
        <v>0</v>
      </c>
      <c r="DY179" s="138">
        <f t="shared" si="142"/>
        <v>11.4</v>
      </c>
      <c r="DZ179" s="139">
        <f t="shared" si="143"/>
        <v>0</v>
      </c>
      <c r="EA179" s="139">
        <f t="shared" si="143"/>
        <v>0</v>
      </c>
      <c r="EB179" s="138">
        <f t="shared" si="143"/>
        <v>0</v>
      </c>
      <c r="EC179" s="139">
        <f t="shared" si="144"/>
        <v>0</v>
      </c>
      <c r="ED179" s="155"/>
      <c r="EE179" s="124">
        <v>18</v>
      </c>
      <c r="EF179" s="138">
        <v>24</v>
      </c>
      <c r="EG179" s="138">
        <v>38</v>
      </c>
      <c r="EH179" s="138">
        <v>23</v>
      </c>
      <c r="EI179" s="127" t="s">
        <v>195</v>
      </c>
      <c r="EJ179" s="139">
        <v>24</v>
      </c>
      <c r="EK179" s="139">
        <v>0</v>
      </c>
      <c r="EL179" s="176">
        <v>7.8583999999999996</v>
      </c>
      <c r="EM179" s="138">
        <v>9.4</v>
      </c>
      <c r="EN179" s="138">
        <v>0</v>
      </c>
      <c r="EO179" s="138">
        <v>21</v>
      </c>
      <c r="EP179" s="138">
        <v>1450.6769825918764</v>
      </c>
      <c r="EQ179" s="138">
        <v>65</v>
      </c>
      <c r="ER179" s="138">
        <v>9.6</v>
      </c>
      <c r="ES179" s="138">
        <v>45</v>
      </c>
      <c r="ET179" s="154">
        <v>0.19583333333333333</v>
      </c>
      <c r="EU179" s="124">
        <f t="shared" si="120"/>
        <v>18</v>
      </c>
      <c r="EV179" s="138">
        <f t="shared" si="121"/>
        <v>24</v>
      </c>
      <c r="EW179" s="138">
        <f t="shared" si="121"/>
        <v>38</v>
      </c>
      <c r="EX179" s="138">
        <f t="shared" si="121"/>
        <v>23</v>
      </c>
      <c r="EY179" s="138" t="str">
        <f t="shared" si="122"/>
        <v>Постоянный</v>
      </c>
      <c r="EZ179" s="138">
        <f t="shared" si="122"/>
        <v>24</v>
      </c>
      <c r="FA179" s="138">
        <f t="shared" si="122"/>
        <v>0</v>
      </c>
      <c r="FB179" s="139">
        <f t="shared" si="123"/>
        <v>7.8583999999999996</v>
      </c>
      <c r="FC179" s="138">
        <f t="shared" si="123"/>
        <v>9.4</v>
      </c>
      <c r="FD179" s="138">
        <f t="shared" si="123"/>
        <v>0</v>
      </c>
      <c r="FE179" s="139">
        <f t="shared" si="103"/>
        <v>21</v>
      </c>
      <c r="FF179" s="139">
        <f t="shared" si="145"/>
        <v>1450.6769825918764</v>
      </c>
      <c r="FG179" s="139">
        <f t="shared" si="124"/>
        <v>66</v>
      </c>
      <c r="FH179" s="139">
        <f t="shared" si="146"/>
        <v>9.6</v>
      </c>
      <c r="FI179" s="139">
        <v>45</v>
      </c>
      <c r="FJ179" s="168">
        <f t="shared" si="125"/>
        <v>0.188</v>
      </c>
      <c r="FK179" s="169">
        <f t="shared" si="126"/>
        <v>0</v>
      </c>
      <c r="FL179" s="138">
        <f t="shared" si="126"/>
        <v>0</v>
      </c>
      <c r="FM179" s="138">
        <f t="shared" si="126"/>
        <v>0</v>
      </c>
      <c r="FN179" s="138">
        <f t="shared" si="126"/>
        <v>0</v>
      </c>
      <c r="FO179" s="138">
        <f t="shared" si="100"/>
        <v>0</v>
      </c>
      <c r="FP179" s="138">
        <f t="shared" si="100"/>
        <v>0</v>
      </c>
      <c r="FQ179" s="149">
        <f t="shared" si="100"/>
        <v>0</v>
      </c>
      <c r="FR179" s="142">
        <f t="shared" ref="FR179:FT242" si="148">FC179-EM179</f>
        <v>0</v>
      </c>
      <c r="FS179" s="119">
        <f t="shared" si="148"/>
        <v>0</v>
      </c>
      <c r="FT179" s="139">
        <f t="shared" si="148"/>
        <v>0</v>
      </c>
      <c r="FU179" s="139">
        <f t="shared" si="127"/>
        <v>1</v>
      </c>
      <c r="FV179" s="139">
        <f t="shared" si="127"/>
        <v>0</v>
      </c>
      <c r="FW179" s="139">
        <f t="shared" si="128"/>
        <v>0</v>
      </c>
      <c r="FX179" s="139">
        <f t="shared" ref="FX179:FX186" si="149">CN179-ES179</f>
        <v>-6</v>
      </c>
      <c r="FY179" s="168">
        <f t="shared" si="129"/>
        <v>-7.833333333333331E-3</v>
      </c>
      <c r="FZ179" s="124"/>
      <c r="GA179" s="1040"/>
      <c r="GB179" s="124" t="s">
        <v>204</v>
      </c>
      <c r="GC179" s="1040" t="s">
        <v>219</v>
      </c>
      <c r="GD179" s="1018" t="s">
        <v>416</v>
      </c>
      <c r="GE179" s="1019" t="s">
        <v>204</v>
      </c>
      <c r="GF179" s="1019">
        <v>0</v>
      </c>
      <c r="GG179" s="1019"/>
      <c r="GH179" s="1019">
        <v>0</v>
      </c>
      <c r="GI179" s="124"/>
      <c r="GJ179" s="1015">
        <v>0</v>
      </c>
      <c r="GK179" s="124" t="s">
        <v>223</v>
      </c>
      <c r="GL179" s="1015">
        <v>-4.0964000000000009</v>
      </c>
      <c r="GM179" s="1013"/>
      <c r="GN179" s="1015">
        <v>0</v>
      </c>
      <c r="GO179" s="1014"/>
      <c r="GP179" s="1015">
        <v>0.47819200000000173</v>
      </c>
      <c r="GQ179" s="1014"/>
      <c r="GR179" s="1015">
        <v>-0.20415120000000009</v>
      </c>
      <c r="GS179" s="1014"/>
      <c r="GT179" s="1015">
        <v>0</v>
      </c>
      <c r="GU179" s="1014" t="s">
        <v>342</v>
      </c>
      <c r="GV179" s="1015">
        <v>5.8287591999999995</v>
      </c>
      <c r="GW179" s="1014" t="s">
        <v>199</v>
      </c>
      <c r="GX179" s="1020">
        <v>1.9227999999999996</v>
      </c>
      <c r="GY179" s="1014"/>
      <c r="GZ179" s="1015">
        <v>0</v>
      </c>
      <c r="HA179" s="1014"/>
      <c r="HB179" s="1015">
        <v>-0.38283449600000008</v>
      </c>
      <c r="HC179" s="1014"/>
      <c r="HD179" s="1015">
        <v>-0.53676550399999989</v>
      </c>
      <c r="HE179" s="1014" t="s">
        <v>204</v>
      </c>
      <c r="HF179" s="1015">
        <v>1.6218400000000002</v>
      </c>
      <c r="HG179" s="1014"/>
      <c r="HH179" s="1015">
        <v>0</v>
      </c>
      <c r="HI179" s="1014" t="s">
        <v>204</v>
      </c>
      <c r="HJ179" s="1015">
        <v>-3.7452799999999997</v>
      </c>
      <c r="HK179" s="1014"/>
      <c r="HL179" s="1015">
        <v>0</v>
      </c>
      <c r="HM179" s="1014" t="s">
        <v>199</v>
      </c>
      <c r="HN179" s="1015">
        <v>1.9227999999999996</v>
      </c>
      <c r="HO179" s="1014" t="s">
        <v>199</v>
      </c>
      <c r="HP179" s="1015">
        <v>-1.4462799999999998</v>
      </c>
      <c r="HQ179" s="1014"/>
      <c r="HR179" s="1015">
        <v>-0.94468000000000085</v>
      </c>
      <c r="HS179" s="1014"/>
      <c r="HT179" s="1015">
        <v>-0.25354208000000078</v>
      </c>
      <c r="HU179" s="1014" t="s">
        <v>204</v>
      </c>
      <c r="HV179" s="1015">
        <v>1.0586100800000011</v>
      </c>
      <c r="HW179" s="1014"/>
      <c r="HX179" s="1015">
        <v>0</v>
      </c>
      <c r="HY179" s="1014" t="s">
        <v>203</v>
      </c>
      <c r="HZ179" s="1015">
        <v>-6.7920184639999981</v>
      </c>
      <c r="IA179" s="1014" t="s">
        <v>146</v>
      </c>
      <c r="IB179" s="1015">
        <v>2.6542531839999981</v>
      </c>
      <c r="IC179" s="1014"/>
      <c r="ID179" s="1015">
        <v>0</v>
      </c>
      <c r="IE179" s="1014"/>
      <c r="IF179" s="1015">
        <v>0</v>
      </c>
      <c r="IG179" s="1014" t="s">
        <v>25</v>
      </c>
      <c r="IH179" s="1015">
        <v>4.7870028800000002</v>
      </c>
      <c r="II179" s="1014"/>
      <c r="IJ179" s="1015">
        <v>0</v>
      </c>
      <c r="IK179" s="1014"/>
      <c r="IL179" s="1015">
        <v>0</v>
      </c>
      <c r="IM179" s="1014" t="s">
        <v>199</v>
      </c>
      <c r="IN179" s="1015">
        <v>-3.5902856000000005</v>
      </c>
      <c r="IO179" s="1014" t="s">
        <v>204</v>
      </c>
      <c r="IP179" s="1015">
        <v>-1.9892319040000004</v>
      </c>
      <c r="IQ179" s="1014"/>
      <c r="IR179" s="1015">
        <v>0</v>
      </c>
      <c r="IS179" s="1014"/>
      <c r="IT179" s="1015">
        <v>0.78552566400000146</v>
      </c>
      <c r="IU179" s="1014"/>
      <c r="IV179" s="1015">
        <v>0.75209903999999916</v>
      </c>
      <c r="IW179" s="1014"/>
      <c r="IX179" s="1015">
        <v>0</v>
      </c>
      <c r="IY179" s="1014"/>
      <c r="IZ179" s="1015">
        <v>0</v>
      </c>
      <c r="JA179" s="1014"/>
      <c r="JB179" s="1015">
        <v>0</v>
      </c>
      <c r="JC179" s="1014"/>
      <c r="JD179" s="1015">
        <v>0</v>
      </c>
      <c r="JE179" s="1014"/>
      <c r="JF179" s="1015">
        <v>0</v>
      </c>
      <c r="JG179" s="1014"/>
      <c r="JH179" s="1015">
        <v>0</v>
      </c>
      <c r="JI179" s="1014"/>
      <c r="JJ179" s="1015">
        <v>0</v>
      </c>
      <c r="JK179" s="1020"/>
      <c r="JL179" s="1020">
        <v>0</v>
      </c>
      <c r="JM179" s="1020"/>
      <c r="JN179" s="1020">
        <v>0</v>
      </c>
      <c r="JO179" s="1021"/>
      <c r="JP179" s="1020">
        <v>0</v>
      </c>
      <c r="JQ179" s="1021">
        <v>0</v>
      </c>
      <c r="JR179" s="1020">
        <v>0</v>
      </c>
      <c r="JS179" s="1021">
        <v>0</v>
      </c>
      <c r="JT179" s="1020">
        <v>0</v>
      </c>
      <c r="JU179" s="1021" t="s">
        <v>204</v>
      </c>
      <c r="JV179" s="1020">
        <v>-6.6853247999999983</v>
      </c>
      <c r="JW179" s="1021" t="s">
        <v>197</v>
      </c>
      <c r="JX179" s="1020">
        <v>0</v>
      </c>
      <c r="JY179" s="1021" t="s">
        <v>199</v>
      </c>
      <c r="JZ179" s="1020">
        <v>7.5209903999999987</v>
      </c>
      <c r="KA179" s="1021" t="s">
        <v>206</v>
      </c>
      <c r="KB179" s="1020">
        <v>-3.7604951999999994</v>
      </c>
      <c r="KC179" s="1021"/>
      <c r="KD179" s="1020">
        <v>0</v>
      </c>
      <c r="KE179" s="1021" t="s">
        <v>199</v>
      </c>
      <c r="KF179" s="1020">
        <v>9.8608540799999993</v>
      </c>
      <c r="KG179" s="1021"/>
      <c r="KH179" s="1020">
        <v>0</v>
      </c>
      <c r="KI179" s="1021" t="s">
        <v>207</v>
      </c>
      <c r="KJ179" s="1020">
        <v>-9.8608540799999993</v>
      </c>
      <c r="KK179" s="1021"/>
      <c r="KL179" s="1020">
        <v>0</v>
      </c>
      <c r="KM179" s="1021" t="s">
        <v>206</v>
      </c>
      <c r="KN179" s="1020">
        <v>1.2534983999999998</v>
      </c>
      <c r="KO179" s="1021"/>
      <c r="KP179" s="1020">
        <v>0</v>
      </c>
      <c r="KQ179" s="1021">
        <v>0</v>
      </c>
      <c r="KR179" s="1020">
        <v>0</v>
      </c>
      <c r="KS179" s="1021" t="s">
        <v>204</v>
      </c>
      <c r="KT179" s="1020">
        <v>0.25069967999999854</v>
      </c>
      <c r="KU179" s="1021" t="s">
        <v>206</v>
      </c>
      <c r="KV179" s="1020">
        <v>-1.6713311999999991</v>
      </c>
      <c r="KW179" s="1021">
        <v>0</v>
      </c>
      <c r="KX179" s="1020">
        <v>0</v>
      </c>
      <c r="KY179" s="1021">
        <v>0</v>
      </c>
      <c r="KZ179" s="1020">
        <v>0</v>
      </c>
      <c r="LA179" s="1021">
        <v>0</v>
      </c>
      <c r="LB179" s="1020">
        <v>0</v>
      </c>
      <c r="LC179" s="1021">
        <v>0</v>
      </c>
      <c r="LD179" s="1020">
        <v>0</v>
      </c>
      <c r="LE179" s="1021">
        <v>0</v>
      </c>
      <c r="LF179" s="1020">
        <v>0</v>
      </c>
      <c r="LG179" s="1021">
        <v>0</v>
      </c>
      <c r="LH179" s="1020">
        <v>0</v>
      </c>
      <c r="LI179" s="1021">
        <v>0</v>
      </c>
      <c r="LJ179" s="1020">
        <v>0</v>
      </c>
      <c r="LK179" s="1021" t="s">
        <v>555</v>
      </c>
      <c r="LL179" s="1020">
        <v>0.58496592000000003</v>
      </c>
      <c r="LM179" s="1021">
        <v>0</v>
      </c>
      <c r="LN179" s="1020">
        <v>0</v>
      </c>
      <c r="LO179" s="1021">
        <v>0</v>
      </c>
      <c r="LP179" s="1020">
        <v>0</v>
      </c>
      <c r="LQ179" s="1021" t="s">
        <v>206</v>
      </c>
      <c r="LR179" s="1020">
        <v>-1.6713312000000009</v>
      </c>
      <c r="LS179" s="1021" t="s">
        <v>240</v>
      </c>
      <c r="LT179" s="1020">
        <v>2.9248296000000007</v>
      </c>
      <c r="LU179" s="1021">
        <v>0</v>
      </c>
      <c r="LV179" s="1020">
        <v>0</v>
      </c>
      <c r="LW179" s="1021">
        <v>0</v>
      </c>
      <c r="LX179" s="1020">
        <v>0</v>
      </c>
      <c r="LY179" s="1009">
        <v>0</v>
      </c>
      <c r="LZ179" s="980">
        <v>0</v>
      </c>
      <c r="MA179" s="1009" t="s">
        <v>206</v>
      </c>
      <c r="MB179" s="1022">
        <v>-0.25699680000000003</v>
      </c>
      <c r="MC179" s="1041"/>
      <c r="MD179" s="1015"/>
      <c r="ME179" s="1018" t="s">
        <v>416</v>
      </c>
      <c r="MF179" s="997"/>
      <c r="MG179" s="1042"/>
      <c r="MH179" s="1043"/>
      <c r="MI179" s="1043"/>
      <c r="MJ179" s="1043"/>
      <c r="MK179" s="1043"/>
      <c r="ML179" s="1043"/>
      <c r="MM179" s="1043"/>
      <c r="MN179" s="1043"/>
      <c r="MO179" s="1043"/>
      <c r="MP179" s="1043"/>
      <c r="MQ179" s="1043"/>
      <c r="MR179" s="1043"/>
      <c r="MS179" s="1043"/>
      <c r="MT179" s="1043"/>
      <c r="MU179" s="1043"/>
      <c r="MV179" s="1043"/>
      <c r="MW179" s="1043"/>
      <c r="MX179" s="1043"/>
      <c r="MY179" s="1043"/>
      <c r="MZ179" s="1043"/>
      <c r="NA179" s="1043"/>
      <c r="NB179" s="1043"/>
      <c r="NC179" s="1043"/>
      <c r="ND179" s="1043"/>
      <c r="NE179" s="1043"/>
      <c r="NF179" s="1043"/>
      <c r="NG179" s="1043"/>
      <c r="NH179" s="1043"/>
      <c r="NI179" s="1043"/>
      <c r="NJ179" s="1043"/>
      <c r="NK179" s="1043"/>
      <c r="NL179" s="1043"/>
      <c r="NM179" s="1043"/>
      <c r="NR179" s="1044"/>
      <c r="NS179" s="1044"/>
      <c r="NT179" s="1045"/>
      <c r="NU179" s="1044"/>
      <c r="NV179" s="1045"/>
      <c r="NX179" s="1046"/>
      <c r="NZ179" s="1045"/>
      <c r="OA179" s="1045"/>
      <c r="OC179" s="1047"/>
      <c r="OD179" s="1047"/>
      <c r="OE179" s="1045"/>
      <c r="OF179" s="1047"/>
      <c r="OG179" s="1047"/>
      <c r="QX179" s="1000">
        <f>CN179-CA179</f>
        <v>15</v>
      </c>
      <c r="ASU179" s="1023" t="s">
        <v>225</v>
      </c>
    </row>
    <row r="180" spans="1:466 1191:1191" ht="21" customHeight="1" x14ac:dyDescent="0.25">
      <c r="A180" s="982" t="str">
        <f t="shared" si="104"/>
        <v>1078-1</v>
      </c>
      <c r="B180" s="124">
        <f>SUBTOTAL(103,$J$29:J180)</f>
        <v>152</v>
      </c>
      <c r="C180" s="126">
        <v>45068</v>
      </c>
      <c r="D180" s="124" t="s">
        <v>176</v>
      </c>
      <c r="E180" s="127" t="s">
        <v>177</v>
      </c>
      <c r="F180" s="128" t="s">
        <v>177</v>
      </c>
      <c r="G180" s="127" t="s">
        <v>178</v>
      </c>
      <c r="H180" s="127" t="s">
        <v>408</v>
      </c>
      <c r="I180" s="127" t="s">
        <v>888</v>
      </c>
      <c r="J180" s="152" t="s">
        <v>893</v>
      </c>
      <c r="K180" s="127" t="s">
        <v>894</v>
      </c>
      <c r="L180" s="130">
        <v>39072</v>
      </c>
      <c r="M180" s="127" t="s">
        <v>230</v>
      </c>
      <c r="N180" s="127" t="s">
        <v>231</v>
      </c>
      <c r="O180" s="127" t="s">
        <v>185</v>
      </c>
      <c r="P180" s="127" t="s">
        <v>186</v>
      </c>
      <c r="Q180" s="85" t="str">
        <f t="shared" si="133"/>
        <v/>
      </c>
      <c r="R180" s="130"/>
      <c r="S180" s="128" t="s">
        <v>156</v>
      </c>
      <c r="T180" s="131"/>
      <c r="U180" s="132">
        <v>203</v>
      </c>
      <c r="V180" s="121">
        <v>218.2</v>
      </c>
      <c r="W180" s="116">
        <v>0.98</v>
      </c>
      <c r="X180" s="116">
        <v>1.66</v>
      </c>
      <c r="Y180" s="116">
        <f t="shared" si="137"/>
        <v>1.0293336033003466</v>
      </c>
      <c r="Z180" s="133">
        <v>1.454</v>
      </c>
      <c r="AA180" s="133">
        <v>0.83599999999999997</v>
      </c>
      <c r="AB180" s="133">
        <v>0.72</v>
      </c>
      <c r="AC180" s="121">
        <v>34.299999999999997</v>
      </c>
      <c r="AD180" s="134">
        <v>1.17</v>
      </c>
      <c r="AE180" s="124">
        <v>139.69999999999999</v>
      </c>
      <c r="AF180" s="128">
        <v>7.72</v>
      </c>
      <c r="AG180" s="128">
        <v>1927</v>
      </c>
      <c r="AH180" s="127">
        <v>2504</v>
      </c>
      <c r="AI180" s="127">
        <v>2504</v>
      </c>
      <c r="AJ180" s="135"/>
      <c r="AK180" s="128"/>
      <c r="AL180" s="131"/>
      <c r="AM180" s="124" t="s">
        <v>232</v>
      </c>
      <c r="AN180" s="136" t="s">
        <v>895</v>
      </c>
      <c r="AO180" s="137">
        <v>25.48</v>
      </c>
      <c r="AP180" s="128">
        <v>1927</v>
      </c>
      <c r="AQ180" s="128">
        <v>50</v>
      </c>
      <c r="AR180" s="128"/>
      <c r="AS180" s="128"/>
      <c r="AT180" s="122"/>
      <c r="AU180" s="124" t="s">
        <v>250</v>
      </c>
      <c r="AV180" s="115">
        <f>VLOOKUP(J180,'[63]ТР нефть'!$J$28:$BP$638,39,0)</f>
        <v>600</v>
      </c>
      <c r="AW180" s="115" t="str">
        <f>VLOOKUP(J180,'[63]ТР нефть'!$J$28:$BP$638,40,0)</f>
        <v>ГП</v>
      </c>
      <c r="AX180" s="115">
        <f>VLOOKUP(J180,'[63]ТР нефть'!$J$28:$BP$638,41,0)</f>
        <v>1200</v>
      </c>
      <c r="AY180" s="115" t="str">
        <f>VLOOKUP(J180,'[63]ТР нефть'!$J$28:$BP$638,42,0)</f>
        <v>ГП</v>
      </c>
      <c r="AZ180" s="115">
        <f>VLOOKUP(J180,'[63]ТР нефть'!$J$28:$BP$638,43,0)</f>
        <v>1747</v>
      </c>
      <c r="BA180" s="115" t="str">
        <f>VLOOKUP(J180,'[63]ТР нефть'!$J$28:$BP$638,44,0)</f>
        <v>ГК 85/3</v>
      </c>
      <c r="BB180" s="115">
        <f>VLOOKUP(J180,'[63]ТР нефть'!$J$28:$BP$638,45,0)</f>
        <v>1758</v>
      </c>
      <c r="BC180" s="115" t="str">
        <f>VLOOKUP(J180,'[63]ТР нефть'!$J$28:$BP$638,46,0)</f>
        <v>ГК 85/3</v>
      </c>
      <c r="BD180" s="115" t="str">
        <f>VLOOKUP(J180,'[63]ТР нефть'!$J$28:$BP$638,47,0)</f>
        <v>-</v>
      </c>
      <c r="BE180" s="115" t="str">
        <f>VLOOKUP(J180,'[63]ТР нефть'!$J$28:$BP$638,48,0)</f>
        <v>-</v>
      </c>
      <c r="BF180" s="115" t="str">
        <f>VLOOKUP(J180,'[63]ТР нефть'!$J$28:$BP$638,49,0)</f>
        <v>-</v>
      </c>
      <c r="BG180" s="115" t="str">
        <f>VLOOKUP(J180,'[63]ТР нефть'!$J$28:$BP$638,50,0)</f>
        <v>-</v>
      </c>
      <c r="BH180" s="115">
        <f>VLOOKUP(J180,'[63]ТР нефть'!$J$28:$BP$638,51,0)</f>
        <v>1758</v>
      </c>
      <c r="BI180" s="115" t="str">
        <f>VLOOKUP(J180,'[63]ТР нефть'!$J$28:$BP$638,52,0)</f>
        <v>закрыт</v>
      </c>
      <c r="BJ180" s="115" t="str">
        <f>IF(IFERROR(VLOOKUP(J180,'[63]ТР нефть'!$J$28:$BP$638,53,0),"-")=0,"-",IFERROR(VLOOKUP(J180,'[63]ТР нефть'!$J$28:$BP$638,53,0),"-"))</f>
        <v>-</v>
      </c>
      <c r="BK180" s="138" t="str">
        <f>IF(IFERROR(VLOOKUP(J180,'[63]ТР нефть'!$J$28:$BP$638,54,0),"-")=0,"-",IFERROR(VLOOKUP(J180,'[63]ТР нефть'!$J$28:$BP$638,54,0),"-"))</f>
        <v>-</v>
      </c>
      <c r="BL180" s="138" t="str">
        <f>IF(IFERROR(VLOOKUP(J180,'[63]ТР нефть'!$J$28:$BP$638,55,0),"-")=0,"-",IFERROR(VLOOKUP(J180,'[63]ТР нефть'!$J$28:$BP$638,55,0),"-"))</f>
        <v>-</v>
      </c>
      <c r="BM180" s="138" t="str">
        <f>IF(IFERROR(VLOOKUP(J180,'[63]ТР нефть'!$J$28:$BP$638,56,0),"-")=0,"-",IFERROR(VLOOKUP(J180,'[63]ТР нефть'!$J$28:$BP$638,56,0),"-"))</f>
        <v>-</v>
      </c>
      <c r="BN180" s="138" t="str">
        <f>IF(IFERROR(VLOOKUP(J180,'[63]ТР нефть'!$J$28:$BP$638,57,0),"-")=0,"-",IFERROR(VLOOKUP(J180,'[63]ТР нефть'!$J$28:$BP$638,57,0),"-"))</f>
        <v>-</v>
      </c>
      <c r="BO180" s="115" t="str">
        <f>IF(IFERROR(VLOOKUP(J180,'[63]ТР нефть'!$J$28:$BP$638,58,0),"-")=0,"-",IFERROR(VLOOKUP(J180,'[63]ТР нефть'!$J$28:$BP$638,58,0),"-"))</f>
        <v>-</v>
      </c>
      <c r="BP180" s="115" t="str">
        <f>IF(IFERROR(VLOOKUP(J180,'[63]ТР нефть'!$J$28:$BP$638,59,0),"-")=0,"-",IFERROR(VLOOKUP(J180,'[63]ТР нефть'!$J$28:$BP$638,59,0),"-"))</f>
        <v>-</v>
      </c>
      <c r="BQ180" s="138">
        <v>1925</v>
      </c>
      <c r="BR180" s="128">
        <v>1837.59</v>
      </c>
      <c r="BS180" s="115">
        <f t="shared" si="105"/>
        <v>87.410000000000082</v>
      </c>
      <c r="BT180" s="128">
        <v>73</v>
      </c>
      <c r="BU180" s="128">
        <v>5.5</v>
      </c>
      <c r="BV180" s="127">
        <v>65</v>
      </c>
      <c r="BW180" s="127" t="s">
        <v>217</v>
      </c>
      <c r="BX180" s="127" t="s">
        <v>195</v>
      </c>
      <c r="BY180" s="139">
        <v>24</v>
      </c>
      <c r="BZ180" s="139">
        <v>0</v>
      </c>
      <c r="CA180" s="80">
        <v>24</v>
      </c>
      <c r="CB180" s="138">
        <v>27</v>
      </c>
      <c r="CC180" s="138">
        <v>23</v>
      </c>
      <c r="CD180" s="135">
        <v>45017</v>
      </c>
      <c r="CE180" s="138">
        <v>83</v>
      </c>
      <c r="CF180" s="138"/>
      <c r="CG180" s="138" t="str">
        <f t="shared" si="147"/>
        <v/>
      </c>
      <c r="CH180" s="138" t="s">
        <v>197</v>
      </c>
      <c r="CI180" s="127"/>
      <c r="CJ180" s="138"/>
      <c r="CK180" s="138"/>
      <c r="CL180" s="99"/>
      <c r="CM180" s="127"/>
      <c r="CN180" s="154">
        <v>43</v>
      </c>
      <c r="CO180" s="159">
        <f t="shared" si="106"/>
        <v>7.6033364000000008</v>
      </c>
      <c r="CP180" s="160">
        <v>10.3</v>
      </c>
      <c r="CQ180" s="161">
        <v>11.7</v>
      </c>
      <c r="CR180" s="138">
        <v>32</v>
      </c>
      <c r="CS180" s="139"/>
      <c r="CT180" s="138"/>
      <c r="CU180" s="138">
        <f t="shared" si="134"/>
        <v>32</v>
      </c>
      <c r="CV180" s="115">
        <f t="shared" si="135"/>
        <v>4208.6787058376103</v>
      </c>
      <c r="CW180" s="115" t="str">
        <f t="shared" si="109"/>
        <v/>
      </c>
      <c r="CX180" s="133">
        <f t="shared" si="136"/>
        <v>0.25750000000000001</v>
      </c>
      <c r="CY180" s="116"/>
      <c r="CZ180" s="131"/>
      <c r="DA180" s="145" t="str">
        <f t="shared" si="111"/>
        <v>Фон.</v>
      </c>
      <c r="DB180" s="146">
        <f t="shared" si="112"/>
        <v>10.172447999999999</v>
      </c>
      <c r="DC180" s="142">
        <v>15.6</v>
      </c>
      <c r="DD180" s="119">
        <v>22</v>
      </c>
      <c r="DE180" s="115">
        <v>34</v>
      </c>
      <c r="DF180" s="121">
        <f t="shared" si="116"/>
        <v>0</v>
      </c>
      <c r="DG180" s="115">
        <f t="shared" si="117"/>
        <v>4208.6787058376103</v>
      </c>
      <c r="DH180" s="115">
        <f t="shared" si="118"/>
        <v>43</v>
      </c>
      <c r="DI180" s="147"/>
      <c r="DJ180" s="111" t="s">
        <v>197</v>
      </c>
      <c r="DK180" s="112">
        <v>43063</v>
      </c>
      <c r="DL180" s="113">
        <f t="shared" ca="1" si="138"/>
        <v>2041</v>
      </c>
      <c r="DM180" s="114"/>
      <c r="DN180" s="114"/>
      <c r="DO180" s="114"/>
      <c r="DP180" s="114"/>
      <c r="DQ180" s="112">
        <v>41420</v>
      </c>
      <c r="DR180" s="114" t="s">
        <v>198</v>
      </c>
      <c r="DS180" s="114"/>
      <c r="DT180" s="115">
        <v>42</v>
      </c>
      <c r="DU180" s="116">
        <f t="shared" si="139"/>
        <v>0.25574531516183985</v>
      </c>
      <c r="DV180" s="117">
        <f t="shared" si="140"/>
        <v>7.7403130310562176</v>
      </c>
      <c r="DW180" s="118">
        <f t="shared" si="141"/>
        <v>10.485557921635435</v>
      </c>
      <c r="DX180" s="119">
        <f t="shared" si="119"/>
        <v>11.7</v>
      </c>
      <c r="DY180" s="115">
        <f t="shared" si="142"/>
        <v>32.576490630323669</v>
      </c>
      <c r="DZ180" s="117">
        <f t="shared" si="143"/>
        <v>0.13697663105621682</v>
      </c>
      <c r="EA180" s="120">
        <f t="shared" si="143"/>
        <v>0.18555792163543394</v>
      </c>
      <c r="EB180" s="119">
        <f t="shared" si="143"/>
        <v>0</v>
      </c>
      <c r="EC180" s="121">
        <f t="shared" si="144"/>
        <v>0.57649063032366854</v>
      </c>
      <c r="ED180" s="122"/>
      <c r="EE180" s="145">
        <v>65</v>
      </c>
      <c r="EF180" s="148">
        <v>21</v>
      </c>
      <c r="EG180" s="115">
        <v>35</v>
      </c>
      <c r="EH180" s="115">
        <v>20</v>
      </c>
      <c r="EI180" s="128" t="s">
        <v>195</v>
      </c>
      <c r="EJ180" s="121">
        <v>24</v>
      </c>
      <c r="EK180" s="121">
        <v>0</v>
      </c>
      <c r="EL180" s="162">
        <v>10.172447999999999</v>
      </c>
      <c r="EM180" s="142">
        <v>15.6</v>
      </c>
      <c r="EN180" s="119">
        <v>22</v>
      </c>
      <c r="EO180" s="115">
        <v>34</v>
      </c>
      <c r="EP180" s="115">
        <v>3342.3616419567838</v>
      </c>
      <c r="EQ180" s="115">
        <v>0</v>
      </c>
      <c r="ER180" s="115">
        <v>0</v>
      </c>
      <c r="ES180" s="115">
        <v>43</v>
      </c>
      <c r="ET180" s="150">
        <v>0.39</v>
      </c>
      <c r="EU180" s="145">
        <f t="shared" si="120"/>
        <v>65</v>
      </c>
      <c r="EV180" s="115">
        <f t="shared" si="121"/>
        <v>24</v>
      </c>
      <c r="EW180" s="115">
        <f t="shared" si="121"/>
        <v>27</v>
      </c>
      <c r="EX180" s="115">
        <f t="shared" si="121"/>
        <v>23</v>
      </c>
      <c r="EY180" s="115" t="str">
        <f t="shared" si="122"/>
        <v>Постоянный</v>
      </c>
      <c r="EZ180" s="115">
        <f t="shared" si="122"/>
        <v>24</v>
      </c>
      <c r="FA180" s="115">
        <f t="shared" si="122"/>
        <v>0</v>
      </c>
      <c r="FB180" s="149">
        <f t="shared" si="123"/>
        <v>7.6033364000000008</v>
      </c>
      <c r="FC180" s="142">
        <f t="shared" si="123"/>
        <v>10.3</v>
      </c>
      <c r="FD180" s="119">
        <f t="shared" si="123"/>
        <v>11.7</v>
      </c>
      <c r="FE180" s="121">
        <f t="shared" si="103"/>
        <v>32</v>
      </c>
      <c r="FF180" s="121">
        <f t="shared" si="145"/>
        <v>4208.6787058376103</v>
      </c>
      <c r="FG180" s="121">
        <f t="shared" si="124"/>
        <v>0</v>
      </c>
      <c r="FH180" s="121">
        <f t="shared" si="146"/>
        <v>0</v>
      </c>
      <c r="FI180" s="121">
        <f t="shared" si="131"/>
        <v>43</v>
      </c>
      <c r="FJ180" s="144">
        <f t="shared" si="125"/>
        <v>0.25750000000000001</v>
      </c>
      <c r="FK180" s="132">
        <f t="shared" si="126"/>
        <v>0</v>
      </c>
      <c r="FL180" s="115">
        <f t="shared" si="126"/>
        <v>3</v>
      </c>
      <c r="FM180" s="115">
        <f t="shared" si="126"/>
        <v>-8</v>
      </c>
      <c r="FN180" s="115">
        <f t="shared" si="126"/>
        <v>3</v>
      </c>
      <c r="FO180" s="115">
        <f t="shared" ref="FO180:FT243" si="150">EZ180-EJ180</f>
        <v>0</v>
      </c>
      <c r="FP180" s="115">
        <f t="shared" si="150"/>
        <v>0</v>
      </c>
      <c r="FQ180" s="149">
        <f t="shared" si="150"/>
        <v>-2.5691115999999985</v>
      </c>
      <c r="FR180" s="142">
        <f t="shared" si="148"/>
        <v>-5.2999999999999989</v>
      </c>
      <c r="FS180" s="119">
        <f t="shared" si="148"/>
        <v>-10.3</v>
      </c>
      <c r="FT180" s="121">
        <f t="shared" si="148"/>
        <v>-2</v>
      </c>
      <c r="FU180" s="121">
        <f t="shared" si="127"/>
        <v>0</v>
      </c>
      <c r="FV180" s="121">
        <f t="shared" si="127"/>
        <v>0</v>
      </c>
      <c r="FW180" s="121">
        <f t="shared" si="128"/>
        <v>866.31706388082648</v>
      </c>
      <c r="FX180" s="121">
        <f t="shared" si="149"/>
        <v>0</v>
      </c>
      <c r="FY180" s="144">
        <f t="shared" si="129"/>
        <v>-0.13250000000000001</v>
      </c>
      <c r="FZ180" s="145" t="s">
        <v>199</v>
      </c>
      <c r="GA180" s="1024" t="s">
        <v>415</v>
      </c>
      <c r="GB180" s="145"/>
      <c r="GC180" s="1039" t="s">
        <v>896</v>
      </c>
      <c r="GD180" s="997" t="s">
        <v>416</v>
      </c>
      <c r="GE180" s="1004"/>
      <c r="GF180" s="1004">
        <v>0</v>
      </c>
      <c r="GG180" s="1004"/>
      <c r="GH180" s="1004">
        <v>0</v>
      </c>
      <c r="GI180" s="145" t="s">
        <v>897</v>
      </c>
      <c r="GJ180" s="996">
        <v>-13.277352</v>
      </c>
      <c r="GK180" s="145" t="s">
        <v>207</v>
      </c>
      <c r="GL180" s="996">
        <v>10.4498</v>
      </c>
      <c r="GM180" s="1005" t="s">
        <v>25</v>
      </c>
      <c r="GN180" s="996">
        <v>4.4984315640000023</v>
      </c>
      <c r="GO180" s="1006"/>
      <c r="GP180" s="996">
        <v>0</v>
      </c>
      <c r="GQ180" s="1006"/>
      <c r="GR180" s="996">
        <v>0</v>
      </c>
      <c r="GS180" s="1006"/>
      <c r="GT180" s="996">
        <v>0</v>
      </c>
      <c r="GU180" s="1006"/>
      <c r="GV180" s="996">
        <v>0</v>
      </c>
      <c r="GW180" s="1006"/>
      <c r="GX180" s="1035">
        <v>0</v>
      </c>
      <c r="GY180" s="1006"/>
      <c r="GZ180" s="996">
        <v>-0.19388662480000107</v>
      </c>
      <c r="HA180" s="1006"/>
      <c r="HB180" s="996">
        <v>-0.31232976719999961</v>
      </c>
      <c r="HC180" s="1006"/>
      <c r="HD180" s="996">
        <v>0</v>
      </c>
      <c r="HE180" s="1006"/>
      <c r="HF180" s="996">
        <v>0</v>
      </c>
      <c r="HG180" s="1006" t="s">
        <v>199</v>
      </c>
      <c r="HH180" s="996">
        <v>4.9854299879999999</v>
      </c>
      <c r="HI180" s="1006" t="s">
        <v>199</v>
      </c>
      <c r="HJ180" s="996">
        <v>-3.7775830399999997</v>
      </c>
      <c r="HK180" s="1006"/>
      <c r="HL180" s="996">
        <v>0</v>
      </c>
      <c r="HM180" s="1006"/>
      <c r="HN180" s="996">
        <v>0</v>
      </c>
      <c r="HO180" s="1006"/>
      <c r="HP180" s="996">
        <v>0</v>
      </c>
      <c r="HQ180" s="1006"/>
      <c r="HR180" s="996">
        <v>0</v>
      </c>
      <c r="HS180" s="1006"/>
      <c r="HT180" s="996">
        <v>0</v>
      </c>
      <c r="HU180" s="1006"/>
      <c r="HV180" s="996">
        <v>0</v>
      </c>
      <c r="HW180" s="1006"/>
      <c r="HX180" s="996">
        <v>0</v>
      </c>
      <c r="HY180" s="1006"/>
      <c r="HZ180" s="996">
        <v>-0.82939978000000103</v>
      </c>
      <c r="IA180" s="1006"/>
      <c r="IB180" s="996">
        <v>0</v>
      </c>
      <c r="IC180" s="1006" t="s">
        <v>203</v>
      </c>
      <c r="ID180" s="996">
        <v>-6.2910508143999984</v>
      </c>
      <c r="IE180" s="1006" t="s">
        <v>199</v>
      </c>
      <c r="IF180" s="996">
        <v>5.4649950343999993</v>
      </c>
      <c r="IG180" s="1006"/>
      <c r="IH180" s="996">
        <v>0.72966079999999955</v>
      </c>
      <c r="II180" s="1006" t="s">
        <v>199</v>
      </c>
      <c r="IJ180" s="996">
        <v>-2.621696</v>
      </c>
      <c r="IK180" s="1006"/>
      <c r="IL180" s="996">
        <v>0</v>
      </c>
      <c r="IM180" s="1006"/>
      <c r="IN180" s="996">
        <v>0</v>
      </c>
      <c r="IO180" s="1006"/>
      <c r="IP180" s="996">
        <v>-0.92695679999999925</v>
      </c>
      <c r="IQ180" s="1006"/>
      <c r="IR180" s="996">
        <v>0</v>
      </c>
      <c r="IS180" s="1006"/>
      <c r="IT180" s="996">
        <v>0</v>
      </c>
      <c r="IU180" s="1006" t="s">
        <v>199</v>
      </c>
      <c r="IV180" s="996">
        <v>1.6676528000000008</v>
      </c>
      <c r="IW180" s="1006"/>
      <c r="IX180" s="996">
        <v>0</v>
      </c>
      <c r="IY180" s="1006"/>
      <c r="IZ180" s="996">
        <v>0</v>
      </c>
      <c r="JA180" s="1006"/>
      <c r="JB180" s="996">
        <v>0</v>
      </c>
      <c r="JC180" s="1006" t="s">
        <v>199</v>
      </c>
      <c r="JD180" s="996">
        <v>-1.4379200000000019</v>
      </c>
      <c r="JE180" s="1006"/>
      <c r="JF180" s="996">
        <v>0</v>
      </c>
      <c r="JG180" s="1006"/>
      <c r="JH180" s="996">
        <v>0</v>
      </c>
      <c r="JI180" s="1006"/>
      <c r="JJ180" s="996">
        <v>0</v>
      </c>
      <c r="JK180" s="1007"/>
      <c r="JL180" s="1007">
        <v>0</v>
      </c>
      <c r="JM180" s="1007"/>
      <c r="JN180" s="1007">
        <v>0</v>
      </c>
      <c r="JO180" s="1008"/>
      <c r="JP180" s="1007">
        <v>0</v>
      </c>
      <c r="JQ180" s="1008" t="s">
        <v>204</v>
      </c>
      <c r="JR180" s="1007">
        <v>1.3672780000000007</v>
      </c>
      <c r="JS180" s="1008" t="s">
        <v>204</v>
      </c>
      <c r="JT180" s="1007">
        <v>7.0679619999999996</v>
      </c>
      <c r="JU180" s="1008" t="s">
        <v>204</v>
      </c>
      <c r="JV180" s="1007">
        <v>-13.376000000000001</v>
      </c>
      <c r="JW180" s="1008" t="s">
        <v>197</v>
      </c>
      <c r="JX180" s="1007">
        <v>0</v>
      </c>
      <c r="JY180" s="1008"/>
      <c r="JZ180" s="1007">
        <v>0</v>
      </c>
      <c r="KA180" s="1008" t="s">
        <v>204</v>
      </c>
      <c r="KB180" s="1007">
        <v>4.1800000000000015</v>
      </c>
      <c r="KC180" s="1008"/>
      <c r="KD180" s="1007">
        <v>0</v>
      </c>
      <c r="KE180" s="1008" t="s">
        <v>204</v>
      </c>
      <c r="KF180" s="1007">
        <v>-5.8519999999999985</v>
      </c>
      <c r="KG180" s="1008"/>
      <c r="KH180" s="1007">
        <v>0</v>
      </c>
      <c r="KI180" s="1008"/>
      <c r="KJ180" s="1007">
        <v>0</v>
      </c>
      <c r="KK180" s="1008" t="s">
        <v>199</v>
      </c>
      <c r="KL180" s="1007">
        <v>15.633199999999999</v>
      </c>
      <c r="KM180" s="1008" t="s">
        <v>207</v>
      </c>
      <c r="KN180" s="1007">
        <v>-15.633199999999999</v>
      </c>
      <c r="KO180" s="1008"/>
      <c r="KP180" s="1007">
        <v>0</v>
      </c>
      <c r="KQ180" s="1008">
        <v>0</v>
      </c>
      <c r="KR180" s="1007">
        <v>0</v>
      </c>
      <c r="KS180" s="1008">
        <v>0</v>
      </c>
      <c r="KT180" s="1007">
        <v>0</v>
      </c>
      <c r="KU180" s="1008" t="s">
        <v>260</v>
      </c>
      <c r="KV180" s="1007">
        <v>19.227999999999998</v>
      </c>
      <c r="KW180" s="1008">
        <v>0</v>
      </c>
      <c r="KX180" s="1007">
        <v>0</v>
      </c>
      <c r="KY180" s="1008">
        <v>0</v>
      </c>
      <c r="KZ180" s="1007">
        <v>0</v>
      </c>
      <c r="LA180" s="1008">
        <v>0</v>
      </c>
      <c r="LB180" s="1007">
        <v>0</v>
      </c>
      <c r="LC180" s="1008">
        <v>0</v>
      </c>
      <c r="LD180" s="1007">
        <v>0</v>
      </c>
      <c r="LE180" s="1008">
        <v>0</v>
      </c>
      <c r="LF180" s="1007">
        <v>0</v>
      </c>
      <c r="LG180" s="1008">
        <v>0</v>
      </c>
      <c r="LH180" s="1007">
        <v>-5.16</v>
      </c>
      <c r="LI180" s="1008">
        <v>0</v>
      </c>
      <c r="LJ180" s="1007">
        <v>0</v>
      </c>
      <c r="LK180" s="1008">
        <v>0</v>
      </c>
      <c r="LL180" s="1007">
        <v>0</v>
      </c>
      <c r="LM180" s="1008">
        <v>0</v>
      </c>
      <c r="LN180" s="1007">
        <v>0</v>
      </c>
      <c r="LO180" s="1008">
        <v>0</v>
      </c>
      <c r="LP180" s="1007">
        <v>0</v>
      </c>
      <c r="LQ180" s="1008">
        <v>0</v>
      </c>
      <c r="LR180" s="1007">
        <v>0</v>
      </c>
      <c r="LS180" s="1008" t="s">
        <v>206</v>
      </c>
      <c r="LT180" s="1007">
        <v>-9.8648000000000007</v>
      </c>
      <c r="LU180" s="1008">
        <v>0</v>
      </c>
      <c r="LV180" s="1007">
        <v>0</v>
      </c>
      <c r="LW180" s="1008" t="s">
        <v>206</v>
      </c>
      <c r="LX180" s="1007">
        <v>4.8488000000000007</v>
      </c>
      <c r="LY180" s="1009" t="s">
        <v>207</v>
      </c>
      <c r="LZ180" s="1010">
        <v>-6.7715999999999994</v>
      </c>
      <c r="MA180" s="1011" t="s">
        <v>206</v>
      </c>
      <c r="MB180" s="1012">
        <v>1.4546400000000013</v>
      </c>
      <c r="MC180" s="995"/>
      <c r="MD180" s="996"/>
      <c r="ME180" s="997" t="s">
        <v>416</v>
      </c>
      <c r="MF180" s="997"/>
      <c r="MG180" s="998"/>
      <c r="NR180" s="1000"/>
      <c r="NS180" s="1000"/>
      <c r="NT180" s="1001"/>
      <c r="NU180" s="1000"/>
      <c r="NV180" s="1001"/>
      <c r="NX180" s="1002"/>
      <c r="NZ180" s="1001"/>
      <c r="OA180" s="1001"/>
      <c r="OC180" s="1003"/>
      <c r="OD180" s="1003"/>
      <c r="OE180" s="1001"/>
      <c r="OF180" s="1003"/>
      <c r="OG180" s="1003"/>
      <c r="QX180" s="1000">
        <f>CN180-CA180</f>
        <v>19</v>
      </c>
      <c r="ASU180" s="999" t="s">
        <v>208</v>
      </c>
    </row>
    <row r="181" spans="1:466 1191:1191" s="1023" customFormat="1" ht="21" customHeight="1" x14ac:dyDescent="0.25">
      <c r="A181" s="982">
        <f t="shared" si="104"/>
        <v>1080</v>
      </c>
      <c r="B181" s="124">
        <f>SUBTOTAL(103,$J$29:J181)</f>
        <v>153</v>
      </c>
      <c r="C181" s="126">
        <v>45068</v>
      </c>
      <c r="D181" s="124" t="s">
        <v>176</v>
      </c>
      <c r="E181" s="127" t="s">
        <v>177</v>
      </c>
      <c r="F181" s="128" t="s">
        <v>177</v>
      </c>
      <c r="G181" s="127" t="s">
        <v>178</v>
      </c>
      <c r="H181" s="127" t="s">
        <v>408</v>
      </c>
      <c r="I181" s="127" t="s">
        <v>888</v>
      </c>
      <c r="J181" s="129">
        <v>1080</v>
      </c>
      <c r="K181" s="127" t="s">
        <v>898</v>
      </c>
      <c r="L181" s="130">
        <v>39711</v>
      </c>
      <c r="M181" s="127" t="s">
        <v>230</v>
      </c>
      <c r="N181" s="127" t="s">
        <v>245</v>
      </c>
      <c r="O181" s="127" t="s">
        <v>185</v>
      </c>
      <c r="P181" s="127" t="s">
        <v>186</v>
      </c>
      <c r="Q181" s="85" t="str">
        <f t="shared" si="133"/>
        <v/>
      </c>
      <c r="R181" s="130"/>
      <c r="S181" s="127" t="s">
        <v>156</v>
      </c>
      <c r="T181" s="136"/>
      <c r="U181" s="169">
        <v>203</v>
      </c>
      <c r="V181" s="139">
        <v>218.2</v>
      </c>
      <c r="W181" s="165">
        <v>0.98</v>
      </c>
      <c r="X181" s="165">
        <v>1.66</v>
      </c>
      <c r="Y181" s="165">
        <f t="shared" si="137"/>
        <v>0.98016060462919219</v>
      </c>
      <c r="Z181" s="164">
        <v>1.454</v>
      </c>
      <c r="AA181" s="164">
        <v>0.83599999999999997</v>
      </c>
      <c r="AB181" s="164">
        <v>0.72</v>
      </c>
      <c r="AC181" s="139">
        <v>34.299999999999997</v>
      </c>
      <c r="AD181" s="193">
        <v>1.17</v>
      </c>
      <c r="AE181" s="124">
        <v>139.69999999999999</v>
      </c>
      <c r="AF181" s="127">
        <v>7.72</v>
      </c>
      <c r="AG181" s="127">
        <v>1927</v>
      </c>
      <c r="AH181" s="127">
        <v>2400</v>
      </c>
      <c r="AI181" s="127">
        <v>2400</v>
      </c>
      <c r="AJ181" s="199"/>
      <c r="AK181" s="200"/>
      <c r="AL181" s="201"/>
      <c r="AM181" s="124" t="s">
        <v>232</v>
      </c>
      <c r="AN181" s="136" t="s">
        <v>899</v>
      </c>
      <c r="AO181" s="137">
        <v>87.13</v>
      </c>
      <c r="AP181" s="128">
        <v>1927</v>
      </c>
      <c r="AQ181" s="128">
        <v>21</v>
      </c>
      <c r="AR181" s="128"/>
      <c r="AS181" s="128"/>
      <c r="AT181" s="122"/>
      <c r="AU181" s="124" t="s">
        <v>189</v>
      </c>
      <c r="AV181" s="115">
        <f>VLOOKUP(J181,'[63]ТР нефть'!$J$28:$BP$638,39,0)</f>
        <v>608.99999941399994</v>
      </c>
      <c r="AW181" s="115" t="str">
        <f>VLOOKUP(J181,'[63]ТР нефть'!$J$28:$BP$638,40,0)</f>
        <v>ГК 80 1/8</v>
      </c>
      <c r="AX181" s="115">
        <f>VLOOKUP(J181,'[63]ТР нефть'!$J$28:$BP$638,41,0)</f>
        <v>1202.99998418</v>
      </c>
      <c r="AY181" s="115" t="str">
        <f>VLOOKUP(J181,'[63]ТР нефть'!$J$28:$BP$638,42,0)</f>
        <v>ГК 78 1/8</v>
      </c>
      <c r="AZ181" s="115">
        <f>VLOOKUP(J181,'[63]ТР нефть'!$J$28:$BP$638,43,0)</f>
        <v>1778.0000496089999</v>
      </c>
      <c r="BA181" s="115" t="str">
        <f>VLOOKUP(J181,'[63]ТР нефть'!$J$28:$BP$638,44,0)</f>
        <v>ЦКсОК 5/16</v>
      </c>
      <c r="BB181" s="115" t="str">
        <f>VLOOKUP(J181,'[63]ТР нефть'!$J$28:$BP$638,45,0)</f>
        <v>-</v>
      </c>
      <c r="BC181" s="115" t="str">
        <f>VLOOKUP(J181,'[63]ТР нефть'!$J$28:$BP$638,46,0)</f>
        <v>-</v>
      </c>
      <c r="BD181" s="115" t="str">
        <f>VLOOKUP(J181,'[63]ТР нефть'!$J$28:$BP$638,47,0)</f>
        <v>-</v>
      </c>
      <c r="BE181" s="115" t="str">
        <f>VLOOKUP(J181,'[63]ТР нефть'!$J$28:$BP$638,48,0)</f>
        <v>-</v>
      </c>
      <c r="BF181" s="115" t="str">
        <f>VLOOKUP(J181,'[63]ТР нефть'!$J$28:$BP$638,49,0)</f>
        <v>-</v>
      </c>
      <c r="BG181" s="115" t="str">
        <f>VLOOKUP(J181,'[63]ТР нефть'!$J$28:$BP$638,50,0)</f>
        <v>-</v>
      </c>
      <c r="BH181" s="115">
        <f>VLOOKUP(J181,'[63]ТР нефть'!$J$28:$BP$638,51,0)</f>
        <v>1789</v>
      </c>
      <c r="BI181" s="115" t="str">
        <f>VLOOKUP(J181,'[63]ТР нефть'!$J$28:$BP$638,52,0)</f>
        <v>закрыт</v>
      </c>
      <c r="BJ181" s="115" t="str">
        <f>IF(IFERROR(VLOOKUP(J181,'[63]ТР нефть'!$J$28:$BP$638,53,0),"-")=0,"-",IFERROR(VLOOKUP(J181,'[63]ТР нефть'!$J$28:$BP$638,53,0),"-"))</f>
        <v>-</v>
      </c>
      <c r="BK181" s="138" t="str">
        <f>IF(IFERROR(VLOOKUP(J181,'[63]ТР нефть'!$J$28:$BP$638,54,0),"-")=0,"-",IFERROR(VLOOKUP(J181,'[63]ТР нефть'!$J$28:$BP$638,54,0),"-"))</f>
        <v>-</v>
      </c>
      <c r="BL181" s="138" t="str">
        <f>IF(IFERROR(VLOOKUP(J181,'[63]ТР нефть'!$J$28:$BP$638,55,0),"-")=0,"-",IFERROR(VLOOKUP(J181,'[63]ТР нефть'!$J$28:$BP$638,55,0),"-"))</f>
        <v>-</v>
      </c>
      <c r="BM181" s="138" t="str">
        <f>IF(IFERROR(VLOOKUP(J181,'[63]ТР нефть'!$J$28:$BP$638,56,0),"-")=0,"-",IFERROR(VLOOKUP(J181,'[63]ТР нефть'!$J$28:$BP$638,56,0),"-"))</f>
        <v>-</v>
      </c>
      <c r="BN181" s="138" t="str">
        <f>IF(IFERROR(VLOOKUP(J181,'[63]ТР нефть'!$J$28:$BP$638,57,0),"-")=0,"-",IFERROR(VLOOKUP(J181,'[63]ТР нефть'!$J$28:$BP$638,57,0),"-"))</f>
        <v>-</v>
      </c>
      <c r="BO181" s="115" t="str">
        <f>IF(IFERROR(VLOOKUP(J181,'[63]ТР нефть'!$J$28:$BP$638,58,0),"-")=0,"-",IFERROR(VLOOKUP(J181,'[63]ТР нефть'!$J$28:$BP$638,58,0),"-"))</f>
        <v>-</v>
      </c>
      <c r="BP181" s="115" t="str">
        <f>IF(IFERROR(VLOOKUP(J181,'[63]ТР нефть'!$J$28:$BP$638,59,0),"-")=0,"-",IFERROR(VLOOKUP(J181,'[63]ТР нефть'!$J$28:$BP$638,59,0),"-"))</f>
        <v>-</v>
      </c>
      <c r="BQ181" s="138">
        <v>2087</v>
      </c>
      <c r="BR181" s="128">
        <v>1927.22</v>
      </c>
      <c r="BS181" s="115">
        <f t="shared" si="105"/>
        <v>159.77999999999997</v>
      </c>
      <c r="BT181" s="128">
        <v>73</v>
      </c>
      <c r="BU181" s="128">
        <v>5.5</v>
      </c>
      <c r="BV181" s="127">
        <v>18</v>
      </c>
      <c r="BW181" s="127" t="s">
        <v>217</v>
      </c>
      <c r="BX181" s="127" t="s">
        <v>195</v>
      </c>
      <c r="BY181" s="139">
        <v>24</v>
      </c>
      <c r="BZ181" s="139">
        <v>0</v>
      </c>
      <c r="CA181" s="138">
        <v>25</v>
      </c>
      <c r="CB181" s="138">
        <v>36</v>
      </c>
      <c r="CC181" s="138">
        <v>24</v>
      </c>
      <c r="CD181" s="135">
        <v>45017</v>
      </c>
      <c r="CE181" s="138">
        <v>76</v>
      </c>
      <c r="CF181" s="138">
        <v>66</v>
      </c>
      <c r="CG181" s="138" t="str">
        <f t="shared" si="147"/>
        <v>В работе</v>
      </c>
      <c r="CH181" s="138" t="s">
        <v>196</v>
      </c>
      <c r="CI181" s="138">
        <v>6</v>
      </c>
      <c r="CJ181" s="139"/>
      <c r="CK181" s="139"/>
      <c r="CL181" s="99"/>
      <c r="CM181" s="99"/>
      <c r="CN181" s="140">
        <v>45</v>
      </c>
      <c r="CO181" s="159">
        <f t="shared" si="106"/>
        <v>14.206315200000001</v>
      </c>
      <c r="CP181" s="160">
        <v>17</v>
      </c>
      <c r="CQ181" s="161">
        <v>0.04</v>
      </c>
      <c r="CR181" s="138">
        <v>25</v>
      </c>
      <c r="CS181" s="139">
        <v>7.2</v>
      </c>
      <c r="CT181" s="138"/>
      <c r="CU181" s="138">
        <f t="shared" si="134"/>
        <v>17.8</v>
      </c>
      <c r="CV181" s="138">
        <f t="shared" si="135"/>
        <v>1252.963893128318</v>
      </c>
      <c r="CW181" s="138">
        <f t="shared" si="109"/>
        <v>506.53608841688737</v>
      </c>
      <c r="CX181" s="164">
        <f t="shared" si="136"/>
        <v>0.54838709677419351</v>
      </c>
      <c r="CY181" s="116"/>
      <c r="CZ181" s="136"/>
      <c r="DA181" s="124" t="str">
        <f t="shared" si="111"/>
        <v>Газлифт</v>
      </c>
      <c r="DB181" s="166">
        <f t="shared" si="112"/>
        <v>14.206315200000001</v>
      </c>
      <c r="DC181" s="138">
        <f t="shared" ref="DC181:DC244" si="151">IFERROR(IF(AND(FZ181="Технология",FQ181&lt;$JC$24),EM181,CP181),"-")</f>
        <v>17</v>
      </c>
      <c r="DD181" s="138">
        <f t="shared" ref="DD181:DD244" si="152">IFERROR(IF(AND(FZ181="Технология",FQ181&lt;$JC$29),EN181,CQ181),"-")</f>
        <v>0.04</v>
      </c>
      <c r="DE181" s="138">
        <f t="shared" si="115"/>
        <v>17.8</v>
      </c>
      <c r="DF181" s="139">
        <f t="shared" si="116"/>
        <v>7.2</v>
      </c>
      <c r="DG181" s="115">
        <f t="shared" si="117"/>
        <v>1252.963893128318</v>
      </c>
      <c r="DH181" s="115">
        <f t="shared" si="118"/>
        <v>45</v>
      </c>
      <c r="DI181" s="167"/>
      <c r="DJ181" s="111">
        <v>43531</v>
      </c>
      <c r="DK181" s="112">
        <v>41057</v>
      </c>
      <c r="DL181" s="113">
        <f t="shared" ca="1" si="138"/>
        <v>4047</v>
      </c>
      <c r="DM181" s="114"/>
      <c r="DN181" s="114"/>
      <c r="DO181" s="114"/>
      <c r="DP181" s="114"/>
      <c r="DQ181" s="112">
        <v>40683</v>
      </c>
      <c r="DR181" s="114" t="s">
        <v>198</v>
      </c>
      <c r="DS181" s="114" t="s">
        <v>900</v>
      </c>
      <c r="DT181" s="115">
        <v>53</v>
      </c>
      <c r="DU181" s="116">
        <f t="shared" si="139"/>
        <v>0.73913043478260865</v>
      </c>
      <c r="DV181" s="117">
        <f t="shared" si="140"/>
        <v>14.206315200000001</v>
      </c>
      <c r="DW181" s="118">
        <f t="shared" si="141"/>
        <v>17</v>
      </c>
      <c r="DX181" s="119">
        <f t="shared" si="119"/>
        <v>0.04</v>
      </c>
      <c r="DY181" s="115">
        <f t="shared" si="142"/>
        <v>17.8</v>
      </c>
      <c r="DZ181" s="117">
        <f t="shared" si="143"/>
        <v>0</v>
      </c>
      <c r="EA181" s="120">
        <f t="shared" si="143"/>
        <v>0</v>
      </c>
      <c r="EB181" s="119">
        <f t="shared" si="143"/>
        <v>0</v>
      </c>
      <c r="EC181" s="121">
        <f t="shared" si="144"/>
        <v>0</v>
      </c>
      <c r="ED181" s="122"/>
      <c r="EE181" s="124">
        <v>18</v>
      </c>
      <c r="EF181" s="138">
        <v>22</v>
      </c>
      <c r="EG181" s="138">
        <v>34</v>
      </c>
      <c r="EH181" s="138">
        <v>22</v>
      </c>
      <c r="EI181" s="127" t="s">
        <v>195</v>
      </c>
      <c r="EJ181" s="139">
        <v>24</v>
      </c>
      <c r="EK181" s="139">
        <v>0</v>
      </c>
      <c r="EL181" s="176">
        <v>14.698522238399999</v>
      </c>
      <c r="EM181" s="138">
        <v>17.588999999999999</v>
      </c>
      <c r="EN181" s="138">
        <v>0.04</v>
      </c>
      <c r="EO181" s="138">
        <v>17.3</v>
      </c>
      <c r="EP181" s="138">
        <v>782.39157743056398</v>
      </c>
      <c r="EQ181" s="138">
        <v>65</v>
      </c>
      <c r="ER181" s="138">
        <v>5.8</v>
      </c>
      <c r="ES181" s="138">
        <v>48</v>
      </c>
      <c r="ET181" s="154">
        <v>0.62817857142857136</v>
      </c>
      <c r="EU181" s="124">
        <f t="shared" si="120"/>
        <v>18</v>
      </c>
      <c r="EV181" s="138">
        <f t="shared" si="121"/>
        <v>25</v>
      </c>
      <c r="EW181" s="138">
        <f t="shared" si="121"/>
        <v>36</v>
      </c>
      <c r="EX181" s="138">
        <f t="shared" si="121"/>
        <v>24</v>
      </c>
      <c r="EY181" s="138" t="str">
        <f t="shared" si="122"/>
        <v>Постоянный</v>
      </c>
      <c r="EZ181" s="138">
        <f t="shared" si="122"/>
        <v>24</v>
      </c>
      <c r="FA181" s="138">
        <f t="shared" si="122"/>
        <v>0</v>
      </c>
      <c r="FB181" s="149">
        <f>CO181</f>
        <v>14.206315200000001</v>
      </c>
      <c r="FC181" s="142">
        <f>CP181</f>
        <v>17</v>
      </c>
      <c r="FD181" s="119">
        <f>CQ181</f>
        <v>0.04</v>
      </c>
      <c r="FE181" s="139">
        <f t="shared" si="103"/>
        <v>25</v>
      </c>
      <c r="FF181" s="139">
        <f t="shared" si="145"/>
        <v>1252.963893128318</v>
      </c>
      <c r="FG181" s="139">
        <f t="shared" si="124"/>
        <v>66</v>
      </c>
      <c r="FH181" s="139">
        <f t="shared" si="146"/>
        <v>7.2</v>
      </c>
      <c r="FI181" s="139">
        <f t="shared" si="131"/>
        <v>45</v>
      </c>
      <c r="FJ181" s="168">
        <f t="shared" si="125"/>
        <v>0.54838709677419351</v>
      </c>
      <c r="FK181" s="169">
        <f t="shared" si="126"/>
        <v>0</v>
      </c>
      <c r="FL181" s="138">
        <f t="shared" si="126"/>
        <v>3</v>
      </c>
      <c r="FM181" s="138">
        <f t="shared" si="126"/>
        <v>2</v>
      </c>
      <c r="FN181" s="138">
        <f t="shared" si="126"/>
        <v>2</v>
      </c>
      <c r="FO181" s="138">
        <f t="shared" si="150"/>
        <v>0</v>
      </c>
      <c r="FP181" s="138">
        <f t="shared" si="150"/>
        <v>0</v>
      </c>
      <c r="FQ181" s="149">
        <f t="shared" si="150"/>
        <v>-0.49220703839999835</v>
      </c>
      <c r="FR181" s="142">
        <f t="shared" si="148"/>
        <v>-0.58899999999999864</v>
      </c>
      <c r="FS181" s="119">
        <f t="shared" si="148"/>
        <v>0</v>
      </c>
      <c r="FT181" s="139">
        <f t="shared" si="148"/>
        <v>7.6999999999999993</v>
      </c>
      <c r="FU181" s="139">
        <f t="shared" si="127"/>
        <v>1</v>
      </c>
      <c r="FV181" s="139">
        <f t="shared" si="127"/>
        <v>1.4000000000000004</v>
      </c>
      <c r="FW181" s="139">
        <f t="shared" si="128"/>
        <v>470.57231569775399</v>
      </c>
      <c r="FX181" s="139">
        <f t="shared" si="149"/>
        <v>-3</v>
      </c>
      <c r="FY181" s="168">
        <f t="shared" si="129"/>
        <v>-7.9791474654377859E-2</v>
      </c>
      <c r="FZ181" s="124"/>
      <c r="GA181" s="1040"/>
      <c r="GB181" s="124"/>
      <c r="GC181" s="1040"/>
      <c r="GD181" s="1018" t="s">
        <v>416</v>
      </c>
      <c r="GE181" s="1019"/>
      <c r="GF181" s="1019">
        <v>-0.73622139360000105</v>
      </c>
      <c r="GG181" s="1019" t="s">
        <v>221</v>
      </c>
      <c r="GH181" s="1019">
        <v>5.8217050319999988</v>
      </c>
      <c r="GI181" s="124"/>
      <c r="GJ181" s="1015">
        <v>0</v>
      </c>
      <c r="GK181" s="124"/>
      <c r="GL181" s="1015">
        <v>-0.83696139999999808</v>
      </c>
      <c r="GM181" s="1013" t="s">
        <v>199</v>
      </c>
      <c r="GN181" s="1015">
        <v>-7.7957563463999975</v>
      </c>
      <c r="GO181" s="1014" t="s">
        <v>199</v>
      </c>
      <c r="GP181" s="1015">
        <v>5.9350064399999987</v>
      </c>
      <c r="GQ181" s="1014"/>
      <c r="GR181" s="1015">
        <v>0</v>
      </c>
      <c r="GS181" s="1014" t="s">
        <v>222</v>
      </c>
      <c r="GT181" s="1015">
        <v>-2.0040257600000011</v>
      </c>
      <c r="GU181" s="1014"/>
      <c r="GV181" s="1015">
        <v>0</v>
      </c>
      <c r="GW181" s="1014" t="s">
        <v>204</v>
      </c>
      <c r="GX181" s="1020">
        <v>1.9640106199999998</v>
      </c>
      <c r="GY181" s="1014"/>
      <c r="GZ181" s="1015">
        <v>-0.4490950199999979</v>
      </c>
      <c r="HA181" s="1014"/>
      <c r="HB181" s="1015">
        <v>-7.1896000000000626E-2</v>
      </c>
      <c r="HC181" s="1014"/>
      <c r="HD181" s="1015">
        <v>0.72731999999999886</v>
      </c>
      <c r="HE181" s="1014"/>
      <c r="HF181" s="1015">
        <v>0</v>
      </c>
      <c r="HG181" s="1014"/>
      <c r="HH181" s="1015">
        <v>0</v>
      </c>
      <c r="HI181" s="1014" t="s">
        <v>223</v>
      </c>
      <c r="HJ181" s="1015">
        <v>-1.63856</v>
      </c>
      <c r="HK181" s="1014"/>
      <c r="HL181" s="1015">
        <v>0</v>
      </c>
      <c r="HM181" s="1014"/>
      <c r="HN181" s="1015">
        <v>0</v>
      </c>
      <c r="HO181" s="1006"/>
      <c r="HP181" s="996">
        <v>0</v>
      </c>
      <c r="HQ181" s="1006" t="s">
        <v>199</v>
      </c>
      <c r="HR181" s="996">
        <v>3.5036759999999996</v>
      </c>
      <c r="HS181" s="1006"/>
      <c r="HT181" s="996">
        <v>0</v>
      </c>
      <c r="HU181" s="1006" t="s">
        <v>203</v>
      </c>
      <c r="HV181" s="996">
        <v>-8.0738255795999976</v>
      </c>
      <c r="HW181" s="1006" t="s">
        <v>25</v>
      </c>
      <c r="HX181" s="996">
        <v>4.3945895795999999</v>
      </c>
      <c r="HY181" s="1006"/>
      <c r="HZ181" s="996">
        <v>-0.94467999999999996</v>
      </c>
      <c r="IA181" s="1006"/>
      <c r="IB181" s="996">
        <v>0</v>
      </c>
      <c r="IC181" s="1006" t="s">
        <v>199</v>
      </c>
      <c r="ID181" s="996">
        <v>2.3407999999999998</v>
      </c>
      <c r="IE181" s="1006"/>
      <c r="IF181" s="996">
        <v>0</v>
      </c>
      <c r="IG181" s="1006" t="s">
        <v>199</v>
      </c>
      <c r="IH181" s="996">
        <v>-3.0931999999999995</v>
      </c>
      <c r="II181" s="1006"/>
      <c r="IJ181" s="996">
        <v>0</v>
      </c>
      <c r="IK181" s="1006"/>
      <c r="IL181" s="996">
        <v>0</v>
      </c>
      <c r="IM181" s="1006"/>
      <c r="IN181" s="996">
        <v>-0.41800000000000104</v>
      </c>
      <c r="IO181" s="1006"/>
      <c r="IP181" s="996">
        <v>-0.91959999999999908</v>
      </c>
      <c r="IQ181" s="1006"/>
      <c r="IR181" s="996">
        <v>0</v>
      </c>
      <c r="IS181" s="1006"/>
      <c r="IT181" s="996">
        <v>0</v>
      </c>
      <c r="IU181" s="1006" t="s">
        <v>199</v>
      </c>
      <c r="IV181" s="996">
        <v>1.6469199999999997</v>
      </c>
      <c r="IW181" s="1006"/>
      <c r="IX181" s="996">
        <v>0</v>
      </c>
      <c r="IY181" s="1006"/>
      <c r="IZ181" s="996">
        <v>0</v>
      </c>
      <c r="JA181" s="1006"/>
      <c r="JB181" s="996">
        <v>0</v>
      </c>
      <c r="JC181" s="1006"/>
      <c r="JD181" s="996">
        <v>0</v>
      </c>
      <c r="JE181" s="1006"/>
      <c r="JF181" s="996">
        <v>0</v>
      </c>
      <c r="JG181" s="1006"/>
      <c r="JH181" s="996">
        <v>0</v>
      </c>
      <c r="JI181" s="1006"/>
      <c r="JJ181" s="996">
        <v>0</v>
      </c>
      <c r="JK181" s="1007"/>
      <c r="JL181" s="1007">
        <v>0</v>
      </c>
      <c r="JM181" s="1007"/>
      <c r="JN181" s="1007">
        <v>0</v>
      </c>
      <c r="JO181" s="1008" t="s">
        <v>199</v>
      </c>
      <c r="JP181" s="1007">
        <v>-1.4797200000000004</v>
      </c>
      <c r="JQ181" s="1008">
        <v>0</v>
      </c>
      <c r="JR181" s="1007">
        <v>1.3375999999999166E-2</v>
      </c>
      <c r="JS181" s="1008" t="s">
        <v>204</v>
      </c>
      <c r="JT181" s="1007">
        <v>-7.5164760000000008</v>
      </c>
      <c r="JU181" s="1008"/>
      <c r="JV181" s="1007">
        <v>0</v>
      </c>
      <c r="JW181" s="1008" t="s">
        <v>197</v>
      </c>
      <c r="JX181" s="1007">
        <v>0</v>
      </c>
      <c r="JY181" s="1008" t="s">
        <v>199</v>
      </c>
      <c r="JZ181" s="1007">
        <v>8.3516400000000015</v>
      </c>
      <c r="KA181" s="1008"/>
      <c r="KB181" s="1007">
        <v>0</v>
      </c>
      <c r="KC181" s="1008"/>
      <c r="KD181" s="1007">
        <v>0</v>
      </c>
      <c r="KE181" s="1008" t="s">
        <v>206</v>
      </c>
      <c r="KF181" s="1007">
        <v>-6.6813120000000001</v>
      </c>
      <c r="KG181" s="1008"/>
      <c r="KH181" s="1020">
        <v>0</v>
      </c>
      <c r="KI181" s="1008"/>
      <c r="KJ181" s="1007">
        <v>0</v>
      </c>
      <c r="KK181" s="1008"/>
      <c r="KL181" s="1007">
        <v>0</v>
      </c>
      <c r="KM181" s="1008"/>
      <c r="KN181" s="1007">
        <v>0</v>
      </c>
      <c r="KO181" s="1008"/>
      <c r="KP181" s="1007">
        <v>0</v>
      </c>
      <c r="KQ181" s="1008">
        <v>0</v>
      </c>
      <c r="KR181" s="1007">
        <v>0</v>
      </c>
      <c r="KS181" s="1008">
        <v>0</v>
      </c>
      <c r="KT181" s="1007">
        <v>0</v>
      </c>
      <c r="KU181" s="1008" t="s">
        <v>314</v>
      </c>
      <c r="KV181" s="1007">
        <v>4.5934019999999993</v>
      </c>
      <c r="KW181" s="1008">
        <v>0</v>
      </c>
      <c r="KX181" s="1007">
        <v>0</v>
      </c>
      <c r="KY181" s="1008">
        <v>0</v>
      </c>
      <c r="KZ181" s="1007">
        <v>0</v>
      </c>
      <c r="LA181" s="1008">
        <v>0</v>
      </c>
      <c r="LB181" s="1007">
        <v>0</v>
      </c>
      <c r="LC181" s="1008">
        <v>0</v>
      </c>
      <c r="LD181" s="1007">
        <v>0</v>
      </c>
      <c r="LE181" s="1008">
        <v>0</v>
      </c>
      <c r="LF181" s="1020">
        <v>0</v>
      </c>
      <c r="LG181" s="1008" t="s">
        <v>204</v>
      </c>
      <c r="LH181" s="1007">
        <v>2.5549200000000001</v>
      </c>
      <c r="LI181" s="1008" t="s">
        <v>204</v>
      </c>
      <c r="LJ181" s="1007">
        <v>-3.591205200000001</v>
      </c>
      <c r="LK181" s="1008" t="s">
        <v>555</v>
      </c>
      <c r="LL181" s="1007">
        <v>2.4728544000000001</v>
      </c>
      <c r="LM181" s="1008" t="s">
        <v>555</v>
      </c>
      <c r="LN181" s="1007">
        <v>-6.81494</v>
      </c>
      <c r="LO181" s="1008" t="s">
        <v>206</v>
      </c>
      <c r="LP181" s="1007">
        <v>4.1758199999999981</v>
      </c>
      <c r="LQ181" s="1008" t="s">
        <v>206</v>
      </c>
      <c r="LR181" s="1007">
        <v>-2.5549200000000001</v>
      </c>
      <c r="LS181" s="1008">
        <v>0</v>
      </c>
      <c r="LT181" s="1007">
        <v>0</v>
      </c>
      <c r="LU181" s="1008">
        <v>0</v>
      </c>
      <c r="LV181" s="1007">
        <v>0</v>
      </c>
      <c r="LW181" s="1008">
        <v>0</v>
      </c>
      <c r="LX181" s="1007">
        <v>3.925278</v>
      </c>
      <c r="LY181" s="1009">
        <v>0</v>
      </c>
      <c r="LZ181" s="1010">
        <v>0</v>
      </c>
      <c r="MA181" s="1011" t="s">
        <v>206</v>
      </c>
      <c r="MB181" s="1012">
        <v>5.9454000000000002</v>
      </c>
      <c r="MC181" s="1041"/>
      <c r="MD181" s="1015"/>
      <c r="ME181" s="1018" t="s">
        <v>416</v>
      </c>
      <c r="MF181" s="997"/>
      <c r="MG181" s="1042"/>
      <c r="MH181" s="1043"/>
      <c r="MI181" s="1043"/>
      <c r="MJ181" s="1043"/>
      <c r="MK181" s="1043"/>
      <c r="ML181" s="1043"/>
      <c r="MM181" s="1043"/>
      <c r="MN181" s="1043"/>
      <c r="MO181" s="1043"/>
      <c r="MP181" s="1043"/>
      <c r="MQ181" s="878"/>
      <c r="MR181" s="878"/>
      <c r="MS181" s="1043"/>
      <c r="MT181" s="1043"/>
      <c r="MU181" s="1043"/>
      <c r="MV181" s="1043"/>
      <c r="MW181" s="878"/>
      <c r="MX181" s="878"/>
      <c r="MY181" s="878"/>
      <c r="MZ181" s="878"/>
      <c r="NA181" s="878"/>
      <c r="NB181" s="878"/>
      <c r="NC181" s="878"/>
      <c r="ND181" s="878"/>
      <c r="NE181" s="878"/>
      <c r="NF181" s="878"/>
      <c r="NG181" s="878"/>
      <c r="NH181" s="878"/>
      <c r="NI181" s="878"/>
      <c r="NJ181" s="878"/>
      <c r="NK181" s="878"/>
      <c r="NL181" s="878"/>
      <c r="NM181" s="1043"/>
      <c r="NR181" s="1044"/>
      <c r="NS181" s="1044"/>
      <c r="NT181" s="1045"/>
      <c r="NU181" s="1044"/>
      <c r="NV181" s="1045"/>
      <c r="NX181" s="1046"/>
      <c r="NZ181" s="1045"/>
      <c r="OA181" s="1045"/>
      <c r="OC181" s="1047"/>
      <c r="OD181" s="1047"/>
      <c r="OE181" s="1045"/>
      <c r="OF181" s="1047"/>
      <c r="OG181" s="1047"/>
      <c r="QX181" s="1000">
        <f>CN181-CA181</f>
        <v>20</v>
      </c>
      <c r="ASU181" s="1023" t="s">
        <v>208</v>
      </c>
    </row>
    <row r="182" spans="1:466 1191:1191" ht="21" customHeight="1" x14ac:dyDescent="0.25">
      <c r="A182" s="982" t="str">
        <f t="shared" si="104"/>
        <v>1080-2</v>
      </c>
      <c r="B182" s="124">
        <f>SUBTOTAL(103,$J$29:J182)</f>
        <v>154</v>
      </c>
      <c r="C182" s="126">
        <v>45068</v>
      </c>
      <c r="D182" s="124" t="s">
        <v>176</v>
      </c>
      <c r="E182" s="127" t="s">
        <v>177</v>
      </c>
      <c r="F182" s="128" t="s">
        <v>177</v>
      </c>
      <c r="G182" s="127" t="s">
        <v>178</v>
      </c>
      <c r="H182" s="127" t="s">
        <v>408</v>
      </c>
      <c r="I182" s="127" t="s">
        <v>888</v>
      </c>
      <c r="J182" s="152" t="s">
        <v>901</v>
      </c>
      <c r="K182" s="127" t="s">
        <v>898</v>
      </c>
      <c r="L182" s="130">
        <v>39923</v>
      </c>
      <c r="M182" s="127" t="s">
        <v>230</v>
      </c>
      <c r="N182" s="127" t="s">
        <v>245</v>
      </c>
      <c r="O182" s="127" t="s">
        <v>185</v>
      </c>
      <c r="P182" s="127" t="s">
        <v>186</v>
      </c>
      <c r="Q182" s="85" t="str">
        <f t="shared" si="133"/>
        <v/>
      </c>
      <c r="R182" s="130"/>
      <c r="S182" s="128" t="s">
        <v>156</v>
      </c>
      <c r="T182" s="131"/>
      <c r="U182" s="132">
        <v>203</v>
      </c>
      <c r="V182" s="121">
        <v>218.2</v>
      </c>
      <c r="W182" s="116">
        <v>0.98</v>
      </c>
      <c r="X182" s="116">
        <v>1.66</v>
      </c>
      <c r="Y182" s="116">
        <f t="shared" si="137"/>
        <v>0.98</v>
      </c>
      <c r="Z182" s="133">
        <v>1.454</v>
      </c>
      <c r="AA182" s="133">
        <v>0.83599999999999997</v>
      </c>
      <c r="AB182" s="133">
        <v>0.72</v>
      </c>
      <c r="AC182" s="121">
        <v>34.299999999999997</v>
      </c>
      <c r="AD182" s="134">
        <v>1.17</v>
      </c>
      <c r="AE182" s="124">
        <v>139.69999999999999</v>
      </c>
      <c r="AF182" s="128">
        <v>7.72</v>
      </c>
      <c r="AG182" s="128">
        <v>1921</v>
      </c>
      <c r="AH182" s="127">
        <v>2498</v>
      </c>
      <c r="AI182" s="127">
        <v>2498</v>
      </c>
      <c r="AJ182" s="135"/>
      <c r="AK182" s="128"/>
      <c r="AL182" s="131"/>
      <c r="AM182" s="124" t="s">
        <v>232</v>
      </c>
      <c r="AN182" s="136" t="s">
        <v>902</v>
      </c>
      <c r="AO182" s="137">
        <v>56.1</v>
      </c>
      <c r="AP182" s="128">
        <v>1921</v>
      </c>
      <c r="AQ182" s="128">
        <v>29</v>
      </c>
      <c r="AR182" s="128"/>
      <c r="AS182" s="128"/>
      <c r="AT182" s="122"/>
      <c r="AU182" s="124" t="s">
        <v>189</v>
      </c>
      <c r="AV182" s="115">
        <f>VLOOKUP(J182,'[63]ТР нефть'!$J$28:$BP$638,39,0)</f>
        <v>610.000012793</v>
      </c>
      <c r="AW182" s="115" t="str">
        <f>VLOOKUP(J182,'[63]ТР нефть'!$J$28:$BP$638,40,0)</f>
        <v>ГП</v>
      </c>
      <c r="AX182" s="115">
        <f>VLOOKUP(J182,'[63]ТР нефть'!$J$28:$BP$638,41,0)</f>
        <v>1215.99997207</v>
      </c>
      <c r="AY182" s="115" t="str">
        <f>VLOOKUP(J182,'[63]ТР нефть'!$J$28:$BP$638,42,0)</f>
        <v>ГК 86 5/32</v>
      </c>
      <c r="AZ182" s="115">
        <f>VLOOKUP(J182,'[63]ТР нефть'!$J$28:$BP$638,43,0)</f>
        <v>1768.9999664060001</v>
      </c>
      <c r="BA182" s="115" t="str">
        <f>VLOOKUP(J182,'[63]ТР нефть'!$J$28:$BP$638,44,0)</f>
        <v>ЦКсОК 5/16</v>
      </c>
      <c r="BB182" s="115" t="str">
        <f>VLOOKUP(J182,'[63]ТР нефть'!$J$28:$BP$638,45,0)</f>
        <v>-</v>
      </c>
      <c r="BC182" s="115" t="str">
        <f>VLOOKUP(J182,'[63]ТР нефть'!$J$28:$BP$638,46,0)</f>
        <v>-</v>
      </c>
      <c r="BD182" s="115" t="str">
        <f>VLOOKUP(J182,'[63]ТР нефть'!$J$28:$BP$638,47,0)</f>
        <v>-</v>
      </c>
      <c r="BE182" s="115" t="str">
        <f>VLOOKUP(J182,'[63]ТР нефть'!$J$28:$BP$638,48,0)</f>
        <v>-</v>
      </c>
      <c r="BF182" s="115" t="str">
        <f>VLOOKUP(J182,'[63]ТР нефть'!$J$28:$BP$638,49,0)</f>
        <v>-</v>
      </c>
      <c r="BG182" s="115" t="str">
        <f>VLOOKUP(J182,'[63]ТР нефть'!$J$28:$BP$638,50,0)</f>
        <v>-</v>
      </c>
      <c r="BH182" s="115">
        <f>VLOOKUP(J182,'[63]ТР нефть'!$J$28:$BP$638,51,0)</f>
        <v>1781</v>
      </c>
      <c r="BI182" s="115" t="str">
        <f>VLOOKUP(J182,'[63]ТР нефть'!$J$28:$BP$638,52,0)</f>
        <v>Открыт</v>
      </c>
      <c r="BJ182" s="115" t="str">
        <f>IF(IFERROR(VLOOKUP(J182,'[63]ТР нефть'!$J$28:$BP$638,53,0),"-")=0,"-",IFERROR(VLOOKUP(J182,'[63]ТР нефть'!$J$28:$BP$638,53,0),"-"))</f>
        <v>-</v>
      </c>
      <c r="BK182" s="138" t="str">
        <f>IF(IFERROR(VLOOKUP(J182,'[63]ТР нефть'!$J$28:$BP$638,54,0),"-")=0,"-",IFERROR(VLOOKUP(J182,'[63]ТР нефть'!$J$28:$BP$638,54,0),"-"))</f>
        <v>-</v>
      </c>
      <c r="BL182" s="138" t="str">
        <f>IF(IFERROR(VLOOKUP(J182,'[63]ТР нефть'!$J$28:$BP$638,55,0),"-")=0,"-",IFERROR(VLOOKUP(J182,'[63]ТР нефть'!$J$28:$BP$638,55,0),"-"))</f>
        <v>-</v>
      </c>
      <c r="BM182" s="138" t="str">
        <f>IF(IFERROR(VLOOKUP(J182,'[63]ТР нефть'!$J$28:$BP$638,56,0),"-")=0,"-",IFERROR(VLOOKUP(J182,'[63]ТР нефть'!$J$28:$BP$638,56,0),"-"))</f>
        <v>-</v>
      </c>
      <c r="BN182" s="138" t="str">
        <f>IF(IFERROR(VLOOKUP(J182,'[63]ТР нефть'!$J$28:$BP$638,57,0),"-")=0,"-",IFERROR(VLOOKUP(J182,'[63]ТР нефть'!$J$28:$BP$638,57,0),"-"))</f>
        <v>-</v>
      </c>
      <c r="BO182" s="115" t="str">
        <f>IF(IFERROR(VLOOKUP(J182,'[63]ТР нефть'!$J$28:$BP$638,58,0),"-")=0,"-",IFERROR(VLOOKUP(J182,'[63]ТР нефть'!$J$28:$BP$638,58,0),"-"))</f>
        <v>-</v>
      </c>
      <c r="BP182" s="115" t="str">
        <f>IF(IFERROR(VLOOKUP(J182,'[63]ТР нефть'!$J$28:$BP$638,59,0),"-")=0,"-",IFERROR(VLOOKUP(J182,'[63]ТР нефть'!$J$28:$BP$638,59,0),"-"))</f>
        <v>-</v>
      </c>
      <c r="BQ182" s="138">
        <v>1990</v>
      </c>
      <c r="BR182" s="128">
        <v>1919.62</v>
      </c>
      <c r="BS182" s="115">
        <f t="shared" si="105"/>
        <v>70.380000000000109</v>
      </c>
      <c r="BT182" s="128">
        <v>73</v>
      </c>
      <c r="BU182" s="128">
        <v>5.5</v>
      </c>
      <c r="BV182" s="127">
        <v>18</v>
      </c>
      <c r="BW182" s="127" t="s">
        <v>217</v>
      </c>
      <c r="BX182" s="127" t="s">
        <v>195</v>
      </c>
      <c r="BY182" s="139">
        <v>24</v>
      </c>
      <c r="BZ182" s="139">
        <v>0</v>
      </c>
      <c r="CA182" s="138">
        <v>23</v>
      </c>
      <c r="CB182" s="138">
        <v>36</v>
      </c>
      <c r="CC182" s="138">
        <v>21</v>
      </c>
      <c r="CD182" s="135">
        <v>45017</v>
      </c>
      <c r="CE182" s="138">
        <v>102</v>
      </c>
      <c r="CF182" s="138">
        <v>59</v>
      </c>
      <c r="CG182" s="138" t="str">
        <f t="shared" si="147"/>
        <v>В работе</v>
      </c>
      <c r="CH182" s="138" t="s">
        <v>196</v>
      </c>
      <c r="CI182" s="138">
        <v>6</v>
      </c>
      <c r="CJ182" s="139"/>
      <c r="CK182" s="139"/>
      <c r="CL182" s="99"/>
      <c r="CM182" s="99"/>
      <c r="CN182" s="140">
        <v>43</v>
      </c>
      <c r="CO182" s="159">
        <f t="shared" si="106"/>
        <v>10.868</v>
      </c>
      <c r="CP182" s="160">
        <v>13</v>
      </c>
      <c r="CQ182" s="161">
        <v>0</v>
      </c>
      <c r="CR182" s="138">
        <v>19</v>
      </c>
      <c r="CS182" s="139">
        <v>9.6</v>
      </c>
      <c r="CT182" s="138"/>
      <c r="CU182" s="138">
        <f t="shared" si="134"/>
        <v>9.4</v>
      </c>
      <c r="CV182" s="115">
        <f t="shared" si="135"/>
        <v>864.92454913507538</v>
      </c>
      <c r="CW182" s="115">
        <f t="shared" si="109"/>
        <v>883.32719911667289</v>
      </c>
      <c r="CX182" s="133">
        <f t="shared" si="136"/>
        <v>0.22033898305084745</v>
      </c>
      <c r="CY182" s="116"/>
      <c r="CZ182" s="144"/>
      <c r="DA182" s="145" t="str">
        <f t="shared" si="111"/>
        <v>Газлифт</v>
      </c>
      <c r="DB182" s="146">
        <f t="shared" si="112"/>
        <v>10.868</v>
      </c>
      <c r="DC182" s="142">
        <f t="shared" si="151"/>
        <v>13</v>
      </c>
      <c r="DD182" s="119">
        <f t="shared" si="152"/>
        <v>0</v>
      </c>
      <c r="DE182" s="115">
        <f t="shared" si="115"/>
        <v>9.4</v>
      </c>
      <c r="DF182" s="121">
        <f t="shared" si="116"/>
        <v>9.6</v>
      </c>
      <c r="DG182" s="115">
        <f t="shared" si="117"/>
        <v>864.92454913507538</v>
      </c>
      <c r="DH182" s="115">
        <f t="shared" si="118"/>
        <v>43</v>
      </c>
      <c r="DI182" s="147"/>
      <c r="DJ182" s="111" t="s">
        <v>197</v>
      </c>
      <c r="DK182" s="112">
        <v>41001</v>
      </c>
      <c r="DL182" s="113">
        <f t="shared" ca="1" si="138"/>
        <v>4103</v>
      </c>
      <c r="DM182" s="114"/>
      <c r="DN182" s="114"/>
      <c r="DO182" s="114"/>
      <c r="DP182" s="114"/>
      <c r="DQ182" s="112">
        <v>43269</v>
      </c>
      <c r="DR182" s="114" t="s">
        <v>198</v>
      </c>
      <c r="DS182" s="114"/>
      <c r="DT182" s="115">
        <v>55</v>
      </c>
      <c r="DU182" s="116">
        <f t="shared" si="139"/>
        <v>0.27659574468085107</v>
      </c>
      <c r="DV182" s="117">
        <f t="shared" si="140"/>
        <v>10.868</v>
      </c>
      <c r="DW182" s="118">
        <f t="shared" si="141"/>
        <v>13</v>
      </c>
      <c r="DX182" s="119">
        <f t="shared" si="119"/>
        <v>0</v>
      </c>
      <c r="DY182" s="115">
        <f t="shared" si="142"/>
        <v>9.4</v>
      </c>
      <c r="DZ182" s="117">
        <f t="shared" si="143"/>
        <v>0</v>
      </c>
      <c r="EA182" s="120">
        <f t="shared" si="143"/>
        <v>0</v>
      </c>
      <c r="EB182" s="119">
        <f t="shared" si="143"/>
        <v>0</v>
      </c>
      <c r="EC182" s="121">
        <f t="shared" si="144"/>
        <v>0</v>
      </c>
      <c r="ED182" s="122"/>
      <c r="EE182" s="145">
        <v>18</v>
      </c>
      <c r="EF182" s="115">
        <v>23</v>
      </c>
      <c r="EG182" s="115">
        <v>38</v>
      </c>
      <c r="EH182" s="115">
        <v>23</v>
      </c>
      <c r="EI182" s="128" t="s">
        <v>195</v>
      </c>
      <c r="EJ182" s="121">
        <v>24</v>
      </c>
      <c r="EK182" s="121">
        <v>0</v>
      </c>
      <c r="EL182" s="162">
        <v>7.7538999999999998</v>
      </c>
      <c r="EM182" s="142">
        <v>9.2750000000000004</v>
      </c>
      <c r="EN182" s="119">
        <v>0</v>
      </c>
      <c r="EO182" s="115">
        <v>14.528</v>
      </c>
      <c r="EP182" s="115">
        <v>635.55114200595847</v>
      </c>
      <c r="EQ182" s="115">
        <v>66</v>
      </c>
      <c r="ER182" s="115">
        <v>9.6</v>
      </c>
      <c r="ES182" s="115">
        <v>47</v>
      </c>
      <c r="ET182" s="150">
        <v>0.16863636363636364</v>
      </c>
      <c r="EU182" s="145">
        <f t="shared" si="120"/>
        <v>18</v>
      </c>
      <c r="EV182" s="115">
        <f t="shared" si="121"/>
        <v>23</v>
      </c>
      <c r="EW182" s="115">
        <f t="shared" si="121"/>
        <v>36</v>
      </c>
      <c r="EX182" s="115">
        <f t="shared" si="121"/>
        <v>21</v>
      </c>
      <c r="EY182" s="115" t="str">
        <f t="shared" si="122"/>
        <v>Постоянный</v>
      </c>
      <c r="EZ182" s="115">
        <f t="shared" si="122"/>
        <v>24</v>
      </c>
      <c r="FA182" s="115">
        <f t="shared" si="122"/>
        <v>0</v>
      </c>
      <c r="FB182" s="149">
        <f t="shared" si="123"/>
        <v>10.868</v>
      </c>
      <c r="FC182" s="142">
        <f t="shared" si="123"/>
        <v>13</v>
      </c>
      <c r="FD182" s="119">
        <f t="shared" si="123"/>
        <v>0</v>
      </c>
      <c r="FE182" s="121">
        <f t="shared" si="103"/>
        <v>19</v>
      </c>
      <c r="FF182" s="121">
        <f t="shared" si="145"/>
        <v>864.92454913507538</v>
      </c>
      <c r="FG182" s="121">
        <f t="shared" si="124"/>
        <v>59</v>
      </c>
      <c r="FH182" s="121">
        <f t="shared" si="146"/>
        <v>9.6</v>
      </c>
      <c r="FI182" s="121">
        <f t="shared" si="131"/>
        <v>43</v>
      </c>
      <c r="FJ182" s="144">
        <f t="shared" si="125"/>
        <v>0.22033898305084745</v>
      </c>
      <c r="FK182" s="132">
        <f t="shared" si="126"/>
        <v>0</v>
      </c>
      <c r="FL182" s="115">
        <f t="shared" si="126"/>
        <v>0</v>
      </c>
      <c r="FM182" s="115">
        <f t="shared" si="126"/>
        <v>-2</v>
      </c>
      <c r="FN182" s="115">
        <f t="shared" si="126"/>
        <v>-2</v>
      </c>
      <c r="FO182" s="115">
        <f t="shared" si="150"/>
        <v>0</v>
      </c>
      <c r="FP182" s="115">
        <f t="shared" si="150"/>
        <v>0</v>
      </c>
      <c r="FQ182" s="149">
        <f t="shared" si="150"/>
        <v>3.1141000000000005</v>
      </c>
      <c r="FR182" s="142">
        <f t="shared" si="148"/>
        <v>3.7249999999999996</v>
      </c>
      <c r="FS182" s="119">
        <f t="shared" si="148"/>
        <v>0</v>
      </c>
      <c r="FT182" s="121">
        <f t="shared" si="148"/>
        <v>4.4719999999999995</v>
      </c>
      <c r="FU182" s="121">
        <f t="shared" si="127"/>
        <v>-7</v>
      </c>
      <c r="FV182" s="121">
        <f t="shared" si="127"/>
        <v>0</v>
      </c>
      <c r="FW182" s="121">
        <f t="shared" si="128"/>
        <v>229.37340712911691</v>
      </c>
      <c r="FX182" s="121">
        <f t="shared" si="149"/>
        <v>-4</v>
      </c>
      <c r="FY182" s="144">
        <f t="shared" si="129"/>
        <v>5.1702619414483814E-2</v>
      </c>
      <c r="FZ182" s="145" t="s">
        <v>199</v>
      </c>
      <c r="GA182" s="1039" t="s">
        <v>200</v>
      </c>
      <c r="GB182" s="145"/>
      <c r="GC182" s="1039"/>
      <c r="GD182" s="997" t="s">
        <v>416</v>
      </c>
      <c r="GE182" s="1004"/>
      <c r="GF182" s="1004">
        <v>0</v>
      </c>
      <c r="GG182" s="1004"/>
      <c r="GH182" s="1004">
        <v>-0.43890000000000029</v>
      </c>
      <c r="GI182" s="145"/>
      <c r="GJ182" s="996">
        <v>0</v>
      </c>
      <c r="GK182" s="145"/>
      <c r="GL182" s="996">
        <v>-0.40719999999999956</v>
      </c>
      <c r="GM182" s="1005"/>
      <c r="GN182" s="996">
        <v>0</v>
      </c>
      <c r="GO182" s="1006" t="s">
        <v>199</v>
      </c>
      <c r="GP182" s="996">
        <v>2.089999999999999</v>
      </c>
      <c r="GQ182" s="1006" t="s">
        <v>203</v>
      </c>
      <c r="GR182" s="996">
        <v>-2.914486607999998</v>
      </c>
      <c r="GS182" s="1006"/>
      <c r="GT182" s="996">
        <v>-0.47616169040000145</v>
      </c>
      <c r="GU182" s="1006" t="s">
        <v>342</v>
      </c>
      <c r="GV182" s="996">
        <v>4.1418951199999992</v>
      </c>
      <c r="GW182" s="1006"/>
      <c r="GX182" s="1035">
        <v>0</v>
      </c>
      <c r="GY182" s="1006" t="s">
        <v>199</v>
      </c>
      <c r="GZ182" s="996">
        <v>1.7567531784000003</v>
      </c>
      <c r="HA182" s="1006" t="s">
        <v>199</v>
      </c>
      <c r="HB182" s="996">
        <v>-1.4211999999999998</v>
      </c>
      <c r="HC182" s="1006" t="s">
        <v>204</v>
      </c>
      <c r="HD182" s="996">
        <v>-4.0127999999999995</v>
      </c>
      <c r="HE182" s="1006" t="s">
        <v>199</v>
      </c>
      <c r="HF182" s="996">
        <v>4.0964</v>
      </c>
      <c r="HG182" s="1006"/>
      <c r="HH182" s="996">
        <v>0</v>
      </c>
      <c r="HI182" s="1006"/>
      <c r="HJ182" s="996">
        <v>0</v>
      </c>
      <c r="HK182" s="1006"/>
      <c r="HL182" s="996">
        <v>0</v>
      </c>
      <c r="HM182" s="1006"/>
      <c r="HN182" s="996">
        <v>0</v>
      </c>
      <c r="HO182" s="1006"/>
      <c r="HP182" s="996">
        <v>0.5851999999999995</v>
      </c>
      <c r="HQ182" s="1006"/>
      <c r="HR182" s="996">
        <v>0</v>
      </c>
      <c r="HS182" s="1006"/>
      <c r="HT182" s="996">
        <v>0</v>
      </c>
      <c r="HU182" s="1006" t="s">
        <v>199</v>
      </c>
      <c r="HV182" s="996">
        <v>-4.2565776</v>
      </c>
      <c r="HW182" s="1006" t="s">
        <v>241</v>
      </c>
      <c r="HX182" s="996">
        <v>-1.2948929400000004</v>
      </c>
      <c r="HY182" s="1006"/>
      <c r="HZ182" s="996">
        <v>0.45947813999999987</v>
      </c>
      <c r="IA182" s="1006"/>
      <c r="IB182" s="996">
        <v>0</v>
      </c>
      <c r="IC182" s="1006"/>
      <c r="ID182" s="996">
        <v>0</v>
      </c>
      <c r="IE182" s="1006" t="s">
        <v>199</v>
      </c>
      <c r="IF182" s="996">
        <v>5.4301962000000001</v>
      </c>
      <c r="IG182" s="1006"/>
      <c r="IH182" s="996">
        <v>0</v>
      </c>
      <c r="II182" s="1006"/>
      <c r="IJ182" s="996">
        <v>0</v>
      </c>
      <c r="IK182" s="1006"/>
      <c r="IL182" s="996">
        <v>0</v>
      </c>
      <c r="IM182" s="1006"/>
      <c r="IN182" s="996">
        <v>0</v>
      </c>
      <c r="IO182" s="1006" t="s">
        <v>199</v>
      </c>
      <c r="IP182" s="996">
        <v>-1.8212042639999995</v>
      </c>
      <c r="IQ182" s="1006" t="s">
        <v>204</v>
      </c>
      <c r="IR182" s="996">
        <v>-2.7735771360000001</v>
      </c>
      <c r="IS182" s="1006"/>
      <c r="IT182" s="996">
        <v>0</v>
      </c>
      <c r="IU182" s="1006"/>
      <c r="IV182" s="996">
        <v>0</v>
      </c>
      <c r="IW182" s="1006"/>
      <c r="IX182" s="996">
        <v>0</v>
      </c>
      <c r="IY182" s="1006"/>
      <c r="IZ182" s="996">
        <v>0</v>
      </c>
      <c r="JA182" s="1006" t="s">
        <v>199</v>
      </c>
      <c r="JB182" s="996">
        <v>3.3416592000000005</v>
      </c>
      <c r="JC182" s="1006"/>
      <c r="JD182" s="996">
        <v>0</v>
      </c>
      <c r="JE182" s="1006"/>
      <c r="JF182" s="996">
        <v>0</v>
      </c>
      <c r="JG182" s="1006"/>
      <c r="JH182" s="996">
        <v>0</v>
      </c>
      <c r="JI182" s="1006"/>
      <c r="JJ182" s="996">
        <v>0</v>
      </c>
      <c r="JK182" s="1007"/>
      <c r="JL182" s="1007">
        <v>0</v>
      </c>
      <c r="JM182" s="1007" t="s">
        <v>199</v>
      </c>
      <c r="JN182" s="1007">
        <v>2.3516926620000005</v>
      </c>
      <c r="JO182" s="1008" t="s">
        <v>199</v>
      </c>
      <c r="JP182" s="1007">
        <v>-8.6173036620000012</v>
      </c>
      <c r="JQ182" s="1008">
        <v>0</v>
      </c>
      <c r="JR182" s="1007">
        <v>0</v>
      </c>
      <c r="JS182" s="1008" t="s">
        <v>204</v>
      </c>
      <c r="JT182" s="1007">
        <v>8.9389383599999981</v>
      </c>
      <c r="JU182" s="1008"/>
      <c r="JV182" s="1007">
        <v>0</v>
      </c>
      <c r="JW182" s="1008" t="s">
        <v>197</v>
      </c>
      <c r="JX182" s="1007">
        <v>0</v>
      </c>
      <c r="JY182" s="1008"/>
      <c r="JZ182" s="1007">
        <v>0</v>
      </c>
      <c r="KA182" s="1008"/>
      <c r="KB182" s="1007">
        <v>0</v>
      </c>
      <c r="KC182" s="1008"/>
      <c r="KD182" s="1007">
        <v>0</v>
      </c>
      <c r="KE182" s="1008" t="s">
        <v>204</v>
      </c>
      <c r="KF182" s="1007">
        <v>-3.0910347599999994</v>
      </c>
      <c r="KG182" s="1008"/>
      <c r="KH182" s="1007">
        <v>0</v>
      </c>
      <c r="KI182" s="1008" t="s">
        <v>207</v>
      </c>
      <c r="KJ182" s="1007">
        <v>-6.2656109999999989</v>
      </c>
      <c r="KK182" s="1008"/>
      <c r="KL182" s="1007">
        <v>0</v>
      </c>
      <c r="KM182" s="1008"/>
      <c r="KN182" s="1007">
        <v>0</v>
      </c>
      <c r="KO182" s="1008"/>
      <c r="KP182" s="1007">
        <v>0</v>
      </c>
      <c r="KQ182" s="1008">
        <v>0</v>
      </c>
      <c r="KR182" s="1007">
        <v>0</v>
      </c>
      <c r="KS182" s="1008" t="s">
        <v>25</v>
      </c>
      <c r="KT182" s="1007">
        <v>6.6833183999999992</v>
      </c>
      <c r="KU182" s="1008">
        <v>0</v>
      </c>
      <c r="KV182" s="1007">
        <v>0</v>
      </c>
      <c r="KW182" s="1008" t="s">
        <v>240</v>
      </c>
      <c r="KX182" s="1007">
        <v>-2.5062443999999999</v>
      </c>
      <c r="KY182" s="1008">
        <v>0</v>
      </c>
      <c r="KZ182" s="1007">
        <v>0</v>
      </c>
      <c r="LA182" s="1008">
        <v>0</v>
      </c>
      <c r="LB182" s="1007">
        <v>0</v>
      </c>
      <c r="LC182" s="1008" t="s">
        <v>204</v>
      </c>
      <c r="LD182" s="1007">
        <v>1.6708295999999994</v>
      </c>
      <c r="LE182" s="1008">
        <v>0</v>
      </c>
      <c r="LF182" s="1007">
        <v>0</v>
      </c>
      <c r="LG182" s="1008" t="s">
        <v>204</v>
      </c>
      <c r="LH182" s="1007">
        <v>-1.678296</v>
      </c>
      <c r="LI182" s="1008" t="s">
        <v>203</v>
      </c>
      <c r="LJ182" s="1007">
        <v>2.506244399999999</v>
      </c>
      <c r="LK182" s="1008">
        <v>0</v>
      </c>
      <c r="LL182" s="1007">
        <v>0</v>
      </c>
      <c r="LM182" s="1008" t="s">
        <v>203</v>
      </c>
      <c r="LN182" s="1007">
        <v>-3.3812700000000002</v>
      </c>
      <c r="LO182" s="1008">
        <v>0</v>
      </c>
      <c r="LP182" s="1007">
        <v>0</v>
      </c>
      <c r="LQ182" s="1008">
        <v>0</v>
      </c>
      <c r="LR182" s="1007">
        <v>-0.33416592179999999</v>
      </c>
      <c r="LS182" s="1008">
        <v>0</v>
      </c>
      <c r="LT182" s="1007">
        <v>0</v>
      </c>
      <c r="LU182" s="1008">
        <v>0</v>
      </c>
      <c r="LV182" s="1007">
        <v>0</v>
      </c>
      <c r="LW182" s="1008" t="s">
        <v>25</v>
      </c>
      <c r="LX182" s="1007">
        <v>8</v>
      </c>
      <c r="LY182" s="1009">
        <v>0</v>
      </c>
      <c r="LZ182" s="1010">
        <v>0</v>
      </c>
      <c r="MA182" s="1011" t="s">
        <v>206</v>
      </c>
      <c r="MB182" s="1012">
        <v>2.1553718399999999</v>
      </c>
      <c r="MC182" s="995"/>
      <c r="MD182" s="996"/>
      <c r="ME182" s="997" t="s">
        <v>416</v>
      </c>
      <c r="MF182" s="997"/>
      <c r="MG182" s="998"/>
      <c r="NR182" s="1000"/>
      <c r="NS182" s="1000"/>
      <c r="NT182" s="1001"/>
      <c r="NU182" s="1000"/>
      <c r="NV182" s="1001"/>
      <c r="NX182" s="1002"/>
      <c r="NZ182" s="1001"/>
      <c r="OA182" s="1001"/>
      <c r="OC182" s="1003"/>
      <c r="OD182" s="1003"/>
      <c r="OE182" s="1001"/>
      <c r="OF182" s="1003"/>
      <c r="OG182" s="1003"/>
      <c r="QX182" s="1000">
        <f>CN182-CA182</f>
        <v>20</v>
      </c>
      <c r="ASU182" s="999" t="s">
        <v>208</v>
      </c>
    </row>
    <row r="183" spans="1:466 1191:1191" ht="21" customHeight="1" x14ac:dyDescent="0.25">
      <c r="A183" s="982" t="str">
        <f t="shared" si="104"/>
        <v>1080-1</v>
      </c>
      <c r="B183" s="124">
        <f>SUBTOTAL(103,$J$29:J183)</f>
        <v>155</v>
      </c>
      <c r="C183" s="126">
        <v>45068</v>
      </c>
      <c r="D183" s="124" t="s">
        <v>176</v>
      </c>
      <c r="E183" s="127" t="s">
        <v>177</v>
      </c>
      <c r="F183" s="128" t="s">
        <v>177</v>
      </c>
      <c r="G183" s="127" t="s">
        <v>178</v>
      </c>
      <c r="H183" s="127" t="s">
        <v>408</v>
      </c>
      <c r="I183" s="127" t="s">
        <v>888</v>
      </c>
      <c r="J183" s="152" t="s">
        <v>903</v>
      </c>
      <c r="K183" s="127" t="s">
        <v>898</v>
      </c>
      <c r="L183" s="130">
        <v>39803</v>
      </c>
      <c r="M183" s="127" t="s">
        <v>230</v>
      </c>
      <c r="N183" s="127" t="s">
        <v>231</v>
      </c>
      <c r="O183" s="127" t="s">
        <v>185</v>
      </c>
      <c r="P183" s="127" t="s">
        <v>186</v>
      </c>
      <c r="Q183" s="85" t="str">
        <f t="shared" si="133"/>
        <v/>
      </c>
      <c r="R183" s="130"/>
      <c r="S183" s="128" t="s">
        <v>156</v>
      </c>
      <c r="T183" s="131"/>
      <c r="U183" s="132">
        <v>203</v>
      </c>
      <c r="V183" s="121">
        <v>218.2</v>
      </c>
      <c r="W183" s="116">
        <v>0.98</v>
      </c>
      <c r="X183" s="116">
        <v>1.66</v>
      </c>
      <c r="Y183" s="116">
        <f t="shared" si="137"/>
        <v>0.98</v>
      </c>
      <c r="Z183" s="133">
        <v>1.454</v>
      </c>
      <c r="AA183" s="133">
        <v>0.83599999999999997</v>
      </c>
      <c r="AB183" s="133">
        <v>0.72</v>
      </c>
      <c r="AC183" s="121">
        <v>34.299999999999997</v>
      </c>
      <c r="AD183" s="134">
        <v>1.17</v>
      </c>
      <c r="AE183" s="124">
        <v>139.69999999999999</v>
      </c>
      <c r="AF183" s="128">
        <v>7.72</v>
      </c>
      <c r="AG183" s="128">
        <v>1944</v>
      </c>
      <c r="AH183" s="127" t="s">
        <v>904</v>
      </c>
      <c r="AI183" s="127" t="s">
        <v>904</v>
      </c>
      <c r="AJ183" s="135">
        <v>44965</v>
      </c>
      <c r="AK183" s="128"/>
      <c r="AL183" s="131"/>
      <c r="AM183" s="124" t="s">
        <v>232</v>
      </c>
      <c r="AN183" s="136" t="s">
        <v>905</v>
      </c>
      <c r="AO183" s="137" t="s">
        <v>906</v>
      </c>
      <c r="AP183" s="128">
        <v>1944</v>
      </c>
      <c r="AQ183" s="128">
        <v>39</v>
      </c>
      <c r="AR183" s="128" t="s">
        <v>907</v>
      </c>
      <c r="AS183" s="128">
        <v>114</v>
      </c>
      <c r="AT183" s="122">
        <v>7.4</v>
      </c>
      <c r="AU183" s="124" t="s">
        <v>189</v>
      </c>
      <c r="AV183" s="115">
        <f>VLOOKUP(J183,'[63]ТР нефть'!$J$28:$BP$638,39,0)</f>
        <v>518.99998593800001</v>
      </c>
      <c r="AW183" s="115" t="str">
        <f>VLOOKUP(J183,'[63]ТР нефть'!$J$28:$BP$638,40,0)</f>
        <v>ГК 75 1/8</v>
      </c>
      <c r="AX183" s="115">
        <f>VLOOKUP(J183,'[63]ТР нефть'!$J$28:$BP$638,41,0)</f>
        <v>968.00000273399996</v>
      </c>
      <c r="AY183" s="115" t="str">
        <f>VLOOKUP(J183,'[63]ТР нефть'!$J$28:$BP$638,42,0)</f>
        <v>ГК 74 1/8</v>
      </c>
      <c r="AZ183" s="115">
        <f>VLOOKUP(J183,'[63]ТР нефть'!$J$28:$BP$638,43,0)</f>
        <v>1355.0000085940001</v>
      </c>
      <c r="BA183" s="115" t="str">
        <f>VLOOKUP(J183,'[63]ТР нефть'!$J$28:$BP$638,44,0)</f>
        <v>ГК 73 1/8</v>
      </c>
      <c r="BB183" s="115">
        <f>VLOOKUP(J183,'[63]ТР нефть'!$J$28:$BP$638,45,0)</f>
        <v>1662.9999621090001</v>
      </c>
      <c r="BC183" s="115" t="str">
        <f>VLOOKUP(J183,'[63]ТР нефть'!$J$28:$BP$638,46,0)</f>
        <v>ГК 72 5/32</v>
      </c>
      <c r="BD183" s="115">
        <f>VLOOKUP(J183,'[63]ТР нефть'!$J$28:$BP$638,47,0)</f>
        <v>1896.0000656249999</v>
      </c>
      <c r="BE183" s="115" t="str">
        <f>VLOOKUP(J183,'[63]ТР нефть'!$J$28:$BP$638,48,0)</f>
        <v>ЦКсОК 5/16</v>
      </c>
      <c r="BF183" s="115" t="str">
        <f>VLOOKUP(J183,'[63]ТР нефть'!$J$28:$BP$638,49,0)</f>
        <v>-</v>
      </c>
      <c r="BG183" s="115" t="str">
        <f>VLOOKUP(J183,'[63]ТР нефть'!$J$28:$BP$638,50,0)</f>
        <v>-</v>
      </c>
      <c r="BH183" s="115">
        <f>VLOOKUP(J183,'[63]ТР нефть'!$J$28:$BP$638,51,0)</f>
        <v>1782</v>
      </c>
      <c r="BI183" s="115" t="str">
        <f>VLOOKUP(J183,'[63]ТР нефть'!$J$28:$BP$638,52,0)</f>
        <v>закрыт</v>
      </c>
      <c r="BJ183" s="115" t="str">
        <f>IF(IFERROR(VLOOKUP(J183,'[63]ТР нефть'!$J$28:$BP$638,53,0),"-")=0,"-",IFERROR(VLOOKUP(J183,'[63]ТР нефть'!$J$28:$BP$638,53,0),"-"))</f>
        <v>-</v>
      </c>
      <c r="BK183" s="138" t="str">
        <f>IF(IFERROR(VLOOKUP(J183,'[63]ТР нефть'!$J$28:$BP$638,54,0),"-")=0,"-",IFERROR(VLOOKUP(J183,'[63]ТР нефть'!$J$28:$BP$638,54,0),"-"))</f>
        <v>-</v>
      </c>
      <c r="BL183" s="138" t="str">
        <f>IF(IFERROR(VLOOKUP(J183,'[63]ТР нефть'!$J$28:$BP$638,55,0),"-")=0,"-",IFERROR(VLOOKUP(J183,'[63]ТР нефть'!$J$28:$BP$638,55,0),"-"))</f>
        <v>-</v>
      </c>
      <c r="BM183" s="138" t="str">
        <f>IF(IFERROR(VLOOKUP(J183,'[63]ТР нефть'!$J$28:$BP$638,56,0),"-")=0,"-",IFERROR(VLOOKUP(J183,'[63]ТР нефть'!$J$28:$BP$638,56,0),"-"))</f>
        <v>-</v>
      </c>
      <c r="BN183" s="138" t="str">
        <f>IF(IFERROR(VLOOKUP(J183,'[63]ТР нефть'!$J$28:$BP$638,57,0),"-")=0,"-",IFERROR(VLOOKUP(J183,'[63]ТР нефть'!$J$28:$BP$638,57,0),"-"))</f>
        <v>-</v>
      </c>
      <c r="BO183" s="115" t="str">
        <f>IF(IFERROR(VLOOKUP(J183,'[63]ТР нефть'!$J$28:$BP$638,58,0),"-")=0,"-",IFERROR(VLOOKUP(J183,'[63]ТР нефть'!$J$28:$BP$638,58,0),"-"))</f>
        <v>-</v>
      </c>
      <c r="BP183" s="115" t="str">
        <f>IF(IFERROR(VLOOKUP(J183,'[63]ТР нефть'!$J$28:$BP$638,59,0),"-")=0,"-",IFERROR(VLOOKUP(J183,'[63]ТР нефть'!$J$28:$BP$638,59,0),"-"))</f>
        <v>-</v>
      </c>
      <c r="BQ183" s="138">
        <v>1910.18</v>
      </c>
      <c r="BR183" s="128">
        <v>1910</v>
      </c>
      <c r="BS183" s="115">
        <f t="shared" si="105"/>
        <v>0.18000000000006366</v>
      </c>
      <c r="BT183" s="128">
        <v>73</v>
      </c>
      <c r="BU183" s="128">
        <v>5.5</v>
      </c>
      <c r="BV183" s="127">
        <v>18</v>
      </c>
      <c r="BW183" s="127" t="s">
        <v>217</v>
      </c>
      <c r="BX183" s="127" t="s">
        <v>195</v>
      </c>
      <c r="BY183" s="139">
        <v>24</v>
      </c>
      <c r="BZ183" s="139">
        <v>0</v>
      </c>
      <c r="CA183" s="138">
        <v>25</v>
      </c>
      <c r="CB183" s="138">
        <v>62</v>
      </c>
      <c r="CC183" s="138">
        <v>24</v>
      </c>
      <c r="CD183" s="135">
        <v>45017</v>
      </c>
      <c r="CE183" s="138">
        <v>133.19999999999999</v>
      </c>
      <c r="CF183" s="138">
        <v>68</v>
      </c>
      <c r="CG183" s="138" t="str">
        <f t="shared" si="147"/>
        <v>В работе</v>
      </c>
      <c r="CH183" s="138" t="s">
        <v>196</v>
      </c>
      <c r="CI183" s="127">
        <v>6</v>
      </c>
      <c r="CJ183" s="138"/>
      <c r="CK183" s="138"/>
      <c r="CL183" s="99"/>
      <c r="CM183" s="99"/>
      <c r="CN183" s="140">
        <v>47</v>
      </c>
      <c r="CO183" s="159">
        <f t="shared" si="106"/>
        <v>17.556000000000001</v>
      </c>
      <c r="CP183" s="160">
        <v>21</v>
      </c>
      <c r="CQ183" s="161">
        <v>0</v>
      </c>
      <c r="CR183" s="138">
        <v>24</v>
      </c>
      <c r="CS183" s="139">
        <v>16</v>
      </c>
      <c r="CT183" s="138"/>
      <c r="CU183" s="138">
        <f t="shared" si="134"/>
        <v>8</v>
      </c>
      <c r="CV183" s="115">
        <f t="shared" si="135"/>
        <v>455.68466621098196</v>
      </c>
      <c r="CW183" s="115">
        <f t="shared" si="109"/>
        <v>911.36933242196415</v>
      </c>
      <c r="CX183" s="133">
        <f t="shared" si="136"/>
        <v>0.24361948955916476</v>
      </c>
      <c r="CY183" s="116"/>
      <c r="CZ183" s="131"/>
      <c r="DA183" s="145" t="str">
        <f t="shared" si="111"/>
        <v>Газлифт</v>
      </c>
      <c r="DB183" s="146">
        <f t="shared" si="112"/>
        <v>17.556000000000001</v>
      </c>
      <c r="DC183" s="142">
        <f t="shared" si="151"/>
        <v>21</v>
      </c>
      <c r="DD183" s="119">
        <f t="shared" si="152"/>
        <v>0</v>
      </c>
      <c r="DE183" s="115">
        <f t="shared" si="115"/>
        <v>8</v>
      </c>
      <c r="DF183" s="121">
        <f t="shared" si="116"/>
        <v>16</v>
      </c>
      <c r="DG183" s="115">
        <f t="shared" si="117"/>
        <v>455.68466621098196</v>
      </c>
      <c r="DH183" s="115">
        <f t="shared" si="118"/>
        <v>47</v>
      </c>
      <c r="DI183" s="147"/>
      <c r="DJ183" s="111" t="s">
        <v>197</v>
      </c>
      <c r="DK183" s="112">
        <v>41020</v>
      </c>
      <c r="DL183" s="113">
        <f t="shared" ca="1" si="138"/>
        <v>4084</v>
      </c>
      <c r="DM183" s="114"/>
      <c r="DN183" s="114"/>
      <c r="DO183" s="114"/>
      <c r="DP183" s="114"/>
      <c r="DQ183" s="112">
        <v>43304</v>
      </c>
      <c r="DR183" s="114" t="s">
        <v>198</v>
      </c>
      <c r="DS183" s="114"/>
      <c r="DT183" s="115">
        <v>60</v>
      </c>
      <c r="DU183" s="116">
        <f t="shared" si="139"/>
        <v>0.28688524590163939</v>
      </c>
      <c r="DV183" s="117">
        <f t="shared" si="140"/>
        <v>17.556000000000001</v>
      </c>
      <c r="DW183" s="118">
        <f t="shared" si="141"/>
        <v>21</v>
      </c>
      <c r="DX183" s="119">
        <f t="shared" si="119"/>
        <v>0</v>
      </c>
      <c r="DY183" s="115">
        <f t="shared" si="142"/>
        <v>8</v>
      </c>
      <c r="DZ183" s="117">
        <f t="shared" si="143"/>
        <v>0</v>
      </c>
      <c r="EA183" s="120">
        <f t="shared" si="143"/>
        <v>0</v>
      </c>
      <c r="EB183" s="119">
        <f t="shared" si="143"/>
        <v>0</v>
      </c>
      <c r="EC183" s="121">
        <f t="shared" si="144"/>
        <v>0</v>
      </c>
      <c r="ED183" s="122"/>
      <c r="EE183" s="145">
        <v>18</v>
      </c>
      <c r="EF183" s="115">
        <v>24</v>
      </c>
      <c r="EG183" s="115">
        <v>49</v>
      </c>
      <c r="EH183" s="115">
        <v>23</v>
      </c>
      <c r="EI183" s="128" t="s">
        <v>195</v>
      </c>
      <c r="EJ183" s="121">
        <v>24</v>
      </c>
      <c r="EK183" s="121">
        <v>0</v>
      </c>
      <c r="EL183" s="162">
        <v>21.1508</v>
      </c>
      <c r="EM183" s="142">
        <v>25.3</v>
      </c>
      <c r="EN183" s="119">
        <v>0</v>
      </c>
      <c r="EO183" s="115">
        <v>24.7</v>
      </c>
      <c r="EP183" s="115">
        <v>420.78786618000254</v>
      </c>
      <c r="EQ183" s="115">
        <v>67</v>
      </c>
      <c r="ER183" s="115">
        <v>15.8</v>
      </c>
      <c r="ES183" s="115">
        <v>48</v>
      </c>
      <c r="ET183" s="150">
        <v>0.31546134663341652</v>
      </c>
      <c r="EU183" s="145">
        <f t="shared" si="120"/>
        <v>18</v>
      </c>
      <c r="EV183" s="115">
        <f t="shared" si="121"/>
        <v>25</v>
      </c>
      <c r="EW183" s="115">
        <f t="shared" si="121"/>
        <v>62</v>
      </c>
      <c r="EX183" s="115">
        <f t="shared" si="121"/>
        <v>24</v>
      </c>
      <c r="EY183" s="115" t="str">
        <f t="shared" si="122"/>
        <v>Постоянный</v>
      </c>
      <c r="EZ183" s="115">
        <f t="shared" si="122"/>
        <v>24</v>
      </c>
      <c r="FA183" s="115">
        <f t="shared" si="122"/>
        <v>0</v>
      </c>
      <c r="FB183" s="149">
        <f t="shared" si="123"/>
        <v>17.556000000000001</v>
      </c>
      <c r="FC183" s="142">
        <f t="shared" si="123"/>
        <v>21</v>
      </c>
      <c r="FD183" s="119">
        <f t="shared" si="123"/>
        <v>0</v>
      </c>
      <c r="FE183" s="121">
        <f t="shared" si="103"/>
        <v>24</v>
      </c>
      <c r="FF183" s="121">
        <f t="shared" si="145"/>
        <v>455.68466621098196</v>
      </c>
      <c r="FG183" s="121">
        <f t="shared" si="124"/>
        <v>68</v>
      </c>
      <c r="FH183" s="121">
        <f t="shared" si="146"/>
        <v>16</v>
      </c>
      <c r="FI183" s="121">
        <f t="shared" si="131"/>
        <v>47</v>
      </c>
      <c r="FJ183" s="144">
        <f t="shared" si="125"/>
        <v>0.24361948955916476</v>
      </c>
      <c r="FK183" s="132">
        <f t="shared" si="126"/>
        <v>0</v>
      </c>
      <c r="FL183" s="115">
        <f t="shared" si="126"/>
        <v>1</v>
      </c>
      <c r="FM183" s="115">
        <f t="shared" si="126"/>
        <v>13</v>
      </c>
      <c r="FN183" s="115">
        <f t="shared" si="126"/>
        <v>1</v>
      </c>
      <c r="FO183" s="115">
        <f t="shared" si="150"/>
        <v>0</v>
      </c>
      <c r="FP183" s="115">
        <f t="shared" si="150"/>
        <v>0</v>
      </c>
      <c r="FQ183" s="149">
        <f t="shared" si="150"/>
        <v>-3.5947999999999993</v>
      </c>
      <c r="FR183" s="142">
        <f t="shared" si="148"/>
        <v>-4.3000000000000007</v>
      </c>
      <c r="FS183" s="119">
        <f t="shared" si="148"/>
        <v>0</v>
      </c>
      <c r="FT183" s="121">
        <f t="shared" si="148"/>
        <v>-0.69999999999999929</v>
      </c>
      <c r="FU183" s="121">
        <f t="shared" si="127"/>
        <v>1</v>
      </c>
      <c r="FV183" s="121">
        <f t="shared" si="127"/>
        <v>0.19999999999999929</v>
      </c>
      <c r="FW183" s="121">
        <f t="shared" si="128"/>
        <v>34.896800030979421</v>
      </c>
      <c r="FX183" s="121">
        <f t="shared" si="149"/>
        <v>-1</v>
      </c>
      <c r="FY183" s="144">
        <f t="shared" si="129"/>
        <v>-7.1841857074251753E-2</v>
      </c>
      <c r="FZ183" s="145" t="s">
        <v>203</v>
      </c>
      <c r="GA183" s="131" t="s">
        <v>908</v>
      </c>
      <c r="GB183" s="145" t="s">
        <v>203</v>
      </c>
      <c r="GC183" s="131" t="s">
        <v>909</v>
      </c>
      <c r="GD183" s="997" t="s">
        <v>416</v>
      </c>
      <c r="GE183" s="1004" t="s">
        <v>203</v>
      </c>
      <c r="GF183" s="1004">
        <v>-3.929199999999998</v>
      </c>
      <c r="GG183" s="1004" t="s">
        <v>203</v>
      </c>
      <c r="GH183" s="1004">
        <v>-5.655540000000002</v>
      </c>
      <c r="GI183" s="145" t="s">
        <v>342</v>
      </c>
      <c r="GJ183" s="996">
        <v>22.911242112</v>
      </c>
      <c r="GK183" s="145"/>
      <c r="GL183" s="996">
        <v>0</v>
      </c>
      <c r="GM183" s="1005"/>
      <c r="GN183" s="996">
        <v>0</v>
      </c>
      <c r="GO183" s="1006"/>
      <c r="GP183" s="996">
        <v>0</v>
      </c>
      <c r="GQ183" s="1006"/>
      <c r="GR183" s="996">
        <v>-2.5079999999999998E-2</v>
      </c>
      <c r="GS183" s="1006"/>
      <c r="GT183" s="996">
        <v>0</v>
      </c>
      <c r="GU183" s="1006"/>
      <c r="GV183" s="996">
        <v>0</v>
      </c>
      <c r="GW183" s="1006"/>
      <c r="GX183" s="1035">
        <v>0</v>
      </c>
      <c r="GY183" s="1006"/>
      <c r="GZ183" s="996">
        <v>0</v>
      </c>
      <c r="HA183" s="1006"/>
      <c r="HB183" s="996">
        <v>0</v>
      </c>
      <c r="HC183" s="1006"/>
      <c r="HD183" s="996">
        <v>0</v>
      </c>
      <c r="HE183" s="1006"/>
      <c r="HF183" s="996">
        <v>0</v>
      </c>
      <c r="HG183" s="1006"/>
      <c r="HH183" s="996">
        <v>0</v>
      </c>
      <c r="HI183" s="1006"/>
      <c r="HJ183" s="996">
        <v>0</v>
      </c>
      <c r="HK183" s="1006"/>
      <c r="HL183" s="996">
        <v>0</v>
      </c>
      <c r="HM183" s="1006"/>
      <c r="HN183" s="996">
        <v>0</v>
      </c>
      <c r="HO183" s="1006"/>
      <c r="HP183" s="996">
        <v>0</v>
      </c>
      <c r="HQ183" s="1006"/>
      <c r="HR183" s="996">
        <v>0</v>
      </c>
      <c r="HS183" s="1006"/>
      <c r="HT183" s="996">
        <v>0</v>
      </c>
      <c r="HU183" s="1006"/>
      <c r="HV183" s="996">
        <v>0</v>
      </c>
      <c r="HW183" s="1006"/>
      <c r="HX183" s="996">
        <v>0</v>
      </c>
      <c r="HY183" s="1006"/>
      <c r="HZ183" s="996">
        <v>0</v>
      </c>
      <c r="IA183" s="1006"/>
      <c r="IB183" s="996">
        <v>0</v>
      </c>
      <c r="IC183" s="1006"/>
      <c r="ID183" s="996">
        <v>0</v>
      </c>
      <c r="IE183" s="1006"/>
      <c r="IF183" s="996">
        <v>0</v>
      </c>
      <c r="IG183" s="1006" t="s">
        <v>199</v>
      </c>
      <c r="IH183" s="996">
        <v>-5.0832000000000006</v>
      </c>
      <c r="II183" s="1006"/>
      <c r="IJ183" s="996">
        <v>0</v>
      </c>
      <c r="IK183" s="1006"/>
      <c r="IL183" s="996">
        <v>0</v>
      </c>
      <c r="IM183" s="1006" t="s">
        <v>199</v>
      </c>
      <c r="IN183" s="996">
        <v>-4.0127999999999995</v>
      </c>
      <c r="IO183" s="1006"/>
      <c r="IP183" s="996">
        <v>0</v>
      </c>
      <c r="IQ183" s="1006" t="s">
        <v>199</v>
      </c>
      <c r="IR183" s="996">
        <v>4.4935</v>
      </c>
      <c r="IS183" s="1006" t="s">
        <v>204</v>
      </c>
      <c r="IT183" s="996">
        <v>-4.7024999999999997</v>
      </c>
      <c r="IU183" s="1006" t="s">
        <v>199</v>
      </c>
      <c r="IV183" s="996">
        <v>2.864971999999999</v>
      </c>
      <c r="IW183" s="1006"/>
      <c r="IX183" s="996">
        <v>0</v>
      </c>
      <c r="IY183" s="1006"/>
      <c r="IZ183" s="996">
        <v>0</v>
      </c>
      <c r="JA183" s="1006"/>
      <c r="JB183" s="996">
        <v>0</v>
      </c>
      <c r="JC183" s="1006"/>
      <c r="JD183" s="996">
        <v>0</v>
      </c>
      <c r="JE183" s="1006"/>
      <c r="JF183" s="996">
        <v>0</v>
      </c>
      <c r="JG183" s="1006"/>
      <c r="JH183" s="996">
        <v>0</v>
      </c>
      <c r="JI183" s="1006"/>
      <c r="JJ183" s="996">
        <v>0</v>
      </c>
      <c r="JK183" s="1007"/>
      <c r="JL183" s="1007">
        <v>0</v>
      </c>
      <c r="JM183" s="1007" t="s">
        <v>199</v>
      </c>
      <c r="JN183" s="1007">
        <v>2.7111480000000006</v>
      </c>
      <c r="JO183" s="1008" t="s">
        <v>199</v>
      </c>
      <c r="JP183" s="1007">
        <v>-7.0391200000000005</v>
      </c>
      <c r="JQ183" s="1008">
        <v>0</v>
      </c>
      <c r="JR183" s="1007">
        <v>0</v>
      </c>
      <c r="JS183" s="1008" t="s">
        <v>204</v>
      </c>
      <c r="JT183" s="1007">
        <v>1.5884000000000018</v>
      </c>
      <c r="JU183" s="1008"/>
      <c r="JV183" s="1007">
        <v>0</v>
      </c>
      <c r="JW183" s="1008" t="s">
        <v>197</v>
      </c>
      <c r="JX183" s="1007">
        <v>0</v>
      </c>
      <c r="JY183" s="1008"/>
      <c r="JZ183" s="1007">
        <v>0</v>
      </c>
      <c r="KA183" s="1008"/>
      <c r="KB183" s="1007">
        <v>0</v>
      </c>
      <c r="KC183" s="1008"/>
      <c r="KD183" s="1007">
        <v>0</v>
      </c>
      <c r="KE183" s="1008"/>
      <c r="KF183" s="1007">
        <v>0</v>
      </c>
      <c r="KG183" s="1008"/>
      <c r="KH183" s="1007">
        <v>0</v>
      </c>
      <c r="KI183" s="1008" t="s">
        <v>207</v>
      </c>
      <c r="KJ183" s="1007">
        <v>-2.4244000000000003</v>
      </c>
      <c r="KK183" s="1008"/>
      <c r="KL183" s="1007">
        <v>0</v>
      </c>
      <c r="KM183" s="1008" t="s">
        <v>203</v>
      </c>
      <c r="KN183" s="1007">
        <v>-4.4256592688000023</v>
      </c>
      <c r="KO183" s="1008" t="s">
        <v>25</v>
      </c>
      <c r="KP183" s="1007">
        <v>4.4432152688000013</v>
      </c>
      <c r="KQ183" s="1008">
        <v>0</v>
      </c>
      <c r="KR183" s="1007">
        <v>0</v>
      </c>
      <c r="KS183" s="1008">
        <v>0</v>
      </c>
      <c r="KT183" s="1007">
        <v>0</v>
      </c>
      <c r="KU183" s="1008">
        <v>0</v>
      </c>
      <c r="KV183" s="1007">
        <v>0</v>
      </c>
      <c r="KW183" s="1008" t="s">
        <v>204</v>
      </c>
      <c r="KX183" s="1007">
        <v>-6.6779679999999981</v>
      </c>
      <c r="KY183" s="1008">
        <v>0</v>
      </c>
      <c r="KZ183" s="1007">
        <v>0</v>
      </c>
      <c r="LA183" s="1008" t="s">
        <v>204</v>
      </c>
      <c r="LB183" s="1007">
        <v>7.5127140000000008</v>
      </c>
      <c r="LC183" s="1008">
        <v>0</v>
      </c>
      <c r="LD183" s="1007">
        <v>0</v>
      </c>
      <c r="LE183" s="1008">
        <v>0</v>
      </c>
      <c r="LF183" s="1007">
        <v>0</v>
      </c>
      <c r="LG183" s="1008" t="s">
        <v>204</v>
      </c>
      <c r="LH183" s="1007">
        <v>-3.3389839999999964</v>
      </c>
      <c r="LI183" s="1008">
        <v>0</v>
      </c>
      <c r="LJ183" s="1007">
        <v>0</v>
      </c>
      <c r="LK183" s="1008" t="s">
        <v>555</v>
      </c>
      <c r="LL183" s="1007">
        <v>5.8432220000000026</v>
      </c>
      <c r="LM183" s="1008" t="s">
        <v>206</v>
      </c>
      <c r="LN183" s="1007">
        <v>-2.5710199999999999</v>
      </c>
      <c r="LO183" s="1008" t="s">
        <v>206</v>
      </c>
      <c r="LP183" s="1007">
        <v>3.4576368</v>
      </c>
      <c r="LQ183" s="1008">
        <v>0</v>
      </c>
      <c r="LR183" s="1007">
        <v>0</v>
      </c>
      <c r="LS183" s="1008">
        <v>0</v>
      </c>
      <c r="LT183" s="1007">
        <v>0</v>
      </c>
      <c r="LU183" s="1008" t="s">
        <v>692</v>
      </c>
      <c r="LV183" s="1007">
        <v>-2.5423800000000001</v>
      </c>
      <c r="LW183" s="1008" t="s">
        <v>206</v>
      </c>
      <c r="LX183" s="1007">
        <v>-1.8364411999999994</v>
      </c>
      <c r="LY183" s="1009">
        <v>0</v>
      </c>
      <c r="LZ183" s="1010">
        <v>0</v>
      </c>
      <c r="MA183" s="1011">
        <v>0</v>
      </c>
      <c r="MB183" s="1012">
        <v>0</v>
      </c>
      <c r="MC183" s="995"/>
      <c r="MD183" s="996"/>
      <c r="ME183" s="997" t="s">
        <v>416</v>
      </c>
      <c r="MF183" s="997"/>
      <c r="MG183" s="998"/>
      <c r="NR183" s="1000"/>
      <c r="NS183" s="1000"/>
      <c r="NT183" s="1001"/>
      <c r="NU183" s="1000"/>
      <c r="NV183" s="1001"/>
      <c r="NX183" s="1002"/>
      <c r="NZ183" s="1001"/>
      <c r="OA183" s="1001"/>
      <c r="OC183" s="1003"/>
      <c r="OD183" s="1003"/>
      <c r="OE183" s="1001"/>
      <c r="OF183" s="1003"/>
      <c r="OG183" s="1003"/>
      <c r="QX183" s="1000">
        <f>CN183-CA183</f>
        <v>22</v>
      </c>
      <c r="ASU183" s="999" t="s">
        <v>292</v>
      </c>
    </row>
    <row r="184" spans="1:466 1191:1191" ht="21" customHeight="1" x14ac:dyDescent="0.25">
      <c r="A184" s="982">
        <f t="shared" si="104"/>
        <v>1081</v>
      </c>
      <c r="B184" s="124">
        <f>SUBTOTAL(103,$J$29:J184)</f>
        <v>156</v>
      </c>
      <c r="C184" s="126">
        <v>45068</v>
      </c>
      <c r="D184" s="124" t="s">
        <v>176</v>
      </c>
      <c r="E184" s="127" t="s">
        <v>177</v>
      </c>
      <c r="F184" s="128" t="s">
        <v>177</v>
      </c>
      <c r="G184" s="127" t="s">
        <v>178</v>
      </c>
      <c r="H184" s="127" t="s">
        <v>408</v>
      </c>
      <c r="I184" s="127" t="s">
        <v>888</v>
      </c>
      <c r="J184" s="152">
        <v>1081</v>
      </c>
      <c r="K184" s="127" t="s">
        <v>910</v>
      </c>
      <c r="L184" s="130">
        <v>39361</v>
      </c>
      <c r="M184" s="127" t="s">
        <v>230</v>
      </c>
      <c r="N184" s="127" t="s">
        <v>245</v>
      </c>
      <c r="O184" s="127" t="s">
        <v>185</v>
      </c>
      <c r="P184" s="127" t="s">
        <v>186</v>
      </c>
      <c r="Q184" s="85" t="str">
        <f t="shared" si="133"/>
        <v/>
      </c>
      <c r="R184" s="130"/>
      <c r="S184" s="128" t="s">
        <v>156</v>
      </c>
      <c r="T184" s="131"/>
      <c r="U184" s="132">
        <v>203</v>
      </c>
      <c r="V184" s="121">
        <v>218.2</v>
      </c>
      <c r="W184" s="116">
        <v>0.98</v>
      </c>
      <c r="X184" s="116">
        <v>1.66</v>
      </c>
      <c r="Y184" s="116">
        <f t="shared" si="137"/>
        <v>0.98646550887746187</v>
      </c>
      <c r="Z184" s="133">
        <v>1.454</v>
      </c>
      <c r="AA184" s="133">
        <v>0.83599999999999997</v>
      </c>
      <c r="AB184" s="133">
        <v>0.72</v>
      </c>
      <c r="AC184" s="121">
        <v>34.299999999999997</v>
      </c>
      <c r="AD184" s="134">
        <v>1.17</v>
      </c>
      <c r="AE184" s="124">
        <v>139.69999999999999</v>
      </c>
      <c r="AF184" s="128">
        <v>7.72</v>
      </c>
      <c r="AG184" s="128">
        <v>1991.5</v>
      </c>
      <c r="AH184" s="127">
        <v>2376</v>
      </c>
      <c r="AI184" s="127">
        <v>2376</v>
      </c>
      <c r="AJ184" s="135"/>
      <c r="AK184" s="128"/>
      <c r="AL184" s="131"/>
      <c r="AM184" s="124" t="s">
        <v>232</v>
      </c>
      <c r="AN184" s="136" t="s">
        <v>911</v>
      </c>
      <c r="AO184" s="137">
        <v>21.69</v>
      </c>
      <c r="AP184" s="128">
        <v>1942</v>
      </c>
      <c r="AQ184" s="128">
        <v>62.3</v>
      </c>
      <c r="AR184" s="128"/>
      <c r="AS184" s="128"/>
      <c r="AT184" s="122"/>
      <c r="AU184" s="124" t="s">
        <v>250</v>
      </c>
      <c r="AV184" s="115">
        <f>VLOOKUP(J184,'[63]ТР нефть'!$J$28:$BP$638,39,0)</f>
        <v>365</v>
      </c>
      <c r="AW184" s="115" t="str">
        <f>VLOOKUP(J184,'[63]ТР нефть'!$J$28:$BP$638,40,0)</f>
        <v>ГП</v>
      </c>
      <c r="AX184" s="115">
        <f>VLOOKUP(J184,'[63]ТР нефть'!$J$28:$BP$638,41,0)</f>
        <v>700</v>
      </c>
      <c r="AY184" s="115" t="str">
        <f>VLOOKUP(J184,'[63]ТР нефть'!$J$28:$BP$638,42,0)</f>
        <v>ГП</v>
      </c>
      <c r="AZ184" s="115">
        <f>VLOOKUP(J184,'[63]ТР нефть'!$J$28:$BP$638,43,0)</f>
        <v>995</v>
      </c>
      <c r="BA184" s="115" t="str">
        <f>VLOOKUP(J184,'[63]ТР нефть'!$J$28:$BP$638,44,0)</f>
        <v>ГК 80 1/8</v>
      </c>
      <c r="BB184" s="115">
        <f>VLOOKUP(J184,'[63]ТР нефть'!$J$28:$BP$638,45,0)</f>
        <v>1245</v>
      </c>
      <c r="BC184" s="115" t="str">
        <f>VLOOKUP(J184,'[63]ТР нефть'!$J$28:$BP$638,46,0)</f>
        <v>ГК 79 1/8</v>
      </c>
      <c r="BD184" s="115">
        <f>VLOOKUP(J184,'[63]ТР нефть'!$J$28:$BP$638,47,0)</f>
        <v>1460</v>
      </c>
      <c r="BE184" s="115" t="str">
        <f>VLOOKUP(J184,'[63]ТР нефть'!$J$28:$BP$638,48,0)</f>
        <v>ЦКсОК 5/16</v>
      </c>
      <c r="BF184" s="115" t="str">
        <f>VLOOKUP(J184,'[63]ТР нефть'!$J$28:$BP$638,49,0)</f>
        <v>-</v>
      </c>
      <c r="BG184" s="115" t="str">
        <f>VLOOKUP(J184,'[63]ТР нефть'!$J$28:$BP$638,50,0)</f>
        <v>-</v>
      </c>
      <c r="BH184" s="115">
        <f>VLOOKUP(J184,'[63]ТР нефть'!$J$28:$BP$638,51,0)</f>
        <v>1540</v>
      </c>
      <c r="BI184" s="115" t="str">
        <f>VLOOKUP(J184,'[63]ТР нефть'!$J$28:$BP$638,52,0)</f>
        <v>закрыт</v>
      </c>
      <c r="BJ184" s="115" t="str">
        <f>IF(IFERROR(VLOOKUP(J184,'[63]ТР нефть'!$J$28:$BP$638,53,0),"-")=0,"-",IFERROR(VLOOKUP(J184,'[63]ТР нефть'!$J$28:$BP$638,53,0),"-"))</f>
        <v>-</v>
      </c>
      <c r="BK184" s="138" t="str">
        <f>IF(IFERROR(VLOOKUP(J184,'[63]ТР нефть'!$J$28:$BP$638,54,0),"-")=0,"-",IFERROR(VLOOKUP(J184,'[63]ТР нефть'!$J$28:$BP$638,54,0),"-"))</f>
        <v>-</v>
      </c>
      <c r="BL184" s="138" t="str">
        <f>IF(IFERROR(VLOOKUP(J184,'[63]ТР нефть'!$J$28:$BP$638,55,0),"-")=0,"-",IFERROR(VLOOKUP(J184,'[63]ТР нефть'!$J$28:$BP$638,55,0),"-"))</f>
        <v>-</v>
      </c>
      <c r="BM184" s="138" t="str">
        <f>IF(IFERROR(VLOOKUP(J184,'[63]ТР нефть'!$J$28:$BP$638,56,0),"-")=0,"-",IFERROR(VLOOKUP(J184,'[63]ТР нефть'!$J$28:$BP$638,56,0),"-"))</f>
        <v>-</v>
      </c>
      <c r="BN184" s="138" t="str">
        <f>IF(IFERROR(VLOOKUP(J184,'[63]ТР нефть'!$J$28:$BP$638,57,0),"-")=0,"-",IFERROR(VLOOKUP(J184,'[63]ТР нефть'!$J$28:$BP$638,57,0),"-"))</f>
        <v>-</v>
      </c>
      <c r="BO184" s="115" t="str">
        <f>IF(IFERROR(VLOOKUP(J184,'[63]ТР нефть'!$J$28:$BP$638,58,0),"-")=0,"-",IFERROR(VLOOKUP(J184,'[63]ТР нефть'!$J$28:$BP$638,58,0),"-"))</f>
        <v>-</v>
      </c>
      <c r="BP184" s="115" t="str">
        <f>IF(IFERROR(VLOOKUP(J184,'[63]ТР нефть'!$J$28:$BP$638,59,0),"-")=0,"-",IFERROR(VLOOKUP(J184,'[63]ТР нефть'!$J$28:$BP$638,59,0),"-"))</f>
        <v>-</v>
      </c>
      <c r="BQ184" s="138">
        <v>1942</v>
      </c>
      <c r="BR184" s="128">
        <v>1852.73</v>
      </c>
      <c r="BS184" s="115">
        <f t="shared" si="105"/>
        <v>89.269999999999982</v>
      </c>
      <c r="BT184" s="128">
        <v>73</v>
      </c>
      <c r="BU184" s="128">
        <v>5.5</v>
      </c>
      <c r="BV184" s="127">
        <v>65</v>
      </c>
      <c r="BW184" s="127" t="s">
        <v>217</v>
      </c>
      <c r="BX184" s="127" t="s">
        <v>195</v>
      </c>
      <c r="BY184" s="139">
        <v>24</v>
      </c>
      <c r="BZ184" s="139">
        <v>0</v>
      </c>
      <c r="CA184" s="138">
        <v>25</v>
      </c>
      <c r="CB184" s="138">
        <v>34</v>
      </c>
      <c r="CC184" s="138">
        <v>24</v>
      </c>
      <c r="CD184" s="135">
        <v>45017</v>
      </c>
      <c r="CE184" s="138">
        <v>81</v>
      </c>
      <c r="CF184" s="138"/>
      <c r="CG184" s="138"/>
      <c r="CH184" s="138"/>
      <c r="CI184" s="127"/>
      <c r="CJ184" s="138"/>
      <c r="CK184" s="138"/>
      <c r="CL184" s="99"/>
      <c r="CM184" s="138"/>
      <c r="CN184" s="154">
        <v>52</v>
      </c>
      <c r="CO184" s="159">
        <f t="shared" si="106"/>
        <v>6.1696799999999996</v>
      </c>
      <c r="CP184" s="160">
        <v>7.5</v>
      </c>
      <c r="CQ184" s="161">
        <v>1.6</v>
      </c>
      <c r="CR184" s="138">
        <v>11</v>
      </c>
      <c r="CS184" s="139"/>
      <c r="CT184" s="138"/>
      <c r="CU184" s="138">
        <f t="shared" si="134"/>
        <v>11</v>
      </c>
      <c r="CV184" s="115">
        <f t="shared" si="135"/>
        <v>1782.912565967765</v>
      </c>
      <c r="CW184" s="115" t="str">
        <f t="shared" si="109"/>
        <v/>
      </c>
      <c r="CX184" s="133">
        <f t="shared" si="136"/>
        <v>0.25862068965517243</v>
      </c>
      <c r="CY184" s="116"/>
      <c r="CZ184" s="131"/>
      <c r="DA184" s="145" t="str">
        <f t="shared" si="111"/>
        <v>Фон.</v>
      </c>
      <c r="DB184" s="146">
        <f t="shared" si="112"/>
        <v>7.1059999999999999</v>
      </c>
      <c r="DC184" s="142">
        <f t="shared" si="151"/>
        <v>8.5</v>
      </c>
      <c r="DD184" s="119">
        <f t="shared" si="152"/>
        <v>0</v>
      </c>
      <c r="DE184" s="115">
        <f t="shared" si="115"/>
        <v>11</v>
      </c>
      <c r="DF184" s="121">
        <f t="shared" si="116"/>
        <v>0</v>
      </c>
      <c r="DG184" s="115">
        <f t="shared" si="117"/>
        <v>1782.912565967765</v>
      </c>
      <c r="DH184" s="115">
        <f t="shared" si="118"/>
        <v>52</v>
      </c>
      <c r="DI184" s="147"/>
      <c r="DJ184" s="111"/>
      <c r="DK184" s="112">
        <v>43953.083333333336</v>
      </c>
      <c r="DL184" s="113">
        <f t="shared" ca="1" si="138"/>
        <v>1150.9166666666642</v>
      </c>
      <c r="DM184" s="114"/>
      <c r="DN184" s="114"/>
      <c r="DO184" s="114"/>
      <c r="DP184" s="114"/>
      <c r="DQ184" s="112"/>
      <c r="DR184" s="114"/>
      <c r="DS184" s="114"/>
      <c r="DT184" s="115">
        <v>50</v>
      </c>
      <c r="DU184" s="116">
        <f t="shared" si="139"/>
        <v>0.25524554199246224</v>
      </c>
      <c r="DV184" s="117">
        <f t="shared" si="140"/>
        <v>6.5091043708162246</v>
      </c>
      <c r="DW184" s="118">
        <f t="shared" si="141"/>
        <v>7.9126118017663289</v>
      </c>
      <c r="DX184" s="119">
        <f t="shared" si="119"/>
        <v>1.6</v>
      </c>
      <c r="DY184" s="115">
        <f t="shared" si="142"/>
        <v>11.605163975923949</v>
      </c>
      <c r="DZ184" s="117">
        <f t="shared" si="143"/>
        <v>0.33942437081622501</v>
      </c>
      <c r="EA184" s="120">
        <f t="shared" si="143"/>
        <v>0.41261180176632895</v>
      </c>
      <c r="EB184" s="119">
        <f t="shared" si="143"/>
        <v>0</v>
      </c>
      <c r="EC184" s="121">
        <f t="shared" si="144"/>
        <v>0.60516397592394888</v>
      </c>
      <c r="ED184" s="122"/>
      <c r="EE184" s="145">
        <v>65</v>
      </c>
      <c r="EF184" s="115">
        <v>24</v>
      </c>
      <c r="EG184" s="115">
        <v>32</v>
      </c>
      <c r="EH184" s="115">
        <v>23</v>
      </c>
      <c r="EI184" s="128" t="s">
        <v>195</v>
      </c>
      <c r="EJ184" s="121">
        <v>24</v>
      </c>
      <c r="EK184" s="121">
        <v>0</v>
      </c>
      <c r="EL184" s="162">
        <v>7.1059999999999999</v>
      </c>
      <c r="EM184" s="142">
        <v>8.5</v>
      </c>
      <c r="EN184" s="119">
        <v>0</v>
      </c>
      <c r="EO184" s="115">
        <v>15.135</v>
      </c>
      <c r="EP184" s="115">
        <v>2129.8902336054039</v>
      </c>
      <c r="EQ184" s="115">
        <v>0</v>
      </c>
      <c r="ER184" s="115">
        <v>0</v>
      </c>
      <c r="ES184" s="115">
        <v>48</v>
      </c>
      <c r="ET184" s="150">
        <v>0.22972972972972974</v>
      </c>
      <c r="EU184" s="145">
        <f t="shared" si="120"/>
        <v>65</v>
      </c>
      <c r="EV184" s="115">
        <f t="shared" si="121"/>
        <v>25</v>
      </c>
      <c r="EW184" s="115">
        <f t="shared" si="121"/>
        <v>34</v>
      </c>
      <c r="EX184" s="115">
        <f t="shared" si="121"/>
        <v>24</v>
      </c>
      <c r="EY184" s="115" t="str">
        <f t="shared" si="122"/>
        <v>Постоянный</v>
      </c>
      <c r="EZ184" s="115">
        <f t="shared" si="122"/>
        <v>24</v>
      </c>
      <c r="FA184" s="115">
        <f t="shared" si="122"/>
        <v>0</v>
      </c>
      <c r="FB184" s="149">
        <f t="shared" si="123"/>
        <v>6.1696799999999996</v>
      </c>
      <c r="FC184" s="142">
        <f t="shared" si="123"/>
        <v>7.5</v>
      </c>
      <c r="FD184" s="119">
        <f t="shared" si="123"/>
        <v>1.6</v>
      </c>
      <c r="FE184" s="121">
        <f t="shared" si="103"/>
        <v>11</v>
      </c>
      <c r="FF184" s="121">
        <f t="shared" si="145"/>
        <v>1782.912565967765</v>
      </c>
      <c r="FG184" s="121">
        <f t="shared" si="124"/>
        <v>0</v>
      </c>
      <c r="FH184" s="121">
        <f t="shared" si="146"/>
        <v>0</v>
      </c>
      <c r="FI184" s="121">
        <f t="shared" si="131"/>
        <v>52</v>
      </c>
      <c r="FJ184" s="144">
        <f t="shared" si="125"/>
        <v>0.25862068965517243</v>
      </c>
      <c r="FK184" s="132">
        <f t="shared" si="126"/>
        <v>0</v>
      </c>
      <c r="FL184" s="115">
        <f t="shared" si="126"/>
        <v>1</v>
      </c>
      <c r="FM184" s="115">
        <f t="shared" si="126"/>
        <v>2</v>
      </c>
      <c r="FN184" s="115">
        <f t="shared" si="126"/>
        <v>1</v>
      </c>
      <c r="FO184" s="115">
        <f t="shared" si="150"/>
        <v>0</v>
      </c>
      <c r="FP184" s="115">
        <f t="shared" si="150"/>
        <v>0</v>
      </c>
      <c r="FQ184" s="149">
        <f t="shared" si="150"/>
        <v>-0.93632000000000026</v>
      </c>
      <c r="FR184" s="142">
        <f t="shared" si="148"/>
        <v>-1</v>
      </c>
      <c r="FS184" s="119">
        <f t="shared" si="148"/>
        <v>1.6</v>
      </c>
      <c r="FT184" s="121">
        <f t="shared" si="148"/>
        <v>-4.1349999999999998</v>
      </c>
      <c r="FU184" s="121">
        <f t="shared" si="127"/>
        <v>0</v>
      </c>
      <c r="FV184" s="121">
        <f t="shared" si="127"/>
        <v>0</v>
      </c>
      <c r="FW184" s="121">
        <f t="shared" si="128"/>
        <v>-346.97766763763889</v>
      </c>
      <c r="FX184" s="121">
        <f t="shared" si="149"/>
        <v>4</v>
      </c>
      <c r="FY184" s="144">
        <f t="shared" si="129"/>
        <v>2.8890959925442689E-2</v>
      </c>
      <c r="FZ184" s="145" t="s">
        <v>199</v>
      </c>
      <c r="GA184" s="1024" t="s">
        <v>415</v>
      </c>
      <c r="GB184" s="145"/>
      <c r="GC184" s="131"/>
      <c r="GD184" s="997" t="s">
        <v>416</v>
      </c>
      <c r="GE184" s="1004"/>
      <c r="GF184" s="1004">
        <v>0</v>
      </c>
      <c r="GG184" s="1004" t="s">
        <v>221</v>
      </c>
      <c r="GH184" s="1004">
        <v>1.0145696000000006</v>
      </c>
      <c r="GI184" s="145"/>
      <c r="GJ184" s="996">
        <v>0</v>
      </c>
      <c r="GK184" s="145"/>
      <c r="GL184" s="996">
        <v>0</v>
      </c>
      <c r="GM184" s="1005"/>
      <c r="GN184" s="996">
        <v>0</v>
      </c>
      <c r="GO184" s="1006"/>
      <c r="GP184" s="996">
        <v>0</v>
      </c>
      <c r="GQ184" s="1006" t="s">
        <v>203</v>
      </c>
      <c r="GR184" s="996">
        <v>-4.2175271204000007</v>
      </c>
      <c r="GS184" s="1006" t="s">
        <v>25</v>
      </c>
      <c r="GT184" s="996">
        <v>3.2029575204</v>
      </c>
      <c r="GU184" s="1006"/>
      <c r="GV184" s="996">
        <v>0</v>
      </c>
      <c r="GW184" s="1006" t="s">
        <v>204</v>
      </c>
      <c r="GX184" s="1035">
        <v>1.7489119999999998</v>
      </c>
      <c r="GY184" s="1006"/>
      <c r="GZ184" s="996">
        <v>0</v>
      </c>
      <c r="HA184" s="1006"/>
      <c r="HB184" s="996">
        <v>-0.6203120000000002</v>
      </c>
      <c r="HC184" s="1006" t="s">
        <v>204</v>
      </c>
      <c r="HD184" s="996">
        <v>-2.884199999999999</v>
      </c>
      <c r="HE184" s="1006" t="s">
        <v>199</v>
      </c>
      <c r="HF184" s="996">
        <v>2.2989999999999995</v>
      </c>
      <c r="HG184" s="1006"/>
      <c r="HH184" s="996">
        <v>0</v>
      </c>
      <c r="HI184" s="1006"/>
      <c r="HJ184" s="996">
        <v>0</v>
      </c>
      <c r="HK184" s="1006"/>
      <c r="HL184" s="996">
        <v>0</v>
      </c>
      <c r="HM184" s="1006"/>
      <c r="HN184" s="996">
        <v>0</v>
      </c>
      <c r="HO184" s="1006" t="s">
        <v>199</v>
      </c>
      <c r="HP184" s="996">
        <v>-1.2790800000000004</v>
      </c>
      <c r="HQ184" s="1006" t="s">
        <v>223</v>
      </c>
      <c r="HR184" s="996">
        <v>-2.613971359999999</v>
      </c>
      <c r="HS184" s="1006"/>
      <c r="HT184" s="996">
        <v>0</v>
      </c>
      <c r="HU184" s="1006" t="s">
        <v>204</v>
      </c>
      <c r="HV184" s="996">
        <v>-1.1313086400000003</v>
      </c>
      <c r="HW184" s="1006" t="s">
        <v>241</v>
      </c>
      <c r="HX184" s="996">
        <v>1.6129048319999999</v>
      </c>
      <c r="HY184" s="1006"/>
      <c r="HZ184" s="996">
        <v>0</v>
      </c>
      <c r="IA184" s="1006"/>
      <c r="IB184" s="996">
        <v>0</v>
      </c>
      <c r="IC184" s="1006" t="s">
        <v>275</v>
      </c>
      <c r="ID184" s="996">
        <v>-21.626744831999996</v>
      </c>
      <c r="IE184" s="1006"/>
      <c r="IF184" s="996">
        <v>0</v>
      </c>
      <c r="IG184" s="1006" t="s">
        <v>199</v>
      </c>
      <c r="IH184" s="996">
        <v>5.3085999999999984</v>
      </c>
      <c r="II184" s="1006" t="s">
        <v>204</v>
      </c>
      <c r="IJ184" s="996">
        <v>7.4160723999999973</v>
      </c>
      <c r="IK184" s="1006"/>
      <c r="IL184" s="996">
        <v>0</v>
      </c>
      <c r="IM184" s="1006"/>
      <c r="IN184" s="996">
        <v>0</v>
      </c>
      <c r="IO184" s="1006" t="s">
        <v>203</v>
      </c>
      <c r="IP184" s="996">
        <v>-1.0541123999999975</v>
      </c>
      <c r="IQ184" s="1006"/>
      <c r="IR184" s="996">
        <v>0</v>
      </c>
      <c r="IS184" s="1006" t="s">
        <v>203</v>
      </c>
      <c r="IT184" s="996">
        <v>-2.8925600000000031</v>
      </c>
      <c r="IU184" s="1006" t="s">
        <v>199</v>
      </c>
      <c r="IV184" s="996">
        <v>-1.8483968359999956</v>
      </c>
      <c r="IW184" s="1006"/>
      <c r="IX184" s="996">
        <v>0</v>
      </c>
      <c r="IY184" s="1006" t="s">
        <v>25</v>
      </c>
      <c r="IZ184" s="996">
        <v>23.581610169333331</v>
      </c>
      <c r="JA184" s="1006"/>
      <c r="JB184" s="996"/>
      <c r="JC184" s="1006"/>
      <c r="JD184" s="996">
        <v>0</v>
      </c>
      <c r="JE184" s="1006"/>
      <c r="JF184" s="996">
        <v>0</v>
      </c>
      <c r="JG184" s="1006"/>
      <c r="JH184" s="996">
        <v>0</v>
      </c>
      <c r="JI184" s="1006" t="s">
        <v>204</v>
      </c>
      <c r="JJ184" s="996">
        <v>-1.1375173333333335</v>
      </c>
      <c r="JK184" s="1007"/>
      <c r="JL184" s="1007">
        <v>0</v>
      </c>
      <c r="JM184" s="1007"/>
      <c r="JN184" s="1007">
        <v>0</v>
      </c>
      <c r="JO184" s="1008" t="s">
        <v>199</v>
      </c>
      <c r="JP184" s="1007">
        <v>-1.1168959999999997</v>
      </c>
      <c r="JQ184" s="1008">
        <v>0</v>
      </c>
      <c r="JR184" s="1007">
        <v>0</v>
      </c>
      <c r="JS184" s="1008">
        <v>0</v>
      </c>
      <c r="JT184" s="1007">
        <v>0</v>
      </c>
      <c r="JU184" s="1008"/>
      <c r="JV184" s="1007">
        <v>0</v>
      </c>
      <c r="JW184" s="1008" t="s">
        <v>197</v>
      </c>
      <c r="JX184" s="1007">
        <v>0</v>
      </c>
      <c r="JY184" s="1008"/>
      <c r="JZ184" s="1007">
        <v>0</v>
      </c>
      <c r="KA184" s="1008"/>
      <c r="KB184" s="1007">
        <v>0</v>
      </c>
      <c r="KC184" s="1008"/>
      <c r="KD184" s="1007">
        <v>0</v>
      </c>
      <c r="KE184" s="1008"/>
      <c r="KF184" s="1007">
        <v>0</v>
      </c>
      <c r="KG184" s="1008"/>
      <c r="KH184" s="1007">
        <v>0</v>
      </c>
      <c r="KI184" s="1008"/>
      <c r="KJ184" s="1007">
        <v>0</v>
      </c>
      <c r="KK184" s="1008"/>
      <c r="KL184" s="1007">
        <v>0</v>
      </c>
      <c r="KM184" s="1008"/>
      <c r="KN184" s="1007">
        <v>0</v>
      </c>
      <c r="KO184" s="1008"/>
      <c r="KP184" s="1007">
        <v>0</v>
      </c>
      <c r="KQ184" s="1008">
        <v>0</v>
      </c>
      <c r="KR184" s="1007">
        <v>0</v>
      </c>
      <c r="KS184" s="1008">
        <v>0</v>
      </c>
      <c r="KT184" s="1007">
        <v>0</v>
      </c>
      <c r="KU184" s="1008" t="s">
        <v>260</v>
      </c>
      <c r="KV184" s="1007">
        <v>3.3439999999999999</v>
      </c>
      <c r="KW184" s="1008">
        <v>0</v>
      </c>
      <c r="KX184" s="1007">
        <v>0</v>
      </c>
      <c r="KY184" s="1008">
        <v>0</v>
      </c>
      <c r="KZ184" s="1007">
        <v>0</v>
      </c>
      <c r="LA184" s="1008">
        <v>0</v>
      </c>
      <c r="LB184" s="1007">
        <v>0</v>
      </c>
      <c r="LC184" s="1008">
        <v>0</v>
      </c>
      <c r="LD184" s="1007">
        <v>0</v>
      </c>
      <c r="LE184" s="1008">
        <v>0</v>
      </c>
      <c r="LF184" s="1007">
        <v>0</v>
      </c>
      <c r="LG184" s="1008">
        <v>0</v>
      </c>
      <c r="LH184" s="1007">
        <v>-3.7123875800000001</v>
      </c>
      <c r="LI184" s="1008">
        <v>0</v>
      </c>
      <c r="LJ184" s="1007">
        <v>0</v>
      </c>
      <c r="LK184" s="1008" t="s">
        <v>555</v>
      </c>
      <c r="LL184" s="1007">
        <v>0.37549979999999999</v>
      </c>
      <c r="LM184" s="1008" t="s">
        <v>240</v>
      </c>
      <c r="LN184" s="1007">
        <v>-3.4203999999999999</v>
      </c>
      <c r="LO184" s="1008">
        <v>0</v>
      </c>
      <c r="LP184" s="1007">
        <v>0</v>
      </c>
      <c r="LQ184" s="1008">
        <v>0</v>
      </c>
      <c r="LR184" s="1007">
        <v>0</v>
      </c>
      <c r="LS184" s="1008">
        <v>0</v>
      </c>
      <c r="LT184" s="1007">
        <v>0</v>
      </c>
      <c r="LU184" s="1008">
        <v>0</v>
      </c>
      <c r="LV184" s="1007">
        <v>0</v>
      </c>
      <c r="LW184" s="1008">
        <v>0</v>
      </c>
      <c r="LX184" s="1007">
        <v>0</v>
      </c>
      <c r="LY184" s="1009">
        <v>0</v>
      </c>
      <c r="LZ184" s="1010">
        <v>0.12513666000000001</v>
      </c>
      <c r="MA184" s="1011">
        <v>0</v>
      </c>
      <c r="MB184" s="1012">
        <v>0</v>
      </c>
      <c r="MC184" s="995"/>
      <c r="MD184" s="996"/>
      <c r="ME184" s="997" t="s">
        <v>416</v>
      </c>
      <c r="MF184" s="997"/>
      <c r="MG184" s="998"/>
      <c r="NR184" s="1000"/>
      <c r="NS184" s="1000"/>
      <c r="NT184" s="1001"/>
      <c r="NU184" s="1000"/>
      <c r="NV184" s="1001"/>
      <c r="NX184" s="1002"/>
      <c r="NZ184" s="1001"/>
      <c r="OA184" s="1001"/>
      <c r="OC184" s="1003"/>
      <c r="OD184" s="1003"/>
      <c r="OE184" s="1001"/>
      <c r="OF184" s="1003"/>
      <c r="OG184" s="1003"/>
      <c r="OH184" s="1003"/>
      <c r="OI184" s="1016"/>
      <c r="QX184" s="1000">
        <f>CN184-CA184</f>
        <v>27</v>
      </c>
      <c r="ASU184" s="999" t="s">
        <v>208</v>
      </c>
    </row>
    <row r="185" spans="1:466 1191:1191" ht="21" customHeight="1" x14ac:dyDescent="0.25">
      <c r="A185" s="982" t="str">
        <f t="shared" si="104"/>
        <v>1081-2</v>
      </c>
      <c r="B185" s="124">
        <f>SUBTOTAL(103,$J$29:J185)</f>
        <v>157</v>
      </c>
      <c r="C185" s="126">
        <v>45068</v>
      </c>
      <c r="D185" s="124" t="s">
        <v>176</v>
      </c>
      <c r="E185" s="127" t="s">
        <v>177</v>
      </c>
      <c r="F185" s="128" t="s">
        <v>177</v>
      </c>
      <c r="G185" s="127" t="s">
        <v>178</v>
      </c>
      <c r="H185" s="127" t="s">
        <v>408</v>
      </c>
      <c r="I185" s="127" t="s">
        <v>888</v>
      </c>
      <c r="J185" s="152" t="s">
        <v>912</v>
      </c>
      <c r="K185" s="127" t="s">
        <v>910</v>
      </c>
      <c r="L185" s="130">
        <v>39609</v>
      </c>
      <c r="M185" s="127" t="s">
        <v>230</v>
      </c>
      <c r="N185" s="127" t="s">
        <v>245</v>
      </c>
      <c r="O185" s="127" t="s">
        <v>185</v>
      </c>
      <c r="P185" s="127" t="s">
        <v>186</v>
      </c>
      <c r="Q185" s="85" t="str">
        <f t="shared" si="133"/>
        <v/>
      </c>
      <c r="R185" s="130"/>
      <c r="S185" s="128" t="s">
        <v>156</v>
      </c>
      <c r="T185" s="131"/>
      <c r="U185" s="132">
        <v>203</v>
      </c>
      <c r="V185" s="121">
        <v>218.2</v>
      </c>
      <c r="W185" s="116">
        <v>0.98</v>
      </c>
      <c r="X185" s="116">
        <v>1.66</v>
      </c>
      <c r="Y185" s="116">
        <f t="shared" si="137"/>
        <v>0.98</v>
      </c>
      <c r="Z185" s="133">
        <v>1.454</v>
      </c>
      <c r="AA185" s="133">
        <v>0.83599999999999997</v>
      </c>
      <c r="AB185" s="133">
        <v>0.72</v>
      </c>
      <c r="AC185" s="121">
        <v>34.299999999999997</v>
      </c>
      <c r="AD185" s="134">
        <v>1.17</v>
      </c>
      <c r="AE185" s="124">
        <v>139.69999999999999</v>
      </c>
      <c r="AF185" s="128">
        <v>7.72</v>
      </c>
      <c r="AG185" s="128">
        <v>2032</v>
      </c>
      <c r="AH185" s="127" t="s">
        <v>913</v>
      </c>
      <c r="AI185" s="127" t="s">
        <v>913</v>
      </c>
      <c r="AJ185" s="135"/>
      <c r="AK185" s="128"/>
      <c r="AL185" s="131"/>
      <c r="AM185" s="124" t="s">
        <v>232</v>
      </c>
      <c r="AN185" s="136" t="s">
        <v>914</v>
      </c>
      <c r="AO185" s="137" t="s">
        <v>915</v>
      </c>
      <c r="AP185" s="128">
        <v>2032</v>
      </c>
      <c r="AQ185" s="128">
        <v>136.1</v>
      </c>
      <c r="AR185" s="128"/>
      <c r="AS185" s="128"/>
      <c r="AT185" s="122"/>
      <c r="AU185" s="124" t="s">
        <v>189</v>
      </c>
      <c r="AV185" s="115">
        <f>VLOOKUP(J185,'[63]ТР нефть'!$J$28:$BP$638,39,0)</f>
        <v>599.99999062500001</v>
      </c>
      <c r="AW185" s="115" t="str">
        <f>VLOOKUP(J185,'[63]ТР нефть'!$J$28:$BP$638,40,0)</f>
        <v>ГП</v>
      </c>
      <c r="AX185" s="115">
        <f>VLOOKUP(J185,'[63]ТР нефть'!$J$28:$BP$638,41,0)</f>
        <v>1196.9999783200001</v>
      </c>
      <c r="AY185" s="115" t="str">
        <f>VLOOKUP(J185,'[63]ТР нефть'!$J$28:$BP$638,42,0)</f>
        <v>ГК 84 1/8</v>
      </c>
      <c r="AZ185" s="115">
        <f>VLOOKUP(J185,'[63]ТР нефть'!$J$28:$BP$638,43,0)</f>
        <v>1742.999990625</v>
      </c>
      <c r="BA185" s="115" t="str">
        <f>VLOOKUP(J185,'[63]ТР нефть'!$J$28:$BP$638,44,0)</f>
        <v>ЦКсОК 5/16</v>
      </c>
      <c r="BB185" s="115" t="str">
        <f>VLOOKUP(J185,'[63]ТР нефть'!$J$28:$BP$638,45,0)</f>
        <v>-</v>
      </c>
      <c r="BC185" s="115" t="str">
        <f>VLOOKUP(J185,'[63]ТР нефть'!$J$28:$BP$638,46,0)</f>
        <v>-</v>
      </c>
      <c r="BD185" s="115" t="str">
        <f>VLOOKUP(J185,'[63]ТР нефть'!$J$28:$BP$638,47,0)</f>
        <v>-</v>
      </c>
      <c r="BE185" s="115" t="str">
        <f>VLOOKUP(J185,'[63]ТР нефть'!$J$28:$BP$638,48,0)</f>
        <v>-</v>
      </c>
      <c r="BF185" s="115" t="str">
        <f>VLOOKUP(J185,'[63]ТР нефть'!$J$28:$BP$638,49,0)</f>
        <v>-</v>
      </c>
      <c r="BG185" s="115" t="str">
        <f>VLOOKUP(J185,'[63]ТР нефть'!$J$28:$BP$638,50,0)</f>
        <v>-</v>
      </c>
      <c r="BH185" s="115">
        <f>VLOOKUP(J185,'[63]ТР нефть'!$J$28:$BP$638,51,0)</f>
        <v>1755</v>
      </c>
      <c r="BI185" s="115" t="str">
        <f>VLOOKUP(J185,'[63]ТР нефть'!$J$28:$BP$638,52,0)</f>
        <v>закрыт</v>
      </c>
      <c r="BJ185" s="115" t="str">
        <f>IF(IFERROR(VLOOKUP(J185,'[63]ТР нефть'!$J$28:$BP$638,53,0),"-")=0,"-",IFERROR(VLOOKUP(J185,'[63]ТР нефть'!$J$28:$BP$638,53,0),"-"))</f>
        <v>-</v>
      </c>
      <c r="BK185" s="138" t="str">
        <f>IF(IFERROR(VLOOKUP(J185,'[63]ТР нефть'!$J$28:$BP$638,54,0),"-")=0,"-",IFERROR(VLOOKUP(J185,'[63]ТР нефть'!$J$28:$BP$638,54,0),"-"))</f>
        <v>-</v>
      </c>
      <c r="BL185" s="138" t="str">
        <f>IF(IFERROR(VLOOKUP(J185,'[63]ТР нефть'!$J$28:$BP$638,55,0),"-")=0,"-",IFERROR(VLOOKUP(J185,'[63]ТР нефть'!$J$28:$BP$638,55,0),"-"))</f>
        <v>-</v>
      </c>
      <c r="BM185" s="138" t="str">
        <f>IF(IFERROR(VLOOKUP(J185,'[63]ТР нефть'!$J$28:$BP$638,56,0),"-")=0,"-",IFERROR(VLOOKUP(J185,'[63]ТР нефть'!$J$28:$BP$638,56,0),"-"))</f>
        <v>-</v>
      </c>
      <c r="BN185" s="138" t="str">
        <f>IF(IFERROR(VLOOKUP(J185,'[63]ТР нефть'!$J$28:$BP$638,57,0),"-")=0,"-",IFERROR(VLOOKUP(J185,'[63]ТР нефть'!$J$28:$BP$638,57,0),"-"))</f>
        <v>-</v>
      </c>
      <c r="BO185" s="115" t="str">
        <f>IF(IFERROR(VLOOKUP(J185,'[63]ТР нефть'!$J$28:$BP$638,58,0),"-")=0,"-",IFERROR(VLOOKUP(J185,'[63]ТР нефть'!$J$28:$BP$638,58,0),"-"))</f>
        <v>-</v>
      </c>
      <c r="BP185" s="115" t="str">
        <f>IF(IFERROR(VLOOKUP(J185,'[63]ТР нефть'!$J$28:$BP$638,59,0),"-")=0,"-",IFERROR(VLOOKUP(J185,'[63]ТР нефть'!$J$28:$BP$638,59,0),"-"))</f>
        <v>-</v>
      </c>
      <c r="BQ185" s="138">
        <v>2282</v>
      </c>
      <c r="BR185" s="128">
        <v>1917</v>
      </c>
      <c r="BS185" s="115">
        <f t="shared" si="105"/>
        <v>365</v>
      </c>
      <c r="BT185" s="128">
        <v>73</v>
      </c>
      <c r="BU185" s="128">
        <v>5.5</v>
      </c>
      <c r="BV185" s="127">
        <v>65</v>
      </c>
      <c r="BW185" s="127" t="s">
        <v>217</v>
      </c>
      <c r="BX185" s="127" t="s">
        <v>195</v>
      </c>
      <c r="BY185" s="139">
        <v>24</v>
      </c>
      <c r="BZ185" s="139">
        <v>0</v>
      </c>
      <c r="CA185" s="138">
        <v>23</v>
      </c>
      <c r="CB185" s="138">
        <v>35</v>
      </c>
      <c r="CC185" s="138">
        <v>22</v>
      </c>
      <c r="CD185" s="135">
        <v>45017</v>
      </c>
      <c r="CE185" s="138">
        <v>76</v>
      </c>
      <c r="CF185" s="138">
        <v>67</v>
      </c>
      <c r="CG185" s="138" t="str">
        <f t="shared" ref="CG185:CG243" si="153">IF(CH185&lt;&gt;"","В работе","")</f>
        <v>В работе</v>
      </c>
      <c r="CH185" s="138" t="s">
        <v>196</v>
      </c>
      <c r="CI185" s="138">
        <v>6</v>
      </c>
      <c r="CJ185" s="139"/>
      <c r="CK185" s="139"/>
      <c r="CL185" s="99"/>
      <c r="CM185" s="99"/>
      <c r="CN185" s="140">
        <v>44</v>
      </c>
      <c r="CO185" s="159">
        <f t="shared" si="106"/>
        <v>7.2731999999999992</v>
      </c>
      <c r="CP185" s="160">
        <v>8.6999999999999993</v>
      </c>
      <c r="CQ185" s="161">
        <v>0</v>
      </c>
      <c r="CR185" s="115">
        <v>14.725</v>
      </c>
      <c r="CS185" s="139">
        <v>8.6999999999999993</v>
      </c>
      <c r="CT185" s="138"/>
      <c r="CU185" s="138">
        <f t="shared" si="134"/>
        <v>6.0250000000000004</v>
      </c>
      <c r="CV185" s="115">
        <f t="shared" si="135"/>
        <v>828.38365506242098</v>
      </c>
      <c r="CW185" s="115">
        <f t="shared" si="109"/>
        <v>1196.1722488038279</v>
      </c>
      <c r="CX185" s="133">
        <f t="shared" si="136"/>
        <v>0.27187499999999998</v>
      </c>
      <c r="CY185" s="116"/>
      <c r="CZ185" s="131"/>
      <c r="DA185" s="145" t="str">
        <f t="shared" si="111"/>
        <v>Газлифт</v>
      </c>
      <c r="DB185" s="146">
        <f t="shared" si="112"/>
        <v>7.2731999999999992</v>
      </c>
      <c r="DC185" s="142">
        <f t="shared" si="151"/>
        <v>8.6999999999999993</v>
      </c>
      <c r="DD185" s="119">
        <f t="shared" si="152"/>
        <v>0</v>
      </c>
      <c r="DE185" s="115">
        <f t="shared" si="115"/>
        <v>6.0250000000000004</v>
      </c>
      <c r="DF185" s="121">
        <f t="shared" si="116"/>
        <v>8.6999999999999993</v>
      </c>
      <c r="DG185" s="115">
        <f t="shared" si="117"/>
        <v>828.38365506242098</v>
      </c>
      <c r="DH185" s="115">
        <f t="shared" si="118"/>
        <v>44</v>
      </c>
      <c r="DI185" s="147"/>
      <c r="DJ185" s="111" t="s">
        <v>197</v>
      </c>
      <c r="DK185" s="112">
        <v>43986.083333333336</v>
      </c>
      <c r="DL185" s="113">
        <f t="shared" ca="1" si="138"/>
        <v>1117.9166666666642</v>
      </c>
      <c r="DM185" s="114"/>
      <c r="DN185" s="114"/>
      <c r="DO185" s="114"/>
      <c r="DP185" s="114"/>
      <c r="DQ185" s="112">
        <v>43431</v>
      </c>
      <c r="DR185" s="114" t="s">
        <v>198</v>
      </c>
      <c r="DS185" s="114"/>
      <c r="DT185" s="115">
        <v>46</v>
      </c>
      <c r="DU185" s="116">
        <f t="shared" si="139"/>
        <v>0.28999999999999998</v>
      </c>
      <c r="DV185" s="117">
        <f t="shared" si="140"/>
        <v>7.2731999999999992</v>
      </c>
      <c r="DW185" s="118">
        <f t="shared" si="141"/>
        <v>8.6999999999999993</v>
      </c>
      <c r="DX185" s="119">
        <f t="shared" si="119"/>
        <v>0</v>
      </c>
      <c r="DY185" s="115">
        <f t="shared" si="142"/>
        <v>6.0250000000000004</v>
      </c>
      <c r="DZ185" s="117">
        <f t="shared" si="143"/>
        <v>0</v>
      </c>
      <c r="EA185" s="120">
        <f t="shared" si="143"/>
        <v>0</v>
      </c>
      <c r="EB185" s="119">
        <f t="shared" si="143"/>
        <v>0</v>
      </c>
      <c r="EC185" s="121">
        <f t="shared" si="144"/>
        <v>0</v>
      </c>
      <c r="ED185" s="122"/>
      <c r="EE185" s="145">
        <v>65</v>
      </c>
      <c r="EF185" s="115">
        <v>22</v>
      </c>
      <c r="EG185" s="115">
        <v>35</v>
      </c>
      <c r="EH185" s="115">
        <v>22</v>
      </c>
      <c r="EI185" s="128" t="s">
        <v>195</v>
      </c>
      <c r="EJ185" s="121">
        <v>24</v>
      </c>
      <c r="EK185" s="121">
        <v>0</v>
      </c>
      <c r="EL185" s="162">
        <v>7.2731999999999992</v>
      </c>
      <c r="EM185" s="142">
        <v>8.6999999999999993</v>
      </c>
      <c r="EN185" s="143">
        <v>0</v>
      </c>
      <c r="EO185" s="115">
        <v>14.725</v>
      </c>
      <c r="EP185" s="115">
        <v>828.38365506242098</v>
      </c>
      <c r="EQ185" s="115">
        <v>67</v>
      </c>
      <c r="ER185" s="115">
        <v>8.6999999999999993</v>
      </c>
      <c r="ES185" s="115">
        <v>44</v>
      </c>
      <c r="ET185" s="150">
        <v>0.27187499999999998</v>
      </c>
      <c r="EU185" s="145">
        <f t="shared" si="120"/>
        <v>65</v>
      </c>
      <c r="EV185" s="115">
        <f t="shared" si="121"/>
        <v>23</v>
      </c>
      <c r="EW185" s="115">
        <f t="shared" si="121"/>
        <v>35</v>
      </c>
      <c r="EX185" s="115">
        <f t="shared" si="121"/>
        <v>22</v>
      </c>
      <c r="EY185" s="115" t="str">
        <f t="shared" si="122"/>
        <v>Постоянный</v>
      </c>
      <c r="EZ185" s="115">
        <f t="shared" si="122"/>
        <v>24</v>
      </c>
      <c r="FA185" s="115">
        <f t="shared" si="122"/>
        <v>0</v>
      </c>
      <c r="FB185" s="149">
        <f t="shared" si="123"/>
        <v>7.2731999999999992</v>
      </c>
      <c r="FC185" s="142">
        <f t="shared" si="123"/>
        <v>8.6999999999999993</v>
      </c>
      <c r="FD185" s="119">
        <f t="shared" si="123"/>
        <v>0</v>
      </c>
      <c r="FE185" s="121">
        <f t="shared" si="103"/>
        <v>14.725</v>
      </c>
      <c r="FF185" s="121">
        <f t="shared" si="145"/>
        <v>828.38365506242098</v>
      </c>
      <c r="FG185" s="121">
        <f t="shared" si="124"/>
        <v>67</v>
      </c>
      <c r="FH185" s="121">
        <f t="shared" si="146"/>
        <v>8.6999999999999993</v>
      </c>
      <c r="FI185" s="121">
        <f t="shared" si="131"/>
        <v>44</v>
      </c>
      <c r="FJ185" s="144">
        <f t="shared" si="125"/>
        <v>0.27187499999999998</v>
      </c>
      <c r="FK185" s="132">
        <f t="shared" si="126"/>
        <v>0</v>
      </c>
      <c r="FL185" s="115">
        <f t="shared" si="126"/>
        <v>1</v>
      </c>
      <c r="FM185" s="115">
        <f t="shared" si="126"/>
        <v>0</v>
      </c>
      <c r="FN185" s="115">
        <f t="shared" si="126"/>
        <v>0</v>
      </c>
      <c r="FO185" s="115">
        <f t="shared" si="150"/>
        <v>0</v>
      </c>
      <c r="FP185" s="115">
        <f t="shared" si="150"/>
        <v>0</v>
      </c>
      <c r="FQ185" s="149">
        <f t="shared" si="150"/>
        <v>0</v>
      </c>
      <c r="FR185" s="142">
        <f t="shared" si="148"/>
        <v>0</v>
      </c>
      <c r="FS185" s="119">
        <f t="shared" si="148"/>
        <v>0</v>
      </c>
      <c r="FT185" s="121">
        <f t="shared" si="148"/>
        <v>0</v>
      </c>
      <c r="FU185" s="121">
        <f t="shared" si="127"/>
        <v>0</v>
      </c>
      <c r="FV185" s="121">
        <f t="shared" si="127"/>
        <v>0</v>
      </c>
      <c r="FW185" s="121">
        <f t="shared" si="128"/>
        <v>0</v>
      </c>
      <c r="FX185" s="121">
        <f t="shared" si="149"/>
        <v>0</v>
      </c>
      <c r="FY185" s="144">
        <f t="shared" si="129"/>
        <v>0</v>
      </c>
      <c r="FZ185" s="145"/>
      <c r="GA185" s="131" t="s">
        <v>916</v>
      </c>
      <c r="GB185" s="145"/>
      <c r="GC185" s="131"/>
      <c r="GD185" s="997" t="s">
        <v>416</v>
      </c>
      <c r="GE185" s="1004"/>
      <c r="GF185" s="1004">
        <v>0</v>
      </c>
      <c r="GG185" s="1004"/>
      <c r="GH185" s="1004">
        <v>0.66712799999999906</v>
      </c>
      <c r="GI185" s="145"/>
      <c r="GJ185" s="996">
        <v>0</v>
      </c>
      <c r="GK185" s="145"/>
      <c r="GL185" s="996">
        <v>-0.91959999999999997</v>
      </c>
      <c r="GM185" s="1005"/>
      <c r="GN185" s="996">
        <v>0</v>
      </c>
      <c r="GO185" s="1006" t="s">
        <v>199</v>
      </c>
      <c r="GP185" s="996">
        <v>2.9320192</v>
      </c>
      <c r="GQ185" s="1006"/>
      <c r="GR185" s="996">
        <v>-0.12305920000000015</v>
      </c>
      <c r="GS185" s="1006"/>
      <c r="GT185" s="996">
        <v>0</v>
      </c>
      <c r="GU185" s="1006"/>
      <c r="GV185" s="996">
        <v>0</v>
      </c>
      <c r="GW185" s="1006"/>
      <c r="GX185" s="1035">
        <v>0</v>
      </c>
      <c r="GY185" s="1006"/>
      <c r="GZ185" s="996">
        <v>0</v>
      </c>
      <c r="HA185" s="1006" t="s">
        <v>223</v>
      </c>
      <c r="HB185" s="996">
        <v>-2.5665199999999997</v>
      </c>
      <c r="HC185" s="1006" t="s">
        <v>223</v>
      </c>
      <c r="HD185" s="996">
        <v>-3.4158959999999983</v>
      </c>
      <c r="HE185" s="1006" t="s">
        <v>434</v>
      </c>
      <c r="HF185" s="996">
        <v>4.4274559999999985</v>
      </c>
      <c r="HG185" s="1006" t="s">
        <v>199</v>
      </c>
      <c r="HH185" s="996">
        <v>1.2038399999999996</v>
      </c>
      <c r="HI185" s="1006"/>
      <c r="HJ185" s="996">
        <v>0</v>
      </c>
      <c r="HK185" s="1006"/>
      <c r="HL185" s="996">
        <v>0</v>
      </c>
      <c r="HM185" s="1006"/>
      <c r="HN185" s="996">
        <v>0</v>
      </c>
      <c r="HO185" s="1006" t="s">
        <v>199</v>
      </c>
      <c r="HP185" s="996">
        <v>-2.8758399999999993</v>
      </c>
      <c r="HQ185" s="1006" t="s">
        <v>203</v>
      </c>
      <c r="HR185" s="996">
        <v>-3.0101016000000023</v>
      </c>
      <c r="HS185" s="1006" t="s">
        <v>25</v>
      </c>
      <c r="HT185" s="996">
        <v>4.0718216000000016</v>
      </c>
      <c r="HU185" s="1006"/>
      <c r="HV185" s="996">
        <v>0.81877840000000024</v>
      </c>
      <c r="HW185" s="1006"/>
      <c r="HX185" s="996">
        <v>0</v>
      </c>
      <c r="HY185" s="1006"/>
      <c r="HZ185" s="996">
        <v>-0.73058039999999913</v>
      </c>
      <c r="IA185" s="1006"/>
      <c r="IB185" s="996">
        <v>0</v>
      </c>
      <c r="IC185" s="1006" t="s">
        <v>199</v>
      </c>
      <c r="ID185" s="996">
        <v>1.0243507999999988</v>
      </c>
      <c r="IE185" s="1006"/>
      <c r="IF185" s="996">
        <v>0</v>
      </c>
      <c r="IG185" s="1006"/>
      <c r="IH185" s="996">
        <v>0</v>
      </c>
      <c r="II185" s="1006"/>
      <c r="IJ185" s="996">
        <v>0</v>
      </c>
      <c r="IK185" s="1006"/>
      <c r="IL185" s="996">
        <v>0</v>
      </c>
      <c r="IM185" s="1006"/>
      <c r="IN185" s="996">
        <v>0</v>
      </c>
      <c r="IO185" s="1006"/>
      <c r="IP185" s="996">
        <v>0</v>
      </c>
      <c r="IQ185" s="1006" t="s">
        <v>204</v>
      </c>
      <c r="IR185" s="996">
        <v>-1.972762704</v>
      </c>
      <c r="IS185" s="1006" t="s">
        <v>199</v>
      </c>
      <c r="IT185" s="996">
        <v>6.1272672120000005</v>
      </c>
      <c r="IU185" s="1006" t="s">
        <v>199</v>
      </c>
      <c r="IV185" s="996">
        <v>-4.9904209080000008</v>
      </c>
      <c r="IW185" s="1006"/>
      <c r="IX185" s="996">
        <v>0</v>
      </c>
      <c r="IY185" s="1006"/>
      <c r="IZ185" s="996">
        <v>0</v>
      </c>
      <c r="JA185" s="1006"/>
      <c r="JB185" s="996">
        <v>0</v>
      </c>
      <c r="JC185" s="1006"/>
      <c r="JD185" s="996">
        <v>0.66873312000000062</v>
      </c>
      <c r="JE185" s="1006"/>
      <c r="JF185" s="996">
        <v>0</v>
      </c>
      <c r="JG185" s="1006"/>
      <c r="JH185" s="996">
        <v>0</v>
      </c>
      <c r="JI185" s="1006"/>
      <c r="JJ185" s="996">
        <v>0</v>
      </c>
      <c r="JK185" s="1007"/>
      <c r="JL185" s="1007">
        <v>0</v>
      </c>
      <c r="JM185" s="1007"/>
      <c r="JN185" s="1007">
        <v>0</v>
      </c>
      <c r="JO185" s="1008" t="s">
        <v>199</v>
      </c>
      <c r="JP185" s="1007">
        <v>-2.3405659200000004</v>
      </c>
      <c r="JQ185" s="1008">
        <v>0</v>
      </c>
      <c r="JR185" s="1007">
        <v>-9.1959999999957631E-4</v>
      </c>
      <c r="JS185" s="1008" t="s">
        <v>204</v>
      </c>
      <c r="JT185" s="1007">
        <v>2.9260000000000002</v>
      </c>
      <c r="JU185" s="1008" t="s">
        <v>204</v>
      </c>
      <c r="JV185" s="1007">
        <v>-1.5139959999999997</v>
      </c>
      <c r="JW185" s="1008" t="s">
        <v>197</v>
      </c>
      <c r="JX185" s="1007">
        <v>0</v>
      </c>
      <c r="JY185" s="1008"/>
      <c r="JZ185" s="1007">
        <v>0</v>
      </c>
      <c r="KA185" s="1008" t="s">
        <v>204</v>
      </c>
      <c r="KB185" s="1007">
        <v>-3.9200039999999996</v>
      </c>
      <c r="KC185" s="1008"/>
      <c r="KD185" s="1007">
        <v>0</v>
      </c>
      <c r="KE185" s="1008"/>
      <c r="KF185" s="1007">
        <v>0</v>
      </c>
      <c r="KG185" s="1008"/>
      <c r="KH185" s="1007">
        <v>0</v>
      </c>
      <c r="KI185" s="1008" t="s">
        <v>198</v>
      </c>
      <c r="KJ185" s="1007">
        <v>0</v>
      </c>
      <c r="KK185" s="1008"/>
      <c r="KL185" s="1007">
        <v>0</v>
      </c>
      <c r="KM185" s="1008"/>
      <c r="KN185" s="1007">
        <v>0</v>
      </c>
      <c r="KO185" s="1008"/>
      <c r="KP185" s="1007">
        <v>0</v>
      </c>
      <c r="KQ185" s="1008">
        <v>0</v>
      </c>
      <c r="KR185" s="1007">
        <v>0</v>
      </c>
      <c r="KS185" s="1008" t="s">
        <v>206</v>
      </c>
      <c r="KT185" s="1007">
        <v>-0.8360000000000003</v>
      </c>
      <c r="KU185" s="1008">
        <v>0</v>
      </c>
      <c r="KV185" s="1007">
        <v>0</v>
      </c>
      <c r="KW185" s="1008">
        <v>0</v>
      </c>
      <c r="KX185" s="1007">
        <v>0</v>
      </c>
      <c r="KY185" s="1008" t="s">
        <v>206</v>
      </c>
      <c r="KZ185" s="1007">
        <v>4.447519999999999</v>
      </c>
      <c r="LA185" s="1008" t="s">
        <v>204</v>
      </c>
      <c r="LB185" s="1007">
        <v>-2.1819599999999983</v>
      </c>
      <c r="LC185" s="1008">
        <v>0</v>
      </c>
      <c r="LD185" s="1007">
        <v>0</v>
      </c>
      <c r="LE185" s="1008">
        <v>0</v>
      </c>
      <c r="LF185" s="1007">
        <v>0</v>
      </c>
      <c r="LG185" s="1008">
        <v>0</v>
      </c>
      <c r="LH185" s="1007">
        <v>-1.4395500000000001</v>
      </c>
      <c r="LI185" s="1008">
        <v>0</v>
      </c>
      <c r="LJ185" s="1007">
        <v>0</v>
      </c>
      <c r="LK185" s="1008">
        <v>0</v>
      </c>
      <c r="LL185" s="1007">
        <v>0</v>
      </c>
      <c r="LM185" s="1008" t="s">
        <v>555</v>
      </c>
      <c r="LN185" s="1007">
        <v>2.0879099999999999</v>
      </c>
      <c r="LO185" s="1008">
        <v>0</v>
      </c>
      <c r="LP185" s="1007">
        <v>-3.3465600000000002</v>
      </c>
      <c r="LQ185" s="1008">
        <v>0</v>
      </c>
      <c r="LR185" s="1007">
        <v>0.83516409999999996</v>
      </c>
      <c r="LS185" s="1008">
        <v>0</v>
      </c>
      <c r="LT185" s="1007">
        <v>2.5549200000000001</v>
      </c>
      <c r="LU185" s="1008" t="s">
        <v>206</v>
      </c>
      <c r="LV185" s="1007">
        <v>-0.83516409999999996</v>
      </c>
      <c r="LW185" s="1008">
        <v>0</v>
      </c>
      <c r="LX185" s="1007">
        <v>0.175384442</v>
      </c>
      <c r="LY185" s="1009" t="s">
        <v>206</v>
      </c>
      <c r="LZ185" s="1010">
        <v>-1.4281344</v>
      </c>
      <c r="MA185" s="1011">
        <v>0</v>
      </c>
      <c r="MB185" s="1012">
        <v>0.51984200000000003</v>
      </c>
      <c r="MC185" s="995"/>
      <c r="MD185" s="996"/>
      <c r="ME185" s="997" t="s">
        <v>416</v>
      </c>
      <c r="MF185" s="997"/>
      <c r="MG185" s="998"/>
      <c r="NR185" s="1000"/>
      <c r="NS185" s="1000"/>
      <c r="NT185" s="1001"/>
      <c r="NU185" s="1000"/>
      <c r="NV185" s="1001"/>
      <c r="NX185" s="1002"/>
      <c r="NZ185" s="1001"/>
      <c r="OA185" s="1001"/>
      <c r="OC185" s="1003"/>
      <c r="OD185" s="1003"/>
      <c r="OE185" s="1001"/>
      <c r="OF185" s="1003"/>
      <c r="OG185" s="1003"/>
      <c r="QX185" s="1000">
        <f>CN185-CA185</f>
        <v>21</v>
      </c>
      <c r="ASU185" s="999" t="s">
        <v>208</v>
      </c>
    </row>
    <row r="186" spans="1:466 1191:1191" ht="21" customHeight="1" x14ac:dyDescent="0.25">
      <c r="A186" s="982" t="str">
        <f t="shared" si="104"/>
        <v>1081-1</v>
      </c>
      <c r="B186" s="124">
        <f>SUBTOTAL(103,$J$29:J186)</f>
        <v>158</v>
      </c>
      <c r="C186" s="126">
        <v>45068</v>
      </c>
      <c r="D186" s="124" t="s">
        <v>176</v>
      </c>
      <c r="E186" s="127" t="s">
        <v>177</v>
      </c>
      <c r="F186" s="128" t="s">
        <v>177</v>
      </c>
      <c r="G186" s="127" t="s">
        <v>178</v>
      </c>
      <c r="H186" s="127" t="s">
        <v>408</v>
      </c>
      <c r="I186" s="127" t="s">
        <v>888</v>
      </c>
      <c r="J186" s="152" t="s">
        <v>917</v>
      </c>
      <c r="K186" s="127" t="s">
        <v>910</v>
      </c>
      <c r="L186" s="130">
        <v>39477</v>
      </c>
      <c r="M186" s="127" t="s">
        <v>230</v>
      </c>
      <c r="N186" s="127" t="s">
        <v>245</v>
      </c>
      <c r="O186" s="127" t="s">
        <v>185</v>
      </c>
      <c r="P186" s="127" t="s">
        <v>186</v>
      </c>
      <c r="Q186" s="85" t="str">
        <f t="shared" si="133"/>
        <v/>
      </c>
      <c r="R186" s="130"/>
      <c r="S186" s="128" t="s">
        <v>156</v>
      </c>
      <c r="T186" s="131"/>
      <c r="U186" s="132">
        <v>203</v>
      </c>
      <c r="V186" s="121">
        <v>218.2</v>
      </c>
      <c r="W186" s="116">
        <v>0.98</v>
      </c>
      <c r="X186" s="116">
        <v>1.66</v>
      </c>
      <c r="Y186" s="116">
        <f t="shared" si="137"/>
        <v>0.98128631266045119</v>
      </c>
      <c r="Z186" s="133">
        <v>1.454</v>
      </c>
      <c r="AA186" s="133">
        <v>0.83599999999999997</v>
      </c>
      <c r="AB186" s="133">
        <v>0.72</v>
      </c>
      <c r="AC186" s="121">
        <v>34.299999999999997</v>
      </c>
      <c r="AD186" s="134">
        <v>1.17</v>
      </c>
      <c r="AE186" s="124">
        <v>139.69999999999999</v>
      </c>
      <c r="AF186" s="128">
        <v>7.72</v>
      </c>
      <c r="AG186" s="128">
        <v>1932</v>
      </c>
      <c r="AH186" s="127" t="s">
        <v>918</v>
      </c>
      <c r="AI186" s="127" t="s">
        <v>918</v>
      </c>
      <c r="AJ186" s="135"/>
      <c r="AK186" s="128"/>
      <c r="AL186" s="131"/>
      <c r="AM186" s="124" t="s">
        <v>232</v>
      </c>
      <c r="AN186" s="136" t="s">
        <v>919</v>
      </c>
      <c r="AO186" s="137" t="s">
        <v>920</v>
      </c>
      <c r="AP186" s="128">
        <v>1932</v>
      </c>
      <c r="AQ186" s="128">
        <v>116.8</v>
      </c>
      <c r="AR186" s="128"/>
      <c r="AS186" s="128"/>
      <c r="AT186" s="122"/>
      <c r="AU186" s="124" t="s">
        <v>189</v>
      </c>
      <c r="AV186" s="115">
        <f>VLOOKUP(J186,'[63]ТР нефть'!$J$28:$BP$638,39,0)</f>
        <v>535.99999013700005</v>
      </c>
      <c r="AW186" s="115" t="str">
        <f>VLOOKUP(J186,'[63]ТР нефть'!$J$28:$BP$638,40,0)</f>
        <v>ГК 78 1/8</v>
      </c>
      <c r="AX186" s="115">
        <f>VLOOKUP(J186,'[63]ТР нефть'!$J$28:$BP$638,41,0)</f>
        <v>1001.000034961</v>
      </c>
      <c r="AY186" s="115" t="str">
        <f>VLOOKUP(J186,'[63]ТР нефть'!$J$28:$BP$638,42,0)</f>
        <v>ГК 79 1/8</v>
      </c>
      <c r="AZ186" s="115">
        <f>VLOOKUP(J186,'[63]ТР нефть'!$J$28:$BP$638,43,0)</f>
        <v>1398.000025781</v>
      </c>
      <c r="BA186" s="115" t="str">
        <f>VLOOKUP(J186,'[63]ТР нефть'!$J$28:$BP$638,44,0)</f>
        <v>ГК 79 1/8</v>
      </c>
      <c r="BB186" s="115">
        <f>VLOOKUP(J186,'[63]ТР нефть'!$J$28:$BP$638,45,0)</f>
        <v>1719.9999433590001</v>
      </c>
      <c r="BC186" s="115" t="str">
        <f>VLOOKUP(J186,'[63]ТР нефть'!$J$28:$BP$638,46,0)</f>
        <v>ЦКсОК 5/16</v>
      </c>
      <c r="BD186" s="115" t="str">
        <f>VLOOKUP(J186,'[63]ТР нефть'!$J$28:$BP$638,47,0)</f>
        <v>-</v>
      </c>
      <c r="BE186" s="115" t="str">
        <f>VLOOKUP(J186,'[63]ТР нефть'!$J$28:$BP$638,48,0)</f>
        <v>-</v>
      </c>
      <c r="BF186" s="115" t="str">
        <f>VLOOKUP(J186,'[63]ТР нефть'!$J$28:$BP$638,49,0)</f>
        <v>-</v>
      </c>
      <c r="BG186" s="115" t="str">
        <f>VLOOKUP(J186,'[63]ТР нефть'!$J$28:$BP$638,50,0)</f>
        <v>-</v>
      </c>
      <c r="BH186" s="115">
        <f>VLOOKUP(J186,'[63]ТР нефть'!$J$28:$BP$638,51,0)</f>
        <v>1756</v>
      </c>
      <c r="BI186" s="115" t="str">
        <f>VLOOKUP(J186,'[63]ТР нефть'!$J$28:$BP$638,52,0)</f>
        <v>закрыт</v>
      </c>
      <c r="BJ186" s="115" t="str">
        <f>IF(IFERROR(VLOOKUP(J186,'[63]ТР нефть'!$J$28:$BP$638,53,0),"-")=0,"-",IFERROR(VLOOKUP(J186,'[63]ТР нефть'!$J$28:$BP$638,53,0),"-"))</f>
        <v>-</v>
      </c>
      <c r="BK186" s="138" t="str">
        <f>IF(IFERROR(VLOOKUP(J186,'[63]ТР нефть'!$J$28:$BP$638,54,0),"-")=0,"-",IFERROR(VLOOKUP(J186,'[63]ТР нефть'!$J$28:$BP$638,54,0),"-"))</f>
        <v>-</v>
      </c>
      <c r="BL186" s="138" t="str">
        <f>IF(IFERROR(VLOOKUP(J186,'[63]ТР нефть'!$J$28:$BP$638,55,0),"-")=0,"-",IFERROR(VLOOKUP(J186,'[63]ТР нефть'!$J$28:$BP$638,55,0),"-"))</f>
        <v>-</v>
      </c>
      <c r="BM186" s="138" t="str">
        <f>IF(IFERROR(VLOOKUP(J186,'[63]ТР нефть'!$J$28:$BP$638,56,0),"-")=0,"-",IFERROR(VLOOKUP(J186,'[63]ТР нефть'!$J$28:$BP$638,56,0),"-"))</f>
        <v>-</v>
      </c>
      <c r="BN186" s="138" t="str">
        <f>IF(IFERROR(VLOOKUP(J186,'[63]ТР нефть'!$J$28:$BP$638,57,0),"-")=0,"-",IFERROR(VLOOKUP(J186,'[63]ТР нефть'!$J$28:$BP$638,57,0),"-"))</f>
        <v>-</v>
      </c>
      <c r="BO186" s="115" t="str">
        <f>IF(IFERROR(VLOOKUP(J186,'[63]ТР нефть'!$J$28:$BP$638,58,0),"-")=0,"-",IFERROR(VLOOKUP(J186,'[63]ТР нефть'!$J$28:$BP$638,58,0),"-"))</f>
        <v>-</v>
      </c>
      <c r="BP186" s="115" t="str">
        <f>IF(IFERROR(VLOOKUP(J186,'[63]ТР нефть'!$J$28:$BP$638,59,0),"-")=0,"-",IFERROR(VLOOKUP(J186,'[63]ТР нефть'!$J$28:$BP$638,59,0),"-"))</f>
        <v>-</v>
      </c>
      <c r="BQ186" s="138">
        <v>2282</v>
      </c>
      <c r="BR186" s="128">
        <v>1878.14</v>
      </c>
      <c r="BS186" s="115">
        <f t="shared" si="105"/>
        <v>403.8599999999999</v>
      </c>
      <c r="BT186" s="128">
        <v>73</v>
      </c>
      <c r="BU186" s="128">
        <v>5.5</v>
      </c>
      <c r="BV186" s="127">
        <v>18</v>
      </c>
      <c r="BW186" s="127" t="s">
        <v>217</v>
      </c>
      <c r="BX186" s="127" t="s">
        <v>195</v>
      </c>
      <c r="BY186" s="139">
        <v>24</v>
      </c>
      <c r="BZ186" s="139">
        <v>0</v>
      </c>
      <c r="CA186" s="138">
        <v>24</v>
      </c>
      <c r="CB186" s="138">
        <v>38</v>
      </c>
      <c r="CC186" s="138">
        <v>22</v>
      </c>
      <c r="CD186" s="135">
        <v>45017</v>
      </c>
      <c r="CE186" s="138">
        <v>67</v>
      </c>
      <c r="CF186" s="138">
        <v>68</v>
      </c>
      <c r="CG186" s="138" t="str">
        <f t="shared" si="153"/>
        <v>В работе</v>
      </c>
      <c r="CH186" s="138" t="s">
        <v>196</v>
      </c>
      <c r="CI186" s="138">
        <v>6</v>
      </c>
      <c r="CJ186" s="139"/>
      <c r="CK186" s="139"/>
      <c r="CL186" s="99"/>
      <c r="CM186" s="99"/>
      <c r="CN186" s="140">
        <v>46</v>
      </c>
      <c r="CO186" s="159">
        <f t="shared" si="106"/>
        <v>8.4165804799999986</v>
      </c>
      <c r="CP186" s="160">
        <v>10.1</v>
      </c>
      <c r="CQ186" s="161">
        <v>0.32</v>
      </c>
      <c r="CR186" s="115">
        <v>16</v>
      </c>
      <c r="CS186" s="173">
        <v>9.1</v>
      </c>
      <c r="CT186" s="138"/>
      <c r="CU186" s="138">
        <f t="shared" si="134"/>
        <v>6.9</v>
      </c>
      <c r="CV186" s="115">
        <f t="shared" si="135"/>
        <v>819.81037505626057</v>
      </c>
      <c r="CW186" s="115">
        <f t="shared" si="109"/>
        <v>1076.4126356819313</v>
      </c>
      <c r="CX186" s="133">
        <f t="shared" si="136"/>
        <v>0.48095238095238091</v>
      </c>
      <c r="CY186" s="116"/>
      <c r="CZ186" s="131"/>
      <c r="DA186" s="145" t="str">
        <f t="shared" si="111"/>
        <v>Газлифт</v>
      </c>
      <c r="DB186" s="146">
        <f t="shared" si="112"/>
        <v>8.4165804799999986</v>
      </c>
      <c r="DC186" s="142">
        <f t="shared" si="151"/>
        <v>10.1</v>
      </c>
      <c r="DD186" s="119">
        <f t="shared" si="152"/>
        <v>0.32</v>
      </c>
      <c r="DE186" s="115">
        <f t="shared" si="115"/>
        <v>6.9</v>
      </c>
      <c r="DF186" s="121">
        <f t="shared" si="116"/>
        <v>9.1</v>
      </c>
      <c r="DG186" s="115">
        <f t="shared" si="117"/>
        <v>819.81037505626057</v>
      </c>
      <c r="DH186" s="115">
        <f t="shared" si="118"/>
        <v>46</v>
      </c>
      <c r="DI186" s="147"/>
      <c r="DJ186" s="111" t="s">
        <v>197</v>
      </c>
      <c r="DK186" s="112">
        <v>43986</v>
      </c>
      <c r="DL186" s="113">
        <f t="shared" ca="1" si="138"/>
        <v>1118</v>
      </c>
      <c r="DM186" s="114"/>
      <c r="DN186" s="114"/>
      <c r="DO186" s="114"/>
      <c r="DP186" s="114"/>
      <c r="DQ186" s="112">
        <v>43283</v>
      </c>
      <c r="DR186" s="114" t="s">
        <v>198</v>
      </c>
      <c r="DS186" s="114"/>
      <c r="DT186" s="115">
        <v>53</v>
      </c>
      <c r="DU186" s="116">
        <f t="shared" si="139"/>
        <v>0.72142857142857142</v>
      </c>
      <c r="DV186" s="117">
        <f t="shared" si="140"/>
        <v>8.4165804799999986</v>
      </c>
      <c r="DW186" s="118">
        <f t="shared" si="141"/>
        <v>10.1</v>
      </c>
      <c r="DX186" s="119">
        <f t="shared" si="119"/>
        <v>0.32</v>
      </c>
      <c r="DY186" s="115">
        <f t="shared" si="142"/>
        <v>6.9</v>
      </c>
      <c r="DZ186" s="117">
        <f t="shared" si="143"/>
        <v>0</v>
      </c>
      <c r="EA186" s="120">
        <f t="shared" si="143"/>
        <v>0</v>
      </c>
      <c r="EB186" s="119">
        <f t="shared" si="143"/>
        <v>0</v>
      </c>
      <c r="EC186" s="121">
        <f t="shared" si="144"/>
        <v>0</v>
      </c>
      <c r="ED186" s="122"/>
      <c r="EE186" s="145">
        <v>18</v>
      </c>
      <c r="EF186" s="115">
        <v>20</v>
      </c>
      <c r="EG186" s="115">
        <v>40</v>
      </c>
      <c r="EH186" s="115">
        <v>19</v>
      </c>
      <c r="EI186" s="128" t="s">
        <v>195</v>
      </c>
      <c r="EJ186" s="121">
        <v>24</v>
      </c>
      <c r="EK186" s="121">
        <v>0</v>
      </c>
      <c r="EL186" s="162">
        <v>8.0482509183999991</v>
      </c>
      <c r="EM186" s="142">
        <v>9.6579999999999995</v>
      </c>
      <c r="EN186" s="119">
        <v>0.32</v>
      </c>
      <c r="EO186" s="115">
        <v>17.405000000000001</v>
      </c>
      <c r="EP186" s="115">
        <v>1118.8766467770868</v>
      </c>
      <c r="EQ186" s="115">
        <v>68</v>
      </c>
      <c r="ER186" s="115">
        <v>8</v>
      </c>
      <c r="ES186" s="115">
        <v>41</v>
      </c>
      <c r="ET186" s="150">
        <v>0.1533015873015873</v>
      </c>
      <c r="EU186" s="145">
        <f t="shared" si="120"/>
        <v>18</v>
      </c>
      <c r="EV186" s="115">
        <f t="shared" si="121"/>
        <v>24</v>
      </c>
      <c r="EW186" s="115">
        <f t="shared" si="121"/>
        <v>38</v>
      </c>
      <c r="EX186" s="115">
        <f t="shared" si="121"/>
        <v>22</v>
      </c>
      <c r="EY186" s="115" t="str">
        <f t="shared" si="122"/>
        <v>Постоянный</v>
      </c>
      <c r="EZ186" s="115">
        <f t="shared" si="122"/>
        <v>24</v>
      </c>
      <c r="FA186" s="115">
        <f t="shared" si="122"/>
        <v>0</v>
      </c>
      <c r="FB186" s="149">
        <f t="shared" si="123"/>
        <v>8.4165804799999986</v>
      </c>
      <c r="FC186" s="142">
        <f t="shared" si="123"/>
        <v>10.1</v>
      </c>
      <c r="FD186" s="119">
        <f t="shared" si="123"/>
        <v>0.32</v>
      </c>
      <c r="FE186" s="121">
        <f t="shared" si="103"/>
        <v>16</v>
      </c>
      <c r="FF186" s="121">
        <f t="shared" si="145"/>
        <v>819.81037505626057</v>
      </c>
      <c r="FG186" s="121">
        <f t="shared" si="124"/>
        <v>68</v>
      </c>
      <c r="FH186" s="121">
        <f t="shared" si="146"/>
        <v>9.1</v>
      </c>
      <c r="FI186" s="121">
        <v>41</v>
      </c>
      <c r="FJ186" s="144">
        <f t="shared" si="125"/>
        <v>0.48095238095238091</v>
      </c>
      <c r="FK186" s="132">
        <f t="shared" si="126"/>
        <v>0</v>
      </c>
      <c r="FL186" s="115">
        <f t="shared" si="126"/>
        <v>4</v>
      </c>
      <c r="FM186" s="115">
        <f t="shared" si="126"/>
        <v>-2</v>
      </c>
      <c r="FN186" s="115">
        <f t="shared" si="126"/>
        <v>3</v>
      </c>
      <c r="FO186" s="115">
        <f t="shared" si="150"/>
        <v>0</v>
      </c>
      <c r="FP186" s="115">
        <f t="shared" si="150"/>
        <v>0</v>
      </c>
      <c r="FQ186" s="149">
        <f t="shared" si="150"/>
        <v>0.36832956159999952</v>
      </c>
      <c r="FR186" s="142">
        <f t="shared" si="148"/>
        <v>0.44200000000000017</v>
      </c>
      <c r="FS186" s="119">
        <f t="shared" si="148"/>
        <v>0</v>
      </c>
      <c r="FT186" s="121">
        <f t="shared" si="148"/>
        <v>-1.4050000000000011</v>
      </c>
      <c r="FU186" s="121">
        <f t="shared" si="127"/>
        <v>0</v>
      </c>
      <c r="FV186" s="121">
        <f t="shared" si="127"/>
        <v>1.0999999999999996</v>
      </c>
      <c r="FW186" s="121">
        <f t="shared" si="128"/>
        <v>-299.06627172082619</v>
      </c>
      <c r="FX186" s="121">
        <f t="shared" si="149"/>
        <v>5</v>
      </c>
      <c r="FY186" s="144">
        <f t="shared" si="129"/>
        <v>0.32765079365079364</v>
      </c>
      <c r="FZ186" s="145"/>
      <c r="GA186" s="131"/>
      <c r="GB186" s="145"/>
      <c r="GC186" s="131"/>
      <c r="GD186" s="997" t="s">
        <v>416</v>
      </c>
      <c r="GE186" s="1004"/>
      <c r="GF186" s="1004">
        <v>0</v>
      </c>
      <c r="GG186" s="1004"/>
      <c r="GH186" s="1004">
        <v>0.10625091839999978</v>
      </c>
      <c r="GI186" s="145"/>
      <c r="GJ186" s="996">
        <v>0</v>
      </c>
      <c r="GK186" s="145"/>
      <c r="GL186" s="996">
        <v>0</v>
      </c>
      <c r="GM186" s="1005" t="s">
        <v>240</v>
      </c>
      <c r="GN186" s="996">
        <v>-3.3598505600000008</v>
      </c>
      <c r="GO186" s="1006" t="s">
        <v>199</v>
      </c>
      <c r="GP186" s="996">
        <v>3.8614505599999998</v>
      </c>
      <c r="GQ186" s="1006"/>
      <c r="GR186" s="996">
        <v>-0.47444237279999957</v>
      </c>
      <c r="GS186" s="1006" t="s">
        <v>223</v>
      </c>
      <c r="GT186" s="996">
        <v>-1.0098446951999991</v>
      </c>
      <c r="GU186" s="1006" t="s">
        <v>25</v>
      </c>
      <c r="GV186" s="996">
        <v>1.0898622679999992</v>
      </c>
      <c r="GW186" s="1006"/>
      <c r="GX186" s="1035">
        <v>0</v>
      </c>
      <c r="GY186" s="1006"/>
      <c r="GZ186" s="996">
        <v>-5.7015199999999489E-2</v>
      </c>
      <c r="HA186" s="1006"/>
      <c r="HB186" s="996">
        <v>0.8694399999999991</v>
      </c>
      <c r="HC186" s="1006" t="s">
        <v>204</v>
      </c>
      <c r="HD186" s="996">
        <v>0</v>
      </c>
      <c r="HE186" s="1006"/>
      <c r="HF186" s="996">
        <v>0</v>
      </c>
      <c r="HG186" s="1006"/>
      <c r="HH186" s="996">
        <v>0</v>
      </c>
      <c r="HI186" s="1006"/>
      <c r="HJ186" s="996">
        <v>0</v>
      </c>
      <c r="HK186" s="1006"/>
      <c r="HL186" s="996">
        <v>0</v>
      </c>
      <c r="HM186" s="1006"/>
      <c r="HN186" s="996">
        <v>0</v>
      </c>
      <c r="HO186" s="1006"/>
      <c r="HP186" s="996">
        <v>0</v>
      </c>
      <c r="HQ186" s="1006" t="s">
        <v>199</v>
      </c>
      <c r="HR186" s="996">
        <v>-5.9533591479999997</v>
      </c>
      <c r="HS186" s="1006"/>
      <c r="HT186" s="996">
        <v>0</v>
      </c>
      <c r="HU186" s="1006" t="s">
        <v>203</v>
      </c>
      <c r="HV186" s="996">
        <v>-1.7444319595999964</v>
      </c>
      <c r="HW186" s="1006" t="s">
        <v>203</v>
      </c>
      <c r="HX186" s="996">
        <v>-6.2798088924000037</v>
      </c>
      <c r="HY186" s="1006" t="s">
        <v>25</v>
      </c>
      <c r="HZ186" s="996">
        <v>4.7536130400000012</v>
      </c>
      <c r="IA186" s="1006"/>
      <c r="IB186" s="996">
        <v>0</v>
      </c>
      <c r="IC186" s="1006"/>
      <c r="ID186" s="996">
        <v>0</v>
      </c>
      <c r="IE186" s="1006"/>
      <c r="IF186" s="996">
        <v>0</v>
      </c>
      <c r="IG186" s="1006"/>
      <c r="IH186" s="996">
        <v>0</v>
      </c>
      <c r="II186" s="1006" t="s">
        <v>239</v>
      </c>
      <c r="IJ186" s="996">
        <v>-4.2134400000000021</v>
      </c>
      <c r="IK186" s="1006"/>
      <c r="IL186" s="996">
        <v>0</v>
      </c>
      <c r="IM186" s="1006"/>
      <c r="IN186" s="996">
        <v>0</v>
      </c>
      <c r="IO186" s="1006"/>
      <c r="IP186" s="996">
        <v>0</v>
      </c>
      <c r="IQ186" s="1006"/>
      <c r="IR186" s="996">
        <v>0</v>
      </c>
      <c r="IS186" s="1006"/>
      <c r="IT186" s="996">
        <v>0</v>
      </c>
      <c r="IU186" s="1006"/>
      <c r="IV186" s="996">
        <v>0</v>
      </c>
      <c r="IW186" s="1006"/>
      <c r="IX186" s="996">
        <v>0</v>
      </c>
      <c r="IY186" s="1006"/>
      <c r="IZ186" s="996">
        <v>0</v>
      </c>
      <c r="JA186" s="1006"/>
      <c r="JB186" s="996">
        <v>0</v>
      </c>
      <c r="JC186" s="1006"/>
      <c r="JD186" s="996">
        <v>0</v>
      </c>
      <c r="JE186" s="1006"/>
      <c r="JF186" s="996">
        <v>0</v>
      </c>
      <c r="JG186" s="1006" t="s">
        <v>199</v>
      </c>
      <c r="JH186" s="996">
        <v>-6.7174271999999995</v>
      </c>
      <c r="JI186" s="1006" t="s">
        <v>204</v>
      </c>
      <c r="JJ186" s="996">
        <v>-3.0029119999999985</v>
      </c>
      <c r="JK186" s="1007"/>
      <c r="JL186" s="1007">
        <v>0</v>
      </c>
      <c r="JM186" s="1007" t="s">
        <v>199</v>
      </c>
      <c r="JN186" s="1007">
        <v>5.3353519999999985</v>
      </c>
      <c r="JO186" s="1008"/>
      <c r="JP186" s="1007">
        <v>0</v>
      </c>
      <c r="JQ186" s="1008">
        <v>0</v>
      </c>
      <c r="JR186" s="1007">
        <v>0</v>
      </c>
      <c r="JS186" s="1008" t="s">
        <v>199</v>
      </c>
      <c r="JT186" s="1007">
        <v>-3.8455999999999992</v>
      </c>
      <c r="JU186" s="1008"/>
      <c r="JV186" s="1007">
        <v>0</v>
      </c>
      <c r="JW186" s="1008" t="s">
        <v>197</v>
      </c>
      <c r="JX186" s="1007">
        <v>0</v>
      </c>
      <c r="JY186" s="1008"/>
      <c r="JZ186" s="1007">
        <v>0</v>
      </c>
      <c r="KA186" s="1008" t="s">
        <v>240</v>
      </c>
      <c r="KB186" s="1007">
        <v>-5.8520000000000003</v>
      </c>
      <c r="KC186" s="1008"/>
      <c r="KD186" s="1007">
        <v>0</v>
      </c>
      <c r="KE186" s="1008" t="s">
        <v>204</v>
      </c>
      <c r="KF186" s="1007">
        <v>0</v>
      </c>
      <c r="KG186" s="1008"/>
      <c r="KH186" s="1007">
        <v>0</v>
      </c>
      <c r="KI186" s="1008"/>
      <c r="KJ186" s="1007">
        <v>0</v>
      </c>
      <c r="KK186" s="1008"/>
      <c r="KL186" s="1007">
        <v>0</v>
      </c>
      <c r="KM186" s="1008" t="s">
        <v>203</v>
      </c>
      <c r="KN186" s="1007">
        <v>6.428840000000001</v>
      </c>
      <c r="KO186" s="1008" t="s">
        <v>203</v>
      </c>
      <c r="KP186" s="1007">
        <v>-6.428840000000001</v>
      </c>
      <c r="KQ186" s="1008" t="s">
        <v>25</v>
      </c>
      <c r="KR186" s="1007">
        <v>7.5239999999999991</v>
      </c>
      <c r="KS186" s="1008">
        <v>0</v>
      </c>
      <c r="KT186" s="1007">
        <v>0</v>
      </c>
      <c r="KU186" s="1008">
        <v>0</v>
      </c>
      <c r="KV186" s="1007">
        <v>0</v>
      </c>
      <c r="KW186" s="1008" t="s">
        <v>206</v>
      </c>
      <c r="KX186" s="1007">
        <v>-1.2539999999999996</v>
      </c>
      <c r="KY186" s="1008">
        <v>0</v>
      </c>
      <c r="KZ186" s="1007">
        <v>0</v>
      </c>
      <c r="LA186" s="1008">
        <v>0</v>
      </c>
      <c r="LB186" s="1007">
        <v>0</v>
      </c>
      <c r="LC186" s="1008">
        <v>0</v>
      </c>
      <c r="LD186" s="1007">
        <v>0</v>
      </c>
      <c r="LE186" s="1008">
        <v>0</v>
      </c>
      <c r="LF186" s="1007">
        <v>0</v>
      </c>
      <c r="LG186" s="1008">
        <v>0</v>
      </c>
      <c r="LH186" s="1007">
        <v>0</v>
      </c>
      <c r="LI186" s="1008">
        <v>0</v>
      </c>
      <c r="LJ186" s="1007">
        <v>0</v>
      </c>
      <c r="LK186" s="1008" t="s">
        <v>555</v>
      </c>
      <c r="LL186" s="1007">
        <v>5.4199440000000001</v>
      </c>
      <c r="LM186" s="1008" t="s">
        <v>555</v>
      </c>
      <c r="LN186" s="1007">
        <v>-2.49939</v>
      </c>
      <c r="LO186" s="1008">
        <v>0</v>
      </c>
      <c r="LP186" s="1007">
        <v>0</v>
      </c>
      <c r="LQ186" s="1008" t="s">
        <v>199</v>
      </c>
      <c r="LR186" s="1007">
        <v>2.9257740000000001</v>
      </c>
      <c r="LS186" s="1008">
        <v>0</v>
      </c>
      <c r="LT186" s="1007">
        <v>0</v>
      </c>
      <c r="LU186" s="1008">
        <v>0</v>
      </c>
      <c r="LV186" s="1007">
        <v>0</v>
      </c>
      <c r="LW186" s="1008">
        <v>0</v>
      </c>
      <c r="LX186" s="1007">
        <v>-0.72169776200000002</v>
      </c>
      <c r="LY186" s="1009">
        <v>0</v>
      </c>
      <c r="LZ186" s="1010">
        <v>0</v>
      </c>
      <c r="MA186" s="1011">
        <v>0</v>
      </c>
      <c r="MB186" s="1012">
        <v>0</v>
      </c>
      <c r="MC186" s="995"/>
      <c r="MD186" s="996"/>
      <c r="ME186" s="997" t="s">
        <v>416</v>
      </c>
      <c r="MF186" s="997"/>
      <c r="MG186" s="998"/>
      <c r="NR186" s="1000"/>
      <c r="NS186" s="1000"/>
      <c r="NT186" s="1001"/>
      <c r="NU186" s="1000"/>
      <c r="NV186" s="1001"/>
      <c r="NX186" s="1002"/>
      <c r="NZ186" s="1001"/>
      <c r="OA186" s="1001"/>
      <c r="OC186" s="1003"/>
      <c r="OD186" s="1003"/>
      <c r="OE186" s="1001"/>
      <c r="OF186" s="1003"/>
      <c r="OG186" s="1003"/>
      <c r="OH186" s="1003"/>
      <c r="OI186" s="1016"/>
      <c r="QX186" s="1000">
        <f>CN186-CA186</f>
        <v>22</v>
      </c>
      <c r="ASU186" s="999" t="s">
        <v>208</v>
      </c>
    </row>
    <row r="187" spans="1:466 1191:1191" ht="21" customHeight="1" x14ac:dyDescent="0.25">
      <c r="A187" s="982">
        <f t="shared" si="104"/>
        <v>1084</v>
      </c>
      <c r="B187" s="124">
        <f>SUBTOTAL(103,$J$29:J187)</f>
        <v>159</v>
      </c>
      <c r="C187" s="126">
        <v>45068</v>
      </c>
      <c r="D187" s="124" t="s">
        <v>176</v>
      </c>
      <c r="E187" s="127" t="s">
        <v>177</v>
      </c>
      <c r="F187" s="128" t="s">
        <v>177</v>
      </c>
      <c r="G187" s="127" t="s">
        <v>178</v>
      </c>
      <c r="H187" s="127" t="s">
        <v>179</v>
      </c>
      <c r="I187" s="127" t="s">
        <v>921</v>
      </c>
      <c r="J187" s="152">
        <v>1084</v>
      </c>
      <c r="K187" s="127" t="s">
        <v>922</v>
      </c>
      <c r="L187" s="130">
        <v>40073</v>
      </c>
      <c r="M187" s="127" t="s">
        <v>230</v>
      </c>
      <c r="N187" s="127" t="s">
        <v>245</v>
      </c>
      <c r="O187" s="127" t="s">
        <v>185</v>
      </c>
      <c r="P187" s="127" t="s">
        <v>186</v>
      </c>
      <c r="Q187" s="85" t="str">
        <f t="shared" si="133"/>
        <v/>
      </c>
      <c r="R187" s="130"/>
      <c r="S187" s="128" t="s">
        <v>156</v>
      </c>
      <c r="T187" s="131"/>
      <c r="U187" s="132">
        <v>203</v>
      </c>
      <c r="V187" s="121">
        <v>218.2</v>
      </c>
      <c r="W187" s="116">
        <v>0.98</v>
      </c>
      <c r="X187" s="116">
        <v>1.66</v>
      </c>
      <c r="Y187" s="116">
        <f t="shared" si="137"/>
        <v>0.98</v>
      </c>
      <c r="Z187" s="133">
        <v>1.454</v>
      </c>
      <c r="AA187" s="133">
        <v>0.83599999999999997</v>
      </c>
      <c r="AB187" s="133">
        <v>0.72</v>
      </c>
      <c r="AC187" s="121">
        <v>34.299999999999997</v>
      </c>
      <c r="AD187" s="134">
        <v>1.17</v>
      </c>
      <c r="AE187" s="124">
        <v>139.69999999999999</v>
      </c>
      <c r="AF187" s="128">
        <v>7.72</v>
      </c>
      <c r="AG187" s="128">
        <v>1931</v>
      </c>
      <c r="AH187" s="127">
        <v>2600</v>
      </c>
      <c r="AI187" s="127">
        <v>2600</v>
      </c>
      <c r="AJ187" s="135"/>
      <c r="AK187" s="128"/>
      <c r="AL187" s="131"/>
      <c r="AM187" s="124" t="s">
        <v>232</v>
      </c>
      <c r="AN187" s="136" t="s">
        <v>923</v>
      </c>
      <c r="AO187" s="137">
        <v>42.16</v>
      </c>
      <c r="AP187" s="128">
        <v>1917</v>
      </c>
      <c r="AQ187" s="128">
        <v>28</v>
      </c>
      <c r="AR187" s="128" t="s">
        <v>924</v>
      </c>
      <c r="AS187" s="128">
        <v>102</v>
      </c>
      <c r="AT187" s="122">
        <v>6.5</v>
      </c>
      <c r="AU187" s="124" t="s">
        <v>189</v>
      </c>
      <c r="AV187" s="115">
        <f>VLOOKUP(J187,'[63]ТР нефть'!$J$28:$BP$638,39,0)</f>
        <v>360.00001669900001</v>
      </c>
      <c r="AW187" s="115" t="str">
        <f>VLOOKUP(J187,'[63]ТР нефть'!$J$28:$BP$638,40,0)</f>
        <v>ГП</v>
      </c>
      <c r="AX187" s="115">
        <f>VLOOKUP(J187,'[63]ТР нефть'!$J$28:$BP$638,41,0)</f>
        <v>599.99999062500001</v>
      </c>
      <c r="AY187" s="115" t="str">
        <f>VLOOKUP(J187,'[63]ТР нефть'!$J$28:$BP$638,42,0)</f>
        <v>ГП</v>
      </c>
      <c r="AZ187" s="115">
        <f>VLOOKUP(J187,'[63]ТР нефть'!$J$28:$BP$638,43,0)</f>
        <v>830.00001679699994</v>
      </c>
      <c r="BA187" s="115" t="str">
        <f>VLOOKUP(J187,'[63]ТР нефть'!$J$28:$BP$638,44,0)</f>
        <v>ГП</v>
      </c>
      <c r="BB187" s="115">
        <f>VLOOKUP(J187,'[63]ТР нефть'!$J$28:$BP$638,45,0)</f>
        <v>1039.9999986329999</v>
      </c>
      <c r="BC187" s="115" t="str">
        <f>VLOOKUP(J187,'[63]ТР нефть'!$J$28:$BP$638,46,0)</f>
        <v>ГК 80 1/8</v>
      </c>
      <c r="BD187" s="115">
        <f>VLOOKUP(J187,'[63]ТР нефть'!$J$28:$BP$638,47,0)</f>
        <v>1230.0000105470001</v>
      </c>
      <c r="BE187" s="115" t="str">
        <f>VLOOKUP(J187,'[63]ТР нефть'!$J$28:$BP$638,48,0)</f>
        <v>ГК 78 1/8</v>
      </c>
      <c r="BF187" s="115" t="str">
        <f>VLOOKUP(J187,'[63]ТР нефть'!$J$28:$BP$638,49,0)</f>
        <v>-</v>
      </c>
      <c r="BG187" s="115" t="str">
        <f>VLOOKUP(J187,'[63]ТР нефть'!$J$28:$BP$638,50,0)</f>
        <v>-</v>
      </c>
      <c r="BH187" s="115">
        <f>VLOOKUP(J187,'[63]ТР нефть'!$J$28:$BP$638,51,0)</f>
        <v>1600</v>
      </c>
      <c r="BI187" s="115" t="str">
        <f>VLOOKUP(J187,'[63]ТР нефть'!$J$28:$BP$638,52,0)</f>
        <v>открыт</v>
      </c>
      <c r="BJ187" s="115" t="str">
        <f>IF(IFERROR(VLOOKUP(J187,'[63]ТР нефть'!$J$28:$BP$638,53,0),"-")=0,"-",IFERROR(VLOOKUP(J187,'[63]ТР нефть'!$J$28:$BP$638,53,0),"-"))</f>
        <v>-</v>
      </c>
      <c r="BK187" s="138" t="str">
        <f>IF(IFERROR(VLOOKUP(J187,'[63]ТР нефть'!$J$28:$BP$638,54,0),"-")=0,"-",IFERROR(VLOOKUP(J187,'[63]ТР нефть'!$J$28:$BP$638,54,0),"-"))</f>
        <v>-</v>
      </c>
      <c r="BL187" s="138" t="str">
        <f>IF(IFERROR(VLOOKUP(J187,'[63]ТР нефть'!$J$28:$BP$638,55,0),"-")=0,"-",IFERROR(VLOOKUP(J187,'[63]ТР нефть'!$J$28:$BP$638,55,0),"-"))</f>
        <v>-</v>
      </c>
      <c r="BM187" s="138" t="str">
        <f>IF(IFERROR(VLOOKUP(J187,'[63]ТР нефть'!$J$28:$BP$638,56,0),"-")=0,"-",IFERROR(VLOOKUP(J187,'[63]ТР нефть'!$J$28:$BP$638,56,0),"-"))</f>
        <v>-</v>
      </c>
      <c r="BN187" s="138" t="str">
        <f>IF(IFERROR(VLOOKUP(J187,'[63]ТР нефть'!$J$28:$BP$638,57,0),"-")=0,"-",IFERROR(VLOOKUP(J187,'[63]ТР нефть'!$J$28:$BP$638,57,0),"-"))</f>
        <v>-</v>
      </c>
      <c r="BO187" s="115" t="str">
        <f>IF(IFERROR(VLOOKUP(J187,'[63]ТР нефть'!$J$28:$BP$638,58,0),"-")=0,"-",IFERROR(VLOOKUP(J187,'[63]ТР нефть'!$J$28:$BP$638,58,0),"-"))</f>
        <v>-</v>
      </c>
      <c r="BP187" s="115" t="str">
        <f>IF(IFERROR(VLOOKUP(J187,'[63]ТР нефть'!$J$28:$BP$638,59,0),"-")=0,"-",IFERROR(VLOOKUP(J187,'[63]ТР нефть'!$J$28:$BP$638,59,0),"-"))</f>
        <v>-</v>
      </c>
      <c r="BQ187" s="138">
        <v>1630</v>
      </c>
      <c r="BR187" s="128">
        <v>1623.53</v>
      </c>
      <c r="BS187" s="115">
        <f t="shared" si="105"/>
        <v>6.4700000000000273</v>
      </c>
      <c r="BT187" s="128">
        <v>73</v>
      </c>
      <c r="BU187" s="128">
        <v>5.5</v>
      </c>
      <c r="BV187" s="127">
        <v>18</v>
      </c>
      <c r="BW187" s="127" t="s">
        <v>217</v>
      </c>
      <c r="BX187" s="127" t="s">
        <v>195</v>
      </c>
      <c r="BY187" s="139">
        <v>24</v>
      </c>
      <c r="BZ187" s="139">
        <v>0</v>
      </c>
      <c r="CA187" s="138">
        <v>25</v>
      </c>
      <c r="CB187" s="138">
        <v>45</v>
      </c>
      <c r="CC187" s="138">
        <v>24</v>
      </c>
      <c r="CD187" s="135">
        <v>45017</v>
      </c>
      <c r="CE187" s="138">
        <v>104</v>
      </c>
      <c r="CF187" s="138">
        <v>76</v>
      </c>
      <c r="CG187" s="138" t="str">
        <f t="shared" si="153"/>
        <v>В работе</v>
      </c>
      <c r="CH187" s="138" t="s">
        <v>196</v>
      </c>
      <c r="CI187" s="138">
        <v>6</v>
      </c>
      <c r="CJ187" s="139"/>
      <c r="CK187" s="139">
        <f t="shared" si="101"/>
        <v>27</v>
      </c>
      <c r="CL187" s="99"/>
      <c r="CM187" s="202"/>
      <c r="CN187" s="140">
        <v>52</v>
      </c>
      <c r="CO187" s="141">
        <f t="shared" si="106"/>
        <v>8.025599999999999</v>
      </c>
      <c r="CP187" s="142">
        <v>9.6</v>
      </c>
      <c r="CQ187" s="143">
        <v>0</v>
      </c>
      <c r="CR187" s="138">
        <v>15.7</v>
      </c>
      <c r="CS187" s="139">
        <v>8.4</v>
      </c>
      <c r="CT187" s="138"/>
      <c r="CU187" s="138">
        <f t="shared" si="134"/>
        <v>7.2999999999999989</v>
      </c>
      <c r="CV187" s="115">
        <f>(CR187-CS187)*1000/CO187</f>
        <v>909.58931419457736</v>
      </c>
      <c r="CW187" s="115">
        <f t="shared" si="109"/>
        <v>1046.6507177033495</v>
      </c>
      <c r="CX187" s="133">
        <f>IF(CP187&lt;&gt;0,CP187/(CE187-CN187),0)</f>
        <v>0.1846153846153846</v>
      </c>
      <c r="CY187" s="116"/>
      <c r="CZ187" s="131"/>
      <c r="DA187" s="145" t="str">
        <f t="shared" si="111"/>
        <v>Газлифт</v>
      </c>
      <c r="DB187" s="146">
        <f t="shared" si="112"/>
        <v>8.025599999999999</v>
      </c>
      <c r="DC187" s="142">
        <f t="shared" si="151"/>
        <v>9.6</v>
      </c>
      <c r="DD187" s="119">
        <f t="shared" si="152"/>
        <v>0</v>
      </c>
      <c r="DE187" s="115">
        <f t="shared" si="115"/>
        <v>7.2999999999999989</v>
      </c>
      <c r="DF187" s="121">
        <f t="shared" si="116"/>
        <v>8.4</v>
      </c>
      <c r="DG187" s="115">
        <f t="shared" si="117"/>
        <v>909.58931419457736</v>
      </c>
      <c r="DH187" s="115">
        <f t="shared" si="118"/>
        <v>52</v>
      </c>
      <c r="DI187" s="147"/>
      <c r="DJ187" s="111">
        <v>43518</v>
      </c>
      <c r="DK187" s="112">
        <v>41974</v>
      </c>
      <c r="DL187" s="113">
        <f t="shared" ca="1" si="138"/>
        <v>3130</v>
      </c>
      <c r="DM187" s="114"/>
      <c r="DN187" s="114"/>
      <c r="DO187" s="114"/>
      <c r="DP187" s="114"/>
      <c r="DQ187" s="112">
        <v>41969</v>
      </c>
      <c r="DR187" s="114" t="s">
        <v>282</v>
      </c>
      <c r="DS187" s="114"/>
      <c r="DT187" s="115">
        <v>50</v>
      </c>
      <c r="DU187" s="116">
        <f t="shared" si="139"/>
        <v>0.18258664412510567</v>
      </c>
      <c r="DV187" s="117">
        <f t="shared" si="140"/>
        <v>8.2426914623837693</v>
      </c>
      <c r="DW187" s="118">
        <f t="shared" si="141"/>
        <v>9.8596787827557062</v>
      </c>
      <c r="DX187" s="119">
        <f t="shared" si="119"/>
        <v>0</v>
      </c>
      <c r="DY187" s="115">
        <f t="shared" si="142"/>
        <v>7.4974640743871506</v>
      </c>
      <c r="DZ187" s="117">
        <f t="shared" si="143"/>
        <v>0.21709146238377031</v>
      </c>
      <c r="EA187" s="120">
        <f t="shared" si="143"/>
        <v>0.25967878275570655</v>
      </c>
      <c r="EB187" s="119">
        <f t="shared" si="143"/>
        <v>0</v>
      </c>
      <c r="EC187" s="121">
        <f t="shared" si="144"/>
        <v>0.19746407438715163</v>
      </c>
      <c r="ED187" s="122"/>
      <c r="EE187" s="145">
        <v>18</v>
      </c>
      <c r="EF187" s="115">
        <v>20</v>
      </c>
      <c r="EG187" s="115">
        <v>36</v>
      </c>
      <c r="EH187" s="115">
        <v>19</v>
      </c>
      <c r="EI187" s="128" t="s">
        <v>195</v>
      </c>
      <c r="EJ187" s="121">
        <v>24</v>
      </c>
      <c r="EK187" s="121">
        <v>0</v>
      </c>
      <c r="EL187" s="149">
        <v>8.025599999999999</v>
      </c>
      <c r="EM187" s="142">
        <v>9.6</v>
      </c>
      <c r="EN187" s="119">
        <v>0</v>
      </c>
      <c r="EO187" s="115">
        <v>15.7</v>
      </c>
      <c r="EP187" s="115">
        <v>909.58931419457736</v>
      </c>
      <c r="EQ187" s="115">
        <v>72</v>
      </c>
      <c r="ER187" s="115">
        <v>8.4</v>
      </c>
      <c r="ES187" s="115">
        <v>52</v>
      </c>
      <c r="ET187" s="150">
        <v>0.1846153846153846</v>
      </c>
      <c r="EU187" s="145">
        <f t="shared" si="120"/>
        <v>18</v>
      </c>
      <c r="EV187" s="115">
        <f t="shared" si="121"/>
        <v>25</v>
      </c>
      <c r="EW187" s="115">
        <f t="shared" si="121"/>
        <v>45</v>
      </c>
      <c r="EX187" s="115">
        <f t="shared" si="121"/>
        <v>24</v>
      </c>
      <c r="EY187" s="115" t="str">
        <f t="shared" si="122"/>
        <v>Постоянный</v>
      </c>
      <c r="EZ187" s="115">
        <f t="shared" si="122"/>
        <v>24</v>
      </c>
      <c r="FA187" s="115">
        <f t="shared" si="122"/>
        <v>0</v>
      </c>
      <c r="FB187" s="149">
        <f t="shared" si="123"/>
        <v>8.025599999999999</v>
      </c>
      <c r="FC187" s="142">
        <f t="shared" si="123"/>
        <v>9.6</v>
      </c>
      <c r="FD187" s="119">
        <f t="shared" si="123"/>
        <v>0</v>
      </c>
      <c r="FE187" s="121">
        <f t="shared" si="103"/>
        <v>15.7</v>
      </c>
      <c r="FF187" s="121">
        <f t="shared" si="145"/>
        <v>909.58931419457736</v>
      </c>
      <c r="FG187" s="121">
        <f t="shared" si="124"/>
        <v>76</v>
      </c>
      <c r="FH187" s="121">
        <f t="shared" si="146"/>
        <v>8.4</v>
      </c>
      <c r="FI187" s="121">
        <f t="shared" ref="FI187:FI250" si="154">CN187</f>
        <v>52</v>
      </c>
      <c r="FJ187" s="144">
        <f t="shared" si="125"/>
        <v>0.1846153846153846</v>
      </c>
      <c r="FK187" s="132">
        <f t="shared" si="126"/>
        <v>0</v>
      </c>
      <c r="FL187" s="115">
        <f t="shared" si="126"/>
        <v>5</v>
      </c>
      <c r="FM187" s="115">
        <f t="shared" si="126"/>
        <v>9</v>
      </c>
      <c r="FN187" s="115">
        <f t="shared" si="126"/>
        <v>5</v>
      </c>
      <c r="FO187" s="115">
        <f t="shared" si="150"/>
        <v>0</v>
      </c>
      <c r="FP187" s="115">
        <f t="shared" si="150"/>
        <v>0</v>
      </c>
      <c r="FQ187" s="149">
        <f t="shared" si="150"/>
        <v>0</v>
      </c>
      <c r="FR187" s="142">
        <f t="shared" si="148"/>
        <v>0</v>
      </c>
      <c r="FS187" s="119">
        <f t="shared" si="148"/>
        <v>0</v>
      </c>
      <c r="FT187" s="121">
        <f t="shared" si="148"/>
        <v>0</v>
      </c>
      <c r="FU187" s="121">
        <f t="shared" si="127"/>
        <v>4</v>
      </c>
      <c r="FV187" s="121">
        <f t="shared" si="127"/>
        <v>0</v>
      </c>
      <c r="FW187" s="121">
        <f t="shared" si="128"/>
        <v>0</v>
      </c>
      <c r="FX187" s="121">
        <f t="shared" si="129"/>
        <v>0</v>
      </c>
      <c r="FY187" s="144">
        <f t="shared" si="129"/>
        <v>0</v>
      </c>
      <c r="FZ187" s="145"/>
      <c r="GA187" s="151" t="s">
        <v>925</v>
      </c>
      <c r="GB187" s="145"/>
      <c r="GC187" s="151"/>
      <c r="GD187" s="997" t="s">
        <v>220</v>
      </c>
      <c r="GE187" s="1004"/>
      <c r="GF187" s="1004">
        <v>0.50159999999999894</v>
      </c>
      <c r="GG187" s="1004"/>
      <c r="GH187" s="1004">
        <v>0</v>
      </c>
      <c r="GI187" s="145" t="s">
        <v>223</v>
      </c>
      <c r="GJ187" s="996">
        <v>-3.3440000000000003</v>
      </c>
      <c r="GK187" s="145"/>
      <c r="GL187" s="996">
        <v>0</v>
      </c>
      <c r="GM187" s="1005"/>
      <c r="GN187" s="996">
        <v>0</v>
      </c>
      <c r="GO187" s="1006" t="s">
        <v>199</v>
      </c>
      <c r="GP187" s="996">
        <v>-2.5063279999999999</v>
      </c>
      <c r="GQ187" s="1006" t="s">
        <v>199</v>
      </c>
      <c r="GR187" s="996">
        <v>-2.324949440000001</v>
      </c>
      <c r="GS187" s="1006"/>
      <c r="GT187" s="996">
        <v>-0.59845895999999854</v>
      </c>
      <c r="GU187" s="1006"/>
      <c r="GV187" s="996">
        <v>0</v>
      </c>
      <c r="GW187" s="1006"/>
      <c r="GX187" s="1036">
        <v>0</v>
      </c>
      <c r="GY187" s="1006"/>
      <c r="GZ187" s="996">
        <v>0</v>
      </c>
      <c r="HA187" s="1006" t="s">
        <v>223</v>
      </c>
      <c r="HB187" s="996">
        <v>-1.4748210400000019</v>
      </c>
      <c r="HC187" s="1006"/>
      <c r="HD187" s="996">
        <v>9.5572697088000016</v>
      </c>
      <c r="HE187" s="1006"/>
      <c r="HF187" s="996">
        <v>0</v>
      </c>
      <c r="HG187" s="1006"/>
      <c r="HH187" s="996">
        <v>0</v>
      </c>
      <c r="HI187" s="1006" t="s">
        <v>199</v>
      </c>
      <c r="HJ187" s="996">
        <v>-3.772952268800001</v>
      </c>
      <c r="HK187" s="1006"/>
      <c r="HL187" s="996">
        <v>0</v>
      </c>
      <c r="HM187" s="1006" t="s">
        <v>199</v>
      </c>
      <c r="HN187" s="996">
        <v>10.0325016</v>
      </c>
      <c r="HO187" s="1006" t="s">
        <v>199</v>
      </c>
      <c r="HP187" s="996">
        <v>-9.1950804000000019</v>
      </c>
      <c r="HQ187" s="1006" t="s">
        <v>926</v>
      </c>
      <c r="HR187" s="996">
        <v>-7.4396559599999961</v>
      </c>
      <c r="HS187" s="1006"/>
      <c r="HT187" s="996">
        <v>0</v>
      </c>
      <c r="HU187" s="1006" t="s">
        <v>204</v>
      </c>
      <c r="HV187" s="996">
        <v>7.5580837199999973</v>
      </c>
      <c r="HW187" s="1006"/>
      <c r="HX187" s="996">
        <v>0</v>
      </c>
      <c r="HY187" s="1006"/>
      <c r="HZ187" s="996">
        <v>0</v>
      </c>
      <c r="IA187" s="1006"/>
      <c r="IB187" s="996">
        <v>0</v>
      </c>
      <c r="IC187" s="1006" t="s">
        <v>25</v>
      </c>
      <c r="ID187" s="996">
        <v>-0.47393675999999907</v>
      </c>
      <c r="IE187" s="1006"/>
      <c r="IF187" s="996">
        <v>0</v>
      </c>
      <c r="IG187" s="1006"/>
      <c r="IH187" s="996">
        <v>-0.22342100000000009</v>
      </c>
      <c r="II187" s="1006"/>
      <c r="IJ187" s="996">
        <v>0</v>
      </c>
      <c r="IK187" s="1006" t="s">
        <v>199</v>
      </c>
      <c r="IL187" s="996">
        <v>-2.1394912000000001</v>
      </c>
      <c r="IM187" s="1006" t="s">
        <v>199</v>
      </c>
      <c r="IN187" s="996">
        <v>3.6867599999999996</v>
      </c>
      <c r="IO187" s="1006" t="s">
        <v>199</v>
      </c>
      <c r="IP187" s="996">
        <v>-2.6484480000000001</v>
      </c>
      <c r="IQ187" s="1006" t="s">
        <v>199</v>
      </c>
      <c r="IR187" s="996">
        <v>-2.9527519999999985</v>
      </c>
      <c r="IS187" s="1006"/>
      <c r="IT187" s="996">
        <v>0.61863999999999919</v>
      </c>
      <c r="IU187" s="1006"/>
      <c r="IV187" s="996">
        <v>0</v>
      </c>
      <c r="IW187" s="1006" t="s">
        <v>223</v>
      </c>
      <c r="IX187" s="996">
        <v>-1.8392000000000017</v>
      </c>
      <c r="IY187" s="1006" t="s">
        <v>199</v>
      </c>
      <c r="IZ187" s="996">
        <v>2.257200000000001</v>
      </c>
      <c r="JA187" s="1006"/>
      <c r="JB187" s="996">
        <v>0</v>
      </c>
      <c r="JC187" s="1006" t="s">
        <v>199</v>
      </c>
      <c r="JD187" s="996">
        <v>-3.0095999999999989</v>
      </c>
      <c r="JE187" s="1006" t="s">
        <v>199</v>
      </c>
      <c r="JF187" s="996">
        <v>2.4243999999999986</v>
      </c>
      <c r="JG187" s="1006"/>
      <c r="JH187" s="996">
        <v>0</v>
      </c>
      <c r="JI187" s="1006"/>
      <c r="JJ187" s="996">
        <v>0</v>
      </c>
      <c r="JK187" s="1007" t="s">
        <v>199</v>
      </c>
      <c r="JL187" s="1007">
        <v>4.5980000000000008</v>
      </c>
      <c r="JM187" s="1007" t="s">
        <v>199</v>
      </c>
      <c r="JN187" s="1007">
        <v>-5.9356000000000027</v>
      </c>
      <c r="JO187" s="1008" t="s">
        <v>204</v>
      </c>
      <c r="JP187" s="1007">
        <v>7.1899344000000021</v>
      </c>
      <c r="JQ187" s="1008" t="s">
        <v>204</v>
      </c>
      <c r="JR187" s="1007">
        <v>-12.038734399999999</v>
      </c>
      <c r="JS187" s="1008" t="s">
        <v>199</v>
      </c>
      <c r="JT187" s="1007">
        <v>5.0623979999999982</v>
      </c>
      <c r="JU187" s="1008"/>
      <c r="JV187" s="1007">
        <v>0</v>
      </c>
      <c r="JW187" s="1008" t="s">
        <v>199</v>
      </c>
      <c r="JX187" s="1007">
        <v>-1.7292659999999991</v>
      </c>
      <c r="JY187" s="1008"/>
      <c r="JZ187" s="1007">
        <v>0</v>
      </c>
      <c r="KA187" s="1008"/>
      <c r="KB187" s="1007">
        <v>0</v>
      </c>
      <c r="KC187" s="1008"/>
      <c r="KD187" s="1007">
        <v>0</v>
      </c>
      <c r="KE187" s="1008" t="s">
        <v>204</v>
      </c>
      <c r="KF187" s="1007">
        <v>0</v>
      </c>
      <c r="KG187" s="1008" t="s">
        <v>204</v>
      </c>
      <c r="KH187" s="1007">
        <v>2.4597209999999983</v>
      </c>
      <c r="KI187" s="1008"/>
      <c r="KJ187" s="1007">
        <v>0</v>
      </c>
      <c r="KK187" s="1008"/>
      <c r="KL187" s="1007">
        <v>0</v>
      </c>
      <c r="KM187" s="1008" t="s">
        <v>207</v>
      </c>
      <c r="KN187" s="1007">
        <v>-2.0872829999999993</v>
      </c>
      <c r="KO187" s="1008"/>
      <c r="KP187" s="1007">
        <v>0</v>
      </c>
      <c r="KQ187" s="1008">
        <v>0</v>
      </c>
      <c r="KR187" s="1007">
        <v>0</v>
      </c>
      <c r="KS187" s="1008">
        <v>0</v>
      </c>
      <c r="KT187" s="1007">
        <v>0</v>
      </c>
      <c r="KU187" s="1008" t="s">
        <v>206</v>
      </c>
      <c r="KV187" s="1007">
        <v>2.5047396000000006</v>
      </c>
      <c r="KW187" s="1008">
        <v>0</v>
      </c>
      <c r="KX187" s="1007">
        <v>0</v>
      </c>
      <c r="KY187" s="1008" t="s">
        <v>223</v>
      </c>
      <c r="KZ187" s="1007">
        <v>-8.3491320000000009</v>
      </c>
      <c r="LA187" s="1008" t="s">
        <v>204</v>
      </c>
      <c r="LB187" s="1007">
        <v>4.233009924000001</v>
      </c>
      <c r="LC187" s="1008">
        <v>0</v>
      </c>
      <c r="LD187" s="1007">
        <v>0</v>
      </c>
      <c r="LE187" s="1008">
        <v>0</v>
      </c>
      <c r="LF187" s="1007">
        <v>0</v>
      </c>
      <c r="LG187" s="1008">
        <v>0</v>
      </c>
      <c r="LH187" s="1007">
        <v>0</v>
      </c>
      <c r="LI187" s="1008">
        <v>0</v>
      </c>
      <c r="LJ187" s="1007">
        <v>0</v>
      </c>
      <c r="LK187" s="1008" t="s">
        <v>555</v>
      </c>
      <c r="LL187" s="1007">
        <v>2.9555927280000027</v>
      </c>
      <c r="LM187" s="1008">
        <v>0</v>
      </c>
      <c r="LN187" s="1007">
        <v>0</v>
      </c>
      <c r="LO187" s="1008">
        <v>0</v>
      </c>
      <c r="LP187" s="1007">
        <v>0</v>
      </c>
      <c r="LQ187" s="1008" t="s">
        <v>206</v>
      </c>
      <c r="LR187" s="1007">
        <v>1.6698264000000016</v>
      </c>
      <c r="LS187" s="1008">
        <v>0</v>
      </c>
      <c r="LT187" s="1007">
        <v>0</v>
      </c>
      <c r="LU187" s="1008">
        <v>0</v>
      </c>
      <c r="LV187" s="1007">
        <v>0</v>
      </c>
      <c r="LW187" s="1008" t="s">
        <v>206</v>
      </c>
      <c r="LX187" s="1007">
        <v>2.547396</v>
      </c>
      <c r="LY187" s="1009">
        <v>0</v>
      </c>
      <c r="LZ187" s="1010">
        <v>0</v>
      </c>
      <c r="MA187" s="1011" t="s">
        <v>206</v>
      </c>
      <c r="MB187" s="1012">
        <v>1.2189732719999995</v>
      </c>
      <c r="MC187" s="995"/>
      <c r="MD187" s="996"/>
      <c r="ME187" s="997" t="s">
        <v>220</v>
      </c>
      <c r="MF187" s="997"/>
      <c r="MG187" s="998"/>
      <c r="NR187" s="1000"/>
      <c r="NS187" s="1000"/>
      <c r="NT187" s="1001"/>
      <c r="NU187" s="1000"/>
      <c r="NV187" s="1001"/>
      <c r="NX187" s="1002"/>
      <c r="NZ187" s="1001"/>
      <c r="OA187" s="1001"/>
      <c r="OC187" s="1003"/>
      <c r="OD187" s="1003"/>
      <c r="OE187" s="1001"/>
      <c r="OF187" s="1003"/>
      <c r="OG187" s="1003"/>
      <c r="OH187" s="1003"/>
      <c r="OI187" s="1016"/>
      <c r="QX187" s="1000">
        <f>CN187-CA187</f>
        <v>27</v>
      </c>
      <c r="ASU187" s="999" t="s">
        <v>208</v>
      </c>
    </row>
    <row r="188" spans="1:466 1191:1191" ht="21" customHeight="1" x14ac:dyDescent="0.25">
      <c r="A188" s="982">
        <f t="shared" si="104"/>
        <v>1085</v>
      </c>
      <c r="B188" s="124">
        <f>SUBTOTAL(103,$J$29:J188)</f>
        <v>160</v>
      </c>
      <c r="C188" s="126">
        <v>45068</v>
      </c>
      <c r="D188" s="124" t="s">
        <v>176</v>
      </c>
      <c r="E188" s="127" t="s">
        <v>177</v>
      </c>
      <c r="F188" s="128" t="s">
        <v>177</v>
      </c>
      <c r="G188" s="127" t="s">
        <v>178</v>
      </c>
      <c r="H188" s="127" t="s">
        <v>408</v>
      </c>
      <c r="I188" s="127" t="s">
        <v>888</v>
      </c>
      <c r="J188" s="152">
        <v>1085</v>
      </c>
      <c r="K188" s="127" t="s">
        <v>927</v>
      </c>
      <c r="L188" s="130">
        <v>39770</v>
      </c>
      <c r="M188" s="127" t="s">
        <v>230</v>
      </c>
      <c r="N188" s="127" t="s">
        <v>245</v>
      </c>
      <c r="O188" s="127" t="s">
        <v>185</v>
      </c>
      <c r="P188" s="127" t="s">
        <v>186</v>
      </c>
      <c r="Q188" s="85" t="str">
        <f t="shared" si="133"/>
        <v/>
      </c>
      <c r="R188" s="130"/>
      <c r="S188" s="128" t="s">
        <v>156</v>
      </c>
      <c r="T188" s="131"/>
      <c r="U188" s="132">
        <v>203</v>
      </c>
      <c r="V188" s="121">
        <v>218.2</v>
      </c>
      <c r="W188" s="116">
        <v>0.98</v>
      </c>
      <c r="X188" s="116">
        <v>1.66</v>
      </c>
      <c r="Y188" s="116">
        <f t="shared" si="137"/>
        <v>0.98</v>
      </c>
      <c r="Z188" s="133">
        <v>1.454</v>
      </c>
      <c r="AA188" s="133">
        <v>0.83599999999999997</v>
      </c>
      <c r="AB188" s="133">
        <v>0.72</v>
      </c>
      <c r="AC188" s="121">
        <v>34.299999999999997</v>
      </c>
      <c r="AD188" s="134">
        <v>1.17</v>
      </c>
      <c r="AE188" s="124">
        <v>139.69999999999999</v>
      </c>
      <c r="AF188" s="128">
        <v>7.72</v>
      </c>
      <c r="AG188" s="128">
        <v>1962</v>
      </c>
      <c r="AH188" s="127">
        <v>2500</v>
      </c>
      <c r="AI188" s="127">
        <v>2500</v>
      </c>
      <c r="AJ188" s="135"/>
      <c r="AK188" s="128"/>
      <c r="AL188" s="131"/>
      <c r="AM188" s="124" t="s">
        <v>232</v>
      </c>
      <c r="AN188" s="136" t="s">
        <v>928</v>
      </c>
      <c r="AO188" s="137">
        <v>38.71</v>
      </c>
      <c r="AP188" s="128">
        <v>1962</v>
      </c>
      <c r="AQ188" s="128">
        <v>65.599999999999994</v>
      </c>
      <c r="AR188" s="128"/>
      <c r="AS188" s="128"/>
      <c r="AT188" s="122"/>
      <c r="AU188" s="124" t="s">
        <v>189</v>
      </c>
      <c r="AV188" s="115">
        <f>VLOOKUP(J188,'[63]ТР нефть'!$J$28:$BP$638,39,0)</f>
        <v>485.00001474599998</v>
      </c>
      <c r="AW188" s="115" t="str">
        <f>VLOOKUP(J188,'[63]ТР нефть'!$J$28:$BP$638,40,0)</f>
        <v>ГП</v>
      </c>
      <c r="AX188" s="115">
        <f>VLOOKUP(J188,'[63]ТР нефть'!$J$28:$BP$638,41,0)</f>
        <v>899.99998593800001</v>
      </c>
      <c r="AY188" s="115" t="str">
        <f>VLOOKUP(J188,'[63]ТР нефть'!$J$28:$BP$638,42,0)</f>
        <v>ГП</v>
      </c>
      <c r="AZ188" s="115">
        <f>VLOOKUP(J188,'[63]ТР нефть'!$J$28:$BP$638,43,0)</f>
        <v>1260.000039844</v>
      </c>
      <c r="BA188" s="115" t="str">
        <f>VLOOKUP(J188,'[63]ТР нефть'!$J$28:$BP$638,44,0)</f>
        <v>ГК 78 1/8</v>
      </c>
      <c r="BB188" s="115">
        <f>VLOOKUP(J188,'[63]ТР нефть'!$J$28:$BP$638,45,0)</f>
        <v>1599.9999749999999</v>
      </c>
      <c r="BC188" s="115" t="str">
        <f>VLOOKUP(J188,'[63]ТР нефть'!$J$28:$BP$638,46,0)</f>
        <v>ЦКсОК 5/16</v>
      </c>
      <c r="BD188" s="115" t="str">
        <f>VLOOKUP(J188,'[63]ТР нефть'!$J$28:$BP$638,47,0)</f>
        <v>-</v>
      </c>
      <c r="BE188" s="115" t="str">
        <f>VLOOKUP(J188,'[63]ТР нефть'!$J$28:$BP$638,48,0)</f>
        <v>-</v>
      </c>
      <c r="BF188" s="115" t="str">
        <f>VLOOKUP(J188,'[63]ТР нефть'!$J$28:$BP$638,49,0)</f>
        <v>-</v>
      </c>
      <c r="BG188" s="115" t="str">
        <f>VLOOKUP(J188,'[63]ТР нефть'!$J$28:$BP$638,50,0)</f>
        <v>-</v>
      </c>
      <c r="BH188" s="115">
        <f>VLOOKUP(J188,'[63]ТР нефть'!$J$28:$BP$638,51,0)</f>
        <v>1650</v>
      </c>
      <c r="BI188" s="115" t="str">
        <f>VLOOKUP(J188,'[63]ТР нефть'!$J$28:$BP$638,52,0)</f>
        <v>закрыт</v>
      </c>
      <c r="BJ188" s="115" t="str">
        <f>IF(IFERROR(VLOOKUP(J188,'[63]ТР нефть'!$J$28:$BP$638,53,0),"-")=0,"-",IFERROR(VLOOKUP(J188,'[63]ТР нефть'!$J$28:$BP$638,53,0),"-"))</f>
        <v>-</v>
      </c>
      <c r="BK188" s="138" t="str">
        <f>IF(IFERROR(VLOOKUP(J188,'[63]ТР нефть'!$J$28:$BP$638,54,0),"-")=0,"-",IFERROR(VLOOKUP(J188,'[63]ТР нефть'!$J$28:$BP$638,54,0),"-"))</f>
        <v>-</v>
      </c>
      <c r="BL188" s="138" t="str">
        <f>IF(IFERROR(VLOOKUP(J188,'[63]ТР нефть'!$J$28:$BP$638,55,0),"-")=0,"-",IFERROR(VLOOKUP(J188,'[63]ТР нефть'!$J$28:$BP$638,55,0),"-"))</f>
        <v>-</v>
      </c>
      <c r="BM188" s="138" t="str">
        <f>IF(IFERROR(VLOOKUP(J188,'[63]ТР нефть'!$J$28:$BP$638,56,0),"-")=0,"-",IFERROR(VLOOKUP(J188,'[63]ТР нефть'!$J$28:$BP$638,56,0),"-"))</f>
        <v>-</v>
      </c>
      <c r="BN188" s="138" t="str">
        <f>IF(IFERROR(VLOOKUP(J188,'[63]ТР нефть'!$J$28:$BP$638,57,0),"-")=0,"-",IFERROR(VLOOKUP(J188,'[63]ТР нефть'!$J$28:$BP$638,57,0),"-"))</f>
        <v>-</v>
      </c>
      <c r="BO188" s="115" t="str">
        <f>IF(IFERROR(VLOOKUP(J188,'[63]ТР нефть'!$J$28:$BP$638,58,0),"-")=0,"-",IFERROR(VLOOKUP(J188,'[63]ТР нефть'!$J$28:$BP$638,58,0),"-"))</f>
        <v>-</v>
      </c>
      <c r="BP188" s="115" t="str">
        <f>IF(IFERROR(VLOOKUP(J188,'[63]ТР нефть'!$J$28:$BP$638,59,0),"-")=0,"-",IFERROR(VLOOKUP(J188,'[63]ТР нефть'!$J$28:$BP$638,59,0),"-"))</f>
        <v>-</v>
      </c>
      <c r="BQ188" s="138">
        <v>1840</v>
      </c>
      <c r="BR188" s="128">
        <v>1834.15</v>
      </c>
      <c r="BS188" s="115">
        <f t="shared" si="105"/>
        <v>5.8499999999999091</v>
      </c>
      <c r="BT188" s="128">
        <v>73</v>
      </c>
      <c r="BU188" s="128">
        <v>5.5</v>
      </c>
      <c r="BV188" s="127">
        <v>65</v>
      </c>
      <c r="BW188" s="127" t="s">
        <v>217</v>
      </c>
      <c r="BX188" s="127" t="s">
        <v>195</v>
      </c>
      <c r="BY188" s="139">
        <v>24</v>
      </c>
      <c r="BZ188" s="139">
        <v>0</v>
      </c>
      <c r="CA188" s="138">
        <v>26</v>
      </c>
      <c r="CB188" s="138">
        <v>42</v>
      </c>
      <c r="CC188" s="138">
        <v>25</v>
      </c>
      <c r="CD188" s="135">
        <v>45017</v>
      </c>
      <c r="CE188" s="138">
        <v>97</v>
      </c>
      <c r="CF188" s="138">
        <v>66</v>
      </c>
      <c r="CG188" s="138" t="str">
        <f t="shared" si="153"/>
        <v>В работе</v>
      </c>
      <c r="CH188" s="138" t="s">
        <v>196</v>
      </c>
      <c r="CI188" s="138">
        <v>6</v>
      </c>
      <c r="CJ188" s="139"/>
      <c r="CK188" s="139"/>
      <c r="CL188" s="99"/>
      <c r="CM188" s="99"/>
      <c r="CN188" s="140">
        <v>52</v>
      </c>
      <c r="CO188" s="159">
        <f t="shared" si="106"/>
        <v>9.8648000000000007</v>
      </c>
      <c r="CP188" s="160">
        <v>11.8</v>
      </c>
      <c r="CQ188" s="161">
        <v>0</v>
      </c>
      <c r="CR188" s="115">
        <v>16</v>
      </c>
      <c r="CS188" s="176">
        <v>12</v>
      </c>
      <c r="CT188" s="138"/>
      <c r="CU188" s="138">
        <f>IF(CR188&lt;&gt;"0",CR188-CS188,"0")</f>
        <v>4</v>
      </c>
      <c r="CV188" s="115">
        <f t="shared" si="135"/>
        <v>405.48211823858566</v>
      </c>
      <c r="CW188" s="115">
        <f t="shared" si="109"/>
        <v>1216.4463547157568</v>
      </c>
      <c r="CX188" s="133">
        <f t="shared" si="136"/>
        <v>0.26222222222222225</v>
      </c>
      <c r="CY188" s="116"/>
      <c r="CZ188" s="131"/>
      <c r="DA188" s="145" t="str">
        <f t="shared" si="111"/>
        <v>Газлифт</v>
      </c>
      <c r="DB188" s="146">
        <f t="shared" si="112"/>
        <v>9.8648000000000007</v>
      </c>
      <c r="DC188" s="142">
        <f t="shared" si="151"/>
        <v>11.8</v>
      </c>
      <c r="DD188" s="119">
        <f t="shared" si="152"/>
        <v>0</v>
      </c>
      <c r="DE188" s="115">
        <f t="shared" si="115"/>
        <v>4</v>
      </c>
      <c r="DF188" s="121">
        <f t="shared" si="116"/>
        <v>12</v>
      </c>
      <c r="DG188" s="115">
        <f t="shared" si="117"/>
        <v>405.48211823858566</v>
      </c>
      <c r="DH188" s="115">
        <f t="shared" si="118"/>
        <v>52</v>
      </c>
      <c r="DI188" s="1038"/>
      <c r="DJ188" s="111">
        <v>43553</v>
      </c>
      <c r="DK188" s="112">
        <v>41133</v>
      </c>
      <c r="DL188" s="113">
        <f t="shared" ca="1" si="138"/>
        <v>3971</v>
      </c>
      <c r="DM188" s="114"/>
      <c r="DN188" s="114"/>
      <c r="DO188" s="114"/>
      <c r="DP188" s="114"/>
      <c r="DQ188" s="112">
        <v>42589</v>
      </c>
      <c r="DR188" s="114" t="s">
        <v>198</v>
      </c>
      <c r="DS188" s="114"/>
      <c r="DT188" s="115">
        <v>49</v>
      </c>
      <c r="DU188" s="116">
        <f t="shared" si="139"/>
        <v>0.25768157768157768</v>
      </c>
      <c r="DV188" s="117">
        <f t="shared" si="140"/>
        <v>10.34024634920635</v>
      </c>
      <c r="DW188" s="118">
        <f t="shared" si="141"/>
        <v>12.368715728715729</v>
      </c>
      <c r="DX188" s="119">
        <f t="shared" si="119"/>
        <v>0</v>
      </c>
      <c r="DY188" s="115">
        <f t="shared" si="142"/>
        <v>4.1927849927849925</v>
      </c>
      <c r="DZ188" s="117">
        <f t="shared" si="143"/>
        <v>0.47544634920634898</v>
      </c>
      <c r="EA188" s="120">
        <f t="shared" si="143"/>
        <v>0.56871572871572873</v>
      </c>
      <c r="EB188" s="119">
        <f t="shared" si="143"/>
        <v>0</v>
      </c>
      <c r="EC188" s="121">
        <f t="shared" si="144"/>
        <v>0.1927849927849925</v>
      </c>
      <c r="ED188" s="122"/>
      <c r="EE188" s="145">
        <v>65</v>
      </c>
      <c r="EF188" s="115">
        <v>22</v>
      </c>
      <c r="EG188" s="115">
        <v>38</v>
      </c>
      <c r="EH188" s="115">
        <v>22</v>
      </c>
      <c r="EI188" s="128" t="s">
        <v>195</v>
      </c>
      <c r="EJ188" s="121">
        <v>24</v>
      </c>
      <c r="EK188" s="121">
        <v>0</v>
      </c>
      <c r="EL188" s="162">
        <v>8.6108000000000011</v>
      </c>
      <c r="EM188" s="142">
        <v>10.3</v>
      </c>
      <c r="EN188" s="119">
        <v>0</v>
      </c>
      <c r="EO188" s="115">
        <v>6.2</v>
      </c>
      <c r="EP188" s="115">
        <v>394.85297533330237</v>
      </c>
      <c r="EQ188" s="115">
        <v>61</v>
      </c>
      <c r="ER188" s="115">
        <v>2.8</v>
      </c>
      <c r="ES188" s="115">
        <v>59</v>
      </c>
      <c r="ET188" s="150">
        <v>0.27105263157894738</v>
      </c>
      <c r="EU188" s="145">
        <f t="shared" si="120"/>
        <v>65</v>
      </c>
      <c r="EV188" s="115">
        <f t="shared" si="121"/>
        <v>26</v>
      </c>
      <c r="EW188" s="115">
        <f t="shared" si="121"/>
        <v>42</v>
      </c>
      <c r="EX188" s="115">
        <f t="shared" si="121"/>
        <v>25</v>
      </c>
      <c r="EY188" s="115" t="str">
        <f t="shared" si="122"/>
        <v>Постоянный</v>
      </c>
      <c r="EZ188" s="115">
        <f t="shared" si="122"/>
        <v>24</v>
      </c>
      <c r="FA188" s="115">
        <f t="shared" si="122"/>
        <v>0</v>
      </c>
      <c r="FB188" s="149">
        <f t="shared" si="123"/>
        <v>9.8648000000000007</v>
      </c>
      <c r="FC188" s="142">
        <f t="shared" si="123"/>
        <v>11.8</v>
      </c>
      <c r="FD188" s="119">
        <f t="shared" si="123"/>
        <v>0</v>
      </c>
      <c r="FE188" s="121">
        <f t="shared" si="103"/>
        <v>16</v>
      </c>
      <c r="FF188" s="121">
        <f t="shared" si="145"/>
        <v>405.48211823858566</v>
      </c>
      <c r="FG188" s="121">
        <f t="shared" si="124"/>
        <v>66</v>
      </c>
      <c r="FH188" s="121">
        <f t="shared" si="146"/>
        <v>12</v>
      </c>
      <c r="FI188" s="121">
        <f t="shared" si="154"/>
        <v>52</v>
      </c>
      <c r="FJ188" s="144">
        <f t="shared" si="125"/>
        <v>0.26222222222222225</v>
      </c>
      <c r="FK188" s="132">
        <f t="shared" si="126"/>
        <v>0</v>
      </c>
      <c r="FL188" s="115">
        <f t="shared" si="126"/>
        <v>4</v>
      </c>
      <c r="FM188" s="115">
        <f t="shared" si="126"/>
        <v>4</v>
      </c>
      <c r="FN188" s="115">
        <f t="shared" si="126"/>
        <v>3</v>
      </c>
      <c r="FO188" s="115">
        <f t="shared" si="150"/>
        <v>0</v>
      </c>
      <c r="FP188" s="115">
        <f t="shared" si="150"/>
        <v>0</v>
      </c>
      <c r="FQ188" s="149">
        <f t="shared" si="150"/>
        <v>1.2539999999999996</v>
      </c>
      <c r="FR188" s="142">
        <f t="shared" si="148"/>
        <v>1.5</v>
      </c>
      <c r="FS188" s="119">
        <f t="shared" si="148"/>
        <v>0</v>
      </c>
      <c r="FT188" s="121">
        <f t="shared" si="148"/>
        <v>9.8000000000000007</v>
      </c>
      <c r="FU188" s="121">
        <f t="shared" si="127"/>
        <v>5</v>
      </c>
      <c r="FV188" s="121">
        <f t="shared" si="127"/>
        <v>9.1999999999999993</v>
      </c>
      <c r="FW188" s="121">
        <f t="shared" si="128"/>
        <v>10.629142905283288</v>
      </c>
      <c r="FX188" s="121">
        <f>CN188-ES188</f>
        <v>-7</v>
      </c>
      <c r="FY188" s="144">
        <f t="shared" si="129"/>
        <v>-8.8304093567251329E-3</v>
      </c>
      <c r="FZ188" s="145" t="s">
        <v>199</v>
      </c>
      <c r="GA188" s="136" t="s">
        <v>929</v>
      </c>
      <c r="GB188" s="145" t="s">
        <v>199</v>
      </c>
      <c r="GC188" s="131" t="s">
        <v>930</v>
      </c>
      <c r="GD188" s="997" t="s">
        <v>416</v>
      </c>
      <c r="GE188" s="1004" t="s">
        <v>199</v>
      </c>
      <c r="GF188" s="1004">
        <v>-3.8205199999999984</v>
      </c>
      <c r="GG188" s="1004"/>
      <c r="GH188" s="1004">
        <v>-2.5080000000000879E-2</v>
      </c>
      <c r="GI188" s="145"/>
      <c r="GJ188" s="996">
        <v>0</v>
      </c>
      <c r="GK188" s="145" t="s">
        <v>223</v>
      </c>
      <c r="GL188" s="996">
        <v>-2.1435999999999993</v>
      </c>
      <c r="GM188" s="1005"/>
      <c r="GN188" s="996">
        <v>0</v>
      </c>
      <c r="GO188" s="1006"/>
      <c r="GP188" s="996">
        <v>0.75240000000000151</v>
      </c>
      <c r="GQ188" s="1006" t="s">
        <v>199</v>
      </c>
      <c r="GR188" s="996">
        <v>-3.5688839999999988</v>
      </c>
      <c r="GS188" s="1006" t="s">
        <v>199</v>
      </c>
      <c r="GT188" s="996">
        <v>2.7391539999999974</v>
      </c>
      <c r="GU188" s="1006"/>
      <c r="GV188" s="996">
        <v>0.41779099999999936</v>
      </c>
      <c r="GW188" s="1006"/>
      <c r="GX188" s="1035">
        <v>0</v>
      </c>
      <c r="GY188" s="1006" t="s">
        <v>199</v>
      </c>
      <c r="GZ188" s="996">
        <v>-1.6711639999999974</v>
      </c>
      <c r="HA188" s="1006" t="s">
        <v>204</v>
      </c>
      <c r="HB188" s="996">
        <v>0</v>
      </c>
      <c r="HC188" s="1006"/>
      <c r="HD188" s="996">
        <v>0</v>
      </c>
      <c r="HE188" s="1006"/>
      <c r="HF188" s="996">
        <v>0</v>
      </c>
      <c r="HG188" s="1006" t="s">
        <v>199</v>
      </c>
      <c r="HH188" s="996">
        <v>1.6126732599999976</v>
      </c>
      <c r="HI188" s="1006" t="s">
        <v>204</v>
      </c>
      <c r="HJ188" s="996">
        <v>-7.4617472599999992</v>
      </c>
      <c r="HK188" s="1006"/>
      <c r="HL188" s="996">
        <v>0</v>
      </c>
      <c r="HM188" s="1006"/>
      <c r="HN188" s="996">
        <v>0</v>
      </c>
      <c r="HO188" s="1006" t="s">
        <v>199</v>
      </c>
      <c r="HP188" s="996">
        <v>8.522936399999999</v>
      </c>
      <c r="HQ188" s="1006" t="s">
        <v>199</v>
      </c>
      <c r="HR188" s="996">
        <v>-2.6807593999999977</v>
      </c>
      <c r="HS188" s="1006" t="s">
        <v>199</v>
      </c>
      <c r="HT188" s="996">
        <v>2.7424453319999991</v>
      </c>
      <c r="HU188" s="1006"/>
      <c r="HV188" s="996">
        <v>0.35075466799999866</v>
      </c>
      <c r="HW188" s="1006"/>
      <c r="HX188" s="996">
        <v>-0.90204399999999829</v>
      </c>
      <c r="HY188" s="1006" t="s">
        <v>204</v>
      </c>
      <c r="HZ188" s="996">
        <v>2.1405307659999977</v>
      </c>
      <c r="IA188" s="1006"/>
      <c r="IB188" s="996">
        <v>0</v>
      </c>
      <c r="IC188" s="1006" t="s">
        <v>25</v>
      </c>
      <c r="ID188" s="996">
        <v>2.523513234000001</v>
      </c>
      <c r="IE188" s="1006"/>
      <c r="IF188" s="996">
        <v>0</v>
      </c>
      <c r="IG188" s="1006"/>
      <c r="IH188" s="996">
        <v>0</v>
      </c>
      <c r="II188" s="1006"/>
      <c r="IJ188" s="996">
        <v>0.31299840000000057</v>
      </c>
      <c r="IK188" s="1006"/>
      <c r="IL188" s="996">
        <v>0</v>
      </c>
      <c r="IM188" s="1006"/>
      <c r="IN188" s="996">
        <v>0</v>
      </c>
      <c r="IO188" s="1006" t="s">
        <v>199</v>
      </c>
      <c r="IP188" s="996">
        <v>-2.1513206000000009</v>
      </c>
      <c r="IQ188" s="1006"/>
      <c r="IR188" s="996">
        <v>-0.63529646399999962</v>
      </c>
      <c r="IS188" s="1006" t="s">
        <v>199</v>
      </c>
      <c r="IT188" s="996">
        <v>-4.9068292679999992</v>
      </c>
      <c r="IU188" s="1006"/>
      <c r="IV188" s="996">
        <v>0.94458553199999962</v>
      </c>
      <c r="IW188" s="1006"/>
      <c r="IX188" s="996">
        <v>0</v>
      </c>
      <c r="IY188" s="1006" t="s">
        <v>204</v>
      </c>
      <c r="IZ188" s="996">
        <v>3.945525408</v>
      </c>
      <c r="JA188" s="1006"/>
      <c r="JB188" s="996">
        <v>0</v>
      </c>
      <c r="JC188" s="1006"/>
      <c r="JD188" s="996">
        <v>0</v>
      </c>
      <c r="JE188" s="1006"/>
      <c r="JF188" s="996">
        <v>0</v>
      </c>
      <c r="JG188" s="1006"/>
      <c r="JH188" s="996">
        <v>0</v>
      </c>
      <c r="JI188" s="1006"/>
      <c r="JJ188" s="996">
        <v>0</v>
      </c>
      <c r="JK188" s="1007"/>
      <c r="JL188" s="1007">
        <v>0</v>
      </c>
      <c r="JM188" s="1007"/>
      <c r="JN188" s="1007">
        <v>0</v>
      </c>
      <c r="JO188" s="1008"/>
      <c r="JP188" s="1007">
        <v>-3.443975567999999</v>
      </c>
      <c r="JQ188" s="1008">
        <v>0</v>
      </c>
      <c r="JR188" s="1007">
        <v>-1.2874400000004727E-3</v>
      </c>
      <c r="JS188" s="1008" t="s">
        <v>199</v>
      </c>
      <c r="JT188" s="1007">
        <v>3.4276</v>
      </c>
      <c r="JU188" s="1008" t="s">
        <v>204</v>
      </c>
      <c r="JV188" s="1007">
        <v>-8.6943999999999981</v>
      </c>
      <c r="JW188" s="1008" t="s">
        <v>221</v>
      </c>
      <c r="JX188" s="1007">
        <v>5.6011999999999986</v>
      </c>
      <c r="JY188" s="1008"/>
      <c r="JZ188" s="1007">
        <v>0</v>
      </c>
      <c r="KA188" s="1008"/>
      <c r="KB188" s="1007">
        <v>0</v>
      </c>
      <c r="KC188" s="1008" t="s">
        <v>204</v>
      </c>
      <c r="KD188" s="1007">
        <v>-2.5080000000000009</v>
      </c>
      <c r="KE188" s="1008"/>
      <c r="KF188" s="1007">
        <v>0</v>
      </c>
      <c r="KG188" s="1008"/>
      <c r="KH188" s="1007">
        <v>0</v>
      </c>
      <c r="KI188" s="1008" t="s">
        <v>206</v>
      </c>
      <c r="KJ188" s="1007">
        <v>2.5080000000000009</v>
      </c>
      <c r="KK188" s="1008"/>
      <c r="KL188" s="1007">
        <v>0</v>
      </c>
      <c r="KM188" s="1008" t="s">
        <v>206</v>
      </c>
      <c r="KN188" s="1007">
        <v>-2.5080000000000009</v>
      </c>
      <c r="KO188" s="1008" t="s">
        <v>206</v>
      </c>
      <c r="KP188" s="1007">
        <v>5.016</v>
      </c>
      <c r="KQ188" s="1008">
        <v>0</v>
      </c>
      <c r="KR188" s="1007">
        <v>0</v>
      </c>
      <c r="KS188" s="1008">
        <v>0</v>
      </c>
      <c r="KT188" s="1007">
        <v>0</v>
      </c>
      <c r="KU188" s="1008" t="s">
        <v>206</v>
      </c>
      <c r="KV188" s="1007">
        <v>4.1800000000000006</v>
      </c>
      <c r="KW188" s="1008" t="s">
        <v>206</v>
      </c>
      <c r="KX188" s="1007">
        <v>-5.8519999999999994</v>
      </c>
      <c r="KY188" s="1008" t="s">
        <v>204</v>
      </c>
      <c r="KZ188" s="1007">
        <v>4.1799999999999988</v>
      </c>
      <c r="LA188" s="1008" t="s">
        <v>204</v>
      </c>
      <c r="LB188" s="1007">
        <v>1.2696750000000003</v>
      </c>
      <c r="LC188" s="1008" t="s">
        <v>204</v>
      </c>
      <c r="LD188" s="1007">
        <v>-2.0847750000000005</v>
      </c>
      <c r="LE188" s="1008">
        <v>0</v>
      </c>
      <c r="LF188" s="1007">
        <v>0</v>
      </c>
      <c r="LG188" s="1008">
        <v>0</v>
      </c>
      <c r="LH188" s="1007">
        <v>0</v>
      </c>
      <c r="LI188" s="1008" t="s">
        <v>223</v>
      </c>
      <c r="LJ188" s="1007">
        <v>-3.5024219999999975</v>
      </c>
      <c r="LK188" s="1008" t="s">
        <v>555</v>
      </c>
      <c r="LL188" s="1007">
        <v>-2.8352940000000011</v>
      </c>
      <c r="LM188" s="1008" t="s">
        <v>555</v>
      </c>
      <c r="LN188" s="1007">
        <v>3.8359860000000001</v>
      </c>
      <c r="LO188" s="1008" t="s">
        <v>206</v>
      </c>
      <c r="LP188" s="1007">
        <v>-2.5173000000000001</v>
      </c>
      <c r="LQ188" s="1008">
        <v>0</v>
      </c>
      <c r="LR188" s="1007">
        <v>0</v>
      </c>
      <c r="LS188" s="1008" t="s">
        <v>206</v>
      </c>
      <c r="LT188" s="1007">
        <v>5.3460000000000001</v>
      </c>
      <c r="LU188" s="1008">
        <v>0</v>
      </c>
      <c r="LV188" s="1007">
        <v>0</v>
      </c>
      <c r="LW188" s="1008">
        <v>0</v>
      </c>
      <c r="LX188" s="1007">
        <v>0.83399999999998997</v>
      </c>
      <c r="LY188" s="1009">
        <v>0</v>
      </c>
      <c r="LZ188" s="1010">
        <v>-5.8373699999999999</v>
      </c>
      <c r="MA188" s="1011" t="s">
        <v>206</v>
      </c>
      <c r="MB188" s="1012">
        <v>0.2168166</v>
      </c>
      <c r="MC188" s="995"/>
      <c r="MD188" s="996"/>
      <c r="ME188" s="997" t="s">
        <v>416</v>
      </c>
      <c r="MF188" s="997"/>
      <c r="MG188" s="998"/>
      <c r="NR188" s="1000"/>
      <c r="NS188" s="1000"/>
      <c r="NT188" s="1001"/>
      <c r="NU188" s="1000"/>
      <c r="NV188" s="1001"/>
      <c r="NX188" s="1002"/>
      <c r="NZ188" s="1001"/>
      <c r="OA188" s="1001"/>
      <c r="OC188" s="1003"/>
      <c r="OD188" s="1003"/>
      <c r="OE188" s="1001"/>
      <c r="OF188" s="1003"/>
      <c r="OG188" s="1003"/>
      <c r="QX188" s="1000">
        <f>CN188-CA188</f>
        <v>26</v>
      </c>
      <c r="ASU188" s="999" t="s">
        <v>208</v>
      </c>
    </row>
    <row r="189" spans="1:466 1191:1191" s="1023" customFormat="1" ht="21" customHeight="1" x14ac:dyDescent="0.25">
      <c r="A189" s="982" t="str">
        <f t="shared" si="104"/>
        <v>1085-2</v>
      </c>
      <c r="B189" s="124">
        <f>SUBTOTAL(103,$J$29:J189)</f>
        <v>161</v>
      </c>
      <c r="C189" s="126">
        <v>45068</v>
      </c>
      <c r="D189" s="124" t="s">
        <v>176</v>
      </c>
      <c r="E189" s="127" t="s">
        <v>177</v>
      </c>
      <c r="F189" s="128" t="s">
        <v>177</v>
      </c>
      <c r="G189" s="127" t="s">
        <v>178</v>
      </c>
      <c r="H189" s="127" t="s">
        <v>408</v>
      </c>
      <c r="I189" s="127" t="s">
        <v>888</v>
      </c>
      <c r="J189" s="129" t="s">
        <v>931</v>
      </c>
      <c r="K189" s="127" t="s">
        <v>927</v>
      </c>
      <c r="L189" s="130">
        <v>40051</v>
      </c>
      <c r="M189" s="127" t="s">
        <v>230</v>
      </c>
      <c r="N189" s="127" t="s">
        <v>245</v>
      </c>
      <c r="O189" s="127" t="s">
        <v>185</v>
      </c>
      <c r="P189" s="127" t="s">
        <v>186</v>
      </c>
      <c r="Q189" s="85" t="str">
        <f t="shared" si="133"/>
        <v/>
      </c>
      <c r="R189" s="130"/>
      <c r="S189" s="127" t="s">
        <v>156</v>
      </c>
      <c r="T189" s="136"/>
      <c r="U189" s="169">
        <v>203</v>
      </c>
      <c r="V189" s="139">
        <v>218.2</v>
      </c>
      <c r="W189" s="165">
        <v>0.98</v>
      </c>
      <c r="X189" s="165">
        <v>1.66</v>
      </c>
      <c r="Y189" s="165">
        <f t="shared" si="137"/>
        <v>0.98040161029819439</v>
      </c>
      <c r="Z189" s="164">
        <v>1.454</v>
      </c>
      <c r="AA189" s="164">
        <v>0.83599999999999997</v>
      </c>
      <c r="AB189" s="164">
        <v>0.72</v>
      </c>
      <c r="AC189" s="139">
        <v>34.299999999999997</v>
      </c>
      <c r="AD189" s="193">
        <v>1.17</v>
      </c>
      <c r="AE189" s="124">
        <v>139.69999999999999</v>
      </c>
      <c r="AF189" s="127">
        <v>7.72</v>
      </c>
      <c r="AG189" s="127">
        <v>1987</v>
      </c>
      <c r="AH189" s="127">
        <v>2500</v>
      </c>
      <c r="AI189" s="127">
        <v>2500</v>
      </c>
      <c r="AJ189" s="199"/>
      <c r="AK189" s="200"/>
      <c r="AL189" s="201"/>
      <c r="AM189" s="124" t="s">
        <v>232</v>
      </c>
      <c r="AN189" s="136" t="s">
        <v>932</v>
      </c>
      <c r="AO189" s="137">
        <v>25.91</v>
      </c>
      <c r="AP189" s="128">
        <v>1987</v>
      </c>
      <c r="AQ189" s="128">
        <v>95.2</v>
      </c>
      <c r="AR189" s="128"/>
      <c r="AS189" s="128"/>
      <c r="AT189" s="122"/>
      <c r="AU189" s="124" t="s">
        <v>189</v>
      </c>
      <c r="AV189" s="115">
        <f>VLOOKUP(J189,'[63]ТР нефть'!$J$28:$BP$638,39,0)</f>
        <v>599.99999062500001</v>
      </c>
      <c r="AW189" s="115" t="str">
        <f>VLOOKUP(J189,'[63]ТР нефть'!$J$28:$BP$638,40,0)</f>
        <v>ГК 79 1/8</v>
      </c>
      <c r="AX189" s="115">
        <f>VLOOKUP(J189,'[63]ТР нефть'!$J$28:$BP$638,41,0)</f>
        <v>1049.999983594</v>
      </c>
      <c r="AY189" s="115" t="str">
        <f>VLOOKUP(J189,'[63]ТР нефть'!$J$28:$BP$638,42,0)</f>
        <v>ГК 79 1/8</v>
      </c>
      <c r="AZ189" s="115">
        <f>VLOOKUP(J189,'[63]ТР нефть'!$J$28:$BP$638,43,0)</f>
        <v>1399.9999781250001</v>
      </c>
      <c r="BA189" s="115" t="str">
        <f>VLOOKUP(J189,'[63]ТР нефть'!$J$28:$BP$638,44,0)</f>
        <v>ГК 79 5/32</v>
      </c>
      <c r="BB189" s="115">
        <f>VLOOKUP(J189,'[63]ТР нефть'!$J$28:$BP$638,45,0)</f>
        <v>1690.000062891</v>
      </c>
      <c r="BC189" s="115" t="str">
        <f>VLOOKUP(J189,'[63]ТР нефть'!$J$28:$BP$638,46,0)</f>
        <v>ЦКсОК 5/16</v>
      </c>
      <c r="BD189" s="115" t="str">
        <f>VLOOKUP(J189,'[63]ТР нефть'!$J$28:$BP$638,47,0)</f>
        <v>-</v>
      </c>
      <c r="BE189" s="115" t="str">
        <f>VLOOKUP(J189,'[63]ТР нефть'!$J$28:$BP$638,48,0)</f>
        <v>-</v>
      </c>
      <c r="BF189" s="115" t="str">
        <f>VLOOKUP(J189,'[63]ТР нефть'!$J$28:$BP$638,49,0)</f>
        <v>-</v>
      </c>
      <c r="BG189" s="115" t="str">
        <f>VLOOKUP(J189,'[63]ТР нефть'!$J$28:$BP$638,50,0)</f>
        <v>-</v>
      </c>
      <c r="BH189" s="115">
        <f>VLOOKUP(J189,'[63]ТР нефть'!$J$28:$BP$638,51,0)</f>
        <v>1777</v>
      </c>
      <c r="BI189" s="115" t="str">
        <f>VLOOKUP(J189,'[63]ТР нефть'!$J$28:$BP$638,52,0)</f>
        <v>закрыт</v>
      </c>
      <c r="BJ189" s="115" t="str">
        <f>IF(IFERROR(VLOOKUP(J189,'[63]ТР нефть'!$J$28:$BP$638,53,0),"-")=0,"-",IFERROR(VLOOKUP(J189,'[63]ТР нефть'!$J$28:$BP$638,53,0),"-"))</f>
        <v>-</v>
      </c>
      <c r="BK189" s="138" t="str">
        <f>IF(IFERROR(VLOOKUP(J189,'[63]ТР нефть'!$J$28:$BP$638,54,0),"-")=0,"-",IFERROR(VLOOKUP(J189,'[63]ТР нефть'!$J$28:$BP$638,54,0),"-"))</f>
        <v>-</v>
      </c>
      <c r="BL189" s="138" t="str">
        <f>IF(IFERROR(VLOOKUP(J189,'[63]ТР нефть'!$J$28:$BP$638,55,0),"-")=0,"-",IFERROR(VLOOKUP(J189,'[63]ТР нефть'!$J$28:$BP$638,55,0),"-"))</f>
        <v>-</v>
      </c>
      <c r="BM189" s="138" t="str">
        <f>IF(IFERROR(VLOOKUP(J189,'[63]ТР нефть'!$J$28:$BP$638,56,0),"-")=0,"-",IFERROR(VLOOKUP(J189,'[63]ТР нефть'!$J$28:$BP$638,56,0),"-"))</f>
        <v>-</v>
      </c>
      <c r="BN189" s="138" t="str">
        <f>IF(IFERROR(VLOOKUP(J189,'[63]ТР нефть'!$J$28:$BP$638,57,0),"-")=0,"-",IFERROR(VLOOKUP(J189,'[63]ТР нефть'!$J$28:$BP$638,57,0),"-"))</f>
        <v>-</v>
      </c>
      <c r="BO189" s="115" t="str">
        <f>IF(IFERROR(VLOOKUP(J189,'[63]ТР нефть'!$J$28:$BP$638,58,0),"-")=0,"-",IFERROR(VLOOKUP(J189,'[63]ТР нефть'!$J$28:$BP$638,58,0),"-"))</f>
        <v>-</v>
      </c>
      <c r="BP189" s="115" t="str">
        <f>IF(IFERROR(VLOOKUP(J189,'[63]ТР нефть'!$J$28:$BP$638,59,0),"-")=0,"-",IFERROR(VLOOKUP(J189,'[63]ТР нефть'!$J$28:$BP$638,59,0),"-"))</f>
        <v>-</v>
      </c>
      <c r="BQ189" s="138">
        <v>2423</v>
      </c>
      <c r="BR189" s="128">
        <v>1905.63</v>
      </c>
      <c r="BS189" s="115">
        <f t="shared" si="105"/>
        <v>517.36999999999989</v>
      </c>
      <c r="BT189" s="128">
        <v>73</v>
      </c>
      <c r="BU189" s="128">
        <v>5.5</v>
      </c>
      <c r="BV189" s="127">
        <v>18</v>
      </c>
      <c r="BW189" s="127" t="s">
        <v>217</v>
      </c>
      <c r="BX189" s="127" t="s">
        <v>195</v>
      </c>
      <c r="BY189" s="139">
        <v>24</v>
      </c>
      <c r="BZ189" s="139">
        <v>0</v>
      </c>
      <c r="CA189" s="138">
        <v>25</v>
      </c>
      <c r="CB189" s="138">
        <v>35</v>
      </c>
      <c r="CC189" s="138">
        <v>24</v>
      </c>
      <c r="CD189" s="135">
        <v>45017</v>
      </c>
      <c r="CE189" s="138">
        <v>85</v>
      </c>
      <c r="CF189" s="138">
        <v>60</v>
      </c>
      <c r="CG189" s="138" t="str">
        <f t="shared" si="153"/>
        <v>В работе</v>
      </c>
      <c r="CH189" s="138" t="s">
        <v>196</v>
      </c>
      <c r="CI189" s="138">
        <v>6</v>
      </c>
      <c r="CJ189" s="139"/>
      <c r="CK189" s="139"/>
      <c r="CL189" s="99"/>
      <c r="CM189" s="99"/>
      <c r="CN189" s="140">
        <v>38</v>
      </c>
      <c r="CO189" s="159">
        <f t="shared" si="106"/>
        <v>9.1868040000000004</v>
      </c>
      <c r="CP189" s="160">
        <v>11</v>
      </c>
      <c r="CQ189" s="161">
        <v>0.1</v>
      </c>
      <c r="CR189" s="138">
        <v>26</v>
      </c>
      <c r="CS189" s="139">
        <v>8.4</v>
      </c>
      <c r="CT189" s="138"/>
      <c r="CU189" s="138">
        <f t="shared" si="134"/>
        <v>17.600000000000001</v>
      </c>
      <c r="CV189" s="138">
        <f t="shared" si="135"/>
        <v>1915.7913894756</v>
      </c>
      <c r="CW189" s="138">
        <f t="shared" si="109"/>
        <v>913.08893420998584</v>
      </c>
      <c r="CX189" s="164">
        <f t="shared" si="136"/>
        <v>0.23404255319148937</v>
      </c>
      <c r="CY189" s="116"/>
      <c r="CZ189" s="136"/>
      <c r="DA189" s="124" t="str">
        <f t="shared" si="111"/>
        <v>Газлифт</v>
      </c>
      <c r="DB189" s="146">
        <f t="shared" si="112"/>
        <v>9.1868040000000004</v>
      </c>
      <c r="DC189" s="142">
        <f t="shared" si="151"/>
        <v>11</v>
      </c>
      <c r="DD189" s="119">
        <f t="shared" si="152"/>
        <v>0.1</v>
      </c>
      <c r="DE189" s="115">
        <f t="shared" si="115"/>
        <v>17.600000000000001</v>
      </c>
      <c r="DF189" s="121">
        <f t="shared" si="116"/>
        <v>8.4</v>
      </c>
      <c r="DG189" s="138">
        <f t="shared" si="117"/>
        <v>1915.7913894756</v>
      </c>
      <c r="DH189" s="138">
        <f t="shared" si="118"/>
        <v>38</v>
      </c>
      <c r="DI189" s="167"/>
      <c r="DJ189" s="111" t="s">
        <v>197</v>
      </c>
      <c r="DK189" s="112">
        <v>41332</v>
      </c>
      <c r="DL189" s="113">
        <f t="shared" ca="1" si="138"/>
        <v>3772</v>
      </c>
      <c r="DM189" s="114"/>
      <c r="DN189" s="114"/>
      <c r="DO189" s="114"/>
      <c r="DP189" s="114"/>
      <c r="DQ189" s="112">
        <v>43670</v>
      </c>
      <c r="DR189" s="114" t="s">
        <v>198</v>
      </c>
      <c r="DS189" s="114"/>
      <c r="DT189" s="115">
        <v>44</v>
      </c>
      <c r="DU189" s="116">
        <f t="shared" si="139"/>
        <v>0.26829268292682928</v>
      </c>
      <c r="DV189" s="117">
        <f t="shared" si="140"/>
        <v>9.1868040000000004</v>
      </c>
      <c r="DW189" s="118">
        <f t="shared" si="141"/>
        <v>11</v>
      </c>
      <c r="DX189" s="119">
        <f t="shared" si="119"/>
        <v>0.1</v>
      </c>
      <c r="DY189" s="115">
        <f t="shared" si="142"/>
        <v>17.600000000000001</v>
      </c>
      <c r="DZ189" s="117">
        <f t="shared" si="143"/>
        <v>0</v>
      </c>
      <c r="EA189" s="120">
        <f t="shared" si="143"/>
        <v>0</v>
      </c>
      <c r="EB189" s="119">
        <f t="shared" si="143"/>
        <v>0</v>
      </c>
      <c r="EC189" s="121">
        <f t="shared" si="144"/>
        <v>0</v>
      </c>
      <c r="ED189" s="122"/>
      <c r="EE189" s="124">
        <v>18</v>
      </c>
      <c r="EF189" s="138">
        <v>23</v>
      </c>
      <c r="EG189" s="138">
        <v>35</v>
      </c>
      <c r="EH189" s="138">
        <v>22</v>
      </c>
      <c r="EI189" s="127" t="s">
        <v>195</v>
      </c>
      <c r="EJ189" s="139">
        <v>24</v>
      </c>
      <c r="EK189" s="139">
        <v>0</v>
      </c>
      <c r="EL189" s="176">
        <v>10.021967999999999</v>
      </c>
      <c r="EM189" s="138">
        <v>12</v>
      </c>
      <c r="EN189" s="138">
        <v>0.1</v>
      </c>
      <c r="EO189" s="138">
        <v>24.5</v>
      </c>
      <c r="EP189" s="138">
        <v>1606.470904716519</v>
      </c>
      <c r="EQ189" s="138">
        <v>61</v>
      </c>
      <c r="ER189" s="139">
        <v>8.4</v>
      </c>
      <c r="ES189" s="138">
        <v>39</v>
      </c>
      <c r="ET189" s="154">
        <v>0.2608695652173913</v>
      </c>
      <c r="EU189" s="124">
        <f t="shared" si="120"/>
        <v>18</v>
      </c>
      <c r="EV189" s="138">
        <f t="shared" si="121"/>
        <v>25</v>
      </c>
      <c r="EW189" s="138">
        <f t="shared" si="121"/>
        <v>35</v>
      </c>
      <c r="EX189" s="138">
        <f t="shared" si="121"/>
        <v>24</v>
      </c>
      <c r="EY189" s="138" t="str">
        <f t="shared" si="122"/>
        <v>Постоянный</v>
      </c>
      <c r="EZ189" s="138">
        <f t="shared" si="122"/>
        <v>24</v>
      </c>
      <c r="FA189" s="138">
        <f t="shared" si="122"/>
        <v>0</v>
      </c>
      <c r="FB189" s="139">
        <f t="shared" si="123"/>
        <v>9.1868040000000004</v>
      </c>
      <c r="FC189" s="138">
        <f t="shared" si="123"/>
        <v>11</v>
      </c>
      <c r="FD189" s="138">
        <f t="shared" si="123"/>
        <v>0.1</v>
      </c>
      <c r="FE189" s="139">
        <f t="shared" si="103"/>
        <v>26</v>
      </c>
      <c r="FF189" s="139">
        <f t="shared" si="145"/>
        <v>1915.7913894756</v>
      </c>
      <c r="FG189" s="139">
        <f t="shared" si="124"/>
        <v>60</v>
      </c>
      <c r="FH189" s="139">
        <f t="shared" si="146"/>
        <v>8.4</v>
      </c>
      <c r="FI189" s="139">
        <f t="shared" si="154"/>
        <v>38</v>
      </c>
      <c r="FJ189" s="168">
        <f t="shared" si="125"/>
        <v>0.23404255319148937</v>
      </c>
      <c r="FK189" s="169">
        <f t="shared" si="126"/>
        <v>0</v>
      </c>
      <c r="FL189" s="138">
        <f t="shared" si="126"/>
        <v>2</v>
      </c>
      <c r="FM189" s="138">
        <f t="shared" si="126"/>
        <v>0</v>
      </c>
      <c r="FN189" s="138">
        <f t="shared" si="126"/>
        <v>2</v>
      </c>
      <c r="FO189" s="138">
        <f t="shared" si="150"/>
        <v>0</v>
      </c>
      <c r="FP189" s="138">
        <f t="shared" si="150"/>
        <v>0</v>
      </c>
      <c r="FQ189" s="149">
        <f t="shared" si="150"/>
        <v>-0.83516399999999891</v>
      </c>
      <c r="FR189" s="142">
        <f t="shared" si="148"/>
        <v>-1</v>
      </c>
      <c r="FS189" s="119">
        <f t="shared" si="148"/>
        <v>0</v>
      </c>
      <c r="FT189" s="139">
        <f t="shared" si="148"/>
        <v>1.5</v>
      </c>
      <c r="FU189" s="139">
        <f t="shared" si="127"/>
        <v>-1</v>
      </c>
      <c r="FV189" s="139">
        <f t="shared" si="127"/>
        <v>0</v>
      </c>
      <c r="FW189" s="139">
        <f t="shared" si="128"/>
        <v>309.32048475908095</v>
      </c>
      <c r="FX189" s="139">
        <f>CN189-ES189</f>
        <v>-1</v>
      </c>
      <c r="FY189" s="168">
        <f t="shared" si="129"/>
        <v>-2.6827012025901931E-2</v>
      </c>
      <c r="FZ189" s="124"/>
      <c r="GA189" s="136"/>
      <c r="GB189" s="124"/>
      <c r="GC189" s="136"/>
      <c r="GD189" s="1018" t="s">
        <v>416</v>
      </c>
      <c r="GE189" s="1019"/>
      <c r="GF189" s="1019">
        <v>0</v>
      </c>
      <c r="GG189" s="1019"/>
      <c r="GH189" s="1019">
        <v>0</v>
      </c>
      <c r="GI189" s="124"/>
      <c r="GJ189" s="1015">
        <v>0.41758199999999945</v>
      </c>
      <c r="GK189" s="124"/>
      <c r="GL189" s="1015">
        <v>0</v>
      </c>
      <c r="GM189" s="1013" t="s">
        <v>204</v>
      </c>
      <c r="GN189" s="1015">
        <v>-2.5054920000000003</v>
      </c>
      <c r="GO189" s="1014" t="s">
        <v>199</v>
      </c>
      <c r="GP189" s="1015">
        <v>2.494624</v>
      </c>
      <c r="GQ189" s="1014"/>
      <c r="GR189" s="1015">
        <v>-0.66879999999999917</v>
      </c>
      <c r="GS189" s="1014"/>
      <c r="GT189" s="1015">
        <v>-0.41800000000000104</v>
      </c>
      <c r="GU189" s="1014"/>
      <c r="GV189" s="1015">
        <v>2.3909600000013853E-3</v>
      </c>
      <c r="GW189" s="1014" t="s">
        <v>223</v>
      </c>
      <c r="GX189" s="1020">
        <v>-1.5588281720000019</v>
      </c>
      <c r="GY189" s="1014"/>
      <c r="GZ189" s="1015">
        <v>0</v>
      </c>
      <c r="HA189" s="1014"/>
      <c r="HB189" s="1015">
        <v>-3.1962787999997744E-2</v>
      </c>
      <c r="HC189" s="1014" t="s">
        <v>199</v>
      </c>
      <c r="HD189" s="1015">
        <v>1.4113849419999998</v>
      </c>
      <c r="HE189" s="1014"/>
      <c r="HF189" s="1015">
        <v>0</v>
      </c>
      <c r="HG189" s="1014" t="s">
        <v>199</v>
      </c>
      <c r="HH189" s="1015">
        <v>3.5210150579999979</v>
      </c>
      <c r="HI189" s="1014" t="s">
        <v>933</v>
      </c>
      <c r="HJ189" s="1015">
        <v>-12.874399999999998</v>
      </c>
      <c r="HK189" s="1014"/>
      <c r="HL189" s="1015">
        <v>0</v>
      </c>
      <c r="HM189" s="1014" t="s">
        <v>203</v>
      </c>
      <c r="HN189" s="1015">
        <v>-4.5519865599999996</v>
      </c>
      <c r="HO189" s="1014"/>
      <c r="HP189" s="1015">
        <v>6.4288400000016566E-3</v>
      </c>
      <c r="HQ189" s="1014" t="s">
        <v>25</v>
      </c>
      <c r="HR189" s="1015">
        <v>24.133915519999999</v>
      </c>
      <c r="HS189" s="1014"/>
      <c r="HT189" s="1015">
        <v>0</v>
      </c>
      <c r="HU189" s="1014" t="s">
        <v>204</v>
      </c>
      <c r="HV189" s="1015">
        <v>-1.8651578000000002</v>
      </c>
      <c r="HW189" s="1014"/>
      <c r="HX189" s="1015">
        <v>0</v>
      </c>
      <c r="HY189" s="1014"/>
      <c r="HZ189" s="1015">
        <v>0</v>
      </c>
      <c r="IA189" s="1014"/>
      <c r="IB189" s="1015">
        <v>0</v>
      </c>
      <c r="IC189" s="1014"/>
      <c r="ID189" s="1015">
        <v>0</v>
      </c>
      <c r="IE189" s="1014"/>
      <c r="IF189" s="1015">
        <v>0</v>
      </c>
      <c r="IG189" s="1014" t="s">
        <v>199</v>
      </c>
      <c r="IH189" s="1015">
        <v>1.1286</v>
      </c>
      <c r="II189" s="1014"/>
      <c r="IJ189" s="1015">
        <v>0</v>
      </c>
      <c r="IK189" s="1014"/>
      <c r="IL189" s="1015">
        <v>0</v>
      </c>
      <c r="IM189" s="1014"/>
      <c r="IN189" s="1015">
        <v>0</v>
      </c>
      <c r="IO189" s="1014" t="s">
        <v>223</v>
      </c>
      <c r="IP189" s="1015">
        <v>-1.5461819999999991</v>
      </c>
      <c r="IQ189" s="1014"/>
      <c r="IR189" s="1015">
        <v>0</v>
      </c>
      <c r="IS189" s="1014"/>
      <c r="IT189" s="1015">
        <v>-0.69597000000000087</v>
      </c>
      <c r="IU189" s="1014"/>
      <c r="IV189" s="1015">
        <v>0</v>
      </c>
      <c r="IW189" s="1014"/>
      <c r="IX189" s="1015">
        <v>0</v>
      </c>
      <c r="IY189" s="1014"/>
      <c r="IZ189" s="1015">
        <v>0</v>
      </c>
      <c r="JA189" s="1014"/>
      <c r="JB189" s="1015">
        <v>0</v>
      </c>
      <c r="JC189" s="1014"/>
      <c r="JD189" s="1015">
        <v>0</v>
      </c>
      <c r="JE189" s="1014"/>
      <c r="JF189" s="1015">
        <v>0</v>
      </c>
      <c r="JG189" s="1014"/>
      <c r="JH189" s="1015">
        <v>0</v>
      </c>
      <c r="JI189" s="1014"/>
      <c r="JJ189" s="1015">
        <v>0</v>
      </c>
      <c r="JK189" s="1020"/>
      <c r="JL189" s="1020">
        <v>0</v>
      </c>
      <c r="JM189" s="1020" t="s">
        <v>199</v>
      </c>
      <c r="JN189" s="1020">
        <v>1.8283320000000001</v>
      </c>
      <c r="JO189" s="1021" t="s">
        <v>199</v>
      </c>
      <c r="JP189" s="1020">
        <v>-1.9095911999999999</v>
      </c>
      <c r="JQ189" s="1021">
        <v>0</v>
      </c>
      <c r="JR189" s="1020">
        <v>-1.0431888000000002</v>
      </c>
      <c r="JS189" s="1021">
        <v>0</v>
      </c>
      <c r="JT189" s="1020">
        <v>0</v>
      </c>
      <c r="JU189" s="1021" t="s">
        <v>204</v>
      </c>
      <c r="JV189" s="1020">
        <v>-6.3529646399999997</v>
      </c>
      <c r="JW189" s="1021" t="s">
        <v>197</v>
      </c>
      <c r="JX189" s="1020">
        <v>0</v>
      </c>
      <c r="JY189" s="1021"/>
      <c r="JZ189" s="1020">
        <v>0</v>
      </c>
      <c r="KA189" s="1021"/>
      <c r="KB189" s="1020">
        <v>0</v>
      </c>
      <c r="KC189" s="1021"/>
      <c r="KD189" s="1020">
        <v>-0.66873312000000062</v>
      </c>
      <c r="KE189" s="1021"/>
      <c r="KF189" s="1020">
        <v>0</v>
      </c>
      <c r="KG189" s="1021"/>
      <c r="KH189" s="1020">
        <v>0</v>
      </c>
      <c r="KI189" s="1021"/>
      <c r="KJ189" s="1020">
        <v>0</v>
      </c>
      <c r="KK189" s="1021"/>
      <c r="KL189" s="1020">
        <v>0</v>
      </c>
      <c r="KM189" s="1021"/>
      <c r="KN189" s="1020">
        <v>0</v>
      </c>
      <c r="KO189" s="1021"/>
      <c r="KP189" s="1020">
        <v>0</v>
      </c>
      <c r="KQ189" s="1021" t="s">
        <v>206</v>
      </c>
      <c r="KR189" s="1020">
        <v>5.8514147999999997</v>
      </c>
      <c r="KS189" s="1021">
        <v>0</v>
      </c>
      <c r="KT189" s="1020">
        <v>0</v>
      </c>
      <c r="KU189" s="1021">
        <v>0</v>
      </c>
      <c r="KV189" s="1020">
        <v>0</v>
      </c>
      <c r="KW189" s="1021">
        <v>0</v>
      </c>
      <c r="KX189" s="1020">
        <v>-5.8514147999999997</v>
      </c>
      <c r="KY189" s="1021" t="s">
        <v>204</v>
      </c>
      <c r="KZ189" s="1020">
        <v>1.6718328000000007</v>
      </c>
      <c r="LA189" s="1021">
        <v>0</v>
      </c>
      <c r="LB189" s="1020">
        <v>0</v>
      </c>
      <c r="LC189" s="1021" t="s">
        <v>206</v>
      </c>
      <c r="LD189" s="1020">
        <v>2.6749324799999989</v>
      </c>
      <c r="LE189" s="1021">
        <v>0</v>
      </c>
      <c r="LF189" s="1020">
        <v>0</v>
      </c>
      <c r="LG189" s="1021" t="s">
        <v>206</v>
      </c>
      <c r="LH189" s="1020">
        <v>-0.33436655999999199</v>
      </c>
      <c r="LI189" s="1021">
        <v>0</v>
      </c>
      <c r="LJ189" s="1020">
        <v>0</v>
      </c>
      <c r="LK189" s="1021" t="s">
        <v>555</v>
      </c>
      <c r="LL189" s="1020">
        <v>-4.7312868240000006</v>
      </c>
      <c r="LM189" s="1021" t="s">
        <v>555</v>
      </c>
      <c r="LN189" s="1020">
        <v>-2.92571</v>
      </c>
      <c r="LO189" s="1021" t="s">
        <v>206</v>
      </c>
      <c r="LP189" s="1020">
        <v>2.5774919999999999</v>
      </c>
      <c r="LQ189" s="1021" t="s">
        <v>206</v>
      </c>
      <c r="LR189" s="1020">
        <v>4.1239872000000002</v>
      </c>
      <c r="LS189" s="1021">
        <v>0</v>
      </c>
      <c r="LT189" s="1020">
        <v>0</v>
      </c>
      <c r="LU189" s="1021">
        <v>0</v>
      </c>
      <c r="LV189" s="1020">
        <v>0</v>
      </c>
      <c r="LW189" s="1021">
        <v>0</v>
      </c>
      <c r="LX189" s="1020">
        <v>0</v>
      </c>
      <c r="LY189" s="1009">
        <v>0</v>
      </c>
      <c r="LZ189" s="980">
        <v>0</v>
      </c>
      <c r="MA189" s="1009">
        <v>0</v>
      </c>
      <c r="MB189" s="1022">
        <v>0.66873311999999996</v>
      </c>
      <c r="MC189" s="1041"/>
      <c r="MD189" s="1015"/>
      <c r="ME189" s="1018" t="s">
        <v>416</v>
      </c>
      <c r="MF189" s="997"/>
      <c r="MG189" s="1042"/>
      <c r="MH189" s="1043"/>
      <c r="MI189" s="1043"/>
      <c r="MJ189" s="1043"/>
      <c r="MK189" s="1043"/>
      <c r="ML189" s="1043"/>
      <c r="MM189" s="1043"/>
      <c r="MN189" s="1043"/>
      <c r="MO189" s="1043"/>
      <c r="MP189" s="1043"/>
      <c r="MQ189" s="878"/>
      <c r="MR189" s="878"/>
      <c r="MS189" s="1043"/>
      <c r="MT189" s="1048"/>
      <c r="MU189" s="1043"/>
      <c r="MV189" s="1043"/>
      <c r="MW189" s="878"/>
      <c r="MX189" s="878"/>
      <c r="MY189" s="878"/>
      <c r="MZ189" s="878"/>
      <c r="NA189" s="878"/>
      <c r="NB189" s="878"/>
      <c r="NC189" s="878"/>
      <c r="ND189" s="878"/>
      <c r="NE189" s="878"/>
      <c r="NF189" s="878"/>
      <c r="NG189" s="878"/>
      <c r="NH189" s="878"/>
      <c r="NI189" s="878"/>
      <c r="NJ189" s="878"/>
      <c r="NK189" s="878"/>
      <c r="NL189" s="878"/>
      <c r="NM189" s="1043"/>
      <c r="NR189" s="1044"/>
      <c r="NS189" s="1044"/>
      <c r="NT189" s="1045"/>
      <c r="NU189" s="1044"/>
      <c r="NV189" s="1045"/>
      <c r="NX189" s="1046"/>
      <c r="NZ189" s="1045"/>
      <c r="OA189" s="1045"/>
      <c r="OC189" s="1047"/>
      <c r="OD189" s="1047"/>
      <c r="OE189" s="1045"/>
      <c r="OF189" s="1047"/>
      <c r="OG189" s="1047"/>
      <c r="QX189" s="1000">
        <f>CN189-CA189</f>
        <v>13</v>
      </c>
      <c r="ASU189" s="1023" t="s">
        <v>208</v>
      </c>
    </row>
    <row r="190" spans="1:466 1191:1191" ht="21" customHeight="1" x14ac:dyDescent="0.25">
      <c r="A190" s="982" t="str">
        <f t="shared" si="104"/>
        <v>1085-1</v>
      </c>
      <c r="B190" s="124">
        <f>SUBTOTAL(103,$J$29:J190)</f>
        <v>162</v>
      </c>
      <c r="C190" s="126">
        <v>45068</v>
      </c>
      <c r="D190" s="124" t="s">
        <v>176</v>
      </c>
      <c r="E190" s="127" t="s">
        <v>177</v>
      </c>
      <c r="F190" s="128" t="s">
        <v>177</v>
      </c>
      <c r="G190" s="127" t="s">
        <v>178</v>
      </c>
      <c r="H190" s="127" t="s">
        <v>408</v>
      </c>
      <c r="I190" s="127" t="s">
        <v>888</v>
      </c>
      <c r="J190" s="152" t="s">
        <v>934</v>
      </c>
      <c r="K190" s="127" t="s">
        <v>927</v>
      </c>
      <c r="L190" s="130">
        <v>39903</v>
      </c>
      <c r="M190" s="127" t="s">
        <v>230</v>
      </c>
      <c r="N190" s="127" t="s">
        <v>245</v>
      </c>
      <c r="O190" s="127" t="s">
        <v>185</v>
      </c>
      <c r="P190" s="127" t="s">
        <v>186</v>
      </c>
      <c r="Q190" s="85" t="str">
        <f t="shared" si="133"/>
        <v/>
      </c>
      <c r="R190" s="130"/>
      <c r="S190" s="128" t="s">
        <v>156</v>
      </c>
      <c r="T190" s="131"/>
      <c r="U190" s="132">
        <v>203</v>
      </c>
      <c r="V190" s="121">
        <v>218.2</v>
      </c>
      <c r="W190" s="116">
        <v>0.98</v>
      </c>
      <c r="X190" s="116">
        <v>1.66</v>
      </c>
      <c r="Y190" s="116">
        <f t="shared" si="137"/>
        <v>0.98032126190751667</v>
      </c>
      <c r="Z190" s="133">
        <v>1.454</v>
      </c>
      <c r="AA190" s="133">
        <v>0.83599999999999997</v>
      </c>
      <c r="AB190" s="133">
        <v>0.72</v>
      </c>
      <c r="AC190" s="121">
        <v>34.299999999999997</v>
      </c>
      <c r="AD190" s="134">
        <v>1.17</v>
      </c>
      <c r="AE190" s="124">
        <v>139.69999999999999</v>
      </c>
      <c r="AF190" s="128">
        <v>7.72</v>
      </c>
      <c r="AG190" s="128">
        <v>1999</v>
      </c>
      <c r="AH190" s="127" t="s">
        <v>935</v>
      </c>
      <c r="AI190" s="127" t="s">
        <v>935</v>
      </c>
      <c r="AJ190" s="135"/>
      <c r="AK190" s="128"/>
      <c r="AL190" s="131"/>
      <c r="AM190" s="124" t="s">
        <v>232</v>
      </c>
      <c r="AN190" s="136" t="s">
        <v>936</v>
      </c>
      <c r="AO190" s="137" t="s">
        <v>937</v>
      </c>
      <c r="AP190" s="128">
        <v>1999</v>
      </c>
      <c r="AQ190" s="128">
        <v>113.8</v>
      </c>
      <c r="AR190" s="128"/>
      <c r="AS190" s="128"/>
      <c r="AT190" s="122"/>
      <c r="AU190" s="124" t="s">
        <v>189</v>
      </c>
      <c r="AV190" s="115">
        <f>VLOOKUP(J190,'[63]ТР нефть'!$J$28:$BP$638,39,0)</f>
        <v>500.00002939500001</v>
      </c>
      <c r="AW190" s="115" t="str">
        <f>VLOOKUP(J190,'[63]ТР нефть'!$J$28:$BP$638,40,0)</f>
        <v>ГК 83 1/8</v>
      </c>
      <c r="AX190" s="115">
        <f>VLOOKUP(J190,'[63]ТР нефть'!$J$28:$BP$638,41,0)</f>
        <v>880.00001601600002</v>
      </c>
      <c r="AY190" s="115" t="str">
        <f>VLOOKUP(J190,'[63]ТР нефть'!$J$28:$BP$638,42,0)</f>
        <v>ГК 83 1/8</v>
      </c>
      <c r="AZ190" s="115">
        <f>VLOOKUP(J190,'[63]ТР нефть'!$J$28:$BP$638,43,0)</f>
        <v>1160.000041406</v>
      </c>
      <c r="BA190" s="115" t="str">
        <f>VLOOKUP(J190,'[63]ТР нефть'!$J$28:$BP$638,44,0)</f>
        <v>ГК 83 1/8</v>
      </c>
      <c r="BB190" s="115">
        <f>VLOOKUP(J190,'[63]ТР нефть'!$J$28:$BP$638,45,0)</f>
        <v>1449.9999773439999</v>
      </c>
      <c r="BC190" s="115" t="str">
        <f>VLOOKUP(J190,'[63]ТР нефть'!$J$28:$BP$638,46,0)</f>
        <v>ГК 83 5/32</v>
      </c>
      <c r="BD190" s="115">
        <f>VLOOKUP(J190,'[63]ТР нефть'!$J$28:$BP$638,47,0)</f>
        <v>1700.0001222660001</v>
      </c>
      <c r="BE190" s="115" t="str">
        <f>VLOOKUP(J190,'[63]ТР нефть'!$J$28:$BP$638,48,0)</f>
        <v>ЦКсОК 5/16</v>
      </c>
      <c r="BF190" s="115" t="str">
        <f>VLOOKUP(J190,'[63]ТР нефть'!$J$28:$BP$638,49,0)</f>
        <v>-</v>
      </c>
      <c r="BG190" s="115" t="str">
        <f>VLOOKUP(J190,'[63]ТР нефть'!$J$28:$BP$638,50,0)</f>
        <v>-</v>
      </c>
      <c r="BH190" s="115">
        <f>VLOOKUP(J190,'[63]ТР нефть'!$J$28:$BP$638,51,0)</f>
        <v>1729</v>
      </c>
      <c r="BI190" s="115" t="str">
        <f>VLOOKUP(J190,'[63]ТР нефть'!$J$28:$BP$638,52,0)</f>
        <v>закрыт</v>
      </c>
      <c r="BJ190" s="115" t="str">
        <f>IF(IFERROR(VLOOKUP(J190,'[63]ТР нефть'!$J$28:$BP$638,53,0),"-")=0,"-",IFERROR(VLOOKUP(J190,'[63]ТР нефть'!$J$28:$BP$638,53,0),"-"))</f>
        <v>-</v>
      </c>
      <c r="BK190" s="138" t="str">
        <f>IF(IFERROR(VLOOKUP(J190,'[63]ТР нефть'!$J$28:$BP$638,54,0),"-")=0,"-",IFERROR(VLOOKUP(J190,'[63]ТР нефть'!$J$28:$BP$638,54,0),"-"))</f>
        <v>-</v>
      </c>
      <c r="BL190" s="138" t="str">
        <f>IF(IFERROR(VLOOKUP(J190,'[63]ТР нефть'!$J$28:$BP$638,55,0),"-")=0,"-",IFERROR(VLOOKUP(J190,'[63]ТР нефть'!$J$28:$BP$638,55,0),"-"))</f>
        <v>-</v>
      </c>
      <c r="BM190" s="138" t="str">
        <f>IF(IFERROR(VLOOKUP(J190,'[63]ТР нефть'!$J$28:$BP$638,56,0),"-")=0,"-",IFERROR(VLOOKUP(J190,'[63]ТР нефть'!$J$28:$BP$638,56,0),"-"))</f>
        <v>-</v>
      </c>
      <c r="BN190" s="138" t="str">
        <f>IF(IFERROR(VLOOKUP(J190,'[63]ТР нефть'!$J$28:$BP$638,57,0),"-")=0,"-",IFERROR(VLOOKUP(J190,'[63]ТР нефть'!$J$28:$BP$638,57,0),"-"))</f>
        <v>-</v>
      </c>
      <c r="BO190" s="115" t="str">
        <f>IF(IFERROR(VLOOKUP(J190,'[63]ТР нефть'!$J$28:$BP$638,58,0),"-")=0,"-",IFERROR(VLOOKUP(J190,'[63]ТР нефть'!$J$28:$BP$638,58,0),"-"))</f>
        <v>-</v>
      </c>
      <c r="BP190" s="115" t="str">
        <f>IF(IFERROR(VLOOKUP(J190,'[63]ТР нефть'!$J$28:$BP$638,59,0),"-")=0,"-",IFERROR(VLOOKUP(J190,'[63]ТР нефть'!$J$28:$BP$638,59,0),"-"))</f>
        <v>-</v>
      </c>
      <c r="BQ190" s="138">
        <v>1988.9</v>
      </c>
      <c r="BR190" s="128">
        <v>1604.92</v>
      </c>
      <c r="BS190" s="115">
        <f t="shared" si="105"/>
        <v>383.98</v>
      </c>
      <c r="BT190" s="128">
        <v>73</v>
      </c>
      <c r="BU190" s="128">
        <v>5.5</v>
      </c>
      <c r="BV190" s="127">
        <v>65</v>
      </c>
      <c r="BW190" s="127" t="s">
        <v>217</v>
      </c>
      <c r="BX190" s="127" t="s">
        <v>195</v>
      </c>
      <c r="BY190" s="139">
        <v>24</v>
      </c>
      <c r="BZ190" s="139">
        <v>0</v>
      </c>
      <c r="CA190" s="138">
        <v>20</v>
      </c>
      <c r="CB190" s="138">
        <v>38</v>
      </c>
      <c r="CC190" s="138">
        <v>19</v>
      </c>
      <c r="CD190" s="135">
        <v>45017</v>
      </c>
      <c r="CE190" s="138">
        <v>134</v>
      </c>
      <c r="CF190" s="138">
        <v>78</v>
      </c>
      <c r="CG190" s="138" t="str">
        <f t="shared" si="153"/>
        <v>В работе</v>
      </c>
      <c r="CH190" s="138" t="s">
        <v>196</v>
      </c>
      <c r="CI190" s="138">
        <v>6</v>
      </c>
      <c r="CJ190" s="139"/>
      <c r="CK190" s="139"/>
      <c r="CL190" s="99"/>
      <c r="CM190" s="99"/>
      <c r="CN190" s="140">
        <v>41</v>
      </c>
      <c r="CO190" s="159">
        <f t="shared" si="106"/>
        <v>5.3745209407999992</v>
      </c>
      <c r="CP190" s="160">
        <v>6.4340000000000002</v>
      </c>
      <c r="CQ190" s="161">
        <v>0.08</v>
      </c>
      <c r="CR190" s="138">
        <v>8.7330000000000005</v>
      </c>
      <c r="CS190" s="139">
        <v>6.024</v>
      </c>
      <c r="CT190" s="138"/>
      <c r="CU190" s="138">
        <f t="shared" si="134"/>
        <v>2.7090000000000005</v>
      </c>
      <c r="CV190" s="115">
        <f t="shared" si="135"/>
        <v>504.04492415965262</v>
      </c>
      <c r="CW190" s="115">
        <f t="shared" si="109"/>
        <v>1119.6024210382668</v>
      </c>
      <c r="CX190" s="133">
        <f t="shared" si="136"/>
        <v>6.9182795698924729E-2</v>
      </c>
      <c r="CY190" s="116"/>
      <c r="CZ190" s="131"/>
      <c r="DA190" s="145" t="str">
        <f t="shared" si="111"/>
        <v>Газлифт</v>
      </c>
      <c r="DB190" s="146">
        <f t="shared" si="112"/>
        <v>5.3745209407999992</v>
      </c>
      <c r="DC190" s="142">
        <f t="shared" si="151"/>
        <v>6.4340000000000002</v>
      </c>
      <c r="DD190" s="119">
        <f t="shared" si="152"/>
        <v>0.08</v>
      </c>
      <c r="DE190" s="115">
        <f t="shared" si="115"/>
        <v>2.7090000000000005</v>
      </c>
      <c r="DF190" s="121">
        <f t="shared" si="116"/>
        <v>6.024</v>
      </c>
      <c r="DG190" s="115">
        <f t="shared" si="117"/>
        <v>504.04492415965262</v>
      </c>
      <c r="DH190" s="115">
        <f t="shared" si="118"/>
        <v>41</v>
      </c>
      <c r="DI190" s="147"/>
      <c r="DJ190" s="111" t="s">
        <v>197</v>
      </c>
      <c r="DK190" s="112">
        <v>42322.65625</v>
      </c>
      <c r="DL190" s="113">
        <f t="shared" ca="1" si="138"/>
        <v>2781.34375</v>
      </c>
      <c r="DM190" s="114"/>
      <c r="DN190" s="114"/>
      <c r="DO190" s="114"/>
      <c r="DP190" s="114"/>
      <c r="DQ190" s="112">
        <v>43644</v>
      </c>
      <c r="DR190" s="114" t="s">
        <v>198</v>
      </c>
      <c r="DS190" s="114"/>
      <c r="DT190" s="115">
        <v>50</v>
      </c>
      <c r="DU190" s="116">
        <f t="shared" si="139"/>
        <v>7.6595238095238091E-2</v>
      </c>
      <c r="DV190" s="117">
        <f t="shared" si="140"/>
        <v>5.3745209407999992</v>
      </c>
      <c r="DW190" s="118">
        <f t="shared" si="141"/>
        <v>6.4340000000000002</v>
      </c>
      <c r="DX190" s="119">
        <f t="shared" si="119"/>
        <v>0.08</v>
      </c>
      <c r="DY190" s="115">
        <f t="shared" si="142"/>
        <v>2.7090000000000005</v>
      </c>
      <c r="DZ190" s="117">
        <f t="shared" si="143"/>
        <v>0</v>
      </c>
      <c r="EA190" s="120">
        <f t="shared" si="143"/>
        <v>0</v>
      </c>
      <c r="EB190" s="119">
        <f t="shared" si="143"/>
        <v>0</v>
      </c>
      <c r="EC190" s="121">
        <f t="shared" si="144"/>
        <v>0</v>
      </c>
      <c r="ED190" s="122"/>
      <c r="EE190" s="145">
        <v>65</v>
      </c>
      <c r="EF190" s="115">
        <v>20</v>
      </c>
      <c r="EG190" s="115">
        <v>38</v>
      </c>
      <c r="EH190" s="115">
        <v>19</v>
      </c>
      <c r="EI190" s="128" t="s">
        <v>195</v>
      </c>
      <c r="EJ190" s="121">
        <v>24</v>
      </c>
      <c r="EK190" s="121">
        <v>0</v>
      </c>
      <c r="EL190" s="162">
        <v>5.3745209407999992</v>
      </c>
      <c r="EM190" s="142">
        <v>6.4340000000000002</v>
      </c>
      <c r="EN190" s="119">
        <v>0.08</v>
      </c>
      <c r="EO190" s="115">
        <v>8.7330000000000005</v>
      </c>
      <c r="EP190" s="115">
        <v>504.04492415965262</v>
      </c>
      <c r="EQ190" s="115">
        <v>78</v>
      </c>
      <c r="ER190" s="115">
        <v>6.024</v>
      </c>
      <c r="ES190" s="115">
        <v>41</v>
      </c>
      <c r="ET190" s="150">
        <v>6.9182795698924729E-2</v>
      </c>
      <c r="EU190" s="145">
        <f t="shared" si="120"/>
        <v>65</v>
      </c>
      <c r="EV190" s="115">
        <f t="shared" si="121"/>
        <v>20</v>
      </c>
      <c r="EW190" s="115">
        <f t="shared" si="121"/>
        <v>38</v>
      </c>
      <c r="EX190" s="115">
        <f t="shared" si="121"/>
        <v>19</v>
      </c>
      <c r="EY190" s="115" t="str">
        <f t="shared" si="122"/>
        <v>Постоянный</v>
      </c>
      <c r="EZ190" s="115">
        <f t="shared" si="122"/>
        <v>24</v>
      </c>
      <c r="FA190" s="115">
        <f t="shared" si="122"/>
        <v>0</v>
      </c>
      <c r="FB190" s="149">
        <f t="shared" si="123"/>
        <v>5.3745209407999992</v>
      </c>
      <c r="FC190" s="142">
        <f t="shared" si="123"/>
        <v>6.4340000000000002</v>
      </c>
      <c r="FD190" s="119">
        <f t="shared" si="123"/>
        <v>0.08</v>
      </c>
      <c r="FE190" s="121">
        <f t="shared" si="103"/>
        <v>8.7330000000000005</v>
      </c>
      <c r="FF190" s="121">
        <f t="shared" si="145"/>
        <v>504.04492415965262</v>
      </c>
      <c r="FG190" s="121">
        <f t="shared" si="124"/>
        <v>78</v>
      </c>
      <c r="FH190" s="121">
        <f t="shared" si="146"/>
        <v>6.024</v>
      </c>
      <c r="FI190" s="121">
        <f t="shared" si="154"/>
        <v>41</v>
      </c>
      <c r="FJ190" s="144">
        <f t="shared" si="125"/>
        <v>6.9182795698924729E-2</v>
      </c>
      <c r="FK190" s="132">
        <f t="shared" si="126"/>
        <v>0</v>
      </c>
      <c r="FL190" s="115">
        <f t="shared" si="126"/>
        <v>0</v>
      </c>
      <c r="FM190" s="115">
        <f t="shared" si="126"/>
        <v>0</v>
      </c>
      <c r="FN190" s="115">
        <f t="shared" si="126"/>
        <v>0</v>
      </c>
      <c r="FO190" s="115">
        <f t="shared" si="150"/>
        <v>0</v>
      </c>
      <c r="FP190" s="115">
        <f t="shared" si="150"/>
        <v>0</v>
      </c>
      <c r="FQ190" s="149">
        <f t="shared" si="150"/>
        <v>0</v>
      </c>
      <c r="FR190" s="142">
        <f t="shared" si="148"/>
        <v>0</v>
      </c>
      <c r="FS190" s="119">
        <f t="shared" si="148"/>
        <v>0</v>
      </c>
      <c r="FT190" s="121">
        <f t="shared" si="148"/>
        <v>0</v>
      </c>
      <c r="FU190" s="121">
        <f t="shared" si="127"/>
        <v>0</v>
      </c>
      <c r="FV190" s="121">
        <f t="shared" si="127"/>
        <v>0</v>
      </c>
      <c r="FW190" s="121">
        <f t="shared" si="128"/>
        <v>0</v>
      </c>
      <c r="FX190" s="121">
        <f>CN190-ES190</f>
        <v>0</v>
      </c>
      <c r="FY190" s="144">
        <f t="shared" si="129"/>
        <v>0</v>
      </c>
      <c r="FZ190" s="145"/>
      <c r="GA190" s="170" t="s">
        <v>938</v>
      </c>
      <c r="GB190" s="145"/>
      <c r="GC190" s="170"/>
      <c r="GD190" s="997" t="s">
        <v>416</v>
      </c>
      <c r="GE190" s="1004"/>
      <c r="GF190" s="1004">
        <v>0</v>
      </c>
      <c r="GG190" s="1004"/>
      <c r="GH190" s="1004">
        <v>-0.22637475520000017</v>
      </c>
      <c r="GI190" s="145"/>
      <c r="GJ190" s="996">
        <v>-0.3541043040000007</v>
      </c>
      <c r="GK190" s="145" t="s">
        <v>206</v>
      </c>
      <c r="GL190" s="996">
        <v>0</v>
      </c>
      <c r="GM190" s="1005" t="s">
        <v>204</v>
      </c>
      <c r="GN190" s="996">
        <v>-4.2709568000000004</v>
      </c>
      <c r="GO190" s="1006"/>
      <c r="GP190" s="996">
        <v>0</v>
      </c>
      <c r="GQ190" s="1006"/>
      <c r="GR190" s="996">
        <v>0</v>
      </c>
      <c r="GS190" s="1006" t="s">
        <v>199</v>
      </c>
      <c r="GT190" s="996">
        <v>3.4276</v>
      </c>
      <c r="GU190" s="1006"/>
      <c r="GV190" s="996">
        <v>0.10032000000000174</v>
      </c>
      <c r="GW190" s="1006"/>
      <c r="GX190" s="1035">
        <v>-6.6211200000001469E-2</v>
      </c>
      <c r="GY190" s="1006"/>
      <c r="GZ190" s="996">
        <v>0</v>
      </c>
      <c r="HA190" s="1006"/>
      <c r="HB190" s="996">
        <v>0</v>
      </c>
      <c r="HC190" s="1006" t="s">
        <v>203</v>
      </c>
      <c r="HD190" s="996">
        <v>-5.238041599999999</v>
      </c>
      <c r="HE190" s="1006" t="s">
        <v>25</v>
      </c>
      <c r="HF190" s="996">
        <v>7.2283410759999995</v>
      </c>
      <c r="HG190" s="1006"/>
      <c r="HH190" s="996">
        <v>0.25456116399999917</v>
      </c>
      <c r="HI190" s="1006"/>
      <c r="HJ190" s="996">
        <v>-0.70861031999999913</v>
      </c>
      <c r="HK190" s="1006"/>
      <c r="HL190" s="996">
        <v>0</v>
      </c>
      <c r="HM190" s="1006"/>
      <c r="HN190" s="996">
        <v>-3.3346368000000126E-2</v>
      </c>
      <c r="HO190" s="1006"/>
      <c r="HP190" s="996">
        <v>0</v>
      </c>
      <c r="HQ190" s="1006"/>
      <c r="HR190" s="996">
        <v>-0.6090527520000002</v>
      </c>
      <c r="HS190" s="1006"/>
      <c r="HT190" s="996">
        <v>0</v>
      </c>
      <c r="HU190" s="1006"/>
      <c r="HV190" s="996">
        <v>0</v>
      </c>
      <c r="HW190" s="1006" t="s">
        <v>203</v>
      </c>
      <c r="HX190" s="996">
        <v>-11.620343988</v>
      </c>
      <c r="HY190" s="1006" t="s">
        <v>25</v>
      </c>
      <c r="HZ190" s="996">
        <v>17.714783988000001</v>
      </c>
      <c r="IA190" s="1006"/>
      <c r="IB190" s="996">
        <v>0</v>
      </c>
      <c r="IC190" s="1006"/>
      <c r="ID190" s="996">
        <v>0</v>
      </c>
      <c r="IE190" s="1006"/>
      <c r="IF190" s="996">
        <v>0</v>
      </c>
      <c r="IG190" s="1006"/>
      <c r="IH190" s="996">
        <v>0</v>
      </c>
      <c r="II190" s="1006"/>
      <c r="IJ190" s="996">
        <v>0</v>
      </c>
      <c r="IK190" s="1006"/>
      <c r="IL190" s="996">
        <v>0</v>
      </c>
      <c r="IM190" s="1006"/>
      <c r="IN190" s="996">
        <v>0</v>
      </c>
      <c r="IO190" s="1006"/>
      <c r="IP190" s="996">
        <v>0</v>
      </c>
      <c r="IQ190" s="1006" t="s">
        <v>199</v>
      </c>
      <c r="IR190" s="996">
        <v>-2.2521839999999997</v>
      </c>
      <c r="IS190" s="1006"/>
      <c r="IT190" s="996">
        <v>0</v>
      </c>
      <c r="IU190" s="1006"/>
      <c r="IV190" s="996">
        <v>-0.1664549568</v>
      </c>
      <c r="IW190" s="1006"/>
      <c r="IX190" s="996">
        <v>0</v>
      </c>
      <c r="IY190" s="1006"/>
      <c r="IZ190" s="996">
        <v>0</v>
      </c>
      <c r="JA190" s="1006"/>
      <c r="JB190" s="996">
        <v>0</v>
      </c>
      <c r="JC190" s="1006"/>
      <c r="JD190" s="996">
        <v>0</v>
      </c>
      <c r="JE190" s="1006"/>
      <c r="JF190" s="996">
        <v>0</v>
      </c>
      <c r="JG190" s="1006"/>
      <c r="JH190" s="996">
        <v>0</v>
      </c>
      <c r="JI190" s="1006"/>
      <c r="JJ190" s="996">
        <v>0</v>
      </c>
      <c r="JK190" s="1007"/>
      <c r="JL190" s="1007">
        <v>0</v>
      </c>
      <c r="JM190" s="1007" t="s">
        <v>199</v>
      </c>
      <c r="JN190" s="1007">
        <v>-1.1048335231999999</v>
      </c>
      <c r="JO190" s="1008"/>
      <c r="JP190" s="1007">
        <v>0</v>
      </c>
      <c r="JQ190" s="1008">
        <v>0</v>
      </c>
      <c r="JR190" s="1007">
        <v>-1.6098015999999937E-2</v>
      </c>
      <c r="JS190" s="1008">
        <v>0</v>
      </c>
      <c r="JT190" s="1007">
        <v>0</v>
      </c>
      <c r="JU190" s="1008" t="s">
        <v>204</v>
      </c>
      <c r="JV190" s="1007">
        <v>-1.3860880000000009</v>
      </c>
      <c r="JW190" s="1008" t="s">
        <v>197</v>
      </c>
      <c r="JX190" s="1007">
        <v>0</v>
      </c>
      <c r="JY190" s="1008"/>
      <c r="JZ190" s="1007">
        <v>0</v>
      </c>
      <c r="KA190" s="1008"/>
      <c r="KB190" s="1007">
        <v>0</v>
      </c>
      <c r="KC190" s="1008"/>
      <c r="KD190" s="1007">
        <v>0</v>
      </c>
      <c r="KE190" s="1008"/>
      <c r="KF190" s="1007">
        <v>0</v>
      </c>
      <c r="KG190" s="1008"/>
      <c r="KH190" s="1007">
        <v>0</v>
      </c>
      <c r="KI190" s="1008" t="s">
        <v>206</v>
      </c>
      <c r="KJ190" s="1007">
        <v>2.5054920000000003</v>
      </c>
      <c r="KK190" s="1008"/>
      <c r="KL190" s="1007">
        <v>0</v>
      </c>
      <c r="KM190" s="1008"/>
      <c r="KN190" s="1007">
        <v>0</v>
      </c>
      <c r="KO190" s="1008"/>
      <c r="KP190" s="1007">
        <v>0</v>
      </c>
      <c r="KQ190" s="1008">
        <v>0</v>
      </c>
      <c r="KR190" s="1007">
        <v>0</v>
      </c>
      <c r="KS190" s="1008" t="s">
        <v>204</v>
      </c>
      <c r="KT190" s="1007">
        <v>-2.5054920000000003</v>
      </c>
      <c r="KU190" s="1008" t="s">
        <v>476</v>
      </c>
      <c r="KV190" s="1007">
        <v>5.8461480000000003</v>
      </c>
      <c r="KW190" s="1008">
        <v>0</v>
      </c>
      <c r="KX190" s="1007">
        <v>0</v>
      </c>
      <c r="KY190" s="1008">
        <v>0</v>
      </c>
      <c r="KZ190" s="1007">
        <v>0</v>
      </c>
      <c r="LA190" s="1008" t="s">
        <v>204</v>
      </c>
      <c r="LB190" s="1007">
        <v>-2.9230739999999997</v>
      </c>
      <c r="LC190" s="1008" t="s">
        <v>204</v>
      </c>
      <c r="LD190" s="1007">
        <v>-0.9186804000000004</v>
      </c>
      <c r="LE190" s="1008">
        <v>0</v>
      </c>
      <c r="LF190" s="1007">
        <v>0</v>
      </c>
      <c r="LG190" s="1008">
        <v>0</v>
      </c>
      <c r="LH190" s="1007">
        <v>0</v>
      </c>
      <c r="LI190" s="1008">
        <v>0</v>
      </c>
      <c r="LJ190" s="1007">
        <v>0</v>
      </c>
      <c r="LK190" s="1008" t="s">
        <v>555</v>
      </c>
      <c r="LL190" s="1007">
        <v>0.75164759999999997</v>
      </c>
      <c r="LM190" s="1008" t="s">
        <v>555</v>
      </c>
      <c r="LN190" s="1007">
        <v>-2.75604</v>
      </c>
      <c r="LO190" s="1008">
        <v>0</v>
      </c>
      <c r="LP190" s="1007">
        <v>0</v>
      </c>
      <c r="LQ190" s="1008">
        <v>0</v>
      </c>
      <c r="LR190" s="1007">
        <v>0</v>
      </c>
      <c r="LS190" s="1008">
        <v>0</v>
      </c>
      <c r="LT190" s="1007">
        <v>0</v>
      </c>
      <c r="LU190" s="1008">
        <v>0</v>
      </c>
      <c r="LV190" s="1007">
        <v>0</v>
      </c>
      <c r="LW190" s="1008">
        <v>0</v>
      </c>
      <c r="LX190" s="1007">
        <v>0</v>
      </c>
      <c r="LY190" s="1009">
        <v>0</v>
      </c>
      <c r="LZ190" s="1010">
        <v>0.66813120999999998</v>
      </c>
      <c r="MA190" s="1011">
        <v>0</v>
      </c>
      <c r="MB190" s="1012">
        <v>-0.66813120999999998</v>
      </c>
      <c r="MC190" s="995"/>
      <c r="MD190" s="996"/>
      <c r="ME190" s="997" t="s">
        <v>416</v>
      </c>
      <c r="MF190" s="997"/>
      <c r="MG190" s="998"/>
      <c r="NR190" s="1000"/>
      <c r="NS190" s="1000"/>
      <c r="NT190" s="1001"/>
      <c r="NU190" s="1000"/>
      <c r="NV190" s="1001"/>
      <c r="NX190" s="1002"/>
      <c r="NZ190" s="1001"/>
      <c r="OA190" s="1001"/>
      <c r="OC190" s="1003"/>
      <c r="OD190" s="1003"/>
      <c r="OE190" s="1001"/>
      <c r="OF190" s="1003"/>
      <c r="OG190" s="1003"/>
      <c r="QX190" s="1000">
        <f>CN190-CA190</f>
        <v>21</v>
      </c>
      <c r="ASU190" s="999" t="s">
        <v>208</v>
      </c>
    </row>
    <row r="191" spans="1:466 1191:1191" ht="21" customHeight="1" x14ac:dyDescent="0.25">
      <c r="A191" s="982">
        <f t="shared" si="104"/>
        <v>1092</v>
      </c>
      <c r="B191" s="124">
        <f>SUBTOTAL(103,$J$29:J191)</f>
        <v>163</v>
      </c>
      <c r="C191" s="126">
        <v>45096</v>
      </c>
      <c r="D191" s="124" t="s">
        <v>176</v>
      </c>
      <c r="E191" s="127" t="s">
        <v>177</v>
      </c>
      <c r="F191" s="128" t="s">
        <v>177</v>
      </c>
      <c r="G191" s="127" t="s">
        <v>178</v>
      </c>
      <c r="H191" s="127" t="s">
        <v>421</v>
      </c>
      <c r="I191" s="127" t="s">
        <v>939</v>
      </c>
      <c r="J191" s="152">
        <v>1092</v>
      </c>
      <c r="K191" s="127" t="s">
        <v>939</v>
      </c>
      <c r="L191" s="130">
        <v>41875</v>
      </c>
      <c r="M191" s="127" t="s">
        <v>230</v>
      </c>
      <c r="N191" s="127" t="s">
        <v>231</v>
      </c>
      <c r="O191" s="127" t="s">
        <v>185</v>
      </c>
      <c r="P191" s="127" t="s">
        <v>208</v>
      </c>
      <c r="Q191" s="85" t="str">
        <f t="shared" si="133"/>
        <v/>
      </c>
      <c r="R191" s="130"/>
      <c r="S191" s="128"/>
      <c r="T191" s="131"/>
      <c r="U191" s="132">
        <v>203</v>
      </c>
      <c r="V191" s="121">
        <v>218.2</v>
      </c>
      <c r="W191" s="116">
        <v>0.98</v>
      </c>
      <c r="X191" s="116">
        <v>1.66</v>
      </c>
      <c r="Y191" s="116">
        <f t="shared" si="137"/>
        <v>0.98</v>
      </c>
      <c r="Z191" s="133">
        <v>1.454</v>
      </c>
      <c r="AA191" s="133">
        <v>0.83599999999999997</v>
      </c>
      <c r="AB191" s="133">
        <v>0.72</v>
      </c>
      <c r="AC191" s="121">
        <v>34.299999999999997</v>
      </c>
      <c r="AD191" s="134">
        <v>1.17</v>
      </c>
      <c r="AE191" s="124">
        <v>177.8</v>
      </c>
      <c r="AF191" s="128">
        <v>9.19</v>
      </c>
      <c r="AG191" s="128">
        <v>2063</v>
      </c>
      <c r="AH191" s="127">
        <v>3181</v>
      </c>
      <c r="AI191" s="127">
        <v>3181</v>
      </c>
      <c r="AJ191" s="135"/>
      <c r="AK191" s="128"/>
      <c r="AL191" s="131"/>
      <c r="AM191" s="124" t="s">
        <v>232</v>
      </c>
      <c r="AN191" s="136" t="s">
        <v>940</v>
      </c>
      <c r="AO191" s="137">
        <v>15.8</v>
      </c>
      <c r="AP191" s="128">
        <v>2063</v>
      </c>
      <c r="AQ191" s="128">
        <v>156.49</v>
      </c>
      <c r="AR191" s="128"/>
      <c r="AS191" s="128"/>
      <c r="AT191" s="122"/>
      <c r="AU191" s="124" t="s">
        <v>189</v>
      </c>
      <c r="AV191" s="115">
        <f>VLOOKUP(J191,'[63]ТР нефть'!$J$28:$BP$638,39,0)</f>
        <v>579.99998349600003</v>
      </c>
      <c r="AW191" s="115" t="str">
        <f>VLOOKUP(J191,'[63]ТР нефть'!$J$28:$BP$638,40,0)</f>
        <v>ГП</v>
      </c>
      <c r="AX191" s="115">
        <f>VLOOKUP(J191,'[63]ТР нефть'!$J$28:$BP$638,41,0)</f>
        <v>1080.0000128910001</v>
      </c>
      <c r="AY191" s="115" t="str">
        <f>VLOOKUP(J191,'[63]ТР нефть'!$J$28:$BP$638,42,0)</f>
        <v>ГК 72 1/8</v>
      </c>
      <c r="AZ191" s="115">
        <f>VLOOKUP(J191,'[63]ТР нефть'!$J$28:$BP$638,43,0)</f>
        <v>1469.9999472659999</v>
      </c>
      <c r="BA191" s="115" t="str">
        <f>VLOOKUP(J191,'[63]ТР нефть'!$J$28:$BP$638,44,0)</f>
        <v>ГК 72 1/8</v>
      </c>
      <c r="BB191" s="115">
        <f>VLOOKUP(J191,'[63]ТР нефть'!$J$28:$BP$638,45,0)</f>
        <v>1810.0000312499999</v>
      </c>
      <c r="BC191" s="115" t="str">
        <f>VLOOKUP(J191,'[63]ТР нефть'!$J$28:$BP$638,46,0)</f>
        <v>ЦКсОК 5/16</v>
      </c>
      <c r="BD191" s="115" t="str">
        <f>VLOOKUP(J191,'[63]ТР нефть'!$J$28:$BP$638,47,0)</f>
        <v>-</v>
      </c>
      <c r="BE191" s="115" t="str">
        <f>VLOOKUP(J191,'[63]ТР нефть'!$J$28:$BP$638,48,0)</f>
        <v>-</v>
      </c>
      <c r="BF191" s="115" t="str">
        <f>VLOOKUP(J191,'[63]ТР нефть'!$J$28:$BP$638,49,0)</f>
        <v>-</v>
      </c>
      <c r="BG191" s="115" t="str">
        <f>VLOOKUP(J191,'[63]ТР нефть'!$J$28:$BP$638,50,0)</f>
        <v>-</v>
      </c>
      <c r="BH191" s="115">
        <f>VLOOKUP(J191,'[63]ТР нефть'!$J$28:$BP$638,51,0)</f>
        <v>1820</v>
      </c>
      <c r="BI191" s="115" t="str">
        <f>VLOOKUP(J191,'[63]ТР нефть'!$J$28:$BP$638,52,0)</f>
        <v>закрыт</v>
      </c>
      <c r="BJ191" s="115" t="str">
        <f>IF(IFERROR(VLOOKUP(J191,'[63]ТР нефть'!$J$28:$BP$638,53,0),"-")=0,"-",IFERROR(VLOOKUP(J191,'[63]ТР нефть'!$J$28:$BP$638,53,0),"-"))</f>
        <v>-</v>
      </c>
      <c r="BK191" s="138" t="str">
        <f>IF(IFERROR(VLOOKUP(J191,'[63]ТР нефть'!$J$28:$BP$638,54,0),"-")=0,"-",IFERROR(VLOOKUP(J191,'[63]ТР нефть'!$J$28:$BP$638,54,0),"-"))</f>
        <v>-</v>
      </c>
      <c r="BL191" s="138" t="str">
        <f>IF(IFERROR(VLOOKUP(J191,'[63]ТР нефть'!$J$28:$BP$638,55,0),"-")=0,"-",IFERROR(VLOOKUP(J191,'[63]ТР нефть'!$J$28:$BP$638,55,0),"-"))</f>
        <v>-</v>
      </c>
      <c r="BM191" s="138" t="str">
        <f>IF(IFERROR(VLOOKUP(J191,'[63]ТР нефть'!$J$28:$BP$638,56,0),"-")=0,"-",IFERROR(VLOOKUP(J191,'[63]ТР нефть'!$J$28:$BP$638,56,0),"-"))</f>
        <v>-</v>
      </c>
      <c r="BN191" s="138" t="str">
        <f>IF(IFERROR(VLOOKUP(J191,'[63]ТР нефть'!$J$28:$BP$638,57,0),"-")=0,"-",IFERROR(VLOOKUP(J191,'[63]ТР нефть'!$J$28:$BP$638,57,0),"-"))</f>
        <v>-</v>
      </c>
      <c r="BO191" s="115" t="str">
        <f>IF(IFERROR(VLOOKUP(J191,'[63]ТР нефть'!$J$28:$BP$638,58,0),"-")=0,"-",IFERROR(VLOOKUP(J191,'[63]ТР нефть'!$J$28:$BP$638,58,0),"-"))</f>
        <v>-</v>
      </c>
      <c r="BP191" s="115" t="str">
        <f>IF(IFERROR(VLOOKUP(J191,'[63]ТР нефть'!$J$28:$BP$638,59,0),"-")=0,"-",IFERROR(VLOOKUP(J191,'[63]ТР нефть'!$J$28:$BP$638,59,0),"-"))</f>
        <v>-</v>
      </c>
      <c r="BQ191" s="138">
        <v>2090</v>
      </c>
      <c r="BR191" s="128">
        <v>1708.71</v>
      </c>
      <c r="BS191" s="115">
        <f t="shared" si="105"/>
        <v>381.28999999999996</v>
      </c>
      <c r="BT191" s="128">
        <v>73</v>
      </c>
      <c r="BU191" s="128">
        <v>5.5</v>
      </c>
      <c r="BV191" s="127">
        <v>18</v>
      </c>
      <c r="BW191" s="127" t="s">
        <v>234</v>
      </c>
      <c r="BX191" s="127" t="s">
        <v>195</v>
      </c>
      <c r="BY191" s="139">
        <v>24</v>
      </c>
      <c r="BZ191" s="139">
        <v>0</v>
      </c>
      <c r="CA191" s="138">
        <v>19</v>
      </c>
      <c r="CB191" s="138">
        <v>30</v>
      </c>
      <c r="CC191" s="138">
        <v>18</v>
      </c>
      <c r="CD191" s="135">
        <v>45017</v>
      </c>
      <c r="CE191" s="138">
        <v>66</v>
      </c>
      <c r="CF191" s="138">
        <v>74</v>
      </c>
      <c r="CG191" s="138" t="str">
        <f t="shared" si="153"/>
        <v>В работе</v>
      </c>
      <c r="CH191" s="138" t="s">
        <v>196</v>
      </c>
      <c r="CI191" s="127">
        <v>6</v>
      </c>
      <c r="CJ191" s="138"/>
      <c r="CK191" s="138"/>
      <c r="CL191" s="99"/>
      <c r="CM191" s="99"/>
      <c r="CN191" s="140">
        <v>37</v>
      </c>
      <c r="CO191" s="141">
        <f t="shared" si="106"/>
        <v>5.8519999999999994</v>
      </c>
      <c r="CP191" s="142">
        <v>7</v>
      </c>
      <c r="CQ191" s="143">
        <v>0</v>
      </c>
      <c r="CR191" s="138">
        <v>13</v>
      </c>
      <c r="CS191" s="139">
        <v>9.6999999999999993</v>
      </c>
      <c r="CT191" s="138"/>
      <c r="CU191" s="138">
        <f t="shared" si="134"/>
        <v>3.3000000000000007</v>
      </c>
      <c r="CV191" s="115">
        <f t="shared" si="135"/>
        <v>563.9097744360904</v>
      </c>
      <c r="CW191" s="115">
        <f t="shared" si="109"/>
        <v>1657.5529733424471</v>
      </c>
      <c r="CX191" s="133">
        <f t="shared" si="136"/>
        <v>0.2413793103448276</v>
      </c>
      <c r="CY191" s="116"/>
      <c r="CZ191" s="131"/>
      <c r="DA191" s="145" t="str">
        <f t="shared" si="111"/>
        <v>Газлифт</v>
      </c>
      <c r="DB191" s="146">
        <f t="shared" si="112"/>
        <v>5.8519999999999994</v>
      </c>
      <c r="DC191" s="142">
        <f t="shared" si="151"/>
        <v>7</v>
      </c>
      <c r="DD191" s="119">
        <f t="shared" si="152"/>
        <v>0</v>
      </c>
      <c r="DE191" s="115">
        <f t="shared" si="115"/>
        <v>3.3000000000000007</v>
      </c>
      <c r="DF191" s="121">
        <f t="shared" si="116"/>
        <v>9.6999999999999993</v>
      </c>
      <c r="DG191" s="115">
        <f t="shared" si="117"/>
        <v>563.9097744360904</v>
      </c>
      <c r="DH191" s="115">
        <f t="shared" si="118"/>
        <v>37</v>
      </c>
      <c r="DI191" s="147"/>
      <c r="DJ191" s="111">
        <v>43609</v>
      </c>
      <c r="DK191" s="112">
        <v>43666</v>
      </c>
      <c r="DL191" s="113">
        <f t="shared" ca="1" si="138"/>
        <v>1438</v>
      </c>
      <c r="DM191" s="114"/>
      <c r="DN191" s="114"/>
      <c r="DO191" s="114"/>
      <c r="DP191" s="114"/>
      <c r="DQ191" s="112">
        <v>43641.291666666664</v>
      </c>
      <c r="DR191" s="114" t="s">
        <v>282</v>
      </c>
      <c r="DS191" s="114"/>
      <c r="DT191" s="115">
        <v>44</v>
      </c>
      <c r="DU191" s="116">
        <f t="shared" si="139"/>
        <v>0.31818181818181818</v>
      </c>
      <c r="DV191" s="117">
        <f t="shared" si="140"/>
        <v>5.8519999999999994</v>
      </c>
      <c r="DW191" s="118">
        <f t="shared" si="141"/>
        <v>7</v>
      </c>
      <c r="DX191" s="119">
        <f t="shared" si="119"/>
        <v>0</v>
      </c>
      <c r="DY191" s="115">
        <f t="shared" si="142"/>
        <v>3.3000000000000007</v>
      </c>
      <c r="DZ191" s="117">
        <f t="shared" si="143"/>
        <v>0</v>
      </c>
      <c r="EA191" s="120">
        <f t="shared" si="143"/>
        <v>0</v>
      </c>
      <c r="EB191" s="119">
        <f t="shared" si="143"/>
        <v>0</v>
      </c>
      <c r="EC191" s="121">
        <f t="shared" si="144"/>
        <v>0</v>
      </c>
      <c r="ED191" s="122"/>
      <c r="EE191" s="145">
        <v>18</v>
      </c>
      <c r="EF191" s="115">
        <v>16</v>
      </c>
      <c r="EG191" s="115">
        <v>27</v>
      </c>
      <c r="EH191" s="115">
        <v>15</v>
      </c>
      <c r="EI191" s="128" t="s">
        <v>195</v>
      </c>
      <c r="EJ191" s="121">
        <v>24</v>
      </c>
      <c r="EK191" s="121">
        <v>0</v>
      </c>
      <c r="EL191" s="149">
        <v>5.8519999999999994</v>
      </c>
      <c r="EM191" s="142">
        <v>7</v>
      </c>
      <c r="EN191" s="119">
        <v>0</v>
      </c>
      <c r="EO191" s="115">
        <v>10.4</v>
      </c>
      <c r="EP191" s="115">
        <v>956.93779904306245</v>
      </c>
      <c r="EQ191" s="115">
        <v>76</v>
      </c>
      <c r="ER191" s="115">
        <v>4.8</v>
      </c>
      <c r="ES191" s="115">
        <v>34</v>
      </c>
      <c r="ET191" s="150">
        <v>0.21875</v>
      </c>
      <c r="EU191" s="145">
        <f t="shared" si="120"/>
        <v>18</v>
      </c>
      <c r="EV191" s="115">
        <f t="shared" si="121"/>
        <v>19</v>
      </c>
      <c r="EW191" s="115">
        <f t="shared" si="121"/>
        <v>30</v>
      </c>
      <c r="EX191" s="115">
        <f t="shared" si="121"/>
        <v>18</v>
      </c>
      <c r="EY191" s="115" t="s">
        <v>195</v>
      </c>
      <c r="EZ191" s="115">
        <f t="shared" ref="EZ191:FA222" si="155">BY191</f>
        <v>24</v>
      </c>
      <c r="FA191" s="115">
        <f t="shared" si="155"/>
        <v>0</v>
      </c>
      <c r="FB191" s="149">
        <f t="shared" si="123"/>
        <v>5.8519999999999994</v>
      </c>
      <c r="FC191" s="142">
        <f t="shared" si="123"/>
        <v>7</v>
      </c>
      <c r="FD191" s="119">
        <f t="shared" si="123"/>
        <v>0</v>
      </c>
      <c r="FE191" s="121">
        <f t="shared" si="103"/>
        <v>13</v>
      </c>
      <c r="FF191" s="121">
        <f t="shared" si="145"/>
        <v>563.9097744360904</v>
      </c>
      <c r="FG191" s="121">
        <f t="shared" si="124"/>
        <v>74</v>
      </c>
      <c r="FH191" s="121">
        <f t="shared" si="146"/>
        <v>9.6999999999999993</v>
      </c>
      <c r="FI191" s="121">
        <f t="shared" si="154"/>
        <v>37</v>
      </c>
      <c r="FJ191" s="144">
        <f t="shared" si="125"/>
        <v>0.2413793103448276</v>
      </c>
      <c r="FK191" s="132">
        <f t="shared" si="126"/>
        <v>0</v>
      </c>
      <c r="FL191" s="115">
        <f t="shared" si="126"/>
        <v>3</v>
      </c>
      <c r="FM191" s="115">
        <f t="shared" si="126"/>
        <v>3</v>
      </c>
      <c r="FN191" s="115">
        <f t="shared" si="126"/>
        <v>3</v>
      </c>
      <c r="FO191" s="115">
        <f t="shared" si="150"/>
        <v>0</v>
      </c>
      <c r="FP191" s="115">
        <f t="shared" si="150"/>
        <v>0</v>
      </c>
      <c r="FQ191" s="149">
        <f t="shared" si="150"/>
        <v>0</v>
      </c>
      <c r="FR191" s="142">
        <f t="shared" si="148"/>
        <v>0</v>
      </c>
      <c r="FS191" s="119">
        <f t="shared" si="148"/>
        <v>0</v>
      </c>
      <c r="FT191" s="121">
        <f t="shared" si="148"/>
        <v>2.5999999999999996</v>
      </c>
      <c r="FU191" s="121">
        <f t="shared" si="127"/>
        <v>-2</v>
      </c>
      <c r="FV191" s="121">
        <f t="shared" si="127"/>
        <v>4.8999999999999995</v>
      </c>
      <c r="FW191" s="121">
        <f t="shared" si="128"/>
        <v>-393.02802460697205</v>
      </c>
      <c r="FX191" s="121">
        <f t="shared" si="129"/>
        <v>3</v>
      </c>
      <c r="FY191" s="144">
        <f t="shared" si="129"/>
        <v>2.2629310344827597E-2</v>
      </c>
      <c r="FZ191" s="145"/>
      <c r="GA191" s="151" t="s">
        <v>407</v>
      </c>
      <c r="GB191" s="145"/>
      <c r="GC191" s="151" t="s">
        <v>387</v>
      </c>
      <c r="GD191" s="997" t="s">
        <v>238</v>
      </c>
      <c r="GE191" s="1004"/>
      <c r="GF191" s="1004">
        <v>0</v>
      </c>
      <c r="GG191" s="1004"/>
      <c r="GH191" s="1004">
        <v>0</v>
      </c>
      <c r="GI191" s="145"/>
      <c r="GJ191" s="996">
        <v>-0.8360000000000003</v>
      </c>
      <c r="GK191" s="145"/>
      <c r="GL191" s="996">
        <v>-0.75240000000000062</v>
      </c>
      <c r="GM191" s="1005"/>
      <c r="GN191" s="996">
        <v>0</v>
      </c>
      <c r="GO191" s="1006" t="s">
        <v>199</v>
      </c>
      <c r="GP191" s="996">
        <v>1.5884000000000009</v>
      </c>
      <c r="GQ191" s="1006" t="s">
        <v>240</v>
      </c>
      <c r="GR191" s="996">
        <v>-1.8316760000000007</v>
      </c>
      <c r="GS191" s="1006"/>
      <c r="GT191" s="996">
        <v>0</v>
      </c>
      <c r="GU191" s="1006"/>
      <c r="GV191" s="996">
        <v>0.67799599999999938</v>
      </c>
      <c r="GW191" s="1006"/>
      <c r="GX191" s="997">
        <v>0.91950636800000218</v>
      </c>
      <c r="GY191" s="1006"/>
      <c r="GZ191" s="996">
        <v>0</v>
      </c>
      <c r="HA191" s="1006"/>
      <c r="HB191" s="996">
        <v>0</v>
      </c>
      <c r="HC191" s="1006" t="s">
        <v>199</v>
      </c>
      <c r="HD191" s="996">
        <v>1.2281776319999986</v>
      </c>
      <c r="HE191" s="1006"/>
      <c r="HF191" s="996">
        <v>0</v>
      </c>
      <c r="HG191" s="1006"/>
      <c r="HH191" s="996">
        <v>0</v>
      </c>
      <c r="HI191" s="1006"/>
      <c r="HJ191" s="996">
        <v>-0.19431984000000035</v>
      </c>
      <c r="HK191" s="1006" t="s">
        <v>199</v>
      </c>
      <c r="HL191" s="996">
        <v>-3.0401641599999998</v>
      </c>
      <c r="HM191" s="1006"/>
      <c r="HN191" s="996">
        <v>-1.1035199999999996</v>
      </c>
      <c r="HO191" s="1006"/>
      <c r="HP191" s="996">
        <v>0</v>
      </c>
      <c r="HQ191" s="1006"/>
      <c r="HR191" s="996">
        <v>0</v>
      </c>
      <c r="HS191" s="1006"/>
      <c r="HT191" s="996">
        <v>0</v>
      </c>
      <c r="HU191" s="1006"/>
      <c r="HV191" s="996">
        <v>0.8360000000000003</v>
      </c>
      <c r="HW191" s="1006" t="s">
        <v>199</v>
      </c>
      <c r="HX191" s="996">
        <v>2.1652399999999998</v>
      </c>
      <c r="HY191" s="1006"/>
      <c r="HZ191" s="996">
        <v>9.1960000000000264E-2</v>
      </c>
      <c r="IA191" s="1006"/>
      <c r="IB191" s="996">
        <v>0</v>
      </c>
      <c r="IC191" s="1006"/>
      <c r="ID191" s="996">
        <v>0.25079999999999991</v>
      </c>
      <c r="IE191" s="1006"/>
      <c r="IF191" s="996">
        <v>-0.58520000000000039</v>
      </c>
      <c r="IG191" s="1006"/>
      <c r="IH191" s="996">
        <v>0</v>
      </c>
      <c r="II191" s="1006"/>
      <c r="IJ191" s="996">
        <v>-0.20899999999999963</v>
      </c>
      <c r="IK191" s="1006"/>
      <c r="IL191" s="996">
        <v>0</v>
      </c>
      <c r="IM191" s="1006" t="s">
        <v>199</v>
      </c>
      <c r="IN191" s="996">
        <v>-1.1871199999999993</v>
      </c>
      <c r="IO191" s="1006"/>
      <c r="IP191" s="996">
        <v>0</v>
      </c>
      <c r="IQ191" s="1006"/>
      <c r="IR191" s="996">
        <v>-6.1446000000001E-2</v>
      </c>
      <c r="IS191" s="1006"/>
      <c r="IT191" s="996">
        <v>0</v>
      </c>
      <c r="IU191" s="1006"/>
      <c r="IV191" s="996">
        <v>0</v>
      </c>
      <c r="IW191" s="1006"/>
      <c r="IX191" s="996">
        <v>0</v>
      </c>
      <c r="IY191" s="1006"/>
      <c r="IZ191" s="996">
        <v>0</v>
      </c>
      <c r="JA191" s="1006"/>
      <c r="JB191" s="996">
        <v>0</v>
      </c>
      <c r="JC191" s="1006"/>
      <c r="JD191" s="996">
        <v>-0.39668200000000109</v>
      </c>
      <c r="JE191" s="1006"/>
      <c r="JF191" s="996">
        <v>0</v>
      </c>
      <c r="JG191" s="1006"/>
      <c r="JH191" s="996">
        <v>0</v>
      </c>
      <c r="JI191" s="1006"/>
      <c r="JJ191" s="996">
        <v>0</v>
      </c>
      <c r="JK191" s="1007"/>
      <c r="JL191" s="1007">
        <v>0</v>
      </c>
      <c r="JM191" s="1007"/>
      <c r="JN191" s="1007">
        <v>0.54323280000000107</v>
      </c>
      <c r="JO191" s="1008" t="s">
        <v>897</v>
      </c>
      <c r="JP191" s="1007">
        <v>-9.1377307999999964</v>
      </c>
      <c r="JQ191" s="1008">
        <v>0</v>
      </c>
      <c r="JR191" s="1007">
        <v>0</v>
      </c>
      <c r="JS191" s="1008" t="s">
        <v>25</v>
      </c>
      <c r="JT191" s="1007">
        <v>12.956745999999997</v>
      </c>
      <c r="JU191" s="1008"/>
      <c r="JV191" s="1007">
        <v>0</v>
      </c>
      <c r="JW191" s="1008" t="s">
        <v>197</v>
      </c>
      <c r="JX191" s="1007">
        <v>0</v>
      </c>
      <c r="JY191" s="1008"/>
      <c r="JZ191" s="1007">
        <v>0</v>
      </c>
      <c r="KA191" s="1008"/>
      <c r="KB191" s="1007">
        <v>0</v>
      </c>
      <c r="KC191" s="1008"/>
      <c r="KD191" s="1007">
        <v>0</v>
      </c>
      <c r="KE191" s="1008"/>
      <c r="KF191" s="1007">
        <v>0</v>
      </c>
      <c r="KG191" s="1008"/>
      <c r="KH191" s="1007">
        <v>0</v>
      </c>
      <c r="KI191" s="1008"/>
      <c r="KJ191" s="1007">
        <v>0</v>
      </c>
      <c r="KK191" s="1008"/>
      <c r="KL191" s="1007">
        <v>0</v>
      </c>
      <c r="KM191" s="1008"/>
      <c r="KN191" s="1007">
        <v>0</v>
      </c>
      <c r="KO191" s="1008"/>
      <c r="KP191" s="1007">
        <v>0</v>
      </c>
      <c r="KQ191" s="1008">
        <v>0</v>
      </c>
      <c r="KR191" s="1007">
        <v>0</v>
      </c>
      <c r="KS191" s="1008">
        <v>0</v>
      </c>
      <c r="KT191" s="1007">
        <v>0</v>
      </c>
      <c r="KU191" s="1008" t="s">
        <v>260</v>
      </c>
      <c r="KV191" s="1007">
        <v>3.9291999999999998</v>
      </c>
      <c r="KW191" s="1008">
        <v>0</v>
      </c>
      <c r="KX191" s="1007">
        <v>0</v>
      </c>
      <c r="KY191" s="1008">
        <v>0</v>
      </c>
      <c r="KZ191" s="1007">
        <v>0</v>
      </c>
      <c r="LA191" s="1008">
        <v>0</v>
      </c>
      <c r="LB191" s="1007">
        <v>0</v>
      </c>
      <c r="LC191" s="1008">
        <v>0</v>
      </c>
      <c r="LD191" s="1007">
        <v>0</v>
      </c>
      <c r="LE191" s="1008">
        <v>0</v>
      </c>
      <c r="LF191" s="1007">
        <v>0</v>
      </c>
      <c r="LG191" s="1008">
        <v>0</v>
      </c>
      <c r="LH191" s="1007">
        <v>-4.17164</v>
      </c>
      <c r="LI191" s="1008">
        <v>0</v>
      </c>
      <c r="LJ191" s="1007">
        <v>0</v>
      </c>
      <c r="LK191" s="1008">
        <v>0</v>
      </c>
      <c r="LL191" s="1007">
        <v>0</v>
      </c>
      <c r="LM191" s="1008" t="s">
        <v>555</v>
      </c>
      <c r="LN191" s="1007">
        <v>-2.50298</v>
      </c>
      <c r="LO191" s="1008">
        <v>0</v>
      </c>
      <c r="LP191" s="1007">
        <v>1.6686560000000004</v>
      </c>
      <c r="LQ191" s="1008" t="s">
        <v>223</v>
      </c>
      <c r="LR191" s="1007">
        <v>2.5298400000000001</v>
      </c>
      <c r="LS191" s="1008" t="s">
        <v>240</v>
      </c>
      <c r="LT191" s="1007">
        <v>-1.6686560000000004</v>
      </c>
      <c r="LU191" s="1008">
        <v>0</v>
      </c>
      <c r="LV191" s="1007">
        <v>0</v>
      </c>
      <c r="LW191" s="1008" t="s">
        <v>206</v>
      </c>
      <c r="LX191" s="1007">
        <v>-2.8582000000000001</v>
      </c>
      <c r="LY191" s="1009" t="s">
        <v>206</v>
      </c>
      <c r="LZ191" s="1010">
        <v>1.2514920000000007</v>
      </c>
      <c r="MA191" s="1011">
        <v>0</v>
      </c>
      <c r="MB191" s="1012">
        <v>0.75895199999996998</v>
      </c>
      <c r="MC191" s="995"/>
      <c r="MD191" s="996"/>
      <c r="ME191" s="997" t="s">
        <v>238</v>
      </c>
      <c r="MF191" s="997"/>
      <c r="MG191" s="998"/>
      <c r="NR191" s="1000"/>
      <c r="NS191" s="1000"/>
      <c r="NT191" s="1001"/>
      <c r="NU191" s="1000"/>
      <c r="NV191" s="1001"/>
      <c r="NX191" s="1002"/>
      <c r="NZ191" s="1001"/>
      <c r="OA191" s="1001"/>
      <c r="OC191" s="1003"/>
      <c r="OD191" s="1003"/>
      <c r="OE191" s="1001"/>
      <c r="OF191" s="1003"/>
      <c r="OG191" s="1003"/>
      <c r="OH191" s="1003"/>
      <c r="OI191" s="1016"/>
      <c r="QX191" s="1000">
        <f>CN191-CA191</f>
        <v>18</v>
      </c>
      <c r="ASU191" s="999" t="s">
        <v>208</v>
      </c>
    </row>
    <row r="192" spans="1:466 1191:1191" ht="21" customHeight="1" x14ac:dyDescent="0.25">
      <c r="A192" s="982" t="str">
        <f t="shared" si="104"/>
        <v>1092-1</v>
      </c>
      <c r="B192" s="124">
        <f>SUBTOTAL(103,$J$29:J192)</f>
        <v>164</v>
      </c>
      <c r="C192" s="126">
        <v>45096</v>
      </c>
      <c r="D192" s="124" t="s">
        <v>176</v>
      </c>
      <c r="E192" s="127" t="s">
        <v>177</v>
      </c>
      <c r="F192" s="128" t="s">
        <v>177</v>
      </c>
      <c r="G192" s="127" t="s">
        <v>178</v>
      </c>
      <c r="H192" s="127" t="s">
        <v>421</v>
      </c>
      <c r="I192" s="127" t="s">
        <v>939</v>
      </c>
      <c r="J192" s="152" t="s">
        <v>941</v>
      </c>
      <c r="K192" s="127" t="s">
        <v>939</v>
      </c>
      <c r="L192" s="130">
        <v>42581</v>
      </c>
      <c r="M192" s="127" t="s">
        <v>230</v>
      </c>
      <c r="N192" s="127" t="s">
        <v>231</v>
      </c>
      <c r="O192" s="127" t="s">
        <v>185</v>
      </c>
      <c r="P192" s="127" t="s">
        <v>208</v>
      </c>
      <c r="Q192" s="85" t="str">
        <f t="shared" si="133"/>
        <v/>
      </c>
      <c r="R192" s="130"/>
      <c r="S192" s="128"/>
      <c r="T192" s="131"/>
      <c r="U192" s="132">
        <v>203</v>
      </c>
      <c r="V192" s="121">
        <v>218.2</v>
      </c>
      <c r="W192" s="116">
        <v>0.98</v>
      </c>
      <c r="X192" s="116">
        <v>1.66</v>
      </c>
      <c r="Y192" s="116">
        <f t="shared" si="137"/>
        <v>0.98</v>
      </c>
      <c r="Z192" s="133">
        <v>1.454</v>
      </c>
      <c r="AA192" s="133">
        <v>0.83599999999999997</v>
      </c>
      <c r="AB192" s="133">
        <v>0.72</v>
      </c>
      <c r="AC192" s="121">
        <v>34.299999999999997</v>
      </c>
      <c r="AD192" s="134">
        <v>1.17</v>
      </c>
      <c r="AE192" s="124">
        <v>177.8</v>
      </c>
      <c r="AF192" s="128">
        <v>9.19</v>
      </c>
      <c r="AG192" s="128">
        <v>2192</v>
      </c>
      <c r="AH192" s="127" t="s">
        <v>942</v>
      </c>
      <c r="AI192" s="127" t="s">
        <v>942</v>
      </c>
      <c r="AJ192" s="135"/>
      <c r="AK192" s="128"/>
      <c r="AL192" s="131"/>
      <c r="AM192" s="124" t="s">
        <v>232</v>
      </c>
      <c r="AN192" s="136" t="s">
        <v>943</v>
      </c>
      <c r="AO192" s="137" t="s">
        <v>944</v>
      </c>
      <c r="AP192" s="128">
        <v>2192</v>
      </c>
      <c r="AQ192" s="128">
        <v>293</v>
      </c>
      <c r="AR192" s="128"/>
      <c r="AS192" s="128"/>
      <c r="AT192" s="122"/>
      <c r="AU192" s="124" t="s">
        <v>189</v>
      </c>
      <c r="AV192" s="115">
        <f>VLOOKUP(J192,'[63]ТР нефть'!$J$28:$BP$638,39,0)</f>
        <v>573.00000146499997</v>
      </c>
      <c r="AW192" s="115" t="str">
        <f>VLOOKUP(J192,'[63]ТР нефть'!$J$28:$BP$638,40,0)</f>
        <v>ГК 80 1/8</v>
      </c>
      <c r="AX192" s="115">
        <f>VLOOKUP(J192,'[63]ТР нефть'!$J$28:$BP$638,41,0)</f>
        <v>1086.00001875</v>
      </c>
      <c r="AY192" s="115" t="str">
        <f>VLOOKUP(J192,'[63]ТР нефть'!$J$28:$BP$638,42,0)</f>
        <v>ГК 80 1/8</v>
      </c>
      <c r="AZ192" s="115">
        <f>VLOOKUP(J192,'[63]ТР нефть'!$J$28:$BP$638,43,0)</f>
        <v>1516.000041797</v>
      </c>
      <c r="BA192" s="115" t="str">
        <f>VLOOKUP(J192,'[63]ТР нефть'!$J$28:$BP$638,44,0)</f>
        <v>ГК 80 1/8</v>
      </c>
      <c r="BB192" s="115">
        <f>VLOOKUP(J192,'[63]ТР нефть'!$J$28:$BP$638,45,0)</f>
        <v>1849.9999710940001</v>
      </c>
      <c r="BC192" s="115" t="str">
        <f>VLOOKUP(J192,'[63]ТР нефть'!$J$28:$BP$638,46,0)</f>
        <v>ЦКсОК 5/16</v>
      </c>
      <c r="BD192" s="115" t="str">
        <f>VLOOKUP(J192,'[63]ТР нефть'!$J$28:$BP$638,47,0)</f>
        <v>-</v>
      </c>
      <c r="BE192" s="115" t="str">
        <f>VLOOKUP(J192,'[63]ТР нефть'!$J$28:$BP$638,48,0)</f>
        <v>-</v>
      </c>
      <c r="BF192" s="115" t="str">
        <f>VLOOKUP(J192,'[63]ТР нефть'!$J$28:$BP$638,49,0)</f>
        <v>-</v>
      </c>
      <c r="BG192" s="115" t="str">
        <f>VLOOKUP(J192,'[63]ТР нефть'!$J$28:$BP$638,50,0)</f>
        <v>-</v>
      </c>
      <c r="BH192" s="115" t="str">
        <f>VLOOKUP(J192,'[63]ТР нефть'!$J$28:$BP$638,51,0)</f>
        <v>-</v>
      </c>
      <c r="BI192" s="115" t="str">
        <f>VLOOKUP(J192,'[63]ТР нефть'!$J$28:$BP$638,52,0)</f>
        <v>-</v>
      </c>
      <c r="BJ192" s="115" t="str">
        <f>IF(IFERROR(VLOOKUP(J192,'[63]ТР нефть'!$J$28:$BP$638,53,0),"-")=0,"-",IFERROR(VLOOKUP(J192,'[63]ТР нефть'!$J$28:$BP$638,53,0),"-"))</f>
        <v>-</v>
      </c>
      <c r="BK192" s="138" t="str">
        <f>IF(IFERROR(VLOOKUP(J192,'[63]ТР нефть'!$J$28:$BP$638,54,0),"-")=0,"-",IFERROR(VLOOKUP(J192,'[63]ТР нефть'!$J$28:$BP$638,54,0),"-"))</f>
        <v>-</v>
      </c>
      <c r="BL192" s="138" t="str">
        <f>IF(IFERROR(VLOOKUP(J192,'[63]ТР нефть'!$J$28:$BP$638,55,0),"-")=0,"-",IFERROR(VLOOKUP(J192,'[63]ТР нефть'!$J$28:$BP$638,55,0),"-"))</f>
        <v>-</v>
      </c>
      <c r="BM192" s="138" t="str">
        <f>IF(IFERROR(VLOOKUP(J192,'[63]ТР нефть'!$J$28:$BP$638,56,0),"-")=0,"-",IFERROR(VLOOKUP(J192,'[63]ТР нефть'!$J$28:$BP$638,56,0),"-"))</f>
        <v>-</v>
      </c>
      <c r="BN192" s="138" t="str">
        <f>IF(IFERROR(VLOOKUP(J192,'[63]ТР нефть'!$J$28:$BP$638,57,0),"-")=0,"-",IFERROR(VLOOKUP(J192,'[63]ТР нефть'!$J$28:$BP$638,57,0),"-"))</f>
        <v>-</v>
      </c>
      <c r="BO192" s="115" t="str">
        <f>IF(IFERROR(VLOOKUP(J192,'[63]ТР нефть'!$J$28:$BP$638,58,0),"-")=0,"-",IFERROR(VLOOKUP(J192,'[63]ТР нефть'!$J$28:$BP$638,58,0),"-"))</f>
        <v>-</v>
      </c>
      <c r="BP192" s="115" t="str">
        <f>IF(IFERROR(VLOOKUP(J192,'[63]ТР нефть'!$J$28:$BP$638,59,0),"-")=0,"-",IFERROR(VLOOKUP(J192,'[63]ТР нефть'!$J$28:$BP$638,59,0),"-"))</f>
        <v>-</v>
      </c>
      <c r="BQ192" s="138">
        <v>1910</v>
      </c>
      <c r="BR192" s="128">
        <v>1722.21</v>
      </c>
      <c r="BS192" s="115">
        <f t="shared" si="105"/>
        <v>187.78999999999996</v>
      </c>
      <c r="BT192" s="128">
        <v>73</v>
      </c>
      <c r="BU192" s="128">
        <v>5.5</v>
      </c>
      <c r="BV192" s="127">
        <v>18</v>
      </c>
      <c r="BW192" s="127" t="s">
        <v>234</v>
      </c>
      <c r="BX192" s="127" t="s">
        <v>195</v>
      </c>
      <c r="BY192" s="139">
        <v>24</v>
      </c>
      <c r="BZ192" s="139">
        <v>0</v>
      </c>
      <c r="CA192" s="138">
        <v>19</v>
      </c>
      <c r="CB192" s="138">
        <v>31</v>
      </c>
      <c r="CC192" s="138">
        <v>18</v>
      </c>
      <c r="CD192" s="135">
        <v>45017</v>
      </c>
      <c r="CE192" s="138">
        <v>99</v>
      </c>
      <c r="CF192" s="138">
        <v>78</v>
      </c>
      <c r="CG192" s="138" t="str">
        <f t="shared" si="153"/>
        <v>В работе</v>
      </c>
      <c r="CH192" s="138" t="s">
        <v>235</v>
      </c>
      <c r="CI192" s="127">
        <v>6</v>
      </c>
      <c r="CJ192" s="138"/>
      <c r="CK192" s="138"/>
      <c r="CL192" s="99"/>
      <c r="CM192" s="99"/>
      <c r="CN192" s="140">
        <v>40</v>
      </c>
      <c r="CO192" s="141">
        <f t="shared" si="106"/>
        <v>8.2764000000000006</v>
      </c>
      <c r="CP192" s="142">
        <v>9.9</v>
      </c>
      <c r="CQ192" s="143">
        <v>0</v>
      </c>
      <c r="CR192" s="138">
        <v>11</v>
      </c>
      <c r="CS192" s="139">
        <v>7</v>
      </c>
      <c r="CT192" s="138"/>
      <c r="CU192" s="138">
        <f t="shared" si="134"/>
        <v>4</v>
      </c>
      <c r="CV192" s="115">
        <f t="shared" si="135"/>
        <v>483.30191870861722</v>
      </c>
      <c r="CW192" s="115">
        <f t="shared" si="109"/>
        <v>845.7783577400802</v>
      </c>
      <c r="CX192" s="133">
        <f t="shared" si="136"/>
        <v>0.16779661016949154</v>
      </c>
      <c r="CY192" s="116"/>
      <c r="CZ192" s="131"/>
      <c r="DA192" s="145" t="str">
        <f t="shared" si="111"/>
        <v>Газлифт</v>
      </c>
      <c r="DB192" s="146">
        <f t="shared" si="112"/>
        <v>8.2764000000000006</v>
      </c>
      <c r="DC192" s="142">
        <f t="shared" si="151"/>
        <v>9.9</v>
      </c>
      <c r="DD192" s="119">
        <f t="shared" si="152"/>
        <v>0</v>
      </c>
      <c r="DE192" s="115">
        <f t="shared" si="115"/>
        <v>4</v>
      </c>
      <c r="DF192" s="121">
        <f t="shared" si="116"/>
        <v>7</v>
      </c>
      <c r="DG192" s="115">
        <f t="shared" si="117"/>
        <v>483.30191870861722</v>
      </c>
      <c r="DH192" s="115">
        <f t="shared" si="118"/>
        <v>40</v>
      </c>
      <c r="DI192" s="147"/>
      <c r="DJ192" s="111" t="s">
        <v>197</v>
      </c>
      <c r="DK192" s="112">
        <v>43878</v>
      </c>
      <c r="DL192" s="113">
        <f t="shared" ca="1" si="138"/>
        <v>1226</v>
      </c>
      <c r="DM192" s="114"/>
      <c r="DN192" s="114"/>
      <c r="DO192" s="114"/>
      <c r="DP192" s="114"/>
      <c r="DQ192" s="112">
        <v>42581</v>
      </c>
      <c r="DR192" s="114" t="s">
        <v>324</v>
      </c>
      <c r="DS192" s="114"/>
      <c r="DT192" s="115">
        <v>59</v>
      </c>
      <c r="DU192" s="116">
        <f t="shared" si="139"/>
        <v>0.2475</v>
      </c>
      <c r="DV192" s="117">
        <f t="shared" si="140"/>
        <v>8.2764000000000006</v>
      </c>
      <c r="DW192" s="118">
        <f t="shared" si="141"/>
        <v>9.9</v>
      </c>
      <c r="DX192" s="119">
        <f t="shared" si="119"/>
        <v>0</v>
      </c>
      <c r="DY192" s="115">
        <f t="shared" si="142"/>
        <v>4</v>
      </c>
      <c r="DZ192" s="117">
        <f t="shared" si="143"/>
        <v>0</v>
      </c>
      <c r="EA192" s="120">
        <f t="shared" si="143"/>
        <v>0</v>
      </c>
      <c r="EB192" s="119">
        <f t="shared" si="143"/>
        <v>0</v>
      </c>
      <c r="EC192" s="121">
        <f t="shared" si="144"/>
        <v>0</v>
      </c>
      <c r="ED192" s="122"/>
      <c r="EE192" s="145">
        <v>18</v>
      </c>
      <c r="EF192" s="115">
        <v>19</v>
      </c>
      <c r="EG192" s="115">
        <v>42</v>
      </c>
      <c r="EH192" s="115">
        <v>18</v>
      </c>
      <c r="EI192" s="128" t="s">
        <v>195</v>
      </c>
      <c r="EJ192" s="121">
        <v>24</v>
      </c>
      <c r="EK192" s="121">
        <v>0</v>
      </c>
      <c r="EL192" s="149">
        <v>9.1959999999999997</v>
      </c>
      <c r="EM192" s="142">
        <v>11</v>
      </c>
      <c r="EN192" s="119">
        <v>0</v>
      </c>
      <c r="EO192" s="115">
        <v>19.2</v>
      </c>
      <c r="EP192" s="115">
        <v>1000.4349717268378</v>
      </c>
      <c r="EQ192" s="115">
        <v>78</v>
      </c>
      <c r="ER192" s="115">
        <v>10</v>
      </c>
      <c r="ES192" s="115">
        <v>46</v>
      </c>
      <c r="ET192" s="150">
        <v>0.20754716981132076</v>
      </c>
      <c r="EU192" s="145">
        <f t="shared" si="120"/>
        <v>18</v>
      </c>
      <c r="EV192" s="115">
        <f t="shared" si="121"/>
        <v>19</v>
      </c>
      <c r="EW192" s="115">
        <f t="shared" si="121"/>
        <v>31</v>
      </c>
      <c r="EX192" s="115">
        <f t="shared" si="121"/>
        <v>18</v>
      </c>
      <c r="EY192" s="115" t="str">
        <f t="shared" ref="EY192:FA255" si="156">BX192</f>
        <v>Постоянный</v>
      </c>
      <c r="EZ192" s="115">
        <f t="shared" si="155"/>
        <v>24</v>
      </c>
      <c r="FA192" s="115">
        <f t="shared" si="155"/>
        <v>0</v>
      </c>
      <c r="FB192" s="149">
        <f t="shared" si="123"/>
        <v>8.2764000000000006</v>
      </c>
      <c r="FC192" s="142">
        <f t="shared" si="123"/>
        <v>9.9</v>
      </c>
      <c r="FD192" s="119">
        <f t="shared" si="123"/>
        <v>0</v>
      </c>
      <c r="FE192" s="121">
        <f t="shared" si="103"/>
        <v>11</v>
      </c>
      <c r="FF192" s="121">
        <f t="shared" si="145"/>
        <v>483.30191870861722</v>
      </c>
      <c r="FG192" s="121">
        <f t="shared" si="124"/>
        <v>78</v>
      </c>
      <c r="FH192" s="121">
        <f t="shared" si="146"/>
        <v>7</v>
      </c>
      <c r="FI192" s="121">
        <f t="shared" si="154"/>
        <v>40</v>
      </c>
      <c r="FJ192" s="144">
        <f t="shared" si="125"/>
        <v>0.16779661016949154</v>
      </c>
      <c r="FK192" s="132">
        <f t="shared" si="126"/>
        <v>0</v>
      </c>
      <c r="FL192" s="115">
        <f t="shared" si="126"/>
        <v>0</v>
      </c>
      <c r="FM192" s="115">
        <f t="shared" si="126"/>
        <v>-11</v>
      </c>
      <c r="FN192" s="115">
        <f t="shared" si="126"/>
        <v>0</v>
      </c>
      <c r="FO192" s="115">
        <f t="shared" si="150"/>
        <v>0</v>
      </c>
      <c r="FP192" s="115">
        <f t="shared" si="150"/>
        <v>0</v>
      </c>
      <c r="FQ192" s="149">
        <f t="shared" si="150"/>
        <v>-0.91959999999999908</v>
      </c>
      <c r="FR192" s="117">
        <f t="shared" si="148"/>
        <v>-1.0999999999999996</v>
      </c>
      <c r="FS192" s="119">
        <f t="shared" si="148"/>
        <v>0</v>
      </c>
      <c r="FT192" s="121">
        <f t="shared" si="148"/>
        <v>-8.1999999999999993</v>
      </c>
      <c r="FU192" s="121">
        <f t="shared" si="127"/>
        <v>0</v>
      </c>
      <c r="FV192" s="121">
        <f t="shared" si="127"/>
        <v>-3</v>
      </c>
      <c r="FW192" s="121">
        <f t="shared" si="128"/>
        <v>-517.13305301822061</v>
      </c>
      <c r="FX192" s="121">
        <f t="shared" si="129"/>
        <v>-6</v>
      </c>
      <c r="FY192" s="144">
        <f t="shared" si="129"/>
        <v>-3.975055964182922E-2</v>
      </c>
      <c r="FZ192" s="145"/>
      <c r="GA192" s="151" t="s">
        <v>945</v>
      </c>
      <c r="GB192" s="145"/>
      <c r="GC192" s="151" t="s">
        <v>387</v>
      </c>
      <c r="GD192" s="997" t="s">
        <v>238</v>
      </c>
      <c r="GE192" s="1004"/>
      <c r="GF192" s="1004">
        <v>0</v>
      </c>
      <c r="GG192" s="1004"/>
      <c r="GH192" s="1004">
        <v>0</v>
      </c>
      <c r="GI192" s="145"/>
      <c r="GJ192" s="996">
        <v>0.8360000000000003</v>
      </c>
      <c r="GK192" s="145"/>
      <c r="GL192" s="996">
        <v>0.3093199999999996</v>
      </c>
      <c r="GM192" s="1005"/>
      <c r="GN192" s="996">
        <v>0</v>
      </c>
      <c r="GO192" s="1006"/>
      <c r="GP192" s="996">
        <v>-0.56012000000000128</v>
      </c>
      <c r="GQ192" s="1006" t="s">
        <v>203</v>
      </c>
      <c r="GR192" s="996">
        <v>-0.8861599999999985</v>
      </c>
      <c r="GS192" s="1006"/>
      <c r="GT192" s="996">
        <v>0</v>
      </c>
      <c r="GU192" s="1006"/>
      <c r="GV192" s="996">
        <v>-0.5350400000000004</v>
      </c>
      <c r="GW192" s="1006"/>
      <c r="GX192" s="1049">
        <v>0</v>
      </c>
      <c r="GY192" s="1006"/>
      <c r="GZ192" s="996">
        <v>0</v>
      </c>
      <c r="HA192" s="1006" t="s">
        <v>199</v>
      </c>
      <c r="HB192" s="996">
        <v>1.1286000000000005</v>
      </c>
      <c r="HC192" s="1006"/>
      <c r="HD192" s="996">
        <v>0.99592679999999945</v>
      </c>
      <c r="HE192" s="1006"/>
      <c r="HF192" s="996">
        <v>0</v>
      </c>
      <c r="HG192" s="1006"/>
      <c r="HH192" s="996">
        <v>0.23760992639999934</v>
      </c>
      <c r="HI192" s="1006"/>
      <c r="HJ192" s="996">
        <v>0</v>
      </c>
      <c r="HK192" s="1006" t="s">
        <v>204</v>
      </c>
      <c r="HL192" s="996">
        <v>-7.1273367263999976</v>
      </c>
      <c r="HM192" s="1006"/>
      <c r="HN192" s="996">
        <v>0</v>
      </c>
      <c r="HO192" s="1006"/>
      <c r="HP192" s="996">
        <v>0</v>
      </c>
      <c r="HQ192" s="1006"/>
      <c r="HR192" s="996">
        <v>0</v>
      </c>
      <c r="HS192" s="1006"/>
      <c r="HT192" s="996">
        <v>0.8360000000000003</v>
      </c>
      <c r="HU192" s="1006"/>
      <c r="HV192" s="996">
        <v>-0.58520000000000039</v>
      </c>
      <c r="HW192" s="1006"/>
      <c r="HX192" s="996">
        <v>0.8360000000000003</v>
      </c>
      <c r="HY192" s="1006"/>
      <c r="HZ192" s="996">
        <v>0.75239999999999796</v>
      </c>
      <c r="IA192" s="1006"/>
      <c r="IB192" s="996">
        <v>0.8360000000000003</v>
      </c>
      <c r="IC192" s="1006"/>
      <c r="ID192" s="996">
        <v>0.16719999999999935</v>
      </c>
      <c r="IE192" s="1006"/>
      <c r="IF192" s="996">
        <v>-0.3176799999999993</v>
      </c>
      <c r="IG192" s="1006"/>
      <c r="IH192" s="996">
        <v>0</v>
      </c>
      <c r="II192" s="1006"/>
      <c r="IJ192" s="996">
        <v>0</v>
      </c>
      <c r="IK192" s="1006"/>
      <c r="IL192" s="996">
        <v>0</v>
      </c>
      <c r="IM192" s="1006"/>
      <c r="IN192" s="996">
        <v>-0.8527199999999997</v>
      </c>
      <c r="IO192" s="1006" t="s">
        <v>204</v>
      </c>
      <c r="IP192" s="996">
        <v>-1.0868000000000002</v>
      </c>
      <c r="IQ192" s="1006"/>
      <c r="IR192" s="996">
        <v>0</v>
      </c>
      <c r="IS192" s="1006"/>
      <c r="IT192" s="996">
        <v>-0.45077119999999837</v>
      </c>
      <c r="IU192" s="1006" t="s">
        <v>203</v>
      </c>
      <c r="IV192" s="996">
        <v>-2.3073599999999992</v>
      </c>
      <c r="IW192" s="1006" t="s">
        <v>203</v>
      </c>
      <c r="IX192" s="996">
        <v>-2.6089888000000023</v>
      </c>
      <c r="IY192" s="1006"/>
      <c r="IZ192" s="996">
        <v>0</v>
      </c>
      <c r="JA192" s="1006" t="s">
        <v>199</v>
      </c>
      <c r="JB192" s="996">
        <v>3.8936700000000002</v>
      </c>
      <c r="JC192" s="1006" t="s">
        <v>199</v>
      </c>
      <c r="JD192" s="996">
        <v>-3.1688865911999997</v>
      </c>
      <c r="JE192" s="1006" t="s">
        <v>25</v>
      </c>
      <c r="JF192" s="996">
        <v>19.860880591199997</v>
      </c>
      <c r="JG192" s="1006"/>
      <c r="JH192" s="996">
        <v>0</v>
      </c>
      <c r="JI192" s="1006"/>
      <c r="JJ192" s="996">
        <v>0</v>
      </c>
      <c r="JK192" s="1007"/>
      <c r="JL192" s="1007">
        <v>0</v>
      </c>
      <c r="JM192" s="1007"/>
      <c r="JN192" s="1007">
        <v>0</v>
      </c>
      <c r="JO192" s="1008" t="s">
        <v>146</v>
      </c>
      <c r="JP192" s="1007">
        <v>-24.264063999999998</v>
      </c>
      <c r="JQ192" s="1008">
        <v>0</v>
      </c>
      <c r="JR192" s="1007">
        <v>0</v>
      </c>
      <c r="JS192" s="1008" t="s">
        <v>146</v>
      </c>
      <c r="JT192" s="1007">
        <v>13.572961599999999</v>
      </c>
      <c r="JU192" s="1008"/>
      <c r="JV192" s="1007">
        <v>0</v>
      </c>
      <c r="JW192" s="1008" t="s">
        <v>197</v>
      </c>
      <c r="JX192" s="1007">
        <v>-2.7361599999998987E-2</v>
      </c>
      <c r="JY192" s="1008" t="s">
        <v>224</v>
      </c>
      <c r="JZ192" s="1007">
        <v>-3.7241250200000096</v>
      </c>
      <c r="KA192" s="1008"/>
      <c r="KB192" s="1007">
        <v>0</v>
      </c>
      <c r="KC192" s="1008"/>
      <c r="KD192" s="1007">
        <v>0</v>
      </c>
      <c r="KE192" s="1008"/>
      <c r="KF192" s="1007">
        <v>9.4969600000000085</v>
      </c>
      <c r="KG192" s="1008"/>
      <c r="KH192" s="1007">
        <v>0</v>
      </c>
      <c r="KI192" s="1008"/>
      <c r="KJ192" s="1007">
        <v>0</v>
      </c>
      <c r="KK192" s="1008"/>
      <c r="KL192" s="1007">
        <v>0</v>
      </c>
      <c r="KM192" s="1008"/>
      <c r="KN192" s="1007">
        <v>0</v>
      </c>
      <c r="KO192" s="1008"/>
      <c r="KP192" s="1007">
        <v>0</v>
      </c>
      <c r="KQ192" s="1008">
        <v>0</v>
      </c>
      <c r="KR192" s="1007">
        <v>0</v>
      </c>
      <c r="KS192" s="1008">
        <v>0</v>
      </c>
      <c r="KT192" s="1007">
        <v>0</v>
      </c>
      <c r="KU192" s="1008" t="s">
        <v>260</v>
      </c>
      <c r="KV192" s="1007">
        <v>0.60191999999999968</v>
      </c>
      <c r="KW192" s="1008">
        <v>0</v>
      </c>
      <c r="KX192" s="1007">
        <v>0</v>
      </c>
      <c r="KY192" s="1008">
        <v>0</v>
      </c>
      <c r="KZ192" s="1007">
        <v>0</v>
      </c>
      <c r="LA192" s="1008">
        <v>0</v>
      </c>
      <c r="LB192" s="1007">
        <v>0</v>
      </c>
      <c r="LC192" s="1008">
        <v>0</v>
      </c>
      <c r="LD192" s="1007">
        <v>0</v>
      </c>
      <c r="LE192" s="1008">
        <v>0</v>
      </c>
      <c r="LF192" s="1007">
        <v>0</v>
      </c>
      <c r="LG192" s="1008">
        <v>0</v>
      </c>
      <c r="LH192" s="1007">
        <v>-0.86275199999999996</v>
      </c>
      <c r="LI192" s="1008">
        <v>0</v>
      </c>
      <c r="LJ192" s="1007">
        <v>0</v>
      </c>
      <c r="LK192" s="1008" t="s">
        <v>555</v>
      </c>
      <c r="LL192" s="1007">
        <v>0.55844000000000005</v>
      </c>
      <c r="LM192" s="1008">
        <v>0</v>
      </c>
      <c r="LN192" s="1007">
        <v>0</v>
      </c>
      <c r="LO192" s="1008">
        <v>0</v>
      </c>
      <c r="LP192" s="1007">
        <v>-0.16320000000000001</v>
      </c>
      <c r="LQ192" s="1008">
        <v>0</v>
      </c>
      <c r="LR192" s="1007">
        <v>0</v>
      </c>
      <c r="LS192" s="1008" t="s">
        <v>259</v>
      </c>
      <c r="LT192" s="1007">
        <v>-0.59959999999999003</v>
      </c>
      <c r="LU192" s="1008">
        <v>0</v>
      </c>
      <c r="LV192" s="1007">
        <v>0</v>
      </c>
      <c r="LW192" s="1008">
        <v>0</v>
      </c>
      <c r="LX192" s="1007">
        <v>0.2717</v>
      </c>
      <c r="LY192" s="1009">
        <v>0</v>
      </c>
      <c r="LZ192" s="1010">
        <v>-0.51600000000000001</v>
      </c>
      <c r="MA192" s="1011">
        <v>0</v>
      </c>
      <c r="MB192" s="1012">
        <v>-0.39600000000000002</v>
      </c>
      <c r="MC192" s="995"/>
      <c r="MD192" s="996"/>
      <c r="ME192" s="997" t="s">
        <v>238</v>
      </c>
      <c r="MF192" s="997"/>
      <c r="MG192" s="998"/>
      <c r="NR192" s="1000"/>
      <c r="NS192" s="1000"/>
      <c r="NT192" s="1001"/>
      <c r="NU192" s="1000"/>
      <c r="NV192" s="1001"/>
      <c r="NX192" s="1002"/>
      <c r="NZ192" s="1001"/>
      <c r="OA192" s="1001"/>
      <c r="OC192" s="1003"/>
      <c r="OD192" s="1003"/>
      <c r="OE192" s="1001"/>
      <c r="OF192" s="1003"/>
      <c r="OG192" s="1003"/>
      <c r="OH192" s="1003"/>
      <c r="OI192" s="1016"/>
      <c r="QX192" s="1000">
        <f>CN192-CA192</f>
        <v>21</v>
      </c>
      <c r="ASU192" s="999" t="s">
        <v>208</v>
      </c>
    </row>
    <row r="193" spans="1:466 1191:1191" ht="21" customHeight="1" x14ac:dyDescent="0.25">
      <c r="A193" s="982" t="str">
        <f t="shared" si="104"/>
        <v>1092-2</v>
      </c>
      <c r="B193" s="124">
        <f>SUBTOTAL(103,$J$29:J193)</f>
        <v>165</v>
      </c>
      <c r="C193" s="126">
        <v>45096</v>
      </c>
      <c r="D193" s="124" t="s">
        <v>176</v>
      </c>
      <c r="E193" s="127" t="s">
        <v>177</v>
      </c>
      <c r="F193" s="128" t="s">
        <v>177</v>
      </c>
      <c r="G193" s="127" t="s">
        <v>178</v>
      </c>
      <c r="H193" s="127" t="s">
        <v>421</v>
      </c>
      <c r="I193" s="127" t="s">
        <v>939</v>
      </c>
      <c r="J193" s="152" t="s">
        <v>946</v>
      </c>
      <c r="K193" s="127" t="s">
        <v>939</v>
      </c>
      <c r="L193" s="130">
        <v>41814</v>
      </c>
      <c r="M193" s="127" t="s">
        <v>230</v>
      </c>
      <c r="N193" s="127" t="s">
        <v>231</v>
      </c>
      <c r="O193" s="127" t="s">
        <v>185</v>
      </c>
      <c r="P193" s="127" t="s">
        <v>208</v>
      </c>
      <c r="Q193" s="85">
        <f t="shared" si="133"/>
        <v>-4</v>
      </c>
      <c r="R193" s="130">
        <v>41787</v>
      </c>
      <c r="S193" s="128" t="s">
        <v>211</v>
      </c>
      <c r="T193" s="131" t="s">
        <v>947</v>
      </c>
      <c r="U193" s="132">
        <v>203</v>
      </c>
      <c r="V193" s="121">
        <v>218.2</v>
      </c>
      <c r="W193" s="116">
        <v>0.98</v>
      </c>
      <c r="X193" s="116">
        <v>1.66</v>
      </c>
      <c r="Y193" s="116">
        <f t="shared" si="137"/>
        <v>0.98</v>
      </c>
      <c r="Z193" s="133">
        <v>1.454</v>
      </c>
      <c r="AA193" s="133">
        <v>0.83599999999999997</v>
      </c>
      <c r="AB193" s="133">
        <v>0.72</v>
      </c>
      <c r="AC193" s="121">
        <v>34.299999999999997</v>
      </c>
      <c r="AD193" s="134">
        <v>1.17</v>
      </c>
      <c r="AE193" s="124">
        <v>177.8</v>
      </c>
      <c r="AF193" s="128">
        <v>9.19</v>
      </c>
      <c r="AG193" s="128">
        <v>2080</v>
      </c>
      <c r="AH193" s="127">
        <v>2700</v>
      </c>
      <c r="AI193" s="127">
        <v>2698</v>
      </c>
      <c r="AJ193" s="135"/>
      <c r="AK193" s="128"/>
      <c r="AL193" s="131"/>
      <c r="AM193" s="124" t="s">
        <v>232</v>
      </c>
      <c r="AN193" s="136" t="s">
        <v>948</v>
      </c>
      <c r="AO193" s="137">
        <v>17</v>
      </c>
      <c r="AP193" s="128">
        <v>2080</v>
      </c>
      <c r="AQ193" s="128">
        <v>185.13</v>
      </c>
      <c r="AR193" s="128" t="s">
        <v>949</v>
      </c>
      <c r="AS193" s="128">
        <v>114.3</v>
      </c>
      <c r="AT193" s="122">
        <v>7.4</v>
      </c>
      <c r="AU193" s="124" t="s">
        <v>189</v>
      </c>
      <c r="AV193" s="115">
        <f>VLOOKUP(J193,'[63]ТР нефть'!$J$28:$BP$638,39,0)</f>
        <v>599.99999062500001</v>
      </c>
      <c r="AW193" s="115" t="str">
        <f>VLOOKUP(J193,'[63]ТР нефть'!$J$28:$BP$638,40,0)</f>
        <v>ГК 80 1/8</v>
      </c>
      <c r="AX193" s="115">
        <f>VLOOKUP(J193,'[63]ТР нефть'!$J$28:$BP$638,41,0)</f>
        <v>1199.99998125</v>
      </c>
      <c r="AY193" s="115" t="str">
        <f>VLOOKUP(J193,'[63]ТР нефть'!$J$28:$BP$638,42,0)</f>
        <v>ГК 80 1/8</v>
      </c>
      <c r="AZ193" s="115">
        <f>VLOOKUP(J193,'[63]ТР нефть'!$J$28:$BP$638,43,0)</f>
        <v>1780.000001953</v>
      </c>
      <c r="BA193" s="115" t="str">
        <f>VLOOKUP(J193,'[63]ТР нефть'!$J$28:$BP$638,44,0)</f>
        <v>ЦКсОК 5/16</v>
      </c>
      <c r="BB193" s="115" t="str">
        <f>VLOOKUP(J193,'[63]ТР нефть'!$J$28:$BP$638,45,0)</f>
        <v>-</v>
      </c>
      <c r="BC193" s="115" t="str">
        <f>VLOOKUP(J193,'[63]ТР нефть'!$J$28:$BP$638,46,0)</f>
        <v>-</v>
      </c>
      <c r="BD193" s="115" t="str">
        <f>VLOOKUP(J193,'[63]ТР нефть'!$J$28:$BP$638,47,0)</f>
        <v>-</v>
      </c>
      <c r="BE193" s="115" t="str">
        <f>VLOOKUP(J193,'[63]ТР нефть'!$J$28:$BP$638,48,0)</f>
        <v>-</v>
      </c>
      <c r="BF193" s="115" t="str">
        <f>VLOOKUP(J193,'[63]ТР нефть'!$J$28:$BP$638,49,0)</f>
        <v>-</v>
      </c>
      <c r="BG193" s="115" t="str">
        <f>VLOOKUP(J193,'[63]ТР нефть'!$J$28:$BP$638,50,0)</f>
        <v>-</v>
      </c>
      <c r="BH193" s="115">
        <f>VLOOKUP(J193,'[63]ТР нефть'!$J$28:$BP$638,51,0)</f>
        <v>1790</v>
      </c>
      <c r="BI193" s="115" t="str">
        <f>VLOOKUP(J193,'[63]ТР нефть'!$J$28:$BP$638,52,0)</f>
        <v>закрыт</v>
      </c>
      <c r="BJ193" s="115" t="str">
        <f>IF(IFERROR(VLOOKUP(J193,'[63]ТР нефть'!$J$28:$BP$638,53,0),"-")=0,"-",IFERROR(VLOOKUP(J193,'[63]ТР нефть'!$J$28:$BP$638,53,0),"-"))</f>
        <v>-</v>
      </c>
      <c r="BK193" s="138" t="str">
        <f>IF(IFERROR(VLOOKUP(J193,'[63]ТР нефть'!$J$28:$BP$638,54,0),"-")=0,"-",IFERROR(VLOOKUP(J193,'[63]ТР нефть'!$J$28:$BP$638,54,0),"-"))</f>
        <v>-</v>
      </c>
      <c r="BL193" s="138" t="str">
        <f>IF(IFERROR(VLOOKUP(J193,'[63]ТР нефть'!$J$28:$BP$638,55,0),"-")=0,"-",IFERROR(VLOOKUP(J193,'[63]ТР нефть'!$J$28:$BP$638,55,0),"-"))</f>
        <v>-</v>
      </c>
      <c r="BM193" s="138" t="str">
        <f>IF(IFERROR(VLOOKUP(J193,'[63]ТР нефть'!$J$28:$BP$638,56,0),"-")=0,"-",IFERROR(VLOOKUP(J193,'[63]ТР нефть'!$J$28:$BP$638,56,0),"-"))</f>
        <v>-</v>
      </c>
      <c r="BN193" s="138" t="str">
        <f>IF(IFERROR(VLOOKUP(J193,'[63]ТР нефть'!$J$28:$BP$638,57,0),"-")=0,"-",IFERROR(VLOOKUP(J193,'[63]ТР нефть'!$J$28:$BP$638,57,0),"-"))</f>
        <v>-</v>
      </c>
      <c r="BO193" s="115" t="str">
        <f>IF(IFERROR(VLOOKUP(J193,'[63]ТР нефть'!$J$28:$BP$638,58,0),"-")=0,"-",IFERROR(VLOOKUP(J193,'[63]ТР нефть'!$J$28:$BP$638,58,0),"-"))</f>
        <v>-</v>
      </c>
      <c r="BP193" s="115" t="str">
        <f>IF(IFERROR(VLOOKUP(J193,'[63]ТР нефть'!$J$28:$BP$638,59,0),"-")=0,"-",IFERROR(VLOOKUP(J193,'[63]ТР нефть'!$J$28:$BP$638,59,0),"-"))</f>
        <v>-</v>
      </c>
      <c r="BQ193" s="138">
        <v>1993</v>
      </c>
      <c r="BR193" s="128">
        <v>1868.6</v>
      </c>
      <c r="BS193" s="115">
        <f t="shared" si="105"/>
        <v>124.40000000000009</v>
      </c>
      <c r="BT193" s="128">
        <v>73</v>
      </c>
      <c r="BU193" s="128">
        <v>5.5</v>
      </c>
      <c r="BV193" s="127">
        <v>18</v>
      </c>
      <c r="BW193" s="127" t="s">
        <v>234</v>
      </c>
      <c r="BX193" s="127" t="s">
        <v>195</v>
      </c>
      <c r="BY193" s="139">
        <v>24</v>
      </c>
      <c r="BZ193" s="139">
        <v>0</v>
      </c>
      <c r="CA193" s="138">
        <v>19</v>
      </c>
      <c r="CB193" s="138">
        <v>29</v>
      </c>
      <c r="CC193" s="138">
        <v>18</v>
      </c>
      <c r="CD193" s="135">
        <v>45017</v>
      </c>
      <c r="CE193" s="138">
        <v>114</v>
      </c>
      <c r="CF193" s="138">
        <v>72</v>
      </c>
      <c r="CG193" s="138" t="str">
        <f t="shared" si="153"/>
        <v>В работе</v>
      </c>
      <c r="CH193" s="138" t="s">
        <v>196</v>
      </c>
      <c r="CI193" s="127">
        <v>6</v>
      </c>
      <c r="CJ193" s="138"/>
      <c r="CK193" s="138"/>
      <c r="CL193" s="99"/>
      <c r="CM193" s="99"/>
      <c r="CN193" s="140">
        <v>37</v>
      </c>
      <c r="CO193" s="141">
        <f t="shared" si="106"/>
        <v>9.6975999999999996</v>
      </c>
      <c r="CP193" s="142">
        <v>11.6</v>
      </c>
      <c r="CQ193" s="143">
        <v>0</v>
      </c>
      <c r="CR193" s="138">
        <v>17.2</v>
      </c>
      <c r="CS193" s="139">
        <v>13.8</v>
      </c>
      <c r="CT193" s="138"/>
      <c r="CU193" s="138">
        <f t="shared" si="134"/>
        <v>3.3999999999999986</v>
      </c>
      <c r="CV193" s="115">
        <f t="shared" si="135"/>
        <v>350.60221085629422</v>
      </c>
      <c r="CW193" s="115">
        <f t="shared" si="109"/>
        <v>1423.0325028873126</v>
      </c>
      <c r="CX193" s="133">
        <f t="shared" si="136"/>
        <v>0.15064935064935064</v>
      </c>
      <c r="CY193" s="116"/>
      <c r="CZ193" s="131"/>
      <c r="DA193" s="145" t="str">
        <f t="shared" si="111"/>
        <v>Газлифт</v>
      </c>
      <c r="DB193" s="146">
        <f t="shared" si="112"/>
        <v>9.6975999999999996</v>
      </c>
      <c r="DC193" s="142">
        <f t="shared" si="151"/>
        <v>11.6</v>
      </c>
      <c r="DD193" s="119">
        <f t="shared" si="152"/>
        <v>0</v>
      </c>
      <c r="DE193" s="115">
        <f t="shared" si="115"/>
        <v>3.3999999999999986</v>
      </c>
      <c r="DF193" s="121">
        <f t="shared" si="116"/>
        <v>13.8</v>
      </c>
      <c r="DG193" s="115">
        <f t="shared" si="117"/>
        <v>350.60221085629422</v>
      </c>
      <c r="DH193" s="115">
        <f t="shared" si="118"/>
        <v>37</v>
      </c>
      <c r="DI193" s="147"/>
      <c r="DJ193" s="111" t="s">
        <v>197</v>
      </c>
      <c r="DK193" s="112">
        <v>41779</v>
      </c>
      <c r="DL193" s="113">
        <f t="shared" ca="1" si="138"/>
        <v>3325</v>
      </c>
      <c r="DM193" s="114"/>
      <c r="DN193" s="114"/>
      <c r="DO193" s="114"/>
      <c r="DP193" s="114"/>
      <c r="DQ193" s="112">
        <v>43186</v>
      </c>
      <c r="DR193" s="114" t="s">
        <v>198</v>
      </c>
      <c r="DS193" s="114"/>
      <c r="DT193" s="115">
        <v>44</v>
      </c>
      <c r="DU193" s="116">
        <f t="shared" si="139"/>
        <v>0.1657142857142857</v>
      </c>
      <c r="DV193" s="117">
        <f t="shared" si="140"/>
        <v>9.6975999999999996</v>
      </c>
      <c r="DW193" s="118">
        <f t="shared" si="141"/>
        <v>11.6</v>
      </c>
      <c r="DX193" s="119">
        <f t="shared" si="119"/>
        <v>0</v>
      </c>
      <c r="DY193" s="115">
        <f t="shared" si="142"/>
        <v>3.3999999999999986</v>
      </c>
      <c r="DZ193" s="117">
        <f t="shared" si="143"/>
        <v>0</v>
      </c>
      <c r="EA193" s="120">
        <f t="shared" si="143"/>
        <v>0</v>
      </c>
      <c r="EB193" s="119">
        <f t="shared" si="143"/>
        <v>0</v>
      </c>
      <c r="EC193" s="121">
        <f t="shared" si="144"/>
        <v>0</v>
      </c>
      <c r="ED193" s="122"/>
      <c r="EE193" s="145">
        <v>18</v>
      </c>
      <c r="EF193" s="115">
        <v>17</v>
      </c>
      <c r="EG193" s="115">
        <v>27</v>
      </c>
      <c r="EH193" s="115">
        <v>16</v>
      </c>
      <c r="EI193" s="128" t="s">
        <v>195</v>
      </c>
      <c r="EJ193" s="121">
        <v>24</v>
      </c>
      <c r="EK193" s="121">
        <v>0</v>
      </c>
      <c r="EL193" s="149">
        <v>10.032</v>
      </c>
      <c r="EM193" s="142">
        <v>12</v>
      </c>
      <c r="EN193" s="119">
        <v>0</v>
      </c>
      <c r="EO193" s="115">
        <v>11</v>
      </c>
      <c r="EP193" s="115">
        <v>299.04306220095691</v>
      </c>
      <c r="EQ193" s="115">
        <v>78</v>
      </c>
      <c r="ER193" s="115">
        <v>8</v>
      </c>
      <c r="ES193" s="115">
        <v>40</v>
      </c>
      <c r="ET193" s="150">
        <v>0.16216216216216217</v>
      </c>
      <c r="EU193" s="145">
        <f t="shared" si="120"/>
        <v>18</v>
      </c>
      <c r="EV193" s="115">
        <f t="shared" si="121"/>
        <v>19</v>
      </c>
      <c r="EW193" s="115">
        <f t="shared" si="121"/>
        <v>29</v>
      </c>
      <c r="EX193" s="115">
        <f t="shared" si="121"/>
        <v>18</v>
      </c>
      <c r="EY193" s="115" t="str">
        <f t="shared" si="156"/>
        <v>Постоянный</v>
      </c>
      <c r="EZ193" s="115">
        <f t="shared" si="155"/>
        <v>24</v>
      </c>
      <c r="FA193" s="115">
        <f t="shared" si="155"/>
        <v>0</v>
      </c>
      <c r="FB193" s="149">
        <f t="shared" si="123"/>
        <v>9.6975999999999996</v>
      </c>
      <c r="FC193" s="142">
        <f t="shared" si="123"/>
        <v>11.6</v>
      </c>
      <c r="FD193" s="119">
        <f t="shared" si="123"/>
        <v>0</v>
      </c>
      <c r="FE193" s="121">
        <f t="shared" si="103"/>
        <v>17.2</v>
      </c>
      <c r="FF193" s="121">
        <f t="shared" si="145"/>
        <v>350.60221085629422</v>
      </c>
      <c r="FG193" s="121">
        <f t="shared" si="124"/>
        <v>72</v>
      </c>
      <c r="FH193" s="121">
        <f t="shared" si="146"/>
        <v>13.8</v>
      </c>
      <c r="FI193" s="121">
        <f t="shared" si="154"/>
        <v>37</v>
      </c>
      <c r="FJ193" s="144">
        <f t="shared" si="125"/>
        <v>0.15064935064935064</v>
      </c>
      <c r="FK193" s="132">
        <f t="shared" si="126"/>
        <v>0</v>
      </c>
      <c r="FL193" s="115">
        <f t="shared" si="126"/>
        <v>2</v>
      </c>
      <c r="FM193" s="115">
        <f t="shared" si="126"/>
        <v>2</v>
      </c>
      <c r="FN193" s="115">
        <f t="shared" si="126"/>
        <v>2</v>
      </c>
      <c r="FO193" s="115">
        <f t="shared" si="150"/>
        <v>0</v>
      </c>
      <c r="FP193" s="115">
        <f t="shared" si="150"/>
        <v>0</v>
      </c>
      <c r="FQ193" s="149">
        <f t="shared" si="150"/>
        <v>-0.33440000000000047</v>
      </c>
      <c r="FR193" s="142">
        <f t="shared" si="148"/>
        <v>-0.40000000000000036</v>
      </c>
      <c r="FS193" s="119">
        <f t="shared" si="148"/>
        <v>0</v>
      </c>
      <c r="FT193" s="121">
        <f t="shared" si="148"/>
        <v>6.1999999999999993</v>
      </c>
      <c r="FU193" s="121">
        <f t="shared" si="127"/>
        <v>-6</v>
      </c>
      <c r="FV193" s="121">
        <f t="shared" si="127"/>
        <v>5.8000000000000007</v>
      </c>
      <c r="FW193" s="121">
        <f t="shared" si="128"/>
        <v>51.55914865533731</v>
      </c>
      <c r="FX193" s="121">
        <f t="shared" si="129"/>
        <v>-3</v>
      </c>
      <c r="FY193" s="144">
        <f t="shared" si="129"/>
        <v>-1.1512811512811527E-2</v>
      </c>
      <c r="FZ193" s="145"/>
      <c r="GA193" s="151" t="s">
        <v>950</v>
      </c>
      <c r="GB193" s="145"/>
      <c r="GC193" s="151" t="s">
        <v>387</v>
      </c>
      <c r="GD193" s="997" t="s">
        <v>238</v>
      </c>
      <c r="GE193" s="1004"/>
      <c r="GF193" s="1004">
        <v>0</v>
      </c>
      <c r="GG193" s="1004"/>
      <c r="GH193" s="1004">
        <v>0</v>
      </c>
      <c r="GI193" s="145"/>
      <c r="GJ193" s="996">
        <v>0</v>
      </c>
      <c r="GK193" s="145" t="s">
        <v>199</v>
      </c>
      <c r="GL193" s="996">
        <v>1.6720000000000006</v>
      </c>
      <c r="GM193" s="1005" t="s">
        <v>199</v>
      </c>
      <c r="GN193" s="996">
        <v>-4.3639200000000002</v>
      </c>
      <c r="GO193" s="1006"/>
      <c r="GP193" s="996">
        <v>0</v>
      </c>
      <c r="GQ193" s="1006"/>
      <c r="GR193" s="996">
        <v>0</v>
      </c>
      <c r="GS193" s="1006"/>
      <c r="GT193" s="996">
        <v>0</v>
      </c>
      <c r="GU193" s="1006"/>
      <c r="GV193" s="996">
        <v>-0.98647999999999847</v>
      </c>
      <c r="GW193" s="1006"/>
      <c r="GX193" s="1049">
        <v>0</v>
      </c>
      <c r="GY193" s="1006"/>
      <c r="GZ193" s="996">
        <v>0.50159999999999805</v>
      </c>
      <c r="HA193" s="1006" t="s">
        <v>199</v>
      </c>
      <c r="HB193" s="996">
        <v>5.8624500000000008</v>
      </c>
      <c r="HC193" s="1006"/>
      <c r="HD193" s="996">
        <v>0</v>
      </c>
      <c r="HE193" s="1006"/>
      <c r="HF193" s="996">
        <v>0</v>
      </c>
      <c r="HG193" s="1006"/>
      <c r="HH193" s="996">
        <v>0</v>
      </c>
      <c r="HI193" s="1006"/>
      <c r="HJ193" s="996">
        <v>0.58812599999999993</v>
      </c>
      <c r="HK193" s="1006" t="s">
        <v>204</v>
      </c>
      <c r="HL193" s="996">
        <v>-7.1193760000000017</v>
      </c>
      <c r="HM193" s="1006"/>
      <c r="HN193" s="996">
        <v>0</v>
      </c>
      <c r="HO193" s="1006"/>
      <c r="HP193" s="996">
        <v>0</v>
      </c>
      <c r="HQ193" s="1006"/>
      <c r="HR193" s="996">
        <v>0.5016000000000016</v>
      </c>
      <c r="HS193" s="1006" t="s">
        <v>199</v>
      </c>
      <c r="HT193" s="996">
        <v>5.016</v>
      </c>
      <c r="HU193" s="1006"/>
      <c r="HV193" s="996">
        <v>0</v>
      </c>
      <c r="HW193" s="1006"/>
      <c r="HX193" s="996">
        <v>0.83599999999999941</v>
      </c>
      <c r="HY193" s="1006"/>
      <c r="HZ193" s="996">
        <v>0</v>
      </c>
      <c r="IA193" s="1006"/>
      <c r="IB193" s="996">
        <v>-0.41799999999999926</v>
      </c>
      <c r="IC193" s="1006"/>
      <c r="ID193" s="996">
        <v>-0.16720000000000024</v>
      </c>
      <c r="IE193" s="1006" t="s">
        <v>199</v>
      </c>
      <c r="IF193" s="996">
        <v>1.4527171999999995</v>
      </c>
      <c r="IG193" s="1006"/>
      <c r="IH193" s="996">
        <v>0</v>
      </c>
      <c r="II193" s="1006"/>
      <c r="IJ193" s="996">
        <v>-0.2802439200000002</v>
      </c>
      <c r="IK193" s="1006"/>
      <c r="IL193" s="996">
        <v>0</v>
      </c>
      <c r="IM193" s="1006" t="s">
        <v>199</v>
      </c>
      <c r="IN193" s="996">
        <v>-2.0946648800000007</v>
      </c>
      <c r="IO193" s="1006" t="s">
        <v>199</v>
      </c>
      <c r="IP193" s="996">
        <v>2.5205792920000016</v>
      </c>
      <c r="IQ193" s="1006" t="s">
        <v>204</v>
      </c>
      <c r="IR193" s="996">
        <v>-1.6752996920000003</v>
      </c>
      <c r="IS193" s="1006"/>
      <c r="IT193" s="996">
        <v>0</v>
      </c>
      <c r="IU193" s="1006"/>
      <c r="IV193" s="996">
        <v>0</v>
      </c>
      <c r="IW193" s="1006"/>
      <c r="IX193" s="996">
        <v>0</v>
      </c>
      <c r="IY193" s="1006"/>
      <c r="IZ193" s="996">
        <v>0</v>
      </c>
      <c r="JA193" s="1006"/>
      <c r="JB193" s="996">
        <v>0.55003783999999989</v>
      </c>
      <c r="JC193" s="1006"/>
      <c r="JD193" s="996">
        <v>0</v>
      </c>
      <c r="JE193" s="1006"/>
      <c r="JF193" s="996">
        <v>0</v>
      </c>
      <c r="JG193" s="1006"/>
      <c r="JH193" s="996">
        <v>0</v>
      </c>
      <c r="JI193" s="1006"/>
      <c r="JJ193" s="996">
        <v>0</v>
      </c>
      <c r="JK193" s="1007"/>
      <c r="JL193" s="1007">
        <v>0</v>
      </c>
      <c r="JM193" s="1007" t="s">
        <v>199</v>
      </c>
      <c r="JN193" s="1007">
        <v>0.86447416000000032</v>
      </c>
      <c r="JO193" s="1008"/>
      <c r="JP193" s="1007">
        <v>0</v>
      </c>
      <c r="JQ193" s="1008">
        <v>0</v>
      </c>
      <c r="JR193" s="1007">
        <v>0</v>
      </c>
      <c r="JS193" s="1008" t="s">
        <v>204</v>
      </c>
      <c r="JT193" s="1007">
        <v>-1.5884</v>
      </c>
      <c r="JU193" s="1008" t="s">
        <v>223</v>
      </c>
      <c r="JV193" s="1007">
        <v>-3.4809367999999985</v>
      </c>
      <c r="JW193" s="1008" t="s">
        <v>197</v>
      </c>
      <c r="JX193" s="1007">
        <v>0</v>
      </c>
      <c r="JY193" s="1008" t="s">
        <v>240</v>
      </c>
      <c r="JZ193" s="1007">
        <v>3.4283824959999993</v>
      </c>
      <c r="KA193" s="1008"/>
      <c r="KB193" s="1007">
        <v>0</v>
      </c>
      <c r="KC193" s="1008" t="s">
        <v>240</v>
      </c>
      <c r="KD193" s="1007">
        <v>-4.1061276959999997</v>
      </c>
      <c r="KE193" s="1008"/>
      <c r="KF193" s="1007">
        <v>0</v>
      </c>
      <c r="KG193" s="1008"/>
      <c r="KH193" s="1007">
        <v>0</v>
      </c>
      <c r="KI193" s="1008"/>
      <c r="KJ193" s="1007">
        <v>0</v>
      </c>
      <c r="KK193" s="1008"/>
      <c r="KL193" s="1007">
        <v>0</v>
      </c>
      <c r="KM193" s="1008"/>
      <c r="KN193" s="1007">
        <v>0</v>
      </c>
      <c r="KO193" s="1008"/>
      <c r="KP193" s="1007">
        <v>0</v>
      </c>
      <c r="KQ193" s="1008">
        <v>0</v>
      </c>
      <c r="KR193" s="1007">
        <v>0</v>
      </c>
      <c r="KS193" s="1008">
        <v>0</v>
      </c>
      <c r="KT193" s="1007">
        <v>0</v>
      </c>
      <c r="KU193" s="1008">
        <v>0</v>
      </c>
      <c r="KV193" s="1007">
        <v>0</v>
      </c>
      <c r="KW193" s="1008">
        <v>0</v>
      </c>
      <c r="KX193" s="1007">
        <v>0</v>
      </c>
      <c r="KY193" s="1008" t="s">
        <v>25</v>
      </c>
      <c r="KZ193" s="1007">
        <v>5.0074727999999986</v>
      </c>
      <c r="LA193" s="1008">
        <v>0</v>
      </c>
      <c r="LB193" s="1007">
        <v>0</v>
      </c>
      <c r="LC193" s="1008">
        <v>0</v>
      </c>
      <c r="LD193" s="1007">
        <v>0</v>
      </c>
      <c r="LE193" s="1008" t="s">
        <v>206</v>
      </c>
      <c r="LF193" s="1007">
        <v>-0.83457880000000095</v>
      </c>
      <c r="LG193" s="1008" t="s">
        <v>206</v>
      </c>
      <c r="LH193" s="1007">
        <v>2.5373640000000002</v>
      </c>
      <c r="LI193" s="1008" t="s">
        <v>204</v>
      </c>
      <c r="LJ193" s="1007">
        <v>-1.4605128999999994</v>
      </c>
      <c r="LK193" s="1008" t="s">
        <v>555</v>
      </c>
      <c r="LL193" s="1007">
        <v>1.4651289999999999</v>
      </c>
      <c r="LM193" s="1008" t="s">
        <v>555</v>
      </c>
      <c r="LN193" s="1007">
        <v>-3.33832</v>
      </c>
      <c r="LO193" s="1008">
        <v>0</v>
      </c>
      <c r="LP193" s="1007">
        <v>0</v>
      </c>
      <c r="LQ193" s="1008">
        <v>0</v>
      </c>
      <c r="LR193" s="1007">
        <v>0</v>
      </c>
      <c r="LS193" s="1008">
        <v>0</v>
      </c>
      <c r="LT193" s="1007">
        <v>0</v>
      </c>
      <c r="LU193" s="1008">
        <v>0</v>
      </c>
      <c r="LV193" s="1007">
        <v>0</v>
      </c>
      <c r="LW193" s="1008">
        <v>0</v>
      </c>
      <c r="LX193" s="1007">
        <v>0</v>
      </c>
      <c r="LY193" s="1009">
        <v>0</v>
      </c>
      <c r="LZ193" s="1010">
        <v>0</v>
      </c>
      <c r="MA193" s="1011">
        <v>0</v>
      </c>
      <c r="MB193" s="1012">
        <v>1.6691575999999984</v>
      </c>
      <c r="MC193" s="995"/>
      <c r="MD193" s="996"/>
      <c r="ME193" s="997" t="s">
        <v>238</v>
      </c>
      <c r="MF193" s="997"/>
      <c r="MG193" s="998"/>
      <c r="NR193" s="1000"/>
      <c r="NS193" s="1000"/>
      <c r="NT193" s="1001"/>
      <c r="NU193" s="1000"/>
      <c r="NV193" s="1001"/>
      <c r="NX193" s="1002"/>
      <c r="NZ193" s="1001"/>
      <c r="OA193" s="1001"/>
      <c r="OC193" s="1003"/>
      <c r="OD193" s="1003"/>
      <c r="OE193" s="1001"/>
      <c r="OF193" s="1003"/>
      <c r="OG193" s="1003"/>
      <c r="QX193" s="1000">
        <f>CN193-CA193</f>
        <v>18</v>
      </c>
      <c r="ASU193" s="999" t="s">
        <v>208</v>
      </c>
    </row>
    <row r="194" spans="1:466 1191:1191" ht="21" customHeight="1" x14ac:dyDescent="0.25">
      <c r="A194" s="982">
        <f t="shared" si="104"/>
        <v>1093</v>
      </c>
      <c r="B194" s="124">
        <f>SUBTOTAL(103,$J$29:J194)</f>
        <v>166</v>
      </c>
      <c r="C194" s="126">
        <v>45068</v>
      </c>
      <c r="D194" s="124" t="s">
        <v>176</v>
      </c>
      <c r="E194" s="127" t="s">
        <v>177</v>
      </c>
      <c r="F194" s="128" t="s">
        <v>177</v>
      </c>
      <c r="G194" s="127" t="s">
        <v>178</v>
      </c>
      <c r="H194" s="127" t="s">
        <v>179</v>
      </c>
      <c r="I194" s="127" t="s">
        <v>921</v>
      </c>
      <c r="J194" s="152">
        <v>1093</v>
      </c>
      <c r="K194" s="127" t="s">
        <v>951</v>
      </c>
      <c r="L194" s="130">
        <v>40231</v>
      </c>
      <c r="M194" s="127" t="s">
        <v>230</v>
      </c>
      <c r="N194" s="127" t="s">
        <v>245</v>
      </c>
      <c r="O194" s="127" t="s">
        <v>185</v>
      </c>
      <c r="P194" s="127" t="s">
        <v>292</v>
      </c>
      <c r="Q194" s="85" t="str">
        <f t="shared" si="133"/>
        <v/>
      </c>
      <c r="R194" s="130"/>
      <c r="S194" s="128" t="s">
        <v>156</v>
      </c>
      <c r="T194" s="131"/>
      <c r="U194" s="132">
        <v>203</v>
      </c>
      <c r="V194" s="121">
        <v>218.2</v>
      </c>
      <c r="W194" s="116">
        <v>0.98</v>
      </c>
      <c r="X194" s="116">
        <v>1.66</v>
      </c>
      <c r="Y194" s="116">
        <f t="shared" si="137"/>
        <v>0.98281820159010158</v>
      </c>
      <c r="Z194" s="133">
        <v>1.454</v>
      </c>
      <c r="AA194" s="133">
        <v>0.83599999999999997</v>
      </c>
      <c r="AB194" s="133">
        <v>0.72</v>
      </c>
      <c r="AC194" s="121">
        <v>34.299999999999997</v>
      </c>
      <c r="AD194" s="134">
        <v>1.17</v>
      </c>
      <c r="AE194" s="124">
        <v>139.69999999999999</v>
      </c>
      <c r="AF194" s="128">
        <v>7.72</v>
      </c>
      <c r="AG194" s="128">
        <v>1918</v>
      </c>
      <c r="AH194" s="127">
        <v>2433</v>
      </c>
      <c r="AI194" s="127">
        <v>2433</v>
      </c>
      <c r="AJ194" s="135"/>
      <c r="AK194" s="128"/>
      <c r="AL194" s="131"/>
      <c r="AM194" s="124" t="s">
        <v>232</v>
      </c>
      <c r="AN194" s="136" t="s">
        <v>952</v>
      </c>
      <c r="AO194" s="137">
        <v>25</v>
      </c>
      <c r="AP194" s="128">
        <v>1918</v>
      </c>
      <c r="AQ194" s="128">
        <v>11.4</v>
      </c>
      <c r="AR194" s="128"/>
      <c r="AS194" s="128"/>
      <c r="AT194" s="122"/>
      <c r="AU194" s="124" t="s">
        <v>189</v>
      </c>
      <c r="AV194" s="115">
        <f>VLOOKUP(J194,'[63]ТР нефть'!$J$28:$BP$638,39,0)</f>
        <v>599.99999062500001</v>
      </c>
      <c r="AW194" s="115" t="str">
        <f>VLOOKUP(J194,'[63]ТР нефть'!$J$28:$BP$638,40,0)</f>
        <v>ГП</v>
      </c>
      <c r="AX194" s="115">
        <f>VLOOKUP(J194,'[63]ТР нефть'!$J$28:$BP$638,41,0)</f>
        <v>1199.99998125</v>
      </c>
      <c r="AY194" s="115" t="str">
        <f>VLOOKUP(J194,'[63]ТР нефть'!$J$28:$BP$638,42,0)</f>
        <v>ГК 75 1/8</v>
      </c>
      <c r="AZ194" s="115">
        <f>VLOOKUP(J194,'[63]ТР нефть'!$J$28:$BP$638,43,0)</f>
        <v>1703.000050781</v>
      </c>
      <c r="BA194" s="115" t="str">
        <f>VLOOKUP(J194,'[63]ТР нефть'!$J$28:$BP$638,44,0)</f>
        <v>ЦКсОК 5/16</v>
      </c>
      <c r="BB194" s="115" t="str">
        <f>VLOOKUP(J194,'[63]ТР нефть'!$J$28:$BP$638,45,0)</f>
        <v>-</v>
      </c>
      <c r="BC194" s="115" t="str">
        <f>VLOOKUP(J194,'[63]ТР нефть'!$J$28:$BP$638,46,0)</f>
        <v>-</v>
      </c>
      <c r="BD194" s="115" t="str">
        <f>VLOOKUP(J194,'[63]ТР нефть'!$J$28:$BP$638,47,0)</f>
        <v>-</v>
      </c>
      <c r="BE194" s="115" t="str">
        <f>VLOOKUP(J194,'[63]ТР нефть'!$J$28:$BP$638,48,0)</f>
        <v>-</v>
      </c>
      <c r="BF194" s="115" t="str">
        <f>VLOOKUP(J194,'[63]ТР нефть'!$J$28:$BP$638,49,0)</f>
        <v>-</v>
      </c>
      <c r="BG194" s="115" t="str">
        <f>VLOOKUP(J194,'[63]ТР нефть'!$J$28:$BP$638,50,0)</f>
        <v>-</v>
      </c>
      <c r="BH194" s="115">
        <f>VLOOKUP(J194,'[63]ТР нефть'!$J$28:$BP$638,51,0)</f>
        <v>1713</v>
      </c>
      <c r="BI194" s="115" t="str">
        <f>VLOOKUP(J194,'[63]ТР нефть'!$J$28:$BP$638,52,0)</f>
        <v>открыт</v>
      </c>
      <c r="BJ194" s="115" t="str">
        <f>IF(IFERROR(VLOOKUP(J194,'[63]ТР нефть'!$J$28:$BP$638,53,0),"-")=0,"-",IFERROR(VLOOKUP(J194,'[63]ТР нефть'!$J$28:$BP$638,53,0),"-"))</f>
        <v>-</v>
      </c>
      <c r="BK194" s="138" t="str">
        <f>IF(IFERROR(VLOOKUP(J194,'[63]ТР нефть'!$J$28:$BP$638,54,0),"-")=0,"-",IFERROR(VLOOKUP(J194,'[63]ТР нефть'!$J$28:$BP$638,54,0),"-"))</f>
        <v>-</v>
      </c>
      <c r="BL194" s="138" t="str">
        <f>IF(IFERROR(VLOOKUP(J194,'[63]ТР нефть'!$J$28:$BP$638,55,0),"-")=0,"-",IFERROR(VLOOKUP(J194,'[63]ТР нефть'!$J$28:$BP$638,55,0),"-"))</f>
        <v>-</v>
      </c>
      <c r="BM194" s="138" t="str">
        <f>IF(IFERROR(VLOOKUP(J194,'[63]ТР нефть'!$J$28:$BP$638,56,0),"-")=0,"-",IFERROR(VLOOKUP(J194,'[63]ТР нефть'!$J$28:$BP$638,56,0),"-"))</f>
        <v>-</v>
      </c>
      <c r="BN194" s="138" t="str">
        <f>IF(IFERROR(VLOOKUP(J194,'[63]ТР нефть'!$J$28:$BP$638,57,0),"-")=0,"-",IFERROR(VLOOKUP(J194,'[63]ТР нефть'!$J$28:$BP$638,57,0),"-"))</f>
        <v>-</v>
      </c>
      <c r="BO194" s="115" t="str">
        <f>IF(IFERROR(VLOOKUP(J194,'[63]ТР нефть'!$J$28:$BP$638,58,0),"-")=0,"-",IFERROR(VLOOKUP(J194,'[63]ТР нефть'!$J$28:$BP$638,58,0),"-"))</f>
        <v>-</v>
      </c>
      <c r="BP194" s="115" t="str">
        <f>IF(IFERROR(VLOOKUP(J194,'[63]ТР нефть'!$J$28:$BP$638,59,0),"-")=0,"-",IFERROR(VLOOKUP(J194,'[63]ТР нефть'!$J$28:$BP$638,59,0),"-"))</f>
        <v>-</v>
      </c>
      <c r="BQ194" s="138">
        <v>1900</v>
      </c>
      <c r="BR194" s="128">
        <v>1885.12</v>
      </c>
      <c r="BS194" s="115">
        <f t="shared" si="105"/>
        <v>14.880000000000109</v>
      </c>
      <c r="BT194" s="128">
        <v>73</v>
      </c>
      <c r="BU194" s="128">
        <v>5.5</v>
      </c>
      <c r="BV194" s="127">
        <v>18</v>
      </c>
      <c r="BW194" s="127" t="s">
        <v>217</v>
      </c>
      <c r="BX194" s="127" t="s">
        <v>195</v>
      </c>
      <c r="BY194" s="139">
        <v>24</v>
      </c>
      <c r="BZ194" s="139">
        <v>0</v>
      </c>
      <c r="CA194" s="138">
        <v>25</v>
      </c>
      <c r="CB194" s="138">
        <v>37</v>
      </c>
      <c r="CC194" s="138">
        <v>24</v>
      </c>
      <c r="CD194" s="135">
        <v>45017</v>
      </c>
      <c r="CE194" s="138">
        <v>79</v>
      </c>
      <c r="CF194" s="138">
        <v>70</v>
      </c>
      <c r="CG194" s="138" t="str">
        <f t="shared" si="153"/>
        <v>В работе</v>
      </c>
      <c r="CH194" s="138" t="s">
        <v>196</v>
      </c>
      <c r="CI194" s="138">
        <v>6</v>
      </c>
      <c r="CJ194" s="139"/>
      <c r="CK194" s="139">
        <f t="shared" ref="CK194:CK257" si="157">CN194-CA194</f>
        <v>20</v>
      </c>
      <c r="CL194" s="99"/>
      <c r="CM194" s="202"/>
      <c r="CN194" s="140">
        <v>45</v>
      </c>
      <c r="CO194" s="141">
        <f t="shared" si="106"/>
        <v>8.719874592</v>
      </c>
      <c r="CP194" s="142">
        <v>10.504</v>
      </c>
      <c r="CQ194" s="143">
        <v>0.7</v>
      </c>
      <c r="CR194" s="138">
        <v>22</v>
      </c>
      <c r="CS194" s="139">
        <v>7.2</v>
      </c>
      <c r="CT194" s="138"/>
      <c r="CU194" s="138">
        <f t="shared" si="134"/>
        <v>14.8</v>
      </c>
      <c r="CV194" s="115">
        <f t="shared" si="135"/>
        <v>1697.272115997881</v>
      </c>
      <c r="CW194" s="115">
        <f t="shared" si="109"/>
        <v>817.71534725833146</v>
      </c>
      <c r="CX194" s="133">
        <f t="shared" si="136"/>
        <v>0.30894117647058822</v>
      </c>
      <c r="CY194" s="116"/>
      <c r="CZ194" s="131"/>
      <c r="DA194" s="145" t="str">
        <f t="shared" si="111"/>
        <v>Газлифт</v>
      </c>
      <c r="DB194" s="146">
        <f t="shared" si="112"/>
        <v>8.719874592</v>
      </c>
      <c r="DC194" s="142">
        <f t="shared" si="151"/>
        <v>10.504</v>
      </c>
      <c r="DD194" s="119">
        <f t="shared" si="152"/>
        <v>0.7</v>
      </c>
      <c r="DE194" s="115">
        <f t="shared" si="115"/>
        <v>14.8</v>
      </c>
      <c r="DF194" s="121">
        <f t="shared" si="116"/>
        <v>7.2</v>
      </c>
      <c r="DG194" s="115">
        <f t="shared" si="117"/>
        <v>1697.272115997881</v>
      </c>
      <c r="DH194" s="115">
        <f t="shared" si="118"/>
        <v>45</v>
      </c>
      <c r="DI194" s="147"/>
      <c r="DJ194" s="111">
        <v>43531</v>
      </c>
      <c r="DK194" s="112">
        <v>41470</v>
      </c>
      <c r="DL194" s="113">
        <f t="shared" ca="1" si="138"/>
        <v>3634</v>
      </c>
      <c r="DM194" s="114"/>
      <c r="DN194" s="114"/>
      <c r="DO194" s="114"/>
      <c r="DP194" s="114"/>
      <c r="DQ194" s="112">
        <v>42864</v>
      </c>
      <c r="DR194" s="114" t="s">
        <v>198</v>
      </c>
      <c r="DS194" s="114"/>
      <c r="DT194" s="115">
        <v>48</v>
      </c>
      <c r="DU194" s="116">
        <f t="shared" si="139"/>
        <v>0.33883870967741936</v>
      </c>
      <c r="DV194" s="117">
        <f t="shared" si="140"/>
        <v>8.719874592</v>
      </c>
      <c r="DW194" s="118">
        <f t="shared" si="141"/>
        <v>10.504</v>
      </c>
      <c r="DX194" s="119">
        <f t="shared" si="119"/>
        <v>0.7</v>
      </c>
      <c r="DY194" s="115">
        <f t="shared" si="142"/>
        <v>14.799999999999999</v>
      </c>
      <c r="DZ194" s="117">
        <f t="shared" si="143"/>
        <v>0</v>
      </c>
      <c r="EA194" s="120">
        <f t="shared" si="143"/>
        <v>0</v>
      </c>
      <c r="EB194" s="119">
        <f t="shared" si="143"/>
        <v>0</v>
      </c>
      <c r="EC194" s="121">
        <f t="shared" si="144"/>
        <v>0</v>
      </c>
      <c r="ED194" s="122"/>
      <c r="EE194" s="145">
        <v>18</v>
      </c>
      <c r="EF194" s="115">
        <v>26</v>
      </c>
      <c r="EG194" s="115">
        <v>38</v>
      </c>
      <c r="EH194" s="115">
        <v>25</v>
      </c>
      <c r="EI194" s="128" t="s">
        <v>195</v>
      </c>
      <c r="EJ194" s="121">
        <v>24</v>
      </c>
      <c r="EK194" s="121">
        <v>0</v>
      </c>
      <c r="EL194" s="149">
        <v>8.719874592</v>
      </c>
      <c r="EM194" s="142">
        <v>10.504</v>
      </c>
      <c r="EN194" s="119">
        <v>0.7</v>
      </c>
      <c r="EO194" s="115">
        <v>22</v>
      </c>
      <c r="EP194" s="115">
        <v>1697.272115997881</v>
      </c>
      <c r="EQ194" s="115">
        <v>70</v>
      </c>
      <c r="ER194" s="115">
        <v>7.2</v>
      </c>
      <c r="ES194" s="115">
        <v>45</v>
      </c>
      <c r="ET194" s="150">
        <v>0.30894117647058822</v>
      </c>
      <c r="EU194" s="145">
        <f t="shared" si="120"/>
        <v>18</v>
      </c>
      <c r="EV194" s="115">
        <f t="shared" si="121"/>
        <v>25</v>
      </c>
      <c r="EW194" s="115">
        <f t="shared" si="121"/>
        <v>37</v>
      </c>
      <c r="EX194" s="115">
        <f t="shared" si="121"/>
        <v>24</v>
      </c>
      <c r="EY194" s="115" t="str">
        <f t="shared" si="156"/>
        <v>Постоянный</v>
      </c>
      <c r="EZ194" s="115">
        <f t="shared" si="155"/>
        <v>24</v>
      </c>
      <c r="FA194" s="115">
        <f t="shared" si="155"/>
        <v>0</v>
      </c>
      <c r="FB194" s="149">
        <f t="shared" si="123"/>
        <v>8.719874592</v>
      </c>
      <c r="FC194" s="142">
        <f t="shared" si="123"/>
        <v>10.504</v>
      </c>
      <c r="FD194" s="119">
        <f t="shared" si="123"/>
        <v>0.7</v>
      </c>
      <c r="FE194" s="121">
        <f t="shared" si="103"/>
        <v>22</v>
      </c>
      <c r="FF194" s="121">
        <f t="shared" si="145"/>
        <v>1697.272115997881</v>
      </c>
      <c r="FG194" s="121">
        <f t="shared" si="124"/>
        <v>70</v>
      </c>
      <c r="FH194" s="121">
        <f t="shared" si="146"/>
        <v>7.2</v>
      </c>
      <c r="FI194" s="121">
        <f t="shared" si="154"/>
        <v>45</v>
      </c>
      <c r="FJ194" s="144">
        <f t="shared" si="125"/>
        <v>0.30894117647058822</v>
      </c>
      <c r="FK194" s="132">
        <f t="shared" si="126"/>
        <v>0</v>
      </c>
      <c r="FL194" s="115">
        <f t="shared" si="126"/>
        <v>-1</v>
      </c>
      <c r="FM194" s="115">
        <f t="shared" si="126"/>
        <v>-1</v>
      </c>
      <c r="FN194" s="115">
        <f t="shared" si="126"/>
        <v>-1</v>
      </c>
      <c r="FO194" s="115">
        <f t="shared" si="150"/>
        <v>0</v>
      </c>
      <c r="FP194" s="115">
        <f t="shared" si="150"/>
        <v>0</v>
      </c>
      <c r="FQ194" s="149">
        <f t="shared" si="150"/>
        <v>0</v>
      </c>
      <c r="FR194" s="142">
        <f t="shared" si="148"/>
        <v>0</v>
      </c>
      <c r="FS194" s="119">
        <f t="shared" si="148"/>
        <v>0</v>
      </c>
      <c r="FT194" s="121">
        <f t="shared" si="148"/>
        <v>0</v>
      </c>
      <c r="FU194" s="121">
        <f t="shared" si="127"/>
        <v>0</v>
      </c>
      <c r="FV194" s="121">
        <f t="shared" si="127"/>
        <v>0</v>
      </c>
      <c r="FW194" s="121">
        <f t="shared" si="128"/>
        <v>0</v>
      </c>
      <c r="FX194" s="121">
        <f t="shared" si="129"/>
        <v>0</v>
      </c>
      <c r="FY194" s="144">
        <f t="shared" si="129"/>
        <v>0</v>
      </c>
      <c r="FZ194" s="145"/>
      <c r="GA194" s="151"/>
      <c r="GB194" s="145"/>
      <c r="GC194" s="151"/>
      <c r="GD194" s="997" t="s">
        <v>220</v>
      </c>
      <c r="GE194" s="1004"/>
      <c r="GF194" s="1004">
        <v>-6.1469407999998893E-2</v>
      </c>
      <c r="GG194" s="1004"/>
      <c r="GH194" s="1004">
        <v>0</v>
      </c>
      <c r="GI194" s="145"/>
      <c r="GJ194" s="996">
        <v>0</v>
      </c>
      <c r="GK194" s="145"/>
      <c r="GL194" s="996">
        <v>0</v>
      </c>
      <c r="GM194" s="1005"/>
      <c r="GN194" s="996">
        <v>0</v>
      </c>
      <c r="GO194" s="1006"/>
      <c r="GP194" s="996">
        <v>-0.38608820800000032</v>
      </c>
      <c r="GQ194" s="1006"/>
      <c r="GR194" s="996">
        <v>0</v>
      </c>
      <c r="GS194" s="1006"/>
      <c r="GT194" s="996">
        <v>0</v>
      </c>
      <c r="GU194" s="1006"/>
      <c r="GV194" s="996">
        <v>0</v>
      </c>
      <c r="GW194" s="1006"/>
      <c r="GX194" s="1036">
        <v>0</v>
      </c>
      <c r="GY194" s="1006"/>
      <c r="GZ194" s="996">
        <v>0</v>
      </c>
      <c r="HA194" s="1006" t="s">
        <v>199</v>
      </c>
      <c r="HB194" s="996">
        <v>2.9810322079999994</v>
      </c>
      <c r="HC194" s="1006"/>
      <c r="HD194" s="996">
        <v>0</v>
      </c>
      <c r="HE194" s="1006"/>
      <c r="HF194" s="996">
        <v>0</v>
      </c>
      <c r="HG194" s="1006"/>
      <c r="HH194" s="996">
        <v>0</v>
      </c>
      <c r="HI194" s="1006"/>
      <c r="HJ194" s="996">
        <v>-0.91959999999999997</v>
      </c>
      <c r="HK194" s="1006"/>
      <c r="HL194" s="996">
        <v>0</v>
      </c>
      <c r="HM194" s="1006"/>
      <c r="HN194" s="996">
        <v>0.8192800000000009</v>
      </c>
      <c r="HO194" s="1006"/>
      <c r="HP194" s="996">
        <v>0</v>
      </c>
      <c r="HQ194" s="1006"/>
      <c r="HR194" s="996">
        <v>0</v>
      </c>
      <c r="HS194" s="1006"/>
      <c r="HT194" s="996">
        <v>0</v>
      </c>
      <c r="HU194" s="1006"/>
      <c r="HV194" s="996">
        <v>0</v>
      </c>
      <c r="HW194" s="1006" t="s">
        <v>199</v>
      </c>
      <c r="HX194" s="996">
        <v>2.1067199999999993</v>
      </c>
      <c r="HY194" s="1006" t="s">
        <v>241</v>
      </c>
      <c r="HZ194" s="996">
        <v>-4.139035999999999</v>
      </c>
      <c r="IA194" s="1006"/>
      <c r="IB194" s="996">
        <v>0</v>
      </c>
      <c r="IC194" s="1006"/>
      <c r="ID194" s="996">
        <v>0</v>
      </c>
      <c r="IE194" s="1006"/>
      <c r="IF194" s="996">
        <v>0</v>
      </c>
      <c r="IG194" s="1006"/>
      <c r="IH194" s="996">
        <v>0</v>
      </c>
      <c r="II194" s="1006"/>
      <c r="IJ194" s="996">
        <v>0</v>
      </c>
      <c r="IK194" s="1006"/>
      <c r="IL194" s="996">
        <v>0</v>
      </c>
      <c r="IM194" s="1006" t="s">
        <v>199</v>
      </c>
      <c r="IN194" s="996">
        <v>0.79503599999999874</v>
      </c>
      <c r="IO194" s="1006"/>
      <c r="IP194" s="996">
        <v>0</v>
      </c>
      <c r="IQ194" s="1006"/>
      <c r="IR194" s="996">
        <v>0</v>
      </c>
      <c r="IS194" s="1006"/>
      <c r="IT194" s="996">
        <v>0</v>
      </c>
      <c r="IU194" s="1006"/>
      <c r="IV194" s="996">
        <v>0</v>
      </c>
      <c r="IW194" s="1006"/>
      <c r="IX194" s="996">
        <v>0</v>
      </c>
      <c r="IY194" s="1006"/>
      <c r="IZ194" s="996">
        <v>0</v>
      </c>
      <c r="JA194" s="1006" t="s">
        <v>199</v>
      </c>
      <c r="JB194" s="996">
        <v>2.6835599999999999</v>
      </c>
      <c r="JC194" s="1006"/>
      <c r="JD194" s="996">
        <v>0</v>
      </c>
      <c r="JE194" s="1006"/>
      <c r="JF194" s="996">
        <v>-1.0115599999999993</v>
      </c>
      <c r="JG194" s="1006"/>
      <c r="JH194" s="996">
        <v>0</v>
      </c>
      <c r="JI194" s="1006" t="s">
        <v>199</v>
      </c>
      <c r="JJ194" s="996">
        <v>3.3439999999999994</v>
      </c>
      <c r="JK194" s="1007" t="s">
        <v>199</v>
      </c>
      <c r="JL194" s="1007">
        <v>-2.09</v>
      </c>
      <c r="JM194" s="1007"/>
      <c r="JN194" s="1007">
        <v>0.45979999999999954</v>
      </c>
      <c r="JO194" s="1008" t="s">
        <v>199</v>
      </c>
      <c r="JP194" s="1007">
        <v>-2.8868417599999994</v>
      </c>
      <c r="JQ194" s="1008">
        <v>0</v>
      </c>
      <c r="JR194" s="1007">
        <v>0</v>
      </c>
      <c r="JS194" s="1008">
        <v>0</v>
      </c>
      <c r="JT194" s="1007">
        <v>0</v>
      </c>
      <c r="JU194" s="1008"/>
      <c r="JV194" s="1007">
        <v>0</v>
      </c>
      <c r="JW194" s="1008" t="s">
        <v>199</v>
      </c>
      <c r="JX194" s="1007">
        <v>-2.9868942399999989</v>
      </c>
      <c r="JY194" s="1008"/>
      <c r="JZ194" s="1007">
        <v>0</v>
      </c>
      <c r="KA194" s="1008"/>
      <c r="KB194" s="1007">
        <v>0</v>
      </c>
      <c r="KC194" s="1008" t="s">
        <v>206</v>
      </c>
      <c r="KD194" s="1007">
        <v>-6.6746240000000014</v>
      </c>
      <c r="KE194" s="1008" t="s">
        <v>204</v>
      </c>
      <c r="KF194" s="1007">
        <v>6.6746240000000014</v>
      </c>
      <c r="KG194" s="1008"/>
      <c r="KH194" s="1007">
        <v>0</v>
      </c>
      <c r="KI194" s="1008"/>
      <c r="KJ194" s="1007">
        <v>0</v>
      </c>
      <c r="KK194" s="1008"/>
      <c r="KL194" s="1007">
        <v>0</v>
      </c>
      <c r="KM194" s="1008"/>
      <c r="KN194" s="1007">
        <v>0</v>
      </c>
      <c r="KO194" s="1008"/>
      <c r="KP194" s="1007">
        <v>0</v>
      </c>
      <c r="KQ194" s="1008">
        <v>0</v>
      </c>
      <c r="KR194" s="1007">
        <v>0</v>
      </c>
      <c r="KS194" s="1008">
        <v>0</v>
      </c>
      <c r="KT194" s="1007">
        <v>-0.33373120000000078</v>
      </c>
      <c r="KU194" s="1008" t="s">
        <v>206</v>
      </c>
      <c r="KV194" s="1007">
        <v>0.75089519999999865</v>
      </c>
      <c r="KW194" s="1008">
        <v>0</v>
      </c>
      <c r="KX194" s="1007">
        <v>0</v>
      </c>
      <c r="KY194" s="1008">
        <v>0</v>
      </c>
      <c r="KZ194" s="1007">
        <v>0</v>
      </c>
      <c r="LA194" s="1008" t="s">
        <v>204</v>
      </c>
      <c r="LB194" s="1007">
        <v>0.69249224000000176</v>
      </c>
      <c r="LC194" s="1008" t="s">
        <v>223</v>
      </c>
      <c r="LD194" s="1007">
        <v>-2.4696108800000012</v>
      </c>
      <c r="LE194" s="1008" t="s">
        <v>314</v>
      </c>
      <c r="LF194" s="1007">
        <v>-0.60238481600000071</v>
      </c>
      <c r="LG194" s="1008">
        <v>0</v>
      </c>
      <c r="LH194" s="1007">
        <v>0</v>
      </c>
      <c r="LI194" s="1008">
        <v>0</v>
      </c>
      <c r="LJ194" s="1007">
        <v>0</v>
      </c>
      <c r="LK194" s="1008">
        <v>0</v>
      </c>
      <c r="LL194" s="1007">
        <v>0</v>
      </c>
      <c r="LM194" s="1008" t="s">
        <v>206</v>
      </c>
      <c r="LN194" s="1007">
        <v>-2.996</v>
      </c>
      <c r="LO194" s="1008" t="s">
        <v>221</v>
      </c>
      <c r="LP194" s="1007">
        <v>3.224217920000001</v>
      </c>
      <c r="LQ194" s="1008">
        <v>0</v>
      </c>
      <c r="LR194" s="1007">
        <v>0</v>
      </c>
      <c r="LS194" s="1008">
        <v>0</v>
      </c>
      <c r="LT194" s="1007">
        <v>0</v>
      </c>
      <c r="LU194" s="1008" t="s">
        <v>206</v>
      </c>
      <c r="LV194" s="1007">
        <v>-2.4929519999999989</v>
      </c>
      <c r="LW194" s="1008">
        <v>0</v>
      </c>
      <c r="LX194" s="1007">
        <v>0.83983999999999004</v>
      </c>
      <c r="LY194" s="1009" t="s">
        <v>206</v>
      </c>
      <c r="LZ194" s="1010">
        <v>2.6928975999999998</v>
      </c>
      <c r="MA194" s="1011" t="s">
        <v>206</v>
      </c>
      <c r="MB194" s="1012">
        <v>-1.661967999999999</v>
      </c>
      <c r="MC194" s="995"/>
      <c r="MD194" s="996"/>
      <c r="ME194" s="997" t="s">
        <v>220</v>
      </c>
      <c r="MF194" s="997"/>
      <c r="MG194" s="998"/>
      <c r="NR194" s="1000"/>
      <c r="NS194" s="1000"/>
      <c r="NT194" s="1001"/>
      <c r="NU194" s="1000"/>
      <c r="NV194" s="1001"/>
      <c r="NX194" s="1002"/>
      <c r="NZ194" s="1001"/>
      <c r="OA194" s="1001"/>
      <c r="OC194" s="1003"/>
      <c r="OD194" s="1003"/>
      <c r="OE194" s="1001"/>
      <c r="OF194" s="1003"/>
      <c r="OG194" s="1003"/>
      <c r="OH194" s="1003"/>
      <c r="OI194" s="1016"/>
      <c r="QX194" s="1000">
        <f>CN194-CA194</f>
        <v>20</v>
      </c>
      <c r="ASU194" s="999" t="s">
        <v>225</v>
      </c>
    </row>
    <row r="195" spans="1:466 1191:1191" ht="21" customHeight="1" x14ac:dyDescent="0.25">
      <c r="A195" s="982" t="str">
        <f t="shared" si="104"/>
        <v>1093-2</v>
      </c>
      <c r="B195" s="124">
        <f>SUBTOTAL(103,$J$29:J195)</f>
        <v>167</v>
      </c>
      <c r="C195" s="126">
        <v>45068</v>
      </c>
      <c r="D195" s="124" t="s">
        <v>176</v>
      </c>
      <c r="E195" s="127" t="s">
        <v>177</v>
      </c>
      <c r="F195" s="128" t="s">
        <v>177</v>
      </c>
      <c r="G195" s="127" t="s">
        <v>178</v>
      </c>
      <c r="H195" s="127" t="s">
        <v>179</v>
      </c>
      <c r="I195" s="127" t="s">
        <v>921</v>
      </c>
      <c r="J195" s="152" t="s">
        <v>953</v>
      </c>
      <c r="K195" s="127" t="s">
        <v>951</v>
      </c>
      <c r="L195" s="130">
        <v>40474</v>
      </c>
      <c r="M195" s="127" t="s">
        <v>230</v>
      </c>
      <c r="N195" s="127" t="s">
        <v>245</v>
      </c>
      <c r="O195" s="127" t="s">
        <v>185</v>
      </c>
      <c r="P195" s="127" t="s">
        <v>186</v>
      </c>
      <c r="Q195" s="85" t="str">
        <f t="shared" si="133"/>
        <v/>
      </c>
      <c r="R195" s="130"/>
      <c r="S195" s="128" t="s">
        <v>156</v>
      </c>
      <c r="T195" s="131"/>
      <c r="U195" s="132">
        <v>203</v>
      </c>
      <c r="V195" s="121">
        <v>218.2</v>
      </c>
      <c r="W195" s="116">
        <v>0.98</v>
      </c>
      <c r="X195" s="116">
        <v>1.66</v>
      </c>
      <c r="Y195" s="116">
        <f t="shared" si="137"/>
        <v>0.98</v>
      </c>
      <c r="Z195" s="133">
        <v>1.454</v>
      </c>
      <c r="AA195" s="133">
        <v>0.83599999999999997</v>
      </c>
      <c r="AB195" s="133">
        <v>0.72</v>
      </c>
      <c r="AC195" s="121">
        <v>34.299999999999997</v>
      </c>
      <c r="AD195" s="134">
        <v>1.17</v>
      </c>
      <c r="AE195" s="124">
        <v>139.69999999999999</v>
      </c>
      <c r="AF195" s="128">
        <v>7.72</v>
      </c>
      <c r="AG195" s="128">
        <v>1914</v>
      </c>
      <c r="AH195" s="127">
        <v>2500</v>
      </c>
      <c r="AI195" s="127">
        <v>2500</v>
      </c>
      <c r="AJ195" s="135"/>
      <c r="AK195" s="128"/>
      <c r="AL195" s="131"/>
      <c r="AM195" s="124" t="s">
        <v>232</v>
      </c>
      <c r="AN195" s="136" t="s">
        <v>954</v>
      </c>
      <c r="AO195" s="137">
        <v>15.2</v>
      </c>
      <c r="AP195" s="128">
        <v>1914</v>
      </c>
      <c r="AQ195" s="128">
        <v>24.53</v>
      </c>
      <c r="AR195" s="128"/>
      <c r="AS195" s="128"/>
      <c r="AT195" s="122"/>
      <c r="AU195" s="124" t="s">
        <v>189</v>
      </c>
      <c r="AV195" s="115">
        <f>VLOOKUP(J195,'[63]ТР нефть'!$J$28:$BP$638,39,0)</f>
        <v>599.99999062500001</v>
      </c>
      <c r="AW195" s="115" t="str">
        <f>VLOOKUP(J195,'[63]ТР нефть'!$J$28:$BP$638,40,0)</f>
        <v>ГК 78 1/8</v>
      </c>
      <c r="AX195" s="115">
        <f>VLOOKUP(J195,'[63]ТР нефть'!$J$28:$BP$638,41,0)</f>
        <v>1205.0000109380001</v>
      </c>
      <c r="AY195" s="115" t="str">
        <f>VLOOKUP(J195,'[63]ТР нефть'!$J$28:$BP$638,42,0)</f>
        <v>ГК 79 1/8</v>
      </c>
      <c r="AZ195" s="115">
        <f>VLOOKUP(J195,'[63]ТР нефть'!$J$28:$BP$638,43,0)</f>
        <v>1784.000055469</v>
      </c>
      <c r="BA195" s="115" t="str">
        <f>VLOOKUP(J195,'[63]ТР нефть'!$J$28:$BP$638,44,0)</f>
        <v>ЦКсОК 5/16</v>
      </c>
      <c r="BB195" s="115" t="str">
        <f>VLOOKUP(J195,'[63]ТР нефть'!$J$28:$BP$638,45,0)</f>
        <v>-</v>
      </c>
      <c r="BC195" s="115" t="str">
        <f>VLOOKUP(J195,'[63]ТР нефть'!$J$28:$BP$638,46,0)</f>
        <v>-</v>
      </c>
      <c r="BD195" s="115" t="str">
        <f>VLOOKUP(J195,'[63]ТР нефть'!$J$28:$BP$638,47,0)</f>
        <v>-</v>
      </c>
      <c r="BE195" s="115" t="str">
        <f>VLOOKUP(J195,'[63]ТР нефть'!$J$28:$BP$638,48,0)</f>
        <v>-</v>
      </c>
      <c r="BF195" s="115" t="str">
        <f>VLOOKUP(J195,'[63]ТР нефть'!$J$28:$BP$638,49,0)</f>
        <v>-</v>
      </c>
      <c r="BG195" s="115" t="str">
        <f>VLOOKUP(J195,'[63]ТР нефть'!$J$28:$BP$638,50,0)</f>
        <v>-</v>
      </c>
      <c r="BH195" s="115">
        <f>VLOOKUP(J195,'[63]ТР нефть'!$J$28:$BP$638,51,0)</f>
        <v>1795</v>
      </c>
      <c r="BI195" s="115" t="str">
        <f>VLOOKUP(J195,'[63]ТР нефть'!$J$28:$BP$638,52,0)</f>
        <v>закрыт</v>
      </c>
      <c r="BJ195" s="115" t="str">
        <f>IF(IFERROR(VLOOKUP(J195,'[63]ТР нефть'!$J$28:$BP$638,53,0),"-")=0,"-",IFERROR(VLOOKUP(J195,'[63]ТР нефть'!$J$28:$BP$638,53,0),"-"))</f>
        <v>-</v>
      </c>
      <c r="BK195" s="138" t="str">
        <f>IF(IFERROR(VLOOKUP(J195,'[63]ТР нефть'!$J$28:$BP$638,54,0),"-")=0,"-",IFERROR(VLOOKUP(J195,'[63]ТР нефть'!$J$28:$BP$638,54,0),"-"))</f>
        <v>-</v>
      </c>
      <c r="BL195" s="138" t="str">
        <f>IF(IFERROR(VLOOKUP(J195,'[63]ТР нефть'!$J$28:$BP$638,55,0),"-")=0,"-",IFERROR(VLOOKUP(J195,'[63]ТР нефть'!$J$28:$BP$638,55,0),"-"))</f>
        <v>-</v>
      </c>
      <c r="BM195" s="138" t="str">
        <f>IF(IFERROR(VLOOKUP(J195,'[63]ТР нефть'!$J$28:$BP$638,56,0),"-")=0,"-",IFERROR(VLOOKUP(J195,'[63]ТР нефть'!$J$28:$BP$638,56,0),"-"))</f>
        <v>-</v>
      </c>
      <c r="BN195" s="138" t="str">
        <f>IF(IFERROR(VLOOKUP(J195,'[63]ТР нефть'!$J$28:$BP$638,57,0),"-")=0,"-",IFERROR(VLOOKUP(J195,'[63]ТР нефть'!$J$28:$BP$638,57,0),"-"))</f>
        <v>-</v>
      </c>
      <c r="BO195" s="115" t="str">
        <f>IF(IFERROR(VLOOKUP(J195,'[63]ТР нефть'!$J$28:$BP$638,58,0),"-")=0,"-",IFERROR(VLOOKUP(J195,'[63]ТР нефть'!$J$28:$BP$638,58,0),"-"))</f>
        <v>-</v>
      </c>
      <c r="BP195" s="115" t="str">
        <f>IF(IFERROR(VLOOKUP(J195,'[63]ТР нефть'!$J$28:$BP$638,59,0),"-")=0,"-",IFERROR(VLOOKUP(J195,'[63]ТР нефть'!$J$28:$BP$638,59,0),"-"))</f>
        <v>-</v>
      </c>
      <c r="BQ195" s="138">
        <v>2012</v>
      </c>
      <c r="BR195" s="128">
        <v>1836.99</v>
      </c>
      <c r="BS195" s="115">
        <f t="shared" si="105"/>
        <v>175.01</v>
      </c>
      <c r="BT195" s="128">
        <v>73</v>
      </c>
      <c r="BU195" s="128">
        <v>5.5</v>
      </c>
      <c r="BV195" s="127">
        <v>18</v>
      </c>
      <c r="BW195" s="127" t="s">
        <v>217</v>
      </c>
      <c r="BX195" s="127" t="s">
        <v>195</v>
      </c>
      <c r="BY195" s="139">
        <v>24</v>
      </c>
      <c r="BZ195" s="139">
        <v>0</v>
      </c>
      <c r="CA195" s="138">
        <v>24</v>
      </c>
      <c r="CB195" s="138">
        <v>43</v>
      </c>
      <c r="CC195" s="138">
        <v>23</v>
      </c>
      <c r="CD195" s="135">
        <v>45017</v>
      </c>
      <c r="CE195" s="138">
        <v>91</v>
      </c>
      <c r="CF195" s="138">
        <v>73</v>
      </c>
      <c r="CG195" s="138" t="str">
        <f t="shared" si="153"/>
        <v>В работе</v>
      </c>
      <c r="CH195" s="138" t="s">
        <v>196</v>
      </c>
      <c r="CI195" s="138">
        <v>6</v>
      </c>
      <c r="CJ195" s="139"/>
      <c r="CK195" s="139">
        <f t="shared" si="157"/>
        <v>20</v>
      </c>
      <c r="CL195" s="99"/>
      <c r="CM195" s="202"/>
      <c r="CN195" s="140">
        <v>44</v>
      </c>
      <c r="CO195" s="141">
        <f t="shared" si="106"/>
        <v>8.36</v>
      </c>
      <c r="CP195" s="142">
        <v>10</v>
      </c>
      <c r="CQ195" s="143">
        <v>0</v>
      </c>
      <c r="CR195" s="115">
        <v>24</v>
      </c>
      <c r="CS195" s="139">
        <v>9.6</v>
      </c>
      <c r="CT195" s="138"/>
      <c r="CU195" s="138">
        <f t="shared" si="134"/>
        <v>14.4</v>
      </c>
      <c r="CV195" s="115">
        <f t="shared" si="135"/>
        <v>1722.488038277512</v>
      </c>
      <c r="CW195" s="115">
        <f t="shared" si="109"/>
        <v>1148.3253588516745</v>
      </c>
      <c r="CX195" s="133">
        <f t="shared" si="136"/>
        <v>0.21276595744680851</v>
      </c>
      <c r="CY195" s="116"/>
      <c r="CZ195" s="131"/>
      <c r="DA195" s="145" t="str">
        <f t="shared" si="111"/>
        <v>Газлифт</v>
      </c>
      <c r="DB195" s="146">
        <f t="shared" si="112"/>
        <v>8.36</v>
      </c>
      <c r="DC195" s="142">
        <f t="shared" si="151"/>
        <v>10</v>
      </c>
      <c r="DD195" s="119">
        <f t="shared" si="152"/>
        <v>0</v>
      </c>
      <c r="DE195" s="115">
        <f t="shared" si="115"/>
        <v>14.4</v>
      </c>
      <c r="DF195" s="121">
        <f t="shared" si="116"/>
        <v>9.6</v>
      </c>
      <c r="DG195" s="115">
        <f t="shared" si="117"/>
        <v>1722.488038277512</v>
      </c>
      <c r="DH195" s="115">
        <f t="shared" si="118"/>
        <v>44</v>
      </c>
      <c r="DI195" s="147"/>
      <c r="DJ195" s="111" t="s">
        <v>197</v>
      </c>
      <c r="DK195" s="112">
        <v>40474</v>
      </c>
      <c r="DL195" s="113">
        <f t="shared" ca="1" si="138"/>
        <v>4630</v>
      </c>
      <c r="DM195" s="114"/>
      <c r="DN195" s="114"/>
      <c r="DO195" s="114"/>
      <c r="DP195" s="114"/>
      <c r="DQ195" s="112">
        <v>43308</v>
      </c>
      <c r="DR195" s="114" t="s">
        <v>198</v>
      </c>
      <c r="DS195" s="114"/>
      <c r="DT195" s="115">
        <v>55</v>
      </c>
      <c r="DU195" s="116">
        <f t="shared" si="139"/>
        <v>0.27777777777777779</v>
      </c>
      <c r="DV195" s="117">
        <f t="shared" si="140"/>
        <v>8.36</v>
      </c>
      <c r="DW195" s="118">
        <f t="shared" si="141"/>
        <v>10</v>
      </c>
      <c r="DX195" s="119">
        <f t="shared" si="119"/>
        <v>0</v>
      </c>
      <c r="DY195" s="115">
        <f t="shared" si="142"/>
        <v>14.4</v>
      </c>
      <c r="DZ195" s="117">
        <f t="shared" si="143"/>
        <v>0</v>
      </c>
      <c r="EA195" s="120">
        <f t="shared" si="143"/>
        <v>0</v>
      </c>
      <c r="EB195" s="119">
        <f t="shared" si="143"/>
        <v>0</v>
      </c>
      <c r="EC195" s="121">
        <f t="shared" si="144"/>
        <v>0</v>
      </c>
      <c r="ED195" s="122"/>
      <c r="EE195" s="145">
        <v>18</v>
      </c>
      <c r="EF195" s="115">
        <v>26</v>
      </c>
      <c r="EG195" s="115">
        <v>50</v>
      </c>
      <c r="EH195" s="115">
        <v>25</v>
      </c>
      <c r="EI195" s="128" t="s">
        <v>195</v>
      </c>
      <c r="EJ195" s="121">
        <v>24</v>
      </c>
      <c r="EK195" s="121">
        <v>0</v>
      </c>
      <c r="EL195" s="149">
        <v>8.36</v>
      </c>
      <c r="EM195" s="142">
        <v>10</v>
      </c>
      <c r="EN195" s="119">
        <v>0</v>
      </c>
      <c r="EO195" s="115">
        <v>24</v>
      </c>
      <c r="EP195" s="115">
        <v>1722.488038277512</v>
      </c>
      <c r="EQ195" s="115">
        <v>72</v>
      </c>
      <c r="ER195" s="115">
        <v>9.6</v>
      </c>
      <c r="ES195" s="115">
        <v>44</v>
      </c>
      <c r="ET195" s="150">
        <v>0.21276595744680851</v>
      </c>
      <c r="EU195" s="145">
        <f t="shared" si="120"/>
        <v>18</v>
      </c>
      <c r="EV195" s="115">
        <f t="shared" si="121"/>
        <v>24</v>
      </c>
      <c r="EW195" s="115">
        <f t="shared" si="121"/>
        <v>43</v>
      </c>
      <c r="EX195" s="115">
        <f t="shared" si="121"/>
        <v>23</v>
      </c>
      <c r="EY195" s="115" t="str">
        <f t="shared" si="156"/>
        <v>Постоянный</v>
      </c>
      <c r="EZ195" s="115">
        <f t="shared" si="155"/>
        <v>24</v>
      </c>
      <c r="FA195" s="115">
        <f t="shared" si="155"/>
        <v>0</v>
      </c>
      <c r="FB195" s="149">
        <f t="shared" si="123"/>
        <v>8.36</v>
      </c>
      <c r="FC195" s="142">
        <f t="shared" si="123"/>
        <v>10</v>
      </c>
      <c r="FD195" s="119">
        <f t="shared" si="123"/>
        <v>0</v>
      </c>
      <c r="FE195" s="121">
        <f t="shared" si="103"/>
        <v>24</v>
      </c>
      <c r="FF195" s="121">
        <f t="shared" si="145"/>
        <v>1722.488038277512</v>
      </c>
      <c r="FG195" s="121">
        <f t="shared" si="124"/>
        <v>73</v>
      </c>
      <c r="FH195" s="121">
        <f t="shared" si="146"/>
        <v>9.6</v>
      </c>
      <c r="FI195" s="121">
        <f t="shared" si="154"/>
        <v>44</v>
      </c>
      <c r="FJ195" s="144">
        <f t="shared" si="125"/>
        <v>0.21276595744680851</v>
      </c>
      <c r="FK195" s="132">
        <f t="shared" si="126"/>
        <v>0</v>
      </c>
      <c r="FL195" s="115">
        <f t="shared" si="126"/>
        <v>-2</v>
      </c>
      <c r="FM195" s="115">
        <f t="shared" si="126"/>
        <v>-7</v>
      </c>
      <c r="FN195" s="115">
        <f t="shared" si="126"/>
        <v>-2</v>
      </c>
      <c r="FO195" s="115">
        <f t="shared" si="150"/>
        <v>0</v>
      </c>
      <c r="FP195" s="115">
        <f t="shared" si="150"/>
        <v>0</v>
      </c>
      <c r="FQ195" s="149">
        <f t="shared" si="150"/>
        <v>0</v>
      </c>
      <c r="FR195" s="142">
        <f t="shared" si="148"/>
        <v>0</v>
      </c>
      <c r="FS195" s="119">
        <f t="shared" si="148"/>
        <v>0</v>
      </c>
      <c r="FT195" s="121">
        <f t="shared" si="148"/>
        <v>0</v>
      </c>
      <c r="FU195" s="121">
        <f t="shared" si="127"/>
        <v>1</v>
      </c>
      <c r="FV195" s="121">
        <f t="shared" si="127"/>
        <v>0</v>
      </c>
      <c r="FW195" s="121">
        <f t="shared" si="128"/>
        <v>0</v>
      </c>
      <c r="FX195" s="121">
        <f t="shared" si="129"/>
        <v>0</v>
      </c>
      <c r="FY195" s="144">
        <f t="shared" si="129"/>
        <v>0</v>
      </c>
      <c r="FZ195" s="145"/>
      <c r="GA195" s="151" t="s">
        <v>955</v>
      </c>
      <c r="GB195" s="145" t="s">
        <v>199</v>
      </c>
      <c r="GC195" s="151" t="s">
        <v>415</v>
      </c>
      <c r="GD195" s="997" t="s">
        <v>220</v>
      </c>
      <c r="GE195" s="1004" t="s">
        <v>199</v>
      </c>
      <c r="GF195" s="1004">
        <v>-1.6720000000000006</v>
      </c>
      <c r="GG195" s="1004"/>
      <c r="GH195" s="1004">
        <v>0</v>
      </c>
      <c r="GI195" s="145"/>
      <c r="GJ195" s="996">
        <v>0</v>
      </c>
      <c r="GK195" s="145"/>
      <c r="GL195" s="996">
        <v>0</v>
      </c>
      <c r="GM195" s="1005" t="s">
        <v>240</v>
      </c>
      <c r="GN195" s="996">
        <v>-2.6584799999999991</v>
      </c>
      <c r="GO195" s="1006" t="s">
        <v>199</v>
      </c>
      <c r="GP195" s="996">
        <v>-5.3336799999999993</v>
      </c>
      <c r="GQ195" s="1006"/>
      <c r="GR195" s="996">
        <v>0</v>
      </c>
      <c r="GS195" s="1006" t="s">
        <v>204</v>
      </c>
      <c r="GT195" s="996">
        <v>4.5046087679999989</v>
      </c>
      <c r="GU195" s="1006"/>
      <c r="GV195" s="996">
        <v>0</v>
      </c>
      <c r="GW195" s="1006"/>
      <c r="GX195" s="1036">
        <v>0</v>
      </c>
      <c r="GY195" s="1006"/>
      <c r="GZ195" s="996">
        <v>0</v>
      </c>
      <c r="HA195" s="1006" t="s">
        <v>199</v>
      </c>
      <c r="HB195" s="996">
        <v>2.4843512319999999</v>
      </c>
      <c r="HC195" s="1006"/>
      <c r="HD195" s="996">
        <v>0</v>
      </c>
      <c r="HE195" s="1006"/>
      <c r="HF195" s="996">
        <v>0</v>
      </c>
      <c r="HG195" s="1006"/>
      <c r="HH195" s="996">
        <v>0</v>
      </c>
      <c r="HI195" s="1006" t="s">
        <v>203</v>
      </c>
      <c r="HJ195" s="996">
        <v>-5.7449285999999997</v>
      </c>
      <c r="HK195" s="1006" t="s">
        <v>308</v>
      </c>
      <c r="HL195" s="996">
        <v>4.6409286000000005</v>
      </c>
      <c r="HM195" s="1006" t="s">
        <v>199</v>
      </c>
      <c r="HN195" s="996">
        <v>3.6783999999999999</v>
      </c>
      <c r="HO195" s="1006" t="s">
        <v>199</v>
      </c>
      <c r="HP195" s="996">
        <v>-4.0964000000000009</v>
      </c>
      <c r="HQ195" s="1006"/>
      <c r="HR195" s="996">
        <v>0</v>
      </c>
      <c r="HS195" s="1006"/>
      <c r="HT195" s="996">
        <v>0</v>
      </c>
      <c r="HU195" s="1006" t="s">
        <v>204</v>
      </c>
      <c r="HV195" s="996">
        <v>1.312520000000001</v>
      </c>
      <c r="HW195" s="1006"/>
      <c r="HX195" s="996">
        <v>0</v>
      </c>
      <c r="HY195" s="1006"/>
      <c r="HZ195" s="996">
        <v>0</v>
      </c>
      <c r="IA195" s="1006"/>
      <c r="IB195" s="996">
        <v>0</v>
      </c>
      <c r="IC195" s="1006"/>
      <c r="ID195" s="996">
        <v>0</v>
      </c>
      <c r="IE195" s="1006"/>
      <c r="IF195" s="996">
        <v>0</v>
      </c>
      <c r="IG195" s="1006"/>
      <c r="IH195" s="996">
        <v>0</v>
      </c>
      <c r="II195" s="1006"/>
      <c r="IJ195" s="996">
        <v>0</v>
      </c>
      <c r="IK195" s="1006"/>
      <c r="IL195" s="996">
        <v>0</v>
      </c>
      <c r="IM195" s="1006" t="s">
        <v>199</v>
      </c>
      <c r="IN195" s="996">
        <v>-2.5665200000000006</v>
      </c>
      <c r="IO195" s="1006"/>
      <c r="IP195" s="996">
        <v>0</v>
      </c>
      <c r="IQ195" s="1006"/>
      <c r="IR195" s="996">
        <v>0</v>
      </c>
      <c r="IS195" s="1006"/>
      <c r="IT195" s="996">
        <v>0</v>
      </c>
      <c r="IU195" s="1006"/>
      <c r="IV195" s="996">
        <v>0</v>
      </c>
      <c r="IW195" s="1006"/>
      <c r="IX195" s="996">
        <v>0</v>
      </c>
      <c r="IY195" s="1006" t="s">
        <v>199</v>
      </c>
      <c r="IZ195" s="996">
        <v>5.0017879999999995</v>
      </c>
      <c r="JA195" s="1006" t="s">
        <v>199</v>
      </c>
      <c r="JB195" s="996">
        <v>4.4630696000000007</v>
      </c>
      <c r="JC195" s="1006" t="s">
        <v>199</v>
      </c>
      <c r="JD195" s="996">
        <v>-7.9717616000000007</v>
      </c>
      <c r="JE195" s="1006"/>
      <c r="JF195" s="996">
        <v>0</v>
      </c>
      <c r="JG195" s="1006"/>
      <c r="JH195" s="996">
        <v>0</v>
      </c>
      <c r="JI195" s="1006"/>
      <c r="JJ195" s="996">
        <v>0</v>
      </c>
      <c r="JK195" s="1007"/>
      <c r="JL195" s="1007">
        <v>0</v>
      </c>
      <c r="JM195" s="1007"/>
      <c r="JN195" s="1007">
        <v>0</v>
      </c>
      <c r="JO195" s="1008"/>
      <c r="JP195" s="1007">
        <v>0</v>
      </c>
      <c r="JQ195" s="1008">
        <v>0</v>
      </c>
      <c r="JR195" s="1007">
        <v>0</v>
      </c>
      <c r="JS195" s="1008">
        <v>0</v>
      </c>
      <c r="JT195" s="1007">
        <v>0</v>
      </c>
      <c r="JU195" s="1008"/>
      <c r="JV195" s="1007">
        <v>0</v>
      </c>
      <c r="JW195" s="1008" t="s">
        <v>206</v>
      </c>
      <c r="JX195" s="1007">
        <v>-5.6641842399999973</v>
      </c>
      <c r="JY195" s="1008"/>
      <c r="JZ195" s="1007">
        <v>0</v>
      </c>
      <c r="KA195" s="1008"/>
      <c r="KB195" s="1007">
        <v>0</v>
      </c>
      <c r="KC195" s="1008"/>
      <c r="KD195" s="1007">
        <v>0</v>
      </c>
      <c r="KE195" s="1008"/>
      <c r="KF195" s="1007">
        <v>0</v>
      </c>
      <c r="KG195" s="1008"/>
      <c r="KH195" s="1007">
        <v>0</v>
      </c>
      <c r="KI195" s="1008"/>
      <c r="KJ195" s="1007">
        <v>0</v>
      </c>
      <c r="KK195" s="1008"/>
      <c r="KL195" s="1007">
        <v>0</v>
      </c>
      <c r="KM195" s="1008" t="s">
        <v>203</v>
      </c>
      <c r="KN195" s="1007">
        <v>-4.6186391679999979</v>
      </c>
      <c r="KO195" s="1008" t="s">
        <v>203</v>
      </c>
      <c r="KP195" s="1007">
        <v>4.6473273439999936</v>
      </c>
      <c r="KQ195" s="1008">
        <v>0</v>
      </c>
      <c r="KR195" s="1007">
        <v>0</v>
      </c>
      <c r="KS195" s="1008">
        <v>0</v>
      </c>
      <c r="KT195" s="1007">
        <v>0</v>
      </c>
      <c r="KU195" s="1008">
        <v>0</v>
      </c>
      <c r="KV195" s="1007">
        <v>0</v>
      </c>
      <c r="KW195" s="1008">
        <v>0</v>
      </c>
      <c r="KX195" s="1007">
        <v>0</v>
      </c>
      <c r="KY195" s="1008">
        <v>0</v>
      </c>
      <c r="KZ195" s="1007">
        <v>0</v>
      </c>
      <c r="LA195" s="1008" t="s">
        <v>206</v>
      </c>
      <c r="LB195" s="1007">
        <v>-2.4663672000000005</v>
      </c>
      <c r="LC195" s="1008">
        <v>0</v>
      </c>
      <c r="LD195" s="1007">
        <v>0</v>
      </c>
      <c r="LE195" s="1008">
        <v>0</v>
      </c>
      <c r="LF195" s="1007">
        <v>0</v>
      </c>
      <c r="LG195" s="1008">
        <v>0</v>
      </c>
      <c r="LH195" s="1007">
        <v>0</v>
      </c>
      <c r="LI195" s="1008">
        <v>0</v>
      </c>
      <c r="LJ195" s="1007">
        <v>0</v>
      </c>
      <c r="LK195" s="1008" t="s">
        <v>555</v>
      </c>
      <c r="LL195" s="1007">
        <v>2.383632</v>
      </c>
      <c r="LM195" s="1008">
        <v>0</v>
      </c>
      <c r="LN195" s="1007">
        <v>0</v>
      </c>
      <c r="LO195" s="1008">
        <v>0</v>
      </c>
      <c r="LP195" s="1007">
        <v>0</v>
      </c>
      <c r="LQ195" s="1008">
        <v>0</v>
      </c>
      <c r="LR195" s="1007">
        <v>0</v>
      </c>
      <c r="LS195" s="1008">
        <v>0</v>
      </c>
      <c r="LT195" s="1007">
        <v>-0.57249279999997105</v>
      </c>
      <c r="LU195" s="1008">
        <v>0</v>
      </c>
      <c r="LV195" s="1007">
        <v>0</v>
      </c>
      <c r="LW195" s="1008">
        <v>0</v>
      </c>
      <c r="LX195" s="1007">
        <v>0</v>
      </c>
      <c r="LY195" s="1009" t="s">
        <v>206</v>
      </c>
      <c r="LZ195" s="1010">
        <v>-1.6552799999999994</v>
      </c>
      <c r="MA195" s="1011" t="s">
        <v>206</v>
      </c>
      <c r="MB195" s="1012">
        <v>1.5967599999999997</v>
      </c>
      <c r="MC195" s="995"/>
      <c r="MD195" s="996"/>
      <c r="ME195" s="997" t="s">
        <v>220</v>
      </c>
      <c r="MF195" s="997"/>
      <c r="MG195" s="998"/>
      <c r="NR195" s="1000"/>
      <c r="NS195" s="1000"/>
      <c r="NT195" s="1001"/>
      <c r="NU195" s="1000"/>
      <c r="NV195" s="1001"/>
      <c r="NX195" s="1002"/>
      <c r="NZ195" s="1001"/>
      <c r="OA195" s="1001"/>
      <c r="OC195" s="1003"/>
      <c r="OD195" s="1003"/>
      <c r="OE195" s="1001"/>
      <c r="OF195" s="1003"/>
      <c r="OG195" s="1003"/>
      <c r="QX195" s="1000">
        <f>CN195-CA195</f>
        <v>20</v>
      </c>
      <c r="ASU195" s="999" t="s">
        <v>225</v>
      </c>
    </row>
    <row r="196" spans="1:466 1191:1191" ht="21" customHeight="1" x14ac:dyDescent="0.25">
      <c r="A196" s="982" t="str">
        <f t="shared" si="104"/>
        <v>1093-1</v>
      </c>
      <c r="B196" s="124">
        <f>SUBTOTAL(103,$J$29:J196)</f>
        <v>168</v>
      </c>
      <c r="C196" s="126">
        <v>45068</v>
      </c>
      <c r="D196" s="124" t="s">
        <v>176</v>
      </c>
      <c r="E196" s="127" t="s">
        <v>177</v>
      </c>
      <c r="F196" s="128" t="s">
        <v>177</v>
      </c>
      <c r="G196" s="127" t="s">
        <v>178</v>
      </c>
      <c r="H196" s="127" t="s">
        <v>179</v>
      </c>
      <c r="I196" s="127" t="s">
        <v>921</v>
      </c>
      <c r="J196" s="152" t="s">
        <v>956</v>
      </c>
      <c r="K196" s="127" t="s">
        <v>951</v>
      </c>
      <c r="L196" s="130">
        <v>40340</v>
      </c>
      <c r="M196" s="127" t="s">
        <v>230</v>
      </c>
      <c r="N196" s="127" t="s">
        <v>245</v>
      </c>
      <c r="O196" s="127" t="s">
        <v>185</v>
      </c>
      <c r="P196" s="127" t="s">
        <v>292</v>
      </c>
      <c r="Q196" s="85" t="str">
        <f t="shared" si="133"/>
        <v/>
      </c>
      <c r="R196" s="130"/>
      <c r="S196" s="128" t="s">
        <v>156</v>
      </c>
      <c r="T196" s="131"/>
      <c r="U196" s="132">
        <v>203</v>
      </c>
      <c r="V196" s="121">
        <v>218.2</v>
      </c>
      <c r="W196" s="116">
        <v>0.98</v>
      </c>
      <c r="X196" s="116">
        <v>1.66</v>
      </c>
      <c r="Y196" s="116">
        <f t="shared" si="137"/>
        <v>0.98</v>
      </c>
      <c r="Z196" s="133">
        <v>1.454</v>
      </c>
      <c r="AA196" s="133">
        <v>0.83599999999999997</v>
      </c>
      <c r="AB196" s="133">
        <v>0.72</v>
      </c>
      <c r="AC196" s="121">
        <v>34.299999999999997</v>
      </c>
      <c r="AD196" s="134">
        <v>1.17</v>
      </c>
      <c r="AE196" s="124">
        <v>139.69999999999999</v>
      </c>
      <c r="AF196" s="128">
        <v>7.72</v>
      </c>
      <c r="AG196" s="128">
        <v>1904</v>
      </c>
      <c r="AH196" s="127" t="s">
        <v>957</v>
      </c>
      <c r="AI196" s="127" t="s">
        <v>957</v>
      </c>
      <c r="AJ196" s="135">
        <v>45011</v>
      </c>
      <c r="AK196" s="128"/>
      <c r="AL196" s="131" t="s">
        <v>958</v>
      </c>
      <c r="AM196" s="124" t="s">
        <v>232</v>
      </c>
      <c r="AN196" s="136" t="s">
        <v>959</v>
      </c>
      <c r="AO196" s="137">
        <v>632.35400000000004</v>
      </c>
      <c r="AP196" s="128">
        <v>1686</v>
      </c>
      <c r="AQ196" s="128">
        <v>0.79</v>
      </c>
      <c r="AR196" s="128"/>
      <c r="AS196" s="128"/>
      <c r="AT196" s="122"/>
      <c r="AU196" s="124" t="s">
        <v>189</v>
      </c>
      <c r="AV196" s="115">
        <f>VLOOKUP(J196,'[63]ТР нефть'!$J$28:$BP$638,39,0)</f>
        <v>598.00000107400001</v>
      </c>
      <c r="AW196" s="115" t="str">
        <f>VLOOKUP(J196,'[63]ТР нефть'!$J$28:$BP$638,40,0)</f>
        <v>ГП</v>
      </c>
      <c r="AX196" s="115">
        <f>VLOOKUP(J196,'[63]ТР нефть'!$J$28:$BP$638,41,0)</f>
        <v>1196.9999783200001</v>
      </c>
      <c r="AY196" s="115" t="str">
        <f>VLOOKUP(J196,'[63]ТР нефть'!$J$28:$BP$638,42,0)</f>
        <v>ГК 80/1,5</v>
      </c>
      <c r="AZ196" s="115">
        <f>VLOOKUP(J196,'[63]ТР нефть'!$J$28:$BP$638,43,0)</f>
        <v>1780.000001953</v>
      </c>
      <c r="BA196" s="115" t="str">
        <f>VLOOKUP(J196,'[63]ТР нефть'!$J$28:$BP$638,44,0)</f>
        <v>ЦКсОК 5/16</v>
      </c>
      <c r="BB196" s="115" t="str">
        <f>VLOOKUP(J196,'[63]ТР нефть'!$J$28:$BP$638,45,0)</f>
        <v>-</v>
      </c>
      <c r="BC196" s="115" t="str">
        <f>VLOOKUP(J196,'[63]ТР нефть'!$J$28:$BP$638,46,0)</f>
        <v>-</v>
      </c>
      <c r="BD196" s="115" t="str">
        <f>VLOOKUP(J196,'[63]ТР нефть'!$J$28:$BP$638,47,0)</f>
        <v>-</v>
      </c>
      <c r="BE196" s="115" t="str">
        <f>VLOOKUP(J196,'[63]ТР нефть'!$J$28:$BP$638,48,0)</f>
        <v>-</v>
      </c>
      <c r="BF196" s="115" t="str">
        <f>VLOOKUP(J196,'[63]ТР нефть'!$J$28:$BP$638,49,0)</f>
        <v>-</v>
      </c>
      <c r="BG196" s="115" t="str">
        <f>VLOOKUP(J196,'[63]ТР нефть'!$J$28:$BP$638,50,0)</f>
        <v>-</v>
      </c>
      <c r="BH196" s="115">
        <f>VLOOKUP(J196,'[63]ТР нефть'!$J$28:$BP$638,51,0)</f>
        <v>1814</v>
      </c>
      <c r="BI196" s="115" t="str">
        <f>VLOOKUP(J196,'[63]ТР нефть'!$J$28:$BP$638,52,0)</f>
        <v>закрыт</v>
      </c>
      <c r="BJ196" s="115" t="str">
        <f>IF(IFERROR(VLOOKUP(J196,'[63]ТР нефть'!$J$28:$BP$638,53,0),"-")=0,"-",IFERROR(VLOOKUP(J196,'[63]ТР нефть'!$J$28:$BP$638,53,0),"-"))</f>
        <v>-</v>
      </c>
      <c r="BK196" s="138" t="str">
        <f>IF(IFERROR(VLOOKUP(J196,'[63]ТР нефть'!$J$28:$BP$638,54,0),"-")=0,"-",IFERROR(VLOOKUP(J196,'[63]ТР нефть'!$J$28:$BP$638,54,0),"-"))</f>
        <v>-</v>
      </c>
      <c r="BL196" s="138" t="str">
        <f>IF(IFERROR(VLOOKUP(J196,'[63]ТР нефть'!$J$28:$BP$638,55,0),"-")=0,"-",IFERROR(VLOOKUP(J196,'[63]ТР нефть'!$J$28:$BP$638,55,0),"-"))</f>
        <v>-</v>
      </c>
      <c r="BM196" s="138" t="str">
        <f>IF(IFERROR(VLOOKUP(J196,'[63]ТР нефть'!$J$28:$BP$638,56,0),"-")=0,"-",IFERROR(VLOOKUP(J196,'[63]ТР нефть'!$J$28:$BP$638,56,0),"-"))</f>
        <v>-</v>
      </c>
      <c r="BN196" s="138" t="str">
        <f>IF(IFERROR(VLOOKUP(J196,'[63]ТР нефть'!$J$28:$BP$638,57,0),"-")=0,"-",IFERROR(VLOOKUP(J196,'[63]ТР нефть'!$J$28:$BP$638,57,0),"-"))</f>
        <v>-</v>
      </c>
      <c r="BO196" s="115" t="str">
        <f>IF(IFERROR(VLOOKUP(J196,'[63]ТР нефть'!$J$28:$BP$638,58,0),"-")=0,"-",IFERROR(VLOOKUP(J196,'[63]ТР нефть'!$J$28:$BP$638,58,0),"-"))</f>
        <v>-</v>
      </c>
      <c r="BP196" s="115" t="str">
        <f>IF(IFERROR(VLOOKUP(J196,'[63]ТР нефть'!$J$28:$BP$638,59,0),"-")=0,"-",IFERROR(VLOOKUP(J196,'[63]ТР нефть'!$J$28:$BP$638,59,0),"-"))</f>
        <v>-</v>
      </c>
      <c r="BQ196" s="138">
        <v>2005</v>
      </c>
      <c r="BR196" s="128">
        <v>1904</v>
      </c>
      <c r="BS196" s="115">
        <f t="shared" si="105"/>
        <v>101</v>
      </c>
      <c r="BT196" s="128">
        <v>73</v>
      </c>
      <c r="BU196" s="128">
        <v>5.5</v>
      </c>
      <c r="BV196" s="127">
        <v>65</v>
      </c>
      <c r="BW196" s="127" t="s">
        <v>217</v>
      </c>
      <c r="BX196" s="127" t="s">
        <v>195</v>
      </c>
      <c r="BY196" s="139">
        <v>24</v>
      </c>
      <c r="BZ196" s="139">
        <v>0</v>
      </c>
      <c r="CA196" s="138">
        <v>24</v>
      </c>
      <c r="CB196" s="138">
        <v>37</v>
      </c>
      <c r="CC196" s="138">
        <v>23</v>
      </c>
      <c r="CD196" s="135">
        <v>45017</v>
      </c>
      <c r="CE196" s="138">
        <v>87</v>
      </c>
      <c r="CF196" s="138">
        <v>73</v>
      </c>
      <c r="CG196" s="138" t="str">
        <f t="shared" si="153"/>
        <v>В работе</v>
      </c>
      <c r="CH196" s="138" t="s">
        <v>196</v>
      </c>
      <c r="CI196" s="138">
        <v>6</v>
      </c>
      <c r="CJ196" s="139"/>
      <c r="CK196" s="139">
        <f t="shared" si="157"/>
        <v>22</v>
      </c>
      <c r="CL196" s="139"/>
      <c r="CM196" s="202"/>
      <c r="CN196" s="140">
        <v>46</v>
      </c>
      <c r="CO196" s="141">
        <f t="shared" si="106"/>
        <v>7.524</v>
      </c>
      <c r="CP196" s="142">
        <v>9</v>
      </c>
      <c r="CQ196" s="143">
        <v>0</v>
      </c>
      <c r="CR196" s="115">
        <v>21</v>
      </c>
      <c r="CS196" s="139">
        <v>9.3000000000000007</v>
      </c>
      <c r="CT196" s="138"/>
      <c r="CU196" s="138">
        <f t="shared" si="134"/>
        <v>11.7</v>
      </c>
      <c r="CV196" s="115">
        <f t="shared" si="135"/>
        <v>1555.0239234449762</v>
      </c>
      <c r="CW196" s="115">
        <f t="shared" si="109"/>
        <v>1236.0446570972888</v>
      </c>
      <c r="CX196" s="133">
        <f t="shared" si="136"/>
        <v>0.21951219512195122</v>
      </c>
      <c r="CY196" s="116"/>
      <c r="CZ196" s="131"/>
      <c r="DA196" s="145" t="str">
        <f t="shared" si="111"/>
        <v>Газлифт</v>
      </c>
      <c r="DB196" s="146">
        <f t="shared" si="112"/>
        <v>7.524</v>
      </c>
      <c r="DC196" s="142">
        <f t="shared" si="151"/>
        <v>9</v>
      </c>
      <c r="DD196" s="119">
        <f t="shared" si="152"/>
        <v>0</v>
      </c>
      <c r="DE196" s="115">
        <f t="shared" si="115"/>
        <v>11.7</v>
      </c>
      <c r="DF196" s="121">
        <f t="shared" si="116"/>
        <v>9.3000000000000007</v>
      </c>
      <c r="DG196" s="115">
        <f t="shared" si="117"/>
        <v>1555.0239234449762</v>
      </c>
      <c r="DH196" s="115">
        <f t="shared" si="118"/>
        <v>46</v>
      </c>
      <c r="DI196" s="147"/>
      <c r="DJ196" s="111" t="s">
        <v>197</v>
      </c>
      <c r="DK196" s="112">
        <v>40340</v>
      </c>
      <c r="DL196" s="113">
        <f t="shared" ca="1" si="138"/>
        <v>4764</v>
      </c>
      <c r="DM196" s="114"/>
      <c r="DN196" s="114"/>
      <c r="DO196" s="114"/>
      <c r="DP196" s="114"/>
      <c r="DQ196" s="112">
        <v>41277</v>
      </c>
      <c r="DR196" s="114" t="s">
        <v>688</v>
      </c>
      <c r="DS196" s="114"/>
      <c r="DT196" s="115">
        <v>54</v>
      </c>
      <c r="DU196" s="116">
        <f t="shared" si="139"/>
        <v>0.27272727272727271</v>
      </c>
      <c r="DV196" s="117">
        <f t="shared" si="140"/>
        <v>7.524</v>
      </c>
      <c r="DW196" s="118">
        <f t="shared" si="141"/>
        <v>9</v>
      </c>
      <c r="DX196" s="119">
        <f t="shared" si="119"/>
        <v>0</v>
      </c>
      <c r="DY196" s="115">
        <f t="shared" si="142"/>
        <v>11.7</v>
      </c>
      <c r="DZ196" s="117">
        <f t="shared" si="143"/>
        <v>0</v>
      </c>
      <c r="EA196" s="120">
        <f t="shared" si="143"/>
        <v>0</v>
      </c>
      <c r="EB196" s="119">
        <f t="shared" si="143"/>
        <v>0</v>
      </c>
      <c r="EC196" s="121">
        <f t="shared" si="144"/>
        <v>0</v>
      </c>
      <c r="ED196" s="122"/>
      <c r="EE196" s="145">
        <v>65</v>
      </c>
      <c r="EF196" s="115">
        <v>25</v>
      </c>
      <c r="EG196" s="115">
        <v>40</v>
      </c>
      <c r="EH196" s="115">
        <v>24</v>
      </c>
      <c r="EI196" s="127" t="s">
        <v>195</v>
      </c>
      <c r="EJ196" s="121">
        <v>24</v>
      </c>
      <c r="EK196" s="121">
        <v>0</v>
      </c>
      <c r="EL196" s="149">
        <v>8.1928000000000001</v>
      </c>
      <c r="EM196" s="142">
        <v>9.8000000000000007</v>
      </c>
      <c r="EN196" s="119">
        <v>0</v>
      </c>
      <c r="EO196" s="115">
        <v>19.8</v>
      </c>
      <c r="EP196" s="115">
        <v>1537.9357484620646</v>
      </c>
      <c r="EQ196" s="115">
        <v>70</v>
      </c>
      <c r="ER196" s="115">
        <v>7.2</v>
      </c>
      <c r="ES196" s="115">
        <v>52</v>
      </c>
      <c r="ET196" s="150">
        <v>0.28000000000000003</v>
      </c>
      <c r="EU196" s="145">
        <f t="shared" si="120"/>
        <v>65</v>
      </c>
      <c r="EV196" s="115">
        <f t="shared" si="121"/>
        <v>24</v>
      </c>
      <c r="EW196" s="115">
        <f t="shared" si="121"/>
        <v>37</v>
      </c>
      <c r="EX196" s="115">
        <f t="shared" si="121"/>
        <v>23</v>
      </c>
      <c r="EY196" s="115" t="str">
        <f t="shared" si="156"/>
        <v>Постоянный</v>
      </c>
      <c r="EZ196" s="115">
        <f t="shared" si="155"/>
        <v>24</v>
      </c>
      <c r="FA196" s="115">
        <f t="shared" si="155"/>
        <v>0</v>
      </c>
      <c r="FB196" s="149">
        <f t="shared" si="123"/>
        <v>7.524</v>
      </c>
      <c r="FC196" s="142">
        <f t="shared" si="123"/>
        <v>9</v>
      </c>
      <c r="FD196" s="119">
        <f t="shared" si="123"/>
        <v>0</v>
      </c>
      <c r="FE196" s="121">
        <f t="shared" si="103"/>
        <v>21</v>
      </c>
      <c r="FF196" s="121">
        <f t="shared" si="145"/>
        <v>1555.0239234449762</v>
      </c>
      <c r="FG196" s="121">
        <f t="shared" si="124"/>
        <v>73</v>
      </c>
      <c r="FH196" s="121">
        <f t="shared" si="146"/>
        <v>9.3000000000000007</v>
      </c>
      <c r="FI196" s="121">
        <f t="shared" si="154"/>
        <v>46</v>
      </c>
      <c r="FJ196" s="144">
        <f t="shared" si="125"/>
        <v>0.21951219512195122</v>
      </c>
      <c r="FK196" s="132">
        <f t="shared" si="126"/>
        <v>0</v>
      </c>
      <c r="FL196" s="115">
        <f t="shared" si="126"/>
        <v>-1</v>
      </c>
      <c r="FM196" s="115">
        <f t="shared" si="126"/>
        <v>-3</v>
      </c>
      <c r="FN196" s="115">
        <f t="shared" si="126"/>
        <v>-1</v>
      </c>
      <c r="FO196" s="115">
        <f t="shared" si="150"/>
        <v>0</v>
      </c>
      <c r="FP196" s="115">
        <f t="shared" si="150"/>
        <v>0</v>
      </c>
      <c r="FQ196" s="149">
        <f t="shared" si="150"/>
        <v>-0.66880000000000006</v>
      </c>
      <c r="FR196" s="142">
        <f t="shared" si="148"/>
        <v>-0.80000000000000071</v>
      </c>
      <c r="FS196" s="119">
        <f t="shared" si="148"/>
        <v>0</v>
      </c>
      <c r="FT196" s="121">
        <f t="shared" si="148"/>
        <v>1.1999999999999993</v>
      </c>
      <c r="FU196" s="121">
        <f t="shared" si="127"/>
        <v>3</v>
      </c>
      <c r="FV196" s="121">
        <f t="shared" si="127"/>
        <v>2.1000000000000005</v>
      </c>
      <c r="FW196" s="121">
        <f t="shared" si="128"/>
        <v>17.088174982911596</v>
      </c>
      <c r="FX196" s="121">
        <f t="shared" si="129"/>
        <v>-6</v>
      </c>
      <c r="FY196" s="144">
        <f t="shared" si="129"/>
        <v>-6.0487804878048806E-2</v>
      </c>
      <c r="FZ196" s="145"/>
      <c r="GA196" s="151"/>
      <c r="GB196" s="145" t="s">
        <v>203</v>
      </c>
      <c r="GC196" s="151" t="s">
        <v>960</v>
      </c>
      <c r="GD196" s="997" t="s">
        <v>220</v>
      </c>
      <c r="GE196" s="1004" t="s">
        <v>203</v>
      </c>
      <c r="GF196" s="1004">
        <v>-12.437359263999999</v>
      </c>
      <c r="GG196" s="1004"/>
      <c r="GH196" s="1004">
        <v>0</v>
      </c>
      <c r="GI196" s="145"/>
      <c r="GJ196" s="996">
        <v>0</v>
      </c>
      <c r="GK196" s="145"/>
      <c r="GL196" s="996">
        <v>-1.6720000000005619E-3</v>
      </c>
      <c r="GM196" s="1005"/>
      <c r="GN196" s="996">
        <v>0</v>
      </c>
      <c r="GO196" s="1006" t="s">
        <v>199</v>
      </c>
      <c r="GP196" s="996">
        <v>-5.9156129119999994</v>
      </c>
      <c r="GQ196" s="1006"/>
      <c r="GR196" s="996">
        <v>0</v>
      </c>
      <c r="GS196" s="1006"/>
      <c r="GT196" s="996">
        <v>0</v>
      </c>
      <c r="GU196" s="1006"/>
      <c r="GV196" s="996">
        <v>0</v>
      </c>
      <c r="GW196" s="1006"/>
      <c r="GX196" s="1036">
        <v>0</v>
      </c>
      <c r="GY196" s="1006"/>
      <c r="GZ196" s="996">
        <v>0</v>
      </c>
      <c r="HA196" s="1006"/>
      <c r="HB196" s="996">
        <v>0</v>
      </c>
      <c r="HC196" s="1006"/>
      <c r="HD196" s="996">
        <v>6.1848049119999988</v>
      </c>
      <c r="HE196" s="1006"/>
      <c r="HF196" s="996">
        <v>0</v>
      </c>
      <c r="HG196" s="1006"/>
      <c r="HH196" s="996">
        <v>0</v>
      </c>
      <c r="HI196" s="1006" t="s">
        <v>223</v>
      </c>
      <c r="HJ196" s="996">
        <v>-1.3167000000000004</v>
      </c>
      <c r="HK196" s="1006"/>
      <c r="HL196" s="996">
        <v>0</v>
      </c>
      <c r="HM196" s="1006"/>
      <c r="HN196" s="996">
        <v>0</v>
      </c>
      <c r="HO196" s="1006"/>
      <c r="HP196" s="996">
        <v>0</v>
      </c>
      <c r="HQ196" s="1006"/>
      <c r="HR196" s="996">
        <v>0</v>
      </c>
      <c r="HS196" s="1006" t="s">
        <v>433</v>
      </c>
      <c r="HT196" s="996">
        <v>-9.3841000000000001</v>
      </c>
      <c r="HU196" s="1006"/>
      <c r="HV196" s="996">
        <v>0</v>
      </c>
      <c r="HW196" s="1006"/>
      <c r="HX196" s="996">
        <v>0.41800000000000104</v>
      </c>
      <c r="HY196" s="1006" t="s">
        <v>203</v>
      </c>
      <c r="HZ196" s="996">
        <v>-2.636744000000002</v>
      </c>
      <c r="IA196" s="1006"/>
      <c r="IB196" s="996">
        <v>0</v>
      </c>
      <c r="IC196" s="1006"/>
      <c r="ID196" s="996">
        <v>0</v>
      </c>
      <c r="IE196" s="1006"/>
      <c r="IF196" s="996">
        <v>0</v>
      </c>
      <c r="IG196" s="1006" t="s">
        <v>25</v>
      </c>
      <c r="IH196" s="996">
        <v>11.515064000000001</v>
      </c>
      <c r="II196" s="1006"/>
      <c r="IJ196" s="996">
        <v>0</v>
      </c>
      <c r="IK196" s="1006"/>
      <c r="IL196" s="996">
        <v>0</v>
      </c>
      <c r="IM196" s="1006"/>
      <c r="IN196" s="996">
        <v>0</v>
      </c>
      <c r="IO196" s="1006"/>
      <c r="IP196" s="996">
        <v>0</v>
      </c>
      <c r="IQ196" s="1006"/>
      <c r="IR196" s="996">
        <v>0</v>
      </c>
      <c r="IS196" s="1006"/>
      <c r="IT196" s="996">
        <v>0</v>
      </c>
      <c r="IU196" s="1006"/>
      <c r="IV196" s="996">
        <v>0</v>
      </c>
      <c r="IW196" s="1006"/>
      <c r="IX196" s="996">
        <v>0</v>
      </c>
      <c r="IY196" s="1006"/>
      <c r="IZ196" s="996">
        <v>0</v>
      </c>
      <c r="JA196" s="1006"/>
      <c r="JB196" s="996">
        <v>0</v>
      </c>
      <c r="JC196" s="1006"/>
      <c r="JD196" s="996">
        <v>-0.76075999999999944</v>
      </c>
      <c r="JE196" s="1006"/>
      <c r="JF196" s="996">
        <v>0.71060000000000034</v>
      </c>
      <c r="JG196" s="1006"/>
      <c r="JH196" s="996">
        <v>0</v>
      </c>
      <c r="JI196" s="1006" t="s">
        <v>204</v>
      </c>
      <c r="JJ196" s="996">
        <v>-1.3041600000000004</v>
      </c>
      <c r="JK196" s="1007"/>
      <c r="JL196" s="1007">
        <v>0</v>
      </c>
      <c r="JM196" s="1007"/>
      <c r="JN196" s="1007">
        <v>0</v>
      </c>
      <c r="JO196" s="1008"/>
      <c r="JP196" s="1007">
        <v>0</v>
      </c>
      <c r="JQ196" s="1008">
        <v>0</v>
      </c>
      <c r="JR196" s="1007">
        <v>0</v>
      </c>
      <c r="JS196" s="1008">
        <v>0</v>
      </c>
      <c r="JT196" s="1007">
        <v>1.9999999999999574E-2</v>
      </c>
      <c r="JU196" s="1008"/>
      <c r="JV196" s="1007">
        <v>0</v>
      </c>
      <c r="JW196" s="1008" t="s">
        <v>197</v>
      </c>
      <c r="JX196" s="1007">
        <v>0</v>
      </c>
      <c r="JY196" s="1008"/>
      <c r="JZ196" s="1007">
        <v>0</v>
      </c>
      <c r="KA196" s="1008"/>
      <c r="KB196" s="1007">
        <v>0</v>
      </c>
      <c r="KC196" s="1008"/>
      <c r="KD196" s="1007">
        <v>0</v>
      </c>
      <c r="KE196" s="1008"/>
      <c r="KF196" s="1007">
        <v>0</v>
      </c>
      <c r="KG196" s="1008"/>
      <c r="KH196" s="1007">
        <v>0</v>
      </c>
      <c r="KI196" s="1008"/>
      <c r="KJ196" s="1007">
        <v>0</v>
      </c>
      <c r="KK196" s="1008"/>
      <c r="KL196" s="1007">
        <v>0</v>
      </c>
      <c r="KM196" s="1008"/>
      <c r="KN196" s="1007">
        <v>0</v>
      </c>
      <c r="KO196" s="1008"/>
      <c r="KP196" s="1007">
        <v>0</v>
      </c>
      <c r="KQ196" s="1008">
        <v>0</v>
      </c>
      <c r="KR196" s="1007">
        <v>0</v>
      </c>
      <c r="KS196" s="1008" t="s">
        <v>206</v>
      </c>
      <c r="KT196" s="1007">
        <v>-1.2540000000000004</v>
      </c>
      <c r="KU196" s="1008">
        <v>0</v>
      </c>
      <c r="KV196" s="1007">
        <v>0</v>
      </c>
      <c r="KW196" s="1008" t="s">
        <v>206</v>
      </c>
      <c r="KX196" s="1007">
        <v>-0.83599999999999941</v>
      </c>
      <c r="KY196" s="1008" t="s">
        <v>204</v>
      </c>
      <c r="KZ196" s="1007">
        <v>-6.0191999999999997</v>
      </c>
      <c r="LA196" s="1008" t="s">
        <v>204</v>
      </c>
      <c r="LB196" s="1007">
        <v>8.1091999999999995</v>
      </c>
      <c r="LC196" s="1008" t="s">
        <v>204</v>
      </c>
      <c r="LD196" s="1007">
        <v>-2.09</v>
      </c>
      <c r="LE196" s="1008" t="s">
        <v>207</v>
      </c>
      <c r="LF196" s="1007">
        <v>-8.4853999999999985</v>
      </c>
      <c r="LG196" s="1008">
        <v>0</v>
      </c>
      <c r="LH196" s="1007">
        <v>0</v>
      </c>
      <c r="LI196" s="1008">
        <v>0</v>
      </c>
      <c r="LJ196" s="1007">
        <v>0</v>
      </c>
      <c r="LK196" s="1008" t="s">
        <v>555</v>
      </c>
      <c r="LL196" s="1007">
        <v>6.3940000000000001</v>
      </c>
      <c r="LM196" s="1008" t="s">
        <v>555</v>
      </c>
      <c r="LN196" s="1007">
        <v>5.006386</v>
      </c>
      <c r="LO196" s="1008" t="s">
        <v>206</v>
      </c>
      <c r="LP196" s="1007">
        <v>1.2445950000000003</v>
      </c>
      <c r="LQ196" s="1008" t="s">
        <v>206</v>
      </c>
      <c r="LR196" s="1007">
        <v>-3.7337850000000001</v>
      </c>
      <c r="LS196" s="1008">
        <v>0</v>
      </c>
      <c r="LT196" s="1007">
        <v>0</v>
      </c>
      <c r="LU196" s="1008">
        <v>0</v>
      </c>
      <c r="LV196" s="1007">
        <v>0</v>
      </c>
      <c r="LW196" s="1008">
        <v>0</v>
      </c>
      <c r="LX196" s="1007">
        <v>0</v>
      </c>
      <c r="LY196" s="1009" t="s">
        <v>206</v>
      </c>
      <c r="LZ196" s="1010">
        <v>-4.1486499999999999</v>
      </c>
      <c r="MA196" s="1011">
        <v>0</v>
      </c>
      <c r="MB196" s="1012">
        <v>0.82972999999999997</v>
      </c>
      <c r="MC196" s="995"/>
      <c r="MD196" s="996"/>
      <c r="ME196" s="997" t="s">
        <v>220</v>
      </c>
      <c r="MF196" s="997">
        <f>CN196-CA196</f>
        <v>22</v>
      </c>
      <c r="MG196" s="998"/>
      <c r="NR196" s="1000"/>
      <c r="NS196" s="1000"/>
      <c r="NT196" s="1001"/>
      <c r="NU196" s="1000"/>
      <c r="NV196" s="1001"/>
      <c r="NX196" s="1002"/>
      <c r="NZ196" s="1001"/>
      <c r="OA196" s="1001"/>
      <c r="OC196" s="1003"/>
      <c r="OD196" s="1003"/>
      <c r="OE196" s="1001"/>
      <c r="OF196" s="1003"/>
      <c r="OG196" s="1003"/>
      <c r="ASU196" s="999" t="s">
        <v>225</v>
      </c>
    </row>
    <row r="197" spans="1:466 1191:1191" ht="21" customHeight="1" x14ac:dyDescent="0.25">
      <c r="A197" s="982">
        <f t="shared" si="104"/>
        <v>1094</v>
      </c>
      <c r="B197" s="124">
        <f>SUBTOTAL(103,$J$29:J197)</f>
        <v>169</v>
      </c>
      <c r="C197" s="126">
        <v>45068</v>
      </c>
      <c r="D197" s="124" t="s">
        <v>176</v>
      </c>
      <c r="E197" s="127" t="s">
        <v>177</v>
      </c>
      <c r="F197" s="128" t="s">
        <v>177</v>
      </c>
      <c r="G197" s="127" t="s">
        <v>178</v>
      </c>
      <c r="H197" s="127" t="s">
        <v>179</v>
      </c>
      <c r="I197" s="127" t="s">
        <v>921</v>
      </c>
      <c r="J197" s="152">
        <v>1094</v>
      </c>
      <c r="K197" s="127" t="s">
        <v>961</v>
      </c>
      <c r="L197" s="130">
        <v>40466</v>
      </c>
      <c r="M197" s="127" t="s">
        <v>230</v>
      </c>
      <c r="N197" s="127" t="s">
        <v>245</v>
      </c>
      <c r="O197" s="127" t="s">
        <v>185</v>
      </c>
      <c r="P197" s="127" t="s">
        <v>186</v>
      </c>
      <c r="Q197" s="85" t="str">
        <f t="shared" si="133"/>
        <v/>
      </c>
      <c r="R197" s="130"/>
      <c r="S197" s="128" t="s">
        <v>156</v>
      </c>
      <c r="T197" s="131"/>
      <c r="U197" s="132">
        <v>203</v>
      </c>
      <c r="V197" s="121">
        <v>218.2</v>
      </c>
      <c r="W197" s="116">
        <v>0.98</v>
      </c>
      <c r="X197" s="116">
        <v>1.66</v>
      </c>
      <c r="Y197" s="116">
        <f t="shared" si="137"/>
        <v>0.98561205127024476</v>
      </c>
      <c r="Z197" s="133">
        <v>1.454</v>
      </c>
      <c r="AA197" s="133">
        <v>0.83599999999999997</v>
      </c>
      <c r="AB197" s="133">
        <v>0.72</v>
      </c>
      <c r="AC197" s="121">
        <v>34.299999999999997</v>
      </c>
      <c r="AD197" s="134">
        <v>1.17</v>
      </c>
      <c r="AE197" s="124">
        <v>139.69999999999999</v>
      </c>
      <c r="AF197" s="128">
        <v>7.72</v>
      </c>
      <c r="AG197" s="128">
        <v>1953</v>
      </c>
      <c r="AH197" s="127">
        <v>2400</v>
      </c>
      <c r="AI197" s="127">
        <v>2400</v>
      </c>
      <c r="AJ197" s="135"/>
      <c r="AK197" s="128"/>
      <c r="AL197" s="131"/>
      <c r="AM197" s="124" t="s">
        <v>232</v>
      </c>
      <c r="AN197" s="136" t="s">
        <v>962</v>
      </c>
      <c r="AO197" s="137">
        <v>98.1</v>
      </c>
      <c r="AP197" s="128">
        <v>1953</v>
      </c>
      <c r="AQ197" s="128">
        <v>72.3</v>
      </c>
      <c r="AR197" s="128"/>
      <c r="AS197" s="128"/>
      <c r="AT197" s="122"/>
      <c r="AU197" s="124" t="s">
        <v>189</v>
      </c>
      <c r="AV197" s="115">
        <f>VLOOKUP(J197,'[63]ТР нефть'!$J$28:$BP$638,39,0)</f>
        <v>449.999992969</v>
      </c>
      <c r="AW197" s="115" t="str">
        <f>VLOOKUP(J197,'[63]ТР нефть'!$J$28:$BP$638,40,0)</f>
        <v>ГП</v>
      </c>
      <c r="AX197" s="115">
        <f>VLOOKUP(J197,'[63]ТР нефть'!$J$28:$BP$638,41,0)</f>
        <v>849.99998671900005</v>
      </c>
      <c r="AY197" s="115" t="str">
        <f>VLOOKUP(J197,'[63]ТР нефть'!$J$28:$BP$638,42,0)</f>
        <v>ГК 78 1/8</v>
      </c>
      <c r="AZ197" s="115">
        <f>VLOOKUP(J197,'[63]ТР нефть'!$J$28:$BP$638,43,0)</f>
        <v>1220.000025586</v>
      </c>
      <c r="BA197" s="115" t="str">
        <f>VLOOKUP(J197,'[63]ТР нефть'!$J$28:$BP$638,44,0)</f>
        <v>ГК 77 1/8</v>
      </c>
      <c r="BB197" s="115">
        <f>VLOOKUP(J197,'[63]ТР нефть'!$J$28:$BP$638,45,0)</f>
        <v>1480.000006641</v>
      </c>
      <c r="BC197" s="115" t="str">
        <f>VLOOKUP(J197,'[63]ТР нефть'!$J$28:$BP$638,46,0)</f>
        <v>ГК 76 1/8</v>
      </c>
      <c r="BD197" s="115">
        <f>VLOOKUP(J197,'[63]ТР нефть'!$J$28:$BP$638,47,0)</f>
        <v>1730.000002734</v>
      </c>
      <c r="BE197" s="115" t="str">
        <f>VLOOKUP(J197,'[63]ТР нефть'!$J$28:$BP$638,48,0)</f>
        <v>ЦКсОК 5/16</v>
      </c>
      <c r="BF197" s="115" t="str">
        <f>VLOOKUP(J197,'[63]ТР нефть'!$J$28:$BP$638,49,0)</f>
        <v>-</v>
      </c>
      <c r="BG197" s="115" t="str">
        <f>VLOOKUP(J197,'[63]ТР нефть'!$J$28:$BP$638,50,0)</f>
        <v>-</v>
      </c>
      <c r="BH197" s="115">
        <f>VLOOKUP(J197,'[63]ТР нефть'!$J$28:$BP$638,51,0)</f>
        <v>1770</v>
      </c>
      <c r="BI197" s="115" t="str">
        <f>VLOOKUP(J197,'[63]ТР нефть'!$J$28:$BP$638,52,0)</f>
        <v>закрыт</v>
      </c>
      <c r="BJ197" s="115" t="str">
        <f>IF(IFERROR(VLOOKUP(J197,'[63]ТР нефть'!$J$28:$BP$638,53,0),"-")=0,"-",IFERROR(VLOOKUP(J197,'[63]ТР нефть'!$J$28:$BP$638,53,0),"-"))</f>
        <v>-</v>
      </c>
      <c r="BK197" s="138" t="str">
        <f>IF(IFERROR(VLOOKUP(J197,'[63]ТР нефть'!$J$28:$BP$638,54,0),"-")=0,"-",IFERROR(VLOOKUP(J197,'[63]ТР нефть'!$J$28:$BP$638,54,0),"-"))</f>
        <v>-</v>
      </c>
      <c r="BL197" s="138" t="str">
        <f>IF(IFERROR(VLOOKUP(J197,'[63]ТР нефть'!$J$28:$BP$638,55,0),"-")=0,"-",IFERROR(VLOOKUP(J197,'[63]ТР нефть'!$J$28:$BP$638,55,0),"-"))</f>
        <v>-</v>
      </c>
      <c r="BM197" s="138" t="str">
        <f>IF(IFERROR(VLOOKUP(J197,'[63]ТР нефть'!$J$28:$BP$638,56,0),"-")=0,"-",IFERROR(VLOOKUP(J197,'[63]ТР нефть'!$J$28:$BP$638,56,0),"-"))</f>
        <v>-</v>
      </c>
      <c r="BN197" s="138" t="str">
        <f>IF(IFERROR(VLOOKUP(J197,'[63]ТР нефть'!$J$28:$BP$638,57,0),"-")=0,"-",IFERROR(VLOOKUP(J197,'[63]ТР нефть'!$J$28:$BP$638,57,0),"-"))</f>
        <v>-</v>
      </c>
      <c r="BO197" s="115" t="str">
        <f>IF(IFERROR(VLOOKUP(J197,'[63]ТР нефть'!$J$28:$BP$638,58,0),"-")=0,"-",IFERROR(VLOOKUP(J197,'[63]ТР нефть'!$J$28:$BP$638,58,0),"-"))</f>
        <v>-</v>
      </c>
      <c r="BP197" s="115" t="str">
        <f>IF(IFERROR(VLOOKUP(J197,'[63]ТР нефть'!$J$28:$BP$638,59,0),"-")=0,"-",IFERROR(VLOOKUP(J197,'[63]ТР нефть'!$J$28:$BP$638,59,0),"-"))</f>
        <v>-</v>
      </c>
      <c r="BQ197" s="138">
        <v>1836</v>
      </c>
      <c r="BR197" s="128">
        <v>1738.27</v>
      </c>
      <c r="BS197" s="115">
        <f t="shared" si="105"/>
        <v>97.730000000000018</v>
      </c>
      <c r="BT197" s="128">
        <v>73</v>
      </c>
      <c r="BU197" s="128">
        <v>5.5</v>
      </c>
      <c r="BV197" s="127">
        <v>65</v>
      </c>
      <c r="BW197" s="127" t="s">
        <v>217</v>
      </c>
      <c r="BX197" s="127" t="s">
        <v>195</v>
      </c>
      <c r="BY197" s="139">
        <v>24</v>
      </c>
      <c r="BZ197" s="139">
        <v>0</v>
      </c>
      <c r="CA197" s="138">
        <v>20</v>
      </c>
      <c r="CB197" s="138">
        <v>36</v>
      </c>
      <c r="CC197" s="138">
        <v>19</v>
      </c>
      <c r="CD197" s="135">
        <v>45017</v>
      </c>
      <c r="CE197" s="138">
        <v>87</v>
      </c>
      <c r="CF197" s="138">
        <v>73</v>
      </c>
      <c r="CG197" s="138" t="s">
        <v>963</v>
      </c>
      <c r="CH197" s="138" t="s">
        <v>196</v>
      </c>
      <c r="CI197" s="138">
        <v>6</v>
      </c>
      <c r="CJ197" s="139"/>
      <c r="CK197" s="139">
        <f t="shared" si="157"/>
        <v>26</v>
      </c>
      <c r="CL197" s="99"/>
      <c r="CM197" s="99"/>
      <c r="CN197" s="140">
        <v>46</v>
      </c>
      <c r="CO197" s="141">
        <f t="shared" si="106"/>
        <v>4.5340877999999991</v>
      </c>
      <c r="CP197" s="142">
        <v>5.5</v>
      </c>
      <c r="CQ197" s="143">
        <v>1.39</v>
      </c>
      <c r="CR197" s="138">
        <v>17.305</v>
      </c>
      <c r="CS197" s="139">
        <v>13</v>
      </c>
      <c r="CT197" s="138"/>
      <c r="CU197" s="138">
        <f t="shared" si="134"/>
        <v>4.3049999999999997</v>
      </c>
      <c r="CV197" s="115">
        <f t="shared" si="135"/>
        <v>949.47433527864212</v>
      </c>
      <c r="CW197" s="115">
        <f t="shared" si="109"/>
        <v>2812.2598695124393</v>
      </c>
      <c r="CX197" s="133">
        <f t="shared" si="136"/>
        <v>0.13414634146341464</v>
      </c>
      <c r="CY197" s="116"/>
      <c r="CZ197" s="131"/>
      <c r="DA197" s="145" t="str">
        <f t="shared" si="111"/>
        <v>Газлифт</v>
      </c>
      <c r="DB197" s="146">
        <f t="shared" si="112"/>
        <v>4.5340877999999991</v>
      </c>
      <c r="DC197" s="142">
        <f t="shared" si="151"/>
        <v>5.5</v>
      </c>
      <c r="DD197" s="119">
        <f t="shared" si="152"/>
        <v>1.39</v>
      </c>
      <c r="DE197" s="115">
        <f t="shared" si="115"/>
        <v>4.3049999999999997</v>
      </c>
      <c r="DF197" s="121">
        <f t="shared" si="116"/>
        <v>13</v>
      </c>
      <c r="DG197" s="115">
        <f t="shared" si="117"/>
        <v>949.47433527864212</v>
      </c>
      <c r="DH197" s="115">
        <f t="shared" si="118"/>
        <v>46</v>
      </c>
      <c r="DI197" s="147"/>
      <c r="DJ197" s="111">
        <v>43549</v>
      </c>
      <c r="DK197" s="112">
        <v>42540</v>
      </c>
      <c r="DL197" s="113">
        <f t="shared" ca="1" si="138"/>
        <v>2564</v>
      </c>
      <c r="DM197" s="114"/>
      <c r="DN197" s="114"/>
      <c r="DO197" s="114"/>
      <c r="DP197" s="114"/>
      <c r="DQ197" s="112">
        <v>42678</v>
      </c>
      <c r="DR197" s="114" t="s">
        <v>198</v>
      </c>
      <c r="DS197" s="114"/>
      <c r="DT197" s="115">
        <v>50</v>
      </c>
      <c r="DU197" s="116">
        <f t="shared" si="139"/>
        <v>0.14864864864864866</v>
      </c>
      <c r="DV197" s="117">
        <f t="shared" si="140"/>
        <v>4.5340877999999991</v>
      </c>
      <c r="DW197" s="118">
        <f t="shared" si="141"/>
        <v>5.5</v>
      </c>
      <c r="DX197" s="119">
        <f t="shared" si="119"/>
        <v>1.39</v>
      </c>
      <c r="DY197" s="115">
        <f t="shared" si="142"/>
        <v>4.3049999999999997</v>
      </c>
      <c r="DZ197" s="117">
        <f t="shared" si="143"/>
        <v>0</v>
      </c>
      <c r="EA197" s="120">
        <f t="shared" si="143"/>
        <v>0</v>
      </c>
      <c r="EB197" s="119">
        <f t="shared" si="143"/>
        <v>0</v>
      </c>
      <c r="EC197" s="121">
        <f t="shared" si="144"/>
        <v>0</v>
      </c>
      <c r="ED197" s="122"/>
      <c r="EE197" s="145">
        <v>65</v>
      </c>
      <c r="EF197" s="115">
        <v>26</v>
      </c>
      <c r="EG197" s="115">
        <v>38</v>
      </c>
      <c r="EH197" s="115">
        <v>25</v>
      </c>
      <c r="EI197" s="127" t="s">
        <v>195</v>
      </c>
      <c r="EJ197" s="121">
        <v>24</v>
      </c>
      <c r="EK197" s="121">
        <v>0</v>
      </c>
      <c r="EL197" s="149">
        <v>4.5340877999999991</v>
      </c>
      <c r="EM197" s="142">
        <v>5.5</v>
      </c>
      <c r="EN197" s="119">
        <v>1.39</v>
      </c>
      <c r="EO197" s="115">
        <v>17.305</v>
      </c>
      <c r="EP197" s="115">
        <v>949.47433527864212</v>
      </c>
      <c r="EQ197" s="115">
        <v>70</v>
      </c>
      <c r="ER197" s="115">
        <v>13</v>
      </c>
      <c r="ES197" s="115">
        <v>44</v>
      </c>
      <c r="ET197" s="150">
        <v>0.12790697674418605</v>
      </c>
      <c r="EU197" s="145">
        <f t="shared" si="120"/>
        <v>65</v>
      </c>
      <c r="EV197" s="115">
        <f t="shared" si="121"/>
        <v>20</v>
      </c>
      <c r="EW197" s="115">
        <f t="shared" si="121"/>
        <v>36</v>
      </c>
      <c r="EX197" s="115">
        <f t="shared" si="121"/>
        <v>19</v>
      </c>
      <c r="EY197" s="115" t="str">
        <f t="shared" si="156"/>
        <v>Постоянный</v>
      </c>
      <c r="EZ197" s="115">
        <f t="shared" si="155"/>
        <v>24</v>
      </c>
      <c r="FA197" s="115">
        <f t="shared" si="155"/>
        <v>0</v>
      </c>
      <c r="FB197" s="149">
        <f t="shared" si="123"/>
        <v>4.5340877999999991</v>
      </c>
      <c r="FC197" s="142">
        <f t="shared" si="123"/>
        <v>5.5</v>
      </c>
      <c r="FD197" s="119">
        <f t="shared" si="123"/>
        <v>1.39</v>
      </c>
      <c r="FE197" s="121">
        <f t="shared" si="103"/>
        <v>17.305</v>
      </c>
      <c r="FF197" s="121">
        <f t="shared" si="145"/>
        <v>949.47433527864212</v>
      </c>
      <c r="FG197" s="121">
        <f t="shared" si="124"/>
        <v>73</v>
      </c>
      <c r="FH197" s="121">
        <f t="shared" si="146"/>
        <v>13</v>
      </c>
      <c r="FI197" s="121">
        <f t="shared" si="154"/>
        <v>46</v>
      </c>
      <c r="FJ197" s="144">
        <f t="shared" si="125"/>
        <v>0.13414634146341464</v>
      </c>
      <c r="FK197" s="132">
        <f t="shared" si="126"/>
        <v>0</v>
      </c>
      <c r="FL197" s="115">
        <f t="shared" si="126"/>
        <v>-6</v>
      </c>
      <c r="FM197" s="115">
        <f t="shared" si="126"/>
        <v>-2</v>
      </c>
      <c r="FN197" s="115">
        <f t="shared" si="126"/>
        <v>-6</v>
      </c>
      <c r="FO197" s="115">
        <f t="shared" si="150"/>
        <v>0</v>
      </c>
      <c r="FP197" s="115">
        <f t="shared" si="150"/>
        <v>0</v>
      </c>
      <c r="FQ197" s="149">
        <f t="shared" si="150"/>
        <v>0</v>
      </c>
      <c r="FR197" s="142">
        <f t="shared" si="148"/>
        <v>0</v>
      </c>
      <c r="FS197" s="119">
        <f t="shared" si="148"/>
        <v>0</v>
      </c>
      <c r="FT197" s="121">
        <f t="shared" si="148"/>
        <v>0</v>
      </c>
      <c r="FU197" s="121">
        <f t="shared" si="127"/>
        <v>3</v>
      </c>
      <c r="FV197" s="121">
        <f t="shared" si="127"/>
        <v>0</v>
      </c>
      <c r="FW197" s="121">
        <f t="shared" si="128"/>
        <v>0</v>
      </c>
      <c r="FX197" s="121">
        <f t="shared" si="129"/>
        <v>2</v>
      </c>
      <c r="FY197" s="144">
        <f t="shared" si="129"/>
        <v>6.2393647192285906E-3</v>
      </c>
      <c r="FZ197" s="145"/>
      <c r="GA197" s="151"/>
      <c r="GB197" s="145"/>
      <c r="GC197" s="151" t="s">
        <v>964</v>
      </c>
      <c r="GD197" s="997" t="s">
        <v>220</v>
      </c>
      <c r="GE197" s="1004"/>
      <c r="GF197" s="1004">
        <v>0</v>
      </c>
      <c r="GG197" s="1004"/>
      <c r="GH197" s="1004">
        <v>0</v>
      </c>
      <c r="GI197" s="145"/>
      <c r="GJ197" s="996">
        <v>-0.65950368000000026</v>
      </c>
      <c r="GK197" s="145"/>
      <c r="GL197" s="996">
        <v>0</v>
      </c>
      <c r="GM197" s="1005"/>
      <c r="GN197" s="996">
        <v>0</v>
      </c>
      <c r="GO197" s="1006"/>
      <c r="GP197" s="996">
        <v>0.7556018799999995</v>
      </c>
      <c r="GQ197" s="1006" t="s">
        <v>199</v>
      </c>
      <c r="GR197" s="996">
        <v>-5.5458731855999996</v>
      </c>
      <c r="GS197" s="1006"/>
      <c r="GT197" s="996">
        <v>-0.63333721439999913</v>
      </c>
      <c r="GU197" s="1006"/>
      <c r="GV197" s="996">
        <v>0</v>
      </c>
      <c r="GW197" s="1006"/>
      <c r="GX197" s="1036">
        <v>0</v>
      </c>
      <c r="GY197" s="1006" t="s">
        <v>223</v>
      </c>
      <c r="GZ197" s="996">
        <v>-4.4552112000000008</v>
      </c>
      <c r="HA197" s="1006"/>
      <c r="HB197" s="996">
        <v>-0.57611535520000068</v>
      </c>
      <c r="HC197" s="1006"/>
      <c r="HD197" s="996">
        <v>12.277440155200001</v>
      </c>
      <c r="HE197" s="1006"/>
      <c r="HF197" s="996">
        <v>0</v>
      </c>
      <c r="HG197" s="1006"/>
      <c r="HH197" s="996">
        <v>0</v>
      </c>
      <c r="HI197" s="1006"/>
      <c r="HJ197" s="996">
        <v>0</v>
      </c>
      <c r="HK197" s="1006"/>
      <c r="HL197" s="996">
        <v>-2.8913600000000095E-2</v>
      </c>
      <c r="HM197" s="1006"/>
      <c r="HN197" s="996">
        <v>0</v>
      </c>
      <c r="HO197" s="1006"/>
      <c r="HP197" s="996">
        <v>0</v>
      </c>
      <c r="HQ197" s="1006" t="s">
        <v>965</v>
      </c>
      <c r="HR197" s="996">
        <v>-5.2646072555999996</v>
      </c>
      <c r="HS197" s="1006"/>
      <c r="HT197" s="996">
        <v>0</v>
      </c>
      <c r="HU197" s="1006"/>
      <c r="HV197" s="996">
        <v>0</v>
      </c>
      <c r="HW197" s="1006"/>
      <c r="HX197" s="996">
        <v>0</v>
      </c>
      <c r="HY197" s="1006"/>
      <c r="HZ197" s="996">
        <v>0</v>
      </c>
      <c r="IA197" s="1006"/>
      <c r="IB197" s="996">
        <v>0</v>
      </c>
      <c r="IC197" s="1006" t="s">
        <v>314</v>
      </c>
      <c r="ID197" s="996">
        <v>1.3991314392000014</v>
      </c>
      <c r="IE197" s="1006"/>
      <c r="IF197" s="996">
        <v>0</v>
      </c>
      <c r="IG197" s="1006"/>
      <c r="IH197" s="996">
        <v>0</v>
      </c>
      <c r="II197" s="1006" t="s">
        <v>25</v>
      </c>
      <c r="IJ197" s="996">
        <v>8.927910516799999</v>
      </c>
      <c r="IK197" s="1006"/>
      <c r="IL197" s="996">
        <v>0</v>
      </c>
      <c r="IM197" s="1006"/>
      <c r="IN197" s="996">
        <v>0</v>
      </c>
      <c r="IO197" s="1006"/>
      <c r="IP197" s="996">
        <v>0</v>
      </c>
      <c r="IQ197" s="1006" t="s">
        <v>199</v>
      </c>
      <c r="IR197" s="996">
        <v>-5.1913927999999991</v>
      </c>
      <c r="IS197" s="1006" t="s">
        <v>199</v>
      </c>
      <c r="IT197" s="996">
        <v>4.1499039999999994</v>
      </c>
      <c r="IU197" s="1006"/>
      <c r="IV197" s="996">
        <v>0</v>
      </c>
      <c r="IW197" s="1006"/>
      <c r="IX197" s="996">
        <v>0</v>
      </c>
      <c r="IY197" s="1006"/>
      <c r="IZ197" s="996">
        <v>0</v>
      </c>
      <c r="JA197" s="1006"/>
      <c r="JB197" s="996">
        <v>0</v>
      </c>
      <c r="JC197" s="1006"/>
      <c r="JD197" s="996">
        <v>-1.0031999999999996</v>
      </c>
      <c r="JE197" s="1006"/>
      <c r="JF197" s="996">
        <v>0.66879999999999917</v>
      </c>
      <c r="JG197" s="1006"/>
      <c r="JH197" s="996">
        <v>0</v>
      </c>
      <c r="JI197" s="1006"/>
      <c r="JJ197" s="996">
        <v>0</v>
      </c>
      <c r="JK197" s="1007"/>
      <c r="JL197" s="1007">
        <v>0</v>
      </c>
      <c r="JM197" s="1007"/>
      <c r="JN197" s="1007">
        <v>0</v>
      </c>
      <c r="JO197" s="1008" t="s">
        <v>199</v>
      </c>
      <c r="JP197" s="1007">
        <v>-0.2842399999999996</v>
      </c>
      <c r="JQ197" s="1008">
        <v>0</v>
      </c>
      <c r="JR197" s="1007">
        <v>0</v>
      </c>
      <c r="JS197" s="1008">
        <v>0</v>
      </c>
      <c r="JT197" s="1007">
        <v>0</v>
      </c>
      <c r="JU197" s="1008"/>
      <c r="JV197" s="1007">
        <v>0</v>
      </c>
      <c r="JW197" s="1008" t="s">
        <v>197</v>
      </c>
      <c r="JX197" s="1007">
        <v>0</v>
      </c>
      <c r="JY197" s="1008"/>
      <c r="JZ197" s="1007">
        <v>0</v>
      </c>
      <c r="KA197" s="1008"/>
      <c r="KB197" s="1007">
        <v>0</v>
      </c>
      <c r="KC197" s="1008" t="s">
        <v>199</v>
      </c>
      <c r="KD197" s="1007">
        <v>-4.0629599999999995</v>
      </c>
      <c r="KE197" s="1008"/>
      <c r="KF197" s="1007">
        <v>0</v>
      </c>
      <c r="KG197" s="1008" t="s">
        <v>204</v>
      </c>
      <c r="KH197" s="1007">
        <v>3.7619999999999996</v>
      </c>
      <c r="KI197" s="1008"/>
      <c r="KJ197" s="1007">
        <v>0</v>
      </c>
      <c r="KK197" s="1008"/>
      <c r="KL197" s="1007">
        <v>0</v>
      </c>
      <c r="KM197" s="1008"/>
      <c r="KN197" s="1007">
        <v>0</v>
      </c>
      <c r="KO197" s="1008"/>
      <c r="KP197" s="1007">
        <v>0</v>
      </c>
      <c r="KQ197" s="1008">
        <v>0</v>
      </c>
      <c r="KR197" s="1007">
        <v>0</v>
      </c>
      <c r="KS197" s="1008" t="s">
        <v>207</v>
      </c>
      <c r="KT197" s="1007">
        <v>-3.3440000000000003</v>
      </c>
      <c r="KU197" s="1008" t="s">
        <v>206</v>
      </c>
      <c r="KV197" s="1007">
        <v>-0.83599999999999852</v>
      </c>
      <c r="KW197" s="1008">
        <v>0</v>
      </c>
      <c r="KX197" s="1007">
        <v>0</v>
      </c>
      <c r="KY197" s="1008" t="s">
        <v>206</v>
      </c>
      <c r="KZ197" s="1007">
        <v>-3.2281303999999995</v>
      </c>
      <c r="LA197" s="1008" t="s">
        <v>241</v>
      </c>
      <c r="LB197" s="1007">
        <v>10.998343602399999</v>
      </c>
      <c r="LC197" s="1008">
        <v>0</v>
      </c>
      <c r="LD197" s="1007">
        <v>0</v>
      </c>
      <c r="LE197" s="1008">
        <v>0</v>
      </c>
      <c r="LF197" s="1007">
        <v>0</v>
      </c>
      <c r="LG197" s="1008">
        <v>0</v>
      </c>
      <c r="LH197" s="1007">
        <v>-4.18</v>
      </c>
      <c r="LI197" s="1008">
        <v>0</v>
      </c>
      <c r="LJ197" s="1007">
        <v>0</v>
      </c>
      <c r="LK197" s="1008">
        <v>0</v>
      </c>
      <c r="LL197" s="1007">
        <v>0</v>
      </c>
      <c r="LM197" s="1008">
        <v>0</v>
      </c>
      <c r="LN197" s="1007">
        <v>0</v>
      </c>
      <c r="LO197" s="1008">
        <v>0</v>
      </c>
      <c r="LP197" s="1007">
        <v>0</v>
      </c>
      <c r="LQ197" s="1008" t="s">
        <v>223</v>
      </c>
      <c r="LR197" s="1007">
        <v>-1.6719999999999997</v>
      </c>
      <c r="LS197" s="1008">
        <v>0</v>
      </c>
      <c r="LT197" s="1007">
        <v>-0.83599999999999997</v>
      </c>
      <c r="LU197" s="1008">
        <v>0</v>
      </c>
      <c r="LV197" s="1007">
        <v>0</v>
      </c>
      <c r="LW197" s="1008">
        <v>0</v>
      </c>
      <c r="LX197" s="1007">
        <v>0</v>
      </c>
      <c r="LY197" s="1009">
        <v>0</v>
      </c>
      <c r="LZ197" s="1010">
        <v>-4.1800000000000006</v>
      </c>
      <c r="MA197" s="1011" t="s">
        <v>206</v>
      </c>
      <c r="MB197" s="1012">
        <v>-5.5593999999999983</v>
      </c>
      <c r="MC197" s="995"/>
      <c r="MD197" s="996"/>
      <c r="ME197" s="997" t="s">
        <v>220</v>
      </c>
      <c r="MF197" s="997"/>
      <c r="MG197" s="998"/>
      <c r="NR197" s="1000"/>
      <c r="NS197" s="1000"/>
      <c r="NT197" s="1001"/>
      <c r="NU197" s="1000"/>
      <c r="NV197" s="1001"/>
      <c r="NX197" s="1002"/>
      <c r="NZ197" s="1001"/>
      <c r="OA197" s="1001"/>
      <c r="OC197" s="1003"/>
      <c r="OD197" s="1003"/>
      <c r="OE197" s="1001"/>
      <c r="OF197" s="1003"/>
      <c r="OG197" s="1003"/>
      <c r="QX197" s="1000">
        <f>CN197-CA197</f>
        <v>26</v>
      </c>
      <c r="ASU197" s="999" t="s">
        <v>225</v>
      </c>
    </row>
    <row r="198" spans="1:466 1191:1191" ht="21" customHeight="1" x14ac:dyDescent="0.25">
      <c r="A198" s="982" t="str">
        <f t="shared" si="104"/>
        <v>1094-2</v>
      </c>
      <c r="B198" s="124">
        <f>SUBTOTAL(103,$J$29:J198)</f>
        <v>170</v>
      </c>
      <c r="C198" s="126">
        <v>45068</v>
      </c>
      <c r="D198" s="124" t="s">
        <v>176</v>
      </c>
      <c r="E198" s="127" t="s">
        <v>177</v>
      </c>
      <c r="F198" s="128" t="s">
        <v>177</v>
      </c>
      <c r="G198" s="127" t="s">
        <v>178</v>
      </c>
      <c r="H198" s="127" t="s">
        <v>179</v>
      </c>
      <c r="I198" s="127" t="s">
        <v>921</v>
      </c>
      <c r="J198" s="152" t="s">
        <v>966</v>
      </c>
      <c r="K198" s="127" t="s">
        <v>961</v>
      </c>
      <c r="L198" s="130">
        <v>41151</v>
      </c>
      <c r="M198" s="127" t="s">
        <v>230</v>
      </c>
      <c r="N198" s="127" t="s">
        <v>245</v>
      </c>
      <c r="O198" s="127" t="s">
        <v>185</v>
      </c>
      <c r="P198" s="127" t="s">
        <v>292</v>
      </c>
      <c r="Q198" s="85" t="str">
        <f t="shared" si="133"/>
        <v/>
      </c>
      <c r="R198" s="130"/>
      <c r="S198" s="128" t="s">
        <v>156</v>
      </c>
      <c r="T198" s="131"/>
      <c r="U198" s="132">
        <v>203</v>
      </c>
      <c r="V198" s="121">
        <v>218.2</v>
      </c>
      <c r="W198" s="116">
        <v>0.98</v>
      </c>
      <c r="X198" s="116">
        <v>1.66</v>
      </c>
      <c r="Y198" s="116">
        <f t="shared" si="137"/>
        <v>0.98</v>
      </c>
      <c r="Z198" s="133">
        <v>1.454</v>
      </c>
      <c r="AA198" s="133">
        <v>0.83599999999999997</v>
      </c>
      <c r="AB198" s="133">
        <v>0.72</v>
      </c>
      <c r="AC198" s="121">
        <v>34.299999999999997</v>
      </c>
      <c r="AD198" s="134">
        <v>1.17</v>
      </c>
      <c r="AE198" s="124">
        <v>177.8</v>
      </c>
      <c r="AF198" s="128">
        <v>8.0500000000000007</v>
      </c>
      <c r="AG198" s="128">
        <v>1899</v>
      </c>
      <c r="AH198" s="127">
        <v>2472</v>
      </c>
      <c r="AI198" s="127">
        <v>2472</v>
      </c>
      <c r="AJ198" s="135"/>
      <c r="AK198" s="128"/>
      <c r="AL198" s="131"/>
      <c r="AM198" s="124" t="s">
        <v>232</v>
      </c>
      <c r="AN198" s="136" t="s">
        <v>967</v>
      </c>
      <c r="AO198" s="137">
        <v>18.760000000000002</v>
      </c>
      <c r="AP198" s="128">
        <v>1663</v>
      </c>
      <c r="AQ198" s="128">
        <v>0.26</v>
      </c>
      <c r="AR198" s="128"/>
      <c r="AS198" s="128"/>
      <c r="AT198" s="122"/>
      <c r="AU198" s="124" t="s">
        <v>189</v>
      </c>
      <c r="AV198" s="115">
        <f>VLOOKUP(J198,'[63]ТР нефть'!$J$28:$BP$638,39,0)</f>
        <v>449.999992969</v>
      </c>
      <c r="AW198" s="115" t="str">
        <f>VLOOKUP(J198,'[63]ТР нефть'!$J$28:$BP$638,40,0)</f>
        <v>ГП</v>
      </c>
      <c r="AX198" s="115">
        <f>VLOOKUP(J198,'[63]ТР нефть'!$J$28:$BP$638,41,0)</f>
        <v>820.00003183599995</v>
      </c>
      <c r="AY198" s="115" t="str">
        <f>VLOOKUP(J198,'[63]ТР нефть'!$J$28:$BP$638,42,0)</f>
        <v>ГП</v>
      </c>
      <c r="AZ198" s="115">
        <f>VLOOKUP(J198,'[63]ТР нефть'!$J$28:$BP$638,43,0)</f>
        <v>1120.0000271480001</v>
      </c>
      <c r="BA198" s="115" t="str">
        <f>VLOOKUP(J198,'[63]ТР нефть'!$J$28:$BP$638,44,0)</f>
        <v>ГК 73 1/8</v>
      </c>
      <c r="BB198" s="115">
        <f>VLOOKUP(J198,'[63]ТР нефть'!$J$28:$BP$638,45,0)</f>
        <v>1380.0000082030001</v>
      </c>
      <c r="BC198" s="115" t="str">
        <f>VLOOKUP(J198,'[63]ТР нефть'!$J$28:$BP$638,46,0)</f>
        <v>ГК 70 1/8</v>
      </c>
      <c r="BD198" s="115">
        <f>VLOOKUP(J198,'[63]ТР нефть'!$J$28:$BP$638,47,0)</f>
        <v>1599.9999749999999</v>
      </c>
      <c r="BE198" s="115" t="str">
        <f>VLOOKUP(J198,'[63]ТР нефть'!$J$28:$BP$638,48,0)</f>
        <v>ЦКсОК 5/16</v>
      </c>
      <c r="BF198" s="115" t="str">
        <f>VLOOKUP(J198,'[63]ТР нефть'!$J$28:$BP$638,49,0)</f>
        <v>-</v>
      </c>
      <c r="BG198" s="115" t="str">
        <f>VLOOKUP(J198,'[63]ТР нефть'!$J$28:$BP$638,50,0)</f>
        <v>-</v>
      </c>
      <c r="BH198" s="115">
        <f>VLOOKUP(J198,'[63]ТР нефть'!$J$28:$BP$638,51,0)</f>
        <v>1620</v>
      </c>
      <c r="BI198" s="115" t="str">
        <f>VLOOKUP(J198,'[63]ТР нефть'!$J$28:$BP$638,52,0)</f>
        <v>закрыт</v>
      </c>
      <c r="BJ198" s="115" t="str">
        <f>IF(IFERROR(VLOOKUP(J198,'[63]ТР нефть'!$J$28:$BP$638,53,0),"-")=0,"-",IFERROR(VLOOKUP(J198,'[63]ТР нефть'!$J$28:$BP$638,53,0),"-"))</f>
        <v>-</v>
      </c>
      <c r="BK198" s="138" t="str">
        <f>IF(IFERROR(VLOOKUP(J198,'[63]ТР нефть'!$J$28:$BP$638,54,0),"-")=0,"-",IFERROR(VLOOKUP(J198,'[63]ТР нефть'!$J$28:$BP$638,54,0),"-"))</f>
        <v>-</v>
      </c>
      <c r="BL198" s="138" t="str">
        <f>IF(IFERROR(VLOOKUP(J198,'[63]ТР нефть'!$J$28:$BP$638,55,0),"-")=0,"-",IFERROR(VLOOKUP(J198,'[63]ТР нефть'!$J$28:$BP$638,55,0),"-"))</f>
        <v>-</v>
      </c>
      <c r="BM198" s="138" t="str">
        <f>IF(IFERROR(VLOOKUP(J198,'[63]ТР нефть'!$J$28:$BP$638,56,0),"-")=0,"-",IFERROR(VLOOKUP(J198,'[63]ТР нефть'!$J$28:$BP$638,56,0),"-"))</f>
        <v>-</v>
      </c>
      <c r="BN198" s="138" t="str">
        <f>IF(IFERROR(VLOOKUP(J198,'[63]ТР нефть'!$J$28:$BP$638,57,0),"-")=0,"-",IFERROR(VLOOKUP(J198,'[63]ТР нефть'!$J$28:$BP$638,57,0),"-"))</f>
        <v>-</v>
      </c>
      <c r="BO198" s="115" t="str">
        <f>IF(IFERROR(VLOOKUP(J198,'[63]ТР нефть'!$J$28:$BP$638,58,0),"-")=0,"-",IFERROR(VLOOKUP(J198,'[63]ТР нефть'!$J$28:$BP$638,58,0),"-"))</f>
        <v>-</v>
      </c>
      <c r="BP198" s="115" t="str">
        <f>IF(IFERROR(VLOOKUP(J198,'[63]ТР нефть'!$J$28:$BP$638,59,0),"-")=0,"-",IFERROR(VLOOKUP(J198,'[63]ТР нефть'!$J$28:$BP$638,59,0),"-"))</f>
        <v>-</v>
      </c>
      <c r="BQ198" s="138">
        <v>1950</v>
      </c>
      <c r="BR198" s="128">
        <v>1881.07</v>
      </c>
      <c r="BS198" s="115">
        <f t="shared" si="105"/>
        <v>68.930000000000064</v>
      </c>
      <c r="BT198" s="128">
        <v>73</v>
      </c>
      <c r="BU198" s="128">
        <v>5.5</v>
      </c>
      <c r="BV198" s="127">
        <v>65</v>
      </c>
      <c r="BW198" s="127" t="s">
        <v>217</v>
      </c>
      <c r="BX198" s="127" t="s">
        <v>195</v>
      </c>
      <c r="BY198" s="139">
        <v>24</v>
      </c>
      <c r="BZ198" s="139">
        <v>0</v>
      </c>
      <c r="CA198" s="138">
        <v>19</v>
      </c>
      <c r="CB198" s="138">
        <v>73</v>
      </c>
      <c r="CC198" s="138">
        <v>18</v>
      </c>
      <c r="CD198" s="135">
        <v>45017</v>
      </c>
      <c r="CE198" s="138">
        <v>72</v>
      </c>
      <c r="CF198" s="138">
        <v>72</v>
      </c>
      <c r="CG198" s="138" t="str">
        <f t="shared" si="153"/>
        <v>В работе</v>
      </c>
      <c r="CH198" s="138" t="s">
        <v>196</v>
      </c>
      <c r="CI198" s="138">
        <v>6</v>
      </c>
      <c r="CJ198" s="139"/>
      <c r="CK198" s="139">
        <f t="shared" si="157"/>
        <v>27</v>
      </c>
      <c r="CL198" s="99"/>
      <c r="CM198" s="99"/>
      <c r="CN198" s="140">
        <v>46</v>
      </c>
      <c r="CO198" s="141">
        <f t="shared" si="106"/>
        <v>4.0964</v>
      </c>
      <c r="CP198" s="142">
        <v>4.9000000000000004</v>
      </c>
      <c r="CQ198" s="143">
        <v>0</v>
      </c>
      <c r="CR198" s="138">
        <v>3.5</v>
      </c>
      <c r="CS198" s="139">
        <v>2</v>
      </c>
      <c r="CT198" s="138"/>
      <c r="CU198" s="138">
        <f t="shared" si="134"/>
        <v>1.5</v>
      </c>
      <c r="CV198" s="115">
        <f t="shared" si="135"/>
        <v>366.17517820525342</v>
      </c>
      <c r="CW198" s="115">
        <f t="shared" si="109"/>
        <v>488.23357094033787</v>
      </c>
      <c r="CX198" s="133">
        <f t="shared" si="136"/>
        <v>0.18846153846153849</v>
      </c>
      <c r="CY198" s="116"/>
      <c r="CZ198" s="131"/>
      <c r="DA198" s="145" t="str">
        <f t="shared" si="111"/>
        <v>Газлифт</v>
      </c>
      <c r="DB198" s="146">
        <f t="shared" si="112"/>
        <v>4.0964</v>
      </c>
      <c r="DC198" s="142">
        <f t="shared" si="151"/>
        <v>4.9000000000000004</v>
      </c>
      <c r="DD198" s="119">
        <f t="shared" si="152"/>
        <v>0</v>
      </c>
      <c r="DE198" s="115">
        <f t="shared" si="115"/>
        <v>1.5</v>
      </c>
      <c r="DF198" s="121">
        <f t="shared" si="116"/>
        <v>2</v>
      </c>
      <c r="DG198" s="115">
        <f t="shared" si="117"/>
        <v>366.17517820525342</v>
      </c>
      <c r="DH198" s="115">
        <f t="shared" si="118"/>
        <v>46</v>
      </c>
      <c r="DI198" s="147"/>
      <c r="DJ198" s="111" t="s">
        <v>197</v>
      </c>
      <c r="DK198" s="112">
        <v>43060</v>
      </c>
      <c r="DL198" s="113">
        <f t="shared" ca="1" si="138"/>
        <v>2044</v>
      </c>
      <c r="DM198" s="114"/>
      <c r="DN198" s="114"/>
      <c r="DO198" s="114"/>
      <c r="DP198" s="114"/>
      <c r="DQ198" s="112">
        <v>43884</v>
      </c>
      <c r="DR198" s="114" t="s">
        <v>198</v>
      </c>
      <c r="DS198" s="114"/>
      <c r="DT198" s="115">
        <v>50</v>
      </c>
      <c r="DU198" s="116">
        <f t="shared" si="139"/>
        <v>0.22272727272727275</v>
      </c>
      <c r="DV198" s="117">
        <f t="shared" si="140"/>
        <v>4.0964</v>
      </c>
      <c r="DW198" s="118">
        <f t="shared" si="141"/>
        <v>4.9000000000000004</v>
      </c>
      <c r="DX198" s="119">
        <f t="shared" si="119"/>
        <v>0</v>
      </c>
      <c r="DY198" s="115">
        <f t="shared" si="142"/>
        <v>1.5</v>
      </c>
      <c r="DZ198" s="117">
        <f t="shared" si="143"/>
        <v>0</v>
      </c>
      <c r="EA198" s="120">
        <f t="shared" si="143"/>
        <v>0</v>
      </c>
      <c r="EB198" s="119">
        <f t="shared" si="143"/>
        <v>0</v>
      </c>
      <c r="EC198" s="121">
        <f t="shared" si="144"/>
        <v>0</v>
      </c>
      <c r="ED198" s="122"/>
      <c r="EE198" s="145">
        <v>65</v>
      </c>
      <c r="EF198" s="115">
        <v>24</v>
      </c>
      <c r="EG198" s="115">
        <v>70</v>
      </c>
      <c r="EH198" s="115">
        <v>23</v>
      </c>
      <c r="EI198" s="128" t="s">
        <v>195</v>
      </c>
      <c r="EJ198" s="121">
        <v>24</v>
      </c>
      <c r="EK198" s="121">
        <v>0</v>
      </c>
      <c r="EL198" s="149">
        <v>4.0964</v>
      </c>
      <c r="EM198" s="142">
        <v>4.9000000000000004</v>
      </c>
      <c r="EN198" s="119">
        <v>0</v>
      </c>
      <c r="EO198" s="115">
        <v>3.5</v>
      </c>
      <c r="EP198" s="115">
        <v>366.17517820525342</v>
      </c>
      <c r="EQ198" s="115">
        <v>72</v>
      </c>
      <c r="ER198" s="115">
        <v>2</v>
      </c>
      <c r="ES198" s="115">
        <v>46</v>
      </c>
      <c r="ET198" s="150">
        <v>0.18846153846153849</v>
      </c>
      <c r="EU198" s="145">
        <f t="shared" si="120"/>
        <v>65</v>
      </c>
      <c r="EV198" s="115">
        <f t="shared" si="121"/>
        <v>19</v>
      </c>
      <c r="EW198" s="115">
        <f t="shared" si="121"/>
        <v>73</v>
      </c>
      <c r="EX198" s="115">
        <f t="shared" si="121"/>
        <v>18</v>
      </c>
      <c r="EY198" s="115" t="str">
        <f t="shared" si="156"/>
        <v>Постоянный</v>
      </c>
      <c r="EZ198" s="115">
        <f t="shared" si="155"/>
        <v>24</v>
      </c>
      <c r="FA198" s="115">
        <f t="shared" si="155"/>
        <v>0</v>
      </c>
      <c r="FB198" s="149">
        <f t="shared" si="123"/>
        <v>4.0964</v>
      </c>
      <c r="FC198" s="142">
        <f t="shared" si="123"/>
        <v>4.9000000000000004</v>
      </c>
      <c r="FD198" s="119">
        <f t="shared" si="123"/>
        <v>0</v>
      </c>
      <c r="FE198" s="121">
        <f t="shared" si="103"/>
        <v>3.5</v>
      </c>
      <c r="FF198" s="121">
        <f t="shared" si="145"/>
        <v>366.17517820525342</v>
      </c>
      <c r="FG198" s="121">
        <f t="shared" si="124"/>
        <v>72</v>
      </c>
      <c r="FH198" s="121">
        <f t="shared" si="146"/>
        <v>2</v>
      </c>
      <c r="FI198" s="121">
        <f t="shared" si="154"/>
        <v>46</v>
      </c>
      <c r="FJ198" s="144">
        <f t="shared" si="125"/>
        <v>0.18846153846153849</v>
      </c>
      <c r="FK198" s="132">
        <f t="shared" si="126"/>
        <v>0</v>
      </c>
      <c r="FL198" s="115">
        <f t="shared" si="126"/>
        <v>-5</v>
      </c>
      <c r="FM198" s="115">
        <f t="shared" si="126"/>
        <v>3</v>
      </c>
      <c r="FN198" s="115">
        <f t="shared" si="126"/>
        <v>-5</v>
      </c>
      <c r="FO198" s="115">
        <f t="shared" si="150"/>
        <v>0</v>
      </c>
      <c r="FP198" s="115">
        <f t="shared" si="150"/>
        <v>0</v>
      </c>
      <c r="FQ198" s="149">
        <f t="shared" si="150"/>
        <v>0</v>
      </c>
      <c r="FR198" s="142">
        <f t="shared" si="148"/>
        <v>0</v>
      </c>
      <c r="FS198" s="119">
        <f t="shared" si="148"/>
        <v>0</v>
      </c>
      <c r="FT198" s="121">
        <f t="shared" si="148"/>
        <v>0</v>
      </c>
      <c r="FU198" s="121">
        <f>FG198-EQ198</f>
        <v>0</v>
      </c>
      <c r="FV198" s="121">
        <f t="shared" si="127"/>
        <v>0</v>
      </c>
      <c r="FW198" s="121">
        <f>FF198-EP198</f>
        <v>0</v>
      </c>
      <c r="FX198" s="121">
        <f>FI198-ES198</f>
        <v>0</v>
      </c>
      <c r="FY198" s="144">
        <f t="shared" si="129"/>
        <v>0</v>
      </c>
      <c r="FZ198" s="124"/>
      <c r="GA198" s="151"/>
      <c r="GB198" s="145" t="s">
        <v>204</v>
      </c>
      <c r="GC198" s="151" t="s">
        <v>219</v>
      </c>
      <c r="GD198" s="997" t="s">
        <v>220</v>
      </c>
      <c r="GE198" s="1004" t="s">
        <v>204</v>
      </c>
      <c r="GF198" s="1004">
        <v>2.0064000000000002</v>
      </c>
      <c r="GG198" s="1004"/>
      <c r="GH198" s="1004">
        <v>0</v>
      </c>
      <c r="GI198" s="145"/>
      <c r="GJ198" s="996">
        <v>-0.73317199999999971</v>
      </c>
      <c r="GK198" s="145"/>
      <c r="GL198" s="996">
        <v>0</v>
      </c>
      <c r="GM198" s="1005"/>
      <c r="GN198" s="996">
        <v>0</v>
      </c>
      <c r="GO198" s="1006" t="s">
        <v>199</v>
      </c>
      <c r="GP198" s="996">
        <v>-4.7558735840000006</v>
      </c>
      <c r="GQ198" s="1006"/>
      <c r="GR198" s="996">
        <v>0</v>
      </c>
      <c r="GS198" s="1006" t="s">
        <v>199</v>
      </c>
      <c r="GT198" s="996">
        <v>2.9789622720000013</v>
      </c>
      <c r="GU198" s="1006"/>
      <c r="GV198" s="996">
        <v>0</v>
      </c>
      <c r="GW198" s="1006"/>
      <c r="GX198" s="1036">
        <v>0</v>
      </c>
      <c r="GY198" s="1006"/>
      <c r="GZ198" s="996">
        <v>0</v>
      </c>
      <c r="HA198" s="1006"/>
      <c r="HB198" s="996">
        <v>-0.16511668800000123</v>
      </c>
      <c r="HC198" s="1006"/>
      <c r="HD198" s="996">
        <v>0.58520000000000039</v>
      </c>
      <c r="HE198" s="1006"/>
      <c r="HF198" s="996">
        <v>0</v>
      </c>
      <c r="HG198" s="1006"/>
      <c r="HH198" s="996">
        <v>0</v>
      </c>
      <c r="HI198" s="1006"/>
      <c r="HJ198" s="996">
        <v>-0.25079999999999991</v>
      </c>
      <c r="HK198" s="1006"/>
      <c r="HL198" s="996">
        <v>0</v>
      </c>
      <c r="HM198" s="1006" t="s">
        <v>199</v>
      </c>
      <c r="HN198" s="996">
        <v>-1.4211999999999998</v>
      </c>
      <c r="HO198" s="1006"/>
      <c r="HP198" s="996">
        <v>0</v>
      </c>
      <c r="HQ198" s="1006"/>
      <c r="HR198" s="996">
        <v>0</v>
      </c>
      <c r="HS198" s="1006" t="s">
        <v>241</v>
      </c>
      <c r="HT198" s="996">
        <v>-2.508</v>
      </c>
      <c r="HU198" s="1006"/>
      <c r="HV198" s="996">
        <v>0</v>
      </c>
      <c r="HW198" s="1006" t="s">
        <v>241</v>
      </c>
      <c r="HX198" s="996">
        <v>5.016</v>
      </c>
      <c r="HY198" s="1006"/>
      <c r="HZ198" s="996">
        <v>0</v>
      </c>
      <c r="IA198" s="1006"/>
      <c r="IB198" s="996">
        <v>0</v>
      </c>
      <c r="IC198" s="1006"/>
      <c r="ID198" s="996">
        <v>0</v>
      </c>
      <c r="IE198" s="1006"/>
      <c r="IF198" s="996">
        <v>0</v>
      </c>
      <c r="IG198" s="1006"/>
      <c r="IH198" s="996">
        <v>0</v>
      </c>
      <c r="II198" s="1006"/>
      <c r="IJ198" s="996">
        <v>0</v>
      </c>
      <c r="IK198" s="1006"/>
      <c r="IL198" s="996">
        <v>0</v>
      </c>
      <c r="IM198" s="1006"/>
      <c r="IN198" s="996">
        <v>0</v>
      </c>
      <c r="IO198" s="1006"/>
      <c r="IP198" s="996">
        <v>0</v>
      </c>
      <c r="IQ198" s="1006"/>
      <c r="IR198" s="996">
        <v>0</v>
      </c>
      <c r="IS198" s="1006"/>
      <c r="IT198" s="996">
        <v>0</v>
      </c>
      <c r="IU198" s="1006"/>
      <c r="IV198" s="996">
        <v>0</v>
      </c>
      <c r="IW198" s="1006"/>
      <c r="IX198" s="996">
        <v>0</v>
      </c>
      <c r="IY198" s="1006"/>
      <c r="IZ198" s="996">
        <v>0</v>
      </c>
      <c r="JA198" s="1006" t="s">
        <v>199</v>
      </c>
      <c r="JB198" s="996">
        <v>-7.7654367999999998</v>
      </c>
      <c r="JC198" s="1006"/>
      <c r="JD198" s="996">
        <v>0</v>
      </c>
      <c r="JE198" s="1006"/>
      <c r="JF198" s="996">
        <v>0</v>
      </c>
      <c r="JG198" s="1006"/>
      <c r="JH198" s="996">
        <v>0</v>
      </c>
      <c r="JI198" s="1006"/>
      <c r="JJ198" s="996">
        <v>0</v>
      </c>
      <c r="JK198" s="1007"/>
      <c r="JL198" s="1007">
        <v>0</v>
      </c>
      <c r="JM198" s="1007"/>
      <c r="JN198" s="1007">
        <v>0</v>
      </c>
      <c r="JO198" s="1008" t="s">
        <v>199</v>
      </c>
      <c r="JP198" s="1007">
        <v>-1.455476</v>
      </c>
      <c r="JQ198" s="1008" t="s">
        <v>204</v>
      </c>
      <c r="JR198" s="1007">
        <v>-9.054582240000002</v>
      </c>
      <c r="JS198" s="1008">
        <v>0</v>
      </c>
      <c r="JT198" s="1007">
        <v>0</v>
      </c>
      <c r="JU198" s="1008"/>
      <c r="JV198" s="1007">
        <v>0</v>
      </c>
      <c r="JW198" s="1008" t="s">
        <v>197</v>
      </c>
      <c r="JX198" s="1007">
        <v>0</v>
      </c>
      <c r="JY198" s="1008"/>
      <c r="JZ198" s="1007">
        <v>0</v>
      </c>
      <c r="KA198" s="1008"/>
      <c r="KB198" s="1007">
        <v>3.4153442400000014</v>
      </c>
      <c r="KC198" s="1008"/>
      <c r="KD198" s="1007">
        <v>0</v>
      </c>
      <c r="KE198" s="1008" t="s">
        <v>204</v>
      </c>
      <c r="KF198" s="1007">
        <v>3.2571396000000004</v>
      </c>
      <c r="KG198" s="1008"/>
      <c r="KH198" s="1007">
        <v>0</v>
      </c>
      <c r="KI198" s="1008"/>
      <c r="KJ198" s="1007">
        <v>0</v>
      </c>
      <c r="KK198" s="1008"/>
      <c r="KL198" s="1007">
        <v>0</v>
      </c>
      <c r="KM198" s="1008"/>
      <c r="KN198" s="1007">
        <v>0</v>
      </c>
      <c r="KO198" s="1008"/>
      <c r="KP198" s="1007">
        <v>0</v>
      </c>
      <c r="KQ198" s="1008">
        <v>0</v>
      </c>
      <c r="KR198" s="1007">
        <v>0</v>
      </c>
      <c r="KS198" s="1008" t="s">
        <v>207</v>
      </c>
      <c r="KT198" s="1007">
        <v>-2.8395576000000009</v>
      </c>
      <c r="KU198" s="1008">
        <v>0</v>
      </c>
      <c r="KV198" s="1007">
        <v>0</v>
      </c>
      <c r="KW198" s="1008">
        <v>0</v>
      </c>
      <c r="KX198" s="1007">
        <v>0</v>
      </c>
      <c r="KY198" s="1008" t="s">
        <v>223</v>
      </c>
      <c r="KZ198" s="1007">
        <v>-1.0857131999999989</v>
      </c>
      <c r="LA198" s="1008" t="s">
        <v>223</v>
      </c>
      <c r="LB198" s="1007">
        <v>-9.7714188000000011</v>
      </c>
      <c r="LC198" s="1008" t="s">
        <v>223</v>
      </c>
      <c r="LD198" s="1007">
        <v>-9.7168279999999996</v>
      </c>
      <c r="LE198" s="1008" t="s">
        <v>204</v>
      </c>
      <c r="LF198" s="1007">
        <v>31.431092</v>
      </c>
      <c r="LG198" s="1008" t="s">
        <v>25</v>
      </c>
      <c r="LH198" s="1007">
        <v>22.998360000000002</v>
      </c>
      <c r="LI198" s="1008">
        <v>0</v>
      </c>
      <c r="LJ198" s="1007">
        <v>0</v>
      </c>
      <c r="LK198" s="1008">
        <v>0</v>
      </c>
      <c r="LL198" s="1007">
        <v>0</v>
      </c>
      <c r="LM198" s="1008">
        <v>0</v>
      </c>
      <c r="LN198" s="1007">
        <v>0</v>
      </c>
      <c r="LO198" s="1008">
        <v>0</v>
      </c>
      <c r="LP198" s="1007">
        <v>0</v>
      </c>
      <c r="LQ198" s="1008" t="s">
        <v>206</v>
      </c>
      <c r="LR198" s="1007">
        <v>-1.6385600000000005</v>
      </c>
      <c r="LS198" s="1008">
        <v>0</v>
      </c>
      <c r="LT198" s="1007">
        <v>0</v>
      </c>
      <c r="LU198" s="1008">
        <v>0</v>
      </c>
      <c r="LV198" s="1007">
        <v>0</v>
      </c>
      <c r="LW198" s="1008">
        <v>0</v>
      </c>
      <c r="LX198" s="1007">
        <v>0</v>
      </c>
      <c r="LY198" s="1009">
        <v>0</v>
      </c>
      <c r="LZ198" s="1010">
        <v>-0.81927999999999901</v>
      </c>
      <c r="MA198" s="1011" t="s">
        <v>206</v>
      </c>
      <c r="MB198" s="1012">
        <v>-5.7349599999999992</v>
      </c>
      <c r="MC198" s="995"/>
      <c r="MD198" s="996"/>
      <c r="ME198" s="997" t="s">
        <v>220</v>
      </c>
      <c r="MF198" s="997"/>
      <c r="MG198" s="998"/>
      <c r="NR198" s="1000"/>
      <c r="NS198" s="1000"/>
      <c r="NT198" s="1001"/>
      <c r="NU198" s="1000"/>
      <c r="NV198" s="1001"/>
      <c r="NX198" s="1002"/>
      <c r="NZ198" s="1001"/>
      <c r="OA198" s="1001"/>
      <c r="OC198" s="1003"/>
      <c r="OD198" s="1003"/>
      <c r="OE198" s="1001"/>
      <c r="OF198" s="1003"/>
      <c r="OG198" s="1003"/>
      <c r="QX198" s="1000">
        <f>CN198-CA198</f>
        <v>27</v>
      </c>
      <c r="ASU198" s="999" t="s">
        <v>225</v>
      </c>
    </row>
    <row r="199" spans="1:466 1191:1191" ht="21" customHeight="1" x14ac:dyDescent="0.25">
      <c r="A199" s="982" t="str">
        <f t="shared" si="104"/>
        <v>1099-1</v>
      </c>
      <c r="B199" s="124">
        <f>SUBTOTAL(103,$J$29:J199)</f>
        <v>171</v>
      </c>
      <c r="C199" s="126">
        <v>45068</v>
      </c>
      <c r="D199" s="124" t="s">
        <v>176</v>
      </c>
      <c r="E199" s="127" t="s">
        <v>177</v>
      </c>
      <c r="F199" s="128" t="s">
        <v>177</v>
      </c>
      <c r="G199" s="127" t="s">
        <v>178</v>
      </c>
      <c r="H199" s="127" t="s">
        <v>179</v>
      </c>
      <c r="I199" s="127" t="s">
        <v>921</v>
      </c>
      <c r="J199" s="152" t="s">
        <v>968</v>
      </c>
      <c r="K199" s="127" t="s">
        <v>969</v>
      </c>
      <c r="L199" s="130">
        <v>41243</v>
      </c>
      <c r="M199" s="127" t="s">
        <v>230</v>
      </c>
      <c r="N199" s="127" t="s">
        <v>245</v>
      </c>
      <c r="O199" s="127" t="s">
        <v>185</v>
      </c>
      <c r="P199" s="127" t="s">
        <v>292</v>
      </c>
      <c r="Q199" s="85" t="str">
        <f t="shared" si="133"/>
        <v/>
      </c>
      <c r="R199" s="130"/>
      <c r="S199" s="128"/>
      <c r="T199" s="131"/>
      <c r="U199" s="132">
        <v>203</v>
      </c>
      <c r="V199" s="121">
        <v>218.2</v>
      </c>
      <c r="W199" s="116">
        <v>0.98</v>
      </c>
      <c r="X199" s="116">
        <v>1.66</v>
      </c>
      <c r="Y199" s="116">
        <f t="shared" si="137"/>
        <v>0.98</v>
      </c>
      <c r="Z199" s="133">
        <v>1.454</v>
      </c>
      <c r="AA199" s="133">
        <v>0.83599999999999997</v>
      </c>
      <c r="AB199" s="133">
        <v>0.72</v>
      </c>
      <c r="AC199" s="121">
        <v>34.299999999999997</v>
      </c>
      <c r="AD199" s="134">
        <v>1.17</v>
      </c>
      <c r="AE199" s="124">
        <v>177.8</v>
      </c>
      <c r="AF199" s="128">
        <v>9.19</v>
      </c>
      <c r="AG199" s="128">
        <v>1808</v>
      </c>
      <c r="AH199" s="127">
        <v>2500</v>
      </c>
      <c r="AI199" s="127">
        <v>2500</v>
      </c>
      <c r="AJ199" s="135"/>
      <c r="AK199" s="128"/>
      <c r="AL199" s="131"/>
      <c r="AM199" s="124" t="s">
        <v>232</v>
      </c>
      <c r="AN199" s="136" t="s">
        <v>970</v>
      </c>
      <c r="AO199" s="137">
        <v>17.34</v>
      </c>
      <c r="AP199" s="128">
        <v>1808</v>
      </c>
      <c r="AQ199" s="128">
        <v>52</v>
      </c>
      <c r="AR199" s="128"/>
      <c r="AS199" s="128"/>
      <c r="AT199" s="122"/>
      <c r="AU199" s="124" t="s">
        <v>189</v>
      </c>
      <c r="AV199" s="115">
        <f>VLOOKUP(J199,'[63]ТР нефть'!$J$28:$BP$638,39,0)</f>
        <v>470.00000009799999</v>
      </c>
      <c r="AW199" s="115" t="str">
        <f>VLOOKUP(J199,'[63]ТР нефть'!$J$28:$BP$638,40,0)</f>
        <v>ГП</v>
      </c>
      <c r="AX199" s="115">
        <f>VLOOKUP(J199,'[63]ТР нефть'!$J$28:$BP$638,41,0)</f>
        <v>909.99997089800002</v>
      </c>
      <c r="AY199" s="115" t="str">
        <f>VLOOKUP(J199,'[63]ТР нефть'!$J$28:$BP$638,42,0)</f>
        <v>ГК 81 1/8</v>
      </c>
      <c r="AZ199" s="115">
        <f>VLOOKUP(J199,'[63]ТР нефть'!$J$28:$BP$638,43,0)</f>
        <v>1239.999995508</v>
      </c>
      <c r="BA199" s="115" t="str">
        <f>VLOOKUP(J199,'[63]ТР нефть'!$J$28:$BP$638,44,0)</f>
        <v>ГК 79 5/32</v>
      </c>
      <c r="BB199" s="115">
        <f>VLOOKUP(J199,'[63]ТР нефть'!$J$28:$BP$638,45,0)</f>
        <v>1610.000034375</v>
      </c>
      <c r="BC199" s="115" t="str">
        <f>VLOOKUP(J199,'[63]ТР нефть'!$J$28:$BP$638,46,0)</f>
        <v>ЦКсОК 5/16</v>
      </c>
      <c r="BD199" s="115" t="str">
        <f>VLOOKUP(J199,'[63]ТР нефть'!$J$28:$BP$638,47,0)</f>
        <v>-</v>
      </c>
      <c r="BE199" s="115" t="str">
        <f>VLOOKUP(J199,'[63]ТР нефть'!$J$28:$BP$638,48,0)</f>
        <v>-</v>
      </c>
      <c r="BF199" s="115" t="str">
        <f>VLOOKUP(J199,'[63]ТР нефть'!$J$28:$BP$638,49,0)</f>
        <v>-</v>
      </c>
      <c r="BG199" s="115" t="str">
        <f>VLOOKUP(J199,'[63]ТР нефть'!$J$28:$BP$638,50,0)</f>
        <v>-</v>
      </c>
      <c r="BH199" s="115">
        <f>VLOOKUP(J199,'[63]ТР нефть'!$J$28:$BP$638,51,0)</f>
        <v>1765</v>
      </c>
      <c r="BI199" s="115" t="str">
        <f>VLOOKUP(J199,'[63]ТР нефть'!$J$28:$BP$638,52,0)</f>
        <v>закрыт</v>
      </c>
      <c r="BJ199" s="115" t="str">
        <f>IF(IFERROR(VLOOKUP(J199,'[63]ТР нефть'!$J$28:$BP$638,53,0),"-")=0,"-",IFERROR(VLOOKUP(J199,'[63]ТР нефть'!$J$28:$BP$638,53,0),"-"))</f>
        <v>-</v>
      </c>
      <c r="BK199" s="138" t="str">
        <f>IF(IFERROR(VLOOKUP(J199,'[63]ТР нефть'!$J$28:$BP$638,54,0),"-")=0,"-",IFERROR(VLOOKUP(J199,'[63]ТР нефть'!$J$28:$BP$638,54,0),"-"))</f>
        <v>-</v>
      </c>
      <c r="BL199" s="138" t="str">
        <f>IF(IFERROR(VLOOKUP(J199,'[63]ТР нефть'!$J$28:$BP$638,55,0),"-")=0,"-",IFERROR(VLOOKUP(J199,'[63]ТР нефть'!$J$28:$BP$638,55,0),"-"))</f>
        <v>-</v>
      </c>
      <c r="BM199" s="138" t="str">
        <f>IF(IFERROR(VLOOKUP(J199,'[63]ТР нефть'!$J$28:$BP$638,56,0),"-")=0,"-",IFERROR(VLOOKUP(J199,'[63]ТР нефть'!$J$28:$BP$638,56,0),"-"))</f>
        <v>-</v>
      </c>
      <c r="BN199" s="138" t="str">
        <f>IF(IFERROR(VLOOKUP(J199,'[63]ТР нефть'!$J$28:$BP$638,57,0),"-")=0,"-",IFERROR(VLOOKUP(J199,'[63]ТР нефть'!$J$28:$BP$638,57,0),"-"))</f>
        <v>-</v>
      </c>
      <c r="BO199" s="115" t="str">
        <f>IF(IFERROR(VLOOKUP(J199,'[63]ТР нефть'!$J$28:$BP$638,58,0),"-")=0,"-",IFERROR(VLOOKUP(J199,'[63]ТР нефть'!$J$28:$BP$638,58,0),"-"))</f>
        <v>-</v>
      </c>
      <c r="BP199" s="115" t="str">
        <f>IF(IFERROR(VLOOKUP(J199,'[63]ТР нефть'!$J$28:$BP$638,59,0),"-")=0,"-",IFERROR(VLOOKUP(J199,'[63]ТР нефть'!$J$28:$BP$638,59,0),"-"))</f>
        <v>-</v>
      </c>
      <c r="BQ199" s="138">
        <v>1993</v>
      </c>
      <c r="BR199" s="128">
        <v>1923.52</v>
      </c>
      <c r="BS199" s="115">
        <f t="shared" si="105"/>
        <v>69.480000000000018</v>
      </c>
      <c r="BT199" s="128">
        <v>73</v>
      </c>
      <c r="BU199" s="128">
        <v>5.5</v>
      </c>
      <c r="BV199" s="127">
        <v>65</v>
      </c>
      <c r="BW199" s="127" t="s">
        <v>217</v>
      </c>
      <c r="BX199" s="127" t="s">
        <v>195</v>
      </c>
      <c r="BY199" s="139">
        <v>24</v>
      </c>
      <c r="BZ199" s="139">
        <v>0</v>
      </c>
      <c r="CA199" s="138">
        <v>25</v>
      </c>
      <c r="CB199" s="138">
        <v>38</v>
      </c>
      <c r="CC199" s="138">
        <v>24</v>
      </c>
      <c r="CD199" s="135">
        <v>45017</v>
      </c>
      <c r="CE199" s="138">
        <v>111</v>
      </c>
      <c r="CF199" s="138">
        <v>56</v>
      </c>
      <c r="CG199" s="138" t="str">
        <f t="shared" si="153"/>
        <v/>
      </c>
      <c r="CH199" s="138" t="s">
        <v>197</v>
      </c>
      <c r="CI199" s="138">
        <v>5</v>
      </c>
      <c r="CJ199" s="139"/>
      <c r="CK199" s="139">
        <f t="shared" si="157"/>
        <v>31</v>
      </c>
      <c r="CL199" s="99"/>
      <c r="CM199" s="99"/>
      <c r="CN199" s="140">
        <v>56</v>
      </c>
      <c r="CO199" s="141">
        <f t="shared" si="106"/>
        <v>6.3535999999999992</v>
      </c>
      <c r="CP199" s="142">
        <v>7.6</v>
      </c>
      <c r="CQ199" s="143">
        <v>0</v>
      </c>
      <c r="CR199" s="138">
        <v>16</v>
      </c>
      <c r="CS199" s="139">
        <v>10.8</v>
      </c>
      <c r="CT199" s="138"/>
      <c r="CU199" s="138">
        <f t="shared" si="134"/>
        <v>5.1999999999999993</v>
      </c>
      <c r="CV199" s="115">
        <f t="shared" si="135"/>
        <v>818.43364391840839</v>
      </c>
      <c r="CW199" s="115">
        <f t="shared" si="109"/>
        <v>1699.823721984387</v>
      </c>
      <c r="CX199" s="133">
        <f>IF(CP199&lt;&gt;0,CP199/(CE199-CN199),0)</f>
        <v>0.13818181818181818</v>
      </c>
      <c r="CY199" s="116"/>
      <c r="CZ199" s="131"/>
      <c r="DA199" s="145" t="str">
        <f t="shared" si="111"/>
        <v>Газлифт</v>
      </c>
      <c r="DB199" s="146">
        <f t="shared" si="112"/>
        <v>6.3535999999999992</v>
      </c>
      <c r="DC199" s="142">
        <f t="shared" si="151"/>
        <v>7.6</v>
      </c>
      <c r="DD199" s="119">
        <f t="shared" si="152"/>
        <v>0</v>
      </c>
      <c r="DE199" s="115">
        <f t="shared" si="115"/>
        <v>5.1999999999999993</v>
      </c>
      <c r="DF199" s="121">
        <f t="shared" si="116"/>
        <v>10.8</v>
      </c>
      <c r="DG199" s="115">
        <f t="shared" si="117"/>
        <v>818.43364391840839</v>
      </c>
      <c r="DH199" s="115">
        <f t="shared" si="118"/>
        <v>56</v>
      </c>
      <c r="DI199" s="1038"/>
      <c r="DJ199" s="111" t="s">
        <v>197</v>
      </c>
      <c r="DK199" s="112">
        <v>44271</v>
      </c>
      <c r="DL199" s="113">
        <f t="shared" ca="1" si="138"/>
        <v>833</v>
      </c>
      <c r="DM199" s="114"/>
      <c r="DN199" s="114"/>
      <c r="DO199" s="114"/>
      <c r="DP199" s="114"/>
      <c r="DQ199" s="112">
        <v>0</v>
      </c>
      <c r="DR199" s="114">
        <v>0</v>
      </c>
      <c r="DS199" s="114">
        <v>0</v>
      </c>
      <c r="DT199" s="115">
        <v>60</v>
      </c>
      <c r="DU199" s="116">
        <f t="shared" si="139"/>
        <v>0.14901960784313725</v>
      </c>
      <c r="DV199" s="117">
        <f t="shared" si="140"/>
        <v>6.3535999999999992</v>
      </c>
      <c r="DW199" s="118">
        <f t="shared" si="141"/>
        <v>7.6</v>
      </c>
      <c r="DX199" s="119">
        <f t="shared" si="119"/>
        <v>0</v>
      </c>
      <c r="DY199" s="115">
        <f t="shared" si="142"/>
        <v>5.1999999999999993</v>
      </c>
      <c r="DZ199" s="117">
        <f t="shared" si="143"/>
        <v>0</v>
      </c>
      <c r="EA199" s="120">
        <f t="shared" si="143"/>
        <v>0</v>
      </c>
      <c r="EB199" s="119">
        <f t="shared" si="143"/>
        <v>0</v>
      </c>
      <c r="EC199" s="121">
        <f t="shared" si="144"/>
        <v>0</v>
      </c>
      <c r="ED199" s="122"/>
      <c r="EE199" s="145">
        <v>65</v>
      </c>
      <c r="EF199" s="115">
        <v>25</v>
      </c>
      <c r="EG199" s="115">
        <v>38</v>
      </c>
      <c r="EH199" s="115">
        <v>24</v>
      </c>
      <c r="EI199" s="127" t="s">
        <v>195</v>
      </c>
      <c r="EJ199" s="121">
        <v>24</v>
      </c>
      <c r="EK199" s="121">
        <v>0</v>
      </c>
      <c r="EL199" s="149">
        <v>6.3535999999999992</v>
      </c>
      <c r="EM199" s="142">
        <v>7.6</v>
      </c>
      <c r="EN199" s="119">
        <v>0</v>
      </c>
      <c r="EO199" s="1050">
        <v>16</v>
      </c>
      <c r="EP199" s="115">
        <v>818.43364391840839</v>
      </c>
      <c r="EQ199" s="115">
        <v>56</v>
      </c>
      <c r="ER199" s="115">
        <v>10.8</v>
      </c>
      <c r="ES199" s="115">
        <v>56</v>
      </c>
      <c r="ET199" s="134">
        <v>0.13333333333333333</v>
      </c>
      <c r="EU199" s="145">
        <f t="shared" si="120"/>
        <v>65</v>
      </c>
      <c r="EV199" s="115">
        <f t="shared" si="121"/>
        <v>25</v>
      </c>
      <c r="EW199" s="115">
        <f t="shared" si="121"/>
        <v>38</v>
      </c>
      <c r="EX199" s="115">
        <f t="shared" si="121"/>
        <v>24</v>
      </c>
      <c r="EY199" s="115" t="str">
        <f t="shared" si="156"/>
        <v>Постоянный</v>
      </c>
      <c r="EZ199" s="115">
        <f t="shared" si="155"/>
        <v>24</v>
      </c>
      <c r="FA199" s="115">
        <f t="shared" si="155"/>
        <v>0</v>
      </c>
      <c r="FB199" s="149">
        <f t="shared" si="123"/>
        <v>6.3535999999999992</v>
      </c>
      <c r="FC199" s="142">
        <f t="shared" si="123"/>
        <v>7.6</v>
      </c>
      <c r="FD199" s="119">
        <f t="shared" si="123"/>
        <v>0</v>
      </c>
      <c r="FE199" s="121">
        <f t="shared" si="103"/>
        <v>16</v>
      </c>
      <c r="FF199" s="121">
        <f t="shared" si="145"/>
        <v>818.43364391840839</v>
      </c>
      <c r="FG199" s="121">
        <f t="shared" si="124"/>
        <v>56</v>
      </c>
      <c r="FH199" s="121">
        <f t="shared" si="146"/>
        <v>10.8</v>
      </c>
      <c r="FI199" s="121">
        <f t="shared" si="154"/>
        <v>56</v>
      </c>
      <c r="FJ199" s="144">
        <f t="shared" si="125"/>
        <v>0.13818181818181818</v>
      </c>
      <c r="FK199" s="132">
        <f t="shared" si="126"/>
        <v>0</v>
      </c>
      <c r="FL199" s="115">
        <f t="shared" si="126"/>
        <v>0</v>
      </c>
      <c r="FM199" s="115">
        <f t="shared" si="126"/>
        <v>0</v>
      </c>
      <c r="FN199" s="115">
        <f t="shared" si="126"/>
        <v>0</v>
      </c>
      <c r="FO199" s="115">
        <f t="shared" si="150"/>
        <v>0</v>
      </c>
      <c r="FP199" s="115">
        <f t="shared" si="150"/>
        <v>0</v>
      </c>
      <c r="FQ199" s="149">
        <f t="shared" si="150"/>
        <v>0</v>
      </c>
      <c r="FR199" s="142">
        <f t="shared" si="148"/>
        <v>0</v>
      </c>
      <c r="FS199" s="119">
        <f t="shared" si="148"/>
        <v>0</v>
      </c>
      <c r="FT199" s="121">
        <f t="shared" si="148"/>
        <v>0</v>
      </c>
      <c r="FU199" s="121">
        <f t="shared" si="127"/>
        <v>0</v>
      </c>
      <c r="FV199" s="121">
        <f t="shared" si="127"/>
        <v>0</v>
      </c>
      <c r="FW199" s="121">
        <f t="shared" si="128"/>
        <v>0</v>
      </c>
      <c r="FX199" s="121">
        <f t="shared" si="129"/>
        <v>0</v>
      </c>
      <c r="FY199" s="144">
        <f>FJ199-ET199</f>
        <v>4.848484848484852E-3</v>
      </c>
      <c r="FZ199" s="145"/>
      <c r="GA199" s="1024"/>
      <c r="GB199" s="145"/>
      <c r="GC199" s="151"/>
      <c r="GD199" s="997" t="s">
        <v>220</v>
      </c>
      <c r="GE199" s="1004"/>
      <c r="GF199" s="1004">
        <v>0.86521385279999929</v>
      </c>
      <c r="GG199" s="1004"/>
      <c r="GH199" s="1004">
        <v>0</v>
      </c>
      <c r="GI199" s="145"/>
      <c r="GJ199" s="996">
        <v>0</v>
      </c>
      <c r="GK199" s="145"/>
      <c r="GL199" s="996">
        <v>0</v>
      </c>
      <c r="GM199" s="1005"/>
      <c r="GN199" s="996">
        <v>0</v>
      </c>
      <c r="GO199" s="1006" t="s">
        <v>971</v>
      </c>
      <c r="GP199" s="996">
        <v>-8.9496682528000004</v>
      </c>
      <c r="GQ199" s="1006" t="s">
        <v>25</v>
      </c>
      <c r="GR199" s="996">
        <v>3.6620544000000006</v>
      </c>
      <c r="GS199" s="1006"/>
      <c r="GT199" s="996">
        <v>-6.8217599999999976</v>
      </c>
      <c r="GU199" s="1006"/>
      <c r="GV199" s="996">
        <v>0</v>
      </c>
      <c r="GW199" s="1006"/>
      <c r="GX199" s="1036">
        <v>0</v>
      </c>
      <c r="GY199" s="1006"/>
      <c r="GZ199" s="996">
        <v>0</v>
      </c>
      <c r="HA199" s="1006"/>
      <c r="HB199" s="996">
        <v>0</v>
      </c>
      <c r="HC199" s="1006" t="s">
        <v>199</v>
      </c>
      <c r="HD199" s="996">
        <v>17.129639999999998</v>
      </c>
      <c r="HE199" s="1006"/>
      <c r="HF199" s="996">
        <v>0</v>
      </c>
      <c r="HG199" s="1006"/>
      <c r="HH199" s="996">
        <v>0</v>
      </c>
      <c r="HI199" s="1006"/>
      <c r="HJ199" s="996">
        <v>0</v>
      </c>
      <c r="HK199" s="1006"/>
      <c r="HL199" s="996">
        <v>0</v>
      </c>
      <c r="HM199" s="1006" t="s">
        <v>199</v>
      </c>
      <c r="HN199" s="996">
        <v>-5.7349599999999983</v>
      </c>
      <c r="HO199" s="1006"/>
      <c r="HP199" s="996">
        <v>0</v>
      </c>
      <c r="HQ199" s="1006" t="s">
        <v>199</v>
      </c>
      <c r="HR199" s="996">
        <v>-2.3553710620000015</v>
      </c>
      <c r="HS199" s="1006"/>
      <c r="HT199" s="996">
        <v>0</v>
      </c>
      <c r="HU199" s="1006"/>
      <c r="HV199" s="996">
        <v>0</v>
      </c>
      <c r="HW199" s="1006" t="s">
        <v>199</v>
      </c>
      <c r="HX199" s="996">
        <v>6.6370286620000014</v>
      </c>
      <c r="HY199" s="1006" t="s">
        <v>199</v>
      </c>
      <c r="HZ199" s="996">
        <v>6.6291037999999993</v>
      </c>
      <c r="IA199" s="1006"/>
      <c r="IB199" s="996">
        <v>0</v>
      </c>
      <c r="IC199" s="1006"/>
      <c r="ID199" s="996">
        <v>0</v>
      </c>
      <c r="IE199" s="1006" t="s">
        <v>239</v>
      </c>
      <c r="IF199" s="996">
        <v>-17.341236616</v>
      </c>
      <c r="IG199" s="1006"/>
      <c r="IH199" s="996">
        <v>0</v>
      </c>
      <c r="II199" s="1006" t="s">
        <v>223</v>
      </c>
      <c r="IJ199" s="996">
        <v>-22.416764783999998</v>
      </c>
      <c r="IK199" s="1006"/>
      <c r="IL199" s="996">
        <v>0</v>
      </c>
      <c r="IM199" s="1006"/>
      <c r="IN199" s="996">
        <v>0</v>
      </c>
      <c r="IO199" s="1006"/>
      <c r="IP199" s="996">
        <v>0</v>
      </c>
      <c r="IQ199" s="1006"/>
      <c r="IR199" s="996">
        <v>0</v>
      </c>
      <c r="IS199" s="1006"/>
      <c r="IT199" s="996">
        <v>0</v>
      </c>
      <c r="IU199" s="1006"/>
      <c r="IV199" s="996" t="e">
        <v>#VALUE!</v>
      </c>
      <c r="IW199" s="1006"/>
      <c r="IX199" s="996" t="e">
        <v>#VALUE!</v>
      </c>
      <c r="IY199" s="1006"/>
      <c r="IZ199" s="996">
        <v>0</v>
      </c>
      <c r="JA199" s="1006"/>
      <c r="JB199" s="996">
        <v>0</v>
      </c>
      <c r="JC199" s="1006"/>
      <c r="JD199" s="996" t="e">
        <v>#VALUE!</v>
      </c>
      <c r="JE199" s="1006"/>
      <c r="JF199" s="996">
        <v>0</v>
      </c>
      <c r="JG199" s="1006"/>
      <c r="JH199" s="996">
        <v>0</v>
      </c>
      <c r="JI199" s="1006"/>
      <c r="JJ199" s="996">
        <v>0</v>
      </c>
      <c r="JK199" s="1007"/>
      <c r="JL199" s="1007">
        <v>0</v>
      </c>
      <c r="JM199" s="1007"/>
      <c r="JN199" s="1007">
        <v>0</v>
      </c>
      <c r="JO199" s="1008"/>
      <c r="JP199" s="1007">
        <v>0</v>
      </c>
      <c r="JQ199" s="1008">
        <v>0</v>
      </c>
      <c r="JR199" s="1007">
        <v>0</v>
      </c>
      <c r="JS199" s="1008">
        <v>0</v>
      </c>
      <c r="JT199" s="1007">
        <v>0</v>
      </c>
      <c r="JU199" s="1008"/>
      <c r="JV199" s="1007">
        <v>0</v>
      </c>
      <c r="JW199" s="1008" t="s">
        <v>197</v>
      </c>
      <c r="JX199" s="1007">
        <v>0</v>
      </c>
      <c r="JY199" s="1008"/>
      <c r="JZ199" s="1007">
        <v>0</v>
      </c>
      <c r="KA199" s="1008"/>
      <c r="KB199" s="1007">
        <v>0</v>
      </c>
      <c r="KC199" s="1008"/>
      <c r="KD199" s="1007">
        <v>0</v>
      </c>
      <c r="KE199" s="1008"/>
      <c r="KF199" s="1007">
        <v>0</v>
      </c>
      <c r="KG199" s="1008"/>
      <c r="KH199" s="1007">
        <v>0</v>
      </c>
      <c r="KI199" s="1008"/>
      <c r="KJ199" s="1007">
        <v>0</v>
      </c>
      <c r="KK199" s="1008"/>
      <c r="KL199" s="1007">
        <v>0</v>
      </c>
      <c r="KM199" s="1008"/>
      <c r="KN199" s="1007">
        <v>0</v>
      </c>
      <c r="KO199" s="1008"/>
      <c r="KP199" s="1007">
        <v>0</v>
      </c>
      <c r="KQ199" s="1008"/>
      <c r="KR199" s="1007"/>
      <c r="KS199" s="1008"/>
      <c r="KT199" s="1007"/>
      <c r="KU199" s="1008"/>
      <c r="KV199" s="1007" t="s">
        <v>921</v>
      </c>
      <c r="KW199" s="1008"/>
      <c r="KX199" s="1007"/>
      <c r="KY199" s="1008" t="s">
        <v>197</v>
      </c>
      <c r="KZ199" s="1007" t="s">
        <v>197</v>
      </c>
      <c r="LA199" s="1008" t="s">
        <v>197</v>
      </c>
      <c r="LB199" s="1007" t="e">
        <v>#VALUE!</v>
      </c>
      <c r="LC199" s="1008"/>
      <c r="LD199" s="1007" t="e">
        <v>#VALUE!</v>
      </c>
      <c r="LE199" s="1008" t="e">
        <v>#VALUE!</v>
      </c>
      <c r="LF199" s="1007" t="e">
        <v>#VALUE!</v>
      </c>
      <c r="LG199" s="1008" t="e">
        <v>#VALUE!</v>
      </c>
      <c r="LH199" s="1007" t="e">
        <v>#VALUE!</v>
      </c>
      <c r="LI199" s="1008" t="e">
        <v>#VALUE!</v>
      </c>
      <c r="LJ199" s="1007" t="e">
        <v>#VALUE!</v>
      </c>
      <c r="LK199" s="1008" t="e">
        <v>#VALUE!</v>
      </c>
      <c r="LL199" s="1007"/>
      <c r="LM199" s="1008"/>
      <c r="LN199" s="1007"/>
      <c r="LO199" s="1008"/>
      <c r="LP199" s="1007"/>
      <c r="LQ199" s="1008"/>
      <c r="LR199" s="1007"/>
      <c r="LS199" s="1008"/>
      <c r="LT199" s="1007"/>
      <c r="LU199" s="1008"/>
      <c r="LV199" s="1007"/>
      <c r="LW199" s="1008"/>
      <c r="LX199" s="1007"/>
      <c r="LY199" s="1009"/>
      <c r="LZ199" s="1010"/>
      <c r="MA199" s="1011"/>
      <c r="MB199" s="1012"/>
      <c r="MC199" s="995"/>
      <c r="MD199" s="996"/>
      <c r="ME199" s="997" t="s">
        <v>220</v>
      </c>
      <c r="MF199" s="997"/>
      <c r="MG199" s="998"/>
      <c r="NR199" s="1000"/>
      <c r="NS199" s="1000"/>
      <c r="NT199" s="1001"/>
      <c r="NU199" s="1000"/>
      <c r="NV199" s="1001"/>
      <c r="NX199" s="1002"/>
      <c r="NZ199" s="1001"/>
      <c r="OA199" s="1001"/>
      <c r="OC199" s="1003"/>
      <c r="OD199" s="1003"/>
      <c r="OE199" s="1001"/>
      <c r="OF199" s="1003"/>
      <c r="OG199" s="1003"/>
      <c r="OH199" s="1003"/>
      <c r="OI199" s="1016"/>
      <c r="QX199" s="1000">
        <f>CN199-CA199</f>
        <v>31</v>
      </c>
      <c r="ASU199" s="999" t="s">
        <v>225</v>
      </c>
    </row>
    <row r="200" spans="1:466 1191:1191" ht="21" customHeight="1" x14ac:dyDescent="0.25">
      <c r="A200" s="982" t="str">
        <f t="shared" si="104"/>
        <v>1100-1</v>
      </c>
      <c r="B200" s="124">
        <f>SUBTOTAL(103,$J$29:J200)</f>
        <v>172</v>
      </c>
      <c r="C200" s="126">
        <v>45068</v>
      </c>
      <c r="D200" s="124" t="s">
        <v>176</v>
      </c>
      <c r="E200" s="127" t="s">
        <v>177</v>
      </c>
      <c r="F200" s="128" t="s">
        <v>177</v>
      </c>
      <c r="G200" s="127" t="s">
        <v>178</v>
      </c>
      <c r="H200" s="127" t="s">
        <v>179</v>
      </c>
      <c r="I200" s="127" t="s">
        <v>921</v>
      </c>
      <c r="J200" s="152" t="s">
        <v>972</v>
      </c>
      <c r="K200" s="127" t="s">
        <v>182</v>
      </c>
      <c r="L200" s="130">
        <v>41280</v>
      </c>
      <c r="M200" s="127" t="s">
        <v>230</v>
      </c>
      <c r="N200" s="127" t="s">
        <v>245</v>
      </c>
      <c r="O200" s="127" t="s">
        <v>185</v>
      </c>
      <c r="P200" s="127" t="s">
        <v>186</v>
      </c>
      <c r="Q200" s="85" t="str">
        <f t="shared" si="133"/>
        <v/>
      </c>
      <c r="R200" s="130"/>
      <c r="S200" s="128"/>
      <c r="T200" s="131"/>
      <c r="U200" s="132">
        <v>203</v>
      </c>
      <c r="V200" s="121">
        <v>218.2</v>
      </c>
      <c r="W200" s="116">
        <v>0.98</v>
      </c>
      <c r="X200" s="116">
        <v>1.66</v>
      </c>
      <c r="Y200" s="116">
        <f t="shared" si="137"/>
        <v>1.6442554154908506</v>
      </c>
      <c r="Z200" s="133">
        <v>1.454</v>
      </c>
      <c r="AA200" s="133">
        <v>0.83599999999999997</v>
      </c>
      <c r="AB200" s="133">
        <v>0.72</v>
      </c>
      <c r="AC200" s="121">
        <v>34.299999999999997</v>
      </c>
      <c r="AD200" s="134">
        <v>1.17</v>
      </c>
      <c r="AE200" s="124">
        <v>177.8</v>
      </c>
      <c r="AF200" s="128">
        <v>8.0500000000000007</v>
      </c>
      <c r="AG200" s="128">
        <v>2371</v>
      </c>
      <c r="AH200" s="127">
        <v>2957</v>
      </c>
      <c r="AI200" s="127">
        <v>2957</v>
      </c>
      <c r="AJ200" s="135"/>
      <c r="AK200" s="128"/>
      <c r="AL200" s="131"/>
      <c r="AM200" s="124" t="s">
        <v>232</v>
      </c>
      <c r="AN200" s="136" t="s">
        <v>973</v>
      </c>
      <c r="AO200" s="137">
        <v>28.46</v>
      </c>
      <c r="AP200" s="128">
        <v>2371</v>
      </c>
      <c r="AQ200" s="128">
        <v>493.1</v>
      </c>
      <c r="AR200" s="128"/>
      <c r="AS200" s="128"/>
      <c r="AT200" s="122"/>
      <c r="AU200" s="124" t="s">
        <v>189</v>
      </c>
      <c r="AV200" s="115">
        <f>VLOOKUP(J200,'[63]ТР нефть'!$J$28:$BP$638,39,0)</f>
        <v>396.99999081999999</v>
      </c>
      <c r="AW200" s="115" t="str">
        <f>VLOOKUP(J200,'[63]ТР нефть'!$J$28:$BP$638,40,0)</f>
        <v>ГП</v>
      </c>
      <c r="AX200" s="115">
        <f>VLOOKUP(J200,'[63]ТР нефть'!$J$28:$BP$638,41,0)</f>
        <v>727.99999160200002</v>
      </c>
      <c r="AY200" s="115" t="str">
        <f>VLOOKUP(J200,'[63]ТР нефть'!$J$28:$BP$638,42,0)</f>
        <v>ГК 81 1/8</v>
      </c>
      <c r="AZ200" s="115">
        <f>VLOOKUP(J200,'[63]ТР нефть'!$J$28:$BP$638,43,0)</f>
        <v>999.00000820299999</v>
      </c>
      <c r="BA200" s="115" t="str">
        <f>VLOOKUP(J200,'[63]ТР нефть'!$J$28:$BP$638,44,0)</f>
        <v>ГК 75 5/32</v>
      </c>
      <c r="BB200" s="115">
        <f>VLOOKUP(J200,'[63]ТР нефть'!$J$28:$BP$638,45,0)</f>
        <v>1230.0000105470001</v>
      </c>
      <c r="BC200" s="115" t="str">
        <f>VLOOKUP(J200,'[63]ТР нефть'!$J$28:$BP$638,46,0)</f>
        <v>ГК 70 1/4</v>
      </c>
      <c r="BD200" s="115">
        <f>VLOOKUP(J200,'[63]ТР нефть'!$J$28:$BP$638,47,0)</f>
        <v>1434.0000609379999</v>
      </c>
      <c r="BE200" s="115" t="str">
        <f>VLOOKUP(J200,'[63]ТР нефть'!$J$28:$BP$638,48,0)</f>
        <v>ЦКсОК 5/16</v>
      </c>
      <c r="BF200" s="115" t="str">
        <f>VLOOKUP(J200,'[63]ТР нефть'!$J$28:$BP$638,49,0)</f>
        <v>-</v>
      </c>
      <c r="BG200" s="115" t="str">
        <f>VLOOKUP(J200,'[63]ТР нефть'!$J$28:$BP$638,50,0)</f>
        <v>-</v>
      </c>
      <c r="BH200" s="115">
        <f>VLOOKUP(J200,'[63]ТР нефть'!$J$28:$BP$638,51,0)</f>
        <v>1470</v>
      </c>
      <c r="BI200" s="115" t="str">
        <f>VLOOKUP(J200,'[63]ТР нефть'!$J$28:$BP$638,52,0)</f>
        <v>закрыт</v>
      </c>
      <c r="BJ200" s="115" t="str">
        <f>IF(IFERROR(VLOOKUP(J200,'[63]ТР нефть'!$J$28:$BP$638,53,0),"-")=0,"-",IFERROR(VLOOKUP(J200,'[63]ТР нефть'!$J$28:$BP$638,53,0),"-"))</f>
        <v>-</v>
      </c>
      <c r="BK200" s="138" t="str">
        <f>IF(IFERROR(VLOOKUP(J200,'[63]ТР нефть'!$J$28:$BP$638,54,0),"-")=0,"-",IFERROR(VLOOKUP(J200,'[63]ТР нефть'!$J$28:$BP$638,54,0),"-"))</f>
        <v>-</v>
      </c>
      <c r="BL200" s="138" t="str">
        <f>IF(IFERROR(VLOOKUP(J200,'[63]ТР нефть'!$J$28:$BP$638,55,0),"-")=0,"-",IFERROR(VLOOKUP(J200,'[63]ТР нефть'!$J$28:$BP$638,55,0),"-"))</f>
        <v>-</v>
      </c>
      <c r="BM200" s="138" t="str">
        <f>IF(IFERROR(VLOOKUP(J200,'[63]ТР нефть'!$J$28:$BP$638,56,0),"-")=0,"-",IFERROR(VLOOKUP(J200,'[63]ТР нефть'!$J$28:$BP$638,56,0),"-"))</f>
        <v>-</v>
      </c>
      <c r="BN200" s="138" t="str">
        <f>IF(IFERROR(VLOOKUP(J200,'[63]ТР нефть'!$J$28:$BP$638,57,0),"-")=0,"-",IFERROR(VLOOKUP(J200,'[63]ТР нефть'!$J$28:$BP$638,57,0),"-"))</f>
        <v>-</v>
      </c>
      <c r="BO200" s="115" t="str">
        <f>IF(IFERROR(VLOOKUP(J200,'[63]ТР нефть'!$J$28:$BP$638,58,0),"-")=0,"-",IFERROR(VLOOKUP(J200,'[63]ТР нефть'!$J$28:$BP$638,58,0),"-"))</f>
        <v>-</v>
      </c>
      <c r="BP200" s="115" t="str">
        <f>IF(IFERROR(VLOOKUP(J200,'[63]ТР нефть'!$J$28:$BP$638,59,0),"-")=0,"-",IFERROR(VLOOKUP(J200,'[63]ТР нефть'!$J$28:$BP$638,59,0),"-"))</f>
        <v>-</v>
      </c>
      <c r="BQ200" s="138">
        <v>2152</v>
      </c>
      <c r="BR200" s="128">
        <v>1814.57</v>
      </c>
      <c r="BS200" s="115">
        <f t="shared" si="105"/>
        <v>337.43000000000006</v>
      </c>
      <c r="BT200" s="128">
        <v>73</v>
      </c>
      <c r="BU200" s="128">
        <v>5.5</v>
      </c>
      <c r="BV200" s="127">
        <v>65</v>
      </c>
      <c r="BW200" s="127" t="s">
        <v>217</v>
      </c>
      <c r="BX200" s="127" t="s">
        <v>195</v>
      </c>
      <c r="BY200" s="139">
        <v>24</v>
      </c>
      <c r="BZ200" s="139">
        <v>0</v>
      </c>
      <c r="CA200" s="138">
        <v>20</v>
      </c>
      <c r="CB200" s="138">
        <v>75</v>
      </c>
      <c r="CC200" s="138">
        <v>19</v>
      </c>
      <c r="CD200" s="135">
        <v>45017</v>
      </c>
      <c r="CE200" s="138">
        <v>170</v>
      </c>
      <c r="CF200" s="138">
        <v>75</v>
      </c>
      <c r="CG200" s="138" t="str">
        <f t="shared" si="153"/>
        <v>В работе</v>
      </c>
      <c r="CH200" s="138" t="s">
        <v>196</v>
      </c>
      <c r="CI200" s="138">
        <v>6</v>
      </c>
      <c r="CJ200" s="139"/>
      <c r="CK200" s="139">
        <f t="shared" si="157"/>
        <v>129</v>
      </c>
      <c r="CL200" s="99"/>
      <c r="CM200" s="99"/>
      <c r="CN200" s="140">
        <v>149</v>
      </c>
      <c r="CO200" s="141">
        <f t="shared" si="106"/>
        <v>0.27238384799999843</v>
      </c>
      <c r="CP200" s="142">
        <v>23.61</v>
      </c>
      <c r="CQ200" s="143">
        <v>98.62</v>
      </c>
      <c r="CR200" s="138">
        <v>15.393000000000001</v>
      </c>
      <c r="CS200" s="139">
        <v>13.8</v>
      </c>
      <c r="CT200" s="138"/>
      <c r="CU200" s="138">
        <f t="shared" si="134"/>
        <v>1.593</v>
      </c>
      <c r="CV200" s="115">
        <f t="shared" si="135"/>
        <v>5848.3644008142846</v>
      </c>
      <c r="CW200" s="115">
        <f t="shared" si="109"/>
        <v>506.69225538339902</v>
      </c>
      <c r="CX200" s="133">
        <f t="shared" si="136"/>
        <v>1.1242857142857143</v>
      </c>
      <c r="CY200" s="116"/>
      <c r="CZ200" s="131"/>
      <c r="DA200" s="145" t="str">
        <f t="shared" si="111"/>
        <v>Газлифт</v>
      </c>
      <c r="DB200" s="146">
        <f t="shared" si="112"/>
        <v>0.27238384799999843</v>
      </c>
      <c r="DC200" s="142">
        <f t="shared" si="151"/>
        <v>23.61</v>
      </c>
      <c r="DD200" s="119">
        <f t="shared" si="152"/>
        <v>98.62</v>
      </c>
      <c r="DE200" s="115">
        <f t="shared" si="115"/>
        <v>1.593</v>
      </c>
      <c r="DF200" s="121">
        <f t="shared" si="116"/>
        <v>13.8</v>
      </c>
      <c r="DG200" s="115">
        <f t="shared" si="117"/>
        <v>5848.3644008142846</v>
      </c>
      <c r="DH200" s="115">
        <f t="shared" si="118"/>
        <v>149</v>
      </c>
      <c r="DI200" s="147"/>
      <c r="DJ200" s="111" t="s">
        <v>197</v>
      </c>
      <c r="DK200" s="112">
        <v>43986</v>
      </c>
      <c r="DL200" s="113">
        <f t="shared" ca="1" si="138"/>
        <v>1118</v>
      </c>
      <c r="DM200" s="114"/>
      <c r="DN200" s="114"/>
      <c r="DO200" s="114"/>
      <c r="DP200" s="114"/>
      <c r="DQ200" s="112">
        <v>42929</v>
      </c>
      <c r="DR200" s="114" t="s">
        <v>198</v>
      </c>
      <c r="DS200" s="114">
        <v>0</v>
      </c>
      <c r="DT200" s="115">
        <v>60</v>
      </c>
      <c r="DU200" s="116">
        <f t="shared" si="139"/>
        <v>0.84749061450306284</v>
      </c>
      <c r="DV200" s="117">
        <f t="shared" si="140"/>
        <v>1.0755062693538771</v>
      </c>
      <c r="DW200" s="118">
        <f t="shared" si="141"/>
        <v>93.223967595336916</v>
      </c>
      <c r="DX200" s="119">
        <f t="shared" si="119"/>
        <v>98.62</v>
      </c>
      <c r="DY200" s="115">
        <f t="shared" si="142"/>
        <v>6.2899525785417936</v>
      </c>
      <c r="DZ200" s="117">
        <f t="shared" si="143"/>
        <v>0.80312242135387857</v>
      </c>
      <c r="EA200" s="120">
        <f t="shared" si="143"/>
        <v>69.613967595336916</v>
      </c>
      <c r="EB200" s="119">
        <f t="shared" si="143"/>
        <v>0</v>
      </c>
      <c r="EC200" s="121">
        <f t="shared" si="144"/>
        <v>4.6969525785417936</v>
      </c>
      <c r="ED200" s="122"/>
      <c r="EE200" s="145">
        <v>65</v>
      </c>
      <c r="EF200" s="115">
        <v>20</v>
      </c>
      <c r="EG200" s="115">
        <v>75</v>
      </c>
      <c r="EH200" s="115">
        <v>19</v>
      </c>
      <c r="EI200" s="128" t="s">
        <v>195</v>
      </c>
      <c r="EJ200" s="121">
        <v>24</v>
      </c>
      <c r="EK200" s="121">
        <v>0</v>
      </c>
      <c r="EL200" s="149">
        <v>0.27238384799999843</v>
      </c>
      <c r="EM200" s="142">
        <v>23.61</v>
      </c>
      <c r="EN200" s="119">
        <v>98.62</v>
      </c>
      <c r="EO200" s="115">
        <v>15.393000000000001</v>
      </c>
      <c r="EP200" s="115">
        <v>5848.3644008142846</v>
      </c>
      <c r="EQ200" s="115">
        <v>75</v>
      </c>
      <c r="ER200" s="115">
        <v>13.8</v>
      </c>
      <c r="ES200" s="115">
        <v>149</v>
      </c>
      <c r="ET200" s="150">
        <v>1.1242857142857143</v>
      </c>
      <c r="EU200" s="145">
        <f t="shared" si="120"/>
        <v>65</v>
      </c>
      <c r="EV200" s="115">
        <f t="shared" si="121"/>
        <v>20</v>
      </c>
      <c r="EW200" s="115">
        <f t="shared" si="121"/>
        <v>75</v>
      </c>
      <c r="EX200" s="115">
        <f t="shared" si="121"/>
        <v>19</v>
      </c>
      <c r="EY200" s="115" t="str">
        <f t="shared" si="156"/>
        <v>Постоянный</v>
      </c>
      <c r="EZ200" s="115">
        <f t="shared" si="155"/>
        <v>24</v>
      </c>
      <c r="FA200" s="115">
        <f t="shared" si="155"/>
        <v>0</v>
      </c>
      <c r="FB200" s="149">
        <f t="shared" si="123"/>
        <v>0.27238384799999843</v>
      </c>
      <c r="FC200" s="142">
        <f t="shared" si="123"/>
        <v>23.61</v>
      </c>
      <c r="FD200" s="119">
        <f t="shared" si="123"/>
        <v>98.62</v>
      </c>
      <c r="FE200" s="121">
        <f t="shared" si="103"/>
        <v>15.393000000000001</v>
      </c>
      <c r="FF200" s="121">
        <f t="shared" si="145"/>
        <v>5848.3644008142846</v>
      </c>
      <c r="FG200" s="121">
        <f t="shared" si="124"/>
        <v>75</v>
      </c>
      <c r="FH200" s="121">
        <f t="shared" si="146"/>
        <v>13.8</v>
      </c>
      <c r="FI200" s="121">
        <f t="shared" si="154"/>
        <v>149</v>
      </c>
      <c r="FJ200" s="144">
        <f t="shared" si="125"/>
        <v>1.1242857142857143</v>
      </c>
      <c r="FK200" s="132">
        <f t="shared" si="126"/>
        <v>0</v>
      </c>
      <c r="FL200" s="115">
        <f t="shared" si="126"/>
        <v>0</v>
      </c>
      <c r="FM200" s="115">
        <f t="shared" si="126"/>
        <v>0</v>
      </c>
      <c r="FN200" s="115">
        <f t="shared" si="126"/>
        <v>0</v>
      </c>
      <c r="FO200" s="115">
        <f t="shared" si="150"/>
        <v>0</v>
      </c>
      <c r="FP200" s="115">
        <f t="shared" si="150"/>
        <v>0</v>
      </c>
      <c r="FQ200" s="149">
        <f t="shared" si="150"/>
        <v>0</v>
      </c>
      <c r="FR200" s="142">
        <f t="shared" si="148"/>
        <v>0</v>
      </c>
      <c r="FS200" s="119">
        <f t="shared" si="148"/>
        <v>0</v>
      </c>
      <c r="FT200" s="121">
        <f t="shared" si="148"/>
        <v>0</v>
      </c>
      <c r="FU200" s="121">
        <f t="shared" si="127"/>
        <v>0</v>
      </c>
      <c r="FV200" s="121">
        <f t="shared" si="127"/>
        <v>0</v>
      </c>
      <c r="FW200" s="121">
        <f t="shared" si="128"/>
        <v>0</v>
      </c>
      <c r="FX200" s="121">
        <f t="shared" si="129"/>
        <v>0</v>
      </c>
      <c r="FY200" s="144">
        <f t="shared" si="129"/>
        <v>0</v>
      </c>
      <c r="FZ200" s="145"/>
      <c r="GA200" s="151"/>
      <c r="GB200" s="145"/>
      <c r="GC200" s="151"/>
      <c r="GD200" s="997" t="s">
        <v>220</v>
      </c>
      <c r="GE200" s="1004"/>
      <c r="GF200" s="1004">
        <v>0</v>
      </c>
      <c r="GG200" s="1004"/>
      <c r="GH200" s="1004">
        <v>0</v>
      </c>
      <c r="GI200" s="145"/>
      <c r="GJ200" s="996">
        <v>0</v>
      </c>
      <c r="GK200" s="145"/>
      <c r="GL200" s="996">
        <v>0</v>
      </c>
      <c r="GM200" s="1005"/>
      <c r="GN200" s="996">
        <v>0</v>
      </c>
      <c r="GO200" s="1006" t="s">
        <v>199</v>
      </c>
      <c r="GP200" s="996">
        <v>-0.69319615200000251</v>
      </c>
      <c r="GQ200" s="1006"/>
      <c r="GR200" s="996">
        <v>0</v>
      </c>
      <c r="GS200" s="1006" t="s">
        <v>146</v>
      </c>
      <c r="GT200" s="996">
        <v>-3.2344597559999988</v>
      </c>
      <c r="GU200" s="1006"/>
      <c r="GV200" s="996">
        <v>0</v>
      </c>
      <c r="GW200" s="1006"/>
      <c r="GX200" s="1036">
        <v>0</v>
      </c>
      <c r="GY200" s="1006"/>
      <c r="GZ200" s="996">
        <v>0</v>
      </c>
      <c r="HA200" s="1006"/>
      <c r="HB200" s="996">
        <v>-0.84538744400000088</v>
      </c>
      <c r="HC200" s="1006" t="s">
        <v>204</v>
      </c>
      <c r="HD200" s="996">
        <v>-9.3966035587599972</v>
      </c>
      <c r="HE200" s="1006"/>
      <c r="HF200" s="996">
        <v>0</v>
      </c>
      <c r="HG200" s="1006" t="s">
        <v>221</v>
      </c>
      <c r="HH200" s="996">
        <v>10.577620758759997</v>
      </c>
      <c r="HI200" s="1006" t="s">
        <v>204</v>
      </c>
      <c r="HJ200" s="996">
        <v>-2.5560700000000005</v>
      </c>
      <c r="HK200" s="1006" t="s">
        <v>199</v>
      </c>
      <c r="HL200" s="996">
        <v>-8.2774032000000002</v>
      </c>
      <c r="HM200" s="1006" t="s">
        <v>199</v>
      </c>
      <c r="HN200" s="996">
        <v>-0.65107680000000379</v>
      </c>
      <c r="HO200" s="1006"/>
      <c r="HP200" s="996">
        <v>0</v>
      </c>
      <c r="HQ200" s="1006"/>
      <c r="HR200" s="996">
        <v>9.6273759999974118E-3</v>
      </c>
      <c r="HS200" s="1006" t="s">
        <v>204</v>
      </c>
      <c r="HT200" s="996">
        <v>2.887279824000009</v>
      </c>
      <c r="HU200" s="1006"/>
      <c r="HV200" s="996">
        <v>0</v>
      </c>
      <c r="HW200" s="1006"/>
      <c r="HX200" s="996">
        <v>0</v>
      </c>
      <c r="HY200" s="1006"/>
      <c r="HZ200" s="996">
        <v>0</v>
      </c>
      <c r="IA200" s="1006"/>
      <c r="IB200" s="996">
        <v>0</v>
      </c>
      <c r="IC200" s="1006"/>
      <c r="ID200" s="996">
        <v>0</v>
      </c>
      <c r="IE200" s="1006"/>
      <c r="IF200" s="996">
        <v>0</v>
      </c>
      <c r="IG200" s="1006"/>
      <c r="IH200" s="996">
        <v>0</v>
      </c>
      <c r="II200" s="1006"/>
      <c r="IJ200" s="996">
        <v>0</v>
      </c>
      <c r="IK200" s="1006"/>
      <c r="IL200" s="996">
        <v>0</v>
      </c>
      <c r="IM200" s="1006" t="s">
        <v>199</v>
      </c>
      <c r="IN200" s="996">
        <v>-4.0145289316000028</v>
      </c>
      <c r="IO200" s="1006" t="s">
        <v>199</v>
      </c>
      <c r="IP200" s="996">
        <v>-1.8089133084000011</v>
      </c>
      <c r="IQ200" s="1006" t="s">
        <v>199</v>
      </c>
      <c r="IR200" s="996">
        <v>-12.201073059999988</v>
      </c>
      <c r="IS200" s="1006"/>
      <c r="IT200" s="996">
        <v>0</v>
      </c>
      <c r="IU200" s="1006" t="s">
        <v>203</v>
      </c>
      <c r="IV200" s="996">
        <v>11.176379499999992</v>
      </c>
      <c r="IW200" s="1006" t="s">
        <v>25</v>
      </c>
      <c r="IX200" s="996">
        <v>19.3</v>
      </c>
      <c r="IY200" s="1006"/>
      <c r="IZ200" s="996">
        <v>0</v>
      </c>
      <c r="JA200" s="1006"/>
      <c r="JB200" s="996">
        <v>0</v>
      </c>
      <c r="JC200" s="1006"/>
      <c r="JD200" s="996">
        <v>0</v>
      </c>
      <c r="JE200" s="1006"/>
      <c r="JF200" s="996">
        <v>0</v>
      </c>
      <c r="JG200" s="1006"/>
      <c r="JH200" s="996">
        <v>0</v>
      </c>
      <c r="JI200" s="1006"/>
      <c r="JJ200" s="996">
        <v>0</v>
      </c>
      <c r="JK200" s="1007"/>
      <c r="JL200" s="1007">
        <v>0</v>
      </c>
      <c r="JM200" s="1007"/>
      <c r="JN200" s="1007">
        <v>0</v>
      </c>
      <c r="JO200" s="1008"/>
      <c r="JP200" s="1007">
        <v>0</v>
      </c>
      <c r="JQ200" s="1008">
        <v>0</v>
      </c>
      <c r="JR200" s="1007">
        <v>0</v>
      </c>
      <c r="JS200" s="1008">
        <v>0</v>
      </c>
      <c r="JT200" s="1007">
        <v>0</v>
      </c>
      <c r="JU200" s="1008"/>
      <c r="JV200" s="1007">
        <v>0</v>
      </c>
      <c r="JW200" s="1008" t="s">
        <v>197</v>
      </c>
      <c r="JX200" s="1007">
        <v>0</v>
      </c>
      <c r="JY200" s="1008"/>
      <c r="JZ200" s="1007">
        <v>0</v>
      </c>
      <c r="KA200" s="1008"/>
      <c r="KB200" s="1007">
        <v>0</v>
      </c>
      <c r="KC200" s="1008"/>
      <c r="KD200" s="1007">
        <v>0</v>
      </c>
      <c r="KE200" s="1008"/>
      <c r="KF200" s="1007">
        <v>0</v>
      </c>
      <c r="KG200" s="1008"/>
      <c r="KH200" s="1007">
        <v>0</v>
      </c>
      <c r="KI200" s="1008"/>
      <c r="KJ200" s="1007">
        <v>0</v>
      </c>
      <c r="KK200" s="1008"/>
      <c r="KL200" s="1007">
        <v>0</v>
      </c>
      <c r="KM200" s="1008"/>
      <c r="KN200" s="1007">
        <v>0</v>
      </c>
      <c r="KO200" s="1008"/>
      <c r="KP200" s="1007">
        <v>0</v>
      </c>
      <c r="KQ200" s="1008">
        <v>0</v>
      </c>
      <c r="KR200" s="1007">
        <v>0</v>
      </c>
      <c r="KS200" s="1008" t="s">
        <v>204</v>
      </c>
      <c r="KT200" s="1007">
        <v>-1.6719999999999997</v>
      </c>
      <c r="KU200" s="1008">
        <v>0</v>
      </c>
      <c r="KV200" s="1007">
        <v>0</v>
      </c>
      <c r="KW200" s="1008">
        <v>0</v>
      </c>
      <c r="KX200" s="1007">
        <v>0</v>
      </c>
      <c r="KY200" s="1008" t="s">
        <v>204</v>
      </c>
      <c r="KZ200" s="1007">
        <v>0.8360000000000003</v>
      </c>
      <c r="LA200" s="1008">
        <v>0</v>
      </c>
      <c r="LB200" s="1007">
        <v>0</v>
      </c>
      <c r="LC200" s="1008" t="s">
        <v>206</v>
      </c>
      <c r="LD200" s="1007">
        <v>0.75239999999999974</v>
      </c>
      <c r="LE200" s="1008" t="s">
        <v>206</v>
      </c>
      <c r="LF200" s="1007">
        <v>1.1703999999999999</v>
      </c>
      <c r="LG200" s="1008">
        <v>0</v>
      </c>
      <c r="LH200" s="1007">
        <v>0</v>
      </c>
      <c r="LI200" s="1008">
        <v>0</v>
      </c>
      <c r="LJ200" s="1007">
        <v>0</v>
      </c>
      <c r="LK200" s="1008">
        <v>0</v>
      </c>
      <c r="LL200" s="1007">
        <v>0</v>
      </c>
      <c r="LM200" s="1008" t="s">
        <v>555</v>
      </c>
      <c r="LN200" s="1007">
        <v>-0.47652</v>
      </c>
      <c r="LO200" s="1008">
        <v>0</v>
      </c>
      <c r="LP200" s="1007">
        <v>3.7953139999999999</v>
      </c>
      <c r="LQ200" s="1008">
        <v>0</v>
      </c>
      <c r="LR200" s="1007">
        <v>0</v>
      </c>
      <c r="LS200" s="1008">
        <v>0</v>
      </c>
      <c r="LT200" s="1007">
        <v>0</v>
      </c>
      <c r="LU200" s="1008">
        <v>0</v>
      </c>
      <c r="LV200" s="1007">
        <v>0</v>
      </c>
      <c r="LW200" s="1008">
        <v>0</v>
      </c>
      <c r="LX200" s="1007">
        <v>-2.7641499999999999</v>
      </c>
      <c r="LY200" s="1009">
        <v>0</v>
      </c>
      <c r="LZ200" s="1010">
        <v>0</v>
      </c>
      <c r="MA200" s="1011" t="s">
        <v>206</v>
      </c>
      <c r="MB200" s="1012">
        <v>-3.6544940000000001</v>
      </c>
      <c r="MC200" s="995"/>
      <c r="MD200" s="996"/>
      <c r="ME200" s="997" t="s">
        <v>220</v>
      </c>
      <c r="MF200" s="997"/>
      <c r="MG200" s="998"/>
      <c r="NR200" s="1000"/>
      <c r="NS200" s="1000"/>
      <c r="NT200" s="1001"/>
      <c r="NU200" s="1000"/>
      <c r="NV200" s="1001"/>
      <c r="NX200" s="1002"/>
      <c r="NZ200" s="1001"/>
      <c r="OA200" s="1001"/>
      <c r="OC200" s="1003"/>
      <c r="OD200" s="1003"/>
      <c r="OE200" s="1001"/>
      <c r="OF200" s="1003"/>
      <c r="OG200" s="1003"/>
      <c r="QX200" s="1000">
        <f>CN200-CA200</f>
        <v>129</v>
      </c>
      <c r="ASU200" s="999" t="s">
        <v>208</v>
      </c>
    </row>
    <row r="201" spans="1:466 1191:1191" ht="21" customHeight="1" x14ac:dyDescent="0.25">
      <c r="A201" s="982" t="str">
        <f t="shared" si="104"/>
        <v>1100-2</v>
      </c>
      <c r="B201" s="124">
        <f>SUBTOTAL(103,$J$29:J201)</f>
        <v>173</v>
      </c>
      <c r="C201" s="126">
        <v>45068</v>
      </c>
      <c r="D201" s="124" t="s">
        <v>176</v>
      </c>
      <c r="E201" s="127" t="s">
        <v>177</v>
      </c>
      <c r="F201" s="128" t="s">
        <v>177</v>
      </c>
      <c r="G201" s="127" t="s">
        <v>178</v>
      </c>
      <c r="H201" s="127" t="s">
        <v>408</v>
      </c>
      <c r="I201" s="127" t="s">
        <v>733</v>
      </c>
      <c r="J201" s="152" t="s">
        <v>974</v>
      </c>
      <c r="K201" s="127" t="s">
        <v>975</v>
      </c>
      <c r="L201" s="130">
        <v>41820</v>
      </c>
      <c r="M201" s="127" t="s">
        <v>230</v>
      </c>
      <c r="N201" s="127" t="s">
        <v>231</v>
      </c>
      <c r="O201" s="127" t="s">
        <v>185</v>
      </c>
      <c r="P201" s="127" t="s">
        <v>186</v>
      </c>
      <c r="Q201" s="85">
        <f t="shared" si="133"/>
        <v>-4</v>
      </c>
      <c r="R201" s="130">
        <v>41798</v>
      </c>
      <c r="S201" s="128" t="s">
        <v>211</v>
      </c>
      <c r="T201" s="131" t="s">
        <v>976</v>
      </c>
      <c r="U201" s="132">
        <v>203</v>
      </c>
      <c r="V201" s="121">
        <v>218.2</v>
      </c>
      <c r="W201" s="116">
        <v>0.98</v>
      </c>
      <c r="X201" s="116">
        <v>1.66</v>
      </c>
      <c r="Y201" s="116">
        <f t="shared" si="137"/>
        <v>0.98</v>
      </c>
      <c r="Z201" s="133">
        <v>1.454</v>
      </c>
      <c r="AA201" s="133">
        <v>0.83599999999999997</v>
      </c>
      <c r="AB201" s="133">
        <v>0.72</v>
      </c>
      <c r="AC201" s="121">
        <v>34.299999999999997</v>
      </c>
      <c r="AD201" s="134">
        <v>1.17</v>
      </c>
      <c r="AE201" s="124">
        <v>177.8</v>
      </c>
      <c r="AF201" s="128">
        <v>9.19</v>
      </c>
      <c r="AG201" s="128">
        <v>2091</v>
      </c>
      <c r="AH201" s="127">
        <v>2780</v>
      </c>
      <c r="AI201" s="127">
        <v>2780</v>
      </c>
      <c r="AJ201" s="135"/>
      <c r="AK201" s="128"/>
      <c r="AL201" s="131"/>
      <c r="AM201" s="124" t="s">
        <v>187</v>
      </c>
      <c r="AN201" s="136" t="s">
        <v>977</v>
      </c>
      <c r="AO201" s="137">
        <v>32.1</v>
      </c>
      <c r="AP201" s="128">
        <v>2211</v>
      </c>
      <c r="AQ201" s="128">
        <v>328.14</v>
      </c>
      <c r="AR201" s="128" t="s">
        <v>978</v>
      </c>
      <c r="AS201" s="128">
        <v>114.3</v>
      </c>
      <c r="AT201" s="122">
        <v>7.4</v>
      </c>
      <c r="AU201" s="124" t="s">
        <v>189</v>
      </c>
      <c r="AV201" s="115">
        <f>VLOOKUP(J201,'[63]ТР нефть'!$J$28:$BP$638,39,0)</f>
        <v>599.99999062500001</v>
      </c>
      <c r="AW201" s="115" t="str">
        <f>VLOOKUP(J201,'[63]ТР нефть'!$J$28:$BP$638,40,0)</f>
        <v>ГП</v>
      </c>
      <c r="AX201" s="115">
        <f>VLOOKUP(J201,'[63]ТР нефть'!$J$28:$BP$638,41,0)</f>
        <v>1199.99998125</v>
      </c>
      <c r="AY201" s="115" t="str">
        <f>VLOOKUP(J201,'[63]ТР нефть'!$J$28:$BP$638,42,0)</f>
        <v>ГП</v>
      </c>
      <c r="AZ201" s="115">
        <f>VLOOKUP(J201,'[63]ТР нефть'!$J$28:$BP$638,43,0)</f>
        <v>1849.9999710940001</v>
      </c>
      <c r="BA201" s="115" t="str">
        <f>VLOOKUP(J201,'[63]ТР нефть'!$J$28:$BP$638,44,0)</f>
        <v>ЦКсОК 5/16</v>
      </c>
      <c r="BB201" s="115" t="str">
        <f>VLOOKUP(J201,'[63]ТР нефть'!$J$28:$BP$638,45,0)</f>
        <v>-</v>
      </c>
      <c r="BC201" s="115" t="str">
        <f>VLOOKUP(J201,'[63]ТР нефть'!$J$28:$BP$638,46,0)</f>
        <v>-</v>
      </c>
      <c r="BD201" s="115" t="str">
        <f>VLOOKUP(J201,'[63]ТР нефть'!$J$28:$BP$638,47,0)</f>
        <v>-</v>
      </c>
      <c r="BE201" s="115" t="str">
        <f>VLOOKUP(J201,'[63]ТР нефть'!$J$28:$BP$638,48,0)</f>
        <v>-</v>
      </c>
      <c r="BF201" s="115" t="str">
        <f>VLOOKUP(J201,'[63]ТР нефть'!$J$28:$BP$638,49,0)</f>
        <v>-</v>
      </c>
      <c r="BG201" s="115" t="str">
        <f>VLOOKUP(J201,'[63]ТР нефть'!$J$28:$BP$638,50,0)</f>
        <v>-</v>
      </c>
      <c r="BH201" s="115">
        <f>VLOOKUP(J201,'[63]ТР нефть'!$J$28:$BP$638,51,0)</f>
        <v>1860</v>
      </c>
      <c r="BI201" s="115" t="str">
        <f>VLOOKUP(J201,'[63]ТР нефть'!$J$28:$BP$638,52,0)</f>
        <v>закрыт</v>
      </c>
      <c r="BJ201" s="115" t="str">
        <f>IF(IFERROR(VLOOKUP(J201,'[63]ТР нефть'!$J$28:$BP$638,53,0),"-")=0,"-",IFERROR(VLOOKUP(J201,'[63]ТР нефть'!$J$28:$BP$638,53,0),"-"))</f>
        <v>-</v>
      </c>
      <c r="BK201" s="138" t="str">
        <f>IF(IFERROR(VLOOKUP(J201,'[63]ТР нефть'!$J$28:$BP$638,54,0),"-")=0,"-",IFERROR(VLOOKUP(J201,'[63]ТР нефть'!$J$28:$BP$638,54,0),"-"))</f>
        <v>-</v>
      </c>
      <c r="BL201" s="138" t="str">
        <f>IF(IFERROR(VLOOKUP(J201,'[63]ТР нефть'!$J$28:$BP$638,55,0),"-")=0,"-",IFERROR(VLOOKUP(J201,'[63]ТР нефть'!$J$28:$BP$638,55,0),"-"))</f>
        <v>-</v>
      </c>
      <c r="BM201" s="138" t="str">
        <f>IF(IFERROR(VLOOKUP(J201,'[63]ТР нефть'!$J$28:$BP$638,56,0),"-")=0,"-",IFERROR(VLOOKUP(J201,'[63]ТР нефть'!$J$28:$BP$638,56,0),"-"))</f>
        <v>-</v>
      </c>
      <c r="BN201" s="138" t="str">
        <f>IF(IFERROR(VLOOKUP(J201,'[63]ТР нефть'!$J$28:$BP$638,57,0),"-")=0,"-",IFERROR(VLOOKUP(J201,'[63]ТР нефть'!$J$28:$BP$638,57,0),"-"))</f>
        <v>-</v>
      </c>
      <c r="BO201" s="115" t="str">
        <f>IF(IFERROR(VLOOKUP(J201,'[63]ТР нефть'!$J$28:$BP$638,58,0),"-")=0,"-",IFERROR(VLOOKUP(J201,'[63]ТР нефть'!$J$28:$BP$638,58,0),"-"))</f>
        <v>-</v>
      </c>
      <c r="BP201" s="115" t="str">
        <f>IF(IFERROR(VLOOKUP(J201,'[63]ТР нефть'!$J$28:$BP$638,59,0),"-")=0,"-",IFERROR(VLOOKUP(J201,'[63]ТР нефть'!$J$28:$BP$638,59,0),"-"))</f>
        <v>-</v>
      </c>
      <c r="BQ201" s="138">
        <v>2011</v>
      </c>
      <c r="BR201" s="128">
        <v>1841.67</v>
      </c>
      <c r="BS201" s="115">
        <f t="shared" si="105"/>
        <v>169.32999999999993</v>
      </c>
      <c r="BT201" s="128">
        <v>73</v>
      </c>
      <c r="BU201" s="128">
        <v>5.5</v>
      </c>
      <c r="BV201" s="127">
        <v>65</v>
      </c>
      <c r="BW201" s="127" t="s">
        <v>217</v>
      </c>
      <c r="BX201" s="127" t="s">
        <v>195</v>
      </c>
      <c r="BY201" s="139">
        <v>24</v>
      </c>
      <c r="BZ201" s="139">
        <v>0</v>
      </c>
      <c r="CA201" s="138">
        <v>23</v>
      </c>
      <c r="CB201" s="138">
        <v>46</v>
      </c>
      <c r="CC201" s="138">
        <v>22</v>
      </c>
      <c r="CD201" s="135">
        <v>45017</v>
      </c>
      <c r="CE201" s="138">
        <v>89</v>
      </c>
      <c r="CF201" s="138">
        <v>67</v>
      </c>
      <c r="CG201" s="138" t="str">
        <f t="shared" si="153"/>
        <v>В работе</v>
      </c>
      <c r="CH201" s="138" t="s">
        <v>196</v>
      </c>
      <c r="CI201" s="127">
        <v>6</v>
      </c>
      <c r="CJ201" s="138"/>
      <c r="CK201" s="138"/>
      <c r="CL201" s="99"/>
      <c r="CM201" s="99"/>
      <c r="CN201" s="140">
        <v>48</v>
      </c>
      <c r="CO201" s="159">
        <f t="shared" si="106"/>
        <v>7.8583999999999996</v>
      </c>
      <c r="CP201" s="160">
        <v>9.4</v>
      </c>
      <c r="CQ201" s="161">
        <v>0</v>
      </c>
      <c r="CR201" s="138">
        <v>21</v>
      </c>
      <c r="CS201" s="176">
        <v>9</v>
      </c>
      <c r="CT201" s="138"/>
      <c r="CU201" s="138">
        <f t="shared" si="134"/>
        <v>12</v>
      </c>
      <c r="CV201" s="115">
        <f t="shared" si="135"/>
        <v>1527.0284027282908</v>
      </c>
      <c r="CW201" s="115">
        <f t="shared" si="109"/>
        <v>1145.2713020462181</v>
      </c>
      <c r="CX201" s="133">
        <f t="shared" si="136"/>
        <v>0.22926829268292684</v>
      </c>
      <c r="CY201" s="116"/>
      <c r="CZ201" s="144"/>
      <c r="DA201" s="145" t="str">
        <f t="shared" si="111"/>
        <v>Газлифт</v>
      </c>
      <c r="DB201" s="146">
        <f t="shared" si="112"/>
        <v>7.8191079999999991</v>
      </c>
      <c r="DC201" s="142">
        <f t="shared" si="151"/>
        <v>9.4</v>
      </c>
      <c r="DD201" s="119">
        <f t="shared" si="152"/>
        <v>0.5</v>
      </c>
      <c r="DE201" s="115">
        <f t="shared" si="115"/>
        <v>12</v>
      </c>
      <c r="DF201" s="121">
        <f t="shared" si="116"/>
        <v>9</v>
      </c>
      <c r="DG201" s="115">
        <f t="shared" si="117"/>
        <v>1527.0284027282908</v>
      </c>
      <c r="DH201" s="115">
        <f t="shared" si="118"/>
        <v>48</v>
      </c>
      <c r="DI201" s="147"/>
      <c r="DJ201" s="111" t="s">
        <v>197</v>
      </c>
      <c r="DK201" s="112">
        <v>41820</v>
      </c>
      <c r="DL201" s="113">
        <f t="shared" ca="1" si="138"/>
        <v>3284</v>
      </c>
      <c r="DM201" s="114"/>
      <c r="DN201" s="114"/>
      <c r="DO201" s="114"/>
      <c r="DP201" s="114"/>
      <c r="DQ201" s="112" t="s">
        <v>979</v>
      </c>
      <c r="DR201" s="114" t="s">
        <v>198</v>
      </c>
      <c r="DS201" s="114"/>
      <c r="DT201" s="115">
        <v>46</v>
      </c>
      <c r="DU201" s="116">
        <f t="shared" si="139"/>
        <v>0.22638894206838456</v>
      </c>
      <c r="DV201" s="117">
        <f t="shared" si="140"/>
        <v>8.1382296894742883</v>
      </c>
      <c r="DW201" s="118">
        <f t="shared" si="141"/>
        <v>9.7347245089405359</v>
      </c>
      <c r="DX201" s="119">
        <f t="shared" si="119"/>
        <v>0</v>
      </c>
      <c r="DY201" s="115">
        <f t="shared" si="142"/>
        <v>12.427307883753876</v>
      </c>
      <c r="DZ201" s="117">
        <f t="shared" si="143"/>
        <v>0.27982968947428866</v>
      </c>
      <c r="EA201" s="120">
        <f t="shared" si="143"/>
        <v>0.33472450894053551</v>
      </c>
      <c r="EB201" s="119">
        <f t="shared" si="143"/>
        <v>0</v>
      </c>
      <c r="EC201" s="121">
        <f t="shared" si="144"/>
        <v>0.42730788375387618</v>
      </c>
      <c r="ED201" s="122"/>
      <c r="EE201" s="145">
        <v>65</v>
      </c>
      <c r="EF201" s="115">
        <v>24</v>
      </c>
      <c r="EG201" s="115">
        <v>46</v>
      </c>
      <c r="EH201" s="115">
        <v>23</v>
      </c>
      <c r="EI201" s="128" t="s">
        <v>195</v>
      </c>
      <c r="EJ201" s="121">
        <v>24</v>
      </c>
      <c r="EK201" s="121">
        <v>0</v>
      </c>
      <c r="EL201" s="162">
        <v>4.9077380000000002</v>
      </c>
      <c r="EM201" s="142">
        <v>5.9</v>
      </c>
      <c r="EN201" s="119">
        <v>0.5</v>
      </c>
      <c r="EO201" s="115">
        <v>11.5</v>
      </c>
      <c r="EP201" s="115">
        <v>1120.6792212624227</v>
      </c>
      <c r="EQ201" s="115">
        <v>67</v>
      </c>
      <c r="ER201" s="115">
        <v>6</v>
      </c>
      <c r="ES201" s="115">
        <v>48</v>
      </c>
      <c r="ET201" s="150">
        <v>0.14390243902439026</v>
      </c>
      <c r="EU201" s="145">
        <f t="shared" si="120"/>
        <v>65</v>
      </c>
      <c r="EV201" s="115">
        <f t="shared" si="121"/>
        <v>23</v>
      </c>
      <c r="EW201" s="115">
        <f t="shared" si="121"/>
        <v>46</v>
      </c>
      <c r="EX201" s="115">
        <f t="shared" si="121"/>
        <v>22</v>
      </c>
      <c r="EY201" s="115" t="str">
        <f t="shared" si="156"/>
        <v>Постоянный</v>
      </c>
      <c r="EZ201" s="115">
        <f t="shared" si="155"/>
        <v>24</v>
      </c>
      <c r="FA201" s="115">
        <f t="shared" si="155"/>
        <v>0</v>
      </c>
      <c r="FB201" s="149">
        <f t="shared" si="123"/>
        <v>7.8583999999999996</v>
      </c>
      <c r="FC201" s="142">
        <f t="shared" si="123"/>
        <v>9.4</v>
      </c>
      <c r="FD201" s="119">
        <f t="shared" si="123"/>
        <v>0</v>
      </c>
      <c r="FE201" s="121">
        <f t="shared" si="103"/>
        <v>21</v>
      </c>
      <c r="FF201" s="121">
        <f t="shared" si="145"/>
        <v>1527.0284027282908</v>
      </c>
      <c r="FG201" s="121">
        <f t="shared" si="124"/>
        <v>67</v>
      </c>
      <c r="FH201" s="121">
        <f t="shared" si="146"/>
        <v>9</v>
      </c>
      <c r="FI201" s="121">
        <f t="shared" si="154"/>
        <v>48</v>
      </c>
      <c r="FJ201" s="144">
        <f t="shared" si="125"/>
        <v>0.22926829268292684</v>
      </c>
      <c r="FK201" s="132">
        <f t="shared" si="126"/>
        <v>0</v>
      </c>
      <c r="FL201" s="115">
        <f t="shared" si="126"/>
        <v>-1</v>
      </c>
      <c r="FM201" s="115">
        <f t="shared" si="126"/>
        <v>0</v>
      </c>
      <c r="FN201" s="115">
        <f t="shared" si="126"/>
        <v>-1</v>
      </c>
      <c r="FO201" s="115">
        <f t="shared" si="150"/>
        <v>0</v>
      </c>
      <c r="FP201" s="115">
        <f t="shared" si="150"/>
        <v>0</v>
      </c>
      <c r="FQ201" s="149">
        <f t="shared" si="150"/>
        <v>2.9506619999999995</v>
      </c>
      <c r="FR201" s="142">
        <f t="shared" si="148"/>
        <v>3.5</v>
      </c>
      <c r="FS201" s="119">
        <f t="shared" si="148"/>
        <v>-0.5</v>
      </c>
      <c r="FT201" s="121">
        <f t="shared" si="148"/>
        <v>9.5</v>
      </c>
      <c r="FU201" s="121">
        <f t="shared" si="127"/>
        <v>0</v>
      </c>
      <c r="FV201" s="121">
        <f t="shared" si="127"/>
        <v>3</v>
      </c>
      <c r="FW201" s="121">
        <f t="shared" si="128"/>
        <v>406.34918146586801</v>
      </c>
      <c r="FX201" s="121">
        <f>CN201-ES201</f>
        <v>0</v>
      </c>
      <c r="FY201" s="144">
        <f t="shared" si="129"/>
        <v>8.5365853658536578E-2</v>
      </c>
      <c r="FZ201" s="203" t="s">
        <v>199</v>
      </c>
      <c r="GA201" s="151" t="s">
        <v>980</v>
      </c>
      <c r="GB201" s="203" t="s">
        <v>199</v>
      </c>
      <c r="GC201" s="1024" t="s">
        <v>981</v>
      </c>
      <c r="GD201" s="997" t="s">
        <v>416</v>
      </c>
      <c r="GE201" s="1004" t="s">
        <v>199</v>
      </c>
      <c r="GF201" s="1004">
        <v>-1.3121019999999994</v>
      </c>
      <c r="GG201" s="1004"/>
      <c r="GH201" s="1004">
        <v>-0.27683304000000053</v>
      </c>
      <c r="GI201" s="203"/>
      <c r="GJ201" s="996">
        <v>0</v>
      </c>
      <c r="GK201" s="203" t="s">
        <v>223</v>
      </c>
      <c r="GL201" s="996">
        <v>-1.42229516</v>
      </c>
      <c r="GM201" s="1005"/>
      <c r="GN201" s="996">
        <v>-0.83357559999999964</v>
      </c>
      <c r="GO201" s="1006"/>
      <c r="GP201" s="996">
        <v>-0.83357559999999964</v>
      </c>
      <c r="GQ201" s="1006"/>
      <c r="GR201" s="996">
        <v>0</v>
      </c>
      <c r="GS201" s="1006" t="s">
        <v>199</v>
      </c>
      <c r="GT201" s="996">
        <v>1.8063033999999991</v>
      </c>
      <c r="GU201" s="1006"/>
      <c r="GV201" s="996">
        <v>0</v>
      </c>
      <c r="GW201" s="1006"/>
      <c r="GX201" s="1035">
        <v>-9.7145707999999331E-2</v>
      </c>
      <c r="GY201" s="1006" t="s">
        <v>203</v>
      </c>
      <c r="GZ201" s="996">
        <v>-2.4936483880000004</v>
      </c>
      <c r="HA201" s="1006"/>
      <c r="HB201" s="996">
        <v>0.56148769600000037</v>
      </c>
      <c r="HC201" s="1006" t="s">
        <v>203</v>
      </c>
      <c r="HD201" s="996">
        <v>-3.6213597199999992</v>
      </c>
      <c r="HE201" s="1006" t="s">
        <v>25</v>
      </c>
      <c r="HF201" s="996">
        <v>5.4591870079999998</v>
      </c>
      <c r="HG201" s="1006"/>
      <c r="HH201" s="996">
        <v>-0.43311320800000086</v>
      </c>
      <c r="HI201" s="1006"/>
      <c r="HJ201" s="996">
        <v>0.31548132000000173</v>
      </c>
      <c r="HK201" s="1006"/>
      <c r="HL201" s="996">
        <v>0</v>
      </c>
      <c r="HM201" s="1006"/>
      <c r="HN201" s="996">
        <v>-1.8651160000000999E-2</v>
      </c>
      <c r="HO201" s="1006" t="s">
        <v>199</v>
      </c>
      <c r="HP201" s="996">
        <v>-3.169934768000001</v>
      </c>
      <c r="HQ201" s="1006" t="s">
        <v>204</v>
      </c>
      <c r="HR201" s="996">
        <v>3.5863129280000008</v>
      </c>
      <c r="HS201" s="1006" t="s">
        <v>204</v>
      </c>
      <c r="HT201" s="996">
        <v>-1.9937931200000003</v>
      </c>
      <c r="HU201" s="1006"/>
      <c r="HV201" s="996">
        <v>-0.73156688000000081</v>
      </c>
      <c r="HW201" s="1006"/>
      <c r="HX201" s="996">
        <v>0</v>
      </c>
      <c r="HY201" s="1006" t="s">
        <v>204</v>
      </c>
      <c r="HZ201" s="996">
        <v>1.3041600000000013</v>
      </c>
      <c r="IA201" s="1006"/>
      <c r="IB201" s="996">
        <v>0</v>
      </c>
      <c r="IC201" s="1006"/>
      <c r="ID201" s="996">
        <v>0</v>
      </c>
      <c r="IE201" s="1006"/>
      <c r="IF201" s="996">
        <v>0</v>
      </c>
      <c r="IG201" s="1006"/>
      <c r="IH201" s="996">
        <v>0</v>
      </c>
      <c r="II201" s="1006" t="s">
        <v>204</v>
      </c>
      <c r="IJ201" s="996">
        <v>2.3407999999999998</v>
      </c>
      <c r="IK201" s="1006" t="s">
        <v>199</v>
      </c>
      <c r="IL201" s="996">
        <v>-3.3439999999999994</v>
      </c>
      <c r="IM201" s="1006" t="s">
        <v>199</v>
      </c>
      <c r="IN201" s="996">
        <v>4.6815999999999987</v>
      </c>
      <c r="IO201" s="1006" t="s">
        <v>199</v>
      </c>
      <c r="IP201" s="996">
        <v>-5.5175999999999989</v>
      </c>
      <c r="IQ201" s="1006" t="s">
        <v>199</v>
      </c>
      <c r="IR201" s="996">
        <v>1.4128399999999992</v>
      </c>
      <c r="IS201" s="1006"/>
      <c r="IT201" s="996">
        <v>-0.68217600000000012</v>
      </c>
      <c r="IU201" s="1006" t="s">
        <v>199</v>
      </c>
      <c r="IV201" s="996">
        <v>2.6634960000000012</v>
      </c>
      <c r="IW201" s="1006" t="s">
        <v>199</v>
      </c>
      <c r="IX201" s="996">
        <v>-2.4745600000000012</v>
      </c>
      <c r="IY201" s="1006"/>
      <c r="IZ201" s="996">
        <v>0</v>
      </c>
      <c r="JA201" s="1006" t="s">
        <v>204</v>
      </c>
      <c r="JB201" s="996">
        <v>-3.1182800000000004</v>
      </c>
      <c r="JC201" s="1006"/>
      <c r="JD201" s="996">
        <v>0</v>
      </c>
      <c r="JE201" s="1006" t="s">
        <v>199</v>
      </c>
      <c r="JF201" s="996">
        <v>7.373520000000001</v>
      </c>
      <c r="JG201" s="1006"/>
      <c r="JH201" s="996">
        <v>0</v>
      </c>
      <c r="JI201" s="1006" t="s">
        <v>199</v>
      </c>
      <c r="JJ201" s="996">
        <v>-3.9208400000000001</v>
      </c>
      <c r="JK201" s="1007"/>
      <c r="JL201" s="1007">
        <v>0</v>
      </c>
      <c r="JM201" s="1007" t="s">
        <v>199</v>
      </c>
      <c r="JN201" s="1007">
        <v>-3.6616800000000005</v>
      </c>
      <c r="JO201" s="1008"/>
      <c r="JP201" s="1007">
        <v>0.73568000000000033</v>
      </c>
      <c r="JQ201" s="1008" t="s">
        <v>204</v>
      </c>
      <c r="JR201" s="1007">
        <v>-3.8291307999999979</v>
      </c>
      <c r="JS201" s="1008">
        <v>0</v>
      </c>
      <c r="JT201" s="1007">
        <v>0</v>
      </c>
      <c r="JU201" s="1008" t="s">
        <v>199</v>
      </c>
      <c r="JV201" s="1007">
        <v>2.7423307999999995</v>
      </c>
      <c r="JW201" s="1008" t="s">
        <v>197</v>
      </c>
      <c r="JX201" s="1007">
        <v>0</v>
      </c>
      <c r="JY201" s="1008"/>
      <c r="JZ201" s="1007">
        <v>0</v>
      </c>
      <c r="KA201" s="1008"/>
      <c r="KB201" s="1007">
        <v>0</v>
      </c>
      <c r="KC201" s="1008" t="s">
        <v>207</v>
      </c>
      <c r="KD201" s="1007">
        <v>-3.0096000000000007</v>
      </c>
      <c r="KE201" s="1008" t="s">
        <v>206</v>
      </c>
      <c r="KF201" s="1007">
        <v>-2.5079999999999991</v>
      </c>
      <c r="KG201" s="1008"/>
      <c r="KH201" s="1007">
        <v>0</v>
      </c>
      <c r="KI201" s="1008"/>
      <c r="KJ201" s="1007">
        <v>0</v>
      </c>
      <c r="KK201" s="1008"/>
      <c r="KL201" s="1007">
        <v>0</v>
      </c>
      <c r="KM201" s="1008"/>
      <c r="KN201" s="1007">
        <v>0</v>
      </c>
      <c r="KO201" s="1008" t="s">
        <v>203</v>
      </c>
      <c r="KP201" s="1007">
        <v>-5.0160000000000018</v>
      </c>
      <c r="KQ201" s="1008" t="s">
        <v>25</v>
      </c>
      <c r="KR201" s="1007">
        <v>10.533600000000002</v>
      </c>
      <c r="KS201" s="1008">
        <v>0</v>
      </c>
      <c r="KT201" s="1007">
        <v>0</v>
      </c>
      <c r="KU201" s="1008" t="s">
        <v>207</v>
      </c>
      <c r="KV201" s="1007">
        <v>-3.0096000000000007</v>
      </c>
      <c r="KW201" s="1008">
        <v>0</v>
      </c>
      <c r="KX201" s="1007">
        <v>0</v>
      </c>
      <c r="KY201" s="1008">
        <v>0</v>
      </c>
      <c r="KZ201" s="1007">
        <v>0</v>
      </c>
      <c r="LA201" s="1008">
        <v>0</v>
      </c>
      <c r="LB201" s="1007">
        <v>0</v>
      </c>
      <c r="LC201" s="1008">
        <v>0</v>
      </c>
      <c r="LD201" s="1007">
        <v>0</v>
      </c>
      <c r="LE201" s="1008">
        <v>0</v>
      </c>
      <c r="LF201" s="1007">
        <v>0</v>
      </c>
      <c r="LG201" s="1008">
        <v>0</v>
      </c>
      <c r="LH201" s="1007">
        <v>0</v>
      </c>
      <c r="LI201" s="1008">
        <v>0</v>
      </c>
      <c r="LJ201" s="1007">
        <v>0</v>
      </c>
      <c r="LK201" s="1008">
        <v>0</v>
      </c>
      <c r="LL201" s="1007">
        <v>0</v>
      </c>
      <c r="LM201" s="1008" t="s">
        <v>206</v>
      </c>
      <c r="LN201" s="1007">
        <v>-7.3735200000000001</v>
      </c>
      <c r="LO201" s="1008" t="s">
        <v>206</v>
      </c>
      <c r="LP201" s="1007">
        <v>1.6385599999999947</v>
      </c>
      <c r="LQ201" s="1008" t="s">
        <v>199</v>
      </c>
      <c r="LR201" s="1007">
        <v>4.3421840000000032</v>
      </c>
      <c r="LS201" s="1008">
        <v>0</v>
      </c>
      <c r="LT201" s="1007">
        <v>0</v>
      </c>
      <c r="LU201" s="1008">
        <v>0</v>
      </c>
      <c r="LV201" s="1007">
        <v>0</v>
      </c>
      <c r="LW201" s="1008" t="s">
        <v>206</v>
      </c>
      <c r="LX201" s="1007">
        <v>1.3927759999999978</v>
      </c>
      <c r="LY201" s="1009" t="s">
        <v>206</v>
      </c>
      <c r="LZ201" s="1010">
        <v>-2.1312799999999998</v>
      </c>
      <c r="MA201" s="1011" t="s">
        <v>206</v>
      </c>
      <c r="MB201" s="1012">
        <v>2.7216481599999991</v>
      </c>
      <c r="MC201" s="995"/>
      <c r="MD201" s="996"/>
      <c r="ME201" s="997" t="s">
        <v>416</v>
      </c>
      <c r="MF201" s="997"/>
      <c r="MG201" s="998"/>
      <c r="NR201" s="1000"/>
      <c r="NS201" s="1000"/>
      <c r="NT201" s="1001"/>
      <c r="NU201" s="1000"/>
      <c r="NV201" s="1001"/>
      <c r="NX201" s="1002"/>
      <c r="NZ201" s="1001"/>
      <c r="OA201" s="1001"/>
      <c r="OC201" s="1003"/>
      <c r="OD201" s="1003"/>
      <c r="OE201" s="1001"/>
      <c r="OF201" s="1003"/>
      <c r="OG201" s="1003"/>
      <c r="QX201" s="1000">
        <f>CN201-CA201</f>
        <v>25</v>
      </c>
      <c r="ASU201" s="999" t="s">
        <v>208</v>
      </c>
    </row>
    <row r="202" spans="1:466 1191:1191" ht="21" customHeight="1" x14ac:dyDescent="0.25">
      <c r="A202" s="982">
        <f t="shared" si="104"/>
        <v>1101</v>
      </c>
      <c r="B202" s="124">
        <f>SUBTOTAL(103,$J$29:J202)</f>
        <v>174</v>
      </c>
      <c r="C202" s="126">
        <v>45068</v>
      </c>
      <c r="D202" s="124" t="s">
        <v>176</v>
      </c>
      <c r="E202" s="127" t="s">
        <v>177</v>
      </c>
      <c r="F202" s="128" t="s">
        <v>177</v>
      </c>
      <c r="G202" s="127" t="s">
        <v>178</v>
      </c>
      <c r="H202" s="127" t="s">
        <v>408</v>
      </c>
      <c r="I202" s="127" t="s">
        <v>733</v>
      </c>
      <c r="J202" s="152">
        <v>1101</v>
      </c>
      <c r="K202" s="127" t="s">
        <v>733</v>
      </c>
      <c r="L202" s="130">
        <v>41552</v>
      </c>
      <c r="M202" s="127" t="s">
        <v>230</v>
      </c>
      <c r="N202" s="127" t="s">
        <v>231</v>
      </c>
      <c r="O202" s="127" t="s">
        <v>185</v>
      </c>
      <c r="P202" s="127" t="s">
        <v>186</v>
      </c>
      <c r="Q202" s="85">
        <f t="shared" si="133"/>
        <v>-4</v>
      </c>
      <c r="R202" s="130">
        <v>41533</v>
      </c>
      <c r="S202" s="128" t="s">
        <v>211</v>
      </c>
      <c r="T202" s="131" t="s">
        <v>982</v>
      </c>
      <c r="U202" s="132">
        <v>203</v>
      </c>
      <c r="V202" s="121">
        <v>218.2</v>
      </c>
      <c r="W202" s="116">
        <v>0.98</v>
      </c>
      <c r="X202" s="116">
        <v>1.66</v>
      </c>
      <c r="Y202" s="116">
        <f t="shared" si="137"/>
        <v>0.98</v>
      </c>
      <c r="Z202" s="133">
        <v>1.454</v>
      </c>
      <c r="AA202" s="133">
        <v>0.83599999999999997</v>
      </c>
      <c r="AB202" s="133">
        <v>0.72</v>
      </c>
      <c r="AC202" s="121">
        <v>34.299999999999997</v>
      </c>
      <c r="AD202" s="134">
        <v>1.17</v>
      </c>
      <c r="AE202" s="124" t="s">
        <v>365</v>
      </c>
      <c r="AF202" s="128" t="s">
        <v>983</v>
      </c>
      <c r="AG202" s="128" t="s">
        <v>984</v>
      </c>
      <c r="AH202" s="127">
        <v>2677</v>
      </c>
      <c r="AI202" s="127">
        <v>2677</v>
      </c>
      <c r="AJ202" s="135"/>
      <c r="AK202" s="128"/>
      <c r="AL202" s="131"/>
      <c r="AM202" s="124" t="s">
        <v>985</v>
      </c>
      <c r="AN202" s="136" t="s">
        <v>986</v>
      </c>
      <c r="AO202" s="137">
        <v>40</v>
      </c>
      <c r="AP202" s="128">
        <v>2241</v>
      </c>
      <c r="AQ202" s="128">
        <v>353.5</v>
      </c>
      <c r="AR202" s="128"/>
      <c r="AS202" s="128"/>
      <c r="AT202" s="122"/>
      <c r="AU202" s="124" t="s">
        <v>189</v>
      </c>
      <c r="AV202" s="115">
        <f>VLOOKUP(J202,'[63]ТР нефть'!$J$28:$BP$638,39,0)</f>
        <v>599.99999062500001</v>
      </c>
      <c r="AW202" s="115" t="str">
        <f>VLOOKUP(J202,'[63]ТР нефть'!$J$28:$BP$638,40,0)</f>
        <v>ГП</v>
      </c>
      <c r="AX202" s="115">
        <f>VLOOKUP(J202,'[63]ТР нефть'!$J$28:$BP$638,41,0)</f>
        <v>1199.99998125</v>
      </c>
      <c r="AY202" s="115" t="str">
        <f>VLOOKUP(J202,'[63]ТР нефть'!$J$28:$BP$638,42,0)</f>
        <v>ГК 85 1/8</v>
      </c>
      <c r="AZ202" s="115">
        <f>VLOOKUP(J202,'[63]ТР нефть'!$J$28:$BP$638,43,0)</f>
        <v>1799.999971875</v>
      </c>
      <c r="BA202" s="115" t="str">
        <f>VLOOKUP(J202,'[63]ТР нефть'!$J$28:$BP$638,44,0)</f>
        <v>ЦКсОК 5/16</v>
      </c>
      <c r="BB202" s="115" t="str">
        <f>VLOOKUP(J202,'[63]ТР нефть'!$J$28:$BP$638,45,0)</f>
        <v>-</v>
      </c>
      <c r="BC202" s="115" t="str">
        <f>VLOOKUP(J202,'[63]ТР нефть'!$J$28:$BP$638,46,0)</f>
        <v>-</v>
      </c>
      <c r="BD202" s="115" t="str">
        <f>VLOOKUP(J202,'[63]ТР нефть'!$J$28:$BP$638,47,0)</f>
        <v>-</v>
      </c>
      <c r="BE202" s="115" t="str">
        <f>VLOOKUP(J202,'[63]ТР нефть'!$J$28:$BP$638,48,0)</f>
        <v>-</v>
      </c>
      <c r="BF202" s="115" t="str">
        <f>VLOOKUP(J202,'[63]ТР нефть'!$J$28:$BP$638,49,0)</f>
        <v>-</v>
      </c>
      <c r="BG202" s="115" t="str">
        <f>VLOOKUP(J202,'[63]ТР нефть'!$J$28:$BP$638,50,0)</f>
        <v>-</v>
      </c>
      <c r="BH202" s="115" t="str">
        <f>VLOOKUP(J202,'[63]ТР нефть'!$J$28:$BP$638,51,0)</f>
        <v>-</v>
      </c>
      <c r="BI202" s="115" t="str">
        <f>VLOOKUP(J202,'[63]ТР нефть'!$J$28:$BP$638,52,0)</f>
        <v>-</v>
      </c>
      <c r="BJ202" s="115" t="str">
        <f>IF(IFERROR(VLOOKUP(J202,'[63]ТР нефть'!$J$28:$BP$638,53,0),"-")=0,"-",IFERROR(VLOOKUP(J202,'[63]ТР нефть'!$J$28:$BP$638,53,0),"-"))</f>
        <v>-</v>
      </c>
      <c r="BK202" s="138" t="str">
        <f>IF(IFERROR(VLOOKUP(J202,'[63]ТР нефть'!$J$28:$BP$638,54,0),"-")=0,"-",IFERROR(VLOOKUP(J202,'[63]ТР нефть'!$J$28:$BP$638,54,0),"-"))</f>
        <v>-</v>
      </c>
      <c r="BL202" s="138" t="str">
        <f>IF(IFERROR(VLOOKUP(J202,'[63]ТР нефть'!$J$28:$BP$638,55,0),"-")=0,"-",IFERROR(VLOOKUP(J202,'[63]ТР нефть'!$J$28:$BP$638,55,0),"-"))</f>
        <v>-</v>
      </c>
      <c r="BM202" s="138" t="str">
        <f>IF(IFERROR(VLOOKUP(J202,'[63]ТР нефть'!$J$28:$BP$638,56,0),"-")=0,"-",IFERROR(VLOOKUP(J202,'[63]ТР нефть'!$J$28:$BP$638,56,0),"-"))</f>
        <v>-</v>
      </c>
      <c r="BN202" s="138" t="str">
        <f>IF(IFERROR(VLOOKUP(J202,'[63]ТР нефть'!$J$28:$BP$638,57,0),"-")=0,"-",IFERROR(VLOOKUP(J202,'[63]ТР нефть'!$J$28:$BP$638,57,0),"-"))</f>
        <v>-</v>
      </c>
      <c r="BO202" s="115" t="str">
        <f>IF(IFERROR(VLOOKUP(J202,'[63]ТР нефть'!$J$28:$BP$638,58,0),"-")=0,"-",IFERROR(VLOOKUP(J202,'[63]ТР нефть'!$J$28:$BP$638,58,0),"-"))</f>
        <v>-</v>
      </c>
      <c r="BP202" s="115" t="str">
        <f>IF(IFERROR(VLOOKUP(J202,'[63]ТР нефть'!$J$28:$BP$638,59,0),"-")=0,"-",IFERROR(VLOOKUP(J202,'[63]ТР нефть'!$J$28:$BP$638,59,0),"-"))</f>
        <v>-</v>
      </c>
      <c r="BQ202" s="138">
        <v>2102</v>
      </c>
      <c r="BR202" s="128">
        <v>1870.2</v>
      </c>
      <c r="BS202" s="115">
        <f t="shared" si="105"/>
        <v>231.79999999999995</v>
      </c>
      <c r="BT202" s="128">
        <v>73</v>
      </c>
      <c r="BU202" s="128">
        <v>5.5</v>
      </c>
      <c r="BV202" s="127">
        <v>18</v>
      </c>
      <c r="BW202" s="127" t="s">
        <v>217</v>
      </c>
      <c r="BX202" s="127" t="s">
        <v>195</v>
      </c>
      <c r="BY202" s="139">
        <v>24</v>
      </c>
      <c r="BZ202" s="139">
        <v>0</v>
      </c>
      <c r="CA202" s="138">
        <v>22</v>
      </c>
      <c r="CB202" s="138">
        <v>49</v>
      </c>
      <c r="CC202" s="138">
        <v>21</v>
      </c>
      <c r="CD202" s="135">
        <v>45017</v>
      </c>
      <c r="CE202" s="138">
        <v>96</v>
      </c>
      <c r="CF202" s="138">
        <v>78</v>
      </c>
      <c r="CG202" s="138" t="str">
        <f t="shared" si="153"/>
        <v>В работе</v>
      </c>
      <c r="CH202" s="138" t="s">
        <v>196</v>
      </c>
      <c r="CI202" s="127">
        <v>6</v>
      </c>
      <c r="CJ202" s="138"/>
      <c r="CK202" s="138"/>
      <c r="CL202" s="99"/>
      <c r="CM202" s="99"/>
      <c r="CN202" s="140">
        <v>42</v>
      </c>
      <c r="CO202" s="159">
        <f t="shared" si="106"/>
        <v>7.524</v>
      </c>
      <c r="CP202" s="160">
        <v>9</v>
      </c>
      <c r="CQ202" s="161">
        <v>0</v>
      </c>
      <c r="CR202" s="138">
        <v>28</v>
      </c>
      <c r="CS202" s="139">
        <v>6</v>
      </c>
      <c r="CT202" s="138"/>
      <c r="CU202" s="138">
        <f t="shared" si="134"/>
        <v>22</v>
      </c>
      <c r="CV202" s="115">
        <f t="shared" si="135"/>
        <v>2923.9766081871344</v>
      </c>
      <c r="CW202" s="115">
        <f t="shared" si="109"/>
        <v>797.44816586921854</v>
      </c>
      <c r="CX202" s="133">
        <f t="shared" si="136"/>
        <v>0.16666666666666666</v>
      </c>
      <c r="CY202" s="116"/>
      <c r="CZ202" s="131"/>
      <c r="DA202" s="145" t="str">
        <f t="shared" si="111"/>
        <v>Газлифт</v>
      </c>
      <c r="DB202" s="146">
        <f t="shared" si="112"/>
        <v>7.524</v>
      </c>
      <c r="DC202" s="142">
        <f t="shared" si="151"/>
        <v>9</v>
      </c>
      <c r="DD202" s="119">
        <f t="shared" si="152"/>
        <v>0</v>
      </c>
      <c r="DE202" s="115">
        <f t="shared" si="115"/>
        <v>22</v>
      </c>
      <c r="DF202" s="121">
        <f t="shared" si="116"/>
        <v>6</v>
      </c>
      <c r="DG202" s="115">
        <f t="shared" si="117"/>
        <v>2923.9766081871344</v>
      </c>
      <c r="DH202" s="115">
        <f t="shared" si="118"/>
        <v>42</v>
      </c>
      <c r="DI202" s="147"/>
      <c r="DJ202" s="111" t="s">
        <v>197</v>
      </c>
      <c r="DK202" s="112">
        <v>41518</v>
      </c>
      <c r="DL202" s="113">
        <f t="shared" ca="1" si="138"/>
        <v>3586</v>
      </c>
      <c r="DM202" s="114"/>
      <c r="DN202" s="114"/>
      <c r="DO202" s="114"/>
      <c r="DP202" s="114"/>
      <c r="DQ202" s="112">
        <v>41552</v>
      </c>
      <c r="DR202" s="114" t="s">
        <v>324</v>
      </c>
      <c r="DS202" s="114"/>
      <c r="DT202" s="115">
        <v>44</v>
      </c>
      <c r="DU202" s="116">
        <f t="shared" si="139"/>
        <v>0.17307692307692307</v>
      </c>
      <c r="DV202" s="117">
        <f t="shared" si="140"/>
        <v>7.524</v>
      </c>
      <c r="DW202" s="118">
        <f t="shared" si="141"/>
        <v>9</v>
      </c>
      <c r="DX202" s="119">
        <f t="shared" si="119"/>
        <v>0</v>
      </c>
      <c r="DY202" s="115">
        <f t="shared" si="142"/>
        <v>22</v>
      </c>
      <c r="DZ202" s="117">
        <f t="shared" si="143"/>
        <v>0</v>
      </c>
      <c r="EA202" s="120">
        <f t="shared" si="143"/>
        <v>0</v>
      </c>
      <c r="EB202" s="119">
        <f t="shared" si="143"/>
        <v>0</v>
      </c>
      <c r="EC202" s="121">
        <f t="shared" si="144"/>
        <v>0</v>
      </c>
      <c r="ED202" s="122"/>
      <c r="EE202" s="145">
        <v>18</v>
      </c>
      <c r="EF202" s="115">
        <v>23</v>
      </c>
      <c r="EG202" s="115">
        <v>49</v>
      </c>
      <c r="EH202" s="115">
        <v>23</v>
      </c>
      <c r="EI202" s="128" t="s">
        <v>195</v>
      </c>
      <c r="EJ202" s="121">
        <v>24</v>
      </c>
      <c r="EK202" s="121">
        <v>0</v>
      </c>
      <c r="EL202" s="162">
        <v>7.524</v>
      </c>
      <c r="EM202" s="142">
        <v>9</v>
      </c>
      <c r="EN202" s="119">
        <v>0</v>
      </c>
      <c r="EO202" s="115">
        <v>28</v>
      </c>
      <c r="EP202" s="115">
        <v>2923.9766081871344</v>
      </c>
      <c r="EQ202" s="115">
        <v>78</v>
      </c>
      <c r="ER202" s="115">
        <v>6</v>
      </c>
      <c r="ES202" s="115">
        <v>43</v>
      </c>
      <c r="ET202" s="150">
        <v>0.16981132075471697</v>
      </c>
      <c r="EU202" s="145">
        <f t="shared" si="120"/>
        <v>18</v>
      </c>
      <c r="EV202" s="115">
        <v>23</v>
      </c>
      <c r="EW202" s="115">
        <f t="shared" si="121"/>
        <v>49</v>
      </c>
      <c r="EX202" s="115">
        <v>23</v>
      </c>
      <c r="EY202" s="115" t="str">
        <f t="shared" si="156"/>
        <v>Постоянный</v>
      </c>
      <c r="EZ202" s="115">
        <f t="shared" si="155"/>
        <v>24</v>
      </c>
      <c r="FA202" s="115">
        <f t="shared" si="155"/>
        <v>0</v>
      </c>
      <c r="FB202" s="149">
        <f t="shared" si="123"/>
        <v>7.524</v>
      </c>
      <c r="FC202" s="142">
        <f t="shared" si="123"/>
        <v>9</v>
      </c>
      <c r="FD202" s="119">
        <f t="shared" si="123"/>
        <v>0</v>
      </c>
      <c r="FE202" s="121">
        <f t="shared" si="103"/>
        <v>28</v>
      </c>
      <c r="FF202" s="121">
        <f t="shared" si="145"/>
        <v>2923.9766081871344</v>
      </c>
      <c r="FG202" s="121">
        <f t="shared" si="124"/>
        <v>78</v>
      </c>
      <c r="FH202" s="121">
        <f t="shared" si="146"/>
        <v>6</v>
      </c>
      <c r="FI202" s="121">
        <f t="shared" si="154"/>
        <v>42</v>
      </c>
      <c r="FJ202" s="144">
        <f t="shared" si="125"/>
        <v>0.16666666666666666</v>
      </c>
      <c r="FK202" s="132">
        <f t="shared" si="126"/>
        <v>0</v>
      </c>
      <c r="FL202" s="115">
        <f t="shared" si="126"/>
        <v>0</v>
      </c>
      <c r="FM202" s="115">
        <f t="shared" si="126"/>
        <v>0</v>
      </c>
      <c r="FN202" s="115">
        <f t="shared" si="126"/>
        <v>0</v>
      </c>
      <c r="FO202" s="115">
        <f t="shared" si="150"/>
        <v>0</v>
      </c>
      <c r="FP202" s="115">
        <f t="shared" si="150"/>
        <v>0</v>
      </c>
      <c r="FQ202" s="149">
        <f t="shared" si="150"/>
        <v>0</v>
      </c>
      <c r="FR202" s="142">
        <f t="shared" si="148"/>
        <v>0</v>
      </c>
      <c r="FS202" s="119">
        <f t="shared" si="148"/>
        <v>0</v>
      </c>
      <c r="FT202" s="121">
        <f t="shared" si="148"/>
        <v>0</v>
      </c>
      <c r="FU202" s="121">
        <f t="shared" si="127"/>
        <v>0</v>
      </c>
      <c r="FV202" s="121">
        <f t="shared" si="127"/>
        <v>0</v>
      </c>
      <c r="FW202" s="121">
        <f t="shared" si="128"/>
        <v>0</v>
      </c>
      <c r="FX202" s="121">
        <f>CN202-ES202</f>
        <v>-1</v>
      </c>
      <c r="FY202" s="144">
        <f t="shared" si="129"/>
        <v>-3.1446540880503138E-3</v>
      </c>
      <c r="FZ202" s="145"/>
      <c r="GA202" s="151"/>
      <c r="GB202" s="145" t="s">
        <v>199</v>
      </c>
      <c r="GC202" s="151" t="s">
        <v>415</v>
      </c>
      <c r="GD202" s="997" t="s">
        <v>416</v>
      </c>
      <c r="GE202" s="1004" t="s">
        <v>199</v>
      </c>
      <c r="GF202" s="1004">
        <v>-3.0764799999999992</v>
      </c>
      <c r="GG202" s="1004" t="s">
        <v>199</v>
      </c>
      <c r="GH202" s="1004">
        <v>2.2404799999999998</v>
      </c>
      <c r="GI202" s="145"/>
      <c r="GJ202" s="996">
        <v>0</v>
      </c>
      <c r="GK202" s="145"/>
      <c r="GL202" s="996">
        <v>0</v>
      </c>
      <c r="GM202" s="1005"/>
      <c r="GN202" s="996">
        <v>0</v>
      </c>
      <c r="GO202" s="1006"/>
      <c r="GP202" s="996">
        <v>0</v>
      </c>
      <c r="GQ202" s="1006"/>
      <c r="GR202" s="996">
        <v>0</v>
      </c>
      <c r="GS202" s="1006"/>
      <c r="GT202" s="996">
        <v>0</v>
      </c>
      <c r="GU202" s="1006"/>
      <c r="GV202" s="996">
        <v>0</v>
      </c>
      <c r="GW202" s="1006"/>
      <c r="GX202" s="1035">
        <v>0</v>
      </c>
      <c r="GY202" s="1006"/>
      <c r="GZ202" s="996">
        <v>-0.73568000000000033</v>
      </c>
      <c r="HA202" s="1006"/>
      <c r="HB202" s="996">
        <v>-0.10031999999999996</v>
      </c>
      <c r="HC202" s="1006"/>
      <c r="HD202" s="996">
        <v>-0.24243999999999843</v>
      </c>
      <c r="HE202" s="1006"/>
      <c r="HF202" s="996">
        <v>0</v>
      </c>
      <c r="HG202" s="1006" t="s">
        <v>199</v>
      </c>
      <c r="HH202" s="996">
        <v>1.0784399999999987</v>
      </c>
      <c r="HI202" s="1006"/>
      <c r="HJ202" s="996">
        <v>0</v>
      </c>
      <c r="HK202" s="1006" t="s">
        <v>199</v>
      </c>
      <c r="HL202" s="996">
        <v>-1.8391999999999999</v>
      </c>
      <c r="HM202" s="1006"/>
      <c r="HN202" s="996">
        <v>0.91960000000000086</v>
      </c>
      <c r="HO202" s="1006"/>
      <c r="HP202" s="996">
        <v>-2.9168040000000062E-2</v>
      </c>
      <c r="HQ202" s="1006"/>
      <c r="HR202" s="996">
        <v>0</v>
      </c>
      <c r="HS202" s="1006"/>
      <c r="HT202" s="996">
        <v>0</v>
      </c>
      <c r="HU202" s="1006" t="s">
        <v>199</v>
      </c>
      <c r="HV202" s="996">
        <v>-2.1162754800000005</v>
      </c>
      <c r="HW202" s="1006"/>
      <c r="HX202" s="996">
        <v>0</v>
      </c>
      <c r="HY202" s="1006" t="s">
        <v>203</v>
      </c>
      <c r="HZ202" s="996">
        <v>-1.24379244</v>
      </c>
      <c r="IA202" s="1006"/>
      <c r="IB202" s="996">
        <v>0</v>
      </c>
      <c r="IC202" s="1006"/>
      <c r="ID202" s="996">
        <v>0</v>
      </c>
      <c r="IE202" s="1006" t="s">
        <v>25</v>
      </c>
      <c r="IF202" s="996">
        <v>2.6466171599999981</v>
      </c>
      <c r="IG202" s="1006"/>
      <c r="IH202" s="996">
        <v>3.7285600000025454E-3</v>
      </c>
      <c r="II202" s="1006" t="s">
        <v>199</v>
      </c>
      <c r="IJ202" s="996">
        <v>-2.7467281600000018</v>
      </c>
      <c r="IK202" s="1006"/>
      <c r="IL202" s="996">
        <v>0</v>
      </c>
      <c r="IM202" s="1006"/>
      <c r="IN202" s="996">
        <v>0.25029840000000014</v>
      </c>
      <c r="IO202" s="1006"/>
      <c r="IP202" s="996">
        <v>0.75089520000000043</v>
      </c>
      <c r="IQ202" s="1006"/>
      <c r="IR202" s="996">
        <v>-0.38379087999999939</v>
      </c>
      <c r="IS202" s="1006"/>
      <c r="IT202" s="996">
        <v>0.93444736000000006</v>
      </c>
      <c r="IU202" s="1006"/>
      <c r="IV202" s="996">
        <v>6.6746239999998735E-2</v>
      </c>
      <c r="IW202" s="1006" t="s">
        <v>204</v>
      </c>
      <c r="IX202" s="996">
        <v>-1.7854619199999995</v>
      </c>
      <c r="IY202" s="1006" t="s">
        <v>204</v>
      </c>
      <c r="IZ202" s="996">
        <v>-4.4567160000000001</v>
      </c>
      <c r="JA202" s="1006"/>
      <c r="JB202" s="996">
        <v>0</v>
      </c>
      <c r="JC202" s="1006"/>
      <c r="JD202" s="996">
        <v>0</v>
      </c>
      <c r="JE202" s="1006" t="s">
        <v>199</v>
      </c>
      <c r="JF202" s="996">
        <v>3.1517199999999992</v>
      </c>
      <c r="JG202" s="1006"/>
      <c r="JH202" s="996">
        <v>0</v>
      </c>
      <c r="JI202" s="1006"/>
      <c r="JJ202" s="996">
        <v>0</v>
      </c>
      <c r="JK202" s="1007"/>
      <c r="JL202" s="1007">
        <v>0</v>
      </c>
      <c r="JM202" s="1007"/>
      <c r="JN202" s="1007">
        <v>0</v>
      </c>
      <c r="JO202" s="1008"/>
      <c r="JP202" s="1007">
        <v>0</v>
      </c>
      <c r="JQ202" s="1008" t="s">
        <v>223</v>
      </c>
      <c r="JR202" s="1007">
        <v>-1.6310359999999999</v>
      </c>
      <c r="JS202" s="1008" t="s">
        <v>223</v>
      </c>
      <c r="JT202" s="1007">
        <v>-4.1758199999999981</v>
      </c>
      <c r="JU202" s="1008"/>
      <c r="JV202" s="1007">
        <v>0</v>
      </c>
      <c r="JW202" s="1008" t="s">
        <v>197</v>
      </c>
      <c r="JX202" s="1007">
        <v>0</v>
      </c>
      <c r="JY202" s="1008"/>
      <c r="JZ202" s="1007">
        <v>0</v>
      </c>
      <c r="KA202" s="1008" t="s">
        <v>206</v>
      </c>
      <c r="KB202" s="1007">
        <v>1.4949435599999994</v>
      </c>
      <c r="KC202" s="1008" t="s">
        <v>204</v>
      </c>
      <c r="KD202" s="1007">
        <v>-0.65977956000000049</v>
      </c>
      <c r="KE202" s="1008"/>
      <c r="KF202" s="1007">
        <v>0</v>
      </c>
      <c r="KG202" s="1008"/>
      <c r="KH202" s="1007">
        <v>0</v>
      </c>
      <c r="KI202" s="1008"/>
      <c r="KJ202" s="1007">
        <v>0</v>
      </c>
      <c r="KK202" s="1008"/>
      <c r="KL202" s="1007">
        <v>0</v>
      </c>
      <c r="KM202" s="1008" t="s">
        <v>207</v>
      </c>
      <c r="KN202" s="1007">
        <v>-7.5164760000000008</v>
      </c>
      <c r="KO202" s="1008" t="s">
        <v>207</v>
      </c>
      <c r="KP202" s="1007">
        <v>9.520869600000001</v>
      </c>
      <c r="KQ202" s="1008" t="s">
        <v>206</v>
      </c>
      <c r="KR202" s="1007">
        <v>-1.5868116000000008</v>
      </c>
      <c r="KS202" s="1008">
        <v>0</v>
      </c>
      <c r="KT202" s="1007">
        <v>0</v>
      </c>
      <c r="KU202" s="1008" t="s">
        <v>207</v>
      </c>
      <c r="KV202" s="1007">
        <v>-2.0879100000000008</v>
      </c>
      <c r="KW202" s="1008">
        <v>0</v>
      </c>
      <c r="KX202" s="1007">
        <v>0</v>
      </c>
      <c r="KY202" s="1008">
        <v>0</v>
      </c>
      <c r="KZ202" s="1007">
        <v>0</v>
      </c>
      <c r="LA202" s="1008">
        <v>0</v>
      </c>
      <c r="LB202" s="1007">
        <v>0</v>
      </c>
      <c r="LC202" s="1008" t="s">
        <v>206</v>
      </c>
      <c r="LD202" s="1007">
        <v>3.3406560000000027</v>
      </c>
      <c r="LE202" s="1008" t="s">
        <v>206</v>
      </c>
      <c r="LF202" s="1007">
        <v>0.83516399999999891</v>
      </c>
      <c r="LG202" s="1008" t="s">
        <v>206</v>
      </c>
      <c r="LH202" s="1007">
        <v>-0.83516399999999902</v>
      </c>
      <c r="LI202" s="1008">
        <v>0</v>
      </c>
      <c r="LJ202" s="1007">
        <v>0</v>
      </c>
      <c r="LK202" s="1008">
        <v>0</v>
      </c>
      <c r="LL202" s="1007">
        <v>0</v>
      </c>
      <c r="LM202" s="1008" t="s">
        <v>240</v>
      </c>
      <c r="LN202" s="1007">
        <v>-7.5415599999999996</v>
      </c>
      <c r="LO202" s="1008" t="s">
        <v>206</v>
      </c>
      <c r="LP202" s="1007">
        <v>5.1984000000000004</v>
      </c>
      <c r="LQ202" s="1008" t="s">
        <v>206</v>
      </c>
      <c r="LR202" s="1007">
        <v>-4.1758199999999999</v>
      </c>
      <c r="LS202" s="1008">
        <v>0</v>
      </c>
      <c r="LT202" s="1007">
        <v>0</v>
      </c>
      <c r="LU202" s="1008">
        <v>0</v>
      </c>
      <c r="LV202" s="1007">
        <v>0</v>
      </c>
      <c r="LW202" s="1008" t="s">
        <v>206</v>
      </c>
      <c r="LX202" s="1007">
        <v>-1.48659192</v>
      </c>
      <c r="LY202" s="1009">
        <v>0</v>
      </c>
      <c r="LZ202" s="1010">
        <v>0</v>
      </c>
      <c r="MA202" s="1011">
        <v>0</v>
      </c>
      <c r="MB202" s="1012">
        <v>-0.2554922</v>
      </c>
      <c r="MC202" s="995"/>
      <c r="MD202" s="996"/>
      <c r="ME202" s="997" t="s">
        <v>416</v>
      </c>
      <c r="MF202" s="997"/>
      <c r="MG202" s="998"/>
      <c r="NR202" s="1000"/>
      <c r="NS202" s="1000"/>
      <c r="NT202" s="1001"/>
      <c r="NU202" s="1000"/>
      <c r="NV202" s="1001"/>
      <c r="NX202" s="1002"/>
      <c r="NZ202" s="1001"/>
      <c r="OA202" s="1001"/>
      <c r="OC202" s="1003"/>
      <c r="OD202" s="1003"/>
      <c r="OE202" s="1001"/>
      <c r="OF202" s="1003"/>
      <c r="OG202" s="1003"/>
      <c r="QX202" s="1000">
        <f>CN202-CA202</f>
        <v>20</v>
      </c>
      <c r="ASU202" s="999" t="s">
        <v>208</v>
      </c>
    </row>
    <row r="203" spans="1:466 1191:1191" s="1023" customFormat="1" ht="21" customHeight="1" x14ac:dyDescent="0.25">
      <c r="A203" s="1017" t="str">
        <f t="shared" si="104"/>
        <v>1101-2</v>
      </c>
      <c r="B203" s="124">
        <f>SUBTOTAL(103,$J$29:J203)</f>
        <v>175</v>
      </c>
      <c r="C203" s="126">
        <v>45068</v>
      </c>
      <c r="D203" s="124" t="s">
        <v>176</v>
      </c>
      <c r="E203" s="127" t="s">
        <v>177</v>
      </c>
      <c r="F203" s="127" t="s">
        <v>177</v>
      </c>
      <c r="G203" s="127" t="s">
        <v>178</v>
      </c>
      <c r="H203" s="127" t="s">
        <v>408</v>
      </c>
      <c r="I203" s="127" t="s">
        <v>733</v>
      </c>
      <c r="J203" s="129" t="s">
        <v>987</v>
      </c>
      <c r="K203" s="127" t="s">
        <v>733</v>
      </c>
      <c r="L203" s="130">
        <v>41722</v>
      </c>
      <c r="M203" s="127" t="s">
        <v>230</v>
      </c>
      <c r="N203" s="127" t="s">
        <v>231</v>
      </c>
      <c r="O203" s="127" t="s">
        <v>185</v>
      </c>
      <c r="P203" s="127" t="s">
        <v>186</v>
      </c>
      <c r="Q203" s="85">
        <f t="shared" si="133"/>
        <v>-4</v>
      </c>
      <c r="R203" s="130">
        <v>41698</v>
      </c>
      <c r="S203" s="127" t="s">
        <v>211</v>
      </c>
      <c r="T203" s="136" t="s">
        <v>988</v>
      </c>
      <c r="U203" s="169">
        <v>203</v>
      </c>
      <c r="V203" s="139">
        <v>218.2</v>
      </c>
      <c r="W203" s="165">
        <v>0.98</v>
      </c>
      <c r="X203" s="165">
        <v>1.66</v>
      </c>
      <c r="Y203" s="165">
        <f t="shared" si="137"/>
        <v>0.98006825053600111</v>
      </c>
      <c r="Z203" s="164">
        <v>1.454</v>
      </c>
      <c r="AA203" s="164">
        <v>0.83599999999999997</v>
      </c>
      <c r="AB203" s="164">
        <v>0.72</v>
      </c>
      <c r="AC203" s="139">
        <v>34.299999999999997</v>
      </c>
      <c r="AD203" s="193">
        <v>1.17</v>
      </c>
      <c r="AE203" s="124" t="s">
        <v>365</v>
      </c>
      <c r="AF203" s="127" t="s">
        <v>983</v>
      </c>
      <c r="AG203" s="127">
        <v>2040</v>
      </c>
      <c r="AH203" s="127">
        <v>2687</v>
      </c>
      <c r="AI203" s="127">
        <v>2687</v>
      </c>
      <c r="AJ203" s="130"/>
      <c r="AK203" s="127"/>
      <c r="AL203" s="136"/>
      <c r="AM203" s="124" t="s">
        <v>232</v>
      </c>
      <c r="AN203" s="136" t="s">
        <v>989</v>
      </c>
      <c r="AO203" s="194">
        <v>26</v>
      </c>
      <c r="AP203" s="127">
        <v>1970</v>
      </c>
      <c r="AQ203" s="127">
        <v>233.2</v>
      </c>
      <c r="AR203" s="127" t="s">
        <v>989</v>
      </c>
      <c r="AS203" s="127">
        <v>114.3</v>
      </c>
      <c r="AT203" s="155">
        <v>7.37</v>
      </c>
      <c r="AU203" s="124" t="s">
        <v>189</v>
      </c>
      <c r="AV203" s="138">
        <f>VLOOKUP(J203,'[63]ТР нефть'!$J$28:$BP$638,39,0)</f>
        <v>599.99999062500001</v>
      </c>
      <c r="AW203" s="138" t="str">
        <f>VLOOKUP(J203,'[63]ТР нефть'!$J$28:$BP$638,40,0)</f>
        <v>ГП</v>
      </c>
      <c r="AX203" s="138">
        <f>VLOOKUP(J203,'[63]ТР нефть'!$J$28:$BP$638,41,0)</f>
        <v>1199.99998125</v>
      </c>
      <c r="AY203" s="138" t="str">
        <f>VLOOKUP(J203,'[63]ТР нефть'!$J$28:$BP$638,42,0)</f>
        <v>ГК 82 1/8</v>
      </c>
      <c r="AZ203" s="138">
        <f>VLOOKUP(J203,'[63]ТР нефть'!$J$28:$BP$638,43,0)</f>
        <v>1810.0000312499999</v>
      </c>
      <c r="BA203" s="138" t="str">
        <f>VLOOKUP(J203,'[63]ТР нефть'!$J$28:$BP$638,44,0)</f>
        <v>ЦКсОК 5/16</v>
      </c>
      <c r="BB203" s="138" t="str">
        <f>VLOOKUP(J203,'[63]ТР нефть'!$J$28:$BP$638,45,0)</f>
        <v>-</v>
      </c>
      <c r="BC203" s="138" t="str">
        <f>VLOOKUP(J203,'[63]ТР нефть'!$J$28:$BP$638,46,0)</f>
        <v>-</v>
      </c>
      <c r="BD203" s="138" t="str">
        <f>VLOOKUP(J203,'[63]ТР нефть'!$J$28:$BP$638,47,0)</f>
        <v>-</v>
      </c>
      <c r="BE203" s="138" t="str">
        <f>VLOOKUP(J203,'[63]ТР нефть'!$J$28:$BP$638,48,0)</f>
        <v>-</v>
      </c>
      <c r="BF203" s="138" t="str">
        <f>VLOOKUP(J203,'[63]ТР нефть'!$J$28:$BP$638,49,0)</f>
        <v>-</v>
      </c>
      <c r="BG203" s="138" t="str">
        <f>VLOOKUP(J203,'[63]ТР нефть'!$J$28:$BP$638,50,0)</f>
        <v>-</v>
      </c>
      <c r="BH203" s="138">
        <f>VLOOKUP(J203,'[63]ТР нефть'!$J$28:$BP$638,51,0)</f>
        <v>1820</v>
      </c>
      <c r="BI203" s="138" t="str">
        <f>VLOOKUP(J203,'[63]ТР нефть'!$J$28:$BP$638,52,0)</f>
        <v>закрыт</v>
      </c>
      <c r="BJ203" s="138" t="str">
        <f>IF(IFERROR(VLOOKUP(J203,'[63]ТР нефть'!$J$28:$BP$638,53,0),"-")=0,"-",IFERROR(VLOOKUP(J203,'[63]ТР нефть'!$J$28:$BP$638,53,0),"-"))</f>
        <v>-</v>
      </c>
      <c r="BK203" s="138" t="str">
        <f>IF(IFERROR(VLOOKUP(J203,'[63]ТР нефть'!$J$28:$BP$638,54,0),"-")=0,"-",IFERROR(VLOOKUP(J203,'[63]ТР нефть'!$J$28:$BP$638,54,0),"-"))</f>
        <v>-</v>
      </c>
      <c r="BL203" s="138" t="str">
        <f>IF(IFERROR(VLOOKUP(J203,'[63]ТР нефть'!$J$28:$BP$638,55,0),"-")=0,"-",IFERROR(VLOOKUP(J203,'[63]ТР нефть'!$J$28:$BP$638,55,0),"-"))</f>
        <v>-</v>
      </c>
      <c r="BM203" s="138" t="str">
        <f>IF(IFERROR(VLOOKUP(J203,'[63]ТР нефть'!$J$28:$BP$638,56,0),"-")=0,"-",IFERROR(VLOOKUP(J203,'[63]ТР нефть'!$J$28:$BP$638,56,0),"-"))</f>
        <v>-</v>
      </c>
      <c r="BN203" s="138" t="str">
        <f>IF(IFERROR(VLOOKUP(J203,'[63]ТР нефть'!$J$28:$BP$638,57,0),"-")=0,"-",IFERROR(VLOOKUP(J203,'[63]ТР нефть'!$J$28:$BP$638,57,0),"-"))</f>
        <v>-</v>
      </c>
      <c r="BO203" s="138" t="str">
        <f>IF(IFERROR(VLOOKUP(J203,'[63]ТР нефть'!$J$28:$BP$638,58,0),"-")=0,"-",IFERROR(VLOOKUP(J203,'[63]ТР нефть'!$J$28:$BP$638,58,0),"-"))</f>
        <v>-</v>
      </c>
      <c r="BP203" s="138" t="str">
        <f>IF(IFERROR(VLOOKUP(J203,'[63]ТР нефть'!$J$28:$BP$638,59,0),"-")=0,"-",IFERROR(VLOOKUP(J203,'[63]ТР нефть'!$J$28:$BP$638,59,0),"-"))</f>
        <v>-</v>
      </c>
      <c r="BQ203" s="138">
        <v>1980</v>
      </c>
      <c r="BR203" s="127">
        <v>1861.6</v>
      </c>
      <c r="BS203" s="138">
        <f t="shared" si="105"/>
        <v>118.40000000000009</v>
      </c>
      <c r="BT203" s="127">
        <v>73</v>
      </c>
      <c r="BU203" s="127">
        <v>5.5</v>
      </c>
      <c r="BV203" s="127">
        <v>18</v>
      </c>
      <c r="BW203" s="127" t="s">
        <v>217</v>
      </c>
      <c r="BX203" s="127" t="s">
        <v>195</v>
      </c>
      <c r="BY203" s="139">
        <v>24</v>
      </c>
      <c r="BZ203" s="139">
        <v>0</v>
      </c>
      <c r="CA203" s="138">
        <v>23</v>
      </c>
      <c r="CB203" s="138">
        <v>34</v>
      </c>
      <c r="CC203" s="138">
        <v>21</v>
      </c>
      <c r="CD203" s="130">
        <v>45017</v>
      </c>
      <c r="CE203" s="138">
        <v>101</v>
      </c>
      <c r="CF203" s="138">
        <v>78</v>
      </c>
      <c r="CG203" s="138" t="str">
        <f t="shared" si="153"/>
        <v>В работе</v>
      </c>
      <c r="CH203" s="138" t="s">
        <v>196</v>
      </c>
      <c r="CI203" s="127">
        <v>6</v>
      </c>
      <c r="CJ203" s="138"/>
      <c r="CK203" s="138"/>
      <c r="CL203" s="99"/>
      <c r="CM203" s="99"/>
      <c r="CN203" s="140">
        <v>40</v>
      </c>
      <c r="CO203" s="159">
        <f t="shared" si="106"/>
        <v>10.615395075999999</v>
      </c>
      <c r="CP203" s="160">
        <v>12.7</v>
      </c>
      <c r="CQ203" s="161">
        <v>1.7000000000000001E-2</v>
      </c>
      <c r="CR203" s="138">
        <v>27</v>
      </c>
      <c r="CS203" s="138">
        <v>6</v>
      </c>
      <c r="CT203" s="138"/>
      <c r="CU203" s="138">
        <f t="shared" si="134"/>
        <v>21</v>
      </c>
      <c r="CV203" s="138">
        <f t="shared" si="135"/>
        <v>1978.2589201487392</v>
      </c>
      <c r="CW203" s="138">
        <f t="shared" si="109"/>
        <v>565.08374664784492</v>
      </c>
      <c r="CX203" s="164">
        <f t="shared" si="136"/>
        <v>0.2081967213114754</v>
      </c>
      <c r="CY203" s="165"/>
      <c r="CZ203" s="136"/>
      <c r="DA203" s="124" t="str">
        <f t="shared" si="111"/>
        <v>Газлифт</v>
      </c>
      <c r="DB203" s="166">
        <f t="shared" si="112"/>
        <v>10.615395075999999</v>
      </c>
      <c r="DC203" s="138">
        <f t="shared" si="151"/>
        <v>12.7</v>
      </c>
      <c r="DD203" s="138">
        <f t="shared" si="152"/>
        <v>1.7000000000000001E-2</v>
      </c>
      <c r="DE203" s="138">
        <f t="shared" si="115"/>
        <v>21</v>
      </c>
      <c r="DF203" s="139">
        <f t="shared" si="116"/>
        <v>6</v>
      </c>
      <c r="DG203" s="138">
        <f t="shared" si="117"/>
        <v>1978.2589201487392</v>
      </c>
      <c r="DH203" s="138">
        <f t="shared" si="118"/>
        <v>40</v>
      </c>
      <c r="DI203" s="167"/>
      <c r="DJ203" s="195" t="s">
        <v>197</v>
      </c>
      <c r="DK203" s="196">
        <v>41632</v>
      </c>
      <c r="DL203" s="197">
        <f t="shared" ca="1" si="138"/>
        <v>3472</v>
      </c>
      <c r="DM203" s="198"/>
      <c r="DN203" s="198"/>
      <c r="DO203" s="198"/>
      <c r="DP203" s="198"/>
      <c r="DQ203" s="196">
        <v>41722</v>
      </c>
      <c r="DR203" s="198" t="s">
        <v>324</v>
      </c>
      <c r="DS203" s="198"/>
      <c r="DT203" s="138">
        <v>47</v>
      </c>
      <c r="DU203" s="165">
        <f t="shared" si="139"/>
        <v>0.23518518518518516</v>
      </c>
      <c r="DV203" s="139">
        <f t="shared" si="140"/>
        <v>10.615395075999999</v>
      </c>
      <c r="DW203" s="138">
        <f t="shared" si="141"/>
        <v>12.7</v>
      </c>
      <c r="DX203" s="138">
        <f t="shared" si="119"/>
        <v>1.7000000000000001E-2</v>
      </c>
      <c r="DY203" s="138">
        <f t="shared" si="142"/>
        <v>21</v>
      </c>
      <c r="DZ203" s="139">
        <f t="shared" si="143"/>
        <v>0</v>
      </c>
      <c r="EA203" s="139">
        <f t="shared" si="143"/>
        <v>0</v>
      </c>
      <c r="EB203" s="138">
        <f t="shared" si="143"/>
        <v>0</v>
      </c>
      <c r="EC203" s="139">
        <f t="shared" si="144"/>
        <v>0</v>
      </c>
      <c r="ED203" s="155"/>
      <c r="EE203" s="124">
        <v>18</v>
      </c>
      <c r="EF203" s="138">
        <v>23</v>
      </c>
      <c r="EG203" s="138">
        <v>34</v>
      </c>
      <c r="EH203" s="138">
        <v>22</v>
      </c>
      <c r="EI203" s="127" t="s">
        <v>195</v>
      </c>
      <c r="EJ203" s="139">
        <v>24</v>
      </c>
      <c r="EK203" s="139">
        <v>0</v>
      </c>
      <c r="EL203" s="176">
        <v>8.3585788000000001</v>
      </c>
      <c r="EM203" s="138">
        <v>10</v>
      </c>
      <c r="EN203" s="138">
        <v>1.7000000000000001E-2</v>
      </c>
      <c r="EO203" s="138">
        <v>22.7</v>
      </c>
      <c r="EP203" s="138">
        <v>1914.2010122582083</v>
      </c>
      <c r="EQ203" s="138">
        <v>78</v>
      </c>
      <c r="ER203" s="138">
        <v>6.7</v>
      </c>
      <c r="ES203" s="138">
        <v>43</v>
      </c>
      <c r="ET203" s="154">
        <v>0.17241379310344829</v>
      </c>
      <c r="EU203" s="124">
        <f t="shared" si="120"/>
        <v>18</v>
      </c>
      <c r="EV203" s="138">
        <f t="shared" si="121"/>
        <v>23</v>
      </c>
      <c r="EW203" s="138">
        <f t="shared" si="121"/>
        <v>34</v>
      </c>
      <c r="EX203" s="138">
        <f t="shared" si="121"/>
        <v>21</v>
      </c>
      <c r="EY203" s="138" t="str">
        <f t="shared" si="156"/>
        <v>Постоянный</v>
      </c>
      <c r="EZ203" s="138">
        <f t="shared" si="155"/>
        <v>24</v>
      </c>
      <c r="FA203" s="138">
        <f t="shared" si="155"/>
        <v>0</v>
      </c>
      <c r="FB203" s="139">
        <f t="shared" si="123"/>
        <v>10.615395075999999</v>
      </c>
      <c r="FC203" s="138">
        <f t="shared" si="123"/>
        <v>12.7</v>
      </c>
      <c r="FD203" s="138">
        <f t="shared" si="123"/>
        <v>1.7000000000000001E-2</v>
      </c>
      <c r="FE203" s="139">
        <f t="shared" si="103"/>
        <v>27</v>
      </c>
      <c r="FF203" s="139">
        <f t="shared" si="145"/>
        <v>1978.2589201487392</v>
      </c>
      <c r="FG203" s="139">
        <f t="shared" si="124"/>
        <v>78</v>
      </c>
      <c r="FH203" s="139">
        <f t="shared" si="146"/>
        <v>6</v>
      </c>
      <c r="FI203" s="139">
        <f t="shared" si="154"/>
        <v>40</v>
      </c>
      <c r="FJ203" s="168">
        <f t="shared" si="125"/>
        <v>0.2081967213114754</v>
      </c>
      <c r="FK203" s="169">
        <f t="shared" si="126"/>
        <v>0</v>
      </c>
      <c r="FL203" s="138">
        <f t="shared" si="126"/>
        <v>0</v>
      </c>
      <c r="FM203" s="138">
        <f t="shared" si="126"/>
        <v>0</v>
      </c>
      <c r="FN203" s="138">
        <f t="shared" si="126"/>
        <v>-1</v>
      </c>
      <c r="FO203" s="138">
        <f t="shared" si="150"/>
        <v>0</v>
      </c>
      <c r="FP203" s="138">
        <f t="shared" si="150"/>
        <v>0</v>
      </c>
      <c r="FQ203" s="149">
        <f t="shared" si="150"/>
        <v>2.2568162759999986</v>
      </c>
      <c r="FR203" s="142">
        <f t="shared" si="148"/>
        <v>2.6999999999999993</v>
      </c>
      <c r="FS203" s="119">
        <f t="shared" si="148"/>
        <v>0</v>
      </c>
      <c r="FT203" s="139">
        <f t="shared" si="148"/>
        <v>4.3000000000000007</v>
      </c>
      <c r="FU203" s="139">
        <f t="shared" si="127"/>
        <v>0</v>
      </c>
      <c r="FV203" s="139">
        <f t="shared" si="127"/>
        <v>-0.70000000000000018</v>
      </c>
      <c r="FW203" s="139">
        <f t="shared" si="128"/>
        <v>64.057907890530942</v>
      </c>
      <c r="FX203" s="139">
        <f>CN203-ES203</f>
        <v>-3</v>
      </c>
      <c r="FY203" s="168">
        <f t="shared" si="129"/>
        <v>3.5782928208027115E-2</v>
      </c>
      <c r="FZ203" s="124" t="s">
        <v>199</v>
      </c>
      <c r="GA203" s="1034" t="s">
        <v>200</v>
      </c>
      <c r="GB203" s="124" t="s">
        <v>199</v>
      </c>
      <c r="GC203" s="136" t="s">
        <v>415</v>
      </c>
      <c r="GD203" s="1018" t="s">
        <v>416</v>
      </c>
      <c r="GE203" s="1019" t="s">
        <v>199</v>
      </c>
      <c r="GF203" s="1019">
        <v>-0.88600935280000037</v>
      </c>
      <c r="GG203" s="1019"/>
      <c r="GH203" s="1019">
        <v>0</v>
      </c>
      <c r="GI203" s="124" t="s">
        <v>199</v>
      </c>
      <c r="GJ203" s="1015">
        <v>-4.8252918471999973</v>
      </c>
      <c r="GK203" s="124" t="s">
        <v>207</v>
      </c>
      <c r="GL203" s="1015">
        <v>1.4713599999999989</v>
      </c>
      <c r="GM203" s="1013"/>
      <c r="GN203" s="1015">
        <v>0</v>
      </c>
      <c r="GO203" s="1014"/>
      <c r="GP203" s="1015">
        <v>0</v>
      </c>
      <c r="GQ203" s="1014"/>
      <c r="GR203" s="1015">
        <v>0</v>
      </c>
      <c r="GS203" s="1014" t="s">
        <v>199</v>
      </c>
      <c r="GT203" s="1015">
        <v>1.4297271999999985</v>
      </c>
      <c r="GU203" s="1014"/>
      <c r="GV203" s="1015">
        <v>0</v>
      </c>
      <c r="GW203" s="1014"/>
      <c r="GX203" s="1020">
        <v>-0.91684119999999858</v>
      </c>
      <c r="GY203" s="1014"/>
      <c r="GZ203" s="1015">
        <v>-0.3750713999999995</v>
      </c>
      <c r="HA203" s="1014" t="s">
        <v>199</v>
      </c>
      <c r="HB203" s="1015">
        <v>-1.5002856000000016</v>
      </c>
      <c r="HC203" s="1014" t="s">
        <v>199</v>
      </c>
      <c r="HD203" s="1015">
        <v>5.6260709999999996</v>
      </c>
      <c r="HE203" s="1014" t="s">
        <v>199</v>
      </c>
      <c r="HF203" s="1015">
        <v>-8.4518763999999997</v>
      </c>
      <c r="HG203" s="1014" t="s">
        <v>199</v>
      </c>
      <c r="HH203" s="1015">
        <v>3.4943964000000012</v>
      </c>
      <c r="HI203" s="1014"/>
      <c r="HJ203" s="1015">
        <v>0</v>
      </c>
      <c r="HK203" s="1014"/>
      <c r="HL203" s="1015">
        <v>0</v>
      </c>
      <c r="HM203" s="1014" t="s">
        <v>204</v>
      </c>
      <c r="HN203" s="1015">
        <v>-1.0533600000000014</v>
      </c>
      <c r="HO203" s="1014"/>
      <c r="HP203" s="1015">
        <v>0</v>
      </c>
      <c r="HQ203" s="1014"/>
      <c r="HR203" s="1015">
        <v>-0.61027999999999949</v>
      </c>
      <c r="HS203" s="1014" t="s">
        <v>199</v>
      </c>
      <c r="HT203" s="1015">
        <v>-1.0736513919999968</v>
      </c>
      <c r="HU203" s="1014"/>
      <c r="HV203" s="1015">
        <v>-0.67860460800000411</v>
      </c>
      <c r="HW203" s="1014"/>
      <c r="HX203" s="1015">
        <v>0</v>
      </c>
      <c r="HY203" s="1014" t="s">
        <v>223</v>
      </c>
      <c r="HZ203" s="1015">
        <v>-1.2045923999999992</v>
      </c>
      <c r="IA203" s="1014"/>
      <c r="IB203" s="1015">
        <v>-0.67975159999999946</v>
      </c>
      <c r="IC203" s="1014"/>
      <c r="ID203" s="1015">
        <v>0</v>
      </c>
      <c r="IE203" s="1014"/>
      <c r="IF203" s="1015">
        <v>0</v>
      </c>
      <c r="IG203" s="1014"/>
      <c r="IH203" s="1015">
        <v>-0.63535999999999859</v>
      </c>
      <c r="II203" s="1014"/>
      <c r="IJ203" s="1015">
        <v>0</v>
      </c>
      <c r="IK203" s="1014"/>
      <c r="IL203" s="1015">
        <v>0</v>
      </c>
      <c r="IM203" s="1014" t="s">
        <v>199</v>
      </c>
      <c r="IN203" s="1015">
        <v>-3.6533200000000008</v>
      </c>
      <c r="IO203" s="1014" t="s">
        <v>199</v>
      </c>
      <c r="IP203" s="1015">
        <v>3.1517199999999974</v>
      </c>
      <c r="IQ203" s="1014" t="s">
        <v>199</v>
      </c>
      <c r="IR203" s="1015">
        <v>4.2518960000000021</v>
      </c>
      <c r="IS203" s="1014"/>
      <c r="IT203" s="1015">
        <v>0</v>
      </c>
      <c r="IU203" s="1014" t="s">
        <v>199</v>
      </c>
      <c r="IV203" s="1015">
        <v>-4.7869359999999972</v>
      </c>
      <c r="IW203" s="1014"/>
      <c r="IX203" s="1015">
        <v>0</v>
      </c>
      <c r="IY203" s="1014" t="s">
        <v>199</v>
      </c>
      <c r="IZ203" s="1015">
        <v>4.0462399999999974</v>
      </c>
      <c r="JA203" s="1014"/>
      <c r="JB203" s="1015">
        <v>0</v>
      </c>
      <c r="JC203" s="1014" t="s">
        <v>199</v>
      </c>
      <c r="JD203" s="1015">
        <v>-4.6815999999999995</v>
      </c>
      <c r="JE203" s="1014"/>
      <c r="JF203" s="1015">
        <v>-0.83600000000000207</v>
      </c>
      <c r="JG203" s="1014"/>
      <c r="JH203" s="1015">
        <v>0</v>
      </c>
      <c r="JI203" s="1014"/>
      <c r="JJ203" s="1015">
        <v>0</v>
      </c>
      <c r="JK203" s="1020"/>
      <c r="JL203" s="1020">
        <v>0</v>
      </c>
      <c r="JM203" s="1020"/>
      <c r="JN203" s="1020">
        <v>0</v>
      </c>
      <c r="JO203" s="1021"/>
      <c r="JP203" s="1020">
        <v>0</v>
      </c>
      <c r="JQ203" s="1021" t="s">
        <v>204</v>
      </c>
      <c r="JR203" s="1020">
        <v>-3.3439999999999976</v>
      </c>
      <c r="JS203" s="1021" t="s">
        <v>275</v>
      </c>
      <c r="JT203" s="1020">
        <v>-12.289200000000001</v>
      </c>
      <c r="JU203" s="1021"/>
      <c r="JV203" s="1020">
        <v>0</v>
      </c>
      <c r="JW203" s="1021" t="s">
        <v>197</v>
      </c>
      <c r="JX203" s="1020">
        <v>8.359999999999701E-2</v>
      </c>
      <c r="JY203" s="1021" t="s">
        <v>199</v>
      </c>
      <c r="JZ203" s="1020">
        <v>6.8552000000000035</v>
      </c>
      <c r="KA203" s="1021"/>
      <c r="KB203" s="1020">
        <v>0</v>
      </c>
      <c r="KC203" s="1021"/>
      <c r="KD203" s="1020">
        <v>0</v>
      </c>
      <c r="KE203" s="1021"/>
      <c r="KF203" s="1020">
        <v>0</v>
      </c>
      <c r="KG203" s="1021"/>
      <c r="KH203" s="1020">
        <v>0</v>
      </c>
      <c r="KI203" s="1021" t="s">
        <v>207</v>
      </c>
      <c r="KJ203" s="1020">
        <v>4.5143999999999984</v>
      </c>
      <c r="KK203" s="1021"/>
      <c r="KL203" s="1020">
        <v>0</v>
      </c>
      <c r="KM203" s="1021" t="s">
        <v>206</v>
      </c>
      <c r="KN203" s="1020">
        <v>-5.0159999999999982</v>
      </c>
      <c r="KO203" s="1021" t="s">
        <v>206</v>
      </c>
      <c r="KP203" s="1020">
        <v>4.18</v>
      </c>
      <c r="KQ203" s="1021" t="s">
        <v>206</v>
      </c>
      <c r="KR203" s="1020">
        <v>-2.5079999999999991</v>
      </c>
      <c r="KS203" s="1021" t="s">
        <v>206</v>
      </c>
      <c r="KT203" s="1020">
        <v>-2.7588000000000008</v>
      </c>
      <c r="KU203" s="1021">
        <v>0</v>
      </c>
      <c r="KV203" s="1020">
        <v>0</v>
      </c>
      <c r="KW203" s="1021" t="s">
        <v>204</v>
      </c>
      <c r="KX203" s="1020">
        <v>-2.2571999999999974</v>
      </c>
      <c r="KY203" s="1021" t="s">
        <v>204</v>
      </c>
      <c r="KZ203" s="1020">
        <v>-4.18</v>
      </c>
      <c r="LA203" s="1021" t="s">
        <v>204</v>
      </c>
      <c r="LB203" s="1020">
        <v>5.8519999999999968</v>
      </c>
      <c r="LC203" s="1021" t="s">
        <v>206</v>
      </c>
      <c r="LD203" s="1020">
        <v>5.0160000000000018</v>
      </c>
      <c r="LE203" s="1021">
        <v>0</v>
      </c>
      <c r="LF203" s="1020">
        <v>0</v>
      </c>
      <c r="LG203" s="1021">
        <v>0</v>
      </c>
      <c r="LH203" s="1020">
        <v>0</v>
      </c>
      <c r="LI203" s="1021">
        <v>0</v>
      </c>
      <c r="LJ203" s="1020">
        <v>0</v>
      </c>
      <c r="LK203" s="1021" t="s">
        <v>240</v>
      </c>
      <c r="LL203" s="1020">
        <v>-5.8524440000000002</v>
      </c>
      <c r="LM203" s="1021" t="s">
        <v>240</v>
      </c>
      <c r="LN203" s="1020">
        <v>-5.8502400000000003</v>
      </c>
      <c r="LO203" s="1021" t="s">
        <v>223</v>
      </c>
      <c r="LP203" s="1020">
        <v>-1.2899400000000001</v>
      </c>
      <c r="LQ203" s="1021">
        <v>0</v>
      </c>
      <c r="LR203" s="1020">
        <v>0</v>
      </c>
      <c r="LS203" s="1021">
        <v>0</v>
      </c>
      <c r="LT203" s="1020">
        <v>0</v>
      </c>
      <c r="LU203" s="1021" t="s">
        <v>206</v>
      </c>
      <c r="LV203" s="1020">
        <v>6.6262864800000045</v>
      </c>
      <c r="LW203" s="1021">
        <v>0</v>
      </c>
      <c r="LX203" s="1020">
        <v>0</v>
      </c>
      <c r="LY203" s="1009">
        <v>0</v>
      </c>
      <c r="LZ203" s="980">
        <v>0</v>
      </c>
      <c r="MA203" s="1009" t="s">
        <v>206</v>
      </c>
      <c r="MB203" s="1022">
        <v>-3.1575519360000044</v>
      </c>
      <c r="MC203" s="1041"/>
      <c r="MD203" s="1015"/>
      <c r="ME203" s="1018" t="s">
        <v>416</v>
      </c>
      <c r="MF203" s="997"/>
      <c r="MG203" s="1042"/>
      <c r="MH203" s="1043"/>
      <c r="MI203" s="1043"/>
      <c r="MJ203" s="1043"/>
      <c r="MK203" s="1043"/>
      <c r="ML203" s="1043"/>
      <c r="MM203" s="1043"/>
      <c r="MN203" s="1043"/>
      <c r="MO203" s="1043"/>
      <c r="MP203" s="1043"/>
      <c r="MQ203" s="1043"/>
      <c r="MR203" s="1043"/>
      <c r="MS203" s="1043"/>
      <c r="MT203" s="1043"/>
      <c r="MU203" s="1043"/>
      <c r="MV203" s="1043"/>
      <c r="MW203" s="1043"/>
      <c r="MX203" s="1043"/>
      <c r="MY203" s="1043"/>
      <c r="MZ203" s="1043"/>
      <c r="NA203" s="1043"/>
      <c r="NB203" s="1043"/>
      <c r="NC203" s="1043"/>
      <c r="ND203" s="1043"/>
      <c r="NE203" s="1043"/>
      <c r="NF203" s="1043"/>
      <c r="NG203" s="1043"/>
      <c r="NH203" s="1043"/>
      <c r="NI203" s="1043"/>
      <c r="NJ203" s="1043"/>
      <c r="NK203" s="1043"/>
      <c r="NL203" s="1043"/>
      <c r="NM203" s="1043"/>
      <c r="NR203" s="1044"/>
      <c r="NS203" s="1044"/>
      <c r="NT203" s="1045"/>
      <c r="NU203" s="1044"/>
      <c r="NV203" s="1045"/>
      <c r="NX203" s="1046"/>
      <c r="NZ203" s="1045"/>
      <c r="OA203" s="1045"/>
      <c r="OC203" s="1047"/>
      <c r="OD203" s="1047"/>
      <c r="OE203" s="1045"/>
      <c r="OF203" s="1047"/>
      <c r="OG203" s="1047"/>
      <c r="QX203" s="1000">
        <f>CN203-CA203</f>
        <v>17</v>
      </c>
      <c r="ASU203" s="1023" t="s">
        <v>208</v>
      </c>
    </row>
    <row r="204" spans="1:466 1191:1191" s="1023" customFormat="1" ht="21" customHeight="1" x14ac:dyDescent="0.25">
      <c r="A204" s="982" t="str">
        <f t="shared" si="104"/>
        <v>1101-1</v>
      </c>
      <c r="B204" s="124">
        <f>SUBTOTAL(103,$J$29:J204)</f>
        <v>176</v>
      </c>
      <c r="C204" s="126">
        <v>45068</v>
      </c>
      <c r="D204" s="124" t="s">
        <v>176</v>
      </c>
      <c r="E204" s="127" t="s">
        <v>177</v>
      </c>
      <c r="F204" s="128" t="s">
        <v>177</v>
      </c>
      <c r="G204" s="127" t="s">
        <v>178</v>
      </c>
      <c r="H204" s="127" t="s">
        <v>421</v>
      </c>
      <c r="I204" s="127" t="s">
        <v>632</v>
      </c>
      <c r="J204" s="129" t="s">
        <v>990</v>
      </c>
      <c r="K204" s="127" t="s">
        <v>733</v>
      </c>
      <c r="L204" s="130">
        <v>41632</v>
      </c>
      <c r="M204" s="127" t="s">
        <v>230</v>
      </c>
      <c r="N204" s="127" t="s">
        <v>231</v>
      </c>
      <c r="O204" s="127" t="s">
        <v>185</v>
      </c>
      <c r="P204" s="127" t="s">
        <v>186</v>
      </c>
      <c r="Q204" s="85" t="str">
        <f t="shared" si="133"/>
        <v/>
      </c>
      <c r="R204" s="130"/>
      <c r="S204" s="127" t="s">
        <v>156</v>
      </c>
      <c r="T204" s="136"/>
      <c r="U204" s="169">
        <v>203</v>
      </c>
      <c r="V204" s="139">
        <v>218.2</v>
      </c>
      <c r="W204" s="165">
        <v>0.98</v>
      </c>
      <c r="X204" s="165">
        <v>1.66</v>
      </c>
      <c r="Y204" s="165">
        <f t="shared" si="137"/>
        <v>0.98306051611281398</v>
      </c>
      <c r="Z204" s="164">
        <v>1.454</v>
      </c>
      <c r="AA204" s="164">
        <v>0.83599999999999997</v>
      </c>
      <c r="AB204" s="164">
        <v>0.72</v>
      </c>
      <c r="AC204" s="139">
        <v>34.299999999999997</v>
      </c>
      <c r="AD204" s="193">
        <v>1.17</v>
      </c>
      <c r="AE204" s="124">
        <v>177.8</v>
      </c>
      <c r="AF204" s="127">
        <v>9.19</v>
      </c>
      <c r="AG204" s="127">
        <v>2088</v>
      </c>
      <c r="AH204" s="127" t="s">
        <v>991</v>
      </c>
      <c r="AI204" s="127" t="s">
        <v>991</v>
      </c>
      <c r="AJ204" s="130"/>
      <c r="AK204" s="127"/>
      <c r="AL204" s="136"/>
      <c r="AM204" s="124" t="s">
        <v>232</v>
      </c>
      <c r="AN204" s="136" t="s">
        <v>992</v>
      </c>
      <c r="AO204" s="137">
        <v>30</v>
      </c>
      <c r="AP204" s="128">
        <v>2094</v>
      </c>
      <c r="AQ204" s="128">
        <v>203.7</v>
      </c>
      <c r="AR204" s="128"/>
      <c r="AS204" s="128"/>
      <c r="AT204" s="122"/>
      <c r="AU204" s="124" t="s">
        <v>250</v>
      </c>
      <c r="AV204" s="115">
        <f>VLOOKUP(J204,'[63]ТР нефть'!$J$28:$BP$638,39,0)</f>
        <v>605</v>
      </c>
      <c r="AW204" s="115" t="str">
        <f>VLOOKUP(J204,'[63]ТР нефть'!$J$28:$BP$638,40,0)</f>
        <v>ГК 65 1/8</v>
      </c>
      <c r="AX204" s="115">
        <f>VLOOKUP(J204,'[63]ТР нефть'!$J$28:$BP$638,41,0)</f>
        <v>1206</v>
      </c>
      <c r="AY204" s="115" t="str">
        <f>VLOOKUP(J204,'[63]ТР нефть'!$J$28:$BP$638,42,0)</f>
        <v>ГК 45 1/8</v>
      </c>
      <c r="AZ204" s="115">
        <f>VLOOKUP(J204,'[63]ТР нефть'!$J$28:$BP$638,43,0)</f>
        <v>1779</v>
      </c>
      <c r="BA204" s="115" t="str">
        <f>VLOOKUP(J204,'[63]ТР нефть'!$J$28:$BP$638,44,0)</f>
        <v>ЦКсОК 5/16</v>
      </c>
      <c r="BB204" s="115" t="str">
        <f>VLOOKUP(J204,'[63]ТР нефть'!$J$28:$BP$638,45,0)</f>
        <v>-</v>
      </c>
      <c r="BC204" s="115" t="str">
        <f>VLOOKUP(J204,'[63]ТР нефть'!$J$28:$BP$638,46,0)</f>
        <v>-</v>
      </c>
      <c r="BD204" s="115" t="str">
        <f>VLOOKUP(J204,'[63]ТР нефть'!$J$28:$BP$638,47,0)</f>
        <v>-</v>
      </c>
      <c r="BE204" s="115" t="str">
        <f>VLOOKUP(J204,'[63]ТР нефть'!$J$28:$BP$638,48,0)</f>
        <v>-</v>
      </c>
      <c r="BF204" s="115" t="str">
        <f>VLOOKUP(J204,'[63]ТР нефть'!$J$28:$BP$638,49,0)</f>
        <v>-</v>
      </c>
      <c r="BG204" s="115" t="str">
        <f>VLOOKUP(J204,'[63]ТР нефть'!$J$28:$BP$638,50,0)</f>
        <v>-</v>
      </c>
      <c r="BH204" s="115">
        <f>VLOOKUP(J204,'[63]ТР нефть'!$J$28:$BP$638,51,0)</f>
        <v>1790</v>
      </c>
      <c r="BI204" s="115" t="str">
        <f>VLOOKUP(J204,'[63]ТР нефть'!$J$28:$BP$638,52,0)</f>
        <v>закрыт</v>
      </c>
      <c r="BJ204" s="115" t="str">
        <f>IF(IFERROR(VLOOKUP(J204,'[63]ТР нефть'!$J$28:$BP$638,53,0),"-")=0,"-",IFERROR(VLOOKUP(J204,'[63]ТР нефть'!$J$28:$BP$638,53,0),"-"))</f>
        <v>-</v>
      </c>
      <c r="BK204" s="138" t="str">
        <f>IF(IFERROR(VLOOKUP(J204,'[63]ТР нефть'!$J$28:$BP$638,54,0),"-")=0,"-",IFERROR(VLOOKUP(J204,'[63]ТР нефть'!$J$28:$BP$638,54,0),"-"))</f>
        <v>-</v>
      </c>
      <c r="BL204" s="138" t="str">
        <f>IF(IFERROR(VLOOKUP(J204,'[63]ТР нефть'!$J$28:$BP$638,55,0),"-")=0,"-",IFERROR(VLOOKUP(J204,'[63]ТР нефть'!$J$28:$BP$638,55,0),"-"))</f>
        <v>-</v>
      </c>
      <c r="BM204" s="138" t="str">
        <f>IF(IFERROR(VLOOKUP(J204,'[63]ТР нефть'!$J$28:$BP$638,56,0),"-")=0,"-",IFERROR(VLOOKUP(J204,'[63]ТР нефть'!$J$28:$BP$638,56,0),"-"))</f>
        <v>-</v>
      </c>
      <c r="BN204" s="138" t="str">
        <f>IF(IFERROR(VLOOKUP(J204,'[63]ТР нефть'!$J$28:$BP$638,57,0),"-")=0,"-",IFERROR(VLOOKUP(J204,'[63]ТР нефть'!$J$28:$BP$638,57,0),"-"))</f>
        <v>-</v>
      </c>
      <c r="BO204" s="115" t="str">
        <f>IF(IFERROR(VLOOKUP(J204,'[63]ТР нефть'!$J$28:$BP$638,58,0),"-")=0,"-",IFERROR(VLOOKUP(J204,'[63]ТР нефть'!$J$28:$BP$638,58,0),"-"))</f>
        <v>-</v>
      </c>
      <c r="BP204" s="115" t="str">
        <f>IF(IFERROR(VLOOKUP(J204,'[63]ТР нефть'!$J$28:$BP$638,59,0),"-")=0,"-",IFERROR(VLOOKUP(J204,'[63]ТР нефть'!$J$28:$BP$638,59,0),"-"))</f>
        <v>-</v>
      </c>
      <c r="BQ204" s="138">
        <v>2075</v>
      </c>
      <c r="BR204" s="128">
        <v>1882.7</v>
      </c>
      <c r="BS204" s="115">
        <f t="shared" si="105"/>
        <v>192.29999999999995</v>
      </c>
      <c r="BT204" s="128">
        <v>73</v>
      </c>
      <c r="BU204" s="128">
        <v>5.5</v>
      </c>
      <c r="BV204" s="127">
        <v>18</v>
      </c>
      <c r="BW204" s="127" t="s">
        <v>217</v>
      </c>
      <c r="BX204" s="127" t="s">
        <v>195</v>
      </c>
      <c r="BY204" s="139">
        <v>24</v>
      </c>
      <c r="BZ204" s="139">
        <v>0</v>
      </c>
      <c r="CA204" s="138">
        <v>39</v>
      </c>
      <c r="CB204" s="138">
        <v>51</v>
      </c>
      <c r="CC204" s="138">
        <v>34</v>
      </c>
      <c r="CD204" s="135">
        <v>45017</v>
      </c>
      <c r="CE204" s="138">
        <v>69</v>
      </c>
      <c r="CF204" s="138"/>
      <c r="CG204" s="138" t="str">
        <f t="shared" si="153"/>
        <v/>
      </c>
      <c r="CH204" s="138" t="s">
        <v>197</v>
      </c>
      <c r="CI204" s="127"/>
      <c r="CJ204" s="138"/>
      <c r="CK204" s="138"/>
      <c r="CL204" s="99"/>
      <c r="CM204" s="138"/>
      <c r="CN204" s="154">
        <v>50</v>
      </c>
      <c r="CO204" s="159">
        <f>CP204*(1-CQ204/100)*0.836</f>
        <v>8.7942518399999994</v>
      </c>
      <c r="CP204" s="160">
        <v>10.6</v>
      </c>
      <c r="CQ204" s="161">
        <v>0.76</v>
      </c>
      <c r="CR204" s="138">
        <v>35</v>
      </c>
      <c r="CS204" s="139"/>
      <c r="CT204" s="138"/>
      <c r="CU204" s="138">
        <f t="shared" si="134"/>
        <v>35</v>
      </c>
      <c r="CV204" s="138">
        <f t="shared" si="135"/>
        <v>3979.8723799112854</v>
      </c>
      <c r="CW204" s="138" t="str">
        <f t="shared" si="109"/>
        <v/>
      </c>
      <c r="CX204" s="164">
        <f t="shared" si="136"/>
        <v>0.55789473684210522</v>
      </c>
      <c r="CY204" s="116"/>
      <c r="CZ204" s="136"/>
      <c r="DA204" s="124" t="str">
        <f t="shared" si="111"/>
        <v>Фон.</v>
      </c>
      <c r="DB204" s="166">
        <f t="shared" si="112"/>
        <v>8.7942518399999994</v>
      </c>
      <c r="DC204" s="138">
        <f t="shared" si="151"/>
        <v>10.6</v>
      </c>
      <c r="DD204" s="138">
        <f t="shared" si="152"/>
        <v>0.76</v>
      </c>
      <c r="DE204" s="138">
        <f t="shared" si="115"/>
        <v>35</v>
      </c>
      <c r="DF204" s="139">
        <f t="shared" si="116"/>
        <v>0</v>
      </c>
      <c r="DG204" s="115">
        <f t="shared" si="117"/>
        <v>3979.8723799112854</v>
      </c>
      <c r="DH204" s="115">
        <f t="shared" si="118"/>
        <v>50</v>
      </c>
      <c r="DI204" s="167"/>
      <c r="DJ204" s="111" t="s">
        <v>197</v>
      </c>
      <c r="DK204" s="112">
        <v>41820.999305555553</v>
      </c>
      <c r="DL204" s="113">
        <f t="shared" ca="1" si="138"/>
        <v>3283.0006944444467</v>
      </c>
      <c r="DM204" s="114"/>
      <c r="DN204" s="114"/>
      <c r="DO204" s="114"/>
      <c r="DP204" s="114"/>
      <c r="DQ204" s="112">
        <v>41632</v>
      </c>
      <c r="DR204" s="114" t="s">
        <v>324</v>
      </c>
      <c r="DS204" s="114"/>
      <c r="DT204" s="115">
        <v>60</v>
      </c>
      <c r="DU204" s="116">
        <f t="shared" si="139"/>
        <v>1.1777777777777778</v>
      </c>
      <c r="DV204" s="117">
        <f t="shared" si="140"/>
        <v>8.7942518399999994</v>
      </c>
      <c r="DW204" s="118">
        <f t="shared" si="141"/>
        <v>10.6</v>
      </c>
      <c r="DX204" s="119">
        <f t="shared" si="119"/>
        <v>0.76</v>
      </c>
      <c r="DY204" s="115">
        <f t="shared" si="142"/>
        <v>35</v>
      </c>
      <c r="DZ204" s="117">
        <f t="shared" si="143"/>
        <v>0</v>
      </c>
      <c r="EA204" s="120">
        <f t="shared" si="143"/>
        <v>0</v>
      </c>
      <c r="EB204" s="119">
        <f t="shared" si="143"/>
        <v>0</v>
      </c>
      <c r="EC204" s="121">
        <f t="shared" si="144"/>
        <v>0</v>
      </c>
      <c r="ED204" s="122"/>
      <c r="EE204" s="124">
        <v>18</v>
      </c>
      <c r="EF204" s="138">
        <v>36</v>
      </c>
      <c r="EG204" s="138">
        <v>52</v>
      </c>
      <c r="EH204" s="138">
        <v>35</v>
      </c>
      <c r="EI204" s="127" t="s">
        <v>195</v>
      </c>
      <c r="EJ204" s="139">
        <v>24</v>
      </c>
      <c r="EK204" s="139">
        <v>0</v>
      </c>
      <c r="EL204" s="176">
        <v>8.2134993599999984</v>
      </c>
      <c r="EM204" s="138">
        <v>9.9</v>
      </c>
      <c r="EN204" s="138">
        <v>0.76</v>
      </c>
      <c r="EO204" s="138">
        <v>33</v>
      </c>
      <c r="EP204" s="138">
        <v>4017.7759263866319</v>
      </c>
      <c r="EQ204" s="138">
        <v>0</v>
      </c>
      <c r="ER204" s="138">
        <v>0</v>
      </c>
      <c r="ES204" s="138">
        <v>57</v>
      </c>
      <c r="ET204" s="154">
        <v>0.82500000000000007</v>
      </c>
      <c r="EU204" s="124">
        <f t="shared" si="120"/>
        <v>18</v>
      </c>
      <c r="EV204" s="138">
        <f t="shared" si="121"/>
        <v>39</v>
      </c>
      <c r="EW204" s="138">
        <f t="shared" si="121"/>
        <v>51</v>
      </c>
      <c r="EX204" s="138">
        <f t="shared" si="121"/>
        <v>34</v>
      </c>
      <c r="EY204" s="138" t="str">
        <f t="shared" si="156"/>
        <v>Постоянный</v>
      </c>
      <c r="EZ204" s="138">
        <f t="shared" si="155"/>
        <v>24</v>
      </c>
      <c r="FA204" s="138">
        <f t="shared" si="155"/>
        <v>0</v>
      </c>
      <c r="FB204" s="149">
        <f>CO204</f>
        <v>8.7942518399999994</v>
      </c>
      <c r="FC204" s="142">
        <f>CP204</f>
        <v>10.6</v>
      </c>
      <c r="FD204" s="119">
        <f>CQ204</f>
        <v>0.76</v>
      </c>
      <c r="FE204" s="139">
        <f t="shared" si="103"/>
        <v>35</v>
      </c>
      <c r="FF204" s="139">
        <f t="shared" si="145"/>
        <v>3979.8723799112854</v>
      </c>
      <c r="FG204" s="139">
        <f t="shared" si="124"/>
        <v>0</v>
      </c>
      <c r="FH204" s="139">
        <f t="shared" si="146"/>
        <v>0</v>
      </c>
      <c r="FI204" s="139">
        <f t="shared" si="154"/>
        <v>50</v>
      </c>
      <c r="FJ204" s="168">
        <f t="shared" si="125"/>
        <v>0.55789473684210522</v>
      </c>
      <c r="FK204" s="169">
        <f t="shared" si="126"/>
        <v>0</v>
      </c>
      <c r="FL204" s="138">
        <f t="shared" si="126"/>
        <v>3</v>
      </c>
      <c r="FM204" s="138">
        <f t="shared" si="126"/>
        <v>-1</v>
      </c>
      <c r="FN204" s="138">
        <f t="shared" si="126"/>
        <v>-1</v>
      </c>
      <c r="FO204" s="138">
        <f t="shared" si="150"/>
        <v>0</v>
      </c>
      <c r="FP204" s="138">
        <f t="shared" si="150"/>
        <v>0</v>
      </c>
      <c r="FQ204" s="149">
        <f t="shared" si="150"/>
        <v>0.58075248000000101</v>
      </c>
      <c r="FR204" s="142">
        <f t="shared" si="148"/>
        <v>0.69999999999999929</v>
      </c>
      <c r="FS204" s="119">
        <f t="shared" si="148"/>
        <v>0</v>
      </c>
      <c r="FT204" s="139">
        <f t="shared" si="148"/>
        <v>2</v>
      </c>
      <c r="FU204" s="139">
        <f t="shared" si="127"/>
        <v>0</v>
      </c>
      <c r="FV204" s="139">
        <f t="shared" si="127"/>
        <v>0</v>
      </c>
      <c r="FW204" s="139">
        <f t="shared" si="128"/>
        <v>-37.903546475346502</v>
      </c>
      <c r="FX204" s="139">
        <f>CN204-ES204</f>
        <v>-7</v>
      </c>
      <c r="FY204" s="168">
        <f t="shared" si="129"/>
        <v>-0.26710526315789485</v>
      </c>
      <c r="FZ204" s="124"/>
      <c r="GA204" s="151"/>
      <c r="GB204" s="124" t="s">
        <v>221</v>
      </c>
      <c r="GC204" s="136" t="s">
        <v>993</v>
      </c>
      <c r="GD204" s="1018" t="s">
        <v>416</v>
      </c>
      <c r="GE204" s="1019" t="s">
        <v>221</v>
      </c>
      <c r="GF204" s="1019">
        <v>-5.9677358400000013</v>
      </c>
      <c r="GG204" s="1019" t="s">
        <v>221</v>
      </c>
      <c r="GH204" s="1019">
        <v>6.3104456800000008</v>
      </c>
      <c r="GI204" s="124"/>
      <c r="GJ204" s="1015">
        <v>0</v>
      </c>
      <c r="GK204" s="124"/>
      <c r="GL204" s="1015">
        <v>0</v>
      </c>
      <c r="GM204" s="1013"/>
      <c r="GN204" s="1015">
        <v>0</v>
      </c>
      <c r="GO204" s="1014"/>
      <c r="GP204" s="1015">
        <v>0</v>
      </c>
      <c r="GQ204" s="1014"/>
      <c r="GR204" s="1015">
        <v>0</v>
      </c>
      <c r="GS204" s="1014"/>
      <c r="GT204" s="1015">
        <v>0</v>
      </c>
      <c r="GU204" s="1014"/>
      <c r="GV204" s="1015">
        <v>0</v>
      </c>
      <c r="GW204" s="1014"/>
      <c r="GX204" s="1020">
        <v>0</v>
      </c>
      <c r="GY204" s="1014"/>
      <c r="GZ204" s="1015">
        <v>0</v>
      </c>
      <c r="HA204" s="1014"/>
      <c r="HB204" s="1015">
        <v>0</v>
      </c>
      <c r="HC204" s="1014" t="s">
        <v>223</v>
      </c>
      <c r="HD204" s="1015">
        <v>-1.8615044799999989</v>
      </c>
      <c r="HE204" s="1014" t="s">
        <v>199</v>
      </c>
      <c r="HF204" s="1015">
        <v>-2.1341575200000005</v>
      </c>
      <c r="HG204" s="1014" t="s">
        <v>221</v>
      </c>
      <c r="HH204" s="1015">
        <v>2.7576964799999981</v>
      </c>
      <c r="HI204" s="1014" t="s">
        <v>199</v>
      </c>
      <c r="HJ204" s="1015">
        <v>-5.3114905536000006</v>
      </c>
      <c r="HK204" s="1014" t="s">
        <v>199</v>
      </c>
      <c r="HL204" s="1015">
        <v>7.4006545535999999</v>
      </c>
      <c r="HM204" s="1014" t="s">
        <v>199</v>
      </c>
      <c r="HN204" s="1015">
        <v>-5.6741694239999978</v>
      </c>
      <c r="HO204" s="1006" t="s">
        <v>204</v>
      </c>
      <c r="HP204" s="996">
        <v>4.4206710239999989</v>
      </c>
      <c r="HQ204" s="1006"/>
      <c r="HR204" s="996">
        <v>0</v>
      </c>
      <c r="HS204" s="1006"/>
      <c r="HT204" s="996">
        <v>0</v>
      </c>
      <c r="HU204" s="1006"/>
      <c r="HV204" s="996">
        <v>8.0289439999999601E-2</v>
      </c>
      <c r="HW204" s="1006"/>
      <c r="HX204" s="996">
        <v>0</v>
      </c>
      <c r="HY204" s="1006"/>
      <c r="HZ204" s="996">
        <v>-0.73093151999999861</v>
      </c>
      <c r="IA204" s="1006"/>
      <c r="IB204" s="996">
        <v>0</v>
      </c>
      <c r="IC204" s="1006"/>
      <c r="ID204" s="996">
        <v>0</v>
      </c>
      <c r="IE204" s="1006" t="s">
        <v>204</v>
      </c>
      <c r="IF204" s="996">
        <v>-1.3343897600000023</v>
      </c>
      <c r="IG204" s="1006" t="s">
        <v>199</v>
      </c>
      <c r="IH204" s="996">
        <v>1.868145664</v>
      </c>
      <c r="II204" s="1006"/>
      <c r="IJ204" s="996">
        <v>0</v>
      </c>
      <c r="IK204" s="1006" t="s">
        <v>199</v>
      </c>
      <c r="IL204" s="996">
        <v>-1.9515450239999996</v>
      </c>
      <c r="IM204" s="1006"/>
      <c r="IN204" s="996">
        <v>-0.83399359999999945</v>
      </c>
      <c r="IO204" s="1006"/>
      <c r="IP204" s="996">
        <v>-0.94241276799999874</v>
      </c>
      <c r="IQ204" s="1006"/>
      <c r="IR204" s="996">
        <v>0</v>
      </c>
      <c r="IS204" s="1006"/>
      <c r="IT204" s="996">
        <v>0</v>
      </c>
      <c r="IU204" s="1006"/>
      <c r="IV204" s="996">
        <v>0.45869647999999863</v>
      </c>
      <c r="IW204" s="1006"/>
      <c r="IX204" s="996">
        <v>0</v>
      </c>
      <c r="IY204" s="1006"/>
      <c r="IZ204" s="996">
        <v>0</v>
      </c>
      <c r="JA204" s="1006"/>
      <c r="JB204" s="996">
        <v>0</v>
      </c>
      <c r="JC204" s="1006"/>
      <c r="JD204" s="996">
        <v>0</v>
      </c>
      <c r="JE204" s="1006"/>
      <c r="JF204" s="996">
        <v>-0.52541596799999901</v>
      </c>
      <c r="JG204" s="1006"/>
      <c r="JH204" s="996">
        <v>0</v>
      </c>
      <c r="JI204" s="1006"/>
      <c r="JJ204" s="996">
        <v>0</v>
      </c>
      <c r="JK204" s="1007" t="s">
        <v>199</v>
      </c>
      <c r="JL204" s="1007">
        <v>-2.7605188160000012</v>
      </c>
      <c r="JM204" s="1007" t="s">
        <v>199</v>
      </c>
      <c r="JN204" s="1007">
        <v>1.3510696320000015</v>
      </c>
      <c r="JO204" s="1008"/>
      <c r="JP204" s="1007">
        <v>0</v>
      </c>
      <c r="JQ204" s="1008">
        <v>0</v>
      </c>
      <c r="JR204" s="1007">
        <v>0.36695718399999855</v>
      </c>
      <c r="JS204" s="1008">
        <v>0</v>
      </c>
      <c r="JT204" s="1007">
        <v>-0.95075270399999923</v>
      </c>
      <c r="JU204" s="1008" t="s">
        <v>223</v>
      </c>
      <c r="JV204" s="1007">
        <v>-4.1699680000000026</v>
      </c>
      <c r="JW204" s="1008" t="s">
        <v>197</v>
      </c>
      <c r="JX204" s="1007">
        <v>0</v>
      </c>
      <c r="JY204" s="1008"/>
      <c r="JZ204" s="1007">
        <v>0</v>
      </c>
      <c r="KA204" s="1008"/>
      <c r="KB204" s="1007">
        <v>0</v>
      </c>
      <c r="KC204" s="1008"/>
      <c r="KD204" s="1007">
        <v>0</v>
      </c>
      <c r="KE204" s="1008"/>
      <c r="KF204" s="1007">
        <v>0</v>
      </c>
      <c r="KG204" s="1008" t="s">
        <v>204</v>
      </c>
      <c r="KH204" s="1020">
        <v>2.5019808000000037</v>
      </c>
      <c r="KI204" s="1008"/>
      <c r="KJ204" s="1007">
        <v>0</v>
      </c>
      <c r="KK204" s="1008"/>
      <c r="KL204" s="1007">
        <v>0</v>
      </c>
      <c r="KM204" s="1008"/>
      <c r="KN204" s="1007">
        <v>0</v>
      </c>
      <c r="KO204" s="1008" t="s">
        <v>207</v>
      </c>
      <c r="KP204" s="1007">
        <v>1.3343897600000005</v>
      </c>
      <c r="KQ204" s="1008">
        <v>0</v>
      </c>
      <c r="KR204" s="1007">
        <v>0</v>
      </c>
      <c r="KS204" s="1008">
        <v>0</v>
      </c>
      <c r="KT204" s="1007">
        <v>0</v>
      </c>
      <c r="KU204" s="1008" t="s">
        <v>206</v>
      </c>
      <c r="KV204" s="1007">
        <v>1.1675910399999978</v>
      </c>
      <c r="KW204" s="1008">
        <v>0</v>
      </c>
      <c r="KX204" s="1007">
        <v>0</v>
      </c>
      <c r="KY204" s="1008" t="s">
        <v>204</v>
      </c>
      <c r="KZ204" s="1007">
        <v>-3.3359743999999996</v>
      </c>
      <c r="LA204" s="1008" t="s">
        <v>206</v>
      </c>
      <c r="LB204" s="1007">
        <v>-5.0039616000000002</v>
      </c>
      <c r="LC204" s="1008" t="s">
        <v>206</v>
      </c>
      <c r="LD204" s="1007">
        <v>4.1699680000000008</v>
      </c>
      <c r="LE204" s="1008" t="s">
        <v>206</v>
      </c>
      <c r="LF204" s="1020">
        <v>-2.5019807999999983</v>
      </c>
      <c r="LG204" s="1008">
        <v>0</v>
      </c>
      <c r="LH204" s="1007">
        <v>0</v>
      </c>
      <c r="LI204" s="1008">
        <v>0</v>
      </c>
      <c r="LJ204" s="1007">
        <v>0</v>
      </c>
      <c r="LK204" s="1008">
        <v>0</v>
      </c>
      <c r="LL204" s="1007">
        <v>0</v>
      </c>
      <c r="LM204" s="1008" t="s">
        <v>555</v>
      </c>
      <c r="LN204" s="1007">
        <v>3.3359740000000002</v>
      </c>
      <c r="LO204" s="1008" t="s">
        <v>206</v>
      </c>
      <c r="LP204" s="1007">
        <v>-3.3359743999999978</v>
      </c>
      <c r="LQ204" s="1008">
        <v>0</v>
      </c>
      <c r="LR204" s="1007">
        <v>0</v>
      </c>
      <c r="LS204" s="1008">
        <v>0</v>
      </c>
      <c r="LT204" s="1007">
        <v>0</v>
      </c>
      <c r="LU204" s="1008" t="s">
        <v>207</v>
      </c>
      <c r="LV204" s="1007">
        <v>2.4185814399999934</v>
      </c>
      <c r="LW204" s="1008">
        <v>0</v>
      </c>
      <c r="LX204" s="1007">
        <v>0</v>
      </c>
      <c r="LY204" s="1009">
        <v>0</v>
      </c>
      <c r="LZ204" s="1010">
        <v>0</v>
      </c>
      <c r="MA204" s="1011">
        <v>0</v>
      </c>
      <c r="MB204" s="1012">
        <v>-4.8656864000000004</v>
      </c>
      <c r="MC204" s="1041"/>
      <c r="MD204" s="1015"/>
      <c r="ME204" s="1018" t="s">
        <v>416</v>
      </c>
      <c r="MF204" s="997"/>
      <c r="MG204" s="1042"/>
      <c r="MH204" s="1043"/>
      <c r="MI204" s="1043"/>
      <c r="MJ204" s="1043"/>
      <c r="MK204" s="1043"/>
      <c r="ML204" s="1043"/>
      <c r="MM204" s="1043"/>
      <c r="MN204" s="1043"/>
      <c r="MO204" s="1043"/>
      <c r="MP204" s="1043"/>
      <c r="MQ204" s="878"/>
      <c r="MR204" s="878"/>
      <c r="MS204" s="1043"/>
      <c r="MT204" s="1043"/>
      <c r="MU204" s="1043"/>
      <c r="MV204" s="1043"/>
      <c r="MW204" s="878"/>
      <c r="MX204" s="878"/>
      <c r="MY204" s="878"/>
      <c r="MZ204" s="878"/>
      <c r="NA204" s="878"/>
      <c r="NB204" s="878"/>
      <c r="NC204" s="878"/>
      <c r="ND204" s="878"/>
      <c r="NE204" s="878"/>
      <c r="NF204" s="878"/>
      <c r="NG204" s="878"/>
      <c r="NH204" s="878"/>
      <c r="NI204" s="878"/>
      <c r="NJ204" s="878"/>
      <c r="NK204" s="878"/>
      <c r="NL204" s="878"/>
      <c r="NM204" s="1043"/>
      <c r="NR204" s="1044"/>
      <c r="NS204" s="1044"/>
      <c r="NT204" s="1045"/>
      <c r="NU204" s="1044"/>
      <c r="NV204" s="1045"/>
      <c r="NX204" s="1046"/>
      <c r="NZ204" s="1045"/>
      <c r="OA204" s="1045"/>
      <c r="OC204" s="1047"/>
      <c r="OD204" s="1047"/>
      <c r="OE204" s="1045"/>
      <c r="OF204" s="1047"/>
      <c r="OG204" s="1047"/>
      <c r="QX204" s="1000">
        <f>CN204-CA204</f>
        <v>11</v>
      </c>
      <c r="ASU204" s="1023" t="s">
        <v>208</v>
      </c>
    </row>
    <row r="205" spans="1:466 1191:1191" ht="21" customHeight="1" x14ac:dyDescent="0.25">
      <c r="A205" s="982">
        <f t="shared" si="104"/>
        <v>1103</v>
      </c>
      <c r="B205" s="145">
        <f>SUBTOTAL(103,$J$29:J205)</f>
        <v>177</v>
      </c>
      <c r="C205" s="126">
        <v>45068</v>
      </c>
      <c r="D205" s="145" t="s">
        <v>176</v>
      </c>
      <c r="E205" s="128" t="s">
        <v>177</v>
      </c>
      <c r="F205" s="128" t="s">
        <v>177</v>
      </c>
      <c r="G205" s="128" t="s">
        <v>178</v>
      </c>
      <c r="H205" s="128" t="s">
        <v>179</v>
      </c>
      <c r="I205" s="128" t="s">
        <v>921</v>
      </c>
      <c r="J205" s="152">
        <v>1103</v>
      </c>
      <c r="K205" s="127" t="s">
        <v>994</v>
      </c>
      <c r="L205" s="135">
        <v>41528</v>
      </c>
      <c r="M205" s="128" t="s">
        <v>230</v>
      </c>
      <c r="N205" s="128" t="s">
        <v>245</v>
      </c>
      <c r="O205" s="127" t="s">
        <v>582</v>
      </c>
      <c r="P205" s="127" t="s">
        <v>292</v>
      </c>
      <c r="Q205" s="127">
        <v>-4</v>
      </c>
      <c r="R205" s="130">
        <v>41508</v>
      </c>
      <c r="S205" s="128" t="s">
        <v>211</v>
      </c>
      <c r="T205" s="131" t="s">
        <v>995</v>
      </c>
      <c r="U205" s="132">
        <v>203</v>
      </c>
      <c r="V205" s="121">
        <v>218.2</v>
      </c>
      <c r="W205" s="116">
        <v>0.98</v>
      </c>
      <c r="X205" s="116">
        <v>1.66</v>
      </c>
      <c r="Y205" s="116">
        <f t="shared" si="137"/>
        <v>0.98</v>
      </c>
      <c r="Z205" s="133">
        <v>1.454</v>
      </c>
      <c r="AA205" s="133">
        <v>0.83599999999999997</v>
      </c>
      <c r="AB205" s="133">
        <v>0.72</v>
      </c>
      <c r="AC205" s="121">
        <v>34.299999999999997</v>
      </c>
      <c r="AD205" s="134">
        <v>1.17</v>
      </c>
      <c r="AE205" s="145">
        <v>177.8</v>
      </c>
      <c r="AF205" s="128">
        <v>9.19</v>
      </c>
      <c r="AG205" s="128">
        <v>1983</v>
      </c>
      <c r="AH205" s="128">
        <v>2756</v>
      </c>
      <c r="AI205" s="128">
        <v>2745</v>
      </c>
      <c r="AJ205" s="135"/>
      <c r="AK205" s="128"/>
      <c r="AL205" s="131"/>
      <c r="AM205" s="145" t="s">
        <v>232</v>
      </c>
      <c r="AN205" s="131" t="s">
        <v>996</v>
      </c>
      <c r="AO205" s="137">
        <v>20</v>
      </c>
      <c r="AP205" s="128">
        <v>1983</v>
      </c>
      <c r="AQ205" s="128">
        <v>239.3</v>
      </c>
      <c r="AR205" s="128" t="s">
        <v>996</v>
      </c>
      <c r="AS205" s="128">
        <v>114</v>
      </c>
      <c r="AT205" s="122">
        <v>7.4</v>
      </c>
      <c r="AU205" s="145" t="s">
        <v>189</v>
      </c>
      <c r="AV205" s="128">
        <f>VLOOKUP(J205,'[63]ТР нефть'!$J$28:$BP$638,39,0)</f>
        <v>300</v>
      </c>
      <c r="AW205" s="128" t="str">
        <f>VLOOKUP(J205,'[63]ТР нефть'!$J$28:$BP$638,40,0)</f>
        <v>ГП</v>
      </c>
      <c r="AX205" s="128" t="str">
        <f>VLOOKUP(J205,'[63]ТР нефть'!$J$28:$BP$638,41,0)</f>
        <v>-</v>
      </c>
      <c r="AY205" s="128" t="str">
        <f>VLOOKUP(J205,'[63]ТР нефть'!$J$28:$BP$638,42,0)</f>
        <v>-</v>
      </c>
      <c r="AZ205" s="128" t="str">
        <f>VLOOKUP(J205,'[63]ТР нефть'!$J$28:$BP$638,43,0)</f>
        <v>-</v>
      </c>
      <c r="BA205" s="128" t="str">
        <f>VLOOKUP(J205,'[63]ТР нефть'!$J$28:$BP$638,44,0)</f>
        <v>-</v>
      </c>
      <c r="BB205" s="128" t="str">
        <f>VLOOKUP(J205,'[63]ТР нефть'!$J$28:$BP$638,45,0)</f>
        <v>-</v>
      </c>
      <c r="BC205" s="128" t="str">
        <f>VLOOKUP(J205,'[63]ТР нефть'!$J$28:$BP$638,46,0)</f>
        <v>-</v>
      </c>
      <c r="BD205" s="128" t="str">
        <f>VLOOKUP(J205,'[63]ТР нефть'!$J$28:$BP$638,47,0)</f>
        <v>-</v>
      </c>
      <c r="BE205" s="128" t="str">
        <f>VLOOKUP(J205,'[63]ТР нефть'!$J$28:$BP$638,48,0)</f>
        <v>-</v>
      </c>
      <c r="BF205" s="128" t="str">
        <f>VLOOKUP(J205,'[63]ТР нефть'!$J$28:$BP$638,49,0)</f>
        <v>-</v>
      </c>
      <c r="BG205" s="128" t="str">
        <f>VLOOKUP(J205,'[63]ТР нефть'!$J$28:$BP$638,50,0)</f>
        <v>-</v>
      </c>
      <c r="BH205" s="128">
        <f>VLOOKUP(J205,'[63]ТР нефть'!$J$28:$BP$638,51,0)</f>
        <v>1726</v>
      </c>
      <c r="BI205" s="128" t="str">
        <f>VLOOKUP(J205,'[63]ТР нефть'!$J$28:$BP$638,52,0)</f>
        <v>закр</v>
      </c>
      <c r="BJ205" s="128" t="str">
        <f>IF(IFERROR(VLOOKUP(J205,'[63]ТР нефть'!$J$28:$BP$638,53,0),"-")=0,"-",IFERROR(VLOOKUP(J205,'[63]ТР нефть'!$J$28:$BP$638,53,0),"-"))</f>
        <v>-</v>
      </c>
      <c r="BK205" s="128" t="s">
        <v>192</v>
      </c>
      <c r="BL205" s="128" t="s">
        <v>192</v>
      </c>
      <c r="BM205" s="128" t="s">
        <v>192</v>
      </c>
      <c r="BN205" s="138" t="s">
        <v>192</v>
      </c>
      <c r="BO205" s="128">
        <f>IF(IFERROR(VLOOKUP(J205,'[63]ТР нефть'!$J$28:$BP$638,58,0),"-")=0,"-",IFERROR(VLOOKUP(J205,'[63]ТР нефть'!$J$28:$BP$638,58,0),"-"))</f>
        <v>140</v>
      </c>
      <c r="BP205" s="128" t="str">
        <f>IF(IFERROR(VLOOKUP(J205,'[63]ТР нефть'!$J$28:$BP$638,59,0),"-")=0,"-",IFERROR(VLOOKUP(J205,'[63]ТР нефть'!$J$28:$BP$638,59,0),"-"))</f>
        <v>-</v>
      </c>
      <c r="BQ205" s="204">
        <v>1500</v>
      </c>
      <c r="BR205" s="128">
        <v>1688.24</v>
      </c>
      <c r="BS205" s="115">
        <f t="shared" si="105"/>
        <v>-188.24</v>
      </c>
      <c r="BT205" s="128">
        <v>73</v>
      </c>
      <c r="BU205" s="128">
        <v>5.5</v>
      </c>
      <c r="BV205" s="128">
        <v>65</v>
      </c>
      <c r="BW205" s="128" t="s">
        <v>217</v>
      </c>
      <c r="BX205" s="127" t="s">
        <v>195</v>
      </c>
      <c r="BY205" s="121">
        <v>24</v>
      </c>
      <c r="BZ205" s="121">
        <v>0</v>
      </c>
      <c r="CA205" s="115">
        <v>37</v>
      </c>
      <c r="CB205" s="115">
        <v>37</v>
      </c>
      <c r="CC205" s="115">
        <v>36</v>
      </c>
      <c r="CD205" s="135">
        <v>45017</v>
      </c>
      <c r="CE205" s="115">
        <v>197.7</v>
      </c>
      <c r="CF205" s="138"/>
      <c r="CG205" s="115" t="str">
        <f t="shared" si="153"/>
        <v/>
      </c>
      <c r="CH205" s="115" t="s">
        <v>197</v>
      </c>
      <c r="CI205" s="115"/>
      <c r="CJ205" s="115">
        <f>IF((BR205-(100*(CM205-CB205))/(9.8*(AB205+AA205)/2))&gt;0,BR205-(100*(CM205-CB205))/(9.8*(AB205+AA205)/2),0)</f>
        <v>2173.5240879282305</v>
      </c>
      <c r="CK205" s="115">
        <f t="shared" si="157"/>
        <v>-37</v>
      </c>
      <c r="CL205" s="115"/>
      <c r="CM205" s="115"/>
      <c r="CN205" s="150"/>
      <c r="CO205" s="141">
        <f t="shared" si="106"/>
        <v>0</v>
      </c>
      <c r="CP205" s="142"/>
      <c r="CQ205" s="119"/>
      <c r="CR205" s="138"/>
      <c r="CS205" s="139"/>
      <c r="CT205" s="138"/>
      <c r="CU205" s="138"/>
      <c r="CV205" s="115"/>
      <c r="CW205" s="115" t="str">
        <f t="shared" si="109"/>
        <v/>
      </c>
      <c r="CX205" s="133"/>
      <c r="CY205" s="116"/>
      <c r="CZ205" s="131"/>
      <c r="DA205" s="145" t="str">
        <f t="shared" si="111"/>
        <v>Газлифт</v>
      </c>
      <c r="DB205" s="146">
        <f t="shared" si="112"/>
        <v>0</v>
      </c>
      <c r="DC205" s="142">
        <f t="shared" si="151"/>
        <v>0</v>
      </c>
      <c r="DD205" s="119">
        <f t="shared" si="152"/>
        <v>0</v>
      </c>
      <c r="DE205" s="115">
        <f t="shared" si="115"/>
        <v>0</v>
      </c>
      <c r="DF205" s="121">
        <f t="shared" si="116"/>
        <v>0</v>
      </c>
      <c r="DG205" s="115">
        <f t="shared" si="117"/>
        <v>0</v>
      </c>
      <c r="DH205" s="115">
        <f t="shared" si="118"/>
        <v>0</v>
      </c>
      <c r="DI205" s="150"/>
      <c r="DJ205" s="111">
        <v>43953</v>
      </c>
      <c r="DK205" s="112">
        <v>44022</v>
      </c>
      <c r="DL205" s="113">
        <f t="shared" ca="1" si="138"/>
        <v>1082</v>
      </c>
      <c r="DM205" s="114">
        <v>33.200000000000003</v>
      </c>
      <c r="DN205" s="114">
        <v>62</v>
      </c>
      <c r="DO205" s="114" t="s">
        <v>192</v>
      </c>
      <c r="DP205" s="114" t="s">
        <v>884</v>
      </c>
      <c r="DQ205" s="112">
        <v>41528</v>
      </c>
      <c r="DR205" s="114" t="s">
        <v>324</v>
      </c>
      <c r="DS205" s="114"/>
      <c r="DT205" s="115">
        <v>98.10307662176001</v>
      </c>
      <c r="DU205" s="116">
        <f t="shared" si="139"/>
        <v>0</v>
      </c>
      <c r="DV205" s="117">
        <f t="shared" si="140"/>
        <v>0</v>
      </c>
      <c r="DW205" s="118">
        <f t="shared" si="141"/>
        <v>0</v>
      </c>
      <c r="DX205" s="119">
        <f t="shared" si="119"/>
        <v>0</v>
      </c>
      <c r="DY205" s="115">
        <f t="shared" si="142"/>
        <v>0</v>
      </c>
      <c r="DZ205" s="117">
        <f t="shared" si="143"/>
        <v>0</v>
      </c>
      <c r="EA205" s="120">
        <f t="shared" si="143"/>
        <v>0</v>
      </c>
      <c r="EB205" s="119">
        <f t="shared" si="143"/>
        <v>0</v>
      </c>
      <c r="EC205" s="121">
        <f t="shared" si="144"/>
        <v>0</v>
      </c>
      <c r="ED205" s="122"/>
      <c r="EE205" s="145">
        <v>65</v>
      </c>
      <c r="EF205" s="115">
        <v>37</v>
      </c>
      <c r="EG205" s="115">
        <v>37</v>
      </c>
      <c r="EH205" s="115">
        <v>36</v>
      </c>
      <c r="EI205" s="128" t="s">
        <v>195</v>
      </c>
      <c r="EJ205" s="121">
        <v>24</v>
      </c>
      <c r="EK205" s="121">
        <v>0</v>
      </c>
      <c r="EL205" s="149">
        <v>0</v>
      </c>
      <c r="EM205" s="142">
        <v>0</v>
      </c>
      <c r="EN205" s="119">
        <v>0</v>
      </c>
      <c r="EO205" s="115">
        <v>0</v>
      </c>
      <c r="EP205" s="115">
        <v>0</v>
      </c>
      <c r="EQ205" s="115">
        <v>0</v>
      </c>
      <c r="ER205" s="115">
        <v>0</v>
      </c>
      <c r="ES205" s="115">
        <v>0</v>
      </c>
      <c r="ET205" s="150">
        <v>0</v>
      </c>
      <c r="EU205" s="145">
        <f t="shared" si="120"/>
        <v>65</v>
      </c>
      <c r="EV205" s="115">
        <f t="shared" si="121"/>
        <v>37</v>
      </c>
      <c r="EW205" s="115">
        <f t="shared" si="121"/>
        <v>37</v>
      </c>
      <c r="EX205" s="115">
        <f t="shared" si="121"/>
        <v>36</v>
      </c>
      <c r="EY205" s="115" t="str">
        <f t="shared" si="156"/>
        <v>Постоянный</v>
      </c>
      <c r="EZ205" s="115">
        <f t="shared" si="155"/>
        <v>24</v>
      </c>
      <c r="FA205" s="115">
        <f t="shared" si="155"/>
        <v>0</v>
      </c>
      <c r="FB205" s="149">
        <f t="shared" si="123"/>
        <v>0</v>
      </c>
      <c r="FC205" s="142">
        <f t="shared" si="123"/>
        <v>0</v>
      </c>
      <c r="FD205" s="119">
        <f t="shared" si="123"/>
        <v>0</v>
      </c>
      <c r="FE205" s="121">
        <f t="shared" si="103"/>
        <v>0</v>
      </c>
      <c r="FF205" s="121">
        <f t="shared" si="145"/>
        <v>0</v>
      </c>
      <c r="FG205" s="121">
        <f t="shared" si="124"/>
        <v>0</v>
      </c>
      <c r="FH205" s="121">
        <f t="shared" si="146"/>
        <v>0</v>
      </c>
      <c r="FI205" s="121">
        <f t="shared" si="154"/>
        <v>0</v>
      </c>
      <c r="FJ205" s="144">
        <f t="shared" si="125"/>
        <v>0</v>
      </c>
      <c r="FK205" s="132">
        <f t="shared" si="126"/>
        <v>0</v>
      </c>
      <c r="FL205" s="115">
        <f t="shared" si="126"/>
        <v>0</v>
      </c>
      <c r="FM205" s="115">
        <f t="shared" si="126"/>
        <v>0</v>
      </c>
      <c r="FN205" s="115">
        <f t="shared" si="126"/>
        <v>0</v>
      </c>
      <c r="FO205" s="115">
        <f t="shared" si="150"/>
        <v>0</v>
      </c>
      <c r="FP205" s="115">
        <f t="shared" si="150"/>
        <v>0</v>
      </c>
      <c r="FQ205" s="149">
        <f t="shared" si="150"/>
        <v>0</v>
      </c>
      <c r="FR205" s="142">
        <f t="shared" si="148"/>
        <v>0</v>
      </c>
      <c r="FS205" s="119">
        <f t="shared" si="148"/>
        <v>0</v>
      </c>
      <c r="FT205" s="121">
        <f t="shared" si="148"/>
        <v>0</v>
      </c>
      <c r="FU205" s="121">
        <f t="shared" si="127"/>
        <v>0</v>
      </c>
      <c r="FV205" s="121">
        <f t="shared" si="127"/>
        <v>0</v>
      </c>
      <c r="FW205" s="121">
        <f t="shared" si="128"/>
        <v>0</v>
      </c>
      <c r="FX205" s="121">
        <f t="shared" si="129"/>
        <v>0</v>
      </c>
      <c r="FY205" s="144">
        <f t="shared" si="129"/>
        <v>0</v>
      </c>
      <c r="FZ205" s="145"/>
      <c r="GA205" s="151"/>
      <c r="GB205" s="145"/>
      <c r="GC205" s="151"/>
      <c r="GD205" s="997" t="s">
        <v>220</v>
      </c>
      <c r="GE205" s="1004"/>
      <c r="GF205" s="1004">
        <v>0</v>
      </c>
      <c r="GG205" s="1004"/>
      <c r="GH205" s="1004">
        <v>0</v>
      </c>
      <c r="GI205" s="145"/>
      <c r="GJ205" s="996">
        <v>0</v>
      </c>
      <c r="GK205" s="145"/>
      <c r="GL205" s="996">
        <v>0</v>
      </c>
      <c r="GM205" s="1005"/>
      <c r="GN205" s="996">
        <v>0</v>
      </c>
      <c r="GO205" s="1006"/>
      <c r="GP205" s="996">
        <v>0</v>
      </c>
      <c r="GQ205" s="1006"/>
      <c r="GR205" s="996">
        <v>-10.468057599999996</v>
      </c>
      <c r="GS205" s="1006"/>
      <c r="GT205" s="996">
        <v>0</v>
      </c>
      <c r="GU205" s="1006"/>
      <c r="GV205" s="996">
        <v>0</v>
      </c>
      <c r="GW205" s="1006"/>
      <c r="GX205" s="1036">
        <v>0</v>
      </c>
      <c r="GY205" s="1006"/>
      <c r="GZ205" s="996">
        <v>0</v>
      </c>
      <c r="HA205" s="1006"/>
      <c r="HB205" s="996">
        <v>0</v>
      </c>
      <c r="HC205" s="1006"/>
      <c r="HD205" s="996">
        <v>0</v>
      </c>
      <c r="HE205" s="1006"/>
      <c r="HF205" s="996">
        <v>0</v>
      </c>
      <c r="HG205" s="1006" t="s">
        <v>146</v>
      </c>
      <c r="HH205" s="996">
        <v>-5.8426367999999993</v>
      </c>
      <c r="HI205" s="1006"/>
      <c r="HJ205" s="996">
        <v>0</v>
      </c>
      <c r="HK205" s="1006" t="s">
        <v>886</v>
      </c>
      <c r="HL205" s="996">
        <v>2.2408144000000014</v>
      </c>
      <c r="HM205" s="1006"/>
      <c r="HN205" s="996">
        <v>0</v>
      </c>
      <c r="HO205" s="1006"/>
      <c r="HP205" s="996">
        <v>0</v>
      </c>
      <c r="HQ205" s="1006" t="s">
        <v>886</v>
      </c>
      <c r="HR205" s="996">
        <v>-24.280544068000001</v>
      </c>
      <c r="HS205" s="1006"/>
      <c r="HT205" s="996">
        <v>0</v>
      </c>
      <c r="HU205" s="1006"/>
      <c r="HV205" s="996">
        <v>0</v>
      </c>
      <c r="HW205" s="1006"/>
      <c r="HX205" s="996">
        <v>0</v>
      </c>
      <c r="HY205" s="1006"/>
      <c r="HZ205" s="996">
        <v>0</v>
      </c>
      <c r="IA205" s="1006"/>
      <c r="IB205" s="996">
        <v>0</v>
      </c>
      <c r="IC205" s="1006"/>
      <c r="ID205" s="996">
        <v>0</v>
      </c>
      <c r="IE205" s="1006"/>
      <c r="IF205" s="996">
        <v>0</v>
      </c>
      <c r="IG205" s="1006"/>
      <c r="IH205" s="996">
        <v>0</v>
      </c>
      <c r="II205" s="1006"/>
      <c r="IJ205" s="996">
        <v>0</v>
      </c>
      <c r="IK205" s="1006"/>
      <c r="IL205" s="996">
        <v>0.67557076399999261</v>
      </c>
      <c r="IM205" s="1006" t="s">
        <v>223</v>
      </c>
      <c r="IN205" s="996">
        <v>-13.961556136000006</v>
      </c>
      <c r="IO205" s="1006" t="s">
        <v>146</v>
      </c>
      <c r="IP205" s="996">
        <v>7.6042894400000165</v>
      </c>
      <c r="IQ205" s="1006"/>
      <c r="IR205" s="996">
        <v>0</v>
      </c>
      <c r="IS205" s="1006"/>
      <c r="IT205" s="996">
        <v>0</v>
      </c>
      <c r="IU205" s="1006" t="s">
        <v>224</v>
      </c>
      <c r="IV205" s="996"/>
      <c r="IW205" s="1006"/>
      <c r="IX205" s="996">
        <v>0</v>
      </c>
      <c r="IY205" s="1006"/>
      <c r="IZ205" s="996">
        <v>0</v>
      </c>
      <c r="JA205" s="1006"/>
      <c r="JB205" s="996">
        <v>0</v>
      </c>
      <c r="JC205" s="1006" t="s">
        <v>204</v>
      </c>
      <c r="JD205" s="996">
        <v>15.674999999999994</v>
      </c>
      <c r="JE205" s="1006" t="s">
        <v>204</v>
      </c>
      <c r="JF205" s="996">
        <v>-13.051631999999987</v>
      </c>
      <c r="JG205" s="1006"/>
      <c r="JH205" s="996">
        <v>0</v>
      </c>
      <c r="JI205" s="1006" t="s">
        <v>204</v>
      </c>
      <c r="JJ205" s="996">
        <v>-9.1456895199999906</v>
      </c>
      <c r="JK205" s="1007" t="s">
        <v>204</v>
      </c>
      <c r="JL205" s="1007">
        <v>-15.297278480000017</v>
      </c>
      <c r="JM205" s="1007"/>
      <c r="JN205" s="1007">
        <v>0</v>
      </c>
      <c r="JO205" s="1008"/>
      <c r="JP205" s="1007">
        <v>0</v>
      </c>
      <c r="JQ205" s="1008" t="s">
        <v>204</v>
      </c>
      <c r="JR205" s="1007">
        <v>23.705616000000013</v>
      </c>
      <c r="JS205" s="1008">
        <v>0</v>
      </c>
      <c r="JT205" s="1007">
        <v>0</v>
      </c>
      <c r="JU205" s="1008"/>
      <c r="JV205" s="1007">
        <v>0</v>
      </c>
      <c r="JW205" s="1008" t="s">
        <v>197</v>
      </c>
      <c r="JX205" s="1007">
        <v>0</v>
      </c>
      <c r="JY205" s="1008"/>
      <c r="JZ205" s="1007">
        <v>0</v>
      </c>
      <c r="KA205" s="1008" t="s">
        <v>199</v>
      </c>
      <c r="KB205" s="1007">
        <v>-3.9018795200000227</v>
      </c>
      <c r="KC205" s="1008"/>
      <c r="KD205" s="1007">
        <v>-4.0136479999993924E-2</v>
      </c>
      <c r="KE205" s="1008"/>
      <c r="KF205" s="1007">
        <v>62.723407999999985</v>
      </c>
      <c r="KG205" s="1008"/>
      <c r="KH205" s="1007">
        <v>0</v>
      </c>
      <c r="KI205" s="1008"/>
      <c r="KJ205" s="1007">
        <v>0</v>
      </c>
      <c r="KK205" s="1008"/>
      <c r="KL205" s="1007">
        <v>0</v>
      </c>
      <c r="KM205" s="1008"/>
      <c r="KN205" s="1007">
        <v>0</v>
      </c>
      <c r="KO205" s="1008"/>
      <c r="KP205" s="1007">
        <v>0</v>
      </c>
      <c r="KQ205" s="1008">
        <v>0</v>
      </c>
      <c r="KR205" s="1007">
        <v>0</v>
      </c>
      <c r="KS205" s="1008">
        <v>0</v>
      </c>
      <c r="KT205" s="1007">
        <v>0</v>
      </c>
      <c r="KU205" s="1008">
        <v>0</v>
      </c>
      <c r="KV205" s="1007">
        <v>0</v>
      </c>
      <c r="KW205" s="1008">
        <v>0</v>
      </c>
      <c r="KX205" s="1007">
        <v>3.3105599999999993</v>
      </c>
      <c r="KY205" s="1008">
        <v>0</v>
      </c>
      <c r="KZ205" s="1007">
        <v>-3.4618759999999993</v>
      </c>
      <c r="LA205" s="1008">
        <v>0</v>
      </c>
      <c r="LB205" s="1007">
        <v>0</v>
      </c>
      <c r="LC205" s="1008">
        <v>0</v>
      </c>
      <c r="LD205" s="1007">
        <v>0</v>
      </c>
      <c r="LE205" s="1008">
        <v>0</v>
      </c>
      <c r="LF205" s="1007">
        <v>0</v>
      </c>
      <c r="LG205" s="1008">
        <v>0</v>
      </c>
      <c r="LH205" s="1007">
        <v>0</v>
      </c>
      <c r="LI205" s="1008" t="s">
        <v>204</v>
      </c>
      <c r="LJ205" s="1007">
        <v>0.60952759999999939</v>
      </c>
      <c r="LK205" s="1008" t="s">
        <v>555</v>
      </c>
      <c r="LL205" s="1007">
        <v>-0.53539999999997001</v>
      </c>
      <c r="LM205" s="1008">
        <v>0</v>
      </c>
      <c r="LN205" s="1007">
        <v>0</v>
      </c>
      <c r="LO205" s="1008">
        <v>0</v>
      </c>
      <c r="LP205" s="1007">
        <v>0</v>
      </c>
      <c r="LQ205" s="1008">
        <v>0</v>
      </c>
      <c r="LR205" s="1007">
        <v>-0.58852800000000005</v>
      </c>
      <c r="LS205" s="1008">
        <v>0</v>
      </c>
      <c r="LT205" s="1007">
        <v>2.245495999999997</v>
      </c>
      <c r="LU205" s="1008" t="s">
        <v>206</v>
      </c>
      <c r="LV205" s="1007">
        <v>-4.9491199999999997</v>
      </c>
      <c r="LW205" s="1008">
        <v>0</v>
      </c>
      <c r="LX205" s="1007">
        <v>0.67364880999999999</v>
      </c>
      <c r="LY205" s="1009">
        <v>0</v>
      </c>
      <c r="LZ205" s="1010">
        <v>-0.45595439999999998</v>
      </c>
      <c r="MA205" s="1011">
        <v>0</v>
      </c>
      <c r="MB205" s="1012">
        <v>0.3381152</v>
      </c>
      <c r="MC205" s="995"/>
      <c r="MD205" s="996"/>
      <c r="ME205" s="997" t="s">
        <v>220</v>
      </c>
      <c r="MF205" s="997">
        <f>CN205-CA205</f>
        <v>-37</v>
      </c>
      <c r="MG205" s="998"/>
      <c r="NR205" s="1000"/>
      <c r="NS205" s="1000"/>
      <c r="NT205" s="1001"/>
      <c r="NU205" s="1000"/>
      <c r="NV205" s="1001"/>
      <c r="NX205" s="1002"/>
      <c r="NZ205" s="1001"/>
      <c r="OA205" s="1001"/>
      <c r="OC205" s="1003"/>
      <c r="OD205" s="1003"/>
      <c r="OE205" s="1001"/>
      <c r="OF205" s="1003"/>
      <c r="OG205" s="1003"/>
      <c r="ASU205" s="999" t="s">
        <v>455</v>
      </c>
    </row>
    <row r="206" spans="1:466 1191:1191" ht="21" customHeight="1" x14ac:dyDescent="0.25">
      <c r="A206" s="982" t="str">
        <f t="shared" si="104"/>
        <v>1103-2</v>
      </c>
      <c r="B206" s="124">
        <f>SUBTOTAL(103,$J$29:J206)</f>
        <v>178</v>
      </c>
      <c r="C206" s="126">
        <v>45068</v>
      </c>
      <c r="D206" s="124" t="s">
        <v>176</v>
      </c>
      <c r="E206" s="127" t="s">
        <v>177</v>
      </c>
      <c r="F206" s="128" t="s">
        <v>177</v>
      </c>
      <c r="G206" s="127" t="s">
        <v>178</v>
      </c>
      <c r="H206" s="127" t="s">
        <v>408</v>
      </c>
      <c r="I206" s="127" t="s">
        <v>733</v>
      </c>
      <c r="J206" s="152" t="s">
        <v>997</v>
      </c>
      <c r="K206" s="127" t="s">
        <v>975</v>
      </c>
      <c r="L206" s="130">
        <v>41892</v>
      </c>
      <c r="M206" s="127" t="s">
        <v>230</v>
      </c>
      <c r="N206" s="127" t="s">
        <v>231</v>
      </c>
      <c r="O206" s="127" t="s">
        <v>185</v>
      </c>
      <c r="P206" s="127" t="s">
        <v>186</v>
      </c>
      <c r="Q206" s="85" t="str">
        <f t="shared" ref="Q206:Q220" si="158">IF(R206="","",-4)</f>
        <v/>
      </c>
      <c r="R206" s="130"/>
      <c r="S206" s="128"/>
      <c r="T206" s="131"/>
      <c r="U206" s="132">
        <v>203</v>
      </c>
      <c r="V206" s="121">
        <v>218.2</v>
      </c>
      <c r="W206" s="116">
        <v>0.98</v>
      </c>
      <c r="X206" s="116">
        <v>1.66</v>
      </c>
      <c r="Y206" s="116">
        <f t="shared" si="137"/>
        <v>0.98973036114085466</v>
      </c>
      <c r="Z206" s="133">
        <v>1.454</v>
      </c>
      <c r="AA206" s="133">
        <v>0.83599999999999997</v>
      </c>
      <c r="AB206" s="133">
        <v>0.72</v>
      </c>
      <c r="AC206" s="121">
        <v>34.299999999999997</v>
      </c>
      <c r="AD206" s="134">
        <v>1.17</v>
      </c>
      <c r="AE206" s="124">
        <v>177.8</v>
      </c>
      <c r="AF206" s="128">
        <v>9.19</v>
      </c>
      <c r="AG206" s="128">
        <v>2092</v>
      </c>
      <c r="AH206" s="127">
        <v>2676</v>
      </c>
      <c r="AI206" s="127">
        <v>2676</v>
      </c>
      <c r="AJ206" s="135"/>
      <c r="AK206" s="128"/>
      <c r="AL206" s="131"/>
      <c r="AM206" s="124" t="s">
        <v>232</v>
      </c>
      <c r="AN206" s="136" t="s">
        <v>998</v>
      </c>
      <c r="AO206" s="137">
        <v>45</v>
      </c>
      <c r="AP206" s="128">
        <v>2092</v>
      </c>
      <c r="AQ206" s="128">
        <v>388.65</v>
      </c>
      <c r="AR206" s="128"/>
      <c r="AS206" s="128"/>
      <c r="AT206" s="122"/>
      <c r="AU206" s="124" t="s">
        <v>189</v>
      </c>
      <c r="AV206" s="115">
        <f>VLOOKUP(J206,'[63]ТР нефть'!$J$28:$BP$638,39,0)</f>
        <v>418.00001132800003</v>
      </c>
      <c r="AW206" s="115" t="str">
        <f>VLOOKUP(J206,'[63]ТР нефть'!$J$28:$BP$638,40,0)</f>
        <v>ГК 77 1/8</v>
      </c>
      <c r="AX206" s="115">
        <f>VLOOKUP(J206,'[63]ТР нефть'!$J$28:$BP$638,41,0)</f>
        <v>809.99997246099997</v>
      </c>
      <c r="AY206" s="115" t="str">
        <f>VLOOKUP(J206,'[63]ТР нефть'!$J$28:$BP$638,42,0)</f>
        <v>ГК 78 1/8</v>
      </c>
      <c r="AZ206" s="115">
        <f>VLOOKUP(J206,'[63]ТР нефть'!$J$28:$BP$638,43,0)</f>
        <v>1176.000032227</v>
      </c>
      <c r="BA206" s="115" t="str">
        <f>VLOOKUP(J206,'[63]ТР нефть'!$J$28:$BP$638,44,0)</f>
        <v>ГК 76 1/8</v>
      </c>
      <c r="BB206" s="115">
        <f>VLOOKUP(J206,'[63]ТР нефть'!$J$28:$BP$638,45,0)</f>
        <v>1565.000064844</v>
      </c>
      <c r="BC206" s="115" t="str">
        <f>VLOOKUP(J206,'[63]ТР нефть'!$J$28:$BP$638,46,0)</f>
        <v>ГК 77 1/8</v>
      </c>
      <c r="BD206" s="115">
        <f>VLOOKUP(J206,'[63]ТР нефть'!$J$28:$BP$638,47,0)</f>
        <v>1799.999971875</v>
      </c>
      <c r="BE206" s="115" t="str">
        <f>VLOOKUP(J206,'[63]ТР нефть'!$J$28:$BP$638,48,0)</f>
        <v>ЦКсОК 5/16</v>
      </c>
      <c r="BF206" s="115" t="str">
        <f>VLOOKUP(J206,'[63]ТР нефть'!$J$28:$BP$638,49,0)</f>
        <v>-</v>
      </c>
      <c r="BG206" s="115" t="str">
        <f>VLOOKUP(J206,'[63]ТР нефть'!$J$28:$BP$638,50,0)</f>
        <v>-</v>
      </c>
      <c r="BH206" s="115">
        <f>VLOOKUP(J206,'[63]ТР нефть'!$J$28:$BP$638,51,0)</f>
        <v>1820</v>
      </c>
      <c r="BI206" s="115" t="str">
        <f>VLOOKUP(J206,'[63]ТР нефть'!$J$28:$BP$638,52,0)</f>
        <v>закрыт</v>
      </c>
      <c r="BJ206" s="115" t="str">
        <f>IF(IFERROR(VLOOKUP(J206,'[63]ТР нефть'!$J$28:$BP$638,53,0),"-")=0,"-",IFERROR(VLOOKUP(J206,'[63]ТР нефть'!$J$28:$BP$638,53,0),"-"))</f>
        <v>-</v>
      </c>
      <c r="BK206" s="138" t="str">
        <f>IF(IFERROR(VLOOKUP(J206,'[63]ТР нефть'!$J$28:$BP$638,54,0),"-")=0,"-",IFERROR(VLOOKUP(J206,'[63]ТР нефть'!$J$28:$BP$638,54,0),"-"))</f>
        <v>-</v>
      </c>
      <c r="BL206" s="138" t="str">
        <f>IF(IFERROR(VLOOKUP(J206,'[63]ТР нефть'!$J$28:$BP$638,55,0),"-")=0,"-",IFERROR(VLOOKUP(J206,'[63]ТР нефть'!$J$28:$BP$638,55,0),"-"))</f>
        <v>-</v>
      </c>
      <c r="BM206" s="138" t="str">
        <f>IF(IFERROR(VLOOKUP(J206,'[63]ТР нефть'!$J$28:$BP$638,56,0),"-")=0,"-",IFERROR(VLOOKUP(J206,'[63]ТР нефть'!$J$28:$BP$638,56,0),"-"))</f>
        <v>-</v>
      </c>
      <c r="BN206" s="138" t="str">
        <f>IF(IFERROR(VLOOKUP(J206,'[63]ТР нефть'!$J$28:$BP$638,57,0),"-")=0,"-",IFERROR(VLOOKUP(J206,'[63]ТР нефть'!$J$28:$BP$638,57,0),"-"))</f>
        <v>-</v>
      </c>
      <c r="BO206" s="115" t="str">
        <f>IF(IFERROR(VLOOKUP(J206,'[63]ТР нефть'!$J$28:$BP$638,58,0),"-")=0,"-",IFERROR(VLOOKUP(J206,'[63]ТР нефть'!$J$28:$BP$638,58,0),"-"))</f>
        <v>-</v>
      </c>
      <c r="BP206" s="115" t="str">
        <f>IF(IFERROR(VLOOKUP(J206,'[63]ТР нефть'!$J$28:$BP$638,59,0),"-")=0,"-",IFERROR(VLOOKUP(J206,'[63]ТР нефть'!$J$28:$BP$638,59,0),"-"))</f>
        <v>-</v>
      </c>
      <c r="BQ206" s="138">
        <v>2120</v>
      </c>
      <c r="BR206" s="128">
        <v>1873.56</v>
      </c>
      <c r="BS206" s="115">
        <f t="shared" si="105"/>
        <v>246.44000000000005</v>
      </c>
      <c r="BT206" s="128">
        <v>73</v>
      </c>
      <c r="BU206" s="128">
        <v>5.5</v>
      </c>
      <c r="BV206" s="127">
        <v>18</v>
      </c>
      <c r="BW206" s="127" t="s">
        <v>217</v>
      </c>
      <c r="BX206" s="127" t="s">
        <v>195</v>
      </c>
      <c r="BY206" s="139">
        <v>24</v>
      </c>
      <c r="BZ206" s="139">
        <v>0</v>
      </c>
      <c r="CA206" s="138">
        <v>19</v>
      </c>
      <c r="CB206" s="138">
        <v>36</v>
      </c>
      <c r="CC206" s="138">
        <v>18</v>
      </c>
      <c r="CD206" s="135">
        <v>45017</v>
      </c>
      <c r="CE206" s="138">
        <v>69</v>
      </c>
      <c r="CF206" s="138">
        <v>58</v>
      </c>
      <c r="CG206" s="138" t="str">
        <f t="shared" si="153"/>
        <v>В работе</v>
      </c>
      <c r="CH206" s="138" t="s">
        <v>235</v>
      </c>
      <c r="CI206" s="127">
        <v>6</v>
      </c>
      <c r="CJ206" s="138"/>
      <c r="CK206" s="138"/>
      <c r="CL206" s="99"/>
      <c r="CM206" s="99"/>
      <c r="CN206" s="140">
        <v>43</v>
      </c>
      <c r="CO206" s="159">
        <f t="shared" si="106"/>
        <v>5.0588031999999998</v>
      </c>
      <c r="CP206" s="160">
        <v>6.2</v>
      </c>
      <c r="CQ206" s="161">
        <v>2.4</v>
      </c>
      <c r="CR206" s="138">
        <v>13</v>
      </c>
      <c r="CS206" s="139">
        <v>9.6</v>
      </c>
      <c r="CT206" s="138"/>
      <c r="CU206" s="138">
        <f t="shared" ref="CU206:CU220" si="159">IF(CR206&lt;&gt;"0",CR206-CS206,"0")</f>
        <v>3.4000000000000004</v>
      </c>
      <c r="CV206" s="115">
        <f t="shared" ref="CV206:CV220" si="160">(CR206-CS206)*1000/CO206</f>
        <v>672.09572414281718</v>
      </c>
      <c r="CW206" s="115">
        <f t="shared" si="109"/>
        <v>1835.1732984731968</v>
      </c>
      <c r="CX206" s="133">
        <f t="shared" ref="CX206:CX220" si="161">IF(CP206&lt;&gt;0,CP206/(CE206-CN206),0)</f>
        <v>0.23846153846153847</v>
      </c>
      <c r="CY206" s="116"/>
      <c r="CZ206" s="131"/>
      <c r="DA206" s="145" t="str">
        <f t="shared" si="111"/>
        <v>Газлифт</v>
      </c>
      <c r="DB206" s="146">
        <f t="shared" si="112"/>
        <v>5.1821633599999997</v>
      </c>
      <c r="DC206" s="142">
        <f t="shared" si="151"/>
        <v>6.2</v>
      </c>
      <c r="DD206" s="119">
        <f t="shared" si="152"/>
        <v>0.02</v>
      </c>
      <c r="DE206" s="115">
        <f t="shared" si="115"/>
        <v>3.4000000000000004</v>
      </c>
      <c r="DF206" s="121">
        <f t="shared" si="116"/>
        <v>9.6</v>
      </c>
      <c r="DG206" s="115">
        <f t="shared" si="117"/>
        <v>672.09572414281718</v>
      </c>
      <c r="DH206" s="115">
        <f t="shared" si="118"/>
        <v>43</v>
      </c>
      <c r="DI206" s="147"/>
      <c r="DJ206" s="111" t="s">
        <v>197</v>
      </c>
      <c r="DK206" s="112">
        <v>42855</v>
      </c>
      <c r="DL206" s="113">
        <f t="shared" ca="1" si="138"/>
        <v>2249</v>
      </c>
      <c r="DM206" s="114"/>
      <c r="DN206" s="114"/>
      <c r="DO206" s="114"/>
      <c r="DP206" s="114"/>
      <c r="DQ206" s="112">
        <v>41892</v>
      </c>
      <c r="DR206" s="114" t="s">
        <v>324</v>
      </c>
      <c r="DS206" s="114"/>
      <c r="DT206" s="115">
        <v>45</v>
      </c>
      <c r="DU206" s="116">
        <f t="shared" si="139"/>
        <v>0.25833333333333336</v>
      </c>
      <c r="DV206" s="117">
        <f t="shared" si="140"/>
        <v>5.0588031999999998</v>
      </c>
      <c r="DW206" s="118">
        <f t="shared" si="141"/>
        <v>6.2</v>
      </c>
      <c r="DX206" s="119">
        <f t="shared" si="119"/>
        <v>2.4</v>
      </c>
      <c r="DY206" s="115">
        <f t="shared" si="142"/>
        <v>3.4000000000000004</v>
      </c>
      <c r="DZ206" s="117">
        <f t="shared" si="143"/>
        <v>0</v>
      </c>
      <c r="EA206" s="120">
        <f t="shared" si="143"/>
        <v>0</v>
      </c>
      <c r="EB206" s="119">
        <f t="shared" si="143"/>
        <v>0</v>
      </c>
      <c r="EC206" s="121">
        <f t="shared" si="144"/>
        <v>0</v>
      </c>
      <c r="ED206" s="122"/>
      <c r="EE206" s="145">
        <v>18</v>
      </c>
      <c r="EF206" s="115">
        <v>23</v>
      </c>
      <c r="EG206" s="115">
        <v>40</v>
      </c>
      <c r="EH206" s="115">
        <v>23</v>
      </c>
      <c r="EI206" s="128" t="s">
        <v>195</v>
      </c>
      <c r="EJ206" s="121">
        <v>24</v>
      </c>
      <c r="EK206" s="121">
        <v>0</v>
      </c>
      <c r="EL206" s="162">
        <v>1.8797879672</v>
      </c>
      <c r="EM206" s="142">
        <v>2.2490000000000001</v>
      </c>
      <c r="EN206" s="119">
        <v>0.02</v>
      </c>
      <c r="EO206" s="115">
        <v>11.9</v>
      </c>
      <c r="EP206" s="115">
        <v>744.76484817877736</v>
      </c>
      <c r="EQ206" s="115">
        <v>64</v>
      </c>
      <c r="ER206" s="115">
        <v>10.5</v>
      </c>
      <c r="ES206" s="115">
        <v>50</v>
      </c>
      <c r="ET206" s="150">
        <v>0.11836842105263158</v>
      </c>
      <c r="EU206" s="145">
        <f t="shared" si="120"/>
        <v>18</v>
      </c>
      <c r="EV206" s="115">
        <f t="shared" si="121"/>
        <v>19</v>
      </c>
      <c r="EW206" s="115">
        <f t="shared" si="121"/>
        <v>36</v>
      </c>
      <c r="EX206" s="115">
        <f t="shared" si="121"/>
        <v>18</v>
      </c>
      <c r="EY206" s="115" t="str">
        <f t="shared" si="156"/>
        <v>Постоянный</v>
      </c>
      <c r="EZ206" s="115">
        <f t="shared" si="155"/>
        <v>24</v>
      </c>
      <c r="FA206" s="115">
        <f t="shared" si="155"/>
        <v>0</v>
      </c>
      <c r="FB206" s="149">
        <f t="shared" si="123"/>
        <v>5.0588031999999998</v>
      </c>
      <c r="FC206" s="142">
        <f t="shared" si="123"/>
        <v>6.2</v>
      </c>
      <c r="FD206" s="119">
        <f t="shared" si="123"/>
        <v>2.4</v>
      </c>
      <c r="FE206" s="121">
        <f t="shared" si="103"/>
        <v>13</v>
      </c>
      <c r="FF206" s="121">
        <f t="shared" si="145"/>
        <v>672.09572414281718</v>
      </c>
      <c r="FG206" s="121">
        <f t="shared" si="124"/>
        <v>58</v>
      </c>
      <c r="FH206" s="121">
        <f t="shared" si="146"/>
        <v>9.6</v>
      </c>
      <c r="FI206" s="121">
        <f t="shared" si="154"/>
        <v>43</v>
      </c>
      <c r="FJ206" s="144">
        <f t="shared" si="125"/>
        <v>0.23846153846153847</v>
      </c>
      <c r="FK206" s="132">
        <f t="shared" si="126"/>
        <v>0</v>
      </c>
      <c r="FL206" s="115">
        <f t="shared" si="126"/>
        <v>-4</v>
      </c>
      <c r="FM206" s="115">
        <f t="shared" si="126"/>
        <v>-4</v>
      </c>
      <c r="FN206" s="115">
        <f t="shared" si="126"/>
        <v>-5</v>
      </c>
      <c r="FO206" s="115">
        <f t="shared" si="150"/>
        <v>0</v>
      </c>
      <c r="FP206" s="115">
        <f t="shared" si="150"/>
        <v>0</v>
      </c>
      <c r="FQ206" s="149">
        <f t="shared" si="150"/>
        <v>3.1790152327999999</v>
      </c>
      <c r="FR206" s="142">
        <f t="shared" si="148"/>
        <v>3.9510000000000001</v>
      </c>
      <c r="FS206" s="119">
        <f t="shared" si="148"/>
        <v>2.38</v>
      </c>
      <c r="FT206" s="121">
        <f t="shared" si="148"/>
        <v>1.0999999999999996</v>
      </c>
      <c r="FU206" s="121">
        <f t="shared" si="127"/>
        <v>-6</v>
      </c>
      <c r="FV206" s="121">
        <f t="shared" si="127"/>
        <v>-0.90000000000000036</v>
      </c>
      <c r="FW206" s="121">
        <f t="shared" si="128"/>
        <v>-72.669124035960181</v>
      </c>
      <c r="FX206" s="121">
        <f>CN206-ES206</f>
        <v>-7</v>
      </c>
      <c r="FY206" s="144">
        <f t="shared" si="129"/>
        <v>0.12009311740890689</v>
      </c>
      <c r="FZ206" s="145" t="s">
        <v>199</v>
      </c>
      <c r="GA206" s="1034" t="s">
        <v>200</v>
      </c>
      <c r="GB206" s="145" t="s">
        <v>199</v>
      </c>
      <c r="GC206" s="131" t="s">
        <v>415</v>
      </c>
      <c r="GD206" s="997" t="s">
        <v>416</v>
      </c>
      <c r="GE206" s="1004" t="s">
        <v>199</v>
      </c>
      <c r="GF206" s="1004">
        <v>-3.1109696815999999</v>
      </c>
      <c r="GG206" s="1004"/>
      <c r="GH206" s="1004">
        <v>0</v>
      </c>
      <c r="GI206" s="145"/>
      <c r="GJ206" s="996">
        <v>-0.59731715119999951</v>
      </c>
      <c r="GK206" s="145" t="s">
        <v>204</v>
      </c>
      <c r="GL206" s="996">
        <v>0</v>
      </c>
      <c r="GM206" s="1005"/>
      <c r="GN206" s="996">
        <v>-0.26392520000000008</v>
      </c>
      <c r="GO206" s="1006"/>
      <c r="GP206" s="996">
        <v>0.59994703999999999</v>
      </c>
      <c r="GQ206" s="1006"/>
      <c r="GR206" s="996">
        <v>0</v>
      </c>
      <c r="GS206" s="1006"/>
      <c r="GT206" s="996">
        <v>0</v>
      </c>
      <c r="GU206" s="1006"/>
      <c r="GV206" s="996">
        <v>0</v>
      </c>
      <c r="GW206" s="1006"/>
      <c r="GX206" s="1035">
        <v>0</v>
      </c>
      <c r="GY206" s="1006" t="s">
        <v>199</v>
      </c>
      <c r="GZ206" s="996">
        <v>1.2668409599999992</v>
      </c>
      <c r="HA206" s="1006"/>
      <c r="HB206" s="996">
        <v>-0.93337727999999975</v>
      </c>
      <c r="HC206" s="1006"/>
      <c r="HD206" s="996">
        <v>-0.68821191999999964</v>
      </c>
      <c r="HE206" s="1006" t="s">
        <v>199</v>
      </c>
      <c r="HF206" s="996">
        <v>1.5218460400000007</v>
      </c>
      <c r="HG206" s="1006"/>
      <c r="HH206" s="996">
        <v>0</v>
      </c>
      <c r="HI206" s="1006" t="s">
        <v>199</v>
      </c>
      <c r="HJ206" s="996">
        <v>-2.1098215600000003</v>
      </c>
      <c r="HK206" s="1006"/>
      <c r="HL206" s="996">
        <v>-0.91122328000000063</v>
      </c>
      <c r="HM206" s="1006" t="s">
        <v>199</v>
      </c>
      <c r="HN206" s="996">
        <v>2.40768</v>
      </c>
      <c r="HO206" s="1006" t="s">
        <v>199</v>
      </c>
      <c r="HP206" s="996">
        <v>-1.5298800000000004</v>
      </c>
      <c r="HQ206" s="1006" t="s">
        <v>199</v>
      </c>
      <c r="HR206" s="996">
        <v>-0.96139999999999937</v>
      </c>
      <c r="HS206" s="1006" t="s">
        <v>199</v>
      </c>
      <c r="HT206" s="996">
        <v>-2.4790509920000003</v>
      </c>
      <c r="HU206" s="1006"/>
      <c r="HV206" s="996">
        <v>0</v>
      </c>
      <c r="HW206" s="1006" t="s">
        <v>203</v>
      </c>
      <c r="HX206" s="996">
        <v>-2.6905890879999994</v>
      </c>
      <c r="HY206" s="1006"/>
      <c r="HZ206" s="996">
        <v>0</v>
      </c>
      <c r="IA206" s="1006" t="s">
        <v>719</v>
      </c>
      <c r="IB206" s="996">
        <v>-29.503668920000003</v>
      </c>
      <c r="IC206" s="1006" t="s">
        <v>221</v>
      </c>
      <c r="ID206" s="996">
        <v>-20.836614479999987</v>
      </c>
      <c r="IE206" s="1006" t="s">
        <v>221</v>
      </c>
      <c r="IF206" s="996">
        <v>42.198523479999992</v>
      </c>
      <c r="IG206" s="1006"/>
      <c r="IH206" s="996">
        <v>0</v>
      </c>
      <c r="II206" s="1006"/>
      <c r="IJ206" s="996">
        <v>0</v>
      </c>
      <c r="IK206" s="1006"/>
      <c r="IL206" s="996">
        <v>0</v>
      </c>
      <c r="IM206" s="1006"/>
      <c r="IN206" s="996">
        <v>0</v>
      </c>
      <c r="IO206" s="1006"/>
      <c r="IP206" s="996">
        <v>0</v>
      </c>
      <c r="IQ206" s="1006"/>
      <c r="IR206" s="996">
        <v>0</v>
      </c>
      <c r="IS206" s="1006"/>
      <c r="IT206" s="996">
        <v>0</v>
      </c>
      <c r="IU206" s="1006"/>
      <c r="IV206" s="996">
        <v>0.65373528000000025</v>
      </c>
      <c r="IW206" s="1006"/>
      <c r="IX206" s="996">
        <v>0</v>
      </c>
      <c r="IY206" s="1006" t="s">
        <v>199</v>
      </c>
      <c r="IZ206" s="996">
        <v>3.2387810400000001</v>
      </c>
      <c r="JA206" s="1006"/>
      <c r="JB206" s="996">
        <v>0</v>
      </c>
      <c r="JC206" s="1006" t="s">
        <v>199</v>
      </c>
      <c r="JD206" s="996">
        <v>-3.0928572399999998</v>
      </c>
      <c r="JE206" s="1006"/>
      <c r="JF206" s="996">
        <v>0</v>
      </c>
      <c r="JG206" s="1006"/>
      <c r="JH206" s="996">
        <v>0</v>
      </c>
      <c r="JI206" s="1006"/>
      <c r="JJ206" s="996">
        <v>0</v>
      </c>
      <c r="JK206" s="1007"/>
      <c r="JL206" s="1007">
        <v>0</v>
      </c>
      <c r="JM206" s="1007" t="s">
        <v>204</v>
      </c>
      <c r="JN206" s="1007">
        <v>-2.0566185199999989</v>
      </c>
      <c r="JO206" s="1008"/>
      <c r="JP206" s="1007">
        <v>0</v>
      </c>
      <c r="JQ206" s="1008">
        <v>0</v>
      </c>
      <c r="JR206" s="1007">
        <v>0</v>
      </c>
      <c r="JS206" s="1008">
        <v>0</v>
      </c>
      <c r="JT206" s="1007">
        <v>0</v>
      </c>
      <c r="JU206" s="1008"/>
      <c r="JV206" s="1007">
        <v>0</v>
      </c>
      <c r="JW206" s="1008" t="s">
        <v>197</v>
      </c>
      <c r="JX206" s="1007">
        <v>0</v>
      </c>
      <c r="JY206" s="1008"/>
      <c r="JZ206" s="1007">
        <v>0</v>
      </c>
      <c r="KA206" s="1008"/>
      <c r="KB206" s="1007">
        <v>0</v>
      </c>
      <c r="KC206" s="1008"/>
      <c r="KD206" s="1007">
        <v>0</v>
      </c>
      <c r="KE206" s="1008"/>
      <c r="KF206" s="1007">
        <v>0</v>
      </c>
      <c r="KG206" s="1008"/>
      <c r="KH206" s="1007">
        <v>0</v>
      </c>
      <c r="KI206" s="1008" t="s">
        <v>206</v>
      </c>
      <c r="KJ206" s="1007">
        <v>2.282697999999999</v>
      </c>
      <c r="KK206" s="1008"/>
      <c r="KL206" s="1007">
        <v>0</v>
      </c>
      <c r="KM206" s="1008"/>
      <c r="KN206" s="1007">
        <v>0</v>
      </c>
      <c r="KO206" s="1008"/>
      <c r="KP206" s="1007">
        <v>0</v>
      </c>
      <c r="KQ206" s="1008">
        <v>0</v>
      </c>
      <c r="KR206" s="1007">
        <v>0</v>
      </c>
      <c r="KS206" s="1008" t="s">
        <v>206</v>
      </c>
      <c r="KT206" s="1007">
        <v>-1.6720000000000006</v>
      </c>
      <c r="KU206" s="1008">
        <v>0</v>
      </c>
      <c r="KV206" s="1007">
        <v>0</v>
      </c>
      <c r="KW206" s="1008">
        <v>0</v>
      </c>
      <c r="KX206" s="1007">
        <v>0</v>
      </c>
      <c r="KY206" s="1008" t="s">
        <v>221</v>
      </c>
      <c r="KZ206" s="1007">
        <v>7.524</v>
      </c>
      <c r="LA206" s="1008">
        <v>0</v>
      </c>
      <c r="LB206" s="1007">
        <v>0</v>
      </c>
      <c r="LC206" s="1008">
        <v>0</v>
      </c>
      <c r="LD206" s="1007">
        <v>0</v>
      </c>
      <c r="LE206" s="1008">
        <v>0</v>
      </c>
      <c r="LF206" s="1007">
        <v>0</v>
      </c>
      <c r="LG206" s="1008">
        <v>0</v>
      </c>
      <c r="LH206" s="1007">
        <v>0</v>
      </c>
      <c r="LI206" s="1008">
        <v>0</v>
      </c>
      <c r="LJ206" s="1007">
        <v>0</v>
      </c>
      <c r="LK206" s="1008" t="s">
        <v>555</v>
      </c>
      <c r="LL206" s="1007">
        <v>0.76759999999999995</v>
      </c>
      <c r="LM206" s="1008" t="s">
        <v>555</v>
      </c>
      <c r="LN206" s="1007">
        <v>1.0032000000000001</v>
      </c>
      <c r="LO206" s="1008" t="s">
        <v>206</v>
      </c>
      <c r="LP206" s="1007">
        <v>-2.4661999999999997</v>
      </c>
      <c r="LQ206" s="1008">
        <v>0</v>
      </c>
      <c r="LR206" s="1007">
        <v>-0.58227399999999996</v>
      </c>
      <c r="LS206" s="1008">
        <v>0</v>
      </c>
      <c r="LT206" s="1007">
        <v>1.8340000000000001</v>
      </c>
      <c r="LU206" s="1008">
        <v>0</v>
      </c>
      <c r="LV206" s="1007">
        <v>0</v>
      </c>
      <c r="LW206" s="1008">
        <v>0</v>
      </c>
      <c r="LX206" s="1007">
        <v>2.7955000000000001</v>
      </c>
      <c r="LY206" s="1009">
        <v>0</v>
      </c>
      <c r="LZ206" s="1010">
        <v>0</v>
      </c>
      <c r="MA206" s="1011">
        <v>0</v>
      </c>
      <c r="MB206" s="1012">
        <v>0.91519999999989998</v>
      </c>
      <c r="MC206" s="995"/>
      <c r="MD206" s="996"/>
      <c r="ME206" s="997" t="s">
        <v>416</v>
      </c>
      <c r="MF206" s="997"/>
      <c r="MG206" s="998"/>
      <c r="NR206" s="1000"/>
      <c r="NS206" s="1000"/>
      <c r="NT206" s="1001"/>
      <c r="NU206" s="1000"/>
      <c r="NV206" s="1001"/>
      <c r="NX206" s="1002"/>
      <c r="NZ206" s="1001"/>
      <c r="OA206" s="1001"/>
      <c r="OC206" s="1003"/>
      <c r="OD206" s="1003"/>
      <c r="OE206" s="1001"/>
      <c r="OF206" s="1003"/>
      <c r="OG206" s="1003"/>
      <c r="QX206" s="1000">
        <f>CN206-CA206</f>
        <v>24</v>
      </c>
      <c r="ASU206" s="999" t="s">
        <v>208</v>
      </c>
    </row>
    <row r="207" spans="1:466 1191:1191" ht="21" customHeight="1" x14ac:dyDescent="0.25">
      <c r="A207" s="982" t="str">
        <f t="shared" si="104"/>
        <v>1105-2</v>
      </c>
      <c r="B207" s="124">
        <f>SUBTOTAL(103,$J$29:J207)</f>
        <v>179</v>
      </c>
      <c r="C207" s="126">
        <v>45068</v>
      </c>
      <c r="D207" s="124" t="s">
        <v>176</v>
      </c>
      <c r="E207" s="127" t="s">
        <v>177</v>
      </c>
      <c r="F207" s="128" t="s">
        <v>177</v>
      </c>
      <c r="G207" s="127" t="s">
        <v>178</v>
      </c>
      <c r="H207" s="127" t="s">
        <v>179</v>
      </c>
      <c r="I207" s="127" t="s">
        <v>921</v>
      </c>
      <c r="J207" s="152" t="s">
        <v>999</v>
      </c>
      <c r="K207" s="127" t="s">
        <v>1000</v>
      </c>
      <c r="L207" s="130">
        <v>41445</v>
      </c>
      <c r="M207" s="127" t="s">
        <v>230</v>
      </c>
      <c r="N207" s="127" t="s">
        <v>245</v>
      </c>
      <c r="O207" s="127" t="s">
        <v>185</v>
      </c>
      <c r="P207" s="127" t="s">
        <v>186</v>
      </c>
      <c r="Q207" s="85" t="str">
        <f t="shared" si="158"/>
        <v/>
      </c>
      <c r="R207" s="130"/>
      <c r="S207" s="128" t="s">
        <v>156</v>
      </c>
      <c r="T207" s="131"/>
      <c r="U207" s="132">
        <v>203</v>
      </c>
      <c r="V207" s="121">
        <v>218.2</v>
      </c>
      <c r="W207" s="116">
        <v>0.98</v>
      </c>
      <c r="X207" s="116">
        <v>1.66</v>
      </c>
      <c r="Y207" s="116">
        <f t="shared" si="137"/>
        <v>1.5275117370892017</v>
      </c>
      <c r="Z207" s="133">
        <v>1.454</v>
      </c>
      <c r="AA207" s="133">
        <v>0.83599999999999997</v>
      </c>
      <c r="AB207" s="133">
        <v>0.72</v>
      </c>
      <c r="AC207" s="121">
        <v>34.299999999999997</v>
      </c>
      <c r="AD207" s="134">
        <v>1.17</v>
      </c>
      <c r="AE207" s="124">
        <v>177.8</v>
      </c>
      <c r="AF207" s="128">
        <v>8.0500000000000007</v>
      </c>
      <c r="AG207" s="128">
        <v>1932</v>
      </c>
      <c r="AH207" s="127">
        <v>2496</v>
      </c>
      <c r="AI207" s="127">
        <v>2496</v>
      </c>
      <c r="AJ207" s="135"/>
      <c r="AK207" s="128"/>
      <c r="AL207" s="131"/>
      <c r="AM207" s="124" t="s">
        <v>232</v>
      </c>
      <c r="AN207" s="136" t="s">
        <v>1001</v>
      </c>
      <c r="AO207" s="137">
        <v>26</v>
      </c>
      <c r="AP207" s="128">
        <v>1933</v>
      </c>
      <c r="AQ207" s="128">
        <v>88</v>
      </c>
      <c r="AR207" s="128"/>
      <c r="AS207" s="128"/>
      <c r="AT207" s="122"/>
      <c r="AU207" s="124" t="s">
        <v>883</v>
      </c>
      <c r="AV207" s="115">
        <f>VLOOKUP(J207,'[63]ТР нефть'!$J$28:$BP$638,39,0)</f>
        <v>300</v>
      </c>
      <c r="AW207" s="115" t="str">
        <f>VLOOKUP(J207,'[63]ТР нефть'!$J$28:$BP$638,40,0)</f>
        <v>ГП</v>
      </c>
      <c r="AX207" s="115" t="str">
        <f>VLOOKUP(J207,'[63]ТР нефть'!$J$28:$BP$638,41,0)</f>
        <v>-</v>
      </c>
      <c r="AY207" s="115" t="str">
        <f>VLOOKUP(J207,'[63]ТР нефть'!$J$28:$BP$638,42,0)</f>
        <v>-</v>
      </c>
      <c r="AZ207" s="115" t="str">
        <f>VLOOKUP(J207,'[63]ТР нефть'!$J$28:$BP$638,43,0)</f>
        <v>-</v>
      </c>
      <c r="BA207" s="115" t="str">
        <f>VLOOKUP(J207,'[63]ТР нефть'!$J$28:$BP$638,44,0)</f>
        <v>-</v>
      </c>
      <c r="BB207" s="115" t="str">
        <f>VLOOKUP(J207,'[63]ТР нефть'!$J$28:$BP$638,45,0)</f>
        <v>-</v>
      </c>
      <c r="BC207" s="115" t="str">
        <f>VLOOKUP(J207,'[63]ТР нефть'!$J$28:$BP$638,46,0)</f>
        <v>-</v>
      </c>
      <c r="BD207" s="115" t="str">
        <f>VLOOKUP(J207,'[63]ТР нефть'!$J$28:$BP$638,47,0)</f>
        <v>-</v>
      </c>
      <c r="BE207" s="115" t="str">
        <f>VLOOKUP(J207,'[63]ТР нефть'!$J$28:$BP$638,48,0)</f>
        <v>-</v>
      </c>
      <c r="BF207" s="115" t="str">
        <f>VLOOKUP(J207,'[63]ТР нефть'!$J$28:$BP$638,49,0)</f>
        <v>-</v>
      </c>
      <c r="BG207" s="115" t="str">
        <f>VLOOKUP(J207,'[63]ТР нефть'!$J$28:$BP$638,50,0)</f>
        <v>-</v>
      </c>
      <c r="BH207" s="115">
        <f>VLOOKUP(J207,'[63]ТР нефть'!$J$28:$BP$638,51,0)</f>
        <v>1690</v>
      </c>
      <c r="BI207" s="115" t="str">
        <f>VLOOKUP(J207,'[63]ТР нефть'!$J$28:$BP$638,52,0)</f>
        <v>открыт</v>
      </c>
      <c r="BJ207" s="115" t="str">
        <f>IF(IFERROR(VLOOKUP(J207,'[63]ТР нефть'!$J$28:$BP$638,53,0),"-")=0,"-",IFERROR(VLOOKUP(J207,'[63]ТР нефть'!$J$28:$BP$638,53,0),"-"))</f>
        <v>-</v>
      </c>
      <c r="BK207" s="138" t="str">
        <f>IF(IFERROR(VLOOKUP(J207,'[63]ТР нефть'!$J$28:$BP$638,54,0),"-")=0,"-",IFERROR(VLOOKUP(J207,'[63]ТР нефть'!$J$28:$BP$638,54,0),"-"))</f>
        <v>D1050N</v>
      </c>
      <c r="BL207" s="138" t="str">
        <f>IF(IFERROR(VLOOKUP(J207,'[63]ТР нефть'!$J$28:$BP$638,55,0),"-")=0,"-",IFERROR(VLOOKUP(J207,'[63]ТР нефть'!$J$28:$BP$638,55,0),"-"))</f>
        <v>-</v>
      </c>
      <c r="BM207" s="138">
        <f>IF(IFERROR(VLOOKUP(J207,'[63]ТР нефть'!$J$28:$BP$638,56,0),"-")=0,"-",IFERROR(VLOOKUP(J207,'[63]ТР нефть'!$J$28:$BP$638,56,0),"-"))</f>
        <v>1338</v>
      </c>
      <c r="BN207" s="138">
        <f>IF(IFERROR(VLOOKUP(J207,'[63]ТР нефть'!$J$28:$BP$638,57,0),"-")=0,"-",IFERROR(VLOOKUP(J207,'[63]ТР нефть'!$J$28:$BP$638,57,0),"-"))</f>
        <v>49</v>
      </c>
      <c r="BO207" s="115">
        <f>IF(IFERROR(VLOOKUP(J207,'[63]ТР нефть'!$J$28:$BP$638,58,0),"-")=0,"-",IFERROR(VLOOKUP(J207,'[63]ТР нефть'!$J$28:$BP$638,58,0),"-"))</f>
        <v>80</v>
      </c>
      <c r="BP207" s="115" t="str">
        <f>IF(IFERROR(VLOOKUP(J207,'[63]ТР нефть'!$J$28:$BP$638,59,0),"-")=0,"-",IFERROR(VLOOKUP(J207,'[63]ТР нефть'!$J$28:$BP$638,59,0),"-"))</f>
        <v>-</v>
      </c>
      <c r="BQ207" s="138">
        <v>1500</v>
      </c>
      <c r="BR207" s="128">
        <v>1497.75</v>
      </c>
      <c r="BS207" s="115">
        <f t="shared" si="105"/>
        <v>2.25</v>
      </c>
      <c r="BT207" s="128">
        <v>73</v>
      </c>
      <c r="BU207" s="128">
        <v>5.5</v>
      </c>
      <c r="BV207" s="127">
        <v>65</v>
      </c>
      <c r="BW207" s="127" t="s">
        <v>217</v>
      </c>
      <c r="BX207" s="127" t="s">
        <v>195</v>
      </c>
      <c r="BY207" s="139">
        <v>24</v>
      </c>
      <c r="BZ207" s="139">
        <v>0</v>
      </c>
      <c r="CA207" s="138">
        <v>31</v>
      </c>
      <c r="CB207" s="138">
        <v>31</v>
      </c>
      <c r="CC207" s="138">
        <v>30</v>
      </c>
      <c r="CD207" s="135">
        <v>45017</v>
      </c>
      <c r="CE207" s="138">
        <v>156</v>
      </c>
      <c r="CF207" s="138"/>
      <c r="CG207" s="138" t="str">
        <f t="shared" si="153"/>
        <v/>
      </c>
      <c r="CH207" s="138" t="s">
        <v>197</v>
      </c>
      <c r="CI207" s="138"/>
      <c r="CJ207" s="138">
        <f>IF((BR207-(100*(CM207-CB207))/(9.8*(AB207+AA207)/2))&gt;0,BR207-(100*(CM207-CB207))/(9.8*(AB207+AA207)/2),0)</f>
        <v>920.65540895021252</v>
      </c>
      <c r="CK207" s="138">
        <f t="shared" si="157"/>
        <v>81.940144343750006</v>
      </c>
      <c r="CL207" s="99"/>
      <c r="CM207" s="138">
        <v>75</v>
      </c>
      <c r="CN207" s="154">
        <f>IF(CM207=0,0,(((AP207-AQ207-BR207)*((AD207*(CQ207/100))+(AB207*((100-CQ207)/100)))*9.81/100+CM207)))</f>
        <v>112.94014434375001</v>
      </c>
      <c r="CO207" s="141">
        <f t="shared" si="106"/>
        <v>6.7895739999999991</v>
      </c>
      <c r="CP207" s="142">
        <v>64.971999999999994</v>
      </c>
      <c r="CQ207" s="143">
        <v>87.5</v>
      </c>
      <c r="CR207" s="138">
        <v>25.745000000000001</v>
      </c>
      <c r="CS207" s="139"/>
      <c r="CT207" s="138"/>
      <c r="CU207" s="138">
        <f t="shared" si="159"/>
        <v>25.745000000000001</v>
      </c>
      <c r="CV207" s="115">
        <f t="shared" si="160"/>
        <v>3791.8431995880746</v>
      </c>
      <c r="CW207" s="115" t="str">
        <f t="shared" si="109"/>
        <v/>
      </c>
      <c r="CX207" s="133">
        <f t="shared" si="161"/>
        <v>1.5088764002990689</v>
      </c>
      <c r="CY207" s="116"/>
      <c r="CZ207" s="131"/>
      <c r="DA207" s="145" t="str">
        <f t="shared" si="111"/>
        <v>ЭЦН</v>
      </c>
      <c r="DB207" s="146">
        <f t="shared" si="112"/>
        <v>6.7895739999999991</v>
      </c>
      <c r="DC207" s="142">
        <f t="shared" si="151"/>
        <v>64.971999999999994</v>
      </c>
      <c r="DD207" s="119">
        <f t="shared" si="152"/>
        <v>87.5</v>
      </c>
      <c r="DE207" s="115">
        <f t="shared" si="115"/>
        <v>25.745000000000001</v>
      </c>
      <c r="DF207" s="121">
        <f t="shared" si="116"/>
        <v>0</v>
      </c>
      <c r="DG207" s="115">
        <f t="shared" si="117"/>
        <v>3791.8431995880746</v>
      </c>
      <c r="DH207" s="115">
        <f t="shared" si="118"/>
        <v>112.94014434375001</v>
      </c>
      <c r="DI207" s="147"/>
      <c r="DJ207" s="111">
        <v>44123</v>
      </c>
      <c r="DK207" s="112">
        <v>44178</v>
      </c>
      <c r="DL207" s="113">
        <f t="shared" ca="1" si="138"/>
        <v>926</v>
      </c>
      <c r="DM207" s="114">
        <v>19.7</v>
      </c>
      <c r="DN207" s="114">
        <v>57</v>
      </c>
      <c r="DO207" s="114">
        <v>38</v>
      </c>
      <c r="DP207" s="114"/>
      <c r="DQ207" s="112">
        <v>41445</v>
      </c>
      <c r="DR207" s="114" t="s">
        <v>324</v>
      </c>
      <c r="DS207" s="114"/>
      <c r="DT207" s="115">
        <v>60</v>
      </c>
      <c r="DU207" s="116">
        <f t="shared" si="139"/>
        <v>1.2494749033005437</v>
      </c>
      <c r="DV207" s="117">
        <f t="shared" si="140"/>
        <v>12.534732229911054</v>
      </c>
      <c r="DW207" s="118">
        <f t="shared" si="141"/>
        <v>119.9495907168522</v>
      </c>
      <c r="DX207" s="119">
        <f t="shared" si="119"/>
        <v>87.5</v>
      </c>
      <c r="DY207" s="115">
        <f t="shared" si="142"/>
        <v>47.52973916464569</v>
      </c>
      <c r="DZ207" s="117">
        <f t="shared" si="143"/>
        <v>5.7451582299110546</v>
      </c>
      <c r="EA207" s="120">
        <f t="shared" si="143"/>
        <v>54.977590716852205</v>
      </c>
      <c r="EB207" s="119">
        <f t="shared" si="143"/>
        <v>0</v>
      </c>
      <c r="EC207" s="121">
        <f t="shared" si="144"/>
        <v>21.784739164645689</v>
      </c>
      <c r="ED207" s="122"/>
      <c r="EE207" s="145">
        <v>65</v>
      </c>
      <c r="EF207" s="115">
        <v>31</v>
      </c>
      <c r="EG207" s="115">
        <v>31</v>
      </c>
      <c r="EH207" s="115">
        <v>30</v>
      </c>
      <c r="EI207" s="128" t="s">
        <v>195</v>
      </c>
      <c r="EJ207" s="121">
        <v>24</v>
      </c>
      <c r="EK207" s="121">
        <v>0</v>
      </c>
      <c r="EL207" s="149">
        <v>6.7895739999999991</v>
      </c>
      <c r="EM207" s="142">
        <v>64.971999999999994</v>
      </c>
      <c r="EN207" s="119">
        <v>87.5</v>
      </c>
      <c r="EO207" s="115">
        <v>25.745000000000001</v>
      </c>
      <c r="EP207" s="115">
        <v>3791.8431995880746</v>
      </c>
      <c r="EQ207" s="115">
        <v>0</v>
      </c>
      <c r="ER207" s="115">
        <v>0</v>
      </c>
      <c r="ES207" s="115">
        <v>112.94014434375001</v>
      </c>
      <c r="ET207" s="150">
        <v>1.5088764002990689</v>
      </c>
      <c r="EU207" s="145">
        <f t="shared" si="120"/>
        <v>65</v>
      </c>
      <c r="EV207" s="115">
        <f t="shared" si="121"/>
        <v>31</v>
      </c>
      <c r="EW207" s="115">
        <f t="shared" si="121"/>
        <v>31</v>
      </c>
      <c r="EX207" s="115">
        <f t="shared" si="121"/>
        <v>30</v>
      </c>
      <c r="EY207" s="115" t="str">
        <f t="shared" si="156"/>
        <v>Постоянный</v>
      </c>
      <c r="EZ207" s="115">
        <f t="shared" si="155"/>
        <v>24</v>
      </c>
      <c r="FA207" s="115">
        <f t="shared" si="155"/>
        <v>0</v>
      </c>
      <c r="FB207" s="149">
        <f t="shared" si="123"/>
        <v>6.7895739999999991</v>
      </c>
      <c r="FC207" s="142">
        <f t="shared" si="123"/>
        <v>64.971999999999994</v>
      </c>
      <c r="FD207" s="119">
        <f t="shared" si="123"/>
        <v>87.5</v>
      </c>
      <c r="FE207" s="121">
        <f t="shared" si="103"/>
        <v>25.745000000000001</v>
      </c>
      <c r="FF207" s="121">
        <f t="shared" si="145"/>
        <v>3791.8431995880746</v>
      </c>
      <c r="FG207" s="121">
        <f t="shared" si="124"/>
        <v>0</v>
      </c>
      <c r="FH207" s="121">
        <f t="shared" si="146"/>
        <v>0</v>
      </c>
      <c r="FI207" s="121">
        <f t="shared" si="154"/>
        <v>112.94014434375001</v>
      </c>
      <c r="FJ207" s="144">
        <f t="shared" si="125"/>
        <v>1.5088764002990689</v>
      </c>
      <c r="FK207" s="132">
        <f t="shared" si="126"/>
        <v>0</v>
      </c>
      <c r="FL207" s="115">
        <f t="shared" si="126"/>
        <v>0</v>
      </c>
      <c r="FM207" s="115">
        <f t="shared" si="126"/>
        <v>0</v>
      </c>
      <c r="FN207" s="115">
        <f t="shared" si="126"/>
        <v>0</v>
      </c>
      <c r="FO207" s="115">
        <f t="shared" si="150"/>
        <v>0</v>
      </c>
      <c r="FP207" s="115">
        <f t="shared" si="150"/>
        <v>0</v>
      </c>
      <c r="FQ207" s="149">
        <f t="shared" si="150"/>
        <v>0</v>
      </c>
      <c r="FR207" s="142">
        <f t="shared" si="148"/>
        <v>0</v>
      </c>
      <c r="FS207" s="119">
        <f t="shared" si="148"/>
        <v>0</v>
      </c>
      <c r="FT207" s="121">
        <f t="shared" si="148"/>
        <v>0</v>
      </c>
      <c r="FU207" s="121">
        <f t="shared" si="127"/>
        <v>0</v>
      </c>
      <c r="FV207" s="121">
        <f t="shared" si="127"/>
        <v>0</v>
      </c>
      <c r="FW207" s="121">
        <f t="shared" si="128"/>
        <v>0</v>
      </c>
      <c r="FX207" s="121">
        <f t="shared" si="129"/>
        <v>0</v>
      </c>
      <c r="FY207" s="144">
        <f t="shared" si="129"/>
        <v>0</v>
      </c>
      <c r="FZ207" s="145"/>
      <c r="GA207" s="151"/>
      <c r="GB207" s="145"/>
      <c r="GC207" s="151"/>
      <c r="GD207" s="997" t="s">
        <v>220</v>
      </c>
      <c r="GE207" s="1004"/>
      <c r="GF207" s="1004">
        <v>0</v>
      </c>
      <c r="GG207" s="1004"/>
      <c r="GH207" s="1004">
        <v>0</v>
      </c>
      <c r="GI207" s="145"/>
      <c r="GJ207" s="996">
        <v>0</v>
      </c>
      <c r="GK207" s="145"/>
      <c r="GL207" s="996">
        <v>0</v>
      </c>
      <c r="GM207" s="1005"/>
      <c r="GN207" s="996">
        <v>0</v>
      </c>
      <c r="GO207" s="1006"/>
      <c r="GP207" s="996">
        <v>0.15382399999999929</v>
      </c>
      <c r="GQ207" s="1006"/>
      <c r="GR207" s="996">
        <v>0</v>
      </c>
      <c r="GS207" s="1006" t="s">
        <v>199</v>
      </c>
      <c r="GT207" s="996">
        <v>-2.4034999999999993</v>
      </c>
      <c r="GU207" s="1006" t="s">
        <v>204</v>
      </c>
      <c r="GV207" s="996">
        <v>-2.018521999999999</v>
      </c>
      <c r="GW207" s="1006" t="s">
        <v>204</v>
      </c>
      <c r="GX207" s="1036">
        <v>-9.951994799999996</v>
      </c>
      <c r="GY207" s="1006" t="s">
        <v>199</v>
      </c>
      <c r="GZ207" s="996">
        <v>58.155040020000015</v>
      </c>
      <c r="HA207" s="1006" t="s">
        <v>199</v>
      </c>
      <c r="HB207" s="996">
        <v>-13.936696839999996</v>
      </c>
      <c r="HC207" s="1006"/>
      <c r="HD207" s="996">
        <v>0</v>
      </c>
      <c r="HE207" s="1006"/>
      <c r="HF207" s="996">
        <v>0</v>
      </c>
      <c r="HG207" s="1006" t="s">
        <v>308</v>
      </c>
      <c r="HH207" s="996">
        <v>-1.9370120000000064</v>
      </c>
      <c r="HI207" s="1006"/>
      <c r="HJ207" s="996">
        <v>0</v>
      </c>
      <c r="HK207" s="1006" t="s">
        <v>199</v>
      </c>
      <c r="HL207" s="996">
        <v>13.443732720000002</v>
      </c>
      <c r="HM207" s="1006" t="s">
        <v>886</v>
      </c>
      <c r="HN207" s="996">
        <v>10.802106479999996</v>
      </c>
      <c r="HO207" s="1006"/>
      <c r="HP207" s="996">
        <v>-0.48588319999999818</v>
      </c>
      <c r="HQ207" s="1006"/>
      <c r="HR207" s="996">
        <v>0.94210094000000066</v>
      </c>
      <c r="HS207" s="1006"/>
      <c r="HT207" s="996">
        <v>-1.8320940000000022E-2</v>
      </c>
      <c r="HU207" s="1006" t="s">
        <v>1002</v>
      </c>
      <c r="HV207" s="996">
        <v>-17.831880000000002</v>
      </c>
      <c r="HW207" s="1006"/>
      <c r="HX207" s="996">
        <v>0</v>
      </c>
      <c r="HY207" s="1006"/>
      <c r="HZ207" s="996">
        <v>0</v>
      </c>
      <c r="IA207" s="1006"/>
      <c r="IB207" s="996">
        <v>0</v>
      </c>
      <c r="IC207" s="1006"/>
      <c r="ID207" s="996">
        <v>0</v>
      </c>
      <c r="IE207" s="1006" t="s">
        <v>204</v>
      </c>
      <c r="IF207" s="996">
        <v>4.8562236465600037</v>
      </c>
      <c r="IG207" s="1006"/>
      <c r="IH207" s="996">
        <v>0</v>
      </c>
      <c r="II207" s="1006"/>
      <c r="IJ207" s="996">
        <v>0</v>
      </c>
      <c r="IK207" s="1006" t="s">
        <v>239</v>
      </c>
      <c r="IL207" s="996">
        <v>-4.8144236465599981</v>
      </c>
      <c r="IM207" s="1006"/>
      <c r="IN207" s="996">
        <v>0.6855199999999968</v>
      </c>
      <c r="IO207" s="1006" t="s">
        <v>199</v>
      </c>
      <c r="IP207" s="996">
        <v>-4.639800000000001</v>
      </c>
      <c r="IQ207" s="1006"/>
      <c r="IR207" s="996">
        <v>0</v>
      </c>
      <c r="IS207" s="1006" t="s">
        <v>223</v>
      </c>
      <c r="IT207" s="996">
        <v>-7.4153199999999977</v>
      </c>
      <c r="IU207" s="1006"/>
      <c r="IV207" s="996">
        <v>0</v>
      </c>
      <c r="IW207" s="1006" t="s">
        <v>199</v>
      </c>
      <c r="IX207" s="996">
        <v>4.9868068800000067</v>
      </c>
      <c r="IY207" s="1006"/>
      <c r="IZ207" s="996">
        <v>-0.92384688000000637</v>
      </c>
      <c r="JA207" s="1006" t="s">
        <v>199</v>
      </c>
      <c r="JB207" s="996">
        <v>14.667305663999999</v>
      </c>
      <c r="JC207" s="1006" t="s">
        <v>199</v>
      </c>
      <c r="JD207" s="996">
        <v>-21.981824964000012</v>
      </c>
      <c r="JE207" s="1006"/>
      <c r="JF207" s="996">
        <v>0</v>
      </c>
      <c r="JG207" s="1006"/>
      <c r="JH207" s="996">
        <v>0</v>
      </c>
      <c r="JI207" s="1006"/>
      <c r="JJ207" s="996">
        <v>0</v>
      </c>
      <c r="JK207" s="1007" t="s">
        <v>204</v>
      </c>
      <c r="JL207" s="1007">
        <v>-1.527016699999983</v>
      </c>
      <c r="JM207" s="1007" t="s">
        <v>199</v>
      </c>
      <c r="JN207" s="1007">
        <v>-10.252286000000005</v>
      </c>
      <c r="JO207" s="1008" t="s">
        <v>239</v>
      </c>
      <c r="JP207" s="1007">
        <v>-5.0434040799999877</v>
      </c>
      <c r="JQ207" s="1008">
        <v>0</v>
      </c>
      <c r="JR207" s="1007">
        <v>0</v>
      </c>
      <c r="JS207" s="1008">
        <v>0</v>
      </c>
      <c r="JT207" s="1007">
        <v>0</v>
      </c>
      <c r="JU207" s="1008"/>
      <c r="JV207" s="1007">
        <v>0</v>
      </c>
      <c r="JW207" s="1008" t="s">
        <v>197</v>
      </c>
      <c r="JX207" s="1007">
        <v>0</v>
      </c>
      <c r="JY207" s="1008" t="s">
        <v>199</v>
      </c>
      <c r="JZ207" s="1007">
        <v>-24.657819999999994</v>
      </c>
      <c r="KA207" s="1008"/>
      <c r="KB207" s="1007">
        <v>0</v>
      </c>
      <c r="KC207" s="1008" t="s">
        <v>199</v>
      </c>
      <c r="KD207" s="1007">
        <v>3.1475399999999922</v>
      </c>
      <c r="KE207" s="1008" t="s">
        <v>259</v>
      </c>
      <c r="KF207" s="1007">
        <v>18.923696000000007</v>
      </c>
      <c r="KG207" s="1008"/>
      <c r="KH207" s="1007">
        <v>15.373203999999987</v>
      </c>
      <c r="KI207" s="1008" t="s">
        <v>206</v>
      </c>
      <c r="KJ207" s="1007">
        <v>0.49031400000000502</v>
      </c>
      <c r="KK207" s="1008" t="s">
        <v>207</v>
      </c>
      <c r="KL207" s="1007">
        <v>26.410661200000003</v>
      </c>
      <c r="KM207" s="1008" t="s">
        <v>207</v>
      </c>
      <c r="KN207" s="1007">
        <v>-6.3172875039999994</v>
      </c>
      <c r="KO207" s="1008" t="s">
        <v>207</v>
      </c>
      <c r="KP207" s="1007">
        <v>-20.470827696000004</v>
      </c>
      <c r="KQ207" s="1008" t="s">
        <v>207</v>
      </c>
      <c r="KR207" s="1007">
        <v>-7.3233599999999939</v>
      </c>
      <c r="KS207" s="1008">
        <v>0</v>
      </c>
      <c r="KT207" s="1007">
        <v>0</v>
      </c>
      <c r="KU207" s="1008" t="s">
        <v>206</v>
      </c>
      <c r="KV207" s="1007">
        <v>27.136559999999992</v>
      </c>
      <c r="KW207" s="1008" t="s">
        <v>1003</v>
      </c>
      <c r="KX207" s="1007">
        <v>28.039440000000003</v>
      </c>
      <c r="KY207" s="1008">
        <v>0</v>
      </c>
      <c r="KZ207" s="1007">
        <v>0</v>
      </c>
      <c r="LA207" s="1008">
        <v>0</v>
      </c>
      <c r="LB207" s="1007">
        <v>0</v>
      </c>
      <c r="LC207" s="1008">
        <v>0</v>
      </c>
      <c r="LD207" s="1007">
        <v>0</v>
      </c>
      <c r="LE207" s="1008">
        <v>0</v>
      </c>
      <c r="LF207" s="1007">
        <v>0</v>
      </c>
      <c r="LG207" s="1008">
        <v>0</v>
      </c>
      <c r="LH207" s="1007">
        <v>0</v>
      </c>
      <c r="LI207" s="1008">
        <v>0</v>
      </c>
      <c r="LJ207" s="1007">
        <v>0</v>
      </c>
      <c r="LK207" s="1008">
        <v>0</v>
      </c>
      <c r="LL207" s="1007">
        <v>0</v>
      </c>
      <c r="LM207" s="1008" t="s">
        <v>555</v>
      </c>
      <c r="LN207" s="1007">
        <v>0.83098399999999994</v>
      </c>
      <c r="LO207" s="1008">
        <v>0</v>
      </c>
      <c r="LP207" s="1007">
        <v>0</v>
      </c>
      <c r="LQ207" s="1008" t="s">
        <v>146</v>
      </c>
      <c r="LR207" s="1007">
        <v>4.1948800000000004</v>
      </c>
      <c r="LS207" s="1008" t="s">
        <v>206</v>
      </c>
      <c r="LT207" s="1007">
        <v>4.5422144099999997</v>
      </c>
      <c r="LU207" s="1008">
        <v>0</v>
      </c>
      <c r="LV207" s="1007">
        <v>0</v>
      </c>
      <c r="LW207" s="1008" t="s">
        <v>206</v>
      </c>
      <c r="LX207" s="1007">
        <v>-2.2665544</v>
      </c>
      <c r="LY207" s="1009">
        <v>0</v>
      </c>
      <c r="LZ207" s="1010">
        <v>0</v>
      </c>
      <c r="MA207" s="1011">
        <v>0</v>
      </c>
      <c r="MB207" s="1012">
        <v>0</v>
      </c>
      <c r="MC207" s="995"/>
      <c r="MD207" s="996"/>
      <c r="ME207" s="997" t="s">
        <v>220</v>
      </c>
      <c r="MF207" s="997"/>
      <c r="MG207" s="998"/>
      <c r="NR207" s="1000"/>
      <c r="NS207" s="1000"/>
      <c r="NT207" s="1001"/>
      <c r="NU207" s="1000"/>
      <c r="NV207" s="1001"/>
      <c r="NX207" s="1002"/>
      <c r="NZ207" s="1001"/>
      <c r="OA207" s="1001"/>
      <c r="OC207" s="1003"/>
      <c r="OD207" s="1003"/>
      <c r="OE207" s="1001"/>
      <c r="OF207" s="1003"/>
      <c r="OG207" s="1003"/>
      <c r="QX207" s="1000">
        <f>CN207-CA207</f>
        <v>81.940144343750006</v>
      </c>
      <c r="ASU207" s="999" t="s">
        <v>315</v>
      </c>
    </row>
    <row r="208" spans="1:466 1191:1191" ht="21" customHeight="1" x14ac:dyDescent="0.25">
      <c r="A208" s="982" t="str">
        <f t="shared" si="104"/>
        <v>1105-1</v>
      </c>
      <c r="B208" s="124">
        <f>SUBTOTAL(103,$J$29:J208)</f>
        <v>180</v>
      </c>
      <c r="C208" s="126">
        <v>45068</v>
      </c>
      <c r="D208" s="124" t="s">
        <v>176</v>
      </c>
      <c r="E208" s="127" t="s">
        <v>177</v>
      </c>
      <c r="F208" s="128" t="s">
        <v>177</v>
      </c>
      <c r="G208" s="127" t="s">
        <v>178</v>
      </c>
      <c r="H208" s="127" t="s">
        <v>179</v>
      </c>
      <c r="I208" s="127" t="s">
        <v>921</v>
      </c>
      <c r="J208" s="152" t="s">
        <v>1004</v>
      </c>
      <c r="K208" s="127" t="s">
        <v>1000</v>
      </c>
      <c r="L208" s="130">
        <v>41521</v>
      </c>
      <c r="M208" s="127" t="s">
        <v>230</v>
      </c>
      <c r="N208" s="127" t="s">
        <v>245</v>
      </c>
      <c r="O208" s="127" t="s">
        <v>185</v>
      </c>
      <c r="P208" s="127" t="s">
        <v>186</v>
      </c>
      <c r="Q208" s="85" t="str">
        <f t="shared" si="158"/>
        <v/>
      </c>
      <c r="R208" s="130"/>
      <c r="S208" s="128" t="s">
        <v>156</v>
      </c>
      <c r="T208" s="131"/>
      <c r="U208" s="132">
        <v>203</v>
      </c>
      <c r="V208" s="121">
        <v>218.2</v>
      </c>
      <c r="W208" s="116">
        <v>0.98</v>
      </c>
      <c r="X208" s="116">
        <v>1.66</v>
      </c>
      <c r="Y208" s="116">
        <f t="shared" si="137"/>
        <v>1.6261495401839263</v>
      </c>
      <c r="Z208" s="133">
        <v>1.454</v>
      </c>
      <c r="AA208" s="133">
        <v>0.83599999999999997</v>
      </c>
      <c r="AB208" s="133">
        <v>0.72</v>
      </c>
      <c r="AC208" s="121">
        <v>34.299999999999997</v>
      </c>
      <c r="AD208" s="134">
        <v>1.17</v>
      </c>
      <c r="AE208" s="124">
        <v>177.8</v>
      </c>
      <c r="AF208" s="128">
        <v>9.19</v>
      </c>
      <c r="AG208" s="128">
        <v>2013</v>
      </c>
      <c r="AH208" s="127">
        <v>2550</v>
      </c>
      <c r="AI208" s="127">
        <v>2550</v>
      </c>
      <c r="AJ208" s="135"/>
      <c r="AK208" s="128"/>
      <c r="AL208" s="131"/>
      <c r="AM208" s="124" t="s">
        <v>232</v>
      </c>
      <c r="AN208" s="136" t="s">
        <v>1005</v>
      </c>
      <c r="AO208" s="137">
        <v>30</v>
      </c>
      <c r="AP208" s="128">
        <v>2013</v>
      </c>
      <c r="AQ208" s="128">
        <v>159.19999999999999</v>
      </c>
      <c r="AR208" s="128"/>
      <c r="AS208" s="128"/>
      <c r="AT208" s="122"/>
      <c r="AU208" s="124" t="s">
        <v>883</v>
      </c>
      <c r="AV208" s="115">
        <f>VLOOKUP(J208,'[63]ТР нефть'!$J$28:$BP$638,39,0)</f>
        <v>300</v>
      </c>
      <c r="AW208" s="115" t="str">
        <f>VLOOKUP(J208,'[63]ТР нефть'!$J$28:$BP$638,40,0)</f>
        <v>ГП</v>
      </c>
      <c r="AX208" s="115" t="str">
        <f>VLOOKUP(J208,'[63]ТР нефть'!$J$28:$BP$638,41,0)</f>
        <v>-</v>
      </c>
      <c r="AY208" s="115" t="str">
        <f>VLOOKUP(J208,'[63]ТР нефть'!$J$28:$BP$638,42,0)</f>
        <v>-</v>
      </c>
      <c r="AZ208" s="115" t="str">
        <f>VLOOKUP(J208,'[63]ТР нефть'!$J$28:$BP$638,43,0)</f>
        <v>-</v>
      </c>
      <c r="BA208" s="115" t="str">
        <f>VLOOKUP(J208,'[63]ТР нефть'!$J$28:$BP$638,44,0)</f>
        <v>-</v>
      </c>
      <c r="BB208" s="115" t="str">
        <f>VLOOKUP(J208,'[63]ТР нефть'!$J$28:$BP$638,45,0)</f>
        <v>-</v>
      </c>
      <c r="BC208" s="115" t="str">
        <f>VLOOKUP(J208,'[63]ТР нефть'!$J$28:$BP$638,46,0)</f>
        <v>-</v>
      </c>
      <c r="BD208" s="115" t="str">
        <f>VLOOKUP(J208,'[63]ТР нефть'!$J$28:$BP$638,47,0)</f>
        <v>-</v>
      </c>
      <c r="BE208" s="115" t="str">
        <f>VLOOKUP(J208,'[63]ТР нефть'!$J$28:$BP$638,48,0)</f>
        <v>-</v>
      </c>
      <c r="BF208" s="115" t="str">
        <f>VLOOKUP(J208,'[63]ТР нефть'!$J$28:$BP$638,49,0)</f>
        <v>-</v>
      </c>
      <c r="BG208" s="115" t="str">
        <f>VLOOKUP(J208,'[63]ТР нефть'!$J$28:$BP$638,50,0)</f>
        <v>-</v>
      </c>
      <c r="BH208" s="115">
        <f>VLOOKUP(J208,'[63]ТР нефть'!$J$28:$BP$638,51,0)</f>
        <v>1700</v>
      </c>
      <c r="BI208" s="115" t="str">
        <f>VLOOKUP(J208,'[63]ТР нефть'!$J$28:$BP$638,52,0)</f>
        <v>закрыт</v>
      </c>
      <c r="BJ208" s="115" t="str">
        <f>IF(IFERROR(VLOOKUP(J208,'[63]ТР нефть'!$J$28:$BP$638,53,0),"-")=0,"-",IFERROR(VLOOKUP(J208,'[63]ТР нефть'!$J$28:$BP$638,53,0),"-"))</f>
        <v>-</v>
      </c>
      <c r="BK208" s="138" t="str">
        <f>IF(IFERROR(VLOOKUP(J208,'[63]ТР нефть'!$J$28:$BP$638,54,0),"-")=0,"-",IFERROR(VLOOKUP(J208,'[63]ТР нефть'!$J$28:$BP$638,54,0),"-"))</f>
        <v>D2400N</v>
      </c>
      <c r="BL208" s="138" t="str">
        <f>IF(IFERROR(VLOOKUP(J208,'[63]ТР нефть'!$J$28:$BP$638,55,0),"-")=0,"-",IFERROR(VLOOKUP(J208,'[63]ТР нефть'!$J$28:$BP$638,55,0),"-"))</f>
        <v>-</v>
      </c>
      <c r="BM208" s="138">
        <f>IF(IFERROR(VLOOKUP(J208,'[63]ТР нефть'!$J$28:$BP$638,56,0),"-")=0,"-",IFERROR(VLOOKUP(J208,'[63]ТР нефть'!$J$28:$BP$638,56,0),"-"))</f>
        <v>1165</v>
      </c>
      <c r="BN208" s="138">
        <f>IF(IFERROR(VLOOKUP(J208,'[63]ТР нефть'!$J$28:$BP$638,57,0),"-")=0,"-",IFERROR(VLOOKUP(J208,'[63]ТР нефть'!$J$28:$BP$638,57,0),"-"))</f>
        <v>58</v>
      </c>
      <c r="BO208" s="115">
        <f>IF(IFERROR(VLOOKUP(J208,'[63]ТР нефть'!$J$28:$BP$638,58,0),"-")=0,"-",IFERROR(VLOOKUP(J208,'[63]ТР нефть'!$J$28:$BP$638,58,0),"-"))</f>
        <v>125</v>
      </c>
      <c r="BP208" s="115" t="str">
        <f>IF(IFERROR(VLOOKUP(J208,'[63]ТР нефть'!$J$28:$BP$638,59,0),"-")=0,"-",IFERROR(VLOOKUP(J208,'[63]ТР нефть'!$J$28:$BP$638,59,0),"-"))</f>
        <v>-</v>
      </c>
      <c r="BQ208" s="138">
        <v>1650</v>
      </c>
      <c r="BR208" s="128">
        <v>1579</v>
      </c>
      <c r="BS208" s="115">
        <f t="shared" si="105"/>
        <v>71</v>
      </c>
      <c r="BT208" s="128">
        <v>73</v>
      </c>
      <c r="BU208" s="128">
        <v>5.5</v>
      </c>
      <c r="BV208" s="127">
        <v>65</v>
      </c>
      <c r="BW208" s="127" t="s">
        <v>217</v>
      </c>
      <c r="BX208" s="127" t="s">
        <v>195</v>
      </c>
      <c r="BY208" s="139">
        <v>24</v>
      </c>
      <c r="BZ208" s="139">
        <v>0</v>
      </c>
      <c r="CA208" s="138">
        <v>25</v>
      </c>
      <c r="CB208" s="138">
        <v>25</v>
      </c>
      <c r="CC208" s="138">
        <v>24</v>
      </c>
      <c r="CD208" s="135">
        <v>45017</v>
      </c>
      <c r="CE208" s="138">
        <v>152</v>
      </c>
      <c r="CF208" s="138"/>
      <c r="CG208" s="138" t="str">
        <f t="shared" si="153"/>
        <v/>
      </c>
      <c r="CH208" s="138" t="s">
        <v>197</v>
      </c>
      <c r="CI208" s="138"/>
      <c r="CJ208" s="138">
        <f>IF((BR208-(100*(CM208-CB208))/(9.8*(AB208+AA208)/2))&gt;0,BR208-(100*(CM208-CB208))/(9.8*(AB208+AA208)/2),0)</f>
        <v>936.32647814910035</v>
      </c>
      <c r="CK208" s="138">
        <f t="shared" si="157"/>
        <v>80.176788219999992</v>
      </c>
      <c r="CL208" s="99"/>
      <c r="CM208" s="138">
        <v>74</v>
      </c>
      <c r="CN208" s="154">
        <f>IF(CM208=0,0,(((AP208-AQ208-BR208)*((AD208*(CQ208/100))+(AB208*((100-CQ208)/100)))*9.81/100+CM208)))</f>
        <v>105.17678821999999</v>
      </c>
      <c r="CO208" s="141">
        <f t="shared" si="106"/>
        <v>6.6963600000000056</v>
      </c>
      <c r="CP208" s="142">
        <v>267</v>
      </c>
      <c r="CQ208" s="143">
        <v>97</v>
      </c>
      <c r="CR208" s="138">
        <v>15.193</v>
      </c>
      <c r="CS208" s="139"/>
      <c r="CT208" s="138"/>
      <c r="CU208" s="138">
        <f t="shared" si="159"/>
        <v>15.193</v>
      </c>
      <c r="CV208" s="115">
        <f t="shared" si="160"/>
        <v>2268.8445663016905</v>
      </c>
      <c r="CW208" s="115" t="str">
        <f t="shared" si="109"/>
        <v/>
      </c>
      <c r="CX208" s="133">
        <f t="shared" si="161"/>
        <v>5.7022999886147483</v>
      </c>
      <c r="CY208" s="116"/>
      <c r="CZ208" s="131"/>
      <c r="DA208" s="145" t="str">
        <f t="shared" si="111"/>
        <v>ЭЦН</v>
      </c>
      <c r="DB208" s="146">
        <f t="shared" si="112"/>
        <v>6.6963600000000056</v>
      </c>
      <c r="DC208" s="142">
        <f t="shared" si="151"/>
        <v>267</v>
      </c>
      <c r="DD208" s="119">
        <f t="shared" si="152"/>
        <v>97</v>
      </c>
      <c r="DE208" s="115">
        <f t="shared" si="115"/>
        <v>15.193</v>
      </c>
      <c r="DF208" s="121">
        <f t="shared" si="116"/>
        <v>0</v>
      </c>
      <c r="DG208" s="115">
        <f t="shared" si="117"/>
        <v>2268.8445663016905</v>
      </c>
      <c r="DH208" s="115">
        <f t="shared" si="118"/>
        <v>105.17678821999999</v>
      </c>
      <c r="DI208" s="147"/>
      <c r="DJ208" s="111">
        <v>44012</v>
      </c>
      <c r="DK208" s="112">
        <v>44054</v>
      </c>
      <c r="DL208" s="113">
        <f t="shared" ca="1" si="138"/>
        <v>1050</v>
      </c>
      <c r="DM208" s="114">
        <v>29</v>
      </c>
      <c r="DN208" s="114">
        <v>53</v>
      </c>
      <c r="DO208" s="114">
        <v>45</v>
      </c>
      <c r="DP208" s="114"/>
      <c r="DQ208" s="112">
        <v>41521</v>
      </c>
      <c r="DR208" s="114" t="s">
        <v>324</v>
      </c>
      <c r="DS208" s="114"/>
      <c r="DT208" s="115">
        <v>98.470761342799989</v>
      </c>
      <c r="DU208" s="116">
        <f t="shared" si="139"/>
        <v>5.5727512621850561</v>
      </c>
      <c r="DV208" s="117">
        <f t="shared" si="140"/>
        <v>7.4814927178511752</v>
      </c>
      <c r="DW208" s="118">
        <f t="shared" si="141"/>
        <v>298.30513229071647</v>
      </c>
      <c r="DX208" s="119">
        <f t="shared" si="119"/>
        <v>97</v>
      </c>
      <c r="DY208" s="115">
        <f t="shared" si="142"/>
        <v>16.974344100722305</v>
      </c>
      <c r="DZ208" s="117">
        <f t="shared" si="143"/>
        <v>0.78513271785116956</v>
      </c>
      <c r="EA208" s="120">
        <f t="shared" si="143"/>
        <v>31.305132290716472</v>
      </c>
      <c r="EB208" s="119">
        <f t="shared" si="143"/>
        <v>0</v>
      </c>
      <c r="EC208" s="121">
        <f t="shared" si="144"/>
        <v>1.7813441007223059</v>
      </c>
      <c r="ED208" s="122"/>
      <c r="EE208" s="145">
        <v>65</v>
      </c>
      <c r="EF208" s="115">
        <v>29</v>
      </c>
      <c r="EG208" s="115">
        <v>29</v>
      </c>
      <c r="EH208" s="115">
        <v>28</v>
      </c>
      <c r="EI208" s="128" t="s">
        <v>195</v>
      </c>
      <c r="EJ208" s="121">
        <v>24</v>
      </c>
      <c r="EK208" s="121">
        <v>0</v>
      </c>
      <c r="EL208" s="149">
        <v>6.6963600000000056</v>
      </c>
      <c r="EM208" s="142">
        <v>267</v>
      </c>
      <c r="EN208" s="119">
        <v>97</v>
      </c>
      <c r="EO208" s="115">
        <v>15.193</v>
      </c>
      <c r="EP208" s="115">
        <v>2268.8445663016905</v>
      </c>
      <c r="EQ208" s="115">
        <v>0</v>
      </c>
      <c r="ER208" s="115">
        <v>0</v>
      </c>
      <c r="ES208" s="115">
        <v>105.17678821999999</v>
      </c>
      <c r="ET208" s="150">
        <v>5.7022999886147483</v>
      </c>
      <c r="EU208" s="145">
        <f t="shared" si="120"/>
        <v>65</v>
      </c>
      <c r="EV208" s="115">
        <f t="shared" si="121"/>
        <v>25</v>
      </c>
      <c r="EW208" s="115">
        <f t="shared" si="121"/>
        <v>25</v>
      </c>
      <c r="EX208" s="115">
        <f t="shared" si="121"/>
        <v>24</v>
      </c>
      <c r="EY208" s="115" t="str">
        <f t="shared" si="156"/>
        <v>Постоянный</v>
      </c>
      <c r="EZ208" s="115">
        <f t="shared" si="155"/>
        <v>24</v>
      </c>
      <c r="FA208" s="115">
        <f t="shared" si="155"/>
        <v>0</v>
      </c>
      <c r="FB208" s="149">
        <f t="shared" si="123"/>
        <v>6.6963600000000056</v>
      </c>
      <c r="FC208" s="142">
        <f t="shared" si="123"/>
        <v>267</v>
      </c>
      <c r="FD208" s="119">
        <f t="shared" si="123"/>
        <v>97</v>
      </c>
      <c r="FE208" s="121">
        <f t="shared" si="103"/>
        <v>15.193</v>
      </c>
      <c r="FF208" s="121">
        <f t="shared" si="145"/>
        <v>2268.8445663016905</v>
      </c>
      <c r="FG208" s="121">
        <f t="shared" si="124"/>
        <v>0</v>
      </c>
      <c r="FH208" s="121">
        <f t="shared" si="146"/>
        <v>0</v>
      </c>
      <c r="FI208" s="121">
        <f t="shared" si="154"/>
        <v>105.17678821999999</v>
      </c>
      <c r="FJ208" s="144">
        <f t="shared" si="125"/>
        <v>5.7022999886147483</v>
      </c>
      <c r="FK208" s="132">
        <f t="shared" si="126"/>
        <v>0</v>
      </c>
      <c r="FL208" s="115">
        <f t="shared" si="126"/>
        <v>-4</v>
      </c>
      <c r="FM208" s="115">
        <f t="shared" si="126"/>
        <v>-4</v>
      </c>
      <c r="FN208" s="115">
        <f t="shared" si="126"/>
        <v>-4</v>
      </c>
      <c r="FO208" s="115">
        <f t="shared" si="150"/>
        <v>0</v>
      </c>
      <c r="FP208" s="115">
        <f t="shared" si="150"/>
        <v>0</v>
      </c>
      <c r="FQ208" s="149">
        <f t="shared" si="150"/>
        <v>0</v>
      </c>
      <c r="FR208" s="142">
        <f t="shared" si="148"/>
        <v>0</v>
      </c>
      <c r="FS208" s="119">
        <f t="shared" si="148"/>
        <v>0</v>
      </c>
      <c r="FT208" s="121">
        <f t="shared" si="148"/>
        <v>0</v>
      </c>
      <c r="FU208" s="121">
        <f t="shared" si="127"/>
        <v>0</v>
      </c>
      <c r="FV208" s="121">
        <f t="shared" si="127"/>
        <v>0</v>
      </c>
      <c r="FW208" s="121">
        <f t="shared" si="128"/>
        <v>0</v>
      </c>
      <c r="FX208" s="121">
        <f t="shared" si="129"/>
        <v>0</v>
      </c>
      <c r="FY208" s="144">
        <f t="shared" si="129"/>
        <v>0</v>
      </c>
      <c r="FZ208" s="145"/>
      <c r="GA208" s="151"/>
      <c r="GB208" s="145" t="s">
        <v>146</v>
      </c>
      <c r="GC208" s="151" t="s">
        <v>1006</v>
      </c>
      <c r="GD208" s="997" t="s">
        <v>220</v>
      </c>
      <c r="GE208" s="1004" t="s">
        <v>146</v>
      </c>
      <c r="GF208" s="1004">
        <v>-2.2321200000000019</v>
      </c>
      <c r="GG208" s="1004"/>
      <c r="GH208" s="1004">
        <v>-0.32353199999998061</v>
      </c>
      <c r="GI208" s="145"/>
      <c r="GJ208" s="996">
        <v>0</v>
      </c>
      <c r="GK208" s="145"/>
      <c r="GL208" s="996">
        <v>0</v>
      </c>
      <c r="GM208" s="1005"/>
      <c r="GN208" s="996">
        <v>0</v>
      </c>
      <c r="GO208" s="1006" t="s">
        <v>199</v>
      </c>
      <c r="GP208" s="996">
        <v>3.6536443679999859</v>
      </c>
      <c r="GQ208" s="1006"/>
      <c r="GR208" s="996">
        <v>0</v>
      </c>
      <c r="GS208" s="1006" t="s">
        <v>199</v>
      </c>
      <c r="GT208" s="996">
        <v>-1.4853121712000004</v>
      </c>
      <c r="GU208" s="1006"/>
      <c r="GV208" s="996">
        <v>0</v>
      </c>
      <c r="GW208" s="1006"/>
      <c r="GX208" s="1036">
        <v>0</v>
      </c>
      <c r="GY208" s="1006"/>
      <c r="GZ208" s="996">
        <v>0</v>
      </c>
      <c r="HA208" s="1006"/>
      <c r="HB208" s="996">
        <v>0</v>
      </c>
      <c r="HC208" s="1006"/>
      <c r="HD208" s="996">
        <v>0</v>
      </c>
      <c r="HE208" s="1006"/>
      <c r="HF208" s="996">
        <v>0</v>
      </c>
      <c r="HG208" s="1006"/>
      <c r="HH208" s="996">
        <v>0</v>
      </c>
      <c r="HI208" s="1006"/>
      <c r="HJ208" s="996">
        <v>0</v>
      </c>
      <c r="HK208" s="1006"/>
      <c r="HL208" s="996">
        <v>0</v>
      </c>
      <c r="HM208" s="1006"/>
      <c r="HN208" s="996">
        <v>-0.90664200000000505</v>
      </c>
      <c r="HO208" s="1006"/>
      <c r="HP208" s="996">
        <v>0</v>
      </c>
      <c r="HQ208" s="1006" t="s">
        <v>146</v>
      </c>
      <c r="HR208" s="996">
        <v>-2.8997496000000069</v>
      </c>
      <c r="HS208" s="1006" t="s">
        <v>886</v>
      </c>
      <c r="HT208" s="996">
        <v>-23.38256887999999</v>
      </c>
      <c r="HU208" s="1006"/>
      <c r="HV208" s="996">
        <v>0</v>
      </c>
      <c r="HW208" s="1006"/>
      <c r="HX208" s="996">
        <v>0</v>
      </c>
      <c r="HY208" s="1006" t="s">
        <v>146</v>
      </c>
      <c r="HZ208" s="996">
        <v>-3.9468563200000162</v>
      </c>
      <c r="IA208" s="1006"/>
      <c r="IB208" s="996">
        <v>-0.53963799999999651</v>
      </c>
      <c r="IC208" s="1006"/>
      <c r="ID208" s="996">
        <v>0</v>
      </c>
      <c r="IE208" s="1006"/>
      <c r="IF208" s="996">
        <v>0</v>
      </c>
      <c r="IG208" s="1006"/>
      <c r="IH208" s="996">
        <v>0</v>
      </c>
      <c r="II208" s="1006" t="s">
        <v>204</v>
      </c>
      <c r="IJ208" s="996">
        <v>7.0186380000000028</v>
      </c>
      <c r="IK208" s="1006"/>
      <c r="IL208" s="996">
        <v>0</v>
      </c>
      <c r="IM208" s="1006" t="s">
        <v>199</v>
      </c>
      <c r="IN208" s="996">
        <v>-5.8937999999999988</v>
      </c>
      <c r="IO208" s="1006" t="s">
        <v>204</v>
      </c>
      <c r="IP208" s="996">
        <v>6.102800000000002</v>
      </c>
      <c r="IQ208" s="1006" t="s">
        <v>239</v>
      </c>
      <c r="IR208" s="996">
        <v>-10.040359999999993</v>
      </c>
      <c r="IS208" s="1006"/>
      <c r="IT208" s="996">
        <v>0</v>
      </c>
      <c r="IU208" s="1006"/>
      <c r="IV208" s="996">
        <v>0</v>
      </c>
      <c r="IW208" s="1006"/>
      <c r="IX208" s="996">
        <v>0</v>
      </c>
      <c r="IY208" s="1006" t="s">
        <v>146</v>
      </c>
      <c r="IZ208" s="996">
        <v>10.011334079999983</v>
      </c>
      <c r="JA208" s="1006"/>
      <c r="JB208" s="996">
        <v>0</v>
      </c>
      <c r="JC208" s="1006" t="s">
        <v>199</v>
      </c>
      <c r="JD208" s="996">
        <v>9.5131366000000028</v>
      </c>
      <c r="JE208" s="1006"/>
      <c r="JF208" s="996">
        <v>0</v>
      </c>
      <c r="JG208" s="1006" t="s">
        <v>199</v>
      </c>
      <c r="JH208" s="996">
        <v>-1.7001748720000052</v>
      </c>
      <c r="JI208" s="1006" t="s">
        <v>1007</v>
      </c>
      <c r="JJ208" s="996">
        <v>-13.226630207999996</v>
      </c>
      <c r="JK208" s="1007" t="s">
        <v>223</v>
      </c>
      <c r="JL208" s="1007">
        <v>-5.124345599999991</v>
      </c>
      <c r="JM208" s="1007" t="s">
        <v>223</v>
      </c>
      <c r="JN208" s="1007">
        <v>-15.850560000000009</v>
      </c>
      <c r="JO208" s="1008"/>
      <c r="JP208" s="1007">
        <v>0</v>
      </c>
      <c r="JQ208" s="1008">
        <v>0</v>
      </c>
      <c r="JR208" s="1007">
        <v>0</v>
      </c>
      <c r="JS208" s="1008">
        <v>0</v>
      </c>
      <c r="JT208" s="1007">
        <v>0</v>
      </c>
      <c r="JU208" s="1008" t="s">
        <v>204</v>
      </c>
      <c r="JV208" s="1007">
        <v>11.056936</v>
      </c>
      <c r="JW208" s="1008" t="s">
        <v>197</v>
      </c>
      <c r="JX208" s="1007">
        <v>0</v>
      </c>
      <c r="JY208" s="1008" t="s">
        <v>259</v>
      </c>
      <c r="JZ208" s="1007">
        <v>1.5081440000000015</v>
      </c>
      <c r="KA208" s="1008"/>
      <c r="KB208" s="1007">
        <v>0</v>
      </c>
      <c r="KC208" s="1008" t="s">
        <v>199</v>
      </c>
      <c r="KD208" s="1007">
        <v>5.4339999999999975</v>
      </c>
      <c r="KE208" s="1008" t="s">
        <v>1008</v>
      </c>
      <c r="KF208" s="1007">
        <v>40.640467999999998</v>
      </c>
      <c r="KG208" s="1008"/>
      <c r="KH208" s="1007">
        <v>8.860162080000002</v>
      </c>
      <c r="KI208" s="1008"/>
      <c r="KJ208" s="1007">
        <v>0</v>
      </c>
      <c r="KK208" s="1008"/>
      <c r="KL208" s="1007">
        <v>0</v>
      </c>
      <c r="KM208" s="1008"/>
      <c r="KN208" s="1007">
        <v>0</v>
      </c>
      <c r="KO208" s="1008"/>
      <c r="KP208" s="1007">
        <v>0</v>
      </c>
      <c r="KQ208" s="1008" t="s">
        <v>1009</v>
      </c>
      <c r="KR208" s="1007">
        <v>6.3608899200000018</v>
      </c>
      <c r="KS208" s="1008">
        <v>0</v>
      </c>
      <c r="KT208" s="1007">
        <v>0</v>
      </c>
      <c r="KU208" s="1008">
        <v>0</v>
      </c>
      <c r="KV208" s="1007">
        <v>0</v>
      </c>
      <c r="KW208" s="1008">
        <v>0</v>
      </c>
      <c r="KX208" s="1007">
        <v>0</v>
      </c>
      <c r="KY208" s="1008">
        <v>0</v>
      </c>
      <c r="KZ208" s="1007">
        <v>0</v>
      </c>
      <c r="LA208" s="1008">
        <v>0</v>
      </c>
      <c r="LB208" s="1007">
        <v>0</v>
      </c>
      <c r="LC208" s="1008">
        <v>0</v>
      </c>
      <c r="LD208" s="1007">
        <v>0</v>
      </c>
      <c r="LE208" s="1008">
        <v>0</v>
      </c>
      <c r="LF208" s="1007">
        <v>0</v>
      </c>
      <c r="LG208" s="1008">
        <v>0</v>
      </c>
      <c r="LH208" s="1007">
        <v>0</v>
      </c>
      <c r="LI208" s="1008">
        <v>0</v>
      </c>
      <c r="LJ208" s="1007">
        <v>0</v>
      </c>
      <c r="LK208" s="1008">
        <v>0</v>
      </c>
      <c r="LL208" s="1007">
        <v>0</v>
      </c>
      <c r="LM208" s="1008" t="s">
        <v>555</v>
      </c>
      <c r="LN208" s="1007">
        <v>0.46398</v>
      </c>
      <c r="LO208" s="1008" t="s">
        <v>206</v>
      </c>
      <c r="LP208" s="1007">
        <v>2.4184640000000002</v>
      </c>
      <c r="LQ208" s="1008" t="s">
        <v>146</v>
      </c>
      <c r="LR208" s="1007">
        <v>-17.264226400000002</v>
      </c>
      <c r="LS208" s="1008" t="s">
        <v>259</v>
      </c>
      <c r="LT208" s="1007">
        <v>11.425269239999992</v>
      </c>
      <c r="LU208" s="1008">
        <v>0</v>
      </c>
      <c r="LV208" s="1007">
        <v>0</v>
      </c>
      <c r="LW208" s="1008" t="s">
        <v>206</v>
      </c>
      <c r="LX208" s="1007">
        <v>-1.6318884</v>
      </c>
      <c r="LY208" s="1009">
        <v>0</v>
      </c>
      <c r="LZ208" s="1010">
        <v>0</v>
      </c>
      <c r="MA208" s="1011" t="s">
        <v>206</v>
      </c>
      <c r="MB208" s="1012">
        <v>-2.1663640000000002</v>
      </c>
      <c r="MC208" s="995"/>
      <c r="MD208" s="996"/>
      <c r="ME208" s="997" t="s">
        <v>220</v>
      </c>
      <c r="MF208" s="997"/>
      <c r="MG208" s="998"/>
      <c r="NR208" s="1000"/>
      <c r="NS208" s="1000"/>
      <c r="NT208" s="1001"/>
      <c r="NU208" s="1000"/>
      <c r="NV208" s="1001"/>
      <c r="NX208" s="1002"/>
      <c r="NZ208" s="1001"/>
      <c r="OA208" s="1001"/>
      <c r="OC208" s="1003"/>
      <c r="OD208" s="1003"/>
      <c r="OE208" s="1001"/>
      <c r="OF208" s="1003"/>
      <c r="OG208" s="1003"/>
      <c r="QX208" s="1000">
        <f>CN208-CA208</f>
        <v>80.176788219999992</v>
      </c>
      <c r="ASU208" s="999" t="s">
        <v>208</v>
      </c>
    </row>
    <row r="209" spans="1:466 1191:1191" ht="21" customHeight="1" x14ac:dyDescent="0.25">
      <c r="A209" s="982">
        <f t="shared" si="104"/>
        <v>1106</v>
      </c>
      <c r="B209" s="124">
        <f>SUBTOTAL(103,$J$29:J209)</f>
        <v>181</v>
      </c>
      <c r="C209" s="126">
        <v>45068</v>
      </c>
      <c r="D209" s="124" t="s">
        <v>176</v>
      </c>
      <c r="E209" s="127" t="s">
        <v>177</v>
      </c>
      <c r="F209" s="128" t="s">
        <v>177</v>
      </c>
      <c r="G209" s="127" t="s">
        <v>178</v>
      </c>
      <c r="H209" s="127" t="s">
        <v>179</v>
      </c>
      <c r="I209" s="127" t="s">
        <v>1010</v>
      </c>
      <c r="J209" s="152">
        <v>1106</v>
      </c>
      <c r="K209" s="127" t="s">
        <v>1011</v>
      </c>
      <c r="L209" s="130">
        <v>41797</v>
      </c>
      <c r="M209" s="127" t="s">
        <v>230</v>
      </c>
      <c r="N209" s="127" t="s">
        <v>184</v>
      </c>
      <c r="O209" s="127" t="s">
        <v>185</v>
      </c>
      <c r="P209" s="127" t="s">
        <v>186</v>
      </c>
      <c r="Q209" s="85" t="str">
        <f t="shared" si="158"/>
        <v/>
      </c>
      <c r="R209" s="130"/>
      <c r="S209" s="128" t="s">
        <v>156</v>
      </c>
      <c r="T209" s="131"/>
      <c r="U209" s="132">
        <v>203</v>
      </c>
      <c r="V209" s="121">
        <v>218.2</v>
      </c>
      <c r="W209" s="116">
        <v>0.98</v>
      </c>
      <c r="X209" s="116">
        <v>1.66</v>
      </c>
      <c r="Y209" s="116">
        <f t="shared" si="137"/>
        <v>0.98</v>
      </c>
      <c r="Z209" s="133">
        <v>1.454</v>
      </c>
      <c r="AA209" s="133">
        <v>0.83599999999999997</v>
      </c>
      <c r="AB209" s="133">
        <v>0.72</v>
      </c>
      <c r="AC209" s="121">
        <v>34.299999999999997</v>
      </c>
      <c r="AD209" s="134">
        <v>1.17</v>
      </c>
      <c r="AE209" s="124">
        <v>177.8</v>
      </c>
      <c r="AF209" s="128">
        <v>9.19</v>
      </c>
      <c r="AG209" s="128">
        <v>2114</v>
      </c>
      <c r="AH209" s="127">
        <v>2749</v>
      </c>
      <c r="AI209" s="127">
        <v>2749</v>
      </c>
      <c r="AJ209" s="135"/>
      <c r="AK209" s="128"/>
      <c r="AL209" s="131"/>
      <c r="AM209" s="124" t="s">
        <v>232</v>
      </c>
      <c r="AN209" s="136" t="s">
        <v>1012</v>
      </c>
      <c r="AO209" s="137">
        <v>13</v>
      </c>
      <c r="AP209" s="128">
        <v>2114</v>
      </c>
      <c r="AQ209" s="128">
        <v>265.3</v>
      </c>
      <c r="AR209" s="128"/>
      <c r="AS209" s="128"/>
      <c r="AT209" s="122"/>
      <c r="AU209" s="124" t="s">
        <v>189</v>
      </c>
      <c r="AV209" s="115">
        <f>VLOOKUP(J209,'[63]ТР нефть'!$J$28:$BP$638,39,0)</f>
        <v>499.99999218800002</v>
      </c>
      <c r="AW209" s="115" t="str">
        <f>VLOOKUP(J209,'[63]ТР нефть'!$J$28:$BP$638,40,0)</f>
        <v>ГК 82 1/8</v>
      </c>
      <c r="AX209" s="115">
        <f>VLOOKUP(J209,'[63]ТР нефть'!$J$28:$BP$638,41,0)</f>
        <v>899.99998593800001</v>
      </c>
      <c r="AY209" s="115" t="str">
        <f>VLOOKUP(J209,'[63]ТР нефть'!$J$28:$BP$638,42,0)</f>
        <v>ГК 85 1/8</v>
      </c>
      <c r="AZ209" s="115">
        <f>VLOOKUP(J209,'[63]ТР нефть'!$J$28:$BP$638,43,0)</f>
        <v>1230.0000105470001</v>
      </c>
      <c r="BA209" s="115" t="str">
        <f>VLOOKUP(J209,'[63]ТР нефть'!$J$28:$BP$638,44,0)</f>
        <v>ГК 84 1/8</v>
      </c>
      <c r="BB209" s="115">
        <f>VLOOKUP(J209,'[63]ТР нефть'!$J$28:$BP$638,45,0)</f>
        <v>1499.999976563</v>
      </c>
      <c r="BC209" s="115" t="str">
        <f>VLOOKUP(J209,'[63]ТР нефть'!$J$28:$BP$638,46,0)</f>
        <v>ГК 84 1/8</v>
      </c>
      <c r="BD209" s="115">
        <f>VLOOKUP(J209,'[63]ТР нефть'!$J$28:$BP$638,47,0)</f>
        <v>1799.999971875</v>
      </c>
      <c r="BE209" s="115" t="str">
        <f>VLOOKUP(J209,'[63]ТР нефть'!$J$28:$BP$638,48,0)</f>
        <v>ЦКсОК 5/16</v>
      </c>
      <c r="BF209" s="115" t="str">
        <f>VLOOKUP(J209,'[63]ТР нефть'!$J$28:$BP$638,49,0)</f>
        <v>-</v>
      </c>
      <c r="BG209" s="115" t="str">
        <f>VLOOKUP(J209,'[63]ТР нефть'!$J$28:$BP$638,50,0)</f>
        <v>-</v>
      </c>
      <c r="BH209" s="115" t="str">
        <f>VLOOKUP(J209,'[63]ТР нефть'!$J$28:$BP$638,51,0)</f>
        <v>-</v>
      </c>
      <c r="BI209" s="115" t="str">
        <f>VLOOKUP(J209,'[63]ТР нефть'!$J$28:$BP$638,52,0)</f>
        <v xml:space="preserve"> -</v>
      </c>
      <c r="BJ209" s="115" t="str">
        <f>IF(IFERROR(VLOOKUP(J209,'[63]ТР нефть'!$J$28:$BP$638,53,0),"-")=0,"-",IFERROR(VLOOKUP(J209,'[63]ТР нефть'!$J$28:$BP$638,53,0),"-"))</f>
        <v>-</v>
      </c>
      <c r="BK209" s="138" t="str">
        <f>IF(IFERROR(VLOOKUP(J209,'[63]ТР нефть'!$J$28:$BP$638,54,0),"-")=0,"-",IFERROR(VLOOKUP(J209,'[63]ТР нефть'!$J$28:$BP$638,54,0),"-"))</f>
        <v>-</v>
      </c>
      <c r="BL209" s="138" t="str">
        <f>IF(IFERROR(VLOOKUP(J209,'[63]ТР нефть'!$J$28:$BP$638,55,0),"-")=0,"-",IFERROR(VLOOKUP(J209,'[63]ТР нефть'!$J$28:$BP$638,55,0),"-"))</f>
        <v>-</v>
      </c>
      <c r="BM209" s="138" t="str">
        <f>IF(IFERROR(VLOOKUP(J209,'[63]ТР нефть'!$J$28:$BP$638,56,0),"-")=0,"-",IFERROR(VLOOKUP(J209,'[63]ТР нефть'!$J$28:$BP$638,56,0),"-"))</f>
        <v>-</v>
      </c>
      <c r="BN209" s="138" t="str">
        <f>IF(IFERROR(VLOOKUP(J209,'[63]ТР нефть'!$J$28:$BP$638,57,0),"-")=0,"-",IFERROR(VLOOKUP(J209,'[63]ТР нефть'!$J$28:$BP$638,57,0),"-"))</f>
        <v>-</v>
      </c>
      <c r="BO209" s="115" t="str">
        <f>IF(IFERROR(VLOOKUP(J209,'[63]ТР нефть'!$J$28:$BP$638,58,0),"-")=0,"-",IFERROR(VLOOKUP(J209,'[63]ТР нефть'!$J$28:$BP$638,58,0),"-"))</f>
        <v>-</v>
      </c>
      <c r="BP209" s="115" t="str">
        <f>IF(IFERROR(VLOOKUP(J209,'[63]ТР нефть'!$J$28:$BP$638,59,0),"-")=0,"-",IFERROR(VLOOKUP(J209,'[63]ТР нефть'!$J$28:$BP$638,59,0),"-"))</f>
        <v>-</v>
      </c>
      <c r="BQ209" s="138">
        <v>2217</v>
      </c>
      <c r="BR209" s="128">
        <v>1849.1</v>
      </c>
      <c r="BS209" s="115">
        <f t="shared" si="105"/>
        <v>367.90000000000009</v>
      </c>
      <c r="BT209" s="128">
        <v>73</v>
      </c>
      <c r="BU209" s="128">
        <v>5.5</v>
      </c>
      <c r="BV209" s="127">
        <v>18</v>
      </c>
      <c r="BW209" s="127" t="s">
        <v>217</v>
      </c>
      <c r="BX209" s="127" t="s">
        <v>195</v>
      </c>
      <c r="BY209" s="139">
        <v>24</v>
      </c>
      <c r="BZ209" s="139">
        <v>0</v>
      </c>
      <c r="CA209" s="80">
        <v>22</v>
      </c>
      <c r="CB209" s="138">
        <v>37</v>
      </c>
      <c r="CC209" s="138">
        <v>21</v>
      </c>
      <c r="CD209" s="135">
        <v>45017</v>
      </c>
      <c r="CE209" s="138">
        <v>98</v>
      </c>
      <c r="CF209" s="138">
        <v>76</v>
      </c>
      <c r="CG209" s="138" t="str">
        <f t="shared" si="153"/>
        <v>В работе</v>
      </c>
      <c r="CH209" s="138" t="s">
        <v>196</v>
      </c>
      <c r="CI209" s="127">
        <v>5</v>
      </c>
      <c r="CJ209" s="138"/>
      <c r="CK209" s="138">
        <f t="shared" si="157"/>
        <v>24</v>
      </c>
      <c r="CL209" s="99"/>
      <c r="CM209" s="99"/>
      <c r="CN209" s="140">
        <v>46</v>
      </c>
      <c r="CO209" s="141">
        <f t="shared" si="106"/>
        <v>7.524</v>
      </c>
      <c r="CP209" s="142">
        <v>9</v>
      </c>
      <c r="CQ209" s="143">
        <v>0</v>
      </c>
      <c r="CR209" s="138">
        <v>17.2</v>
      </c>
      <c r="CS209" s="139">
        <v>9.6</v>
      </c>
      <c r="CT209" s="138"/>
      <c r="CU209" s="138">
        <f t="shared" si="159"/>
        <v>7.6</v>
      </c>
      <c r="CV209" s="115">
        <f t="shared" si="160"/>
        <v>1010.10101010101</v>
      </c>
      <c r="CW209" s="115">
        <f t="shared" si="109"/>
        <v>1275.9170653907495</v>
      </c>
      <c r="CX209" s="133">
        <f t="shared" si="161"/>
        <v>0.17307692307692307</v>
      </c>
      <c r="CY209" s="116"/>
      <c r="CZ209" s="131"/>
      <c r="DA209" s="145" t="str">
        <f t="shared" si="111"/>
        <v>Газлифт</v>
      </c>
      <c r="DB209" s="146">
        <f t="shared" si="112"/>
        <v>7.524</v>
      </c>
      <c r="DC209" s="142">
        <f t="shared" si="151"/>
        <v>9</v>
      </c>
      <c r="DD209" s="119">
        <f t="shared" si="152"/>
        <v>0</v>
      </c>
      <c r="DE209" s="115">
        <f t="shared" si="115"/>
        <v>7.6</v>
      </c>
      <c r="DF209" s="121">
        <f t="shared" si="116"/>
        <v>9.6</v>
      </c>
      <c r="DG209" s="115">
        <f t="shared" si="117"/>
        <v>1010.10101010101</v>
      </c>
      <c r="DH209" s="115">
        <f t="shared" si="118"/>
        <v>46</v>
      </c>
      <c r="DI209" s="147"/>
      <c r="DJ209" s="111">
        <v>43553</v>
      </c>
      <c r="DK209" s="112">
        <v>43727</v>
      </c>
      <c r="DL209" s="113">
        <f t="shared" ca="1" si="138"/>
        <v>1377</v>
      </c>
      <c r="DM209" s="114"/>
      <c r="DN209" s="114"/>
      <c r="DO209" s="114"/>
      <c r="DP209" s="114"/>
      <c r="DQ209" s="112">
        <v>43697.833333333336</v>
      </c>
      <c r="DR209" s="114" t="s">
        <v>282</v>
      </c>
      <c r="DS209" s="114"/>
      <c r="DT209" s="115">
        <v>48</v>
      </c>
      <c r="DU209" s="116">
        <f t="shared" si="139"/>
        <v>0.18</v>
      </c>
      <c r="DV209" s="117">
        <f t="shared" si="140"/>
        <v>7.524</v>
      </c>
      <c r="DW209" s="118">
        <f t="shared" si="141"/>
        <v>9</v>
      </c>
      <c r="DX209" s="119">
        <f t="shared" si="119"/>
        <v>0</v>
      </c>
      <c r="DY209" s="115">
        <f t="shared" si="142"/>
        <v>7.6</v>
      </c>
      <c r="DZ209" s="117">
        <f t="shared" si="143"/>
        <v>0</v>
      </c>
      <c r="EA209" s="120">
        <f t="shared" si="143"/>
        <v>0</v>
      </c>
      <c r="EB209" s="119">
        <f t="shared" si="143"/>
        <v>0</v>
      </c>
      <c r="EC209" s="121">
        <f t="shared" si="144"/>
        <v>0</v>
      </c>
      <c r="ED209" s="122"/>
      <c r="EE209" s="145">
        <v>18</v>
      </c>
      <c r="EF209" s="148">
        <v>25</v>
      </c>
      <c r="EG209" s="115">
        <v>39</v>
      </c>
      <c r="EH209" s="115">
        <v>24</v>
      </c>
      <c r="EI209" s="128" t="s">
        <v>195</v>
      </c>
      <c r="EJ209" s="121">
        <v>24</v>
      </c>
      <c r="EK209" s="121">
        <v>0</v>
      </c>
      <c r="EL209" s="149">
        <v>8.025599999999999</v>
      </c>
      <c r="EM209" s="142">
        <v>9.6</v>
      </c>
      <c r="EN209" s="119">
        <v>0</v>
      </c>
      <c r="EO209" s="115">
        <v>18</v>
      </c>
      <c r="EP209" s="115">
        <v>971.88995215311024</v>
      </c>
      <c r="EQ209" s="115">
        <v>76</v>
      </c>
      <c r="ER209" s="115">
        <v>10.199999999999999</v>
      </c>
      <c r="ES209" s="115">
        <v>40</v>
      </c>
      <c r="ET209" s="150">
        <v>0.16551724137931034</v>
      </c>
      <c r="EU209" s="145">
        <f t="shared" si="120"/>
        <v>18</v>
      </c>
      <c r="EV209" s="115">
        <f t="shared" si="121"/>
        <v>22</v>
      </c>
      <c r="EW209" s="115">
        <f t="shared" si="121"/>
        <v>37</v>
      </c>
      <c r="EX209" s="115">
        <f t="shared" si="121"/>
        <v>21</v>
      </c>
      <c r="EY209" s="115" t="str">
        <f t="shared" si="156"/>
        <v>Постоянный</v>
      </c>
      <c r="EZ209" s="115">
        <f t="shared" si="155"/>
        <v>24</v>
      </c>
      <c r="FA209" s="115">
        <f t="shared" si="155"/>
        <v>0</v>
      </c>
      <c r="FB209" s="149">
        <f t="shared" si="123"/>
        <v>7.524</v>
      </c>
      <c r="FC209" s="142">
        <f t="shared" si="123"/>
        <v>9</v>
      </c>
      <c r="FD209" s="119">
        <f t="shared" si="123"/>
        <v>0</v>
      </c>
      <c r="FE209" s="121">
        <f t="shared" si="103"/>
        <v>17.2</v>
      </c>
      <c r="FF209" s="121">
        <f t="shared" si="145"/>
        <v>1010.10101010101</v>
      </c>
      <c r="FG209" s="121">
        <f t="shared" si="124"/>
        <v>76</v>
      </c>
      <c r="FH209" s="121">
        <f t="shared" si="146"/>
        <v>9.6</v>
      </c>
      <c r="FI209" s="121">
        <f t="shared" si="154"/>
        <v>46</v>
      </c>
      <c r="FJ209" s="144">
        <f t="shared" si="125"/>
        <v>0.17307692307692307</v>
      </c>
      <c r="FK209" s="132">
        <f t="shared" si="126"/>
        <v>0</v>
      </c>
      <c r="FL209" s="115">
        <f t="shared" si="126"/>
        <v>-3</v>
      </c>
      <c r="FM209" s="115">
        <f t="shared" si="126"/>
        <v>-2</v>
      </c>
      <c r="FN209" s="115">
        <f t="shared" si="126"/>
        <v>-3</v>
      </c>
      <c r="FO209" s="115">
        <f t="shared" si="150"/>
        <v>0</v>
      </c>
      <c r="FP209" s="115">
        <f t="shared" si="150"/>
        <v>0</v>
      </c>
      <c r="FQ209" s="149">
        <f t="shared" si="150"/>
        <v>-0.50159999999999894</v>
      </c>
      <c r="FR209" s="142">
        <f t="shared" si="148"/>
        <v>-0.59999999999999964</v>
      </c>
      <c r="FS209" s="119">
        <f t="shared" si="148"/>
        <v>0</v>
      </c>
      <c r="FT209" s="121">
        <f t="shared" si="148"/>
        <v>-0.80000000000000071</v>
      </c>
      <c r="FU209" s="121">
        <f t="shared" si="127"/>
        <v>0</v>
      </c>
      <c r="FV209" s="121">
        <f t="shared" si="127"/>
        <v>-0.59999999999999964</v>
      </c>
      <c r="FW209" s="121">
        <f t="shared" si="128"/>
        <v>38.211057947899803</v>
      </c>
      <c r="FX209" s="121">
        <f t="shared" si="129"/>
        <v>6</v>
      </c>
      <c r="FY209" s="144">
        <f t="shared" si="129"/>
        <v>7.5596816976127301E-3</v>
      </c>
      <c r="FZ209" s="145"/>
      <c r="GA209" s="151"/>
      <c r="GB209" s="145"/>
      <c r="GC209" s="151" t="s">
        <v>964</v>
      </c>
      <c r="GD209" s="997" t="s">
        <v>220</v>
      </c>
      <c r="GE209" s="1004"/>
      <c r="GF209" s="1004">
        <v>0</v>
      </c>
      <c r="GG209" s="1004"/>
      <c r="GH209" s="1004">
        <v>0</v>
      </c>
      <c r="GI209" s="145"/>
      <c r="GJ209" s="996">
        <v>-0.50159999999999982</v>
      </c>
      <c r="GK209" s="145"/>
      <c r="GL209" s="996">
        <v>-0.90287999999999968</v>
      </c>
      <c r="GM209" s="1005"/>
      <c r="GN209" s="996">
        <v>6.6879999999999384E-2</v>
      </c>
      <c r="GO209" s="1006" t="s">
        <v>203</v>
      </c>
      <c r="GP209" s="996">
        <v>1.0031999999999996</v>
      </c>
      <c r="GQ209" s="1006"/>
      <c r="GR209" s="996">
        <v>0</v>
      </c>
      <c r="GS209" s="1006"/>
      <c r="GT209" s="996">
        <v>0.83599999999999941</v>
      </c>
      <c r="GU209" s="1006"/>
      <c r="GV209" s="996">
        <v>0</v>
      </c>
      <c r="GW209" s="1006"/>
      <c r="GX209" s="1036">
        <v>8.3599999999999675E-2</v>
      </c>
      <c r="GY209" s="1006"/>
      <c r="GZ209" s="996">
        <v>-0.8360000000000003</v>
      </c>
      <c r="HA209" s="1006" t="s">
        <v>203</v>
      </c>
      <c r="HB209" s="996">
        <v>-1.1285999999999987</v>
      </c>
      <c r="HC209" s="1006" t="s">
        <v>203</v>
      </c>
      <c r="HD209" s="996">
        <v>-5.1203077200000013</v>
      </c>
      <c r="HE209" s="1006" t="s">
        <v>308</v>
      </c>
      <c r="HF209" s="996">
        <v>5.9981077200000019</v>
      </c>
      <c r="HG209" s="1006"/>
      <c r="HH209" s="996">
        <v>0</v>
      </c>
      <c r="HI209" s="1006"/>
      <c r="HJ209" s="996">
        <v>-0.91960000000000086</v>
      </c>
      <c r="HK209" s="1006"/>
      <c r="HL209" s="996">
        <v>0</v>
      </c>
      <c r="HM209" s="1006"/>
      <c r="HN209" s="996">
        <v>0</v>
      </c>
      <c r="HO209" s="1006" t="s">
        <v>199</v>
      </c>
      <c r="HP209" s="996">
        <v>-2.2571999999999992</v>
      </c>
      <c r="HQ209" s="1006" t="s">
        <v>199</v>
      </c>
      <c r="HR209" s="996">
        <v>1.1285999999999987</v>
      </c>
      <c r="HS209" s="1006"/>
      <c r="HT209" s="996">
        <v>0</v>
      </c>
      <c r="HU209" s="1006"/>
      <c r="HV209" s="996">
        <v>0.54340000000000011</v>
      </c>
      <c r="HW209" s="1006"/>
      <c r="HX209" s="996">
        <v>0</v>
      </c>
      <c r="HY209" s="1006" t="s">
        <v>241</v>
      </c>
      <c r="HZ209" s="996">
        <v>-3.3439999999999994</v>
      </c>
      <c r="IA209" s="1006"/>
      <c r="IB209" s="996">
        <v>0</v>
      </c>
      <c r="IC209" s="1006" t="s">
        <v>204</v>
      </c>
      <c r="ID209" s="996">
        <v>3.7620000000000005</v>
      </c>
      <c r="IE209" s="1006"/>
      <c r="IF209" s="996">
        <v>0</v>
      </c>
      <c r="IG209" s="1006"/>
      <c r="IH209" s="996">
        <v>0</v>
      </c>
      <c r="II209" s="1006"/>
      <c r="IJ209" s="996">
        <v>0</v>
      </c>
      <c r="IK209" s="1006"/>
      <c r="IL209" s="996">
        <v>0</v>
      </c>
      <c r="IM209" s="1006" t="s">
        <v>199</v>
      </c>
      <c r="IN209" s="996">
        <v>3.0095999999999989</v>
      </c>
      <c r="IO209" s="1006"/>
      <c r="IP209" s="996">
        <v>0</v>
      </c>
      <c r="IQ209" s="1006"/>
      <c r="IR209" s="996">
        <v>0.75240000000000062</v>
      </c>
      <c r="IS209" s="1006"/>
      <c r="IT209" s="996">
        <v>0</v>
      </c>
      <c r="IU209" s="1006"/>
      <c r="IV209" s="996">
        <v>-0.8360000000000003</v>
      </c>
      <c r="IW209" s="1006"/>
      <c r="IX209" s="996">
        <v>0</v>
      </c>
      <c r="IY209" s="1006" t="s">
        <v>223</v>
      </c>
      <c r="IZ209" s="996">
        <v>-1.9978310000000006</v>
      </c>
      <c r="JA209" s="1006"/>
      <c r="JB209" s="996">
        <v>0</v>
      </c>
      <c r="JC209" s="1006"/>
      <c r="JD209" s="996">
        <v>0</v>
      </c>
      <c r="JE209" s="1006"/>
      <c r="JF209" s="996">
        <v>0</v>
      </c>
      <c r="JG209" s="1006" t="s">
        <v>223</v>
      </c>
      <c r="JH209" s="996">
        <v>-2.0484925999999994</v>
      </c>
      <c r="JI209" s="1006" t="s">
        <v>203</v>
      </c>
      <c r="JJ209" s="996">
        <v>-5.4763851999999993</v>
      </c>
      <c r="JK209" s="1007" t="s">
        <v>203</v>
      </c>
      <c r="JL209" s="1007">
        <v>-6.6933503999999999</v>
      </c>
      <c r="JM209" s="1007"/>
      <c r="JN209" s="1007">
        <v>0</v>
      </c>
      <c r="JO209" s="1008" t="s">
        <v>25</v>
      </c>
      <c r="JP209" s="1007">
        <v>22.904059199999999</v>
      </c>
      <c r="JQ209" s="1008">
        <v>0</v>
      </c>
      <c r="JR209" s="1007">
        <v>0</v>
      </c>
      <c r="JS209" s="1008">
        <v>0</v>
      </c>
      <c r="JT209" s="1007">
        <v>0</v>
      </c>
      <c r="JU209" s="1008"/>
      <c r="JV209" s="1007">
        <v>0</v>
      </c>
      <c r="JW209" s="1008" t="s">
        <v>197</v>
      </c>
      <c r="JX209" s="1007">
        <v>-2.508</v>
      </c>
      <c r="JY209" s="1008"/>
      <c r="JZ209" s="1007">
        <v>0</v>
      </c>
      <c r="KA209" s="1008"/>
      <c r="KB209" s="1007">
        <v>0</v>
      </c>
      <c r="KC209" s="1008"/>
      <c r="KD209" s="1007">
        <v>0</v>
      </c>
      <c r="KE209" s="1008" t="s">
        <v>204</v>
      </c>
      <c r="KF209" s="1007">
        <v>0.83600000000000008</v>
      </c>
      <c r="KG209" s="1008"/>
      <c r="KH209" s="1007">
        <v>0</v>
      </c>
      <c r="KI209" s="1008"/>
      <c r="KJ209" s="1007">
        <v>0</v>
      </c>
      <c r="KK209" s="1008"/>
      <c r="KL209" s="1007">
        <v>0</v>
      </c>
      <c r="KM209" s="1008" t="s">
        <v>314</v>
      </c>
      <c r="KN209" s="1007">
        <v>-2.508</v>
      </c>
      <c r="KO209" s="1008" t="s">
        <v>314</v>
      </c>
      <c r="KP209" s="1007">
        <v>2.9259999999999997</v>
      </c>
      <c r="KQ209" s="1008">
        <v>0</v>
      </c>
      <c r="KR209" s="1007">
        <v>0</v>
      </c>
      <c r="KS209" s="1008">
        <v>0</v>
      </c>
      <c r="KT209" s="1007">
        <v>0</v>
      </c>
      <c r="KU209" s="1008" t="s">
        <v>260</v>
      </c>
      <c r="KV209" s="1007">
        <v>1.254</v>
      </c>
      <c r="KW209" s="1008">
        <v>0</v>
      </c>
      <c r="KX209" s="1007">
        <v>0</v>
      </c>
      <c r="KY209" s="1008">
        <v>0</v>
      </c>
      <c r="KZ209" s="1007">
        <v>0</v>
      </c>
      <c r="LA209" s="1008">
        <v>0</v>
      </c>
      <c r="LB209" s="1007">
        <v>0</v>
      </c>
      <c r="LC209" s="1008">
        <v>0</v>
      </c>
      <c r="LD209" s="1007">
        <v>0</v>
      </c>
      <c r="LE209" s="1008">
        <v>0</v>
      </c>
      <c r="LF209" s="1007">
        <v>0</v>
      </c>
      <c r="LG209" s="1008">
        <v>0</v>
      </c>
      <c r="LH209" s="1007">
        <v>-1.6719999999999999</v>
      </c>
      <c r="LI209" s="1008">
        <v>0</v>
      </c>
      <c r="LJ209" s="1007">
        <v>0</v>
      </c>
      <c r="LK209" s="1008">
        <v>0</v>
      </c>
      <c r="LL209" s="1007">
        <v>0</v>
      </c>
      <c r="LM209" s="1008">
        <v>0</v>
      </c>
      <c r="LN209" s="1007">
        <v>0</v>
      </c>
      <c r="LO209" s="1008">
        <v>0</v>
      </c>
      <c r="LP209" s="1007">
        <v>0</v>
      </c>
      <c r="LQ209" s="1008">
        <v>0</v>
      </c>
      <c r="LR209" s="1007">
        <v>0</v>
      </c>
      <c r="LS209" s="1008">
        <v>0</v>
      </c>
      <c r="LT209" s="1007">
        <v>0</v>
      </c>
      <c r="LU209" s="1008">
        <v>0</v>
      </c>
      <c r="LV209" s="1007">
        <v>0</v>
      </c>
      <c r="LW209" s="1008">
        <v>0</v>
      </c>
      <c r="LX209" s="1007">
        <v>0</v>
      </c>
      <c r="LY209" s="1009">
        <v>0</v>
      </c>
      <c r="LZ209" s="1010">
        <v>0</v>
      </c>
      <c r="MA209" s="1011">
        <v>0</v>
      </c>
      <c r="MB209" s="1012">
        <v>0</v>
      </c>
      <c r="MC209" s="995"/>
      <c r="MD209" s="996"/>
      <c r="ME209" s="997" t="s">
        <v>220</v>
      </c>
      <c r="MF209" s="997"/>
      <c r="MG209" s="998"/>
      <c r="NR209" s="1000"/>
      <c r="NS209" s="1000"/>
      <c r="NT209" s="1001"/>
      <c r="NU209" s="1000"/>
      <c r="NV209" s="1001"/>
      <c r="NX209" s="1002"/>
      <c r="NZ209" s="1001"/>
      <c r="OA209" s="1001"/>
      <c r="OC209" s="1003"/>
      <c r="OD209" s="1003"/>
      <c r="OE209" s="1001"/>
      <c r="OF209" s="1003"/>
      <c r="OG209" s="1003"/>
      <c r="QX209" s="1000">
        <f>CN209-CA209</f>
        <v>24</v>
      </c>
      <c r="ASU209" s="999" t="s">
        <v>208</v>
      </c>
    </row>
    <row r="210" spans="1:466 1191:1191" ht="21" customHeight="1" x14ac:dyDescent="0.25">
      <c r="A210" s="982" t="str">
        <f t="shared" si="104"/>
        <v>1106-2</v>
      </c>
      <c r="B210" s="124">
        <f>SUBTOTAL(103,$J$29:J210)</f>
        <v>182</v>
      </c>
      <c r="C210" s="126">
        <v>45068</v>
      </c>
      <c r="D210" s="124" t="s">
        <v>176</v>
      </c>
      <c r="E210" s="127" t="s">
        <v>177</v>
      </c>
      <c r="F210" s="128" t="s">
        <v>177</v>
      </c>
      <c r="G210" s="127" t="s">
        <v>178</v>
      </c>
      <c r="H210" s="127" t="s">
        <v>179</v>
      </c>
      <c r="I210" s="127" t="s">
        <v>481</v>
      </c>
      <c r="J210" s="152" t="s">
        <v>1013</v>
      </c>
      <c r="K210" s="127" t="s">
        <v>1014</v>
      </c>
      <c r="L210" s="130">
        <v>41954</v>
      </c>
      <c r="M210" s="127" t="s">
        <v>230</v>
      </c>
      <c r="N210" s="127" t="s">
        <v>184</v>
      </c>
      <c r="O210" s="127" t="s">
        <v>185</v>
      </c>
      <c r="P210" s="127" t="s">
        <v>186</v>
      </c>
      <c r="Q210" s="85" t="str">
        <f t="shared" si="158"/>
        <v/>
      </c>
      <c r="R210" s="130"/>
      <c r="S210" s="128"/>
      <c r="T210" s="131"/>
      <c r="U210" s="132">
        <v>203</v>
      </c>
      <c r="V210" s="121">
        <v>218.2</v>
      </c>
      <c r="W210" s="116">
        <v>0.98</v>
      </c>
      <c r="X210" s="116">
        <v>1.66</v>
      </c>
      <c r="Y210" s="116">
        <f t="shared" si="137"/>
        <v>0.98008029573507216</v>
      </c>
      <c r="Z210" s="133">
        <v>1.454</v>
      </c>
      <c r="AA210" s="133">
        <v>0.83599999999999997</v>
      </c>
      <c r="AB210" s="133">
        <v>0.72</v>
      </c>
      <c r="AC210" s="121">
        <v>34.299999999999997</v>
      </c>
      <c r="AD210" s="134">
        <v>1.17</v>
      </c>
      <c r="AE210" s="124" t="s">
        <v>518</v>
      </c>
      <c r="AF210" s="128">
        <v>9.19</v>
      </c>
      <c r="AG210" s="128">
        <v>2211.1</v>
      </c>
      <c r="AH210" s="127">
        <v>2957</v>
      </c>
      <c r="AI210" s="127">
        <v>2957</v>
      </c>
      <c r="AJ210" s="135"/>
      <c r="AK210" s="128"/>
      <c r="AL210" s="131"/>
      <c r="AM210" s="124" t="s">
        <v>187</v>
      </c>
      <c r="AN210" s="136" t="s">
        <v>1015</v>
      </c>
      <c r="AO210" s="137">
        <v>108</v>
      </c>
      <c r="AP210" s="128">
        <v>2243.6</v>
      </c>
      <c r="AQ210" s="128">
        <v>440.25</v>
      </c>
      <c r="AR210" s="128" t="s">
        <v>1016</v>
      </c>
      <c r="AS210" s="128">
        <v>114</v>
      </c>
      <c r="AT210" s="122">
        <v>7.37</v>
      </c>
      <c r="AU210" s="124" t="s">
        <v>189</v>
      </c>
      <c r="AV210" s="115">
        <f>VLOOKUP(J210,'[63]ТР нефть'!$J$28:$BP$638,39,0)</f>
        <v>599.99999062500001</v>
      </c>
      <c r="AW210" s="115" t="str">
        <f>VLOOKUP(J210,'[63]ТР нефть'!$J$28:$BP$638,40,0)</f>
        <v>ГК 82 1/8</v>
      </c>
      <c r="AX210" s="115">
        <f>VLOOKUP(J210,'[63]ТР нефть'!$J$28:$BP$638,41,0)</f>
        <v>1199.99998125</v>
      </c>
      <c r="AY210" s="115" t="str">
        <f>VLOOKUP(J210,'[63]ТР нефть'!$J$28:$BP$638,42,0)</f>
        <v>ГК 75 1/8</v>
      </c>
      <c r="AZ210" s="115">
        <f>VLOOKUP(J210,'[63]ТР нефть'!$J$28:$BP$638,43,0)</f>
        <v>1499.999976563</v>
      </c>
      <c r="BA210" s="115" t="str">
        <f>VLOOKUP(J210,'[63]ТР нефть'!$J$28:$BP$638,44,0)</f>
        <v>ГК 74 1/8</v>
      </c>
      <c r="BB210" s="115">
        <f>VLOOKUP(J210,'[63]ТР нефть'!$J$28:$BP$638,45,0)</f>
        <v>1699.9999734380001</v>
      </c>
      <c r="BC210" s="115" t="str">
        <f>VLOOKUP(J210,'[63]ТР нефть'!$J$28:$BP$638,46,0)</f>
        <v>ЦКсОК 5/16</v>
      </c>
      <c r="BD210" s="115" t="str">
        <f>VLOOKUP(J210,'[63]ТР нефть'!$J$28:$BP$638,47,0)</f>
        <v>-</v>
      </c>
      <c r="BE210" s="115" t="str">
        <f>VLOOKUP(J210,'[63]ТР нефть'!$J$28:$BP$638,48,0)</f>
        <v>-</v>
      </c>
      <c r="BF210" s="115" t="str">
        <f>VLOOKUP(J210,'[63]ТР нефть'!$J$28:$BP$638,49,0)</f>
        <v>-</v>
      </c>
      <c r="BG210" s="115" t="str">
        <f>VLOOKUP(J210,'[63]ТР нефть'!$J$28:$BP$638,50,0)</f>
        <v>-</v>
      </c>
      <c r="BH210" s="115">
        <f>VLOOKUP(J210,'[63]ТР нефть'!$J$28:$BP$638,51,0)</f>
        <v>1700</v>
      </c>
      <c r="BI210" s="115" t="str">
        <f>VLOOKUP(J210,'[63]ТР нефть'!$J$28:$BP$638,52,0)</f>
        <v>открыт</v>
      </c>
      <c r="BJ210" s="115" t="str">
        <f>IF(IFERROR(VLOOKUP(J210,'[63]ТР нефть'!$J$28:$BP$638,53,0),"-")=0,"-",IFERROR(VLOOKUP(J210,'[63]ТР нефть'!$J$28:$BP$638,53,0),"-"))</f>
        <v>-</v>
      </c>
      <c r="BK210" s="138" t="str">
        <f>IF(IFERROR(VLOOKUP(J210,'[63]ТР нефть'!$J$28:$BP$638,54,0),"-")=0,"-",IFERROR(VLOOKUP(J210,'[63]ТР нефть'!$J$28:$BP$638,54,0),"-"))</f>
        <v>-</v>
      </c>
      <c r="BL210" s="138" t="str">
        <f>IF(IFERROR(VLOOKUP(J210,'[63]ТР нефть'!$J$28:$BP$638,55,0),"-")=0,"-",IFERROR(VLOOKUP(J210,'[63]ТР нефть'!$J$28:$BP$638,55,0),"-"))</f>
        <v>-</v>
      </c>
      <c r="BM210" s="138" t="str">
        <f>IF(IFERROR(VLOOKUP(J210,'[63]ТР нефть'!$J$28:$BP$638,56,0),"-")=0,"-",IFERROR(VLOOKUP(J210,'[63]ТР нефть'!$J$28:$BP$638,56,0),"-"))</f>
        <v>-</v>
      </c>
      <c r="BN210" s="138" t="str">
        <f>IF(IFERROR(VLOOKUP(J210,'[63]ТР нефть'!$J$28:$BP$638,57,0),"-")=0,"-",IFERROR(VLOOKUP(J210,'[63]ТР нефть'!$J$28:$BP$638,57,0),"-"))</f>
        <v>-</v>
      </c>
      <c r="BO210" s="115" t="str">
        <f>IF(IFERROR(VLOOKUP(J210,'[63]ТР нефть'!$J$28:$BP$638,58,0),"-")=0,"-",IFERROR(VLOOKUP(J210,'[63]ТР нефть'!$J$28:$BP$638,58,0),"-"))</f>
        <v>-</v>
      </c>
      <c r="BP210" s="115" t="str">
        <f>IF(IFERROR(VLOOKUP(J210,'[63]ТР нефть'!$J$28:$BP$638,59,0),"-")=0,"-",IFERROR(VLOOKUP(J210,'[63]ТР нефть'!$J$28:$BP$638,59,0),"-"))</f>
        <v>-</v>
      </c>
      <c r="BQ210" s="138">
        <v>2142</v>
      </c>
      <c r="BR210" s="128">
        <v>1741.93</v>
      </c>
      <c r="BS210" s="115">
        <f t="shared" si="105"/>
        <v>400.06999999999994</v>
      </c>
      <c r="BT210" s="128">
        <v>73</v>
      </c>
      <c r="BU210" s="128">
        <v>5.5</v>
      </c>
      <c r="BV210" s="127">
        <v>65</v>
      </c>
      <c r="BW210" s="127" t="s">
        <v>217</v>
      </c>
      <c r="BX210" s="127" t="s">
        <v>218</v>
      </c>
      <c r="BY210" s="139">
        <v>24</v>
      </c>
      <c r="BZ210" s="139">
        <v>24</v>
      </c>
      <c r="CA210" s="80">
        <v>27</v>
      </c>
      <c r="CB210" s="138">
        <v>37</v>
      </c>
      <c r="CC210" s="138">
        <v>26</v>
      </c>
      <c r="CD210" s="135">
        <v>45017</v>
      </c>
      <c r="CE210" s="138">
        <v>86</v>
      </c>
      <c r="CF210" s="138">
        <v>72</v>
      </c>
      <c r="CG210" s="138" t="str">
        <f t="shared" si="153"/>
        <v>В работе</v>
      </c>
      <c r="CH210" s="138" t="s">
        <v>196</v>
      </c>
      <c r="CI210" s="127"/>
      <c r="CJ210" s="138"/>
      <c r="CK210" s="138">
        <f t="shared" si="157"/>
        <v>43</v>
      </c>
      <c r="CL210" s="99"/>
      <c r="CM210" s="99"/>
      <c r="CN210" s="140">
        <v>70</v>
      </c>
      <c r="CO210" s="141">
        <f t="shared" si="106"/>
        <v>3.4269144799999993</v>
      </c>
      <c r="CP210" s="142">
        <v>4.0999999999999996</v>
      </c>
      <c r="CQ210" s="143">
        <v>0.02</v>
      </c>
      <c r="CR210" s="138">
        <v>8</v>
      </c>
      <c r="CS210" s="139">
        <v>3.6</v>
      </c>
      <c r="CT210" s="138"/>
      <c r="CU210" s="138">
        <f t="shared" si="159"/>
        <v>4.4000000000000004</v>
      </c>
      <c r="CV210" s="115">
        <f t="shared" si="160"/>
        <v>1283.9538382644439</v>
      </c>
      <c r="CW210" s="115">
        <f t="shared" si="109"/>
        <v>1050.2166824562858</v>
      </c>
      <c r="CX210" s="133">
        <f t="shared" si="161"/>
        <v>0.25624999999999998</v>
      </c>
      <c r="CY210" s="116"/>
      <c r="CZ210" s="131"/>
      <c r="DA210" s="145" t="str">
        <f t="shared" si="111"/>
        <v>Газлифт</v>
      </c>
      <c r="DB210" s="146">
        <f t="shared" si="112"/>
        <v>3.4269144799999993</v>
      </c>
      <c r="DC210" s="142">
        <f t="shared" si="151"/>
        <v>4.0999999999999996</v>
      </c>
      <c r="DD210" s="119">
        <f t="shared" si="152"/>
        <v>0.02</v>
      </c>
      <c r="DE210" s="115">
        <f t="shared" si="115"/>
        <v>4.4000000000000004</v>
      </c>
      <c r="DF210" s="121">
        <f t="shared" si="116"/>
        <v>3.6</v>
      </c>
      <c r="DG210" s="115">
        <f t="shared" si="117"/>
        <v>1283.9538382644439</v>
      </c>
      <c r="DH210" s="115">
        <f t="shared" si="118"/>
        <v>70</v>
      </c>
      <c r="DI210" s="147"/>
      <c r="DJ210" s="111" t="s">
        <v>197</v>
      </c>
      <c r="DK210" s="112">
        <v>41948</v>
      </c>
      <c r="DL210" s="113">
        <f t="shared" ca="1" si="138"/>
        <v>3156</v>
      </c>
      <c r="DM210" s="114"/>
      <c r="DN210" s="114"/>
      <c r="DO210" s="114"/>
      <c r="DP210" s="114"/>
      <c r="DQ210" s="112">
        <v>41954</v>
      </c>
      <c r="DR210" s="114" t="s">
        <v>324</v>
      </c>
      <c r="DS210" s="114"/>
      <c r="DT210" s="115">
        <v>49</v>
      </c>
      <c r="DU210" s="116">
        <f t="shared" si="139"/>
        <v>0.22593309859154931</v>
      </c>
      <c r="DV210" s="117">
        <f t="shared" si="140"/>
        <v>6.9871648931126771</v>
      </c>
      <c r="DW210" s="118">
        <f t="shared" si="141"/>
        <v>8.3595246478873246</v>
      </c>
      <c r="DX210" s="119">
        <f t="shared" si="119"/>
        <v>0.02</v>
      </c>
      <c r="DY210" s="115">
        <f t="shared" si="142"/>
        <v>8.9711971830985942</v>
      </c>
      <c r="DZ210" s="117">
        <f t="shared" si="143"/>
        <v>3.5602504131126778</v>
      </c>
      <c r="EA210" s="120">
        <f t="shared" si="143"/>
        <v>4.259524647887325</v>
      </c>
      <c r="EB210" s="119">
        <f t="shared" si="143"/>
        <v>0</v>
      </c>
      <c r="EC210" s="121">
        <f t="shared" si="144"/>
        <v>4.5711971830985938</v>
      </c>
      <c r="ED210" s="122"/>
      <c r="EE210" s="145">
        <v>65</v>
      </c>
      <c r="EF210" s="148">
        <v>27</v>
      </c>
      <c r="EG210" s="115">
        <v>37</v>
      </c>
      <c r="EH210" s="115">
        <v>26</v>
      </c>
      <c r="EI210" s="128" t="s">
        <v>218</v>
      </c>
      <c r="EJ210" s="121">
        <v>24</v>
      </c>
      <c r="EK210" s="121">
        <v>24</v>
      </c>
      <c r="EL210" s="149">
        <v>3.4269144799999993</v>
      </c>
      <c r="EM210" s="142">
        <v>4.0999999999999996</v>
      </c>
      <c r="EN210" s="119">
        <v>0.02</v>
      </c>
      <c r="EO210" s="115">
        <v>8</v>
      </c>
      <c r="EP210" s="115">
        <v>1283.9538382644439</v>
      </c>
      <c r="EQ210" s="115">
        <v>72</v>
      </c>
      <c r="ER210" s="115">
        <v>3.6</v>
      </c>
      <c r="ES210" s="115">
        <v>70</v>
      </c>
      <c r="ET210" s="150">
        <v>0.25624999999999998</v>
      </c>
      <c r="EU210" s="145">
        <f t="shared" si="120"/>
        <v>65</v>
      </c>
      <c r="EV210" s="115">
        <f t="shared" si="121"/>
        <v>27</v>
      </c>
      <c r="EW210" s="115">
        <f t="shared" si="121"/>
        <v>37</v>
      </c>
      <c r="EX210" s="115">
        <f t="shared" si="121"/>
        <v>26</v>
      </c>
      <c r="EY210" s="115" t="str">
        <f t="shared" si="156"/>
        <v>Периодический</v>
      </c>
      <c r="EZ210" s="115">
        <f t="shared" si="155"/>
        <v>24</v>
      </c>
      <c r="FA210" s="115">
        <f t="shared" si="155"/>
        <v>24</v>
      </c>
      <c r="FB210" s="149">
        <f t="shared" si="123"/>
        <v>3.4269144799999993</v>
      </c>
      <c r="FC210" s="142">
        <f t="shared" si="123"/>
        <v>4.0999999999999996</v>
      </c>
      <c r="FD210" s="119">
        <f t="shared" si="123"/>
        <v>0.02</v>
      </c>
      <c r="FE210" s="121">
        <f t="shared" si="103"/>
        <v>8</v>
      </c>
      <c r="FF210" s="121">
        <f t="shared" si="145"/>
        <v>1283.9538382644439</v>
      </c>
      <c r="FG210" s="121">
        <f t="shared" si="124"/>
        <v>72</v>
      </c>
      <c r="FH210" s="121">
        <f t="shared" si="146"/>
        <v>3.6</v>
      </c>
      <c r="FI210" s="121">
        <f t="shared" si="154"/>
        <v>70</v>
      </c>
      <c r="FJ210" s="144">
        <f t="shared" si="125"/>
        <v>0.25624999999999998</v>
      </c>
      <c r="FK210" s="132">
        <f t="shared" si="126"/>
        <v>0</v>
      </c>
      <c r="FL210" s="115">
        <f t="shared" si="126"/>
        <v>0</v>
      </c>
      <c r="FM210" s="115">
        <f t="shared" si="126"/>
        <v>0</v>
      </c>
      <c r="FN210" s="115">
        <f t="shared" si="126"/>
        <v>0</v>
      </c>
      <c r="FO210" s="115">
        <f t="shared" si="150"/>
        <v>0</v>
      </c>
      <c r="FP210" s="115">
        <f t="shared" si="150"/>
        <v>0</v>
      </c>
      <c r="FQ210" s="149">
        <f t="shared" si="150"/>
        <v>0</v>
      </c>
      <c r="FR210" s="142">
        <f t="shared" si="148"/>
        <v>0</v>
      </c>
      <c r="FS210" s="119">
        <f t="shared" si="148"/>
        <v>0</v>
      </c>
      <c r="FT210" s="121">
        <f t="shared" si="148"/>
        <v>0</v>
      </c>
      <c r="FU210" s="121">
        <f t="shared" si="127"/>
        <v>0</v>
      </c>
      <c r="FV210" s="121">
        <f t="shared" si="127"/>
        <v>0</v>
      </c>
      <c r="FW210" s="121">
        <f t="shared" si="128"/>
        <v>0</v>
      </c>
      <c r="FX210" s="121">
        <f t="shared" si="129"/>
        <v>0</v>
      </c>
      <c r="FY210" s="144">
        <f t="shared" si="129"/>
        <v>0</v>
      </c>
      <c r="FZ210" s="145"/>
      <c r="GA210" s="125"/>
      <c r="GB210" s="145"/>
      <c r="GC210" s="125"/>
      <c r="GD210" s="997" t="s">
        <v>202</v>
      </c>
      <c r="GE210" s="1004"/>
      <c r="GF210" s="1004">
        <v>3.3590479999999978E-2</v>
      </c>
      <c r="GG210" s="1004"/>
      <c r="GH210" s="1004">
        <v>0</v>
      </c>
      <c r="GI210" s="145"/>
      <c r="GJ210" s="996">
        <v>0.88532399999999933</v>
      </c>
      <c r="GK210" s="145"/>
      <c r="GL210" s="996">
        <v>0</v>
      </c>
      <c r="GM210" s="1005"/>
      <c r="GN210" s="996">
        <v>0</v>
      </c>
      <c r="GO210" s="1006"/>
      <c r="GP210" s="996">
        <v>-0.75239999999999974</v>
      </c>
      <c r="GQ210" s="1006"/>
      <c r="GR210" s="996">
        <v>0.75239999999999974</v>
      </c>
      <c r="GS210" s="1006"/>
      <c r="GT210" s="996">
        <v>0</v>
      </c>
      <c r="GU210" s="1006" t="s">
        <v>199</v>
      </c>
      <c r="GV210" s="996">
        <v>-1.1285999999999996</v>
      </c>
      <c r="GW210" s="1006"/>
      <c r="GX210" s="1035">
        <v>0</v>
      </c>
      <c r="GY210" s="1006"/>
      <c r="GZ210" s="996">
        <v>0</v>
      </c>
      <c r="HA210" s="1006"/>
      <c r="HB210" s="996">
        <v>-0.31550957680000025</v>
      </c>
      <c r="HC210" s="1006" t="s">
        <v>223</v>
      </c>
      <c r="HD210" s="996">
        <v>-1.0117440872000003</v>
      </c>
      <c r="HE210" s="1006" t="s">
        <v>199</v>
      </c>
      <c r="HF210" s="996">
        <v>2.5822067040000003</v>
      </c>
      <c r="HG210" s="1006" t="s">
        <v>199</v>
      </c>
      <c r="HH210" s="996">
        <v>-1.3803530400000001</v>
      </c>
      <c r="HI210" s="1006"/>
      <c r="HJ210" s="996">
        <v>0</v>
      </c>
      <c r="HK210" s="1006"/>
      <c r="HL210" s="996">
        <v>0</v>
      </c>
      <c r="HM210" s="1006" t="s">
        <v>199</v>
      </c>
      <c r="HN210" s="996">
        <v>1.9227999999999998</v>
      </c>
      <c r="HO210" s="1006" t="s">
        <v>199</v>
      </c>
      <c r="HP210" s="996">
        <v>-1.9368322599999994</v>
      </c>
      <c r="HQ210" s="1006"/>
      <c r="HR210" s="996">
        <v>-0.47674822800000038</v>
      </c>
      <c r="HS210" s="1006"/>
      <c r="HT210" s="996">
        <v>0</v>
      </c>
      <c r="HU210" s="1006" t="s">
        <v>199</v>
      </c>
      <c r="HV210" s="996">
        <v>1.5286744880000001</v>
      </c>
      <c r="HW210" s="1006" t="s">
        <v>199</v>
      </c>
      <c r="HX210" s="996">
        <v>-2.52072392</v>
      </c>
      <c r="HY210" s="1006"/>
      <c r="HZ210" s="996">
        <v>0</v>
      </c>
      <c r="IA210" s="1006"/>
      <c r="IB210" s="996">
        <v>0</v>
      </c>
      <c r="IC210" s="1006"/>
      <c r="ID210" s="996">
        <v>-0.63459088000000019</v>
      </c>
      <c r="IE210" s="1006"/>
      <c r="IF210" s="996">
        <v>0.46770020000000034</v>
      </c>
      <c r="IG210" s="1006"/>
      <c r="IH210" s="996">
        <v>0</v>
      </c>
      <c r="II210" s="1006"/>
      <c r="IJ210" s="996">
        <v>0.8325724000000001</v>
      </c>
      <c r="IK210" s="1006"/>
      <c r="IL210" s="996">
        <v>0</v>
      </c>
      <c r="IM210" s="1006"/>
      <c r="IN210" s="996">
        <v>0</v>
      </c>
      <c r="IO210" s="1006"/>
      <c r="IP210" s="996">
        <v>0</v>
      </c>
      <c r="IQ210" s="1006"/>
      <c r="IR210" s="996">
        <v>-0.8325724000000001</v>
      </c>
      <c r="IS210" s="1006"/>
      <c r="IT210" s="996">
        <v>0</v>
      </c>
      <c r="IU210" s="1006"/>
      <c r="IV210" s="996">
        <v>0</v>
      </c>
      <c r="IW210" s="1006"/>
      <c r="IX210" s="996">
        <v>0</v>
      </c>
      <c r="IY210" s="1006"/>
      <c r="IZ210" s="996">
        <v>0</v>
      </c>
      <c r="JA210" s="1006"/>
      <c r="JB210" s="996">
        <v>0</v>
      </c>
      <c r="JC210" s="1006"/>
      <c r="JD210" s="996">
        <v>0</v>
      </c>
      <c r="JE210" s="1006"/>
      <c r="JF210" s="996">
        <v>0</v>
      </c>
      <c r="JG210" s="1006"/>
      <c r="JH210" s="996">
        <v>0</v>
      </c>
      <c r="JI210" s="1006"/>
      <c r="JJ210" s="996">
        <v>0</v>
      </c>
      <c r="JK210" s="1007"/>
      <c r="JL210" s="1007">
        <v>0</v>
      </c>
      <c r="JM210" s="1007"/>
      <c r="JN210" s="1007">
        <v>0</v>
      </c>
      <c r="JO210" s="1008"/>
      <c r="JP210" s="1007">
        <v>0</v>
      </c>
      <c r="JQ210" s="1008">
        <v>0</v>
      </c>
      <c r="JR210" s="1007">
        <v>0</v>
      </c>
      <c r="JS210" s="1008">
        <v>0</v>
      </c>
      <c r="JT210" s="1007">
        <v>0</v>
      </c>
      <c r="JU210" s="1008"/>
      <c r="JV210" s="1007">
        <v>0</v>
      </c>
      <c r="JW210" s="1008" t="s">
        <v>197</v>
      </c>
      <c r="JX210" s="1007">
        <v>0</v>
      </c>
      <c r="JY210" s="1008"/>
      <c r="JZ210" s="1007">
        <v>0</v>
      </c>
      <c r="KA210" s="1008"/>
      <c r="KB210" s="1007">
        <v>0</v>
      </c>
      <c r="KC210" s="1008"/>
      <c r="KD210" s="1007">
        <v>0</v>
      </c>
      <c r="KE210" s="1008" t="s">
        <v>204</v>
      </c>
      <c r="KF210" s="1007">
        <v>-1.2488586000000002</v>
      </c>
      <c r="KG210" s="1008"/>
      <c r="KH210" s="1007">
        <v>0</v>
      </c>
      <c r="KI210" s="1008"/>
      <c r="KJ210" s="1007">
        <v>0</v>
      </c>
      <c r="KK210" s="1008"/>
      <c r="KL210" s="1007">
        <v>0</v>
      </c>
      <c r="KM210" s="1008"/>
      <c r="KN210" s="1007">
        <v>0</v>
      </c>
      <c r="KO210" s="1008" t="s">
        <v>206</v>
      </c>
      <c r="KP210" s="1007">
        <v>0.8325724000000001</v>
      </c>
      <c r="KQ210" s="1008">
        <v>0</v>
      </c>
      <c r="KR210" s="1007">
        <v>0</v>
      </c>
      <c r="KS210" s="1008" t="s">
        <v>204</v>
      </c>
      <c r="KT210" s="1007">
        <v>-1.082344120000001</v>
      </c>
      <c r="KU210" s="1008">
        <v>0</v>
      </c>
      <c r="KV210" s="1007">
        <v>0</v>
      </c>
      <c r="KW210" s="1008" t="s">
        <v>240</v>
      </c>
      <c r="KX210" s="1007">
        <v>-1.2488586000000002</v>
      </c>
      <c r="KY210" s="1008" t="s">
        <v>223</v>
      </c>
      <c r="KZ210" s="1007">
        <v>-2.6642316799999985</v>
      </c>
      <c r="LA210" s="1008" t="s">
        <v>206</v>
      </c>
      <c r="LB210" s="1007">
        <v>-1.5493588000000003</v>
      </c>
      <c r="LC210" s="1008" t="s">
        <v>204</v>
      </c>
      <c r="LD210" s="1007">
        <v>5.3236479999999995</v>
      </c>
      <c r="LE210" s="1008">
        <v>0</v>
      </c>
      <c r="LF210" s="1007">
        <v>0</v>
      </c>
      <c r="LG210" s="1008">
        <v>0</v>
      </c>
      <c r="LH210" s="1007">
        <v>-7.2659267999999999</v>
      </c>
      <c r="LI210" s="1008">
        <v>0</v>
      </c>
      <c r="LJ210" s="1007">
        <v>0</v>
      </c>
      <c r="LK210" s="1008">
        <v>0</v>
      </c>
      <c r="LL210" s="1007">
        <v>0</v>
      </c>
      <c r="LM210" s="1008" t="s">
        <v>555</v>
      </c>
      <c r="LN210" s="1007">
        <v>1.670328</v>
      </c>
      <c r="LO210" s="1008" t="s">
        <v>206</v>
      </c>
      <c r="LP210" s="1007">
        <v>-1.5329520000000001</v>
      </c>
      <c r="LQ210" s="1008">
        <v>0</v>
      </c>
      <c r="LR210" s="1007">
        <v>0.83516400000000002</v>
      </c>
      <c r="LS210" s="1008">
        <v>0</v>
      </c>
      <c r="LT210" s="1007">
        <v>0</v>
      </c>
      <c r="LU210" s="1008" t="s">
        <v>206</v>
      </c>
      <c r="LV210" s="1007">
        <v>-6.1821359999999999</v>
      </c>
      <c r="LW210" s="1008" t="s">
        <v>207</v>
      </c>
      <c r="LX210" s="1007">
        <v>4.9274675999999999</v>
      </c>
      <c r="LY210" s="1009">
        <v>0</v>
      </c>
      <c r="LZ210" s="1010">
        <v>-0.167328</v>
      </c>
      <c r="MA210" s="1011">
        <v>0</v>
      </c>
      <c r="MB210" s="1012">
        <v>0.51983999999990005</v>
      </c>
      <c r="MC210" s="995"/>
      <c r="MD210" s="996"/>
      <c r="ME210" s="997" t="s">
        <v>202</v>
      </c>
      <c r="MF210" s="997"/>
      <c r="MG210" s="998"/>
      <c r="NR210" s="1000"/>
      <c r="NS210" s="1000"/>
      <c r="NT210" s="1001"/>
      <c r="NU210" s="1000"/>
      <c r="NV210" s="1001"/>
      <c r="NX210" s="1002"/>
      <c r="NZ210" s="1001"/>
      <c r="OA210" s="1001"/>
      <c r="OC210" s="1003"/>
      <c r="OD210" s="1003"/>
      <c r="OE210" s="1001"/>
      <c r="OF210" s="1003"/>
      <c r="OG210" s="1003"/>
      <c r="QX210" s="1000">
        <f>CN210-CA210</f>
        <v>43</v>
      </c>
      <c r="ASU210" s="999" t="s">
        <v>225</v>
      </c>
    </row>
    <row r="211" spans="1:466 1191:1191" ht="21" customHeight="1" x14ac:dyDescent="0.25">
      <c r="A211" s="982" t="str">
        <f t="shared" si="104"/>
        <v>1106-1</v>
      </c>
      <c r="B211" s="124">
        <f>SUBTOTAL(103,$J$29:J211)</f>
        <v>183</v>
      </c>
      <c r="C211" s="126">
        <v>45068</v>
      </c>
      <c r="D211" s="124" t="s">
        <v>176</v>
      </c>
      <c r="E211" s="127" t="s">
        <v>177</v>
      </c>
      <c r="F211" s="128" t="s">
        <v>177</v>
      </c>
      <c r="G211" s="127" t="s">
        <v>178</v>
      </c>
      <c r="H211" s="127" t="s">
        <v>179</v>
      </c>
      <c r="I211" s="127" t="s">
        <v>481</v>
      </c>
      <c r="J211" s="152" t="s">
        <v>1017</v>
      </c>
      <c r="K211" s="127" t="s">
        <v>1014</v>
      </c>
      <c r="L211" s="130">
        <v>41901</v>
      </c>
      <c r="M211" s="127" t="s">
        <v>230</v>
      </c>
      <c r="N211" s="127" t="s">
        <v>184</v>
      </c>
      <c r="O211" s="127" t="s">
        <v>185</v>
      </c>
      <c r="P211" s="127" t="s">
        <v>292</v>
      </c>
      <c r="Q211" s="85" t="str">
        <f t="shared" si="158"/>
        <v/>
      </c>
      <c r="R211" s="130"/>
      <c r="S211" s="128"/>
      <c r="T211" s="131"/>
      <c r="U211" s="132">
        <v>203</v>
      </c>
      <c r="V211" s="121">
        <v>218.2</v>
      </c>
      <c r="W211" s="116">
        <v>0.98</v>
      </c>
      <c r="X211" s="116">
        <v>1.66</v>
      </c>
      <c r="Y211" s="116">
        <f t="shared" si="137"/>
        <v>1.2388059701492538</v>
      </c>
      <c r="Z211" s="133">
        <v>1.454</v>
      </c>
      <c r="AA211" s="133">
        <v>0.83599999999999997</v>
      </c>
      <c r="AB211" s="133">
        <v>0.72</v>
      </c>
      <c r="AC211" s="121">
        <v>34.299999999999997</v>
      </c>
      <c r="AD211" s="134">
        <v>1.17</v>
      </c>
      <c r="AE211" s="124">
        <v>177.8</v>
      </c>
      <c r="AF211" s="128">
        <v>9.19</v>
      </c>
      <c r="AG211" s="128">
        <v>2052</v>
      </c>
      <c r="AH211" s="127">
        <v>2660</v>
      </c>
      <c r="AI211" s="127">
        <v>2660</v>
      </c>
      <c r="AJ211" s="135">
        <v>44355</v>
      </c>
      <c r="AK211" s="128" t="s">
        <v>1018</v>
      </c>
      <c r="AL211" s="131"/>
      <c r="AM211" s="124" t="s">
        <v>232</v>
      </c>
      <c r="AN211" s="136" t="s">
        <v>1019</v>
      </c>
      <c r="AO211" s="137">
        <v>17.100000000000001</v>
      </c>
      <c r="AP211" s="128">
        <v>2052</v>
      </c>
      <c r="AQ211" s="128">
        <v>192.29</v>
      </c>
      <c r="AR211" s="128"/>
      <c r="AS211" s="128"/>
      <c r="AT211" s="122"/>
      <c r="AU211" s="124" t="s">
        <v>189</v>
      </c>
      <c r="AV211" s="115">
        <f>VLOOKUP(J211,'[63]ТР нефть'!$J$28:$BP$638,39,0)</f>
        <v>499.99999218800002</v>
      </c>
      <c r="AW211" s="115" t="str">
        <f>VLOOKUP(J211,'[63]ТР нефть'!$J$28:$BP$638,40,0)</f>
        <v>ГП</v>
      </c>
      <c r="AX211" s="115">
        <f>VLOOKUP(J211,'[63]ТР нефть'!$J$28:$BP$638,41,0)</f>
        <v>930.00001523399999</v>
      </c>
      <c r="AY211" s="115" t="str">
        <f>VLOOKUP(J211,'[63]ТР нефть'!$J$28:$BP$638,42,0)</f>
        <v>ГП</v>
      </c>
      <c r="AZ211" s="115">
        <f>VLOOKUP(J211,'[63]ТР нефть'!$J$28:$BP$638,43,0)</f>
        <v>1310.000039063</v>
      </c>
      <c r="BA211" s="115" t="str">
        <f>VLOOKUP(J211,'[63]ТР нефть'!$J$28:$BP$638,44,0)</f>
        <v>ГК 79 1/8</v>
      </c>
      <c r="BB211" s="115">
        <f>VLOOKUP(J211,'[63]ТР нефть'!$J$28:$BP$638,45,0)</f>
        <v>1630.000004297</v>
      </c>
      <c r="BC211" s="115" t="str">
        <f>VLOOKUP(J211,'[63]ТР нефть'!$J$28:$BP$638,46,0)</f>
        <v>ГК 78 1/8</v>
      </c>
      <c r="BD211" s="115">
        <f>VLOOKUP(J211,'[63]ТР нефть'!$J$28:$BP$638,47,0)</f>
        <v>2010.000028125</v>
      </c>
      <c r="BE211" s="115" t="str">
        <f>VLOOKUP(J211,'[63]ТР нефть'!$J$28:$BP$638,48,0)</f>
        <v>ЦКсОК 5/16</v>
      </c>
      <c r="BF211" s="115" t="str">
        <f>VLOOKUP(J211,'[63]ТР нефть'!$J$28:$BP$638,49,0)</f>
        <v>-</v>
      </c>
      <c r="BG211" s="115" t="str">
        <f>VLOOKUP(J211,'[63]ТР нефть'!$J$28:$BP$638,50,0)</f>
        <v>-</v>
      </c>
      <c r="BH211" s="115">
        <f>VLOOKUP(J211,'[63]ТР нефть'!$J$28:$BP$638,51,0)</f>
        <v>1805</v>
      </c>
      <c r="BI211" s="115" t="str">
        <f>VLOOKUP(J211,'[63]ТР нефть'!$J$28:$BP$638,52,0)</f>
        <v>открыт</v>
      </c>
      <c r="BJ211" s="115" t="str">
        <f>IF(IFERROR(VLOOKUP(J211,'[63]ТР нефть'!$J$28:$BP$638,53,0),"-")=0,"-",IFERROR(VLOOKUP(J211,'[63]ТР нефть'!$J$28:$BP$638,53,0),"-"))</f>
        <v>-</v>
      </c>
      <c r="BK211" s="138" t="str">
        <f>IF(IFERROR(VLOOKUP(J211,'[63]ТР нефть'!$J$28:$BP$638,54,0),"-")=0,"-",IFERROR(VLOOKUP(J211,'[63]ТР нефть'!$J$28:$BP$638,54,0),"-"))</f>
        <v>-</v>
      </c>
      <c r="BL211" s="138" t="str">
        <f>IF(IFERROR(VLOOKUP(J211,'[63]ТР нефть'!$J$28:$BP$638,55,0),"-")=0,"-",IFERROR(VLOOKUP(J211,'[63]ТР нефть'!$J$28:$BP$638,55,0),"-"))</f>
        <v>-</v>
      </c>
      <c r="BM211" s="138" t="str">
        <f>IF(IFERROR(VLOOKUP(J211,'[63]ТР нефть'!$J$28:$BP$638,56,0),"-")=0,"-",IFERROR(VLOOKUP(J211,'[63]ТР нефть'!$J$28:$BP$638,56,0),"-"))</f>
        <v>-</v>
      </c>
      <c r="BN211" s="138" t="str">
        <f>IF(IFERROR(VLOOKUP(J211,'[63]ТР нефть'!$J$28:$BP$638,57,0),"-")=0,"-",IFERROR(VLOOKUP(J211,'[63]ТР нефть'!$J$28:$BP$638,57,0),"-"))</f>
        <v>-</v>
      </c>
      <c r="BO211" s="115" t="str">
        <f>IF(IFERROR(VLOOKUP(J211,'[63]ТР нефть'!$J$28:$BP$638,58,0),"-")=0,"-",IFERROR(VLOOKUP(J211,'[63]ТР нефть'!$J$28:$BP$638,58,0),"-"))</f>
        <v>-</v>
      </c>
      <c r="BP211" s="115" t="str">
        <f>IF(IFERROR(VLOOKUP(J211,'[63]ТР нефть'!$J$28:$BP$638,59,0),"-")=0,"-",IFERROR(VLOOKUP(J211,'[63]ТР нефть'!$J$28:$BP$638,59,0),"-"))</f>
        <v>-</v>
      </c>
      <c r="BQ211" s="138">
        <v>2070</v>
      </c>
      <c r="BR211" s="128">
        <v>1804.25</v>
      </c>
      <c r="BS211" s="115">
        <f t="shared" si="105"/>
        <v>265.75</v>
      </c>
      <c r="BT211" s="128">
        <v>73</v>
      </c>
      <c r="BU211" s="128">
        <v>5.5</v>
      </c>
      <c r="BV211" s="127">
        <v>18</v>
      </c>
      <c r="BW211" s="127" t="s">
        <v>217</v>
      </c>
      <c r="BX211" s="127" t="s">
        <v>195</v>
      </c>
      <c r="BY211" s="139">
        <v>24</v>
      </c>
      <c r="BZ211" s="139">
        <v>0</v>
      </c>
      <c r="CA211" s="80">
        <v>25</v>
      </c>
      <c r="CB211" s="138">
        <v>65</v>
      </c>
      <c r="CC211" s="138">
        <v>24</v>
      </c>
      <c r="CD211" s="135">
        <v>45017</v>
      </c>
      <c r="CE211" s="138">
        <v>87</v>
      </c>
      <c r="CF211" s="138">
        <v>73</v>
      </c>
      <c r="CG211" s="138" t="str">
        <f t="shared" si="153"/>
        <v>В работе</v>
      </c>
      <c r="CH211" s="138" t="s">
        <v>196</v>
      </c>
      <c r="CI211" s="127"/>
      <c r="CJ211" s="138"/>
      <c r="CK211" s="138">
        <f t="shared" si="157"/>
        <v>54</v>
      </c>
      <c r="CL211" s="99"/>
      <c r="CM211" s="99"/>
      <c r="CN211" s="140">
        <v>79</v>
      </c>
      <c r="CO211" s="141">
        <f t="shared" si="106"/>
        <v>5.4891759999999996</v>
      </c>
      <c r="CP211" s="142">
        <v>13.4</v>
      </c>
      <c r="CQ211" s="143">
        <v>51</v>
      </c>
      <c r="CR211" s="138">
        <v>20</v>
      </c>
      <c r="CS211" s="139">
        <v>9.6</v>
      </c>
      <c r="CT211" s="138"/>
      <c r="CU211" s="138">
        <f t="shared" si="159"/>
        <v>10.4</v>
      </c>
      <c r="CV211" s="115">
        <f t="shared" si="160"/>
        <v>1894.6377379774306</v>
      </c>
      <c r="CW211" s="115">
        <f t="shared" si="109"/>
        <v>716.26033317446297</v>
      </c>
      <c r="CX211" s="133">
        <f t="shared" si="161"/>
        <v>1.675</v>
      </c>
      <c r="CY211" s="116"/>
      <c r="CZ211" s="131"/>
      <c r="DA211" s="145" t="str">
        <f t="shared" si="111"/>
        <v>Газлифт</v>
      </c>
      <c r="DB211" s="146">
        <f t="shared" si="112"/>
        <v>2.4645279999999996</v>
      </c>
      <c r="DC211" s="142">
        <f t="shared" si="151"/>
        <v>13.4</v>
      </c>
      <c r="DD211" s="119">
        <f t="shared" si="152"/>
        <v>78</v>
      </c>
      <c r="DE211" s="115">
        <f t="shared" si="115"/>
        <v>10.4</v>
      </c>
      <c r="DF211" s="121">
        <f t="shared" si="116"/>
        <v>9.6</v>
      </c>
      <c r="DG211" s="115">
        <f t="shared" si="117"/>
        <v>1894.6377379774306</v>
      </c>
      <c r="DH211" s="115">
        <f t="shared" si="118"/>
        <v>79</v>
      </c>
      <c r="DI211" s="147"/>
      <c r="DJ211" s="111" t="s">
        <v>197</v>
      </c>
      <c r="DK211" s="112">
        <v>41901</v>
      </c>
      <c r="DL211" s="113">
        <f t="shared" ca="1" si="138"/>
        <v>3203</v>
      </c>
      <c r="DM211" s="114"/>
      <c r="DN211" s="114"/>
      <c r="DO211" s="114"/>
      <c r="DP211" s="114"/>
      <c r="DQ211" s="112">
        <v>44503</v>
      </c>
      <c r="DR211" s="114" t="s">
        <v>732</v>
      </c>
      <c r="DS211" s="114"/>
      <c r="DT211" s="115">
        <v>60</v>
      </c>
      <c r="DU211" s="116">
        <f t="shared" si="139"/>
        <v>1.505492676431426</v>
      </c>
      <c r="DV211" s="117">
        <f t="shared" si="140"/>
        <v>16.651170539280972</v>
      </c>
      <c r="DW211" s="118">
        <f t="shared" si="141"/>
        <v>40.648302263648503</v>
      </c>
      <c r="DX211" s="119">
        <f t="shared" si="119"/>
        <v>51</v>
      </c>
      <c r="DY211" s="115">
        <f t="shared" si="142"/>
        <v>31.547936085219735</v>
      </c>
      <c r="DZ211" s="117">
        <f t="shared" si="143"/>
        <v>11.161994539280972</v>
      </c>
      <c r="EA211" s="120">
        <f t="shared" si="143"/>
        <v>27.248302263648505</v>
      </c>
      <c r="EB211" s="119">
        <f t="shared" si="143"/>
        <v>0</v>
      </c>
      <c r="EC211" s="121">
        <f t="shared" si="144"/>
        <v>21.147936085219733</v>
      </c>
      <c r="ED211" s="122"/>
      <c r="EE211" s="145">
        <v>18</v>
      </c>
      <c r="EF211" s="148">
        <v>27</v>
      </c>
      <c r="EG211" s="115">
        <v>67</v>
      </c>
      <c r="EH211" s="115">
        <v>26</v>
      </c>
      <c r="EI211" s="128" t="s">
        <v>195</v>
      </c>
      <c r="EJ211" s="121">
        <v>24</v>
      </c>
      <c r="EK211" s="121">
        <v>0</v>
      </c>
      <c r="EL211" s="149">
        <v>1.6552799999999996</v>
      </c>
      <c r="EM211" s="142">
        <v>9</v>
      </c>
      <c r="EN211" s="119">
        <v>78</v>
      </c>
      <c r="EO211" s="115">
        <v>28</v>
      </c>
      <c r="EP211" s="115">
        <v>5437.1465854719454</v>
      </c>
      <c r="EQ211" s="115">
        <v>70</v>
      </c>
      <c r="ER211" s="115">
        <v>19</v>
      </c>
      <c r="ES211" s="115">
        <v>79</v>
      </c>
      <c r="ET211" s="150">
        <v>1.125</v>
      </c>
      <c r="EU211" s="145">
        <f t="shared" si="120"/>
        <v>18</v>
      </c>
      <c r="EV211" s="115">
        <f t="shared" si="121"/>
        <v>25</v>
      </c>
      <c r="EW211" s="115">
        <f t="shared" si="121"/>
        <v>65</v>
      </c>
      <c r="EX211" s="115">
        <f t="shared" si="121"/>
        <v>24</v>
      </c>
      <c r="EY211" s="115" t="str">
        <f t="shared" si="156"/>
        <v>Постоянный</v>
      </c>
      <c r="EZ211" s="115">
        <f t="shared" si="155"/>
        <v>24</v>
      </c>
      <c r="FA211" s="115">
        <f t="shared" si="155"/>
        <v>0</v>
      </c>
      <c r="FB211" s="149">
        <f t="shared" si="123"/>
        <v>5.4891759999999996</v>
      </c>
      <c r="FC211" s="142">
        <f t="shared" si="123"/>
        <v>13.4</v>
      </c>
      <c r="FD211" s="119">
        <f t="shared" si="123"/>
        <v>51</v>
      </c>
      <c r="FE211" s="121">
        <f t="shared" si="103"/>
        <v>20</v>
      </c>
      <c r="FF211" s="121">
        <f t="shared" si="145"/>
        <v>1894.6377379774306</v>
      </c>
      <c r="FG211" s="121">
        <f t="shared" si="124"/>
        <v>73</v>
      </c>
      <c r="FH211" s="121">
        <f t="shared" si="146"/>
        <v>9.6</v>
      </c>
      <c r="FI211" s="121">
        <f t="shared" si="154"/>
        <v>79</v>
      </c>
      <c r="FJ211" s="144">
        <f t="shared" si="125"/>
        <v>1.675</v>
      </c>
      <c r="FK211" s="132">
        <f t="shared" si="126"/>
        <v>0</v>
      </c>
      <c r="FL211" s="115">
        <f t="shared" si="126"/>
        <v>-2</v>
      </c>
      <c r="FM211" s="115">
        <f t="shared" si="126"/>
        <v>-2</v>
      </c>
      <c r="FN211" s="115">
        <f t="shared" si="126"/>
        <v>-2</v>
      </c>
      <c r="FO211" s="115">
        <f t="shared" si="150"/>
        <v>0</v>
      </c>
      <c r="FP211" s="115">
        <f t="shared" si="150"/>
        <v>0</v>
      </c>
      <c r="FQ211" s="149">
        <f t="shared" si="150"/>
        <v>3.8338960000000002</v>
      </c>
      <c r="FR211" s="142">
        <f t="shared" si="148"/>
        <v>4.4000000000000004</v>
      </c>
      <c r="FS211" s="119">
        <f t="shared" si="148"/>
        <v>-27</v>
      </c>
      <c r="FT211" s="121">
        <f t="shared" si="148"/>
        <v>-8</v>
      </c>
      <c r="FU211" s="121">
        <f t="shared" si="127"/>
        <v>3</v>
      </c>
      <c r="FV211" s="121">
        <f t="shared" si="127"/>
        <v>-9.4</v>
      </c>
      <c r="FW211" s="121">
        <f t="shared" si="128"/>
        <v>-3542.5088474945151</v>
      </c>
      <c r="FX211" s="121">
        <f t="shared" si="129"/>
        <v>0</v>
      </c>
      <c r="FY211" s="144">
        <f t="shared" si="129"/>
        <v>0.55000000000000004</v>
      </c>
      <c r="FZ211" s="145" t="s">
        <v>199</v>
      </c>
      <c r="GA211" s="151" t="s">
        <v>1020</v>
      </c>
      <c r="GB211" s="145"/>
      <c r="GC211" s="125"/>
      <c r="GD211" s="997" t="s">
        <v>202</v>
      </c>
      <c r="GE211" s="1004"/>
      <c r="GF211" s="1004">
        <v>0</v>
      </c>
      <c r="GG211" s="1004"/>
      <c r="GH211" s="1004">
        <v>0</v>
      </c>
      <c r="GI211" s="145"/>
      <c r="GJ211" s="996">
        <v>0</v>
      </c>
      <c r="GK211" s="145"/>
      <c r="GL211" s="996">
        <v>0</v>
      </c>
      <c r="GM211" s="1005"/>
      <c r="GN211" s="996">
        <v>0</v>
      </c>
      <c r="GO211" s="1006"/>
      <c r="GP211" s="996">
        <v>0</v>
      </c>
      <c r="GQ211" s="1006" t="s">
        <v>203</v>
      </c>
      <c r="GR211" s="996">
        <v>1.0842799999999997</v>
      </c>
      <c r="GS211" s="1006" t="s">
        <v>308</v>
      </c>
      <c r="GT211" s="996">
        <v>-1.5189999999999999</v>
      </c>
      <c r="GU211" s="1006"/>
      <c r="GV211" s="996">
        <v>0.41799999999999993</v>
      </c>
      <c r="GW211" s="1006" t="s">
        <v>199</v>
      </c>
      <c r="GX211" s="1035">
        <v>-1.84712528</v>
      </c>
      <c r="GY211" s="1006"/>
      <c r="GZ211" s="996">
        <v>-0.14396421600000009</v>
      </c>
      <c r="HA211" s="1006"/>
      <c r="HB211" s="996">
        <v>0</v>
      </c>
      <c r="HC211" s="1006"/>
      <c r="HD211" s="996">
        <v>0</v>
      </c>
      <c r="HE211" s="1006" t="s">
        <v>223</v>
      </c>
      <c r="HF211" s="996">
        <v>-2.4857821295999991</v>
      </c>
      <c r="HG211" s="1006"/>
      <c r="HH211" s="996">
        <v>-0.43563826240000036</v>
      </c>
      <c r="HI211" s="1006"/>
      <c r="HJ211" s="996">
        <v>0</v>
      </c>
      <c r="HK211" s="1006" t="s">
        <v>199</v>
      </c>
      <c r="HL211" s="996">
        <v>1.4641770879999996</v>
      </c>
      <c r="HM211" s="1006" t="s">
        <v>203</v>
      </c>
      <c r="HN211" s="996">
        <v>-4.0745469599999993</v>
      </c>
      <c r="HO211" s="1006" t="s">
        <v>25</v>
      </c>
      <c r="HP211" s="996">
        <v>3.9280797599999993</v>
      </c>
      <c r="HQ211" s="1006"/>
      <c r="HR211" s="996">
        <v>0</v>
      </c>
      <c r="HS211" s="1006"/>
      <c r="HT211" s="996">
        <v>0</v>
      </c>
      <c r="HU211" s="1006"/>
      <c r="HV211" s="996">
        <v>0</v>
      </c>
      <c r="HW211" s="1006"/>
      <c r="HX211" s="996">
        <v>0</v>
      </c>
      <c r="HY211" s="1006"/>
      <c r="HZ211" s="996">
        <v>0</v>
      </c>
      <c r="IA211" s="1006"/>
      <c r="IB211" s="996">
        <v>0</v>
      </c>
      <c r="IC211" s="1006" t="s">
        <v>199</v>
      </c>
      <c r="ID211" s="996">
        <v>1.7686416</v>
      </c>
      <c r="IE211" s="1006"/>
      <c r="IF211" s="996">
        <v>0</v>
      </c>
      <c r="IG211" s="1006"/>
      <c r="IH211" s="996">
        <v>0</v>
      </c>
      <c r="II211" s="1006"/>
      <c r="IJ211" s="996">
        <v>0</v>
      </c>
      <c r="IK211" s="1006" t="s">
        <v>433</v>
      </c>
      <c r="IL211" s="996">
        <v>-7.314331199999998</v>
      </c>
      <c r="IM211" s="1006" t="s">
        <v>25</v>
      </c>
      <c r="IN211" s="996">
        <v>4.8206828119999976</v>
      </c>
      <c r="IO211" s="1006"/>
      <c r="IP211" s="996">
        <v>0</v>
      </c>
      <c r="IQ211" s="1006" t="s">
        <v>199</v>
      </c>
      <c r="IR211" s="996">
        <v>-2.355653212</v>
      </c>
      <c r="IS211" s="1006" t="s">
        <v>199</v>
      </c>
      <c r="IT211" s="996">
        <v>2.504238</v>
      </c>
      <c r="IU211" s="1006"/>
      <c r="IV211" s="996">
        <v>0</v>
      </c>
      <c r="IW211" s="1006"/>
      <c r="IX211" s="996">
        <v>0</v>
      </c>
      <c r="IY211" s="1006"/>
      <c r="IZ211" s="996">
        <v>0.83474599999999999</v>
      </c>
      <c r="JA211" s="1006" t="s">
        <v>204</v>
      </c>
      <c r="JB211" s="996">
        <v>-2.5042380000000009</v>
      </c>
      <c r="JC211" s="1006"/>
      <c r="JD211" s="996">
        <v>0</v>
      </c>
      <c r="JE211" s="1006"/>
      <c r="JF211" s="996">
        <v>0</v>
      </c>
      <c r="JG211" s="1006"/>
      <c r="JH211" s="996">
        <v>0</v>
      </c>
      <c r="JI211" s="1006"/>
      <c r="JJ211" s="996">
        <v>0</v>
      </c>
      <c r="JK211" s="1007"/>
      <c r="JL211" s="1007">
        <v>0</v>
      </c>
      <c r="JM211" s="1007"/>
      <c r="JN211" s="1007">
        <v>0</v>
      </c>
      <c r="JO211" s="1008"/>
      <c r="JP211" s="1007">
        <v>0</v>
      </c>
      <c r="JQ211" s="1008">
        <v>0</v>
      </c>
      <c r="JR211" s="1007">
        <v>0</v>
      </c>
      <c r="JS211" s="1008">
        <v>0</v>
      </c>
      <c r="JT211" s="1007">
        <v>0</v>
      </c>
      <c r="JU211" s="1008"/>
      <c r="JV211" s="1007">
        <v>0</v>
      </c>
      <c r="JW211" s="1008" t="s">
        <v>197</v>
      </c>
      <c r="JX211" s="1007">
        <v>0</v>
      </c>
      <c r="JY211" s="1008"/>
      <c r="JZ211" s="1007">
        <v>0</v>
      </c>
      <c r="KA211" s="1008"/>
      <c r="KB211" s="1007">
        <v>0</v>
      </c>
      <c r="KC211" s="1008"/>
      <c r="KD211" s="1007">
        <v>0</v>
      </c>
      <c r="KE211" s="1008"/>
      <c r="KF211" s="1007">
        <v>0</v>
      </c>
      <c r="KG211" s="1008" t="s">
        <v>207</v>
      </c>
      <c r="KH211" s="1007">
        <v>1.2521190000000004</v>
      </c>
      <c r="KI211" s="1008" t="s">
        <v>207</v>
      </c>
      <c r="KJ211" s="1007">
        <v>-2.0868649999999995</v>
      </c>
      <c r="KK211" s="1008"/>
      <c r="KL211" s="1007">
        <v>0</v>
      </c>
      <c r="KM211" s="1008"/>
      <c r="KN211" s="1007">
        <v>0</v>
      </c>
      <c r="KO211" s="1008" t="s">
        <v>206</v>
      </c>
      <c r="KP211" s="1007">
        <v>0.8347459999999991</v>
      </c>
      <c r="KQ211" s="1008" t="s">
        <v>207</v>
      </c>
      <c r="KR211" s="1007">
        <v>-0.12521190000000004</v>
      </c>
      <c r="KS211" s="1008">
        <v>0</v>
      </c>
      <c r="KT211" s="1007">
        <v>0</v>
      </c>
      <c r="KU211" s="1008" t="s">
        <v>207</v>
      </c>
      <c r="KV211" s="1007">
        <v>-2.379026099999999</v>
      </c>
      <c r="KW211" s="1008">
        <v>0</v>
      </c>
      <c r="KX211" s="1007">
        <v>0</v>
      </c>
      <c r="KY211" s="1008">
        <v>0</v>
      </c>
      <c r="KZ211" s="1007">
        <v>0</v>
      </c>
      <c r="LA211" s="1008">
        <v>0</v>
      </c>
      <c r="LB211" s="1007">
        <v>0</v>
      </c>
      <c r="LC211" s="1008">
        <v>0</v>
      </c>
      <c r="LD211" s="1007">
        <v>0</v>
      </c>
      <c r="LE211" s="1008">
        <v>0</v>
      </c>
      <c r="LF211" s="1007">
        <v>0</v>
      </c>
      <c r="LG211" s="1008">
        <v>0</v>
      </c>
      <c r="LH211" s="1007">
        <v>0</v>
      </c>
      <c r="LI211" s="1008" t="s">
        <v>199</v>
      </c>
      <c r="LJ211" s="1007">
        <v>-4.0464907999999991</v>
      </c>
      <c r="LK211" s="1008" t="s">
        <v>555</v>
      </c>
      <c r="LL211" s="1007">
        <v>2.4612676000000011</v>
      </c>
      <c r="LM211" s="1008">
        <v>0</v>
      </c>
      <c r="LN211" s="1007">
        <v>0</v>
      </c>
      <c r="LO211" s="1008">
        <v>0</v>
      </c>
      <c r="LP211" s="1007">
        <v>0</v>
      </c>
      <c r="LQ211" s="1008">
        <v>0</v>
      </c>
      <c r="LR211" s="1007">
        <v>0</v>
      </c>
      <c r="LS211" s="1008">
        <v>0</v>
      </c>
      <c r="LT211" s="1007">
        <v>0</v>
      </c>
      <c r="LU211" s="1008">
        <v>0</v>
      </c>
      <c r="LV211" s="1007">
        <v>0</v>
      </c>
      <c r="LW211" s="1008" t="s">
        <v>240</v>
      </c>
      <c r="LX211" s="1007">
        <v>-2.2693721599999996</v>
      </c>
      <c r="LY211" s="1009">
        <v>0</v>
      </c>
      <c r="LZ211" s="1010">
        <v>0</v>
      </c>
      <c r="MA211" s="1011" t="s">
        <v>207</v>
      </c>
      <c r="MB211" s="1012">
        <v>3.9213415999999999</v>
      </c>
      <c r="MC211" s="995"/>
      <c r="MD211" s="996"/>
      <c r="ME211" s="997" t="s">
        <v>202</v>
      </c>
      <c r="MF211" s="997"/>
      <c r="MG211" s="998"/>
      <c r="NR211" s="1000"/>
      <c r="NS211" s="1000"/>
      <c r="NT211" s="1001"/>
      <c r="NU211" s="1000"/>
      <c r="NV211" s="1001"/>
      <c r="NX211" s="1002"/>
      <c r="NZ211" s="1001"/>
      <c r="OA211" s="1001"/>
      <c r="OC211" s="1003"/>
      <c r="OD211" s="1003"/>
      <c r="OE211" s="1001"/>
      <c r="OF211" s="1003"/>
      <c r="OG211" s="1003"/>
      <c r="QX211" s="1000">
        <f>CN211-CA211</f>
        <v>54</v>
      </c>
      <c r="ASU211" s="999" t="s">
        <v>225</v>
      </c>
    </row>
    <row r="212" spans="1:466 1191:1191" ht="21" customHeight="1" x14ac:dyDescent="0.25">
      <c r="A212" s="982">
        <f t="shared" si="104"/>
        <v>1108</v>
      </c>
      <c r="B212" s="124">
        <f>SUBTOTAL(103,$J$29:J212)</f>
        <v>184</v>
      </c>
      <c r="C212" s="126">
        <v>45068</v>
      </c>
      <c r="D212" s="124" t="s">
        <v>176</v>
      </c>
      <c r="E212" s="127" t="s">
        <v>177</v>
      </c>
      <c r="F212" s="128" t="s">
        <v>177</v>
      </c>
      <c r="G212" s="127" t="s">
        <v>178</v>
      </c>
      <c r="H212" s="127" t="s">
        <v>179</v>
      </c>
      <c r="I212" s="127" t="s">
        <v>881</v>
      </c>
      <c r="J212" s="152">
        <v>1108</v>
      </c>
      <c r="K212" s="127" t="s">
        <v>881</v>
      </c>
      <c r="L212" s="130">
        <v>41425</v>
      </c>
      <c r="M212" s="127" t="s">
        <v>230</v>
      </c>
      <c r="N212" s="127" t="s">
        <v>184</v>
      </c>
      <c r="O212" s="127" t="s">
        <v>185</v>
      </c>
      <c r="P212" s="127" t="s">
        <v>186</v>
      </c>
      <c r="Q212" s="85" t="str">
        <f t="shared" si="158"/>
        <v/>
      </c>
      <c r="R212" s="130"/>
      <c r="S212" s="128" t="s">
        <v>156</v>
      </c>
      <c r="T212" s="131"/>
      <c r="U212" s="132">
        <v>203</v>
      </c>
      <c r="V212" s="121">
        <v>218.2</v>
      </c>
      <c r="W212" s="116">
        <v>0.98</v>
      </c>
      <c r="X212" s="116">
        <v>1.66</v>
      </c>
      <c r="Y212" s="116">
        <f t="shared" si="137"/>
        <v>1.6261495401839263</v>
      </c>
      <c r="Z212" s="133">
        <v>1.454</v>
      </c>
      <c r="AA212" s="133">
        <v>0.83599999999999997</v>
      </c>
      <c r="AB212" s="133">
        <v>0.72</v>
      </c>
      <c r="AC212" s="121">
        <v>34.299999999999997</v>
      </c>
      <c r="AD212" s="134">
        <v>1.17</v>
      </c>
      <c r="AE212" s="124">
        <v>177.8</v>
      </c>
      <c r="AF212" s="128">
        <v>9.19</v>
      </c>
      <c r="AG212" s="128">
        <v>2070</v>
      </c>
      <c r="AH212" s="127">
        <v>2820</v>
      </c>
      <c r="AI212" s="127">
        <v>2820</v>
      </c>
      <c r="AJ212" s="135"/>
      <c r="AK212" s="128"/>
      <c r="AL212" s="131"/>
      <c r="AM212" s="124" t="s">
        <v>232</v>
      </c>
      <c r="AN212" s="136" t="s">
        <v>1021</v>
      </c>
      <c r="AO212" s="137">
        <v>25</v>
      </c>
      <c r="AP212" s="128">
        <v>2176</v>
      </c>
      <c r="AQ212" s="128">
        <v>274.69</v>
      </c>
      <c r="AR212" s="128"/>
      <c r="AS212" s="128"/>
      <c r="AT212" s="122"/>
      <c r="AU212" s="124" t="s">
        <v>883</v>
      </c>
      <c r="AV212" s="115">
        <f>VLOOKUP(J212,'[63]ТР нефть'!$J$28:$BP$638,39,0)</f>
        <v>300</v>
      </c>
      <c r="AW212" s="115" t="str">
        <f>VLOOKUP(J212,'[63]ТР нефть'!$J$28:$BP$638,40,0)</f>
        <v>ГП</v>
      </c>
      <c r="AX212" s="115" t="str">
        <f>VLOOKUP(J212,'[63]ТР нефть'!$J$28:$BP$638,41,0)</f>
        <v>-</v>
      </c>
      <c r="AY212" s="115" t="str">
        <f>VLOOKUP(J212,'[63]ТР нефть'!$J$28:$BP$638,42,0)</f>
        <v>-</v>
      </c>
      <c r="AZ212" s="115" t="str">
        <f>VLOOKUP(J212,'[63]ТР нефть'!$J$28:$BP$638,43,0)</f>
        <v>-</v>
      </c>
      <c r="BA212" s="115" t="str">
        <f>VLOOKUP(J212,'[63]ТР нефть'!$J$28:$BP$638,44,0)</f>
        <v>-</v>
      </c>
      <c r="BB212" s="115" t="str">
        <f>VLOOKUP(J212,'[63]ТР нефть'!$J$28:$BP$638,45,0)</f>
        <v>-</v>
      </c>
      <c r="BC212" s="115" t="str">
        <f>VLOOKUP(J212,'[63]ТР нефть'!$J$28:$BP$638,46,0)</f>
        <v>-</v>
      </c>
      <c r="BD212" s="115" t="str">
        <f>VLOOKUP(J212,'[63]ТР нефть'!$J$28:$BP$638,47,0)</f>
        <v>-</v>
      </c>
      <c r="BE212" s="115" t="str">
        <f>VLOOKUP(J212,'[63]ТР нефть'!$J$28:$BP$638,48,0)</f>
        <v>-</v>
      </c>
      <c r="BF212" s="115" t="str">
        <f>VLOOKUP(J212,'[63]ТР нефть'!$J$28:$BP$638,49,0)</f>
        <v>-</v>
      </c>
      <c r="BG212" s="115" t="str">
        <f>VLOOKUP(J212,'[63]ТР нефть'!$J$28:$BP$638,50,0)</f>
        <v>-</v>
      </c>
      <c r="BH212" s="115">
        <f>VLOOKUP(J212,'[63]ТР нефть'!$J$28:$BP$638,51,0)</f>
        <v>1238</v>
      </c>
      <c r="BI212" s="115" t="str">
        <f>VLOOKUP(J212,'[63]ТР нефть'!$J$28:$BP$638,52,0)</f>
        <v>закрыт</v>
      </c>
      <c r="BJ212" s="115" t="str">
        <f>IF(IFERROR(VLOOKUP(J212,'[63]ТР нефть'!$J$28:$BP$638,53,0),"-")=0,"-",IFERROR(VLOOKUP(J212,'[63]ТР нефть'!$J$28:$BP$638,53,0),"-"))</f>
        <v>-</v>
      </c>
      <c r="BK212" s="138" t="s">
        <v>1022</v>
      </c>
      <c r="BL212" s="138" t="str">
        <f>IF(IFERROR(VLOOKUP(J212,'[63]ТР нефть'!$J$28:$BP$638,55,0),"-")=0,"-",IFERROR(VLOOKUP(J212,'[63]ТР нефть'!$J$28:$BP$638,55,0),"-"))</f>
        <v>-</v>
      </c>
      <c r="BM212" s="205">
        <v>1712</v>
      </c>
      <c r="BN212" s="173">
        <f>IF(IFERROR(VLOOKUP(J212,'[63]ТР нефть'!$J$28:$BP$638,57,0),"-")=0,"-",IFERROR(VLOOKUP(J212,'[63]ТР нефть'!$J$28:$BP$638,57,0),"-"))</f>
        <v>52</v>
      </c>
      <c r="BO212" s="115" t="str">
        <f>IF(IFERROR(VLOOKUP(J212,'[63]ТР нефть'!$J$28:$BP$638,58,0),"-")=0,"-",IFERROR(VLOOKUP(J212,'[63]ТР нефть'!$J$28:$BP$638,58,0),"-"))</f>
        <v>56-117</v>
      </c>
      <c r="BP212" s="115" t="str">
        <f>IF(IFERROR(VLOOKUP(J212,'[63]ТР нефть'!$J$28:$BP$638,59,0),"-")=0,"-",IFERROR(VLOOKUP(J212,'[63]ТР нефть'!$J$28:$BP$638,59,0),"-"))</f>
        <v>-</v>
      </c>
      <c r="BQ212" s="173">
        <v>1740</v>
      </c>
      <c r="BR212" s="128">
        <v>1575</v>
      </c>
      <c r="BS212" s="115">
        <f t="shared" si="105"/>
        <v>165</v>
      </c>
      <c r="BT212" s="128">
        <v>73</v>
      </c>
      <c r="BU212" s="128">
        <v>5.5</v>
      </c>
      <c r="BV212" s="127">
        <v>65</v>
      </c>
      <c r="BW212" s="127" t="s">
        <v>217</v>
      </c>
      <c r="BX212" s="127" t="s">
        <v>195</v>
      </c>
      <c r="BY212" s="139">
        <v>24</v>
      </c>
      <c r="BZ212" s="139">
        <v>0</v>
      </c>
      <c r="CA212" s="138">
        <v>41</v>
      </c>
      <c r="CB212" s="138">
        <v>30</v>
      </c>
      <c r="CC212" s="138">
        <v>28</v>
      </c>
      <c r="CD212" s="135">
        <v>45017</v>
      </c>
      <c r="CE212" s="138">
        <v>152</v>
      </c>
      <c r="CF212" s="138"/>
      <c r="CG212" s="138" t="str">
        <f t="shared" si="153"/>
        <v/>
      </c>
      <c r="CH212" s="138" t="s">
        <v>197</v>
      </c>
      <c r="CI212" s="127"/>
      <c r="CJ212" s="138">
        <f>IF((BR212-(100*(CM212-CB212))/(9.8*(AB212+AA212)/2))&gt;0,BR212-(100*(CM212-CB212))/(9.8*(AB212+AA212)/2),0)</f>
        <v>827.40018886732071</v>
      </c>
      <c r="CK212" s="138">
        <f t="shared" si="157"/>
        <v>83.020734221499993</v>
      </c>
      <c r="CL212" s="99"/>
      <c r="CM212" s="138">
        <v>87</v>
      </c>
      <c r="CN212" s="154">
        <f>IF(CM212=0,0,(((AP212-AQ212-BR212)*((AD212*(CQ212/100))+(AB212*((100-CQ212)/100)))*9.81/100+CM212)))</f>
        <v>124.02073422149999</v>
      </c>
      <c r="CO212" s="141">
        <f t="shared" si="106"/>
        <v>10.533600000000011</v>
      </c>
      <c r="CP212" s="142">
        <v>420</v>
      </c>
      <c r="CQ212" s="143">
        <v>97</v>
      </c>
      <c r="CR212" s="138">
        <v>10</v>
      </c>
      <c r="CS212" s="139"/>
      <c r="CT212" s="138"/>
      <c r="CU212" s="138">
        <f t="shared" si="159"/>
        <v>10</v>
      </c>
      <c r="CV212" s="115">
        <f t="shared" si="160"/>
        <v>949.34305460621158</v>
      </c>
      <c r="CW212" s="115" t="str">
        <f t="shared" si="109"/>
        <v/>
      </c>
      <c r="CX212" s="133">
        <f t="shared" si="161"/>
        <v>15.011115850035596</v>
      </c>
      <c r="CY212" s="116"/>
      <c r="CZ212" s="131"/>
      <c r="DA212" s="145" t="str">
        <f t="shared" si="111"/>
        <v>ЭЦН</v>
      </c>
      <c r="DB212" s="146">
        <f t="shared" si="112"/>
        <v>12.991440000000011</v>
      </c>
      <c r="DC212" s="142">
        <f t="shared" si="151"/>
        <v>420</v>
      </c>
      <c r="DD212" s="119">
        <f t="shared" si="152"/>
        <v>96.3</v>
      </c>
      <c r="DE212" s="115">
        <f t="shared" si="115"/>
        <v>10</v>
      </c>
      <c r="DF212" s="121">
        <f t="shared" si="116"/>
        <v>0</v>
      </c>
      <c r="DG212" s="115">
        <f t="shared" si="117"/>
        <v>949.34305460621158</v>
      </c>
      <c r="DH212" s="115">
        <f t="shared" si="118"/>
        <v>124.02073422149999</v>
      </c>
      <c r="DI212" s="147"/>
      <c r="DJ212" s="111">
        <v>44160</v>
      </c>
      <c r="DK212" s="112">
        <v>43471</v>
      </c>
      <c r="DL212" s="113">
        <f t="shared" ca="1" si="138"/>
        <v>1633</v>
      </c>
      <c r="DM212" s="114"/>
      <c r="DN212" s="114"/>
      <c r="DO212" s="114"/>
      <c r="DP212" s="114"/>
      <c r="DQ212" s="112">
        <v>41739</v>
      </c>
      <c r="DR212" s="114" t="s">
        <v>1023</v>
      </c>
      <c r="DS212" s="114"/>
      <c r="DT212" s="115">
        <v>107</v>
      </c>
      <c r="DU212" s="116">
        <f t="shared" si="139"/>
        <v>14.19747463018105</v>
      </c>
      <c r="DV212" s="117">
        <f t="shared" si="140"/>
        <v>16.02326986762235</v>
      </c>
      <c r="DW212" s="118">
        <f t="shared" si="141"/>
        <v>638.88635835814728</v>
      </c>
      <c r="DX212" s="119">
        <f t="shared" si="119"/>
        <v>97</v>
      </c>
      <c r="DY212" s="115">
        <f t="shared" si="142"/>
        <v>15.211579960908269</v>
      </c>
      <c r="DZ212" s="117">
        <f t="shared" si="143"/>
        <v>5.4896698676223394</v>
      </c>
      <c r="EA212" s="120">
        <f t="shared" si="143"/>
        <v>218.88635835814728</v>
      </c>
      <c r="EB212" s="119">
        <f t="shared" si="143"/>
        <v>0</v>
      </c>
      <c r="EC212" s="121">
        <f t="shared" si="144"/>
        <v>5.2115799609082689</v>
      </c>
      <c r="ED212" s="122"/>
      <c r="EE212" s="145">
        <v>65</v>
      </c>
      <c r="EF212" s="115">
        <v>31</v>
      </c>
      <c r="EG212" s="115">
        <v>31</v>
      </c>
      <c r="EH212" s="115">
        <v>28</v>
      </c>
      <c r="EI212" s="128" t="s">
        <v>195</v>
      </c>
      <c r="EJ212" s="121">
        <v>24</v>
      </c>
      <c r="EK212" s="121">
        <v>0</v>
      </c>
      <c r="EL212" s="149">
        <v>7.4731712000000066</v>
      </c>
      <c r="EM212" s="142">
        <v>241.6</v>
      </c>
      <c r="EN212" s="119">
        <v>96.3</v>
      </c>
      <c r="EO212" s="115">
        <v>1.976</v>
      </c>
      <c r="EP212" s="115">
        <v>264.41251606814495</v>
      </c>
      <c r="EQ212" s="115">
        <v>0</v>
      </c>
      <c r="ER212" s="115">
        <v>0</v>
      </c>
      <c r="ES212" s="115">
        <v>134.91989953684998</v>
      </c>
      <c r="ET212" s="150">
        <v>14.145115862828048</v>
      </c>
      <c r="EU212" s="145">
        <f t="shared" si="120"/>
        <v>65</v>
      </c>
      <c r="EV212" s="115">
        <f t="shared" si="121"/>
        <v>41</v>
      </c>
      <c r="EW212" s="115">
        <f t="shared" si="121"/>
        <v>30</v>
      </c>
      <c r="EX212" s="115">
        <f t="shared" si="121"/>
        <v>28</v>
      </c>
      <c r="EY212" s="115" t="str">
        <f t="shared" si="156"/>
        <v>Постоянный</v>
      </c>
      <c r="EZ212" s="115">
        <f t="shared" si="155"/>
        <v>24</v>
      </c>
      <c r="FA212" s="115">
        <f t="shared" si="155"/>
        <v>0</v>
      </c>
      <c r="FB212" s="149">
        <f t="shared" si="123"/>
        <v>10.533600000000011</v>
      </c>
      <c r="FC212" s="142">
        <f t="shared" si="123"/>
        <v>420</v>
      </c>
      <c r="FD212" s="119">
        <f t="shared" si="123"/>
        <v>97</v>
      </c>
      <c r="FE212" s="121">
        <f t="shared" si="103"/>
        <v>10</v>
      </c>
      <c r="FF212" s="121">
        <f t="shared" si="145"/>
        <v>949.34305460621158</v>
      </c>
      <c r="FG212" s="121">
        <f t="shared" si="124"/>
        <v>0</v>
      </c>
      <c r="FH212" s="121">
        <f t="shared" si="146"/>
        <v>0</v>
      </c>
      <c r="FI212" s="121">
        <f t="shared" si="154"/>
        <v>124.02073422149999</v>
      </c>
      <c r="FJ212" s="144">
        <f t="shared" si="125"/>
        <v>15.011115850035596</v>
      </c>
      <c r="FK212" s="132">
        <f t="shared" si="126"/>
        <v>0</v>
      </c>
      <c r="FL212" s="115">
        <f t="shared" si="126"/>
        <v>10</v>
      </c>
      <c r="FM212" s="115">
        <f t="shared" si="126"/>
        <v>-1</v>
      </c>
      <c r="FN212" s="115">
        <f t="shared" si="126"/>
        <v>0</v>
      </c>
      <c r="FO212" s="115">
        <f t="shared" si="150"/>
        <v>0</v>
      </c>
      <c r="FP212" s="115">
        <f t="shared" si="150"/>
        <v>0</v>
      </c>
      <c r="FQ212" s="149">
        <f t="shared" si="150"/>
        <v>3.0604288000000039</v>
      </c>
      <c r="FR212" s="142">
        <f t="shared" si="148"/>
        <v>178.4</v>
      </c>
      <c r="FS212" s="119">
        <f t="shared" si="148"/>
        <v>0.70000000000000284</v>
      </c>
      <c r="FT212" s="121">
        <f t="shared" si="148"/>
        <v>8.0240000000000009</v>
      </c>
      <c r="FU212" s="121">
        <f t="shared" si="127"/>
        <v>0</v>
      </c>
      <c r="FV212" s="121">
        <f t="shared" si="127"/>
        <v>0</v>
      </c>
      <c r="FW212" s="121">
        <f t="shared" si="128"/>
        <v>684.93053853806668</v>
      </c>
      <c r="FX212" s="121">
        <f t="shared" si="129"/>
        <v>-10.89916531534999</v>
      </c>
      <c r="FY212" s="144">
        <f t="shared" si="129"/>
        <v>0.86599998720754812</v>
      </c>
      <c r="FZ212" s="145" t="s">
        <v>199</v>
      </c>
      <c r="GA212" s="151" t="s">
        <v>1024</v>
      </c>
      <c r="GB212" s="145" t="s">
        <v>308</v>
      </c>
      <c r="GC212" s="151" t="s">
        <v>1025</v>
      </c>
      <c r="GD212" s="997" t="s">
        <v>220</v>
      </c>
      <c r="GE212" s="1004" t="s">
        <v>308</v>
      </c>
      <c r="GF212" s="1004">
        <v>5.7677312000000054</v>
      </c>
      <c r="GG212" s="1004"/>
      <c r="GH212" s="1004">
        <v>0</v>
      </c>
      <c r="GI212" s="145"/>
      <c r="GJ212" s="996">
        <v>-0.6425830400000121</v>
      </c>
      <c r="GK212" s="145"/>
      <c r="GL212" s="996">
        <v>-0.126027000000001</v>
      </c>
      <c r="GM212" s="1005"/>
      <c r="GN212" s="996">
        <v>0</v>
      </c>
      <c r="GO212" s="1006"/>
      <c r="GP212" s="996">
        <v>1.4115024000000087E-2</v>
      </c>
      <c r="GQ212" s="1006"/>
      <c r="GR212" s="996">
        <v>-0.31976498399998787</v>
      </c>
      <c r="GS212" s="1006"/>
      <c r="GT212" s="996">
        <v>0.85690000000000066</v>
      </c>
      <c r="GU212" s="1006"/>
      <c r="GV212" s="996">
        <v>3.3439999999999914E-2</v>
      </c>
      <c r="GW212" s="1006"/>
      <c r="GX212" s="1036">
        <v>-0.11703999999999981</v>
      </c>
      <c r="GY212" s="1006" t="s">
        <v>199</v>
      </c>
      <c r="GZ212" s="996">
        <v>1.9980400000000016</v>
      </c>
      <c r="HA212" s="1006"/>
      <c r="HB212" s="996">
        <v>0</v>
      </c>
      <c r="HC212" s="1006"/>
      <c r="HD212" s="996">
        <v>0</v>
      </c>
      <c r="HE212" s="1006"/>
      <c r="HF212" s="996">
        <v>0</v>
      </c>
      <c r="HG212" s="1006"/>
      <c r="HH212" s="996">
        <v>0</v>
      </c>
      <c r="HI212" s="1006"/>
      <c r="HJ212" s="996">
        <v>0</v>
      </c>
      <c r="HK212" s="1006"/>
      <c r="HL212" s="996">
        <v>-0.78634159999998443</v>
      </c>
      <c r="HM212" s="1006" t="s">
        <v>146</v>
      </c>
      <c r="HN212" s="996">
        <v>-4.72348360000003</v>
      </c>
      <c r="HO212" s="1006" t="s">
        <v>199</v>
      </c>
      <c r="HP212" s="996">
        <v>4.4982652000000138</v>
      </c>
      <c r="HQ212" s="1006"/>
      <c r="HR212" s="996">
        <v>0</v>
      </c>
      <c r="HS212" s="1006" t="s">
        <v>886</v>
      </c>
      <c r="HT212" s="996">
        <v>-6.4856880000000059</v>
      </c>
      <c r="HU212" s="1006" t="s">
        <v>886</v>
      </c>
      <c r="HV212" s="996">
        <v>-11.680591999999997</v>
      </c>
      <c r="HW212" s="1006" t="s">
        <v>1026</v>
      </c>
      <c r="HX212" s="996">
        <v>-1.8042217599999901</v>
      </c>
      <c r="HY212" s="1006"/>
      <c r="HZ212" s="996">
        <v>0</v>
      </c>
      <c r="IA212" s="1006"/>
      <c r="IB212" s="996">
        <v>0</v>
      </c>
      <c r="IC212" s="1006"/>
      <c r="ID212" s="996">
        <v>0</v>
      </c>
      <c r="IE212" s="1006"/>
      <c r="IF212" s="996">
        <v>0</v>
      </c>
      <c r="IG212" s="1006"/>
      <c r="IH212" s="996">
        <v>0</v>
      </c>
      <c r="II212" s="1006"/>
      <c r="IJ212" s="996">
        <v>0</v>
      </c>
      <c r="IK212" s="1006"/>
      <c r="IL212" s="996">
        <v>0</v>
      </c>
      <c r="IM212" s="1006" t="s">
        <v>146</v>
      </c>
      <c r="IN212" s="996">
        <v>3.0726176799999827</v>
      </c>
      <c r="IO212" s="1006"/>
      <c r="IP212" s="996">
        <v>-0.56983431999999112</v>
      </c>
      <c r="IQ212" s="1006" t="s">
        <v>146</v>
      </c>
      <c r="IR212" s="996">
        <v>-4.3403381119999977</v>
      </c>
      <c r="IS212" s="1006"/>
      <c r="IT212" s="996">
        <v>0</v>
      </c>
      <c r="IU212" s="1006"/>
      <c r="IV212" s="996">
        <v>0</v>
      </c>
      <c r="IW212" s="1006" t="s">
        <v>223</v>
      </c>
      <c r="IX212" s="996">
        <v>-2.0289786879999916</v>
      </c>
      <c r="IY212" s="1006"/>
      <c r="IZ212" s="996">
        <v>-0.62231840000001171</v>
      </c>
      <c r="JA212" s="1006" t="s">
        <v>223</v>
      </c>
      <c r="JB212" s="996">
        <v>-1.7851943999999946</v>
      </c>
      <c r="JC212" s="1006"/>
      <c r="JD212" s="996">
        <v>-0.75804300000000424</v>
      </c>
      <c r="JE212" s="1006"/>
      <c r="JF212" s="996">
        <v>0.16281100000000492</v>
      </c>
      <c r="JG212" s="1006"/>
      <c r="JH212" s="996">
        <v>-0.28005999999999887</v>
      </c>
      <c r="JI212" s="1006" t="s">
        <v>146</v>
      </c>
      <c r="JJ212" s="996">
        <v>-7.1243920000000074</v>
      </c>
      <c r="JK212" s="1007"/>
      <c r="JL212" s="1007">
        <v>0</v>
      </c>
      <c r="JM212" s="1007"/>
      <c r="JN212" s="1007">
        <v>0</v>
      </c>
      <c r="JO212" s="1008" t="s">
        <v>146</v>
      </c>
      <c r="JP212" s="1007">
        <v>13.862552000000001</v>
      </c>
      <c r="JQ212" s="1008" t="s">
        <v>146</v>
      </c>
      <c r="JR212" s="1007">
        <v>-7.9237467759999944</v>
      </c>
      <c r="JS212" s="1008">
        <v>0</v>
      </c>
      <c r="JT212" s="1007">
        <v>0</v>
      </c>
      <c r="JU212" s="1008"/>
      <c r="JV212" s="1007">
        <v>0</v>
      </c>
      <c r="JW212" s="1008" t="s">
        <v>197</v>
      </c>
      <c r="JX212" s="1007">
        <v>0</v>
      </c>
      <c r="JY212" s="1008"/>
      <c r="JZ212" s="1007">
        <v>1.8107760000027895E-3</v>
      </c>
      <c r="KA212" s="1008" t="s">
        <v>204</v>
      </c>
      <c r="KB212" s="1007">
        <v>3.9291999999996108E-2</v>
      </c>
      <c r="KC212" s="1008" t="s">
        <v>259</v>
      </c>
      <c r="KD212" s="1007">
        <v>-5.2857560000000028</v>
      </c>
      <c r="KE212" s="1008" t="s">
        <v>224</v>
      </c>
      <c r="KF212" s="1007">
        <v>30.571506767999999</v>
      </c>
      <c r="KG212" s="1008" t="s">
        <v>204</v>
      </c>
      <c r="KH212" s="1007">
        <v>2.4444740319999987</v>
      </c>
      <c r="KI212" s="1008" t="s">
        <v>207</v>
      </c>
      <c r="KJ212" s="1007">
        <v>-1.2640319999999994</v>
      </c>
      <c r="KK212" s="1008"/>
      <c r="KL212" s="1007">
        <v>0</v>
      </c>
      <c r="KM212" s="1008"/>
      <c r="KN212" s="1007">
        <v>0</v>
      </c>
      <c r="KO212" s="1008" t="s">
        <v>259</v>
      </c>
      <c r="KP212" s="1007">
        <v>-2.5748800000000003</v>
      </c>
      <c r="KQ212" s="1008" t="s">
        <v>206</v>
      </c>
      <c r="KR212" s="1007">
        <v>-0.5099600000000013</v>
      </c>
      <c r="KS212" s="1008" t="s">
        <v>206</v>
      </c>
      <c r="KT212" s="1007">
        <v>0.23658800000000113</v>
      </c>
      <c r="KU212" s="1008" t="s">
        <v>206</v>
      </c>
      <c r="KV212" s="1007">
        <v>-4.1624440000000007</v>
      </c>
      <c r="KW212" s="1008" t="s">
        <v>204</v>
      </c>
      <c r="KX212" s="1007">
        <v>-0.43806400000000068</v>
      </c>
      <c r="KY212" s="1008">
        <v>0</v>
      </c>
      <c r="KZ212" s="1007">
        <v>-0.11285999999999774</v>
      </c>
      <c r="LA212" s="1008">
        <v>0</v>
      </c>
      <c r="LB212" s="1007">
        <v>0</v>
      </c>
      <c r="LC212" s="1008" t="s">
        <v>206</v>
      </c>
      <c r="LD212" s="1007">
        <v>-8.0757599999999989</v>
      </c>
      <c r="LE212" s="1008" t="s">
        <v>204</v>
      </c>
      <c r="LF212" s="1007">
        <v>-1.5726832000000037</v>
      </c>
      <c r="LG212" s="1008">
        <v>0</v>
      </c>
      <c r="LH212" s="1007">
        <v>0</v>
      </c>
      <c r="LI212" s="1008">
        <v>0</v>
      </c>
      <c r="LJ212" s="1007">
        <v>0</v>
      </c>
      <c r="LK212" s="1008" t="s">
        <v>555</v>
      </c>
      <c r="LL212" s="1007">
        <v>5.258</v>
      </c>
      <c r="LM212" s="1008" t="s">
        <v>555</v>
      </c>
      <c r="LN212" s="1007">
        <v>8.54392</v>
      </c>
      <c r="LO212" s="1008" t="s">
        <v>221</v>
      </c>
      <c r="LP212" s="1007">
        <v>-13.754</v>
      </c>
      <c r="LQ212" s="1008" t="s">
        <v>199</v>
      </c>
      <c r="LR212" s="1007">
        <v>12.42296</v>
      </c>
      <c r="LS212" s="1008">
        <v>0</v>
      </c>
      <c r="LT212" s="1007">
        <v>0</v>
      </c>
      <c r="LU212" s="1008">
        <v>0</v>
      </c>
      <c r="LV212" s="1007">
        <v>0.61919999999997999</v>
      </c>
      <c r="LW212" s="1008">
        <v>0</v>
      </c>
      <c r="LX212" s="1007">
        <v>0.75273440999999996</v>
      </c>
      <c r="LY212" s="1009">
        <v>0</v>
      </c>
      <c r="LZ212" s="1010">
        <v>0</v>
      </c>
      <c r="MA212" s="1011" t="s">
        <v>206</v>
      </c>
      <c r="MB212" s="1012">
        <v>4.6113759999999981</v>
      </c>
      <c r="MC212" s="995"/>
      <c r="MD212" s="996"/>
      <c r="ME212" s="997" t="s">
        <v>220</v>
      </c>
      <c r="MF212" s="997"/>
      <c r="MG212" s="998"/>
      <c r="NR212" s="1000"/>
      <c r="NS212" s="1000"/>
      <c r="NT212" s="1001"/>
      <c r="NU212" s="1000"/>
      <c r="NV212" s="1001"/>
      <c r="NX212" s="1002"/>
      <c r="NZ212" s="1001"/>
      <c r="OA212" s="1001"/>
      <c r="OC212" s="1003"/>
      <c r="OD212" s="1003"/>
      <c r="OE212" s="1001"/>
      <c r="OF212" s="1003"/>
      <c r="OG212" s="1003"/>
      <c r="QX212" s="1000">
        <f>CN212-CA212</f>
        <v>83.020734221499993</v>
      </c>
      <c r="ASU212" s="999" t="s">
        <v>225</v>
      </c>
    </row>
    <row r="213" spans="1:466 1191:1191" ht="21" customHeight="1" x14ac:dyDescent="0.25">
      <c r="A213" s="982" t="str">
        <f t="shared" si="104"/>
        <v>1108-2</v>
      </c>
      <c r="B213" s="124">
        <f>SUBTOTAL(103,$J$29:J213)</f>
        <v>185</v>
      </c>
      <c r="C213" s="126">
        <v>45068</v>
      </c>
      <c r="D213" s="124" t="s">
        <v>176</v>
      </c>
      <c r="E213" s="127" t="s">
        <v>177</v>
      </c>
      <c r="F213" s="128" t="s">
        <v>177</v>
      </c>
      <c r="G213" s="127" t="s">
        <v>178</v>
      </c>
      <c r="H213" s="127" t="s">
        <v>179</v>
      </c>
      <c r="I213" s="127" t="s">
        <v>881</v>
      </c>
      <c r="J213" s="152" t="s">
        <v>1027</v>
      </c>
      <c r="K213" s="127" t="s">
        <v>881</v>
      </c>
      <c r="L213" s="130">
        <v>41484</v>
      </c>
      <c r="M213" s="127" t="s">
        <v>230</v>
      </c>
      <c r="N213" s="127" t="s">
        <v>184</v>
      </c>
      <c r="O213" s="127" t="s">
        <v>185</v>
      </c>
      <c r="P213" s="127" t="s">
        <v>186</v>
      </c>
      <c r="Q213" s="85" t="str">
        <f t="shared" si="158"/>
        <v/>
      </c>
      <c r="R213" s="130"/>
      <c r="S213" s="128"/>
      <c r="T213" s="131"/>
      <c r="U213" s="132">
        <v>203</v>
      </c>
      <c r="V213" s="121">
        <v>218.2</v>
      </c>
      <c r="W213" s="116">
        <v>0.98</v>
      </c>
      <c r="X213" s="116">
        <v>1.66</v>
      </c>
      <c r="Y213" s="116">
        <f t="shared" si="137"/>
        <v>1.6372785829307568</v>
      </c>
      <c r="Z213" s="133">
        <v>1.454</v>
      </c>
      <c r="AA213" s="133">
        <v>0.83599999999999997</v>
      </c>
      <c r="AB213" s="133">
        <v>0.72</v>
      </c>
      <c r="AC213" s="121">
        <v>34.299999999999997</v>
      </c>
      <c r="AD213" s="134">
        <v>1.17</v>
      </c>
      <c r="AE213" s="124">
        <v>177.8</v>
      </c>
      <c r="AF213" s="128">
        <v>9.19</v>
      </c>
      <c r="AG213" s="128">
        <v>2320</v>
      </c>
      <c r="AH213" s="127">
        <v>2970</v>
      </c>
      <c r="AI213" s="127">
        <v>2970</v>
      </c>
      <c r="AJ213" s="135"/>
      <c r="AK213" s="128"/>
      <c r="AL213" s="131"/>
      <c r="AM213" s="124" t="s">
        <v>232</v>
      </c>
      <c r="AN213" s="136" t="s">
        <v>1028</v>
      </c>
      <c r="AO213" s="137">
        <v>28.16</v>
      </c>
      <c r="AP213" s="128">
        <v>2236</v>
      </c>
      <c r="AQ213" s="128">
        <v>437</v>
      </c>
      <c r="AR213" s="128"/>
      <c r="AS213" s="128"/>
      <c r="AT213" s="122"/>
      <c r="AU213" s="124" t="s">
        <v>883</v>
      </c>
      <c r="AV213" s="115">
        <f>VLOOKUP(J213,'[63]ТР нефть'!$J$28:$BP$638,39,0)</f>
        <v>300</v>
      </c>
      <c r="AW213" s="115" t="str">
        <f>VLOOKUP(J213,'[63]ТР нефть'!$J$28:$BP$638,40,0)</f>
        <v>ГК 45 15/16</v>
      </c>
      <c r="AX213" s="115" t="str">
        <f>VLOOKUP(J213,'[63]ТР нефть'!$J$28:$BP$638,41,0)</f>
        <v>-</v>
      </c>
      <c r="AY213" s="115" t="str">
        <f>VLOOKUP(J213,'[63]ТР нефть'!$J$28:$BP$638,42,0)</f>
        <v>-</v>
      </c>
      <c r="AZ213" s="115" t="str">
        <f>VLOOKUP(J213,'[63]ТР нефть'!$J$28:$BP$638,43,0)</f>
        <v>-</v>
      </c>
      <c r="BA213" s="115" t="str">
        <f>VLOOKUP(J213,'[63]ТР нефть'!$J$28:$BP$638,44,0)</f>
        <v>-</v>
      </c>
      <c r="BB213" s="115" t="str">
        <f>VLOOKUP(J213,'[63]ТР нефть'!$J$28:$BP$638,45,0)</f>
        <v>-</v>
      </c>
      <c r="BC213" s="115" t="str">
        <f>VLOOKUP(J213,'[63]ТР нефть'!$J$28:$BP$638,46,0)</f>
        <v>-</v>
      </c>
      <c r="BD213" s="115" t="str">
        <f>VLOOKUP(J213,'[63]ТР нефть'!$J$28:$BP$638,47,0)</f>
        <v>-</v>
      </c>
      <c r="BE213" s="115" t="str">
        <f>VLOOKUP(J213,'[63]ТР нефть'!$J$28:$BP$638,48,0)</f>
        <v>-</v>
      </c>
      <c r="BF213" s="115" t="str">
        <f>VLOOKUP(J213,'[63]ТР нефть'!$J$28:$BP$638,49,0)</f>
        <v>-</v>
      </c>
      <c r="BG213" s="115" t="str">
        <f>VLOOKUP(J213,'[63]ТР нефть'!$J$28:$BP$638,50,0)</f>
        <v>-</v>
      </c>
      <c r="BH213" s="115">
        <f>VLOOKUP(J213,'[63]ТР нефть'!$J$28:$BP$638,51,0)</f>
        <v>1753</v>
      </c>
      <c r="BI213" s="115" t="str">
        <f>VLOOKUP(J213,'[63]ТР нефть'!$J$28:$BP$638,52,0)</f>
        <v>закрыт</v>
      </c>
      <c r="BJ213" s="115" t="str">
        <f>IF(IFERROR(VLOOKUP(J213,'[63]ТР нефть'!$J$28:$BP$638,53,0),"-")=0,"-",IFERROR(VLOOKUP(J213,'[63]ТР нефть'!$J$28:$BP$638,53,0),"-"))</f>
        <v>-</v>
      </c>
      <c r="BK213" s="138" t="s">
        <v>1022</v>
      </c>
      <c r="BL213" s="138" t="str">
        <f>IF(IFERROR(VLOOKUP(J213,'[63]ТР нефть'!$J$28:$BP$638,55,0),"-")=0,"-",IFERROR(VLOOKUP(J213,'[63]ТР нефть'!$J$28:$BP$638,55,0),"-"))</f>
        <v>-</v>
      </c>
      <c r="BM213" s="205">
        <f>IF(IFERROR(VLOOKUP(J213,'[63]ТР нефть'!$J$28:$BP$638,56,0),"-")=0,"-",IFERROR(VLOOKUP(J213,'[63]ТР нефть'!$J$28:$BP$638,56,0),"-"))</f>
        <v>1111</v>
      </c>
      <c r="BN213" s="138">
        <f>IF(IFERROR(VLOOKUP(J213,'[63]ТР нефть'!$J$28:$BP$638,57,0),"-")=0,"-",IFERROR(VLOOKUP(J213,'[63]ТР нефть'!$J$28:$BP$638,57,0),"-"))</f>
        <v>55</v>
      </c>
      <c r="BO213" s="115">
        <f>IF(IFERROR(VLOOKUP(J213,'[63]ТР нефть'!$J$28:$BP$638,58,0),"-")=0,"-",IFERROR(VLOOKUP(J213,'[63]ТР нефть'!$J$28:$BP$638,58,0),"-"))</f>
        <v>63</v>
      </c>
      <c r="BP213" s="115" t="str">
        <f>IF(IFERROR(VLOOKUP(J213,'[63]ТР нефть'!$J$28:$BP$638,59,0),"-")=0,"-",IFERROR(VLOOKUP(J213,'[63]ТР нефть'!$J$28:$BP$638,59,0),"-"))</f>
        <v>-</v>
      </c>
      <c r="BQ213" s="138">
        <v>1815</v>
      </c>
      <c r="BR213" s="128">
        <v>1627</v>
      </c>
      <c r="BS213" s="115">
        <f t="shared" si="105"/>
        <v>188</v>
      </c>
      <c r="BT213" s="128">
        <v>73</v>
      </c>
      <c r="BU213" s="128">
        <v>5.5</v>
      </c>
      <c r="BV213" s="127">
        <v>65</v>
      </c>
      <c r="BW213" s="127" t="s">
        <v>217</v>
      </c>
      <c r="BX213" s="127" t="s">
        <v>195</v>
      </c>
      <c r="BY213" s="139">
        <v>24</v>
      </c>
      <c r="BZ213" s="139">
        <v>0</v>
      </c>
      <c r="CA213" s="138">
        <v>25</v>
      </c>
      <c r="CB213" s="138">
        <v>25</v>
      </c>
      <c r="CC213" s="138">
        <v>23</v>
      </c>
      <c r="CD213" s="135">
        <v>45017</v>
      </c>
      <c r="CE213" s="138">
        <v>135</v>
      </c>
      <c r="CF213" s="138"/>
      <c r="CG213" s="138" t="str">
        <f t="shared" si="153"/>
        <v/>
      </c>
      <c r="CH213" s="138" t="s">
        <v>197</v>
      </c>
      <c r="CI213" s="127"/>
      <c r="CJ213" s="138">
        <f>IF((BR213-(100*(CM213-CB213))/(9.8*(AB213+AA213)/2))&gt;0,BR213-(100*(CM213-CB213))/(9.8*(AB213+AA213)/2),0)</f>
        <v>1325.3369183148839</v>
      </c>
      <c r="CK213" s="138">
        <f t="shared" si="157"/>
        <v>42.589785199999994</v>
      </c>
      <c r="CL213" s="99"/>
      <c r="CM213" s="127">
        <v>48</v>
      </c>
      <c r="CN213" s="154">
        <f>IF(CM213=0,0,(((AP213-AQ213-BR213)*((AD213*(CQ213/100))+(AB213*((100-CQ213)/100)))*9.81/100+CM213)))</f>
        <v>67.589785199999994</v>
      </c>
      <c r="CO213" s="141">
        <f t="shared" si="106"/>
        <v>3.9292000000000038</v>
      </c>
      <c r="CP213" s="142">
        <v>235</v>
      </c>
      <c r="CQ213" s="143">
        <v>98</v>
      </c>
      <c r="CR213" s="138">
        <v>5</v>
      </c>
      <c r="CS213" s="139"/>
      <c r="CT213" s="138"/>
      <c r="CU213" s="138">
        <f t="shared" si="159"/>
        <v>5</v>
      </c>
      <c r="CV213" s="115">
        <f t="shared" si="160"/>
        <v>1272.5236689402411</v>
      </c>
      <c r="CW213" s="115" t="str">
        <f t="shared" si="109"/>
        <v/>
      </c>
      <c r="CX213" s="133">
        <f t="shared" si="161"/>
        <v>3.4861185459388269</v>
      </c>
      <c r="CY213" s="116"/>
      <c r="CZ213" s="131"/>
      <c r="DA213" s="145" t="str">
        <f t="shared" si="111"/>
        <v>ЭЦН</v>
      </c>
      <c r="DB213" s="146">
        <f t="shared" si="112"/>
        <v>3.9292000000000038</v>
      </c>
      <c r="DC213" s="142">
        <f t="shared" si="151"/>
        <v>235</v>
      </c>
      <c r="DD213" s="119">
        <f t="shared" si="152"/>
        <v>98</v>
      </c>
      <c r="DE213" s="115">
        <f t="shared" si="115"/>
        <v>5</v>
      </c>
      <c r="DF213" s="121">
        <f t="shared" si="116"/>
        <v>0</v>
      </c>
      <c r="DG213" s="115">
        <f t="shared" si="117"/>
        <v>1272.5236689402411</v>
      </c>
      <c r="DH213" s="115">
        <f t="shared" si="118"/>
        <v>67.589785199999994</v>
      </c>
      <c r="DI213" s="147"/>
      <c r="DJ213" s="111">
        <v>43844</v>
      </c>
      <c r="DK213" s="112">
        <v>43883</v>
      </c>
      <c r="DL213" s="113">
        <f t="shared" ca="1" si="138"/>
        <v>1221</v>
      </c>
      <c r="DM213" s="114">
        <v>18</v>
      </c>
      <c r="DN213" s="114">
        <v>48</v>
      </c>
      <c r="DO213" s="114">
        <v>35</v>
      </c>
      <c r="DP213" s="114"/>
      <c r="DQ213" s="112">
        <v>41699</v>
      </c>
      <c r="DR213" s="114" t="s">
        <v>324</v>
      </c>
      <c r="DS213" s="114"/>
      <c r="DT213" s="115">
        <v>60</v>
      </c>
      <c r="DU213" s="116">
        <f t="shared" si="139"/>
        <v>3.3741657872316067</v>
      </c>
      <c r="DV213" s="117">
        <f t="shared" si="140"/>
        <v>4.231203897188438</v>
      </c>
      <c r="DW213" s="118">
        <f t="shared" si="141"/>
        <v>253.06243404237048</v>
      </c>
      <c r="DX213" s="119">
        <f t="shared" si="119"/>
        <v>98</v>
      </c>
      <c r="DY213" s="115">
        <f t="shared" si="142"/>
        <v>5.3843071072844779</v>
      </c>
      <c r="DZ213" s="117">
        <f t="shared" si="143"/>
        <v>0.30200389718843423</v>
      </c>
      <c r="EA213" s="120">
        <f t="shared" si="143"/>
        <v>18.062434042370484</v>
      </c>
      <c r="EB213" s="119">
        <f t="shared" si="143"/>
        <v>0</v>
      </c>
      <c r="EC213" s="121">
        <f t="shared" si="144"/>
        <v>0.38430710728447792</v>
      </c>
      <c r="ED213" s="122"/>
      <c r="EE213" s="145">
        <v>65</v>
      </c>
      <c r="EF213" s="115">
        <v>26</v>
      </c>
      <c r="EG213" s="115">
        <v>26</v>
      </c>
      <c r="EH213" s="115">
        <v>25</v>
      </c>
      <c r="EI213" s="128" t="s">
        <v>218</v>
      </c>
      <c r="EJ213" s="121">
        <v>22</v>
      </c>
      <c r="EK213" s="121">
        <v>2</v>
      </c>
      <c r="EL213" s="149">
        <v>3.9</v>
      </c>
      <c r="EM213" s="142">
        <v>235</v>
      </c>
      <c r="EN213" s="119">
        <v>98</v>
      </c>
      <c r="EO213" s="115">
        <v>5</v>
      </c>
      <c r="EP213" s="115">
        <v>1272.5236689402411</v>
      </c>
      <c r="EQ213" s="115">
        <v>0</v>
      </c>
      <c r="ER213" s="115">
        <v>0</v>
      </c>
      <c r="ES213" s="115">
        <v>67.599999999999994</v>
      </c>
      <c r="ET213" s="150">
        <v>3.4860000000000002</v>
      </c>
      <c r="EU213" s="145">
        <f t="shared" si="120"/>
        <v>65</v>
      </c>
      <c r="EV213" s="115">
        <f t="shared" si="121"/>
        <v>25</v>
      </c>
      <c r="EW213" s="115">
        <f t="shared" si="121"/>
        <v>25</v>
      </c>
      <c r="EX213" s="115">
        <f t="shared" si="121"/>
        <v>23</v>
      </c>
      <c r="EY213" s="115" t="str">
        <f t="shared" si="156"/>
        <v>Постоянный</v>
      </c>
      <c r="EZ213" s="115">
        <f t="shared" si="155"/>
        <v>24</v>
      </c>
      <c r="FA213" s="115">
        <f t="shared" si="155"/>
        <v>0</v>
      </c>
      <c r="FB213" s="149">
        <f t="shared" si="123"/>
        <v>3.9292000000000038</v>
      </c>
      <c r="FC213" s="142">
        <f t="shared" si="123"/>
        <v>235</v>
      </c>
      <c r="FD213" s="119">
        <f t="shared" si="123"/>
        <v>98</v>
      </c>
      <c r="FE213" s="121">
        <f t="shared" si="103"/>
        <v>5</v>
      </c>
      <c r="FF213" s="121">
        <f t="shared" si="145"/>
        <v>1272.5236689402411</v>
      </c>
      <c r="FG213" s="121">
        <f t="shared" si="124"/>
        <v>0</v>
      </c>
      <c r="FH213" s="121">
        <f t="shared" si="146"/>
        <v>0</v>
      </c>
      <c r="FI213" s="121">
        <f t="shared" si="154"/>
        <v>67.589785199999994</v>
      </c>
      <c r="FJ213" s="144">
        <f t="shared" si="125"/>
        <v>3.4861185459388269</v>
      </c>
      <c r="FK213" s="132">
        <f t="shared" si="126"/>
        <v>0</v>
      </c>
      <c r="FL213" s="115">
        <f t="shared" si="126"/>
        <v>-1</v>
      </c>
      <c r="FM213" s="115">
        <f t="shared" si="126"/>
        <v>-1</v>
      </c>
      <c r="FN213" s="115">
        <f t="shared" si="126"/>
        <v>-2</v>
      </c>
      <c r="FO213" s="115">
        <f t="shared" si="150"/>
        <v>2</v>
      </c>
      <c r="FP213" s="115">
        <f t="shared" si="150"/>
        <v>-2</v>
      </c>
      <c r="FQ213" s="149">
        <f t="shared" si="150"/>
        <v>2.920000000000389E-2</v>
      </c>
      <c r="FR213" s="142">
        <f t="shared" si="148"/>
        <v>0</v>
      </c>
      <c r="FS213" s="119">
        <f t="shared" si="148"/>
        <v>0</v>
      </c>
      <c r="FT213" s="121">
        <f t="shared" si="148"/>
        <v>0</v>
      </c>
      <c r="FU213" s="121">
        <f t="shared" si="127"/>
        <v>0</v>
      </c>
      <c r="FV213" s="121">
        <f t="shared" si="127"/>
        <v>0</v>
      </c>
      <c r="FW213" s="121">
        <f t="shared" si="128"/>
        <v>0</v>
      </c>
      <c r="FX213" s="121">
        <f t="shared" si="129"/>
        <v>-1.0214799999999968E-2</v>
      </c>
      <c r="FY213" s="144">
        <f t="shared" si="129"/>
        <v>1.1854593882665299E-4</v>
      </c>
      <c r="FZ213" s="145"/>
      <c r="GA213" s="151"/>
      <c r="GB213" s="145"/>
      <c r="GC213" s="151"/>
      <c r="GD213" s="997" t="s">
        <v>220</v>
      </c>
      <c r="GE213" s="1004"/>
      <c r="GF213" s="1004">
        <v>0</v>
      </c>
      <c r="GG213" s="1004" t="s">
        <v>146</v>
      </c>
      <c r="GH213" s="1004">
        <v>-2.8256800000000024</v>
      </c>
      <c r="GI213" s="145" t="s">
        <v>199</v>
      </c>
      <c r="GJ213" s="996">
        <v>1.310328676800002</v>
      </c>
      <c r="GK213" s="145"/>
      <c r="GL213" s="996">
        <v>0</v>
      </c>
      <c r="GM213" s="1005"/>
      <c r="GN213" s="996">
        <v>0</v>
      </c>
      <c r="GO213" s="1006"/>
      <c r="GP213" s="996">
        <v>-0.53044099679999768</v>
      </c>
      <c r="GQ213" s="1006" t="s">
        <v>259</v>
      </c>
      <c r="GR213" s="996">
        <v>-2.1654876800000009</v>
      </c>
      <c r="GS213" s="1006" t="s">
        <v>199</v>
      </c>
      <c r="GT213" s="996">
        <v>-4.5980000000000008</v>
      </c>
      <c r="GU213" s="1006" t="s">
        <v>146</v>
      </c>
      <c r="GV213" s="996">
        <v>-1.8057600000000047</v>
      </c>
      <c r="GW213" s="1006"/>
      <c r="GX213" s="1036">
        <v>0.25080000000000169</v>
      </c>
      <c r="GY213" s="1006"/>
      <c r="GZ213" s="996">
        <v>-0.45461680000000015</v>
      </c>
      <c r="HA213" s="1006" t="s">
        <v>223</v>
      </c>
      <c r="HB213" s="996">
        <v>-7.1295751999999979</v>
      </c>
      <c r="HC213" s="1006"/>
      <c r="HD213" s="996">
        <v>0</v>
      </c>
      <c r="HE213" s="1006" t="s">
        <v>886</v>
      </c>
      <c r="HF213" s="996">
        <v>7.1319159999999968</v>
      </c>
      <c r="HG213" s="1006"/>
      <c r="HH213" s="996">
        <v>0</v>
      </c>
      <c r="HI213" s="1006" t="s">
        <v>204</v>
      </c>
      <c r="HJ213" s="996">
        <v>6.0986200000000093</v>
      </c>
      <c r="HK213" s="1006" t="s">
        <v>204</v>
      </c>
      <c r="HL213" s="996">
        <v>5.6312159999999922</v>
      </c>
      <c r="HM213" s="1006"/>
      <c r="HN213" s="996">
        <v>0</v>
      </c>
      <c r="HO213" s="1006"/>
      <c r="HP213" s="996">
        <v>0</v>
      </c>
      <c r="HQ213" s="1006" t="s">
        <v>199</v>
      </c>
      <c r="HR213" s="996">
        <v>22.822277500000002</v>
      </c>
      <c r="HS213" s="1006"/>
      <c r="HT213" s="996">
        <v>0</v>
      </c>
      <c r="HU213" s="1006" t="s">
        <v>886</v>
      </c>
      <c r="HV213" s="996">
        <v>-9.9439633480000023</v>
      </c>
      <c r="HW213" s="1006" t="s">
        <v>199</v>
      </c>
      <c r="HX213" s="996">
        <v>3.9754458480000014</v>
      </c>
      <c r="HY213" s="1006"/>
      <c r="HZ213" s="996">
        <v>0</v>
      </c>
      <c r="IA213" s="1006"/>
      <c r="IB213" s="996">
        <v>0</v>
      </c>
      <c r="IC213" s="1006"/>
      <c r="ID213" s="996">
        <v>0</v>
      </c>
      <c r="IE213" s="1006"/>
      <c r="IF213" s="996">
        <v>0</v>
      </c>
      <c r="IG213" s="1006" t="s">
        <v>199</v>
      </c>
      <c r="IH213" s="996">
        <v>-4.4057199999999987</v>
      </c>
      <c r="II213" s="1006"/>
      <c r="IJ213" s="996">
        <v>0</v>
      </c>
      <c r="IK213" s="1006" t="s">
        <v>199</v>
      </c>
      <c r="IL213" s="996">
        <v>-5.4256399999999996</v>
      </c>
      <c r="IM213" s="1006" t="s">
        <v>204</v>
      </c>
      <c r="IN213" s="996">
        <v>2.2054984159999993</v>
      </c>
      <c r="IO213" s="1006" t="s">
        <v>199</v>
      </c>
      <c r="IP213" s="996">
        <v>-15.962714416000003</v>
      </c>
      <c r="IQ213" s="1006" t="s">
        <v>199</v>
      </c>
      <c r="IR213" s="996">
        <v>7.0190560000000026</v>
      </c>
      <c r="IS213" s="1006"/>
      <c r="IT213" s="996">
        <v>0</v>
      </c>
      <c r="IU213" s="1006"/>
      <c r="IV213" s="996">
        <v>0</v>
      </c>
      <c r="IW213" s="1006" t="s">
        <v>146</v>
      </c>
      <c r="IX213" s="996">
        <v>3.6115199999999987</v>
      </c>
      <c r="IY213" s="1006" t="s">
        <v>146</v>
      </c>
      <c r="IZ213" s="996">
        <v>-12.80752</v>
      </c>
      <c r="JA213" s="1006" t="s">
        <v>223</v>
      </c>
      <c r="JB213" s="996">
        <v>-2.3240800000000021</v>
      </c>
      <c r="JC213" s="1006" t="s">
        <v>223</v>
      </c>
      <c r="JD213" s="996">
        <v>-7.3233181999999957</v>
      </c>
      <c r="JE213" s="1006"/>
      <c r="JF213" s="996">
        <v>0</v>
      </c>
      <c r="JG213" s="1006"/>
      <c r="JH213" s="996">
        <v>0</v>
      </c>
      <c r="JI213" s="1006"/>
      <c r="JJ213" s="996">
        <v>0</v>
      </c>
      <c r="JK213" s="1007"/>
      <c r="JL213" s="1007">
        <v>0</v>
      </c>
      <c r="JM213" s="1007"/>
      <c r="JN213" s="1007">
        <v>0</v>
      </c>
      <c r="JO213" s="1008"/>
      <c r="JP213" s="1007">
        <v>0</v>
      </c>
      <c r="JQ213" s="1008" t="s">
        <v>199</v>
      </c>
      <c r="JR213" s="1007">
        <v>-7.7874235999999968</v>
      </c>
      <c r="JS213" s="1008">
        <v>0</v>
      </c>
      <c r="JT213" s="1007">
        <v>0</v>
      </c>
      <c r="JU213" s="1008"/>
      <c r="JV213" s="1007">
        <v>-2.0816400000008173E-2</v>
      </c>
      <c r="JW213" s="1008" t="s">
        <v>197</v>
      </c>
      <c r="JX213" s="1007">
        <v>0</v>
      </c>
      <c r="JY213" s="1008" t="s">
        <v>204</v>
      </c>
      <c r="JZ213" s="1007">
        <v>1.2707200000000043</v>
      </c>
      <c r="KA213" s="1008"/>
      <c r="KB213" s="1007">
        <v>0</v>
      </c>
      <c r="KC213" s="1008" t="s">
        <v>259</v>
      </c>
      <c r="KD213" s="1007">
        <v>4.4976799999999884</v>
      </c>
      <c r="KE213" s="1008" t="s">
        <v>199</v>
      </c>
      <c r="KF213" s="1007">
        <v>6.7088832800000091</v>
      </c>
      <c r="KG213" s="1008" t="s">
        <v>224</v>
      </c>
      <c r="KH213" s="1007">
        <v>0.59775671999999247</v>
      </c>
      <c r="KI213" s="1008"/>
      <c r="KJ213" s="1007">
        <v>0</v>
      </c>
      <c r="KK213" s="1008"/>
      <c r="KL213" s="1007">
        <v>0</v>
      </c>
      <c r="KM213" s="1008" t="s">
        <v>259</v>
      </c>
      <c r="KN213" s="1007">
        <v>0.76912000000000091</v>
      </c>
      <c r="KO213" s="1008" t="s">
        <v>206</v>
      </c>
      <c r="KP213" s="1007">
        <v>1.872639999999997</v>
      </c>
      <c r="KQ213" s="1008" t="s">
        <v>259</v>
      </c>
      <c r="KR213" s="1007">
        <v>-6.0250519999999881</v>
      </c>
      <c r="KS213" s="1008">
        <v>0</v>
      </c>
      <c r="KT213" s="1007">
        <v>0</v>
      </c>
      <c r="KU213" s="1008" t="s">
        <v>146</v>
      </c>
      <c r="KV213" s="1007">
        <v>-3.4719080000000062</v>
      </c>
      <c r="KW213" s="1008" t="s">
        <v>204</v>
      </c>
      <c r="KX213" s="1007">
        <v>-1.1361239999999952</v>
      </c>
      <c r="KY213" s="1008">
        <v>0</v>
      </c>
      <c r="KZ213" s="1007">
        <v>0</v>
      </c>
      <c r="LA213" s="1008" t="s">
        <v>206</v>
      </c>
      <c r="LB213" s="1007">
        <v>-5.0502760000000038</v>
      </c>
      <c r="LC213" s="1008" t="s">
        <v>204</v>
      </c>
      <c r="LD213" s="1007">
        <v>-1.6057052000000027</v>
      </c>
      <c r="LE213" s="1008" t="s">
        <v>259</v>
      </c>
      <c r="LF213" s="1007">
        <v>-6.3530147999999897</v>
      </c>
      <c r="LG213" s="1008" t="s">
        <v>204</v>
      </c>
      <c r="LH213" s="1007">
        <v>-1.2383999999999999</v>
      </c>
      <c r="LI213" s="1008" t="s">
        <v>204</v>
      </c>
      <c r="LJ213" s="1007">
        <v>9.6641600000000025</v>
      </c>
      <c r="LK213" s="1008" t="s">
        <v>555</v>
      </c>
      <c r="LL213" s="1007">
        <v>-7.2926744000000001</v>
      </c>
      <c r="LM213" s="1008" t="s">
        <v>555</v>
      </c>
      <c r="LN213" s="1007">
        <v>-4.2692100000000002</v>
      </c>
      <c r="LO213" s="1008" t="s">
        <v>206</v>
      </c>
      <c r="LP213" s="1007">
        <v>15.577999999999999</v>
      </c>
      <c r="LQ213" s="1008" t="s">
        <v>206</v>
      </c>
      <c r="LR213" s="1007">
        <v>3.1768100000000001</v>
      </c>
      <c r="LS213" s="1008">
        <v>0</v>
      </c>
      <c r="LT213" s="1007">
        <v>0</v>
      </c>
      <c r="LU213" s="1008">
        <v>0</v>
      </c>
      <c r="LV213" s="1007">
        <v>2.9752399999999</v>
      </c>
      <c r="LW213" s="1008">
        <v>0</v>
      </c>
      <c r="LX213" s="1007">
        <v>6.4296760000000006</v>
      </c>
      <c r="LY213" s="1009" t="s">
        <v>206</v>
      </c>
      <c r="LZ213" s="1010">
        <v>5.16</v>
      </c>
      <c r="MA213" s="1011">
        <v>0</v>
      </c>
      <c r="MB213" s="1012">
        <v>1.3376000000000019</v>
      </c>
      <c r="MC213" s="995"/>
      <c r="MD213" s="996"/>
      <c r="ME213" s="997" t="s">
        <v>220</v>
      </c>
      <c r="MF213" s="997"/>
      <c r="MG213" s="998"/>
      <c r="NR213" s="1000"/>
      <c r="NS213" s="1000"/>
      <c r="NT213" s="1001"/>
      <c r="NU213" s="1000"/>
      <c r="NV213" s="1001"/>
      <c r="NX213" s="1002"/>
      <c r="NZ213" s="1001"/>
      <c r="OA213" s="1001"/>
      <c r="OC213" s="1003"/>
      <c r="OD213" s="1003"/>
      <c r="OE213" s="1001"/>
      <c r="OF213" s="1003"/>
      <c r="OG213" s="1003"/>
      <c r="OH213" s="1003"/>
      <c r="OI213" s="1016"/>
      <c r="QX213" s="1000">
        <f>CN213-CA213</f>
        <v>42.589785199999994</v>
      </c>
      <c r="ASU213" s="999" t="s">
        <v>225</v>
      </c>
    </row>
    <row r="214" spans="1:466 1191:1191" ht="21" customHeight="1" x14ac:dyDescent="0.25">
      <c r="A214" s="982" t="str">
        <f t="shared" si="104"/>
        <v>1110-1</v>
      </c>
      <c r="B214" s="124">
        <f>SUBTOTAL(103,$J$29:J214)</f>
        <v>186</v>
      </c>
      <c r="C214" s="126">
        <v>45068</v>
      </c>
      <c r="D214" s="124" t="s">
        <v>176</v>
      </c>
      <c r="E214" s="127" t="s">
        <v>177</v>
      </c>
      <c r="F214" s="128" t="s">
        <v>177</v>
      </c>
      <c r="G214" s="127" t="s">
        <v>178</v>
      </c>
      <c r="H214" s="127" t="s">
        <v>179</v>
      </c>
      <c r="I214" s="127" t="s">
        <v>481</v>
      </c>
      <c r="J214" s="152" t="s">
        <v>1029</v>
      </c>
      <c r="K214" s="127" t="s">
        <v>481</v>
      </c>
      <c r="L214" s="130">
        <v>41886</v>
      </c>
      <c r="M214" s="127" t="s">
        <v>230</v>
      </c>
      <c r="N214" s="127" t="s">
        <v>184</v>
      </c>
      <c r="O214" s="127" t="s">
        <v>185</v>
      </c>
      <c r="P214" s="127" t="s">
        <v>292</v>
      </c>
      <c r="Q214" s="85" t="str">
        <f t="shared" si="158"/>
        <v/>
      </c>
      <c r="R214" s="130"/>
      <c r="S214" s="128"/>
      <c r="T214" s="131"/>
      <c r="U214" s="132">
        <v>203</v>
      </c>
      <c r="V214" s="121">
        <v>218.2</v>
      </c>
      <c r="W214" s="116">
        <v>0.98</v>
      </c>
      <c r="X214" s="116">
        <v>1.66</v>
      </c>
      <c r="Y214" s="116">
        <f t="shared" si="137"/>
        <v>1.2785287645394527</v>
      </c>
      <c r="Z214" s="133">
        <v>1.454</v>
      </c>
      <c r="AA214" s="133">
        <v>0.83599999999999997</v>
      </c>
      <c r="AB214" s="133">
        <v>0.72</v>
      </c>
      <c r="AC214" s="121">
        <v>34.299999999999997</v>
      </c>
      <c r="AD214" s="134">
        <v>1.17</v>
      </c>
      <c r="AE214" s="124">
        <v>177.8</v>
      </c>
      <c r="AF214" s="128">
        <v>9.19</v>
      </c>
      <c r="AG214" s="128">
        <v>2011</v>
      </c>
      <c r="AH214" s="127">
        <v>2700</v>
      </c>
      <c r="AI214" s="127">
        <v>2700</v>
      </c>
      <c r="AJ214" s="135"/>
      <c r="AK214" s="128"/>
      <c r="AL214" s="131"/>
      <c r="AM214" s="124" t="s">
        <v>232</v>
      </c>
      <c r="AN214" s="136" t="s">
        <v>1030</v>
      </c>
      <c r="AO214" s="137">
        <v>10</v>
      </c>
      <c r="AP214" s="128">
        <v>2011</v>
      </c>
      <c r="AQ214" s="128">
        <v>193.16</v>
      </c>
      <c r="AR214" s="128"/>
      <c r="AS214" s="128"/>
      <c r="AT214" s="122"/>
      <c r="AU214" s="124" t="s">
        <v>189</v>
      </c>
      <c r="AV214" s="115">
        <f>VLOOKUP(J214,'[63]ТР нефть'!$J$28:$BP$638,39,0)</f>
        <v>599.99999062500001</v>
      </c>
      <c r="AW214" s="115" t="str">
        <f>VLOOKUP(J214,'[63]ТР нефть'!$J$28:$BP$638,40,0)</f>
        <v>ГП</v>
      </c>
      <c r="AX214" s="115">
        <f>VLOOKUP(J214,'[63]ТР нефть'!$J$28:$BP$638,41,0)</f>
        <v>1199.99998125</v>
      </c>
      <c r="AY214" s="115" t="str">
        <f>VLOOKUP(J214,'[63]ТР нефть'!$J$28:$BP$638,42,0)</f>
        <v>ГК 81 1/8</v>
      </c>
      <c r="AZ214" s="115">
        <f>VLOOKUP(J214,'[63]ТР нефть'!$J$28:$BP$638,43,0)</f>
        <v>1499.999976563</v>
      </c>
      <c r="BA214" s="115" t="str">
        <f>VLOOKUP(J214,'[63]ТР нефть'!$J$28:$BP$638,44,0)</f>
        <v>ГК 80 1/8</v>
      </c>
      <c r="BB214" s="115" t="e">
        <f>VLOOKUP(J214,'[63]ТР нефть'!$J$28:$BP$638,45,0)</f>
        <v>#REF!</v>
      </c>
      <c r="BC214" s="115" t="e">
        <f>VLOOKUP(J214,'[63]ТР нефть'!$J$28:$BP$638,46,0)</f>
        <v>#REF!</v>
      </c>
      <c r="BD214" s="115" t="str">
        <f>VLOOKUP(J214,'[63]ТР нефть'!$J$28:$BP$638,47,0)</f>
        <v>-</v>
      </c>
      <c r="BE214" s="115" t="str">
        <f>VLOOKUP(J214,'[63]ТР нефть'!$J$28:$BP$638,48,0)</f>
        <v>-</v>
      </c>
      <c r="BF214" s="115" t="str">
        <f>VLOOKUP(J214,'[63]ТР нефть'!$J$28:$BP$638,49,0)</f>
        <v>-</v>
      </c>
      <c r="BG214" s="115" t="str">
        <f>VLOOKUP(J214,'[63]ТР нефть'!$J$28:$BP$638,50,0)</f>
        <v>-</v>
      </c>
      <c r="BH214" s="115">
        <f>VLOOKUP(J214,'[63]ТР нефть'!$J$28:$BP$638,51,0)</f>
        <v>1730</v>
      </c>
      <c r="BI214" s="115" t="str">
        <f>VLOOKUP(J214,'[63]ТР нефть'!$J$28:$BP$638,52,0)</f>
        <v>закрыт</v>
      </c>
      <c r="BJ214" s="115" t="str">
        <f>IF(IFERROR(VLOOKUP(J214,'[63]ТР нефть'!$J$28:$BP$638,53,0),"-")=0,"-",IFERROR(VLOOKUP(J214,'[63]ТР нефть'!$J$28:$BP$638,53,0),"-"))</f>
        <v>-</v>
      </c>
      <c r="BK214" s="138" t="str">
        <f>IF(IFERROR(VLOOKUP(J214,'[63]ТР нефть'!$J$28:$BP$638,54,0),"-")=0,"-",IFERROR(VLOOKUP(J214,'[63]ТР нефть'!$J$28:$BP$638,54,0),"-"))</f>
        <v>-</v>
      </c>
      <c r="BL214" s="138" t="str">
        <f>IF(IFERROR(VLOOKUP(J214,'[63]ТР нефть'!$J$28:$BP$638,55,0),"-")=0,"-",IFERROR(VLOOKUP(J214,'[63]ТР нефть'!$J$28:$BP$638,55,0),"-"))</f>
        <v>-</v>
      </c>
      <c r="BM214" s="138" t="str">
        <f>IF(IFERROR(VLOOKUP(J214,'[63]ТР нефть'!$J$28:$BP$638,56,0),"-")=0,"-",IFERROR(VLOOKUP(J214,'[63]ТР нефть'!$J$28:$BP$638,56,0),"-"))</f>
        <v>-</v>
      </c>
      <c r="BN214" s="138" t="str">
        <f>IF(IFERROR(VLOOKUP(J214,'[63]ТР нефть'!$J$28:$BP$638,57,0),"-")=0,"-",IFERROR(VLOOKUP(J214,'[63]ТР нефть'!$J$28:$BP$638,57,0),"-"))</f>
        <v>-</v>
      </c>
      <c r="BO214" s="115" t="str">
        <f>IF(IFERROR(VLOOKUP(J214,'[63]ТР нефть'!$J$28:$BP$638,58,0),"-")=0,"-",IFERROR(VLOOKUP(J214,'[63]ТР нефть'!$J$28:$BP$638,58,0),"-"))</f>
        <v>-</v>
      </c>
      <c r="BP214" s="115" t="str">
        <f>IF(IFERROR(VLOOKUP(J214,'[63]ТР нефть'!$J$28:$BP$638,59,0),"-")=0,"-",IFERROR(VLOOKUP(J214,'[63]ТР нефть'!$J$28:$BP$638,59,0),"-"))</f>
        <v>-</v>
      </c>
      <c r="BQ214" s="138">
        <v>2100</v>
      </c>
      <c r="BR214" s="128">
        <v>1825.49</v>
      </c>
      <c r="BS214" s="115">
        <f t="shared" si="105"/>
        <v>274.51</v>
      </c>
      <c r="BT214" s="128">
        <v>73</v>
      </c>
      <c r="BU214" s="128">
        <v>5.5</v>
      </c>
      <c r="BV214" s="127">
        <v>18</v>
      </c>
      <c r="BW214" s="127" t="s">
        <v>194</v>
      </c>
      <c r="BX214" s="127" t="s">
        <v>195</v>
      </c>
      <c r="BY214" s="139">
        <v>24</v>
      </c>
      <c r="BZ214" s="139">
        <v>0</v>
      </c>
      <c r="CA214" s="80">
        <v>28</v>
      </c>
      <c r="CB214" s="138">
        <v>50</v>
      </c>
      <c r="CC214" s="138">
        <v>27</v>
      </c>
      <c r="CD214" s="135">
        <v>45017</v>
      </c>
      <c r="CE214" s="138">
        <v>95</v>
      </c>
      <c r="CF214" s="138">
        <v>73</v>
      </c>
      <c r="CG214" s="138" t="str">
        <f t="shared" si="153"/>
        <v>В работе</v>
      </c>
      <c r="CH214" s="138" t="s">
        <v>196</v>
      </c>
      <c r="CI214" s="127"/>
      <c r="CJ214" s="138"/>
      <c r="CK214" s="138">
        <f t="shared" si="157"/>
        <v>30</v>
      </c>
      <c r="CL214" s="99"/>
      <c r="CM214" s="99"/>
      <c r="CN214" s="140">
        <v>58</v>
      </c>
      <c r="CO214" s="141">
        <f t="shared" si="106"/>
        <v>1.4918420000000003</v>
      </c>
      <c r="CP214" s="142">
        <v>4.1500000000000004</v>
      </c>
      <c r="CQ214" s="143">
        <v>57</v>
      </c>
      <c r="CR214" s="138">
        <v>15</v>
      </c>
      <c r="CS214" s="139">
        <v>12</v>
      </c>
      <c r="CT214" s="138"/>
      <c r="CU214" s="138">
        <f t="shared" si="159"/>
        <v>3</v>
      </c>
      <c r="CV214" s="115">
        <f t="shared" si="160"/>
        <v>2010.9368150246469</v>
      </c>
      <c r="CW214" s="115">
        <f t="shared" si="109"/>
        <v>2836.1479344216418</v>
      </c>
      <c r="CX214" s="133">
        <f t="shared" si="161"/>
        <v>0.11216216216216217</v>
      </c>
      <c r="CY214" s="116"/>
      <c r="CZ214" s="131"/>
      <c r="DA214" s="145" t="str">
        <f t="shared" si="111"/>
        <v>Газлифт</v>
      </c>
      <c r="DB214" s="146">
        <f t="shared" si="112"/>
        <v>1.4918420000000003</v>
      </c>
      <c r="DC214" s="142">
        <f t="shared" si="151"/>
        <v>4.1500000000000004</v>
      </c>
      <c r="DD214" s="119">
        <f t="shared" si="152"/>
        <v>57</v>
      </c>
      <c r="DE214" s="115">
        <f t="shared" si="115"/>
        <v>3</v>
      </c>
      <c r="DF214" s="121">
        <f t="shared" si="116"/>
        <v>12</v>
      </c>
      <c r="DG214" s="115">
        <f t="shared" si="117"/>
        <v>2010.9368150246469</v>
      </c>
      <c r="DH214" s="115">
        <f t="shared" si="118"/>
        <v>58</v>
      </c>
      <c r="DI214" s="147"/>
      <c r="DJ214" s="111" t="s">
        <v>197</v>
      </c>
      <c r="DK214" s="112">
        <v>41886</v>
      </c>
      <c r="DL214" s="113">
        <f t="shared" ca="1" si="138"/>
        <v>3218</v>
      </c>
      <c r="DM214" s="114"/>
      <c r="DN214" s="114"/>
      <c r="DO214" s="114"/>
      <c r="DP214" s="114"/>
      <c r="DQ214" s="112">
        <v>41886</v>
      </c>
      <c r="DR214" s="114" t="s">
        <v>324</v>
      </c>
      <c r="DS214" s="114"/>
      <c r="DT214" s="115">
        <v>58</v>
      </c>
      <c r="DU214" s="116">
        <f t="shared" si="139"/>
        <v>0.11216216216216217</v>
      </c>
      <c r="DV214" s="117">
        <f t="shared" si="140"/>
        <v>1.4918420000000003</v>
      </c>
      <c r="DW214" s="118">
        <f t="shared" si="141"/>
        <v>4.1500000000000004</v>
      </c>
      <c r="DX214" s="119">
        <f t="shared" si="119"/>
        <v>57</v>
      </c>
      <c r="DY214" s="115">
        <f t="shared" si="142"/>
        <v>3</v>
      </c>
      <c r="DZ214" s="117">
        <f t="shared" si="143"/>
        <v>0</v>
      </c>
      <c r="EA214" s="120">
        <f t="shared" si="143"/>
        <v>0</v>
      </c>
      <c r="EB214" s="119">
        <f t="shared" si="143"/>
        <v>0</v>
      </c>
      <c r="EC214" s="121">
        <f t="shared" si="144"/>
        <v>0</v>
      </c>
      <c r="ED214" s="122"/>
      <c r="EE214" s="145">
        <v>18</v>
      </c>
      <c r="EF214" s="148">
        <v>28</v>
      </c>
      <c r="EG214" s="115">
        <v>50</v>
      </c>
      <c r="EH214" s="115">
        <v>27</v>
      </c>
      <c r="EI214" s="128" t="s">
        <v>195</v>
      </c>
      <c r="EJ214" s="121">
        <v>24</v>
      </c>
      <c r="EK214" s="121">
        <v>0</v>
      </c>
      <c r="EL214" s="149">
        <v>1.4918420000000003</v>
      </c>
      <c r="EM214" s="142">
        <v>4.1500000000000004</v>
      </c>
      <c r="EN214" s="119">
        <v>57</v>
      </c>
      <c r="EO214" s="115">
        <v>15</v>
      </c>
      <c r="EP214" s="115">
        <v>2010.9368150246469</v>
      </c>
      <c r="EQ214" s="115">
        <v>73</v>
      </c>
      <c r="ER214" s="115">
        <v>12</v>
      </c>
      <c r="ES214" s="115">
        <v>58</v>
      </c>
      <c r="ET214" s="150">
        <v>0.11216216216216217</v>
      </c>
      <c r="EU214" s="145">
        <f t="shared" si="120"/>
        <v>18</v>
      </c>
      <c r="EV214" s="115">
        <f t="shared" si="121"/>
        <v>28</v>
      </c>
      <c r="EW214" s="115">
        <f t="shared" si="121"/>
        <v>50</v>
      </c>
      <c r="EX214" s="115">
        <f t="shared" si="121"/>
        <v>27</v>
      </c>
      <c r="EY214" s="115" t="str">
        <f t="shared" si="156"/>
        <v>Постоянный</v>
      </c>
      <c r="EZ214" s="115">
        <f t="shared" si="155"/>
        <v>24</v>
      </c>
      <c r="FA214" s="115">
        <f t="shared" si="155"/>
        <v>0</v>
      </c>
      <c r="FB214" s="149">
        <f t="shared" si="123"/>
        <v>1.4918420000000003</v>
      </c>
      <c r="FC214" s="142">
        <f t="shared" si="123"/>
        <v>4.1500000000000004</v>
      </c>
      <c r="FD214" s="119">
        <f t="shared" si="123"/>
        <v>57</v>
      </c>
      <c r="FE214" s="121">
        <f t="shared" si="103"/>
        <v>15</v>
      </c>
      <c r="FF214" s="121">
        <f t="shared" si="145"/>
        <v>2010.9368150246469</v>
      </c>
      <c r="FG214" s="121">
        <f t="shared" si="124"/>
        <v>73</v>
      </c>
      <c r="FH214" s="121">
        <f t="shared" si="146"/>
        <v>12</v>
      </c>
      <c r="FI214" s="121">
        <f t="shared" si="154"/>
        <v>58</v>
      </c>
      <c r="FJ214" s="144">
        <f t="shared" si="125"/>
        <v>0.11216216216216217</v>
      </c>
      <c r="FK214" s="132">
        <f t="shared" si="126"/>
        <v>0</v>
      </c>
      <c r="FL214" s="115">
        <f t="shared" si="126"/>
        <v>0</v>
      </c>
      <c r="FM214" s="115">
        <f t="shared" si="126"/>
        <v>0</v>
      </c>
      <c r="FN214" s="115">
        <f t="shared" si="126"/>
        <v>0</v>
      </c>
      <c r="FO214" s="115">
        <f t="shared" si="150"/>
        <v>0</v>
      </c>
      <c r="FP214" s="115">
        <f t="shared" si="150"/>
        <v>0</v>
      </c>
      <c r="FQ214" s="149">
        <f t="shared" si="150"/>
        <v>0</v>
      </c>
      <c r="FR214" s="142">
        <f t="shared" si="148"/>
        <v>0</v>
      </c>
      <c r="FS214" s="119">
        <f t="shared" si="148"/>
        <v>0</v>
      </c>
      <c r="FT214" s="121">
        <f t="shared" si="148"/>
        <v>0</v>
      </c>
      <c r="FU214" s="121">
        <f t="shared" si="127"/>
        <v>0</v>
      </c>
      <c r="FV214" s="121">
        <f t="shared" si="127"/>
        <v>0</v>
      </c>
      <c r="FW214" s="121">
        <f t="shared" si="128"/>
        <v>0</v>
      </c>
      <c r="FX214" s="121">
        <f t="shared" si="129"/>
        <v>0</v>
      </c>
      <c r="FY214" s="144">
        <f t="shared" si="129"/>
        <v>0</v>
      </c>
      <c r="FZ214" s="145"/>
      <c r="GA214" s="125"/>
      <c r="GB214" s="145"/>
      <c r="GC214" s="125"/>
      <c r="GD214" s="997" t="s">
        <v>202</v>
      </c>
      <c r="GE214" s="1004"/>
      <c r="GF214" s="1004">
        <v>0</v>
      </c>
      <c r="GG214" s="1004"/>
      <c r="GH214" s="1004">
        <v>-0.80815799999999949</v>
      </c>
      <c r="GI214" s="145"/>
      <c r="GJ214" s="996">
        <v>0</v>
      </c>
      <c r="GK214" s="145"/>
      <c r="GL214" s="996">
        <v>0.16720000000000024</v>
      </c>
      <c r="GM214" s="1005" t="s">
        <v>199</v>
      </c>
      <c r="GN214" s="996">
        <v>2.885872</v>
      </c>
      <c r="GO214" s="1006" t="s">
        <v>199</v>
      </c>
      <c r="GP214" s="996">
        <v>-1.5871292800000005</v>
      </c>
      <c r="GQ214" s="1006"/>
      <c r="GR214" s="996">
        <v>0</v>
      </c>
      <c r="GS214" s="1006"/>
      <c r="GT214" s="996">
        <v>-0.50119871999999921</v>
      </c>
      <c r="GU214" s="1006"/>
      <c r="GV214" s="996">
        <v>0</v>
      </c>
      <c r="GW214" s="1006"/>
      <c r="GX214" s="1035">
        <v>0</v>
      </c>
      <c r="GY214" s="1006"/>
      <c r="GZ214" s="996">
        <v>0</v>
      </c>
      <c r="HA214" s="1006" t="s">
        <v>203</v>
      </c>
      <c r="HB214" s="996">
        <v>-3.5233440000000007</v>
      </c>
      <c r="HC214" s="1006"/>
      <c r="HD214" s="996">
        <v>0</v>
      </c>
      <c r="HE214" s="1006"/>
      <c r="HF214" s="996">
        <v>0</v>
      </c>
      <c r="HG214" s="1006" t="s">
        <v>199</v>
      </c>
      <c r="HH214" s="996">
        <v>0.7811998656000001</v>
      </c>
      <c r="HI214" s="1006" t="s">
        <v>204</v>
      </c>
      <c r="HJ214" s="996">
        <v>-2.5916000000000001</v>
      </c>
      <c r="HK214" s="1006" t="s">
        <v>199</v>
      </c>
      <c r="HL214" s="996">
        <v>1.6385600000000005</v>
      </c>
      <c r="HM214" s="1006"/>
      <c r="HN214" s="996">
        <v>-5.0160000000000426E-2</v>
      </c>
      <c r="HO214" s="1006"/>
      <c r="HP214" s="996">
        <v>0</v>
      </c>
      <c r="HQ214" s="1006"/>
      <c r="HR214" s="996">
        <v>0.63535999999999992</v>
      </c>
      <c r="HS214" s="1006"/>
      <c r="HT214" s="996">
        <v>0</v>
      </c>
      <c r="HU214" s="1006"/>
      <c r="HV214" s="996">
        <v>-0.46816000000000013</v>
      </c>
      <c r="HW214" s="1006" t="s">
        <v>241</v>
      </c>
      <c r="HX214" s="996">
        <v>-1.9980399999999992</v>
      </c>
      <c r="HY214" s="1006"/>
      <c r="HZ214" s="996">
        <v>0</v>
      </c>
      <c r="IA214" s="1006"/>
      <c r="IB214" s="996">
        <v>0</v>
      </c>
      <c r="IC214" s="1006" t="s">
        <v>199</v>
      </c>
      <c r="ID214" s="996">
        <v>1.4964399999999998</v>
      </c>
      <c r="IE214" s="1006"/>
      <c r="IF214" s="996">
        <v>0.41799999999999971</v>
      </c>
      <c r="IG214" s="1006"/>
      <c r="IH214" s="996">
        <v>-0.33440000000000003</v>
      </c>
      <c r="II214" s="1006" t="s">
        <v>199</v>
      </c>
      <c r="IJ214" s="996">
        <v>-2.6751999999999994</v>
      </c>
      <c r="IK214" s="1006"/>
      <c r="IL214" s="996">
        <v>0</v>
      </c>
      <c r="IM214" s="1006" t="s">
        <v>223</v>
      </c>
      <c r="IN214" s="996">
        <v>-4.1559231999999993</v>
      </c>
      <c r="IO214" s="1006" t="s">
        <v>204</v>
      </c>
      <c r="IP214" s="996">
        <v>-1.9368448000000011</v>
      </c>
      <c r="IQ214" s="1006" t="s">
        <v>199</v>
      </c>
      <c r="IR214" s="996">
        <v>2.2832831999999996</v>
      </c>
      <c r="IS214" s="1006" t="s">
        <v>199</v>
      </c>
      <c r="IT214" s="996">
        <v>4.8126848000000004</v>
      </c>
      <c r="IU214" s="1006"/>
      <c r="IV214" s="996">
        <v>0</v>
      </c>
      <c r="IW214" s="1006"/>
      <c r="IX214" s="996">
        <v>0</v>
      </c>
      <c r="IY214" s="1006" t="s">
        <v>199</v>
      </c>
      <c r="IZ214" s="996">
        <v>-1.6720000000000006</v>
      </c>
      <c r="JA214" s="1006"/>
      <c r="JB214" s="996">
        <v>0.8360000000000003</v>
      </c>
      <c r="JC214" s="1006"/>
      <c r="JD214" s="996">
        <v>0</v>
      </c>
      <c r="JE214" s="1006"/>
      <c r="JF214" s="996">
        <v>0</v>
      </c>
      <c r="JG214" s="1006"/>
      <c r="JH214" s="996">
        <v>0</v>
      </c>
      <c r="JI214" s="1006"/>
      <c r="JJ214" s="996">
        <v>0</v>
      </c>
      <c r="JK214" s="1007"/>
      <c r="JL214" s="1007">
        <v>0</v>
      </c>
      <c r="JM214" s="1007"/>
      <c r="JN214" s="1007">
        <v>0</v>
      </c>
      <c r="JO214" s="1008"/>
      <c r="JP214" s="1007">
        <v>0</v>
      </c>
      <c r="JQ214" s="1008">
        <v>0</v>
      </c>
      <c r="JR214" s="1007">
        <v>0</v>
      </c>
      <c r="JS214" s="1008">
        <v>0</v>
      </c>
      <c r="JT214" s="1007">
        <v>0</v>
      </c>
      <c r="JU214" s="1008"/>
      <c r="JV214" s="1007">
        <v>0</v>
      </c>
      <c r="JW214" s="1008" t="s">
        <v>197</v>
      </c>
      <c r="JX214" s="1007">
        <v>0</v>
      </c>
      <c r="JY214" s="1008"/>
      <c r="JZ214" s="1007">
        <v>0</v>
      </c>
      <c r="KA214" s="1008"/>
      <c r="KB214" s="1007">
        <v>0</v>
      </c>
      <c r="KC214" s="1008"/>
      <c r="KD214" s="1007">
        <v>0</v>
      </c>
      <c r="KE214" s="1008"/>
      <c r="KF214" s="1007">
        <v>0</v>
      </c>
      <c r="KG214" s="1008" t="s">
        <v>207</v>
      </c>
      <c r="KH214" s="1007">
        <v>0.8360000000000003</v>
      </c>
      <c r="KI214" s="1008"/>
      <c r="KJ214" s="1007">
        <v>0</v>
      </c>
      <c r="KK214" s="1008"/>
      <c r="KL214" s="1007">
        <v>0</v>
      </c>
      <c r="KM214" s="1008"/>
      <c r="KN214" s="1007">
        <v>0</v>
      </c>
      <c r="KO214" s="1008"/>
      <c r="KP214" s="1007">
        <v>0</v>
      </c>
      <c r="KQ214" s="1008">
        <v>0</v>
      </c>
      <c r="KR214" s="1007">
        <v>0</v>
      </c>
      <c r="KS214" s="1008" t="s">
        <v>204</v>
      </c>
      <c r="KT214" s="1007">
        <v>-0.96976000000000084</v>
      </c>
      <c r="KU214" s="1008" t="s">
        <v>199</v>
      </c>
      <c r="KV214" s="1007">
        <v>-2.3742399999999995</v>
      </c>
      <c r="KW214" s="1008">
        <v>0</v>
      </c>
      <c r="KX214" s="1007">
        <v>0</v>
      </c>
      <c r="KY214" s="1008">
        <v>0</v>
      </c>
      <c r="KZ214" s="1007">
        <v>0</v>
      </c>
      <c r="LA214" s="1008" t="s">
        <v>206</v>
      </c>
      <c r="LB214" s="1007">
        <v>-2.1735999999999986</v>
      </c>
      <c r="LC214" s="1008" t="s">
        <v>204</v>
      </c>
      <c r="LD214" s="1007">
        <v>2.0862931759999981</v>
      </c>
      <c r="LE214" s="1008">
        <v>0</v>
      </c>
      <c r="LF214" s="1007">
        <v>0</v>
      </c>
      <c r="LG214" s="1008">
        <v>0</v>
      </c>
      <c r="LH214" s="1007">
        <v>-9.1519999999999992</v>
      </c>
      <c r="LI214" s="1008">
        <v>0</v>
      </c>
      <c r="LJ214" s="1007">
        <v>0</v>
      </c>
      <c r="LK214" s="1008">
        <v>0</v>
      </c>
      <c r="LL214" s="1007">
        <v>0</v>
      </c>
      <c r="LM214" s="1008" t="s">
        <v>555</v>
      </c>
      <c r="LN214" s="1007">
        <v>-2.0795499999999998</v>
      </c>
      <c r="LO214" s="1008">
        <v>0</v>
      </c>
      <c r="LP214" s="1007">
        <v>1.1728661999999996</v>
      </c>
      <c r="LQ214" s="1008" t="s">
        <v>206</v>
      </c>
      <c r="LR214" s="1007">
        <v>-2.8864154000000006</v>
      </c>
      <c r="LS214" s="1008">
        <v>0</v>
      </c>
      <c r="LT214" s="1007">
        <v>0</v>
      </c>
      <c r="LU214" s="1008">
        <v>0</v>
      </c>
      <c r="LV214" s="1007">
        <v>0</v>
      </c>
      <c r="LW214" s="1008" t="s">
        <v>207</v>
      </c>
      <c r="LX214" s="1007">
        <v>2.3299599999999998</v>
      </c>
      <c r="LY214" s="1009">
        <v>0</v>
      </c>
      <c r="LZ214" s="1010">
        <v>0.63218319999999795</v>
      </c>
      <c r="MA214" s="1011">
        <v>0</v>
      </c>
      <c r="MB214" s="1012">
        <v>-0.16636400000000001</v>
      </c>
      <c r="MC214" s="995"/>
      <c r="MD214" s="996"/>
      <c r="ME214" s="997" t="s">
        <v>202</v>
      </c>
      <c r="MF214" s="997"/>
      <c r="MG214" s="998"/>
      <c r="NR214" s="1000"/>
      <c r="NS214" s="1000"/>
      <c r="NT214" s="1001"/>
      <c r="NU214" s="1000"/>
      <c r="NV214" s="1001"/>
      <c r="NX214" s="1002"/>
      <c r="NZ214" s="1001"/>
      <c r="OA214" s="1001"/>
      <c r="OC214" s="1003"/>
      <c r="OD214" s="1003"/>
      <c r="OE214" s="1001"/>
      <c r="OF214" s="1003"/>
      <c r="OG214" s="1003"/>
      <c r="QX214" s="1000">
        <f>CN214-CA214</f>
        <v>30</v>
      </c>
      <c r="ASU214" s="999" t="s">
        <v>208</v>
      </c>
    </row>
    <row r="215" spans="1:466 1191:1191" ht="21" customHeight="1" x14ac:dyDescent="0.25">
      <c r="A215" s="982">
        <f t="shared" si="104"/>
        <v>1111</v>
      </c>
      <c r="B215" s="124">
        <f>SUBTOTAL(103,$J$29:J215)</f>
        <v>187</v>
      </c>
      <c r="C215" s="126">
        <v>45068</v>
      </c>
      <c r="D215" s="124" t="s">
        <v>176</v>
      </c>
      <c r="E215" s="127" t="s">
        <v>177</v>
      </c>
      <c r="F215" s="128" t="s">
        <v>177</v>
      </c>
      <c r="G215" s="127" t="s">
        <v>178</v>
      </c>
      <c r="H215" s="127" t="s">
        <v>179</v>
      </c>
      <c r="I215" s="127" t="s">
        <v>1031</v>
      </c>
      <c r="J215" s="152">
        <v>1111</v>
      </c>
      <c r="K215" s="127" t="s">
        <v>1031</v>
      </c>
      <c r="L215" s="130">
        <v>42004</v>
      </c>
      <c r="M215" s="127" t="s">
        <v>230</v>
      </c>
      <c r="N215" s="127" t="s">
        <v>184</v>
      </c>
      <c r="O215" s="127" t="s">
        <v>185</v>
      </c>
      <c r="P215" s="127" t="s">
        <v>186</v>
      </c>
      <c r="Q215" s="85" t="str">
        <f t="shared" si="158"/>
        <v/>
      </c>
      <c r="R215" s="130"/>
      <c r="S215" s="128"/>
      <c r="T215" s="131"/>
      <c r="U215" s="132">
        <v>203</v>
      </c>
      <c r="V215" s="121">
        <v>218.2</v>
      </c>
      <c r="W215" s="116">
        <v>0.98</v>
      </c>
      <c r="X215" s="116">
        <v>1.66</v>
      </c>
      <c r="Y215" s="116">
        <f t="shared" si="137"/>
        <v>0.98</v>
      </c>
      <c r="Z215" s="133">
        <v>1.454</v>
      </c>
      <c r="AA215" s="133">
        <v>0.83599999999999997</v>
      </c>
      <c r="AB215" s="133">
        <v>0.72</v>
      </c>
      <c r="AC215" s="121">
        <v>34.299999999999997</v>
      </c>
      <c r="AD215" s="134">
        <v>1.17</v>
      </c>
      <c r="AE215" s="124">
        <v>177.8</v>
      </c>
      <c r="AF215" s="128">
        <v>9.19</v>
      </c>
      <c r="AG215" s="128">
        <v>1996</v>
      </c>
      <c r="AH215" s="127">
        <v>2870</v>
      </c>
      <c r="AI215" s="127">
        <v>2870</v>
      </c>
      <c r="AJ215" s="135"/>
      <c r="AK215" s="128"/>
      <c r="AL215" s="131"/>
      <c r="AM215" s="124" t="s">
        <v>232</v>
      </c>
      <c r="AN215" s="136" t="s">
        <v>1032</v>
      </c>
      <c r="AO215" s="137">
        <v>97.46</v>
      </c>
      <c r="AP215" s="128">
        <v>1996</v>
      </c>
      <c r="AQ215" s="128">
        <v>93</v>
      </c>
      <c r="AR215" s="128"/>
      <c r="AS215" s="128"/>
      <c r="AT215" s="122"/>
      <c r="AU215" s="124" t="s">
        <v>189</v>
      </c>
      <c r="AV215" s="115">
        <f>VLOOKUP(J215,'[63]ТР нефть'!$J$28:$BP$638,39,0)</f>
        <v>440.00000800800001</v>
      </c>
      <c r="AW215" s="115" t="str">
        <f>VLOOKUP(J215,'[63]ТР нефть'!$J$28:$BP$638,40,0)</f>
        <v>ГП</v>
      </c>
      <c r="AX215" s="115">
        <f>VLOOKUP(J215,'[63]ТР нефть'!$J$28:$BP$638,41,0)</f>
        <v>790.00000253899998</v>
      </c>
      <c r="AY215" s="115" t="str">
        <f>VLOOKUP(J215,'[63]ТР нефть'!$J$28:$BP$638,42,0)</f>
        <v>ГП</v>
      </c>
      <c r="AZ215" s="115">
        <f>VLOOKUP(J215,'[63]ТР нефть'!$J$28:$BP$638,43,0)</f>
        <v>1070.00002793</v>
      </c>
      <c r="BA215" s="115" t="str">
        <f>VLOOKUP(J215,'[63]ТР нефть'!$J$28:$BP$638,44,0)</f>
        <v>ГП</v>
      </c>
      <c r="BB215" s="115">
        <f>VLOOKUP(J215,'[63]ТР нефть'!$J$28:$BP$638,45,0)</f>
        <v>1299.9999796879999</v>
      </c>
      <c r="BC215" s="115" t="str">
        <f>VLOOKUP(J215,'[63]ТР нефть'!$J$28:$BP$638,46,0)</f>
        <v>ГК 81 1/8</v>
      </c>
      <c r="BD215" s="115" t="str">
        <f>VLOOKUP(J215,'[63]ТР нефть'!$J$28:$BP$638,47,0)</f>
        <v>-</v>
      </c>
      <c r="BE215" s="115" t="str">
        <f>VLOOKUP(J215,'[63]ТР нефть'!$J$28:$BP$638,48,0)</f>
        <v>-</v>
      </c>
      <c r="BF215" s="115" t="str">
        <f>VLOOKUP(J215,'[63]ТР нефть'!$J$28:$BP$638,49,0)</f>
        <v>-</v>
      </c>
      <c r="BG215" s="115" t="str">
        <f>VLOOKUP(J215,'[63]ТР нефть'!$J$28:$BP$638,50,0)</f>
        <v>-</v>
      </c>
      <c r="BH215" s="115">
        <f>VLOOKUP(J215,'[63]ТР нефть'!$J$28:$BP$638,51,0)</f>
        <v>1670</v>
      </c>
      <c r="BI215" s="115" t="str">
        <f>VLOOKUP(J215,'[63]ТР нефть'!$J$28:$BP$638,52,0)</f>
        <v>открыт</v>
      </c>
      <c r="BJ215" s="115" t="str">
        <f>IF(IFERROR(VLOOKUP(J215,'[63]ТР нефть'!$J$28:$BP$638,53,0),"-")=0,"-",IFERROR(VLOOKUP(J215,'[63]ТР нефть'!$J$28:$BP$638,53,0),"-"))</f>
        <v>-</v>
      </c>
      <c r="BK215" s="138" t="str">
        <f>IF(IFERROR(VLOOKUP(J215,'[63]ТР нефть'!$J$28:$BP$638,54,0),"-")=0,"-",IFERROR(VLOOKUP(J215,'[63]ТР нефть'!$J$28:$BP$638,54,0),"-"))</f>
        <v>-</v>
      </c>
      <c r="BL215" s="138" t="str">
        <f>IF(IFERROR(VLOOKUP(J215,'[63]ТР нефть'!$J$28:$BP$638,55,0),"-")=0,"-",IFERROR(VLOOKUP(J215,'[63]ТР нефть'!$J$28:$BP$638,55,0),"-"))</f>
        <v>-</v>
      </c>
      <c r="BM215" s="138" t="str">
        <f>IF(IFERROR(VLOOKUP(J215,'[63]ТР нефть'!$J$28:$BP$638,56,0),"-")=0,"-",IFERROR(VLOOKUP(J215,'[63]ТР нефть'!$J$28:$BP$638,56,0),"-"))</f>
        <v>-</v>
      </c>
      <c r="BN215" s="138" t="str">
        <f>IF(IFERROR(VLOOKUP(J215,'[63]ТР нефть'!$J$28:$BP$638,57,0),"-")=0,"-",IFERROR(VLOOKUP(J215,'[63]ТР нефть'!$J$28:$BP$638,57,0),"-"))</f>
        <v>-</v>
      </c>
      <c r="BO215" s="115" t="str">
        <f>IF(IFERROR(VLOOKUP(J215,'[63]ТР нефть'!$J$28:$BP$638,58,0),"-")=0,"-",IFERROR(VLOOKUP(J215,'[63]ТР нефть'!$J$28:$BP$638,58,0),"-"))</f>
        <v>-</v>
      </c>
      <c r="BP215" s="115" t="str">
        <f>IF(IFERROR(VLOOKUP(J215,'[63]ТР нефть'!$J$28:$BP$638,59,0),"-")=0,"-",IFERROR(VLOOKUP(J215,'[63]ТР нефть'!$J$28:$BP$638,59,0),"-"))</f>
        <v>-</v>
      </c>
      <c r="BQ215" s="138">
        <v>2020</v>
      </c>
      <c r="BR215" s="128">
        <v>1745.56</v>
      </c>
      <c r="BS215" s="115">
        <f t="shared" si="105"/>
        <v>274.44000000000005</v>
      </c>
      <c r="BT215" s="128">
        <v>73</v>
      </c>
      <c r="BU215" s="128">
        <v>5.5</v>
      </c>
      <c r="BV215" s="127">
        <v>65</v>
      </c>
      <c r="BW215" s="127" t="s">
        <v>217</v>
      </c>
      <c r="BX215" s="127" t="s">
        <v>195</v>
      </c>
      <c r="BY215" s="139">
        <v>24</v>
      </c>
      <c r="BZ215" s="139">
        <v>0</v>
      </c>
      <c r="CA215" s="138">
        <v>28</v>
      </c>
      <c r="CB215" s="138">
        <v>40</v>
      </c>
      <c r="CC215" s="138">
        <v>27</v>
      </c>
      <c r="CD215" s="135">
        <v>45017</v>
      </c>
      <c r="CE215" s="138">
        <v>106</v>
      </c>
      <c r="CF215" s="138">
        <v>70</v>
      </c>
      <c r="CG215" s="138" t="str">
        <f t="shared" si="153"/>
        <v>В работе</v>
      </c>
      <c r="CH215" s="138" t="s">
        <v>196</v>
      </c>
      <c r="CI215" s="127">
        <v>5</v>
      </c>
      <c r="CJ215" s="138"/>
      <c r="CK215" s="138">
        <f t="shared" si="157"/>
        <v>19</v>
      </c>
      <c r="CL215" s="99"/>
      <c r="CM215" s="99"/>
      <c r="CN215" s="140">
        <v>47</v>
      </c>
      <c r="CO215" s="141">
        <f t="shared" si="106"/>
        <v>5.5175999999999998</v>
      </c>
      <c r="CP215" s="142">
        <v>6.6</v>
      </c>
      <c r="CQ215" s="143">
        <v>0</v>
      </c>
      <c r="CR215" s="138">
        <v>17</v>
      </c>
      <c r="CS215" s="139">
        <v>6</v>
      </c>
      <c r="CT215" s="138"/>
      <c r="CU215" s="138">
        <f t="shared" si="159"/>
        <v>11</v>
      </c>
      <c r="CV215" s="115">
        <f t="shared" si="160"/>
        <v>1993.6204146730463</v>
      </c>
      <c r="CW215" s="115">
        <f t="shared" si="109"/>
        <v>1087.429317094389</v>
      </c>
      <c r="CX215" s="133">
        <f t="shared" si="161"/>
        <v>0.11186440677966102</v>
      </c>
      <c r="CY215" s="116"/>
      <c r="CZ215" s="131"/>
      <c r="DA215" s="145" t="str">
        <f t="shared" si="111"/>
        <v>Газлифт</v>
      </c>
      <c r="DB215" s="146">
        <f t="shared" si="112"/>
        <v>5.5175999999999998</v>
      </c>
      <c r="DC215" s="142">
        <f t="shared" si="151"/>
        <v>6.6</v>
      </c>
      <c r="DD215" s="119">
        <f t="shared" si="152"/>
        <v>0</v>
      </c>
      <c r="DE215" s="115">
        <f t="shared" si="115"/>
        <v>11</v>
      </c>
      <c r="DF215" s="121">
        <f t="shared" si="116"/>
        <v>6</v>
      </c>
      <c r="DG215" s="115">
        <f t="shared" si="117"/>
        <v>1993.6204146730463</v>
      </c>
      <c r="DH215" s="115">
        <f t="shared" si="118"/>
        <v>47</v>
      </c>
      <c r="DI215" s="147"/>
      <c r="DJ215" s="111">
        <v>43609</v>
      </c>
      <c r="DK215" s="112">
        <v>42004</v>
      </c>
      <c r="DL215" s="113">
        <f t="shared" ca="1" si="138"/>
        <v>3100</v>
      </c>
      <c r="DM215" s="114"/>
      <c r="DN215" s="114"/>
      <c r="DO215" s="114"/>
      <c r="DP215" s="114"/>
      <c r="DQ215" s="112" t="s">
        <v>1033</v>
      </c>
      <c r="DR215" s="114" t="s">
        <v>198</v>
      </c>
      <c r="DS215" s="114"/>
      <c r="DT215" s="115">
        <v>50</v>
      </c>
      <c r="DU215" s="116">
        <f t="shared" si="139"/>
        <v>0.11785714285714285</v>
      </c>
      <c r="DV215" s="117">
        <f t="shared" si="140"/>
        <v>5.5175999999999998</v>
      </c>
      <c r="DW215" s="118">
        <f t="shared" si="141"/>
        <v>6.6</v>
      </c>
      <c r="DX215" s="119">
        <f t="shared" si="119"/>
        <v>0</v>
      </c>
      <c r="DY215" s="115">
        <f t="shared" si="142"/>
        <v>11</v>
      </c>
      <c r="DZ215" s="117">
        <f t="shared" si="143"/>
        <v>0</v>
      </c>
      <c r="EA215" s="120">
        <f t="shared" si="143"/>
        <v>0</v>
      </c>
      <c r="EB215" s="119">
        <f t="shared" si="143"/>
        <v>0</v>
      </c>
      <c r="EC215" s="121">
        <f t="shared" si="144"/>
        <v>0</v>
      </c>
      <c r="ED215" s="122"/>
      <c r="EE215" s="145">
        <v>65</v>
      </c>
      <c r="EF215" s="115">
        <v>28</v>
      </c>
      <c r="EG215" s="115">
        <v>36</v>
      </c>
      <c r="EH215" s="115">
        <v>27</v>
      </c>
      <c r="EI215" s="128" t="s">
        <v>195</v>
      </c>
      <c r="EJ215" s="121">
        <v>24</v>
      </c>
      <c r="EK215" s="121">
        <v>0</v>
      </c>
      <c r="EL215" s="149">
        <v>5.5175999999999998</v>
      </c>
      <c r="EM215" s="142">
        <v>6.6</v>
      </c>
      <c r="EN215" s="119">
        <v>0</v>
      </c>
      <c r="EO215" s="115">
        <v>17</v>
      </c>
      <c r="EP215" s="115">
        <v>1993.6204146730463</v>
      </c>
      <c r="EQ215" s="115">
        <v>75</v>
      </c>
      <c r="ER215" s="115">
        <v>6</v>
      </c>
      <c r="ES215" s="115">
        <v>46</v>
      </c>
      <c r="ET215" s="150">
        <v>0.11</v>
      </c>
      <c r="EU215" s="145">
        <f t="shared" si="120"/>
        <v>65</v>
      </c>
      <c r="EV215" s="115">
        <f t="shared" si="121"/>
        <v>28</v>
      </c>
      <c r="EW215" s="115">
        <f t="shared" si="121"/>
        <v>40</v>
      </c>
      <c r="EX215" s="115">
        <f t="shared" si="121"/>
        <v>27</v>
      </c>
      <c r="EY215" s="115" t="str">
        <f t="shared" si="156"/>
        <v>Постоянный</v>
      </c>
      <c r="EZ215" s="115">
        <f t="shared" si="155"/>
        <v>24</v>
      </c>
      <c r="FA215" s="115">
        <f t="shared" si="155"/>
        <v>0</v>
      </c>
      <c r="FB215" s="149">
        <f t="shared" si="123"/>
        <v>5.5175999999999998</v>
      </c>
      <c r="FC215" s="142">
        <f t="shared" si="123"/>
        <v>6.6</v>
      </c>
      <c r="FD215" s="119">
        <f t="shared" si="123"/>
        <v>0</v>
      </c>
      <c r="FE215" s="121">
        <f t="shared" si="103"/>
        <v>17</v>
      </c>
      <c r="FF215" s="121">
        <f t="shared" si="145"/>
        <v>1993.6204146730463</v>
      </c>
      <c r="FG215" s="121">
        <f t="shared" si="124"/>
        <v>70</v>
      </c>
      <c r="FH215" s="121">
        <f t="shared" si="146"/>
        <v>6</v>
      </c>
      <c r="FI215" s="121">
        <f t="shared" si="154"/>
        <v>47</v>
      </c>
      <c r="FJ215" s="144">
        <f t="shared" si="125"/>
        <v>0.11186440677966102</v>
      </c>
      <c r="FK215" s="132">
        <f t="shared" si="126"/>
        <v>0</v>
      </c>
      <c r="FL215" s="115">
        <f t="shared" si="126"/>
        <v>0</v>
      </c>
      <c r="FM215" s="115">
        <f t="shared" si="126"/>
        <v>4</v>
      </c>
      <c r="FN215" s="115">
        <f t="shared" si="126"/>
        <v>0</v>
      </c>
      <c r="FO215" s="115">
        <f t="shared" si="150"/>
        <v>0</v>
      </c>
      <c r="FP215" s="115">
        <f t="shared" si="150"/>
        <v>0</v>
      </c>
      <c r="FQ215" s="149">
        <f t="shared" si="150"/>
        <v>0</v>
      </c>
      <c r="FR215" s="142">
        <f t="shared" si="148"/>
        <v>0</v>
      </c>
      <c r="FS215" s="119">
        <f t="shared" si="148"/>
        <v>0</v>
      </c>
      <c r="FT215" s="121">
        <f t="shared" si="148"/>
        <v>0</v>
      </c>
      <c r="FU215" s="121">
        <f t="shared" si="127"/>
        <v>-5</v>
      </c>
      <c r="FV215" s="121">
        <f t="shared" si="127"/>
        <v>0</v>
      </c>
      <c r="FW215" s="121">
        <f t="shared" si="128"/>
        <v>0</v>
      </c>
      <c r="FX215" s="121">
        <f t="shared" si="129"/>
        <v>1</v>
      </c>
      <c r="FY215" s="144">
        <f t="shared" si="129"/>
        <v>1.8644067796610153E-3</v>
      </c>
      <c r="FZ215" s="145"/>
      <c r="GA215" s="151" t="s">
        <v>1034</v>
      </c>
      <c r="GB215" s="145" t="s">
        <v>199</v>
      </c>
      <c r="GC215" s="151" t="s">
        <v>415</v>
      </c>
      <c r="GD215" s="997" t="s">
        <v>220</v>
      </c>
      <c r="GE215" s="1004" t="s">
        <v>199</v>
      </c>
      <c r="GF215" s="1004">
        <v>-4.0128000000000004</v>
      </c>
      <c r="GG215" s="1004"/>
      <c r="GH215" s="1004">
        <v>-0.24327599999999983</v>
      </c>
      <c r="GI215" s="145"/>
      <c r="GJ215" s="996">
        <v>0</v>
      </c>
      <c r="GK215" s="145"/>
      <c r="GL215" s="996">
        <v>0</v>
      </c>
      <c r="GM215" s="1005"/>
      <c r="GN215" s="996">
        <v>0</v>
      </c>
      <c r="GO215" s="1006"/>
      <c r="GP215" s="996">
        <v>0</v>
      </c>
      <c r="GQ215" s="1006"/>
      <c r="GR215" s="996">
        <v>0</v>
      </c>
      <c r="GS215" s="1006" t="s">
        <v>221</v>
      </c>
      <c r="GT215" s="996">
        <v>-2.2367572919999983</v>
      </c>
      <c r="GU215" s="1006" t="s">
        <v>221</v>
      </c>
      <c r="GV215" s="996">
        <v>6.0333676919999979</v>
      </c>
      <c r="GW215" s="1006" t="s">
        <v>25</v>
      </c>
      <c r="GX215" s="1036">
        <v>0.54306560000000026</v>
      </c>
      <c r="GY215" s="1006" t="s">
        <v>199</v>
      </c>
      <c r="GZ215" s="996">
        <v>-2.7587999999999999</v>
      </c>
      <c r="HA215" s="1006" t="s">
        <v>199</v>
      </c>
      <c r="HB215" s="996">
        <v>-1.2539999999999996</v>
      </c>
      <c r="HC215" s="1006" t="s">
        <v>204</v>
      </c>
      <c r="HD215" s="996">
        <v>-2.8423999999999996</v>
      </c>
      <c r="HE215" s="1006"/>
      <c r="HF215" s="996">
        <v>0</v>
      </c>
      <c r="HG215" s="1006"/>
      <c r="HH215" s="996">
        <v>0</v>
      </c>
      <c r="HI215" s="1006"/>
      <c r="HJ215" s="996">
        <v>0</v>
      </c>
      <c r="HK215" s="1006"/>
      <c r="HL215" s="996">
        <v>0</v>
      </c>
      <c r="HM215" s="1006" t="s">
        <v>204</v>
      </c>
      <c r="HN215" s="996">
        <v>4.7651999999999992</v>
      </c>
      <c r="HO215" s="1006" t="s">
        <v>204</v>
      </c>
      <c r="HP215" s="996">
        <v>-2.508</v>
      </c>
      <c r="HQ215" s="1006"/>
      <c r="HR215" s="996">
        <v>0</v>
      </c>
      <c r="HS215" s="1006"/>
      <c r="HT215" s="996">
        <v>0</v>
      </c>
      <c r="HU215" s="1006"/>
      <c r="HV215" s="996">
        <v>0</v>
      </c>
      <c r="HW215" s="1006"/>
      <c r="HX215" s="996">
        <v>0</v>
      </c>
      <c r="HY215" s="1006"/>
      <c r="HZ215" s="996">
        <v>0</v>
      </c>
      <c r="IA215" s="1006" t="s">
        <v>433</v>
      </c>
      <c r="IB215" s="996">
        <v>-9.195999999999998</v>
      </c>
      <c r="IC215" s="1006" t="s">
        <v>314</v>
      </c>
      <c r="ID215" s="996">
        <v>7.227999999999998</v>
      </c>
      <c r="IE215" s="1006"/>
      <c r="IF215" s="996">
        <v>0</v>
      </c>
      <c r="IG215" s="1006"/>
      <c r="IH215" s="996">
        <v>-0.94467999999999996</v>
      </c>
      <c r="II215" s="1006" t="s">
        <v>199</v>
      </c>
      <c r="IJ215" s="996">
        <v>1.5943941200000005</v>
      </c>
      <c r="IK215" s="1006" t="s">
        <v>199</v>
      </c>
      <c r="IL215" s="996">
        <v>2.4673704000000001</v>
      </c>
      <c r="IM215" s="1006"/>
      <c r="IN215" s="996">
        <v>0</v>
      </c>
      <c r="IO215" s="1006" t="s">
        <v>199</v>
      </c>
      <c r="IP215" s="996">
        <v>-3.2322552239999993</v>
      </c>
      <c r="IQ215" s="1006"/>
      <c r="IR215" s="996">
        <v>0</v>
      </c>
      <c r="IS215" s="1006"/>
      <c r="IT215" s="996">
        <v>0.2316037679999976</v>
      </c>
      <c r="IU215" s="1006"/>
      <c r="IV215" s="996">
        <v>0</v>
      </c>
      <c r="IW215" s="1006" t="s">
        <v>223</v>
      </c>
      <c r="IX215" s="996">
        <v>-1.7682436639999999</v>
      </c>
      <c r="IY215" s="1006"/>
      <c r="IZ215" s="996">
        <v>0</v>
      </c>
      <c r="JA215" s="1006" t="s">
        <v>199</v>
      </c>
      <c r="JB215" s="996">
        <v>3.3363088000000012</v>
      </c>
      <c r="JC215" s="1006"/>
      <c r="JD215" s="996">
        <v>0</v>
      </c>
      <c r="JE215" s="1006"/>
      <c r="JF215" s="996">
        <v>0</v>
      </c>
      <c r="JG215" s="1006"/>
      <c r="JH215" s="996">
        <v>0</v>
      </c>
      <c r="JI215" s="1006"/>
      <c r="JJ215" s="996">
        <v>0</v>
      </c>
      <c r="JK215" s="1007" t="s">
        <v>199</v>
      </c>
      <c r="JL215" s="1007">
        <v>-2.0851930000000003</v>
      </c>
      <c r="JM215" s="1007"/>
      <c r="JN215" s="1007">
        <v>0</v>
      </c>
      <c r="JO215" s="1008"/>
      <c r="JP215" s="1007">
        <v>0</v>
      </c>
      <c r="JQ215" s="1008">
        <v>0</v>
      </c>
      <c r="JR215" s="1007">
        <v>0</v>
      </c>
      <c r="JS215" s="1008" t="s">
        <v>199</v>
      </c>
      <c r="JT215" s="1007">
        <v>1.4179312399999997</v>
      </c>
      <c r="JU215" s="1008" t="s">
        <v>199</v>
      </c>
      <c r="JV215" s="1007">
        <v>-3.1063168399999999</v>
      </c>
      <c r="JW215" s="1008" t="s">
        <v>197</v>
      </c>
      <c r="JX215" s="1007">
        <v>0</v>
      </c>
      <c r="JY215" s="1008"/>
      <c r="JZ215" s="1007">
        <v>0</v>
      </c>
      <c r="KA215" s="1008"/>
      <c r="KB215" s="1007">
        <v>0</v>
      </c>
      <c r="KC215" s="1008" t="s">
        <v>207</v>
      </c>
      <c r="KD215" s="1007">
        <v>-1.6718327999999989</v>
      </c>
      <c r="KE215" s="1008" t="s">
        <v>199</v>
      </c>
      <c r="KF215" s="1007">
        <v>1.6718327999999989</v>
      </c>
      <c r="KG215" s="1008"/>
      <c r="KH215" s="1007">
        <v>0</v>
      </c>
      <c r="KI215" s="1008"/>
      <c r="KJ215" s="1007">
        <v>0</v>
      </c>
      <c r="KK215" s="1008"/>
      <c r="KL215" s="1007">
        <v>0</v>
      </c>
      <c r="KM215" s="1008" t="s">
        <v>206</v>
      </c>
      <c r="KN215" s="1007">
        <v>-0.83591639999999856</v>
      </c>
      <c r="KO215" s="1008" t="s">
        <v>206</v>
      </c>
      <c r="KP215" s="1007">
        <v>-1.6718328000000007</v>
      </c>
      <c r="KQ215" s="1008">
        <v>0</v>
      </c>
      <c r="KR215" s="1007">
        <v>0</v>
      </c>
      <c r="KS215" s="1008">
        <v>0</v>
      </c>
      <c r="KT215" s="1007">
        <v>0</v>
      </c>
      <c r="KU215" s="1008">
        <v>0</v>
      </c>
      <c r="KV215" s="1007">
        <v>0</v>
      </c>
      <c r="KW215" s="1008" t="s">
        <v>204</v>
      </c>
      <c r="KX215" s="1007">
        <v>-0.9529446960000012</v>
      </c>
      <c r="KY215" s="1008" t="s">
        <v>206</v>
      </c>
      <c r="KZ215" s="1007">
        <v>2.9332614960000019</v>
      </c>
      <c r="LA215" s="1008">
        <v>0</v>
      </c>
      <c r="LB215" s="1007">
        <v>0</v>
      </c>
      <c r="LC215" s="1008">
        <v>0</v>
      </c>
      <c r="LD215" s="1007">
        <v>0</v>
      </c>
      <c r="LE215" s="1008">
        <v>0</v>
      </c>
      <c r="LF215" s="1007">
        <v>0</v>
      </c>
      <c r="LG215" s="1008">
        <v>0</v>
      </c>
      <c r="LH215" s="1007">
        <v>0</v>
      </c>
      <c r="LI215" s="1008">
        <v>0</v>
      </c>
      <c r="LJ215" s="1007">
        <v>0</v>
      </c>
      <c r="LK215" s="1008" t="s">
        <v>555</v>
      </c>
      <c r="LL215" s="1007">
        <v>0</v>
      </c>
      <c r="LM215" s="1008">
        <v>0</v>
      </c>
      <c r="LN215" s="1007">
        <v>0</v>
      </c>
      <c r="LO215" s="1008">
        <v>0</v>
      </c>
      <c r="LP215" s="1007">
        <v>-1.82792</v>
      </c>
      <c r="LQ215" s="1008" t="s">
        <v>203</v>
      </c>
      <c r="LR215" s="1007">
        <v>2.4929520000000007</v>
      </c>
      <c r="LS215" s="1008" t="s">
        <v>203</v>
      </c>
      <c r="LT215" s="1007">
        <v>-6.9826560000000004</v>
      </c>
      <c r="LU215" s="1008" t="s">
        <v>555</v>
      </c>
      <c r="LV215" s="1007">
        <v>3.5732311999999986</v>
      </c>
      <c r="LW215" s="1008">
        <v>0</v>
      </c>
      <c r="LX215" s="1007">
        <v>5.6924000000000001</v>
      </c>
      <c r="LY215" s="1009">
        <v>0</v>
      </c>
      <c r="LZ215" s="1010">
        <v>0</v>
      </c>
      <c r="MA215" s="1011" t="s">
        <v>207</v>
      </c>
      <c r="MB215" s="1012">
        <v>-8.3984000000000005</v>
      </c>
      <c r="MC215" s="995"/>
      <c r="MD215" s="996"/>
      <c r="ME215" s="997" t="s">
        <v>220</v>
      </c>
      <c r="MF215" s="997"/>
      <c r="MG215" s="998"/>
      <c r="NR215" s="1000"/>
      <c r="NS215" s="1000"/>
      <c r="NT215" s="1001"/>
      <c r="NU215" s="1000"/>
      <c r="NV215" s="1001"/>
      <c r="NX215" s="1002"/>
      <c r="NZ215" s="1001"/>
      <c r="OA215" s="1001"/>
      <c r="OC215" s="1003"/>
      <c r="OD215" s="1003"/>
      <c r="OE215" s="1001"/>
      <c r="OF215" s="1003"/>
      <c r="OG215" s="1003"/>
      <c r="QX215" s="1000">
        <f>CN215-CA215</f>
        <v>19</v>
      </c>
      <c r="ASU215" s="999" t="s">
        <v>208</v>
      </c>
    </row>
    <row r="216" spans="1:466 1191:1191" s="1026" customFormat="1" ht="21" customHeight="1" x14ac:dyDescent="0.25">
      <c r="A216" s="982" t="str">
        <f t="shared" si="104"/>
        <v>1111-2</v>
      </c>
      <c r="B216" s="124">
        <f>SUBTOTAL(103,$J$29:J216)</f>
        <v>188</v>
      </c>
      <c r="C216" s="126">
        <v>45068</v>
      </c>
      <c r="D216" s="124" t="s">
        <v>176</v>
      </c>
      <c r="E216" s="127" t="s">
        <v>177</v>
      </c>
      <c r="F216" s="128" t="s">
        <v>177</v>
      </c>
      <c r="G216" s="127" t="s">
        <v>178</v>
      </c>
      <c r="H216" s="127" t="s">
        <v>179</v>
      </c>
      <c r="I216" s="127" t="s">
        <v>1035</v>
      </c>
      <c r="J216" s="152" t="s">
        <v>1036</v>
      </c>
      <c r="K216" s="127" t="s">
        <v>1035</v>
      </c>
      <c r="L216" s="130">
        <v>41882</v>
      </c>
      <c r="M216" s="127" t="s">
        <v>230</v>
      </c>
      <c r="N216" s="127" t="s">
        <v>184</v>
      </c>
      <c r="O216" s="127" t="s">
        <v>185</v>
      </c>
      <c r="P216" s="127" t="s">
        <v>292</v>
      </c>
      <c r="Q216" s="85" t="str">
        <f t="shared" si="158"/>
        <v/>
      </c>
      <c r="R216" s="130"/>
      <c r="S216" s="128"/>
      <c r="T216" s="131"/>
      <c r="U216" s="132">
        <v>203</v>
      </c>
      <c r="V216" s="121">
        <v>218.2</v>
      </c>
      <c r="W216" s="116">
        <v>0.98</v>
      </c>
      <c r="X216" s="116">
        <v>1.66</v>
      </c>
      <c r="Y216" s="116">
        <f t="shared" si="137"/>
        <v>1.0487364620938628</v>
      </c>
      <c r="Z216" s="133">
        <v>1.454</v>
      </c>
      <c r="AA216" s="133">
        <v>0.83599999999999997</v>
      </c>
      <c r="AB216" s="133">
        <v>0.72</v>
      </c>
      <c r="AC216" s="121">
        <v>34.299999999999997</v>
      </c>
      <c r="AD216" s="134">
        <v>1.17</v>
      </c>
      <c r="AE216" s="124">
        <v>177.8</v>
      </c>
      <c r="AF216" s="128">
        <v>9.19</v>
      </c>
      <c r="AG216" s="128">
        <v>2183</v>
      </c>
      <c r="AH216" s="127">
        <v>2839</v>
      </c>
      <c r="AI216" s="127">
        <v>2839</v>
      </c>
      <c r="AJ216" s="135"/>
      <c r="AK216" s="128"/>
      <c r="AL216" s="131"/>
      <c r="AM216" s="124" t="s">
        <v>232</v>
      </c>
      <c r="AN216" s="136" t="s">
        <v>1037</v>
      </c>
      <c r="AO216" s="137">
        <v>13.5</v>
      </c>
      <c r="AP216" s="128">
        <v>2183</v>
      </c>
      <c r="AQ216" s="128">
        <v>253.05</v>
      </c>
      <c r="AR216" s="128"/>
      <c r="AS216" s="128"/>
      <c r="AT216" s="122"/>
      <c r="AU216" s="124" t="s">
        <v>189</v>
      </c>
      <c r="AV216" s="115">
        <f>VLOOKUP(J216,'[63]ТР нефть'!$J$28:$BP$638,39,0)</f>
        <v>569.99999853500003</v>
      </c>
      <c r="AW216" s="115" t="str">
        <f>VLOOKUP(J216,'[63]ТР нефть'!$J$28:$BP$638,40,0)</f>
        <v>ГК 78 /3</v>
      </c>
      <c r="AX216" s="115">
        <f>VLOOKUP(J216,'[63]ТР нефть'!$J$28:$BP$638,41,0)</f>
        <v>999.99998437500005</v>
      </c>
      <c r="AY216" s="115" t="str">
        <f>VLOOKUP(J216,'[63]ТР нефть'!$J$28:$BP$638,42,0)</f>
        <v>ГК 79/3</v>
      </c>
      <c r="AZ216" s="115">
        <f>VLOOKUP(J216,'[63]ТР нефть'!$J$28:$BP$638,43,0)</f>
        <v>1394.999948438</v>
      </c>
      <c r="BA216" s="115" t="str">
        <f>VLOOKUP(J216,'[63]ТР нефть'!$J$28:$BP$638,44,0)</f>
        <v>ГК 80/3</v>
      </c>
      <c r="BB216" s="115">
        <f>VLOOKUP(J216,'[63]ТР нефть'!$J$28:$BP$638,45,0)</f>
        <v>1740.0000621090001</v>
      </c>
      <c r="BC216" s="115" t="str">
        <f>VLOOKUP(J216,'[63]ТР нефть'!$J$28:$BP$638,46,0)</f>
        <v>ГК 80/4</v>
      </c>
      <c r="BD216" s="115">
        <f>VLOOKUP(J216,'[63]ТР нефть'!$J$28:$BP$638,47,0)</f>
        <v>1969.999939453</v>
      </c>
      <c r="BE216" s="115" t="str">
        <f>VLOOKUP(J216,'[63]ТР нефть'!$J$28:$BP$638,48,0)</f>
        <v>ЦКсОК 5/16</v>
      </c>
      <c r="BF216" s="115" t="str">
        <f>VLOOKUP(J216,'[63]ТР нефть'!$J$28:$BP$638,49,0)</f>
        <v>-</v>
      </c>
      <c r="BG216" s="115" t="str">
        <f>VLOOKUP(J216,'[63]ТР нефть'!$J$28:$BP$638,50,0)</f>
        <v>-</v>
      </c>
      <c r="BH216" s="115" t="str">
        <f>VLOOKUP(J216,'[63]ТР нефть'!$J$28:$BP$638,51,0)</f>
        <v>-</v>
      </c>
      <c r="BI216" s="115" t="str">
        <f>VLOOKUP(J216,'[63]ТР нефть'!$J$28:$BP$638,52,0)</f>
        <v>-</v>
      </c>
      <c r="BJ216" s="115" t="str">
        <f>IF(IFERROR(VLOOKUP(J216,'[63]ТР нефть'!$J$28:$BP$638,53,0),"-")=0,"-",IFERROR(VLOOKUP(J216,'[63]ТР нефть'!$J$28:$BP$638,53,0),"-"))</f>
        <v>-</v>
      </c>
      <c r="BK216" s="138" t="str">
        <f>IF(IFERROR(VLOOKUP(J216,'[63]ТР нефть'!$J$28:$BP$638,54,0),"-")=0,"-",IFERROR(VLOOKUP(J216,'[63]ТР нефть'!$J$28:$BP$638,54,0),"-"))</f>
        <v>-</v>
      </c>
      <c r="BL216" s="138" t="str">
        <f>IF(IFERROR(VLOOKUP(J216,'[63]ТР нефть'!$J$28:$BP$638,55,0),"-")=0,"-",IFERROR(VLOOKUP(J216,'[63]ТР нефть'!$J$28:$BP$638,55,0),"-"))</f>
        <v>-</v>
      </c>
      <c r="BM216" s="138" t="str">
        <f>IF(IFERROR(VLOOKUP(J216,'[63]ТР нефть'!$J$28:$BP$638,56,0),"-")=0,"-",IFERROR(VLOOKUP(J216,'[63]ТР нефть'!$J$28:$BP$638,56,0),"-"))</f>
        <v>-</v>
      </c>
      <c r="BN216" s="138" t="str">
        <f>IF(IFERROR(VLOOKUP(J216,'[63]ТР нефть'!$J$28:$BP$638,57,0),"-")=0,"-",IFERROR(VLOOKUP(J216,'[63]ТР нефть'!$J$28:$BP$638,57,0),"-"))</f>
        <v>-</v>
      </c>
      <c r="BO216" s="115" t="str">
        <f>IF(IFERROR(VLOOKUP(J216,'[63]ТР нефть'!$J$28:$BP$638,58,0),"-")=0,"-",IFERROR(VLOOKUP(J216,'[63]ТР нефть'!$J$28:$BP$638,58,0),"-"))</f>
        <v>-</v>
      </c>
      <c r="BP216" s="115" t="str">
        <f>IF(IFERROR(VLOOKUP(J216,'[63]ТР нефть'!$J$28:$BP$638,59,0),"-")=0,"-",IFERROR(VLOOKUP(J216,'[63]ТР нефть'!$J$28:$BP$638,59,0),"-"))</f>
        <v>-</v>
      </c>
      <c r="BQ216" s="138">
        <v>2270</v>
      </c>
      <c r="BR216" s="128">
        <v>1942.07</v>
      </c>
      <c r="BS216" s="115">
        <f t="shared" si="105"/>
        <v>327.93000000000006</v>
      </c>
      <c r="BT216" s="128">
        <v>73</v>
      </c>
      <c r="BU216" s="128">
        <v>5.5</v>
      </c>
      <c r="BV216" s="127">
        <v>18</v>
      </c>
      <c r="BW216" s="127" t="s">
        <v>217</v>
      </c>
      <c r="BX216" s="127" t="s">
        <v>195</v>
      </c>
      <c r="BY216" s="139">
        <v>24</v>
      </c>
      <c r="BZ216" s="139">
        <v>0</v>
      </c>
      <c r="CA216" s="80">
        <v>19</v>
      </c>
      <c r="CB216" s="138">
        <v>42</v>
      </c>
      <c r="CC216" s="138">
        <v>18</v>
      </c>
      <c r="CD216" s="135">
        <v>45017</v>
      </c>
      <c r="CE216" s="138">
        <v>91</v>
      </c>
      <c r="CF216" s="138">
        <v>80</v>
      </c>
      <c r="CG216" s="138" t="str">
        <f t="shared" si="153"/>
        <v>В работе</v>
      </c>
      <c r="CH216" s="138" t="s">
        <v>196</v>
      </c>
      <c r="CI216" s="127">
        <v>5</v>
      </c>
      <c r="CJ216" s="138"/>
      <c r="CK216" s="138">
        <f t="shared" si="157"/>
        <v>23</v>
      </c>
      <c r="CL216" s="99"/>
      <c r="CM216" s="99"/>
      <c r="CN216" s="140">
        <v>42</v>
      </c>
      <c r="CO216" s="141">
        <f t="shared" si="106"/>
        <v>3.370752</v>
      </c>
      <c r="CP216" s="142">
        <v>4.8</v>
      </c>
      <c r="CQ216" s="143">
        <v>16</v>
      </c>
      <c r="CR216" s="138">
        <v>9</v>
      </c>
      <c r="CS216" s="139">
        <v>7.4</v>
      </c>
      <c r="CT216" s="138"/>
      <c r="CU216" s="138">
        <f t="shared" si="159"/>
        <v>1.5999999999999996</v>
      </c>
      <c r="CV216" s="115">
        <f t="shared" si="160"/>
        <v>474.67152730310613</v>
      </c>
      <c r="CW216" s="115">
        <f t="shared" si="109"/>
        <v>1737.0500570879155</v>
      </c>
      <c r="CX216" s="133">
        <f t="shared" si="161"/>
        <v>9.7959183673469383E-2</v>
      </c>
      <c r="CY216" s="116"/>
      <c r="CZ216" s="131"/>
      <c r="DA216" s="145" t="str">
        <f t="shared" si="111"/>
        <v>Газлифт</v>
      </c>
      <c r="DB216" s="146">
        <f t="shared" si="112"/>
        <v>3.370752</v>
      </c>
      <c r="DC216" s="142">
        <f t="shared" si="151"/>
        <v>4.8</v>
      </c>
      <c r="DD216" s="119">
        <f t="shared" si="152"/>
        <v>16</v>
      </c>
      <c r="DE216" s="115">
        <f t="shared" si="115"/>
        <v>1.5999999999999996</v>
      </c>
      <c r="DF216" s="121">
        <f t="shared" si="116"/>
        <v>7.4</v>
      </c>
      <c r="DG216" s="115">
        <f t="shared" si="117"/>
        <v>474.67152730310613</v>
      </c>
      <c r="DH216" s="115">
        <f t="shared" si="118"/>
        <v>42</v>
      </c>
      <c r="DI216" s="147"/>
      <c r="DJ216" s="111" t="s">
        <v>197</v>
      </c>
      <c r="DK216" s="112">
        <v>43752</v>
      </c>
      <c r="DL216" s="113">
        <f t="shared" ca="1" si="138"/>
        <v>1352</v>
      </c>
      <c r="DM216" s="114"/>
      <c r="DN216" s="114"/>
      <c r="DO216" s="114"/>
      <c r="DP216" s="114"/>
      <c r="DQ216" s="112">
        <v>43708</v>
      </c>
      <c r="DR216" s="114" t="s">
        <v>282</v>
      </c>
      <c r="DS216" s="114"/>
      <c r="DT216" s="115">
        <v>42</v>
      </c>
      <c r="DU216" s="116">
        <f t="shared" si="139"/>
        <v>9.7959183673469383E-2</v>
      </c>
      <c r="DV216" s="117">
        <f t="shared" si="140"/>
        <v>3.370752</v>
      </c>
      <c r="DW216" s="118">
        <f t="shared" si="141"/>
        <v>4.8</v>
      </c>
      <c r="DX216" s="119">
        <f t="shared" si="119"/>
        <v>16</v>
      </c>
      <c r="DY216" s="115">
        <f t="shared" si="142"/>
        <v>1.5999999999999996</v>
      </c>
      <c r="DZ216" s="117">
        <f t="shared" si="143"/>
        <v>0</v>
      </c>
      <c r="EA216" s="120">
        <f t="shared" si="143"/>
        <v>0</v>
      </c>
      <c r="EB216" s="119">
        <f t="shared" si="143"/>
        <v>0</v>
      </c>
      <c r="EC216" s="121">
        <f t="shared" si="144"/>
        <v>0</v>
      </c>
      <c r="ED216" s="122"/>
      <c r="EE216" s="145">
        <v>18</v>
      </c>
      <c r="EF216" s="148">
        <v>20</v>
      </c>
      <c r="EG216" s="115">
        <v>36</v>
      </c>
      <c r="EH216" s="115">
        <v>19</v>
      </c>
      <c r="EI216" s="128" t="s">
        <v>195</v>
      </c>
      <c r="EJ216" s="121">
        <v>24</v>
      </c>
      <c r="EK216" s="121">
        <v>0</v>
      </c>
      <c r="EL216" s="149">
        <v>3.370752</v>
      </c>
      <c r="EM216" s="142">
        <v>4.8</v>
      </c>
      <c r="EN216" s="119">
        <v>16</v>
      </c>
      <c r="EO216" s="115">
        <v>9</v>
      </c>
      <c r="EP216" s="115">
        <v>474.67152730310613</v>
      </c>
      <c r="EQ216" s="115">
        <v>80</v>
      </c>
      <c r="ER216" s="115">
        <v>7.4</v>
      </c>
      <c r="ES216" s="115">
        <v>42</v>
      </c>
      <c r="ET216" s="150">
        <v>9.7959183673469383E-2</v>
      </c>
      <c r="EU216" s="145">
        <f t="shared" si="120"/>
        <v>18</v>
      </c>
      <c r="EV216" s="115">
        <f t="shared" si="121"/>
        <v>19</v>
      </c>
      <c r="EW216" s="115">
        <f t="shared" si="121"/>
        <v>42</v>
      </c>
      <c r="EX216" s="115">
        <f t="shared" si="121"/>
        <v>18</v>
      </c>
      <c r="EY216" s="115" t="str">
        <f t="shared" si="156"/>
        <v>Постоянный</v>
      </c>
      <c r="EZ216" s="115">
        <f t="shared" si="155"/>
        <v>24</v>
      </c>
      <c r="FA216" s="115">
        <f t="shared" si="155"/>
        <v>0</v>
      </c>
      <c r="FB216" s="149">
        <f t="shared" si="123"/>
        <v>3.370752</v>
      </c>
      <c r="FC216" s="142">
        <f t="shared" si="123"/>
        <v>4.8</v>
      </c>
      <c r="FD216" s="119">
        <f t="shared" si="123"/>
        <v>16</v>
      </c>
      <c r="FE216" s="121">
        <f t="shared" si="103"/>
        <v>9</v>
      </c>
      <c r="FF216" s="121">
        <f t="shared" si="145"/>
        <v>474.67152730310613</v>
      </c>
      <c r="FG216" s="121">
        <f t="shared" si="124"/>
        <v>80</v>
      </c>
      <c r="FH216" s="121">
        <f t="shared" si="146"/>
        <v>7.4</v>
      </c>
      <c r="FI216" s="121">
        <f t="shared" si="154"/>
        <v>42</v>
      </c>
      <c r="FJ216" s="144">
        <f t="shared" si="125"/>
        <v>9.7959183673469383E-2</v>
      </c>
      <c r="FK216" s="132">
        <f t="shared" si="126"/>
        <v>0</v>
      </c>
      <c r="FL216" s="115">
        <f t="shared" si="126"/>
        <v>-1</v>
      </c>
      <c r="FM216" s="115">
        <f t="shared" si="126"/>
        <v>6</v>
      </c>
      <c r="FN216" s="115">
        <f t="shared" si="126"/>
        <v>-1</v>
      </c>
      <c r="FO216" s="115">
        <f t="shared" si="150"/>
        <v>0</v>
      </c>
      <c r="FP216" s="115">
        <f t="shared" si="150"/>
        <v>0</v>
      </c>
      <c r="FQ216" s="149">
        <f t="shared" si="150"/>
        <v>0</v>
      </c>
      <c r="FR216" s="142">
        <f t="shared" si="148"/>
        <v>0</v>
      </c>
      <c r="FS216" s="119">
        <f t="shared" si="148"/>
        <v>0</v>
      </c>
      <c r="FT216" s="121">
        <f t="shared" si="148"/>
        <v>0</v>
      </c>
      <c r="FU216" s="121">
        <f t="shared" si="127"/>
        <v>0</v>
      </c>
      <c r="FV216" s="121">
        <f t="shared" si="127"/>
        <v>0</v>
      </c>
      <c r="FW216" s="121">
        <f t="shared" si="128"/>
        <v>0</v>
      </c>
      <c r="FX216" s="121">
        <f t="shared" si="129"/>
        <v>0</v>
      </c>
      <c r="FY216" s="144">
        <f t="shared" si="129"/>
        <v>0</v>
      </c>
      <c r="FZ216" s="145"/>
      <c r="GA216" s="151"/>
      <c r="GB216" s="145" t="s">
        <v>204</v>
      </c>
      <c r="GC216" s="151" t="s">
        <v>964</v>
      </c>
      <c r="GD216" s="997" t="s">
        <v>220</v>
      </c>
      <c r="GE216" s="1004" t="s">
        <v>204</v>
      </c>
      <c r="GF216" s="1004">
        <v>-3.0342619999999996</v>
      </c>
      <c r="GG216" s="1004"/>
      <c r="GH216" s="1004">
        <v>0</v>
      </c>
      <c r="GI216" s="145"/>
      <c r="GJ216" s="996">
        <v>0</v>
      </c>
      <c r="GK216" s="145" t="s">
        <v>223</v>
      </c>
      <c r="GL216" s="996">
        <v>-1.081366</v>
      </c>
      <c r="GM216" s="1005"/>
      <c r="GN216" s="996">
        <v>0</v>
      </c>
      <c r="GO216" s="1006"/>
      <c r="GP216" s="996">
        <v>0.12164468799999906</v>
      </c>
      <c r="GQ216" s="1006"/>
      <c r="GR216" s="996">
        <v>-0.55343868799999996</v>
      </c>
      <c r="GS216" s="1006"/>
      <c r="GT216" s="996">
        <v>8.3349200000000678E-2</v>
      </c>
      <c r="GU216" s="1006"/>
      <c r="GV216" s="996">
        <v>0</v>
      </c>
      <c r="GW216" s="1006"/>
      <c r="GX216" s="1036">
        <v>0</v>
      </c>
      <c r="GY216" s="1006"/>
      <c r="GZ216" s="996">
        <v>0.6959658200000014</v>
      </c>
      <c r="HA216" s="1006"/>
      <c r="HB216" s="996">
        <v>-0.19587062000000177</v>
      </c>
      <c r="HC216" s="1006" t="s">
        <v>199</v>
      </c>
      <c r="HD216" s="996">
        <v>1.1668887999999997</v>
      </c>
      <c r="HE216" s="1006"/>
      <c r="HF216" s="996">
        <v>0</v>
      </c>
      <c r="HG216" s="1006" t="s">
        <v>199</v>
      </c>
      <c r="HH216" s="996">
        <v>-3.2506187999999998</v>
      </c>
      <c r="HI216" s="1006"/>
      <c r="HJ216" s="996">
        <v>-0.58344439999999942</v>
      </c>
      <c r="HK216" s="1006"/>
      <c r="HL216" s="996">
        <v>0.80590399999999995</v>
      </c>
      <c r="HM216" s="1006"/>
      <c r="HN216" s="996">
        <v>0</v>
      </c>
      <c r="HO216" s="1006"/>
      <c r="HP216" s="996">
        <v>-0.8360000000000003</v>
      </c>
      <c r="HQ216" s="1006"/>
      <c r="HR216" s="996">
        <v>0</v>
      </c>
      <c r="HS216" s="1006"/>
      <c r="HT216" s="996">
        <v>0.6766166000000009</v>
      </c>
      <c r="HU216" s="1006"/>
      <c r="HV216" s="996">
        <v>0.33410739999999883</v>
      </c>
      <c r="HW216" s="1006"/>
      <c r="HX216" s="996">
        <v>0</v>
      </c>
      <c r="HY216" s="1006"/>
      <c r="HZ216" s="996">
        <v>0.91040400000000155</v>
      </c>
      <c r="IA216" s="1006"/>
      <c r="IB216" s="996">
        <v>-0.66211200000000048</v>
      </c>
      <c r="IC216" s="1006" t="s">
        <v>223</v>
      </c>
      <c r="ID216" s="996">
        <v>-3.2293008000000007</v>
      </c>
      <c r="IE216" s="1006"/>
      <c r="IF216" s="996">
        <v>0</v>
      </c>
      <c r="IG216" s="1006"/>
      <c r="IH216" s="996">
        <v>0</v>
      </c>
      <c r="II216" s="1006" t="s">
        <v>204</v>
      </c>
      <c r="IJ216" s="996">
        <v>-2.500475999999999</v>
      </c>
      <c r="IK216" s="1006" t="s">
        <v>199</v>
      </c>
      <c r="IL216" s="996">
        <v>1.6669839999999994</v>
      </c>
      <c r="IM216" s="1006"/>
      <c r="IN216" s="996">
        <v>0</v>
      </c>
      <c r="IO216" s="1006"/>
      <c r="IP216" s="996">
        <v>-0.58089526879999731</v>
      </c>
      <c r="IQ216" s="1006" t="s">
        <v>199</v>
      </c>
      <c r="IR216" s="996">
        <v>4.3878720687999966</v>
      </c>
      <c r="IS216" s="1006"/>
      <c r="IT216" s="996">
        <v>-0.3093199999999996</v>
      </c>
      <c r="IU216" s="1006" t="s">
        <v>199</v>
      </c>
      <c r="IV216" s="996">
        <v>-5.9550119200000005</v>
      </c>
      <c r="IW216" s="1006" t="s">
        <v>199</v>
      </c>
      <c r="IX216" s="996">
        <v>5.3614519200000021</v>
      </c>
      <c r="IY216" s="1006" t="s">
        <v>223</v>
      </c>
      <c r="IZ216" s="996">
        <v>-2.2321200000000001</v>
      </c>
      <c r="JA216" s="1006"/>
      <c r="JB216" s="996">
        <v>0</v>
      </c>
      <c r="JC216" s="1006"/>
      <c r="JD216" s="996">
        <v>0</v>
      </c>
      <c r="JE216" s="1006"/>
      <c r="JF216" s="996">
        <v>-0.8109200000000012</v>
      </c>
      <c r="JG216" s="1006" t="s">
        <v>199</v>
      </c>
      <c r="JH216" s="996">
        <v>2.4108567999999995</v>
      </c>
      <c r="JI216" s="1006"/>
      <c r="JJ216" s="996">
        <v>0</v>
      </c>
      <c r="JK216" s="1007" t="s">
        <v>203</v>
      </c>
      <c r="JL216" s="1007">
        <v>-6.8928714139999983</v>
      </c>
      <c r="JM216" s="1007" t="s">
        <v>342</v>
      </c>
      <c r="JN216" s="1007">
        <v>15.663239553279997</v>
      </c>
      <c r="JO216" s="1008"/>
      <c r="JP216" s="1007">
        <v>0</v>
      </c>
      <c r="JQ216" s="1008">
        <v>0</v>
      </c>
      <c r="JR216" s="1007">
        <v>0</v>
      </c>
      <c r="JS216" s="1008">
        <v>0</v>
      </c>
      <c r="JT216" s="1007">
        <v>0</v>
      </c>
      <c r="JU216" s="1008"/>
      <c r="JV216" s="1007">
        <v>0</v>
      </c>
      <c r="JW216" s="1008" t="s">
        <v>221</v>
      </c>
      <c r="JX216" s="1007">
        <v>1.6719999999999997</v>
      </c>
      <c r="JY216" s="1008"/>
      <c r="JZ216" s="1007">
        <v>0</v>
      </c>
      <c r="KA216" s="1008"/>
      <c r="KB216" s="1007">
        <v>0</v>
      </c>
      <c r="KC216" s="1008" t="s">
        <v>207</v>
      </c>
      <c r="KD216" s="1007">
        <v>-2.09</v>
      </c>
      <c r="KE216" s="1008" t="s">
        <v>204</v>
      </c>
      <c r="KF216" s="1007">
        <v>-0.36783999999999928</v>
      </c>
      <c r="KG216" s="1008" t="s">
        <v>204</v>
      </c>
      <c r="KH216" s="1007">
        <v>-2.9795040000000004</v>
      </c>
      <c r="KI216" s="1008"/>
      <c r="KJ216" s="1007">
        <v>2.9795040000000004</v>
      </c>
      <c r="KK216" s="1008"/>
      <c r="KL216" s="1007">
        <v>0</v>
      </c>
      <c r="KM216" s="1008"/>
      <c r="KN216" s="1007">
        <v>0</v>
      </c>
      <c r="KO216" s="1008" t="s">
        <v>206</v>
      </c>
      <c r="KP216" s="1007">
        <v>0.49658399999999947</v>
      </c>
      <c r="KQ216" s="1008">
        <v>0</v>
      </c>
      <c r="KR216" s="1007">
        <v>0</v>
      </c>
      <c r="KS216" s="1008">
        <v>0</v>
      </c>
      <c r="KT216" s="1007">
        <v>0</v>
      </c>
      <c r="KU216" s="1008" t="s">
        <v>207</v>
      </c>
      <c r="KV216" s="1007">
        <v>-3.186414000000001</v>
      </c>
      <c r="KW216" s="1008">
        <v>0</v>
      </c>
      <c r="KX216" s="1007">
        <v>0</v>
      </c>
      <c r="KY216" s="1008" t="s">
        <v>206</v>
      </c>
      <c r="KZ216" s="1007">
        <v>2.9285916000000007</v>
      </c>
      <c r="LA216" s="1008" t="s">
        <v>206</v>
      </c>
      <c r="LB216" s="1007">
        <v>1.3897664000000001</v>
      </c>
      <c r="LC216" s="1008">
        <v>0</v>
      </c>
      <c r="LD216" s="1007">
        <v>0</v>
      </c>
      <c r="LE216" s="1008">
        <v>0</v>
      </c>
      <c r="LF216" s="1007">
        <v>0</v>
      </c>
      <c r="LG216" s="1008">
        <v>0</v>
      </c>
      <c r="LH216" s="1007">
        <v>0</v>
      </c>
      <c r="LI216" s="1008">
        <v>0</v>
      </c>
      <c r="LJ216" s="1007">
        <v>0</v>
      </c>
      <c r="LK216" s="1008" t="s">
        <v>555</v>
      </c>
      <c r="LL216" s="1007">
        <v>-0.83432799999999996</v>
      </c>
      <c r="LM216" s="1008" t="s">
        <v>555</v>
      </c>
      <c r="LN216" s="1007">
        <v>-1.00119</v>
      </c>
      <c r="LO216" s="1008">
        <v>0</v>
      </c>
      <c r="LP216" s="1007">
        <v>0</v>
      </c>
      <c r="LQ216" s="1008">
        <v>0</v>
      </c>
      <c r="LR216" s="1007">
        <v>0</v>
      </c>
      <c r="LS216" s="1008">
        <v>0</v>
      </c>
      <c r="LT216" s="1007">
        <v>-0.83432799999999996</v>
      </c>
      <c r="LU216" s="1008">
        <v>0</v>
      </c>
      <c r="LV216" s="1007">
        <v>-0.41716409999999998</v>
      </c>
      <c r="LW216" s="1008">
        <v>0</v>
      </c>
      <c r="LX216" s="1007">
        <v>0</v>
      </c>
      <c r="LY216" s="1009">
        <v>0</v>
      </c>
      <c r="LZ216" s="1010">
        <v>0.41716409999999998</v>
      </c>
      <c r="MA216" s="1011">
        <v>0</v>
      </c>
      <c r="MB216" s="1012">
        <v>0.83432799999999996</v>
      </c>
      <c r="MC216" s="995"/>
      <c r="MD216" s="996"/>
      <c r="ME216" s="997" t="s">
        <v>220</v>
      </c>
      <c r="MF216" s="997"/>
      <c r="MG216" s="998"/>
      <c r="MH216" s="878"/>
      <c r="MI216" s="878"/>
      <c r="MJ216" s="878"/>
      <c r="MK216" s="878"/>
      <c r="ML216" s="878"/>
      <c r="MM216" s="878"/>
      <c r="MN216" s="878"/>
      <c r="MO216" s="878"/>
      <c r="MP216" s="878"/>
      <c r="MQ216" s="878"/>
      <c r="MR216" s="878"/>
      <c r="MS216" s="878"/>
      <c r="MT216" s="878"/>
      <c r="MU216" s="878"/>
      <c r="MV216" s="878"/>
      <c r="MW216" s="878"/>
      <c r="MX216" s="878"/>
      <c r="MY216" s="878"/>
      <c r="MZ216" s="878"/>
      <c r="NA216" s="878"/>
      <c r="NB216" s="878"/>
      <c r="NC216" s="878"/>
      <c r="ND216" s="878"/>
      <c r="NE216" s="878"/>
      <c r="NF216" s="878"/>
      <c r="NG216" s="878"/>
      <c r="NH216" s="878"/>
      <c r="NI216" s="878"/>
      <c r="NJ216" s="878"/>
      <c r="NK216" s="878"/>
      <c r="NL216" s="878"/>
      <c r="NM216" s="878"/>
      <c r="NR216" s="1027"/>
      <c r="NS216" s="1027"/>
      <c r="NT216" s="1028"/>
      <c r="NU216" s="1027"/>
      <c r="NV216" s="1028"/>
      <c r="NW216" s="1029"/>
      <c r="NX216" s="1030"/>
      <c r="NY216" s="1029"/>
      <c r="NZ216" s="1028"/>
      <c r="OA216" s="1028"/>
      <c r="OB216" s="1029"/>
      <c r="OC216" s="1031"/>
      <c r="OD216" s="1031"/>
      <c r="OE216" s="1028"/>
      <c r="OF216" s="1031"/>
      <c r="OG216" s="1031"/>
      <c r="QX216" s="1000">
        <f>CN216-CA216</f>
        <v>23</v>
      </c>
      <c r="ASU216" s="1026" t="s">
        <v>208</v>
      </c>
    </row>
    <row r="217" spans="1:466 1191:1191" s="1032" customFormat="1" ht="22.5" customHeight="1" x14ac:dyDescent="0.25">
      <c r="A217" s="982" t="str">
        <f t="shared" si="104"/>
        <v>1111-1</v>
      </c>
      <c r="B217" s="124">
        <f>SUBTOTAL(103,$J$29:J217)</f>
        <v>189</v>
      </c>
      <c r="C217" s="126">
        <v>45068</v>
      </c>
      <c r="D217" s="124" t="s">
        <v>176</v>
      </c>
      <c r="E217" s="127" t="s">
        <v>177</v>
      </c>
      <c r="F217" s="128" t="s">
        <v>177</v>
      </c>
      <c r="G217" s="127" t="s">
        <v>178</v>
      </c>
      <c r="H217" s="127" t="s">
        <v>179</v>
      </c>
      <c r="I217" s="127" t="s">
        <v>1035</v>
      </c>
      <c r="J217" s="152" t="s">
        <v>1038</v>
      </c>
      <c r="K217" s="127" t="s">
        <v>1035</v>
      </c>
      <c r="L217" s="130">
        <v>41814</v>
      </c>
      <c r="M217" s="127" t="s">
        <v>230</v>
      </c>
      <c r="N217" s="127" t="s">
        <v>184</v>
      </c>
      <c r="O217" s="127" t="s">
        <v>455</v>
      </c>
      <c r="P217" s="127" t="s">
        <v>292</v>
      </c>
      <c r="Q217" s="85" t="str">
        <f t="shared" si="158"/>
        <v/>
      </c>
      <c r="R217" s="130"/>
      <c r="S217" s="128" t="s">
        <v>156</v>
      </c>
      <c r="T217" s="131"/>
      <c r="U217" s="132">
        <v>203</v>
      </c>
      <c r="V217" s="121">
        <v>218.2</v>
      </c>
      <c r="W217" s="116">
        <v>0.98</v>
      </c>
      <c r="X217" s="116">
        <v>1.66</v>
      </c>
      <c r="Y217" s="116">
        <f t="shared" si="137"/>
        <v>0.98</v>
      </c>
      <c r="Z217" s="133">
        <v>1.454</v>
      </c>
      <c r="AA217" s="133">
        <v>0.83599999999999997</v>
      </c>
      <c r="AB217" s="133">
        <v>0.72</v>
      </c>
      <c r="AC217" s="121">
        <v>34.299999999999997</v>
      </c>
      <c r="AD217" s="134">
        <v>1.17</v>
      </c>
      <c r="AE217" s="124">
        <v>177.8</v>
      </c>
      <c r="AF217" s="128">
        <v>9.19</v>
      </c>
      <c r="AG217" s="128">
        <v>2183</v>
      </c>
      <c r="AH217" s="127">
        <v>2893</v>
      </c>
      <c r="AI217" s="127">
        <v>2893</v>
      </c>
      <c r="AJ217" s="135"/>
      <c r="AK217" s="128"/>
      <c r="AL217" s="131"/>
      <c r="AM217" s="124" t="s">
        <v>232</v>
      </c>
      <c r="AN217" s="136" t="s">
        <v>1039</v>
      </c>
      <c r="AO217" s="137">
        <v>22</v>
      </c>
      <c r="AP217" s="128">
        <v>2183</v>
      </c>
      <c r="AQ217" s="128">
        <v>268.82</v>
      </c>
      <c r="AR217" s="128"/>
      <c r="AS217" s="128"/>
      <c r="AT217" s="122"/>
      <c r="AU217" s="124" t="s">
        <v>189</v>
      </c>
      <c r="AV217" s="115">
        <f>VLOOKUP(J217,'[63]ТР нефть'!$J$28:$BP$638,39,0)</f>
        <v>599.99999062500001</v>
      </c>
      <c r="AW217" s="115" t="str">
        <f>VLOOKUP(J217,'[63]ТР нефть'!$J$28:$BP$638,40,0)</f>
        <v>ГП</v>
      </c>
      <c r="AX217" s="115">
        <f>VLOOKUP(J217,'[63]ТР нефть'!$J$28:$BP$638,41,0)</f>
        <v>1199.99998125</v>
      </c>
      <c r="AY217" s="115" t="str">
        <f>VLOOKUP(J217,'[63]ТР нефть'!$J$28:$BP$638,42,0)</f>
        <v>ГК 85/1,5</v>
      </c>
      <c r="AZ217" s="115">
        <f>VLOOKUP(J217,'[63]ТР нефть'!$J$28:$BP$638,43,0)</f>
        <v>1810.0000312499999</v>
      </c>
      <c r="BA217" s="115" t="str">
        <f>VLOOKUP(J217,'[63]ТР нефть'!$J$28:$BP$638,44,0)</f>
        <v>ЦКсОК 5/16</v>
      </c>
      <c r="BB217" s="115" t="str">
        <f>VLOOKUP(J217,'[63]ТР нефть'!$J$28:$BP$638,45,0)</f>
        <v>-</v>
      </c>
      <c r="BC217" s="115" t="str">
        <f>VLOOKUP(J217,'[63]ТР нефть'!$J$28:$BP$638,46,0)</f>
        <v>-</v>
      </c>
      <c r="BD217" s="115" t="str">
        <f>VLOOKUP(J217,'[63]ТР нефть'!$J$28:$BP$638,47,0)</f>
        <v>-</v>
      </c>
      <c r="BE217" s="115" t="str">
        <f>VLOOKUP(J217,'[63]ТР нефть'!$J$28:$BP$638,48,0)</f>
        <v>-</v>
      </c>
      <c r="BF217" s="115" t="str">
        <f>VLOOKUP(J217,'[63]ТР нефть'!$J$28:$BP$638,49,0)</f>
        <v>-</v>
      </c>
      <c r="BG217" s="115" t="str">
        <f>VLOOKUP(J217,'[63]ТР нефть'!$J$28:$BP$638,50,0)</f>
        <v>-</v>
      </c>
      <c r="BH217" s="115">
        <f>VLOOKUP(J217,'[63]ТР нефть'!$J$28:$BP$638,51,0)</f>
        <v>1820</v>
      </c>
      <c r="BI217" s="115" t="str">
        <f>VLOOKUP(J217,'[63]ТР нефть'!$J$28:$BP$638,52,0)</f>
        <v>закрыт</v>
      </c>
      <c r="BJ217" s="115" t="str">
        <f>IF(IFERROR(VLOOKUP(J217,'[63]ТР нефть'!$J$28:$BP$638,53,0),"-")=0,"-",IFERROR(VLOOKUP(J217,'[63]ТР нефть'!$J$28:$BP$638,53,0),"-"))</f>
        <v>-</v>
      </c>
      <c r="BK217" s="138" t="str">
        <f>IF(IFERROR(VLOOKUP(J217,'[63]ТР нефть'!$J$28:$BP$638,54,0),"-")=0,"-",IFERROR(VLOOKUP(J217,'[63]ТР нефть'!$J$28:$BP$638,54,0),"-"))</f>
        <v>-</v>
      </c>
      <c r="BL217" s="138" t="str">
        <f>IF(IFERROR(VLOOKUP(J217,'[63]ТР нефть'!$J$28:$BP$638,55,0),"-")=0,"-",IFERROR(VLOOKUP(J217,'[63]ТР нефть'!$J$28:$BP$638,55,0),"-"))</f>
        <v>-</v>
      </c>
      <c r="BM217" s="138" t="str">
        <f>IF(IFERROR(VLOOKUP(J217,'[63]ТР нефть'!$J$28:$BP$638,56,0),"-")=0,"-",IFERROR(VLOOKUP(J217,'[63]ТР нефть'!$J$28:$BP$638,56,0),"-"))</f>
        <v>-</v>
      </c>
      <c r="BN217" s="138" t="str">
        <f>IF(IFERROR(VLOOKUP(J217,'[63]ТР нефть'!$J$28:$BP$638,57,0),"-")=0,"-",IFERROR(VLOOKUP(J217,'[63]ТР нефть'!$J$28:$BP$638,57,0),"-"))</f>
        <v>-</v>
      </c>
      <c r="BO217" s="115" t="str">
        <f>IF(IFERROR(VLOOKUP(J217,'[63]ТР нефть'!$J$28:$BP$638,58,0),"-")=0,"-",IFERROR(VLOOKUP(J217,'[63]ТР нефть'!$J$28:$BP$638,58,0),"-"))</f>
        <v>-</v>
      </c>
      <c r="BP217" s="115" t="str">
        <f>IF(IFERROR(VLOOKUP(J217,'[63]ТР нефть'!$J$28:$BP$638,59,0),"-")=0,"-",IFERROR(VLOOKUP(J217,'[63]ТР нефть'!$J$28:$BP$638,59,0),"-"))</f>
        <v>-</v>
      </c>
      <c r="BQ217" s="138">
        <v>2198.9</v>
      </c>
      <c r="BR217" s="128">
        <v>1924.37</v>
      </c>
      <c r="BS217" s="115">
        <f t="shared" si="105"/>
        <v>274.5300000000002</v>
      </c>
      <c r="BT217" s="128">
        <v>73</v>
      </c>
      <c r="BU217" s="128">
        <v>5.5</v>
      </c>
      <c r="BV217" s="127">
        <v>18</v>
      </c>
      <c r="BW217" s="127" t="s">
        <v>217</v>
      </c>
      <c r="BX217" s="127" t="s">
        <v>218</v>
      </c>
      <c r="BY217" s="139">
        <v>24</v>
      </c>
      <c r="BZ217" s="139">
        <v>48</v>
      </c>
      <c r="CA217" s="80">
        <v>17</v>
      </c>
      <c r="CB217" s="138">
        <v>41</v>
      </c>
      <c r="CC217" s="138">
        <v>16</v>
      </c>
      <c r="CD217" s="135">
        <v>45017</v>
      </c>
      <c r="CE217" s="138">
        <v>123</v>
      </c>
      <c r="CF217" s="138">
        <v>74</v>
      </c>
      <c r="CG217" s="138" t="str">
        <f t="shared" si="153"/>
        <v>В работе</v>
      </c>
      <c r="CH217" s="138" t="s">
        <v>196</v>
      </c>
      <c r="CI217" s="127">
        <v>5</v>
      </c>
      <c r="CJ217" s="138"/>
      <c r="CK217" s="138">
        <f t="shared" si="157"/>
        <v>28.340000000000003</v>
      </c>
      <c r="CL217" s="99"/>
      <c r="CM217" s="99"/>
      <c r="CN217" s="140">
        <v>45.34</v>
      </c>
      <c r="CO217" s="141">
        <f t="shared" si="106"/>
        <v>5.016</v>
      </c>
      <c r="CP217" s="142">
        <v>6</v>
      </c>
      <c r="CQ217" s="143">
        <v>0</v>
      </c>
      <c r="CR217" s="138">
        <v>17</v>
      </c>
      <c r="CS217" s="139">
        <v>12</v>
      </c>
      <c r="CT217" s="138"/>
      <c r="CU217" s="138">
        <f t="shared" si="159"/>
        <v>5</v>
      </c>
      <c r="CV217" s="115">
        <f t="shared" si="160"/>
        <v>996.81020733652315</v>
      </c>
      <c r="CW217" s="115">
        <f t="shared" si="109"/>
        <v>2392.3444976076557</v>
      </c>
      <c r="CX217" s="133">
        <f t="shared" si="161"/>
        <v>7.7259850630955446E-2</v>
      </c>
      <c r="CY217" s="116"/>
      <c r="CZ217" s="131"/>
      <c r="DA217" s="145" t="str">
        <f t="shared" si="111"/>
        <v>Газлифт</v>
      </c>
      <c r="DB217" s="146">
        <f t="shared" si="112"/>
        <v>5.016</v>
      </c>
      <c r="DC217" s="142">
        <f t="shared" si="151"/>
        <v>6</v>
      </c>
      <c r="DD217" s="119">
        <f t="shared" si="152"/>
        <v>0</v>
      </c>
      <c r="DE217" s="115">
        <f t="shared" si="115"/>
        <v>5</v>
      </c>
      <c r="DF217" s="121">
        <f t="shared" si="116"/>
        <v>12</v>
      </c>
      <c r="DG217" s="115">
        <f t="shared" si="117"/>
        <v>996.81020733652315</v>
      </c>
      <c r="DH217" s="115">
        <f t="shared" si="118"/>
        <v>45.34</v>
      </c>
      <c r="DI217" s="147"/>
      <c r="DJ217" s="111" t="s">
        <v>197</v>
      </c>
      <c r="DK217" s="112">
        <v>41814</v>
      </c>
      <c r="DL217" s="113">
        <f t="shared" ca="1" si="138"/>
        <v>3290</v>
      </c>
      <c r="DM217" s="114"/>
      <c r="DN217" s="114"/>
      <c r="DO217" s="114"/>
      <c r="DP217" s="114"/>
      <c r="DQ217" s="112">
        <v>42560</v>
      </c>
      <c r="DR217" s="114" t="s">
        <v>198</v>
      </c>
      <c r="DS217" s="114"/>
      <c r="DT217" s="115">
        <v>40</v>
      </c>
      <c r="DU217" s="116">
        <f t="shared" si="139"/>
        <v>7.518758380505107E-2</v>
      </c>
      <c r="DV217" s="117">
        <f t="shared" si="140"/>
        <v>5.217116065064884</v>
      </c>
      <c r="DW217" s="118">
        <f t="shared" si="141"/>
        <v>6.2405694558192391</v>
      </c>
      <c r="DX217" s="119">
        <f t="shared" si="119"/>
        <v>0</v>
      </c>
      <c r="DY217" s="115">
        <f t="shared" si="142"/>
        <v>5.2004745465160331</v>
      </c>
      <c r="DZ217" s="117">
        <f t="shared" si="143"/>
        <v>0.201116065064884</v>
      </c>
      <c r="EA217" s="120">
        <f t="shared" si="143"/>
        <v>0.24056945581923905</v>
      </c>
      <c r="EB217" s="119">
        <f t="shared" si="143"/>
        <v>0</v>
      </c>
      <c r="EC217" s="121">
        <f t="shared" si="144"/>
        <v>0.20047454651603314</v>
      </c>
      <c r="ED217" s="122"/>
      <c r="EE217" s="145">
        <v>18</v>
      </c>
      <c r="EF217" s="148">
        <v>19</v>
      </c>
      <c r="EG217" s="115">
        <v>36</v>
      </c>
      <c r="EH217" s="115">
        <v>18</v>
      </c>
      <c r="EI217" s="128" t="s">
        <v>218</v>
      </c>
      <c r="EJ217" s="121">
        <v>24</v>
      </c>
      <c r="EK217" s="121">
        <v>48</v>
      </c>
      <c r="EL217" s="149">
        <v>5.016</v>
      </c>
      <c r="EM217" s="142">
        <v>6</v>
      </c>
      <c r="EN217" s="119">
        <v>0</v>
      </c>
      <c r="EO217" s="115">
        <v>17</v>
      </c>
      <c r="EP217" s="115">
        <v>996.81020733652315</v>
      </c>
      <c r="EQ217" s="115">
        <v>74</v>
      </c>
      <c r="ER217" s="115">
        <v>12</v>
      </c>
      <c r="ES217" s="115">
        <v>45.34</v>
      </c>
      <c r="ET217" s="150">
        <v>0.16825574873808191</v>
      </c>
      <c r="EU217" s="145">
        <f t="shared" si="120"/>
        <v>18</v>
      </c>
      <c r="EV217" s="115">
        <f t="shared" si="121"/>
        <v>17</v>
      </c>
      <c r="EW217" s="115">
        <f t="shared" si="121"/>
        <v>41</v>
      </c>
      <c r="EX217" s="115">
        <f t="shared" si="121"/>
        <v>16</v>
      </c>
      <c r="EY217" s="115" t="str">
        <f t="shared" si="156"/>
        <v>Периодический</v>
      </c>
      <c r="EZ217" s="115">
        <f t="shared" si="155"/>
        <v>24</v>
      </c>
      <c r="FA217" s="115">
        <f t="shared" si="155"/>
        <v>48</v>
      </c>
      <c r="FB217" s="149">
        <f t="shared" si="123"/>
        <v>5.016</v>
      </c>
      <c r="FC217" s="142">
        <f t="shared" si="123"/>
        <v>6</v>
      </c>
      <c r="FD217" s="119">
        <f t="shared" si="123"/>
        <v>0</v>
      </c>
      <c r="FE217" s="121">
        <f t="shared" si="103"/>
        <v>17</v>
      </c>
      <c r="FF217" s="121">
        <f t="shared" si="145"/>
        <v>996.81020733652315</v>
      </c>
      <c r="FG217" s="121">
        <f t="shared" si="124"/>
        <v>74</v>
      </c>
      <c r="FH217" s="121">
        <f t="shared" si="146"/>
        <v>12</v>
      </c>
      <c r="FI217" s="121">
        <f t="shared" si="154"/>
        <v>45.34</v>
      </c>
      <c r="FJ217" s="144">
        <f t="shared" si="125"/>
        <v>7.7259850630955446E-2</v>
      </c>
      <c r="FK217" s="132">
        <f t="shared" si="126"/>
        <v>0</v>
      </c>
      <c r="FL217" s="115">
        <f t="shared" si="126"/>
        <v>-2</v>
      </c>
      <c r="FM217" s="115">
        <f t="shared" si="126"/>
        <v>5</v>
      </c>
      <c r="FN217" s="115">
        <f t="shared" si="126"/>
        <v>-2</v>
      </c>
      <c r="FO217" s="115">
        <f t="shared" si="150"/>
        <v>0</v>
      </c>
      <c r="FP217" s="115">
        <f t="shared" si="150"/>
        <v>0</v>
      </c>
      <c r="FQ217" s="149">
        <f t="shared" si="150"/>
        <v>0</v>
      </c>
      <c r="FR217" s="142">
        <f t="shared" si="148"/>
        <v>0</v>
      </c>
      <c r="FS217" s="119">
        <f t="shared" si="148"/>
        <v>0</v>
      </c>
      <c r="FT217" s="121">
        <f t="shared" si="148"/>
        <v>0</v>
      </c>
      <c r="FU217" s="121">
        <f t="shared" si="127"/>
        <v>0</v>
      </c>
      <c r="FV217" s="121">
        <f t="shared" si="127"/>
        <v>0</v>
      </c>
      <c r="FW217" s="121">
        <f t="shared" si="128"/>
        <v>0</v>
      </c>
      <c r="FX217" s="121">
        <f t="shared" si="129"/>
        <v>0</v>
      </c>
      <c r="FY217" s="144">
        <f t="shared" si="129"/>
        <v>-9.0995898107126466E-2</v>
      </c>
      <c r="FZ217" s="145"/>
      <c r="GA217" s="151"/>
      <c r="GB217" s="145"/>
      <c r="GC217" s="151"/>
      <c r="GD217" s="997" t="s">
        <v>220</v>
      </c>
      <c r="GE217" s="1004"/>
      <c r="GF217" s="1004">
        <v>0</v>
      </c>
      <c r="GG217" s="1004"/>
      <c r="GH217" s="1004">
        <v>0</v>
      </c>
      <c r="GI217" s="145"/>
      <c r="GJ217" s="996">
        <v>0</v>
      </c>
      <c r="GK217" s="145"/>
      <c r="GL217" s="996">
        <v>0</v>
      </c>
      <c r="GM217" s="1005"/>
      <c r="GN217" s="996">
        <v>0</v>
      </c>
      <c r="GO217" s="1006"/>
      <c r="GP217" s="996">
        <v>0</v>
      </c>
      <c r="GQ217" s="1006"/>
      <c r="GR217" s="996">
        <v>0</v>
      </c>
      <c r="GS217" s="1006" t="s">
        <v>221</v>
      </c>
      <c r="GT217" s="996">
        <v>3.0932000000000004</v>
      </c>
      <c r="GU217" s="1006"/>
      <c r="GV217" s="996">
        <v>0</v>
      </c>
      <c r="GW217" s="1006"/>
      <c r="GX217" s="1036">
        <v>0</v>
      </c>
      <c r="GY217" s="1006"/>
      <c r="GZ217" s="996">
        <v>0</v>
      </c>
      <c r="HA217" s="1006" t="s">
        <v>204</v>
      </c>
      <c r="HB217" s="996">
        <v>-3.0932000000000004</v>
      </c>
      <c r="HC217" s="1006"/>
      <c r="HD217" s="996">
        <v>0</v>
      </c>
      <c r="HE217" s="1006"/>
      <c r="HF217" s="996">
        <v>0</v>
      </c>
      <c r="HG217" s="1006"/>
      <c r="HH217" s="996">
        <v>0</v>
      </c>
      <c r="HI217" s="1006"/>
      <c r="HJ217" s="996">
        <v>0</v>
      </c>
      <c r="HK217" s="1006"/>
      <c r="HL217" s="996">
        <v>0</v>
      </c>
      <c r="HM217" s="1006"/>
      <c r="HN217" s="996">
        <v>0</v>
      </c>
      <c r="HO217" s="1006"/>
      <c r="HP217" s="996">
        <v>0.37620000000000076</v>
      </c>
      <c r="HQ217" s="1006"/>
      <c r="HR217" s="996">
        <v>0</v>
      </c>
      <c r="HS217" s="1006"/>
      <c r="HT217" s="996">
        <v>0</v>
      </c>
      <c r="HU217" s="1006" t="s">
        <v>203</v>
      </c>
      <c r="HV217" s="996">
        <v>-1.2122000000000002</v>
      </c>
      <c r="HW217" s="1006" t="s">
        <v>203</v>
      </c>
      <c r="HX217" s="996">
        <v>-1.3585000000000003</v>
      </c>
      <c r="HY217" s="1006"/>
      <c r="HZ217" s="996">
        <v>-0.72057933199999802</v>
      </c>
      <c r="IA217" s="1006" t="s">
        <v>25</v>
      </c>
      <c r="IB217" s="996">
        <v>2.3905812919999967</v>
      </c>
      <c r="IC217" s="1006"/>
      <c r="ID217" s="996">
        <v>-0.72484711199999818</v>
      </c>
      <c r="IE217" s="1006"/>
      <c r="IF217" s="996">
        <v>0</v>
      </c>
      <c r="IG217" s="1006"/>
      <c r="IH217" s="996">
        <v>0</v>
      </c>
      <c r="II217" s="1006"/>
      <c r="IJ217" s="996">
        <v>0</v>
      </c>
      <c r="IK217" s="1006"/>
      <c r="IL217" s="996">
        <v>0</v>
      </c>
      <c r="IM217" s="1006"/>
      <c r="IN217" s="996">
        <v>0</v>
      </c>
      <c r="IO217" s="1006"/>
      <c r="IP217" s="996">
        <v>0</v>
      </c>
      <c r="IQ217" s="1006"/>
      <c r="IR217" s="996">
        <v>0.33152583199999963</v>
      </c>
      <c r="IS217" s="1006"/>
      <c r="IT217" s="996">
        <v>0.91932411999999886</v>
      </c>
      <c r="IU217" s="1006"/>
      <c r="IV217" s="996">
        <v>0</v>
      </c>
      <c r="IW217" s="1006"/>
      <c r="IX217" s="996">
        <v>0</v>
      </c>
      <c r="IY217" s="1006"/>
      <c r="IZ217" s="996">
        <v>0</v>
      </c>
      <c r="JA217" s="1006"/>
      <c r="JB217" s="996">
        <v>0</v>
      </c>
      <c r="JC217" s="1006"/>
      <c r="JD217" s="996">
        <v>0</v>
      </c>
      <c r="JE217" s="1006"/>
      <c r="JF217" s="996">
        <v>0</v>
      </c>
      <c r="JG217" s="1006"/>
      <c r="JH217" s="996">
        <v>0</v>
      </c>
      <c r="JI217" s="1006"/>
      <c r="JJ217" s="996">
        <v>0</v>
      </c>
      <c r="JK217" s="1007"/>
      <c r="JL217" s="1007">
        <v>0</v>
      </c>
      <c r="JM217" s="1007"/>
      <c r="JN217" s="1007">
        <v>0</v>
      </c>
      <c r="JO217" s="1008"/>
      <c r="JP217" s="1007">
        <v>0</v>
      </c>
      <c r="JQ217" s="1008" t="s">
        <v>204</v>
      </c>
      <c r="JR217" s="1007">
        <v>-1.2460997999999996</v>
      </c>
      <c r="JS217" s="1008">
        <v>0</v>
      </c>
      <c r="JT217" s="1007">
        <v>0</v>
      </c>
      <c r="JU217" s="1008" t="s">
        <v>204</v>
      </c>
      <c r="JV217" s="1007">
        <v>-2.0868649999999995</v>
      </c>
      <c r="JW217" s="1008" t="s">
        <v>197</v>
      </c>
      <c r="JX217" s="1007">
        <v>0</v>
      </c>
      <c r="JY217" s="1008"/>
      <c r="JZ217" s="1007">
        <v>0</v>
      </c>
      <c r="KA217" s="1008"/>
      <c r="KB217" s="1007">
        <v>0</v>
      </c>
      <c r="KC217" s="1008"/>
      <c r="KD217" s="1007">
        <v>0</v>
      </c>
      <c r="KE217" s="1008" t="s">
        <v>204</v>
      </c>
      <c r="KF217" s="1007">
        <v>3.5894078</v>
      </c>
      <c r="KG217" s="1008"/>
      <c r="KH217" s="1007">
        <v>0</v>
      </c>
      <c r="KI217" s="1008" t="s">
        <v>206</v>
      </c>
      <c r="KJ217" s="1007">
        <v>-2.7546618000000009</v>
      </c>
      <c r="KK217" s="1008"/>
      <c r="KL217" s="1007">
        <v>0</v>
      </c>
      <c r="KM217" s="1008" t="s">
        <v>206</v>
      </c>
      <c r="KN217" s="1007">
        <v>0.83474600000000088</v>
      </c>
      <c r="KO217" s="1008" t="s">
        <v>206</v>
      </c>
      <c r="KP217" s="1007">
        <v>0.83474599999999999</v>
      </c>
      <c r="KQ217" s="1008" t="s">
        <v>207</v>
      </c>
      <c r="KR217" s="1007">
        <v>1.5860174000000002</v>
      </c>
      <c r="KS217" s="1008">
        <v>0</v>
      </c>
      <c r="KT217" s="1007">
        <v>0</v>
      </c>
      <c r="KU217" s="1008">
        <v>0</v>
      </c>
      <c r="KV217" s="1007">
        <v>0</v>
      </c>
      <c r="KW217" s="1008">
        <v>0</v>
      </c>
      <c r="KX217" s="1007">
        <v>0</v>
      </c>
      <c r="KY217" s="1008" t="s">
        <v>206</v>
      </c>
      <c r="KZ217" s="1007">
        <v>-2.7546618</v>
      </c>
      <c r="LA217" s="1008" t="s">
        <v>206</v>
      </c>
      <c r="LB217" s="1007">
        <v>1.5347288000000008</v>
      </c>
      <c r="LC217" s="1008">
        <v>0</v>
      </c>
      <c r="LD217" s="1007">
        <v>0</v>
      </c>
      <c r="LE217" s="1008" t="s">
        <v>206</v>
      </c>
      <c r="LF217" s="1007">
        <v>0.9048613199999993</v>
      </c>
      <c r="LG217" s="1008">
        <v>0</v>
      </c>
      <c r="LH217" s="1007">
        <v>0</v>
      </c>
      <c r="LI217" s="1008">
        <v>0</v>
      </c>
      <c r="LJ217" s="1007">
        <v>0</v>
      </c>
      <c r="LK217" s="1008" t="s">
        <v>555</v>
      </c>
      <c r="LL217" s="1007">
        <v>1.1269979999999999</v>
      </c>
      <c r="LM217" s="1008">
        <v>0</v>
      </c>
      <c r="LN217" s="1007">
        <v>0</v>
      </c>
      <c r="LO217" s="1008">
        <v>0</v>
      </c>
      <c r="LP217" s="1007">
        <v>-0.36526512100000003</v>
      </c>
      <c r="LQ217" s="1008">
        <v>0</v>
      </c>
      <c r="LR217" s="1007">
        <v>0</v>
      </c>
      <c r="LS217" s="1008" t="s">
        <v>206</v>
      </c>
      <c r="LT217" s="1007">
        <v>-1.66296</v>
      </c>
      <c r="LU217" s="1008" t="s">
        <v>555</v>
      </c>
      <c r="LV217" s="1007">
        <v>-2.49444</v>
      </c>
      <c r="LW217" s="1008">
        <v>0</v>
      </c>
      <c r="LX217" s="1007">
        <v>-0.83147999999999</v>
      </c>
      <c r="LY217" s="1009">
        <v>0</v>
      </c>
      <c r="LZ217" s="1010">
        <v>0</v>
      </c>
      <c r="MA217" s="1011">
        <v>0</v>
      </c>
      <c r="MB217" s="1012">
        <v>0</v>
      </c>
      <c r="MC217" s="995"/>
      <c r="MD217" s="996"/>
      <c r="ME217" s="997" t="s">
        <v>220</v>
      </c>
      <c r="MF217" s="997"/>
      <c r="MG217" s="998"/>
      <c r="MH217" s="878"/>
      <c r="MI217" s="878"/>
      <c r="MJ217" s="878"/>
      <c r="MK217" s="878"/>
      <c r="ML217" s="878"/>
      <c r="MM217" s="878"/>
      <c r="MN217" s="878"/>
      <c r="MO217" s="878"/>
      <c r="MP217" s="878"/>
      <c r="MQ217" s="878"/>
      <c r="MR217" s="878"/>
      <c r="MS217" s="878"/>
      <c r="MT217" s="878"/>
      <c r="MU217" s="878"/>
      <c r="MV217" s="878"/>
      <c r="MW217" s="878"/>
      <c r="MX217" s="878"/>
      <c r="MY217" s="878"/>
      <c r="MZ217" s="878"/>
      <c r="NA217" s="878"/>
      <c r="NB217" s="878"/>
      <c r="NC217" s="878"/>
      <c r="ND217" s="878"/>
      <c r="NE217" s="878"/>
      <c r="NF217" s="878"/>
      <c r="NG217" s="878"/>
      <c r="NH217" s="878"/>
      <c r="NI217" s="878"/>
      <c r="NJ217" s="878"/>
      <c r="NK217" s="878"/>
      <c r="NL217" s="878"/>
      <c r="NM217" s="878"/>
      <c r="NR217" s="1027"/>
      <c r="NS217" s="1027"/>
      <c r="NT217" s="1028"/>
      <c r="NU217" s="1027"/>
      <c r="NV217" s="1028"/>
      <c r="NW217" s="1029"/>
      <c r="NX217" s="1030"/>
      <c r="NY217" s="1029"/>
      <c r="NZ217" s="1028"/>
      <c r="OA217" s="1028"/>
      <c r="OB217" s="1029"/>
      <c r="OC217" s="1031"/>
      <c r="OD217" s="1031"/>
      <c r="OE217" s="1028"/>
      <c r="OF217" s="1031"/>
      <c r="OG217" s="1031"/>
      <c r="OH217" s="1031"/>
      <c r="OI217" s="1051"/>
      <c r="QX217" s="1000">
        <f>CN217-CA217</f>
        <v>28.340000000000003</v>
      </c>
      <c r="ASU217" s="1032" t="s">
        <v>315</v>
      </c>
    </row>
    <row r="218" spans="1:466 1191:1191" ht="21" customHeight="1" x14ac:dyDescent="0.25">
      <c r="A218" s="982">
        <f t="shared" si="104"/>
        <v>1112</v>
      </c>
      <c r="B218" s="124">
        <f>SUBTOTAL(103,$J$29:J218)</f>
        <v>190</v>
      </c>
      <c r="C218" s="126">
        <v>45068</v>
      </c>
      <c r="D218" s="124" t="s">
        <v>176</v>
      </c>
      <c r="E218" s="127" t="s">
        <v>177</v>
      </c>
      <c r="F218" s="128" t="s">
        <v>177</v>
      </c>
      <c r="G218" s="127" t="s">
        <v>178</v>
      </c>
      <c r="H218" s="127" t="s">
        <v>179</v>
      </c>
      <c r="I218" s="127" t="s">
        <v>1035</v>
      </c>
      <c r="J218" s="152">
        <v>1112</v>
      </c>
      <c r="K218" s="127" t="s">
        <v>1040</v>
      </c>
      <c r="L218" s="130">
        <v>40999</v>
      </c>
      <c r="M218" s="127" t="s">
        <v>230</v>
      </c>
      <c r="N218" s="127" t="s">
        <v>184</v>
      </c>
      <c r="O218" s="127" t="s">
        <v>185</v>
      </c>
      <c r="P218" s="127" t="s">
        <v>292</v>
      </c>
      <c r="Q218" s="85" t="str">
        <f t="shared" si="158"/>
        <v/>
      </c>
      <c r="R218" s="130"/>
      <c r="S218" s="128" t="s">
        <v>156</v>
      </c>
      <c r="T218" s="131"/>
      <c r="U218" s="132">
        <v>203</v>
      </c>
      <c r="V218" s="121">
        <v>218.2</v>
      </c>
      <c r="W218" s="116">
        <v>0.98</v>
      </c>
      <c r="X218" s="116">
        <v>1.66</v>
      </c>
      <c r="Y218" s="116">
        <f t="shared" si="137"/>
        <v>0.98012044853704894</v>
      </c>
      <c r="Z218" s="133">
        <v>1.454</v>
      </c>
      <c r="AA218" s="133">
        <v>0.83599999999999997</v>
      </c>
      <c r="AB218" s="133">
        <v>0.72</v>
      </c>
      <c r="AC218" s="121">
        <v>34.299999999999997</v>
      </c>
      <c r="AD218" s="134">
        <v>1.17</v>
      </c>
      <c r="AE218" s="124">
        <v>139.69999999999999</v>
      </c>
      <c r="AF218" s="128">
        <v>7.72</v>
      </c>
      <c r="AG218" s="128">
        <v>1945</v>
      </c>
      <c r="AH218" s="127">
        <v>2400</v>
      </c>
      <c r="AI218" s="127">
        <v>2400</v>
      </c>
      <c r="AJ218" s="135"/>
      <c r="AK218" s="128"/>
      <c r="AL218" s="131"/>
      <c r="AM218" s="124" t="s">
        <v>232</v>
      </c>
      <c r="AN218" s="136" t="s">
        <v>846</v>
      </c>
      <c r="AO218" s="137">
        <v>129.30000000000001</v>
      </c>
      <c r="AP218" s="128">
        <v>1945</v>
      </c>
      <c r="AQ218" s="128">
        <v>3.46</v>
      </c>
      <c r="AR218" s="128"/>
      <c r="AS218" s="128"/>
      <c r="AT218" s="122"/>
      <c r="AU218" s="124" t="s">
        <v>189</v>
      </c>
      <c r="AV218" s="115">
        <f>VLOOKUP(J218,'[63]ТР нефть'!$J$28:$BP$638,39,0)</f>
        <v>599.99999062500001</v>
      </c>
      <c r="AW218" s="115" t="str">
        <f>VLOOKUP(J218,'[63]ТР нефть'!$J$28:$BP$638,40,0)</f>
        <v>ГК 78 1/8</v>
      </c>
      <c r="AX218" s="115">
        <f>VLOOKUP(J218,'[63]ТР нефть'!$J$28:$BP$638,41,0)</f>
        <v>1199.99998125</v>
      </c>
      <c r="AY218" s="115" t="str">
        <f>VLOOKUP(J218,'[63]ТР нефть'!$J$28:$BP$638,42,0)</f>
        <v>ГК 77 1/8</v>
      </c>
      <c r="AZ218" s="115">
        <f>VLOOKUP(J218,'[63]ТР нефть'!$J$28:$BP$638,43,0)</f>
        <v>1810.0000312499999</v>
      </c>
      <c r="BA218" s="115" t="str">
        <f>VLOOKUP(J218,'[63]ТР нефть'!$J$28:$BP$638,44,0)</f>
        <v>ЦКсОК 5/16</v>
      </c>
      <c r="BB218" s="115" t="str">
        <f>VLOOKUP(J218,'[63]ТР нефть'!$J$28:$BP$638,45,0)</f>
        <v>-</v>
      </c>
      <c r="BC218" s="115" t="str">
        <f>VLOOKUP(J218,'[63]ТР нефть'!$J$28:$BP$638,46,0)</f>
        <v>-</v>
      </c>
      <c r="BD218" s="115" t="str">
        <f>VLOOKUP(J218,'[63]ТР нефть'!$J$28:$BP$638,47,0)</f>
        <v>-</v>
      </c>
      <c r="BE218" s="115" t="str">
        <f>VLOOKUP(J218,'[63]ТР нефть'!$J$28:$BP$638,48,0)</f>
        <v>-</v>
      </c>
      <c r="BF218" s="115" t="str">
        <f>VLOOKUP(J218,'[63]ТР нефть'!$J$28:$BP$638,49,0)</f>
        <v>-</v>
      </c>
      <c r="BG218" s="115" t="str">
        <f>VLOOKUP(J218,'[63]ТР нефть'!$J$28:$BP$638,50,0)</f>
        <v>-</v>
      </c>
      <c r="BH218" s="115">
        <f>VLOOKUP(J218,'[63]ТР нефть'!$J$28:$BP$638,51,0)</f>
        <v>1820</v>
      </c>
      <c r="BI218" s="115" t="str">
        <f>VLOOKUP(J218,'[63]ТР нефть'!$J$28:$BP$638,52,0)</f>
        <v>закрыт</v>
      </c>
      <c r="BJ218" s="115" t="str">
        <f>IF(IFERROR(VLOOKUP(J218,'[63]ТР нефть'!$J$28:$BP$638,53,0),"-")=0,"-",IFERROR(VLOOKUP(J218,'[63]ТР нефть'!$J$28:$BP$638,53,0),"-"))</f>
        <v>-</v>
      </c>
      <c r="BK218" s="138" t="str">
        <f>IF(IFERROR(VLOOKUP(J218,'[63]ТР нефть'!$J$28:$BP$638,54,0),"-")=0,"-",IFERROR(VLOOKUP(J218,'[63]ТР нефть'!$J$28:$BP$638,54,0),"-"))</f>
        <v>-</v>
      </c>
      <c r="BL218" s="138" t="str">
        <f>IF(IFERROR(VLOOKUP(J218,'[63]ТР нефть'!$J$28:$BP$638,55,0),"-")=0,"-",IFERROR(VLOOKUP(J218,'[63]ТР нефть'!$J$28:$BP$638,55,0),"-"))</f>
        <v>-</v>
      </c>
      <c r="BM218" s="138" t="str">
        <f>IF(IFERROR(VLOOKUP(J218,'[63]ТР нефть'!$J$28:$BP$638,56,0),"-")=0,"-",IFERROR(VLOOKUP(J218,'[63]ТР нефть'!$J$28:$BP$638,56,0),"-"))</f>
        <v>-</v>
      </c>
      <c r="BN218" s="138" t="str">
        <f>IF(IFERROR(VLOOKUP(J218,'[63]ТР нефть'!$J$28:$BP$638,57,0),"-")=0,"-",IFERROR(VLOOKUP(J218,'[63]ТР нефть'!$J$28:$BP$638,57,0),"-"))</f>
        <v>-</v>
      </c>
      <c r="BO218" s="115" t="str">
        <f>IF(IFERROR(VLOOKUP(J218,'[63]ТР нефть'!$J$28:$BP$638,58,0),"-")=0,"-",IFERROR(VLOOKUP(J218,'[63]ТР нефть'!$J$28:$BP$638,58,0),"-"))</f>
        <v>-</v>
      </c>
      <c r="BP218" s="115" t="str">
        <f>IF(IFERROR(VLOOKUP(J218,'[63]ТР нефть'!$J$28:$BP$638,59,0),"-")=0,"-",IFERROR(VLOOKUP(J218,'[63]ТР нефть'!$J$28:$BP$638,59,0),"-"))</f>
        <v>-</v>
      </c>
      <c r="BQ218" s="138">
        <v>1980</v>
      </c>
      <c r="BR218" s="128">
        <v>1912.41</v>
      </c>
      <c r="BS218" s="115">
        <f t="shared" si="105"/>
        <v>67.589999999999918</v>
      </c>
      <c r="BT218" s="128">
        <v>73</v>
      </c>
      <c r="BU218" s="128">
        <v>5.5</v>
      </c>
      <c r="BV218" s="127">
        <v>18</v>
      </c>
      <c r="BW218" s="127" t="s">
        <v>217</v>
      </c>
      <c r="BX218" s="127" t="s">
        <v>218</v>
      </c>
      <c r="BY218" s="139">
        <v>24</v>
      </c>
      <c r="BZ218" s="139">
        <v>24</v>
      </c>
      <c r="CA218" s="80">
        <v>22</v>
      </c>
      <c r="CB218" s="138">
        <v>32</v>
      </c>
      <c r="CC218" s="138">
        <v>21</v>
      </c>
      <c r="CD218" s="135">
        <v>45017</v>
      </c>
      <c r="CE218" s="138">
        <v>72</v>
      </c>
      <c r="CF218" s="138">
        <v>78</v>
      </c>
      <c r="CG218" s="138" t="str">
        <f t="shared" si="153"/>
        <v>В работе</v>
      </c>
      <c r="CH218" s="138" t="s">
        <v>196</v>
      </c>
      <c r="CI218" s="127">
        <v>5</v>
      </c>
      <c r="CJ218" s="138"/>
      <c r="CK218" s="138">
        <f t="shared" si="157"/>
        <v>20</v>
      </c>
      <c r="CL218" s="99"/>
      <c r="CM218" s="99"/>
      <c r="CN218" s="140">
        <v>42</v>
      </c>
      <c r="CO218" s="141">
        <f t="shared" si="106"/>
        <v>4.1787459999999994</v>
      </c>
      <c r="CP218" s="142">
        <v>5</v>
      </c>
      <c r="CQ218" s="143">
        <v>0.03</v>
      </c>
      <c r="CR218" s="138">
        <v>11.673</v>
      </c>
      <c r="CS218" s="139">
        <v>3.6</v>
      </c>
      <c r="CT218" s="138"/>
      <c r="CU218" s="138">
        <f t="shared" si="159"/>
        <v>8.0730000000000004</v>
      </c>
      <c r="CV218" s="115">
        <f t="shared" si="160"/>
        <v>1931.919288705272</v>
      </c>
      <c r="CW218" s="115">
        <f t="shared" si="109"/>
        <v>861.14451368418418</v>
      </c>
      <c r="CX218" s="133">
        <f t="shared" si="161"/>
        <v>0.16666666666666666</v>
      </c>
      <c r="CY218" s="116"/>
      <c r="CZ218" s="131"/>
      <c r="DA218" s="145" t="str">
        <f t="shared" si="111"/>
        <v>Газлифт</v>
      </c>
      <c r="DB218" s="146">
        <f t="shared" si="112"/>
        <v>4.1787459999999994</v>
      </c>
      <c r="DC218" s="142">
        <f t="shared" si="151"/>
        <v>5</v>
      </c>
      <c r="DD218" s="119">
        <f t="shared" si="152"/>
        <v>0.03</v>
      </c>
      <c r="DE218" s="115">
        <f t="shared" si="115"/>
        <v>8.0730000000000004</v>
      </c>
      <c r="DF218" s="121">
        <f t="shared" si="116"/>
        <v>3.6</v>
      </c>
      <c r="DG218" s="115">
        <f t="shared" si="117"/>
        <v>1931.919288705272</v>
      </c>
      <c r="DH218" s="115">
        <f t="shared" si="118"/>
        <v>42</v>
      </c>
      <c r="DI218" s="147"/>
      <c r="DJ218" s="111">
        <v>43520</v>
      </c>
      <c r="DK218" s="112">
        <v>44045</v>
      </c>
      <c r="DL218" s="113">
        <f t="shared" ca="1" si="138"/>
        <v>1059</v>
      </c>
      <c r="DM218" s="114"/>
      <c r="DN218" s="114"/>
      <c r="DO218" s="114"/>
      <c r="DP218" s="114"/>
      <c r="DQ218" s="112">
        <v>41638</v>
      </c>
      <c r="DR218" s="114" t="s">
        <v>1041</v>
      </c>
      <c r="DS218" s="114"/>
      <c r="DT218" s="115">
        <v>44</v>
      </c>
      <c r="DU218" s="116">
        <f t="shared" si="139"/>
        <v>0.17857142857142858</v>
      </c>
      <c r="DV218" s="117">
        <f t="shared" si="140"/>
        <v>4.1787459999999994</v>
      </c>
      <c r="DW218" s="118">
        <f t="shared" si="141"/>
        <v>5</v>
      </c>
      <c r="DX218" s="119">
        <f t="shared" si="119"/>
        <v>0.03</v>
      </c>
      <c r="DY218" s="115">
        <f t="shared" si="142"/>
        <v>8.0730000000000004</v>
      </c>
      <c r="DZ218" s="117">
        <f t="shared" si="143"/>
        <v>0</v>
      </c>
      <c r="EA218" s="120">
        <f t="shared" si="143"/>
        <v>0</v>
      </c>
      <c r="EB218" s="119">
        <f t="shared" si="143"/>
        <v>0</v>
      </c>
      <c r="EC218" s="121">
        <f t="shared" si="144"/>
        <v>0</v>
      </c>
      <c r="ED218" s="122"/>
      <c r="EE218" s="145">
        <v>18</v>
      </c>
      <c r="EF218" s="148">
        <v>22</v>
      </c>
      <c r="EG218" s="115">
        <v>32</v>
      </c>
      <c r="EH218" s="115">
        <v>21</v>
      </c>
      <c r="EI218" s="128" t="s">
        <v>218</v>
      </c>
      <c r="EJ218" s="121">
        <v>24</v>
      </c>
      <c r="EK218" s="121">
        <v>24</v>
      </c>
      <c r="EL218" s="149">
        <v>4.1787459999999994</v>
      </c>
      <c r="EM218" s="142">
        <v>5</v>
      </c>
      <c r="EN218" s="119">
        <v>0.03</v>
      </c>
      <c r="EO218" s="115">
        <v>11.673</v>
      </c>
      <c r="EP218" s="115">
        <v>1931.919288705272</v>
      </c>
      <c r="EQ218" s="115">
        <v>78</v>
      </c>
      <c r="ER218" s="115">
        <v>3.6</v>
      </c>
      <c r="ES218" s="115">
        <v>40</v>
      </c>
      <c r="ET218" s="150">
        <v>0.15625</v>
      </c>
      <c r="EU218" s="145">
        <f t="shared" si="120"/>
        <v>18</v>
      </c>
      <c r="EV218" s="115">
        <f t="shared" si="121"/>
        <v>22</v>
      </c>
      <c r="EW218" s="115">
        <f t="shared" si="121"/>
        <v>32</v>
      </c>
      <c r="EX218" s="115">
        <f t="shared" si="121"/>
        <v>21</v>
      </c>
      <c r="EY218" s="115" t="str">
        <f t="shared" si="156"/>
        <v>Периодический</v>
      </c>
      <c r="EZ218" s="115">
        <f t="shared" si="155"/>
        <v>24</v>
      </c>
      <c r="FA218" s="115">
        <f t="shared" si="155"/>
        <v>24</v>
      </c>
      <c r="FB218" s="149">
        <f t="shared" si="123"/>
        <v>4.1787459999999994</v>
      </c>
      <c r="FC218" s="142">
        <f t="shared" si="123"/>
        <v>5</v>
      </c>
      <c r="FD218" s="119">
        <f t="shared" si="123"/>
        <v>0.03</v>
      </c>
      <c r="FE218" s="121">
        <f t="shared" si="103"/>
        <v>11.673</v>
      </c>
      <c r="FF218" s="121">
        <f t="shared" si="145"/>
        <v>1931.919288705272</v>
      </c>
      <c r="FG218" s="121">
        <f t="shared" si="124"/>
        <v>78</v>
      </c>
      <c r="FH218" s="121">
        <f t="shared" si="146"/>
        <v>3.6</v>
      </c>
      <c r="FI218" s="121">
        <f t="shared" si="154"/>
        <v>42</v>
      </c>
      <c r="FJ218" s="144">
        <f t="shared" si="125"/>
        <v>0.16666666666666666</v>
      </c>
      <c r="FK218" s="132">
        <f t="shared" si="126"/>
        <v>0</v>
      </c>
      <c r="FL218" s="115">
        <f t="shared" si="126"/>
        <v>0</v>
      </c>
      <c r="FM218" s="115">
        <f t="shared" si="126"/>
        <v>0</v>
      </c>
      <c r="FN218" s="115">
        <f t="shared" si="126"/>
        <v>0</v>
      </c>
      <c r="FO218" s="115">
        <f t="shared" si="150"/>
        <v>0</v>
      </c>
      <c r="FP218" s="115">
        <f t="shared" si="150"/>
        <v>0</v>
      </c>
      <c r="FQ218" s="149">
        <f t="shared" si="150"/>
        <v>0</v>
      </c>
      <c r="FR218" s="142">
        <f t="shared" si="148"/>
        <v>0</v>
      </c>
      <c r="FS218" s="119">
        <f t="shared" si="148"/>
        <v>0</v>
      </c>
      <c r="FT218" s="121">
        <f t="shared" si="148"/>
        <v>0</v>
      </c>
      <c r="FU218" s="121">
        <f t="shared" si="127"/>
        <v>0</v>
      </c>
      <c r="FV218" s="121">
        <f t="shared" si="127"/>
        <v>0</v>
      </c>
      <c r="FW218" s="121">
        <f t="shared" si="128"/>
        <v>0</v>
      </c>
      <c r="FX218" s="121">
        <f t="shared" si="129"/>
        <v>2</v>
      </c>
      <c r="FY218" s="144">
        <f t="shared" si="129"/>
        <v>1.0416666666666657E-2</v>
      </c>
      <c r="FZ218" s="145"/>
      <c r="GA218" s="151"/>
      <c r="GB218" s="145"/>
      <c r="GC218" s="151"/>
      <c r="GD218" s="997" t="s">
        <v>220</v>
      </c>
      <c r="GE218" s="1004"/>
      <c r="GF218" s="1004">
        <v>0</v>
      </c>
      <c r="GG218" s="1004"/>
      <c r="GH218" s="1004">
        <v>-0.41787460000000021</v>
      </c>
      <c r="GI218" s="145"/>
      <c r="GJ218" s="996">
        <v>0</v>
      </c>
      <c r="GK218" s="145"/>
      <c r="GL218" s="996">
        <v>0</v>
      </c>
      <c r="GM218" s="1005"/>
      <c r="GN218" s="996">
        <v>0</v>
      </c>
      <c r="GO218" s="1006"/>
      <c r="GP218" s="996">
        <v>5.2876999999999619E-2</v>
      </c>
      <c r="GQ218" s="1006" t="s">
        <v>203</v>
      </c>
      <c r="GR218" s="996">
        <v>-2.2780164000000003</v>
      </c>
      <c r="GS218" s="1006"/>
      <c r="GT218" s="996">
        <v>0</v>
      </c>
      <c r="GU218" s="1006" t="s">
        <v>223</v>
      </c>
      <c r="GV218" s="996">
        <v>-0.95885855999999947</v>
      </c>
      <c r="GW218" s="1006"/>
      <c r="GX218" s="1036">
        <v>0</v>
      </c>
      <c r="GY218" s="1006" t="s">
        <v>25</v>
      </c>
      <c r="GZ218" s="996">
        <v>3.8806185599999998</v>
      </c>
      <c r="HA218" s="1006"/>
      <c r="HB218" s="996">
        <v>0</v>
      </c>
      <c r="HC218" s="1006"/>
      <c r="HD218" s="996">
        <v>0</v>
      </c>
      <c r="HE218" s="1006"/>
      <c r="HF218" s="996">
        <v>-0.77370128000000005</v>
      </c>
      <c r="HG218" s="1006" t="s">
        <v>221</v>
      </c>
      <c r="HH218" s="996">
        <v>-6.4354611200000003</v>
      </c>
      <c r="HI218" s="1006" t="s">
        <v>308</v>
      </c>
      <c r="HJ218" s="996">
        <v>7.6403879199999993</v>
      </c>
      <c r="HK218" s="1006"/>
      <c r="HL218" s="996">
        <v>0</v>
      </c>
      <c r="HM218" s="1006"/>
      <c r="HN218" s="996">
        <v>0</v>
      </c>
      <c r="HO218" s="1006"/>
      <c r="HP218" s="996">
        <v>0</v>
      </c>
      <c r="HQ218" s="1006"/>
      <c r="HR218" s="996">
        <v>0</v>
      </c>
      <c r="HS218" s="1006"/>
      <c r="HT218" s="996">
        <v>-0.84722747999999992</v>
      </c>
      <c r="HU218" s="1006"/>
      <c r="HV218" s="996">
        <v>-0.88899404000000004</v>
      </c>
      <c r="HW218" s="1006"/>
      <c r="HX218" s="996">
        <v>0.41800000000000015</v>
      </c>
      <c r="HY218" s="1006"/>
      <c r="HZ218" s="996">
        <v>0</v>
      </c>
      <c r="IA218" s="1006" t="s">
        <v>223</v>
      </c>
      <c r="IB218" s="996">
        <v>-2.0900000000000007</v>
      </c>
      <c r="IC218" s="1006" t="s">
        <v>223</v>
      </c>
      <c r="ID218" s="996">
        <v>-1.4913069599999993</v>
      </c>
      <c r="IE218" s="1006"/>
      <c r="IF218" s="996">
        <v>0</v>
      </c>
      <c r="IG218" s="1006"/>
      <c r="IH218" s="996">
        <v>0</v>
      </c>
      <c r="II218" s="1006"/>
      <c r="IJ218" s="996">
        <v>0</v>
      </c>
      <c r="IK218" s="1006"/>
      <c r="IL218" s="996">
        <v>0</v>
      </c>
      <c r="IM218" s="1006" t="s">
        <v>204</v>
      </c>
      <c r="IN218" s="996">
        <v>-11.600453040000001</v>
      </c>
      <c r="IO218" s="1006"/>
      <c r="IP218" s="996">
        <v>0</v>
      </c>
      <c r="IQ218" s="1006"/>
      <c r="IR218" s="996">
        <v>0.56570448000000439</v>
      </c>
      <c r="IS218" s="1006" t="s">
        <v>25</v>
      </c>
      <c r="IT218" s="996">
        <v>18.378055519999997</v>
      </c>
      <c r="IU218" s="1006"/>
      <c r="IV218" s="996">
        <v>0</v>
      </c>
      <c r="IW218" s="1006"/>
      <c r="IX218" s="996">
        <v>0</v>
      </c>
      <c r="IY218" s="1006"/>
      <c r="IZ218" s="996">
        <v>0</v>
      </c>
      <c r="JA218" s="1006"/>
      <c r="JB218" s="996">
        <v>0</v>
      </c>
      <c r="JC218" s="1006"/>
      <c r="JD218" s="996">
        <v>0</v>
      </c>
      <c r="JE218" s="1006"/>
      <c r="JF218" s="996">
        <v>0</v>
      </c>
      <c r="JG218" s="1006"/>
      <c r="JH218" s="996">
        <v>0</v>
      </c>
      <c r="JI218" s="1006"/>
      <c r="JJ218" s="996">
        <v>0</v>
      </c>
      <c r="JK218" s="1007"/>
      <c r="JL218" s="1007">
        <v>0</v>
      </c>
      <c r="JM218" s="1007"/>
      <c r="JN218" s="1007">
        <v>0</v>
      </c>
      <c r="JO218" s="1008"/>
      <c r="JP218" s="1007">
        <v>0</v>
      </c>
      <c r="JQ218" s="1008">
        <v>0</v>
      </c>
      <c r="JR218" s="1007">
        <v>0</v>
      </c>
      <c r="JS218" s="1008">
        <v>0</v>
      </c>
      <c r="JT218" s="1007">
        <v>0</v>
      </c>
      <c r="JU218" s="1008"/>
      <c r="JV218" s="1007">
        <v>0</v>
      </c>
      <c r="JW218" s="1008" t="s">
        <v>197</v>
      </c>
      <c r="JX218" s="1007">
        <v>0</v>
      </c>
      <c r="JY218" s="1008"/>
      <c r="JZ218" s="1007">
        <v>0</v>
      </c>
      <c r="KA218" s="1008"/>
      <c r="KB218" s="1007">
        <v>0</v>
      </c>
      <c r="KC218" s="1008"/>
      <c r="KD218" s="1007">
        <v>0</v>
      </c>
      <c r="KE218" s="1008" t="s">
        <v>204</v>
      </c>
      <c r="KF218" s="1007">
        <v>-1.9227999999999996</v>
      </c>
      <c r="KG218" s="1008"/>
      <c r="KH218" s="1007">
        <v>0</v>
      </c>
      <c r="KI218" s="1008"/>
      <c r="KJ218" s="1007">
        <v>0</v>
      </c>
      <c r="KK218" s="1008"/>
      <c r="KL218" s="1007">
        <v>0</v>
      </c>
      <c r="KM218" s="1008"/>
      <c r="KN218" s="1007">
        <v>0</v>
      </c>
      <c r="KO218" s="1008" t="s">
        <v>206</v>
      </c>
      <c r="KP218" s="1007">
        <v>0.25079999999999991</v>
      </c>
      <c r="KQ218" s="1008">
        <v>0</v>
      </c>
      <c r="KR218" s="1007">
        <v>0.15215200000000006</v>
      </c>
      <c r="KS218" s="1008" t="s">
        <v>204</v>
      </c>
      <c r="KT218" s="1007">
        <v>1.6285279999999993</v>
      </c>
      <c r="KU218" s="1008">
        <v>0</v>
      </c>
      <c r="KV218" s="1007">
        <v>0</v>
      </c>
      <c r="KW218" s="1008">
        <v>0</v>
      </c>
      <c r="KX218" s="1007">
        <v>0</v>
      </c>
      <c r="KY218" s="1008">
        <v>0</v>
      </c>
      <c r="KZ218" s="1007">
        <v>0</v>
      </c>
      <c r="LA218" s="1008" t="s">
        <v>206</v>
      </c>
      <c r="LB218" s="1007">
        <v>-3.9542799999999989</v>
      </c>
      <c r="LC218" s="1008" t="s">
        <v>206</v>
      </c>
      <c r="LD218" s="1007">
        <v>4.0930559999999989</v>
      </c>
      <c r="LE218" s="1008">
        <v>0</v>
      </c>
      <c r="LF218" s="1007">
        <v>-0.12289199999999978</v>
      </c>
      <c r="LG218" s="1008">
        <v>0</v>
      </c>
      <c r="LH218" s="1007">
        <v>0</v>
      </c>
      <c r="LI218" s="1008">
        <v>0</v>
      </c>
      <c r="LJ218" s="1007">
        <v>0</v>
      </c>
      <c r="LK218" s="1008">
        <v>0</v>
      </c>
      <c r="LL218" s="1007">
        <v>0</v>
      </c>
      <c r="LM218" s="1008">
        <v>0</v>
      </c>
      <c r="LN218" s="1007">
        <v>0</v>
      </c>
      <c r="LO218" s="1008">
        <v>0</v>
      </c>
      <c r="LP218" s="1007">
        <v>0.74487599999999998</v>
      </c>
      <c r="LQ218" s="1008">
        <v>0</v>
      </c>
      <c r="LR218" s="1007">
        <v>0</v>
      </c>
      <c r="LS218" s="1008" t="s">
        <v>206</v>
      </c>
      <c r="LT218" s="1007">
        <v>-2.2346279999999998</v>
      </c>
      <c r="LU218" s="1008">
        <v>0</v>
      </c>
      <c r="LV218" s="1007">
        <v>0</v>
      </c>
      <c r="LW218" s="1008">
        <v>0</v>
      </c>
      <c r="LX218" s="1007">
        <v>0</v>
      </c>
      <c r="LY218" s="1009">
        <v>0</v>
      </c>
      <c r="LZ218" s="1010">
        <v>-0.41382000000000002</v>
      </c>
      <c r="MA218" s="1011">
        <v>0</v>
      </c>
      <c r="MB218" s="1012">
        <v>0</v>
      </c>
      <c r="MC218" s="995"/>
      <c r="MD218" s="996"/>
      <c r="ME218" s="997" t="s">
        <v>220</v>
      </c>
      <c r="MF218" s="997"/>
      <c r="MG218" s="998"/>
      <c r="NR218" s="1000"/>
      <c r="NS218" s="1000"/>
      <c r="NT218" s="1001"/>
      <c r="NU218" s="1000"/>
      <c r="NV218" s="1001"/>
      <c r="NX218" s="1002"/>
      <c r="NZ218" s="1001"/>
      <c r="OA218" s="1001"/>
      <c r="OC218" s="1003"/>
      <c r="OD218" s="1003"/>
      <c r="OE218" s="1001"/>
      <c r="OF218" s="1003"/>
      <c r="OG218" s="1003"/>
      <c r="OH218" s="1003"/>
      <c r="OI218" s="1016"/>
      <c r="QX218" s="1000">
        <f>CN218-CA218</f>
        <v>20</v>
      </c>
      <c r="ASU218" s="999" t="s">
        <v>208</v>
      </c>
    </row>
    <row r="219" spans="1:466 1191:1191" ht="21" customHeight="1" x14ac:dyDescent="0.25">
      <c r="A219" s="982" t="str">
        <f t="shared" si="104"/>
        <v>1112-2</v>
      </c>
      <c r="B219" s="124">
        <f>SUBTOTAL(103,$J$29:J219)</f>
        <v>191</v>
      </c>
      <c r="C219" s="126">
        <v>45068</v>
      </c>
      <c r="D219" s="124" t="s">
        <v>176</v>
      </c>
      <c r="E219" s="127" t="s">
        <v>177</v>
      </c>
      <c r="F219" s="128" t="s">
        <v>177</v>
      </c>
      <c r="G219" s="127" t="s">
        <v>178</v>
      </c>
      <c r="H219" s="127" t="s">
        <v>179</v>
      </c>
      <c r="I219" s="127" t="s">
        <v>1035</v>
      </c>
      <c r="J219" s="152" t="s">
        <v>1042</v>
      </c>
      <c r="K219" s="127" t="s">
        <v>1040</v>
      </c>
      <c r="L219" s="130">
        <v>41151</v>
      </c>
      <c r="M219" s="127" t="s">
        <v>230</v>
      </c>
      <c r="N219" s="127" t="s">
        <v>184</v>
      </c>
      <c r="O219" s="127" t="s">
        <v>185</v>
      </c>
      <c r="P219" s="127" t="s">
        <v>186</v>
      </c>
      <c r="Q219" s="85" t="str">
        <f t="shared" si="158"/>
        <v/>
      </c>
      <c r="R219" s="130"/>
      <c r="S219" s="128" t="s">
        <v>156</v>
      </c>
      <c r="T219" s="131"/>
      <c r="U219" s="132">
        <v>203</v>
      </c>
      <c r="V219" s="121">
        <v>218.2</v>
      </c>
      <c r="W219" s="116">
        <v>0.98</v>
      </c>
      <c r="X219" s="116">
        <v>1.66</v>
      </c>
      <c r="Y219" s="116">
        <f t="shared" si="137"/>
        <v>0.99632533072023521</v>
      </c>
      <c r="Z219" s="133">
        <v>1.454</v>
      </c>
      <c r="AA219" s="133">
        <v>0.83599999999999997</v>
      </c>
      <c r="AB219" s="133">
        <v>0.72</v>
      </c>
      <c r="AC219" s="121">
        <v>34.299999999999997</v>
      </c>
      <c r="AD219" s="134">
        <v>1.17</v>
      </c>
      <c r="AE219" s="124">
        <v>177.8</v>
      </c>
      <c r="AF219" s="128">
        <v>8.0500000000000007</v>
      </c>
      <c r="AG219" s="128">
        <v>1945</v>
      </c>
      <c r="AH219" s="127">
        <v>2500</v>
      </c>
      <c r="AI219" s="127">
        <v>2500</v>
      </c>
      <c r="AJ219" s="135"/>
      <c r="AK219" s="128"/>
      <c r="AL219" s="131"/>
      <c r="AM219" s="124" t="s">
        <v>232</v>
      </c>
      <c r="AN219" s="136" t="s">
        <v>1043</v>
      </c>
      <c r="AO219" s="137">
        <v>54.21</v>
      </c>
      <c r="AP219" s="128">
        <v>1945</v>
      </c>
      <c r="AQ219" s="128">
        <v>4.6900000000000004</v>
      </c>
      <c r="AR219" s="128"/>
      <c r="AS219" s="128"/>
      <c r="AT219" s="122"/>
      <c r="AU219" s="124" t="s">
        <v>189</v>
      </c>
      <c r="AV219" s="115">
        <f>VLOOKUP(J219,'[63]ТР нефть'!$J$28:$BP$638,39,0)</f>
        <v>549.99999140600005</v>
      </c>
      <c r="AW219" s="115" t="str">
        <f>VLOOKUP(J219,'[63]ТР нефть'!$J$28:$BP$638,40,0)</f>
        <v>ГП</v>
      </c>
      <c r="AX219" s="115">
        <f>VLOOKUP(J219,'[63]ТР нефть'!$J$28:$BP$638,41,0)</f>
        <v>980.00001445299995</v>
      </c>
      <c r="AY219" s="115" t="str">
        <f>VLOOKUP(J219,'[63]ТР нефть'!$J$28:$BP$638,42,0)</f>
        <v>ГП</v>
      </c>
      <c r="AZ219" s="115">
        <f>VLOOKUP(J219,'[63]ТР нефть'!$J$28:$BP$638,43,0)</f>
        <v>1290.000069141</v>
      </c>
      <c r="BA219" s="115" t="str">
        <f>VLOOKUP(J219,'[63]ТР нефть'!$J$28:$BP$638,44,0)</f>
        <v>ГП</v>
      </c>
      <c r="BB219" s="115">
        <f>VLOOKUP(J219,'[63]ТР нефть'!$J$28:$BP$638,45,0)</f>
        <v>1580.000005078</v>
      </c>
      <c r="BC219" s="115" t="str">
        <f>VLOOKUP(J219,'[63]ТР нефть'!$J$28:$BP$638,46,0)</f>
        <v>ЦКсОК 5/16</v>
      </c>
      <c r="BD219" s="115" t="str">
        <f>VLOOKUP(J219,'[63]ТР нефть'!$J$28:$BP$638,47,0)</f>
        <v>-</v>
      </c>
      <c r="BE219" s="115" t="str">
        <f>VLOOKUP(J219,'[63]ТР нефть'!$J$28:$BP$638,48,0)</f>
        <v>-</v>
      </c>
      <c r="BF219" s="115" t="str">
        <f>VLOOKUP(J219,'[63]ТР нефть'!$J$28:$BP$638,49,0)</f>
        <v>-</v>
      </c>
      <c r="BG219" s="115" t="str">
        <f>VLOOKUP(J219,'[63]ТР нефть'!$J$28:$BP$638,50,0)</f>
        <v>-</v>
      </c>
      <c r="BH219" s="115">
        <f>VLOOKUP(J219,'[63]ТР нефть'!$J$28:$BP$638,51,0)</f>
        <v>1783</v>
      </c>
      <c r="BI219" s="115" t="str">
        <f>VLOOKUP(J219,'[63]ТР нефть'!$J$28:$BP$638,52,0)</f>
        <v>закрыт</v>
      </c>
      <c r="BJ219" s="115" t="str">
        <f>IF(IFERROR(VLOOKUP(J219,'[63]ТР нефть'!$J$28:$BP$638,53,0),"-")=0,"-",IFERROR(VLOOKUP(J219,'[63]ТР нефть'!$J$28:$BP$638,53,0),"-"))</f>
        <v>-</v>
      </c>
      <c r="BK219" s="138" t="str">
        <f>IF(IFERROR(VLOOKUP(J219,'[63]ТР нефть'!$J$28:$BP$638,54,0),"-")=0,"-",IFERROR(VLOOKUP(J219,'[63]ТР нефть'!$J$28:$BP$638,54,0),"-"))</f>
        <v>-</v>
      </c>
      <c r="BL219" s="138" t="str">
        <f>IF(IFERROR(VLOOKUP(J219,'[63]ТР нефть'!$J$28:$BP$638,55,0),"-")=0,"-",IFERROR(VLOOKUP(J219,'[63]ТР нефть'!$J$28:$BP$638,55,0),"-"))</f>
        <v>-</v>
      </c>
      <c r="BM219" s="138" t="str">
        <f>IF(IFERROR(VLOOKUP(J219,'[63]ТР нефть'!$J$28:$BP$638,56,0),"-")=0,"-",IFERROR(VLOOKUP(J219,'[63]ТР нефть'!$J$28:$BP$638,56,0),"-"))</f>
        <v>-</v>
      </c>
      <c r="BN219" s="138" t="str">
        <f>IF(IFERROR(VLOOKUP(J219,'[63]ТР нефть'!$J$28:$BP$638,57,0),"-")=0,"-",IFERROR(VLOOKUP(J219,'[63]ТР нефть'!$J$28:$BP$638,57,0),"-"))</f>
        <v>-</v>
      </c>
      <c r="BO219" s="115" t="str">
        <f>IF(IFERROR(VLOOKUP(J219,'[63]ТР нефть'!$J$28:$BP$638,58,0),"-")=0,"-",IFERROR(VLOOKUP(J219,'[63]ТР нефть'!$J$28:$BP$638,58,0),"-"))</f>
        <v>-</v>
      </c>
      <c r="BP219" s="115" t="str">
        <f>IF(IFERROR(VLOOKUP(J219,'[63]ТР нефть'!$J$28:$BP$638,59,0),"-")=0,"-",IFERROR(VLOOKUP(J219,'[63]ТР нефть'!$J$28:$BP$638,59,0),"-"))</f>
        <v>-</v>
      </c>
      <c r="BQ219" s="138">
        <v>1950</v>
      </c>
      <c r="BR219" s="128">
        <v>1820.29</v>
      </c>
      <c r="BS219" s="115">
        <f t="shared" si="105"/>
        <v>129.71000000000004</v>
      </c>
      <c r="BT219" s="128">
        <v>73</v>
      </c>
      <c r="BU219" s="128">
        <v>5.5</v>
      </c>
      <c r="BV219" s="127">
        <v>18</v>
      </c>
      <c r="BW219" s="127" t="s">
        <v>217</v>
      </c>
      <c r="BX219" s="127" t="s">
        <v>195</v>
      </c>
      <c r="BY219" s="139">
        <v>24</v>
      </c>
      <c r="BZ219" s="139">
        <v>0</v>
      </c>
      <c r="CA219" s="80">
        <v>20</v>
      </c>
      <c r="CB219" s="138">
        <v>39</v>
      </c>
      <c r="CC219" s="138">
        <v>19</v>
      </c>
      <c r="CD219" s="135">
        <v>45017</v>
      </c>
      <c r="CE219" s="138">
        <v>129</v>
      </c>
      <c r="CF219" s="138">
        <v>74</v>
      </c>
      <c r="CG219" s="138" t="str">
        <f t="shared" si="153"/>
        <v>В работе</v>
      </c>
      <c r="CH219" s="138" t="s">
        <v>196</v>
      </c>
      <c r="CI219" s="127">
        <v>5</v>
      </c>
      <c r="CJ219" s="138"/>
      <c r="CK219" s="138">
        <f t="shared" si="157"/>
        <v>17</v>
      </c>
      <c r="CL219" s="99"/>
      <c r="CM219" s="99"/>
      <c r="CN219" s="140">
        <v>37</v>
      </c>
      <c r="CO219" s="141">
        <f t="shared" si="106"/>
        <v>6.0191999999999988</v>
      </c>
      <c r="CP219" s="142">
        <v>7.5</v>
      </c>
      <c r="CQ219" s="143">
        <v>4</v>
      </c>
      <c r="CR219" s="138">
        <v>15</v>
      </c>
      <c r="CS219" s="139">
        <v>9.6</v>
      </c>
      <c r="CT219" s="138"/>
      <c r="CU219" s="138">
        <f t="shared" si="159"/>
        <v>5.4</v>
      </c>
      <c r="CV219" s="115">
        <f t="shared" si="160"/>
        <v>897.12918660287096</v>
      </c>
      <c r="CW219" s="115">
        <f t="shared" si="109"/>
        <v>1507.8691923475635</v>
      </c>
      <c r="CX219" s="133">
        <f t="shared" si="161"/>
        <v>8.1521739130434784E-2</v>
      </c>
      <c r="CY219" s="116"/>
      <c r="CZ219" s="131"/>
      <c r="DA219" s="145" t="str">
        <f t="shared" si="111"/>
        <v>Газлифт</v>
      </c>
      <c r="DB219" s="146">
        <f t="shared" si="112"/>
        <v>6.0191999999999988</v>
      </c>
      <c r="DC219" s="142">
        <f t="shared" si="151"/>
        <v>7.5</v>
      </c>
      <c r="DD219" s="119">
        <f t="shared" si="152"/>
        <v>4</v>
      </c>
      <c r="DE219" s="115">
        <f t="shared" si="115"/>
        <v>5.4</v>
      </c>
      <c r="DF219" s="121">
        <f t="shared" si="116"/>
        <v>9.6</v>
      </c>
      <c r="DG219" s="115">
        <f t="shared" si="117"/>
        <v>897.12918660287096</v>
      </c>
      <c r="DH219" s="115">
        <f t="shared" si="118"/>
        <v>37</v>
      </c>
      <c r="DI219" s="147"/>
      <c r="DJ219" s="111" t="s">
        <v>197</v>
      </c>
      <c r="DK219" s="112">
        <v>44101</v>
      </c>
      <c r="DL219" s="113">
        <f t="shared" ca="1" si="138"/>
        <v>1003</v>
      </c>
      <c r="DM219" s="114"/>
      <c r="DN219" s="114"/>
      <c r="DO219" s="114"/>
      <c r="DP219" s="114"/>
      <c r="DQ219" s="112">
        <v>41687</v>
      </c>
      <c r="DR219" s="114" t="s">
        <v>198</v>
      </c>
      <c r="DS219" s="114"/>
      <c r="DT219" s="115">
        <v>42</v>
      </c>
      <c r="DU219" s="116">
        <f t="shared" si="139"/>
        <v>8.6206896551724144E-2</v>
      </c>
      <c r="DV219" s="117">
        <f t="shared" si="140"/>
        <v>6.0191999999999988</v>
      </c>
      <c r="DW219" s="118">
        <f t="shared" si="141"/>
        <v>7.5</v>
      </c>
      <c r="DX219" s="119">
        <f t="shared" si="119"/>
        <v>4</v>
      </c>
      <c r="DY219" s="115">
        <f t="shared" si="142"/>
        <v>5.4</v>
      </c>
      <c r="DZ219" s="117">
        <f t="shared" si="143"/>
        <v>0</v>
      </c>
      <c r="EA219" s="120">
        <f t="shared" si="143"/>
        <v>0</v>
      </c>
      <c r="EB219" s="119">
        <f t="shared" si="143"/>
        <v>0</v>
      </c>
      <c r="EC219" s="121">
        <f t="shared" si="144"/>
        <v>0</v>
      </c>
      <c r="ED219" s="122"/>
      <c r="EE219" s="145">
        <v>18</v>
      </c>
      <c r="EF219" s="148">
        <v>24</v>
      </c>
      <c r="EG219" s="115">
        <v>44</v>
      </c>
      <c r="EH219" s="115">
        <v>19</v>
      </c>
      <c r="EI219" s="128" t="s">
        <v>195</v>
      </c>
      <c r="EJ219" s="121">
        <v>24</v>
      </c>
      <c r="EK219" s="121">
        <v>0</v>
      </c>
      <c r="EL219" s="149">
        <v>6.1797119999999994</v>
      </c>
      <c r="EM219" s="142">
        <v>7.7</v>
      </c>
      <c r="EN219" s="119">
        <v>4</v>
      </c>
      <c r="EO219" s="115">
        <v>17</v>
      </c>
      <c r="EP219" s="115">
        <v>1197.4668075146544</v>
      </c>
      <c r="EQ219" s="115">
        <v>76</v>
      </c>
      <c r="ER219" s="115">
        <v>9.6</v>
      </c>
      <c r="ES219" s="115">
        <v>46</v>
      </c>
      <c r="ET219" s="150">
        <v>9.2771084337349402E-2</v>
      </c>
      <c r="EU219" s="145">
        <f t="shared" si="120"/>
        <v>18</v>
      </c>
      <c r="EV219" s="115">
        <f t="shared" si="121"/>
        <v>20</v>
      </c>
      <c r="EW219" s="115">
        <f t="shared" si="121"/>
        <v>39</v>
      </c>
      <c r="EX219" s="115">
        <f t="shared" si="121"/>
        <v>19</v>
      </c>
      <c r="EY219" s="115" t="str">
        <f t="shared" si="156"/>
        <v>Постоянный</v>
      </c>
      <c r="EZ219" s="115">
        <f t="shared" si="155"/>
        <v>24</v>
      </c>
      <c r="FA219" s="115">
        <f t="shared" si="155"/>
        <v>0</v>
      </c>
      <c r="FB219" s="149">
        <f t="shared" si="123"/>
        <v>6.0191999999999988</v>
      </c>
      <c r="FC219" s="142">
        <f t="shared" si="123"/>
        <v>7.5</v>
      </c>
      <c r="FD219" s="119">
        <f t="shared" si="123"/>
        <v>4</v>
      </c>
      <c r="FE219" s="121">
        <f t="shared" si="103"/>
        <v>15</v>
      </c>
      <c r="FF219" s="121">
        <f t="shared" si="145"/>
        <v>897.12918660287096</v>
      </c>
      <c r="FG219" s="121">
        <f t="shared" si="124"/>
        <v>74</v>
      </c>
      <c r="FH219" s="121">
        <f t="shared" si="146"/>
        <v>9.6</v>
      </c>
      <c r="FI219" s="121">
        <f t="shared" si="154"/>
        <v>37</v>
      </c>
      <c r="FJ219" s="144">
        <f t="shared" si="125"/>
        <v>8.1521739130434784E-2</v>
      </c>
      <c r="FK219" s="132">
        <f t="shared" si="126"/>
        <v>0</v>
      </c>
      <c r="FL219" s="115">
        <f t="shared" si="126"/>
        <v>-4</v>
      </c>
      <c r="FM219" s="115">
        <f t="shared" si="126"/>
        <v>-5</v>
      </c>
      <c r="FN219" s="115">
        <f t="shared" si="126"/>
        <v>0</v>
      </c>
      <c r="FO219" s="115">
        <f t="shared" si="150"/>
        <v>0</v>
      </c>
      <c r="FP219" s="115">
        <f t="shared" si="150"/>
        <v>0</v>
      </c>
      <c r="FQ219" s="149">
        <f t="shared" si="150"/>
        <v>-0.16051200000000065</v>
      </c>
      <c r="FR219" s="142">
        <f t="shared" si="148"/>
        <v>-0.20000000000000018</v>
      </c>
      <c r="FS219" s="119">
        <f t="shared" si="148"/>
        <v>0</v>
      </c>
      <c r="FT219" s="121">
        <f t="shared" si="148"/>
        <v>-2</v>
      </c>
      <c r="FU219" s="121">
        <f t="shared" si="127"/>
        <v>-2</v>
      </c>
      <c r="FV219" s="121">
        <f t="shared" si="127"/>
        <v>0</v>
      </c>
      <c r="FW219" s="121">
        <f t="shared" si="128"/>
        <v>-300.33762091178346</v>
      </c>
      <c r="FX219" s="121">
        <f t="shared" si="129"/>
        <v>-9</v>
      </c>
      <c r="FY219" s="144">
        <f t="shared" si="129"/>
        <v>-1.1249345206914618E-2</v>
      </c>
      <c r="FZ219" s="145"/>
      <c r="GA219" s="151"/>
      <c r="GB219" s="145"/>
      <c r="GC219" s="151"/>
      <c r="GD219" s="997" t="s">
        <v>220</v>
      </c>
      <c r="GE219" s="1004"/>
      <c r="GF219" s="1004">
        <v>0</v>
      </c>
      <c r="GG219" s="1004"/>
      <c r="GH219" s="1004">
        <v>0</v>
      </c>
      <c r="GI219" s="145"/>
      <c r="GJ219" s="996">
        <v>0</v>
      </c>
      <c r="GK219" s="145"/>
      <c r="GL219" s="996">
        <v>0.14220360000000021</v>
      </c>
      <c r="GM219" s="1005"/>
      <c r="GN219" s="996">
        <v>0</v>
      </c>
      <c r="GO219" s="1006"/>
      <c r="GP219" s="996">
        <v>4.1716399999998544E-2</v>
      </c>
      <c r="GQ219" s="1006"/>
      <c r="GR219" s="996">
        <v>0</v>
      </c>
      <c r="GS219" s="1006"/>
      <c r="GT219" s="996">
        <v>0</v>
      </c>
      <c r="GU219" s="1006"/>
      <c r="GV219" s="996">
        <v>0</v>
      </c>
      <c r="GW219" s="1006"/>
      <c r="GX219" s="1036">
        <v>0</v>
      </c>
      <c r="GY219" s="1006"/>
      <c r="GZ219" s="996">
        <v>0.26367858000000055</v>
      </c>
      <c r="HA219" s="1006" t="s">
        <v>203</v>
      </c>
      <c r="HB219" s="996">
        <v>-2.6278865799999993</v>
      </c>
      <c r="HC219" s="1006"/>
      <c r="HD219" s="996">
        <v>0</v>
      </c>
      <c r="HE219" s="1006"/>
      <c r="HF219" s="996">
        <v>0</v>
      </c>
      <c r="HG219" s="1006" t="s">
        <v>1044</v>
      </c>
      <c r="HH219" s="996">
        <v>-4.6441471999999999</v>
      </c>
      <c r="HI219" s="1006" t="s">
        <v>308</v>
      </c>
      <c r="HJ219" s="996">
        <v>5.5838111999999995</v>
      </c>
      <c r="HK219" s="1006"/>
      <c r="HL219" s="996">
        <v>0</v>
      </c>
      <c r="HM219" s="1006"/>
      <c r="HN219" s="996">
        <v>0</v>
      </c>
      <c r="HO219" s="1006"/>
      <c r="HP219" s="996">
        <v>0.24427920000000025</v>
      </c>
      <c r="HQ219" s="1006"/>
      <c r="HR219" s="996">
        <v>0</v>
      </c>
      <c r="HS219" s="1006"/>
      <c r="HT219" s="996">
        <v>0</v>
      </c>
      <c r="HU219" s="1006"/>
      <c r="HV219" s="996">
        <v>-0.37467012000000022</v>
      </c>
      <c r="HW219" s="1006"/>
      <c r="HX219" s="996">
        <v>0</v>
      </c>
      <c r="HY219" s="1006"/>
      <c r="HZ219" s="996">
        <v>0</v>
      </c>
      <c r="IA219" s="1006"/>
      <c r="IB219" s="996">
        <v>0</v>
      </c>
      <c r="IC219" s="1006" t="s">
        <v>223</v>
      </c>
      <c r="ID219" s="996">
        <v>-2.6116890799999997</v>
      </c>
      <c r="IE219" s="1006"/>
      <c r="IF219" s="996">
        <v>0</v>
      </c>
      <c r="IG219" s="1006"/>
      <c r="IH219" s="996">
        <v>0</v>
      </c>
      <c r="II219" s="1006" t="s">
        <v>223</v>
      </c>
      <c r="IJ219" s="996">
        <v>-3.0722665599999992</v>
      </c>
      <c r="IK219" s="1006"/>
      <c r="IL219" s="996">
        <v>0</v>
      </c>
      <c r="IM219" s="1006" t="s">
        <v>203</v>
      </c>
      <c r="IN219" s="996">
        <v>-9.808050648</v>
      </c>
      <c r="IO219" s="1006" t="s">
        <v>25</v>
      </c>
      <c r="IP219" s="996">
        <v>15.028001207999999</v>
      </c>
      <c r="IQ219" s="1006"/>
      <c r="IR219" s="996">
        <v>0</v>
      </c>
      <c r="IS219" s="1006"/>
      <c r="IT219" s="996">
        <v>0</v>
      </c>
      <c r="IU219" s="1006"/>
      <c r="IV219" s="996">
        <v>0</v>
      </c>
      <c r="IW219" s="1006"/>
      <c r="IX219" s="996">
        <v>0</v>
      </c>
      <c r="IY219" s="1006"/>
      <c r="IZ219" s="996">
        <v>0</v>
      </c>
      <c r="JA219" s="1006"/>
      <c r="JB219" s="996">
        <v>0</v>
      </c>
      <c r="JC219" s="1006" t="s">
        <v>204</v>
      </c>
      <c r="JD219" s="996">
        <v>2.1827960000000011</v>
      </c>
      <c r="JE219" s="1006"/>
      <c r="JF219" s="996">
        <v>0</v>
      </c>
      <c r="JG219" s="1006"/>
      <c r="JH219" s="996">
        <v>0</v>
      </c>
      <c r="JI219" s="1006"/>
      <c r="JJ219" s="996">
        <v>0</v>
      </c>
      <c r="JK219" s="1007"/>
      <c r="JL219" s="1007">
        <v>0</v>
      </c>
      <c r="JM219" s="1007"/>
      <c r="JN219" s="1007">
        <v>0</v>
      </c>
      <c r="JO219" s="1008"/>
      <c r="JP219" s="1007">
        <v>0</v>
      </c>
      <c r="JQ219" s="1008">
        <v>0</v>
      </c>
      <c r="JR219" s="1007">
        <v>0</v>
      </c>
      <c r="JS219" s="1008">
        <v>0</v>
      </c>
      <c r="JT219" s="1007">
        <v>0</v>
      </c>
      <c r="JU219" s="1008"/>
      <c r="JV219" s="1007">
        <v>0</v>
      </c>
      <c r="JW219" s="1008" t="s">
        <v>197</v>
      </c>
      <c r="JX219" s="1007">
        <v>0</v>
      </c>
      <c r="JY219" s="1008"/>
      <c r="JZ219" s="1007">
        <v>0</v>
      </c>
      <c r="KA219" s="1008"/>
      <c r="KB219" s="1007">
        <v>0</v>
      </c>
      <c r="KC219" s="1008"/>
      <c r="KD219" s="1007">
        <v>0</v>
      </c>
      <c r="KE219" s="1008" t="s">
        <v>204</v>
      </c>
      <c r="KF219" s="1007">
        <v>-1.065064</v>
      </c>
      <c r="KG219" s="1008"/>
      <c r="KH219" s="1007">
        <v>0</v>
      </c>
      <c r="KI219" s="1008"/>
      <c r="KJ219" s="1007">
        <v>0</v>
      </c>
      <c r="KK219" s="1008"/>
      <c r="KL219" s="1007">
        <v>0</v>
      </c>
      <c r="KM219" s="1008"/>
      <c r="KN219" s="1007">
        <v>0</v>
      </c>
      <c r="KO219" s="1008"/>
      <c r="KP219" s="1007">
        <v>0</v>
      </c>
      <c r="KQ219" s="1008">
        <v>0</v>
      </c>
      <c r="KR219" s="1007">
        <v>0</v>
      </c>
      <c r="KS219" s="1008">
        <v>0</v>
      </c>
      <c r="KT219" s="1007">
        <v>0</v>
      </c>
      <c r="KU219" s="1008" t="s">
        <v>204</v>
      </c>
      <c r="KV219" s="1007">
        <v>-2.949408</v>
      </c>
      <c r="KW219" s="1008">
        <v>0</v>
      </c>
      <c r="KX219" s="1007">
        <v>0</v>
      </c>
      <c r="KY219" s="1008">
        <v>0</v>
      </c>
      <c r="KZ219" s="1007">
        <v>0</v>
      </c>
      <c r="LA219" s="1008" t="s">
        <v>206</v>
      </c>
      <c r="LB219" s="1007">
        <v>1.9010639999999999</v>
      </c>
      <c r="LC219" s="1008" t="s">
        <v>223</v>
      </c>
      <c r="LD219" s="1007">
        <v>-1.6586240000000005</v>
      </c>
      <c r="LE219" s="1008">
        <v>0</v>
      </c>
      <c r="LF219" s="1007">
        <v>0</v>
      </c>
      <c r="LG219" s="1008">
        <v>0</v>
      </c>
      <c r="LH219" s="1007">
        <v>0</v>
      </c>
      <c r="LI219" s="1008" t="s">
        <v>204</v>
      </c>
      <c r="LJ219" s="1007">
        <v>2.0732800000000005</v>
      </c>
      <c r="LK219" s="1008" t="s">
        <v>555</v>
      </c>
      <c r="LL219" s="1007">
        <v>0.82931200000000005</v>
      </c>
      <c r="LM219" s="1008">
        <v>0</v>
      </c>
      <c r="LN219" s="1007">
        <v>0</v>
      </c>
      <c r="LO219" s="1008">
        <v>0</v>
      </c>
      <c r="LP219" s="1007">
        <v>0.91224320000000003</v>
      </c>
      <c r="LQ219" s="1008">
        <v>0</v>
      </c>
      <c r="LR219" s="1007">
        <v>0</v>
      </c>
      <c r="LS219" s="1008">
        <v>0</v>
      </c>
      <c r="LT219" s="1007">
        <v>-0.66344959999999997</v>
      </c>
      <c r="LU219" s="1008">
        <v>0</v>
      </c>
      <c r="LV219" s="1007">
        <v>0</v>
      </c>
      <c r="LW219" s="1008">
        <v>0</v>
      </c>
      <c r="LX219" s="1007">
        <v>0.2487936</v>
      </c>
      <c r="LY219" s="1009">
        <v>0</v>
      </c>
      <c r="LZ219" s="1010">
        <v>0</v>
      </c>
      <c r="MA219" s="1011">
        <v>0</v>
      </c>
      <c r="MB219" s="1012">
        <v>0</v>
      </c>
      <c r="MC219" s="995"/>
      <c r="MD219" s="996"/>
      <c r="ME219" s="997" t="s">
        <v>220</v>
      </c>
      <c r="MF219" s="997"/>
      <c r="MG219" s="998"/>
      <c r="NR219" s="1000"/>
      <c r="NS219" s="1000"/>
      <c r="NT219" s="1001"/>
      <c r="NU219" s="1000"/>
      <c r="NV219" s="1001"/>
      <c r="NX219" s="1002"/>
      <c r="NZ219" s="1001"/>
      <c r="OA219" s="1001"/>
      <c r="OC219" s="1003"/>
      <c r="OD219" s="1003"/>
      <c r="OE219" s="1001"/>
      <c r="OF219" s="1003"/>
      <c r="OG219" s="1003"/>
      <c r="QX219" s="1000">
        <f>CN219-CA219</f>
        <v>17</v>
      </c>
      <c r="ASU219" s="999" t="s">
        <v>208</v>
      </c>
    </row>
    <row r="220" spans="1:466 1191:1191" ht="21" customHeight="1" x14ac:dyDescent="0.25">
      <c r="A220" s="982" t="str">
        <f t="shared" si="104"/>
        <v>1112-1</v>
      </c>
      <c r="B220" s="124">
        <f>SUBTOTAL(103,$J$29:J220)</f>
        <v>192</v>
      </c>
      <c r="C220" s="126">
        <v>45068</v>
      </c>
      <c r="D220" s="124" t="s">
        <v>176</v>
      </c>
      <c r="E220" s="127" t="s">
        <v>177</v>
      </c>
      <c r="F220" s="128" t="s">
        <v>177</v>
      </c>
      <c r="G220" s="127" t="s">
        <v>178</v>
      </c>
      <c r="H220" s="127" t="s">
        <v>179</v>
      </c>
      <c r="I220" s="127" t="s">
        <v>1035</v>
      </c>
      <c r="J220" s="152" t="s">
        <v>1045</v>
      </c>
      <c r="K220" s="127" t="s">
        <v>1040</v>
      </c>
      <c r="L220" s="130">
        <v>41070</v>
      </c>
      <c r="M220" s="127" t="s">
        <v>230</v>
      </c>
      <c r="N220" s="127" t="s">
        <v>184</v>
      </c>
      <c r="O220" s="127" t="s">
        <v>185</v>
      </c>
      <c r="P220" s="127" t="s">
        <v>292</v>
      </c>
      <c r="Q220" s="85" t="str">
        <f t="shared" si="158"/>
        <v/>
      </c>
      <c r="R220" s="130"/>
      <c r="S220" s="128" t="s">
        <v>156</v>
      </c>
      <c r="T220" s="131"/>
      <c r="U220" s="132">
        <v>203</v>
      </c>
      <c r="V220" s="121">
        <v>218.2</v>
      </c>
      <c r="W220" s="116">
        <v>0.98</v>
      </c>
      <c r="X220" s="116">
        <v>1.66</v>
      </c>
      <c r="Y220" s="116">
        <f t="shared" si="137"/>
        <v>1.0819366852886405</v>
      </c>
      <c r="Z220" s="133">
        <v>1.454</v>
      </c>
      <c r="AA220" s="133">
        <v>0.83599999999999997</v>
      </c>
      <c r="AB220" s="133">
        <v>0.72</v>
      </c>
      <c r="AC220" s="121">
        <v>34.299999999999997</v>
      </c>
      <c r="AD220" s="134">
        <v>1.17</v>
      </c>
      <c r="AE220" s="124">
        <v>139.69999999999999</v>
      </c>
      <c r="AF220" s="128">
        <v>7.72</v>
      </c>
      <c r="AG220" s="128">
        <v>1945</v>
      </c>
      <c r="AH220" s="138">
        <v>2607.5</v>
      </c>
      <c r="AI220" s="138">
        <v>2607.5</v>
      </c>
      <c r="AJ220" s="135"/>
      <c r="AK220" s="128"/>
      <c r="AL220" s="131"/>
      <c r="AM220" s="124" t="s">
        <v>232</v>
      </c>
      <c r="AN220" s="136" t="s">
        <v>1046</v>
      </c>
      <c r="AO220" s="137">
        <v>320.24</v>
      </c>
      <c r="AP220" s="128">
        <v>1469.2</v>
      </c>
      <c r="AQ220" s="128">
        <v>2</v>
      </c>
      <c r="AR220" s="128"/>
      <c r="AS220" s="128"/>
      <c r="AT220" s="122"/>
      <c r="AU220" s="124" t="s">
        <v>189</v>
      </c>
      <c r="AV220" s="115">
        <f>VLOOKUP(J220,'[63]ТР нефть'!$J$28:$BP$638,39,0)</f>
        <v>560.00001357400004</v>
      </c>
      <c r="AW220" s="115" t="str">
        <f>VLOOKUP(J220,'[63]ТР нефть'!$J$28:$BP$638,40,0)</f>
        <v>ГП</v>
      </c>
      <c r="AX220" s="115">
        <f>VLOOKUP(J220,'[63]ТР нефть'!$J$28:$BP$638,41,0)</f>
        <v>1046.9999806640001</v>
      </c>
      <c r="AY220" s="115" t="str">
        <f>VLOOKUP(J220,'[63]ТР нефть'!$J$28:$BP$638,42,0)</f>
        <v>ГП</v>
      </c>
      <c r="AZ220" s="115">
        <f>VLOOKUP(J220,'[63]ТР нефть'!$J$28:$BP$638,43,0)</f>
        <v>1442.0000191409999</v>
      </c>
      <c r="BA220" s="115" t="str">
        <f>VLOOKUP(J220,'[63]ТР нефть'!$J$28:$BP$638,44,0)</f>
        <v>ЦКсОК 5/16</v>
      </c>
      <c r="BB220" s="115" t="str">
        <f>VLOOKUP(J220,'[63]ТР нефть'!$J$28:$BP$638,45,0)</f>
        <v>-</v>
      </c>
      <c r="BC220" s="115" t="str">
        <f>VLOOKUP(J220,'[63]ТР нефть'!$J$28:$BP$638,46,0)</f>
        <v>-</v>
      </c>
      <c r="BD220" s="115" t="str">
        <f>VLOOKUP(J220,'[63]ТР нефть'!$J$28:$BP$638,47,0)</f>
        <v>-</v>
      </c>
      <c r="BE220" s="115" t="str">
        <f>VLOOKUP(J220,'[63]ТР нефть'!$J$28:$BP$638,48,0)</f>
        <v>-</v>
      </c>
      <c r="BF220" s="115" t="str">
        <f>VLOOKUP(J220,'[63]ТР нефть'!$J$28:$BP$638,49,0)</f>
        <v>-</v>
      </c>
      <c r="BG220" s="115" t="str">
        <f>VLOOKUP(J220,'[63]ТР нефть'!$J$28:$BP$638,50,0)</f>
        <v>-</v>
      </c>
      <c r="BH220" s="115" t="str">
        <f>VLOOKUP(J220,'[63]ТР нефть'!$J$28:$BP$638,51,0)</f>
        <v>-</v>
      </c>
      <c r="BI220" s="115" t="str">
        <f>VLOOKUP(J220,'[63]ТР нефть'!$J$28:$BP$638,52,0)</f>
        <v>-</v>
      </c>
      <c r="BJ220" s="115" t="str">
        <f>IF(IFERROR(VLOOKUP(J220,'[63]ТР нефть'!$J$28:$BP$638,53,0),"-")=0,"-",IFERROR(VLOOKUP(J220,'[63]ТР нефть'!$J$28:$BP$638,53,0),"-"))</f>
        <v>-</v>
      </c>
      <c r="BK220" s="138" t="str">
        <f>IF(IFERROR(VLOOKUP(J220,'[63]ТР нефть'!$J$28:$BP$638,54,0),"-")=0,"-",IFERROR(VLOOKUP(J220,'[63]ТР нефть'!$J$28:$BP$638,54,0),"-"))</f>
        <v>-</v>
      </c>
      <c r="BL220" s="138" t="str">
        <f>IF(IFERROR(VLOOKUP(J220,'[63]ТР нефть'!$J$28:$BP$638,55,0),"-")=0,"-",IFERROR(VLOOKUP(J220,'[63]ТР нефть'!$J$28:$BP$638,55,0),"-"))</f>
        <v>-</v>
      </c>
      <c r="BM220" s="138" t="str">
        <f>IF(IFERROR(VLOOKUP(J220,'[63]ТР нефть'!$J$28:$BP$638,56,0),"-")=0,"-",IFERROR(VLOOKUP(J220,'[63]ТР нефть'!$J$28:$BP$638,56,0),"-"))</f>
        <v>-</v>
      </c>
      <c r="BN220" s="138" t="str">
        <f>IF(IFERROR(VLOOKUP(J220,'[63]ТР нефть'!$J$28:$BP$638,57,0),"-")=0,"-",IFERROR(VLOOKUP(J220,'[63]ТР нефть'!$J$28:$BP$638,57,0),"-"))</f>
        <v>-</v>
      </c>
      <c r="BO220" s="115" t="str">
        <f>IF(IFERROR(VLOOKUP(J220,'[63]ТР нефть'!$J$28:$BP$638,58,0),"-")=0,"-",IFERROR(VLOOKUP(J220,'[63]ТР нефть'!$J$28:$BP$638,58,0),"-"))</f>
        <v>-</v>
      </c>
      <c r="BP220" s="115" t="str">
        <f>IF(IFERROR(VLOOKUP(J220,'[63]ТР нефть'!$J$28:$BP$638,59,0),"-")=0,"-",IFERROR(VLOOKUP(J220,'[63]ТР нефть'!$J$28:$BP$638,59,0),"-"))</f>
        <v>-</v>
      </c>
      <c r="BQ220" s="138">
        <v>1950</v>
      </c>
      <c r="BR220" s="128">
        <v>1921.94</v>
      </c>
      <c r="BS220" s="115">
        <f t="shared" si="105"/>
        <v>28.059999999999945</v>
      </c>
      <c r="BT220" s="128">
        <v>73</v>
      </c>
      <c r="BU220" s="128">
        <v>5.5</v>
      </c>
      <c r="BV220" s="127">
        <v>18</v>
      </c>
      <c r="BW220" s="127" t="s">
        <v>217</v>
      </c>
      <c r="BX220" s="127" t="s">
        <v>195</v>
      </c>
      <c r="BY220" s="139">
        <v>24</v>
      </c>
      <c r="BZ220" s="139">
        <v>0</v>
      </c>
      <c r="CA220" s="80">
        <v>21</v>
      </c>
      <c r="CB220" s="138">
        <v>34</v>
      </c>
      <c r="CC220" s="138">
        <v>20</v>
      </c>
      <c r="CD220" s="135">
        <v>45017</v>
      </c>
      <c r="CE220" s="138">
        <v>78</v>
      </c>
      <c r="CF220" s="138">
        <v>78</v>
      </c>
      <c r="CG220" s="138" t="str">
        <f t="shared" si="153"/>
        <v>В работе</v>
      </c>
      <c r="CH220" s="138" t="s">
        <v>196</v>
      </c>
      <c r="CI220" s="127">
        <v>5</v>
      </c>
      <c r="CJ220" s="138"/>
      <c r="CK220" s="138">
        <f t="shared" si="157"/>
        <v>24</v>
      </c>
      <c r="CL220" s="99"/>
      <c r="CM220" s="99"/>
      <c r="CN220" s="140">
        <v>45</v>
      </c>
      <c r="CO220" s="141">
        <f t="shared" si="106"/>
        <v>3.6692040000000001</v>
      </c>
      <c r="CP220" s="142">
        <v>5.7</v>
      </c>
      <c r="CQ220" s="143">
        <v>23</v>
      </c>
      <c r="CR220" s="138">
        <v>14</v>
      </c>
      <c r="CS220" s="139">
        <v>4.8</v>
      </c>
      <c r="CT220" s="138"/>
      <c r="CU220" s="138">
        <f t="shared" si="159"/>
        <v>9.1999999999999993</v>
      </c>
      <c r="CV220" s="115">
        <f t="shared" si="160"/>
        <v>2507.3558188642551</v>
      </c>
      <c r="CW220" s="115">
        <f>IF(CP220&lt;&gt;0,IF(AU220=$AU$29,CS220/(CO220+(CP220-CO220/0.836)*1.158)*1000,""),"")</f>
        <v>925.32938834570768</v>
      </c>
      <c r="CX220" s="133">
        <f t="shared" si="161"/>
        <v>0.17272727272727273</v>
      </c>
      <c r="CY220" s="116"/>
      <c r="CZ220" s="131"/>
      <c r="DA220" s="145" t="str">
        <f t="shared" si="111"/>
        <v>Газлифт</v>
      </c>
      <c r="DB220" s="146">
        <f t="shared" si="112"/>
        <v>3.6692040000000001</v>
      </c>
      <c r="DC220" s="142">
        <f t="shared" si="151"/>
        <v>5.7</v>
      </c>
      <c r="DD220" s="119">
        <f t="shared" si="152"/>
        <v>23</v>
      </c>
      <c r="DE220" s="115">
        <f t="shared" si="115"/>
        <v>9.1999999999999993</v>
      </c>
      <c r="DF220" s="121">
        <f t="shared" si="116"/>
        <v>4.8</v>
      </c>
      <c r="DG220" s="115">
        <f t="shared" si="117"/>
        <v>2507.3558188642551</v>
      </c>
      <c r="DH220" s="115">
        <f t="shared" si="118"/>
        <v>45</v>
      </c>
      <c r="DI220" s="147"/>
      <c r="DJ220" s="111" t="s">
        <v>197</v>
      </c>
      <c r="DK220" s="112">
        <v>43832</v>
      </c>
      <c r="DL220" s="113">
        <f t="shared" ca="1" si="138"/>
        <v>1272</v>
      </c>
      <c r="DM220" s="114"/>
      <c r="DN220" s="114"/>
      <c r="DO220" s="114"/>
      <c r="DP220" s="114"/>
      <c r="DQ220" s="112">
        <v>41070</v>
      </c>
      <c r="DR220" s="114" t="s">
        <v>324</v>
      </c>
      <c r="DS220" s="114"/>
      <c r="DT220" s="115">
        <v>42</v>
      </c>
      <c r="DU220" s="116">
        <f t="shared" si="139"/>
        <v>0.16909090909090907</v>
      </c>
      <c r="DV220" s="117">
        <f t="shared" si="140"/>
        <v>3.9184991999999998</v>
      </c>
      <c r="DW220" s="118">
        <f t="shared" si="141"/>
        <v>6.0872727272727269</v>
      </c>
      <c r="DX220" s="119">
        <f t="shared" si="119"/>
        <v>23</v>
      </c>
      <c r="DY220" s="115">
        <f t="shared" si="142"/>
        <v>9.8250717703349277</v>
      </c>
      <c r="DZ220" s="117">
        <f t="shared" si="143"/>
        <v>0.24929519999999972</v>
      </c>
      <c r="EA220" s="120">
        <f t="shared" si="143"/>
        <v>0.38727272727272677</v>
      </c>
      <c r="EB220" s="119">
        <f t="shared" si="143"/>
        <v>0</v>
      </c>
      <c r="EC220" s="121">
        <f t="shared" si="144"/>
        <v>0.62507177033492844</v>
      </c>
      <c r="ED220" s="122"/>
      <c r="EE220" s="145">
        <v>18</v>
      </c>
      <c r="EF220" s="148">
        <v>21</v>
      </c>
      <c r="EG220" s="115">
        <v>34</v>
      </c>
      <c r="EH220" s="115">
        <v>20</v>
      </c>
      <c r="EI220" s="128" t="s">
        <v>218</v>
      </c>
      <c r="EJ220" s="121">
        <v>24</v>
      </c>
      <c r="EK220" s="121">
        <v>24</v>
      </c>
      <c r="EL220" s="149">
        <v>3.6692040000000001</v>
      </c>
      <c r="EM220" s="142">
        <v>5.7</v>
      </c>
      <c r="EN220" s="119">
        <v>23</v>
      </c>
      <c r="EO220" s="115">
        <v>14</v>
      </c>
      <c r="EP220" s="115">
        <v>2507.3558188642551</v>
      </c>
      <c r="EQ220" s="115">
        <v>78</v>
      </c>
      <c r="ER220" s="115">
        <v>4.8</v>
      </c>
      <c r="ES220" s="115">
        <v>45</v>
      </c>
      <c r="ET220" s="150">
        <v>0.17272727272727273</v>
      </c>
      <c r="EU220" s="145">
        <f t="shared" si="120"/>
        <v>18</v>
      </c>
      <c r="EV220" s="115">
        <f t="shared" si="121"/>
        <v>21</v>
      </c>
      <c r="EW220" s="115">
        <f t="shared" si="121"/>
        <v>34</v>
      </c>
      <c r="EX220" s="115">
        <f t="shared" si="121"/>
        <v>20</v>
      </c>
      <c r="EY220" s="115" t="str">
        <f t="shared" si="156"/>
        <v>Постоянный</v>
      </c>
      <c r="EZ220" s="115">
        <f t="shared" si="155"/>
        <v>24</v>
      </c>
      <c r="FA220" s="115">
        <f t="shared" si="155"/>
        <v>0</v>
      </c>
      <c r="FB220" s="149">
        <f t="shared" si="123"/>
        <v>3.6692040000000001</v>
      </c>
      <c r="FC220" s="142">
        <f t="shared" si="123"/>
        <v>5.7</v>
      </c>
      <c r="FD220" s="119">
        <f t="shared" si="123"/>
        <v>23</v>
      </c>
      <c r="FE220" s="121">
        <f t="shared" si="123"/>
        <v>14</v>
      </c>
      <c r="FF220" s="121">
        <f t="shared" si="145"/>
        <v>2507.3558188642551</v>
      </c>
      <c r="FG220" s="121">
        <f t="shared" si="124"/>
        <v>78</v>
      </c>
      <c r="FH220" s="121">
        <f t="shared" si="146"/>
        <v>4.8</v>
      </c>
      <c r="FI220" s="121">
        <f t="shared" si="154"/>
        <v>45</v>
      </c>
      <c r="FJ220" s="144">
        <f t="shared" si="125"/>
        <v>0.17272727272727273</v>
      </c>
      <c r="FK220" s="132">
        <f t="shared" si="126"/>
        <v>0</v>
      </c>
      <c r="FL220" s="115">
        <f t="shared" si="126"/>
        <v>0</v>
      </c>
      <c r="FM220" s="115">
        <f t="shared" si="126"/>
        <v>0</v>
      </c>
      <c r="FN220" s="115">
        <f t="shared" ref="FN220:FN283" si="162">EX220-EH220</f>
        <v>0</v>
      </c>
      <c r="FO220" s="115">
        <f t="shared" si="150"/>
        <v>0</v>
      </c>
      <c r="FP220" s="115">
        <f t="shared" si="150"/>
        <v>-24</v>
      </c>
      <c r="FQ220" s="149">
        <f t="shared" si="150"/>
        <v>0</v>
      </c>
      <c r="FR220" s="142">
        <f t="shared" si="148"/>
        <v>0</v>
      </c>
      <c r="FS220" s="119">
        <f t="shared" si="148"/>
        <v>0</v>
      </c>
      <c r="FT220" s="121">
        <f t="shared" si="148"/>
        <v>0</v>
      </c>
      <c r="FU220" s="121">
        <f t="shared" si="127"/>
        <v>0</v>
      </c>
      <c r="FV220" s="121">
        <f t="shared" si="127"/>
        <v>0</v>
      </c>
      <c r="FW220" s="121">
        <f t="shared" si="128"/>
        <v>0</v>
      </c>
      <c r="FX220" s="121">
        <f t="shared" si="129"/>
        <v>0</v>
      </c>
      <c r="FY220" s="144">
        <f t="shared" si="129"/>
        <v>0</v>
      </c>
      <c r="FZ220" s="145"/>
      <c r="GA220" s="151"/>
      <c r="GB220" s="145"/>
      <c r="GC220" s="151"/>
      <c r="GD220" s="997" t="s">
        <v>220</v>
      </c>
      <c r="GE220" s="1004"/>
      <c r="GF220" s="1004">
        <v>-0.19311599999999984</v>
      </c>
      <c r="GG220" s="1004" t="s">
        <v>199</v>
      </c>
      <c r="GH220" s="1004">
        <v>-1.8094969199999995</v>
      </c>
      <c r="GI220" s="145"/>
      <c r="GJ220" s="996">
        <v>0.11881691999999955</v>
      </c>
      <c r="GK220" s="145"/>
      <c r="GL220" s="996">
        <v>0</v>
      </c>
      <c r="GM220" s="1005"/>
      <c r="GN220" s="996">
        <v>0</v>
      </c>
      <c r="GO220" s="1006"/>
      <c r="GP220" s="996">
        <v>0</v>
      </c>
      <c r="GQ220" s="1006"/>
      <c r="GR220" s="996">
        <v>-0.44584364880000038</v>
      </c>
      <c r="GS220" s="1006"/>
      <c r="GT220" s="996">
        <v>-0.6679305599999994</v>
      </c>
      <c r="GU220" s="1006"/>
      <c r="GV220" s="996">
        <v>0</v>
      </c>
      <c r="GW220" s="1006"/>
      <c r="GX220" s="1036">
        <v>0</v>
      </c>
      <c r="GY220" s="1006"/>
      <c r="GZ220" s="996">
        <v>0</v>
      </c>
      <c r="HA220" s="1006"/>
      <c r="HB220" s="996">
        <v>0.71274016000000007</v>
      </c>
      <c r="HC220" s="1006"/>
      <c r="HD220" s="996">
        <v>0</v>
      </c>
      <c r="HE220" s="1006"/>
      <c r="HF220" s="996">
        <v>0</v>
      </c>
      <c r="HG220" s="1006" t="s">
        <v>221</v>
      </c>
      <c r="HH220" s="996">
        <v>-5.8051839999999997</v>
      </c>
      <c r="HI220" s="1006" t="s">
        <v>308</v>
      </c>
      <c r="HJ220" s="996">
        <v>6.70472</v>
      </c>
      <c r="HK220" s="1006"/>
      <c r="HL220" s="996">
        <v>0</v>
      </c>
      <c r="HM220" s="1006"/>
      <c r="HN220" s="996">
        <v>-0.81928000000000001</v>
      </c>
      <c r="HO220" s="1006"/>
      <c r="HP220" s="996">
        <v>0.39258559999999942</v>
      </c>
      <c r="HQ220" s="1006"/>
      <c r="HR220" s="996">
        <v>0</v>
      </c>
      <c r="HS220" s="1006"/>
      <c r="HT220" s="996">
        <v>0</v>
      </c>
      <c r="HU220" s="1006"/>
      <c r="HV220" s="996">
        <v>-0.32570560000000004</v>
      </c>
      <c r="HW220" s="1006"/>
      <c r="HX220" s="996">
        <v>0</v>
      </c>
      <c r="HY220" s="1006" t="s">
        <v>199</v>
      </c>
      <c r="HZ220" s="996">
        <v>1.8488975999999999</v>
      </c>
      <c r="IA220" s="1006" t="s">
        <v>223</v>
      </c>
      <c r="IB220" s="996">
        <v>-1.5894031999999996</v>
      </c>
      <c r="IC220" s="1006"/>
      <c r="ID220" s="996">
        <v>0</v>
      </c>
      <c r="IE220" s="1006"/>
      <c r="IF220" s="996">
        <v>0</v>
      </c>
      <c r="IG220" s="1006"/>
      <c r="IH220" s="996">
        <v>0</v>
      </c>
      <c r="II220" s="1006" t="s">
        <v>223</v>
      </c>
      <c r="IJ220" s="996">
        <v>-3.0977143999999992</v>
      </c>
      <c r="IK220" s="1006" t="s">
        <v>199</v>
      </c>
      <c r="IL220" s="996">
        <v>-2.2680680000000013</v>
      </c>
      <c r="IM220" s="1006" t="s">
        <v>199</v>
      </c>
      <c r="IN220" s="996">
        <v>-2.4511520000000004</v>
      </c>
      <c r="IO220" s="1006"/>
      <c r="IP220" s="996">
        <v>0</v>
      </c>
      <c r="IQ220" s="1006" t="s">
        <v>199</v>
      </c>
      <c r="IR220" s="996">
        <v>5.684800000000001</v>
      </c>
      <c r="IS220" s="1006"/>
      <c r="IT220" s="996">
        <v>0.75950600000000001</v>
      </c>
      <c r="IU220" s="1006" t="s">
        <v>199</v>
      </c>
      <c r="IV220" s="996">
        <v>-2.4315060000000006</v>
      </c>
      <c r="IW220" s="1006"/>
      <c r="IX220" s="996">
        <v>0</v>
      </c>
      <c r="IY220" s="1006"/>
      <c r="IZ220" s="996">
        <v>0</v>
      </c>
      <c r="JA220" s="1006"/>
      <c r="JB220" s="996">
        <v>0</v>
      </c>
      <c r="JC220" s="1006" t="s">
        <v>203</v>
      </c>
      <c r="JD220" s="996">
        <v>-10.006585599999998</v>
      </c>
      <c r="JE220" s="1006"/>
      <c r="JF220" s="996">
        <v>0</v>
      </c>
      <c r="JG220" s="1006" t="s">
        <v>25</v>
      </c>
      <c r="JH220" s="996">
        <v>15.273385599999997</v>
      </c>
      <c r="JI220" s="1006"/>
      <c r="JJ220" s="996">
        <v>0</v>
      </c>
      <c r="JK220" s="1007"/>
      <c r="JL220" s="1007">
        <v>0</v>
      </c>
      <c r="JM220" s="1007"/>
      <c r="JN220" s="1007">
        <v>0</v>
      </c>
      <c r="JO220" s="1008"/>
      <c r="JP220" s="1007">
        <v>0</v>
      </c>
      <c r="JQ220" s="1008">
        <v>0</v>
      </c>
      <c r="JR220" s="1007">
        <v>0</v>
      </c>
      <c r="JS220" s="1008">
        <v>0</v>
      </c>
      <c r="JT220" s="1007">
        <v>0</v>
      </c>
      <c r="JU220" s="1008"/>
      <c r="JV220" s="1007">
        <v>0</v>
      </c>
      <c r="JW220" s="1008" t="s">
        <v>197</v>
      </c>
      <c r="JX220" s="1007">
        <v>0</v>
      </c>
      <c r="JY220" s="1008"/>
      <c r="JZ220" s="1007">
        <v>0</v>
      </c>
      <c r="KA220" s="1008"/>
      <c r="KB220" s="1007">
        <v>0</v>
      </c>
      <c r="KC220" s="1008"/>
      <c r="KD220" s="1007">
        <v>0</v>
      </c>
      <c r="KE220" s="1008"/>
      <c r="KF220" s="1007">
        <v>0</v>
      </c>
      <c r="KG220" s="1008"/>
      <c r="KH220" s="1007">
        <v>0</v>
      </c>
      <c r="KI220" s="1008"/>
      <c r="KJ220" s="1007">
        <v>0</v>
      </c>
      <c r="KK220" s="1008"/>
      <c r="KL220" s="1007">
        <v>0</v>
      </c>
      <c r="KM220" s="1008"/>
      <c r="KN220" s="1007">
        <v>0</v>
      </c>
      <c r="KO220" s="1008"/>
      <c r="KP220" s="1007">
        <v>0</v>
      </c>
      <c r="KQ220" s="1008">
        <v>0</v>
      </c>
      <c r="KR220" s="1007">
        <v>0</v>
      </c>
      <c r="KS220" s="1008">
        <v>0</v>
      </c>
      <c r="KT220" s="1007">
        <v>0</v>
      </c>
      <c r="KU220" s="1008" t="s">
        <v>204</v>
      </c>
      <c r="KV220" s="1007">
        <v>1.4212000000000002</v>
      </c>
      <c r="KW220" s="1008">
        <v>0</v>
      </c>
      <c r="KX220" s="1007">
        <v>0</v>
      </c>
      <c r="KY220" s="1008">
        <v>0</v>
      </c>
      <c r="KZ220" s="1007">
        <v>0</v>
      </c>
      <c r="LA220" s="1008">
        <v>0</v>
      </c>
      <c r="LB220" s="1007">
        <v>0</v>
      </c>
      <c r="LC220" s="1008">
        <v>0</v>
      </c>
      <c r="LD220" s="1007">
        <v>0</v>
      </c>
      <c r="LE220" s="1008">
        <v>0</v>
      </c>
      <c r="LF220" s="1007">
        <v>0</v>
      </c>
      <c r="LG220" s="1008">
        <v>0</v>
      </c>
      <c r="LH220" s="1007">
        <v>-0.217362</v>
      </c>
      <c r="LI220" s="1008">
        <v>0</v>
      </c>
      <c r="LJ220" s="1007">
        <v>0</v>
      </c>
      <c r="LK220" s="1008" t="s">
        <v>555</v>
      </c>
      <c r="LL220" s="1007">
        <v>-2.1312799999999998</v>
      </c>
      <c r="LM220" s="1008">
        <v>0</v>
      </c>
      <c r="LN220" s="1007">
        <v>0</v>
      </c>
      <c r="LO220" s="1008" t="s">
        <v>206</v>
      </c>
      <c r="LP220" s="1007">
        <v>1.4747399999999999</v>
      </c>
      <c r="LQ220" s="1008" t="s">
        <v>206</v>
      </c>
      <c r="LR220" s="1007">
        <v>1.22892</v>
      </c>
      <c r="LS220" s="1008">
        <v>0</v>
      </c>
      <c r="LT220" s="1007">
        <v>0</v>
      </c>
      <c r="LU220" s="1008">
        <v>0</v>
      </c>
      <c r="LV220" s="1007">
        <v>0</v>
      </c>
      <c r="LW220" s="1008">
        <v>0</v>
      </c>
      <c r="LX220" s="1007">
        <v>0.81928000000000001</v>
      </c>
      <c r="LY220" s="1009">
        <v>0</v>
      </c>
      <c r="LZ220" s="1010">
        <v>0</v>
      </c>
      <c r="MA220" s="1011">
        <v>0</v>
      </c>
      <c r="MB220" s="1012">
        <v>0</v>
      </c>
      <c r="MC220" s="995"/>
      <c r="MD220" s="996"/>
      <c r="ME220" s="997" t="s">
        <v>220</v>
      </c>
      <c r="MF220" s="997"/>
      <c r="MG220" s="998"/>
      <c r="NR220" s="1000"/>
      <c r="NS220" s="1000"/>
      <c r="NT220" s="1001"/>
      <c r="NU220" s="1000"/>
      <c r="NV220" s="1001"/>
      <c r="NX220" s="1002"/>
      <c r="NZ220" s="1001"/>
      <c r="OA220" s="1001"/>
      <c r="OC220" s="1003"/>
      <c r="OD220" s="1003"/>
      <c r="OE220" s="1001"/>
      <c r="OF220" s="1003"/>
      <c r="OG220" s="1003"/>
      <c r="QX220" s="1000">
        <f>CN220-CA220</f>
        <v>24</v>
      </c>
      <c r="ASU220" s="999" t="s">
        <v>225</v>
      </c>
    </row>
    <row r="221" spans="1:466 1191:1191" ht="21" customHeight="1" x14ac:dyDescent="0.25">
      <c r="A221" s="982">
        <f t="shared" ref="A221:A284" si="163">$J221</f>
        <v>1113</v>
      </c>
      <c r="B221" s="145">
        <f>SUBTOTAL(103,$J$29:J221)</f>
        <v>193</v>
      </c>
      <c r="C221" s="126">
        <v>45068</v>
      </c>
      <c r="D221" s="145" t="s">
        <v>176</v>
      </c>
      <c r="E221" s="128" t="s">
        <v>177</v>
      </c>
      <c r="F221" s="128" t="s">
        <v>177</v>
      </c>
      <c r="G221" s="128" t="s">
        <v>178</v>
      </c>
      <c r="H221" s="128" t="s">
        <v>179</v>
      </c>
      <c r="I221" s="128" t="s">
        <v>1010</v>
      </c>
      <c r="J221" s="152">
        <v>1113</v>
      </c>
      <c r="K221" s="127" t="s">
        <v>1010</v>
      </c>
      <c r="L221" s="135">
        <v>41912</v>
      </c>
      <c r="M221" s="128" t="s">
        <v>230</v>
      </c>
      <c r="N221" s="128" t="s">
        <v>184</v>
      </c>
      <c r="O221" s="127" t="s">
        <v>582</v>
      </c>
      <c r="P221" s="127" t="s">
        <v>292</v>
      </c>
      <c r="Q221" s="127">
        <v>-4</v>
      </c>
      <c r="R221" s="130"/>
      <c r="S221" s="128"/>
      <c r="T221" s="131"/>
      <c r="U221" s="132">
        <v>203</v>
      </c>
      <c r="V221" s="121">
        <v>218.2</v>
      </c>
      <c r="W221" s="116">
        <v>0.98</v>
      </c>
      <c r="X221" s="116">
        <v>1.66</v>
      </c>
      <c r="Y221" s="116">
        <f t="shared" si="137"/>
        <v>0.98</v>
      </c>
      <c r="Z221" s="133">
        <v>1.454</v>
      </c>
      <c r="AA221" s="133">
        <v>0.83599999999999997</v>
      </c>
      <c r="AB221" s="133">
        <v>0.72</v>
      </c>
      <c r="AC221" s="121">
        <v>34.299999999999997</v>
      </c>
      <c r="AD221" s="134">
        <v>1.17</v>
      </c>
      <c r="AE221" s="145">
        <v>177.8</v>
      </c>
      <c r="AF221" s="128">
        <v>9.19</v>
      </c>
      <c r="AG221" s="128">
        <v>2199</v>
      </c>
      <c r="AH221" s="128">
        <v>2817</v>
      </c>
      <c r="AI221" s="128">
        <v>2817</v>
      </c>
      <c r="AJ221" s="135"/>
      <c r="AK221" s="128"/>
      <c r="AL221" s="131"/>
      <c r="AM221" s="145" t="s">
        <v>232</v>
      </c>
      <c r="AN221" s="131" t="s">
        <v>1047</v>
      </c>
      <c r="AO221" s="137">
        <v>16.899999999999999</v>
      </c>
      <c r="AP221" s="128">
        <v>2199.5</v>
      </c>
      <c r="AQ221" s="128">
        <v>345.14</v>
      </c>
      <c r="AR221" s="128"/>
      <c r="AS221" s="128"/>
      <c r="AT221" s="122"/>
      <c r="AU221" s="145" t="s">
        <v>883</v>
      </c>
      <c r="AV221" s="128">
        <f>VLOOKUP(J221,'[63]ТР нефть'!$J$28:$BP$638,39,0)</f>
        <v>300</v>
      </c>
      <c r="AW221" s="128" t="str">
        <f>VLOOKUP(J221,'[63]ТР нефть'!$J$28:$BP$638,40,0)</f>
        <v>ГП</v>
      </c>
      <c r="AX221" s="128" t="str">
        <f>VLOOKUP(J221,'[63]ТР нефть'!$J$28:$BP$638,41,0)</f>
        <v>-</v>
      </c>
      <c r="AY221" s="128" t="str">
        <f>VLOOKUP(J221,'[63]ТР нефть'!$J$28:$BP$638,42,0)</f>
        <v>-</v>
      </c>
      <c r="AZ221" s="128" t="str">
        <f>VLOOKUP(J221,'[63]ТР нефть'!$J$28:$BP$638,43,0)</f>
        <v>-</v>
      </c>
      <c r="BA221" s="128" t="str">
        <f>VLOOKUP(J221,'[63]ТР нефть'!$J$28:$BP$638,44,0)</f>
        <v>-</v>
      </c>
      <c r="BB221" s="128" t="str">
        <f>VLOOKUP(J221,'[63]ТР нефть'!$J$28:$BP$638,45,0)</f>
        <v>-</v>
      </c>
      <c r="BC221" s="128" t="str">
        <f>VLOOKUP(J221,'[63]ТР нефть'!$J$28:$BP$638,46,0)</f>
        <v>-</v>
      </c>
      <c r="BD221" s="128" t="str">
        <f>VLOOKUP(J221,'[63]ТР нефть'!$J$28:$BP$638,47,0)</f>
        <v>-</v>
      </c>
      <c r="BE221" s="128" t="str">
        <f>VLOOKUP(J221,'[63]ТР нефть'!$J$28:$BP$638,48,0)</f>
        <v>-</v>
      </c>
      <c r="BF221" s="128" t="str">
        <f>VLOOKUP(J221,'[63]ТР нефть'!$J$28:$BP$638,49,0)</f>
        <v>-</v>
      </c>
      <c r="BG221" s="128" t="str">
        <f>VLOOKUP(J221,'[63]ТР нефть'!$J$28:$BP$638,50,0)</f>
        <v>-</v>
      </c>
      <c r="BH221" s="128">
        <f>VLOOKUP(J221,'[63]ТР нефть'!$J$28:$BP$638,51,0)</f>
        <v>1700</v>
      </c>
      <c r="BI221" s="128" t="str">
        <f>VLOOKUP(J221,'[63]ТР нефть'!$J$28:$BP$638,52,0)</f>
        <v>закрыт</v>
      </c>
      <c r="BJ221" s="128" t="str">
        <f>IF(IFERROR(VLOOKUP(J221,'[63]ТР нефть'!$J$28:$BP$638,53,0),"-")=0,"-",IFERROR(VLOOKUP(J221,'[63]ТР нефть'!$J$28:$BP$638,53,0),"-"))</f>
        <v>-</v>
      </c>
      <c r="BK221" s="128" t="str">
        <f>IF(IFERROR(VLOOKUP(J221,'[63]ТР нефть'!$J$28:$BP$638,54,0),"-")=0,"-",IFERROR(VLOOKUP(J221,'[63]ТР нефть'!$J$28:$BP$638,54,0),"-"))</f>
        <v>D2400N</v>
      </c>
      <c r="BL221" s="128" t="str">
        <f>IF(IFERROR(VLOOKUP(J221,'[63]ТР нефть'!$J$28:$BP$638,55,0),"-")=0,"-",IFERROR(VLOOKUP(J221,'[63]ТР нефть'!$J$28:$BP$638,55,0),"-"))</f>
        <v>-</v>
      </c>
      <c r="BM221" s="128">
        <f>IF(IFERROR(VLOOKUP(J221,'[63]ТР нефть'!$J$28:$BP$638,56,0),"-")=0,"-",IFERROR(VLOOKUP(J221,'[63]ТР нефть'!$J$28:$BP$638,56,0),"-"))</f>
        <v>583</v>
      </c>
      <c r="BN221" s="128">
        <f>IF(IFERROR(VLOOKUP(J221,'[63]ТР нефть'!$J$28:$BP$638,57,0),"-")=0,"-",IFERROR(VLOOKUP(J221,'[63]ТР нефть'!$J$28:$BP$638,57,0),"-"))</f>
        <v>64</v>
      </c>
      <c r="BO221" s="128" t="str">
        <f>IF(IFERROR(VLOOKUP(J221,'[63]ТР нефть'!$J$28:$BP$638,58,0),"-")=0,"-",IFERROR(VLOOKUP(J221,'[63]ТР нефть'!$J$28:$BP$638,58,0),"-"))</f>
        <v>83-116</v>
      </c>
      <c r="BP221" s="128" t="str">
        <f>IF(IFERROR(VLOOKUP(J221,'[63]ТР нефть'!$J$28:$BP$638,59,0),"-")=0,"-",IFERROR(VLOOKUP(J221,'[63]ТР нефть'!$J$28:$BP$638,59,0),"-"))</f>
        <v>-</v>
      </c>
      <c r="BQ221" s="115">
        <v>1762</v>
      </c>
      <c r="BR221" s="128">
        <v>1606.45</v>
      </c>
      <c r="BS221" s="115">
        <f t="shared" ref="BS221:BS284" si="164">BQ221-BR221</f>
        <v>155.54999999999995</v>
      </c>
      <c r="BT221" s="128">
        <v>73</v>
      </c>
      <c r="BU221" s="128">
        <v>5.5</v>
      </c>
      <c r="BV221" s="128">
        <v>65</v>
      </c>
      <c r="BW221" s="128" t="s">
        <v>217</v>
      </c>
      <c r="BX221" s="127" t="s">
        <v>195</v>
      </c>
      <c r="BY221" s="121">
        <v>24</v>
      </c>
      <c r="BZ221" s="121">
        <v>0</v>
      </c>
      <c r="CA221" s="115">
        <v>22</v>
      </c>
      <c r="CB221" s="115">
        <v>21</v>
      </c>
      <c r="CC221" s="115">
        <v>21</v>
      </c>
      <c r="CD221" s="135">
        <v>45017</v>
      </c>
      <c r="CE221" s="115">
        <v>189.3</v>
      </c>
      <c r="CF221" s="138"/>
      <c r="CG221" s="115" t="str">
        <f t="shared" si="153"/>
        <v/>
      </c>
      <c r="CH221" s="115" t="s">
        <v>197</v>
      </c>
      <c r="CI221" s="115"/>
      <c r="CJ221" s="115">
        <f>IF((BR221-(100*(CM221-CB221))/(9.8*(AB221+AA221)/2))&gt;0,BR221-(100*(CM221-CB221))/(9.8*(AB221+AA221)/2),0)</f>
        <v>1881.8815093646713</v>
      </c>
      <c r="CK221" s="115">
        <f t="shared" si="157"/>
        <v>-22</v>
      </c>
      <c r="CL221" s="115"/>
      <c r="CM221" s="121"/>
      <c r="CN221" s="150"/>
      <c r="CO221" s="141">
        <f t="shared" ref="CO221:CO284" si="165">CP221*(1-CQ221/100)*0.836</f>
        <v>0</v>
      </c>
      <c r="CP221" s="142"/>
      <c r="CQ221" s="119"/>
      <c r="CR221" s="138"/>
      <c r="CS221" s="139"/>
      <c r="CT221" s="138"/>
      <c r="CU221" s="138"/>
      <c r="CV221" s="115"/>
      <c r="CW221" s="115" t="str">
        <f t="shared" ref="CW221:CW284" si="166">IF(CP221&lt;&gt;0,IF(AU221=$AU$29,CS221/(CO221+(CP221-CO221/0.836)*1.158)*1000,""),"")</f>
        <v/>
      </c>
      <c r="CX221" s="133"/>
      <c r="CY221" s="116"/>
      <c r="CZ221" s="131"/>
      <c r="DA221" s="145" t="str">
        <f t="shared" ref="DA221:DA284" si="167">AU221</f>
        <v>ЭЦН</v>
      </c>
      <c r="DB221" s="146">
        <f t="shared" ref="DB221:DB284" si="168">IFERROR(DC221*(1-DD221/100)*$AA221,"-")</f>
        <v>0</v>
      </c>
      <c r="DC221" s="142">
        <f t="shared" si="151"/>
        <v>0</v>
      </c>
      <c r="DD221" s="119">
        <f t="shared" si="152"/>
        <v>0</v>
      </c>
      <c r="DE221" s="115">
        <f t="shared" ref="DE221:DE284" si="169">CU221</f>
        <v>0</v>
      </c>
      <c r="DF221" s="121">
        <f t="shared" ref="DF221:DF284" si="170">CS221</f>
        <v>0</v>
      </c>
      <c r="DG221" s="115">
        <f t="shared" ref="DG221:DG284" si="171">CV221</f>
        <v>0</v>
      </c>
      <c r="DH221" s="115">
        <f t="shared" ref="DH221:DH284" si="172">CN221</f>
        <v>0</v>
      </c>
      <c r="DI221" s="150"/>
      <c r="DJ221" s="111">
        <v>42691</v>
      </c>
      <c r="DK221" s="112">
        <v>42692</v>
      </c>
      <c r="DL221" s="113">
        <f t="shared" ca="1" si="138"/>
        <v>2412</v>
      </c>
      <c r="DM221" s="114"/>
      <c r="DN221" s="114"/>
      <c r="DO221" s="114"/>
      <c r="DP221" s="114"/>
      <c r="DQ221" s="112">
        <v>41912</v>
      </c>
      <c r="DR221" s="114" t="s">
        <v>324</v>
      </c>
      <c r="DS221" s="114">
        <v>0</v>
      </c>
      <c r="DT221" s="115">
        <v>107</v>
      </c>
      <c r="DU221" s="116">
        <f t="shared" si="139"/>
        <v>0</v>
      </c>
      <c r="DV221" s="117">
        <f t="shared" si="140"/>
        <v>0</v>
      </c>
      <c r="DW221" s="118">
        <f t="shared" si="141"/>
        <v>0</v>
      </c>
      <c r="DX221" s="119">
        <f t="shared" ref="DX221:DX284" si="173">CQ221</f>
        <v>0</v>
      </c>
      <c r="DY221" s="115">
        <f t="shared" si="142"/>
        <v>0</v>
      </c>
      <c r="DZ221" s="117">
        <f t="shared" si="143"/>
        <v>0</v>
      </c>
      <c r="EA221" s="120">
        <f t="shared" si="143"/>
        <v>0</v>
      </c>
      <c r="EB221" s="119">
        <f t="shared" si="143"/>
        <v>0</v>
      </c>
      <c r="EC221" s="121">
        <f t="shared" si="144"/>
        <v>0</v>
      </c>
      <c r="ED221" s="122"/>
      <c r="EE221" s="145">
        <v>65</v>
      </c>
      <c r="EF221" s="115">
        <v>22</v>
      </c>
      <c r="EG221" s="115">
        <v>21</v>
      </c>
      <c r="EH221" s="115">
        <v>21</v>
      </c>
      <c r="EI221" s="128" t="s">
        <v>195</v>
      </c>
      <c r="EJ221" s="121">
        <v>24</v>
      </c>
      <c r="EK221" s="121">
        <v>0</v>
      </c>
      <c r="EL221" s="149">
        <v>0</v>
      </c>
      <c r="EM221" s="142">
        <v>0</v>
      </c>
      <c r="EN221" s="119">
        <v>0</v>
      </c>
      <c r="EO221" s="115">
        <v>0</v>
      </c>
      <c r="EP221" s="115">
        <v>0</v>
      </c>
      <c r="EQ221" s="115">
        <v>0</v>
      </c>
      <c r="ER221" s="115">
        <v>0</v>
      </c>
      <c r="ES221" s="115">
        <v>0</v>
      </c>
      <c r="ET221" s="150">
        <v>0</v>
      </c>
      <c r="EU221" s="145">
        <f t="shared" ref="EU221:EU284" si="174">BV221</f>
        <v>65</v>
      </c>
      <c r="EV221" s="115">
        <f t="shared" ref="EV221:EX284" si="175">CA221</f>
        <v>22</v>
      </c>
      <c r="EW221" s="115">
        <f t="shared" si="175"/>
        <v>21</v>
      </c>
      <c r="EX221" s="115">
        <f t="shared" si="175"/>
        <v>21</v>
      </c>
      <c r="EY221" s="115" t="str">
        <f t="shared" si="156"/>
        <v>Постоянный</v>
      </c>
      <c r="EZ221" s="115">
        <f t="shared" si="155"/>
        <v>24</v>
      </c>
      <c r="FA221" s="115">
        <f t="shared" si="155"/>
        <v>0</v>
      </c>
      <c r="FB221" s="149">
        <f t="shared" ref="FB221:FE263" si="176">CO221</f>
        <v>0</v>
      </c>
      <c r="FC221" s="142">
        <f t="shared" si="176"/>
        <v>0</v>
      </c>
      <c r="FD221" s="119">
        <f t="shared" si="176"/>
        <v>0</v>
      </c>
      <c r="FE221" s="121">
        <f t="shared" si="176"/>
        <v>0</v>
      </c>
      <c r="FF221" s="121">
        <f t="shared" si="145"/>
        <v>0</v>
      </c>
      <c r="FG221" s="121">
        <f t="shared" ref="FG221:FG284" si="177">CF221</f>
        <v>0</v>
      </c>
      <c r="FH221" s="121">
        <f t="shared" si="146"/>
        <v>0</v>
      </c>
      <c r="FI221" s="121">
        <f t="shared" si="154"/>
        <v>0</v>
      </c>
      <c r="FJ221" s="144">
        <f t="shared" ref="FJ221:FJ284" si="178">CX221</f>
        <v>0</v>
      </c>
      <c r="FK221" s="132">
        <f t="shared" ref="FK221:FN284" si="179">EU221-EE221</f>
        <v>0</v>
      </c>
      <c r="FL221" s="115">
        <f t="shared" si="179"/>
        <v>0</v>
      </c>
      <c r="FM221" s="115">
        <f t="shared" si="179"/>
        <v>0</v>
      </c>
      <c r="FN221" s="115">
        <f t="shared" si="162"/>
        <v>0</v>
      </c>
      <c r="FO221" s="115">
        <f t="shared" si="150"/>
        <v>0</v>
      </c>
      <c r="FP221" s="115">
        <f t="shared" si="150"/>
        <v>0</v>
      </c>
      <c r="FQ221" s="149">
        <f t="shared" si="150"/>
        <v>0</v>
      </c>
      <c r="FR221" s="142">
        <f t="shared" si="148"/>
        <v>0</v>
      </c>
      <c r="FS221" s="119">
        <f t="shared" si="148"/>
        <v>0</v>
      </c>
      <c r="FT221" s="121">
        <f t="shared" si="148"/>
        <v>0</v>
      </c>
      <c r="FU221" s="121">
        <f t="shared" ref="FU221:FV284" si="180">FG221-EQ221</f>
        <v>0</v>
      </c>
      <c r="FV221" s="121">
        <f t="shared" si="180"/>
        <v>0</v>
      </c>
      <c r="FW221" s="121">
        <f t="shared" ref="FW221:FW284" si="181">FF221-EP221</f>
        <v>0</v>
      </c>
      <c r="FX221" s="121">
        <f t="shared" ref="FX221:FY283" si="182">FI221-ES221</f>
        <v>0</v>
      </c>
      <c r="FY221" s="144">
        <f t="shared" si="182"/>
        <v>0</v>
      </c>
      <c r="FZ221" s="145"/>
      <c r="GA221" s="151"/>
      <c r="GB221" s="145"/>
      <c r="GC221" s="151"/>
      <c r="GD221" s="997" t="s">
        <v>220</v>
      </c>
      <c r="GE221" s="1004"/>
      <c r="GF221" s="1004">
        <v>0</v>
      </c>
      <c r="GG221" s="1004"/>
      <c r="GH221" s="1004">
        <v>0</v>
      </c>
      <c r="GI221" s="145"/>
      <c r="GJ221" s="996">
        <v>0</v>
      </c>
      <c r="GK221" s="145"/>
      <c r="GL221" s="996">
        <v>0</v>
      </c>
      <c r="GM221" s="1005"/>
      <c r="GN221" s="996">
        <v>0</v>
      </c>
      <c r="GO221" s="1006"/>
      <c r="GP221" s="996">
        <v>0</v>
      </c>
      <c r="GQ221" s="1006"/>
      <c r="GR221" s="996">
        <v>-0.99985599999999997</v>
      </c>
      <c r="GS221" s="1006"/>
      <c r="GT221" s="996">
        <v>0</v>
      </c>
      <c r="GU221" s="1006"/>
      <c r="GV221" s="996">
        <v>0</v>
      </c>
      <c r="GW221" s="1006"/>
      <c r="GX221" s="1036">
        <v>0</v>
      </c>
      <c r="GY221" s="1006"/>
      <c r="GZ221" s="996">
        <v>0</v>
      </c>
      <c r="HA221" s="1006"/>
      <c r="HB221" s="996">
        <v>0</v>
      </c>
      <c r="HC221" s="1006"/>
      <c r="HD221" s="996">
        <v>0</v>
      </c>
      <c r="HE221" s="1006"/>
      <c r="HF221" s="996">
        <v>0</v>
      </c>
      <c r="HG221" s="1006"/>
      <c r="HH221" s="996">
        <v>0</v>
      </c>
      <c r="HI221" s="1006"/>
      <c r="HJ221" s="996">
        <v>0</v>
      </c>
      <c r="HK221" s="1006" t="s">
        <v>308</v>
      </c>
      <c r="HL221" s="996">
        <v>0.99985599999999997</v>
      </c>
      <c r="HM221" s="1006"/>
      <c r="HN221" s="996">
        <v>0</v>
      </c>
      <c r="HO221" s="1006"/>
      <c r="HP221" s="996">
        <v>0</v>
      </c>
      <c r="HQ221" s="1006"/>
      <c r="HR221" s="996">
        <v>0</v>
      </c>
      <c r="HS221" s="1006"/>
      <c r="HT221" s="996">
        <v>0</v>
      </c>
      <c r="HU221" s="1006"/>
      <c r="HV221" s="996">
        <v>0</v>
      </c>
      <c r="HW221" s="1006"/>
      <c r="HX221" s="996">
        <v>0</v>
      </c>
      <c r="HY221" s="1006"/>
      <c r="HZ221" s="996">
        <v>0</v>
      </c>
      <c r="IA221" s="1006"/>
      <c r="IB221" s="996">
        <v>0</v>
      </c>
      <c r="IC221" s="1006"/>
      <c r="ID221" s="996">
        <v>0</v>
      </c>
      <c r="IE221" s="1006"/>
      <c r="IF221" s="996">
        <v>0</v>
      </c>
      <c r="IG221" s="1006"/>
      <c r="IH221" s="996">
        <v>0</v>
      </c>
      <c r="II221" s="1006"/>
      <c r="IJ221" s="996">
        <v>0</v>
      </c>
      <c r="IK221" s="1006"/>
      <c r="IL221" s="996">
        <v>-71.066687999999999</v>
      </c>
      <c r="IM221" s="1006"/>
      <c r="IN221" s="996">
        <v>0</v>
      </c>
      <c r="IO221" s="1006"/>
      <c r="IP221" s="996">
        <v>0</v>
      </c>
      <c r="IQ221" s="1006"/>
      <c r="IR221" s="996">
        <v>0</v>
      </c>
      <c r="IS221" s="1006"/>
      <c r="IT221" s="996">
        <v>0</v>
      </c>
      <c r="IU221" s="1006"/>
      <c r="IV221" s="996">
        <v>0</v>
      </c>
      <c r="IW221" s="1006"/>
      <c r="IX221" s="996">
        <v>0</v>
      </c>
      <c r="IY221" s="1006"/>
      <c r="IZ221" s="996">
        <v>0</v>
      </c>
      <c r="JA221" s="1006"/>
      <c r="JB221" s="996">
        <v>0</v>
      </c>
      <c r="JC221" s="1006"/>
      <c r="JD221" s="996">
        <v>0</v>
      </c>
      <c r="JE221" s="1006"/>
      <c r="JF221" s="996">
        <v>0</v>
      </c>
      <c r="JG221" s="1006"/>
      <c r="JH221" s="996">
        <v>23.489928000000013</v>
      </c>
      <c r="JI221" s="1006" t="s">
        <v>146</v>
      </c>
      <c r="JJ221" s="996">
        <v>20.390039999999992</v>
      </c>
      <c r="JK221" s="1007" t="s">
        <v>146</v>
      </c>
      <c r="JL221" s="1007">
        <v>-20.306440000000002</v>
      </c>
      <c r="JM221" s="1007"/>
      <c r="JN221" s="1007">
        <v>0</v>
      </c>
      <c r="JO221" s="1008"/>
      <c r="JP221" s="1007">
        <v>0.40763359999997562</v>
      </c>
      <c r="JQ221" s="1008">
        <v>0</v>
      </c>
      <c r="JR221" s="1007">
        <v>-0.2404335999999887</v>
      </c>
      <c r="JS221" s="1008">
        <v>0</v>
      </c>
      <c r="JT221" s="1007">
        <v>0</v>
      </c>
      <c r="JU221" s="1008" t="s">
        <v>146</v>
      </c>
      <c r="JV221" s="1007">
        <v>-7.4738399999999743</v>
      </c>
      <c r="JW221" s="1008" t="s">
        <v>197</v>
      </c>
      <c r="JX221" s="1007">
        <v>0</v>
      </c>
      <c r="JY221" s="1008"/>
      <c r="JZ221" s="1007">
        <v>0</v>
      </c>
      <c r="KA221" s="1008" t="s">
        <v>259</v>
      </c>
      <c r="KB221" s="1007">
        <v>-10.307880000000004</v>
      </c>
      <c r="KC221" s="1008" t="s">
        <v>204</v>
      </c>
      <c r="KD221" s="1007">
        <v>1.0282799999999952</v>
      </c>
      <c r="KE221" s="1008" t="s">
        <v>204</v>
      </c>
      <c r="KF221" s="1007">
        <v>3.3356400000000122</v>
      </c>
      <c r="KG221" s="1008" t="s">
        <v>204</v>
      </c>
      <c r="KH221" s="1007">
        <v>2.5581600000000009</v>
      </c>
      <c r="KI221" s="1008" t="s">
        <v>1048</v>
      </c>
      <c r="KJ221" s="1007">
        <v>5.9076307839999913</v>
      </c>
      <c r="KK221" s="1008" t="s">
        <v>206</v>
      </c>
      <c r="KL221" s="1007">
        <v>1.7668492160000042</v>
      </c>
      <c r="KM221" s="1008" t="s">
        <v>206</v>
      </c>
      <c r="KN221" s="1007">
        <v>-1.1118799999999993</v>
      </c>
      <c r="KO221" s="1008" t="s">
        <v>259</v>
      </c>
      <c r="KP221" s="1007">
        <v>-7.0140400000000014</v>
      </c>
      <c r="KQ221" s="1008" t="s">
        <v>206</v>
      </c>
      <c r="KR221" s="1007">
        <v>4.5645599999999931</v>
      </c>
      <c r="KS221" s="1008">
        <v>0</v>
      </c>
      <c r="KT221" s="1007">
        <v>0</v>
      </c>
      <c r="KU221" s="1008" t="s">
        <v>204</v>
      </c>
      <c r="KV221" s="1007">
        <v>-30.26152800000002</v>
      </c>
      <c r="KW221" s="1008">
        <v>0</v>
      </c>
      <c r="KX221" s="1007">
        <v>0</v>
      </c>
      <c r="KY221" s="1008" t="s">
        <v>206</v>
      </c>
      <c r="KZ221" s="1007">
        <v>2.6986080000000214</v>
      </c>
      <c r="LA221" s="1008" t="s">
        <v>206</v>
      </c>
      <c r="LB221" s="1007">
        <v>13.752199999999988</v>
      </c>
      <c r="LC221" s="1008" t="s">
        <v>199</v>
      </c>
      <c r="LD221" s="1007">
        <v>16.929000000000009</v>
      </c>
      <c r="LE221" s="1008" t="s">
        <v>206</v>
      </c>
      <c r="LF221" s="1007">
        <v>3.6366000000000085</v>
      </c>
      <c r="LG221" s="1008" t="s">
        <v>206</v>
      </c>
      <c r="LH221" s="1007">
        <v>11.829399999999985</v>
      </c>
      <c r="LI221" s="1008" t="s">
        <v>204</v>
      </c>
      <c r="LJ221" s="1007">
        <v>1.6552799999999905</v>
      </c>
      <c r="LK221" s="1008">
        <v>0</v>
      </c>
      <c r="LL221" s="1007">
        <v>0</v>
      </c>
      <c r="LM221" s="1008" t="s">
        <v>555</v>
      </c>
      <c r="LN221" s="1007">
        <v>11.08536</v>
      </c>
      <c r="LO221" s="1008" t="s">
        <v>206</v>
      </c>
      <c r="LP221" s="1007">
        <v>3.5697200000000002</v>
      </c>
      <c r="LQ221" s="1008">
        <v>0</v>
      </c>
      <c r="LR221" s="1007">
        <v>0</v>
      </c>
      <c r="LS221" s="1008">
        <v>0</v>
      </c>
      <c r="LT221" s="1007">
        <v>-1.7352000000000001</v>
      </c>
      <c r="LU221" s="1008" t="s">
        <v>206</v>
      </c>
      <c r="LV221" s="1007">
        <v>-2.4244000000000021</v>
      </c>
      <c r="LW221" s="1008">
        <v>0</v>
      </c>
      <c r="LX221" s="1007">
        <v>0</v>
      </c>
      <c r="LY221" s="1009" t="s">
        <v>259</v>
      </c>
      <c r="LZ221" s="1010">
        <v>-7.5825209999999998</v>
      </c>
      <c r="MA221" s="1011">
        <v>0</v>
      </c>
      <c r="MB221" s="1012">
        <v>0</v>
      </c>
      <c r="MC221" s="995"/>
      <c r="MD221" s="996"/>
      <c r="ME221" s="997" t="s">
        <v>220</v>
      </c>
      <c r="MF221" s="997">
        <f>CN221-CA221</f>
        <v>-22</v>
      </c>
      <c r="MG221" s="998"/>
      <c r="NR221" s="1000"/>
      <c r="NS221" s="1000"/>
      <c r="NT221" s="1001"/>
      <c r="NU221" s="1000"/>
      <c r="NV221" s="1001"/>
      <c r="NX221" s="1002"/>
      <c r="NZ221" s="1001"/>
      <c r="OA221" s="1001"/>
      <c r="OC221" s="1003"/>
      <c r="OD221" s="1003"/>
      <c r="OE221" s="1001"/>
      <c r="OF221" s="1003"/>
      <c r="OG221" s="1003"/>
      <c r="ASU221" s="999" t="s">
        <v>455</v>
      </c>
    </row>
    <row r="222" spans="1:466 1191:1191" ht="21" customHeight="1" x14ac:dyDescent="0.25">
      <c r="A222" s="982" t="str">
        <f t="shared" si="163"/>
        <v>1113-1</v>
      </c>
      <c r="B222" s="124">
        <f>SUBTOTAL(103,$J$29:J222)</f>
        <v>194</v>
      </c>
      <c r="C222" s="126">
        <v>45068</v>
      </c>
      <c r="D222" s="124" t="s">
        <v>176</v>
      </c>
      <c r="E222" s="127" t="s">
        <v>177</v>
      </c>
      <c r="F222" s="128" t="s">
        <v>177</v>
      </c>
      <c r="G222" s="127" t="s">
        <v>178</v>
      </c>
      <c r="H222" s="127" t="s">
        <v>179</v>
      </c>
      <c r="I222" s="127" t="s">
        <v>1010</v>
      </c>
      <c r="J222" s="152" t="s">
        <v>1049</v>
      </c>
      <c r="K222" s="127" t="s">
        <v>1010</v>
      </c>
      <c r="L222" s="130">
        <v>41814</v>
      </c>
      <c r="M222" s="127" t="s">
        <v>230</v>
      </c>
      <c r="N222" s="127" t="s">
        <v>184</v>
      </c>
      <c r="O222" s="127" t="s">
        <v>185</v>
      </c>
      <c r="P222" s="127" t="s">
        <v>186</v>
      </c>
      <c r="Q222" s="85" t="str">
        <f t="shared" ref="Q222:Q231" si="183">IF(R222="","",-4)</f>
        <v/>
      </c>
      <c r="R222" s="130"/>
      <c r="S222" s="128"/>
      <c r="T222" s="131"/>
      <c r="U222" s="132">
        <v>203</v>
      </c>
      <c r="V222" s="121">
        <v>218.2</v>
      </c>
      <c r="W222" s="116">
        <v>0.98</v>
      </c>
      <c r="X222" s="116">
        <v>1.66</v>
      </c>
      <c r="Y222" s="116">
        <f t="shared" si="137"/>
        <v>1.074984603429272</v>
      </c>
      <c r="Z222" s="133">
        <v>1.454</v>
      </c>
      <c r="AA222" s="133">
        <v>0.83599999999999997</v>
      </c>
      <c r="AB222" s="133">
        <v>0.72</v>
      </c>
      <c r="AC222" s="121">
        <v>34.299999999999997</v>
      </c>
      <c r="AD222" s="134">
        <v>1.17</v>
      </c>
      <c r="AE222" s="124" t="s">
        <v>365</v>
      </c>
      <c r="AF222" s="128">
        <v>9.19</v>
      </c>
      <c r="AG222" s="128" t="s">
        <v>1050</v>
      </c>
      <c r="AH222" s="127">
        <v>2860</v>
      </c>
      <c r="AI222" s="127">
        <v>2860</v>
      </c>
      <c r="AJ222" s="135"/>
      <c r="AK222" s="128"/>
      <c r="AL222" s="131"/>
      <c r="AM222" s="124" t="s">
        <v>232</v>
      </c>
      <c r="AN222" s="136" t="s">
        <v>1051</v>
      </c>
      <c r="AO222" s="137">
        <v>15.3</v>
      </c>
      <c r="AP222" s="128">
        <v>2200</v>
      </c>
      <c r="AQ222" s="128">
        <v>352</v>
      </c>
      <c r="AR222" s="128"/>
      <c r="AS222" s="128"/>
      <c r="AT222" s="122"/>
      <c r="AU222" s="124" t="s">
        <v>189</v>
      </c>
      <c r="AV222" s="115">
        <f>VLOOKUP(J222,'[63]ТР нефть'!$J$28:$BP$638,39,0)</f>
        <v>560.00001357400004</v>
      </c>
      <c r="AW222" s="115" t="str">
        <f>VLOOKUP(J222,'[63]ТР нефть'!$J$28:$BP$638,40,0)</f>
        <v>ГП</v>
      </c>
      <c r="AX222" s="115">
        <f>VLOOKUP(J222,'[63]ТР нефть'!$J$28:$BP$638,41,0)</f>
        <v>1109.999967773</v>
      </c>
      <c r="AY222" s="115" t="str">
        <f>VLOOKUP(J222,'[63]ТР нефть'!$J$28:$BP$638,42,0)</f>
        <v>ГП</v>
      </c>
      <c r="AZ222" s="115">
        <f>VLOOKUP(J222,'[63]ТР нефть'!$J$28:$BP$638,43,0)</f>
        <v>1590.000064453</v>
      </c>
      <c r="BA222" s="115" t="str">
        <f>VLOOKUP(J222,'[63]ТР нефть'!$J$28:$BP$638,44,0)</f>
        <v>ГК 87 1/8</v>
      </c>
      <c r="BB222" s="115">
        <f>VLOOKUP(J222,'[63]ТР нефть'!$J$28:$BP$638,45,0)</f>
        <v>1999.9999687500001</v>
      </c>
      <c r="BC222" s="115" t="str">
        <f>VLOOKUP(J222,'[63]ТР нефть'!$J$28:$BP$638,46,0)</f>
        <v>ЦКсОК 5/16</v>
      </c>
      <c r="BD222" s="115" t="str">
        <f>VLOOKUP(J222,'[63]ТР нефть'!$J$28:$BP$638,47,0)</f>
        <v>-</v>
      </c>
      <c r="BE222" s="115" t="str">
        <f>VLOOKUP(J222,'[63]ТР нефть'!$J$28:$BP$638,48,0)</f>
        <v>-</v>
      </c>
      <c r="BF222" s="115" t="str">
        <f>VLOOKUP(J222,'[63]ТР нефть'!$J$28:$BP$638,49,0)</f>
        <v>-</v>
      </c>
      <c r="BG222" s="115" t="str">
        <f>VLOOKUP(J222,'[63]ТР нефть'!$J$28:$BP$638,50,0)</f>
        <v>-</v>
      </c>
      <c r="BH222" s="115">
        <f>VLOOKUP(J222,'[63]ТР нефть'!$J$28:$BP$638,51,0)</f>
        <v>1895</v>
      </c>
      <c r="BI222" s="115" t="str">
        <f>VLOOKUP(J222,'[63]ТР нефть'!$J$28:$BP$638,52,0)</f>
        <v>закрыт</v>
      </c>
      <c r="BJ222" s="115" t="str">
        <f>IF(IFERROR(VLOOKUP(J222,'[63]ТР нефть'!$J$28:$BP$638,53,0),"-")=0,"-",IFERROR(VLOOKUP(J222,'[63]ТР нефть'!$J$28:$BP$638,53,0),"-"))</f>
        <v>-</v>
      </c>
      <c r="BK222" s="138" t="str">
        <f>IF(IFERROR(VLOOKUP(J222,'[63]ТР нефть'!$J$28:$BP$638,54,0),"-")=0,"-",IFERROR(VLOOKUP(J222,'[63]ТР нефть'!$J$28:$BP$638,54,0),"-"))</f>
        <v>-</v>
      </c>
      <c r="BL222" s="138" t="str">
        <f>IF(IFERROR(VLOOKUP(J222,'[63]ТР нефть'!$J$28:$BP$638,55,0),"-")=0,"-",IFERROR(VLOOKUP(J222,'[63]ТР нефть'!$J$28:$BP$638,55,0),"-"))</f>
        <v>-</v>
      </c>
      <c r="BM222" s="138" t="str">
        <f>IF(IFERROR(VLOOKUP(J222,'[63]ТР нефть'!$J$28:$BP$638,56,0),"-")=0,"-",IFERROR(VLOOKUP(J222,'[63]ТР нефть'!$J$28:$BP$638,56,0),"-"))</f>
        <v>-</v>
      </c>
      <c r="BN222" s="138" t="str">
        <f>IF(IFERROR(VLOOKUP(J222,'[63]ТР нефть'!$J$28:$BP$638,57,0),"-")=0,"-",IFERROR(VLOOKUP(J222,'[63]ТР нефть'!$J$28:$BP$638,57,0),"-"))</f>
        <v>-</v>
      </c>
      <c r="BO222" s="115" t="str">
        <f>IF(IFERROR(VLOOKUP(J222,'[63]ТР нефть'!$J$28:$BP$638,58,0),"-")=0,"-",IFERROR(VLOOKUP(J222,'[63]ТР нефть'!$J$28:$BP$638,58,0),"-"))</f>
        <v>-</v>
      </c>
      <c r="BP222" s="115" t="str">
        <f>IF(IFERROR(VLOOKUP(J222,'[63]ТР нефть'!$J$28:$BP$638,59,0),"-")=0,"-",IFERROR(VLOOKUP(J222,'[63]ТР нефть'!$J$28:$BP$638,59,0),"-"))</f>
        <v>-</v>
      </c>
      <c r="BQ222" s="138">
        <v>2152</v>
      </c>
      <c r="BR222" s="128">
        <v>1767.72</v>
      </c>
      <c r="BS222" s="115">
        <f t="shared" si="164"/>
        <v>384.28</v>
      </c>
      <c r="BT222" s="128">
        <v>73</v>
      </c>
      <c r="BU222" s="128">
        <v>5.5</v>
      </c>
      <c r="BV222" s="127">
        <v>18</v>
      </c>
      <c r="BW222" s="127" t="s">
        <v>217</v>
      </c>
      <c r="BX222" s="127" t="s">
        <v>218</v>
      </c>
      <c r="BY222" s="139">
        <v>24</v>
      </c>
      <c r="BZ222" s="139">
        <v>24</v>
      </c>
      <c r="CA222" s="138">
        <v>22</v>
      </c>
      <c r="CB222" s="138">
        <v>44</v>
      </c>
      <c r="CC222" s="138">
        <v>21</v>
      </c>
      <c r="CD222" s="135">
        <v>45017</v>
      </c>
      <c r="CE222" s="138">
        <v>134</v>
      </c>
      <c r="CF222" s="138">
        <v>78</v>
      </c>
      <c r="CG222" s="138" t="str">
        <f t="shared" si="153"/>
        <v>В работе</v>
      </c>
      <c r="CH222" s="138" t="s">
        <v>235</v>
      </c>
      <c r="CI222" s="138">
        <v>5</v>
      </c>
      <c r="CJ222" s="139"/>
      <c r="CK222" s="139">
        <f t="shared" si="157"/>
        <v>34</v>
      </c>
      <c r="CL222" s="99"/>
      <c r="CM222" s="99"/>
      <c r="CN222" s="140">
        <v>56</v>
      </c>
      <c r="CO222" s="141">
        <f t="shared" si="165"/>
        <v>0.98351219999999995</v>
      </c>
      <c r="CP222" s="142">
        <v>1.5</v>
      </c>
      <c r="CQ222" s="143">
        <v>21.57</v>
      </c>
      <c r="CR222" s="138">
        <v>7.5</v>
      </c>
      <c r="CS222" s="139">
        <v>4.8</v>
      </c>
      <c r="CT222" s="138"/>
      <c r="CU222" s="138">
        <f t="shared" ref="CU222:CU231" si="184">IF(CR222&lt;&gt;"0",CR222-CS222,"0")</f>
        <v>2.7</v>
      </c>
      <c r="CV222" s="115">
        <f>(CR222-CS222)*1000/CO222</f>
        <v>2745.2633531134643</v>
      </c>
      <c r="CW222" s="115">
        <f>IF(CP222&lt;&gt;0,IF(AU222=$AU$29,CS222/(CO222+(CP222-CO222/0.836)*1.158)*1000,""),"")</f>
        <v>3534.1332107578132</v>
      </c>
      <c r="CX222" s="133">
        <f t="shared" ref="CX222:CX231" si="185">IF(CP222&lt;&gt;0,CP222/(CE222-CN222),0)</f>
        <v>1.9230769230769232E-2</v>
      </c>
      <c r="CY222" s="116"/>
      <c r="CZ222" s="131"/>
      <c r="DA222" s="145" t="str">
        <f t="shared" si="167"/>
        <v>Газлифт</v>
      </c>
      <c r="DB222" s="146">
        <f t="shared" si="168"/>
        <v>0.98351219999999995</v>
      </c>
      <c r="DC222" s="142">
        <f t="shared" si="151"/>
        <v>1.5</v>
      </c>
      <c r="DD222" s="119">
        <f t="shared" si="152"/>
        <v>21.57</v>
      </c>
      <c r="DE222" s="115">
        <f t="shared" si="169"/>
        <v>2.7</v>
      </c>
      <c r="DF222" s="121">
        <f t="shared" si="170"/>
        <v>4.8</v>
      </c>
      <c r="DG222" s="115">
        <f t="shared" si="171"/>
        <v>2745.2633531134643</v>
      </c>
      <c r="DH222" s="115">
        <f t="shared" si="172"/>
        <v>56</v>
      </c>
      <c r="DI222" s="147"/>
      <c r="DJ222" s="111" t="s">
        <v>197</v>
      </c>
      <c r="DK222" s="112">
        <v>43390</v>
      </c>
      <c r="DL222" s="113">
        <f t="shared" ca="1" si="138"/>
        <v>1714</v>
      </c>
      <c r="DM222" s="114"/>
      <c r="DN222" s="114"/>
      <c r="DO222" s="114"/>
      <c r="DP222" s="114"/>
      <c r="DQ222" s="112">
        <v>41817</v>
      </c>
      <c r="DR222" s="114" t="s">
        <v>324</v>
      </c>
      <c r="DS222" s="114">
        <v>0</v>
      </c>
      <c r="DT222" s="115">
        <v>55</v>
      </c>
      <c r="DU222" s="116">
        <f t="shared" si="139"/>
        <v>1.9144725520564444E-2</v>
      </c>
      <c r="DV222" s="117">
        <f t="shared" si="140"/>
        <v>0.991664412063328</v>
      </c>
      <c r="DW222" s="118">
        <f t="shared" si="141"/>
        <v>1.5124333161245911</v>
      </c>
      <c r="DX222" s="119">
        <f t="shared" si="173"/>
        <v>21.57</v>
      </c>
      <c r="DY222" s="115">
        <f t="shared" si="142"/>
        <v>2.722379969024264</v>
      </c>
      <c r="DZ222" s="117">
        <f t="shared" si="143"/>
        <v>8.152212063328057E-3</v>
      </c>
      <c r="EA222" s="120">
        <f t="shared" si="143"/>
        <v>1.2433316124591087E-2</v>
      </c>
      <c r="EB222" s="119">
        <f t="shared" si="143"/>
        <v>0</v>
      </c>
      <c r="EC222" s="121">
        <f t="shared" si="144"/>
        <v>2.2379969024263868E-2</v>
      </c>
      <c r="ED222" s="122"/>
      <c r="EE222" s="145">
        <v>18</v>
      </c>
      <c r="EF222" s="115">
        <v>25</v>
      </c>
      <c r="EG222" s="115">
        <v>56</v>
      </c>
      <c r="EH222" s="115">
        <v>24</v>
      </c>
      <c r="EI222" s="128" t="s">
        <v>195</v>
      </c>
      <c r="EJ222" s="121">
        <v>24</v>
      </c>
      <c r="EK222" s="121">
        <v>0</v>
      </c>
      <c r="EL222" s="149">
        <v>0.98351219999999995</v>
      </c>
      <c r="EM222" s="142">
        <v>1.5</v>
      </c>
      <c r="EN222" s="119">
        <v>21.57</v>
      </c>
      <c r="EO222" s="115">
        <v>7.5</v>
      </c>
      <c r="EP222" s="115">
        <v>2745.2633531134643</v>
      </c>
      <c r="EQ222" s="115">
        <v>78</v>
      </c>
      <c r="ER222" s="115">
        <v>4.8</v>
      </c>
      <c r="ES222" s="115">
        <v>56</v>
      </c>
      <c r="ET222" s="150">
        <v>1.9230769230769232E-2</v>
      </c>
      <c r="EU222" s="145">
        <f t="shared" si="174"/>
        <v>18</v>
      </c>
      <c r="EV222" s="115">
        <f t="shared" si="175"/>
        <v>22</v>
      </c>
      <c r="EW222" s="115">
        <f t="shared" si="175"/>
        <v>44</v>
      </c>
      <c r="EX222" s="115">
        <f t="shared" si="175"/>
        <v>21</v>
      </c>
      <c r="EY222" s="115" t="str">
        <f t="shared" si="156"/>
        <v>Периодический</v>
      </c>
      <c r="EZ222" s="115">
        <f t="shared" si="155"/>
        <v>24</v>
      </c>
      <c r="FA222" s="115">
        <f t="shared" si="155"/>
        <v>24</v>
      </c>
      <c r="FB222" s="149">
        <f t="shared" si="176"/>
        <v>0.98351219999999995</v>
      </c>
      <c r="FC222" s="142">
        <f t="shared" si="176"/>
        <v>1.5</v>
      </c>
      <c r="FD222" s="119">
        <f t="shared" si="176"/>
        <v>21.57</v>
      </c>
      <c r="FE222" s="121">
        <f t="shared" si="176"/>
        <v>7.5</v>
      </c>
      <c r="FF222" s="121">
        <f t="shared" si="145"/>
        <v>2745.2633531134643</v>
      </c>
      <c r="FG222" s="121">
        <f t="shared" si="177"/>
        <v>78</v>
      </c>
      <c r="FH222" s="121">
        <f t="shared" si="146"/>
        <v>4.8</v>
      </c>
      <c r="FI222" s="121">
        <f t="shared" si="154"/>
        <v>56</v>
      </c>
      <c r="FJ222" s="144">
        <f t="shared" si="178"/>
        <v>1.9230769230769232E-2</v>
      </c>
      <c r="FK222" s="132">
        <f t="shared" si="179"/>
        <v>0</v>
      </c>
      <c r="FL222" s="115">
        <f t="shared" si="179"/>
        <v>-3</v>
      </c>
      <c r="FM222" s="115">
        <f t="shared" si="179"/>
        <v>-12</v>
      </c>
      <c r="FN222" s="115">
        <f t="shared" si="162"/>
        <v>-3</v>
      </c>
      <c r="FO222" s="115">
        <f t="shared" si="150"/>
        <v>0</v>
      </c>
      <c r="FP222" s="115">
        <f t="shared" si="150"/>
        <v>24</v>
      </c>
      <c r="FQ222" s="149">
        <f t="shared" si="150"/>
        <v>0</v>
      </c>
      <c r="FR222" s="142">
        <f t="shared" si="148"/>
        <v>0</v>
      </c>
      <c r="FS222" s="119">
        <f t="shared" si="148"/>
        <v>0</v>
      </c>
      <c r="FT222" s="121">
        <f t="shared" si="148"/>
        <v>0</v>
      </c>
      <c r="FU222" s="121">
        <f t="shared" si="180"/>
        <v>0</v>
      </c>
      <c r="FV222" s="121">
        <f t="shared" si="180"/>
        <v>0</v>
      </c>
      <c r="FW222" s="121">
        <f t="shared" si="181"/>
        <v>0</v>
      </c>
      <c r="FX222" s="121">
        <f t="shared" si="182"/>
        <v>0</v>
      </c>
      <c r="FY222" s="144">
        <f t="shared" si="182"/>
        <v>0</v>
      </c>
      <c r="FZ222" s="145"/>
      <c r="GA222" s="151"/>
      <c r="GB222" s="145" t="s">
        <v>199</v>
      </c>
      <c r="GC222" s="151" t="s">
        <v>415</v>
      </c>
      <c r="GD222" s="997" t="s">
        <v>220</v>
      </c>
      <c r="GE222" s="1004" t="s">
        <v>199</v>
      </c>
      <c r="GF222" s="1004">
        <v>-2.5571317200000001</v>
      </c>
      <c r="GG222" s="1004"/>
      <c r="GH222" s="1004">
        <v>-0.39340487999999985</v>
      </c>
      <c r="GI222" s="145" t="s">
        <v>199</v>
      </c>
      <c r="GJ222" s="996">
        <v>-2.0752107419999999</v>
      </c>
      <c r="GK222" s="145"/>
      <c r="GL222" s="996">
        <v>0</v>
      </c>
      <c r="GM222" s="1005" t="s">
        <v>308</v>
      </c>
      <c r="GN222" s="996">
        <v>0.39133954199999987</v>
      </c>
      <c r="GO222" s="1006"/>
      <c r="GP222" s="996">
        <v>0</v>
      </c>
      <c r="GQ222" s="1006"/>
      <c r="GR222" s="996">
        <v>0.60191999999999979</v>
      </c>
      <c r="GS222" s="1006"/>
      <c r="GT222" s="996">
        <v>0</v>
      </c>
      <c r="GU222" s="1006"/>
      <c r="GV222" s="996">
        <v>0</v>
      </c>
      <c r="GW222" s="1006"/>
      <c r="GX222" s="1036">
        <v>0.91959999999999997</v>
      </c>
      <c r="GY222" s="1006"/>
      <c r="GZ222" s="996">
        <v>-0.91959999999999997</v>
      </c>
      <c r="HA222" s="1006"/>
      <c r="HB222" s="996">
        <v>-0.64789999999999992</v>
      </c>
      <c r="HC222" s="1006"/>
      <c r="HD222" s="996">
        <v>0</v>
      </c>
      <c r="HE222" s="1006"/>
      <c r="HF222" s="996">
        <v>0</v>
      </c>
      <c r="HG222" s="1006" t="s">
        <v>308</v>
      </c>
      <c r="HH222" s="996">
        <v>-1.2999799999999997</v>
      </c>
      <c r="HI222" s="1006"/>
      <c r="HJ222" s="996">
        <v>0</v>
      </c>
      <c r="HK222" s="1006"/>
      <c r="HL222" s="996">
        <v>0</v>
      </c>
      <c r="HM222" s="1006"/>
      <c r="HN222" s="996">
        <v>0</v>
      </c>
      <c r="HO222" s="1006"/>
      <c r="HP222" s="996">
        <v>0.28925599999999996</v>
      </c>
      <c r="HQ222" s="1006"/>
      <c r="HR222" s="996">
        <v>-0.33373120000000078</v>
      </c>
      <c r="HS222" s="1006"/>
      <c r="HT222" s="996">
        <v>0</v>
      </c>
      <c r="HU222" s="1006"/>
      <c r="HV222" s="996">
        <v>0.48755520000000097</v>
      </c>
      <c r="HW222" s="1006" t="s">
        <v>203</v>
      </c>
      <c r="HX222" s="996">
        <v>-2.4996399999999994</v>
      </c>
      <c r="HY222" s="1006"/>
      <c r="HZ222" s="996">
        <v>0</v>
      </c>
      <c r="IA222" s="1006" t="s">
        <v>221</v>
      </c>
      <c r="IB222" s="996">
        <v>-8.0615714080000007</v>
      </c>
      <c r="IC222" s="1006" t="s">
        <v>25</v>
      </c>
      <c r="ID222" s="996">
        <v>14.122571407999997</v>
      </c>
      <c r="IE222" s="1006"/>
      <c r="IF222" s="996">
        <v>0</v>
      </c>
      <c r="IG222" s="1006"/>
      <c r="IH222" s="996">
        <v>0</v>
      </c>
      <c r="II222" s="1006"/>
      <c r="IJ222" s="996">
        <v>0</v>
      </c>
      <c r="IK222" s="1006"/>
      <c r="IL222" s="996">
        <v>0</v>
      </c>
      <c r="IM222" s="1006"/>
      <c r="IN222" s="996">
        <v>0</v>
      </c>
      <c r="IO222" s="1006"/>
      <c r="IP222" s="996">
        <v>0</v>
      </c>
      <c r="IQ222" s="1006"/>
      <c r="IR222" s="996">
        <v>0</v>
      </c>
      <c r="IS222" s="1006"/>
      <c r="IT222" s="996">
        <v>0</v>
      </c>
      <c r="IU222" s="1006"/>
      <c r="IV222" s="996">
        <v>0</v>
      </c>
      <c r="IW222" s="1006"/>
      <c r="IX222" s="996">
        <v>0</v>
      </c>
      <c r="IY222" s="1006"/>
      <c r="IZ222" s="996">
        <v>0</v>
      </c>
      <c r="JA222" s="1006"/>
      <c r="JB222" s="996">
        <v>0</v>
      </c>
      <c r="JC222" s="1006"/>
      <c r="JD222" s="996">
        <v>0</v>
      </c>
      <c r="JE222" s="1006"/>
      <c r="JF222" s="996">
        <v>0</v>
      </c>
      <c r="JG222" s="1006"/>
      <c r="JH222" s="996">
        <v>0</v>
      </c>
      <c r="JI222" s="1006"/>
      <c r="JJ222" s="996">
        <v>0</v>
      </c>
      <c r="JK222" s="1007" t="s">
        <v>204</v>
      </c>
      <c r="JL222" s="1007">
        <v>2.1568800000000019</v>
      </c>
      <c r="JM222" s="1007"/>
      <c r="JN222" s="1007">
        <v>0</v>
      </c>
      <c r="JO222" s="1008"/>
      <c r="JP222" s="1007">
        <v>0</v>
      </c>
      <c r="JQ222" s="1008">
        <v>0</v>
      </c>
      <c r="JR222" s="1007">
        <v>0</v>
      </c>
      <c r="JS222" s="1008">
        <v>0</v>
      </c>
      <c r="JT222" s="1007">
        <v>-0.40964000000000034</v>
      </c>
      <c r="JU222" s="1008" t="s">
        <v>146</v>
      </c>
      <c r="JV222" s="1007">
        <v>-7.7998799999999981</v>
      </c>
      <c r="JW222" s="1008" t="s">
        <v>197</v>
      </c>
      <c r="JX222" s="1007">
        <v>0</v>
      </c>
      <c r="JY222" s="1008"/>
      <c r="JZ222" s="1007">
        <v>0</v>
      </c>
      <c r="KA222" s="1008"/>
      <c r="KB222" s="1007">
        <v>0</v>
      </c>
      <c r="KC222" s="1008"/>
      <c r="KD222" s="1007">
        <v>-2.5079999999999103E-2</v>
      </c>
      <c r="KE222" s="1008" t="s">
        <v>204</v>
      </c>
      <c r="KF222" s="1007">
        <v>2.206785019999999</v>
      </c>
      <c r="KG222" s="1008"/>
      <c r="KH222" s="1007">
        <v>0</v>
      </c>
      <c r="KI222" s="1008"/>
      <c r="KJ222" s="1007">
        <v>0</v>
      </c>
      <c r="KK222" s="1008"/>
      <c r="KL222" s="1007">
        <v>6.8303749799999993</v>
      </c>
      <c r="KM222" s="1008"/>
      <c r="KN222" s="1007">
        <v>0</v>
      </c>
      <c r="KO222" s="1008"/>
      <c r="KP222" s="1007">
        <v>0</v>
      </c>
      <c r="KQ222" s="1008"/>
      <c r="KR222" s="1007"/>
      <c r="KS222" s="1008"/>
      <c r="KT222" s="1007"/>
      <c r="KU222" s="1008"/>
      <c r="KV222" s="1007" t="s">
        <v>1010</v>
      </c>
      <c r="KW222" s="1008"/>
      <c r="KX222" s="1007"/>
      <c r="KY222" s="1008">
        <v>5.0954999999999995</v>
      </c>
      <c r="KZ222" s="1007">
        <v>6.3574999999999999</v>
      </c>
      <c r="LA222" s="1008">
        <v>3.7700000000000005</v>
      </c>
      <c r="LB222" s="1007">
        <v>3.3606075</v>
      </c>
      <c r="LC222" s="1008"/>
      <c r="LD222" s="1007">
        <v>1.6135749999999998</v>
      </c>
      <c r="LE222" s="1008">
        <v>2.013208333333333</v>
      </c>
      <c r="LF222" s="1007">
        <v>1.1938333333333335</v>
      </c>
      <c r="LG222" s="1008">
        <v>1.064192375</v>
      </c>
      <c r="LH222" s="1007">
        <v>-4.1381049999999995</v>
      </c>
      <c r="LI222" s="1008">
        <v>-5.986791666666667</v>
      </c>
      <c r="LJ222" s="1007">
        <v>-12.806166666666666</v>
      </c>
      <c r="LK222" s="1008">
        <v>-234.935807625</v>
      </c>
      <c r="LL222" s="1007"/>
      <c r="LM222" s="1008"/>
      <c r="LN222" s="1007"/>
      <c r="LO222" s="1008"/>
      <c r="LP222" s="1007"/>
      <c r="LQ222" s="1008"/>
      <c r="LR222" s="1007"/>
      <c r="LS222" s="1008"/>
      <c r="LT222" s="1007"/>
      <c r="LU222" s="1008"/>
      <c r="LV222" s="1007"/>
      <c r="LW222" s="1008"/>
      <c r="LX222" s="1007"/>
      <c r="LY222" s="1009"/>
      <c r="LZ222" s="1010"/>
      <c r="MA222" s="1011"/>
      <c r="MB222" s="1012"/>
      <c r="MC222" s="995"/>
      <c r="MD222" s="996"/>
      <c r="ME222" s="997" t="s">
        <v>220</v>
      </c>
      <c r="MF222" s="997"/>
      <c r="MG222" s="998"/>
      <c r="NR222" s="1000"/>
      <c r="NS222" s="1000"/>
      <c r="NT222" s="1001"/>
      <c r="NU222" s="1000"/>
      <c r="NV222" s="1001"/>
      <c r="NX222" s="1002"/>
      <c r="NZ222" s="1001"/>
      <c r="OA222" s="1001"/>
      <c r="OC222" s="1003"/>
      <c r="OD222" s="1003"/>
      <c r="OE222" s="1001"/>
      <c r="OF222" s="1003"/>
      <c r="OG222" s="1003"/>
      <c r="QX222" s="1000">
        <f>CN222-CA222</f>
        <v>34</v>
      </c>
      <c r="ASU222" s="999" t="s">
        <v>208</v>
      </c>
    </row>
    <row r="223" spans="1:466 1191:1191" ht="21" customHeight="1" x14ac:dyDescent="0.25">
      <c r="A223" s="982">
        <f t="shared" si="163"/>
        <v>1114</v>
      </c>
      <c r="B223" s="124">
        <f>SUBTOTAL(103,$J$29:J223)</f>
        <v>195</v>
      </c>
      <c r="C223" s="126">
        <v>45068</v>
      </c>
      <c r="D223" s="124" t="s">
        <v>176</v>
      </c>
      <c r="E223" s="127" t="s">
        <v>177</v>
      </c>
      <c r="F223" s="128" t="s">
        <v>177</v>
      </c>
      <c r="G223" s="127" t="s">
        <v>178</v>
      </c>
      <c r="H223" s="127" t="s">
        <v>179</v>
      </c>
      <c r="I223" s="127" t="s">
        <v>180</v>
      </c>
      <c r="J223" s="152">
        <v>1114</v>
      </c>
      <c r="K223" s="127" t="s">
        <v>180</v>
      </c>
      <c r="L223" s="130">
        <v>41680</v>
      </c>
      <c r="M223" s="127" t="s">
        <v>230</v>
      </c>
      <c r="N223" s="127" t="s">
        <v>184</v>
      </c>
      <c r="O223" s="127" t="s">
        <v>185</v>
      </c>
      <c r="P223" s="127" t="s">
        <v>186</v>
      </c>
      <c r="Q223" s="85" t="str">
        <f t="shared" si="183"/>
        <v/>
      </c>
      <c r="R223" s="130"/>
      <c r="S223" s="128" t="s">
        <v>156</v>
      </c>
      <c r="T223" s="131"/>
      <c r="U223" s="132">
        <v>203</v>
      </c>
      <c r="V223" s="121">
        <v>218.2</v>
      </c>
      <c r="W223" s="116">
        <v>0.98</v>
      </c>
      <c r="X223" s="116">
        <v>1.66</v>
      </c>
      <c r="Y223" s="116">
        <f t="shared" si="137"/>
        <v>0.98</v>
      </c>
      <c r="Z223" s="133">
        <v>1.454</v>
      </c>
      <c r="AA223" s="133">
        <v>0.83599999999999997</v>
      </c>
      <c r="AB223" s="133">
        <v>0.72</v>
      </c>
      <c r="AC223" s="121">
        <v>34.299999999999997</v>
      </c>
      <c r="AD223" s="134">
        <v>1.17</v>
      </c>
      <c r="AE223" s="124">
        <v>177.8</v>
      </c>
      <c r="AF223" s="128">
        <v>9.19</v>
      </c>
      <c r="AG223" s="128">
        <v>2472</v>
      </c>
      <c r="AH223" s="127">
        <v>3237</v>
      </c>
      <c r="AI223" s="127">
        <v>3237</v>
      </c>
      <c r="AJ223" s="135"/>
      <c r="AK223" s="128"/>
      <c r="AL223" s="131"/>
      <c r="AM223" s="124" t="s">
        <v>232</v>
      </c>
      <c r="AN223" s="136" t="s">
        <v>1052</v>
      </c>
      <c r="AO223" s="137">
        <v>18</v>
      </c>
      <c r="AP223" s="128">
        <v>2472</v>
      </c>
      <c r="AQ223" s="128">
        <v>639.79999999999995</v>
      </c>
      <c r="AR223" s="128"/>
      <c r="AS223" s="128"/>
      <c r="AT223" s="122"/>
      <c r="AU223" s="124" t="s">
        <v>189</v>
      </c>
      <c r="AV223" s="115">
        <f>VLOOKUP(J223,'[63]ТР нефть'!$J$28:$BP$638,39,0)</f>
        <v>479.99998505899998</v>
      </c>
      <c r="AW223" s="115" t="str">
        <f>VLOOKUP(J223,'[63]ТР нефть'!$J$28:$BP$638,40,0)</f>
        <v>ГП</v>
      </c>
      <c r="AX223" s="115">
        <f>VLOOKUP(J223,'[63]ТР нефть'!$J$28:$BP$638,41,0)</f>
        <v>859.99997168000004</v>
      </c>
      <c r="AY223" s="115" t="str">
        <f>VLOOKUP(J223,'[63]ТР нефть'!$J$28:$BP$638,42,0)</f>
        <v>ГП</v>
      </c>
      <c r="AZ223" s="115">
        <f>VLOOKUP(J223,'[63]ТР нефть'!$J$28:$BP$638,43,0)</f>
        <v>1170.0000263669999</v>
      </c>
      <c r="BA223" s="115" t="str">
        <f>VLOOKUP(J223,'[63]ТР нефть'!$J$28:$BP$638,44,0)</f>
        <v>ГП</v>
      </c>
      <c r="BB223" s="115">
        <f>VLOOKUP(J223,'[63]ТР нефть'!$J$28:$BP$638,45,0)</f>
        <v>1419.9999480470001</v>
      </c>
      <c r="BC223" s="115" t="str">
        <f>VLOOKUP(J223,'[63]ТР нефть'!$J$28:$BP$638,46,0)</f>
        <v>ГК 74 1/8</v>
      </c>
      <c r="BD223" s="115">
        <f>VLOOKUP(J223,'[63]ТР нефть'!$J$28:$BP$638,47,0)</f>
        <v>1619.9999449219999</v>
      </c>
      <c r="BE223" s="115" t="str">
        <f>VLOOKUP(J223,'[63]ТР нефть'!$J$28:$BP$638,48,0)</f>
        <v>ГК 77 5/32</v>
      </c>
      <c r="BF223" s="115">
        <f>VLOOKUP(J223,'[63]ТР нефть'!$J$28:$BP$638,49,0)</f>
        <v>1800</v>
      </c>
      <c r="BG223" s="115" t="str">
        <f>VLOOKUP(J223,'[63]ТР нефть'!$J$28:$BP$638,50,0)</f>
        <v>ЦКсОК 5/16</v>
      </c>
      <c r="BH223" s="115">
        <f>VLOOKUP(J223,'[63]ТР нефть'!$J$28:$BP$638,51,0)</f>
        <v>1890</v>
      </c>
      <c r="BI223" s="115" t="str">
        <f>VLOOKUP(J223,'[63]ТР нефть'!$J$28:$BP$638,52,0)</f>
        <v>закрыт</v>
      </c>
      <c r="BJ223" s="115" t="str">
        <f>IF(IFERROR(VLOOKUP(J223,'[63]ТР нефть'!$J$28:$BP$638,53,0),"-")=0,"-",IFERROR(VLOOKUP(J223,'[63]ТР нефть'!$J$28:$BP$638,53,0),"-"))</f>
        <v>-</v>
      </c>
      <c r="BK223" s="138" t="str">
        <f>IF(IFERROR(VLOOKUP(J223,'[63]ТР нефть'!$J$28:$BP$638,54,0),"-")=0,"-",IFERROR(VLOOKUP(J223,'[63]ТР нефть'!$J$28:$BP$638,54,0),"-"))</f>
        <v>-</v>
      </c>
      <c r="BL223" s="138" t="str">
        <f>IF(IFERROR(VLOOKUP(J223,'[63]ТР нефть'!$J$28:$BP$638,55,0),"-")=0,"-",IFERROR(VLOOKUP(J223,'[63]ТР нефть'!$J$28:$BP$638,55,0),"-"))</f>
        <v>-</v>
      </c>
      <c r="BM223" s="138" t="str">
        <f>IF(IFERROR(VLOOKUP(J223,'[63]ТР нефть'!$J$28:$BP$638,56,0),"-")=0,"-",IFERROR(VLOOKUP(J223,'[63]ТР нефть'!$J$28:$BP$638,56,0),"-"))</f>
        <v>-</v>
      </c>
      <c r="BN223" s="138" t="str">
        <f>IF(IFERROR(VLOOKUP(J223,'[63]ТР нефть'!$J$28:$BP$638,57,0),"-")=0,"-",IFERROR(VLOOKUP(J223,'[63]ТР нефть'!$J$28:$BP$638,57,0),"-"))</f>
        <v>-</v>
      </c>
      <c r="BO223" s="115" t="str">
        <f>IF(IFERROR(VLOOKUP(J223,'[63]ТР нефть'!$J$28:$BP$638,58,0),"-")=0,"-",IFERROR(VLOOKUP(J223,'[63]ТР нефть'!$J$28:$BP$638,58,0),"-"))</f>
        <v>-</v>
      </c>
      <c r="BP223" s="115" t="str">
        <f>IF(IFERROR(VLOOKUP(J223,'[63]ТР нефть'!$J$28:$BP$638,59,0),"-")=0,"-",IFERROR(VLOOKUP(J223,'[63]ТР нефть'!$J$28:$BP$638,59,0),"-"))</f>
        <v>-</v>
      </c>
      <c r="BQ223" s="138">
        <v>2540</v>
      </c>
      <c r="BR223" s="128">
        <v>1839.83</v>
      </c>
      <c r="BS223" s="115">
        <f t="shared" si="164"/>
        <v>700.17000000000007</v>
      </c>
      <c r="BT223" s="128">
        <v>73</v>
      </c>
      <c r="BU223" s="128">
        <v>5.5</v>
      </c>
      <c r="BV223" s="127">
        <v>65</v>
      </c>
      <c r="BW223" s="127" t="s">
        <v>194</v>
      </c>
      <c r="BX223" s="127" t="s">
        <v>195</v>
      </c>
      <c r="BY223" s="139">
        <v>24</v>
      </c>
      <c r="BZ223" s="139">
        <v>0</v>
      </c>
      <c r="CA223" s="138">
        <v>23</v>
      </c>
      <c r="CB223" s="138">
        <v>36</v>
      </c>
      <c r="CC223" s="138">
        <v>23</v>
      </c>
      <c r="CD223" s="135">
        <v>45017</v>
      </c>
      <c r="CE223" s="138">
        <v>93</v>
      </c>
      <c r="CF223" s="138">
        <v>72</v>
      </c>
      <c r="CG223" s="138" t="str">
        <f t="shared" si="153"/>
        <v>В работе</v>
      </c>
      <c r="CH223" s="138" t="s">
        <v>196</v>
      </c>
      <c r="CI223" s="127">
        <v>5</v>
      </c>
      <c r="CJ223" s="138"/>
      <c r="CK223" s="138">
        <f t="shared" si="157"/>
        <v>24</v>
      </c>
      <c r="CL223" s="99"/>
      <c r="CM223" s="99"/>
      <c r="CN223" s="140">
        <v>47</v>
      </c>
      <c r="CO223" s="141">
        <f t="shared" si="165"/>
        <v>9.6975999999999996</v>
      </c>
      <c r="CP223" s="142">
        <v>11.6</v>
      </c>
      <c r="CQ223" s="143">
        <v>0</v>
      </c>
      <c r="CR223" s="138">
        <v>21.1</v>
      </c>
      <c r="CS223" s="139">
        <v>12</v>
      </c>
      <c r="CT223" s="138"/>
      <c r="CU223" s="138">
        <f t="shared" si="184"/>
        <v>9.1000000000000014</v>
      </c>
      <c r="CV223" s="115">
        <f t="shared" ref="CV223:CV231" si="186">(CR223-CS223)*1000/CO223</f>
        <v>938.37650552714092</v>
      </c>
      <c r="CW223" s="115">
        <f t="shared" si="166"/>
        <v>1237.4195677280977</v>
      </c>
      <c r="CX223" s="133">
        <f t="shared" si="185"/>
        <v>0.25217391304347825</v>
      </c>
      <c r="CY223" s="116"/>
      <c r="CZ223" s="131"/>
      <c r="DA223" s="145" t="str">
        <f t="shared" si="167"/>
        <v>Газлифт</v>
      </c>
      <c r="DB223" s="146">
        <f t="shared" si="168"/>
        <v>9.5851078399999992</v>
      </c>
      <c r="DC223" s="142">
        <f t="shared" si="151"/>
        <v>11.6</v>
      </c>
      <c r="DD223" s="119">
        <f t="shared" si="152"/>
        <v>1.1599999999999999</v>
      </c>
      <c r="DE223" s="115">
        <f t="shared" si="169"/>
        <v>9.1000000000000014</v>
      </c>
      <c r="DF223" s="121">
        <f t="shared" si="170"/>
        <v>12</v>
      </c>
      <c r="DG223" s="115">
        <f t="shared" si="171"/>
        <v>938.37650552714092</v>
      </c>
      <c r="DH223" s="115">
        <f t="shared" si="172"/>
        <v>47</v>
      </c>
      <c r="DI223" s="147"/>
      <c r="DJ223" s="111">
        <v>43506</v>
      </c>
      <c r="DK223" s="112">
        <v>43002</v>
      </c>
      <c r="DL223" s="113">
        <f t="shared" ca="1" si="138"/>
        <v>2102</v>
      </c>
      <c r="DM223" s="114"/>
      <c r="DN223" s="114"/>
      <c r="DO223" s="114"/>
      <c r="DP223" s="114"/>
      <c r="DQ223" s="112" t="s">
        <v>779</v>
      </c>
      <c r="DR223" s="114" t="s">
        <v>198</v>
      </c>
      <c r="DS223" s="114"/>
      <c r="DT223" s="115">
        <v>52</v>
      </c>
      <c r="DU223" s="116">
        <f t="shared" si="139"/>
        <v>0.28292682926829266</v>
      </c>
      <c r="DV223" s="117">
        <f t="shared" si="140"/>
        <v>9.6975999999999996</v>
      </c>
      <c r="DW223" s="118">
        <f t="shared" si="141"/>
        <v>11.6</v>
      </c>
      <c r="DX223" s="119">
        <f t="shared" si="173"/>
        <v>0</v>
      </c>
      <c r="DY223" s="115">
        <f t="shared" si="142"/>
        <v>9.1000000000000014</v>
      </c>
      <c r="DZ223" s="117">
        <f t="shared" si="143"/>
        <v>0</v>
      </c>
      <c r="EA223" s="120">
        <f t="shared" si="143"/>
        <v>0</v>
      </c>
      <c r="EB223" s="119">
        <f t="shared" si="143"/>
        <v>0</v>
      </c>
      <c r="EC223" s="121">
        <f t="shared" si="144"/>
        <v>0</v>
      </c>
      <c r="ED223" s="122"/>
      <c r="EE223" s="145">
        <v>65</v>
      </c>
      <c r="EF223" s="115">
        <v>27</v>
      </c>
      <c r="EG223" s="115">
        <v>40</v>
      </c>
      <c r="EH223" s="115">
        <v>26</v>
      </c>
      <c r="EI223" s="128" t="s">
        <v>195</v>
      </c>
      <c r="EJ223" s="121">
        <v>24</v>
      </c>
      <c r="EK223" s="121">
        <v>0</v>
      </c>
      <c r="EL223" s="149">
        <v>5.7841167999999987</v>
      </c>
      <c r="EM223" s="142">
        <v>7</v>
      </c>
      <c r="EN223" s="119">
        <v>1.1599999999999999</v>
      </c>
      <c r="EO223" s="115">
        <v>21.1</v>
      </c>
      <c r="EP223" s="115">
        <v>1573.2739006930158</v>
      </c>
      <c r="EQ223" s="115">
        <v>72</v>
      </c>
      <c r="ER223" s="115">
        <v>12</v>
      </c>
      <c r="ES223" s="115">
        <v>51</v>
      </c>
      <c r="ET223" s="150">
        <v>0.16666666666666666</v>
      </c>
      <c r="EU223" s="145">
        <f t="shared" si="174"/>
        <v>65</v>
      </c>
      <c r="EV223" s="115">
        <f t="shared" si="175"/>
        <v>23</v>
      </c>
      <c r="EW223" s="115">
        <f t="shared" si="175"/>
        <v>36</v>
      </c>
      <c r="EX223" s="115">
        <f t="shared" si="175"/>
        <v>23</v>
      </c>
      <c r="EY223" s="115" t="str">
        <f t="shared" si="156"/>
        <v>Постоянный</v>
      </c>
      <c r="EZ223" s="115">
        <f t="shared" si="156"/>
        <v>24</v>
      </c>
      <c r="FA223" s="115">
        <f t="shared" si="156"/>
        <v>0</v>
      </c>
      <c r="FB223" s="149">
        <f t="shared" si="176"/>
        <v>9.6975999999999996</v>
      </c>
      <c r="FC223" s="142">
        <f t="shared" si="176"/>
        <v>11.6</v>
      </c>
      <c r="FD223" s="119">
        <f t="shared" si="176"/>
        <v>0</v>
      </c>
      <c r="FE223" s="121">
        <f t="shared" si="176"/>
        <v>21.1</v>
      </c>
      <c r="FF223" s="121">
        <f t="shared" si="145"/>
        <v>938.37650552714092</v>
      </c>
      <c r="FG223" s="121">
        <f t="shared" si="177"/>
        <v>72</v>
      </c>
      <c r="FH223" s="121">
        <f t="shared" si="146"/>
        <v>12</v>
      </c>
      <c r="FI223" s="121">
        <f t="shared" si="154"/>
        <v>47</v>
      </c>
      <c r="FJ223" s="144">
        <f t="shared" si="178"/>
        <v>0.25217391304347825</v>
      </c>
      <c r="FK223" s="132">
        <f t="shared" si="179"/>
        <v>0</v>
      </c>
      <c r="FL223" s="115">
        <f t="shared" si="179"/>
        <v>-4</v>
      </c>
      <c r="FM223" s="115">
        <f t="shared" si="179"/>
        <v>-4</v>
      </c>
      <c r="FN223" s="115">
        <f t="shared" si="162"/>
        <v>-3</v>
      </c>
      <c r="FO223" s="115">
        <f t="shared" si="150"/>
        <v>0</v>
      </c>
      <c r="FP223" s="115">
        <f t="shared" si="150"/>
        <v>0</v>
      </c>
      <c r="FQ223" s="149">
        <f t="shared" si="150"/>
        <v>3.9134832000000008</v>
      </c>
      <c r="FR223" s="142">
        <f t="shared" si="148"/>
        <v>4.5999999999999996</v>
      </c>
      <c r="FS223" s="119">
        <f t="shared" si="148"/>
        <v>-1.1599999999999999</v>
      </c>
      <c r="FT223" s="121">
        <f t="shared" si="148"/>
        <v>0</v>
      </c>
      <c r="FU223" s="121">
        <f t="shared" si="180"/>
        <v>0</v>
      </c>
      <c r="FV223" s="121">
        <f t="shared" si="180"/>
        <v>0</v>
      </c>
      <c r="FW223" s="121">
        <f t="shared" si="181"/>
        <v>-634.89739516587485</v>
      </c>
      <c r="FX223" s="121">
        <f t="shared" si="182"/>
        <v>-4</v>
      </c>
      <c r="FY223" s="144">
        <f t="shared" si="182"/>
        <v>8.5507246376811591E-2</v>
      </c>
      <c r="FZ223" s="145" t="s">
        <v>199</v>
      </c>
      <c r="GA223" s="1034" t="s">
        <v>200</v>
      </c>
      <c r="GB223" s="145"/>
      <c r="GC223" s="151"/>
      <c r="GD223" s="997" t="s">
        <v>202</v>
      </c>
      <c r="GE223" s="1004"/>
      <c r="GF223" s="1004">
        <v>-0.77012320000000045</v>
      </c>
      <c r="GG223" s="1004"/>
      <c r="GH223" s="1004">
        <v>0</v>
      </c>
      <c r="GI223" s="145"/>
      <c r="GJ223" s="996">
        <v>-2.0064000000000526E-2</v>
      </c>
      <c r="GK223" s="145" t="s">
        <v>223</v>
      </c>
      <c r="GL223" s="996">
        <v>-2.5616962800000014</v>
      </c>
      <c r="GM223" s="1005"/>
      <c r="GN223" s="996">
        <v>0.80693228000000161</v>
      </c>
      <c r="GO223" s="1006"/>
      <c r="GP223" s="996">
        <v>0.8263859999999994</v>
      </c>
      <c r="GQ223" s="1006"/>
      <c r="GR223" s="996">
        <v>0</v>
      </c>
      <c r="GS223" s="1006" t="s">
        <v>223</v>
      </c>
      <c r="GT223" s="996">
        <v>-2.72439024</v>
      </c>
      <c r="GU223" s="1006"/>
      <c r="GV223" s="996">
        <v>-0.49145095999999988</v>
      </c>
      <c r="GW223" s="1006" t="s">
        <v>25</v>
      </c>
      <c r="GX223" s="1035">
        <v>2.7765232000000006</v>
      </c>
      <c r="GY223" s="1006" t="s">
        <v>223</v>
      </c>
      <c r="GZ223" s="996">
        <v>-1.2540000000000004</v>
      </c>
      <c r="HA223" s="1006"/>
      <c r="HB223" s="996">
        <v>0</v>
      </c>
      <c r="HC223" s="1006"/>
      <c r="HD223" s="996">
        <v>0.79883980000000143</v>
      </c>
      <c r="HE223" s="1006"/>
      <c r="HF223" s="996">
        <v>0</v>
      </c>
      <c r="HG223" s="1006" t="s">
        <v>199</v>
      </c>
      <c r="HH223" s="996">
        <v>-0.29723980000000161</v>
      </c>
      <c r="HI223" s="1006"/>
      <c r="HJ223" s="996">
        <v>8.3599999999998786E-2</v>
      </c>
      <c r="HK223" s="1006" t="s">
        <v>199</v>
      </c>
      <c r="HL223" s="996">
        <v>-1.2623599999999993</v>
      </c>
      <c r="HM223" s="1006"/>
      <c r="HN223" s="996">
        <v>-0.49324000000000012</v>
      </c>
      <c r="HO223" s="1006"/>
      <c r="HP223" s="996">
        <v>0</v>
      </c>
      <c r="HQ223" s="1006" t="s">
        <v>204</v>
      </c>
      <c r="HR223" s="996">
        <v>-3.1767999999999983</v>
      </c>
      <c r="HS223" s="1006"/>
      <c r="HT223" s="996">
        <v>0</v>
      </c>
      <c r="HU223" s="1006"/>
      <c r="HV223" s="996">
        <v>0.21267839999999794</v>
      </c>
      <c r="HW223" s="1006" t="s">
        <v>199</v>
      </c>
      <c r="HX223" s="996">
        <v>1.4163679200000008</v>
      </c>
      <c r="HY223" s="1006" t="s">
        <v>221</v>
      </c>
      <c r="HZ223" s="996">
        <v>3.2281136799999999</v>
      </c>
      <c r="IA223" s="1006"/>
      <c r="IB223" s="996">
        <v>0</v>
      </c>
      <c r="IC223" s="1006"/>
      <c r="ID223" s="996">
        <v>-0.84436</v>
      </c>
      <c r="IE223" s="1006"/>
      <c r="IF223" s="996">
        <v>-0.8360000000000003</v>
      </c>
      <c r="IG223" s="1006"/>
      <c r="IH223" s="996">
        <v>0.50159999999999982</v>
      </c>
      <c r="II223" s="1006"/>
      <c r="IJ223" s="996">
        <v>0.66880000000000095</v>
      </c>
      <c r="IK223" s="1006"/>
      <c r="IL223" s="996">
        <v>0.8360000000000003</v>
      </c>
      <c r="IM223" s="1006" t="s">
        <v>203</v>
      </c>
      <c r="IN223" s="996">
        <v>-2.2571999999999992</v>
      </c>
      <c r="IO223" s="1006"/>
      <c r="IP223" s="996">
        <v>0.55343199999999904</v>
      </c>
      <c r="IQ223" s="1006"/>
      <c r="IR223" s="996">
        <v>-0.80423200000000072</v>
      </c>
      <c r="IS223" s="1006"/>
      <c r="IT223" s="996">
        <v>0</v>
      </c>
      <c r="IU223" s="1006"/>
      <c r="IV223" s="996">
        <v>0</v>
      </c>
      <c r="IW223" s="1006"/>
      <c r="IX223" s="996">
        <v>0</v>
      </c>
      <c r="IY223" s="1006"/>
      <c r="IZ223" s="996">
        <v>0</v>
      </c>
      <c r="JA223" s="1006"/>
      <c r="JB223" s="996">
        <v>0</v>
      </c>
      <c r="JC223" s="1006"/>
      <c r="JD223" s="996">
        <v>-0.10608839999999908</v>
      </c>
      <c r="JE223" s="1006"/>
      <c r="JF223" s="996">
        <v>0</v>
      </c>
      <c r="JG223" s="1006" t="s">
        <v>25</v>
      </c>
      <c r="JH223" s="996">
        <v>5.5406317999999999</v>
      </c>
      <c r="JI223" s="1006"/>
      <c r="JJ223" s="996">
        <v>0</v>
      </c>
      <c r="JK223" s="1007"/>
      <c r="JL223" s="1007">
        <v>0</v>
      </c>
      <c r="JM223" s="1007"/>
      <c r="JN223" s="1007">
        <v>0</v>
      </c>
      <c r="JO223" s="1008" t="s">
        <v>199</v>
      </c>
      <c r="JP223" s="1007">
        <v>-6.2693729999999999</v>
      </c>
      <c r="JQ223" s="1008">
        <v>0</v>
      </c>
      <c r="JR223" s="1007">
        <v>-1.1703999999994608E-3</v>
      </c>
      <c r="JS223" s="1008">
        <v>0</v>
      </c>
      <c r="JT223" s="1007">
        <v>0</v>
      </c>
      <c r="JU223" s="1008"/>
      <c r="JV223" s="1007">
        <v>0</v>
      </c>
      <c r="JW223" s="1008" t="s">
        <v>197</v>
      </c>
      <c r="JX223" s="1007">
        <v>0</v>
      </c>
      <c r="JY223" s="1008" t="s">
        <v>199</v>
      </c>
      <c r="JZ223" s="1007">
        <v>4.1799999999999988</v>
      </c>
      <c r="KA223" s="1008"/>
      <c r="KB223" s="1007">
        <v>0</v>
      </c>
      <c r="KC223" s="1008"/>
      <c r="KD223" s="1007">
        <v>0</v>
      </c>
      <c r="KE223" s="1008" t="s">
        <v>199</v>
      </c>
      <c r="KF223" s="1007">
        <v>-5.0159999999999991</v>
      </c>
      <c r="KG223" s="1008"/>
      <c r="KH223" s="1007">
        <v>0</v>
      </c>
      <c r="KI223" s="1008"/>
      <c r="KJ223" s="1007">
        <v>0</v>
      </c>
      <c r="KK223" s="1008"/>
      <c r="KL223" s="1007">
        <v>0</v>
      </c>
      <c r="KM223" s="1008" t="s">
        <v>207</v>
      </c>
      <c r="KN223" s="1007">
        <v>-3.3439999999999994</v>
      </c>
      <c r="KO223" s="1008"/>
      <c r="KP223" s="1007">
        <v>0</v>
      </c>
      <c r="KQ223" s="1008" t="s">
        <v>206</v>
      </c>
      <c r="KR223" s="1007">
        <v>-3.9710000000000019</v>
      </c>
      <c r="KS223" s="1008">
        <v>0</v>
      </c>
      <c r="KT223" s="1007">
        <v>0</v>
      </c>
      <c r="KU223" s="1008" t="s">
        <v>204</v>
      </c>
      <c r="KV223" s="1007">
        <v>7.9420000000000002</v>
      </c>
      <c r="KW223" s="1008">
        <v>0</v>
      </c>
      <c r="KX223" s="1007">
        <v>0</v>
      </c>
      <c r="KY223" s="1008">
        <v>0</v>
      </c>
      <c r="KZ223" s="1007">
        <v>0</v>
      </c>
      <c r="LA223" s="1008">
        <v>0</v>
      </c>
      <c r="LB223" s="1007">
        <v>0</v>
      </c>
      <c r="LC223" s="1008" t="s">
        <v>25</v>
      </c>
      <c r="LD223" s="1007">
        <v>4.9758719999999999</v>
      </c>
      <c r="LE223" s="1008">
        <v>0</v>
      </c>
      <c r="LF223" s="1007">
        <v>0.1722159999999997</v>
      </c>
      <c r="LG223" s="1008">
        <v>0</v>
      </c>
      <c r="LH223" s="1007">
        <v>-8.3482959999999995</v>
      </c>
      <c r="LI223" s="1008">
        <v>0</v>
      </c>
      <c r="LJ223" s="1007">
        <v>0</v>
      </c>
      <c r="LK223" s="1008" t="s">
        <v>224</v>
      </c>
      <c r="LL223" s="1007">
        <v>0</v>
      </c>
      <c r="LM223" s="1008">
        <v>0</v>
      </c>
      <c r="LN223" s="1007">
        <v>0</v>
      </c>
      <c r="LO223" s="1008">
        <v>0</v>
      </c>
      <c r="LP223" s="1007">
        <v>0.83482959999999895</v>
      </c>
      <c r="LQ223" s="1008" t="s">
        <v>206</v>
      </c>
      <c r="LR223" s="1007">
        <v>-5.8977599999999999</v>
      </c>
      <c r="LS223" s="1008">
        <v>0</v>
      </c>
      <c r="LT223" s="1007">
        <v>-4.5915627999999984</v>
      </c>
      <c r="LU223" s="1008">
        <v>0</v>
      </c>
      <c r="LV223" s="1007">
        <v>0</v>
      </c>
      <c r="LW223" s="1008" t="s">
        <v>207</v>
      </c>
      <c r="LX223" s="1007">
        <v>6.8456272</v>
      </c>
      <c r="LY223" s="1009" t="s">
        <v>207</v>
      </c>
      <c r="LZ223" s="1010">
        <v>-4.758528720000001</v>
      </c>
      <c r="MA223" s="1011">
        <v>0</v>
      </c>
      <c r="MB223" s="1012">
        <v>0</v>
      </c>
      <c r="MC223" s="995"/>
      <c r="MD223" s="996"/>
      <c r="ME223" s="997" t="s">
        <v>202</v>
      </c>
      <c r="MF223" s="997"/>
      <c r="MG223" s="998"/>
      <c r="NR223" s="1000"/>
      <c r="NS223" s="1000"/>
      <c r="NT223" s="1001"/>
      <c r="NU223" s="1000"/>
      <c r="NV223" s="1001"/>
      <c r="NX223" s="1002"/>
      <c r="NZ223" s="1001"/>
      <c r="OA223" s="1001"/>
      <c r="OC223" s="1003"/>
      <c r="OD223" s="1003"/>
      <c r="OE223" s="1001"/>
      <c r="OF223" s="1003"/>
      <c r="OG223" s="1003"/>
      <c r="QX223" s="1000">
        <f>CN223-CA223</f>
        <v>24</v>
      </c>
      <c r="ASU223" s="999" t="s">
        <v>208</v>
      </c>
    </row>
    <row r="224" spans="1:466 1191:1191" ht="21" customHeight="1" x14ac:dyDescent="0.25">
      <c r="A224" s="982">
        <f t="shared" si="163"/>
        <v>1117</v>
      </c>
      <c r="B224" s="124">
        <f>SUBTOTAL(103,$J$29:J224)</f>
        <v>196</v>
      </c>
      <c r="C224" s="126">
        <v>45068</v>
      </c>
      <c r="D224" s="124" t="s">
        <v>176</v>
      </c>
      <c r="E224" s="127" t="s">
        <v>177</v>
      </c>
      <c r="F224" s="128" t="s">
        <v>177</v>
      </c>
      <c r="G224" s="127" t="s">
        <v>178</v>
      </c>
      <c r="H224" s="127" t="s">
        <v>179</v>
      </c>
      <c r="I224" s="127" t="s">
        <v>180</v>
      </c>
      <c r="J224" s="152">
        <v>1117</v>
      </c>
      <c r="K224" s="127" t="s">
        <v>180</v>
      </c>
      <c r="L224" s="130">
        <v>41642</v>
      </c>
      <c r="M224" s="127" t="s">
        <v>230</v>
      </c>
      <c r="N224" s="127" t="s">
        <v>184</v>
      </c>
      <c r="O224" s="127" t="s">
        <v>185</v>
      </c>
      <c r="P224" s="127" t="s">
        <v>186</v>
      </c>
      <c r="Q224" s="85">
        <f t="shared" si="183"/>
        <v>-4</v>
      </c>
      <c r="R224" s="130">
        <v>41627</v>
      </c>
      <c r="S224" s="128" t="s">
        <v>211</v>
      </c>
      <c r="T224" s="131" t="s">
        <v>1053</v>
      </c>
      <c r="U224" s="132">
        <v>203</v>
      </c>
      <c r="V224" s="121">
        <v>218.2</v>
      </c>
      <c r="W224" s="116">
        <v>0.98</v>
      </c>
      <c r="X224" s="116">
        <v>1.66</v>
      </c>
      <c r="Y224" s="116">
        <f t="shared" si="137"/>
        <v>0.98</v>
      </c>
      <c r="Z224" s="133">
        <v>1.454</v>
      </c>
      <c r="AA224" s="133">
        <v>0.83599999999999997</v>
      </c>
      <c r="AB224" s="133">
        <v>0.72</v>
      </c>
      <c r="AC224" s="121">
        <v>34.299999999999997</v>
      </c>
      <c r="AD224" s="134">
        <v>1.17</v>
      </c>
      <c r="AE224" s="124">
        <v>177.8</v>
      </c>
      <c r="AF224" s="128">
        <v>9.19</v>
      </c>
      <c r="AG224" s="128">
        <v>2037.11</v>
      </c>
      <c r="AH224" s="127">
        <v>2845</v>
      </c>
      <c r="AI224" s="127">
        <v>2845</v>
      </c>
      <c r="AJ224" s="135"/>
      <c r="AK224" s="128"/>
      <c r="AL224" s="131"/>
      <c r="AM224" s="124" t="s">
        <v>232</v>
      </c>
      <c r="AN224" s="206" t="s">
        <v>1054</v>
      </c>
      <c r="AO224" s="137">
        <v>15</v>
      </c>
      <c r="AP224" s="128">
        <v>2037.11</v>
      </c>
      <c r="AQ224" s="128">
        <v>165.48</v>
      </c>
      <c r="AR224" s="128" t="s">
        <v>1055</v>
      </c>
      <c r="AS224" s="128">
        <v>114</v>
      </c>
      <c r="AT224" s="122">
        <v>6.5</v>
      </c>
      <c r="AU224" s="124" t="s">
        <v>189</v>
      </c>
      <c r="AV224" s="115">
        <f>VLOOKUP(J224,'[63]ТР нефть'!$J$28:$BP$638,39,0)</f>
        <v>549.99999140600005</v>
      </c>
      <c r="AW224" s="115" t="str">
        <f>VLOOKUP(J224,'[63]ТР нефть'!$J$28:$BP$638,40,0)</f>
        <v>ГП</v>
      </c>
      <c r="AX224" s="115">
        <f>VLOOKUP(J224,'[63]ТР нефть'!$J$28:$BP$638,41,0)</f>
        <v>1030.000013672</v>
      </c>
      <c r="AY224" s="115" t="str">
        <f>VLOOKUP(J224,'[63]ТР нефть'!$J$28:$BP$638,42,0)</f>
        <v>ГП</v>
      </c>
      <c r="AZ224" s="115">
        <f>VLOOKUP(J224,'[63]ТР нефть'!$J$28:$BP$638,43,0)</f>
        <v>1380.0000082030001</v>
      </c>
      <c r="BA224" s="115" t="str">
        <f>VLOOKUP(J224,'[63]ТР нефть'!$J$28:$BP$638,44,0)</f>
        <v>ГК 71 1/8</v>
      </c>
      <c r="BB224" s="115">
        <f>VLOOKUP(J224,'[63]ТР нефть'!$J$28:$BP$638,45,0)</f>
        <v>1594.9999453129999</v>
      </c>
      <c r="BC224" s="115" t="str">
        <f>VLOOKUP(J224,'[63]ТР нефть'!$J$28:$BP$638,46,0)</f>
        <v>ЦКсОК 5/16</v>
      </c>
      <c r="BD224" s="115" t="str">
        <f>VLOOKUP(J224,'[63]ТР нефть'!$J$28:$BP$638,47,0)</f>
        <v>-</v>
      </c>
      <c r="BE224" s="115" t="str">
        <f>VLOOKUP(J224,'[63]ТР нефть'!$J$28:$BP$638,48,0)</f>
        <v>-</v>
      </c>
      <c r="BF224" s="115" t="str">
        <f>VLOOKUP(J224,'[63]ТР нефть'!$J$28:$BP$638,49,0)</f>
        <v>-</v>
      </c>
      <c r="BG224" s="115" t="str">
        <f>VLOOKUP(J224,'[63]ТР нефть'!$J$28:$BP$638,50,0)</f>
        <v>-</v>
      </c>
      <c r="BH224" s="115">
        <f>VLOOKUP(J224,'[63]ТР нефть'!$J$28:$BP$638,51,0)</f>
        <v>1605</v>
      </c>
      <c r="BI224" s="115" t="str">
        <f>VLOOKUP(J224,'[63]ТР нефть'!$J$28:$BP$638,52,0)</f>
        <v>закрыт</v>
      </c>
      <c r="BJ224" s="115" t="str">
        <f>IF(IFERROR(VLOOKUP(J224,'[63]ТР нефть'!$J$28:$BP$638,53,0),"-")=0,"-",IFERROR(VLOOKUP(J224,'[63]ТР нефть'!$J$28:$BP$638,53,0),"-"))</f>
        <v>-</v>
      </c>
      <c r="BK224" s="138" t="str">
        <f>IF(IFERROR(VLOOKUP(J224,'[63]ТР нефть'!$J$28:$BP$638,54,0),"-")=0,"-",IFERROR(VLOOKUP(J224,'[63]ТР нефть'!$J$28:$BP$638,54,0),"-"))</f>
        <v>-</v>
      </c>
      <c r="BL224" s="138" t="str">
        <f>IF(IFERROR(VLOOKUP(J224,'[63]ТР нефть'!$J$28:$BP$638,55,0),"-")=0,"-",IFERROR(VLOOKUP(J224,'[63]ТР нефть'!$J$28:$BP$638,55,0),"-"))</f>
        <v>-</v>
      </c>
      <c r="BM224" s="138" t="str">
        <f>IF(IFERROR(VLOOKUP(J224,'[63]ТР нефть'!$J$28:$BP$638,56,0),"-")=0,"-",IFERROR(VLOOKUP(J224,'[63]ТР нефть'!$J$28:$BP$638,56,0),"-"))</f>
        <v>-</v>
      </c>
      <c r="BN224" s="138" t="str">
        <f>IF(IFERROR(VLOOKUP(J224,'[63]ТР нефть'!$J$28:$BP$638,57,0),"-")=0,"-",IFERROR(VLOOKUP(J224,'[63]ТР нефть'!$J$28:$BP$638,57,0),"-"))</f>
        <v>-</v>
      </c>
      <c r="BO224" s="115" t="str">
        <f>IF(IFERROR(VLOOKUP(J224,'[63]ТР нефть'!$J$28:$BP$638,58,0),"-")=0,"-",IFERROR(VLOOKUP(J224,'[63]ТР нефть'!$J$28:$BP$638,58,0),"-"))</f>
        <v>-</v>
      </c>
      <c r="BP224" s="115" t="str">
        <f>IF(IFERROR(VLOOKUP(J224,'[63]ТР нефть'!$J$28:$BP$638,59,0),"-")=0,"-",IFERROR(VLOOKUP(J224,'[63]ТР нефть'!$J$28:$BP$638,59,0),"-"))</f>
        <v>-</v>
      </c>
      <c r="BQ224" s="138">
        <v>1650</v>
      </c>
      <c r="BR224" s="128">
        <v>1559.22</v>
      </c>
      <c r="BS224" s="115">
        <f t="shared" si="164"/>
        <v>90.779999999999973</v>
      </c>
      <c r="BT224" s="128">
        <v>73</v>
      </c>
      <c r="BU224" s="128">
        <v>5.5</v>
      </c>
      <c r="BV224" s="127">
        <v>18</v>
      </c>
      <c r="BW224" s="127" t="s">
        <v>217</v>
      </c>
      <c r="BX224" s="127" t="s">
        <v>218</v>
      </c>
      <c r="BY224" s="139">
        <v>24</v>
      </c>
      <c r="BZ224" s="139">
        <v>24</v>
      </c>
      <c r="CA224" s="138">
        <v>25</v>
      </c>
      <c r="CB224" s="138">
        <v>36</v>
      </c>
      <c r="CC224" s="138">
        <v>24</v>
      </c>
      <c r="CD224" s="135">
        <v>45017</v>
      </c>
      <c r="CE224" s="138">
        <v>85</v>
      </c>
      <c r="CF224" s="138">
        <v>72</v>
      </c>
      <c r="CG224" s="138" t="str">
        <f t="shared" si="153"/>
        <v>В работе</v>
      </c>
      <c r="CH224" s="138" t="s">
        <v>196</v>
      </c>
      <c r="CI224" s="127">
        <v>5</v>
      </c>
      <c r="CJ224" s="138"/>
      <c r="CK224" s="138">
        <f t="shared" si="157"/>
        <v>23</v>
      </c>
      <c r="CL224" s="99"/>
      <c r="CM224" s="99"/>
      <c r="CN224" s="140">
        <v>48</v>
      </c>
      <c r="CO224" s="141">
        <f t="shared" si="165"/>
        <v>2.9259999999999997</v>
      </c>
      <c r="CP224" s="142">
        <v>3.5</v>
      </c>
      <c r="CQ224" s="143">
        <v>0</v>
      </c>
      <c r="CR224" s="138">
        <v>8</v>
      </c>
      <c r="CS224" s="139">
        <f>9.6/2</f>
        <v>4.8</v>
      </c>
      <c r="CT224" s="138"/>
      <c r="CU224" s="138">
        <f t="shared" si="184"/>
        <v>3.2</v>
      </c>
      <c r="CV224" s="115">
        <f t="shared" si="186"/>
        <v>1093.6431989063569</v>
      </c>
      <c r="CW224" s="115">
        <f t="shared" si="166"/>
        <v>1640.4647983595353</v>
      </c>
      <c r="CX224" s="133">
        <f t="shared" si="185"/>
        <v>9.45945945945946E-2</v>
      </c>
      <c r="CY224" s="116"/>
      <c r="CZ224" s="144"/>
      <c r="DA224" s="145" t="str">
        <f t="shared" si="167"/>
        <v>Газлифт</v>
      </c>
      <c r="DB224" s="146">
        <f t="shared" si="168"/>
        <v>4.18</v>
      </c>
      <c r="DC224" s="142">
        <v>5</v>
      </c>
      <c r="DD224" s="119">
        <v>0</v>
      </c>
      <c r="DE224" s="115">
        <v>7</v>
      </c>
      <c r="DF224" s="121">
        <v>4.8</v>
      </c>
      <c r="DG224" s="115">
        <f t="shared" si="171"/>
        <v>1093.6431989063569</v>
      </c>
      <c r="DH224" s="115">
        <f t="shared" si="172"/>
        <v>48</v>
      </c>
      <c r="DI224" s="147"/>
      <c r="DJ224" s="111">
        <v>43498</v>
      </c>
      <c r="DK224" s="112">
        <v>43621</v>
      </c>
      <c r="DL224" s="113">
        <f t="shared" ca="1" si="138"/>
        <v>1483</v>
      </c>
      <c r="DM224" s="114"/>
      <c r="DN224" s="114"/>
      <c r="DO224" s="114"/>
      <c r="DP224" s="114"/>
      <c r="DQ224" s="112">
        <v>41642</v>
      </c>
      <c r="DR224" s="114" t="s">
        <v>324</v>
      </c>
      <c r="DS224" s="114"/>
      <c r="DT224" s="115">
        <v>48</v>
      </c>
      <c r="DU224" s="116">
        <f t="shared" si="139"/>
        <v>9.45945945945946E-2</v>
      </c>
      <c r="DV224" s="117">
        <f t="shared" si="140"/>
        <v>2.9259999999999997</v>
      </c>
      <c r="DW224" s="118">
        <f t="shared" si="141"/>
        <v>3.5</v>
      </c>
      <c r="DX224" s="119">
        <f t="shared" si="173"/>
        <v>0</v>
      </c>
      <c r="DY224" s="115">
        <f t="shared" si="142"/>
        <v>3.2</v>
      </c>
      <c r="DZ224" s="117">
        <f t="shared" si="143"/>
        <v>0</v>
      </c>
      <c r="EA224" s="120">
        <f t="shared" si="143"/>
        <v>0</v>
      </c>
      <c r="EB224" s="119">
        <f t="shared" si="143"/>
        <v>0</v>
      </c>
      <c r="EC224" s="121">
        <f t="shared" si="144"/>
        <v>0</v>
      </c>
      <c r="ED224" s="122"/>
      <c r="EE224" s="145">
        <v>18</v>
      </c>
      <c r="EF224" s="115">
        <v>27</v>
      </c>
      <c r="EG224" s="115">
        <v>35</v>
      </c>
      <c r="EH224" s="115">
        <v>26</v>
      </c>
      <c r="EI224" s="128" t="s">
        <v>218</v>
      </c>
      <c r="EJ224" s="121">
        <v>24</v>
      </c>
      <c r="EK224" s="121">
        <v>24</v>
      </c>
      <c r="EL224" s="149">
        <v>3.8455999999999997</v>
      </c>
      <c r="EM224" s="142">
        <v>4.5999999999999996</v>
      </c>
      <c r="EN224" s="119">
        <v>0</v>
      </c>
      <c r="EO224" s="115">
        <v>9</v>
      </c>
      <c r="EP224" s="115">
        <v>1092.1572706469733</v>
      </c>
      <c r="EQ224" s="115">
        <v>72</v>
      </c>
      <c r="ER224" s="115">
        <v>4.8</v>
      </c>
      <c r="ES224" s="115">
        <v>59</v>
      </c>
      <c r="ET224" s="150">
        <v>0.17692307692307691</v>
      </c>
      <c r="EU224" s="145">
        <f t="shared" si="174"/>
        <v>18</v>
      </c>
      <c r="EV224" s="115">
        <f t="shared" si="175"/>
        <v>25</v>
      </c>
      <c r="EW224" s="115">
        <f t="shared" si="175"/>
        <v>36</v>
      </c>
      <c r="EX224" s="115">
        <f t="shared" si="175"/>
        <v>24</v>
      </c>
      <c r="EY224" s="115" t="str">
        <f t="shared" si="156"/>
        <v>Периодический</v>
      </c>
      <c r="EZ224" s="115">
        <f t="shared" si="156"/>
        <v>24</v>
      </c>
      <c r="FA224" s="115">
        <f t="shared" si="156"/>
        <v>24</v>
      </c>
      <c r="FB224" s="149">
        <f t="shared" si="176"/>
        <v>2.9259999999999997</v>
      </c>
      <c r="FC224" s="142">
        <f t="shared" si="176"/>
        <v>3.5</v>
      </c>
      <c r="FD224" s="119">
        <f t="shared" si="176"/>
        <v>0</v>
      </c>
      <c r="FE224" s="121">
        <f t="shared" si="176"/>
        <v>8</v>
      </c>
      <c r="FF224" s="121">
        <f t="shared" si="145"/>
        <v>1093.6431989063569</v>
      </c>
      <c r="FG224" s="121">
        <f t="shared" si="177"/>
        <v>72</v>
      </c>
      <c r="FH224" s="121">
        <f t="shared" si="146"/>
        <v>4.8</v>
      </c>
      <c r="FI224" s="121">
        <f t="shared" si="154"/>
        <v>48</v>
      </c>
      <c r="FJ224" s="144">
        <f t="shared" si="178"/>
        <v>9.45945945945946E-2</v>
      </c>
      <c r="FK224" s="132">
        <f t="shared" si="179"/>
        <v>0</v>
      </c>
      <c r="FL224" s="115">
        <f t="shared" si="179"/>
        <v>-2</v>
      </c>
      <c r="FM224" s="115">
        <f t="shared" si="179"/>
        <v>1</v>
      </c>
      <c r="FN224" s="115">
        <f t="shared" si="162"/>
        <v>-2</v>
      </c>
      <c r="FO224" s="115">
        <f t="shared" si="150"/>
        <v>0</v>
      </c>
      <c r="FP224" s="115">
        <f t="shared" si="150"/>
        <v>0</v>
      </c>
      <c r="FQ224" s="149">
        <f t="shared" si="150"/>
        <v>-0.91959999999999997</v>
      </c>
      <c r="FR224" s="142">
        <f t="shared" si="148"/>
        <v>-1.0999999999999996</v>
      </c>
      <c r="FS224" s="119">
        <f t="shared" si="148"/>
        <v>0</v>
      </c>
      <c r="FT224" s="121">
        <f t="shared" si="148"/>
        <v>-1</v>
      </c>
      <c r="FU224" s="121">
        <f t="shared" si="180"/>
        <v>0</v>
      </c>
      <c r="FV224" s="121">
        <f t="shared" si="180"/>
        <v>0</v>
      </c>
      <c r="FW224" s="121">
        <f t="shared" si="181"/>
        <v>1.4859282593836269</v>
      </c>
      <c r="FX224" s="121">
        <f t="shared" si="182"/>
        <v>-11</v>
      </c>
      <c r="FY224" s="144">
        <f t="shared" si="182"/>
        <v>-8.2328482328482305E-2</v>
      </c>
      <c r="FZ224" s="145"/>
      <c r="GA224" s="125"/>
      <c r="GB224" s="145"/>
      <c r="GC224" s="125"/>
      <c r="GD224" s="997" t="s">
        <v>202</v>
      </c>
      <c r="GE224" s="1004"/>
      <c r="GF224" s="1004">
        <v>-0.75240000000000018</v>
      </c>
      <c r="GG224" s="1004"/>
      <c r="GH224" s="1004">
        <v>0</v>
      </c>
      <c r="GI224" s="145"/>
      <c r="GJ224" s="996">
        <v>-0.8360000000000003</v>
      </c>
      <c r="GK224" s="145"/>
      <c r="GL224" s="996">
        <v>0</v>
      </c>
      <c r="GM224" s="1005"/>
      <c r="GN224" s="996">
        <v>-4.1799999999999393E-2</v>
      </c>
      <c r="GO224" s="1006"/>
      <c r="GP224" s="996">
        <v>0</v>
      </c>
      <c r="GQ224" s="1006"/>
      <c r="GR224" s="996">
        <v>0.62699999999999978</v>
      </c>
      <c r="GS224" s="1006" t="s">
        <v>199</v>
      </c>
      <c r="GT224" s="996">
        <v>2.0482</v>
      </c>
      <c r="GU224" s="1006"/>
      <c r="GV224" s="996">
        <v>0</v>
      </c>
      <c r="GW224" s="1006"/>
      <c r="GX224" s="1035">
        <v>0</v>
      </c>
      <c r="GY224" s="1006"/>
      <c r="GZ224" s="996">
        <v>0</v>
      </c>
      <c r="HA224" s="1006"/>
      <c r="HB224" s="996">
        <v>-0.31768000000000018</v>
      </c>
      <c r="HC224" s="1006"/>
      <c r="HD224" s="996">
        <v>-0.20649199999999945</v>
      </c>
      <c r="HE224" s="1006" t="s">
        <v>223</v>
      </c>
      <c r="HF224" s="996">
        <v>-1.6320141200000009</v>
      </c>
      <c r="HG224" s="1006" t="s">
        <v>223</v>
      </c>
      <c r="HH224" s="996">
        <v>-1.4804138799999995</v>
      </c>
      <c r="HI224" s="1006"/>
      <c r="HJ224" s="996">
        <v>-5.0159999999999982E-2</v>
      </c>
      <c r="HK224" s="1006" t="s">
        <v>199</v>
      </c>
      <c r="HL224" s="996">
        <v>1.8985560000000001</v>
      </c>
      <c r="HM224" s="1006"/>
      <c r="HN224" s="996">
        <v>0</v>
      </c>
      <c r="HO224" s="1006" t="s">
        <v>199</v>
      </c>
      <c r="HP224" s="996">
        <v>-1.4183576000000002</v>
      </c>
      <c r="HQ224" s="1006"/>
      <c r="HR224" s="996">
        <v>0</v>
      </c>
      <c r="HS224" s="1006"/>
      <c r="HT224" s="996">
        <v>0</v>
      </c>
      <c r="HU224" s="1006"/>
      <c r="HV224" s="996">
        <v>0</v>
      </c>
      <c r="HW224" s="1006"/>
      <c r="HX224" s="996">
        <v>0.57568631999999997</v>
      </c>
      <c r="HY224" s="1006"/>
      <c r="HZ224" s="996">
        <v>0.75923848000000049</v>
      </c>
      <c r="IA224" s="1006"/>
      <c r="IB224" s="996">
        <v>0</v>
      </c>
      <c r="IC224" s="1006"/>
      <c r="ID224" s="996">
        <v>-0.73420864000000119</v>
      </c>
      <c r="IE224" s="1006" t="s">
        <v>199</v>
      </c>
      <c r="IF224" s="996">
        <v>1.2348054400000006</v>
      </c>
      <c r="IG224" s="1006"/>
      <c r="IH224" s="996">
        <v>0</v>
      </c>
      <c r="II224" s="1006"/>
      <c r="IJ224" s="996">
        <v>0.83432800000000018</v>
      </c>
      <c r="IK224" s="1006"/>
      <c r="IL224" s="996">
        <v>-0.41716399999999965</v>
      </c>
      <c r="IM224" s="1006"/>
      <c r="IN224" s="996">
        <v>-0.20858200000000027</v>
      </c>
      <c r="IO224" s="1006" t="s">
        <v>199</v>
      </c>
      <c r="IP224" s="996">
        <v>-0.9594772000000007</v>
      </c>
      <c r="IQ224" s="1006" t="s">
        <v>199</v>
      </c>
      <c r="IR224" s="996">
        <v>2.2891352000000005</v>
      </c>
      <c r="IS224" s="1006"/>
      <c r="IT224" s="996">
        <v>0.7941999999999998</v>
      </c>
      <c r="IU224" s="1006" t="s">
        <v>199</v>
      </c>
      <c r="IV224" s="996">
        <v>-1.6837039999999994</v>
      </c>
      <c r="IW224" s="1006"/>
      <c r="IX224" s="996">
        <v>0</v>
      </c>
      <c r="IY224" s="1006" t="s">
        <v>199</v>
      </c>
      <c r="IZ224" s="996">
        <v>1.8509039999999997</v>
      </c>
      <c r="JA224" s="1006"/>
      <c r="JB224" s="996">
        <v>0.83599999999999997</v>
      </c>
      <c r="JC224" s="1006"/>
      <c r="JD224" s="996">
        <v>0</v>
      </c>
      <c r="JE224" s="1006"/>
      <c r="JF224" s="996">
        <v>0</v>
      </c>
      <c r="JG224" s="1006"/>
      <c r="JH224" s="996">
        <v>0</v>
      </c>
      <c r="JI224" s="1006" t="s">
        <v>199</v>
      </c>
      <c r="JJ224" s="996">
        <v>-1.97296</v>
      </c>
      <c r="JK224" s="1007"/>
      <c r="JL224" s="1007">
        <v>0</v>
      </c>
      <c r="JM224" s="1007"/>
      <c r="JN224" s="1007">
        <v>0</v>
      </c>
      <c r="JO224" s="1008"/>
      <c r="JP224" s="1007">
        <v>0.16970799999999997</v>
      </c>
      <c r="JQ224" s="1008" t="s">
        <v>199</v>
      </c>
      <c r="JR224" s="1007">
        <v>-4.4416679999999999</v>
      </c>
      <c r="JS224" s="1008">
        <v>0</v>
      </c>
      <c r="JT224" s="1007">
        <v>0</v>
      </c>
      <c r="JU224" s="1008" t="s">
        <v>239</v>
      </c>
      <c r="JV224" s="1007">
        <v>-0.4</v>
      </c>
      <c r="JW224" s="1008" t="s">
        <v>197</v>
      </c>
      <c r="JX224" s="1007">
        <v>7.524</v>
      </c>
      <c r="JY224" s="1008"/>
      <c r="JZ224" s="1007">
        <v>-7.1031576000000003</v>
      </c>
      <c r="KA224" s="1008"/>
      <c r="KB224" s="1007">
        <v>0</v>
      </c>
      <c r="KC224" s="1008"/>
      <c r="KD224" s="1007">
        <v>0</v>
      </c>
      <c r="KE224" s="1008"/>
      <c r="KF224" s="1007">
        <v>0</v>
      </c>
      <c r="KG224" s="1008"/>
      <c r="KH224" s="1007">
        <v>0</v>
      </c>
      <c r="KI224" s="1008" t="s">
        <v>206</v>
      </c>
      <c r="KJ224" s="1007">
        <v>-0.83566559999999956</v>
      </c>
      <c r="KK224" s="1008" t="s">
        <v>206</v>
      </c>
      <c r="KL224" s="1007">
        <v>0.79817099999999908</v>
      </c>
      <c r="KM224" s="1008"/>
      <c r="KN224" s="1007">
        <v>0</v>
      </c>
      <c r="KO224" s="1008" t="s">
        <v>206</v>
      </c>
      <c r="KP224" s="1007">
        <v>-0.37582379999999826</v>
      </c>
      <c r="KQ224" s="1008">
        <v>0</v>
      </c>
      <c r="KR224" s="1007">
        <v>0</v>
      </c>
      <c r="KS224" s="1008" t="s">
        <v>204</v>
      </c>
      <c r="KT224" s="1007">
        <v>0.83516399999999891</v>
      </c>
      <c r="KU224" s="1008">
        <v>0</v>
      </c>
      <c r="KV224" s="1007">
        <v>0</v>
      </c>
      <c r="KW224" s="1008" t="s">
        <v>204</v>
      </c>
      <c r="KX224" s="1007">
        <v>3.1533920000000006</v>
      </c>
      <c r="KY224" s="1008" t="s">
        <v>206</v>
      </c>
      <c r="KZ224" s="1007">
        <v>-4.8320799999999995</v>
      </c>
      <c r="LA224" s="1008">
        <v>0</v>
      </c>
      <c r="LB224" s="1007">
        <v>0</v>
      </c>
      <c r="LC224" s="1008">
        <v>0</v>
      </c>
      <c r="LD224" s="1007">
        <v>0</v>
      </c>
      <c r="LE224" s="1008">
        <v>0</v>
      </c>
      <c r="LF224" s="1007">
        <v>0</v>
      </c>
      <c r="LG224" s="1008">
        <v>0</v>
      </c>
      <c r="LH224" s="1007">
        <v>0</v>
      </c>
      <c r="LI224" s="1008">
        <v>0</v>
      </c>
      <c r="LJ224" s="1007">
        <v>0</v>
      </c>
      <c r="LK224" s="1008">
        <v>0</v>
      </c>
      <c r="LL224" s="1007">
        <v>-0.81927000000000005</v>
      </c>
      <c r="LM224" s="1008" t="s">
        <v>555</v>
      </c>
      <c r="LN224" s="1007">
        <v>0.24327599999999999</v>
      </c>
      <c r="LO224" s="1008">
        <v>0</v>
      </c>
      <c r="LP224" s="1007">
        <v>0</v>
      </c>
      <c r="LQ224" s="1008" t="s">
        <v>206</v>
      </c>
      <c r="LR224" s="1007">
        <v>-8.5339766160000003</v>
      </c>
      <c r="LS224" s="1008">
        <v>0</v>
      </c>
      <c r="LT224" s="1007">
        <v>0.25661599999971002</v>
      </c>
      <c r="LU224" s="1008">
        <v>0</v>
      </c>
      <c r="LV224" s="1007">
        <v>-0.34456799999997401</v>
      </c>
      <c r="LW224" s="1008">
        <v>0</v>
      </c>
      <c r="LX224" s="1007">
        <v>0</v>
      </c>
      <c r="LY224" s="1009">
        <v>0</v>
      </c>
      <c r="LZ224" s="1010">
        <v>0.34456799999997401</v>
      </c>
      <c r="MA224" s="1011">
        <v>0</v>
      </c>
      <c r="MB224" s="1012">
        <v>0.66819881999999997</v>
      </c>
      <c r="MC224" s="995"/>
      <c r="MD224" s="996"/>
      <c r="ME224" s="997" t="s">
        <v>202</v>
      </c>
      <c r="MF224" s="997"/>
      <c r="MG224" s="998"/>
      <c r="NR224" s="1000"/>
      <c r="NS224" s="1000"/>
      <c r="NT224" s="1001"/>
      <c r="NU224" s="1000"/>
      <c r="NV224" s="1001"/>
      <c r="NX224" s="1002"/>
      <c r="NZ224" s="1001"/>
      <c r="OA224" s="1001"/>
      <c r="OC224" s="1003"/>
      <c r="OD224" s="1003"/>
      <c r="OE224" s="1001"/>
      <c r="OF224" s="1003"/>
      <c r="OG224" s="1003"/>
      <c r="QX224" s="1000">
        <f>CN224-CA224</f>
        <v>23</v>
      </c>
      <c r="ASU224" s="999" t="s">
        <v>208</v>
      </c>
    </row>
    <row r="225" spans="1:466 1191:1191" ht="21" customHeight="1" x14ac:dyDescent="0.25">
      <c r="A225" s="982" t="str">
        <f t="shared" si="163"/>
        <v>1117-1</v>
      </c>
      <c r="B225" s="124">
        <f>SUBTOTAL(103,$J$29:J225)</f>
        <v>197</v>
      </c>
      <c r="C225" s="126">
        <v>45068</v>
      </c>
      <c r="D225" s="124" t="s">
        <v>176</v>
      </c>
      <c r="E225" s="127" t="s">
        <v>177</v>
      </c>
      <c r="F225" s="128" t="s">
        <v>177</v>
      </c>
      <c r="G225" s="127" t="s">
        <v>178</v>
      </c>
      <c r="H225" s="127" t="s">
        <v>179</v>
      </c>
      <c r="I225" s="127" t="s">
        <v>180</v>
      </c>
      <c r="J225" s="152" t="s">
        <v>1056</v>
      </c>
      <c r="K225" s="127" t="s">
        <v>180</v>
      </c>
      <c r="L225" s="130">
        <v>41757</v>
      </c>
      <c r="M225" s="127" t="s">
        <v>230</v>
      </c>
      <c r="N225" s="127" t="s">
        <v>184</v>
      </c>
      <c r="O225" s="127" t="s">
        <v>185</v>
      </c>
      <c r="P225" s="127" t="s">
        <v>186</v>
      </c>
      <c r="Q225" s="85" t="str">
        <f t="shared" si="183"/>
        <v/>
      </c>
      <c r="R225" s="130"/>
      <c r="S225" s="128" t="s">
        <v>156</v>
      </c>
      <c r="T225" s="131"/>
      <c r="U225" s="132">
        <v>203</v>
      </c>
      <c r="V225" s="121">
        <v>218.2</v>
      </c>
      <c r="W225" s="116">
        <v>0.98</v>
      </c>
      <c r="X225" s="116">
        <v>1.66</v>
      </c>
      <c r="Y225" s="116">
        <f t="shared" si="137"/>
        <v>0.99013998782714552</v>
      </c>
      <c r="Z225" s="133">
        <v>1.454</v>
      </c>
      <c r="AA225" s="133">
        <v>0.83599999999999997</v>
      </c>
      <c r="AB225" s="133">
        <v>0.72</v>
      </c>
      <c r="AC225" s="121">
        <v>34.299999999999997</v>
      </c>
      <c r="AD225" s="134">
        <v>1.17</v>
      </c>
      <c r="AE225" s="124">
        <v>177.8</v>
      </c>
      <c r="AF225" s="128">
        <v>9.19</v>
      </c>
      <c r="AG225" s="128">
        <v>1875</v>
      </c>
      <c r="AH225" s="127">
        <v>2490</v>
      </c>
      <c r="AI225" s="127">
        <v>2490</v>
      </c>
      <c r="AJ225" s="135"/>
      <c r="AK225" s="128"/>
      <c r="AL225" s="131"/>
      <c r="AM225" s="124" t="s">
        <v>232</v>
      </c>
      <c r="AN225" s="136" t="s">
        <v>1057</v>
      </c>
      <c r="AO225" s="137">
        <v>18</v>
      </c>
      <c r="AP225" s="128">
        <v>1875</v>
      </c>
      <c r="AQ225" s="128">
        <v>119.3</v>
      </c>
      <c r="AR225" s="128"/>
      <c r="AS225" s="128"/>
      <c r="AT225" s="122"/>
      <c r="AU225" s="124" t="s">
        <v>189</v>
      </c>
      <c r="AV225" s="115">
        <f>VLOOKUP(J225,'[63]ТР нефть'!$J$28:$BP$638,39,0)</f>
        <v>510.00001435500002</v>
      </c>
      <c r="AW225" s="115" t="str">
        <f>VLOOKUP(J225,'[63]ТР нефть'!$J$28:$BP$638,40,0)</f>
        <v>ГП</v>
      </c>
      <c r="AX225" s="115">
        <f>VLOOKUP(J225,'[63]ТР нефть'!$J$28:$BP$638,41,0)</f>
        <v>909.99997089800002</v>
      </c>
      <c r="AY225" s="115" t="str">
        <f>VLOOKUP(J225,'[63]ТР нефть'!$J$28:$BP$638,42,0)</f>
        <v>ГП</v>
      </c>
      <c r="AZ225" s="115">
        <f>VLOOKUP(J225,'[63]ТР нефть'!$J$28:$BP$638,43,0)</f>
        <v>1269.9999503910001</v>
      </c>
      <c r="BA225" s="115" t="str">
        <f>VLOOKUP(J225,'[63]ТР нефть'!$J$28:$BP$638,44,0)</f>
        <v>ГП</v>
      </c>
      <c r="BB225" s="115">
        <f>VLOOKUP(J225,'[63]ТР нефть'!$J$28:$BP$638,45,0)</f>
        <v>1610.000034375</v>
      </c>
      <c r="BC225" s="115" t="str">
        <f>VLOOKUP(J225,'[63]ТР нефть'!$J$28:$BP$638,46,0)</f>
        <v>ЦКсОК 5/16</v>
      </c>
      <c r="BD225" s="115" t="str">
        <f>VLOOKUP(J225,'[63]ТР нефть'!$J$28:$BP$638,47,0)</f>
        <v>-</v>
      </c>
      <c r="BE225" s="115" t="str">
        <f>VLOOKUP(J225,'[63]ТР нефть'!$J$28:$BP$638,48,0)</f>
        <v>-</v>
      </c>
      <c r="BF225" s="115" t="str">
        <f>VLOOKUP(J225,'[63]ТР нефть'!$J$28:$BP$638,49,0)</f>
        <v>-</v>
      </c>
      <c r="BG225" s="115" t="str">
        <f>VLOOKUP(J225,'[63]ТР нефть'!$J$28:$BP$638,50,0)</f>
        <v>-</v>
      </c>
      <c r="BH225" s="115">
        <f>VLOOKUP(J225,'[63]ТР нефть'!$J$28:$BP$638,51,0)</f>
        <v>1805</v>
      </c>
      <c r="BI225" s="115" t="str">
        <f>VLOOKUP(J225,'[63]ТР нефть'!$J$28:$BP$638,52,0)</f>
        <v>открыт</v>
      </c>
      <c r="BJ225" s="115" t="str">
        <f>IF(IFERROR(VLOOKUP(J225,'[63]ТР нефть'!$J$28:$BP$638,53,0),"-")=0,"-",IFERROR(VLOOKUP(J225,'[63]ТР нефть'!$J$28:$BP$638,53,0),"-"))</f>
        <v>-</v>
      </c>
      <c r="BK225" s="138" t="str">
        <f>IF(IFERROR(VLOOKUP(J225,'[63]ТР нефть'!$J$28:$BP$638,54,0),"-")=0,"-",IFERROR(VLOOKUP(J225,'[63]ТР нефть'!$J$28:$BP$638,54,0),"-"))</f>
        <v>-</v>
      </c>
      <c r="BL225" s="138" t="str">
        <f>IF(IFERROR(VLOOKUP(J225,'[63]ТР нефть'!$J$28:$BP$638,55,0),"-")=0,"-",IFERROR(VLOOKUP(J225,'[63]ТР нефть'!$J$28:$BP$638,55,0),"-"))</f>
        <v>-</v>
      </c>
      <c r="BM225" s="138" t="str">
        <f>IF(IFERROR(VLOOKUP(J225,'[63]ТР нефть'!$J$28:$BP$638,56,0),"-")=0,"-",IFERROR(VLOOKUP(J225,'[63]ТР нефть'!$J$28:$BP$638,56,0),"-"))</f>
        <v>-</v>
      </c>
      <c r="BN225" s="138" t="str">
        <f>IF(IFERROR(VLOOKUP(J225,'[63]ТР нефть'!$J$28:$BP$638,57,0),"-")=0,"-",IFERROR(VLOOKUP(J225,'[63]ТР нефть'!$J$28:$BP$638,57,0),"-"))</f>
        <v>-</v>
      </c>
      <c r="BO225" s="115" t="str">
        <f>IF(IFERROR(VLOOKUP(J225,'[63]ТР нефть'!$J$28:$BP$638,58,0),"-")=0,"-",IFERROR(VLOOKUP(J225,'[63]ТР нефть'!$J$28:$BP$638,58,0),"-"))</f>
        <v>-</v>
      </c>
      <c r="BP225" s="115" t="str">
        <f>IF(IFERROR(VLOOKUP(J225,'[63]ТР нефть'!$J$28:$BP$638,59,0),"-")=0,"-",IFERROR(VLOOKUP(J225,'[63]ТР нефть'!$J$28:$BP$638,59,0),"-"))</f>
        <v>-</v>
      </c>
      <c r="BQ225" s="138">
        <v>2110</v>
      </c>
      <c r="BR225" s="128">
        <v>1852.62</v>
      </c>
      <c r="BS225" s="115">
        <f t="shared" si="164"/>
        <v>257.38000000000011</v>
      </c>
      <c r="BT225" s="128">
        <v>73</v>
      </c>
      <c r="BU225" s="128">
        <v>5.5</v>
      </c>
      <c r="BV225" s="127">
        <v>18</v>
      </c>
      <c r="BW225" s="127" t="s">
        <v>217</v>
      </c>
      <c r="BX225" s="127" t="s">
        <v>195</v>
      </c>
      <c r="BY225" s="139">
        <v>24</v>
      </c>
      <c r="BZ225" s="139">
        <v>0</v>
      </c>
      <c r="CA225" s="138">
        <v>25</v>
      </c>
      <c r="CB225" s="138">
        <v>40</v>
      </c>
      <c r="CC225" s="138">
        <v>24</v>
      </c>
      <c r="CD225" s="135">
        <v>45017</v>
      </c>
      <c r="CE225" s="138">
        <v>79</v>
      </c>
      <c r="CF225" s="138">
        <v>72</v>
      </c>
      <c r="CG225" s="138" t="str">
        <f t="shared" si="153"/>
        <v>В работе</v>
      </c>
      <c r="CH225" s="138" t="s">
        <v>196</v>
      </c>
      <c r="CI225" s="127"/>
      <c r="CJ225" s="138"/>
      <c r="CK225" s="138">
        <f t="shared" si="157"/>
        <v>24</v>
      </c>
      <c r="CL225" s="99"/>
      <c r="CM225" s="99"/>
      <c r="CN225" s="140">
        <v>49</v>
      </c>
      <c r="CO225" s="141">
        <f t="shared" si="165"/>
        <v>6.5207999999999995</v>
      </c>
      <c r="CP225" s="142">
        <v>8</v>
      </c>
      <c r="CQ225" s="143">
        <v>2.5</v>
      </c>
      <c r="CR225" s="138">
        <v>18</v>
      </c>
      <c r="CS225" s="139">
        <v>9.6</v>
      </c>
      <c r="CT225" s="138"/>
      <c r="CU225" s="138">
        <f t="shared" si="184"/>
        <v>8.4</v>
      </c>
      <c r="CV225" s="115">
        <f t="shared" si="186"/>
        <v>1288.1854987118147</v>
      </c>
      <c r="CW225" s="115">
        <f t="shared" si="166"/>
        <v>1421.7167229429538</v>
      </c>
      <c r="CX225" s="133">
        <f t="shared" si="185"/>
        <v>0.26666666666666666</v>
      </c>
      <c r="CY225" s="116"/>
      <c r="CZ225" s="131"/>
      <c r="DA225" s="145" t="str">
        <f t="shared" si="167"/>
        <v>Газлифт</v>
      </c>
      <c r="DB225" s="146">
        <f t="shared" si="168"/>
        <v>6.4204799999999995</v>
      </c>
      <c r="DC225" s="142">
        <f t="shared" si="151"/>
        <v>8</v>
      </c>
      <c r="DD225" s="119">
        <f t="shared" si="152"/>
        <v>4</v>
      </c>
      <c r="DE225" s="115">
        <f t="shared" si="169"/>
        <v>8.4</v>
      </c>
      <c r="DF225" s="121">
        <f t="shared" si="170"/>
        <v>9.6</v>
      </c>
      <c r="DG225" s="115">
        <f t="shared" si="171"/>
        <v>1288.1854987118147</v>
      </c>
      <c r="DH225" s="115">
        <f t="shared" si="172"/>
        <v>49</v>
      </c>
      <c r="DI225" s="147"/>
      <c r="DJ225" s="111" t="s">
        <v>197</v>
      </c>
      <c r="DK225" s="112">
        <v>41939</v>
      </c>
      <c r="DL225" s="113">
        <f t="shared" ca="1" si="138"/>
        <v>3165</v>
      </c>
      <c r="DM225" s="114"/>
      <c r="DN225" s="114"/>
      <c r="DO225" s="114"/>
      <c r="DP225" s="114"/>
      <c r="DQ225" s="112">
        <v>41757</v>
      </c>
      <c r="DR225" s="114" t="s">
        <v>324</v>
      </c>
      <c r="DS225" s="114"/>
      <c r="DT225" s="115">
        <v>51</v>
      </c>
      <c r="DU225" s="116">
        <f t="shared" si="139"/>
        <v>0.2857142857142857</v>
      </c>
      <c r="DV225" s="117">
        <f t="shared" si="140"/>
        <v>6.5207999999999995</v>
      </c>
      <c r="DW225" s="118">
        <f t="shared" si="141"/>
        <v>8</v>
      </c>
      <c r="DX225" s="119">
        <f t="shared" si="173"/>
        <v>2.5</v>
      </c>
      <c r="DY225" s="115">
        <f t="shared" si="142"/>
        <v>8.4</v>
      </c>
      <c r="DZ225" s="117">
        <f t="shared" si="143"/>
        <v>0</v>
      </c>
      <c r="EA225" s="120">
        <f t="shared" si="143"/>
        <v>0</v>
      </c>
      <c r="EB225" s="119">
        <f t="shared" si="143"/>
        <v>0</v>
      </c>
      <c r="EC225" s="121">
        <f t="shared" si="144"/>
        <v>0</v>
      </c>
      <c r="ED225" s="122"/>
      <c r="EE225" s="145">
        <v>18</v>
      </c>
      <c r="EF225" s="115">
        <v>27</v>
      </c>
      <c r="EG225" s="115">
        <v>43</v>
      </c>
      <c r="EH225" s="115">
        <v>26</v>
      </c>
      <c r="EI225" s="128" t="s">
        <v>195</v>
      </c>
      <c r="EJ225" s="121">
        <v>24</v>
      </c>
      <c r="EK225" s="121">
        <v>0</v>
      </c>
      <c r="EL225" s="149">
        <v>5.0561280000000002</v>
      </c>
      <c r="EM225" s="142">
        <v>6.3</v>
      </c>
      <c r="EN225" s="119">
        <v>4</v>
      </c>
      <c r="EO225" s="115">
        <v>18</v>
      </c>
      <c r="EP225" s="115">
        <v>1756.2846510214931</v>
      </c>
      <c r="EQ225" s="115">
        <v>72</v>
      </c>
      <c r="ER225" s="115">
        <v>9.1199999999999992</v>
      </c>
      <c r="ES225" s="115">
        <v>49</v>
      </c>
      <c r="ET225" s="150">
        <v>0.21</v>
      </c>
      <c r="EU225" s="145">
        <f t="shared" si="174"/>
        <v>18</v>
      </c>
      <c r="EV225" s="115">
        <f t="shared" si="175"/>
        <v>25</v>
      </c>
      <c r="EW225" s="115">
        <f t="shared" si="175"/>
        <v>40</v>
      </c>
      <c r="EX225" s="115">
        <f t="shared" si="175"/>
        <v>24</v>
      </c>
      <c r="EY225" s="115" t="str">
        <f t="shared" si="156"/>
        <v>Постоянный</v>
      </c>
      <c r="EZ225" s="115">
        <f t="shared" si="156"/>
        <v>24</v>
      </c>
      <c r="FA225" s="115">
        <f t="shared" si="156"/>
        <v>0</v>
      </c>
      <c r="FB225" s="149">
        <f t="shared" si="176"/>
        <v>6.5207999999999995</v>
      </c>
      <c r="FC225" s="142">
        <f t="shared" si="176"/>
        <v>8</v>
      </c>
      <c r="FD225" s="119">
        <f t="shared" si="176"/>
        <v>2.5</v>
      </c>
      <c r="FE225" s="121">
        <f t="shared" si="176"/>
        <v>18</v>
      </c>
      <c r="FF225" s="121">
        <f t="shared" si="145"/>
        <v>1288.1854987118147</v>
      </c>
      <c r="FG225" s="121">
        <f t="shared" si="177"/>
        <v>72</v>
      </c>
      <c r="FH225" s="121">
        <f t="shared" si="146"/>
        <v>9.6</v>
      </c>
      <c r="FI225" s="121">
        <f t="shared" si="154"/>
        <v>49</v>
      </c>
      <c r="FJ225" s="144">
        <f t="shared" si="178"/>
        <v>0.26666666666666666</v>
      </c>
      <c r="FK225" s="132">
        <f t="shared" si="179"/>
        <v>0</v>
      </c>
      <c r="FL225" s="115">
        <f t="shared" si="179"/>
        <v>-2</v>
      </c>
      <c r="FM225" s="115">
        <f t="shared" si="179"/>
        <v>-3</v>
      </c>
      <c r="FN225" s="115">
        <f t="shared" si="162"/>
        <v>-2</v>
      </c>
      <c r="FO225" s="115">
        <f t="shared" si="150"/>
        <v>0</v>
      </c>
      <c r="FP225" s="115">
        <f t="shared" si="150"/>
        <v>0</v>
      </c>
      <c r="FQ225" s="149">
        <f t="shared" si="150"/>
        <v>1.4646719999999993</v>
      </c>
      <c r="FR225" s="142">
        <f t="shared" si="148"/>
        <v>1.7000000000000002</v>
      </c>
      <c r="FS225" s="119">
        <f t="shared" si="148"/>
        <v>-1.5</v>
      </c>
      <c r="FT225" s="121">
        <f t="shared" si="148"/>
        <v>0</v>
      </c>
      <c r="FU225" s="121">
        <f t="shared" si="180"/>
        <v>0</v>
      </c>
      <c r="FV225" s="121">
        <f t="shared" si="180"/>
        <v>0.48000000000000043</v>
      </c>
      <c r="FW225" s="121">
        <f t="shared" si="181"/>
        <v>-468.0991523096784</v>
      </c>
      <c r="FX225" s="121">
        <f t="shared" si="182"/>
        <v>0</v>
      </c>
      <c r="FY225" s="144">
        <f t="shared" si="182"/>
        <v>5.6666666666666671E-2</v>
      </c>
      <c r="FZ225" s="145" t="s">
        <v>199</v>
      </c>
      <c r="GA225" s="1034" t="s">
        <v>200</v>
      </c>
      <c r="GB225" s="145"/>
      <c r="GC225" s="131"/>
      <c r="GD225" s="997" t="s">
        <v>202</v>
      </c>
      <c r="GE225" s="1004"/>
      <c r="GF225" s="1004">
        <v>0.25048232000000059</v>
      </c>
      <c r="GG225" s="1004"/>
      <c r="GH225" s="1004">
        <v>0</v>
      </c>
      <c r="GI225" s="145"/>
      <c r="GJ225" s="996">
        <v>0</v>
      </c>
      <c r="GK225" s="145" t="s">
        <v>223</v>
      </c>
      <c r="GL225" s="996">
        <v>-4.2996930459999998</v>
      </c>
      <c r="GM225" s="1005"/>
      <c r="GN225" s="996">
        <v>0</v>
      </c>
      <c r="GO225" s="1006"/>
      <c r="GP225" s="996">
        <v>0</v>
      </c>
      <c r="GQ225" s="1006" t="s">
        <v>203</v>
      </c>
      <c r="GR225" s="996">
        <v>-2.893852874000002</v>
      </c>
      <c r="GS225" s="1006" t="s">
        <v>203</v>
      </c>
      <c r="GT225" s="996">
        <v>-2.4335123999999979</v>
      </c>
      <c r="GU225" s="1006" t="s">
        <v>25</v>
      </c>
      <c r="GV225" s="996">
        <v>14.432703999999999</v>
      </c>
      <c r="GW225" s="1006" t="s">
        <v>25</v>
      </c>
      <c r="GX225" s="1035">
        <v>-6.6846560000000004</v>
      </c>
      <c r="GY225" s="1006"/>
      <c r="GZ225" s="996">
        <v>0</v>
      </c>
      <c r="HA225" s="1006"/>
      <c r="HB225" s="996">
        <v>-0.8355819999999996</v>
      </c>
      <c r="HC225" s="1006" t="s">
        <v>199</v>
      </c>
      <c r="HD225" s="996">
        <v>4.418557616000002</v>
      </c>
      <c r="HE225" s="1006" t="s">
        <v>199</v>
      </c>
      <c r="HF225" s="996">
        <v>-0.81887036000000091</v>
      </c>
      <c r="HG225" s="1006" t="s">
        <v>199</v>
      </c>
      <c r="HH225" s="996">
        <v>1.4003501600000012</v>
      </c>
      <c r="HI225" s="1006" t="s">
        <v>199</v>
      </c>
      <c r="HJ225" s="996">
        <v>-1.6134800000000018</v>
      </c>
      <c r="HK225" s="1006"/>
      <c r="HL225" s="996">
        <v>0.35680229200000113</v>
      </c>
      <c r="HM225" s="1006" t="s">
        <v>199</v>
      </c>
      <c r="HN225" s="996">
        <v>1.4661529739999999</v>
      </c>
      <c r="HO225" s="1006"/>
      <c r="HP225" s="996">
        <v>0</v>
      </c>
      <c r="HQ225" s="1006"/>
      <c r="HR225" s="996">
        <v>-7.1010257999999382E-2</v>
      </c>
      <c r="HS225" s="1006"/>
      <c r="HT225" s="996">
        <v>0</v>
      </c>
      <c r="HU225" s="1006" t="s">
        <v>203</v>
      </c>
      <c r="HV225" s="996">
        <v>-1.0534252080000011</v>
      </c>
      <c r="HW225" s="1006"/>
      <c r="HX225" s="996">
        <v>0</v>
      </c>
      <c r="HY225" s="1006" t="s">
        <v>203</v>
      </c>
      <c r="HZ225" s="996">
        <v>-11.020839800000001</v>
      </c>
      <c r="IA225" s="1006"/>
      <c r="IB225" s="996">
        <v>0</v>
      </c>
      <c r="IC225" s="1006" t="s">
        <v>204</v>
      </c>
      <c r="ID225" s="996">
        <v>-3.9710000000000001</v>
      </c>
      <c r="IE225" s="1006" t="s">
        <v>199</v>
      </c>
      <c r="IF225" s="996">
        <v>3.2269600000000018</v>
      </c>
      <c r="IG225" s="1006"/>
      <c r="IH225" s="996">
        <v>0</v>
      </c>
      <c r="II225" s="1006"/>
      <c r="IJ225" s="996">
        <v>0.58519999999999861</v>
      </c>
      <c r="IK225" s="1006"/>
      <c r="IL225" s="996">
        <v>-8.3599999999999675E-2</v>
      </c>
      <c r="IM225" s="1006" t="s">
        <v>204</v>
      </c>
      <c r="IN225" s="996">
        <v>-1.2540000000000004</v>
      </c>
      <c r="IO225" s="1006" t="s">
        <v>199</v>
      </c>
      <c r="IP225" s="996">
        <v>1.6720000000000006</v>
      </c>
      <c r="IQ225" s="1006"/>
      <c r="IR225" s="996">
        <v>-0.51915600000000062</v>
      </c>
      <c r="IS225" s="1006"/>
      <c r="IT225" s="996">
        <v>-0.73484399999999894</v>
      </c>
      <c r="IU225" s="1006"/>
      <c r="IV225" s="996">
        <v>0</v>
      </c>
      <c r="IW225" s="1006"/>
      <c r="IX225" s="996">
        <v>0</v>
      </c>
      <c r="IY225" s="1006"/>
      <c r="IZ225" s="996">
        <v>-0.8360000000000003</v>
      </c>
      <c r="JA225" s="1006"/>
      <c r="JB225" s="996">
        <v>0.8360000000000003</v>
      </c>
      <c r="JC225" s="1006"/>
      <c r="JD225" s="996">
        <v>0</v>
      </c>
      <c r="JE225" s="1006"/>
      <c r="JF225" s="996">
        <v>0</v>
      </c>
      <c r="JG225" s="1006"/>
      <c r="JH225" s="996">
        <v>0</v>
      </c>
      <c r="JI225" s="1006"/>
      <c r="JJ225" s="996">
        <v>-0.8360000000000003</v>
      </c>
      <c r="JK225" s="1007"/>
      <c r="JL225" s="1007">
        <v>0</v>
      </c>
      <c r="JM225" s="1007" t="s">
        <v>199</v>
      </c>
      <c r="JN225" s="1007">
        <v>0</v>
      </c>
      <c r="JO225" s="1008"/>
      <c r="JP225" s="1007">
        <v>0</v>
      </c>
      <c r="JQ225" s="1008" t="s">
        <v>199</v>
      </c>
      <c r="JR225" s="1007">
        <v>3.3440000000000003</v>
      </c>
      <c r="JS225" s="1008" t="s">
        <v>199</v>
      </c>
      <c r="JT225" s="1007">
        <v>-4.1619424</v>
      </c>
      <c r="JU225" s="1008"/>
      <c r="JV225" s="1007">
        <v>-1.304159999999932E-2</v>
      </c>
      <c r="JW225" s="1008" t="s">
        <v>197</v>
      </c>
      <c r="JX225" s="1007">
        <v>0</v>
      </c>
      <c r="JY225" s="1008"/>
      <c r="JZ225" s="1007">
        <v>0</v>
      </c>
      <c r="KA225" s="1008"/>
      <c r="KB225" s="1007">
        <v>0</v>
      </c>
      <c r="KC225" s="1008" t="s">
        <v>207</v>
      </c>
      <c r="KD225" s="1007">
        <v>-2.5067460000000015</v>
      </c>
      <c r="KE225" s="1008" t="s">
        <v>204</v>
      </c>
      <c r="KF225" s="1007">
        <v>-0.83558200000000049</v>
      </c>
      <c r="KG225" s="1008" t="s">
        <v>199</v>
      </c>
      <c r="KH225" s="1007">
        <v>4.8045965000000006</v>
      </c>
      <c r="KI225" s="1008" t="s">
        <v>206</v>
      </c>
      <c r="KJ225" s="1007">
        <v>1.8382804000000004</v>
      </c>
      <c r="KK225" s="1008"/>
      <c r="KL225" s="1007">
        <v>0</v>
      </c>
      <c r="KM225" s="1008"/>
      <c r="KN225" s="1007">
        <v>0</v>
      </c>
      <c r="KO225" s="1008"/>
      <c r="KP225" s="1007">
        <v>0</v>
      </c>
      <c r="KQ225" s="1008">
        <v>0</v>
      </c>
      <c r="KR225" s="1007">
        <v>0</v>
      </c>
      <c r="KS225" s="1008">
        <v>0</v>
      </c>
      <c r="KT225" s="1007">
        <v>0</v>
      </c>
      <c r="KU225" s="1008" t="s">
        <v>199</v>
      </c>
      <c r="KV225" s="1007">
        <v>-2.7991997000000008</v>
      </c>
      <c r="KW225" s="1008" t="s">
        <v>204</v>
      </c>
      <c r="KX225" s="1007">
        <v>-3.0080951999999996</v>
      </c>
      <c r="KY225" s="1008">
        <v>0</v>
      </c>
      <c r="KZ225" s="1007">
        <v>0</v>
      </c>
      <c r="LA225" s="1008">
        <v>0</v>
      </c>
      <c r="LB225" s="1007">
        <v>0</v>
      </c>
      <c r="LC225" s="1008">
        <v>0</v>
      </c>
      <c r="LD225" s="1007">
        <v>0</v>
      </c>
      <c r="LE225" s="1008">
        <v>0</v>
      </c>
      <c r="LF225" s="1007">
        <v>0</v>
      </c>
      <c r="LG225" s="1008" t="s">
        <v>206</v>
      </c>
      <c r="LH225" s="1007">
        <v>-2.2524598799999982</v>
      </c>
      <c r="LI225" s="1008">
        <v>0</v>
      </c>
      <c r="LJ225" s="1007">
        <v>0</v>
      </c>
      <c r="LK225" s="1008" t="s">
        <v>555</v>
      </c>
      <c r="LL225" s="1007">
        <v>2.2524598799999982</v>
      </c>
      <c r="LM225" s="1008">
        <v>0</v>
      </c>
      <c r="LN225" s="1007">
        <v>0</v>
      </c>
      <c r="LO225" s="1008" t="s">
        <v>206</v>
      </c>
      <c r="LP225" s="1007">
        <v>1.2513666000000008</v>
      </c>
      <c r="LQ225" s="1008" t="s">
        <v>206</v>
      </c>
      <c r="LR225" s="1007">
        <v>-2.8561100000000001</v>
      </c>
      <c r="LS225" s="1008">
        <v>0</v>
      </c>
      <c r="LT225" s="1007">
        <v>-3.9294867999999998</v>
      </c>
      <c r="LU225" s="1008">
        <v>0</v>
      </c>
      <c r="LV225" s="1007">
        <v>0</v>
      </c>
      <c r="LW225" s="1008">
        <v>0</v>
      </c>
      <c r="LX225" s="1007">
        <v>-0.25273321999999998</v>
      </c>
      <c r="LY225" s="1009" t="s">
        <v>206</v>
      </c>
      <c r="LZ225" s="1010">
        <v>5.54664</v>
      </c>
      <c r="MA225" s="1011">
        <v>0</v>
      </c>
      <c r="MB225" s="1012">
        <v>0</v>
      </c>
      <c r="MC225" s="995"/>
      <c r="MD225" s="996"/>
      <c r="ME225" s="997" t="s">
        <v>202</v>
      </c>
      <c r="MF225" s="997"/>
      <c r="MG225" s="998"/>
      <c r="NR225" s="1000"/>
      <c r="NS225" s="1000"/>
      <c r="NT225" s="1001"/>
      <c r="NU225" s="1000"/>
      <c r="NV225" s="1001"/>
      <c r="NX225" s="1002"/>
      <c r="NZ225" s="1001"/>
      <c r="OA225" s="1001"/>
      <c r="OC225" s="1003"/>
      <c r="OD225" s="1003"/>
      <c r="OE225" s="1001"/>
      <c r="OF225" s="1003"/>
      <c r="OG225" s="1003"/>
      <c r="QX225" s="1000">
        <f>CN225-CA225</f>
        <v>24</v>
      </c>
      <c r="ASU225" s="999" t="s">
        <v>292</v>
      </c>
    </row>
    <row r="226" spans="1:466 1191:1191" ht="21" customHeight="1" x14ac:dyDescent="0.25">
      <c r="A226" s="982" t="str">
        <f t="shared" si="163"/>
        <v>1117-2</v>
      </c>
      <c r="B226" s="124">
        <f>SUBTOTAL(103,$J$29:J226)</f>
        <v>198</v>
      </c>
      <c r="C226" s="126">
        <v>45068</v>
      </c>
      <c r="D226" s="124" t="s">
        <v>176</v>
      </c>
      <c r="E226" s="127" t="s">
        <v>177</v>
      </c>
      <c r="F226" s="128" t="s">
        <v>177</v>
      </c>
      <c r="G226" s="127" t="s">
        <v>178</v>
      </c>
      <c r="H226" s="127" t="s">
        <v>179</v>
      </c>
      <c r="I226" s="127" t="s">
        <v>180</v>
      </c>
      <c r="J226" s="152" t="s">
        <v>1058</v>
      </c>
      <c r="K226" s="127" t="s">
        <v>180</v>
      </c>
      <c r="L226" s="130">
        <v>41794</v>
      </c>
      <c r="M226" s="127" t="s">
        <v>230</v>
      </c>
      <c r="N226" s="127" t="s">
        <v>184</v>
      </c>
      <c r="O226" s="127" t="s">
        <v>185</v>
      </c>
      <c r="P226" s="127" t="s">
        <v>186</v>
      </c>
      <c r="Q226" s="85" t="str">
        <f t="shared" si="183"/>
        <v/>
      </c>
      <c r="R226" s="130"/>
      <c r="S226" s="128"/>
      <c r="T226" s="131"/>
      <c r="U226" s="132">
        <v>203</v>
      </c>
      <c r="V226" s="121">
        <v>218.2</v>
      </c>
      <c r="W226" s="116">
        <v>0.98</v>
      </c>
      <c r="X226" s="116">
        <v>1.66</v>
      </c>
      <c r="Y226" s="116">
        <f t="shared" si="137"/>
        <v>0.98</v>
      </c>
      <c r="Z226" s="133">
        <v>1.454</v>
      </c>
      <c r="AA226" s="133">
        <v>0.83599999999999997</v>
      </c>
      <c r="AB226" s="133">
        <v>0.72</v>
      </c>
      <c r="AC226" s="121">
        <v>34.299999999999997</v>
      </c>
      <c r="AD226" s="134">
        <v>1.17</v>
      </c>
      <c r="AE226" s="124">
        <v>177.8</v>
      </c>
      <c r="AF226" s="128">
        <v>9.19</v>
      </c>
      <c r="AG226" s="128">
        <v>2041</v>
      </c>
      <c r="AH226" s="127">
        <v>2740</v>
      </c>
      <c r="AI226" s="127">
        <v>2740</v>
      </c>
      <c r="AJ226" s="135"/>
      <c r="AK226" s="128"/>
      <c r="AL226" s="131"/>
      <c r="AM226" s="124" t="s">
        <v>232</v>
      </c>
      <c r="AN226" s="136" t="s">
        <v>1059</v>
      </c>
      <c r="AO226" s="137">
        <v>17</v>
      </c>
      <c r="AP226" s="128">
        <v>2041</v>
      </c>
      <c r="AQ226" s="128">
        <v>173</v>
      </c>
      <c r="AR226" s="128"/>
      <c r="AS226" s="128"/>
      <c r="AT226" s="122"/>
      <c r="AU226" s="124" t="s">
        <v>189</v>
      </c>
      <c r="AV226" s="115">
        <f>VLOOKUP(J226,'[63]ТР нефть'!$J$28:$BP$638,39,0)</f>
        <v>499.99999218800002</v>
      </c>
      <c r="AW226" s="115" t="str">
        <f>VLOOKUP(J226,'[63]ТР нефть'!$J$28:$BP$638,40,0)</f>
        <v>ГП</v>
      </c>
      <c r="AX226" s="115">
        <f>VLOOKUP(J226,'[63]ТР нефть'!$J$28:$BP$638,41,0)</f>
        <v>899.99998593800001</v>
      </c>
      <c r="AY226" s="115" t="str">
        <f>VLOOKUP(J226,'[63]ТР нефть'!$J$28:$BP$638,42,0)</f>
        <v>ГК 77 1/8</v>
      </c>
      <c r="AZ226" s="115">
        <f>VLOOKUP(J226,'[63]ТР нефть'!$J$28:$BP$638,43,0)</f>
        <v>1299.9999796879999</v>
      </c>
      <c r="BA226" s="115" t="str">
        <f>VLOOKUP(J226,'[63]ТР нефть'!$J$28:$BP$638,44,0)</f>
        <v>ГК 77 1/8</v>
      </c>
      <c r="BB226" s="115">
        <f>VLOOKUP(J226,'[63]ТР нефть'!$J$28:$BP$638,45,0)</f>
        <v>1560.000035156</v>
      </c>
      <c r="BC226" s="115" t="str">
        <f>VLOOKUP(J226,'[63]ТР нефть'!$J$28:$BP$638,46,0)</f>
        <v>ГК 77 5/32</v>
      </c>
      <c r="BD226" s="115">
        <f>VLOOKUP(J226,'[63]ТР нефть'!$J$28:$BP$638,47,0)</f>
        <v>1865.000060156</v>
      </c>
      <c r="BE226" s="115" t="str">
        <f>VLOOKUP(J226,'[63]ТР нефть'!$J$28:$BP$638,48,0)</f>
        <v>ЦКсОК 5/16</v>
      </c>
      <c r="BF226" s="115" t="str">
        <f>VLOOKUP(J226,'[63]ТР нефть'!$J$28:$BP$638,49,0)</f>
        <v>-</v>
      </c>
      <c r="BG226" s="115" t="str">
        <f>VLOOKUP(J226,'[63]ТР нефть'!$J$28:$BP$638,50,0)</f>
        <v>-</v>
      </c>
      <c r="BH226" s="115">
        <f>VLOOKUP(J226,'[63]ТР нефть'!$J$28:$BP$638,51,0)</f>
        <v>1750</v>
      </c>
      <c r="BI226" s="115" t="str">
        <f>VLOOKUP(J226,'[63]ТР нефть'!$J$28:$BP$638,52,0)</f>
        <v>закрыт</v>
      </c>
      <c r="BJ226" s="115" t="str">
        <f>IF(IFERROR(VLOOKUP(J226,'[63]ТР нефть'!$J$28:$BP$638,53,0),"-")=0,"-",IFERROR(VLOOKUP(J226,'[63]ТР нефть'!$J$28:$BP$638,53,0),"-"))</f>
        <v>-</v>
      </c>
      <c r="BK226" s="138" t="str">
        <f>IF(IFERROR(VLOOKUP(J226,'[63]ТР нефть'!$J$28:$BP$638,54,0),"-")=0,"-",IFERROR(VLOOKUP(J226,'[63]ТР нефть'!$J$28:$BP$638,54,0),"-"))</f>
        <v>-</v>
      </c>
      <c r="BL226" s="138" t="str">
        <f>IF(IFERROR(VLOOKUP(J226,'[63]ТР нефть'!$J$28:$BP$638,55,0),"-")=0,"-",IFERROR(VLOOKUP(J226,'[63]ТР нефть'!$J$28:$BP$638,55,0),"-"))</f>
        <v>-</v>
      </c>
      <c r="BM226" s="138" t="str">
        <f>IF(IFERROR(VLOOKUP(J226,'[63]ТР нефть'!$J$28:$BP$638,56,0),"-")=0,"-",IFERROR(VLOOKUP(J226,'[63]ТР нефть'!$J$28:$BP$638,56,0),"-"))</f>
        <v>-</v>
      </c>
      <c r="BN226" s="138" t="str">
        <f>IF(IFERROR(VLOOKUP(J226,'[63]ТР нефть'!$J$28:$BP$638,57,0),"-")=0,"-",IFERROR(VLOOKUP(J226,'[63]ТР нефть'!$J$28:$BP$638,57,0),"-"))</f>
        <v>-</v>
      </c>
      <c r="BO226" s="115" t="str">
        <f>IF(IFERROR(VLOOKUP(J226,'[63]ТР нефть'!$J$28:$BP$638,58,0),"-")=0,"-",IFERROR(VLOOKUP(J226,'[63]ТР нефть'!$J$28:$BP$638,58,0),"-"))</f>
        <v>-</v>
      </c>
      <c r="BP226" s="115" t="str">
        <f>IF(IFERROR(VLOOKUP(J226,'[63]ТР нефть'!$J$28:$BP$638,59,0),"-")=0,"-",IFERROR(VLOOKUP(J226,'[63]ТР нефть'!$J$28:$BP$638,59,0),"-"))</f>
        <v>-</v>
      </c>
      <c r="BQ226" s="138">
        <v>2060</v>
      </c>
      <c r="BR226" s="128">
        <v>1869.35</v>
      </c>
      <c r="BS226" s="115">
        <f t="shared" si="164"/>
        <v>190.65000000000009</v>
      </c>
      <c r="BT226" s="128">
        <v>73</v>
      </c>
      <c r="BU226" s="128">
        <v>5.5</v>
      </c>
      <c r="BV226" s="127">
        <v>65</v>
      </c>
      <c r="BW226" s="127" t="s">
        <v>194</v>
      </c>
      <c r="BX226" s="127" t="s">
        <v>195</v>
      </c>
      <c r="BY226" s="139">
        <v>24</v>
      </c>
      <c r="BZ226" s="139">
        <v>0</v>
      </c>
      <c r="CA226" s="138">
        <v>26</v>
      </c>
      <c r="CB226" s="138">
        <v>46</v>
      </c>
      <c r="CC226" s="138">
        <v>25</v>
      </c>
      <c r="CD226" s="135">
        <v>45017</v>
      </c>
      <c r="CE226" s="138">
        <v>117</v>
      </c>
      <c r="CF226" s="138">
        <v>72</v>
      </c>
      <c r="CG226" s="138" t="str">
        <f t="shared" si="153"/>
        <v>В работе</v>
      </c>
      <c r="CH226" s="138" t="s">
        <v>196</v>
      </c>
      <c r="CI226" s="138">
        <v>5</v>
      </c>
      <c r="CJ226" s="139"/>
      <c r="CK226" s="139">
        <f t="shared" si="157"/>
        <v>24</v>
      </c>
      <c r="CL226" s="99"/>
      <c r="CM226" s="99"/>
      <c r="CN226" s="140">
        <v>50</v>
      </c>
      <c r="CO226" s="141">
        <f t="shared" si="165"/>
        <v>3.5947999999999998</v>
      </c>
      <c r="CP226" s="142">
        <v>4.3</v>
      </c>
      <c r="CQ226" s="143">
        <v>0</v>
      </c>
      <c r="CR226" s="138">
        <v>11</v>
      </c>
      <c r="CS226" s="139">
        <v>3.6</v>
      </c>
      <c r="CT226" s="138"/>
      <c r="CU226" s="138">
        <f t="shared" si="184"/>
        <v>7.4</v>
      </c>
      <c r="CV226" s="115">
        <f t="shared" si="186"/>
        <v>2058.528986313564</v>
      </c>
      <c r="CW226" s="115">
        <f t="shared" si="166"/>
        <v>1001.4465338822745</v>
      </c>
      <c r="CX226" s="133">
        <f t="shared" si="185"/>
        <v>6.4179104477611937E-2</v>
      </c>
      <c r="CY226" s="116"/>
      <c r="CZ226" s="131"/>
      <c r="DA226" s="145" t="str">
        <f t="shared" si="167"/>
        <v>Газлифт</v>
      </c>
      <c r="DB226" s="146">
        <f t="shared" si="168"/>
        <v>3.5947999999999998</v>
      </c>
      <c r="DC226" s="142">
        <f t="shared" si="151"/>
        <v>4.3</v>
      </c>
      <c r="DD226" s="119">
        <f t="shared" si="152"/>
        <v>0</v>
      </c>
      <c r="DE226" s="115">
        <f t="shared" si="169"/>
        <v>7.4</v>
      </c>
      <c r="DF226" s="121">
        <f t="shared" si="170"/>
        <v>3.6</v>
      </c>
      <c r="DG226" s="115">
        <f t="shared" si="171"/>
        <v>2058.528986313564</v>
      </c>
      <c r="DH226" s="115">
        <f t="shared" si="172"/>
        <v>50</v>
      </c>
      <c r="DI226" s="147"/>
      <c r="DJ226" s="111" t="s">
        <v>197</v>
      </c>
      <c r="DK226" s="112">
        <v>43754</v>
      </c>
      <c r="DL226" s="113">
        <f t="shared" ca="1" si="138"/>
        <v>1350</v>
      </c>
      <c r="DM226" s="114"/>
      <c r="DN226" s="114"/>
      <c r="DO226" s="114"/>
      <c r="DP226" s="114"/>
      <c r="DQ226" s="112">
        <v>43362</v>
      </c>
      <c r="DR226" s="114" t="s">
        <v>198</v>
      </c>
      <c r="DS226" s="114">
        <v>0</v>
      </c>
      <c r="DT226" s="115">
        <v>52</v>
      </c>
      <c r="DU226" s="116">
        <f t="shared" si="139"/>
        <v>6.6153846153846146E-2</v>
      </c>
      <c r="DV226" s="117">
        <f t="shared" si="140"/>
        <v>3.5947999999999998</v>
      </c>
      <c r="DW226" s="118">
        <f t="shared" si="141"/>
        <v>4.3</v>
      </c>
      <c r="DX226" s="119">
        <f t="shared" si="173"/>
        <v>0</v>
      </c>
      <c r="DY226" s="115">
        <f t="shared" si="142"/>
        <v>7.3999999999999995</v>
      </c>
      <c r="DZ226" s="117">
        <f t="shared" si="143"/>
        <v>0</v>
      </c>
      <c r="EA226" s="120">
        <f t="shared" si="143"/>
        <v>0</v>
      </c>
      <c r="EB226" s="119">
        <f t="shared" si="143"/>
        <v>0</v>
      </c>
      <c r="EC226" s="121">
        <f t="shared" si="144"/>
        <v>0</v>
      </c>
      <c r="ED226" s="122"/>
      <c r="EE226" s="145">
        <v>65</v>
      </c>
      <c r="EF226" s="115">
        <v>26</v>
      </c>
      <c r="EG226" s="115">
        <v>46</v>
      </c>
      <c r="EH226" s="115">
        <v>25</v>
      </c>
      <c r="EI226" s="128" t="s">
        <v>195</v>
      </c>
      <c r="EJ226" s="121">
        <v>24</v>
      </c>
      <c r="EK226" s="121">
        <v>0</v>
      </c>
      <c r="EL226" s="149">
        <v>3.5947999999999998</v>
      </c>
      <c r="EM226" s="142">
        <v>4.3</v>
      </c>
      <c r="EN226" s="119">
        <v>0</v>
      </c>
      <c r="EO226" s="115">
        <v>11</v>
      </c>
      <c r="EP226" s="115">
        <v>2058.528986313564</v>
      </c>
      <c r="EQ226" s="115">
        <v>72</v>
      </c>
      <c r="ER226" s="115">
        <v>3.6</v>
      </c>
      <c r="ES226" s="115">
        <v>56</v>
      </c>
      <c r="ET226" s="150">
        <v>7.0491803278688522E-2</v>
      </c>
      <c r="EU226" s="145">
        <f t="shared" si="174"/>
        <v>65</v>
      </c>
      <c r="EV226" s="115">
        <f t="shared" si="175"/>
        <v>26</v>
      </c>
      <c r="EW226" s="115">
        <f t="shared" si="175"/>
        <v>46</v>
      </c>
      <c r="EX226" s="115">
        <f t="shared" si="175"/>
        <v>25</v>
      </c>
      <c r="EY226" s="115" t="str">
        <f t="shared" si="156"/>
        <v>Постоянный</v>
      </c>
      <c r="EZ226" s="115">
        <f t="shared" si="156"/>
        <v>24</v>
      </c>
      <c r="FA226" s="115">
        <f t="shared" si="156"/>
        <v>0</v>
      </c>
      <c r="FB226" s="149">
        <f t="shared" si="176"/>
        <v>3.5947999999999998</v>
      </c>
      <c r="FC226" s="142">
        <f t="shared" si="176"/>
        <v>4.3</v>
      </c>
      <c r="FD226" s="119">
        <f t="shared" si="176"/>
        <v>0</v>
      </c>
      <c r="FE226" s="121">
        <f t="shared" si="176"/>
        <v>11</v>
      </c>
      <c r="FF226" s="121">
        <f t="shared" si="145"/>
        <v>2058.528986313564</v>
      </c>
      <c r="FG226" s="121">
        <f t="shared" si="177"/>
        <v>72</v>
      </c>
      <c r="FH226" s="121">
        <f t="shared" si="146"/>
        <v>3.6</v>
      </c>
      <c r="FI226" s="121">
        <f t="shared" si="154"/>
        <v>50</v>
      </c>
      <c r="FJ226" s="144">
        <f t="shared" si="178"/>
        <v>6.4179104477611937E-2</v>
      </c>
      <c r="FK226" s="132">
        <f t="shared" si="179"/>
        <v>0</v>
      </c>
      <c r="FL226" s="115">
        <f t="shared" si="179"/>
        <v>0</v>
      </c>
      <c r="FM226" s="115">
        <f t="shared" si="179"/>
        <v>0</v>
      </c>
      <c r="FN226" s="115">
        <f t="shared" si="162"/>
        <v>0</v>
      </c>
      <c r="FO226" s="115">
        <f t="shared" si="150"/>
        <v>0</v>
      </c>
      <c r="FP226" s="115">
        <f t="shared" si="150"/>
        <v>0</v>
      </c>
      <c r="FQ226" s="149">
        <f t="shared" si="150"/>
        <v>0</v>
      </c>
      <c r="FR226" s="142">
        <f t="shared" si="148"/>
        <v>0</v>
      </c>
      <c r="FS226" s="119">
        <f t="shared" si="148"/>
        <v>0</v>
      </c>
      <c r="FT226" s="121">
        <f t="shared" si="148"/>
        <v>0</v>
      </c>
      <c r="FU226" s="121">
        <f t="shared" si="180"/>
        <v>0</v>
      </c>
      <c r="FV226" s="121">
        <f t="shared" si="180"/>
        <v>0</v>
      </c>
      <c r="FW226" s="121">
        <f t="shared" si="181"/>
        <v>0</v>
      </c>
      <c r="FX226" s="121">
        <f t="shared" si="182"/>
        <v>-6</v>
      </c>
      <c r="FY226" s="144">
        <f t="shared" si="182"/>
        <v>-6.3126988010765855E-3</v>
      </c>
      <c r="FZ226" s="145"/>
      <c r="GA226" s="131"/>
      <c r="GB226" s="145" t="s">
        <v>199</v>
      </c>
      <c r="GC226" s="131" t="s">
        <v>1060</v>
      </c>
      <c r="GD226" s="997" t="s">
        <v>202</v>
      </c>
      <c r="GE226" s="1004" t="s">
        <v>199</v>
      </c>
      <c r="GF226" s="1004">
        <v>1.6124767999999998</v>
      </c>
      <c r="GG226" s="1004"/>
      <c r="GH226" s="1004">
        <v>0</v>
      </c>
      <c r="GI226" s="145" t="s">
        <v>223</v>
      </c>
      <c r="GJ226" s="996">
        <v>-2.8376348</v>
      </c>
      <c r="GK226" s="145" t="s">
        <v>223</v>
      </c>
      <c r="GL226" s="996">
        <v>-2.6531429759999998</v>
      </c>
      <c r="GM226" s="1005" t="s">
        <v>199</v>
      </c>
      <c r="GN226" s="996">
        <v>1.6146470559999999</v>
      </c>
      <c r="GO226" s="1006"/>
      <c r="GP226" s="996">
        <v>0</v>
      </c>
      <c r="GQ226" s="1006"/>
      <c r="GR226" s="996">
        <v>0</v>
      </c>
      <c r="GS226" s="1006"/>
      <c r="GT226" s="996">
        <v>-4.1546080000000707E-2</v>
      </c>
      <c r="GU226" s="1006"/>
      <c r="GV226" s="996">
        <v>0</v>
      </c>
      <c r="GW226" s="1006"/>
      <c r="GX226" s="1035">
        <v>0</v>
      </c>
      <c r="GY226" s="1006"/>
      <c r="GZ226" s="996">
        <v>0</v>
      </c>
      <c r="HA226" s="1006"/>
      <c r="HB226" s="996">
        <v>0.18391999999999964</v>
      </c>
      <c r="HC226" s="1006" t="s">
        <v>203</v>
      </c>
      <c r="HD226" s="996">
        <v>-2.4285800000000002</v>
      </c>
      <c r="HE226" s="1006" t="s">
        <v>203</v>
      </c>
      <c r="HF226" s="996">
        <v>0.82192426800000096</v>
      </c>
      <c r="HG226" s="1006" t="s">
        <v>25</v>
      </c>
      <c r="HH226" s="996">
        <v>0.91173573199999947</v>
      </c>
      <c r="HI226" s="1006" t="s">
        <v>204</v>
      </c>
      <c r="HJ226" s="996">
        <v>0.98647999999999936</v>
      </c>
      <c r="HK226" s="1006"/>
      <c r="HL226" s="996">
        <v>0</v>
      </c>
      <c r="HM226" s="1006"/>
      <c r="HN226" s="996">
        <v>-0.52249999999999996</v>
      </c>
      <c r="HO226" s="1006"/>
      <c r="HP226" s="996">
        <v>0.74394135200000022</v>
      </c>
      <c r="HQ226" s="1006"/>
      <c r="HR226" s="996">
        <v>0</v>
      </c>
      <c r="HS226" s="1006"/>
      <c r="HT226" s="996">
        <v>0</v>
      </c>
      <c r="HU226" s="1006" t="s">
        <v>204</v>
      </c>
      <c r="HV226" s="996">
        <v>-1.2664413520000002</v>
      </c>
      <c r="HW226" s="1006"/>
      <c r="HX226" s="996">
        <v>0</v>
      </c>
      <c r="HY226" s="1006" t="s">
        <v>221</v>
      </c>
      <c r="HZ226" s="996">
        <v>-3.2603999999999997</v>
      </c>
      <c r="IA226" s="1006"/>
      <c r="IB226" s="996">
        <v>0</v>
      </c>
      <c r="IC226" s="1006" t="s">
        <v>221</v>
      </c>
      <c r="ID226" s="996">
        <v>1.9813200000000002</v>
      </c>
      <c r="IE226" s="1006"/>
      <c r="IF226" s="996">
        <v>-0.8360000000000003</v>
      </c>
      <c r="IG226" s="1006"/>
      <c r="IH226" s="996">
        <v>0</v>
      </c>
      <c r="II226" s="1006"/>
      <c r="IJ226" s="996">
        <v>-0.50159999999999982</v>
      </c>
      <c r="IK226" s="1006"/>
      <c r="IL226" s="996">
        <v>0.27588000000000079</v>
      </c>
      <c r="IM226" s="1006"/>
      <c r="IN226" s="996">
        <v>0</v>
      </c>
      <c r="IO226" s="1006"/>
      <c r="IP226" s="996">
        <v>0</v>
      </c>
      <c r="IQ226" s="1006"/>
      <c r="IR226" s="996">
        <v>0</v>
      </c>
      <c r="IS226" s="1006"/>
      <c r="IT226" s="996">
        <v>0</v>
      </c>
      <c r="IU226" s="1006"/>
      <c r="IV226" s="996">
        <v>0</v>
      </c>
      <c r="IW226" s="1006"/>
      <c r="IX226" s="996">
        <v>0</v>
      </c>
      <c r="IY226" s="1006"/>
      <c r="IZ226" s="996">
        <v>0</v>
      </c>
      <c r="JA226" s="1006"/>
      <c r="JB226" s="996">
        <v>0</v>
      </c>
      <c r="JC226" s="1006"/>
      <c r="JD226" s="996">
        <v>0</v>
      </c>
      <c r="JE226" s="1006"/>
      <c r="JF226" s="996">
        <v>0</v>
      </c>
      <c r="JG226" s="1006"/>
      <c r="JH226" s="996">
        <v>0</v>
      </c>
      <c r="JI226" s="1006" t="s">
        <v>199</v>
      </c>
      <c r="JJ226" s="996">
        <v>2.5141863999999989</v>
      </c>
      <c r="JK226" s="1007"/>
      <c r="JL226" s="1007">
        <v>-0.43939491199999914</v>
      </c>
      <c r="JM226" s="1007" t="s">
        <v>239</v>
      </c>
      <c r="JN226" s="1007">
        <v>-3.4374714880000008</v>
      </c>
      <c r="JO226" s="1008"/>
      <c r="JP226" s="1007">
        <v>0</v>
      </c>
      <c r="JQ226" s="1008">
        <v>0</v>
      </c>
      <c r="JR226" s="1007">
        <v>0</v>
      </c>
      <c r="JS226" s="1008">
        <v>0</v>
      </c>
      <c r="JT226" s="1007">
        <v>0</v>
      </c>
      <c r="JU226" s="1008"/>
      <c r="JV226" s="1007">
        <v>0</v>
      </c>
      <c r="JW226" s="1008" t="s">
        <v>197</v>
      </c>
      <c r="JX226" s="1007">
        <v>0</v>
      </c>
      <c r="JY226" s="1008"/>
      <c r="JZ226" s="1007">
        <v>0</v>
      </c>
      <c r="KA226" s="1008"/>
      <c r="KB226" s="1007">
        <v>0</v>
      </c>
      <c r="KC226" s="1008"/>
      <c r="KD226" s="1007">
        <v>0</v>
      </c>
      <c r="KE226" s="1008"/>
      <c r="KF226" s="1007">
        <v>0</v>
      </c>
      <c r="KG226" s="1008"/>
      <c r="KH226" s="1007">
        <v>0</v>
      </c>
      <c r="KI226" s="1008"/>
      <c r="KJ226" s="1007">
        <v>0</v>
      </c>
      <c r="KK226" s="1008"/>
      <c r="KL226" s="1007">
        <v>0</v>
      </c>
      <c r="KM226" s="1008" t="s">
        <v>25</v>
      </c>
      <c r="KN226" s="1007">
        <v>7.7998799999999999</v>
      </c>
      <c r="KO226" s="1008" t="s">
        <v>240</v>
      </c>
      <c r="KP226" s="1007">
        <v>-2.4829199999999996</v>
      </c>
      <c r="KQ226" s="1008">
        <v>0</v>
      </c>
      <c r="KR226" s="1007">
        <v>8.2763999999999172E-2</v>
      </c>
      <c r="KS226" s="1008">
        <v>0</v>
      </c>
      <c r="KT226" s="1007">
        <v>0</v>
      </c>
      <c r="KU226" s="1008" t="s">
        <v>199</v>
      </c>
      <c r="KV226" s="1007">
        <v>-2.5656840000000001</v>
      </c>
      <c r="KW226" s="1008" t="s">
        <v>204</v>
      </c>
      <c r="KX226" s="1007">
        <v>-1.6552799999999994</v>
      </c>
      <c r="KY226" s="1008">
        <v>0</v>
      </c>
      <c r="KZ226" s="1007">
        <v>-9.1960000000000264E-2</v>
      </c>
      <c r="LA226" s="1008" t="s">
        <v>206</v>
      </c>
      <c r="LB226" s="1007">
        <v>1.5415839999999994</v>
      </c>
      <c r="LC226" s="1008">
        <v>0</v>
      </c>
      <c r="LD226" s="1007">
        <v>0</v>
      </c>
      <c r="LE226" s="1008">
        <v>0</v>
      </c>
      <c r="LF226" s="1007">
        <v>0</v>
      </c>
      <c r="LG226" s="1008">
        <v>0</v>
      </c>
      <c r="LH226" s="1007">
        <v>-8.2173733999999996</v>
      </c>
      <c r="LI226" s="1008">
        <v>0</v>
      </c>
      <c r="LJ226" s="1007">
        <v>0</v>
      </c>
      <c r="LK226" s="1008" t="s">
        <v>555</v>
      </c>
      <c r="LL226" s="1007">
        <v>-0.87595661999999996</v>
      </c>
      <c r="LM226" s="1008" t="s">
        <v>555</v>
      </c>
      <c r="LN226" s="1007">
        <v>-0.91766999999999999</v>
      </c>
      <c r="LO226" s="1008">
        <v>0</v>
      </c>
      <c r="LP226" s="1007">
        <v>0</v>
      </c>
      <c r="LQ226" s="1008" t="s">
        <v>206</v>
      </c>
      <c r="LR226" s="1007">
        <v>-6.3736272160000027</v>
      </c>
      <c r="LS226" s="1008">
        <v>0</v>
      </c>
      <c r="LT226" s="1007">
        <v>0</v>
      </c>
      <c r="LU226" s="1008" t="s">
        <v>207</v>
      </c>
      <c r="LV226" s="1007">
        <v>5.5845615999999998</v>
      </c>
      <c r="LW226" s="1008" t="s">
        <v>207</v>
      </c>
      <c r="LX226" s="1007">
        <v>-5.1723152799999994</v>
      </c>
      <c r="LY226" s="1009">
        <v>0</v>
      </c>
      <c r="LZ226" s="1010">
        <v>0</v>
      </c>
      <c r="MA226" s="1011">
        <v>0</v>
      </c>
      <c r="MB226" s="1012">
        <v>1.1932799999999999</v>
      </c>
      <c r="MC226" s="995"/>
      <c r="MD226" s="996"/>
      <c r="ME226" s="997" t="s">
        <v>202</v>
      </c>
      <c r="MF226" s="997"/>
      <c r="MG226" s="998"/>
      <c r="NR226" s="1000"/>
      <c r="NS226" s="1000"/>
      <c r="NT226" s="1001"/>
      <c r="NU226" s="1000"/>
      <c r="NV226" s="1001"/>
      <c r="NX226" s="1002"/>
      <c r="NZ226" s="1001"/>
      <c r="OA226" s="1001"/>
      <c r="OC226" s="1003"/>
      <c r="OD226" s="1003"/>
      <c r="OE226" s="1001"/>
      <c r="OF226" s="1003"/>
      <c r="OG226" s="1003"/>
      <c r="QX226" s="1000">
        <f>CN226-CA226</f>
        <v>24</v>
      </c>
      <c r="ASU226" s="999" t="s">
        <v>208</v>
      </c>
    </row>
    <row r="227" spans="1:466 1191:1191" ht="21" customHeight="1" x14ac:dyDescent="0.25">
      <c r="A227" s="982">
        <f t="shared" si="163"/>
        <v>1118</v>
      </c>
      <c r="B227" s="124">
        <f>SUBTOTAL(103,$J$29:J227)</f>
        <v>199</v>
      </c>
      <c r="C227" s="126">
        <v>45068</v>
      </c>
      <c r="D227" s="124" t="s">
        <v>176</v>
      </c>
      <c r="E227" s="127" t="s">
        <v>177</v>
      </c>
      <c r="F227" s="128" t="s">
        <v>177</v>
      </c>
      <c r="G227" s="127" t="s">
        <v>178</v>
      </c>
      <c r="H227" s="127" t="s">
        <v>179</v>
      </c>
      <c r="I227" s="127" t="s">
        <v>1061</v>
      </c>
      <c r="J227" s="152">
        <v>1118</v>
      </c>
      <c r="K227" s="127" t="s">
        <v>1062</v>
      </c>
      <c r="L227" s="130">
        <v>41540</v>
      </c>
      <c r="M227" s="127" t="s">
        <v>230</v>
      </c>
      <c r="N227" s="127" t="s">
        <v>184</v>
      </c>
      <c r="O227" s="127" t="s">
        <v>185</v>
      </c>
      <c r="P227" s="127" t="s">
        <v>186</v>
      </c>
      <c r="Q227" s="85">
        <f t="shared" si="183"/>
        <v>-4</v>
      </c>
      <c r="R227" s="130">
        <v>41490</v>
      </c>
      <c r="S227" s="128" t="s">
        <v>424</v>
      </c>
      <c r="T227" s="131" t="s">
        <v>1063</v>
      </c>
      <c r="U227" s="132">
        <v>203</v>
      </c>
      <c r="V227" s="121">
        <v>218.2</v>
      </c>
      <c r="W227" s="116">
        <v>0.98</v>
      </c>
      <c r="X227" s="116">
        <v>1.66</v>
      </c>
      <c r="Y227" s="116">
        <f t="shared" si="137"/>
        <v>0.98</v>
      </c>
      <c r="Z227" s="133">
        <v>1.454</v>
      </c>
      <c r="AA227" s="133">
        <v>0.83599999999999997</v>
      </c>
      <c r="AB227" s="133">
        <v>0.72</v>
      </c>
      <c r="AC227" s="121">
        <v>34.299999999999997</v>
      </c>
      <c r="AD227" s="134">
        <v>1.17</v>
      </c>
      <c r="AE227" s="124" t="s">
        <v>365</v>
      </c>
      <c r="AF227" s="128">
        <v>9.19</v>
      </c>
      <c r="AG227" s="128">
        <v>2052</v>
      </c>
      <c r="AH227" s="127">
        <v>2756</v>
      </c>
      <c r="AI227" s="127">
        <v>2756</v>
      </c>
      <c r="AJ227" s="135"/>
      <c r="AK227" s="128"/>
      <c r="AL227" s="131"/>
      <c r="AM227" s="124" t="s">
        <v>985</v>
      </c>
      <c r="AN227" s="136" t="s">
        <v>1064</v>
      </c>
      <c r="AO227" s="137">
        <v>13</v>
      </c>
      <c r="AP227" s="128">
        <v>2115.9499999999998</v>
      </c>
      <c r="AQ227" s="128">
        <v>76.95</v>
      </c>
      <c r="AR227" s="128"/>
      <c r="AS227" s="128"/>
      <c r="AT227" s="122"/>
      <c r="AU227" s="124" t="s">
        <v>189</v>
      </c>
      <c r="AV227" s="115">
        <f>VLOOKUP(J227,'[63]ТР нефть'!$J$28:$BP$638,39,0)</f>
        <v>569.99999853500003</v>
      </c>
      <c r="AW227" s="115" t="str">
        <f>VLOOKUP(J227,'[63]ТР нефть'!$J$28:$BP$638,40,0)</f>
        <v>ГП</v>
      </c>
      <c r="AX227" s="115">
        <f>VLOOKUP(J227,'[63]ТР нефть'!$J$28:$BP$638,41,0)</f>
        <v>999.99998437500005</v>
      </c>
      <c r="AY227" s="115" t="str">
        <f>VLOOKUP(J227,'[63]ТР нефть'!$J$28:$BP$638,42,0)</f>
        <v>ГП</v>
      </c>
      <c r="AZ227" s="115">
        <f>VLOOKUP(J227,'[63]ТР нефть'!$J$28:$BP$638,43,0)</f>
        <v>1434.0000609379999</v>
      </c>
      <c r="BA227" s="115" t="str">
        <f>VLOOKUP(J227,'[63]ТР нефть'!$J$28:$BP$638,44,0)</f>
        <v>ГК 83 1/8</v>
      </c>
      <c r="BB227" s="115">
        <f>VLOOKUP(J227,'[63]ТР нефть'!$J$28:$BP$638,45,0)</f>
        <v>1760.000032031</v>
      </c>
      <c r="BC227" s="115" t="str">
        <f>VLOOKUP(J227,'[63]ТР нефть'!$J$28:$BP$638,46,0)</f>
        <v>ЦКсОК 5/16</v>
      </c>
      <c r="BD227" s="115" t="str">
        <f>VLOOKUP(J227,'[63]ТР нефть'!$J$28:$BP$638,47,0)</f>
        <v>-</v>
      </c>
      <c r="BE227" s="115" t="str">
        <f>VLOOKUP(J227,'[63]ТР нефть'!$J$28:$BP$638,48,0)</f>
        <v>-</v>
      </c>
      <c r="BF227" s="115" t="str">
        <f>VLOOKUP(J227,'[63]ТР нефть'!$J$28:$BP$638,49,0)</f>
        <v>-</v>
      </c>
      <c r="BG227" s="115" t="str">
        <f>VLOOKUP(J227,'[63]ТР нефть'!$J$28:$BP$638,50,0)</f>
        <v>-</v>
      </c>
      <c r="BH227" s="115" t="str">
        <f>VLOOKUP(J227,'[63]ТР нефть'!$J$28:$BP$638,51,0)</f>
        <v>-</v>
      </c>
      <c r="BI227" s="115" t="str">
        <f>VLOOKUP(J227,'[63]ТР нефть'!$J$28:$BP$638,52,0)</f>
        <v>-</v>
      </c>
      <c r="BJ227" s="115" t="str">
        <f>IF(IFERROR(VLOOKUP(J227,'[63]ТР нефть'!$J$28:$BP$638,53,0),"-")=0,"-",IFERROR(VLOOKUP(J227,'[63]ТР нефть'!$J$28:$BP$638,53,0),"-"))</f>
        <v>-</v>
      </c>
      <c r="BK227" s="138" t="str">
        <f>IF(IFERROR(VLOOKUP(J227,'[63]ТР нефть'!$J$28:$BP$638,54,0),"-")=0,"-",IFERROR(VLOOKUP(J227,'[63]ТР нефть'!$J$28:$BP$638,54,0),"-"))</f>
        <v>-</v>
      </c>
      <c r="BL227" s="138" t="str">
        <f>IF(IFERROR(VLOOKUP(J227,'[63]ТР нефть'!$J$28:$BP$638,55,0),"-")=0,"-",IFERROR(VLOOKUP(J227,'[63]ТР нефть'!$J$28:$BP$638,55,0),"-"))</f>
        <v>-</v>
      </c>
      <c r="BM227" s="138" t="str">
        <f>IF(IFERROR(VLOOKUP(J227,'[63]ТР нефть'!$J$28:$BP$638,56,0),"-")=0,"-",IFERROR(VLOOKUP(J227,'[63]ТР нефть'!$J$28:$BP$638,56,0),"-"))</f>
        <v>-</v>
      </c>
      <c r="BN227" s="138" t="str">
        <f>IF(IFERROR(VLOOKUP(J227,'[63]ТР нефть'!$J$28:$BP$638,57,0),"-")=0,"-",IFERROR(VLOOKUP(J227,'[63]ТР нефть'!$J$28:$BP$638,57,0),"-"))</f>
        <v>-</v>
      </c>
      <c r="BO227" s="115" t="str">
        <f>IF(IFERROR(VLOOKUP(J227,'[63]ТР нефть'!$J$28:$BP$638,58,0),"-")=0,"-",IFERROR(VLOOKUP(J227,'[63]ТР нефть'!$J$28:$BP$638,58,0),"-"))</f>
        <v>-</v>
      </c>
      <c r="BP227" s="115" t="str">
        <f>IF(IFERROR(VLOOKUP(J227,'[63]ТР нефть'!$J$28:$BP$638,59,0),"-")=0,"-",IFERROR(VLOOKUP(J227,'[63]ТР нефть'!$J$28:$BP$638,59,0),"-"))</f>
        <v>-</v>
      </c>
      <c r="BQ227" s="138">
        <v>1952</v>
      </c>
      <c r="BR227" s="128">
        <v>1852.28</v>
      </c>
      <c r="BS227" s="115">
        <f t="shared" si="164"/>
        <v>99.720000000000027</v>
      </c>
      <c r="BT227" s="128">
        <v>73</v>
      </c>
      <c r="BU227" s="128">
        <v>5.5</v>
      </c>
      <c r="BV227" s="127">
        <v>18</v>
      </c>
      <c r="BW227" s="127" t="s">
        <v>217</v>
      </c>
      <c r="BX227" s="127" t="s">
        <v>195</v>
      </c>
      <c r="BY227" s="139">
        <v>24</v>
      </c>
      <c r="BZ227" s="139">
        <v>0</v>
      </c>
      <c r="CA227" s="80">
        <v>23</v>
      </c>
      <c r="CB227" s="138">
        <v>35</v>
      </c>
      <c r="CC227" s="138">
        <v>22</v>
      </c>
      <c r="CD227" s="135">
        <v>45017</v>
      </c>
      <c r="CE227" s="138">
        <v>123</v>
      </c>
      <c r="CF227" s="138">
        <v>75</v>
      </c>
      <c r="CG227" s="138" t="str">
        <f t="shared" si="153"/>
        <v>В работе</v>
      </c>
      <c r="CH227" s="138" t="s">
        <v>196</v>
      </c>
      <c r="CI227" s="127">
        <v>5</v>
      </c>
      <c r="CJ227" s="138"/>
      <c r="CK227" s="138">
        <f t="shared" si="157"/>
        <v>19</v>
      </c>
      <c r="CL227" s="99"/>
      <c r="CM227" s="99"/>
      <c r="CN227" s="140">
        <v>42</v>
      </c>
      <c r="CO227" s="141">
        <f t="shared" si="165"/>
        <v>2.9259999999999997</v>
      </c>
      <c r="CP227" s="142">
        <v>3.5</v>
      </c>
      <c r="CQ227" s="143">
        <v>0</v>
      </c>
      <c r="CR227" s="138">
        <v>6.5</v>
      </c>
      <c r="CS227" s="139">
        <v>5</v>
      </c>
      <c r="CT227" s="138"/>
      <c r="CU227" s="138">
        <f t="shared" si="184"/>
        <v>1.5</v>
      </c>
      <c r="CV227" s="115">
        <f t="shared" si="186"/>
        <v>512.64524948735482</v>
      </c>
      <c r="CW227" s="115">
        <f t="shared" si="166"/>
        <v>1708.8174982911826</v>
      </c>
      <c r="CX227" s="133">
        <f t="shared" si="185"/>
        <v>4.3209876543209874E-2</v>
      </c>
      <c r="CY227" s="116"/>
      <c r="CZ227" s="131"/>
      <c r="DA227" s="145" t="str">
        <f t="shared" si="167"/>
        <v>Газлифт</v>
      </c>
      <c r="DB227" s="146">
        <f t="shared" si="168"/>
        <v>2.9259999999999997</v>
      </c>
      <c r="DC227" s="142">
        <f t="shared" si="151"/>
        <v>3.5</v>
      </c>
      <c r="DD227" s="119">
        <f t="shared" si="152"/>
        <v>0</v>
      </c>
      <c r="DE227" s="115">
        <f t="shared" si="169"/>
        <v>1.5</v>
      </c>
      <c r="DF227" s="121">
        <f t="shared" si="170"/>
        <v>5</v>
      </c>
      <c r="DG227" s="115">
        <f t="shared" si="171"/>
        <v>512.64524948735482</v>
      </c>
      <c r="DH227" s="115">
        <f t="shared" si="172"/>
        <v>42</v>
      </c>
      <c r="DI227" s="147"/>
      <c r="DJ227" s="111">
        <v>43540</v>
      </c>
      <c r="DK227" s="112">
        <v>44176</v>
      </c>
      <c r="DL227" s="113">
        <f t="shared" ca="1" si="138"/>
        <v>928</v>
      </c>
      <c r="DM227" s="114"/>
      <c r="DN227" s="114"/>
      <c r="DO227" s="114"/>
      <c r="DP227" s="114"/>
      <c r="DQ227" s="112">
        <v>41540</v>
      </c>
      <c r="DR227" s="114" t="s">
        <v>324</v>
      </c>
      <c r="DS227" s="114"/>
      <c r="DT227" s="115">
        <v>51</v>
      </c>
      <c r="DU227" s="116">
        <f t="shared" si="139"/>
        <v>4.8611111111111112E-2</v>
      </c>
      <c r="DV227" s="117">
        <f t="shared" si="140"/>
        <v>2.9259999999999997</v>
      </c>
      <c r="DW227" s="118">
        <f t="shared" si="141"/>
        <v>3.5</v>
      </c>
      <c r="DX227" s="119">
        <f t="shared" si="173"/>
        <v>0</v>
      </c>
      <c r="DY227" s="115">
        <f t="shared" si="142"/>
        <v>1.5</v>
      </c>
      <c r="DZ227" s="117">
        <f t="shared" si="143"/>
        <v>0</v>
      </c>
      <c r="EA227" s="120">
        <f t="shared" si="143"/>
        <v>0</v>
      </c>
      <c r="EB227" s="119">
        <f t="shared" si="143"/>
        <v>0</v>
      </c>
      <c r="EC227" s="121">
        <f t="shared" si="144"/>
        <v>0</v>
      </c>
      <c r="ED227" s="122"/>
      <c r="EE227" s="145">
        <v>18</v>
      </c>
      <c r="EF227" s="148">
        <v>24</v>
      </c>
      <c r="EG227" s="115">
        <v>36</v>
      </c>
      <c r="EH227" s="115">
        <v>23</v>
      </c>
      <c r="EI227" s="128" t="s">
        <v>195</v>
      </c>
      <c r="EJ227" s="121">
        <v>24</v>
      </c>
      <c r="EK227" s="121">
        <v>0</v>
      </c>
      <c r="EL227" s="149">
        <v>4.0127999999999995</v>
      </c>
      <c r="EM227" s="142">
        <v>4.8</v>
      </c>
      <c r="EN227" s="119">
        <v>0</v>
      </c>
      <c r="EO227" s="115">
        <v>8.6999999999999993</v>
      </c>
      <c r="EP227" s="115">
        <v>971.88995215311002</v>
      </c>
      <c r="EQ227" s="115">
        <v>76</v>
      </c>
      <c r="ER227" s="115">
        <v>4.8</v>
      </c>
      <c r="ES227" s="115">
        <v>46</v>
      </c>
      <c r="ET227" s="150">
        <v>6.2337662337662338E-2</v>
      </c>
      <c r="EU227" s="145">
        <f t="shared" si="174"/>
        <v>18</v>
      </c>
      <c r="EV227" s="115">
        <f t="shared" si="175"/>
        <v>23</v>
      </c>
      <c r="EW227" s="115">
        <f t="shared" si="175"/>
        <v>35</v>
      </c>
      <c r="EX227" s="115">
        <f t="shared" si="175"/>
        <v>22</v>
      </c>
      <c r="EY227" s="115" t="str">
        <f t="shared" si="156"/>
        <v>Постоянный</v>
      </c>
      <c r="EZ227" s="115">
        <f t="shared" si="156"/>
        <v>24</v>
      </c>
      <c r="FA227" s="115">
        <f t="shared" si="156"/>
        <v>0</v>
      </c>
      <c r="FB227" s="149">
        <f t="shared" si="176"/>
        <v>2.9259999999999997</v>
      </c>
      <c r="FC227" s="142">
        <f t="shared" si="176"/>
        <v>3.5</v>
      </c>
      <c r="FD227" s="119">
        <f t="shared" si="176"/>
        <v>0</v>
      </c>
      <c r="FE227" s="121">
        <f t="shared" si="176"/>
        <v>6.5</v>
      </c>
      <c r="FF227" s="121">
        <f t="shared" si="145"/>
        <v>512.64524948735482</v>
      </c>
      <c r="FG227" s="121">
        <f t="shared" si="177"/>
        <v>75</v>
      </c>
      <c r="FH227" s="121">
        <f t="shared" si="146"/>
        <v>5</v>
      </c>
      <c r="FI227" s="121">
        <f t="shared" si="154"/>
        <v>42</v>
      </c>
      <c r="FJ227" s="144">
        <f t="shared" si="178"/>
        <v>4.3209876543209874E-2</v>
      </c>
      <c r="FK227" s="132">
        <f t="shared" si="179"/>
        <v>0</v>
      </c>
      <c r="FL227" s="115">
        <f t="shared" si="179"/>
        <v>-1</v>
      </c>
      <c r="FM227" s="115">
        <f t="shared" si="179"/>
        <v>-1</v>
      </c>
      <c r="FN227" s="115">
        <f t="shared" si="162"/>
        <v>-1</v>
      </c>
      <c r="FO227" s="115">
        <f t="shared" si="150"/>
        <v>0</v>
      </c>
      <c r="FP227" s="115">
        <f t="shared" si="150"/>
        <v>0</v>
      </c>
      <c r="FQ227" s="149">
        <f t="shared" si="150"/>
        <v>-1.0867999999999998</v>
      </c>
      <c r="FR227" s="142">
        <f t="shared" si="148"/>
        <v>-1.2999999999999998</v>
      </c>
      <c r="FS227" s="119">
        <f t="shared" si="148"/>
        <v>0</v>
      </c>
      <c r="FT227" s="121">
        <f t="shared" si="148"/>
        <v>-2.1999999999999993</v>
      </c>
      <c r="FU227" s="121">
        <f t="shared" si="180"/>
        <v>-1</v>
      </c>
      <c r="FV227" s="121">
        <f t="shared" si="180"/>
        <v>0.20000000000000018</v>
      </c>
      <c r="FW227" s="121">
        <f t="shared" si="181"/>
        <v>-459.2447026657552</v>
      </c>
      <c r="FX227" s="121">
        <f t="shared" si="182"/>
        <v>-4</v>
      </c>
      <c r="FY227" s="144">
        <f t="shared" si="182"/>
        <v>-1.9127785794452463E-2</v>
      </c>
      <c r="FZ227" s="145" t="s">
        <v>240</v>
      </c>
      <c r="GA227" s="151" t="s">
        <v>361</v>
      </c>
      <c r="GB227" s="145"/>
      <c r="GC227" s="151"/>
      <c r="GD227" s="997" t="s">
        <v>220</v>
      </c>
      <c r="GE227" s="1004"/>
      <c r="GF227" s="1004">
        <v>-0.33440000000000047</v>
      </c>
      <c r="GG227" s="1004"/>
      <c r="GH227" s="1004">
        <v>-1.0032000000000005</v>
      </c>
      <c r="GI227" s="145"/>
      <c r="GJ227" s="996">
        <v>0</v>
      </c>
      <c r="GK227" s="145"/>
      <c r="GL227" s="996">
        <v>-0.47326127199999846</v>
      </c>
      <c r="GM227" s="1005"/>
      <c r="GN227" s="996">
        <v>0.42978927199999895</v>
      </c>
      <c r="GO227" s="1006"/>
      <c r="GP227" s="996">
        <v>4.3471999999999511E-2</v>
      </c>
      <c r="GQ227" s="1006"/>
      <c r="GR227" s="996">
        <v>0.33440000000000047</v>
      </c>
      <c r="GS227" s="1006" t="s">
        <v>199</v>
      </c>
      <c r="GT227" s="996">
        <v>1.0700800000000004</v>
      </c>
      <c r="GU227" s="1006"/>
      <c r="GV227" s="996">
        <v>0</v>
      </c>
      <c r="GW227" s="1006"/>
      <c r="GX227" s="1036">
        <v>-0.56848000000000054</v>
      </c>
      <c r="GY227" s="1006" t="s">
        <v>204</v>
      </c>
      <c r="GZ227" s="996">
        <v>-1.3375999999999992</v>
      </c>
      <c r="HA227" s="1006" t="s">
        <v>199</v>
      </c>
      <c r="HB227" s="996">
        <v>2.9259999999999997</v>
      </c>
      <c r="HC227" s="1006"/>
      <c r="HD227" s="996">
        <v>0</v>
      </c>
      <c r="HE227" s="1006"/>
      <c r="HF227" s="996">
        <v>0.41799999999999971</v>
      </c>
      <c r="HG227" s="1006" t="s">
        <v>1065</v>
      </c>
      <c r="HH227" s="996">
        <v>-3.2603999999999997</v>
      </c>
      <c r="HI227" s="1006" t="s">
        <v>221</v>
      </c>
      <c r="HJ227" s="996">
        <v>2.4243999999999999</v>
      </c>
      <c r="HK227" s="1006"/>
      <c r="HL227" s="996">
        <v>0</v>
      </c>
      <c r="HM227" s="1006"/>
      <c r="HN227" s="996">
        <v>0</v>
      </c>
      <c r="HO227" s="1006"/>
      <c r="HP227" s="996">
        <v>0</v>
      </c>
      <c r="HQ227" s="1006"/>
      <c r="HR227" s="996">
        <v>0</v>
      </c>
      <c r="HS227" s="1006" t="s">
        <v>643</v>
      </c>
      <c r="HT227" s="996">
        <v>0</v>
      </c>
      <c r="HU227" s="1006"/>
      <c r="HV227" s="996">
        <v>0</v>
      </c>
      <c r="HW227" s="1006" t="s">
        <v>241</v>
      </c>
      <c r="HX227" s="996">
        <v>-2.4243999999999999</v>
      </c>
      <c r="HY227" s="1006"/>
      <c r="HZ227" s="996">
        <v>-0.91959999999999997</v>
      </c>
      <c r="IA227" s="1006"/>
      <c r="IB227" s="996">
        <v>0</v>
      </c>
      <c r="IC227" s="1006"/>
      <c r="ID227" s="996">
        <v>0</v>
      </c>
      <c r="IE227" s="1006" t="s">
        <v>223</v>
      </c>
      <c r="IF227" s="996">
        <v>-3.5392310799999995</v>
      </c>
      <c r="IG227" s="1006" t="s">
        <v>223</v>
      </c>
      <c r="IH227" s="996">
        <v>-2.3381415200000006</v>
      </c>
      <c r="II227" s="1006" t="s">
        <v>223</v>
      </c>
      <c r="IJ227" s="996">
        <v>-9.8330487199999972</v>
      </c>
      <c r="IK227" s="1006" t="s">
        <v>25</v>
      </c>
      <c r="IL227" s="996">
        <v>15.777301319999998</v>
      </c>
      <c r="IM227" s="1006"/>
      <c r="IN227" s="996">
        <v>0</v>
      </c>
      <c r="IO227" s="1006"/>
      <c r="IP227" s="996">
        <v>0</v>
      </c>
      <c r="IQ227" s="1006"/>
      <c r="IR227" s="996">
        <v>0</v>
      </c>
      <c r="IS227" s="1006"/>
      <c r="IT227" s="996">
        <v>0</v>
      </c>
      <c r="IU227" s="1006"/>
      <c r="IV227" s="996">
        <v>0</v>
      </c>
      <c r="IW227" s="1006"/>
      <c r="IX227" s="996">
        <v>0</v>
      </c>
      <c r="IY227" s="1006" t="s">
        <v>204</v>
      </c>
      <c r="IZ227" s="996">
        <v>1.6469199999999997</v>
      </c>
      <c r="JA227" s="1006"/>
      <c r="JB227" s="996">
        <v>0</v>
      </c>
      <c r="JC227" s="1006"/>
      <c r="JD227" s="996">
        <v>0</v>
      </c>
      <c r="JE227" s="1006"/>
      <c r="JF227" s="996">
        <v>0</v>
      </c>
      <c r="JG227" s="1006"/>
      <c r="JH227" s="996">
        <v>0</v>
      </c>
      <c r="JI227" s="1006"/>
      <c r="JJ227" s="996">
        <v>0</v>
      </c>
      <c r="JK227" s="1007"/>
      <c r="JL227" s="1007">
        <v>0</v>
      </c>
      <c r="JM227" s="1007"/>
      <c r="JN227" s="1007">
        <v>0</v>
      </c>
      <c r="JO227" s="1008"/>
      <c r="JP227" s="1007">
        <v>0</v>
      </c>
      <c r="JQ227" s="1008">
        <v>0</v>
      </c>
      <c r="JR227" s="1007">
        <v>-0.87779999999999969</v>
      </c>
      <c r="JS227" s="1008">
        <v>0</v>
      </c>
      <c r="JT227" s="1007">
        <v>0.83599999999999941</v>
      </c>
      <c r="JU227" s="1008" t="s">
        <v>204</v>
      </c>
      <c r="JV227" s="1007">
        <v>-1.6719999999999997</v>
      </c>
      <c r="JW227" s="1008" t="s">
        <v>197</v>
      </c>
      <c r="JX227" s="1007">
        <v>0</v>
      </c>
      <c r="JY227" s="1008"/>
      <c r="JZ227" s="1007">
        <v>0</v>
      </c>
      <c r="KA227" s="1008"/>
      <c r="KB227" s="1007">
        <v>0</v>
      </c>
      <c r="KC227" s="1008"/>
      <c r="KD227" s="1007">
        <v>0</v>
      </c>
      <c r="KE227" s="1008" t="s">
        <v>204</v>
      </c>
      <c r="KF227" s="1007">
        <v>3.4603711999999995</v>
      </c>
      <c r="KG227" s="1008"/>
      <c r="KH227" s="1007">
        <v>0</v>
      </c>
      <c r="KI227" s="1008" t="s">
        <v>206</v>
      </c>
      <c r="KJ227" s="1007">
        <v>-1.73485048</v>
      </c>
      <c r="KK227" s="1008"/>
      <c r="KL227" s="1007">
        <v>0</v>
      </c>
      <c r="KM227" s="1008"/>
      <c r="KN227" s="1007">
        <v>0</v>
      </c>
      <c r="KO227" s="1008" t="s">
        <v>206</v>
      </c>
      <c r="KP227" s="1007">
        <v>0.92794328000000004</v>
      </c>
      <c r="KQ227" s="1008" t="s">
        <v>207</v>
      </c>
      <c r="KR227" s="1007">
        <v>-4.1152267199999999</v>
      </c>
      <c r="KS227" s="1008">
        <v>0</v>
      </c>
      <c r="KT227" s="1007">
        <v>0</v>
      </c>
      <c r="KU227" s="1008">
        <v>0</v>
      </c>
      <c r="KV227" s="1007">
        <v>0</v>
      </c>
      <c r="KW227" s="1008">
        <v>0</v>
      </c>
      <c r="KX227" s="1007">
        <v>-0.14920927999999911</v>
      </c>
      <c r="KY227" s="1008" t="s">
        <v>206</v>
      </c>
      <c r="KZ227" s="1007">
        <v>-1.532388000000001</v>
      </c>
      <c r="LA227" s="1008" t="s">
        <v>206</v>
      </c>
      <c r="LB227" s="1007">
        <v>-5.1835343999999992</v>
      </c>
      <c r="LC227" s="1008" t="s">
        <v>204</v>
      </c>
      <c r="LD227" s="1007">
        <v>6.7541999975999989</v>
      </c>
      <c r="LE227" s="1008">
        <v>0</v>
      </c>
      <c r="LF227" s="1007">
        <v>0</v>
      </c>
      <c r="LG227" s="1008">
        <v>0</v>
      </c>
      <c r="LH227" s="1007">
        <v>-8.36</v>
      </c>
      <c r="LI227" s="1008">
        <v>0</v>
      </c>
      <c r="LJ227" s="1007">
        <v>0</v>
      </c>
      <c r="LK227" s="1008">
        <v>0</v>
      </c>
      <c r="LL227" s="1007">
        <v>0</v>
      </c>
      <c r="LM227" s="1008">
        <v>0</v>
      </c>
      <c r="LN227" s="1007">
        <v>0</v>
      </c>
      <c r="LO227" s="1008" t="s">
        <v>206</v>
      </c>
      <c r="LP227" s="1007">
        <v>3.3439999999999994</v>
      </c>
      <c r="LQ227" s="1008">
        <v>0</v>
      </c>
      <c r="LR227" s="1007">
        <v>0</v>
      </c>
      <c r="LS227" s="1008">
        <v>0</v>
      </c>
      <c r="LT227" s="1007">
        <v>0</v>
      </c>
      <c r="LU227" s="1008">
        <v>0</v>
      </c>
      <c r="LV227" s="1007">
        <v>-1.6719999999999997</v>
      </c>
      <c r="LW227" s="1008">
        <v>0</v>
      </c>
      <c r="LX227" s="1007">
        <v>0</v>
      </c>
      <c r="LY227" s="1009" t="s">
        <v>223</v>
      </c>
      <c r="LZ227" s="1010">
        <v>-2.9</v>
      </c>
      <c r="MA227" s="1011" t="s">
        <v>206</v>
      </c>
      <c r="MB227" s="1012">
        <v>2.9514144000000009</v>
      </c>
      <c r="MC227" s="995"/>
      <c r="MD227" s="996"/>
      <c r="ME227" s="997" t="s">
        <v>220</v>
      </c>
      <c r="MF227" s="997"/>
      <c r="MG227" s="998"/>
      <c r="NR227" s="1000"/>
      <c r="NS227" s="1000"/>
      <c r="NT227" s="1001"/>
      <c r="NU227" s="1000"/>
      <c r="NV227" s="1001"/>
      <c r="NX227" s="1002"/>
      <c r="NZ227" s="1001"/>
      <c r="OA227" s="1001"/>
      <c r="OC227" s="1003"/>
      <c r="OD227" s="1003"/>
      <c r="OE227" s="1001"/>
      <c r="OF227" s="1003"/>
      <c r="OG227" s="1003"/>
      <c r="QX227" s="1000">
        <f>CN227-CA227</f>
        <v>19</v>
      </c>
      <c r="ASU227" s="999" t="s">
        <v>225</v>
      </c>
    </row>
    <row r="228" spans="1:466 1191:1191" ht="21" customHeight="1" x14ac:dyDescent="0.25">
      <c r="A228" s="982">
        <f t="shared" si="163"/>
        <v>1119</v>
      </c>
      <c r="B228" s="124">
        <f>SUBTOTAL(103,$J$29:J228)</f>
        <v>200</v>
      </c>
      <c r="C228" s="126">
        <v>45068</v>
      </c>
      <c r="D228" s="124" t="s">
        <v>176</v>
      </c>
      <c r="E228" s="127" t="s">
        <v>177</v>
      </c>
      <c r="F228" s="128" t="s">
        <v>177</v>
      </c>
      <c r="G228" s="127" t="s">
        <v>178</v>
      </c>
      <c r="H228" s="127" t="s">
        <v>179</v>
      </c>
      <c r="I228" s="127" t="s">
        <v>1066</v>
      </c>
      <c r="J228" s="152">
        <v>1119</v>
      </c>
      <c r="K228" s="127" t="s">
        <v>1066</v>
      </c>
      <c r="L228" s="130">
        <v>41798</v>
      </c>
      <c r="M228" s="127" t="s">
        <v>230</v>
      </c>
      <c r="N228" s="127" t="s">
        <v>184</v>
      </c>
      <c r="O228" s="127" t="s">
        <v>185</v>
      </c>
      <c r="P228" s="127" t="s">
        <v>186</v>
      </c>
      <c r="Q228" s="85" t="str">
        <f t="shared" si="183"/>
        <v/>
      </c>
      <c r="R228" s="130"/>
      <c r="S228" s="128" t="s">
        <v>156</v>
      </c>
      <c r="T228" s="131"/>
      <c r="U228" s="132">
        <v>203</v>
      </c>
      <c r="V228" s="121">
        <v>218.2</v>
      </c>
      <c r="W228" s="116">
        <v>0.98</v>
      </c>
      <c r="X228" s="116">
        <v>1.66</v>
      </c>
      <c r="Y228" s="116">
        <f t="shared" si="137"/>
        <v>0.98</v>
      </c>
      <c r="Z228" s="133">
        <v>1.454</v>
      </c>
      <c r="AA228" s="133">
        <v>0.83599999999999997</v>
      </c>
      <c r="AB228" s="133">
        <v>0.72</v>
      </c>
      <c r="AC228" s="121">
        <v>34.299999999999997</v>
      </c>
      <c r="AD228" s="134">
        <v>1.17</v>
      </c>
      <c r="AE228" s="124">
        <v>177.8</v>
      </c>
      <c r="AF228" s="128">
        <v>9.19</v>
      </c>
      <c r="AG228" s="128">
        <v>2037</v>
      </c>
      <c r="AH228" s="127">
        <v>2661</v>
      </c>
      <c r="AI228" s="127">
        <v>2661</v>
      </c>
      <c r="AJ228" s="135"/>
      <c r="AK228" s="128"/>
      <c r="AL228" s="131"/>
      <c r="AM228" s="124" t="s">
        <v>232</v>
      </c>
      <c r="AN228" s="136" t="s">
        <v>1067</v>
      </c>
      <c r="AO228" s="137">
        <v>18</v>
      </c>
      <c r="AP228" s="128">
        <v>2037</v>
      </c>
      <c r="AQ228" s="128">
        <v>194.19</v>
      </c>
      <c r="AR228" s="128"/>
      <c r="AS228" s="128"/>
      <c r="AT228" s="122"/>
      <c r="AU228" s="124" t="s">
        <v>189</v>
      </c>
      <c r="AV228" s="115">
        <f>VLOOKUP(J228,'[63]ТР нефть'!$J$28:$BP$638,39,0)</f>
        <v>530.00002148399994</v>
      </c>
      <c r="AW228" s="115" t="str">
        <f>VLOOKUP(J228,'[63]ТР нефть'!$J$28:$BP$638,40,0)</f>
        <v>ГП</v>
      </c>
      <c r="AX228" s="115">
        <f>VLOOKUP(J228,'[63]ТР нефть'!$J$28:$BP$638,41,0)</f>
        <v>950.00005956999996</v>
      </c>
      <c r="AY228" s="115" t="str">
        <f>VLOOKUP(J228,'[63]ТР нефть'!$J$28:$BP$638,42,0)</f>
        <v>ГП</v>
      </c>
      <c r="AZ228" s="115">
        <f>VLOOKUP(J228,'[63]ТР нефть'!$J$28:$BP$638,43,0)</f>
        <v>1270.000099219</v>
      </c>
      <c r="BA228" s="115" t="str">
        <f>VLOOKUP(J228,'[63]ТР нефть'!$J$28:$BP$638,44,0)</f>
        <v>ГК 78 1/8</v>
      </c>
      <c r="BB228" s="115">
        <f>VLOOKUP(J228,'[63]ТР нефть'!$J$28:$BP$638,45,0)</f>
        <v>1530.0000058590001</v>
      </c>
      <c r="BC228" s="115" t="str">
        <f>VLOOKUP(J228,'[63]ТР нефть'!$J$28:$BP$638,46,0)</f>
        <v>ГК 77 5/32</v>
      </c>
      <c r="BD228" s="115">
        <f>VLOOKUP(J228,'[63]ТР нефть'!$J$28:$BP$638,47,0)</f>
        <v>1720.0000921880001</v>
      </c>
      <c r="BE228" s="115" t="str">
        <f>VLOOKUP(J228,'[63]ТР нефть'!$J$28:$BP$638,48,0)</f>
        <v>ЦКсОК 5/16</v>
      </c>
      <c r="BF228" s="115" t="str">
        <f>VLOOKUP(J228,'[63]ТР нефть'!$J$28:$BP$638,49,0)</f>
        <v>-</v>
      </c>
      <c r="BG228" s="115" t="str">
        <f>VLOOKUP(J228,'[63]ТР нефть'!$J$28:$BP$638,50,0)</f>
        <v>-</v>
      </c>
      <c r="BH228" s="115">
        <f>VLOOKUP(J228,'[63]ТР нефть'!$J$28:$BP$638,51,0)</f>
        <v>1730</v>
      </c>
      <c r="BI228" s="115" t="str">
        <f>VLOOKUP(J228,'[63]ТР нефть'!$J$28:$BP$638,52,0)</f>
        <v>закрыт</v>
      </c>
      <c r="BJ228" s="115" t="str">
        <f>IF(IFERROR(VLOOKUP(J228,'[63]ТР нефть'!$J$28:$BP$638,53,0),"-")=0,"-",IFERROR(VLOOKUP(J228,'[63]ТР нефть'!$J$28:$BP$638,53,0),"-"))</f>
        <v>-</v>
      </c>
      <c r="BK228" s="138" t="str">
        <f>IF(IFERROR(VLOOKUP(J228,'[63]ТР нефть'!$J$28:$BP$638,54,0),"-")=0,"-",IFERROR(VLOOKUP(J228,'[63]ТР нефть'!$J$28:$BP$638,54,0),"-"))</f>
        <v>-</v>
      </c>
      <c r="BL228" s="138" t="str">
        <f>IF(IFERROR(VLOOKUP(J228,'[63]ТР нефть'!$J$28:$BP$638,55,0),"-")=0,"-",IFERROR(VLOOKUP(J228,'[63]ТР нефть'!$J$28:$BP$638,55,0),"-"))</f>
        <v>-</v>
      </c>
      <c r="BM228" s="138" t="str">
        <f>IF(IFERROR(VLOOKUP(J228,'[63]ТР нефть'!$J$28:$BP$638,56,0),"-")=0,"-",IFERROR(VLOOKUP(J228,'[63]ТР нефть'!$J$28:$BP$638,56,0),"-"))</f>
        <v>-</v>
      </c>
      <c r="BN228" s="138" t="str">
        <f>IF(IFERROR(VLOOKUP(J228,'[63]ТР нефть'!$J$28:$BP$638,57,0),"-")=0,"-",IFERROR(VLOOKUP(J228,'[63]ТР нефть'!$J$28:$BP$638,57,0),"-"))</f>
        <v>-</v>
      </c>
      <c r="BO228" s="115" t="str">
        <f>IF(IFERROR(VLOOKUP(J228,'[63]ТР нефть'!$J$28:$BP$638,58,0),"-")=0,"-",IFERROR(VLOOKUP(J228,'[63]ТР нефть'!$J$28:$BP$638,58,0),"-"))</f>
        <v>-</v>
      </c>
      <c r="BP228" s="115" t="str">
        <f>IF(IFERROR(VLOOKUP(J228,'[63]ТР нефть'!$J$28:$BP$638,59,0),"-")=0,"-",IFERROR(VLOOKUP(J228,'[63]ТР нефть'!$J$28:$BP$638,59,0),"-"))</f>
        <v>-</v>
      </c>
      <c r="BQ228" s="138">
        <v>2050</v>
      </c>
      <c r="BR228" s="128">
        <v>1847</v>
      </c>
      <c r="BS228" s="115">
        <f t="shared" si="164"/>
        <v>203</v>
      </c>
      <c r="BT228" s="128">
        <v>73</v>
      </c>
      <c r="BU228" s="128">
        <v>5.5</v>
      </c>
      <c r="BV228" s="127">
        <v>65</v>
      </c>
      <c r="BW228" s="127" t="s">
        <v>217</v>
      </c>
      <c r="BX228" s="127" t="s">
        <v>195</v>
      </c>
      <c r="BY228" s="139">
        <v>24</v>
      </c>
      <c r="BZ228" s="139">
        <v>0</v>
      </c>
      <c r="CA228" s="138">
        <v>25</v>
      </c>
      <c r="CB228" s="138">
        <v>37</v>
      </c>
      <c r="CC228" s="138">
        <v>24</v>
      </c>
      <c r="CD228" s="135">
        <v>45017</v>
      </c>
      <c r="CE228" s="138">
        <v>139</v>
      </c>
      <c r="CF228" s="138">
        <v>70</v>
      </c>
      <c r="CG228" s="138" t="str">
        <f t="shared" si="153"/>
        <v>В работе</v>
      </c>
      <c r="CH228" s="138" t="s">
        <v>196</v>
      </c>
      <c r="CI228" s="127"/>
      <c r="CJ228" s="138"/>
      <c r="CK228" s="138">
        <f t="shared" si="157"/>
        <v>23</v>
      </c>
      <c r="CL228" s="99"/>
      <c r="CM228" s="99"/>
      <c r="CN228" s="140">
        <v>48</v>
      </c>
      <c r="CO228" s="141">
        <f t="shared" si="165"/>
        <v>11.81268</v>
      </c>
      <c r="CP228" s="142">
        <v>14.13</v>
      </c>
      <c r="CQ228" s="143">
        <v>0</v>
      </c>
      <c r="CR228" s="115">
        <v>19</v>
      </c>
      <c r="CS228" s="139">
        <v>9.6</v>
      </c>
      <c r="CT228" s="138"/>
      <c r="CU228" s="138">
        <f t="shared" si="184"/>
        <v>9.4</v>
      </c>
      <c r="CV228" s="115">
        <f t="shared" si="186"/>
        <v>795.75506997565321</v>
      </c>
      <c r="CW228" s="115">
        <f t="shared" si="166"/>
        <v>812.68602891130547</v>
      </c>
      <c r="CX228" s="133">
        <f t="shared" si="185"/>
        <v>0.15527472527472527</v>
      </c>
      <c r="CY228" s="116"/>
      <c r="CZ228" s="144"/>
      <c r="DA228" s="145" t="str">
        <f t="shared" si="167"/>
        <v>Газлифт</v>
      </c>
      <c r="DB228" s="146">
        <f t="shared" si="168"/>
        <v>11.81268</v>
      </c>
      <c r="DC228" s="142">
        <f t="shared" si="151"/>
        <v>14.13</v>
      </c>
      <c r="DD228" s="119">
        <f t="shared" si="152"/>
        <v>0</v>
      </c>
      <c r="DE228" s="115">
        <f t="shared" si="169"/>
        <v>9.4</v>
      </c>
      <c r="DF228" s="121">
        <f t="shared" si="170"/>
        <v>9.6</v>
      </c>
      <c r="DG228" s="115">
        <f t="shared" si="171"/>
        <v>795.75506997565321</v>
      </c>
      <c r="DH228" s="115">
        <f t="shared" si="172"/>
        <v>48</v>
      </c>
      <c r="DI228" s="1038"/>
      <c r="DJ228" s="111">
        <v>43004</v>
      </c>
      <c r="DK228" s="112">
        <v>43192</v>
      </c>
      <c r="DL228" s="113">
        <f t="shared" ca="1" si="138"/>
        <v>1912</v>
      </c>
      <c r="DM228" s="114"/>
      <c r="DN228" s="114"/>
      <c r="DO228" s="114"/>
      <c r="DP228" s="114"/>
      <c r="DQ228" s="112">
        <v>41798</v>
      </c>
      <c r="DR228" s="114" t="s">
        <v>324</v>
      </c>
      <c r="DS228" s="114"/>
      <c r="DT228" s="115">
        <v>53</v>
      </c>
      <c r="DU228" s="116">
        <f t="shared" si="139"/>
        <v>0.16430232558139535</v>
      </c>
      <c r="DV228" s="117">
        <f t="shared" si="140"/>
        <v>11.81268</v>
      </c>
      <c r="DW228" s="118">
        <f t="shared" si="141"/>
        <v>14.13</v>
      </c>
      <c r="DX228" s="119">
        <f t="shared" si="173"/>
        <v>0</v>
      </c>
      <c r="DY228" s="115">
        <f t="shared" si="142"/>
        <v>9.4</v>
      </c>
      <c r="DZ228" s="117">
        <f t="shared" si="143"/>
        <v>0</v>
      </c>
      <c r="EA228" s="120">
        <f t="shared" si="143"/>
        <v>0</v>
      </c>
      <c r="EB228" s="119">
        <f t="shared" si="143"/>
        <v>0</v>
      </c>
      <c r="EC228" s="121">
        <f t="shared" si="144"/>
        <v>0</v>
      </c>
      <c r="ED228" s="122"/>
      <c r="EE228" s="145">
        <v>65</v>
      </c>
      <c r="EF228" s="115">
        <v>28</v>
      </c>
      <c r="EG228" s="115">
        <v>40</v>
      </c>
      <c r="EH228" s="115">
        <v>27</v>
      </c>
      <c r="EI228" s="128" t="s">
        <v>195</v>
      </c>
      <c r="EJ228" s="121">
        <v>24</v>
      </c>
      <c r="EK228" s="121">
        <v>0</v>
      </c>
      <c r="EL228" s="149">
        <v>10.5336</v>
      </c>
      <c r="EM228" s="142">
        <v>12.6</v>
      </c>
      <c r="EN228" s="119">
        <v>0</v>
      </c>
      <c r="EO228" s="115">
        <v>17</v>
      </c>
      <c r="EP228" s="115">
        <v>664.54013822434877</v>
      </c>
      <c r="EQ228" s="115">
        <v>7</v>
      </c>
      <c r="ER228" s="115">
        <v>10</v>
      </c>
      <c r="ES228" s="115">
        <v>51</v>
      </c>
      <c r="ET228" s="150">
        <v>0.14318181818181819</v>
      </c>
      <c r="EU228" s="145">
        <f t="shared" si="174"/>
        <v>65</v>
      </c>
      <c r="EV228" s="115">
        <f t="shared" si="175"/>
        <v>25</v>
      </c>
      <c r="EW228" s="115">
        <f t="shared" si="175"/>
        <v>37</v>
      </c>
      <c r="EX228" s="115">
        <f t="shared" si="175"/>
        <v>24</v>
      </c>
      <c r="EY228" s="115" t="str">
        <f t="shared" si="156"/>
        <v>Постоянный</v>
      </c>
      <c r="EZ228" s="115">
        <f t="shared" si="156"/>
        <v>24</v>
      </c>
      <c r="FA228" s="115">
        <f t="shared" si="156"/>
        <v>0</v>
      </c>
      <c r="FB228" s="149">
        <f t="shared" si="176"/>
        <v>11.81268</v>
      </c>
      <c r="FC228" s="142">
        <f t="shared" si="176"/>
        <v>14.13</v>
      </c>
      <c r="FD228" s="119">
        <f t="shared" si="176"/>
        <v>0</v>
      </c>
      <c r="FE228" s="121">
        <f t="shared" si="176"/>
        <v>19</v>
      </c>
      <c r="FF228" s="121">
        <f t="shared" si="145"/>
        <v>795.75506997565321</v>
      </c>
      <c r="FG228" s="121">
        <f t="shared" si="177"/>
        <v>70</v>
      </c>
      <c r="FH228" s="121">
        <f t="shared" si="146"/>
        <v>9.6</v>
      </c>
      <c r="FI228" s="121">
        <f t="shared" si="154"/>
        <v>48</v>
      </c>
      <c r="FJ228" s="144">
        <f t="shared" si="178"/>
        <v>0.15527472527472527</v>
      </c>
      <c r="FK228" s="132">
        <f t="shared" si="179"/>
        <v>0</v>
      </c>
      <c r="FL228" s="115">
        <f t="shared" si="179"/>
        <v>-3</v>
      </c>
      <c r="FM228" s="115">
        <f t="shared" si="179"/>
        <v>-3</v>
      </c>
      <c r="FN228" s="115">
        <f t="shared" si="162"/>
        <v>-3</v>
      </c>
      <c r="FO228" s="115">
        <f t="shared" si="150"/>
        <v>0</v>
      </c>
      <c r="FP228" s="115">
        <f t="shared" si="150"/>
        <v>0</v>
      </c>
      <c r="FQ228" s="149">
        <f t="shared" si="150"/>
        <v>1.2790800000000004</v>
      </c>
      <c r="FR228" s="142">
        <f t="shared" si="148"/>
        <v>1.5300000000000011</v>
      </c>
      <c r="FS228" s="119">
        <f t="shared" si="148"/>
        <v>0</v>
      </c>
      <c r="FT228" s="121">
        <f t="shared" si="148"/>
        <v>2</v>
      </c>
      <c r="FU228" s="121">
        <f t="shared" si="180"/>
        <v>63</v>
      </c>
      <c r="FV228" s="121">
        <f t="shared" si="180"/>
        <v>-0.40000000000000036</v>
      </c>
      <c r="FW228" s="121">
        <f t="shared" si="181"/>
        <v>131.21493175130445</v>
      </c>
      <c r="FX228" s="121">
        <f t="shared" si="182"/>
        <v>-3</v>
      </c>
      <c r="FY228" s="144">
        <f t="shared" si="182"/>
        <v>1.2092907092907085E-2</v>
      </c>
      <c r="FZ228" s="145" t="s">
        <v>199</v>
      </c>
      <c r="GA228" s="1034" t="s">
        <v>200</v>
      </c>
      <c r="GB228" s="145"/>
      <c r="GC228" s="125"/>
      <c r="GD228" s="997" t="s">
        <v>202</v>
      </c>
      <c r="GE228" s="1004"/>
      <c r="GF228" s="1004">
        <v>0</v>
      </c>
      <c r="GG228" s="1004" t="s">
        <v>199</v>
      </c>
      <c r="GH228" s="1004">
        <v>2.5916000000000006</v>
      </c>
      <c r="GI228" s="145" t="s">
        <v>199</v>
      </c>
      <c r="GJ228" s="996">
        <v>-2.8424000000000005</v>
      </c>
      <c r="GK228" s="145"/>
      <c r="GL228" s="996">
        <v>-0.79904879999999956</v>
      </c>
      <c r="GM228" s="1005"/>
      <c r="GN228" s="996">
        <v>0</v>
      </c>
      <c r="GO228" s="1006"/>
      <c r="GP228" s="996">
        <v>0</v>
      </c>
      <c r="GQ228" s="1006" t="s">
        <v>203</v>
      </c>
      <c r="GR228" s="996">
        <v>-1.4048980000000011</v>
      </c>
      <c r="GS228" s="1006" t="s">
        <v>25</v>
      </c>
      <c r="GT228" s="996">
        <v>2.6219467999999999</v>
      </c>
      <c r="GU228" s="1006"/>
      <c r="GV228" s="996">
        <v>0.75240000000000151</v>
      </c>
      <c r="GW228" s="1006"/>
      <c r="GX228" s="1035">
        <v>-0.38456000000000046</v>
      </c>
      <c r="GY228" s="1006"/>
      <c r="GZ228" s="996">
        <v>0</v>
      </c>
      <c r="HA228" s="1006"/>
      <c r="HB228" s="996">
        <v>0.90746796799999885</v>
      </c>
      <c r="HC228" s="1006" t="s">
        <v>199</v>
      </c>
      <c r="HD228" s="996">
        <v>0</v>
      </c>
      <c r="HE228" s="1006" t="s">
        <v>199</v>
      </c>
      <c r="HF228" s="996">
        <v>-0.51427710399999782</v>
      </c>
      <c r="HG228" s="1006" t="s">
        <v>199</v>
      </c>
      <c r="HH228" s="996">
        <v>-0.23860108800000113</v>
      </c>
      <c r="HI228" s="1006"/>
      <c r="HJ228" s="996">
        <v>-0.39975513600000134</v>
      </c>
      <c r="HK228" s="1006"/>
      <c r="HL228" s="996">
        <v>-0.47470922399999793</v>
      </c>
      <c r="HM228" s="1006" t="s">
        <v>223</v>
      </c>
      <c r="HN228" s="996">
        <v>-1.3284926160000001</v>
      </c>
      <c r="HO228" s="1006"/>
      <c r="HP228" s="996">
        <v>0</v>
      </c>
      <c r="HQ228" s="1006"/>
      <c r="HR228" s="996">
        <v>-0.24571377600000055</v>
      </c>
      <c r="HS228" s="1006" t="s">
        <v>643</v>
      </c>
      <c r="HT228" s="996">
        <v>0</v>
      </c>
      <c r="HU228" s="1006" t="s">
        <v>1068</v>
      </c>
      <c r="HV228" s="996">
        <v>-5.7631532640000014</v>
      </c>
      <c r="HW228" s="1006" t="s">
        <v>221</v>
      </c>
      <c r="HX228" s="996">
        <v>6.5368662480000008</v>
      </c>
      <c r="HY228" s="1006"/>
      <c r="HZ228" s="996">
        <v>0</v>
      </c>
      <c r="IA228" s="1006" t="s">
        <v>223</v>
      </c>
      <c r="IB228" s="996">
        <v>-1.3805520079999987</v>
      </c>
      <c r="IC228" s="1006"/>
      <c r="ID228" s="996">
        <v>-0.89451999999999998</v>
      </c>
      <c r="IE228" s="1006" t="s">
        <v>199</v>
      </c>
      <c r="IF228" s="996">
        <v>2.8423999999999996</v>
      </c>
      <c r="IG228" s="1006" t="s">
        <v>199</v>
      </c>
      <c r="IH228" s="996">
        <v>3.4275999999999991</v>
      </c>
      <c r="II228" s="1006" t="s">
        <v>223</v>
      </c>
      <c r="IJ228" s="996">
        <v>-2.7587999999999999</v>
      </c>
      <c r="IK228" s="1006" t="s">
        <v>223</v>
      </c>
      <c r="IL228" s="996">
        <v>0.58520000000000039</v>
      </c>
      <c r="IM228" s="1006"/>
      <c r="IN228" s="996">
        <v>0</v>
      </c>
      <c r="IO228" s="1006" t="s">
        <v>199</v>
      </c>
      <c r="IP228" s="996">
        <v>-2.8423999999999996</v>
      </c>
      <c r="IQ228" s="1006"/>
      <c r="IR228" s="996">
        <v>0</v>
      </c>
      <c r="IS228" s="1006"/>
      <c r="IT228" s="996">
        <v>0</v>
      </c>
      <c r="IU228" s="1006"/>
      <c r="IV228" s="996">
        <v>0</v>
      </c>
      <c r="IW228" s="1006"/>
      <c r="IX228" s="996">
        <v>0</v>
      </c>
      <c r="IY228" s="1006"/>
      <c r="IZ228" s="996">
        <v>0</v>
      </c>
      <c r="JA228" s="1006" t="s">
        <v>199</v>
      </c>
      <c r="JB228" s="996">
        <v>2.5079999999999991</v>
      </c>
      <c r="JC228" s="1006" t="s">
        <v>199</v>
      </c>
      <c r="JD228" s="996">
        <v>-3.3356399999999997</v>
      </c>
      <c r="JE228" s="1006"/>
      <c r="JF228" s="996">
        <v>0</v>
      </c>
      <c r="JG228" s="1006"/>
      <c r="JH228" s="996">
        <v>0</v>
      </c>
      <c r="JI228" s="1006"/>
      <c r="JJ228" s="996">
        <v>0</v>
      </c>
      <c r="JK228" s="1007"/>
      <c r="JL228" s="1007">
        <v>0</v>
      </c>
      <c r="JM228" s="1007"/>
      <c r="JN228" s="1007">
        <v>0</v>
      </c>
      <c r="JO228" s="1008"/>
      <c r="JP228" s="1007">
        <v>0</v>
      </c>
      <c r="JQ228" s="1008" t="s">
        <v>204</v>
      </c>
      <c r="JR228" s="1007">
        <v>-1.6803600000000003</v>
      </c>
      <c r="JS228" s="1008">
        <v>0</v>
      </c>
      <c r="JT228" s="1007">
        <v>0</v>
      </c>
      <c r="JU228" s="1008"/>
      <c r="JV228" s="1007">
        <v>0</v>
      </c>
      <c r="JW228" s="1008" t="s">
        <v>206</v>
      </c>
      <c r="JX228" s="1007">
        <v>1.6720000000000006</v>
      </c>
      <c r="JY228" s="1008"/>
      <c r="JZ228" s="1007">
        <v>0</v>
      </c>
      <c r="KA228" s="1008" t="s">
        <v>204</v>
      </c>
      <c r="KB228" s="1007">
        <v>-0.8360000000000003</v>
      </c>
      <c r="KC228" s="1008" t="s">
        <v>206</v>
      </c>
      <c r="KD228" s="1007">
        <v>0</v>
      </c>
      <c r="KE228" s="1008" t="s">
        <v>206</v>
      </c>
      <c r="KF228" s="1007">
        <v>-5.0159999999999982</v>
      </c>
      <c r="KG228" s="1008" t="s">
        <v>204</v>
      </c>
      <c r="KH228" s="1007">
        <v>-1.6720000000000006</v>
      </c>
      <c r="KI228" s="1008" t="s">
        <v>207</v>
      </c>
      <c r="KJ228" s="1007">
        <v>5.016</v>
      </c>
      <c r="KK228" s="1008"/>
      <c r="KL228" s="1007">
        <v>0</v>
      </c>
      <c r="KM228" s="1008" t="s">
        <v>207</v>
      </c>
      <c r="KN228" s="1007">
        <v>-3.7620000000000022</v>
      </c>
      <c r="KO228" s="1008" t="s">
        <v>207</v>
      </c>
      <c r="KP228" s="1007">
        <v>-3.8121599999999987</v>
      </c>
      <c r="KQ228" s="1008" t="s">
        <v>207</v>
      </c>
      <c r="KR228" s="1007">
        <v>4.2301600000000015</v>
      </c>
      <c r="KS228" s="1008" t="s">
        <v>221</v>
      </c>
      <c r="KT228" s="1007">
        <v>4.4057199999999987</v>
      </c>
      <c r="KU228" s="1008">
        <v>0</v>
      </c>
      <c r="KV228" s="1007">
        <v>0</v>
      </c>
      <c r="KW228" s="1008">
        <v>0</v>
      </c>
      <c r="KX228" s="1007">
        <v>0</v>
      </c>
      <c r="KY228" s="1008">
        <v>0</v>
      </c>
      <c r="KZ228" s="1007">
        <v>0</v>
      </c>
      <c r="LA228" s="1008">
        <v>0</v>
      </c>
      <c r="LB228" s="1007">
        <v>0</v>
      </c>
      <c r="LC228" s="1008">
        <v>0</v>
      </c>
      <c r="LD228" s="1007">
        <v>0</v>
      </c>
      <c r="LE228" s="1008">
        <v>0</v>
      </c>
      <c r="LF228" s="1007">
        <v>0</v>
      </c>
      <c r="LG228" s="1008">
        <v>0</v>
      </c>
      <c r="LH228" s="1007">
        <v>0</v>
      </c>
      <c r="LI228" s="1008">
        <v>0</v>
      </c>
      <c r="LJ228" s="1007">
        <v>0</v>
      </c>
      <c r="LK228" s="1008" t="s">
        <v>555</v>
      </c>
      <c r="LL228" s="1007">
        <v>2.54474</v>
      </c>
      <c r="LM228" s="1008">
        <v>0</v>
      </c>
      <c r="LN228" s="1007">
        <v>0</v>
      </c>
      <c r="LO228" s="1008">
        <v>0</v>
      </c>
      <c r="LP228" s="1007">
        <v>0</v>
      </c>
      <c r="LQ228" s="1008">
        <v>0</v>
      </c>
      <c r="LR228" s="1007">
        <v>0</v>
      </c>
      <c r="LS228" s="1008">
        <v>0</v>
      </c>
      <c r="LT228" s="1007">
        <v>0</v>
      </c>
      <c r="LU228" s="1008">
        <v>0</v>
      </c>
      <c r="LV228" s="1007">
        <v>0</v>
      </c>
      <c r="LW228" s="1008">
        <v>0</v>
      </c>
      <c r="LX228" s="1007">
        <v>0</v>
      </c>
      <c r="LY228" s="1009" t="s">
        <v>223</v>
      </c>
      <c r="LZ228" s="1010">
        <v>-1.6686559999999986</v>
      </c>
      <c r="MA228" s="1011">
        <v>0</v>
      </c>
      <c r="MB228" s="1012">
        <v>0</v>
      </c>
      <c r="MC228" s="995"/>
      <c r="MD228" s="996"/>
      <c r="ME228" s="997" t="s">
        <v>202</v>
      </c>
      <c r="MF228" s="997"/>
      <c r="MG228" s="998"/>
      <c r="NR228" s="1000"/>
      <c r="NS228" s="1000"/>
      <c r="NT228" s="1001"/>
      <c r="NU228" s="1000"/>
      <c r="NV228" s="1001"/>
      <c r="NX228" s="1002"/>
      <c r="NZ228" s="1001"/>
      <c r="OA228" s="1001"/>
      <c r="OC228" s="1003"/>
      <c r="OD228" s="1003"/>
      <c r="OE228" s="1001"/>
      <c r="OF228" s="1003"/>
      <c r="OG228" s="1003"/>
      <c r="QX228" s="1000">
        <f>CN228-CA228</f>
        <v>23</v>
      </c>
      <c r="ASU228" s="999" t="s">
        <v>208</v>
      </c>
    </row>
    <row r="229" spans="1:466 1191:1191" ht="21" customHeight="1" x14ac:dyDescent="0.25">
      <c r="A229" s="982">
        <f t="shared" si="163"/>
        <v>1122</v>
      </c>
      <c r="B229" s="124">
        <f>SUBTOTAL(103,$J$29:J229)</f>
        <v>201</v>
      </c>
      <c r="C229" s="126">
        <v>45068</v>
      </c>
      <c r="D229" s="124" t="s">
        <v>176</v>
      </c>
      <c r="E229" s="127" t="s">
        <v>177</v>
      </c>
      <c r="F229" s="128" t="s">
        <v>177</v>
      </c>
      <c r="G229" s="127" t="s">
        <v>178</v>
      </c>
      <c r="H229" s="127" t="s">
        <v>179</v>
      </c>
      <c r="I229" s="127" t="s">
        <v>1066</v>
      </c>
      <c r="J229" s="152">
        <v>1122</v>
      </c>
      <c r="K229" s="127" t="s">
        <v>1066</v>
      </c>
      <c r="L229" s="130">
        <v>41878</v>
      </c>
      <c r="M229" s="127" t="s">
        <v>230</v>
      </c>
      <c r="N229" s="127" t="s">
        <v>184</v>
      </c>
      <c r="O229" s="127" t="s">
        <v>185</v>
      </c>
      <c r="P229" s="127" t="s">
        <v>186</v>
      </c>
      <c r="Q229" s="85" t="str">
        <f t="shared" si="183"/>
        <v/>
      </c>
      <c r="R229" s="130"/>
      <c r="S229" s="128"/>
      <c r="T229" s="131"/>
      <c r="U229" s="132">
        <v>203</v>
      </c>
      <c r="V229" s="121">
        <v>218.2</v>
      </c>
      <c r="W229" s="116">
        <v>0.98</v>
      </c>
      <c r="X229" s="116">
        <v>1.66</v>
      </c>
      <c r="Y229" s="116">
        <f t="shared" si="137"/>
        <v>0.98362638159963223</v>
      </c>
      <c r="Z229" s="133">
        <v>1.454</v>
      </c>
      <c r="AA229" s="133">
        <v>0.83599999999999997</v>
      </c>
      <c r="AB229" s="133">
        <v>0.72</v>
      </c>
      <c r="AC229" s="121">
        <v>34.299999999999997</v>
      </c>
      <c r="AD229" s="134">
        <v>1.17</v>
      </c>
      <c r="AE229" s="124">
        <v>177.8</v>
      </c>
      <c r="AF229" s="128">
        <v>9.19</v>
      </c>
      <c r="AG229" s="128">
        <v>2036</v>
      </c>
      <c r="AH229" s="127">
        <v>2700</v>
      </c>
      <c r="AI229" s="127">
        <v>2700</v>
      </c>
      <c r="AJ229" s="135"/>
      <c r="AK229" s="128"/>
      <c r="AL229" s="131"/>
      <c r="AM229" s="124" t="s">
        <v>232</v>
      </c>
      <c r="AN229" s="136" t="s">
        <v>1069</v>
      </c>
      <c r="AO229" s="137">
        <v>12</v>
      </c>
      <c r="AP229" s="128">
        <v>2036</v>
      </c>
      <c r="AQ229" s="128">
        <v>262.39</v>
      </c>
      <c r="AR229" s="128"/>
      <c r="AS229" s="128"/>
      <c r="AT229" s="122"/>
      <c r="AU229" s="124" t="s">
        <v>189</v>
      </c>
      <c r="AV229" s="115">
        <f>VLOOKUP(J229,'[63]ТР нефть'!$J$28:$BP$638,39,0)</f>
        <v>594.99999814499995</v>
      </c>
      <c r="AW229" s="115" t="str">
        <f>VLOOKUP(J229,'[63]ТР нефть'!$J$28:$BP$638,40,0)</f>
        <v>ГП</v>
      </c>
      <c r="AX229" s="115">
        <f>VLOOKUP(J229,'[63]ТР нефть'!$J$28:$BP$638,41,0)</f>
        <v>1024.999983984</v>
      </c>
      <c r="AY229" s="115" t="str">
        <f>VLOOKUP(J229,'[63]ТР нефть'!$J$28:$BP$638,42,0)</f>
        <v>ГП</v>
      </c>
      <c r="AZ229" s="115">
        <f>VLOOKUP(J229,'[63]ТР нефть'!$J$28:$BP$638,43,0)</f>
        <v>1344.999949219</v>
      </c>
      <c r="BA229" s="115" t="str">
        <f>VLOOKUP(J229,'[63]ТР нефть'!$J$28:$BP$638,44,0)</f>
        <v>ГК 81 1/8</v>
      </c>
      <c r="BB229" s="115">
        <f>VLOOKUP(J229,'[63]ТР нефть'!$J$28:$BP$638,45,0)</f>
        <v>1594.9999453129999</v>
      </c>
      <c r="BC229" s="115" t="str">
        <f>VLOOKUP(J229,'[63]ТР нефть'!$J$28:$BP$638,46,0)</f>
        <v>ГК 80 1/8</v>
      </c>
      <c r="BD229" s="115">
        <f>VLOOKUP(J229,'[63]ТР нефть'!$J$28:$BP$638,47,0)</f>
        <v>1755.000002344</v>
      </c>
      <c r="BE229" s="115" t="str">
        <f>VLOOKUP(J229,'[63]ТР нефть'!$J$28:$BP$638,48,0)</f>
        <v>ЦКсОК 5/16</v>
      </c>
      <c r="BF229" s="115" t="str">
        <f>VLOOKUP(J229,'[63]ТР нефть'!$J$28:$BP$638,49,0)</f>
        <v>-</v>
      </c>
      <c r="BG229" s="115" t="str">
        <f>VLOOKUP(J229,'[63]ТР нефть'!$J$28:$BP$638,50,0)</f>
        <v>-</v>
      </c>
      <c r="BH229" s="115">
        <f>VLOOKUP(J229,'[63]ТР нефть'!$J$28:$BP$638,51,0)</f>
        <v>1765</v>
      </c>
      <c r="BI229" s="115" t="str">
        <f>VLOOKUP(J229,'[63]ТР нефть'!$J$28:$BP$638,52,0)</f>
        <v>закрыт</v>
      </c>
      <c r="BJ229" s="115" t="str">
        <f>IF(IFERROR(VLOOKUP(J229,'[63]ТР нефть'!$J$28:$BP$638,53,0),"-")=0,"-",IFERROR(VLOOKUP(J229,'[63]ТР нефть'!$J$28:$BP$638,53,0),"-"))</f>
        <v>-</v>
      </c>
      <c r="BK229" s="138" t="str">
        <f>IF(IFERROR(VLOOKUP(J229,'[63]ТР нефть'!$J$28:$BP$638,54,0),"-")=0,"-",IFERROR(VLOOKUP(J229,'[63]ТР нефть'!$J$28:$BP$638,54,0),"-"))</f>
        <v>-</v>
      </c>
      <c r="BL229" s="138" t="str">
        <f>IF(IFERROR(VLOOKUP(J229,'[63]ТР нефть'!$J$28:$BP$638,55,0),"-")=0,"-",IFERROR(VLOOKUP(J229,'[63]ТР нефть'!$J$28:$BP$638,55,0),"-"))</f>
        <v>-</v>
      </c>
      <c r="BM229" s="138" t="str">
        <f>IF(IFERROR(VLOOKUP(J229,'[63]ТР нефть'!$J$28:$BP$638,56,0),"-")=0,"-",IFERROR(VLOOKUP(J229,'[63]ТР нефть'!$J$28:$BP$638,56,0),"-"))</f>
        <v>-</v>
      </c>
      <c r="BN229" s="138" t="str">
        <f>IF(IFERROR(VLOOKUP(J229,'[63]ТР нефть'!$J$28:$BP$638,57,0),"-")=0,"-",IFERROR(VLOOKUP(J229,'[63]ТР нефть'!$J$28:$BP$638,57,0),"-"))</f>
        <v>-</v>
      </c>
      <c r="BO229" s="115" t="str">
        <f>IF(IFERROR(VLOOKUP(J229,'[63]ТР нефть'!$J$28:$BP$638,58,0),"-")=0,"-",IFERROR(VLOOKUP(J229,'[63]ТР нефть'!$J$28:$BP$638,58,0),"-"))</f>
        <v>-</v>
      </c>
      <c r="BP229" s="115" t="str">
        <f>IF(IFERROR(VLOOKUP(J229,'[63]ТР нефть'!$J$28:$BP$638,59,0),"-")=0,"-",IFERROR(VLOOKUP(J229,'[63]ТР нефть'!$J$28:$BP$638,59,0),"-"))</f>
        <v>-</v>
      </c>
      <c r="BQ229" s="138">
        <v>2100</v>
      </c>
      <c r="BR229" s="128">
        <v>2037.5</v>
      </c>
      <c r="BS229" s="115">
        <f t="shared" si="164"/>
        <v>62.5</v>
      </c>
      <c r="BT229" s="128">
        <v>73</v>
      </c>
      <c r="BU229" s="128">
        <v>5.5</v>
      </c>
      <c r="BV229" s="127">
        <v>65</v>
      </c>
      <c r="BW229" s="127" t="s">
        <v>217</v>
      </c>
      <c r="BX229" s="127" t="s">
        <v>195</v>
      </c>
      <c r="BY229" s="139">
        <v>24</v>
      </c>
      <c r="BZ229" s="139">
        <v>0</v>
      </c>
      <c r="CA229" s="80">
        <v>25</v>
      </c>
      <c r="CB229" s="138">
        <v>39</v>
      </c>
      <c r="CC229" s="138">
        <v>24</v>
      </c>
      <c r="CD229" s="135">
        <v>45017</v>
      </c>
      <c r="CE229" s="138">
        <v>88</v>
      </c>
      <c r="CF229" s="138">
        <v>72</v>
      </c>
      <c r="CG229" s="138" t="str">
        <f t="shared" si="153"/>
        <v>В работе</v>
      </c>
      <c r="CH229" s="138" t="s">
        <v>196</v>
      </c>
      <c r="CI229" s="127"/>
      <c r="CJ229" s="138"/>
      <c r="CK229" s="138">
        <f t="shared" si="157"/>
        <v>24</v>
      </c>
      <c r="CL229" s="99"/>
      <c r="CM229" s="99"/>
      <c r="CN229" s="140">
        <v>49</v>
      </c>
      <c r="CO229" s="141">
        <f t="shared" si="165"/>
        <v>5.2193987999999996</v>
      </c>
      <c r="CP229" s="142">
        <v>6.3</v>
      </c>
      <c r="CQ229" s="143">
        <v>0.9</v>
      </c>
      <c r="CR229" s="138">
        <v>11.5</v>
      </c>
      <c r="CS229" s="139">
        <v>9.6</v>
      </c>
      <c r="CT229" s="138"/>
      <c r="CU229" s="138">
        <f t="shared" si="184"/>
        <v>1.9000000000000004</v>
      </c>
      <c r="CV229" s="115">
        <f t="shared" si="186"/>
        <v>364.02660015172643</v>
      </c>
      <c r="CW229" s="115">
        <f t="shared" si="166"/>
        <v>1816.4419557675951</v>
      </c>
      <c r="CX229" s="133">
        <f t="shared" si="185"/>
        <v>0.16153846153846155</v>
      </c>
      <c r="CY229" s="116"/>
      <c r="CZ229" s="131"/>
      <c r="DA229" s="145" t="str">
        <f t="shared" si="167"/>
        <v>Газлифт</v>
      </c>
      <c r="DB229" s="146">
        <f t="shared" si="168"/>
        <v>5.2299323999999991</v>
      </c>
      <c r="DC229" s="142">
        <f t="shared" si="151"/>
        <v>6.3</v>
      </c>
      <c r="DD229" s="119">
        <f t="shared" si="152"/>
        <v>0.7</v>
      </c>
      <c r="DE229" s="115">
        <f t="shared" si="169"/>
        <v>1.9000000000000004</v>
      </c>
      <c r="DF229" s="121">
        <f t="shared" si="170"/>
        <v>9.6</v>
      </c>
      <c r="DG229" s="115">
        <f t="shared" si="171"/>
        <v>364.02660015172643</v>
      </c>
      <c r="DH229" s="115">
        <f t="shared" si="172"/>
        <v>49</v>
      </c>
      <c r="DI229" s="147"/>
      <c r="DJ229" s="111">
        <v>43516</v>
      </c>
      <c r="DK229" s="112">
        <v>42994</v>
      </c>
      <c r="DL229" s="113">
        <f t="shared" ca="1" si="138"/>
        <v>2110</v>
      </c>
      <c r="DM229" s="114"/>
      <c r="DN229" s="114"/>
      <c r="DO229" s="114"/>
      <c r="DP229" s="114"/>
      <c r="DQ229" s="112">
        <v>43159</v>
      </c>
      <c r="DR229" s="114" t="s">
        <v>198</v>
      </c>
      <c r="DS229" s="114"/>
      <c r="DT229" s="115">
        <v>50</v>
      </c>
      <c r="DU229" s="116">
        <f t="shared" si="139"/>
        <v>0.16578947368421051</v>
      </c>
      <c r="DV229" s="117">
        <f t="shared" si="140"/>
        <v>5.2193987999999996</v>
      </c>
      <c r="DW229" s="118">
        <f t="shared" si="141"/>
        <v>6.3</v>
      </c>
      <c r="DX229" s="119">
        <f t="shared" si="173"/>
        <v>0.9</v>
      </c>
      <c r="DY229" s="115">
        <f t="shared" si="142"/>
        <v>1.9000000000000006</v>
      </c>
      <c r="DZ229" s="117">
        <f t="shared" si="143"/>
        <v>0</v>
      </c>
      <c r="EA229" s="120">
        <f t="shared" si="143"/>
        <v>0</v>
      </c>
      <c r="EB229" s="119">
        <f t="shared" si="143"/>
        <v>0</v>
      </c>
      <c r="EC229" s="121">
        <f t="shared" si="144"/>
        <v>0</v>
      </c>
      <c r="ED229" s="122"/>
      <c r="EE229" s="145">
        <v>65</v>
      </c>
      <c r="EF229" s="148">
        <v>27</v>
      </c>
      <c r="EG229" s="115">
        <v>41</v>
      </c>
      <c r="EH229" s="115">
        <v>26</v>
      </c>
      <c r="EI229" s="128" t="s">
        <v>195</v>
      </c>
      <c r="EJ229" s="121">
        <v>24</v>
      </c>
      <c r="EK229" s="121">
        <v>0</v>
      </c>
      <c r="EL229" s="149">
        <v>4.1507399999999999</v>
      </c>
      <c r="EM229" s="142">
        <v>5</v>
      </c>
      <c r="EN229" s="119">
        <v>0.7</v>
      </c>
      <c r="EO229" s="115">
        <v>12</v>
      </c>
      <c r="EP229" s="115">
        <v>240.92089603299652</v>
      </c>
      <c r="EQ229" s="115">
        <v>72</v>
      </c>
      <c r="ER229" s="115">
        <v>11</v>
      </c>
      <c r="ES229" s="115">
        <v>50</v>
      </c>
      <c r="ET229" s="150">
        <v>0.13157894736842105</v>
      </c>
      <c r="EU229" s="145">
        <f t="shared" si="174"/>
        <v>65</v>
      </c>
      <c r="EV229" s="115">
        <f t="shared" si="175"/>
        <v>25</v>
      </c>
      <c r="EW229" s="115">
        <f t="shared" si="175"/>
        <v>39</v>
      </c>
      <c r="EX229" s="115">
        <f t="shared" si="175"/>
        <v>24</v>
      </c>
      <c r="EY229" s="115" t="str">
        <f t="shared" si="156"/>
        <v>Постоянный</v>
      </c>
      <c r="EZ229" s="115">
        <f t="shared" si="156"/>
        <v>24</v>
      </c>
      <c r="FA229" s="115">
        <f t="shared" si="156"/>
        <v>0</v>
      </c>
      <c r="FB229" s="149">
        <f t="shared" si="176"/>
        <v>5.2193987999999996</v>
      </c>
      <c r="FC229" s="142">
        <f t="shared" si="176"/>
        <v>6.3</v>
      </c>
      <c r="FD229" s="119">
        <f t="shared" si="176"/>
        <v>0.9</v>
      </c>
      <c r="FE229" s="121">
        <f t="shared" si="176"/>
        <v>11.5</v>
      </c>
      <c r="FF229" s="121">
        <f t="shared" si="145"/>
        <v>364.02660015172643</v>
      </c>
      <c r="FG229" s="121">
        <f t="shared" si="177"/>
        <v>72</v>
      </c>
      <c r="FH229" s="121">
        <f t="shared" si="146"/>
        <v>9.6</v>
      </c>
      <c r="FI229" s="121">
        <f t="shared" si="154"/>
        <v>49</v>
      </c>
      <c r="FJ229" s="144">
        <f t="shared" si="178"/>
        <v>0.16153846153846155</v>
      </c>
      <c r="FK229" s="132">
        <f t="shared" si="179"/>
        <v>0</v>
      </c>
      <c r="FL229" s="115">
        <f t="shared" si="179"/>
        <v>-2</v>
      </c>
      <c r="FM229" s="115">
        <f t="shared" si="179"/>
        <v>-2</v>
      </c>
      <c r="FN229" s="115">
        <f t="shared" si="162"/>
        <v>-2</v>
      </c>
      <c r="FO229" s="115">
        <f t="shared" si="150"/>
        <v>0</v>
      </c>
      <c r="FP229" s="115">
        <f t="shared" si="150"/>
        <v>0</v>
      </c>
      <c r="FQ229" s="149">
        <f t="shared" si="150"/>
        <v>1.0686587999999997</v>
      </c>
      <c r="FR229" s="142">
        <f t="shared" si="148"/>
        <v>1.2999999999999998</v>
      </c>
      <c r="FS229" s="119">
        <f t="shared" si="148"/>
        <v>0.20000000000000007</v>
      </c>
      <c r="FT229" s="121">
        <f t="shared" si="148"/>
        <v>-0.5</v>
      </c>
      <c r="FU229" s="121">
        <f t="shared" si="180"/>
        <v>0</v>
      </c>
      <c r="FV229" s="121">
        <f t="shared" si="180"/>
        <v>-1.4000000000000004</v>
      </c>
      <c r="FW229" s="121">
        <f t="shared" si="181"/>
        <v>123.1057041187299</v>
      </c>
      <c r="FX229" s="121">
        <f t="shared" si="182"/>
        <v>-1</v>
      </c>
      <c r="FY229" s="144">
        <f t="shared" si="182"/>
        <v>2.9959514170040502E-2</v>
      </c>
      <c r="FZ229" s="145" t="s">
        <v>199</v>
      </c>
      <c r="GA229" s="1034" t="s">
        <v>200</v>
      </c>
      <c r="GB229" s="145" t="s">
        <v>199</v>
      </c>
      <c r="GC229" s="125" t="s">
        <v>415</v>
      </c>
      <c r="GD229" s="997" t="s">
        <v>202</v>
      </c>
      <c r="GE229" s="1004" t="s">
        <v>199</v>
      </c>
      <c r="GF229" s="1004">
        <v>-1.1745799999999997</v>
      </c>
      <c r="GG229" s="1004"/>
      <c r="GH229" s="1004">
        <v>-8.1510000000000637E-2</v>
      </c>
      <c r="GI229" s="145"/>
      <c r="GJ229" s="996">
        <v>-0.70409591999999943</v>
      </c>
      <c r="GK229" s="145"/>
      <c r="GL229" s="996">
        <v>0.56573792000000012</v>
      </c>
      <c r="GM229" s="1005"/>
      <c r="GN229" s="996">
        <v>0</v>
      </c>
      <c r="GO229" s="1006"/>
      <c r="GP229" s="996">
        <v>0.58812599999999993</v>
      </c>
      <c r="GQ229" s="1006"/>
      <c r="GR229" s="996">
        <v>0</v>
      </c>
      <c r="GS229" s="1006"/>
      <c r="GT229" s="996">
        <v>-0.22948199999999996</v>
      </c>
      <c r="GU229" s="1006"/>
      <c r="GV229" s="996">
        <v>0.10366399999999931</v>
      </c>
      <c r="GW229" s="1006" t="s">
        <v>203</v>
      </c>
      <c r="GX229" s="1035">
        <v>-0.92946479999999898</v>
      </c>
      <c r="GY229" s="1006" t="s">
        <v>203</v>
      </c>
      <c r="GZ229" s="996">
        <v>-1.7876552000000006</v>
      </c>
      <c r="HA229" s="1006" t="s">
        <v>25</v>
      </c>
      <c r="HB229" s="996">
        <v>7.1770264764</v>
      </c>
      <c r="HC229" s="1006" t="s">
        <v>241</v>
      </c>
      <c r="HD229" s="996">
        <v>0</v>
      </c>
      <c r="HE229" s="1006" t="s">
        <v>199</v>
      </c>
      <c r="HF229" s="996">
        <v>-4.9416360444</v>
      </c>
      <c r="HG229" s="1006"/>
      <c r="HH229" s="996">
        <v>0.31300926799999917</v>
      </c>
      <c r="HI229" s="1006" t="s">
        <v>221</v>
      </c>
      <c r="HJ229" s="996">
        <v>-1.7336549999999997</v>
      </c>
      <c r="HK229" s="1006" t="s">
        <v>221</v>
      </c>
      <c r="HL229" s="996">
        <v>1.6358722600000002</v>
      </c>
      <c r="HM229" s="1006"/>
      <c r="HN229" s="996">
        <v>-0.10229295999999977</v>
      </c>
      <c r="HO229" s="1006"/>
      <c r="HP229" s="996">
        <v>0</v>
      </c>
      <c r="HQ229" s="1006"/>
      <c r="HR229" s="996">
        <v>-8.3558200000002358E-3</v>
      </c>
      <c r="HS229" s="1006"/>
      <c r="HT229" s="996">
        <v>0</v>
      </c>
      <c r="HU229" s="1006"/>
      <c r="HV229" s="996">
        <v>-0.32922097999999966</v>
      </c>
      <c r="HW229" s="1006" t="s">
        <v>199</v>
      </c>
      <c r="HX229" s="996">
        <v>-2.1710585600000014</v>
      </c>
      <c r="HY229" s="1006" t="s">
        <v>199</v>
      </c>
      <c r="HZ229" s="996">
        <v>2.7735871680000006</v>
      </c>
      <c r="IA229" s="1006" t="s">
        <v>223</v>
      </c>
      <c r="IB229" s="996">
        <v>-1.1208486079999984</v>
      </c>
      <c r="IC229" s="1006"/>
      <c r="ID229" s="996">
        <v>0.51831999999999923</v>
      </c>
      <c r="IE229" s="1006"/>
      <c r="IF229" s="996">
        <v>0.8360000000000003</v>
      </c>
      <c r="IG229" s="1006"/>
      <c r="IH229" s="996">
        <v>0.83599999999999941</v>
      </c>
      <c r="II229" s="1006"/>
      <c r="IJ229" s="996">
        <v>-0.83599999999999941</v>
      </c>
      <c r="IK229" s="1006"/>
      <c r="IL229" s="996">
        <v>0</v>
      </c>
      <c r="IM229" s="1006" t="s">
        <v>199</v>
      </c>
      <c r="IN229" s="996">
        <v>-1.6720000000000006</v>
      </c>
      <c r="IO229" s="1006"/>
      <c r="IP229" s="996">
        <v>0</v>
      </c>
      <c r="IQ229" s="1006" t="s">
        <v>199</v>
      </c>
      <c r="IR229" s="996">
        <v>1.6720000000000006</v>
      </c>
      <c r="IS229" s="1006"/>
      <c r="IT229" s="996">
        <v>0</v>
      </c>
      <c r="IU229" s="1006"/>
      <c r="IV229" s="996">
        <v>0</v>
      </c>
      <c r="IW229" s="1006"/>
      <c r="IX229" s="996">
        <v>0</v>
      </c>
      <c r="IY229" s="1006"/>
      <c r="IZ229" s="996">
        <v>0</v>
      </c>
      <c r="JA229" s="1006" t="s">
        <v>199</v>
      </c>
      <c r="JB229" s="996">
        <v>-2.508</v>
      </c>
      <c r="JC229" s="1006"/>
      <c r="JD229" s="996">
        <v>0</v>
      </c>
      <c r="JE229" s="1006"/>
      <c r="JF229" s="996">
        <v>0</v>
      </c>
      <c r="JG229" s="1006" t="s">
        <v>204</v>
      </c>
      <c r="JH229" s="996">
        <v>-4.7652000000000001</v>
      </c>
      <c r="JI229" s="1006" t="s">
        <v>199</v>
      </c>
      <c r="JJ229" s="996">
        <v>8.5272000000000006</v>
      </c>
      <c r="JK229" s="1007"/>
      <c r="JL229" s="1007">
        <v>2.5288999999999895E-2</v>
      </c>
      <c r="JM229" s="1007"/>
      <c r="JN229" s="1007">
        <v>0</v>
      </c>
      <c r="JO229" s="1008" t="s">
        <v>199</v>
      </c>
      <c r="JP229" s="1007">
        <v>-2.8267668000000006</v>
      </c>
      <c r="JQ229" s="1008" t="s">
        <v>199</v>
      </c>
      <c r="JR229" s="1007">
        <v>-10.149499800000001</v>
      </c>
      <c r="JS229" s="1008" t="s">
        <v>199</v>
      </c>
      <c r="JT229" s="1007">
        <v>5.9128608000000025</v>
      </c>
      <c r="JU229" s="1008" t="s">
        <v>199</v>
      </c>
      <c r="JV229" s="1007">
        <v>-7.5918831999999998</v>
      </c>
      <c r="JW229" s="1008" t="s">
        <v>221</v>
      </c>
      <c r="JX229" s="1007">
        <v>10.031999999999998</v>
      </c>
      <c r="JY229" s="1008"/>
      <c r="JZ229" s="1007">
        <v>0</v>
      </c>
      <c r="KA229" s="1008"/>
      <c r="KB229" s="1007">
        <v>0</v>
      </c>
      <c r="KC229" s="1008"/>
      <c r="KD229" s="1007">
        <v>0</v>
      </c>
      <c r="KE229" s="1008" t="s">
        <v>199</v>
      </c>
      <c r="KF229" s="1007">
        <v>-4.18</v>
      </c>
      <c r="KG229" s="1008"/>
      <c r="KH229" s="1007">
        <v>0</v>
      </c>
      <c r="KI229" s="1008" t="s">
        <v>207</v>
      </c>
      <c r="KJ229" s="1007">
        <v>4.18</v>
      </c>
      <c r="KK229" s="1008"/>
      <c r="KL229" s="1007">
        <v>0</v>
      </c>
      <c r="KM229" s="1008" t="s">
        <v>207</v>
      </c>
      <c r="KN229" s="1007">
        <v>-5.016</v>
      </c>
      <c r="KO229" s="1008" t="s">
        <v>206</v>
      </c>
      <c r="KP229" s="1007">
        <v>-0.8360000000000003</v>
      </c>
      <c r="KQ229" s="1008" t="s">
        <v>207</v>
      </c>
      <c r="KR229" s="1007">
        <v>2.5920180000000013</v>
      </c>
      <c r="KS229" s="1008" t="s">
        <v>204</v>
      </c>
      <c r="KT229" s="1007">
        <v>0.83039879999999933</v>
      </c>
      <c r="KU229" s="1008">
        <v>0</v>
      </c>
      <c r="KV229" s="1007">
        <v>0</v>
      </c>
      <c r="KW229" s="1008" t="s">
        <v>203</v>
      </c>
      <c r="KX229" s="1007">
        <v>-2.5864168000000003</v>
      </c>
      <c r="KY229" s="1008">
        <v>0</v>
      </c>
      <c r="KZ229" s="1007">
        <v>0</v>
      </c>
      <c r="LA229" s="1008" t="s">
        <v>25</v>
      </c>
      <c r="LB229" s="1007">
        <v>0</v>
      </c>
      <c r="LC229" s="1008">
        <v>0</v>
      </c>
      <c r="LD229" s="1007">
        <v>0</v>
      </c>
      <c r="LE229" s="1008" t="s">
        <v>206</v>
      </c>
      <c r="LF229" s="1007">
        <v>2.9343600000000007</v>
      </c>
      <c r="LG229" s="1008">
        <v>0</v>
      </c>
      <c r="LH229" s="1007">
        <v>0</v>
      </c>
      <c r="LI229" s="1008">
        <v>0</v>
      </c>
      <c r="LJ229" s="1007">
        <v>0</v>
      </c>
      <c r="LK229" s="1008" t="s">
        <v>224</v>
      </c>
      <c r="LL229" s="1007">
        <v>-0.83449521199999999</v>
      </c>
      <c r="LM229" s="1008">
        <v>0</v>
      </c>
      <c r="LN229" s="1007">
        <v>0</v>
      </c>
      <c r="LO229" s="1008">
        <v>0</v>
      </c>
      <c r="LP229" s="1007">
        <v>-0.66759615999999999</v>
      </c>
      <c r="LQ229" s="1008">
        <v>0</v>
      </c>
      <c r="LR229" s="1007">
        <v>0</v>
      </c>
      <c r="LS229" s="1008">
        <v>0</v>
      </c>
      <c r="LT229" s="1007">
        <v>0</v>
      </c>
      <c r="LU229" s="1008">
        <v>0</v>
      </c>
      <c r="LV229" s="1007">
        <v>0</v>
      </c>
      <c r="LW229" s="1008">
        <v>0</v>
      </c>
      <c r="LX229" s="1007">
        <v>0</v>
      </c>
      <c r="LY229" s="1009" t="s">
        <v>206</v>
      </c>
      <c r="LZ229" s="1010">
        <v>-1.2517428000000006</v>
      </c>
      <c r="MA229" s="1011">
        <v>0</v>
      </c>
      <c r="MB229" s="1012">
        <v>0.83449519999999999</v>
      </c>
      <c r="MC229" s="995"/>
      <c r="MD229" s="996"/>
      <c r="ME229" s="997" t="s">
        <v>202</v>
      </c>
      <c r="MF229" s="997"/>
      <c r="MG229" s="998"/>
      <c r="NR229" s="1000"/>
      <c r="NS229" s="1000"/>
      <c r="NT229" s="1001"/>
      <c r="NU229" s="1000"/>
      <c r="NV229" s="1001"/>
      <c r="NX229" s="1002"/>
      <c r="NZ229" s="1001"/>
      <c r="OA229" s="1001"/>
      <c r="OC229" s="1003"/>
      <c r="OD229" s="1003"/>
      <c r="OE229" s="1001"/>
      <c r="OF229" s="1003"/>
      <c r="OG229" s="1003"/>
      <c r="QX229" s="1000">
        <f>CN229-CA229</f>
        <v>24</v>
      </c>
      <c r="ASU229" s="999" t="s">
        <v>208</v>
      </c>
    </row>
    <row r="230" spans="1:466 1191:1191" ht="21" customHeight="1" x14ac:dyDescent="0.25">
      <c r="A230" s="982">
        <f t="shared" si="163"/>
        <v>1123</v>
      </c>
      <c r="B230" s="124">
        <f>SUBTOTAL(103,$J$29:J230)</f>
        <v>202</v>
      </c>
      <c r="C230" s="126">
        <v>45068</v>
      </c>
      <c r="D230" s="124" t="s">
        <v>176</v>
      </c>
      <c r="E230" s="127" t="s">
        <v>177</v>
      </c>
      <c r="F230" s="128" t="s">
        <v>177</v>
      </c>
      <c r="G230" s="127" t="s">
        <v>178</v>
      </c>
      <c r="H230" s="127" t="s">
        <v>179</v>
      </c>
      <c r="I230" s="127" t="s">
        <v>209</v>
      </c>
      <c r="J230" s="152">
        <v>1123</v>
      </c>
      <c r="K230" s="127" t="s">
        <v>1070</v>
      </c>
      <c r="L230" s="130">
        <v>40510</v>
      </c>
      <c r="M230" s="127" t="s">
        <v>230</v>
      </c>
      <c r="N230" s="127" t="s">
        <v>184</v>
      </c>
      <c r="O230" s="127" t="s">
        <v>185</v>
      </c>
      <c r="P230" s="127" t="s">
        <v>292</v>
      </c>
      <c r="Q230" s="85" t="str">
        <f t="shared" si="183"/>
        <v/>
      </c>
      <c r="R230" s="130"/>
      <c r="S230" s="128" t="s">
        <v>156</v>
      </c>
      <c r="T230" s="131"/>
      <c r="U230" s="132">
        <v>203</v>
      </c>
      <c r="V230" s="121">
        <v>218.2</v>
      </c>
      <c r="W230" s="116">
        <v>0.98</v>
      </c>
      <c r="X230" s="116">
        <v>1.66</v>
      </c>
      <c r="Y230" s="116">
        <f t="shared" si="137"/>
        <v>1.0004920049200492</v>
      </c>
      <c r="Z230" s="133">
        <v>1.454</v>
      </c>
      <c r="AA230" s="133">
        <v>0.83599999999999997</v>
      </c>
      <c r="AB230" s="133">
        <v>0.72</v>
      </c>
      <c r="AC230" s="121">
        <v>34.299999999999997</v>
      </c>
      <c r="AD230" s="134">
        <v>1.17</v>
      </c>
      <c r="AE230" s="124">
        <v>139.69999999999999</v>
      </c>
      <c r="AF230" s="128">
        <v>7.72</v>
      </c>
      <c r="AG230" s="128">
        <v>1839</v>
      </c>
      <c r="AH230" s="127">
        <v>2400</v>
      </c>
      <c r="AI230" s="127">
        <v>2400</v>
      </c>
      <c r="AJ230" s="135"/>
      <c r="AK230" s="128"/>
      <c r="AL230" s="131"/>
      <c r="AM230" s="124" t="s">
        <v>232</v>
      </c>
      <c r="AN230" s="136" t="s">
        <v>1071</v>
      </c>
      <c r="AO230" s="137">
        <v>31.78</v>
      </c>
      <c r="AP230" s="128">
        <v>1839</v>
      </c>
      <c r="AQ230" s="128">
        <v>10.3</v>
      </c>
      <c r="AR230" s="128"/>
      <c r="AS230" s="128"/>
      <c r="AT230" s="122"/>
      <c r="AU230" s="124" t="s">
        <v>189</v>
      </c>
      <c r="AV230" s="115">
        <f>VLOOKUP(J230,'[63]ТР нефть'!$J$28:$BP$638,39,0)</f>
        <v>599.99999062500001</v>
      </c>
      <c r="AW230" s="115" t="str">
        <f>VLOOKUP(J230,'[63]ТР нефть'!$J$28:$BP$638,40,0)</f>
        <v>ГП</v>
      </c>
      <c r="AX230" s="115">
        <f>VLOOKUP(J230,'[63]ТР нефть'!$J$28:$BP$638,41,0)</f>
        <v>1199.99998125</v>
      </c>
      <c r="AY230" s="115" t="str">
        <f>VLOOKUP(J230,'[63]ТР нефть'!$J$28:$BP$638,42,0)</f>
        <v>ГК 78 1/8</v>
      </c>
      <c r="AZ230" s="115">
        <f>VLOOKUP(J230,'[63]ТР нефть'!$J$28:$BP$638,43,0)</f>
        <v>1749.999972656</v>
      </c>
      <c r="BA230" s="115" t="str">
        <f>VLOOKUP(J230,'[63]ТР нефть'!$J$28:$BP$638,44,0)</f>
        <v>ЦКсОК 5/16</v>
      </c>
      <c r="BB230" s="115" t="str">
        <f>VLOOKUP(J230,'[63]ТР нефть'!$J$28:$BP$638,45,0)</f>
        <v>-</v>
      </c>
      <c r="BC230" s="115" t="str">
        <f>VLOOKUP(J230,'[63]ТР нефть'!$J$28:$BP$638,46,0)</f>
        <v>-</v>
      </c>
      <c r="BD230" s="115" t="str">
        <f>VLOOKUP(J230,'[63]ТР нефть'!$J$28:$BP$638,47,0)</f>
        <v>-</v>
      </c>
      <c r="BE230" s="115" t="str">
        <f>VLOOKUP(J230,'[63]ТР нефть'!$J$28:$BP$638,48,0)</f>
        <v>-</v>
      </c>
      <c r="BF230" s="115" t="str">
        <f>VLOOKUP(J230,'[63]ТР нефть'!$J$28:$BP$638,49,0)</f>
        <v>-</v>
      </c>
      <c r="BG230" s="115" t="str">
        <f>VLOOKUP(J230,'[63]ТР нефть'!$J$28:$BP$638,50,0)</f>
        <v>-</v>
      </c>
      <c r="BH230" s="115">
        <f>VLOOKUP(J230,'[63]ТР нефть'!$J$28:$BP$638,51,0)</f>
        <v>1767</v>
      </c>
      <c r="BI230" s="115" t="str">
        <f>VLOOKUP(J230,'[63]ТР нефть'!$J$28:$BP$638,52,0)</f>
        <v>закрыт</v>
      </c>
      <c r="BJ230" s="115" t="str">
        <f>IF(IFERROR(VLOOKUP(J230,'[63]ТР нефть'!$J$28:$BP$638,53,0),"-")=0,"-",IFERROR(VLOOKUP(J230,'[63]ТР нефть'!$J$28:$BP$638,53,0),"-"))</f>
        <v>-</v>
      </c>
      <c r="BK230" s="138" t="str">
        <f>IF(IFERROR(VLOOKUP(J230,'[63]ТР нефть'!$J$28:$BP$638,54,0),"-")=0,"-",IFERROR(VLOOKUP(J230,'[63]ТР нефть'!$J$28:$BP$638,54,0),"-"))</f>
        <v>-</v>
      </c>
      <c r="BL230" s="138" t="str">
        <f>IF(IFERROR(VLOOKUP(J230,'[63]ТР нефть'!$J$28:$BP$638,55,0),"-")=0,"-",IFERROR(VLOOKUP(J230,'[63]ТР нефть'!$J$28:$BP$638,55,0),"-"))</f>
        <v>-</v>
      </c>
      <c r="BM230" s="138" t="str">
        <f>IF(IFERROR(VLOOKUP(J230,'[63]ТР нефть'!$J$28:$BP$638,56,0),"-")=0,"-",IFERROR(VLOOKUP(J230,'[63]ТР нефть'!$J$28:$BP$638,56,0),"-"))</f>
        <v>-</v>
      </c>
      <c r="BN230" s="138" t="str">
        <f>IF(IFERROR(VLOOKUP(J230,'[63]ТР нефть'!$J$28:$BP$638,57,0),"-")=0,"-",IFERROR(VLOOKUP(J230,'[63]ТР нефть'!$J$28:$BP$638,57,0),"-"))</f>
        <v>-</v>
      </c>
      <c r="BO230" s="115" t="str">
        <f>IF(IFERROR(VLOOKUP(J230,'[63]ТР нефть'!$J$28:$BP$638,58,0),"-")=0,"-",IFERROR(VLOOKUP(J230,'[63]ТР нефть'!$J$28:$BP$638,58,0),"-"))</f>
        <v>-</v>
      </c>
      <c r="BP230" s="115" t="str">
        <f>IF(IFERROR(VLOOKUP(J230,'[63]ТР нефть'!$J$28:$BP$638,59,0),"-")=0,"-",IFERROR(VLOOKUP(J230,'[63]ТР нефть'!$J$28:$BP$638,59,0),"-"))</f>
        <v>-</v>
      </c>
      <c r="BQ230" s="138">
        <v>1945</v>
      </c>
      <c r="BR230" s="128">
        <v>1876.33</v>
      </c>
      <c r="BS230" s="115">
        <f t="shared" si="164"/>
        <v>68.670000000000073</v>
      </c>
      <c r="BT230" s="128">
        <v>73</v>
      </c>
      <c r="BU230" s="128">
        <v>5.5</v>
      </c>
      <c r="BV230" s="127">
        <v>18</v>
      </c>
      <c r="BW230" s="127" t="s">
        <v>217</v>
      </c>
      <c r="BX230" s="127" t="s">
        <v>218</v>
      </c>
      <c r="BY230" s="139">
        <v>24</v>
      </c>
      <c r="BZ230" s="139">
        <v>720</v>
      </c>
      <c r="CA230" s="80">
        <v>23</v>
      </c>
      <c r="CB230" s="138">
        <v>41</v>
      </c>
      <c r="CC230" s="138">
        <v>22</v>
      </c>
      <c r="CD230" s="135">
        <v>45017</v>
      </c>
      <c r="CE230" s="138">
        <v>93</v>
      </c>
      <c r="CF230" s="138">
        <v>76</v>
      </c>
      <c r="CG230" s="138" t="str">
        <f t="shared" si="153"/>
        <v>В работе</v>
      </c>
      <c r="CH230" s="138" t="s">
        <v>196</v>
      </c>
      <c r="CI230" s="127">
        <v>5</v>
      </c>
      <c r="CJ230" s="138"/>
      <c r="CK230" s="138">
        <f t="shared" si="157"/>
        <v>19</v>
      </c>
      <c r="CL230" s="99"/>
      <c r="CM230" s="99"/>
      <c r="CN230" s="140">
        <v>42</v>
      </c>
      <c r="CO230" s="141">
        <f t="shared" si="165"/>
        <v>0.79419999999999991</v>
      </c>
      <c r="CP230" s="142">
        <v>1</v>
      </c>
      <c r="CQ230" s="143">
        <v>5</v>
      </c>
      <c r="CR230" s="138">
        <v>1</v>
      </c>
      <c r="CS230" s="139">
        <v>0.6</v>
      </c>
      <c r="CT230" s="138"/>
      <c r="CU230" s="138">
        <f t="shared" si="184"/>
        <v>0.4</v>
      </c>
      <c r="CV230" s="115">
        <f t="shared" si="186"/>
        <v>503.65147318055909</v>
      </c>
      <c r="CW230" s="115">
        <f t="shared" si="166"/>
        <v>704.14270625513439</v>
      </c>
      <c r="CX230" s="133">
        <f t="shared" si="185"/>
        <v>1.9607843137254902E-2</v>
      </c>
      <c r="CY230" s="116"/>
      <c r="CZ230" s="131"/>
      <c r="DA230" s="145" t="str">
        <f t="shared" si="167"/>
        <v>Газлифт</v>
      </c>
      <c r="DB230" s="146">
        <f t="shared" si="168"/>
        <v>0.79419999999999991</v>
      </c>
      <c r="DC230" s="142">
        <f t="shared" si="151"/>
        <v>1</v>
      </c>
      <c r="DD230" s="119">
        <f t="shared" si="152"/>
        <v>5</v>
      </c>
      <c r="DE230" s="115">
        <f t="shared" si="169"/>
        <v>0.4</v>
      </c>
      <c r="DF230" s="121">
        <f t="shared" si="170"/>
        <v>0.6</v>
      </c>
      <c r="DG230" s="115">
        <f t="shared" si="171"/>
        <v>503.65147318055909</v>
      </c>
      <c r="DH230" s="115">
        <f t="shared" si="172"/>
        <v>42</v>
      </c>
      <c r="DI230" s="147"/>
      <c r="DJ230" s="111">
        <v>43506</v>
      </c>
      <c r="DK230" s="112">
        <v>40510</v>
      </c>
      <c r="DL230" s="113">
        <f t="shared" ca="1" si="138"/>
        <v>4594</v>
      </c>
      <c r="DM230" s="114"/>
      <c r="DN230" s="114"/>
      <c r="DO230" s="114"/>
      <c r="DP230" s="114"/>
      <c r="DQ230" s="112">
        <v>41156</v>
      </c>
      <c r="DR230" s="114" t="s">
        <v>198</v>
      </c>
      <c r="DS230" s="114"/>
      <c r="DT230" s="115">
        <v>55</v>
      </c>
      <c r="DU230" s="116">
        <f t="shared" si="139"/>
        <v>2.6315789473684209E-2</v>
      </c>
      <c r="DV230" s="117">
        <f t="shared" si="140"/>
        <v>0.79419999999999991</v>
      </c>
      <c r="DW230" s="118">
        <f t="shared" si="141"/>
        <v>1</v>
      </c>
      <c r="DX230" s="119">
        <f t="shared" si="173"/>
        <v>5</v>
      </c>
      <c r="DY230" s="115">
        <f t="shared" si="142"/>
        <v>0.4</v>
      </c>
      <c r="DZ230" s="117">
        <f t="shared" si="143"/>
        <v>0</v>
      </c>
      <c r="EA230" s="120">
        <f t="shared" si="143"/>
        <v>0</v>
      </c>
      <c r="EB230" s="119">
        <f t="shared" si="143"/>
        <v>0</v>
      </c>
      <c r="EC230" s="121">
        <f t="shared" si="144"/>
        <v>0</v>
      </c>
      <c r="ED230" s="122"/>
      <c r="EE230" s="145">
        <v>18</v>
      </c>
      <c r="EF230" s="148">
        <v>23</v>
      </c>
      <c r="EG230" s="115">
        <v>36</v>
      </c>
      <c r="EH230" s="115">
        <v>22</v>
      </c>
      <c r="EI230" s="128" t="s">
        <v>218</v>
      </c>
      <c r="EJ230" s="121">
        <v>24</v>
      </c>
      <c r="EK230" s="121">
        <v>720</v>
      </c>
      <c r="EL230" s="149">
        <v>0.79419999999999991</v>
      </c>
      <c r="EM230" s="142">
        <v>1</v>
      </c>
      <c r="EN230" s="119">
        <v>5</v>
      </c>
      <c r="EO230" s="115">
        <v>1</v>
      </c>
      <c r="EP230" s="115">
        <v>503.65147318055909</v>
      </c>
      <c r="EQ230" s="115">
        <v>76</v>
      </c>
      <c r="ER230" s="115">
        <v>0.6</v>
      </c>
      <c r="ES230" s="115">
        <v>42</v>
      </c>
      <c r="ET230" s="150">
        <v>1.9607843137254902E-2</v>
      </c>
      <c r="EU230" s="145">
        <f t="shared" si="174"/>
        <v>18</v>
      </c>
      <c r="EV230" s="115">
        <f t="shared" si="175"/>
        <v>23</v>
      </c>
      <c r="EW230" s="115">
        <f t="shared" si="175"/>
        <v>41</v>
      </c>
      <c r="EX230" s="115">
        <f t="shared" si="175"/>
        <v>22</v>
      </c>
      <c r="EY230" s="115" t="str">
        <f t="shared" si="156"/>
        <v>Периодический</v>
      </c>
      <c r="EZ230" s="115">
        <f t="shared" si="156"/>
        <v>24</v>
      </c>
      <c r="FA230" s="115">
        <f t="shared" si="156"/>
        <v>720</v>
      </c>
      <c r="FB230" s="149">
        <f t="shared" si="176"/>
        <v>0.79419999999999991</v>
      </c>
      <c r="FC230" s="142">
        <f t="shared" si="176"/>
        <v>1</v>
      </c>
      <c r="FD230" s="119">
        <f t="shared" si="176"/>
        <v>5</v>
      </c>
      <c r="FE230" s="121">
        <f t="shared" si="176"/>
        <v>1</v>
      </c>
      <c r="FF230" s="121">
        <f t="shared" si="145"/>
        <v>503.65147318055909</v>
      </c>
      <c r="FG230" s="121">
        <f t="shared" si="177"/>
        <v>76</v>
      </c>
      <c r="FH230" s="121">
        <f t="shared" si="146"/>
        <v>0.6</v>
      </c>
      <c r="FI230" s="121">
        <f t="shared" si="154"/>
        <v>42</v>
      </c>
      <c r="FJ230" s="144">
        <f t="shared" si="178"/>
        <v>1.9607843137254902E-2</v>
      </c>
      <c r="FK230" s="132">
        <f t="shared" si="179"/>
        <v>0</v>
      </c>
      <c r="FL230" s="115">
        <f t="shared" si="179"/>
        <v>0</v>
      </c>
      <c r="FM230" s="115">
        <f t="shared" si="179"/>
        <v>5</v>
      </c>
      <c r="FN230" s="115">
        <f t="shared" si="162"/>
        <v>0</v>
      </c>
      <c r="FO230" s="115">
        <f t="shared" si="150"/>
        <v>0</v>
      </c>
      <c r="FP230" s="115">
        <f t="shared" si="150"/>
        <v>0</v>
      </c>
      <c r="FQ230" s="149">
        <f t="shared" si="150"/>
        <v>0</v>
      </c>
      <c r="FR230" s="142">
        <f t="shared" si="148"/>
        <v>0</v>
      </c>
      <c r="FS230" s="119">
        <f t="shared" si="148"/>
        <v>0</v>
      </c>
      <c r="FT230" s="121">
        <f t="shared" si="148"/>
        <v>0</v>
      </c>
      <c r="FU230" s="121">
        <f t="shared" si="180"/>
        <v>0</v>
      </c>
      <c r="FV230" s="121">
        <f t="shared" si="180"/>
        <v>0</v>
      </c>
      <c r="FW230" s="121">
        <f t="shared" si="181"/>
        <v>0</v>
      </c>
      <c r="FX230" s="121">
        <f t="shared" si="182"/>
        <v>0</v>
      </c>
      <c r="FY230" s="144">
        <f t="shared" si="182"/>
        <v>0</v>
      </c>
      <c r="FZ230" s="145"/>
      <c r="GA230" s="151"/>
      <c r="GB230" s="145"/>
      <c r="GC230" s="151" t="s">
        <v>1072</v>
      </c>
      <c r="GD230" s="997" t="s">
        <v>220</v>
      </c>
      <c r="GE230" s="1004"/>
      <c r="GF230" s="1004">
        <v>0</v>
      </c>
      <c r="GG230" s="1004"/>
      <c r="GH230" s="1004">
        <v>0</v>
      </c>
      <c r="GI230" s="145"/>
      <c r="GJ230" s="996">
        <v>0</v>
      </c>
      <c r="GK230" s="145"/>
      <c r="GL230" s="996">
        <v>0</v>
      </c>
      <c r="GM230" s="1005"/>
      <c r="GN230" s="996">
        <v>0</v>
      </c>
      <c r="GO230" s="1006"/>
      <c r="GP230" s="996">
        <v>0</v>
      </c>
      <c r="GQ230" s="1006"/>
      <c r="GR230" s="996">
        <v>0</v>
      </c>
      <c r="GS230" s="1006"/>
      <c r="GT230" s="996">
        <v>0</v>
      </c>
      <c r="GU230" s="1006"/>
      <c r="GV230" s="996">
        <v>0</v>
      </c>
      <c r="GW230" s="1006"/>
      <c r="GX230" s="1036">
        <v>0</v>
      </c>
      <c r="GY230" s="1006"/>
      <c r="GZ230" s="996">
        <v>0</v>
      </c>
      <c r="HA230" s="1006"/>
      <c r="HB230" s="996">
        <v>0</v>
      </c>
      <c r="HC230" s="1006"/>
      <c r="HD230" s="996">
        <v>0</v>
      </c>
      <c r="HE230" s="1006"/>
      <c r="HF230" s="996">
        <v>0</v>
      </c>
      <c r="HG230" s="1006"/>
      <c r="HH230" s="996">
        <v>-7.5173120000000204E-2</v>
      </c>
      <c r="HI230" s="1006"/>
      <c r="HJ230" s="996">
        <v>0</v>
      </c>
      <c r="HK230" s="1006" t="s">
        <v>199</v>
      </c>
      <c r="HL230" s="996">
        <v>-6.06942688</v>
      </c>
      <c r="HM230" s="1006"/>
      <c r="HN230" s="996">
        <v>0</v>
      </c>
      <c r="HO230" s="1006"/>
      <c r="HP230" s="996">
        <v>0</v>
      </c>
      <c r="HQ230" s="1006"/>
      <c r="HR230" s="996">
        <v>0</v>
      </c>
      <c r="HS230" s="1006"/>
      <c r="HT230" s="996">
        <v>0</v>
      </c>
      <c r="HU230" s="1006"/>
      <c r="HV230" s="996">
        <v>-0.83599999999999941</v>
      </c>
      <c r="HW230" s="1006" t="s">
        <v>199</v>
      </c>
      <c r="HX230" s="996">
        <v>4.8488000000000007</v>
      </c>
      <c r="HY230" s="1006"/>
      <c r="HZ230" s="996">
        <v>-0.75240000000000062</v>
      </c>
      <c r="IA230" s="1006"/>
      <c r="IB230" s="996">
        <v>0</v>
      </c>
      <c r="IC230" s="1006" t="s">
        <v>199</v>
      </c>
      <c r="ID230" s="996">
        <v>-15.541329451999999</v>
      </c>
      <c r="IE230" s="1006"/>
      <c r="IF230" s="996">
        <v>0</v>
      </c>
      <c r="IG230" s="1006"/>
      <c r="IH230" s="996">
        <v>0</v>
      </c>
      <c r="II230" s="1006"/>
      <c r="IJ230" s="996">
        <v>0</v>
      </c>
      <c r="IK230" s="1006"/>
      <c r="IL230" s="996">
        <v>0</v>
      </c>
      <c r="IM230" s="1006"/>
      <c r="IN230" s="996">
        <v>0</v>
      </c>
      <c r="IO230" s="1006"/>
      <c r="IP230" s="996">
        <v>0</v>
      </c>
      <c r="IQ230" s="1006" t="s">
        <v>199</v>
      </c>
      <c r="IR230" s="996">
        <v>3.3357294520000007</v>
      </c>
      <c r="IS230" s="1006"/>
      <c r="IT230" s="996">
        <v>0</v>
      </c>
      <c r="IU230" s="1006"/>
      <c r="IV230" s="996">
        <v>0</v>
      </c>
      <c r="IW230" s="1006"/>
      <c r="IX230" s="996">
        <v>0</v>
      </c>
      <c r="IY230" s="1006" t="s">
        <v>199</v>
      </c>
      <c r="IZ230" s="996">
        <v>3.3439999999999994</v>
      </c>
      <c r="JA230" s="1006"/>
      <c r="JB230" s="996">
        <v>0</v>
      </c>
      <c r="JC230" s="1006" t="s">
        <v>205</v>
      </c>
      <c r="JD230" s="996">
        <v>6.9387999999999996</v>
      </c>
      <c r="JE230" s="1006" t="s">
        <v>199</v>
      </c>
      <c r="JF230" s="996">
        <v>-6.1027999999999993</v>
      </c>
      <c r="JG230" s="1006" t="s">
        <v>199</v>
      </c>
      <c r="JH230" s="996">
        <v>1.5047999999999995</v>
      </c>
      <c r="JI230" s="1006" t="s">
        <v>204</v>
      </c>
      <c r="JJ230" s="996">
        <v>-5.6847999999999992</v>
      </c>
      <c r="JK230" s="1007"/>
      <c r="JL230" s="1007">
        <v>0</v>
      </c>
      <c r="JM230" s="1007"/>
      <c r="JN230" s="1007">
        <v>4.7651999999997585E-2</v>
      </c>
      <c r="JO230" s="1008"/>
      <c r="JP230" s="1007">
        <v>0</v>
      </c>
      <c r="JQ230" s="1008" t="s">
        <v>204</v>
      </c>
      <c r="JR230" s="1007">
        <v>-5.8344439999999977</v>
      </c>
      <c r="JS230" s="1008">
        <v>0</v>
      </c>
      <c r="JT230" s="1007">
        <v>0</v>
      </c>
      <c r="JU230" s="1008"/>
      <c r="JV230" s="1007">
        <v>0</v>
      </c>
      <c r="JW230" s="1008" t="s">
        <v>206</v>
      </c>
      <c r="JX230" s="1007">
        <v>1.6669839999999994</v>
      </c>
      <c r="JY230" s="1008"/>
      <c r="JZ230" s="1007">
        <v>0</v>
      </c>
      <c r="KA230" s="1008"/>
      <c r="KB230" s="1007">
        <v>0</v>
      </c>
      <c r="KC230" s="1008" t="s">
        <v>204</v>
      </c>
      <c r="KD230" s="1007">
        <v>-4.1674599999999984</v>
      </c>
      <c r="KE230" s="1008" t="s">
        <v>204</v>
      </c>
      <c r="KF230" s="1007">
        <v>6.6679359999999974</v>
      </c>
      <c r="KG230" s="1008"/>
      <c r="KH230" s="1007">
        <v>0</v>
      </c>
      <c r="KI230" s="1008"/>
      <c r="KJ230" s="1007">
        <v>0</v>
      </c>
      <c r="KK230" s="1008"/>
      <c r="KL230" s="1007">
        <v>0</v>
      </c>
      <c r="KM230" s="1008" t="s">
        <v>206</v>
      </c>
      <c r="KN230" s="1007">
        <v>5.9678027200000017</v>
      </c>
      <c r="KO230" s="1008" t="s">
        <v>240</v>
      </c>
      <c r="KP230" s="1007">
        <v>-1.8003427200000015</v>
      </c>
      <c r="KQ230" s="1008">
        <v>0</v>
      </c>
      <c r="KR230" s="1007">
        <v>0</v>
      </c>
      <c r="KS230" s="1008">
        <v>0</v>
      </c>
      <c r="KT230" s="1007">
        <v>0</v>
      </c>
      <c r="KU230" s="1008">
        <v>0</v>
      </c>
      <c r="KV230" s="1007">
        <v>0</v>
      </c>
      <c r="KW230" s="1008">
        <v>0</v>
      </c>
      <c r="KX230" s="1007">
        <v>0</v>
      </c>
      <c r="KY230" s="1008">
        <v>0</v>
      </c>
      <c r="KZ230" s="1007">
        <v>0</v>
      </c>
      <c r="LA230" s="1008">
        <v>0</v>
      </c>
      <c r="LB230" s="1007">
        <v>0</v>
      </c>
      <c r="LC230" s="1008">
        <v>0</v>
      </c>
      <c r="LD230" s="1007">
        <v>0</v>
      </c>
      <c r="LE230" s="1008">
        <v>0</v>
      </c>
      <c r="LF230" s="1007">
        <v>0</v>
      </c>
      <c r="LG230" s="1008" t="s">
        <v>206</v>
      </c>
      <c r="LH230" s="1007">
        <v>-1.25238</v>
      </c>
      <c r="LI230" s="1008">
        <v>0</v>
      </c>
      <c r="LJ230" s="1007">
        <v>0</v>
      </c>
      <c r="LK230" s="1008" t="s">
        <v>206</v>
      </c>
      <c r="LL230" s="1007">
        <v>0.97295430000000005</v>
      </c>
      <c r="LM230" s="1008" t="s">
        <v>555</v>
      </c>
      <c r="LN230" s="1007">
        <v>-0.61368999999999996</v>
      </c>
      <c r="LO230" s="1008">
        <v>0</v>
      </c>
      <c r="LP230" s="1007">
        <v>0</v>
      </c>
      <c r="LQ230" s="1008">
        <v>0</v>
      </c>
      <c r="LR230" s="1007">
        <v>0</v>
      </c>
      <c r="LS230" s="1008">
        <v>0</v>
      </c>
      <c r="LT230" s="1007">
        <v>0.58518399999999005</v>
      </c>
      <c r="LU230" s="1008">
        <v>0</v>
      </c>
      <c r="LV230" s="1007">
        <v>0</v>
      </c>
      <c r="LW230" s="1008" t="s">
        <v>206</v>
      </c>
      <c r="LX230" s="1007">
        <v>1.2273817600000019</v>
      </c>
      <c r="LY230" s="1009">
        <v>0</v>
      </c>
      <c r="LZ230" s="1010">
        <v>-0.51771361999999999</v>
      </c>
      <c r="MA230" s="1011">
        <v>0</v>
      </c>
      <c r="MB230" s="1012">
        <v>0</v>
      </c>
      <c r="MC230" s="995"/>
      <c r="MD230" s="996"/>
      <c r="ME230" s="997" t="s">
        <v>220</v>
      </c>
      <c r="MF230" s="997"/>
      <c r="MG230" s="998"/>
      <c r="NR230" s="1000"/>
      <c r="NS230" s="1000"/>
      <c r="NT230" s="1001"/>
      <c r="NU230" s="1000"/>
      <c r="NV230" s="1001"/>
      <c r="NX230" s="1002"/>
      <c r="NZ230" s="1001"/>
      <c r="OA230" s="1001"/>
      <c r="OC230" s="1003"/>
      <c r="OD230" s="1003"/>
      <c r="OE230" s="1001"/>
      <c r="OF230" s="1003"/>
      <c r="OG230" s="1003"/>
      <c r="QX230" s="1000">
        <f>CN230-CA230</f>
        <v>19</v>
      </c>
      <c r="ASU230" s="999" t="s">
        <v>225</v>
      </c>
    </row>
    <row r="231" spans="1:466 1191:1191" ht="33.75" x14ac:dyDescent="0.25">
      <c r="A231" s="982" t="str">
        <f t="shared" si="163"/>
        <v>1123-1</v>
      </c>
      <c r="B231" s="124">
        <f>SUBTOTAL(103,$J$29:J231)</f>
        <v>203</v>
      </c>
      <c r="C231" s="126">
        <v>45068</v>
      </c>
      <c r="D231" s="124" t="s">
        <v>176</v>
      </c>
      <c r="E231" s="127" t="s">
        <v>177</v>
      </c>
      <c r="F231" s="128" t="s">
        <v>177</v>
      </c>
      <c r="G231" s="127" t="s">
        <v>178</v>
      </c>
      <c r="H231" s="127" t="s">
        <v>179</v>
      </c>
      <c r="I231" s="127" t="s">
        <v>209</v>
      </c>
      <c r="J231" s="152" t="s">
        <v>1073</v>
      </c>
      <c r="K231" s="127" t="s">
        <v>1070</v>
      </c>
      <c r="L231" s="130">
        <v>40957</v>
      </c>
      <c r="M231" s="127" t="s">
        <v>230</v>
      </c>
      <c r="N231" s="127" t="s">
        <v>184</v>
      </c>
      <c r="O231" s="127" t="s">
        <v>185</v>
      </c>
      <c r="P231" s="127" t="s">
        <v>186</v>
      </c>
      <c r="Q231" s="85" t="str">
        <f t="shared" si="183"/>
        <v/>
      </c>
      <c r="R231" s="130"/>
      <c r="S231" s="128" t="s">
        <v>156</v>
      </c>
      <c r="T231" s="131"/>
      <c r="U231" s="132">
        <v>203</v>
      </c>
      <c r="V231" s="121">
        <v>218.2</v>
      </c>
      <c r="W231" s="116">
        <v>0.98</v>
      </c>
      <c r="X231" s="116">
        <v>1.66</v>
      </c>
      <c r="Y231" s="116">
        <f t="shared" si="137"/>
        <v>0.98605891623227049</v>
      </c>
      <c r="Z231" s="133">
        <v>1.454</v>
      </c>
      <c r="AA231" s="133">
        <v>0.83599999999999997</v>
      </c>
      <c r="AB231" s="133">
        <v>0.72</v>
      </c>
      <c r="AC231" s="121">
        <v>34.299999999999997</v>
      </c>
      <c r="AD231" s="134">
        <v>1.17</v>
      </c>
      <c r="AE231" s="124">
        <v>139.69999999999999</v>
      </c>
      <c r="AF231" s="128">
        <v>7.72</v>
      </c>
      <c r="AG231" s="128">
        <v>1840</v>
      </c>
      <c r="AH231" s="127">
        <v>2450</v>
      </c>
      <c r="AI231" s="127">
        <v>2450</v>
      </c>
      <c r="AJ231" s="135"/>
      <c r="AK231" s="128"/>
      <c r="AL231" s="131"/>
      <c r="AM231" s="124" t="s">
        <v>232</v>
      </c>
      <c r="AN231" s="136" t="s">
        <v>1074</v>
      </c>
      <c r="AO231" s="137">
        <v>26.79</v>
      </c>
      <c r="AP231" s="128">
        <v>1840</v>
      </c>
      <c r="AQ231" s="128">
        <v>20.3</v>
      </c>
      <c r="AR231" s="128"/>
      <c r="AS231" s="128"/>
      <c r="AT231" s="122"/>
      <c r="AU231" s="124" t="s">
        <v>189</v>
      </c>
      <c r="AV231" s="115">
        <f>VLOOKUP(J231,'[63]ТР нефть'!$J$28:$BP$638,39,0)</f>
        <v>449.999992969</v>
      </c>
      <c r="AW231" s="115" t="str">
        <f>VLOOKUP(J231,'[63]ТР нефть'!$J$28:$BP$638,40,0)</f>
        <v>ГК 80 1/8</v>
      </c>
      <c r="AX231" s="115">
        <f>VLOOKUP(J231,'[63]ТР нефть'!$J$28:$BP$638,41,0)</f>
        <v>820.00003183599995</v>
      </c>
      <c r="AY231" s="115" t="str">
        <f>VLOOKUP(J231,'[63]ТР нефть'!$J$28:$BP$638,42,0)</f>
        <v>ГК 82 1/8</v>
      </c>
      <c r="AZ231" s="115">
        <f>VLOOKUP(J231,'[63]ТР нефть'!$J$28:$BP$638,43,0)</f>
        <v>1109.999967773</v>
      </c>
      <c r="BA231" s="115" t="str">
        <f>VLOOKUP(J231,'[63]ТР нефть'!$J$28:$BP$638,44,0)</f>
        <v>ГК 77 1/8</v>
      </c>
      <c r="BB231" s="115">
        <f>VLOOKUP(J231,'[63]ТР нефть'!$J$28:$BP$638,45,0)</f>
        <v>1340.0000683589999</v>
      </c>
      <c r="BC231" s="115" t="str">
        <f>VLOOKUP(J231,'[63]ТР нефть'!$J$28:$BP$638,46,0)</f>
        <v>ГК 75 1/8</v>
      </c>
      <c r="BD231" s="115">
        <f>VLOOKUP(J231,'[63]ТР нефть'!$J$28:$BP$638,47,0)</f>
        <v>1540.000065234</v>
      </c>
      <c r="BE231" s="115" t="str">
        <f>VLOOKUP(J231,'[63]ТР нефть'!$J$28:$BP$638,48,0)</f>
        <v>ГК 70 1/8</v>
      </c>
      <c r="BF231" s="115">
        <f>VLOOKUP(J231,'[63]ТР нефть'!$J$28:$BP$638,49,0)</f>
        <v>1700</v>
      </c>
      <c r="BG231" s="115" t="str">
        <f>VLOOKUP(J231,'[63]ТР нефть'!$J$28:$BP$638,50,0)</f>
        <v>ЦКсОК 5/16</v>
      </c>
      <c r="BH231" s="115">
        <f>VLOOKUP(J231,'[63]ТР нефть'!$J$28:$BP$638,51,0)</f>
        <v>1735</v>
      </c>
      <c r="BI231" s="115" t="str">
        <f>VLOOKUP(J231,'[63]ТР нефть'!$J$28:$BP$638,52,0)</f>
        <v>закрыт</v>
      </c>
      <c r="BJ231" s="115" t="str">
        <f>IF(IFERROR(VLOOKUP(J231,'[63]ТР нефть'!$J$28:$BP$638,53,0),"-")=0,"-",IFERROR(VLOOKUP(J231,'[63]ТР нефть'!$J$28:$BP$638,53,0),"-"))</f>
        <v>-</v>
      </c>
      <c r="BK231" s="138" t="str">
        <f>IF(IFERROR(VLOOKUP(J231,'[63]ТР нефть'!$J$28:$BP$638,54,0),"-")=0,"-",IFERROR(VLOOKUP(J231,'[63]ТР нефть'!$J$28:$BP$638,54,0),"-"))</f>
        <v>-</v>
      </c>
      <c r="BL231" s="138" t="str">
        <f>IF(IFERROR(VLOOKUP(J231,'[63]ТР нефть'!$J$28:$BP$638,55,0),"-")=0,"-",IFERROR(VLOOKUP(J231,'[63]ТР нефть'!$J$28:$BP$638,55,0),"-"))</f>
        <v>-</v>
      </c>
      <c r="BM231" s="138" t="str">
        <f>IF(IFERROR(VLOOKUP(J231,'[63]ТР нефть'!$J$28:$BP$638,56,0),"-")=0,"-",IFERROR(VLOOKUP(J231,'[63]ТР нефть'!$J$28:$BP$638,56,0),"-"))</f>
        <v>-</v>
      </c>
      <c r="BN231" s="138" t="str">
        <f>IF(IFERROR(VLOOKUP(J231,'[63]ТР нефть'!$J$28:$BP$638,57,0),"-")=0,"-",IFERROR(VLOOKUP(J231,'[63]ТР нефть'!$J$28:$BP$638,57,0),"-"))</f>
        <v>-</v>
      </c>
      <c r="BO231" s="115" t="str">
        <f>IF(IFERROR(VLOOKUP(J231,'[63]ТР нефть'!$J$28:$BP$638,58,0),"-")=0,"-",IFERROR(VLOOKUP(J231,'[63]ТР нефть'!$J$28:$BP$638,58,0),"-"))</f>
        <v>-</v>
      </c>
      <c r="BP231" s="115" t="str">
        <f>IF(IFERROR(VLOOKUP(J231,'[63]ТР нефть'!$J$28:$BP$638,59,0),"-")=0,"-",IFERROR(VLOOKUP(J231,'[63]ТР нефть'!$J$28:$BP$638,59,0),"-"))</f>
        <v>-</v>
      </c>
      <c r="BQ231" s="138">
        <v>1940</v>
      </c>
      <c r="BR231" s="128">
        <v>1862.38</v>
      </c>
      <c r="BS231" s="115">
        <f t="shared" si="164"/>
        <v>77.619999999999891</v>
      </c>
      <c r="BT231" s="128">
        <v>73</v>
      </c>
      <c r="BU231" s="128">
        <v>5.5</v>
      </c>
      <c r="BV231" s="127">
        <v>18</v>
      </c>
      <c r="BW231" s="127" t="s">
        <v>217</v>
      </c>
      <c r="BX231" s="127" t="s">
        <v>195</v>
      </c>
      <c r="BY231" s="139">
        <v>24</v>
      </c>
      <c r="BZ231" s="139">
        <v>0</v>
      </c>
      <c r="CA231" s="80">
        <v>23</v>
      </c>
      <c r="CB231" s="138">
        <v>37</v>
      </c>
      <c r="CC231" s="138">
        <v>22</v>
      </c>
      <c r="CD231" s="135">
        <v>45017</v>
      </c>
      <c r="CE231" s="138">
        <v>81</v>
      </c>
      <c r="CF231" s="138">
        <v>80</v>
      </c>
      <c r="CG231" s="138" t="str">
        <f t="shared" si="153"/>
        <v>В работе</v>
      </c>
      <c r="CH231" s="138" t="s">
        <v>196</v>
      </c>
      <c r="CI231" s="127">
        <v>5</v>
      </c>
      <c r="CJ231" s="138"/>
      <c r="CK231" s="138">
        <f t="shared" si="157"/>
        <v>21</v>
      </c>
      <c r="CL231" s="99"/>
      <c r="CM231" s="99"/>
      <c r="CN231" s="140">
        <v>44</v>
      </c>
      <c r="CO231" s="141">
        <f t="shared" si="165"/>
        <v>14.328203999999999</v>
      </c>
      <c r="CP231" s="142">
        <v>17.399999999999999</v>
      </c>
      <c r="CQ231" s="143">
        <v>1.5</v>
      </c>
      <c r="CR231" s="138">
        <v>15</v>
      </c>
      <c r="CS231" s="139">
        <v>9.6</v>
      </c>
      <c r="CT231" s="138"/>
      <c r="CU231" s="138">
        <f t="shared" si="184"/>
        <v>5.4</v>
      </c>
      <c r="CV231" s="115">
        <f t="shared" si="186"/>
        <v>376.87905616084197</v>
      </c>
      <c r="CW231" s="115">
        <f t="shared" si="166"/>
        <v>656.16609532370933</v>
      </c>
      <c r="CX231" s="133">
        <f t="shared" si="185"/>
        <v>0.47027027027027024</v>
      </c>
      <c r="CY231" s="116"/>
      <c r="CZ231" s="131"/>
      <c r="DA231" s="145" t="str">
        <f t="shared" si="167"/>
        <v>Газлифт</v>
      </c>
      <c r="DB231" s="146">
        <f t="shared" si="168"/>
        <v>14.328203999999999</v>
      </c>
      <c r="DC231" s="142">
        <f t="shared" si="151"/>
        <v>17.399999999999999</v>
      </c>
      <c r="DD231" s="119">
        <f t="shared" si="152"/>
        <v>1.5</v>
      </c>
      <c r="DE231" s="115">
        <f t="shared" si="169"/>
        <v>5.4</v>
      </c>
      <c r="DF231" s="121">
        <f t="shared" si="170"/>
        <v>9.6</v>
      </c>
      <c r="DG231" s="115">
        <f t="shared" si="171"/>
        <v>376.87905616084197</v>
      </c>
      <c r="DH231" s="115">
        <f t="shared" si="172"/>
        <v>44</v>
      </c>
      <c r="DI231" s="147"/>
      <c r="DJ231" s="111" t="s">
        <v>197</v>
      </c>
      <c r="DK231" s="112">
        <v>42642</v>
      </c>
      <c r="DL231" s="113">
        <f t="shared" ca="1" si="138"/>
        <v>2462</v>
      </c>
      <c r="DM231" s="114"/>
      <c r="DN231" s="114"/>
      <c r="DO231" s="114"/>
      <c r="DP231" s="114"/>
      <c r="DQ231" s="112">
        <v>42656</v>
      </c>
      <c r="DR231" s="114" t="s">
        <v>198</v>
      </c>
      <c r="DS231" s="114"/>
      <c r="DT231" s="115">
        <v>45</v>
      </c>
      <c r="DU231" s="116">
        <f t="shared" si="139"/>
        <v>0.48333333333333328</v>
      </c>
      <c r="DV231" s="117">
        <f t="shared" si="140"/>
        <v>14.328203999999999</v>
      </c>
      <c r="DW231" s="118">
        <f t="shared" si="141"/>
        <v>17.399999999999999</v>
      </c>
      <c r="DX231" s="119">
        <f t="shared" si="173"/>
        <v>1.5</v>
      </c>
      <c r="DY231" s="115">
        <f t="shared" si="142"/>
        <v>5.4</v>
      </c>
      <c r="DZ231" s="117">
        <f t="shared" si="143"/>
        <v>0</v>
      </c>
      <c r="EA231" s="120">
        <f t="shared" si="143"/>
        <v>0</v>
      </c>
      <c r="EB231" s="119">
        <f t="shared" si="143"/>
        <v>0</v>
      </c>
      <c r="EC231" s="121">
        <f t="shared" si="144"/>
        <v>0</v>
      </c>
      <c r="ED231" s="122"/>
      <c r="EE231" s="145">
        <v>18</v>
      </c>
      <c r="EF231" s="148">
        <v>25</v>
      </c>
      <c r="EG231" s="115">
        <v>38</v>
      </c>
      <c r="EH231" s="115">
        <v>24</v>
      </c>
      <c r="EI231" s="128" t="s">
        <v>195</v>
      </c>
      <c r="EJ231" s="121">
        <v>24</v>
      </c>
      <c r="EK231" s="121">
        <v>0</v>
      </c>
      <c r="EL231" s="149">
        <v>15.311340000000001</v>
      </c>
      <c r="EM231" s="142">
        <v>18.5</v>
      </c>
      <c r="EN231" s="119">
        <v>1</v>
      </c>
      <c r="EO231" s="115">
        <v>25</v>
      </c>
      <c r="EP231" s="115">
        <v>1002.5249259699019</v>
      </c>
      <c r="EQ231" s="115">
        <v>78</v>
      </c>
      <c r="ER231" s="115">
        <v>9.65</v>
      </c>
      <c r="ES231" s="115">
        <v>45</v>
      </c>
      <c r="ET231" s="150">
        <v>0.51388888888888884</v>
      </c>
      <c r="EU231" s="145">
        <f t="shared" si="174"/>
        <v>18</v>
      </c>
      <c r="EV231" s="115">
        <f t="shared" si="175"/>
        <v>23</v>
      </c>
      <c r="EW231" s="115">
        <f t="shared" si="175"/>
        <v>37</v>
      </c>
      <c r="EX231" s="115">
        <f t="shared" si="175"/>
        <v>22</v>
      </c>
      <c r="EY231" s="115" t="str">
        <f t="shared" si="156"/>
        <v>Постоянный</v>
      </c>
      <c r="EZ231" s="115">
        <f t="shared" si="156"/>
        <v>24</v>
      </c>
      <c r="FA231" s="115">
        <f t="shared" si="156"/>
        <v>0</v>
      </c>
      <c r="FB231" s="149">
        <f t="shared" si="176"/>
        <v>14.328203999999999</v>
      </c>
      <c r="FC231" s="142">
        <f t="shared" si="176"/>
        <v>17.399999999999999</v>
      </c>
      <c r="FD231" s="119">
        <f t="shared" si="176"/>
        <v>1.5</v>
      </c>
      <c r="FE231" s="121">
        <f t="shared" si="176"/>
        <v>15</v>
      </c>
      <c r="FF231" s="121">
        <f t="shared" si="145"/>
        <v>376.87905616084197</v>
      </c>
      <c r="FG231" s="121">
        <f t="shared" si="177"/>
        <v>80</v>
      </c>
      <c r="FH231" s="121">
        <f t="shared" si="146"/>
        <v>9.6</v>
      </c>
      <c r="FI231" s="121">
        <f t="shared" si="154"/>
        <v>44</v>
      </c>
      <c r="FJ231" s="144">
        <f t="shared" si="178"/>
        <v>0.47027027027027024</v>
      </c>
      <c r="FK231" s="132">
        <f t="shared" si="179"/>
        <v>0</v>
      </c>
      <c r="FL231" s="115">
        <f t="shared" si="179"/>
        <v>-2</v>
      </c>
      <c r="FM231" s="115">
        <f t="shared" si="179"/>
        <v>-1</v>
      </c>
      <c r="FN231" s="115">
        <f t="shared" si="162"/>
        <v>-2</v>
      </c>
      <c r="FO231" s="115">
        <f t="shared" si="150"/>
        <v>0</v>
      </c>
      <c r="FP231" s="115">
        <f t="shared" si="150"/>
        <v>0</v>
      </c>
      <c r="FQ231" s="149">
        <f t="shared" si="150"/>
        <v>-0.98313600000000179</v>
      </c>
      <c r="FR231" s="142">
        <f t="shared" si="148"/>
        <v>-1.1000000000000014</v>
      </c>
      <c r="FS231" s="119">
        <f t="shared" si="148"/>
        <v>0.5</v>
      </c>
      <c r="FT231" s="121">
        <f t="shared" si="148"/>
        <v>-10</v>
      </c>
      <c r="FU231" s="121">
        <f t="shared" si="180"/>
        <v>2</v>
      </c>
      <c r="FV231" s="121">
        <f t="shared" si="180"/>
        <v>-5.0000000000000711E-2</v>
      </c>
      <c r="FW231" s="121">
        <f t="shared" si="181"/>
        <v>-625.64586980905995</v>
      </c>
      <c r="FX231" s="121">
        <f t="shared" si="182"/>
        <v>-1</v>
      </c>
      <c r="FY231" s="144">
        <f t="shared" si="182"/>
        <v>-4.3618618618618599E-2</v>
      </c>
      <c r="FZ231" s="145" t="s">
        <v>222</v>
      </c>
      <c r="GA231" s="151" t="s">
        <v>1075</v>
      </c>
      <c r="GB231" s="145"/>
      <c r="GC231" s="151"/>
      <c r="GD231" s="997" t="s">
        <v>220</v>
      </c>
      <c r="GE231" s="1004"/>
      <c r="GF231" s="1004">
        <v>-0.15465999999999802</v>
      </c>
      <c r="GG231" s="1004"/>
      <c r="GH231" s="1004">
        <v>0</v>
      </c>
      <c r="GI231" s="145"/>
      <c r="GJ231" s="996">
        <v>0</v>
      </c>
      <c r="GK231" s="145" t="s">
        <v>223</v>
      </c>
      <c r="GL231" s="996">
        <v>-1.0487285600000025</v>
      </c>
      <c r="GM231" s="1005"/>
      <c r="GN231" s="996">
        <v>0.17181990320000295</v>
      </c>
      <c r="GO231" s="1006"/>
      <c r="GP231" s="996">
        <v>0.27629749839999818</v>
      </c>
      <c r="GQ231" s="1006" t="s">
        <v>203</v>
      </c>
      <c r="GR231" s="996">
        <v>-5.6672152415999975</v>
      </c>
      <c r="GS231" s="1006" t="s">
        <v>199</v>
      </c>
      <c r="GT231" s="996">
        <v>-3.9480936</v>
      </c>
      <c r="GU231" s="1006"/>
      <c r="GV231" s="996">
        <v>0</v>
      </c>
      <c r="GW231" s="1006" t="s">
        <v>199</v>
      </c>
      <c r="GX231" s="1036">
        <v>5.7784319999999987</v>
      </c>
      <c r="GY231" s="1006"/>
      <c r="GZ231" s="996">
        <v>0</v>
      </c>
      <c r="HA231" s="1006"/>
      <c r="HB231" s="996">
        <v>0.47685440000000057</v>
      </c>
      <c r="HC231" s="1006" t="s">
        <v>203</v>
      </c>
      <c r="HD231" s="996">
        <v>-1.5399120000000011</v>
      </c>
      <c r="HE231" s="1006"/>
      <c r="HF231" s="996">
        <v>0</v>
      </c>
      <c r="HG231" s="1006" t="s">
        <v>203</v>
      </c>
      <c r="HH231" s="996">
        <v>-1.9214623999999993</v>
      </c>
      <c r="HI231" s="1006"/>
      <c r="HJ231" s="996">
        <v>-1.1991999999999337E-2</v>
      </c>
      <c r="HK231" s="1006" t="s">
        <v>308</v>
      </c>
      <c r="HL231" s="996">
        <v>13</v>
      </c>
      <c r="HM231" s="1006"/>
      <c r="HN231" s="996">
        <v>0</v>
      </c>
      <c r="HO231" s="1006" t="s">
        <v>199</v>
      </c>
      <c r="HP231" s="996">
        <v>2.7452818800000003</v>
      </c>
      <c r="HQ231" s="1006" t="s">
        <v>223</v>
      </c>
      <c r="HR231" s="996">
        <v>-2.7452818800000003</v>
      </c>
      <c r="HS231" s="1006"/>
      <c r="HT231" s="996">
        <v>0</v>
      </c>
      <c r="HU231" s="1006"/>
      <c r="HV231" s="996">
        <v>0.92341299599999971</v>
      </c>
      <c r="HW231" s="1006" t="s">
        <v>223</v>
      </c>
      <c r="HX231" s="996">
        <v>-10.864661016000001</v>
      </c>
      <c r="HY231" s="1006"/>
      <c r="HZ231" s="996">
        <v>0</v>
      </c>
      <c r="IA231" s="1006"/>
      <c r="IB231" s="996">
        <v>0</v>
      </c>
      <c r="IC231" s="1006" t="s">
        <v>555</v>
      </c>
      <c r="ID231" s="996">
        <v>4.9331883480000016</v>
      </c>
      <c r="IE231" s="1006"/>
      <c r="IF231" s="996">
        <v>0</v>
      </c>
      <c r="IG231" s="1006"/>
      <c r="IH231" s="996">
        <v>0</v>
      </c>
      <c r="II231" s="1006"/>
      <c r="IJ231" s="996">
        <v>0</v>
      </c>
      <c r="IK231" s="1006"/>
      <c r="IL231" s="996">
        <v>0</v>
      </c>
      <c r="IM231" s="1006" t="s">
        <v>199</v>
      </c>
      <c r="IN231" s="996">
        <v>-3.0985654479999987</v>
      </c>
      <c r="IO231" s="1006" t="s">
        <v>204</v>
      </c>
      <c r="IP231" s="996">
        <v>-2.0445257800000007</v>
      </c>
      <c r="IQ231" s="1006" t="s">
        <v>199</v>
      </c>
      <c r="IR231" s="996">
        <v>2.2188925990000001</v>
      </c>
      <c r="IS231" s="1006"/>
      <c r="IT231" s="996">
        <v>0</v>
      </c>
      <c r="IU231" s="1006"/>
      <c r="IV231" s="996">
        <v>0</v>
      </c>
      <c r="IW231" s="1006" t="s">
        <v>199</v>
      </c>
      <c r="IX231" s="996">
        <v>3.5876331809999993</v>
      </c>
      <c r="IY231" s="1006"/>
      <c r="IZ231" s="996">
        <v>-0.83307399999999987</v>
      </c>
      <c r="JA231" s="1006" t="s">
        <v>199</v>
      </c>
      <c r="JB231" s="996">
        <v>6.664591999999999</v>
      </c>
      <c r="JC231" s="1006"/>
      <c r="JD231" s="996">
        <v>0</v>
      </c>
      <c r="JE231" s="1006" t="s">
        <v>199</v>
      </c>
      <c r="JF231" s="996">
        <v>-6.664591999999999</v>
      </c>
      <c r="JG231" s="1006" t="s">
        <v>204</v>
      </c>
      <c r="JH231" s="996">
        <v>-3.3322960000000013</v>
      </c>
      <c r="JI231" s="1006" t="s">
        <v>204</v>
      </c>
      <c r="JJ231" s="996">
        <v>4.7485218000000007</v>
      </c>
      <c r="JK231" s="1007"/>
      <c r="JL231" s="1007">
        <v>0</v>
      </c>
      <c r="JM231" s="1007"/>
      <c r="JN231" s="1007">
        <v>0</v>
      </c>
      <c r="JO231" s="1008"/>
      <c r="JP231" s="1007">
        <v>0</v>
      </c>
      <c r="JQ231" s="1008">
        <v>0</v>
      </c>
      <c r="JR231" s="1007">
        <v>-0.99968880000000127</v>
      </c>
      <c r="JS231" s="1008" t="s">
        <v>204</v>
      </c>
      <c r="JT231" s="1007">
        <v>-7.0811289999999989</v>
      </c>
      <c r="JU231" s="1008"/>
      <c r="JV231" s="1007">
        <v>0</v>
      </c>
      <c r="JW231" s="1008" t="s">
        <v>206</v>
      </c>
      <c r="JX231" s="1007">
        <v>6.6645920000000007</v>
      </c>
      <c r="JY231" s="1008"/>
      <c r="JZ231" s="1007">
        <v>0</v>
      </c>
      <c r="KA231" s="1008"/>
      <c r="KB231" s="1007">
        <v>0</v>
      </c>
      <c r="KC231" s="1008"/>
      <c r="KD231" s="1007">
        <v>0</v>
      </c>
      <c r="KE231" s="1008" t="s">
        <v>204</v>
      </c>
      <c r="KF231" s="1007">
        <v>-7.7475882000000045</v>
      </c>
      <c r="KG231" s="1008"/>
      <c r="KH231" s="1007">
        <v>0</v>
      </c>
      <c r="KI231" s="1008"/>
      <c r="KJ231" s="1007">
        <v>0</v>
      </c>
      <c r="KK231" s="1008"/>
      <c r="KL231" s="1007">
        <v>0</v>
      </c>
      <c r="KM231" s="1008" t="s">
        <v>206</v>
      </c>
      <c r="KN231" s="1007">
        <v>7.6642808000000038</v>
      </c>
      <c r="KO231" s="1008" t="s">
        <v>206</v>
      </c>
      <c r="KP231" s="1007">
        <v>0.99968880000000127</v>
      </c>
      <c r="KQ231" s="1008">
        <v>0</v>
      </c>
      <c r="KR231" s="1007">
        <v>0</v>
      </c>
      <c r="KS231" s="1008">
        <v>0</v>
      </c>
      <c r="KT231" s="1007">
        <v>0</v>
      </c>
      <c r="KU231" s="1008">
        <v>0</v>
      </c>
      <c r="KV231" s="1007">
        <v>0</v>
      </c>
      <c r="KW231" s="1008">
        <v>0</v>
      </c>
      <c r="KX231" s="1007">
        <v>0</v>
      </c>
      <c r="KY231" s="1008">
        <v>0</v>
      </c>
      <c r="KZ231" s="1007">
        <v>0</v>
      </c>
      <c r="LA231" s="1008" t="s">
        <v>206</v>
      </c>
      <c r="LB231" s="1007">
        <v>-1.0873099600000007</v>
      </c>
      <c r="LC231" s="1008">
        <v>0</v>
      </c>
      <c r="LD231" s="1007">
        <v>0</v>
      </c>
      <c r="LE231" s="1008">
        <v>0</v>
      </c>
      <c r="LF231" s="1007">
        <v>0</v>
      </c>
      <c r="LG231" s="1008">
        <v>0</v>
      </c>
      <c r="LH231" s="1007">
        <v>0</v>
      </c>
      <c r="LI231" s="1008">
        <v>0</v>
      </c>
      <c r="LJ231" s="1007">
        <v>0</v>
      </c>
      <c r="LK231" s="1008" t="s">
        <v>206</v>
      </c>
      <c r="LL231" s="1007">
        <v>3.4999641599999993</v>
      </c>
      <c r="LM231" s="1008" t="s">
        <v>555</v>
      </c>
      <c r="LN231" s="1007">
        <v>-0.25</v>
      </c>
      <c r="LO231" s="1008">
        <v>0</v>
      </c>
      <c r="LP231" s="1007">
        <v>0</v>
      </c>
      <c r="LQ231" s="1008">
        <v>0</v>
      </c>
      <c r="LR231" s="1007">
        <v>0</v>
      </c>
      <c r="LS231" s="1008">
        <v>0</v>
      </c>
      <c r="LT231" s="1007">
        <v>1.8332223999999999</v>
      </c>
      <c r="LU231" s="1008">
        <v>0</v>
      </c>
      <c r="LV231" s="1007">
        <v>0</v>
      </c>
      <c r="LW231" s="1008">
        <v>0</v>
      </c>
      <c r="LX231" s="1007">
        <v>0.22499769610000001</v>
      </c>
      <c r="LY231" s="1009">
        <v>0</v>
      </c>
      <c r="LZ231" s="1010">
        <v>-1.3831993600000001</v>
      </c>
      <c r="MA231" s="1011">
        <v>0</v>
      </c>
      <c r="MB231" s="1012">
        <v>0</v>
      </c>
      <c r="MC231" s="995"/>
      <c r="MD231" s="996"/>
      <c r="ME231" s="997" t="s">
        <v>220</v>
      </c>
      <c r="MF231" s="997"/>
      <c r="MG231" s="998"/>
      <c r="NR231" s="1000"/>
      <c r="NS231" s="1000"/>
      <c r="NT231" s="1001"/>
      <c r="NU231" s="1000"/>
      <c r="NV231" s="1001"/>
      <c r="NX231" s="1002"/>
      <c r="NZ231" s="1001"/>
      <c r="OA231" s="1001"/>
      <c r="OC231" s="1003"/>
      <c r="OD231" s="1003"/>
      <c r="OE231" s="1001"/>
      <c r="OF231" s="1003"/>
      <c r="OG231" s="1003"/>
      <c r="OH231" s="1003"/>
      <c r="OI231" s="1016"/>
      <c r="QX231" s="1000">
        <f>CN231-CA231</f>
        <v>21</v>
      </c>
      <c r="ASU231" s="999" t="s">
        <v>208</v>
      </c>
    </row>
    <row r="232" spans="1:466 1191:1191" ht="21" customHeight="1" x14ac:dyDescent="0.25">
      <c r="A232" s="982" t="str">
        <f t="shared" si="163"/>
        <v>1123-2</v>
      </c>
      <c r="B232" s="124">
        <f>SUBTOTAL(103,$J$29:J232)</f>
        <v>204</v>
      </c>
      <c r="C232" s="126">
        <v>45068</v>
      </c>
      <c r="D232" s="124" t="s">
        <v>176</v>
      </c>
      <c r="E232" s="127" t="s">
        <v>177</v>
      </c>
      <c r="F232" s="128" t="s">
        <v>177</v>
      </c>
      <c r="G232" s="127" t="s">
        <v>178</v>
      </c>
      <c r="H232" s="127" t="s">
        <v>179</v>
      </c>
      <c r="I232" s="127" t="s">
        <v>209</v>
      </c>
      <c r="J232" s="152" t="s">
        <v>1076</v>
      </c>
      <c r="K232" s="127" t="s">
        <v>1070</v>
      </c>
      <c r="L232" s="130">
        <v>41044</v>
      </c>
      <c r="M232" s="127" t="s">
        <v>230</v>
      </c>
      <c r="N232" s="127" t="s">
        <v>184</v>
      </c>
      <c r="O232" s="127" t="s">
        <v>1077</v>
      </c>
      <c r="P232" s="127" t="s">
        <v>292</v>
      </c>
      <c r="Q232" s="127">
        <v>-4</v>
      </c>
      <c r="R232" s="130"/>
      <c r="S232" s="128"/>
      <c r="T232" s="131"/>
      <c r="U232" s="132">
        <v>203</v>
      </c>
      <c r="V232" s="121">
        <v>218.2</v>
      </c>
      <c r="W232" s="116">
        <v>0.98</v>
      </c>
      <c r="X232" s="116">
        <v>1.66</v>
      </c>
      <c r="Y232" s="116">
        <f t="shared" si="137"/>
        <v>0.98</v>
      </c>
      <c r="Z232" s="133">
        <v>1.454</v>
      </c>
      <c r="AA232" s="133">
        <v>0.83599999999999997</v>
      </c>
      <c r="AB232" s="133">
        <v>0.72</v>
      </c>
      <c r="AC232" s="121">
        <v>34.299999999999997</v>
      </c>
      <c r="AD232" s="134">
        <v>1.17</v>
      </c>
      <c r="AE232" s="124">
        <v>139.69999999999999</v>
      </c>
      <c r="AF232" s="128">
        <v>7.72</v>
      </c>
      <c r="AG232" s="128">
        <v>1910</v>
      </c>
      <c r="AH232" s="127">
        <v>2500</v>
      </c>
      <c r="AI232" s="127">
        <v>2500</v>
      </c>
      <c r="AJ232" s="135"/>
      <c r="AK232" s="128"/>
      <c r="AL232" s="131"/>
      <c r="AM232" s="124" t="s">
        <v>232</v>
      </c>
      <c r="AN232" s="136" t="s">
        <v>1078</v>
      </c>
      <c r="AO232" s="137">
        <v>73.150000000000006</v>
      </c>
      <c r="AP232" s="128">
        <v>1910</v>
      </c>
      <c r="AQ232" s="128">
        <v>49.2</v>
      </c>
      <c r="AR232" s="128"/>
      <c r="AS232" s="128"/>
      <c r="AT232" s="122"/>
      <c r="AU232" s="124" t="s">
        <v>189</v>
      </c>
      <c r="AV232" s="128">
        <f>VLOOKUP(J232,'[63]ТР нефть'!$J$28:$BP$638,39,0)</f>
        <v>250</v>
      </c>
      <c r="AW232" s="128" t="str">
        <f>VLOOKUP(J232,'[63]ТР нефть'!$J$28:$BP$638,40,0)</f>
        <v>ГП</v>
      </c>
      <c r="AX232" s="128" t="str">
        <f>VLOOKUP(J232,'[63]ТР нефть'!$J$28:$BP$638,41,0)</f>
        <v>-</v>
      </c>
      <c r="AY232" s="128" t="str">
        <f>VLOOKUP(J232,'[63]ТР нефть'!$J$28:$BP$638,42,0)</f>
        <v>-</v>
      </c>
      <c r="AZ232" s="128" t="str">
        <f>VLOOKUP(J232,'[63]ТР нефть'!$J$28:$BP$638,43,0)</f>
        <v>-</v>
      </c>
      <c r="BA232" s="128" t="str">
        <f>VLOOKUP(J232,'[63]ТР нефть'!$J$28:$BP$638,44,0)</f>
        <v>-</v>
      </c>
      <c r="BB232" s="128" t="str">
        <f>VLOOKUP(J232,'[63]ТР нефть'!$J$28:$BP$638,45,0)</f>
        <v>-</v>
      </c>
      <c r="BC232" s="128" t="str">
        <f>VLOOKUP(J232,'[63]ТР нефть'!$J$28:$BP$638,46,0)</f>
        <v>-</v>
      </c>
      <c r="BD232" s="128" t="str">
        <f>VLOOKUP(J232,'[63]ТР нефть'!$J$28:$BP$638,47,0)</f>
        <v>-</v>
      </c>
      <c r="BE232" s="128" t="str">
        <f>VLOOKUP(J232,'[63]ТР нефть'!$J$28:$BP$638,48,0)</f>
        <v>-</v>
      </c>
      <c r="BF232" s="128" t="str">
        <f>VLOOKUP(J232,'[63]ТР нефть'!$J$28:$BP$638,49,0)</f>
        <v>-</v>
      </c>
      <c r="BG232" s="128" t="str">
        <f>VLOOKUP(J232,'[63]ТР нефть'!$J$28:$BP$638,50,0)</f>
        <v>-</v>
      </c>
      <c r="BH232" s="128">
        <f>VLOOKUP(J232,'[63]ТР нефть'!$J$28:$BP$638,51,0)</f>
        <v>1550</v>
      </c>
      <c r="BI232" s="128" t="str">
        <f>VLOOKUP(J232,'[63]ТР нефть'!$J$28:$BP$638,52,0)</f>
        <v>закрыт</v>
      </c>
      <c r="BJ232" s="128" t="str">
        <f>IF(IFERROR(VLOOKUP(J232,'[63]ТР нефть'!$J$28:$BP$638,53,0),"-")=0,"-",IFERROR(VLOOKUP(J232,'[63]ТР нефть'!$J$28:$BP$638,53,0),"-"))</f>
        <v>-</v>
      </c>
      <c r="BK232" s="127" t="str">
        <f>IF(IFERROR(VLOOKUP(J232,'[63]ТР нефть'!$J$28:$BP$638,54,0),"-")=0,"-",IFERROR(VLOOKUP(J232,'[63]ТР нефть'!$J$28:$BP$638,54,0),"-"))</f>
        <v>-</v>
      </c>
      <c r="BL232" s="127" t="str">
        <f>IF(IFERROR(VLOOKUP(J232,'[63]ТР нефть'!$J$28:$BP$638,55,0),"-")=0,"-",IFERROR(VLOOKUP(J232,'[63]ТР нефть'!$J$28:$BP$638,55,0),"-"))</f>
        <v>-</v>
      </c>
      <c r="BM232" s="127" t="str">
        <f>IF(IFERROR(VLOOKUP(J232,'[63]ТР нефть'!$J$28:$BP$638,56,0),"-")=0,"-",IFERROR(VLOOKUP(J232,'[63]ТР нефть'!$J$28:$BP$638,56,0),"-"))</f>
        <v>-</v>
      </c>
      <c r="BN232" s="127" t="str">
        <f>IF(IFERROR(VLOOKUP(J232,'[63]ТР нефть'!$J$28:$BP$638,57,0),"-")=0,"-",IFERROR(VLOOKUP(J232,'[63]ТР нефть'!$J$28:$BP$638,57,0),"-"))</f>
        <v>-</v>
      </c>
      <c r="BO232" s="128" t="str">
        <f>IF(IFERROR(VLOOKUP(J232,'[63]ТР нефть'!$J$28:$BP$638,58,0),"-")=0,"-",IFERROR(VLOOKUP(J232,'[63]ТР нефть'!$J$28:$BP$638,58,0),"-"))</f>
        <v>-</v>
      </c>
      <c r="BP232" s="128" t="str">
        <f>IF(IFERROR(VLOOKUP(J232,'[63]ТР нефть'!$J$28:$BP$638,59,0),"-")=0,"-",IFERROR(VLOOKUP(J232,'[63]ТР нефть'!$J$28:$BP$638,59,0),"-"))</f>
        <v>-</v>
      </c>
      <c r="BQ232" s="138">
        <v>1560</v>
      </c>
      <c r="BR232" s="128">
        <v>1557.81</v>
      </c>
      <c r="BS232" s="115">
        <f t="shared" si="164"/>
        <v>2.1900000000000546</v>
      </c>
      <c r="BT232" s="128">
        <v>73</v>
      </c>
      <c r="BU232" s="128">
        <v>5.5</v>
      </c>
      <c r="BV232" s="127">
        <v>65</v>
      </c>
      <c r="BW232" s="127" t="s">
        <v>217</v>
      </c>
      <c r="BX232" s="127" t="s">
        <v>218</v>
      </c>
      <c r="BY232" s="139">
        <v>24</v>
      </c>
      <c r="BZ232" s="139">
        <v>720</v>
      </c>
      <c r="CA232" s="138">
        <v>24</v>
      </c>
      <c r="CB232" s="138">
        <v>70</v>
      </c>
      <c r="CC232" s="138">
        <v>23</v>
      </c>
      <c r="CD232" s="135">
        <v>45017</v>
      </c>
      <c r="CE232" s="138">
        <v>161.4</v>
      </c>
      <c r="CF232" s="138">
        <v>82</v>
      </c>
      <c r="CG232" s="138" t="str">
        <f t="shared" si="153"/>
        <v/>
      </c>
      <c r="CH232" s="138" t="s">
        <v>197</v>
      </c>
      <c r="CI232" s="138">
        <v>5</v>
      </c>
      <c r="CJ232" s="139"/>
      <c r="CK232" s="139">
        <f t="shared" si="157"/>
        <v>-24</v>
      </c>
      <c r="CL232" s="139"/>
      <c r="CM232" s="99"/>
      <c r="CN232" s="140"/>
      <c r="CO232" s="141">
        <f t="shared" si="165"/>
        <v>0</v>
      </c>
      <c r="CP232" s="142"/>
      <c r="CQ232" s="119"/>
      <c r="CR232" s="138"/>
      <c r="CS232" s="139"/>
      <c r="CT232" s="138"/>
      <c r="CU232" s="138"/>
      <c r="CV232" s="115"/>
      <c r="CW232" s="115" t="str">
        <f t="shared" si="166"/>
        <v/>
      </c>
      <c r="CX232" s="133"/>
      <c r="CY232" s="116"/>
      <c r="CZ232" s="131"/>
      <c r="DA232" s="145" t="str">
        <f t="shared" si="167"/>
        <v>Газлифт</v>
      </c>
      <c r="DB232" s="146">
        <f t="shared" si="168"/>
        <v>0</v>
      </c>
      <c r="DC232" s="142">
        <f t="shared" si="151"/>
        <v>0</v>
      </c>
      <c r="DD232" s="119">
        <f t="shared" si="152"/>
        <v>0</v>
      </c>
      <c r="DE232" s="115">
        <f t="shared" si="169"/>
        <v>0</v>
      </c>
      <c r="DF232" s="121">
        <f t="shared" si="170"/>
        <v>0</v>
      </c>
      <c r="DG232" s="115">
        <f t="shared" si="171"/>
        <v>0</v>
      </c>
      <c r="DH232" s="115">
        <f t="shared" si="172"/>
        <v>0</v>
      </c>
      <c r="DI232" s="150"/>
      <c r="DJ232" s="111" t="s">
        <v>197</v>
      </c>
      <c r="DK232" s="112">
        <v>42801</v>
      </c>
      <c r="DL232" s="113">
        <f t="shared" ca="1" si="138"/>
        <v>2303</v>
      </c>
      <c r="DM232" s="114"/>
      <c r="DN232" s="114"/>
      <c r="DO232" s="114"/>
      <c r="DP232" s="114"/>
      <c r="DQ232" s="112">
        <v>43970</v>
      </c>
      <c r="DR232" s="114" t="s">
        <v>198</v>
      </c>
      <c r="DS232" s="114">
        <v>0</v>
      </c>
      <c r="DT232" s="115">
        <v>90</v>
      </c>
      <c r="DU232" s="116">
        <f t="shared" si="139"/>
        <v>0</v>
      </c>
      <c r="DV232" s="117">
        <f t="shared" si="140"/>
        <v>0</v>
      </c>
      <c r="DW232" s="118">
        <f t="shared" si="141"/>
        <v>0</v>
      </c>
      <c r="DX232" s="119">
        <f t="shared" si="173"/>
        <v>0</v>
      </c>
      <c r="DY232" s="115">
        <f t="shared" si="142"/>
        <v>0</v>
      </c>
      <c r="DZ232" s="117">
        <f t="shared" si="143"/>
        <v>0</v>
      </c>
      <c r="EA232" s="120">
        <f t="shared" si="143"/>
        <v>0</v>
      </c>
      <c r="EB232" s="119">
        <f t="shared" si="143"/>
        <v>0</v>
      </c>
      <c r="EC232" s="121">
        <f t="shared" si="144"/>
        <v>0</v>
      </c>
      <c r="ED232" s="122"/>
      <c r="EE232" s="145">
        <v>65</v>
      </c>
      <c r="EF232" s="115">
        <v>24</v>
      </c>
      <c r="EG232" s="115">
        <v>70</v>
      </c>
      <c r="EH232" s="115">
        <v>23</v>
      </c>
      <c r="EI232" s="128" t="s">
        <v>218</v>
      </c>
      <c r="EJ232" s="121">
        <v>24</v>
      </c>
      <c r="EK232" s="121">
        <v>720</v>
      </c>
      <c r="EL232" s="149">
        <v>0</v>
      </c>
      <c r="EM232" s="142">
        <v>0</v>
      </c>
      <c r="EN232" s="119">
        <v>0</v>
      </c>
      <c r="EO232" s="115">
        <v>0</v>
      </c>
      <c r="EP232" s="115">
        <v>0</v>
      </c>
      <c r="EQ232" s="115">
        <v>82</v>
      </c>
      <c r="ER232" s="115">
        <v>0</v>
      </c>
      <c r="ES232" s="115">
        <v>0</v>
      </c>
      <c r="ET232" s="150">
        <v>0</v>
      </c>
      <c r="EU232" s="145">
        <f t="shared" si="174"/>
        <v>65</v>
      </c>
      <c r="EV232" s="115">
        <f t="shared" si="175"/>
        <v>24</v>
      </c>
      <c r="EW232" s="115">
        <f t="shared" si="175"/>
        <v>70</v>
      </c>
      <c r="EX232" s="115">
        <f t="shared" si="175"/>
        <v>23</v>
      </c>
      <c r="EY232" s="115" t="str">
        <f t="shared" si="156"/>
        <v>Периодический</v>
      </c>
      <c r="EZ232" s="115">
        <f t="shared" si="156"/>
        <v>24</v>
      </c>
      <c r="FA232" s="115">
        <f t="shared" si="156"/>
        <v>720</v>
      </c>
      <c r="FB232" s="149">
        <f t="shared" si="176"/>
        <v>0</v>
      </c>
      <c r="FC232" s="142">
        <f t="shared" si="176"/>
        <v>0</v>
      </c>
      <c r="FD232" s="119">
        <f t="shared" si="176"/>
        <v>0</v>
      </c>
      <c r="FE232" s="121">
        <f t="shared" si="176"/>
        <v>0</v>
      </c>
      <c r="FF232" s="121">
        <f t="shared" si="145"/>
        <v>0</v>
      </c>
      <c r="FG232" s="121">
        <f t="shared" si="177"/>
        <v>82</v>
      </c>
      <c r="FH232" s="121">
        <f t="shared" si="146"/>
        <v>0</v>
      </c>
      <c r="FI232" s="121">
        <f t="shared" si="154"/>
        <v>0</v>
      </c>
      <c r="FJ232" s="144">
        <f t="shared" si="178"/>
        <v>0</v>
      </c>
      <c r="FK232" s="132">
        <f t="shared" si="179"/>
        <v>0</v>
      </c>
      <c r="FL232" s="115">
        <f t="shared" si="179"/>
        <v>0</v>
      </c>
      <c r="FM232" s="115">
        <f t="shared" si="179"/>
        <v>0</v>
      </c>
      <c r="FN232" s="115">
        <f t="shared" si="162"/>
        <v>0</v>
      </c>
      <c r="FO232" s="115">
        <f t="shared" si="150"/>
        <v>0</v>
      </c>
      <c r="FP232" s="115">
        <f t="shared" si="150"/>
        <v>0</v>
      </c>
      <c r="FQ232" s="149">
        <f t="shared" si="150"/>
        <v>0</v>
      </c>
      <c r="FR232" s="142">
        <f t="shared" si="148"/>
        <v>0</v>
      </c>
      <c r="FS232" s="119">
        <f t="shared" si="148"/>
        <v>0</v>
      </c>
      <c r="FT232" s="121">
        <f t="shared" si="148"/>
        <v>0</v>
      </c>
      <c r="FU232" s="121">
        <f t="shared" si="180"/>
        <v>0</v>
      </c>
      <c r="FV232" s="121">
        <f t="shared" si="180"/>
        <v>0</v>
      </c>
      <c r="FW232" s="121">
        <f t="shared" si="181"/>
        <v>0</v>
      </c>
      <c r="FX232" s="121">
        <f t="shared" si="182"/>
        <v>0</v>
      </c>
      <c r="FY232" s="144">
        <f t="shared" si="182"/>
        <v>0</v>
      </c>
      <c r="FZ232" s="145"/>
      <c r="GA232" s="151"/>
      <c r="GB232" s="145"/>
      <c r="GC232" s="151"/>
      <c r="GD232" s="997" t="s">
        <v>220</v>
      </c>
      <c r="GE232" s="1004"/>
      <c r="GF232" s="1004">
        <v>0</v>
      </c>
      <c r="GG232" s="1004"/>
      <c r="GH232" s="1004">
        <v>0</v>
      </c>
      <c r="GI232" s="145"/>
      <c r="GJ232" s="996">
        <v>0</v>
      </c>
      <c r="GK232" s="145"/>
      <c r="GL232" s="996">
        <v>0</v>
      </c>
      <c r="GM232" s="1005"/>
      <c r="GN232" s="996">
        <v>0</v>
      </c>
      <c r="GO232" s="1006"/>
      <c r="GP232" s="996">
        <v>0</v>
      </c>
      <c r="GQ232" s="1006"/>
      <c r="GR232" s="996">
        <v>-2.2062039999999981E-2</v>
      </c>
      <c r="GS232" s="1006"/>
      <c r="GT232" s="996">
        <v>0</v>
      </c>
      <c r="GU232" s="1006"/>
      <c r="GV232" s="996">
        <v>0</v>
      </c>
      <c r="GW232" s="1006"/>
      <c r="GX232" s="1036">
        <v>0</v>
      </c>
      <c r="GY232" s="1006"/>
      <c r="GZ232" s="996">
        <v>0</v>
      </c>
      <c r="HA232" s="1006"/>
      <c r="HB232" s="996">
        <v>0</v>
      </c>
      <c r="HC232" s="1006"/>
      <c r="HD232" s="996">
        <v>0</v>
      </c>
      <c r="HE232" s="1006"/>
      <c r="HF232" s="996">
        <v>0</v>
      </c>
      <c r="HG232" s="1006"/>
      <c r="HH232" s="996">
        <v>0</v>
      </c>
      <c r="HI232" s="1006"/>
      <c r="HJ232" s="996">
        <v>0</v>
      </c>
      <c r="HK232" s="1006"/>
      <c r="HL232" s="996">
        <v>0</v>
      </c>
      <c r="HM232" s="1006"/>
      <c r="HN232" s="996">
        <v>0</v>
      </c>
      <c r="HO232" s="1006"/>
      <c r="HP232" s="996">
        <v>0</v>
      </c>
      <c r="HQ232" s="1006"/>
      <c r="HR232" s="996">
        <v>0</v>
      </c>
      <c r="HS232" s="1006"/>
      <c r="HT232" s="996">
        <v>-0.91425796000000081</v>
      </c>
      <c r="HU232" s="1006"/>
      <c r="HV232" s="996">
        <v>0</v>
      </c>
      <c r="HW232" s="1006"/>
      <c r="HX232" s="996">
        <v>0</v>
      </c>
      <c r="HY232" s="1006"/>
      <c r="HZ232" s="996">
        <v>0</v>
      </c>
      <c r="IA232" s="1006"/>
      <c r="IB232" s="996">
        <v>0</v>
      </c>
      <c r="IC232" s="1006" t="s">
        <v>1079</v>
      </c>
      <c r="ID232" s="996">
        <v>-45.349655999999989</v>
      </c>
      <c r="IE232" s="1006"/>
      <c r="IF232" s="996">
        <v>0</v>
      </c>
      <c r="IG232" s="1006"/>
      <c r="IH232" s="996">
        <v>-0.19696160000000873</v>
      </c>
      <c r="II232" s="1006"/>
      <c r="IJ232" s="996">
        <v>0.29544240000000599</v>
      </c>
      <c r="IK232" s="1006" t="s">
        <v>204</v>
      </c>
      <c r="IL232" s="996">
        <v>-13.753704800000008</v>
      </c>
      <c r="IM232" s="1006"/>
      <c r="IN232" s="996">
        <v>0</v>
      </c>
      <c r="IO232" s="1006" t="s">
        <v>199</v>
      </c>
      <c r="IP232" s="996">
        <v>10.762859623999994</v>
      </c>
      <c r="IQ232" s="1006" t="s">
        <v>199</v>
      </c>
      <c r="IR232" s="996">
        <v>7.043940376000009</v>
      </c>
      <c r="IS232" s="1006" t="s">
        <v>199</v>
      </c>
      <c r="IT232" s="996">
        <v>-8.1300999999999988</v>
      </c>
      <c r="IU232" s="1006"/>
      <c r="IV232" s="996">
        <v>0</v>
      </c>
      <c r="IW232" s="1006"/>
      <c r="IX232" s="996">
        <v>-0.11779999999999902</v>
      </c>
      <c r="IY232" s="1006"/>
      <c r="IZ232" s="996">
        <v>0</v>
      </c>
      <c r="JA232" s="1006"/>
      <c r="JB232" s="996">
        <v>0</v>
      </c>
      <c r="JC232" s="1006"/>
      <c r="JD232" s="996">
        <v>0</v>
      </c>
      <c r="JE232" s="1006"/>
      <c r="JF232" s="996">
        <v>0</v>
      </c>
      <c r="JG232" s="1006"/>
      <c r="JH232" s="996">
        <v>0</v>
      </c>
      <c r="JI232" s="1006"/>
      <c r="JJ232" s="996">
        <v>0</v>
      </c>
      <c r="JK232" s="1007"/>
      <c r="JL232" s="1007">
        <v>0</v>
      </c>
      <c r="JM232" s="1007"/>
      <c r="JN232" s="1007">
        <v>0</v>
      </c>
      <c r="JO232" s="1008"/>
      <c r="JP232" s="1007">
        <v>0</v>
      </c>
      <c r="JQ232" s="1008" t="s">
        <v>199</v>
      </c>
      <c r="JR232" s="1007">
        <v>1.6719999999999997</v>
      </c>
      <c r="JS232" s="1008" t="s">
        <v>199</v>
      </c>
      <c r="JT232" s="1007">
        <v>-1.6191647999999992</v>
      </c>
      <c r="JU232" s="1008"/>
      <c r="JV232" s="1007">
        <v>0</v>
      </c>
      <c r="JW232" s="1008" t="s">
        <v>203</v>
      </c>
      <c r="JX232" s="1007">
        <v>-3.5640352000000002</v>
      </c>
      <c r="JY232" s="1008" t="s">
        <v>203</v>
      </c>
      <c r="JZ232" s="1007">
        <v>-1.5975207600000001</v>
      </c>
      <c r="KA232" s="1008" t="s">
        <v>25</v>
      </c>
      <c r="KB232" s="1007">
        <v>5.1087207599999997</v>
      </c>
      <c r="KC232" s="1008"/>
      <c r="KD232" s="1007">
        <v>0</v>
      </c>
      <c r="KE232" s="1008" t="s">
        <v>199</v>
      </c>
      <c r="KF232" s="1007">
        <v>-3.9208399999999992</v>
      </c>
      <c r="KG232" s="1008"/>
      <c r="KH232" s="1007">
        <v>0</v>
      </c>
      <c r="KI232" s="1008" t="s">
        <v>240</v>
      </c>
      <c r="KJ232" s="1007">
        <v>3.3356399999999997</v>
      </c>
      <c r="KK232" s="1008"/>
      <c r="KL232" s="1007">
        <v>0</v>
      </c>
      <c r="KM232" s="1008"/>
      <c r="KN232" s="1007">
        <v>0</v>
      </c>
      <c r="KO232" s="1008" t="s">
        <v>240</v>
      </c>
      <c r="KP232" s="1007">
        <v>-1.0868000000000002</v>
      </c>
      <c r="KQ232" s="1008" t="s">
        <v>206</v>
      </c>
      <c r="KR232" s="1007">
        <v>-0.62633120000000098</v>
      </c>
      <c r="KS232" s="1008">
        <v>0</v>
      </c>
      <c r="KT232" s="1007">
        <v>0</v>
      </c>
      <c r="KU232" s="1008">
        <v>0</v>
      </c>
      <c r="KV232" s="1007">
        <v>0</v>
      </c>
      <c r="KW232" s="1008" t="s">
        <v>204</v>
      </c>
      <c r="KX232" s="1007">
        <v>0.88442948000000143</v>
      </c>
      <c r="KY232" s="1008" t="s">
        <v>206</v>
      </c>
      <c r="KZ232" s="1007">
        <v>-4.5938617999999991</v>
      </c>
      <c r="LA232" s="1008">
        <v>0</v>
      </c>
      <c r="LB232" s="1007">
        <v>0</v>
      </c>
      <c r="LC232" s="1008">
        <v>0</v>
      </c>
      <c r="LD232" s="1007">
        <v>0</v>
      </c>
      <c r="LE232" s="1008" t="s">
        <v>204</v>
      </c>
      <c r="LF232" s="1007">
        <v>5.1785351199999994</v>
      </c>
      <c r="LG232" s="1008">
        <v>0</v>
      </c>
      <c r="LH232" s="1007">
        <v>0</v>
      </c>
      <c r="LI232" s="1008">
        <v>0</v>
      </c>
      <c r="LJ232" s="1007">
        <v>0</v>
      </c>
      <c r="LK232" s="1008">
        <v>0</v>
      </c>
      <c r="LL232" s="1007">
        <v>0</v>
      </c>
      <c r="LM232" s="1008">
        <v>0</v>
      </c>
      <c r="LN232" s="1007">
        <v>0</v>
      </c>
      <c r="LO232" s="1008" t="s">
        <v>206</v>
      </c>
      <c r="LP232" s="1007">
        <v>2.58</v>
      </c>
      <c r="LQ232" s="1008" t="s">
        <v>203</v>
      </c>
      <c r="LR232" s="1007">
        <v>-6.6879999999999988</v>
      </c>
      <c r="LS232" s="1008">
        <v>0</v>
      </c>
      <c r="LT232" s="1007">
        <v>0</v>
      </c>
      <c r="LU232" s="1008">
        <v>0</v>
      </c>
      <c r="LV232" s="1007">
        <v>0</v>
      </c>
      <c r="LW232" s="1008">
        <v>0</v>
      </c>
      <c r="LX232" s="1007">
        <v>-0.51600000000000001</v>
      </c>
      <c r="LY232" s="1009">
        <v>0</v>
      </c>
      <c r="LZ232" s="1010">
        <v>5.1765999999999996</v>
      </c>
      <c r="MA232" s="1011">
        <v>0</v>
      </c>
      <c r="MB232" s="1012">
        <v>1.2414600000000018</v>
      </c>
      <c r="MC232" s="995"/>
      <c r="MD232" s="996"/>
      <c r="ME232" s="997" t="s">
        <v>220</v>
      </c>
      <c r="MF232" s="997">
        <f>CN232-CA232</f>
        <v>-24</v>
      </c>
      <c r="MG232" s="998"/>
      <c r="NR232" s="1000"/>
      <c r="NS232" s="1000"/>
      <c r="NT232" s="1001"/>
      <c r="NU232" s="1000"/>
      <c r="NV232" s="1001"/>
      <c r="NX232" s="1002"/>
      <c r="NZ232" s="1001"/>
      <c r="OA232" s="1001"/>
      <c r="OC232" s="1003"/>
      <c r="OD232" s="1003"/>
      <c r="OE232" s="1001"/>
      <c r="OF232" s="1003"/>
      <c r="OG232" s="1003"/>
      <c r="ASU232" s="999" t="s">
        <v>292</v>
      </c>
    </row>
    <row r="233" spans="1:466 1191:1191" ht="21" customHeight="1" x14ac:dyDescent="0.25">
      <c r="A233" s="982">
        <f t="shared" si="163"/>
        <v>1124</v>
      </c>
      <c r="B233" s="124">
        <f>SUBTOTAL(103,$J$29:J233)</f>
        <v>205</v>
      </c>
      <c r="C233" s="126">
        <v>45068</v>
      </c>
      <c r="D233" s="124" t="s">
        <v>176</v>
      </c>
      <c r="E233" s="127" t="s">
        <v>177</v>
      </c>
      <c r="F233" s="128" t="s">
        <v>177</v>
      </c>
      <c r="G233" s="127" t="s">
        <v>178</v>
      </c>
      <c r="H233" s="127" t="s">
        <v>408</v>
      </c>
      <c r="I233" s="127" t="s">
        <v>733</v>
      </c>
      <c r="J233" s="152">
        <v>1124</v>
      </c>
      <c r="K233" s="127" t="s">
        <v>1080</v>
      </c>
      <c r="L233" s="130">
        <v>41837</v>
      </c>
      <c r="M233" s="127" t="s">
        <v>230</v>
      </c>
      <c r="N233" s="127" t="s">
        <v>245</v>
      </c>
      <c r="O233" s="127" t="s">
        <v>185</v>
      </c>
      <c r="P233" s="127" t="s">
        <v>186</v>
      </c>
      <c r="Q233" s="85">
        <f t="shared" ref="Q233:Q278" si="187">IF(R233="","",-4)</f>
        <v>-4</v>
      </c>
      <c r="R233" s="130">
        <v>41818</v>
      </c>
      <c r="S233" s="128" t="s">
        <v>211</v>
      </c>
      <c r="T233" s="131" t="s">
        <v>1081</v>
      </c>
      <c r="U233" s="132">
        <v>203</v>
      </c>
      <c r="V233" s="121">
        <v>218.2</v>
      </c>
      <c r="W233" s="116">
        <v>0.98</v>
      </c>
      <c r="X233" s="116">
        <v>1.66</v>
      </c>
      <c r="Y233" s="116">
        <f t="shared" si="137"/>
        <v>0.98088397736755528</v>
      </c>
      <c r="Z233" s="133">
        <v>1.454</v>
      </c>
      <c r="AA233" s="133">
        <v>0.83599999999999997</v>
      </c>
      <c r="AB233" s="133">
        <v>0.72</v>
      </c>
      <c r="AC233" s="121">
        <v>34.299999999999997</v>
      </c>
      <c r="AD233" s="134">
        <v>1.17</v>
      </c>
      <c r="AE233" s="124" t="s">
        <v>365</v>
      </c>
      <c r="AF233" s="128">
        <v>9.19</v>
      </c>
      <c r="AG233" s="128" t="s">
        <v>1082</v>
      </c>
      <c r="AH233" s="127">
        <v>2830</v>
      </c>
      <c r="AI233" s="127">
        <v>2830</v>
      </c>
      <c r="AJ233" s="135"/>
      <c r="AK233" s="128"/>
      <c r="AL233" s="131"/>
      <c r="AM233" s="124" t="s">
        <v>985</v>
      </c>
      <c r="AN233" s="136" t="s">
        <v>1083</v>
      </c>
      <c r="AO233" s="137">
        <v>47</v>
      </c>
      <c r="AP233" s="128">
        <v>2303</v>
      </c>
      <c r="AQ233" s="128">
        <v>388.15</v>
      </c>
      <c r="AR233" s="128"/>
      <c r="AS233" s="128"/>
      <c r="AT233" s="122"/>
      <c r="AU233" s="124" t="s">
        <v>189</v>
      </c>
      <c r="AV233" s="115">
        <f>VLOOKUP(J233,'[63]ТР нефть'!$J$28:$BP$638,39,0)</f>
        <v>599.99999062500001</v>
      </c>
      <c r="AW233" s="115" t="str">
        <f>VLOOKUP(J233,'[63]ТР нефть'!$J$28:$BP$638,40,0)</f>
        <v>ГП</v>
      </c>
      <c r="AX233" s="115">
        <f>VLOOKUP(J233,'[63]ТР нефть'!$J$28:$BP$638,41,0)</f>
        <v>1199.99998125</v>
      </c>
      <c r="AY233" s="115" t="str">
        <f>VLOOKUP(J233,'[63]ТР нефть'!$J$28:$BP$638,42,0)</f>
        <v>ГК 80 1/8</v>
      </c>
      <c r="AZ233" s="115">
        <f>VLOOKUP(J233,'[63]ТР нефть'!$J$28:$BP$638,43,0)</f>
        <v>1840.000060547</v>
      </c>
      <c r="BA233" s="115" t="str">
        <f>VLOOKUP(J233,'[63]ТР нефть'!$J$28:$BP$638,44,0)</f>
        <v>ЦКсОК 5/16</v>
      </c>
      <c r="BB233" s="115" t="str">
        <f>VLOOKUP(J233,'[63]ТР нефть'!$J$28:$BP$638,45,0)</f>
        <v>-</v>
      </c>
      <c r="BC233" s="115" t="str">
        <f>VLOOKUP(J233,'[63]ТР нефть'!$J$28:$BP$638,46,0)</f>
        <v>-</v>
      </c>
      <c r="BD233" s="115" t="str">
        <f>VLOOKUP(J233,'[63]ТР нефть'!$J$28:$BP$638,47,0)</f>
        <v>-</v>
      </c>
      <c r="BE233" s="115" t="str">
        <f>VLOOKUP(J233,'[63]ТР нефть'!$J$28:$BP$638,48,0)</f>
        <v>-</v>
      </c>
      <c r="BF233" s="115" t="str">
        <f>VLOOKUP(J233,'[63]ТР нефть'!$J$28:$BP$638,49,0)</f>
        <v>-</v>
      </c>
      <c r="BG233" s="115" t="str">
        <f>VLOOKUP(J233,'[63]ТР нефть'!$J$28:$BP$638,50,0)</f>
        <v>-</v>
      </c>
      <c r="BH233" s="115">
        <f>VLOOKUP(J233,'[63]ТР нефть'!$J$28:$BP$638,51,0)</f>
        <v>1850</v>
      </c>
      <c r="BI233" s="115" t="str">
        <f>VLOOKUP(J233,'[63]ТР нефть'!$J$28:$BP$638,52,0)</f>
        <v>закрыт</v>
      </c>
      <c r="BJ233" s="115" t="str">
        <f>IF(IFERROR(VLOOKUP(J233,'[63]ТР нефть'!$J$28:$BP$638,53,0),"-")=0,"-",IFERROR(VLOOKUP(J233,'[63]ТР нефть'!$J$28:$BP$638,53,0),"-"))</f>
        <v>-</v>
      </c>
      <c r="BK233" s="138" t="str">
        <f>IF(IFERROR(VLOOKUP(J233,'[63]ТР нефть'!$J$28:$BP$638,54,0),"-")=0,"-",IFERROR(VLOOKUP(J233,'[63]ТР нефть'!$J$28:$BP$638,54,0),"-"))</f>
        <v>-</v>
      </c>
      <c r="BL233" s="138" t="str">
        <f>IF(IFERROR(VLOOKUP(J233,'[63]ТР нефть'!$J$28:$BP$638,55,0),"-")=0,"-",IFERROR(VLOOKUP(J233,'[63]ТР нефть'!$J$28:$BP$638,55,0),"-"))</f>
        <v>-</v>
      </c>
      <c r="BM233" s="138" t="str">
        <f>IF(IFERROR(VLOOKUP(J233,'[63]ТР нефть'!$J$28:$BP$638,56,0),"-")=0,"-",IFERROR(VLOOKUP(J233,'[63]ТР нефть'!$J$28:$BP$638,56,0),"-"))</f>
        <v>-</v>
      </c>
      <c r="BN233" s="138" t="str">
        <f>IF(IFERROR(VLOOKUP(J233,'[63]ТР нефть'!$J$28:$BP$638,57,0),"-")=0,"-",IFERROR(VLOOKUP(J233,'[63]ТР нефть'!$J$28:$BP$638,57,0),"-"))</f>
        <v>-</v>
      </c>
      <c r="BO233" s="115" t="str">
        <f>IF(IFERROR(VLOOKUP(J233,'[63]ТР нефть'!$J$28:$BP$638,58,0),"-")=0,"-",IFERROR(VLOOKUP(J233,'[63]ТР нефть'!$J$28:$BP$638,58,0),"-"))</f>
        <v>-</v>
      </c>
      <c r="BP233" s="115" t="str">
        <f>IF(IFERROR(VLOOKUP(J233,'[63]ТР нефть'!$J$28:$BP$638,59,0),"-")=0,"-",IFERROR(VLOOKUP(J233,'[63]ТР нефть'!$J$28:$BP$638,59,0),"-"))</f>
        <v>-</v>
      </c>
      <c r="BQ233" s="138">
        <v>2037</v>
      </c>
      <c r="BR233" s="128">
        <v>1860</v>
      </c>
      <c r="BS233" s="115">
        <f t="shared" si="164"/>
        <v>177</v>
      </c>
      <c r="BT233" s="128">
        <v>73</v>
      </c>
      <c r="BU233" s="128">
        <v>5.5</v>
      </c>
      <c r="BV233" s="127">
        <v>18</v>
      </c>
      <c r="BW233" s="127" t="s">
        <v>217</v>
      </c>
      <c r="BX233" s="127" t="s">
        <v>195</v>
      </c>
      <c r="BY233" s="139">
        <v>24</v>
      </c>
      <c r="BZ233" s="139">
        <v>0</v>
      </c>
      <c r="CA233" s="138">
        <v>23</v>
      </c>
      <c r="CB233" s="138">
        <v>59</v>
      </c>
      <c r="CC233" s="138">
        <v>22</v>
      </c>
      <c r="CD233" s="135">
        <v>45017</v>
      </c>
      <c r="CE233" s="138">
        <v>92</v>
      </c>
      <c r="CF233" s="138">
        <v>65</v>
      </c>
      <c r="CG233" s="138" t="str">
        <f t="shared" si="153"/>
        <v>В работе</v>
      </c>
      <c r="CH233" s="138" t="s">
        <v>196</v>
      </c>
      <c r="CI233" s="138">
        <v>6</v>
      </c>
      <c r="CJ233" s="139"/>
      <c r="CK233" s="139"/>
      <c r="CL233" s="99"/>
      <c r="CM233" s="99"/>
      <c r="CN233" s="140">
        <v>45</v>
      </c>
      <c r="CO233" s="159">
        <f t="shared" si="165"/>
        <v>7.0069507199999999</v>
      </c>
      <c r="CP233" s="160">
        <v>8.4</v>
      </c>
      <c r="CQ233" s="161">
        <v>0.22</v>
      </c>
      <c r="CR233" s="138">
        <v>23.3</v>
      </c>
      <c r="CS233" s="139">
        <v>4.7</v>
      </c>
      <c r="CT233" s="138"/>
      <c r="CU233" s="138">
        <f t="shared" ref="CU233:CU296" si="188">IF(CR233&lt;&gt;"0",CR233-CS233,"0")</f>
        <v>18.600000000000001</v>
      </c>
      <c r="CV233" s="115">
        <f t="shared" ref="CV233:CV296" si="189">(CR233-CS233)*1000/CO233</f>
        <v>2654.507037834569</v>
      </c>
      <c r="CW233" s="115">
        <f t="shared" si="166"/>
        <v>668.72020111643383</v>
      </c>
      <c r="CX233" s="133">
        <f t="shared" ref="CX233:CX296" si="190">IF(CP233&lt;&gt;0,CP233/(CE233-CN233),0)</f>
        <v>0.17872340425531916</v>
      </c>
      <c r="CY233" s="116"/>
      <c r="CZ233" s="174"/>
      <c r="DA233" s="145" t="str">
        <f t="shared" si="167"/>
        <v>Газлифт</v>
      </c>
      <c r="DB233" s="146">
        <f t="shared" si="168"/>
        <v>7.0069507199999999</v>
      </c>
      <c r="DC233" s="142">
        <f t="shared" si="151"/>
        <v>8.4</v>
      </c>
      <c r="DD233" s="119">
        <f t="shared" si="152"/>
        <v>0.22</v>
      </c>
      <c r="DE233" s="115">
        <f t="shared" si="169"/>
        <v>18.600000000000001</v>
      </c>
      <c r="DF233" s="121">
        <f t="shared" si="170"/>
        <v>4.7</v>
      </c>
      <c r="DG233" s="115">
        <f t="shared" si="171"/>
        <v>2654.507037834569</v>
      </c>
      <c r="DH233" s="115">
        <f t="shared" si="172"/>
        <v>45</v>
      </c>
      <c r="DI233" s="147"/>
      <c r="DJ233" s="111">
        <v>43192</v>
      </c>
      <c r="DK233" s="112">
        <v>41817</v>
      </c>
      <c r="DL233" s="113">
        <f t="shared" ca="1" si="138"/>
        <v>3287</v>
      </c>
      <c r="DM233" s="114"/>
      <c r="DN233" s="114"/>
      <c r="DO233" s="114"/>
      <c r="DP233" s="114"/>
      <c r="DQ233" s="112">
        <v>43204</v>
      </c>
      <c r="DR233" s="114" t="s">
        <v>198</v>
      </c>
      <c r="DS233" s="114"/>
      <c r="DT233" s="115">
        <v>45</v>
      </c>
      <c r="DU233" s="116">
        <f t="shared" si="139"/>
        <v>0.17872340425531916</v>
      </c>
      <c r="DV233" s="117">
        <f t="shared" si="140"/>
        <v>7.0069507199999999</v>
      </c>
      <c r="DW233" s="118">
        <f t="shared" si="141"/>
        <v>8.4</v>
      </c>
      <c r="DX233" s="119">
        <f t="shared" si="173"/>
        <v>0.22</v>
      </c>
      <c r="DY233" s="115">
        <f t="shared" si="142"/>
        <v>18.600000000000001</v>
      </c>
      <c r="DZ233" s="117">
        <f t="shared" si="143"/>
        <v>0</v>
      </c>
      <c r="EA233" s="120">
        <f t="shared" si="143"/>
        <v>0</v>
      </c>
      <c r="EB233" s="119">
        <f t="shared" si="143"/>
        <v>0</v>
      </c>
      <c r="EC233" s="121">
        <f t="shared" si="144"/>
        <v>0</v>
      </c>
      <c r="ED233" s="122"/>
      <c r="EE233" s="145">
        <v>18</v>
      </c>
      <c r="EF233" s="115">
        <v>23</v>
      </c>
      <c r="EG233" s="115">
        <v>59</v>
      </c>
      <c r="EH233" s="115">
        <v>22</v>
      </c>
      <c r="EI233" s="128" t="s">
        <v>195</v>
      </c>
      <c r="EJ233" s="121">
        <v>24</v>
      </c>
      <c r="EK233" s="121">
        <v>0</v>
      </c>
      <c r="EL233" s="162">
        <v>7.0069507199999999</v>
      </c>
      <c r="EM233" s="142">
        <v>8.4</v>
      </c>
      <c r="EN233" s="119">
        <v>0.22</v>
      </c>
      <c r="EO233" s="115">
        <v>23.3</v>
      </c>
      <c r="EP233" s="115">
        <v>2654.507037834569</v>
      </c>
      <c r="EQ233" s="115">
        <v>65</v>
      </c>
      <c r="ER233" s="115">
        <v>4.7</v>
      </c>
      <c r="ES233" s="115">
        <v>45</v>
      </c>
      <c r="ET233" s="150">
        <v>0.17872340425531916</v>
      </c>
      <c r="EU233" s="145">
        <f t="shared" si="174"/>
        <v>18</v>
      </c>
      <c r="EV233" s="115">
        <f t="shared" si="175"/>
        <v>23</v>
      </c>
      <c r="EW233" s="115">
        <f t="shared" si="175"/>
        <v>59</v>
      </c>
      <c r="EX233" s="115">
        <f t="shared" si="175"/>
        <v>22</v>
      </c>
      <c r="EY233" s="115" t="str">
        <f t="shared" si="156"/>
        <v>Постоянный</v>
      </c>
      <c r="EZ233" s="115">
        <f t="shared" si="156"/>
        <v>24</v>
      </c>
      <c r="FA233" s="115">
        <f t="shared" si="156"/>
        <v>0</v>
      </c>
      <c r="FB233" s="149">
        <f t="shared" si="176"/>
        <v>7.0069507199999999</v>
      </c>
      <c r="FC233" s="142">
        <f t="shared" si="176"/>
        <v>8.4</v>
      </c>
      <c r="FD233" s="119">
        <f t="shared" si="176"/>
        <v>0.22</v>
      </c>
      <c r="FE233" s="121">
        <f t="shared" si="176"/>
        <v>23.3</v>
      </c>
      <c r="FF233" s="121">
        <f t="shared" si="145"/>
        <v>2654.507037834569</v>
      </c>
      <c r="FG233" s="121">
        <f t="shared" si="177"/>
        <v>65</v>
      </c>
      <c r="FH233" s="121">
        <f t="shared" si="146"/>
        <v>4.7</v>
      </c>
      <c r="FI233" s="121">
        <f t="shared" si="154"/>
        <v>45</v>
      </c>
      <c r="FJ233" s="144">
        <f t="shared" si="178"/>
        <v>0.17872340425531916</v>
      </c>
      <c r="FK233" s="132">
        <f t="shared" si="179"/>
        <v>0</v>
      </c>
      <c r="FL233" s="115">
        <f t="shared" si="179"/>
        <v>0</v>
      </c>
      <c r="FM233" s="115">
        <f t="shared" si="179"/>
        <v>0</v>
      </c>
      <c r="FN233" s="115">
        <f t="shared" si="162"/>
        <v>0</v>
      </c>
      <c r="FO233" s="115">
        <f t="shared" si="150"/>
        <v>0</v>
      </c>
      <c r="FP233" s="115">
        <f t="shared" si="150"/>
        <v>0</v>
      </c>
      <c r="FQ233" s="149">
        <f t="shared" si="150"/>
        <v>0</v>
      </c>
      <c r="FR233" s="142">
        <f t="shared" si="148"/>
        <v>0</v>
      </c>
      <c r="FS233" s="119">
        <f t="shared" si="148"/>
        <v>0</v>
      </c>
      <c r="FT233" s="121">
        <f t="shared" si="148"/>
        <v>0</v>
      </c>
      <c r="FU233" s="121">
        <f t="shared" si="180"/>
        <v>0</v>
      </c>
      <c r="FV233" s="121">
        <f t="shared" si="180"/>
        <v>0</v>
      </c>
      <c r="FW233" s="121">
        <f t="shared" si="181"/>
        <v>0</v>
      </c>
      <c r="FX233" s="121">
        <f>CN233-ES233</f>
        <v>0</v>
      </c>
      <c r="FY233" s="144">
        <f t="shared" si="182"/>
        <v>0</v>
      </c>
      <c r="FZ233" s="145"/>
      <c r="GA233" s="151" t="s">
        <v>870</v>
      </c>
      <c r="GB233" s="145"/>
      <c r="GC233" s="131"/>
      <c r="GD233" s="997" t="s">
        <v>416</v>
      </c>
      <c r="GE233" s="1004"/>
      <c r="GF233" s="1004">
        <v>-0.5004964799999998</v>
      </c>
      <c r="GG233" s="1004"/>
      <c r="GH233" s="1004">
        <v>0</v>
      </c>
      <c r="GI233" s="145"/>
      <c r="GJ233" s="996">
        <v>0</v>
      </c>
      <c r="GK233" s="145"/>
      <c r="GL233" s="996">
        <v>0</v>
      </c>
      <c r="GM233" s="1005"/>
      <c r="GN233" s="996">
        <v>0</v>
      </c>
      <c r="GO233" s="1006"/>
      <c r="GP233" s="996">
        <v>0</v>
      </c>
      <c r="GQ233" s="1006"/>
      <c r="GR233" s="996">
        <v>0</v>
      </c>
      <c r="GS233" s="1006" t="s">
        <v>203</v>
      </c>
      <c r="GT233" s="996">
        <v>-2.6478628000000004</v>
      </c>
      <c r="GU233" s="1006" t="s">
        <v>25</v>
      </c>
      <c r="GV233" s="996">
        <v>2.5059100000000001</v>
      </c>
      <c r="GW233" s="1006"/>
      <c r="GX233" s="1035">
        <v>0</v>
      </c>
      <c r="GY233" s="1006" t="s">
        <v>204</v>
      </c>
      <c r="GZ233" s="996">
        <v>-3.051400000000001</v>
      </c>
      <c r="HA233" s="1006" t="s">
        <v>206</v>
      </c>
      <c r="HB233" s="996">
        <v>-1.5834843199999984</v>
      </c>
      <c r="HC233" s="1006" t="s">
        <v>199</v>
      </c>
      <c r="HD233" s="996">
        <v>5.2786611679999993</v>
      </c>
      <c r="HE233" s="1006"/>
      <c r="HF233" s="996">
        <v>0</v>
      </c>
      <c r="HG233" s="1006"/>
      <c r="HH233" s="996">
        <v>0.49264811200000036</v>
      </c>
      <c r="HI233" s="1006"/>
      <c r="HJ233" s="996">
        <v>0</v>
      </c>
      <c r="HK233" s="1006"/>
      <c r="HL233" s="996">
        <v>0</v>
      </c>
      <c r="HM233" s="1006"/>
      <c r="HN233" s="996">
        <v>-0.47318937599999966</v>
      </c>
      <c r="HO233" s="1006" t="s">
        <v>199</v>
      </c>
      <c r="HP233" s="996">
        <v>-1.4206315200000006</v>
      </c>
      <c r="HQ233" s="1006"/>
      <c r="HR233" s="996">
        <v>0</v>
      </c>
      <c r="HS233" s="1006"/>
      <c r="HT233" s="996">
        <v>0</v>
      </c>
      <c r="HU233" s="1006" t="s">
        <v>204</v>
      </c>
      <c r="HV233" s="996">
        <v>-1.2733483840000002</v>
      </c>
      <c r="HW233" s="1006" t="s">
        <v>223</v>
      </c>
      <c r="HX233" s="996">
        <v>-1.4186418400000012</v>
      </c>
      <c r="HY233" s="1006"/>
      <c r="HZ233" s="996">
        <v>0</v>
      </c>
      <c r="IA233" s="1006"/>
      <c r="IB233" s="996">
        <v>0.23078616000000096</v>
      </c>
      <c r="IC233" s="1006"/>
      <c r="ID233" s="996">
        <v>0</v>
      </c>
      <c r="IE233" s="1006"/>
      <c r="IF233" s="996">
        <v>0</v>
      </c>
      <c r="IG233" s="1006" t="s">
        <v>199</v>
      </c>
      <c r="IH233" s="996">
        <v>3.7118400000000005</v>
      </c>
      <c r="II233" s="1006" t="s">
        <v>199</v>
      </c>
      <c r="IJ233" s="996">
        <v>-3.9214619840000005</v>
      </c>
      <c r="IK233" s="1006" t="s">
        <v>223</v>
      </c>
      <c r="IL233" s="996">
        <v>-1.2115780159999989</v>
      </c>
      <c r="IM233" s="1006"/>
      <c r="IN233" s="996">
        <v>0</v>
      </c>
      <c r="IO233" s="1006" t="s">
        <v>199</v>
      </c>
      <c r="IP233" s="996">
        <v>2.6752000000000002</v>
      </c>
      <c r="IQ233" s="1006" t="s">
        <v>223</v>
      </c>
      <c r="IR233" s="996">
        <v>-2.09</v>
      </c>
      <c r="IS233" s="1006" t="s">
        <v>199</v>
      </c>
      <c r="IT233" s="996">
        <v>2.6751999999999985</v>
      </c>
      <c r="IU233" s="1006" t="s">
        <v>199</v>
      </c>
      <c r="IV233" s="996">
        <v>-2.4110239999999994</v>
      </c>
      <c r="IW233" s="1006"/>
      <c r="IX233" s="996">
        <v>0</v>
      </c>
      <c r="IY233" s="1006"/>
      <c r="IZ233" s="996">
        <v>0</v>
      </c>
      <c r="JA233" s="1006"/>
      <c r="JB233" s="996">
        <v>0</v>
      </c>
      <c r="JC233" s="1006"/>
      <c r="JD233" s="996">
        <v>0</v>
      </c>
      <c r="JE233" s="1006"/>
      <c r="JF233" s="996">
        <v>0</v>
      </c>
      <c r="JG233" s="1006"/>
      <c r="JH233" s="996">
        <v>0</v>
      </c>
      <c r="JI233" s="1006" t="s">
        <v>204</v>
      </c>
      <c r="JJ233" s="996">
        <v>-1.9361759999999997</v>
      </c>
      <c r="JK233" s="1007"/>
      <c r="JL233" s="1007">
        <v>0</v>
      </c>
      <c r="JM233" s="1007" t="s">
        <v>204</v>
      </c>
      <c r="JN233" s="1007">
        <v>2.5915999999999997</v>
      </c>
      <c r="JO233" s="1008" t="s">
        <v>204</v>
      </c>
      <c r="JP233" s="1007">
        <v>-4.7066800000000004</v>
      </c>
      <c r="JQ233" s="1008">
        <v>0</v>
      </c>
      <c r="JR233" s="1007">
        <v>0</v>
      </c>
      <c r="JS233" s="1008">
        <v>0</v>
      </c>
      <c r="JT233" s="1007">
        <v>0</v>
      </c>
      <c r="JU233" s="1008"/>
      <c r="JV233" s="1007">
        <v>0</v>
      </c>
      <c r="JW233" s="1008" t="s">
        <v>197</v>
      </c>
      <c r="JX233" s="1007">
        <v>0</v>
      </c>
      <c r="JY233" s="1008" t="s">
        <v>199</v>
      </c>
      <c r="JZ233" s="1007">
        <v>-2.0649200000000008</v>
      </c>
      <c r="KA233" s="1008" t="s">
        <v>199</v>
      </c>
      <c r="KB233" s="1007">
        <v>2.5080000000000009</v>
      </c>
      <c r="KC233" s="1008" t="s">
        <v>199</v>
      </c>
      <c r="KD233" s="1007">
        <v>-13.375999999999999</v>
      </c>
      <c r="KE233" s="1008"/>
      <c r="KF233" s="1007">
        <v>0</v>
      </c>
      <c r="KG233" s="1008"/>
      <c r="KH233" s="1007">
        <v>0</v>
      </c>
      <c r="KI233" s="1008" t="s">
        <v>207</v>
      </c>
      <c r="KJ233" s="1007">
        <v>10.867999999999999</v>
      </c>
      <c r="KK233" s="1008"/>
      <c r="KL233" s="1007">
        <v>0</v>
      </c>
      <c r="KM233" s="1008"/>
      <c r="KN233" s="1007">
        <v>0</v>
      </c>
      <c r="KO233" s="1008" t="s">
        <v>203</v>
      </c>
      <c r="KP233" s="1007">
        <v>2.7788640000000022</v>
      </c>
      <c r="KQ233" s="1008" t="s">
        <v>203</v>
      </c>
      <c r="KR233" s="1007">
        <v>-3.2838080000000005</v>
      </c>
      <c r="KS233" s="1008">
        <v>0</v>
      </c>
      <c r="KT233" s="1007">
        <v>0</v>
      </c>
      <c r="KU233" s="1008" t="s">
        <v>199</v>
      </c>
      <c r="KV233" s="1007">
        <v>-5.3510688000000037</v>
      </c>
      <c r="KW233" s="1008" t="s">
        <v>342</v>
      </c>
      <c r="KX233" s="1007">
        <v>5.3878528000000045</v>
      </c>
      <c r="KY233" s="1008">
        <v>0</v>
      </c>
      <c r="KZ233" s="1007">
        <v>0</v>
      </c>
      <c r="LA233" s="1008">
        <v>0</v>
      </c>
      <c r="LB233" s="1007">
        <v>0</v>
      </c>
      <c r="LC233" s="1008">
        <v>0</v>
      </c>
      <c r="LD233" s="1007">
        <v>0</v>
      </c>
      <c r="LE233" s="1008">
        <v>0</v>
      </c>
      <c r="LF233" s="1007">
        <v>0</v>
      </c>
      <c r="LG233" s="1008">
        <v>0</v>
      </c>
      <c r="LH233" s="1007">
        <v>0</v>
      </c>
      <c r="LI233" s="1008">
        <v>0</v>
      </c>
      <c r="LJ233" s="1007">
        <v>0</v>
      </c>
      <c r="LK233" s="1008">
        <v>0</v>
      </c>
      <c r="LL233" s="1007">
        <v>0</v>
      </c>
      <c r="LM233" s="1008">
        <v>0</v>
      </c>
      <c r="LN233" s="1007">
        <v>0</v>
      </c>
      <c r="LO233" s="1008" t="s">
        <v>206</v>
      </c>
      <c r="LP233" s="1007">
        <v>-4.1674599999999984</v>
      </c>
      <c r="LQ233" s="1008">
        <v>0</v>
      </c>
      <c r="LR233" s="1007">
        <v>-0.83349200000000001</v>
      </c>
      <c r="LS233" s="1008">
        <v>0</v>
      </c>
      <c r="LT233" s="1007">
        <v>0.83349200000000001</v>
      </c>
      <c r="LU233" s="1008" t="s">
        <v>206</v>
      </c>
      <c r="LV233" s="1007">
        <v>-7.5142800000000003</v>
      </c>
      <c r="LW233" s="1008" t="s">
        <v>206</v>
      </c>
      <c r="LX233" s="1007">
        <v>8.7349961609999998</v>
      </c>
      <c r="LY233" s="1009">
        <v>0</v>
      </c>
      <c r="LZ233" s="1010">
        <v>0.433415839999999</v>
      </c>
      <c r="MA233" s="1011">
        <v>0</v>
      </c>
      <c r="MB233" s="1012">
        <v>0</v>
      </c>
      <c r="MC233" s="995"/>
      <c r="MD233" s="996"/>
      <c r="ME233" s="997" t="s">
        <v>416</v>
      </c>
      <c r="MF233" s="997"/>
      <c r="MG233" s="998"/>
      <c r="NN233" s="1029"/>
      <c r="NO233" s="1029"/>
      <c r="NP233" s="1029"/>
      <c r="NQ233" s="1029"/>
      <c r="NR233" s="1000"/>
      <c r="NS233" s="1000"/>
      <c r="NT233" s="1001"/>
      <c r="NU233" s="1000"/>
      <c r="NV233" s="1001"/>
      <c r="NX233" s="1002"/>
      <c r="NZ233" s="1001"/>
      <c r="OA233" s="1001"/>
      <c r="OC233" s="1003"/>
      <c r="OD233" s="1003"/>
      <c r="OE233" s="1001"/>
      <c r="OF233" s="1003"/>
      <c r="OG233" s="1003"/>
      <c r="OH233" s="1029"/>
      <c r="OI233" s="1029"/>
      <c r="QX233" s="1000">
        <f>CN233-CA233</f>
        <v>22</v>
      </c>
      <c r="ASU233" s="1029" t="s">
        <v>208</v>
      </c>
    </row>
    <row r="234" spans="1:466 1191:1191" ht="21" customHeight="1" x14ac:dyDescent="0.25">
      <c r="A234" s="982" t="str">
        <f t="shared" si="163"/>
        <v>1124-1</v>
      </c>
      <c r="B234" s="124">
        <f>SUBTOTAL(103,$J$29:J234)</f>
        <v>206</v>
      </c>
      <c r="C234" s="126">
        <v>45068</v>
      </c>
      <c r="D234" s="124" t="s">
        <v>176</v>
      </c>
      <c r="E234" s="127" t="s">
        <v>177</v>
      </c>
      <c r="F234" s="128" t="s">
        <v>177</v>
      </c>
      <c r="G234" s="127" t="s">
        <v>178</v>
      </c>
      <c r="H234" s="127" t="s">
        <v>179</v>
      </c>
      <c r="I234" s="127" t="s">
        <v>1031</v>
      </c>
      <c r="J234" s="152" t="s">
        <v>1084</v>
      </c>
      <c r="K234" s="127" t="s">
        <v>1031</v>
      </c>
      <c r="L234" s="130">
        <v>41908</v>
      </c>
      <c r="M234" s="127" t="s">
        <v>230</v>
      </c>
      <c r="N234" s="127" t="s">
        <v>184</v>
      </c>
      <c r="O234" s="127" t="s">
        <v>185</v>
      </c>
      <c r="P234" s="127" t="s">
        <v>186</v>
      </c>
      <c r="Q234" s="85" t="str">
        <f t="shared" si="187"/>
        <v/>
      </c>
      <c r="R234" s="130"/>
      <c r="S234" s="128"/>
      <c r="T234" s="131"/>
      <c r="U234" s="132">
        <v>203</v>
      </c>
      <c r="V234" s="121">
        <v>218.2</v>
      </c>
      <c r="W234" s="116">
        <v>0.98</v>
      </c>
      <c r="X234" s="116">
        <v>1.66</v>
      </c>
      <c r="Y234" s="116">
        <f t="shared" si="137"/>
        <v>0.98</v>
      </c>
      <c r="Z234" s="133">
        <v>1.454</v>
      </c>
      <c r="AA234" s="133">
        <v>0.83599999999999997</v>
      </c>
      <c r="AB234" s="133">
        <v>0.72</v>
      </c>
      <c r="AC234" s="121">
        <v>34.299999999999997</v>
      </c>
      <c r="AD234" s="134">
        <v>1.17</v>
      </c>
      <c r="AE234" s="124">
        <v>177.8</v>
      </c>
      <c r="AF234" s="128">
        <v>9.19</v>
      </c>
      <c r="AG234" s="128">
        <v>2105</v>
      </c>
      <c r="AH234" s="127">
        <v>2841</v>
      </c>
      <c r="AI234" s="127">
        <v>2841</v>
      </c>
      <c r="AJ234" s="135"/>
      <c r="AK234" s="128"/>
      <c r="AL234" s="131"/>
      <c r="AM234" s="124" t="s">
        <v>232</v>
      </c>
      <c r="AN234" s="136" t="s">
        <v>1085</v>
      </c>
      <c r="AO234" s="137">
        <v>39</v>
      </c>
      <c r="AP234" s="128">
        <v>2105</v>
      </c>
      <c r="AQ234" s="128">
        <v>288.95</v>
      </c>
      <c r="AR234" s="128"/>
      <c r="AS234" s="128"/>
      <c r="AT234" s="122"/>
      <c r="AU234" s="124" t="s">
        <v>189</v>
      </c>
      <c r="AV234" s="115">
        <f>VLOOKUP(J234,'[63]ТР нефть'!$J$28:$BP$638,39,0)</f>
        <v>479.99998505899998</v>
      </c>
      <c r="AW234" s="115" t="str">
        <f>VLOOKUP(J234,'[63]ТР нефть'!$J$28:$BP$638,40,0)</f>
        <v>ГП</v>
      </c>
      <c r="AX234" s="115">
        <f>VLOOKUP(J234,'[63]ТР нефть'!$J$28:$BP$638,41,0)</f>
        <v>930.00001523399999</v>
      </c>
      <c r="AY234" s="115" t="str">
        <f>VLOOKUP(J234,'[63]ТР нефть'!$J$28:$BP$638,42,0)</f>
        <v>ГК 81 1/8</v>
      </c>
      <c r="AZ234" s="115">
        <f>VLOOKUP(J234,'[63]ТР нефть'!$J$28:$BP$638,43,0)</f>
        <v>1280.0000097659999</v>
      </c>
      <c r="BA234" s="115" t="str">
        <f>VLOOKUP(J234,'[63]ТР нефть'!$J$28:$BP$638,44,0)</f>
        <v>ГК 81 1/8</v>
      </c>
      <c r="BB234" s="115">
        <f>VLOOKUP(J234,'[63]ТР нефть'!$J$28:$BP$638,45,0)</f>
        <v>1540.000065234</v>
      </c>
      <c r="BC234" s="115" t="str">
        <f>VLOOKUP(J234,'[63]ТР нефть'!$J$28:$BP$638,46,0)</f>
        <v>ГК 79 1/8</v>
      </c>
      <c r="BD234" s="115">
        <f>VLOOKUP(J234,'[63]ТР нефть'!$J$28:$BP$638,47,0)</f>
        <v>1660.0000335939999</v>
      </c>
      <c r="BE234" s="115" t="str">
        <f>VLOOKUP(J234,'[63]ТР нефть'!$J$28:$BP$638,48,0)</f>
        <v>ЦКсОК 51/6</v>
      </c>
      <c r="BF234" s="115" t="str">
        <f>VLOOKUP(J234,'[63]ТР нефть'!$J$28:$BP$638,49,0)</f>
        <v>-</v>
      </c>
      <c r="BG234" s="115" t="str">
        <f>VLOOKUP(J234,'[63]ТР нефть'!$J$28:$BP$638,50,0)</f>
        <v>-</v>
      </c>
      <c r="BH234" s="115">
        <f>VLOOKUP(J234,'[63]ТР нефть'!$J$28:$BP$638,51,0)</f>
        <v>1670</v>
      </c>
      <c r="BI234" s="115" t="str">
        <f>VLOOKUP(J234,'[63]ТР нефть'!$J$28:$BP$638,52,0)</f>
        <v>закрыт</v>
      </c>
      <c r="BJ234" s="115" t="str">
        <f>IF(IFERROR(VLOOKUP(J234,'[63]ТР нефть'!$J$28:$BP$638,53,0),"-")=0,"-",IFERROR(VLOOKUP(J234,'[63]ТР нефть'!$J$28:$BP$638,53,0),"-"))</f>
        <v>-</v>
      </c>
      <c r="BK234" s="138" t="str">
        <f>IF(IFERROR(VLOOKUP(J234,'[63]ТР нефть'!$J$28:$BP$638,54,0),"-")=0,"-",IFERROR(VLOOKUP(J234,'[63]ТР нефть'!$J$28:$BP$638,54,0),"-"))</f>
        <v>-</v>
      </c>
      <c r="BL234" s="138" t="str">
        <f>IF(IFERROR(VLOOKUP(J234,'[63]ТР нефть'!$J$28:$BP$638,55,0),"-")=0,"-",IFERROR(VLOOKUP(J234,'[63]ТР нефть'!$J$28:$BP$638,55,0),"-"))</f>
        <v>-</v>
      </c>
      <c r="BM234" s="138" t="str">
        <f>IF(IFERROR(VLOOKUP(J234,'[63]ТР нефть'!$J$28:$BP$638,56,0),"-")=0,"-",IFERROR(VLOOKUP(J234,'[63]ТР нефть'!$J$28:$BP$638,56,0),"-"))</f>
        <v>-</v>
      </c>
      <c r="BN234" s="138" t="str">
        <f>IF(IFERROR(VLOOKUP(J234,'[63]ТР нефть'!$J$28:$BP$638,57,0),"-")=0,"-",IFERROR(VLOOKUP(J234,'[63]ТР нефть'!$J$28:$BP$638,57,0),"-"))</f>
        <v>-</v>
      </c>
      <c r="BO234" s="115" t="str">
        <f>IF(IFERROR(VLOOKUP(J234,'[63]ТР нефть'!$J$28:$BP$638,58,0),"-")=0,"-",IFERROR(VLOOKUP(J234,'[63]ТР нефть'!$J$28:$BP$638,58,0),"-"))</f>
        <v>-</v>
      </c>
      <c r="BP234" s="115" t="str">
        <f>IF(IFERROR(VLOOKUP(J234,'[63]ТР нефть'!$J$28:$BP$638,59,0),"-")=0,"-",IFERROR(VLOOKUP(J234,'[63]ТР нефть'!$J$28:$BP$638,59,0),"-"))</f>
        <v>-</v>
      </c>
      <c r="BQ234" s="138">
        <v>2130</v>
      </c>
      <c r="BR234" s="128">
        <v>1814.2</v>
      </c>
      <c r="BS234" s="115">
        <f t="shared" si="164"/>
        <v>315.79999999999995</v>
      </c>
      <c r="BT234" s="128">
        <v>73</v>
      </c>
      <c r="BU234" s="128">
        <v>5.5</v>
      </c>
      <c r="BV234" s="127">
        <v>18</v>
      </c>
      <c r="BW234" s="127" t="s">
        <v>217</v>
      </c>
      <c r="BX234" s="127" t="s">
        <v>218</v>
      </c>
      <c r="BY234" s="139">
        <v>24</v>
      </c>
      <c r="BZ234" s="139">
        <v>24</v>
      </c>
      <c r="CA234" s="138">
        <v>29</v>
      </c>
      <c r="CB234" s="138">
        <v>38</v>
      </c>
      <c r="CC234" s="138">
        <v>28</v>
      </c>
      <c r="CD234" s="135">
        <v>45017</v>
      </c>
      <c r="CE234" s="138">
        <v>86.4</v>
      </c>
      <c r="CF234" s="138">
        <v>74</v>
      </c>
      <c r="CG234" s="138" t="str">
        <f t="shared" si="153"/>
        <v>В работе</v>
      </c>
      <c r="CH234" s="138" t="s">
        <v>196</v>
      </c>
      <c r="CI234" s="127">
        <v>5</v>
      </c>
      <c r="CJ234" s="138"/>
      <c r="CK234" s="138">
        <f t="shared" si="157"/>
        <v>31</v>
      </c>
      <c r="CL234" s="99"/>
      <c r="CM234" s="99"/>
      <c r="CN234" s="140">
        <v>60</v>
      </c>
      <c r="CO234" s="141">
        <f t="shared" si="165"/>
        <v>4.18</v>
      </c>
      <c r="CP234" s="142">
        <v>5</v>
      </c>
      <c r="CQ234" s="143">
        <v>0</v>
      </c>
      <c r="CR234" s="138">
        <v>12</v>
      </c>
      <c r="CS234" s="139">
        <v>5.5</v>
      </c>
      <c r="CT234" s="138"/>
      <c r="CU234" s="138">
        <f t="shared" si="188"/>
        <v>6.5</v>
      </c>
      <c r="CV234" s="115">
        <f>(CR234-CS234)*1000/CO234</f>
        <v>1555.0239234449762</v>
      </c>
      <c r="CW234" s="115">
        <f t="shared" si="166"/>
        <v>1315.7894736842106</v>
      </c>
      <c r="CX234" s="133">
        <f t="shared" si="190"/>
        <v>0.18939393939393936</v>
      </c>
      <c r="CY234" s="116"/>
      <c r="CZ234" s="131"/>
      <c r="DA234" s="145" t="str">
        <f t="shared" si="167"/>
        <v>Газлифт</v>
      </c>
      <c r="DB234" s="146">
        <f t="shared" si="168"/>
        <v>4.18</v>
      </c>
      <c r="DC234" s="142">
        <f t="shared" si="151"/>
        <v>5</v>
      </c>
      <c r="DD234" s="119">
        <f t="shared" si="152"/>
        <v>0</v>
      </c>
      <c r="DE234" s="115">
        <f t="shared" si="169"/>
        <v>6.5</v>
      </c>
      <c r="DF234" s="121">
        <f t="shared" si="170"/>
        <v>5.5</v>
      </c>
      <c r="DG234" s="115">
        <f t="shared" si="171"/>
        <v>1555.0239234449762</v>
      </c>
      <c r="DH234" s="115">
        <f t="shared" si="172"/>
        <v>60</v>
      </c>
      <c r="DI234" s="147"/>
      <c r="DJ234" s="111" t="s">
        <v>197</v>
      </c>
      <c r="DK234" s="112">
        <v>44085</v>
      </c>
      <c r="DL234" s="113">
        <f t="shared" ca="1" si="138"/>
        <v>1019</v>
      </c>
      <c r="DM234" s="114"/>
      <c r="DN234" s="114"/>
      <c r="DO234" s="114"/>
      <c r="DP234" s="114"/>
      <c r="DQ234" s="112">
        <v>43122</v>
      </c>
      <c r="DR234" s="114" t="s">
        <v>198</v>
      </c>
      <c r="DS234" s="114"/>
      <c r="DT234" s="115">
        <v>55</v>
      </c>
      <c r="DU234" s="116">
        <f t="shared" si="139"/>
        <v>0.18375721500721492</v>
      </c>
      <c r="DV234" s="117">
        <f t="shared" si="140"/>
        <v>4.8237003968253953</v>
      </c>
      <c r="DW234" s="118">
        <f t="shared" si="141"/>
        <v>5.7699765512265495</v>
      </c>
      <c r="DX234" s="119">
        <f t="shared" si="173"/>
        <v>0</v>
      </c>
      <c r="DY234" s="115">
        <f t="shared" si="142"/>
        <v>7.5009695165945152</v>
      </c>
      <c r="DZ234" s="117">
        <f t="shared" si="143"/>
        <v>0.64370039682539559</v>
      </c>
      <c r="EA234" s="120">
        <f t="shared" si="143"/>
        <v>0.76997655122654951</v>
      </c>
      <c r="EB234" s="119">
        <f t="shared" si="143"/>
        <v>0</v>
      </c>
      <c r="EC234" s="121">
        <f t="shared" si="144"/>
        <v>1.0009695165945152</v>
      </c>
      <c r="ED234" s="122"/>
      <c r="EE234" s="145">
        <v>18</v>
      </c>
      <c r="EF234" s="115">
        <v>27</v>
      </c>
      <c r="EG234" s="115">
        <v>36</v>
      </c>
      <c r="EH234" s="115">
        <v>26</v>
      </c>
      <c r="EI234" s="128" t="s">
        <v>218</v>
      </c>
      <c r="EJ234" s="121">
        <v>24</v>
      </c>
      <c r="EK234" s="121">
        <v>24</v>
      </c>
      <c r="EL234" s="149">
        <v>4.18</v>
      </c>
      <c r="EM234" s="142">
        <v>5</v>
      </c>
      <c r="EN234" s="119">
        <v>0</v>
      </c>
      <c r="EO234" s="115">
        <v>12</v>
      </c>
      <c r="EP234" s="115">
        <v>1555.0239234449762</v>
      </c>
      <c r="EQ234" s="115">
        <v>74</v>
      </c>
      <c r="ER234" s="115">
        <v>5.5</v>
      </c>
      <c r="ES234" s="115">
        <v>60</v>
      </c>
      <c r="ET234" s="150">
        <v>0.18939393939393936</v>
      </c>
      <c r="EU234" s="145">
        <f t="shared" si="174"/>
        <v>18</v>
      </c>
      <c r="EV234" s="115">
        <f t="shared" si="175"/>
        <v>29</v>
      </c>
      <c r="EW234" s="115">
        <f t="shared" si="175"/>
        <v>38</v>
      </c>
      <c r="EX234" s="115">
        <f t="shared" si="175"/>
        <v>28</v>
      </c>
      <c r="EY234" s="115" t="str">
        <f t="shared" si="156"/>
        <v>Периодический</v>
      </c>
      <c r="EZ234" s="115">
        <f t="shared" si="156"/>
        <v>24</v>
      </c>
      <c r="FA234" s="115">
        <f t="shared" si="156"/>
        <v>24</v>
      </c>
      <c r="FB234" s="149">
        <f t="shared" si="176"/>
        <v>4.18</v>
      </c>
      <c r="FC234" s="142">
        <f t="shared" si="176"/>
        <v>5</v>
      </c>
      <c r="FD234" s="119">
        <f t="shared" si="176"/>
        <v>0</v>
      </c>
      <c r="FE234" s="121">
        <f t="shared" si="176"/>
        <v>12</v>
      </c>
      <c r="FF234" s="121">
        <f t="shared" si="145"/>
        <v>1555.0239234449762</v>
      </c>
      <c r="FG234" s="121">
        <f t="shared" si="177"/>
        <v>74</v>
      </c>
      <c r="FH234" s="121">
        <f t="shared" si="146"/>
        <v>5.5</v>
      </c>
      <c r="FI234" s="121">
        <f t="shared" si="154"/>
        <v>60</v>
      </c>
      <c r="FJ234" s="144">
        <f t="shared" si="178"/>
        <v>0.18939393939393936</v>
      </c>
      <c r="FK234" s="132">
        <f t="shared" si="179"/>
        <v>0</v>
      </c>
      <c r="FL234" s="115">
        <f t="shared" si="179"/>
        <v>2</v>
      </c>
      <c r="FM234" s="115">
        <f t="shared" si="179"/>
        <v>2</v>
      </c>
      <c r="FN234" s="115">
        <f t="shared" si="162"/>
        <v>2</v>
      </c>
      <c r="FO234" s="115">
        <f t="shared" si="150"/>
        <v>0</v>
      </c>
      <c r="FP234" s="115">
        <f t="shared" si="150"/>
        <v>0</v>
      </c>
      <c r="FQ234" s="149">
        <f t="shared" si="150"/>
        <v>0</v>
      </c>
      <c r="FR234" s="142">
        <f t="shared" si="148"/>
        <v>0</v>
      </c>
      <c r="FS234" s="119">
        <f t="shared" si="148"/>
        <v>0</v>
      </c>
      <c r="FT234" s="121">
        <f t="shared" si="148"/>
        <v>0</v>
      </c>
      <c r="FU234" s="121">
        <f t="shared" si="180"/>
        <v>0</v>
      </c>
      <c r="FV234" s="121">
        <f t="shared" si="180"/>
        <v>0</v>
      </c>
      <c r="FW234" s="121">
        <f t="shared" si="181"/>
        <v>0</v>
      </c>
      <c r="FX234" s="121">
        <f t="shared" si="182"/>
        <v>0</v>
      </c>
      <c r="FY234" s="144">
        <f t="shared" si="182"/>
        <v>0</v>
      </c>
      <c r="FZ234" s="145"/>
      <c r="GA234" s="151"/>
      <c r="GB234" s="145"/>
      <c r="GC234" s="151"/>
      <c r="GD234" s="997" t="s">
        <v>220</v>
      </c>
      <c r="GE234" s="1004"/>
      <c r="GF234" s="1004">
        <v>0.41799999999999971</v>
      </c>
      <c r="GG234" s="1004"/>
      <c r="GH234" s="1004">
        <v>0</v>
      </c>
      <c r="GI234" s="145"/>
      <c r="GJ234" s="996">
        <v>0</v>
      </c>
      <c r="GK234" s="145"/>
      <c r="GL234" s="996">
        <v>0</v>
      </c>
      <c r="GM234" s="1005"/>
      <c r="GN234" s="996">
        <v>0</v>
      </c>
      <c r="GO234" s="1006"/>
      <c r="GP234" s="996">
        <v>0</v>
      </c>
      <c r="GQ234" s="1006"/>
      <c r="GR234" s="996">
        <v>0</v>
      </c>
      <c r="GS234" s="1006"/>
      <c r="GT234" s="996">
        <v>0</v>
      </c>
      <c r="GU234" s="1006"/>
      <c r="GV234" s="996">
        <v>0</v>
      </c>
      <c r="GW234" s="1006"/>
      <c r="GX234" s="1036">
        <v>-0.41799999999999971</v>
      </c>
      <c r="GY234" s="1006"/>
      <c r="GZ234" s="996">
        <v>-0.8360000000000003</v>
      </c>
      <c r="HA234" s="1006"/>
      <c r="HB234" s="996">
        <v>0</v>
      </c>
      <c r="HC234" s="1006"/>
      <c r="HD234" s="996">
        <v>0</v>
      </c>
      <c r="HE234" s="1006"/>
      <c r="HF234" s="996">
        <v>0</v>
      </c>
      <c r="HG234" s="1006"/>
      <c r="HH234" s="996">
        <v>0</v>
      </c>
      <c r="HI234" s="1006"/>
      <c r="HJ234" s="996">
        <v>0</v>
      </c>
      <c r="HK234" s="1006"/>
      <c r="HL234" s="996">
        <v>0.8360000000000003</v>
      </c>
      <c r="HM234" s="1006"/>
      <c r="HN234" s="996">
        <v>0</v>
      </c>
      <c r="HO234" s="1006"/>
      <c r="HP234" s="996">
        <v>0</v>
      </c>
      <c r="HQ234" s="1006"/>
      <c r="HR234" s="996">
        <v>0</v>
      </c>
      <c r="HS234" s="1006" t="s">
        <v>435</v>
      </c>
      <c r="HT234" s="996">
        <v>-6.0827360000000006</v>
      </c>
      <c r="HU234" s="1006"/>
      <c r="HV234" s="996">
        <v>0</v>
      </c>
      <c r="HW234" s="1006" t="s">
        <v>203</v>
      </c>
      <c r="HX234" s="996">
        <v>-0.9612639999999999</v>
      </c>
      <c r="HY234" s="1006"/>
      <c r="HZ234" s="996">
        <v>0</v>
      </c>
      <c r="IA234" s="1006"/>
      <c r="IB234" s="996">
        <v>0</v>
      </c>
      <c r="IC234" s="1006" t="s">
        <v>199</v>
      </c>
      <c r="ID234" s="996">
        <v>4.4663881855999996</v>
      </c>
      <c r="IE234" s="1006"/>
      <c r="IF234" s="996">
        <v>0</v>
      </c>
      <c r="IG234" s="1006"/>
      <c r="IH234" s="996">
        <v>0</v>
      </c>
      <c r="II234" s="1006" t="s">
        <v>199</v>
      </c>
      <c r="IJ234" s="996">
        <v>-4.4799731855999996</v>
      </c>
      <c r="IK234" s="1006"/>
      <c r="IL234" s="996">
        <v>0</v>
      </c>
      <c r="IM234" s="1006" t="s">
        <v>221</v>
      </c>
      <c r="IN234" s="996">
        <v>1.8778649999999995</v>
      </c>
      <c r="IO234" s="1006"/>
      <c r="IP234" s="996">
        <v>0</v>
      </c>
      <c r="IQ234" s="1006"/>
      <c r="IR234" s="996">
        <v>0</v>
      </c>
      <c r="IS234" s="1006" t="s">
        <v>199</v>
      </c>
      <c r="IT234" s="996">
        <v>-1.2477299999999993</v>
      </c>
      <c r="IU234" s="1006"/>
      <c r="IV234" s="996">
        <v>0</v>
      </c>
      <c r="IW234" s="1006"/>
      <c r="IX234" s="996">
        <v>0</v>
      </c>
      <c r="IY234" s="1006"/>
      <c r="IZ234" s="996">
        <v>0</v>
      </c>
      <c r="JA234" s="1006" t="s">
        <v>199</v>
      </c>
      <c r="JB234" s="996">
        <v>3.5049299999999994</v>
      </c>
      <c r="JC234" s="1006" t="s">
        <v>199</v>
      </c>
      <c r="JD234" s="996">
        <v>-4.1256599999999999</v>
      </c>
      <c r="JE234" s="1006"/>
      <c r="JF234" s="996">
        <v>0</v>
      </c>
      <c r="JG234" s="1006"/>
      <c r="JH234" s="996">
        <v>0</v>
      </c>
      <c r="JI234" s="1006"/>
      <c r="JJ234" s="996">
        <v>0</v>
      </c>
      <c r="JK234" s="1007" t="s">
        <v>204</v>
      </c>
      <c r="JL234" s="1007">
        <v>-1.7263400000000004</v>
      </c>
      <c r="JM234" s="1007"/>
      <c r="JN234" s="1007">
        <v>0</v>
      </c>
      <c r="JO234" s="1008" t="s">
        <v>199</v>
      </c>
      <c r="JP234" s="1007">
        <v>-2.9260000000000002</v>
      </c>
      <c r="JQ234" s="1008">
        <v>0</v>
      </c>
      <c r="JR234" s="1007">
        <v>0</v>
      </c>
      <c r="JS234" s="1008" t="s">
        <v>204</v>
      </c>
      <c r="JT234" s="1007">
        <v>3.8539600000000007</v>
      </c>
      <c r="JU234" s="1008"/>
      <c r="JV234" s="1007">
        <v>0</v>
      </c>
      <c r="JW234" s="1008" t="s">
        <v>197</v>
      </c>
      <c r="JX234" s="1007">
        <v>0</v>
      </c>
      <c r="JY234" s="1008"/>
      <c r="JZ234" s="1007">
        <v>0</v>
      </c>
      <c r="KA234" s="1008"/>
      <c r="KB234" s="1007">
        <v>0</v>
      </c>
      <c r="KC234" s="1008"/>
      <c r="KD234" s="1007">
        <v>0</v>
      </c>
      <c r="KE234" s="1008"/>
      <c r="KF234" s="1007">
        <v>0</v>
      </c>
      <c r="KG234" s="1008"/>
      <c r="KH234" s="1007">
        <v>0</v>
      </c>
      <c r="KI234" s="1008" t="s">
        <v>207</v>
      </c>
      <c r="KJ234" s="1007">
        <v>-1.3459600000000007</v>
      </c>
      <c r="KK234" s="1008"/>
      <c r="KL234" s="1007">
        <v>0</v>
      </c>
      <c r="KM234" s="1008" t="s">
        <v>203</v>
      </c>
      <c r="KN234" s="1007">
        <v>0.8360000000000003</v>
      </c>
      <c r="KO234" s="1008" t="s">
        <v>203</v>
      </c>
      <c r="KP234" s="1007">
        <v>-1.6899740000000003</v>
      </c>
      <c r="KQ234" s="1008" t="s">
        <v>203</v>
      </c>
      <c r="KR234" s="1007">
        <v>-0.90350700000000117</v>
      </c>
      <c r="KS234" s="1008">
        <v>0</v>
      </c>
      <c r="KT234" s="1007">
        <v>0</v>
      </c>
      <c r="KU234" s="1008" t="s">
        <v>206</v>
      </c>
      <c r="KV234" s="1007">
        <v>0.69827986800000197</v>
      </c>
      <c r="KW234" s="1008" t="s">
        <v>203</v>
      </c>
      <c r="KX234" s="1007">
        <v>-3.0669604679999996</v>
      </c>
      <c r="KY234" s="1008" t="s">
        <v>206</v>
      </c>
      <c r="KZ234" s="1007">
        <v>-8.8318384000000005</v>
      </c>
      <c r="LA234" s="1008" t="s">
        <v>221</v>
      </c>
      <c r="LB234" s="1007">
        <v>10.58376</v>
      </c>
      <c r="LC234" s="1008" t="s">
        <v>25</v>
      </c>
      <c r="LD234" s="1007">
        <v>5.7349599999999992</v>
      </c>
      <c r="LE234" s="1008">
        <v>0</v>
      </c>
      <c r="LF234" s="1007">
        <v>0</v>
      </c>
      <c r="LG234" s="1008" t="s">
        <v>223</v>
      </c>
      <c r="LH234" s="1007">
        <v>-1.3322495999999981</v>
      </c>
      <c r="LI234" s="1008">
        <v>0</v>
      </c>
      <c r="LJ234" s="1007">
        <v>0</v>
      </c>
      <c r="LK234" s="1008">
        <v>0</v>
      </c>
      <c r="LL234" s="1007">
        <v>0</v>
      </c>
      <c r="LM234" s="1008">
        <v>0</v>
      </c>
      <c r="LN234" s="1007">
        <v>0</v>
      </c>
      <c r="LO234" s="1008">
        <v>0</v>
      </c>
      <c r="LP234" s="1007">
        <v>0</v>
      </c>
      <c r="LQ234" s="1008" t="s">
        <v>204</v>
      </c>
      <c r="LR234" s="1007">
        <v>-3.3362400000000001</v>
      </c>
      <c r="LS234" s="1008">
        <v>0</v>
      </c>
      <c r="LT234" s="1007">
        <v>0</v>
      </c>
      <c r="LU234" s="1008" t="s">
        <v>207</v>
      </c>
      <c r="LV234" s="1007">
        <v>5.1624672000000009</v>
      </c>
      <c r="LW234" s="1008" t="s">
        <v>206</v>
      </c>
      <c r="LX234" s="1007">
        <v>1.8245279999999999</v>
      </c>
      <c r="LY234" s="1009" t="s">
        <v>206</v>
      </c>
      <c r="LZ234" s="1010">
        <v>-8.7676320000000008</v>
      </c>
      <c r="MA234" s="1011">
        <v>0</v>
      </c>
      <c r="MB234" s="1012">
        <v>0</v>
      </c>
      <c r="MC234" s="995"/>
      <c r="MD234" s="996"/>
      <c r="ME234" s="997" t="s">
        <v>220</v>
      </c>
      <c r="MF234" s="997"/>
      <c r="MG234" s="998"/>
      <c r="NR234" s="1000"/>
      <c r="NS234" s="1000"/>
      <c r="NT234" s="1001"/>
      <c r="NU234" s="1000"/>
      <c r="NV234" s="1001"/>
      <c r="NX234" s="1002"/>
      <c r="NZ234" s="1001"/>
      <c r="OA234" s="1001"/>
      <c r="OC234" s="1003"/>
      <c r="OD234" s="1003"/>
      <c r="OE234" s="1001"/>
      <c r="OF234" s="1003"/>
      <c r="OG234" s="1003"/>
      <c r="OH234" s="1003"/>
      <c r="OI234" s="1016"/>
      <c r="QX234" s="1000">
        <f>CN234-CA234</f>
        <v>31</v>
      </c>
      <c r="ASU234" s="999" t="s">
        <v>208</v>
      </c>
    </row>
    <row r="235" spans="1:466 1191:1191" ht="21" customHeight="1" x14ac:dyDescent="0.25">
      <c r="A235" s="982" t="str">
        <f t="shared" si="163"/>
        <v>1124-2</v>
      </c>
      <c r="B235" s="124">
        <f>SUBTOTAL(103,$J$29:J235)</f>
        <v>207</v>
      </c>
      <c r="C235" s="126">
        <v>45068</v>
      </c>
      <c r="D235" s="124" t="s">
        <v>176</v>
      </c>
      <c r="E235" s="127" t="s">
        <v>177</v>
      </c>
      <c r="F235" s="128" t="s">
        <v>177</v>
      </c>
      <c r="G235" s="127" t="s">
        <v>178</v>
      </c>
      <c r="H235" s="127" t="s">
        <v>179</v>
      </c>
      <c r="I235" s="127" t="s">
        <v>1031</v>
      </c>
      <c r="J235" s="152" t="s">
        <v>1086</v>
      </c>
      <c r="K235" s="127" t="s">
        <v>1031</v>
      </c>
      <c r="L235" s="130">
        <v>42088</v>
      </c>
      <c r="M235" s="127" t="s">
        <v>230</v>
      </c>
      <c r="N235" s="127" t="s">
        <v>184</v>
      </c>
      <c r="O235" s="127" t="s">
        <v>185</v>
      </c>
      <c r="P235" s="127" t="s">
        <v>292</v>
      </c>
      <c r="Q235" s="85" t="str">
        <f t="shared" si="187"/>
        <v/>
      </c>
      <c r="R235" s="130"/>
      <c r="S235" s="128"/>
      <c r="T235" s="131"/>
      <c r="U235" s="132">
        <v>203</v>
      </c>
      <c r="V235" s="121">
        <v>218.2</v>
      </c>
      <c r="W235" s="116">
        <v>0.98</v>
      </c>
      <c r="X235" s="116">
        <v>1.66</v>
      </c>
      <c r="Y235" s="116">
        <f t="shared" si="137"/>
        <v>1.0132037867463877</v>
      </c>
      <c r="Z235" s="133">
        <v>1.454</v>
      </c>
      <c r="AA235" s="133">
        <v>0.83599999999999997</v>
      </c>
      <c r="AB235" s="133">
        <v>0.72</v>
      </c>
      <c r="AC235" s="121">
        <v>34.299999999999997</v>
      </c>
      <c r="AD235" s="134">
        <v>1.17</v>
      </c>
      <c r="AE235" s="124">
        <v>177.8</v>
      </c>
      <c r="AF235" s="128">
        <v>9.19</v>
      </c>
      <c r="AG235" s="128">
        <v>2104</v>
      </c>
      <c r="AH235" s="127">
        <v>2970</v>
      </c>
      <c r="AI235" s="127">
        <v>2970</v>
      </c>
      <c r="AJ235" s="135"/>
      <c r="AK235" s="128"/>
      <c r="AL235" s="131"/>
      <c r="AM235" s="124" t="s">
        <v>232</v>
      </c>
      <c r="AN235" s="136" t="s">
        <v>1087</v>
      </c>
      <c r="AO235" s="137">
        <v>48.6</v>
      </c>
      <c r="AP235" s="128">
        <v>2104</v>
      </c>
      <c r="AQ235" s="128">
        <v>211.5</v>
      </c>
      <c r="AR235" s="128"/>
      <c r="AS235" s="128"/>
      <c r="AT235" s="122"/>
      <c r="AU235" s="124" t="s">
        <v>189</v>
      </c>
      <c r="AV235" s="115">
        <f>VLOOKUP(J235,'[63]ТР нефть'!$J$28:$BP$638,39,0)</f>
        <v>529.99998427699995</v>
      </c>
      <c r="AW235" s="115" t="str">
        <f>VLOOKUP(J235,'[63]ТР нефть'!$J$28:$BP$638,40,0)</f>
        <v>ГК  80 1/8</v>
      </c>
      <c r="AX235" s="115">
        <f>VLOOKUP(J235,'[63]ТР нефть'!$J$28:$BP$638,41,0)</f>
        <v>820.00003183599995</v>
      </c>
      <c r="AY235" s="115" t="str">
        <f>VLOOKUP(J235,'[63]ТР нефть'!$J$28:$BP$638,42,0)</f>
        <v>ГК 80 1/8</v>
      </c>
      <c r="AZ235" s="115">
        <f>VLOOKUP(J235,'[63]ТР нефть'!$J$28:$BP$638,43,0)</f>
        <v>1080.0000128910001</v>
      </c>
      <c r="BA235" s="115" t="str">
        <f>VLOOKUP(J235,'[63]ТР нефть'!$J$28:$BP$638,44,0)</f>
        <v>ГК 80 1/8</v>
      </c>
      <c r="BB235" s="115">
        <f>VLOOKUP(J235,'[63]ТР нефть'!$J$28:$BP$638,45,0)</f>
        <v>1310.000039063</v>
      </c>
      <c r="BC235" s="115" t="str">
        <f>VLOOKUP(J235,'[63]ТР нефть'!$J$28:$BP$638,46,0)</f>
        <v>ГК 79 1/8</v>
      </c>
      <c r="BD235" s="115">
        <f>VLOOKUP(J235,'[63]ТР нефть'!$J$28:$BP$638,47,0)</f>
        <v>1519.999946484</v>
      </c>
      <c r="BE235" s="115" t="str">
        <f>VLOOKUP(J235,'[63]ТР нефть'!$J$28:$BP$638,48,0)</f>
        <v>ЦКсОК 51/6</v>
      </c>
      <c r="BF235" s="115" t="str">
        <f>VLOOKUP(J235,'[63]ТР нефть'!$J$28:$BP$638,49,0)</f>
        <v>-</v>
      </c>
      <c r="BG235" s="115" t="str">
        <f>VLOOKUP(J235,'[63]ТР нефть'!$J$28:$BP$638,50,0)</f>
        <v>-</v>
      </c>
      <c r="BH235" s="115">
        <f>VLOOKUP(J235,'[63]ТР нефть'!$J$28:$BP$638,51,0)</f>
        <v>1700</v>
      </c>
      <c r="BI235" s="115" t="str">
        <f>VLOOKUP(J235,'[63]ТР нефть'!$J$28:$BP$638,52,0)</f>
        <v>закрыт</v>
      </c>
      <c r="BJ235" s="115" t="str">
        <f>IF(IFERROR(VLOOKUP(J235,'[63]ТР нефть'!$J$28:$BP$638,53,0),"-")=0,"-",IFERROR(VLOOKUP(J235,'[63]ТР нефть'!$J$28:$BP$638,53,0),"-"))</f>
        <v>-</v>
      </c>
      <c r="BK235" s="138" t="str">
        <f>IF(IFERROR(VLOOKUP(J235,'[63]ТР нефть'!$J$28:$BP$638,54,0),"-")=0,"-",IFERROR(VLOOKUP(J235,'[63]ТР нефть'!$J$28:$BP$638,54,0),"-"))</f>
        <v>-</v>
      </c>
      <c r="BL235" s="138" t="str">
        <f>IF(IFERROR(VLOOKUP(J235,'[63]ТР нефть'!$J$28:$BP$638,55,0),"-")=0,"-",IFERROR(VLOOKUP(J235,'[63]ТР нефть'!$J$28:$BP$638,55,0),"-"))</f>
        <v>-</v>
      </c>
      <c r="BM235" s="138" t="str">
        <f>IF(IFERROR(VLOOKUP(J235,'[63]ТР нефть'!$J$28:$BP$638,56,0),"-")=0,"-",IFERROR(VLOOKUP(J235,'[63]ТР нефть'!$J$28:$BP$638,56,0),"-"))</f>
        <v>-</v>
      </c>
      <c r="BN235" s="138" t="str">
        <f>IF(IFERROR(VLOOKUP(J235,'[63]ТР нефть'!$J$28:$BP$638,57,0),"-")=0,"-",IFERROR(VLOOKUP(J235,'[63]ТР нефть'!$J$28:$BP$638,57,0),"-"))</f>
        <v>-</v>
      </c>
      <c r="BO235" s="115" t="str">
        <f>IF(IFERROR(VLOOKUP(J235,'[63]ТР нефть'!$J$28:$BP$638,58,0),"-")=0,"-",IFERROR(VLOOKUP(J235,'[63]ТР нефть'!$J$28:$BP$638,58,0),"-"))</f>
        <v>-</v>
      </c>
      <c r="BP235" s="115" t="str">
        <f>IF(IFERROR(VLOOKUP(J235,'[63]ТР нефть'!$J$28:$BP$638,59,0),"-")=0,"-",IFERROR(VLOOKUP(J235,'[63]ТР нефть'!$J$28:$BP$638,59,0),"-"))</f>
        <v>-</v>
      </c>
      <c r="BQ235" s="138">
        <v>2120</v>
      </c>
      <c r="BR235" s="128">
        <v>1791.23</v>
      </c>
      <c r="BS235" s="115">
        <f t="shared" si="164"/>
        <v>328.77</v>
      </c>
      <c r="BT235" s="128">
        <v>73</v>
      </c>
      <c r="BU235" s="128">
        <v>5.5</v>
      </c>
      <c r="BV235" s="127">
        <v>18</v>
      </c>
      <c r="BW235" s="127" t="s">
        <v>217</v>
      </c>
      <c r="BX235" s="127" t="s">
        <v>195</v>
      </c>
      <c r="BY235" s="139">
        <v>24</v>
      </c>
      <c r="BZ235" s="139">
        <v>0</v>
      </c>
      <c r="CA235" s="138">
        <v>31</v>
      </c>
      <c r="CB235" s="138">
        <v>52</v>
      </c>
      <c r="CC235" s="138">
        <v>28</v>
      </c>
      <c r="CD235" s="135">
        <v>45017</v>
      </c>
      <c r="CE235" s="138">
        <v>160</v>
      </c>
      <c r="CF235" s="138">
        <v>72</v>
      </c>
      <c r="CG235" s="138" t="str">
        <f t="shared" si="153"/>
        <v>В работе</v>
      </c>
      <c r="CH235" s="138" t="s">
        <v>196</v>
      </c>
      <c r="CI235" s="138">
        <v>5</v>
      </c>
      <c r="CJ235" s="139"/>
      <c r="CK235" s="139">
        <f t="shared" si="157"/>
        <v>23</v>
      </c>
      <c r="CL235" s="139"/>
      <c r="CM235" s="99"/>
      <c r="CN235" s="140">
        <v>54</v>
      </c>
      <c r="CO235" s="141">
        <f t="shared" si="165"/>
        <v>27.073024000000004</v>
      </c>
      <c r="CP235" s="142">
        <v>35.200000000000003</v>
      </c>
      <c r="CQ235" s="143">
        <v>8</v>
      </c>
      <c r="CR235" s="138">
        <v>29</v>
      </c>
      <c r="CS235" s="139">
        <v>18</v>
      </c>
      <c r="CT235" s="138"/>
      <c r="CU235" s="138">
        <f t="shared" si="188"/>
        <v>11</v>
      </c>
      <c r="CV235" s="115">
        <f t="shared" si="189"/>
        <v>406.30850842521318</v>
      </c>
      <c r="CW235" s="115">
        <f t="shared" si="166"/>
        <v>593.39449076730921</v>
      </c>
      <c r="CX235" s="133">
        <f t="shared" si="190"/>
        <v>0.33207547169811324</v>
      </c>
      <c r="CY235" s="116"/>
      <c r="CZ235" s="131"/>
      <c r="DA235" s="145" t="str">
        <f t="shared" si="167"/>
        <v>Газлифт</v>
      </c>
      <c r="DB235" s="146">
        <f t="shared" si="168"/>
        <v>27.073024000000004</v>
      </c>
      <c r="DC235" s="142">
        <f t="shared" si="151"/>
        <v>35.200000000000003</v>
      </c>
      <c r="DD235" s="119">
        <f t="shared" si="152"/>
        <v>8</v>
      </c>
      <c r="DE235" s="115">
        <f t="shared" si="169"/>
        <v>11</v>
      </c>
      <c r="DF235" s="121">
        <f t="shared" si="170"/>
        <v>18</v>
      </c>
      <c r="DG235" s="115">
        <f t="shared" si="171"/>
        <v>406.30850842521318</v>
      </c>
      <c r="DH235" s="115">
        <f t="shared" si="172"/>
        <v>54</v>
      </c>
      <c r="DI235" s="1038"/>
      <c r="DJ235" s="111" t="s">
        <v>197</v>
      </c>
      <c r="DK235" s="112">
        <v>43019</v>
      </c>
      <c r="DL235" s="113">
        <f t="shared" ca="1" si="138"/>
        <v>2085</v>
      </c>
      <c r="DM235" s="114"/>
      <c r="DN235" s="114"/>
      <c r="DO235" s="114"/>
      <c r="DP235" s="114"/>
      <c r="DQ235" s="112">
        <v>43529</v>
      </c>
      <c r="DR235" s="114" t="s">
        <v>198</v>
      </c>
      <c r="DS235" s="114">
        <v>0</v>
      </c>
      <c r="DT235" s="115">
        <v>60</v>
      </c>
      <c r="DU235" s="116">
        <f t="shared" si="139"/>
        <v>0.35200000000000004</v>
      </c>
      <c r="DV235" s="117">
        <f t="shared" si="140"/>
        <v>27.073024000000004</v>
      </c>
      <c r="DW235" s="118">
        <f t="shared" si="141"/>
        <v>35.200000000000003</v>
      </c>
      <c r="DX235" s="119">
        <f t="shared" si="173"/>
        <v>8</v>
      </c>
      <c r="DY235" s="115">
        <f t="shared" si="142"/>
        <v>11</v>
      </c>
      <c r="DZ235" s="117">
        <f t="shared" si="143"/>
        <v>0</v>
      </c>
      <c r="EA235" s="120">
        <f t="shared" si="143"/>
        <v>0</v>
      </c>
      <c r="EB235" s="119">
        <f t="shared" si="143"/>
        <v>0</v>
      </c>
      <c r="EC235" s="121">
        <f t="shared" si="144"/>
        <v>0</v>
      </c>
      <c r="ED235" s="122"/>
      <c r="EE235" s="145">
        <v>18</v>
      </c>
      <c r="EF235" s="115">
        <v>28</v>
      </c>
      <c r="EG235" s="115">
        <v>56</v>
      </c>
      <c r="EH235" s="115">
        <v>27</v>
      </c>
      <c r="EI235" s="128" t="s">
        <v>195</v>
      </c>
      <c r="EJ235" s="121">
        <v>24</v>
      </c>
      <c r="EK235" s="121">
        <v>0</v>
      </c>
      <c r="EL235" s="149">
        <v>19.263000000000002</v>
      </c>
      <c r="EM235" s="142">
        <v>23.55</v>
      </c>
      <c r="EN235" s="119">
        <v>2.1</v>
      </c>
      <c r="EO235" s="115">
        <v>7.9</v>
      </c>
      <c r="EP235" s="115">
        <v>412</v>
      </c>
      <c r="EQ235" s="115">
        <v>73</v>
      </c>
      <c r="ER235" s="115">
        <v>7</v>
      </c>
      <c r="ES235" s="115">
        <v>102</v>
      </c>
      <c r="ET235" s="150">
        <v>0.85</v>
      </c>
      <c r="EU235" s="145">
        <f t="shared" si="174"/>
        <v>18</v>
      </c>
      <c r="EV235" s="115">
        <f t="shared" si="175"/>
        <v>31</v>
      </c>
      <c r="EW235" s="115">
        <f t="shared" si="175"/>
        <v>52</v>
      </c>
      <c r="EX235" s="115">
        <f t="shared" si="175"/>
        <v>28</v>
      </c>
      <c r="EY235" s="115" t="str">
        <f t="shared" si="156"/>
        <v>Постоянный</v>
      </c>
      <c r="EZ235" s="115">
        <f t="shared" si="156"/>
        <v>24</v>
      </c>
      <c r="FA235" s="115">
        <f t="shared" si="156"/>
        <v>0</v>
      </c>
      <c r="FB235" s="149">
        <f t="shared" si="176"/>
        <v>27.073024000000004</v>
      </c>
      <c r="FC235" s="142">
        <f t="shared" si="176"/>
        <v>35.200000000000003</v>
      </c>
      <c r="FD235" s="119">
        <f t="shared" si="176"/>
        <v>8</v>
      </c>
      <c r="FE235" s="121">
        <f t="shared" si="176"/>
        <v>29</v>
      </c>
      <c r="FF235" s="121">
        <f t="shared" si="145"/>
        <v>406.30850842521318</v>
      </c>
      <c r="FG235" s="121">
        <f t="shared" si="177"/>
        <v>72</v>
      </c>
      <c r="FH235" s="121">
        <f t="shared" si="146"/>
        <v>18</v>
      </c>
      <c r="FI235" s="121">
        <f t="shared" si="154"/>
        <v>54</v>
      </c>
      <c r="FJ235" s="144">
        <f t="shared" si="178"/>
        <v>0.33207547169811324</v>
      </c>
      <c r="FK235" s="132">
        <f t="shared" si="179"/>
        <v>0</v>
      </c>
      <c r="FL235" s="115">
        <f t="shared" si="179"/>
        <v>3</v>
      </c>
      <c r="FM235" s="115">
        <f t="shared" si="179"/>
        <v>-4</v>
      </c>
      <c r="FN235" s="115">
        <f t="shared" si="162"/>
        <v>1</v>
      </c>
      <c r="FO235" s="115">
        <f t="shared" si="150"/>
        <v>0</v>
      </c>
      <c r="FP235" s="115">
        <f t="shared" si="150"/>
        <v>0</v>
      </c>
      <c r="FQ235" s="149">
        <f t="shared" si="150"/>
        <v>7.8100240000000021</v>
      </c>
      <c r="FR235" s="142">
        <f t="shared" si="148"/>
        <v>11.650000000000002</v>
      </c>
      <c r="FS235" s="119">
        <f t="shared" si="148"/>
        <v>5.9</v>
      </c>
      <c r="FT235" s="121">
        <f t="shared" si="148"/>
        <v>21.1</v>
      </c>
      <c r="FU235" s="121">
        <f t="shared" si="180"/>
        <v>-1</v>
      </c>
      <c r="FV235" s="121">
        <f t="shared" si="180"/>
        <v>11</v>
      </c>
      <c r="FW235" s="121">
        <f t="shared" si="181"/>
        <v>-5.6914915747868235</v>
      </c>
      <c r="FX235" s="121">
        <f t="shared" si="182"/>
        <v>-48</v>
      </c>
      <c r="FY235" s="144">
        <f t="shared" si="182"/>
        <v>-0.51792452830188673</v>
      </c>
      <c r="FZ235" s="145" t="s">
        <v>221</v>
      </c>
      <c r="GA235" s="151" t="s">
        <v>1088</v>
      </c>
      <c r="GB235" s="145" t="s">
        <v>25</v>
      </c>
      <c r="GC235" s="151" t="s">
        <v>1089</v>
      </c>
      <c r="GD235" s="997" t="s">
        <v>220</v>
      </c>
      <c r="GE235" s="1004" t="s">
        <v>25</v>
      </c>
      <c r="GF235" s="1004">
        <v>26.292571183999996</v>
      </c>
      <c r="GG235" s="1004"/>
      <c r="GH235" s="1004">
        <v>0</v>
      </c>
      <c r="GI235" s="145"/>
      <c r="GJ235" s="996">
        <v>0</v>
      </c>
      <c r="GK235" s="145"/>
      <c r="GL235" s="996">
        <v>0</v>
      </c>
      <c r="GM235" s="1005"/>
      <c r="GN235" s="996">
        <v>0</v>
      </c>
      <c r="GO235" s="1006"/>
      <c r="GP235" s="996">
        <v>0</v>
      </c>
      <c r="GQ235" s="1006"/>
      <c r="GR235" s="996">
        <v>0</v>
      </c>
      <c r="GS235" s="1006" t="s">
        <v>342</v>
      </c>
      <c r="GT235" s="996">
        <v>2.597331616</v>
      </c>
      <c r="GU235" s="1006"/>
      <c r="GV235" s="996">
        <v>-0.41733120000000046</v>
      </c>
      <c r="GW235" s="1006"/>
      <c r="GX235" s="1036">
        <v>0</v>
      </c>
      <c r="GY235" s="1006" t="s">
        <v>199</v>
      </c>
      <c r="GZ235" s="996">
        <v>-1.6678199999999999</v>
      </c>
      <c r="HA235" s="1006" t="s">
        <v>199</v>
      </c>
      <c r="HB235" s="996">
        <v>1.7409699999999999</v>
      </c>
      <c r="HC235" s="1006"/>
      <c r="HD235" s="996">
        <v>0</v>
      </c>
      <c r="HE235" s="1006"/>
      <c r="HF235" s="996">
        <v>0</v>
      </c>
      <c r="HG235" s="1006"/>
      <c r="HH235" s="996">
        <v>0</v>
      </c>
      <c r="HI235" s="1006"/>
      <c r="HJ235" s="996">
        <v>0</v>
      </c>
      <c r="HK235" s="1006"/>
      <c r="HL235" s="996">
        <v>-0.5035999999999996</v>
      </c>
      <c r="HM235" s="1006"/>
      <c r="HN235" s="996">
        <v>0</v>
      </c>
      <c r="HO235" s="1006"/>
      <c r="HP235" s="996">
        <v>0</v>
      </c>
      <c r="HQ235" s="1006" t="s">
        <v>223</v>
      </c>
      <c r="HR235" s="996">
        <v>-4.7092716000000001</v>
      </c>
      <c r="HS235" s="1006" t="s">
        <v>221</v>
      </c>
      <c r="HT235" s="996">
        <v>-3.3538982400000013</v>
      </c>
      <c r="HU235" s="1006" t="s">
        <v>221</v>
      </c>
      <c r="HV235" s="996">
        <v>-7.074248051199997</v>
      </c>
      <c r="HW235" s="1006" t="s">
        <v>25</v>
      </c>
      <c r="HX235" s="996">
        <v>6.9895946911999971</v>
      </c>
      <c r="HY235" s="1006"/>
      <c r="HZ235" s="996">
        <v>0</v>
      </c>
      <c r="IA235" s="1006" t="s">
        <v>933</v>
      </c>
      <c r="IB235" s="996">
        <v>-7.7664399999999993</v>
      </c>
      <c r="IC235" s="1006" t="s">
        <v>199</v>
      </c>
      <c r="ID235" s="996">
        <v>10.032</v>
      </c>
      <c r="IE235" s="1006"/>
      <c r="IF235" s="996">
        <v>0</v>
      </c>
      <c r="IG235" s="1006" t="s">
        <v>199</v>
      </c>
      <c r="IH235" s="996">
        <v>-2.9678000000000004</v>
      </c>
      <c r="II235" s="1006" t="s">
        <v>221</v>
      </c>
      <c r="IJ235" s="996">
        <v>-4.5561999999999987</v>
      </c>
      <c r="IK235" s="1006" t="s">
        <v>221</v>
      </c>
      <c r="IL235" s="996">
        <v>-8.6943999999999981</v>
      </c>
      <c r="IM235" s="1006" t="s">
        <v>221</v>
      </c>
      <c r="IN235" s="996">
        <v>14.546399999999998</v>
      </c>
      <c r="IO235" s="1006"/>
      <c r="IP235" s="996">
        <v>0</v>
      </c>
      <c r="IQ235" s="1006"/>
      <c r="IR235" s="996">
        <v>0</v>
      </c>
      <c r="IS235" s="1006"/>
      <c r="IT235" s="996">
        <v>0</v>
      </c>
      <c r="IU235" s="1006"/>
      <c r="IV235" s="996">
        <v>0</v>
      </c>
      <c r="IW235" s="1006"/>
      <c r="IX235" s="996">
        <v>0</v>
      </c>
      <c r="IY235" s="1006"/>
      <c r="IZ235" s="996">
        <v>0</v>
      </c>
      <c r="JA235" s="1006"/>
      <c r="JB235" s="996">
        <v>0</v>
      </c>
      <c r="JC235" s="1006"/>
      <c r="JD235" s="996">
        <v>0</v>
      </c>
      <c r="JE235" s="1006"/>
      <c r="JF235" s="996">
        <v>0</v>
      </c>
      <c r="JG235" s="1006"/>
      <c r="JH235" s="996">
        <v>0</v>
      </c>
      <c r="JI235" s="1006"/>
      <c r="JJ235" s="996">
        <v>0</v>
      </c>
      <c r="JK235" s="1007"/>
      <c r="JL235" s="1007">
        <v>0</v>
      </c>
      <c r="JM235" s="1007"/>
      <c r="JN235" s="1007">
        <v>0</v>
      </c>
      <c r="JO235" s="1008"/>
      <c r="JP235" s="1007">
        <v>0</v>
      </c>
      <c r="JQ235" s="1008" t="s">
        <v>199</v>
      </c>
      <c r="JR235" s="1007">
        <v>1.6719999999999997</v>
      </c>
      <c r="JS235" s="1008" t="s">
        <v>199</v>
      </c>
      <c r="JT235" s="1007">
        <v>-1.6191647999999992</v>
      </c>
      <c r="JU235" s="1008"/>
      <c r="JV235" s="1007">
        <v>0</v>
      </c>
      <c r="JW235" s="1008" t="s">
        <v>203</v>
      </c>
      <c r="JX235" s="1007">
        <v>-3.5640352000000002</v>
      </c>
      <c r="JY235" s="1008" t="s">
        <v>203</v>
      </c>
      <c r="JZ235" s="1007">
        <v>-1.5975207600000001</v>
      </c>
      <c r="KA235" s="1008" t="s">
        <v>25</v>
      </c>
      <c r="KB235" s="1007">
        <v>5.1087207599999997</v>
      </c>
      <c r="KC235" s="1008"/>
      <c r="KD235" s="1007">
        <v>0</v>
      </c>
      <c r="KE235" s="1008" t="s">
        <v>199</v>
      </c>
      <c r="KF235" s="1007">
        <v>-3.9208399999999992</v>
      </c>
      <c r="KG235" s="1008"/>
      <c r="KH235" s="1007">
        <v>0</v>
      </c>
      <c r="KI235" s="1008" t="s">
        <v>240</v>
      </c>
      <c r="KJ235" s="1007">
        <v>3.3356399999999997</v>
      </c>
      <c r="KK235" s="1008"/>
      <c r="KL235" s="1007">
        <v>0</v>
      </c>
      <c r="KM235" s="1008"/>
      <c r="KN235" s="1007">
        <v>0</v>
      </c>
      <c r="KO235" s="1008" t="s">
        <v>240</v>
      </c>
      <c r="KP235" s="1007">
        <v>-1.0868000000000002</v>
      </c>
      <c r="KQ235" s="1008" t="s">
        <v>206</v>
      </c>
      <c r="KR235" s="1007">
        <v>-0.62633120000000098</v>
      </c>
      <c r="KS235" s="1008">
        <v>0</v>
      </c>
      <c r="KT235" s="1007">
        <v>0</v>
      </c>
      <c r="KU235" s="1008">
        <v>0</v>
      </c>
      <c r="KV235" s="1007">
        <v>0</v>
      </c>
      <c r="KW235" s="1008" t="s">
        <v>204</v>
      </c>
      <c r="KX235" s="1007">
        <v>0.88442948000000143</v>
      </c>
      <c r="KY235" s="1008" t="s">
        <v>206</v>
      </c>
      <c r="KZ235" s="1007">
        <v>-4.5938617999999991</v>
      </c>
      <c r="LA235" s="1008">
        <v>0</v>
      </c>
      <c r="LB235" s="1007">
        <v>0</v>
      </c>
      <c r="LC235" s="1008">
        <v>0</v>
      </c>
      <c r="LD235" s="1007">
        <v>0</v>
      </c>
      <c r="LE235" s="1008" t="s">
        <v>204</v>
      </c>
      <c r="LF235" s="1007">
        <v>5.1785351199999994</v>
      </c>
      <c r="LG235" s="1008">
        <v>0</v>
      </c>
      <c r="LH235" s="1007">
        <v>0</v>
      </c>
      <c r="LI235" s="1008">
        <v>0</v>
      </c>
      <c r="LJ235" s="1007">
        <v>0</v>
      </c>
      <c r="LK235" s="1008">
        <v>0</v>
      </c>
      <c r="LL235" s="1007">
        <v>0</v>
      </c>
      <c r="LM235" s="1008">
        <v>0</v>
      </c>
      <c r="LN235" s="1007">
        <v>0</v>
      </c>
      <c r="LO235" s="1008" t="s">
        <v>206</v>
      </c>
      <c r="LP235" s="1007">
        <v>2.58</v>
      </c>
      <c r="LQ235" s="1008" t="s">
        <v>203</v>
      </c>
      <c r="LR235" s="1007">
        <v>-6.6879999999999988</v>
      </c>
      <c r="LS235" s="1008">
        <v>0</v>
      </c>
      <c r="LT235" s="1007">
        <v>0</v>
      </c>
      <c r="LU235" s="1008">
        <v>0</v>
      </c>
      <c r="LV235" s="1007">
        <v>0</v>
      </c>
      <c r="LW235" s="1008">
        <v>0</v>
      </c>
      <c r="LX235" s="1007">
        <v>-0.51600000000000001</v>
      </c>
      <c r="LY235" s="1009">
        <v>0</v>
      </c>
      <c r="LZ235" s="1010">
        <v>5.1765999999999996</v>
      </c>
      <c r="MA235" s="1011">
        <v>0</v>
      </c>
      <c r="MB235" s="1012">
        <v>1.2414600000000018</v>
      </c>
      <c r="MC235" s="995"/>
      <c r="MD235" s="996"/>
      <c r="ME235" s="997" t="s">
        <v>220</v>
      </c>
      <c r="MF235" s="997">
        <f>CN235-CA235</f>
        <v>23</v>
      </c>
      <c r="MG235" s="998"/>
      <c r="NR235" s="1000"/>
      <c r="NS235" s="1000"/>
      <c r="NT235" s="1001"/>
      <c r="NU235" s="1000"/>
      <c r="NV235" s="1001"/>
      <c r="NX235" s="1002"/>
      <c r="NZ235" s="1001"/>
      <c r="OA235" s="1001"/>
      <c r="OC235" s="1003"/>
      <c r="OD235" s="1003"/>
      <c r="OE235" s="1001"/>
      <c r="OF235" s="1003"/>
      <c r="OG235" s="1003"/>
      <c r="OH235" s="1003"/>
      <c r="OI235" s="1016"/>
      <c r="ASU235" s="999" t="s">
        <v>208</v>
      </c>
    </row>
    <row r="236" spans="1:466 1191:1191" ht="21" customHeight="1" x14ac:dyDescent="0.25">
      <c r="A236" s="982">
        <f t="shared" si="163"/>
        <v>1129</v>
      </c>
      <c r="B236" s="124">
        <f>SUBTOTAL(103,$J$29:J236)</f>
        <v>208</v>
      </c>
      <c r="C236" s="126">
        <v>45068</v>
      </c>
      <c r="D236" s="124" t="s">
        <v>176</v>
      </c>
      <c r="E236" s="127" t="s">
        <v>177</v>
      </c>
      <c r="F236" s="128" t="s">
        <v>177</v>
      </c>
      <c r="G236" s="127" t="s">
        <v>178</v>
      </c>
      <c r="H236" s="127" t="s">
        <v>179</v>
      </c>
      <c r="I236" s="127" t="s">
        <v>1090</v>
      </c>
      <c r="J236" s="152">
        <v>1129</v>
      </c>
      <c r="K236" s="127" t="s">
        <v>1090</v>
      </c>
      <c r="L236" s="130">
        <v>41713</v>
      </c>
      <c r="M236" s="127" t="s">
        <v>230</v>
      </c>
      <c r="N236" s="127" t="s">
        <v>184</v>
      </c>
      <c r="O236" s="127" t="s">
        <v>185</v>
      </c>
      <c r="P236" s="127" t="s">
        <v>186</v>
      </c>
      <c r="Q236" s="85" t="str">
        <f t="shared" si="187"/>
        <v/>
      </c>
      <c r="R236" s="130"/>
      <c r="S236" s="128" t="s">
        <v>156</v>
      </c>
      <c r="T236" s="131"/>
      <c r="U236" s="132">
        <v>203</v>
      </c>
      <c r="V236" s="121">
        <v>218.2</v>
      </c>
      <c r="W236" s="116">
        <v>0.98</v>
      </c>
      <c r="X236" s="116">
        <v>1.66</v>
      </c>
      <c r="Y236" s="116">
        <f t="shared" si="137"/>
        <v>0.98028109265066365</v>
      </c>
      <c r="Z236" s="133">
        <v>1.454</v>
      </c>
      <c r="AA236" s="133">
        <v>0.83599999999999997</v>
      </c>
      <c r="AB236" s="133">
        <v>0.72</v>
      </c>
      <c r="AC236" s="121">
        <v>34.299999999999997</v>
      </c>
      <c r="AD236" s="134">
        <v>1.17</v>
      </c>
      <c r="AE236" s="124">
        <v>177.8</v>
      </c>
      <c r="AF236" s="128">
        <v>9.19</v>
      </c>
      <c r="AG236" s="128">
        <v>1957</v>
      </c>
      <c r="AH236" s="127">
        <v>2741</v>
      </c>
      <c r="AI236" s="127">
        <v>2247</v>
      </c>
      <c r="AJ236" s="135"/>
      <c r="AK236" s="128"/>
      <c r="AL236" s="131"/>
      <c r="AM236" s="124" t="s">
        <v>232</v>
      </c>
      <c r="AN236" s="136" t="s">
        <v>1091</v>
      </c>
      <c r="AO236" s="137">
        <v>12</v>
      </c>
      <c r="AP236" s="128">
        <v>1957</v>
      </c>
      <c r="AQ236" s="128">
        <v>157.05000000000001</v>
      </c>
      <c r="AR236" s="128"/>
      <c r="AS236" s="128"/>
      <c r="AT236" s="122"/>
      <c r="AU236" s="124" t="s">
        <v>189</v>
      </c>
      <c r="AV236" s="115">
        <f>VLOOKUP(J236,'[63]ТР нефть'!$J$28:$BP$638,39,0)</f>
        <v>499.99999218800002</v>
      </c>
      <c r="AW236" s="115" t="str">
        <f>VLOOKUP(J236,'[63]ТР нефть'!$J$28:$BP$638,40,0)</f>
        <v>ГП</v>
      </c>
      <c r="AX236" s="115">
        <f>VLOOKUP(J236,'[63]ТР нефть'!$J$28:$BP$638,41,0)</f>
        <v>884.99997128899997</v>
      </c>
      <c r="AY236" s="115" t="str">
        <f>VLOOKUP(J236,'[63]ТР нефть'!$J$28:$BP$638,42,0)</f>
        <v>ГК 81 1/8</v>
      </c>
      <c r="AZ236" s="115">
        <f>VLOOKUP(J236,'[63]ТР нефть'!$J$28:$BP$638,43,0)</f>
        <v>1199.99998125</v>
      </c>
      <c r="BA236" s="115" t="str">
        <f>VLOOKUP(J236,'[63]ТР нефть'!$J$28:$BP$638,44,0)</f>
        <v>ГК 80 5/32</v>
      </c>
      <c r="BB236" s="115">
        <f>VLOOKUP(J236,'[63]ТР нефть'!$J$28:$BP$638,45,0)</f>
        <v>1460.000036719</v>
      </c>
      <c r="BC236" s="115" t="str">
        <f>VLOOKUP(J236,'[63]ТР нефть'!$J$28:$BP$638,46,0)</f>
        <v>ГК 79 5/32</v>
      </c>
      <c r="BD236" s="115">
        <f>VLOOKUP(J236,'[63]ТР нефть'!$J$28:$BP$638,47,0)</f>
        <v>1699.9999734380001</v>
      </c>
      <c r="BE236" s="115" t="str">
        <f>VLOOKUP(J236,'[63]ТР нефть'!$J$28:$BP$638,48,0)</f>
        <v>ЦКсОК 51/6</v>
      </c>
      <c r="BF236" s="115" t="str">
        <f>VLOOKUP(J236,'[63]ТР нефть'!$J$28:$BP$638,49,0)</f>
        <v>-</v>
      </c>
      <c r="BG236" s="115" t="str">
        <f>VLOOKUP(J236,'[63]ТР нефть'!$J$28:$BP$638,50,0)</f>
        <v>-</v>
      </c>
      <c r="BH236" s="115">
        <f>VLOOKUP(J236,'[63]ТР нефть'!$J$28:$BP$638,51,0)</f>
        <v>1780</v>
      </c>
      <c r="BI236" s="115" t="str">
        <f>VLOOKUP(J236,'[63]ТР нефть'!$J$28:$BP$638,52,0)</f>
        <v>закрыт</v>
      </c>
      <c r="BJ236" s="115" t="str">
        <f>IF(IFERROR(VLOOKUP(J236,'[63]ТР нефть'!$J$28:$BP$638,53,0),"-")=0,"-",IFERROR(VLOOKUP(J236,'[63]ТР нефть'!$J$28:$BP$638,53,0),"-"))</f>
        <v>-</v>
      </c>
      <c r="BK236" s="138" t="str">
        <f>IF(IFERROR(VLOOKUP(J236,'[63]ТР нефть'!$J$28:$BP$638,54,0),"-")=0,"-",IFERROR(VLOOKUP(J236,'[63]ТР нефть'!$J$28:$BP$638,54,0),"-"))</f>
        <v>-</v>
      </c>
      <c r="BL236" s="138" t="str">
        <f>IF(IFERROR(VLOOKUP(J236,'[63]ТР нефть'!$J$28:$BP$638,55,0),"-")=0,"-",IFERROR(VLOOKUP(J236,'[63]ТР нефть'!$J$28:$BP$638,55,0),"-"))</f>
        <v>-</v>
      </c>
      <c r="BM236" s="138" t="str">
        <f>IF(IFERROR(VLOOKUP(J236,'[63]ТР нефть'!$J$28:$BP$638,56,0),"-")=0,"-",IFERROR(VLOOKUP(J236,'[63]ТР нефть'!$J$28:$BP$638,56,0),"-"))</f>
        <v>-</v>
      </c>
      <c r="BN236" s="138" t="str">
        <f>IF(IFERROR(VLOOKUP(J236,'[63]ТР нефть'!$J$28:$BP$638,57,0),"-")=0,"-",IFERROR(VLOOKUP(J236,'[63]ТР нефть'!$J$28:$BP$638,57,0),"-"))</f>
        <v>-</v>
      </c>
      <c r="BO236" s="115" t="str">
        <f>IF(IFERROR(VLOOKUP(J236,'[63]ТР нефть'!$J$28:$BP$638,58,0),"-")=0,"-",IFERROR(VLOOKUP(J236,'[63]ТР нефть'!$J$28:$BP$638,58,0),"-"))</f>
        <v>-</v>
      </c>
      <c r="BP236" s="115" t="str">
        <f>IF(IFERROR(VLOOKUP(J236,'[63]ТР нефть'!$J$28:$BP$638,59,0),"-")=0,"-",IFERROR(VLOOKUP(J236,'[63]ТР нефть'!$J$28:$BP$638,59,0),"-"))</f>
        <v>-</v>
      </c>
      <c r="BQ236" s="138">
        <v>2250</v>
      </c>
      <c r="BR236" s="128">
        <v>1832.61</v>
      </c>
      <c r="BS236" s="115">
        <f t="shared" si="164"/>
        <v>417.3900000000001</v>
      </c>
      <c r="BT236" s="128">
        <v>73</v>
      </c>
      <c r="BU236" s="128">
        <v>5.5</v>
      </c>
      <c r="BV236" s="127">
        <v>65</v>
      </c>
      <c r="BW236" s="127" t="s">
        <v>217</v>
      </c>
      <c r="BX236" s="127" t="s">
        <v>195</v>
      </c>
      <c r="BY236" s="139">
        <v>24</v>
      </c>
      <c r="BZ236" s="139">
        <v>0</v>
      </c>
      <c r="CA236" s="80">
        <v>24</v>
      </c>
      <c r="CB236" s="138">
        <v>38</v>
      </c>
      <c r="CC236" s="138">
        <v>23</v>
      </c>
      <c r="CD236" s="135">
        <v>45017</v>
      </c>
      <c r="CE236" s="138">
        <v>86</v>
      </c>
      <c r="CF236" s="138">
        <v>77</v>
      </c>
      <c r="CG236" s="138" t="str">
        <f t="shared" si="153"/>
        <v>В работе</v>
      </c>
      <c r="CH236" s="138" t="s">
        <v>196</v>
      </c>
      <c r="CI236" s="127">
        <v>5</v>
      </c>
      <c r="CJ236" s="138"/>
      <c r="CK236" s="138">
        <f t="shared" si="157"/>
        <v>17</v>
      </c>
      <c r="CL236" s="99"/>
      <c r="CM236" s="99"/>
      <c r="CN236" s="140">
        <v>41</v>
      </c>
      <c r="CO236" s="141">
        <f t="shared" si="165"/>
        <v>5.8479035999999995</v>
      </c>
      <c r="CP236" s="142">
        <v>7</v>
      </c>
      <c r="CQ236" s="143">
        <v>7.0000000000000007E-2</v>
      </c>
      <c r="CR236" s="115">
        <v>13</v>
      </c>
      <c r="CS236" s="139">
        <v>6.5</v>
      </c>
      <c r="CT236" s="138"/>
      <c r="CU236" s="138">
        <f t="shared" si="188"/>
        <v>6.5</v>
      </c>
      <c r="CV236" s="115">
        <f t="shared" si="189"/>
        <v>1111.5094304906122</v>
      </c>
      <c r="CW236" s="115">
        <f t="shared" si="166"/>
        <v>1110.4319822997825</v>
      </c>
      <c r="CX236" s="133">
        <f t="shared" si="190"/>
        <v>0.15555555555555556</v>
      </c>
      <c r="CY236" s="116"/>
      <c r="CZ236" s="131"/>
      <c r="DA236" s="145" t="str">
        <f t="shared" si="167"/>
        <v>Газлифт</v>
      </c>
      <c r="DB236" s="146">
        <f t="shared" si="168"/>
        <v>5.8479035999999995</v>
      </c>
      <c r="DC236" s="142">
        <f t="shared" si="151"/>
        <v>7</v>
      </c>
      <c r="DD236" s="119">
        <f t="shared" si="152"/>
        <v>7.0000000000000007E-2</v>
      </c>
      <c r="DE236" s="115">
        <f t="shared" si="169"/>
        <v>6.5</v>
      </c>
      <c r="DF236" s="121">
        <f t="shared" si="170"/>
        <v>6.5</v>
      </c>
      <c r="DG236" s="115">
        <f t="shared" si="171"/>
        <v>1111.5094304906122</v>
      </c>
      <c r="DH236" s="115">
        <f t="shared" si="172"/>
        <v>41</v>
      </c>
      <c r="DI236" s="147"/>
      <c r="DJ236" s="111">
        <v>43520</v>
      </c>
      <c r="DK236" s="112">
        <v>43071</v>
      </c>
      <c r="DL236" s="113">
        <f t="shared" ca="1" si="138"/>
        <v>2033</v>
      </c>
      <c r="DM236" s="114"/>
      <c r="DN236" s="114"/>
      <c r="DO236" s="114"/>
      <c r="DP236" s="114"/>
      <c r="DQ236" s="112" t="s">
        <v>1092</v>
      </c>
      <c r="DR236" s="114" t="s">
        <v>198</v>
      </c>
      <c r="DS236" s="114"/>
      <c r="DT236" s="115">
        <v>52</v>
      </c>
      <c r="DU236" s="116">
        <f t="shared" si="139"/>
        <v>0.20588235294117646</v>
      </c>
      <c r="DV236" s="117">
        <f t="shared" si="140"/>
        <v>5.8479035999999995</v>
      </c>
      <c r="DW236" s="118">
        <f t="shared" si="141"/>
        <v>7</v>
      </c>
      <c r="DX236" s="119">
        <f t="shared" si="173"/>
        <v>7.0000000000000007E-2</v>
      </c>
      <c r="DY236" s="115">
        <f t="shared" si="142"/>
        <v>6.5</v>
      </c>
      <c r="DZ236" s="117">
        <f t="shared" si="143"/>
        <v>0</v>
      </c>
      <c r="EA236" s="120">
        <f t="shared" si="143"/>
        <v>0</v>
      </c>
      <c r="EB236" s="119">
        <f t="shared" si="143"/>
        <v>0</v>
      </c>
      <c r="EC236" s="121">
        <f t="shared" si="144"/>
        <v>0</v>
      </c>
      <c r="ED236" s="122"/>
      <c r="EE236" s="145">
        <v>65</v>
      </c>
      <c r="EF236" s="148">
        <v>26</v>
      </c>
      <c r="EG236" s="115">
        <v>38</v>
      </c>
      <c r="EH236" s="115">
        <v>25</v>
      </c>
      <c r="EI236" s="128" t="s">
        <v>195</v>
      </c>
      <c r="EJ236" s="121">
        <v>24</v>
      </c>
      <c r="EK236" s="121">
        <v>0</v>
      </c>
      <c r="EL236" s="149">
        <v>3.6758251200000003</v>
      </c>
      <c r="EM236" s="142">
        <v>4.4000000000000004</v>
      </c>
      <c r="EN236" s="119">
        <v>7.0000000000000007E-2</v>
      </c>
      <c r="EO236" s="115">
        <v>10</v>
      </c>
      <c r="EP236" s="115">
        <v>1360.2388135374622</v>
      </c>
      <c r="EQ236" s="115">
        <v>76</v>
      </c>
      <c r="ER236" s="115">
        <v>5</v>
      </c>
      <c r="ES236" s="115">
        <v>45</v>
      </c>
      <c r="ET236" s="150">
        <v>0.10731707317073172</v>
      </c>
      <c r="EU236" s="145">
        <f t="shared" si="174"/>
        <v>65</v>
      </c>
      <c r="EV236" s="115">
        <f t="shared" si="175"/>
        <v>24</v>
      </c>
      <c r="EW236" s="115">
        <f t="shared" si="175"/>
        <v>38</v>
      </c>
      <c r="EX236" s="115">
        <f t="shared" si="175"/>
        <v>23</v>
      </c>
      <c r="EY236" s="115" t="str">
        <f t="shared" si="156"/>
        <v>Постоянный</v>
      </c>
      <c r="EZ236" s="115">
        <f t="shared" si="156"/>
        <v>24</v>
      </c>
      <c r="FA236" s="115">
        <f t="shared" si="156"/>
        <v>0</v>
      </c>
      <c r="FB236" s="149">
        <f t="shared" si="176"/>
        <v>5.8479035999999995</v>
      </c>
      <c r="FC236" s="142">
        <f t="shared" si="176"/>
        <v>7</v>
      </c>
      <c r="FD236" s="119">
        <f t="shared" si="176"/>
        <v>7.0000000000000007E-2</v>
      </c>
      <c r="FE236" s="121">
        <f t="shared" si="176"/>
        <v>13</v>
      </c>
      <c r="FF236" s="121">
        <f t="shared" si="145"/>
        <v>1111.5094304906122</v>
      </c>
      <c r="FG236" s="121">
        <f t="shared" si="177"/>
        <v>77</v>
      </c>
      <c r="FH236" s="121">
        <f t="shared" si="146"/>
        <v>6.5</v>
      </c>
      <c r="FI236" s="121">
        <f t="shared" si="154"/>
        <v>41</v>
      </c>
      <c r="FJ236" s="144">
        <f t="shared" si="178"/>
        <v>0.15555555555555556</v>
      </c>
      <c r="FK236" s="132">
        <f t="shared" si="179"/>
        <v>0</v>
      </c>
      <c r="FL236" s="115">
        <f t="shared" si="179"/>
        <v>-2</v>
      </c>
      <c r="FM236" s="115">
        <f t="shared" si="179"/>
        <v>0</v>
      </c>
      <c r="FN236" s="115">
        <f t="shared" si="162"/>
        <v>-2</v>
      </c>
      <c r="FO236" s="115">
        <f t="shared" si="150"/>
        <v>0</v>
      </c>
      <c r="FP236" s="115">
        <f t="shared" si="150"/>
        <v>0</v>
      </c>
      <c r="FQ236" s="149">
        <f t="shared" si="150"/>
        <v>2.1720784799999993</v>
      </c>
      <c r="FR236" s="142">
        <f t="shared" si="148"/>
        <v>2.5999999999999996</v>
      </c>
      <c r="FS236" s="119">
        <f t="shared" si="148"/>
        <v>0</v>
      </c>
      <c r="FT236" s="121">
        <f t="shared" si="148"/>
        <v>3</v>
      </c>
      <c r="FU236" s="121">
        <f t="shared" si="180"/>
        <v>1</v>
      </c>
      <c r="FV236" s="121">
        <f t="shared" si="180"/>
        <v>1.5</v>
      </c>
      <c r="FW236" s="121">
        <f t="shared" si="181"/>
        <v>-248.72938304684999</v>
      </c>
      <c r="FX236" s="121">
        <f t="shared" si="182"/>
        <v>-4</v>
      </c>
      <c r="FY236" s="144">
        <f t="shared" si="182"/>
        <v>4.8238482384823839E-2</v>
      </c>
      <c r="FZ236" s="145" t="s">
        <v>199</v>
      </c>
      <c r="GA236" s="1034" t="s">
        <v>200</v>
      </c>
      <c r="GB236" s="145" t="s">
        <v>199</v>
      </c>
      <c r="GC236" s="151" t="s">
        <v>1093</v>
      </c>
      <c r="GD236" s="997" t="s">
        <v>220</v>
      </c>
      <c r="GE236" s="1004" t="s">
        <v>199</v>
      </c>
      <c r="GF236" s="1004">
        <v>-3.174576239999999</v>
      </c>
      <c r="GG236" s="1004"/>
      <c r="GH236" s="1004">
        <v>0</v>
      </c>
      <c r="GI236" s="145"/>
      <c r="GJ236" s="996">
        <v>0</v>
      </c>
      <c r="GK236" s="145"/>
      <c r="GL236" s="996">
        <v>-0.66833184000000045</v>
      </c>
      <c r="GM236" s="1005"/>
      <c r="GN236" s="996">
        <v>0</v>
      </c>
      <c r="GO236" s="1006"/>
      <c r="GP236" s="996">
        <v>0</v>
      </c>
      <c r="GQ236" s="1006"/>
      <c r="GR236" s="996">
        <v>3.160080000000054E-2</v>
      </c>
      <c r="GS236" s="1006"/>
      <c r="GT236" s="996">
        <v>0.2975323999999997</v>
      </c>
      <c r="GU236" s="1006"/>
      <c r="GV236" s="996">
        <v>-0.33440000000000047</v>
      </c>
      <c r="GW236" s="1006" t="s">
        <v>223</v>
      </c>
      <c r="GX236" s="1036">
        <v>-1.5048000000000004</v>
      </c>
      <c r="GY236" s="1006"/>
      <c r="GZ236" s="996">
        <v>0</v>
      </c>
      <c r="HA236" s="1006"/>
      <c r="HB236" s="996">
        <v>-0.16719999999999935</v>
      </c>
      <c r="HC236" s="1006" t="s">
        <v>223</v>
      </c>
      <c r="HD236" s="996">
        <v>-5.3871839999999995</v>
      </c>
      <c r="HE236" s="1006" t="s">
        <v>199</v>
      </c>
      <c r="HF236" s="996">
        <v>2.3069629000000003</v>
      </c>
      <c r="HG236" s="1006" t="s">
        <v>223</v>
      </c>
      <c r="HH236" s="996">
        <v>-1.304598900000002</v>
      </c>
      <c r="HI236" s="1006" t="s">
        <v>199</v>
      </c>
      <c r="HJ236" s="996">
        <v>3.2562200000000026</v>
      </c>
      <c r="HK236" s="1006"/>
      <c r="HL236" s="996">
        <v>0</v>
      </c>
      <c r="HM236" s="1006" t="s">
        <v>203</v>
      </c>
      <c r="HN236" s="996">
        <v>-10.213395280000002</v>
      </c>
      <c r="HO236" s="1006" t="s">
        <v>25</v>
      </c>
      <c r="HP236" s="996">
        <v>13.896811280000001</v>
      </c>
      <c r="HQ236" s="1006"/>
      <c r="HR236" s="996">
        <v>0</v>
      </c>
      <c r="HS236" s="1006"/>
      <c r="HT236" s="996">
        <v>0</v>
      </c>
      <c r="HU236" s="1006"/>
      <c r="HV236" s="996">
        <v>0</v>
      </c>
      <c r="HW236" s="1006"/>
      <c r="HX236" s="996">
        <v>0</v>
      </c>
      <c r="HY236" s="1006"/>
      <c r="HZ236" s="996">
        <v>-0.58110359999999872</v>
      </c>
      <c r="IA236" s="1006"/>
      <c r="IB236" s="996">
        <v>0</v>
      </c>
      <c r="IC236" s="1006" t="s">
        <v>199</v>
      </c>
      <c r="ID236" s="996">
        <v>1.494266399999999</v>
      </c>
      <c r="IE236" s="1006"/>
      <c r="IF236" s="996">
        <v>0</v>
      </c>
      <c r="IG236" s="1006"/>
      <c r="IH236" s="996">
        <v>0</v>
      </c>
      <c r="II236" s="1006"/>
      <c r="IJ236" s="996">
        <v>0</v>
      </c>
      <c r="IK236" s="1006"/>
      <c r="IL236" s="996">
        <v>0</v>
      </c>
      <c r="IM236" s="1006"/>
      <c r="IN236" s="996">
        <v>-0.5905587600000004</v>
      </c>
      <c r="IO236" s="1006"/>
      <c r="IP236" s="996">
        <v>-0.49373323999999918</v>
      </c>
      <c r="IQ236" s="1006" t="s">
        <v>199</v>
      </c>
      <c r="IR236" s="996">
        <v>2.3882011999999992</v>
      </c>
      <c r="IS236" s="1006" t="s">
        <v>199</v>
      </c>
      <c r="IT236" s="996">
        <v>-1.3576639999999998</v>
      </c>
      <c r="IU236" s="1006"/>
      <c r="IV236" s="996">
        <v>-0.82596799999999959</v>
      </c>
      <c r="IW236" s="1006"/>
      <c r="IX236" s="996">
        <v>0</v>
      </c>
      <c r="IY236" s="1006" t="s">
        <v>199</v>
      </c>
      <c r="IZ236" s="996">
        <v>1.6519360000000001</v>
      </c>
      <c r="JA236" s="1006"/>
      <c r="JB236" s="996">
        <v>0</v>
      </c>
      <c r="JC236" s="1006"/>
      <c r="JD236" s="996">
        <v>0</v>
      </c>
      <c r="JE236" s="1006"/>
      <c r="JF236" s="996">
        <v>0</v>
      </c>
      <c r="JG236" s="1006"/>
      <c r="JH236" s="996">
        <v>0</v>
      </c>
      <c r="JI236" s="1006"/>
      <c r="JJ236" s="996">
        <v>0</v>
      </c>
      <c r="JK236" s="1007"/>
      <c r="JL236" s="1007">
        <v>0</v>
      </c>
      <c r="JM236" s="1007"/>
      <c r="JN236" s="1007">
        <v>-1.0031999999999819E-2</v>
      </c>
      <c r="JO236" s="1008" t="s">
        <v>199</v>
      </c>
      <c r="JP236" s="1007">
        <v>-1.6552800000000003</v>
      </c>
      <c r="JQ236" s="1008" t="s">
        <v>199</v>
      </c>
      <c r="JR236" s="1007">
        <v>5.3503999999999996</v>
      </c>
      <c r="JS236" s="1008" t="s">
        <v>199</v>
      </c>
      <c r="JT236" s="1007">
        <v>-4.5812799999999996</v>
      </c>
      <c r="JU236" s="1008"/>
      <c r="JV236" s="1007">
        <v>0</v>
      </c>
      <c r="JW236" s="1008" t="s">
        <v>206</v>
      </c>
      <c r="JX236" s="1007">
        <v>-1.6720000000000006</v>
      </c>
      <c r="JY236" s="1008"/>
      <c r="JZ236" s="1007">
        <v>0</v>
      </c>
      <c r="KA236" s="1008" t="s">
        <v>204</v>
      </c>
      <c r="KB236" s="1007">
        <v>0.8360000000000003</v>
      </c>
      <c r="KC236" s="1008"/>
      <c r="KD236" s="1007">
        <v>0</v>
      </c>
      <c r="KE236" s="1008"/>
      <c r="KF236" s="1007">
        <v>0</v>
      </c>
      <c r="KG236" s="1008"/>
      <c r="KH236" s="1007">
        <v>0</v>
      </c>
      <c r="KI236" s="1008" t="s">
        <v>203</v>
      </c>
      <c r="KJ236" s="1007">
        <v>-1.6719999999999997</v>
      </c>
      <c r="KK236" s="1008"/>
      <c r="KL236" s="1007">
        <v>0</v>
      </c>
      <c r="KM236" s="1008"/>
      <c r="KN236" s="1007">
        <v>0</v>
      </c>
      <c r="KO236" s="1008" t="s">
        <v>203</v>
      </c>
      <c r="KP236" s="1007">
        <v>-3.3826232000000012</v>
      </c>
      <c r="KQ236" s="1008" t="s">
        <v>25</v>
      </c>
      <c r="KR236" s="1007">
        <v>5.0572984000000005</v>
      </c>
      <c r="KS236" s="1008">
        <v>0</v>
      </c>
      <c r="KT236" s="1007">
        <v>0</v>
      </c>
      <c r="KU236" s="1008" t="s">
        <v>223</v>
      </c>
      <c r="KV236" s="1007">
        <v>-1.1730751999999995</v>
      </c>
      <c r="KW236" s="1008" t="s">
        <v>204</v>
      </c>
      <c r="KX236" s="1007">
        <v>2.2980887599999997</v>
      </c>
      <c r="KY236" s="1008" t="s">
        <v>206</v>
      </c>
      <c r="KZ236" s="1007">
        <v>-3.3848887599999999</v>
      </c>
      <c r="LA236" s="1008" t="s">
        <v>223</v>
      </c>
      <c r="LB236" s="1007">
        <v>-1.9228000000000005</v>
      </c>
      <c r="LC236" s="1008" t="s">
        <v>223</v>
      </c>
      <c r="LD236" s="1007">
        <v>-10.449999999999998</v>
      </c>
      <c r="LE236" s="1008" t="s">
        <v>25</v>
      </c>
      <c r="LF236" s="1007">
        <v>21.317999999999998</v>
      </c>
      <c r="LG236" s="1008">
        <v>0</v>
      </c>
      <c r="LH236" s="1007">
        <v>21.317999999999998</v>
      </c>
      <c r="LI236" s="1008">
        <v>0</v>
      </c>
      <c r="LJ236" s="1007">
        <v>0</v>
      </c>
      <c r="LK236" s="1008">
        <v>0</v>
      </c>
      <c r="LL236" s="1007">
        <v>0</v>
      </c>
      <c r="LM236" s="1008">
        <v>0</v>
      </c>
      <c r="LN236" s="1007">
        <v>0</v>
      </c>
      <c r="LO236" s="1008">
        <v>0</v>
      </c>
      <c r="LP236" s="1007">
        <v>0</v>
      </c>
      <c r="LQ236" s="1008" t="s">
        <v>204</v>
      </c>
      <c r="LR236" s="1007">
        <v>-1.2458489999999993</v>
      </c>
      <c r="LS236" s="1008">
        <v>0</v>
      </c>
      <c r="LT236" s="1007">
        <v>0.66445279999999896</v>
      </c>
      <c r="LU236" s="1008" t="s">
        <v>206</v>
      </c>
      <c r="LV236" s="1007">
        <v>-1.4119621999999996</v>
      </c>
      <c r="LW236" s="1008">
        <v>0</v>
      </c>
      <c r="LX236" s="1007">
        <v>0.58139620000000003</v>
      </c>
      <c r="LY236" s="1009">
        <v>0</v>
      </c>
      <c r="LZ236" s="1010">
        <v>0</v>
      </c>
      <c r="MA236" s="1011">
        <v>0</v>
      </c>
      <c r="MB236" s="1012">
        <v>0.39366200000000001</v>
      </c>
      <c r="MC236" s="995"/>
      <c r="MD236" s="996"/>
      <c r="ME236" s="997" t="s">
        <v>220</v>
      </c>
      <c r="MF236" s="997"/>
      <c r="MG236" s="998"/>
      <c r="NR236" s="1000"/>
      <c r="NS236" s="1000"/>
      <c r="NT236" s="1001"/>
      <c r="NU236" s="1000"/>
      <c r="NV236" s="1001"/>
      <c r="NX236" s="1002"/>
      <c r="NZ236" s="1001"/>
      <c r="OA236" s="1001"/>
      <c r="OC236" s="1003"/>
      <c r="OD236" s="1003"/>
      <c r="OE236" s="1001"/>
      <c r="OF236" s="1003"/>
      <c r="OG236" s="1003"/>
      <c r="QX236" s="1000">
        <f>CN236-CA236</f>
        <v>17</v>
      </c>
      <c r="ASU236" s="999" t="s">
        <v>208</v>
      </c>
    </row>
    <row r="237" spans="1:466 1191:1191" ht="21" customHeight="1" x14ac:dyDescent="0.25">
      <c r="A237" s="982" t="str">
        <f t="shared" si="163"/>
        <v>1129-2</v>
      </c>
      <c r="B237" s="124">
        <f>SUBTOTAL(103,$J$29:J237)</f>
        <v>209</v>
      </c>
      <c r="C237" s="126">
        <v>45068</v>
      </c>
      <c r="D237" s="124" t="s">
        <v>176</v>
      </c>
      <c r="E237" s="127" t="s">
        <v>177</v>
      </c>
      <c r="F237" s="128" t="s">
        <v>177</v>
      </c>
      <c r="G237" s="127" t="s">
        <v>178</v>
      </c>
      <c r="H237" s="127" t="s">
        <v>179</v>
      </c>
      <c r="I237" s="127" t="s">
        <v>1090</v>
      </c>
      <c r="J237" s="152" t="s">
        <v>1094</v>
      </c>
      <c r="K237" s="127" t="s">
        <v>1090</v>
      </c>
      <c r="L237" s="130">
        <v>41891</v>
      </c>
      <c r="M237" s="127" t="s">
        <v>230</v>
      </c>
      <c r="N237" s="127" t="s">
        <v>184</v>
      </c>
      <c r="O237" s="127" t="s">
        <v>185</v>
      </c>
      <c r="P237" s="127" t="s">
        <v>186</v>
      </c>
      <c r="Q237" s="85" t="str">
        <f t="shared" si="187"/>
        <v/>
      </c>
      <c r="R237" s="130"/>
      <c r="S237" s="128"/>
      <c r="T237" s="131"/>
      <c r="U237" s="132">
        <v>203</v>
      </c>
      <c r="V237" s="121">
        <v>218.2</v>
      </c>
      <c r="W237" s="116">
        <v>0.98</v>
      </c>
      <c r="X237" s="116">
        <v>1.66</v>
      </c>
      <c r="Y237" s="116">
        <f t="shared" ref="Y237:Y300" si="191">(W237*X237)/((CQ237/100)*W237+(1-CQ237/100)*X237)</f>
        <v>0.98</v>
      </c>
      <c r="Z237" s="133">
        <v>1.454</v>
      </c>
      <c r="AA237" s="133">
        <v>0.83599999999999997</v>
      </c>
      <c r="AB237" s="133">
        <v>0.72</v>
      </c>
      <c r="AC237" s="121">
        <v>34.299999999999997</v>
      </c>
      <c r="AD237" s="134">
        <v>1.17</v>
      </c>
      <c r="AE237" s="124">
        <v>177.8</v>
      </c>
      <c r="AF237" s="128">
        <v>9.19</v>
      </c>
      <c r="AG237" s="128">
        <v>2014</v>
      </c>
      <c r="AH237" s="127">
        <v>2850</v>
      </c>
      <c r="AI237" s="127">
        <v>2850</v>
      </c>
      <c r="AJ237" s="135"/>
      <c r="AK237" s="128"/>
      <c r="AL237" s="131"/>
      <c r="AM237" s="124" t="s">
        <v>232</v>
      </c>
      <c r="AN237" s="136" t="s">
        <v>1095</v>
      </c>
      <c r="AO237" s="137">
        <v>22</v>
      </c>
      <c r="AP237" s="128">
        <v>2014</v>
      </c>
      <c r="AQ237" s="128">
        <v>203.01</v>
      </c>
      <c r="AR237" s="128"/>
      <c r="AS237" s="128"/>
      <c r="AT237" s="122"/>
      <c r="AU237" s="124" t="s">
        <v>189</v>
      </c>
      <c r="AV237" s="115">
        <f>VLOOKUP(J237,'[63]ТР нефть'!$J$28:$BP$638,39,0)</f>
        <v>599.99999062500001</v>
      </c>
      <c r="AW237" s="115" t="str">
        <f>VLOOKUP(J237,'[63]ТР нефть'!$J$28:$BP$638,40,0)</f>
        <v>ГП</v>
      </c>
      <c r="AX237" s="115">
        <f>VLOOKUP(J237,'[63]ТР нефть'!$J$28:$BP$638,41,0)</f>
        <v>1199.99998125</v>
      </c>
      <c r="AY237" s="115" t="str">
        <f>VLOOKUP(J237,'[63]ТР нефть'!$J$28:$BP$638,42,0)</f>
        <v>ГК 85/1,5</v>
      </c>
      <c r="AZ237" s="115">
        <f>VLOOKUP(J237,'[63]ТР нефть'!$J$28:$BP$638,43,0)</f>
        <v>1499.999976563</v>
      </c>
      <c r="BA237" s="115" t="str">
        <f>VLOOKUP(J237,'[63]ТР нефть'!$J$28:$BP$638,44,0)</f>
        <v>ЦКсОК 5/16</v>
      </c>
      <c r="BB237" s="115" t="str">
        <f>VLOOKUP(J237,'[63]ТР нефть'!$J$28:$BP$638,45,0)</f>
        <v>-</v>
      </c>
      <c r="BC237" s="115" t="str">
        <f>VLOOKUP(J237,'[63]ТР нефть'!$J$28:$BP$638,46,0)</f>
        <v>-</v>
      </c>
      <c r="BD237" s="115" t="str">
        <f>VLOOKUP(J237,'[63]ТР нефть'!$J$28:$BP$638,47,0)</f>
        <v>-</v>
      </c>
      <c r="BE237" s="115" t="str">
        <f>VLOOKUP(J237,'[63]ТР нефть'!$J$28:$BP$638,48,0)</f>
        <v>-</v>
      </c>
      <c r="BF237" s="115" t="str">
        <f>VLOOKUP(J237,'[63]ТР нефть'!$J$28:$BP$638,49,0)</f>
        <v>-</v>
      </c>
      <c r="BG237" s="115" t="str">
        <f>VLOOKUP(J237,'[63]ТР нефть'!$J$28:$BP$638,50,0)</f>
        <v>-</v>
      </c>
      <c r="BH237" s="115">
        <f>VLOOKUP(J237,'[63]ТР нефть'!$J$28:$BP$638,51,0)</f>
        <v>1750</v>
      </c>
      <c r="BI237" s="115" t="str">
        <f>VLOOKUP(J237,'[63]ТР нефть'!$J$28:$BP$638,52,0)</f>
        <v xml:space="preserve">открыт </v>
      </c>
      <c r="BJ237" s="115" t="str">
        <f>IF(IFERROR(VLOOKUP(J237,'[63]ТР нефть'!$J$28:$BP$638,53,0),"-")=0,"-",IFERROR(VLOOKUP(J237,'[63]ТР нефть'!$J$28:$BP$638,53,0),"-"))</f>
        <v>-</v>
      </c>
      <c r="BK237" s="138" t="str">
        <f>IF(IFERROR(VLOOKUP(J237,'[63]ТР нефть'!$J$28:$BP$638,54,0),"-")=0,"-",IFERROR(VLOOKUP(J237,'[63]ТР нефть'!$J$28:$BP$638,54,0),"-"))</f>
        <v>-</v>
      </c>
      <c r="BL237" s="138" t="str">
        <f>IF(IFERROR(VLOOKUP(J237,'[63]ТР нефть'!$J$28:$BP$638,55,0),"-")=0,"-",IFERROR(VLOOKUP(J237,'[63]ТР нефть'!$J$28:$BP$638,55,0),"-"))</f>
        <v>-</v>
      </c>
      <c r="BM237" s="138" t="str">
        <f>IF(IFERROR(VLOOKUP(J237,'[63]ТР нефть'!$J$28:$BP$638,56,0),"-")=0,"-",IFERROR(VLOOKUP(J237,'[63]ТР нефть'!$J$28:$BP$638,56,0),"-"))</f>
        <v>-</v>
      </c>
      <c r="BN237" s="138" t="str">
        <f>IF(IFERROR(VLOOKUP(J237,'[63]ТР нефть'!$J$28:$BP$638,57,0),"-")=0,"-",IFERROR(VLOOKUP(J237,'[63]ТР нефть'!$J$28:$BP$638,57,0),"-"))</f>
        <v>-</v>
      </c>
      <c r="BO237" s="115" t="str">
        <f>IF(IFERROR(VLOOKUP(J237,'[63]ТР нефть'!$J$28:$BP$638,58,0),"-")=0,"-",IFERROR(VLOOKUP(J237,'[63]ТР нефть'!$J$28:$BP$638,58,0),"-"))</f>
        <v>-</v>
      </c>
      <c r="BP237" s="115" t="str">
        <f>IF(IFERROR(VLOOKUP(J237,'[63]ТР нефть'!$J$28:$BP$638,59,0),"-")=0,"-",IFERROR(VLOOKUP(J237,'[63]ТР нефть'!$J$28:$BP$638,59,0),"-"))</f>
        <v>-</v>
      </c>
      <c r="BQ237" s="138">
        <v>2040</v>
      </c>
      <c r="BR237" s="128">
        <v>1814.14</v>
      </c>
      <c r="BS237" s="115">
        <f t="shared" si="164"/>
        <v>225.8599999999999</v>
      </c>
      <c r="BT237" s="128">
        <v>73</v>
      </c>
      <c r="BU237" s="128">
        <v>5.5</v>
      </c>
      <c r="BV237" s="127">
        <v>18</v>
      </c>
      <c r="BW237" s="127" t="s">
        <v>217</v>
      </c>
      <c r="BX237" s="127" t="s">
        <v>195</v>
      </c>
      <c r="BY237" s="139">
        <v>24</v>
      </c>
      <c r="BZ237" s="139">
        <v>0</v>
      </c>
      <c r="CA237" s="80">
        <v>23</v>
      </c>
      <c r="CB237" s="138">
        <v>34</v>
      </c>
      <c r="CC237" s="138">
        <v>23</v>
      </c>
      <c r="CD237" s="135">
        <v>45017</v>
      </c>
      <c r="CE237" s="138">
        <v>81.099999999999994</v>
      </c>
      <c r="CF237" s="138">
        <v>76</v>
      </c>
      <c r="CG237" s="138" t="str">
        <f t="shared" si="153"/>
        <v>В работе</v>
      </c>
      <c r="CH237" s="138" t="s">
        <v>196</v>
      </c>
      <c r="CI237" s="127">
        <v>5</v>
      </c>
      <c r="CJ237" s="138"/>
      <c r="CK237" s="138">
        <f t="shared" si="157"/>
        <v>19</v>
      </c>
      <c r="CL237" s="99"/>
      <c r="CM237" s="99"/>
      <c r="CN237" s="140">
        <v>42</v>
      </c>
      <c r="CO237" s="141">
        <f t="shared" si="165"/>
        <v>5.016</v>
      </c>
      <c r="CP237" s="142">
        <v>6</v>
      </c>
      <c r="CQ237" s="143">
        <v>0</v>
      </c>
      <c r="CR237" s="138">
        <v>13</v>
      </c>
      <c r="CS237" s="139">
        <v>7.2</v>
      </c>
      <c r="CT237" s="138"/>
      <c r="CU237" s="138">
        <f t="shared" si="188"/>
        <v>5.8</v>
      </c>
      <c r="CV237" s="115">
        <f t="shared" si="189"/>
        <v>1156.2998405103667</v>
      </c>
      <c r="CW237" s="115">
        <f t="shared" si="166"/>
        <v>1435.4066985645932</v>
      </c>
      <c r="CX237" s="133">
        <f t="shared" si="190"/>
        <v>0.15345268542199492</v>
      </c>
      <c r="CY237" s="116"/>
      <c r="CZ237" s="131"/>
      <c r="DA237" s="145" t="str">
        <f t="shared" si="167"/>
        <v>Газлифт</v>
      </c>
      <c r="DB237" s="146">
        <f t="shared" si="168"/>
        <v>5.016</v>
      </c>
      <c r="DC237" s="142">
        <f t="shared" si="151"/>
        <v>6</v>
      </c>
      <c r="DD237" s="119">
        <f t="shared" si="152"/>
        <v>0</v>
      </c>
      <c r="DE237" s="115">
        <f t="shared" si="169"/>
        <v>5.8</v>
      </c>
      <c r="DF237" s="121">
        <f t="shared" si="170"/>
        <v>7.2</v>
      </c>
      <c r="DG237" s="115">
        <f t="shared" si="171"/>
        <v>1156.2998405103667</v>
      </c>
      <c r="DH237" s="115">
        <f t="shared" si="172"/>
        <v>42</v>
      </c>
      <c r="DI237" s="147"/>
      <c r="DJ237" s="111" t="s">
        <v>197</v>
      </c>
      <c r="DK237" s="112">
        <v>43071</v>
      </c>
      <c r="DL237" s="113">
        <f t="shared" ref="DL237:DL300" ca="1" si="192">TODAY()-DK237</f>
        <v>2033</v>
      </c>
      <c r="DM237" s="114"/>
      <c r="DN237" s="114"/>
      <c r="DO237" s="114"/>
      <c r="DP237" s="114"/>
      <c r="DQ237" s="112" t="s">
        <v>1096</v>
      </c>
      <c r="DR237" s="114" t="s">
        <v>198</v>
      </c>
      <c r="DS237" s="114"/>
      <c r="DT237" s="115">
        <v>46</v>
      </c>
      <c r="DU237" s="116">
        <f t="shared" ref="DU237:DU300" si="193">DW237/(CE237-DT237)</f>
        <v>0.17094017094017097</v>
      </c>
      <c r="DV237" s="117">
        <f t="shared" ref="DV237:DV300" si="194">DW237*(1-DX237/100)*$AA237</f>
        <v>5.016</v>
      </c>
      <c r="DW237" s="118">
        <f t="shared" ref="DW237:DW300" si="195">IF(DT237&lt;CN237,IF(MQ237=1,CP237,(1-0.2*(DT237/CE237)-0.8*(DT237/CE237)^2)*(CP237/(1-0.2*(CN237/CE237)-0.8*(CN237/CE237)^2))),CP237)</f>
        <v>6</v>
      </c>
      <c r="DX237" s="119">
        <f t="shared" si="173"/>
        <v>0</v>
      </c>
      <c r="DY237" s="115">
        <f t="shared" ref="DY237:DY300" si="196">(CV237*DV237)/1000</f>
        <v>5.7999999999999989</v>
      </c>
      <c r="DZ237" s="117">
        <f t="shared" ref="DZ237:EB300" si="197">DV237-CO237</f>
        <v>0</v>
      </c>
      <c r="EA237" s="120">
        <f t="shared" si="197"/>
        <v>0</v>
      </c>
      <c r="EB237" s="119">
        <f t="shared" si="197"/>
        <v>0</v>
      </c>
      <c r="EC237" s="121">
        <f t="shared" ref="EC237:EC300" si="198">DY237-CU237</f>
        <v>0</v>
      </c>
      <c r="ED237" s="122"/>
      <c r="EE237" s="145">
        <v>18</v>
      </c>
      <c r="EF237" s="148">
        <v>25</v>
      </c>
      <c r="EG237" s="115">
        <v>36</v>
      </c>
      <c r="EH237" s="115">
        <v>24</v>
      </c>
      <c r="EI237" s="128" t="s">
        <v>195</v>
      </c>
      <c r="EJ237" s="121">
        <v>24</v>
      </c>
      <c r="EK237" s="121">
        <v>0</v>
      </c>
      <c r="EL237" s="149">
        <v>4.5979999999999999</v>
      </c>
      <c r="EM237" s="142">
        <v>5.5</v>
      </c>
      <c r="EN237" s="119">
        <v>0</v>
      </c>
      <c r="EO237" s="115">
        <v>15</v>
      </c>
      <c r="EP237" s="115">
        <v>1152.6750761200524</v>
      </c>
      <c r="EQ237" s="115">
        <v>76</v>
      </c>
      <c r="ER237" s="115">
        <v>9.6999999999999993</v>
      </c>
      <c r="ES237" s="115">
        <v>44</v>
      </c>
      <c r="ET237" s="150">
        <v>0.14824797843665771</v>
      </c>
      <c r="EU237" s="145">
        <f t="shared" si="174"/>
        <v>18</v>
      </c>
      <c r="EV237" s="115">
        <f t="shared" si="175"/>
        <v>23</v>
      </c>
      <c r="EW237" s="115">
        <f t="shared" si="175"/>
        <v>34</v>
      </c>
      <c r="EX237" s="115">
        <f t="shared" si="175"/>
        <v>23</v>
      </c>
      <c r="EY237" s="115" t="str">
        <f t="shared" si="156"/>
        <v>Постоянный</v>
      </c>
      <c r="EZ237" s="115">
        <f t="shared" si="156"/>
        <v>24</v>
      </c>
      <c r="FA237" s="115">
        <f t="shared" si="156"/>
        <v>0</v>
      </c>
      <c r="FB237" s="149">
        <f t="shared" si="176"/>
        <v>5.016</v>
      </c>
      <c r="FC237" s="142">
        <f t="shared" si="176"/>
        <v>6</v>
      </c>
      <c r="FD237" s="119">
        <f t="shared" si="176"/>
        <v>0</v>
      </c>
      <c r="FE237" s="121">
        <f t="shared" si="176"/>
        <v>13</v>
      </c>
      <c r="FF237" s="121">
        <f t="shared" ref="FF237:FF300" si="199">CV237</f>
        <v>1156.2998405103667</v>
      </c>
      <c r="FG237" s="121">
        <f t="shared" si="177"/>
        <v>76</v>
      </c>
      <c r="FH237" s="121">
        <f t="shared" ref="FH237:FH300" si="200">CS237</f>
        <v>7.2</v>
      </c>
      <c r="FI237" s="121">
        <f t="shared" si="154"/>
        <v>42</v>
      </c>
      <c r="FJ237" s="144">
        <f t="shared" si="178"/>
        <v>0.15345268542199492</v>
      </c>
      <c r="FK237" s="132">
        <f t="shared" si="179"/>
        <v>0</v>
      </c>
      <c r="FL237" s="115">
        <f t="shared" si="179"/>
        <v>-2</v>
      </c>
      <c r="FM237" s="115">
        <f t="shared" si="179"/>
        <v>-2</v>
      </c>
      <c r="FN237" s="115">
        <f t="shared" si="162"/>
        <v>-1</v>
      </c>
      <c r="FO237" s="115">
        <f t="shared" si="150"/>
        <v>0</v>
      </c>
      <c r="FP237" s="115">
        <f t="shared" si="150"/>
        <v>0</v>
      </c>
      <c r="FQ237" s="149">
        <f t="shared" si="150"/>
        <v>0.41800000000000015</v>
      </c>
      <c r="FR237" s="142">
        <f t="shared" si="148"/>
        <v>0.5</v>
      </c>
      <c r="FS237" s="119">
        <f t="shared" si="148"/>
        <v>0</v>
      </c>
      <c r="FT237" s="121">
        <f t="shared" si="148"/>
        <v>-2</v>
      </c>
      <c r="FU237" s="121">
        <f t="shared" si="180"/>
        <v>0</v>
      </c>
      <c r="FV237" s="121">
        <f t="shared" si="180"/>
        <v>-2.4999999999999991</v>
      </c>
      <c r="FW237" s="121">
        <f t="shared" si="181"/>
        <v>3.6247643903143398</v>
      </c>
      <c r="FX237" s="121">
        <f t="shared" si="182"/>
        <v>-2</v>
      </c>
      <c r="FY237" s="144">
        <f t="shared" si="182"/>
        <v>5.2047069853372041E-3</v>
      </c>
      <c r="FZ237" s="145"/>
      <c r="GA237" s="151"/>
      <c r="GB237" s="145" t="s">
        <v>199</v>
      </c>
      <c r="GC237" s="151" t="s">
        <v>1093</v>
      </c>
      <c r="GD237" s="997" t="s">
        <v>220</v>
      </c>
      <c r="GE237" s="1004" t="s">
        <v>199</v>
      </c>
      <c r="GF237" s="1004">
        <v>-2.09</v>
      </c>
      <c r="GG237" s="1004"/>
      <c r="GH237" s="1004">
        <v>0</v>
      </c>
      <c r="GI237" s="145"/>
      <c r="GJ237" s="996">
        <v>0</v>
      </c>
      <c r="GK237" s="145" t="s">
        <v>223</v>
      </c>
      <c r="GL237" s="996">
        <v>-2.1970063279999996</v>
      </c>
      <c r="GM237" s="1005"/>
      <c r="GN237" s="996">
        <v>0.94300632800000006</v>
      </c>
      <c r="GO237" s="1006"/>
      <c r="GP237" s="996">
        <v>0</v>
      </c>
      <c r="GQ237" s="1006"/>
      <c r="GR237" s="996">
        <v>0</v>
      </c>
      <c r="GS237" s="1006"/>
      <c r="GT237" s="996">
        <v>0</v>
      </c>
      <c r="GU237" s="1006"/>
      <c r="GV237" s="996">
        <v>0.17388799999999982</v>
      </c>
      <c r="GW237" s="1006"/>
      <c r="GX237" s="1036">
        <v>0</v>
      </c>
      <c r="GY237" s="1006"/>
      <c r="GZ237" s="996">
        <v>0</v>
      </c>
      <c r="HA237" s="1006" t="s">
        <v>25</v>
      </c>
      <c r="HB237" s="996">
        <v>4.4583880000000011</v>
      </c>
      <c r="HC237" s="1006"/>
      <c r="HD237" s="996">
        <v>0</v>
      </c>
      <c r="HE237" s="1006"/>
      <c r="HF237" s="996">
        <v>0</v>
      </c>
      <c r="HG237" s="1006"/>
      <c r="HH237" s="996">
        <v>0</v>
      </c>
      <c r="HI237" s="1006"/>
      <c r="HJ237" s="996">
        <v>3.2411999999998997E-2</v>
      </c>
      <c r="HK237" s="1006"/>
      <c r="HL237" s="996">
        <v>0</v>
      </c>
      <c r="HM237" s="1006"/>
      <c r="HN237" s="996">
        <v>0</v>
      </c>
      <c r="HO237" s="1006"/>
      <c r="HP237" s="996">
        <v>0</v>
      </c>
      <c r="HQ237" s="1006"/>
      <c r="HR237" s="996">
        <v>0</v>
      </c>
      <c r="HS237" s="1006"/>
      <c r="HT237" s="996">
        <v>0</v>
      </c>
      <c r="HU237" s="1006" t="s">
        <v>199</v>
      </c>
      <c r="HV237" s="996">
        <v>-1.0590966319999993</v>
      </c>
      <c r="HW237" s="1006"/>
      <c r="HX237" s="996">
        <v>0</v>
      </c>
      <c r="HY237" s="1006"/>
      <c r="HZ237" s="996">
        <v>0</v>
      </c>
      <c r="IA237" s="1006"/>
      <c r="IB237" s="996">
        <v>-0.51831999999999923</v>
      </c>
      <c r="IC237" s="1006" t="s">
        <v>199</v>
      </c>
      <c r="ID237" s="996">
        <v>1.2623599999999993</v>
      </c>
      <c r="IE237" s="1006"/>
      <c r="IF237" s="996">
        <v>0</v>
      </c>
      <c r="IG237" s="1006" t="s">
        <v>199</v>
      </c>
      <c r="IH237" s="996">
        <v>-2.43276</v>
      </c>
      <c r="II237" s="1006"/>
      <c r="IJ237" s="996">
        <v>0</v>
      </c>
      <c r="IK237" s="1006"/>
      <c r="IL237" s="996">
        <v>0</v>
      </c>
      <c r="IM237" s="1006" t="s">
        <v>199</v>
      </c>
      <c r="IN237" s="996">
        <v>1.6720000000000006</v>
      </c>
      <c r="IO237" s="1006"/>
      <c r="IP237" s="996">
        <v>0</v>
      </c>
      <c r="IQ237" s="1006"/>
      <c r="IR237" s="996">
        <v>0.58520000000000039</v>
      </c>
      <c r="IS237" s="1006" t="s">
        <v>204</v>
      </c>
      <c r="IT237" s="996">
        <v>-3.5948000000000011</v>
      </c>
      <c r="IU237" s="1006"/>
      <c r="IV237" s="996">
        <v>-0.83599999999999852</v>
      </c>
      <c r="IW237" s="1006"/>
      <c r="IX237" s="996">
        <v>-0.8360000000000003</v>
      </c>
      <c r="IY237" s="1006" t="s">
        <v>204</v>
      </c>
      <c r="IZ237" s="996">
        <v>2.5079999999999991</v>
      </c>
      <c r="JA237" s="1006" t="s">
        <v>204</v>
      </c>
      <c r="JB237" s="996">
        <v>-1.7555999999999994</v>
      </c>
      <c r="JC237" s="1006"/>
      <c r="JD237" s="996">
        <v>0</v>
      </c>
      <c r="JE237" s="1006" t="s">
        <v>204</v>
      </c>
      <c r="JF237" s="996">
        <v>2.3742400000000004</v>
      </c>
      <c r="JG237" s="1006"/>
      <c r="JH237" s="996">
        <v>0</v>
      </c>
      <c r="JI237" s="1006"/>
      <c r="JJ237" s="996">
        <v>0</v>
      </c>
      <c r="JK237" s="1007"/>
      <c r="JL237" s="1007">
        <v>0</v>
      </c>
      <c r="JM237" s="1007"/>
      <c r="JN237" s="1007">
        <v>0</v>
      </c>
      <c r="JO237" s="1008"/>
      <c r="JP237" s="1007">
        <v>0</v>
      </c>
      <c r="JQ237" s="1008">
        <v>0</v>
      </c>
      <c r="JR237" s="1007">
        <v>0.21735999999999933</v>
      </c>
      <c r="JS237" s="1008">
        <v>0</v>
      </c>
      <c r="JT237" s="1007">
        <v>0</v>
      </c>
      <c r="JU237" s="1008"/>
      <c r="JV237" s="1007">
        <v>-0.8360000000000003</v>
      </c>
      <c r="JW237" s="1008" t="s">
        <v>197</v>
      </c>
      <c r="JX237" s="1007">
        <v>0</v>
      </c>
      <c r="JY237" s="1008" t="s">
        <v>204</v>
      </c>
      <c r="JZ237" s="1007">
        <v>1.6720000000000006</v>
      </c>
      <c r="KA237" s="1008"/>
      <c r="KB237" s="1007">
        <v>0</v>
      </c>
      <c r="KC237" s="1008"/>
      <c r="KD237" s="1007">
        <v>0</v>
      </c>
      <c r="KE237" s="1008" t="s">
        <v>199</v>
      </c>
      <c r="KF237" s="1007">
        <v>-3.3439999999999994</v>
      </c>
      <c r="KG237" s="1008"/>
      <c r="KH237" s="1007">
        <v>0</v>
      </c>
      <c r="KI237" s="1008" t="s">
        <v>206</v>
      </c>
      <c r="KJ237" s="1007">
        <v>1.6719999999999988</v>
      </c>
      <c r="KK237" s="1008"/>
      <c r="KL237" s="1007">
        <v>0</v>
      </c>
      <c r="KM237" s="1008" t="s">
        <v>206</v>
      </c>
      <c r="KN237" s="1007">
        <v>-1.6719999999999988</v>
      </c>
      <c r="KO237" s="1008"/>
      <c r="KP237" s="1007">
        <v>0</v>
      </c>
      <c r="KQ237" s="1008" t="s">
        <v>223</v>
      </c>
      <c r="KR237" s="1007">
        <v>-2.4817495999999988</v>
      </c>
      <c r="KS237" s="1008">
        <v>0</v>
      </c>
      <c r="KT237" s="1007">
        <v>0</v>
      </c>
      <c r="KU237" s="1008" t="s">
        <v>25</v>
      </c>
      <c r="KV237" s="1007">
        <v>9.1697495999999976</v>
      </c>
      <c r="KW237" s="1008" t="s">
        <v>204</v>
      </c>
      <c r="KX237" s="1007">
        <v>1.6720000000000002</v>
      </c>
      <c r="KY237" s="1008" t="s">
        <v>206</v>
      </c>
      <c r="KZ237" s="1007">
        <v>-0.83599999999999985</v>
      </c>
      <c r="LA237" s="1008" t="s">
        <v>206</v>
      </c>
      <c r="LB237" s="1007">
        <v>-2.9260000000000002</v>
      </c>
      <c r="LC237" s="1008" t="s">
        <v>206</v>
      </c>
      <c r="LD237" s="1007">
        <v>1.1285999999999996</v>
      </c>
      <c r="LE237" s="1008">
        <v>0</v>
      </c>
      <c r="LF237" s="1007">
        <v>0</v>
      </c>
      <c r="LG237" s="1008">
        <v>0</v>
      </c>
      <c r="LH237" s="1007">
        <v>-0.417958199999999</v>
      </c>
      <c r="LI237" s="1008">
        <v>0</v>
      </c>
      <c r="LJ237" s="1007">
        <v>0</v>
      </c>
      <c r="LK237" s="1008" t="s">
        <v>206</v>
      </c>
      <c r="LL237" s="1007">
        <v>0.41528310000000002</v>
      </c>
      <c r="LM237" s="1008" t="s">
        <v>555</v>
      </c>
      <c r="LN237" s="1007">
        <v>-0.66444999999999999</v>
      </c>
      <c r="LO237" s="1008">
        <v>0</v>
      </c>
      <c r="LP237" s="1007">
        <v>0</v>
      </c>
      <c r="LQ237" s="1008">
        <v>0</v>
      </c>
      <c r="LR237" s="1007">
        <v>-0.41528310000000002</v>
      </c>
      <c r="LS237" s="1008">
        <v>0</v>
      </c>
      <c r="LT237" s="1007">
        <v>-1.4119621999999987</v>
      </c>
      <c r="LU237" s="1008" t="s">
        <v>206</v>
      </c>
      <c r="LV237" s="1007">
        <v>1.2458489999999998</v>
      </c>
      <c r="LW237" s="1008">
        <v>0</v>
      </c>
      <c r="LX237" s="1007">
        <v>0.41528310000000002</v>
      </c>
      <c r="LY237" s="1009" t="s">
        <v>206</v>
      </c>
      <c r="LZ237" s="1010">
        <v>-1.8272452000000019</v>
      </c>
      <c r="MA237" s="1011">
        <v>0</v>
      </c>
      <c r="MB237" s="1012">
        <v>0.66445282000000006</v>
      </c>
      <c r="MC237" s="995"/>
      <c r="MD237" s="996"/>
      <c r="ME237" s="997" t="s">
        <v>220</v>
      </c>
      <c r="MF237" s="997"/>
      <c r="MG237" s="998"/>
      <c r="NR237" s="1000"/>
      <c r="NS237" s="1000"/>
      <c r="NT237" s="1001"/>
      <c r="NU237" s="1000"/>
      <c r="NV237" s="1001"/>
      <c r="NX237" s="1002"/>
      <c r="NZ237" s="1001"/>
      <c r="OA237" s="1001"/>
      <c r="OC237" s="1003"/>
      <c r="OD237" s="1003"/>
      <c r="OE237" s="1001"/>
      <c r="OF237" s="1003"/>
      <c r="OG237" s="1003"/>
      <c r="QX237" s="1000">
        <f>CN237-CA237</f>
        <v>19</v>
      </c>
      <c r="ASU237" s="999" t="s">
        <v>315</v>
      </c>
    </row>
    <row r="238" spans="1:466 1191:1191" ht="21" customHeight="1" x14ac:dyDescent="0.25">
      <c r="A238" s="982" t="str">
        <f t="shared" si="163"/>
        <v>1129-1</v>
      </c>
      <c r="B238" s="124">
        <f>SUBTOTAL(103,$J$29:J238)</f>
        <v>210</v>
      </c>
      <c r="C238" s="126">
        <v>45068</v>
      </c>
      <c r="D238" s="124" t="s">
        <v>176</v>
      </c>
      <c r="E238" s="127" t="s">
        <v>177</v>
      </c>
      <c r="F238" s="128" t="s">
        <v>177</v>
      </c>
      <c r="G238" s="127" t="s">
        <v>178</v>
      </c>
      <c r="H238" s="127" t="s">
        <v>179</v>
      </c>
      <c r="I238" s="127" t="s">
        <v>1090</v>
      </c>
      <c r="J238" s="152" t="s">
        <v>1097</v>
      </c>
      <c r="K238" s="127" t="s">
        <v>1090</v>
      </c>
      <c r="L238" s="130">
        <v>41810</v>
      </c>
      <c r="M238" s="127" t="s">
        <v>230</v>
      </c>
      <c r="N238" s="127" t="s">
        <v>184</v>
      </c>
      <c r="O238" s="127" t="s">
        <v>185</v>
      </c>
      <c r="P238" s="127" t="s">
        <v>186</v>
      </c>
      <c r="Q238" s="85" t="str">
        <f t="shared" si="187"/>
        <v/>
      </c>
      <c r="R238" s="130"/>
      <c r="S238" s="128" t="s">
        <v>156</v>
      </c>
      <c r="T238" s="131"/>
      <c r="U238" s="132">
        <v>203</v>
      </c>
      <c r="V238" s="121">
        <v>218.2</v>
      </c>
      <c r="W238" s="116">
        <v>0.98</v>
      </c>
      <c r="X238" s="116">
        <v>1.66</v>
      </c>
      <c r="Y238" s="116">
        <f t="shared" si="191"/>
        <v>0.98104487188764888</v>
      </c>
      <c r="Z238" s="133">
        <v>1.454</v>
      </c>
      <c r="AA238" s="133">
        <v>0.83599999999999997</v>
      </c>
      <c r="AB238" s="133">
        <v>0.72</v>
      </c>
      <c r="AC238" s="121">
        <v>34.299999999999997</v>
      </c>
      <c r="AD238" s="134">
        <v>1.17</v>
      </c>
      <c r="AE238" s="124">
        <v>177.8</v>
      </c>
      <c r="AF238" s="128">
        <v>9.19</v>
      </c>
      <c r="AG238" s="128">
        <v>2176</v>
      </c>
      <c r="AH238" s="127">
        <v>2980</v>
      </c>
      <c r="AI238" s="127">
        <v>2980</v>
      </c>
      <c r="AJ238" s="135"/>
      <c r="AK238" s="128"/>
      <c r="AL238" s="131"/>
      <c r="AM238" s="124" t="s">
        <v>232</v>
      </c>
      <c r="AN238" s="136" t="s">
        <v>1098</v>
      </c>
      <c r="AO238" s="137">
        <v>12</v>
      </c>
      <c r="AP238" s="128">
        <v>2176</v>
      </c>
      <c r="AQ238" s="128">
        <v>283.49</v>
      </c>
      <c r="AR238" s="128"/>
      <c r="AS238" s="128"/>
      <c r="AT238" s="122"/>
      <c r="AU238" s="124" t="s">
        <v>189</v>
      </c>
      <c r="AV238" s="115">
        <f>VLOOKUP(J238,'[63]ТР нефть'!$J$28:$BP$638,39,0)</f>
        <v>429.99998584000002</v>
      </c>
      <c r="AW238" s="115" t="str">
        <f>VLOOKUP(J238,'[63]ТР нефть'!$J$28:$BP$638,40,0)</f>
        <v>ГП</v>
      </c>
      <c r="AX238" s="115">
        <f>VLOOKUP(J238,'[63]ТР нефть'!$J$28:$BP$638,41,0)</f>
        <v>770.00003261699999</v>
      </c>
      <c r="AY238" s="115" t="str">
        <f>VLOOKUP(J238,'[63]ТР нефть'!$J$28:$BP$638,42,0)</f>
        <v>ГП</v>
      </c>
      <c r="AZ238" s="115">
        <f>VLOOKUP(J238,'[63]ТР нефть'!$J$28:$BP$638,43,0)</f>
        <v>1030.000013672</v>
      </c>
      <c r="BA238" s="115" t="str">
        <f>VLOOKUP(J238,'[63]ТР нефть'!$J$28:$BP$638,44,0)</f>
        <v>ГП</v>
      </c>
      <c r="BB238" s="115">
        <f>VLOOKUP(J238,'[63]ТР нефть'!$J$28:$BP$638,45,0)</f>
        <v>1260.000039844</v>
      </c>
      <c r="BC238" s="115" t="str">
        <f>VLOOKUP(J238,'[63]ТР нефть'!$J$28:$BP$638,46,0)</f>
        <v>ГП</v>
      </c>
      <c r="BD238" s="115">
        <f>VLOOKUP(J238,'[63]ТР нефть'!$J$28:$BP$638,47,0)</f>
        <v>1430.000007422</v>
      </c>
      <c r="BE238" s="115" t="str">
        <f>VLOOKUP(J238,'[63]ТР нефть'!$J$28:$BP$638,48,0)</f>
        <v>ГК 84/1,5</v>
      </c>
      <c r="BF238" s="115">
        <f>VLOOKUP(J238,'[63]ТР нефть'!$J$28:$BP$638,49,0)</f>
        <v>1600</v>
      </c>
      <c r="BG238" s="115" t="str">
        <f>VLOOKUP(J238,'[63]ТР нефть'!$J$28:$BP$638,50,0)</f>
        <v>ЦКсОК 5/16</v>
      </c>
      <c r="BH238" s="115">
        <f>VLOOKUP(J238,'[63]ТР нефть'!$J$28:$BP$638,51,0)</f>
        <v>1805</v>
      </c>
      <c r="BI238" s="115" t="str">
        <f>VLOOKUP(J238,'[63]ТР нефть'!$J$28:$BP$638,52,0)</f>
        <v>закрыт</v>
      </c>
      <c r="BJ238" s="115" t="str">
        <f>IF(IFERROR(VLOOKUP(J238,'[63]ТР нефть'!$J$28:$BP$638,53,0),"-")=0,"-",IFERROR(VLOOKUP(J238,'[63]ТР нефть'!$J$28:$BP$638,53,0),"-"))</f>
        <v>-</v>
      </c>
      <c r="BK238" s="138" t="str">
        <f>IF(IFERROR(VLOOKUP(J238,'[63]ТР нефть'!$J$28:$BP$638,54,0),"-")=0,"-",IFERROR(VLOOKUP(J238,'[63]ТР нефть'!$J$28:$BP$638,54,0),"-"))</f>
        <v>-</v>
      </c>
      <c r="BL238" s="138" t="str">
        <f>IF(IFERROR(VLOOKUP(J238,'[63]ТР нефть'!$J$28:$BP$638,55,0),"-")=0,"-",IFERROR(VLOOKUP(J238,'[63]ТР нефть'!$J$28:$BP$638,55,0),"-"))</f>
        <v>-</v>
      </c>
      <c r="BM238" s="138" t="str">
        <f>IF(IFERROR(VLOOKUP(J238,'[63]ТР нефть'!$J$28:$BP$638,56,0),"-")=0,"-",IFERROR(VLOOKUP(J238,'[63]ТР нефть'!$J$28:$BP$638,56,0),"-"))</f>
        <v>-</v>
      </c>
      <c r="BN238" s="138" t="str">
        <f>IF(IFERROR(VLOOKUP(J238,'[63]ТР нефть'!$J$28:$BP$638,57,0),"-")=0,"-",IFERROR(VLOOKUP(J238,'[63]ТР нефть'!$J$28:$BP$638,57,0),"-"))</f>
        <v>-</v>
      </c>
      <c r="BO238" s="115" t="str">
        <f>IF(IFERROR(VLOOKUP(J238,'[63]ТР нефть'!$J$28:$BP$638,58,0),"-")=0,"-",IFERROR(VLOOKUP(J238,'[63]ТР нефть'!$J$28:$BP$638,58,0),"-"))</f>
        <v>-</v>
      </c>
      <c r="BP238" s="115" t="str">
        <f>IF(IFERROR(VLOOKUP(J238,'[63]ТР нефть'!$J$28:$BP$638,59,0),"-")=0,"-",IFERROR(VLOOKUP(J238,'[63]ТР нефть'!$J$28:$BP$638,59,0),"-"))</f>
        <v>-</v>
      </c>
      <c r="BQ238" s="138">
        <v>2200</v>
      </c>
      <c r="BR238" s="128">
        <v>1809.39</v>
      </c>
      <c r="BS238" s="115">
        <f t="shared" si="164"/>
        <v>390.6099999999999</v>
      </c>
      <c r="BT238" s="128">
        <v>73</v>
      </c>
      <c r="BU238" s="128">
        <v>5.5</v>
      </c>
      <c r="BV238" s="127">
        <v>65</v>
      </c>
      <c r="BW238" s="127" t="s">
        <v>217</v>
      </c>
      <c r="BX238" s="127" t="s">
        <v>195</v>
      </c>
      <c r="BY238" s="139">
        <v>24</v>
      </c>
      <c r="BZ238" s="139">
        <v>0</v>
      </c>
      <c r="CA238" s="80">
        <v>23</v>
      </c>
      <c r="CB238" s="138">
        <v>31</v>
      </c>
      <c r="CC238" s="138">
        <v>22</v>
      </c>
      <c r="CD238" s="135">
        <v>45017</v>
      </c>
      <c r="CE238" s="138">
        <v>99</v>
      </c>
      <c r="CF238" s="138">
        <v>76</v>
      </c>
      <c r="CG238" s="138" t="str">
        <f t="shared" si="153"/>
        <v>В работе</v>
      </c>
      <c r="CH238" s="138" t="s">
        <v>196</v>
      </c>
      <c r="CI238" s="127">
        <v>5</v>
      </c>
      <c r="CJ238" s="138"/>
      <c r="CK238" s="138">
        <f t="shared" si="157"/>
        <v>25</v>
      </c>
      <c r="CL238" s="99"/>
      <c r="CM238" s="99"/>
      <c r="CN238" s="140">
        <v>48</v>
      </c>
      <c r="CO238" s="141">
        <f t="shared" si="165"/>
        <v>5.4198715999999996</v>
      </c>
      <c r="CP238" s="142">
        <v>6.5</v>
      </c>
      <c r="CQ238" s="143">
        <v>0.26</v>
      </c>
      <c r="CR238" s="138">
        <v>23</v>
      </c>
      <c r="CS238" s="139">
        <v>8.1999999999999993</v>
      </c>
      <c r="CT238" s="138"/>
      <c r="CU238" s="138">
        <f>IF(CR238&lt;&gt;"0",CR238-CS238,"0")</f>
        <v>14.8</v>
      </c>
      <c r="CV238" s="115">
        <f t="shared" si="189"/>
        <v>2730.6919964672229</v>
      </c>
      <c r="CW238" s="115">
        <f t="shared" si="166"/>
        <v>1507.5076269774593</v>
      </c>
      <c r="CX238" s="133">
        <f t="shared" si="190"/>
        <v>0.12745098039215685</v>
      </c>
      <c r="CY238" s="116"/>
      <c r="CZ238" s="1024"/>
      <c r="DA238" s="145" t="str">
        <f t="shared" si="167"/>
        <v>Газлифт</v>
      </c>
      <c r="DB238" s="146">
        <f t="shared" si="168"/>
        <v>5.4198715999999996</v>
      </c>
      <c r="DC238" s="142">
        <f t="shared" si="151"/>
        <v>6.5</v>
      </c>
      <c r="DD238" s="119">
        <f t="shared" si="152"/>
        <v>0.26</v>
      </c>
      <c r="DE238" s="115">
        <f t="shared" si="169"/>
        <v>14.8</v>
      </c>
      <c r="DF238" s="121">
        <f t="shared" si="170"/>
        <v>8.1999999999999993</v>
      </c>
      <c r="DG238" s="115">
        <f t="shared" si="171"/>
        <v>2730.6919964672229</v>
      </c>
      <c r="DH238" s="115">
        <f t="shared" si="172"/>
        <v>48</v>
      </c>
      <c r="DI238" s="147"/>
      <c r="DJ238" s="111" t="s">
        <v>197</v>
      </c>
      <c r="DK238" s="112">
        <v>42438</v>
      </c>
      <c r="DL238" s="113">
        <f t="shared" ca="1" si="192"/>
        <v>2666</v>
      </c>
      <c r="DM238" s="114"/>
      <c r="DN238" s="114"/>
      <c r="DO238" s="114"/>
      <c r="DP238" s="114"/>
      <c r="DQ238" s="112">
        <v>41814</v>
      </c>
      <c r="DR238" s="114" t="s">
        <v>324</v>
      </c>
      <c r="DS238" s="114"/>
      <c r="DT238" s="115">
        <v>51</v>
      </c>
      <c r="DU238" s="116">
        <f t="shared" si="193"/>
        <v>0.13541666666666666</v>
      </c>
      <c r="DV238" s="117">
        <f t="shared" si="194"/>
        <v>5.4198715999999996</v>
      </c>
      <c r="DW238" s="118">
        <f t="shared" si="195"/>
        <v>6.5</v>
      </c>
      <c r="DX238" s="119">
        <f t="shared" si="173"/>
        <v>0.26</v>
      </c>
      <c r="DY238" s="115">
        <f t="shared" si="196"/>
        <v>14.8</v>
      </c>
      <c r="DZ238" s="117">
        <f t="shared" si="197"/>
        <v>0</v>
      </c>
      <c r="EA238" s="120">
        <f t="shared" si="197"/>
        <v>0</v>
      </c>
      <c r="EB238" s="119">
        <f t="shared" si="197"/>
        <v>0</v>
      </c>
      <c r="EC238" s="121">
        <f t="shared" si="198"/>
        <v>0</v>
      </c>
      <c r="ED238" s="122"/>
      <c r="EE238" s="145">
        <v>65</v>
      </c>
      <c r="EF238" s="148">
        <v>25</v>
      </c>
      <c r="EG238" s="115">
        <v>34</v>
      </c>
      <c r="EH238" s="115">
        <v>24</v>
      </c>
      <c r="EI238" s="128" t="s">
        <v>195</v>
      </c>
      <c r="EJ238" s="121">
        <v>24</v>
      </c>
      <c r="EK238" s="121">
        <v>0</v>
      </c>
      <c r="EL238" s="149">
        <v>5.4198715999999996</v>
      </c>
      <c r="EM238" s="142">
        <v>6.5</v>
      </c>
      <c r="EN238" s="119">
        <v>0.26</v>
      </c>
      <c r="EO238" s="115">
        <v>23</v>
      </c>
      <c r="EP238" s="115">
        <v>2730.6919964672229</v>
      </c>
      <c r="EQ238" s="115">
        <v>76</v>
      </c>
      <c r="ER238" s="115">
        <v>8.1999999999999993</v>
      </c>
      <c r="ES238" s="115">
        <v>48</v>
      </c>
      <c r="ET238" s="150">
        <v>0.12745098039215685</v>
      </c>
      <c r="EU238" s="145">
        <f t="shared" si="174"/>
        <v>65</v>
      </c>
      <c r="EV238" s="115">
        <f t="shared" si="175"/>
        <v>23</v>
      </c>
      <c r="EW238" s="115">
        <f t="shared" si="175"/>
        <v>31</v>
      </c>
      <c r="EX238" s="115">
        <f t="shared" si="175"/>
        <v>22</v>
      </c>
      <c r="EY238" s="115" t="str">
        <f t="shared" si="156"/>
        <v>Постоянный</v>
      </c>
      <c r="EZ238" s="115">
        <f t="shared" si="156"/>
        <v>24</v>
      </c>
      <c r="FA238" s="115">
        <f t="shared" si="156"/>
        <v>0</v>
      </c>
      <c r="FB238" s="149">
        <f t="shared" si="176"/>
        <v>5.4198715999999996</v>
      </c>
      <c r="FC238" s="142">
        <f t="shared" si="176"/>
        <v>6.5</v>
      </c>
      <c r="FD238" s="119">
        <f t="shared" si="176"/>
        <v>0.26</v>
      </c>
      <c r="FE238" s="121">
        <f t="shared" si="176"/>
        <v>23</v>
      </c>
      <c r="FF238" s="121">
        <f t="shared" si="199"/>
        <v>2730.6919964672229</v>
      </c>
      <c r="FG238" s="121">
        <f t="shared" si="177"/>
        <v>76</v>
      </c>
      <c r="FH238" s="121">
        <f t="shared" si="200"/>
        <v>8.1999999999999993</v>
      </c>
      <c r="FI238" s="121">
        <f t="shared" si="154"/>
        <v>48</v>
      </c>
      <c r="FJ238" s="144">
        <f t="shared" si="178"/>
        <v>0.12745098039215685</v>
      </c>
      <c r="FK238" s="132">
        <f t="shared" si="179"/>
        <v>0</v>
      </c>
      <c r="FL238" s="115">
        <f t="shared" si="179"/>
        <v>-2</v>
      </c>
      <c r="FM238" s="115">
        <f t="shared" si="179"/>
        <v>-3</v>
      </c>
      <c r="FN238" s="115">
        <f t="shared" si="162"/>
        <v>-2</v>
      </c>
      <c r="FO238" s="115">
        <f t="shared" si="150"/>
        <v>0</v>
      </c>
      <c r="FP238" s="115">
        <f t="shared" si="150"/>
        <v>0</v>
      </c>
      <c r="FQ238" s="149">
        <f t="shared" si="150"/>
        <v>0</v>
      </c>
      <c r="FR238" s="142">
        <f t="shared" si="148"/>
        <v>0</v>
      </c>
      <c r="FS238" s="119">
        <f t="shared" si="148"/>
        <v>0</v>
      </c>
      <c r="FT238" s="121">
        <f t="shared" si="148"/>
        <v>0</v>
      </c>
      <c r="FU238" s="121">
        <f t="shared" si="180"/>
        <v>0</v>
      </c>
      <c r="FV238" s="121">
        <f t="shared" si="180"/>
        <v>0</v>
      </c>
      <c r="FW238" s="121">
        <f t="shared" si="181"/>
        <v>0</v>
      </c>
      <c r="FX238" s="121">
        <f t="shared" si="182"/>
        <v>0</v>
      </c>
      <c r="FY238" s="144">
        <f t="shared" si="182"/>
        <v>0</v>
      </c>
      <c r="FZ238" s="145"/>
      <c r="GA238" s="151"/>
      <c r="GB238" s="145" t="s">
        <v>199</v>
      </c>
      <c r="GC238" s="151" t="s">
        <v>1099</v>
      </c>
      <c r="GD238" s="997" t="s">
        <v>220</v>
      </c>
      <c r="GE238" s="1004" t="s">
        <v>199</v>
      </c>
      <c r="GF238" s="1004">
        <v>-2.0845659999999997</v>
      </c>
      <c r="GG238" s="1004" t="s">
        <v>199</v>
      </c>
      <c r="GH238" s="1004">
        <v>1.9178007199999998</v>
      </c>
      <c r="GI238" s="145"/>
      <c r="GJ238" s="996">
        <v>0</v>
      </c>
      <c r="GK238" s="145"/>
      <c r="GL238" s="996">
        <v>0</v>
      </c>
      <c r="GM238" s="1005"/>
      <c r="GN238" s="996">
        <v>0</v>
      </c>
      <c r="GO238" s="1006"/>
      <c r="GP238" s="996">
        <v>6.7214399999997454E-3</v>
      </c>
      <c r="GQ238" s="1006" t="s">
        <v>203</v>
      </c>
      <c r="GR238" s="996">
        <v>-1.10808456</v>
      </c>
      <c r="GS238" s="1006" t="s">
        <v>223</v>
      </c>
      <c r="GT238" s="996">
        <v>-0.81200000000000028</v>
      </c>
      <c r="GU238" s="1006" t="s">
        <v>223</v>
      </c>
      <c r="GV238" s="996">
        <v>-1.3376000000000001</v>
      </c>
      <c r="GW238" s="1006"/>
      <c r="GX238" s="1036">
        <v>0</v>
      </c>
      <c r="GY238" s="1006" t="s">
        <v>223</v>
      </c>
      <c r="GZ238" s="996">
        <v>-2.3408000000000007</v>
      </c>
      <c r="HA238" s="1006" t="s">
        <v>199</v>
      </c>
      <c r="HB238" s="996">
        <v>3.176800000000001</v>
      </c>
      <c r="HC238" s="1006" t="s">
        <v>199</v>
      </c>
      <c r="HD238" s="996">
        <v>-3.6784000000000008</v>
      </c>
      <c r="HE238" s="1006"/>
      <c r="HF238" s="996">
        <v>0</v>
      </c>
      <c r="HG238" s="1006"/>
      <c r="HH238" s="996">
        <v>0</v>
      </c>
      <c r="HI238" s="1006" t="s">
        <v>199</v>
      </c>
      <c r="HJ238" s="996">
        <v>2.508</v>
      </c>
      <c r="HK238" s="1006"/>
      <c r="HL238" s="996">
        <v>0</v>
      </c>
      <c r="HM238" s="1006"/>
      <c r="HN238" s="996">
        <v>0</v>
      </c>
      <c r="HO238" s="1006"/>
      <c r="HP238" s="996">
        <v>0</v>
      </c>
      <c r="HQ238" s="1006"/>
      <c r="HR238" s="996">
        <v>0</v>
      </c>
      <c r="HS238" s="1006"/>
      <c r="HT238" s="996">
        <v>0</v>
      </c>
      <c r="HU238" s="1006" t="s">
        <v>203</v>
      </c>
      <c r="HV238" s="996">
        <v>-1.0908504199999998</v>
      </c>
      <c r="HW238" s="1006" t="s">
        <v>203</v>
      </c>
      <c r="HX238" s="996">
        <v>-1.412133579999999</v>
      </c>
      <c r="HY238" s="1006" t="s">
        <v>199</v>
      </c>
      <c r="HZ238" s="996">
        <v>1.4873359599999993</v>
      </c>
      <c r="IA238" s="1006"/>
      <c r="IB238" s="996">
        <v>0</v>
      </c>
      <c r="IC238" s="1006"/>
      <c r="ID238" s="996">
        <v>0</v>
      </c>
      <c r="IE238" s="1006"/>
      <c r="IF238" s="996">
        <v>0</v>
      </c>
      <c r="IG238" s="1006" t="s">
        <v>199</v>
      </c>
      <c r="IH238" s="996">
        <v>-2.3229179600000016</v>
      </c>
      <c r="II238" s="1006" t="s">
        <v>199</v>
      </c>
      <c r="IJ238" s="996">
        <v>3.0482031360000015</v>
      </c>
      <c r="IK238" s="1006"/>
      <c r="IL238" s="996">
        <v>0</v>
      </c>
      <c r="IM238" s="1006" t="s">
        <v>204</v>
      </c>
      <c r="IN238" s="996">
        <v>-1.2934809359999999</v>
      </c>
      <c r="IO238" s="1006"/>
      <c r="IP238" s="996">
        <v>0</v>
      </c>
      <c r="IQ238" s="1006"/>
      <c r="IR238" s="996">
        <v>-8.3558200000000582E-2</v>
      </c>
      <c r="IS238" s="1006" t="s">
        <v>223</v>
      </c>
      <c r="IT238" s="996">
        <v>-3.3423280000000002</v>
      </c>
      <c r="IU238" s="1006"/>
      <c r="IV238" s="996">
        <v>0</v>
      </c>
      <c r="IW238" s="1006"/>
      <c r="IX238" s="996">
        <v>0</v>
      </c>
      <c r="IY238" s="1006"/>
      <c r="IZ238" s="996">
        <v>0.83558200000000049</v>
      </c>
      <c r="JA238" s="1006" t="s">
        <v>204</v>
      </c>
      <c r="JB238" s="996">
        <v>1.671164000000001</v>
      </c>
      <c r="JC238" s="1006"/>
      <c r="JD238" s="996">
        <v>0</v>
      </c>
      <c r="JE238" s="1006" t="s">
        <v>199</v>
      </c>
      <c r="JF238" s="996">
        <v>-2.5067460000000015</v>
      </c>
      <c r="JG238" s="1006" t="s">
        <v>204</v>
      </c>
      <c r="JH238" s="996">
        <v>-3.5094443999999978</v>
      </c>
      <c r="JI238" s="1006" t="s">
        <v>204</v>
      </c>
      <c r="JJ238" s="996">
        <v>5.180608399999997</v>
      </c>
      <c r="JK238" s="1007"/>
      <c r="JL238" s="1007">
        <v>0</v>
      </c>
      <c r="JM238" s="1007"/>
      <c r="JN238" s="1007">
        <v>0</v>
      </c>
      <c r="JO238" s="1008"/>
      <c r="JP238" s="1007">
        <v>0</v>
      </c>
      <c r="JQ238" s="1008">
        <v>0</v>
      </c>
      <c r="JR238" s="1007">
        <v>0</v>
      </c>
      <c r="JS238" s="1008">
        <v>0</v>
      </c>
      <c r="JT238" s="1007">
        <v>0</v>
      </c>
      <c r="JU238" s="1008"/>
      <c r="JV238" s="1007">
        <v>-0.83558199999999871</v>
      </c>
      <c r="JW238" s="1008" t="s">
        <v>206</v>
      </c>
      <c r="JX238" s="1007">
        <v>-1.671164000000001</v>
      </c>
      <c r="JY238" s="1008"/>
      <c r="JZ238" s="1007">
        <v>0</v>
      </c>
      <c r="KA238" s="1008" t="s">
        <v>199</v>
      </c>
      <c r="KB238" s="1007">
        <v>-3.342328000000002</v>
      </c>
      <c r="KC238" s="1008"/>
      <c r="KD238" s="1007">
        <v>0</v>
      </c>
      <c r="KE238" s="1008" t="s">
        <v>199</v>
      </c>
      <c r="KF238" s="1007">
        <v>1.6711640000000028</v>
      </c>
      <c r="KG238" s="1008" t="s">
        <v>204</v>
      </c>
      <c r="KH238" s="1007">
        <v>-1.6711640000000028</v>
      </c>
      <c r="KI238" s="1008"/>
      <c r="KJ238" s="1007">
        <v>0</v>
      </c>
      <c r="KK238" s="1008"/>
      <c r="KL238" s="1007">
        <v>0</v>
      </c>
      <c r="KM238" s="1008"/>
      <c r="KN238" s="1007">
        <v>0</v>
      </c>
      <c r="KO238" s="1008" t="s">
        <v>241</v>
      </c>
      <c r="KP238" s="1007">
        <v>-0.83558199999999516</v>
      </c>
      <c r="KQ238" s="1008">
        <v>0</v>
      </c>
      <c r="KR238" s="1007">
        <v>0</v>
      </c>
      <c r="KS238" s="1008" t="s">
        <v>207</v>
      </c>
      <c r="KT238" s="1007">
        <v>3.9690144999999983</v>
      </c>
      <c r="KU238" s="1008">
        <v>0</v>
      </c>
      <c r="KV238" s="1007">
        <v>0</v>
      </c>
      <c r="KW238" s="1008" t="s">
        <v>204</v>
      </c>
      <c r="KX238" s="1007">
        <v>6.0843034999999999</v>
      </c>
      <c r="KY238" s="1008" t="s">
        <v>206</v>
      </c>
      <c r="KZ238" s="1007">
        <v>-9.9918720000000008</v>
      </c>
      <c r="LA238" s="1008" t="s">
        <v>206</v>
      </c>
      <c r="LB238" s="1007">
        <v>10.408200000000003</v>
      </c>
      <c r="LC238" s="1008">
        <v>0</v>
      </c>
      <c r="LD238" s="1007">
        <v>0</v>
      </c>
      <c r="LE238" s="1008">
        <v>0</v>
      </c>
      <c r="LF238" s="1007">
        <v>0</v>
      </c>
      <c r="LG238" s="1008">
        <v>0</v>
      </c>
      <c r="LH238" s="1007">
        <v>0</v>
      </c>
      <c r="LI238" s="1008">
        <v>0</v>
      </c>
      <c r="LJ238" s="1007">
        <v>0</v>
      </c>
      <c r="LK238" s="1008" t="s">
        <v>206</v>
      </c>
      <c r="LL238" s="1007">
        <v>0.99918720000000005</v>
      </c>
      <c r="LM238" s="1008" t="s">
        <v>555</v>
      </c>
      <c r="LN238" s="1007">
        <v>-0.83265999999999996</v>
      </c>
      <c r="LO238" s="1008">
        <v>0</v>
      </c>
      <c r="LP238" s="1007">
        <v>0</v>
      </c>
      <c r="LQ238" s="1008">
        <v>0</v>
      </c>
      <c r="LR238" s="1007">
        <v>0.66612479999999996</v>
      </c>
      <c r="LS238" s="1008">
        <v>0</v>
      </c>
      <c r="LT238" s="1007">
        <v>0</v>
      </c>
      <c r="LU238" s="1008">
        <v>0</v>
      </c>
      <c r="LV238" s="1007">
        <v>0</v>
      </c>
      <c r="LW238" s="1008" t="s">
        <v>206</v>
      </c>
      <c r="LX238" s="1007">
        <v>-0.83265670000000003</v>
      </c>
      <c r="LY238" s="1009">
        <v>0</v>
      </c>
      <c r="LZ238" s="1010">
        <v>-0.16653119999999899</v>
      </c>
      <c r="MA238" s="1011">
        <v>0</v>
      </c>
      <c r="MB238" s="1012">
        <v>0.41632799999999898</v>
      </c>
      <c r="MC238" s="995"/>
      <c r="MD238" s="996"/>
      <c r="ME238" s="997" t="s">
        <v>220</v>
      </c>
      <c r="MF238" s="997"/>
      <c r="MG238" s="998"/>
      <c r="NR238" s="1000"/>
      <c r="NS238" s="1000"/>
      <c r="NT238" s="1001"/>
      <c r="NU238" s="1000"/>
      <c r="NV238" s="1001"/>
      <c r="NX238" s="1002"/>
      <c r="NZ238" s="1001"/>
      <c r="OA238" s="1001"/>
      <c r="OC238" s="1003"/>
      <c r="OD238" s="1003"/>
      <c r="OE238" s="1001"/>
      <c r="OF238" s="1003"/>
      <c r="OG238" s="1003"/>
      <c r="OH238" s="1003"/>
      <c r="OI238" s="1016"/>
      <c r="QX238" s="1000">
        <f>CN238-CA238</f>
        <v>25</v>
      </c>
      <c r="ASU238" s="999" t="s">
        <v>208</v>
      </c>
    </row>
    <row r="239" spans="1:466 1191:1191" ht="21" customHeight="1" x14ac:dyDescent="0.25">
      <c r="A239" s="982">
        <f t="shared" si="163"/>
        <v>1130</v>
      </c>
      <c r="B239" s="124">
        <f>SUBTOTAL(103,$J$29:J239)</f>
        <v>211</v>
      </c>
      <c r="C239" s="126">
        <v>45068</v>
      </c>
      <c r="D239" s="124" t="s">
        <v>176</v>
      </c>
      <c r="E239" s="127" t="s">
        <v>177</v>
      </c>
      <c r="F239" s="128" t="s">
        <v>177</v>
      </c>
      <c r="G239" s="127" t="s">
        <v>178</v>
      </c>
      <c r="H239" s="127" t="s">
        <v>179</v>
      </c>
      <c r="I239" s="127" t="s">
        <v>1090</v>
      </c>
      <c r="J239" s="152">
        <v>1130</v>
      </c>
      <c r="K239" s="127" t="s">
        <v>1090</v>
      </c>
      <c r="L239" s="130">
        <v>42006</v>
      </c>
      <c r="M239" s="127" t="s">
        <v>230</v>
      </c>
      <c r="N239" s="127" t="s">
        <v>184</v>
      </c>
      <c r="O239" s="127" t="s">
        <v>185</v>
      </c>
      <c r="P239" s="127" t="s">
        <v>186</v>
      </c>
      <c r="Q239" s="85" t="str">
        <f t="shared" si="187"/>
        <v/>
      </c>
      <c r="R239" s="130"/>
      <c r="S239" s="128"/>
      <c r="T239" s="131"/>
      <c r="U239" s="132">
        <v>203</v>
      </c>
      <c r="V239" s="121">
        <v>218.2</v>
      </c>
      <c r="W239" s="116">
        <v>0.98</v>
      </c>
      <c r="X239" s="116">
        <v>1.66</v>
      </c>
      <c r="Y239" s="116">
        <f t="shared" si="191"/>
        <v>0.98008029573507216</v>
      </c>
      <c r="Z239" s="133">
        <v>1.454</v>
      </c>
      <c r="AA239" s="133">
        <v>0.83599999999999997</v>
      </c>
      <c r="AB239" s="133">
        <v>0.72</v>
      </c>
      <c r="AC239" s="121">
        <v>34.299999999999997</v>
      </c>
      <c r="AD239" s="134">
        <v>1.17</v>
      </c>
      <c r="AE239" s="124">
        <v>177.8</v>
      </c>
      <c r="AF239" s="128">
        <v>9.19</v>
      </c>
      <c r="AG239" s="128">
        <v>2779</v>
      </c>
      <c r="AH239" s="127">
        <v>3670</v>
      </c>
      <c r="AI239" s="127">
        <v>3670</v>
      </c>
      <c r="AJ239" s="135"/>
      <c r="AK239" s="128"/>
      <c r="AL239" s="131"/>
      <c r="AM239" s="124" t="s">
        <v>232</v>
      </c>
      <c r="AN239" s="136" t="s">
        <v>1100</v>
      </c>
      <c r="AO239" s="137">
        <v>33.479999999999997</v>
      </c>
      <c r="AP239" s="128">
        <v>2779</v>
      </c>
      <c r="AQ239" s="128">
        <v>960.33</v>
      </c>
      <c r="AR239" s="128"/>
      <c r="AS239" s="128"/>
      <c r="AT239" s="122"/>
      <c r="AU239" s="124" t="s">
        <v>189</v>
      </c>
      <c r="AV239" s="115">
        <f>VLOOKUP(J239,'[63]ТР нефть'!$J$28:$BP$638,39,0)</f>
        <v>524.99999179700001</v>
      </c>
      <c r="AW239" s="115" t="str">
        <f>VLOOKUP(J239,'[63]ТР нефть'!$J$28:$BP$638,40,0)</f>
        <v>ГП</v>
      </c>
      <c r="AX239" s="115">
        <f>VLOOKUP(J239,'[63]ТР нефть'!$J$28:$BP$638,41,0)</f>
        <v>1017.000025781</v>
      </c>
      <c r="AY239" s="115" t="str">
        <f>VLOOKUP(J239,'[63]ТР нефть'!$J$28:$BP$638,42,0)</f>
        <v>ГК 82 1/8</v>
      </c>
      <c r="AZ239" s="115">
        <f>VLOOKUP(J239,'[63]ТР нефть'!$J$28:$BP$638,43,0)</f>
        <v>1428.0000550780001</v>
      </c>
      <c r="BA239" s="115" t="str">
        <f>VLOOKUP(J239,'[63]ТР нефть'!$J$28:$BP$638,44,0)</f>
        <v>ГК  81 1/8</v>
      </c>
      <c r="BB239" s="115">
        <f>VLOOKUP(J239,'[63]ТР нефть'!$J$28:$BP$638,45,0)</f>
        <v>1742.0000144529999</v>
      </c>
      <c r="BC239" s="115" t="str">
        <f>VLOOKUP(J239,'[63]ТР нефть'!$J$28:$BP$638,46,0)</f>
        <v>ГП</v>
      </c>
      <c r="BD239" s="115">
        <f>VLOOKUP(J239,'[63]ТР нефть'!$J$28:$BP$638,47,0)</f>
        <v>1929.999999609</v>
      </c>
      <c r="BE239" s="115" t="str">
        <f>VLOOKUP(J239,'[63]ТР нефть'!$J$28:$BP$638,48,0)</f>
        <v>ЦКсОК 5/16</v>
      </c>
      <c r="BF239" s="115" t="str">
        <f>VLOOKUP(J239,'[63]ТР нефть'!$J$28:$BP$638,49,0)</f>
        <v>-</v>
      </c>
      <c r="BG239" s="115" t="str">
        <f>VLOOKUP(J239,'[63]ТР нефть'!$J$28:$BP$638,50,0)</f>
        <v>-</v>
      </c>
      <c r="BH239" s="115">
        <f>VLOOKUP(J239,'[63]ТР нефть'!$J$28:$BP$638,51,0)</f>
        <v>1730</v>
      </c>
      <c r="BI239" s="115" t="str">
        <f>VLOOKUP(J239,'[63]ТР нефть'!$J$28:$BP$638,52,0)</f>
        <v>закрыт</v>
      </c>
      <c r="BJ239" s="115" t="str">
        <f>IF(IFERROR(VLOOKUP(J239,'[63]ТР нефть'!$J$28:$BP$638,53,0),"-")=0,"-",IFERROR(VLOOKUP(J239,'[63]ТР нефть'!$J$28:$BP$638,53,0),"-"))</f>
        <v>-</v>
      </c>
      <c r="BK239" s="138" t="str">
        <f>IF(IFERROR(VLOOKUP(J239,'[63]ТР нефть'!$J$28:$BP$638,54,0),"-")=0,"-",IFERROR(VLOOKUP(J239,'[63]ТР нефть'!$J$28:$BP$638,54,0),"-"))</f>
        <v>-</v>
      </c>
      <c r="BL239" s="138" t="str">
        <f>IF(IFERROR(VLOOKUP(J239,'[63]ТР нефть'!$J$28:$BP$638,55,0),"-")=0,"-",IFERROR(VLOOKUP(J239,'[63]ТР нефть'!$J$28:$BP$638,55,0),"-"))</f>
        <v>-</v>
      </c>
      <c r="BM239" s="138" t="str">
        <f>IF(IFERROR(VLOOKUP(J239,'[63]ТР нефть'!$J$28:$BP$638,56,0),"-")=0,"-",IFERROR(VLOOKUP(J239,'[63]ТР нефть'!$J$28:$BP$638,56,0),"-"))</f>
        <v>-</v>
      </c>
      <c r="BN239" s="138" t="str">
        <f>IF(IFERROR(VLOOKUP(J239,'[63]ТР нефть'!$J$28:$BP$638,57,0),"-")=0,"-",IFERROR(VLOOKUP(J239,'[63]ТР нефть'!$J$28:$BP$638,57,0),"-"))</f>
        <v>-</v>
      </c>
      <c r="BO239" s="115" t="str">
        <f>IF(IFERROR(VLOOKUP(J239,'[63]ТР нефть'!$J$28:$BP$638,58,0),"-")=0,"-",IFERROR(VLOOKUP(J239,'[63]ТР нефть'!$J$28:$BP$638,58,0),"-"))</f>
        <v>-</v>
      </c>
      <c r="BP239" s="115" t="str">
        <f>IF(IFERROR(VLOOKUP(J239,'[63]ТР нефть'!$J$28:$BP$638,59,0),"-")=0,"-",IFERROR(VLOOKUP(J239,'[63]ТР нефть'!$J$28:$BP$638,59,0),"-"))</f>
        <v>-</v>
      </c>
      <c r="BQ239" s="138">
        <v>2876.27</v>
      </c>
      <c r="BR239" s="128">
        <v>1827.65</v>
      </c>
      <c r="BS239" s="115">
        <f t="shared" si="164"/>
        <v>1048.6199999999999</v>
      </c>
      <c r="BT239" s="128">
        <v>73</v>
      </c>
      <c r="BU239" s="128">
        <v>5.5</v>
      </c>
      <c r="BV239" s="127">
        <v>18</v>
      </c>
      <c r="BW239" s="127" t="s">
        <v>217</v>
      </c>
      <c r="BX239" s="127" t="s">
        <v>195</v>
      </c>
      <c r="BY239" s="139">
        <v>24</v>
      </c>
      <c r="BZ239" s="139">
        <v>0</v>
      </c>
      <c r="CA239" s="80">
        <v>23</v>
      </c>
      <c r="CB239" s="138">
        <v>42</v>
      </c>
      <c r="CC239" s="138">
        <v>22</v>
      </c>
      <c r="CD239" s="135">
        <v>45017</v>
      </c>
      <c r="CE239" s="138">
        <v>74</v>
      </c>
      <c r="CF239" s="138">
        <v>77</v>
      </c>
      <c r="CG239" s="138" t="str">
        <f t="shared" si="153"/>
        <v>В работе</v>
      </c>
      <c r="CH239" s="138" t="s">
        <v>196</v>
      </c>
      <c r="CI239" s="127">
        <v>5</v>
      </c>
      <c r="CJ239" s="138"/>
      <c r="CK239" s="138">
        <f t="shared" si="157"/>
        <v>20</v>
      </c>
      <c r="CL239" s="99"/>
      <c r="CM239" s="99"/>
      <c r="CN239" s="140">
        <v>43</v>
      </c>
      <c r="CO239" s="141">
        <f t="shared" si="165"/>
        <v>4.1791640000000001</v>
      </c>
      <c r="CP239" s="142">
        <v>5</v>
      </c>
      <c r="CQ239" s="143">
        <v>0.02</v>
      </c>
      <c r="CR239" s="138">
        <v>18</v>
      </c>
      <c r="CS239" s="139">
        <v>9.6</v>
      </c>
      <c r="CT239" s="138"/>
      <c r="CU239" s="138">
        <f t="shared" si="188"/>
        <v>8.4</v>
      </c>
      <c r="CV239" s="115">
        <f t="shared" si="189"/>
        <v>2009.9713722648835</v>
      </c>
      <c r="CW239" s="115">
        <f t="shared" si="166"/>
        <v>2296.4738123044112</v>
      </c>
      <c r="CX239" s="133">
        <f t="shared" si="190"/>
        <v>0.16129032258064516</v>
      </c>
      <c r="CY239" s="116"/>
      <c r="CZ239" s="131"/>
      <c r="DA239" s="145" t="str">
        <f t="shared" si="167"/>
        <v>Газлифт</v>
      </c>
      <c r="DB239" s="146">
        <f t="shared" si="168"/>
        <v>4.1791640000000001</v>
      </c>
      <c r="DC239" s="142">
        <f t="shared" si="151"/>
        <v>5</v>
      </c>
      <c r="DD239" s="119">
        <f t="shared" si="152"/>
        <v>0.02</v>
      </c>
      <c r="DE239" s="115">
        <f t="shared" si="169"/>
        <v>8.4</v>
      </c>
      <c r="DF239" s="121">
        <f t="shared" si="170"/>
        <v>9.6</v>
      </c>
      <c r="DG239" s="115">
        <f t="shared" si="171"/>
        <v>2009.9713722648835</v>
      </c>
      <c r="DH239" s="115">
        <f t="shared" si="172"/>
        <v>43</v>
      </c>
      <c r="DI239" s="147"/>
      <c r="DJ239" s="111">
        <v>43520</v>
      </c>
      <c r="DK239" s="112">
        <v>42960</v>
      </c>
      <c r="DL239" s="113">
        <f t="shared" ca="1" si="192"/>
        <v>2144</v>
      </c>
      <c r="DM239" s="114"/>
      <c r="DN239" s="114"/>
      <c r="DO239" s="114"/>
      <c r="DP239" s="114"/>
      <c r="DQ239" s="112">
        <v>43058</v>
      </c>
      <c r="DR239" s="114" t="s">
        <v>1101</v>
      </c>
      <c r="DS239" s="114"/>
      <c r="DT239" s="115">
        <v>60</v>
      </c>
      <c r="DU239" s="116">
        <f t="shared" si="193"/>
        <v>0.35714285714285715</v>
      </c>
      <c r="DV239" s="117">
        <f t="shared" si="194"/>
        <v>4.1791640000000001</v>
      </c>
      <c r="DW239" s="118">
        <f t="shared" si="195"/>
        <v>5</v>
      </c>
      <c r="DX239" s="119">
        <f t="shared" si="173"/>
        <v>0.02</v>
      </c>
      <c r="DY239" s="115">
        <f t="shared" si="196"/>
        <v>8.4</v>
      </c>
      <c r="DZ239" s="117">
        <f t="shared" si="197"/>
        <v>0</v>
      </c>
      <c r="EA239" s="120">
        <f t="shared" si="197"/>
        <v>0</v>
      </c>
      <c r="EB239" s="119">
        <f t="shared" si="197"/>
        <v>0</v>
      </c>
      <c r="EC239" s="121">
        <f t="shared" si="198"/>
        <v>0</v>
      </c>
      <c r="ED239" s="122"/>
      <c r="EE239" s="145">
        <v>18</v>
      </c>
      <c r="EF239" s="148">
        <v>26</v>
      </c>
      <c r="EG239" s="115">
        <v>40</v>
      </c>
      <c r="EH239" s="115">
        <v>25</v>
      </c>
      <c r="EI239" s="128" t="s">
        <v>195</v>
      </c>
      <c r="EJ239" s="121">
        <v>24</v>
      </c>
      <c r="EK239" s="121">
        <v>0</v>
      </c>
      <c r="EL239" s="149">
        <v>4.1791640000000001</v>
      </c>
      <c r="EM239" s="142">
        <v>5</v>
      </c>
      <c r="EN239" s="119">
        <v>0.02</v>
      </c>
      <c r="EO239" s="115">
        <v>18</v>
      </c>
      <c r="EP239" s="115">
        <v>2009.9713722648835</v>
      </c>
      <c r="EQ239" s="115">
        <v>76</v>
      </c>
      <c r="ER239" s="115">
        <v>9.6</v>
      </c>
      <c r="ES239" s="115">
        <v>44</v>
      </c>
      <c r="ET239" s="150">
        <v>0.16666666666666666</v>
      </c>
      <c r="EU239" s="145">
        <f t="shared" si="174"/>
        <v>18</v>
      </c>
      <c r="EV239" s="115">
        <f t="shared" si="175"/>
        <v>23</v>
      </c>
      <c r="EW239" s="115">
        <f t="shared" si="175"/>
        <v>42</v>
      </c>
      <c r="EX239" s="115">
        <f t="shared" si="175"/>
        <v>22</v>
      </c>
      <c r="EY239" s="115" t="str">
        <f t="shared" si="156"/>
        <v>Постоянный</v>
      </c>
      <c r="EZ239" s="115">
        <f t="shared" si="156"/>
        <v>24</v>
      </c>
      <c r="FA239" s="115">
        <f t="shared" si="156"/>
        <v>0</v>
      </c>
      <c r="FB239" s="149">
        <f t="shared" si="176"/>
        <v>4.1791640000000001</v>
      </c>
      <c r="FC239" s="142">
        <f t="shared" si="176"/>
        <v>5</v>
      </c>
      <c r="FD239" s="119">
        <f t="shared" si="176"/>
        <v>0.02</v>
      </c>
      <c r="FE239" s="121">
        <f t="shared" si="176"/>
        <v>18</v>
      </c>
      <c r="FF239" s="121">
        <f t="shared" si="199"/>
        <v>2009.9713722648835</v>
      </c>
      <c r="FG239" s="121">
        <f t="shared" si="177"/>
        <v>77</v>
      </c>
      <c r="FH239" s="121">
        <f t="shared" si="200"/>
        <v>9.6</v>
      </c>
      <c r="FI239" s="121">
        <f t="shared" si="154"/>
        <v>43</v>
      </c>
      <c r="FJ239" s="144">
        <f t="shared" si="178"/>
        <v>0.16129032258064516</v>
      </c>
      <c r="FK239" s="132">
        <f t="shared" si="179"/>
        <v>0</v>
      </c>
      <c r="FL239" s="115">
        <f t="shared" si="179"/>
        <v>-3</v>
      </c>
      <c r="FM239" s="115">
        <f t="shared" si="179"/>
        <v>2</v>
      </c>
      <c r="FN239" s="115">
        <f t="shared" si="162"/>
        <v>-3</v>
      </c>
      <c r="FO239" s="115">
        <f t="shared" si="150"/>
        <v>0</v>
      </c>
      <c r="FP239" s="115">
        <f t="shared" si="150"/>
        <v>0</v>
      </c>
      <c r="FQ239" s="149">
        <f t="shared" si="150"/>
        <v>0</v>
      </c>
      <c r="FR239" s="142">
        <f t="shared" si="148"/>
        <v>0</v>
      </c>
      <c r="FS239" s="119">
        <f t="shared" si="148"/>
        <v>0</v>
      </c>
      <c r="FT239" s="121">
        <f t="shared" si="148"/>
        <v>0</v>
      </c>
      <c r="FU239" s="121">
        <f t="shared" si="180"/>
        <v>1</v>
      </c>
      <c r="FV239" s="121">
        <f t="shared" si="180"/>
        <v>0</v>
      </c>
      <c r="FW239" s="121">
        <f t="shared" si="181"/>
        <v>0</v>
      </c>
      <c r="FX239" s="121">
        <f t="shared" si="182"/>
        <v>-1</v>
      </c>
      <c r="FY239" s="144">
        <f t="shared" si="182"/>
        <v>-5.3763440860215006E-3</v>
      </c>
      <c r="FZ239" s="145"/>
      <c r="GA239" s="151"/>
      <c r="GB239" s="145" t="s">
        <v>223</v>
      </c>
      <c r="GC239" s="151" t="s">
        <v>1102</v>
      </c>
      <c r="GD239" s="997" t="s">
        <v>220</v>
      </c>
      <c r="GE239" s="1004" t="s">
        <v>223</v>
      </c>
      <c r="GF239" s="1004">
        <v>-1.5044990399999998</v>
      </c>
      <c r="GG239" s="1004" t="s">
        <v>223</v>
      </c>
      <c r="GH239" s="1004">
        <v>-1.0029993599999996</v>
      </c>
      <c r="GI239" s="145"/>
      <c r="GJ239" s="996">
        <v>0</v>
      </c>
      <c r="GK239" s="145"/>
      <c r="GL239" s="996">
        <v>0</v>
      </c>
      <c r="GM239" s="1005" t="s">
        <v>240</v>
      </c>
      <c r="GN239" s="996">
        <v>-1.92241544</v>
      </c>
      <c r="GO239" s="1006"/>
      <c r="GP239" s="996">
        <v>-0.5869221600000003</v>
      </c>
      <c r="GQ239" s="1006" t="s">
        <v>203</v>
      </c>
      <c r="GR239" s="996">
        <v>1.8810000000000002</v>
      </c>
      <c r="GS239" s="1006" t="s">
        <v>203</v>
      </c>
      <c r="GT239" s="996">
        <v>-2.7170000000000005</v>
      </c>
      <c r="GU239" s="1006"/>
      <c r="GV239" s="996">
        <v>0</v>
      </c>
      <c r="GW239" s="1006"/>
      <c r="GX239" s="1036">
        <v>0</v>
      </c>
      <c r="GY239" s="1006" t="s">
        <v>203</v>
      </c>
      <c r="GZ239" s="996">
        <v>-1.4211999999999989</v>
      </c>
      <c r="HA239" s="1006"/>
      <c r="HB239" s="996">
        <v>0</v>
      </c>
      <c r="HC239" s="1006" t="s">
        <v>1103</v>
      </c>
      <c r="HD239" s="996">
        <v>-10.282800000000002</v>
      </c>
      <c r="HE239" s="1006" t="s">
        <v>203</v>
      </c>
      <c r="HF239" s="996">
        <v>-2.2571999999999974</v>
      </c>
      <c r="HG239" s="1006"/>
      <c r="HH239" s="996">
        <v>0</v>
      </c>
      <c r="HI239" s="1006" t="s">
        <v>203</v>
      </c>
      <c r="HJ239" s="996">
        <v>-1.6068000000000033</v>
      </c>
      <c r="HK239" s="1006"/>
      <c r="HL239" s="996">
        <v>0</v>
      </c>
      <c r="HM239" s="1006"/>
      <c r="HN239" s="996">
        <v>0</v>
      </c>
      <c r="HO239" s="1006"/>
      <c r="HP239" s="996">
        <v>0</v>
      </c>
      <c r="HQ239" s="1006"/>
      <c r="HR239" s="996">
        <v>0</v>
      </c>
      <c r="HS239" s="1006"/>
      <c r="HT239" s="996">
        <v>0</v>
      </c>
      <c r="HU239" s="1006"/>
      <c r="HV239" s="996">
        <v>-0.10583760000000009</v>
      </c>
      <c r="HW239" s="1006"/>
      <c r="HX239" s="996">
        <v>0</v>
      </c>
      <c r="HY239" s="1006"/>
      <c r="HZ239" s="996">
        <v>0</v>
      </c>
      <c r="IA239" s="1006"/>
      <c r="IB239" s="996">
        <v>0</v>
      </c>
      <c r="IC239" s="1006"/>
      <c r="ID239" s="996">
        <v>-0.82538279999999897</v>
      </c>
      <c r="IE239" s="1006"/>
      <c r="IF239" s="996">
        <v>-0.82538280000000075</v>
      </c>
      <c r="IG239" s="1006"/>
      <c r="IH239" s="996">
        <v>0</v>
      </c>
      <c r="II239" s="1006" t="s">
        <v>199</v>
      </c>
      <c r="IJ239" s="996">
        <v>3.4294655340000002</v>
      </c>
      <c r="IK239" s="1006"/>
      <c r="IL239" s="996">
        <v>0</v>
      </c>
      <c r="IM239" s="1006"/>
      <c r="IN239" s="996">
        <v>-3.6643134000000188E-2</v>
      </c>
      <c r="IO239" s="1006"/>
      <c r="IP239" s="996">
        <v>-0.75110419999999944</v>
      </c>
      <c r="IQ239" s="1006"/>
      <c r="IR239" s="996">
        <v>-7.6535800000000265E-2</v>
      </c>
      <c r="IS239" s="1006"/>
      <c r="IT239" s="996">
        <v>-0.77747999999999973</v>
      </c>
      <c r="IU239" s="1006" t="s">
        <v>204</v>
      </c>
      <c r="IV239" s="996">
        <v>2.1034595999999999</v>
      </c>
      <c r="IW239" s="1006"/>
      <c r="IX239" s="996">
        <v>-0.52341960000000043</v>
      </c>
      <c r="IY239" s="1006"/>
      <c r="IZ239" s="996">
        <v>-0.36951200000000028</v>
      </c>
      <c r="JA239" s="1006"/>
      <c r="JB239" s="996">
        <v>-0.57349599999999956</v>
      </c>
      <c r="JC239" s="1006"/>
      <c r="JD239" s="996">
        <v>0</v>
      </c>
      <c r="JE239" s="1006"/>
      <c r="JF239" s="996">
        <v>0</v>
      </c>
      <c r="JG239" s="1006"/>
      <c r="JH239" s="996">
        <v>0</v>
      </c>
      <c r="JI239" s="1006"/>
      <c r="JJ239" s="996">
        <v>0</v>
      </c>
      <c r="JK239" s="1007"/>
      <c r="JL239" s="1007">
        <v>0</v>
      </c>
      <c r="JM239" s="1007"/>
      <c r="JN239" s="1007">
        <v>0</v>
      </c>
      <c r="JO239" s="1008"/>
      <c r="JP239" s="1007">
        <v>0</v>
      </c>
      <c r="JQ239" s="1008">
        <v>0</v>
      </c>
      <c r="JR239" s="1007">
        <v>0</v>
      </c>
      <c r="JS239" s="1008" t="s">
        <v>199</v>
      </c>
      <c r="JT239" s="1007">
        <v>-1.6678200000000007</v>
      </c>
      <c r="JU239" s="1008"/>
      <c r="JV239" s="1007">
        <v>0</v>
      </c>
      <c r="JW239" s="1008" t="s">
        <v>197</v>
      </c>
      <c r="JX239" s="1007">
        <v>0</v>
      </c>
      <c r="JY239" s="1008"/>
      <c r="JZ239" s="1007">
        <v>0</v>
      </c>
      <c r="KA239" s="1008"/>
      <c r="KB239" s="1007">
        <v>0</v>
      </c>
      <c r="KC239" s="1008" t="s">
        <v>207</v>
      </c>
      <c r="KD239" s="1007">
        <v>-2.5054919999999994</v>
      </c>
      <c r="KE239" s="1008"/>
      <c r="KF239" s="1007">
        <v>0</v>
      </c>
      <c r="KG239" s="1008"/>
      <c r="KH239" s="1007">
        <v>0</v>
      </c>
      <c r="KI239" s="1008" t="s">
        <v>207</v>
      </c>
      <c r="KJ239" s="1007">
        <v>0.83516400000000068</v>
      </c>
      <c r="KK239" s="1008"/>
      <c r="KL239" s="1007">
        <v>0</v>
      </c>
      <c r="KM239" s="1008" t="s">
        <v>314</v>
      </c>
      <c r="KN239" s="1007">
        <v>-2.5054920000000003</v>
      </c>
      <c r="KO239" s="1008" t="s">
        <v>314</v>
      </c>
      <c r="KP239" s="1007">
        <v>3.2487879600000005</v>
      </c>
      <c r="KQ239" s="1008">
        <v>0</v>
      </c>
      <c r="KR239" s="1007">
        <v>0</v>
      </c>
      <c r="KS239" s="1008">
        <v>0</v>
      </c>
      <c r="KT239" s="1007">
        <v>0</v>
      </c>
      <c r="KU239" s="1008" t="s">
        <v>206</v>
      </c>
      <c r="KV239" s="1007">
        <v>3.1819748399999987</v>
      </c>
      <c r="KW239" s="1008">
        <v>0</v>
      </c>
      <c r="KX239" s="1007">
        <v>0</v>
      </c>
      <c r="KY239" s="1008" t="s">
        <v>206</v>
      </c>
      <c r="KZ239" s="1007">
        <v>-4.7604347999999996</v>
      </c>
      <c r="LA239" s="1008">
        <v>0</v>
      </c>
      <c r="LB239" s="1007">
        <v>0</v>
      </c>
      <c r="LC239" s="1008" t="s">
        <v>223</v>
      </c>
      <c r="LD239" s="1007">
        <v>-2.5080000000000009</v>
      </c>
      <c r="LE239" s="1008">
        <v>0</v>
      </c>
      <c r="LF239" s="1007">
        <v>0</v>
      </c>
      <c r="LG239" s="1008" t="s">
        <v>25</v>
      </c>
      <c r="LH239" s="1007">
        <v>5.16</v>
      </c>
      <c r="LI239" s="1008">
        <v>0</v>
      </c>
      <c r="LJ239" s="1007">
        <v>0</v>
      </c>
      <c r="LK239" s="1008" t="s">
        <v>206</v>
      </c>
      <c r="LL239" s="1007">
        <v>-0.66879999999999995</v>
      </c>
      <c r="LM239" s="1008">
        <v>0</v>
      </c>
      <c r="LN239" s="1007">
        <v>0</v>
      </c>
      <c r="LO239" s="1008">
        <v>0</v>
      </c>
      <c r="LP239" s="1007">
        <v>0</v>
      </c>
      <c r="LQ239" s="1008">
        <v>0</v>
      </c>
      <c r="LR239" s="1007">
        <v>0</v>
      </c>
      <c r="LS239" s="1008">
        <v>0</v>
      </c>
      <c r="LT239" s="1007">
        <v>-8.36</v>
      </c>
      <c r="LU239" s="1008" t="s">
        <v>206</v>
      </c>
      <c r="LV239" s="1007">
        <v>1.6719999999999997</v>
      </c>
      <c r="LW239" s="1008" t="s">
        <v>240</v>
      </c>
      <c r="LX239" s="1007">
        <v>-3.5948000000000002</v>
      </c>
      <c r="LY239" s="1009">
        <v>0</v>
      </c>
      <c r="LZ239" s="1010">
        <v>-0.75239999999999996</v>
      </c>
      <c r="MA239" s="1011">
        <v>0</v>
      </c>
      <c r="MB239" s="1012">
        <v>0.16719999999999899</v>
      </c>
      <c r="MC239" s="995"/>
      <c r="MD239" s="996"/>
      <c r="ME239" s="997" t="s">
        <v>220</v>
      </c>
      <c r="MF239" s="997"/>
      <c r="MG239" s="998"/>
      <c r="NR239" s="1000"/>
      <c r="NS239" s="1000"/>
      <c r="NT239" s="1001"/>
      <c r="NU239" s="1000"/>
      <c r="NV239" s="1001"/>
      <c r="NX239" s="1002"/>
      <c r="NZ239" s="1001"/>
      <c r="OA239" s="1001"/>
      <c r="OC239" s="1003"/>
      <c r="OD239" s="1003"/>
      <c r="OE239" s="1001"/>
      <c r="OF239" s="1003"/>
      <c r="OG239" s="1003"/>
      <c r="QX239" s="1000">
        <f>CN239-CA239</f>
        <v>20</v>
      </c>
      <c r="ASU239" s="999" t="s">
        <v>208</v>
      </c>
    </row>
    <row r="240" spans="1:466 1191:1191" ht="21.75" customHeight="1" x14ac:dyDescent="0.25">
      <c r="A240" s="982" t="str">
        <f t="shared" si="163"/>
        <v>1130-2</v>
      </c>
      <c r="B240" s="124">
        <f>SUBTOTAL(103,$J$29:J240)</f>
        <v>212</v>
      </c>
      <c r="C240" s="126">
        <v>45068</v>
      </c>
      <c r="D240" s="124" t="s">
        <v>176</v>
      </c>
      <c r="E240" s="127" t="s">
        <v>177</v>
      </c>
      <c r="F240" s="128" t="s">
        <v>177</v>
      </c>
      <c r="G240" s="127" t="s">
        <v>178</v>
      </c>
      <c r="H240" s="127" t="s">
        <v>408</v>
      </c>
      <c r="I240" s="127" t="s">
        <v>733</v>
      </c>
      <c r="J240" s="152" t="s">
        <v>1104</v>
      </c>
      <c r="K240" s="127" t="s">
        <v>1080</v>
      </c>
      <c r="L240" s="130">
        <v>41943</v>
      </c>
      <c r="M240" s="127" t="s">
        <v>230</v>
      </c>
      <c r="N240" s="127" t="s">
        <v>245</v>
      </c>
      <c r="O240" s="127" t="s">
        <v>185</v>
      </c>
      <c r="P240" s="127" t="s">
        <v>186</v>
      </c>
      <c r="Q240" s="85" t="str">
        <f t="shared" si="187"/>
        <v/>
      </c>
      <c r="R240" s="130"/>
      <c r="S240" s="128"/>
      <c r="T240" s="131"/>
      <c r="U240" s="132">
        <v>203</v>
      </c>
      <c r="V240" s="121">
        <v>218.2</v>
      </c>
      <c r="W240" s="116">
        <v>0.98</v>
      </c>
      <c r="X240" s="116">
        <v>1.66</v>
      </c>
      <c r="Y240" s="116">
        <f t="shared" si="191"/>
        <v>0.98</v>
      </c>
      <c r="Z240" s="133">
        <v>1.454</v>
      </c>
      <c r="AA240" s="133">
        <v>0.83599999999999997</v>
      </c>
      <c r="AB240" s="133">
        <v>0.72</v>
      </c>
      <c r="AC240" s="121">
        <v>34.299999999999997</v>
      </c>
      <c r="AD240" s="134">
        <v>1.17</v>
      </c>
      <c r="AE240" s="124">
        <v>177.8</v>
      </c>
      <c r="AF240" s="128">
        <v>9.19</v>
      </c>
      <c r="AG240" s="128">
        <v>2146</v>
      </c>
      <c r="AH240" s="127" t="s">
        <v>1105</v>
      </c>
      <c r="AI240" s="127" t="s">
        <v>1105</v>
      </c>
      <c r="AJ240" s="135"/>
      <c r="AK240" s="128"/>
      <c r="AL240" s="131"/>
      <c r="AM240" s="124" t="s">
        <v>232</v>
      </c>
      <c r="AN240" s="136" t="s">
        <v>1106</v>
      </c>
      <c r="AO240" s="137" t="s">
        <v>1107</v>
      </c>
      <c r="AP240" s="128">
        <v>2146</v>
      </c>
      <c r="AQ240" s="128">
        <v>259.3</v>
      </c>
      <c r="AR240" s="128"/>
      <c r="AS240" s="128"/>
      <c r="AT240" s="122"/>
      <c r="AU240" s="124" t="s">
        <v>189</v>
      </c>
      <c r="AV240" s="115">
        <f>VLOOKUP(J240,'[63]ТР нефть'!$J$28:$BP$638,39,0)</f>
        <v>480.06</v>
      </c>
      <c r="AW240" s="115" t="str">
        <f>VLOOKUP(J240,'[63]ТР нефть'!$J$28:$BP$638,40,0)</f>
        <v>ГП</v>
      </c>
      <c r="AX240" s="115">
        <f>VLOOKUP(J240,'[63]ТР нефть'!$J$28:$BP$638,41,0)</f>
        <v>879.95759999999996</v>
      </c>
      <c r="AY240" s="115" t="str">
        <f>VLOOKUP(J240,'[63]ТР нефть'!$J$28:$BP$638,42,0)</f>
        <v>ГК 76 1/8</v>
      </c>
      <c r="AZ240" s="115">
        <f>VLOOKUP(J240,'[63]ТР нефть'!$J$28:$BP$638,43,0)</f>
        <v>1530.096</v>
      </c>
      <c r="BA240" s="115" t="str">
        <f>VLOOKUP(J240,'[63]ТР нефть'!$J$28:$BP$638,44,0)</f>
        <v>ГК 77 1/8</v>
      </c>
      <c r="BB240" s="115">
        <f>VLOOKUP(J240,'[63]ТР нефть'!$J$28:$BP$638,45,0)</f>
        <v>1730.0447999999999</v>
      </c>
      <c r="BC240" s="115" t="str">
        <f>VLOOKUP(J240,'[63]ТР нефть'!$J$28:$BP$638,46,0)</f>
        <v>ГК 76 1/8</v>
      </c>
      <c r="BD240" s="115">
        <f>VLOOKUP(J240,'[63]ТР нефть'!$J$28:$BP$638,47,0)</f>
        <v>2000.0976000000001</v>
      </c>
      <c r="BE240" s="115" t="str">
        <f>VLOOKUP(J240,'[63]ТР нефть'!$J$28:$BP$638,48,0)</f>
        <v>ЦКсОК 5/16</v>
      </c>
      <c r="BF240" s="115" t="str">
        <f>VLOOKUP(J240,'[63]ТР нефть'!$J$28:$BP$638,49,0)</f>
        <v>-</v>
      </c>
      <c r="BG240" s="115" t="str">
        <f>VLOOKUP(J240,'[63]ТР нефть'!$J$28:$BP$638,50,0)</f>
        <v>-</v>
      </c>
      <c r="BH240" s="115" t="str">
        <f>VLOOKUP(J240,'[63]ТР нефть'!$J$28:$BP$638,51,0)</f>
        <v>-</v>
      </c>
      <c r="BI240" s="115" t="str">
        <f>VLOOKUP(J240,'[63]ТР нефть'!$J$28:$BP$638,52,0)</f>
        <v>-</v>
      </c>
      <c r="BJ240" s="115" t="str">
        <f>IF(IFERROR(VLOOKUP(J240,'[63]ТР нефть'!$J$28:$BP$638,53,0),"-")=0,"-",IFERROR(VLOOKUP(J240,'[63]ТР нефть'!$J$28:$BP$638,53,0),"-"))</f>
        <v>-</v>
      </c>
      <c r="BK240" s="138" t="str">
        <f>IF(IFERROR(VLOOKUP(J240,'[63]ТР нефть'!$J$28:$BP$638,54,0),"-")=0,"-",IFERROR(VLOOKUP(J240,'[63]ТР нефть'!$J$28:$BP$638,54,0),"-"))</f>
        <v>-</v>
      </c>
      <c r="BL240" s="138" t="str">
        <f>IF(IFERROR(VLOOKUP(J240,'[63]ТР нефть'!$J$28:$BP$638,55,0),"-")=0,"-",IFERROR(VLOOKUP(J240,'[63]ТР нефть'!$J$28:$BP$638,55,0),"-"))</f>
        <v>-</v>
      </c>
      <c r="BM240" s="138" t="str">
        <f>IF(IFERROR(VLOOKUP(J240,'[63]ТР нефть'!$J$28:$BP$638,56,0),"-")=0,"-",IFERROR(VLOOKUP(J240,'[63]ТР нефть'!$J$28:$BP$638,56,0),"-"))</f>
        <v>-</v>
      </c>
      <c r="BN240" s="138" t="str">
        <f>IF(IFERROR(VLOOKUP(J240,'[63]ТР нефть'!$J$28:$BP$638,57,0),"-")=0,"-",IFERROR(VLOOKUP(J240,'[63]ТР нефть'!$J$28:$BP$638,57,0),"-"))</f>
        <v>-</v>
      </c>
      <c r="BO240" s="115" t="str">
        <f>IF(IFERROR(VLOOKUP(J240,'[63]ТР нефть'!$J$28:$BP$638,58,0),"-")=0,"-",IFERROR(VLOOKUP(J240,'[63]ТР нефть'!$J$28:$BP$638,58,0),"-"))</f>
        <v>-</v>
      </c>
      <c r="BP240" s="115" t="str">
        <f>IF(IFERROR(VLOOKUP(J240,'[63]ТР нефть'!$J$28:$BP$638,59,0),"-")=0,"-",IFERROR(VLOOKUP(J240,'[63]ТР нефть'!$J$28:$BP$638,59,0),"-"))</f>
        <v>-</v>
      </c>
      <c r="BQ240" s="138">
        <v>2153</v>
      </c>
      <c r="BR240" s="128">
        <v>1892.3</v>
      </c>
      <c r="BS240" s="115">
        <f t="shared" si="164"/>
        <v>260.70000000000005</v>
      </c>
      <c r="BT240" s="128">
        <v>73</v>
      </c>
      <c r="BU240" s="128">
        <v>5.5</v>
      </c>
      <c r="BV240" s="127">
        <v>18</v>
      </c>
      <c r="BW240" s="127" t="s">
        <v>217</v>
      </c>
      <c r="BX240" s="127" t="s">
        <v>195</v>
      </c>
      <c r="BY240" s="139">
        <v>24</v>
      </c>
      <c r="BZ240" s="139">
        <v>0</v>
      </c>
      <c r="CA240" s="138">
        <v>23</v>
      </c>
      <c r="CB240" s="138">
        <v>40</v>
      </c>
      <c r="CC240" s="138">
        <v>22</v>
      </c>
      <c r="CD240" s="135">
        <v>45017</v>
      </c>
      <c r="CE240" s="138">
        <v>113</v>
      </c>
      <c r="CF240" s="138">
        <v>64</v>
      </c>
      <c r="CG240" s="138" t="str">
        <f t="shared" si="153"/>
        <v>В работе</v>
      </c>
      <c r="CH240" s="138" t="s">
        <v>196</v>
      </c>
      <c r="CI240" s="138">
        <v>6</v>
      </c>
      <c r="CJ240" s="139"/>
      <c r="CK240" s="139"/>
      <c r="CL240" s="99"/>
      <c r="CM240" s="99"/>
      <c r="CN240" s="140">
        <v>43</v>
      </c>
      <c r="CO240" s="159">
        <f t="shared" si="165"/>
        <v>12.958</v>
      </c>
      <c r="CP240" s="142">
        <v>15.5</v>
      </c>
      <c r="CQ240" s="119">
        <v>0</v>
      </c>
      <c r="CR240" s="115">
        <v>24</v>
      </c>
      <c r="CS240" s="139">
        <v>6</v>
      </c>
      <c r="CT240" s="138"/>
      <c r="CU240" s="138">
        <f t="shared" si="188"/>
        <v>18</v>
      </c>
      <c r="CV240" s="115">
        <f t="shared" si="189"/>
        <v>1389.1032566754129</v>
      </c>
      <c r="CW240" s="115">
        <f t="shared" si="166"/>
        <v>463.03441889180431</v>
      </c>
      <c r="CX240" s="133">
        <f t="shared" si="190"/>
        <v>0.22142857142857142</v>
      </c>
      <c r="CY240" s="116"/>
      <c r="CZ240" s="131"/>
      <c r="DA240" s="145" t="str">
        <f t="shared" si="167"/>
        <v>Газлифт</v>
      </c>
      <c r="DB240" s="146">
        <f t="shared" si="168"/>
        <v>12.958</v>
      </c>
      <c r="DC240" s="142">
        <f t="shared" si="151"/>
        <v>15.5</v>
      </c>
      <c r="DD240" s="119">
        <f t="shared" si="152"/>
        <v>0</v>
      </c>
      <c r="DE240" s="115">
        <f t="shared" si="169"/>
        <v>18</v>
      </c>
      <c r="DF240" s="121">
        <f t="shared" si="170"/>
        <v>6</v>
      </c>
      <c r="DG240" s="115">
        <f t="shared" si="171"/>
        <v>1389.1032566754129</v>
      </c>
      <c r="DH240" s="115">
        <f t="shared" si="172"/>
        <v>43</v>
      </c>
      <c r="DI240" s="147"/>
      <c r="DJ240" s="111" t="s">
        <v>197</v>
      </c>
      <c r="DK240" s="112">
        <v>41943</v>
      </c>
      <c r="DL240" s="113">
        <f t="shared" ca="1" si="192"/>
        <v>3161</v>
      </c>
      <c r="DM240" s="114"/>
      <c r="DN240" s="114"/>
      <c r="DO240" s="114"/>
      <c r="DP240" s="114"/>
      <c r="DQ240" s="112">
        <v>43669.291666666664</v>
      </c>
      <c r="DR240" s="114" t="s">
        <v>282</v>
      </c>
      <c r="DS240" s="114"/>
      <c r="DT240" s="115">
        <v>51</v>
      </c>
      <c r="DU240" s="116">
        <f t="shared" si="193"/>
        <v>0.25</v>
      </c>
      <c r="DV240" s="117">
        <f t="shared" si="194"/>
        <v>12.958</v>
      </c>
      <c r="DW240" s="118">
        <f t="shared" si="195"/>
        <v>15.5</v>
      </c>
      <c r="DX240" s="119">
        <f t="shared" si="173"/>
        <v>0</v>
      </c>
      <c r="DY240" s="115">
        <f t="shared" si="196"/>
        <v>18</v>
      </c>
      <c r="DZ240" s="117">
        <f t="shared" si="197"/>
        <v>0</v>
      </c>
      <c r="EA240" s="120">
        <f t="shared" si="197"/>
        <v>0</v>
      </c>
      <c r="EB240" s="119">
        <f t="shared" si="197"/>
        <v>0</v>
      </c>
      <c r="EC240" s="121">
        <f t="shared" si="198"/>
        <v>0</v>
      </c>
      <c r="ED240" s="122"/>
      <c r="EE240" s="145">
        <v>18</v>
      </c>
      <c r="EF240" s="115">
        <v>23</v>
      </c>
      <c r="EG240" s="115">
        <v>40</v>
      </c>
      <c r="EH240" s="115">
        <v>22</v>
      </c>
      <c r="EI240" s="128" t="s">
        <v>195</v>
      </c>
      <c r="EJ240" s="121">
        <v>24</v>
      </c>
      <c r="EK240" s="121">
        <v>0</v>
      </c>
      <c r="EL240" s="162">
        <v>12.958</v>
      </c>
      <c r="EM240" s="142">
        <v>15.5</v>
      </c>
      <c r="EN240" s="119">
        <v>0</v>
      </c>
      <c r="EO240" s="115">
        <v>24</v>
      </c>
      <c r="EP240" s="115">
        <v>1389.1032566754129</v>
      </c>
      <c r="EQ240" s="115">
        <v>64</v>
      </c>
      <c r="ER240" s="115">
        <v>6</v>
      </c>
      <c r="ES240" s="115">
        <v>46</v>
      </c>
      <c r="ET240" s="150">
        <v>0.23134328358208955</v>
      </c>
      <c r="EU240" s="145">
        <f t="shared" si="174"/>
        <v>18</v>
      </c>
      <c r="EV240" s="115">
        <f t="shared" si="175"/>
        <v>23</v>
      </c>
      <c r="EW240" s="115">
        <f t="shared" si="175"/>
        <v>40</v>
      </c>
      <c r="EX240" s="115">
        <f t="shared" si="175"/>
        <v>22</v>
      </c>
      <c r="EY240" s="115" t="str">
        <f t="shared" si="156"/>
        <v>Постоянный</v>
      </c>
      <c r="EZ240" s="115">
        <f t="shared" si="156"/>
        <v>24</v>
      </c>
      <c r="FA240" s="115">
        <f t="shared" si="156"/>
        <v>0</v>
      </c>
      <c r="FB240" s="149">
        <f t="shared" si="176"/>
        <v>12.958</v>
      </c>
      <c r="FC240" s="142">
        <f t="shared" si="176"/>
        <v>15.5</v>
      </c>
      <c r="FD240" s="119">
        <f t="shared" si="176"/>
        <v>0</v>
      </c>
      <c r="FE240" s="121">
        <f t="shared" si="176"/>
        <v>24</v>
      </c>
      <c r="FF240" s="121">
        <f t="shared" si="199"/>
        <v>1389.1032566754129</v>
      </c>
      <c r="FG240" s="121">
        <f t="shared" si="177"/>
        <v>64</v>
      </c>
      <c r="FH240" s="121">
        <f t="shared" si="200"/>
        <v>6</v>
      </c>
      <c r="FI240" s="121">
        <f t="shared" si="154"/>
        <v>43</v>
      </c>
      <c r="FJ240" s="144">
        <f t="shared" si="178"/>
        <v>0.22142857142857142</v>
      </c>
      <c r="FK240" s="132">
        <f t="shared" si="179"/>
        <v>0</v>
      </c>
      <c r="FL240" s="115">
        <f t="shared" si="179"/>
        <v>0</v>
      </c>
      <c r="FM240" s="115">
        <f t="shared" si="179"/>
        <v>0</v>
      </c>
      <c r="FN240" s="115">
        <f t="shared" si="162"/>
        <v>0</v>
      </c>
      <c r="FO240" s="115">
        <f t="shared" si="150"/>
        <v>0</v>
      </c>
      <c r="FP240" s="115">
        <f t="shared" si="150"/>
        <v>0</v>
      </c>
      <c r="FQ240" s="149">
        <f t="shared" si="150"/>
        <v>0</v>
      </c>
      <c r="FR240" s="142">
        <f t="shared" si="148"/>
        <v>0</v>
      </c>
      <c r="FS240" s="119">
        <f t="shared" si="148"/>
        <v>0</v>
      </c>
      <c r="FT240" s="121">
        <f t="shared" si="148"/>
        <v>0</v>
      </c>
      <c r="FU240" s="121">
        <f t="shared" si="180"/>
        <v>0</v>
      </c>
      <c r="FV240" s="121">
        <f t="shared" si="180"/>
        <v>0</v>
      </c>
      <c r="FW240" s="121">
        <f t="shared" si="181"/>
        <v>0</v>
      </c>
      <c r="FX240" s="121">
        <f>CN240-ES240</f>
        <v>-3</v>
      </c>
      <c r="FY240" s="144">
        <f t="shared" si="182"/>
        <v>-9.9147121535181348E-3</v>
      </c>
      <c r="FZ240" s="145"/>
      <c r="GA240" s="151"/>
      <c r="GB240" s="145" t="s">
        <v>199</v>
      </c>
      <c r="GC240" s="151" t="s">
        <v>1108</v>
      </c>
      <c r="GD240" s="997" t="s">
        <v>416</v>
      </c>
      <c r="GE240" s="1004" t="s">
        <v>199</v>
      </c>
      <c r="GF240" s="1004">
        <v>2.207040000000001</v>
      </c>
      <c r="GG240" s="1004" t="s">
        <v>204</v>
      </c>
      <c r="GH240" s="1004">
        <v>0.96976000000000084</v>
      </c>
      <c r="GI240" s="1005" t="s">
        <v>199</v>
      </c>
      <c r="GJ240" s="996">
        <v>-6.7515360000000015</v>
      </c>
      <c r="GK240" s="1005"/>
      <c r="GL240" s="996">
        <v>-0.46726400000000012</v>
      </c>
      <c r="GM240" s="1005"/>
      <c r="GN240" s="996">
        <v>-8.4795011840000001</v>
      </c>
      <c r="GO240" s="1006" t="s">
        <v>433</v>
      </c>
      <c r="GP240" s="996">
        <v>-2.8930801592000002</v>
      </c>
      <c r="GQ240" s="1006" t="s">
        <v>25</v>
      </c>
      <c r="GR240" s="996">
        <v>0.29056199920000303</v>
      </c>
      <c r="GS240" s="1006" t="s">
        <v>199</v>
      </c>
      <c r="GT240" s="996">
        <v>2.5502681599999981</v>
      </c>
      <c r="GU240" s="1006"/>
      <c r="GV240" s="996">
        <v>-0.38038000000000238</v>
      </c>
      <c r="GW240" s="1006" t="s">
        <v>204</v>
      </c>
      <c r="GX240" s="1035">
        <v>-1.3766411999999981</v>
      </c>
      <c r="GY240" s="1006"/>
      <c r="GZ240" s="996">
        <v>-0.9858688839999985</v>
      </c>
      <c r="HA240" s="1006" t="s">
        <v>199</v>
      </c>
      <c r="HB240" s="996">
        <v>3.3606439239999979</v>
      </c>
      <c r="HC240" s="1006" t="s">
        <v>223</v>
      </c>
      <c r="HD240" s="996">
        <v>-4.1603038399999992</v>
      </c>
      <c r="HE240" s="1006" t="s">
        <v>223</v>
      </c>
      <c r="HF240" s="996">
        <v>-1.7760652799999974</v>
      </c>
      <c r="HG240" s="1006" t="s">
        <v>199</v>
      </c>
      <c r="HH240" s="996">
        <v>4.9110652799999972</v>
      </c>
      <c r="HI240" s="1006"/>
      <c r="HJ240" s="996">
        <v>0</v>
      </c>
      <c r="HK240" s="1006"/>
      <c r="HL240" s="996">
        <v>0</v>
      </c>
      <c r="HM240" s="1006" t="s">
        <v>204</v>
      </c>
      <c r="HN240" s="996">
        <v>-5.726600000000003</v>
      </c>
      <c r="HO240" s="1006"/>
      <c r="HP240" s="996">
        <v>0</v>
      </c>
      <c r="HQ240" s="1006" t="s">
        <v>221</v>
      </c>
      <c r="HR240" s="996">
        <v>3.0844972400000046</v>
      </c>
      <c r="HS240" s="1006"/>
      <c r="HT240" s="996">
        <v>0</v>
      </c>
      <c r="HU240" s="1006" t="s">
        <v>223</v>
      </c>
      <c r="HV240" s="996">
        <v>-2.61633724</v>
      </c>
      <c r="HW240" s="1006" t="s">
        <v>223</v>
      </c>
      <c r="HX240" s="996">
        <v>-4.72232992</v>
      </c>
      <c r="HY240" s="1006"/>
      <c r="HZ240" s="996">
        <v>0</v>
      </c>
      <c r="IA240" s="1006" t="s">
        <v>204</v>
      </c>
      <c r="IB240" s="996">
        <v>-1.3043940800000016</v>
      </c>
      <c r="IC240" s="1006"/>
      <c r="ID240" s="996">
        <v>0</v>
      </c>
      <c r="IE240" s="1006" t="s">
        <v>199</v>
      </c>
      <c r="IF240" s="996">
        <v>8.4753763599999985</v>
      </c>
      <c r="IG240" s="1006"/>
      <c r="IH240" s="996">
        <v>0</v>
      </c>
      <c r="II240" s="1006" t="s">
        <v>204</v>
      </c>
      <c r="IJ240" s="996">
        <v>-1.7691515599999974</v>
      </c>
      <c r="IK240" s="1006" t="s">
        <v>199</v>
      </c>
      <c r="IL240" s="996">
        <v>1.3204201999999974</v>
      </c>
      <c r="IM240" s="1006"/>
      <c r="IN240" s="996">
        <v>-0.60714499999999916</v>
      </c>
      <c r="IO240" s="1006" t="s">
        <v>223</v>
      </c>
      <c r="IP240" s="996">
        <v>-2.5130160000000004</v>
      </c>
      <c r="IQ240" s="1006" t="s">
        <v>199</v>
      </c>
      <c r="IR240" s="996">
        <v>2.5204146000000023</v>
      </c>
      <c r="IS240" s="1006"/>
      <c r="IT240" s="996">
        <v>0</v>
      </c>
      <c r="IU240" s="1006" t="s">
        <v>199</v>
      </c>
      <c r="IV240" s="996">
        <v>-4.1840546000000032</v>
      </c>
      <c r="IW240" s="1006"/>
      <c r="IX240" s="996">
        <v>0</v>
      </c>
      <c r="IY240" s="1006"/>
      <c r="IZ240" s="996">
        <v>0</v>
      </c>
      <c r="JA240" s="1006" t="s">
        <v>223</v>
      </c>
      <c r="JB240" s="996">
        <v>3.151720000000001</v>
      </c>
      <c r="JC240" s="1006" t="s">
        <v>223</v>
      </c>
      <c r="JD240" s="996">
        <v>-7.3735199999999992</v>
      </c>
      <c r="JE240" s="1006"/>
      <c r="JF240" s="996">
        <v>0</v>
      </c>
      <c r="JG240" s="1006" t="s">
        <v>199</v>
      </c>
      <c r="JH240" s="996">
        <v>-2.5084567904000004</v>
      </c>
      <c r="JI240" s="1006"/>
      <c r="JJ240" s="996">
        <v>0</v>
      </c>
      <c r="JK240" s="1007" t="s">
        <v>203</v>
      </c>
      <c r="JL240" s="1007">
        <v>-8.055483321599997</v>
      </c>
      <c r="JM240" s="1007"/>
      <c r="JN240" s="1007">
        <v>0</v>
      </c>
      <c r="JO240" s="1008"/>
      <c r="JP240" s="1007">
        <v>0</v>
      </c>
      <c r="JQ240" s="1008" t="s">
        <v>25</v>
      </c>
      <c r="JR240" s="1007">
        <v>23.622260111999996</v>
      </c>
      <c r="JS240" s="1008">
        <v>0</v>
      </c>
      <c r="JT240" s="1007">
        <v>0</v>
      </c>
      <c r="JU240" s="1008" t="s">
        <v>223</v>
      </c>
      <c r="JV240" s="1007">
        <v>-6.4371999999999971</v>
      </c>
      <c r="JW240" s="1008" t="s">
        <v>197</v>
      </c>
      <c r="JX240" s="1007">
        <v>0</v>
      </c>
      <c r="JY240" s="1008"/>
      <c r="JZ240" s="1007">
        <v>0</v>
      </c>
      <c r="KA240" s="1008"/>
      <c r="KB240" s="1007">
        <v>0</v>
      </c>
      <c r="KC240" s="1008"/>
      <c r="KD240" s="1007">
        <v>0</v>
      </c>
      <c r="KE240" s="1008"/>
      <c r="KF240" s="1007">
        <v>0</v>
      </c>
      <c r="KG240" s="1008" t="s">
        <v>203</v>
      </c>
      <c r="KH240" s="1007">
        <v>4.6378897399999985</v>
      </c>
      <c r="KI240" s="1008" t="s">
        <v>25</v>
      </c>
      <c r="KJ240" s="1007">
        <v>6.2468302599999994</v>
      </c>
      <c r="KK240" s="1008"/>
      <c r="KL240" s="1007">
        <v>0</v>
      </c>
      <c r="KM240" s="1008"/>
      <c r="KN240" s="1007">
        <v>0</v>
      </c>
      <c r="KO240" s="1008"/>
      <c r="KP240" s="1007">
        <v>0</v>
      </c>
      <c r="KQ240" s="1008">
        <v>0</v>
      </c>
      <c r="KR240" s="1007">
        <v>0</v>
      </c>
      <c r="KS240" s="1008" t="s">
        <v>207</v>
      </c>
      <c r="KT240" s="1007">
        <v>-4.17164</v>
      </c>
      <c r="KU240" s="1008">
        <v>0</v>
      </c>
      <c r="KV240" s="1007">
        <v>0</v>
      </c>
      <c r="KW240" s="1008">
        <v>0</v>
      </c>
      <c r="KX240" s="1007">
        <v>0</v>
      </c>
      <c r="KY240" s="1008">
        <v>0</v>
      </c>
      <c r="KZ240" s="1007">
        <v>0</v>
      </c>
      <c r="LA240" s="1008">
        <v>0</v>
      </c>
      <c r="LB240" s="1007">
        <v>0</v>
      </c>
      <c r="LC240" s="1008" t="s">
        <v>206</v>
      </c>
      <c r="LD240" s="1007">
        <v>-1.5017904000000009</v>
      </c>
      <c r="LE240" s="1008" t="s">
        <v>206</v>
      </c>
      <c r="LF240" s="1007">
        <v>2.7532824000000016</v>
      </c>
      <c r="LG240" s="1008" t="s">
        <v>203</v>
      </c>
      <c r="LH240" s="1007">
        <v>-2.8582000000000001</v>
      </c>
      <c r="LI240" s="1008" t="s">
        <v>204</v>
      </c>
      <c r="LJ240" s="1007">
        <v>-1.6686559999999986</v>
      </c>
      <c r="LK240" s="1008" t="s">
        <v>206</v>
      </c>
      <c r="LL240" s="1007">
        <v>1.6686559999999986</v>
      </c>
      <c r="LM240" s="1008" t="s">
        <v>203</v>
      </c>
      <c r="LN240" s="1007">
        <v>-3.33731</v>
      </c>
      <c r="LO240" s="1008" t="s">
        <v>206</v>
      </c>
      <c r="LP240" s="1007">
        <v>-1.6686559999999986</v>
      </c>
      <c r="LQ240" s="1008" t="s">
        <v>204</v>
      </c>
      <c r="LR240" s="1007">
        <v>2.7532824000000016</v>
      </c>
      <c r="LS240" s="1008">
        <v>0</v>
      </c>
      <c r="LT240" s="1007">
        <v>0</v>
      </c>
      <c r="LU240" s="1008" t="s">
        <v>25</v>
      </c>
      <c r="LV240" s="1007">
        <v>4.9225351999999987</v>
      </c>
      <c r="LW240" s="1008" t="s">
        <v>206</v>
      </c>
      <c r="LX240" s="1007">
        <v>0.5</v>
      </c>
      <c r="LY240" s="1009">
        <v>0</v>
      </c>
      <c r="LZ240" s="1010">
        <v>0.41716409999999998</v>
      </c>
      <c r="MA240" s="1011">
        <v>0</v>
      </c>
      <c r="MB240" s="1012">
        <v>0</v>
      </c>
      <c r="MC240" s="995"/>
      <c r="MD240" s="996"/>
      <c r="ME240" s="997" t="s">
        <v>416</v>
      </c>
      <c r="MF240" s="997"/>
      <c r="MG240" s="998"/>
      <c r="NR240" s="1000"/>
      <c r="NS240" s="1000"/>
      <c r="NT240" s="1001"/>
      <c r="NU240" s="1000"/>
      <c r="NV240" s="1001"/>
      <c r="NX240" s="1002"/>
      <c r="NZ240" s="1001"/>
      <c r="OA240" s="1001"/>
      <c r="OC240" s="1003"/>
      <c r="OD240" s="1003"/>
      <c r="OE240" s="1001"/>
      <c r="OF240" s="1003"/>
      <c r="OG240" s="1003"/>
      <c r="OH240" s="1003"/>
      <c r="OI240" s="1016"/>
      <c r="QX240" s="1000">
        <f>CN240-CA240</f>
        <v>20</v>
      </c>
      <c r="ASU240" s="999" t="s">
        <v>208</v>
      </c>
    </row>
    <row r="241" spans="1:466 1191:1191" ht="21" customHeight="1" x14ac:dyDescent="0.25">
      <c r="A241" s="982" t="str">
        <f t="shared" si="163"/>
        <v>1130-1</v>
      </c>
      <c r="B241" s="124">
        <f>SUBTOTAL(103,$J$29:J241)</f>
        <v>213</v>
      </c>
      <c r="C241" s="126">
        <v>45068</v>
      </c>
      <c r="D241" s="124" t="s">
        <v>176</v>
      </c>
      <c r="E241" s="127" t="s">
        <v>177</v>
      </c>
      <c r="F241" s="128" t="s">
        <v>177</v>
      </c>
      <c r="G241" s="127" t="s">
        <v>178</v>
      </c>
      <c r="H241" s="127" t="s">
        <v>179</v>
      </c>
      <c r="I241" s="127" t="s">
        <v>1090</v>
      </c>
      <c r="J241" s="152" t="s">
        <v>1109</v>
      </c>
      <c r="K241" s="127" t="s">
        <v>1090</v>
      </c>
      <c r="L241" s="130">
        <v>42080</v>
      </c>
      <c r="M241" s="127" t="s">
        <v>230</v>
      </c>
      <c r="N241" s="127" t="s">
        <v>184</v>
      </c>
      <c r="O241" s="127" t="s">
        <v>185</v>
      </c>
      <c r="P241" s="127" t="s">
        <v>292</v>
      </c>
      <c r="Q241" s="85" t="str">
        <f t="shared" si="187"/>
        <v/>
      </c>
      <c r="R241" s="130"/>
      <c r="S241" s="128"/>
      <c r="T241" s="131"/>
      <c r="U241" s="132">
        <v>203</v>
      </c>
      <c r="V241" s="121">
        <v>218.2</v>
      </c>
      <c r="W241" s="116">
        <v>0.98</v>
      </c>
      <c r="X241" s="116">
        <v>1.66</v>
      </c>
      <c r="Y241" s="116">
        <f t="shared" si="191"/>
        <v>0.99067300970211603</v>
      </c>
      <c r="Z241" s="133">
        <v>1.454</v>
      </c>
      <c r="AA241" s="133">
        <v>0.83599999999999997</v>
      </c>
      <c r="AB241" s="133">
        <v>0.72</v>
      </c>
      <c r="AC241" s="121">
        <v>34.299999999999997</v>
      </c>
      <c r="AD241" s="134">
        <v>1.17</v>
      </c>
      <c r="AE241" s="124" t="s">
        <v>365</v>
      </c>
      <c r="AF241" s="128" t="s">
        <v>983</v>
      </c>
      <c r="AG241" s="128" t="s">
        <v>1110</v>
      </c>
      <c r="AH241" s="127">
        <v>3270</v>
      </c>
      <c r="AI241" s="127">
        <v>3270</v>
      </c>
      <c r="AJ241" s="135"/>
      <c r="AK241" s="128"/>
      <c r="AL241" s="131"/>
      <c r="AM241" s="124" t="s">
        <v>985</v>
      </c>
      <c r="AN241" s="136" t="s">
        <v>1111</v>
      </c>
      <c r="AO241" s="137">
        <v>48.32</v>
      </c>
      <c r="AP241" s="128">
        <v>2622</v>
      </c>
      <c r="AQ241" s="128">
        <v>1843</v>
      </c>
      <c r="AR241" s="128"/>
      <c r="AS241" s="128"/>
      <c r="AT241" s="122"/>
      <c r="AU241" s="124" t="s">
        <v>189</v>
      </c>
      <c r="AV241" s="115">
        <f>VLOOKUP(J241,'[63]ТР нефть'!$J$28:$BP$638,39,0)</f>
        <v>289.99999174800001</v>
      </c>
      <c r="AW241" s="115" t="str">
        <f>VLOOKUP(J241,'[63]ТР нефть'!$J$28:$BP$638,40,0)</f>
        <v>ГП</v>
      </c>
      <c r="AX241" s="115">
        <f>VLOOKUP(J241,'[63]ТР нефть'!$J$28:$BP$638,41,0)</f>
        <v>519.99999931599996</v>
      </c>
      <c r="AY241" s="115" t="str">
        <f>VLOOKUP(J241,'[63]ТР нефть'!$J$28:$BP$638,42,0)</f>
        <v>ГП</v>
      </c>
      <c r="AZ241" s="115">
        <f>VLOOKUP(J241,'[63]ТР нефть'!$J$28:$BP$638,43,0)</f>
        <v>834.99997207000001</v>
      </c>
      <c r="BA241" s="115" t="str">
        <f>VLOOKUP(J241,'[63]ТР нефть'!$J$28:$BP$638,44,0)</f>
        <v>ГП</v>
      </c>
      <c r="BB241" s="115">
        <f>VLOOKUP(J241,'[63]ТР нефть'!$J$28:$BP$638,45,0)</f>
        <v>1189.9999962889999</v>
      </c>
      <c r="BC241" s="115" t="str">
        <f>VLOOKUP(J241,'[63]ТР нефть'!$J$28:$BP$638,46,0)</f>
        <v>ГК 82 1/8</v>
      </c>
      <c r="BD241" s="115">
        <f>VLOOKUP(J241,'[63]ТР нефть'!$J$28:$BP$638,47,0)</f>
        <v>1524.9999761720001</v>
      </c>
      <c r="BE241" s="115" t="str">
        <f>VLOOKUP(J241,'[63]ТР нефть'!$J$28:$BP$638,48,0)</f>
        <v>ГК 79 5/32</v>
      </c>
      <c r="BF241" s="115" t="str">
        <f>VLOOKUP(J241,'[63]ТР нефть'!$J$28:$BP$638,49,0)</f>
        <v>-</v>
      </c>
      <c r="BG241" s="115" t="str">
        <f>VLOOKUP(J241,'[63]ТР нефть'!$J$28:$BP$638,50,0)</f>
        <v>-</v>
      </c>
      <c r="BH241" s="115">
        <f>VLOOKUP(J241,'[63]ТР нефть'!$J$28:$BP$638,51,0)</f>
        <v>1840</v>
      </c>
      <c r="BI241" s="115" t="str">
        <f>VLOOKUP(J241,'[63]ТР нефть'!$J$28:$BP$638,52,0)</f>
        <v>открыт</v>
      </c>
      <c r="BJ241" s="115" t="str">
        <f>IF(IFERROR(VLOOKUP(J241,'[63]ТР нефть'!$J$28:$BP$638,53,0),"-")=0,"-",IFERROR(VLOOKUP(J241,'[63]ТР нефть'!$J$28:$BP$638,53,0),"-"))</f>
        <v>-</v>
      </c>
      <c r="BK241" s="138" t="str">
        <f>IF(IFERROR(VLOOKUP(J241,'[63]ТР нефть'!$J$28:$BP$638,54,0),"-")=0,"-",IFERROR(VLOOKUP(J241,'[63]ТР нефть'!$J$28:$BP$638,54,0),"-"))</f>
        <v>-</v>
      </c>
      <c r="BL241" s="138" t="str">
        <f>IF(IFERROR(VLOOKUP(J241,'[63]ТР нефть'!$J$28:$BP$638,55,0),"-")=0,"-",IFERROR(VLOOKUP(J241,'[63]ТР нефть'!$J$28:$BP$638,55,0),"-"))</f>
        <v>-</v>
      </c>
      <c r="BM241" s="138" t="str">
        <f>IF(IFERROR(VLOOKUP(J241,'[63]ТР нефть'!$J$28:$BP$638,56,0),"-")=0,"-",IFERROR(VLOOKUP(J241,'[63]ТР нефть'!$J$28:$BP$638,56,0),"-"))</f>
        <v>-</v>
      </c>
      <c r="BN241" s="138" t="str">
        <f>IF(IFERROR(VLOOKUP(J241,'[63]ТР нефть'!$J$28:$BP$638,57,0),"-")=0,"-",IFERROR(VLOOKUP(J241,'[63]ТР нефть'!$J$28:$BP$638,57,0),"-"))</f>
        <v>-</v>
      </c>
      <c r="BO241" s="115" t="str">
        <f>IF(IFERROR(VLOOKUP(J241,'[63]ТР нефть'!$J$28:$BP$638,58,0),"-")=0,"-",IFERROR(VLOOKUP(J241,'[63]ТР нефть'!$J$28:$BP$638,58,0),"-"))</f>
        <v>-</v>
      </c>
      <c r="BP241" s="115" t="str">
        <f>IF(IFERROR(VLOOKUP(J241,'[63]ТР нефть'!$J$28:$BP$638,59,0),"-")=0,"-",IFERROR(VLOOKUP(J241,'[63]ТР нефть'!$J$28:$BP$638,59,0),"-"))</f>
        <v>-</v>
      </c>
      <c r="BQ241" s="138">
        <v>2355</v>
      </c>
      <c r="BR241" s="128">
        <v>1784.3</v>
      </c>
      <c r="BS241" s="115">
        <f t="shared" si="164"/>
        <v>570.70000000000005</v>
      </c>
      <c r="BT241" s="128">
        <v>73</v>
      </c>
      <c r="BU241" s="128">
        <v>5.5</v>
      </c>
      <c r="BV241" s="127">
        <v>18</v>
      </c>
      <c r="BW241" s="127" t="s">
        <v>217</v>
      </c>
      <c r="BX241" s="127" t="s">
        <v>195</v>
      </c>
      <c r="BY241" s="139">
        <v>24</v>
      </c>
      <c r="BZ241" s="139">
        <v>0</v>
      </c>
      <c r="CA241" s="80">
        <v>25</v>
      </c>
      <c r="CB241" s="138">
        <v>40</v>
      </c>
      <c r="CC241" s="138">
        <v>24</v>
      </c>
      <c r="CD241" s="135">
        <v>45017</v>
      </c>
      <c r="CE241" s="138">
        <v>72</v>
      </c>
      <c r="CF241" s="138">
        <v>76</v>
      </c>
      <c r="CG241" s="138" t="str">
        <f t="shared" si="153"/>
        <v>В работе</v>
      </c>
      <c r="CH241" s="138" t="s">
        <v>196</v>
      </c>
      <c r="CI241" s="127">
        <v>5</v>
      </c>
      <c r="CJ241" s="138"/>
      <c r="CK241" s="138">
        <f t="shared" si="157"/>
        <v>24</v>
      </c>
      <c r="CL241" s="99"/>
      <c r="CM241" s="99"/>
      <c r="CN241" s="140">
        <v>49</v>
      </c>
      <c r="CO241" s="141">
        <f t="shared" si="165"/>
        <v>4.8840791999999995</v>
      </c>
      <c r="CP241" s="142">
        <v>6</v>
      </c>
      <c r="CQ241" s="143">
        <v>2.63</v>
      </c>
      <c r="CR241" s="138">
        <v>19</v>
      </c>
      <c r="CS241" s="139">
        <v>7</v>
      </c>
      <c r="CT241" s="138"/>
      <c r="CU241" s="138">
        <f t="shared" si="188"/>
        <v>12</v>
      </c>
      <c r="CV241" s="115">
        <f t="shared" si="189"/>
        <v>2456.9626143654677</v>
      </c>
      <c r="CW241" s="115">
        <f t="shared" si="166"/>
        <v>1381.5394280695184</v>
      </c>
      <c r="CX241" s="133">
        <f t="shared" si="190"/>
        <v>0.2608695652173913</v>
      </c>
      <c r="CY241" s="116"/>
      <c r="CZ241" s="131"/>
      <c r="DA241" s="145" t="str">
        <f t="shared" si="167"/>
        <v>Газлифт</v>
      </c>
      <c r="DB241" s="146">
        <f t="shared" si="168"/>
        <v>4.8840791999999995</v>
      </c>
      <c r="DC241" s="142">
        <f t="shared" si="151"/>
        <v>6</v>
      </c>
      <c r="DD241" s="119">
        <f t="shared" si="152"/>
        <v>2.63</v>
      </c>
      <c r="DE241" s="115">
        <f t="shared" si="169"/>
        <v>12</v>
      </c>
      <c r="DF241" s="121">
        <f t="shared" si="170"/>
        <v>7</v>
      </c>
      <c r="DG241" s="115">
        <f t="shared" si="171"/>
        <v>2456.9626143654677</v>
      </c>
      <c r="DH241" s="115">
        <f t="shared" si="172"/>
        <v>49</v>
      </c>
      <c r="DI241" s="147"/>
      <c r="DJ241" s="111" t="s">
        <v>197</v>
      </c>
      <c r="DK241" s="112">
        <v>43019</v>
      </c>
      <c r="DL241" s="113">
        <f t="shared" ca="1" si="192"/>
        <v>2085</v>
      </c>
      <c r="DM241" s="114"/>
      <c r="DN241" s="114"/>
      <c r="DO241" s="114"/>
      <c r="DP241" s="114"/>
      <c r="DQ241" s="112">
        <v>42836</v>
      </c>
      <c r="DR241" s="114" t="s">
        <v>198</v>
      </c>
      <c r="DS241" s="114"/>
      <c r="DT241" s="115">
        <v>48</v>
      </c>
      <c r="DU241" s="116">
        <f t="shared" si="193"/>
        <v>0.25899280575539568</v>
      </c>
      <c r="DV241" s="117">
        <f t="shared" si="194"/>
        <v>5.0597655021582728</v>
      </c>
      <c r="DW241" s="118">
        <f t="shared" si="195"/>
        <v>6.2158273381294959</v>
      </c>
      <c r="DX241" s="119">
        <f t="shared" si="173"/>
        <v>2.63</v>
      </c>
      <c r="DY241" s="115">
        <f t="shared" si="196"/>
        <v>12.431654676258994</v>
      </c>
      <c r="DZ241" s="117">
        <f t="shared" si="197"/>
        <v>0.1756863021582733</v>
      </c>
      <c r="EA241" s="120">
        <f t="shared" si="197"/>
        <v>0.21582733812949595</v>
      </c>
      <c r="EB241" s="119">
        <f t="shared" si="197"/>
        <v>0</v>
      </c>
      <c r="EC241" s="121">
        <f t="shared" si="198"/>
        <v>0.43165467625899367</v>
      </c>
      <c r="ED241" s="122"/>
      <c r="EE241" s="145">
        <v>18</v>
      </c>
      <c r="EF241" s="148">
        <v>25</v>
      </c>
      <c r="EG241" s="115">
        <v>40</v>
      </c>
      <c r="EH241" s="115">
        <v>24</v>
      </c>
      <c r="EI241" s="128" t="s">
        <v>195</v>
      </c>
      <c r="EJ241" s="121">
        <v>24</v>
      </c>
      <c r="EK241" s="121">
        <v>0</v>
      </c>
      <c r="EL241" s="149">
        <v>5.0989786847999996</v>
      </c>
      <c r="EM241" s="142">
        <v>6.2640000000000002</v>
      </c>
      <c r="EN241" s="119">
        <v>2.63</v>
      </c>
      <c r="EO241" s="115">
        <v>18.609000000000002</v>
      </c>
      <c r="EP241" s="115">
        <v>2232.8000769916071</v>
      </c>
      <c r="EQ241" s="115">
        <v>76</v>
      </c>
      <c r="ER241" s="115">
        <v>7.2240000000000002</v>
      </c>
      <c r="ES241" s="115">
        <v>49</v>
      </c>
      <c r="ET241" s="150">
        <v>0.27234782608695651</v>
      </c>
      <c r="EU241" s="145">
        <f t="shared" si="174"/>
        <v>18</v>
      </c>
      <c r="EV241" s="115">
        <f t="shared" si="175"/>
        <v>25</v>
      </c>
      <c r="EW241" s="115">
        <f t="shared" si="175"/>
        <v>40</v>
      </c>
      <c r="EX241" s="115">
        <f t="shared" si="175"/>
        <v>24</v>
      </c>
      <c r="EY241" s="115" t="str">
        <f t="shared" si="156"/>
        <v>Постоянный</v>
      </c>
      <c r="EZ241" s="115">
        <f t="shared" si="156"/>
        <v>24</v>
      </c>
      <c r="FA241" s="115">
        <f t="shared" si="156"/>
        <v>0</v>
      </c>
      <c r="FB241" s="149">
        <f t="shared" si="176"/>
        <v>4.8840791999999995</v>
      </c>
      <c r="FC241" s="142">
        <f t="shared" si="176"/>
        <v>6</v>
      </c>
      <c r="FD241" s="119">
        <f t="shared" si="176"/>
        <v>2.63</v>
      </c>
      <c r="FE241" s="121">
        <f t="shared" si="176"/>
        <v>19</v>
      </c>
      <c r="FF241" s="121">
        <f t="shared" si="199"/>
        <v>2456.9626143654677</v>
      </c>
      <c r="FG241" s="121">
        <f t="shared" si="177"/>
        <v>76</v>
      </c>
      <c r="FH241" s="121">
        <f t="shared" si="200"/>
        <v>7</v>
      </c>
      <c r="FI241" s="121">
        <f t="shared" si="154"/>
        <v>49</v>
      </c>
      <c r="FJ241" s="144">
        <f t="shared" si="178"/>
        <v>0.2608695652173913</v>
      </c>
      <c r="FK241" s="132">
        <f t="shared" si="179"/>
        <v>0</v>
      </c>
      <c r="FL241" s="115">
        <f t="shared" si="179"/>
        <v>0</v>
      </c>
      <c r="FM241" s="115">
        <f t="shared" si="179"/>
        <v>0</v>
      </c>
      <c r="FN241" s="115">
        <f t="shared" si="162"/>
        <v>0</v>
      </c>
      <c r="FO241" s="115">
        <f t="shared" si="150"/>
        <v>0</v>
      </c>
      <c r="FP241" s="115">
        <f t="shared" si="150"/>
        <v>0</v>
      </c>
      <c r="FQ241" s="149">
        <f t="shared" si="150"/>
        <v>-0.2148994848000001</v>
      </c>
      <c r="FR241" s="142">
        <f t="shared" si="148"/>
        <v>-0.26400000000000023</v>
      </c>
      <c r="FS241" s="119">
        <f t="shared" si="148"/>
        <v>0</v>
      </c>
      <c r="FT241" s="121">
        <f t="shared" si="148"/>
        <v>0.39099999999999824</v>
      </c>
      <c r="FU241" s="121">
        <f t="shared" si="180"/>
        <v>0</v>
      </c>
      <c r="FV241" s="121">
        <f t="shared" si="180"/>
        <v>-0.2240000000000002</v>
      </c>
      <c r="FW241" s="121">
        <f t="shared" si="181"/>
        <v>224.16253737386069</v>
      </c>
      <c r="FX241" s="121">
        <f t="shared" si="182"/>
        <v>0</v>
      </c>
      <c r="FY241" s="144">
        <f t="shared" si="182"/>
        <v>-1.1478260869565216E-2</v>
      </c>
      <c r="FZ241" s="145"/>
      <c r="GA241" s="151"/>
      <c r="GB241" s="145"/>
      <c r="GC241" s="151" t="s">
        <v>1112</v>
      </c>
      <c r="GD241" s="997" t="s">
        <v>220</v>
      </c>
      <c r="GE241" s="1004"/>
      <c r="GF241" s="1004">
        <v>0</v>
      </c>
      <c r="GG241" s="1004"/>
      <c r="GH241" s="1004">
        <v>0</v>
      </c>
      <c r="GI241" s="145"/>
      <c r="GJ241" s="996">
        <v>0</v>
      </c>
      <c r="GK241" s="145"/>
      <c r="GL241" s="996">
        <v>0</v>
      </c>
      <c r="GM241" s="1005"/>
      <c r="GN241" s="996">
        <v>0</v>
      </c>
      <c r="GO241" s="1006"/>
      <c r="GP241" s="996">
        <v>0.29359483999999991</v>
      </c>
      <c r="GQ241" s="1006"/>
      <c r="GR241" s="996">
        <v>0</v>
      </c>
      <c r="GS241" s="1006" t="s">
        <v>199</v>
      </c>
      <c r="GT241" s="996">
        <v>3.2366576000000009</v>
      </c>
      <c r="GU241" s="1006" t="s">
        <v>199</v>
      </c>
      <c r="GV241" s="996">
        <v>-1.2269135999999996</v>
      </c>
      <c r="GW241" s="1006" t="s">
        <v>199</v>
      </c>
      <c r="GX241" s="1036">
        <v>1.3470467999999993</v>
      </c>
      <c r="GY241" s="1006"/>
      <c r="GZ241" s="996">
        <v>-0.16327080000000027</v>
      </c>
      <c r="HA241" s="1006"/>
      <c r="HB241" s="996">
        <v>0</v>
      </c>
      <c r="HC241" s="1006"/>
      <c r="HD241" s="996">
        <v>0</v>
      </c>
      <c r="HE241" s="1006"/>
      <c r="HF241" s="996">
        <v>0</v>
      </c>
      <c r="HG241" s="1006"/>
      <c r="HH241" s="996">
        <v>0.81635400000000047</v>
      </c>
      <c r="HI241" s="1006"/>
      <c r="HJ241" s="996">
        <v>0</v>
      </c>
      <c r="HK241" s="1006"/>
      <c r="HL241" s="996">
        <v>0</v>
      </c>
      <c r="HM241" s="1006"/>
      <c r="HN241" s="996">
        <v>0</v>
      </c>
      <c r="HO241" s="1006" t="s">
        <v>199</v>
      </c>
      <c r="HP241" s="996">
        <v>1.3982099999999997</v>
      </c>
      <c r="HQ241" s="1006"/>
      <c r="HR241" s="996">
        <v>0</v>
      </c>
      <c r="HS241" s="1006"/>
      <c r="HT241" s="996">
        <v>-0.66043999999999992</v>
      </c>
      <c r="HU241" s="1006"/>
      <c r="HV241" s="996">
        <v>0</v>
      </c>
      <c r="HW241" s="1006" t="s">
        <v>199</v>
      </c>
      <c r="HX241" s="996">
        <v>-3.3439999999999999</v>
      </c>
      <c r="HY241" s="1006" t="s">
        <v>199</v>
      </c>
      <c r="HZ241" s="996">
        <v>-2.3568512000000004</v>
      </c>
      <c r="IA241" s="1006" t="s">
        <v>199</v>
      </c>
      <c r="IB241" s="996">
        <v>3.6429118000000003</v>
      </c>
      <c r="IC241" s="1006"/>
      <c r="ID241" s="996">
        <v>0</v>
      </c>
      <c r="IE241" s="1006"/>
      <c r="IF241" s="996">
        <v>0</v>
      </c>
      <c r="IG241" s="1006"/>
      <c r="IH241" s="996">
        <v>0</v>
      </c>
      <c r="II241" s="1006"/>
      <c r="IJ241" s="996">
        <v>0</v>
      </c>
      <c r="IK241" s="1006"/>
      <c r="IL241" s="996">
        <v>0</v>
      </c>
      <c r="IM241" s="1006" t="s">
        <v>204</v>
      </c>
      <c r="IN241" s="996">
        <v>-1.1723645999999999</v>
      </c>
      <c r="IO241" s="1006" t="s">
        <v>199</v>
      </c>
      <c r="IP241" s="996">
        <v>-2.2814440000000005</v>
      </c>
      <c r="IQ241" s="1006"/>
      <c r="IR241" s="996">
        <v>0.91040400000000066</v>
      </c>
      <c r="IS241" s="1006" t="s">
        <v>204</v>
      </c>
      <c r="IT241" s="996">
        <v>-7.1026560000000005</v>
      </c>
      <c r="IU241" s="1006"/>
      <c r="IV241" s="996">
        <v>0</v>
      </c>
      <c r="IW241" s="1006" t="s">
        <v>204</v>
      </c>
      <c r="IX241" s="996">
        <v>5.016</v>
      </c>
      <c r="IY241" s="1006"/>
      <c r="IZ241" s="996">
        <v>0</v>
      </c>
      <c r="JA241" s="1006"/>
      <c r="JB241" s="996">
        <v>0</v>
      </c>
      <c r="JC241" s="1006" t="s">
        <v>205</v>
      </c>
      <c r="JD241" s="996">
        <v>2.508</v>
      </c>
      <c r="JE241" s="1006"/>
      <c r="JF241" s="996">
        <v>0</v>
      </c>
      <c r="JG241" s="1006" t="s">
        <v>199</v>
      </c>
      <c r="JH241" s="996">
        <v>-2.508</v>
      </c>
      <c r="JI241" s="1006"/>
      <c r="JJ241" s="996">
        <v>0</v>
      </c>
      <c r="JK241" s="1007" t="s">
        <v>204</v>
      </c>
      <c r="JL241" s="1007">
        <v>-2.5079999999999991</v>
      </c>
      <c r="JM241" s="1007" t="s">
        <v>199</v>
      </c>
      <c r="JN241" s="1007">
        <v>3.7619999999999987</v>
      </c>
      <c r="JO241" s="1008" t="s">
        <v>204</v>
      </c>
      <c r="JP241" s="1007">
        <v>-1.6916459999999987</v>
      </c>
      <c r="JQ241" s="1008" t="s">
        <v>199</v>
      </c>
      <c r="JR241" s="1007">
        <v>3.2754981599999997</v>
      </c>
      <c r="JS241" s="1008" t="s">
        <v>199</v>
      </c>
      <c r="JT241" s="1007">
        <v>-2.7977241599999996</v>
      </c>
      <c r="JU241" s="1008"/>
      <c r="JV241" s="1007">
        <v>0</v>
      </c>
      <c r="JW241" s="1008" t="s">
        <v>206</v>
      </c>
      <c r="JX241" s="1007">
        <v>-1.6653120000000001</v>
      </c>
      <c r="JY241" s="1008"/>
      <c r="JZ241" s="1007">
        <v>0</v>
      </c>
      <c r="KA241" s="1008"/>
      <c r="KB241" s="1007">
        <v>0</v>
      </c>
      <c r="KC241" s="1008" t="s">
        <v>207</v>
      </c>
      <c r="KD241" s="1007">
        <v>-3.3306240000000003</v>
      </c>
      <c r="KE241" s="1008" t="s">
        <v>204</v>
      </c>
      <c r="KF241" s="1007">
        <v>0.83265600000000184</v>
      </c>
      <c r="KG241" s="1008"/>
      <c r="KH241" s="1007">
        <v>0</v>
      </c>
      <c r="KI241" s="1008" t="s">
        <v>206</v>
      </c>
      <c r="KJ241" s="1007">
        <v>0</v>
      </c>
      <c r="KK241" s="1008"/>
      <c r="KL241" s="1007">
        <v>0</v>
      </c>
      <c r="KM241" s="1008"/>
      <c r="KN241" s="1007">
        <v>0</v>
      </c>
      <c r="KO241" s="1008"/>
      <c r="KP241" s="1007">
        <v>0</v>
      </c>
      <c r="KQ241" s="1008">
        <v>0</v>
      </c>
      <c r="KR241" s="1007">
        <v>0</v>
      </c>
      <c r="KS241" s="1008" t="s">
        <v>207</v>
      </c>
      <c r="KT241" s="1007">
        <v>4.1632799999999985</v>
      </c>
      <c r="KU241" s="1008" t="s">
        <v>206</v>
      </c>
      <c r="KV241" s="1007">
        <v>3.5804207999999988</v>
      </c>
      <c r="KW241" s="1008" t="s">
        <v>204</v>
      </c>
      <c r="KX241" s="1007">
        <v>2.2481711999999998</v>
      </c>
      <c r="KY241" s="1008" t="s">
        <v>206</v>
      </c>
      <c r="KZ241" s="1007">
        <v>-5.8285919999999987</v>
      </c>
      <c r="LA241" s="1008">
        <v>0</v>
      </c>
      <c r="LB241" s="1007">
        <v>0</v>
      </c>
      <c r="LC241" s="1008" t="s">
        <v>206</v>
      </c>
      <c r="LD241" s="1007">
        <v>-3.3306240000000003</v>
      </c>
      <c r="LE241" s="1008" t="s">
        <v>206</v>
      </c>
      <c r="LF241" s="1007">
        <v>3.3306240000000003</v>
      </c>
      <c r="LG241" s="1008" t="s">
        <v>206</v>
      </c>
      <c r="LH241" s="1007">
        <v>6.6612479999999987</v>
      </c>
      <c r="LI241" s="1008">
        <v>0</v>
      </c>
      <c r="LJ241" s="1007">
        <v>0</v>
      </c>
      <c r="LK241" s="1008">
        <v>0</v>
      </c>
      <c r="LL241" s="1007">
        <v>0</v>
      </c>
      <c r="LM241" s="1008" t="s">
        <v>203</v>
      </c>
      <c r="LN241" s="1007">
        <v>-0.83599999999999997</v>
      </c>
      <c r="LO241" s="1008">
        <v>0</v>
      </c>
      <c r="LP241" s="1007">
        <v>0</v>
      </c>
      <c r="LQ241" s="1008" t="s">
        <v>203</v>
      </c>
      <c r="LR241" s="1007">
        <v>-3.1199519999999996</v>
      </c>
      <c r="LS241" s="1008">
        <v>0</v>
      </c>
      <c r="LT241" s="1007">
        <v>0</v>
      </c>
      <c r="LU241" s="1008">
        <v>0</v>
      </c>
      <c r="LV241" s="1007">
        <v>0</v>
      </c>
      <c r="LW241" s="1008" t="s">
        <v>25</v>
      </c>
      <c r="LX241" s="1007">
        <v>4.9859400000000003</v>
      </c>
      <c r="LY241" s="1009">
        <v>0</v>
      </c>
      <c r="LZ241" s="1010">
        <v>0</v>
      </c>
      <c r="MA241" s="1011" t="s">
        <v>206</v>
      </c>
      <c r="MB241" s="1012">
        <v>-1.82792</v>
      </c>
      <c r="MC241" s="995"/>
      <c r="MD241" s="996"/>
      <c r="ME241" s="997" t="s">
        <v>220</v>
      </c>
      <c r="MF241" s="997"/>
      <c r="MG241" s="998"/>
      <c r="NR241" s="1000"/>
      <c r="NS241" s="1000"/>
      <c r="NT241" s="1001"/>
      <c r="NU241" s="1000"/>
      <c r="NV241" s="1001"/>
      <c r="NX241" s="1002"/>
      <c r="NZ241" s="1001"/>
      <c r="OA241" s="1001"/>
      <c r="OC241" s="1003"/>
      <c r="OD241" s="1003"/>
      <c r="OE241" s="1001"/>
      <c r="OF241" s="1003"/>
      <c r="OG241" s="1003"/>
      <c r="OH241" s="1003"/>
      <c r="OI241" s="1016"/>
      <c r="QX241" s="1000">
        <f>CN241-CA241</f>
        <v>24</v>
      </c>
      <c r="ASU241" s="999" t="s">
        <v>208</v>
      </c>
    </row>
    <row r="242" spans="1:466 1191:1191" ht="21" customHeight="1" x14ac:dyDescent="0.25">
      <c r="A242" s="982" t="str">
        <f t="shared" si="163"/>
        <v>1131-1</v>
      </c>
      <c r="B242" s="124">
        <f>SUBTOTAL(103,$J$29:J242)</f>
        <v>214</v>
      </c>
      <c r="C242" s="126">
        <v>45068</v>
      </c>
      <c r="D242" s="124" t="s">
        <v>176</v>
      </c>
      <c r="E242" s="127" t="s">
        <v>177</v>
      </c>
      <c r="F242" s="128" t="s">
        <v>177</v>
      </c>
      <c r="G242" s="127" t="s">
        <v>178</v>
      </c>
      <c r="H242" s="127" t="s">
        <v>179</v>
      </c>
      <c r="I242" s="127" t="s">
        <v>1010</v>
      </c>
      <c r="J242" s="152" t="s">
        <v>1113</v>
      </c>
      <c r="K242" s="127" t="s">
        <v>1010</v>
      </c>
      <c r="L242" s="130">
        <v>41757</v>
      </c>
      <c r="M242" s="127" t="s">
        <v>230</v>
      </c>
      <c r="N242" s="127" t="s">
        <v>184</v>
      </c>
      <c r="O242" s="127" t="s">
        <v>185</v>
      </c>
      <c r="P242" s="127" t="s">
        <v>186</v>
      </c>
      <c r="Q242" s="85" t="str">
        <f t="shared" si="187"/>
        <v/>
      </c>
      <c r="R242" s="130"/>
      <c r="S242" s="128"/>
      <c r="T242" s="131"/>
      <c r="U242" s="132">
        <v>203</v>
      </c>
      <c r="V242" s="121">
        <v>218.2</v>
      </c>
      <c r="W242" s="116">
        <v>0.98</v>
      </c>
      <c r="X242" s="116">
        <v>1.66</v>
      </c>
      <c r="Y242" s="116">
        <f t="shared" si="191"/>
        <v>0.99632533072023521</v>
      </c>
      <c r="Z242" s="133">
        <v>1.454</v>
      </c>
      <c r="AA242" s="133">
        <v>0.83599999999999997</v>
      </c>
      <c r="AB242" s="133">
        <v>0.72</v>
      </c>
      <c r="AC242" s="121">
        <v>34.299999999999997</v>
      </c>
      <c r="AD242" s="134">
        <v>1.17</v>
      </c>
      <c r="AE242" s="124">
        <v>177.8</v>
      </c>
      <c r="AF242" s="128">
        <v>9.19</v>
      </c>
      <c r="AG242" s="128">
        <v>2114</v>
      </c>
      <c r="AH242" s="127">
        <v>2900</v>
      </c>
      <c r="AI242" s="127">
        <v>2900</v>
      </c>
      <c r="AJ242" s="135"/>
      <c r="AK242" s="128"/>
      <c r="AL242" s="131"/>
      <c r="AM242" s="124" t="s">
        <v>232</v>
      </c>
      <c r="AN242" s="136" t="s">
        <v>1114</v>
      </c>
      <c r="AO242" s="137">
        <v>17</v>
      </c>
      <c r="AP242" s="128">
        <v>2114</v>
      </c>
      <c r="AQ242" s="128">
        <v>278.43</v>
      </c>
      <c r="AR242" s="128"/>
      <c r="AS242" s="128"/>
      <c r="AT242" s="122"/>
      <c r="AU242" s="124" t="s">
        <v>189</v>
      </c>
      <c r="AV242" s="115">
        <f>VLOOKUP(J242,'[63]ТР нефть'!$J$28:$BP$638,39,0)</f>
        <v>543.00000937499999</v>
      </c>
      <c r="AW242" s="115" t="str">
        <f>VLOOKUP(J242,'[63]ТР нефть'!$J$28:$BP$638,40,0)</f>
        <v>ГП</v>
      </c>
      <c r="AX242" s="115">
        <f>VLOOKUP(J242,'[63]ТР нефть'!$J$28:$BP$638,41,0)</f>
        <v>1109.999967773</v>
      </c>
      <c r="AY242" s="115" t="str">
        <f>VLOOKUP(J242,'[63]ТР нефть'!$J$28:$BP$638,42,0)</f>
        <v>ГП</v>
      </c>
      <c r="AZ242" s="115">
        <f>VLOOKUP(J242,'[63]ТР нефть'!$J$28:$BP$638,43,0)</f>
        <v>1636.0000101559999</v>
      </c>
      <c r="BA242" s="115" t="str">
        <f>VLOOKUP(J242,'[63]ТР нефть'!$J$28:$BP$638,44,0)</f>
        <v>ГК 85 1/8</v>
      </c>
      <c r="BB242" s="115">
        <f>VLOOKUP(J242,'[63]ТР нефть'!$J$28:$BP$638,45,0)</f>
        <v>1972.0000406250001</v>
      </c>
      <c r="BC242" s="115" t="str">
        <f>VLOOKUP(J242,'[63]ТР нефть'!$J$28:$BP$638,46,0)</f>
        <v>ЦКсОК 51/6</v>
      </c>
      <c r="BD242" s="115" t="str">
        <f>VLOOKUP(J242,'[63]ТР нефть'!$J$28:$BP$638,47,0)</f>
        <v>-</v>
      </c>
      <c r="BE242" s="115" t="str">
        <f>VLOOKUP(J242,'[63]ТР нефть'!$J$28:$BP$638,48,0)</f>
        <v>-</v>
      </c>
      <c r="BF242" s="115" t="str">
        <f>VLOOKUP(J242,'[63]ТР нефть'!$J$28:$BP$638,49,0)</f>
        <v>-</v>
      </c>
      <c r="BG242" s="115" t="str">
        <f>VLOOKUP(J242,'[63]ТР нефть'!$J$28:$BP$638,50,0)</f>
        <v>-</v>
      </c>
      <c r="BH242" s="115">
        <f>VLOOKUP(J242,'[63]ТР нефть'!$J$28:$BP$638,51,0)</f>
        <v>1982</v>
      </c>
      <c r="BI242" s="115" t="str">
        <f>VLOOKUP(J242,'[63]ТР нефть'!$J$28:$BP$638,52,0)</f>
        <v>закрыт</v>
      </c>
      <c r="BJ242" s="115" t="str">
        <f>IF(IFERROR(VLOOKUP(J242,'[63]ТР нефть'!$J$28:$BP$638,53,0),"-")=0,"-",IFERROR(VLOOKUP(J242,'[63]ТР нефть'!$J$28:$BP$638,53,0),"-"))</f>
        <v>-</v>
      </c>
      <c r="BK242" s="138" t="str">
        <f>IF(IFERROR(VLOOKUP(J242,'[63]ТР нефть'!$J$28:$BP$638,54,0),"-")=0,"-",IFERROR(VLOOKUP(J242,'[63]ТР нефть'!$J$28:$BP$638,54,0),"-"))</f>
        <v>-</v>
      </c>
      <c r="BL242" s="138" t="str">
        <f>IF(IFERROR(VLOOKUP(J242,'[63]ТР нефть'!$J$28:$BP$638,55,0),"-")=0,"-",IFERROR(VLOOKUP(J242,'[63]ТР нефть'!$J$28:$BP$638,55,0),"-"))</f>
        <v>-</v>
      </c>
      <c r="BM242" s="138" t="str">
        <f>IF(IFERROR(VLOOKUP(J242,'[63]ТР нефть'!$J$28:$BP$638,56,0),"-")=0,"-",IFERROR(VLOOKUP(J242,'[63]ТР нефть'!$J$28:$BP$638,56,0),"-"))</f>
        <v>-</v>
      </c>
      <c r="BN242" s="138" t="str">
        <f>IF(IFERROR(VLOOKUP(J242,'[63]ТР нефть'!$J$28:$BP$638,57,0),"-")=0,"-",IFERROR(VLOOKUP(J242,'[63]ТР нефть'!$J$28:$BP$638,57,0),"-"))</f>
        <v>-</v>
      </c>
      <c r="BO242" s="115" t="str">
        <f>IF(IFERROR(VLOOKUP(J242,'[63]ТР нефть'!$J$28:$BP$638,58,0),"-")=0,"-",IFERROR(VLOOKUP(J242,'[63]ТР нефть'!$J$28:$BP$638,58,0),"-"))</f>
        <v>-</v>
      </c>
      <c r="BP242" s="115" t="str">
        <f>IF(IFERROR(VLOOKUP(J242,'[63]ТР нефть'!$J$28:$BP$638,59,0),"-")=0,"-",IFERROR(VLOOKUP(J242,'[63]ТР нефть'!$J$28:$BP$638,59,0),"-"))</f>
        <v>-</v>
      </c>
      <c r="BQ242" s="138">
        <v>2154</v>
      </c>
      <c r="BR242" s="128">
        <v>1682.53</v>
      </c>
      <c r="BS242" s="115">
        <f t="shared" si="164"/>
        <v>471.47</v>
      </c>
      <c r="BT242" s="128">
        <v>73</v>
      </c>
      <c r="BU242" s="128">
        <v>5.5</v>
      </c>
      <c r="BV242" s="127">
        <v>18</v>
      </c>
      <c r="BW242" s="127" t="s">
        <v>217</v>
      </c>
      <c r="BX242" s="127" t="s">
        <v>195</v>
      </c>
      <c r="BY242" s="139">
        <v>24</v>
      </c>
      <c r="BZ242" s="139">
        <v>0</v>
      </c>
      <c r="CA242" s="138">
        <v>23</v>
      </c>
      <c r="CB242" s="138">
        <v>41</v>
      </c>
      <c r="CC242" s="138">
        <v>22</v>
      </c>
      <c r="CD242" s="135">
        <v>45017</v>
      </c>
      <c r="CE242" s="138">
        <v>118</v>
      </c>
      <c r="CF242" s="138">
        <v>78</v>
      </c>
      <c r="CG242" s="138" t="str">
        <f t="shared" si="153"/>
        <v>В работе</v>
      </c>
      <c r="CH242" s="138" t="s">
        <v>235</v>
      </c>
      <c r="CI242" s="138">
        <v>5</v>
      </c>
      <c r="CJ242" s="139"/>
      <c r="CK242" s="139">
        <f t="shared" si="157"/>
        <v>20</v>
      </c>
      <c r="CL242" s="99"/>
      <c r="CM242" s="99"/>
      <c r="CN242" s="140">
        <v>43</v>
      </c>
      <c r="CO242" s="141">
        <f t="shared" si="165"/>
        <v>4.0127999999999995</v>
      </c>
      <c r="CP242" s="142">
        <v>5</v>
      </c>
      <c r="CQ242" s="143">
        <v>4</v>
      </c>
      <c r="CR242" s="138">
        <v>15.8</v>
      </c>
      <c r="CS242" s="139">
        <v>9.6</v>
      </c>
      <c r="CT242" s="138"/>
      <c r="CU242" s="138">
        <f t="shared" si="188"/>
        <v>6.2000000000000011</v>
      </c>
      <c r="CV242" s="115">
        <f t="shared" si="189"/>
        <v>1545.0558213716113</v>
      </c>
      <c r="CW242" s="115">
        <f t="shared" si="166"/>
        <v>2261.8037885213462</v>
      </c>
      <c r="CX242" s="133">
        <f t="shared" si="190"/>
        <v>6.6666666666666666E-2</v>
      </c>
      <c r="CY242" s="116"/>
      <c r="CZ242" s="131"/>
      <c r="DA242" s="145" t="str">
        <f t="shared" si="167"/>
        <v>Газлифт</v>
      </c>
      <c r="DB242" s="146">
        <f t="shared" si="168"/>
        <v>4.0127999999999995</v>
      </c>
      <c r="DC242" s="142">
        <f t="shared" si="151"/>
        <v>5</v>
      </c>
      <c r="DD242" s="119">
        <f t="shared" si="152"/>
        <v>4</v>
      </c>
      <c r="DE242" s="115">
        <f t="shared" si="169"/>
        <v>6.2000000000000011</v>
      </c>
      <c r="DF242" s="121">
        <f t="shared" si="170"/>
        <v>9.6</v>
      </c>
      <c r="DG242" s="115">
        <f t="shared" si="171"/>
        <v>1545.0558213716113</v>
      </c>
      <c r="DH242" s="115">
        <f t="shared" si="172"/>
        <v>43</v>
      </c>
      <c r="DI242" s="147"/>
      <c r="DJ242" s="111" t="s">
        <v>197</v>
      </c>
      <c r="DK242" s="112">
        <v>43989</v>
      </c>
      <c r="DL242" s="113">
        <f t="shared" ca="1" si="192"/>
        <v>1115</v>
      </c>
      <c r="DM242" s="114"/>
      <c r="DN242" s="114"/>
      <c r="DO242" s="114"/>
      <c r="DP242" s="114"/>
      <c r="DQ242" s="112">
        <v>42597</v>
      </c>
      <c r="DR242" s="114" t="s">
        <v>282</v>
      </c>
      <c r="DS242" s="114" t="s">
        <v>900</v>
      </c>
      <c r="DT242" s="115">
        <v>55</v>
      </c>
      <c r="DU242" s="116">
        <f t="shared" si="193"/>
        <v>7.9365079365079361E-2</v>
      </c>
      <c r="DV242" s="117">
        <f t="shared" si="194"/>
        <v>4.0127999999999995</v>
      </c>
      <c r="DW242" s="118">
        <f t="shared" si="195"/>
        <v>5</v>
      </c>
      <c r="DX242" s="119">
        <f t="shared" si="173"/>
        <v>4</v>
      </c>
      <c r="DY242" s="115">
        <f t="shared" si="196"/>
        <v>6.2000000000000011</v>
      </c>
      <c r="DZ242" s="117">
        <f t="shared" si="197"/>
        <v>0</v>
      </c>
      <c r="EA242" s="120">
        <f t="shared" si="197"/>
        <v>0</v>
      </c>
      <c r="EB242" s="119">
        <f t="shared" si="197"/>
        <v>0</v>
      </c>
      <c r="EC242" s="121">
        <f t="shared" si="198"/>
        <v>0</v>
      </c>
      <c r="ED242" s="122"/>
      <c r="EE242" s="145">
        <v>18</v>
      </c>
      <c r="EF242" s="115">
        <v>24</v>
      </c>
      <c r="EG242" s="115">
        <v>42</v>
      </c>
      <c r="EH242" s="115">
        <v>23</v>
      </c>
      <c r="EI242" s="128" t="s">
        <v>195</v>
      </c>
      <c r="EJ242" s="121">
        <v>24</v>
      </c>
      <c r="EK242" s="121">
        <v>0</v>
      </c>
      <c r="EL242" s="149">
        <v>4.0127999999999995</v>
      </c>
      <c r="EM242" s="142">
        <v>5</v>
      </c>
      <c r="EN242" s="119">
        <v>4</v>
      </c>
      <c r="EO242" s="115">
        <v>15.8</v>
      </c>
      <c r="EP242" s="115">
        <v>1545.0558213716113</v>
      </c>
      <c r="EQ242" s="115">
        <v>78</v>
      </c>
      <c r="ER242" s="115">
        <v>9.6</v>
      </c>
      <c r="ES242" s="115">
        <v>50</v>
      </c>
      <c r="ET242" s="150">
        <v>7.6923076923076927E-2</v>
      </c>
      <c r="EU242" s="145">
        <f t="shared" si="174"/>
        <v>18</v>
      </c>
      <c r="EV242" s="115">
        <f t="shared" si="175"/>
        <v>23</v>
      </c>
      <c r="EW242" s="115">
        <f t="shared" si="175"/>
        <v>41</v>
      </c>
      <c r="EX242" s="115">
        <f t="shared" si="175"/>
        <v>22</v>
      </c>
      <c r="EY242" s="115" t="str">
        <f t="shared" si="156"/>
        <v>Постоянный</v>
      </c>
      <c r="EZ242" s="115">
        <f t="shared" si="156"/>
        <v>24</v>
      </c>
      <c r="FA242" s="115">
        <f t="shared" si="156"/>
        <v>0</v>
      </c>
      <c r="FB242" s="149">
        <f t="shared" si="176"/>
        <v>4.0127999999999995</v>
      </c>
      <c r="FC242" s="117">
        <f t="shared" si="176"/>
        <v>5</v>
      </c>
      <c r="FD242" s="119">
        <f t="shared" si="176"/>
        <v>4</v>
      </c>
      <c r="FE242" s="121">
        <f t="shared" si="176"/>
        <v>15.8</v>
      </c>
      <c r="FF242" s="121">
        <f t="shared" si="199"/>
        <v>1545.0558213716113</v>
      </c>
      <c r="FG242" s="121">
        <f t="shared" si="177"/>
        <v>78</v>
      </c>
      <c r="FH242" s="121">
        <f t="shared" si="200"/>
        <v>9.6</v>
      </c>
      <c r="FI242" s="121">
        <f t="shared" si="154"/>
        <v>43</v>
      </c>
      <c r="FJ242" s="144">
        <f t="shared" si="178"/>
        <v>6.6666666666666666E-2</v>
      </c>
      <c r="FK242" s="132">
        <f t="shared" si="179"/>
        <v>0</v>
      </c>
      <c r="FL242" s="115">
        <f t="shared" si="179"/>
        <v>-1</v>
      </c>
      <c r="FM242" s="115">
        <f t="shared" si="179"/>
        <v>-1</v>
      </c>
      <c r="FN242" s="115">
        <f t="shared" si="162"/>
        <v>-1</v>
      </c>
      <c r="FO242" s="115">
        <f t="shared" si="150"/>
        <v>0</v>
      </c>
      <c r="FP242" s="115">
        <f t="shared" si="150"/>
        <v>0</v>
      </c>
      <c r="FQ242" s="149">
        <f t="shared" si="150"/>
        <v>0</v>
      </c>
      <c r="FR242" s="142">
        <f t="shared" si="148"/>
        <v>0</v>
      </c>
      <c r="FS242" s="119">
        <f t="shared" si="148"/>
        <v>0</v>
      </c>
      <c r="FT242" s="121">
        <f t="shared" si="148"/>
        <v>0</v>
      </c>
      <c r="FU242" s="121">
        <f t="shared" si="180"/>
        <v>0</v>
      </c>
      <c r="FV242" s="121">
        <f t="shared" si="180"/>
        <v>0</v>
      </c>
      <c r="FW242" s="121">
        <f t="shared" si="181"/>
        <v>0</v>
      </c>
      <c r="FX242" s="121">
        <f t="shared" si="182"/>
        <v>-7</v>
      </c>
      <c r="FY242" s="144">
        <f t="shared" si="182"/>
        <v>-1.0256410256410262E-2</v>
      </c>
      <c r="FZ242" s="145"/>
      <c r="GA242" s="151"/>
      <c r="GB242" s="145" t="s">
        <v>199</v>
      </c>
      <c r="GC242" s="151" t="s">
        <v>415</v>
      </c>
      <c r="GD242" s="997" t="s">
        <v>220</v>
      </c>
      <c r="GE242" s="1004" t="s">
        <v>199</v>
      </c>
      <c r="GF242" s="1004">
        <v>-1.2424130399999997</v>
      </c>
      <c r="GG242" s="1004"/>
      <c r="GH242" s="1004">
        <v>0</v>
      </c>
      <c r="GI242" s="145"/>
      <c r="GJ242" s="996">
        <v>0</v>
      </c>
      <c r="GK242" s="145" t="s">
        <v>199</v>
      </c>
      <c r="GL242" s="996">
        <v>-0.55888773599999997</v>
      </c>
      <c r="GM242" s="1005"/>
      <c r="GN242" s="996">
        <v>0</v>
      </c>
      <c r="GO242" s="1006" t="s">
        <v>203</v>
      </c>
      <c r="GP242" s="996">
        <v>1.3088967759999992</v>
      </c>
      <c r="GQ242" s="1006" t="s">
        <v>203</v>
      </c>
      <c r="GR242" s="996">
        <v>-4.2727960000000005</v>
      </c>
      <c r="GS242" s="1006" t="s">
        <v>223</v>
      </c>
      <c r="GT242" s="996">
        <v>-1.1219999999999999</v>
      </c>
      <c r="GU242" s="1006"/>
      <c r="GV242" s="996">
        <v>0</v>
      </c>
      <c r="GW242" s="1006" t="s">
        <v>199</v>
      </c>
      <c r="GX242" s="1036">
        <v>2.4244000000000003</v>
      </c>
      <c r="GY242" s="1006" t="s">
        <v>199</v>
      </c>
      <c r="GZ242" s="996">
        <v>-1.1703999999999999</v>
      </c>
      <c r="HA242" s="1006" t="s">
        <v>199</v>
      </c>
      <c r="HB242" s="996">
        <v>-1.5884</v>
      </c>
      <c r="HC242" s="1006"/>
      <c r="HD242" s="996">
        <v>0</v>
      </c>
      <c r="HE242" s="1006"/>
      <c r="HF242" s="996">
        <v>0</v>
      </c>
      <c r="HG242" s="1006"/>
      <c r="HH242" s="996">
        <v>0.75239999999999974</v>
      </c>
      <c r="HI242" s="1006"/>
      <c r="HJ242" s="996">
        <v>4.9599999999999866E-2</v>
      </c>
      <c r="HK242" s="1006"/>
      <c r="HL242" s="996">
        <v>0</v>
      </c>
      <c r="HM242" s="1006"/>
      <c r="HN242" s="996">
        <v>0</v>
      </c>
      <c r="HO242" s="1006" t="s">
        <v>199</v>
      </c>
      <c r="HP242" s="996">
        <v>1.6720000000000002</v>
      </c>
      <c r="HQ242" s="1006"/>
      <c r="HR242" s="996">
        <v>0</v>
      </c>
      <c r="HS242" s="1006" t="s">
        <v>205</v>
      </c>
      <c r="HT242" s="996">
        <v>-6.6461999999999994</v>
      </c>
      <c r="HU242" s="1006" t="s">
        <v>203</v>
      </c>
      <c r="HV242" s="996">
        <v>-7.8463191311999987</v>
      </c>
      <c r="HW242" s="1006" t="s">
        <v>25</v>
      </c>
      <c r="HX242" s="996">
        <v>11.349159131199999</v>
      </c>
      <c r="HY242" s="1006" t="s">
        <v>199</v>
      </c>
      <c r="HZ242" s="996">
        <v>-11.403040000000001</v>
      </c>
      <c r="IA242" s="1006"/>
      <c r="IB242" s="996">
        <v>0.47484800000000149</v>
      </c>
      <c r="IC242" s="1006"/>
      <c r="ID242" s="996">
        <v>0</v>
      </c>
      <c r="IE242" s="1006" t="s">
        <v>204</v>
      </c>
      <c r="IF242" s="996">
        <v>6.020537599999999</v>
      </c>
      <c r="IG242" s="1006" t="s">
        <v>204</v>
      </c>
      <c r="IH242" s="996">
        <v>4.2046118400000001</v>
      </c>
      <c r="II242" s="1006"/>
      <c r="IJ242" s="996">
        <v>0</v>
      </c>
      <c r="IK242" s="1006" t="s">
        <v>199</v>
      </c>
      <c r="IL242" s="996">
        <v>-11.262056959999999</v>
      </c>
      <c r="IM242" s="1006"/>
      <c r="IN242" s="996">
        <v>0</v>
      </c>
      <c r="IO242" s="1006" t="s">
        <v>204</v>
      </c>
      <c r="IP242" s="996">
        <v>5.9275075199999971</v>
      </c>
      <c r="IQ242" s="1006"/>
      <c r="IR242" s="996">
        <v>0</v>
      </c>
      <c r="IS242" s="1006"/>
      <c r="IT242" s="996">
        <v>2.2115771392000019</v>
      </c>
      <c r="IU242" s="1006"/>
      <c r="IV242" s="996">
        <v>0</v>
      </c>
      <c r="IW242" s="1006" t="s">
        <v>239</v>
      </c>
      <c r="IX242" s="996">
        <v>0</v>
      </c>
      <c r="IY242" s="1006"/>
      <c r="IZ242" s="996">
        <v>0</v>
      </c>
      <c r="JA242" s="1006"/>
      <c r="JB242" s="996">
        <v>0</v>
      </c>
      <c r="JC242" s="1006"/>
      <c r="JD242" s="996">
        <v>0</v>
      </c>
      <c r="JE242" s="1006"/>
      <c r="JF242" s="996">
        <v>0</v>
      </c>
      <c r="JG242" s="1006"/>
      <c r="JH242" s="996">
        <v>0</v>
      </c>
      <c r="JI242" s="1006"/>
      <c r="JJ242" s="996">
        <v>0</v>
      </c>
      <c r="JK242" s="1007"/>
      <c r="JL242" s="1007">
        <v>0</v>
      </c>
      <c r="JM242" s="1007"/>
      <c r="JN242" s="1007">
        <v>0</v>
      </c>
      <c r="JO242" s="1008">
        <v>0</v>
      </c>
      <c r="JP242" s="1007">
        <v>0</v>
      </c>
      <c r="JQ242" s="1008" t="s">
        <v>199</v>
      </c>
      <c r="JR242" s="1007">
        <v>-2.2822800000000001</v>
      </c>
      <c r="JS242" s="1008" t="s">
        <v>204</v>
      </c>
      <c r="JT242" s="1007">
        <v>-1.0412379999999999</v>
      </c>
      <c r="JU242" s="1008" t="s">
        <v>197</v>
      </c>
      <c r="JV242" s="1007">
        <v>4.5979999999996579E-3</v>
      </c>
      <c r="JW242" s="1008"/>
      <c r="JX242" s="1007">
        <v>0</v>
      </c>
      <c r="JY242" s="1008" t="s">
        <v>204</v>
      </c>
      <c r="JZ242" s="1007">
        <v>0.7858400000000012</v>
      </c>
      <c r="KA242" s="1008"/>
      <c r="KB242" s="1007">
        <v>0</v>
      </c>
      <c r="KC242" s="1008" t="s">
        <v>204</v>
      </c>
      <c r="KD242" s="1007">
        <v>-3.4276000000000009</v>
      </c>
      <c r="KE242" s="1008"/>
      <c r="KF242" s="1007">
        <v>0</v>
      </c>
      <c r="KG242" s="1008" t="s">
        <v>206</v>
      </c>
      <c r="KH242" s="1007">
        <v>-0.39225120000000047</v>
      </c>
      <c r="KI242" s="1008" t="s">
        <v>206</v>
      </c>
      <c r="KJ242" s="1007">
        <v>2.315051200000001</v>
      </c>
      <c r="KK242" s="1008"/>
      <c r="KL242" s="1007">
        <v>0</v>
      </c>
      <c r="KM242" s="1008" t="s">
        <v>206</v>
      </c>
      <c r="KN242" s="1007">
        <v>0.46816000000000102</v>
      </c>
      <c r="KO242" s="1008">
        <v>0</v>
      </c>
      <c r="KP242" s="1007">
        <v>0</v>
      </c>
      <c r="KQ242" s="1008">
        <v>0</v>
      </c>
      <c r="KR242" s="1007">
        <v>0</v>
      </c>
      <c r="KS242" s="1008">
        <v>0</v>
      </c>
      <c r="KT242" s="1007">
        <v>0</v>
      </c>
      <c r="KU242" s="1008">
        <v>0</v>
      </c>
      <c r="KV242" s="1007">
        <v>0</v>
      </c>
      <c r="KW242" s="1008">
        <v>0</v>
      </c>
      <c r="KX242" s="1007">
        <v>0</v>
      </c>
      <c r="KY242" s="1008">
        <v>0</v>
      </c>
      <c r="KZ242" s="1007">
        <v>0</v>
      </c>
      <c r="LA242" s="1008" t="s">
        <v>206</v>
      </c>
      <c r="LB242" s="1007">
        <v>4.4558799999999996</v>
      </c>
      <c r="LC242" s="1008" t="s">
        <v>206</v>
      </c>
      <c r="LD242" s="1007">
        <v>0.74403999999999915</v>
      </c>
      <c r="LE242" s="1008">
        <v>0</v>
      </c>
      <c r="LF242" s="1007">
        <v>0</v>
      </c>
      <c r="LG242" s="1008">
        <v>0</v>
      </c>
      <c r="LH242" s="1007">
        <v>0</v>
      </c>
      <c r="LI242" s="1008" t="s">
        <v>555</v>
      </c>
      <c r="LJ242" s="1007">
        <v>-0.74439999999999995</v>
      </c>
      <c r="LK242" s="1008" t="s">
        <v>240</v>
      </c>
      <c r="LL242" s="1007">
        <v>-1.4797199999999999</v>
      </c>
      <c r="LM242" s="1008" t="s">
        <v>206</v>
      </c>
      <c r="LN242" s="1007">
        <v>1.1787600000000005</v>
      </c>
      <c r="LO242" s="1008" t="s">
        <v>223</v>
      </c>
      <c r="LP242" s="1007">
        <v>-2.2237600000000004</v>
      </c>
      <c r="LQ242" s="1008">
        <v>0</v>
      </c>
      <c r="LR242" s="1007">
        <v>0</v>
      </c>
      <c r="LS242" s="1008">
        <v>0</v>
      </c>
      <c r="LT242" s="1007">
        <v>-0.39711000000000002</v>
      </c>
      <c r="LU242" s="1008">
        <v>0</v>
      </c>
      <c r="LV242" s="1007">
        <v>0</v>
      </c>
      <c r="LW242" s="1008">
        <v>0</v>
      </c>
      <c r="LX242" s="1007">
        <v>0</v>
      </c>
      <c r="LY242" s="1009">
        <v>0</v>
      </c>
      <c r="LZ242" s="1010">
        <v>-0.29544240999999999</v>
      </c>
      <c r="MA242" s="1011">
        <v>0</v>
      </c>
      <c r="MB242" s="1012">
        <v>0</v>
      </c>
      <c r="MC242" s="995"/>
      <c r="MD242" s="996"/>
      <c r="ME242" s="997" t="s">
        <v>220</v>
      </c>
      <c r="MF242" s="997"/>
      <c r="MG242" s="998"/>
      <c r="NR242" s="1000"/>
      <c r="NS242" s="1000"/>
      <c r="NT242" s="1001"/>
      <c r="NU242" s="1000"/>
      <c r="NV242" s="1001"/>
      <c r="NX242" s="1002"/>
      <c r="NZ242" s="1001"/>
      <c r="OA242" s="1001"/>
      <c r="OC242" s="1003"/>
      <c r="OD242" s="1003"/>
      <c r="OE242" s="1001"/>
      <c r="OF242" s="1003"/>
      <c r="OG242" s="1003"/>
      <c r="OH242" s="1003"/>
      <c r="OI242" s="1016"/>
      <c r="QX242" s="1000">
        <f>CN242-CA242</f>
        <v>20</v>
      </c>
      <c r="ASU242" s="999" t="s">
        <v>208</v>
      </c>
    </row>
    <row r="243" spans="1:466 1191:1191" ht="21" customHeight="1" x14ac:dyDescent="0.25">
      <c r="A243" s="982" t="str">
        <f t="shared" si="163"/>
        <v>1131-2</v>
      </c>
      <c r="B243" s="124">
        <f>SUBTOTAL(103,$J$29:J243)</f>
        <v>215</v>
      </c>
      <c r="C243" s="126">
        <v>45068</v>
      </c>
      <c r="D243" s="124" t="s">
        <v>176</v>
      </c>
      <c r="E243" s="127" t="s">
        <v>177</v>
      </c>
      <c r="F243" s="128" t="s">
        <v>177</v>
      </c>
      <c r="G243" s="127" t="s">
        <v>178</v>
      </c>
      <c r="H243" s="127" t="s">
        <v>179</v>
      </c>
      <c r="I243" s="127" t="s">
        <v>1010</v>
      </c>
      <c r="J243" s="152" t="s">
        <v>1115</v>
      </c>
      <c r="K243" s="127" t="s">
        <v>1010</v>
      </c>
      <c r="L243" s="130">
        <v>41517</v>
      </c>
      <c r="M243" s="127" t="s">
        <v>230</v>
      </c>
      <c r="N243" s="127" t="s">
        <v>184</v>
      </c>
      <c r="O243" s="127" t="s">
        <v>185</v>
      </c>
      <c r="P243" s="127" t="s">
        <v>186</v>
      </c>
      <c r="Q243" s="85" t="str">
        <f t="shared" si="187"/>
        <v/>
      </c>
      <c r="R243" s="130"/>
      <c r="S243" s="128" t="s">
        <v>156</v>
      </c>
      <c r="T243" s="131"/>
      <c r="U243" s="132">
        <v>203</v>
      </c>
      <c r="V243" s="121">
        <v>218.2</v>
      </c>
      <c r="W243" s="116">
        <v>0.98</v>
      </c>
      <c r="X243" s="116">
        <v>1.66</v>
      </c>
      <c r="Y243" s="116">
        <f t="shared" si="191"/>
        <v>1.0218592964824118</v>
      </c>
      <c r="Z243" s="133">
        <v>1.454</v>
      </c>
      <c r="AA243" s="133">
        <v>0.83599999999999997</v>
      </c>
      <c r="AB243" s="133">
        <v>0.72</v>
      </c>
      <c r="AC243" s="121">
        <v>34.299999999999997</v>
      </c>
      <c r="AD243" s="134">
        <v>1.17</v>
      </c>
      <c r="AE243" s="124">
        <v>177.8</v>
      </c>
      <c r="AF243" s="128">
        <v>9.19</v>
      </c>
      <c r="AG243" s="128">
        <v>2219</v>
      </c>
      <c r="AH243" s="127">
        <v>2805</v>
      </c>
      <c r="AI243" s="127">
        <v>2805</v>
      </c>
      <c r="AJ243" s="135"/>
      <c r="AK243" s="128"/>
      <c r="AL243" s="131"/>
      <c r="AM243" s="124" t="s">
        <v>369</v>
      </c>
      <c r="AN243" s="136" t="s">
        <v>1116</v>
      </c>
      <c r="AO243" s="137">
        <v>21</v>
      </c>
      <c r="AP243" s="128">
        <v>2064</v>
      </c>
      <c r="AQ243" s="128">
        <v>289.62</v>
      </c>
      <c r="AR243" s="128"/>
      <c r="AS243" s="128"/>
      <c r="AT243" s="122"/>
      <c r="AU243" s="124" t="s">
        <v>189</v>
      </c>
      <c r="AV243" s="115">
        <f>VLOOKUP(J243,'[63]ТР нефть'!$J$28:$BP$638,39,0)</f>
        <v>510.00001435500002</v>
      </c>
      <c r="AW243" s="115" t="str">
        <f>VLOOKUP(J243,'[63]ТР нефть'!$J$28:$BP$638,40,0)</f>
        <v>ГП</v>
      </c>
      <c r="AX243" s="115">
        <f>VLOOKUP(J243,'[63]ТР нефть'!$J$28:$BP$638,41,0)</f>
        <v>905.00001562499995</v>
      </c>
      <c r="AY243" s="115" t="str">
        <f>VLOOKUP(J243,'[63]ТР нефть'!$J$28:$BP$638,42,0)</f>
        <v>ГП</v>
      </c>
      <c r="AZ243" s="115">
        <f>VLOOKUP(J243,'[63]ТР нефть'!$J$28:$BP$638,43,0)</f>
        <v>1205.0000109380001</v>
      </c>
      <c r="BA243" s="115" t="str">
        <f>VLOOKUP(J243,'[63]ТР нефть'!$J$28:$BP$638,44,0)</f>
        <v>ГК 87 1/8</v>
      </c>
      <c r="BB243" s="115">
        <f>VLOOKUP(J243,'[63]ТР нефть'!$J$28:$BP$638,45,0)</f>
        <v>1524.9999761720001</v>
      </c>
      <c r="BC243" s="115" t="str">
        <f>VLOOKUP(J243,'[63]ТР нефть'!$J$28:$BP$638,46,0)</f>
        <v>ГК 86 1/8</v>
      </c>
      <c r="BD243" s="115">
        <f>VLOOKUP(J243,'[63]ТР нефть'!$J$28:$BP$638,47,0)</f>
        <v>1790.0000613279999</v>
      </c>
      <c r="BE243" s="115" t="str">
        <f>VLOOKUP(J243,'[63]ТР нефть'!$J$28:$BP$638,48,0)</f>
        <v>ГК 86 1/4</v>
      </c>
      <c r="BF243" s="115">
        <f>VLOOKUP(J243,'[63]ТР нефть'!$J$28:$BP$638,49,0)</f>
        <v>1900</v>
      </c>
      <c r="BG243" s="115" t="str">
        <f>VLOOKUP(J243,'[63]ТР нефть'!$J$28:$BP$638,50,0)</f>
        <v>ЦКсОК 5/16</v>
      </c>
      <c r="BH243" s="115">
        <f>VLOOKUP(J243,'[63]ТР нефть'!$J$28:$BP$638,51,0)</f>
        <v>1910</v>
      </c>
      <c r="BI243" s="115" t="str">
        <f>VLOOKUP(J243,'[63]ТР нефть'!$J$28:$BP$638,52,0)</f>
        <v xml:space="preserve">открыт </v>
      </c>
      <c r="BJ243" s="115" t="str">
        <f>IF(IFERROR(VLOOKUP(J243,'[63]ТР нефть'!$J$28:$BP$638,53,0),"-")=0,"-",IFERROR(VLOOKUP(J243,'[63]ТР нефть'!$J$28:$BP$638,53,0),"-"))</f>
        <v>-</v>
      </c>
      <c r="BK243" s="138" t="str">
        <f>IF(IFERROR(VLOOKUP(J243,'[63]ТР нефть'!$J$28:$BP$638,54,0),"-")=0,"-",IFERROR(VLOOKUP(J243,'[63]ТР нефть'!$J$28:$BP$638,54,0),"-"))</f>
        <v>-</v>
      </c>
      <c r="BL243" s="138" t="str">
        <f>IF(IFERROR(VLOOKUP(J243,'[63]ТР нефть'!$J$28:$BP$638,55,0),"-")=0,"-",IFERROR(VLOOKUP(J243,'[63]ТР нефть'!$J$28:$BP$638,55,0),"-"))</f>
        <v>-</v>
      </c>
      <c r="BM243" s="138" t="str">
        <f>IF(IFERROR(VLOOKUP(J243,'[63]ТР нефть'!$J$28:$BP$638,56,0),"-")=0,"-",IFERROR(VLOOKUP(J243,'[63]ТР нефть'!$J$28:$BP$638,56,0),"-"))</f>
        <v>-</v>
      </c>
      <c r="BN243" s="138" t="str">
        <f>IF(IFERROR(VLOOKUP(J243,'[63]ТР нефть'!$J$28:$BP$638,57,0),"-")=0,"-",IFERROR(VLOOKUP(J243,'[63]ТР нефть'!$J$28:$BP$638,57,0),"-"))</f>
        <v>-</v>
      </c>
      <c r="BO243" s="115" t="str">
        <f>IF(IFERROR(VLOOKUP(J243,'[63]ТР нефть'!$J$28:$BP$638,58,0),"-")=0,"-",IFERROR(VLOOKUP(J243,'[63]ТР нефть'!$J$28:$BP$638,58,0),"-"))</f>
        <v>-</v>
      </c>
      <c r="BP243" s="115" t="str">
        <f>IF(IFERROR(VLOOKUP(J243,'[63]ТР нефть'!$J$28:$BP$638,59,0),"-")=0,"-",IFERROR(VLOOKUP(J243,'[63]ТР нефть'!$J$28:$BP$638,59,0),"-"))</f>
        <v>-</v>
      </c>
      <c r="BQ243" s="138">
        <v>2120</v>
      </c>
      <c r="BR243" s="128">
        <v>1913.4</v>
      </c>
      <c r="BS243" s="115">
        <f t="shared" si="164"/>
        <v>206.59999999999991</v>
      </c>
      <c r="BT243" s="128">
        <v>73</v>
      </c>
      <c r="BU243" s="128">
        <v>5.5</v>
      </c>
      <c r="BV243" s="127">
        <v>18</v>
      </c>
      <c r="BW243" s="127" t="s">
        <v>217</v>
      </c>
      <c r="BX243" s="127" t="s">
        <v>195</v>
      </c>
      <c r="BY243" s="139">
        <v>24</v>
      </c>
      <c r="BZ243" s="139">
        <v>0</v>
      </c>
      <c r="CA243" s="80">
        <v>22</v>
      </c>
      <c r="CB243" s="138">
        <v>70</v>
      </c>
      <c r="CC243" s="138">
        <v>21</v>
      </c>
      <c r="CD243" s="135">
        <v>45017</v>
      </c>
      <c r="CE243" s="138">
        <v>142</v>
      </c>
      <c r="CF243" s="138">
        <v>76</v>
      </c>
      <c r="CG243" s="138" t="str">
        <f t="shared" si="153"/>
        <v>В работе</v>
      </c>
      <c r="CH243" s="138" t="s">
        <v>235</v>
      </c>
      <c r="CI243" s="127">
        <v>5</v>
      </c>
      <c r="CJ243" s="138"/>
      <c r="CK243" s="138">
        <f t="shared" si="157"/>
        <v>39</v>
      </c>
      <c r="CL243" s="99"/>
      <c r="CM243" s="99"/>
      <c r="CN243" s="140">
        <v>61</v>
      </c>
      <c r="CO243" s="141">
        <f t="shared" si="165"/>
        <v>17.305199999999999</v>
      </c>
      <c r="CP243" s="142">
        <v>23</v>
      </c>
      <c r="CQ243" s="143">
        <v>10</v>
      </c>
      <c r="CR243" s="138">
        <v>25</v>
      </c>
      <c r="CS243" s="139">
        <v>21</v>
      </c>
      <c r="CT243" s="138"/>
      <c r="CU243" s="138">
        <f t="shared" si="188"/>
        <v>4</v>
      </c>
      <c r="CV243" s="115">
        <f t="shared" si="189"/>
        <v>231.14439590412132</v>
      </c>
      <c r="CW243" s="115">
        <f t="shared" si="166"/>
        <v>1051.6510922147772</v>
      </c>
      <c r="CX243" s="133">
        <f t="shared" si="190"/>
        <v>0.2839506172839506</v>
      </c>
      <c r="CY243" s="116"/>
      <c r="CZ243" s="131"/>
      <c r="DA243" s="145" t="str">
        <f t="shared" si="167"/>
        <v>Газлифт</v>
      </c>
      <c r="DB243" s="146">
        <f t="shared" si="168"/>
        <v>17.305199999999999</v>
      </c>
      <c r="DC243" s="142">
        <f t="shared" si="151"/>
        <v>23</v>
      </c>
      <c r="DD243" s="119">
        <f t="shared" si="152"/>
        <v>10</v>
      </c>
      <c r="DE243" s="115">
        <f t="shared" si="169"/>
        <v>4</v>
      </c>
      <c r="DF243" s="121">
        <f t="shared" si="170"/>
        <v>21</v>
      </c>
      <c r="DG243" s="115">
        <f t="shared" si="171"/>
        <v>231.14439590412132</v>
      </c>
      <c r="DH243" s="115">
        <f t="shared" si="172"/>
        <v>61</v>
      </c>
      <c r="DI243" s="147"/>
      <c r="DJ243" s="111" t="s">
        <v>197</v>
      </c>
      <c r="DK243" s="112">
        <v>43190</v>
      </c>
      <c r="DL243" s="113">
        <f t="shared" ca="1" si="192"/>
        <v>1914</v>
      </c>
      <c r="DM243" s="114"/>
      <c r="DN243" s="114"/>
      <c r="DO243" s="114"/>
      <c r="DP243" s="114"/>
      <c r="DQ243" s="112">
        <v>43397</v>
      </c>
      <c r="DR243" s="114" t="s">
        <v>198</v>
      </c>
      <c r="DS243" s="114"/>
      <c r="DT243" s="115">
        <v>60</v>
      </c>
      <c r="DU243" s="116">
        <f t="shared" si="193"/>
        <v>0.28276004865802212</v>
      </c>
      <c r="DV243" s="117">
        <f t="shared" si="194"/>
        <v>17.445390170044259</v>
      </c>
      <c r="DW243" s="118">
        <f t="shared" si="195"/>
        <v>23.186323989957813</v>
      </c>
      <c r="DX243" s="119">
        <f t="shared" si="173"/>
        <v>10</v>
      </c>
      <c r="DY243" s="115">
        <f t="shared" si="196"/>
        <v>4.0324041721665767</v>
      </c>
      <c r="DZ243" s="117">
        <f t="shared" si="197"/>
        <v>0.14019017004426004</v>
      </c>
      <c r="EA243" s="120">
        <f t="shared" si="197"/>
        <v>0.1863239899578133</v>
      </c>
      <c r="EB243" s="119">
        <f t="shared" si="197"/>
        <v>0</v>
      </c>
      <c r="EC243" s="121">
        <f t="shared" si="198"/>
        <v>3.240417216657665E-2</v>
      </c>
      <c r="ED243" s="122"/>
      <c r="EE243" s="145">
        <v>18</v>
      </c>
      <c r="EF243" s="148">
        <v>25</v>
      </c>
      <c r="EG243" s="115">
        <v>62</v>
      </c>
      <c r="EH243" s="115">
        <v>23</v>
      </c>
      <c r="EI243" s="128" t="s">
        <v>195</v>
      </c>
      <c r="EJ243" s="121">
        <v>24</v>
      </c>
      <c r="EK243" s="121">
        <v>0</v>
      </c>
      <c r="EL243" s="149">
        <v>18.024160000000002</v>
      </c>
      <c r="EM243" s="142">
        <v>28</v>
      </c>
      <c r="EN243" s="119">
        <v>23</v>
      </c>
      <c r="EO243" s="115">
        <v>31</v>
      </c>
      <c r="EP243" s="115">
        <v>388.36761324799596</v>
      </c>
      <c r="EQ243" s="115">
        <v>78</v>
      </c>
      <c r="ER243" s="115">
        <v>24</v>
      </c>
      <c r="ES243" s="115">
        <v>76</v>
      </c>
      <c r="ET243" s="150">
        <v>0.42424242424242425</v>
      </c>
      <c r="EU243" s="145">
        <f t="shared" si="174"/>
        <v>18</v>
      </c>
      <c r="EV243" s="115">
        <f t="shared" si="175"/>
        <v>22</v>
      </c>
      <c r="EW243" s="115">
        <f t="shared" si="175"/>
        <v>70</v>
      </c>
      <c r="EX243" s="115">
        <f t="shared" si="175"/>
        <v>21</v>
      </c>
      <c r="EY243" s="115" t="str">
        <f t="shared" si="156"/>
        <v>Постоянный</v>
      </c>
      <c r="EZ243" s="115">
        <f t="shared" si="156"/>
        <v>24</v>
      </c>
      <c r="FA243" s="115">
        <f t="shared" si="156"/>
        <v>0</v>
      </c>
      <c r="FB243" s="149">
        <f t="shared" si="176"/>
        <v>17.305199999999999</v>
      </c>
      <c r="FC243" s="142">
        <f t="shared" si="176"/>
        <v>23</v>
      </c>
      <c r="FD243" s="119">
        <f t="shared" si="176"/>
        <v>10</v>
      </c>
      <c r="FE243" s="121">
        <f t="shared" si="176"/>
        <v>25</v>
      </c>
      <c r="FF243" s="121">
        <f t="shared" si="199"/>
        <v>231.14439590412132</v>
      </c>
      <c r="FG243" s="121">
        <f t="shared" si="177"/>
        <v>76</v>
      </c>
      <c r="FH243" s="121">
        <f t="shared" si="200"/>
        <v>21</v>
      </c>
      <c r="FI243" s="121">
        <f t="shared" si="154"/>
        <v>61</v>
      </c>
      <c r="FJ243" s="144">
        <f t="shared" si="178"/>
        <v>0.2839506172839506</v>
      </c>
      <c r="FK243" s="132">
        <f t="shared" si="179"/>
        <v>0</v>
      </c>
      <c r="FL243" s="115">
        <f t="shared" si="179"/>
        <v>-3</v>
      </c>
      <c r="FM243" s="115">
        <f t="shared" si="179"/>
        <v>8</v>
      </c>
      <c r="FN243" s="115">
        <f t="shared" si="162"/>
        <v>-2</v>
      </c>
      <c r="FO243" s="115">
        <f t="shared" si="150"/>
        <v>0</v>
      </c>
      <c r="FP243" s="115">
        <f t="shared" si="150"/>
        <v>0</v>
      </c>
      <c r="FQ243" s="149">
        <f t="shared" si="150"/>
        <v>-0.71896000000000271</v>
      </c>
      <c r="FR243" s="117">
        <f t="shared" si="150"/>
        <v>-5</v>
      </c>
      <c r="FS243" s="119">
        <f t="shared" si="150"/>
        <v>-13</v>
      </c>
      <c r="FT243" s="121">
        <f t="shared" si="150"/>
        <v>-6</v>
      </c>
      <c r="FU243" s="121">
        <f t="shared" si="180"/>
        <v>-2</v>
      </c>
      <c r="FV243" s="121">
        <f t="shared" si="180"/>
        <v>-3</v>
      </c>
      <c r="FW243" s="121">
        <f t="shared" si="181"/>
        <v>-157.22321734387464</v>
      </c>
      <c r="FX243" s="121">
        <f t="shared" si="182"/>
        <v>-15</v>
      </c>
      <c r="FY243" s="144">
        <f t="shared" si="182"/>
        <v>-0.14029180695847365</v>
      </c>
      <c r="FZ243" s="145"/>
      <c r="GA243" s="151"/>
      <c r="GB243" s="145" t="s">
        <v>146</v>
      </c>
      <c r="GC243" s="151" t="s">
        <v>1117</v>
      </c>
      <c r="GD243" s="997" t="s">
        <v>220</v>
      </c>
      <c r="GE243" s="1004" t="s">
        <v>146</v>
      </c>
      <c r="GF243" s="1004">
        <v>5.6597200000000019</v>
      </c>
      <c r="GG243" s="1004" t="s">
        <v>199</v>
      </c>
      <c r="GH243" s="1004">
        <v>6.55633</v>
      </c>
      <c r="GI243" s="145" t="s">
        <v>199</v>
      </c>
      <c r="GJ243" s="996">
        <v>3.9028659999999999</v>
      </c>
      <c r="GK243" s="145" t="s">
        <v>199</v>
      </c>
      <c r="GL243" s="996">
        <v>-3.9383960000000005</v>
      </c>
      <c r="GM243" s="1005" t="s">
        <v>259</v>
      </c>
      <c r="GN243" s="996">
        <v>3.895760000000001</v>
      </c>
      <c r="GO243" s="1006" t="s">
        <v>259</v>
      </c>
      <c r="GP243" s="996">
        <v>-12.618988540399998</v>
      </c>
      <c r="GQ243" s="1006"/>
      <c r="GR243" s="996">
        <v>-0.75199545960000336</v>
      </c>
      <c r="GS243" s="1006"/>
      <c r="GT243" s="996">
        <v>0.43806400000000068</v>
      </c>
      <c r="GU243" s="1006"/>
      <c r="GV243" s="996">
        <v>0</v>
      </c>
      <c r="GW243" s="1006"/>
      <c r="GX243" s="1036">
        <v>0</v>
      </c>
      <c r="GY243" s="1006"/>
      <c r="GZ243" s="996">
        <v>-0.18291679999999921</v>
      </c>
      <c r="HA243" s="1006" t="s">
        <v>199</v>
      </c>
      <c r="HB243" s="996">
        <v>4.1918544800000035</v>
      </c>
      <c r="HC243" s="1006"/>
      <c r="HD243" s="996">
        <v>0</v>
      </c>
      <c r="HE243" s="1006"/>
      <c r="HF243" s="996">
        <v>0</v>
      </c>
      <c r="HG243" s="1006" t="s">
        <v>199</v>
      </c>
      <c r="HH243" s="996">
        <v>3.4409760000000009</v>
      </c>
      <c r="HI243" s="1006" t="s">
        <v>199</v>
      </c>
      <c r="HJ243" s="996">
        <v>4.2078220799999979</v>
      </c>
      <c r="HK243" s="1006"/>
      <c r="HL243" s="996">
        <v>0</v>
      </c>
      <c r="HM243" s="1006" t="s">
        <v>204</v>
      </c>
      <c r="HN243" s="996">
        <v>2.2996019199999993</v>
      </c>
      <c r="HO243" s="1006"/>
      <c r="HP243" s="996">
        <v>0.50160000000000027</v>
      </c>
      <c r="HQ243" s="1006"/>
      <c r="HR243" s="996">
        <v>0</v>
      </c>
      <c r="HS243" s="1006"/>
      <c r="HT243" s="996">
        <v>-0.88680372000000096</v>
      </c>
      <c r="HU243" s="1006" t="s">
        <v>146</v>
      </c>
      <c r="HV243" s="996">
        <v>2.9182837200000007</v>
      </c>
      <c r="HW243" s="1006"/>
      <c r="HX243" s="996">
        <v>0</v>
      </c>
      <c r="HY243" s="1006"/>
      <c r="HZ243" s="996">
        <v>-0.92545200000000016</v>
      </c>
      <c r="IA243" s="1006"/>
      <c r="IB243" s="996">
        <v>0</v>
      </c>
      <c r="IC243" s="1006" t="s">
        <v>146</v>
      </c>
      <c r="ID243" s="996">
        <v>-11.573525479999997</v>
      </c>
      <c r="IE243" s="1006"/>
      <c r="IF243" s="996">
        <v>0</v>
      </c>
      <c r="IG243" s="1006"/>
      <c r="IH243" s="996">
        <v>0</v>
      </c>
      <c r="II243" s="1006"/>
      <c r="IJ243" s="996">
        <v>0</v>
      </c>
      <c r="IK243" s="1006"/>
      <c r="IL243" s="996">
        <v>0</v>
      </c>
      <c r="IM243" s="1006" t="s">
        <v>199</v>
      </c>
      <c r="IN243" s="996">
        <v>-1.442091640000001</v>
      </c>
      <c r="IO243" s="1006"/>
      <c r="IP243" s="996">
        <v>-0.41442191999999878</v>
      </c>
      <c r="IQ243" s="1006"/>
      <c r="IR243" s="996">
        <v>-0.31212896000000256</v>
      </c>
      <c r="IS243" s="1006"/>
      <c r="IT243" s="996">
        <v>-0.26459400000000066</v>
      </c>
      <c r="IU243" s="1006" t="s">
        <v>199</v>
      </c>
      <c r="IV243" s="996">
        <v>2.8488856880000011</v>
      </c>
      <c r="IW243" s="1006" t="s">
        <v>199</v>
      </c>
      <c r="IX243" s="996">
        <v>10.603608311999999</v>
      </c>
      <c r="IY243" s="1006" t="s">
        <v>199</v>
      </c>
      <c r="IZ243" s="996">
        <v>-12.289200000000001</v>
      </c>
      <c r="JA243" s="1006" t="s">
        <v>204</v>
      </c>
      <c r="JB243" s="996">
        <v>-3.8079799999999988</v>
      </c>
      <c r="JC243" s="1006"/>
      <c r="JD243" s="996">
        <v>0</v>
      </c>
      <c r="JE243" s="1006" t="s">
        <v>204</v>
      </c>
      <c r="JF243" s="996">
        <v>9.3590199999999992</v>
      </c>
      <c r="JG243" s="1006" t="s">
        <v>199</v>
      </c>
      <c r="JH243" s="996">
        <v>-3.3439999999999994</v>
      </c>
      <c r="JI243" s="1006"/>
      <c r="JJ243" s="996">
        <v>0</v>
      </c>
      <c r="JK243" s="1007"/>
      <c r="JL243" s="1007">
        <v>0</v>
      </c>
      <c r="JM243" s="1007"/>
      <c r="JN243" s="1007">
        <v>0</v>
      </c>
      <c r="JO243" s="1008" t="s">
        <v>199</v>
      </c>
      <c r="JP243" s="1007">
        <v>-4.18</v>
      </c>
      <c r="JQ243" s="1008">
        <v>0</v>
      </c>
      <c r="JR243" s="1007">
        <v>0</v>
      </c>
      <c r="JS243" s="1008">
        <v>0</v>
      </c>
      <c r="JT243" s="1007">
        <v>0</v>
      </c>
      <c r="JU243" s="1008"/>
      <c r="JV243" s="1007">
        <v>0</v>
      </c>
      <c r="JW243" s="1008" t="s">
        <v>197</v>
      </c>
      <c r="JX243" s="1007">
        <v>0</v>
      </c>
      <c r="JY243" s="1008"/>
      <c r="JZ243" s="1007">
        <v>-3.0132783999999191E-2</v>
      </c>
      <c r="KA243" s="1008"/>
      <c r="KB243" s="1007">
        <v>0</v>
      </c>
      <c r="KC243" s="1008"/>
      <c r="KD243" s="1007">
        <v>0</v>
      </c>
      <c r="KE243" s="1008"/>
      <c r="KF243" s="1007">
        <v>0</v>
      </c>
      <c r="KG243" s="1008"/>
      <c r="KH243" s="1007">
        <v>0</v>
      </c>
      <c r="KI243" s="1008" t="s">
        <v>203</v>
      </c>
      <c r="KJ243" s="1007">
        <v>3.4792480799999979</v>
      </c>
      <c r="KK243" s="1008"/>
      <c r="KL243" s="1007">
        <v>13.270884704</v>
      </c>
      <c r="KM243" s="1008"/>
      <c r="KN243" s="1007">
        <v>0</v>
      </c>
      <c r="KO243" s="1008"/>
      <c r="KP243" s="1007">
        <v>0</v>
      </c>
      <c r="KQ243" s="1008">
        <v>0</v>
      </c>
      <c r="KR243" s="1007">
        <v>0</v>
      </c>
      <c r="KS243" s="1008">
        <v>0</v>
      </c>
      <c r="KT243" s="1007">
        <v>0</v>
      </c>
      <c r="KU243" s="1008">
        <v>0</v>
      </c>
      <c r="KV243" s="1007">
        <v>0</v>
      </c>
      <c r="KW243" s="1008">
        <v>0</v>
      </c>
      <c r="KX243" s="1007">
        <v>0</v>
      </c>
      <c r="KY243" s="1008">
        <v>0</v>
      </c>
      <c r="KZ243" s="1007">
        <v>-3.5660415999999997</v>
      </c>
      <c r="LA243" s="1008">
        <v>0</v>
      </c>
      <c r="LB243" s="1007">
        <v>0</v>
      </c>
      <c r="LC243" s="1008">
        <v>0</v>
      </c>
      <c r="LD243" s="1007">
        <v>0</v>
      </c>
      <c r="LE243" s="1008">
        <v>0</v>
      </c>
      <c r="LF243" s="1007">
        <v>0</v>
      </c>
      <c r="LG243" s="1008">
        <v>0</v>
      </c>
      <c r="LH243" s="1007">
        <v>0</v>
      </c>
      <c r="LI243" s="1008">
        <v>0</v>
      </c>
      <c r="LJ243" s="1007">
        <v>0</v>
      </c>
      <c r="LK243" s="1008" t="s">
        <v>240</v>
      </c>
      <c r="LL243" s="1007">
        <v>-0.58518400000000004</v>
      </c>
      <c r="LM243" s="1008" t="s">
        <v>555</v>
      </c>
      <c r="LN243" s="1007">
        <v>-0.82930999999999999</v>
      </c>
      <c r="LO243" s="1008">
        <v>0</v>
      </c>
      <c r="LP243" s="1007">
        <v>0</v>
      </c>
      <c r="LQ243" s="1008" t="s">
        <v>223</v>
      </c>
      <c r="LR243" s="1007">
        <v>-2.4879360000000004</v>
      </c>
      <c r="LS243" s="1008">
        <v>0</v>
      </c>
      <c r="LT243" s="1007">
        <v>0</v>
      </c>
      <c r="LU243" s="1008">
        <v>0</v>
      </c>
      <c r="LV243" s="1007">
        <v>0</v>
      </c>
      <c r="LW243" s="1008">
        <v>0</v>
      </c>
      <c r="LX243" s="1007">
        <v>0</v>
      </c>
      <c r="LY243" s="1009">
        <v>0</v>
      </c>
      <c r="LZ243" s="1010">
        <v>0</v>
      </c>
      <c r="MA243" s="1011">
        <v>0</v>
      </c>
      <c r="MB243" s="1012">
        <v>-0.81259199999999998</v>
      </c>
      <c r="MC243" s="995"/>
      <c r="MD243" s="996"/>
      <c r="ME243" s="997" t="s">
        <v>220</v>
      </c>
      <c r="MF243" s="997"/>
      <c r="MG243" s="998"/>
      <c r="NR243" s="1000"/>
      <c r="NS243" s="1000"/>
      <c r="NT243" s="1001"/>
      <c r="NU243" s="1000"/>
      <c r="NV243" s="1001"/>
      <c r="NX243" s="1002"/>
      <c r="NZ243" s="1001"/>
      <c r="OA243" s="1001"/>
      <c r="OC243" s="1003"/>
      <c r="OD243" s="1003"/>
      <c r="OE243" s="1001"/>
      <c r="OF243" s="1003"/>
      <c r="OG243" s="1003"/>
      <c r="OH243" s="1003"/>
      <c r="OI243" s="1016"/>
      <c r="QX243" s="1000">
        <f>CN243-CA243</f>
        <v>39</v>
      </c>
      <c r="ASU243" s="999" t="s">
        <v>208</v>
      </c>
    </row>
    <row r="244" spans="1:466 1191:1191" ht="21" customHeight="1" x14ac:dyDescent="0.25">
      <c r="A244" s="982">
        <f t="shared" si="163"/>
        <v>1134</v>
      </c>
      <c r="B244" s="124">
        <f>SUBTOTAL(103,$J$29:J244)</f>
        <v>216</v>
      </c>
      <c r="C244" s="126">
        <v>45068</v>
      </c>
      <c r="D244" s="124" t="s">
        <v>176</v>
      </c>
      <c r="E244" s="127" t="s">
        <v>177</v>
      </c>
      <c r="F244" s="128" t="s">
        <v>177</v>
      </c>
      <c r="G244" s="127" t="s">
        <v>178</v>
      </c>
      <c r="H244" s="127" t="s">
        <v>408</v>
      </c>
      <c r="I244" s="127" t="s">
        <v>733</v>
      </c>
      <c r="J244" s="152">
        <v>1134</v>
      </c>
      <c r="K244" s="127" t="s">
        <v>1080</v>
      </c>
      <c r="L244" s="130">
        <v>42014</v>
      </c>
      <c r="M244" s="127" t="s">
        <v>230</v>
      </c>
      <c r="N244" s="127" t="s">
        <v>245</v>
      </c>
      <c r="O244" s="127" t="s">
        <v>185</v>
      </c>
      <c r="P244" s="127" t="s">
        <v>186</v>
      </c>
      <c r="Q244" s="85" t="str">
        <f t="shared" si="187"/>
        <v/>
      </c>
      <c r="R244" s="130"/>
      <c r="S244" s="128"/>
      <c r="T244" s="131"/>
      <c r="U244" s="132">
        <v>203</v>
      </c>
      <c r="V244" s="121">
        <v>218.2</v>
      </c>
      <c r="W244" s="116">
        <v>0.98</v>
      </c>
      <c r="X244" s="116">
        <v>1.66</v>
      </c>
      <c r="Y244" s="116">
        <f t="shared" si="191"/>
        <v>1.035123441079155</v>
      </c>
      <c r="Z244" s="133">
        <v>1.454</v>
      </c>
      <c r="AA244" s="133">
        <v>0.83599999999999997</v>
      </c>
      <c r="AB244" s="133">
        <v>0.72</v>
      </c>
      <c r="AC244" s="121">
        <v>34.299999999999997</v>
      </c>
      <c r="AD244" s="134">
        <v>1.17</v>
      </c>
      <c r="AE244" s="124">
        <v>177.8</v>
      </c>
      <c r="AF244" s="128">
        <v>9.19</v>
      </c>
      <c r="AG244" s="128">
        <v>2255</v>
      </c>
      <c r="AH244" s="127">
        <v>2880</v>
      </c>
      <c r="AI244" s="127">
        <v>2880</v>
      </c>
      <c r="AJ244" s="135"/>
      <c r="AK244" s="128"/>
      <c r="AL244" s="131"/>
      <c r="AM244" s="124" t="s">
        <v>232</v>
      </c>
      <c r="AN244" s="136" t="s">
        <v>1118</v>
      </c>
      <c r="AO244" s="137">
        <v>65.13</v>
      </c>
      <c r="AP244" s="128">
        <v>2255</v>
      </c>
      <c r="AQ244" s="128">
        <v>337.5</v>
      </c>
      <c r="AR244" s="128"/>
      <c r="AS244" s="128"/>
      <c r="AT244" s="122"/>
      <c r="AU244" s="124" t="s">
        <v>189</v>
      </c>
      <c r="AV244" s="115">
        <f>VLOOKUP(J244,'[63]ТР нефть'!$J$28:$BP$638,39,0)</f>
        <v>405.99999960899999</v>
      </c>
      <c r="AW244" s="115" t="str">
        <f>VLOOKUP(J244,'[63]ТР нефть'!$J$28:$BP$638,40,0)</f>
        <v>ГП</v>
      </c>
      <c r="AX244" s="115">
        <f>VLOOKUP(J244,'[63]ТР нефть'!$J$28:$BP$638,41,0)</f>
        <v>865.00000136699998</v>
      </c>
      <c r="AY244" s="115" t="str">
        <f>VLOOKUP(J244,'[63]ТР нефть'!$J$28:$BP$638,42,0)</f>
        <v>ГП</v>
      </c>
      <c r="AZ244" s="115">
        <f>VLOOKUP(J244,'[63]ТР нефть'!$J$28:$BP$638,43,0)</f>
        <v>1307.9999378909999</v>
      </c>
      <c r="BA244" s="115" t="str">
        <f>VLOOKUP(J244,'[63]ТР нефть'!$J$28:$BP$638,44,0)</f>
        <v>ГК 78 1/8</v>
      </c>
      <c r="BB244" s="115">
        <f>VLOOKUP(J244,'[63]ТР нефть'!$J$28:$BP$638,45,0)</f>
        <v>1686.000009375</v>
      </c>
      <c r="BC244" s="115" t="str">
        <f>VLOOKUP(J244,'[63]ТР нефть'!$J$28:$BP$638,46,0)</f>
        <v>ГК 78 5/32</v>
      </c>
      <c r="BD244" s="115">
        <f>VLOOKUP(J244,'[63]ТР нефть'!$J$28:$BP$638,47,0)</f>
        <v>1994.9999390630001</v>
      </c>
      <c r="BE244" s="115" t="str">
        <f>VLOOKUP(J244,'[63]ТР нефть'!$J$28:$BP$638,48,0)</f>
        <v>ЦКсОК 5/16</v>
      </c>
      <c r="BF244" s="115" t="str">
        <f>VLOOKUP(J244,'[63]ТР нефть'!$J$28:$BP$638,49,0)</f>
        <v>-</v>
      </c>
      <c r="BG244" s="115" t="str">
        <f>VLOOKUP(J244,'[63]ТР нефть'!$J$28:$BP$638,50,0)</f>
        <v>-</v>
      </c>
      <c r="BH244" s="115">
        <f>VLOOKUP(J244,'[63]ТР нефть'!$J$28:$BP$638,51,0)</f>
        <v>1950</v>
      </c>
      <c r="BI244" s="115" t="str">
        <f>VLOOKUP(J244,'[63]ТР нефть'!$J$28:$BP$638,52,0)</f>
        <v xml:space="preserve">открыт </v>
      </c>
      <c r="BJ244" s="115" t="str">
        <f>IF(IFERROR(VLOOKUP(J244,'[63]ТР нефть'!$J$28:$BP$638,53,0),"-")=0,"-",IFERROR(VLOOKUP(J244,'[63]ТР нефть'!$J$28:$BP$638,53,0),"-"))</f>
        <v>-</v>
      </c>
      <c r="BK244" s="138" t="str">
        <f>IF(IFERROR(VLOOKUP(J244,'[63]ТР нефть'!$J$28:$BP$638,54,0),"-")=0,"-",IFERROR(VLOOKUP(J244,'[63]ТР нефть'!$J$28:$BP$638,54,0),"-"))</f>
        <v>-</v>
      </c>
      <c r="BL244" s="138" t="str">
        <f>IF(IFERROR(VLOOKUP(J244,'[63]ТР нефть'!$J$28:$BP$638,55,0),"-")=0,"-",IFERROR(VLOOKUP(J244,'[63]ТР нефть'!$J$28:$BP$638,55,0),"-"))</f>
        <v>-</v>
      </c>
      <c r="BM244" s="138" t="str">
        <f>IF(IFERROR(VLOOKUP(J244,'[63]ТР нефть'!$J$28:$BP$638,56,0),"-")=0,"-",IFERROR(VLOOKUP(J244,'[63]ТР нефть'!$J$28:$BP$638,56,0),"-"))</f>
        <v>-</v>
      </c>
      <c r="BN244" s="138" t="str">
        <f>IF(IFERROR(VLOOKUP(J244,'[63]ТР нефть'!$J$28:$BP$638,57,0),"-")=0,"-",IFERROR(VLOOKUP(J244,'[63]ТР нефть'!$J$28:$BP$638,57,0),"-"))</f>
        <v>-</v>
      </c>
      <c r="BO244" s="115" t="str">
        <f>IF(IFERROR(VLOOKUP(J244,'[63]ТР нефть'!$J$28:$BP$638,58,0),"-")=0,"-",IFERROR(VLOOKUP(J244,'[63]ТР нефть'!$J$28:$BP$638,58,0),"-"))</f>
        <v>-</v>
      </c>
      <c r="BP244" s="115" t="str">
        <f>IF(IFERROR(VLOOKUP(J244,'[63]ТР нефть'!$J$28:$BP$638,59,0),"-")=0,"-",IFERROR(VLOOKUP(J244,'[63]ТР нефть'!$J$28:$BP$638,59,0),"-"))</f>
        <v>-</v>
      </c>
      <c r="BQ244" s="138">
        <v>2046</v>
      </c>
      <c r="BR244" s="128">
        <v>1931.64</v>
      </c>
      <c r="BS244" s="115">
        <f t="shared" si="164"/>
        <v>114.3599999999999</v>
      </c>
      <c r="BT244" s="128">
        <v>73</v>
      </c>
      <c r="BU244" s="128">
        <v>5.5</v>
      </c>
      <c r="BV244" s="127">
        <v>65</v>
      </c>
      <c r="BW244" s="127" t="s">
        <v>217</v>
      </c>
      <c r="BX244" s="127" t="s">
        <v>195</v>
      </c>
      <c r="BY244" s="139">
        <v>24</v>
      </c>
      <c r="BZ244" s="139">
        <v>0</v>
      </c>
      <c r="CA244" s="138">
        <v>21</v>
      </c>
      <c r="CB244" s="138">
        <v>40</v>
      </c>
      <c r="CC244" s="138">
        <v>20</v>
      </c>
      <c r="CD244" s="135">
        <v>45017</v>
      </c>
      <c r="CE244" s="138">
        <v>102</v>
      </c>
      <c r="CF244" s="138">
        <v>68</v>
      </c>
      <c r="CG244" s="138"/>
      <c r="CH244" s="138"/>
      <c r="CI244" s="138">
        <v>5</v>
      </c>
      <c r="CJ244" s="139"/>
      <c r="CK244" s="139"/>
      <c r="CL244" s="99"/>
      <c r="CM244" s="99"/>
      <c r="CN244" s="140">
        <v>43</v>
      </c>
      <c r="CO244" s="159">
        <f t="shared" si="165"/>
        <v>6.3276839999999988</v>
      </c>
      <c r="CP244" s="160">
        <v>8.6999999999999993</v>
      </c>
      <c r="CQ244" s="161">
        <v>13</v>
      </c>
      <c r="CR244" s="138">
        <v>18</v>
      </c>
      <c r="CS244" s="139">
        <v>8.4</v>
      </c>
      <c r="CT244" s="138"/>
      <c r="CU244" s="138">
        <f t="shared" si="188"/>
        <v>9.6</v>
      </c>
      <c r="CV244" s="115">
        <f t="shared" si="189"/>
        <v>1517.1427650306182</v>
      </c>
      <c r="CW244" s="115">
        <f t="shared" si="166"/>
        <v>1099.8533267027892</v>
      </c>
      <c r="CX244" s="133">
        <f t="shared" si="190"/>
        <v>0.14745762711864405</v>
      </c>
      <c r="CY244" s="116"/>
      <c r="CZ244" s="131"/>
      <c r="DA244" s="145" t="str">
        <f t="shared" si="167"/>
        <v>Газлифт</v>
      </c>
      <c r="DB244" s="146">
        <f t="shared" si="168"/>
        <v>6.3276839999999988</v>
      </c>
      <c r="DC244" s="142">
        <f t="shared" si="151"/>
        <v>8.6999999999999993</v>
      </c>
      <c r="DD244" s="119">
        <f t="shared" si="152"/>
        <v>13</v>
      </c>
      <c r="DE244" s="115">
        <f t="shared" si="169"/>
        <v>9.6</v>
      </c>
      <c r="DF244" s="121">
        <f t="shared" si="170"/>
        <v>8.4</v>
      </c>
      <c r="DG244" s="115">
        <f t="shared" si="171"/>
        <v>1517.1427650306182</v>
      </c>
      <c r="DH244" s="115">
        <f t="shared" si="172"/>
        <v>43</v>
      </c>
      <c r="DI244" s="147"/>
      <c r="DJ244" s="111">
        <v>43531</v>
      </c>
      <c r="DK244" s="112">
        <v>41994</v>
      </c>
      <c r="DL244" s="113">
        <f t="shared" ca="1" si="192"/>
        <v>3110</v>
      </c>
      <c r="DM244" s="114"/>
      <c r="DN244" s="114"/>
      <c r="DO244" s="114"/>
      <c r="DP244" s="114"/>
      <c r="DQ244" s="112">
        <v>43993</v>
      </c>
      <c r="DR244" s="114" t="s">
        <v>198</v>
      </c>
      <c r="DS244" s="114"/>
      <c r="DT244" s="115">
        <v>60</v>
      </c>
      <c r="DU244" s="116">
        <f t="shared" si="193"/>
        <v>0.20714285714285713</v>
      </c>
      <c r="DV244" s="117">
        <f t="shared" si="194"/>
        <v>6.3276839999999988</v>
      </c>
      <c r="DW244" s="118">
        <f t="shared" si="195"/>
        <v>8.6999999999999993</v>
      </c>
      <c r="DX244" s="119">
        <f t="shared" si="173"/>
        <v>13</v>
      </c>
      <c r="DY244" s="115">
        <f t="shared" si="196"/>
        <v>9.6</v>
      </c>
      <c r="DZ244" s="117">
        <f t="shared" si="197"/>
        <v>0</v>
      </c>
      <c r="EA244" s="120">
        <f t="shared" si="197"/>
        <v>0</v>
      </c>
      <c r="EB244" s="119">
        <f t="shared" si="197"/>
        <v>0</v>
      </c>
      <c r="EC244" s="121">
        <f t="shared" si="198"/>
        <v>0</v>
      </c>
      <c r="ED244" s="122"/>
      <c r="EE244" s="145">
        <v>65</v>
      </c>
      <c r="EF244" s="115">
        <v>23</v>
      </c>
      <c r="EG244" s="115">
        <v>38</v>
      </c>
      <c r="EH244" s="115">
        <v>22</v>
      </c>
      <c r="EI244" s="128" t="s">
        <v>195</v>
      </c>
      <c r="EJ244" s="121">
        <v>24</v>
      </c>
      <c r="EK244" s="121">
        <v>0</v>
      </c>
      <c r="EL244" s="162">
        <v>6.1027999999999993</v>
      </c>
      <c r="EM244" s="142">
        <v>7.3</v>
      </c>
      <c r="EN244" s="119">
        <v>0</v>
      </c>
      <c r="EO244" s="115">
        <v>19</v>
      </c>
      <c r="EP244" s="115">
        <v>1736.907648948024</v>
      </c>
      <c r="EQ244" s="115">
        <v>64</v>
      </c>
      <c r="ER244" s="115">
        <v>8.4</v>
      </c>
      <c r="ES244" s="115">
        <v>45</v>
      </c>
      <c r="ET244" s="150">
        <v>0.1280701754385965</v>
      </c>
      <c r="EU244" s="145">
        <f t="shared" si="174"/>
        <v>65</v>
      </c>
      <c r="EV244" s="115">
        <f t="shared" si="175"/>
        <v>21</v>
      </c>
      <c r="EW244" s="115">
        <f t="shared" si="175"/>
        <v>40</v>
      </c>
      <c r="EX244" s="115">
        <f t="shared" si="175"/>
        <v>20</v>
      </c>
      <c r="EY244" s="115" t="str">
        <f t="shared" si="156"/>
        <v>Постоянный</v>
      </c>
      <c r="EZ244" s="115">
        <f t="shared" si="156"/>
        <v>24</v>
      </c>
      <c r="FA244" s="115">
        <f t="shared" si="156"/>
        <v>0</v>
      </c>
      <c r="FB244" s="149">
        <f t="shared" si="176"/>
        <v>6.3276839999999988</v>
      </c>
      <c r="FC244" s="142">
        <f t="shared" si="176"/>
        <v>8.6999999999999993</v>
      </c>
      <c r="FD244" s="119">
        <f t="shared" si="176"/>
        <v>13</v>
      </c>
      <c r="FE244" s="121">
        <f t="shared" si="176"/>
        <v>18</v>
      </c>
      <c r="FF244" s="121">
        <f t="shared" si="199"/>
        <v>1517.1427650306182</v>
      </c>
      <c r="FG244" s="121">
        <f t="shared" si="177"/>
        <v>68</v>
      </c>
      <c r="FH244" s="121">
        <f t="shared" si="200"/>
        <v>8.4</v>
      </c>
      <c r="FI244" s="121">
        <f t="shared" si="154"/>
        <v>43</v>
      </c>
      <c r="FJ244" s="144">
        <f t="shared" si="178"/>
        <v>0.14745762711864405</v>
      </c>
      <c r="FK244" s="132">
        <f t="shared" si="179"/>
        <v>0</v>
      </c>
      <c r="FL244" s="115">
        <f t="shared" si="179"/>
        <v>-2</v>
      </c>
      <c r="FM244" s="115">
        <f t="shared" si="179"/>
        <v>2</v>
      </c>
      <c r="FN244" s="115">
        <f t="shared" si="162"/>
        <v>-2</v>
      </c>
      <c r="FO244" s="115">
        <f t="shared" ref="FO244:FT307" si="201">EZ244-EJ244</f>
        <v>0</v>
      </c>
      <c r="FP244" s="115">
        <f t="shared" si="201"/>
        <v>0</v>
      </c>
      <c r="FQ244" s="149">
        <f t="shared" si="201"/>
        <v>0.22488399999999942</v>
      </c>
      <c r="FR244" s="142">
        <f t="shared" si="201"/>
        <v>1.3999999999999995</v>
      </c>
      <c r="FS244" s="119">
        <f t="shared" si="201"/>
        <v>13</v>
      </c>
      <c r="FT244" s="121">
        <f t="shared" si="201"/>
        <v>-1</v>
      </c>
      <c r="FU244" s="121">
        <f t="shared" si="180"/>
        <v>4</v>
      </c>
      <c r="FV244" s="121">
        <f t="shared" si="180"/>
        <v>0</v>
      </c>
      <c r="FW244" s="121">
        <f t="shared" si="181"/>
        <v>-219.76488391740577</v>
      </c>
      <c r="FX244" s="121">
        <f>CN244-ES244</f>
        <v>-2</v>
      </c>
      <c r="FY244" s="144">
        <f t="shared" si="182"/>
        <v>1.9387451680047546E-2</v>
      </c>
      <c r="FZ244" s="145"/>
      <c r="GA244" s="151"/>
      <c r="GB244" s="145" t="s">
        <v>199</v>
      </c>
      <c r="GC244" s="151" t="s">
        <v>415</v>
      </c>
      <c r="GD244" s="997" t="s">
        <v>416</v>
      </c>
      <c r="GE244" s="1004" t="s">
        <v>199</v>
      </c>
      <c r="GF244" s="1004">
        <v>-0.97633263200000098</v>
      </c>
      <c r="GG244" s="1004" t="s">
        <v>223</v>
      </c>
      <c r="GH244" s="1004">
        <v>-2.1577812079999994</v>
      </c>
      <c r="GI244" s="145"/>
      <c r="GJ244" s="996">
        <v>0</v>
      </c>
      <c r="GK244" s="145" t="s">
        <v>223</v>
      </c>
      <c r="GL244" s="996">
        <v>1.2119391679999989</v>
      </c>
      <c r="GM244" s="1005" t="s">
        <v>240</v>
      </c>
      <c r="GN244" s="996">
        <v>-4.6722620471999985</v>
      </c>
      <c r="GO244" s="1006" t="s">
        <v>25</v>
      </c>
      <c r="GP244" s="996">
        <v>4.0528529271999982</v>
      </c>
      <c r="GQ244" s="1006"/>
      <c r="GR244" s="996">
        <v>0</v>
      </c>
      <c r="GS244" s="1006" t="s">
        <v>203</v>
      </c>
      <c r="GT244" s="996">
        <v>-2.357376207999998</v>
      </c>
      <c r="GU244" s="1006"/>
      <c r="GV244" s="996">
        <v>-0.15716800000000042</v>
      </c>
      <c r="GW244" s="1006" t="s">
        <v>203</v>
      </c>
      <c r="GX244" s="1035">
        <v>-9.2551887999999991</v>
      </c>
      <c r="GY244" s="1006" t="s">
        <v>25</v>
      </c>
      <c r="GZ244" s="996">
        <v>20.414116799999999</v>
      </c>
      <c r="HA244" s="1006"/>
      <c r="HB244" s="996">
        <v>-3.4517394999999995</v>
      </c>
      <c r="HC244" s="1006"/>
      <c r="HD244" s="996">
        <v>-3.2028205000000005</v>
      </c>
      <c r="HE244" s="1006" t="s">
        <v>199</v>
      </c>
      <c r="HF244" s="996">
        <v>3.00869294</v>
      </c>
      <c r="HG244" s="1006"/>
      <c r="HH244" s="996">
        <v>0</v>
      </c>
      <c r="HI244" s="1006"/>
      <c r="HJ244" s="996">
        <v>0</v>
      </c>
      <c r="HK244" s="1006"/>
      <c r="HL244" s="996">
        <v>0</v>
      </c>
      <c r="HM244" s="1006" t="s">
        <v>308</v>
      </c>
      <c r="HN244" s="996">
        <v>0.91515415200000039</v>
      </c>
      <c r="HO244" s="1006"/>
      <c r="HP244" s="996">
        <v>-0.69311673200000001</v>
      </c>
      <c r="HQ244" s="1006" t="s">
        <v>223</v>
      </c>
      <c r="HR244" s="996">
        <v>-3.0565915599999998</v>
      </c>
      <c r="HS244" s="1006"/>
      <c r="HT244" s="996">
        <v>0.12437172000000007</v>
      </c>
      <c r="HU244" s="1006"/>
      <c r="HV244" s="996">
        <v>-0.31188652000000072</v>
      </c>
      <c r="HW244" s="1006"/>
      <c r="HX244" s="996">
        <v>0</v>
      </c>
      <c r="HY244" s="1006" t="s">
        <v>199</v>
      </c>
      <c r="HZ244" s="996">
        <v>-4.0332159560000003</v>
      </c>
      <c r="IA244" s="1006"/>
      <c r="IB244" s="996">
        <v>0</v>
      </c>
      <c r="IC244" s="1006"/>
      <c r="ID244" s="996">
        <v>0</v>
      </c>
      <c r="IE244" s="1006" t="s">
        <v>223</v>
      </c>
      <c r="IF244" s="996">
        <v>-4.6001567127999987</v>
      </c>
      <c r="IG244" s="1006"/>
      <c r="IH244" s="996">
        <v>-0.59355264320000067</v>
      </c>
      <c r="II244" s="1006" t="s">
        <v>25</v>
      </c>
      <c r="IJ244" s="996">
        <v>10.217250912000001</v>
      </c>
      <c r="IK244" s="1006"/>
      <c r="IL244" s="996">
        <v>0</v>
      </c>
      <c r="IM244" s="1006"/>
      <c r="IN244" s="996">
        <v>0</v>
      </c>
      <c r="IO244" s="1006"/>
      <c r="IP244" s="996">
        <v>0</v>
      </c>
      <c r="IQ244" s="1006" t="s">
        <v>897</v>
      </c>
      <c r="IR244" s="996">
        <v>-5.7134888448000005</v>
      </c>
      <c r="IS244" s="1006"/>
      <c r="IT244" s="996">
        <v>0</v>
      </c>
      <c r="IU244" s="1006"/>
      <c r="IV244" s="996">
        <v>0</v>
      </c>
      <c r="IW244" s="1006" t="s">
        <v>25</v>
      </c>
      <c r="IX244" s="996">
        <v>1.3821728447999995</v>
      </c>
      <c r="IY244" s="1006"/>
      <c r="IZ244" s="996">
        <v>0</v>
      </c>
      <c r="JA244" s="1006"/>
      <c r="JB244" s="996">
        <v>0</v>
      </c>
      <c r="JC244" s="1006"/>
      <c r="JD244" s="996">
        <v>0</v>
      </c>
      <c r="JE244" s="1006"/>
      <c r="JF244" s="996">
        <v>0</v>
      </c>
      <c r="JG244" s="1006"/>
      <c r="JH244" s="996">
        <v>0</v>
      </c>
      <c r="JI244" s="1006"/>
      <c r="JJ244" s="996">
        <v>0</v>
      </c>
      <c r="JK244" s="1007" t="s">
        <v>199</v>
      </c>
      <c r="JL244" s="1007">
        <v>-1.2886492739999991</v>
      </c>
      <c r="JM244" s="1007" t="s">
        <v>199</v>
      </c>
      <c r="JN244" s="1007">
        <v>9.7378513099999999</v>
      </c>
      <c r="JO244" s="1008" t="s">
        <v>199</v>
      </c>
      <c r="JP244" s="1007">
        <v>-8.3657943159999988</v>
      </c>
      <c r="JQ244" s="1008">
        <v>0</v>
      </c>
      <c r="JR244" s="1007">
        <v>0</v>
      </c>
      <c r="JS244" s="1008" t="s">
        <v>204</v>
      </c>
      <c r="JT244" s="1007">
        <v>-9.00803376</v>
      </c>
      <c r="JU244" s="1008"/>
      <c r="JV244" s="1007">
        <v>0</v>
      </c>
      <c r="JW244" s="1008" t="s">
        <v>197</v>
      </c>
      <c r="JX244" s="1007">
        <v>0</v>
      </c>
      <c r="JY244" s="1008"/>
      <c r="JZ244" s="1007">
        <v>0</v>
      </c>
      <c r="KA244" s="1008"/>
      <c r="KB244" s="1007">
        <v>0</v>
      </c>
      <c r="KC244" s="1008" t="s">
        <v>221</v>
      </c>
      <c r="KD244" s="1007">
        <v>11.593673079999999</v>
      </c>
      <c r="KE244" s="1008"/>
      <c r="KF244" s="1007">
        <v>0</v>
      </c>
      <c r="KG244" s="1008"/>
      <c r="KH244" s="1007">
        <v>0</v>
      </c>
      <c r="KI244" s="1008"/>
      <c r="KJ244" s="1007">
        <v>0</v>
      </c>
      <c r="KK244" s="1008"/>
      <c r="KL244" s="1007">
        <v>0</v>
      </c>
      <c r="KM244" s="1008" t="s">
        <v>207</v>
      </c>
      <c r="KN244" s="1007">
        <v>-5.0044632</v>
      </c>
      <c r="KO244" s="1008"/>
      <c r="KP244" s="1007">
        <v>0</v>
      </c>
      <c r="KQ244" s="1008" t="s">
        <v>207</v>
      </c>
      <c r="KR244" s="1007">
        <v>4.0512225600000011</v>
      </c>
      <c r="KS244" s="1008" t="s">
        <v>207</v>
      </c>
      <c r="KT244" s="1007">
        <v>-5.8051840000000006</v>
      </c>
      <c r="KU244" s="1008">
        <v>0</v>
      </c>
      <c r="KV244" s="1007">
        <v>0</v>
      </c>
      <c r="KW244" s="1008" t="s">
        <v>204</v>
      </c>
      <c r="KX244" s="1007">
        <v>-3.7056745000000024</v>
      </c>
      <c r="KY244" s="1008" t="s">
        <v>25</v>
      </c>
      <c r="KZ244" s="1007">
        <v>4.4614184999999988</v>
      </c>
      <c r="LA244" s="1008" t="s">
        <v>199</v>
      </c>
      <c r="LB244" s="1007">
        <v>4.169550000000001</v>
      </c>
      <c r="LC244" s="1008" t="s">
        <v>199</v>
      </c>
      <c r="LD244" s="1007">
        <v>-4.169550000000001</v>
      </c>
      <c r="LE244" s="1008">
        <v>0</v>
      </c>
      <c r="LF244" s="1007">
        <v>0</v>
      </c>
      <c r="LG244" s="1008">
        <v>0</v>
      </c>
      <c r="LH244" s="1007">
        <v>0</v>
      </c>
      <c r="LI244" s="1008" t="s">
        <v>223</v>
      </c>
      <c r="LJ244" s="1007">
        <v>-6.6712800000000012</v>
      </c>
      <c r="LK244" s="1008">
        <v>0</v>
      </c>
      <c r="LL244" s="1007">
        <v>0</v>
      </c>
      <c r="LM244" s="1008" t="s">
        <v>207</v>
      </c>
      <c r="LN244" s="1007">
        <v>-5.8373699999999999</v>
      </c>
      <c r="LO244" s="1008">
        <v>0</v>
      </c>
      <c r="LP244" s="1007">
        <v>0</v>
      </c>
      <c r="LQ244" s="1008">
        <v>0</v>
      </c>
      <c r="LR244" s="1007">
        <v>-0.41695499999999802</v>
      </c>
      <c r="LS244" s="1008">
        <v>0</v>
      </c>
      <c r="LT244" s="1007">
        <v>0</v>
      </c>
      <c r="LU244" s="1008">
        <v>0</v>
      </c>
      <c r="LV244" s="1007">
        <v>0</v>
      </c>
      <c r="LW244" s="1008">
        <v>0</v>
      </c>
      <c r="LX244" s="1007">
        <v>6.2543249999999979</v>
      </c>
      <c r="LY244" s="1009">
        <v>0</v>
      </c>
      <c r="LZ244" s="1010">
        <v>0</v>
      </c>
      <c r="MA244" s="1011">
        <v>0</v>
      </c>
      <c r="MB244" s="1012">
        <v>0</v>
      </c>
      <c r="MC244" s="995"/>
      <c r="MD244" s="996"/>
      <c r="ME244" s="997" t="s">
        <v>416</v>
      </c>
      <c r="MF244" s="997"/>
      <c r="MG244" s="998"/>
      <c r="NN244" s="1029"/>
      <c r="NO244" s="1029"/>
      <c r="NP244" s="1029"/>
      <c r="NQ244" s="1029"/>
      <c r="NR244" s="1000"/>
      <c r="NS244" s="1000"/>
      <c r="NT244" s="1001"/>
      <c r="NU244" s="1000"/>
      <c r="NV244" s="1001"/>
      <c r="NX244" s="1002"/>
      <c r="NZ244" s="1001"/>
      <c r="OA244" s="1001"/>
      <c r="OC244" s="1003"/>
      <c r="OD244" s="1003"/>
      <c r="OE244" s="1001"/>
      <c r="OF244" s="1003"/>
      <c r="OG244" s="1003"/>
      <c r="OH244" s="1029"/>
      <c r="OI244" s="1029"/>
      <c r="QX244" s="1000">
        <f>CN244-CA244</f>
        <v>22</v>
      </c>
      <c r="ASU244" s="1029" t="s">
        <v>208</v>
      </c>
    </row>
    <row r="245" spans="1:466 1191:1191" ht="21" customHeight="1" x14ac:dyDescent="0.25">
      <c r="A245" s="982">
        <f t="shared" si="163"/>
        <v>1135</v>
      </c>
      <c r="B245" s="124">
        <f>SUBTOTAL(103,$J$29:J245)</f>
        <v>217</v>
      </c>
      <c r="C245" s="126">
        <v>45068</v>
      </c>
      <c r="D245" s="124" t="s">
        <v>176</v>
      </c>
      <c r="E245" s="127" t="s">
        <v>177</v>
      </c>
      <c r="F245" s="128" t="s">
        <v>177</v>
      </c>
      <c r="G245" s="127" t="s">
        <v>178</v>
      </c>
      <c r="H245" s="127" t="s">
        <v>179</v>
      </c>
      <c r="I245" s="127" t="s">
        <v>1061</v>
      </c>
      <c r="J245" s="152">
        <v>1135</v>
      </c>
      <c r="K245" s="127" t="s">
        <v>1061</v>
      </c>
      <c r="L245" s="130">
        <v>41423</v>
      </c>
      <c r="M245" s="127" t="s">
        <v>230</v>
      </c>
      <c r="N245" s="127" t="s">
        <v>184</v>
      </c>
      <c r="O245" s="127" t="s">
        <v>185</v>
      </c>
      <c r="P245" s="127" t="s">
        <v>186</v>
      </c>
      <c r="Q245" s="85" t="str">
        <f t="shared" si="187"/>
        <v/>
      </c>
      <c r="R245" s="130"/>
      <c r="S245" s="128"/>
      <c r="T245" s="131"/>
      <c r="U245" s="132">
        <v>203</v>
      </c>
      <c r="V245" s="121">
        <v>218.2</v>
      </c>
      <c r="W245" s="116">
        <v>0.98</v>
      </c>
      <c r="X245" s="116">
        <v>1.66</v>
      </c>
      <c r="Y245" s="116">
        <f t="shared" si="191"/>
        <v>1.0722383337727392</v>
      </c>
      <c r="Z245" s="133">
        <v>1.454</v>
      </c>
      <c r="AA245" s="133">
        <v>0.83599999999999997</v>
      </c>
      <c r="AB245" s="133">
        <v>0.72</v>
      </c>
      <c r="AC245" s="121">
        <v>34.299999999999997</v>
      </c>
      <c r="AD245" s="134">
        <v>1.17</v>
      </c>
      <c r="AE245" s="124">
        <v>177.8</v>
      </c>
      <c r="AF245" s="128">
        <v>9.19</v>
      </c>
      <c r="AG245" s="128">
        <v>2290</v>
      </c>
      <c r="AH245" s="127" t="s">
        <v>1119</v>
      </c>
      <c r="AI245" s="127">
        <v>2250</v>
      </c>
      <c r="AJ245" s="135"/>
      <c r="AK245" s="128"/>
      <c r="AL245" s="131"/>
      <c r="AM245" s="124" t="s">
        <v>232</v>
      </c>
      <c r="AN245" s="136" t="s">
        <v>1120</v>
      </c>
      <c r="AO245" s="137">
        <v>51.2</v>
      </c>
      <c r="AP245" s="128">
        <v>2150</v>
      </c>
      <c r="AQ245" s="128">
        <v>418.5</v>
      </c>
      <c r="AR245" s="128"/>
      <c r="AS245" s="128"/>
      <c r="AT245" s="122"/>
      <c r="AU245" s="124" t="s">
        <v>189</v>
      </c>
      <c r="AV245" s="115">
        <f>VLOOKUP(J245,'[63]ТР нефть'!$J$28:$BP$638,39,0)</f>
        <v>519.99999931599996</v>
      </c>
      <c r="AW245" s="115" t="str">
        <f>VLOOKUP(J245,'[63]ТР нефть'!$J$28:$BP$638,40,0)</f>
        <v>ГП</v>
      </c>
      <c r="AX245" s="115">
        <f>VLOOKUP(J245,'[63]ТР нефть'!$J$28:$BP$638,41,0)</f>
        <v>920.00003027299999</v>
      </c>
      <c r="AY245" s="115" t="str">
        <f>VLOOKUP(J245,'[63]ТР нефть'!$J$28:$BP$638,42,0)</f>
        <v>ГК 84 1/8</v>
      </c>
      <c r="AZ245" s="115">
        <f>VLOOKUP(J245,'[63]ТР нефть'!$J$28:$BP$638,43,0)</f>
        <v>1245.000025195</v>
      </c>
      <c r="BA245" s="115" t="str">
        <f>VLOOKUP(J245,'[63]ТР нефть'!$J$28:$BP$638,44,0)</f>
        <v>ГК 82 1/8</v>
      </c>
      <c r="BB245" s="115">
        <f>VLOOKUP(J245,'[63]ТР нефть'!$J$28:$BP$638,45,0)</f>
        <v>1530.0000058590001</v>
      </c>
      <c r="BC245" s="115" t="str">
        <f>VLOOKUP(J245,'[63]ТР нефть'!$J$28:$BP$638,46,0)</f>
        <v>ГК 81 1/8</v>
      </c>
      <c r="BD245" s="115">
        <f>VLOOKUP(J245,'[63]ТР нефть'!$J$28:$BP$638,47,0)</f>
        <v>1730.000002734</v>
      </c>
      <c r="BE245" s="115" t="str">
        <f>VLOOKUP(J245,'[63]ТР нефть'!$J$28:$BP$638,48,0)</f>
        <v>ЦКсОК 5/16</v>
      </c>
      <c r="BF245" s="115" t="str">
        <f>VLOOKUP(J245,'[63]ТР нефть'!$J$28:$BP$638,49,0)</f>
        <v>-</v>
      </c>
      <c r="BG245" s="115" t="str">
        <f>VLOOKUP(J245,'[63]ТР нефть'!$J$28:$BP$638,50,0)</f>
        <v>-</v>
      </c>
      <c r="BH245" s="115">
        <f>VLOOKUP(J245,'[63]ТР нефть'!$J$28:$BP$638,51,0)</f>
        <v>1740</v>
      </c>
      <c r="BI245" s="115" t="str">
        <f>VLOOKUP(J245,'[63]ТР нефть'!$J$28:$BP$638,52,0)</f>
        <v>закрыт</v>
      </c>
      <c r="BJ245" s="115" t="str">
        <f>IF(IFERROR(VLOOKUP(J245,'[63]ТР нефть'!$J$28:$BP$638,53,0),"-")=0,"-",IFERROR(VLOOKUP(J245,'[63]ТР нефть'!$J$28:$BP$638,53,0),"-"))</f>
        <v>-</v>
      </c>
      <c r="BK245" s="138" t="str">
        <f>IF(IFERROR(VLOOKUP(J245,'[63]ТР нефть'!$J$28:$BP$638,54,0),"-")=0,"-",IFERROR(VLOOKUP(J245,'[63]ТР нефть'!$J$28:$BP$638,54,0),"-"))</f>
        <v>-</v>
      </c>
      <c r="BL245" s="138" t="str">
        <f>IF(IFERROR(VLOOKUP(J245,'[63]ТР нефть'!$J$28:$BP$638,55,0),"-")=0,"-",IFERROR(VLOOKUP(J245,'[63]ТР нефть'!$J$28:$BP$638,55,0),"-"))</f>
        <v>-</v>
      </c>
      <c r="BM245" s="138" t="str">
        <f>IF(IFERROR(VLOOKUP(J245,'[63]ТР нефть'!$J$28:$BP$638,56,0),"-")=0,"-",IFERROR(VLOOKUP(J245,'[63]ТР нефть'!$J$28:$BP$638,56,0),"-"))</f>
        <v>-</v>
      </c>
      <c r="BN245" s="138" t="str">
        <f>IF(IFERROR(VLOOKUP(J245,'[63]ТР нефть'!$J$28:$BP$638,57,0),"-")=0,"-",IFERROR(VLOOKUP(J245,'[63]ТР нефть'!$J$28:$BP$638,57,0),"-"))</f>
        <v>-</v>
      </c>
      <c r="BO245" s="115" t="str">
        <f>IF(IFERROR(VLOOKUP(J245,'[63]ТР нефть'!$J$28:$BP$638,58,0),"-")=0,"-",IFERROR(VLOOKUP(J245,'[63]ТР нефть'!$J$28:$BP$638,58,0),"-"))</f>
        <v>-</v>
      </c>
      <c r="BP245" s="115" t="str">
        <f>IF(IFERROR(VLOOKUP(J245,'[63]ТР нефть'!$J$28:$BP$638,59,0),"-")=0,"-",IFERROR(VLOOKUP(J245,'[63]ТР нефть'!$J$28:$BP$638,59,0),"-"))</f>
        <v>-</v>
      </c>
      <c r="BQ245" s="138">
        <v>1762</v>
      </c>
      <c r="BR245" s="128">
        <v>1669.5</v>
      </c>
      <c r="BS245" s="115">
        <f t="shared" si="164"/>
        <v>92.5</v>
      </c>
      <c r="BT245" s="128">
        <v>73</v>
      </c>
      <c r="BU245" s="128">
        <v>5.5</v>
      </c>
      <c r="BV245" s="127">
        <v>18</v>
      </c>
      <c r="BW245" s="127" t="s">
        <v>217</v>
      </c>
      <c r="BX245" s="127" t="s">
        <v>195</v>
      </c>
      <c r="BY245" s="139">
        <v>24</v>
      </c>
      <c r="BZ245" s="139">
        <v>0</v>
      </c>
      <c r="CA245" s="80">
        <v>22</v>
      </c>
      <c r="CB245" s="138">
        <v>44</v>
      </c>
      <c r="CC245" s="138">
        <v>21</v>
      </c>
      <c r="CD245" s="135">
        <v>45017</v>
      </c>
      <c r="CE245" s="138">
        <v>125</v>
      </c>
      <c r="CF245" s="138">
        <v>76</v>
      </c>
      <c r="CG245" s="138" t="str">
        <f t="shared" ref="CG245:CG259" si="202">IF(CH245&lt;&gt;"","В работе","")</f>
        <v>В работе</v>
      </c>
      <c r="CH245" s="138" t="s">
        <v>235</v>
      </c>
      <c r="CI245" s="127">
        <v>5</v>
      </c>
      <c r="CJ245" s="138"/>
      <c r="CK245" s="138">
        <f t="shared" si="157"/>
        <v>41</v>
      </c>
      <c r="CL245" s="99"/>
      <c r="CM245" s="99"/>
      <c r="CN245" s="140">
        <v>63</v>
      </c>
      <c r="CO245" s="141">
        <f t="shared" si="165"/>
        <v>6.6044</v>
      </c>
      <c r="CP245" s="142">
        <v>10</v>
      </c>
      <c r="CQ245" s="143">
        <v>21</v>
      </c>
      <c r="CR245" s="138">
        <v>13</v>
      </c>
      <c r="CS245" s="139">
        <v>11</v>
      </c>
      <c r="CT245" s="138"/>
      <c r="CU245" s="138">
        <f t="shared" si="188"/>
        <v>2</v>
      </c>
      <c r="CV245" s="115">
        <f t="shared" si="189"/>
        <v>302.82841741869055</v>
      </c>
      <c r="CW245" s="115">
        <f t="shared" si="166"/>
        <v>1217.3258670680154</v>
      </c>
      <c r="CX245" s="133">
        <f t="shared" si="190"/>
        <v>0.16129032258064516</v>
      </c>
      <c r="CY245" s="116"/>
      <c r="CZ245" s="131"/>
      <c r="DA245" s="145" t="str">
        <f t="shared" si="167"/>
        <v>Газлифт</v>
      </c>
      <c r="DB245" s="146">
        <f t="shared" si="168"/>
        <v>6.6044</v>
      </c>
      <c r="DC245" s="142">
        <f t="shared" ref="DC245:DC284" si="203">IFERROR(IF(AND(FZ245="Технология",FQ245&lt;$JC$24),EM245,CP245),"-")</f>
        <v>10</v>
      </c>
      <c r="DD245" s="119">
        <f t="shared" ref="DD245:DD308" si="204">IFERROR(IF(AND(FZ245="Технология",FQ245&lt;$JC$29),EN245,CQ245),"-")</f>
        <v>21</v>
      </c>
      <c r="DE245" s="115">
        <f t="shared" si="169"/>
        <v>2</v>
      </c>
      <c r="DF245" s="121">
        <f t="shared" si="170"/>
        <v>11</v>
      </c>
      <c r="DG245" s="115">
        <f t="shared" si="171"/>
        <v>302.82841741869055</v>
      </c>
      <c r="DH245" s="115">
        <f t="shared" si="172"/>
        <v>63</v>
      </c>
      <c r="DI245" s="147"/>
      <c r="DJ245" s="111">
        <v>43745</v>
      </c>
      <c r="DK245" s="112">
        <v>42218</v>
      </c>
      <c r="DL245" s="113">
        <f t="shared" ca="1" si="192"/>
        <v>2886</v>
      </c>
      <c r="DM245" s="114"/>
      <c r="DN245" s="114"/>
      <c r="DO245" s="114"/>
      <c r="DP245" s="114"/>
      <c r="DQ245" s="112">
        <v>43241</v>
      </c>
      <c r="DR245" s="114" t="s">
        <v>198</v>
      </c>
      <c r="DS245" s="114"/>
      <c r="DT245" s="115">
        <v>50</v>
      </c>
      <c r="DU245" s="116">
        <f t="shared" si="193"/>
        <v>0.15172692831132525</v>
      </c>
      <c r="DV245" s="117">
        <f t="shared" si="194"/>
        <v>7.5154899400448727</v>
      </c>
      <c r="DW245" s="118">
        <f t="shared" si="195"/>
        <v>11.379519623349394</v>
      </c>
      <c r="DX245" s="119">
        <f t="shared" si="173"/>
        <v>21</v>
      </c>
      <c r="DY245" s="115">
        <f t="shared" si="196"/>
        <v>2.2759039246698785</v>
      </c>
      <c r="DZ245" s="117">
        <f t="shared" si="197"/>
        <v>0.91108994004487265</v>
      </c>
      <c r="EA245" s="120">
        <f t="shared" si="197"/>
        <v>1.3795196233493936</v>
      </c>
      <c r="EB245" s="119">
        <f t="shared" si="197"/>
        <v>0</v>
      </c>
      <c r="EC245" s="121">
        <f t="shared" si="198"/>
        <v>0.27590392466987845</v>
      </c>
      <c r="ED245" s="122"/>
      <c r="EE245" s="145">
        <v>18</v>
      </c>
      <c r="EF245" s="148">
        <v>25</v>
      </c>
      <c r="EG245" s="115">
        <v>46</v>
      </c>
      <c r="EH245" s="115">
        <v>24</v>
      </c>
      <c r="EI245" s="128" t="s">
        <v>195</v>
      </c>
      <c r="EJ245" s="121">
        <v>24</v>
      </c>
      <c r="EK245" s="121">
        <v>0</v>
      </c>
      <c r="EL245" s="149">
        <v>7.5407200000000012</v>
      </c>
      <c r="EM245" s="142">
        <v>11</v>
      </c>
      <c r="EN245" s="119">
        <v>18</v>
      </c>
      <c r="EO245" s="115">
        <v>14</v>
      </c>
      <c r="EP245" s="115">
        <v>265.22666270594846</v>
      </c>
      <c r="EQ245" s="115">
        <v>78</v>
      </c>
      <c r="ER245" s="115">
        <v>12</v>
      </c>
      <c r="ES245" s="115">
        <v>66</v>
      </c>
      <c r="ET245" s="150">
        <v>0.1864406779661017</v>
      </c>
      <c r="EU245" s="145">
        <f t="shared" si="174"/>
        <v>18</v>
      </c>
      <c r="EV245" s="115">
        <f t="shared" si="175"/>
        <v>22</v>
      </c>
      <c r="EW245" s="115">
        <f t="shared" si="175"/>
        <v>44</v>
      </c>
      <c r="EX245" s="115">
        <f t="shared" si="175"/>
        <v>21</v>
      </c>
      <c r="EY245" s="115" t="str">
        <f t="shared" si="156"/>
        <v>Постоянный</v>
      </c>
      <c r="EZ245" s="115">
        <f t="shared" si="156"/>
        <v>24</v>
      </c>
      <c r="FA245" s="115">
        <f t="shared" si="156"/>
        <v>0</v>
      </c>
      <c r="FB245" s="149">
        <f t="shared" si="176"/>
        <v>6.6044</v>
      </c>
      <c r="FC245" s="142">
        <f t="shared" si="176"/>
        <v>10</v>
      </c>
      <c r="FD245" s="119">
        <f t="shared" si="176"/>
        <v>21</v>
      </c>
      <c r="FE245" s="121">
        <f t="shared" si="176"/>
        <v>13</v>
      </c>
      <c r="FF245" s="121">
        <f t="shared" si="199"/>
        <v>302.82841741869055</v>
      </c>
      <c r="FG245" s="121">
        <f t="shared" si="177"/>
        <v>76</v>
      </c>
      <c r="FH245" s="121">
        <f t="shared" si="200"/>
        <v>11</v>
      </c>
      <c r="FI245" s="121">
        <f t="shared" si="154"/>
        <v>63</v>
      </c>
      <c r="FJ245" s="144">
        <f t="shared" si="178"/>
        <v>0.16129032258064516</v>
      </c>
      <c r="FK245" s="132">
        <f t="shared" si="179"/>
        <v>0</v>
      </c>
      <c r="FL245" s="115">
        <f t="shared" si="179"/>
        <v>-3</v>
      </c>
      <c r="FM245" s="115">
        <f t="shared" si="179"/>
        <v>-2</v>
      </c>
      <c r="FN245" s="115">
        <f t="shared" si="162"/>
        <v>-3</v>
      </c>
      <c r="FO245" s="115">
        <f t="shared" si="201"/>
        <v>0</v>
      </c>
      <c r="FP245" s="115">
        <f t="shared" si="201"/>
        <v>0</v>
      </c>
      <c r="FQ245" s="149">
        <f t="shared" si="201"/>
        <v>-0.93632000000000115</v>
      </c>
      <c r="FR245" s="142">
        <f t="shared" si="201"/>
        <v>-1</v>
      </c>
      <c r="FS245" s="119">
        <f t="shared" si="201"/>
        <v>3</v>
      </c>
      <c r="FT245" s="121">
        <f t="shared" si="201"/>
        <v>-1</v>
      </c>
      <c r="FU245" s="121">
        <f t="shared" si="180"/>
        <v>-2</v>
      </c>
      <c r="FV245" s="121">
        <f t="shared" si="180"/>
        <v>-1</v>
      </c>
      <c r="FW245" s="121">
        <f t="shared" si="181"/>
        <v>37.601754712742093</v>
      </c>
      <c r="FX245" s="121">
        <f t="shared" si="182"/>
        <v>-3</v>
      </c>
      <c r="FY245" s="144">
        <f t="shared" si="182"/>
        <v>-2.5150355385456541E-2</v>
      </c>
      <c r="FZ245" s="145" t="s">
        <v>240</v>
      </c>
      <c r="GA245" s="151" t="s">
        <v>1121</v>
      </c>
      <c r="GB245" s="145"/>
      <c r="GC245" s="151" t="s">
        <v>964</v>
      </c>
      <c r="GD245" s="997" t="s">
        <v>220</v>
      </c>
      <c r="GE245" s="1004"/>
      <c r="GF245" s="1004">
        <v>0</v>
      </c>
      <c r="GG245" s="1004"/>
      <c r="GH245" s="1004">
        <v>-0.85606399999999905</v>
      </c>
      <c r="GI245" s="145"/>
      <c r="GJ245" s="996">
        <v>0.18659520000000107</v>
      </c>
      <c r="GK245" s="145"/>
      <c r="GL245" s="996">
        <v>0</v>
      </c>
      <c r="GM245" s="1005"/>
      <c r="GN245" s="996">
        <v>-0.48166716839999957</v>
      </c>
      <c r="GO245" s="1006"/>
      <c r="GP245" s="996">
        <v>-0.4525001316000008</v>
      </c>
      <c r="GQ245" s="1006"/>
      <c r="GR245" s="996">
        <v>-0.55793670240000104</v>
      </c>
      <c r="GS245" s="1006"/>
      <c r="GT245" s="996">
        <v>0.46449280240000235</v>
      </c>
      <c r="GU245" s="1006" t="s">
        <v>203</v>
      </c>
      <c r="GV245" s="996">
        <v>0.96139999999999759</v>
      </c>
      <c r="GW245" s="1006" t="s">
        <v>203</v>
      </c>
      <c r="GX245" s="1036">
        <v>-2.9139014079999974</v>
      </c>
      <c r="GY245" s="1006"/>
      <c r="GZ245" s="996">
        <v>0</v>
      </c>
      <c r="HA245" s="1006" t="s">
        <v>25</v>
      </c>
      <c r="HB245" s="996">
        <v>5.9688627679999975</v>
      </c>
      <c r="HC245" s="1006" t="s">
        <v>199</v>
      </c>
      <c r="HD245" s="996">
        <v>-3.319555359999999</v>
      </c>
      <c r="HE245" s="1006" t="s">
        <v>199</v>
      </c>
      <c r="HF245" s="996">
        <v>2.0726947999999989</v>
      </c>
      <c r="HG245" s="1006" t="s">
        <v>223</v>
      </c>
      <c r="HH245" s="996">
        <v>-1.9920208000000006</v>
      </c>
      <c r="HI245" s="1006"/>
      <c r="HJ245" s="996">
        <v>0.76912000000000091</v>
      </c>
      <c r="HK245" s="1006" t="s">
        <v>199</v>
      </c>
      <c r="HL245" s="996">
        <v>1.4385887999999998</v>
      </c>
      <c r="HM245" s="1006"/>
      <c r="HN245" s="996">
        <v>0</v>
      </c>
      <c r="HO245" s="1006"/>
      <c r="HP245" s="996">
        <v>0</v>
      </c>
      <c r="HQ245" s="1006"/>
      <c r="HR245" s="996">
        <v>0</v>
      </c>
      <c r="HS245" s="1006"/>
      <c r="HT245" s="996">
        <v>0.39078820000000025</v>
      </c>
      <c r="HU245" s="1006" t="s">
        <v>203</v>
      </c>
      <c r="HV245" s="996">
        <v>-1.9138129999999993</v>
      </c>
      <c r="HW245" s="1006" t="s">
        <v>203</v>
      </c>
      <c r="HX245" s="996">
        <v>-4.4095631755999998</v>
      </c>
      <c r="HY245" s="1006" t="s">
        <v>25</v>
      </c>
      <c r="HZ245" s="996">
        <v>5.6529025036</v>
      </c>
      <c r="IA245" s="1006"/>
      <c r="IB245" s="996">
        <v>0</v>
      </c>
      <c r="IC245" s="1006"/>
      <c r="ID245" s="996">
        <v>0</v>
      </c>
      <c r="IE245" s="1006"/>
      <c r="IF245" s="996">
        <v>0</v>
      </c>
      <c r="IG245" s="1006"/>
      <c r="IH245" s="996">
        <v>0</v>
      </c>
      <c r="II245" s="1006"/>
      <c r="IJ245" s="996">
        <v>0</v>
      </c>
      <c r="IK245" s="1006"/>
      <c r="IL245" s="996">
        <v>0</v>
      </c>
      <c r="IM245" s="1006"/>
      <c r="IN245" s="996">
        <v>0</v>
      </c>
      <c r="IO245" s="1006"/>
      <c r="IP245" s="996">
        <v>0</v>
      </c>
      <c r="IQ245" s="1006" t="s">
        <v>204</v>
      </c>
      <c r="IR245" s="996">
        <v>-1.409703328</v>
      </c>
      <c r="IS245" s="1006"/>
      <c r="IT245" s="996">
        <v>0</v>
      </c>
      <c r="IU245" s="1006" t="s">
        <v>223</v>
      </c>
      <c r="IV245" s="996">
        <v>-1.7388800000000009</v>
      </c>
      <c r="IW245" s="1006"/>
      <c r="IX245" s="996">
        <v>0</v>
      </c>
      <c r="IY245" s="1006" t="s">
        <v>204</v>
      </c>
      <c r="IZ245" s="996">
        <v>-2.7337199999999982</v>
      </c>
      <c r="JA245" s="1006" t="s">
        <v>204</v>
      </c>
      <c r="JB245" s="996">
        <v>8.7997359999999993</v>
      </c>
      <c r="JC245" s="1006" t="s">
        <v>204</v>
      </c>
      <c r="JD245" s="996">
        <v>-1.9158458176000002</v>
      </c>
      <c r="JE245" s="1006"/>
      <c r="JF245" s="996">
        <v>0</v>
      </c>
      <c r="JG245" s="1006"/>
      <c r="JH245" s="996">
        <v>0</v>
      </c>
      <c r="JI245" s="1006"/>
      <c r="JJ245" s="996">
        <v>0</v>
      </c>
      <c r="JK245" s="1007"/>
      <c r="JL245" s="1007">
        <v>-1.0192901823999998</v>
      </c>
      <c r="JM245" s="1007"/>
      <c r="JN245" s="1007">
        <v>0</v>
      </c>
      <c r="JO245" s="1008"/>
      <c r="JP245" s="1007">
        <v>0</v>
      </c>
      <c r="JQ245" s="1008">
        <v>0</v>
      </c>
      <c r="JR245" s="1007">
        <v>0</v>
      </c>
      <c r="JS245" s="1008">
        <v>0</v>
      </c>
      <c r="JT245" s="1007">
        <v>0</v>
      </c>
      <c r="JU245" s="1008"/>
      <c r="JV245" s="1007">
        <v>0</v>
      </c>
      <c r="JW245" s="1008" t="s">
        <v>197</v>
      </c>
      <c r="JX245" s="1007">
        <v>0</v>
      </c>
      <c r="JY245" s="1008"/>
      <c r="JZ245" s="1007">
        <v>0</v>
      </c>
      <c r="KA245" s="1008"/>
      <c r="KB245" s="1007">
        <v>0</v>
      </c>
      <c r="KC245" s="1008"/>
      <c r="KD245" s="1007">
        <v>0</v>
      </c>
      <c r="KE245" s="1008"/>
      <c r="KF245" s="1007">
        <v>0</v>
      </c>
      <c r="KG245" s="1008" t="s">
        <v>204</v>
      </c>
      <c r="KH245" s="1007">
        <v>3.1923496</v>
      </c>
      <c r="KI245" s="1008" t="s">
        <v>206</v>
      </c>
      <c r="KJ245" s="1007">
        <v>-1.6093000000000002</v>
      </c>
      <c r="KK245" s="1008"/>
      <c r="KL245" s="1007">
        <v>0</v>
      </c>
      <c r="KM245" s="1008" t="s">
        <v>349</v>
      </c>
      <c r="KN245" s="1007">
        <v>-0.95178600000000024</v>
      </c>
      <c r="KO245" s="1008" t="s">
        <v>203</v>
      </c>
      <c r="KP245" s="1007">
        <v>-6.1108924800000004</v>
      </c>
      <c r="KQ245" s="1008" t="s">
        <v>206</v>
      </c>
      <c r="KR245" s="1007">
        <v>-8.7643063199999993</v>
      </c>
      <c r="KS245" s="1008" t="s">
        <v>221</v>
      </c>
      <c r="KT245" s="1007">
        <v>8.6758591920000008</v>
      </c>
      <c r="KU245" s="1008" t="s">
        <v>25</v>
      </c>
      <c r="KV245" s="1007">
        <v>12.229825607999999</v>
      </c>
      <c r="KW245" s="1008">
        <v>0</v>
      </c>
      <c r="KX245" s="1007">
        <v>0</v>
      </c>
      <c r="KY245" s="1008">
        <v>0</v>
      </c>
      <c r="KZ245" s="1007">
        <v>0</v>
      </c>
      <c r="LA245" s="1008">
        <v>0</v>
      </c>
      <c r="LB245" s="1007">
        <v>0</v>
      </c>
      <c r="LC245" s="1008">
        <v>0</v>
      </c>
      <c r="LD245" s="1007">
        <v>0</v>
      </c>
      <c r="LE245" s="1008">
        <v>0</v>
      </c>
      <c r="LF245" s="1007">
        <v>0</v>
      </c>
      <c r="LG245" s="1008">
        <v>0</v>
      </c>
      <c r="LH245" s="1007">
        <v>0</v>
      </c>
      <c r="LI245" s="1008">
        <v>0</v>
      </c>
      <c r="LJ245" s="1007">
        <v>0</v>
      </c>
      <c r="LK245" s="1008">
        <v>0</v>
      </c>
      <c r="LL245" s="1007">
        <v>0</v>
      </c>
      <c r="LM245" s="1008">
        <v>0</v>
      </c>
      <c r="LN245" s="1007">
        <v>0</v>
      </c>
      <c r="LO245" s="1008">
        <v>0</v>
      </c>
      <c r="LP245" s="1007">
        <v>0</v>
      </c>
      <c r="LQ245" s="1008">
        <v>0</v>
      </c>
      <c r="LR245" s="1007">
        <v>0</v>
      </c>
      <c r="LS245" s="1008">
        <v>0</v>
      </c>
      <c r="LT245" s="1007">
        <v>0</v>
      </c>
      <c r="LU245" s="1008">
        <v>0</v>
      </c>
      <c r="LV245" s="1007">
        <v>0</v>
      </c>
      <c r="LW245" s="1008">
        <v>0</v>
      </c>
      <c r="LX245" s="1007">
        <v>0</v>
      </c>
      <c r="LY245" s="1009">
        <v>0</v>
      </c>
      <c r="LZ245" s="1010">
        <v>0</v>
      </c>
      <c r="MA245" s="1011">
        <v>0</v>
      </c>
      <c r="MB245" s="1012">
        <v>0</v>
      </c>
      <c r="MC245" s="995"/>
      <c r="MD245" s="996"/>
      <c r="ME245" s="997" t="s">
        <v>220</v>
      </c>
      <c r="MF245" s="997"/>
      <c r="MG245" s="998"/>
      <c r="NR245" s="1000"/>
      <c r="NS245" s="1000"/>
      <c r="NT245" s="1001"/>
      <c r="NU245" s="1000"/>
      <c r="NV245" s="1001"/>
      <c r="NX245" s="1002"/>
      <c r="NZ245" s="1001"/>
      <c r="OA245" s="1001"/>
      <c r="OC245" s="1003"/>
      <c r="OD245" s="1003"/>
      <c r="OE245" s="1001"/>
      <c r="OF245" s="1003"/>
      <c r="OG245" s="1003"/>
      <c r="QX245" s="1000">
        <f>CN245-CA245</f>
        <v>41</v>
      </c>
      <c r="ASU245" s="999" t="s">
        <v>208</v>
      </c>
    </row>
    <row r="246" spans="1:466 1191:1191" ht="21" customHeight="1" x14ac:dyDescent="0.25">
      <c r="A246" s="982" t="str">
        <f t="shared" si="163"/>
        <v>1135-2</v>
      </c>
      <c r="B246" s="124">
        <f>SUBTOTAL(103,$J$29:J246)</f>
        <v>218</v>
      </c>
      <c r="C246" s="126">
        <v>45068</v>
      </c>
      <c r="D246" s="124" t="s">
        <v>176</v>
      </c>
      <c r="E246" s="127" t="s">
        <v>177</v>
      </c>
      <c r="F246" s="128" t="s">
        <v>177</v>
      </c>
      <c r="G246" s="127" t="s">
        <v>178</v>
      </c>
      <c r="H246" s="127" t="s">
        <v>179</v>
      </c>
      <c r="I246" s="127" t="s">
        <v>1061</v>
      </c>
      <c r="J246" s="152" t="s">
        <v>1122</v>
      </c>
      <c r="K246" s="127" t="s">
        <v>1061</v>
      </c>
      <c r="L246" s="130">
        <v>41582</v>
      </c>
      <c r="M246" s="127" t="s">
        <v>230</v>
      </c>
      <c r="N246" s="127" t="s">
        <v>184</v>
      </c>
      <c r="O246" s="127" t="s">
        <v>185</v>
      </c>
      <c r="P246" s="127" t="s">
        <v>186</v>
      </c>
      <c r="Q246" s="85" t="str">
        <f t="shared" si="187"/>
        <v/>
      </c>
      <c r="R246" s="130"/>
      <c r="S246" s="128" t="s">
        <v>156</v>
      </c>
      <c r="T246" s="131"/>
      <c r="U246" s="132">
        <v>203</v>
      </c>
      <c r="V246" s="121">
        <v>218.2</v>
      </c>
      <c r="W246" s="116">
        <v>0.98</v>
      </c>
      <c r="X246" s="116">
        <v>1.66</v>
      </c>
      <c r="Y246" s="116">
        <f t="shared" si="191"/>
        <v>1.2324242424242424</v>
      </c>
      <c r="Z246" s="133">
        <v>1.454</v>
      </c>
      <c r="AA246" s="133">
        <v>0.83599999999999997</v>
      </c>
      <c r="AB246" s="133">
        <v>0.72</v>
      </c>
      <c r="AC246" s="121">
        <v>34.299999999999997</v>
      </c>
      <c r="AD246" s="134">
        <v>1.17</v>
      </c>
      <c r="AE246" s="124" t="s">
        <v>365</v>
      </c>
      <c r="AF246" s="128" t="s">
        <v>1123</v>
      </c>
      <c r="AG246" s="128" t="s">
        <v>1124</v>
      </c>
      <c r="AH246" s="127">
        <v>2812</v>
      </c>
      <c r="AI246" s="127">
        <v>2812</v>
      </c>
      <c r="AJ246" s="135"/>
      <c r="AK246" s="128"/>
      <c r="AL246" s="131"/>
      <c r="AM246" s="124" t="s">
        <v>232</v>
      </c>
      <c r="AN246" s="136" t="s">
        <v>1125</v>
      </c>
      <c r="AO246" s="137">
        <v>17.100000000000001</v>
      </c>
      <c r="AP246" s="128">
        <v>2045.34</v>
      </c>
      <c r="AQ246" s="128">
        <v>184.8</v>
      </c>
      <c r="AR246" s="128"/>
      <c r="AS246" s="128"/>
      <c r="AT246" s="122"/>
      <c r="AU246" s="124" t="s">
        <v>189</v>
      </c>
      <c r="AV246" s="115">
        <f>VLOOKUP(J246,'[63]ТР нефть'!$J$28:$BP$638,39,0)</f>
        <v>540.00000644500005</v>
      </c>
      <c r="AW246" s="115" t="str">
        <f>VLOOKUP(J246,'[63]ТР нефть'!$J$28:$BP$638,40,0)</f>
        <v>ГП</v>
      </c>
      <c r="AX246" s="115">
        <f>VLOOKUP(J246,'[63]ТР нефть'!$J$28:$BP$638,41,0)</f>
        <v>1043.9999777339999</v>
      </c>
      <c r="AY246" s="115" t="str">
        <f>VLOOKUP(J246,'[63]ТР нефть'!$J$28:$BP$638,42,0)</f>
        <v>ГК 87 1/8</v>
      </c>
      <c r="AZ246" s="115">
        <f>VLOOKUP(J246,'[63]ТР нефть'!$J$28:$BP$638,43,0)</f>
        <v>1467.00001875</v>
      </c>
      <c r="BA246" s="115" t="str">
        <f>VLOOKUP(J246,'[63]ТР нефть'!$J$28:$BP$638,44,0)</f>
        <v>ГК 86 1/8</v>
      </c>
      <c r="BB246" s="115">
        <f>VLOOKUP(J246,'[63]ТР нефть'!$J$28:$BP$638,45,0)</f>
        <v>1730.000002734</v>
      </c>
      <c r="BC246" s="115" t="str">
        <f>VLOOKUP(J246,'[63]ТР нефть'!$J$28:$BP$638,46,0)</f>
        <v>ЦКсОК 5/16</v>
      </c>
      <c r="BD246" s="115" t="str">
        <f>VLOOKUP(J246,'[63]ТР нефть'!$J$28:$BP$638,47,0)</f>
        <v>-</v>
      </c>
      <c r="BE246" s="115" t="str">
        <f>VLOOKUP(J246,'[63]ТР нефть'!$J$28:$BP$638,48,0)</f>
        <v>-</v>
      </c>
      <c r="BF246" s="115" t="str">
        <f>VLOOKUP(J246,'[63]ТР нефть'!$J$28:$BP$638,49,0)</f>
        <v>-</v>
      </c>
      <c r="BG246" s="115" t="str">
        <f>VLOOKUP(J246,'[63]ТР нефть'!$J$28:$BP$638,50,0)</f>
        <v>-</v>
      </c>
      <c r="BH246" s="115">
        <f>VLOOKUP(J246,'[63]ТР нефть'!$J$28:$BP$638,51,0)</f>
        <v>1758</v>
      </c>
      <c r="BI246" s="115" t="str">
        <f>VLOOKUP(J246,'[63]ТР нефть'!$J$28:$BP$638,52,0)</f>
        <v>закрыт</v>
      </c>
      <c r="BJ246" s="115" t="str">
        <f>IF(IFERROR(VLOOKUP(J246,'[63]ТР нефть'!$J$28:$BP$638,53,0),"-")=0,"-",IFERROR(VLOOKUP(J246,'[63]ТР нефть'!$J$28:$BP$638,53,0),"-"))</f>
        <v>-</v>
      </c>
      <c r="BK246" s="138" t="str">
        <f>IF(IFERROR(VLOOKUP(J246,'[63]ТР нефть'!$J$28:$BP$638,54,0),"-")=0,"-",IFERROR(VLOOKUP(J246,'[63]ТР нефть'!$J$28:$BP$638,54,0),"-"))</f>
        <v>-</v>
      </c>
      <c r="BL246" s="138" t="str">
        <f>IF(IFERROR(VLOOKUP(J246,'[63]ТР нефть'!$J$28:$BP$638,55,0),"-")=0,"-",IFERROR(VLOOKUP(J246,'[63]ТР нефть'!$J$28:$BP$638,55,0),"-"))</f>
        <v>-</v>
      </c>
      <c r="BM246" s="138" t="str">
        <f>IF(IFERROR(VLOOKUP(J246,'[63]ТР нефть'!$J$28:$BP$638,56,0),"-")=0,"-",IFERROR(VLOOKUP(J246,'[63]ТР нефть'!$J$28:$BP$638,56,0),"-"))</f>
        <v>-</v>
      </c>
      <c r="BN246" s="138" t="str">
        <f>IF(IFERROR(VLOOKUP(J246,'[63]ТР нефть'!$J$28:$BP$638,57,0),"-")=0,"-",IFERROR(VLOOKUP(J246,'[63]ТР нефть'!$J$28:$BP$638,57,0),"-"))</f>
        <v>-</v>
      </c>
      <c r="BO246" s="115" t="str">
        <f>IF(IFERROR(VLOOKUP(J246,'[63]ТР нефть'!$J$28:$BP$638,58,0),"-")=0,"-",IFERROR(VLOOKUP(J246,'[63]ТР нефть'!$J$28:$BP$638,58,0),"-"))</f>
        <v>-</v>
      </c>
      <c r="BP246" s="115" t="str">
        <f>IF(IFERROR(VLOOKUP(J246,'[63]ТР нефть'!$J$28:$BP$638,59,0),"-")=0,"-",IFERROR(VLOOKUP(J246,'[63]ТР нефть'!$J$28:$BP$638,59,0),"-"))</f>
        <v>-</v>
      </c>
      <c r="BQ246" s="138">
        <v>1768</v>
      </c>
      <c r="BR246" s="128">
        <v>1633.26</v>
      </c>
      <c r="BS246" s="115">
        <f t="shared" si="164"/>
        <v>134.74</v>
      </c>
      <c r="BT246" s="128">
        <v>73</v>
      </c>
      <c r="BU246" s="128">
        <v>5.5</v>
      </c>
      <c r="BV246" s="127">
        <v>65</v>
      </c>
      <c r="BW246" s="127" t="s">
        <v>217</v>
      </c>
      <c r="BX246" s="127" t="s">
        <v>195</v>
      </c>
      <c r="BY246" s="139">
        <v>24</v>
      </c>
      <c r="BZ246" s="139">
        <v>0</v>
      </c>
      <c r="CA246" s="80">
        <v>25</v>
      </c>
      <c r="CB246" s="138">
        <v>57</v>
      </c>
      <c r="CC246" s="138">
        <v>24</v>
      </c>
      <c r="CD246" s="135">
        <v>45017</v>
      </c>
      <c r="CE246" s="138">
        <v>119</v>
      </c>
      <c r="CF246" s="138">
        <v>76</v>
      </c>
      <c r="CG246" s="138" t="s">
        <v>1126</v>
      </c>
      <c r="CH246" s="138" t="s">
        <v>197</v>
      </c>
      <c r="CI246" s="127">
        <v>5</v>
      </c>
      <c r="CJ246" s="138"/>
      <c r="CK246" s="138">
        <f t="shared" si="157"/>
        <v>42</v>
      </c>
      <c r="CL246" s="99"/>
      <c r="CM246" s="99"/>
      <c r="CN246" s="140">
        <v>67</v>
      </c>
      <c r="CO246" s="141">
        <f t="shared" si="165"/>
        <v>12.54</v>
      </c>
      <c r="CP246" s="142">
        <v>30</v>
      </c>
      <c r="CQ246" s="143">
        <v>50</v>
      </c>
      <c r="CR246" s="138">
        <v>28</v>
      </c>
      <c r="CS246" s="139">
        <v>12</v>
      </c>
      <c r="CT246" s="138"/>
      <c r="CU246" s="138">
        <f t="shared" si="188"/>
        <v>16</v>
      </c>
      <c r="CV246" s="115">
        <f t="shared" si="189"/>
        <v>1275.9170653907497</v>
      </c>
      <c r="CW246" s="115">
        <f t="shared" si="166"/>
        <v>401.20361083249753</v>
      </c>
      <c r="CX246" s="133">
        <f t="shared" si="190"/>
        <v>0.57692307692307687</v>
      </c>
      <c r="CY246" s="116"/>
      <c r="CZ246" s="131"/>
      <c r="DA246" s="145" t="str">
        <f t="shared" si="167"/>
        <v>Газлифт</v>
      </c>
      <c r="DB246" s="146">
        <f t="shared" si="168"/>
        <v>18.559199999999997</v>
      </c>
      <c r="DC246" s="142">
        <f t="shared" si="203"/>
        <v>30</v>
      </c>
      <c r="DD246" s="119">
        <f t="shared" si="204"/>
        <v>26</v>
      </c>
      <c r="DE246" s="115">
        <f t="shared" si="169"/>
        <v>16</v>
      </c>
      <c r="DF246" s="121">
        <f t="shared" si="170"/>
        <v>12</v>
      </c>
      <c r="DG246" s="115">
        <f t="shared" si="171"/>
        <v>1275.9170653907497</v>
      </c>
      <c r="DH246" s="115">
        <f t="shared" si="172"/>
        <v>67</v>
      </c>
      <c r="DI246" s="147"/>
      <c r="DJ246" s="111">
        <v>44231</v>
      </c>
      <c r="DK246" s="112">
        <v>43897</v>
      </c>
      <c r="DL246" s="113">
        <f t="shared" ca="1" si="192"/>
        <v>1207</v>
      </c>
      <c r="DM246" s="114"/>
      <c r="DN246" s="114"/>
      <c r="DO246" s="114"/>
      <c r="DP246" s="114"/>
      <c r="DQ246" s="112">
        <v>43337</v>
      </c>
      <c r="DR246" s="114" t="s">
        <v>198</v>
      </c>
      <c r="DS246" s="114"/>
      <c r="DT246" s="115">
        <v>80</v>
      </c>
      <c r="DU246" s="116">
        <f t="shared" si="193"/>
        <v>0.76923076923076927</v>
      </c>
      <c r="DV246" s="117">
        <f t="shared" si="194"/>
        <v>12.54</v>
      </c>
      <c r="DW246" s="118">
        <f t="shared" si="195"/>
        <v>30</v>
      </c>
      <c r="DX246" s="119">
        <f t="shared" si="173"/>
        <v>50</v>
      </c>
      <c r="DY246" s="115">
        <f t="shared" si="196"/>
        <v>16</v>
      </c>
      <c r="DZ246" s="117">
        <f t="shared" si="197"/>
        <v>0</v>
      </c>
      <c r="EA246" s="120">
        <f t="shared" si="197"/>
        <v>0</v>
      </c>
      <c r="EB246" s="119">
        <f t="shared" si="197"/>
        <v>0</v>
      </c>
      <c r="EC246" s="121">
        <f t="shared" si="198"/>
        <v>0</v>
      </c>
      <c r="ED246" s="122"/>
      <c r="EE246" s="145">
        <v>65</v>
      </c>
      <c r="EF246" s="148">
        <v>25</v>
      </c>
      <c r="EG246" s="115">
        <v>60</v>
      </c>
      <c r="EH246" s="115">
        <v>24</v>
      </c>
      <c r="EI246" s="128" t="s">
        <v>195</v>
      </c>
      <c r="EJ246" s="121">
        <v>24</v>
      </c>
      <c r="EK246" s="121">
        <v>0</v>
      </c>
      <c r="EL246" s="149">
        <v>1.670328</v>
      </c>
      <c r="EM246" s="142">
        <v>2.7</v>
      </c>
      <c r="EN246" s="119">
        <v>26</v>
      </c>
      <c r="EO246" s="115">
        <v>29</v>
      </c>
      <c r="EP246" s="115">
        <v>1796.0544276333749</v>
      </c>
      <c r="EQ246" s="115">
        <v>76</v>
      </c>
      <c r="ER246" s="115">
        <v>26</v>
      </c>
      <c r="ES246" s="115">
        <v>63</v>
      </c>
      <c r="ET246" s="150">
        <v>4.8214285714285716E-2</v>
      </c>
      <c r="EU246" s="145">
        <f t="shared" si="174"/>
        <v>65</v>
      </c>
      <c r="EV246" s="115">
        <f t="shared" si="175"/>
        <v>25</v>
      </c>
      <c r="EW246" s="115">
        <f t="shared" si="175"/>
        <v>57</v>
      </c>
      <c r="EX246" s="115">
        <f t="shared" si="175"/>
        <v>24</v>
      </c>
      <c r="EY246" s="115" t="str">
        <f t="shared" si="156"/>
        <v>Постоянный</v>
      </c>
      <c r="EZ246" s="115">
        <f t="shared" si="156"/>
        <v>24</v>
      </c>
      <c r="FA246" s="115">
        <f t="shared" si="156"/>
        <v>0</v>
      </c>
      <c r="FB246" s="149">
        <f t="shared" si="176"/>
        <v>12.54</v>
      </c>
      <c r="FC246" s="142">
        <f t="shared" si="176"/>
        <v>30</v>
      </c>
      <c r="FD246" s="119">
        <f t="shared" si="176"/>
        <v>50</v>
      </c>
      <c r="FE246" s="121">
        <f t="shared" si="176"/>
        <v>28</v>
      </c>
      <c r="FF246" s="121">
        <f t="shared" si="199"/>
        <v>1275.9170653907497</v>
      </c>
      <c r="FG246" s="121">
        <f t="shared" si="177"/>
        <v>76</v>
      </c>
      <c r="FH246" s="121">
        <f t="shared" si="200"/>
        <v>12</v>
      </c>
      <c r="FI246" s="121">
        <f t="shared" si="154"/>
        <v>67</v>
      </c>
      <c r="FJ246" s="144">
        <f t="shared" si="178"/>
        <v>0.57692307692307687</v>
      </c>
      <c r="FK246" s="132">
        <f t="shared" si="179"/>
        <v>0</v>
      </c>
      <c r="FL246" s="115">
        <f t="shared" si="179"/>
        <v>0</v>
      </c>
      <c r="FM246" s="115">
        <f t="shared" si="179"/>
        <v>-3</v>
      </c>
      <c r="FN246" s="115">
        <f t="shared" si="162"/>
        <v>0</v>
      </c>
      <c r="FO246" s="115">
        <f t="shared" si="201"/>
        <v>0</v>
      </c>
      <c r="FP246" s="115">
        <f t="shared" si="201"/>
        <v>0</v>
      </c>
      <c r="FQ246" s="149">
        <f t="shared" si="201"/>
        <v>10.869672</v>
      </c>
      <c r="FR246" s="142">
        <f t="shared" si="201"/>
        <v>27.3</v>
      </c>
      <c r="FS246" s="119">
        <f t="shared" si="201"/>
        <v>24</v>
      </c>
      <c r="FT246" s="121">
        <f t="shared" si="201"/>
        <v>-1</v>
      </c>
      <c r="FU246" s="121">
        <f t="shared" si="180"/>
        <v>0</v>
      </c>
      <c r="FV246" s="121">
        <f t="shared" si="180"/>
        <v>-14</v>
      </c>
      <c r="FW246" s="121">
        <f t="shared" si="181"/>
        <v>-520.13736224262516</v>
      </c>
      <c r="FX246" s="121">
        <f t="shared" si="182"/>
        <v>4</v>
      </c>
      <c r="FY246" s="144">
        <f t="shared" si="182"/>
        <v>0.52870879120879111</v>
      </c>
      <c r="FZ246" s="145" t="s">
        <v>199</v>
      </c>
      <c r="GA246" s="151" t="s">
        <v>1127</v>
      </c>
      <c r="GB246" s="145" t="s">
        <v>199</v>
      </c>
      <c r="GC246" s="151" t="s">
        <v>1128</v>
      </c>
      <c r="GD246" s="997" t="s">
        <v>220</v>
      </c>
      <c r="GE246" s="1004" t="s">
        <v>199</v>
      </c>
      <c r="GF246" s="1004">
        <v>-12.715478740800002</v>
      </c>
      <c r="GG246" s="1004"/>
      <c r="GH246" s="1004">
        <v>0</v>
      </c>
      <c r="GI246" s="145"/>
      <c r="GJ246" s="996">
        <v>0</v>
      </c>
      <c r="GK246" s="145"/>
      <c r="GL246" s="996">
        <v>0</v>
      </c>
      <c r="GM246" s="1005" t="s">
        <v>204</v>
      </c>
      <c r="GN246" s="996">
        <v>-5.2828584731999957</v>
      </c>
      <c r="GO246" s="1006"/>
      <c r="GP246" s="996">
        <v>-0.33953053200000127</v>
      </c>
      <c r="GQ246" s="1006"/>
      <c r="GR246" s="996">
        <v>0</v>
      </c>
      <c r="GS246" s="1006"/>
      <c r="GT246" s="996">
        <v>-0.68280425400000411</v>
      </c>
      <c r="GU246" s="1006" t="s">
        <v>223</v>
      </c>
      <c r="GV246" s="996">
        <v>-4.1214799999999983</v>
      </c>
      <c r="GW246" s="1006" t="s">
        <v>199</v>
      </c>
      <c r="GX246" s="1036">
        <v>24.2389646048</v>
      </c>
      <c r="GY246" s="1006"/>
      <c r="GZ246" s="996">
        <v>0</v>
      </c>
      <c r="HA246" s="1006"/>
      <c r="HB246" s="996">
        <v>0</v>
      </c>
      <c r="HC246" s="1006" t="s">
        <v>199</v>
      </c>
      <c r="HD246" s="996">
        <v>0</v>
      </c>
      <c r="HE246" s="1006"/>
      <c r="HF246" s="996">
        <v>0</v>
      </c>
      <c r="HG246" s="1006" t="s">
        <v>199</v>
      </c>
      <c r="HH246" s="996">
        <v>-0.78983340480000008</v>
      </c>
      <c r="HI246" s="1006"/>
      <c r="HJ246" s="996">
        <v>0.24565583999999985</v>
      </c>
      <c r="HK246" s="1006" t="s">
        <v>199</v>
      </c>
      <c r="HL246" s="996">
        <v>-1.3231706399999994</v>
      </c>
      <c r="HM246" s="1006" t="s">
        <v>199</v>
      </c>
      <c r="HN246" s="996">
        <v>-2.361658199999999</v>
      </c>
      <c r="HO246" s="1006" t="s">
        <v>239</v>
      </c>
      <c r="HP246" s="996">
        <v>4.5470571695999986</v>
      </c>
      <c r="HQ246" s="1006"/>
      <c r="HR246" s="996">
        <v>0</v>
      </c>
      <c r="HS246" s="1006"/>
      <c r="HT246" s="996">
        <v>0</v>
      </c>
      <c r="HU246" s="1006"/>
      <c r="HV246" s="996">
        <v>0</v>
      </c>
      <c r="HW246" s="1006"/>
      <c r="HX246" s="996">
        <v>0</v>
      </c>
      <c r="HY246" s="1006"/>
      <c r="HZ246" s="996">
        <v>0</v>
      </c>
      <c r="IA246" s="1006"/>
      <c r="IB246" s="996">
        <v>0</v>
      </c>
      <c r="IC246" s="1006"/>
      <c r="ID246" s="996">
        <v>0</v>
      </c>
      <c r="IE246" s="1006"/>
      <c r="IF246" s="996">
        <v>0</v>
      </c>
      <c r="IG246" s="1006" t="s">
        <v>204</v>
      </c>
      <c r="IH246" s="996">
        <v>-15.972644089600001</v>
      </c>
      <c r="II246" s="1006"/>
      <c r="IJ246" s="996">
        <v>0</v>
      </c>
      <c r="IK246" s="1006"/>
      <c r="IL246" s="996">
        <v>0</v>
      </c>
      <c r="IM246" s="1006"/>
      <c r="IN246" s="996">
        <v>0</v>
      </c>
      <c r="IO246" s="1006"/>
      <c r="IP246" s="996">
        <v>0</v>
      </c>
      <c r="IQ246" s="1006" t="s">
        <v>199</v>
      </c>
      <c r="IR246" s="996">
        <v>6.3117749200000013</v>
      </c>
      <c r="IS246" s="1006" t="s">
        <v>204</v>
      </c>
      <c r="IT246" s="996">
        <v>-4.6663429999999977</v>
      </c>
      <c r="IU246" s="1006"/>
      <c r="IV246" s="996">
        <v>0</v>
      </c>
      <c r="IW246" s="1006"/>
      <c r="IX246" s="996">
        <v>0</v>
      </c>
      <c r="IY246" s="1006"/>
      <c r="IZ246" s="996">
        <v>0</v>
      </c>
      <c r="JA246" s="1006" t="s">
        <v>204</v>
      </c>
      <c r="JB246" s="996">
        <v>-2.1807703720000049</v>
      </c>
      <c r="JC246" s="1006" t="s">
        <v>239</v>
      </c>
      <c r="JD246" s="996">
        <v>-2.360381627999999</v>
      </c>
      <c r="JE246" s="1006"/>
      <c r="JF246" s="996">
        <v>0</v>
      </c>
      <c r="JG246" s="1006"/>
      <c r="JH246" s="996">
        <v>0</v>
      </c>
      <c r="JI246" s="1006"/>
      <c r="JJ246" s="996">
        <v>0</v>
      </c>
      <c r="JK246" s="1007"/>
      <c r="JL246" s="1007">
        <v>0</v>
      </c>
      <c r="JM246" s="1007"/>
      <c r="JN246" s="1007">
        <v>0</v>
      </c>
      <c r="JO246" s="1008"/>
      <c r="JP246" s="1007">
        <v>0</v>
      </c>
      <c r="JQ246" s="1008">
        <v>0</v>
      </c>
      <c r="JR246" s="1007">
        <v>0</v>
      </c>
      <c r="JS246" s="1008" t="s">
        <v>204</v>
      </c>
      <c r="JT246" s="1007">
        <v>-1.3543199999999977</v>
      </c>
      <c r="JU246" s="1008" t="s">
        <v>204</v>
      </c>
      <c r="JV246" s="1007">
        <v>-2.4244000000000021</v>
      </c>
      <c r="JW246" s="1008" t="s">
        <v>199</v>
      </c>
      <c r="JX246" s="1007">
        <v>1.3375999999999983</v>
      </c>
      <c r="JY246" s="1008" t="s">
        <v>199</v>
      </c>
      <c r="JZ246" s="1007">
        <v>-1.3375999999999983</v>
      </c>
      <c r="KA246" s="1008"/>
      <c r="KB246" s="1007">
        <v>0</v>
      </c>
      <c r="KC246" s="1008" t="s">
        <v>207</v>
      </c>
      <c r="KD246" s="1007">
        <v>-3.0179600000000022</v>
      </c>
      <c r="KE246" s="1008" t="s">
        <v>204</v>
      </c>
      <c r="KF246" s="1007">
        <v>-1.630199999999995</v>
      </c>
      <c r="KG246" s="1008" t="s">
        <v>207</v>
      </c>
      <c r="KH246" s="1007">
        <v>-2.7086400000000026</v>
      </c>
      <c r="KI246" s="1008" t="s">
        <v>349</v>
      </c>
      <c r="KJ246" s="1007">
        <v>6.4484291520000063</v>
      </c>
      <c r="KK246" s="1008"/>
      <c r="KL246" s="1007">
        <v>3.3052497279999926</v>
      </c>
      <c r="KM246" s="1008" t="s">
        <v>25</v>
      </c>
      <c r="KN246" s="1007">
        <v>20.342321120000001</v>
      </c>
      <c r="KO246" s="1008"/>
      <c r="KP246" s="1007">
        <v>-16.4790648</v>
      </c>
      <c r="KQ246" s="1008">
        <v>0</v>
      </c>
      <c r="KR246" s="1007">
        <v>0.69538479999999758</v>
      </c>
      <c r="KS246" s="1008">
        <v>0</v>
      </c>
      <c r="KT246" s="1007">
        <v>0</v>
      </c>
      <c r="KU246" s="1008">
        <v>0</v>
      </c>
      <c r="KV246" s="1007">
        <v>0</v>
      </c>
      <c r="KW246" s="1008" t="s">
        <v>204</v>
      </c>
      <c r="KX246" s="1007">
        <v>-4.9073199999999968</v>
      </c>
      <c r="KY246" s="1008">
        <v>0</v>
      </c>
      <c r="KZ246" s="1007">
        <v>0</v>
      </c>
      <c r="LA246" s="1008" t="s">
        <v>206</v>
      </c>
      <c r="LB246" s="1007">
        <v>-0.91123999999999583</v>
      </c>
      <c r="LC246" s="1008">
        <v>0</v>
      </c>
      <c r="LD246" s="1007">
        <v>0</v>
      </c>
      <c r="LE246" s="1008">
        <v>0</v>
      </c>
      <c r="LF246" s="1007">
        <v>0</v>
      </c>
      <c r="LG246" s="1008" t="s">
        <v>206</v>
      </c>
      <c r="LH246" s="1007">
        <v>-7.9587209999999997</v>
      </c>
      <c r="LI246" s="1008">
        <v>0</v>
      </c>
      <c r="LJ246" s="1007">
        <v>0</v>
      </c>
      <c r="LK246" s="1008">
        <v>0</v>
      </c>
      <c r="LL246" s="1007">
        <v>0</v>
      </c>
      <c r="LM246" s="1008" t="s">
        <v>555</v>
      </c>
      <c r="LN246" s="1007">
        <v>-1.2581800000000001</v>
      </c>
      <c r="LO246" s="1008">
        <v>0</v>
      </c>
      <c r="LP246" s="1007">
        <v>0.44391649999999999</v>
      </c>
      <c r="LQ246" s="1008">
        <v>0</v>
      </c>
      <c r="LR246" s="1007">
        <v>0</v>
      </c>
      <c r="LS246" s="1008" t="s">
        <v>206</v>
      </c>
      <c r="LT246" s="1007">
        <v>-4.9257120000000008</v>
      </c>
      <c r="LU246" s="1008">
        <v>0</v>
      </c>
      <c r="LV246" s="1007">
        <v>6.5899200000000002</v>
      </c>
      <c r="LW246" s="1008">
        <v>0</v>
      </c>
      <c r="LX246" s="1007">
        <v>0</v>
      </c>
      <c r="LY246" s="1009">
        <v>0</v>
      </c>
      <c r="LZ246" s="1010">
        <v>-1.548</v>
      </c>
      <c r="MA246" s="1011">
        <v>0</v>
      </c>
      <c r="MB246" s="1012">
        <v>2.58</v>
      </c>
      <c r="MC246" s="995"/>
      <c r="MD246" s="996"/>
      <c r="ME246" s="997" t="s">
        <v>220</v>
      </c>
      <c r="MF246" s="997"/>
      <c r="MG246" s="998"/>
      <c r="NR246" s="1000"/>
      <c r="NS246" s="1000"/>
      <c r="NT246" s="1001"/>
      <c r="NU246" s="1000"/>
      <c r="NV246" s="1001"/>
      <c r="NX246" s="1002"/>
      <c r="NZ246" s="1001"/>
      <c r="OA246" s="1001"/>
      <c r="OC246" s="1003"/>
      <c r="OD246" s="1003"/>
      <c r="OE246" s="1001"/>
      <c r="OF246" s="1003"/>
      <c r="OG246" s="1003"/>
      <c r="OH246" s="1003"/>
      <c r="OI246" s="1016"/>
      <c r="QX246" s="1000">
        <f>CN246-CA246</f>
        <v>42</v>
      </c>
      <c r="ASU246" s="999" t="s">
        <v>225</v>
      </c>
    </row>
    <row r="247" spans="1:466 1191:1191" ht="21" customHeight="1" x14ac:dyDescent="0.25">
      <c r="A247" s="982">
        <f t="shared" si="163"/>
        <v>1136</v>
      </c>
      <c r="B247" s="124">
        <f>SUBTOTAL(103,$J$29:J247)</f>
        <v>219</v>
      </c>
      <c r="C247" s="126">
        <v>45068</v>
      </c>
      <c r="D247" s="124" t="s">
        <v>176</v>
      </c>
      <c r="E247" s="127" t="s">
        <v>177</v>
      </c>
      <c r="F247" s="128" t="s">
        <v>177</v>
      </c>
      <c r="G247" s="127" t="s">
        <v>178</v>
      </c>
      <c r="H247" s="127" t="s">
        <v>179</v>
      </c>
      <c r="I247" s="127" t="s">
        <v>1010</v>
      </c>
      <c r="J247" s="152">
        <v>1136</v>
      </c>
      <c r="K247" s="127" t="s">
        <v>1010</v>
      </c>
      <c r="L247" s="130">
        <v>41670</v>
      </c>
      <c r="M247" s="127" t="s">
        <v>230</v>
      </c>
      <c r="N247" s="127" t="s">
        <v>184</v>
      </c>
      <c r="O247" s="127" t="s">
        <v>185</v>
      </c>
      <c r="P247" s="127" t="s">
        <v>292</v>
      </c>
      <c r="Q247" s="85" t="str">
        <f t="shared" si="187"/>
        <v/>
      </c>
      <c r="R247" s="130"/>
      <c r="S247" s="128" t="s">
        <v>156</v>
      </c>
      <c r="T247" s="131"/>
      <c r="U247" s="132">
        <v>203</v>
      </c>
      <c r="V247" s="121">
        <v>218.2</v>
      </c>
      <c r="W247" s="116">
        <v>0.98</v>
      </c>
      <c r="X247" s="116">
        <v>1.66</v>
      </c>
      <c r="Y247" s="116">
        <f t="shared" si="191"/>
        <v>0.98172926287026052</v>
      </c>
      <c r="Z247" s="133">
        <v>1.454</v>
      </c>
      <c r="AA247" s="133">
        <v>0.83599999999999997</v>
      </c>
      <c r="AB247" s="133">
        <v>0.72</v>
      </c>
      <c r="AC247" s="121">
        <v>34.299999999999997</v>
      </c>
      <c r="AD247" s="134">
        <v>1.17</v>
      </c>
      <c r="AE247" s="124">
        <v>177.8</v>
      </c>
      <c r="AF247" s="128">
        <v>9.19</v>
      </c>
      <c r="AG247" s="128">
        <v>2108</v>
      </c>
      <c r="AH247" s="127">
        <v>2547.3000000000002</v>
      </c>
      <c r="AI247" s="127">
        <v>2547.3000000000002</v>
      </c>
      <c r="AJ247" s="135"/>
      <c r="AK247" s="128"/>
      <c r="AL247" s="131"/>
      <c r="AM247" s="124" t="s">
        <v>187</v>
      </c>
      <c r="AN247" s="136" t="s">
        <v>1129</v>
      </c>
      <c r="AO247" s="137">
        <v>4.99</v>
      </c>
      <c r="AP247" s="128">
        <v>2199.14</v>
      </c>
      <c r="AQ247" s="128">
        <v>330.09</v>
      </c>
      <c r="AR247" s="128" t="s">
        <v>1130</v>
      </c>
      <c r="AS247" s="128">
        <v>114.3</v>
      </c>
      <c r="AT247" s="122">
        <v>7.4</v>
      </c>
      <c r="AU247" s="124" t="s">
        <v>189</v>
      </c>
      <c r="AV247" s="115">
        <f>VLOOKUP(J247,'[63]ТР нефть'!$J$28:$BP$638,39,0)</f>
        <v>549.99999140600005</v>
      </c>
      <c r="AW247" s="115" t="str">
        <f>VLOOKUP(J247,'[63]ТР нефть'!$J$28:$BP$638,40,0)</f>
        <v>ГП</v>
      </c>
      <c r="AX247" s="115">
        <f>VLOOKUP(J247,'[63]ТР нефть'!$J$28:$BP$638,41,0)</f>
        <v>1039.9999986329999</v>
      </c>
      <c r="AY247" s="115" t="str">
        <f>VLOOKUP(J247,'[63]ТР нефть'!$J$28:$BP$638,42,0)</f>
        <v>ГП</v>
      </c>
      <c r="AZ247" s="115">
        <f>VLOOKUP(J247,'[63]ТР нефть'!$J$28:$BP$638,43,0)</f>
        <v>1444.9999476559999</v>
      </c>
      <c r="BA247" s="115" t="str">
        <f>VLOOKUP(J247,'[63]ТР нефть'!$J$28:$BP$638,44,0)</f>
        <v>ГК 82 1/8</v>
      </c>
      <c r="BB247" s="115">
        <f>VLOOKUP(J247,'[63]ТР нефть'!$J$28:$BP$638,45,0)</f>
        <v>1755.000002344</v>
      </c>
      <c r="BC247" s="115" t="str">
        <f>VLOOKUP(J247,'[63]ТР нефть'!$J$28:$BP$638,46,0)</f>
        <v>ГК 81 1/8</v>
      </c>
      <c r="BD247" s="115">
        <f>VLOOKUP(J247,'[63]ТР нефть'!$J$28:$BP$638,47,0)</f>
        <v>1924.999969922</v>
      </c>
      <c r="BE247" s="115" t="str">
        <f>VLOOKUP(J247,'[63]ТР нефть'!$J$28:$BP$638,48,0)</f>
        <v>ЦКсОК 5/16</v>
      </c>
      <c r="BF247" s="115" t="str">
        <f>VLOOKUP(J247,'[63]ТР нефть'!$J$28:$BP$638,49,0)</f>
        <v>-</v>
      </c>
      <c r="BG247" s="115" t="str">
        <f>VLOOKUP(J247,'[63]ТР нефть'!$J$28:$BP$638,50,0)</f>
        <v>-</v>
      </c>
      <c r="BH247" s="115">
        <f>VLOOKUP(J247,'[63]ТР нефть'!$J$28:$BP$638,51,0)</f>
        <v>1935</v>
      </c>
      <c r="BI247" s="115" t="str">
        <f>VLOOKUP(J247,'[63]ТР нефть'!$J$28:$BP$638,52,0)</f>
        <v>закрыт</v>
      </c>
      <c r="BJ247" s="115" t="str">
        <f>IF(IFERROR(VLOOKUP(J247,'[63]ТР нефть'!$J$28:$BP$638,53,0),"-")=0,"-",IFERROR(VLOOKUP(J247,'[63]ТР нефть'!$J$28:$BP$638,53,0),"-"))</f>
        <v>-</v>
      </c>
      <c r="BK247" s="138" t="str">
        <f>IF(IFERROR(VLOOKUP(J247,'[63]ТР нефть'!$J$28:$BP$638,54,0),"-")=0,"-",IFERROR(VLOOKUP(J247,'[63]ТР нефть'!$J$28:$BP$638,54,0),"-"))</f>
        <v>-</v>
      </c>
      <c r="BL247" s="138" t="str">
        <f>IF(IFERROR(VLOOKUP(J247,'[63]ТР нефть'!$J$28:$BP$638,55,0),"-")=0,"-",IFERROR(VLOOKUP(J247,'[63]ТР нефть'!$J$28:$BP$638,55,0),"-"))</f>
        <v>-</v>
      </c>
      <c r="BM247" s="138" t="str">
        <f>IF(IFERROR(VLOOKUP(J247,'[63]ТР нефть'!$J$28:$BP$638,56,0),"-")=0,"-",IFERROR(VLOOKUP(J247,'[63]ТР нефть'!$J$28:$BP$638,56,0),"-"))</f>
        <v>-</v>
      </c>
      <c r="BN247" s="138" t="str">
        <f>IF(IFERROR(VLOOKUP(J247,'[63]ТР нефть'!$J$28:$BP$638,57,0),"-")=0,"-",IFERROR(VLOOKUP(J247,'[63]ТР нефть'!$J$28:$BP$638,57,0),"-"))</f>
        <v>-</v>
      </c>
      <c r="BO247" s="115" t="str">
        <f>IF(IFERROR(VLOOKUP(J247,'[63]ТР нефть'!$J$28:$BP$638,58,0),"-")=0,"-",IFERROR(VLOOKUP(J247,'[63]ТР нефть'!$J$28:$BP$638,58,0),"-"))</f>
        <v>-</v>
      </c>
      <c r="BP247" s="115" t="str">
        <f>IF(IFERROR(VLOOKUP(J247,'[63]ТР нефть'!$J$28:$BP$638,59,0),"-")=0,"-",IFERROR(VLOOKUP(J247,'[63]ТР нефть'!$J$28:$BP$638,59,0),"-"))</f>
        <v>-</v>
      </c>
      <c r="BQ247" s="138">
        <v>2547.3000000000002</v>
      </c>
      <c r="BR247" s="128">
        <v>1874</v>
      </c>
      <c r="BS247" s="115">
        <f t="shared" si="164"/>
        <v>673.30000000000018</v>
      </c>
      <c r="BT247" s="128">
        <v>73</v>
      </c>
      <c r="BU247" s="128">
        <v>5.5</v>
      </c>
      <c r="BV247" s="127">
        <v>18</v>
      </c>
      <c r="BW247" s="127" t="s">
        <v>217</v>
      </c>
      <c r="BX247" s="127" t="s">
        <v>195</v>
      </c>
      <c r="BY247" s="139">
        <v>24</v>
      </c>
      <c r="BZ247" s="139">
        <v>0</v>
      </c>
      <c r="CA247" s="80">
        <v>22</v>
      </c>
      <c r="CB247" s="138">
        <v>41</v>
      </c>
      <c r="CC247" s="138">
        <v>21</v>
      </c>
      <c r="CD247" s="135">
        <v>45017</v>
      </c>
      <c r="CE247" s="138">
        <v>107</v>
      </c>
      <c r="CF247" s="138">
        <v>76</v>
      </c>
      <c r="CG247" s="138" t="s">
        <v>1131</v>
      </c>
      <c r="CH247" s="138" t="s">
        <v>196</v>
      </c>
      <c r="CI247" s="127">
        <v>5</v>
      </c>
      <c r="CJ247" s="138"/>
      <c r="CK247" s="138">
        <f t="shared" si="157"/>
        <v>27</v>
      </c>
      <c r="CL247" s="99"/>
      <c r="CM247" s="99"/>
      <c r="CN247" s="140">
        <v>49</v>
      </c>
      <c r="CO247" s="141">
        <f t="shared" si="165"/>
        <v>8.6570140799999997</v>
      </c>
      <c r="CP247" s="142">
        <v>10.4</v>
      </c>
      <c r="CQ247" s="143">
        <v>0.43</v>
      </c>
      <c r="CR247" s="138">
        <v>30</v>
      </c>
      <c r="CS247" s="139">
        <v>9.6</v>
      </c>
      <c r="CT247" s="138"/>
      <c r="CU247" s="138">
        <f t="shared" si="188"/>
        <v>20.399999999999999</v>
      </c>
      <c r="CV247" s="115">
        <f t="shared" si="189"/>
        <v>2356.470696649254</v>
      </c>
      <c r="CW247" s="115">
        <f t="shared" si="166"/>
        <v>1102.3332923449072</v>
      </c>
      <c r="CX247" s="133">
        <f t="shared" si="190"/>
        <v>0.1793103448275862</v>
      </c>
      <c r="CY247" s="116"/>
      <c r="CZ247" s="131"/>
      <c r="DA247" s="145" t="str">
        <f t="shared" si="167"/>
        <v>Газлифт</v>
      </c>
      <c r="DB247" s="146">
        <f t="shared" si="168"/>
        <v>8.6570140799999997</v>
      </c>
      <c r="DC247" s="142">
        <f t="shared" si="203"/>
        <v>10.4</v>
      </c>
      <c r="DD247" s="119">
        <f t="shared" si="204"/>
        <v>0.43</v>
      </c>
      <c r="DE247" s="115">
        <f t="shared" si="169"/>
        <v>20.399999999999999</v>
      </c>
      <c r="DF247" s="121">
        <f t="shared" si="170"/>
        <v>9.6</v>
      </c>
      <c r="DG247" s="115">
        <f t="shared" si="171"/>
        <v>2356.470696649254</v>
      </c>
      <c r="DH247" s="115">
        <f t="shared" si="172"/>
        <v>49</v>
      </c>
      <c r="DI247" s="147"/>
      <c r="DJ247" s="111">
        <v>43660</v>
      </c>
      <c r="DK247" s="112">
        <v>41670</v>
      </c>
      <c r="DL247" s="113">
        <f t="shared" ca="1" si="192"/>
        <v>3434</v>
      </c>
      <c r="DM247" s="114"/>
      <c r="DN247" s="114"/>
      <c r="DO247" s="114"/>
      <c r="DP247" s="114"/>
      <c r="DQ247" s="112">
        <v>43909</v>
      </c>
      <c r="DR247" s="114" t="s">
        <v>198</v>
      </c>
      <c r="DS247" s="114"/>
      <c r="DT247" s="115">
        <v>52</v>
      </c>
      <c r="DU247" s="116">
        <f t="shared" si="193"/>
        <v>0.18909090909090909</v>
      </c>
      <c r="DV247" s="117">
        <f t="shared" si="194"/>
        <v>8.6570140799999997</v>
      </c>
      <c r="DW247" s="118">
        <f t="shared" si="195"/>
        <v>10.4</v>
      </c>
      <c r="DX247" s="119">
        <f t="shared" si="173"/>
        <v>0.43</v>
      </c>
      <c r="DY247" s="115">
        <f t="shared" si="196"/>
        <v>20.399999999999999</v>
      </c>
      <c r="DZ247" s="117">
        <f t="shared" si="197"/>
        <v>0</v>
      </c>
      <c r="EA247" s="120">
        <f t="shared" si="197"/>
        <v>0</v>
      </c>
      <c r="EB247" s="119">
        <f t="shared" si="197"/>
        <v>0</v>
      </c>
      <c r="EC247" s="121">
        <f t="shared" si="198"/>
        <v>0</v>
      </c>
      <c r="ED247" s="122"/>
      <c r="EE247" s="145">
        <v>18</v>
      </c>
      <c r="EF247" s="148">
        <v>24</v>
      </c>
      <c r="EG247" s="115">
        <v>38</v>
      </c>
      <c r="EH247" s="115">
        <v>23</v>
      </c>
      <c r="EI247" s="128" t="s">
        <v>195</v>
      </c>
      <c r="EJ247" s="121">
        <v>24</v>
      </c>
      <c r="EK247" s="121">
        <v>0</v>
      </c>
      <c r="EL247" s="149">
        <v>8.6570140799999997</v>
      </c>
      <c r="EM247" s="142">
        <v>10.4</v>
      </c>
      <c r="EN247" s="119">
        <v>0.43</v>
      </c>
      <c r="EO247" s="115">
        <v>30</v>
      </c>
      <c r="EP247" s="115">
        <v>2356.470696649254</v>
      </c>
      <c r="EQ247" s="115">
        <v>74</v>
      </c>
      <c r="ER247" s="115">
        <v>9.6</v>
      </c>
      <c r="ES247" s="115">
        <v>49</v>
      </c>
      <c r="ET247" s="150">
        <v>0.1793103448275862</v>
      </c>
      <c r="EU247" s="145">
        <f t="shared" si="174"/>
        <v>18</v>
      </c>
      <c r="EV247" s="115">
        <f t="shared" si="175"/>
        <v>22</v>
      </c>
      <c r="EW247" s="115">
        <f t="shared" si="175"/>
        <v>41</v>
      </c>
      <c r="EX247" s="115">
        <f t="shared" si="175"/>
        <v>21</v>
      </c>
      <c r="EY247" s="115" t="str">
        <f t="shared" si="156"/>
        <v>Постоянный</v>
      </c>
      <c r="EZ247" s="115">
        <f t="shared" si="156"/>
        <v>24</v>
      </c>
      <c r="FA247" s="115">
        <f t="shared" si="156"/>
        <v>0</v>
      </c>
      <c r="FB247" s="149">
        <f t="shared" si="176"/>
        <v>8.6570140799999997</v>
      </c>
      <c r="FC247" s="142">
        <f t="shared" si="176"/>
        <v>10.4</v>
      </c>
      <c r="FD247" s="119">
        <f t="shared" si="176"/>
        <v>0.43</v>
      </c>
      <c r="FE247" s="121">
        <f t="shared" si="176"/>
        <v>30</v>
      </c>
      <c r="FF247" s="121">
        <f t="shared" si="199"/>
        <v>2356.470696649254</v>
      </c>
      <c r="FG247" s="121">
        <f t="shared" si="177"/>
        <v>76</v>
      </c>
      <c r="FH247" s="121">
        <f t="shared" si="200"/>
        <v>9.6</v>
      </c>
      <c r="FI247" s="121">
        <f t="shared" si="154"/>
        <v>49</v>
      </c>
      <c r="FJ247" s="144">
        <f t="shared" si="178"/>
        <v>0.1793103448275862</v>
      </c>
      <c r="FK247" s="132">
        <f t="shared" si="179"/>
        <v>0</v>
      </c>
      <c r="FL247" s="115">
        <f t="shared" si="179"/>
        <v>-2</v>
      </c>
      <c r="FM247" s="115">
        <f t="shared" si="179"/>
        <v>3</v>
      </c>
      <c r="FN247" s="115">
        <f t="shared" si="162"/>
        <v>-2</v>
      </c>
      <c r="FO247" s="115">
        <f t="shared" si="201"/>
        <v>0</v>
      </c>
      <c r="FP247" s="115">
        <f t="shared" si="201"/>
        <v>0</v>
      </c>
      <c r="FQ247" s="149">
        <f t="shared" si="201"/>
        <v>0</v>
      </c>
      <c r="FR247" s="142">
        <f t="shared" si="201"/>
        <v>0</v>
      </c>
      <c r="FS247" s="119">
        <f t="shared" si="201"/>
        <v>0</v>
      </c>
      <c r="FT247" s="121">
        <f t="shared" si="201"/>
        <v>0</v>
      </c>
      <c r="FU247" s="121">
        <f t="shared" si="180"/>
        <v>2</v>
      </c>
      <c r="FV247" s="121">
        <f t="shared" si="180"/>
        <v>0</v>
      </c>
      <c r="FW247" s="121">
        <f t="shared" si="181"/>
        <v>0</v>
      </c>
      <c r="FX247" s="121">
        <f t="shared" si="182"/>
        <v>0</v>
      </c>
      <c r="FY247" s="144">
        <f t="shared" si="182"/>
        <v>0</v>
      </c>
      <c r="FZ247" s="145"/>
      <c r="GA247" s="151"/>
      <c r="GB247" s="145" t="s">
        <v>204</v>
      </c>
      <c r="GC247" s="151" t="s">
        <v>219</v>
      </c>
      <c r="GD247" s="997" t="s">
        <v>220</v>
      </c>
      <c r="GE247" s="1004" t="s">
        <v>204</v>
      </c>
      <c r="GF247" s="1004">
        <v>4.2036462600000002</v>
      </c>
      <c r="GG247" s="1004"/>
      <c r="GH247" s="1004">
        <v>0</v>
      </c>
      <c r="GI247" s="145"/>
      <c r="GJ247" s="996">
        <v>0</v>
      </c>
      <c r="GK247" s="145"/>
      <c r="GL247" s="996">
        <v>0</v>
      </c>
      <c r="GM247" s="1005"/>
      <c r="GN247" s="996">
        <v>0</v>
      </c>
      <c r="GO247" s="1006"/>
      <c r="GP247" s="996">
        <v>-0.1175039800000004</v>
      </c>
      <c r="GQ247" s="1006"/>
      <c r="GR247" s="996">
        <v>0</v>
      </c>
      <c r="GS247" s="1006" t="s">
        <v>221</v>
      </c>
      <c r="GT247" s="996">
        <v>3.1768000000000001</v>
      </c>
      <c r="GU247" s="1006"/>
      <c r="GV247" s="996">
        <v>0.13376000000000055</v>
      </c>
      <c r="GW247" s="1006"/>
      <c r="GX247" s="1036">
        <v>0</v>
      </c>
      <c r="GY247" s="1006" t="s">
        <v>199</v>
      </c>
      <c r="GZ247" s="996">
        <v>1.6401818399999994</v>
      </c>
      <c r="HA247" s="1006"/>
      <c r="HB247" s="996">
        <v>0.53977175999999982</v>
      </c>
      <c r="HC247" s="1006"/>
      <c r="HD247" s="996">
        <v>0</v>
      </c>
      <c r="HE247" s="1006"/>
      <c r="HF247" s="996">
        <v>0</v>
      </c>
      <c r="HG247" s="1006" t="s">
        <v>199</v>
      </c>
      <c r="HH247" s="996">
        <v>-3.4841136000000006</v>
      </c>
      <c r="HI247" s="1006"/>
      <c r="HJ247" s="996">
        <v>0</v>
      </c>
      <c r="HK247" s="1006"/>
      <c r="HL247" s="996">
        <v>0</v>
      </c>
      <c r="HM247" s="1006"/>
      <c r="HN247" s="996">
        <v>0</v>
      </c>
      <c r="HO247" s="1006" t="s">
        <v>199</v>
      </c>
      <c r="HP247" s="996">
        <v>3.795440000000001</v>
      </c>
      <c r="HQ247" s="1006" t="s">
        <v>199</v>
      </c>
      <c r="HR247" s="996">
        <v>-2.3876160000000013</v>
      </c>
      <c r="HS247" s="1006" t="s">
        <v>204</v>
      </c>
      <c r="HT247" s="996">
        <v>-1.6037322399999994</v>
      </c>
      <c r="HU247" s="1006" t="s">
        <v>223</v>
      </c>
      <c r="HV247" s="996">
        <v>-3.4414441599999996</v>
      </c>
      <c r="HW247" s="1006"/>
      <c r="HX247" s="996">
        <v>0</v>
      </c>
      <c r="HY247" s="1006"/>
      <c r="HZ247" s="996">
        <v>0</v>
      </c>
      <c r="IA247" s="1006"/>
      <c r="IB247" s="996">
        <v>0</v>
      </c>
      <c r="IC247" s="1006"/>
      <c r="ID247" s="996">
        <v>0</v>
      </c>
      <c r="IE247" s="1006"/>
      <c r="IF247" s="996">
        <v>0</v>
      </c>
      <c r="IG247" s="1006"/>
      <c r="IH247" s="996">
        <v>0</v>
      </c>
      <c r="II247" s="1006"/>
      <c r="IJ247" s="996">
        <v>0</v>
      </c>
      <c r="IK247" s="1006" t="s">
        <v>199</v>
      </c>
      <c r="IL247" s="996">
        <v>4.5602964000000004</v>
      </c>
      <c r="IM247" s="1006" t="s">
        <v>199</v>
      </c>
      <c r="IN247" s="996">
        <v>1.9888440000000003</v>
      </c>
      <c r="IO247" s="1006" t="s">
        <v>203</v>
      </c>
      <c r="IP247" s="996">
        <v>-5.0907860520000003</v>
      </c>
      <c r="IQ247" s="1006" t="s">
        <v>199</v>
      </c>
      <c r="IR247" s="996">
        <v>0.98388589199999998</v>
      </c>
      <c r="IS247" s="1006"/>
      <c r="IT247" s="996">
        <v>0.42599215999999984</v>
      </c>
      <c r="IU247" s="1006"/>
      <c r="IV247" s="996">
        <v>0</v>
      </c>
      <c r="IW247" s="1006"/>
      <c r="IX247" s="996">
        <v>0.73568000000000033</v>
      </c>
      <c r="IY247" s="1006" t="s">
        <v>203</v>
      </c>
      <c r="IZ247" s="996">
        <v>-4.6347840000000016</v>
      </c>
      <c r="JA247" s="1006" t="s">
        <v>203</v>
      </c>
      <c r="JB247" s="996">
        <v>8.2026240000000001</v>
      </c>
      <c r="JC247" s="1006" t="s">
        <v>25</v>
      </c>
      <c r="JD247" s="996">
        <v>6</v>
      </c>
      <c r="JE247" s="1006"/>
      <c r="JF247" s="996">
        <v>0</v>
      </c>
      <c r="JG247" s="1006" t="s">
        <v>199</v>
      </c>
      <c r="JH247" s="996">
        <v>-7.5823528000000007</v>
      </c>
      <c r="JI247" s="1006"/>
      <c r="JJ247" s="996">
        <v>0</v>
      </c>
      <c r="JK247" s="1007"/>
      <c r="JL247" s="1007">
        <v>0</v>
      </c>
      <c r="JM247" s="1007"/>
      <c r="JN247" s="1007">
        <v>0</v>
      </c>
      <c r="JO247" s="1008"/>
      <c r="JP247" s="1007">
        <v>0</v>
      </c>
      <c r="JQ247" s="1008">
        <v>0</v>
      </c>
      <c r="JR247" s="1007">
        <v>0</v>
      </c>
      <c r="JS247" s="1008">
        <v>0</v>
      </c>
      <c r="JT247" s="1007">
        <v>-0.83349199999999968</v>
      </c>
      <c r="JU247" s="1008" t="s">
        <v>223</v>
      </c>
      <c r="JV247" s="1007">
        <v>-4.1674600000000019</v>
      </c>
      <c r="JW247" s="1008" t="s">
        <v>197</v>
      </c>
      <c r="JX247" s="1007">
        <v>0</v>
      </c>
      <c r="JY247" s="1008"/>
      <c r="JZ247" s="1007">
        <v>0</v>
      </c>
      <c r="KA247" s="1008"/>
      <c r="KB247" s="1007">
        <v>0</v>
      </c>
      <c r="KC247" s="1008"/>
      <c r="KD247" s="1007">
        <v>0</v>
      </c>
      <c r="KE247" s="1008"/>
      <c r="KF247" s="1007">
        <v>0</v>
      </c>
      <c r="KG247" s="1008"/>
      <c r="KH247" s="1007">
        <v>0</v>
      </c>
      <c r="KI247" s="1008"/>
      <c r="KJ247" s="1007">
        <v>0</v>
      </c>
      <c r="KK247" s="1008"/>
      <c r="KL247" s="1007">
        <v>0</v>
      </c>
      <c r="KM247" s="1008" t="s">
        <v>240</v>
      </c>
      <c r="KN247" s="1007">
        <v>-0.83349199999999968</v>
      </c>
      <c r="KO247" s="1008"/>
      <c r="KP247" s="1007">
        <v>0</v>
      </c>
      <c r="KQ247" s="1008">
        <v>0</v>
      </c>
      <c r="KR247" s="1007">
        <v>0.16669840000000136</v>
      </c>
      <c r="KS247" s="1008">
        <v>0</v>
      </c>
      <c r="KT247" s="1007">
        <v>0</v>
      </c>
      <c r="KU247" s="1008" t="s">
        <v>204</v>
      </c>
      <c r="KV247" s="1007">
        <v>1.5002855999999998</v>
      </c>
      <c r="KW247" s="1008">
        <v>0</v>
      </c>
      <c r="KX247" s="1007">
        <v>0</v>
      </c>
      <c r="KY247" s="1008">
        <v>0</v>
      </c>
      <c r="KZ247" s="1007">
        <v>0</v>
      </c>
      <c r="LA247" s="1008">
        <v>0</v>
      </c>
      <c r="LB247" s="1007">
        <v>0</v>
      </c>
      <c r="LC247" s="1008">
        <v>0</v>
      </c>
      <c r="LD247" s="1007">
        <v>0</v>
      </c>
      <c r="LE247" s="1008" t="s">
        <v>206</v>
      </c>
      <c r="LF247" s="1007">
        <v>1.2521189999999986</v>
      </c>
      <c r="LG247" s="1008" t="s">
        <v>206</v>
      </c>
      <c r="LH247" s="1007">
        <v>1.1978651</v>
      </c>
      <c r="LI247" s="1008">
        <v>0</v>
      </c>
      <c r="LJ247" s="1007">
        <v>0</v>
      </c>
      <c r="LK247" s="1008">
        <v>0</v>
      </c>
      <c r="LL247" s="1007">
        <v>0</v>
      </c>
      <c r="LM247" s="1008">
        <v>0</v>
      </c>
      <c r="LN247" s="1007">
        <v>0</v>
      </c>
      <c r="LO247" s="1008">
        <v>0</v>
      </c>
      <c r="LP247" s="1007">
        <v>0</v>
      </c>
      <c r="LQ247" s="1008">
        <v>0</v>
      </c>
      <c r="LR247" s="1007">
        <v>0</v>
      </c>
      <c r="LS247" s="1008">
        <v>0</v>
      </c>
      <c r="LT247" s="1007">
        <v>1.6385599999999982</v>
      </c>
      <c r="LU247" s="1008">
        <v>0</v>
      </c>
      <c r="LV247" s="1007">
        <v>0</v>
      </c>
      <c r="LW247" s="1008" t="s">
        <v>206</v>
      </c>
      <c r="LX247" s="1007">
        <v>1.63856</v>
      </c>
      <c r="LY247" s="1009">
        <v>0</v>
      </c>
      <c r="LZ247" s="1010">
        <v>0</v>
      </c>
      <c r="MA247" s="1011">
        <v>0</v>
      </c>
      <c r="MB247" s="1012">
        <v>8.1928000000000001</v>
      </c>
      <c r="MC247" s="995"/>
      <c r="MD247" s="996"/>
      <c r="ME247" s="997" t="s">
        <v>220</v>
      </c>
      <c r="MF247" s="997"/>
      <c r="MG247" s="998"/>
      <c r="NR247" s="1000"/>
      <c r="NS247" s="1000"/>
      <c r="NT247" s="1001"/>
      <c r="NU247" s="1000"/>
      <c r="NV247" s="1001"/>
      <c r="NX247" s="1002"/>
      <c r="NZ247" s="1001"/>
      <c r="OA247" s="1001"/>
      <c r="OC247" s="1003"/>
      <c r="OD247" s="1003"/>
      <c r="OE247" s="1001"/>
      <c r="OF247" s="1003"/>
      <c r="OG247" s="1003"/>
      <c r="QX247" s="1000">
        <f>CN247-CA247</f>
        <v>27</v>
      </c>
      <c r="ASU247" s="999" t="s">
        <v>208</v>
      </c>
    </row>
    <row r="248" spans="1:466 1191:1191" ht="21" customHeight="1" x14ac:dyDescent="0.25">
      <c r="A248" s="982">
        <f t="shared" si="163"/>
        <v>1538</v>
      </c>
      <c r="B248" s="124">
        <f>SUBTOTAL(103,$J$29:J248)</f>
        <v>220</v>
      </c>
      <c r="C248" s="126">
        <v>45068</v>
      </c>
      <c r="D248" s="124" t="s">
        <v>176</v>
      </c>
      <c r="E248" s="127" t="s">
        <v>177</v>
      </c>
      <c r="F248" s="128" t="s">
        <v>177</v>
      </c>
      <c r="G248" s="127" t="s">
        <v>178</v>
      </c>
      <c r="H248" s="127" t="s">
        <v>179</v>
      </c>
      <c r="I248" s="127" t="s">
        <v>1132</v>
      </c>
      <c r="J248" s="152">
        <v>1538</v>
      </c>
      <c r="K248" s="127" t="s">
        <v>1133</v>
      </c>
      <c r="L248" s="130">
        <v>43096</v>
      </c>
      <c r="M248" s="127" t="s">
        <v>230</v>
      </c>
      <c r="N248" s="127" t="s">
        <v>184</v>
      </c>
      <c r="O248" s="127" t="s">
        <v>185</v>
      </c>
      <c r="P248" s="127" t="s">
        <v>186</v>
      </c>
      <c r="Q248" s="85">
        <f t="shared" si="187"/>
        <v>-4</v>
      </c>
      <c r="R248" s="130">
        <v>43087</v>
      </c>
      <c r="S248" s="128" t="s">
        <v>747</v>
      </c>
      <c r="T248" s="131" t="s">
        <v>1134</v>
      </c>
      <c r="U248" s="132">
        <v>203</v>
      </c>
      <c r="V248" s="121">
        <v>218.2</v>
      </c>
      <c r="W248" s="116">
        <v>0.98</v>
      </c>
      <c r="X248" s="116">
        <v>1.66</v>
      </c>
      <c r="Y248" s="116">
        <f t="shared" si="191"/>
        <v>0.98056234659877228</v>
      </c>
      <c r="Z248" s="133">
        <v>1.454</v>
      </c>
      <c r="AA248" s="133">
        <v>0.83599999999999997</v>
      </c>
      <c r="AB248" s="133">
        <v>0.72</v>
      </c>
      <c r="AC248" s="121">
        <v>34.299999999999997</v>
      </c>
      <c r="AD248" s="134">
        <v>1.17</v>
      </c>
      <c r="AE248" s="124">
        <v>177.8</v>
      </c>
      <c r="AF248" s="128">
        <v>9.19</v>
      </c>
      <c r="AG248" s="128">
        <v>2163.6999999999998</v>
      </c>
      <c r="AH248" s="127">
        <v>3060</v>
      </c>
      <c r="AI248" s="127">
        <v>3058</v>
      </c>
      <c r="AJ248" s="135">
        <v>43072</v>
      </c>
      <c r="AK248" s="128" t="s">
        <v>1018</v>
      </c>
      <c r="AL248" s="131"/>
      <c r="AM248" s="124" t="s">
        <v>985</v>
      </c>
      <c r="AN248" s="136" t="s">
        <v>1135</v>
      </c>
      <c r="AO248" s="137">
        <v>12.42</v>
      </c>
      <c r="AP248" s="128">
        <v>2373.1</v>
      </c>
      <c r="AQ248" s="128">
        <v>523.95000000000005</v>
      </c>
      <c r="AR248" s="128" t="s">
        <v>1136</v>
      </c>
      <c r="AS248" s="128">
        <v>114</v>
      </c>
      <c r="AT248" s="122">
        <v>7.37</v>
      </c>
      <c r="AU248" s="124" t="s">
        <v>189</v>
      </c>
      <c r="AV248" s="115">
        <f>VLOOKUP(J248,'[63]ТР нефть'!$J$28:$BP$638,39,0)</f>
        <v>440.00000800800001</v>
      </c>
      <c r="AW248" s="115" t="str">
        <f>VLOOKUP(J248,'[63]ТР нефть'!$J$28:$BP$638,40,0)</f>
        <v>ГК 70 1/8</v>
      </c>
      <c r="AX248" s="115">
        <f>VLOOKUP(J248,'[63]ТР нефть'!$J$28:$BP$638,41,0)</f>
        <v>859.99997168000004</v>
      </c>
      <c r="AY248" s="115" t="str">
        <f>VLOOKUP(J248,'[63]ТР нефть'!$J$28:$BP$638,42,0)</f>
        <v>ГК 71 1/8</v>
      </c>
      <c r="AZ248" s="115">
        <f>VLOOKUP(J248,'[63]ТР нефть'!$J$28:$BP$638,43,0)</f>
        <v>1220.000025586</v>
      </c>
      <c r="BA248" s="115" t="str">
        <f>VLOOKUP(J248,'[63]ТР нефть'!$J$28:$BP$638,44,0)</f>
        <v>ГК 71 1/8</v>
      </c>
      <c r="BB248" s="115">
        <f>VLOOKUP(J248,'[63]ТР нефть'!$J$28:$BP$638,45,0)</f>
        <v>1519.999946484</v>
      </c>
      <c r="BC248" s="115" t="str">
        <f>VLOOKUP(J248,'[63]ТР нефть'!$J$28:$BP$638,46,0)</f>
        <v>ГК 69 5/32</v>
      </c>
      <c r="BD248" s="115">
        <f>VLOOKUP(J248,'[63]ТР нефть'!$J$28:$BP$638,47,0)</f>
        <v>1830.0000011720001</v>
      </c>
      <c r="BE248" s="115" t="str">
        <f>VLOOKUP(J248,'[63]ТР нефть'!$J$28:$BP$638,48,0)</f>
        <v>ЦКсОК 5/16</v>
      </c>
      <c r="BF248" s="115" t="str">
        <f>VLOOKUP(J248,'[63]ТР нефть'!$J$28:$BP$638,49,0)</f>
        <v>-</v>
      </c>
      <c r="BG248" s="115" t="str">
        <f>VLOOKUP(J248,'[63]ТР нефть'!$J$28:$BP$638,50,0)</f>
        <v>-</v>
      </c>
      <c r="BH248" s="115">
        <f>VLOOKUP(J248,'[63]ТР нефть'!$J$28:$BP$638,51,0)</f>
        <v>1840</v>
      </c>
      <c r="BI248" s="115" t="str">
        <f>VLOOKUP(J248,'[63]ТР нефть'!$J$28:$BP$638,52,0)</f>
        <v>закрыт</v>
      </c>
      <c r="BJ248" s="115" t="str">
        <f>IF(IFERROR(VLOOKUP(J248,'[63]ТР нефть'!$J$28:$BP$638,53,0),"-")=0,"-",IFERROR(VLOOKUP(J248,'[63]ТР нефть'!$J$28:$BP$638,53,0),"-"))</f>
        <v>-</v>
      </c>
      <c r="BK248" s="138" t="str">
        <f>IF(IFERROR(VLOOKUP(J248,'[63]ТР нефть'!$J$28:$BP$638,54,0),"-")=0,"-",IFERROR(VLOOKUP(J248,'[63]ТР нефть'!$J$28:$BP$638,54,0),"-"))</f>
        <v>-</v>
      </c>
      <c r="BL248" s="138" t="str">
        <f>IF(IFERROR(VLOOKUP(J248,'[63]ТР нефть'!$J$28:$BP$638,55,0),"-")=0,"-",IFERROR(VLOOKUP(J248,'[63]ТР нефть'!$J$28:$BP$638,55,0),"-"))</f>
        <v>-</v>
      </c>
      <c r="BM248" s="138" t="str">
        <f>IF(IFERROR(VLOOKUP(J248,'[63]ТР нефть'!$J$28:$BP$638,56,0),"-")=0,"-",IFERROR(VLOOKUP(J248,'[63]ТР нефть'!$J$28:$BP$638,56,0),"-"))</f>
        <v>-</v>
      </c>
      <c r="BN248" s="138" t="str">
        <f>IF(IFERROR(VLOOKUP(J248,'[63]ТР нефть'!$J$28:$BP$638,57,0),"-")=0,"-",IFERROR(VLOOKUP(J248,'[63]ТР нефть'!$J$28:$BP$638,57,0),"-"))</f>
        <v>-</v>
      </c>
      <c r="BO248" s="115" t="str">
        <f>IF(IFERROR(VLOOKUP(J248,'[63]ТР нефть'!$J$28:$BP$638,58,0),"-")=0,"-",IFERROR(VLOOKUP(J248,'[63]ТР нефть'!$J$28:$BP$638,58,0),"-"))</f>
        <v>-</v>
      </c>
      <c r="BP248" s="115" t="str">
        <f>IF(IFERROR(VLOOKUP(J248,'[63]ТР нефть'!$J$28:$BP$638,59,0),"-")=0,"-",IFERROR(VLOOKUP(J248,'[63]ТР нефть'!$J$28:$BP$638,59,0),"-"))</f>
        <v>-</v>
      </c>
      <c r="BQ248" s="138">
        <v>2109</v>
      </c>
      <c r="BR248" s="128">
        <v>1637.83</v>
      </c>
      <c r="BS248" s="115">
        <f t="shared" si="164"/>
        <v>471.17000000000007</v>
      </c>
      <c r="BT248" s="128">
        <v>73</v>
      </c>
      <c r="BU248" s="128">
        <v>5.5</v>
      </c>
      <c r="BV248" s="127">
        <v>65</v>
      </c>
      <c r="BW248" s="127" t="s">
        <v>194</v>
      </c>
      <c r="BX248" s="127" t="s">
        <v>195</v>
      </c>
      <c r="BY248" s="139">
        <v>24</v>
      </c>
      <c r="BZ248" s="139">
        <v>0</v>
      </c>
      <c r="CA248" s="138">
        <v>27</v>
      </c>
      <c r="CB248" s="138">
        <v>44</v>
      </c>
      <c r="CC248" s="138">
        <v>26</v>
      </c>
      <c r="CD248" s="135">
        <v>45017</v>
      </c>
      <c r="CE248" s="138">
        <v>82.7</v>
      </c>
      <c r="CF248" s="138">
        <v>66</v>
      </c>
      <c r="CG248" s="138" t="str">
        <f t="shared" si="202"/>
        <v>В работе</v>
      </c>
      <c r="CH248" s="138" t="s">
        <v>272</v>
      </c>
      <c r="CI248" s="138"/>
      <c r="CJ248" s="138"/>
      <c r="CK248" s="138">
        <f t="shared" si="157"/>
        <v>32</v>
      </c>
      <c r="CL248" s="99"/>
      <c r="CM248" s="99"/>
      <c r="CN248" s="140">
        <v>59</v>
      </c>
      <c r="CO248" s="141">
        <f t="shared" si="165"/>
        <v>8.0394090480000013</v>
      </c>
      <c r="CP248" s="142">
        <v>9.6300000000000008</v>
      </c>
      <c r="CQ248" s="143">
        <v>0.14000000000000001</v>
      </c>
      <c r="CR248" s="115">
        <v>20</v>
      </c>
      <c r="CS248" s="139">
        <v>9.1199999999999992</v>
      </c>
      <c r="CT248" s="138"/>
      <c r="CU248" s="138">
        <f t="shared" si="188"/>
        <v>10.88</v>
      </c>
      <c r="CV248" s="115">
        <f t="shared" si="189"/>
        <v>1353.3333028634318</v>
      </c>
      <c r="CW248" s="115">
        <f t="shared" si="166"/>
        <v>1132.2130344574573</v>
      </c>
      <c r="CX248" s="133">
        <f t="shared" si="190"/>
        <v>0.40632911392405063</v>
      </c>
      <c r="CY248" s="116"/>
      <c r="CZ248" s="131"/>
      <c r="DA248" s="145" t="str">
        <f t="shared" si="167"/>
        <v>Газлифт</v>
      </c>
      <c r="DB248" s="146">
        <f t="shared" si="168"/>
        <v>8.0394090480000013</v>
      </c>
      <c r="DC248" s="142">
        <f t="shared" si="203"/>
        <v>9.6300000000000008</v>
      </c>
      <c r="DD248" s="119">
        <f t="shared" si="204"/>
        <v>0.14000000000000001</v>
      </c>
      <c r="DE248" s="115">
        <f t="shared" si="169"/>
        <v>10.88</v>
      </c>
      <c r="DF248" s="121">
        <f t="shared" si="170"/>
        <v>9.1199999999999992</v>
      </c>
      <c r="DG248" s="115">
        <f t="shared" si="171"/>
        <v>1353.3333028634318</v>
      </c>
      <c r="DH248" s="115">
        <f t="shared" si="172"/>
        <v>59</v>
      </c>
      <c r="DI248" s="1038"/>
      <c r="DJ248" s="111">
        <v>43100</v>
      </c>
      <c r="DK248" s="112">
        <v>43173</v>
      </c>
      <c r="DL248" s="113">
        <f t="shared" ca="1" si="192"/>
        <v>1931</v>
      </c>
      <c r="DM248" s="114"/>
      <c r="DN248" s="114"/>
      <c r="DO248" s="114"/>
      <c r="DP248" s="114"/>
      <c r="DQ248" s="112">
        <v>43096</v>
      </c>
      <c r="DR248" s="114" t="s">
        <v>324</v>
      </c>
      <c r="DS248" s="114"/>
      <c r="DT248" s="115">
        <v>55</v>
      </c>
      <c r="DU248" s="116">
        <f t="shared" si="193"/>
        <v>0.39631946677580604</v>
      </c>
      <c r="DV248" s="117">
        <f t="shared" si="194"/>
        <v>9.1648004472022677</v>
      </c>
      <c r="DW248" s="118">
        <f t="shared" si="195"/>
        <v>10.978049229689828</v>
      </c>
      <c r="DX248" s="119">
        <f t="shared" si="173"/>
        <v>0.14000000000000001</v>
      </c>
      <c r="DY248" s="115">
        <f t="shared" si="196"/>
        <v>12.4030296592965</v>
      </c>
      <c r="DZ248" s="117">
        <f t="shared" si="197"/>
        <v>1.1253913992022664</v>
      </c>
      <c r="EA248" s="120">
        <f t="shared" si="197"/>
        <v>1.3480492296898277</v>
      </c>
      <c r="EB248" s="119">
        <f t="shared" si="197"/>
        <v>0</v>
      </c>
      <c r="EC248" s="121">
        <f t="shared" si="198"/>
        <v>1.5230296592964994</v>
      </c>
      <c r="ED248" s="122"/>
      <c r="EE248" s="145">
        <v>65</v>
      </c>
      <c r="EF248" s="115">
        <v>30</v>
      </c>
      <c r="EG248" s="115">
        <v>51</v>
      </c>
      <c r="EH248" s="115">
        <v>29</v>
      </c>
      <c r="EI248" s="128" t="s">
        <v>195</v>
      </c>
      <c r="EJ248" s="121">
        <v>24</v>
      </c>
      <c r="EK248" s="121">
        <v>0</v>
      </c>
      <c r="EL248" s="149">
        <v>8.5152619200000004</v>
      </c>
      <c r="EM248" s="142">
        <v>10.199999999999999</v>
      </c>
      <c r="EN248" s="119">
        <v>0.14000000000000001</v>
      </c>
      <c r="EO248" s="115">
        <v>20</v>
      </c>
      <c r="EP248" s="115">
        <v>1409.2343973372458</v>
      </c>
      <c r="EQ248" s="115">
        <v>68</v>
      </c>
      <c r="ER248" s="115">
        <v>8</v>
      </c>
      <c r="ES248" s="115">
        <v>54</v>
      </c>
      <c r="ET248" s="150">
        <v>0.35540069686411146</v>
      </c>
      <c r="EU248" s="145">
        <f t="shared" si="174"/>
        <v>65</v>
      </c>
      <c r="EV248" s="115">
        <f t="shared" si="175"/>
        <v>27</v>
      </c>
      <c r="EW248" s="115">
        <f t="shared" si="175"/>
        <v>44</v>
      </c>
      <c r="EX248" s="115">
        <f t="shared" si="175"/>
        <v>26</v>
      </c>
      <c r="EY248" s="115" t="str">
        <f t="shared" si="156"/>
        <v>Постоянный</v>
      </c>
      <c r="EZ248" s="115">
        <f t="shared" si="156"/>
        <v>24</v>
      </c>
      <c r="FA248" s="115">
        <f t="shared" si="156"/>
        <v>0</v>
      </c>
      <c r="FB248" s="149">
        <f t="shared" si="176"/>
        <v>8.0394090480000013</v>
      </c>
      <c r="FC248" s="142">
        <f t="shared" si="176"/>
        <v>9.6300000000000008</v>
      </c>
      <c r="FD248" s="119">
        <f t="shared" si="176"/>
        <v>0.14000000000000001</v>
      </c>
      <c r="FE248" s="121">
        <f t="shared" si="176"/>
        <v>20</v>
      </c>
      <c r="FF248" s="121">
        <f t="shared" si="199"/>
        <v>1353.3333028634318</v>
      </c>
      <c r="FG248" s="121">
        <f t="shared" si="177"/>
        <v>66</v>
      </c>
      <c r="FH248" s="121">
        <f t="shared" si="200"/>
        <v>9.1199999999999992</v>
      </c>
      <c r="FI248" s="121">
        <f t="shared" si="154"/>
        <v>59</v>
      </c>
      <c r="FJ248" s="144">
        <f t="shared" si="178"/>
        <v>0.40632911392405063</v>
      </c>
      <c r="FK248" s="132">
        <f t="shared" si="179"/>
        <v>0</v>
      </c>
      <c r="FL248" s="115">
        <f t="shared" si="179"/>
        <v>-3</v>
      </c>
      <c r="FM248" s="115">
        <f t="shared" si="179"/>
        <v>-7</v>
      </c>
      <c r="FN248" s="115">
        <f t="shared" si="162"/>
        <v>-3</v>
      </c>
      <c r="FO248" s="115">
        <f t="shared" si="201"/>
        <v>0</v>
      </c>
      <c r="FP248" s="115">
        <f t="shared" si="201"/>
        <v>0</v>
      </c>
      <c r="FQ248" s="149">
        <f t="shared" si="201"/>
        <v>-0.47585287199999904</v>
      </c>
      <c r="FR248" s="142">
        <f t="shared" si="201"/>
        <v>-0.56999999999999851</v>
      </c>
      <c r="FS248" s="119">
        <f t="shared" si="201"/>
        <v>0</v>
      </c>
      <c r="FT248" s="121">
        <f t="shared" si="201"/>
        <v>0</v>
      </c>
      <c r="FU248" s="121">
        <f t="shared" si="180"/>
        <v>-2</v>
      </c>
      <c r="FV248" s="121">
        <f t="shared" si="180"/>
        <v>1.1199999999999992</v>
      </c>
      <c r="FW248" s="121">
        <f t="shared" si="181"/>
        <v>-55.901094473814055</v>
      </c>
      <c r="FX248" s="121">
        <f t="shared" si="182"/>
        <v>5</v>
      </c>
      <c r="FY248" s="144">
        <f t="shared" si="182"/>
        <v>5.0928417059939168E-2</v>
      </c>
      <c r="FZ248" s="1052"/>
      <c r="GA248" s="125"/>
      <c r="GB248" s="1052"/>
      <c r="GC248" s="125"/>
      <c r="GD248" s="997" t="s">
        <v>202</v>
      </c>
      <c r="GE248" s="1004"/>
      <c r="GF248" s="1004">
        <v>0</v>
      </c>
      <c r="GG248" s="1004"/>
      <c r="GH248" s="1004">
        <v>0</v>
      </c>
      <c r="GI248" s="1052"/>
      <c r="GJ248" s="996">
        <v>0</v>
      </c>
      <c r="GK248" s="1052"/>
      <c r="GL248" s="996">
        <v>-0.65748473999999923</v>
      </c>
      <c r="GM248" s="1005"/>
      <c r="GN248" s="996">
        <v>0</v>
      </c>
      <c r="GO248" s="1006"/>
      <c r="GP248" s="996">
        <v>0</v>
      </c>
      <c r="GQ248" s="1006" t="s">
        <v>203</v>
      </c>
      <c r="GR248" s="996">
        <v>-4.7042533400000011</v>
      </c>
      <c r="GS248" s="1006"/>
      <c r="GT248" s="996">
        <v>0</v>
      </c>
      <c r="GU248" s="1006"/>
      <c r="GV248" s="996">
        <v>-0.16719999999999935</v>
      </c>
      <c r="GW248" s="1006"/>
      <c r="GX248" s="996">
        <v>0</v>
      </c>
      <c r="GY248" s="1006"/>
      <c r="GZ248" s="996">
        <v>-0.40127999999999986</v>
      </c>
      <c r="HA248" s="1006"/>
      <c r="HB248" s="996">
        <v>-0.72732000000000063</v>
      </c>
      <c r="HC248" s="1006"/>
      <c r="HD248" s="996">
        <v>-0.49500228799999846</v>
      </c>
      <c r="HE248" s="1006" t="s">
        <v>204</v>
      </c>
      <c r="HF248" s="996">
        <v>5.8437951615999992</v>
      </c>
      <c r="HG248" s="1006" t="s">
        <v>199</v>
      </c>
      <c r="HH248" s="996">
        <v>-7.0592488735999996</v>
      </c>
      <c r="HI248" s="1006" t="s">
        <v>199</v>
      </c>
      <c r="HJ248" s="996">
        <v>1.5850559999999998</v>
      </c>
      <c r="HK248" s="1006"/>
      <c r="HL248" s="996">
        <v>1.0307880000000935E-2</v>
      </c>
      <c r="HM248" s="1006"/>
      <c r="HN248" s="996">
        <v>1.145319999999117E-3</v>
      </c>
      <c r="HO248" s="1006"/>
      <c r="HP248" s="996">
        <v>0</v>
      </c>
      <c r="HQ248" s="1006" t="s">
        <v>203</v>
      </c>
      <c r="HR248" s="996">
        <v>-4.7820086160000006</v>
      </c>
      <c r="HS248" s="1006"/>
      <c r="HT248" s="996">
        <v>0</v>
      </c>
      <c r="HU248" s="1006" t="s">
        <v>199</v>
      </c>
      <c r="HV248" s="996">
        <v>4.1866094159999996</v>
      </c>
      <c r="HW248" s="1006"/>
      <c r="HX248" s="996">
        <v>-0.41077528799999996</v>
      </c>
      <c r="HY248" s="1006" t="s">
        <v>25</v>
      </c>
      <c r="HZ248" s="996">
        <v>1.9679212879999994</v>
      </c>
      <c r="IA248" s="1006" t="s">
        <v>204</v>
      </c>
      <c r="IB248" s="996">
        <v>-2.2139503759999979</v>
      </c>
      <c r="IC248" s="1006"/>
      <c r="ID248" s="996">
        <v>-0.53102218399999934</v>
      </c>
      <c r="IE248" s="1006" t="s">
        <v>204</v>
      </c>
      <c r="IF248" s="996">
        <v>3.5947999999999993</v>
      </c>
      <c r="IG248" s="1006"/>
      <c r="IH248" s="996">
        <v>-0.16720000000000113</v>
      </c>
      <c r="II248" s="1006"/>
      <c r="IJ248" s="996">
        <v>0.8360000000000003</v>
      </c>
      <c r="IK248" s="1006" t="s">
        <v>199</v>
      </c>
      <c r="IL248" s="996">
        <v>-5.1831999999999994</v>
      </c>
      <c r="IM248" s="1006"/>
      <c r="IN248" s="996">
        <v>0</v>
      </c>
      <c r="IO248" s="1006"/>
      <c r="IP248" s="996">
        <v>0</v>
      </c>
      <c r="IQ248" s="1006"/>
      <c r="IR248" s="996">
        <v>0</v>
      </c>
      <c r="IS248" s="1006"/>
      <c r="IT248" s="996">
        <v>0</v>
      </c>
      <c r="IU248" s="1006"/>
      <c r="IV248" s="996">
        <v>0</v>
      </c>
      <c r="IW248" s="1006" t="s">
        <v>199</v>
      </c>
      <c r="IX248" s="996">
        <v>7.2731999999999992</v>
      </c>
      <c r="IY248" s="1006" t="s">
        <v>199</v>
      </c>
      <c r="IZ248" s="996">
        <v>-5.6012000000000004</v>
      </c>
      <c r="JA248" s="1006"/>
      <c r="JB248" s="996">
        <v>0</v>
      </c>
      <c r="JC248" s="1006"/>
      <c r="JD248" s="996">
        <v>0</v>
      </c>
      <c r="JE248" s="1006"/>
      <c r="JF248" s="996">
        <v>0</v>
      </c>
      <c r="JG248" s="1006"/>
      <c r="JH248" s="996">
        <v>0</v>
      </c>
      <c r="JI248" s="1006"/>
      <c r="JJ248" s="996">
        <v>0</v>
      </c>
      <c r="JK248" s="1007"/>
      <c r="JL248" s="1007">
        <v>0</v>
      </c>
      <c r="JM248" s="1007"/>
      <c r="JN248" s="1007">
        <v>0</v>
      </c>
      <c r="JO248" s="1008" t="s">
        <v>199</v>
      </c>
      <c r="JP248" s="1007">
        <v>2.5080000000000009</v>
      </c>
      <c r="JQ248" s="1008" t="s">
        <v>199</v>
      </c>
      <c r="JR248" s="1007">
        <v>-4.5562000000000005</v>
      </c>
      <c r="JS248" s="1008" t="s">
        <v>199</v>
      </c>
      <c r="JT248" s="1007">
        <v>6.479000000000001</v>
      </c>
      <c r="JU248" s="1008"/>
      <c r="JV248" s="1007">
        <v>0</v>
      </c>
      <c r="JW248" s="1008" t="s">
        <v>205</v>
      </c>
      <c r="JX248" s="1007">
        <v>-8.6107999999999993</v>
      </c>
      <c r="JY248" s="1008"/>
      <c r="JZ248" s="1007">
        <v>0</v>
      </c>
      <c r="KA248" s="1008" t="s">
        <v>199</v>
      </c>
      <c r="KB248" s="1007">
        <v>4.1799999999999979</v>
      </c>
      <c r="KC248" s="1008"/>
      <c r="KD248" s="1007">
        <v>0</v>
      </c>
      <c r="KE248" s="1008" t="s">
        <v>199</v>
      </c>
      <c r="KF248" s="1007">
        <v>-8.3599999999999977</v>
      </c>
      <c r="KG248" s="1008" t="s">
        <v>207</v>
      </c>
      <c r="KH248" s="1007">
        <v>5.8519999999999968</v>
      </c>
      <c r="KI248" s="1008" t="s">
        <v>207</v>
      </c>
      <c r="KJ248" s="1007">
        <v>-10.867999999999999</v>
      </c>
      <c r="KK248" s="1008"/>
      <c r="KL248" s="1007">
        <v>0</v>
      </c>
      <c r="KM248" s="1008"/>
      <c r="KN248" s="1007">
        <v>0</v>
      </c>
      <c r="KO248" s="1008" t="s">
        <v>240</v>
      </c>
      <c r="KP248" s="1007">
        <v>-7.5240000000000009</v>
      </c>
      <c r="KQ248" s="1008" t="s">
        <v>240</v>
      </c>
      <c r="KR248" s="1007">
        <v>-9.195999999999998</v>
      </c>
      <c r="KS248" s="1008" t="s">
        <v>206</v>
      </c>
      <c r="KT248" s="1007">
        <v>-21.849696000000002</v>
      </c>
      <c r="KU248" s="1008">
        <v>0</v>
      </c>
      <c r="KV248" s="1007">
        <v>0</v>
      </c>
      <c r="KW248" s="1008" t="s">
        <v>204</v>
      </c>
      <c r="KX248" s="1007">
        <v>21.373176000000001</v>
      </c>
      <c r="KY248" s="1008" t="s">
        <v>224</v>
      </c>
      <c r="KZ248" s="1007">
        <v>45.620519999999999</v>
      </c>
      <c r="LA248" s="1008">
        <v>0</v>
      </c>
      <c r="LB248" s="1007">
        <v>0</v>
      </c>
      <c r="LC248" s="1008">
        <v>0</v>
      </c>
      <c r="LD248" s="1007">
        <v>0</v>
      </c>
      <c r="LE248" s="1008" t="s">
        <v>25</v>
      </c>
      <c r="LF248" s="1007">
        <v>40.963999999999999</v>
      </c>
      <c r="LG248" s="1008">
        <v>0</v>
      </c>
      <c r="LH248" s="1007">
        <v>0</v>
      </c>
      <c r="LI248" s="1008">
        <v>0</v>
      </c>
      <c r="LJ248" s="1007">
        <v>0</v>
      </c>
      <c r="LK248" s="1008">
        <v>0</v>
      </c>
      <c r="LL248" s="1007">
        <v>0</v>
      </c>
      <c r="LM248" s="1008">
        <v>0</v>
      </c>
      <c r="LN248" s="1007">
        <v>0</v>
      </c>
      <c r="LO248" s="1008">
        <v>0</v>
      </c>
      <c r="LP248" s="1007">
        <v>0</v>
      </c>
      <c r="LQ248" s="1008">
        <v>0</v>
      </c>
      <c r="LR248" s="1007">
        <v>0</v>
      </c>
      <c r="LS248" s="1008">
        <v>0</v>
      </c>
      <c r="LT248" s="1007">
        <v>0</v>
      </c>
      <c r="LU248" s="1008">
        <v>0</v>
      </c>
      <c r="LV248" s="1007">
        <v>0</v>
      </c>
      <c r="LW248" s="1008">
        <v>0</v>
      </c>
      <c r="LX248" s="1007">
        <v>0</v>
      </c>
      <c r="LY248" s="1009">
        <v>0</v>
      </c>
      <c r="LZ248" s="1010">
        <v>0</v>
      </c>
      <c r="MA248" s="1011">
        <v>0</v>
      </c>
      <c r="MB248" s="1012">
        <v>0</v>
      </c>
      <c r="MC248" s="995"/>
      <c r="MD248" s="996"/>
      <c r="ME248" s="997" t="s">
        <v>202</v>
      </c>
      <c r="MF248" s="997"/>
      <c r="MG248" s="998"/>
      <c r="NR248" s="1000"/>
      <c r="NS248" s="1000"/>
      <c r="NT248" s="1001"/>
      <c r="NU248" s="1000"/>
      <c r="NV248" s="1001"/>
      <c r="NX248" s="1002"/>
      <c r="NZ248" s="1001"/>
      <c r="OA248" s="1001"/>
      <c r="OC248" s="1003"/>
      <c r="OD248" s="1003"/>
      <c r="OE248" s="1001"/>
      <c r="OF248" s="1003"/>
      <c r="OG248" s="1003"/>
      <c r="QX248" s="1000">
        <f>CN248-CA248</f>
        <v>32</v>
      </c>
      <c r="ASU248" s="999" t="s">
        <v>208</v>
      </c>
    </row>
    <row r="249" spans="1:466 1191:1191" ht="21" customHeight="1" x14ac:dyDescent="0.25">
      <c r="A249" s="982" t="str">
        <f t="shared" si="163"/>
        <v>1136-2</v>
      </c>
      <c r="B249" s="124">
        <f>SUBTOTAL(103,$J$29:J249)</f>
        <v>221</v>
      </c>
      <c r="C249" s="126">
        <v>45068</v>
      </c>
      <c r="D249" s="124" t="s">
        <v>176</v>
      </c>
      <c r="E249" s="127" t="s">
        <v>177</v>
      </c>
      <c r="F249" s="128" t="s">
        <v>177</v>
      </c>
      <c r="G249" s="127" t="s">
        <v>178</v>
      </c>
      <c r="H249" s="127" t="s">
        <v>179</v>
      </c>
      <c r="I249" s="127" t="s">
        <v>1137</v>
      </c>
      <c r="J249" s="152" t="s">
        <v>1138</v>
      </c>
      <c r="K249" s="127" t="s">
        <v>481</v>
      </c>
      <c r="L249" s="130">
        <v>43584</v>
      </c>
      <c r="M249" s="127" t="s">
        <v>230</v>
      </c>
      <c r="N249" s="127" t="s">
        <v>184</v>
      </c>
      <c r="O249" s="127" t="s">
        <v>185</v>
      </c>
      <c r="P249" s="127" t="s">
        <v>186</v>
      </c>
      <c r="Q249" s="85" t="str">
        <f t="shared" si="187"/>
        <v/>
      </c>
      <c r="R249" s="130"/>
      <c r="S249" s="128"/>
      <c r="T249" s="131"/>
      <c r="U249" s="132">
        <v>203</v>
      </c>
      <c r="V249" s="121">
        <v>218.2</v>
      </c>
      <c r="W249" s="116">
        <v>0.98</v>
      </c>
      <c r="X249" s="116">
        <v>1.66</v>
      </c>
      <c r="Y249" s="116">
        <f t="shared" si="191"/>
        <v>0.98</v>
      </c>
      <c r="Z249" s="133">
        <v>1.454</v>
      </c>
      <c r="AA249" s="133">
        <v>0.83599999999999997</v>
      </c>
      <c r="AB249" s="133">
        <v>0.72</v>
      </c>
      <c r="AC249" s="121">
        <v>34.299999999999997</v>
      </c>
      <c r="AD249" s="134">
        <v>1.17</v>
      </c>
      <c r="AE249" s="124">
        <v>177.8</v>
      </c>
      <c r="AF249" s="128">
        <v>9.19</v>
      </c>
      <c r="AG249" s="128">
        <v>2143</v>
      </c>
      <c r="AH249" s="127">
        <v>2764</v>
      </c>
      <c r="AI249" s="127">
        <v>2764</v>
      </c>
      <c r="AJ249" s="135"/>
      <c r="AK249" s="128"/>
      <c r="AL249" s="131"/>
      <c r="AM249" s="124" t="s">
        <v>985</v>
      </c>
      <c r="AN249" s="206" t="s">
        <v>1139</v>
      </c>
      <c r="AO249" s="137">
        <v>87.31</v>
      </c>
      <c r="AP249" s="128">
        <v>2679.56</v>
      </c>
      <c r="AQ249" s="128">
        <v>95.4</v>
      </c>
      <c r="AR249" s="128" t="s">
        <v>1140</v>
      </c>
      <c r="AS249" s="128">
        <v>114</v>
      </c>
      <c r="AT249" s="122">
        <v>7.37</v>
      </c>
      <c r="AU249" s="124" t="s">
        <v>189</v>
      </c>
      <c r="AV249" s="115">
        <f>VLOOKUP(J249,'[63]ТР нефть'!$J$28:$BP$638,39,0)</f>
        <v>549.99999140600005</v>
      </c>
      <c r="AW249" s="115" t="str">
        <f>VLOOKUP(J249,'[63]ТР нефть'!$J$28:$BP$638,40,0)</f>
        <v>ГП</v>
      </c>
      <c r="AX249" s="115">
        <f>VLOOKUP(J249,'[63]ТР нефть'!$J$28:$BP$638,41,0)</f>
        <v>970.00002949199995</v>
      </c>
      <c r="AY249" s="115" t="str">
        <f>VLOOKUP(J249,'[63]ТР нефть'!$J$28:$BP$638,42,0)</f>
        <v>ГП</v>
      </c>
      <c r="AZ249" s="115">
        <f>VLOOKUP(J249,'[63]ТР нефть'!$J$28:$BP$638,43,0)</f>
        <v>1280.0000097659999</v>
      </c>
      <c r="BA249" s="115" t="str">
        <f>VLOOKUP(J249,'[63]ТР нефть'!$J$28:$BP$638,44,0)</f>
        <v>ГК 81 1/8</v>
      </c>
      <c r="BB249" s="115">
        <f>VLOOKUP(J249,'[63]ТР нефть'!$J$28:$BP$638,45,0)</f>
        <v>1540.000065234</v>
      </c>
      <c r="BC249" s="115" t="str">
        <f>VLOOKUP(J249,'[63]ТР нефть'!$J$28:$BP$638,46,0)</f>
        <v>ГК 80 1/8</v>
      </c>
      <c r="BD249" s="115">
        <f>VLOOKUP(J249,'[63]ТР нефть'!$J$28:$BP$638,47,0)</f>
        <v>1790.0000613279999</v>
      </c>
      <c r="BE249" s="115" t="str">
        <f>VLOOKUP(J249,'[63]ТР нефть'!$J$28:$BP$638,48,0)</f>
        <v>ЦКсОК 5/16</v>
      </c>
      <c r="BF249" s="115" t="str">
        <f>VLOOKUP(J249,'[63]ТР нефть'!$J$28:$BP$638,49,0)</f>
        <v>-</v>
      </c>
      <c r="BG249" s="115" t="str">
        <f>VLOOKUP(J249,'[63]ТР нефть'!$J$28:$BP$638,50,0)</f>
        <v>-</v>
      </c>
      <c r="BH249" s="115" t="str">
        <f>VLOOKUP(J249,'[63]ТР нефть'!$J$28:$BP$638,51,0)</f>
        <v>-</v>
      </c>
      <c r="BI249" s="115" t="str">
        <f>VLOOKUP(J249,'[63]ТР нефть'!$J$28:$BP$638,52,0)</f>
        <v>-</v>
      </c>
      <c r="BJ249" s="115" t="str">
        <f>IF(IFERROR(VLOOKUP(J249,'[63]ТР нефть'!$J$28:$BP$638,53,0),"-")=0,"-",IFERROR(VLOOKUP(J249,'[63]ТР нефть'!$J$28:$BP$638,53,0),"-"))</f>
        <v>-</v>
      </c>
      <c r="BK249" s="138" t="str">
        <f>IF(IFERROR(VLOOKUP(J249,'[63]ТР нефть'!$J$28:$BP$638,54,0),"-")=0,"-",IFERROR(VLOOKUP(J249,'[63]ТР нефть'!$J$28:$BP$638,54,0),"-"))</f>
        <v>-</v>
      </c>
      <c r="BL249" s="138" t="str">
        <f>IF(IFERROR(VLOOKUP(J249,'[63]ТР нефть'!$J$28:$BP$638,55,0),"-")=0,"-",IFERROR(VLOOKUP(J249,'[63]ТР нефть'!$J$28:$BP$638,55,0),"-"))</f>
        <v>-</v>
      </c>
      <c r="BM249" s="138" t="str">
        <f>IF(IFERROR(VLOOKUP(J249,'[63]ТР нефть'!$J$28:$BP$638,56,0),"-")=0,"-",IFERROR(VLOOKUP(J249,'[63]ТР нефть'!$J$28:$BP$638,56,0),"-"))</f>
        <v>-</v>
      </c>
      <c r="BN249" s="138" t="str">
        <f>IF(IFERROR(VLOOKUP(J249,'[63]ТР нефть'!$J$28:$BP$638,57,0),"-")=0,"-",IFERROR(VLOOKUP(J249,'[63]ТР нефть'!$J$28:$BP$638,57,0),"-"))</f>
        <v>-</v>
      </c>
      <c r="BO249" s="115" t="str">
        <f>IF(IFERROR(VLOOKUP(J249,'[63]ТР нефть'!$J$28:$BP$638,58,0),"-")=0,"-",IFERROR(VLOOKUP(J249,'[63]ТР нефть'!$J$28:$BP$638,58,0),"-"))</f>
        <v>-</v>
      </c>
      <c r="BP249" s="115" t="str">
        <f>IF(IFERROR(VLOOKUP(J249,'[63]ТР нефть'!$J$28:$BP$638,59,0),"-")=0,"-",IFERROR(VLOOKUP(J249,'[63]ТР нефть'!$J$28:$BP$638,59,0),"-"))</f>
        <v>-</v>
      </c>
      <c r="BQ249" s="138">
        <v>2091</v>
      </c>
      <c r="BR249" s="128">
        <v>1822.15</v>
      </c>
      <c r="BS249" s="115">
        <f t="shared" si="164"/>
        <v>268.84999999999991</v>
      </c>
      <c r="BT249" s="128">
        <v>73</v>
      </c>
      <c r="BU249" s="128">
        <v>5.5</v>
      </c>
      <c r="BV249" s="127">
        <v>65</v>
      </c>
      <c r="BW249" s="127" t="s">
        <v>217</v>
      </c>
      <c r="BX249" s="127" t="s">
        <v>195</v>
      </c>
      <c r="BY249" s="139">
        <v>24</v>
      </c>
      <c r="BZ249" s="139">
        <v>0</v>
      </c>
      <c r="CA249" s="80">
        <v>23</v>
      </c>
      <c r="CB249" s="138">
        <v>42</v>
      </c>
      <c r="CC249" s="138">
        <v>22</v>
      </c>
      <c r="CD249" s="135">
        <v>45017</v>
      </c>
      <c r="CE249" s="138">
        <v>93</v>
      </c>
      <c r="CF249" s="138">
        <v>73</v>
      </c>
      <c r="CG249" s="138" t="str">
        <f t="shared" si="202"/>
        <v>В работе</v>
      </c>
      <c r="CH249" s="138" t="s">
        <v>272</v>
      </c>
      <c r="CI249" s="127"/>
      <c r="CJ249" s="138"/>
      <c r="CK249" s="138">
        <f t="shared" si="157"/>
        <v>34</v>
      </c>
      <c r="CL249" s="99"/>
      <c r="CM249" s="99"/>
      <c r="CN249" s="140">
        <v>57</v>
      </c>
      <c r="CO249" s="141">
        <f t="shared" si="165"/>
        <v>11.703999999999999</v>
      </c>
      <c r="CP249" s="142">
        <v>14</v>
      </c>
      <c r="CQ249" s="143">
        <v>0</v>
      </c>
      <c r="CR249" s="138">
        <v>10</v>
      </c>
      <c r="CS249" s="139">
        <v>8.4</v>
      </c>
      <c r="CT249" s="138"/>
      <c r="CU249" s="138">
        <f t="shared" si="188"/>
        <v>1.5999999999999996</v>
      </c>
      <c r="CV249" s="115">
        <f t="shared" si="189"/>
        <v>136.70539986329459</v>
      </c>
      <c r="CW249" s="115">
        <f t="shared" si="166"/>
        <v>717.7033492822967</v>
      </c>
      <c r="CX249" s="133">
        <f t="shared" si="190"/>
        <v>0.3888888888888889</v>
      </c>
      <c r="CY249" s="116"/>
      <c r="CZ249" s="131"/>
      <c r="DA249" s="145" t="str">
        <f t="shared" si="167"/>
        <v>Газлифт</v>
      </c>
      <c r="DB249" s="146">
        <f t="shared" si="168"/>
        <v>11.703999999999999</v>
      </c>
      <c r="DC249" s="142">
        <f t="shared" si="203"/>
        <v>14</v>
      </c>
      <c r="DD249" s="119">
        <f t="shared" si="204"/>
        <v>0</v>
      </c>
      <c r="DE249" s="115">
        <f t="shared" si="169"/>
        <v>1.5999999999999996</v>
      </c>
      <c r="DF249" s="121">
        <f t="shared" si="170"/>
        <v>8.4</v>
      </c>
      <c r="DG249" s="115">
        <f t="shared" si="171"/>
        <v>136.70539986329459</v>
      </c>
      <c r="DH249" s="115">
        <f t="shared" si="172"/>
        <v>57</v>
      </c>
      <c r="DI249" s="147"/>
      <c r="DJ249" s="111" t="s">
        <v>197</v>
      </c>
      <c r="DK249" s="112">
        <v>43584</v>
      </c>
      <c r="DL249" s="113">
        <f t="shared" ca="1" si="192"/>
        <v>1520</v>
      </c>
      <c r="DM249" s="114"/>
      <c r="DN249" s="114"/>
      <c r="DO249" s="114"/>
      <c r="DP249" s="114"/>
      <c r="DQ249" s="112">
        <v>43584</v>
      </c>
      <c r="DR249" s="114" t="s">
        <v>324</v>
      </c>
      <c r="DS249" s="114"/>
      <c r="DT249" s="115">
        <v>40</v>
      </c>
      <c r="DU249" s="116">
        <f t="shared" si="193"/>
        <v>0.35072951739618408</v>
      </c>
      <c r="DV249" s="117">
        <f t="shared" si="194"/>
        <v>15.540123456790123</v>
      </c>
      <c r="DW249" s="118">
        <f t="shared" si="195"/>
        <v>18.588664421997755</v>
      </c>
      <c r="DX249" s="119">
        <f t="shared" si="173"/>
        <v>0</v>
      </c>
      <c r="DY249" s="115">
        <f t="shared" si="196"/>
        <v>2.1244187910854575</v>
      </c>
      <c r="DZ249" s="117">
        <f t="shared" si="197"/>
        <v>3.8361234567901246</v>
      </c>
      <c r="EA249" s="120">
        <f t="shared" si="197"/>
        <v>4.5886644219977555</v>
      </c>
      <c r="EB249" s="119">
        <f t="shared" si="197"/>
        <v>0</v>
      </c>
      <c r="EC249" s="121">
        <f t="shared" si="198"/>
        <v>0.52441879108545786</v>
      </c>
      <c r="ED249" s="122"/>
      <c r="EE249" s="145">
        <v>65</v>
      </c>
      <c r="EF249" s="148">
        <v>28</v>
      </c>
      <c r="EG249" s="115">
        <v>44</v>
      </c>
      <c r="EH249" s="115">
        <v>27</v>
      </c>
      <c r="EI249" s="128" t="s">
        <v>195</v>
      </c>
      <c r="EJ249" s="121">
        <v>24</v>
      </c>
      <c r="EK249" s="121">
        <v>0</v>
      </c>
      <c r="EL249" s="149">
        <v>10.032</v>
      </c>
      <c r="EM249" s="142">
        <v>12</v>
      </c>
      <c r="EN249" s="119">
        <v>0</v>
      </c>
      <c r="EO249" s="115">
        <v>8.6999999999999993</v>
      </c>
      <c r="EP249" s="115">
        <v>53.827751196172159</v>
      </c>
      <c r="EQ249" s="115">
        <v>71</v>
      </c>
      <c r="ER249" s="115">
        <v>8.16</v>
      </c>
      <c r="ES249" s="115">
        <v>60</v>
      </c>
      <c r="ET249" s="150">
        <v>0.36363636363636365</v>
      </c>
      <c r="EU249" s="145">
        <f t="shared" si="174"/>
        <v>65</v>
      </c>
      <c r="EV249" s="115">
        <f t="shared" si="175"/>
        <v>23</v>
      </c>
      <c r="EW249" s="115">
        <f t="shared" si="175"/>
        <v>42</v>
      </c>
      <c r="EX249" s="115">
        <f t="shared" si="175"/>
        <v>22</v>
      </c>
      <c r="EY249" s="115" t="str">
        <f t="shared" si="156"/>
        <v>Постоянный</v>
      </c>
      <c r="EZ249" s="115">
        <f t="shared" si="156"/>
        <v>24</v>
      </c>
      <c r="FA249" s="115">
        <f t="shared" si="156"/>
        <v>0</v>
      </c>
      <c r="FB249" s="149">
        <f t="shared" si="176"/>
        <v>11.703999999999999</v>
      </c>
      <c r="FC249" s="142">
        <f t="shared" si="176"/>
        <v>14</v>
      </c>
      <c r="FD249" s="119">
        <f t="shared" si="176"/>
        <v>0</v>
      </c>
      <c r="FE249" s="121">
        <f t="shared" si="176"/>
        <v>10</v>
      </c>
      <c r="FF249" s="121">
        <f t="shared" si="199"/>
        <v>136.70539986329459</v>
      </c>
      <c r="FG249" s="121">
        <f t="shared" si="177"/>
        <v>73</v>
      </c>
      <c r="FH249" s="121">
        <f t="shared" si="200"/>
        <v>8.4</v>
      </c>
      <c r="FI249" s="121">
        <f t="shared" si="154"/>
        <v>57</v>
      </c>
      <c r="FJ249" s="144">
        <f t="shared" si="178"/>
        <v>0.3888888888888889</v>
      </c>
      <c r="FK249" s="132">
        <f t="shared" si="179"/>
        <v>0</v>
      </c>
      <c r="FL249" s="115">
        <f t="shared" si="179"/>
        <v>-5</v>
      </c>
      <c r="FM249" s="115">
        <f t="shared" si="179"/>
        <v>-2</v>
      </c>
      <c r="FN249" s="115">
        <f t="shared" si="162"/>
        <v>-5</v>
      </c>
      <c r="FO249" s="115">
        <f t="shared" si="201"/>
        <v>0</v>
      </c>
      <c r="FP249" s="115">
        <f t="shared" si="201"/>
        <v>0</v>
      </c>
      <c r="FQ249" s="149">
        <f t="shared" si="201"/>
        <v>1.6719999999999988</v>
      </c>
      <c r="FR249" s="142">
        <f t="shared" si="201"/>
        <v>2</v>
      </c>
      <c r="FS249" s="119">
        <f t="shared" si="201"/>
        <v>0</v>
      </c>
      <c r="FT249" s="121">
        <f t="shared" si="201"/>
        <v>1.3000000000000007</v>
      </c>
      <c r="FU249" s="121">
        <f t="shared" si="180"/>
        <v>2</v>
      </c>
      <c r="FV249" s="121">
        <f t="shared" si="180"/>
        <v>0.24000000000000021</v>
      </c>
      <c r="FW249" s="121">
        <f t="shared" si="181"/>
        <v>82.877648667122429</v>
      </c>
      <c r="FX249" s="121">
        <f t="shared" si="182"/>
        <v>-3</v>
      </c>
      <c r="FY249" s="144">
        <f t="shared" si="182"/>
        <v>2.5252525252525249E-2</v>
      </c>
      <c r="FZ249" s="145" t="s">
        <v>199</v>
      </c>
      <c r="GA249" s="1034" t="s">
        <v>200</v>
      </c>
      <c r="GB249" s="145"/>
      <c r="GC249" s="125"/>
      <c r="GD249" s="997" t="s">
        <v>202</v>
      </c>
      <c r="GE249" s="1004"/>
      <c r="GF249" s="1004">
        <v>0</v>
      </c>
      <c r="GG249" s="1004"/>
      <c r="GH249" s="1004">
        <v>0.8360000000000003</v>
      </c>
      <c r="GI249" s="145"/>
      <c r="GJ249" s="996">
        <v>0</v>
      </c>
      <c r="GK249" s="145"/>
      <c r="GL249" s="996">
        <v>-0.63536000000000037</v>
      </c>
      <c r="GM249" s="1005"/>
      <c r="GN249" s="996">
        <v>0.29260000000000019</v>
      </c>
      <c r="GO249" s="1006"/>
      <c r="GP249" s="996">
        <v>0.25916000000000139</v>
      </c>
      <c r="GQ249" s="1006"/>
      <c r="GR249" s="996">
        <v>0</v>
      </c>
      <c r="GS249" s="1006"/>
      <c r="GT249" s="996">
        <v>-0.75240000000000151</v>
      </c>
      <c r="GU249" s="1006"/>
      <c r="GV249" s="996">
        <v>0</v>
      </c>
      <c r="GW249" s="1006" t="s">
        <v>199</v>
      </c>
      <c r="GX249" s="1035">
        <v>1.3066680000000002</v>
      </c>
      <c r="GY249" s="1006"/>
      <c r="GZ249" s="996">
        <v>-0.22973280000000074</v>
      </c>
      <c r="HA249" s="1006"/>
      <c r="HB249" s="996">
        <v>0</v>
      </c>
      <c r="HC249" s="1006" t="s">
        <v>199</v>
      </c>
      <c r="HD249" s="996">
        <v>1.6436102759999986</v>
      </c>
      <c r="HE249" s="1006"/>
      <c r="HF249" s="996">
        <v>0</v>
      </c>
      <c r="HG249" s="1006"/>
      <c r="HH249" s="996">
        <v>1.4172708000000256E-2</v>
      </c>
      <c r="HI249" s="1006"/>
      <c r="HJ249" s="996">
        <v>0.42274262799999995</v>
      </c>
      <c r="HK249" s="1006" t="s">
        <v>223</v>
      </c>
      <c r="HL249" s="996">
        <v>-1.0539393480000001</v>
      </c>
      <c r="HM249" s="1006"/>
      <c r="HN249" s="996">
        <v>1.2406240000000679E-2</v>
      </c>
      <c r="HO249" s="1006"/>
      <c r="HP249" s="996">
        <v>6.4371999999998764E-2</v>
      </c>
      <c r="HQ249" s="1006" t="s">
        <v>204</v>
      </c>
      <c r="HR249" s="996">
        <v>-1.3584999999999994</v>
      </c>
      <c r="HS249" s="1006"/>
      <c r="HT249" s="996">
        <v>0</v>
      </c>
      <c r="HU249" s="1006"/>
      <c r="HV249" s="996">
        <v>0</v>
      </c>
      <c r="HW249" s="1006"/>
      <c r="HX249" s="996">
        <v>0</v>
      </c>
      <c r="HY249" s="1006" t="s">
        <v>204</v>
      </c>
      <c r="HZ249" s="996">
        <v>3.847017855999999</v>
      </c>
      <c r="IA249" s="1006"/>
      <c r="IB249" s="996">
        <v>0</v>
      </c>
      <c r="IC249" s="1006"/>
      <c r="ID249" s="996">
        <v>-1.604785599999925E-2</v>
      </c>
      <c r="IE249" s="1006" t="s">
        <v>199</v>
      </c>
      <c r="IF249" s="996">
        <v>4.3851042399999995</v>
      </c>
      <c r="IG249" s="1006"/>
      <c r="IH249" s="996">
        <v>0</v>
      </c>
      <c r="II249" s="1006"/>
      <c r="IJ249" s="996">
        <v>0</v>
      </c>
      <c r="IK249" s="1006" t="s">
        <v>204</v>
      </c>
      <c r="IL249" s="996">
        <v>-6.5273542399999993</v>
      </c>
      <c r="IM249" s="1006" t="s">
        <v>204</v>
      </c>
      <c r="IN249" s="996">
        <v>-3.4276</v>
      </c>
      <c r="IO249" s="1006"/>
      <c r="IP249" s="996">
        <v>0</v>
      </c>
      <c r="IQ249" s="1006"/>
      <c r="IR249" s="996">
        <v>0</v>
      </c>
      <c r="IS249" s="1006"/>
      <c r="IT249" s="996">
        <v>-0.75239999999999974</v>
      </c>
      <c r="IU249" s="1006"/>
      <c r="IV249" s="996">
        <v>0</v>
      </c>
      <c r="IW249" s="1006"/>
      <c r="IX249" s="996">
        <v>0</v>
      </c>
      <c r="IY249" s="1006"/>
      <c r="IZ249" s="996">
        <v>0</v>
      </c>
      <c r="JA249" s="1006"/>
      <c r="JB249" s="996">
        <v>0</v>
      </c>
      <c r="JC249" s="1006"/>
      <c r="JD249" s="996">
        <v>0</v>
      </c>
      <c r="JE249" s="1006"/>
      <c r="JF249" s="996">
        <v>0</v>
      </c>
      <c r="JG249" s="1006"/>
      <c r="JH249" s="996">
        <v>0</v>
      </c>
      <c r="JI249" s="1006" t="s">
        <v>199</v>
      </c>
      <c r="JJ249" s="996">
        <v>5.0159999999999991</v>
      </c>
      <c r="JK249" s="1007"/>
      <c r="JL249" s="1007">
        <v>0</v>
      </c>
      <c r="JM249" s="1007"/>
      <c r="JN249" s="1007">
        <v>0</v>
      </c>
      <c r="JO249" s="1008" t="s">
        <v>204</v>
      </c>
      <c r="JP249" s="1007">
        <v>1.8434635999999998</v>
      </c>
      <c r="JQ249" s="1008" t="s">
        <v>199</v>
      </c>
      <c r="JR249" s="1007">
        <v>-10.044623599999998</v>
      </c>
      <c r="JS249" s="1008" t="s">
        <v>203</v>
      </c>
      <c r="JT249" s="1007">
        <v>-17.072532839999997</v>
      </c>
      <c r="JU249" s="1008"/>
      <c r="JV249" s="1007">
        <v>0</v>
      </c>
      <c r="JW249" s="1008" t="s">
        <v>197</v>
      </c>
      <c r="JX249" s="1007">
        <v>0</v>
      </c>
      <c r="JY249" s="1008"/>
      <c r="JZ249" s="1007"/>
      <c r="KA249" s="1008"/>
      <c r="KB249" s="1007"/>
      <c r="KC249" s="1008"/>
      <c r="KD249" s="1007"/>
      <c r="KE249" s="1008"/>
      <c r="KF249" s="1007"/>
      <c r="KG249" s="1008"/>
      <c r="KH249" s="1007"/>
      <c r="KI249" s="1008"/>
      <c r="KJ249" s="1007"/>
      <c r="KK249" s="1008"/>
      <c r="KL249" s="1007"/>
      <c r="KM249" s="1008"/>
      <c r="KN249" s="1007"/>
      <c r="KO249" s="1008"/>
      <c r="KP249" s="1007"/>
      <c r="KQ249" s="1008"/>
      <c r="KR249" s="1007"/>
      <c r="KS249" s="1008"/>
      <c r="KT249" s="1007"/>
      <c r="KU249" s="1008"/>
      <c r="KV249" s="1007"/>
      <c r="KW249" s="1008"/>
      <c r="KX249" s="1007"/>
      <c r="KY249" s="1008"/>
      <c r="KZ249" s="1007"/>
      <c r="LA249" s="1008"/>
      <c r="LB249" s="1007"/>
      <c r="LC249" s="1008"/>
      <c r="LD249" s="1007"/>
      <c r="LE249" s="1008"/>
      <c r="LF249" s="1007"/>
      <c r="LG249" s="1008"/>
      <c r="LH249" s="1007"/>
      <c r="LI249" s="1008"/>
      <c r="LJ249" s="1007"/>
      <c r="LK249" s="1008"/>
      <c r="LL249" s="1007"/>
      <c r="LM249" s="1008"/>
      <c r="LN249" s="1007"/>
      <c r="LO249" s="1008"/>
      <c r="LP249" s="1007"/>
      <c r="LQ249" s="1008"/>
      <c r="LR249" s="1007"/>
      <c r="LS249" s="1008"/>
      <c r="LT249" s="1007"/>
      <c r="LU249" s="1008"/>
      <c r="LV249" s="1007"/>
      <c r="LW249" s="1008"/>
      <c r="LX249" s="1007"/>
      <c r="LY249" s="1009"/>
      <c r="LZ249" s="1010"/>
      <c r="MA249" s="1011"/>
      <c r="MB249" s="1012"/>
      <c r="MC249" s="995"/>
      <c r="MD249" s="996"/>
      <c r="ME249" s="997" t="s">
        <v>202</v>
      </c>
      <c r="MF249" s="997"/>
      <c r="MG249" s="998"/>
      <c r="NR249" s="1000"/>
      <c r="NS249" s="1000"/>
      <c r="NT249" s="1001"/>
      <c r="NU249" s="1000"/>
      <c r="NV249" s="1001"/>
      <c r="NX249" s="1002"/>
      <c r="NZ249" s="1001"/>
      <c r="OA249" s="1001"/>
      <c r="OC249" s="1003"/>
      <c r="OD249" s="1003"/>
      <c r="OE249" s="1001"/>
      <c r="OF249" s="1003"/>
      <c r="OG249" s="1003"/>
      <c r="QX249" s="1000">
        <f>CN249-CA249</f>
        <v>34</v>
      </c>
      <c r="ASU249" s="999" t="s">
        <v>208</v>
      </c>
    </row>
    <row r="250" spans="1:466 1191:1191" ht="21" customHeight="1" x14ac:dyDescent="0.25">
      <c r="A250" s="982">
        <f t="shared" si="163"/>
        <v>1141</v>
      </c>
      <c r="B250" s="124">
        <f>SUBTOTAL(103,$J$29:J250)</f>
        <v>222</v>
      </c>
      <c r="C250" s="126">
        <v>45068</v>
      </c>
      <c r="D250" s="124" t="s">
        <v>176</v>
      </c>
      <c r="E250" s="127" t="s">
        <v>177</v>
      </c>
      <c r="F250" s="128" t="s">
        <v>177</v>
      </c>
      <c r="G250" s="127" t="s">
        <v>178</v>
      </c>
      <c r="H250" s="127" t="s">
        <v>179</v>
      </c>
      <c r="I250" s="127" t="s">
        <v>1031</v>
      </c>
      <c r="J250" s="152">
        <v>1141</v>
      </c>
      <c r="K250" s="127" t="s">
        <v>1031</v>
      </c>
      <c r="L250" s="130">
        <v>41512</v>
      </c>
      <c r="M250" s="127" t="s">
        <v>230</v>
      </c>
      <c r="N250" s="127" t="s">
        <v>184</v>
      </c>
      <c r="O250" s="127" t="s">
        <v>185</v>
      </c>
      <c r="P250" s="127" t="s">
        <v>292</v>
      </c>
      <c r="Q250" s="85" t="str">
        <f t="shared" si="187"/>
        <v/>
      </c>
      <c r="R250" s="130"/>
      <c r="S250" s="128" t="s">
        <v>156</v>
      </c>
      <c r="T250" s="131"/>
      <c r="U250" s="132">
        <v>203</v>
      </c>
      <c r="V250" s="121">
        <v>218.2</v>
      </c>
      <c r="W250" s="116">
        <v>0.98</v>
      </c>
      <c r="X250" s="116">
        <v>1.66</v>
      </c>
      <c r="Y250" s="116">
        <f t="shared" si="191"/>
        <v>0.98</v>
      </c>
      <c r="Z250" s="133">
        <v>1.454</v>
      </c>
      <c r="AA250" s="133">
        <v>0.83599999999999997</v>
      </c>
      <c r="AB250" s="133">
        <v>0.72</v>
      </c>
      <c r="AC250" s="121">
        <v>34.299999999999997</v>
      </c>
      <c r="AD250" s="134">
        <v>1.17</v>
      </c>
      <c r="AE250" s="124">
        <v>177.8</v>
      </c>
      <c r="AF250" s="128">
        <v>8.0500000000000007</v>
      </c>
      <c r="AG250" s="128">
        <v>2202</v>
      </c>
      <c r="AH250" s="127">
        <v>2998</v>
      </c>
      <c r="AI250" s="127">
        <v>2998</v>
      </c>
      <c r="AJ250" s="135"/>
      <c r="AK250" s="128"/>
      <c r="AL250" s="131"/>
      <c r="AM250" s="124" t="s">
        <v>232</v>
      </c>
      <c r="AN250" s="136" t="s">
        <v>1141</v>
      </c>
      <c r="AO250" s="137">
        <v>18</v>
      </c>
      <c r="AP250" s="128">
        <v>2202</v>
      </c>
      <c r="AQ250" s="128">
        <v>386</v>
      </c>
      <c r="AR250" s="128"/>
      <c r="AS250" s="128"/>
      <c r="AT250" s="122"/>
      <c r="AU250" s="124" t="s">
        <v>189</v>
      </c>
      <c r="AV250" s="115">
        <v>448</v>
      </c>
      <c r="AW250" s="115" t="s">
        <v>1142</v>
      </c>
      <c r="AX250" s="115">
        <v>896</v>
      </c>
      <c r="AY250" s="115" t="s">
        <v>1143</v>
      </c>
      <c r="AZ250" s="115">
        <v>1335</v>
      </c>
      <c r="BA250" s="115" t="s">
        <v>1144</v>
      </c>
      <c r="BB250" s="115">
        <v>1715</v>
      </c>
      <c r="BC250" s="115" t="s">
        <v>1145</v>
      </c>
      <c r="BD250" s="115">
        <v>2040</v>
      </c>
      <c r="BE250" s="115" t="s">
        <v>1146</v>
      </c>
      <c r="BF250" s="115" t="str">
        <f>VLOOKUP(J250,'[63]ТР нефть'!$J$28:$BP$638,49,0)</f>
        <v>-</v>
      </c>
      <c r="BG250" s="115" t="str">
        <f>VLOOKUP(J250,'[63]ТР нефть'!$J$28:$BP$638,50,0)</f>
        <v>-</v>
      </c>
      <c r="BH250" s="115">
        <f>VLOOKUP(J250,'[63]ТР нефть'!$J$28:$BP$638,51,0)</f>
        <v>1460</v>
      </c>
      <c r="BI250" s="115" t="str">
        <f>VLOOKUP(J250,'[63]ТР нефть'!$J$28:$BP$638,52,0)</f>
        <v>закрыт</v>
      </c>
      <c r="BJ250" s="115" t="str">
        <f>IF(IFERROR(VLOOKUP(J250,'[63]ТР нефть'!$J$28:$BP$638,53,0),"-")=0,"-",IFERROR(VLOOKUP(J250,'[63]ТР нефть'!$J$28:$BP$638,53,0),"-"))</f>
        <v>-</v>
      </c>
      <c r="BK250" s="138" t="s">
        <v>192</v>
      </c>
      <c r="BL250" s="138" t="s">
        <v>192</v>
      </c>
      <c r="BM250" s="138" t="s">
        <v>192</v>
      </c>
      <c r="BN250" s="138" t="s">
        <v>192</v>
      </c>
      <c r="BO250" s="115">
        <f>IF(IFERROR(VLOOKUP(J250,'[63]ТР нефть'!$J$28:$BP$638,58,0),"-")=0,"-",IFERROR(VLOOKUP(J250,'[63]ТР нефть'!$J$28:$BP$638,58,0),"-"))</f>
        <v>63</v>
      </c>
      <c r="BP250" s="115" t="str">
        <f>IF(IFERROR(VLOOKUP(J250,'[63]ТР нефть'!$J$28:$BP$638,59,0),"-")=0,"-",IFERROR(VLOOKUP(J250,'[63]ТР нефть'!$J$28:$BP$638,59,0),"-"))</f>
        <v>-</v>
      </c>
      <c r="BQ250" s="138">
        <v>2100</v>
      </c>
      <c r="BR250" s="128">
        <v>1781.42</v>
      </c>
      <c r="BS250" s="115">
        <f t="shared" si="164"/>
        <v>318.57999999999993</v>
      </c>
      <c r="BT250" s="128">
        <v>73</v>
      </c>
      <c r="BU250" s="128">
        <v>5.5</v>
      </c>
      <c r="BV250" s="127">
        <v>65</v>
      </c>
      <c r="BW250" s="127" t="s">
        <v>217</v>
      </c>
      <c r="BX250" s="127" t="s">
        <v>195</v>
      </c>
      <c r="BY250" s="139">
        <v>24</v>
      </c>
      <c r="BZ250" s="139">
        <v>0</v>
      </c>
      <c r="CA250" s="138">
        <v>28</v>
      </c>
      <c r="CB250" s="138">
        <v>69</v>
      </c>
      <c r="CC250" s="138">
        <v>27</v>
      </c>
      <c r="CD250" s="135">
        <v>45017</v>
      </c>
      <c r="CE250" s="138">
        <v>133</v>
      </c>
      <c r="CF250" s="138">
        <v>69</v>
      </c>
      <c r="CG250" s="138" t="s">
        <v>1126</v>
      </c>
      <c r="CH250" s="138" t="s">
        <v>197</v>
      </c>
      <c r="CI250" s="127"/>
      <c r="CJ250" s="138">
        <f>IF((BR250-(100*(CM250-CB250))/(9.8*(AB250+AA250)/2))&gt;0,BR250-(100*(CM250-CB250))/(9.8*(AB250+AA250)/2),0)</f>
        <v>2686.4092450553485</v>
      </c>
      <c r="CK250" s="138">
        <f t="shared" si="157"/>
        <v>34</v>
      </c>
      <c r="CL250" s="99"/>
      <c r="CM250" s="127"/>
      <c r="CN250" s="154">
        <v>62</v>
      </c>
      <c r="CO250" s="141">
        <f t="shared" si="165"/>
        <v>2.508</v>
      </c>
      <c r="CP250" s="142">
        <v>3</v>
      </c>
      <c r="CQ250" s="143">
        <v>0</v>
      </c>
      <c r="CR250" s="138">
        <v>19</v>
      </c>
      <c r="CS250" s="139">
        <v>10</v>
      </c>
      <c r="CT250" s="138"/>
      <c r="CU250" s="138">
        <f t="shared" si="188"/>
        <v>9</v>
      </c>
      <c r="CV250" s="115">
        <f t="shared" si="189"/>
        <v>3588.5167464114834</v>
      </c>
      <c r="CW250" s="115">
        <f t="shared" si="166"/>
        <v>3987.2408293460926</v>
      </c>
      <c r="CX250" s="133">
        <f t="shared" si="190"/>
        <v>4.2253521126760563E-2</v>
      </c>
      <c r="CY250" s="116"/>
      <c r="CZ250" s="131"/>
      <c r="DA250" s="145" t="str">
        <f t="shared" si="167"/>
        <v>Газлифт</v>
      </c>
      <c r="DB250" s="146">
        <f t="shared" si="168"/>
        <v>2.508</v>
      </c>
      <c r="DC250" s="142">
        <f t="shared" si="203"/>
        <v>3</v>
      </c>
      <c r="DD250" s="119">
        <f t="shared" si="204"/>
        <v>0</v>
      </c>
      <c r="DE250" s="115">
        <f t="shared" si="169"/>
        <v>9</v>
      </c>
      <c r="DF250" s="121">
        <f t="shared" si="170"/>
        <v>10</v>
      </c>
      <c r="DG250" s="115">
        <f t="shared" si="171"/>
        <v>3588.5167464114834</v>
      </c>
      <c r="DH250" s="115">
        <f t="shared" si="172"/>
        <v>62</v>
      </c>
      <c r="DI250" s="147"/>
      <c r="DJ250" s="111">
        <v>43919</v>
      </c>
      <c r="DK250" s="112">
        <v>44025</v>
      </c>
      <c r="DL250" s="113">
        <f t="shared" ca="1" si="192"/>
        <v>1079</v>
      </c>
      <c r="DM250" s="114">
        <v>19.899999999999999</v>
      </c>
      <c r="DN250" s="114">
        <v>70</v>
      </c>
      <c r="DO250" s="114" t="s">
        <v>192</v>
      </c>
      <c r="DP250" s="114" t="s">
        <v>884</v>
      </c>
      <c r="DQ250" s="112">
        <v>41512</v>
      </c>
      <c r="DR250" s="114" t="s">
        <v>324</v>
      </c>
      <c r="DS250" s="114"/>
      <c r="DT250" s="115">
        <v>80</v>
      </c>
      <c r="DU250" s="116">
        <f t="shared" si="193"/>
        <v>5.6603773584905662E-2</v>
      </c>
      <c r="DV250" s="117">
        <f t="shared" si="194"/>
        <v>2.508</v>
      </c>
      <c r="DW250" s="118">
        <f t="shared" si="195"/>
        <v>3</v>
      </c>
      <c r="DX250" s="119">
        <f t="shared" si="173"/>
        <v>0</v>
      </c>
      <c r="DY250" s="115">
        <f t="shared" si="196"/>
        <v>9</v>
      </c>
      <c r="DZ250" s="117">
        <f t="shared" si="197"/>
        <v>0</v>
      </c>
      <c r="EA250" s="120">
        <f t="shared" si="197"/>
        <v>0</v>
      </c>
      <c r="EB250" s="119">
        <f t="shared" si="197"/>
        <v>0</v>
      </c>
      <c r="EC250" s="121">
        <f t="shared" si="198"/>
        <v>0</v>
      </c>
      <c r="ED250" s="122"/>
      <c r="EE250" s="145">
        <v>65</v>
      </c>
      <c r="EF250" s="115">
        <v>22</v>
      </c>
      <c r="EG250" s="115">
        <v>22</v>
      </c>
      <c r="EH250" s="115">
        <v>21</v>
      </c>
      <c r="EI250" s="128" t="s">
        <v>218</v>
      </c>
      <c r="EJ250" s="121">
        <v>3</v>
      </c>
      <c r="EK250" s="121">
        <v>21</v>
      </c>
      <c r="EL250" s="149">
        <v>2.1067816131999999</v>
      </c>
      <c r="EM250" s="142">
        <v>3.9369999999999998</v>
      </c>
      <c r="EN250" s="119">
        <v>35.99</v>
      </c>
      <c r="EO250" s="115">
        <v>5</v>
      </c>
      <c r="EP250" s="115">
        <v>2373.2882272526945</v>
      </c>
      <c r="EQ250" s="115">
        <v>0</v>
      </c>
      <c r="ER250" s="115">
        <v>0</v>
      </c>
      <c r="ES250" s="115">
        <v>77.990288459999988</v>
      </c>
      <c r="ET250" s="150">
        <v>7.1569180964296306E-2</v>
      </c>
      <c r="EU250" s="145">
        <f t="shared" si="174"/>
        <v>65</v>
      </c>
      <c r="EV250" s="115">
        <f t="shared" si="175"/>
        <v>28</v>
      </c>
      <c r="EW250" s="115">
        <f t="shared" si="175"/>
        <v>69</v>
      </c>
      <c r="EX250" s="115">
        <f t="shared" si="175"/>
        <v>27</v>
      </c>
      <c r="EY250" s="115" t="str">
        <f t="shared" si="156"/>
        <v>Постоянный</v>
      </c>
      <c r="EZ250" s="115">
        <f t="shared" si="156"/>
        <v>24</v>
      </c>
      <c r="FA250" s="115">
        <f t="shared" si="156"/>
        <v>0</v>
      </c>
      <c r="FB250" s="149">
        <f t="shared" si="176"/>
        <v>2.508</v>
      </c>
      <c r="FC250" s="142">
        <f t="shared" si="176"/>
        <v>3</v>
      </c>
      <c r="FD250" s="119">
        <f t="shared" si="176"/>
        <v>0</v>
      </c>
      <c r="FE250" s="121">
        <f t="shared" si="176"/>
        <v>19</v>
      </c>
      <c r="FF250" s="121">
        <f t="shared" si="199"/>
        <v>3588.5167464114834</v>
      </c>
      <c r="FG250" s="121">
        <f t="shared" si="177"/>
        <v>69</v>
      </c>
      <c r="FH250" s="121">
        <f t="shared" si="200"/>
        <v>10</v>
      </c>
      <c r="FI250" s="121">
        <f t="shared" si="154"/>
        <v>62</v>
      </c>
      <c r="FJ250" s="144">
        <f t="shared" si="178"/>
        <v>4.2253521126760563E-2</v>
      </c>
      <c r="FK250" s="132">
        <f t="shared" si="179"/>
        <v>0</v>
      </c>
      <c r="FL250" s="115">
        <f t="shared" si="179"/>
        <v>6</v>
      </c>
      <c r="FM250" s="115">
        <f t="shared" si="179"/>
        <v>47</v>
      </c>
      <c r="FN250" s="115">
        <f t="shared" si="162"/>
        <v>6</v>
      </c>
      <c r="FO250" s="115">
        <f t="shared" si="201"/>
        <v>21</v>
      </c>
      <c r="FP250" s="115">
        <f t="shared" si="201"/>
        <v>-21</v>
      </c>
      <c r="FQ250" s="149">
        <f t="shared" si="201"/>
        <v>0.4012183868000001</v>
      </c>
      <c r="FR250" s="142">
        <f t="shared" si="201"/>
        <v>-0.93699999999999983</v>
      </c>
      <c r="FS250" s="119">
        <f t="shared" si="201"/>
        <v>-35.99</v>
      </c>
      <c r="FT250" s="121">
        <f t="shared" si="201"/>
        <v>14</v>
      </c>
      <c r="FU250" s="121">
        <f t="shared" si="180"/>
        <v>69</v>
      </c>
      <c r="FV250" s="121">
        <f t="shared" si="180"/>
        <v>10</v>
      </c>
      <c r="FW250" s="121">
        <f t="shared" si="181"/>
        <v>1215.2285191587889</v>
      </c>
      <c r="FX250" s="121">
        <f t="shared" si="182"/>
        <v>-15.990288459999988</v>
      </c>
      <c r="FY250" s="144">
        <f t="shared" si="182"/>
        <v>-2.9315659837535743E-2</v>
      </c>
      <c r="FZ250" s="145"/>
      <c r="GA250" s="151" t="s">
        <v>1147</v>
      </c>
      <c r="GB250" s="145"/>
      <c r="GC250" s="151" t="s">
        <v>1148</v>
      </c>
      <c r="GD250" s="997" t="s">
        <v>220</v>
      </c>
      <c r="GE250" s="1004"/>
      <c r="GF250" s="1004">
        <v>0</v>
      </c>
      <c r="GG250" s="1004"/>
      <c r="GH250" s="1004">
        <v>0</v>
      </c>
      <c r="GI250" s="145"/>
      <c r="GJ250" s="996">
        <v>0</v>
      </c>
      <c r="GK250" s="145"/>
      <c r="GL250" s="996">
        <v>0</v>
      </c>
      <c r="GM250" s="1005"/>
      <c r="GN250" s="996">
        <v>0</v>
      </c>
      <c r="GO250" s="1006"/>
      <c r="GP250" s="996">
        <v>0</v>
      </c>
      <c r="GQ250" s="1006" t="s">
        <v>240</v>
      </c>
      <c r="GR250" s="996">
        <v>-2.9092183868000001</v>
      </c>
      <c r="GS250" s="1006"/>
      <c r="GT250" s="996">
        <v>0</v>
      </c>
      <c r="GU250" s="1006" t="s">
        <v>204</v>
      </c>
      <c r="GV250" s="996">
        <v>2.5188679999999999</v>
      </c>
      <c r="GW250" s="1006"/>
      <c r="GX250" s="1036">
        <v>0</v>
      </c>
      <c r="GY250" s="1006"/>
      <c r="GZ250" s="996">
        <v>0</v>
      </c>
      <c r="HA250" s="1006" t="s">
        <v>223</v>
      </c>
      <c r="HB250" s="996">
        <v>-1.0341320000000001</v>
      </c>
      <c r="HC250" s="1006"/>
      <c r="HD250" s="996">
        <v>0</v>
      </c>
      <c r="HE250" s="1006"/>
      <c r="HF250" s="996">
        <v>-0.42330860000000059</v>
      </c>
      <c r="HG250" s="1006"/>
      <c r="HH250" s="996">
        <v>0</v>
      </c>
      <c r="HI250" s="1006"/>
      <c r="HJ250" s="996">
        <v>0</v>
      </c>
      <c r="HK250" s="1006"/>
      <c r="HL250" s="996">
        <v>0</v>
      </c>
      <c r="HM250" s="1006"/>
      <c r="HN250" s="996">
        <v>0</v>
      </c>
      <c r="HO250" s="1006" t="s">
        <v>886</v>
      </c>
      <c r="HP250" s="996">
        <v>-16.058138799999998</v>
      </c>
      <c r="HQ250" s="1006"/>
      <c r="HR250" s="996">
        <v>-0.5417279999999991</v>
      </c>
      <c r="HS250" s="1006"/>
      <c r="HT250" s="996">
        <v>0</v>
      </c>
      <c r="HU250" s="1006" t="s">
        <v>241</v>
      </c>
      <c r="HV250" s="996">
        <v>3.8612666400000002</v>
      </c>
      <c r="HW250" s="1006"/>
      <c r="HX250" s="996">
        <v>0.93646135999999913</v>
      </c>
      <c r="HY250" s="1006"/>
      <c r="HZ250" s="996">
        <v>0</v>
      </c>
      <c r="IA250" s="1006" t="s">
        <v>199</v>
      </c>
      <c r="IB250" s="996">
        <v>7.0711387999999999</v>
      </c>
      <c r="IC250" s="1006"/>
      <c r="ID250" s="996">
        <v>0</v>
      </c>
      <c r="IE250" s="1006" t="s">
        <v>146</v>
      </c>
      <c r="IF250" s="996">
        <v>-2.7763559999999945</v>
      </c>
      <c r="IG250" s="1006" t="s">
        <v>146</v>
      </c>
      <c r="IH250" s="996">
        <v>-5.1768046000000059</v>
      </c>
      <c r="II250" s="1006" t="s">
        <v>204</v>
      </c>
      <c r="IJ250" s="996">
        <v>3.8684646000000029</v>
      </c>
      <c r="IK250" s="1006"/>
      <c r="IL250" s="996">
        <v>0</v>
      </c>
      <c r="IM250" s="1006"/>
      <c r="IN250" s="996">
        <v>0</v>
      </c>
      <c r="IO250" s="1006"/>
      <c r="IP250" s="996">
        <v>-0.26501199999999869</v>
      </c>
      <c r="IQ250" s="1006"/>
      <c r="IR250" s="996">
        <v>0</v>
      </c>
      <c r="IS250" s="1006" t="s">
        <v>204</v>
      </c>
      <c r="IT250" s="996">
        <v>-1.7985704000000009</v>
      </c>
      <c r="IU250" s="1006"/>
      <c r="IV250" s="996">
        <v>0</v>
      </c>
      <c r="IW250" s="1006"/>
      <c r="IX250" s="996">
        <v>0</v>
      </c>
      <c r="IY250" s="1006"/>
      <c r="IZ250" s="996">
        <v>0</v>
      </c>
      <c r="JA250" s="1006"/>
      <c r="JB250" s="996">
        <v>0</v>
      </c>
      <c r="JC250" s="1006"/>
      <c r="JD250" s="996">
        <v>0</v>
      </c>
      <c r="JE250" s="1006" t="s">
        <v>204</v>
      </c>
      <c r="JF250" s="996">
        <v>2.6119983999999974</v>
      </c>
      <c r="JG250" s="1006"/>
      <c r="JH250" s="996">
        <v>0</v>
      </c>
      <c r="JI250" s="1006"/>
      <c r="JJ250" s="996">
        <v>0</v>
      </c>
      <c r="JK250" s="1007"/>
      <c r="JL250" s="1007">
        <v>0</v>
      </c>
      <c r="JM250" s="1007" t="s">
        <v>223</v>
      </c>
      <c r="JN250" s="1007">
        <v>-1.6719999999999988</v>
      </c>
      <c r="JO250" s="1008" t="s">
        <v>223</v>
      </c>
      <c r="JP250" s="1007">
        <v>-7.774799999999999</v>
      </c>
      <c r="JQ250" s="1008">
        <v>0</v>
      </c>
      <c r="JR250" s="1007">
        <v>0</v>
      </c>
      <c r="JS250" s="1008" t="s">
        <v>199</v>
      </c>
      <c r="JT250" s="1007">
        <v>7.6911999999999985</v>
      </c>
      <c r="JU250" s="1008" t="s">
        <v>199</v>
      </c>
      <c r="JV250" s="1007">
        <v>-7.1394400000000005</v>
      </c>
      <c r="JW250" s="1008" t="s">
        <v>199</v>
      </c>
      <c r="JX250" s="1007">
        <v>-5.6513600000000004</v>
      </c>
      <c r="JY250" s="1008"/>
      <c r="JZ250" s="1007">
        <v>0</v>
      </c>
      <c r="KA250" s="1008" t="s">
        <v>240</v>
      </c>
      <c r="KB250" s="1007">
        <v>-4.2080895999999974</v>
      </c>
      <c r="KC250" s="1008"/>
      <c r="KD250" s="1007">
        <v>0</v>
      </c>
      <c r="KE250" s="1008" t="s">
        <v>240</v>
      </c>
      <c r="KF250" s="1007">
        <v>-4.0184346399999953</v>
      </c>
      <c r="KG250" s="1008" t="s">
        <v>224</v>
      </c>
      <c r="KH250" s="1007">
        <v>-1.345675760000006</v>
      </c>
      <c r="KI250" s="1008"/>
      <c r="KJ250" s="1007">
        <v>0</v>
      </c>
      <c r="KK250" s="1008" t="s">
        <v>206</v>
      </c>
      <c r="KL250" s="1007">
        <v>0.37620000000000431</v>
      </c>
      <c r="KM250" s="1008" t="s">
        <v>204</v>
      </c>
      <c r="KN250" s="1007">
        <v>-3.9124800000000022</v>
      </c>
      <c r="KO250" s="1008"/>
      <c r="KP250" s="1007">
        <v>0</v>
      </c>
      <c r="KQ250" s="1008" t="s">
        <v>259</v>
      </c>
      <c r="KR250" s="1007">
        <v>-4.9500563200000016</v>
      </c>
      <c r="KS250" s="1008">
        <v>0</v>
      </c>
      <c r="KT250" s="1007">
        <v>0</v>
      </c>
      <c r="KU250" s="1008">
        <v>0</v>
      </c>
      <c r="KV250" s="1007">
        <v>0</v>
      </c>
      <c r="KW250" s="1008" t="s">
        <v>204</v>
      </c>
      <c r="KX250" s="1007">
        <v>-2.1726636799999994</v>
      </c>
      <c r="KY250" s="1008" t="s">
        <v>206</v>
      </c>
      <c r="KZ250" s="1007">
        <v>1.7305199999999985</v>
      </c>
      <c r="LA250" s="1008" t="s">
        <v>206</v>
      </c>
      <c r="LB250" s="1007">
        <v>0.95304000000000144</v>
      </c>
      <c r="LC250" s="1008" t="s">
        <v>206</v>
      </c>
      <c r="LD250" s="1007">
        <v>8.5643183999999977</v>
      </c>
      <c r="LE250" s="1008" t="s">
        <v>206</v>
      </c>
      <c r="LF250" s="1007">
        <v>-0.81459840000000128</v>
      </c>
      <c r="LG250" s="1008" t="s">
        <v>204</v>
      </c>
      <c r="LH250" s="1007">
        <v>0.25850000000000001</v>
      </c>
      <c r="LI250" s="1008">
        <v>0</v>
      </c>
      <c r="LJ250" s="1007">
        <v>0</v>
      </c>
      <c r="LK250" s="1008" t="s">
        <v>206</v>
      </c>
      <c r="LL250" s="1007">
        <v>2.4841199999999999</v>
      </c>
      <c r="LM250" s="1008" t="s">
        <v>555</v>
      </c>
      <c r="LN250" s="1007">
        <v>9.6917480000000005</v>
      </c>
      <c r="LO250" s="1008" t="s">
        <v>206</v>
      </c>
      <c r="LP250" s="1007">
        <v>-6.3686480000000039</v>
      </c>
      <c r="LQ250" s="1008">
        <v>0</v>
      </c>
      <c r="LR250" s="1007">
        <v>0</v>
      </c>
      <c r="LS250" s="1008" t="s">
        <v>206</v>
      </c>
      <c r="LT250" s="1007">
        <v>-3.8116584000000024</v>
      </c>
      <c r="LU250" s="1008" t="s">
        <v>206</v>
      </c>
      <c r="LV250" s="1007">
        <v>2.631383</v>
      </c>
      <c r="LW250" s="1008" t="s">
        <v>259</v>
      </c>
      <c r="LX250" s="1007">
        <v>3.3382809999999998</v>
      </c>
      <c r="LY250" s="1009">
        <v>0</v>
      </c>
      <c r="LZ250" s="1010">
        <v>0</v>
      </c>
      <c r="MA250" s="1011" t="s">
        <v>206</v>
      </c>
      <c r="MB250" s="1012">
        <v>-3.475368</v>
      </c>
      <c r="MC250" s="995"/>
      <c r="MD250" s="996"/>
      <c r="ME250" s="997" t="s">
        <v>220</v>
      </c>
      <c r="MF250" s="997"/>
      <c r="MG250" s="998"/>
      <c r="NR250" s="1000"/>
      <c r="NS250" s="1000"/>
      <c r="NT250" s="1001"/>
      <c r="NU250" s="1000"/>
      <c r="NV250" s="1001"/>
      <c r="NX250" s="1002"/>
      <c r="NZ250" s="1001"/>
      <c r="OA250" s="1001"/>
      <c r="OC250" s="1003"/>
      <c r="OD250" s="1003"/>
      <c r="OE250" s="1001"/>
      <c r="OF250" s="1003"/>
      <c r="OG250" s="1003"/>
      <c r="QX250" s="1000">
        <f>CN250-CA250</f>
        <v>34</v>
      </c>
      <c r="ASU250" s="999" t="s">
        <v>225</v>
      </c>
    </row>
    <row r="251" spans="1:466 1191:1191" ht="21" customHeight="1" x14ac:dyDescent="0.25">
      <c r="A251" s="982" t="str">
        <f t="shared" si="163"/>
        <v>1145-2</v>
      </c>
      <c r="B251" s="124">
        <f>SUBTOTAL(103,$J$29:J251)</f>
        <v>223</v>
      </c>
      <c r="C251" s="126">
        <v>45068</v>
      </c>
      <c r="D251" s="124" t="s">
        <v>176</v>
      </c>
      <c r="E251" s="127" t="s">
        <v>177</v>
      </c>
      <c r="F251" s="128" t="s">
        <v>177</v>
      </c>
      <c r="G251" s="127" t="s">
        <v>178</v>
      </c>
      <c r="H251" s="127" t="s">
        <v>179</v>
      </c>
      <c r="I251" s="127" t="s">
        <v>1031</v>
      </c>
      <c r="J251" s="152" t="s">
        <v>1149</v>
      </c>
      <c r="K251" s="127" t="s">
        <v>1031</v>
      </c>
      <c r="L251" s="130">
        <v>41718</v>
      </c>
      <c r="M251" s="127" t="s">
        <v>230</v>
      </c>
      <c r="N251" s="127" t="s">
        <v>184</v>
      </c>
      <c r="O251" s="127" t="s">
        <v>185</v>
      </c>
      <c r="P251" s="127" t="s">
        <v>186</v>
      </c>
      <c r="Q251" s="85" t="str">
        <f t="shared" si="187"/>
        <v/>
      </c>
      <c r="R251" s="130"/>
      <c r="S251" s="128" t="s">
        <v>156</v>
      </c>
      <c r="T251" s="131"/>
      <c r="U251" s="132">
        <v>203</v>
      </c>
      <c r="V251" s="121">
        <v>218.2</v>
      </c>
      <c r="W251" s="116">
        <v>0.98</v>
      </c>
      <c r="X251" s="116">
        <v>1.66</v>
      </c>
      <c r="Y251" s="116">
        <f t="shared" si="191"/>
        <v>1.0175131348511381</v>
      </c>
      <c r="Z251" s="133">
        <v>1.454</v>
      </c>
      <c r="AA251" s="133">
        <v>0.83599999999999997</v>
      </c>
      <c r="AB251" s="133">
        <v>0.72</v>
      </c>
      <c r="AC251" s="121">
        <v>34.299999999999997</v>
      </c>
      <c r="AD251" s="134">
        <v>1.17</v>
      </c>
      <c r="AE251" s="124">
        <v>177.8</v>
      </c>
      <c r="AF251" s="128">
        <v>9.19</v>
      </c>
      <c r="AG251" s="128">
        <v>1918</v>
      </c>
      <c r="AH251" s="127">
        <v>2433</v>
      </c>
      <c r="AI251" s="127">
        <v>2433</v>
      </c>
      <c r="AJ251" s="135"/>
      <c r="AK251" s="128"/>
      <c r="AL251" s="131"/>
      <c r="AM251" s="124" t="s">
        <v>232</v>
      </c>
      <c r="AN251" s="136" t="s">
        <v>952</v>
      </c>
      <c r="AO251" s="137">
        <v>25</v>
      </c>
      <c r="AP251" s="128">
        <v>1918</v>
      </c>
      <c r="AQ251" s="128">
        <v>134.51</v>
      </c>
      <c r="AR251" s="128"/>
      <c r="AS251" s="128"/>
      <c r="AT251" s="122"/>
      <c r="AU251" s="124" t="s">
        <v>250</v>
      </c>
      <c r="AV251" s="115">
        <f>VLOOKUP(J251,'[63]ТР нефть'!$J$28:$BP$638,39,0)</f>
        <v>687</v>
      </c>
      <c r="AW251" s="115" t="str">
        <f>VLOOKUP(J251,'[63]ТР нефть'!$J$28:$BP$638,40,0)</f>
        <v>ГП</v>
      </c>
      <c r="AX251" s="115">
        <f>VLOOKUP(J251,'[63]ТР нефть'!$J$28:$BP$638,41,0)</f>
        <v>1180</v>
      </c>
      <c r="AY251" s="115" t="str">
        <f>VLOOKUP(J251,'[63]ТР нефть'!$J$28:$BP$638,42,0)</f>
        <v>ГП</v>
      </c>
      <c r="AZ251" s="115">
        <f>VLOOKUP(J251,'[63]ТР нефть'!$J$28:$BP$638,43,0)</f>
        <v>1734</v>
      </c>
      <c r="BA251" s="115" t="str">
        <f>VLOOKUP(J251,'[63]ТР нефть'!$J$28:$BP$638,44,0)</f>
        <v>ЦКсОК 5/16</v>
      </c>
      <c r="BB251" s="115" t="str">
        <f>VLOOKUP(J251,'[63]ТР нефть'!$J$28:$BP$638,45,0)</f>
        <v>-</v>
      </c>
      <c r="BC251" s="115" t="str">
        <f>VLOOKUP(J251,'[63]ТР нефть'!$J$28:$BP$638,46,0)</f>
        <v>-</v>
      </c>
      <c r="BD251" s="115" t="str">
        <f>VLOOKUP(J251,'[63]ТР нефть'!$J$28:$BP$638,47,0)</f>
        <v>-</v>
      </c>
      <c r="BE251" s="115" t="str">
        <f>VLOOKUP(J251,'[63]ТР нефть'!$J$28:$BP$638,48,0)</f>
        <v>-</v>
      </c>
      <c r="BF251" s="115" t="str">
        <f>VLOOKUP(J251,'[63]ТР нефть'!$J$28:$BP$638,49,0)</f>
        <v>-</v>
      </c>
      <c r="BG251" s="115" t="str">
        <f>VLOOKUP(J251,'[63]ТР нефть'!$J$28:$BP$638,50,0)</f>
        <v>-</v>
      </c>
      <c r="BH251" s="115" t="s">
        <v>192</v>
      </c>
      <c r="BI251" s="115" t="s">
        <v>192</v>
      </c>
      <c r="BJ251" s="115" t="str">
        <f>IF(IFERROR(VLOOKUP(J251,'[63]ТР нефть'!$J$28:$BP$638,53,0),"-")=0,"-",IFERROR(VLOOKUP(J251,'[63]ТР нефть'!$J$28:$BP$638,53,0),"-"))</f>
        <v>-</v>
      </c>
      <c r="BK251" s="138" t="str">
        <f>IF(IFERROR(VLOOKUP(J251,'[63]ТР нефть'!$J$28:$BP$638,54,0),"-")=0,"-",IFERROR(VLOOKUP(J251,'[63]ТР нефть'!$J$28:$BP$638,54,0),"-"))</f>
        <v>-</v>
      </c>
      <c r="BL251" s="138" t="str">
        <f>IF(IFERROR(VLOOKUP(J251,'[63]ТР нефть'!$J$28:$BP$638,55,0),"-")=0,"-",IFERROR(VLOOKUP(J251,'[63]ТР нефть'!$J$28:$BP$638,55,0),"-"))</f>
        <v>-</v>
      </c>
      <c r="BM251" s="138" t="str">
        <f>IF(IFERROR(VLOOKUP(J251,'[63]ТР нефть'!$J$28:$BP$638,56,0),"-")=0,"-",IFERROR(VLOOKUP(J251,'[63]ТР нефть'!$J$28:$BP$638,56,0),"-"))</f>
        <v>-</v>
      </c>
      <c r="BN251" s="138" t="str">
        <f>IF(IFERROR(VLOOKUP(J251,'[63]ТР нефть'!$J$28:$BP$638,57,0),"-")=0,"-",IFERROR(VLOOKUP(J251,'[63]ТР нефть'!$J$28:$BP$638,57,0),"-"))</f>
        <v>-</v>
      </c>
      <c r="BO251" s="115" t="str">
        <f>IF(IFERROR(VLOOKUP(J251,'[63]ТР нефть'!$J$28:$BP$638,58,0),"-")=0,"-",IFERROR(VLOOKUP(J251,'[63]ТР нефть'!$J$28:$BP$638,58,0),"-"))</f>
        <v>-</v>
      </c>
      <c r="BP251" s="115" t="str">
        <f>IF(IFERROR(VLOOKUP(J251,'[63]ТР нефть'!$J$28:$BP$638,59,0),"-")=0,"-",IFERROR(VLOOKUP(J251,'[63]ТР нефть'!$J$28:$BP$638,59,0),"-"))</f>
        <v>-</v>
      </c>
      <c r="BQ251" s="138">
        <v>2030</v>
      </c>
      <c r="BR251" s="128">
        <v>1821.23</v>
      </c>
      <c r="BS251" s="115">
        <f t="shared" si="164"/>
        <v>208.76999999999998</v>
      </c>
      <c r="BT251" s="128">
        <v>73</v>
      </c>
      <c r="BU251" s="128">
        <v>5.5</v>
      </c>
      <c r="BV251" s="127">
        <v>18</v>
      </c>
      <c r="BW251" s="127" t="s">
        <v>217</v>
      </c>
      <c r="BX251" s="127" t="s">
        <v>195</v>
      </c>
      <c r="BY251" s="139">
        <v>24</v>
      </c>
      <c r="BZ251" s="139">
        <v>0</v>
      </c>
      <c r="CA251" s="138">
        <v>31</v>
      </c>
      <c r="CB251" s="138">
        <v>50</v>
      </c>
      <c r="CC251" s="138">
        <v>27</v>
      </c>
      <c r="CD251" s="135">
        <v>45017</v>
      </c>
      <c r="CE251" s="138">
        <v>81.2</v>
      </c>
      <c r="CF251" s="138"/>
      <c r="CG251" s="138" t="str">
        <f t="shared" si="202"/>
        <v/>
      </c>
      <c r="CH251" s="138" t="s">
        <v>197</v>
      </c>
      <c r="CI251" s="127"/>
      <c r="CJ251" s="138"/>
      <c r="CK251" s="138">
        <f t="shared" si="157"/>
        <v>38</v>
      </c>
      <c r="CL251" s="99"/>
      <c r="CM251" s="138"/>
      <c r="CN251" s="154">
        <v>69</v>
      </c>
      <c r="CO251" s="141">
        <f t="shared" si="165"/>
        <v>17.497479999999999</v>
      </c>
      <c r="CP251" s="142">
        <v>23</v>
      </c>
      <c r="CQ251" s="143">
        <v>9</v>
      </c>
      <c r="CR251" s="138">
        <v>96</v>
      </c>
      <c r="CS251" s="139"/>
      <c r="CT251" s="138"/>
      <c r="CU251" s="138">
        <f t="shared" si="188"/>
        <v>96</v>
      </c>
      <c r="CV251" s="115">
        <f t="shared" si="189"/>
        <v>5486.5043423395828</v>
      </c>
      <c r="CW251" s="115" t="str">
        <f t="shared" si="166"/>
        <v/>
      </c>
      <c r="CX251" s="133">
        <f t="shared" si="190"/>
        <v>1.8852459016393439</v>
      </c>
      <c r="CY251" s="116"/>
      <c r="CZ251" s="131"/>
      <c r="DA251" s="145" t="str">
        <f t="shared" si="167"/>
        <v>Фон.</v>
      </c>
      <c r="DB251" s="146">
        <f t="shared" si="168"/>
        <v>17.497479999999999</v>
      </c>
      <c r="DC251" s="142">
        <f t="shared" si="203"/>
        <v>23</v>
      </c>
      <c r="DD251" s="119">
        <f t="shared" si="204"/>
        <v>9</v>
      </c>
      <c r="DE251" s="115">
        <f t="shared" si="169"/>
        <v>96</v>
      </c>
      <c r="DF251" s="121">
        <f t="shared" si="170"/>
        <v>0</v>
      </c>
      <c r="DG251" s="115">
        <f t="shared" si="171"/>
        <v>5486.5043423395828</v>
      </c>
      <c r="DH251" s="115">
        <f t="shared" si="172"/>
        <v>69</v>
      </c>
      <c r="DI251" s="147"/>
      <c r="DJ251" s="111" t="s">
        <v>197</v>
      </c>
      <c r="DK251" s="112">
        <v>41817</v>
      </c>
      <c r="DL251" s="113">
        <f t="shared" ca="1" si="192"/>
        <v>3287</v>
      </c>
      <c r="DM251" s="114"/>
      <c r="DN251" s="114"/>
      <c r="DO251" s="114"/>
      <c r="DP251" s="114"/>
      <c r="DQ251" s="112">
        <v>41718</v>
      </c>
      <c r="DR251" s="114" t="s">
        <v>324</v>
      </c>
      <c r="DS251" s="114"/>
      <c r="DT251" s="115">
        <v>60</v>
      </c>
      <c r="DU251" s="116">
        <f t="shared" si="193"/>
        <v>1.7857314552184997</v>
      </c>
      <c r="DV251" s="117">
        <f t="shared" si="194"/>
        <v>28.80047691168695</v>
      </c>
      <c r="DW251" s="118">
        <f t="shared" si="195"/>
        <v>37.857506850632198</v>
      </c>
      <c r="DX251" s="119">
        <f t="shared" si="173"/>
        <v>9</v>
      </c>
      <c r="DY251" s="115">
        <f t="shared" si="196"/>
        <v>158.01394163742134</v>
      </c>
      <c r="DZ251" s="117">
        <f t="shared" si="197"/>
        <v>11.30299691168695</v>
      </c>
      <c r="EA251" s="120">
        <f t="shared" si="197"/>
        <v>14.857506850632198</v>
      </c>
      <c r="EB251" s="119">
        <f t="shared" si="197"/>
        <v>0</v>
      </c>
      <c r="EC251" s="121">
        <f t="shared" si="198"/>
        <v>62.01394163742134</v>
      </c>
      <c r="ED251" s="122"/>
      <c r="EE251" s="145">
        <v>18</v>
      </c>
      <c r="EF251" s="115">
        <v>31</v>
      </c>
      <c r="EG251" s="115">
        <v>50</v>
      </c>
      <c r="EH251" s="115">
        <v>27</v>
      </c>
      <c r="EI251" s="128" t="s">
        <v>195</v>
      </c>
      <c r="EJ251" s="121">
        <v>24</v>
      </c>
      <c r="EK251" s="121">
        <v>0</v>
      </c>
      <c r="EL251" s="149">
        <v>18.258240000000001</v>
      </c>
      <c r="EM251" s="117">
        <v>24</v>
      </c>
      <c r="EN251" s="207">
        <v>9</v>
      </c>
      <c r="EO251" s="115">
        <v>96</v>
      </c>
      <c r="EP251" s="115">
        <v>5257.8999947420998</v>
      </c>
      <c r="EQ251" s="115">
        <v>0</v>
      </c>
      <c r="ER251" s="115">
        <v>0</v>
      </c>
      <c r="ES251" s="115">
        <v>69</v>
      </c>
      <c r="ET251" s="150">
        <v>1.9672131147540979</v>
      </c>
      <c r="EU251" s="145">
        <f t="shared" si="174"/>
        <v>18</v>
      </c>
      <c r="EV251" s="115">
        <f t="shared" si="175"/>
        <v>31</v>
      </c>
      <c r="EW251" s="115">
        <f t="shared" si="175"/>
        <v>50</v>
      </c>
      <c r="EX251" s="115">
        <f t="shared" si="175"/>
        <v>27</v>
      </c>
      <c r="EY251" s="115" t="str">
        <f t="shared" si="156"/>
        <v>Постоянный</v>
      </c>
      <c r="EZ251" s="115">
        <f t="shared" si="156"/>
        <v>24</v>
      </c>
      <c r="FA251" s="115">
        <f t="shared" si="156"/>
        <v>0</v>
      </c>
      <c r="FB251" s="149">
        <f t="shared" si="176"/>
        <v>17.497479999999999</v>
      </c>
      <c r="FC251" s="142">
        <f t="shared" si="176"/>
        <v>23</v>
      </c>
      <c r="FD251" s="119">
        <f t="shared" si="176"/>
        <v>9</v>
      </c>
      <c r="FE251" s="121">
        <f t="shared" si="176"/>
        <v>96</v>
      </c>
      <c r="FF251" s="121">
        <f t="shared" si="199"/>
        <v>5486.5043423395828</v>
      </c>
      <c r="FG251" s="121">
        <f t="shared" si="177"/>
        <v>0</v>
      </c>
      <c r="FH251" s="121">
        <f t="shared" si="200"/>
        <v>0</v>
      </c>
      <c r="FI251" s="121">
        <f t="shared" ref="FI251:FI314" si="205">CN251</f>
        <v>69</v>
      </c>
      <c r="FJ251" s="144">
        <f t="shared" si="178"/>
        <v>1.8852459016393439</v>
      </c>
      <c r="FK251" s="132">
        <f t="shared" si="179"/>
        <v>0</v>
      </c>
      <c r="FL251" s="115">
        <f t="shared" si="179"/>
        <v>0</v>
      </c>
      <c r="FM251" s="115">
        <f t="shared" si="179"/>
        <v>0</v>
      </c>
      <c r="FN251" s="115">
        <f t="shared" si="162"/>
        <v>0</v>
      </c>
      <c r="FO251" s="115">
        <f t="shared" si="201"/>
        <v>0</v>
      </c>
      <c r="FP251" s="115">
        <f t="shared" si="201"/>
        <v>0</v>
      </c>
      <c r="FQ251" s="149">
        <f t="shared" si="201"/>
        <v>-0.76076000000000121</v>
      </c>
      <c r="FR251" s="142">
        <f t="shared" si="201"/>
        <v>-1</v>
      </c>
      <c r="FS251" s="119">
        <f t="shared" si="201"/>
        <v>0</v>
      </c>
      <c r="FT251" s="121">
        <f t="shared" si="201"/>
        <v>0</v>
      </c>
      <c r="FU251" s="121">
        <f t="shared" si="180"/>
        <v>0</v>
      </c>
      <c r="FV251" s="121">
        <f t="shared" si="180"/>
        <v>0</v>
      </c>
      <c r="FW251" s="121">
        <f t="shared" si="181"/>
        <v>228.60434759748296</v>
      </c>
      <c r="FX251" s="121">
        <f t="shared" si="182"/>
        <v>0</v>
      </c>
      <c r="FY251" s="144">
        <f t="shared" si="182"/>
        <v>-8.1967213114753967E-2</v>
      </c>
      <c r="FZ251" s="145"/>
      <c r="GA251" s="151"/>
      <c r="GB251" s="145" t="s">
        <v>204</v>
      </c>
      <c r="GC251" s="151" t="s">
        <v>219</v>
      </c>
      <c r="GD251" s="997" t="s">
        <v>220</v>
      </c>
      <c r="GE251" s="1004" t="s">
        <v>204</v>
      </c>
      <c r="GF251" s="1004">
        <v>2.2360492000000036</v>
      </c>
      <c r="GG251" s="1004"/>
      <c r="GH251" s="1004">
        <v>0</v>
      </c>
      <c r="GI251" s="145"/>
      <c r="GJ251" s="996">
        <v>0</v>
      </c>
      <c r="GK251" s="145"/>
      <c r="GL251" s="996">
        <v>0</v>
      </c>
      <c r="GM251" s="1005"/>
      <c r="GN251" s="996">
        <v>0</v>
      </c>
      <c r="GO251" s="1006"/>
      <c r="GP251" s="996">
        <v>0</v>
      </c>
      <c r="GQ251" s="1006"/>
      <c r="GR251" s="996">
        <v>0</v>
      </c>
      <c r="GS251" s="1006"/>
      <c r="GT251" s="996">
        <v>0</v>
      </c>
      <c r="GU251" s="1006"/>
      <c r="GV251" s="996">
        <v>0</v>
      </c>
      <c r="GW251" s="1006"/>
      <c r="GX251" s="1036">
        <v>0</v>
      </c>
      <c r="GY251" s="1006"/>
      <c r="GZ251" s="996">
        <v>0</v>
      </c>
      <c r="HA251" s="1006" t="s">
        <v>199</v>
      </c>
      <c r="HB251" s="996">
        <v>4.0142629999999979</v>
      </c>
      <c r="HC251" s="1006"/>
      <c r="HD251" s="996">
        <v>0</v>
      </c>
      <c r="HE251" s="1006" t="s">
        <v>643</v>
      </c>
      <c r="HF251" s="996">
        <v>-4.2212482399999995</v>
      </c>
      <c r="HG251" s="1006"/>
      <c r="HH251" s="996">
        <v>0</v>
      </c>
      <c r="HI251" s="1006" t="s">
        <v>199</v>
      </c>
      <c r="HJ251" s="996">
        <v>-1.6110639599999992</v>
      </c>
      <c r="HK251" s="1006" t="s">
        <v>204</v>
      </c>
      <c r="HL251" s="996">
        <v>1.6810287999999964</v>
      </c>
      <c r="HM251" s="1006"/>
      <c r="HN251" s="996">
        <v>0</v>
      </c>
      <c r="HO251" s="1006" t="s">
        <v>204</v>
      </c>
      <c r="HP251" s="996">
        <v>-29.820788799999995</v>
      </c>
      <c r="HQ251" s="1006" t="s">
        <v>204</v>
      </c>
      <c r="HR251" s="996">
        <v>-8.200023040000012</v>
      </c>
      <c r="HS251" s="1006"/>
      <c r="HT251" s="996">
        <v>0</v>
      </c>
      <c r="HU251" s="1006" t="s">
        <v>204</v>
      </c>
      <c r="HV251" s="996">
        <v>-7.7675769599999853</v>
      </c>
      <c r="HW251" s="1006"/>
      <c r="HX251" s="996">
        <v>0</v>
      </c>
      <c r="HY251" s="1006"/>
      <c r="HZ251" s="996">
        <v>-0.25240000000000862</v>
      </c>
      <c r="IA251" s="1006"/>
      <c r="IB251" s="996">
        <v>0</v>
      </c>
      <c r="IC251" s="1006" t="s">
        <v>199</v>
      </c>
      <c r="ID251" s="996">
        <v>22.874560000000002</v>
      </c>
      <c r="IE251" s="1006"/>
      <c r="IF251" s="996">
        <v>0</v>
      </c>
      <c r="IG251" s="1006" t="s">
        <v>204</v>
      </c>
      <c r="IH251" s="996">
        <v>4.0636288000000036</v>
      </c>
      <c r="II251" s="1006"/>
      <c r="IJ251" s="996">
        <v>0</v>
      </c>
      <c r="IK251" s="1006"/>
      <c r="IL251" s="996">
        <v>0.64766592000000145</v>
      </c>
      <c r="IM251" s="1006" t="s">
        <v>146</v>
      </c>
      <c r="IN251" s="996">
        <v>1.3510679599999946</v>
      </c>
      <c r="IO251" s="1006" t="s">
        <v>204</v>
      </c>
      <c r="IP251" s="996">
        <v>-1.7318826799999982</v>
      </c>
      <c r="IQ251" s="1006" t="s">
        <v>204</v>
      </c>
      <c r="IR251" s="996">
        <v>-2.9510799999999975</v>
      </c>
      <c r="IS251" s="1006" t="s">
        <v>204</v>
      </c>
      <c r="IT251" s="996">
        <v>22.964919999999996</v>
      </c>
      <c r="IU251" s="1006"/>
      <c r="IV251" s="996">
        <v>0</v>
      </c>
      <c r="IW251" s="1006" t="s">
        <v>199</v>
      </c>
      <c r="IX251" s="996">
        <v>-9.6825520000000012</v>
      </c>
      <c r="IY251" s="1006" t="s">
        <v>204</v>
      </c>
      <c r="IZ251" s="996">
        <v>7.8023880000000005</v>
      </c>
      <c r="JA251" s="1006" t="s">
        <v>204</v>
      </c>
      <c r="JB251" s="996">
        <v>-9.4769795999999964</v>
      </c>
      <c r="JC251" s="1006"/>
      <c r="JD251" s="996">
        <v>0</v>
      </c>
      <c r="JE251" s="1006"/>
      <c r="JF251" s="996">
        <v>0</v>
      </c>
      <c r="JG251" s="1006"/>
      <c r="JH251" s="996">
        <v>0</v>
      </c>
      <c r="JI251" s="1006"/>
      <c r="JJ251" s="996">
        <v>0</v>
      </c>
      <c r="JK251" s="1007" t="s">
        <v>223</v>
      </c>
      <c r="JL251" s="1007">
        <v>-4.2192919999999958</v>
      </c>
      <c r="JM251" s="1007" t="s">
        <v>223</v>
      </c>
      <c r="JN251" s="1007">
        <v>9.2964035999999943</v>
      </c>
      <c r="JO251" s="1008" t="s">
        <v>223</v>
      </c>
      <c r="JP251" s="1007">
        <v>-5.3654480000000007</v>
      </c>
      <c r="JQ251" s="1008">
        <v>0</v>
      </c>
      <c r="JR251" s="1007">
        <v>0</v>
      </c>
      <c r="JS251" s="1008">
        <v>0</v>
      </c>
      <c r="JT251" s="1007">
        <v>0</v>
      </c>
      <c r="JU251" s="1008"/>
      <c r="JV251" s="1007">
        <v>0</v>
      </c>
      <c r="JW251" s="1008" t="s">
        <v>206</v>
      </c>
      <c r="JX251" s="1007">
        <v>-7.9837999999999987</v>
      </c>
      <c r="JY251" s="1008"/>
      <c r="JZ251" s="1007">
        <v>0</v>
      </c>
      <c r="KA251" s="1008" t="s">
        <v>204</v>
      </c>
      <c r="KB251" s="1007">
        <v>0.55176000000000158</v>
      </c>
      <c r="KC251" s="1008" t="s">
        <v>204</v>
      </c>
      <c r="KD251" s="1007">
        <v>3.2938399999999959</v>
      </c>
      <c r="KE251" s="1008" t="s">
        <v>204</v>
      </c>
      <c r="KF251" s="1007">
        <v>-12.071839999999995</v>
      </c>
      <c r="KG251" s="1008" t="s">
        <v>204</v>
      </c>
      <c r="KH251" s="1007">
        <v>0.7575497600000034</v>
      </c>
      <c r="KI251" s="1008" t="s">
        <v>529</v>
      </c>
      <c r="KJ251" s="1007">
        <v>18.484996639999995</v>
      </c>
      <c r="KK251" s="1008"/>
      <c r="KL251" s="1007">
        <v>0.24461359999999743</v>
      </c>
      <c r="KM251" s="1008" t="s">
        <v>240</v>
      </c>
      <c r="KN251" s="1007">
        <v>-11.67474</v>
      </c>
      <c r="KO251" s="1008"/>
      <c r="KP251" s="1007">
        <v>0</v>
      </c>
      <c r="KQ251" s="1008">
        <v>0</v>
      </c>
      <c r="KR251" s="1007">
        <v>0</v>
      </c>
      <c r="KS251" s="1008">
        <v>0</v>
      </c>
      <c r="KT251" s="1007">
        <v>0</v>
      </c>
      <c r="KU251" s="1008" t="s">
        <v>204</v>
      </c>
      <c r="KV251" s="1007">
        <v>-10.423875000000002</v>
      </c>
      <c r="KW251" s="1008" t="s">
        <v>204</v>
      </c>
      <c r="KX251" s="1007">
        <v>7.0882349999999974</v>
      </c>
      <c r="KY251" s="1008" t="s">
        <v>206</v>
      </c>
      <c r="KZ251" s="1007">
        <v>-4.6188999999999893</v>
      </c>
      <c r="LA251" s="1008" t="s">
        <v>206</v>
      </c>
      <c r="LB251" s="1007">
        <v>-4.0546000000000006</v>
      </c>
      <c r="LC251" s="1008" t="s">
        <v>221</v>
      </c>
      <c r="LD251" s="1007">
        <v>17.029319999999995</v>
      </c>
      <c r="LE251" s="1008" t="s">
        <v>314</v>
      </c>
      <c r="LF251" s="1007">
        <v>10.54196</v>
      </c>
      <c r="LG251" s="1008" t="s">
        <v>223</v>
      </c>
      <c r="LH251" s="1007">
        <v>-1.6218399999999988</v>
      </c>
      <c r="LI251" s="1008">
        <v>0</v>
      </c>
      <c r="LJ251" s="1007">
        <v>0</v>
      </c>
      <c r="LK251" s="1008" t="s">
        <v>240</v>
      </c>
      <c r="LL251" s="1007">
        <v>-3.672547999999999</v>
      </c>
      <c r="LM251" s="1008" t="s">
        <v>555</v>
      </c>
      <c r="LN251" s="1007">
        <v>1.9645999999999999</v>
      </c>
      <c r="LO251" s="1008">
        <v>0</v>
      </c>
      <c r="LP251" s="1007">
        <v>0</v>
      </c>
      <c r="LQ251" s="1008">
        <v>0</v>
      </c>
      <c r="LR251" s="1007">
        <v>0.472399999999986</v>
      </c>
      <c r="LS251" s="1008">
        <v>0</v>
      </c>
      <c r="LT251" s="1007">
        <v>0</v>
      </c>
      <c r="LU251" s="1008">
        <v>0</v>
      </c>
      <c r="LV251" s="1007">
        <v>0</v>
      </c>
      <c r="LW251" s="1008">
        <v>0</v>
      </c>
      <c r="LX251" s="1007">
        <v>0.886212</v>
      </c>
      <c r="LY251" s="1009">
        <v>0</v>
      </c>
      <c r="LZ251" s="1010">
        <v>-0.1132721</v>
      </c>
      <c r="MA251" s="1011" t="s">
        <v>206</v>
      </c>
      <c r="MB251" s="1012">
        <v>7.4596280000000004</v>
      </c>
      <c r="MC251" s="995"/>
      <c r="MD251" s="996"/>
      <c r="ME251" s="997" t="s">
        <v>220</v>
      </c>
      <c r="MF251" s="997"/>
      <c r="MG251" s="998"/>
      <c r="NR251" s="1000"/>
      <c r="NS251" s="1000"/>
      <c r="NT251" s="1001"/>
      <c r="NU251" s="1000"/>
      <c r="NV251" s="1001"/>
      <c r="NX251" s="1002"/>
      <c r="NZ251" s="1001"/>
      <c r="OA251" s="1001"/>
      <c r="OC251" s="1003"/>
      <c r="OD251" s="1003"/>
      <c r="OE251" s="1001"/>
      <c r="OF251" s="1003"/>
      <c r="OG251" s="1003"/>
      <c r="QX251" s="1000">
        <f>CN251-CA251</f>
        <v>38</v>
      </c>
      <c r="ASU251" s="999" t="s">
        <v>208</v>
      </c>
    </row>
    <row r="252" spans="1:466 1191:1191" ht="21" customHeight="1" x14ac:dyDescent="0.25">
      <c r="A252" s="982" t="str">
        <f t="shared" si="163"/>
        <v>1145-1</v>
      </c>
      <c r="B252" s="124">
        <f>SUBTOTAL(103,$J$29:J252)</f>
        <v>224</v>
      </c>
      <c r="C252" s="126">
        <v>45068</v>
      </c>
      <c r="D252" s="124" t="s">
        <v>176</v>
      </c>
      <c r="E252" s="127" t="s">
        <v>177</v>
      </c>
      <c r="F252" s="128" t="s">
        <v>177</v>
      </c>
      <c r="G252" s="127" t="s">
        <v>178</v>
      </c>
      <c r="H252" s="127" t="s">
        <v>179</v>
      </c>
      <c r="I252" s="127" t="s">
        <v>1031</v>
      </c>
      <c r="J252" s="152" t="s">
        <v>1150</v>
      </c>
      <c r="K252" s="127" t="s">
        <v>1031</v>
      </c>
      <c r="L252" s="130">
        <v>41822</v>
      </c>
      <c r="M252" s="127" t="s">
        <v>230</v>
      </c>
      <c r="N252" s="127" t="s">
        <v>184</v>
      </c>
      <c r="O252" s="127" t="s">
        <v>185</v>
      </c>
      <c r="P252" s="127" t="s">
        <v>186</v>
      </c>
      <c r="Q252" s="85" t="str">
        <f t="shared" si="187"/>
        <v/>
      </c>
      <c r="R252" s="130"/>
      <c r="S252" s="128" t="s">
        <v>156</v>
      </c>
      <c r="T252" s="131"/>
      <c r="U252" s="132">
        <v>203</v>
      </c>
      <c r="V252" s="121">
        <v>218.2</v>
      </c>
      <c r="W252" s="116">
        <v>0.98</v>
      </c>
      <c r="X252" s="116">
        <v>1.66</v>
      </c>
      <c r="Y252" s="116">
        <f t="shared" si="191"/>
        <v>0.98</v>
      </c>
      <c r="Z252" s="133">
        <v>1.454</v>
      </c>
      <c r="AA252" s="133">
        <v>0.83599999999999997</v>
      </c>
      <c r="AB252" s="133">
        <v>0.72</v>
      </c>
      <c r="AC252" s="121">
        <v>34.299999999999997</v>
      </c>
      <c r="AD252" s="134">
        <v>1.17</v>
      </c>
      <c r="AE252" s="124">
        <v>177.8</v>
      </c>
      <c r="AF252" s="128">
        <v>9.19</v>
      </c>
      <c r="AG252" s="128">
        <v>2001</v>
      </c>
      <c r="AH252" s="127">
        <v>2665</v>
      </c>
      <c r="AI252" s="127">
        <v>2665</v>
      </c>
      <c r="AJ252" s="135"/>
      <c r="AK252" s="128"/>
      <c r="AL252" s="131"/>
      <c r="AM252" s="124" t="s">
        <v>232</v>
      </c>
      <c r="AN252" s="136" t="s">
        <v>1151</v>
      </c>
      <c r="AO252" s="137">
        <v>14</v>
      </c>
      <c r="AP252" s="128">
        <v>2001</v>
      </c>
      <c r="AQ252" s="128">
        <v>181.1</v>
      </c>
      <c r="AR252" s="128"/>
      <c r="AS252" s="128"/>
      <c r="AT252" s="122"/>
      <c r="AU252" s="124" t="s">
        <v>189</v>
      </c>
      <c r="AV252" s="115">
        <f>VLOOKUP(J252,'[63]ТР нефть'!$J$28:$BP$638,39,0)</f>
        <v>599.99999062500001</v>
      </c>
      <c r="AW252" s="115" t="str">
        <f>VLOOKUP(J252,'[63]ТР нефть'!$J$28:$BP$638,40,0)</f>
        <v>ГП</v>
      </c>
      <c r="AX252" s="115">
        <f>VLOOKUP(J252,'[63]ТР нефть'!$J$28:$BP$638,41,0)</f>
        <v>1199.99998125</v>
      </c>
      <c r="AY252" s="115" t="str">
        <f>VLOOKUP(J252,'[63]ТР нефть'!$J$28:$BP$638,42,0)</f>
        <v>ГК 76 1/8</v>
      </c>
      <c r="AZ252" s="115">
        <f>VLOOKUP(J252,'[63]ТР нефть'!$J$28:$BP$638,43,0)</f>
        <v>1719.9999433590001</v>
      </c>
      <c r="BA252" s="115" t="str">
        <f>VLOOKUP(J252,'[63]ТР нефть'!$J$28:$BP$638,44,0)</f>
        <v>ЦКсОК 5/16</v>
      </c>
      <c r="BB252" s="115" t="str">
        <f>VLOOKUP(J252,'[63]ТР нефть'!$J$28:$BP$638,45,0)</f>
        <v>-</v>
      </c>
      <c r="BC252" s="115" t="str">
        <f>VLOOKUP(J252,'[63]ТР нефть'!$J$28:$BP$638,46,0)</f>
        <v>-</v>
      </c>
      <c r="BD252" s="115" t="str">
        <f>VLOOKUP(J252,'[63]ТР нефть'!$J$28:$BP$638,47,0)</f>
        <v>-</v>
      </c>
      <c r="BE252" s="115" t="str">
        <f>VLOOKUP(J252,'[63]ТР нефть'!$J$28:$BP$638,48,0)</f>
        <v>-</v>
      </c>
      <c r="BF252" s="115" t="str">
        <f>VLOOKUP(J252,'[63]ТР нефть'!$J$28:$BP$638,49,0)</f>
        <v>-</v>
      </c>
      <c r="BG252" s="115" t="str">
        <f>VLOOKUP(J252,'[63]ТР нефть'!$J$28:$BP$638,50,0)</f>
        <v>-</v>
      </c>
      <c r="BH252" s="115">
        <f>VLOOKUP(J252,'[63]ТР нефть'!$J$28:$BP$638,51,0)</f>
        <v>1730</v>
      </c>
      <c r="BI252" s="115" t="str">
        <f>VLOOKUP(J252,'[63]ТР нефть'!$J$28:$BP$638,52,0)</f>
        <v>закрыт</v>
      </c>
      <c r="BJ252" s="115" t="str">
        <f>IF(IFERROR(VLOOKUP(J252,'[63]ТР нефть'!$J$28:$BP$638,53,0),"-")=0,"-",IFERROR(VLOOKUP(J252,'[63]ТР нефть'!$J$28:$BP$638,53,0),"-"))</f>
        <v>-</v>
      </c>
      <c r="BK252" s="138" t="str">
        <f>IF(IFERROR(VLOOKUP(J252,'[63]ТР нефть'!$J$28:$BP$638,54,0),"-")=0,"-",IFERROR(VLOOKUP(J252,'[63]ТР нефть'!$J$28:$BP$638,54,0),"-"))</f>
        <v>-</v>
      </c>
      <c r="BL252" s="138" t="str">
        <f>IF(IFERROR(VLOOKUP(J252,'[63]ТР нефть'!$J$28:$BP$638,55,0),"-")=0,"-",IFERROR(VLOOKUP(J252,'[63]ТР нефть'!$J$28:$BP$638,55,0),"-"))</f>
        <v>-</v>
      </c>
      <c r="BM252" s="138" t="str">
        <f>IF(IFERROR(VLOOKUP(J252,'[63]ТР нефть'!$J$28:$BP$638,56,0),"-")=0,"-",IFERROR(VLOOKUP(J252,'[63]ТР нефть'!$J$28:$BP$638,56,0),"-"))</f>
        <v>-</v>
      </c>
      <c r="BN252" s="138" t="str">
        <f>IF(IFERROR(VLOOKUP(J252,'[63]ТР нефть'!$J$28:$BP$638,57,0),"-")=0,"-",IFERROR(VLOOKUP(J252,'[63]ТР нефть'!$J$28:$BP$638,57,0),"-"))</f>
        <v>-</v>
      </c>
      <c r="BO252" s="115" t="str">
        <f>IF(IFERROR(VLOOKUP(J252,'[63]ТР нефть'!$J$28:$BP$638,58,0),"-")=0,"-",IFERROR(VLOOKUP(J252,'[63]ТР нефть'!$J$28:$BP$638,58,0),"-"))</f>
        <v>-</v>
      </c>
      <c r="BP252" s="115" t="str">
        <f>IF(IFERROR(VLOOKUP(J252,'[63]ТР нефть'!$J$28:$BP$638,59,0),"-")=0,"-",IFERROR(VLOOKUP(J252,'[63]ТР нефть'!$J$28:$BP$638,59,0),"-"))</f>
        <v>-</v>
      </c>
      <c r="BQ252" s="138">
        <v>2070</v>
      </c>
      <c r="BR252" s="128">
        <v>1831.7</v>
      </c>
      <c r="BS252" s="115">
        <f t="shared" si="164"/>
        <v>238.29999999999995</v>
      </c>
      <c r="BT252" s="128">
        <v>73</v>
      </c>
      <c r="BU252" s="128">
        <v>5.5</v>
      </c>
      <c r="BV252" s="127">
        <v>18</v>
      </c>
      <c r="BW252" s="127" t="s">
        <v>217</v>
      </c>
      <c r="BX252" s="127" t="s">
        <v>195</v>
      </c>
      <c r="BY252" s="139">
        <v>24</v>
      </c>
      <c r="BZ252" s="139">
        <v>0</v>
      </c>
      <c r="CA252" s="138">
        <v>28</v>
      </c>
      <c r="CB252" s="138">
        <v>44</v>
      </c>
      <c r="CC252" s="138">
        <v>27</v>
      </c>
      <c r="CD252" s="135">
        <v>45017</v>
      </c>
      <c r="CE252" s="138">
        <v>79</v>
      </c>
      <c r="CF252" s="138">
        <v>76</v>
      </c>
      <c r="CG252" s="138" t="s">
        <v>1131</v>
      </c>
      <c r="CH252" s="138" t="s">
        <v>196</v>
      </c>
      <c r="CI252" s="127">
        <v>5</v>
      </c>
      <c r="CJ252" s="138"/>
      <c r="CK252" s="138">
        <f t="shared" si="157"/>
        <v>21</v>
      </c>
      <c r="CL252" s="99"/>
      <c r="CM252" s="99"/>
      <c r="CN252" s="140">
        <v>49</v>
      </c>
      <c r="CO252" s="141">
        <f t="shared" si="165"/>
        <v>9.4467999999999996</v>
      </c>
      <c r="CP252" s="142">
        <v>11.3</v>
      </c>
      <c r="CQ252" s="143">
        <v>0</v>
      </c>
      <c r="CR252" s="138">
        <v>26.5</v>
      </c>
      <c r="CS252" s="139">
        <v>3.6</v>
      </c>
      <c r="CT252" s="138"/>
      <c r="CU252" s="138">
        <f t="shared" si="188"/>
        <v>22.9</v>
      </c>
      <c r="CV252" s="115">
        <f t="shared" si="189"/>
        <v>2424.1012829741289</v>
      </c>
      <c r="CW252" s="115">
        <f t="shared" si="166"/>
        <v>381.08142439767965</v>
      </c>
      <c r="CX252" s="133">
        <f t="shared" si="190"/>
        <v>0.37666666666666671</v>
      </c>
      <c r="CY252" s="116"/>
      <c r="CZ252" s="131"/>
      <c r="DA252" s="145" t="str">
        <f t="shared" si="167"/>
        <v>Газлифт</v>
      </c>
      <c r="DB252" s="146">
        <f t="shared" si="168"/>
        <v>9.4467999999999996</v>
      </c>
      <c r="DC252" s="142">
        <f t="shared" si="203"/>
        <v>11.3</v>
      </c>
      <c r="DD252" s="119">
        <f t="shared" si="204"/>
        <v>0</v>
      </c>
      <c r="DE252" s="115">
        <f t="shared" si="169"/>
        <v>22.9</v>
      </c>
      <c r="DF252" s="121">
        <f t="shared" si="170"/>
        <v>3.6</v>
      </c>
      <c r="DG252" s="115">
        <f t="shared" si="171"/>
        <v>2424.1012829741289</v>
      </c>
      <c r="DH252" s="115">
        <f t="shared" si="172"/>
        <v>49</v>
      </c>
      <c r="DI252" s="147"/>
      <c r="DJ252" s="111" t="s">
        <v>197</v>
      </c>
      <c r="DK252" s="112">
        <v>41713</v>
      </c>
      <c r="DL252" s="113">
        <f t="shared" ca="1" si="192"/>
        <v>3391</v>
      </c>
      <c r="DM252" s="114"/>
      <c r="DN252" s="114"/>
      <c r="DO252" s="114"/>
      <c r="DP252" s="114"/>
      <c r="DQ252" s="112" t="s">
        <v>1152</v>
      </c>
      <c r="DR252" s="114" t="s">
        <v>198</v>
      </c>
      <c r="DS252" s="114"/>
      <c r="DT252" s="115">
        <v>49</v>
      </c>
      <c r="DU252" s="116">
        <f t="shared" si="193"/>
        <v>0.37666666666666671</v>
      </c>
      <c r="DV252" s="117">
        <f t="shared" si="194"/>
        <v>9.4467999999999996</v>
      </c>
      <c r="DW252" s="118">
        <f t="shared" si="195"/>
        <v>11.3</v>
      </c>
      <c r="DX252" s="119">
        <f t="shared" si="173"/>
        <v>0</v>
      </c>
      <c r="DY252" s="115">
        <f t="shared" si="196"/>
        <v>22.9</v>
      </c>
      <c r="DZ252" s="117">
        <f t="shared" si="197"/>
        <v>0</v>
      </c>
      <c r="EA252" s="120">
        <f t="shared" si="197"/>
        <v>0</v>
      </c>
      <c r="EB252" s="119">
        <f t="shared" si="197"/>
        <v>0</v>
      </c>
      <c r="EC252" s="121">
        <f t="shared" si="198"/>
        <v>0</v>
      </c>
      <c r="ED252" s="122"/>
      <c r="EE252" s="145">
        <v>18</v>
      </c>
      <c r="EF252" s="115">
        <v>28</v>
      </c>
      <c r="EG252" s="115">
        <v>44</v>
      </c>
      <c r="EH252" s="115">
        <v>27</v>
      </c>
      <c r="EI252" s="128" t="s">
        <v>195</v>
      </c>
      <c r="EJ252" s="121">
        <v>24</v>
      </c>
      <c r="EK252" s="121">
        <v>0</v>
      </c>
      <c r="EL252" s="149">
        <v>9.4467999999999996</v>
      </c>
      <c r="EM252" s="142">
        <v>11.3</v>
      </c>
      <c r="EN252" s="119">
        <v>0</v>
      </c>
      <c r="EO252" s="115">
        <v>26.5</v>
      </c>
      <c r="EP252" s="115">
        <v>2424.1012829741289</v>
      </c>
      <c r="EQ252" s="115">
        <v>76</v>
      </c>
      <c r="ER252" s="115">
        <v>3.6</v>
      </c>
      <c r="ES252" s="115">
        <v>49</v>
      </c>
      <c r="ET252" s="150">
        <v>0.37666666666666671</v>
      </c>
      <c r="EU252" s="145">
        <f t="shared" si="174"/>
        <v>18</v>
      </c>
      <c r="EV252" s="115">
        <f t="shared" si="175"/>
        <v>28</v>
      </c>
      <c r="EW252" s="115">
        <f t="shared" si="175"/>
        <v>44</v>
      </c>
      <c r="EX252" s="115">
        <f t="shared" si="175"/>
        <v>27</v>
      </c>
      <c r="EY252" s="115" t="str">
        <f t="shared" si="156"/>
        <v>Постоянный</v>
      </c>
      <c r="EZ252" s="115">
        <f t="shared" si="156"/>
        <v>24</v>
      </c>
      <c r="FA252" s="115">
        <f t="shared" si="156"/>
        <v>0</v>
      </c>
      <c r="FB252" s="149">
        <f t="shared" si="176"/>
        <v>9.4467999999999996</v>
      </c>
      <c r="FC252" s="142">
        <f t="shared" si="176"/>
        <v>11.3</v>
      </c>
      <c r="FD252" s="119">
        <f t="shared" si="176"/>
        <v>0</v>
      </c>
      <c r="FE252" s="121">
        <f t="shared" si="176"/>
        <v>26.5</v>
      </c>
      <c r="FF252" s="121">
        <f t="shared" si="199"/>
        <v>2424.1012829741289</v>
      </c>
      <c r="FG252" s="121">
        <f t="shared" si="177"/>
        <v>76</v>
      </c>
      <c r="FH252" s="121">
        <f t="shared" si="200"/>
        <v>3.6</v>
      </c>
      <c r="FI252" s="121">
        <f t="shared" si="205"/>
        <v>49</v>
      </c>
      <c r="FJ252" s="144">
        <f t="shared" si="178"/>
        <v>0.37666666666666671</v>
      </c>
      <c r="FK252" s="132">
        <f t="shared" si="179"/>
        <v>0</v>
      </c>
      <c r="FL252" s="115">
        <f t="shared" si="179"/>
        <v>0</v>
      </c>
      <c r="FM252" s="115">
        <f t="shared" si="179"/>
        <v>0</v>
      </c>
      <c r="FN252" s="115">
        <f t="shared" si="162"/>
        <v>0</v>
      </c>
      <c r="FO252" s="115">
        <f t="shared" si="201"/>
        <v>0</v>
      </c>
      <c r="FP252" s="115">
        <f t="shared" si="201"/>
        <v>0</v>
      </c>
      <c r="FQ252" s="149">
        <f t="shared" si="201"/>
        <v>0</v>
      </c>
      <c r="FR252" s="142">
        <f t="shared" si="201"/>
        <v>0</v>
      </c>
      <c r="FS252" s="119">
        <f t="shared" si="201"/>
        <v>0</v>
      </c>
      <c r="FT252" s="121">
        <f t="shared" si="201"/>
        <v>0</v>
      </c>
      <c r="FU252" s="121">
        <f t="shared" si="180"/>
        <v>0</v>
      </c>
      <c r="FV252" s="121">
        <f t="shared" si="180"/>
        <v>0</v>
      </c>
      <c r="FW252" s="121">
        <f t="shared" si="181"/>
        <v>0</v>
      </c>
      <c r="FX252" s="121">
        <f t="shared" si="182"/>
        <v>0</v>
      </c>
      <c r="FY252" s="144">
        <f t="shared" si="182"/>
        <v>0</v>
      </c>
      <c r="FZ252" s="1052"/>
      <c r="GA252" s="151" t="s">
        <v>925</v>
      </c>
      <c r="GB252" s="1052"/>
      <c r="GC252" s="151"/>
      <c r="GD252" s="997" t="s">
        <v>220</v>
      </c>
      <c r="GE252" s="1004"/>
      <c r="GF252" s="1004">
        <v>0</v>
      </c>
      <c r="GG252" s="1004"/>
      <c r="GH252" s="1004">
        <v>0</v>
      </c>
      <c r="GI252" s="1052"/>
      <c r="GJ252" s="996">
        <v>0</v>
      </c>
      <c r="GK252" s="1052"/>
      <c r="GL252" s="996">
        <v>0</v>
      </c>
      <c r="GM252" s="1005"/>
      <c r="GN252" s="996">
        <v>0</v>
      </c>
      <c r="GO252" s="1006"/>
      <c r="GP252" s="996">
        <v>0</v>
      </c>
      <c r="GQ252" s="1006"/>
      <c r="GR252" s="996">
        <v>0</v>
      </c>
      <c r="GS252" s="1006" t="s">
        <v>223</v>
      </c>
      <c r="GT252" s="996">
        <v>-1.5020210523999999</v>
      </c>
      <c r="GU252" s="1006" t="s">
        <v>308</v>
      </c>
      <c r="GV252" s="996">
        <v>4.2608210523999999</v>
      </c>
      <c r="GW252" s="1006" t="s">
        <v>199</v>
      </c>
      <c r="GX252" s="1036">
        <v>-2.7587999999999999</v>
      </c>
      <c r="GY252" s="1006"/>
      <c r="GZ252" s="996">
        <v>-0.25079999999999991</v>
      </c>
      <c r="HA252" s="1006" t="s">
        <v>199</v>
      </c>
      <c r="HB252" s="996">
        <v>2.508</v>
      </c>
      <c r="HC252" s="1006"/>
      <c r="HD252" s="996">
        <v>0</v>
      </c>
      <c r="HE252" s="1006"/>
      <c r="HF252" s="996">
        <v>0</v>
      </c>
      <c r="HG252" s="1006"/>
      <c r="HH252" s="996">
        <v>0</v>
      </c>
      <c r="HI252" s="1006"/>
      <c r="HJ252" s="996">
        <v>-0.83599999999999941</v>
      </c>
      <c r="HK252" s="1006" t="s">
        <v>199</v>
      </c>
      <c r="HL252" s="996">
        <v>-1.6720000000000006</v>
      </c>
      <c r="HM252" s="1006" t="s">
        <v>199</v>
      </c>
      <c r="HN252" s="996">
        <v>1.6720000000000006</v>
      </c>
      <c r="HO252" s="1006" t="s">
        <v>203</v>
      </c>
      <c r="HP252" s="996">
        <v>-2.0481999999999996</v>
      </c>
      <c r="HQ252" s="1006"/>
      <c r="HR252" s="996">
        <v>-9.9066000000000543E-2</v>
      </c>
      <c r="HS252" s="1006"/>
      <c r="HT252" s="996">
        <v>0</v>
      </c>
      <c r="HU252" s="1006" t="s">
        <v>25</v>
      </c>
      <c r="HV252" s="996">
        <v>3.1680219999999997</v>
      </c>
      <c r="HW252" s="1006" t="s">
        <v>199</v>
      </c>
      <c r="HX252" s="996">
        <v>-4.2811560000000002</v>
      </c>
      <c r="HY252" s="1006"/>
      <c r="HZ252" s="996">
        <v>0</v>
      </c>
      <c r="IA252" s="1006"/>
      <c r="IB252" s="996">
        <v>0</v>
      </c>
      <c r="IC252" s="1006" t="s">
        <v>199</v>
      </c>
      <c r="ID252" s="996">
        <v>1.2122000000000011</v>
      </c>
      <c r="IE252" s="1006"/>
      <c r="IF252" s="996">
        <v>0</v>
      </c>
      <c r="IG252" s="1006"/>
      <c r="IH252" s="996">
        <v>0</v>
      </c>
      <c r="II252" s="1006" t="s">
        <v>199</v>
      </c>
      <c r="IJ252" s="996">
        <v>4.1381999999999994</v>
      </c>
      <c r="IK252" s="1006" t="s">
        <v>199</v>
      </c>
      <c r="IL252" s="996">
        <v>-1.5048000000000004</v>
      </c>
      <c r="IM252" s="1006"/>
      <c r="IN252" s="996">
        <v>-8.7759935999999428E-2</v>
      </c>
      <c r="IO252" s="1006"/>
      <c r="IP252" s="996">
        <v>-0.49744006400000007</v>
      </c>
      <c r="IQ252" s="1006"/>
      <c r="IR252" s="996">
        <v>0</v>
      </c>
      <c r="IS252" s="1006" t="s">
        <v>204</v>
      </c>
      <c r="IT252" s="996">
        <v>3.3439999999999994</v>
      </c>
      <c r="IU252" s="1006"/>
      <c r="IV252" s="996">
        <v>0</v>
      </c>
      <c r="IW252" s="1006" t="s">
        <v>204</v>
      </c>
      <c r="IX252" s="996">
        <v>-3.7678386239999995</v>
      </c>
      <c r="IY252" s="1006" t="s">
        <v>204</v>
      </c>
      <c r="IZ252" s="996">
        <v>2.5238288240000006</v>
      </c>
      <c r="JA252" s="1006"/>
      <c r="JB252" s="996">
        <v>0</v>
      </c>
      <c r="JC252" s="1006" t="s">
        <v>199</v>
      </c>
      <c r="JD252" s="996">
        <v>-4.7041937360000006</v>
      </c>
      <c r="JE252" s="1006"/>
      <c r="JF252" s="996">
        <v>0</v>
      </c>
      <c r="JG252" s="1006"/>
      <c r="JH252" s="996">
        <v>0</v>
      </c>
      <c r="JI252" s="1006" t="s">
        <v>199</v>
      </c>
      <c r="JJ252" s="996">
        <v>3.947906336</v>
      </c>
      <c r="JK252" s="1007" t="s">
        <v>199</v>
      </c>
      <c r="JL252" s="1007">
        <v>-3.0157028000000006</v>
      </c>
      <c r="JM252" s="1007" t="s">
        <v>204</v>
      </c>
      <c r="JN252" s="1007">
        <v>3.5112000000000005</v>
      </c>
      <c r="JO252" s="1008"/>
      <c r="JP252" s="1007">
        <v>0.68614532800000028</v>
      </c>
      <c r="JQ252" s="1008" t="s">
        <v>204</v>
      </c>
      <c r="JR252" s="1007">
        <v>-3.7124653280000004</v>
      </c>
      <c r="JS252" s="1008">
        <v>0</v>
      </c>
      <c r="JT252" s="1007">
        <v>0</v>
      </c>
      <c r="JU252" s="1008"/>
      <c r="JV252" s="1007">
        <v>0</v>
      </c>
      <c r="JW252" s="1008" t="s">
        <v>197</v>
      </c>
      <c r="JX252" s="1007">
        <v>0</v>
      </c>
      <c r="JY252" s="1008"/>
      <c r="JZ252" s="1007">
        <v>0</v>
      </c>
      <c r="KA252" s="1008"/>
      <c r="KB252" s="1007">
        <v>0</v>
      </c>
      <c r="KC252" s="1008"/>
      <c r="KD252" s="1007">
        <v>0</v>
      </c>
      <c r="KE252" s="1008"/>
      <c r="KF252" s="1007">
        <v>0</v>
      </c>
      <c r="KG252" s="1008"/>
      <c r="KH252" s="1007">
        <v>0</v>
      </c>
      <c r="KI252" s="1008" t="s">
        <v>207</v>
      </c>
      <c r="KJ252" s="1007">
        <v>-2.9928799999999995</v>
      </c>
      <c r="KK252" s="1008"/>
      <c r="KL252" s="1007">
        <v>0</v>
      </c>
      <c r="KM252" s="1008" t="s">
        <v>203</v>
      </c>
      <c r="KN252" s="1007">
        <v>-5.4381799999999991</v>
      </c>
      <c r="KO252" s="1008" t="s">
        <v>25</v>
      </c>
      <c r="KP252" s="1007">
        <v>8.8474715999999987</v>
      </c>
      <c r="KQ252" s="1008" t="s">
        <v>240</v>
      </c>
      <c r="KR252" s="1007">
        <v>-2.3407816080000003</v>
      </c>
      <c r="KS252" s="1008">
        <v>0</v>
      </c>
      <c r="KT252" s="1007">
        <v>0</v>
      </c>
      <c r="KU252" s="1008" t="s">
        <v>206</v>
      </c>
      <c r="KV252" s="1007">
        <v>-3.9945099919999993</v>
      </c>
      <c r="KW252" s="1008">
        <v>0</v>
      </c>
      <c r="KX252" s="1007">
        <v>0</v>
      </c>
      <c r="KY252" s="1008" t="s">
        <v>206</v>
      </c>
      <c r="KZ252" s="1007">
        <v>-10.450000000000001</v>
      </c>
      <c r="LA252" s="1008" t="s">
        <v>206</v>
      </c>
      <c r="LB252" s="1007">
        <v>11.704000000000001</v>
      </c>
      <c r="LC252" s="1008">
        <v>0</v>
      </c>
      <c r="LD252" s="1007">
        <v>0</v>
      </c>
      <c r="LE252" s="1008">
        <v>0</v>
      </c>
      <c r="LF252" s="1007">
        <v>0</v>
      </c>
      <c r="LG252" s="1008" t="s">
        <v>203</v>
      </c>
      <c r="LH252" s="1007">
        <v>-4.8655200000000001</v>
      </c>
      <c r="LI252" s="1008" t="s">
        <v>25</v>
      </c>
      <c r="LJ252" s="1007">
        <v>4.6314399999999996</v>
      </c>
      <c r="LK252" s="1008">
        <v>0</v>
      </c>
      <c r="LL252" s="1007">
        <v>0</v>
      </c>
      <c r="LM252" s="1008">
        <v>0</v>
      </c>
      <c r="LN252" s="1007">
        <v>0</v>
      </c>
      <c r="LO252" s="1008">
        <v>0</v>
      </c>
      <c r="LP252" s="1007">
        <v>0</v>
      </c>
      <c r="LQ252" s="1008">
        <v>0</v>
      </c>
      <c r="LR252" s="1007">
        <v>0</v>
      </c>
      <c r="LS252" s="1008">
        <v>0</v>
      </c>
      <c r="LT252" s="1007">
        <v>-2.4767999999999999</v>
      </c>
      <c r="LU252" s="1008">
        <v>0</v>
      </c>
      <c r="LV252" s="1007">
        <v>5.56128</v>
      </c>
      <c r="LW252" s="1008" t="s">
        <v>206</v>
      </c>
      <c r="LX252" s="1007">
        <v>2.4767999999999999</v>
      </c>
      <c r="LY252" s="1009">
        <v>0</v>
      </c>
      <c r="LZ252" s="1010">
        <v>0</v>
      </c>
      <c r="MA252" s="1011">
        <v>0</v>
      </c>
      <c r="MB252" s="1012">
        <v>0</v>
      </c>
      <c r="MC252" s="995"/>
      <c r="MD252" s="996"/>
      <c r="ME252" s="997" t="s">
        <v>220</v>
      </c>
      <c r="MF252" s="997"/>
      <c r="MG252" s="998"/>
      <c r="NR252" s="1000"/>
      <c r="NS252" s="1000"/>
      <c r="NT252" s="1001"/>
      <c r="NU252" s="1000"/>
      <c r="NV252" s="1001"/>
      <c r="NX252" s="1002"/>
      <c r="NZ252" s="1001"/>
      <c r="OA252" s="1001"/>
      <c r="OC252" s="1003"/>
      <c r="OD252" s="1003"/>
      <c r="OE252" s="1001"/>
      <c r="OF252" s="1003"/>
      <c r="OG252" s="1003"/>
      <c r="QX252" s="1000">
        <f>CN252-CA252</f>
        <v>21</v>
      </c>
      <c r="ASU252" s="999" t="s">
        <v>208</v>
      </c>
    </row>
    <row r="253" spans="1:466 1191:1191" ht="21" customHeight="1" x14ac:dyDescent="0.25">
      <c r="A253" s="982">
        <f t="shared" si="163"/>
        <v>1148</v>
      </c>
      <c r="B253" s="124">
        <f>SUBTOTAL(103,$J$29:J253)</f>
        <v>225</v>
      </c>
      <c r="C253" s="126">
        <v>45096</v>
      </c>
      <c r="D253" s="124" t="s">
        <v>176</v>
      </c>
      <c r="E253" s="127" t="s">
        <v>177</v>
      </c>
      <c r="F253" s="128" t="s">
        <v>177</v>
      </c>
      <c r="G253" s="127" t="s">
        <v>178</v>
      </c>
      <c r="H253" s="127" t="s">
        <v>421</v>
      </c>
      <c r="I253" s="127" t="s">
        <v>1153</v>
      </c>
      <c r="J253" s="152">
        <v>1148</v>
      </c>
      <c r="K253" s="127" t="s">
        <v>1154</v>
      </c>
      <c r="L253" s="130">
        <v>41768</v>
      </c>
      <c r="M253" s="127" t="s">
        <v>230</v>
      </c>
      <c r="N253" s="127" t="s">
        <v>231</v>
      </c>
      <c r="O253" s="127" t="s">
        <v>185</v>
      </c>
      <c r="P253" s="127" t="s">
        <v>208</v>
      </c>
      <c r="Q253" s="85" t="str">
        <f t="shared" si="187"/>
        <v/>
      </c>
      <c r="R253" s="130"/>
      <c r="S253" s="128"/>
      <c r="T253" s="131"/>
      <c r="U253" s="132">
        <v>203</v>
      </c>
      <c r="V253" s="121">
        <v>218.2</v>
      </c>
      <c r="W253" s="116">
        <v>0.98</v>
      </c>
      <c r="X253" s="116">
        <v>1.66</v>
      </c>
      <c r="Y253" s="116">
        <f t="shared" si="191"/>
        <v>0.98403097023953534</v>
      </c>
      <c r="Z253" s="133">
        <v>1.454</v>
      </c>
      <c r="AA253" s="133">
        <v>0.83599999999999997</v>
      </c>
      <c r="AB253" s="133">
        <v>0.72</v>
      </c>
      <c r="AC253" s="121">
        <v>34.299999999999997</v>
      </c>
      <c r="AD253" s="134">
        <v>1.17</v>
      </c>
      <c r="AE253" s="124">
        <v>177.8</v>
      </c>
      <c r="AF253" s="128">
        <v>8.0500000000000007</v>
      </c>
      <c r="AG253" s="128">
        <v>2104</v>
      </c>
      <c r="AH253" s="127">
        <v>2593</v>
      </c>
      <c r="AI253" s="127">
        <v>2593</v>
      </c>
      <c r="AJ253" s="135"/>
      <c r="AK253" s="128"/>
      <c r="AL253" s="131"/>
      <c r="AM253" s="124" t="s">
        <v>232</v>
      </c>
      <c r="AN253" s="136" t="s">
        <v>1155</v>
      </c>
      <c r="AO253" s="137">
        <v>64.13</v>
      </c>
      <c r="AP253" s="128">
        <v>2104</v>
      </c>
      <c r="AQ253" s="128">
        <v>122.75</v>
      </c>
      <c r="AR253" s="128"/>
      <c r="AS253" s="128"/>
      <c r="AT253" s="122"/>
      <c r="AU253" s="124" t="s">
        <v>189</v>
      </c>
      <c r="AV253" s="115">
        <f>VLOOKUP(J253,'[63]ТР нефть'!$J$28:$BP$638,39,0)</f>
        <v>449.999992969</v>
      </c>
      <c r="AW253" s="115" t="str">
        <f>VLOOKUP(J253,'[63]ТР нефть'!$J$28:$BP$638,40,0)</f>
        <v>ГП</v>
      </c>
      <c r="AX253" s="115">
        <f>VLOOKUP(J253,'[63]ТР нефть'!$J$28:$BP$638,41,0)</f>
        <v>790.00000253899998</v>
      </c>
      <c r="AY253" s="115" t="str">
        <f>VLOOKUP(J253,'[63]ТР нефть'!$J$28:$BP$638,42,0)</f>
        <v>ГП</v>
      </c>
      <c r="AZ253" s="115">
        <f>VLOOKUP(J253,'[63]ТР нефть'!$J$28:$BP$638,43,0)</f>
        <v>1070.00002793</v>
      </c>
      <c r="BA253" s="115" t="str">
        <f>VLOOKUP(J253,'[63]ТР нефть'!$J$28:$BP$638,44,0)</f>
        <v>ГП</v>
      </c>
      <c r="BB253" s="115">
        <f>VLOOKUP(J253,'[63]ТР нефть'!$J$28:$BP$638,45,0)</f>
        <v>1299.9999796879999</v>
      </c>
      <c r="BC253" s="115" t="str">
        <f>VLOOKUP(J253,'[63]ТР нефть'!$J$28:$BP$638,46,0)</f>
        <v>ГК 100/1</v>
      </c>
      <c r="BD253" s="115">
        <f>VLOOKUP(J253,'[63]ТР нефть'!$J$28:$BP$638,47,0)</f>
        <v>1499.999976563</v>
      </c>
      <c r="BE253" s="115" t="str">
        <f>VLOOKUP(J253,'[63]ТР нефть'!$J$28:$BP$638,48,0)</f>
        <v>ЦКсОК 5/16</v>
      </c>
      <c r="BF253" s="115" t="str">
        <f>VLOOKUP(J253,'[63]ТР нефть'!$J$28:$BP$638,49,0)</f>
        <v>-</v>
      </c>
      <c r="BG253" s="115" t="str">
        <f>VLOOKUP(J253,'[63]ТР нефть'!$J$28:$BP$638,50,0)</f>
        <v>-</v>
      </c>
      <c r="BH253" s="115">
        <f>VLOOKUP(J253,'[63]ТР нефть'!$J$28:$BP$638,51,0)</f>
        <v>1520</v>
      </c>
      <c r="BI253" s="115" t="str">
        <f>VLOOKUP(J253,'[63]ТР нефть'!$J$28:$BP$638,52,0)</f>
        <v>закрыт</v>
      </c>
      <c r="BJ253" s="115" t="str">
        <f>IF(IFERROR(VLOOKUP(J253,'[63]ТР нефть'!$J$28:$BP$638,53,0),"-")=0,"-",IFERROR(VLOOKUP(J253,'[63]ТР нефть'!$J$28:$BP$638,53,0),"-"))</f>
        <v>-</v>
      </c>
      <c r="BK253" s="138" t="str">
        <f>IF(IFERROR(VLOOKUP(J253,'[63]ТР нефть'!$J$28:$BP$638,54,0),"-")=0,"-",IFERROR(VLOOKUP(J253,'[63]ТР нефть'!$J$28:$BP$638,54,0),"-"))</f>
        <v>-</v>
      </c>
      <c r="BL253" s="138" t="str">
        <f>IF(IFERROR(VLOOKUP(J253,'[63]ТР нефть'!$J$28:$BP$638,55,0),"-")=0,"-",IFERROR(VLOOKUP(J253,'[63]ТР нефть'!$J$28:$BP$638,55,0),"-"))</f>
        <v>-</v>
      </c>
      <c r="BM253" s="138" t="str">
        <f>IF(IFERROR(VLOOKUP(J253,'[63]ТР нефть'!$J$28:$BP$638,56,0),"-")=0,"-",IFERROR(VLOOKUP(J253,'[63]ТР нефть'!$J$28:$BP$638,56,0),"-"))</f>
        <v>-</v>
      </c>
      <c r="BN253" s="138" t="str">
        <f>IF(IFERROR(VLOOKUP(J253,'[63]ТР нефть'!$J$28:$BP$638,57,0),"-")=0,"-",IFERROR(VLOOKUP(J253,'[63]ТР нефть'!$J$28:$BP$638,57,0),"-"))</f>
        <v>-</v>
      </c>
      <c r="BO253" s="115" t="str">
        <f>IF(IFERROR(VLOOKUP(J253,'[63]ТР нефть'!$J$28:$BP$638,58,0),"-")=0,"-",IFERROR(VLOOKUP(J253,'[63]ТР нефть'!$J$28:$BP$638,58,0),"-"))</f>
        <v>-</v>
      </c>
      <c r="BP253" s="115" t="str">
        <f>IF(IFERROR(VLOOKUP(J253,'[63]ТР нефть'!$J$28:$BP$638,59,0),"-")=0,"-",IFERROR(VLOOKUP(J253,'[63]ТР нефть'!$J$28:$BP$638,59,0),"-"))</f>
        <v>-</v>
      </c>
      <c r="BQ253" s="138">
        <v>1550</v>
      </c>
      <c r="BR253" s="128">
        <v>1541.86</v>
      </c>
      <c r="BS253" s="115">
        <f t="shared" si="164"/>
        <v>8.1400000000001</v>
      </c>
      <c r="BT253" s="128">
        <v>73</v>
      </c>
      <c r="BU253" s="128">
        <v>5.5</v>
      </c>
      <c r="BV253" s="127">
        <v>65</v>
      </c>
      <c r="BW253" s="127" t="s">
        <v>217</v>
      </c>
      <c r="BX253" s="127" t="s">
        <v>195</v>
      </c>
      <c r="BY253" s="139">
        <v>24</v>
      </c>
      <c r="BZ253" s="139">
        <v>0</v>
      </c>
      <c r="CA253" s="138">
        <v>28</v>
      </c>
      <c r="CB253" s="138">
        <v>37</v>
      </c>
      <c r="CC253" s="138">
        <v>27</v>
      </c>
      <c r="CD253" s="135">
        <v>45017</v>
      </c>
      <c r="CE253" s="138">
        <v>107</v>
      </c>
      <c r="CF253" s="138">
        <v>82</v>
      </c>
      <c r="CG253" s="138" t="str">
        <f t="shared" si="202"/>
        <v>В работе</v>
      </c>
      <c r="CH253" s="138" t="s">
        <v>235</v>
      </c>
      <c r="CI253" s="127">
        <v>6</v>
      </c>
      <c r="CJ253" s="138"/>
      <c r="CK253" s="138"/>
      <c r="CL253" s="99"/>
      <c r="CM253" s="99"/>
      <c r="CN253" s="140">
        <v>45</v>
      </c>
      <c r="CO253" s="141">
        <f t="shared" si="165"/>
        <v>4.1382000000000003</v>
      </c>
      <c r="CP253" s="142">
        <v>5</v>
      </c>
      <c r="CQ253" s="143">
        <v>1</v>
      </c>
      <c r="CR253" s="138">
        <v>25</v>
      </c>
      <c r="CS253" s="139">
        <v>12</v>
      </c>
      <c r="CT253" s="138"/>
      <c r="CU253" s="138">
        <f t="shared" si="188"/>
        <v>13</v>
      </c>
      <c r="CV253" s="115">
        <f t="shared" si="189"/>
        <v>3141.4624716060121</v>
      </c>
      <c r="CW253" s="115">
        <f t="shared" si="166"/>
        <v>2859.7983842139129</v>
      </c>
      <c r="CX253" s="133">
        <f t="shared" si="190"/>
        <v>8.0645161290322578E-2</v>
      </c>
      <c r="CY253" s="116"/>
      <c r="CZ253" s="131"/>
      <c r="DA253" s="145" t="str">
        <f t="shared" si="167"/>
        <v>Газлифт</v>
      </c>
      <c r="DB253" s="146">
        <f t="shared" si="168"/>
        <v>4.1382000000000003</v>
      </c>
      <c r="DC253" s="142">
        <f t="shared" si="203"/>
        <v>5</v>
      </c>
      <c r="DD253" s="119">
        <f t="shared" si="204"/>
        <v>1</v>
      </c>
      <c r="DE253" s="115">
        <f t="shared" si="169"/>
        <v>13</v>
      </c>
      <c r="DF253" s="121">
        <f t="shared" si="170"/>
        <v>12</v>
      </c>
      <c r="DG253" s="115">
        <f t="shared" si="171"/>
        <v>3141.4624716060121</v>
      </c>
      <c r="DH253" s="115">
        <f t="shared" si="172"/>
        <v>45</v>
      </c>
      <c r="DI253" s="147"/>
      <c r="DJ253" s="111">
        <v>43101</v>
      </c>
      <c r="DK253" s="112">
        <v>42461</v>
      </c>
      <c r="DL253" s="113">
        <f t="shared" ca="1" si="192"/>
        <v>2643</v>
      </c>
      <c r="DM253" s="114"/>
      <c r="DN253" s="114"/>
      <c r="DO253" s="114"/>
      <c r="DP253" s="114"/>
      <c r="DQ253" s="112">
        <v>42538</v>
      </c>
      <c r="DR253" s="114" t="s">
        <v>282</v>
      </c>
      <c r="DS253" s="114"/>
      <c r="DT253" s="115">
        <v>46</v>
      </c>
      <c r="DU253" s="116">
        <f t="shared" si="193"/>
        <v>8.1967213114754092E-2</v>
      </c>
      <c r="DV253" s="117">
        <f t="shared" si="194"/>
        <v>4.1382000000000003</v>
      </c>
      <c r="DW253" s="118">
        <f t="shared" si="195"/>
        <v>5</v>
      </c>
      <c r="DX253" s="119">
        <f t="shared" si="173"/>
        <v>1</v>
      </c>
      <c r="DY253" s="115">
        <f t="shared" si="196"/>
        <v>13</v>
      </c>
      <c r="DZ253" s="117">
        <f t="shared" si="197"/>
        <v>0</v>
      </c>
      <c r="EA253" s="120">
        <f t="shared" si="197"/>
        <v>0</v>
      </c>
      <c r="EB253" s="119">
        <f t="shared" si="197"/>
        <v>0</v>
      </c>
      <c r="EC253" s="121">
        <f t="shared" si="198"/>
        <v>0</v>
      </c>
      <c r="ED253" s="122"/>
      <c r="EE253" s="145">
        <v>65</v>
      </c>
      <c r="EF253" s="115">
        <v>28</v>
      </c>
      <c r="EG253" s="115">
        <v>37</v>
      </c>
      <c r="EH253" s="115">
        <v>27</v>
      </c>
      <c r="EI253" s="128" t="s">
        <v>195</v>
      </c>
      <c r="EJ253" s="121">
        <v>24</v>
      </c>
      <c r="EK253" s="121">
        <v>0</v>
      </c>
      <c r="EL253" s="149">
        <v>4.1382000000000003</v>
      </c>
      <c r="EM253" s="142">
        <v>5</v>
      </c>
      <c r="EN253" s="119">
        <v>1</v>
      </c>
      <c r="EO253" s="115">
        <v>25</v>
      </c>
      <c r="EP253" s="115">
        <v>3141.4624716060121</v>
      </c>
      <c r="EQ253" s="115">
        <v>82</v>
      </c>
      <c r="ER253" s="115">
        <v>12</v>
      </c>
      <c r="ES253" s="115">
        <v>45</v>
      </c>
      <c r="ET253" s="150">
        <v>8.0645161290322578E-2</v>
      </c>
      <c r="EU253" s="145">
        <f t="shared" si="174"/>
        <v>65</v>
      </c>
      <c r="EV253" s="115">
        <f t="shared" si="175"/>
        <v>28</v>
      </c>
      <c r="EW253" s="115">
        <f t="shared" si="175"/>
        <v>37</v>
      </c>
      <c r="EX253" s="115">
        <f t="shared" si="175"/>
        <v>27</v>
      </c>
      <c r="EY253" s="115" t="str">
        <f t="shared" si="156"/>
        <v>Постоянный</v>
      </c>
      <c r="EZ253" s="115">
        <f t="shared" si="156"/>
        <v>24</v>
      </c>
      <c r="FA253" s="115">
        <f t="shared" si="156"/>
        <v>0</v>
      </c>
      <c r="FB253" s="149">
        <f t="shared" si="176"/>
        <v>4.1382000000000003</v>
      </c>
      <c r="FC253" s="142">
        <f t="shared" si="176"/>
        <v>5</v>
      </c>
      <c r="FD253" s="119">
        <f t="shared" si="176"/>
        <v>1</v>
      </c>
      <c r="FE253" s="121">
        <f t="shared" si="176"/>
        <v>25</v>
      </c>
      <c r="FF253" s="121">
        <f t="shared" si="199"/>
        <v>3141.4624716060121</v>
      </c>
      <c r="FG253" s="121">
        <f t="shared" si="177"/>
        <v>82</v>
      </c>
      <c r="FH253" s="121">
        <f t="shared" si="200"/>
        <v>12</v>
      </c>
      <c r="FI253" s="121">
        <f t="shared" si="205"/>
        <v>45</v>
      </c>
      <c r="FJ253" s="144">
        <f t="shared" si="178"/>
        <v>8.0645161290322578E-2</v>
      </c>
      <c r="FK253" s="132">
        <f t="shared" si="179"/>
        <v>0</v>
      </c>
      <c r="FL253" s="115">
        <f t="shared" si="179"/>
        <v>0</v>
      </c>
      <c r="FM253" s="115">
        <f t="shared" si="179"/>
        <v>0</v>
      </c>
      <c r="FN253" s="115">
        <f t="shared" si="162"/>
        <v>0</v>
      </c>
      <c r="FO253" s="115">
        <f t="shared" si="201"/>
        <v>0</v>
      </c>
      <c r="FP253" s="115">
        <f t="shared" si="201"/>
        <v>0</v>
      </c>
      <c r="FQ253" s="149">
        <f t="shared" si="201"/>
        <v>0</v>
      </c>
      <c r="FR253" s="142">
        <f t="shared" si="201"/>
        <v>0</v>
      </c>
      <c r="FS253" s="119">
        <f t="shared" si="201"/>
        <v>0</v>
      </c>
      <c r="FT253" s="121">
        <f t="shared" si="201"/>
        <v>0</v>
      </c>
      <c r="FU253" s="121">
        <f t="shared" si="180"/>
        <v>0</v>
      </c>
      <c r="FV253" s="121">
        <f t="shared" si="180"/>
        <v>0</v>
      </c>
      <c r="FW253" s="121">
        <f t="shared" si="181"/>
        <v>0</v>
      </c>
      <c r="FX253" s="121">
        <f t="shared" si="182"/>
        <v>0</v>
      </c>
      <c r="FY253" s="144">
        <f t="shared" si="182"/>
        <v>0</v>
      </c>
      <c r="FZ253" s="145"/>
      <c r="GA253" s="151" t="s">
        <v>313</v>
      </c>
      <c r="GB253" s="145" t="s">
        <v>199</v>
      </c>
      <c r="GC253" s="151" t="s">
        <v>1156</v>
      </c>
      <c r="GD253" s="997" t="s">
        <v>238</v>
      </c>
      <c r="GE253" s="1004" t="s">
        <v>199</v>
      </c>
      <c r="GF253" s="1004">
        <v>-1.3766411999999999</v>
      </c>
      <c r="GG253" s="1004" t="s">
        <v>199</v>
      </c>
      <c r="GH253" s="1004">
        <v>-1.1698148000000002</v>
      </c>
      <c r="GI253" s="145"/>
      <c r="GJ253" s="996">
        <v>0</v>
      </c>
      <c r="GK253" s="145"/>
      <c r="GL253" s="996">
        <v>0</v>
      </c>
      <c r="GM253" s="1005" t="s">
        <v>199</v>
      </c>
      <c r="GN253" s="996">
        <v>-5.4373439999999995</v>
      </c>
      <c r="GO253" s="1006"/>
      <c r="GP253" s="996">
        <v>0</v>
      </c>
      <c r="GQ253" s="1006"/>
      <c r="GR253" s="996">
        <v>0</v>
      </c>
      <c r="GS253" s="1006"/>
      <c r="GT253" s="996">
        <v>0</v>
      </c>
      <c r="GU253" s="1006"/>
      <c r="GV253" s="996">
        <v>0</v>
      </c>
      <c r="GW253" s="1006"/>
      <c r="GX253" s="1049">
        <v>0</v>
      </c>
      <c r="GY253" s="1006"/>
      <c r="GZ253" s="996">
        <v>0</v>
      </c>
      <c r="HA253" s="1006" t="s">
        <v>199</v>
      </c>
      <c r="HB253" s="996">
        <v>-2.8928943999999994</v>
      </c>
      <c r="HC253" s="1006"/>
      <c r="HD253" s="996">
        <v>0</v>
      </c>
      <c r="HE253" s="1006" t="s">
        <v>199</v>
      </c>
      <c r="HF253" s="996">
        <v>2.2522341599999987</v>
      </c>
      <c r="HG253" s="1006" t="s">
        <v>199</v>
      </c>
      <c r="HH253" s="996">
        <v>-2.0854020000000002</v>
      </c>
      <c r="HI253" s="1006"/>
      <c r="HJ253" s="996">
        <v>0.50967224880000117</v>
      </c>
      <c r="HK253" s="1006"/>
      <c r="HL253" s="996">
        <v>0.78995027759999914</v>
      </c>
      <c r="HM253" s="1006" t="s">
        <v>204</v>
      </c>
      <c r="HN253" s="996">
        <v>2.9545975536000011</v>
      </c>
      <c r="HO253" s="1006"/>
      <c r="HP253" s="996">
        <v>0</v>
      </c>
      <c r="HQ253" s="1006"/>
      <c r="HR253" s="996">
        <v>0</v>
      </c>
      <c r="HS253" s="1006"/>
      <c r="HT253" s="996">
        <v>0</v>
      </c>
      <c r="HU253" s="1006"/>
      <c r="HV253" s="996">
        <v>0</v>
      </c>
      <c r="HW253" s="1006" t="s">
        <v>203</v>
      </c>
      <c r="HX253" s="996">
        <v>-4.7061578400000013</v>
      </c>
      <c r="HY253" s="1006"/>
      <c r="HZ253" s="996">
        <v>0</v>
      </c>
      <c r="IA253" s="1006"/>
      <c r="IB253" s="996">
        <v>0.91757688000000037</v>
      </c>
      <c r="IC253" s="1006"/>
      <c r="ID253" s="996">
        <v>0.83416079999999759</v>
      </c>
      <c r="IE253" s="1006"/>
      <c r="IF253" s="996">
        <v>0.66732863999999914</v>
      </c>
      <c r="IG253" s="1006" t="s">
        <v>204</v>
      </c>
      <c r="IH253" s="996">
        <v>-2.3356502399999979</v>
      </c>
      <c r="II253" s="1006"/>
      <c r="IJ253" s="996">
        <v>0.41708039999999968</v>
      </c>
      <c r="IK253" s="1006"/>
      <c r="IL253" s="996">
        <v>0</v>
      </c>
      <c r="IM253" s="1006"/>
      <c r="IN253" s="996">
        <v>-0.50049647999999891</v>
      </c>
      <c r="IO253" s="1006"/>
      <c r="IP253" s="996">
        <v>0</v>
      </c>
      <c r="IQ253" s="1006"/>
      <c r="IR253" s="996">
        <v>0</v>
      </c>
      <c r="IS253" s="1006"/>
      <c r="IT253" s="996">
        <v>0</v>
      </c>
      <c r="IU253" s="1006"/>
      <c r="IV253" s="996">
        <v>0</v>
      </c>
      <c r="IW253" s="1006"/>
      <c r="IX253" s="996">
        <v>0</v>
      </c>
      <c r="IY253" s="1006"/>
      <c r="IZ253" s="996">
        <v>0</v>
      </c>
      <c r="JA253" s="1006"/>
      <c r="JB253" s="996">
        <v>0</v>
      </c>
      <c r="JC253" s="1006" t="s">
        <v>199</v>
      </c>
      <c r="JD253" s="996">
        <v>4.9875592799999993</v>
      </c>
      <c r="JE253" s="1006" t="s">
        <v>199</v>
      </c>
      <c r="JF253" s="996">
        <v>-4.9405593600000017</v>
      </c>
      <c r="JG253" s="1006"/>
      <c r="JH253" s="996">
        <v>0</v>
      </c>
      <c r="JI253" s="1006" t="s">
        <v>223</v>
      </c>
      <c r="JJ253" s="996">
        <v>5.9356000000000027</v>
      </c>
      <c r="JK253" s="1007"/>
      <c r="JL253" s="1007">
        <v>0</v>
      </c>
      <c r="JM253" s="1007"/>
      <c r="JN253" s="1007">
        <v>0</v>
      </c>
      <c r="JO253" s="1008" t="s">
        <v>223</v>
      </c>
      <c r="JP253" s="1007">
        <v>-6.9388000000000023</v>
      </c>
      <c r="JQ253" s="1008">
        <v>0</v>
      </c>
      <c r="JR253" s="1007">
        <v>0</v>
      </c>
      <c r="JS253" s="1008">
        <v>0</v>
      </c>
      <c r="JT253" s="1007">
        <v>0</v>
      </c>
      <c r="JU253" s="1008"/>
      <c r="JV253" s="1007">
        <v>0</v>
      </c>
      <c r="JW253" s="1008" t="s">
        <v>197</v>
      </c>
      <c r="JX253" s="1007">
        <v>0</v>
      </c>
      <c r="JY253" s="1008"/>
      <c r="JZ253" s="1007">
        <v>0</v>
      </c>
      <c r="KA253" s="1008" t="s">
        <v>204</v>
      </c>
      <c r="KB253" s="1007">
        <v>-2.5665885519999989</v>
      </c>
      <c r="KC253" s="1008"/>
      <c r="KD253" s="1007">
        <v>0</v>
      </c>
      <c r="KE253" s="1008" t="s">
        <v>199</v>
      </c>
      <c r="KF253" s="1007">
        <v>-1.6134114480000008</v>
      </c>
      <c r="KG253" s="1008"/>
      <c r="KH253" s="1007">
        <v>0</v>
      </c>
      <c r="KI253" s="1008"/>
      <c r="KJ253" s="1007">
        <v>0</v>
      </c>
      <c r="KK253" s="1008"/>
      <c r="KL253" s="1007">
        <v>0</v>
      </c>
      <c r="KM253" s="1008"/>
      <c r="KN253" s="1007">
        <v>0</v>
      </c>
      <c r="KO253" s="1008"/>
      <c r="KP253" s="1007">
        <v>0</v>
      </c>
      <c r="KQ253" s="1008" t="s">
        <v>240</v>
      </c>
      <c r="KR253" s="1007">
        <v>-1.3375999999999983</v>
      </c>
      <c r="KS253" s="1008">
        <v>0</v>
      </c>
      <c r="KT253" s="1007">
        <v>0</v>
      </c>
      <c r="KU253" s="1008">
        <v>0</v>
      </c>
      <c r="KV253" s="1007">
        <v>0</v>
      </c>
      <c r="KW253" s="1008">
        <v>0</v>
      </c>
      <c r="KX253" s="1007">
        <v>0</v>
      </c>
      <c r="KY253" s="1008" t="s">
        <v>206</v>
      </c>
      <c r="KZ253" s="1007">
        <v>3.4275999999999982</v>
      </c>
      <c r="LA253" s="1008" t="s">
        <v>555</v>
      </c>
      <c r="LB253" s="1007">
        <v>-2.0247919999999979</v>
      </c>
      <c r="LC253" s="1008">
        <v>0</v>
      </c>
      <c r="LD253" s="1007">
        <v>0</v>
      </c>
      <c r="LE253" s="1008" t="s">
        <v>223</v>
      </c>
      <c r="LF253" s="1007">
        <v>-11.668888000000003</v>
      </c>
      <c r="LG253" s="1008">
        <v>0</v>
      </c>
      <c r="LH253" s="1007">
        <v>0</v>
      </c>
      <c r="LI253" s="1008" t="s">
        <v>199</v>
      </c>
      <c r="LJ253" s="1007">
        <v>12.502380000000002</v>
      </c>
      <c r="LK253" s="1008">
        <v>0</v>
      </c>
      <c r="LL253" s="1007">
        <v>0</v>
      </c>
      <c r="LM253" s="1008" t="s">
        <v>240</v>
      </c>
      <c r="LN253" s="1007">
        <v>-3.3339699999999999</v>
      </c>
      <c r="LO253" s="1008">
        <v>0</v>
      </c>
      <c r="LP253" s="1007">
        <v>-0.83349200000000001</v>
      </c>
      <c r="LQ253" s="1008">
        <v>0</v>
      </c>
      <c r="LR253" s="1007">
        <v>0</v>
      </c>
      <c r="LS253" s="1008">
        <v>0</v>
      </c>
      <c r="LT253" s="1007">
        <v>0</v>
      </c>
      <c r="LU253" s="1008">
        <v>0</v>
      </c>
      <c r="LV253" s="1007">
        <v>0</v>
      </c>
      <c r="LW253" s="1008" t="s">
        <v>206</v>
      </c>
      <c r="LX253" s="1007">
        <v>1.6669839999999994</v>
      </c>
      <c r="LY253" s="1009">
        <v>0</v>
      </c>
      <c r="LZ253" s="1010">
        <v>0.83349200000000001</v>
      </c>
      <c r="MA253" s="1011" t="s">
        <v>223</v>
      </c>
      <c r="MB253" s="1012">
        <v>-6.667936000000001</v>
      </c>
      <c r="MC253" s="995"/>
      <c r="MD253" s="996"/>
      <c r="ME253" s="997" t="s">
        <v>238</v>
      </c>
      <c r="MF253" s="997"/>
      <c r="MG253" s="998"/>
      <c r="NR253" s="1000"/>
      <c r="NS253" s="1000"/>
      <c r="NT253" s="1001"/>
      <c r="NU253" s="1000"/>
      <c r="NV253" s="1001"/>
      <c r="NX253" s="1002"/>
      <c r="NZ253" s="1001"/>
      <c r="OA253" s="1001"/>
      <c r="OC253" s="1003"/>
      <c r="OD253" s="1003"/>
      <c r="OE253" s="1001"/>
      <c r="OF253" s="1003"/>
      <c r="OG253" s="1003"/>
      <c r="QX253" s="1000">
        <f>CN253-CA253</f>
        <v>17</v>
      </c>
      <c r="ASU253" s="999" t="s">
        <v>208</v>
      </c>
    </row>
    <row r="254" spans="1:466 1191:1191" ht="21" customHeight="1" x14ac:dyDescent="0.25">
      <c r="A254" s="982">
        <f t="shared" si="163"/>
        <v>1151</v>
      </c>
      <c r="B254" s="124">
        <f>SUBTOTAL(103,$J$29:J254)</f>
        <v>226</v>
      </c>
      <c r="C254" s="126">
        <v>45068</v>
      </c>
      <c r="D254" s="124" t="s">
        <v>176</v>
      </c>
      <c r="E254" s="127" t="s">
        <v>177</v>
      </c>
      <c r="F254" s="128" t="s">
        <v>177</v>
      </c>
      <c r="G254" s="127" t="s">
        <v>178</v>
      </c>
      <c r="H254" s="127" t="s">
        <v>179</v>
      </c>
      <c r="I254" s="127" t="s">
        <v>1031</v>
      </c>
      <c r="J254" s="152">
        <v>1151</v>
      </c>
      <c r="K254" s="127" t="s">
        <v>1031</v>
      </c>
      <c r="L254" s="130">
        <v>42277</v>
      </c>
      <c r="M254" s="127" t="s">
        <v>230</v>
      </c>
      <c r="N254" s="127" t="s">
        <v>184</v>
      </c>
      <c r="O254" s="127" t="s">
        <v>185</v>
      </c>
      <c r="P254" s="127" t="s">
        <v>292</v>
      </c>
      <c r="Q254" s="85" t="str">
        <f t="shared" si="187"/>
        <v/>
      </c>
      <c r="R254" s="130"/>
      <c r="S254" s="128"/>
      <c r="T254" s="131"/>
      <c r="U254" s="132">
        <v>203</v>
      </c>
      <c r="V254" s="121">
        <v>218.2</v>
      </c>
      <c r="W254" s="116">
        <v>0.98</v>
      </c>
      <c r="X254" s="116">
        <v>1.66</v>
      </c>
      <c r="Y254" s="116">
        <f t="shared" si="191"/>
        <v>0.98</v>
      </c>
      <c r="Z254" s="133">
        <v>1.454</v>
      </c>
      <c r="AA254" s="133">
        <v>0.83599999999999997</v>
      </c>
      <c r="AB254" s="133">
        <v>0.72</v>
      </c>
      <c r="AC254" s="121">
        <v>34.299999999999997</v>
      </c>
      <c r="AD254" s="134">
        <v>1.17</v>
      </c>
      <c r="AE254" s="124">
        <v>177.8</v>
      </c>
      <c r="AF254" s="128">
        <v>9.19</v>
      </c>
      <c r="AG254" s="128">
        <v>2155</v>
      </c>
      <c r="AH254" s="127">
        <v>2930</v>
      </c>
      <c r="AI254" s="127">
        <v>2930</v>
      </c>
      <c r="AJ254" s="135"/>
      <c r="AK254" s="128"/>
      <c r="AL254" s="131"/>
      <c r="AM254" s="124" t="s">
        <v>232</v>
      </c>
      <c r="AN254" s="136" t="s">
        <v>1157</v>
      </c>
      <c r="AO254" s="137">
        <v>14.67</v>
      </c>
      <c r="AP254" s="128">
        <v>2905</v>
      </c>
      <c r="AQ254" s="128">
        <v>540.41</v>
      </c>
      <c r="AR254" s="128" t="s">
        <v>1158</v>
      </c>
      <c r="AS254" s="128">
        <v>114</v>
      </c>
      <c r="AT254" s="122">
        <v>101.2</v>
      </c>
      <c r="AU254" s="124" t="s">
        <v>189</v>
      </c>
      <c r="AV254" s="115">
        <f>VLOOKUP(J254,'[63]ТР нефть'!$J$28:$BP$638,39,0)</f>
        <v>485.99999091799998</v>
      </c>
      <c r="AW254" s="115" t="str">
        <f>VLOOKUP(J254,'[63]ТР нефть'!$J$28:$BP$638,40,0)</f>
        <v>ГП</v>
      </c>
      <c r="AX254" s="115">
        <f>VLOOKUP(J254,'[63]ТР нефть'!$J$28:$BP$638,41,0)</f>
        <v>931.999967578</v>
      </c>
      <c r="AY254" s="115" t="str">
        <f>VLOOKUP(J254,'[63]ТР нефть'!$J$28:$BP$638,42,0)</f>
        <v>ГК 78 1/8</v>
      </c>
      <c r="AZ254" s="115">
        <f>VLOOKUP(J254,'[63]ТР нефть'!$J$28:$BP$638,43,0)</f>
        <v>1303.0000570310001</v>
      </c>
      <c r="BA254" s="115" t="str">
        <f>VLOOKUP(J254,'[63]ТР нефть'!$J$28:$BP$638,44,0)</f>
        <v>ГК 76 1/8</v>
      </c>
      <c r="BB254" s="115">
        <f>VLOOKUP(J254,'[63]ТР нефть'!$J$28:$BP$638,45,0)</f>
        <v>1567.999993359</v>
      </c>
      <c r="BC254" s="115" t="str">
        <f>VLOOKUP(J254,'[63]ТР нефть'!$J$28:$BP$638,46,0)</f>
        <v>ГК 75 1/8</v>
      </c>
      <c r="BD254" s="115">
        <f>VLOOKUP(J254,'[63]ТР нефть'!$J$28:$BP$638,47,0)</f>
        <v>1761.9999843749999</v>
      </c>
      <c r="BE254" s="115" t="str">
        <f>VLOOKUP(J254,'[63]ТР нефть'!$J$28:$BP$638,48,0)</f>
        <v>ЦКсОК 5/16</v>
      </c>
      <c r="BF254" s="115" t="str">
        <f>VLOOKUP(J254,'[63]ТР нефть'!$J$28:$BP$638,49,0)</f>
        <v>-</v>
      </c>
      <c r="BG254" s="115" t="str">
        <f>VLOOKUP(J254,'[63]ТР нефть'!$J$28:$BP$638,50,0)</f>
        <v>-</v>
      </c>
      <c r="BH254" s="115">
        <f>VLOOKUP(J254,'[63]ТР нефть'!$J$28:$BP$638,51,0)</f>
        <v>1790</v>
      </c>
      <c r="BI254" s="115" t="str">
        <f>VLOOKUP(J254,'[63]ТР нефть'!$J$28:$BP$638,52,0)</f>
        <v>открыт</v>
      </c>
      <c r="BJ254" s="115" t="str">
        <f>IF(IFERROR(VLOOKUP(J254,'[63]ТР нефть'!$J$28:$BP$638,53,0),"-")=0,"-",IFERROR(VLOOKUP(J254,'[63]ТР нефть'!$J$28:$BP$638,53,0),"-"))</f>
        <v>-</v>
      </c>
      <c r="BK254" s="138" t="str">
        <f>IF(IFERROR(VLOOKUP(J254,'[63]ТР нефть'!$J$28:$BP$638,54,0),"-")=0,"-",IFERROR(VLOOKUP(J254,'[63]ТР нефть'!$J$28:$BP$638,54,0),"-"))</f>
        <v>-</v>
      </c>
      <c r="BL254" s="138" t="str">
        <f>IF(IFERROR(VLOOKUP(J254,'[63]ТР нефть'!$J$28:$BP$638,55,0),"-")=0,"-",IFERROR(VLOOKUP(J254,'[63]ТР нефть'!$J$28:$BP$638,55,0),"-"))</f>
        <v>-</v>
      </c>
      <c r="BM254" s="138" t="str">
        <f>IF(IFERROR(VLOOKUP(J254,'[63]ТР нефть'!$J$28:$BP$638,56,0),"-")=0,"-",IFERROR(VLOOKUP(J254,'[63]ТР нефть'!$J$28:$BP$638,56,0),"-"))</f>
        <v>-</v>
      </c>
      <c r="BN254" s="138" t="str">
        <f>IF(IFERROR(VLOOKUP(J254,'[63]ТР нефть'!$J$28:$BP$638,57,0),"-")=0,"-",IFERROR(VLOOKUP(J254,'[63]ТР нефть'!$J$28:$BP$638,57,0),"-"))</f>
        <v>-</v>
      </c>
      <c r="BO254" s="115" t="str">
        <f>IF(IFERROR(VLOOKUP(J254,'[63]ТР нефть'!$J$28:$BP$638,58,0),"-")=0,"-",IFERROR(VLOOKUP(J254,'[63]ТР нефть'!$J$28:$BP$638,58,0),"-"))</f>
        <v>-</v>
      </c>
      <c r="BP254" s="115" t="str">
        <f>IF(IFERROR(VLOOKUP(J254,'[63]ТР нефть'!$J$28:$BP$638,59,0),"-")=0,"-",IFERROR(VLOOKUP(J254,'[63]ТР нефть'!$J$28:$BP$638,59,0),"-"))</f>
        <v>-</v>
      </c>
      <c r="BQ254" s="138">
        <v>2000</v>
      </c>
      <c r="BR254" s="128">
        <v>1765.96</v>
      </c>
      <c r="BS254" s="115">
        <f t="shared" si="164"/>
        <v>234.03999999999996</v>
      </c>
      <c r="BT254" s="128">
        <v>73</v>
      </c>
      <c r="BU254" s="128">
        <v>5.5</v>
      </c>
      <c r="BV254" s="127">
        <v>18</v>
      </c>
      <c r="BW254" s="127" t="s">
        <v>217</v>
      </c>
      <c r="BX254" s="127" t="s">
        <v>195</v>
      </c>
      <c r="BY254" s="139">
        <v>24</v>
      </c>
      <c r="BZ254" s="139">
        <v>0</v>
      </c>
      <c r="CA254" s="138">
        <v>28</v>
      </c>
      <c r="CB254" s="138">
        <v>44</v>
      </c>
      <c r="CC254" s="138">
        <v>27</v>
      </c>
      <c r="CD254" s="135">
        <v>45017</v>
      </c>
      <c r="CE254" s="138">
        <v>110</v>
      </c>
      <c r="CF254" s="138">
        <v>74</v>
      </c>
      <c r="CG254" s="138" t="str">
        <f t="shared" si="202"/>
        <v>В работе</v>
      </c>
      <c r="CH254" s="138" t="s">
        <v>196</v>
      </c>
      <c r="CI254" s="127">
        <v>5</v>
      </c>
      <c r="CJ254" s="138"/>
      <c r="CK254" s="138">
        <f t="shared" si="157"/>
        <v>18</v>
      </c>
      <c r="CL254" s="99"/>
      <c r="CM254" s="99"/>
      <c r="CN254" s="140">
        <v>46</v>
      </c>
      <c r="CO254" s="141">
        <f t="shared" si="165"/>
        <v>8.36</v>
      </c>
      <c r="CP254" s="142">
        <v>10</v>
      </c>
      <c r="CQ254" s="143">
        <v>0</v>
      </c>
      <c r="CR254" s="138">
        <v>28.297999999999998</v>
      </c>
      <c r="CS254" s="139">
        <v>11.592000000000001</v>
      </c>
      <c r="CT254" s="138"/>
      <c r="CU254" s="138">
        <f t="shared" si="188"/>
        <v>16.705999999999996</v>
      </c>
      <c r="CV254" s="115">
        <f t="shared" si="189"/>
        <v>1998.3253588516743</v>
      </c>
      <c r="CW254" s="115">
        <f t="shared" si="166"/>
        <v>1386.6028708133972</v>
      </c>
      <c r="CX254" s="133">
        <f t="shared" si="190"/>
        <v>0.15625</v>
      </c>
      <c r="CY254" s="116"/>
      <c r="CZ254" s="131"/>
      <c r="DA254" s="145" t="str">
        <f t="shared" si="167"/>
        <v>Газлифт</v>
      </c>
      <c r="DB254" s="146">
        <f t="shared" si="168"/>
        <v>8.36</v>
      </c>
      <c r="DC254" s="142">
        <f t="shared" si="203"/>
        <v>10</v>
      </c>
      <c r="DD254" s="119">
        <f t="shared" si="204"/>
        <v>0</v>
      </c>
      <c r="DE254" s="115">
        <f t="shared" si="169"/>
        <v>16.705999999999996</v>
      </c>
      <c r="DF254" s="121">
        <f t="shared" si="170"/>
        <v>11.592000000000001</v>
      </c>
      <c r="DG254" s="115">
        <f t="shared" si="171"/>
        <v>1998.3253588516743</v>
      </c>
      <c r="DH254" s="115">
        <f t="shared" si="172"/>
        <v>46</v>
      </c>
      <c r="DI254" s="147"/>
      <c r="DJ254" s="111">
        <v>43527</v>
      </c>
      <c r="DK254" s="112">
        <v>44170</v>
      </c>
      <c r="DL254" s="113">
        <f t="shared" ca="1" si="192"/>
        <v>934</v>
      </c>
      <c r="DM254" s="114"/>
      <c r="DN254" s="114"/>
      <c r="DO254" s="114"/>
      <c r="DP254" s="114"/>
      <c r="DQ254" s="112">
        <v>43238</v>
      </c>
      <c r="DR254" s="114" t="s">
        <v>198</v>
      </c>
      <c r="DS254" s="114"/>
      <c r="DT254" s="115">
        <v>45</v>
      </c>
      <c r="DU254" s="116">
        <f t="shared" si="193"/>
        <v>0.1553985013623978</v>
      </c>
      <c r="DV254" s="117">
        <f t="shared" si="194"/>
        <v>8.4443545640326967</v>
      </c>
      <c r="DW254" s="118">
        <f t="shared" si="195"/>
        <v>10.100902588555858</v>
      </c>
      <c r="DX254" s="119">
        <f t="shared" si="173"/>
        <v>0</v>
      </c>
      <c r="DY254" s="115">
        <f t="shared" si="196"/>
        <v>16.87456786444141</v>
      </c>
      <c r="DZ254" s="117">
        <f t="shared" si="197"/>
        <v>8.4354564032697255E-2</v>
      </c>
      <c r="EA254" s="120">
        <f t="shared" si="197"/>
        <v>0.10090258855585788</v>
      </c>
      <c r="EB254" s="119">
        <f t="shared" si="197"/>
        <v>0</v>
      </c>
      <c r="EC254" s="121">
        <f t="shared" si="198"/>
        <v>0.16856786444141392</v>
      </c>
      <c r="ED254" s="122"/>
      <c r="EE254" s="145">
        <v>18</v>
      </c>
      <c r="EF254" s="115">
        <v>28</v>
      </c>
      <c r="EG254" s="115">
        <v>44</v>
      </c>
      <c r="EH254" s="115">
        <v>27</v>
      </c>
      <c r="EI254" s="128" t="s">
        <v>195</v>
      </c>
      <c r="EJ254" s="121">
        <v>24</v>
      </c>
      <c r="EK254" s="121">
        <v>0</v>
      </c>
      <c r="EL254" s="149">
        <v>8.4</v>
      </c>
      <c r="EM254" s="142">
        <v>10</v>
      </c>
      <c r="EN254" s="119">
        <v>0</v>
      </c>
      <c r="EO254" s="115">
        <v>28.297999999999998</v>
      </c>
      <c r="EP254" s="115">
        <v>1998.3253588516743</v>
      </c>
      <c r="EQ254" s="115">
        <v>74</v>
      </c>
      <c r="ER254" s="115">
        <v>11.592000000000001</v>
      </c>
      <c r="ES254" s="115">
        <v>46</v>
      </c>
      <c r="ET254" s="150">
        <v>0.125</v>
      </c>
      <c r="EU254" s="145">
        <f t="shared" si="174"/>
        <v>18</v>
      </c>
      <c r="EV254" s="115">
        <f t="shared" si="175"/>
        <v>28</v>
      </c>
      <c r="EW254" s="115">
        <f t="shared" si="175"/>
        <v>44</v>
      </c>
      <c r="EX254" s="115">
        <f t="shared" si="175"/>
        <v>27</v>
      </c>
      <c r="EY254" s="115" t="str">
        <f t="shared" si="156"/>
        <v>Постоянный</v>
      </c>
      <c r="EZ254" s="115">
        <f t="shared" si="156"/>
        <v>24</v>
      </c>
      <c r="FA254" s="115">
        <f t="shared" si="156"/>
        <v>0</v>
      </c>
      <c r="FB254" s="149">
        <f t="shared" si="176"/>
        <v>8.36</v>
      </c>
      <c r="FC254" s="142">
        <f t="shared" si="176"/>
        <v>10</v>
      </c>
      <c r="FD254" s="119">
        <f t="shared" si="176"/>
        <v>0</v>
      </c>
      <c r="FE254" s="121">
        <f t="shared" si="176"/>
        <v>28.297999999999998</v>
      </c>
      <c r="FF254" s="121">
        <f t="shared" si="199"/>
        <v>1998.3253588516743</v>
      </c>
      <c r="FG254" s="121">
        <f t="shared" si="177"/>
        <v>74</v>
      </c>
      <c r="FH254" s="121">
        <f t="shared" si="200"/>
        <v>11.592000000000001</v>
      </c>
      <c r="FI254" s="121">
        <f t="shared" si="205"/>
        <v>46</v>
      </c>
      <c r="FJ254" s="144">
        <f t="shared" si="178"/>
        <v>0.15625</v>
      </c>
      <c r="FK254" s="132">
        <f t="shared" si="179"/>
        <v>0</v>
      </c>
      <c r="FL254" s="115">
        <f t="shared" si="179"/>
        <v>0</v>
      </c>
      <c r="FM254" s="115">
        <f t="shared" si="179"/>
        <v>0</v>
      </c>
      <c r="FN254" s="115">
        <f t="shared" si="162"/>
        <v>0</v>
      </c>
      <c r="FO254" s="115">
        <f t="shared" si="201"/>
        <v>0</v>
      </c>
      <c r="FP254" s="115">
        <f t="shared" si="201"/>
        <v>0</v>
      </c>
      <c r="FQ254" s="149">
        <f t="shared" si="201"/>
        <v>-4.0000000000000924E-2</v>
      </c>
      <c r="FR254" s="142">
        <f t="shared" si="201"/>
        <v>0</v>
      </c>
      <c r="FS254" s="119">
        <f t="shared" si="201"/>
        <v>0</v>
      </c>
      <c r="FT254" s="121">
        <f t="shared" si="201"/>
        <v>0</v>
      </c>
      <c r="FU254" s="121">
        <f t="shared" si="180"/>
        <v>0</v>
      </c>
      <c r="FV254" s="121">
        <f t="shared" si="180"/>
        <v>0</v>
      </c>
      <c r="FW254" s="121">
        <f>FF254-EP254</f>
        <v>0</v>
      </c>
      <c r="FX254" s="121">
        <f t="shared" si="182"/>
        <v>0</v>
      </c>
      <c r="FY254" s="144">
        <f t="shared" si="182"/>
        <v>3.125E-2</v>
      </c>
      <c r="FZ254" s="1052"/>
      <c r="GA254" s="151"/>
      <c r="GB254" s="1052" t="s">
        <v>223</v>
      </c>
      <c r="GC254" s="151" t="s">
        <v>1159</v>
      </c>
      <c r="GD254" s="997" t="s">
        <v>220</v>
      </c>
      <c r="GE254" s="1004" t="s">
        <v>223</v>
      </c>
      <c r="GF254" s="1004">
        <v>-5.4824879999999991</v>
      </c>
      <c r="GG254" s="1004"/>
      <c r="GH254" s="1004">
        <v>0</v>
      </c>
      <c r="GI254" s="1052"/>
      <c r="GJ254" s="996">
        <v>0</v>
      </c>
      <c r="GK254" s="1052"/>
      <c r="GL254" s="996">
        <v>0</v>
      </c>
      <c r="GM254" s="1005"/>
      <c r="GN254" s="996">
        <v>0</v>
      </c>
      <c r="GO254" s="1006"/>
      <c r="GP254" s="996">
        <v>0</v>
      </c>
      <c r="GQ254" s="1006"/>
      <c r="GR254" s="996">
        <v>0</v>
      </c>
      <c r="GS254" s="1006" t="s">
        <v>221</v>
      </c>
      <c r="GT254" s="996">
        <v>1.7204879999999996</v>
      </c>
      <c r="GU254" s="1006"/>
      <c r="GV254" s="996">
        <v>-5.0159999999999982E-2</v>
      </c>
      <c r="GW254" s="1006"/>
      <c r="GX254" s="1036">
        <v>-0.36784000000000106</v>
      </c>
      <c r="GY254" s="1006" t="s">
        <v>203</v>
      </c>
      <c r="GZ254" s="996">
        <v>-11.234502399999998</v>
      </c>
      <c r="HA254" s="1006" t="s">
        <v>203</v>
      </c>
      <c r="HB254" s="996">
        <v>-13.546811520000006</v>
      </c>
      <c r="HC254" s="1006" t="s">
        <v>363</v>
      </c>
      <c r="HD254" s="996">
        <v>26.873487520000005</v>
      </c>
      <c r="HE254" s="1006"/>
      <c r="HF254" s="996">
        <v>0</v>
      </c>
      <c r="HG254" s="1006"/>
      <c r="HH254" s="996">
        <v>0</v>
      </c>
      <c r="HI254" s="1006"/>
      <c r="HJ254" s="996">
        <v>0</v>
      </c>
      <c r="HK254" s="1006"/>
      <c r="HL254" s="996">
        <v>0</v>
      </c>
      <c r="HM254" s="1006"/>
      <c r="HN254" s="996">
        <v>-0.8360000000000003</v>
      </c>
      <c r="HO254" s="1006"/>
      <c r="HP254" s="996">
        <v>-0.41800000000000104</v>
      </c>
      <c r="HQ254" s="1006" t="s">
        <v>204</v>
      </c>
      <c r="HR254" s="996">
        <v>3.0932000000000004</v>
      </c>
      <c r="HS254" s="1006"/>
      <c r="HT254" s="996">
        <v>0</v>
      </c>
      <c r="HU254" s="1006" t="s">
        <v>223</v>
      </c>
      <c r="HV254" s="996">
        <v>-3.0932000000000004</v>
      </c>
      <c r="HW254" s="1006"/>
      <c r="HX254" s="996">
        <v>0</v>
      </c>
      <c r="HY254" s="1006" t="s">
        <v>223</v>
      </c>
      <c r="HZ254" s="996">
        <v>-1.6719999999999988</v>
      </c>
      <c r="IA254" s="1006" t="s">
        <v>223</v>
      </c>
      <c r="IB254" s="996">
        <v>-3.929199999999998</v>
      </c>
      <c r="IC254" s="1006"/>
      <c r="ID254" s="996">
        <v>0</v>
      </c>
      <c r="IE254" s="1006"/>
      <c r="IF254" s="996">
        <v>0</v>
      </c>
      <c r="IG254" s="1006" t="s">
        <v>199</v>
      </c>
      <c r="IH254" s="996">
        <v>-3.5948000000000029</v>
      </c>
      <c r="II254" s="1006" t="s">
        <v>223</v>
      </c>
      <c r="IJ254" s="996">
        <v>-2.4831206399999992</v>
      </c>
      <c r="IK254" s="1006" t="s">
        <v>25</v>
      </c>
      <c r="IL254" s="996">
        <v>18.967778280000001</v>
      </c>
      <c r="IM254" s="1006"/>
      <c r="IN254" s="996">
        <v>0</v>
      </c>
      <c r="IO254" s="1006"/>
      <c r="IP254" s="996">
        <v>0</v>
      </c>
      <c r="IQ254" s="1006"/>
      <c r="IR254" s="996">
        <v>0</v>
      </c>
      <c r="IS254" s="1006"/>
      <c r="IT254" s="996">
        <v>0.78246088799999969</v>
      </c>
      <c r="IU254" s="1006" t="s">
        <v>199</v>
      </c>
      <c r="IV254" s="996">
        <v>-1.8257303680000003</v>
      </c>
      <c r="IW254" s="1006"/>
      <c r="IX254" s="996">
        <v>0</v>
      </c>
      <c r="IY254" s="1006"/>
      <c r="IZ254" s="996">
        <v>0</v>
      </c>
      <c r="JA254" s="1006"/>
      <c r="JB254" s="996">
        <v>0</v>
      </c>
      <c r="JC254" s="1006"/>
      <c r="JD254" s="996">
        <v>0</v>
      </c>
      <c r="JE254" s="1006"/>
      <c r="JF254" s="996">
        <v>0</v>
      </c>
      <c r="JG254" s="1006" t="s">
        <v>199</v>
      </c>
      <c r="JH254" s="996">
        <v>1.7200198400000004</v>
      </c>
      <c r="JI254" s="1006"/>
      <c r="JJ254" s="996">
        <v>0</v>
      </c>
      <c r="JK254" s="1007"/>
      <c r="JL254" s="1007">
        <v>0</v>
      </c>
      <c r="JM254" s="1007"/>
      <c r="JN254" s="1007">
        <v>0</v>
      </c>
      <c r="JO254" s="1008" t="s">
        <v>199</v>
      </c>
      <c r="JP254" s="1007">
        <v>-1.2648680000000003</v>
      </c>
      <c r="JQ254" s="1008">
        <v>0</v>
      </c>
      <c r="JR254" s="1007">
        <v>0.69668060000000009</v>
      </c>
      <c r="JS254" s="1008">
        <v>0</v>
      </c>
      <c r="JT254" s="1007">
        <v>-0.96002059999999956</v>
      </c>
      <c r="JU254" s="1008"/>
      <c r="JV254" s="1007">
        <v>0</v>
      </c>
      <c r="JW254" s="1008" t="s">
        <v>197</v>
      </c>
      <c r="JX254" s="1007">
        <v>0</v>
      </c>
      <c r="JY254" s="1008"/>
      <c r="JZ254" s="1007">
        <v>0</v>
      </c>
      <c r="KA254" s="1008"/>
      <c r="KB254" s="1007">
        <v>0</v>
      </c>
      <c r="KC254" s="1008"/>
      <c r="KD254" s="1007">
        <v>0</v>
      </c>
      <c r="KE254" s="1008"/>
      <c r="KF254" s="1007">
        <v>0</v>
      </c>
      <c r="KG254" s="1008"/>
      <c r="KH254" s="1007">
        <v>0</v>
      </c>
      <c r="KI254" s="1008" t="s">
        <v>203</v>
      </c>
      <c r="KJ254" s="1007">
        <v>-2.8674800000000005</v>
      </c>
      <c r="KK254" s="1008"/>
      <c r="KL254" s="1007">
        <v>0</v>
      </c>
      <c r="KM254" s="1008"/>
      <c r="KN254" s="1007">
        <v>0</v>
      </c>
      <c r="KO254" s="1008"/>
      <c r="KP254" s="1007">
        <v>0</v>
      </c>
      <c r="KQ254" s="1008" t="s">
        <v>203</v>
      </c>
      <c r="KR254" s="1007">
        <v>-3.1021451999999989</v>
      </c>
      <c r="KS254" s="1008">
        <v>0</v>
      </c>
      <c r="KT254" s="1007">
        <v>0.11042519999999989</v>
      </c>
      <c r="KU254" s="1008" t="s">
        <v>25</v>
      </c>
      <c r="KV254" s="1007">
        <v>10.082160000000002</v>
      </c>
      <c r="KW254" s="1008" t="s">
        <v>204</v>
      </c>
      <c r="KX254" s="1007">
        <v>1.90607164</v>
      </c>
      <c r="KY254" s="1008" t="s">
        <v>206</v>
      </c>
      <c r="KZ254" s="1007">
        <v>1.4173627600000003</v>
      </c>
      <c r="LA254" s="1008" t="s">
        <v>206</v>
      </c>
      <c r="LB254" s="1007">
        <v>-2.6536311999999995</v>
      </c>
      <c r="LC254" s="1008" t="s">
        <v>206</v>
      </c>
      <c r="LD254" s="1007">
        <v>1.8281647999999993</v>
      </c>
      <c r="LE254" s="1008">
        <v>0</v>
      </c>
      <c r="LF254" s="1007">
        <v>0</v>
      </c>
      <c r="LG254" s="1008" t="s">
        <v>204</v>
      </c>
      <c r="LH254" s="1007">
        <v>-0.83984000000000003</v>
      </c>
      <c r="LI254" s="1008" t="s">
        <v>204</v>
      </c>
      <c r="LJ254" s="1007">
        <v>-2.4929520000000007</v>
      </c>
      <c r="LK254" s="1008">
        <v>0</v>
      </c>
      <c r="LL254" s="1007">
        <v>0</v>
      </c>
      <c r="LM254" s="1008" t="s">
        <v>555</v>
      </c>
      <c r="LN254" s="1007">
        <v>2.4929519999999998</v>
      </c>
      <c r="LO254" s="1008" t="s">
        <v>206</v>
      </c>
      <c r="LP254" s="1007">
        <v>-1.2464759999999995</v>
      </c>
      <c r="LQ254" s="1008">
        <v>0</v>
      </c>
      <c r="LR254" s="1007">
        <v>-0.41549209999999998</v>
      </c>
      <c r="LS254" s="1008">
        <v>0</v>
      </c>
      <c r="LT254" s="1007">
        <v>0</v>
      </c>
      <c r="LU254" s="1008" t="s">
        <v>206</v>
      </c>
      <c r="LV254" s="1007">
        <v>-1.661967999999999</v>
      </c>
      <c r="LW254" s="1008">
        <v>0</v>
      </c>
      <c r="LX254" s="1007">
        <v>0</v>
      </c>
      <c r="LY254" s="1009">
        <v>0</v>
      </c>
      <c r="LZ254" s="1010">
        <v>0</v>
      </c>
      <c r="MA254" s="1011">
        <v>0</v>
      </c>
      <c r="MB254" s="1012">
        <v>0.44421521000000003</v>
      </c>
      <c r="MC254" s="995"/>
      <c r="MD254" s="996"/>
      <c r="ME254" s="997" t="s">
        <v>220</v>
      </c>
      <c r="MF254" s="997"/>
      <c r="MG254" s="998"/>
      <c r="NR254" s="1000"/>
      <c r="NS254" s="1000"/>
      <c r="NT254" s="1001"/>
      <c r="NU254" s="1000"/>
      <c r="NV254" s="1001"/>
      <c r="NX254" s="1002"/>
      <c r="NZ254" s="1001"/>
      <c r="OA254" s="1001"/>
      <c r="OC254" s="1003"/>
      <c r="OD254" s="1003"/>
      <c r="OE254" s="1001"/>
      <c r="OF254" s="1003"/>
      <c r="OG254" s="1003"/>
      <c r="QX254" s="1000">
        <f>CN254-CA254</f>
        <v>18</v>
      </c>
      <c r="ASU254" s="999" t="s">
        <v>208</v>
      </c>
    </row>
    <row r="255" spans="1:466 1191:1191" ht="21" customHeight="1" x14ac:dyDescent="0.25">
      <c r="A255" s="982">
        <f t="shared" si="163"/>
        <v>1158</v>
      </c>
      <c r="B255" s="124">
        <f>SUBTOTAL(103,$J$29:J255)</f>
        <v>227</v>
      </c>
      <c r="C255" s="126">
        <v>45068</v>
      </c>
      <c r="D255" s="124" t="s">
        <v>176</v>
      </c>
      <c r="E255" s="127" t="s">
        <v>177</v>
      </c>
      <c r="F255" s="128" t="s">
        <v>177</v>
      </c>
      <c r="G255" s="127" t="s">
        <v>178</v>
      </c>
      <c r="H255" s="127" t="s">
        <v>179</v>
      </c>
      <c r="I255" s="127" t="s">
        <v>1061</v>
      </c>
      <c r="J255" s="152">
        <v>1158</v>
      </c>
      <c r="K255" s="127" t="s">
        <v>1062</v>
      </c>
      <c r="L255" s="130">
        <v>41630</v>
      </c>
      <c r="M255" s="127" t="s">
        <v>230</v>
      </c>
      <c r="N255" s="127" t="s">
        <v>184</v>
      </c>
      <c r="O255" s="127" t="s">
        <v>185</v>
      </c>
      <c r="P255" s="127" t="s">
        <v>186</v>
      </c>
      <c r="Q255" s="85" t="str">
        <f t="shared" si="187"/>
        <v/>
      </c>
      <c r="R255" s="130"/>
      <c r="S255" s="128"/>
      <c r="T255" s="131"/>
      <c r="U255" s="132">
        <v>203</v>
      </c>
      <c r="V255" s="121">
        <v>218.2</v>
      </c>
      <c r="W255" s="116">
        <v>0.98</v>
      </c>
      <c r="X255" s="116">
        <v>1.66</v>
      </c>
      <c r="Y255" s="116">
        <f t="shared" si="191"/>
        <v>0.98120581919949812</v>
      </c>
      <c r="Z255" s="133">
        <v>1.454</v>
      </c>
      <c r="AA255" s="133">
        <v>0.83599999999999997</v>
      </c>
      <c r="AB255" s="133">
        <v>0.72</v>
      </c>
      <c r="AC255" s="121">
        <v>34.299999999999997</v>
      </c>
      <c r="AD255" s="134">
        <v>1.17</v>
      </c>
      <c r="AE255" s="124">
        <v>177.8</v>
      </c>
      <c r="AF255" s="128">
        <v>9.19</v>
      </c>
      <c r="AG255" s="128">
        <v>2080</v>
      </c>
      <c r="AH255" s="127">
        <v>3780</v>
      </c>
      <c r="AI255" s="127">
        <v>3780</v>
      </c>
      <c r="AJ255" s="135"/>
      <c r="AK255" s="128"/>
      <c r="AL255" s="131"/>
      <c r="AM255" s="124" t="s">
        <v>232</v>
      </c>
      <c r="AN255" s="136" t="s">
        <v>1160</v>
      </c>
      <c r="AO255" s="137">
        <v>57.98</v>
      </c>
      <c r="AP255" s="128">
        <v>2080</v>
      </c>
      <c r="AQ255" s="128">
        <v>117.8</v>
      </c>
      <c r="AR255" s="128"/>
      <c r="AS255" s="128"/>
      <c r="AT255" s="122"/>
      <c r="AU255" s="124" t="s">
        <v>189</v>
      </c>
      <c r="AV255" s="115">
        <f>VLOOKUP(J255,'[63]ТР нефть'!$J$28:$BP$638,39,0)</f>
        <v>569.99999853500003</v>
      </c>
      <c r="AW255" s="115" t="str">
        <f>VLOOKUP(J255,'[63]ТР нефть'!$J$28:$BP$638,40,0)</f>
        <v>ГК 80 1/8</v>
      </c>
      <c r="AX255" s="115">
        <f>VLOOKUP(J255,'[63]ТР нефть'!$J$28:$BP$638,41,0)</f>
        <v>999.99998437500005</v>
      </c>
      <c r="AY255" s="115" t="str">
        <f>VLOOKUP(J255,'[63]ТР нефть'!$J$28:$BP$638,42,0)</f>
        <v>ГК 81 1/8</v>
      </c>
      <c r="AZ255" s="115">
        <f>VLOOKUP(J255,'[63]ТР нефть'!$J$28:$BP$638,43,0)</f>
        <v>1355.0000085940001</v>
      </c>
      <c r="BA255" s="115" t="str">
        <f>VLOOKUP(J255,'[63]ТР нефть'!$J$28:$BP$638,44,0)</f>
        <v>ГК 82 1/8</v>
      </c>
      <c r="BB255" s="115">
        <f>VLOOKUP(J255,'[63]ТР нефть'!$J$28:$BP$638,45,0)</f>
        <v>1690.000062891</v>
      </c>
      <c r="BC255" s="115" t="str">
        <f>VLOOKUP(J255,'[63]ТР нефть'!$J$28:$BP$638,46,0)</f>
        <v>ГК 84 5/32</v>
      </c>
      <c r="BD255" s="115">
        <f>VLOOKUP(J255,'[63]ТР нефть'!$J$28:$BP$638,47,0)</f>
        <v>1830.0000011720001</v>
      </c>
      <c r="BE255" s="115" t="str">
        <f>VLOOKUP(J255,'[63]ТР нефть'!$J$28:$BP$638,48,0)</f>
        <v>ЦКсОК 5/16</v>
      </c>
      <c r="BF255" s="115" t="str">
        <f>VLOOKUP(J255,'[63]ТР нефть'!$J$28:$BP$638,49,0)</f>
        <v>-</v>
      </c>
      <c r="BG255" s="115" t="str">
        <f>VLOOKUP(J255,'[63]ТР нефть'!$J$28:$BP$638,50,0)</f>
        <v>-</v>
      </c>
      <c r="BH255" s="115" t="str">
        <f>VLOOKUP(J255,'[63]ТР нефть'!$J$28:$BP$638,51,0)</f>
        <v>-</v>
      </c>
      <c r="BI255" s="115" t="str">
        <f>VLOOKUP(J255,'[63]ТР нефть'!$J$28:$BP$638,52,0)</f>
        <v>-</v>
      </c>
      <c r="BJ255" s="115" t="str">
        <f>IF(IFERROR(VLOOKUP(J255,'[63]ТР нефть'!$J$28:$BP$638,53,0),"-")=0,"-",IFERROR(VLOOKUP(J255,'[63]ТР нефть'!$J$28:$BP$638,53,0),"-"))</f>
        <v>-</v>
      </c>
      <c r="BK255" s="138" t="str">
        <f>IF(IFERROR(VLOOKUP(J255,'[63]ТР нефть'!$J$28:$BP$638,54,0),"-")=0,"-",IFERROR(VLOOKUP(J255,'[63]ТР нефть'!$J$28:$BP$638,54,0),"-"))</f>
        <v>-</v>
      </c>
      <c r="BL255" s="138" t="str">
        <f>IF(IFERROR(VLOOKUP(J255,'[63]ТР нефть'!$J$28:$BP$638,55,0),"-")=0,"-",IFERROR(VLOOKUP(J255,'[63]ТР нефть'!$J$28:$BP$638,55,0),"-"))</f>
        <v>-</v>
      </c>
      <c r="BM255" s="138" t="str">
        <f>IF(IFERROR(VLOOKUP(J255,'[63]ТР нефть'!$J$28:$BP$638,56,0),"-")=0,"-",IFERROR(VLOOKUP(J255,'[63]ТР нефть'!$J$28:$BP$638,56,0),"-"))</f>
        <v>-</v>
      </c>
      <c r="BN255" s="138" t="str">
        <f>IF(IFERROR(VLOOKUP(J255,'[63]ТР нефть'!$J$28:$BP$638,57,0),"-")=0,"-",IFERROR(VLOOKUP(J255,'[63]ТР нефть'!$J$28:$BP$638,57,0),"-"))</f>
        <v>-</v>
      </c>
      <c r="BO255" s="115" t="str">
        <f>IF(IFERROR(VLOOKUP(J255,'[63]ТР нефть'!$J$28:$BP$638,58,0),"-")=0,"-",IFERROR(VLOOKUP(J255,'[63]ТР нефть'!$J$28:$BP$638,58,0),"-"))</f>
        <v>-</v>
      </c>
      <c r="BP255" s="115" t="str">
        <f>IF(IFERROR(VLOOKUP(J255,'[63]ТР нефть'!$J$28:$BP$638,59,0),"-")=0,"-",IFERROR(VLOOKUP(J255,'[63]ТР нефть'!$J$28:$BP$638,59,0),"-"))</f>
        <v>-</v>
      </c>
      <c r="BQ255" s="138">
        <v>2100</v>
      </c>
      <c r="BR255" s="128">
        <v>1909.82</v>
      </c>
      <c r="BS255" s="115">
        <f t="shared" si="164"/>
        <v>190.18000000000006</v>
      </c>
      <c r="BT255" s="128">
        <v>73</v>
      </c>
      <c r="BU255" s="128">
        <v>5.5</v>
      </c>
      <c r="BV255" s="127">
        <v>18</v>
      </c>
      <c r="BW255" s="127" t="s">
        <v>217</v>
      </c>
      <c r="BX255" s="127" t="s">
        <v>195</v>
      </c>
      <c r="BY255" s="139">
        <v>24</v>
      </c>
      <c r="BZ255" s="139">
        <v>0</v>
      </c>
      <c r="CA255" s="80">
        <v>23</v>
      </c>
      <c r="CB255" s="138">
        <v>35</v>
      </c>
      <c r="CC255" s="138">
        <v>22</v>
      </c>
      <c r="CD255" s="135">
        <v>45017</v>
      </c>
      <c r="CE255" s="138">
        <v>72.900000000000006</v>
      </c>
      <c r="CF255" s="138">
        <v>76</v>
      </c>
      <c r="CG255" s="138" t="str">
        <f t="shared" si="202"/>
        <v>В работе</v>
      </c>
      <c r="CH255" s="138" t="s">
        <v>196</v>
      </c>
      <c r="CI255" s="127">
        <v>5</v>
      </c>
      <c r="CJ255" s="138"/>
      <c r="CK255" s="138">
        <f t="shared" si="157"/>
        <v>25</v>
      </c>
      <c r="CL255" s="99"/>
      <c r="CM255" s="99"/>
      <c r="CN255" s="140">
        <v>48</v>
      </c>
      <c r="CO255" s="141">
        <f t="shared" si="165"/>
        <v>6.6679360000000001</v>
      </c>
      <c r="CP255" s="142">
        <v>8</v>
      </c>
      <c r="CQ255" s="143">
        <v>0.3</v>
      </c>
      <c r="CR255" s="138">
        <v>18</v>
      </c>
      <c r="CS255" s="139">
        <v>10</v>
      </c>
      <c r="CT255" s="138"/>
      <c r="CU255" s="138">
        <f t="shared" si="188"/>
        <v>8</v>
      </c>
      <c r="CV255" s="115">
        <f t="shared" si="189"/>
        <v>1199.7715634943106</v>
      </c>
      <c r="CW255" s="115">
        <f t="shared" si="166"/>
        <v>1493.4895802218969</v>
      </c>
      <c r="CX255" s="133">
        <f t="shared" si="190"/>
        <v>0.32128514056224894</v>
      </c>
      <c r="CY255" s="116"/>
      <c r="CZ255" s="131"/>
      <c r="DA255" s="145" t="str">
        <f t="shared" si="167"/>
        <v>Газлифт</v>
      </c>
      <c r="DB255" s="146">
        <f t="shared" si="168"/>
        <v>6.6679360000000001</v>
      </c>
      <c r="DC255" s="142">
        <f t="shared" si="203"/>
        <v>8</v>
      </c>
      <c r="DD255" s="119">
        <f t="shared" si="204"/>
        <v>0.3</v>
      </c>
      <c r="DE255" s="115">
        <f t="shared" si="169"/>
        <v>8</v>
      </c>
      <c r="DF255" s="121">
        <f t="shared" si="170"/>
        <v>10</v>
      </c>
      <c r="DG255" s="115">
        <f t="shared" si="171"/>
        <v>1199.7715634943106</v>
      </c>
      <c r="DH255" s="115">
        <f t="shared" si="172"/>
        <v>48</v>
      </c>
      <c r="DI255" s="147"/>
      <c r="DJ255" s="111">
        <v>43599</v>
      </c>
      <c r="DK255" s="112">
        <v>43366</v>
      </c>
      <c r="DL255" s="113">
        <f t="shared" ca="1" si="192"/>
        <v>1738</v>
      </c>
      <c r="DM255" s="114"/>
      <c r="DN255" s="114"/>
      <c r="DO255" s="114"/>
      <c r="DP255" s="114"/>
      <c r="DQ255" s="112">
        <v>43661</v>
      </c>
      <c r="DR255" s="114" t="s">
        <v>198</v>
      </c>
      <c r="DS255" s="114"/>
      <c r="DT255" s="115">
        <v>52</v>
      </c>
      <c r="DU255" s="116">
        <f t="shared" si="193"/>
        <v>0.38277511961722477</v>
      </c>
      <c r="DV255" s="117">
        <f t="shared" si="194"/>
        <v>6.6679360000000001</v>
      </c>
      <c r="DW255" s="118">
        <f t="shared" si="195"/>
        <v>8</v>
      </c>
      <c r="DX255" s="119">
        <f t="shared" si="173"/>
        <v>0.3</v>
      </c>
      <c r="DY255" s="115">
        <f t="shared" si="196"/>
        <v>8</v>
      </c>
      <c r="DZ255" s="117">
        <f t="shared" si="197"/>
        <v>0</v>
      </c>
      <c r="EA255" s="120">
        <f t="shared" si="197"/>
        <v>0</v>
      </c>
      <c r="EB255" s="119">
        <f t="shared" si="197"/>
        <v>0</v>
      </c>
      <c r="EC255" s="121">
        <f t="shared" si="198"/>
        <v>0</v>
      </c>
      <c r="ED255" s="122"/>
      <c r="EE255" s="145">
        <v>18</v>
      </c>
      <c r="EF255" s="148">
        <v>25</v>
      </c>
      <c r="EG255" s="115">
        <v>38</v>
      </c>
      <c r="EH255" s="115">
        <v>24</v>
      </c>
      <c r="EI255" s="128" t="s">
        <v>195</v>
      </c>
      <c r="EJ255" s="121">
        <v>24</v>
      </c>
      <c r="EK255" s="121">
        <v>0</v>
      </c>
      <c r="EL255" s="149">
        <v>5.5010471999999995</v>
      </c>
      <c r="EM255" s="142">
        <v>6.6</v>
      </c>
      <c r="EN255" s="119">
        <v>0.3</v>
      </c>
      <c r="EO255" s="115">
        <v>13</v>
      </c>
      <c r="EP255" s="115">
        <v>1081.7835702264099</v>
      </c>
      <c r="EQ255" s="115">
        <v>76</v>
      </c>
      <c r="ER255" s="115">
        <v>12</v>
      </c>
      <c r="ES255" s="115">
        <v>53</v>
      </c>
      <c r="ET255" s="150">
        <v>0.33165829145728631</v>
      </c>
      <c r="EU255" s="145">
        <f t="shared" si="174"/>
        <v>18</v>
      </c>
      <c r="EV255" s="115">
        <f t="shared" si="175"/>
        <v>23</v>
      </c>
      <c r="EW255" s="115">
        <f t="shared" si="175"/>
        <v>35</v>
      </c>
      <c r="EX255" s="115">
        <f t="shared" si="175"/>
        <v>22</v>
      </c>
      <c r="EY255" s="115" t="str">
        <f t="shared" si="156"/>
        <v>Постоянный</v>
      </c>
      <c r="EZ255" s="115">
        <f t="shared" si="156"/>
        <v>24</v>
      </c>
      <c r="FA255" s="115">
        <f t="shared" si="156"/>
        <v>0</v>
      </c>
      <c r="FB255" s="149">
        <f t="shared" si="176"/>
        <v>6.6679360000000001</v>
      </c>
      <c r="FC255" s="142">
        <f t="shared" si="176"/>
        <v>8</v>
      </c>
      <c r="FD255" s="119">
        <f t="shared" si="176"/>
        <v>0.3</v>
      </c>
      <c r="FE255" s="121">
        <f t="shared" si="176"/>
        <v>18</v>
      </c>
      <c r="FF255" s="121">
        <f t="shared" si="199"/>
        <v>1199.7715634943106</v>
      </c>
      <c r="FG255" s="121">
        <f t="shared" si="177"/>
        <v>76</v>
      </c>
      <c r="FH255" s="121">
        <f t="shared" si="200"/>
        <v>10</v>
      </c>
      <c r="FI255" s="121">
        <f t="shared" si="205"/>
        <v>48</v>
      </c>
      <c r="FJ255" s="144">
        <f t="shared" si="178"/>
        <v>0.32128514056224894</v>
      </c>
      <c r="FK255" s="132">
        <f t="shared" si="179"/>
        <v>0</v>
      </c>
      <c r="FL255" s="115">
        <f t="shared" si="179"/>
        <v>-2</v>
      </c>
      <c r="FM255" s="115">
        <f t="shared" si="179"/>
        <v>-3</v>
      </c>
      <c r="FN255" s="115">
        <f t="shared" si="162"/>
        <v>-2</v>
      </c>
      <c r="FO255" s="115">
        <f t="shared" si="201"/>
        <v>0</v>
      </c>
      <c r="FP255" s="115">
        <f t="shared" si="201"/>
        <v>0</v>
      </c>
      <c r="FQ255" s="149">
        <f t="shared" si="201"/>
        <v>1.1668888000000006</v>
      </c>
      <c r="FR255" s="142">
        <f t="shared" si="201"/>
        <v>1.4000000000000004</v>
      </c>
      <c r="FS255" s="119">
        <f t="shared" si="201"/>
        <v>0</v>
      </c>
      <c r="FT255" s="121">
        <f t="shared" si="201"/>
        <v>5</v>
      </c>
      <c r="FU255" s="121">
        <f t="shared" si="180"/>
        <v>0</v>
      </c>
      <c r="FV255" s="121">
        <f t="shared" si="180"/>
        <v>-2</v>
      </c>
      <c r="FW255" s="121">
        <f t="shared" si="181"/>
        <v>117.98799326790072</v>
      </c>
      <c r="FX255" s="121">
        <f t="shared" si="182"/>
        <v>-5</v>
      </c>
      <c r="FY255" s="144">
        <f t="shared" si="182"/>
        <v>-1.0373150895037375E-2</v>
      </c>
      <c r="FZ255" s="145"/>
      <c r="GA255" s="151"/>
      <c r="GB255" s="145" t="s">
        <v>199</v>
      </c>
      <c r="GC255" s="151" t="s">
        <v>415</v>
      </c>
      <c r="GD255" s="997" t="s">
        <v>220</v>
      </c>
      <c r="GE255" s="1004" t="s">
        <v>199</v>
      </c>
      <c r="GF255" s="1004">
        <v>-2.0003808000000012</v>
      </c>
      <c r="GG255" s="1004"/>
      <c r="GH255" s="1004">
        <v>-0.21670791999999928</v>
      </c>
      <c r="GI255" s="145"/>
      <c r="GJ255" s="996">
        <v>0</v>
      </c>
      <c r="GK255" s="145"/>
      <c r="GL255" s="996">
        <v>9.7518563999999586E-2</v>
      </c>
      <c r="GM255" s="1005"/>
      <c r="GN255" s="996">
        <v>0</v>
      </c>
      <c r="GO255" s="1006"/>
      <c r="GP255" s="996">
        <v>0</v>
      </c>
      <c r="GQ255" s="1006"/>
      <c r="GR255" s="996">
        <v>0</v>
      </c>
      <c r="GS255" s="1006"/>
      <c r="GT255" s="996">
        <v>0.57935050800000099</v>
      </c>
      <c r="GU255" s="1006" t="s">
        <v>223</v>
      </c>
      <c r="GV255" s="996">
        <v>-2.9907331520000007</v>
      </c>
      <c r="GW255" s="1006" t="s">
        <v>544</v>
      </c>
      <c r="GX255" s="1036">
        <v>5.016</v>
      </c>
      <c r="GY255" s="1006" t="s">
        <v>203</v>
      </c>
      <c r="GZ255" s="996">
        <v>-1.8057600000000003</v>
      </c>
      <c r="HA255" s="1006"/>
      <c r="HB255" s="996">
        <v>0</v>
      </c>
      <c r="HC255" s="1006"/>
      <c r="HD255" s="996">
        <v>0.66879999999999962</v>
      </c>
      <c r="HE255" s="1006"/>
      <c r="HF255" s="996">
        <v>0</v>
      </c>
      <c r="HG255" s="1006"/>
      <c r="HH255" s="996">
        <v>0</v>
      </c>
      <c r="HI255" s="1006"/>
      <c r="HJ255" s="996">
        <v>0</v>
      </c>
      <c r="HK255" s="1006"/>
      <c r="HL255" s="996">
        <v>0</v>
      </c>
      <c r="HM255" s="1006"/>
      <c r="HN255" s="996">
        <v>0.41800000000000015</v>
      </c>
      <c r="HO255" s="1006"/>
      <c r="HP255" s="996">
        <v>-0.6689003200000001</v>
      </c>
      <c r="HQ255" s="1006"/>
      <c r="HR255" s="996">
        <v>0</v>
      </c>
      <c r="HS255" s="1006"/>
      <c r="HT255" s="996">
        <v>0</v>
      </c>
      <c r="HU255" s="1006"/>
      <c r="HV255" s="996">
        <v>-0.89872507999999929</v>
      </c>
      <c r="HW255" s="1006"/>
      <c r="HX255" s="996">
        <v>0.81702279999999927</v>
      </c>
      <c r="HY255" s="1006" t="s">
        <v>204</v>
      </c>
      <c r="HZ255" s="996">
        <v>-2.4510683999999996</v>
      </c>
      <c r="IA255" s="1006"/>
      <c r="IB255" s="996">
        <v>0</v>
      </c>
      <c r="IC255" s="1006"/>
      <c r="ID255" s="996">
        <v>0</v>
      </c>
      <c r="IE255" s="1006"/>
      <c r="IF255" s="996">
        <v>0</v>
      </c>
      <c r="IG255" s="1006"/>
      <c r="IH255" s="996">
        <v>0</v>
      </c>
      <c r="II255" s="1006"/>
      <c r="IJ255" s="996">
        <v>0</v>
      </c>
      <c r="IK255" s="1006"/>
      <c r="IL255" s="996">
        <v>0</v>
      </c>
      <c r="IM255" s="1006"/>
      <c r="IN255" s="996">
        <v>0.19207100000000032</v>
      </c>
      <c r="IO255" s="1006"/>
      <c r="IP255" s="996">
        <v>8.3599999999999675E-2</v>
      </c>
      <c r="IQ255" s="1006"/>
      <c r="IR255" s="996">
        <v>0.57583679999999937</v>
      </c>
      <c r="IS255" s="1006" t="s">
        <v>204</v>
      </c>
      <c r="IT255" s="996">
        <v>-3.2163428000000005</v>
      </c>
      <c r="IU255" s="1006" t="s">
        <v>204</v>
      </c>
      <c r="IV255" s="996">
        <v>-3.2114939999999983</v>
      </c>
      <c r="IW255" s="1006"/>
      <c r="IX255" s="996">
        <v>0</v>
      </c>
      <c r="IY255" s="1006" t="s">
        <v>223</v>
      </c>
      <c r="IZ255" s="996">
        <v>-2.1506099999999986</v>
      </c>
      <c r="JA255" s="1006" t="s">
        <v>223</v>
      </c>
      <c r="JB255" s="996">
        <v>-1.2621585240000019</v>
      </c>
      <c r="JC255" s="1006"/>
      <c r="JD255" s="996">
        <v>0</v>
      </c>
      <c r="JE255" s="1006"/>
      <c r="JF255" s="996">
        <v>0</v>
      </c>
      <c r="JG255" s="1006"/>
      <c r="JH255" s="996">
        <v>0</v>
      </c>
      <c r="JI255" s="1006"/>
      <c r="JJ255" s="996">
        <v>0</v>
      </c>
      <c r="JK255" s="1007"/>
      <c r="JL255" s="1007">
        <v>0</v>
      </c>
      <c r="JM255" s="1007"/>
      <c r="JN255" s="1007">
        <v>0</v>
      </c>
      <c r="JO255" s="1008"/>
      <c r="JP255" s="1007">
        <v>0</v>
      </c>
      <c r="JQ255" s="1008" t="s">
        <v>203</v>
      </c>
      <c r="JR255" s="1007">
        <v>6.0157815960000018</v>
      </c>
      <c r="JS255" s="1008" t="s">
        <v>25</v>
      </c>
      <c r="JT255" s="1007">
        <v>4.5029869279999977</v>
      </c>
      <c r="JU255" s="1008"/>
      <c r="JV255" s="1007">
        <v>0</v>
      </c>
      <c r="JW255" s="1008" t="s">
        <v>197</v>
      </c>
      <c r="JX255" s="1007">
        <v>0</v>
      </c>
      <c r="JY255" s="1008"/>
      <c r="JZ255" s="1007">
        <v>0</v>
      </c>
      <c r="KA255" s="1008"/>
      <c r="KB255" s="1007">
        <v>0</v>
      </c>
      <c r="KC255" s="1008"/>
      <c r="KD255" s="1007">
        <v>0</v>
      </c>
      <c r="KE255" s="1008"/>
      <c r="KF255" s="1007">
        <v>0</v>
      </c>
      <c r="KG255" s="1008"/>
      <c r="KH255" s="1007">
        <v>0</v>
      </c>
      <c r="KI255" s="1008"/>
      <c r="KJ255" s="1007">
        <v>5.8068559999999714E-2</v>
      </c>
      <c r="KK255" s="1008"/>
      <c r="KL255" s="1007">
        <v>0</v>
      </c>
      <c r="KM255" s="1008"/>
      <c r="KN255" s="1007">
        <v>4.5399314400000002</v>
      </c>
      <c r="KO255" s="1008"/>
      <c r="KP255" s="1007">
        <v>0</v>
      </c>
      <c r="KQ255" s="1008">
        <v>0</v>
      </c>
      <c r="KR255" s="1007">
        <v>0</v>
      </c>
      <c r="KS255" s="1008">
        <v>0</v>
      </c>
      <c r="KT255" s="1007">
        <v>0</v>
      </c>
      <c r="KU255" s="1008">
        <v>0</v>
      </c>
      <c r="KV255" s="1007">
        <v>0</v>
      </c>
      <c r="KW255" s="1008">
        <v>0</v>
      </c>
      <c r="KX255" s="1007">
        <v>0</v>
      </c>
      <c r="KY255" s="1008">
        <v>0</v>
      </c>
      <c r="KZ255" s="1007">
        <v>0</v>
      </c>
      <c r="LA255" s="1008">
        <v>0</v>
      </c>
      <c r="LB255" s="1007">
        <v>0</v>
      </c>
      <c r="LC255" s="1008">
        <v>0</v>
      </c>
      <c r="LD255" s="1007">
        <v>0</v>
      </c>
      <c r="LE255" s="1008">
        <v>0</v>
      </c>
      <c r="LF255" s="1007">
        <v>0</v>
      </c>
      <c r="LG255" s="1008">
        <v>0</v>
      </c>
      <c r="LH255" s="1007">
        <v>-4.98888</v>
      </c>
      <c r="LI255" s="1008">
        <v>0</v>
      </c>
      <c r="LJ255" s="1007">
        <v>0</v>
      </c>
      <c r="LK255" s="1008">
        <v>0</v>
      </c>
      <c r="LL255" s="1007">
        <v>0</v>
      </c>
      <c r="LM255" s="1008">
        <v>0</v>
      </c>
      <c r="LN255" s="1007">
        <v>0</v>
      </c>
      <c r="LO255" s="1008">
        <v>0</v>
      </c>
      <c r="LP255" s="1007">
        <v>0</v>
      </c>
      <c r="LQ255" s="1008">
        <v>0</v>
      </c>
      <c r="LR255" s="1007">
        <v>0</v>
      </c>
      <c r="LS255" s="1008">
        <v>0</v>
      </c>
      <c r="LT255" s="1007">
        <v>0.45658140000000003</v>
      </c>
      <c r="LU255" s="1008">
        <v>0</v>
      </c>
      <c r="LV255" s="1007">
        <v>0</v>
      </c>
      <c r="LW255" s="1008">
        <v>0</v>
      </c>
      <c r="LX255" s="1007">
        <v>0.37356660000000003</v>
      </c>
      <c r="LY255" s="1009">
        <v>0</v>
      </c>
      <c r="LZ255" s="1010">
        <v>-0.58113599999999999</v>
      </c>
      <c r="MA255" s="1011">
        <v>0</v>
      </c>
      <c r="MB255" s="1012">
        <v>0.69774232000000003</v>
      </c>
      <c r="MC255" s="995"/>
      <c r="MD255" s="996"/>
      <c r="ME255" s="997" t="s">
        <v>220</v>
      </c>
      <c r="MF255" s="997"/>
      <c r="MG255" s="998"/>
      <c r="NR255" s="1000"/>
      <c r="NS255" s="1000"/>
      <c r="NT255" s="1001"/>
      <c r="NU255" s="1000"/>
      <c r="NV255" s="1001"/>
      <c r="NX255" s="1002"/>
      <c r="NZ255" s="1001"/>
      <c r="OA255" s="1001"/>
      <c r="OC255" s="1003"/>
      <c r="OD255" s="1003"/>
      <c r="OE255" s="1001"/>
      <c r="OF255" s="1003"/>
      <c r="OG255" s="1003"/>
      <c r="OH255" s="1003"/>
      <c r="OI255" s="1016"/>
      <c r="QX255" s="1000">
        <f>CN255-CA255</f>
        <v>25</v>
      </c>
      <c r="ASU255" s="999" t="s">
        <v>208</v>
      </c>
    </row>
    <row r="256" spans="1:466 1191:1191" ht="21" customHeight="1" x14ac:dyDescent="0.25">
      <c r="A256" s="982" t="str">
        <f t="shared" si="163"/>
        <v>1158-1</v>
      </c>
      <c r="B256" s="124">
        <f>SUBTOTAL(103,$J$29:J256)</f>
        <v>228</v>
      </c>
      <c r="C256" s="126">
        <v>45068</v>
      </c>
      <c r="D256" s="124" t="s">
        <v>176</v>
      </c>
      <c r="E256" s="127" t="s">
        <v>177</v>
      </c>
      <c r="F256" s="128" t="s">
        <v>177</v>
      </c>
      <c r="G256" s="127" t="s">
        <v>178</v>
      </c>
      <c r="H256" s="127" t="s">
        <v>179</v>
      </c>
      <c r="I256" s="127" t="s">
        <v>1061</v>
      </c>
      <c r="J256" s="152" t="s">
        <v>1161</v>
      </c>
      <c r="K256" s="127" t="s">
        <v>1062</v>
      </c>
      <c r="L256" s="130">
        <v>41759</v>
      </c>
      <c r="M256" s="127" t="s">
        <v>230</v>
      </c>
      <c r="N256" s="127" t="s">
        <v>184</v>
      </c>
      <c r="O256" s="127" t="s">
        <v>185</v>
      </c>
      <c r="P256" s="127" t="s">
        <v>186</v>
      </c>
      <c r="Q256" s="85" t="str">
        <f t="shared" si="187"/>
        <v/>
      </c>
      <c r="R256" s="130"/>
      <c r="S256" s="128" t="s">
        <v>156</v>
      </c>
      <c r="T256" s="131"/>
      <c r="U256" s="132">
        <v>203</v>
      </c>
      <c r="V256" s="121">
        <v>218.2</v>
      </c>
      <c r="W256" s="116">
        <v>0.98</v>
      </c>
      <c r="X256" s="116">
        <v>1.66</v>
      </c>
      <c r="Y256" s="116">
        <f t="shared" si="191"/>
        <v>0.98040161029819439</v>
      </c>
      <c r="Z256" s="133">
        <v>1.454</v>
      </c>
      <c r="AA256" s="133">
        <v>0.83599999999999997</v>
      </c>
      <c r="AB256" s="133">
        <v>0.72</v>
      </c>
      <c r="AC256" s="121">
        <v>34.299999999999997</v>
      </c>
      <c r="AD256" s="134">
        <v>1.17</v>
      </c>
      <c r="AE256" s="124">
        <v>177.8</v>
      </c>
      <c r="AF256" s="128">
        <v>9.19</v>
      </c>
      <c r="AG256" s="128">
        <v>1916</v>
      </c>
      <c r="AH256" s="127">
        <v>2590</v>
      </c>
      <c r="AI256" s="127">
        <v>2590</v>
      </c>
      <c r="AJ256" s="135"/>
      <c r="AK256" s="128"/>
      <c r="AL256" s="131"/>
      <c r="AM256" s="124" t="s">
        <v>232</v>
      </c>
      <c r="AN256" s="136" t="s">
        <v>1162</v>
      </c>
      <c r="AO256" s="137">
        <v>12.5</v>
      </c>
      <c r="AP256" s="128">
        <v>1916</v>
      </c>
      <c r="AQ256" s="128">
        <v>146.54</v>
      </c>
      <c r="AR256" s="128"/>
      <c r="AS256" s="128"/>
      <c r="AT256" s="122"/>
      <c r="AU256" s="124" t="s">
        <v>189</v>
      </c>
      <c r="AV256" s="115">
        <f>VLOOKUP(J256,'[63]ТР нефть'!$J$28:$BP$638,39,0)</f>
        <v>599.99999062500001</v>
      </c>
      <c r="AW256" s="115" t="str">
        <f>VLOOKUP(J256,'[63]ТР нефть'!$J$28:$BP$638,40,0)</f>
        <v>ГП</v>
      </c>
      <c r="AX256" s="115">
        <f>VLOOKUP(J256,'[63]ТР нефть'!$J$28:$BP$638,41,0)</f>
        <v>1199.99998125</v>
      </c>
      <c r="AY256" s="115" t="str">
        <f>VLOOKUP(J256,'[63]ТР нефть'!$J$28:$BP$638,42,0)</f>
        <v>ГК 85 1/8</v>
      </c>
      <c r="AZ256" s="115">
        <f>VLOOKUP(J256,'[63]ТР нефть'!$J$28:$BP$638,43,0)</f>
        <v>1790.0000613279999</v>
      </c>
      <c r="BA256" s="115" t="str">
        <f>VLOOKUP(J256,'[63]ТР нефть'!$J$28:$BP$638,44,0)</f>
        <v>ЦКсОК 5/16</v>
      </c>
      <c r="BB256" s="115" t="str">
        <f>VLOOKUP(J256,'[63]ТР нефть'!$J$28:$BP$638,45,0)</f>
        <v>-</v>
      </c>
      <c r="BC256" s="115" t="str">
        <f>VLOOKUP(J256,'[63]ТР нефть'!$J$28:$BP$638,46,0)</f>
        <v>-</v>
      </c>
      <c r="BD256" s="115" t="str">
        <f>VLOOKUP(J256,'[63]ТР нефть'!$J$28:$BP$638,47,0)</f>
        <v>-</v>
      </c>
      <c r="BE256" s="115" t="str">
        <f>VLOOKUP(J256,'[63]ТР нефть'!$J$28:$BP$638,48,0)</f>
        <v>-</v>
      </c>
      <c r="BF256" s="115" t="str">
        <f>VLOOKUP(J256,'[63]ТР нефть'!$J$28:$BP$638,49,0)</f>
        <v>-</v>
      </c>
      <c r="BG256" s="115" t="str">
        <f>VLOOKUP(J256,'[63]ТР нефть'!$J$28:$BP$638,50,0)</f>
        <v>-</v>
      </c>
      <c r="BH256" s="115">
        <f>VLOOKUP(J256,'[63]ТР нефть'!$J$28:$BP$638,51,0)</f>
        <v>1800</v>
      </c>
      <c r="BI256" s="115" t="str">
        <f>VLOOKUP(J256,'[63]ТР нефть'!$J$28:$BP$638,52,0)</f>
        <v>закрыт</v>
      </c>
      <c r="BJ256" s="115" t="str">
        <f>IF(IFERROR(VLOOKUP(J256,'[63]ТР нефть'!$J$28:$BP$638,53,0),"-")=0,"-",IFERROR(VLOOKUP(J256,'[63]ТР нефть'!$J$28:$BP$638,53,0),"-"))</f>
        <v>-</v>
      </c>
      <c r="BK256" s="138" t="str">
        <f>IF(IFERROR(VLOOKUP(J256,'[63]ТР нефть'!$J$28:$BP$638,54,0),"-")=0,"-",IFERROR(VLOOKUP(J256,'[63]ТР нефть'!$J$28:$BP$638,54,0),"-"))</f>
        <v>-</v>
      </c>
      <c r="BL256" s="138" t="str">
        <f>IF(IFERROR(VLOOKUP(J256,'[63]ТР нефть'!$J$28:$BP$638,55,0),"-")=0,"-",IFERROR(VLOOKUP(J256,'[63]ТР нефть'!$J$28:$BP$638,55,0),"-"))</f>
        <v>-</v>
      </c>
      <c r="BM256" s="138" t="str">
        <f>IF(IFERROR(VLOOKUP(J256,'[63]ТР нефть'!$J$28:$BP$638,56,0),"-")=0,"-",IFERROR(VLOOKUP(J256,'[63]ТР нефть'!$J$28:$BP$638,56,0),"-"))</f>
        <v>-</v>
      </c>
      <c r="BN256" s="138" t="str">
        <f>IF(IFERROR(VLOOKUP(J256,'[63]ТР нефть'!$J$28:$BP$638,57,0),"-")=0,"-",IFERROR(VLOOKUP(J256,'[63]ТР нефть'!$J$28:$BP$638,57,0),"-"))</f>
        <v>-</v>
      </c>
      <c r="BO256" s="115" t="str">
        <f>IF(IFERROR(VLOOKUP(J256,'[63]ТР нефть'!$J$28:$BP$638,58,0),"-")=0,"-",IFERROR(VLOOKUP(J256,'[63]ТР нефть'!$J$28:$BP$638,58,0),"-"))</f>
        <v>-</v>
      </c>
      <c r="BP256" s="115" t="str">
        <f>IF(IFERROR(VLOOKUP(J256,'[63]ТР нефть'!$J$28:$BP$638,59,0),"-")=0,"-",IFERROR(VLOOKUP(J256,'[63]ТР нефть'!$J$28:$BP$638,59,0),"-"))</f>
        <v>-</v>
      </c>
      <c r="BQ256" s="138">
        <v>2200</v>
      </c>
      <c r="BR256" s="128">
        <v>1910.61</v>
      </c>
      <c r="BS256" s="115">
        <f t="shared" si="164"/>
        <v>289.3900000000001</v>
      </c>
      <c r="BT256" s="128">
        <v>73</v>
      </c>
      <c r="BU256" s="128">
        <v>5.5</v>
      </c>
      <c r="BV256" s="127">
        <v>18</v>
      </c>
      <c r="BW256" s="127" t="s">
        <v>217</v>
      </c>
      <c r="BX256" s="127" t="s">
        <v>195</v>
      </c>
      <c r="BY256" s="139">
        <v>24</v>
      </c>
      <c r="BZ256" s="139">
        <v>0</v>
      </c>
      <c r="CA256" s="80">
        <v>23</v>
      </c>
      <c r="CB256" s="138">
        <v>37</v>
      </c>
      <c r="CC256" s="138">
        <v>22</v>
      </c>
      <c r="CD256" s="135">
        <v>45017</v>
      </c>
      <c r="CE256" s="138">
        <v>90</v>
      </c>
      <c r="CF256" s="138">
        <v>78</v>
      </c>
      <c r="CG256" s="138" t="str">
        <f t="shared" si="202"/>
        <v>В работе</v>
      </c>
      <c r="CH256" s="138" t="s">
        <v>196</v>
      </c>
      <c r="CI256" s="127">
        <v>5</v>
      </c>
      <c r="CJ256" s="138"/>
      <c r="CK256" s="138">
        <f t="shared" si="157"/>
        <v>29</v>
      </c>
      <c r="CL256" s="99"/>
      <c r="CM256" s="99"/>
      <c r="CN256" s="140">
        <v>52</v>
      </c>
      <c r="CO256" s="141">
        <f t="shared" si="165"/>
        <v>6.9318612000000002</v>
      </c>
      <c r="CP256" s="142">
        <v>8.3000000000000007</v>
      </c>
      <c r="CQ256" s="143">
        <v>0.1</v>
      </c>
      <c r="CR256" s="138">
        <v>14</v>
      </c>
      <c r="CS256" s="139">
        <v>9.6</v>
      </c>
      <c r="CT256" s="138"/>
      <c r="CU256" s="138">
        <f t="shared" si="188"/>
        <v>4.4000000000000004</v>
      </c>
      <c r="CV256" s="115">
        <f t="shared" si="189"/>
        <v>634.75015916360235</v>
      </c>
      <c r="CW256" s="115">
        <f t="shared" si="166"/>
        <v>1382.9918452750212</v>
      </c>
      <c r="CX256" s="133">
        <f t="shared" si="190"/>
        <v>0.21842105263157896</v>
      </c>
      <c r="CY256" s="116"/>
      <c r="CZ256" s="131"/>
      <c r="DA256" s="145" t="str">
        <f t="shared" si="167"/>
        <v>Газлифт</v>
      </c>
      <c r="DB256" s="146">
        <f t="shared" si="168"/>
        <v>6.9318612000000002</v>
      </c>
      <c r="DC256" s="142">
        <f t="shared" si="203"/>
        <v>8.3000000000000007</v>
      </c>
      <c r="DD256" s="119">
        <f t="shared" si="204"/>
        <v>0.1</v>
      </c>
      <c r="DE256" s="115">
        <f t="shared" si="169"/>
        <v>4.4000000000000004</v>
      </c>
      <c r="DF256" s="121">
        <f t="shared" si="170"/>
        <v>9.6</v>
      </c>
      <c r="DG256" s="115">
        <f t="shared" si="171"/>
        <v>634.75015916360235</v>
      </c>
      <c r="DH256" s="115">
        <f t="shared" si="172"/>
        <v>52</v>
      </c>
      <c r="DI256" s="147"/>
      <c r="DJ256" s="111" t="s">
        <v>197</v>
      </c>
      <c r="DK256" s="112">
        <v>41759</v>
      </c>
      <c r="DL256" s="113">
        <f t="shared" ca="1" si="192"/>
        <v>3345</v>
      </c>
      <c r="DM256" s="114"/>
      <c r="DN256" s="114"/>
      <c r="DO256" s="114"/>
      <c r="DP256" s="114"/>
      <c r="DQ256" s="112" t="s">
        <v>1163</v>
      </c>
      <c r="DR256" s="114" t="s">
        <v>198</v>
      </c>
      <c r="DS256" s="114"/>
      <c r="DT256" s="115">
        <v>56</v>
      </c>
      <c r="DU256" s="116">
        <f t="shared" si="193"/>
        <v>0.24411764705882355</v>
      </c>
      <c r="DV256" s="117">
        <f t="shared" si="194"/>
        <v>6.9318612000000002</v>
      </c>
      <c r="DW256" s="118">
        <f t="shared" si="195"/>
        <v>8.3000000000000007</v>
      </c>
      <c r="DX256" s="119">
        <f t="shared" si="173"/>
        <v>0.1</v>
      </c>
      <c r="DY256" s="115">
        <f t="shared" si="196"/>
        <v>4.4000000000000004</v>
      </c>
      <c r="DZ256" s="117">
        <f t="shared" si="197"/>
        <v>0</v>
      </c>
      <c r="EA256" s="120">
        <f t="shared" si="197"/>
        <v>0</v>
      </c>
      <c r="EB256" s="119">
        <f t="shared" si="197"/>
        <v>0</v>
      </c>
      <c r="EC256" s="121">
        <f t="shared" si="198"/>
        <v>0</v>
      </c>
      <c r="ED256" s="122"/>
      <c r="EE256" s="145">
        <v>18</v>
      </c>
      <c r="EF256" s="148">
        <v>24</v>
      </c>
      <c r="EG256" s="115">
        <v>40</v>
      </c>
      <c r="EH256" s="115">
        <v>23</v>
      </c>
      <c r="EI256" s="128" t="s">
        <v>195</v>
      </c>
      <c r="EJ256" s="121">
        <v>24</v>
      </c>
      <c r="EK256" s="121">
        <v>0</v>
      </c>
      <c r="EL256" s="149">
        <v>7.0988939999999996</v>
      </c>
      <c r="EM256" s="142">
        <v>8.5</v>
      </c>
      <c r="EN256" s="119">
        <v>0.1</v>
      </c>
      <c r="EO256" s="115">
        <v>14</v>
      </c>
      <c r="EP256" s="115">
        <v>633.90156269413239</v>
      </c>
      <c r="EQ256" s="115">
        <v>78</v>
      </c>
      <c r="ER256" s="115">
        <v>9.5</v>
      </c>
      <c r="ES256" s="115">
        <v>50</v>
      </c>
      <c r="ET256" s="150">
        <v>0.21249999999999999</v>
      </c>
      <c r="EU256" s="145">
        <f t="shared" si="174"/>
        <v>18</v>
      </c>
      <c r="EV256" s="115">
        <f t="shared" si="175"/>
        <v>23</v>
      </c>
      <c r="EW256" s="115">
        <f t="shared" si="175"/>
        <v>37</v>
      </c>
      <c r="EX256" s="115">
        <f t="shared" si="175"/>
        <v>22</v>
      </c>
      <c r="EY256" s="115" t="str">
        <f t="shared" ref="EY256:FA319" si="206">BX256</f>
        <v>Постоянный</v>
      </c>
      <c r="EZ256" s="115">
        <f t="shared" si="206"/>
        <v>24</v>
      </c>
      <c r="FA256" s="115">
        <f t="shared" si="206"/>
        <v>0</v>
      </c>
      <c r="FB256" s="149">
        <f t="shared" si="176"/>
        <v>6.9318612000000002</v>
      </c>
      <c r="FC256" s="142">
        <f t="shared" si="176"/>
        <v>8.3000000000000007</v>
      </c>
      <c r="FD256" s="119">
        <f t="shared" si="176"/>
        <v>0.1</v>
      </c>
      <c r="FE256" s="121">
        <f t="shared" si="176"/>
        <v>14</v>
      </c>
      <c r="FF256" s="121">
        <f t="shared" si="199"/>
        <v>634.75015916360235</v>
      </c>
      <c r="FG256" s="121">
        <f t="shared" si="177"/>
        <v>78</v>
      </c>
      <c r="FH256" s="121">
        <f t="shared" si="200"/>
        <v>9.6</v>
      </c>
      <c r="FI256" s="121">
        <f t="shared" si="205"/>
        <v>52</v>
      </c>
      <c r="FJ256" s="144">
        <f t="shared" si="178"/>
        <v>0.21842105263157896</v>
      </c>
      <c r="FK256" s="132">
        <f t="shared" si="179"/>
        <v>0</v>
      </c>
      <c r="FL256" s="115">
        <f t="shared" si="179"/>
        <v>-1</v>
      </c>
      <c r="FM256" s="115">
        <f t="shared" si="179"/>
        <v>-3</v>
      </c>
      <c r="FN256" s="115">
        <f t="shared" si="162"/>
        <v>-1</v>
      </c>
      <c r="FO256" s="115">
        <f t="shared" si="201"/>
        <v>0</v>
      </c>
      <c r="FP256" s="115">
        <f t="shared" si="201"/>
        <v>0</v>
      </c>
      <c r="FQ256" s="149">
        <f t="shared" si="201"/>
        <v>-0.16703279999999943</v>
      </c>
      <c r="FR256" s="142">
        <f t="shared" si="201"/>
        <v>-0.19999999999999929</v>
      </c>
      <c r="FS256" s="119">
        <f t="shared" si="201"/>
        <v>0</v>
      </c>
      <c r="FT256" s="121">
        <f t="shared" si="201"/>
        <v>0</v>
      </c>
      <c r="FU256" s="121">
        <f t="shared" si="180"/>
        <v>0</v>
      </c>
      <c r="FV256" s="121">
        <f t="shared" si="180"/>
        <v>9.9999999999999645E-2</v>
      </c>
      <c r="FW256" s="121">
        <f t="shared" si="181"/>
        <v>0.84859646946995326</v>
      </c>
      <c r="FX256" s="121">
        <f t="shared" si="182"/>
        <v>2</v>
      </c>
      <c r="FY256" s="144">
        <f t="shared" si="182"/>
        <v>5.9210526315789658E-3</v>
      </c>
      <c r="FZ256" s="1052"/>
      <c r="GA256" s="151"/>
      <c r="GB256" s="1052"/>
      <c r="GC256" s="151"/>
      <c r="GD256" s="997" t="s">
        <v>220</v>
      </c>
      <c r="GE256" s="1004"/>
      <c r="GF256" s="1004">
        <v>0</v>
      </c>
      <c r="GG256" s="1004"/>
      <c r="GH256" s="1004">
        <v>0</v>
      </c>
      <c r="GI256" s="1052"/>
      <c r="GJ256" s="996">
        <v>-0.5261533199999997</v>
      </c>
      <c r="GK256" s="1052"/>
      <c r="GL256" s="996">
        <v>-0.72659268000000043</v>
      </c>
      <c r="GM256" s="1005"/>
      <c r="GN256" s="996">
        <v>0</v>
      </c>
      <c r="GO256" s="1006"/>
      <c r="GP256" s="996">
        <v>9.2795999999999879E-2</v>
      </c>
      <c r="GQ256" s="1006"/>
      <c r="GR256" s="996">
        <v>0</v>
      </c>
      <c r="GS256" s="1006" t="s">
        <v>221</v>
      </c>
      <c r="GT256" s="996">
        <v>1.6377240000000004</v>
      </c>
      <c r="GU256" s="1006"/>
      <c r="GV256" s="996">
        <v>0</v>
      </c>
      <c r="GW256" s="1006"/>
      <c r="GX256" s="1036">
        <v>0</v>
      </c>
      <c r="GY256" s="1006" t="s">
        <v>199</v>
      </c>
      <c r="GZ256" s="996">
        <v>1.3543199999999995</v>
      </c>
      <c r="HA256" s="1006"/>
      <c r="HB256" s="996">
        <v>-0.83599999999999941</v>
      </c>
      <c r="HC256" s="1006" t="s">
        <v>203</v>
      </c>
      <c r="HD256" s="996">
        <v>-3.2255304399999991</v>
      </c>
      <c r="HE256" s="1006" t="s">
        <v>221</v>
      </c>
      <c r="HF256" s="996">
        <v>6.4383770879999993</v>
      </c>
      <c r="HG256" s="1006" t="s">
        <v>25</v>
      </c>
      <c r="HH256" s="996">
        <v>-2.6276466480000007</v>
      </c>
      <c r="HI256" s="1006"/>
      <c r="HJ256" s="996">
        <v>1.7599999999999838E-2</v>
      </c>
      <c r="HK256" s="1006"/>
      <c r="HL256" s="996">
        <v>0</v>
      </c>
      <c r="HM256" s="1006"/>
      <c r="HN256" s="996">
        <v>0</v>
      </c>
      <c r="HO256" s="1006" t="s">
        <v>199</v>
      </c>
      <c r="HP256" s="996">
        <v>3.5111999999999997</v>
      </c>
      <c r="HQ256" s="1006" t="s">
        <v>199</v>
      </c>
      <c r="HR256" s="996">
        <v>1.254</v>
      </c>
      <c r="HS256" s="1006" t="s">
        <v>205</v>
      </c>
      <c r="HT256" s="996">
        <v>-3.3439999999999999</v>
      </c>
      <c r="HU256" s="1006"/>
      <c r="HV256" s="996">
        <v>0</v>
      </c>
      <c r="HW256" s="1006"/>
      <c r="HX256" s="996">
        <v>0</v>
      </c>
      <c r="HY256" s="1006"/>
      <c r="HZ256" s="996">
        <v>0</v>
      </c>
      <c r="IA256" s="1006"/>
      <c r="IB256" s="996">
        <v>0</v>
      </c>
      <c r="IC256" s="1006"/>
      <c r="ID256" s="996">
        <v>0</v>
      </c>
      <c r="IE256" s="1006"/>
      <c r="IF256" s="996">
        <v>0</v>
      </c>
      <c r="IG256" s="1006"/>
      <c r="IH256" s="996">
        <v>-0.8360000000000003</v>
      </c>
      <c r="II256" s="1006"/>
      <c r="IJ256" s="996">
        <v>0</v>
      </c>
      <c r="IK256" s="1006"/>
      <c r="IL256" s="996">
        <v>0</v>
      </c>
      <c r="IM256" s="1006"/>
      <c r="IN256" s="996">
        <v>0.16719999999999935</v>
      </c>
      <c r="IO256" s="1006"/>
      <c r="IP256" s="996">
        <v>0</v>
      </c>
      <c r="IQ256" s="1006"/>
      <c r="IR256" s="996">
        <v>0</v>
      </c>
      <c r="IS256" s="1006" t="s">
        <v>204</v>
      </c>
      <c r="IT256" s="996">
        <v>-7.6144217599999973</v>
      </c>
      <c r="IU256" s="1006"/>
      <c r="IV256" s="996">
        <v>0</v>
      </c>
      <c r="IW256" s="1006" t="s">
        <v>204</v>
      </c>
      <c r="IX256" s="996">
        <v>-4.48249824</v>
      </c>
      <c r="IY256" s="1006" t="s">
        <v>204</v>
      </c>
      <c r="IZ256" s="996">
        <v>17.977176799999999</v>
      </c>
      <c r="JA256" s="1006"/>
      <c r="JB256" s="996">
        <v>0</v>
      </c>
      <c r="JC256" s="1006"/>
      <c r="JD256" s="996">
        <v>0</v>
      </c>
      <c r="JE256" s="1006"/>
      <c r="JF256" s="996">
        <v>0</v>
      </c>
      <c r="JG256" s="1006"/>
      <c r="JH256" s="996">
        <v>0</v>
      </c>
      <c r="JI256" s="1006"/>
      <c r="JJ256" s="996">
        <v>0</v>
      </c>
      <c r="JK256" s="1007"/>
      <c r="JL256" s="1007">
        <v>0</v>
      </c>
      <c r="JM256" s="1007"/>
      <c r="JN256" s="1007">
        <v>0</v>
      </c>
      <c r="JO256" s="1008"/>
      <c r="JP256" s="1007">
        <v>0</v>
      </c>
      <c r="JQ256" s="1008" t="s">
        <v>199</v>
      </c>
      <c r="JR256" s="1007">
        <v>-8.5420808000000008</v>
      </c>
      <c r="JS256" s="1008">
        <v>0</v>
      </c>
      <c r="JT256" s="1007">
        <v>0</v>
      </c>
      <c r="JU256" s="1008"/>
      <c r="JV256" s="1007">
        <v>0</v>
      </c>
      <c r="JW256" s="1008" t="s">
        <v>197</v>
      </c>
      <c r="JX256" s="1007">
        <v>0</v>
      </c>
      <c r="JY256" s="1008"/>
      <c r="JZ256" s="1007">
        <v>0</v>
      </c>
      <c r="KA256" s="1008"/>
      <c r="KB256" s="1007">
        <v>0</v>
      </c>
      <c r="KC256" s="1008"/>
      <c r="KD256" s="1007">
        <v>0</v>
      </c>
      <c r="KE256" s="1008"/>
      <c r="KF256" s="1007">
        <v>0</v>
      </c>
      <c r="KG256" s="1008"/>
      <c r="KH256" s="1007">
        <v>-2.207040000000049E-2</v>
      </c>
      <c r="KI256" s="1008" t="s">
        <v>203</v>
      </c>
      <c r="KJ256" s="1007">
        <v>-1.8603875839999997</v>
      </c>
      <c r="KK256" s="1008"/>
      <c r="KL256" s="1007">
        <v>0</v>
      </c>
      <c r="KM256" s="1008" t="s">
        <v>25</v>
      </c>
      <c r="KN256" s="1007">
        <v>4.7950819840000003</v>
      </c>
      <c r="KO256" s="1008" t="s">
        <v>25</v>
      </c>
      <c r="KP256" s="1007">
        <v>0</v>
      </c>
      <c r="KQ256" s="1008" t="s">
        <v>207</v>
      </c>
      <c r="KR256" s="1007">
        <v>-3.0831679999999997</v>
      </c>
      <c r="KS256" s="1008">
        <v>0</v>
      </c>
      <c r="KT256" s="1007">
        <v>0</v>
      </c>
      <c r="KU256" s="1008" t="s">
        <v>206</v>
      </c>
      <c r="KV256" s="1007">
        <v>4.8855839999999997</v>
      </c>
      <c r="KW256" s="1008" t="s">
        <v>204</v>
      </c>
      <c r="KX256" s="1007">
        <v>-3.3222639999999988</v>
      </c>
      <c r="KY256" s="1008">
        <v>0</v>
      </c>
      <c r="KZ256" s="1007">
        <v>0</v>
      </c>
      <c r="LA256" s="1008" t="s">
        <v>206</v>
      </c>
      <c r="LB256" s="1007">
        <v>-2.8331204000000021</v>
      </c>
      <c r="LC256" s="1008">
        <v>0</v>
      </c>
      <c r="LD256" s="1007">
        <v>0</v>
      </c>
      <c r="LE256" s="1008">
        <v>0</v>
      </c>
      <c r="LF256" s="1007">
        <v>0</v>
      </c>
      <c r="LG256" s="1008" t="s">
        <v>199</v>
      </c>
      <c r="LH256" s="1007">
        <v>3.569636400000002</v>
      </c>
      <c r="LI256" s="1008">
        <v>0</v>
      </c>
      <c r="LJ256" s="1007">
        <v>0</v>
      </c>
      <c r="LK256" s="1008">
        <v>0</v>
      </c>
      <c r="LL256" s="1007">
        <v>0</v>
      </c>
      <c r="LM256" s="1008" t="s">
        <v>555</v>
      </c>
      <c r="LN256" s="1007">
        <v>0.830148</v>
      </c>
      <c r="LO256" s="1008">
        <v>0</v>
      </c>
      <c r="LP256" s="1007">
        <v>0</v>
      </c>
      <c r="LQ256" s="1008">
        <v>0</v>
      </c>
      <c r="LR256" s="1007">
        <v>0</v>
      </c>
      <c r="LS256" s="1008">
        <v>0</v>
      </c>
      <c r="LT256" s="1007">
        <v>0.83148</v>
      </c>
      <c r="LU256" s="1008" t="s">
        <v>206</v>
      </c>
      <c r="LV256" s="1007">
        <v>-1.66296</v>
      </c>
      <c r="LW256" s="1008">
        <v>0</v>
      </c>
      <c r="LX256" s="1007">
        <v>0</v>
      </c>
      <c r="LY256" s="1009">
        <v>0</v>
      </c>
      <c r="LZ256" s="1010">
        <v>-0.41574100000000003</v>
      </c>
      <c r="MA256" s="1011">
        <v>0</v>
      </c>
      <c r="MB256" s="1012">
        <v>2.5319514000000005</v>
      </c>
      <c r="MC256" s="995"/>
      <c r="MD256" s="996"/>
      <c r="ME256" s="997" t="s">
        <v>220</v>
      </c>
      <c r="MF256" s="997"/>
      <c r="MG256" s="998"/>
      <c r="NR256" s="1000"/>
      <c r="NS256" s="1000"/>
      <c r="NT256" s="1001"/>
      <c r="NU256" s="1000"/>
      <c r="NV256" s="1001"/>
      <c r="NX256" s="1002"/>
      <c r="NZ256" s="1001"/>
      <c r="OA256" s="1001"/>
      <c r="OC256" s="1003"/>
      <c r="OD256" s="1003"/>
      <c r="OE256" s="1001"/>
      <c r="OF256" s="1003"/>
      <c r="OG256" s="1003"/>
      <c r="QX256" s="1000">
        <f>CN256-CA256</f>
        <v>29</v>
      </c>
      <c r="ASU256" s="999" t="s">
        <v>208</v>
      </c>
    </row>
    <row r="257" spans="1:466 1191:1191" ht="21" customHeight="1" x14ac:dyDescent="0.25">
      <c r="A257" s="982">
        <f t="shared" si="163"/>
        <v>1162</v>
      </c>
      <c r="B257" s="124">
        <f>SUBTOTAL(103,$J$29:J257)</f>
        <v>229</v>
      </c>
      <c r="C257" s="126">
        <v>45068</v>
      </c>
      <c r="D257" s="124" t="s">
        <v>176</v>
      </c>
      <c r="E257" s="127" t="s">
        <v>177</v>
      </c>
      <c r="F257" s="128" t="s">
        <v>177</v>
      </c>
      <c r="G257" s="127" t="s">
        <v>178</v>
      </c>
      <c r="H257" s="127" t="s">
        <v>179</v>
      </c>
      <c r="I257" s="127" t="s">
        <v>1090</v>
      </c>
      <c r="J257" s="152">
        <v>1162</v>
      </c>
      <c r="K257" s="127" t="s">
        <v>1090</v>
      </c>
      <c r="L257" s="130">
        <v>41601</v>
      </c>
      <c r="M257" s="127" t="s">
        <v>230</v>
      </c>
      <c r="N257" s="127" t="s">
        <v>184</v>
      </c>
      <c r="O257" s="127" t="s">
        <v>185</v>
      </c>
      <c r="P257" s="127" t="s">
        <v>186</v>
      </c>
      <c r="Q257" s="85" t="str">
        <f t="shared" si="187"/>
        <v/>
      </c>
      <c r="R257" s="130"/>
      <c r="S257" s="128" t="s">
        <v>156</v>
      </c>
      <c r="T257" s="131"/>
      <c r="U257" s="132">
        <v>203</v>
      </c>
      <c r="V257" s="121">
        <v>218.2</v>
      </c>
      <c r="W257" s="116">
        <v>0.98</v>
      </c>
      <c r="X257" s="116">
        <v>1.66</v>
      </c>
      <c r="Y257" s="116">
        <f t="shared" si="191"/>
        <v>0.9820113485452131</v>
      </c>
      <c r="Z257" s="133">
        <v>1.454</v>
      </c>
      <c r="AA257" s="133">
        <v>0.83599999999999997</v>
      </c>
      <c r="AB257" s="133">
        <v>0.72</v>
      </c>
      <c r="AC257" s="121">
        <v>34.299999999999997</v>
      </c>
      <c r="AD257" s="134">
        <v>1.17</v>
      </c>
      <c r="AE257" s="124">
        <v>177.8</v>
      </c>
      <c r="AF257" s="128">
        <v>9.19</v>
      </c>
      <c r="AG257" s="128">
        <v>1910</v>
      </c>
      <c r="AH257" s="127">
        <v>2683</v>
      </c>
      <c r="AI257" s="127">
        <v>2683</v>
      </c>
      <c r="AJ257" s="135"/>
      <c r="AK257" s="128"/>
      <c r="AL257" s="131"/>
      <c r="AM257" s="124" t="s">
        <v>232</v>
      </c>
      <c r="AN257" s="136" t="s">
        <v>1164</v>
      </c>
      <c r="AO257" s="137">
        <v>61.47</v>
      </c>
      <c r="AP257" s="128">
        <v>1910</v>
      </c>
      <c r="AQ257" s="128">
        <v>207.12</v>
      </c>
      <c r="AR257" s="128"/>
      <c r="AS257" s="128"/>
      <c r="AT257" s="122"/>
      <c r="AU257" s="124" t="s">
        <v>189</v>
      </c>
      <c r="AV257" s="115">
        <f>VLOOKUP(J257,'[63]ТР нефть'!$J$28:$BP$638,39,0)</f>
        <v>599.99999062500001</v>
      </c>
      <c r="AW257" s="115" t="str">
        <f>VLOOKUP(J257,'[63]ТР нефть'!$J$28:$BP$638,40,0)</f>
        <v>ГП</v>
      </c>
      <c r="AX257" s="115">
        <f>VLOOKUP(J257,'[63]ТР нефть'!$J$28:$BP$638,41,0)</f>
        <v>1199.99998125</v>
      </c>
      <c r="AY257" s="115" t="str">
        <f>VLOOKUP(J257,'[63]ТР нефть'!$J$28:$BP$638,42,0)</f>
        <v>ГК 83 1/8</v>
      </c>
      <c r="AZ257" s="115">
        <f>VLOOKUP(J257,'[63]ТР нефть'!$J$28:$BP$638,43,0)</f>
        <v>1837.9999593749999</v>
      </c>
      <c r="BA257" s="115" t="str">
        <f>VLOOKUP(J257,'[63]ТР нефть'!$J$28:$BP$638,44,0)</f>
        <v>ЦКсОК 5/16</v>
      </c>
      <c r="BB257" s="115" t="str">
        <f>VLOOKUP(J257,'[63]ТР нефть'!$J$28:$BP$638,45,0)</f>
        <v>-</v>
      </c>
      <c r="BC257" s="115" t="str">
        <f>VLOOKUP(J257,'[63]ТР нефть'!$J$28:$BP$638,46,0)</f>
        <v>-</v>
      </c>
      <c r="BD257" s="115" t="str">
        <f>VLOOKUP(J257,'[63]ТР нефть'!$J$28:$BP$638,47,0)</f>
        <v>-</v>
      </c>
      <c r="BE257" s="115" t="str">
        <f>VLOOKUP(J257,'[63]ТР нефть'!$J$28:$BP$638,48,0)</f>
        <v>-</v>
      </c>
      <c r="BF257" s="115" t="str">
        <f>VLOOKUP(J257,'[63]ТР нефть'!$J$28:$BP$638,49,0)</f>
        <v>-</v>
      </c>
      <c r="BG257" s="115" t="str">
        <f>VLOOKUP(J257,'[63]ТР нефть'!$J$28:$BP$638,50,0)</f>
        <v>-</v>
      </c>
      <c r="BH257" s="115">
        <f>VLOOKUP(J257,'[63]ТР нефть'!$J$28:$BP$638,51,0)</f>
        <v>1848</v>
      </c>
      <c r="BI257" s="115" t="str">
        <f>VLOOKUP(J257,'[63]ТР нефть'!$J$28:$BP$638,52,0)</f>
        <v>закрыт</v>
      </c>
      <c r="BJ257" s="115" t="str">
        <f>IF(IFERROR(VLOOKUP(J257,'[63]ТР нефть'!$J$28:$BP$638,53,0),"-")=0,"-",IFERROR(VLOOKUP(J257,'[63]ТР нефть'!$J$28:$BP$638,53,0),"-"))</f>
        <v>-</v>
      </c>
      <c r="BK257" s="138" t="str">
        <f>IF(IFERROR(VLOOKUP(J257,'[63]ТР нефть'!$J$28:$BP$638,54,0),"-")=0,"-",IFERROR(VLOOKUP(J257,'[63]ТР нефть'!$J$28:$BP$638,54,0),"-"))</f>
        <v>-</v>
      </c>
      <c r="BL257" s="138" t="str">
        <f>IF(IFERROR(VLOOKUP(J257,'[63]ТР нефть'!$J$28:$BP$638,55,0),"-")=0,"-",IFERROR(VLOOKUP(J257,'[63]ТР нефть'!$J$28:$BP$638,55,0),"-"))</f>
        <v>-</v>
      </c>
      <c r="BM257" s="138" t="str">
        <f>IF(IFERROR(VLOOKUP(J257,'[63]ТР нефть'!$J$28:$BP$638,56,0),"-")=0,"-",IFERROR(VLOOKUP(J257,'[63]ТР нефть'!$J$28:$BP$638,56,0),"-"))</f>
        <v>-</v>
      </c>
      <c r="BN257" s="138" t="str">
        <f>IF(IFERROR(VLOOKUP(J257,'[63]ТР нефть'!$J$28:$BP$638,57,0),"-")=0,"-",IFERROR(VLOOKUP(J257,'[63]ТР нефть'!$J$28:$BP$638,57,0),"-"))</f>
        <v>-</v>
      </c>
      <c r="BO257" s="115" t="str">
        <f>IF(IFERROR(VLOOKUP(J257,'[63]ТР нефть'!$J$28:$BP$638,58,0),"-")=0,"-",IFERROR(VLOOKUP(J257,'[63]ТР нефть'!$J$28:$BP$638,58,0),"-"))</f>
        <v>-</v>
      </c>
      <c r="BP257" s="115" t="str">
        <f>IF(IFERROR(VLOOKUP(J257,'[63]ТР нефть'!$J$28:$BP$638,59,0),"-")=0,"-",IFERROR(VLOOKUP(J257,'[63]ТР нефть'!$J$28:$BP$638,59,0),"-"))</f>
        <v>-</v>
      </c>
      <c r="BQ257" s="138">
        <v>2250</v>
      </c>
      <c r="BR257" s="128">
        <v>1838.7</v>
      </c>
      <c r="BS257" s="115">
        <f t="shared" si="164"/>
        <v>411.29999999999995</v>
      </c>
      <c r="BT257" s="128">
        <v>73</v>
      </c>
      <c r="BU257" s="128">
        <v>5.5</v>
      </c>
      <c r="BV257" s="127">
        <v>18</v>
      </c>
      <c r="BW257" s="127" t="s">
        <v>217</v>
      </c>
      <c r="BX257" s="127" t="s">
        <v>195</v>
      </c>
      <c r="BY257" s="139">
        <v>24</v>
      </c>
      <c r="BZ257" s="139">
        <v>0</v>
      </c>
      <c r="CA257" s="80">
        <v>23</v>
      </c>
      <c r="CB257" s="138">
        <v>40</v>
      </c>
      <c r="CC257" s="138">
        <v>22</v>
      </c>
      <c r="CD257" s="135">
        <v>45017</v>
      </c>
      <c r="CE257" s="138">
        <v>81</v>
      </c>
      <c r="CF257" s="138">
        <v>77</v>
      </c>
      <c r="CG257" s="138" t="str">
        <f t="shared" si="202"/>
        <v>В работе</v>
      </c>
      <c r="CH257" s="138" t="s">
        <v>196</v>
      </c>
      <c r="CI257" s="127">
        <v>6</v>
      </c>
      <c r="CJ257" s="138"/>
      <c r="CK257" s="138">
        <f t="shared" si="157"/>
        <v>23</v>
      </c>
      <c r="CL257" s="99"/>
      <c r="CM257" s="99"/>
      <c r="CN257" s="140">
        <v>46</v>
      </c>
      <c r="CO257" s="141">
        <f t="shared" si="165"/>
        <v>8.3181999999999992</v>
      </c>
      <c r="CP257" s="142">
        <v>10</v>
      </c>
      <c r="CQ257" s="143">
        <v>0.5</v>
      </c>
      <c r="CR257" s="138">
        <v>26</v>
      </c>
      <c r="CS257" s="139">
        <v>8.1999999999999993</v>
      </c>
      <c r="CT257" s="138"/>
      <c r="CU257" s="138">
        <f t="shared" si="188"/>
        <v>17.8</v>
      </c>
      <c r="CV257" s="115">
        <f t="shared" si="189"/>
        <v>2139.8860330359935</v>
      </c>
      <c r="CW257" s="115">
        <f t="shared" si="166"/>
        <v>978.9758957032509</v>
      </c>
      <c r="CX257" s="133">
        <f t="shared" si="190"/>
        <v>0.2857142857142857</v>
      </c>
      <c r="CY257" s="116"/>
      <c r="CZ257" s="131"/>
      <c r="DA257" s="145" t="str">
        <f t="shared" si="167"/>
        <v>Газлифт</v>
      </c>
      <c r="DB257" s="146">
        <f t="shared" si="168"/>
        <v>8.3583280000000002</v>
      </c>
      <c r="DC257" s="142">
        <f t="shared" si="203"/>
        <v>10</v>
      </c>
      <c r="DD257" s="119">
        <f t="shared" si="204"/>
        <v>0.02</v>
      </c>
      <c r="DE257" s="115">
        <f t="shared" si="169"/>
        <v>17.8</v>
      </c>
      <c r="DF257" s="121">
        <f t="shared" si="170"/>
        <v>8.1999999999999993</v>
      </c>
      <c r="DG257" s="115">
        <f t="shared" si="171"/>
        <v>2139.8860330359935</v>
      </c>
      <c r="DH257" s="115">
        <f t="shared" si="172"/>
        <v>46</v>
      </c>
      <c r="DI257" s="147"/>
      <c r="DJ257" s="111">
        <v>43520</v>
      </c>
      <c r="DK257" s="112">
        <v>41601</v>
      </c>
      <c r="DL257" s="113">
        <f t="shared" ca="1" si="192"/>
        <v>3503</v>
      </c>
      <c r="DM257" s="114"/>
      <c r="DN257" s="114"/>
      <c r="DO257" s="114"/>
      <c r="DP257" s="114"/>
      <c r="DQ257" s="112">
        <v>43626</v>
      </c>
      <c r="DR257" s="114" t="s">
        <v>732</v>
      </c>
      <c r="DS257" s="114"/>
      <c r="DT257" s="115">
        <v>55</v>
      </c>
      <c r="DU257" s="116">
        <f t="shared" si="193"/>
        <v>0.38461538461538464</v>
      </c>
      <c r="DV257" s="117">
        <f t="shared" si="194"/>
        <v>8.3181999999999992</v>
      </c>
      <c r="DW257" s="118">
        <f t="shared" si="195"/>
        <v>10</v>
      </c>
      <c r="DX257" s="119">
        <f t="shared" si="173"/>
        <v>0.5</v>
      </c>
      <c r="DY257" s="115">
        <f t="shared" si="196"/>
        <v>17.8</v>
      </c>
      <c r="DZ257" s="117">
        <f t="shared" si="197"/>
        <v>0</v>
      </c>
      <c r="EA257" s="120">
        <f t="shared" si="197"/>
        <v>0</v>
      </c>
      <c r="EB257" s="119">
        <f t="shared" si="197"/>
        <v>0</v>
      </c>
      <c r="EC257" s="121">
        <f t="shared" si="198"/>
        <v>0</v>
      </c>
      <c r="ED257" s="122"/>
      <c r="EE257" s="145">
        <v>18</v>
      </c>
      <c r="EF257" s="148">
        <v>25</v>
      </c>
      <c r="EG257" s="115">
        <v>42</v>
      </c>
      <c r="EH257" s="115">
        <v>24</v>
      </c>
      <c r="EI257" s="128" t="s">
        <v>195</v>
      </c>
      <c r="EJ257" s="121">
        <v>24</v>
      </c>
      <c r="EK257" s="121">
        <v>0</v>
      </c>
      <c r="EL257" s="149">
        <v>7.1045787999999996</v>
      </c>
      <c r="EM257" s="142">
        <v>8.5</v>
      </c>
      <c r="EN257" s="119">
        <v>0.02</v>
      </c>
      <c r="EO257" s="138">
        <v>19</v>
      </c>
      <c r="EP257" s="115">
        <v>1604.5989946652433</v>
      </c>
      <c r="EQ257" s="115">
        <v>76</v>
      </c>
      <c r="ER257" s="115">
        <v>7.6</v>
      </c>
      <c r="ES257" s="115">
        <v>50</v>
      </c>
      <c r="ET257" s="150">
        <v>0.27419354838709675</v>
      </c>
      <c r="EU257" s="145">
        <f t="shared" si="174"/>
        <v>18</v>
      </c>
      <c r="EV257" s="115">
        <f t="shared" si="175"/>
        <v>23</v>
      </c>
      <c r="EW257" s="115">
        <f t="shared" si="175"/>
        <v>40</v>
      </c>
      <c r="EX257" s="115">
        <f t="shared" si="175"/>
        <v>22</v>
      </c>
      <c r="EY257" s="115" t="str">
        <f t="shared" si="206"/>
        <v>Постоянный</v>
      </c>
      <c r="EZ257" s="115">
        <f t="shared" si="206"/>
        <v>24</v>
      </c>
      <c r="FA257" s="115">
        <f t="shared" si="206"/>
        <v>0</v>
      </c>
      <c r="FB257" s="149">
        <f t="shared" si="176"/>
        <v>8.3181999999999992</v>
      </c>
      <c r="FC257" s="142">
        <f t="shared" si="176"/>
        <v>10</v>
      </c>
      <c r="FD257" s="119">
        <f t="shared" si="176"/>
        <v>0.5</v>
      </c>
      <c r="FE257" s="121">
        <f t="shared" si="176"/>
        <v>26</v>
      </c>
      <c r="FF257" s="121">
        <f t="shared" si="199"/>
        <v>2139.8860330359935</v>
      </c>
      <c r="FG257" s="121">
        <f t="shared" si="177"/>
        <v>77</v>
      </c>
      <c r="FH257" s="121">
        <f t="shared" si="200"/>
        <v>8.1999999999999993</v>
      </c>
      <c r="FI257" s="121">
        <f t="shared" si="205"/>
        <v>46</v>
      </c>
      <c r="FJ257" s="144">
        <f t="shared" si="178"/>
        <v>0.2857142857142857</v>
      </c>
      <c r="FK257" s="132">
        <f t="shared" si="179"/>
        <v>0</v>
      </c>
      <c r="FL257" s="115">
        <f t="shared" si="179"/>
        <v>-2</v>
      </c>
      <c r="FM257" s="115">
        <f t="shared" si="179"/>
        <v>-2</v>
      </c>
      <c r="FN257" s="115">
        <f t="shared" si="162"/>
        <v>-2</v>
      </c>
      <c r="FO257" s="115">
        <f t="shared" si="201"/>
        <v>0</v>
      </c>
      <c r="FP257" s="115">
        <f t="shared" si="201"/>
        <v>0</v>
      </c>
      <c r="FQ257" s="149">
        <f t="shared" si="201"/>
        <v>1.2136211999999995</v>
      </c>
      <c r="FR257" s="142">
        <f t="shared" si="201"/>
        <v>1.5</v>
      </c>
      <c r="FS257" s="119">
        <f t="shared" si="201"/>
        <v>0.48</v>
      </c>
      <c r="FT257" s="121">
        <f t="shared" si="201"/>
        <v>7</v>
      </c>
      <c r="FU257" s="121">
        <f t="shared" si="180"/>
        <v>1</v>
      </c>
      <c r="FV257" s="121">
        <f t="shared" si="180"/>
        <v>0.59999999999999964</v>
      </c>
      <c r="FW257" s="121">
        <f t="shared" si="181"/>
        <v>535.28703837075022</v>
      </c>
      <c r="FX257" s="121">
        <f t="shared" si="182"/>
        <v>-4</v>
      </c>
      <c r="FY257" s="144">
        <f t="shared" si="182"/>
        <v>1.1520737327188946E-2</v>
      </c>
      <c r="FZ257" s="145" t="s">
        <v>199</v>
      </c>
      <c r="GA257" s="151" t="s">
        <v>1165</v>
      </c>
      <c r="GB257" s="145"/>
      <c r="GC257" s="151"/>
      <c r="GD257" s="997" t="s">
        <v>220</v>
      </c>
      <c r="GE257" s="1004"/>
      <c r="GF257" s="1004">
        <v>0</v>
      </c>
      <c r="GG257" s="1004"/>
      <c r="GH257" s="1004">
        <v>0</v>
      </c>
      <c r="GI257" s="145"/>
      <c r="GJ257" s="996">
        <v>0</v>
      </c>
      <c r="GK257" s="145"/>
      <c r="GL257" s="996">
        <v>-0.41791640000000019</v>
      </c>
      <c r="GM257" s="1005"/>
      <c r="GN257" s="996">
        <v>0</v>
      </c>
      <c r="GO257" s="1006"/>
      <c r="GP257" s="996">
        <v>0.12704658560000226</v>
      </c>
      <c r="GQ257" s="1006"/>
      <c r="GR257" s="996">
        <v>0</v>
      </c>
      <c r="GS257" s="1006"/>
      <c r="GT257" s="996">
        <v>-0.41373723599999934</v>
      </c>
      <c r="GU257" s="1006"/>
      <c r="GV257" s="996">
        <v>-8.5522799999999677E-2</v>
      </c>
      <c r="GW257" s="1006"/>
      <c r="GX257" s="1036">
        <v>0</v>
      </c>
      <c r="GY257" s="1006"/>
      <c r="GZ257" s="996">
        <v>0</v>
      </c>
      <c r="HA257" s="1006"/>
      <c r="HB257" s="996">
        <v>0</v>
      </c>
      <c r="HC257" s="1006"/>
      <c r="HD257" s="996">
        <v>-0.66044000000000125</v>
      </c>
      <c r="HE257" s="1006"/>
      <c r="HF257" s="996">
        <v>0</v>
      </c>
      <c r="HG257" s="1006" t="s">
        <v>223</v>
      </c>
      <c r="HH257" s="996">
        <v>-3.0179599999999986</v>
      </c>
      <c r="HI257" s="1006" t="s">
        <v>199</v>
      </c>
      <c r="HJ257" s="996">
        <v>4.5745920000000009</v>
      </c>
      <c r="HK257" s="1006"/>
      <c r="HL257" s="996">
        <v>0</v>
      </c>
      <c r="HM257" s="1006"/>
      <c r="HN257" s="996">
        <v>1.8726400000000254E-2</v>
      </c>
      <c r="HO257" s="1006"/>
      <c r="HP257" s="996">
        <v>0.58988160000000001</v>
      </c>
      <c r="HQ257" s="1006"/>
      <c r="HR257" s="996">
        <v>-0.49638336000000116</v>
      </c>
      <c r="HS257" s="1006"/>
      <c r="HT257" s="996">
        <v>0</v>
      </c>
      <c r="HU257" s="1006"/>
      <c r="HV257" s="996">
        <v>0</v>
      </c>
      <c r="HW257" s="1006"/>
      <c r="HX257" s="996">
        <v>0</v>
      </c>
      <c r="HY257" s="1006"/>
      <c r="HZ257" s="996">
        <v>0</v>
      </c>
      <c r="IA257" s="1006"/>
      <c r="IB257" s="996">
        <v>-0.68510868799999969</v>
      </c>
      <c r="IC257" s="1006"/>
      <c r="ID257" s="996">
        <v>0</v>
      </c>
      <c r="IE257" s="1006"/>
      <c r="IF257" s="996">
        <v>0</v>
      </c>
      <c r="IG257" s="1006"/>
      <c r="IH257" s="996">
        <v>0</v>
      </c>
      <c r="II257" s="1006"/>
      <c r="IJ257" s="996">
        <v>0</v>
      </c>
      <c r="IK257" s="1006"/>
      <c r="IL257" s="996">
        <v>0</v>
      </c>
      <c r="IM257" s="1006"/>
      <c r="IN257" s="996">
        <v>0.43445916800000006</v>
      </c>
      <c r="IO257" s="1006"/>
      <c r="IP257" s="996">
        <v>0</v>
      </c>
      <c r="IQ257" s="1006"/>
      <c r="IR257" s="996">
        <v>-0.5848488800000009</v>
      </c>
      <c r="IS257" s="1006" t="s">
        <v>223</v>
      </c>
      <c r="IT257" s="996">
        <v>-5.2803498879999982</v>
      </c>
      <c r="IU257" s="1006"/>
      <c r="IV257" s="996">
        <v>0</v>
      </c>
      <c r="IW257" s="1006" t="s">
        <v>204</v>
      </c>
      <c r="IX257" s="996">
        <v>3.1080540479999978</v>
      </c>
      <c r="IY257" s="1006"/>
      <c r="IZ257" s="996">
        <v>0</v>
      </c>
      <c r="JA257" s="1006" t="s">
        <v>204</v>
      </c>
      <c r="JB257" s="996">
        <v>-1.6709967999999993</v>
      </c>
      <c r="JC257" s="1006"/>
      <c r="JD257" s="996">
        <v>0</v>
      </c>
      <c r="JE257" s="1006"/>
      <c r="JF257" s="996">
        <v>0</v>
      </c>
      <c r="JG257" s="1006" t="s">
        <v>199</v>
      </c>
      <c r="JH257" s="996">
        <v>4.1774920000000009</v>
      </c>
      <c r="JI257" s="1006"/>
      <c r="JJ257" s="996">
        <v>0</v>
      </c>
      <c r="JK257" s="1007"/>
      <c r="JL257" s="1007">
        <v>0</v>
      </c>
      <c r="JM257" s="1007"/>
      <c r="JN257" s="1007">
        <v>0</v>
      </c>
      <c r="JO257" s="1008"/>
      <c r="JP257" s="1007">
        <v>0</v>
      </c>
      <c r="JQ257" s="1008">
        <v>0</v>
      </c>
      <c r="JR257" s="1007">
        <v>0</v>
      </c>
      <c r="JS257" s="1008">
        <v>0</v>
      </c>
      <c r="JT257" s="1007">
        <v>0</v>
      </c>
      <c r="JU257" s="1008"/>
      <c r="JV257" s="1007">
        <v>0</v>
      </c>
      <c r="JW257" s="1008" t="s">
        <v>206</v>
      </c>
      <c r="JX257" s="1007">
        <v>-1.6709967999999993</v>
      </c>
      <c r="JY257" s="1008"/>
      <c r="JZ257" s="1007">
        <v>0</v>
      </c>
      <c r="KA257" s="1008"/>
      <c r="KB257" s="1007">
        <v>0</v>
      </c>
      <c r="KC257" s="1008"/>
      <c r="KD257" s="1007">
        <v>0</v>
      </c>
      <c r="KE257" s="1008" t="s">
        <v>240</v>
      </c>
      <c r="KF257" s="1007">
        <v>1.6709967999999993</v>
      </c>
      <c r="KG257" s="1008" t="s">
        <v>203</v>
      </c>
      <c r="KH257" s="1007">
        <v>-2.5064952000000016</v>
      </c>
      <c r="KI257" s="1008"/>
      <c r="KJ257" s="1007">
        <v>0</v>
      </c>
      <c r="KK257" s="1008"/>
      <c r="KL257" s="1007">
        <v>7.0224000000003173E-3</v>
      </c>
      <c r="KM257" s="1008" t="s">
        <v>203</v>
      </c>
      <c r="KN257" s="1007">
        <v>-2.5049904000000005</v>
      </c>
      <c r="KO257" s="1008" t="s">
        <v>203</v>
      </c>
      <c r="KP257" s="1007">
        <v>2.5049904000000005</v>
      </c>
      <c r="KQ257" s="1008" t="s">
        <v>203</v>
      </c>
      <c r="KR257" s="1007">
        <v>-4.0079846400000019</v>
      </c>
      <c r="KS257" s="1008">
        <v>0</v>
      </c>
      <c r="KT257" s="1007">
        <v>0</v>
      </c>
      <c r="KU257" s="1008">
        <v>0</v>
      </c>
      <c r="KV257" s="1007">
        <v>0</v>
      </c>
      <c r="KW257" s="1008">
        <v>0</v>
      </c>
      <c r="KX257" s="1007">
        <v>0</v>
      </c>
      <c r="KY257" s="1008" t="s">
        <v>342</v>
      </c>
      <c r="KZ257" s="1007">
        <v>5.6779782400000016</v>
      </c>
      <c r="LA257" s="1008" t="s">
        <v>206</v>
      </c>
      <c r="LB257" s="1007">
        <v>4.0188192000000003</v>
      </c>
      <c r="LC257" s="1008" t="s">
        <v>206</v>
      </c>
      <c r="LD257" s="1007">
        <v>0.58344440000000031</v>
      </c>
      <c r="LE257" s="1008">
        <v>0</v>
      </c>
      <c r="LF257" s="1007">
        <v>0</v>
      </c>
      <c r="LG257" s="1008" t="s">
        <v>206</v>
      </c>
      <c r="LH257" s="1007">
        <v>0.91684120000000002</v>
      </c>
      <c r="LI257" s="1008">
        <v>0</v>
      </c>
      <c r="LJ257" s="1007">
        <v>0</v>
      </c>
      <c r="LK257" s="1008">
        <v>0</v>
      </c>
      <c r="LL257" s="1007">
        <v>0</v>
      </c>
      <c r="LM257" s="1008">
        <v>0</v>
      </c>
      <c r="LN257" s="1007">
        <v>-0.50009999999999999</v>
      </c>
      <c r="LO257" s="1008">
        <v>0</v>
      </c>
      <c r="LP257" s="1007">
        <v>-0.83349200000000001</v>
      </c>
      <c r="LQ257" s="1008" t="s">
        <v>204</v>
      </c>
      <c r="LR257" s="1007">
        <v>-1.6669840000000011</v>
      </c>
      <c r="LS257" s="1008">
        <v>0</v>
      </c>
      <c r="LT257" s="1007">
        <v>1.25238</v>
      </c>
      <c r="LU257" s="1008">
        <v>0</v>
      </c>
      <c r="LV257" s="1007">
        <v>0.41674600000000001</v>
      </c>
      <c r="LW257" s="1008">
        <v>0</v>
      </c>
      <c r="LX257" s="1007">
        <v>0.66679359999999999</v>
      </c>
      <c r="LY257" s="1009">
        <v>0</v>
      </c>
      <c r="LZ257" s="1010">
        <v>-0.33339679999999999</v>
      </c>
      <c r="MA257" s="1011" t="s">
        <v>206</v>
      </c>
      <c r="MB257" s="1012">
        <v>1.3335871999999993</v>
      </c>
      <c r="MC257" s="995"/>
      <c r="MD257" s="996"/>
      <c r="ME257" s="997" t="s">
        <v>220</v>
      </c>
      <c r="MF257" s="997"/>
      <c r="MG257" s="998"/>
      <c r="NR257" s="1000"/>
      <c r="NS257" s="1000"/>
      <c r="NT257" s="1001"/>
      <c r="NU257" s="1000"/>
      <c r="NV257" s="1001"/>
      <c r="NX257" s="1002"/>
      <c r="NZ257" s="1001"/>
      <c r="OA257" s="1001"/>
      <c r="OC257" s="1003"/>
      <c r="OD257" s="1003"/>
      <c r="OE257" s="1001"/>
      <c r="OF257" s="1003"/>
      <c r="OG257" s="1003"/>
      <c r="QX257" s="1000">
        <f>CN257-CA257</f>
        <v>23</v>
      </c>
      <c r="ASU257" s="999" t="s">
        <v>208</v>
      </c>
    </row>
    <row r="258" spans="1:466 1191:1191" ht="21" customHeight="1" x14ac:dyDescent="0.25">
      <c r="A258" s="982" t="str">
        <f t="shared" si="163"/>
        <v>1162-1</v>
      </c>
      <c r="B258" s="124">
        <f>SUBTOTAL(103,$J$29:J258)</f>
        <v>230</v>
      </c>
      <c r="C258" s="126">
        <v>45096</v>
      </c>
      <c r="D258" s="124" t="s">
        <v>176</v>
      </c>
      <c r="E258" s="127" t="s">
        <v>177</v>
      </c>
      <c r="F258" s="128" t="s">
        <v>177</v>
      </c>
      <c r="G258" s="127" t="s">
        <v>178</v>
      </c>
      <c r="H258" s="127" t="s">
        <v>421</v>
      </c>
      <c r="I258" s="127" t="s">
        <v>1153</v>
      </c>
      <c r="J258" s="152" t="s">
        <v>1166</v>
      </c>
      <c r="K258" s="127" t="s">
        <v>1154</v>
      </c>
      <c r="L258" s="130">
        <v>41836</v>
      </c>
      <c r="M258" s="127" t="s">
        <v>230</v>
      </c>
      <c r="N258" s="127" t="s">
        <v>231</v>
      </c>
      <c r="O258" s="127" t="s">
        <v>185</v>
      </c>
      <c r="P258" s="127" t="s">
        <v>225</v>
      </c>
      <c r="Q258" s="85" t="str">
        <f t="shared" si="187"/>
        <v/>
      </c>
      <c r="R258" s="130"/>
      <c r="S258" s="128" t="s">
        <v>156</v>
      </c>
      <c r="T258" s="131"/>
      <c r="U258" s="132">
        <v>203</v>
      </c>
      <c r="V258" s="121">
        <v>218.2</v>
      </c>
      <c r="W258" s="116">
        <v>0.98</v>
      </c>
      <c r="X258" s="116">
        <v>1.66</v>
      </c>
      <c r="Y258" s="116">
        <f t="shared" si="191"/>
        <v>1.2778458541489928</v>
      </c>
      <c r="Z258" s="133">
        <v>1.454</v>
      </c>
      <c r="AA258" s="133">
        <v>0.83599999999999997</v>
      </c>
      <c r="AB258" s="133">
        <v>0.72</v>
      </c>
      <c r="AC258" s="121">
        <v>34.299999999999997</v>
      </c>
      <c r="AD258" s="134">
        <v>1.17</v>
      </c>
      <c r="AE258" s="124">
        <v>177.8</v>
      </c>
      <c r="AF258" s="128">
        <v>9.19</v>
      </c>
      <c r="AG258" s="128">
        <v>2116</v>
      </c>
      <c r="AH258" s="127" t="s">
        <v>1167</v>
      </c>
      <c r="AI258" s="127" t="s">
        <v>1167</v>
      </c>
      <c r="AJ258" s="135"/>
      <c r="AK258" s="128"/>
      <c r="AL258" s="131"/>
      <c r="AM258" s="124" t="s">
        <v>232</v>
      </c>
      <c r="AN258" s="136" t="s">
        <v>1168</v>
      </c>
      <c r="AO258" s="137">
        <v>9</v>
      </c>
      <c r="AP258" s="128">
        <v>2116</v>
      </c>
      <c r="AQ258" s="128">
        <v>205.61</v>
      </c>
      <c r="AR258" s="128"/>
      <c r="AS258" s="128"/>
      <c r="AT258" s="122"/>
      <c r="AU258" s="124" t="s">
        <v>883</v>
      </c>
      <c r="AV258" s="115">
        <f>VLOOKUP(J258,'[63]ТР нефть'!$J$28:$BP$638,39,0)</f>
        <v>300</v>
      </c>
      <c r="AW258" s="115" t="str">
        <f>VLOOKUP(J258,'[63]ТР нефть'!$J$28:$BP$638,40,0)</f>
        <v>ГП</v>
      </c>
      <c r="AX258" s="115" t="str">
        <f>VLOOKUP(J258,'[63]ТР нефть'!$J$28:$BP$638,41,0)</f>
        <v>-</v>
      </c>
      <c r="AY258" s="115" t="str">
        <f>VLOOKUP(J258,'[63]ТР нефть'!$J$28:$BP$638,42,0)</f>
        <v>-</v>
      </c>
      <c r="AZ258" s="115" t="str">
        <f>VLOOKUP(J258,'[63]ТР нефть'!$J$28:$BP$638,43,0)</f>
        <v>-</v>
      </c>
      <c r="BA258" s="115" t="str">
        <f>VLOOKUP(J258,'[63]ТР нефть'!$J$28:$BP$638,44,0)</f>
        <v>-</v>
      </c>
      <c r="BB258" s="115" t="str">
        <f>VLOOKUP(J258,'[63]ТР нефть'!$J$28:$BP$638,45,0)</f>
        <v>-</v>
      </c>
      <c r="BC258" s="115" t="str">
        <f>VLOOKUP(J258,'[63]ТР нефть'!$J$28:$BP$638,46,0)</f>
        <v>-</v>
      </c>
      <c r="BD258" s="115" t="str">
        <f>VLOOKUP(J258,'[63]ТР нефть'!$J$28:$BP$638,47,0)</f>
        <v>-</v>
      </c>
      <c r="BE258" s="115" t="str">
        <f>VLOOKUP(J258,'[63]ТР нефть'!$J$28:$BP$638,48,0)</f>
        <v>-</v>
      </c>
      <c r="BF258" s="115" t="str">
        <f>VLOOKUP(J258,'[63]ТР нефть'!$J$28:$BP$638,49,0)</f>
        <v>-</v>
      </c>
      <c r="BG258" s="115" t="str">
        <f>VLOOKUP(J258,'[63]ТР нефть'!$J$28:$BP$638,50,0)</f>
        <v>-</v>
      </c>
      <c r="BH258" s="115">
        <f>VLOOKUP(J258,'[63]ТР нефть'!$J$28:$BP$638,51,0)</f>
        <v>1590</v>
      </c>
      <c r="BI258" s="115" t="str">
        <f>VLOOKUP(J258,'[63]ТР нефть'!$J$28:$BP$638,52,0)</f>
        <v>закрыт</v>
      </c>
      <c r="BJ258" s="115" t="str">
        <f>IF(IFERROR(VLOOKUP(J258,'[63]ТР нефть'!$J$28:$BP$638,53,0),"-")=0,"-",IFERROR(VLOOKUP(J258,'[63]ТР нефть'!$J$28:$BP$638,53,0),"-"))</f>
        <v>-</v>
      </c>
      <c r="BK258" s="138" t="str">
        <f>IF(IFERROR(VLOOKUP(J258,'[63]ТР нефть'!$J$28:$BP$638,54,0),"-")=0,"-",IFERROR(VLOOKUP(J258,'[63]ТР нефть'!$J$28:$BP$638,54,0),"-"))</f>
        <v>D1050N</v>
      </c>
      <c r="BL258" s="138" t="str">
        <f>IF(IFERROR(VLOOKUP(J258,'[63]ТР нефть'!$J$28:$BP$638,55,0),"-")=0,"-",IFERROR(VLOOKUP(J258,'[63]ТР нефть'!$J$28:$BP$638,55,0),"-"))</f>
        <v>-</v>
      </c>
      <c r="BM258" s="138">
        <f>IF(IFERROR(VLOOKUP(J258,'[63]ТР нефть'!$J$28:$BP$638,56,0),"-")=0,"-",IFERROR(VLOOKUP(J258,'[63]ТР нефть'!$J$28:$BP$638,56,0),"-"))</f>
        <v>1110</v>
      </c>
      <c r="BN258" s="138">
        <v>43</v>
      </c>
      <c r="BO258" s="115">
        <v>54</v>
      </c>
      <c r="BP258" s="115" t="str">
        <f>IF(IFERROR(VLOOKUP(J258,'[63]ТР нефть'!$J$28:$BP$638,59,0),"-")=0,"-",IFERROR(VLOOKUP(J258,'[63]ТР нефть'!$J$28:$BP$638,59,0),"-"))</f>
        <v>-</v>
      </c>
      <c r="BQ258" s="138">
        <v>1530</v>
      </c>
      <c r="BR258" s="128">
        <v>1522.06</v>
      </c>
      <c r="BS258" s="115">
        <f t="shared" si="164"/>
        <v>7.9400000000000546</v>
      </c>
      <c r="BT258" s="128">
        <v>73</v>
      </c>
      <c r="BU258" s="128">
        <v>5.5</v>
      </c>
      <c r="BV258" s="127">
        <v>65</v>
      </c>
      <c r="BW258" s="127" t="s">
        <v>217</v>
      </c>
      <c r="BX258" s="127" t="s">
        <v>218</v>
      </c>
      <c r="BY258" s="208">
        <v>2</v>
      </c>
      <c r="BZ258" s="208">
        <v>6</v>
      </c>
      <c r="CA258" s="115">
        <v>28</v>
      </c>
      <c r="CB258" s="115">
        <v>28</v>
      </c>
      <c r="CC258" s="115">
        <v>27</v>
      </c>
      <c r="CD258" s="135">
        <v>45017</v>
      </c>
      <c r="CE258" s="138">
        <v>139</v>
      </c>
      <c r="CF258" s="138"/>
      <c r="CG258" s="138" t="str">
        <f t="shared" si="202"/>
        <v/>
      </c>
      <c r="CH258" s="138" t="s">
        <v>197</v>
      </c>
      <c r="CI258" s="127"/>
      <c r="CJ258" s="138"/>
      <c r="CK258" s="138"/>
      <c r="CL258" s="99"/>
      <c r="CM258" s="127">
        <v>64</v>
      </c>
      <c r="CN258" s="154">
        <f>IF(CM258=0,0,(((AP258-AQ258-BR258)*((AD258*(CQ258/100))+(AB258*((100-CQ258)/100)))*9.81/100+CM258)))</f>
        <v>101.18279360664999</v>
      </c>
      <c r="CO258" s="141">
        <f t="shared" si="165"/>
        <v>8.8277420000000006</v>
      </c>
      <c r="CP258" s="142">
        <v>24.5</v>
      </c>
      <c r="CQ258" s="119">
        <v>56.9</v>
      </c>
      <c r="CR258" s="115">
        <v>12.4</v>
      </c>
      <c r="CS258" s="139"/>
      <c r="CT258" s="138"/>
      <c r="CU258" s="138">
        <f t="shared" si="188"/>
        <v>12.4</v>
      </c>
      <c r="CV258" s="115">
        <f t="shared" si="189"/>
        <v>1404.6627098979557</v>
      </c>
      <c r="CW258" s="115" t="str">
        <f t="shared" si="166"/>
        <v/>
      </c>
      <c r="CX258" s="133">
        <f t="shared" si="190"/>
        <v>0.64785324820577495</v>
      </c>
      <c r="CY258" s="116"/>
      <c r="CZ258" s="131"/>
      <c r="DA258" s="145" t="str">
        <f t="shared" si="167"/>
        <v>ЭЦН</v>
      </c>
      <c r="DB258" s="146">
        <f t="shared" si="168"/>
        <v>8.8277420000000006</v>
      </c>
      <c r="DC258" s="142">
        <f t="shared" si="203"/>
        <v>24.5</v>
      </c>
      <c r="DD258" s="119">
        <f t="shared" si="204"/>
        <v>56.9</v>
      </c>
      <c r="DE258" s="115">
        <f t="shared" si="169"/>
        <v>12.4</v>
      </c>
      <c r="DF258" s="121">
        <f t="shared" si="170"/>
        <v>0</v>
      </c>
      <c r="DG258" s="115">
        <f t="shared" si="171"/>
        <v>1404.6627098979557</v>
      </c>
      <c r="DH258" s="115">
        <f t="shared" si="172"/>
        <v>101.18279360664999</v>
      </c>
      <c r="DI258" s="147"/>
      <c r="DJ258" s="111">
        <v>44266</v>
      </c>
      <c r="DK258" s="112">
        <v>44320</v>
      </c>
      <c r="DL258" s="113">
        <f t="shared" ca="1" si="192"/>
        <v>784</v>
      </c>
      <c r="DM258" s="114"/>
      <c r="DN258" s="114"/>
      <c r="DO258" s="114"/>
      <c r="DP258" s="114"/>
      <c r="DQ258" s="112">
        <v>41836</v>
      </c>
      <c r="DR258" s="114" t="s">
        <v>324</v>
      </c>
      <c r="DS258" s="114"/>
      <c r="DT258" s="115">
        <v>80</v>
      </c>
      <c r="DU258" s="116">
        <f t="shared" si="193"/>
        <v>0.59793798904693196</v>
      </c>
      <c r="DV258" s="117">
        <f t="shared" si="194"/>
        <v>12.711350843224627</v>
      </c>
      <c r="DW258" s="118">
        <f t="shared" si="195"/>
        <v>35.278341353768987</v>
      </c>
      <c r="DX258" s="119">
        <f t="shared" si="173"/>
        <v>56.9</v>
      </c>
      <c r="DY258" s="115">
        <f t="shared" si="196"/>
        <v>17.855160521907568</v>
      </c>
      <c r="DZ258" s="117">
        <f t="shared" si="197"/>
        <v>3.8836088432246267</v>
      </c>
      <c r="EA258" s="120">
        <f t="shared" si="197"/>
        <v>10.778341353768987</v>
      </c>
      <c r="EB258" s="119">
        <f t="shared" si="197"/>
        <v>0</v>
      </c>
      <c r="EC258" s="121">
        <f t="shared" si="198"/>
        <v>5.4551605219075672</v>
      </c>
      <c r="ED258" s="122"/>
      <c r="EE258" s="145">
        <v>65</v>
      </c>
      <c r="EF258" s="115">
        <v>29</v>
      </c>
      <c r="EG258" s="115">
        <v>29</v>
      </c>
      <c r="EH258" s="115">
        <v>28</v>
      </c>
      <c r="EI258" s="128" t="s">
        <v>218</v>
      </c>
      <c r="EJ258" s="121">
        <v>2</v>
      </c>
      <c r="EK258" s="121">
        <v>6</v>
      </c>
      <c r="EL258" s="149">
        <v>9.0288000000000004</v>
      </c>
      <c r="EM258" s="142">
        <v>27</v>
      </c>
      <c r="EN258" s="119">
        <v>60</v>
      </c>
      <c r="EO258" s="115">
        <v>17</v>
      </c>
      <c r="EP258" s="115">
        <v>1882.863724968988</v>
      </c>
      <c r="EQ258" s="115">
        <v>0</v>
      </c>
      <c r="ER258" s="115">
        <v>0</v>
      </c>
      <c r="ES258" s="115">
        <v>101.71422127</v>
      </c>
      <c r="ET258" s="150">
        <v>0.72413667944330462</v>
      </c>
      <c r="EU258" s="145">
        <f t="shared" si="174"/>
        <v>65</v>
      </c>
      <c r="EV258" s="115">
        <f t="shared" si="175"/>
        <v>28</v>
      </c>
      <c r="EW258" s="115">
        <f t="shared" si="175"/>
        <v>28</v>
      </c>
      <c r="EX258" s="115">
        <f t="shared" si="175"/>
        <v>27</v>
      </c>
      <c r="EY258" s="115" t="str">
        <f t="shared" si="206"/>
        <v>Периодический</v>
      </c>
      <c r="EZ258" s="115">
        <f t="shared" si="206"/>
        <v>2</v>
      </c>
      <c r="FA258" s="115">
        <f t="shared" si="206"/>
        <v>6</v>
      </c>
      <c r="FB258" s="149">
        <f t="shared" si="176"/>
        <v>8.8277420000000006</v>
      </c>
      <c r="FC258" s="142">
        <f t="shared" si="176"/>
        <v>24.5</v>
      </c>
      <c r="FD258" s="119">
        <f t="shared" si="176"/>
        <v>56.9</v>
      </c>
      <c r="FE258" s="121">
        <f t="shared" si="176"/>
        <v>12.4</v>
      </c>
      <c r="FF258" s="121">
        <f t="shared" si="199"/>
        <v>1404.6627098979557</v>
      </c>
      <c r="FG258" s="121">
        <f t="shared" si="177"/>
        <v>0</v>
      </c>
      <c r="FH258" s="121">
        <f t="shared" si="200"/>
        <v>0</v>
      </c>
      <c r="FI258" s="121">
        <f t="shared" si="205"/>
        <v>101.18279360664999</v>
      </c>
      <c r="FJ258" s="144">
        <f t="shared" si="178"/>
        <v>0.64785324820577495</v>
      </c>
      <c r="FK258" s="132">
        <f t="shared" si="179"/>
        <v>0</v>
      </c>
      <c r="FL258" s="115">
        <f t="shared" si="179"/>
        <v>-1</v>
      </c>
      <c r="FM258" s="115">
        <f t="shared" si="179"/>
        <v>-1</v>
      </c>
      <c r="FN258" s="115">
        <f t="shared" si="162"/>
        <v>-1</v>
      </c>
      <c r="FO258" s="115">
        <f t="shared" si="201"/>
        <v>0</v>
      </c>
      <c r="FP258" s="115">
        <f t="shared" si="201"/>
        <v>0</v>
      </c>
      <c r="FQ258" s="149">
        <f t="shared" si="201"/>
        <v>-0.20105799999999974</v>
      </c>
      <c r="FR258" s="142">
        <f t="shared" si="201"/>
        <v>-2.5</v>
      </c>
      <c r="FS258" s="119">
        <f t="shared" si="201"/>
        <v>-3.1000000000000014</v>
      </c>
      <c r="FT258" s="121">
        <f t="shared" si="201"/>
        <v>-4.5999999999999996</v>
      </c>
      <c r="FU258" s="121">
        <f t="shared" si="180"/>
        <v>0</v>
      </c>
      <c r="FV258" s="121">
        <f t="shared" si="180"/>
        <v>0</v>
      </c>
      <c r="FW258" s="121">
        <f t="shared" si="181"/>
        <v>-478.20101507103232</v>
      </c>
      <c r="FX258" s="121">
        <f t="shared" si="182"/>
        <v>-0.53142766335000147</v>
      </c>
      <c r="FY258" s="144">
        <f t="shared" si="182"/>
        <v>-7.6283431237529675E-2</v>
      </c>
      <c r="FZ258" s="145"/>
      <c r="GA258" s="1033" t="s">
        <v>266</v>
      </c>
      <c r="GB258" s="151"/>
      <c r="GC258" s="151" t="s">
        <v>1169</v>
      </c>
      <c r="GD258" s="997" t="s">
        <v>238</v>
      </c>
      <c r="GE258" s="1004"/>
      <c r="GF258" s="1004">
        <v>0</v>
      </c>
      <c r="GG258" s="1004"/>
      <c r="GH258" s="1004">
        <v>0</v>
      </c>
      <c r="GI258" s="1052" t="s">
        <v>204</v>
      </c>
      <c r="GJ258" s="996">
        <v>8.8030799999999996</v>
      </c>
      <c r="GK258" s="1052"/>
      <c r="GL258" s="996">
        <v>1.6720000000000013E-2</v>
      </c>
      <c r="GM258" s="1005"/>
      <c r="GN258" s="996">
        <v>8.3600000000000091E-2</v>
      </c>
      <c r="GO258" s="1006"/>
      <c r="GP258" s="996">
        <v>0</v>
      </c>
      <c r="GQ258" s="1006"/>
      <c r="GR258" s="996">
        <v>0</v>
      </c>
      <c r="GS258" s="1006" t="s">
        <v>204</v>
      </c>
      <c r="GT258" s="996">
        <v>-7.5706367615999994</v>
      </c>
      <c r="GU258" s="1006"/>
      <c r="GV258" s="996">
        <v>0</v>
      </c>
      <c r="GW258" s="1006"/>
      <c r="GX258" s="1049">
        <v>0</v>
      </c>
      <c r="GY258" s="1006"/>
      <c r="GZ258" s="996">
        <v>0</v>
      </c>
      <c r="HA258" s="1006"/>
      <c r="HB258" s="996">
        <v>0</v>
      </c>
      <c r="HC258" s="1006" t="s">
        <v>204</v>
      </c>
      <c r="HD258" s="996">
        <v>0</v>
      </c>
      <c r="HE258" s="1006" t="s">
        <v>204</v>
      </c>
      <c r="HF258" s="996">
        <v>-9.6514527999999942</v>
      </c>
      <c r="HG258" s="1006"/>
      <c r="HH258" s="996">
        <v>0</v>
      </c>
      <c r="HI258" s="1006"/>
      <c r="HJ258" s="996">
        <v>0</v>
      </c>
      <c r="HK258" s="1006" t="s">
        <v>199</v>
      </c>
      <c r="HL258" s="996">
        <v>13.259093759999995</v>
      </c>
      <c r="HM258" s="1006" t="s">
        <v>199</v>
      </c>
      <c r="HN258" s="996">
        <v>5.4482120000000007</v>
      </c>
      <c r="HO258" s="1006" t="s">
        <v>199</v>
      </c>
      <c r="HP258" s="996">
        <v>-10.687724960000001</v>
      </c>
      <c r="HQ258" s="1006"/>
      <c r="HR258" s="996">
        <v>0</v>
      </c>
      <c r="HS258" s="1006"/>
      <c r="HT258" s="996">
        <v>0</v>
      </c>
      <c r="HU258" s="1006"/>
      <c r="HV258" s="996">
        <v>0</v>
      </c>
      <c r="HW258" s="1006"/>
      <c r="HX258" s="996">
        <v>-0.24076799999999743</v>
      </c>
      <c r="HY258" s="1006" t="s">
        <v>221</v>
      </c>
      <c r="HZ258" s="996">
        <v>2.3311441999999989</v>
      </c>
      <c r="IA258" s="1006" t="s">
        <v>221</v>
      </c>
      <c r="IB258" s="996">
        <v>1.9721825199999987</v>
      </c>
      <c r="IC258" s="1006"/>
      <c r="ID258" s="996">
        <v>0</v>
      </c>
      <c r="IE258" s="1006"/>
      <c r="IF258" s="996">
        <v>0</v>
      </c>
      <c r="IG258" s="1006" t="s">
        <v>204</v>
      </c>
      <c r="IH258" s="996">
        <v>3.7965100799999973</v>
      </c>
      <c r="II258" s="1006" t="s">
        <v>223</v>
      </c>
      <c r="IJ258" s="996">
        <v>-2.0137567999999959</v>
      </c>
      <c r="IK258" s="1006"/>
      <c r="IL258" s="996">
        <v>0</v>
      </c>
      <c r="IM258" s="1006" t="s">
        <v>204</v>
      </c>
      <c r="IN258" s="996">
        <v>-7.6034200000000052</v>
      </c>
      <c r="IO258" s="1006" t="s">
        <v>204</v>
      </c>
      <c r="IP258" s="996">
        <v>-1.314108399999995</v>
      </c>
      <c r="IQ258" s="1006"/>
      <c r="IR258" s="996">
        <v>0</v>
      </c>
      <c r="IS258" s="1006" t="s">
        <v>206</v>
      </c>
      <c r="IT258" s="996">
        <v>7.6791615999999969</v>
      </c>
      <c r="IU258" s="1006" t="s">
        <v>204</v>
      </c>
      <c r="IV258" s="996">
        <v>-5.7876915360000041</v>
      </c>
      <c r="IW258" s="1006"/>
      <c r="IX258" s="996">
        <v>0</v>
      </c>
      <c r="IY258" s="1006"/>
      <c r="IZ258" s="996">
        <v>0</v>
      </c>
      <c r="JA258" s="1006" t="s">
        <v>223</v>
      </c>
      <c r="JB258" s="996">
        <v>4.7496303360000045</v>
      </c>
      <c r="JC258" s="1006"/>
      <c r="JD258" s="996">
        <v>0</v>
      </c>
      <c r="JE258" s="1006"/>
      <c r="JF258" s="996">
        <v>-0.51163199999999875</v>
      </c>
      <c r="JG258" s="1006"/>
      <c r="JH258" s="996">
        <v>0</v>
      </c>
      <c r="JI258" s="1006"/>
      <c r="JJ258" s="996">
        <v>-0.93297599999999825</v>
      </c>
      <c r="JK258" s="1007"/>
      <c r="JL258" s="1007">
        <v>0</v>
      </c>
      <c r="JM258" s="1007" t="s">
        <v>146</v>
      </c>
      <c r="JN258" s="1007">
        <v>-6.047791200000006</v>
      </c>
      <c r="JO258" s="1008"/>
      <c r="JP258" s="1007">
        <v>0</v>
      </c>
      <c r="JQ258" s="1008">
        <v>0</v>
      </c>
      <c r="JR258" s="1007">
        <v>0</v>
      </c>
      <c r="JS258" s="1008">
        <v>0</v>
      </c>
      <c r="JT258" s="1007">
        <v>0</v>
      </c>
      <c r="JU258" s="1008" t="s">
        <v>204</v>
      </c>
      <c r="JV258" s="1007">
        <v>-6.2489327999999951</v>
      </c>
      <c r="JW258" s="1008" t="s">
        <v>197</v>
      </c>
      <c r="JX258" s="1007">
        <v>0</v>
      </c>
      <c r="JY258" s="1008"/>
      <c r="JZ258" s="1007">
        <v>0</v>
      </c>
      <c r="KA258" s="1008" t="s">
        <v>204</v>
      </c>
      <c r="KB258" s="1007">
        <v>2.6919200000000032</v>
      </c>
      <c r="KC258" s="1008"/>
      <c r="KD258" s="1007">
        <v>-3.0480560000004431E-2</v>
      </c>
      <c r="KE258" s="1008" t="s">
        <v>199</v>
      </c>
      <c r="KF258" s="1007">
        <v>-13.934732240000002</v>
      </c>
      <c r="KG258" s="1008"/>
      <c r="KH258" s="1007">
        <v>10.859472800000002</v>
      </c>
      <c r="KI258" s="1008" t="s">
        <v>207</v>
      </c>
      <c r="KJ258" s="1007">
        <v>-10.192679200000004</v>
      </c>
      <c r="KK258" s="1008" t="s">
        <v>207</v>
      </c>
      <c r="KL258" s="1007">
        <v>-6.9826063999999946</v>
      </c>
      <c r="KM258" s="1008" t="s">
        <v>221</v>
      </c>
      <c r="KN258" s="1007">
        <v>4.3655217760000014</v>
      </c>
      <c r="KO258" s="1008" t="s">
        <v>224</v>
      </c>
      <c r="KP258" s="1007">
        <v>-5.3308509759999936</v>
      </c>
      <c r="KQ258" s="1008">
        <v>0</v>
      </c>
      <c r="KR258" s="1007">
        <v>0</v>
      </c>
      <c r="KS258" s="1008">
        <v>0</v>
      </c>
      <c r="KT258" s="1007">
        <v>-2.8709076000000024</v>
      </c>
      <c r="KU258" s="1008" t="s">
        <v>204</v>
      </c>
      <c r="KV258" s="1007">
        <v>-17.694441600000005</v>
      </c>
      <c r="KW258" s="1008" t="s">
        <v>199</v>
      </c>
      <c r="KX258" s="1007">
        <v>0</v>
      </c>
      <c r="KY258" s="1008">
        <v>0</v>
      </c>
      <c r="KZ258" s="1007">
        <v>0</v>
      </c>
      <c r="LA258" s="1008" t="s">
        <v>206</v>
      </c>
      <c r="LB258" s="1007">
        <v>-0.62546176000000742</v>
      </c>
      <c r="LC258" s="1008">
        <v>0</v>
      </c>
      <c r="LD258" s="1007">
        <v>0</v>
      </c>
      <c r="LE258" s="1008" t="s">
        <v>204</v>
      </c>
      <c r="LF258" s="1007">
        <v>-2.4823013599999939</v>
      </c>
      <c r="LG258" s="1008">
        <v>0</v>
      </c>
      <c r="LH258" s="1007">
        <v>0</v>
      </c>
      <c r="LI258" s="1008">
        <v>0</v>
      </c>
      <c r="LJ258" s="1007">
        <v>0</v>
      </c>
      <c r="LK258" s="1008">
        <v>0</v>
      </c>
      <c r="LL258" s="1007">
        <v>0</v>
      </c>
      <c r="LM258" s="1008" t="s">
        <v>555</v>
      </c>
      <c r="LN258" s="1007">
        <v>0.69506699999999999</v>
      </c>
      <c r="LO258" s="1008" t="s">
        <v>221</v>
      </c>
      <c r="LP258" s="1007">
        <v>-2.9551799999999</v>
      </c>
      <c r="LQ258" s="1008">
        <v>0</v>
      </c>
      <c r="LR258" s="1007">
        <v>-4.1216210000000002</v>
      </c>
      <c r="LS258" s="1008">
        <v>0</v>
      </c>
      <c r="LT258" s="1007">
        <v>0</v>
      </c>
      <c r="LU258" s="1008" t="s">
        <v>206</v>
      </c>
      <c r="LV258" s="1007">
        <v>8.4528800000000004</v>
      </c>
      <c r="LW258" s="1008" t="s">
        <v>259</v>
      </c>
      <c r="LX258" s="1007">
        <v>-11.211825899999987</v>
      </c>
      <c r="LY258" s="1009" t="s">
        <v>206</v>
      </c>
      <c r="LZ258" s="1010">
        <v>3.9793599999999998</v>
      </c>
      <c r="MA258" s="1011">
        <v>0</v>
      </c>
      <c r="MB258" s="1012">
        <v>0</v>
      </c>
      <c r="MC258" s="995"/>
      <c r="MD258" s="996"/>
      <c r="ME258" s="997" t="s">
        <v>238</v>
      </c>
      <c r="MF258" s="997"/>
      <c r="MG258" s="998"/>
      <c r="NR258" s="1000"/>
      <c r="NS258" s="1000"/>
      <c r="NT258" s="1001"/>
      <c r="NU258" s="1000"/>
      <c r="NV258" s="1001"/>
      <c r="NX258" s="1002"/>
      <c r="NZ258" s="1001"/>
      <c r="OA258" s="1001"/>
      <c r="OC258" s="1003"/>
      <c r="OD258" s="1003"/>
      <c r="OE258" s="1001"/>
      <c r="OF258" s="1003"/>
      <c r="OG258" s="1003"/>
      <c r="QX258" s="1000">
        <f>CN258-CA258</f>
        <v>73.182793606649994</v>
      </c>
      <c r="ASU258" s="999" t="s">
        <v>225</v>
      </c>
    </row>
    <row r="259" spans="1:466 1191:1191" ht="21" customHeight="1" x14ac:dyDescent="0.25">
      <c r="A259" s="982">
        <f t="shared" si="163"/>
        <v>1200</v>
      </c>
      <c r="B259" s="124">
        <f>SUBTOTAL(103,$J$29:J259)</f>
        <v>231</v>
      </c>
      <c r="C259" s="126">
        <v>45068</v>
      </c>
      <c r="D259" s="124" t="s">
        <v>176</v>
      </c>
      <c r="E259" s="127" t="s">
        <v>177</v>
      </c>
      <c r="F259" s="128" t="s">
        <v>177</v>
      </c>
      <c r="G259" s="127" t="s">
        <v>178</v>
      </c>
      <c r="H259" s="127" t="s">
        <v>179</v>
      </c>
      <c r="I259" s="127" t="s">
        <v>921</v>
      </c>
      <c r="J259" s="152">
        <v>1200</v>
      </c>
      <c r="K259" s="127" t="s">
        <v>994</v>
      </c>
      <c r="L259" s="130">
        <v>41417</v>
      </c>
      <c r="M259" s="127" t="s">
        <v>230</v>
      </c>
      <c r="N259" s="127" t="s">
        <v>184</v>
      </c>
      <c r="O259" s="127" t="s">
        <v>185</v>
      </c>
      <c r="P259" s="127" t="s">
        <v>186</v>
      </c>
      <c r="Q259" s="85" t="str">
        <f t="shared" si="187"/>
        <v/>
      </c>
      <c r="R259" s="130"/>
      <c r="S259" s="128" t="s">
        <v>156</v>
      </c>
      <c r="T259" s="131"/>
      <c r="U259" s="132">
        <v>203</v>
      </c>
      <c r="V259" s="121">
        <v>218.2</v>
      </c>
      <c r="W259" s="116">
        <v>0.98</v>
      </c>
      <c r="X259" s="116">
        <v>1.66</v>
      </c>
      <c r="Y259" s="116">
        <f t="shared" si="191"/>
        <v>1.5831062670299727</v>
      </c>
      <c r="Z259" s="133">
        <v>1.454</v>
      </c>
      <c r="AA259" s="133">
        <v>0.83599999999999997</v>
      </c>
      <c r="AB259" s="133">
        <v>0.72</v>
      </c>
      <c r="AC259" s="121">
        <v>34.299999999999997</v>
      </c>
      <c r="AD259" s="134">
        <v>1.17</v>
      </c>
      <c r="AE259" s="124">
        <v>177.8</v>
      </c>
      <c r="AF259" s="128">
        <v>8.0500000000000007</v>
      </c>
      <c r="AG259" s="128">
        <v>2015</v>
      </c>
      <c r="AH259" s="127">
        <v>2360</v>
      </c>
      <c r="AI259" s="127">
        <v>2360</v>
      </c>
      <c r="AJ259" s="135"/>
      <c r="AK259" s="128"/>
      <c r="AL259" s="131"/>
      <c r="AM259" s="124" t="s">
        <v>232</v>
      </c>
      <c r="AN259" s="136" t="s">
        <v>1170</v>
      </c>
      <c r="AO259" s="137">
        <v>54.37</v>
      </c>
      <c r="AP259" s="128">
        <v>2015</v>
      </c>
      <c r="AQ259" s="128">
        <v>87</v>
      </c>
      <c r="AR259" s="128"/>
      <c r="AS259" s="128"/>
      <c r="AT259" s="122"/>
      <c r="AU259" s="124" t="s">
        <v>883</v>
      </c>
      <c r="AV259" s="115">
        <f>VLOOKUP(J259,'[63]ТР нефть'!$J$28:$BP$638,39,0)</f>
        <v>300</v>
      </c>
      <c r="AW259" s="115" t="str">
        <f>VLOOKUP(J259,'[63]ТР нефть'!$J$28:$BP$638,40,0)</f>
        <v>ГП</v>
      </c>
      <c r="AX259" s="115" t="str">
        <f>VLOOKUP(J259,'[63]ТР нефть'!$J$28:$BP$638,41,0)</f>
        <v>-</v>
      </c>
      <c r="AY259" s="115" t="str">
        <f>VLOOKUP(J259,'[63]ТР нефть'!$J$28:$BP$638,42,0)</f>
        <v>-</v>
      </c>
      <c r="AZ259" s="115" t="str">
        <f>VLOOKUP(J259,'[63]ТР нефть'!$J$28:$BP$638,43,0)</f>
        <v>-</v>
      </c>
      <c r="BA259" s="115" t="str">
        <f>VLOOKUP(J259,'[63]ТР нефть'!$J$28:$BP$638,44,0)</f>
        <v>-</v>
      </c>
      <c r="BB259" s="115" t="str">
        <f>VLOOKUP(J259,'[63]ТР нефть'!$J$28:$BP$638,45,0)</f>
        <v>-</v>
      </c>
      <c r="BC259" s="115" t="str">
        <f>VLOOKUP(J259,'[63]ТР нефть'!$J$28:$BP$638,46,0)</f>
        <v>-</v>
      </c>
      <c r="BD259" s="115" t="str">
        <f>VLOOKUP(J259,'[63]ТР нефть'!$J$28:$BP$638,47,0)</f>
        <v>-</v>
      </c>
      <c r="BE259" s="115" t="str">
        <f>VLOOKUP(J259,'[63]ТР нефть'!$J$28:$BP$638,48,0)</f>
        <v>-</v>
      </c>
      <c r="BF259" s="115" t="str">
        <f>VLOOKUP(J259,'[63]ТР нефть'!$J$28:$BP$638,49,0)</f>
        <v>-</v>
      </c>
      <c r="BG259" s="115" t="str">
        <f>VLOOKUP(J259,'[63]ТР нефть'!$J$28:$BP$638,50,0)</f>
        <v>-</v>
      </c>
      <c r="BH259" s="115">
        <f>VLOOKUP(J259,'[63]ТР нефть'!$J$28:$BP$638,51,0)</f>
        <v>1789</v>
      </c>
      <c r="BI259" s="115" t="str">
        <f>VLOOKUP(J259,'[63]ТР нефть'!$J$28:$BP$638,52,0)</f>
        <v>закрыт</v>
      </c>
      <c r="BJ259" s="115" t="str">
        <f>IF(IFERROR(VLOOKUP(J259,'[63]ТР нефть'!$J$28:$BP$638,53,0),"-")=0,"-",IFERROR(VLOOKUP(J259,'[63]ТР нефть'!$J$28:$BP$638,53,0),"-"))</f>
        <v>-</v>
      </c>
      <c r="BK259" s="138" t="str">
        <f>IF(IFERROR(VLOOKUP(J259,'[63]ТР нефть'!$J$28:$BP$638,54,0),"-")=0,"-",IFERROR(VLOOKUP(J259,'[63]ТР нефть'!$J$28:$BP$638,54,0),"-"))</f>
        <v>D1150N</v>
      </c>
      <c r="BL259" s="138" t="str">
        <f>IF(IFERROR(VLOOKUP(J259,'[63]ТР нефть'!$J$28:$BP$638,55,0),"-")=0,"-",IFERROR(VLOOKUP(J259,'[63]ТР нефть'!$J$28:$BP$638,55,0),"-"))</f>
        <v>-</v>
      </c>
      <c r="BM259" s="138">
        <f>IF(IFERROR(VLOOKUP(J259,'[63]ТР нефть'!$J$28:$BP$638,56,0),"-")=0,"-",IFERROR(VLOOKUP(J259,'[63]ТР нефть'!$J$28:$BP$638,56,0),"-"))</f>
        <v>1297</v>
      </c>
      <c r="BN259" s="138">
        <v>57</v>
      </c>
      <c r="BO259" s="115">
        <f>IF(IFERROR(VLOOKUP(J259,'[63]ТР нефть'!$J$28:$BP$638,58,0),"-")=0,"-",IFERROR(VLOOKUP(J259,'[63]ТР нефть'!$J$28:$BP$638,58,0),"-"))</f>
        <v>90</v>
      </c>
      <c r="BP259" s="115" t="str">
        <f>IF(IFERROR(VLOOKUP(J259,'[63]ТР нефть'!$J$28:$BP$638,59,0),"-")=0,"-",IFERROR(VLOOKUP(J259,'[63]ТР нефть'!$J$28:$BP$638,59,0),"-"))</f>
        <v>-</v>
      </c>
      <c r="BQ259" s="138">
        <v>1530</v>
      </c>
      <c r="BR259" s="128">
        <v>1497.9</v>
      </c>
      <c r="BS259" s="115">
        <f t="shared" si="164"/>
        <v>32.099999999999909</v>
      </c>
      <c r="BT259" s="128">
        <v>73</v>
      </c>
      <c r="BU259" s="128">
        <v>5.5</v>
      </c>
      <c r="BV259" s="127">
        <v>65</v>
      </c>
      <c r="BW259" s="127" t="s">
        <v>217</v>
      </c>
      <c r="BX259" s="127" t="s">
        <v>195</v>
      </c>
      <c r="BY259" s="139">
        <v>24</v>
      </c>
      <c r="BZ259" s="139">
        <v>0</v>
      </c>
      <c r="CA259" s="138">
        <v>33</v>
      </c>
      <c r="CB259" s="138">
        <v>33</v>
      </c>
      <c r="CC259" s="138">
        <v>31</v>
      </c>
      <c r="CD259" s="135">
        <v>45017</v>
      </c>
      <c r="CE259" s="138">
        <v>118</v>
      </c>
      <c r="CF259" s="138"/>
      <c r="CG259" s="138" t="str">
        <f t="shared" si="202"/>
        <v/>
      </c>
      <c r="CH259" s="138" t="s">
        <v>197</v>
      </c>
      <c r="CI259" s="127"/>
      <c r="CJ259" s="138">
        <f>IF((BR259-(100*(CM259-CB259))/(9.8*(AB259+AA259)/2))&gt;0,BR259-(100*(CM259-CB259))/(9.8*(AB259+AA259)/2),0)</f>
        <v>1183.1211321546614</v>
      </c>
      <c r="CK259" s="138">
        <f t="shared" ref="CK259:CK322" si="207">CN259-CA259</f>
        <v>72.036514184999987</v>
      </c>
      <c r="CL259" s="99"/>
      <c r="CM259" s="127">
        <v>57</v>
      </c>
      <c r="CN259" s="154">
        <f>IF(CM259=0,0,(((AP259-AQ259-BR259)*((AD259*(CQ259/100))+(AB259*((100-CQ259)/100)))*9.81/100+CM259)))</f>
        <v>105.03651418499999</v>
      </c>
      <c r="CO259" s="141">
        <f t="shared" si="165"/>
        <v>8.3683599999999938</v>
      </c>
      <c r="CP259" s="142">
        <v>143</v>
      </c>
      <c r="CQ259" s="143">
        <v>93</v>
      </c>
      <c r="CR259" s="138">
        <v>47</v>
      </c>
      <c r="CS259" s="139"/>
      <c r="CT259" s="138"/>
      <c r="CU259" s="138">
        <f t="shared" si="188"/>
        <v>47</v>
      </c>
      <c r="CV259" s="115">
        <f t="shared" si="189"/>
        <v>5616.3931762017928</v>
      </c>
      <c r="CW259" s="115" t="str">
        <f t="shared" si="166"/>
        <v/>
      </c>
      <c r="CX259" s="133">
        <f t="shared" si="190"/>
        <v>11.030983644424952</v>
      </c>
      <c r="CY259" s="116"/>
      <c r="CZ259" s="131"/>
      <c r="DA259" s="145" t="str">
        <f t="shared" si="167"/>
        <v>ЭЦН</v>
      </c>
      <c r="DB259" s="146">
        <f t="shared" si="168"/>
        <v>8.3683599999999938</v>
      </c>
      <c r="DC259" s="142">
        <f t="shared" si="203"/>
        <v>143</v>
      </c>
      <c r="DD259" s="119">
        <f t="shared" si="204"/>
        <v>93</v>
      </c>
      <c r="DE259" s="115">
        <f t="shared" si="169"/>
        <v>47</v>
      </c>
      <c r="DF259" s="121">
        <f t="shared" si="170"/>
        <v>0</v>
      </c>
      <c r="DG259" s="115">
        <f t="shared" si="171"/>
        <v>5616.3931762017928</v>
      </c>
      <c r="DH259" s="115">
        <f t="shared" si="172"/>
        <v>105.03651418499999</v>
      </c>
      <c r="DI259" s="147"/>
      <c r="DJ259" s="111">
        <v>44080</v>
      </c>
      <c r="DK259" s="112">
        <v>44131</v>
      </c>
      <c r="DL259" s="113">
        <f t="shared" ca="1" si="192"/>
        <v>973</v>
      </c>
      <c r="DM259" s="114">
        <v>23.5</v>
      </c>
      <c r="DN259" s="114">
        <v>52</v>
      </c>
      <c r="DO259" s="114">
        <v>49</v>
      </c>
      <c r="DP259" s="114"/>
      <c r="DQ259" s="112">
        <v>43564</v>
      </c>
      <c r="DR259" s="114" t="s">
        <v>198</v>
      </c>
      <c r="DS259" s="114"/>
      <c r="DT259" s="115">
        <v>60</v>
      </c>
      <c r="DU259" s="116">
        <f t="shared" si="193"/>
        <v>9.0637550518392924</v>
      </c>
      <c r="DV259" s="117">
        <f t="shared" si="194"/>
        <v>30.763834846750829</v>
      </c>
      <c r="DW259" s="118">
        <f t="shared" si="195"/>
        <v>525.69779300667892</v>
      </c>
      <c r="DX259" s="119">
        <f t="shared" si="173"/>
        <v>93</v>
      </c>
      <c r="DY259" s="115">
        <f t="shared" si="196"/>
        <v>172.78179210709027</v>
      </c>
      <c r="DZ259" s="117">
        <f t="shared" si="197"/>
        <v>22.395474846750837</v>
      </c>
      <c r="EA259" s="120">
        <f t="shared" si="197"/>
        <v>382.69779300667892</v>
      </c>
      <c r="EB259" s="119">
        <f t="shared" si="197"/>
        <v>0</v>
      </c>
      <c r="EC259" s="121">
        <f t="shared" si="198"/>
        <v>125.78179210709027</v>
      </c>
      <c r="ED259" s="122"/>
      <c r="EE259" s="145">
        <v>65</v>
      </c>
      <c r="EF259" s="115">
        <v>34</v>
      </c>
      <c r="EG259" s="115">
        <v>32</v>
      </c>
      <c r="EH259" s="115">
        <v>30</v>
      </c>
      <c r="EI259" s="128" t="s">
        <v>195</v>
      </c>
      <c r="EJ259" s="121">
        <v>24</v>
      </c>
      <c r="EK259" s="121">
        <v>0</v>
      </c>
      <c r="EL259" s="149">
        <v>9.3736499999999943</v>
      </c>
      <c r="EM259" s="142">
        <v>149.5</v>
      </c>
      <c r="EN259" s="119">
        <v>92.5</v>
      </c>
      <c r="EO259" s="115">
        <v>32.6</v>
      </c>
      <c r="EP259" s="115">
        <v>3477.834141449704</v>
      </c>
      <c r="EQ259" s="115">
        <v>0</v>
      </c>
      <c r="ER259" s="115">
        <v>0</v>
      </c>
      <c r="ES259" s="115">
        <v>105.94158036249999</v>
      </c>
      <c r="ET259" s="150">
        <v>12.397976226924113</v>
      </c>
      <c r="EU259" s="145">
        <f t="shared" si="174"/>
        <v>65</v>
      </c>
      <c r="EV259" s="115">
        <f t="shared" si="175"/>
        <v>33</v>
      </c>
      <c r="EW259" s="115">
        <f t="shared" si="175"/>
        <v>33</v>
      </c>
      <c r="EX259" s="115">
        <f t="shared" si="175"/>
        <v>31</v>
      </c>
      <c r="EY259" s="115" t="str">
        <f t="shared" si="206"/>
        <v>Постоянный</v>
      </c>
      <c r="EZ259" s="115">
        <f t="shared" si="206"/>
        <v>24</v>
      </c>
      <c r="FA259" s="115">
        <f t="shared" si="206"/>
        <v>0</v>
      </c>
      <c r="FB259" s="149">
        <f t="shared" si="176"/>
        <v>8.3683599999999938</v>
      </c>
      <c r="FC259" s="142">
        <f t="shared" si="176"/>
        <v>143</v>
      </c>
      <c r="FD259" s="119">
        <f t="shared" si="176"/>
        <v>93</v>
      </c>
      <c r="FE259" s="121">
        <f t="shared" si="176"/>
        <v>47</v>
      </c>
      <c r="FF259" s="121">
        <f t="shared" si="199"/>
        <v>5616.3931762017928</v>
      </c>
      <c r="FG259" s="121">
        <f t="shared" si="177"/>
        <v>0</v>
      </c>
      <c r="FH259" s="121">
        <f t="shared" si="200"/>
        <v>0</v>
      </c>
      <c r="FI259" s="121">
        <f t="shared" si="205"/>
        <v>105.03651418499999</v>
      </c>
      <c r="FJ259" s="144">
        <f t="shared" si="178"/>
        <v>11.030983644424952</v>
      </c>
      <c r="FK259" s="132">
        <f t="shared" si="179"/>
        <v>0</v>
      </c>
      <c r="FL259" s="115">
        <f t="shared" si="179"/>
        <v>-1</v>
      </c>
      <c r="FM259" s="115">
        <f t="shared" si="179"/>
        <v>1</v>
      </c>
      <c r="FN259" s="115">
        <f t="shared" si="162"/>
        <v>1</v>
      </c>
      <c r="FO259" s="115">
        <f t="shared" si="201"/>
        <v>0</v>
      </c>
      <c r="FP259" s="115">
        <f t="shared" si="201"/>
        <v>0</v>
      </c>
      <c r="FQ259" s="149">
        <f t="shared" si="201"/>
        <v>-1.0052900000000005</v>
      </c>
      <c r="FR259" s="142">
        <f t="shared" si="201"/>
        <v>-6.5</v>
      </c>
      <c r="FS259" s="119">
        <f t="shared" si="201"/>
        <v>0.5</v>
      </c>
      <c r="FT259" s="121">
        <f t="shared" si="201"/>
        <v>14.399999999999999</v>
      </c>
      <c r="FU259" s="121">
        <f t="shared" si="180"/>
        <v>0</v>
      </c>
      <c r="FV259" s="121">
        <f t="shared" si="180"/>
        <v>0</v>
      </c>
      <c r="FW259" s="121">
        <f t="shared" si="181"/>
        <v>2138.5590347520888</v>
      </c>
      <c r="FX259" s="121">
        <f t="shared" si="182"/>
        <v>-0.90506617750000373</v>
      </c>
      <c r="FY259" s="144">
        <f t="shared" si="182"/>
        <v>-1.3669925824991616</v>
      </c>
      <c r="FZ259" s="145" t="s">
        <v>259</v>
      </c>
      <c r="GA259" s="151" t="s">
        <v>1171</v>
      </c>
      <c r="GB259" s="145" t="s">
        <v>146</v>
      </c>
      <c r="GC259" s="151" t="s">
        <v>1172</v>
      </c>
      <c r="GD259" s="997" t="s">
        <v>220</v>
      </c>
      <c r="GE259" s="1004" t="s">
        <v>146</v>
      </c>
      <c r="GF259" s="1004">
        <v>-2.5831564000000036</v>
      </c>
      <c r="GG259" s="1004"/>
      <c r="GH259" s="1004">
        <v>0</v>
      </c>
      <c r="GI259" s="145"/>
      <c r="GJ259" s="996">
        <v>0</v>
      </c>
      <c r="GK259" s="145"/>
      <c r="GL259" s="996">
        <v>-0.58319360000000131</v>
      </c>
      <c r="GM259" s="1005" t="s">
        <v>199</v>
      </c>
      <c r="GN259" s="996">
        <v>-1.4857392000000011</v>
      </c>
      <c r="GO259" s="1006"/>
      <c r="GP259" s="996">
        <v>-1.90608000000001E-2</v>
      </c>
      <c r="GQ259" s="1006"/>
      <c r="GR259" s="996">
        <v>0.80256000000000149</v>
      </c>
      <c r="GS259" s="1006"/>
      <c r="GT259" s="996">
        <v>-0.60191999999999979</v>
      </c>
      <c r="GU259" s="1006"/>
      <c r="GV259" s="996">
        <v>0</v>
      </c>
      <c r="GW259" s="1006" t="s">
        <v>204</v>
      </c>
      <c r="GX259" s="1036">
        <v>-7.6206917600000068</v>
      </c>
      <c r="GY259" s="1006"/>
      <c r="GZ259" s="996">
        <v>0</v>
      </c>
      <c r="HA259" s="1006" t="s">
        <v>1173</v>
      </c>
      <c r="HB259" s="996">
        <v>12.590711760000003</v>
      </c>
      <c r="HC259" s="1006"/>
      <c r="HD259" s="996">
        <v>0</v>
      </c>
      <c r="HE259" s="1006" t="s">
        <v>223</v>
      </c>
      <c r="HF259" s="996">
        <v>-25.034019999999998</v>
      </c>
      <c r="HG259" s="1006"/>
      <c r="HH259" s="996">
        <v>0.14217851999999453</v>
      </c>
      <c r="HI259" s="1006"/>
      <c r="HJ259" s="996">
        <v>0</v>
      </c>
      <c r="HK259" s="1006"/>
      <c r="HL259" s="996">
        <v>0.79977611999999709</v>
      </c>
      <c r="HM259" s="1006" t="s">
        <v>308</v>
      </c>
      <c r="HN259" s="996">
        <v>27.819136276800013</v>
      </c>
      <c r="HO259" s="1006"/>
      <c r="HP259" s="996">
        <v>0</v>
      </c>
      <c r="HQ259" s="1006"/>
      <c r="HR259" s="996">
        <v>0.46546908319999769</v>
      </c>
      <c r="HS259" s="1006" t="s">
        <v>204</v>
      </c>
      <c r="HT259" s="996">
        <v>-22.070399999999999</v>
      </c>
      <c r="HU259" s="1006"/>
      <c r="HV259" s="996">
        <v>0</v>
      </c>
      <c r="HW259" s="1006"/>
      <c r="HX259" s="996">
        <v>0</v>
      </c>
      <c r="HY259" s="1006"/>
      <c r="HZ259" s="996">
        <v>0</v>
      </c>
      <c r="IA259" s="1006"/>
      <c r="IB259" s="996">
        <v>0</v>
      </c>
      <c r="IC259" s="1006" t="s">
        <v>241</v>
      </c>
      <c r="ID259" s="996">
        <v>-21.078067999999998</v>
      </c>
      <c r="IE259" s="1006"/>
      <c r="IF259" s="996">
        <v>0</v>
      </c>
      <c r="IG259" s="1006"/>
      <c r="IH259" s="996">
        <v>0</v>
      </c>
      <c r="II259" s="1006"/>
      <c r="IJ259" s="996">
        <v>0</v>
      </c>
      <c r="IK259" s="1006" t="s">
        <v>204</v>
      </c>
      <c r="IL259" s="996">
        <v>30.557025241599998</v>
      </c>
      <c r="IM259" s="1006" t="s">
        <v>199</v>
      </c>
      <c r="IN259" s="996">
        <v>-31.709451241600011</v>
      </c>
      <c r="IO259" s="1006"/>
      <c r="IP259" s="996">
        <v>0</v>
      </c>
      <c r="IQ259" s="1006"/>
      <c r="IR259" s="996">
        <v>0</v>
      </c>
      <c r="IS259" s="1006"/>
      <c r="IT259" s="996">
        <v>0</v>
      </c>
      <c r="IU259" s="1006" t="s">
        <v>223</v>
      </c>
      <c r="IV259" s="996">
        <v>-17.362466000000005</v>
      </c>
      <c r="IW259" s="1006" t="s">
        <v>239</v>
      </c>
      <c r="IX259" s="996">
        <v>0</v>
      </c>
      <c r="IY259" s="1006"/>
      <c r="IZ259" s="996">
        <v>0</v>
      </c>
      <c r="JA259" s="1006" t="s">
        <v>204</v>
      </c>
      <c r="JB259" s="996">
        <v>-20.876842298400007</v>
      </c>
      <c r="JC259" s="1006" t="s">
        <v>204</v>
      </c>
      <c r="JD259" s="996">
        <v>19.209190000000014</v>
      </c>
      <c r="JE259" s="1006"/>
      <c r="JF259" s="996">
        <v>0</v>
      </c>
      <c r="JG259" s="1006"/>
      <c r="JH259" s="996">
        <v>0</v>
      </c>
      <c r="JI259" s="1006"/>
      <c r="JJ259" s="996">
        <v>0</v>
      </c>
      <c r="JK259" s="1007"/>
      <c r="JL259" s="1007">
        <v>0</v>
      </c>
      <c r="JM259" s="1007" t="s">
        <v>203</v>
      </c>
      <c r="JN259" s="1007">
        <v>4.0408059999999892</v>
      </c>
      <c r="JO259" s="1008"/>
      <c r="JP259" s="1007">
        <v>0</v>
      </c>
      <c r="JQ259" s="1008" t="s">
        <v>203</v>
      </c>
      <c r="JR259" s="1007">
        <v>-22.079595999999974</v>
      </c>
      <c r="JS259" s="1008">
        <v>0</v>
      </c>
      <c r="JT259" s="1007">
        <v>0</v>
      </c>
      <c r="JU259" s="1008" t="s">
        <v>203</v>
      </c>
      <c r="JV259" s="1007">
        <v>-40.61287999999999</v>
      </c>
      <c r="JW259" s="1008" t="s">
        <v>349</v>
      </c>
      <c r="JX259" s="1007">
        <v>-5.5070329600000463</v>
      </c>
      <c r="JY259" s="1008" t="s">
        <v>25</v>
      </c>
      <c r="JZ259" s="1007">
        <v>125.70711296000002</v>
      </c>
      <c r="KA259" s="1008"/>
      <c r="KB259" s="1007">
        <v>0</v>
      </c>
      <c r="KC259" s="1008"/>
      <c r="KD259" s="1007">
        <v>0</v>
      </c>
      <c r="KE259" s="1008"/>
      <c r="KF259" s="1007">
        <v>0</v>
      </c>
      <c r="KG259" s="1008"/>
      <c r="KH259" s="1007">
        <v>0</v>
      </c>
      <c r="KI259" s="1008"/>
      <c r="KJ259" s="1007">
        <v>0</v>
      </c>
      <c r="KK259" s="1008"/>
      <c r="KL259" s="1007">
        <v>0</v>
      </c>
      <c r="KM259" s="1008"/>
      <c r="KN259" s="1007">
        <v>0</v>
      </c>
      <c r="KO259" s="1008"/>
      <c r="KP259" s="1007">
        <v>0</v>
      </c>
      <c r="KQ259" s="1008"/>
      <c r="KR259" s="1007"/>
      <c r="KS259" s="1008"/>
      <c r="KT259" s="1007"/>
      <c r="KU259" s="1008"/>
      <c r="KV259" s="1007" t="s">
        <v>921</v>
      </c>
      <c r="KW259" s="1008"/>
      <c r="KX259" s="1007"/>
      <c r="KY259" s="1008" t="s">
        <v>197</v>
      </c>
      <c r="KZ259" s="1007" t="s">
        <v>197</v>
      </c>
      <c r="LA259" s="1008" t="s">
        <v>197</v>
      </c>
      <c r="LB259" s="1007" t="e">
        <v>#VALUE!</v>
      </c>
      <c r="LC259" s="1008"/>
      <c r="LD259" s="1007" t="e">
        <v>#VALUE!</v>
      </c>
      <c r="LE259" s="1008" t="e">
        <v>#VALUE!</v>
      </c>
      <c r="LF259" s="1007" t="e">
        <v>#VALUE!</v>
      </c>
      <c r="LG259" s="1008" t="e">
        <v>#VALUE!</v>
      </c>
      <c r="LH259" s="1007" t="e">
        <v>#VALUE!</v>
      </c>
      <c r="LI259" s="1008" t="e">
        <v>#VALUE!</v>
      </c>
      <c r="LJ259" s="1007" t="e">
        <v>#VALUE!</v>
      </c>
      <c r="LK259" s="1008" t="e">
        <v>#VALUE!</v>
      </c>
      <c r="LL259" s="1007"/>
      <c r="LM259" s="1008"/>
      <c r="LN259" s="1007"/>
      <c r="LO259" s="1008"/>
      <c r="LP259" s="1007"/>
      <c r="LQ259" s="1008"/>
      <c r="LR259" s="1007"/>
      <c r="LS259" s="1008"/>
      <c r="LT259" s="1007"/>
      <c r="LU259" s="1008"/>
      <c r="LV259" s="1007"/>
      <c r="LW259" s="1008"/>
      <c r="LX259" s="1007"/>
      <c r="LY259" s="1009"/>
      <c r="LZ259" s="1010"/>
      <c r="MA259" s="1011"/>
      <c r="MB259" s="1012"/>
      <c r="MC259" s="995"/>
      <c r="MD259" s="996"/>
      <c r="ME259" s="997" t="s">
        <v>220</v>
      </c>
      <c r="MF259" s="997"/>
      <c r="MG259" s="998"/>
      <c r="NR259" s="1000"/>
      <c r="NS259" s="1000"/>
      <c r="NT259" s="1001"/>
      <c r="NU259" s="1000"/>
      <c r="NV259" s="1001"/>
      <c r="NX259" s="1002"/>
      <c r="NZ259" s="1001"/>
      <c r="OA259" s="1001"/>
      <c r="OC259" s="1003"/>
      <c r="OD259" s="1003"/>
      <c r="OE259" s="1001"/>
      <c r="OF259" s="1003"/>
      <c r="OG259" s="1003"/>
      <c r="OH259" s="1003"/>
      <c r="OI259" s="1016"/>
      <c r="QX259" s="1000">
        <f>CN259-CA259</f>
        <v>72.036514184999987</v>
      </c>
      <c r="ASU259" s="999" t="s">
        <v>208</v>
      </c>
    </row>
    <row r="260" spans="1:466 1191:1191" ht="21" customHeight="1" x14ac:dyDescent="0.25">
      <c r="A260" s="982" t="str">
        <f t="shared" si="163"/>
        <v>1200-1</v>
      </c>
      <c r="B260" s="124">
        <f>SUBTOTAL(103,$J$29:J260)</f>
        <v>232</v>
      </c>
      <c r="C260" s="126">
        <v>45068</v>
      </c>
      <c r="D260" s="124" t="s">
        <v>176</v>
      </c>
      <c r="E260" s="127" t="s">
        <v>177</v>
      </c>
      <c r="F260" s="128" t="s">
        <v>177</v>
      </c>
      <c r="G260" s="127" t="s">
        <v>178</v>
      </c>
      <c r="H260" s="127" t="s">
        <v>179</v>
      </c>
      <c r="I260" s="127" t="s">
        <v>921</v>
      </c>
      <c r="J260" s="152" t="s">
        <v>1174</v>
      </c>
      <c r="K260" s="127" t="s">
        <v>994</v>
      </c>
      <c r="L260" s="130">
        <v>41460</v>
      </c>
      <c r="M260" s="127" t="s">
        <v>230</v>
      </c>
      <c r="N260" s="127" t="s">
        <v>245</v>
      </c>
      <c r="O260" s="127" t="s">
        <v>185</v>
      </c>
      <c r="P260" s="127" t="s">
        <v>186</v>
      </c>
      <c r="Q260" s="85" t="str">
        <f t="shared" si="187"/>
        <v/>
      </c>
      <c r="R260" s="130"/>
      <c r="S260" s="128" t="s">
        <v>156</v>
      </c>
      <c r="T260" s="131"/>
      <c r="U260" s="132">
        <v>203</v>
      </c>
      <c r="V260" s="121">
        <v>218.2</v>
      </c>
      <c r="W260" s="116">
        <v>0.98</v>
      </c>
      <c r="X260" s="116">
        <v>1.66</v>
      </c>
      <c r="Y260" s="116">
        <f t="shared" si="191"/>
        <v>1.2993610223642171</v>
      </c>
      <c r="Z260" s="133">
        <v>1.454</v>
      </c>
      <c r="AA260" s="133">
        <v>0.83599999999999997</v>
      </c>
      <c r="AB260" s="133">
        <v>0.72</v>
      </c>
      <c r="AC260" s="121">
        <v>34.299999999999997</v>
      </c>
      <c r="AD260" s="134">
        <v>1.17</v>
      </c>
      <c r="AE260" s="124">
        <v>177.8</v>
      </c>
      <c r="AF260" s="128">
        <v>8.0500000000000007</v>
      </c>
      <c r="AG260" s="128">
        <v>2128</v>
      </c>
      <c r="AH260" s="127">
        <v>2696</v>
      </c>
      <c r="AI260" s="127">
        <v>2696</v>
      </c>
      <c r="AJ260" s="135"/>
      <c r="AK260" s="128"/>
      <c r="AL260" s="131"/>
      <c r="AM260" s="124" t="s">
        <v>232</v>
      </c>
      <c r="AN260" s="136" t="s">
        <v>1175</v>
      </c>
      <c r="AO260" s="137">
        <v>26.7</v>
      </c>
      <c r="AP260" s="128">
        <v>2128</v>
      </c>
      <c r="AQ260" s="128">
        <v>280.7</v>
      </c>
      <c r="AR260" s="128"/>
      <c r="AS260" s="128"/>
      <c r="AT260" s="122"/>
      <c r="AU260" s="124" t="s">
        <v>883</v>
      </c>
      <c r="AV260" s="115">
        <f>VLOOKUP(J260,'[63]ТР нефть'!$J$28:$BP$638,39,0)</f>
        <v>300</v>
      </c>
      <c r="AW260" s="115" t="str">
        <f>VLOOKUP(J260,'[63]ТР нефть'!$J$28:$BP$638,40,0)</f>
        <v>ГП</v>
      </c>
      <c r="AX260" s="115" t="str">
        <f>VLOOKUP(J260,'[63]ТР нефть'!$J$28:$BP$638,41,0)</f>
        <v>-</v>
      </c>
      <c r="AY260" s="115" t="str">
        <f>VLOOKUP(J260,'[63]ТР нефть'!$J$28:$BP$638,42,0)</f>
        <v>-</v>
      </c>
      <c r="AZ260" s="115" t="str">
        <f>VLOOKUP(J260,'[63]ТР нефть'!$J$28:$BP$638,43,0)</f>
        <v>-</v>
      </c>
      <c r="BA260" s="115" t="str">
        <f>VLOOKUP(J260,'[63]ТР нефть'!$J$28:$BP$638,44,0)</f>
        <v>-</v>
      </c>
      <c r="BB260" s="115" t="str">
        <f>VLOOKUP(J260,'[63]ТР нефть'!$J$28:$BP$638,45,0)</f>
        <v>-</v>
      </c>
      <c r="BC260" s="115" t="str">
        <f>VLOOKUP(J260,'[63]ТР нефть'!$J$28:$BP$638,46,0)</f>
        <v>-</v>
      </c>
      <c r="BD260" s="115" t="str">
        <f>VLOOKUP(J260,'[63]ТР нефть'!$J$28:$BP$638,47,0)</f>
        <v>-</v>
      </c>
      <c r="BE260" s="115" t="str">
        <f>VLOOKUP(J260,'[63]ТР нефть'!$J$28:$BP$638,48,0)</f>
        <v>-</v>
      </c>
      <c r="BF260" s="115" t="str">
        <f>VLOOKUP(J260,'[63]ТР нефть'!$J$28:$BP$638,49,0)</f>
        <v>-</v>
      </c>
      <c r="BG260" s="115" t="str">
        <f>VLOOKUP(J260,'[63]ТР нефть'!$J$28:$BP$638,50,0)</f>
        <v>-</v>
      </c>
      <c r="BH260" s="115">
        <f>VLOOKUP(J260,'[63]ТР нефть'!$J$28:$BP$638,51,0)</f>
        <v>1878</v>
      </c>
      <c r="BI260" s="115" t="str">
        <f>VLOOKUP(J260,'[63]ТР нефть'!$J$28:$BP$638,52,0)</f>
        <v>открыт</v>
      </c>
      <c r="BJ260" s="115" t="str">
        <f>IF(IFERROR(VLOOKUP(J260,'[63]ТР нефть'!$J$28:$BP$638,53,0),"-")=0,"-",IFERROR(VLOOKUP(J260,'[63]ТР нефть'!$J$28:$BP$638,53,0),"-"))</f>
        <v>-</v>
      </c>
      <c r="BK260" s="138" t="str">
        <f>IF(IFERROR(VLOOKUP(J260,'[63]ТР нефть'!$J$28:$BP$638,54,0),"-")=0,"-",IFERROR(VLOOKUP(J260,'[63]ТР нефть'!$J$28:$BP$638,54,0),"-"))</f>
        <v>D1150N</v>
      </c>
      <c r="BL260" s="138" t="str">
        <f>IF(IFERROR(VLOOKUP(J260,'[63]ТР нефть'!$J$28:$BP$638,55,0),"-")=0,"-",IFERROR(VLOOKUP(J260,'[63]ТР нефть'!$J$28:$BP$638,55,0),"-"))</f>
        <v>-</v>
      </c>
      <c r="BM260" s="138">
        <f>IF(IFERROR(VLOOKUP(J260,'[63]ТР нефть'!$J$28:$BP$638,56,0),"-")=0,"-",IFERROR(VLOOKUP(J260,'[63]ТР нефть'!$J$28:$BP$638,56,0),"-"))</f>
        <v>1297</v>
      </c>
      <c r="BN260" s="138">
        <f>IF(IFERROR(VLOOKUP(J260,'[63]ТР нефть'!$J$28:$BP$638,57,0),"-")=0,"-",IFERROR(VLOOKUP(J260,'[63]ТР нефть'!$J$28:$BP$638,57,0),"-"))</f>
        <v>49</v>
      </c>
      <c r="BO260" s="115">
        <f>IF(IFERROR(VLOOKUP(J260,'[63]ТР нефть'!$J$28:$BP$638,58,0),"-")=0,"-",IFERROR(VLOOKUP(J260,'[63]ТР нефть'!$J$28:$BP$638,58,0),"-"))</f>
        <v>80</v>
      </c>
      <c r="BP260" s="115" t="str">
        <f>IF(IFERROR(VLOOKUP(J260,'[63]ТР нефть'!$J$28:$BP$638,59,0),"-")=0,"-",IFERROR(VLOOKUP(J260,'[63]ТР нефть'!$J$28:$BP$638,59,0),"-"))</f>
        <v>-</v>
      </c>
      <c r="BQ260" s="138">
        <v>1700</v>
      </c>
      <c r="BR260" s="128">
        <v>1555.7</v>
      </c>
      <c r="BS260" s="115">
        <f t="shared" si="164"/>
        <v>144.29999999999995</v>
      </c>
      <c r="BT260" s="128">
        <v>73</v>
      </c>
      <c r="BU260" s="128">
        <v>5.5</v>
      </c>
      <c r="BV260" s="127">
        <v>10</v>
      </c>
      <c r="BW260" s="127" t="s">
        <v>217</v>
      </c>
      <c r="BX260" s="127" t="s">
        <v>195</v>
      </c>
      <c r="BY260" s="139">
        <v>24</v>
      </c>
      <c r="BZ260" s="139">
        <v>0</v>
      </c>
      <c r="CA260" s="138">
        <v>32</v>
      </c>
      <c r="CB260" s="138">
        <v>31</v>
      </c>
      <c r="CC260" s="138">
        <v>31</v>
      </c>
      <c r="CD260" s="135">
        <v>45017</v>
      </c>
      <c r="CE260" s="138">
        <v>125</v>
      </c>
      <c r="CF260" s="138"/>
      <c r="CG260" s="138"/>
      <c r="CH260" s="138"/>
      <c r="CI260" s="138"/>
      <c r="CJ260" s="138">
        <f>IF((BR260-(100*(CM260-CB260))/(9.8*(AB260+AA260)/2))&gt;0,BR260-(100*(CM260-CB260))/(9.8*(AB260+AA260)/2),0)</f>
        <v>1201.5737736739941</v>
      </c>
      <c r="CK260" s="138">
        <f t="shared" si="207"/>
        <v>54.319900399999995</v>
      </c>
      <c r="CL260" s="99"/>
      <c r="CM260" s="80">
        <v>58</v>
      </c>
      <c r="CN260" s="154">
        <f>IF(CM260=0,0,(((AP260-AQ260-BR260)*((AD260*(CQ260/100))+(AB260*((100-CQ260)/100)))*9.81/100+CM260)))</f>
        <v>86.319900399999995</v>
      </c>
      <c r="CO260" s="141">
        <f t="shared" si="165"/>
        <v>22.2376</v>
      </c>
      <c r="CP260" s="142">
        <v>66.5</v>
      </c>
      <c r="CQ260" s="143">
        <v>60</v>
      </c>
      <c r="CR260" s="138">
        <v>15</v>
      </c>
      <c r="CS260" s="139"/>
      <c r="CT260" s="138"/>
      <c r="CU260" s="138">
        <f t="shared" si="188"/>
        <v>15</v>
      </c>
      <c r="CV260" s="115">
        <f t="shared" si="189"/>
        <v>674.53322300967727</v>
      </c>
      <c r="CW260" s="115" t="str">
        <f t="shared" si="166"/>
        <v/>
      </c>
      <c r="CX260" s="133">
        <f t="shared" si="190"/>
        <v>1.7192303196654641</v>
      </c>
      <c r="CY260" s="116"/>
      <c r="CZ260" s="131"/>
      <c r="DA260" s="145" t="str">
        <f t="shared" si="167"/>
        <v>ЭЦН</v>
      </c>
      <c r="DB260" s="146">
        <f t="shared" si="168"/>
        <v>22.2376</v>
      </c>
      <c r="DC260" s="142">
        <f t="shared" si="203"/>
        <v>66.5</v>
      </c>
      <c r="DD260" s="119">
        <f t="shared" si="204"/>
        <v>60</v>
      </c>
      <c r="DE260" s="115">
        <f t="shared" si="169"/>
        <v>15</v>
      </c>
      <c r="DF260" s="121">
        <f t="shared" si="170"/>
        <v>0</v>
      </c>
      <c r="DG260" s="115">
        <f t="shared" si="171"/>
        <v>674.53322300967727</v>
      </c>
      <c r="DH260" s="115">
        <f t="shared" si="172"/>
        <v>86.319900399999995</v>
      </c>
      <c r="DI260" s="147"/>
      <c r="DJ260" s="111">
        <v>44211</v>
      </c>
      <c r="DK260" s="112">
        <v>44063</v>
      </c>
      <c r="DL260" s="113">
        <f t="shared" ca="1" si="192"/>
        <v>1041</v>
      </c>
      <c r="DM260" s="114">
        <v>18</v>
      </c>
      <c r="DN260" s="114">
        <v>53</v>
      </c>
      <c r="DO260" s="114">
        <v>35</v>
      </c>
      <c r="DP260" s="114"/>
      <c r="DQ260" s="112">
        <v>41460</v>
      </c>
      <c r="DR260" s="114" t="s">
        <v>324</v>
      </c>
      <c r="DS260" s="114"/>
      <c r="DT260" s="115">
        <v>80</v>
      </c>
      <c r="DU260" s="116">
        <f t="shared" si="193"/>
        <v>1.6744376047942919</v>
      </c>
      <c r="DV260" s="117">
        <f t="shared" si="194"/>
        <v>25.196937076944504</v>
      </c>
      <c r="DW260" s="118">
        <f t="shared" si="195"/>
        <v>75.349692215743133</v>
      </c>
      <c r="DX260" s="119">
        <f t="shared" si="173"/>
        <v>60</v>
      </c>
      <c r="DY260" s="115">
        <f t="shared" si="196"/>
        <v>16.996171176483415</v>
      </c>
      <c r="DZ260" s="117">
        <f t="shared" si="197"/>
        <v>2.9593370769445038</v>
      </c>
      <c r="EA260" s="120">
        <f t="shared" si="197"/>
        <v>8.8496922157431328</v>
      </c>
      <c r="EB260" s="119">
        <f t="shared" si="197"/>
        <v>0</v>
      </c>
      <c r="EC260" s="121">
        <f t="shared" si="198"/>
        <v>1.9961711764834149</v>
      </c>
      <c r="ED260" s="122"/>
      <c r="EE260" s="145">
        <v>10</v>
      </c>
      <c r="EF260" s="115">
        <v>31</v>
      </c>
      <c r="EG260" s="115">
        <v>31</v>
      </c>
      <c r="EH260" s="115">
        <v>30</v>
      </c>
      <c r="EI260" s="128" t="s">
        <v>195</v>
      </c>
      <c r="EJ260" s="121">
        <v>24</v>
      </c>
      <c r="EK260" s="121">
        <v>0</v>
      </c>
      <c r="EL260" s="149">
        <v>24.22728</v>
      </c>
      <c r="EM260" s="142">
        <v>80.5</v>
      </c>
      <c r="EN260" s="119">
        <v>64</v>
      </c>
      <c r="EO260" s="115">
        <v>15.8</v>
      </c>
      <c r="EP260" s="115">
        <v>652.15740272948506</v>
      </c>
      <c r="EQ260" s="115">
        <v>0</v>
      </c>
      <c r="ER260" s="115">
        <v>0</v>
      </c>
      <c r="ES260" s="115">
        <v>88.834807679999997</v>
      </c>
      <c r="ET260" s="150">
        <v>2.2258971910812169</v>
      </c>
      <c r="EU260" s="145">
        <f t="shared" si="174"/>
        <v>10</v>
      </c>
      <c r="EV260" s="115">
        <f t="shared" si="175"/>
        <v>32</v>
      </c>
      <c r="EW260" s="115">
        <f t="shared" si="175"/>
        <v>31</v>
      </c>
      <c r="EX260" s="115">
        <f t="shared" si="175"/>
        <v>31</v>
      </c>
      <c r="EY260" s="115" t="str">
        <f t="shared" si="206"/>
        <v>Постоянный</v>
      </c>
      <c r="EZ260" s="115">
        <f t="shared" si="206"/>
        <v>24</v>
      </c>
      <c r="FA260" s="115">
        <f t="shared" si="206"/>
        <v>0</v>
      </c>
      <c r="FB260" s="149">
        <f t="shared" si="176"/>
        <v>22.2376</v>
      </c>
      <c r="FC260" s="142">
        <f t="shared" si="176"/>
        <v>66.5</v>
      </c>
      <c r="FD260" s="119">
        <f t="shared" si="176"/>
        <v>60</v>
      </c>
      <c r="FE260" s="121">
        <f t="shared" si="176"/>
        <v>15</v>
      </c>
      <c r="FF260" s="121">
        <f t="shared" si="199"/>
        <v>674.53322300967727</v>
      </c>
      <c r="FG260" s="121">
        <f t="shared" si="177"/>
        <v>0</v>
      </c>
      <c r="FH260" s="121">
        <f t="shared" si="200"/>
        <v>0</v>
      </c>
      <c r="FI260" s="121">
        <f t="shared" si="205"/>
        <v>86.319900399999995</v>
      </c>
      <c r="FJ260" s="144">
        <f t="shared" si="178"/>
        <v>1.7192303196654641</v>
      </c>
      <c r="FK260" s="132">
        <f t="shared" si="179"/>
        <v>0</v>
      </c>
      <c r="FL260" s="115">
        <f t="shared" si="179"/>
        <v>1</v>
      </c>
      <c r="FM260" s="115">
        <f t="shared" si="179"/>
        <v>0</v>
      </c>
      <c r="FN260" s="115">
        <f t="shared" si="162"/>
        <v>1</v>
      </c>
      <c r="FO260" s="115">
        <f t="shared" si="201"/>
        <v>0</v>
      </c>
      <c r="FP260" s="115">
        <f t="shared" si="201"/>
        <v>0</v>
      </c>
      <c r="FQ260" s="149">
        <f t="shared" si="201"/>
        <v>-1.9896799999999999</v>
      </c>
      <c r="FR260" s="142">
        <f t="shared" si="201"/>
        <v>-14</v>
      </c>
      <c r="FS260" s="119">
        <f t="shared" si="201"/>
        <v>-4</v>
      </c>
      <c r="FT260" s="121">
        <f t="shared" si="201"/>
        <v>-0.80000000000000071</v>
      </c>
      <c r="FU260" s="121">
        <f t="shared" si="180"/>
        <v>0</v>
      </c>
      <c r="FV260" s="121">
        <f t="shared" si="180"/>
        <v>0</v>
      </c>
      <c r="FW260" s="121">
        <f t="shared" si="181"/>
        <v>22.375820280192215</v>
      </c>
      <c r="FX260" s="121">
        <f t="shared" si="182"/>
        <v>-2.5149072800000027</v>
      </c>
      <c r="FY260" s="144">
        <f t="shared" si="182"/>
        <v>-0.50666687141575273</v>
      </c>
      <c r="FZ260" s="1052" t="s">
        <v>223</v>
      </c>
      <c r="GA260" s="151" t="s">
        <v>361</v>
      </c>
      <c r="GB260" s="1052" t="s">
        <v>223</v>
      </c>
      <c r="GC260" s="151" t="s">
        <v>1176</v>
      </c>
      <c r="GD260" s="997" t="s">
        <v>220</v>
      </c>
      <c r="GE260" s="1004" t="s">
        <v>223</v>
      </c>
      <c r="GF260" s="1004">
        <v>-3.6842520000000043</v>
      </c>
      <c r="GG260" s="1004" t="s">
        <v>199</v>
      </c>
      <c r="GH260" s="1004">
        <v>4.1553334020000072</v>
      </c>
      <c r="GI260" s="1052"/>
      <c r="GJ260" s="996">
        <v>0</v>
      </c>
      <c r="GK260" s="1052"/>
      <c r="GL260" s="996">
        <v>0</v>
      </c>
      <c r="GM260" s="1005" t="s">
        <v>308</v>
      </c>
      <c r="GN260" s="996">
        <v>1.5754465979999992</v>
      </c>
      <c r="GO260" s="1006"/>
      <c r="GP260" s="996">
        <v>0</v>
      </c>
      <c r="GQ260" s="1006"/>
      <c r="GR260" s="996">
        <v>0.16644760000000147</v>
      </c>
      <c r="GS260" s="1006"/>
      <c r="GT260" s="996">
        <v>0.821704399999998</v>
      </c>
      <c r="GU260" s="1006" t="s">
        <v>204</v>
      </c>
      <c r="GV260" s="996">
        <v>15.715127999999993</v>
      </c>
      <c r="GW260" s="1006"/>
      <c r="GX260" s="1036">
        <v>0.14044800000000013</v>
      </c>
      <c r="GY260" s="1006"/>
      <c r="GZ260" s="996">
        <v>-0.3394159999999955</v>
      </c>
      <c r="HA260" s="1006"/>
      <c r="HB260" s="996">
        <v>0</v>
      </c>
      <c r="HC260" s="1006"/>
      <c r="HD260" s="996">
        <v>0</v>
      </c>
      <c r="HE260" s="1006"/>
      <c r="HF260" s="996">
        <v>0</v>
      </c>
      <c r="HG260" s="1006"/>
      <c r="HH260" s="996">
        <v>0</v>
      </c>
      <c r="HI260" s="1006"/>
      <c r="HJ260" s="996">
        <v>0</v>
      </c>
      <c r="HK260" s="1006"/>
      <c r="HL260" s="996">
        <v>0</v>
      </c>
      <c r="HM260" s="1006" t="s">
        <v>886</v>
      </c>
      <c r="HN260" s="996">
        <v>-13.819079999999996</v>
      </c>
      <c r="HO260" s="1006"/>
      <c r="HP260" s="996">
        <v>0</v>
      </c>
      <c r="HQ260" s="1006"/>
      <c r="HR260" s="996">
        <v>0</v>
      </c>
      <c r="HS260" s="1006" t="s">
        <v>886</v>
      </c>
      <c r="HT260" s="996">
        <v>-22.154</v>
      </c>
      <c r="HU260" s="1006"/>
      <c r="HV260" s="996">
        <v>0</v>
      </c>
      <c r="HW260" s="1006"/>
      <c r="HX260" s="996">
        <v>0</v>
      </c>
      <c r="HY260" s="1006"/>
      <c r="HZ260" s="996">
        <v>0</v>
      </c>
      <c r="IA260" s="1006"/>
      <c r="IB260" s="996">
        <v>0</v>
      </c>
      <c r="IC260" s="1006"/>
      <c r="ID260" s="996">
        <v>-9.8230000000000928E-2</v>
      </c>
      <c r="IE260" s="1006"/>
      <c r="IF260" s="996">
        <v>0</v>
      </c>
      <c r="IG260" s="1006" t="s">
        <v>204</v>
      </c>
      <c r="IH260" s="996">
        <v>14.531268399999991</v>
      </c>
      <c r="II260" s="1006"/>
      <c r="IJ260" s="996">
        <v>0</v>
      </c>
      <c r="IK260" s="1006"/>
      <c r="IL260" s="996">
        <v>0</v>
      </c>
      <c r="IM260" s="1006" t="s">
        <v>223</v>
      </c>
      <c r="IN260" s="996">
        <v>-4.5981003199999932</v>
      </c>
      <c r="IO260" s="1006" t="s">
        <v>146</v>
      </c>
      <c r="IP260" s="996">
        <v>13.929131039999998</v>
      </c>
      <c r="IQ260" s="1006" t="s">
        <v>239</v>
      </c>
      <c r="IR260" s="996">
        <v>-10.934478719999998</v>
      </c>
      <c r="IS260" s="1006"/>
      <c r="IT260" s="996">
        <v>0</v>
      </c>
      <c r="IU260" s="1006"/>
      <c r="IV260" s="996">
        <v>0</v>
      </c>
      <c r="IW260" s="1006"/>
      <c r="IX260" s="996">
        <v>0</v>
      </c>
      <c r="IY260" s="1006"/>
      <c r="IZ260" s="996">
        <v>0</v>
      </c>
      <c r="JA260" s="1006"/>
      <c r="JB260" s="996">
        <v>0</v>
      </c>
      <c r="JC260" s="1006" t="s">
        <v>275</v>
      </c>
      <c r="JD260" s="996">
        <v>-21.589198399999997</v>
      </c>
      <c r="JE260" s="1006"/>
      <c r="JF260" s="996">
        <v>0</v>
      </c>
      <c r="JG260" s="1006" t="s">
        <v>204</v>
      </c>
      <c r="JH260" s="996">
        <v>9.3816964999999968</v>
      </c>
      <c r="JI260" s="1006"/>
      <c r="JJ260" s="996">
        <v>0</v>
      </c>
      <c r="JK260" s="1007"/>
      <c r="JL260" s="1007">
        <v>0</v>
      </c>
      <c r="JM260" s="1007"/>
      <c r="JN260" s="1007">
        <v>0</v>
      </c>
      <c r="JO260" s="1008"/>
      <c r="JP260" s="1007">
        <v>0</v>
      </c>
      <c r="JQ260" s="1008">
        <v>0</v>
      </c>
      <c r="JR260" s="1007">
        <v>0</v>
      </c>
      <c r="JS260" s="1008">
        <v>0</v>
      </c>
      <c r="JT260" s="1007">
        <v>0</v>
      </c>
      <c r="JU260" s="1008"/>
      <c r="JV260" s="1007">
        <v>0</v>
      </c>
      <c r="JW260" s="1008" t="s">
        <v>197</v>
      </c>
      <c r="JX260" s="1007">
        <v>0</v>
      </c>
      <c r="JY260" s="1008"/>
      <c r="JZ260" s="1007">
        <v>0</v>
      </c>
      <c r="KA260" s="1008"/>
      <c r="KB260" s="1007">
        <v>7.4314999999955944E-3</v>
      </c>
      <c r="KC260" s="1008"/>
      <c r="KD260" s="1007">
        <v>0</v>
      </c>
      <c r="KE260" s="1008"/>
      <c r="KF260" s="1007">
        <v>0</v>
      </c>
      <c r="KG260" s="1008" t="s">
        <v>204</v>
      </c>
      <c r="KH260" s="1007">
        <v>0.68217600000000544</v>
      </c>
      <c r="KI260" s="1008" t="s">
        <v>207</v>
      </c>
      <c r="KJ260" s="1007">
        <v>41.933759999999999</v>
      </c>
      <c r="KK260" s="1008" t="s">
        <v>199</v>
      </c>
      <c r="KL260" s="1007">
        <v>-57.014364000000008</v>
      </c>
      <c r="KM260" s="1008" t="s">
        <v>206</v>
      </c>
      <c r="KN260" s="1007">
        <v>-15.358510463999991</v>
      </c>
      <c r="KO260" s="1008" t="s">
        <v>207</v>
      </c>
      <c r="KP260" s="1007">
        <v>3.1771544640000116</v>
      </c>
      <c r="KQ260" s="1008" t="s">
        <v>207</v>
      </c>
      <c r="KR260" s="1007">
        <v>50.402439999999991</v>
      </c>
      <c r="KS260" s="1008" t="s">
        <v>204</v>
      </c>
      <c r="KT260" s="1007">
        <v>11.219119999999991</v>
      </c>
      <c r="KU260" s="1008">
        <v>0</v>
      </c>
      <c r="KV260" s="1007">
        <v>0</v>
      </c>
      <c r="KW260" s="1008" t="s">
        <v>204</v>
      </c>
      <c r="KX260" s="1007">
        <v>-57.558599999999991</v>
      </c>
      <c r="KY260" s="1008" t="s">
        <v>199</v>
      </c>
      <c r="KZ260" s="1007">
        <v>56.092423199999992</v>
      </c>
      <c r="LA260" s="1008" t="s">
        <v>199</v>
      </c>
      <c r="LB260" s="1007">
        <v>-35.150623199999991</v>
      </c>
      <c r="LC260" s="1008" t="s">
        <v>204</v>
      </c>
      <c r="LD260" s="1007">
        <v>-6.3954000000000022</v>
      </c>
      <c r="LE260" s="1008" t="s">
        <v>204</v>
      </c>
      <c r="LF260" s="1007">
        <v>33.230999999999995</v>
      </c>
      <c r="LG260" s="1008" t="s">
        <v>204</v>
      </c>
      <c r="LH260" s="1007">
        <v>-33.527999999999999</v>
      </c>
      <c r="LI260" s="1008" t="s">
        <v>204</v>
      </c>
      <c r="LJ260" s="1007">
        <v>20.281359999999999</v>
      </c>
      <c r="LK260" s="1008">
        <v>0</v>
      </c>
      <c r="LL260" s="1007">
        <v>28.925600000000003</v>
      </c>
      <c r="LM260" s="1008">
        <v>0</v>
      </c>
      <c r="LN260" s="1007">
        <v>0</v>
      </c>
      <c r="LO260" s="1008">
        <v>0</v>
      </c>
      <c r="LP260" s="1007">
        <v>0</v>
      </c>
      <c r="LQ260" s="1008">
        <v>0</v>
      </c>
      <c r="LR260" s="1007">
        <v>0</v>
      </c>
      <c r="LS260" s="1008">
        <v>0</v>
      </c>
      <c r="LT260" s="1007">
        <v>0</v>
      </c>
      <c r="LU260" s="1008" t="s">
        <v>206</v>
      </c>
      <c r="LV260" s="1007">
        <v>-3.4484999999999992</v>
      </c>
      <c r="LW260" s="1008" t="s">
        <v>206</v>
      </c>
      <c r="LX260" s="1007">
        <v>-5.5635800000000017</v>
      </c>
      <c r="LY260" s="1009" t="s">
        <v>206</v>
      </c>
      <c r="LZ260" s="1010">
        <v>0</v>
      </c>
      <c r="MA260" s="1011">
        <v>0</v>
      </c>
      <c r="MB260" s="1012">
        <v>0</v>
      </c>
      <c r="MC260" s="995"/>
      <c r="MD260" s="996"/>
      <c r="ME260" s="997" t="s">
        <v>220</v>
      </c>
      <c r="MF260" s="997"/>
      <c r="MG260" s="998"/>
      <c r="NR260" s="1000"/>
      <c r="NS260" s="1000"/>
      <c r="NT260" s="1001"/>
      <c r="NU260" s="1000"/>
      <c r="NV260" s="1001"/>
      <c r="NX260" s="1002"/>
      <c r="NZ260" s="1001"/>
      <c r="OA260" s="1001"/>
      <c r="OC260" s="1003"/>
      <c r="OD260" s="1003"/>
      <c r="OE260" s="1001"/>
      <c r="OF260" s="1003"/>
      <c r="OG260" s="1003"/>
      <c r="QX260" s="1000">
        <f>CN260-CA260</f>
        <v>54.319900399999995</v>
      </c>
      <c r="ASU260" s="999" t="s">
        <v>208</v>
      </c>
    </row>
    <row r="261" spans="1:466 1191:1191" ht="21" customHeight="1" x14ac:dyDescent="0.25">
      <c r="A261" s="982">
        <f t="shared" si="163"/>
        <v>1201</v>
      </c>
      <c r="B261" s="124">
        <f>SUBTOTAL(103,$J$29:J261)</f>
        <v>233</v>
      </c>
      <c r="C261" s="126">
        <v>45096</v>
      </c>
      <c r="D261" s="124" t="s">
        <v>176</v>
      </c>
      <c r="E261" s="127" t="s">
        <v>177</v>
      </c>
      <c r="F261" s="128" t="s">
        <v>177</v>
      </c>
      <c r="G261" s="127" t="s">
        <v>178</v>
      </c>
      <c r="H261" s="127" t="s">
        <v>421</v>
      </c>
      <c r="I261" s="127" t="s">
        <v>1153</v>
      </c>
      <c r="J261" s="152">
        <v>1201</v>
      </c>
      <c r="K261" s="127" t="s">
        <v>1154</v>
      </c>
      <c r="L261" s="130">
        <v>41862</v>
      </c>
      <c r="M261" s="127" t="s">
        <v>230</v>
      </c>
      <c r="N261" s="127" t="s">
        <v>231</v>
      </c>
      <c r="O261" s="127" t="s">
        <v>185</v>
      </c>
      <c r="P261" s="127" t="s">
        <v>225</v>
      </c>
      <c r="Q261" s="85" t="str">
        <f t="shared" si="187"/>
        <v/>
      </c>
      <c r="R261" s="130"/>
      <c r="S261" s="128"/>
      <c r="T261" s="131"/>
      <c r="U261" s="132">
        <v>203</v>
      </c>
      <c r="V261" s="121">
        <v>218.2</v>
      </c>
      <c r="W261" s="116">
        <v>0.98</v>
      </c>
      <c r="X261" s="116">
        <v>1.66</v>
      </c>
      <c r="Y261" s="116">
        <f t="shared" si="191"/>
        <v>1.1778163915435851</v>
      </c>
      <c r="Z261" s="133">
        <v>1.454</v>
      </c>
      <c r="AA261" s="133">
        <v>0.83599999999999997</v>
      </c>
      <c r="AB261" s="133">
        <v>0.72</v>
      </c>
      <c r="AC261" s="121">
        <v>34.299999999999997</v>
      </c>
      <c r="AD261" s="134">
        <v>1.17</v>
      </c>
      <c r="AE261" s="124">
        <v>177.8</v>
      </c>
      <c r="AF261" s="128">
        <v>9.19</v>
      </c>
      <c r="AG261" s="128">
        <v>2444</v>
      </c>
      <c r="AH261" s="127">
        <v>3259</v>
      </c>
      <c r="AI261" s="127">
        <v>3259</v>
      </c>
      <c r="AJ261" s="135"/>
      <c r="AK261" s="128"/>
      <c r="AL261" s="131"/>
      <c r="AM261" s="124" t="s">
        <v>232</v>
      </c>
      <c r="AN261" s="136" t="s">
        <v>1177</v>
      </c>
      <c r="AO261" s="137">
        <v>14</v>
      </c>
      <c r="AP261" s="128">
        <v>2450</v>
      </c>
      <c r="AQ261" s="128">
        <v>523.85</v>
      </c>
      <c r="AR261" s="128"/>
      <c r="AS261" s="128"/>
      <c r="AT261" s="122"/>
      <c r="AU261" s="124" t="s">
        <v>883</v>
      </c>
      <c r="AV261" s="115">
        <f>VLOOKUP(J261,'[63]ТР нефть'!$J$28:$BP$638,39,0)</f>
        <v>300</v>
      </c>
      <c r="AW261" s="115" t="str">
        <f>VLOOKUP(J261,'[63]ТР нефть'!$J$28:$BP$638,40,0)</f>
        <v>ГП</v>
      </c>
      <c r="AX261" s="115" t="str">
        <f>VLOOKUP(J261,'[63]ТР нефть'!$J$28:$BP$638,41,0)</f>
        <v>-</v>
      </c>
      <c r="AY261" s="115" t="str">
        <f>VLOOKUP(J261,'[63]ТР нефть'!$J$28:$BP$638,42,0)</f>
        <v>-</v>
      </c>
      <c r="AZ261" s="115" t="str">
        <f>VLOOKUP(J261,'[63]ТР нефть'!$J$28:$BP$638,43,0)</f>
        <v>-</v>
      </c>
      <c r="BA261" s="115" t="str">
        <f>VLOOKUP(J261,'[63]ТР нефть'!$J$28:$BP$638,44,0)</f>
        <v>-</v>
      </c>
      <c r="BB261" s="115" t="str">
        <f>VLOOKUP(J261,'[63]ТР нефть'!$J$28:$BP$638,45,0)</f>
        <v>-</v>
      </c>
      <c r="BC261" s="115" t="str">
        <f>VLOOKUP(J261,'[63]ТР нефть'!$J$28:$BP$638,46,0)</f>
        <v>-</v>
      </c>
      <c r="BD261" s="115" t="str">
        <f>VLOOKUP(J261,'[63]ТР нефть'!$J$28:$BP$638,47,0)</f>
        <v>-</v>
      </c>
      <c r="BE261" s="115" t="str">
        <f>VLOOKUP(J261,'[63]ТР нефть'!$J$28:$BP$638,48,0)</f>
        <v>-</v>
      </c>
      <c r="BF261" s="115" t="str">
        <f>VLOOKUP(J261,'[63]ТР нефть'!$J$28:$BP$638,49,0)</f>
        <v>-</v>
      </c>
      <c r="BG261" s="115" t="str">
        <f>VLOOKUP(J261,'[63]ТР нефть'!$J$28:$BP$638,50,0)</f>
        <v>-</v>
      </c>
      <c r="BH261" s="115">
        <f>VLOOKUP(J261,'[63]ТР нефть'!$J$28:$BP$638,51,0)</f>
        <v>1710</v>
      </c>
      <c r="BI261" s="115" t="str">
        <f>VLOOKUP(J261,'[63]ТР нефть'!$J$28:$BP$638,52,0)</f>
        <v>закрыт</v>
      </c>
      <c r="BJ261" s="115" t="str">
        <f>IF(IFERROR(VLOOKUP(J261,'[63]ТР нефть'!$J$28:$BP$638,53,0),"-")=0,"-",IFERROR(VLOOKUP(J261,'[63]ТР нефть'!$J$28:$BP$638,53,0),"-"))</f>
        <v>-</v>
      </c>
      <c r="BK261" s="138" t="str">
        <f>IF(IFERROR(VLOOKUP(J261,'[63]ТР нефть'!$J$28:$BP$638,54,0),"-")=0,"-",IFERROR(VLOOKUP(J261,'[63]ТР нефть'!$J$28:$BP$638,54,0),"-"))</f>
        <v xml:space="preserve">D800N </v>
      </c>
      <c r="BL261" s="138" t="str">
        <f>IF(IFERROR(VLOOKUP(J261,'[63]ТР нефть'!$J$28:$BP$638,55,0),"-")=0,"-",IFERROR(VLOOKUP(J261,'[63]ТР нефть'!$J$28:$BP$638,55,0),"-"))</f>
        <v>-</v>
      </c>
      <c r="BM261" s="138">
        <f>IF(IFERROR(VLOOKUP(J261,'[63]ТР нефть'!$J$28:$BP$638,56,0),"-")=0,"-",IFERROR(VLOOKUP(J261,'[63]ТР нефть'!$J$28:$BP$638,56,0),"-"))</f>
        <v>1250</v>
      </c>
      <c r="BN261" s="138">
        <v>49</v>
      </c>
      <c r="BO261" s="115">
        <f>IF(IFERROR(VLOOKUP(J261,'[63]ТР нефть'!$J$28:$BP$638,58,0),"-")=0,"-",IFERROR(VLOOKUP(J261,'[63]ТР нефть'!$J$28:$BP$638,58,0),"-"))</f>
        <v>63</v>
      </c>
      <c r="BP261" s="115" t="str">
        <f>IF(IFERROR(VLOOKUP(J261,'[63]ТР нефть'!$J$28:$BP$638,59,0),"-")=0,"-",IFERROR(VLOOKUP(J261,'[63]ТР нефть'!$J$28:$BP$638,59,0),"-"))</f>
        <v>-</v>
      </c>
      <c r="BQ261" s="138">
        <v>1665</v>
      </c>
      <c r="BR261" s="128">
        <v>1633</v>
      </c>
      <c r="BS261" s="115">
        <f t="shared" si="164"/>
        <v>32</v>
      </c>
      <c r="BT261" s="128">
        <v>73</v>
      </c>
      <c r="BU261" s="128">
        <v>5.5</v>
      </c>
      <c r="BV261" s="127">
        <v>18</v>
      </c>
      <c r="BW261" s="127" t="s">
        <v>217</v>
      </c>
      <c r="BX261" s="127" t="s">
        <v>218</v>
      </c>
      <c r="BY261" s="208">
        <v>9</v>
      </c>
      <c r="BZ261" s="208">
        <v>15</v>
      </c>
      <c r="CA261" s="115">
        <v>33</v>
      </c>
      <c r="CB261" s="115">
        <v>33</v>
      </c>
      <c r="CC261" s="115">
        <v>32</v>
      </c>
      <c r="CD261" s="135">
        <v>45017</v>
      </c>
      <c r="CE261" s="138">
        <v>102</v>
      </c>
      <c r="CF261" s="138"/>
      <c r="CG261" s="138" t="str">
        <f>IF(CH261&lt;&gt;"","В работе","")</f>
        <v/>
      </c>
      <c r="CH261" s="138" t="s">
        <v>197</v>
      </c>
      <c r="CI261" s="127"/>
      <c r="CJ261" s="138"/>
      <c r="CK261" s="138"/>
      <c r="CL261" s="99"/>
      <c r="CM261" s="127">
        <v>48</v>
      </c>
      <c r="CN261" s="154">
        <f>IF(CM261=0,0,(((AP261-AQ261-BR261)*((AD261*(CQ261/100))+(AB261*((100-CQ261)/100)))*9.81/100+CM261)))</f>
        <v>74.011624567500007</v>
      </c>
      <c r="CO261" s="141">
        <f t="shared" si="165"/>
        <v>15.290440000000002</v>
      </c>
      <c r="CP261" s="142">
        <v>31</v>
      </c>
      <c r="CQ261" s="119">
        <v>41</v>
      </c>
      <c r="CR261" s="115">
        <v>3</v>
      </c>
      <c r="CS261" s="139"/>
      <c r="CT261" s="138"/>
      <c r="CU261" s="138">
        <f t="shared" si="188"/>
        <v>3</v>
      </c>
      <c r="CV261" s="115">
        <f t="shared" si="189"/>
        <v>196.20102495415432</v>
      </c>
      <c r="CW261" s="115" t="str">
        <f t="shared" si="166"/>
        <v/>
      </c>
      <c r="CX261" s="133">
        <f t="shared" si="190"/>
        <v>1.107602692938116</v>
      </c>
      <c r="CY261" s="116"/>
      <c r="CZ261" s="131"/>
      <c r="DA261" s="145" t="str">
        <f t="shared" si="167"/>
        <v>ЭЦН</v>
      </c>
      <c r="DB261" s="146">
        <f t="shared" si="168"/>
        <v>15.290440000000002</v>
      </c>
      <c r="DC261" s="142">
        <f t="shared" si="203"/>
        <v>31</v>
      </c>
      <c r="DD261" s="119">
        <f t="shared" si="204"/>
        <v>41</v>
      </c>
      <c r="DE261" s="115">
        <f t="shared" si="169"/>
        <v>3</v>
      </c>
      <c r="DF261" s="121">
        <f t="shared" si="170"/>
        <v>0</v>
      </c>
      <c r="DG261" s="115">
        <f t="shared" si="171"/>
        <v>196.20102495415432</v>
      </c>
      <c r="DH261" s="115">
        <f t="shared" si="172"/>
        <v>74.011624567500007</v>
      </c>
      <c r="DI261" s="147"/>
      <c r="DJ261" s="111">
        <v>44241</v>
      </c>
      <c r="DK261" s="112">
        <v>44183</v>
      </c>
      <c r="DL261" s="113">
        <f t="shared" ca="1" si="192"/>
        <v>921</v>
      </c>
      <c r="DM261" s="114">
        <v>17</v>
      </c>
      <c r="DN261" s="114">
        <v>44</v>
      </c>
      <c r="DO261" s="114">
        <v>43</v>
      </c>
      <c r="DP261" s="114"/>
      <c r="DQ261" s="112">
        <v>41869</v>
      </c>
      <c r="DR261" s="114" t="s">
        <v>324</v>
      </c>
      <c r="DS261" s="114"/>
      <c r="DT261" s="115">
        <v>60</v>
      </c>
      <c r="DU261" s="116">
        <f t="shared" si="193"/>
        <v>1.0305882123258456</v>
      </c>
      <c r="DV261" s="117">
        <f t="shared" si="194"/>
        <v>21.349747853599204</v>
      </c>
      <c r="DW261" s="118">
        <f t="shared" si="195"/>
        <v>43.284704917685517</v>
      </c>
      <c r="DX261" s="119">
        <f t="shared" si="173"/>
        <v>41</v>
      </c>
      <c r="DY261" s="115">
        <f t="shared" si="196"/>
        <v>4.1888424113889204</v>
      </c>
      <c r="DZ261" s="117">
        <f t="shared" si="197"/>
        <v>6.0593078535992024</v>
      </c>
      <c r="EA261" s="120">
        <f t="shared" si="197"/>
        <v>12.284704917685517</v>
      </c>
      <c r="EB261" s="119">
        <f t="shared" si="197"/>
        <v>0</v>
      </c>
      <c r="EC261" s="121">
        <f t="shared" si="198"/>
        <v>1.1888424113889204</v>
      </c>
      <c r="ED261" s="122"/>
      <c r="EE261" s="145">
        <v>18</v>
      </c>
      <c r="EF261" s="115">
        <v>35</v>
      </c>
      <c r="EG261" s="115">
        <v>34</v>
      </c>
      <c r="EH261" s="115">
        <v>34</v>
      </c>
      <c r="EI261" s="128" t="s">
        <v>218</v>
      </c>
      <c r="EJ261" s="121">
        <v>9</v>
      </c>
      <c r="EK261" s="121">
        <v>15</v>
      </c>
      <c r="EL261" s="149">
        <v>13.673616000000001</v>
      </c>
      <c r="EM261" s="142">
        <v>18.8</v>
      </c>
      <c r="EN261" s="119">
        <v>13</v>
      </c>
      <c r="EO261" s="115">
        <v>3</v>
      </c>
      <c r="EP261" s="115">
        <v>219.40063257590384</v>
      </c>
      <c r="EQ261" s="115">
        <v>0</v>
      </c>
      <c r="ER261" s="115">
        <v>0</v>
      </c>
      <c r="ES261" s="115">
        <v>76.388114677499999</v>
      </c>
      <c r="ET261" s="150">
        <v>0.73403420963642341</v>
      </c>
      <c r="EU261" s="145">
        <f t="shared" si="174"/>
        <v>18</v>
      </c>
      <c r="EV261" s="115">
        <f t="shared" si="175"/>
        <v>33</v>
      </c>
      <c r="EW261" s="115">
        <f t="shared" si="175"/>
        <v>33</v>
      </c>
      <c r="EX261" s="115">
        <f t="shared" si="175"/>
        <v>32</v>
      </c>
      <c r="EY261" s="115" t="str">
        <f t="shared" si="206"/>
        <v>Периодический</v>
      </c>
      <c r="EZ261" s="115">
        <f t="shared" si="206"/>
        <v>9</v>
      </c>
      <c r="FA261" s="115">
        <f t="shared" si="206"/>
        <v>15</v>
      </c>
      <c r="FB261" s="149">
        <f t="shared" si="176"/>
        <v>15.290440000000002</v>
      </c>
      <c r="FC261" s="142">
        <f t="shared" si="176"/>
        <v>31</v>
      </c>
      <c r="FD261" s="119">
        <f t="shared" si="176"/>
        <v>41</v>
      </c>
      <c r="FE261" s="121">
        <f t="shared" si="176"/>
        <v>3</v>
      </c>
      <c r="FF261" s="121">
        <f t="shared" si="199"/>
        <v>196.20102495415432</v>
      </c>
      <c r="FG261" s="121">
        <f t="shared" si="177"/>
        <v>0</v>
      </c>
      <c r="FH261" s="121">
        <f t="shared" si="200"/>
        <v>0</v>
      </c>
      <c r="FI261" s="121">
        <f t="shared" si="205"/>
        <v>74.011624567500007</v>
      </c>
      <c r="FJ261" s="144">
        <f t="shared" si="178"/>
        <v>1.107602692938116</v>
      </c>
      <c r="FK261" s="132">
        <f t="shared" si="179"/>
        <v>0</v>
      </c>
      <c r="FL261" s="115">
        <f t="shared" si="179"/>
        <v>-2</v>
      </c>
      <c r="FM261" s="115">
        <f t="shared" si="179"/>
        <v>-1</v>
      </c>
      <c r="FN261" s="115">
        <f t="shared" si="162"/>
        <v>-2</v>
      </c>
      <c r="FO261" s="115">
        <f t="shared" si="201"/>
        <v>0</v>
      </c>
      <c r="FP261" s="115">
        <f t="shared" si="201"/>
        <v>0</v>
      </c>
      <c r="FQ261" s="149">
        <f t="shared" si="201"/>
        <v>1.6168240000000011</v>
      </c>
      <c r="FR261" s="142">
        <f t="shared" si="201"/>
        <v>12.2</v>
      </c>
      <c r="FS261" s="119">
        <f t="shared" si="201"/>
        <v>28</v>
      </c>
      <c r="FT261" s="121">
        <f t="shared" si="201"/>
        <v>0</v>
      </c>
      <c r="FU261" s="121">
        <f t="shared" si="180"/>
        <v>0</v>
      </c>
      <c r="FV261" s="121">
        <f t="shared" si="180"/>
        <v>0</v>
      </c>
      <c r="FW261" s="121">
        <f t="shared" si="181"/>
        <v>-23.199607621749522</v>
      </c>
      <c r="FX261" s="121">
        <f t="shared" si="182"/>
        <v>-2.3764901099999918</v>
      </c>
      <c r="FY261" s="144">
        <f t="shared" si="182"/>
        <v>0.37356848330169257</v>
      </c>
      <c r="FZ261" s="145" t="s">
        <v>314</v>
      </c>
      <c r="GA261" s="1033" t="s">
        <v>1178</v>
      </c>
      <c r="GB261" s="145"/>
      <c r="GC261" s="151" t="s">
        <v>1169</v>
      </c>
      <c r="GD261" s="997" t="s">
        <v>238</v>
      </c>
      <c r="GE261" s="1004"/>
      <c r="GF261" s="1004">
        <v>0</v>
      </c>
      <c r="GG261" s="1004" t="s">
        <v>223</v>
      </c>
      <c r="GH261" s="1004">
        <v>-1.8425440000000002</v>
      </c>
      <c r="GI261" s="145"/>
      <c r="GJ261" s="996">
        <v>-0.40127999999999986</v>
      </c>
      <c r="GK261" s="145"/>
      <c r="GL261" s="996">
        <v>0.41744000000000092</v>
      </c>
      <c r="GM261" s="1005"/>
      <c r="GN261" s="996">
        <v>-4.959999999999809E-2</v>
      </c>
      <c r="GO261" s="1006"/>
      <c r="GP261" s="996">
        <v>0</v>
      </c>
      <c r="GQ261" s="1006"/>
      <c r="GR261" s="996">
        <v>0</v>
      </c>
      <c r="GS261" s="1006"/>
      <c r="GT261" s="996">
        <v>0.74959999999999738</v>
      </c>
      <c r="GU261" s="1006" t="s">
        <v>308</v>
      </c>
      <c r="GV261" s="996">
        <v>-16.549389119999997</v>
      </c>
      <c r="GW261" s="1006"/>
      <c r="GX261" s="1049">
        <v>0</v>
      </c>
      <c r="GY261" s="1006"/>
      <c r="GZ261" s="996">
        <v>0</v>
      </c>
      <c r="HA261" s="1006" t="s">
        <v>146</v>
      </c>
      <c r="HB261" s="996">
        <v>-7.4939040000000041</v>
      </c>
      <c r="HC261" s="1006"/>
      <c r="HD261" s="996">
        <v>0</v>
      </c>
      <c r="HE261" s="1006" t="s">
        <v>199</v>
      </c>
      <c r="HF261" s="996">
        <v>5.8336080000000052</v>
      </c>
      <c r="HG261" s="1006"/>
      <c r="HH261" s="996">
        <v>0</v>
      </c>
      <c r="HI261" s="1006"/>
      <c r="HJ261" s="996">
        <v>0</v>
      </c>
      <c r="HK261" s="1006" t="s">
        <v>199</v>
      </c>
      <c r="HL261" s="996">
        <v>4.0362079999999985</v>
      </c>
      <c r="HM261" s="1006" t="s">
        <v>199</v>
      </c>
      <c r="HN261" s="996">
        <v>-5.7015199999999986</v>
      </c>
      <c r="HO261" s="1006"/>
      <c r="HP261" s="996">
        <v>0</v>
      </c>
      <c r="HQ261" s="1006"/>
      <c r="HR261" s="996">
        <v>0</v>
      </c>
      <c r="HS261" s="1006"/>
      <c r="HT261" s="996">
        <v>0</v>
      </c>
      <c r="HU261" s="1006"/>
      <c r="HV261" s="996">
        <v>0</v>
      </c>
      <c r="HW261" s="1006" t="s">
        <v>199</v>
      </c>
      <c r="HX261" s="996">
        <v>-3.8624036000000004</v>
      </c>
      <c r="HY261" s="1006"/>
      <c r="HZ261" s="996">
        <v>0.64463959999999787</v>
      </c>
      <c r="IA261" s="1006"/>
      <c r="IB261" s="996">
        <v>0</v>
      </c>
      <c r="IC261" s="1006"/>
      <c r="ID261" s="996">
        <v>-0.4230160000000005</v>
      </c>
      <c r="IE261" s="1006"/>
      <c r="IF261" s="996">
        <v>6.5040799999998455E-2</v>
      </c>
      <c r="IG261" s="1006" t="s">
        <v>221</v>
      </c>
      <c r="IH261" s="996">
        <v>2.9512472000000045</v>
      </c>
      <c r="II261" s="1006" t="s">
        <v>204</v>
      </c>
      <c r="IJ261" s="996">
        <v>5.0290415999999958</v>
      </c>
      <c r="IK261" s="1006" t="s">
        <v>239</v>
      </c>
      <c r="IL261" s="996">
        <v>-18.022989599999995</v>
      </c>
      <c r="IM261" s="1006" t="s">
        <v>199</v>
      </c>
      <c r="IN261" s="996">
        <v>-5.0996000000000024</v>
      </c>
      <c r="IO261" s="1006"/>
      <c r="IP261" s="996">
        <v>0</v>
      </c>
      <c r="IQ261" s="1006"/>
      <c r="IR261" s="996">
        <v>0</v>
      </c>
      <c r="IS261" s="1006" t="s">
        <v>204</v>
      </c>
      <c r="IT261" s="996">
        <v>-7.4727632319999913</v>
      </c>
      <c r="IU261" s="1006"/>
      <c r="IV261" s="996">
        <v>0</v>
      </c>
      <c r="IW261" s="1006" t="s">
        <v>199</v>
      </c>
      <c r="IX261" s="996">
        <v>8.3985496319999982</v>
      </c>
      <c r="IY261" s="1006"/>
      <c r="IZ261" s="996">
        <v>0.99818399999999485</v>
      </c>
      <c r="JA261" s="1006"/>
      <c r="JB261" s="996">
        <v>-0.94270704000000194</v>
      </c>
      <c r="JC261" s="1006"/>
      <c r="JD261" s="996">
        <v>0</v>
      </c>
      <c r="JE261" s="1006"/>
      <c r="JF261" s="996">
        <v>0</v>
      </c>
      <c r="JG261" s="1006"/>
      <c r="JH261" s="996">
        <v>0</v>
      </c>
      <c r="JI261" s="1006" t="s">
        <v>146</v>
      </c>
      <c r="JJ261" s="996">
        <v>3.8995638000000028</v>
      </c>
      <c r="JK261" s="1007" t="s">
        <v>221</v>
      </c>
      <c r="JL261" s="1007">
        <v>-35.523867160000009</v>
      </c>
      <c r="JM261" s="1007"/>
      <c r="JN261" s="1007">
        <v>0</v>
      </c>
      <c r="JO261" s="1008"/>
      <c r="JP261" s="1007">
        <v>0</v>
      </c>
      <c r="JQ261" s="1008">
        <v>0</v>
      </c>
      <c r="JR261" s="1007">
        <v>0</v>
      </c>
      <c r="JS261" s="1008" t="s">
        <v>146</v>
      </c>
      <c r="JT261" s="1007">
        <v>5.8351462400000145</v>
      </c>
      <c r="JU261" s="1008" t="s">
        <v>146</v>
      </c>
      <c r="JV261" s="1007">
        <v>-3.2535782400000102</v>
      </c>
      <c r="JW261" s="1008" t="s">
        <v>223</v>
      </c>
      <c r="JX261" s="1007">
        <v>-5.027704</v>
      </c>
      <c r="JY261" s="1008"/>
      <c r="JZ261" s="1007">
        <v>-5.015999999997689E-3</v>
      </c>
      <c r="KA261" s="1008" t="s">
        <v>1179</v>
      </c>
      <c r="KB261" s="1007">
        <v>-15.139123999999995</v>
      </c>
      <c r="KC261" s="1008"/>
      <c r="KD261" s="1007">
        <v>0</v>
      </c>
      <c r="KE261" s="1008" t="s">
        <v>259</v>
      </c>
      <c r="KF261" s="1007">
        <v>47.650144079999983</v>
      </c>
      <c r="KG261" s="1008"/>
      <c r="KH261" s="1007">
        <v>8.5867399200000065</v>
      </c>
      <c r="KI261" s="1008" t="s">
        <v>207</v>
      </c>
      <c r="KJ261" s="1007">
        <v>-24.44464</v>
      </c>
      <c r="KK261" s="1008"/>
      <c r="KL261" s="1007">
        <v>-0.39860479999999399</v>
      </c>
      <c r="KM261" s="1008" t="s">
        <v>207</v>
      </c>
      <c r="KN261" s="1007">
        <v>16.311363199999988</v>
      </c>
      <c r="KO261" s="1008" t="s">
        <v>207</v>
      </c>
      <c r="KP261" s="1007">
        <v>17.067441600000009</v>
      </c>
      <c r="KQ261" s="1008" t="s">
        <v>207</v>
      </c>
      <c r="KR261" s="1007">
        <v>-5.1505625600000045</v>
      </c>
      <c r="KS261" s="1008" t="s">
        <v>207</v>
      </c>
      <c r="KT261" s="1007">
        <v>-14.721157439999999</v>
      </c>
      <c r="KU261" s="1008">
        <v>0</v>
      </c>
      <c r="KV261" s="1007">
        <v>0</v>
      </c>
      <c r="KW261" s="1008" t="s">
        <v>1003</v>
      </c>
      <c r="KX261" s="1007">
        <v>46.8996</v>
      </c>
      <c r="KY261" s="1008">
        <v>0</v>
      </c>
      <c r="KZ261" s="1007">
        <v>0</v>
      </c>
      <c r="LA261" s="1008">
        <v>0</v>
      </c>
      <c r="LB261" s="1007">
        <v>0</v>
      </c>
      <c r="LC261" s="1008">
        <v>0</v>
      </c>
      <c r="LD261" s="1007">
        <v>0</v>
      </c>
      <c r="LE261" s="1008">
        <v>0</v>
      </c>
      <c r="LF261" s="1007">
        <v>0</v>
      </c>
      <c r="LG261" s="1008">
        <v>0</v>
      </c>
      <c r="LH261" s="1007">
        <v>0</v>
      </c>
      <c r="LI261" s="1008">
        <v>0</v>
      </c>
      <c r="LJ261" s="1007">
        <v>0</v>
      </c>
      <c r="LK261" s="1008">
        <v>0</v>
      </c>
      <c r="LL261" s="1007">
        <v>0</v>
      </c>
      <c r="LM261" s="1008" t="s">
        <v>240</v>
      </c>
      <c r="LN261" s="1007">
        <v>12.016249999999999</v>
      </c>
      <c r="LO261" s="1008" t="s">
        <v>206</v>
      </c>
      <c r="LP261" s="1007">
        <v>-1.5628599999999999</v>
      </c>
      <c r="LQ261" s="1008" t="s">
        <v>204</v>
      </c>
      <c r="LR261" s="1007">
        <v>1.543347961</v>
      </c>
      <c r="LS261" s="1008">
        <v>0</v>
      </c>
      <c r="LT261" s="1007">
        <v>0</v>
      </c>
      <c r="LU261" s="1008" t="s">
        <v>206</v>
      </c>
      <c r="LV261" s="1007">
        <v>-4.3511411999999003</v>
      </c>
      <c r="LW261" s="1008" t="s">
        <v>259</v>
      </c>
      <c r="LX261" s="1007">
        <v>-6.2745478410000004</v>
      </c>
      <c r="LY261" s="1009" t="s">
        <v>259</v>
      </c>
      <c r="LZ261" s="1010">
        <v>-9.1466560999999995</v>
      </c>
      <c r="MA261" s="1011">
        <v>0</v>
      </c>
      <c r="MB261" s="1012">
        <v>-4.8571609999999996</v>
      </c>
      <c r="MC261" s="995"/>
      <c r="MD261" s="996"/>
      <c r="ME261" s="997" t="s">
        <v>238</v>
      </c>
      <c r="MF261" s="997"/>
      <c r="MG261" s="998"/>
      <c r="NR261" s="1000"/>
      <c r="NS261" s="1000"/>
      <c r="NT261" s="1001"/>
      <c r="NU261" s="1000"/>
      <c r="NV261" s="1001"/>
      <c r="NX261" s="1002"/>
      <c r="NZ261" s="1001"/>
      <c r="OA261" s="1001"/>
      <c r="OC261" s="1003"/>
      <c r="OD261" s="1003"/>
      <c r="OE261" s="1001"/>
      <c r="OF261" s="1003"/>
      <c r="OG261" s="1003"/>
      <c r="OH261" s="1003"/>
      <c r="OI261" s="1016"/>
      <c r="QX261" s="1000">
        <f>CN261-CA261</f>
        <v>41.011624567500007</v>
      </c>
      <c r="ASU261" s="999" t="s">
        <v>225</v>
      </c>
    </row>
    <row r="262" spans="1:466 1191:1191" ht="21" customHeight="1" x14ac:dyDescent="0.25">
      <c r="A262" s="982">
        <f t="shared" si="163"/>
        <v>1202</v>
      </c>
      <c r="B262" s="124">
        <f>SUBTOTAL(103,$J$29:J262)</f>
        <v>234</v>
      </c>
      <c r="C262" s="126">
        <v>45068</v>
      </c>
      <c r="D262" s="124" t="s">
        <v>176</v>
      </c>
      <c r="E262" s="127" t="s">
        <v>177</v>
      </c>
      <c r="F262" s="128" t="s">
        <v>177</v>
      </c>
      <c r="G262" s="127" t="s">
        <v>178</v>
      </c>
      <c r="H262" s="127" t="s">
        <v>408</v>
      </c>
      <c r="I262" s="127" t="s">
        <v>538</v>
      </c>
      <c r="J262" s="152">
        <v>1202</v>
      </c>
      <c r="K262" s="127" t="s">
        <v>639</v>
      </c>
      <c r="L262" s="130">
        <v>41566</v>
      </c>
      <c r="M262" s="127" t="s">
        <v>230</v>
      </c>
      <c r="N262" s="127" t="s">
        <v>231</v>
      </c>
      <c r="O262" s="127" t="s">
        <v>185</v>
      </c>
      <c r="P262" s="127" t="s">
        <v>186</v>
      </c>
      <c r="Q262" s="85" t="str">
        <f t="shared" si="187"/>
        <v/>
      </c>
      <c r="R262" s="130"/>
      <c r="S262" s="128" t="s">
        <v>156</v>
      </c>
      <c r="T262" s="131"/>
      <c r="U262" s="132">
        <v>203</v>
      </c>
      <c r="V262" s="121">
        <v>218.2</v>
      </c>
      <c r="W262" s="116">
        <v>0.98</v>
      </c>
      <c r="X262" s="116">
        <v>1.66</v>
      </c>
      <c r="Y262" s="116">
        <f t="shared" si="191"/>
        <v>0.98463847764771384</v>
      </c>
      <c r="Z262" s="133">
        <v>1.454</v>
      </c>
      <c r="AA262" s="133">
        <v>0.83599999999999997</v>
      </c>
      <c r="AB262" s="133">
        <v>0.72</v>
      </c>
      <c r="AC262" s="121">
        <v>34.299999999999997</v>
      </c>
      <c r="AD262" s="134">
        <v>1.17</v>
      </c>
      <c r="AE262" s="124">
        <v>177.8</v>
      </c>
      <c r="AF262" s="128">
        <v>8.0500000000000007</v>
      </c>
      <c r="AG262" s="128">
        <v>2161.8200000000002</v>
      </c>
      <c r="AH262" s="127">
        <v>2930</v>
      </c>
      <c r="AI262" s="127">
        <v>2930</v>
      </c>
      <c r="AJ262" s="135"/>
      <c r="AK262" s="128"/>
      <c r="AL262" s="131"/>
      <c r="AM262" s="124" t="s">
        <v>232</v>
      </c>
      <c r="AN262" s="136" t="s">
        <v>1180</v>
      </c>
      <c r="AO262" s="137">
        <v>75</v>
      </c>
      <c r="AP262" s="128">
        <v>2161.8200000000002</v>
      </c>
      <c r="AQ262" s="128">
        <v>321</v>
      </c>
      <c r="AR262" s="128"/>
      <c r="AS262" s="128"/>
      <c r="AT262" s="122"/>
      <c r="AU262" s="124" t="s">
        <v>189</v>
      </c>
      <c r="AV262" s="115">
        <f>VLOOKUP(J262,'[63]ТР нефть'!$J$28:$BP$638,39,0)</f>
        <v>569.99999853500003</v>
      </c>
      <c r="AW262" s="115" t="str">
        <f>VLOOKUP(J262,'[63]ТР нефть'!$J$28:$BP$638,40,0)</f>
        <v>ГП</v>
      </c>
      <c r="AX262" s="115">
        <f>VLOOKUP(J262,'[63]ТР нефть'!$J$28:$BP$638,41,0)</f>
        <v>1049.999983594</v>
      </c>
      <c r="AY262" s="115" t="str">
        <f>VLOOKUP(J262,'[63]ТР нефть'!$J$28:$BP$638,42,0)</f>
        <v>ГК 85 1/8</v>
      </c>
      <c r="AZ262" s="115">
        <f>VLOOKUP(J262,'[63]ТР нефть'!$J$28:$BP$638,43,0)</f>
        <v>1360.0000382809999</v>
      </c>
      <c r="BA262" s="115" t="str">
        <f>VLOOKUP(J262,'[63]ТР нефть'!$J$28:$BP$638,44,0)</f>
        <v>ГК 85 1/8</v>
      </c>
      <c r="BB262" s="115">
        <f>VLOOKUP(J262,'[63]ТР нефть'!$J$28:$BP$638,45,0)</f>
        <v>1619.9999449219999</v>
      </c>
      <c r="BC262" s="115" t="str">
        <f>VLOOKUP(J262,'[63]ТР нефть'!$J$28:$BP$638,46,0)</f>
        <v>ГК 85 1/8</v>
      </c>
      <c r="BD262" s="115">
        <f>VLOOKUP(J262,'[63]ТР нефть'!$J$28:$BP$638,47,0)</f>
        <v>1769.9999425779999</v>
      </c>
      <c r="BE262" s="115" t="str">
        <f>VLOOKUP(J262,'[63]ТР нефть'!$J$28:$BP$638,48,0)</f>
        <v>ГК 84 1/8</v>
      </c>
      <c r="BF262" s="115">
        <f>VLOOKUP(J262,'[63]ТР нефть'!$J$28:$BP$638,49,0)</f>
        <v>1930</v>
      </c>
      <c r="BG262" s="115" t="str">
        <f>VLOOKUP(J262,'[63]ТР нефть'!$J$28:$BP$638,50,0)</f>
        <v>ЦКсОК 5/16</v>
      </c>
      <c r="BH262" s="115" t="str">
        <f>VLOOKUP(J262,'[63]ТР нефть'!$J$28:$BP$638,51,0)</f>
        <v>-</v>
      </c>
      <c r="BI262" s="115" t="str">
        <f>VLOOKUP(J262,'[63]ТР нефть'!$J$28:$BP$638,52,0)</f>
        <v>-</v>
      </c>
      <c r="BJ262" s="115" t="str">
        <f>IF(IFERROR(VLOOKUP(J262,'[63]ТР нефть'!$J$28:$BP$638,53,0),"-")=0,"-",IFERROR(VLOOKUP(J262,'[63]ТР нефть'!$J$28:$BP$638,53,0),"-"))</f>
        <v>-</v>
      </c>
      <c r="BK262" s="138" t="str">
        <f>IF(IFERROR(VLOOKUP(J262,'[63]ТР нефть'!$J$28:$BP$638,54,0),"-")=0,"-",IFERROR(VLOOKUP(J262,'[63]ТР нефть'!$J$28:$BP$638,54,0),"-"))</f>
        <v>-</v>
      </c>
      <c r="BL262" s="138" t="str">
        <f>IF(IFERROR(VLOOKUP(J262,'[63]ТР нефть'!$J$28:$BP$638,55,0),"-")=0,"-",IFERROR(VLOOKUP(J262,'[63]ТР нефть'!$J$28:$BP$638,55,0),"-"))</f>
        <v>-</v>
      </c>
      <c r="BM262" s="138" t="str">
        <f>IF(IFERROR(VLOOKUP(J262,'[63]ТР нефть'!$J$28:$BP$638,56,0),"-")=0,"-",IFERROR(VLOOKUP(J262,'[63]ТР нефть'!$J$28:$BP$638,56,0),"-"))</f>
        <v>-</v>
      </c>
      <c r="BN262" s="138" t="str">
        <f>IF(IFERROR(VLOOKUP(J262,'[63]ТР нефть'!$J$28:$BP$638,57,0),"-")=0,"-",IFERROR(VLOOKUP(J262,'[63]ТР нефть'!$J$28:$BP$638,57,0),"-"))</f>
        <v>-</v>
      </c>
      <c r="BO262" s="115" t="str">
        <f>IF(IFERROR(VLOOKUP(J262,'[63]ТР нефть'!$J$28:$BP$638,58,0),"-")=0,"-",IFERROR(VLOOKUP(J262,'[63]ТР нефть'!$J$28:$BP$638,58,0),"-"))</f>
        <v>-</v>
      </c>
      <c r="BP262" s="115" t="str">
        <f>IF(IFERROR(VLOOKUP(J262,'[63]ТР нефть'!$J$28:$BP$638,59,0),"-")=0,"-",IFERROR(VLOOKUP(J262,'[63]ТР нефть'!$J$28:$BP$638,59,0),"-"))</f>
        <v>-</v>
      </c>
      <c r="BQ262" s="138">
        <v>2100</v>
      </c>
      <c r="BR262" s="128">
        <v>1808.6</v>
      </c>
      <c r="BS262" s="115">
        <f t="shared" si="164"/>
        <v>291.40000000000009</v>
      </c>
      <c r="BT262" s="128">
        <v>73</v>
      </c>
      <c r="BU262" s="128">
        <v>5.5</v>
      </c>
      <c r="BV262" s="127">
        <v>18</v>
      </c>
      <c r="BW262" s="127" t="s">
        <v>217</v>
      </c>
      <c r="BX262" s="127" t="s">
        <v>195</v>
      </c>
      <c r="BY262" s="139">
        <v>24</v>
      </c>
      <c r="BZ262" s="139">
        <v>0</v>
      </c>
      <c r="CA262" s="138">
        <v>27</v>
      </c>
      <c r="CB262" s="138">
        <v>55</v>
      </c>
      <c r="CC262" s="138">
        <v>26</v>
      </c>
      <c r="CD262" s="135">
        <v>45017</v>
      </c>
      <c r="CE262" s="138">
        <v>99</v>
      </c>
      <c r="CF262" s="138">
        <v>70</v>
      </c>
      <c r="CG262" s="138" t="str">
        <f>IF(CH262&lt;&gt;"","В работе","")</f>
        <v>В работе</v>
      </c>
      <c r="CH262" s="138" t="s">
        <v>235</v>
      </c>
      <c r="CI262" s="127">
        <v>6</v>
      </c>
      <c r="CJ262" s="138"/>
      <c r="CK262" s="138"/>
      <c r="CL262" s="99"/>
      <c r="CM262" s="99"/>
      <c r="CN262" s="140">
        <v>64</v>
      </c>
      <c r="CO262" s="159">
        <f t="shared" si="165"/>
        <v>5.1235932000000002</v>
      </c>
      <c r="CP262" s="160">
        <v>6.2</v>
      </c>
      <c r="CQ262" s="161">
        <v>1.1499999999999999</v>
      </c>
      <c r="CR262" s="138">
        <v>12.9</v>
      </c>
      <c r="CS262" s="139">
        <v>9.9</v>
      </c>
      <c r="CT262" s="138"/>
      <c r="CU262" s="138">
        <f t="shared" si="188"/>
        <v>3</v>
      </c>
      <c r="CV262" s="115">
        <f t="shared" si="189"/>
        <v>585.52657927643429</v>
      </c>
      <c r="CW262" s="115">
        <f t="shared" si="166"/>
        <v>1901.5940082962513</v>
      </c>
      <c r="CX262" s="133">
        <f t="shared" si="190"/>
        <v>0.17714285714285716</v>
      </c>
      <c r="CY262" s="116"/>
      <c r="CZ262" s="131"/>
      <c r="DA262" s="145" t="str">
        <f t="shared" si="167"/>
        <v>Газлифт</v>
      </c>
      <c r="DB262" s="146">
        <f t="shared" si="168"/>
        <v>5.1235932000000002</v>
      </c>
      <c r="DC262" s="142">
        <f t="shared" si="203"/>
        <v>6.2</v>
      </c>
      <c r="DD262" s="119">
        <f t="shared" si="204"/>
        <v>1.1499999999999999</v>
      </c>
      <c r="DE262" s="115">
        <f t="shared" si="169"/>
        <v>3</v>
      </c>
      <c r="DF262" s="121">
        <f t="shared" si="170"/>
        <v>9.9</v>
      </c>
      <c r="DG262" s="115">
        <f t="shared" si="171"/>
        <v>585.52657927643429</v>
      </c>
      <c r="DH262" s="115">
        <f t="shared" si="172"/>
        <v>64</v>
      </c>
      <c r="DI262" s="1038"/>
      <c r="DJ262" s="111">
        <v>43485</v>
      </c>
      <c r="DK262" s="112">
        <v>44108.083333333336</v>
      </c>
      <c r="DL262" s="113">
        <f t="shared" ca="1" si="192"/>
        <v>995.91666666666424</v>
      </c>
      <c r="DM262" s="114"/>
      <c r="DN262" s="114"/>
      <c r="DO262" s="114"/>
      <c r="DP262" s="114"/>
      <c r="DQ262" s="112">
        <v>43270</v>
      </c>
      <c r="DR262" s="114" t="s">
        <v>198</v>
      </c>
      <c r="DS262" s="114"/>
      <c r="DT262" s="115">
        <v>60</v>
      </c>
      <c r="DU262" s="116">
        <f t="shared" si="193"/>
        <v>0.17336884154460724</v>
      </c>
      <c r="DV262" s="117">
        <f t="shared" si="194"/>
        <v>5.5875137560585904</v>
      </c>
      <c r="DW262" s="118">
        <f t="shared" si="195"/>
        <v>6.761384820239682</v>
      </c>
      <c r="DX262" s="119">
        <f t="shared" si="173"/>
        <v>1.1499999999999999</v>
      </c>
      <c r="DY262" s="115">
        <f t="shared" si="196"/>
        <v>3.2716378162450073</v>
      </c>
      <c r="DZ262" s="117">
        <f t="shared" si="197"/>
        <v>0.46392055605859017</v>
      </c>
      <c r="EA262" s="120">
        <f t="shared" si="197"/>
        <v>0.56138482023968184</v>
      </c>
      <c r="EB262" s="119">
        <f t="shared" si="197"/>
        <v>0</v>
      </c>
      <c r="EC262" s="121">
        <f t="shared" si="198"/>
        <v>0.27163781624500727</v>
      </c>
      <c r="ED262" s="122"/>
      <c r="EE262" s="145">
        <v>18</v>
      </c>
      <c r="EF262" s="115">
        <v>29</v>
      </c>
      <c r="EG262" s="115">
        <v>55</v>
      </c>
      <c r="EH262" s="115">
        <v>28</v>
      </c>
      <c r="EI262" s="128" t="s">
        <v>195</v>
      </c>
      <c r="EJ262" s="121">
        <v>24</v>
      </c>
      <c r="EK262" s="121">
        <v>0</v>
      </c>
      <c r="EL262" s="162">
        <v>5.1235932000000002</v>
      </c>
      <c r="EM262" s="142">
        <v>6.2</v>
      </c>
      <c r="EN262" s="119">
        <v>1.1499999999999999</v>
      </c>
      <c r="EO262" s="115">
        <v>12.9</v>
      </c>
      <c r="EP262" s="115">
        <v>585.52657927643429</v>
      </c>
      <c r="EQ262" s="115">
        <v>68</v>
      </c>
      <c r="ER262" s="115">
        <v>9.9</v>
      </c>
      <c r="ES262" s="115">
        <v>61</v>
      </c>
      <c r="ET262" s="150">
        <v>0.16315789473684211</v>
      </c>
      <c r="EU262" s="145">
        <f t="shared" si="174"/>
        <v>18</v>
      </c>
      <c r="EV262" s="115">
        <f t="shared" si="175"/>
        <v>27</v>
      </c>
      <c r="EW262" s="115">
        <f t="shared" si="175"/>
        <v>55</v>
      </c>
      <c r="EX262" s="115">
        <f t="shared" si="175"/>
        <v>26</v>
      </c>
      <c r="EY262" s="115" t="str">
        <f t="shared" si="206"/>
        <v>Постоянный</v>
      </c>
      <c r="EZ262" s="115">
        <f t="shared" si="206"/>
        <v>24</v>
      </c>
      <c r="FA262" s="115">
        <f t="shared" si="206"/>
        <v>0</v>
      </c>
      <c r="FB262" s="149">
        <f t="shared" si="176"/>
        <v>5.1235932000000002</v>
      </c>
      <c r="FC262" s="142">
        <f t="shared" si="176"/>
        <v>6.2</v>
      </c>
      <c r="FD262" s="119">
        <f t="shared" si="176"/>
        <v>1.1499999999999999</v>
      </c>
      <c r="FE262" s="121">
        <f t="shared" si="176"/>
        <v>12.9</v>
      </c>
      <c r="FF262" s="121">
        <f t="shared" si="199"/>
        <v>585.52657927643429</v>
      </c>
      <c r="FG262" s="121">
        <f t="shared" si="177"/>
        <v>70</v>
      </c>
      <c r="FH262" s="121">
        <f t="shared" si="200"/>
        <v>9.9</v>
      </c>
      <c r="FI262" s="121">
        <f t="shared" si="205"/>
        <v>64</v>
      </c>
      <c r="FJ262" s="144">
        <f t="shared" si="178"/>
        <v>0.17714285714285716</v>
      </c>
      <c r="FK262" s="132">
        <f t="shared" si="179"/>
        <v>0</v>
      </c>
      <c r="FL262" s="115">
        <f t="shared" si="179"/>
        <v>-2</v>
      </c>
      <c r="FM262" s="115">
        <f t="shared" si="179"/>
        <v>0</v>
      </c>
      <c r="FN262" s="115">
        <f t="shared" si="162"/>
        <v>-2</v>
      </c>
      <c r="FO262" s="115">
        <f t="shared" si="201"/>
        <v>0</v>
      </c>
      <c r="FP262" s="115">
        <f t="shared" si="201"/>
        <v>0</v>
      </c>
      <c r="FQ262" s="149">
        <f t="shared" si="201"/>
        <v>0</v>
      </c>
      <c r="FR262" s="142">
        <f t="shared" si="201"/>
        <v>0</v>
      </c>
      <c r="FS262" s="119">
        <f t="shared" si="201"/>
        <v>0</v>
      </c>
      <c r="FT262" s="121">
        <f t="shared" si="201"/>
        <v>0</v>
      </c>
      <c r="FU262" s="121">
        <f t="shared" si="180"/>
        <v>2</v>
      </c>
      <c r="FV262" s="121">
        <f t="shared" si="180"/>
        <v>0</v>
      </c>
      <c r="FW262" s="121">
        <f t="shared" si="181"/>
        <v>0</v>
      </c>
      <c r="FX262" s="121">
        <f>CN262-ES262</f>
        <v>3</v>
      </c>
      <c r="FY262" s="144">
        <f t="shared" si="182"/>
        <v>1.3984962406015045E-2</v>
      </c>
      <c r="FZ262" s="145"/>
      <c r="GA262" s="151" t="s">
        <v>1181</v>
      </c>
      <c r="GB262" s="145"/>
      <c r="GC262" s="151"/>
      <c r="GD262" s="997" t="s">
        <v>416</v>
      </c>
      <c r="GE262" s="1004"/>
      <c r="GF262" s="1004">
        <v>-2.9872787999999595E-2</v>
      </c>
      <c r="GG262" s="1004"/>
      <c r="GH262" s="1004">
        <v>-0.45588250399999897</v>
      </c>
      <c r="GI262" s="145" t="s">
        <v>204</v>
      </c>
      <c r="GJ262" s="996">
        <v>-1.7742703880000006</v>
      </c>
      <c r="GK262" s="145" t="s">
        <v>206</v>
      </c>
      <c r="GL262" s="996">
        <v>0</v>
      </c>
      <c r="GM262" s="1005" t="s">
        <v>240</v>
      </c>
      <c r="GN262" s="996">
        <v>-2.285222720000001</v>
      </c>
      <c r="GO262" s="1006"/>
      <c r="GP262" s="996">
        <v>0</v>
      </c>
      <c r="GQ262" s="1006" t="s">
        <v>203</v>
      </c>
      <c r="GR262" s="996">
        <v>-1.3012908479999989</v>
      </c>
      <c r="GS262" s="1006" t="s">
        <v>25</v>
      </c>
      <c r="GT262" s="996">
        <v>7.6278044479999991</v>
      </c>
      <c r="GU262" s="1006"/>
      <c r="GV262" s="996">
        <v>0</v>
      </c>
      <c r="GW262" s="1006"/>
      <c r="GX262" s="1035">
        <v>0.75202380000000035</v>
      </c>
      <c r="GY262" s="1006"/>
      <c r="GZ262" s="996">
        <v>0</v>
      </c>
      <c r="HA262" s="1006"/>
      <c r="HB262" s="996">
        <v>-0.75369580000000003</v>
      </c>
      <c r="HC262" s="1006"/>
      <c r="HD262" s="996">
        <v>0</v>
      </c>
      <c r="HE262" s="1006"/>
      <c r="HF262" s="996">
        <v>0</v>
      </c>
      <c r="HG262" s="1006"/>
      <c r="HH262" s="996">
        <v>-0.83599999999999985</v>
      </c>
      <c r="HI262" s="1006"/>
      <c r="HJ262" s="996">
        <v>0</v>
      </c>
      <c r="HK262" s="1006" t="s">
        <v>204</v>
      </c>
      <c r="HL262" s="996">
        <v>-2.2522341599999995</v>
      </c>
      <c r="HM262" s="1006" t="s">
        <v>199</v>
      </c>
      <c r="HN262" s="996">
        <v>2.5226801599999997</v>
      </c>
      <c r="HO262" s="1006"/>
      <c r="HP262" s="996">
        <v>-0.5731774839999999</v>
      </c>
      <c r="HQ262" s="1006" t="s">
        <v>203</v>
      </c>
      <c r="HR262" s="996">
        <v>-2.5932728359999997</v>
      </c>
      <c r="HS262" s="1006" t="s">
        <v>643</v>
      </c>
      <c r="HT262" s="996">
        <v>0</v>
      </c>
      <c r="HU262" s="1006"/>
      <c r="HV262" s="996">
        <v>-0.17895750400000043</v>
      </c>
      <c r="HW262" s="1006"/>
      <c r="HX262" s="996">
        <v>0</v>
      </c>
      <c r="HY262" s="1006" t="s">
        <v>204</v>
      </c>
      <c r="HZ262" s="996">
        <v>-5.9538381760000005</v>
      </c>
      <c r="IA262" s="1006"/>
      <c r="IB262" s="996">
        <v>0</v>
      </c>
      <c r="IC262" s="1006"/>
      <c r="ID262" s="996">
        <v>0</v>
      </c>
      <c r="IE262" s="1006" t="s">
        <v>199</v>
      </c>
      <c r="IF262" s="996">
        <v>12.880325568</v>
      </c>
      <c r="IG262" s="1006"/>
      <c r="IH262" s="996">
        <v>0</v>
      </c>
      <c r="II262" s="1006" t="s">
        <v>199</v>
      </c>
      <c r="IJ262" s="996">
        <v>-12.211525567999999</v>
      </c>
      <c r="IK262" s="1006" t="s">
        <v>221</v>
      </c>
      <c r="IL262" s="996">
        <v>8.36</v>
      </c>
      <c r="IM262" s="1006"/>
      <c r="IN262" s="996">
        <v>0</v>
      </c>
      <c r="IO262" s="1006"/>
      <c r="IP262" s="996">
        <v>0.45999999999999952</v>
      </c>
      <c r="IQ262" s="1006"/>
      <c r="IR262" s="996">
        <v>0</v>
      </c>
      <c r="IS262" s="1006"/>
      <c r="IT262" s="996">
        <v>0</v>
      </c>
      <c r="IU262" s="1006"/>
      <c r="IV262" s="996">
        <v>0</v>
      </c>
      <c r="IW262" s="1006"/>
      <c r="IX262" s="996">
        <v>0</v>
      </c>
      <c r="IY262" s="1006"/>
      <c r="IZ262" s="996">
        <v>0</v>
      </c>
      <c r="JA262" s="1006"/>
      <c r="JB262" s="996">
        <v>-1.0224279999999997</v>
      </c>
      <c r="JC262" s="1006" t="s">
        <v>199</v>
      </c>
      <c r="JD262" s="996">
        <v>4.1516111119999994</v>
      </c>
      <c r="JE262" s="1006"/>
      <c r="JF262" s="996">
        <v>0</v>
      </c>
      <c r="JG262" s="1006" t="s">
        <v>199</v>
      </c>
      <c r="JH262" s="996">
        <v>-5.7756046479999998</v>
      </c>
      <c r="JI262" s="1006"/>
      <c r="JJ262" s="996">
        <v>0</v>
      </c>
      <c r="JK262" s="1007"/>
      <c r="JL262" s="1007">
        <v>0</v>
      </c>
      <c r="JM262" s="1007"/>
      <c r="JN262" s="1007">
        <v>0</v>
      </c>
      <c r="JO262" s="1008"/>
      <c r="JP262" s="1007">
        <v>0</v>
      </c>
      <c r="JQ262" s="1008" t="s">
        <v>223</v>
      </c>
      <c r="JR262" s="1007">
        <v>-7.8433720640000004</v>
      </c>
      <c r="JS262" s="1008">
        <v>0</v>
      </c>
      <c r="JT262" s="1007">
        <v>0</v>
      </c>
      <c r="JU262" s="1008" t="s">
        <v>223</v>
      </c>
      <c r="JV262" s="1007">
        <v>-18.942101375999997</v>
      </c>
      <c r="JW262" s="1008" t="s">
        <v>197</v>
      </c>
      <c r="JX262" s="1007">
        <v>4.1013759999941612E-3</v>
      </c>
      <c r="JY262" s="1008"/>
      <c r="JZ262" s="1007">
        <v>0</v>
      </c>
      <c r="KA262" s="1008"/>
      <c r="KB262" s="1007">
        <v>23.3</v>
      </c>
      <c r="KC262" s="1008"/>
      <c r="KD262" s="1007">
        <v>0</v>
      </c>
      <c r="KE262" s="1008" t="s">
        <v>199</v>
      </c>
      <c r="KF262" s="1007">
        <v>-12.051466679999999</v>
      </c>
      <c r="KG262" s="1008" t="s">
        <v>204</v>
      </c>
      <c r="KH262" s="1007">
        <v>3.3570666799999991</v>
      </c>
      <c r="KI262" s="1008"/>
      <c r="KJ262" s="1007">
        <v>0</v>
      </c>
      <c r="KK262" s="1008" t="s">
        <v>206</v>
      </c>
      <c r="KL262" s="1007">
        <v>3.0664480000000012</v>
      </c>
      <c r="KM262" s="1008"/>
      <c r="KN262" s="1007">
        <v>0</v>
      </c>
      <c r="KO262" s="1008"/>
      <c r="KP262" s="1007">
        <v>0</v>
      </c>
      <c r="KQ262" s="1008">
        <v>0</v>
      </c>
      <c r="KR262" s="1007">
        <v>-0.14044800000000279</v>
      </c>
      <c r="KS262" s="1008" t="s">
        <v>25</v>
      </c>
      <c r="KT262" s="1007">
        <v>1.8149560000000005</v>
      </c>
      <c r="KU262" s="1008">
        <v>0</v>
      </c>
      <c r="KV262" s="1007">
        <v>0</v>
      </c>
      <c r="KW262" s="1008">
        <v>0</v>
      </c>
      <c r="KX262" s="1007">
        <v>0</v>
      </c>
      <c r="KY262" s="1008" t="s">
        <v>199</v>
      </c>
      <c r="KZ262" s="1007">
        <v>-4.9708559999999959</v>
      </c>
      <c r="LA262" s="1008" t="s">
        <v>204</v>
      </c>
      <c r="LB262" s="1007">
        <v>4.9708559999999959</v>
      </c>
      <c r="LC262" s="1008" t="s">
        <v>206</v>
      </c>
      <c r="LD262" s="1007">
        <v>-13.255616000000002</v>
      </c>
      <c r="LE262" s="1008" t="s">
        <v>204</v>
      </c>
      <c r="LF262" s="1007">
        <v>4.9966600000000021</v>
      </c>
      <c r="LG262" s="1008">
        <v>0</v>
      </c>
      <c r="LH262" s="1007">
        <v>0</v>
      </c>
      <c r="LI262" s="1008">
        <v>0</v>
      </c>
      <c r="LJ262" s="1007">
        <v>0</v>
      </c>
      <c r="LK262" s="1008">
        <v>0</v>
      </c>
      <c r="LL262" s="1007">
        <v>0</v>
      </c>
      <c r="LM262" s="1008" t="s">
        <v>555</v>
      </c>
      <c r="LN262" s="1007">
        <v>3.1564939999999999</v>
      </c>
      <c r="LO262" s="1008">
        <v>0</v>
      </c>
      <c r="LP262" s="1007">
        <v>0</v>
      </c>
      <c r="LQ262" s="1008">
        <v>0</v>
      </c>
      <c r="LR262" s="1007">
        <v>0</v>
      </c>
      <c r="LS262" s="1008">
        <v>0</v>
      </c>
      <c r="LT262" s="1007">
        <v>-1.4415482399999995</v>
      </c>
      <c r="LU262" s="1008">
        <v>0</v>
      </c>
      <c r="LV262" s="1007">
        <v>0</v>
      </c>
      <c r="LW262" s="1008">
        <v>0</v>
      </c>
      <c r="LX262" s="1007">
        <v>-0.21543764000000001</v>
      </c>
      <c r="LY262" s="1009" t="s">
        <v>207</v>
      </c>
      <c r="LZ262" s="1010">
        <v>-3.3139400000000001</v>
      </c>
      <c r="MA262" s="1011" t="s">
        <v>206</v>
      </c>
      <c r="MB262" s="1012">
        <v>-3.3139400000000001</v>
      </c>
      <c r="MC262" s="995"/>
      <c r="MD262" s="996"/>
      <c r="ME262" s="997" t="s">
        <v>416</v>
      </c>
      <c r="MF262" s="997"/>
      <c r="MG262" s="998"/>
      <c r="NR262" s="1000"/>
      <c r="NS262" s="1000"/>
      <c r="NT262" s="1001"/>
      <c r="NU262" s="1000"/>
      <c r="NV262" s="1001"/>
      <c r="NX262" s="1002"/>
      <c r="NZ262" s="1001"/>
      <c r="OA262" s="1001"/>
      <c r="OC262" s="1003"/>
      <c r="OD262" s="1003"/>
      <c r="OE262" s="1001"/>
      <c r="OF262" s="1003"/>
      <c r="OG262" s="1003"/>
      <c r="QX262" s="1000">
        <f>CN262-CA262</f>
        <v>37</v>
      </c>
      <c r="ASU262" s="999" t="s">
        <v>225</v>
      </c>
    </row>
    <row r="263" spans="1:466 1191:1191" ht="21" customHeight="1" x14ac:dyDescent="0.25">
      <c r="A263" s="982" t="str">
        <f t="shared" si="163"/>
        <v>1202-2</v>
      </c>
      <c r="B263" s="124">
        <f>SUBTOTAL(103,$J$29:J263)</f>
        <v>235</v>
      </c>
      <c r="C263" s="126">
        <v>45068</v>
      </c>
      <c r="D263" s="124" t="s">
        <v>176</v>
      </c>
      <c r="E263" s="127" t="s">
        <v>177</v>
      </c>
      <c r="F263" s="128" t="s">
        <v>177</v>
      </c>
      <c r="G263" s="127" t="s">
        <v>178</v>
      </c>
      <c r="H263" s="127" t="s">
        <v>408</v>
      </c>
      <c r="I263" s="127" t="s">
        <v>538</v>
      </c>
      <c r="J263" s="152" t="s">
        <v>1182</v>
      </c>
      <c r="K263" s="127" t="s">
        <v>639</v>
      </c>
      <c r="L263" s="130">
        <v>41449</v>
      </c>
      <c r="M263" s="127" t="s">
        <v>230</v>
      </c>
      <c r="N263" s="127" t="s">
        <v>231</v>
      </c>
      <c r="O263" s="127" t="s">
        <v>185</v>
      </c>
      <c r="P263" s="127" t="s">
        <v>186</v>
      </c>
      <c r="Q263" s="85" t="str">
        <f t="shared" si="187"/>
        <v/>
      </c>
      <c r="R263" s="130"/>
      <c r="S263" s="128" t="s">
        <v>156</v>
      </c>
      <c r="T263" s="131"/>
      <c r="U263" s="132">
        <v>203</v>
      </c>
      <c r="V263" s="121">
        <v>218.2</v>
      </c>
      <c r="W263" s="116">
        <v>0.98</v>
      </c>
      <c r="X263" s="116">
        <v>1.66</v>
      </c>
      <c r="Y263" s="116">
        <f t="shared" si="191"/>
        <v>0.99013998782714552</v>
      </c>
      <c r="Z263" s="133">
        <v>1.454</v>
      </c>
      <c r="AA263" s="133">
        <v>0.83599999999999997</v>
      </c>
      <c r="AB263" s="133">
        <v>0.72</v>
      </c>
      <c r="AC263" s="121">
        <v>34.299999999999997</v>
      </c>
      <c r="AD263" s="134">
        <v>1.17</v>
      </c>
      <c r="AE263" s="124">
        <v>177.8</v>
      </c>
      <c r="AF263" s="128">
        <v>8.0500000000000007</v>
      </c>
      <c r="AG263" s="128">
        <v>2034</v>
      </c>
      <c r="AH263" s="127">
        <v>2900</v>
      </c>
      <c r="AI263" s="127">
        <v>2900</v>
      </c>
      <c r="AJ263" s="135"/>
      <c r="AK263" s="128"/>
      <c r="AL263" s="131"/>
      <c r="AM263" s="124" t="s">
        <v>232</v>
      </c>
      <c r="AN263" s="136" t="s">
        <v>1183</v>
      </c>
      <c r="AO263" s="137">
        <v>10</v>
      </c>
      <c r="AP263" s="128">
        <v>2034</v>
      </c>
      <c r="AQ263" s="128">
        <v>176.78</v>
      </c>
      <c r="AR263" s="128"/>
      <c r="AS263" s="128"/>
      <c r="AT263" s="122"/>
      <c r="AU263" s="124" t="s">
        <v>250</v>
      </c>
      <c r="AV263" s="115">
        <f>VLOOKUP(J263,'[63]ТР нефть'!$J$28:$BP$638,39,0)</f>
        <v>600</v>
      </c>
      <c r="AW263" s="115" t="str">
        <f>VLOOKUP(J263,'[63]ТР нефть'!$J$28:$BP$638,40,0)</f>
        <v>ГП</v>
      </c>
      <c r="AX263" s="115">
        <f>VLOOKUP(J263,'[63]ТР нефть'!$J$28:$BP$638,41,0)</f>
        <v>1200</v>
      </c>
      <c r="AY263" s="115" t="str">
        <f>VLOOKUP(J263,'[63]ТР нефть'!$J$28:$BP$638,42,0)</f>
        <v>ГК 93 /1,5</v>
      </c>
      <c r="AZ263" s="115">
        <f>VLOOKUP(J263,'[63]ТР нефть'!$J$28:$BP$638,43,0)</f>
        <v>1768</v>
      </c>
      <c r="BA263" s="115" t="str">
        <f>VLOOKUP(J263,'[63]ТР нефть'!$J$28:$BP$638,44,0)</f>
        <v>ЦКсОК 5/16</v>
      </c>
      <c r="BB263" s="115" t="str">
        <f>VLOOKUP(J263,'[63]ТР нефть'!$J$28:$BP$638,45,0)</f>
        <v>-</v>
      </c>
      <c r="BC263" s="115" t="str">
        <f>VLOOKUP(J263,'[63]ТР нефть'!$J$28:$BP$638,46,0)</f>
        <v>-</v>
      </c>
      <c r="BD263" s="115" t="str">
        <f>VLOOKUP(J263,'[63]ТР нефть'!$J$28:$BP$638,47,0)</f>
        <v>-</v>
      </c>
      <c r="BE263" s="115" t="str">
        <f>VLOOKUP(J263,'[63]ТР нефть'!$J$28:$BP$638,48,0)</f>
        <v>-</v>
      </c>
      <c r="BF263" s="115" t="str">
        <f>VLOOKUP(J263,'[63]ТР нефть'!$J$28:$BP$638,49,0)</f>
        <v>-</v>
      </c>
      <c r="BG263" s="115" t="str">
        <f>VLOOKUP(J263,'[63]ТР нефть'!$J$28:$BP$638,50,0)</f>
        <v>-</v>
      </c>
      <c r="BH263" s="115">
        <f>VLOOKUP(J263,'[63]ТР нефть'!$J$28:$BP$638,51,0)</f>
        <v>1778</v>
      </c>
      <c r="BI263" s="115" t="str">
        <f>VLOOKUP(J263,'[63]ТР нефть'!$J$28:$BP$638,52,0)</f>
        <v>закрыт</v>
      </c>
      <c r="BJ263" s="115" t="str">
        <f>IF(IFERROR(VLOOKUP(J263,'[63]ТР нефть'!$J$28:$BP$638,53,0),"-")=0,"-",IFERROR(VLOOKUP(J263,'[63]ТР нефть'!$J$28:$BP$638,53,0),"-"))</f>
        <v>-</v>
      </c>
      <c r="BK263" s="138" t="str">
        <f>IF(IFERROR(VLOOKUP(J263,'[63]ТР нефть'!$J$28:$BP$638,54,0),"-")=0,"-",IFERROR(VLOOKUP(J263,'[63]ТР нефть'!$J$28:$BP$638,54,0),"-"))</f>
        <v>-</v>
      </c>
      <c r="BL263" s="138" t="str">
        <f>IF(IFERROR(VLOOKUP(J263,'[63]ТР нефть'!$J$28:$BP$638,55,0),"-")=0,"-",IFERROR(VLOOKUP(J263,'[63]ТР нефть'!$J$28:$BP$638,55,0),"-"))</f>
        <v>-</v>
      </c>
      <c r="BM263" s="138" t="str">
        <f>IF(IFERROR(VLOOKUP(J263,'[63]ТР нефть'!$J$28:$BP$638,56,0),"-")=0,"-",IFERROR(VLOOKUP(J263,'[63]ТР нефть'!$J$28:$BP$638,56,0),"-"))</f>
        <v>-</v>
      </c>
      <c r="BN263" s="138" t="str">
        <f>IF(IFERROR(VLOOKUP(J263,'[63]ТР нефть'!$J$28:$BP$638,57,0),"-")=0,"-",IFERROR(VLOOKUP(J263,'[63]ТР нефть'!$J$28:$BP$638,57,0),"-"))</f>
        <v>-</v>
      </c>
      <c r="BO263" s="115" t="str">
        <f>IF(IFERROR(VLOOKUP(J263,'[63]ТР нефть'!$J$28:$BP$638,58,0),"-")=0,"-",IFERROR(VLOOKUP(J263,'[63]ТР нефть'!$J$28:$BP$638,58,0),"-"))</f>
        <v>-</v>
      </c>
      <c r="BP263" s="115" t="str">
        <f>IF(IFERROR(VLOOKUP(J263,'[63]ТР нефть'!$J$28:$BP$638,59,0),"-")=0,"-",IFERROR(VLOOKUP(J263,'[63]ТР нефть'!$J$28:$BP$638,59,0),"-"))</f>
        <v>-</v>
      </c>
      <c r="BQ263" s="138">
        <v>2047</v>
      </c>
      <c r="BR263" s="128">
        <v>1861.5</v>
      </c>
      <c r="BS263" s="115">
        <f t="shared" si="164"/>
        <v>185.5</v>
      </c>
      <c r="BT263" s="128">
        <v>73</v>
      </c>
      <c r="BU263" s="128">
        <v>5.5</v>
      </c>
      <c r="BV263" s="127">
        <v>18</v>
      </c>
      <c r="BW263" s="127" t="s">
        <v>217</v>
      </c>
      <c r="BX263" s="127" t="s">
        <v>195</v>
      </c>
      <c r="BY263" s="139">
        <v>24</v>
      </c>
      <c r="BZ263" s="139">
        <v>0</v>
      </c>
      <c r="CA263" s="138">
        <v>26</v>
      </c>
      <c r="CB263" s="138">
        <v>58</v>
      </c>
      <c r="CC263" s="138">
        <v>24</v>
      </c>
      <c r="CD263" s="135">
        <v>45017</v>
      </c>
      <c r="CE263" s="138">
        <v>73.8</v>
      </c>
      <c r="CF263" s="138"/>
      <c r="CG263" s="138" t="str">
        <f>IF(CH263&lt;&gt;"","В работе","")</f>
        <v/>
      </c>
      <c r="CH263" s="138" t="s">
        <v>197</v>
      </c>
      <c r="CI263" s="127"/>
      <c r="CJ263" s="138"/>
      <c r="CK263" s="138"/>
      <c r="CL263" s="99"/>
      <c r="CM263" s="138"/>
      <c r="CN263" s="154">
        <v>46</v>
      </c>
      <c r="CO263" s="159">
        <f t="shared" si="165"/>
        <v>11.166869999999998</v>
      </c>
      <c r="CP263" s="160">
        <v>13.7</v>
      </c>
      <c r="CQ263" s="161">
        <v>2.5</v>
      </c>
      <c r="CR263" s="138">
        <v>23</v>
      </c>
      <c r="CS263" s="139"/>
      <c r="CT263" s="138"/>
      <c r="CU263" s="138">
        <f t="shared" si="188"/>
        <v>23</v>
      </c>
      <c r="CV263" s="115">
        <f t="shared" si="189"/>
        <v>2059.6639882079762</v>
      </c>
      <c r="CW263" s="115" t="str">
        <f t="shared" si="166"/>
        <v/>
      </c>
      <c r="CX263" s="133">
        <f t="shared" si="190"/>
        <v>0.4928057553956835</v>
      </c>
      <c r="CY263" s="116"/>
      <c r="CZ263" s="131"/>
      <c r="DA263" s="145" t="str">
        <f t="shared" si="167"/>
        <v>Фон.</v>
      </c>
      <c r="DB263" s="146">
        <f t="shared" si="168"/>
        <v>11.166869999999998</v>
      </c>
      <c r="DC263" s="142">
        <f t="shared" si="203"/>
        <v>13.7</v>
      </c>
      <c r="DD263" s="119">
        <f t="shared" si="204"/>
        <v>2.5</v>
      </c>
      <c r="DE263" s="115">
        <f t="shared" si="169"/>
        <v>23</v>
      </c>
      <c r="DF263" s="121">
        <f t="shared" si="170"/>
        <v>0</v>
      </c>
      <c r="DG263" s="115">
        <f t="shared" si="171"/>
        <v>2059.6639882079762</v>
      </c>
      <c r="DH263" s="115">
        <f t="shared" si="172"/>
        <v>46</v>
      </c>
      <c r="DI263" s="147"/>
      <c r="DJ263" s="111" t="s">
        <v>197</v>
      </c>
      <c r="DK263" s="112">
        <v>44179</v>
      </c>
      <c r="DL263" s="113">
        <f t="shared" ca="1" si="192"/>
        <v>925</v>
      </c>
      <c r="DM263" s="114"/>
      <c r="DN263" s="114"/>
      <c r="DO263" s="114"/>
      <c r="DP263" s="114"/>
      <c r="DQ263" s="112">
        <v>44010</v>
      </c>
      <c r="DR263" s="114" t="s">
        <v>198</v>
      </c>
      <c r="DS263" s="114"/>
      <c r="DT263" s="115">
        <v>50</v>
      </c>
      <c r="DU263" s="116">
        <f t="shared" si="193"/>
        <v>0.5756302521008404</v>
      </c>
      <c r="DV263" s="117">
        <f t="shared" si="194"/>
        <v>11.166869999999998</v>
      </c>
      <c r="DW263" s="118">
        <f t="shared" si="195"/>
        <v>13.7</v>
      </c>
      <c r="DX263" s="119">
        <f t="shared" si="173"/>
        <v>2.5</v>
      </c>
      <c r="DY263" s="115">
        <f t="shared" si="196"/>
        <v>23</v>
      </c>
      <c r="DZ263" s="117">
        <f t="shared" si="197"/>
        <v>0</v>
      </c>
      <c r="EA263" s="120">
        <f t="shared" si="197"/>
        <v>0</v>
      </c>
      <c r="EB263" s="119">
        <f t="shared" si="197"/>
        <v>0</v>
      </c>
      <c r="EC263" s="121">
        <f t="shared" si="198"/>
        <v>0</v>
      </c>
      <c r="ED263" s="122"/>
      <c r="EE263" s="145">
        <v>18</v>
      </c>
      <c r="EF263" s="115">
        <v>25</v>
      </c>
      <c r="EG263" s="115">
        <v>51</v>
      </c>
      <c r="EH263" s="115">
        <v>24</v>
      </c>
      <c r="EI263" s="128" t="s">
        <v>195</v>
      </c>
      <c r="EJ263" s="121">
        <v>24</v>
      </c>
      <c r="EK263" s="121">
        <v>0</v>
      </c>
      <c r="EL263" s="162">
        <v>11.5705744</v>
      </c>
      <c r="EM263" s="142">
        <v>14</v>
      </c>
      <c r="EN263" s="143">
        <v>1.1399999999999999</v>
      </c>
      <c r="EO263" s="138">
        <v>12.586</v>
      </c>
      <c r="EP263" s="115">
        <v>1572</v>
      </c>
      <c r="EQ263" s="115">
        <v>0</v>
      </c>
      <c r="ER263" s="115">
        <v>0</v>
      </c>
      <c r="ES263" s="115">
        <v>54</v>
      </c>
      <c r="ET263" s="150">
        <v>0.70707070707070718</v>
      </c>
      <c r="EU263" s="145">
        <f t="shared" si="174"/>
        <v>18</v>
      </c>
      <c r="EV263" s="115">
        <f t="shared" si="175"/>
        <v>26</v>
      </c>
      <c r="EW263" s="115">
        <f t="shared" si="175"/>
        <v>58</v>
      </c>
      <c r="EX263" s="115">
        <f t="shared" si="175"/>
        <v>24</v>
      </c>
      <c r="EY263" s="115" t="str">
        <f t="shared" si="206"/>
        <v>Постоянный</v>
      </c>
      <c r="EZ263" s="115">
        <f t="shared" si="206"/>
        <v>24</v>
      </c>
      <c r="FA263" s="115">
        <f t="shared" si="206"/>
        <v>0</v>
      </c>
      <c r="FB263" s="149">
        <f t="shared" si="176"/>
        <v>11.166869999999998</v>
      </c>
      <c r="FC263" s="142">
        <f t="shared" si="176"/>
        <v>13.7</v>
      </c>
      <c r="FD263" s="119">
        <f t="shared" si="176"/>
        <v>2.5</v>
      </c>
      <c r="FE263" s="121">
        <f t="shared" si="176"/>
        <v>23</v>
      </c>
      <c r="FF263" s="121">
        <f t="shared" si="199"/>
        <v>2059.6639882079762</v>
      </c>
      <c r="FG263" s="121">
        <f t="shared" si="177"/>
        <v>0</v>
      </c>
      <c r="FH263" s="121">
        <f t="shared" si="200"/>
        <v>0</v>
      </c>
      <c r="FI263" s="121">
        <f t="shared" si="205"/>
        <v>46</v>
      </c>
      <c r="FJ263" s="144">
        <f t="shared" si="178"/>
        <v>0.4928057553956835</v>
      </c>
      <c r="FK263" s="132">
        <f t="shared" si="179"/>
        <v>0</v>
      </c>
      <c r="FL263" s="115">
        <f t="shared" si="179"/>
        <v>1</v>
      </c>
      <c r="FM263" s="115">
        <f t="shared" si="179"/>
        <v>7</v>
      </c>
      <c r="FN263" s="115">
        <f t="shared" si="162"/>
        <v>0</v>
      </c>
      <c r="FO263" s="115">
        <f t="shared" si="201"/>
        <v>0</v>
      </c>
      <c r="FP263" s="115">
        <f t="shared" si="201"/>
        <v>0</v>
      </c>
      <c r="FQ263" s="149">
        <f>FB263-EL263</f>
        <v>-0.40370440000000229</v>
      </c>
      <c r="FR263" s="142">
        <f t="shared" si="201"/>
        <v>-0.30000000000000071</v>
      </c>
      <c r="FS263" s="119">
        <f t="shared" si="201"/>
        <v>1.36</v>
      </c>
      <c r="FT263" s="121">
        <f t="shared" si="201"/>
        <v>10.414</v>
      </c>
      <c r="FU263" s="121">
        <f t="shared" si="180"/>
        <v>0</v>
      </c>
      <c r="FV263" s="121">
        <f t="shared" si="180"/>
        <v>0</v>
      </c>
      <c r="FW263" s="121">
        <f t="shared" si="181"/>
        <v>487.66398820797622</v>
      </c>
      <c r="FX263" s="121">
        <f>CN263-ES263</f>
        <v>-8</v>
      </c>
      <c r="FY263" s="144">
        <f t="shared" si="182"/>
        <v>-0.21426495167502368</v>
      </c>
      <c r="FZ263" s="145"/>
      <c r="GA263" s="131"/>
      <c r="GB263" s="145"/>
      <c r="GC263" s="131"/>
      <c r="GD263" s="997" t="s">
        <v>416</v>
      </c>
      <c r="GE263" s="1004"/>
      <c r="GF263" s="1004">
        <v>0</v>
      </c>
      <c r="GG263" s="1004"/>
      <c r="GH263" s="1004">
        <v>0.27244153200000021</v>
      </c>
      <c r="GI263" s="145"/>
      <c r="GJ263" s="996">
        <v>0</v>
      </c>
      <c r="GK263" s="145" t="s">
        <v>206</v>
      </c>
      <c r="GL263" s="996">
        <v>0</v>
      </c>
      <c r="GM263" s="1005"/>
      <c r="GN263" s="996">
        <v>0</v>
      </c>
      <c r="GO263" s="1006"/>
      <c r="GP263" s="996">
        <v>0</v>
      </c>
      <c r="GQ263" s="1006"/>
      <c r="GR263" s="996">
        <v>0</v>
      </c>
      <c r="GS263" s="1006"/>
      <c r="GT263" s="996">
        <v>0</v>
      </c>
      <c r="GU263" s="1006"/>
      <c r="GV263" s="996">
        <v>0</v>
      </c>
      <c r="GW263" s="1006"/>
      <c r="GX263" s="1035">
        <v>0</v>
      </c>
      <c r="GY263" s="1006"/>
      <c r="GZ263" s="996">
        <v>0</v>
      </c>
      <c r="HA263" s="1006"/>
      <c r="HB263" s="996">
        <v>0.92994132000000107</v>
      </c>
      <c r="HC263" s="1006" t="s">
        <v>223</v>
      </c>
      <c r="HD263" s="996">
        <v>-1.3664837999999992</v>
      </c>
      <c r="HE263" s="1006"/>
      <c r="HF263" s="996">
        <v>0</v>
      </c>
      <c r="HG263" s="1006"/>
      <c r="HH263" s="996">
        <v>0</v>
      </c>
      <c r="HI263" s="1006"/>
      <c r="HJ263" s="996">
        <v>5.4440319999997655E-2</v>
      </c>
      <c r="HK263" s="1006" t="s">
        <v>204</v>
      </c>
      <c r="HL263" s="996">
        <v>3.9714180000000008</v>
      </c>
      <c r="HM263" s="1006"/>
      <c r="HN263" s="996">
        <v>0</v>
      </c>
      <c r="HO263" s="1006" t="s">
        <v>204</v>
      </c>
      <c r="HP263" s="996">
        <v>-1.1188522399999998</v>
      </c>
      <c r="HQ263" s="1006"/>
      <c r="HR263" s="996">
        <v>-0.85415791999999868</v>
      </c>
      <c r="HS263" s="1006" t="s">
        <v>643</v>
      </c>
      <c r="HT263" s="996">
        <v>0</v>
      </c>
      <c r="HU263" s="1006"/>
      <c r="HV263" s="996">
        <v>-0.33867216063999983</v>
      </c>
      <c r="HW263" s="1006" t="s">
        <v>25</v>
      </c>
      <c r="HX263" s="996">
        <v>3.139155120639999</v>
      </c>
      <c r="HY263" s="1006" t="s">
        <v>204</v>
      </c>
      <c r="HZ263" s="996">
        <v>-5.0095628000000003</v>
      </c>
      <c r="IA263" s="1006"/>
      <c r="IB263" s="996">
        <v>0</v>
      </c>
      <c r="IC263" s="1006"/>
      <c r="ID263" s="996">
        <v>0</v>
      </c>
      <c r="IE263" s="1006"/>
      <c r="IF263" s="996">
        <v>0</v>
      </c>
      <c r="IG263" s="1006" t="s">
        <v>223</v>
      </c>
      <c r="IH263" s="996">
        <v>-6.834969635999995</v>
      </c>
      <c r="II263" s="1006"/>
      <c r="IJ263" s="996">
        <v>0</v>
      </c>
      <c r="IK263" s="1006" t="s">
        <v>204</v>
      </c>
      <c r="IL263" s="996">
        <v>-4.4042143640000049</v>
      </c>
      <c r="IM263" s="1006"/>
      <c r="IN263" s="996">
        <v>0</v>
      </c>
      <c r="IO263" s="1006" t="s">
        <v>203</v>
      </c>
      <c r="IP263" s="996">
        <v>4.3472000000000008</v>
      </c>
      <c r="IQ263" s="1006"/>
      <c r="IR263" s="996">
        <v>-0.62699999999999889</v>
      </c>
      <c r="IS263" s="1006"/>
      <c r="IT263" s="996">
        <v>0</v>
      </c>
      <c r="IU263" s="1006" t="s">
        <v>25</v>
      </c>
      <c r="IV263" s="996">
        <v>5.0758575999999991</v>
      </c>
      <c r="IW263" s="1006" t="s">
        <v>199</v>
      </c>
      <c r="IX263" s="996">
        <v>-5.1678175999999993</v>
      </c>
      <c r="IY263" s="1006" t="s">
        <v>199</v>
      </c>
      <c r="IZ263" s="996">
        <v>3.5970153999999983</v>
      </c>
      <c r="JA263" s="1006" t="s">
        <v>199</v>
      </c>
      <c r="JB263" s="996">
        <v>3.7746319600000007</v>
      </c>
      <c r="JC263" s="1006" t="s">
        <v>199</v>
      </c>
      <c r="JD263" s="996">
        <v>-5.2551127200000014</v>
      </c>
      <c r="JE263" s="1006"/>
      <c r="JF263" s="996">
        <v>0</v>
      </c>
      <c r="JG263" s="1006"/>
      <c r="JH263" s="996">
        <v>0</v>
      </c>
      <c r="JI263" s="1006"/>
      <c r="JJ263" s="996">
        <v>0</v>
      </c>
      <c r="JK263" s="1007"/>
      <c r="JL263" s="1007">
        <v>0</v>
      </c>
      <c r="JM263" s="1007" t="s">
        <v>199</v>
      </c>
      <c r="JN263" s="1007">
        <v>4.8975053600000003</v>
      </c>
      <c r="JO263" s="1008" t="s">
        <v>199</v>
      </c>
      <c r="JP263" s="1007">
        <v>-14.183575999999999</v>
      </c>
      <c r="JQ263" s="1008">
        <v>0</v>
      </c>
      <c r="JR263" s="1007">
        <v>0</v>
      </c>
      <c r="JS263" s="1008">
        <v>0</v>
      </c>
      <c r="JT263" s="1007">
        <v>0</v>
      </c>
      <c r="JU263" s="1008"/>
      <c r="JV263" s="1007">
        <v>0.41716399999999965</v>
      </c>
      <c r="JW263" s="1008" t="s">
        <v>197</v>
      </c>
      <c r="JX263" s="1007">
        <v>0</v>
      </c>
      <c r="JY263" s="1008" t="s">
        <v>199</v>
      </c>
      <c r="JZ263" s="1007">
        <v>7.3877319999999997</v>
      </c>
      <c r="KA263" s="1008"/>
      <c r="KB263" s="1007">
        <v>0</v>
      </c>
      <c r="KC263" s="1008"/>
      <c r="KD263" s="1007">
        <v>0</v>
      </c>
      <c r="KE263" s="1008" t="s">
        <v>199</v>
      </c>
      <c r="KF263" s="1007">
        <v>-12.874399999999998</v>
      </c>
      <c r="KG263" s="1008"/>
      <c r="KH263" s="1007">
        <v>0</v>
      </c>
      <c r="KI263" s="1008"/>
      <c r="KJ263" s="1007">
        <v>0</v>
      </c>
      <c r="KK263" s="1008" t="s">
        <v>206</v>
      </c>
      <c r="KL263" s="1007">
        <v>1.671999999999997</v>
      </c>
      <c r="KM263" s="1008"/>
      <c r="KN263" s="1007">
        <v>0</v>
      </c>
      <c r="KO263" s="1008"/>
      <c r="KP263" s="1007">
        <v>0</v>
      </c>
      <c r="KQ263" s="1008" t="s">
        <v>207</v>
      </c>
      <c r="KR263" s="1007">
        <v>-1.1198721599999963</v>
      </c>
      <c r="KS263" s="1008">
        <v>0</v>
      </c>
      <c r="KT263" s="1007">
        <v>-1.3284742240000043</v>
      </c>
      <c r="KU263" s="1008" t="s">
        <v>206</v>
      </c>
      <c r="KV263" s="1007">
        <v>-4.8123136159999973</v>
      </c>
      <c r="KW263" s="1008" t="s">
        <v>204</v>
      </c>
      <c r="KX263" s="1007">
        <v>13.282368000000002</v>
      </c>
      <c r="KY263" s="1008" t="s">
        <v>199</v>
      </c>
      <c r="KZ263" s="1007">
        <v>-27.394883999999998</v>
      </c>
      <c r="LA263" s="1008" t="s">
        <v>204</v>
      </c>
      <c r="LB263" s="1007">
        <v>18.263255999999998</v>
      </c>
      <c r="LC263" s="1008" t="s">
        <v>206</v>
      </c>
      <c r="LD263" s="1007">
        <v>-3.3205919999999978</v>
      </c>
      <c r="LE263" s="1008">
        <v>0</v>
      </c>
      <c r="LF263" s="1007">
        <v>0</v>
      </c>
      <c r="LG263" s="1008" t="s">
        <v>223</v>
      </c>
      <c r="LH263" s="1007">
        <v>-4.1574</v>
      </c>
      <c r="LI263" s="1008">
        <v>0</v>
      </c>
      <c r="LJ263" s="1007">
        <v>0</v>
      </c>
      <c r="LK263" s="1008" t="s">
        <v>555</v>
      </c>
      <c r="LL263" s="1007">
        <v>-1.66296</v>
      </c>
      <c r="LM263" s="1008" t="s">
        <v>555</v>
      </c>
      <c r="LN263" s="1007">
        <v>14.278549999999999</v>
      </c>
      <c r="LO263" s="1008" t="s">
        <v>206</v>
      </c>
      <c r="LP263" s="1007">
        <v>2.7394883999999955</v>
      </c>
      <c r="LQ263" s="1008">
        <v>0</v>
      </c>
      <c r="LR263" s="1007">
        <v>0</v>
      </c>
      <c r="LS263" s="1008">
        <v>0</v>
      </c>
      <c r="LT263" s="1007">
        <v>0</v>
      </c>
      <c r="LU263" s="1008">
        <v>0</v>
      </c>
      <c r="LV263" s="1007">
        <v>0</v>
      </c>
      <c r="LW263" s="1008">
        <v>0</v>
      </c>
      <c r="LX263" s="1007">
        <v>2.7536999999999998</v>
      </c>
      <c r="LY263" s="1009">
        <v>0</v>
      </c>
      <c r="LZ263" s="1010">
        <v>0</v>
      </c>
      <c r="MA263" s="1011" t="s">
        <v>206</v>
      </c>
      <c r="MB263" s="1012">
        <v>-1.66296</v>
      </c>
      <c r="MC263" s="995"/>
      <c r="MD263" s="996"/>
      <c r="ME263" s="997" t="s">
        <v>416</v>
      </c>
      <c r="MF263" s="997"/>
      <c r="MG263" s="998"/>
      <c r="NR263" s="1000"/>
      <c r="NS263" s="1000"/>
      <c r="NT263" s="1001"/>
      <c r="NU263" s="1000"/>
      <c r="NV263" s="1001"/>
      <c r="NX263" s="1002"/>
      <c r="NZ263" s="1001"/>
      <c r="OA263" s="1001"/>
      <c r="OC263" s="1003"/>
      <c r="OD263" s="1003"/>
      <c r="OE263" s="1001"/>
      <c r="OF263" s="1003"/>
      <c r="OG263" s="1003"/>
      <c r="QX263" s="1000">
        <f>CN263-CA263</f>
        <v>20</v>
      </c>
      <c r="ASU263" s="999" t="s">
        <v>208</v>
      </c>
    </row>
    <row r="264" spans="1:466 1191:1191" ht="21" customHeight="1" x14ac:dyDescent="0.25">
      <c r="A264" s="982" t="str">
        <f t="shared" si="163"/>
        <v>1202-1</v>
      </c>
      <c r="B264" s="124">
        <f>SUBTOTAL(103,$J$29:J264)</f>
        <v>236</v>
      </c>
      <c r="C264" s="126">
        <v>45068</v>
      </c>
      <c r="D264" s="124" t="s">
        <v>176</v>
      </c>
      <c r="E264" s="127" t="s">
        <v>177</v>
      </c>
      <c r="F264" s="128" t="s">
        <v>177</v>
      </c>
      <c r="G264" s="127" t="s">
        <v>178</v>
      </c>
      <c r="H264" s="127" t="s">
        <v>408</v>
      </c>
      <c r="I264" s="127" t="s">
        <v>538</v>
      </c>
      <c r="J264" s="152" t="s">
        <v>1184</v>
      </c>
      <c r="K264" s="127" t="s">
        <v>639</v>
      </c>
      <c r="L264" s="130">
        <v>41498</v>
      </c>
      <c r="M264" s="127" t="s">
        <v>230</v>
      </c>
      <c r="N264" s="127" t="s">
        <v>231</v>
      </c>
      <c r="O264" s="127" t="s">
        <v>185</v>
      </c>
      <c r="P264" s="127" t="s">
        <v>186</v>
      </c>
      <c r="Q264" s="85" t="str">
        <f t="shared" si="187"/>
        <v/>
      </c>
      <c r="R264" s="130"/>
      <c r="S264" s="128" t="s">
        <v>156</v>
      </c>
      <c r="T264" s="131"/>
      <c r="U264" s="132">
        <v>203</v>
      </c>
      <c r="V264" s="121">
        <v>218.2</v>
      </c>
      <c r="W264" s="116">
        <v>0.98</v>
      </c>
      <c r="X264" s="116">
        <v>1.66</v>
      </c>
      <c r="Y264" s="116">
        <f t="shared" si="191"/>
        <v>0.984800606329166</v>
      </c>
      <c r="Z264" s="133">
        <v>1.454</v>
      </c>
      <c r="AA264" s="133">
        <v>0.83599999999999997</v>
      </c>
      <c r="AB264" s="133">
        <v>0.72</v>
      </c>
      <c r="AC264" s="121">
        <v>34.299999999999997</v>
      </c>
      <c r="AD264" s="134">
        <v>1.17</v>
      </c>
      <c r="AE264" s="124">
        <v>177.8</v>
      </c>
      <c r="AF264" s="128">
        <v>8.0500000000000007</v>
      </c>
      <c r="AG264" s="128">
        <v>2516</v>
      </c>
      <c r="AH264" s="127">
        <v>2995</v>
      </c>
      <c r="AI264" s="127">
        <v>2995</v>
      </c>
      <c r="AJ264" s="135"/>
      <c r="AK264" s="128"/>
      <c r="AL264" s="131"/>
      <c r="AM264" s="124" t="s">
        <v>232</v>
      </c>
      <c r="AN264" s="136" t="s">
        <v>1185</v>
      </c>
      <c r="AO264" s="137">
        <v>50</v>
      </c>
      <c r="AP264" s="128">
        <v>2516</v>
      </c>
      <c r="AQ264" s="128">
        <v>661.95</v>
      </c>
      <c r="AR264" s="128"/>
      <c r="AS264" s="128"/>
      <c r="AT264" s="122"/>
      <c r="AU264" s="124" t="s">
        <v>189</v>
      </c>
      <c r="AV264" s="115">
        <f>VLOOKUP(J264,'[63]ТР нефть'!$J$28:$BP$638,39,0)</f>
        <v>510.00001435500002</v>
      </c>
      <c r="AW264" s="115" t="str">
        <f>VLOOKUP(J264,'[63]ТР нефть'!$J$28:$BP$638,40,0)</f>
        <v>ГП</v>
      </c>
      <c r="AX264" s="115">
        <f>VLOOKUP(J264,'[63]ТР нефть'!$J$28:$BP$638,41,0)</f>
        <v>940.00000019499998</v>
      </c>
      <c r="AY264" s="115" t="str">
        <f>VLOOKUP(J264,'[63]ТР нефть'!$J$28:$BP$638,42,0)</f>
        <v>ГК 83 1/8</v>
      </c>
      <c r="AZ264" s="115">
        <f>VLOOKUP(J264,'[63]ТР нефть'!$J$28:$BP$638,43,0)</f>
        <v>1290.000069141</v>
      </c>
      <c r="BA264" s="115" t="str">
        <f>VLOOKUP(J264,'[63]ТР нефть'!$J$28:$BP$638,44,0)</f>
        <v>ГК 85 1/8</v>
      </c>
      <c r="BB264" s="115">
        <f>VLOOKUP(J264,'[63]ТР нефть'!$J$28:$BP$638,45,0)</f>
        <v>1499.999976563</v>
      </c>
      <c r="BC264" s="115" t="str">
        <f>VLOOKUP(J264,'[63]ТР нефть'!$J$28:$BP$638,46,0)</f>
        <v>ГК  85 1/8</v>
      </c>
      <c r="BD264" s="115">
        <f>VLOOKUP(J264,'[63]ТР нефть'!$J$28:$BP$638,47,0)</f>
        <v>1680.0000035160001</v>
      </c>
      <c r="BE264" s="115" t="str">
        <f>VLOOKUP(J264,'[63]ТР нефть'!$J$28:$BP$638,48,0)</f>
        <v>ГК 87 5/32</v>
      </c>
      <c r="BF264" s="115">
        <f>VLOOKUP(J264,'[63]ТР нефть'!$J$28:$BP$638,49,0)</f>
        <v>1910</v>
      </c>
      <c r="BG264" s="115" t="str">
        <f>VLOOKUP(J264,'[63]ТР нефть'!$J$28:$BP$638,50,0)</f>
        <v>ЦКсОК 5/16</v>
      </c>
      <c r="BH264" s="115" t="str">
        <f>VLOOKUP(J264,'[63]ТР нефть'!$J$28:$BP$638,51,0)</f>
        <v>-</v>
      </c>
      <c r="BI264" s="115" t="str">
        <f>VLOOKUP(J264,'[63]ТР нефть'!$J$28:$BP$638,52,0)</f>
        <v>-</v>
      </c>
      <c r="BJ264" s="115" t="str">
        <f>IF(IFERROR(VLOOKUP(J264,'[63]ТР нефть'!$J$28:$BP$638,53,0),"-")=0,"-",IFERROR(VLOOKUP(J264,'[63]ТР нефть'!$J$28:$BP$638,53,0),"-"))</f>
        <v>-</v>
      </c>
      <c r="BK264" s="138" t="str">
        <f>IF(IFERROR(VLOOKUP(J264,'[63]ТР нефть'!$J$28:$BP$638,54,0),"-")=0,"-",IFERROR(VLOOKUP(J264,'[63]ТР нефть'!$J$28:$BP$638,54,0),"-"))</f>
        <v>-</v>
      </c>
      <c r="BL264" s="138" t="str">
        <f>IF(IFERROR(VLOOKUP(J264,'[63]ТР нефть'!$J$28:$BP$638,55,0),"-")=0,"-",IFERROR(VLOOKUP(J264,'[63]ТР нефть'!$J$28:$BP$638,55,0),"-"))</f>
        <v>-</v>
      </c>
      <c r="BM264" s="138" t="str">
        <f>IF(IFERROR(VLOOKUP(J264,'[63]ТР нефть'!$J$28:$BP$638,56,0),"-")=0,"-",IFERROR(VLOOKUP(J264,'[63]ТР нефть'!$J$28:$BP$638,56,0),"-"))</f>
        <v>-</v>
      </c>
      <c r="BN264" s="138" t="str">
        <f>IF(IFERROR(VLOOKUP(J264,'[63]ТР нефть'!$J$28:$BP$638,57,0),"-")=0,"-",IFERROR(VLOOKUP(J264,'[63]ТР нефть'!$J$28:$BP$638,57,0),"-"))</f>
        <v>-</v>
      </c>
      <c r="BO264" s="115" t="str">
        <f>IF(IFERROR(VLOOKUP(J264,'[63]ТР нефть'!$J$28:$BP$638,58,0),"-")=0,"-",IFERROR(VLOOKUP(J264,'[63]ТР нефть'!$J$28:$BP$638,58,0),"-"))</f>
        <v>-</v>
      </c>
      <c r="BP264" s="115" t="str">
        <f>IF(IFERROR(VLOOKUP(J264,'[63]ТР нефть'!$J$28:$BP$638,59,0),"-")=0,"-",IFERROR(VLOOKUP(J264,'[63]ТР нефть'!$J$28:$BP$638,59,0),"-"))</f>
        <v>-</v>
      </c>
      <c r="BQ264" s="138">
        <v>2520</v>
      </c>
      <c r="BR264" s="128">
        <v>1715</v>
      </c>
      <c r="BS264" s="115">
        <f t="shared" si="164"/>
        <v>805</v>
      </c>
      <c r="BT264" s="128">
        <v>73</v>
      </c>
      <c r="BU264" s="128">
        <v>5.5</v>
      </c>
      <c r="BV264" s="127">
        <v>65</v>
      </c>
      <c r="BW264" s="127" t="s">
        <v>217</v>
      </c>
      <c r="BX264" s="127" t="s">
        <v>195</v>
      </c>
      <c r="BY264" s="139">
        <v>24</v>
      </c>
      <c r="BZ264" s="139">
        <v>0</v>
      </c>
      <c r="CA264" s="138">
        <v>28</v>
      </c>
      <c r="CB264" s="138">
        <v>63</v>
      </c>
      <c r="CC264" s="138">
        <v>25</v>
      </c>
      <c r="CD264" s="135">
        <v>45017</v>
      </c>
      <c r="CE264" s="138">
        <v>89</v>
      </c>
      <c r="CF264" s="138">
        <v>66</v>
      </c>
      <c r="CG264" s="138" t="str">
        <f>IF(CH264&lt;&gt;"","В работе","")</f>
        <v/>
      </c>
      <c r="CH264" s="138" t="s">
        <v>197</v>
      </c>
      <c r="CI264" s="127">
        <v>6</v>
      </c>
      <c r="CJ264" s="138"/>
      <c r="CK264" s="138"/>
      <c r="CL264" s="99"/>
      <c r="CM264" s="99"/>
      <c r="CN264" s="140">
        <v>52</v>
      </c>
      <c r="CO264" s="209">
        <f t="shared" si="165"/>
        <v>2.4781547999999995</v>
      </c>
      <c r="CP264" s="160">
        <v>3</v>
      </c>
      <c r="CQ264" s="161">
        <v>1.19</v>
      </c>
      <c r="CR264" s="115">
        <v>26</v>
      </c>
      <c r="CS264" s="139">
        <v>12</v>
      </c>
      <c r="CT264" s="138"/>
      <c r="CU264" s="138">
        <f t="shared" si="188"/>
        <v>14</v>
      </c>
      <c r="CV264" s="115">
        <f t="shared" si="189"/>
        <v>5649.3645998224174</v>
      </c>
      <c r="CW264" s="115">
        <f t="shared" si="166"/>
        <v>4762.8584676122055</v>
      </c>
      <c r="CX264" s="133">
        <f t="shared" si="190"/>
        <v>8.1081081081081086E-2</v>
      </c>
      <c r="CY264" s="116"/>
      <c r="CZ264" s="131"/>
      <c r="DA264" s="145" t="str">
        <f t="shared" si="167"/>
        <v>Газлифт</v>
      </c>
      <c r="DB264" s="146">
        <f t="shared" si="168"/>
        <v>2.4781547999999995</v>
      </c>
      <c r="DC264" s="142">
        <f t="shared" si="203"/>
        <v>3</v>
      </c>
      <c r="DD264" s="119">
        <f t="shared" si="204"/>
        <v>1.19</v>
      </c>
      <c r="DE264" s="115">
        <f t="shared" si="169"/>
        <v>14</v>
      </c>
      <c r="DF264" s="121">
        <f t="shared" si="170"/>
        <v>12</v>
      </c>
      <c r="DG264" s="115">
        <f t="shared" si="171"/>
        <v>5649.3645998224174</v>
      </c>
      <c r="DH264" s="115">
        <f t="shared" si="172"/>
        <v>52</v>
      </c>
      <c r="DI264" s="147"/>
      <c r="DJ264" s="111" t="s">
        <v>197</v>
      </c>
      <c r="DK264" s="112">
        <v>43694.083333333336</v>
      </c>
      <c r="DL264" s="113">
        <f t="shared" ca="1" si="192"/>
        <v>1409.9166666666642</v>
      </c>
      <c r="DM264" s="114"/>
      <c r="DN264" s="114"/>
      <c r="DO264" s="114"/>
      <c r="DP264" s="114"/>
      <c r="DQ264" s="112">
        <v>41498</v>
      </c>
      <c r="DR264" s="114" t="s">
        <v>324</v>
      </c>
      <c r="DS264" s="114"/>
      <c r="DT264" s="115">
        <v>60</v>
      </c>
      <c r="DU264" s="116">
        <f t="shared" si="193"/>
        <v>0.10344827586206896</v>
      </c>
      <c r="DV264" s="117">
        <f t="shared" si="194"/>
        <v>2.4781547999999995</v>
      </c>
      <c r="DW264" s="118">
        <f t="shared" si="195"/>
        <v>3</v>
      </c>
      <c r="DX264" s="119">
        <f t="shared" si="173"/>
        <v>1.19</v>
      </c>
      <c r="DY264" s="115">
        <f t="shared" si="196"/>
        <v>14</v>
      </c>
      <c r="DZ264" s="117">
        <f t="shared" si="197"/>
        <v>0</v>
      </c>
      <c r="EA264" s="120">
        <f t="shared" si="197"/>
        <v>0</v>
      </c>
      <c r="EB264" s="119">
        <f t="shared" si="197"/>
        <v>0</v>
      </c>
      <c r="EC264" s="121">
        <f t="shared" si="198"/>
        <v>0</v>
      </c>
      <c r="ED264" s="122"/>
      <c r="EE264" s="145">
        <v>65</v>
      </c>
      <c r="EF264" s="115">
        <v>28</v>
      </c>
      <c r="EG264" s="115">
        <v>63</v>
      </c>
      <c r="EH264" s="115">
        <v>25</v>
      </c>
      <c r="EI264" s="128" t="s">
        <v>195</v>
      </c>
      <c r="EJ264" s="121">
        <v>24</v>
      </c>
      <c r="EK264" s="121">
        <v>0</v>
      </c>
      <c r="EL264" s="162">
        <v>2.4781547999999995</v>
      </c>
      <c r="EM264" s="142">
        <v>3</v>
      </c>
      <c r="EN264" s="119">
        <v>1.19</v>
      </c>
      <c r="EO264" s="115">
        <v>26</v>
      </c>
      <c r="EP264" s="115">
        <v>5649.3645998224174</v>
      </c>
      <c r="EQ264" s="115">
        <v>66</v>
      </c>
      <c r="ER264" s="115">
        <v>12</v>
      </c>
      <c r="ES264" s="115">
        <v>52</v>
      </c>
      <c r="ET264" s="150">
        <v>8.1081081081081086E-2</v>
      </c>
      <c r="EU264" s="145">
        <f t="shared" si="174"/>
        <v>65</v>
      </c>
      <c r="EV264" s="115">
        <f t="shared" si="175"/>
        <v>28</v>
      </c>
      <c r="EW264" s="115">
        <f t="shared" si="175"/>
        <v>63</v>
      </c>
      <c r="EX264" s="115">
        <f t="shared" si="175"/>
        <v>25</v>
      </c>
      <c r="EY264" s="115" t="str">
        <f t="shared" si="206"/>
        <v>Постоянный</v>
      </c>
      <c r="EZ264" s="115">
        <f t="shared" si="206"/>
        <v>24</v>
      </c>
      <c r="FA264" s="115">
        <f t="shared" si="206"/>
        <v>0</v>
      </c>
      <c r="FB264" s="149">
        <f>CO264</f>
        <v>2.4781547999999995</v>
      </c>
      <c r="FC264" s="142">
        <f>CP264</f>
        <v>3</v>
      </c>
      <c r="FD264" s="119">
        <f>CQ264</f>
        <v>1.19</v>
      </c>
      <c r="FE264" s="121">
        <f t="shared" ref="FE264:FE327" si="208">CR264</f>
        <v>26</v>
      </c>
      <c r="FF264" s="121">
        <f t="shared" si="199"/>
        <v>5649.3645998224174</v>
      </c>
      <c r="FG264" s="121">
        <f t="shared" si="177"/>
        <v>66</v>
      </c>
      <c r="FH264" s="121">
        <f t="shared" si="200"/>
        <v>12</v>
      </c>
      <c r="FI264" s="121">
        <f t="shared" si="205"/>
        <v>52</v>
      </c>
      <c r="FJ264" s="144">
        <f t="shared" si="178"/>
        <v>8.1081081081081086E-2</v>
      </c>
      <c r="FK264" s="132">
        <f t="shared" si="179"/>
        <v>0</v>
      </c>
      <c r="FL264" s="115">
        <f t="shared" si="179"/>
        <v>0</v>
      </c>
      <c r="FM264" s="115">
        <f t="shared" si="179"/>
        <v>0</v>
      </c>
      <c r="FN264" s="115">
        <f t="shared" si="162"/>
        <v>0</v>
      </c>
      <c r="FO264" s="115">
        <f t="shared" si="201"/>
        <v>0</v>
      </c>
      <c r="FP264" s="115">
        <f t="shared" si="201"/>
        <v>0</v>
      </c>
      <c r="FQ264" s="149">
        <f>FB264-EL264</f>
        <v>0</v>
      </c>
      <c r="FR264" s="142">
        <f t="shared" si="201"/>
        <v>0</v>
      </c>
      <c r="FS264" s="119">
        <f t="shared" si="201"/>
        <v>0</v>
      </c>
      <c r="FT264" s="121">
        <f t="shared" si="201"/>
        <v>0</v>
      </c>
      <c r="FU264" s="121">
        <f t="shared" si="180"/>
        <v>0</v>
      </c>
      <c r="FV264" s="121">
        <f t="shared" si="180"/>
        <v>0</v>
      </c>
      <c r="FW264" s="121">
        <f t="shared" si="181"/>
        <v>0</v>
      </c>
      <c r="FX264" s="121">
        <f>CN264-ES264</f>
        <v>0</v>
      </c>
      <c r="FY264" s="144">
        <f t="shared" si="182"/>
        <v>0</v>
      </c>
      <c r="FZ264" s="145"/>
      <c r="GA264" s="151" t="s">
        <v>1186</v>
      </c>
      <c r="GB264" s="145" t="s">
        <v>199</v>
      </c>
      <c r="GC264" s="151" t="s">
        <v>1187</v>
      </c>
      <c r="GD264" s="997" t="s">
        <v>416</v>
      </c>
      <c r="GE264" s="1004" t="s">
        <v>199</v>
      </c>
      <c r="GF264" s="1004">
        <v>-9.4218451999999999</v>
      </c>
      <c r="GG264" s="1004"/>
      <c r="GH264" s="1004">
        <v>0</v>
      </c>
      <c r="GI264" s="145"/>
      <c r="GJ264" s="996">
        <v>0</v>
      </c>
      <c r="GK264" s="145" t="s">
        <v>199</v>
      </c>
      <c r="GL264" s="996">
        <v>-2.4288886400000003</v>
      </c>
      <c r="GM264" s="1005"/>
      <c r="GN264" s="996">
        <v>0</v>
      </c>
      <c r="GO264" s="1006"/>
      <c r="GP264" s="996">
        <v>0.8017240000000001</v>
      </c>
      <c r="GQ264" s="1006" t="s">
        <v>203</v>
      </c>
      <c r="GR264" s="996">
        <v>-4.9217033799999985</v>
      </c>
      <c r="GS264" s="1006"/>
      <c r="GT264" s="996">
        <v>-2.1661999999977866E-4</v>
      </c>
      <c r="GU264" s="1006" t="s">
        <v>204</v>
      </c>
      <c r="GV264" s="996">
        <v>-1.9468851600000008</v>
      </c>
      <c r="GW264" s="1006"/>
      <c r="GX264" s="1035">
        <v>0.79812084000000105</v>
      </c>
      <c r="GY264" s="1006" t="s">
        <v>199</v>
      </c>
      <c r="GZ264" s="996">
        <v>-1.6705647551999991</v>
      </c>
      <c r="HA264" s="1006"/>
      <c r="HB264" s="996">
        <v>-9.7642124800001895E-2</v>
      </c>
      <c r="HC264" s="1006"/>
      <c r="HD264" s="996">
        <v>0</v>
      </c>
      <c r="HE264" s="1006" t="s">
        <v>223</v>
      </c>
      <c r="HF264" s="996">
        <v>-3.5109659200000003</v>
      </c>
      <c r="HG264" s="1006"/>
      <c r="HH264" s="996">
        <v>0</v>
      </c>
      <c r="HI264" s="1006"/>
      <c r="HJ264" s="996">
        <v>0</v>
      </c>
      <c r="HK264" s="1006" t="s">
        <v>204</v>
      </c>
      <c r="HL264" s="996">
        <v>10.54415032</v>
      </c>
      <c r="HM264" s="1006"/>
      <c r="HN264" s="996">
        <v>0</v>
      </c>
      <c r="HO264" s="1006"/>
      <c r="HP264" s="996">
        <v>-0.7486873239999996</v>
      </c>
      <c r="HQ264" s="1006" t="s">
        <v>203</v>
      </c>
      <c r="HR264" s="996">
        <v>-3.5362407079999993</v>
      </c>
      <c r="HS264" s="1006" t="s">
        <v>643</v>
      </c>
      <c r="HT264" s="996">
        <v>0</v>
      </c>
      <c r="HU264" s="1006" t="s">
        <v>199</v>
      </c>
      <c r="HV264" s="996">
        <v>-4.0419663680000006</v>
      </c>
      <c r="HW264" s="1006" t="s">
        <v>25</v>
      </c>
      <c r="HX264" s="996">
        <v>0.47101912000000112</v>
      </c>
      <c r="HY264" s="1006" t="s">
        <v>204</v>
      </c>
      <c r="HZ264" s="996">
        <v>-9.5104129120000014</v>
      </c>
      <c r="IA264" s="1006"/>
      <c r="IB264" s="996">
        <v>0</v>
      </c>
      <c r="IC264" s="1006" t="s">
        <v>199</v>
      </c>
      <c r="ID264" s="996">
        <v>4.5910821000000013</v>
      </c>
      <c r="IE264" s="1006"/>
      <c r="IF264" s="996">
        <v>0</v>
      </c>
      <c r="IG264" s="1006" t="s">
        <v>221</v>
      </c>
      <c r="IH264" s="996">
        <v>4.4085323039999995</v>
      </c>
      <c r="II264" s="1006" t="s">
        <v>221</v>
      </c>
      <c r="IJ264" s="996">
        <v>-2.6826546120000021</v>
      </c>
      <c r="IK264" s="1006"/>
      <c r="IL264" s="996">
        <v>0.89786400000000022</v>
      </c>
      <c r="IM264" s="1006"/>
      <c r="IN264" s="996">
        <v>0</v>
      </c>
      <c r="IO264" s="1006"/>
      <c r="IP264" s="996">
        <v>0</v>
      </c>
      <c r="IQ264" s="1006"/>
      <c r="IR264" s="996">
        <v>0</v>
      </c>
      <c r="IS264" s="1006"/>
      <c r="IT264" s="996">
        <v>0.78818080000000101</v>
      </c>
      <c r="IU264" s="1006" t="s">
        <v>199</v>
      </c>
      <c r="IV264" s="996">
        <v>-2.871910800000002</v>
      </c>
      <c r="IW264" s="1006"/>
      <c r="IX264" s="996">
        <v>0</v>
      </c>
      <c r="IY264" s="1006"/>
      <c r="IZ264" s="996">
        <v>0</v>
      </c>
      <c r="JA264" s="1006"/>
      <c r="JB264" s="996">
        <v>0</v>
      </c>
      <c r="JC264" s="1006" t="s">
        <v>199</v>
      </c>
      <c r="JD264" s="996">
        <v>10.768703264000001</v>
      </c>
      <c r="JE264" s="1006"/>
      <c r="JF264" s="996">
        <v>0</v>
      </c>
      <c r="JG264" s="1006" t="s">
        <v>199</v>
      </c>
      <c r="JH264" s="996">
        <v>-11.619960263999998</v>
      </c>
      <c r="JI264" s="1006"/>
      <c r="JJ264" s="996">
        <v>0</v>
      </c>
      <c r="JK264" s="1007"/>
      <c r="JL264" s="1007">
        <v>0</v>
      </c>
      <c r="JM264" s="1007"/>
      <c r="JN264" s="1007">
        <v>0</v>
      </c>
      <c r="JO264" s="1008"/>
      <c r="JP264" s="1007">
        <v>0</v>
      </c>
      <c r="JQ264" s="1008" t="s">
        <v>223</v>
      </c>
      <c r="JR264" s="1007">
        <v>-8.3510129999999982</v>
      </c>
      <c r="JS264" s="1008">
        <v>0</v>
      </c>
      <c r="JT264" s="1007">
        <v>0</v>
      </c>
      <c r="JU264" s="1008"/>
      <c r="JV264" s="1007">
        <v>0</v>
      </c>
      <c r="JW264" s="1008" t="s">
        <v>197</v>
      </c>
      <c r="JX264" s="1007">
        <v>0</v>
      </c>
      <c r="JY264" s="1008" t="s">
        <v>240</v>
      </c>
      <c r="JZ264" s="1007">
        <v>-3.5420484000000059</v>
      </c>
      <c r="KA264" s="1008"/>
      <c r="KB264" s="1007">
        <v>0</v>
      </c>
      <c r="KC264" s="1008"/>
      <c r="KD264" s="1007">
        <v>0</v>
      </c>
      <c r="KE264" s="1008"/>
      <c r="KF264" s="1007">
        <v>-11.381575700000003</v>
      </c>
      <c r="KG264" s="1008"/>
      <c r="KH264" s="1007">
        <v>0</v>
      </c>
      <c r="KI264" s="1008"/>
      <c r="KJ264" s="1007">
        <v>0</v>
      </c>
      <c r="KK264" s="1008" t="s">
        <v>206</v>
      </c>
      <c r="KL264" s="1007">
        <v>2.0604451009999991</v>
      </c>
      <c r="KM264" s="1008" t="s">
        <v>207</v>
      </c>
      <c r="KN264" s="1007">
        <v>6.2830229990000106</v>
      </c>
      <c r="KO264" s="1008"/>
      <c r="KP264" s="1007">
        <v>0</v>
      </c>
      <c r="KQ264" s="1008" t="s">
        <v>207</v>
      </c>
      <c r="KR264" s="1007">
        <v>-2.7077204000000066</v>
      </c>
      <c r="KS264" s="1008">
        <v>0</v>
      </c>
      <c r="KT264" s="1007">
        <v>0</v>
      </c>
      <c r="KU264" s="1008" t="s">
        <v>206</v>
      </c>
      <c r="KV264" s="1007">
        <v>-7.2192779999999885</v>
      </c>
      <c r="KW264" s="1008" t="s">
        <v>199</v>
      </c>
      <c r="KX264" s="1007">
        <v>21.523154399999992</v>
      </c>
      <c r="KY264" s="1008" t="s">
        <v>199</v>
      </c>
      <c r="KZ264" s="1007">
        <v>-19.462079999999997</v>
      </c>
      <c r="LA264" s="1008" t="s">
        <v>204</v>
      </c>
      <c r="LB264" s="1007">
        <v>-11.352879999999999</v>
      </c>
      <c r="LC264" s="1008">
        <v>0</v>
      </c>
      <c r="LD264" s="1007">
        <v>0</v>
      </c>
      <c r="LE264" s="1008">
        <v>0</v>
      </c>
      <c r="LF264" s="1007">
        <v>0</v>
      </c>
      <c r="LG264" s="1008">
        <v>0</v>
      </c>
      <c r="LH264" s="1007">
        <v>0</v>
      </c>
      <c r="LI264" s="1008">
        <v>0</v>
      </c>
      <c r="LJ264" s="1007">
        <v>0</v>
      </c>
      <c r="LK264" s="1008">
        <v>0</v>
      </c>
      <c r="LL264" s="1007">
        <v>0</v>
      </c>
      <c r="LM264" s="1008" t="s">
        <v>555</v>
      </c>
      <c r="LN264" s="1007">
        <v>6.8928200000000004</v>
      </c>
      <c r="LO264" s="1008" t="s">
        <v>206</v>
      </c>
      <c r="LP264" s="1007">
        <v>3.6491400000000027</v>
      </c>
      <c r="LQ264" s="1008">
        <v>0</v>
      </c>
      <c r="LR264" s="1007">
        <v>0</v>
      </c>
      <c r="LS264" s="1008">
        <v>0</v>
      </c>
      <c r="LT264" s="1007">
        <v>-0.45459999999998002</v>
      </c>
      <c r="LU264" s="1008" t="s">
        <v>206</v>
      </c>
      <c r="LV264" s="1007">
        <v>-3.8113241000000002</v>
      </c>
      <c r="LW264" s="1008">
        <v>0</v>
      </c>
      <c r="LX264" s="1007">
        <v>0</v>
      </c>
      <c r="LY264" s="1009">
        <v>0</v>
      </c>
      <c r="LZ264" s="1010">
        <v>0</v>
      </c>
      <c r="MA264" s="1011" t="s">
        <v>206</v>
      </c>
      <c r="MB264" s="1012">
        <v>-2.4327600000000018</v>
      </c>
      <c r="MC264" s="995"/>
      <c r="MD264" s="996"/>
      <c r="ME264" s="997" t="s">
        <v>416</v>
      </c>
      <c r="MF264" s="997"/>
      <c r="MG264" s="998"/>
      <c r="NR264" s="1000"/>
      <c r="NS264" s="1000"/>
      <c r="NT264" s="1001"/>
      <c r="NU264" s="1000"/>
      <c r="NV264" s="1001"/>
      <c r="NX264" s="1002"/>
      <c r="NZ264" s="1001"/>
      <c r="OA264" s="1001"/>
      <c r="OC264" s="1003"/>
      <c r="OD264" s="1003"/>
      <c r="OE264" s="1001"/>
      <c r="OF264" s="1003"/>
      <c r="OG264" s="1003"/>
      <c r="OH264" s="1003"/>
      <c r="OI264" s="1016"/>
      <c r="QX264" s="1000">
        <f>CN264-CA264</f>
        <v>24</v>
      </c>
      <c r="ASU264" s="999" t="s">
        <v>208</v>
      </c>
    </row>
    <row r="265" spans="1:466 1191:1191" ht="21" customHeight="1" x14ac:dyDescent="0.25">
      <c r="A265" s="982">
        <f t="shared" si="163"/>
        <v>1205</v>
      </c>
      <c r="B265" s="124">
        <f>SUBTOTAL(103,$J$29:J265)</f>
        <v>237</v>
      </c>
      <c r="C265" s="126">
        <v>45068</v>
      </c>
      <c r="D265" s="124" t="s">
        <v>176</v>
      </c>
      <c r="E265" s="127" t="s">
        <v>177</v>
      </c>
      <c r="F265" s="128" t="s">
        <v>177</v>
      </c>
      <c r="G265" s="127" t="s">
        <v>178</v>
      </c>
      <c r="H265" s="127" t="s">
        <v>179</v>
      </c>
      <c r="I265" s="127" t="s">
        <v>1010</v>
      </c>
      <c r="J265" s="152">
        <v>1205</v>
      </c>
      <c r="K265" s="127" t="s">
        <v>1011</v>
      </c>
      <c r="L265" s="130">
        <v>41737</v>
      </c>
      <c r="M265" s="127" t="s">
        <v>230</v>
      </c>
      <c r="N265" s="127" t="s">
        <v>184</v>
      </c>
      <c r="O265" s="127" t="s">
        <v>185</v>
      </c>
      <c r="P265" s="127" t="s">
        <v>186</v>
      </c>
      <c r="Q265" s="85" t="str">
        <f t="shared" si="187"/>
        <v/>
      </c>
      <c r="R265" s="130"/>
      <c r="S265" s="128" t="s">
        <v>156</v>
      </c>
      <c r="T265" s="131"/>
      <c r="U265" s="132">
        <v>203</v>
      </c>
      <c r="V265" s="121">
        <v>218.2</v>
      </c>
      <c r="W265" s="116">
        <v>0.98</v>
      </c>
      <c r="X265" s="116">
        <v>1.66</v>
      </c>
      <c r="Y265" s="116">
        <f t="shared" si="191"/>
        <v>0.98605891623227049</v>
      </c>
      <c r="Z265" s="133">
        <v>1.454</v>
      </c>
      <c r="AA265" s="133">
        <v>0.83599999999999997</v>
      </c>
      <c r="AB265" s="133">
        <v>0.72</v>
      </c>
      <c r="AC265" s="121">
        <v>34.299999999999997</v>
      </c>
      <c r="AD265" s="134">
        <v>1.17</v>
      </c>
      <c r="AE265" s="124">
        <v>177.8</v>
      </c>
      <c r="AF265" s="128">
        <v>9.19</v>
      </c>
      <c r="AG265" s="128">
        <v>1891</v>
      </c>
      <c r="AH265" s="127">
        <v>2592</v>
      </c>
      <c r="AI265" s="127">
        <v>2592</v>
      </c>
      <c r="AJ265" s="135"/>
      <c r="AK265" s="128"/>
      <c r="AL265" s="131"/>
      <c r="AM265" s="124" t="s">
        <v>232</v>
      </c>
      <c r="AN265" s="136" t="s">
        <v>1188</v>
      </c>
      <c r="AO265" s="137">
        <v>16</v>
      </c>
      <c r="AP265" s="128">
        <v>1891</v>
      </c>
      <c r="AQ265" s="128">
        <v>76.11</v>
      </c>
      <c r="AR265" s="128"/>
      <c r="AS265" s="128"/>
      <c r="AT265" s="122"/>
      <c r="AU265" s="124" t="s">
        <v>189</v>
      </c>
      <c r="AV265" s="115">
        <f>VLOOKUP(J265,'[63]ТР нефть'!$J$28:$BP$638,39,0)</f>
        <v>541.99999599600005</v>
      </c>
      <c r="AW265" s="115" t="str">
        <f>VLOOKUP(J265,'[63]ТР нефть'!$J$28:$BP$638,40,0)</f>
        <v>ГП</v>
      </c>
      <c r="AX265" s="115">
        <f>VLOOKUP(J265,'[63]ТР нефть'!$J$28:$BP$638,41,0)</f>
        <v>999.00000820299999</v>
      </c>
      <c r="AY265" s="115" t="str">
        <f>VLOOKUP(J265,'[63]ТР нефть'!$J$28:$BP$638,42,0)</f>
        <v>ГП</v>
      </c>
      <c r="AZ265" s="115">
        <f>VLOOKUP(J265,'[63]ТР нефть'!$J$28:$BP$638,43,0)</f>
        <v>1399.9999781250001</v>
      </c>
      <c r="BA265" s="115" t="str">
        <f>VLOOKUP(J265,'[63]ТР нефть'!$J$28:$BP$638,44,0)</f>
        <v>ГК 82 1/8</v>
      </c>
      <c r="BB265" s="115">
        <f>VLOOKUP(J265,'[63]ТР нефть'!$J$28:$BP$638,45,0)</f>
        <v>1604.0000285159999</v>
      </c>
      <c r="BC265" s="115" t="str">
        <f>VLOOKUP(J265,'[63]ТР нефть'!$J$28:$BP$638,46,0)</f>
        <v>ЦКсОК 5/16</v>
      </c>
      <c r="BD265" s="115" t="str">
        <f>VLOOKUP(J265,'[63]ТР нефть'!$J$28:$BP$638,47,0)</f>
        <v>-</v>
      </c>
      <c r="BE265" s="115" t="str">
        <f>VLOOKUP(J265,'[63]ТР нефть'!$J$28:$BP$638,48,0)</f>
        <v>-</v>
      </c>
      <c r="BF265" s="115" t="str">
        <f>VLOOKUP(J265,'[63]ТР нефть'!$J$28:$BP$638,49,0)</f>
        <v>-</v>
      </c>
      <c r="BG265" s="115" t="str">
        <f>VLOOKUP(J265,'[63]ТР нефть'!$J$28:$BP$638,50,0)</f>
        <v>-</v>
      </c>
      <c r="BH265" s="115">
        <f>VLOOKUP(J265,'[63]ТР нефть'!$J$28:$BP$638,51,0)</f>
        <v>1614</v>
      </c>
      <c r="BI265" s="115" t="str">
        <f>VLOOKUP(J265,'[63]ТР нефть'!$J$28:$BP$638,52,0)</f>
        <v>закрыт</v>
      </c>
      <c r="BJ265" s="115" t="str">
        <f>IF(IFERROR(VLOOKUP(J265,'[63]ТР нефть'!$J$28:$BP$638,53,0),"-")=0,"-",IFERROR(VLOOKUP(J265,'[63]ТР нефть'!$J$28:$BP$638,53,0),"-"))</f>
        <v>-</v>
      </c>
      <c r="BK265" s="138" t="str">
        <f>IF(IFERROR(VLOOKUP(J265,'[63]ТР нефть'!$J$28:$BP$638,54,0),"-")=0,"-",IFERROR(VLOOKUP(J265,'[63]ТР нефть'!$J$28:$BP$638,54,0),"-"))</f>
        <v>-</v>
      </c>
      <c r="BL265" s="138" t="str">
        <f>IF(IFERROR(VLOOKUP(J265,'[63]ТР нефть'!$J$28:$BP$638,55,0),"-")=0,"-",IFERROR(VLOOKUP(J265,'[63]ТР нефть'!$J$28:$BP$638,55,0),"-"))</f>
        <v>-</v>
      </c>
      <c r="BM265" s="138" t="str">
        <f>IF(IFERROR(VLOOKUP(J265,'[63]ТР нефть'!$J$28:$BP$638,56,0),"-")=0,"-",IFERROR(VLOOKUP(J265,'[63]ТР нефть'!$J$28:$BP$638,56,0),"-"))</f>
        <v>-</v>
      </c>
      <c r="BN265" s="138" t="str">
        <f>IF(IFERROR(VLOOKUP(J265,'[63]ТР нефть'!$J$28:$BP$638,57,0),"-")=0,"-",IFERROR(VLOOKUP(J265,'[63]ТР нефть'!$J$28:$BP$638,57,0),"-"))</f>
        <v>-</v>
      </c>
      <c r="BO265" s="115" t="str">
        <f>IF(IFERROR(VLOOKUP(J265,'[63]ТР нефть'!$J$28:$BP$638,58,0),"-")=0,"-",IFERROR(VLOOKUP(J265,'[63]ТР нефть'!$J$28:$BP$638,58,0),"-"))</f>
        <v>-</v>
      </c>
      <c r="BP265" s="115" t="str">
        <f>IF(IFERROR(VLOOKUP(J265,'[63]ТР нефть'!$J$28:$BP$638,59,0),"-")=0,"-",IFERROR(VLOOKUP(J265,'[63]ТР нефть'!$J$28:$BP$638,59,0),"-"))</f>
        <v>-</v>
      </c>
      <c r="BQ265" s="138">
        <v>1950</v>
      </c>
      <c r="BR265" s="128">
        <v>1830.79</v>
      </c>
      <c r="BS265" s="115">
        <f t="shared" si="164"/>
        <v>119.21000000000004</v>
      </c>
      <c r="BT265" s="128">
        <v>73</v>
      </c>
      <c r="BU265" s="128">
        <v>5.5</v>
      </c>
      <c r="BV265" s="127">
        <v>18</v>
      </c>
      <c r="BW265" s="127" t="s">
        <v>217</v>
      </c>
      <c r="BX265" s="127" t="s">
        <v>218</v>
      </c>
      <c r="BY265" s="139">
        <v>24</v>
      </c>
      <c r="BZ265" s="139">
        <v>24</v>
      </c>
      <c r="CA265" s="148">
        <v>23</v>
      </c>
      <c r="CB265" s="115">
        <v>35</v>
      </c>
      <c r="CC265" s="115">
        <v>22</v>
      </c>
      <c r="CD265" s="135">
        <v>45017</v>
      </c>
      <c r="CE265" s="138">
        <v>87</v>
      </c>
      <c r="CF265" s="138">
        <v>76</v>
      </c>
      <c r="CG265" s="138" t="str">
        <f>IF(CH265&lt;&gt;"","В работе","")</f>
        <v>В работе</v>
      </c>
      <c r="CH265" s="138" t="s">
        <v>196</v>
      </c>
      <c r="CI265" s="127">
        <v>5</v>
      </c>
      <c r="CJ265" s="138"/>
      <c r="CK265" s="138">
        <f t="shared" si="207"/>
        <v>34</v>
      </c>
      <c r="CL265" s="99"/>
      <c r="CM265" s="99"/>
      <c r="CN265" s="140">
        <v>57</v>
      </c>
      <c r="CO265" s="141">
        <f t="shared" si="165"/>
        <v>3.2938399999999999</v>
      </c>
      <c r="CP265" s="142">
        <v>4</v>
      </c>
      <c r="CQ265" s="143">
        <v>1.5</v>
      </c>
      <c r="CR265" s="138">
        <v>13</v>
      </c>
      <c r="CS265" s="139">
        <v>9.6999999999999993</v>
      </c>
      <c r="CT265" s="138"/>
      <c r="CU265" s="138">
        <f t="shared" si="188"/>
        <v>3.3000000000000007</v>
      </c>
      <c r="CV265" s="115">
        <f t="shared" si="189"/>
        <v>1001.8701576275718</v>
      </c>
      <c r="CW265" s="115">
        <f t="shared" si="166"/>
        <v>2884.0550408524909</v>
      </c>
      <c r="CX265" s="133">
        <f t="shared" si="190"/>
        <v>0.13333333333333333</v>
      </c>
      <c r="CY265" s="116"/>
      <c r="CZ265" s="131"/>
      <c r="DA265" s="145" t="str">
        <f t="shared" si="167"/>
        <v>Газлифт</v>
      </c>
      <c r="DB265" s="146">
        <f t="shared" si="168"/>
        <v>3.3399871999999999</v>
      </c>
      <c r="DC265" s="142">
        <f t="shared" si="203"/>
        <v>4</v>
      </c>
      <c r="DD265" s="119">
        <f t="shared" si="204"/>
        <v>0.12</v>
      </c>
      <c r="DE265" s="115">
        <f t="shared" si="169"/>
        <v>3.3000000000000007</v>
      </c>
      <c r="DF265" s="121">
        <f t="shared" si="170"/>
        <v>9.6999999999999993</v>
      </c>
      <c r="DG265" s="115">
        <f t="shared" si="171"/>
        <v>1001.8701576275718</v>
      </c>
      <c r="DH265" s="115">
        <f t="shared" si="172"/>
        <v>57</v>
      </c>
      <c r="DI265" s="147"/>
      <c r="DJ265" s="111">
        <v>43528</v>
      </c>
      <c r="DK265" s="112">
        <v>44046</v>
      </c>
      <c r="DL265" s="113">
        <f t="shared" ca="1" si="192"/>
        <v>1058</v>
      </c>
      <c r="DM265" s="114"/>
      <c r="DN265" s="114"/>
      <c r="DO265" s="114"/>
      <c r="DP265" s="114"/>
      <c r="DQ265" s="112">
        <v>43064</v>
      </c>
      <c r="DR265" s="114" t="s">
        <v>405</v>
      </c>
      <c r="DS265" s="114"/>
      <c r="DT265" s="115">
        <v>44</v>
      </c>
      <c r="DU265" s="116">
        <f t="shared" si="193"/>
        <v>0.12287581699346405</v>
      </c>
      <c r="DV265" s="117">
        <f t="shared" si="194"/>
        <v>4.3508827712418299</v>
      </c>
      <c r="DW265" s="118">
        <f t="shared" si="195"/>
        <v>5.2836601307189541</v>
      </c>
      <c r="DX265" s="119">
        <f t="shared" si="173"/>
        <v>1.5</v>
      </c>
      <c r="DY265" s="115">
        <f t="shared" si="196"/>
        <v>4.3590196078431385</v>
      </c>
      <c r="DZ265" s="117">
        <f t="shared" si="197"/>
        <v>1.05704277124183</v>
      </c>
      <c r="EA265" s="120">
        <f t="shared" si="197"/>
        <v>1.2836601307189541</v>
      </c>
      <c r="EB265" s="119">
        <f t="shared" si="197"/>
        <v>0</v>
      </c>
      <c r="EC265" s="121">
        <f t="shared" si="198"/>
        <v>1.0590196078431378</v>
      </c>
      <c r="ED265" s="122"/>
      <c r="EE265" s="145">
        <v>18</v>
      </c>
      <c r="EF265" s="148">
        <v>25</v>
      </c>
      <c r="EG265" s="115">
        <v>36</v>
      </c>
      <c r="EH265" s="115">
        <v>24</v>
      </c>
      <c r="EI265" s="128" t="s">
        <v>218</v>
      </c>
      <c r="EJ265" s="121">
        <v>24</v>
      </c>
      <c r="EK265" s="121">
        <v>24</v>
      </c>
      <c r="EL265" s="149">
        <v>1.6699936</v>
      </c>
      <c r="EM265" s="142">
        <v>2</v>
      </c>
      <c r="EN265" s="119">
        <v>0.12</v>
      </c>
      <c r="EO265" s="115">
        <v>6.35</v>
      </c>
      <c r="EP265" s="115">
        <v>1706.5933665853568</v>
      </c>
      <c r="EQ265" s="115">
        <v>76</v>
      </c>
      <c r="ER265" s="115">
        <v>3.5</v>
      </c>
      <c r="ES265" s="115">
        <v>52</v>
      </c>
      <c r="ET265" s="150">
        <v>5.7142857142857141E-2</v>
      </c>
      <c r="EU265" s="145">
        <f t="shared" si="174"/>
        <v>18</v>
      </c>
      <c r="EV265" s="115">
        <f t="shared" si="175"/>
        <v>23</v>
      </c>
      <c r="EW265" s="115">
        <f t="shared" si="175"/>
        <v>35</v>
      </c>
      <c r="EX265" s="115">
        <f t="shared" si="175"/>
        <v>22</v>
      </c>
      <c r="EY265" s="115" t="str">
        <f t="shared" si="206"/>
        <v>Периодический</v>
      </c>
      <c r="EZ265" s="115">
        <f t="shared" si="206"/>
        <v>24</v>
      </c>
      <c r="FA265" s="115">
        <f t="shared" si="206"/>
        <v>24</v>
      </c>
      <c r="FB265" s="149">
        <f t="shared" ref="FB265:FD297" si="209">CO265</f>
        <v>3.2938399999999999</v>
      </c>
      <c r="FC265" s="142">
        <f t="shared" si="209"/>
        <v>4</v>
      </c>
      <c r="FD265" s="119">
        <f t="shared" si="209"/>
        <v>1.5</v>
      </c>
      <c r="FE265" s="121">
        <f t="shared" si="208"/>
        <v>13</v>
      </c>
      <c r="FF265" s="121">
        <f t="shared" si="199"/>
        <v>1001.8701576275718</v>
      </c>
      <c r="FG265" s="121">
        <f t="shared" si="177"/>
        <v>76</v>
      </c>
      <c r="FH265" s="121">
        <f t="shared" si="200"/>
        <v>9.6999999999999993</v>
      </c>
      <c r="FI265" s="121">
        <f t="shared" si="205"/>
        <v>57</v>
      </c>
      <c r="FJ265" s="144">
        <f t="shared" si="178"/>
        <v>0.13333333333333333</v>
      </c>
      <c r="FK265" s="132">
        <f t="shared" si="179"/>
        <v>0</v>
      </c>
      <c r="FL265" s="115">
        <f t="shared" si="179"/>
        <v>-2</v>
      </c>
      <c r="FM265" s="115">
        <f t="shared" si="179"/>
        <v>-1</v>
      </c>
      <c r="FN265" s="115">
        <f t="shared" si="162"/>
        <v>-2</v>
      </c>
      <c r="FO265" s="115">
        <f t="shared" si="201"/>
        <v>0</v>
      </c>
      <c r="FP265" s="115">
        <f t="shared" si="201"/>
        <v>0</v>
      </c>
      <c r="FQ265" s="149">
        <f t="shared" si="201"/>
        <v>1.6238463999999999</v>
      </c>
      <c r="FR265" s="142">
        <f t="shared" si="201"/>
        <v>2</v>
      </c>
      <c r="FS265" s="119">
        <f t="shared" si="201"/>
        <v>1.38</v>
      </c>
      <c r="FT265" s="121">
        <f t="shared" si="201"/>
        <v>6.65</v>
      </c>
      <c r="FU265" s="121">
        <f t="shared" si="180"/>
        <v>0</v>
      </c>
      <c r="FV265" s="121">
        <f t="shared" si="180"/>
        <v>6.1999999999999993</v>
      </c>
      <c r="FW265" s="121">
        <f t="shared" si="181"/>
        <v>-704.723208957785</v>
      </c>
      <c r="FX265" s="121">
        <f t="shared" si="182"/>
        <v>5</v>
      </c>
      <c r="FY265" s="144">
        <f t="shared" si="182"/>
        <v>7.6190476190476197E-2</v>
      </c>
      <c r="FZ265" s="145" t="s">
        <v>199</v>
      </c>
      <c r="GA265" s="151" t="s">
        <v>1189</v>
      </c>
      <c r="GB265" s="145" t="s">
        <v>199</v>
      </c>
      <c r="GC265" s="151" t="s">
        <v>415</v>
      </c>
      <c r="GD265" s="997" t="s">
        <v>220</v>
      </c>
      <c r="GE265" s="1004" t="s">
        <v>199</v>
      </c>
      <c r="GF265" s="1004">
        <v>-2.0874920000000001</v>
      </c>
      <c r="GG265" s="1004"/>
      <c r="GH265" s="1004">
        <v>0</v>
      </c>
      <c r="GI265" s="145"/>
      <c r="GJ265" s="996">
        <v>0</v>
      </c>
      <c r="GK265" s="145"/>
      <c r="GL265" s="996">
        <v>0</v>
      </c>
      <c r="GM265" s="1005"/>
      <c r="GN265" s="996">
        <v>0</v>
      </c>
      <c r="GO265" s="1006"/>
      <c r="GP265" s="996">
        <v>0.13285711999999972</v>
      </c>
      <c r="GQ265" s="1006"/>
      <c r="GR265" s="996">
        <v>8.7780000000003966E-3</v>
      </c>
      <c r="GS265" s="1006"/>
      <c r="GT265" s="996">
        <v>0</v>
      </c>
      <c r="GU265" s="1006"/>
      <c r="GV265" s="996">
        <v>0</v>
      </c>
      <c r="GW265" s="1006" t="s">
        <v>199</v>
      </c>
      <c r="GX265" s="1036">
        <v>2.9142959999999998</v>
      </c>
      <c r="GY265" s="1006" t="s">
        <v>199</v>
      </c>
      <c r="GZ265" s="996">
        <v>-1.0824528</v>
      </c>
      <c r="HA265" s="1006" t="s">
        <v>223</v>
      </c>
      <c r="HB265" s="996">
        <v>-2.9975616</v>
      </c>
      <c r="HC265" s="1006" t="s">
        <v>199</v>
      </c>
      <c r="HD265" s="996">
        <v>3.3343023999999999</v>
      </c>
      <c r="HE265" s="1006"/>
      <c r="HF265" s="996">
        <v>0</v>
      </c>
      <c r="HG265" s="1006"/>
      <c r="HH265" s="996">
        <v>0</v>
      </c>
      <c r="HI265" s="1006"/>
      <c r="HJ265" s="996">
        <v>0</v>
      </c>
      <c r="HK265" s="1006"/>
      <c r="HL265" s="996">
        <v>0</v>
      </c>
      <c r="HM265" s="1006"/>
      <c r="HN265" s="996">
        <v>0</v>
      </c>
      <c r="HO265" s="1006"/>
      <c r="HP265" s="996">
        <v>0</v>
      </c>
      <c r="HQ265" s="1006"/>
      <c r="HR265" s="996">
        <v>-0.75239999999999974</v>
      </c>
      <c r="HS265" s="1006"/>
      <c r="HT265" s="996">
        <v>0</v>
      </c>
      <c r="HU265" s="1006"/>
      <c r="HV265" s="996">
        <v>0</v>
      </c>
      <c r="HW265" s="1006" t="s">
        <v>199</v>
      </c>
      <c r="HX265" s="996">
        <v>5.8519999999999994</v>
      </c>
      <c r="HY265" s="1006" t="s">
        <v>199</v>
      </c>
      <c r="HZ265" s="996">
        <v>-5.7767600000000003</v>
      </c>
      <c r="IA265" s="1006"/>
      <c r="IB265" s="996">
        <v>0</v>
      </c>
      <c r="IC265" s="1006"/>
      <c r="ID265" s="996">
        <v>0</v>
      </c>
      <c r="IE265" s="1006"/>
      <c r="IF265" s="996">
        <v>0</v>
      </c>
      <c r="IG265" s="1006"/>
      <c r="IH265" s="996">
        <v>0</v>
      </c>
      <c r="II265" s="1006"/>
      <c r="IJ265" s="996">
        <v>0</v>
      </c>
      <c r="IK265" s="1006" t="s">
        <v>199</v>
      </c>
      <c r="IL265" s="996">
        <v>4.7735599999999998</v>
      </c>
      <c r="IM265" s="1006" t="s">
        <v>199</v>
      </c>
      <c r="IN265" s="996">
        <v>-4.6397999999999993</v>
      </c>
      <c r="IO265" s="1006" t="s">
        <v>203</v>
      </c>
      <c r="IP265" s="996">
        <v>-10.324801476000001</v>
      </c>
      <c r="IQ265" s="1006"/>
      <c r="IR265" s="996">
        <v>0</v>
      </c>
      <c r="IS265" s="1006" t="s">
        <v>25</v>
      </c>
      <c r="IT265" s="996">
        <v>16.302201476</v>
      </c>
      <c r="IU265" s="1006"/>
      <c r="IV265" s="996">
        <v>0</v>
      </c>
      <c r="IW265" s="1006"/>
      <c r="IX265" s="996">
        <v>0</v>
      </c>
      <c r="IY265" s="1006"/>
      <c r="IZ265" s="996">
        <v>0</v>
      </c>
      <c r="JA265" s="1006"/>
      <c r="JB265" s="996">
        <v>0</v>
      </c>
      <c r="JC265" s="1006"/>
      <c r="JD265" s="996">
        <v>0</v>
      </c>
      <c r="JE265" s="1006"/>
      <c r="JF265" s="996">
        <v>0</v>
      </c>
      <c r="JG265" s="1006"/>
      <c r="JH265" s="996">
        <v>-0.91959999999999997</v>
      </c>
      <c r="JI265" s="1006"/>
      <c r="JJ265" s="996">
        <v>0</v>
      </c>
      <c r="JK265" s="1007"/>
      <c r="JL265" s="1007">
        <v>0</v>
      </c>
      <c r="JM265" s="1007"/>
      <c r="JN265" s="1007">
        <v>0</v>
      </c>
      <c r="JO265" s="1008"/>
      <c r="JP265" s="1007">
        <v>0</v>
      </c>
      <c r="JQ265" s="1008">
        <v>0</v>
      </c>
      <c r="JR265" s="1007">
        <v>0</v>
      </c>
      <c r="JS265" s="1008">
        <v>0</v>
      </c>
      <c r="JT265" s="1007">
        <v>0</v>
      </c>
      <c r="JU265" s="1008"/>
      <c r="JV265" s="1007">
        <v>0</v>
      </c>
      <c r="JW265" s="1008" t="s">
        <v>197</v>
      </c>
      <c r="JX265" s="1007">
        <v>-1.6699936</v>
      </c>
      <c r="JY265" s="1008"/>
      <c r="JZ265" s="1007">
        <v>0</v>
      </c>
      <c r="KA265" s="1008"/>
      <c r="KB265" s="1007">
        <v>0</v>
      </c>
      <c r="KC265" s="1008"/>
      <c r="KD265" s="1007">
        <v>0</v>
      </c>
      <c r="KE265" s="1008"/>
      <c r="KF265" s="1007">
        <v>0</v>
      </c>
      <c r="KG265" s="1008"/>
      <c r="KH265" s="1007">
        <v>0</v>
      </c>
      <c r="KI265" s="1008" t="s">
        <v>206</v>
      </c>
      <c r="KJ265" s="1007">
        <v>-3.3399872000000004</v>
      </c>
      <c r="KK265" s="1008"/>
      <c r="KL265" s="1007">
        <v>0</v>
      </c>
      <c r="KM265" s="1008"/>
      <c r="KN265" s="1007">
        <v>0</v>
      </c>
      <c r="KO265" s="1008" t="s">
        <v>314</v>
      </c>
      <c r="KP265" s="1007">
        <v>2.5049904000000001</v>
      </c>
      <c r="KQ265" s="1008">
        <v>0</v>
      </c>
      <c r="KR265" s="1007">
        <v>0</v>
      </c>
      <c r="KS265" s="1008">
        <v>0</v>
      </c>
      <c r="KT265" s="1007">
        <v>0</v>
      </c>
      <c r="KU265" s="1008">
        <v>0</v>
      </c>
      <c r="KV265" s="1007">
        <v>0</v>
      </c>
      <c r="KW265" s="1008">
        <v>0</v>
      </c>
      <c r="KX265" s="1007">
        <v>0</v>
      </c>
      <c r="KY265" s="1008" t="s">
        <v>223</v>
      </c>
      <c r="KZ265" s="1007">
        <v>-1.6699935999999993</v>
      </c>
      <c r="LA265" s="1008">
        <v>0</v>
      </c>
      <c r="LB265" s="1007">
        <v>0</v>
      </c>
      <c r="LC265" s="1008" t="s">
        <v>206</v>
      </c>
      <c r="LD265" s="1007">
        <v>-3.0894881600000001</v>
      </c>
      <c r="LE265" s="1008">
        <v>0</v>
      </c>
      <c r="LF265" s="1007">
        <v>0</v>
      </c>
      <c r="LG265" s="1008" t="s">
        <v>25</v>
      </c>
      <c r="LH265" s="1007">
        <v>5.1769816000000004</v>
      </c>
      <c r="LI265" s="1008" t="s">
        <v>204</v>
      </c>
      <c r="LJ265" s="1007">
        <v>-0.75149712000000024</v>
      </c>
      <c r="LK265" s="1008">
        <v>0</v>
      </c>
      <c r="LL265" s="1007">
        <v>0</v>
      </c>
      <c r="LM265" s="1008">
        <v>0</v>
      </c>
      <c r="LN265" s="1007">
        <v>0</v>
      </c>
      <c r="LO265" s="1008">
        <v>0</v>
      </c>
      <c r="LP265" s="1007">
        <v>-0.59987999999999997</v>
      </c>
      <c r="LQ265" s="1008">
        <v>0</v>
      </c>
      <c r="LR265" s="1007">
        <v>-0.58449776099999995</v>
      </c>
      <c r="LS265" s="1008">
        <v>0</v>
      </c>
      <c r="LT265" s="1007">
        <v>1.199616</v>
      </c>
      <c r="LU265" s="1008">
        <v>0</v>
      </c>
      <c r="LV265" s="1007">
        <v>0</v>
      </c>
      <c r="LW265" s="1008">
        <v>0</v>
      </c>
      <c r="LX265" s="1007">
        <v>0.91849647999999995</v>
      </c>
      <c r="LY265" s="1009">
        <v>0</v>
      </c>
      <c r="LZ265" s="1010">
        <v>0</v>
      </c>
      <c r="MA265" s="1011">
        <v>0</v>
      </c>
      <c r="MB265" s="1012">
        <v>0</v>
      </c>
      <c r="MC265" s="995"/>
      <c r="MD265" s="996"/>
      <c r="ME265" s="997" t="s">
        <v>220</v>
      </c>
      <c r="MF265" s="997"/>
      <c r="MG265" s="998"/>
      <c r="NR265" s="1000"/>
      <c r="NS265" s="1000"/>
      <c r="NT265" s="1001"/>
      <c r="NU265" s="1000"/>
      <c r="NV265" s="1001"/>
      <c r="NX265" s="1002"/>
      <c r="NZ265" s="1001"/>
      <c r="OA265" s="1001"/>
      <c r="OC265" s="1003"/>
      <c r="OD265" s="1003"/>
      <c r="OE265" s="1001"/>
      <c r="OF265" s="1003"/>
      <c r="OG265" s="1003"/>
      <c r="QX265" s="1000">
        <f>CN265-CA265</f>
        <v>34</v>
      </c>
      <c r="ASU265" s="999" t="s">
        <v>225</v>
      </c>
    </row>
    <row r="266" spans="1:466 1191:1191" ht="21" customHeight="1" x14ac:dyDescent="0.25">
      <c r="A266" s="982" t="str">
        <f t="shared" si="163"/>
        <v>1209-2</v>
      </c>
      <c r="B266" s="124">
        <f>SUBTOTAL(103,$J$29:J266)</f>
        <v>238</v>
      </c>
      <c r="C266" s="126">
        <v>45068</v>
      </c>
      <c r="D266" s="124" t="s">
        <v>176</v>
      </c>
      <c r="E266" s="127" t="s">
        <v>177</v>
      </c>
      <c r="F266" s="128" t="s">
        <v>177</v>
      </c>
      <c r="G266" s="127" t="s">
        <v>178</v>
      </c>
      <c r="H266" s="127" t="s">
        <v>421</v>
      </c>
      <c r="I266" s="127" t="s">
        <v>422</v>
      </c>
      <c r="J266" s="152" t="s">
        <v>1190</v>
      </c>
      <c r="K266" s="127" t="s">
        <v>182</v>
      </c>
      <c r="L266" s="130">
        <v>41743</v>
      </c>
      <c r="M266" s="127" t="s">
        <v>230</v>
      </c>
      <c r="N266" s="127" t="s">
        <v>465</v>
      </c>
      <c r="O266" s="127" t="s">
        <v>185</v>
      </c>
      <c r="P266" s="127" t="s">
        <v>292</v>
      </c>
      <c r="Q266" s="85" t="str">
        <f t="shared" si="187"/>
        <v/>
      </c>
      <c r="R266" s="130"/>
      <c r="S266" s="128" t="s">
        <v>156</v>
      </c>
      <c r="T266" s="131"/>
      <c r="U266" s="132">
        <v>203</v>
      </c>
      <c r="V266" s="121">
        <v>218.2</v>
      </c>
      <c r="W266" s="116">
        <v>0.98</v>
      </c>
      <c r="X266" s="116">
        <v>1.66</v>
      </c>
      <c r="Y266" s="116">
        <f t="shared" si="191"/>
        <v>0.98768730116327075</v>
      </c>
      <c r="Z266" s="133">
        <v>1.454</v>
      </c>
      <c r="AA266" s="133">
        <v>0.83599999999999997</v>
      </c>
      <c r="AB266" s="133">
        <v>0.72</v>
      </c>
      <c r="AC266" s="121">
        <v>34.299999999999997</v>
      </c>
      <c r="AD266" s="134">
        <v>1.17</v>
      </c>
      <c r="AE266" s="124">
        <v>177.8</v>
      </c>
      <c r="AF266" s="128">
        <v>9.19</v>
      </c>
      <c r="AG266" s="128">
        <v>2190</v>
      </c>
      <c r="AH266" s="127">
        <v>3080</v>
      </c>
      <c r="AI266" s="127">
        <v>3080</v>
      </c>
      <c r="AJ266" s="135"/>
      <c r="AK266" s="128"/>
      <c r="AL266" s="131"/>
      <c r="AM266" s="124" t="s">
        <v>232</v>
      </c>
      <c r="AN266" s="136" t="s">
        <v>1191</v>
      </c>
      <c r="AO266" s="137">
        <v>13</v>
      </c>
      <c r="AP266" s="128">
        <v>2190</v>
      </c>
      <c r="AQ266" s="128">
        <v>224.38</v>
      </c>
      <c r="AR266" s="128"/>
      <c r="AS266" s="128"/>
      <c r="AT266" s="122"/>
      <c r="AU266" s="124" t="s">
        <v>250</v>
      </c>
      <c r="AV266" s="115">
        <f>VLOOKUP(J266,'[63]ТР нефть'!$J$28:$BP$638,39,0)</f>
        <v>450</v>
      </c>
      <c r="AW266" s="115" t="str">
        <f>VLOOKUP(J266,'[63]ТР нефть'!$J$28:$BP$638,40,0)</f>
        <v>ГП</v>
      </c>
      <c r="AX266" s="115">
        <f>VLOOKUP(J266,'[63]ТР нефть'!$J$28:$BP$638,41,0)</f>
        <v>900</v>
      </c>
      <c r="AY266" s="115" t="str">
        <f>VLOOKUP(J266,'[63]ТР нефть'!$J$28:$BP$638,42,0)</f>
        <v>ГП</v>
      </c>
      <c r="AZ266" s="115">
        <f>VLOOKUP(J266,'[63]ТР нефть'!$J$28:$BP$638,43,0)</f>
        <v>1400</v>
      </c>
      <c r="BA266" s="115" t="str">
        <f>VLOOKUP(J266,'[63]ТР нефть'!$J$28:$BP$638,44,0)</f>
        <v>ГК 80/1,5</v>
      </c>
      <c r="BB266" s="115">
        <f>VLOOKUP(J266,'[63]ТР нефть'!$J$28:$BP$638,45,0)</f>
        <v>1910</v>
      </c>
      <c r="BC266" s="115" t="str">
        <f>VLOOKUP(J266,'[63]ТР нефть'!$J$28:$BP$638,46,0)</f>
        <v>ЦКсОК 5/16</v>
      </c>
      <c r="BD266" s="115" t="str">
        <f>VLOOKUP(J266,'[63]ТР нефть'!$J$28:$BP$638,47,0)</f>
        <v>-</v>
      </c>
      <c r="BE266" s="115" t="str">
        <f>VLOOKUP(J266,'[63]ТР нефть'!$J$28:$BP$638,48,0)</f>
        <v>-</v>
      </c>
      <c r="BF266" s="115" t="str">
        <f>VLOOKUP(J266,'[63]ТР нефть'!$J$28:$BP$638,49,0)</f>
        <v>-</v>
      </c>
      <c r="BG266" s="115" t="str">
        <f>VLOOKUP(J266,'[63]ТР нефть'!$J$28:$BP$638,50,0)</f>
        <v>-</v>
      </c>
      <c r="BH266" s="115">
        <f>VLOOKUP(J266,'[63]ТР нефть'!$J$28:$BP$638,51,0)</f>
        <v>1920</v>
      </c>
      <c r="BI266" s="115" t="str">
        <f>VLOOKUP(J266,'[63]ТР нефть'!$J$28:$BP$638,52,0)</f>
        <v>закрыт</v>
      </c>
      <c r="BJ266" s="115" t="str">
        <f>IF(IFERROR(VLOOKUP(J266,'[63]ТР нефть'!$J$28:$BP$638,53,0),"-")=0,"-",IFERROR(VLOOKUP(J266,'[63]ТР нефть'!$J$28:$BP$638,53,0),"-"))</f>
        <v>-</v>
      </c>
      <c r="BK266" s="138" t="str">
        <f>IF(IFERROR(VLOOKUP(J266,'[63]ТР нефть'!$J$28:$BP$638,54,0),"-")=0,"-",IFERROR(VLOOKUP(J266,'[63]ТР нефть'!$J$28:$BP$638,54,0),"-"))</f>
        <v>-</v>
      </c>
      <c r="BL266" s="138" t="str">
        <f>IF(IFERROR(VLOOKUP(J266,'[63]ТР нефть'!$J$28:$BP$638,55,0),"-")=0,"-",IFERROR(VLOOKUP(J266,'[63]ТР нефть'!$J$28:$BP$638,55,0),"-"))</f>
        <v>-</v>
      </c>
      <c r="BM266" s="138" t="str">
        <f>IF(IFERROR(VLOOKUP(J266,'[63]ТР нефть'!$J$28:$BP$638,56,0),"-")=0,"-",IFERROR(VLOOKUP(J266,'[63]ТР нефть'!$J$28:$BP$638,56,0),"-"))</f>
        <v>-</v>
      </c>
      <c r="BN266" s="138" t="str">
        <f>IF(IFERROR(VLOOKUP(J266,'[63]ТР нефть'!$J$28:$BP$638,57,0),"-")=0,"-",IFERROR(VLOOKUP(J266,'[63]ТР нефть'!$J$28:$BP$638,57,0),"-"))</f>
        <v>-</v>
      </c>
      <c r="BO266" s="115" t="str">
        <f>IF(IFERROR(VLOOKUP(J266,'[63]ТР нефть'!$J$28:$BP$638,58,0),"-")=0,"-",IFERROR(VLOOKUP(J266,'[63]ТР нефть'!$J$28:$BP$638,58,0),"-"))</f>
        <v>-</v>
      </c>
      <c r="BP266" s="115" t="str">
        <f>IF(IFERROR(VLOOKUP(J266,'[63]ТР нефть'!$J$28:$BP$638,59,0),"-")=0,"-",IFERROR(VLOOKUP(J266,'[63]ТР нефть'!$J$28:$BP$638,59,0),"-"))</f>
        <v>-</v>
      </c>
      <c r="BQ266" s="138">
        <v>2450</v>
      </c>
      <c r="BR266" s="128">
        <v>1878.3</v>
      </c>
      <c r="BS266" s="115">
        <f t="shared" si="164"/>
        <v>571.70000000000005</v>
      </c>
      <c r="BT266" s="128">
        <v>73</v>
      </c>
      <c r="BU266" s="128">
        <v>5.5</v>
      </c>
      <c r="BV266" s="127">
        <v>18</v>
      </c>
      <c r="BW266" s="127" t="s">
        <v>217</v>
      </c>
      <c r="BX266" s="127" t="s">
        <v>195</v>
      </c>
      <c r="BY266" s="139">
        <v>24</v>
      </c>
      <c r="BZ266" s="139">
        <v>0</v>
      </c>
      <c r="CA266" s="138">
        <v>27</v>
      </c>
      <c r="CB266" s="138">
        <v>74</v>
      </c>
      <c r="CC266" s="138">
        <v>26</v>
      </c>
      <c r="CD266" s="135">
        <v>45017</v>
      </c>
      <c r="CE266" s="138">
        <v>126.4</v>
      </c>
      <c r="CF266" s="138"/>
      <c r="CG266" s="138"/>
      <c r="CH266" s="138"/>
      <c r="CI266" s="127"/>
      <c r="CJ266" s="138"/>
      <c r="CK266" s="138"/>
      <c r="CL266" s="99"/>
      <c r="CM266" s="138"/>
      <c r="CN266" s="154">
        <v>46</v>
      </c>
      <c r="CO266" s="159">
        <f t="shared" si="165"/>
        <v>5.6998061999999994</v>
      </c>
      <c r="CP266" s="160">
        <v>6.95</v>
      </c>
      <c r="CQ266" s="161">
        <v>1.9</v>
      </c>
      <c r="CR266" s="138">
        <v>54</v>
      </c>
      <c r="CS266" s="139"/>
      <c r="CT266" s="138"/>
      <c r="CU266" s="138">
        <f t="shared" si="188"/>
        <v>54</v>
      </c>
      <c r="CV266" s="115">
        <f t="shared" si="189"/>
        <v>9474.0063267414262</v>
      </c>
      <c r="CW266" s="115" t="str">
        <f t="shared" si="166"/>
        <v/>
      </c>
      <c r="CX266" s="133">
        <f t="shared" si="190"/>
        <v>8.6442786069651736E-2</v>
      </c>
      <c r="CY266" s="116"/>
      <c r="CZ266" s="144"/>
      <c r="DA266" s="145" t="str">
        <f t="shared" si="167"/>
        <v>Фон.</v>
      </c>
      <c r="DB266" s="146">
        <f t="shared" si="168"/>
        <v>5.6998061999999994</v>
      </c>
      <c r="DC266" s="142">
        <f t="shared" si="203"/>
        <v>6.95</v>
      </c>
      <c r="DD266" s="119">
        <f t="shared" si="204"/>
        <v>1.9</v>
      </c>
      <c r="DE266" s="115">
        <f t="shared" si="169"/>
        <v>54</v>
      </c>
      <c r="DF266" s="121">
        <f t="shared" si="170"/>
        <v>0</v>
      </c>
      <c r="DG266" s="115">
        <f t="shared" si="171"/>
        <v>9474.0063267414262</v>
      </c>
      <c r="DH266" s="115">
        <f t="shared" si="172"/>
        <v>46</v>
      </c>
      <c r="DI266" s="147"/>
      <c r="DJ266" s="111" t="s">
        <v>197</v>
      </c>
      <c r="DK266" s="112">
        <v>44012</v>
      </c>
      <c r="DL266" s="113">
        <f t="shared" ca="1" si="192"/>
        <v>1092</v>
      </c>
      <c r="DM266" s="114"/>
      <c r="DN266" s="114"/>
      <c r="DO266" s="114"/>
      <c r="DP266" s="114"/>
      <c r="DQ266" s="112">
        <v>43626</v>
      </c>
      <c r="DR266" s="114" t="s">
        <v>198</v>
      </c>
      <c r="DS266" s="114"/>
      <c r="DT266" s="115">
        <v>49</v>
      </c>
      <c r="DU266" s="116">
        <f t="shared" si="193"/>
        <v>8.9793281653746768E-2</v>
      </c>
      <c r="DV266" s="117">
        <f t="shared" si="194"/>
        <v>5.6998061999999994</v>
      </c>
      <c r="DW266" s="118">
        <f t="shared" si="195"/>
        <v>6.95</v>
      </c>
      <c r="DX266" s="119">
        <f t="shared" si="173"/>
        <v>1.9</v>
      </c>
      <c r="DY266" s="115">
        <f t="shared" si="196"/>
        <v>54</v>
      </c>
      <c r="DZ266" s="117">
        <f t="shared" si="197"/>
        <v>0</v>
      </c>
      <c r="EA266" s="120">
        <f t="shared" si="197"/>
        <v>0</v>
      </c>
      <c r="EB266" s="119">
        <f t="shared" si="197"/>
        <v>0</v>
      </c>
      <c r="EC266" s="121">
        <f t="shared" si="198"/>
        <v>0</v>
      </c>
      <c r="ED266" s="122"/>
      <c r="EE266" s="145">
        <v>18</v>
      </c>
      <c r="EF266" s="115">
        <v>27</v>
      </c>
      <c r="EG266" s="115">
        <v>74</v>
      </c>
      <c r="EH266" s="115">
        <v>26</v>
      </c>
      <c r="EI266" s="128" t="s">
        <v>195</v>
      </c>
      <c r="EJ266" s="121">
        <v>24</v>
      </c>
      <c r="EK266" s="121">
        <v>0</v>
      </c>
      <c r="EL266" s="162">
        <v>5.6998061999999994</v>
      </c>
      <c r="EM266" s="142">
        <v>6.95</v>
      </c>
      <c r="EN266" s="119">
        <v>1.9</v>
      </c>
      <c r="EO266" s="115">
        <v>54</v>
      </c>
      <c r="EP266" s="115">
        <v>9474.0063267414262</v>
      </c>
      <c r="EQ266" s="115">
        <v>0</v>
      </c>
      <c r="ER266" s="115">
        <v>0</v>
      </c>
      <c r="ES266" s="115">
        <v>46</v>
      </c>
      <c r="ET266" s="150">
        <v>8.6442786069651736E-2</v>
      </c>
      <c r="EU266" s="145">
        <f t="shared" si="174"/>
        <v>18</v>
      </c>
      <c r="EV266" s="115">
        <f t="shared" si="175"/>
        <v>27</v>
      </c>
      <c r="EW266" s="115">
        <f t="shared" si="175"/>
        <v>74</v>
      </c>
      <c r="EX266" s="115">
        <f t="shared" si="175"/>
        <v>26</v>
      </c>
      <c r="EY266" s="115" t="str">
        <f t="shared" si="206"/>
        <v>Постоянный</v>
      </c>
      <c r="EZ266" s="115">
        <f t="shared" si="206"/>
        <v>24</v>
      </c>
      <c r="FA266" s="115">
        <f t="shared" si="206"/>
        <v>0</v>
      </c>
      <c r="FB266" s="149">
        <f t="shared" si="209"/>
        <v>5.6998061999999994</v>
      </c>
      <c r="FC266" s="142">
        <f t="shared" si="209"/>
        <v>6.95</v>
      </c>
      <c r="FD266" s="119">
        <f t="shared" si="209"/>
        <v>1.9</v>
      </c>
      <c r="FE266" s="121">
        <f t="shared" si="208"/>
        <v>54</v>
      </c>
      <c r="FF266" s="121">
        <f t="shared" si="199"/>
        <v>9474.0063267414262</v>
      </c>
      <c r="FG266" s="121">
        <f t="shared" si="177"/>
        <v>0</v>
      </c>
      <c r="FH266" s="121">
        <f t="shared" si="200"/>
        <v>0</v>
      </c>
      <c r="FI266" s="121">
        <f t="shared" si="205"/>
        <v>46</v>
      </c>
      <c r="FJ266" s="144">
        <f t="shared" si="178"/>
        <v>8.6442786069651736E-2</v>
      </c>
      <c r="FK266" s="132">
        <f t="shared" si="179"/>
        <v>0</v>
      </c>
      <c r="FL266" s="115">
        <f t="shared" si="179"/>
        <v>0</v>
      </c>
      <c r="FM266" s="115">
        <f t="shared" si="179"/>
        <v>0</v>
      </c>
      <c r="FN266" s="115">
        <f t="shared" si="162"/>
        <v>0</v>
      </c>
      <c r="FO266" s="115">
        <f t="shared" si="201"/>
        <v>0</v>
      </c>
      <c r="FP266" s="115">
        <f t="shared" si="201"/>
        <v>0</v>
      </c>
      <c r="FQ266" s="149">
        <f t="shared" si="201"/>
        <v>0</v>
      </c>
      <c r="FR266" s="142">
        <f t="shared" si="201"/>
        <v>0</v>
      </c>
      <c r="FS266" s="119">
        <f t="shared" si="201"/>
        <v>0</v>
      </c>
      <c r="FT266" s="121">
        <f t="shared" si="201"/>
        <v>0</v>
      </c>
      <c r="FU266" s="121">
        <f t="shared" si="180"/>
        <v>0</v>
      </c>
      <c r="FV266" s="121">
        <f t="shared" si="180"/>
        <v>0</v>
      </c>
      <c r="FW266" s="121">
        <f t="shared" si="181"/>
        <v>0</v>
      </c>
      <c r="FX266" s="121">
        <f>CN266-ES266</f>
        <v>0</v>
      </c>
      <c r="FY266" s="144">
        <f t="shared" si="182"/>
        <v>0</v>
      </c>
      <c r="FZ266" s="145"/>
      <c r="GA266" s="151" t="s">
        <v>427</v>
      </c>
      <c r="GB266" s="145"/>
      <c r="GC266" s="151" t="s">
        <v>1192</v>
      </c>
      <c r="GD266" s="997" t="s">
        <v>416</v>
      </c>
      <c r="GE266" s="1004"/>
      <c r="GF266" s="1004">
        <v>0</v>
      </c>
      <c r="GG266" s="1004"/>
      <c r="GH266" s="1004">
        <v>0</v>
      </c>
      <c r="GI266" s="145"/>
      <c r="GJ266" s="996">
        <v>0</v>
      </c>
      <c r="GK266" s="145"/>
      <c r="GL266" s="996">
        <v>0</v>
      </c>
      <c r="GM266" s="1005"/>
      <c r="GN266" s="996">
        <v>0</v>
      </c>
      <c r="GO266" s="1006"/>
      <c r="GP266" s="996">
        <v>0</v>
      </c>
      <c r="GQ266" s="1006"/>
      <c r="GR266" s="996">
        <v>0</v>
      </c>
      <c r="GS266" s="1006"/>
      <c r="GT266" s="996">
        <v>0</v>
      </c>
      <c r="GU266" s="1006"/>
      <c r="GV266" s="996">
        <v>0</v>
      </c>
      <c r="GW266" s="1006"/>
      <c r="GX266" s="1035">
        <v>0</v>
      </c>
      <c r="GY266" s="1006"/>
      <c r="GZ266" s="996">
        <v>-0.80092980000000047</v>
      </c>
      <c r="HA266" s="1006"/>
      <c r="HB266" s="996">
        <v>0.6238984400000005</v>
      </c>
      <c r="HC266" s="1006"/>
      <c r="HD266" s="996">
        <v>-0.94129537039999978</v>
      </c>
      <c r="HE266" s="1006"/>
      <c r="HF266" s="996">
        <v>0</v>
      </c>
      <c r="HG266" s="1006"/>
      <c r="HH266" s="996">
        <v>-0.91217514960000123</v>
      </c>
      <c r="HI266" s="1006" t="s">
        <v>204</v>
      </c>
      <c r="HJ266" s="996">
        <v>-1.9723664399999983</v>
      </c>
      <c r="HK266" s="1006"/>
      <c r="HL266" s="996">
        <v>0</v>
      </c>
      <c r="HM266" s="1006" t="s">
        <v>204</v>
      </c>
      <c r="HN266" s="996">
        <v>4.689767719999999</v>
      </c>
      <c r="HO266" s="1006" t="s">
        <v>204</v>
      </c>
      <c r="HP266" s="996">
        <v>1.26113944</v>
      </c>
      <c r="HQ266" s="1006"/>
      <c r="HR266" s="996">
        <v>0</v>
      </c>
      <c r="HS266" s="1006"/>
      <c r="HT266" s="996">
        <v>0.91347379200000001</v>
      </c>
      <c r="HU266" s="1006"/>
      <c r="HV266" s="996">
        <v>0</v>
      </c>
      <c r="HW266" s="1006"/>
      <c r="HX266" s="996">
        <v>0</v>
      </c>
      <c r="HY266" s="1006" t="s">
        <v>204</v>
      </c>
      <c r="HZ266" s="996">
        <v>-3.9815644483999999</v>
      </c>
      <c r="IA266" s="1006"/>
      <c r="IB266" s="996">
        <v>0</v>
      </c>
      <c r="IC266" s="1006"/>
      <c r="ID266" s="996">
        <v>0</v>
      </c>
      <c r="IE266" s="1006"/>
      <c r="IF266" s="996">
        <v>0</v>
      </c>
      <c r="IG266" s="1006" t="s">
        <v>239</v>
      </c>
      <c r="IH266" s="996">
        <v>-9.3360751440000005</v>
      </c>
      <c r="II266" s="1006"/>
      <c r="IJ266" s="996">
        <v>0</v>
      </c>
      <c r="IK266" s="1006"/>
      <c r="IL266" s="996">
        <v>0.13364630400000088</v>
      </c>
      <c r="IM266" s="1006"/>
      <c r="IN266" s="996">
        <v>0.37686528879999948</v>
      </c>
      <c r="IO266" s="1006" t="s">
        <v>204</v>
      </c>
      <c r="IP266" s="996">
        <v>1.834604925999999</v>
      </c>
      <c r="IQ266" s="1006" t="s">
        <v>203</v>
      </c>
      <c r="IR266" s="996">
        <v>-2.5719868547999987</v>
      </c>
      <c r="IS266" s="1006" t="s">
        <v>204</v>
      </c>
      <c r="IT266" s="996">
        <v>-11.385751519999999</v>
      </c>
      <c r="IU266" s="1006"/>
      <c r="IV266" s="996"/>
      <c r="IW266" s="1006" t="s">
        <v>25</v>
      </c>
      <c r="IX266" s="996">
        <v>22</v>
      </c>
      <c r="IY266" s="1006"/>
      <c r="IZ266" s="996">
        <v>0</v>
      </c>
      <c r="JA266" s="1006"/>
      <c r="JB266" s="996">
        <v>0</v>
      </c>
      <c r="JC266" s="1006"/>
      <c r="JD266" s="996">
        <v>0</v>
      </c>
      <c r="JE266" s="1006"/>
      <c r="JF266" s="996">
        <v>0</v>
      </c>
      <c r="JG266" s="1006"/>
      <c r="JH266" s="996">
        <v>0</v>
      </c>
      <c r="JI266" s="1006" t="s">
        <v>204</v>
      </c>
      <c r="JJ266" s="996">
        <v>-3.6528685600000008</v>
      </c>
      <c r="JK266" s="1007"/>
      <c r="JL266" s="1007">
        <v>0</v>
      </c>
      <c r="JM266" s="1007"/>
      <c r="JN266" s="1007">
        <v>0</v>
      </c>
      <c r="JO266" s="1008"/>
      <c r="JP266" s="1007">
        <v>0</v>
      </c>
      <c r="JQ266" s="1008">
        <v>0</v>
      </c>
      <c r="JR266" s="1007">
        <v>0.28206640000000061</v>
      </c>
      <c r="JS266" s="1008">
        <v>0</v>
      </c>
      <c r="JT266" s="1007">
        <v>0</v>
      </c>
      <c r="JU266" s="1008" t="s">
        <v>25</v>
      </c>
      <c r="JV266" s="1007">
        <v>3.8643264000000004</v>
      </c>
      <c r="JW266" s="1008" t="s">
        <v>206</v>
      </c>
      <c r="JX266" s="1007">
        <v>-8.2429599999999983</v>
      </c>
      <c r="JY266" s="1008"/>
      <c r="JZ266" s="1007">
        <v>0</v>
      </c>
      <c r="KA266" s="1008"/>
      <c r="KB266" s="1007">
        <v>0</v>
      </c>
      <c r="KC266" s="1008"/>
      <c r="KD266" s="1007">
        <v>0</v>
      </c>
      <c r="KE266" s="1008"/>
      <c r="KF266" s="1007">
        <v>0</v>
      </c>
      <c r="KG266" s="1008"/>
      <c r="KH266" s="1007">
        <v>0</v>
      </c>
      <c r="KI266" s="1008"/>
      <c r="KJ266" s="1007">
        <v>0</v>
      </c>
      <c r="KK266" s="1008"/>
      <c r="KL266" s="1007">
        <v>0</v>
      </c>
      <c r="KM266" s="1008"/>
      <c r="KN266" s="1007">
        <v>0</v>
      </c>
      <c r="KO266" s="1008"/>
      <c r="KP266" s="1007">
        <v>0</v>
      </c>
      <c r="KQ266" s="1008" t="s">
        <v>25</v>
      </c>
      <c r="KR266" s="1007">
        <v>4.5336279999999993</v>
      </c>
      <c r="KS266" s="1008" t="s">
        <v>25</v>
      </c>
      <c r="KT266" s="1007">
        <v>0</v>
      </c>
      <c r="KU266" s="1008">
        <v>0</v>
      </c>
      <c r="KV266" s="1007">
        <v>0</v>
      </c>
      <c r="KW266" s="1008" t="s">
        <v>504</v>
      </c>
      <c r="KX266" s="1007">
        <v>0</v>
      </c>
      <c r="KY266" s="1008">
        <v>0</v>
      </c>
      <c r="KZ266" s="1007">
        <v>0</v>
      </c>
      <c r="LA266" s="1008">
        <v>0</v>
      </c>
      <c r="LB266" s="1007">
        <v>0</v>
      </c>
      <c r="LC266" s="1008">
        <v>0</v>
      </c>
      <c r="LD266" s="1007">
        <v>0</v>
      </c>
      <c r="LE266" s="1008">
        <v>0</v>
      </c>
      <c r="LF266" s="1007">
        <v>0</v>
      </c>
      <c r="LG266" s="1008">
        <v>0</v>
      </c>
      <c r="LH266" s="1007">
        <v>0</v>
      </c>
      <c r="LI266" s="1008">
        <v>0</v>
      </c>
      <c r="LJ266" s="1007">
        <v>0</v>
      </c>
      <c r="LK266" s="1008" t="s">
        <v>206</v>
      </c>
      <c r="LL266" s="1007">
        <v>-2.6739999999999999</v>
      </c>
      <c r="LM266" s="1008">
        <v>0</v>
      </c>
      <c r="LN266" s="1007">
        <v>0</v>
      </c>
      <c r="LO266" s="1008">
        <v>0</v>
      </c>
      <c r="LP266" s="1007">
        <v>0.97143219999999997</v>
      </c>
      <c r="LQ266" s="1008">
        <v>0</v>
      </c>
      <c r="LR266" s="1007">
        <v>0.81919999999999005</v>
      </c>
      <c r="LS266" s="1008">
        <v>0</v>
      </c>
      <c r="LT266" s="1007">
        <v>0</v>
      </c>
      <c r="LU266" s="1008">
        <v>0</v>
      </c>
      <c r="LV266" s="1007">
        <v>0</v>
      </c>
      <c r="LW266" s="1008">
        <v>0</v>
      </c>
      <c r="LX266" s="1007">
        <v>1.21638</v>
      </c>
      <c r="LY266" s="1009" t="s">
        <v>206</v>
      </c>
      <c r="LZ266" s="1010">
        <v>0</v>
      </c>
      <c r="MA266" s="1011" t="s">
        <v>206</v>
      </c>
      <c r="MB266" s="1012">
        <v>-2.8382200000000006</v>
      </c>
      <c r="MC266" s="995"/>
      <c r="MD266" s="996"/>
      <c r="ME266" s="997" t="s">
        <v>416</v>
      </c>
      <c r="MF266" s="997"/>
      <c r="MG266" s="998"/>
      <c r="NR266" s="1000"/>
      <c r="NS266" s="1000"/>
      <c r="NT266" s="1001"/>
      <c r="NU266" s="1000"/>
      <c r="NV266" s="1001"/>
      <c r="NX266" s="1002"/>
      <c r="NZ266" s="1001"/>
      <c r="OA266" s="1001"/>
      <c r="OC266" s="1003"/>
      <c r="OD266" s="1003"/>
      <c r="OE266" s="1001"/>
      <c r="OF266" s="1003"/>
      <c r="OG266" s="1003"/>
      <c r="QX266" s="1000">
        <f>CN266-CA266</f>
        <v>19</v>
      </c>
      <c r="ASU266" s="999" t="s">
        <v>208</v>
      </c>
    </row>
    <row r="267" spans="1:466 1191:1191" ht="21" customHeight="1" x14ac:dyDescent="0.25">
      <c r="A267" s="982" t="str">
        <f t="shared" si="163"/>
        <v>1209-1</v>
      </c>
      <c r="B267" s="124">
        <f>SUBTOTAL(103,$J$29:J267)</f>
        <v>239</v>
      </c>
      <c r="C267" s="126">
        <v>45068</v>
      </c>
      <c r="D267" s="124" t="s">
        <v>176</v>
      </c>
      <c r="E267" s="127" t="s">
        <v>177</v>
      </c>
      <c r="F267" s="128" t="s">
        <v>177</v>
      </c>
      <c r="G267" s="127" t="s">
        <v>178</v>
      </c>
      <c r="H267" s="127" t="s">
        <v>179</v>
      </c>
      <c r="I267" s="127" t="s">
        <v>1061</v>
      </c>
      <c r="J267" s="152" t="s">
        <v>1193</v>
      </c>
      <c r="K267" s="127" t="s">
        <v>1061</v>
      </c>
      <c r="L267" s="130">
        <v>41643</v>
      </c>
      <c r="M267" s="127" t="s">
        <v>230</v>
      </c>
      <c r="N267" s="127" t="s">
        <v>184</v>
      </c>
      <c r="O267" s="127" t="s">
        <v>185</v>
      </c>
      <c r="P267" s="127" t="s">
        <v>186</v>
      </c>
      <c r="Q267" s="85" t="str">
        <f t="shared" si="187"/>
        <v/>
      </c>
      <c r="R267" s="130"/>
      <c r="S267" s="128" t="s">
        <v>156</v>
      </c>
      <c r="T267" s="131"/>
      <c r="U267" s="132">
        <v>203</v>
      </c>
      <c r="V267" s="121">
        <v>218.2</v>
      </c>
      <c r="W267" s="116">
        <v>0.98</v>
      </c>
      <c r="X267" s="116">
        <v>1.66</v>
      </c>
      <c r="Y267" s="116">
        <f t="shared" si="191"/>
        <v>0.98008029573507216</v>
      </c>
      <c r="Z267" s="133">
        <v>1.454</v>
      </c>
      <c r="AA267" s="133">
        <v>0.83599999999999997</v>
      </c>
      <c r="AB267" s="133">
        <v>0.72</v>
      </c>
      <c r="AC267" s="121">
        <v>34.299999999999997</v>
      </c>
      <c r="AD267" s="134">
        <v>1.17</v>
      </c>
      <c r="AE267" s="124">
        <v>177.8</v>
      </c>
      <c r="AF267" s="128">
        <v>9.19</v>
      </c>
      <c r="AG267" s="128">
        <v>1916</v>
      </c>
      <c r="AH267" s="127">
        <v>2644</v>
      </c>
      <c r="AI267" s="127">
        <v>2644</v>
      </c>
      <c r="AJ267" s="135"/>
      <c r="AK267" s="128"/>
      <c r="AL267" s="131"/>
      <c r="AM267" s="124" t="s">
        <v>232</v>
      </c>
      <c r="AN267" s="136" t="s">
        <v>1194</v>
      </c>
      <c r="AO267" s="137">
        <v>17</v>
      </c>
      <c r="AP267" s="128">
        <v>1916</v>
      </c>
      <c r="AQ267" s="128">
        <v>103.48</v>
      </c>
      <c r="AR267" s="128"/>
      <c r="AS267" s="128"/>
      <c r="AT267" s="122"/>
      <c r="AU267" s="124" t="s">
        <v>189</v>
      </c>
      <c r="AV267" s="115">
        <f>VLOOKUP(J267,'[63]ТР нефть'!$J$28:$BP$638,39,0)</f>
        <v>540.00000644500005</v>
      </c>
      <c r="AW267" s="115" t="str">
        <f>VLOOKUP(J267,'[63]ТР нефть'!$J$28:$BP$638,40,0)</f>
        <v>ГП</v>
      </c>
      <c r="AX267" s="115">
        <f>VLOOKUP(J267,'[63]ТР нефть'!$J$28:$BP$638,41,0)</f>
        <v>980.00001445299995</v>
      </c>
      <c r="AY267" s="115" t="str">
        <f>VLOOKUP(J267,'[63]ТР нефть'!$J$28:$BP$638,42,0)</f>
        <v>ГП</v>
      </c>
      <c r="AZ267" s="115">
        <f>VLOOKUP(J267,'[63]ТР нефть'!$J$28:$BP$638,43,0)</f>
        <v>1324.999979297</v>
      </c>
      <c r="BA267" s="115" t="str">
        <f>VLOOKUP(J267,'[63]ТР нефть'!$J$28:$BP$638,44,0)</f>
        <v>ГК87 1/8</v>
      </c>
      <c r="BB267" s="115">
        <f>VLOOKUP(J267,'[63]ТР нефть'!$J$28:$BP$638,45,0)</f>
        <v>1610.000034375</v>
      </c>
      <c r="BC267" s="115" t="str">
        <f>VLOOKUP(J267,'[63]ТР нефть'!$J$28:$BP$638,46,0)</f>
        <v>ГК86 1/8</v>
      </c>
      <c r="BD267" s="115">
        <f>VLOOKUP(J267,'[63]ТР нефть'!$J$28:$BP$638,47,0)</f>
        <v>1760.000032031</v>
      </c>
      <c r="BE267" s="115" t="str">
        <f>VLOOKUP(J267,'[63]ТР нефть'!$J$28:$BP$638,48,0)</f>
        <v>ЦКсОК 5/16</v>
      </c>
      <c r="BF267" s="115" t="str">
        <f>VLOOKUP(J267,'[63]ТР нефть'!$J$28:$BP$638,49,0)</f>
        <v>-</v>
      </c>
      <c r="BG267" s="115" t="str">
        <f>VLOOKUP(J267,'[63]ТР нефть'!$J$28:$BP$638,50,0)</f>
        <v>-</v>
      </c>
      <c r="BH267" s="115">
        <f>VLOOKUP(J267,'[63]ТР нефть'!$J$28:$BP$638,51,0)</f>
        <v>1765</v>
      </c>
      <c r="BI267" s="115" t="str">
        <f>VLOOKUP(J267,'[63]ТР нефть'!$J$28:$BP$638,52,0)</f>
        <v>закрыт</v>
      </c>
      <c r="BJ267" s="115" t="str">
        <f>IF(IFERROR(VLOOKUP(J267,'[63]ТР нефть'!$J$28:$BP$638,53,0),"-")=0,"-",IFERROR(VLOOKUP(J267,'[63]ТР нефть'!$J$28:$BP$638,53,0),"-"))</f>
        <v>-</v>
      </c>
      <c r="BK267" s="138" t="str">
        <f>IF(IFERROR(VLOOKUP(J267,'[63]ТР нефть'!$J$28:$BP$638,54,0),"-")=0,"-",IFERROR(VLOOKUP(J267,'[63]ТР нефть'!$J$28:$BP$638,54,0),"-"))</f>
        <v>-</v>
      </c>
      <c r="BL267" s="138" t="str">
        <f>IF(IFERROR(VLOOKUP(J267,'[63]ТР нефть'!$J$28:$BP$638,55,0),"-")=0,"-",IFERROR(VLOOKUP(J267,'[63]ТР нефть'!$J$28:$BP$638,55,0),"-"))</f>
        <v>-</v>
      </c>
      <c r="BM267" s="138" t="str">
        <f>IF(IFERROR(VLOOKUP(J267,'[63]ТР нефть'!$J$28:$BP$638,56,0),"-")=0,"-",IFERROR(VLOOKUP(J267,'[63]ТР нефть'!$J$28:$BP$638,56,0),"-"))</f>
        <v>-</v>
      </c>
      <c r="BN267" s="138" t="str">
        <f>IF(IFERROR(VLOOKUP(J267,'[63]ТР нефть'!$J$28:$BP$638,57,0),"-")=0,"-",IFERROR(VLOOKUP(J267,'[63]ТР нефть'!$J$28:$BP$638,57,0),"-"))</f>
        <v>-</v>
      </c>
      <c r="BO267" s="115" t="str">
        <f>IF(IFERROR(VLOOKUP(J267,'[63]ТР нефть'!$J$28:$BP$638,58,0),"-")=0,"-",IFERROR(VLOOKUP(J267,'[63]ТР нефть'!$J$28:$BP$638,58,0),"-"))</f>
        <v>-</v>
      </c>
      <c r="BP267" s="115" t="str">
        <f>IF(IFERROR(VLOOKUP(J267,'[63]ТР нефть'!$J$28:$BP$638,59,0),"-")=0,"-",IFERROR(VLOOKUP(J267,'[63]ТР нефть'!$J$28:$BP$638,59,0),"-"))</f>
        <v>-</v>
      </c>
      <c r="BQ267" s="138">
        <v>1910</v>
      </c>
      <c r="BR267" s="128">
        <v>1810.45</v>
      </c>
      <c r="BS267" s="115">
        <f t="shared" si="164"/>
        <v>99.549999999999955</v>
      </c>
      <c r="BT267" s="128">
        <v>73</v>
      </c>
      <c r="BU267" s="128">
        <v>5.5</v>
      </c>
      <c r="BV267" s="127">
        <v>18</v>
      </c>
      <c r="BW267" s="127" t="s">
        <v>217</v>
      </c>
      <c r="BX267" s="127" t="s">
        <v>195</v>
      </c>
      <c r="BY267" s="139">
        <v>24</v>
      </c>
      <c r="BZ267" s="139">
        <v>0</v>
      </c>
      <c r="CA267" s="80">
        <v>23</v>
      </c>
      <c r="CB267" s="138">
        <v>37</v>
      </c>
      <c r="CC267" s="138">
        <v>22</v>
      </c>
      <c r="CD267" s="135">
        <v>45017</v>
      </c>
      <c r="CE267" s="138">
        <v>116</v>
      </c>
      <c r="CF267" s="138">
        <v>76</v>
      </c>
      <c r="CG267" s="138" t="str">
        <f t="shared" ref="CG267:CG276" si="210">IF(CH267&lt;&gt;"","В работе","")</f>
        <v>В работе</v>
      </c>
      <c r="CH267" s="138" t="s">
        <v>235</v>
      </c>
      <c r="CI267" s="127">
        <v>5</v>
      </c>
      <c r="CJ267" s="138"/>
      <c r="CK267" s="138">
        <f t="shared" si="207"/>
        <v>22</v>
      </c>
      <c r="CL267" s="99"/>
      <c r="CM267" s="99"/>
      <c r="CN267" s="140">
        <v>45</v>
      </c>
      <c r="CO267" s="141">
        <f t="shared" si="165"/>
        <v>8.3583280000000002</v>
      </c>
      <c r="CP267" s="142">
        <v>10</v>
      </c>
      <c r="CQ267" s="143">
        <v>0.02</v>
      </c>
      <c r="CR267" s="138">
        <v>13</v>
      </c>
      <c r="CS267" s="139">
        <v>9.9</v>
      </c>
      <c r="CT267" s="138"/>
      <c r="CU267" s="138">
        <f t="shared" si="188"/>
        <v>3.0999999999999996</v>
      </c>
      <c r="CV267" s="115">
        <f t="shared" si="189"/>
        <v>370.88757464411538</v>
      </c>
      <c r="CW267" s="115">
        <f t="shared" si="166"/>
        <v>1184.1193094694622</v>
      </c>
      <c r="CX267" s="133">
        <f t="shared" si="190"/>
        <v>0.14084507042253522</v>
      </c>
      <c r="CY267" s="116"/>
      <c r="CZ267" s="131"/>
      <c r="DA267" s="145" t="str">
        <f t="shared" si="167"/>
        <v>Газлифт</v>
      </c>
      <c r="DB267" s="146">
        <f t="shared" si="168"/>
        <v>9.7541687760000002</v>
      </c>
      <c r="DC267" s="142">
        <f t="shared" si="203"/>
        <v>11.67</v>
      </c>
      <c r="DD267" s="119">
        <f t="shared" si="204"/>
        <v>0.02</v>
      </c>
      <c r="DE267" s="115">
        <f t="shared" si="169"/>
        <v>3.0999999999999996</v>
      </c>
      <c r="DF267" s="121">
        <f t="shared" si="170"/>
        <v>9.9</v>
      </c>
      <c r="DG267" s="115">
        <f t="shared" si="171"/>
        <v>370.88757464411538</v>
      </c>
      <c r="DH267" s="115">
        <f t="shared" si="172"/>
        <v>45</v>
      </c>
      <c r="DI267" s="147"/>
      <c r="DJ267" s="111" t="s">
        <v>197</v>
      </c>
      <c r="DK267" s="112">
        <v>42866</v>
      </c>
      <c r="DL267" s="113">
        <f t="shared" ca="1" si="192"/>
        <v>2238</v>
      </c>
      <c r="DM267" s="114"/>
      <c r="DN267" s="114"/>
      <c r="DO267" s="114"/>
      <c r="DP267" s="114"/>
      <c r="DQ267" s="112">
        <v>42398</v>
      </c>
      <c r="DR267" s="114" t="s">
        <v>1195</v>
      </c>
      <c r="DS267" s="114"/>
      <c r="DT267" s="115">
        <v>51</v>
      </c>
      <c r="DU267" s="116">
        <f t="shared" si="193"/>
        <v>0.15384615384615385</v>
      </c>
      <c r="DV267" s="117">
        <f t="shared" si="194"/>
        <v>8.3583280000000002</v>
      </c>
      <c r="DW267" s="118">
        <f t="shared" si="195"/>
        <v>10</v>
      </c>
      <c r="DX267" s="119">
        <f t="shared" si="173"/>
        <v>0.02</v>
      </c>
      <c r="DY267" s="115">
        <f t="shared" si="196"/>
        <v>3.0999999999999996</v>
      </c>
      <c r="DZ267" s="117">
        <f t="shared" si="197"/>
        <v>0</v>
      </c>
      <c r="EA267" s="120">
        <f t="shared" si="197"/>
        <v>0</v>
      </c>
      <c r="EB267" s="119">
        <f t="shared" si="197"/>
        <v>0</v>
      </c>
      <c r="EC267" s="121">
        <f t="shared" si="198"/>
        <v>0</v>
      </c>
      <c r="ED267" s="122"/>
      <c r="EE267" s="145">
        <v>18</v>
      </c>
      <c r="EF267" s="148">
        <v>22</v>
      </c>
      <c r="EG267" s="115">
        <v>40</v>
      </c>
      <c r="EH267" s="115">
        <v>21</v>
      </c>
      <c r="EI267" s="128" t="s">
        <v>195</v>
      </c>
      <c r="EJ267" s="121">
        <v>24</v>
      </c>
      <c r="EK267" s="121">
        <v>0</v>
      </c>
      <c r="EL267" s="149">
        <v>9.7541687760000002</v>
      </c>
      <c r="EM267" s="142">
        <v>11.67</v>
      </c>
      <c r="EN267" s="119">
        <v>0.02</v>
      </c>
      <c r="EO267" s="115">
        <v>14.5</v>
      </c>
      <c r="EP267" s="115">
        <v>502.34931469059501</v>
      </c>
      <c r="EQ267" s="115">
        <v>78</v>
      </c>
      <c r="ER267" s="115">
        <v>9.6</v>
      </c>
      <c r="ES267" s="115">
        <v>45</v>
      </c>
      <c r="ET267" s="150">
        <v>0.16436619718309858</v>
      </c>
      <c r="EU267" s="145">
        <f t="shared" si="174"/>
        <v>18</v>
      </c>
      <c r="EV267" s="115">
        <f t="shared" si="175"/>
        <v>23</v>
      </c>
      <c r="EW267" s="115">
        <f t="shared" si="175"/>
        <v>37</v>
      </c>
      <c r="EX267" s="115">
        <f t="shared" si="175"/>
        <v>22</v>
      </c>
      <c r="EY267" s="115" t="str">
        <f t="shared" si="206"/>
        <v>Постоянный</v>
      </c>
      <c r="EZ267" s="115">
        <f t="shared" si="206"/>
        <v>24</v>
      </c>
      <c r="FA267" s="115">
        <f t="shared" si="206"/>
        <v>0</v>
      </c>
      <c r="FB267" s="149">
        <f t="shared" si="209"/>
        <v>8.3583280000000002</v>
      </c>
      <c r="FC267" s="142">
        <f t="shared" si="209"/>
        <v>10</v>
      </c>
      <c r="FD267" s="119">
        <f t="shared" si="209"/>
        <v>0.02</v>
      </c>
      <c r="FE267" s="121">
        <f t="shared" si="208"/>
        <v>13</v>
      </c>
      <c r="FF267" s="121">
        <f t="shared" si="199"/>
        <v>370.88757464411538</v>
      </c>
      <c r="FG267" s="121">
        <f t="shared" si="177"/>
        <v>76</v>
      </c>
      <c r="FH267" s="121">
        <f t="shared" si="200"/>
        <v>9.9</v>
      </c>
      <c r="FI267" s="121">
        <f t="shared" si="205"/>
        <v>45</v>
      </c>
      <c r="FJ267" s="144">
        <f t="shared" si="178"/>
        <v>0.14084507042253522</v>
      </c>
      <c r="FK267" s="132">
        <f t="shared" si="179"/>
        <v>0</v>
      </c>
      <c r="FL267" s="115">
        <f t="shared" si="179"/>
        <v>1</v>
      </c>
      <c r="FM267" s="115">
        <f t="shared" si="179"/>
        <v>-3</v>
      </c>
      <c r="FN267" s="115">
        <f t="shared" si="162"/>
        <v>1</v>
      </c>
      <c r="FO267" s="115">
        <f t="shared" si="201"/>
        <v>0</v>
      </c>
      <c r="FP267" s="115">
        <f t="shared" si="201"/>
        <v>0</v>
      </c>
      <c r="FQ267" s="149">
        <f t="shared" si="201"/>
        <v>-1.395840776</v>
      </c>
      <c r="FR267" s="142">
        <f t="shared" si="201"/>
        <v>-1.67</v>
      </c>
      <c r="FS267" s="119">
        <f t="shared" si="201"/>
        <v>0</v>
      </c>
      <c r="FT267" s="121">
        <f t="shared" si="201"/>
        <v>-1.5</v>
      </c>
      <c r="FU267" s="121">
        <f t="shared" si="180"/>
        <v>-2</v>
      </c>
      <c r="FV267" s="121">
        <f t="shared" si="180"/>
        <v>0.30000000000000071</v>
      </c>
      <c r="FW267" s="121">
        <f t="shared" si="181"/>
        <v>-131.46174004647963</v>
      </c>
      <c r="FX267" s="121">
        <f t="shared" si="182"/>
        <v>0</v>
      </c>
      <c r="FY267" s="144">
        <f t="shared" si="182"/>
        <v>-2.3521126760563366E-2</v>
      </c>
      <c r="FZ267" s="145" t="s">
        <v>199</v>
      </c>
      <c r="GA267" s="1024" t="s">
        <v>415</v>
      </c>
      <c r="GB267" s="145"/>
      <c r="GC267" s="1033"/>
      <c r="GD267" s="997" t="s">
        <v>220</v>
      </c>
      <c r="GE267" s="1004"/>
      <c r="GF267" s="1004">
        <v>0</v>
      </c>
      <c r="GG267" s="1004"/>
      <c r="GH267" s="1004">
        <v>0</v>
      </c>
      <c r="GI267" s="145"/>
      <c r="GJ267" s="996">
        <v>0</v>
      </c>
      <c r="GK267" s="145"/>
      <c r="GL267" s="996">
        <v>0</v>
      </c>
      <c r="GM267" s="1005"/>
      <c r="GN267" s="996">
        <v>-0.50149967999999845</v>
      </c>
      <c r="GO267" s="1006"/>
      <c r="GP267" s="996">
        <v>-0.77732450400000097</v>
      </c>
      <c r="GQ267" s="1006"/>
      <c r="GR267" s="996">
        <v>0</v>
      </c>
      <c r="GS267" s="1006" t="s">
        <v>199</v>
      </c>
      <c r="GT267" s="996">
        <v>2.6997449600000003</v>
      </c>
      <c r="GU267" s="1006"/>
      <c r="GV267" s="996">
        <v>5.6847999999998677E-2</v>
      </c>
      <c r="GW267" s="1006"/>
      <c r="GX267" s="1036">
        <v>0</v>
      </c>
      <c r="GY267" s="1006" t="s">
        <v>203</v>
      </c>
      <c r="GZ267" s="996">
        <v>-4.6281795999999993</v>
      </c>
      <c r="HA267" s="1006" t="s">
        <v>25</v>
      </c>
      <c r="HB267" s="996">
        <v>6.3837796000000004</v>
      </c>
      <c r="HC267" s="1006"/>
      <c r="HD267" s="996">
        <v>0</v>
      </c>
      <c r="HE267" s="1006"/>
      <c r="HF267" s="996">
        <v>-0.66880000000000006</v>
      </c>
      <c r="HG267" s="1006"/>
      <c r="HH267" s="996">
        <v>0</v>
      </c>
      <c r="HI267" s="1006" t="s">
        <v>199</v>
      </c>
      <c r="HJ267" s="996">
        <v>1.7555999999999994</v>
      </c>
      <c r="HK267" s="1006"/>
      <c r="HL267" s="996">
        <v>0</v>
      </c>
      <c r="HM267" s="1006"/>
      <c r="HN267" s="996">
        <v>-0.69388000000000005</v>
      </c>
      <c r="HO267" s="1006"/>
      <c r="HP267" s="996">
        <v>0</v>
      </c>
      <c r="HQ267" s="1006"/>
      <c r="HR267" s="996">
        <v>0.913748</v>
      </c>
      <c r="HS267" s="1006"/>
      <c r="HT267" s="996">
        <v>0</v>
      </c>
      <c r="HU267" s="1006"/>
      <c r="HV267" s="996">
        <v>-0.87194799999999972</v>
      </c>
      <c r="HW267" s="1006"/>
      <c r="HX267" s="996">
        <v>0</v>
      </c>
      <c r="HY267" s="1006" t="s">
        <v>203</v>
      </c>
      <c r="HZ267" s="996">
        <v>-2.1309594019999993</v>
      </c>
      <c r="IA267" s="1006" t="s">
        <v>25</v>
      </c>
      <c r="IB267" s="996">
        <v>1.7531710020000002</v>
      </c>
      <c r="IC267" s="1006"/>
      <c r="ID267" s="996">
        <v>0</v>
      </c>
      <c r="IE267" s="1006"/>
      <c r="IF267" s="996">
        <v>0</v>
      </c>
      <c r="IG267" s="1006"/>
      <c r="IH267" s="996">
        <v>0</v>
      </c>
      <c r="II267" s="1006"/>
      <c r="IJ267" s="996">
        <v>0</v>
      </c>
      <c r="IK267" s="1006" t="s">
        <v>204</v>
      </c>
      <c r="IL267" s="996">
        <v>-4.2788988000000021</v>
      </c>
      <c r="IM267" s="1006"/>
      <c r="IN267" s="996">
        <v>0</v>
      </c>
      <c r="IO267" s="1006"/>
      <c r="IP267" s="996">
        <v>0</v>
      </c>
      <c r="IQ267" s="1006" t="s">
        <v>199</v>
      </c>
      <c r="IR267" s="996">
        <v>5.9775672000000011</v>
      </c>
      <c r="IS267" s="1006" t="s">
        <v>204</v>
      </c>
      <c r="IT267" s="996">
        <v>-4.3894179999999992</v>
      </c>
      <c r="IU267" s="1006"/>
      <c r="IV267" s="996">
        <v>-0.83223800000000203</v>
      </c>
      <c r="IW267" s="1006"/>
      <c r="IX267" s="996">
        <v>0</v>
      </c>
      <c r="IY267" s="1006" t="s">
        <v>204</v>
      </c>
      <c r="IZ267" s="996">
        <v>1.6644760000000023</v>
      </c>
      <c r="JA267" s="1006"/>
      <c r="JB267" s="996">
        <v>0</v>
      </c>
      <c r="JC267" s="1006"/>
      <c r="JD267" s="996">
        <v>0</v>
      </c>
      <c r="JE267" s="1006"/>
      <c r="JF267" s="996">
        <v>0</v>
      </c>
      <c r="JG267" s="1006"/>
      <c r="JH267" s="996">
        <v>0</v>
      </c>
      <c r="JI267" s="1006"/>
      <c r="JJ267" s="996">
        <v>0</v>
      </c>
      <c r="JK267" s="1007"/>
      <c r="JL267" s="1007">
        <v>0</v>
      </c>
      <c r="JM267" s="1007"/>
      <c r="JN267" s="1007">
        <v>0</v>
      </c>
      <c r="JO267" s="1008"/>
      <c r="JP267" s="1007">
        <v>0</v>
      </c>
      <c r="JQ267" s="1008">
        <v>0</v>
      </c>
      <c r="JR267" s="1007">
        <v>0</v>
      </c>
      <c r="JS267" s="1008">
        <v>0</v>
      </c>
      <c r="JT267" s="1007">
        <v>0</v>
      </c>
      <c r="JU267" s="1008" t="s">
        <v>204</v>
      </c>
      <c r="JV267" s="1007">
        <v>1.4564164999999987</v>
      </c>
      <c r="JW267" s="1008" t="s">
        <v>197</v>
      </c>
      <c r="JX267" s="1007">
        <v>0</v>
      </c>
      <c r="JY267" s="1008"/>
      <c r="JZ267" s="1007">
        <v>0</v>
      </c>
      <c r="KA267" s="1008"/>
      <c r="KB267" s="1007">
        <v>0</v>
      </c>
      <c r="KC267" s="1008"/>
      <c r="KD267" s="1007">
        <v>0</v>
      </c>
      <c r="KE267" s="1008"/>
      <c r="KF267" s="1007">
        <v>0</v>
      </c>
      <c r="KG267" s="1008"/>
      <c r="KH267" s="1007">
        <v>0</v>
      </c>
      <c r="KI267" s="1008" t="s">
        <v>240</v>
      </c>
      <c r="KJ267" s="1007">
        <v>-3.9531305000000012</v>
      </c>
      <c r="KK267" s="1008"/>
      <c r="KL267" s="1007">
        <v>0</v>
      </c>
      <c r="KM267" s="1008"/>
      <c r="KN267" s="1007">
        <v>0</v>
      </c>
      <c r="KO267" s="1008" t="s">
        <v>207</v>
      </c>
      <c r="KP267" s="1007">
        <v>4.9934280000000015</v>
      </c>
      <c r="KQ267" s="1008" t="s">
        <v>207</v>
      </c>
      <c r="KR267" s="1007">
        <v>-5.7424421999999993</v>
      </c>
      <c r="KS267" s="1008">
        <v>0</v>
      </c>
      <c r="KT267" s="1007">
        <v>0</v>
      </c>
      <c r="KU267" s="1008" t="s">
        <v>207</v>
      </c>
      <c r="KV267" s="1007">
        <v>-2.5799378000000015</v>
      </c>
      <c r="KW267" s="1008" t="s">
        <v>204</v>
      </c>
      <c r="KX267" s="1007">
        <v>4.1461420000000011</v>
      </c>
      <c r="KY267" s="1008">
        <v>0</v>
      </c>
      <c r="KZ267" s="1007">
        <v>0</v>
      </c>
      <c r="LA267" s="1008">
        <v>0</v>
      </c>
      <c r="LB267" s="1007">
        <v>0</v>
      </c>
      <c r="LC267" s="1008">
        <v>0</v>
      </c>
      <c r="LD267" s="1007">
        <v>0</v>
      </c>
      <c r="LE267" s="1008">
        <v>0</v>
      </c>
      <c r="LF267" s="1007">
        <v>0</v>
      </c>
      <c r="LG267" s="1008" t="s">
        <v>199</v>
      </c>
      <c r="LH267" s="1007">
        <v>3.3339679999999996</v>
      </c>
      <c r="LI267" s="1008" t="s">
        <v>199</v>
      </c>
      <c r="LJ267" s="1007">
        <v>0.83349200000000057</v>
      </c>
      <c r="LK267" s="1008" t="s">
        <v>206</v>
      </c>
      <c r="LL267" s="1007">
        <v>-0.83349209999999996</v>
      </c>
      <c r="LM267" s="1008" t="s">
        <v>555</v>
      </c>
      <c r="LN267" s="1007">
        <v>-0.83348999999999995</v>
      </c>
      <c r="LO267" s="1008">
        <v>0</v>
      </c>
      <c r="LP267" s="1007">
        <v>0</v>
      </c>
      <c r="LQ267" s="1008">
        <v>0</v>
      </c>
      <c r="LR267" s="1007">
        <v>0.13669268800000001</v>
      </c>
      <c r="LS267" s="1008">
        <v>0</v>
      </c>
      <c r="LT267" s="1007">
        <v>-0.13669268800000001</v>
      </c>
      <c r="LU267" s="1008">
        <v>0</v>
      </c>
      <c r="LV267" s="1007">
        <v>0</v>
      </c>
      <c r="LW267" s="1008">
        <v>0</v>
      </c>
      <c r="LX267" s="1007">
        <v>0</v>
      </c>
      <c r="LY267" s="1009">
        <v>0</v>
      </c>
      <c r="LZ267" s="1010">
        <v>0</v>
      </c>
      <c r="MA267" s="1011">
        <v>0</v>
      </c>
      <c r="MB267" s="1012">
        <v>0</v>
      </c>
      <c r="MC267" s="995"/>
      <c r="MD267" s="996"/>
      <c r="ME267" s="997" t="s">
        <v>220</v>
      </c>
      <c r="MF267" s="997"/>
      <c r="MG267" s="998"/>
      <c r="NR267" s="1000"/>
      <c r="NS267" s="1000"/>
      <c r="NT267" s="1001"/>
      <c r="NU267" s="1000"/>
      <c r="NV267" s="1001"/>
      <c r="NX267" s="1002"/>
      <c r="NZ267" s="1001"/>
      <c r="OA267" s="1001"/>
      <c r="OC267" s="1003"/>
      <c r="OD267" s="1003"/>
      <c r="OE267" s="1001"/>
      <c r="OF267" s="1003"/>
      <c r="OG267" s="1003"/>
      <c r="QX267" s="1000">
        <f>CN267-CA267</f>
        <v>22</v>
      </c>
      <c r="ASU267" s="999" t="s">
        <v>208</v>
      </c>
    </row>
    <row r="268" spans="1:466 1191:1191" ht="21" customHeight="1" x14ac:dyDescent="0.25">
      <c r="A268" s="982">
        <f t="shared" si="163"/>
        <v>1210</v>
      </c>
      <c r="B268" s="124">
        <f>SUBTOTAL(103,$J$29:J268)</f>
        <v>240</v>
      </c>
      <c r="C268" s="126">
        <v>45068</v>
      </c>
      <c r="D268" s="124" t="s">
        <v>176</v>
      </c>
      <c r="E268" s="127" t="s">
        <v>177</v>
      </c>
      <c r="F268" s="128" t="s">
        <v>177</v>
      </c>
      <c r="G268" s="127" t="s">
        <v>178</v>
      </c>
      <c r="H268" s="127" t="s">
        <v>179</v>
      </c>
      <c r="I268" s="127" t="s">
        <v>1010</v>
      </c>
      <c r="J268" s="152">
        <v>1210</v>
      </c>
      <c r="K268" s="127" t="s">
        <v>1011</v>
      </c>
      <c r="L268" s="130">
        <v>41840</v>
      </c>
      <c r="M268" s="127" t="s">
        <v>230</v>
      </c>
      <c r="N268" s="127" t="s">
        <v>184</v>
      </c>
      <c r="O268" s="127" t="s">
        <v>185</v>
      </c>
      <c r="P268" s="127" t="s">
        <v>186</v>
      </c>
      <c r="Q268" s="85">
        <f t="shared" si="187"/>
        <v>-4</v>
      </c>
      <c r="R268" s="130">
        <v>41810</v>
      </c>
      <c r="S268" s="128" t="s">
        <v>211</v>
      </c>
      <c r="T268" s="131" t="s">
        <v>1196</v>
      </c>
      <c r="U268" s="132">
        <v>203</v>
      </c>
      <c r="V268" s="121">
        <v>218.2</v>
      </c>
      <c r="W268" s="116">
        <v>0.98</v>
      </c>
      <c r="X268" s="116">
        <v>1.66</v>
      </c>
      <c r="Y268" s="116">
        <f t="shared" si="191"/>
        <v>0.98768730116327075</v>
      </c>
      <c r="Z268" s="133">
        <v>1.454</v>
      </c>
      <c r="AA268" s="133">
        <v>0.83599999999999997</v>
      </c>
      <c r="AB268" s="133">
        <v>0.72</v>
      </c>
      <c r="AC268" s="121">
        <v>34.299999999999997</v>
      </c>
      <c r="AD268" s="134">
        <v>1.17</v>
      </c>
      <c r="AE268" s="124" t="s">
        <v>365</v>
      </c>
      <c r="AF268" s="128">
        <v>9.19</v>
      </c>
      <c r="AG268" s="128">
        <v>2294</v>
      </c>
      <c r="AH268" s="127">
        <v>2858</v>
      </c>
      <c r="AI268" s="127">
        <v>2858</v>
      </c>
      <c r="AJ268" s="135"/>
      <c r="AK268" s="128"/>
      <c r="AL268" s="131"/>
      <c r="AM268" s="124" t="s">
        <v>985</v>
      </c>
      <c r="AN268" s="136" t="s">
        <v>1197</v>
      </c>
      <c r="AO268" s="137">
        <v>5.2</v>
      </c>
      <c r="AP268" s="128">
        <v>2379.08</v>
      </c>
      <c r="AQ268" s="128">
        <v>436.8</v>
      </c>
      <c r="AR268" s="128"/>
      <c r="AS268" s="128"/>
      <c r="AT268" s="122"/>
      <c r="AU268" s="124" t="s">
        <v>189</v>
      </c>
      <c r="AV268" s="115">
        <f>VLOOKUP(J268,'[63]ТР нефть'!$J$28:$BP$638,39,0)</f>
        <v>543.00000937499999</v>
      </c>
      <c r="AW268" s="115" t="str">
        <f>VLOOKUP(J268,'[63]ТР нефть'!$J$28:$BP$638,40,0)</f>
        <v>ГП</v>
      </c>
      <c r="AX268" s="115">
        <f>VLOOKUP(J268,'[63]ТР нефть'!$J$28:$BP$638,41,0)</f>
        <v>1079.000036719</v>
      </c>
      <c r="AY268" s="115" t="str">
        <f>VLOOKUP(J268,'[63]ТР нефть'!$J$28:$BP$638,42,0)</f>
        <v>ГП</v>
      </c>
      <c r="AZ268" s="115">
        <f>VLOOKUP(J268,'[63]ТР нефть'!$J$28:$BP$638,43,0)</f>
        <v>1572.000046875</v>
      </c>
      <c r="BA268" s="115" t="str">
        <f>VLOOKUP(J268,'[63]ТР нефть'!$J$28:$BP$638,44,0)</f>
        <v>ГК80 1/8</v>
      </c>
      <c r="BB268" s="115">
        <f>VLOOKUP(J268,'[63]ТР нефть'!$J$28:$BP$638,45,0)</f>
        <v>1816.000037109</v>
      </c>
      <c r="BC268" s="115" t="str">
        <f>VLOOKUP(J268,'[63]ТР нефть'!$J$28:$BP$638,46,0)</f>
        <v>ЦКсОК 5/16</v>
      </c>
      <c r="BD268" s="115" t="str">
        <f>VLOOKUP(J268,'[63]ТР нефть'!$J$28:$BP$638,47,0)</f>
        <v>-</v>
      </c>
      <c r="BE268" s="115" t="str">
        <f>VLOOKUP(J268,'[63]ТР нефть'!$J$28:$BP$638,48,0)</f>
        <v>-</v>
      </c>
      <c r="BF268" s="115" t="str">
        <f>VLOOKUP(J268,'[63]ТР нефть'!$J$28:$BP$638,49,0)</f>
        <v>-</v>
      </c>
      <c r="BG268" s="115" t="str">
        <f>VLOOKUP(J268,'[63]ТР нефть'!$J$28:$BP$638,50,0)</f>
        <v>-</v>
      </c>
      <c r="BH268" s="115" t="str">
        <f>VLOOKUP(J268,'[63]ТР нефть'!$J$28:$BP$638,51,0)</f>
        <v>-</v>
      </c>
      <c r="BI268" s="115" t="str">
        <f>VLOOKUP(J268,'[63]ТР нефть'!$J$28:$BP$638,52,0)</f>
        <v>-</v>
      </c>
      <c r="BJ268" s="115" t="str">
        <f>IF(IFERROR(VLOOKUP(J268,'[63]ТР нефть'!$J$28:$BP$638,53,0),"-")=0,"-",IFERROR(VLOOKUP(J268,'[63]ТР нефть'!$J$28:$BP$638,53,0),"-"))</f>
        <v>-</v>
      </c>
      <c r="BK268" s="138" t="str">
        <f>IF(IFERROR(VLOOKUP(J268,'[63]ТР нефть'!$J$28:$BP$638,54,0),"-")=0,"-",IFERROR(VLOOKUP(J268,'[63]ТР нефть'!$J$28:$BP$638,54,0),"-"))</f>
        <v>-</v>
      </c>
      <c r="BL268" s="138" t="str">
        <f>IF(IFERROR(VLOOKUP(J268,'[63]ТР нефть'!$J$28:$BP$638,55,0),"-")=0,"-",IFERROR(VLOOKUP(J268,'[63]ТР нефть'!$J$28:$BP$638,55,0),"-"))</f>
        <v>-</v>
      </c>
      <c r="BM268" s="138" t="str">
        <f>IF(IFERROR(VLOOKUP(J268,'[63]ТР нефть'!$J$28:$BP$638,56,0),"-")=0,"-",IFERROR(VLOOKUP(J268,'[63]ТР нефть'!$J$28:$BP$638,56,0),"-"))</f>
        <v>-</v>
      </c>
      <c r="BN268" s="138" t="str">
        <f>IF(IFERROR(VLOOKUP(J268,'[63]ТР нефть'!$J$28:$BP$638,57,0),"-")=0,"-",IFERROR(VLOOKUP(J268,'[63]ТР нефть'!$J$28:$BP$638,57,0),"-"))</f>
        <v>-</v>
      </c>
      <c r="BO268" s="115" t="str">
        <f>IF(IFERROR(VLOOKUP(J268,'[63]ТР нефть'!$J$28:$BP$638,58,0),"-")=0,"-",IFERROR(VLOOKUP(J268,'[63]ТР нефть'!$J$28:$BP$638,58,0),"-"))</f>
        <v>-</v>
      </c>
      <c r="BP268" s="115" t="str">
        <f>IF(IFERROR(VLOOKUP(J268,'[63]ТР нефть'!$J$28:$BP$638,59,0),"-")=0,"-",IFERROR(VLOOKUP(J268,'[63]ТР нефть'!$J$28:$BP$638,59,0),"-"))</f>
        <v>-</v>
      </c>
      <c r="BQ268" s="138">
        <v>2205</v>
      </c>
      <c r="BR268" s="128">
        <v>1834</v>
      </c>
      <c r="BS268" s="115">
        <f t="shared" si="164"/>
        <v>371</v>
      </c>
      <c r="BT268" s="128">
        <v>73</v>
      </c>
      <c r="BU268" s="128">
        <v>5.5</v>
      </c>
      <c r="BV268" s="127">
        <v>18</v>
      </c>
      <c r="BW268" s="127" t="s">
        <v>217</v>
      </c>
      <c r="BX268" s="127" t="s">
        <v>195</v>
      </c>
      <c r="BY268" s="139">
        <v>24</v>
      </c>
      <c r="BZ268" s="139">
        <v>0</v>
      </c>
      <c r="CA268" s="80">
        <v>24</v>
      </c>
      <c r="CB268" s="138">
        <v>55</v>
      </c>
      <c r="CC268" s="138">
        <v>21</v>
      </c>
      <c r="CD268" s="135">
        <v>45017</v>
      </c>
      <c r="CE268" s="138">
        <v>107</v>
      </c>
      <c r="CF268" s="138">
        <v>77</v>
      </c>
      <c r="CG268" s="138" t="str">
        <f t="shared" si="210"/>
        <v>В работе</v>
      </c>
      <c r="CH268" s="138" t="s">
        <v>196</v>
      </c>
      <c r="CI268" s="127">
        <v>5</v>
      </c>
      <c r="CJ268" s="138"/>
      <c r="CK268" s="138">
        <f t="shared" si="207"/>
        <v>46</v>
      </c>
      <c r="CL268" s="99"/>
      <c r="CM268" s="99"/>
      <c r="CN268" s="140">
        <v>70</v>
      </c>
      <c r="CO268" s="141">
        <f t="shared" si="165"/>
        <v>8.1191484000000003</v>
      </c>
      <c r="CP268" s="142">
        <v>9.9</v>
      </c>
      <c r="CQ268" s="143">
        <v>1.9</v>
      </c>
      <c r="CR268" s="138">
        <v>29</v>
      </c>
      <c r="CS268" s="139">
        <v>16</v>
      </c>
      <c r="CT268" s="138"/>
      <c r="CU268" s="138">
        <f t="shared" si="188"/>
        <v>13</v>
      </c>
      <c r="CV268" s="115">
        <f t="shared" si="189"/>
        <v>1601.1531455688134</v>
      </c>
      <c r="CW268" s="115">
        <f t="shared" si="166"/>
        <v>1919.1628918531796</v>
      </c>
      <c r="CX268" s="133">
        <f t="shared" si="190"/>
        <v>0.26756756756756755</v>
      </c>
      <c r="CY268" s="116"/>
      <c r="CZ268" s="131"/>
      <c r="DA268" s="145" t="str">
        <f t="shared" si="167"/>
        <v>Газлифт</v>
      </c>
      <c r="DB268" s="146">
        <f t="shared" si="168"/>
        <v>8.1191484000000003</v>
      </c>
      <c r="DC268" s="142">
        <f t="shared" si="203"/>
        <v>9.9</v>
      </c>
      <c r="DD268" s="119">
        <f t="shared" si="204"/>
        <v>1.9</v>
      </c>
      <c r="DE268" s="115">
        <f t="shared" si="169"/>
        <v>13</v>
      </c>
      <c r="DF268" s="121">
        <f t="shared" si="170"/>
        <v>16</v>
      </c>
      <c r="DG268" s="115">
        <f t="shared" si="171"/>
        <v>1601.1531455688134</v>
      </c>
      <c r="DH268" s="115">
        <f t="shared" si="172"/>
        <v>70</v>
      </c>
      <c r="DI268" s="147"/>
      <c r="DJ268" s="111">
        <v>43506</v>
      </c>
      <c r="DK268" s="112">
        <v>44094</v>
      </c>
      <c r="DL268" s="113">
        <f t="shared" ca="1" si="192"/>
        <v>1010</v>
      </c>
      <c r="DM268" s="114"/>
      <c r="DN268" s="114"/>
      <c r="DO268" s="114"/>
      <c r="DP268" s="114"/>
      <c r="DQ268" s="112">
        <v>41840</v>
      </c>
      <c r="DR268" s="114" t="s">
        <v>324</v>
      </c>
      <c r="DS268" s="114"/>
      <c r="DT268" s="115">
        <v>60</v>
      </c>
      <c r="DU268" s="116">
        <f t="shared" si="193"/>
        <v>0.2544354170121042</v>
      </c>
      <c r="DV268" s="117">
        <f t="shared" si="194"/>
        <v>9.8073281535400447</v>
      </c>
      <c r="DW268" s="118">
        <f t="shared" si="195"/>
        <v>11.958464599568897</v>
      </c>
      <c r="DX268" s="119">
        <f t="shared" si="173"/>
        <v>1.9</v>
      </c>
      <c r="DY268" s="115">
        <f t="shared" si="196"/>
        <v>15.703034322666227</v>
      </c>
      <c r="DZ268" s="117">
        <f t="shared" si="197"/>
        <v>1.6881797535400445</v>
      </c>
      <c r="EA268" s="120">
        <f t="shared" si="197"/>
        <v>2.0584645995688966</v>
      </c>
      <c r="EB268" s="119">
        <f t="shared" si="197"/>
        <v>0</v>
      </c>
      <c r="EC268" s="121">
        <f t="shared" si="198"/>
        <v>2.7030343226662268</v>
      </c>
      <c r="ED268" s="122"/>
      <c r="EE268" s="145">
        <v>18</v>
      </c>
      <c r="EF268" s="148">
        <v>25</v>
      </c>
      <c r="EG268" s="115">
        <v>40</v>
      </c>
      <c r="EH268" s="115">
        <v>24</v>
      </c>
      <c r="EI268" s="128" t="s">
        <v>195</v>
      </c>
      <c r="EJ268" s="121">
        <v>24</v>
      </c>
      <c r="EK268" s="121">
        <v>0</v>
      </c>
      <c r="EL268" s="149">
        <v>3.4476639999999996</v>
      </c>
      <c r="EM268" s="142">
        <v>4.1239999999999997</v>
      </c>
      <c r="EN268" s="119">
        <v>0</v>
      </c>
      <c r="EO268" s="115">
        <v>14</v>
      </c>
      <c r="EP268" s="115">
        <v>1276.2264536219309</v>
      </c>
      <c r="EQ268" s="115">
        <v>77</v>
      </c>
      <c r="ER268" s="115">
        <v>9.6</v>
      </c>
      <c r="ES268" s="115">
        <v>57</v>
      </c>
      <c r="ET268" s="150">
        <v>8.2479999999999998E-2</v>
      </c>
      <c r="EU268" s="145">
        <f t="shared" si="174"/>
        <v>18</v>
      </c>
      <c r="EV268" s="115">
        <f t="shared" si="175"/>
        <v>24</v>
      </c>
      <c r="EW268" s="115">
        <f t="shared" si="175"/>
        <v>55</v>
      </c>
      <c r="EX268" s="115">
        <f t="shared" si="175"/>
        <v>21</v>
      </c>
      <c r="EY268" s="115" t="str">
        <f t="shared" si="206"/>
        <v>Постоянный</v>
      </c>
      <c r="EZ268" s="115">
        <f t="shared" si="206"/>
        <v>24</v>
      </c>
      <c r="FA268" s="115">
        <f t="shared" si="206"/>
        <v>0</v>
      </c>
      <c r="FB268" s="149">
        <f t="shared" si="209"/>
        <v>8.1191484000000003</v>
      </c>
      <c r="FC268" s="142">
        <f t="shared" si="209"/>
        <v>9.9</v>
      </c>
      <c r="FD268" s="119">
        <f t="shared" si="209"/>
        <v>1.9</v>
      </c>
      <c r="FE268" s="121">
        <f t="shared" si="208"/>
        <v>29</v>
      </c>
      <c r="FF268" s="121">
        <f t="shared" si="199"/>
        <v>1601.1531455688134</v>
      </c>
      <c r="FG268" s="121">
        <f t="shared" si="177"/>
        <v>77</v>
      </c>
      <c r="FH268" s="121">
        <f t="shared" si="200"/>
        <v>16</v>
      </c>
      <c r="FI268" s="121">
        <f t="shared" si="205"/>
        <v>70</v>
      </c>
      <c r="FJ268" s="144">
        <f t="shared" si="178"/>
        <v>0.26756756756756755</v>
      </c>
      <c r="FK268" s="132">
        <f t="shared" si="179"/>
        <v>0</v>
      </c>
      <c r="FL268" s="115">
        <f t="shared" si="179"/>
        <v>-1</v>
      </c>
      <c r="FM268" s="115">
        <f t="shared" si="179"/>
        <v>15</v>
      </c>
      <c r="FN268" s="115">
        <f t="shared" si="162"/>
        <v>-3</v>
      </c>
      <c r="FO268" s="115">
        <f t="shared" si="201"/>
        <v>0</v>
      </c>
      <c r="FP268" s="115">
        <f t="shared" si="201"/>
        <v>0</v>
      </c>
      <c r="FQ268" s="149">
        <f t="shared" si="201"/>
        <v>4.6714844000000006</v>
      </c>
      <c r="FR268" s="142">
        <f t="shared" si="201"/>
        <v>5.7760000000000007</v>
      </c>
      <c r="FS268" s="119">
        <f t="shared" si="201"/>
        <v>1.9</v>
      </c>
      <c r="FT268" s="121">
        <f t="shared" si="201"/>
        <v>15</v>
      </c>
      <c r="FU268" s="121">
        <f t="shared" si="180"/>
        <v>0</v>
      </c>
      <c r="FV268" s="121">
        <f t="shared" si="180"/>
        <v>6.4</v>
      </c>
      <c r="FW268" s="121">
        <f t="shared" si="181"/>
        <v>324.92669194688256</v>
      </c>
      <c r="FX268" s="121">
        <f t="shared" si="182"/>
        <v>13</v>
      </c>
      <c r="FY268" s="144">
        <f t="shared" si="182"/>
        <v>0.18508756756756756</v>
      </c>
      <c r="FZ268" s="145" t="s">
        <v>25</v>
      </c>
      <c r="GA268" s="1033" t="s">
        <v>1198</v>
      </c>
      <c r="GB268" s="145"/>
      <c r="GC268" s="1033"/>
      <c r="GD268" s="997" t="s">
        <v>220</v>
      </c>
      <c r="GE268" s="1004"/>
      <c r="GF268" s="1004">
        <v>0</v>
      </c>
      <c r="GG268" s="1004"/>
      <c r="GH268" s="1004">
        <v>0</v>
      </c>
      <c r="GI268" s="145" t="s">
        <v>223</v>
      </c>
      <c r="GJ268" s="996">
        <v>-1.0882630000000004</v>
      </c>
      <c r="GK268" s="145"/>
      <c r="GL268" s="996">
        <v>0</v>
      </c>
      <c r="GM268" s="1005"/>
      <c r="GN268" s="996">
        <v>0</v>
      </c>
      <c r="GO268" s="1006"/>
      <c r="GP268" s="996">
        <v>-1.6092999999999691E-2</v>
      </c>
      <c r="GQ268" s="1006"/>
      <c r="GR268" s="996">
        <v>0</v>
      </c>
      <c r="GS268" s="1006"/>
      <c r="GT268" s="996">
        <v>0</v>
      </c>
      <c r="GU268" s="1006"/>
      <c r="GV268" s="996">
        <v>0</v>
      </c>
      <c r="GW268" s="1006" t="s">
        <v>199</v>
      </c>
      <c r="GX268" s="1036">
        <v>-1.0032000000000001</v>
      </c>
      <c r="GY268" s="1006"/>
      <c r="GZ268" s="996">
        <v>0</v>
      </c>
      <c r="HA268" s="1006"/>
      <c r="HB268" s="996">
        <v>0.70223999999999975</v>
      </c>
      <c r="HC268" s="1006"/>
      <c r="HD268" s="996">
        <v>0</v>
      </c>
      <c r="HE268" s="1006"/>
      <c r="HF268" s="996">
        <v>0</v>
      </c>
      <c r="HG268" s="1006"/>
      <c r="HH268" s="996">
        <v>-0.92670600000000025</v>
      </c>
      <c r="HI268" s="1006"/>
      <c r="HJ268" s="996">
        <v>0</v>
      </c>
      <c r="HK268" s="1006"/>
      <c r="HL268" s="996">
        <v>0</v>
      </c>
      <c r="HM268" s="1006"/>
      <c r="HN268" s="996">
        <v>0</v>
      </c>
      <c r="HO268" s="1006"/>
      <c r="HP268" s="996">
        <v>0</v>
      </c>
      <c r="HQ268" s="1006" t="s">
        <v>199</v>
      </c>
      <c r="HR268" s="996">
        <v>2.508</v>
      </c>
      <c r="HS268" s="1006"/>
      <c r="HT268" s="996">
        <v>0</v>
      </c>
      <c r="HU268" s="1006"/>
      <c r="HV268" s="996">
        <v>0</v>
      </c>
      <c r="HW268" s="1006"/>
      <c r="HX268" s="996">
        <v>0</v>
      </c>
      <c r="HY268" s="1006"/>
      <c r="HZ268" s="996">
        <v>0</v>
      </c>
      <c r="IA268" s="1006" t="s">
        <v>199</v>
      </c>
      <c r="IB268" s="996">
        <v>-2.8424000000000005</v>
      </c>
      <c r="IC268" s="1006"/>
      <c r="ID268" s="996">
        <v>0</v>
      </c>
      <c r="IE268" s="1006"/>
      <c r="IF268" s="996">
        <v>0</v>
      </c>
      <c r="IG268" s="1006"/>
      <c r="IH268" s="996">
        <v>0</v>
      </c>
      <c r="II268" s="1006"/>
      <c r="IJ268" s="996">
        <v>-0.65207999999999888</v>
      </c>
      <c r="IK268" s="1006"/>
      <c r="IL268" s="996">
        <v>0</v>
      </c>
      <c r="IM268" s="1006" t="s">
        <v>199</v>
      </c>
      <c r="IN268" s="996">
        <v>-6.2312096000000006</v>
      </c>
      <c r="IO268" s="1006" t="s">
        <v>203</v>
      </c>
      <c r="IP268" s="996">
        <v>-2.4619782668799992</v>
      </c>
      <c r="IQ268" s="1006" t="s">
        <v>25</v>
      </c>
      <c r="IR268" s="996">
        <v>14.7</v>
      </c>
      <c r="IS268" s="1006"/>
      <c r="IT268" s="996">
        <v>0</v>
      </c>
      <c r="IU268" s="1006"/>
      <c r="IV268" s="996">
        <v>0</v>
      </c>
      <c r="IW268" s="1006"/>
      <c r="IX268" s="996">
        <v>0</v>
      </c>
      <c r="IY268" s="1006" t="s">
        <v>204</v>
      </c>
      <c r="IZ268" s="996">
        <v>3.1768000000000001</v>
      </c>
      <c r="JA268" s="1006"/>
      <c r="JB268" s="996">
        <v>0</v>
      </c>
      <c r="JC268" s="1006"/>
      <c r="JD268" s="996">
        <v>0</v>
      </c>
      <c r="JE268" s="1006"/>
      <c r="JF268" s="996">
        <v>0</v>
      </c>
      <c r="JG268" s="1006"/>
      <c r="JH268" s="996">
        <v>0</v>
      </c>
      <c r="JI268" s="1006"/>
      <c r="JJ268" s="996">
        <v>0</v>
      </c>
      <c r="JK268" s="1007"/>
      <c r="JL268" s="1007">
        <v>0</v>
      </c>
      <c r="JM268" s="1007" t="s">
        <v>199</v>
      </c>
      <c r="JN268" s="1007">
        <v>-1.4211999999999996</v>
      </c>
      <c r="JO268" s="1008"/>
      <c r="JP268" s="1007">
        <v>0</v>
      </c>
      <c r="JQ268" s="1008">
        <v>0</v>
      </c>
      <c r="JR268" s="1007">
        <v>0</v>
      </c>
      <c r="JS268" s="1008">
        <v>0</v>
      </c>
      <c r="JT268" s="1007">
        <v>0</v>
      </c>
      <c r="JU268" s="1008"/>
      <c r="JV268" s="1007">
        <v>0</v>
      </c>
      <c r="JW268" s="1008" t="s">
        <v>197</v>
      </c>
      <c r="JX268" s="1007">
        <v>1.2957999999999998</v>
      </c>
      <c r="JY268" s="1008"/>
      <c r="JZ268" s="1007">
        <v>0</v>
      </c>
      <c r="KA268" s="1008"/>
      <c r="KB268" s="1007">
        <v>0</v>
      </c>
      <c r="KC268" s="1008"/>
      <c r="KD268" s="1007">
        <v>0</v>
      </c>
      <c r="KE268" s="1008"/>
      <c r="KF268" s="1007">
        <v>0</v>
      </c>
      <c r="KG268" s="1008"/>
      <c r="KH268" s="1007">
        <v>0</v>
      </c>
      <c r="KI268" s="1008" t="s">
        <v>206</v>
      </c>
      <c r="KJ268" s="1007">
        <v>0.45979999999999999</v>
      </c>
      <c r="KK268" s="1008"/>
      <c r="KL268" s="1007">
        <v>0</v>
      </c>
      <c r="KM268" s="1008"/>
      <c r="KN268" s="1007">
        <v>0</v>
      </c>
      <c r="KO268" s="1008" t="s">
        <v>206</v>
      </c>
      <c r="KP268" s="1007">
        <v>0.20899999999999985</v>
      </c>
      <c r="KQ268" s="1008">
        <v>0</v>
      </c>
      <c r="KR268" s="1007">
        <v>0</v>
      </c>
      <c r="KS268" s="1008">
        <v>0</v>
      </c>
      <c r="KT268" s="1007">
        <v>0</v>
      </c>
      <c r="KU268" s="1008" t="s">
        <v>260</v>
      </c>
      <c r="KV268" s="1007">
        <v>1.2958000000000001</v>
      </c>
      <c r="KW268" s="1008">
        <v>0</v>
      </c>
      <c r="KX268" s="1007">
        <v>0</v>
      </c>
      <c r="KY268" s="1008">
        <v>0</v>
      </c>
      <c r="KZ268" s="1007">
        <v>0</v>
      </c>
      <c r="LA268" s="1008">
        <v>0</v>
      </c>
      <c r="LB268" s="1007">
        <v>0</v>
      </c>
      <c r="LC268" s="1008">
        <v>0</v>
      </c>
      <c r="LD268" s="1007">
        <v>0</v>
      </c>
      <c r="LE268" s="1008">
        <v>0</v>
      </c>
      <c r="LF268" s="1007">
        <v>0</v>
      </c>
      <c r="LG268" s="1008">
        <v>0</v>
      </c>
      <c r="LH268" s="1007">
        <v>-0.82931200000000005</v>
      </c>
      <c r="LI268" s="1008">
        <v>0</v>
      </c>
      <c r="LJ268" s="1007">
        <v>0</v>
      </c>
      <c r="LK268" s="1008">
        <v>0</v>
      </c>
      <c r="LL268" s="1007">
        <v>0</v>
      </c>
      <c r="LM268" s="1008">
        <v>0</v>
      </c>
      <c r="LN268" s="1007">
        <v>0</v>
      </c>
      <c r="LO268" s="1008" t="s">
        <v>223</v>
      </c>
      <c r="LP268" s="1007">
        <v>-0.41465600000000002</v>
      </c>
      <c r="LQ268" s="1008">
        <v>0</v>
      </c>
      <c r="LR268" s="1007">
        <v>0</v>
      </c>
      <c r="LS268" s="1008">
        <v>0</v>
      </c>
      <c r="LT268" s="1007">
        <v>0</v>
      </c>
      <c r="LU268" s="1008">
        <v>0</v>
      </c>
      <c r="LV268" s="1007">
        <v>-0.41465600000000002</v>
      </c>
      <c r="LW268" s="1008">
        <v>0</v>
      </c>
      <c r="LX268" s="1007">
        <v>0</v>
      </c>
      <c r="LY268" s="1009">
        <v>0</v>
      </c>
      <c r="LZ268" s="1010">
        <v>0</v>
      </c>
      <c r="MA268" s="1011">
        <v>0</v>
      </c>
      <c r="MB268" s="1012">
        <v>0</v>
      </c>
      <c r="MC268" s="995"/>
      <c r="MD268" s="996"/>
      <c r="ME268" s="997" t="s">
        <v>220</v>
      </c>
      <c r="MF268" s="997"/>
      <c r="MG268" s="998"/>
      <c r="NR268" s="1000"/>
      <c r="NS268" s="1000"/>
      <c r="NT268" s="1001"/>
      <c r="NU268" s="1000"/>
      <c r="NV268" s="1001"/>
      <c r="NX268" s="1002"/>
      <c r="NZ268" s="1001"/>
      <c r="OA268" s="1001"/>
      <c r="OC268" s="1003"/>
      <c r="OD268" s="1003"/>
      <c r="OE268" s="1001"/>
      <c r="OF268" s="1003"/>
      <c r="OG268" s="1003"/>
      <c r="QX268" s="1000">
        <f>CN268-CA268</f>
        <v>46</v>
      </c>
      <c r="ASU268" s="999" t="s">
        <v>225</v>
      </c>
    </row>
    <row r="269" spans="1:466 1191:1191" ht="21" customHeight="1" x14ac:dyDescent="0.25">
      <c r="A269" s="982" t="str">
        <f t="shared" si="163"/>
        <v>1210-1</v>
      </c>
      <c r="B269" s="124">
        <f>SUBTOTAL(103,$J$29:J269)</f>
        <v>241</v>
      </c>
      <c r="C269" s="126">
        <v>45068</v>
      </c>
      <c r="D269" s="124" t="s">
        <v>176</v>
      </c>
      <c r="E269" s="127" t="s">
        <v>177</v>
      </c>
      <c r="F269" s="128" t="s">
        <v>177</v>
      </c>
      <c r="G269" s="127" t="s">
        <v>178</v>
      </c>
      <c r="H269" s="127" t="s">
        <v>179</v>
      </c>
      <c r="I269" s="127" t="s">
        <v>921</v>
      </c>
      <c r="J269" s="152" t="s">
        <v>1199</v>
      </c>
      <c r="K269" s="127" t="s">
        <v>1200</v>
      </c>
      <c r="L269" s="130">
        <v>41952</v>
      </c>
      <c r="M269" s="127" t="s">
        <v>230</v>
      </c>
      <c r="N269" s="127" t="s">
        <v>184</v>
      </c>
      <c r="O269" s="127" t="s">
        <v>185</v>
      </c>
      <c r="P269" s="127" t="s">
        <v>186</v>
      </c>
      <c r="Q269" s="85" t="str">
        <f t="shared" si="187"/>
        <v/>
      </c>
      <c r="R269" s="130"/>
      <c r="S269" s="128"/>
      <c r="T269" s="131"/>
      <c r="U269" s="132">
        <v>203</v>
      </c>
      <c r="V269" s="121">
        <v>218.2</v>
      </c>
      <c r="W269" s="116">
        <v>0.98</v>
      </c>
      <c r="X269" s="116">
        <v>1.66</v>
      </c>
      <c r="Y269" s="116">
        <f t="shared" si="191"/>
        <v>0.99342924839395197</v>
      </c>
      <c r="Z269" s="133">
        <v>1.454</v>
      </c>
      <c r="AA269" s="133">
        <v>0.83599999999999997</v>
      </c>
      <c r="AB269" s="133">
        <v>0.72</v>
      </c>
      <c r="AC269" s="121">
        <v>34.299999999999997</v>
      </c>
      <c r="AD269" s="134">
        <v>1.17</v>
      </c>
      <c r="AE269" s="124">
        <v>177.8</v>
      </c>
      <c r="AF269" s="128">
        <v>9.19</v>
      </c>
      <c r="AG269" s="128">
        <v>2368</v>
      </c>
      <c r="AH269" s="127">
        <v>3140</v>
      </c>
      <c r="AI269" s="127">
        <v>3140</v>
      </c>
      <c r="AJ269" s="135"/>
      <c r="AK269" s="128"/>
      <c r="AL269" s="131"/>
      <c r="AM269" s="124" t="s">
        <v>985</v>
      </c>
      <c r="AN269" s="136" t="s">
        <v>1201</v>
      </c>
      <c r="AO269" s="137">
        <v>87.46</v>
      </c>
      <c r="AP269" s="128">
        <v>2417.77</v>
      </c>
      <c r="AQ269" s="128">
        <v>297</v>
      </c>
      <c r="AR269" s="128" t="s">
        <v>1202</v>
      </c>
      <c r="AS269" s="128">
        <v>114</v>
      </c>
      <c r="AT269" s="122">
        <v>7.37</v>
      </c>
      <c r="AU269" s="124" t="s">
        <v>189</v>
      </c>
      <c r="AV269" s="115">
        <f>VLOOKUP(J269,'[63]ТР нефть'!$J$28:$BP$638,39,0)</f>
        <v>479.99998505899998</v>
      </c>
      <c r="AW269" s="115" t="str">
        <f>VLOOKUP(J269,'[63]ТР нефть'!$J$28:$BP$638,40,0)</f>
        <v>ГП</v>
      </c>
      <c r="AX269" s="115">
        <f>VLOOKUP(J269,'[63]ТР нефть'!$J$28:$BP$638,41,0)</f>
        <v>880.00001601600002</v>
      </c>
      <c r="AY269" s="115" t="str">
        <f>VLOOKUP(J269,'[63]ТР нефть'!$J$28:$BP$638,42,0)</f>
        <v>ГП</v>
      </c>
      <c r="AZ269" s="115">
        <f>VLOOKUP(J269,'[63]ТР нефть'!$J$28:$BP$638,43,0)</f>
        <v>1199.99998125</v>
      </c>
      <c r="BA269" s="115" t="str">
        <f>VLOOKUP(J269,'[63]ТР нефть'!$J$28:$BP$638,44,0)</f>
        <v>ГП</v>
      </c>
      <c r="BB269" s="115">
        <f>VLOOKUP(J269,'[63]ТР нефть'!$J$28:$BP$638,45,0)</f>
        <v>1449.9999773439999</v>
      </c>
      <c r="BC269" s="115" t="str">
        <f>VLOOKUP(J269,'[63]ТР нефть'!$J$28:$BP$638,46,0)</f>
        <v>ГК 83 1/8</v>
      </c>
      <c r="BD269" s="115">
        <f>VLOOKUP(J269,'[63]ТР нефть'!$J$28:$BP$638,47,0)</f>
        <v>1660.0000335939999</v>
      </c>
      <c r="BE269" s="115" t="str">
        <f>VLOOKUP(J269,'[63]ТР нефть'!$J$28:$BP$638,48,0)</f>
        <v>ГК 82 1/8</v>
      </c>
      <c r="BF269" s="115">
        <f>VLOOKUP(J269,'[63]ТР нефть'!$J$28:$BP$638,49,0)</f>
        <v>1800</v>
      </c>
      <c r="BG269" s="115" t="str">
        <f>VLOOKUP(J269,'[63]ТР нефть'!$J$28:$BP$638,50,0)</f>
        <v>ЦКсОК 5/16</v>
      </c>
      <c r="BH269" s="115">
        <f>VLOOKUP(J269,'[63]ТР нефть'!$J$28:$BP$638,51,0)</f>
        <v>1835</v>
      </c>
      <c r="BI269" s="115" t="str">
        <f>VLOOKUP(J269,'[63]ТР нефть'!$J$28:$BP$638,52,0)</f>
        <v>закрыт</v>
      </c>
      <c r="BJ269" s="115" t="str">
        <f>IF(IFERROR(VLOOKUP(J269,'[63]ТР нефть'!$J$28:$BP$638,53,0),"-")=0,"-",IFERROR(VLOOKUP(J269,'[63]ТР нефть'!$J$28:$BP$638,53,0),"-"))</f>
        <v>-</v>
      </c>
      <c r="BK269" s="138" t="str">
        <f>IF(IFERROR(VLOOKUP(J269,'[63]ТР нефть'!$J$28:$BP$638,54,0),"-")=0,"-",IFERROR(VLOOKUP(J269,'[63]ТР нефть'!$J$28:$BP$638,54,0),"-"))</f>
        <v>-</v>
      </c>
      <c r="BL269" s="138" t="str">
        <f>IF(IFERROR(VLOOKUP(J269,'[63]ТР нефть'!$J$28:$BP$638,55,0),"-")=0,"-",IFERROR(VLOOKUP(J269,'[63]ТР нефть'!$J$28:$BP$638,55,0),"-"))</f>
        <v>-</v>
      </c>
      <c r="BM269" s="138" t="str">
        <f>IF(IFERROR(VLOOKUP(J269,'[63]ТР нефть'!$J$28:$BP$638,56,0),"-")=0,"-",IFERROR(VLOOKUP(J269,'[63]ТР нефть'!$J$28:$BP$638,56,0),"-"))</f>
        <v>-</v>
      </c>
      <c r="BN269" s="138" t="str">
        <f>IF(IFERROR(VLOOKUP(J269,'[63]ТР нефть'!$J$28:$BP$638,57,0),"-")=0,"-",IFERROR(VLOOKUP(J269,'[63]ТР нефть'!$J$28:$BP$638,57,0),"-"))</f>
        <v>-</v>
      </c>
      <c r="BO269" s="115" t="str">
        <f>IF(IFERROR(VLOOKUP(J269,'[63]ТР нефть'!$J$28:$BP$638,58,0),"-")=0,"-",IFERROR(VLOOKUP(J269,'[63]ТР нефть'!$J$28:$BP$638,58,0),"-"))</f>
        <v>-</v>
      </c>
      <c r="BP269" s="115" t="str">
        <f>IF(IFERROR(VLOOKUP(J269,'[63]ТР нефть'!$J$28:$BP$638,59,0),"-")=0,"-",IFERROR(VLOOKUP(J269,'[63]ТР нефть'!$J$28:$BP$638,59,0),"-"))</f>
        <v>-</v>
      </c>
      <c r="BQ269" s="138">
        <v>1870</v>
      </c>
      <c r="BR269" s="128">
        <v>1668.34</v>
      </c>
      <c r="BS269" s="115">
        <f t="shared" si="164"/>
        <v>201.66000000000008</v>
      </c>
      <c r="BT269" s="128">
        <v>73</v>
      </c>
      <c r="BU269" s="128">
        <v>5.5</v>
      </c>
      <c r="BV269" s="127">
        <v>18</v>
      </c>
      <c r="BW269" s="127" t="s">
        <v>217</v>
      </c>
      <c r="BX269" s="127" t="s">
        <v>195</v>
      </c>
      <c r="BY269" s="139">
        <v>24</v>
      </c>
      <c r="BZ269" s="139">
        <v>0</v>
      </c>
      <c r="CA269" s="138">
        <v>27</v>
      </c>
      <c r="CB269" s="138">
        <v>39</v>
      </c>
      <c r="CC269" s="138">
        <v>26</v>
      </c>
      <c r="CD269" s="135">
        <v>45017</v>
      </c>
      <c r="CE269" s="138">
        <v>89</v>
      </c>
      <c r="CF269" s="138">
        <v>70</v>
      </c>
      <c r="CG269" s="138" t="str">
        <f t="shared" si="210"/>
        <v>В работе</v>
      </c>
      <c r="CH269" s="138" t="s">
        <v>196</v>
      </c>
      <c r="CI269" s="127">
        <v>5</v>
      </c>
      <c r="CJ269" s="138"/>
      <c r="CK269" s="138">
        <f t="shared" si="207"/>
        <v>23</v>
      </c>
      <c r="CL269" s="99"/>
      <c r="CM269" s="99"/>
      <c r="CN269" s="140">
        <v>50</v>
      </c>
      <c r="CO269" s="141">
        <f t="shared" si="165"/>
        <v>9.4584203999999978</v>
      </c>
      <c r="CP269" s="142">
        <v>11.7</v>
      </c>
      <c r="CQ269" s="143">
        <v>3.3</v>
      </c>
      <c r="CR269" s="138">
        <v>17.399999999999999</v>
      </c>
      <c r="CS269" s="139">
        <v>11</v>
      </c>
      <c r="CT269" s="138"/>
      <c r="CU269" s="138">
        <f t="shared" si="188"/>
        <v>6.3999999999999986</v>
      </c>
      <c r="CV269" s="115">
        <f t="shared" si="189"/>
        <v>676.64575366093891</v>
      </c>
      <c r="CW269" s="115">
        <f t="shared" si="166"/>
        <v>1110.4914568781733</v>
      </c>
      <c r="CX269" s="133">
        <f t="shared" si="190"/>
        <v>0.3</v>
      </c>
      <c r="CY269" s="116"/>
      <c r="CZ269" s="144"/>
      <c r="DA269" s="145" t="str">
        <f t="shared" si="167"/>
        <v>Газлифт</v>
      </c>
      <c r="DB269" s="146">
        <f t="shared" si="168"/>
        <v>9.4584203999999978</v>
      </c>
      <c r="DC269" s="142">
        <f t="shared" si="203"/>
        <v>11.7</v>
      </c>
      <c r="DD269" s="119">
        <f t="shared" si="204"/>
        <v>3.3</v>
      </c>
      <c r="DE269" s="115">
        <f t="shared" si="169"/>
        <v>6.3999999999999986</v>
      </c>
      <c r="DF269" s="121">
        <f t="shared" si="170"/>
        <v>11</v>
      </c>
      <c r="DG269" s="115">
        <f t="shared" si="171"/>
        <v>676.64575366093891</v>
      </c>
      <c r="DH269" s="115">
        <f t="shared" si="172"/>
        <v>50</v>
      </c>
      <c r="DI269" s="147"/>
      <c r="DJ269" s="111" t="s">
        <v>197</v>
      </c>
      <c r="DK269" s="112">
        <v>42628</v>
      </c>
      <c r="DL269" s="113">
        <f t="shared" ca="1" si="192"/>
        <v>2476</v>
      </c>
      <c r="DM269" s="114"/>
      <c r="DN269" s="114"/>
      <c r="DO269" s="114"/>
      <c r="DP269" s="114"/>
      <c r="DQ269" s="112">
        <v>43261</v>
      </c>
      <c r="DR269" s="114" t="s">
        <v>198</v>
      </c>
      <c r="DS269" s="114"/>
      <c r="DT269" s="115">
        <v>54</v>
      </c>
      <c r="DU269" s="116">
        <f t="shared" si="193"/>
        <v>0.33428571428571424</v>
      </c>
      <c r="DV269" s="117">
        <f t="shared" si="194"/>
        <v>9.4584203999999978</v>
      </c>
      <c r="DW269" s="118">
        <f t="shared" si="195"/>
        <v>11.7</v>
      </c>
      <c r="DX269" s="119">
        <f t="shared" si="173"/>
        <v>3.3</v>
      </c>
      <c r="DY269" s="115">
        <f t="shared" si="196"/>
        <v>6.3999999999999986</v>
      </c>
      <c r="DZ269" s="117">
        <f t="shared" si="197"/>
        <v>0</v>
      </c>
      <c r="EA269" s="120">
        <f t="shared" si="197"/>
        <v>0</v>
      </c>
      <c r="EB269" s="119">
        <f t="shared" si="197"/>
        <v>0</v>
      </c>
      <c r="EC269" s="121">
        <f t="shared" si="198"/>
        <v>0</v>
      </c>
      <c r="ED269" s="122"/>
      <c r="EE269" s="145">
        <v>18</v>
      </c>
      <c r="EF269" s="115">
        <v>26</v>
      </c>
      <c r="EG269" s="115">
        <v>40</v>
      </c>
      <c r="EH269" s="115">
        <v>25</v>
      </c>
      <c r="EI269" s="128" t="s">
        <v>195</v>
      </c>
      <c r="EJ269" s="121">
        <v>24</v>
      </c>
      <c r="EK269" s="121">
        <v>0</v>
      </c>
      <c r="EL269" s="149">
        <v>9.1959999999999997</v>
      </c>
      <c r="EM269" s="142">
        <v>11</v>
      </c>
      <c r="EN269" s="119">
        <v>0</v>
      </c>
      <c r="EO269" s="115">
        <v>16</v>
      </c>
      <c r="EP269" s="115">
        <v>996.08525445846021</v>
      </c>
      <c r="EQ269" s="115">
        <v>70</v>
      </c>
      <c r="ER269" s="115">
        <v>6.84</v>
      </c>
      <c r="ES269" s="115">
        <v>52</v>
      </c>
      <c r="ET269" s="150">
        <v>0.29729729729729731</v>
      </c>
      <c r="EU269" s="145">
        <f t="shared" si="174"/>
        <v>18</v>
      </c>
      <c r="EV269" s="115">
        <f t="shared" si="175"/>
        <v>27</v>
      </c>
      <c r="EW269" s="115">
        <f t="shared" si="175"/>
        <v>39</v>
      </c>
      <c r="EX269" s="115">
        <f t="shared" si="175"/>
        <v>26</v>
      </c>
      <c r="EY269" s="115" t="str">
        <f t="shared" si="206"/>
        <v>Постоянный</v>
      </c>
      <c r="EZ269" s="115">
        <f t="shared" si="206"/>
        <v>24</v>
      </c>
      <c r="FA269" s="115">
        <f t="shared" si="206"/>
        <v>0</v>
      </c>
      <c r="FB269" s="149">
        <f t="shared" si="209"/>
        <v>9.4584203999999978</v>
      </c>
      <c r="FC269" s="142">
        <f t="shared" si="209"/>
        <v>11.7</v>
      </c>
      <c r="FD269" s="119">
        <f t="shared" si="209"/>
        <v>3.3</v>
      </c>
      <c r="FE269" s="121">
        <f t="shared" si="208"/>
        <v>17.399999999999999</v>
      </c>
      <c r="FF269" s="121">
        <f t="shared" si="199"/>
        <v>676.64575366093891</v>
      </c>
      <c r="FG269" s="121">
        <f t="shared" si="177"/>
        <v>70</v>
      </c>
      <c r="FH269" s="121">
        <f t="shared" si="200"/>
        <v>11</v>
      </c>
      <c r="FI269" s="121">
        <f t="shared" si="205"/>
        <v>50</v>
      </c>
      <c r="FJ269" s="144">
        <f t="shared" si="178"/>
        <v>0.3</v>
      </c>
      <c r="FK269" s="132">
        <f t="shared" si="179"/>
        <v>0</v>
      </c>
      <c r="FL269" s="115">
        <f t="shared" si="179"/>
        <v>1</v>
      </c>
      <c r="FM269" s="115">
        <f t="shared" si="179"/>
        <v>-1</v>
      </c>
      <c r="FN269" s="115">
        <f t="shared" si="162"/>
        <v>1</v>
      </c>
      <c r="FO269" s="115">
        <f t="shared" si="201"/>
        <v>0</v>
      </c>
      <c r="FP269" s="115">
        <f t="shared" si="201"/>
        <v>0</v>
      </c>
      <c r="FQ269" s="149">
        <f t="shared" si="201"/>
        <v>0.26242039999999811</v>
      </c>
      <c r="FR269" s="142">
        <f t="shared" si="201"/>
        <v>0.69999999999999929</v>
      </c>
      <c r="FS269" s="119">
        <f t="shared" si="201"/>
        <v>3.3</v>
      </c>
      <c r="FT269" s="121">
        <f t="shared" si="201"/>
        <v>1.3999999999999986</v>
      </c>
      <c r="FU269" s="121">
        <f t="shared" si="180"/>
        <v>0</v>
      </c>
      <c r="FV269" s="121">
        <f t="shared" si="180"/>
        <v>4.16</v>
      </c>
      <c r="FW269" s="121">
        <f t="shared" si="181"/>
        <v>-319.4395007975213</v>
      </c>
      <c r="FX269" s="121">
        <f t="shared" si="182"/>
        <v>-2</v>
      </c>
      <c r="FY269" s="144">
        <f t="shared" si="182"/>
        <v>2.7027027027026751E-3</v>
      </c>
      <c r="FZ269" s="145"/>
      <c r="GA269" s="1033"/>
      <c r="GB269" s="145" t="s">
        <v>199</v>
      </c>
      <c r="GC269" s="1033" t="s">
        <v>415</v>
      </c>
      <c r="GD269" s="997" t="s">
        <v>220</v>
      </c>
      <c r="GE269" s="1004" t="s">
        <v>199</v>
      </c>
      <c r="GF269" s="1004">
        <v>-1.4211999999999989</v>
      </c>
      <c r="GG269" s="1004" t="s">
        <v>199</v>
      </c>
      <c r="GH269" s="1004">
        <v>3.0931999999999986</v>
      </c>
      <c r="GI269" s="145" t="s">
        <v>223</v>
      </c>
      <c r="GJ269" s="996">
        <v>-7.5931907040000004</v>
      </c>
      <c r="GK269" s="145"/>
      <c r="GL269" s="996">
        <v>-0.11866451519999899</v>
      </c>
      <c r="GM269" s="1005"/>
      <c r="GN269" s="996">
        <v>0</v>
      </c>
      <c r="GO269" s="1006"/>
      <c r="GP269" s="996">
        <v>0</v>
      </c>
      <c r="GQ269" s="1006"/>
      <c r="GR269" s="996">
        <v>0</v>
      </c>
      <c r="GS269" s="1006" t="s">
        <v>199</v>
      </c>
      <c r="GT269" s="996">
        <v>-7.2489917807999991</v>
      </c>
      <c r="GU269" s="1006"/>
      <c r="GV269" s="996">
        <v>0</v>
      </c>
      <c r="GW269" s="1006"/>
      <c r="GX269" s="1036">
        <v>0</v>
      </c>
      <c r="GY269" s="1006"/>
      <c r="GZ269" s="996">
        <v>0</v>
      </c>
      <c r="HA269" s="1006"/>
      <c r="HB269" s="996">
        <v>0</v>
      </c>
      <c r="HC269" s="1006" t="s">
        <v>199</v>
      </c>
      <c r="HD269" s="996">
        <v>-9.2831529999999987</v>
      </c>
      <c r="HE269" s="1006"/>
      <c r="HF269" s="996">
        <v>0</v>
      </c>
      <c r="HG269" s="1006" t="s">
        <v>1203</v>
      </c>
      <c r="HH269" s="996">
        <v>22.162861599999999</v>
      </c>
      <c r="HI269" s="1006"/>
      <c r="HJ269" s="996">
        <v>-0.42686160000000051</v>
      </c>
      <c r="HK269" s="1006"/>
      <c r="HL269" s="996">
        <v>0</v>
      </c>
      <c r="HM269" s="1006" t="s">
        <v>199</v>
      </c>
      <c r="HN269" s="996">
        <v>2.1924518000000006</v>
      </c>
      <c r="HO269" s="1006"/>
      <c r="HP269" s="996">
        <v>0</v>
      </c>
      <c r="HQ269" s="1006" t="s">
        <v>199</v>
      </c>
      <c r="HR269" s="996">
        <v>-1.2378233999999999</v>
      </c>
      <c r="HS269" s="1006"/>
      <c r="HT269" s="996">
        <v>0</v>
      </c>
      <c r="HU269" s="1006"/>
      <c r="HV269" s="996">
        <v>0</v>
      </c>
      <c r="HW269" s="1006"/>
      <c r="HX269" s="996">
        <v>0</v>
      </c>
      <c r="HY269" s="1006"/>
      <c r="HZ269" s="996">
        <v>0</v>
      </c>
      <c r="IA269" s="1006"/>
      <c r="IB269" s="996">
        <v>8.2521559999999994E-2</v>
      </c>
      <c r="IC269" s="1006"/>
      <c r="ID269" s="996">
        <v>0</v>
      </c>
      <c r="IE269" s="1006"/>
      <c r="IF269" s="996">
        <v>0</v>
      </c>
      <c r="IG269" s="1006"/>
      <c r="IH269" s="996">
        <v>0</v>
      </c>
      <c r="II269" s="1006"/>
      <c r="IJ269" s="996">
        <v>0</v>
      </c>
      <c r="IK269" s="1006"/>
      <c r="IL269" s="996">
        <v>0</v>
      </c>
      <c r="IM269" s="1006" t="s">
        <v>199</v>
      </c>
      <c r="IN269" s="996">
        <v>-1.9590238800000002</v>
      </c>
      <c r="IO269" s="1006" t="s">
        <v>199</v>
      </c>
      <c r="IP269" s="996">
        <v>-2.42212608</v>
      </c>
      <c r="IQ269" s="1006"/>
      <c r="IR269" s="996">
        <v>0</v>
      </c>
      <c r="IS269" s="1006"/>
      <c r="IT269" s="996">
        <v>0</v>
      </c>
      <c r="IU269" s="1006"/>
      <c r="IV269" s="996">
        <v>0</v>
      </c>
      <c r="IW269" s="1006"/>
      <c r="IX269" s="996">
        <v>0</v>
      </c>
      <c r="IY269" s="1006" t="s">
        <v>199</v>
      </c>
      <c r="IZ269" s="996">
        <v>5.1831999999999994</v>
      </c>
      <c r="JA269" s="1006" t="s">
        <v>199</v>
      </c>
      <c r="JB269" s="996">
        <v>-4.2910208000000001</v>
      </c>
      <c r="JC269" s="1006"/>
      <c r="JD269" s="996">
        <v>0</v>
      </c>
      <c r="JE269" s="1006"/>
      <c r="JF269" s="996">
        <v>0</v>
      </c>
      <c r="JG269" s="1006"/>
      <c r="JH269" s="996">
        <v>0</v>
      </c>
      <c r="JI269" s="1006"/>
      <c r="JJ269" s="996">
        <v>0</v>
      </c>
      <c r="JK269" s="1007"/>
      <c r="JL269" s="1007">
        <v>0</v>
      </c>
      <c r="JM269" s="1007" t="s">
        <v>199</v>
      </c>
      <c r="JN269" s="1007">
        <v>4.2910208000000001</v>
      </c>
      <c r="JO269" s="1008"/>
      <c r="JP269" s="1007">
        <v>0</v>
      </c>
      <c r="JQ269" s="1008">
        <v>0</v>
      </c>
      <c r="JR269" s="1007">
        <v>0</v>
      </c>
      <c r="JS269" s="1008">
        <v>0</v>
      </c>
      <c r="JT269" s="1007">
        <v>0</v>
      </c>
      <c r="JU269" s="1008"/>
      <c r="JV269" s="1007">
        <v>0</v>
      </c>
      <c r="JW269" s="1008" t="s">
        <v>199</v>
      </c>
      <c r="JX269" s="1007">
        <v>-2.6752000000000002</v>
      </c>
      <c r="JY269" s="1008"/>
      <c r="JZ269" s="1007">
        <v>0</v>
      </c>
      <c r="KA269" s="1008" t="s">
        <v>199</v>
      </c>
      <c r="KB269" s="1007">
        <v>-11.703999999999999</v>
      </c>
      <c r="KC269" s="1008"/>
      <c r="KD269" s="1007">
        <v>0</v>
      </c>
      <c r="KE269" s="1008" t="s">
        <v>199</v>
      </c>
      <c r="KF269" s="1007">
        <v>5.0159999999999982</v>
      </c>
      <c r="KG269" s="1008"/>
      <c r="KH269" s="1007">
        <v>0</v>
      </c>
      <c r="KI269" s="1008"/>
      <c r="KJ269" s="1007">
        <v>0</v>
      </c>
      <c r="KK269" s="1008"/>
      <c r="KL269" s="1007">
        <v>0</v>
      </c>
      <c r="KM269" s="1008" t="s">
        <v>206</v>
      </c>
      <c r="KN269" s="1007">
        <v>-1.671999999999997</v>
      </c>
      <c r="KO269" s="1008"/>
      <c r="KP269" s="1007">
        <v>0</v>
      </c>
      <c r="KQ269" s="1008" t="s">
        <v>206</v>
      </c>
      <c r="KR269" s="1007">
        <v>0.6771599999999971</v>
      </c>
      <c r="KS269" s="1008" t="s">
        <v>25</v>
      </c>
      <c r="KT269" s="1007">
        <v>8.6475840000000019</v>
      </c>
      <c r="KU269" s="1008">
        <v>0</v>
      </c>
      <c r="KV269" s="1007">
        <v>0</v>
      </c>
      <c r="KW269" s="1008" t="s">
        <v>204</v>
      </c>
      <c r="KX269" s="1007">
        <v>-2.9709768000000008</v>
      </c>
      <c r="KY269" s="1008" t="s">
        <v>206</v>
      </c>
      <c r="KZ269" s="1007">
        <v>-2.9709768000000008</v>
      </c>
      <c r="LA269" s="1008">
        <v>0</v>
      </c>
      <c r="LB269" s="1007">
        <v>0</v>
      </c>
      <c r="LC269" s="1008" t="s">
        <v>204</v>
      </c>
      <c r="LD269" s="1007">
        <v>-3.2422838799999987</v>
      </c>
      <c r="LE269" s="1008" t="s">
        <v>204</v>
      </c>
      <c r="LF269" s="1007">
        <v>9.4934738799999998</v>
      </c>
      <c r="LG269" s="1008">
        <v>0</v>
      </c>
      <c r="LH269" s="1007">
        <v>0</v>
      </c>
      <c r="LI269" s="1008" t="s">
        <v>199</v>
      </c>
      <c r="LJ269" s="1007">
        <v>2.5004759999999999</v>
      </c>
      <c r="LK269" s="1008">
        <v>0</v>
      </c>
      <c r="LL269" s="1007">
        <v>0</v>
      </c>
      <c r="LM269" s="1008" t="s">
        <v>555</v>
      </c>
      <c r="LN269" s="1007">
        <v>-0.41675000000000001</v>
      </c>
      <c r="LO269" s="1008">
        <v>0</v>
      </c>
      <c r="LP269" s="1007">
        <v>-0.41674600000000001</v>
      </c>
      <c r="LQ269" s="1008" t="s">
        <v>199</v>
      </c>
      <c r="LR269" s="1007">
        <v>-5.8344439999999995</v>
      </c>
      <c r="LS269" s="1008">
        <v>0</v>
      </c>
      <c r="LT269" s="1007">
        <v>0</v>
      </c>
      <c r="LU269" s="1008">
        <v>0</v>
      </c>
      <c r="LV269" s="1007">
        <v>0</v>
      </c>
      <c r="LW269" s="1008">
        <v>0</v>
      </c>
      <c r="LX269" s="1007">
        <v>-0.83349209999999996</v>
      </c>
      <c r="LY269" s="1009" t="s">
        <v>206</v>
      </c>
      <c r="LZ269" s="1010">
        <v>-2.5476000000000001</v>
      </c>
      <c r="MA269" s="1011">
        <v>0</v>
      </c>
      <c r="MB269" s="1012">
        <v>0</v>
      </c>
      <c r="MC269" s="995"/>
      <c r="MD269" s="996"/>
      <c r="ME269" s="997" t="s">
        <v>220</v>
      </c>
      <c r="MF269" s="997"/>
      <c r="MG269" s="998"/>
      <c r="NR269" s="1000"/>
      <c r="NS269" s="1000"/>
      <c r="NT269" s="1001"/>
      <c r="NU269" s="1000"/>
      <c r="NV269" s="1001"/>
      <c r="NX269" s="1002"/>
      <c r="NZ269" s="1001"/>
      <c r="OA269" s="1001"/>
      <c r="OC269" s="1003"/>
      <c r="OD269" s="1003"/>
      <c r="OE269" s="1001"/>
      <c r="OF269" s="1003"/>
      <c r="OG269" s="1003"/>
      <c r="QX269" s="1000">
        <f>CN269-CA269</f>
        <v>23</v>
      </c>
      <c r="ASU269" s="999" t="s">
        <v>208</v>
      </c>
    </row>
    <row r="270" spans="1:466 1191:1191" ht="21" customHeight="1" x14ac:dyDescent="0.25">
      <c r="A270" s="982">
        <f t="shared" si="163"/>
        <v>1221</v>
      </c>
      <c r="B270" s="124">
        <f>SUBTOTAL(103,$J$29:J270)</f>
        <v>242</v>
      </c>
      <c r="C270" s="126">
        <v>45068</v>
      </c>
      <c r="D270" s="124" t="s">
        <v>176</v>
      </c>
      <c r="E270" s="127" t="s">
        <v>177</v>
      </c>
      <c r="F270" s="128" t="s">
        <v>177</v>
      </c>
      <c r="G270" s="127" t="s">
        <v>178</v>
      </c>
      <c r="H270" s="127" t="s">
        <v>179</v>
      </c>
      <c r="I270" s="127" t="s">
        <v>881</v>
      </c>
      <c r="J270" s="152">
        <v>1221</v>
      </c>
      <c r="K270" s="127" t="s">
        <v>1204</v>
      </c>
      <c r="L270" s="130">
        <v>41976</v>
      </c>
      <c r="M270" s="127" t="s">
        <v>230</v>
      </c>
      <c r="N270" s="127" t="s">
        <v>245</v>
      </c>
      <c r="O270" s="127" t="s">
        <v>185</v>
      </c>
      <c r="P270" s="127" t="s">
        <v>186</v>
      </c>
      <c r="Q270" s="85" t="str">
        <f t="shared" si="187"/>
        <v/>
      </c>
      <c r="R270" s="130"/>
      <c r="S270" s="128"/>
      <c r="T270" s="131"/>
      <c r="U270" s="132">
        <v>203</v>
      </c>
      <c r="V270" s="121">
        <v>218.2</v>
      </c>
      <c r="W270" s="116">
        <v>0.98</v>
      </c>
      <c r="X270" s="116">
        <v>1.66</v>
      </c>
      <c r="Y270" s="116">
        <f t="shared" si="191"/>
        <v>1.1495195025438099</v>
      </c>
      <c r="Z270" s="133">
        <v>1.454</v>
      </c>
      <c r="AA270" s="133">
        <v>0.83599999999999997</v>
      </c>
      <c r="AB270" s="133">
        <v>0.72</v>
      </c>
      <c r="AC270" s="121">
        <v>34.299999999999997</v>
      </c>
      <c r="AD270" s="134">
        <v>1.17</v>
      </c>
      <c r="AE270" s="124">
        <v>177.8</v>
      </c>
      <c r="AF270" s="128">
        <v>9.19</v>
      </c>
      <c r="AG270" s="128">
        <v>2572</v>
      </c>
      <c r="AH270" s="127" t="s">
        <v>1205</v>
      </c>
      <c r="AI270" s="127" t="s">
        <v>1205</v>
      </c>
      <c r="AJ270" s="135"/>
      <c r="AK270" s="128"/>
      <c r="AL270" s="131"/>
      <c r="AM270" s="124" t="s">
        <v>232</v>
      </c>
      <c r="AN270" s="136" t="s">
        <v>1206</v>
      </c>
      <c r="AO270" s="137" t="s">
        <v>1207</v>
      </c>
      <c r="AP270" s="128">
        <v>2572</v>
      </c>
      <c r="AQ270" s="128">
        <v>739</v>
      </c>
      <c r="AR270" s="128"/>
      <c r="AS270" s="128"/>
      <c r="AT270" s="122"/>
      <c r="AU270" s="124" t="s">
        <v>189</v>
      </c>
      <c r="AV270" s="115">
        <f>VLOOKUP(J270,'[63]ТР нефть'!$J$28:$BP$638,39,0)</f>
        <v>596.99998769499996</v>
      </c>
      <c r="AW270" s="115" t="str">
        <f>VLOOKUP(J270,'[63]ТР нефть'!$J$28:$BP$638,40,0)</f>
        <v>ГП</v>
      </c>
      <c r="AX270" s="115">
        <f>VLOOKUP(J270,'[63]ТР нефть'!$J$28:$BP$638,41,0)</f>
        <v>1192.000023047</v>
      </c>
      <c r="AY270" s="115" t="str">
        <f>VLOOKUP(J270,'[63]ТР нефть'!$J$28:$BP$638,42,0)</f>
        <v>ГК80 1/8</v>
      </c>
      <c r="AZ270" s="115">
        <f>VLOOKUP(J270,'[63]ТР нефть'!$J$28:$BP$638,43,0)</f>
        <v>1710.000032813</v>
      </c>
      <c r="BA270" s="115" t="str">
        <f>VLOOKUP(J270,'[63]ТР нефть'!$J$28:$BP$638,44,0)</f>
        <v>ГК80 5/32</v>
      </c>
      <c r="BB270" s="115">
        <f>VLOOKUP(J270,'[63]ТР нефть'!$J$28:$BP$638,45,0)</f>
        <v>2019.9999386720001</v>
      </c>
      <c r="BC270" s="115" t="str">
        <f>VLOOKUP(J270,'[63]ТР нефть'!$J$28:$BP$638,46,0)</f>
        <v>ЦКсОК 5/16</v>
      </c>
      <c r="BD270" s="115" t="str">
        <f>VLOOKUP(J270,'[63]ТР нефть'!$J$28:$BP$638,47,0)</f>
        <v>-</v>
      </c>
      <c r="BE270" s="115" t="str">
        <f>VLOOKUP(J270,'[63]ТР нефть'!$J$28:$BP$638,48,0)</f>
        <v>-</v>
      </c>
      <c r="BF270" s="115" t="str">
        <f>VLOOKUP(J270,'[63]ТР нефть'!$J$28:$BP$638,49,0)</f>
        <v>-</v>
      </c>
      <c r="BG270" s="115" t="str">
        <f>VLOOKUP(J270,'[63]ТР нефть'!$J$28:$BP$638,50,0)</f>
        <v>-</v>
      </c>
      <c r="BH270" s="115" t="str">
        <f>VLOOKUP(J270,'[63]ТР нефть'!$J$28:$BP$638,51,0)</f>
        <v>-</v>
      </c>
      <c r="BI270" s="115" t="str">
        <f>VLOOKUP(J270,'[63]ТР нефть'!$J$28:$BP$638,52,0)</f>
        <v>-</v>
      </c>
      <c r="BJ270" s="115" t="str">
        <f>IF(IFERROR(VLOOKUP(J270,'[63]ТР нефть'!$J$28:$BP$638,53,0),"-")=0,"-",IFERROR(VLOOKUP(J270,'[63]ТР нефть'!$J$28:$BP$638,53,0),"-"))</f>
        <v>-</v>
      </c>
      <c r="BK270" s="138" t="str">
        <f>IF(IFERROR(VLOOKUP(J270,'[63]ТР нефть'!$J$28:$BP$638,54,0),"-")=0,"-",IFERROR(VLOOKUP(J270,'[63]ТР нефть'!$J$28:$BP$638,54,0),"-"))</f>
        <v>-</v>
      </c>
      <c r="BL270" s="138" t="str">
        <f>IF(IFERROR(VLOOKUP(J270,'[63]ТР нефть'!$J$28:$BP$638,55,0),"-")=0,"-",IFERROR(VLOOKUP(J270,'[63]ТР нефть'!$J$28:$BP$638,55,0),"-"))</f>
        <v>-</v>
      </c>
      <c r="BM270" s="138" t="str">
        <f>IF(IFERROR(VLOOKUP(J270,'[63]ТР нефть'!$J$28:$BP$638,56,0),"-")=0,"-",IFERROR(VLOOKUP(J270,'[63]ТР нефть'!$J$28:$BP$638,56,0),"-"))</f>
        <v>-</v>
      </c>
      <c r="BN270" s="138" t="str">
        <f>IF(IFERROR(VLOOKUP(J270,'[63]ТР нефть'!$J$28:$BP$638,57,0),"-")=0,"-",IFERROR(VLOOKUP(J270,'[63]ТР нефть'!$J$28:$BP$638,57,0),"-"))</f>
        <v>-</v>
      </c>
      <c r="BO270" s="115" t="str">
        <f>IF(IFERROR(VLOOKUP(J270,'[63]ТР нефть'!$J$28:$BP$638,58,0),"-")=0,"-",IFERROR(VLOOKUP(J270,'[63]ТР нефть'!$J$28:$BP$638,58,0),"-"))</f>
        <v>-</v>
      </c>
      <c r="BP270" s="115" t="str">
        <f>IF(IFERROR(VLOOKUP(J270,'[63]ТР нефть'!$J$28:$BP$638,59,0),"-")=0,"-",IFERROR(VLOOKUP(J270,'[63]ТР нефть'!$J$28:$BP$638,59,0),"-"))</f>
        <v>-</v>
      </c>
      <c r="BQ270" s="138">
        <v>2600</v>
      </c>
      <c r="BR270" s="128">
        <v>1837.92</v>
      </c>
      <c r="BS270" s="115">
        <f t="shared" si="164"/>
        <v>762.07999999999993</v>
      </c>
      <c r="BT270" s="128">
        <v>73</v>
      </c>
      <c r="BU270" s="128">
        <v>5.5</v>
      </c>
      <c r="BV270" s="127">
        <v>12</v>
      </c>
      <c r="BW270" s="127" t="s">
        <v>217</v>
      </c>
      <c r="BX270" s="127" t="s">
        <v>195</v>
      </c>
      <c r="BY270" s="139">
        <v>24</v>
      </c>
      <c r="BZ270" s="139">
        <v>0</v>
      </c>
      <c r="CA270" s="138">
        <v>29</v>
      </c>
      <c r="CB270" s="138">
        <v>58</v>
      </c>
      <c r="CC270" s="138">
        <v>28</v>
      </c>
      <c r="CD270" s="135">
        <v>45017</v>
      </c>
      <c r="CE270" s="138">
        <v>114</v>
      </c>
      <c r="CF270" s="138">
        <v>72</v>
      </c>
      <c r="CG270" s="138" t="str">
        <f t="shared" si="210"/>
        <v>В работе</v>
      </c>
      <c r="CH270" s="138" t="s">
        <v>196</v>
      </c>
      <c r="CI270" s="138">
        <v>5</v>
      </c>
      <c r="CJ270" s="139"/>
      <c r="CK270" s="139">
        <f t="shared" si="207"/>
        <v>67</v>
      </c>
      <c r="CL270" s="99"/>
      <c r="CM270" s="99"/>
      <c r="CN270" s="140">
        <v>96</v>
      </c>
      <c r="CO270" s="141">
        <f t="shared" si="165"/>
        <v>2.6752000000000002</v>
      </c>
      <c r="CP270" s="142">
        <v>5</v>
      </c>
      <c r="CQ270" s="143">
        <v>36</v>
      </c>
      <c r="CR270" s="138">
        <v>19.5</v>
      </c>
      <c r="CS270" s="139">
        <v>12.5</v>
      </c>
      <c r="CT270" s="138"/>
      <c r="CU270" s="138">
        <f t="shared" si="188"/>
        <v>7</v>
      </c>
      <c r="CV270" s="115">
        <f t="shared" si="189"/>
        <v>2616.6267942583731</v>
      </c>
      <c r="CW270" s="115">
        <f t="shared" si="166"/>
        <v>2626.2711152197671</v>
      </c>
      <c r="CX270" s="133">
        <f t="shared" si="190"/>
        <v>0.27777777777777779</v>
      </c>
      <c r="CY270" s="116"/>
      <c r="CZ270" s="131"/>
      <c r="DA270" s="145" t="str">
        <f t="shared" si="167"/>
        <v>Газлифт</v>
      </c>
      <c r="DB270" s="146">
        <f t="shared" si="168"/>
        <v>2.6752000000000002</v>
      </c>
      <c r="DC270" s="142">
        <f t="shared" si="203"/>
        <v>5</v>
      </c>
      <c r="DD270" s="119">
        <f t="shared" si="204"/>
        <v>36</v>
      </c>
      <c r="DE270" s="115">
        <f t="shared" si="169"/>
        <v>7</v>
      </c>
      <c r="DF270" s="121">
        <f t="shared" si="170"/>
        <v>12.5</v>
      </c>
      <c r="DG270" s="115">
        <f t="shared" si="171"/>
        <v>2616.6267942583731</v>
      </c>
      <c r="DH270" s="115">
        <f t="shared" si="172"/>
        <v>96</v>
      </c>
      <c r="DI270" s="147"/>
      <c r="DJ270" s="111">
        <v>42518</v>
      </c>
      <c r="DK270" s="112">
        <v>41976</v>
      </c>
      <c r="DL270" s="113">
        <f t="shared" ca="1" si="192"/>
        <v>3128</v>
      </c>
      <c r="DM270" s="114"/>
      <c r="DN270" s="114"/>
      <c r="DO270" s="114"/>
      <c r="DP270" s="114"/>
      <c r="DQ270" s="112">
        <v>41976</v>
      </c>
      <c r="DR270" s="114" t="s">
        <v>324</v>
      </c>
      <c r="DS270" s="114"/>
      <c r="DT270" s="115">
        <v>60</v>
      </c>
      <c r="DU270" s="116">
        <f t="shared" si="193"/>
        <v>0.2358490566037735</v>
      </c>
      <c r="DV270" s="117">
        <f t="shared" si="194"/>
        <v>6.8141886792452802</v>
      </c>
      <c r="DW270" s="118">
        <f t="shared" si="195"/>
        <v>12.735849056603769</v>
      </c>
      <c r="DX270" s="119">
        <f t="shared" si="173"/>
        <v>36</v>
      </c>
      <c r="DY270" s="115">
        <f t="shared" si="196"/>
        <v>17.830188679245275</v>
      </c>
      <c r="DZ270" s="117">
        <f t="shared" si="197"/>
        <v>4.1389886792452799</v>
      </c>
      <c r="EA270" s="120">
        <f t="shared" si="197"/>
        <v>7.7358490566037688</v>
      </c>
      <c r="EB270" s="119">
        <f t="shared" si="197"/>
        <v>0</v>
      </c>
      <c r="EC270" s="121">
        <f t="shared" si="198"/>
        <v>10.830188679245275</v>
      </c>
      <c r="ED270" s="122"/>
      <c r="EE270" s="145">
        <v>12</v>
      </c>
      <c r="EF270" s="115">
        <v>28</v>
      </c>
      <c r="EG270" s="115">
        <v>58</v>
      </c>
      <c r="EH270" s="115">
        <v>27</v>
      </c>
      <c r="EI270" s="128" t="s">
        <v>195</v>
      </c>
      <c r="EJ270" s="121">
        <v>24</v>
      </c>
      <c r="EK270" s="121">
        <v>0</v>
      </c>
      <c r="EL270" s="149">
        <v>2.6752000000000002</v>
      </c>
      <c r="EM270" s="142">
        <v>5</v>
      </c>
      <c r="EN270" s="119">
        <v>36</v>
      </c>
      <c r="EO270" s="115">
        <v>19.5</v>
      </c>
      <c r="EP270" s="115">
        <v>2616.6267942583731</v>
      </c>
      <c r="EQ270" s="115">
        <v>72</v>
      </c>
      <c r="ER270" s="115">
        <v>12.5</v>
      </c>
      <c r="ES270" s="115">
        <v>98</v>
      </c>
      <c r="ET270" s="150">
        <v>0.3125</v>
      </c>
      <c r="EU270" s="145">
        <f t="shared" si="174"/>
        <v>12</v>
      </c>
      <c r="EV270" s="115">
        <f t="shared" si="175"/>
        <v>29</v>
      </c>
      <c r="EW270" s="115">
        <f t="shared" si="175"/>
        <v>58</v>
      </c>
      <c r="EX270" s="115">
        <f t="shared" si="175"/>
        <v>28</v>
      </c>
      <c r="EY270" s="115" t="str">
        <f t="shared" si="206"/>
        <v>Постоянный</v>
      </c>
      <c r="EZ270" s="115">
        <f t="shared" si="206"/>
        <v>24</v>
      </c>
      <c r="FA270" s="115">
        <f t="shared" si="206"/>
        <v>0</v>
      </c>
      <c r="FB270" s="149">
        <f t="shared" si="209"/>
        <v>2.6752000000000002</v>
      </c>
      <c r="FC270" s="142">
        <f t="shared" si="209"/>
        <v>5</v>
      </c>
      <c r="FD270" s="119">
        <f t="shared" si="209"/>
        <v>36</v>
      </c>
      <c r="FE270" s="121">
        <f t="shared" si="208"/>
        <v>19.5</v>
      </c>
      <c r="FF270" s="121">
        <f t="shared" si="199"/>
        <v>2616.6267942583731</v>
      </c>
      <c r="FG270" s="121">
        <f t="shared" si="177"/>
        <v>72</v>
      </c>
      <c r="FH270" s="121">
        <f t="shared" si="200"/>
        <v>12.5</v>
      </c>
      <c r="FI270" s="121">
        <f t="shared" si="205"/>
        <v>96</v>
      </c>
      <c r="FJ270" s="144">
        <f t="shared" si="178"/>
        <v>0.27777777777777779</v>
      </c>
      <c r="FK270" s="132">
        <f t="shared" si="179"/>
        <v>0</v>
      </c>
      <c r="FL270" s="115">
        <f t="shared" si="179"/>
        <v>1</v>
      </c>
      <c r="FM270" s="115">
        <f t="shared" si="179"/>
        <v>0</v>
      </c>
      <c r="FN270" s="115">
        <f t="shared" si="162"/>
        <v>1</v>
      </c>
      <c r="FO270" s="115">
        <f t="shared" si="201"/>
        <v>0</v>
      </c>
      <c r="FP270" s="115">
        <f t="shared" si="201"/>
        <v>0</v>
      </c>
      <c r="FQ270" s="149">
        <f t="shared" si="201"/>
        <v>0</v>
      </c>
      <c r="FR270" s="142">
        <f t="shared" si="201"/>
        <v>0</v>
      </c>
      <c r="FS270" s="119">
        <f t="shared" si="201"/>
        <v>0</v>
      </c>
      <c r="FT270" s="121">
        <f t="shared" si="201"/>
        <v>0</v>
      </c>
      <c r="FU270" s="121">
        <f t="shared" si="180"/>
        <v>0</v>
      </c>
      <c r="FV270" s="121">
        <f t="shared" si="180"/>
        <v>0</v>
      </c>
      <c r="FW270" s="121">
        <f t="shared" si="181"/>
        <v>0</v>
      </c>
      <c r="FX270" s="121">
        <f t="shared" si="182"/>
        <v>-2</v>
      </c>
      <c r="FY270" s="144">
        <f t="shared" si="182"/>
        <v>-3.472222222222221E-2</v>
      </c>
      <c r="FZ270" s="145"/>
      <c r="GA270" s="1033"/>
      <c r="GB270" s="145" t="s">
        <v>199</v>
      </c>
      <c r="GC270" s="1033" t="s">
        <v>1208</v>
      </c>
      <c r="GD270" s="997" t="s">
        <v>220</v>
      </c>
      <c r="GE270" s="1004" t="s">
        <v>199</v>
      </c>
      <c r="GF270" s="1004">
        <v>-2.76550472</v>
      </c>
      <c r="GG270" s="1004"/>
      <c r="GH270" s="1004">
        <v>0</v>
      </c>
      <c r="GI270" s="145"/>
      <c r="GJ270" s="996">
        <v>0</v>
      </c>
      <c r="GK270" s="145"/>
      <c r="GL270" s="996">
        <v>-4.5432837999999993</v>
      </c>
      <c r="GM270" s="1005"/>
      <c r="GN270" s="996">
        <v>0</v>
      </c>
      <c r="GO270" s="1006"/>
      <c r="GP270" s="996">
        <v>0</v>
      </c>
      <c r="GQ270" s="1006"/>
      <c r="GR270" s="996">
        <v>0</v>
      </c>
      <c r="GS270" s="1006"/>
      <c r="GT270" s="996">
        <v>0.8260516</v>
      </c>
      <c r="GU270" s="1006"/>
      <c r="GV270" s="996">
        <v>-0.35450580000000054</v>
      </c>
      <c r="GW270" s="1006" t="s">
        <v>199</v>
      </c>
      <c r="GX270" s="1036">
        <v>-9.7721711999999989</v>
      </c>
      <c r="GY270" s="1006"/>
      <c r="GZ270" s="996">
        <v>0</v>
      </c>
      <c r="HA270" s="1006"/>
      <c r="HB270" s="996">
        <v>0</v>
      </c>
      <c r="HC270" s="1006"/>
      <c r="HD270" s="996">
        <v>-0.58336080000000123</v>
      </c>
      <c r="HE270" s="1006"/>
      <c r="HF270" s="996">
        <v>-9.4812431999999447E-2</v>
      </c>
      <c r="HG270" s="1006" t="s">
        <v>221</v>
      </c>
      <c r="HH270" s="996">
        <v>-2.5532175679999991</v>
      </c>
      <c r="HI270" s="1006"/>
      <c r="HJ270" s="996">
        <v>4.5980000000000132E-2</v>
      </c>
      <c r="HK270" s="1006"/>
      <c r="HL270" s="996">
        <v>0</v>
      </c>
      <c r="HM270" s="1006"/>
      <c r="HN270" s="996">
        <v>0</v>
      </c>
      <c r="HO270" s="1006"/>
      <c r="HP270" s="996">
        <v>0</v>
      </c>
      <c r="HQ270" s="1006" t="s">
        <v>199</v>
      </c>
      <c r="HR270" s="996">
        <v>-3.0346800000000016</v>
      </c>
      <c r="HS270" s="1006" t="s">
        <v>204</v>
      </c>
      <c r="HT270" s="996">
        <v>-12.882759999999998</v>
      </c>
      <c r="HU270" s="1006"/>
      <c r="HV270" s="996">
        <v>0</v>
      </c>
      <c r="HW270" s="1006"/>
      <c r="HX270" s="996">
        <v>0.17555999999999727</v>
      </c>
      <c r="HY270" s="1006"/>
      <c r="HZ270" s="996">
        <v>0</v>
      </c>
      <c r="IA270" s="1006" t="s">
        <v>199</v>
      </c>
      <c r="IB270" s="996">
        <v>-8.1927999999999983</v>
      </c>
      <c r="IC270" s="1006" t="s">
        <v>207</v>
      </c>
      <c r="ID270" s="996">
        <v>10.100073807999998</v>
      </c>
      <c r="IE270" s="1006" t="s">
        <v>204</v>
      </c>
      <c r="IF270" s="996">
        <v>4.8003220320000004</v>
      </c>
      <c r="IG270" s="1006" t="s">
        <v>199</v>
      </c>
      <c r="IH270" s="996">
        <v>-6.103502240000001</v>
      </c>
      <c r="II270" s="1006" t="s">
        <v>199</v>
      </c>
      <c r="IJ270" s="996">
        <v>1.6495952000000003</v>
      </c>
      <c r="IK270" s="1006" t="s">
        <v>199</v>
      </c>
      <c r="IL270" s="996">
        <v>19.2315112</v>
      </c>
      <c r="IM270" s="1006" t="s">
        <v>204</v>
      </c>
      <c r="IN270" s="996">
        <v>-18.493155999999992</v>
      </c>
      <c r="IO270" s="1006" t="s">
        <v>644</v>
      </c>
      <c r="IP270" s="996">
        <v>18.227307999999994</v>
      </c>
      <c r="IQ270" s="1006"/>
      <c r="IR270" s="996">
        <v>0</v>
      </c>
      <c r="IS270" s="1006"/>
      <c r="IT270" s="996">
        <v>0</v>
      </c>
      <c r="IU270" s="1006" t="s">
        <v>644</v>
      </c>
      <c r="IV270" s="996">
        <v>-15.760272000000001</v>
      </c>
      <c r="IW270" s="1006"/>
      <c r="IX270" s="996">
        <v>0</v>
      </c>
      <c r="IY270" s="1006"/>
      <c r="IZ270" s="996">
        <v>0</v>
      </c>
      <c r="JA270" s="1006" t="s">
        <v>199</v>
      </c>
      <c r="JB270" s="996">
        <v>2.5832400000000035</v>
      </c>
      <c r="JC270" s="1006"/>
      <c r="JD270" s="996">
        <v>0</v>
      </c>
      <c r="JE270" s="1006" t="s">
        <v>199</v>
      </c>
      <c r="JF270" s="996">
        <v>8.0088799999999978</v>
      </c>
      <c r="JG270" s="1006"/>
      <c r="JH270" s="996">
        <v>0</v>
      </c>
      <c r="JI270" s="1006"/>
      <c r="JJ270" s="996">
        <v>0</v>
      </c>
      <c r="JK270" s="1007"/>
      <c r="JL270" s="1007">
        <v>0</v>
      </c>
      <c r="JM270" s="1007" t="s">
        <v>199</v>
      </c>
      <c r="JN270" s="1007">
        <v>-5.8520000000000003</v>
      </c>
      <c r="JO270" s="1008"/>
      <c r="JP270" s="1007">
        <v>0</v>
      </c>
      <c r="JQ270" s="1008" t="s">
        <v>199</v>
      </c>
      <c r="JR270" s="1007">
        <v>-6.4607250399999963</v>
      </c>
      <c r="JS270" s="1008">
        <v>0</v>
      </c>
      <c r="JT270" s="1007">
        <v>0</v>
      </c>
      <c r="JU270" s="1008" t="s">
        <v>204</v>
      </c>
      <c r="JV270" s="1007">
        <v>13.520201639999993</v>
      </c>
      <c r="JW270" s="1008" t="s">
        <v>197</v>
      </c>
      <c r="JX270" s="1007">
        <v>0</v>
      </c>
      <c r="JY270" s="1008" t="s">
        <v>199</v>
      </c>
      <c r="JZ270" s="1007">
        <v>3.5174198400000023</v>
      </c>
      <c r="KA270" s="1008" t="s">
        <v>199</v>
      </c>
      <c r="KB270" s="1007">
        <v>-3.8888964399999981</v>
      </c>
      <c r="KC270" s="1008"/>
      <c r="KD270" s="1007">
        <v>0</v>
      </c>
      <c r="KE270" s="1008" t="s">
        <v>204</v>
      </c>
      <c r="KF270" s="1007">
        <v>-21.6524</v>
      </c>
      <c r="KG270" s="1008" t="s">
        <v>204</v>
      </c>
      <c r="KH270" s="1007">
        <v>25.202055999999999</v>
      </c>
      <c r="KI270" s="1008" t="s">
        <v>206</v>
      </c>
      <c r="KJ270" s="1007">
        <v>-29.043268671999996</v>
      </c>
      <c r="KK270" s="1008"/>
      <c r="KL270" s="1007">
        <v>0</v>
      </c>
      <c r="KM270" s="1008" t="s">
        <v>207</v>
      </c>
      <c r="KN270" s="1007">
        <v>10.502293471999998</v>
      </c>
      <c r="KO270" s="1008"/>
      <c r="KP270" s="1007">
        <v>0</v>
      </c>
      <c r="KQ270" s="1008" t="s">
        <v>207</v>
      </c>
      <c r="KR270" s="1007">
        <v>14.4897192</v>
      </c>
      <c r="KS270" s="1008">
        <v>0</v>
      </c>
      <c r="KT270" s="1007">
        <v>0</v>
      </c>
      <c r="KU270" s="1008" t="s">
        <v>204</v>
      </c>
      <c r="KV270" s="1007">
        <v>2.6459400000000013</v>
      </c>
      <c r="KW270" s="1008">
        <v>0</v>
      </c>
      <c r="KX270" s="1007">
        <v>0</v>
      </c>
      <c r="KY270" s="1008">
        <v>0</v>
      </c>
      <c r="KZ270" s="1007">
        <v>0</v>
      </c>
      <c r="LA270" s="1008" t="s">
        <v>204</v>
      </c>
      <c r="LB270" s="1007">
        <v>-3.8649115999999992</v>
      </c>
      <c r="LC270" s="1008" t="s">
        <v>204</v>
      </c>
      <c r="LD270" s="1007">
        <v>1.7806799999999967</v>
      </c>
      <c r="LE270" s="1008" t="s">
        <v>204</v>
      </c>
      <c r="LF270" s="1007">
        <v>-3.2771199999999965</v>
      </c>
      <c r="LG270" s="1008">
        <v>0</v>
      </c>
      <c r="LH270" s="1007">
        <v>0</v>
      </c>
      <c r="LI270" s="1008" t="s">
        <v>204</v>
      </c>
      <c r="LJ270" s="1007">
        <v>-4.0964000000000027</v>
      </c>
      <c r="LK270" s="1008">
        <v>0</v>
      </c>
      <c r="LL270" s="1007">
        <v>0</v>
      </c>
      <c r="LM270" s="1008">
        <v>0</v>
      </c>
      <c r="LN270" s="1007">
        <v>0</v>
      </c>
      <c r="LO270" s="1008" t="s">
        <v>206</v>
      </c>
      <c r="LP270" s="1007">
        <v>-2.4578400000000009</v>
      </c>
      <c r="LQ270" s="1008" t="s">
        <v>199</v>
      </c>
      <c r="LR270" s="1007">
        <v>-7.3735200000000027</v>
      </c>
      <c r="LS270" s="1008">
        <v>0</v>
      </c>
      <c r="LT270" s="1007">
        <v>0</v>
      </c>
      <c r="LU270" s="1008">
        <v>0</v>
      </c>
      <c r="LV270" s="1007">
        <v>0.81928299999999998</v>
      </c>
      <c r="LW270" s="1008">
        <v>0</v>
      </c>
      <c r="LX270" s="1007">
        <v>0</v>
      </c>
      <c r="LY270" s="1009">
        <v>0</v>
      </c>
      <c r="LZ270" s="1010">
        <v>-0.81928299999999998</v>
      </c>
      <c r="MA270" s="1011">
        <v>0</v>
      </c>
      <c r="MB270" s="1012">
        <v>8.1928000000000019</v>
      </c>
      <c r="MC270" s="995"/>
      <c r="MD270" s="996"/>
      <c r="ME270" s="997" t="s">
        <v>220</v>
      </c>
      <c r="MF270" s="997"/>
      <c r="MG270" s="998"/>
      <c r="NR270" s="1000"/>
      <c r="NS270" s="1000"/>
      <c r="NT270" s="1001"/>
      <c r="NU270" s="1000"/>
      <c r="NV270" s="1001"/>
      <c r="NX270" s="1002"/>
      <c r="NZ270" s="1001"/>
      <c r="OA270" s="1001"/>
      <c r="OC270" s="1003"/>
      <c r="OD270" s="1003"/>
      <c r="OE270" s="1001"/>
      <c r="OF270" s="1003"/>
      <c r="OG270" s="1003"/>
      <c r="QX270" s="1000">
        <f>CN270-CA270</f>
        <v>67</v>
      </c>
      <c r="ASU270" s="999" t="s">
        <v>225</v>
      </c>
    </row>
    <row r="271" spans="1:466 1191:1191" ht="21" customHeight="1" x14ac:dyDescent="0.25">
      <c r="A271" s="982">
        <f t="shared" si="163"/>
        <v>1222</v>
      </c>
      <c r="B271" s="124">
        <f>SUBTOTAL(103,$J$29:J271)</f>
        <v>243</v>
      </c>
      <c r="C271" s="126">
        <v>45096</v>
      </c>
      <c r="D271" s="124" t="s">
        <v>176</v>
      </c>
      <c r="E271" s="127" t="s">
        <v>177</v>
      </c>
      <c r="F271" s="128" t="s">
        <v>177</v>
      </c>
      <c r="G271" s="127" t="s">
        <v>178</v>
      </c>
      <c r="H271" s="127" t="s">
        <v>421</v>
      </c>
      <c r="I271" s="127" t="s">
        <v>1153</v>
      </c>
      <c r="J271" s="152">
        <v>1222</v>
      </c>
      <c r="K271" s="127" t="s">
        <v>1153</v>
      </c>
      <c r="L271" s="130">
        <v>42173</v>
      </c>
      <c r="M271" s="127" t="s">
        <v>230</v>
      </c>
      <c r="N271" s="127" t="s">
        <v>231</v>
      </c>
      <c r="O271" s="127" t="s">
        <v>185</v>
      </c>
      <c r="P271" s="127" t="s">
        <v>225</v>
      </c>
      <c r="Q271" s="85" t="str">
        <f t="shared" si="187"/>
        <v/>
      </c>
      <c r="R271" s="130"/>
      <c r="S271" s="128"/>
      <c r="T271" s="131"/>
      <c r="U271" s="132">
        <v>203</v>
      </c>
      <c r="V271" s="121">
        <v>218.2</v>
      </c>
      <c r="W271" s="116">
        <v>0.98</v>
      </c>
      <c r="X271" s="116">
        <v>1.66</v>
      </c>
      <c r="Y271" s="116">
        <f t="shared" si="191"/>
        <v>0.99425498105366084</v>
      </c>
      <c r="Z271" s="133">
        <v>1.454</v>
      </c>
      <c r="AA271" s="133">
        <v>0.83599999999999997</v>
      </c>
      <c r="AB271" s="133">
        <v>0.72</v>
      </c>
      <c r="AC271" s="121">
        <v>34.299999999999997</v>
      </c>
      <c r="AD271" s="134">
        <v>1.17</v>
      </c>
      <c r="AE271" s="124">
        <v>177.8</v>
      </c>
      <c r="AF271" s="128">
        <v>9.19</v>
      </c>
      <c r="AG271" s="128">
        <v>2197</v>
      </c>
      <c r="AH271" s="127" t="s">
        <v>1209</v>
      </c>
      <c r="AI271" s="127" t="s">
        <v>1209</v>
      </c>
      <c r="AJ271" s="135"/>
      <c r="AK271" s="128"/>
      <c r="AL271" s="131"/>
      <c r="AM271" s="124" t="s">
        <v>232</v>
      </c>
      <c r="AN271" s="136" t="s">
        <v>1210</v>
      </c>
      <c r="AO271" s="137" t="s">
        <v>1211</v>
      </c>
      <c r="AP271" s="128" t="s">
        <v>1212</v>
      </c>
      <c r="AQ271" s="128">
        <v>175</v>
      </c>
      <c r="AR271" s="128"/>
      <c r="AS271" s="128"/>
      <c r="AT271" s="122"/>
      <c r="AU271" s="124" t="s">
        <v>189</v>
      </c>
      <c r="AV271" s="115">
        <f>VLOOKUP(J271,'[63]ТР нефть'!$J$28:$BP$638,39,0)</f>
        <v>659.99997480499997</v>
      </c>
      <c r="AW271" s="115" t="str">
        <f>VLOOKUP(J271,'[63]ТР нефть'!$J$28:$BP$638,40,0)</f>
        <v>ГК 88 1/8</v>
      </c>
      <c r="AX271" s="115">
        <f>VLOOKUP(J271,'[63]ТР нефть'!$J$28:$BP$638,41,0)</f>
        <v>1159.9999669920001</v>
      </c>
      <c r="AY271" s="115" t="str">
        <f>VLOOKUP(J271,'[63]ТР нефть'!$J$28:$BP$638,42,0)</f>
        <v>ГК88 1/8</v>
      </c>
      <c r="AZ271" s="115">
        <f>VLOOKUP(J271,'[63]ТР нефть'!$J$28:$BP$638,43,0)</f>
        <v>1519.999946484</v>
      </c>
      <c r="BA271" s="115" t="str">
        <f>VLOOKUP(J271,'[63]ТР нефть'!$J$28:$BP$638,44,0)</f>
        <v>ГК 88 1/8</v>
      </c>
      <c r="BB271" s="115">
        <f>VLOOKUP(J271,'[63]ТР нефть'!$J$28:$BP$638,45,0)</f>
        <v>1860.000030469</v>
      </c>
      <c r="BC271" s="115" t="str">
        <f>VLOOKUP(J271,'[63]ТР нефть'!$J$28:$BP$638,46,0)</f>
        <v>ЦКсОК 5/16</v>
      </c>
      <c r="BD271" s="115" t="str">
        <f>VLOOKUP(J271,'[63]ТР нефть'!$J$28:$BP$638,47,0)</f>
        <v>-</v>
      </c>
      <c r="BE271" s="115" t="str">
        <f>VLOOKUP(J271,'[63]ТР нефть'!$J$28:$BP$638,48,0)</f>
        <v>-</v>
      </c>
      <c r="BF271" s="115" t="str">
        <f>VLOOKUP(J271,'[63]ТР нефть'!$J$28:$BP$638,49,0)</f>
        <v>-</v>
      </c>
      <c r="BG271" s="115" t="str">
        <f>VLOOKUP(J271,'[63]ТР нефть'!$J$28:$BP$638,50,0)</f>
        <v>-</v>
      </c>
      <c r="BH271" s="115" t="str">
        <f>VLOOKUP(J271,'[63]ТР нефть'!$J$28:$BP$638,51,0)</f>
        <v>-</v>
      </c>
      <c r="BI271" s="115" t="str">
        <f>VLOOKUP(J271,'[63]ТР нефть'!$J$28:$BP$638,52,0)</f>
        <v>-</v>
      </c>
      <c r="BJ271" s="115" t="str">
        <f>IF(IFERROR(VLOOKUP(J271,'[63]ТР нефть'!$J$28:$BP$638,53,0),"-")=0,"-",IFERROR(VLOOKUP(J271,'[63]ТР нефть'!$J$28:$BP$638,53,0),"-"))</f>
        <v>-</v>
      </c>
      <c r="BK271" s="138" t="str">
        <f>IF(IFERROR(VLOOKUP(J271,'[63]ТР нефть'!$J$28:$BP$638,54,0),"-")=0,"-",IFERROR(VLOOKUP(J271,'[63]ТР нефть'!$J$28:$BP$638,54,0),"-"))</f>
        <v>-</v>
      </c>
      <c r="BL271" s="138" t="str">
        <f>IF(IFERROR(VLOOKUP(J271,'[63]ТР нефть'!$J$28:$BP$638,55,0),"-")=0,"-",IFERROR(VLOOKUP(J271,'[63]ТР нефть'!$J$28:$BP$638,55,0),"-"))</f>
        <v>-</v>
      </c>
      <c r="BM271" s="138" t="str">
        <f>IF(IFERROR(VLOOKUP(J271,'[63]ТР нефть'!$J$28:$BP$638,56,0),"-")=0,"-",IFERROR(VLOOKUP(J271,'[63]ТР нефть'!$J$28:$BP$638,56,0),"-"))</f>
        <v>-</v>
      </c>
      <c r="BN271" s="138" t="str">
        <f>IF(IFERROR(VLOOKUP(J271,'[63]ТР нефть'!$J$28:$BP$638,57,0),"-")=0,"-",IFERROR(VLOOKUP(J271,'[63]ТР нефть'!$J$28:$BP$638,57,0),"-"))</f>
        <v>-</v>
      </c>
      <c r="BO271" s="115" t="str">
        <f>IF(IFERROR(VLOOKUP(J271,'[63]ТР нефть'!$J$28:$BP$638,58,0),"-")=0,"-",IFERROR(VLOOKUP(J271,'[63]ТР нефть'!$J$28:$BP$638,58,0),"-"))</f>
        <v>-</v>
      </c>
      <c r="BP271" s="115" t="str">
        <f>IF(IFERROR(VLOOKUP(J271,'[63]ТР нефть'!$J$28:$BP$638,59,0),"-")=0,"-",IFERROR(VLOOKUP(J271,'[63]ТР нефть'!$J$28:$BP$638,59,0),"-"))</f>
        <v>-</v>
      </c>
      <c r="BQ271" s="138">
        <v>1875</v>
      </c>
      <c r="BR271" s="128">
        <v>1931.33</v>
      </c>
      <c r="BS271" s="115">
        <f t="shared" si="164"/>
        <v>-56.329999999999927</v>
      </c>
      <c r="BT271" s="128">
        <v>73</v>
      </c>
      <c r="BU271" s="128">
        <v>5.5</v>
      </c>
      <c r="BV271" s="127">
        <v>18</v>
      </c>
      <c r="BW271" s="127" t="s">
        <v>234</v>
      </c>
      <c r="BX271" s="127" t="s">
        <v>218</v>
      </c>
      <c r="BY271" s="139">
        <v>24</v>
      </c>
      <c r="BZ271" s="139">
        <v>24</v>
      </c>
      <c r="CA271" s="138">
        <v>26</v>
      </c>
      <c r="CB271" s="138">
        <v>71</v>
      </c>
      <c r="CC271" s="138">
        <v>25</v>
      </c>
      <c r="CD271" s="135">
        <v>45017</v>
      </c>
      <c r="CE271" s="138">
        <v>128</v>
      </c>
      <c r="CF271" s="138">
        <v>82</v>
      </c>
      <c r="CG271" s="138" t="str">
        <f t="shared" si="210"/>
        <v>В работе</v>
      </c>
      <c r="CH271" s="138" t="s">
        <v>196</v>
      </c>
      <c r="CI271" s="127">
        <v>6</v>
      </c>
      <c r="CJ271" s="138"/>
      <c r="CK271" s="138"/>
      <c r="CL271" s="99"/>
      <c r="CM271" s="99"/>
      <c r="CN271" s="138">
        <v>52</v>
      </c>
      <c r="CO271" s="141">
        <f t="shared" si="165"/>
        <v>6.413583</v>
      </c>
      <c r="CP271" s="142">
        <f>15.9/2</f>
        <v>7.95</v>
      </c>
      <c r="CQ271" s="143">
        <v>3.5</v>
      </c>
      <c r="CR271" s="138">
        <f>18/2</f>
        <v>9</v>
      </c>
      <c r="CS271" s="139">
        <v>4.2</v>
      </c>
      <c r="CT271" s="138"/>
      <c r="CU271" s="138">
        <f t="shared" si="188"/>
        <v>4.8</v>
      </c>
      <c r="CV271" s="115">
        <f t="shared" si="189"/>
        <v>748.41161329010629</v>
      </c>
      <c r="CW271" s="115">
        <f t="shared" si="166"/>
        <v>623.53427690400088</v>
      </c>
      <c r="CX271" s="133">
        <f t="shared" si="190"/>
        <v>0.10460526315789474</v>
      </c>
      <c r="CY271" s="116"/>
      <c r="CZ271" s="131"/>
      <c r="DA271" s="145" t="str">
        <f t="shared" si="167"/>
        <v>Газлифт</v>
      </c>
      <c r="DB271" s="146">
        <f t="shared" si="168"/>
        <v>6.413583</v>
      </c>
      <c r="DC271" s="142">
        <f t="shared" si="203"/>
        <v>7.95</v>
      </c>
      <c r="DD271" s="119">
        <f t="shared" si="204"/>
        <v>3.5</v>
      </c>
      <c r="DE271" s="115">
        <f t="shared" si="169"/>
        <v>4.8</v>
      </c>
      <c r="DF271" s="121">
        <f t="shared" si="170"/>
        <v>4.2</v>
      </c>
      <c r="DG271" s="115">
        <f t="shared" si="171"/>
        <v>748.41161329010629</v>
      </c>
      <c r="DH271" s="115">
        <f t="shared" si="172"/>
        <v>52</v>
      </c>
      <c r="DI271" s="147"/>
      <c r="DJ271" s="111">
        <v>43691</v>
      </c>
      <c r="DK271" s="112">
        <v>44280</v>
      </c>
      <c r="DL271" s="113">
        <f t="shared" ca="1" si="192"/>
        <v>824</v>
      </c>
      <c r="DM271" s="114"/>
      <c r="DN271" s="114"/>
      <c r="DO271" s="114"/>
      <c r="DP271" s="114"/>
      <c r="DQ271" s="112" t="s">
        <v>1213</v>
      </c>
      <c r="DR271" s="114" t="s">
        <v>198</v>
      </c>
      <c r="DS271" s="114"/>
      <c r="DT271" s="115">
        <v>51</v>
      </c>
      <c r="DU271" s="116">
        <f t="shared" si="193"/>
        <v>0.10411184210526316</v>
      </c>
      <c r="DV271" s="117">
        <f t="shared" si="194"/>
        <v>6.467321437499999</v>
      </c>
      <c r="DW271" s="118">
        <f t="shared" si="195"/>
        <v>8.016611842105263</v>
      </c>
      <c r="DX271" s="119">
        <f t="shared" si="173"/>
        <v>3.5</v>
      </c>
      <c r="DY271" s="115">
        <f t="shared" si="196"/>
        <v>4.8402184707050635</v>
      </c>
      <c r="DZ271" s="117">
        <f t="shared" si="197"/>
        <v>5.3738437499998959E-2</v>
      </c>
      <c r="EA271" s="120">
        <f t="shared" si="197"/>
        <v>6.6611842105262831E-2</v>
      </c>
      <c r="EB271" s="119">
        <f t="shared" si="197"/>
        <v>0</v>
      </c>
      <c r="EC271" s="121">
        <f t="shared" si="198"/>
        <v>4.021847070506368E-2</v>
      </c>
      <c r="ED271" s="122"/>
      <c r="EE271" s="145">
        <v>18</v>
      </c>
      <c r="EF271" s="115">
        <v>25</v>
      </c>
      <c r="EG271" s="115">
        <v>65</v>
      </c>
      <c r="EH271" s="115">
        <v>24</v>
      </c>
      <c r="EI271" s="128" t="s">
        <v>195</v>
      </c>
      <c r="EJ271" s="121">
        <v>24</v>
      </c>
      <c r="EK271" s="121">
        <v>0</v>
      </c>
      <c r="EL271" s="149">
        <v>8.2969656000000001</v>
      </c>
      <c r="EM271" s="142">
        <v>10.199999999999999</v>
      </c>
      <c r="EN271" s="119">
        <v>2.7</v>
      </c>
      <c r="EO271" s="115">
        <v>10.5</v>
      </c>
      <c r="EP271" s="115">
        <v>711.10334602327384</v>
      </c>
      <c r="EQ271" s="115">
        <v>82</v>
      </c>
      <c r="ER271" s="115">
        <v>4.5999999999999996</v>
      </c>
      <c r="ES271" s="115">
        <v>52</v>
      </c>
      <c r="ET271" s="150">
        <v>0.13421052631578947</v>
      </c>
      <c r="EU271" s="145">
        <f t="shared" si="174"/>
        <v>18</v>
      </c>
      <c r="EV271" s="115">
        <f t="shared" si="175"/>
        <v>26</v>
      </c>
      <c r="EW271" s="115">
        <f t="shared" si="175"/>
        <v>71</v>
      </c>
      <c r="EX271" s="115">
        <f t="shared" si="175"/>
        <v>25</v>
      </c>
      <c r="EY271" s="115" t="str">
        <f t="shared" si="206"/>
        <v>Периодический</v>
      </c>
      <c r="EZ271" s="115">
        <f t="shared" si="206"/>
        <v>24</v>
      </c>
      <c r="FA271" s="115">
        <f t="shared" si="206"/>
        <v>24</v>
      </c>
      <c r="FB271" s="149">
        <f t="shared" si="209"/>
        <v>6.413583</v>
      </c>
      <c r="FC271" s="142">
        <f t="shared" si="209"/>
        <v>7.95</v>
      </c>
      <c r="FD271" s="119">
        <f t="shared" si="209"/>
        <v>3.5</v>
      </c>
      <c r="FE271" s="121">
        <f t="shared" si="208"/>
        <v>9</v>
      </c>
      <c r="FF271" s="121">
        <f t="shared" si="199"/>
        <v>748.41161329010629</v>
      </c>
      <c r="FG271" s="121">
        <f t="shared" si="177"/>
        <v>82</v>
      </c>
      <c r="FH271" s="121">
        <f t="shared" si="200"/>
        <v>4.2</v>
      </c>
      <c r="FI271" s="121">
        <f t="shared" si="205"/>
        <v>52</v>
      </c>
      <c r="FJ271" s="144">
        <f t="shared" si="178"/>
        <v>0.10460526315789474</v>
      </c>
      <c r="FK271" s="132">
        <f t="shared" si="179"/>
        <v>0</v>
      </c>
      <c r="FL271" s="115">
        <f t="shared" si="179"/>
        <v>1</v>
      </c>
      <c r="FM271" s="115">
        <f t="shared" si="179"/>
        <v>6</v>
      </c>
      <c r="FN271" s="115">
        <f t="shared" si="162"/>
        <v>1</v>
      </c>
      <c r="FO271" s="115">
        <f t="shared" si="201"/>
        <v>0</v>
      </c>
      <c r="FP271" s="115">
        <f t="shared" si="201"/>
        <v>24</v>
      </c>
      <c r="FQ271" s="149">
        <f t="shared" si="201"/>
        <v>-1.8833826</v>
      </c>
      <c r="FR271" s="142">
        <f t="shared" si="201"/>
        <v>-2.2499999999999991</v>
      </c>
      <c r="FS271" s="119">
        <f t="shared" si="201"/>
        <v>0.79999999999999982</v>
      </c>
      <c r="FT271" s="121">
        <f t="shared" si="201"/>
        <v>-1.5</v>
      </c>
      <c r="FU271" s="121">
        <f t="shared" si="180"/>
        <v>0</v>
      </c>
      <c r="FV271" s="121">
        <f t="shared" si="180"/>
        <v>-0.39999999999999947</v>
      </c>
      <c r="FW271" s="121">
        <f t="shared" si="181"/>
        <v>37.308267266832445</v>
      </c>
      <c r="FX271" s="121">
        <f t="shared" si="182"/>
        <v>0</v>
      </c>
      <c r="FY271" s="144">
        <f t="shared" si="182"/>
        <v>-2.9605263157894732E-2</v>
      </c>
      <c r="FZ271" s="145" t="s">
        <v>221</v>
      </c>
      <c r="GA271" s="151" t="s">
        <v>1214</v>
      </c>
      <c r="GB271" s="145" t="s">
        <v>221</v>
      </c>
      <c r="GC271" s="151" t="s">
        <v>1215</v>
      </c>
      <c r="GD271" s="997" t="s">
        <v>238</v>
      </c>
      <c r="GE271" s="1004" t="s">
        <v>221</v>
      </c>
      <c r="GF271" s="1004">
        <v>4.3170287599999995</v>
      </c>
      <c r="GG271" s="1004"/>
      <c r="GH271" s="1004">
        <v>0</v>
      </c>
      <c r="GI271" s="145"/>
      <c r="GJ271" s="996">
        <v>0</v>
      </c>
      <c r="GK271" s="145"/>
      <c r="GL271" s="996">
        <v>0</v>
      </c>
      <c r="GM271" s="1005"/>
      <c r="GN271" s="996">
        <v>0</v>
      </c>
      <c r="GO271" s="1006"/>
      <c r="GP271" s="996">
        <v>0</v>
      </c>
      <c r="GQ271" s="1006"/>
      <c r="GR271" s="996">
        <v>0</v>
      </c>
      <c r="GS271" s="1006"/>
      <c r="GT271" s="996">
        <v>-0.51599023519999987</v>
      </c>
      <c r="GU271" s="1006" t="s">
        <v>203</v>
      </c>
      <c r="GV271" s="996">
        <v>-6.5641021247999989</v>
      </c>
      <c r="GW271" s="1006"/>
      <c r="GX271" s="1049">
        <v>0</v>
      </c>
      <c r="GY271" s="1006"/>
      <c r="GZ271" s="996">
        <v>0</v>
      </c>
      <c r="HA271" s="1006" t="s">
        <v>25</v>
      </c>
      <c r="HB271" s="996">
        <v>7.108963619999999</v>
      </c>
      <c r="HC271" s="1006"/>
      <c r="HD271" s="996">
        <v>0</v>
      </c>
      <c r="HE271" s="1006" t="s">
        <v>199</v>
      </c>
      <c r="HF271" s="996">
        <v>-5.2783744200000005</v>
      </c>
      <c r="HG271" s="1006"/>
      <c r="HH271" s="996">
        <v>0.87462320000000204</v>
      </c>
      <c r="HI271" s="1006"/>
      <c r="HJ271" s="996">
        <v>-0.49651712000000003</v>
      </c>
      <c r="HK271" s="1006" t="s">
        <v>223</v>
      </c>
      <c r="HL271" s="996">
        <v>-1.9496481400000025</v>
      </c>
      <c r="HM271" s="1006"/>
      <c r="HN271" s="996">
        <v>-0.33654433999999789</v>
      </c>
      <c r="HO271" s="1006"/>
      <c r="HP271" s="996">
        <v>-4.1408752000000604E-2</v>
      </c>
      <c r="HQ271" s="1006" t="s">
        <v>203</v>
      </c>
      <c r="HR271" s="996">
        <v>-3.5681048480000008</v>
      </c>
      <c r="HS271" s="1006"/>
      <c r="HT271" s="996">
        <v>0</v>
      </c>
      <c r="HU271" s="1006"/>
      <c r="HV271" s="996">
        <v>0</v>
      </c>
      <c r="HW271" s="1006"/>
      <c r="HX271" s="996">
        <v>-0.8861599999999985</v>
      </c>
      <c r="HY271" s="1006" t="s">
        <v>203</v>
      </c>
      <c r="HZ271" s="996">
        <v>-20.323159999999998</v>
      </c>
      <c r="IA271" s="1006"/>
      <c r="IB271" s="996">
        <v>0.65375199999999722</v>
      </c>
      <c r="IC271" s="1006" t="s">
        <v>25</v>
      </c>
      <c r="ID271" s="996">
        <v>31.216612019999999</v>
      </c>
      <c r="IE271" s="1006"/>
      <c r="IF271" s="996">
        <v>0</v>
      </c>
      <c r="IG271" s="1006"/>
      <c r="IH271" s="996">
        <v>0</v>
      </c>
      <c r="II271" s="1006"/>
      <c r="IJ271" s="996">
        <v>0</v>
      </c>
      <c r="IK271" s="1006"/>
      <c r="IL271" s="996">
        <v>0</v>
      </c>
      <c r="IM271" s="1006"/>
      <c r="IN271" s="996">
        <v>0</v>
      </c>
      <c r="IO271" s="1006"/>
      <c r="IP271" s="996">
        <v>0</v>
      </c>
      <c r="IQ271" s="1006"/>
      <c r="IR271" s="996">
        <v>0</v>
      </c>
      <c r="IS271" s="1006"/>
      <c r="IT271" s="996">
        <v>0</v>
      </c>
      <c r="IU271" s="1006"/>
      <c r="IV271" s="996">
        <v>0</v>
      </c>
      <c r="IW271" s="1006"/>
      <c r="IX271" s="996">
        <v>0</v>
      </c>
      <c r="IY271" s="1006"/>
      <c r="IZ271" s="996">
        <v>0</v>
      </c>
      <c r="JA271" s="1006"/>
      <c r="JB271" s="996">
        <v>0</v>
      </c>
      <c r="JC271" s="1006" t="s">
        <v>223</v>
      </c>
      <c r="JD271" s="996">
        <v>-1.3770968199999993</v>
      </c>
      <c r="JE271" s="1006"/>
      <c r="JF271" s="996">
        <v>-0.97410720000000062</v>
      </c>
      <c r="JG271" s="1006"/>
      <c r="JH271" s="996">
        <v>0</v>
      </c>
      <c r="JI271" s="1006"/>
      <c r="JJ271" s="996">
        <v>-0.1595923999999993</v>
      </c>
      <c r="JK271" s="1007" t="s">
        <v>204</v>
      </c>
      <c r="JL271" s="1007">
        <v>1.8187179999999996</v>
      </c>
      <c r="JM271" s="1007"/>
      <c r="JN271" s="1007">
        <v>0</v>
      </c>
      <c r="JO271" s="1008"/>
      <c r="JP271" s="1007">
        <v>-1.1597660799999998</v>
      </c>
      <c r="JQ271" s="1008">
        <v>0</v>
      </c>
      <c r="JR271" s="1007">
        <v>0</v>
      </c>
      <c r="JS271" s="1008">
        <v>0</v>
      </c>
      <c r="JT271" s="1007">
        <v>0</v>
      </c>
      <c r="JU271" s="1008"/>
      <c r="JV271" s="1007">
        <v>0</v>
      </c>
      <c r="JW271" s="1008" t="s">
        <v>197</v>
      </c>
      <c r="JX271" s="1007">
        <v>0</v>
      </c>
      <c r="JY271" s="1008"/>
      <c r="JZ271" s="1007">
        <v>0</v>
      </c>
      <c r="KA271" s="1008"/>
      <c r="KB271" s="1007">
        <v>0</v>
      </c>
      <c r="KC271" s="1008" t="s">
        <v>240</v>
      </c>
      <c r="KD271" s="1007">
        <v>-2.1621595200000003</v>
      </c>
      <c r="KE271" s="1008"/>
      <c r="KF271" s="1007">
        <v>0</v>
      </c>
      <c r="KG271" s="1008"/>
      <c r="KH271" s="1007">
        <v>0</v>
      </c>
      <c r="KI271" s="1008"/>
      <c r="KJ271" s="1007">
        <v>0</v>
      </c>
      <c r="KK271" s="1008"/>
      <c r="KL271" s="1007">
        <v>0</v>
      </c>
      <c r="KM271" s="1008"/>
      <c r="KN271" s="1007">
        <v>0</v>
      </c>
      <c r="KO271" s="1008" t="s">
        <v>25</v>
      </c>
      <c r="KP271" s="1007">
        <v>6.0777200000000002</v>
      </c>
      <c r="KQ271" s="1008" t="s">
        <v>206</v>
      </c>
      <c r="KR271" s="1007">
        <v>-0.3971000000000009</v>
      </c>
      <c r="KS271" s="1008">
        <v>0</v>
      </c>
      <c r="KT271" s="1007">
        <v>0</v>
      </c>
      <c r="KU271" s="1008">
        <v>0</v>
      </c>
      <c r="KV271" s="1007">
        <v>0</v>
      </c>
      <c r="KW271" s="1008" t="s">
        <v>240</v>
      </c>
      <c r="KX271" s="1007">
        <v>-1.9854999999999992</v>
      </c>
      <c r="KY271" s="1008">
        <v>0</v>
      </c>
      <c r="KZ271" s="1007">
        <v>0</v>
      </c>
      <c r="LA271" s="1008" t="s">
        <v>204</v>
      </c>
      <c r="LB271" s="1007">
        <v>2.0482000000000005</v>
      </c>
      <c r="LC271" s="1008" t="s">
        <v>223</v>
      </c>
      <c r="LD271" s="1007">
        <v>-1.2289200000000005</v>
      </c>
      <c r="LE271" s="1008" t="s">
        <v>223</v>
      </c>
      <c r="LF271" s="1007">
        <v>-0.81928000000000001</v>
      </c>
      <c r="LG271" s="1008">
        <v>0</v>
      </c>
      <c r="LH271" s="1007">
        <v>0</v>
      </c>
      <c r="LI271" s="1008" t="s">
        <v>223</v>
      </c>
      <c r="LJ271" s="1007">
        <v>-0.98313600000000001</v>
      </c>
      <c r="LK271" s="1008" t="s">
        <v>206</v>
      </c>
      <c r="LL271" s="1007">
        <v>1.82416</v>
      </c>
      <c r="LM271" s="1008" t="s">
        <v>555</v>
      </c>
      <c r="LN271" s="1007">
        <v>-4.0964</v>
      </c>
      <c r="LO271" s="1008">
        <v>0</v>
      </c>
      <c r="LP271" s="1007">
        <v>-0.81928100000000004</v>
      </c>
      <c r="LQ271" s="1008" t="s">
        <v>204</v>
      </c>
      <c r="LR271" s="1007">
        <v>-2.7296</v>
      </c>
      <c r="LS271" s="1008">
        <v>0</v>
      </c>
      <c r="LT271" s="1007">
        <v>0</v>
      </c>
      <c r="LU271" s="1008">
        <v>0</v>
      </c>
      <c r="LV271" s="1007">
        <v>3.3754336000000009</v>
      </c>
      <c r="LW271" s="1008">
        <v>0</v>
      </c>
      <c r="LX271" s="1007">
        <v>0</v>
      </c>
      <c r="LY271" s="1009">
        <v>0</v>
      </c>
      <c r="LZ271" s="1010">
        <v>0</v>
      </c>
      <c r="MA271" s="1011" t="s">
        <v>207</v>
      </c>
      <c r="MB271" s="1012">
        <v>3.5586120000000001</v>
      </c>
      <c r="MC271" s="995"/>
      <c r="MD271" s="996"/>
      <c r="ME271" s="997" t="s">
        <v>238</v>
      </c>
      <c r="MF271" s="997"/>
      <c r="MG271" s="998"/>
      <c r="NR271" s="1000"/>
      <c r="NS271" s="1000"/>
      <c r="NT271" s="1001"/>
      <c r="NU271" s="1000"/>
      <c r="NV271" s="1001"/>
      <c r="NX271" s="1002"/>
      <c r="NZ271" s="1001"/>
      <c r="OA271" s="1001"/>
      <c r="OC271" s="1003"/>
      <c r="OD271" s="1003"/>
      <c r="OE271" s="1001"/>
      <c r="OF271" s="1003"/>
      <c r="OG271" s="1003"/>
      <c r="QX271" s="1000">
        <f>CN271-CA271</f>
        <v>26</v>
      </c>
      <c r="ASU271" s="999" t="s">
        <v>208</v>
      </c>
    </row>
    <row r="272" spans="1:466 1191:1191" ht="21" customHeight="1" x14ac:dyDescent="0.25">
      <c r="A272" s="982">
        <f t="shared" si="163"/>
        <v>1223</v>
      </c>
      <c r="B272" s="124">
        <f>SUBTOTAL(103,$J$29:J272)</f>
        <v>244</v>
      </c>
      <c r="C272" s="126">
        <v>45096</v>
      </c>
      <c r="D272" s="124" t="s">
        <v>176</v>
      </c>
      <c r="E272" s="127" t="s">
        <v>177</v>
      </c>
      <c r="F272" s="128" t="s">
        <v>177</v>
      </c>
      <c r="G272" s="127" t="s">
        <v>178</v>
      </c>
      <c r="H272" s="127" t="s">
        <v>421</v>
      </c>
      <c r="I272" s="127" t="s">
        <v>1153</v>
      </c>
      <c r="J272" s="152">
        <v>1223</v>
      </c>
      <c r="K272" s="127" t="s">
        <v>1153</v>
      </c>
      <c r="L272" s="130">
        <v>42053</v>
      </c>
      <c r="M272" s="127" t="s">
        <v>230</v>
      </c>
      <c r="N272" s="127" t="s">
        <v>231</v>
      </c>
      <c r="O272" s="127" t="s">
        <v>185</v>
      </c>
      <c r="P272" s="127" t="s">
        <v>208</v>
      </c>
      <c r="Q272" s="85" t="str">
        <f t="shared" si="187"/>
        <v/>
      </c>
      <c r="R272" s="130"/>
      <c r="S272" s="128"/>
      <c r="T272" s="131"/>
      <c r="U272" s="132">
        <v>203</v>
      </c>
      <c r="V272" s="121">
        <v>218.2</v>
      </c>
      <c r="W272" s="116">
        <v>0.98</v>
      </c>
      <c r="X272" s="116">
        <v>1.66</v>
      </c>
      <c r="Y272" s="116">
        <f t="shared" si="191"/>
        <v>0.98281820159010158</v>
      </c>
      <c r="Z272" s="133">
        <v>1.454</v>
      </c>
      <c r="AA272" s="133">
        <v>0.83599999999999997</v>
      </c>
      <c r="AB272" s="133">
        <v>0.72</v>
      </c>
      <c r="AC272" s="121">
        <v>34.299999999999997</v>
      </c>
      <c r="AD272" s="134">
        <v>1.17</v>
      </c>
      <c r="AE272" s="124">
        <v>177.8</v>
      </c>
      <c r="AF272" s="128">
        <v>9.19</v>
      </c>
      <c r="AG272" s="128">
        <v>2214</v>
      </c>
      <c r="AH272" s="127" t="s">
        <v>1216</v>
      </c>
      <c r="AI272" s="127" t="s">
        <v>1216</v>
      </c>
      <c r="AJ272" s="135"/>
      <c r="AK272" s="128"/>
      <c r="AL272" s="131"/>
      <c r="AM272" s="124" t="s">
        <v>232</v>
      </c>
      <c r="AN272" s="136" t="s">
        <v>1217</v>
      </c>
      <c r="AO272" s="137" t="s">
        <v>1218</v>
      </c>
      <c r="AP272" s="128" t="s">
        <v>1219</v>
      </c>
      <c r="AQ272" s="128">
        <v>291</v>
      </c>
      <c r="AR272" s="128"/>
      <c r="AS272" s="128"/>
      <c r="AT272" s="122"/>
      <c r="AU272" s="124" t="s">
        <v>189</v>
      </c>
      <c r="AV272" s="115">
        <f>VLOOKUP(J272,'[63]ТР нефть'!$J$28:$BP$638,39,0)</f>
        <v>449.999992969</v>
      </c>
      <c r="AW272" s="115" t="str">
        <f>VLOOKUP(J272,'[63]ТР нефть'!$J$28:$BP$638,40,0)</f>
        <v>ГП</v>
      </c>
      <c r="AX272" s="115">
        <f>VLOOKUP(J272,'[63]ТР нефть'!$J$28:$BP$638,41,0)</f>
        <v>809.99997246099997</v>
      </c>
      <c r="AY272" s="115" t="str">
        <f>VLOOKUP(J272,'[63]ТР нефть'!$J$28:$BP$638,42,0)</f>
        <v>ГП</v>
      </c>
      <c r="AZ272" s="115">
        <f>VLOOKUP(J272,'[63]ТР нефть'!$J$28:$BP$638,43,0)</f>
        <v>1089.999997852</v>
      </c>
      <c r="BA272" s="115" t="str">
        <f>VLOOKUP(J272,'[63]ТР нефть'!$J$28:$BP$638,44,0)</f>
        <v>ГП</v>
      </c>
      <c r="BB272" s="115">
        <f>VLOOKUP(J272,'[63]ТР нефть'!$J$28:$BP$638,45,0)</f>
        <v>1330.000008984</v>
      </c>
      <c r="BC272" s="115" t="str">
        <f>VLOOKUP(J272,'[63]ТР нефть'!$J$28:$BP$638,46,0)</f>
        <v>ГК 85 1/8</v>
      </c>
      <c r="BD272" s="115">
        <f>VLOOKUP(J272,'[63]ТР нефть'!$J$28:$BP$638,47,0)</f>
        <v>1530.0000058590001</v>
      </c>
      <c r="BE272" s="115" t="str">
        <f>VLOOKUP(J272,'[63]ТР нефть'!$J$28:$BP$638,48,0)</f>
        <v>ГК85 1/8</v>
      </c>
      <c r="BF272" s="115" t="str">
        <f>VLOOKUP(J272,'[63]ТР нефть'!$J$28:$BP$638,49,0)</f>
        <v>-</v>
      </c>
      <c r="BG272" s="115" t="str">
        <f>VLOOKUP(J272,'[63]ТР нефть'!$J$28:$BP$638,50,0)</f>
        <v>-</v>
      </c>
      <c r="BH272" s="115">
        <f>VLOOKUP(J272,'[63]ТР нефть'!$J$28:$BP$638,51,0)</f>
        <v>1850</v>
      </c>
      <c r="BI272" s="115" t="str">
        <f>VLOOKUP(J272,'[63]ТР нефть'!$J$28:$BP$638,52,0)</f>
        <v>открыт</v>
      </c>
      <c r="BJ272" s="115" t="str">
        <f>IF(IFERROR(VLOOKUP(J272,'[63]ТР нефть'!$J$28:$BP$638,53,0),"-")=0,"-",IFERROR(VLOOKUP(J272,'[63]ТР нефть'!$J$28:$BP$638,53,0),"-"))</f>
        <v>-</v>
      </c>
      <c r="BK272" s="138" t="str">
        <f>IF(IFERROR(VLOOKUP(J272,'[63]ТР нефть'!$J$28:$BP$638,54,0),"-")=0,"-",IFERROR(VLOOKUP(J272,'[63]ТР нефть'!$J$28:$BP$638,54,0),"-"))</f>
        <v>-</v>
      </c>
      <c r="BL272" s="138" t="str">
        <f>IF(IFERROR(VLOOKUP(J272,'[63]ТР нефть'!$J$28:$BP$638,55,0),"-")=0,"-",IFERROR(VLOOKUP(J272,'[63]ТР нефть'!$J$28:$BP$638,55,0),"-"))</f>
        <v>-</v>
      </c>
      <c r="BM272" s="138" t="str">
        <f>IF(IFERROR(VLOOKUP(J272,'[63]ТР нефть'!$J$28:$BP$638,56,0),"-")=0,"-",IFERROR(VLOOKUP(J272,'[63]ТР нефть'!$J$28:$BP$638,56,0),"-"))</f>
        <v>-</v>
      </c>
      <c r="BN272" s="138" t="str">
        <f>IF(IFERROR(VLOOKUP(J272,'[63]ТР нефть'!$J$28:$BP$638,57,0),"-")=0,"-",IFERROR(VLOOKUP(J272,'[63]ТР нефть'!$J$28:$BP$638,57,0),"-"))</f>
        <v>-</v>
      </c>
      <c r="BO272" s="115" t="str">
        <f>IF(IFERROR(VLOOKUP(J272,'[63]ТР нефть'!$J$28:$BP$638,58,0),"-")=0,"-",IFERROR(VLOOKUP(J272,'[63]ТР нефть'!$J$28:$BP$638,58,0),"-"))</f>
        <v>-</v>
      </c>
      <c r="BP272" s="115" t="str">
        <f>IF(IFERROR(VLOOKUP(J272,'[63]ТР нефть'!$J$28:$BP$638,59,0),"-")=0,"-",IFERROR(VLOOKUP(J272,'[63]ТР нефть'!$J$28:$BP$638,59,0),"-"))</f>
        <v>-</v>
      </c>
      <c r="BQ272" s="138">
        <v>2230</v>
      </c>
      <c r="BR272" s="128">
        <v>1927.76</v>
      </c>
      <c r="BS272" s="115">
        <f t="shared" si="164"/>
        <v>302.24</v>
      </c>
      <c r="BT272" s="128">
        <v>73</v>
      </c>
      <c r="BU272" s="128">
        <v>5.5</v>
      </c>
      <c r="BV272" s="127">
        <v>16</v>
      </c>
      <c r="BW272" s="127" t="s">
        <v>234</v>
      </c>
      <c r="BX272" s="127" t="s">
        <v>195</v>
      </c>
      <c r="BY272" s="139">
        <v>24</v>
      </c>
      <c r="BZ272" s="139">
        <v>0</v>
      </c>
      <c r="CA272" s="138">
        <v>27</v>
      </c>
      <c r="CB272" s="138">
        <v>36</v>
      </c>
      <c r="CC272" s="138">
        <v>26</v>
      </c>
      <c r="CD272" s="135">
        <v>45017</v>
      </c>
      <c r="CE272" s="138">
        <v>105</v>
      </c>
      <c r="CF272" s="138">
        <v>80</v>
      </c>
      <c r="CG272" s="138" t="str">
        <f t="shared" si="210"/>
        <v>В работе</v>
      </c>
      <c r="CH272" s="138" t="s">
        <v>196</v>
      </c>
      <c r="CI272" s="127">
        <v>6</v>
      </c>
      <c r="CJ272" s="138"/>
      <c r="CK272" s="138"/>
      <c r="CL272" s="99"/>
      <c r="CM272" s="99"/>
      <c r="CN272" s="140">
        <v>48</v>
      </c>
      <c r="CO272" s="141">
        <f t="shared" si="165"/>
        <v>3.0715476000000002</v>
      </c>
      <c r="CP272" s="142">
        <v>3.7</v>
      </c>
      <c r="CQ272" s="143">
        <v>0.7</v>
      </c>
      <c r="CR272" s="138">
        <v>19.600000000000001</v>
      </c>
      <c r="CS272" s="139">
        <v>12</v>
      </c>
      <c r="CT272" s="138"/>
      <c r="CU272" s="138">
        <f t="shared" si="188"/>
        <v>7.6000000000000014</v>
      </c>
      <c r="CV272" s="115">
        <f t="shared" si="189"/>
        <v>2474.3227160145593</v>
      </c>
      <c r="CW272" s="115">
        <f t="shared" si="166"/>
        <v>3869.0459493700514</v>
      </c>
      <c r="CX272" s="133">
        <f t="shared" si="190"/>
        <v>6.4912280701754393E-2</v>
      </c>
      <c r="CY272" s="116"/>
      <c r="CZ272" s="131"/>
      <c r="DA272" s="145" t="str">
        <f t="shared" si="167"/>
        <v>Газлифт</v>
      </c>
      <c r="DB272" s="146">
        <f t="shared" si="168"/>
        <v>3.0715476000000002</v>
      </c>
      <c r="DC272" s="142">
        <f t="shared" si="203"/>
        <v>3.7</v>
      </c>
      <c r="DD272" s="119">
        <f t="shared" si="204"/>
        <v>0.7</v>
      </c>
      <c r="DE272" s="115">
        <f t="shared" si="169"/>
        <v>7.6000000000000014</v>
      </c>
      <c r="DF272" s="121">
        <f t="shared" si="170"/>
        <v>12</v>
      </c>
      <c r="DG272" s="115">
        <f t="shared" si="171"/>
        <v>2474.3227160145593</v>
      </c>
      <c r="DH272" s="115">
        <f t="shared" si="172"/>
        <v>48</v>
      </c>
      <c r="DI272" s="147"/>
      <c r="DJ272" s="111">
        <v>43506</v>
      </c>
      <c r="DK272" s="112">
        <v>42034</v>
      </c>
      <c r="DL272" s="113">
        <f t="shared" ca="1" si="192"/>
        <v>3070</v>
      </c>
      <c r="DM272" s="114"/>
      <c r="DN272" s="114"/>
      <c r="DO272" s="114"/>
      <c r="DP272" s="114"/>
      <c r="DQ272" s="112">
        <v>42053</v>
      </c>
      <c r="DR272" s="114" t="s">
        <v>324</v>
      </c>
      <c r="DS272" s="114" t="s">
        <v>1220</v>
      </c>
      <c r="DT272" s="115">
        <v>50</v>
      </c>
      <c r="DU272" s="116">
        <f t="shared" si="193"/>
        <v>6.7272727272727276E-2</v>
      </c>
      <c r="DV272" s="117">
        <f t="shared" si="194"/>
        <v>3.0715476000000002</v>
      </c>
      <c r="DW272" s="118">
        <f t="shared" si="195"/>
        <v>3.7</v>
      </c>
      <c r="DX272" s="119">
        <f t="shared" si="173"/>
        <v>0.7</v>
      </c>
      <c r="DY272" s="115">
        <f t="shared" si="196"/>
        <v>7.6000000000000014</v>
      </c>
      <c r="DZ272" s="117">
        <f t="shared" si="197"/>
        <v>0</v>
      </c>
      <c r="EA272" s="120">
        <f t="shared" si="197"/>
        <v>0</v>
      </c>
      <c r="EB272" s="119">
        <f t="shared" si="197"/>
        <v>0</v>
      </c>
      <c r="EC272" s="121">
        <f t="shared" si="198"/>
        <v>0</v>
      </c>
      <c r="ED272" s="122"/>
      <c r="EE272" s="145">
        <v>16</v>
      </c>
      <c r="EF272" s="115">
        <v>27</v>
      </c>
      <c r="EG272" s="115">
        <v>36</v>
      </c>
      <c r="EH272" s="115">
        <v>26</v>
      </c>
      <c r="EI272" s="128" t="s">
        <v>195</v>
      </c>
      <c r="EJ272" s="121">
        <v>24</v>
      </c>
      <c r="EK272" s="121">
        <v>0</v>
      </c>
      <c r="EL272" s="149">
        <v>3.0715476000000002</v>
      </c>
      <c r="EM272" s="142">
        <v>3.7</v>
      </c>
      <c r="EN272" s="119">
        <v>0.7</v>
      </c>
      <c r="EO272" s="115">
        <v>19.600000000000001</v>
      </c>
      <c r="EP272" s="115">
        <v>2474.3227160145593</v>
      </c>
      <c r="EQ272" s="115">
        <v>80</v>
      </c>
      <c r="ER272" s="115">
        <v>12</v>
      </c>
      <c r="ES272" s="115">
        <v>48</v>
      </c>
      <c r="ET272" s="150">
        <v>6.4912280701754393E-2</v>
      </c>
      <c r="EU272" s="145">
        <f t="shared" si="174"/>
        <v>16</v>
      </c>
      <c r="EV272" s="115">
        <f t="shared" si="175"/>
        <v>27</v>
      </c>
      <c r="EW272" s="115">
        <f t="shared" si="175"/>
        <v>36</v>
      </c>
      <c r="EX272" s="115">
        <f t="shared" si="175"/>
        <v>26</v>
      </c>
      <c r="EY272" s="115" t="str">
        <f t="shared" si="206"/>
        <v>Постоянный</v>
      </c>
      <c r="EZ272" s="115">
        <f t="shared" si="206"/>
        <v>24</v>
      </c>
      <c r="FA272" s="115">
        <f t="shared" si="206"/>
        <v>0</v>
      </c>
      <c r="FB272" s="149">
        <f t="shared" si="209"/>
        <v>3.0715476000000002</v>
      </c>
      <c r="FC272" s="142">
        <f t="shared" si="209"/>
        <v>3.7</v>
      </c>
      <c r="FD272" s="119">
        <f t="shared" si="209"/>
        <v>0.7</v>
      </c>
      <c r="FE272" s="121">
        <f t="shared" si="208"/>
        <v>19.600000000000001</v>
      </c>
      <c r="FF272" s="121">
        <f t="shared" si="199"/>
        <v>2474.3227160145593</v>
      </c>
      <c r="FG272" s="121">
        <f t="shared" si="177"/>
        <v>80</v>
      </c>
      <c r="FH272" s="121">
        <f t="shared" si="200"/>
        <v>12</v>
      </c>
      <c r="FI272" s="121">
        <f t="shared" si="205"/>
        <v>48</v>
      </c>
      <c r="FJ272" s="144">
        <f t="shared" si="178"/>
        <v>6.4912280701754393E-2</v>
      </c>
      <c r="FK272" s="132">
        <f t="shared" si="179"/>
        <v>0</v>
      </c>
      <c r="FL272" s="115">
        <f t="shared" si="179"/>
        <v>0</v>
      </c>
      <c r="FM272" s="115">
        <f t="shared" si="179"/>
        <v>0</v>
      </c>
      <c r="FN272" s="115">
        <f t="shared" si="162"/>
        <v>0</v>
      </c>
      <c r="FO272" s="115">
        <f t="shared" si="201"/>
        <v>0</v>
      </c>
      <c r="FP272" s="115">
        <f t="shared" si="201"/>
        <v>0</v>
      </c>
      <c r="FQ272" s="149">
        <f t="shared" si="201"/>
        <v>0</v>
      </c>
      <c r="FR272" s="142">
        <f t="shared" si="201"/>
        <v>0</v>
      </c>
      <c r="FS272" s="119">
        <f t="shared" si="201"/>
        <v>0</v>
      </c>
      <c r="FT272" s="121">
        <f t="shared" si="201"/>
        <v>0</v>
      </c>
      <c r="FU272" s="121">
        <f t="shared" si="180"/>
        <v>0</v>
      </c>
      <c r="FV272" s="121">
        <f t="shared" si="180"/>
        <v>0</v>
      </c>
      <c r="FW272" s="121">
        <f t="shared" si="181"/>
        <v>0</v>
      </c>
      <c r="FX272" s="121">
        <f t="shared" si="182"/>
        <v>0</v>
      </c>
      <c r="FY272" s="144">
        <f t="shared" si="182"/>
        <v>0</v>
      </c>
      <c r="FZ272" s="145"/>
      <c r="GA272" s="151" t="s">
        <v>313</v>
      </c>
      <c r="GB272" s="145" t="s">
        <v>199</v>
      </c>
      <c r="GC272" s="151" t="s">
        <v>1221</v>
      </c>
      <c r="GD272" s="997" t="s">
        <v>238</v>
      </c>
      <c r="GE272" s="1004" t="s">
        <v>199</v>
      </c>
      <c r="GF272" s="1004">
        <v>-0.67164239999999964</v>
      </c>
      <c r="GG272" s="1004"/>
      <c r="GH272" s="1004">
        <v>9.4049999999999745E-2</v>
      </c>
      <c r="GI272" s="145"/>
      <c r="GJ272" s="996">
        <v>0</v>
      </c>
      <c r="GK272" s="145" t="s">
        <v>199</v>
      </c>
      <c r="GL272" s="996">
        <v>-3.0375331008000002</v>
      </c>
      <c r="GM272" s="1005"/>
      <c r="GN272" s="996">
        <v>0</v>
      </c>
      <c r="GO272" s="1006"/>
      <c r="GP272" s="996">
        <v>0</v>
      </c>
      <c r="GQ272" s="1006"/>
      <c r="GR272" s="996">
        <v>0</v>
      </c>
      <c r="GS272" s="1006"/>
      <c r="GT272" s="996">
        <v>0</v>
      </c>
      <c r="GU272" s="1006"/>
      <c r="GV272" s="996">
        <v>0</v>
      </c>
      <c r="GW272" s="1006"/>
      <c r="GX272" s="1049">
        <v>0</v>
      </c>
      <c r="GY272" s="1006"/>
      <c r="GZ272" s="996">
        <v>0</v>
      </c>
      <c r="HA272" s="1006"/>
      <c r="HB272" s="996">
        <v>0</v>
      </c>
      <c r="HC272" s="1006"/>
      <c r="HD272" s="996">
        <v>0</v>
      </c>
      <c r="HE272" s="1006" t="s">
        <v>199</v>
      </c>
      <c r="HF272" s="996">
        <v>-3.3051988991999988</v>
      </c>
      <c r="HG272" s="1006"/>
      <c r="HH272" s="996">
        <v>0.915921599999999</v>
      </c>
      <c r="HI272" s="1006"/>
      <c r="HJ272" s="996">
        <v>-0.63920894399999995</v>
      </c>
      <c r="HK272" s="1006" t="s">
        <v>199</v>
      </c>
      <c r="HL272" s="996">
        <v>5.292719344</v>
      </c>
      <c r="HM272" s="1006"/>
      <c r="HN272" s="996">
        <v>-0.17555999999999994</v>
      </c>
      <c r="HO272" s="1006"/>
      <c r="HP272" s="996">
        <v>0</v>
      </c>
      <c r="HQ272" s="1006"/>
      <c r="HR272" s="996">
        <v>0</v>
      </c>
      <c r="HS272" s="1006"/>
      <c r="HT272" s="996">
        <v>0</v>
      </c>
      <c r="HU272" s="1006"/>
      <c r="HV272" s="996">
        <v>-0.8360000000000003</v>
      </c>
      <c r="HW272" s="1006" t="s">
        <v>241</v>
      </c>
      <c r="HX272" s="996">
        <v>-1.9228000000000005</v>
      </c>
      <c r="HY272" s="1006"/>
      <c r="HZ272" s="996">
        <v>-0.16719999999999935</v>
      </c>
      <c r="IA272" s="1006"/>
      <c r="IB272" s="996">
        <v>0</v>
      </c>
      <c r="IC272" s="1006" t="s">
        <v>204</v>
      </c>
      <c r="ID272" s="996">
        <v>-2.5915999999999988</v>
      </c>
      <c r="IE272" s="1006" t="s">
        <v>199</v>
      </c>
      <c r="IF272" s="996">
        <v>6.1469407999999994</v>
      </c>
      <c r="IG272" s="1006" t="s">
        <v>199</v>
      </c>
      <c r="IH272" s="996">
        <v>-5.3742260000000002</v>
      </c>
      <c r="II272" s="1006" t="s">
        <v>199</v>
      </c>
      <c r="IJ272" s="996">
        <v>4.7206412000000002</v>
      </c>
      <c r="IK272" s="1006" t="s">
        <v>199</v>
      </c>
      <c r="IL272" s="996">
        <v>2.9836839999999993</v>
      </c>
      <c r="IM272" s="1006" t="s">
        <v>199</v>
      </c>
      <c r="IN272" s="996">
        <v>-7.3735199999999992</v>
      </c>
      <c r="IO272" s="1006" t="s">
        <v>203</v>
      </c>
      <c r="IP272" s="996">
        <v>-1.5892861600000003</v>
      </c>
      <c r="IQ272" s="1006"/>
      <c r="IR272" s="996">
        <v>0</v>
      </c>
      <c r="IS272" s="1006"/>
      <c r="IT272" s="996">
        <v>-3.0836361600000473E-2</v>
      </c>
      <c r="IU272" s="1006" t="s">
        <v>25</v>
      </c>
      <c r="IV272" s="996">
        <v>4.3622025216000004</v>
      </c>
      <c r="IW272" s="1006"/>
      <c r="IX272" s="996">
        <v>0</v>
      </c>
      <c r="IY272" s="1006" t="s">
        <v>199</v>
      </c>
      <c r="IZ272" s="996">
        <v>4.5979999999999999</v>
      </c>
      <c r="JA272" s="1006" t="s">
        <v>199</v>
      </c>
      <c r="JB272" s="996">
        <v>-5.684800000000001</v>
      </c>
      <c r="JC272" s="1006" t="s">
        <v>199</v>
      </c>
      <c r="JD272" s="996">
        <v>2.7153280000000013</v>
      </c>
      <c r="JE272" s="1006"/>
      <c r="JF272" s="996">
        <v>0</v>
      </c>
      <c r="JG272" s="1006" t="s">
        <v>199</v>
      </c>
      <c r="JH272" s="996">
        <v>-2.6120903599999989</v>
      </c>
      <c r="JI272" s="1006"/>
      <c r="JJ272" s="996">
        <v>0</v>
      </c>
      <c r="JK272" s="1007"/>
      <c r="JL272" s="1007">
        <v>1.0004913599999981</v>
      </c>
      <c r="JM272" s="1007"/>
      <c r="JN272" s="1007">
        <v>0</v>
      </c>
      <c r="JO272" s="1008" t="s">
        <v>199</v>
      </c>
      <c r="JP272" s="1007">
        <v>-4.3771496999999986</v>
      </c>
      <c r="JQ272" s="1008">
        <v>0</v>
      </c>
      <c r="JR272" s="1007">
        <v>-0.20082810000000073</v>
      </c>
      <c r="JS272" s="1008" t="s">
        <v>204</v>
      </c>
      <c r="JT272" s="1007">
        <v>-2.3336103999999995</v>
      </c>
      <c r="JU272" s="1008"/>
      <c r="JV272" s="1007">
        <v>0</v>
      </c>
      <c r="JW272" s="1008" t="s">
        <v>206</v>
      </c>
      <c r="JX272" s="1007">
        <v>-5.7595383999999967</v>
      </c>
      <c r="JY272" s="1008"/>
      <c r="JZ272" s="1007">
        <v>0</v>
      </c>
      <c r="KA272" s="1008" t="s">
        <v>199</v>
      </c>
      <c r="KB272" s="1007">
        <v>12.392063947999997</v>
      </c>
      <c r="KC272" s="1008"/>
      <c r="KD272" s="1007">
        <v>0</v>
      </c>
      <c r="KE272" s="1008" t="s">
        <v>199</v>
      </c>
      <c r="KF272" s="1007">
        <v>-7.9124415479999977</v>
      </c>
      <c r="KG272" s="1008"/>
      <c r="KH272" s="1007">
        <v>0</v>
      </c>
      <c r="KI272" s="1008" t="s">
        <v>206</v>
      </c>
      <c r="KJ272" s="1007">
        <v>2.5399351999999968</v>
      </c>
      <c r="KK272" s="1008"/>
      <c r="KL272" s="1007">
        <v>0</v>
      </c>
      <c r="KM272" s="1008"/>
      <c r="KN272" s="1007">
        <v>0</v>
      </c>
      <c r="KO272" s="1008"/>
      <c r="KP272" s="1007">
        <v>0</v>
      </c>
      <c r="KQ272" s="1008" t="s">
        <v>240</v>
      </c>
      <c r="KR272" s="1007">
        <v>1.3359280000000009</v>
      </c>
      <c r="KS272" s="1008" t="s">
        <v>223</v>
      </c>
      <c r="KT272" s="1007">
        <v>-3.0915280000000003</v>
      </c>
      <c r="KU272" s="1008" t="s">
        <v>206</v>
      </c>
      <c r="KV272" s="1007">
        <v>0.78584000000000209</v>
      </c>
      <c r="KW272" s="1008">
        <v>0</v>
      </c>
      <c r="KX272" s="1007">
        <v>0</v>
      </c>
      <c r="KY272" s="1008" t="s">
        <v>206</v>
      </c>
      <c r="KZ272" s="1007">
        <v>-3.623224000000004</v>
      </c>
      <c r="LA272" s="1008" t="s">
        <v>223</v>
      </c>
      <c r="LB272" s="1007">
        <v>-1.9988759999999957</v>
      </c>
      <c r="LC272" s="1008" t="s">
        <v>199</v>
      </c>
      <c r="LD272" s="1007">
        <v>3.7436916</v>
      </c>
      <c r="LE272" s="1008">
        <v>0</v>
      </c>
      <c r="LF272" s="1007">
        <v>0</v>
      </c>
      <c r="LG272" s="1008">
        <v>0</v>
      </c>
      <c r="LH272" s="1007">
        <v>0</v>
      </c>
      <c r="LI272" s="1008" t="s">
        <v>199</v>
      </c>
      <c r="LJ272" s="1007">
        <v>3.9174123999999964</v>
      </c>
      <c r="LK272" s="1008">
        <v>0</v>
      </c>
      <c r="LL272" s="1007">
        <v>0</v>
      </c>
      <c r="LM272" s="1008" t="s">
        <v>555</v>
      </c>
      <c r="LN272" s="1007">
        <v>-4.1674600000000002</v>
      </c>
      <c r="LO272" s="1008">
        <v>0</v>
      </c>
      <c r="LP272" s="1007">
        <v>0</v>
      </c>
      <c r="LQ272" s="1008">
        <v>0</v>
      </c>
      <c r="LR272" s="1007">
        <v>0</v>
      </c>
      <c r="LS272" s="1008">
        <v>0</v>
      </c>
      <c r="LT272" s="1007">
        <v>-2.5476000000000001</v>
      </c>
      <c r="LU272" s="1008" t="s">
        <v>206</v>
      </c>
      <c r="LV272" s="1007">
        <v>-0.83349200000000001</v>
      </c>
      <c r="LW272" s="1008" t="s">
        <v>207</v>
      </c>
      <c r="LX272" s="1007">
        <v>-13.335872000000002</v>
      </c>
      <c r="LY272" s="1009" t="s">
        <v>206</v>
      </c>
      <c r="LZ272" s="1010">
        <v>2.5476000000000001</v>
      </c>
      <c r="MA272" s="1011">
        <v>0</v>
      </c>
      <c r="MB272" s="1012">
        <v>1.6669840000000029</v>
      </c>
      <c r="MC272" s="995"/>
      <c r="MD272" s="996"/>
      <c r="ME272" s="997" t="s">
        <v>238</v>
      </c>
      <c r="MF272" s="997"/>
      <c r="MG272" s="998"/>
      <c r="NR272" s="1000"/>
      <c r="NS272" s="1000"/>
      <c r="NT272" s="1001"/>
      <c r="NU272" s="1000"/>
      <c r="NV272" s="1001"/>
      <c r="NX272" s="1002"/>
      <c r="NZ272" s="1001"/>
      <c r="OA272" s="1001"/>
      <c r="OC272" s="1003"/>
      <c r="OD272" s="1003"/>
      <c r="OE272" s="1001"/>
      <c r="OF272" s="1003"/>
      <c r="OG272" s="1003"/>
      <c r="QX272" s="1000">
        <f>CN272-CA272</f>
        <v>21</v>
      </c>
      <c r="ASU272" s="999" t="s">
        <v>208</v>
      </c>
    </row>
    <row r="273" spans="1:466 1191:1191" ht="21" customHeight="1" x14ac:dyDescent="0.25">
      <c r="A273" s="982">
        <f t="shared" si="163"/>
        <v>1224</v>
      </c>
      <c r="B273" s="124">
        <f>SUBTOTAL(103,$J$29:J273)</f>
        <v>245</v>
      </c>
      <c r="C273" s="126">
        <v>45096</v>
      </c>
      <c r="D273" s="124" t="s">
        <v>176</v>
      </c>
      <c r="E273" s="127" t="s">
        <v>177</v>
      </c>
      <c r="F273" s="128" t="s">
        <v>177</v>
      </c>
      <c r="G273" s="127" t="s">
        <v>178</v>
      </c>
      <c r="H273" s="127" t="s">
        <v>421</v>
      </c>
      <c r="I273" s="127" t="s">
        <v>760</v>
      </c>
      <c r="J273" s="152">
        <v>1224</v>
      </c>
      <c r="K273" s="127" t="s">
        <v>838</v>
      </c>
      <c r="L273" s="130">
        <v>41603</v>
      </c>
      <c r="M273" s="127" t="s">
        <v>230</v>
      </c>
      <c r="N273" s="127" t="s">
        <v>231</v>
      </c>
      <c r="O273" s="127" t="s">
        <v>185</v>
      </c>
      <c r="P273" s="127" t="s">
        <v>208</v>
      </c>
      <c r="Q273" s="85" t="str">
        <f t="shared" si="187"/>
        <v/>
      </c>
      <c r="R273" s="130"/>
      <c r="S273" s="128" t="s">
        <v>156</v>
      </c>
      <c r="T273" s="131"/>
      <c r="U273" s="132">
        <v>203</v>
      </c>
      <c r="V273" s="121">
        <v>218.2</v>
      </c>
      <c r="W273" s="116">
        <v>0.98</v>
      </c>
      <c r="X273" s="116">
        <v>1.66</v>
      </c>
      <c r="Y273" s="116">
        <f t="shared" si="191"/>
        <v>0.98008029573507216</v>
      </c>
      <c r="Z273" s="133">
        <v>1.454</v>
      </c>
      <c r="AA273" s="133">
        <v>0.83599999999999997</v>
      </c>
      <c r="AB273" s="133">
        <v>0.72</v>
      </c>
      <c r="AC273" s="121">
        <v>34.299999999999997</v>
      </c>
      <c r="AD273" s="134">
        <v>1.17</v>
      </c>
      <c r="AE273" s="124">
        <v>177.8</v>
      </c>
      <c r="AF273" s="128">
        <v>9.19</v>
      </c>
      <c r="AG273" s="128">
        <v>2068</v>
      </c>
      <c r="AH273" s="127">
        <v>2713</v>
      </c>
      <c r="AI273" s="127">
        <v>2713</v>
      </c>
      <c r="AJ273" s="135"/>
      <c r="AK273" s="128"/>
      <c r="AL273" s="131"/>
      <c r="AM273" s="124" t="s">
        <v>232</v>
      </c>
      <c r="AN273" s="136" t="s">
        <v>1222</v>
      </c>
      <c r="AO273" s="137">
        <v>6.42</v>
      </c>
      <c r="AP273" s="128">
        <v>2068</v>
      </c>
      <c r="AQ273" s="128">
        <v>82.54</v>
      </c>
      <c r="AR273" s="128"/>
      <c r="AS273" s="128"/>
      <c r="AT273" s="122"/>
      <c r="AU273" s="124" t="s">
        <v>250</v>
      </c>
      <c r="AV273" s="115">
        <f>VLOOKUP(J273,'[63]ТР нефть'!$J$28:$BP$638,39,0)</f>
        <v>350</v>
      </c>
      <c r="AW273" s="115" t="str">
        <f>VLOOKUP(J273,'[63]ТР нефть'!$J$28:$BP$638,40,0)</f>
        <v>ГП</v>
      </c>
      <c r="AX273" s="115">
        <f>VLOOKUP(J273,'[63]ТР нефть'!$J$28:$BP$638,41,0)</f>
        <v>700</v>
      </c>
      <c r="AY273" s="115" t="str">
        <f>VLOOKUP(J273,'[63]ТР нефть'!$J$28:$BP$638,42,0)</f>
        <v>ГП</v>
      </c>
      <c r="AZ273" s="115">
        <f>VLOOKUP(J273,'[63]ТР нефть'!$J$28:$BP$638,43,0)</f>
        <v>1200</v>
      </c>
      <c r="BA273" s="115" t="str">
        <f>VLOOKUP(J273,'[63]ТР нефть'!$J$28:$BP$638,44,0)</f>
        <v>ГК 100 1/8</v>
      </c>
      <c r="BB273" s="115">
        <f>VLOOKUP(J273,'[63]ТР нефть'!$J$28:$BP$638,45,0)</f>
        <v>1808</v>
      </c>
      <c r="BC273" s="115" t="str">
        <f>VLOOKUP(J273,'[63]ТР нефть'!$J$28:$BP$638,46,0)</f>
        <v>ЦКсОК 5/16</v>
      </c>
      <c r="BD273" s="115" t="str">
        <f>VLOOKUP(J273,'[63]ТР нефть'!$J$28:$BP$638,47,0)</f>
        <v>-</v>
      </c>
      <c r="BE273" s="115" t="str">
        <f>VLOOKUP(J273,'[63]ТР нефть'!$J$28:$BP$638,48,0)</f>
        <v>-</v>
      </c>
      <c r="BF273" s="115" t="str">
        <f>VLOOKUP(J273,'[63]ТР нефть'!$J$28:$BP$638,49,0)</f>
        <v>-</v>
      </c>
      <c r="BG273" s="115" t="str">
        <f>VLOOKUP(J273,'[63]ТР нефть'!$J$28:$BP$638,50,0)</f>
        <v>-</v>
      </c>
      <c r="BH273" s="115">
        <f>VLOOKUP(J273,'[63]ТР нефть'!$J$28:$BP$638,51,0)</f>
        <v>1818</v>
      </c>
      <c r="BI273" s="115" t="str">
        <f>VLOOKUP(J273,'[63]ТР нефть'!$J$28:$BP$638,52,0)</f>
        <v>закрыт</v>
      </c>
      <c r="BJ273" s="115" t="str">
        <f>IF(IFERROR(VLOOKUP(J273,'[63]ТР нефть'!$J$28:$BP$638,53,0),"-")=0,"-",IFERROR(VLOOKUP(J273,'[63]ТР нефть'!$J$28:$BP$638,53,0),"-"))</f>
        <v>-</v>
      </c>
      <c r="BK273" s="138" t="str">
        <f>IF(IFERROR(VLOOKUP(J273,'[63]ТР нефть'!$J$28:$BP$638,54,0),"-")=0,"-",IFERROR(VLOOKUP(J273,'[63]ТР нефть'!$J$28:$BP$638,54,0),"-"))</f>
        <v>-</v>
      </c>
      <c r="BL273" s="138" t="str">
        <f>IF(IFERROR(VLOOKUP(J273,'[63]ТР нефть'!$J$28:$BP$638,55,0),"-")=0,"-",IFERROR(VLOOKUP(J273,'[63]ТР нефть'!$J$28:$BP$638,55,0),"-"))</f>
        <v>-</v>
      </c>
      <c r="BM273" s="138" t="str">
        <f>IF(IFERROR(VLOOKUP(J273,'[63]ТР нефть'!$J$28:$BP$638,56,0),"-")=0,"-",IFERROR(VLOOKUP(J273,'[63]ТР нефть'!$J$28:$BP$638,56,0),"-"))</f>
        <v>-</v>
      </c>
      <c r="BN273" s="138" t="str">
        <f>IF(IFERROR(VLOOKUP(J273,'[63]ТР нефть'!$J$28:$BP$638,57,0),"-")=0,"-",IFERROR(VLOOKUP(J273,'[63]ТР нефть'!$J$28:$BP$638,57,0),"-"))</f>
        <v>-</v>
      </c>
      <c r="BO273" s="115" t="str">
        <f>IF(IFERROR(VLOOKUP(J273,'[63]ТР нефть'!$J$28:$BP$638,58,0),"-")=0,"-",IFERROR(VLOOKUP(J273,'[63]ТР нефть'!$J$28:$BP$638,58,0),"-"))</f>
        <v>-</v>
      </c>
      <c r="BP273" s="115" t="str">
        <f>IF(IFERROR(VLOOKUP(J273,'[63]ТР нефть'!$J$28:$BP$638,59,0),"-")=0,"-",IFERROR(VLOOKUP(J273,'[63]ТР нефть'!$J$28:$BP$638,59,0),"-"))</f>
        <v>-</v>
      </c>
      <c r="BQ273" s="138">
        <v>2080</v>
      </c>
      <c r="BR273" s="128">
        <v>1889.57</v>
      </c>
      <c r="BS273" s="115">
        <f t="shared" si="164"/>
        <v>190.43000000000006</v>
      </c>
      <c r="BT273" s="128">
        <v>73</v>
      </c>
      <c r="BU273" s="128">
        <v>5.5</v>
      </c>
      <c r="BV273" s="127">
        <v>18</v>
      </c>
      <c r="BW273" s="127" t="s">
        <v>234</v>
      </c>
      <c r="BX273" s="127" t="s">
        <v>195</v>
      </c>
      <c r="BY273" s="139">
        <v>24</v>
      </c>
      <c r="BZ273" s="139">
        <v>0</v>
      </c>
      <c r="CA273" s="138">
        <v>23</v>
      </c>
      <c r="CB273" s="138">
        <v>32</v>
      </c>
      <c r="CC273" s="138">
        <v>22</v>
      </c>
      <c r="CD273" s="135">
        <v>45017</v>
      </c>
      <c r="CE273" s="138">
        <v>93</v>
      </c>
      <c r="CF273" s="138"/>
      <c r="CG273" s="138" t="str">
        <f t="shared" si="210"/>
        <v/>
      </c>
      <c r="CH273" s="138" t="s">
        <v>197</v>
      </c>
      <c r="CI273" s="127"/>
      <c r="CJ273" s="138"/>
      <c r="CK273" s="138"/>
      <c r="CL273" s="99"/>
      <c r="CM273" s="138"/>
      <c r="CN273" s="154">
        <v>40</v>
      </c>
      <c r="CO273" s="141">
        <f t="shared" si="165"/>
        <v>6.2687459999999993</v>
      </c>
      <c r="CP273" s="142">
        <v>7.5</v>
      </c>
      <c r="CQ273" s="143">
        <v>0.02</v>
      </c>
      <c r="CR273" s="138">
        <v>23.5</v>
      </c>
      <c r="CS273" s="139"/>
      <c r="CT273" s="138"/>
      <c r="CU273" s="138">
        <f t="shared" si="188"/>
        <v>23.5</v>
      </c>
      <c r="CV273" s="115">
        <f t="shared" si="189"/>
        <v>3748.7561308114896</v>
      </c>
      <c r="CW273" s="115" t="str">
        <f t="shared" si="166"/>
        <v/>
      </c>
      <c r="CX273" s="133">
        <f t="shared" si="190"/>
        <v>0.14150943396226415</v>
      </c>
      <c r="CY273" s="116"/>
      <c r="CZ273" s="131"/>
      <c r="DA273" s="145" t="str">
        <f t="shared" si="167"/>
        <v>Фон.</v>
      </c>
      <c r="DB273" s="146">
        <f t="shared" si="168"/>
        <v>6.2687459999999993</v>
      </c>
      <c r="DC273" s="142">
        <f t="shared" si="203"/>
        <v>7.5</v>
      </c>
      <c r="DD273" s="119">
        <f t="shared" si="204"/>
        <v>0.02</v>
      </c>
      <c r="DE273" s="115">
        <f t="shared" si="169"/>
        <v>23.5</v>
      </c>
      <c r="DF273" s="121">
        <f t="shared" si="170"/>
        <v>0</v>
      </c>
      <c r="DG273" s="115">
        <f t="shared" si="171"/>
        <v>3748.7561308114896</v>
      </c>
      <c r="DH273" s="115">
        <f t="shared" si="172"/>
        <v>40</v>
      </c>
      <c r="DI273" s="147"/>
      <c r="DJ273" s="111">
        <v>43400</v>
      </c>
      <c r="DK273" s="112">
        <v>41603</v>
      </c>
      <c r="DL273" s="113">
        <f t="shared" ca="1" si="192"/>
        <v>3501</v>
      </c>
      <c r="DM273" s="114"/>
      <c r="DN273" s="114"/>
      <c r="DO273" s="114"/>
      <c r="DP273" s="114"/>
      <c r="DQ273" s="112">
        <v>43408</v>
      </c>
      <c r="DR273" s="114" t="s">
        <v>198</v>
      </c>
      <c r="DS273" s="114"/>
      <c r="DT273" s="115">
        <v>41</v>
      </c>
      <c r="DU273" s="116">
        <f t="shared" si="193"/>
        <v>0.14423076923076922</v>
      </c>
      <c r="DV273" s="117">
        <f t="shared" si="194"/>
        <v>6.2687459999999993</v>
      </c>
      <c r="DW273" s="118">
        <f t="shared" si="195"/>
        <v>7.5</v>
      </c>
      <c r="DX273" s="119">
        <f t="shared" si="173"/>
        <v>0.02</v>
      </c>
      <c r="DY273" s="115">
        <f t="shared" si="196"/>
        <v>23.5</v>
      </c>
      <c r="DZ273" s="117">
        <f t="shared" si="197"/>
        <v>0</v>
      </c>
      <c r="EA273" s="120">
        <f t="shared" si="197"/>
        <v>0</v>
      </c>
      <c r="EB273" s="119">
        <f t="shared" si="197"/>
        <v>0</v>
      </c>
      <c r="EC273" s="121">
        <f t="shared" si="198"/>
        <v>0</v>
      </c>
      <c r="ED273" s="122"/>
      <c r="EE273" s="145">
        <v>18</v>
      </c>
      <c r="EF273" s="115">
        <v>23</v>
      </c>
      <c r="EG273" s="115">
        <v>32</v>
      </c>
      <c r="EH273" s="115">
        <v>22</v>
      </c>
      <c r="EI273" s="128" t="s">
        <v>195</v>
      </c>
      <c r="EJ273" s="121">
        <v>24</v>
      </c>
      <c r="EK273" s="121">
        <v>0</v>
      </c>
      <c r="EL273" s="149">
        <v>6.2687459999999993</v>
      </c>
      <c r="EM273" s="142">
        <v>7.5</v>
      </c>
      <c r="EN273" s="119">
        <v>0.02</v>
      </c>
      <c r="EO273" s="115">
        <v>23.5</v>
      </c>
      <c r="EP273" s="115">
        <v>3748.7561308114896</v>
      </c>
      <c r="EQ273" s="115">
        <v>0</v>
      </c>
      <c r="ER273" s="115">
        <v>0</v>
      </c>
      <c r="ES273" s="115">
        <v>40</v>
      </c>
      <c r="ET273" s="150">
        <v>0.14150943396226415</v>
      </c>
      <c r="EU273" s="145">
        <f t="shared" si="174"/>
        <v>18</v>
      </c>
      <c r="EV273" s="115">
        <f t="shared" si="175"/>
        <v>23</v>
      </c>
      <c r="EW273" s="115">
        <f t="shared" si="175"/>
        <v>32</v>
      </c>
      <c r="EX273" s="115">
        <f t="shared" si="175"/>
        <v>22</v>
      </c>
      <c r="EY273" s="115" t="str">
        <f t="shared" si="206"/>
        <v>Постоянный</v>
      </c>
      <c r="EZ273" s="115">
        <f t="shared" si="206"/>
        <v>24</v>
      </c>
      <c r="FA273" s="115">
        <f t="shared" si="206"/>
        <v>0</v>
      </c>
      <c r="FB273" s="149">
        <f t="shared" si="209"/>
        <v>6.2687459999999993</v>
      </c>
      <c r="FC273" s="142">
        <f t="shared" si="209"/>
        <v>7.5</v>
      </c>
      <c r="FD273" s="119">
        <f t="shared" si="209"/>
        <v>0.02</v>
      </c>
      <c r="FE273" s="121">
        <f t="shared" si="208"/>
        <v>23.5</v>
      </c>
      <c r="FF273" s="121">
        <f t="shared" si="199"/>
        <v>3748.7561308114896</v>
      </c>
      <c r="FG273" s="121">
        <f t="shared" si="177"/>
        <v>0</v>
      </c>
      <c r="FH273" s="121">
        <f t="shared" si="200"/>
        <v>0</v>
      </c>
      <c r="FI273" s="121">
        <f t="shared" si="205"/>
        <v>40</v>
      </c>
      <c r="FJ273" s="144">
        <f t="shared" si="178"/>
        <v>0.14150943396226415</v>
      </c>
      <c r="FK273" s="132">
        <f t="shared" si="179"/>
        <v>0</v>
      </c>
      <c r="FL273" s="115">
        <f t="shared" si="179"/>
        <v>0</v>
      </c>
      <c r="FM273" s="115">
        <f t="shared" si="179"/>
        <v>0</v>
      </c>
      <c r="FN273" s="115">
        <f t="shared" si="162"/>
        <v>0</v>
      </c>
      <c r="FO273" s="115">
        <f t="shared" si="201"/>
        <v>0</v>
      </c>
      <c r="FP273" s="115">
        <f t="shared" si="201"/>
        <v>0</v>
      </c>
      <c r="FQ273" s="149">
        <f t="shared" si="201"/>
        <v>0</v>
      </c>
      <c r="FR273" s="142">
        <f t="shared" si="201"/>
        <v>0</v>
      </c>
      <c r="FS273" s="119">
        <f t="shared" si="201"/>
        <v>0</v>
      </c>
      <c r="FT273" s="121">
        <f t="shared" si="201"/>
        <v>0</v>
      </c>
      <c r="FU273" s="121">
        <f t="shared" si="180"/>
        <v>0</v>
      </c>
      <c r="FV273" s="121">
        <f t="shared" si="180"/>
        <v>0</v>
      </c>
      <c r="FW273" s="121">
        <f t="shared" si="181"/>
        <v>0</v>
      </c>
      <c r="FX273" s="121">
        <f t="shared" si="182"/>
        <v>0</v>
      </c>
      <c r="FY273" s="144">
        <f t="shared" si="182"/>
        <v>0</v>
      </c>
      <c r="FZ273" s="145"/>
      <c r="GA273" s="163" t="s">
        <v>313</v>
      </c>
      <c r="GB273" s="145"/>
      <c r="GC273" s="151" t="s">
        <v>237</v>
      </c>
      <c r="GD273" s="997" t="s">
        <v>238</v>
      </c>
      <c r="GE273" s="1004"/>
      <c r="GF273" s="1004">
        <v>-0.14209157600000122</v>
      </c>
      <c r="GG273" s="1004"/>
      <c r="GH273" s="1004">
        <v>0</v>
      </c>
      <c r="GI273" s="145"/>
      <c r="GJ273" s="996">
        <v>0</v>
      </c>
      <c r="GK273" s="145"/>
      <c r="GL273" s="996">
        <v>0.13310959200000116</v>
      </c>
      <c r="GM273" s="1005"/>
      <c r="GN273" s="996">
        <v>0</v>
      </c>
      <c r="GO273" s="1006"/>
      <c r="GP273" s="996">
        <v>0</v>
      </c>
      <c r="GQ273" s="1006"/>
      <c r="GR273" s="996">
        <v>0</v>
      </c>
      <c r="GS273" s="1006"/>
      <c r="GT273" s="996">
        <v>0.62037135599999971</v>
      </c>
      <c r="GU273" s="1006"/>
      <c r="GV273" s="996">
        <v>-0.42287137199999947</v>
      </c>
      <c r="GW273" s="1006"/>
      <c r="GX273" s="1049">
        <v>0</v>
      </c>
      <c r="GY273" s="1006"/>
      <c r="GZ273" s="996">
        <v>0</v>
      </c>
      <c r="HA273" s="1006"/>
      <c r="HB273" s="996">
        <v>0</v>
      </c>
      <c r="HC273" s="1006"/>
      <c r="HD273" s="996">
        <v>0</v>
      </c>
      <c r="HE273" s="1006"/>
      <c r="HF273" s="996">
        <v>0</v>
      </c>
      <c r="HG273" s="1006"/>
      <c r="HH273" s="996">
        <v>0</v>
      </c>
      <c r="HI273" s="1006"/>
      <c r="HJ273" s="996"/>
      <c r="HK273" s="1006"/>
      <c r="HL273" s="996">
        <v>0</v>
      </c>
      <c r="HM273" s="1006"/>
      <c r="HN273" s="996">
        <v>0.20231200000000005</v>
      </c>
      <c r="HO273" s="1006" t="s">
        <v>199</v>
      </c>
      <c r="HP273" s="996">
        <v>-4.7041719999999998</v>
      </c>
      <c r="HQ273" s="1006"/>
      <c r="HR273" s="996">
        <v>0</v>
      </c>
      <c r="HS273" s="1006"/>
      <c r="HT273" s="996">
        <v>0.8360000000000003</v>
      </c>
      <c r="HU273" s="1006"/>
      <c r="HV273" s="996">
        <v>0.66880000000000095</v>
      </c>
      <c r="HW273" s="1006"/>
      <c r="HX273" s="996">
        <v>0</v>
      </c>
      <c r="HY273" s="1006" t="s">
        <v>221</v>
      </c>
      <c r="HZ273" s="996">
        <v>-4.8488000000000007</v>
      </c>
      <c r="IA273" s="1006"/>
      <c r="IB273" s="996">
        <v>0.16719999999999935</v>
      </c>
      <c r="IC273" s="1006" t="s">
        <v>199</v>
      </c>
      <c r="ID273" s="996">
        <v>5.9272399999999994</v>
      </c>
      <c r="IE273" s="1006"/>
      <c r="IF273" s="996">
        <v>0</v>
      </c>
      <c r="IG273" s="1006"/>
      <c r="IH273" s="996">
        <v>0</v>
      </c>
      <c r="II273" s="1006"/>
      <c r="IJ273" s="996">
        <v>0</v>
      </c>
      <c r="IK273" s="1006"/>
      <c r="IL273" s="996">
        <v>0</v>
      </c>
      <c r="IM273" s="1006" t="s">
        <v>199</v>
      </c>
      <c r="IN273" s="996">
        <v>-6.6796399999999974</v>
      </c>
      <c r="IO273" s="1006" t="s">
        <v>204</v>
      </c>
      <c r="IP273" s="996">
        <v>-2.6752000000000002</v>
      </c>
      <c r="IQ273" s="1006" t="s">
        <v>204</v>
      </c>
      <c r="IR273" s="996">
        <v>7.4403999999999986</v>
      </c>
      <c r="IS273" s="1006" t="s">
        <v>204</v>
      </c>
      <c r="IT273" s="996">
        <v>1.8893599999999999</v>
      </c>
      <c r="IU273" s="1006" t="s">
        <v>204</v>
      </c>
      <c r="IV273" s="996">
        <v>-1.1159763999999992</v>
      </c>
      <c r="IW273" s="1006"/>
      <c r="IX273" s="996">
        <v>0</v>
      </c>
      <c r="IY273" s="1006"/>
      <c r="IZ273" s="996">
        <v>0</v>
      </c>
      <c r="JA273" s="1006"/>
      <c r="JB273" s="996">
        <v>0</v>
      </c>
      <c r="JC273" s="1006"/>
      <c r="JD273" s="996">
        <v>0</v>
      </c>
      <c r="JE273" s="1006" t="s">
        <v>204</v>
      </c>
      <c r="JF273" s="996">
        <v>2.3365363999999991</v>
      </c>
      <c r="JG273" s="1006"/>
      <c r="JH273" s="996">
        <v>0</v>
      </c>
      <c r="JI273" s="1006"/>
      <c r="JJ273" s="996">
        <v>0</v>
      </c>
      <c r="JK273" s="1007" t="s">
        <v>199</v>
      </c>
      <c r="JL273" s="1007">
        <v>-2.60832</v>
      </c>
      <c r="JM273" s="1007"/>
      <c r="JN273" s="1007">
        <v>0</v>
      </c>
      <c r="JO273" s="1008"/>
      <c r="JP273" s="1007">
        <v>0</v>
      </c>
      <c r="JQ273" s="1008">
        <v>0</v>
      </c>
      <c r="JR273" s="1007">
        <v>-0.23290959999999927</v>
      </c>
      <c r="JS273" s="1008">
        <v>0</v>
      </c>
      <c r="JT273" s="1007">
        <v>0</v>
      </c>
      <c r="JU273" s="1008" t="s">
        <v>199</v>
      </c>
      <c r="JV273" s="1007">
        <v>4.5888039999999988</v>
      </c>
      <c r="JW273" s="1008" t="s">
        <v>197</v>
      </c>
      <c r="JX273" s="1007">
        <v>0</v>
      </c>
      <c r="JY273" s="1008" t="s">
        <v>199</v>
      </c>
      <c r="JZ273" s="1007">
        <v>-5.5931743999999979</v>
      </c>
      <c r="KA273" s="1008" t="s">
        <v>240</v>
      </c>
      <c r="KB273" s="1007">
        <v>-5.5677599999999998</v>
      </c>
      <c r="KC273" s="1008"/>
      <c r="KD273" s="1007">
        <v>0</v>
      </c>
      <c r="KE273" s="1008" t="s">
        <v>240</v>
      </c>
      <c r="KF273" s="1007">
        <v>-7.4103763139999987</v>
      </c>
      <c r="KG273" s="1008"/>
      <c r="KH273" s="1007">
        <v>0</v>
      </c>
      <c r="KI273" s="1008" t="s">
        <v>25</v>
      </c>
      <c r="KJ273" s="1007">
        <v>9.5338163139999974</v>
      </c>
      <c r="KK273" s="1008" t="s">
        <v>206</v>
      </c>
      <c r="KL273" s="1007">
        <v>3.3439999999999994</v>
      </c>
      <c r="KM273" s="1008" t="s">
        <v>206</v>
      </c>
      <c r="KN273" s="1007">
        <v>-2.5079999999999991</v>
      </c>
      <c r="KO273" s="1008" t="s">
        <v>207</v>
      </c>
      <c r="KP273" s="1007">
        <v>5.0912399999999991</v>
      </c>
      <c r="KQ273" s="1008">
        <v>0</v>
      </c>
      <c r="KR273" s="1007">
        <v>0</v>
      </c>
      <c r="KS273" s="1008" t="s">
        <v>207</v>
      </c>
      <c r="KT273" s="1007">
        <v>-3.3105599999999988</v>
      </c>
      <c r="KU273" s="1008" t="s">
        <v>206</v>
      </c>
      <c r="KV273" s="1007">
        <v>-1.2414600000000018</v>
      </c>
      <c r="KW273" s="1008">
        <v>0</v>
      </c>
      <c r="KX273" s="1007">
        <v>0</v>
      </c>
      <c r="KY273" s="1008">
        <v>0</v>
      </c>
      <c r="KZ273" s="1007">
        <v>0</v>
      </c>
      <c r="LA273" s="1008">
        <v>0</v>
      </c>
      <c r="LB273" s="1007">
        <v>0</v>
      </c>
      <c r="LC273" s="1008" t="s">
        <v>204</v>
      </c>
      <c r="LD273" s="1007">
        <v>-1.2249072000000005</v>
      </c>
      <c r="LE273" s="1008">
        <v>0</v>
      </c>
      <c r="LF273" s="1007">
        <v>0</v>
      </c>
      <c r="LG273" s="1008" t="s">
        <v>241</v>
      </c>
      <c r="LH273" s="1007">
        <v>0</v>
      </c>
      <c r="LI273" s="1008">
        <v>0</v>
      </c>
      <c r="LJ273" s="1007">
        <v>0</v>
      </c>
      <c r="LK273" s="1008" t="s">
        <v>240</v>
      </c>
      <c r="LL273" s="1007">
        <v>-2.4156</v>
      </c>
      <c r="LM273" s="1008" t="s">
        <v>555</v>
      </c>
      <c r="LN273" s="1007">
        <v>-4.2209599999999998</v>
      </c>
      <c r="LO273" s="1008" t="s">
        <v>206</v>
      </c>
      <c r="LP273" s="1007">
        <v>4.1381999999999977</v>
      </c>
      <c r="LQ273" s="1008">
        <v>0</v>
      </c>
      <c r="LR273" s="1007">
        <v>0</v>
      </c>
      <c r="LS273" s="1008">
        <v>0</v>
      </c>
      <c r="LT273" s="1007">
        <v>0</v>
      </c>
      <c r="LU273" s="1008">
        <v>0</v>
      </c>
      <c r="LV273" s="1007">
        <v>0</v>
      </c>
      <c r="LW273" s="1008" t="s">
        <v>207</v>
      </c>
      <c r="LX273" s="1007">
        <v>4.3864920000000023</v>
      </c>
      <c r="LY273" s="1009" t="s">
        <v>206</v>
      </c>
      <c r="LZ273" s="1010">
        <v>2.2346280000000007</v>
      </c>
      <c r="MA273" s="1011" t="s">
        <v>206</v>
      </c>
      <c r="MB273" s="1012">
        <v>-6.621120000000003</v>
      </c>
      <c r="MC273" s="995"/>
      <c r="MD273" s="996"/>
      <c r="ME273" s="997" t="s">
        <v>238</v>
      </c>
      <c r="MF273" s="997"/>
      <c r="MG273" s="998"/>
      <c r="NR273" s="1000"/>
      <c r="NS273" s="1000"/>
      <c r="NT273" s="1001"/>
      <c r="NU273" s="1000"/>
      <c r="NV273" s="1001"/>
      <c r="NX273" s="1002"/>
      <c r="NZ273" s="1001"/>
      <c r="OA273" s="1001"/>
      <c r="OC273" s="1003"/>
      <c r="OD273" s="1003"/>
      <c r="OE273" s="1001"/>
      <c r="OF273" s="1003"/>
      <c r="OG273" s="1003"/>
      <c r="QX273" s="1000">
        <f>CN273-CA273</f>
        <v>17</v>
      </c>
      <c r="ASU273" s="999" t="s">
        <v>208</v>
      </c>
    </row>
    <row r="274" spans="1:466 1191:1191" ht="21" customHeight="1" x14ac:dyDescent="0.25">
      <c r="A274" s="982">
        <f t="shared" si="163"/>
        <v>1226</v>
      </c>
      <c r="B274" s="124">
        <f>SUBTOTAL(103,$J$29:J274)</f>
        <v>246</v>
      </c>
      <c r="C274" s="126">
        <v>45096</v>
      </c>
      <c r="D274" s="124" t="s">
        <v>176</v>
      </c>
      <c r="E274" s="127" t="s">
        <v>177</v>
      </c>
      <c r="F274" s="128" t="s">
        <v>177</v>
      </c>
      <c r="G274" s="127" t="s">
        <v>178</v>
      </c>
      <c r="H274" s="127" t="s">
        <v>421</v>
      </c>
      <c r="I274" s="127" t="s">
        <v>1153</v>
      </c>
      <c r="J274" s="152">
        <v>1226</v>
      </c>
      <c r="K274" s="127" t="s">
        <v>1153</v>
      </c>
      <c r="L274" s="130">
        <v>42131</v>
      </c>
      <c r="M274" s="127" t="s">
        <v>230</v>
      </c>
      <c r="N274" s="127" t="s">
        <v>231</v>
      </c>
      <c r="O274" s="127" t="s">
        <v>185</v>
      </c>
      <c r="P274" s="127" t="s">
        <v>225</v>
      </c>
      <c r="Q274" s="85" t="str">
        <f t="shared" si="187"/>
        <v/>
      </c>
      <c r="R274" s="130"/>
      <c r="S274" s="128"/>
      <c r="T274" s="131"/>
      <c r="U274" s="132">
        <v>203</v>
      </c>
      <c r="V274" s="121">
        <v>218.2</v>
      </c>
      <c r="W274" s="116">
        <v>0.98</v>
      </c>
      <c r="X274" s="116">
        <v>1.66</v>
      </c>
      <c r="Y274" s="116">
        <f t="shared" si="191"/>
        <v>0.98160841861363191</v>
      </c>
      <c r="Z274" s="133">
        <v>1.454</v>
      </c>
      <c r="AA274" s="133">
        <v>0.83599999999999997</v>
      </c>
      <c r="AB274" s="133">
        <v>0.72</v>
      </c>
      <c r="AC274" s="121">
        <v>34.299999999999997</v>
      </c>
      <c r="AD274" s="134">
        <v>1.17</v>
      </c>
      <c r="AE274" s="124">
        <v>177.8</v>
      </c>
      <c r="AF274" s="128">
        <v>9.19</v>
      </c>
      <c r="AG274" s="128">
        <v>2175</v>
      </c>
      <c r="AH274" s="127" t="s">
        <v>1223</v>
      </c>
      <c r="AI274" s="127" t="s">
        <v>1223</v>
      </c>
      <c r="AJ274" s="135"/>
      <c r="AK274" s="128"/>
      <c r="AL274" s="131"/>
      <c r="AM274" s="124" t="s">
        <v>232</v>
      </c>
      <c r="AN274" s="136" t="s">
        <v>1224</v>
      </c>
      <c r="AO274" s="137" t="s">
        <v>1225</v>
      </c>
      <c r="AP274" s="128" t="s">
        <v>1226</v>
      </c>
      <c r="AQ274" s="128">
        <v>192.8</v>
      </c>
      <c r="AR274" s="128"/>
      <c r="AS274" s="128"/>
      <c r="AT274" s="122"/>
      <c r="AU274" s="124" t="s">
        <v>189</v>
      </c>
      <c r="AV274" s="115">
        <f>VLOOKUP(J274,'[63]ТР нефть'!$J$28:$BP$638,39,0)</f>
        <v>519.99999931599996</v>
      </c>
      <c r="AW274" s="115" t="str">
        <f>VLOOKUP(J274,'[63]ТР нефть'!$J$28:$BP$638,40,0)</f>
        <v>ГП</v>
      </c>
      <c r="AX274" s="115">
        <f>VLOOKUP(J274,'[63]ТР нефть'!$J$28:$BP$638,41,0)</f>
        <v>980.00001445299995</v>
      </c>
      <c r="AY274" s="115" t="str">
        <f>VLOOKUP(J274,'[63]ТР нефть'!$J$28:$BP$638,42,0)</f>
        <v>ГП</v>
      </c>
      <c r="AZ274" s="115">
        <f>VLOOKUP(J274,'[63]ТР нефть'!$J$28:$BP$638,43,0)</f>
        <v>1330.000008984</v>
      </c>
      <c r="BA274" s="115" t="str">
        <f>VLOOKUP(J274,'[63]ТР нефть'!$J$28:$BP$638,44,0)</f>
        <v>ГК83 1/8</v>
      </c>
      <c r="BB274" s="115">
        <f>VLOOKUP(J274,'[63]ТР нефть'!$J$28:$BP$638,45,0)</f>
        <v>1560.000035156</v>
      </c>
      <c r="BC274" s="115" t="str">
        <f>VLOOKUP(J274,'[63]ТР нефть'!$J$28:$BP$638,46,0)</f>
        <v>ГК83 1/8</v>
      </c>
      <c r="BD274" s="115">
        <f>VLOOKUP(J274,'[63]ТР нефть'!$J$28:$BP$638,47,0)</f>
        <v>1740.0000621090001</v>
      </c>
      <c r="BE274" s="115" t="str">
        <f>VLOOKUP(J274,'[63]ТР нефть'!$J$28:$BP$638,48,0)</f>
        <v>ГК 91 1/8</v>
      </c>
      <c r="BF274" s="115" t="str">
        <f>VLOOKUP(J274,'[63]ТР нефть'!$J$28:$BP$638,49,0)</f>
        <v>-</v>
      </c>
      <c r="BG274" s="115" t="str">
        <f>VLOOKUP(J274,'[63]ТР нефть'!$J$28:$BP$638,50,0)</f>
        <v>-</v>
      </c>
      <c r="BH274" s="115">
        <f>VLOOKUP(J274,'[63]ТР нефть'!$J$28:$BP$638,51,0)</f>
        <v>1750</v>
      </c>
      <c r="BI274" s="115" t="str">
        <f>VLOOKUP(J274,'[63]ТР нефть'!$J$28:$BP$638,52,0)</f>
        <v>открыт</v>
      </c>
      <c r="BJ274" s="115" t="str">
        <f>IF(IFERROR(VLOOKUP(J274,'[63]ТР нефть'!$J$28:$BP$638,53,0),"-")=0,"-",IFERROR(VLOOKUP(J274,'[63]ТР нефть'!$J$28:$BP$638,53,0),"-"))</f>
        <v>-</v>
      </c>
      <c r="BK274" s="138" t="str">
        <f>IF(IFERROR(VLOOKUP(J274,'[63]ТР нефть'!$J$28:$BP$638,54,0),"-")=0,"-",IFERROR(VLOOKUP(J274,'[63]ТР нефть'!$J$28:$BP$638,54,0),"-"))</f>
        <v>-</v>
      </c>
      <c r="BL274" s="138" t="str">
        <f>IF(IFERROR(VLOOKUP(J274,'[63]ТР нефть'!$J$28:$BP$638,55,0),"-")=0,"-",IFERROR(VLOOKUP(J274,'[63]ТР нефть'!$J$28:$BP$638,55,0),"-"))</f>
        <v>-</v>
      </c>
      <c r="BM274" s="138" t="str">
        <f>IF(IFERROR(VLOOKUP(J274,'[63]ТР нефть'!$J$28:$BP$638,56,0),"-")=0,"-",IFERROR(VLOOKUP(J274,'[63]ТР нефть'!$J$28:$BP$638,56,0),"-"))</f>
        <v>-</v>
      </c>
      <c r="BN274" s="138" t="str">
        <f>IF(IFERROR(VLOOKUP(J274,'[63]ТР нефть'!$J$28:$BP$638,57,0),"-")=0,"-",IFERROR(VLOOKUP(J274,'[63]ТР нефть'!$J$28:$BP$638,57,0),"-"))</f>
        <v>-</v>
      </c>
      <c r="BO274" s="115" t="str">
        <f>IF(IFERROR(VLOOKUP(J274,'[63]ТР нефть'!$J$28:$BP$638,58,0),"-")=0,"-",IFERROR(VLOOKUP(J274,'[63]ТР нефть'!$J$28:$BP$638,58,0),"-"))</f>
        <v>-</v>
      </c>
      <c r="BP274" s="115" t="str">
        <f>IF(IFERROR(VLOOKUP(J274,'[63]ТР нефть'!$J$28:$BP$638,59,0),"-")=0,"-",IFERROR(VLOOKUP(J274,'[63]ТР нефть'!$J$28:$BP$638,59,0),"-"))</f>
        <v>-</v>
      </c>
      <c r="BQ274" s="138">
        <v>2195</v>
      </c>
      <c r="BR274" s="128">
        <v>1911.6</v>
      </c>
      <c r="BS274" s="115">
        <f t="shared" si="164"/>
        <v>283.40000000000009</v>
      </c>
      <c r="BT274" s="128">
        <v>73</v>
      </c>
      <c r="BU274" s="128">
        <v>5.5</v>
      </c>
      <c r="BV274" s="127">
        <v>65</v>
      </c>
      <c r="BW274" s="127" t="s">
        <v>234</v>
      </c>
      <c r="BX274" s="127" t="s">
        <v>195</v>
      </c>
      <c r="BY274" s="139">
        <v>24</v>
      </c>
      <c r="BZ274" s="139">
        <v>0</v>
      </c>
      <c r="CA274" s="138">
        <v>26</v>
      </c>
      <c r="CB274" s="138">
        <v>35</v>
      </c>
      <c r="CC274" s="138">
        <v>25</v>
      </c>
      <c r="CD274" s="135">
        <v>45017</v>
      </c>
      <c r="CE274" s="138">
        <v>112</v>
      </c>
      <c r="CF274" s="138">
        <v>80</v>
      </c>
      <c r="CG274" s="138" t="str">
        <f t="shared" si="210"/>
        <v>В работе</v>
      </c>
      <c r="CH274" s="138" t="s">
        <v>196</v>
      </c>
      <c r="CI274" s="127">
        <v>6</v>
      </c>
      <c r="CJ274" s="138"/>
      <c r="CK274" s="138"/>
      <c r="CL274" s="99"/>
      <c r="CM274" s="99"/>
      <c r="CN274" s="140">
        <v>58</v>
      </c>
      <c r="CO274" s="141">
        <f t="shared" si="165"/>
        <v>3.3306239999999998</v>
      </c>
      <c r="CP274" s="142">
        <v>4</v>
      </c>
      <c r="CQ274" s="143">
        <v>0.4</v>
      </c>
      <c r="CR274" s="138">
        <v>27.7</v>
      </c>
      <c r="CS274" s="139">
        <v>13.2</v>
      </c>
      <c r="CT274" s="138"/>
      <c r="CU274" s="138">
        <f t="shared" si="188"/>
        <v>14.5</v>
      </c>
      <c r="CV274" s="115">
        <f t="shared" si="189"/>
        <v>4353.5385561384292</v>
      </c>
      <c r="CW274" s="115">
        <f t="shared" si="166"/>
        <v>3941.296184825293</v>
      </c>
      <c r="CX274" s="133">
        <f t="shared" si="190"/>
        <v>7.407407407407407E-2</v>
      </c>
      <c r="CY274" s="116"/>
      <c r="CZ274" s="131"/>
      <c r="DA274" s="145" t="str">
        <f t="shared" si="167"/>
        <v>Газлифт</v>
      </c>
      <c r="DB274" s="146">
        <f t="shared" si="168"/>
        <v>3.3306239999999998</v>
      </c>
      <c r="DC274" s="142">
        <f t="shared" si="203"/>
        <v>4</v>
      </c>
      <c r="DD274" s="119">
        <f t="shared" si="204"/>
        <v>0.4</v>
      </c>
      <c r="DE274" s="115">
        <f t="shared" si="169"/>
        <v>14.5</v>
      </c>
      <c r="DF274" s="121">
        <f t="shared" si="170"/>
        <v>13.2</v>
      </c>
      <c r="DG274" s="115">
        <f t="shared" si="171"/>
        <v>4353.5385561384292</v>
      </c>
      <c r="DH274" s="115">
        <f t="shared" si="172"/>
        <v>58</v>
      </c>
      <c r="DI274" s="147"/>
      <c r="DJ274" s="111">
        <v>43169</v>
      </c>
      <c r="DK274" s="112">
        <v>42124</v>
      </c>
      <c r="DL274" s="113">
        <f t="shared" ca="1" si="192"/>
        <v>2980</v>
      </c>
      <c r="DM274" s="114"/>
      <c r="DN274" s="114"/>
      <c r="DO274" s="114"/>
      <c r="DP274" s="114"/>
      <c r="DQ274" s="112">
        <v>43174</v>
      </c>
      <c r="DR274" s="114" t="s">
        <v>198</v>
      </c>
      <c r="DS274" s="114"/>
      <c r="DT274" s="115">
        <v>60</v>
      </c>
      <c r="DU274" s="116">
        <f t="shared" si="193"/>
        <v>7.6923076923076927E-2</v>
      </c>
      <c r="DV274" s="117">
        <f t="shared" si="194"/>
        <v>3.3306239999999998</v>
      </c>
      <c r="DW274" s="118">
        <f t="shared" si="195"/>
        <v>4</v>
      </c>
      <c r="DX274" s="119">
        <f t="shared" si="173"/>
        <v>0.4</v>
      </c>
      <c r="DY274" s="115">
        <f t="shared" si="196"/>
        <v>14.499999999999998</v>
      </c>
      <c r="DZ274" s="117">
        <f t="shared" si="197"/>
        <v>0</v>
      </c>
      <c r="EA274" s="120">
        <f t="shared" si="197"/>
        <v>0</v>
      </c>
      <c r="EB274" s="119">
        <f t="shared" si="197"/>
        <v>0</v>
      </c>
      <c r="EC274" s="121">
        <f t="shared" si="198"/>
        <v>0</v>
      </c>
      <c r="ED274" s="122"/>
      <c r="EE274" s="145">
        <v>65</v>
      </c>
      <c r="EF274" s="115">
        <v>26</v>
      </c>
      <c r="EG274" s="115">
        <v>35</v>
      </c>
      <c r="EH274" s="115">
        <v>25</v>
      </c>
      <c r="EI274" s="128" t="s">
        <v>195</v>
      </c>
      <c r="EJ274" s="121">
        <v>24</v>
      </c>
      <c r="EK274" s="121">
        <v>0</v>
      </c>
      <c r="EL274" s="149">
        <v>3.3306239999999998</v>
      </c>
      <c r="EM274" s="142">
        <v>4</v>
      </c>
      <c r="EN274" s="119">
        <v>0.4</v>
      </c>
      <c r="EO274" s="115">
        <v>27.7</v>
      </c>
      <c r="EP274" s="115">
        <v>4353.5385561384292</v>
      </c>
      <c r="EQ274" s="115">
        <v>80</v>
      </c>
      <c r="ER274" s="115">
        <v>13.2</v>
      </c>
      <c r="ES274" s="115">
        <v>58</v>
      </c>
      <c r="ET274" s="150">
        <v>7.407407407407407E-2</v>
      </c>
      <c r="EU274" s="145">
        <f t="shared" si="174"/>
        <v>65</v>
      </c>
      <c r="EV274" s="115">
        <f t="shared" si="175"/>
        <v>26</v>
      </c>
      <c r="EW274" s="115">
        <f t="shared" si="175"/>
        <v>35</v>
      </c>
      <c r="EX274" s="115">
        <f t="shared" si="175"/>
        <v>25</v>
      </c>
      <c r="EY274" s="115" t="str">
        <f t="shared" si="206"/>
        <v>Постоянный</v>
      </c>
      <c r="EZ274" s="115">
        <f t="shared" si="206"/>
        <v>24</v>
      </c>
      <c r="FA274" s="115">
        <f t="shared" si="206"/>
        <v>0</v>
      </c>
      <c r="FB274" s="149">
        <f t="shared" si="209"/>
        <v>3.3306239999999998</v>
      </c>
      <c r="FC274" s="142">
        <f t="shared" si="209"/>
        <v>4</v>
      </c>
      <c r="FD274" s="119">
        <f t="shared" si="209"/>
        <v>0.4</v>
      </c>
      <c r="FE274" s="121">
        <f t="shared" si="208"/>
        <v>27.7</v>
      </c>
      <c r="FF274" s="121">
        <f t="shared" si="199"/>
        <v>4353.5385561384292</v>
      </c>
      <c r="FG274" s="121">
        <f t="shared" si="177"/>
        <v>80</v>
      </c>
      <c r="FH274" s="121">
        <f t="shared" si="200"/>
        <v>13.2</v>
      </c>
      <c r="FI274" s="121">
        <f t="shared" si="205"/>
        <v>58</v>
      </c>
      <c r="FJ274" s="144">
        <f t="shared" si="178"/>
        <v>7.407407407407407E-2</v>
      </c>
      <c r="FK274" s="132">
        <f t="shared" si="179"/>
        <v>0</v>
      </c>
      <c r="FL274" s="115">
        <f t="shared" si="179"/>
        <v>0</v>
      </c>
      <c r="FM274" s="115">
        <f t="shared" si="179"/>
        <v>0</v>
      </c>
      <c r="FN274" s="115">
        <f t="shared" si="162"/>
        <v>0</v>
      </c>
      <c r="FO274" s="115">
        <f t="shared" si="201"/>
        <v>0</v>
      </c>
      <c r="FP274" s="115">
        <f t="shared" si="201"/>
        <v>0</v>
      </c>
      <c r="FQ274" s="149">
        <f t="shared" si="201"/>
        <v>0</v>
      </c>
      <c r="FR274" s="142">
        <f t="shared" si="201"/>
        <v>0</v>
      </c>
      <c r="FS274" s="119">
        <f t="shared" si="201"/>
        <v>0</v>
      </c>
      <c r="FT274" s="121">
        <f t="shared" si="201"/>
        <v>0</v>
      </c>
      <c r="FU274" s="121">
        <f t="shared" si="180"/>
        <v>0</v>
      </c>
      <c r="FV274" s="121">
        <f t="shared" si="180"/>
        <v>0</v>
      </c>
      <c r="FW274" s="121">
        <f t="shared" si="181"/>
        <v>0</v>
      </c>
      <c r="FX274" s="121">
        <f t="shared" si="182"/>
        <v>0</v>
      </c>
      <c r="FY274" s="144">
        <f t="shared" si="182"/>
        <v>0</v>
      </c>
      <c r="FZ274" s="145"/>
      <c r="GA274" s="151" t="s">
        <v>283</v>
      </c>
      <c r="GB274" s="145"/>
      <c r="GC274" s="151" t="s">
        <v>1227</v>
      </c>
      <c r="GD274" s="997" t="s">
        <v>238</v>
      </c>
      <c r="GE274" s="1004"/>
      <c r="GF274" s="1004">
        <v>0.3330624000000002</v>
      </c>
      <c r="GG274" s="1004"/>
      <c r="GH274" s="1004">
        <v>0</v>
      </c>
      <c r="GI274" s="145" t="s">
        <v>223</v>
      </c>
      <c r="GJ274" s="996">
        <v>-1.1824384000000001</v>
      </c>
      <c r="GK274" s="145"/>
      <c r="GL274" s="996">
        <v>0</v>
      </c>
      <c r="GM274" s="1005"/>
      <c r="GN274" s="996">
        <v>8.359999999999701E-3</v>
      </c>
      <c r="GO274" s="1006"/>
      <c r="GP274" s="996">
        <v>0</v>
      </c>
      <c r="GQ274" s="1006"/>
      <c r="GR274" s="996">
        <v>0</v>
      </c>
      <c r="GS274" s="1006"/>
      <c r="GT274" s="996">
        <v>0</v>
      </c>
      <c r="GU274" s="1006"/>
      <c r="GV274" s="996">
        <v>0</v>
      </c>
      <c r="GW274" s="1006"/>
      <c r="GX274" s="1049">
        <v>0</v>
      </c>
      <c r="GY274" s="1006"/>
      <c r="GZ274" s="996">
        <v>0</v>
      </c>
      <c r="HA274" s="1006" t="s">
        <v>199</v>
      </c>
      <c r="HB274" s="996">
        <v>1.3699949999999999</v>
      </c>
      <c r="HC274" s="1006"/>
      <c r="HD274" s="996">
        <v>0</v>
      </c>
      <c r="HE274" s="1006" t="s">
        <v>199</v>
      </c>
      <c r="HF274" s="996">
        <v>-9.3032169999999983</v>
      </c>
      <c r="HG274" s="1006" t="s">
        <v>199</v>
      </c>
      <c r="HH274" s="996">
        <v>6.6352651199999979</v>
      </c>
      <c r="HI274" s="1006"/>
      <c r="HJ274" s="996">
        <v>0</v>
      </c>
      <c r="HK274" s="1006" t="s">
        <v>199</v>
      </c>
      <c r="HL274" s="996">
        <v>-1.6606471199999984</v>
      </c>
      <c r="HM274" s="1006"/>
      <c r="HN274" s="996">
        <v>1.7285604159999997</v>
      </c>
      <c r="HO274" s="1006"/>
      <c r="HP274" s="996">
        <v>0</v>
      </c>
      <c r="HQ274" s="1006"/>
      <c r="HR274" s="996">
        <v>0</v>
      </c>
      <c r="HS274" s="1006"/>
      <c r="HT274" s="996">
        <v>0</v>
      </c>
      <c r="HU274" s="1006"/>
      <c r="HV274" s="996">
        <v>0</v>
      </c>
      <c r="HW274" s="1006"/>
      <c r="HX274" s="996">
        <v>0</v>
      </c>
      <c r="HY274" s="1006"/>
      <c r="HZ274" s="996">
        <v>0.21848358399999945</v>
      </c>
      <c r="IA274" s="1006"/>
      <c r="IB274" s="996">
        <v>0</v>
      </c>
      <c r="IC274" s="1006" t="s">
        <v>241</v>
      </c>
      <c r="ID274" s="996">
        <v>-3.0095999999999998</v>
      </c>
      <c r="IE274" s="1006"/>
      <c r="IF274" s="996">
        <v>0</v>
      </c>
      <c r="IG274" s="1006" t="s">
        <v>199</v>
      </c>
      <c r="IH274" s="996">
        <v>2.257200000000001</v>
      </c>
      <c r="II274" s="1006"/>
      <c r="IJ274" s="996">
        <v>0</v>
      </c>
      <c r="IK274" s="1006"/>
      <c r="IL274" s="996">
        <v>0</v>
      </c>
      <c r="IM274" s="1006" t="s">
        <v>199</v>
      </c>
      <c r="IN274" s="996">
        <v>-2.1736000000000004</v>
      </c>
      <c r="IO274" s="1006" t="s">
        <v>199</v>
      </c>
      <c r="IP274" s="996">
        <v>6.0727039999999999</v>
      </c>
      <c r="IQ274" s="1006"/>
      <c r="IR274" s="996">
        <v>0</v>
      </c>
      <c r="IS274" s="1006"/>
      <c r="IT274" s="996">
        <v>0.29836171200000039</v>
      </c>
      <c r="IU274" s="1006"/>
      <c r="IV274" s="996">
        <v>0</v>
      </c>
      <c r="IW274" s="1006"/>
      <c r="IX274" s="996">
        <v>0</v>
      </c>
      <c r="IY274" s="1006"/>
      <c r="IZ274" s="996">
        <v>0</v>
      </c>
      <c r="JA274" s="1006" t="s">
        <v>199</v>
      </c>
      <c r="JB274" s="996">
        <v>-7.8592970280000003</v>
      </c>
      <c r="JC274" s="1006" t="s">
        <v>199</v>
      </c>
      <c r="JD274" s="996">
        <v>7.9421513160000003</v>
      </c>
      <c r="JE274" s="1006"/>
      <c r="JF274" s="996">
        <v>0</v>
      </c>
      <c r="JG274" s="1006" t="s">
        <v>199</v>
      </c>
      <c r="JH274" s="996">
        <v>-0.9209375999999998</v>
      </c>
      <c r="JI274" s="1006"/>
      <c r="JJ274" s="996">
        <v>0</v>
      </c>
      <c r="JK274" s="1007"/>
      <c r="JL274" s="1007">
        <v>0</v>
      </c>
      <c r="JM274" s="1007"/>
      <c r="JN274" s="1007">
        <v>0</v>
      </c>
      <c r="JO274" s="1008" t="s">
        <v>199</v>
      </c>
      <c r="JP274" s="1007">
        <v>-7.8622522879999988</v>
      </c>
      <c r="JQ274" s="1008" t="s">
        <v>199</v>
      </c>
      <c r="JR274" s="1007">
        <v>2.7693970858399988</v>
      </c>
      <c r="JS274" s="1008">
        <v>0</v>
      </c>
      <c r="JT274" s="1007">
        <v>0</v>
      </c>
      <c r="JU274" s="1008"/>
      <c r="JV274" s="1007">
        <v>0</v>
      </c>
      <c r="JW274" s="1008" t="s">
        <v>197</v>
      </c>
      <c r="JX274" s="1007">
        <v>0</v>
      </c>
      <c r="JY274" s="1008" t="s">
        <v>199</v>
      </c>
      <c r="JZ274" s="1007">
        <v>2.4631336021600001</v>
      </c>
      <c r="KA274" s="1008"/>
      <c r="KB274" s="1007">
        <v>0</v>
      </c>
      <c r="KC274" s="1008"/>
      <c r="KD274" s="1007">
        <v>0</v>
      </c>
      <c r="KE274" s="1008"/>
      <c r="KF274" s="1007">
        <v>0</v>
      </c>
      <c r="KG274" s="1008"/>
      <c r="KH274" s="1007">
        <v>0</v>
      </c>
      <c r="KI274" s="1008" t="s">
        <v>206</v>
      </c>
      <c r="KJ274" s="1007">
        <v>3.8516191999999996</v>
      </c>
      <c r="KK274" s="1008"/>
      <c r="KL274" s="1007">
        <v>0</v>
      </c>
      <c r="KM274" s="1008" t="s">
        <v>207</v>
      </c>
      <c r="KN274" s="1007">
        <v>-13.543200000000001</v>
      </c>
      <c r="KO274" s="1008"/>
      <c r="KP274" s="1007">
        <v>0</v>
      </c>
      <c r="KQ274" s="1008" t="s">
        <v>206</v>
      </c>
      <c r="KR274" s="1007">
        <v>-4.1497367999999994</v>
      </c>
      <c r="KS274" s="1008">
        <v>0</v>
      </c>
      <c r="KT274" s="1007">
        <v>0</v>
      </c>
      <c r="KU274" s="1008" t="s">
        <v>206</v>
      </c>
      <c r="KV274" s="1007">
        <v>4.1407080000000001</v>
      </c>
      <c r="KW274" s="1008" t="s">
        <v>206</v>
      </c>
      <c r="KX274" s="1007">
        <v>-0.32666700000000048</v>
      </c>
      <c r="KY274" s="1008" t="s">
        <v>342</v>
      </c>
      <c r="KZ274" s="1007">
        <v>4.4412918000000001</v>
      </c>
      <c r="LA274" s="1008">
        <v>0</v>
      </c>
      <c r="LB274" s="1007">
        <v>0</v>
      </c>
      <c r="LC274" s="1008">
        <v>0</v>
      </c>
      <c r="LD274" s="1007">
        <v>0</v>
      </c>
      <c r="LE274" s="1008">
        <v>0</v>
      </c>
      <c r="LF274" s="1007">
        <v>0</v>
      </c>
      <c r="LG274" s="1008">
        <v>0</v>
      </c>
      <c r="LH274" s="1007">
        <v>0</v>
      </c>
      <c r="LI274" s="1008" t="s">
        <v>199</v>
      </c>
      <c r="LJ274" s="1007">
        <v>3.8280440000000002</v>
      </c>
      <c r="LK274" s="1008">
        <v>0</v>
      </c>
      <c r="LL274" s="1007">
        <v>0</v>
      </c>
      <c r="LM274" s="1008" t="s">
        <v>555</v>
      </c>
      <c r="LN274" s="1007">
        <v>-2.0482</v>
      </c>
      <c r="LO274" s="1008">
        <v>0</v>
      </c>
      <c r="LP274" s="1007">
        <v>0</v>
      </c>
      <c r="LQ274" s="1008">
        <v>0</v>
      </c>
      <c r="LR274" s="1007">
        <v>-0.81928100000000004</v>
      </c>
      <c r="LS274" s="1008" t="s">
        <v>207</v>
      </c>
      <c r="LT274" s="1007">
        <v>-9.8313600000000001</v>
      </c>
      <c r="LU274" s="1008">
        <v>0</v>
      </c>
      <c r="LV274" s="1007">
        <v>0</v>
      </c>
      <c r="LW274" s="1008">
        <v>0</v>
      </c>
      <c r="LX274" s="1007">
        <v>4.91568</v>
      </c>
      <c r="LY274" s="1009">
        <v>0</v>
      </c>
      <c r="LZ274" s="1010">
        <v>0</v>
      </c>
      <c r="MA274" s="1011">
        <v>0</v>
      </c>
      <c r="MB274" s="1012">
        <v>0.34614200000000001</v>
      </c>
      <c r="MC274" s="995"/>
      <c r="MD274" s="996"/>
      <c r="ME274" s="997" t="s">
        <v>238</v>
      </c>
      <c r="MF274" s="997"/>
      <c r="MG274" s="998"/>
      <c r="NR274" s="1000"/>
      <c r="NS274" s="1000"/>
      <c r="NT274" s="1001"/>
      <c r="NU274" s="1000"/>
      <c r="NV274" s="1001"/>
      <c r="NX274" s="1002"/>
      <c r="NZ274" s="1001"/>
      <c r="OA274" s="1001"/>
      <c r="OC274" s="1003"/>
      <c r="OD274" s="1003"/>
      <c r="OE274" s="1001"/>
      <c r="OF274" s="1003"/>
      <c r="OG274" s="1003"/>
      <c r="QX274" s="1000">
        <f>CN274-CA274</f>
        <v>32</v>
      </c>
      <c r="ASU274" s="999" t="s">
        <v>225</v>
      </c>
    </row>
    <row r="275" spans="1:466 1191:1191" ht="21" customHeight="1" x14ac:dyDescent="0.25">
      <c r="A275" s="982">
        <f t="shared" si="163"/>
        <v>1230</v>
      </c>
      <c r="B275" s="124">
        <f>SUBTOTAL(103,$J$29:J275)</f>
        <v>247</v>
      </c>
      <c r="C275" s="126">
        <v>45096</v>
      </c>
      <c r="D275" s="124" t="s">
        <v>176</v>
      </c>
      <c r="E275" s="127" t="s">
        <v>177</v>
      </c>
      <c r="F275" s="128" t="s">
        <v>177</v>
      </c>
      <c r="G275" s="127" t="s">
        <v>178</v>
      </c>
      <c r="H275" s="127" t="s">
        <v>421</v>
      </c>
      <c r="I275" s="127" t="s">
        <v>560</v>
      </c>
      <c r="J275" s="152">
        <v>1230</v>
      </c>
      <c r="K275" s="127" t="s">
        <v>1228</v>
      </c>
      <c r="L275" s="130">
        <v>43961</v>
      </c>
      <c r="M275" s="127" t="s">
        <v>230</v>
      </c>
      <c r="N275" s="127" t="s">
        <v>1229</v>
      </c>
      <c r="O275" s="127" t="s">
        <v>185</v>
      </c>
      <c r="P275" s="127" t="s">
        <v>208</v>
      </c>
      <c r="Q275" s="85" t="str">
        <f t="shared" si="187"/>
        <v/>
      </c>
      <c r="R275" s="130"/>
      <c r="S275" s="128"/>
      <c r="T275" s="131"/>
      <c r="U275" s="132">
        <v>203</v>
      </c>
      <c r="V275" s="121">
        <v>218.2</v>
      </c>
      <c r="W275" s="116">
        <v>0.98</v>
      </c>
      <c r="X275" s="116">
        <v>1.66</v>
      </c>
      <c r="Y275" s="116">
        <f t="shared" si="191"/>
        <v>1.0968176914778855</v>
      </c>
      <c r="Z275" s="133">
        <v>1.454</v>
      </c>
      <c r="AA275" s="133">
        <v>0.83599999999999997</v>
      </c>
      <c r="AB275" s="133">
        <v>0.72</v>
      </c>
      <c r="AC275" s="121">
        <v>34.299999999999997</v>
      </c>
      <c r="AD275" s="134">
        <v>1.17</v>
      </c>
      <c r="AE275" s="124">
        <v>177.8</v>
      </c>
      <c r="AF275" s="128">
        <v>9.19</v>
      </c>
      <c r="AG275" s="128">
        <v>2050</v>
      </c>
      <c r="AH275" s="127">
        <v>2671</v>
      </c>
      <c r="AI275" s="127">
        <v>2671</v>
      </c>
      <c r="AJ275" s="135"/>
      <c r="AK275" s="128"/>
      <c r="AL275" s="131"/>
      <c r="AM275" s="124" t="s">
        <v>232</v>
      </c>
      <c r="AN275" s="136" t="s">
        <v>1230</v>
      </c>
      <c r="AO275" s="137">
        <v>75.13</v>
      </c>
      <c r="AP275" s="128">
        <v>2050</v>
      </c>
      <c r="AQ275" s="128">
        <v>189.9</v>
      </c>
      <c r="AR275" s="128"/>
      <c r="AS275" s="128"/>
      <c r="AT275" s="122"/>
      <c r="AU275" s="124" t="s">
        <v>189</v>
      </c>
      <c r="AV275" s="115">
        <f>VLOOKUP(J275,'[63]ТР нефть'!$J$28:$BP$638,39,0)</f>
        <v>470.00000009799999</v>
      </c>
      <c r="AW275" s="115" t="str">
        <f>VLOOKUP(J275,'[63]ТР нефть'!$J$28:$BP$638,40,0)</f>
        <v>ГП</v>
      </c>
      <c r="AX275" s="115">
        <f>VLOOKUP(J275,'[63]ТР нефть'!$J$28:$BP$638,41,0)</f>
        <v>861.99999843800003</v>
      </c>
      <c r="AY275" s="115" t="str">
        <f>VLOOKUP(J275,'[63]ТР нефть'!$J$28:$BP$638,42,0)</f>
        <v>ГП</v>
      </c>
      <c r="AZ275" s="115">
        <f>VLOOKUP(J275,'[63]ТР нефть'!$J$28:$BP$638,43,0)</f>
        <v>1181.9999636719999</v>
      </c>
      <c r="BA275" s="115" t="str">
        <f>VLOOKUP(J275,'[63]ТР нефть'!$J$28:$BP$638,44,0)</f>
        <v>ГК87 1/8</v>
      </c>
      <c r="BB275" s="115">
        <f>VLOOKUP(J275,'[63]ТР нефть'!$J$28:$BP$638,45,0)</f>
        <v>1442.0000191409999</v>
      </c>
      <c r="BC275" s="115" t="str">
        <f>VLOOKUP(J275,'[63]ТР нефть'!$J$28:$BP$638,46,0)</f>
        <v>ГК 86 5/32</v>
      </c>
      <c r="BD275" s="115">
        <f>VLOOKUP(J275,'[63]ТР нефть'!$J$28:$BP$638,47,0)</f>
        <v>1684.0000570310001</v>
      </c>
      <c r="BE275" s="115" t="str">
        <f>VLOOKUP(J275,'[63]ТР нефть'!$J$28:$BP$638,48,0)</f>
        <v>ЦКсОК 5/16</v>
      </c>
      <c r="BF275" s="115" t="str">
        <f>VLOOKUP(J275,'[63]ТР нефть'!$J$28:$BP$638,49,0)</f>
        <v>-</v>
      </c>
      <c r="BG275" s="115" t="str">
        <f>VLOOKUP(J275,'[63]ТР нефть'!$J$28:$BP$638,50,0)</f>
        <v>-</v>
      </c>
      <c r="BH275" s="115">
        <f>VLOOKUP(J275,'[63]ТР нефть'!$J$28:$BP$638,51,0)</f>
        <v>1800</v>
      </c>
      <c r="BI275" s="115" t="str">
        <f>VLOOKUP(J275,'[63]ТР нефть'!$J$28:$BP$638,52,0)</f>
        <v>закрыт</v>
      </c>
      <c r="BJ275" s="115" t="str">
        <f>IF(IFERROR(VLOOKUP(J275,'[63]ТР нефть'!$J$28:$BP$638,53,0),"-")=0,"-",IFERROR(VLOOKUP(J275,'[63]ТР нефть'!$J$28:$BP$638,53,0),"-"))</f>
        <v>-</v>
      </c>
      <c r="BK275" s="138" t="str">
        <f>IF(IFERROR(VLOOKUP(J275,'[63]ТР нефть'!$J$28:$BP$638,54,0),"-")=0,"-",IFERROR(VLOOKUP(J275,'[63]ТР нефть'!$J$28:$BP$638,54,0),"-"))</f>
        <v>-</v>
      </c>
      <c r="BL275" s="138" t="str">
        <f>IF(IFERROR(VLOOKUP(J275,'[63]ТР нефть'!$J$28:$BP$638,55,0),"-")=0,"-",IFERROR(VLOOKUP(J275,'[63]ТР нефть'!$J$28:$BP$638,55,0),"-"))</f>
        <v>-</v>
      </c>
      <c r="BM275" s="138" t="str">
        <f>IF(IFERROR(VLOOKUP(J275,'[63]ТР нефть'!$J$28:$BP$638,56,0),"-")=0,"-",IFERROR(VLOOKUP(J275,'[63]ТР нефть'!$J$28:$BP$638,56,0),"-"))</f>
        <v>-</v>
      </c>
      <c r="BN275" s="138" t="str">
        <f>IF(IFERROR(VLOOKUP(J275,'[63]ТР нефть'!$J$28:$BP$638,57,0),"-")=0,"-",IFERROR(VLOOKUP(J275,'[63]ТР нефть'!$J$28:$BP$638,57,0),"-"))</f>
        <v>-</v>
      </c>
      <c r="BO275" s="115" t="str">
        <f>IF(IFERROR(VLOOKUP(J275,'[63]ТР нефть'!$J$28:$BP$638,58,0),"-")=0,"-",IFERROR(VLOOKUP(J275,'[63]ТР нефть'!$J$28:$BP$638,58,0),"-"))</f>
        <v>-</v>
      </c>
      <c r="BP275" s="115" t="str">
        <f>IF(IFERROR(VLOOKUP(J275,'[63]ТР нефть'!$J$28:$BP$638,59,0),"-")=0,"-",IFERROR(VLOOKUP(J275,'[63]ТР нефть'!$J$28:$BP$638,59,0),"-"))</f>
        <v>-</v>
      </c>
      <c r="BQ275" s="138">
        <v>2094</v>
      </c>
      <c r="BR275" s="128">
        <v>217.4</v>
      </c>
      <c r="BS275" s="115">
        <f t="shared" si="164"/>
        <v>1876.6</v>
      </c>
      <c r="BT275" s="128">
        <v>73</v>
      </c>
      <c r="BU275" s="128">
        <v>5.5</v>
      </c>
      <c r="BV275" s="127">
        <v>12</v>
      </c>
      <c r="BW275" s="127" t="s">
        <v>234</v>
      </c>
      <c r="BX275" s="127" t="s">
        <v>195</v>
      </c>
      <c r="BY275" s="139">
        <v>24</v>
      </c>
      <c r="BZ275" s="139">
        <v>0</v>
      </c>
      <c r="CA275" s="138">
        <v>24</v>
      </c>
      <c r="CB275" s="138">
        <v>54</v>
      </c>
      <c r="CC275" s="138">
        <v>23</v>
      </c>
      <c r="CD275" s="135">
        <v>45017</v>
      </c>
      <c r="CE275" s="138">
        <v>121</v>
      </c>
      <c r="CF275" s="138">
        <v>82</v>
      </c>
      <c r="CG275" s="138" t="str">
        <f t="shared" si="210"/>
        <v/>
      </c>
      <c r="CH275" s="138" t="s">
        <v>197</v>
      </c>
      <c r="CI275" s="127">
        <v>6</v>
      </c>
      <c r="CJ275" s="138"/>
      <c r="CK275" s="138"/>
      <c r="CL275" s="99"/>
      <c r="CM275" s="99"/>
      <c r="CN275" s="140">
        <v>54</v>
      </c>
      <c r="CO275" s="141">
        <f t="shared" si="165"/>
        <v>4.8253919999999999</v>
      </c>
      <c r="CP275" s="142">
        <v>7.8</v>
      </c>
      <c r="CQ275" s="143">
        <v>26</v>
      </c>
      <c r="CR275" s="138">
        <v>15.8</v>
      </c>
      <c r="CS275" s="139">
        <v>12.9</v>
      </c>
      <c r="CT275" s="138"/>
      <c r="CU275" s="138">
        <f t="shared" si="188"/>
        <v>2.9000000000000004</v>
      </c>
      <c r="CV275" s="115">
        <f t="shared" si="189"/>
        <v>600.98744309270637</v>
      </c>
      <c r="CW275" s="115">
        <f t="shared" si="166"/>
        <v>1798.2061430067349</v>
      </c>
      <c r="CX275" s="133">
        <f t="shared" si="190"/>
        <v>0.11641791044776119</v>
      </c>
      <c r="CY275" s="116"/>
      <c r="CZ275" s="131"/>
      <c r="DA275" s="145" t="str">
        <f t="shared" si="167"/>
        <v>Газлифт</v>
      </c>
      <c r="DB275" s="146">
        <f t="shared" si="168"/>
        <v>3.6712103999999992</v>
      </c>
      <c r="DC275" s="142">
        <f t="shared" si="203"/>
        <v>7.8</v>
      </c>
      <c r="DD275" s="119">
        <f t="shared" si="204"/>
        <v>43.7</v>
      </c>
      <c r="DE275" s="115">
        <f t="shared" si="169"/>
        <v>2.9000000000000004</v>
      </c>
      <c r="DF275" s="121">
        <f t="shared" si="170"/>
        <v>12.9</v>
      </c>
      <c r="DG275" s="115">
        <f t="shared" si="171"/>
        <v>600.98744309270637</v>
      </c>
      <c r="DH275" s="115">
        <f t="shared" si="172"/>
        <v>54</v>
      </c>
      <c r="DI275" s="147"/>
      <c r="DJ275" s="111"/>
      <c r="DK275" s="112">
        <v>43961</v>
      </c>
      <c r="DL275" s="113">
        <f t="shared" ca="1" si="192"/>
        <v>1143</v>
      </c>
      <c r="DM275" s="114"/>
      <c r="DN275" s="114"/>
      <c r="DO275" s="114"/>
      <c r="DP275" s="114"/>
      <c r="DQ275" s="112"/>
      <c r="DR275" s="114"/>
      <c r="DS275" s="114"/>
      <c r="DT275" s="115">
        <v>60</v>
      </c>
      <c r="DU275" s="116">
        <f t="shared" si="193"/>
        <v>0.12786885245901639</v>
      </c>
      <c r="DV275" s="117">
        <f t="shared" si="194"/>
        <v>4.8253919999999999</v>
      </c>
      <c r="DW275" s="118">
        <f t="shared" si="195"/>
        <v>7.8</v>
      </c>
      <c r="DX275" s="119">
        <f t="shared" si="173"/>
        <v>26</v>
      </c>
      <c r="DY275" s="115">
        <f t="shared" si="196"/>
        <v>2.9000000000000004</v>
      </c>
      <c r="DZ275" s="117">
        <f t="shared" si="197"/>
        <v>0</v>
      </c>
      <c r="EA275" s="120">
        <f t="shared" si="197"/>
        <v>0</v>
      </c>
      <c r="EB275" s="119">
        <f t="shared" si="197"/>
        <v>0</v>
      </c>
      <c r="EC275" s="121">
        <f t="shared" si="198"/>
        <v>0</v>
      </c>
      <c r="ED275" s="122"/>
      <c r="EE275" s="145">
        <v>12</v>
      </c>
      <c r="EF275" s="115">
        <v>31</v>
      </c>
      <c r="EG275" s="115">
        <v>59</v>
      </c>
      <c r="EH275" s="115">
        <v>30</v>
      </c>
      <c r="EI275" s="128" t="s">
        <v>195</v>
      </c>
      <c r="EJ275" s="121">
        <v>24</v>
      </c>
      <c r="EK275" s="121">
        <v>0</v>
      </c>
      <c r="EL275" s="149">
        <v>2.8710747999999993</v>
      </c>
      <c r="EM275" s="142">
        <v>6.1</v>
      </c>
      <c r="EN275" s="119">
        <v>43.7</v>
      </c>
      <c r="EO275" s="115">
        <v>8.9</v>
      </c>
      <c r="EP275" s="115">
        <v>452.79210419735529</v>
      </c>
      <c r="EQ275" s="115">
        <v>82</v>
      </c>
      <c r="ER275" s="115">
        <v>7.6</v>
      </c>
      <c r="ES275" s="115">
        <v>79</v>
      </c>
      <c r="ET275" s="150">
        <v>0.14523809523809522</v>
      </c>
      <c r="EU275" s="145">
        <f t="shared" si="174"/>
        <v>12</v>
      </c>
      <c r="EV275" s="115">
        <f t="shared" si="175"/>
        <v>24</v>
      </c>
      <c r="EW275" s="115">
        <f t="shared" si="175"/>
        <v>54</v>
      </c>
      <c r="EX275" s="115">
        <f t="shared" si="175"/>
        <v>23</v>
      </c>
      <c r="EY275" s="115" t="str">
        <f t="shared" si="206"/>
        <v>Постоянный</v>
      </c>
      <c r="EZ275" s="115">
        <f t="shared" si="206"/>
        <v>24</v>
      </c>
      <c r="FA275" s="115">
        <f t="shared" si="206"/>
        <v>0</v>
      </c>
      <c r="FB275" s="149">
        <f t="shared" si="209"/>
        <v>4.8253919999999999</v>
      </c>
      <c r="FC275" s="142">
        <f t="shared" si="209"/>
        <v>7.8</v>
      </c>
      <c r="FD275" s="119">
        <f t="shared" si="209"/>
        <v>26</v>
      </c>
      <c r="FE275" s="121">
        <f t="shared" si="208"/>
        <v>15.8</v>
      </c>
      <c r="FF275" s="121">
        <f t="shared" si="199"/>
        <v>600.98744309270637</v>
      </c>
      <c r="FG275" s="121">
        <f t="shared" si="177"/>
        <v>82</v>
      </c>
      <c r="FH275" s="121">
        <f t="shared" si="200"/>
        <v>12.9</v>
      </c>
      <c r="FI275" s="121">
        <f t="shared" si="205"/>
        <v>54</v>
      </c>
      <c r="FJ275" s="144">
        <f t="shared" si="178"/>
        <v>0.11641791044776119</v>
      </c>
      <c r="FK275" s="132">
        <f t="shared" si="179"/>
        <v>0</v>
      </c>
      <c r="FL275" s="115">
        <f t="shared" si="179"/>
        <v>-7</v>
      </c>
      <c r="FM275" s="115">
        <f t="shared" si="179"/>
        <v>-5</v>
      </c>
      <c r="FN275" s="115">
        <f t="shared" si="162"/>
        <v>-7</v>
      </c>
      <c r="FO275" s="115">
        <f t="shared" si="201"/>
        <v>0</v>
      </c>
      <c r="FP275" s="115">
        <f t="shared" si="201"/>
        <v>0</v>
      </c>
      <c r="FQ275" s="149">
        <f t="shared" si="201"/>
        <v>1.9543172000000006</v>
      </c>
      <c r="FR275" s="142">
        <f t="shared" si="201"/>
        <v>1.7000000000000002</v>
      </c>
      <c r="FS275" s="119">
        <f t="shared" si="201"/>
        <v>-17.700000000000003</v>
      </c>
      <c r="FT275" s="121">
        <f t="shared" si="201"/>
        <v>6.9</v>
      </c>
      <c r="FU275" s="121">
        <f t="shared" si="180"/>
        <v>0</v>
      </c>
      <c r="FV275" s="121">
        <f t="shared" si="180"/>
        <v>5.3000000000000007</v>
      </c>
      <c r="FW275" s="121">
        <f t="shared" si="181"/>
        <v>148.19533889535109</v>
      </c>
      <c r="FX275" s="121">
        <f>FI275-ES275</f>
        <v>-25</v>
      </c>
      <c r="FY275" s="144">
        <f t="shared" si="182"/>
        <v>-2.8820184790334033E-2</v>
      </c>
      <c r="FZ275" s="145" t="s">
        <v>199</v>
      </c>
      <c r="GA275" s="1034" t="s">
        <v>1231</v>
      </c>
      <c r="GB275" s="145" t="s">
        <v>199</v>
      </c>
      <c r="GC275" s="151" t="s">
        <v>1232</v>
      </c>
      <c r="GD275" s="997" t="s">
        <v>238</v>
      </c>
      <c r="GE275" s="1004" t="s">
        <v>199</v>
      </c>
      <c r="GF275" s="1004">
        <v>-2.1800372000000015</v>
      </c>
      <c r="GG275" s="1004"/>
      <c r="GH275" s="1004">
        <v>0</v>
      </c>
      <c r="GI275" s="145" t="s">
        <v>199</v>
      </c>
      <c r="GJ275" s="996">
        <v>1.1649660000000006</v>
      </c>
      <c r="GK275" s="145"/>
      <c r="GL275" s="996">
        <v>0.23423516160000002</v>
      </c>
      <c r="GM275" s="1005"/>
      <c r="GN275" s="996">
        <v>0</v>
      </c>
      <c r="GO275" s="1006"/>
      <c r="GP275" s="996">
        <v>0</v>
      </c>
      <c r="GQ275" s="1006"/>
      <c r="GR275" s="996">
        <v>-0.90692423359999985</v>
      </c>
      <c r="GS275" s="1006"/>
      <c r="GT275" s="996">
        <v>0</v>
      </c>
      <c r="GU275" s="1006" t="s">
        <v>199</v>
      </c>
      <c r="GV275" s="996">
        <v>2.004437072</v>
      </c>
      <c r="GW275" s="1006" t="s">
        <v>203</v>
      </c>
      <c r="GX275" s="1049">
        <v>-3.3577940000000002</v>
      </c>
      <c r="GY275" s="1006"/>
      <c r="GZ275" s="996">
        <v>0</v>
      </c>
      <c r="HA275" s="1006"/>
      <c r="HB275" s="996">
        <v>0</v>
      </c>
      <c r="HC275" s="1006"/>
      <c r="HD275" s="996">
        <v>0</v>
      </c>
      <c r="HE275" s="1006"/>
      <c r="HF275" s="996">
        <v>0</v>
      </c>
      <c r="HG275" s="1006" t="s">
        <v>204</v>
      </c>
      <c r="HH275" s="996">
        <v>-3.4198080000000006</v>
      </c>
      <c r="HI275" s="1006"/>
      <c r="HJ275" s="996">
        <v>0</v>
      </c>
      <c r="HK275" s="1006"/>
      <c r="HL275" s="996">
        <v>0</v>
      </c>
      <c r="HM275" s="1006"/>
      <c r="HN275" s="996">
        <v>0</v>
      </c>
      <c r="HO275" s="1006"/>
      <c r="HP275" s="996">
        <v>0</v>
      </c>
      <c r="HQ275" s="1006"/>
      <c r="HR275" s="996">
        <v>-0.83181999999999956</v>
      </c>
      <c r="HS275" s="1006"/>
      <c r="HT275" s="996">
        <v>0.67130799999999979</v>
      </c>
      <c r="HU275" s="1006"/>
      <c r="HV275" s="996">
        <v>-0.89284800000000075</v>
      </c>
      <c r="HW275" s="1006" t="s">
        <v>204</v>
      </c>
      <c r="HX275" s="996">
        <v>1.5029607999999994</v>
      </c>
      <c r="HY275" s="1006" t="s">
        <v>204</v>
      </c>
      <c r="HZ275" s="996">
        <v>-2.284620799999999</v>
      </c>
      <c r="IA275" s="1006"/>
      <c r="IB275" s="996">
        <v>-0.41800000000000015</v>
      </c>
      <c r="IC275" s="1006"/>
      <c r="ID275" s="996">
        <v>0</v>
      </c>
      <c r="IE275" s="1006"/>
      <c r="IF275" s="996">
        <v>0</v>
      </c>
      <c r="IG275" s="1006" t="s">
        <v>204</v>
      </c>
      <c r="IH275" s="996">
        <v>2.4134484000000009</v>
      </c>
      <c r="II275" s="1006" t="s">
        <v>223</v>
      </c>
      <c r="IJ275" s="996">
        <v>-3.2494484000000003</v>
      </c>
      <c r="IK275" s="1006" t="s">
        <v>199</v>
      </c>
      <c r="IL275" s="996">
        <v>-1.9228000000000005</v>
      </c>
      <c r="IM275" s="1006"/>
      <c r="IN275" s="996">
        <v>-0.2175606400000003</v>
      </c>
      <c r="IO275" s="1006" t="s">
        <v>204</v>
      </c>
      <c r="IP275" s="996">
        <v>-3.7116393599999995</v>
      </c>
      <c r="IQ275" s="1006" t="s">
        <v>203</v>
      </c>
      <c r="IR275" s="996">
        <v>-8.36</v>
      </c>
      <c r="IS275" s="1006"/>
      <c r="IT275" s="996">
        <v>1.015740000000001</v>
      </c>
      <c r="IU275" s="1006"/>
      <c r="IV275" s="996">
        <v>-0.23182279999999977</v>
      </c>
      <c r="IW275" s="1006" t="s">
        <v>1233</v>
      </c>
      <c r="IX275" s="996">
        <v>-6.0125287200000024</v>
      </c>
      <c r="IY275" s="1006" t="s">
        <v>25</v>
      </c>
      <c r="IZ275" s="996">
        <v>27.8</v>
      </c>
      <c r="JA275" s="1006"/>
      <c r="JB275" s="996"/>
      <c r="JC275" s="1006"/>
      <c r="JD275" s="996"/>
      <c r="JE275" s="1006"/>
      <c r="JF275" s="996"/>
      <c r="JG275" s="1006"/>
      <c r="JH275" s="996"/>
      <c r="JI275" s="1006"/>
      <c r="JJ275" s="996"/>
      <c r="JK275" s="1007"/>
      <c r="JL275" s="1007"/>
      <c r="JM275" s="1007"/>
      <c r="JN275" s="1007"/>
      <c r="JO275" s="1008"/>
      <c r="JP275" s="1007"/>
      <c r="JQ275" s="1008"/>
      <c r="JR275" s="1007"/>
      <c r="JS275" s="1008"/>
      <c r="JT275" s="1007"/>
      <c r="JU275" s="1008"/>
      <c r="JV275" s="1007"/>
      <c r="JW275" s="1008"/>
      <c r="JX275" s="1007"/>
      <c r="JY275" s="1008"/>
      <c r="JZ275" s="1007"/>
      <c r="KA275" s="1008"/>
      <c r="KB275" s="1007"/>
      <c r="KC275" s="1008"/>
      <c r="KD275" s="1007"/>
      <c r="KE275" s="1008"/>
      <c r="KF275" s="1007"/>
      <c r="KG275" s="1008"/>
      <c r="KH275" s="1007"/>
      <c r="KI275" s="1008"/>
      <c r="KJ275" s="1007"/>
      <c r="KK275" s="1008"/>
      <c r="KL275" s="1007"/>
      <c r="KM275" s="1008"/>
      <c r="KN275" s="1007"/>
      <c r="KO275" s="1008"/>
      <c r="KP275" s="1007"/>
      <c r="KQ275" s="1008"/>
      <c r="KR275" s="1007"/>
      <c r="KS275" s="1008"/>
      <c r="KT275" s="1007"/>
      <c r="KU275" s="1008"/>
      <c r="KV275" s="1007"/>
      <c r="KW275" s="1008"/>
      <c r="KX275" s="1007"/>
      <c r="KY275" s="1008"/>
      <c r="KZ275" s="1007"/>
      <c r="LA275" s="1008"/>
      <c r="LB275" s="1007"/>
      <c r="LC275" s="1008"/>
      <c r="LD275" s="1007"/>
      <c r="LE275" s="1008"/>
      <c r="LF275" s="1007"/>
      <c r="LG275" s="1008"/>
      <c r="LH275" s="1007"/>
      <c r="LI275" s="1008"/>
      <c r="LJ275" s="1007"/>
      <c r="LK275" s="1008"/>
      <c r="LL275" s="1007"/>
      <c r="LM275" s="1008"/>
      <c r="LN275" s="1007"/>
      <c r="LO275" s="1008"/>
      <c r="LP275" s="1007"/>
      <c r="LQ275" s="1008"/>
      <c r="LR275" s="1007"/>
      <c r="LS275" s="1008"/>
      <c r="LT275" s="1007"/>
      <c r="LU275" s="1008"/>
      <c r="LV275" s="1007"/>
      <c r="LW275" s="1008"/>
      <c r="LX275" s="1007"/>
      <c r="LY275" s="1009"/>
      <c r="LZ275" s="1010"/>
      <c r="MA275" s="1011"/>
      <c r="MB275" s="1012"/>
      <c r="MC275" s="995"/>
      <c r="MD275" s="996"/>
      <c r="ME275" s="997" t="s">
        <v>238</v>
      </c>
      <c r="MF275" s="997"/>
      <c r="MG275" s="998"/>
      <c r="NR275" s="1000"/>
      <c r="NS275" s="1000"/>
      <c r="NT275" s="1001"/>
      <c r="NU275" s="1000"/>
      <c r="NV275" s="1001"/>
      <c r="NX275" s="1002"/>
      <c r="NZ275" s="1001"/>
      <c r="OA275" s="1001"/>
      <c r="OC275" s="1003"/>
      <c r="OD275" s="1003"/>
      <c r="OE275" s="1001"/>
      <c r="OF275" s="1003"/>
      <c r="OG275" s="1003"/>
      <c r="QX275" s="1000">
        <f>CN275-CA275</f>
        <v>30</v>
      </c>
      <c r="ASU275" s="999" t="s">
        <v>208</v>
      </c>
    </row>
    <row r="276" spans="1:466 1191:1191" ht="21" customHeight="1" x14ac:dyDescent="0.25">
      <c r="A276" s="982">
        <f t="shared" si="163"/>
        <v>1233</v>
      </c>
      <c r="B276" s="124">
        <f>SUBTOTAL(103,$J$29:J276)</f>
        <v>248</v>
      </c>
      <c r="C276" s="126">
        <v>45096</v>
      </c>
      <c r="D276" s="124" t="s">
        <v>176</v>
      </c>
      <c r="E276" s="127" t="s">
        <v>177</v>
      </c>
      <c r="F276" s="128" t="s">
        <v>177</v>
      </c>
      <c r="G276" s="127" t="s">
        <v>178</v>
      </c>
      <c r="H276" s="127" t="s">
        <v>421</v>
      </c>
      <c r="I276" s="127" t="s">
        <v>560</v>
      </c>
      <c r="J276" s="152">
        <v>1233</v>
      </c>
      <c r="K276" s="127" t="s">
        <v>1228</v>
      </c>
      <c r="L276" s="130">
        <v>43933</v>
      </c>
      <c r="M276" s="127" t="s">
        <v>230</v>
      </c>
      <c r="N276" s="127" t="s">
        <v>231</v>
      </c>
      <c r="O276" s="127" t="s">
        <v>185</v>
      </c>
      <c r="P276" s="127" t="s">
        <v>315</v>
      </c>
      <c r="Q276" s="85" t="str">
        <f t="shared" si="187"/>
        <v/>
      </c>
      <c r="R276" s="130"/>
      <c r="S276" s="128"/>
      <c r="T276" s="131"/>
      <c r="U276" s="132">
        <v>203</v>
      </c>
      <c r="V276" s="121">
        <v>218.2</v>
      </c>
      <c r="W276" s="116">
        <v>0.98</v>
      </c>
      <c r="X276" s="116">
        <v>1.66</v>
      </c>
      <c r="Y276" s="116">
        <f t="shared" si="191"/>
        <v>1.1121137544435329</v>
      </c>
      <c r="Z276" s="133">
        <v>1.454</v>
      </c>
      <c r="AA276" s="133">
        <v>0.83599999999999997</v>
      </c>
      <c r="AB276" s="133">
        <v>0.72</v>
      </c>
      <c r="AC276" s="121">
        <v>34.299999999999997</v>
      </c>
      <c r="AD276" s="134">
        <v>1.17</v>
      </c>
      <c r="AE276" s="124">
        <v>177.8</v>
      </c>
      <c r="AF276" s="128">
        <v>9.19</v>
      </c>
      <c r="AG276" s="128">
        <v>2135</v>
      </c>
      <c r="AH276" s="127">
        <v>2774</v>
      </c>
      <c r="AI276" s="127">
        <v>2774</v>
      </c>
      <c r="AJ276" s="135"/>
      <c r="AK276" s="128"/>
      <c r="AL276" s="131"/>
      <c r="AM276" s="124" t="s">
        <v>232</v>
      </c>
      <c r="AN276" s="136" t="s">
        <v>1234</v>
      </c>
      <c r="AO276" s="137">
        <v>27.71</v>
      </c>
      <c r="AP276" s="128">
        <v>2135</v>
      </c>
      <c r="AQ276" s="128">
        <v>267.20000000000005</v>
      </c>
      <c r="AR276" s="128"/>
      <c r="AS276" s="128"/>
      <c r="AT276" s="122"/>
      <c r="AU276" s="124" t="s">
        <v>250</v>
      </c>
      <c r="AV276" s="115">
        <f>VLOOKUP(J276,'[63]ТР нефть'!$J$28:$BP$638,39,0)</f>
        <v>504.00000849600002</v>
      </c>
      <c r="AW276" s="115" t="str">
        <f>VLOOKUP(J276,'[63]ТР нефть'!$J$28:$BP$638,40,0)</f>
        <v>ГП</v>
      </c>
      <c r="AX276" s="115">
        <f>VLOOKUP(J276,'[63]ТР нефть'!$J$28:$BP$638,41,0)</f>
        <v>929</v>
      </c>
      <c r="AY276" s="115" t="str">
        <f>VLOOKUP(J276,'[63]ТР нефть'!$J$28:$BP$638,42,0)</f>
        <v>ГК 87 1/8</v>
      </c>
      <c r="AZ276" s="115">
        <f>VLOOKUP(J276,'[63]ТР нефть'!$J$28:$BP$638,43,0)</f>
        <v>1280.999985938</v>
      </c>
      <c r="BA276" s="115" t="str">
        <f>VLOOKUP(J276,'[63]ТР нефть'!$J$28:$BP$638,44,0)</f>
        <v>ГК 85 5/32</v>
      </c>
      <c r="BB276" s="115">
        <f>VLOOKUP(J276,'[63]ТР нефть'!$J$28:$BP$638,45,0)</f>
        <v>1571</v>
      </c>
      <c r="BC276" s="115" t="str">
        <f>VLOOKUP(J276,'[63]ТР нефть'!$J$28:$BP$638,46,0)</f>
        <v>ГК 85 5/32</v>
      </c>
      <c r="BD276" s="115">
        <f>VLOOKUP(J276,'[63]ТР нефть'!$J$28:$BP$638,47,0)</f>
        <v>1847.0000425779999</v>
      </c>
      <c r="BE276" s="115" t="str">
        <f>VLOOKUP(J276,'[63]ТР нефть'!$J$28:$BP$638,48,0)</f>
        <v>ЦКсОК 5/16</v>
      </c>
      <c r="BF276" s="115" t="str">
        <f>VLOOKUP(J276,'[63]ТР нефть'!$J$28:$BP$638,49,0)</f>
        <v>-</v>
      </c>
      <c r="BG276" s="115" t="str">
        <f>VLOOKUP(J276,'[63]ТР нефть'!$J$28:$BP$638,50,0)</f>
        <v>-</v>
      </c>
      <c r="BH276" s="115">
        <f>VLOOKUP(J276,'[63]ТР нефть'!$J$28:$BP$638,51,0)</f>
        <v>1880</v>
      </c>
      <c r="BI276" s="115" t="str">
        <f>VLOOKUP(J276,'[63]ТР нефть'!$J$28:$BP$638,52,0)</f>
        <v>закрыт</v>
      </c>
      <c r="BJ276" s="115" t="str">
        <f>IF(IFERROR(VLOOKUP(J276,'[63]ТР нефть'!$J$28:$BP$638,53,0),"-")=0,"-",IFERROR(VLOOKUP(J276,'[63]ТР нефть'!$J$28:$BP$638,53,0),"-"))</f>
        <v>-</v>
      </c>
      <c r="BK276" s="138" t="str">
        <f>IF(IFERROR(VLOOKUP(J276,'[63]ТР нефть'!$J$28:$BP$638,54,0),"-")=0,"-",IFERROR(VLOOKUP(J276,'[63]ТР нефть'!$J$28:$BP$638,54,0),"-"))</f>
        <v>-</v>
      </c>
      <c r="BL276" s="138" t="str">
        <f>IF(IFERROR(VLOOKUP(J276,'[63]ТР нефть'!$J$28:$BP$638,55,0),"-")=0,"-",IFERROR(VLOOKUP(J276,'[63]ТР нефть'!$J$28:$BP$638,55,0),"-"))</f>
        <v>-</v>
      </c>
      <c r="BM276" s="138" t="str">
        <f>IF(IFERROR(VLOOKUP(J276,'[63]ТР нефть'!$J$28:$BP$638,56,0),"-")=0,"-",IFERROR(VLOOKUP(J276,'[63]ТР нефть'!$J$28:$BP$638,56,0),"-"))</f>
        <v>-</v>
      </c>
      <c r="BN276" s="138" t="str">
        <f>IF(IFERROR(VLOOKUP(J276,'[63]ТР нефть'!$J$28:$BP$638,57,0),"-")=0,"-",IFERROR(VLOOKUP(J276,'[63]ТР нефть'!$J$28:$BP$638,57,0),"-"))</f>
        <v>-</v>
      </c>
      <c r="BO276" s="115" t="str">
        <f>IF(IFERROR(VLOOKUP(J276,'[63]ТР нефть'!$J$28:$BP$638,58,0),"-")=0,"-",IFERROR(VLOOKUP(J276,'[63]ТР нефть'!$J$28:$BP$638,58,0),"-"))</f>
        <v>-</v>
      </c>
      <c r="BP276" s="115" t="str">
        <f>IF(IFERROR(VLOOKUP(J276,'[63]ТР нефть'!$J$28:$BP$638,59,0),"-")=0,"-",IFERROR(VLOOKUP(J276,'[63]ТР нефть'!$J$28:$BP$638,59,0),"-"))</f>
        <v>-</v>
      </c>
      <c r="BQ276" s="138">
        <v>2184</v>
      </c>
      <c r="BR276" s="128">
        <f>1747.51+131.1</f>
        <v>1878.61</v>
      </c>
      <c r="BS276" s="115">
        <f t="shared" si="164"/>
        <v>305.3900000000001</v>
      </c>
      <c r="BT276" s="128">
        <v>73</v>
      </c>
      <c r="BU276" s="128">
        <v>5.5</v>
      </c>
      <c r="BV276" s="127">
        <v>65</v>
      </c>
      <c r="BW276" s="127" t="s">
        <v>234</v>
      </c>
      <c r="BX276" s="127" t="s">
        <v>195</v>
      </c>
      <c r="BY276" s="139">
        <v>24</v>
      </c>
      <c r="BZ276" s="139">
        <v>0</v>
      </c>
      <c r="CA276" s="138">
        <v>33</v>
      </c>
      <c r="CB276" s="138">
        <v>41</v>
      </c>
      <c r="CC276" s="138">
        <v>31</v>
      </c>
      <c r="CD276" s="135">
        <v>45017</v>
      </c>
      <c r="CE276" s="138">
        <v>117.4</v>
      </c>
      <c r="CF276" s="138"/>
      <c r="CG276" s="138" t="str">
        <f t="shared" si="210"/>
        <v/>
      </c>
      <c r="CH276" s="138" t="s">
        <v>197</v>
      </c>
      <c r="CI276" s="127"/>
      <c r="CJ276" s="138"/>
      <c r="CK276" s="138"/>
      <c r="CL276" s="99"/>
      <c r="CM276" s="138"/>
      <c r="CN276" s="154">
        <v>56</v>
      </c>
      <c r="CO276" s="141">
        <f t="shared" si="165"/>
        <v>5.9355999999999991</v>
      </c>
      <c r="CP276" s="142">
        <v>10</v>
      </c>
      <c r="CQ276" s="143">
        <v>29</v>
      </c>
      <c r="CR276" s="138">
        <v>39.200000000000003</v>
      </c>
      <c r="CS276" s="139"/>
      <c r="CT276" s="138"/>
      <c r="CU276" s="138">
        <f t="shared" si="188"/>
        <v>39.200000000000003</v>
      </c>
      <c r="CV276" s="115">
        <f t="shared" si="189"/>
        <v>6604.2186131140925</v>
      </c>
      <c r="CW276" s="115" t="str">
        <f t="shared" si="166"/>
        <v/>
      </c>
      <c r="CX276" s="133">
        <f t="shared" si="190"/>
        <v>0.16286644951140064</v>
      </c>
      <c r="CY276" s="116"/>
      <c r="CZ276" s="131"/>
      <c r="DA276" s="145" t="str">
        <f t="shared" si="167"/>
        <v>Фон.</v>
      </c>
      <c r="DB276" s="146">
        <f t="shared" si="168"/>
        <v>5.9355999999999991</v>
      </c>
      <c r="DC276" s="142">
        <f t="shared" si="203"/>
        <v>10</v>
      </c>
      <c r="DD276" s="119">
        <f t="shared" si="204"/>
        <v>29</v>
      </c>
      <c r="DE276" s="115">
        <f t="shared" si="169"/>
        <v>39.200000000000003</v>
      </c>
      <c r="DF276" s="121">
        <f t="shared" si="170"/>
        <v>0</v>
      </c>
      <c r="DG276" s="115">
        <f t="shared" si="171"/>
        <v>6604.2186131140925</v>
      </c>
      <c r="DH276" s="115">
        <f t="shared" si="172"/>
        <v>56</v>
      </c>
      <c r="DI276" s="147"/>
      <c r="DJ276" s="111"/>
      <c r="DK276" s="112">
        <v>43933</v>
      </c>
      <c r="DL276" s="113">
        <f t="shared" ca="1" si="192"/>
        <v>1171</v>
      </c>
      <c r="DM276" s="114"/>
      <c r="DN276" s="114"/>
      <c r="DO276" s="114"/>
      <c r="DP276" s="114"/>
      <c r="DQ276" s="112"/>
      <c r="DR276" s="114"/>
      <c r="DS276" s="114"/>
      <c r="DT276" s="115">
        <v>50</v>
      </c>
      <c r="DU276" s="116">
        <f t="shared" si="193"/>
        <v>0.15804672720773399</v>
      </c>
      <c r="DV276" s="117">
        <f t="shared" si="194"/>
        <v>6.322808518055882</v>
      </c>
      <c r="DW276" s="118">
        <f t="shared" si="195"/>
        <v>10.652349413801272</v>
      </c>
      <c r="DX276" s="119">
        <f t="shared" si="173"/>
        <v>29</v>
      </c>
      <c r="DY276" s="115">
        <f t="shared" si="196"/>
        <v>41.757209702100994</v>
      </c>
      <c r="DZ276" s="117">
        <f t="shared" si="197"/>
        <v>0.38720851805588286</v>
      </c>
      <c r="EA276" s="120">
        <f t="shared" si="197"/>
        <v>0.65234941380127154</v>
      </c>
      <c r="EB276" s="119">
        <f t="shared" si="197"/>
        <v>0</v>
      </c>
      <c r="EC276" s="121">
        <f t="shared" si="198"/>
        <v>2.557209702100991</v>
      </c>
      <c r="ED276" s="122"/>
      <c r="EE276" s="145">
        <v>65</v>
      </c>
      <c r="EF276" s="115">
        <v>33</v>
      </c>
      <c r="EG276" s="115">
        <v>41</v>
      </c>
      <c r="EH276" s="115">
        <v>31</v>
      </c>
      <c r="EI276" s="128" t="s">
        <v>195</v>
      </c>
      <c r="EJ276" s="121">
        <v>24</v>
      </c>
      <c r="EK276" s="121">
        <v>0</v>
      </c>
      <c r="EL276" s="149">
        <v>5.9355999999999991</v>
      </c>
      <c r="EM276" s="142">
        <v>10</v>
      </c>
      <c r="EN276" s="119">
        <v>29</v>
      </c>
      <c r="EO276" s="115">
        <v>39.200000000000003</v>
      </c>
      <c r="EP276" s="115">
        <v>6604.2186131140925</v>
      </c>
      <c r="EQ276" s="115">
        <v>0</v>
      </c>
      <c r="ER276" s="115">
        <v>0</v>
      </c>
      <c r="ES276" s="115">
        <v>56</v>
      </c>
      <c r="ET276" s="150">
        <v>0.16286644951140064</v>
      </c>
      <c r="EU276" s="145">
        <f t="shared" si="174"/>
        <v>65</v>
      </c>
      <c r="EV276" s="115">
        <f t="shared" si="175"/>
        <v>33</v>
      </c>
      <c r="EW276" s="115">
        <f t="shared" si="175"/>
        <v>41</v>
      </c>
      <c r="EX276" s="115">
        <f t="shared" si="175"/>
        <v>31</v>
      </c>
      <c r="EY276" s="115" t="str">
        <f t="shared" si="206"/>
        <v>Постоянный</v>
      </c>
      <c r="EZ276" s="115">
        <f t="shared" si="206"/>
        <v>24</v>
      </c>
      <c r="FA276" s="115">
        <f t="shared" si="206"/>
        <v>0</v>
      </c>
      <c r="FB276" s="149">
        <f t="shared" si="209"/>
        <v>5.9355999999999991</v>
      </c>
      <c r="FC276" s="142">
        <f t="shared" si="209"/>
        <v>10</v>
      </c>
      <c r="FD276" s="119">
        <f t="shared" si="209"/>
        <v>29</v>
      </c>
      <c r="FE276" s="121">
        <f t="shared" si="208"/>
        <v>39.200000000000003</v>
      </c>
      <c r="FF276" s="121">
        <f t="shared" si="199"/>
        <v>6604.2186131140925</v>
      </c>
      <c r="FG276" s="121">
        <f t="shared" si="177"/>
        <v>0</v>
      </c>
      <c r="FH276" s="121">
        <f t="shared" si="200"/>
        <v>0</v>
      </c>
      <c r="FI276" s="121">
        <f t="shared" si="205"/>
        <v>56</v>
      </c>
      <c r="FJ276" s="144">
        <f t="shared" si="178"/>
        <v>0.16286644951140064</v>
      </c>
      <c r="FK276" s="132">
        <f t="shared" si="179"/>
        <v>0</v>
      </c>
      <c r="FL276" s="115">
        <f t="shared" si="179"/>
        <v>0</v>
      </c>
      <c r="FM276" s="115">
        <f t="shared" si="179"/>
        <v>0</v>
      </c>
      <c r="FN276" s="115">
        <f t="shared" si="162"/>
        <v>0</v>
      </c>
      <c r="FO276" s="115">
        <f t="shared" si="201"/>
        <v>0</v>
      </c>
      <c r="FP276" s="115">
        <f t="shared" si="201"/>
        <v>0</v>
      </c>
      <c r="FQ276" s="149">
        <f t="shared" si="201"/>
        <v>0</v>
      </c>
      <c r="FR276" s="142">
        <f t="shared" si="201"/>
        <v>0</v>
      </c>
      <c r="FS276" s="119">
        <f t="shared" si="201"/>
        <v>0</v>
      </c>
      <c r="FT276" s="121">
        <f t="shared" si="201"/>
        <v>0</v>
      </c>
      <c r="FU276" s="121">
        <f t="shared" si="180"/>
        <v>0</v>
      </c>
      <c r="FV276" s="121">
        <f t="shared" si="180"/>
        <v>0</v>
      </c>
      <c r="FW276" s="121">
        <f t="shared" si="181"/>
        <v>0</v>
      </c>
      <c r="FX276" s="121">
        <f t="shared" si="182"/>
        <v>0</v>
      </c>
      <c r="FY276" s="144">
        <f t="shared" si="182"/>
        <v>0</v>
      </c>
      <c r="FZ276" s="145"/>
      <c r="GA276" s="1033" t="s">
        <v>283</v>
      </c>
      <c r="GB276" s="145" t="s">
        <v>223</v>
      </c>
      <c r="GC276" s="151" t="s">
        <v>1235</v>
      </c>
      <c r="GD276" s="997" t="s">
        <v>238</v>
      </c>
      <c r="GE276" s="1004" t="s">
        <v>223</v>
      </c>
      <c r="GF276" s="1004">
        <v>-4.3681000000000001</v>
      </c>
      <c r="GG276" s="1004"/>
      <c r="GH276" s="1004">
        <v>0</v>
      </c>
      <c r="GI276" s="145"/>
      <c r="GJ276" s="996">
        <v>0</v>
      </c>
      <c r="GK276" s="145" t="s">
        <v>199</v>
      </c>
      <c r="GL276" s="996">
        <v>1.7036999999999995</v>
      </c>
      <c r="GM276" s="1005"/>
      <c r="GN276" s="996">
        <v>0</v>
      </c>
      <c r="GO276" s="1006"/>
      <c r="GP276" s="996">
        <v>0</v>
      </c>
      <c r="GQ276" s="1006"/>
      <c r="GR276" s="996">
        <v>0</v>
      </c>
      <c r="GS276" s="1006" t="s">
        <v>146</v>
      </c>
      <c r="GT276" s="996">
        <v>1.3816806079999999</v>
      </c>
      <c r="GU276" s="1006"/>
      <c r="GV276" s="996">
        <v>0</v>
      </c>
      <c r="GW276" s="1006"/>
      <c r="GX276" s="1049">
        <v>0</v>
      </c>
      <c r="GY276" s="1006" t="s">
        <v>204</v>
      </c>
      <c r="GZ276" s="996">
        <v>-1.9905494399999997</v>
      </c>
      <c r="HA276" s="1006" t="s">
        <v>204</v>
      </c>
      <c r="HB276" s="996">
        <v>-6.7922826399999998</v>
      </c>
      <c r="HC276" s="1006"/>
      <c r="HD276" s="996">
        <v>0</v>
      </c>
      <c r="HE276" s="1006"/>
      <c r="HF276" s="996">
        <v>0</v>
      </c>
      <c r="HG276" s="1006"/>
      <c r="HH276" s="996">
        <v>0</v>
      </c>
      <c r="HI276" s="1006"/>
      <c r="HJ276" s="996">
        <v>0</v>
      </c>
      <c r="HK276" s="1006" t="s">
        <v>204</v>
      </c>
      <c r="HL276" s="996">
        <v>5.4284322399999994</v>
      </c>
      <c r="HM276" s="1006"/>
      <c r="HN276" s="996">
        <v>0</v>
      </c>
      <c r="HO276" s="1006"/>
      <c r="HP276" s="996">
        <v>0</v>
      </c>
      <c r="HQ276" s="1006"/>
      <c r="HR276" s="996">
        <v>6.8552000000002167E-2</v>
      </c>
      <c r="HS276" s="1006"/>
      <c r="HT276" s="996">
        <v>0.56764399999999959</v>
      </c>
      <c r="HU276" s="1006"/>
      <c r="HV276" s="996">
        <v>0</v>
      </c>
      <c r="HW276" s="1006"/>
      <c r="HX276" s="996">
        <v>-0.52542600000000217</v>
      </c>
      <c r="HY276" s="1006" t="s">
        <v>221</v>
      </c>
      <c r="HZ276" s="996">
        <v>-7.6682099999999975</v>
      </c>
      <c r="IA276" s="1006" t="s">
        <v>221</v>
      </c>
      <c r="IB276" s="996">
        <v>6.9722399999999976</v>
      </c>
      <c r="IC276" s="1006"/>
      <c r="ID276" s="996">
        <v>0</v>
      </c>
      <c r="IE276" s="1006" t="s">
        <v>199</v>
      </c>
      <c r="IF276" s="996">
        <v>3.3440000000000003</v>
      </c>
      <c r="IG276" s="1006"/>
      <c r="IH276" s="996">
        <v>0</v>
      </c>
      <c r="II276" s="1006"/>
      <c r="IJ276" s="996">
        <v>-0.41800000000000015</v>
      </c>
      <c r="IK276" s="1006" t="s">
        <v>435</v>
      </c>
      <c r="IL276" s="996">
        <v>-8.3056599999999996</v>
      </c>
      <c r="IM276" s="1006" t="s">
        <v>204</v>
      </c>
      <c r="IN276" s="996">
        <v>6.6587400000000008</v>
      </c>
      <c r="IO276" s="1006" t="s">
        <v>204</v>
      </c>
      <c r="IP276" s="996">
        <v>-7.7747999999999982</v>
      </c>
      <c r="IQ276" s="1006" t="s">
        <v>199</v>
      </c>
      <c r="IR276" s="996">
        <v>-2.8755724800000024</v>
      </c>
      <c r="IS276" s="1006"/>
      <c r="IT276" s="996">
        <v>0</v>
      </c>
      <c r="IU276" s="1006" t="s">
        <v>203</v>
      </c>
      <c r="IV276" s="996">
        <v>-2.3888825400000009</v>
      </c>
      <c r="IW276" s="1006" t="s">
        <v>203</v>
      </c>
      <c r="IX276" s="996">
        <v>-6.2628814599999991</v>
      </c>
      <c r="IY276" s="1006"/>
      <c r="IZ276" s="996">
        <v>0</v>
      </c>
      <c r="JA276" s="1006" t="s">
        <v>25</v>
      </c>
      <c r="JB276" s="996">
        <v>26.29945648</v>
      </c>
      <c r="JC276" s="1006"/>
      <c r="JD276" s="996"/>
      <c r="JE276" s="1006"/>
      <c r="JF276" s="996"/>
      <c r="JG276" s="1006"/>
      <c r="JH276" s="996"/>
      <c r="JI276" s="1006"/>
      <c r="JJ276" s="996"/>
      <c r="JK276" s="1007"/>
      <c r="JL276" s="1007"/>
      <c r="JM276" s="1007"/>
      <c r="JN276" s="1007"/>
      <c r="JO276" s="1008"/>
      <c r="JP276" s="1007"/>
      <c r="JQ276" s="1008"/>
      <c r="JR276" s="1007"/>
      <c r="JS276" s="1008"/>
      <c r="JT276" s="1007"/>
      <c r="JU276" s="1008"/>
      <c r="JV276" s="1007"/>
      <c r="JW276" s="1008"/>
      <c r="JX276" s="1007"/>
      <c r="JY276" s="1008"/>
      <c r="JZ276" s="1007"/>
      <c r="KA276" s="1008"/>
      <c r="KB276" s="1007"/>
      <c r="KC276" s="1008"/>
      <c r="KD276" s="1007"/>
      <c r="KE276" s="1008"/>
      <c r="KF276" s="1007"/>
      <c r="KG276" s="1008"/>
      <c r="KH276" s="1007"/>
      <c r="KI276" s="1008"/>
      <c r="KJ276" s="1007"/>
      <c r="KK276" s="1008"/>
      <c r="KL276" s="1007"/>
      <c r="KM276" s="1008"/>
      <c r="KN276" s="1007"/>
      <c r="KO276" s="1008"/>
      <c r="KP276" s="1007"/>
      <c r="KQ276" s="1008"/>
      <c r="KR276" s="1007"/>
      <c r="KS276" s="1008"/>
      <c r="KT276" s="1007"/>
      <c r="KU276" s="1008"/>
      <c r="KV276" s="1007"/>
      <c r="KW276" s="1008"/>
      <c r="KX276" s="1007"/>
      <c r="KY276" s="1008"/>
      <c r="KZ276" s="1007"/>
      <c r="LA276" s="1008"/>
      <c r="LB276" s="1007"/>
      <c r="LC276" s="1008"/>
      <c r="LD276" s="1007"/>
      <c r="LE276" s="1008"/>
      <c r="LF276" s="1007"/>
      <c r="LG276" s="1008"/>
      <c r="LH276" s="1007"/>
      <c r="LI276" s="1008"/>
      <c r="LJ276" s="1007"/>
      <c r="LK276" s="1008"/>
      <c r="LL276" s="1007"/>
      <c r="LM276" s="1008"/>
      <c r="LN276" s="1007"/>
      <c r="LO276" s="1008"/>
      <c r="LP276" s="1007"/>
      <c r="LQ276" s="1008"/>
      <c r="LR276" s="1007"/>
      <c r="LS276" s="1008"/>
      <c r="LT276" s="1007"/>
      <c r="LU276" s="1008"/>
      <c r="LV276" s="1007"/>
      <c r="LW276" s="1008"/>
      <c r="LX276" s="1007"/>
      <c r="LY276" s="1009"/>
      <c r="LZ276" s="1010"/>
      <c r="MA276" s="1011"/>
      <c r="MB276" s="1012"/>
      <c r="MC276" s="995"/>
      <c r="MD276" s="996"/>
      <c r="ME276" s="997" t="s">
        <v>238</v>
      </c>
      <c r="MF276" s="997"/>
      <c r="MG276" s="998"/>
      <c r="NR276" s="1000"/>
      <c r="NS276" s="1000"/>
      <c r="NT276" s="1001"/>
      <c r="NU276" s="1000"/>
      <c r="NV276" s="1001"/>
      <c r="NX276" s="1002"/>
      <c r="NZ276" s="1001"/>
      <c r="OA276" s="1001"/>
      <c r="OC276" s="1003"/>
      <c r="OD276" s="1003"/>
      <c r="OE276" s="1001"/>
      <c r="OF276" s="1003"/>
      <c r="OG276" s="1003"/>
      <c r="QX276" s="1000">
        <f>CN276-CA276</f>
        <v>23</v>
      </c>
      <c r="ASU276" s="999" t="s">
        <v>208</v>
      </c>
    </row>
    <row r="277" spans="1:466 1191:1191" ht="21" customHeight="1" x14ac:dyDescent="0.25">
      <c r="A277" s="982">
        <f t="shared" si="163"/>
        <v>1234</v>
      </c>
      <c r="B277" s="124">
        <f>SUBTOTAL(103,$J$29:J277)</f>
        <v>249</v>
      </c>
      <c r="C277" s="126">
        <v>45068</v>
      </c>
      <c r="D277" s="124" t="s">
        <v>176</v>
      </c>
      <c r="E277" s="127" t="s">
        <v>177</v>
      </c>
      <c r="F277" s="128" t="s">
        <v>177</v>
      </c>
      <c r="G277" s="127" t="s">
        <v>178</v>
      </c>
      <c r="H277" s="127" t="s">
        <v>421</v>
      </c>
      <c r="I277" s="127" t="s">
        <v>422</v>
      </c>
      <c r="J277" s="152">
        <v>1234</v>
      </c>
      <c r="K277" s="127" t="s">
        <v>1236</v>
      </c>
      <c r="L277" s="130">
        <v>42643</v>
      </c>
      <c r="M277" s="127" t="s">
        <v>230</v>
      </c>
      <c r="N277" s="127" t="s">
        <v>231</v>
      </c>
      <c r="O277" s="127" t="s">
        <v>185</v>
      </c>
      <c r="P277" s="127" t="s">
        <v>292</v>
      </c>
      <c r="Q277" s="85" t="str">
        <f t="shared" si="187"/>
        <v/>
      </c>
      <c r="R277" s="130"/>
      <c r="S277" s="128"/>
      <c r="T277" s="131"/>
      <c r="U277" s="132">
        <v>203</v>
      </c>
      <c r="V277" s="121">
        <v>218.2</v>
      </c>
      <c r="W277" s="116">
        <v>0.98</v>
      </c>
      <c r="X277" s="116">
        <v>1.66</v>
      </c>
      <c r="Y277" s="116">
        <f t="shared" si="191"/>
        <v>0.98565265862052243</v>
      </c>
      <c r="Z277" s="133">
        <v>1.454</v>
      </c>
      <c r="AA277" s="133">
        <v>0.83599999999999997</v>
      </c>
      <c r="AB277" s="133">
        <v>0.72</v>
      </c>
      <c r="AC277" s="121">
        <v>34.299999999999997</v>
      </c>
      <c r="AD277" s="134">
        <v>1.17</v>
      </c>
      <c r="AE277" s="124">
        <v>177.8</v>
      </c>
      <c r="AF277" s="128">
        <v>9.19</v>
      </c>
      <c r="AG277" s="128">
        <v>2214</v>
      </c>
      <c r="AH277" s="127">
        <v>2810</v>
      </c>
      <c r="AI277" s="127">
        <v>2810</v>
      </c>
      <c r="AJ277" s="135"/>
      <c r="AK277" s="128"/>
      <c r="AL277" s="131"/>
      <c r="AM277" s="124" t="s">
        <v>232</v>
      </c>
      <c r="AN277" s="136" t="s">
        <v>1237</v>
      </c>
      <c r="AO277" s="137">
        <v>15.17</v>
      </c>
      <c r="AP277" s="128">
        <v>2220</v>
      </c>
      <c r="AQ277" s="128">
        <v>351.7</v>
      </c>
      <c r="AR277" s="128"/>
      <c r="AS277" s="128"/>
      <c r="AT277" s="122"/>
      <c r="AU277" s="124" t="s">
        <v>250</v>
      </c>
      <c r="AV277" s="115">
        <f>VLOOKUP(J277,'[63]ТР нефть'!$J$28:$BP$638,39,0)</f>
        <v>500</v>
      </c>
      <c r="AW277" s="115" t="str">
        <f>VLOOKUP(J277,'[63]ТР нефть'!$J$28:$BP$638,40,0)</f>
        <v>ГК 83/1,5</v>
      </c>
      <c r="AX277" s="115">
        <f>VLOOKUP(J277,'[63]ТР нефть'!$J$28:$BP$638,41,0)</f>
        <v>900</v>
      </c>
      <c r="AY277" s="115" t="str">
        <f>VLOOKUP(J277,'[63]ТР нефть'!$J$28:$BP$638,42,0)</f>
        <v>ГК 84/1,5</v>
      </c>
      <c r="AZ277" s="115">
        <f>VLOOKUP(J277,'[63]ТР нефть'!$J$28:$BP$638,43,0)</f>
        <v>1220</v>
      </c>
      <c r="BA277" s="115" t="str">
        <f>VLOOKUP(J277,'[63]ТР нефть'!$J$28:$BP$638,44,0)</f>
        <v>ГК 80/1,5</v>
      </c>
      <c r="BB277" s="115">
        <f>VLOOKUP(J277,'[63]ТР нефть'!$J$28:$BP$638,45,0)</f>
        <v>1480</v>
      </c>
      <c r="BC277" s="115" t="str">
        <f>VLOOKUP(J277,'[63]ТР нефть'!$J$28:$BP$638,46,0)</f>
        <v>ГК 77/1,5</v>
      </c>
      <c r="BD277" s="115">
        <f>VLOOKUP(J277,'[63]ТР нефть'!$J$28:$BP$638,47,0)</f>
        <v>1720</v>
      </c>
      <c r="BE277" s="115" t="str">
        <f>VLOOKUP(J277,'[63]ТР нефть'!$J$28:$BP$638,48,0)</f>
        <v>ЦКсОК 5/16</v>
      </c>
      <c r="BF277" s="115" t="str">
        <f>VLOOKUP(J277,'[63]ТР нефть'!$J$28:$BP$638,49,0)</f>
        <v>-</v>
      </c>
      <c r="BG277" s="115" t="str">
        <f>VLOOKUP(J277,'[63]ТР нефть'!$J$28:$BP$638,50,0)</f>
        <v>-</v>
      </c>
      <c r="BH277" s="115">
        <f>VLOOKUP(J277,'[63]ТР нефть'!$J$28:$BP$638,51,0)</f>
        <v>1815</v>
      </c>
      <c r="BI277" s="115" t="str">
        <f>VLOOKUP(J277,'[63]ТР нефть'!$J$28:$BP$638,52,0)</f>
        <v>закрыт</v>
      </c>
      <c r="BJ277" s="115" t="str">
        <f>IF(IFERROR(VLOOKUP(J277,'[63]ТР нефть'!$J$28:$BP$638,53,0),"-")=0,"-",IFERROR(VLOOKUP(J277,'[63]ТР нефть'!$J$28:$BP$638,53,0),"-"))</f>
        <v>-</v>
      </c>
      <c r="BK277" s="138" t="str">
        <f>IF(IFERROR(VLOOKUP(J277,'[63]ТР нефть'!$J$28:$BP$638,54,0),"-")=0,"-",IFERROR(VLOOKUP(J277,'[63]ТР нефть'!$J$28:$BP$638,54,0),"-"))</f>
        <v>-</v>
      </c>
      <c r="BL277" s="138" t="str">
        <f>IF(IFERROR(VLOOKUP(J277,'[63]ТР нефть'!$J$28:$BP$638,55,0),"-")=0,"-",IFERROR(VLOOKUP(J277,'[63]ТР нефть'!$J$28:$BP$638,55,0),"-"))</f>
        <v>-</v>
      </c>
      <c r="BM277" s="138" t="str">
        <f>IF(IFERROR(VLOOKUP(J277,'[63]ТР нефть'!$J$28:$BP$638,56,0),"-")=0,"-",IFERROR(VLOOKUP(J277,'[63]ТР нефть'!$J$28:$BP$638,56,0),"-"))</f>
        <v>-</v>
      </c>
      <c r="BN277" s="138" t="str">
        <f>IF(IFERROR(VLOOKUP(J277,'[63]ТР нефть'!$J$28:$BP$638,57,0),"-")=0,"-",IFERROR(VLOOKUP(J277,'[63]ТР нефть'!$J$28:$BP$638,57,0),"-"))</f>
        <v>-</v>
      </c>
      <c r="BO277" s="115" t="str">
        <f>IF(IFERROR(VLOOKUP(J277,'[63]ТР нефть'!$J$28:$BP$638,58,0),"-")=0,"-",IFERROR(VLOOKUP(J277,'[63]ТР нефть'!$J$28:$BP$638,58,0),"-"))</f>
        <v>-</v>
      </c>
      <c r="BP277" s="115" t="str">
        <f>IF(IFERROR(VLOOKUP(J277,'[63]ТР нефть'!$J$28:$BP$638,59,0),"-")=0,"-",IFERROR(VLOOKUP(J277,'[63]ТР нефть'!$J$28:$BP$638,59,0),"-"))</f>
        <v>-</v>
      </c>
      <c r="BQ277" s="138">
        <v>2220</v>
      </c>
      <c r="BR277" s="128">
        <v>1882.42</v>
      </c>
      <c r="BS277" s="115">
        <f t="shared" si="164"/>
        <v>337.57999999999993</v>
      </c>
      <c r="BT277" s="128">
        <v>73</v>
      </c>
      <c r="BU277" s="128">
        <v>5.5</v>
      </c>
      <c r="BV277" s="127">
        <v>24</v>
      </c>
      <c r="BW277" s="127" t="s">
        <v>217</v>
      </c>
      <c r="BX277" s="127" t="s">
        <v>195</v>
      </c>
      <c r="BY277" s="139">
        <v>24</v>
      </c>
      <c r="BZ277" s="139">
        <v>0</v>
      </c>
      <c r="CA277" s="138">
        <v>28</v>
      </c>
      <c r="CB277" s="138">
        <v>48</v>
      </c>
      <c r="CC277" s="138">
        <v>27</v>
      </c>
      <c r="CD277" s="135">
        <v>45017</v>
      </c>
      <c r="CE277" s="138">
        <v>103</v>
      </c>
      <c r="CF277" s="138"/>
      <c r="CG277" s="138"/>
      <c r="CH277" s="138"/>
      <c r="CI277" s="127"/>
      <c r="CJ277" s="138"/>
      <c r="CK277" s="138"/>
      <c r="CL277" s="99"/>
      <c r="CM277" s="138"/>
      <c r="CN277" s="154">
        <v>58</v>
      </c>
      <c r="CO277" s="159">
        <f t="shared" si="165"/>
        <v>6.2646495999999994</v>
      </c>
      <c r="CP277" s="160">
        <v>7.6</v>
      </c>
      <c r="CQ277" s="161">
        <v>1.4</v>
      </c>
      <c r="CR277" s="138">
        <v>88</v>
      </c>
      <c r="CS277" s="139"/>
      <c r="CT277" s="138"/>
      <c r="CU277" s="138">
        <f t="shared" si="188"/>
        <v>88</v>
      </c>
      <c r="CV277" s="115">
        <f t="shared" si="189"/>
        <v>14047.074556252915</v>
      </c>
      <c r="CW277" s="115" t="str">
        <f t="shared" si="166"/>
        <v/>
      </c>
      <c r="CX277" s="133">
        <f t="shared" si="190"/>
        <v>0.16888888888888889</v>
      </c>
      <c r="CY277" s="116"/>
      <c r="CZ277" s="131"/>
      <c r="DA277" s="145" t="str">
        <f t="shared" si="167"/>
        <v>Фон.</v>
      </c>
      <c r="DB277" s="146">
        <f t="shared" si="168"/>
        <v>6.2646495999999994</v>
      </c>
      <c r="DC277" s="142">
        <f t="shared" si="203"/>
        <v>7.6</v>
      </c>
      <c r="DD277" s="119">
        <f t="shared" si="204"/>
        <v>1.4</v>
      </c>
      <c r="DE277" s="115">
        <f t="shared" si="169"/>
        <v>88</v>
      </c>
      <c r="DF277" s="121">
        <f t="shared" si="170"/>
        <v>0</v>
      </c>
      <c r="DG277" s="115">
        <f t="shared" si="171"/>
        <v>14047.074556252915</v>
      </c>
      <c r="DH277" s="115">
        <f t="shared" si="172"/>
        <v>58</v>
      </c>
      <c r="DI277" s="147"/>
      <c r="DJ277" s="111">
        <v>43563</v>
      </c>
      <c r="DK277" s="112">
        <v>42625</v>
      </c>
      <c r="DL277" s="113">
        <f t="shared" ca="1" si="192"/>
        <v>2479</v>
      </c>
      <c r="DM277" s="114"/>
      <c r="DN277" s="114"/>
      <c r="DO277" s="114"/>
      <c r="DP277" s="114"/>
      <c r="DQ277" s="112">
        <v>42643</v>
      </c>
      <c r="DR277" s="114" t="s">
        <v>324</v>
      </c>
      <c r="DS277" s="114" t="s">
        <v>1238</v>
      </c>
      <c r="DT277" s="115">
        <v>46</v>
      </c>
      <c r="DU277" s="116">
        <f t="shared" si="193"/>
        <v>0.15803659080767513</v>
      </c>
      <c r="DV277" s="117">
        <f t="shared" si="194"/>
        <v>7.4253289904149913</v>
      </c>
      <c r="DW277" s="118">
        <f t="shared" si="195"/>
        <v>9.0080856760374814</v>
      </c>
      <c r="DX277" s="119">
        <f t="shared" si="173"/>
        <v>1.4</v>
      </c>
      <c r="DY277" s="115">
        <f t="shared" si="196"/>
        <v>104.30414993306557</v>
      </c>
      <c r="DZ277" s="117">
        <f t="shared" si="197"/>
        <v>1.1606793904149919</v>
      </c>
      <c r="EA277" s="120">
        <f t="shared" si="197"/>
        <v>1.4080856760374818</v>
      </c>
      <c r="EB277" s="119">
        <f t="shared" si="197"/>
        <v>0</v>
      </c>
      <c r="EC277" s="121">
        <f t="shared" si="198"/>
        <v>16.304149933065574</v>
      </c>
      <c r="ED277" s="122"/>
      <c r="EE277" s="145">
        <v>24</v>
      </c>
      <c r="EF277" s="115">
        <v>28</v>
      </c>
      <c r="EG277" s="115">
        <v>48</v>
      </c>
      <c r="EH277" s="115">
        <v>27</v>
      </c>
      <c r="EI277" s="128" t="s">
        <v>195</v>
      </c>
      <c r="EJ277" s="121">
        <v>24</v>
      </c>
      <c r="EK277" s="121">
        <v>0</v>
      </c>
      <c r="EL277" s="162">
        <v>6.2646495999999994</v>
      </c>
      <c r="EM277" s="142">
        <v>7.6</v>
      </c>
      <c r="EN277" s="119">
        <v>1.4</v>
      </c>
      <c r="EO277" s="115">
        <v>88</v>
      </c>
      <c r="EP277" s="115">
        <v>14047.074556252915</v>
      </c>
      <c r="EQ277" s="115">
        <v>0</v>
      </c>
      <c r="ER277" s="115">
        <v>0</v>
      </c>
      <c r="ES277" s="115">
        <v>58</v>
      </c>
      <c r="ET277" s="150">
        <v>0.16888888888888889</v>
      </c>
      <c r="EU277" s="145">
        <f t="shared" si="174"/>
        <v>24</v>
      </c>
      <c r="EV277" s="115">
        <f t="shared" si="175"/>
        <v>28</v>
      </c>
      <c r="EW277" s="115">
        <f t="shared" si="175"/>
        <v>48</v>
      </c>
      <c r="EX277" s="115">
        <f t="shared" si="175"/>
        <v>27</v>
      </c>
      <c r="EY277" s="115" t="str">
        <f t="shared" si="206"/>
        <v>Постоянный</v>
      </c>
      <c r="EZ277" s="115">
        <f t="shared" si="206"/>
        <v>24</v>
      </c>
      <c r="FA277" s="115">
        <f t="shared" si="206"/>
        <v>0</v>
      </c>
      <c r="FB277" s="149">
        <f t="shared" si="209"/>
        <v>6.2646495999999994</v>
      </c>
      <c r="FC277" s="142">
        <f t="shared" si="209"/>
        <v>7.6</v>
      </c>
      <c r="FD277" s="119">
        <f t="shared" si="209"/>
        <v>1.4</v>
      </c>
      <c r="FE277" s="121">
        <f t="shared" si="208"/>
        <v>88</v>
      </c>
      <c r="FF277" s="121">
        <f t="shared" si="199"/>
        <v>14047.074556252915</v>
      </c>
      <c r="FG277" s="121">
        <f t="shared" si="177"/>
        <v>0</v>
      </c>
      <c r="FH277" s="121">
        <f t="shared" si="200"/>
        <v>0</v>
      </c>
      <c r="FI277" s="121">
        <f t="shared" si="205"/>
        <v>58</v>
      </c>
      <c r="FJ277" s="144">
        <f t="shared" si="178"/>
        <v>0.16888888888888889</v>
      </c>
      <c r="FK277" s="132">
        <f t="shared" si="179"/>
        <v>0</v>
      </c>
      <c r="FL277" s="115">
        <f t="shared" si="179"/>
        <v>0</v>
      </c>
      <c r="FM277" s="115">
        <f t="shared" si="179"/>
        <v>0</v>
      </c>
      <c r="FN277" s="115">
        <f t="shared" si="162"/>
        <v>0</v>
      </c>
      <c r="FO277" s="115">
        <f t="shared" si="201"/>
        <v>0</v>
      </c>
      <c r="FP277" s="115">
        <f t="shared" si="201"/>
        <v>0</v>
      </c>
      <c r="FQ277" s="149">
        <f t="shared" si="201"/>
        <v>0</v>
      </c>
      <c r="FR277" s="142">
        <f t="shared" si="201"/>
        <v>0</v>
      </c>
      <c r="FS277" s="119">
        <f t="shared" si="201"/>
        <v>0</v>
      </c>
      <c r="FT277" s="121">
        <f t="shared" si="201"/>
        <v>0</v>
      </c>
      <c r="FU277" s="121">
        <f t="shared" si="180"/>
        <v>0</v>
      </c>
      <c r="FV277" s="121">
        <f t="shared" si="180"/>
        <v>0</v>
      </c>
      <c r="FW277" s="121">
        <f t="shared" si="181"/>
        <v>0</v>
      </c>
      <c r="FX277" s="121">
        <f>CN277-ES277</f>
        <v>0</v>
      </c>
      <c r="FY277" s="144">
        <f t="shared" si="182"/>
        <v>0</v>
      </c>
      <c r="FZ277" s="145"/>
      <c r="GA277" s="1034" t="s">
        <v>427</v>
      </c>
      <c r="GB277" s="145"/>
      <c r="GC277" s="151" t="s">
        <v>1239</v>
      </c>
      <c r="GD277" s="997" t="s">
        <v>416</v>
      </c>
      <c r="GE277" s="1004"/>
      <c r="GF277" s="1004">
        <v>0</v>
      </c>
      <c r="GG277" s="1004"/>
      <c r="GH277" s="1004">
        <v>0</v>
      </c>
      <c r="GI277" s="145"/>
      <c r="GJ277" s="996">
        <v>0</v>
      </c>
      <c r="GK277" s="145"/>
      <c r="GL277" s="996">
        <v>0</v>
      </c>
      <c r="GM277" s="1005" t="s">
        <v>240</v>
      </c>
      <c r="GN277" s="996">
        <v>-14.1964504</v>
      </c>
      <c r="GO277" s="1006"/>
      <c r="GP277" s="996">
        <v>0</v>
      </c>
      <c r="GQ277" s="1006" t="s">
        <v>719</v>
      </c>
      <c r="GR277" s="996">
        <v>-7.1515770480000036</v>
      </c>
      <c r="GS277" s="1006" t="s">
        <v>199</v>
      </c>
      <c r="GT277" s="996">
        <v>3.9772850480000024</v>
      </c>
      <c r="GU277" s="1006" t="s">
        <v>203</v>
      </c>
      <c r="GV277" s="996">
        <v>-3.4766899200000019</v>
      </c>
      <c r="GW277" s="1006" t="s">
        <v>25</v>
      </c>
      <c r="GX277" s="1035">
        <v>14.149634400000002</v>
      </c>
      <c r="GY277" s="1006"/>
      <c r="GZ277" s="996">
        <v>0</v>
      </c>
      <c r="HA277" s="1006"/>
      <c r="HB277" s="996">
        <v>0.92404752000000023</v>
      </c>
      <c r="HC277" s="1006" t="s">
        <v>241</v>
      </c>
      <c r="HD277" s="996">
        <v>-11.0352</v>
      </c>
      <c r="HE277" s="1006" t="s">
        <v>643</v>
      </c>
      <c r="HF277" s="996">
        <v>15.153335999999999</v>
      </c>
      <c r="HG277" s="1006"/>
      <c r="HH277" s="996">
        <v>0</v>
      </c>
      <c r="HI277" s="1006"/>
      <c r="HJ277" s="996">
        <v>0</v>
      </c>
      <c r="HK277" s="1006" t="s">
        <v>223</v>
      </c>
      <c r="HL277" s="996">
        <v>-4.6113759999999999</v>
      </c>
      <c r="HM277" s="1006" t="s">
        <v>204</v>
      </c>
      <c r="HN277" s="996">
        <v>-4.3639200000000002</v>
      </c>
      <c r="HO277" s="1006" t="s">
        <v>199</v>
      </c>
      <c r="HP277" s="996">
        <v>3.5357449600000006</v>
      </c>
      <c r="HQ277" s="1006"/>
      <c r="HR277" s="996">
        <v>0</v>
      </c>
      <c r="HS277" s="1006"/>
      <c r="HT277" s="996">
        <v>0</v>
      </c>
      <c r="HU277" s="1006" t="s">
        <v>223</v>
      </c>
      <c r="HV277" s="996">
        <v>-3.1929849600000022</v>
      </c>
      <c r="HW277" s="1006" t="s">
        <v>206</v>
      </c>
      <c r="HX277" s="996">
        <v>-3.4436177599999951</v>
      </c>
      <c r="HY277" s="1006" t="s">
        <v>199</v>
      </c>
      <c r="HZ277" s="996">
        <v>2.9876432959999946</v>
      </c>
      <c r="IA277" s="1006" t="s">
        <v>199</v>
      </c>
      <c r="IB277" s="996">
        <v>-2.2038431359999962</v>
      </c>
      <c r="IC277" s="1006"/>
      <c r="ID277" s="996">
        <v>0</v>
      </c>
      <c r="IE277" s="1006"/>
      <c r="IF277" s="996">
        <v>0</v>
      </c>
      <c r="IG277" s="1006"/>
      <c r="IH277" s="996">
        <v>-0.297000704000002</v>
      </c>
      <c r="II277" s="1006"/>
      <c r="IJ277" s="996">
        <v>-0.46610009600000168</v>
      </c>
      <c r="IK277" s="1006" t="s">
        <v>199</v>
      </c>
      <c r="IL277" s="996">
        <v>4.8277014500000028</v>
      </c>
      <c r="IM277" s="1006" t="s">
        <v>204</v>
      </c>
      <c r="IN277" s="996">
        <v>3.1932169499999983</v>
      </c>
      <c r="IO277" s="1006"/>
      <c r="IP277" s="996">
        <v>0</v>
      </c>
      <c r="IQ277" s="1006"/>
      <c r="IR277" s="996">
        <v>0</v>
      </c>
      <c r="IS277" s="1006"/>
      <c r="IT277" s="996">
        <v>0</v>
      </c>
      <c r="IU277" s="1006"/>
      <c r="IV277" s="996">
        <v>0</v>
      </c>
      <c r="IW277" s="1006"/>
      <c r="IX277" s="996">
        <v>0</v>
      </c>
      <c r="IY277" s="1006"/>
      <c r="IZ277" s="996">
        <v>0</v>
      </c>
      <c r="JA277" s="1006"/>
      <c r="JB277" s="996">
        <v>0</v>
      </c>
      <c r="JC277" s="1006" t="s">
        <v>199</v>
      </c>
      <c r="JD277" s="996">
        <v>-6.4296759999999988</v>
      </c>
      <c r="JE277" s="1006" t="s">
        <v>223</v>
      </c>
      <c r="JF277" s="996">
        <v>-3.5187239999999989</v>
      </c>
      <c r="JG277" s="1006"/>
      <c r="JH277" s="996">
        <v>0</v>
      </c>
      <c r="JI277" s="1006"/>
      <c r="JJ277" s="996">
        <v>0</v>
      </c>
      <c r="JK277" s="1007"/>
      <c r="JL277" s="1007">
        <v>0</v>
      </c>
      <c r="JM277" s="1007"/>
      <c r="JN277" s="1007">
        <v>0</v>
      </c>
      <c r="JO277" s="1008"/>
      <c r="JP277" s="1007">
        <v>0</v>
      </c>
      <c r="JQ277" s="1008">
        <v>0</v>
      </c>
      <c r="JR277" s="1007">
        <v>0</v>
      </c>
      <c r="JS277" s="1008">
        <v>0</v>
      </c>
      <c r="JT277" s="1007">
        <v>0</v>
      </c>
      <c r="JU277" s="1008" t="s">
        <v>199</v>
      </c>
      <c r="JV277" s="1007">
        <v>-2.5915999999999997</v>
      </c>
      <c r="JW277" s="1008" t="s">
        <v>199</v>
      </c>
      <c r="JX277" s="1007">
        <v>4.6815999999999995</v>
      </c>
      <c r="JY277" s="1008" t="s">
        <v>199</v>
      </c>
      <c r="JZ277" s="1007">
        <v>7.4838719999999999</v>
      </c>
      <c r="KA277" s="1008"/>
      <c r="KB277" s="1007">
        <v>0</v>
      </c>
      <c r="KC277" s="1008"/>
      <c r="KD277" s="1007">
        <v>0</v>
      </c>
      <c r="KE277" s="1008" t="s">
        <v>199</v>
      </c>
      <c r="KF277" s="1007">
        <v>-4.0398864000000021</v>
      </c>
      <c r="KG277" s="1008"/>
      <c r="KH277" s="1007">
        <v>0</v>
      </c>
      <c r="KI277" s="1008"/>
      <c r="KJ277" s="1007">
        <v>0</v>
      </c>
      <c r="KK277" s="1008" t="s">
        <v>199</v>
      </c>
      <c r="KL277" s="1007">
        <v>-10.3560336</v>
      </c>
      <c r="KM277" s="1008" t="s">
        <v>206</v>
      </c>
      <c r="KN277" s="1007">
        <v>1.6703280000000014</v>
      </c>
      <c r="KO277" s="1008"/>
      <c r="KP277" s="1007">
        <v>0</v>
      </c>
      <c r="KQ277" s="1008" t="s">
        <v>240</v>
      </c>
      <c r="KR277" s="1007">
        <v>-2.9230740000000033</v>
      </c>
      <c r="KS277" s="1008" t="s">
        <v>207</v>
      </c>
      <c r="KT277" s="1007">
        <v>-2.9230739999999962</v>
      </c>
      <c r="KU277" s="1008" t="s">
        <v>204</v>
      </c>
      <c r="KV277" s="1007">
        <v>-1.6703280000000014</v>
      </c>
      <c r="KW277" s="1008">
        <v>0</v>
      </c>
      <c r="KX277" s="1007">
        <v>0</v>
      </c>
      <c r="KY277" s="1008" t="s">
        <v>223</v>
      </c>
      <c r="KZ277" s="1007">
        <v>-10.021967999999994</v>
      </c>
      <c r="LA277" s="1008" t="s">
        <v>204</v>
      </c>
      <c r="LB277" s="1007">
        <v>-3.3406560000000027</v>
      </c>
      <c r="LC277" s="1008">
        <v>0</v>
      </c>
      <c r="LD277" s="1007">
        <v>0</v>
      </c>
      <c r="LE277" s="1008">
        <v>0</v>
      </c>
      <c r="LF277" s="1007">
        <v>0</v>
      </c>
      <c r="LG277" s="1008">
        <v>0</v>
      </c>
      <c r="LH277" s="1007">
        <v>0</v>
      </c>
      <c r="LI277" s="1008">
        <v>0</v>
      </c>
      <c r="LJ277" s="1007">
        <v>0</v>
      </c>
      <c r="LK277" s="1008" t="s">
        <v>206</v>
      </c>
      <c r="LL277" s="1007">
        <v>1.6732800000000001</v>
      </c>
      <c r="LM277" s="1008" t="s">
        <v>240</v>
      </c>
      <c r="LN277" s="1007">
        <v>2.5054919999999998</v>
      </c>
      <c r="LO277" s="1008">
        <v>0</v>
      </c>
      <c r="LP277" s="1007">
        <v>0</v>
      </c>
      <c r="LQ277" s="1008">
        <v>0</v>
      </c>
      <c r="LR277" s="1007">
        <v>0</v>
      </c>
      <c r="LS277" s="1008" t="s">
        <v>206</v>
      </c>
      <c r="LT277" s="1007">
        <v>-2.5549200000000001</v>
      </c>
      <c r="LU277" s="1008" t="s">
        <v>223</v>
      </c>
      <c r="LV277" s="1007">
        <v>-5.1984000000000004</v>
      </c>
      <c r="LW277" s="1008" t="s">
        <v>206</v>
      </c>
      <c r="LX277" s="1007">
        <v>-7.9345800000000004</v>
      </c>
      <c r="LY277" s="1009" t="s">
        <v>206</v>
      </c>
      <c r="LZ277" s="1010">
        <v>3.7582379999999986</v>
      </c>
      <c r="MA277" s="1011" t="s">
        <v>206</v>
      </c>
      <c r="MB277" s="1012">
        <v>11.692295999999999</v>
      </c>
      <c r="MC277" s="995"/>
      <c r="MD277" s="996"/>
      <c r="ME277" s="997" t="s">
        <v>416</v>
      </c>
      <c r="MF277" s="997"/>
      <c r="MG277" s="998"/>
      <c r="NR277" s="1000"/>
      <c r="NS277" s="1000"/>
      <c r="NT277" s="1001"/>
      <c r="NU277" s="1000"/>
      <c r="NV277" s="1001"/>
      <c r="NX277" s="1002"/>
      <c r="NZ277" s="1001"/>
      <c r="OA277" s="1001"/>
      <c r="OC277" s="1003"/>
      <c r="OD277" s="1003"/>
      <c r="OE277" s="1001"/>
      <c r="OF277" s="1003"/>
      <c r="OG277" s="1003"/>
      <c r="OH277" s="1003"/>
      <c r="OI277" s="1016"/>
      <c r="QX277" s="1000">
        <f>CN277-CA277</f>
        <v>30</v>
      </c>
      <c r="ASU277" s="999" t="s">
        <v>292</v>
      </c>
    </row>
    <row r="278" spans="1:466 1191:1191" ht="21" customHeight="1" x14ac:dyDescent="0.25">
      <c r="A278" s="982">
        <f t="shared" si="163"/>
        <v>1236</v>
      </c>
      <c r="B278" s="124">
        <f>SUBTOTAL(103,$J$29:J278)</f>
        <v>250</v>
      </c>
      <c r="C278" s="126">
        <v>45068</v>
      </c>
      <c r="D278" s="124" t="s">
        <v>176</v>
      </c>
      <c r="E278" s="127" t="s">
        <v>177</v>
      </c>
      <c r="F278" s="128" t="s">
        <v>177</v>
      </c>
      <c r="G278" s="127" t="s">
        <v>178</v>
      </c>
      <c r="H278" s="127" t="s">
        <v>421</v>
      </c>
      <c r="I278" s="127" t="s">
        <v>567</v>
      </c>
      <c r="J278" s="152">
        <v>1236</v>
      </c>
      <c r="K278" s="127" t="s">
        <v>1240</v>
      </c>
      <c r="L278" s="130">
        <v>44242</v>
      </c>
      <c r="M278" s="127" t="s">
        <v>230</v>
      </c>
      <c r="N278" s="127" t="s">
        <v>1229</v>
      </c>
      <c r="O278" s="127" t="s">
        <v>185</v>
      </c>
      <c r="P278" s="127" t="s">
        <v>186</v>
      </c>
      <c r="Q278" s="85" t="str">
        <f t="shared" si="187"/>
        <v/>
      </c>
      <c r="R278" s="130"/>
      <c r="S278" s="128"/>
      <c r="T278" s="131"/>
      <c r="U278" s="132">
        <v>203</v>
      </c>
      <c r="V278" s="121">
        <v>218.2</v>
      </c>
      <c r="W278" s="116">
        <v>0.98</v>
      </c>
      <c r="X278" s="116">
        <v>1.66</v>
      </c>
      <c r="Y278" s="116">
        <f t="shared" si="191"/>
        <v>1.2014771048744459</v>
      </c>
      <c r="Z278" s="133">
        <v>1.454</v>
      </c>
      <c r="AA278" s="133">
        <v>0.83599999999999997</v>
      </c>
      <c r="AB278" s="133">
        <v>0.72</v>
      </c>
      <c r="AC278" s="121">
        <v>34.299999999999997</v>
      </c>
      <c r="AD278" s="134">
        <v>1.17</v>
      </c>
      <c r="AE278" s="124">
        <v>177.8</v>
      </c>
      <c r="AF278" s="128">
        <v>9.19</v>
      </c>
      <c r="AG278" s="128">
        <v>2439</v>
      </c>
      <c r="AH278" s="127">
        <v>3296</v>
      </c>
      <c r="AI278" s="127">
        <v>3296</v>
      </c>
      <c r="AJ278" s="135">
        <v>44000</v>
      </c>
      <c r="AK278" s="128"/>
      <c r="AL278" s="131"/>
      <c r="AM278" s="124" t="s">
        <v>232</v>
      </c>
      <c r="AN278" s="136" t="s">
        <v>1241</v>
      </c>
      <c r="AO278" s="137">
        <v>8.5500000000000007</v>
      </c>
      <c r="AP278" s="128">
        <v>2439</v>
      </c>
      <c r="AQ278" s="128">
        <v>483.65112081513826</v>
      </c>
      <c r="AR278" s="128"/>
      <c r="AS278" s="128"/>
      <c r="AT278" s="122"/>
      <c r="AU278" s="124" t="s">
        <v>883</v>
      </c>
      <c r="AV278" s="115">
        <f>VLOOKUP(J278,'[63]ТР нефть'!$J$28:$BP$638,39,0)</f>
        <v>300</v>
      </c>
      <c r="AW278" s="115" t="str">
        <f>VLOOKUP(J278,'[63]ТР нефть'!$J$28:$BP$638,40,0)</f>
        <v>ГП</v>
      </c>
      <c r="AX278" s="115" t="str">
        <f>VLOOKUP(J278,'[63]ТР нефть'!$J$28:$BP$638,41,0)</f>
        <v>-</v>
      </c>
      <c r="AY278" s="115" t="str">
        <f>VLOOKUP(J278,'[63]ТР нефть'!$J$28:$BP$638,42,0)</f>
        <v>-</v>
      </c>
      <c r="AZ278" s="115" t="str">
        <f>VLOOKUP(J278,'[63]ТР нефть'!$J$28:$BP$638,43,0)</f>
        <v>-</v>
      </c>
      <c r="BA278" s="115" t="str">
        <f>VLOOKUP(J278,'[63]ТР нефть'!$J$28:$BP$638,44,0)</f>
        <v>-</v>
      </c>
      <c r="BB278" s="115" t="str">
        <f>VLOOKUP(J278,'[63]ТР нефть'!$J$28:$BP$638,45,0)</f>
        <v>-</v>
      </c>
      <c r="BC278" s="115" t="str">
        <f>VLOOKUP(J278,'[63]ТР нефть'!$J$28:$BP$638,46,0)</f>
        <v>-</v>
      </c>
      <c r="BD278" s="115" t="str">
        <f>VLOOKUP(J278,'[63]ТР нефть'!$J$28:$BP$638,47,0)</f>
        <v>-</v>
      </c>
      <c r="BE278" s="115" t="str">
        <f>VLOOKUP(J278,'[63]ТР нефть'!$J$28:$BP$638,48,0)</f>
        <v>-</v>
      </c>
      <c r="BF278" s="115" t="str">
        <f>VLOOKUP(J278,'[63]ТР нефть'!$J$28:$BP$638,49,0)</f>
        <v>-</v>
      </c>
      <c r="BG278" s="115" t="str">
        <f>VLOOKUP(J278,'[63]ТР нефть'!$J$28:$BP$638,50,0)</f>
        <v>-</v>
      </c>
      <c r="BH278" s="115">
        <f>VLOOKUP(J278,'[63]ТР нефть'!$J$28:$BP$638,51,0)</f>
        <v>2109</v>
      </c>
      <c r="BI278" s="115" t="str">
        <f>VLOOKUP(J278,'[63]ТР нефть'!$J$28:$BP$638,52,0)</f>
        <v>закрыт</v>
      </c>
      <c r="BJ278" s="115" t="str">
        <f>IF(IFERROR(VLOOKUP(J278,'[63]ТР нефть'!$J$28:$BP$638,53,0),"-")=0,"-",IFERROR(VLOOKUP(J278,'[63]ТР нефть'!$J$28:$BP$638,53,0),"-"))</f>
        <v>-</v>
      </c>
      <c r="BK278" s="138" t="str">
        <f>IF(IFERROR(VLOOKUP(J278,'[63]ТР нефть'!$J$28:$BP$638,54,0),"-")=0,"-",IFERROR(VLOOKUP(J278,'[63]ТР нефть'!$J$28:$BP$638,54,0),"-"))</f>
        <v>D460N</v>
      </c>
      <c r="BL278" s="138" t="str">
        <f>IF(IFERROR(VLOOKUP(J278,'[63]ТР нефть'!$J$28:$BP$638,55,0),"-")=0,"-",IFERROR(VLOOKUP(J278,'[63]ТР нефть'!$J$28:$BP$638,55,0),"-"))</f>
        <v>-</v>
      </c>
      <c r="BM278" s="138">
        <f>IF(IFERROR(VLOOKUP(J278,'[63]ТР нефть'!$J$28:$BP$638,56,0),"-")=0,"-",IFERROR(VLOOKUP(J278,'[63]ТР нефть'!$J$28:$BP$638,56,0),"-"))</f>
        <v>2480</v>
      </c>
      <c r="BN278" s="138">
        <v>47</v>
      </c>
      <c r="BO278" s="115" t="str">
        <f>IF(IFERROR(VLOOKUP(J278,'[63]ТР нефть'!$J$28:$BP$638,58,0),"-")=0,"-",IFERROR(VLOOKUP(J278,'[63]ТР нефть'!$J$28:$BP$638,58,0),"-"))</f>
        <v>-</v>
      </c>
      <c r="BP278" s="115" t="str">
        <f>IF(IFERROR(VLOOKUP(J278,'[63]ТР нефть'!$J$28:$BP$638,59,0),"-")=0,"-",IFERROR(VLOOKUP(J278,'[63]ТР нефть'!$J$28:$BP$638,59,0),"-"))</f>
        <v>-</v>
      </c>
      <c r="BQ278" s="138">
        <v>2135</v>
      </c>
      <c r="BR278" s="128">
        <v>1808</v>
      </c>
      <c r="BS278" s="115">
        <v>327</v>
      </c>
      <c r="BT278" s="128">
        <v>73</v>
      </c>
      <c r="BU278" s="128">
        <v>5.5</v>
      </c>
      <c r="BV278" s="127">
        <v>18</v>
      </c>
      <c r="BW278" s="127" t="s">
        <v>217</v>
      </c>
      <c r="BX278" s="127" t="s">
        <v>218</v>
      </c>
      <c r="BY278" s="139">
        <v>3</v>
      </c>
      <c r="BZ278" s="139">
        <v>21</v>
      </c>
      <c r="CA278" s="138">
        <v>18</v>
      </c>
      <c r="CB278" s="138">
        <v>16</v>
      </c>
      <c r="CC278" s="138">
        <v>17</v>
      </c>
      <c r="CD278" s="135">
        <v>45017</v>
      </c>
      <c r="CE278" s="138">
        <v>181</v>
      </c>
      <c r="CF278" s="138"/>
      <c r="CG278" s="138"/>
      <c r="CH278" s="138"/>
      <c r="CI278" s="127"/>
      <c r="CJ278" s="138">
        <v>1891</v>
      </c>
      <c r="CK278" s="138">
        <f t="shared" si="207"/>
        <v>65.33466835681223</v>
      </c>
      <c r="CL278" s="99"/>
      <c r="CM278" s="138">
        <v>70</v>
      </c>
      <c r="CN278" s="154">
        <f>IF(CM278=0,0,(((AP278-AQ278-BR278)*((AD278*(CQ278/100))+(AB278*((100-CQ278)/100)))*9.81/100+CM278)))</f>
        <v>83.33466835681223</v>
      </c>
      <c r="CO278" s="159">
        <f t="shared" si="165"/>
        <v>3.8623200000000009</v>
      </c>
      <c r="CP278" s="160">
        <v>8.4</v>
      </c>
      <c r="CQ278" s="161">
        <v>45</v>
      </c>
      <c r="CR278" s="138">
        <v>0.5</v>
      </c>
      <c r="CS278" s="139"/>
      <c r="CT278" s="138"/>
      <c r="CU278" s="138">
        <f t="shared" si="188"/>
        <v>0.5</v>
      </c>
      <c r="CV278" s="115">
        <f t="shared" si="189"/>
        <v>129.45587108266531</v>
      </c>
      <c r="CW278" s="115" t="str">
        <f t="shared" si="166"/>
        <v/>
      </c>
      <c r="CX278" s="133">
        <f t="shared" si="190"/>
        <v>8.6008001597626338E-2</v>
      </c>
      <c r="CY278" s="116"/>
      <c r="CZ278" s="131"/>
      <c r="DA278" s="145" t="str">
        <f t="shared" si="167"/>
        <v>ЭЦН</v>
      </c>
      <c r="DB278" s="146">
        <f t="shared" si="168"/>
        <v>3.8623200000000009</v>
      </c>
      <c r="DC278" s="142">
        <f t="shared" si="203"/>
        <v>8.4</v>
      </c>
      <c r="DD278" s="119">
        <f t="shared" si="204"/>
        <v>45</v>
      </c>
      <c r="DE278" s="115">
        <f t="shared" si="169"/>
        <v>0.5</v>
      </c>
      <c r="DF278" s="121">
        <f t="shared" si="170"/>
        <v>0</v>
      </c>
      <c r="DG278" s="115">
        <f t="shared" si="171"/>
        <v>129.45587108266531</v>
      </c>
      <c r="DH278" s="115">
        <f t="shared" si="172"/>
        <v>83.33466835681223</v>
      </c>
      <c r="DI278" s="147"/>
      <c r="DJ278" s="111"/>
      <c r="DK278" s="112">
        <v>44242.083333333336</v>
      </c>
      <c r="DL278" s="113">
        <f t="shared" ca="1" si="192"/>
        <v>861.91666666666424</v>
      </c>
      <c r="DM278" s="114"/>
      <c r="DN278" s="114"/>
      <c r="DO278" s="114"/>
      <c r="DP278" s="114"/>
      <c r="DQ278" s="112"/>
      <c r="DR278" s="114"/>
      <c r="DS278" s="114"/>
      <c r="DT278" s="115">
        <v>60</v>
      </c>
      <c r="DU278" s="116">
        <f t="shared" si="193"/>
        <v>7.9525225160520435E-2</v>
      </c>
      <c r="DV278" s="117">
        <f t="shared" si="194"/>
        <v>4.4244495219856832</v>
      </c>
      <c r="DW278" s="118">
        <f t="shared" si="195"/>
        <v>9.6225522444229732</v>
      </c>
      <c r="DX278" s="119">
        <f t="shared" si="173"/>
        <v>45</v>
      </c>
      <c r="DY278" s="115">
        <f t="shared" si="196"/>
        <v>0.57277096692993867</v>
      </c>
      <c r="DZ278" s="117">
        <f t="shared" si="197"/>
        <v>0.56212952198568233</v>
      </c>
      <c r="EA278" s="120">
        <f t="shared" si="197"/>
        <v>1.2225522444229728</v>
      </c>
      <c r="EB278" s="119">
        <f t="shared" si="197"/>
        <v>0</v>
      </c>
      <c r="EC278" s="121">
        <f t="shared" si="198"/>
        <v>7.2770966929938674E-2</v>
      </c>
      <c r="ED278" s="122"/>
      <c r="EE278" s="145">
        <v>18</v>
      </c>
      <c r="EF278" s="115">
        <v>21</v>
      </c>
      <c r="EG278" s="115">
        <v>18</v>
      </c>
      <c r="EH278" s="115">
        <v>21</v>
      </c>
      <c r="EI278" s="128" t="s">
        <v>218</v>
      </c>
      <c r="EJ278" s="121">
        <v>3</v>
      </c>
      <c r="EK278" s="121">
        <v>21</v>
      </c>
      <c r="EL278" s="162">
        <v>3.7059879999999996</v>
      </c>
      <c r="EM278" s="142">
        <v>7.15</v>
      </c>
      <c r="EN278" s="119">
        <v>38</v>
      </c>
      <c r="EO278" s="115">
        <v>0.5</v>
      </c>
      <c r="EP278" s="115">
        <v>134.9167887213882</v>
      </c>
      <c r="EQ278" s="115">
        <v>0</v>
      </c>
      <c r="ER278" s="115">
        <v>0</v>
      </c>
      <c r="ES278" s="115">
        <v>92</v>
      </c>
      <c r="ET278" s="150">
        <v>7.2869463680044336E-2</v>
      </c>
      <c r="EU278" s="145">
        <f t="shared" si="174"/>
        <v>18</v>
      </c>
      <c r="EV278" s="115">
        <f t="shared" si="175"/>
        <v>18</v>
      </c>
      <c r="EW278" s="115">
        <f t="shared" si="175"/>
        <v>16</v>
      </c>
      <c r="EX278" s="115">
        <f t="shared" si="175"/>
        <v>17</v>
      </c>
      <c r="EY278" s="115" t="str">
        <f t="shared" si="206"/>
        <v>Периодический</v>
      </c>
      <c r="EZ278" s="115">
        <f t="shared" si="206"/>
        <v>3</v>
      </c>
      <c r="FA278" s="115">
        <f t="shared" si="206"/>
        <v>21</v>
      </c>
      <c r="FB278" s="149">
        <f t="shared" si="209"/>
        <v>3.8623200000000009</v>
      </c>
      <c r="FC278" s="142">
        <f t="shared" si="209"/>
        <v>8.4</v>
      </c>
      <c r="FD278" s="119">
        <f t="shared" si="209"/>
        <v>45</v>
      </c>
      <c r="FE278" s="121">
        <f t="shared" si="208"/>
        <v>0.5</v>
      </c>
      <c r="FF278" s="121">
        <f t="shared" si="199"/>
        <v>129.45587108266531</v>
      </c>
      <c r="FG278" s="121">
        <f t="shared" si="177"/>
        <v>0</v>
      </c>
      <c r="FH278" s="121">
        <f t="shared" si="200"/>
        <v>0</v>
      </c>
      <c r="FI278" s="121">
        <f t="shared" si="205"/>
        <v>83.33466835681223</v>
      </c>
      <c r="FJ278" s="144">
        <f t="shared" si="178"/>
        <v>8.6008001597626338E-2</v>
      </c>
      <c r="FK278" s="132">
        <f t="shared" si="179"/>
        <v>0</v>
      </c>
      <c r="FL278" s="115">
        <f t="shared" si="179"/>
        <v>-3</v>
      </c>
      <c r="FM278" s="115">
        <f t="shared" si="179"/>
        <v>-2</v>
      </c>
      <c r="FN278" s="115">
        <f t="shared" si="162"/>
        <v>-4</v>
      </c>
      <c r="FO278" s="115">
        <f t="shared" si="201"/>
        <v>0</v>
      </c>
      <c r="FP278" s="115">
        <f t="shared" si="201"/>
        <v>0</v>
      </c>
      <c r="FQ278" s="149">
        <f>FB278-EL278</f>
        <v>0.15633200000000125</v>
      </c>
      <c r="FR278" s="142">
        <f t="shared" si="201"/>
        <v>1.25</v>
      </c>
      <c r="FS278" s="119">
        <f t="shared" si="201"/>
        <v>7</v>
      </c>
      <c r="FT278" s="121">
        <f t="shared" si="201"/>
        <v>0</v>
      </c>
      <c r="FU278" s="121">
        <f t="shared" si="180"/>
        <v>0</v>
      </c>
      <c r="FV278" s="121">
        <f t="shared" si="180"/>
        <v>0</v>
      </c>
      <c r="FW278" s="121">
        <f t="shared" si="181"/>
        <v>-5.4609176387228899</v>
      </c>
      <c r="FX278" s="121">
        <f>CN278-ES278</f>
        <v>-8.6653316431877698</v>
      </c>
      <c r="FY278" s="144">
        <f t="shared" si="182"/>
        <v>1.3138537917582002E-2</v>
      </c>
      <c r="FZ278" s="145"/>
      <c r="GA278" s="131"/>
      <c r="GB278" s="145"/>
      <c r="GC278" s="131"/>
      <c r="GD278" s="997" t="s">
        <v>416</v>
      </c>
      <c r="GE278" s="1004"/>
      <c r="GF278" s="1004">
        <v>-1.254000000000044E-2</v>
      </c>
      <c r="GG278" s="1004"/>
      <c r="GH278" s="1004">
        <v>-0.44642400000000038</v>
      </c>
      <c r="GI278" s="145"/>
      <c r="GJ278" s="996">
        <v>-0.42468799999999973</v>
      </c>
      <c r="GK278" s="145"/>
      <c r="GL278" s="996">
        <v>0</v>
      </c>
      <c r="GM278" s="1005" t="s">
        <v>199</v>
      </c>
      <c r="GN278" s="996">
        <v>2.1443400000000001</v>
      </c>
      <c r="GO278" s="1006"/>
      <c r="GP278" s="996">
        <v>-7.5239999999999529E-2</v>
      </c>
      <c r="GQ278" s="1006" t="s">
        <v>259</v>
      </c>
      <c r="GR278" s="996">
        <v>-1.8900288000000005</v>
      </c>
      <c r="GS278" s="1006" t="s">
        <v>223</v>
      </c>
      <c r="GT278" s="996">
        <v>-5.5055515679999996</v>
      </c>
      <c r="GU278" s="1006" t="s">
        <v>308</v>
      </c>
      <c r="GV278" s="996">
        <v>9.9161203679999996</v>
      </c>
      <c r="GW278" s="1006"/>
      <c r="GX278" s="1035">
        <v>-2.6910422000000001</v>
      </c>
      <c r="GY278" s="1006"/>
      <c r="GZ278" s="996">
        <v>0</v>
      </c>
      <c r="HA278" s="1006" t="s">
        <v>199</v>
      </c>
      <c r="HB278" s="996">
        <v>1.8884822000000001</v>
      </c>
      <c r="HC278" s="1006"/>
      <c r="HD278" s="996">
        <v>-0.24473900000000004</v>
      </c>
      <c r="HE278" s="1006"/>
      <c r="HF278" s="996">
        <v>0</v>
      </c>
      <c r="HG278" s="1006"/>
      <c r="HH278" s="996">
        <v>-0.72201140000000041</v>
      </c>
      <c r="HI278" s="1006"/>
      <c r="HJ278" s="996">
        <v>0</v>
      </c>
      <c r="HK278" s="1006"/>
      <c r="HL278" s="996">
        <v>0</v>
      </c>
      <c r="HM278" s="1006"/>
      <c r="HN278" s="996">
        <v>0</v>
      </c>
      <c r="HO278" s="1006"/>
      <c r="HP278" s="996">
        <v>-0.84489503999999971</v>
      </c>
      <c r="HQ278" s="1006"/>
      <c r="HR278" s="996">
        <v>-0.39771445999999955</v>
      </c>
      <c r="HS278" s="1006"/>
      <c r="HT278" s="996">
        <v>0.18690870000000004</v>
      </c>
      <c r="HU278" s="1006"/>
      <c r="HV278" s="996">
        <v>0.65299123999999953</v>
      </c>
      <c r="HW278" s="1006"/>
      <c r="HX278" s="996">
        <v>0</v>
      </c>
      <c r="HY278" s="1006" t="s">
        <v>199</v>
      </c>
      <c r="HZ278" s="996">
        <v>1.0822051768000003</v>
      </c>
      <c r="IA278" s="1006" t="s">
        <v>199</v>
      </c>
      <c r="IB278" s="996">
        <v>-17.298841216799996</v>
      </c>
      <c r="IC278" s="1006"/>
      <c r="ID278" s="996">
        <v>0</v>
      </c>
      <c r="IE278" s="1006"/>
      <c r="IF278" s="996">
        <v>0</v>
      </c>
      <c r="IG278" s="1006" t="s">
        <v>25</v>
      </c>
      <c r="IH278" s="996">
        <v>18.388655999999997</v>
      </c>
      <c r="II278" s="1006"/>
      <c r="IJ278" s="996"/>
      <c r="IK278" s="1006"/>
      <c r="IL278" s="996"/>
      <c r="IM278" s="1006"/>
      <c r="IN278" s="996"/>
      <c r="IO278" s="1006"/>
      <c r="IP278" s="996"/>
      <c r="IQ278" s="1006"/>
      <c r="IR278" s="996"/>
      <c r="IS278" s="1006"/>
      <c r="IT278" s="996"/>
      <c r="IU278" s="1006"/>
      <c r="IV278" s="996"/>
      <c r="IW278" s="1006"/>
      <c r="IX278" s="996"/>
      <c r="IY278" s="1006"/>
      <c r="IZ278" s="996"/>
      <c r="JA278" s="1006"/>
      <c r="JB278" s="996"/>
      <c r="JC278" s="1006"/>
      <c r="JD278" s="996"/>
      <c r="JE278" s="1006"/>
      <c r="JF278" s="996"/>
      <c r="JG278" s="1006"/>
      <c r="JH278" s="996"/>
      <c r="JI278" s="1006"/>
      <c r="JJ278" s="996"/>
      <c r="JK278" s="1007"/>
      <c r="JL278" s="1007"/>
      <c r="JM278" s="1007"/>
      <c r="JN278" s="1007"/>
      <c r="JO278" s="1008"/>
      <c r="JP278" s="1007"/>
      <c r="JQ278" s="1008"/>
      <c r="JR278" s="1007"/>
      <c r="JS278" s="1008"/>
      <c r="JT278" s="1007"/>
      <c r="JU278" s="1008"/>
      <c r="JV278" s="1007"/>
      <c r="JW278" s="1008"/>
      <c r="JX278" s="1007"/>
      <c r="JY278" s="1008"/>
      <c r="JZ278" s="1007"/>
      <c r="KA278" s="1008"/>
      <c r="KB278" s="1007"/>
      <c r="KC278" s="1008"/>
      <c r="KD278" s="1007"/>
      <c r="KE278" s="1008"/>
      <c r="KF278" s="1007"/>
      <c r="KG278" s="1008"/>
      <c r="KH278" s="1007"/>
      <c r="KI278" s="1008"/>
      <c r="KJ278" s="1007"/>
      <c r="KK278" s="1008"/>
      <c r="KL278" s="1007"/>
      <c r="KM278" s="1008"/>
      <c r="KN278" s="1007"/>
      <c r="KO278" s="1008"/>
      <c r="KP278" s="1007"/>
      <c r="KQ278" s="1008"/>
      <c r="KR278" s="1007"/>
      <c r="KS278" s="1008"/>
      <c r="KT278" s="1007"/>
      <c r="KU278" s="1008"/>
      <c r="KV278" s="1007"/>
      <c r="KW278" s="1008"/>
      <c r="KX278" s="1007"/>
      <c r="KY278" s="1008"/>
      <c r="KZ278" s="1007"/>
      <c r="LA278" s="1008"/>
      <c r="LB278" s="1007"/>
      <c r="LC278" s="1008"/>
      <c r="LD278" s="1007"/>
      <c r="LE278" s="1008"/>
      <c r="LF278" s="1007"/>
      <c r="LG278" s="1008"/>
      <c r="LH278" s="1007"/>
      <c r="LI278" s="1008"/>
      <c r="LJ278" s="1007"/>
      <c r="LK278" s="1008"/>
      <c r="LL278" s="1007"/>
      <c r="LM278" s="1008"/>
      <c r="LN278" s="1007"/>
      <c r="LO278" s="1008"/>
      <c r="LP278" s="1007"/>
      <c r="LQ278" s="1008"/>
      <c r="LR278" s="1007"/>
      <c r="LS278" s="1008"/>
      <c r="LT278" s="1007"/>
      <c r="LU278" s="1008"/>
      <c r="LV278" s="1007"/>
      <c r="LW278" s="1008"/>
      <c r="LX278" s="1007"/>
      <c r="LY278" s="1009"/>
      <c r="LZ278" s="1010"/>
      <c r="MA278" s="1011"/>
      <c r="MB278" s="1012"/>
      <c r="MC278" s="995"/>
      <c r="MD278" s="996"/>
      <c r="ME278" s="997" t="s">
        <v>416</v>
      </c>
      <c r="MF278" s="997"/>
      <c r="MG278" s="998"/>
      <c r="NR278" s="1000"/>
      <c r="NS278" s="1000"/>
      <c r="NT278" s="1001"/>
      <c r="NU278" s="1000"/>
      <c r="NV278" s="1001"/>
      <c r="NX278" s="1002"/>
      <c r="NZ278" s="1001"/>
      <c r="OA278" s="1001"/>
      <c r="OC278" s="1003"/>
      <c r="OD278" s="1003"/>
      <c r="OE278" s="1001"/>
      <c r="OF278" s="1003"/>
      <c r="OG278" s="1003"/>
      <c r="QX278" s="1000">
        <f>CN278-CA278</f>
        <v>65.33466835681223</v>
      </c>
      <c r="ASU278" s="999" t="s">
        <v>292</v>
      </c>
    </row>
    <row r="279" spans="1:466 1191:1191" ht="21" customHeight="1" x14ac:dyDescent="0.25">
      <c r="A279" s="982">
        <f t="shared" si="163"/>
        <v>1240</v>
      </c>
      <c r="B279" s="124">
        <f>SUBTOTAL(103,$J$29:J279)</f>
        <v>251</v>
      </c>
      <c r="C279" s="126">
        <v>45096</v>
      </c>
      <c r="D279" s="124" t="s">
        <v>176</v>
      </c>
      <c r="E279" s="127" t="s">
        <v>177</v>
      </c>
      <c r="F279" s="128" t="s">
        <v>177</v>
      </c>
      <c r="G279" s="127" t="s">
        <v>178</v>
      </c>
      <c r="H279" s="127" t="s">
        <v>179</v>
      </c>
      <c r="I279" s="127" t="s">
        <v>417</v>
      </c>
      <c r="J279" s="152">
        <v>1240</v>
      </c>
      <c r="K279" s="127" t="s">
        <v>182</v>
      </c>
      <c r="L279" s="130">
        <v>43608</v>
      </c>
      <c r="M279" s="127" t="s">
        <v>230</v>
      </c>
      <c r="N279" s="127" t="s">
        <v>231</v>
      </c>
      <c r="O279" s="127" t="s">
        <v>455</v>
      </c>
      <c r="P279" s="127" t="s">
        <v>455</v>
      </c>
      <c r="Q279" s="127">
        <v>-4</v>
      </c>
      <c r="R279" s="130"/>
      <c r="S279" s="128"/>
      <c r="T279" s="131"/>
      <c r="U279" s="132">
        <v>203</v>
      </c>
      <c r="V279" s="121">
        <v>218.2</v>
      </c>
      <c r="W279" s="116">
        <v>0.98</v>
      </c>
      <c r="X279" s="116">
        <v>1.66</v>
      </c>
      <c r="Y279" s="116">
        <f t="shared" si="191"/>
        <v>1.5324039186134137</v>
      </c>
      <c r="Z279" s="133">
        <v>1.454</v>
      </c>
      <c r="AA279" s="133">
        <v>0.83599999999999997</v>
      </c>
      <c r="AB279" s="133">
        <v>0.72</v>
      </c>
      <c r="AC279" s="121">
        <v>34.299999999999997</v>
      </c>
      <c r="AD279" s="134">
        <v>1.17</v>
      </c>
      <c r="AE279" s="124">
        <v>177.8</v>
      </c>
      <c r="AF279" s="128">
        <v>9.19</v>
      </c>
      <c r="AG279" s="128">
        <v>2365</v>
      </c>
      <c r="AH279" s="127">
        <v>2882</v>
      </c>
      <c r="AI279" s="127">
        <v>2882</v>
      </c>
      <c r="AJ279" s="135"/>
      <c r="AK279" s="128"/>
      <c r="AL279" s="131"/>
      <c r="AM279" s="124" t="s">
        <v>232</v>
      </c>
      <c r="AN279" s="136" t="s">
        <v>1242</v>
      </c>
      <c r="AO279" s="137">
        <v>42.62</v>
      </c>
      <c r="AP279" s="128">
        <v>2365</v>
      </c>
      <c r="AQ279" s="128">
        <v>415.06999999999994</v>
      </c>
      <c r="AR279" s="128"/>
      <c r="AS279" s="128"/>
      <c r="AT279" s="122"/>
      <c r="AU279" s="124" t="s">
        <v>883</v>
      </c>
      <c r="AV279" s="128">
        <f>VLOOKUP(J279,'[63]ТР нефть'!$J$28:$BP$638,39,0)</f>
        <v>300</v>
      </c>
      <c r="AW279" s="128" t="str">
        <f>VLOOKUP(J279,'[63]ТР нефть'!$J$28:$BP$638,40,0)</f>
        <v>ГП</v>
      </c>
      <c r="AX279" s="128" t="str">
        <f>VLOOKUP(J279,'[63]ТР нефть'!$J$28:$BP$638,41,0)</f>
        <v>-</v>
      </c>
      <c r="AY279" s="128" t="str">
        <f>VLOOKUP(J279,'[63]ТР нефть'!$J$28:$BP$638,42,0)</f>
        <v>-</v>
      </c>
      <c r="AZ279" s="128" t="str">
        <f>VLOOKUP(J279,'[63]ТР нефть'!$J$28:$BP$638,43,0)</f>
        <v>-</v>
      </c>
      <c r="BA279" s="128" t="str">
        <f>VLOOKUP(J279,'[63]ТР нефть'!$J$28:$BP$638,44,0)</f>
        <v>-</v>
      </c>
      <c r="BB279" s="128" t="str">
        <f>VLOOKUP(J279,'[63]ТР нефть'!$J$28:$BP$638,45,0)</f>
        <v>-</v>
      </c>
      <c r="BC279" s="128" t="str">
        <f>VLOOKUP(J279,'[63]ТР нефть'!$J$28:$BP$638,46,0)</f>
        <v>-</v>
      </c>
      <c r="BD279" s="128" t="str">
        <f>VLOOKUP(J279,'[63]ТР нефть'!$J$28:$BP$638,47,0)</f>
        <v>-</v>
      </c>
      <c r="BE279" s="128" t="str">
        <f>VLOOKUP(J279,'[63]ТР нефть'!$J$28:$BP$638,48,0)</f>
        <v>-</v>
      </c>
      <c r="BF279" s="128" t="str">
        <f>VLOOKUP(J279,'[63]ТР нефть'!$J$28:$BP$638,49,0)</f>
        <v>-</v>
      </c>
      <c r="BG279" s="128" t="str">
        <f>VLOOKUP(J279,'[63]ТР нефть'!$J$28:$BP$638,50,0)</f>
        <v>-</v>
      </c>
      <c r="BH279" s="128">
        <f>VLOOKUP(J279,'[63]ТР нефть'!$J$28:$BP$638,51,0)</f>
        <v>2145</v>
      </c>
      <c r="BI279" s="128" t="str">
        <f>VLOOKUP(J279,'[63]ТР нефть'!$J$28:$BP$638,52,0)</f>
        <v>закр</v>
      </c>
      <c r="BJ279" s="128" t="str">
        <f>IF(IFERROR(VLOOKUP(J279,'[63]ТР нефть'!$J$28:$BP$638,53,0),"-")=0,"-",IFERROR(VLOOKUP(J279,'[63]ТР нефть'!$J$28:$BP$638,53,0),"-"))</f>
        <v>-</v>
      </c>
      <c r="BK279" s="127" t="str">
        <f>IF(IFERROR(VLOOKUP(J279,'[63]ТР нефть'!$J$28:$BP$638,54,0),"-")=0,"-",IFERROR(VLOOKUP(J279,'[63]ТР нефть'!$J$28:$BP$638,54,0),"-"))</f>
        <v xml:space="preserve">D800N </v>
      </c>
      <c r="BL279" s="127" t="str">
        <f>IF(IFERROR(VLOOKUP(J279,'[63]ТР нефть'!$J$28:$BP$638,55,0),"-")=0,"-",IFERROR(VLOOKUP(J279,'[63]ТР нефть'!$J$28:$BP$638,55,0),"-"))</f>
        <v>-</v>
      </c>
      <c r="BM279" s="127">
        <f>IF(IFERROR(VLOOKUP(J279,'[63]ТР нефть'!$J$28:$BP$638,56,0),"-")=0,"-",IFERROR(VLOOKUP(J279,'[63]ТР нефть'!$J$28:$BP$638,56,0),"-"))</f>
        <v>1249</v>
      </c>
      <c r="BN279" s="127">
        <f>IF(IFERROR(VLOOKUP(J279,'[63]ТР нефть'!$J$28:$BP$638,57,0),"-")=0,"-",IFERROR(VLOOKUP(J279,'[63]ТР нефть'!$J$28:$BP$638,57,0),"-"))</f>
        <v>50</v>
      </c>
      <c r="BO279" s="128">
        <f>IF(IFERROR(VLOOKUP(J279,'[63]ТР нефть'!$J$28:$BP$638,58,0),"-")=0,"-",IFERROR(VLOOKUP(J279,'[63]ТР нефть'!$J$28:$BP$638,58,0),"-"))</f>
        <v>51</v>
      </c>
      <c r="BP279" s="128" t="str">
        <f>IF(IFERROR(VLOOKUP(J279,'[63]ТР нефть'!$J$28:$BP$638,59,0),"-")=0,"-",IFERROR(VLOOKUP(J279,'[63]ТР нефть'!$J$28:$BP$638,59,0),"-"))</f>
        <v>-</v>
      </c>
      <c r="BQ279" s="138">
        <v>2150</v>
      </c>
      <c r="BR279" s="128">
        <v>1817.88</v>
      </c>
      <c r="BS279" s="115">
        <f t="shared" ref="BS279:BS323" si="211">BQ279-BR279</f>
        <v>332.11999999999989</v>
      </c>
      <c r="BT279" s="128">
        <v>73</v>
      </c>
      <c r="BU279" s="128">
        <v>5.5</v>
      </c>
      <c r="BV279" s="127">
        <v>65</v>
      </c>
      <c r="BW279" s="127" t="s">
        <v>217</v>
      </c>
      <c r="BX279" s="127" t="s">
        <v>218</v>
      </c>
      <c r="BY279" s="210">
        <v>21</v>
      </c>
      <c r="BZ279" s="210">
        <v>4</v>
      </c>
      <c r="CA279" s="138">
        <v>19</v>
      </c>
      <c r="CB279" s="138">
        <v>16</v>
      </c>
      <c r="CC279" s="138">
        <v>18</v>
      </c>
      <c r="CD279" s="135">
        <v>45017</v>
      </c>
      <c r="CE279" s="138">
        <v>103</v>
      </c>
      <c r="CF279" s="138"/>
      <c r="CG279" s="138" t="str">
        <f t="shared" ref="CG279:CG308" si="212">IF(CH279&lt;&gt;"","В работе","")</f>
        <v/>
      </c>
      <c r="CH279" s="138" t="s">
        <v>197</v>
      </c>
      <c r="CI279" s="127"/>
      <c r="CJ279" s="138"/>
      <c r="CK279" s="138"/>
      <c r="CL279" s="138"/>
      <c r="CM279" s="127">
        <v>62</v>
      </c>
      <c r="CN279" s="154">
        <f>IF(CM279=0,0,(((AP279-AQ279-BR279)*((AD279*(CQ279/100))+(AB279*((100-CQ279)/100)))*9.81/100+CM279)))</f>
        <v>76.456781179999993</v>
      </c>
      <c r="CO279" s="141">
        <f t="shared" si="165"/>
        <v>4.8153599999999992</v>
      </c>
      <c r="CP279" s="142">
        <v>48</v>
      </c>
      <c r="CQ279" s="119">
        <v>88</v>
      </c>
      <c r="CR279" s="138">
        <v>5.4</v>
      </c>
      <c r="CS279" s="139"/>
      <c r="CT279" s="138"/>
      <c r="CU279" s="138">
        <f t="shared" si="188"/>
        <v>5.4</v>
      </c>
      <c r="CV279" s="115">
        <f t="shared" si="189"/>
        <v>1121.4114832535888</v>
      </c>
      <c r="CW279" s="115" t="str">
        <f t="shared" si="166"/>
        <v/>
      </c>
      <c r="CX279" s="133">
        <f t="shared" si="190"/>
        <v>1.8083714837114087</v>
      </c>
      <c r="CY279" s="116"/>
      <c r="CZ279" s="170"/>
      <c r="DA279" s="145" t="str">
        <f t="shared" si="167"/>
        <v>ЭЦН</v>
      </c>
      <c r="DB279" s="146">
        <f t="shared" si="168"/>
        <v>4.8153599999999992</v>
      </c>
      <c r="DC279" s="142">
        <f t="shared" si="203"/>
        <v>48</v>
      </c>
      <c r="DD279" s="119">
        <f t="shared" si="204"/>
        <v>88</v>
      </c>
      <c r="DE279" s="115">
        <f t="shared" si="169"/>
        <v>5.4</v>
      </c>
      <c r="DF279" s="121">
        <f t="shared" si="170"/>
        <v>0</v>
      </c>
      <c r="DG279" s="115">
        <f t="shared" si="171"/>
        <v>1121.4114832535888</v>
      </c>
      <c r="DH279" s="115">
        <f t="shared" si="172"/>
        <v>76.456781179999993</v>
      </c>
      <c r="DI279" s="170"/>
      <c r="DJ279" s="111">
        <v>43896</v>
      </c>
      <c r="DK279" s="112">
        <v>44144</v>
      </c>
      <c r="DL279" s="113">
        <f t="shared" ca="1" si="192"/>
        <v>960</v>
      </c>
      <c r="DM279" s="114">
        <v>20</v>
      </c>
      <c r="DN279" s="114">
        <v>85</v>
      </c>
      <c r="DO279" s="114">
        <v>38</v>
      </c>
      <c r="DP279" s="114"/>
      <c r="DQ279" s="112">
        <v>43608</v>
      </c>
      <c r="DR279" s="114" t="s">
        <v>324</v>
      </c>
      <c r="DS279" s="114"/>
      <c r="DT279" s="115">
        <v>46</v>
      </c>
      <c r="DU279" s="116">
        <f t="shared" si="193"/>
        <v>1.5399730699024683</v>
      </c>
      <c r="DV279" s="117">
        <f t="shared" si="194"/>
        <v>8.8059356072390891</v>
      </c>
      <c r="DW279" s="118">
        <f t="shared" si="195"/>
        <v>87.778464984440689</v>
      </c>
      <c r="DX279" s="119">
        <f t="shared" si="173"/>
        <v>88</v>
      </c>
      <c r="DY279" s="115">
        <f t="shared" si="196"/>
        <v>9.8750773107495782</v>
      </c>
      <c r="DZ279" s="117">
        <f t="shared" si="197"/>
        <v>3.9905756072390899</v>
      </c>
      <c r="EA279" s="120">
        <f t="shared" si="197"/>
        <v>39.778464984440689</v>
      </c>
      <c r="EB279" s="119">
        <f t="shared" si="197"/>
        <v>0</v>
      </c>
      <c r="EC279" s="121">
        <f t="shared" si="198"/>
        <v>4.4750773107495778</v>
      </c>
      <c r="ED279" s="122"/>
      <c r="EE279" s="145">
        <v>65</v>
      </c>
      <c r="EF279" s="115">
        <v>19</v>
      </c>
      <c r="EG279" s="115">
        <v>16</v>
      </c>
      <c r="EH279" s="115">
        <v>18</v>
      </c>
      <c r="EI279" s="128" t="s">
        <v>218</v>
      </c>
      <c r="EJ279" s="121">
        <v>21</v>
      </c>
      <c r="EK279" s="121">
        <v>4</v>
      </c>
      <c r="EL279" s="149">
        <v>4.8153599999999992</v>
      </c>
      <c r="EM279" s="142">
        <v>48</v>
      </c>
      <c r="EN279" s="119">
        <v>88</v>
      </c>
      <c r="EO279" s="115">
        <v>5.4</v>
      </c>
      <c r="EP279" s="115">
        <v>1121.4114832535888</v>
      </c>
      <c r="EQ279" s="115">
        <v>0</v>
      </c>
      <c r="ER279" s="115">
        <v>0</v>
      </c>
      <c r="ES279" s="115">
        <v>76.456781179999993</v>
      </c>
      <c r="ET279" s="150">
        <v>1.8083714837114087</v>
      </c>
      <c r="EU279" s="145">
        <f t="shared" si="174"/>
        <v>65</v>
      </c>
      <c r="EV279" s="115">
        <f t="shared" si="175"/>
        <v>19</v>
      </c>
      <c r="EW279" s="115">
        <f t="shared" si="175"/>
        <v>16</v>
      </c>
      <c r="EX279" s="115">
        <f t="shared" si="175"/>
        <v>18</v>
      </c>
      <c r="EY279" s="115" t="str">
        <f t="shared" si="206"/>
        <v>Периодический</v>
      </c>
      <c r="EZ279" s="115">
        <f t="shared" si="206"/>
        <v>21</v>
      </c>
      <c r="FA279" s="115">
        <f t="shared" si="206"/>
        <v>4</v>
      </c>
      <c r="FB279" s="149">
        <f t="shared" si="209"/>
        <v>4.8153599999999992</v>
      </c>
      <c r="FC279" s="142">
        <f t="shared" si="209"/>
        <v>48</v>
      </c>
      <c r="FD279" s="119">
        <f t="shared" si="209"/>
        <v>88</v>
      </c>
      <c r="FE279" s="121">
        <f t="shared" si="208"/>
        <v>5.4</v>
      </c>
      <c r="FF279" s="121">
        <f t="shared" si="199"/>
        <v>1121.4114832535888</v>
      </c>
      <c r="FG279" s="121">
        <f t="shared" si="177"/>
        <v>0</v>
      </c>
      <c r="FH279" s="121">
        <f t="shared" si="200"/>
        <v>0</v>
      </c>
      <c r="FI279" s="121">
        <f t="shared" si="205"/>
        <v>76.456781179999993</v>
      </c>
      <c r="FJ279" s="144">
        <f t="shared" si="178"/>
        <v>1.8083714837114087</v>
      </c>
      <c r="FK279" s="132">
        <f t="shared" si="179"/>
        <v>0</v>
      </c>
      <c r="FL279" s="115">
        <f t="shared" si="179"/>
        <v>0</v>
      </c>
      <c r="FM279" s="115">
        <f t="shared" si="179"/>
        <v>0</v>
      </c>
      <c r="FN279" s="115">
        <f t="shared" si="162"/>
        <v>0</v>
      </c>
      <c r="FO279" s="115">
        <f t="shared" si="201"/>
        <v>0</v>
      </c>
      <c r="FP279" s="115">
        <f t="shared" si="201"/>
        <v>0</v>
      </c>
      <c r="FQ279" s="149">
        <f t="shared" si="201"/>
        <v>0</v>
      </c>
      <c r="FR279" s="142">
        <f t="shared" si="201"/>
        <v>0</v>
      </c>
      <c r="FS279" s="119">
        <f t="shared" si="201"/>
        <v>0</v>
      </c>
      <c r="FT279" s="121">
        <f t="shared" si="201"/>
        <v>0</v>
      </c>
      <c r="FU279" s="121">
        <f t="shared" si="180"/>
        <v>0</v>
      </c>
      <c r="FV279" s="121">
        <f t="shared" si="180"/>
        <v>0</v>
      </c>
      <c r="FW279" s="121">
        <f t="shared" si="181"/>
        <v>0</v>
      </c>
      <c r="FX279" s="121">
        <f t="shared" si="182"/>
        <v>0</v>
      </c>
      <c r="FY279" s="144">
        <f t="shared" si="182"/>
        <v>0</v>
      </c>
      <c r="FZ279" s="145"/>
      <c r="GA279" s="151"/>
      <c r="GB279" s="145"/>
      <c r="GC279" s="151" t="s">
        <v>394</v>
      </c>
      <c r="GD279" s="997" t="s">
        <v>238</v>
      </c>
      <c r="GE279" s="1004"/>
      <c r="GF279" s="1004">
        <v>0</v>
      </c>
      <c r="GG279" s="1004"/>
      <c r="GH279" s="1004">
        <v>0</v>
      </c>
      <c r="GI279" s="145"/>
      <c r="GJ279" s="996">
        <v>0</v>
      </c>
      <c r="GK279" s="145"/>
      <c r="GL279" s="996">
        <v>0</v>
      </c>
      <c r="GM279" s="1005"/>
      <c r="GN279" s="996">
        <v>0</v>
      </c>
      <c r="GO279" s="1006"/>
      <c r="GP279" s="996">
        <v>-1.4345760000001206E-2</v>
      </c>
      <c r="GQ279" s="1006"/>
      <c r="GR279" s="996">
        <v>-0.18629423999999695</v>
      </c>
      <c r="GS279" s="1006"/>
      <c r="GT279" s="996">
        <v>-0.10784400000000094</v>
      </c>
      <c r="GU279" s="1006" t="s">
        <v>259</v>
      </c>
      <c r="GV279" s="996">
        <v>-5.9113559999999996</v>
      </c>
      <c r="GW279" s="1006"/>
      <c r="GX279" s="1049">
        <v>0.66880000000000095</v>
      </c>
      <c r="GY279" s="1006"/>
      <c r="GZ279" s="996">
        <v>-0.8360000000000003</v>
      </c>
      <c r="HA279" s="1006" t="s">
        <v>204</v>
      </c>
      <c r="HB279" s="996">
        <v>-11.806033799999996</v>
      </c>
      <c r="HC279" s="1006"/>
      <c r="HD279" s="996">
        <v>0</v>
      </c>
      <c r="HE279" s="1006" t="s">
        <v>204</v>
      </c>
      <c r="HF279" s="996">
        <v>-9.1909422000000074</v>
      </c>
      <c r="HG279" s="1006" t="s">
        <v>221</v>
      </c>
      <c r="HH279" s="996">
        <v>11.654291440000005</v>
      </c>
      <c r="HI279" s="1006"/>
      <c r="HJ279" s="996">
        <v>0</v>
      </c>
      <c r="HK279" s="1006"/>
      <c r="HL279" s="996">
        <v>0</v>
      </c>
      <c r="HM279" s="1006" t="s">
        <v>199</v>
      </c>
      <c r="HN279" s="996">
        <v>-4.2958194399999989</v>
      </c>
      <c r="HO279" s="1006"/>
      <c r="HP279" s="996">
        <v>-0.87676000000000087</v>
      </c>
      <c r="HQ279" s="1006" t="s">
        <v>146</v>
      </c>
      <c r="HR279" s="996">
        <v>4.012131200000006</v>
      </c>
      <c r="HS279" s="1006"/>
      <c r="HT279" s="996">
        <v>-0.77346720000000424</v>
      </c>
      <c r="HU279" s="1006" t="s">
        <v>886</v>
      </c>
      <c r="HV279" s="996">
        <v>-7.636860000000004</v>
      </c>
      <c r="HW279" s="1006" t="s">
        <v>146</v>
      </c>
      <c r="HX279" s="996">
        <v>3.0726461040000039</v>
      </c>
      <c r="HY279" s="1006"/>
      <c r="HZ279" s="996">
        <v>-0.33976210400000184</v>
      </c>
      <c r="IA279" s="1006"/>
      <c r="IB279" s="996">
        <v>-0.59983000000000075</v>
      </c>
      <c r="IC279" s="1006"/>
      <c r="ID279" s="996">
        <v>0</v>
      </c>
      <c r="IE279" s="1006"/>
      <c r="IF279" s="996">
        <v>0.27964200000000261</v>
      </c>
      <c r="IG279" s="1006"/>
      <c r="IH279" s="996">
        <v>0.21518639999999678</v>
      </c>
      <c r="II279" s="1006"/>
      <c r="IJ279" s="996">
        <v>-0.4067808799999959</v>
      </c>
      <c r="IK279" s="1006" t="s">
        <v>221</v>
      </c>
      <c r="IL279" s="996">
        <v>-13.138433879999997</v>
      </c>
      <c r="IM279" s="1006" t="s">
        <v>239</v>
      </c>
      <c r="IN279" s="996">
        <v>13.977092359999995</v>
      </c>
      <c r="IO279" s="1006"/>
      <c r="IP279" s="996">
        <v>0</v>
      </c>
      <c r="IQ279" s="1006"/>
      <c r="IR279" s="996">
        <v>0</v>
      </c>
      <c r="IS279" s="1006"/>
      <c r="IT279" s="996">
        <v>0</v>
      </c>
      <c r="IU279" s="1006"/>
      <c r="IV279" s="996">
        <v>0</v>
      </c>
      <c r="IW279" s="1006"/>
      <c r="IX279" s="996">
        <v>0</v>
      </c>
      <c r="IY279" s="1006"/>
      <c r="IZ279" s="996">
        <v>0</v>
      </c>
      <c r="JA279" s="1006"/>
      <c r="JB279" s="996">
        <v>0</v>
      </c>
      <c r="JC279" s="1006"/>
      <c r="JD279" s="996">
        <v>0</v>
      </c>
      <c r="JE279" s="1006"/>
      <c r="JF279" s="996">
        <v>0</v>
      </c>
      <c r="JG279" s="1006"/>
      <c r="JH279" s="996">
        <v>0</v>
      </c>
      <c r="JI279" s="1006"/>
      <c r="JJ279" s="996">
        <v>0</v>
      </c>
      <c r="JK279" s="1007"/>
      <c r="JL279" s="1007">
        <v>0</v>
      </c>
      <c r="JM279" s="1007" t="s">
        <v>1243</v>
      </c>
      <c r="JN279" s="1007">
        <v>-36.244779999999984</v>
      </c>
      <c r="JO279" s="1008"/>
      <c r="JP279" s="1007">
        <v>0</v>
      </c>
      <c r="JQ279" s="1008">
        <v>0</v>
      </c>
      <c r="JR279" s="1007">
        <v>0</v>
      </c>
      <c r="JS279" s="1008" t="s">
        <v>221</v>
      </c>
      <c r="JT279" s="1007">
        <v>10.430562999999992</v>
      </c>
      <c r="JU279" s="1008"/>
      <c r="JV279" s="1007">
        <v>4.3716999999993789E-2</v>
      </c>
      <c r="JW279" s="1008" t="s">
        <v>197</v>
      </c>
      <c r="JX279" s="1007">
        <v>0</v>
      </c>
      <c r="JY279" s="1008"/>
      <c r="JZ279" s="1007">
        <v>0</v>
      </c>
      <c r="KA279" s="1008"/>
      <c r="KB279" s="1007"/>
      <c r="KC279" s="1008"/>
      <c r="KD279" s="1007"/>
      <c r="KE279" s="1008"/>
      <c r="KF279" s="1007"/>
      <c r="KG279" s="1008"/>
      <c r="KH279" s="1007"/>
      <c r="KI279" s="1008"/>
      <c r="KJ279" s="1007"/>
      <c r="KK279" s="1008"/>
      <c r="KL279" s="1007"/>
      <c r="KM279" s="1008"/>
      <c r="KN279" s="1007"/>
      <c r="KO279" s="1008"/>
      <c r="KP279" s="1007"/>
      <c r="KQ279" s="1008"/>
      <c r="KR279" s="1007"/>
      <c r="KS279" s="1008"/>
      <c r="KT279" s="1007"/>
      <c r="KU279" s="1008"/>
      <c r="KV279" s="1007"/>
      <c r="KW279" s="1008"/>
      <c r="KX279" s="1007"/>
      <c r="KY279" s="1008"/>
      <c r="KZ279" s="1007"/>
      <c r="LA279" s="1008"/>
      <c r="LB279" s="1007"/>
      <c r="LC279" s="1008"/>
      <c r="LD279" s="1007"/>
      <c r="LE279" s="1008"/>
      <c r="LF279" s="1007"/>
      <c r="LG279" s="1008"/>
      <c r="LH279" s="1007"/>
      <c r="LI279" s="1008"/>
      <c r="LJ279" s="1007"/>
      <c r="LK279" s="1008"/>
      <c r="LL279" s="1007"/>
      <c r="LM279" s="1008"/>
      <c r="LN279" s="1007"/>
      <c r="LO279" s="1008"/>
      <c r="LP279" s="1007"/>
      <c r="LQ279" s="1008"/>
      <c r="LR279" s="1007"/>
      <c r="LS279" s="1008"/>
      <c r="LT279" s="1007"/>
      <c r="LU279" s="1008"/>
      <c r="LV279" s="1007"/>
      <c r="LW279" s="1008"/>
      <c r="LX279" s="1007"/>
      <c r="LY279" s="1009"/>
      <c r="LZ279" s="1010"/>
      <c r="MA279" s="1011"/>
      <c r="MB279" s="1012"/>
      <c r="MC279" s="995"/>
      <c r="MD279" s="996"/>
      <c r="ME279" s="997" t="s">
        <v>238</v>
      </c>
      <c r="MF279" s="997">
        <f>CN279-CA279</f>
        <v>57.456781179999993</v>
      </c>
      <c r="MG279" s="998"/>
      <c r="NR279" s="1000"/>
      <c r="NS279" s="1000"/>
      <c r="NT279" s="1001"/>
      <c r="NU279" s="1000"/>
      <c r="NV279" s="1001"/>
      <c r="NX279" s="1002"/>
      <c r="NZ279" s="1001"/>
      <c r="OA279" s="1001"/>
      <c r="OC279" s="1003"/>
      <c r="OD279" s="1003"/>
      <c r="OE279" s="1001"/>
      <c r="OF279" s="1003"/>
      <c r="OG279" s="1003"/>
      <c r="ASU279" s="999" t="s">
        <v>208</v>
      </c>
    </row>
    <row r="280" spans="1:466 1191:1191" ht="21" customHeight="1" x14ac:dyDescent="0.25">
      <c r="A280" s="982">
        <f t="shared" si="163"/>
        <v>1241</v>
      </c>
      <c r="B280" s="124">
        <f>SUBTOTAL(103,$J$29:J280)</f>
        <v>252</v>
      </c>
      <c r="C280" s="126">
        <v>45096</v>
      </c>
      <c r="D280" s="124" t="s">
        <v>176</v>
      </c>
      <c r="E280" s="127" t="s">
        <v>177</v>
      </c>
      <c r="F280" s="128" t="s">
        <v>177</v>
      </c>
      <c r="G280" s="127" t="s">
        <v>178</v>
      </c>
      <c r="H280" s="127" t="s">
        <v>421</v>
      </c>
      <c r="I280" s="127" t="s">
        <v>1153</v>
      </c>
      <c r="J280" s="152">
        <v>1241</v>
      </c>
      <c r="K280" s="127" t="s">
        <v>1154</v>
      </c>
      <c r="L280" s="130">
        <v>41926</v>
      </c>
      <c r="M280" s="127" t="s">
        <v>230</v>
      </c>
      <c r="N280" s="127" t="s">
        <v>231</v>
      </c>
      <c r="O280" s="127" t="s">
        <v>185</v>
      </c>
      <c r="P280" s="127" t="s">
        <v>208</v>
      </c>
      <c r="Q280" s="85" t="str">
        <f t="shared" ref="Q280:Q302" si="213">IF(R280="","",-4)</f>
        <v/>
      </c>
      <c r="R280" s="130"/>
      <c r="S280" s="128"/>
      <c r="T280" s="131"/>
      <c r="U280" s="132">
        <v>203</v>
      </c>
      <c r="V280" s="121">
        <v>218.2</v>
      </c>
      <c r="W280" s="116">
        <v>0.98</v>
      </c>
      <c r="X280" s="116">
        <v>1.66</v>
      </c>
      <c r="Y280" s="116">
        <f t="shared" si="191"/>
        <v>0.98120581919949812</v>
      </c>
      <c r="Z280" s="133">
        <v>1.454</v>
      </c>
      <c r="AA280" s="133">
        <v>0.83599999999999997</v>
      </c>
      <c r="AB280" s="133">
        <v>0.72</v>
      </c>
      <c r="AC280" s="121">
        <v>34.299999999999997</v>
      </c>
      <c r="AD280" s="134">
        <v>1.17</v>
      </c>
      <c r="AE280" s="124">
        <v>177.8</v>
      </c>
      <c r="AF280" s="128">
        <v>9.19</v>
      </c>
      <c r="AG280" s="128">
        <v>2091</v>
      </c>
      <c r="AH280" s="127" t="s">
        <v>1244</v>
      </c>
      <c r="AI280" s="127" t="s">
        <v>1244</v>
      </c>
      <c r="AJ280" s="135"/>
      <c r="AK280" s="128"/>
      <c r="AL280" s="131"/>
      <c r="AM280" s="124" t="s">
        <v>232</v>
      </c>
      <c r="AN280" s="136" t="s">
        <v>1245</v>
      </c>
      <c r="AO280" s="137">
        <v>52.1</v>
      </c>
      <c r="AP280" s="128">
        <v>2091</v>
      </c>
      <c r="AQ280" s="128">
        <v>165.86</v>
      </c>
      <c r="AR280" s="128"/>
      <c r="AS280" s="128"/>
      <c r="AT280" s="122"/>
      <c r="AU280" s="124" t="s">
        <v>189</v>
      </c>
      <c r="AV280" s="115">
        <f>VLOOKUP(J280,'[63]ТР нефть'!$J$28:$BP$638,39,0)</f>
        <v>599.99999062500001</v>
      </c>
      <c r="AW280" s="115" t="str">
        <f>VLOOKUP(J280,'[63]ТР нефть'!$J$28:$BP$638,40,0)</f>
        <v>ГК 83 1/8</v>
      </c>
      <c r="AX280" s="115">
        <f>VLOOKUP(J280,'[63]ТР нефть'!$J$28:$BP$638,41,0)</f>
        <v>1199.99998125</v>
      </c>
      <c r="AY280" s="115" t="str">
        <f>VLOOKUP(J280,'[63]ТР нефть'!$J$28:$BP$638,42,0)</f>
        <v>ГК 80 1/8</v>
      </c>
      <c r="AZ280" s="115">
        <f>VLOOKUP(J280,'[63]ТР нефть'!$J$28:$BP$638,43,0)</f>
        <v>1499.999976563</v>
      </c>
      <c r="BA280" s="115" t="str">
        <f>VLOOKUP(J280,'[63]ТР нефть'!$J$28:$BP$638,44,0)</f>
        <v>ГК 81 1/8</v>
      </c>
      <c r="BB280" s="115" t="str">
        <f>VLOOKUP(J280,'[63]ТР нефть'!$J$28:$BP$638,45,0)</f>
        <v>-</v>
      </c>
      <c r="BC280" s="115" t="str">
        <f>VLOOKUP(J280,'[63]ТР нефть'!$J$28:$BP$638,46,0)</f>
        <v>-</v>
      </c>
      <c r="BD280" s="115" t="str">
        <f>VLOOKUP(J280,'[63]ТР нефть'!$J$28:$BP$638,47,0)</f>
        <v>-</v>
      </c>
      <c r="BE280" s="115" t="str">
        <f>VLOOKUP(J280,'[63]ТР нефть'!$J$28:$BP$638,48,0)</f>
        <v>-</v>
      </c>
      <c r="BF280" s="115" t="str">
        <f>VLOOKUP(J280,'[63]ТР нефть'!$J$28:$BP$638,49,0)</f>
        <v>-</v>
      </c>
      <c r="BG280" s="115" t="str">
        <f>VLOOKUP(J280,'[63]ТР нефть'!$J$28:$BP$638,50,0)</f>
        <v>-</v>
      </c>
      <c r="BH280" s="115">
        <f>VLOOKUP(J280,'[63]ТР нефть'!$J$28:$BP$638,51,0)</f>
        <v>1810</v>
      </c>
      <c r="BI280" s="115" t="str">
        <f>VLOOKUP(J280,'[63]ТР нефть'!$J$28:$BP$638,52,0)</f>
        <v>закрыт</v>
      </c>
      <c r="BJ280" s="115" t="str">
        <f>IF(IFERROR(VLOOKUP(J280,'[63]ТР нефть'!$J$28:$BP$638,53,0),"-")=0,"-",IFERROR(VLOOKUP(J280,'[63]ТР нефть'!$J$28:$BP$638,53,0),"-"))</f>
        <v>-</v>
      </c>
      <c r="BK280" s="138" t="str">
        <f>IF(IFERROR(VLOOKUP(J280,'[63]ТР нефть'!$J$28:$BP$638,54,0),"-")=0,"-",IFERROR(VLOOKUP(J280,'[63]ТР нефть'!$J$28:$BP$638,54,0),"-"))</f>
        <v>-</v>
      </c>
      <c r="BL280" s="138" t="str">
        <f>IF(IFERROR(VLOOKUP(J280,'[63]ТР нефть'!$J$28:$BP$638,55,0),"-")=0,"-",IFERROR(VLOOKUP(J280,'[63]ТР нефть'!$J$28:$BP$638,55,0),"-"))</f>
        <v>-</v>
      </c>
      <c r="BM280" s="138" t="str">
        <f>IF(IFERROR(VLOOKUP(J280,'[63]ТР нефть'!$J$28:$BP$638,56,0),"-")=0,"-",IFERROR(VLOOKUP(J280,'[63]ТР нефть'!$J$28:$BP$638,56,0),"-"))</f>
        <v>-</v>
      </c>
      <c r="BN280" s="138" t="str">
        <f>IF(IFERROR(VLOOKUP(J280,'[63]ТР нефть'!$J$28:$BP$638,57,0),"-")=0,"-",IFERROR(VLOOKUP(J280,'[63]ТР нефть'!$J$28:$BP$638,57,0),"-"))</f>
        <v>-</v>
      </c>
      <c r="BO280" s="115" t="str">
        <f>IF(IFERROR(VLOOKUP(J280,'[63]ТР нефть'!$J$28:$BP$638,58,0),"-")=0,"-",IFERROR(VLOOKUP(J280,'[63]ТР нефть'!$J$28:$BP$638,58,0),"-"))</f>
        <v>-</v>
      </c>
      <c r="BP280" s="115" t="str">
        <f>IF(IFERROR(VLOOKUP(J280,'[63]ТР нефть'!$J$28:$BP$638,59,0),"-")=0,"-",IFERROR(VLOOKUP(J280,'[63]ТР нефть'!$J$28:$BP$638,59,0),"-"))</f>
        <v>-</v>
      </c>
      <c r="BQ280" s="138">
        <v>2100</v>
      </c>
      <c r="BR280" s="128">
        <v>1926.8</v>
      </c>
      <c r="BS280" s="115">
        <f t="shared" si="211"/>
        <v>173.20000000000005</v>
      </c>
      <c r="BT280" s="128">
        <v>73</v>
      </c>
      <c r="BU280" s="128">
        <v>5.5</v>
      </c>
      <c r="BV280" s="127">
        <v>65</v>
      </c>
      <c r="BW280" s="127" t="s">
        <v>217</v>
      </c>
      <c r="BX280" s="127" t="s">
        <v>195</v>
      </c>
      <c r="BY280" s="139">
        <v>24</v>
      </c>
      <c r="BZ280" s="139">
        <v>0</v>
      </c>
      <c r="CA280" s="138">
        <v>26</v>
      </c>
      <c r="CB280" s="138">
        <v>40</v>
      </c>
      <c r="CC280" s="138">
        <v>25</v>
      </c>
      <c r="CD280" s="135">
        <v>45017</v>
      </c>
      <c r="CE280" s="138">
        <v>122</v>
      </c>
      <c r="CF280" s="138">
        <v>80</v>
      </c>
      <c r="CG280" s="138" t="str">
        <f t="shared" si="212"/>
        <v>В работе</v>
      </c>
      <c r="CH280" s="138" t="s">
        <v>196</v>
      </c>
      <c r="CI280" s="127">
        <v>6</v>
      </c>
      <c r="CJ280" s="138"/>
      <c r="CK280" s="138"/>
      <c r="CL280" s="99"/>
      <c r="CM280" s="99"/>
      <c r="CN280" s="140">
        <v>65</v>
      </c>
      <c r="CO280" s="141">
        <f t="shared" si="165"/>
        <v>13.335872</v>
      </c>
      <c r="CP280" s="142">
        <v>16</v>
      </c>
      <c r="CQ280" s="143">
        <v>0.3</v>
      </c>
      <c r="CR280" s="138">
        <v>22.8</v>
      </c>
      <c r="CS280" s="139">
        <v>16</v>
      </c>
      <c r="CT280" s="138"/>
      <c r="CU280" s="138">
        <f t="shared" si="188"/>
        <v>6.8000000000000007</v>
      </c>
      <c r="CV280" s="115">
        <f t="shared" si="189"/>
        <v>509.90291448508208</v>
      </c>
      <c r="CW280" s="115">
        <f t="shared" si="166"/>
        <v>1194.7916641775175</v>
      </c>
      <c r="CX280" s="133">
        <f t="shared" si="190"/>
        <v>0.2807017543859649</v>
      </c>
      <c r="CY280" s="116"/>
      <c r="CZ280" s="144"/>
      <c r="DA280" s="145" t="str">
        <f t="shared" si="167"/>
        <v>Газлифт</v>
      </c>
      <c r="DB280" s="146">
        <f t="shared" si="168"/>
        <v>13.335872</v>
      </c>
      <c r="DC280" s="142">
        <f t="shared" si="203"/>
        <v>16</v>
      </c>
      <c r="DD280" s="119">
        <f t="shared" si="204"/>
        <v>0.3</v>
      </c>
      <c r="DE280" s="115">
        <f t="shared" si="169"/>
        <v>6.8000000000000007</v>
      </c>
      <c r="DF280" s="121">
        <f t="shared" si="170"/>
        <v>16</v>
      </c>
      <c r="DG280" s="115">
        <f t="shared" si="171"/>
        <v>509.90291448508208</v>
      </c>
      <c r="DH280" s="115">
        <f t="shared" si="172"/>
        <v>65</v>
      </c>
      <c r="DI280" s="147"/>
      <c r="DJ280" s="111">
        <v>43229</v>
      </c>
      <c r="DK280" s="112">
        <v>41926</v>
      </c>
      <c r="DL280" s="113">
        <f t="shared" ca="1" si="192"/>
        <v>3178</v>
      </c>
      <c r="DM280" s="114"/>
      <c r="DN280" s="114"/>
      <c r="DO280" s="114"/>
      <c r="DP280" s="114"/>
      <c r="DQ280" s="112">
        <v>43248</v>
      </c>
      <c r="DR280" s="114" t="s">
        <v>198</v>
      </c>
      <c r="DS280" s="114"/>
      <c r="DT280" s="115">
        <v>60</v>
      </c>
      <c r="DU280" s="116">
        <f t="shared" si="193"/>
        <v>0.27424884049203474</v>
      </c>
      <c r="DV280" s="117">
        <f t="shared" si="194"/>
        <v>14.172221302681994</v>
      </c>
      <c r="DW280" s="118">
        <f t="shared" si="195"/>
        <v>17.003428110506153</v>
      </c>
      <c r="DX280" s="119">
        <f t="shared" si="173"/>
        <v>0.3</v>
      </c>
      <c r="DY280" s="115">
        <f t="shared" si="196"/>
        <v>7.226456946965115</v>
      </c>
      <c r="DZ280" s="117">
        <f t="shared" si="197"/>
        <v>0.83634930268199348</v>
      </c>
      <c r="EA280" s="120">
        <f t="shared" si="197"/>
        <v>1.0034281105061531</v>
      </c>
      <c r="EB280" s="119">
        <f t="shared" si="197"/>
        <v>0</v>
      </c>
      <c r="EC280" s="121">
        <f t="shared" si="198"/>
        <v>0.42645694696511427</v>
      </c>
      <c r="ED280" s="122"/>
      <c r="EE280" s="145">
        <v>65</v>
      </c>
      <c r="EF280" s="115">
        <v>30</v>
      </c>
      <c r="EG280" s="115">
        <v>46</v>
      </c>
      <c r="EH280" s="115">
        <v>28</v>
      </c>
      <c r="EI280" s="128" t="s">
        <v>195</v>
      </c>
      <c r="EJ280" s="121">
        <v>24</v>
      </c>
      <c r="EK280" s="121">
        <v>0</v>
      </c>
      <c r="EL280" s="149">
        <v>18.09</v>
      </c>
      <c r="EM280" s="142">
        <v>22.672000000000001</v>
      </c>
      <c r="EN280" s="119">
        <v>4.556</v>
      </c>
      <c r="EO280" s="115">
        <v>20.661999999999999</v>
      </c>
      <c r="EP280" s="115">
        <v>417.8</v>
      </c>
      <c r="EQ280" s="115">
        <v>80</v>
      </c>
      <c r="ER280" s="115">
        <v>13.103999999999999</v>
      </c>
      <c r="ES280" s="115">
        <v>66</v>
      </c>
      <c r="ET280" s="150">
        <v>0.22</v>
      </c>
      <c r="EU280" s="145">
        <f t="shared" si="174"/>
        <v>65</v>
      </c>
      <c r="EV280" s="115">
        <f t="shared" si="175"/>
        <v>26</v>
      </c>
      <c r="EW280" s="115">
        <f t="shared" si="175"/>
        <v>40</v>
      </c>
      <c r="EX280" s="115">
        <f t="shared" si="175"/>
        <v>25</v>
      </c>
      <c r="EY280" s="115" t="str">
        <f t="shared" si="206"/>
        <v>Постоянный</v>
      </c>
      <c r="EZ280" s="115">
        <f t="shared" si="206"/>
        <v>24</v>
      </c>
      <c r="FA280" s="115">
        <f t="shared" si="206"/>
        <v>0</v>
      </c>
      <c r="FB280" s="149">
        <f t="shared" si="209"/>
        <v>13.335872</v>
      </c>
      <c r="FC280" s="142">
        <f t="shared" si="209"/>
        <v>16</v>
      </c>
      <c r="FD280" s="119">
        <f t="shared" si="209"/>
        <v>0.3</v>
      </c>
      <c r="FE280" s="121">
        <f t="shared" si="208"/>
        <v>22.8</v>
      </c>
      <c r="FF280" s="121">
        <f t="shared" si="199"/>
        <v>509.90291448508208</v>
      </c>
      <c r="FG280" s="121">
        <f t="shared" si="177"/>
        <v>80</v>
      </c>
      <c r="FH280" s="121">
        <f t="shared" si="200"/>
        <v>16</v>
      </c>
      <c r="FI280" s="121">
        <f t="shared" si="205"/>
        <v>65</v>
      </c>
      <c r="FJ280" s="144">
        <f t="shared" si="178"/>
        <v>0.2807017543859649</v>
      </c>
      <c r="FK280" s="132">
        <f t="shared" si="179"/>
        <v>0</v>
      </c>
      <c r="FL280" s="115">
        <f t="shared" si="179"/>
        <v>-4</v>
      </c>
      <c r="FM280" s="115">
        <f t="shared" si="179"/>
        <v>-6</v>
      </c>
      <c r="FN280" s="115">
        <f t="shared" si="162"/>
        <v>-3</v>
      </c>
      <c r="FO280" s="115">
        <f t="shared" si="201"/>
        <v>0</v>
      </c>
      <c r="FP280" s="115">
        <f t="shared" si="201"/>
        <v>0</v>
      </c>
      <c r="FQ280" s="149">
        <f t="shared" si="201"/>
        <v>-4.7541279999999997</v>
      </c>
      <c r="FR280" s="142">
        <f t="shared" si="201"/>
        <v>-6.6720000000000006</v>
      </c>
      <c r="FS280" s="119">
        <f t="shared" si="201"/>
        <v>-4.2560000000000002</v>
      </c>
      <c r="FT280" s="121">
        <f t="shared" si="201"/>
        <v>2.1380000000000017</v>
      </c>
      <c r="FU280" s="121">
        <f t="shared" si="180"/>
        <v>0</v>
      </c>
      <c r="FV280" s="121">
        <f t="shared" si="180"/>
        <v>2.8960000000000008</v>
      </c>
      <c r="FW280" s="121">
        <f t="shared" si="181"/>
        <v>92.102914485082067</v>
      </c>
      <c r="FX280" s="121">
        <f t="shared" si="182"/>
        <v>-1</v>
      </c>
      <c r="FY280" s="144">
        <f t="shared" si="182"/>
        <v>6.0701754385964896E-2</v>
      </c>
      <c r="FZ280" s="145" t="s">
        <v>203</v>
      </c>
      <c r="GA280" s="151" t="s">
        <v>1246</v>
      </c>
      <c r="GB280" s="145"/>
      <c r="GC280" s="151" t="s">
        <v>1247</v>
      </c>
      <c r="GD280" s="997" t="s">
        <v>238</v>
      </c>
      <c r="GE280" s="1004"/>
      <c r="GF280" s="1004">
        <v>0</v>
      </c>
      <c r="GG280" s="1004"/>
      <c r="GH280" s="1004">
        <v>0</v>
      </c>
      <c r="GI280" s="145" t="s">
        <v>223</v>
      </c>
      <c r="GJ280" s="996">
        <v>-3.7430044079999973</v>
      </c>
      <c r="GK280" s="145"/>
      <c r="GL280" s="996">
        <v>0</v>
      </c>
      <c r="GM280" s="1005"/>
      <c r="GN280" s="996">
        <v>-0.22205999200000015</v>
      </c>
      <c r="GO280" s="1006"/>
      <c r="GP280" s="996">
        <v>-3.5780800000000017</v>
      </c>
      <c r="GQ280" s="1006"/>
      <c r="GR280" s="996">
        <v>0</v>
      </c>
      <c r="GS280" s="1006"/>
      <c r="GT280" s="996">
        <v>0</v>
      </c>
      <c r="GU280" s="1006"/>
      <c r="GV280" s="996">
        <v>0</v>
      </c>
      <c r="GW280" s="1006"/>
      <c r="GX280" s="1049">
        <v>0</v>
      </c>
      <c r="GY280" s="1006"/>
      <c r="GZ280" s="996">
        <v>0</v>
      </c>
      <c r="HA280" s="1006"/>
      <c r="HB280" s="996">
        <v>-0.88940367999999737</v>
      </c>
      <c r="HC280" s="1006" t="s">
        <v>199</v>
      </c>
      <c r="HD280" s="996">
        <v>-1.5462890079999987</v>
      </c>
      <c r="HE280" s="1006"/>
      <c r="HF280" s="996">
        <v>0.12287327359999978</v>
      </c>
      <c r="HG280" s="1006"/>
      <c r="HH280" s="996">
        <v>0</v>
      </c>
      <c r="HI280" s="1006"/>
      <c r="HJ280" s="996">
        <v>0</v>
      </c>
      <c r="HK280" s="1006"/>
      <c r="HL280" s="996">
        <v>0.5646927527999992</v>
      </c>
      <c r="HM280" s="1006"/>
      <c r="HN280" s="996">
        <v>2.9671818615999968</v>
      </c>
      <c r="HO280" s="1006" t="s">
        <v>199</v>
      </c>
      <c r="HP280" s="996">
        <v>-2.4061751999999963</v>
      </c>
      <c r="HQ280" s="1006"/>
      <c r="HR280" s="996">
        <v>0</v>
      </c>
      <c r="HS280" s="1006"/>
      <c r="HT280" s="996">
        <v>0</v>
      </c>
      <c r="HU280" s="1006"/>
      <c r="HV280" s="996">
        <v>-0.45562000000000324</v>
      </c>
      <c r="HW280" s="1006" t="s">
        <v>203</v>
      </c>
      <c r="HX280" s="996">
        <v>-3.6615128000000006</v>
      </c>
      <c r="HY280" s="1006" t="s">
        <v>25</v>
      </c>
      <c r="HZ280" s="996">
        <v>8.0463328000000018</v>
      </c>
      <c r="IA280" s="1006"/>
      <c r="IB280" s="996">
        <v>0</v>
      </c>
      <c r="IC280" s="1006" t="s">
        <v>199</v>
      </c>
      <c r="ID280" s="996">
        <v>3.5199999999999996</v>
      </c>
      <c r="IE280" s="1006"/>
      <c r="IF280" s="996">
        <v>0.54356720000000003</v>
      </c>
      <c r="IG280" s="1006"/>
      <c r="IH280" s="996">
        <v>0</v>
      </c>
      <c r="II280" s="1006"/>
      <c r="IJ280" s="996">
        <v>0.61730239999999803</v>
      </c>
      <c r="IK280" s="1006" t="s">
        <v>223</v>
      </c>
      <c r="IL280" s="996">
        <v>-2.4198855999999989</v>
      </c>
      <c r="IM280" s="1006" t="s">
        <v>199</v>
      </c>
      <c r="IN280" s="996">
        <v>-1.3794000000000022</v>
      </c>
      <c r="IO280" s="1006"/>
      <c r="IP280" s="996">
        <v>0</v>
      </c>
      <c r="IQ280" s="1006"/>
      <c r="IR280" s="996">
        <v>0</v>
      </c>
      <c r="IS280" s="1006"/>
      <c r="IT280" s="996">
        <v>-0.12539999999999907</v>
      </c>
      <c r="IU280" s="1006"/>
      <c r="IV280" s="996">
        <v>0</v>
      </c>
      <c r="IW280" s="1006"/>
      <c r="IX280" s="996">
        <v>0</v>
      </c>
      <c r="IY280" s="1006"/>
      <c r="IZ280" s="996">
        <v>-0.66879999999999917</v>
      </c>
      <c r="JA280" s="1006"/>
      <c r="JB280" s="996">
        <v>0</v>
      </c>
      <c r="JC280" s="1006"/>
      <c r="JD280" s="996">
        <v>0</v>
      </c>
      <c r="JE280" s="1006"/>
      <c r="JF280" s="996">
        <v>-0.16719999999999935</v>
      </c>
      <c r="JG280" s="1006" t="s">
        <v>199</v>
      </c>
      <c r="JH280" s="996">
        <v>8.3976199999999999</v>
      </c>
      <c r="JI280" s="1006" t="s">
        <v>199</v>
      </c>
      <c r="JJ280" s="996">
        <v>-6.3577799999999991</v>
      </c>
      <c r="JK280" s="1007"/>
      <c r="JL280" s="1007">
        <v>0</v>
      </c>
      <c r="JM280" s="1007"/>
      <c r="JN280" s="1007">
        <v>0</v>
      </c>
      <c r="JO280" s="1008"/>
      <c r="JP280" s="1007">
        <v>0</v>
      </c>
      <c r="JQ280" s="1008">
        <v>0</v>
      </c>
      <c r="JR280" s="1007">
        <v>0</v>
      </c>
      <c r="JS280" s="1008">
        <v>0</v>
      </c>
      <c r="JT280" s="1007">
        <v>0</v>
      </c>
      <c r="JU280" s="1008"/>
      <c r="JV280" s="1007">
        <v>0</v>
      </c>
      <c r="JW280" s="1008" t="s">
        <v>197</v>
      </c>
      <c r="JX280" s="1007">
        <v>0</v>
      </c>
      <c r="JY280" s="1008"/>
      <c r="JZ280" s="1007">
        <v>0</v>
      </c>
      <c r="KA280" s="1008"/>
      <c r="KB280" s="1007">
        <v>0</v>
      </c>
      <c r="KC280" s="1008" t="s">
        <v>207</v>
      </c>
      <c r="KD280" s="1007">
        <v>1.3041599999999995</v>
      </c>
      <c r="KE280" s="1008" t="s">
        <v>199</v>
      </c>
      <c r="KF280" s="1007">
        <v>-5.0160000000000018</v>
      </c>
      <c r="KG280" s="1008"/>
      <c r="KH280" s="1007">
        <v>0</v>
      </c>
      <c r="KI280" s="1008"/>
      <c r="KJ280" s="1007">
        <v>0</v>
      </c>
      <c r="KK280" s="1008"/>
      <c r="KL280" s="1007">
        <v>0</v>
      </c>
      <c r="KM280" s="1008"/>
      <c r="KN280" s="1007">
        <v>0</v>
      </c>
      <c r="KO280" s="1008"/>
      <c r="KP280" s="1007">
        <v>0</v>
      </c>
      <c r="KQ280" s="1008" t="s">
        <v>203</v>
      </c>
      <c r="KR280" s="1007">
        <v>0.63536000000000215</v>
      </c>
      <c r="KS280" s="1008">
        <v>0</v>
      </c>
      <c r="KT280" s="1007">
        <v>0</v>
      </c>
      <c r="KU280" s="1008" t="s">
        <v>1248</v>
      </c>
      <c r="KV280" s="1007">
        <v>4.5457842760000009</v>
      </c>
      <c r="KW280" s="1008">
        <v>0</v>
      </c>
      <c r="KX280" s="1007">
        <v>0</v>
      </c>
      <c r="KY280" s="1008">
        <v>0</v>
      </c>
      <c r="KZ280" s="1007">
        <v>0</v>
      </c>
      <c r="LA280" s="1008">
        <v>0</v>
      </c>
      <c r="LB280" s="1007">
        <v>0</v>
      </c>
      <c r="LC280" s="1008">
        <v>0</v>
      </c>
      <c r="LD280" s="1007">
        <v>0</v>
      </c>
      <c r="LE280" s="1008">
        <v>0</v>
      </c>
      <c r="LF280" s="1007">
        <v>0</v>
      </c>
      <c r="LG280" s="1008">
        <v>0</v>
      </c>
      <c r="LH280" s="1007">
        <v>-12.375726</v>
      </c>
      <c r="LI280" s="1008">
        <v>0</v>
      </c>
      <c r="LJ280" s="1007">
        <v>0</v>
      </c>
      <c r="LK280" s="1008">
        <v>0</v>
      </c>
      <c r="LL280" s="1007">
        <v>0</v>
      </c>
      <c r="LM280" s="1008" t="s">
        <v>555</v>
      </c>
      <c r="LN280" s="1007">
        <v>1.6500969999999999</v>
      </c>
      <c r="LO280" s="1008">
        <v>0</v>
      </c>
      <c r="LP280" s="1007">
        <v>-0.82548399999998001</v>
      </c>
      <c r="LQ280" s="1008" t="s">
        <v>204</v>
      </c>
      <c r="LR280" s="1007">
        <v>-3.3193600000000001</v>
      </c>
      <c r="LS280" s="1008">
        <v>0</v>
      </c>
      <c r="LT280" s="1007">
        <v>-4.9529399999999999</v>
      </c>
      <c r="LU280" s="1008" t="s">
        <v>206</v>
      </c>
      <c r="LV280" s="1007">
        <v>1.8976113200000029</v>
      </c>
      <c r="LW280" s="1008">
        <v>0</v>
      </c>
      <c r="LX280" s="1007">
        <v>-0.825484</v>
      </c>
      <c r="LY280" s="1009" t="s">
        <v>206</v>
      </c>
      <c r="LZ280" s="1010">
        <v>-1.8976113200000029</v>
      </c>
      <c r="MA280" s="1011">
        <v>0</v>
      </c>
      <c r="MB280" s="1012">
        <v>-0.25289099999999998</v>
      </c>
      <c r="MC280" s="995"/>
      <c r="MD280" s="996"/>
      <c r="ME280" s="997" t="s">
        <v>238</v>
      </c>
      <c r="MF280" s="997"/>
      <c r="MG280" s="998"/>
      <c r="NR280" s="1000"/>
      <c r="NS280" s="1000"/>
      <c r="NT280" s="1001"/>
      <c r="NU280" s="1000"/>
      <c r="NV280" s="1001"/>
      <c r="NX280" s="1002"/>
      <c r="NZ280" s="1001"/>
      <c r="OA280" s="1001"/>
      <c r="OC280" s="1003"/>
      <c r="OD280" s="1003"/>
      <c r="OE280" s="1001"/>
      <c r="OF280" s="1003"/>
      <c r="OG280" s="1003"/>
      <c r="QX280" s="1000">
        <f>CN280-CA280</f>
        <v>39</v>
      </c>
      <c r="ASU280" s="999" t="s">
        <v>208</v>
      </c>
    </row>
    <row r="281" spans="1:466 1191:1191" ht="21" customHeight="1" x14ac:dyDescent="0.25">
      <c r="A281" s="982">
        <f t="shared" si="163"/>
        <v>1244</v>
      </c>
      <c r="B281" s="124">
        <f>SUBTOTAL(103,$J$29:J281)</f>
        <v>253</v>
      </c>
      <c r="C281" s="126">
        <v>45068</v>
      </c>
      <c r="D281" s="124" t="s">
        <v>176</v>
      </c>
      <c r="E281" s="127" t="s">
        <v>177</v>
      </c>
      <c r="F281" s="128" t="s">
        <v>177</v>
      </c>
      <c r="G281" s="127" t="s">
        <v>178</v>
      </c>
      <c r="H281" s="127" t="s">
        <v>179</v>
      </c>
      <c r="I281" s="127" t="s">
        <v>1249</v>
      </c>
      <c r="J281" s="152">
        <v>1244</v>
      </c>
      <c r="K281" s="127" t="s">
        <v>1249</v>
      </c>
      <c r="L281" s="130">
        <v>42014</v>
      </c>
      <c r="M281" s="127" t="s">
        <v>230</v>
      </c>
      <c r="N281" s="127" t="s">
        <v>245</v>
      </c>
      <c r="O281" s="127" t="s">
        <v>185</v>
      </c>
      <c r="P281" s="127" t="s">
        <v>186</v>
      </c>
      <c r="Q281" s="85" t="str">
        <f t="shared" si="213"/>
        <v/>
      </c>
      <c r="R281" s="130"/>
      <c r="S281" s="128"/>
      <c r="T281" s="131"/>
      <c r="U281" s="132">
        <v>203</v>
      </c>
      <c r="V281" s="121">
        <v>218.2</v>
      </c>
      <c r="W281" s="116">
        <v>0.98</v>
      </c>
      <c r="X281" s="116">
        <v>1.66</v>
      </c>
      <c r="Y281" s="116">
        <f t="shared" si="191"/>
        <v>0.98</v>
      </c>
      <c r="Z281" s="133">
        <v>1.454</v>
      </c>
      <c r="AA281" s="133">
        <v>0.83599999999999997</v>
      </c>
      <c r="AB281" s="133">
        <v>0.72</v>
      </c>
      <c r="AC281" s="121">
        <v>34.299999999999997</v>
      </c>
      <c r="AD281" s="134">
        <v>1.17</v>
      </c>
      <c r="AE281" s="124">
        <v>177.8</v>
      </c>
      <c r="AF281" s="128">
        <v>9.19</v>
      </c>
      <c r="AG281" s="128">
        <v>2271</v>
      </c>
      <c r="AH281" s="127">
        <v>2990</v>
      </c>
      <c r="AI281" s="127">
        <v>2990</v>
      </c>
      <c r="AJ281" s="135"/>
      <c r="AK281" s="128"/>
      <c r="AL281" s="131"/>
      <c r="AM281" s="124" t="s">
        <v>232</v>
      </c>
      <c r="AN281" s="136" t="s">
        <v>1250</v>
      </c>
      <c r="AO281" s="137">
        <v>76.459999999999994</v>
      </c>
      <c r="AP281" s="128">
        <v>2190</v>
      </c>
      <c r="AQ281" s="128">
        <v>396</v>
      </c>
      <c r="AR281" s="128"/>
      <c r="AS281" s="128"/>
      <c r="AT281" s="122"/>
      <c r="AU281" s="124" t="s">
        <v>189</v>
      </c>
      <c r="AV281" s="115">
        <f>VLOOKUP(J281,'[63]ТР нефть'!$J$28:$BP$638,39,0)</f>
        <v>549.99999140600005</v>
      </c>
      <c r="AW281" s="115" t="str">
        <f>VLOOKUP(J281,'[63]ТР нефть'!$J$28:$BP$638,40,0)</f>
        <v>ГП</v>
      </c>
      <c r="AX281" s="115">
        <f>VLOOKUP(J281,'[63]ТР нефть'!$J$28:$BP$638,41,0)</f>
        <v>999.99998437500005</v>
      </c>
      <c r="AY281" s="115" t="str">
        <f>VLOOKUP(J281,'[63]ТР нефть'!$J$28:$BP$638,42,0)</f>
        <v>ГП</v>
      </c>
      <c r="AZ281" s="115">
        <f>VLOOKUP(J281,'[63]ТР нефть'!$J$28:$BP$638,43,0)</f>
        <v>1349.999978906</v>
      </c>
      <c r="BA281" s="115" t="str">
        <f>VLOOKUP(J281,'[63]ТР нефть'!$J$28:$BP$638,44,0)</f>
        <v>ГП</v>
      </c>
      <c r="BB281" s="115">
        <f>VLOOKUP(J281,'[63]ТР нефть'!$J$28:$BP$638,45,0)</f>
        <v>1699.9999734380001</v>
      </c>
      <c r="BC281" s="115" t="str">
        <f>VLOOKUP(J281,'[63]ТР нефть'!$J$28:$BP$638,46,0)</f>
        <v>ЦКсОК 5/16</v>
      </c>
      <c r="BD281" s="115" t="str">
        <f>VLOOKUP(J281,'[63]ТР нефть'!$J$28:$BP$638,47,0)</f>
        <v>-</v>
      </c>
      <c r="BE281" s="115" t="str">
        <f>VLOOKUP(J281,'[63]ТР нефть'!$J$28:$BP$638,48,0)</f>
        <v>-</v>
      </c>
      <c r="BF281" s="115" t="str">
        <f>VLOOKUP(J281,'[63]ТР нефть'!$J$28:$BP$638,49,0)</f>
        <v>-</v>
      </c>
      <c r="BG281" s="115" t="str">
        <f>VLOOKUP(J281,'[63]ТР нефть'!$J$28:$BP$638,50,0)</f>
        <v>-</v>
      </c>
      <c r="BH281" s="115">
        <f>VLOOKUP(J281,'[63]ТР нефть'!$J$28:$BP$638,51,0)</f>
        <v>1740</v>
      </c>
      <c r="BI281" s="115" t="str">
        <f>VLOOKUP(J281,'[63]ТР нефть'!$J$28:$BP$638,52,0)</f>
        <v>закрыт</v>
      </c>
      <c r="BJ281" s="115" t="str">
        <f>IF(IFERROR(VLOOKUP(J281,'[63]ТР нефть'!$J$28:$BP$638,53,0),"-")=0,"-",IFERROR(VLOOKUP(J281,'[63]ТР нефть'!$J$28:$BP$638,53,0),"-"))</f>
        <v>-</v>
      </c>
      <c r="BK281" s="138" t="str">
        <f>IF(IFERROR(VLOOKUP(J281,'[63]ТР нефть'!$J$28:$BP$638,54,0),"-")=0,"-",IFERROR(VLOOKUP(J281,'[63]ТР нефть'!$J$28:$BP$638,54,0),"-"))</f>
        <v>-</v>
      </c>
      <c r="BL281" s="138" t="str">
        <f>IF(IFERROR(VLOOKUP(J281,'[63]ТР нефть'!$J$28:$BP$638,55,0),"-")=0,"-",IFERROR(VLOOKUP(J281,'[63]ТР нефть'!$J$28:$BP$638,55,0),"-"))</f>
        <v>-</v>
      </c>
      <c r="BM281" s="138" t="str">
        <f>IF(IFERROR(VLOOKUP(J281,'[63]ТР нефть'!$J$28:$BP$638,56,0),"-")=0,"-",IFERROR(VLOOKUP(J281,'[63]ТР нефть'!$J$28:$BP$638,56,0),"-"))</f>
        <v>-</v>
      </c>
      <c r="BN281" s="138" t="str">
        <f>IF(IFERROR(VLOOKUP(J281,'[63]ТР нефть'!$J$28:$BP$638,57,0),"-")=0,"-",IFERROR(VLOOKUP(J281,'[63]ТР нефть'!$J$28:$BP$638,57,0),"-"))</f>
        <v>-</v>
      </c>
      <c r="BO281" s="115" t="str">
        <f>IF(IFERROR(VLOOKUP(J281,'[63]ТР нефть'!$J$28:$BP$638,58,0),"-")=0,"-",IFERROR(VLOOKUP(J281,'[63]ТР нефть'!$J$28:$BP$638,58,0),"-"))</f>
        <v>-</v>
      </c>
      <c r="BP281" s="115" t="str">
        <f>IF(IFERROR(VLOOKUP(J281,'[63]ТР нефть'!$J$28:$BP$638,59,0),"-")=0,"-",IFERROR(VLOOKUP(J281,'[63]ТР нефть'!$J$28:$BP$638,59,0),"-"))</f>
        <v>-</v>
      </c>
      <c r="BQ281" s="138">
        <v>2140</v>
      </c>
      <c r="BR281" s="128">
        <v>1865.89</v>
      </c>
      <c r="BS281" s="115">
        <f t="shared" si="211"/>
        <v>274.1099999999999</v>
      </c>
      <c r="BT281" s="128">
        <v>73</v>
      </c>
      <c r="BU281" s="128">
        <v>5.5</v>
      </c>
      <c r="BV281" s="127">
        <v>18</v>
      </c>
      <c r="BW281" s="127" t="s">
        <v>217</v>
      </c>
      <c r="BX281" s="127" t="s">
        <v>218</v>
      </c>
      <c r="BY281" s="139">
        <v>24</v>
      </c>
      <c r="BZ281" s="139">
        <v>24</v>
      </c>
      <c r="CA281" s="138">
        <v>25</v>
      </c>
      <c r="CB281" s="138">
        <v>35</v>
      </c>
      <c r="CC281" s="138">
        <v>24</v>
      </c>
      <c r="CD281" s="135">
        <v>45017</v>
      </c>
      <c r="CE281" s="138">
        <v>69</v>
      </c>
      <c r="CF281" s="138">
        <v>71</v>
      </c>
      <c r="CG281" s="138" t="str">
        <f t="shared" si="212"/>
        <v>В работе</v>
      </c>
      <c r="CH281" s="138" t="s">
        <v>196</v>
      </c>
      <c r="CI281" s="138">
        <v>6</v>
      </c>
      <c r="CJ281" s="139"/>
      <c r="CK281" s="139">
        <f t="shared" si="207"/>
        <v>18</v>
      </c>
      <c r="CL281" s="99"/>
      <c r="CM281" s="99"/>
      <c r="CN281" s="140">
        <v>43</v>
      </c>
      <c r="CO281" s="141">
        <f t="shared" si="165"/>
        <v>10.032</v>
      </c>
      <c r="CP281" s="142">
        <v>12</v>
      </c>
      <c r="CQ281" s="143">
        <v>0</v>
      </c>
      <c r="CR281" s="138">
        <v>19</v>
      </c>
      <c r="CS281" s="139">
        <v>3.2</v>
      </c>
      <c r="CT281" s="138"/>
      <c r="CU281" s="138">
        <f t="shared" si="188"/>
        <v>15.8</v>
      </c>
      <c r="CV281" s="115">
        <f t="shared" si="189"/>
        <v>1574.9601275917066</v>
      </c>
      <c r="CW281" s="115">
        <f t="shared" si="166"/>
        <v>318.97926634768743</v>
      </c>
      <c r="CX281" s="133">
        <f t="shared" si="190"/>
        <v>0.46153846153846156</v>
      </c>
      <c r="CY281" s="116"/>
      <c r="CZ281" s="131"/>
      <c r="DA281" s="145" t="str">
        <f t="shared" si="167"/>
        <v>Газлифт</v>
      </c>
      <c r="DB281" s="146">
        <f t="shared" si="168"/>
        <v>10.032</v>
      </c>
      <c r="DC281" s="142">
        <f t="shared" si="203"/>
        <v>12</v>
      </c>
      <c r="DD281" s="119">
        <f t="shared" si="204"/>
        <v>0</v>
      </c>
      <c r="DE281" s="115">
        <f t="shared" si="169"/>
        <v>15.8</v>
      </c>
      <c r="DF281" s="121">
        <f t="shared" si="170"/>
        <v>3.2</v>
      </c>
      <c r="DG281" s="115">
        <f t="shared" si="171"/>
        <v>1574.9601275917066</v>
      </c>
      <c r="DH281" s="115">
        <f t="shared" si="172"/>
        <v>43</v>
      </c>
      <c r="DI281" s="147"/>
      <c r="DJ281" s="111">
        <v>42884</v>
      </c>
      <c r="DK281" s="112">
        <v>42014</v>
      </c>
      <c r="DL281" s="113">
        <f t="shared" ca="1" si="192"/>
        <v>3090</v>
      </c>
      <c r="DM281" s="114"/>
      <c r="DN281" s="114"/>
      <c r="DO281" s="114"/>
      <c r="DP281" s="114"/>
      <c r="DQ281" s="112">
        <v>42952</v>
      </c>
      <c r="DR281" s="114" t="s">
        <v>449</v>
      </c>
      <c r="DS281" s="114"/>
      <c r="DT281" s="115">
        <v>45</v>
      </c>
      <c r="DU281" s="116">
        <f t="shared" si="193"/>
        <v>0.5</v>
      </c>
      <c r="DV281" s="117">
        <f t="shared" si="194"/>
        <v>10.032</v>
      </c>
      <c r="DW281" s="118">
        <f t="shared" si="195"/>
        <v>12</v>
      </c>
      <c r="DX281" s="119">
        <f t="shared" si="173"/>
        <v>0</v>
      </c>
      <c r="DY281" s="115">
        <f t="shared" si="196"/>
        <v>15.8</v>
      </c>
      <c r="DZ281" s="117">
        <f t="shared" si="197"/>
        <v>0</v>
      </c>
      <c r="EA281" s="120">
        <f t="shared" si="197"/>
        <v>0</v>
      </c>
      <c r="EB281" s="119">
        <f t="shared" si="197"/>
        <v>0</v>
      </c>
      <c r="EC281" s="121">
        <f t="shared" si="198"/>
        <v>0</v>
      </c>
      <c r="ED281" s="122"/>
      <c r="EE281" s="145">
        <v>18</v>
      </c>
      <c r="EF281" s="115">
        <v>25</v>
      </c>
      <c r="EG281" s="115">
        <v>36</v>
      </c>
      <c r="EH281" s="115">
        <v>24</v>
      </c>
      <c r="EI281" s="128" t="s">
        <v>195</v>
      </c>
      <c r="EJ281" s="121">
        <v>24</v>
      </c>
      <c r="EK281" s="121">
        <v>0</v>
      </c>
      <c r="EL281" s="149">
        <v>10.032</v>
      </c>
      <c r="EM281" s="142">
        <v>12</v>
      </c>
      <c r="EN281" s="119">
        <v>0</v>
      </c>
      <c r="EO281" s="115">
        <v>19</v>
      </c>
      <c r="EP281" s="115">
        <v>1196.1722488038276</v>
      </c>
      <c r="EQ281" s="115">
        <v>74</v>
      </c>
      <c r="ER281" s="115">
        <v>7</v>
      </c>
      <c r="ES281" s="115">
        <v>43</v>
      </c>
      <c r="ET281" s="150">
        <v>0.46153846153846156</v>
      </c>
      <c r="EU281" s="145">
        <f t="shared" si="174"/>
        <v>18</v>
      </c>
      <c r="EV281" s="115">
        <f t="shared" si="175"/>
        <v>25</v>
      </c>
      <c r="EW281" s="115">
        <f t="shared" si="175"/>
        <v>35</v>
      </c>
      <c r="EX281" s="115">
        <f t="shared" si="175"/>
        <v>24</v>
      </c>
      <c r="EY281" s="115" t="str">
        <f t="shared" si="206"/>
        <v>Периодический</v>
      </c>
      <c r="EZ281" s="115">
        <f t="shared" si="206"/>
        <v>24</v>
      </c>
      <c r="FA281" s="115">
        <f t="shared" si="206"/>
        <v>24</v>
      </c>
      <c r="FB281" s="149">
        <f t="shared" si="209"/>
        <v>10.032</v>
      </c>
      <c r="FC281" s="142">
        <f t="shared" si="209"/>
        <v>12</v>
      </c>
      <c r="FD281" s="119">
        <f t="shared" si="209"/>
        <v>0</v>
      </c>
      <c r="FE281" s="121">
        <f t="shared" si="208"/>
        <v>19</v>
      </c>
      <c r="FF281" s="121">
        <f t="shared" si="199"/>
        <v>1574.9601275917066</v>
      </c>
      <c r="FG281" s="121">
        <f t="shared" si="177"/>
        <v>71</v>
      </c>
      <c r="FH281" s="121">
        <f t="shared" si="200"/>
        <v>3.2</v>
      </c>
      <c r="FI281" s="121">
        <f t="shared" si="205"/>
        <v>43</v>
      </c>
      <c r="FJ281" s="144">
        <f t="shared" si="178"/>
        <v>0.46153846153846156</v>
      </c>
      <c r="FK281" s="132">
        <f t="shared" si="179"/>
        <v>0</v>
      </c>
      <c r="FL281" s="115">
        <f t="shared" si="179"/>
        <v>0</v>
      </c>
      <c r="FM281" s="115">
        <f t="shared" si="179"/>
        <v>-1</v>
      </c>
      <c r="FN281" s="115">
        <f t="shared" si="162"/>
        <v>0</v>
      </c>
      <c r="FO281" s="115">
        <f t="shared" si="201"/>
        <v>0</v>
      </c>
      <c r="FP281" s="115">
        <f t="shared" si="201"/>
        <v>24</v>
      </c>
      <c r="FQ281" s="149">
        <f t="shared" si="201"/>
        <v>0</v>
      </c>
      <c r="FR281" s="142">
        <f t="shared" si="201"/>
        <v>0</v>
      </c>
      <c r="FS281" s="119">
        <f t="shared" si="201"/>
        <v>0</v>
      </c>
      <c r="FT281" s="121">
        <f t="shared" si="201"/>
        <v>0</v>
      </c>
      <c r="FU281" s="121">
        <f t="shared" si="180"/>
        <v>-3</v>
      </c>
      <c r="FV281" s="121">
        <f t="shared" si="180"/>
        <v>-3.8</v>
      </c>
      <c r="FW281" s="121">
        <f t="shared" si="181"/>
        <v>378.78787878787898</v>
      </c>
      <c r="FX281" s="121">
        <f t="shared" si="182"/>
        <v>0</v>
      </c>
      <c r="FY281" s="144">
        <f t="shared" si="182"/>
        <v>0</v>
      </c>
      <c r="FZ281" s="145"/>
      <c r="GA281" s="151"/>
      <c r="GB281" s="145"/>
      <c r="GC281" s="151" t="s">
        <v>1251</v>
      </c>
      <c r="GD281" s="997" t="s">
        <v>220</v>
      </c>
      <c r="GE281" s="1004"/>
      <c r="GF281" s="1004">
        <v>0</v>
      </c>
      <c r="GG281" s="1004" t="s">
        <v>199</v>
      </c>
      <c r="GH281" s="1004">
        <v>6.8552</v>
      </c>
      <c r="GI281" s="145"/>
      <c r="GJ281" s="996">
        <v>0</v>
      </c>
      <c r="GK281" s="145" t="s">
        <v>199</v>
      </c>
      <c r="GL281" s="996">
        <v>-2.2232000000000007</v>
      </c>
      <c r="GM281" s="1005"/>
      <c r="GN281" s="996">
        <v>0</v>
      </c>
      <c r="GO281" s="1006"/>
      <c r="GP281" s="996">
        <v>7.1896000000000626E-2</v>
      </c>
      <c r="GQ281" s="1006"/>
      <c r="GR281" s="996">
        <v>0</v>
      </c>
      <c r="GS281" s="1006"/>
      <c r="GT281" s="996">
        <v>-0.80673999999999957</v>
      </c>
      <c r="GU281" s="1006" t="s">
        <v>204</v>
      </c>
      <c r="GV281" s="996">
        <v>2.5079999999999991</v>
      </c>
      <c r="GW281" s="1006"/>
      <c r="GX281" s="1036">
        <v>0</v>
      </c>
      <c r="GY281" s="1006"/>
      <c r="GZ281" s="996">
        <v>0</v>
      </c>
      <c r="HA281" s="1006"/>
      <c r="HB281" s="996">
        <v>0</v>
      </c>
      <c r="HC281" s="1006" t="s">
        <v>223</v>
      </c>
      <c r="HD281" s="996">
        <v>-1.6720000000000006</v>
      </c>
      <c r="HE281" s="1006"/>
      <c r="HF281" s="996">
        <v>0</v>
      </c>
      <c r="HG281" s="1006"/>
      <c r="HH281" s="996">
        <v>0</v>
      </c>
      <c r="HI281" s="1006"/>
      <c r="HJ281" s="996">
        <v>0</v>
      </c>
      <c r="HK281" s="1006"/>
      <c r="HL281" s="996">
        <v>0</v>
      </c>
      <c r="HM281" s="1006"/>
      <c r="HN281" s="996">
        <v>0</v>
      </c>
      <c r="HO281" s="1006"/>
      <c r="HP281" s="996">
        <v>0</v>
      </c>
      <c r="HQ281" s="1006" t="s">
        <v>203</v>
      </c>
      <c r="HR281" s="996">
        <v>-3.0085549999999976</v>
      </c>
      <c r="HS281" s="1006"/>
      <c r="HT281" s="996">
        <v>0</v>
      </c>
      <c r="HU281" s="1006"/>
      <c r="HV281" s="996">
        <v>0</v>
      </c>
      <c r="HW281" s="1006"/>
      <c r="HX281" s="996">
        <v>0</v>
      </c>
      <c r="HY281" s="1006" t="s">
        <v>203</v>
      </c>
      <c r="HZ281" s="996">
        <v>-3.0921215600000007</v>
      </c>
      <c r="IA281" s="1006"/>
      <c r="IB281" s="996">
        <v>0</v>
      </c>
      <c r="IC281" s="1006" t="s">
        <v>203</v>
      </c>
      <c r="ID281" s="996">
        <v>-14.350682535200004</v>
      </c>
      <c r="IE281" s="1006" t="s">
        <v>25</v>
      </c>
      <c r="IF281" s="996">
        <v>23.406117495200004</v>
      </c>
      <c r="IG281" s="1006"/>
      <c r="IH281" s="996">
        <v>0</v>
      </c>
      <c r="II281" s="1006"/>
      <c r="IJ281" s="996">
        <v>0</v>
      </c>
      <c r="IK281" s="1006" t="s">
        <v>204</v>
      </c>
      <c r="IL281" s="996">
        <v>-8.2516543999999996</v>
      </c>
      <c r="IM281" s="1006"/>
      <c r="IN281" s="996">
        <v>0</v>
      </c>
      <c r="IO281" s="1006" t="s">
        <v>199</v>
      </c>
      <c r="IP281" s="996">
        <v>-2.5702184639999999</v>
      </c>
      <c r="IQ281" s="1006" t="s">
        <v>199</v>
      </c>
      <c r="IR281" s="996">
        <v>4.7404744640000001</v>
      </c>
      <c r="IS281" s="1006"/>
      <c r="IT281" s="996">
        <v>0</v>
      </c>
      <c r="IU281" s="1006"/>
      <c r="IV281" s="996">
        <v>0</v>
      </c>
      <c r="IW281" s="1006"/>
      <c r="IX281" s="996">
        <v>0</v>
      </c>
      <c r="IY281" s="1006" t="s">
        <v>204</v>
      </c>
      <c r="IZ281" s="996">
        <v>-4.9265647200000036</v>
      </c>
      <c r="JA281" s="1006"/>
      <c r="JB281" s="996">
        <v>-0.27273998399999755</v>
      </c>
      <c r="JC281" s="1006"/>
      <c r="JD281" s="996">
        <v>-0.84664729600000044</v>
      </c>
      <c r="JE281" s="1006" t="s">
        <v>204</v>
      </c>
      <c r="JF281" s="996">
        <v>1.2811064640000005</v>
      </c>
      <c r="JG281" s="1006"/>
      <c r="JH281" s="996">
        <v>-0.9441984639999994</v>
      </c>
      <c r="JI281" s="1006" t="s">
        <v>204</v>
      </c>
      <c r="JJ281" s="996">
        <v>2.2735020000000006</v>
      </c>
      <c r="JK281" s="1007" t="s">
        <v>204</v>
      </c>
      <c r="JL281" s="1007">
        <v>2.3821819999999985</v>
      </c>
      <c r="JM281" s="1007" t="s">
        <v>204</v>
      </c>
      <c r="JN281" s="1007">
        <v>1.6720000000000006</v>
      </c>
      <c r="JO281" s="1008"/>
      <c r="JP281" s="1007">
        <v>0</v>
      </c>
      <c r="JQ281" s="1008" t="s">
        <v>204</v>
      </c>
      <c r="JR281" s="1007">
        <v>5.8519999999999994</v>
      </c>
      <c r="JS281" s="1008" t="s">
        <v>204</v>
      </c>
      <c r="JT281" s="1007">
        <v>-5.8519999999999994</v>
      </c>
      <c r="JU281" s="1008"/>
      <c r="JV281" s="1007">
        <v>0</v>
      </c>
      <c r="JW281" s="1008" t="s">
        <v>197</v>
      </c>
      <c r="JX281" s="1007">
        <v>0</v>
      </c>
      <c r="JY281" s="1008"/>
      <c r="JZ281" s="1007">
        <v>0</v>
      </c>
      <c r="KA281" s="1008"/>
      <c r="KB281" s="1007">
        <v>0</v>
      </c>
      <c r="KC281" s="1008" t="s">
        <v>204</v>
      </c>
      <c r="KD281" s="1007">
        <v>2.5079999999999991</v>
      </c>
      <c r="KE281" s="1008" t="s">
        <v>204</v>
      </c>
      <c r="KF281" s="1007">
        <v>0.8360000000000003</v>
      </c>
      <c r="KG281" s="1008" t="s">
        <v>204</v>
      </c>
      <c r="KH281" s="1007">
        <v>0.75240000000000151</v>
      </c>
      <c r="KI281" s="1008"/>
      <c r="KJ281" s="1007">
        <v>0</v>
      </c>
      <c r="KK281" s="1008"/>
      <c r="KL281" s="1007">
        <v>0</v>
      </c>
      <c r="KM281" s="1008" t="s">
        <v>240</v>
      </c>
      <c r="KN281" s="1007">
        <v>-3.5827616000000013</v>
      </c>
      <c r="KO281" s="1008" t="s">
        <v>206</v>
      </c>
      <c r="KP281" s="1007">
        <v>2.4116928000000009</v>
      </c>
      <c r="KQ281" s="1008" t="s">
        <v>206</v>
      </c>
      <c r="KR281" s="1007">
        <v>0.76142879999999913</v>
      </c>
      <c r="KS281" s="1008">
        <v>0</v>
      </c>
      <c r="KT281" s="1007">
        <v>0</v>
      </c>
      <c r="KU281" s="1008">
        <v>0</v>
      </c>
      <c r="KV281" s="1007">
        <v>0</v>
      </c>
      <c r="KW281" s="1008">
        <v>0</v>
      </c>
      <c r="KX281" s="1007">
        <v>0</v>
      </c>
      <c r="KY281" s="1008">
        <v>0</v>
      </c>
      <c r="KZ281" s="1007">
        <v>0</v>
      </c>
      <c r="LA281" s="1008">
        <v>0</v>
      </c>
      <c r="LB281" s="1007">
        <v>0</v>
      </c>
      <c r="LC281" s="1008" t="s">
        <v>555</v>
      </c>
      <c r="LD281" s="1007">
        <v>-1.5047999999999995</v>
      </c>
      <c r="LE281" s="1008">
        <v>0</v>
      </c>
      <c r="LF281" s="1007">
        <v>0</v>
      </c>
      <c r="LG281" s="1008">
        <v>0</v>
      </c>
      <c r="LH281" s="1007">
        <v>0</v>
      </c>
      <c r="LI281" s="1008">
        <v>0</v>
      </c>
      <c r="LJ281" s="1007">
        <v>0</v>
      </c>
      <c r="LK281" s="1008">
        <v>0</v>
      </c>
      <c r="LL281" s="1007">
        <v>0</v>
      </c>
      <c r="LM281" s="1008" t="s">
        <v>25</v>
      </c>
      <c r="LN281" s="1007">
        <v>11.403040000000001</v>
      </c>
      <c r="LO281" s="1008">
        <v>0</v>
      </c>
      <c r="LP281" s="1007">
        <v>0</v>
      </c>
      <c r="LQ281" s="1008">
        <v>0</v>
      </c>
      <c r="LR281" s="1007">
        <v>0</v>
      </c>
      <c r="LS281" s="1008">
        <v>0</v>
      </c>
      <c r="LT281" s="1007">
        <v>0</v>
      </c>
      <c r="LU281" s="1008">
        <v>0</v>
      </c>
      <c r="LV281" s="1007">
        <v>0</v>
      </c>
      <c r="LW281" s="1008">
        <v>0</v>
      </c>
      <c r="LX281" s="1007">
        <v>2.6909999999999998</v>
      </c>
      <c r="LY281" s="1009">
        <v>0</v>
      </c>
      <c r="LZ281" s="1010">
        <v>0</v>
      </c>
      <c r="MA281" s="1011">
        <v>0</v>
      </c>
      <c r="MB281" s="1012">
        <v>0</v>
      </c>
      <c r="MC281" s="995"/>
      <c r="MD281" s="996"/>
      <c r="ME281" s="997" t="s">
        <v>220</v>
      </c>
      <c r="MF281" s="997"/>
      <c r="MG281" s="998"/>
      <c r="NR281" s="1000"/>
      <c r="NS281" s="1000"/>
      <c r="NT281" s="1001"/>
      <c r="NU281" s="1000"/>
      <c r="NV281" s="1001"/>
      <c r="NX281" s="1002"/>
      <c r="NZ281" s="1001"/>
      <c r="OA281" s="1001"/>
      <c r="OC281" s="1003"/>
      <c r="OD281" s="1003"/>
      <c r="OE281" s="1001"/>
      <c r="OF281" s="1003"/>
      <c r="OG281" s="1003"/>
      <c r="QX281" s="1000">
        <f>CN281-CA281</f>
        <v>18</v>
      </c>
      <c r="ASU281" s="999" t="s">
        <v>208</v>
      </c>
    </row>
    <row r="282" spans="1:466 1191:1191" ht="21" customHeight="1" x14ac:dyDescent="0.25">
      <c r="A282" s="982">
        <f t="shared" si="163"/>
        <v>1246</v>
      </c>
      <c r="B282" s="124">
        <f>SUBTOTAL(103,$J$29:J282)</f>
        <v>254</v>
      </c>
      <c r="C282" s="126">
        <v>45068</v>
      </c>
      <c r="D282" s="124" t="s">
        <v>176</v>
      </c>
      <c r="E282" s="127" t="s">
        <v>177</v>
      </c>
      <c r="F282" s="128" t="s">
        <v>177</v>
      </c>
      <c r="G282" s="127" t="s">
        <v>178</v>
      </c>
      <c r="H282" s="127" t="s">
        <v>179</v>
      </c>
      <c r="I282" s="127" t="s">
        <v>601</v>
      </c>
      <c r="J282" s="152">
        <v>1246</v>
      </c>
      <c r="K282" s="127" t="s">
        <v>1252</v>
      </c>
      <c r="L282" s="130">
        <v>42144</v>
      </c>
      <c r="M282" s="127" t="s">
        <v>230</v>
      </c>
      <c r="N282" s="127" t="s">
        <v>184</v>
      </c>
      <c r="O282" s="127" t="s">
        <v>185</v>
      </c>
      <c r="P282" s="127" t="s">
        <v>186</v>
      </c>
      <c r="Q282" s="85" t="str">
        <f t="shared" si="213"/>
        <v/>
      </c>
      <c r="R282" s="130"/>
      <c r="S282" s="128"/>
      <c r="T282" s="131"/>
      <c r="U282" s="132">
        <v>203</v>
      </c>
      <c r="V282" s="121">
        <v>218.2</v>
      </c>
      <c r="W282" s="116">
        <v>0.98</v>
      </c>
      <c r="X282" s="116">
        <v>1.66</v>
      </c>
      <c r="Y282" s="116">
        <f t="shared" si="191"/>
        <v>0.98080354989630048</v>
      </c>
      <c r="Z282" s="133">
        <v>1.454</v>
      </c>
      <c r="AA282" s="133">
        <v>0.83599999999999997</v>
      </c>
      <c r="AB282" s="133">
        <v>0.72</v>
      </c>
      <c r="AC282" s="121">
        <v>34.299999999999997</v>
      </c>
      <c r="AD282" s="134">
        <v>1.17</v>
      </c>
      <c r="AE282" s="124">
        <v>177.8</v>
      </c>
      <c r="AF282" s="128">
        <v>9.19</v>
      </c>
      <c r="AG282" s="128">
        <v>2330</v>
      </c>
      <c r="AH282" s="127">
        <v>3095</v>
      </c>
      <c r="AI282" s="127">
        <v>3095</v>
      </c>
      <c r="AJ282" s="135"/>
      <c r="AK282" s="128"/>
      <c r="AL282" s="131"/>
      <c r="AM282" s="124" t="s">
        <v>232</v>
      </c>
      <c r="AN282" s="136" t="s">
        <v>1253</v>
      </c>
      <c r="AO282" s="137">
        <v>24.56</v>
      </c>
      <c r="AP282" s="128">
        <v>2330</v>
      </c>
      <c r="AQ282" s="128">
        <v>420.84</v>
      </c>
      <c r="AR282" s="128"/>
      <c r="AS282" s="128"/>
      <c r="AT282" s="122"/>
      <c r="AU282" s="124" t="s">
        <v>189</v>
      </c>
      <c r="AV282" s="115">
        <f>VLOOKUP(J282,'[63]ТР нефть'!$J$28:$BP$638,39,0)</f>
        <v>374.999994141</v>
      </c>
      <c r="AW282" s="115" t="str">
        <f>VLOOKUP(J282,'[63]ТР нефть'!$J$28:$BP$638,40,0)</f>
        <v>ГП</v>
      </c>
      <c r="AX282" s="115">
        <f>VLOOKUP(J282,'[63]ТР нефть'!$J$28:$BP$638,41,0)</f>
        <v>745.00003300799995</v>
      </c>
      <c r="AY282" s="115" t="str">
        <f>VLOOKUP(J282,'[63]ТР нефть'!$J$28:$BP$638,42,0)</f>
        <v>ГП</v>
      </c>
      <c r="AZ282" s="115">
        <f>VLOOKUP(J282,'[63]ТР нефть'!$J$28:$BP$638,43,0)</f>
        <v>1139.9999970700001</v>
      </c>
      <c r="BA282" s="115" t="str">
        <f>VLOOKUP(J282,'[63]ТР нефть'!$J$28:$BP$638,44,0)</f>
        <v>ГК 90 5/32</v>
      </c>
      <c r="BB282" s="115">
        <f>VLOOKUP(J282,'[63]ТР нефть'!$J$28:$BP$638,45,0)</f>
        <v>1490.0000660159999</v>
      </c>
      <c r="BC282" s="115" t="str">
        <f>VLOOKUP(J282,'[63]ТР нефть'!$J$28:$BP$638,46,0)</f>
        <v>ГК83 5/32</v>
      </c>
      <c r="BD282" s="115" t="str">
        <f>VLOOKUP(J282,'[63]ТР нефть'!$J$28:$BP$638,47,0)</f>
        <v>-</v>
      </c>
      <c r="BE282" s="115" t="str">
        <f>VLOOKUP(J282,'[63]ТР нефть'!$J$28:$BP$638,48,0)</f>
        <v>-</v>
      </c>
      <c r="BF282" s="115" t="str">
        <f>VLOOKUP(J282,'[63]ТР нефть'!$J$28:$BP$638,49,0)</f>
        <v>-</v>
      </c>
      <c r="BG282" s="115" t="str">
        <f>VLOOKUP(J282,'[63]ТР нефть'!$J$28:$BP$638,50,0)</f>
        <v>-</v>
      </c>
      <c r="BH282" s="115">
        <f>VLOOKUP(J282,'[63]ТР нефть'!$J$28:$BP$638,51,0)</f>
        <v>1800</v>
      </c>
      <c r="BI282" s="115" t="str">
        <f>VLOOKUP(J282,'[63]ТР нефть'!$J$28:$BP$638,52,0)</f>
        <v>открыт</v>
      </c>
      <c r="BJ282" s="115" t="str">
        <f>IF(IFERROR(VLOOKUP(J282,'[63]ТР нефть'!$J$28:$BP$638,53,0),"-")=0,"-",IFERROR(VLOOKUP(J282,'[63]ТР нефть'!$J$28:$BP$638,53,0),"-"))</f>
        <v>-</v>
      </c>
      <c r="BK282" s="138" t="str">
        <f>IF(IFERROR(VLOOKUP(J282,'[63]ТР нефть'!$J$28:$BP$638,54,0),"-")=0,"-",IFERROR(VLOOKUP(J282,'[63]ТР нефть'!$J$28:$BP$638,54,0),"-"))</f>
        <v>-</v>
      </c>
      <c r="BL282" s="138" t="str">
        <f>IF(IFERROR(VLOOKUP(J282,'[63]ТР нефть'!$J$28:$BP$638,55,0),"-")=0,"-",IFERROR(VLOOKUP(J282,'[63]ТР нефть'!$J$28:$BP$638,55,0),"-"))</f>
        <v>-</v>
      </c>
      <c r="BM282" s="138" t="str">
        <f>IF(IFERROR(VLOOKUP(J282,'[63]ТР нефть'!$J$28:$BP$638,56,0),"-")=0,"-",IFERROR(VLOOKUP(J282,'[63]ТР нефть'!$J$28:$BP$638,56,0),"-"))</f>
        <v>-</v>
      </c>
      <c r="BN282" s="138" t="str">
        <f>IF(IFERROR(VLOOKUP(J282,'[63]ТР нефть'!$J$28:$BP$638,57,0),"-")=0,"-",IFERROR(VLOOKUP(J282,'[63]ТР нефть'!$J$28:$BP$638,57,0),"-"))</f>
        <v>-</v>
      </c>
      <c r="BO282" s="115" t="str">
        <f>IF(IFERROR(VLOOKUP(J282,'[63]ТР нефть'!$J$28:$BP$638,58,0),"-")=0,"-",IFERROR(VLOOKUP(J282,'[63]ТР нефть'!$J$28:$BP$638,58,0),"-"))</f>
        <v>-</v>
      </c>
      <c r="BP282" s="115" t="str">
        <f>IF(IFERROR(VLOOKUP(J282,'[63]ТР нефть'!$J$28:$BP$638,59,0),"-")=0,"-",IFERROR(VLOOKUP(J282,'[63]ТР нефть'!$J$28:$BP$638,59,0),"-"))</f>
        <v>-</v>
      </c>
      <c r="BQ282" s="138">
        <v>2340</v>
      </c>
      <c r="BR282" s="128">
        <v>1907.91</v>
      </c>
      <c r="BS282" s="115">
        <f t="shared" si="211"/>
        <v>432.08999999999992</v>
      </c>
      <c r="BT282" s="128">
        <v>73</v>
      </c>
      <c r="BU282" s="128">
        <v>5.5</v>
      </c>
      <c r="BV282" s="127">
        <v>18</v>
      </c>
      <c r="BW282" s="127" t="s">
        <v>217</v>
      </c>
      <c r="BX282" s="127" t="s">
        <v>195</v>
      </c>
      <c r="BY282" s="139">
        <v>24</v>
      </c>
      <c r="BZ282" s="139">
        <v>0</v>
      </c>
      <c r="CA282" s="80">
        <v>18</v>
      </c>
      <c r="CB282" s="138">
        <v>30</v>
      </c>
      <c r="CC282" s="138">
        <v>17</v>
      </c>
      <c r="CD282" s="135">
        <v>45017</v>
      </c>
      <c r="CE282" s="138">
        <v>88</v>
      </c>
      <c r="CF282" s="138">
        <v>82</v>
      </c>
      <c r="CG282" s="138" t="s">
        <v>1131</v>
      </c>
      <c r="CH282" s="138" t="s">
        <v>196</v>
      </c>
      <c r="CI282" s="127">
        <v>5</v>
      </c>
      <c r="CJ282" s="138"/>
      <c r="CK282" s="138">
        <f t="shared" si="207"/>
        <v>39</v>
      </c>
      <c r="CL282" s="99"/>
      <c r="CM282" s="99"/>
      <c r="CN282" s="140">
        <v>57</v>
      </c>
      <c r="CO282" s="141">
        <f t="shared" si="165"/>
        <v>2.5029839999999997</v>
      </c>
      <c r="CP282" s="142">
        <v>3</v>
      </c>
      <c r="CQ282" s="143">
        <v>0.2</v>
      </c>
      <c r="CR282" s="138">
        <v>21</v>
      </c>
      <c r="CS282" s="139">
        <v>6</v>
      </c>
      <c r="CT282" s="138"/>
      <c r="CU282" s="138">
        <f>IF(CR282&lt;&gt;"0",CR282-CS282,"0")</f>
        <v>15</v>
      </c>
      <c r="CV282" s="115">
        <f>(CR282-CS282)*1000/CO282</f>
        <v>5992.8469378949294</v>
      </c>
      <c r="CW282" s="115">
        <f t="shared" si="166"/>
        <v>2390.5030096432893</v>
      </c>
      <c r="CX282" s="133">
        <f t="shared" si="190"/>
        <v>9.6774193548387094E-2</v>
      </c>
      <c r="CY282" s="116"/>
      <c r="CZ282" s="131"/>
      <c r="DA282" s="145" t="str">
        <f t="shared" si="167"/>
        <v>Газлифт</v>
      </c>
      <c r="DB282" s="146">
        <f t="shared" si="168"/>
        <v>2.5029839999999997</v>
      </c>
      <c r="DC282" s="142">
        <f t="shared" si="203"/>
        <v>3</v>
      </c>
      <c r="DD282" s="119">
        <f t="shared" si="204"/>
        <v>0.2</v>
      </c>
      <c r="DE282" s="115">
        <f t="shared" si="169"/>
        <v>15</v>
      </c>
      <c r="DF282" s="121">
        <f t="shared" si="170"/>
        <v>6</v>
      </c>
      <c r="DG282" s="115">
        <f t="shared" si="171"/>
        <v>5992.8469378949294</v>
      </c>
      <c r="DH282" s="115">
        <f t="shared" si="172"/>
        <v>57</v>
      </c>
      <c r="DI282" s="147"/>
      <c r="DJ282" s="111">
        <v>43533</v>
      </c>
      <c r="DK282" s="112">
        <v>42144</v>
      </c>
      <c r="DL282" s="113">
        <f t="shared" ca="1" si="192"/>
        <v>2960</v>
      </c>
      <c r="DM282" s="114"/>
      <c r="DN282" s="114"/>
      <c r="DO282" s="114"/>
      <c r="DP282" s="114"/>
      <c r="DQ282" s="112">
        <v>43212</v>
      </c>
      <c r="DR282" s="114" t="s">
        <v>198</v>
      </c>
      <c r="DS282" s="114"/>
      <c r="DT282" s="115">
        <v>57</v>
      </c>
      <c r="DU282" s="116">
        <f t="shared" si="193"/>
        <v>9.6774193548387094E-2</v>
      </c>
      <c r="DV282" s="117">
        <f t="shared" si="194"/>
        <v>2.5029839999999997</v>
      </c>
      <c r="DW282" s="118">
        <f t="shared" si="195"/>
        <v>3</v>
      </c>
      <c r="DX282" s="119">
        <f t="shared" si="173"/>
        <v>0.2</v>
      </c>
      <c r="DY282" s="115">
        <f t="shared" si="196"/>
        <v>15</v>
      </c>
      <c r="DZ282" s="117">
        <f t="shared" si="197"/>
        <v>0</v>
      </c>
      <c r="EA282" s="120">
        <f t="shared" si="197"/>
        <v>0</v>
      </c>
      <c r="EB282" s="119">
        <f t="shared" si="197"/>
        <v>0</v>
      </c>
      <c r="EC282" s="121">
        <f t="shared" si="198"/>
        <v>0</v>
      </c>
      <c r="ED282" s="122"/>
      <c r="EE282" s="145">
        <v>18</v>
      </c>
      <c r="EF282" s="148">
        <v>19</v>
      </c>
      <c r="EG282" s="115">
        <v>28</v>
      </c>
      <c r="EH282" s="115">
        <v>18</v>
      </c>
      <c r="EI282" s="128" t="s">
        <v>195</v>
      </c>
      <c r="EJ282" s="121">
        <v>24</v>
      </c>
      <c r="EK282" s="121">
        <v>0</v>
      </c>
      <c r="EL282" s="149">
        <v>2.5029839999999997</v>
      </c>
      <c r="EM282" s="142">
        <v>3</v>
      </c>
      <c r="EN282" s="119">
        <v>0.2</v>
      </c>
      <c r="EO282" s="115">
        <v>21</v>
      </c>
      <c r="EP282" s="115">
        <v>5992.8469378949294</v>
      </c>
      <c r="EQ282" s="115">
        <v>82</v>
      </c>
      <c r="ER282" s="115">
        <v>6</v>
      </c>
      <c r="ES282" s="115">
        <v>57</v>
      </c>
      <c r="ET282" s="150">
        <v>9.6774193548387094E-2</v>
      </c>
      <c r="EU282" s="145">
        <f t="shared" si="174"/>
        <v>18</v>
      </c>
      <c r="EV282" s="115">
        <f t="shared" si="175"/>
        <v>18</v>
      </c>
      <c r="EW282" s="115">
        <f t="shared" si="175"/>
        <v>30</v>
      </c>
      <c r="EX282" s="115">
        <f t="shared" si="175"/>
        <v>17</v>
      </c>
      <c r="EY282" s="115" t="str">
        <f t="shared" si="206"/>
        <v>Постоянный</v>
      </c>
      <c r="EZ282" s="115">
        <f t="shared" si="206"/>
        <v>24</v>
      </c>
      <c r="FA282" s="115">
        <f t="shared" si="206"/>
        <v>0</v>
      </c>
      <c r="FB282" s="149">
        <f t="shared" si="209"/>
        <v>2.5029839999999997</v>
      </c>
      <c r="FC282" s="142">
        <f t="shared" si="209"/>
        <v>3</v>
      </c>
      <c r="FD282" s="119">
        <f t="shared" si="209"/>
        <v>0.2</v>
      </c>
      <c r="FE282" s="121">
        <f t="shared" si="208"/>
        <v>21</v>
      </c>
      <c r="FF282" s="121">
        <f t="shared" si="199"/>
        <v>5992.8469378949294</v>
      </c>
      <c r="FG282" s="121">
        <f t="shared" si="177"/>
        <v>82</v>
      </c>
      <c r="FH282" s="121">
        <f t="shared" si="200"/>
        <v>6</v>
      </c>
      <c r="FI282" s="121">
        <f t="shared" si="205"/>
        <v>57</v>
      </c>
      <c r="FJ282" s="144">
        <f t="shared" si="178"/>
        <v>9.6774193548387094E-2</v>
      </c>
      <c r="FK282" s="132">
        <f t="shared" si="179"/>
        <v>0</v>
      </c>
      <c r="FL282" s="115">
        <f t="shared" si="179"/>
        <v>-1</v>
      </c>
      <c r="FM282" s="115">
        <f t="shared" si="179"/>
        <v>2</v>
      </c>
      <c r="FN282" s="115">
        <f t="shared" si="162"/>
        <v>-1</v>
      </c>
      <c r="FO282" s="115">
        <f t="shared" si="201"/>
        <v>0</v>
      </c>
      <c r="FP282" s="115">
        <f t="shared" si="201"/>
        <v>0</v>
      </c>
      <c r="FQ282" s="149">
        <f t="shared" si="201"/>
        <v>0</v>
      </c>
      <c r="FR282" s="142">
        <f t="shared" si="201"/>
        <v>0</v>
      </c>
      <c r="FS282" s="119">
        <f t="shared" si="201"/>
        <v>0</v>
      </c>
      <c r="FT282" s="121">
        <f t="shared" si="201"/>
        <v>0</v>
      </c>
      <c r="FU282" s="121">
        <f t="shared" si="180"/>
        <v>0</v>
      </c>
      <c r="FV282" s="121">
        <f t="shared" si="180"/>
        <v>0</v>
      </c>
      <c r="FW282" s="121">
        <f t="shared" si="181"/>
        <v>0</v>
      </c>
      <c r="FX282" s="121">
        <f t="shared" si="182"/>
        <v>0</v>
      </c>
      <c r="FY282" s="144">
        <f t="shared" si="182"/>
        <v>0</v>
      </c>
      <c r="FZ282" s="145"/>
      <c r="GA282" s="151" t="s">
        <v>925</v>
      </c>
      <c r="GB282" s="145" t="s">
        <v>223</v>
      </c>
      <c r="GC282" s="1053" t="s">
        <v>1254</v>
      </c>
      <c r="GD282" s="997" t="s">
        <v>220</v>
      </c>
      <c r="GE282" s="1004" t="s">
        <v>223</v>
      </c>
      <c r="GF282" s="1004">
        <v>-1.6686560000000004</v>
      </c>
      <c r="GG282" s="1004" t="s">
        <v>199</v>
      </c>
      <c r="GH282" s="1004">
        <v>1.5017904</v>
      </c>
      <c r="GI282" s="145"/>
      <c r="GJ282" s="996">
        <v>0</v>
      </c>
      <c r="GK282" s="145"/>
      <c r="GL282" s="996">
        <v>0</v>
      </c>
      <c r="GM282" s="1005"/>
      <c r="GN282" s="996">
        <v>0</v>
      </c>
      <c r="GO282" s="1006"/>
      <c r="GP282" s="996">
        <v>0</v>
      </c>
      <c r="GQ282" s="1006"/>
      <c r="GR282" s="996">
        <v>0.34242560000000033</v>
      </c>
      <c r="GS282" s="1006"/>
      <c r="GT282" s="996">
        <v>-0.32269600000000009</v>
      </c>
      <c r="GU282" s="1006"/>
      <c r="GV282" s="996">
        <v>0</v>
      </c>
      <c r="GW282" s="1006"/>
      <c r="GX282" s="1036">
        <v>0</v>
      </c>
      <c r="GY282" s="1006"/>
      <c r="GZ282" s="996">
        <v>-0.54988000000000037</v>
      </c>
      <c r="HA282" s="1006"/>
      <c r="HB282" s="996">
        <v>0</v>
      </c>
      <c r="HC282" s="1006"/>
      <c r="HD282" s="996">
        <v>0</v>
      </c>
      <c r="HE282" s="1006"/>
      <c r="HF282" s="996">
        <v>0.76995600000000142</v>
      </c>
      <c r="HG282" s="1006"/>
      <c r="HH282" s="996">
        <v>0</v>
      </c>
      <c r="HI282" s="1006" t="s">
        <v>223</v>
      </c>
      <c r="HJ282" s="996">
        <v>-2.4578399999999991</v>
      </c>
      <c r="HK282" s="1006"/>
      <c r="HL282" s="996">
        <v>0</v>
      </c>
      <c r="HM282" s="1006" t="s">
        <v>199</v>
      </c>
      <c r="HN282" s="996">
        <v>1.1556863999999987</v>
      </c>
      <c r="HO282" s="1006"/>
      <c r="HP282" s="996">
        <v>-0.91546180000000099</v>
      </c>
      <c r="HQ282" s="1006"/>
      <c r="HR282" s="996">
        <v>0.9075754000000007</v>
      </c>
      <c r="HS282" s="1006"/>
      <c r="HT282" s="996">
        <v>0</v>
      </c>
      <c r="HU282" s="1006"/>
      <c r="HV282" s="996">
        <v>0</v>
      </c>
      <c r="HW282" s="1006"/>
      <c r="HX282" s="996">
        <v>0</v>
      </c>
      <c r="HY282" s="1006"/>
      <c r="HZ282" s="996">
        <v>0</v>
      </c>
      <c r="IA282" s="1006"/>
      <c r="IB282" s="996">
        <v>0</v>
      </c>
      <c r="IC282" s="1006"/>
      <c r="ID282" s="996">
        <v>0</v>
      </c>
      <c r="IE282" s="1006"/>
      <c r="IF282" s="996">
        <v>0</v>
      </c>
      <c r="IG282" s="1006"/>
      <c r="IH282" s="996">
        <v>0</v>
      </c>
      <c r="II282" s="1006"/>
      <c r="IJ282" s="996">
        <v>0</v>
      </c>
      <c r="IK282" s="1006" t="s">
        <v>204</v>
      </c>
      <c r="IL282" s="996">
        <v>-4.1611899999999995</v>
      </c>
      <c r="IM282" s="1006" t="s">
        <v>204</v>
      </c>
      <c r="IN282" s="996">
        <v>-2.376748000000001</v>
      </c>
      <c r="IO282" s="1006"/>
      <c r="IP282" s="996">
        <v>0</v>
      </c>
      <c r="IQ282" s="1006" t="s">
        <v>204</v>
      </c>
      <c r="IR282" s="996">
        <v>-3.3456720000000004</v>
      </c>
      <c r="IS282" s="1006" t="s">
        <v>204</v>
      </c>
      <c r="IT282" s="996">
        <v>7.7748000000000008</v>
      </c>
      <c r="IU282" s="1006"/>
      <c r="IV282" s="996">
        <v>0</v>
      </c>
      <c r="IW282" s="1006"/>
      <c r="IX282" s="996">
        <v>0</v>
      </c>
      <c r="IY282" s="1006" t="s">
        <v>199</v>
      </c>
      <c r="IZ282" s="996">
        <v>-1.73888</v>
      </c>
      <c r="JA282" s="1006" t="s">
        <v>199</v>
      </c>
      <c r="JB282" s="996">
        <v>-3.6951199999999993</v>
      </c>
      <c r="JC282" s="1006" t="s">
        <v>204</v>
      </c>
      <c r="JD282" s="996">
        <v>7.534031999999999</v>
      </c>
      <c r="JE282" s="1006"/>
      <c r="JF282" s="996">
        <v>0</v>
      </c>
      <c r="JG282" s="1006"/>
      <c r="JH282" s="996">
        <v>0</v>
      </c>
      <c r="JI282" s="1006"/>
      <c r="JJ282" s="996">
        <v>0</v>
      </c>
      <c r="JK282" s="1007"/>
      <c r="JL282" s="1007">
        <v>0</v>
      </c>
      <c r="JM282" s="1007" t="s">
        <v>199</v>
      </c>
      <c r="JN282" s="1007">
        <v>-2.5019808000000001</v>
      </c>
      <c r="JO282" s="1008"/>
      <c r="JP282" s="1007">
        <v>0</v>
      </c>
      <c r="JQ282" s="1008">
        <v>0</v>
      </c>
      <c r="JR282" s="1007">
        <v>0</v>
      </c>
      <c r="JS282" s="1008">
        <v>0</v>
      </c>
      <c r="JT282" s="1007">
        <v>0</v>
      </c>
      <c r="JU282" s="1008"/>
      <c r="JV282" s="1007">
        <v>0</v>
      </c>
      <c r="JW282" s="1008" t="s">
        <v>206</v>
      </c>
      <c r="JX282" s="1007">
        <v>-1.6679871999999998</v>
      </c>
      <c r="JY282" s="1008"/>
      <c r="JZ282" s="1007">
        <v>0</v>
      </c>
      <c r="KA282" s="1008"/>
      <c r="KB282" s="1007">
        <v>0</v>
      </c>
      <c r="KC282" s="1008"/>
      <c r="KD282" s="1007">
        <v>0</v>
      </c>
      <c r="KE282" s="1008"/>
      <c r="KF282" s="1007">
        <v>0</v>
      </c>
      <c r="KG282" s="1008"/>
      <c r="KH282" s="1007">
        <v>0</v>
      </c>
      <c r="KI282" s="1008" t="s">
        <v>203</v>
      </c>
      <c r="KJ282" s="1007">
        <v>-3.3359743999999996</v>
      </c>
      <c r="KK282" s="1008"/>
      <c r="KL282" s="1007">
        <v>0</v>
      </c>
      <c r="KM282" s="1008"/>
      <c r="KN282" s="1007">
        <v>0</v>
      </c>
      <c r="KO282" s="1008"/>
      <c r="KP282" s="1007">
        <v>0</v>
      </c>
      <c r="KQ282" s="1008">
        <v>0</v>
      </c>
      <c r="KR282" s="1007">
        <v>0</v>
      </c>
      <c r="KS282" s="1008" t="s">
        <v>206</v>
      </c>
      <c r="KT282" s="1007">
        <v>1.4177891199999983</v>
      </c>
      <c r="KU282" s="1008" t="s">
        <v>203</v>
      </c>
      <c r="KV282" s="1007">
        <v>-5.0416317599999978</v>
      </c>
      <c r="KW282" s="1008" t="s">
        <v>342</v>
      </c>
      <c r="KX282" s="1007">
        <v>0</v>
      </c>
      <c r="KY282" s="1008" t="s">
        <v>206</v>
      </c>
      <c r="KZ282" s="1007">
        <v>4.6816000000000013</v>
      </c>
      <c r="LA282" s="1008" t="s">
        <v>206</v>
      </c>
      <c r="LB282" s="1007">
        <v>2.4812479999999999</v>
      </c>
      <c r="LC282" s="1008">
        <v>0</v>
      </c>
      <c r="LD282" s="1007">
        <v>0</v>
      </c>
      <c r="LE282" s="1008">
        <v>0</v>
      </c>
      <c r="LF282" s="1007">
        <v>0</v>
      </c>
      <c r="LG282" s="1008">
        <v>0</v>
      </c>
      <c r="LH282" s="1007">
        <v>-7.4863799999999996</v>
      </c>
      <c r="LI282" s="1008">
        <v>0</v>
      </c>
      <c r="LJ282" s="1007">
        <v>0</v>
      </c>
      <c r="LK282" s="1008">
        <v>0</v>
      </c>
      <c r="LL282" s="1007">
        <v>0</v>
      </c>
      <c r="LM282" s="1008">
        <v>0</v>
      </c>
      <c r="LN282" s="1007">
        <v>0</v>
      </c>
      <c r="LO282" s="1008" t="s">
        <v>207</v>
      </c>
      <c r="LP282" s="1007">
        <v>-2.7955000000000001</v>
      </c>
      <c r="LQ282" s="1008">
        <v>0</v>
      </c>
      <c r="LR282" s="1007">
        <v>-0.831819999999999</v>
      </c>
      <c r="LS282" s="1008">
        <v>0</v>
      </c>
      <c r="LT282" s="1007">
        <v>0.831819999999999</v>
      </c>
      <c r="LU282" s="1008">
        <v>0</v>
      </c>
      <c r="LV282" s="1007">
        <v>0</v>
      </c>
      <c r="LW282" s="1008">
        <v>0</v>
      </c>
      <c r="LX282" s="1007">
        <v>0</v>
      </c>
      <c r="LY282" s="1009">
        <v>0</v>
      </c>
      <c r="LZ282" s="1010">
        <v>4.9992000000000001</v>
      </c>
      <c r="MA282" s="1011">
        <v>0</v>
      </c>
      <c r="MB282" s="1012">
        <v>0</v>
      </c>
      <c r="MC282" s="995"/>
      <c r="MD282" s="996"/>
      <c r="ME282" s="997" t="s">
        <v>220</v>
      </c>
      <c r="MF282" s="997"/>
      <c r="MG282" s="998"/>
      <c r="NR282" s="1000"/>
      <c r="NS282" s="1000"/>
      <c r="NT282" s="1001"/>
      <c r="NU282" s="1000"/>
      <c r="NV282" s="1001"/>
      <c r="NX282" s="1002"/>
      <c r="NZ282" s="1001"/>
      <c r="OA282" s="1001"/>
      <c r="OC282" s="1003"/>
      <c r="OD282" s="1003"/>
      <c r="OE282" s="1001"/>
      <c r="OF282" s="1003"/>
      <c r="OG282" s="1003"/>
      <c r="QX282" s="1000">
        <f>CN282-CA282</f>
        <v>39</v>
      </c>
      <c r="ASU282" s="999" t="s">
        <v>225</v>
      </c>
    </row>
    <row r="283" spans="1:466 1191:1191" ht="21" customHeight="1" x14ac:dyDescent="0.25">
      <c r="A283" s="982">
        <f t="shared" si="163"/>
        <v>1247</v>
      </c>
      <c r="B283" s="124">
        <f>SUBTOTAL(103,$J$29:J283)</f>
        <v>255</v>
      </c>
      <c r="C283" s="126">
        <v>45068</v>
      </c>
      <c r="D283" s="124" t="s">
        <v>176</v>
      </c>
      <c r="E283" s="127" t="s">
        <v>177</v>
      </c>
      <c r="F283" s="128" t="s">
        <v>177</v>
      </c>
      <c r="G283" s="127" t="s">
        <v>178</v>
      </c>
      <c r="H283" s="127" t="s">
        <v>179</v>
      </c>
      <c r="I283" s="127" t="s">
        <v>601</v>
      </c>
      <c r="J283" s="152">
        <v>1247</v>
      </c>
      <c r="K283" s="127" t="s">
        <v>601</v>
      </c>
      <c r="L283" s="130">
        <v>42073</v>
      </c>
      <c r="M283" s="127" t="s">
        <v>230</v>
      </c>
      <c r="N283" s="127" t="s">
        <v>245</v>
      </c>
      <c r="O283" s="127" t="s">
        <v>185</v>
      </c>
      <c r="P283" s="127" t="s">
        <v>186</v>
      </c>
      <c r="Q283" s="85" t="str">
        <f t="shared" si="213"/>
        <v/>
      </c>
      <c r="R283" s="130"/>
      <c r="S283" s="128"/>
      <c r="T283" s="131"/>
      <c r="U283" s="132">
        <v>203</v>
      </c>
      <c r="V283" s="121">
        <v>218.2</v>
      </c>
      <c r="W283" s="116">
        <v>0.98</v>
      </c>
      <c r="X283" s="116">
        <v>1.66</v>
      </c>
      <c r="Y283" s="116">
        <f t="shared" si="191"/>
        <v>0.98</v>
      </c>
      <c r="Z283" s="133">
        <v>1.454</v>
      </c>
      <c r="AA283" s="133">
        <v>0.83599999999999997</v>
      </c>
      <c r="AB283" s="133">
        <v>0.72</v>
      </c>
      <c r="AC283" s="121">
        <v>34.299999999999997</v>
      </c>
      <c r="AD283" s="134">
        <v>1.17</v>
      </c>
      <c r="AE283" s="124">
        <v>177.8</v>
      </c>
      <c r="AF283" s="128">
        <v>9.19</v>
      </c>
      <c r="AG283" s="128">
        <v>2367</v>
      </c>
      <c r="AH283" s="127" t="s">
        <v>1255</v>
      </c>
      <c r="AI283" s="127" t="s">
        <v>1255</v>
      </c>
      <c r="AJ283" s="135"/>
      <c r="AK283" s="128"/>
      <c r="AL283" s="131"/>
      <c r="AM283" s="124" t="s">
        <v>232</v>
      </c>
      <c r="AN283" s="136" t="s">
        <v>1256</v>
      </c>
      <c r="AO283" s="137">
        <v>57.16</v>
      </c>
      <c r="AP283" s="128">
        <v>2700</v>
      </c>
      <c r="AQ283" s="128">
        <v>203.43</v>
      </c>
      <c r="AR283" s="128"/>
      <c r="AS283" s="128"/>
      <c r="AT283" s="122"/>
      <c r="AU283" s="124" t="s">
        <v>189</v>
      </c>
      <c r="AV283" s="115">
        <f>VLOOKUP(J283,'[63]ТР нефть'!$J$28:$BP$638,39,0)</f>
        <v>399.99999374999999</v>
      </c>
      <c r="AW283" s="115" t="str">
        <f>VLOOKUP(J283,'[63]ТР нефть'!$J$28:$BP$638,40,0)</f>
        <v>ГП</v>
      </c>
      <c r="AX283" s="115">
        <f>VLOOKUP(J283,'[63]ТР нефть'!$J$28:$BP$638,41,0)</f>
        <v>780.00001757799998</v>
      </c>
      <c r="AY283" s="115" t="str">
        <f>VLOOKUP(J283,'[63]ТР нефть'!$J$28:$BP$638,42,0)</f>
        <v>ГП</v>
      </c>
      <c r="AZ283" s="115">
        <f>VLOOKUP(J283,'[63]ТР нефть'!$J$28:$BP$638,43,0)</f>
        <v>1130.000012109</v>
      </c>
      <c r="BA283" s="115" t="str">
        <f>VLOOKUP(J283,'[63]ТР нефть'!$J$28:$BP$638,44,0)</f>
        <v>ГП</v>
      </c>
      <c r="BB283" s="115">
        <f>VLOOKUP(J283,'[63]ТР нефть'!$J$28:$BP$638,45,0)</f>
        <v>1449.9999773439999</v>
      </c>
      <c r="BC283" s="115" t="str">
        <f>VLOOKUP(J283,'[63]ТР нефть'!$J$28:$BP$638,46,0)</f>
        <v>ГК86 5/32</v>
      </c>
      <c r="BD283" s="115" t="str">
        <f>VLOOKUP(J283,'[63]ТР нефть'!$J$28:$BP$638,47,0)</f>
        <v>-</v>
      </c>
      <c r="BE283" s="115" t="str">
        <f>VLOOKUP(J283,'[63]ТР нефть'!$J$28:$BP$638,48,0)</f>
        <v>-</v>
      </c>
      <c r="BF283" s="115" t="str">
        <f>VLOOKUP(J283,'[63]ТР нефть'!$J$28:$BP$638,49,0)</f>
        <v>-</v>
      </c>
      <c r="BG283" s="115" t="str">
        <f>VLOOKUP(J283,'[63]ТР нефть'!$J$28:$BP$638,50,0)</f>
        <v>-</v>
      </c>
      <c r="BH283" s="115">
        <f>VLOOKUP(J283,'[63]ТР нефть'!$J$28:$BP$638,51,0)</f>
        <v>1810</v>
      </c>
      <c r="BI283" s="115" t="str">
        <f>VLOOKUP(J283,'[63]ТР нефть'!$J$28:$BP$638,52,0)</f>
        <v>открыт</v>
      </c>
      <c r="BJ283" s="115" t="str">
        <f>IF(IFERROR(VLOOKUP(J283,'[63]ТР нефть'!$J$28:$BP$638,53,0),"-")=0,"-",IFERROR(VLOOKUP(J283,'[63]ТР нефть'!$J$28:$BP$638,53,0),"-"))</f>
        <v>-</v>
      </c>
      <c r="BK283" s="138" t="str">
        <f>IF(IFERROR(VLOOKUP(J283,'[63]ТР нефть'!$J$28:$BP$638,54,0),"-")=0,"-",IFERROR(VLOOKUP(J283,'[63]ТР нефть'!$J$28:$BP$638,54,0),"-"))</f>
        <v>-</v>
      </c>
      <c r="BL283" s="138" t="str">
        <f>IF(IFERROR(VLOOKUP(J283,'[63]ТР нефть'!$J$28:$BP$638,55,0),"-")=0,"-",IFERROR(VLOOKUP(J283,'[63]ТР нефть'!$J$28:$BP$638,55,0),"-"))</f>
        <v>-</v>
      </c>
      <c r="BM283" s="138" t="str">
        <f>IF(IFERROR(VLOOKUP(J283,'[63]ТР нефть'!$J$28:$BP$638,56,0),"-")=0,"-",IFERROR(VLOOKUP(J283,'[63]ТР нефть'!$J$28:$BP$638,56,0),"-"))</f>
        <v>-</v>
      </c>
      <c r="BN283" s="138" t="str">
        <f>IF(IFERROR(VLOOKUP(J283,'[63]ТР нефть'!$J$28:$BP$638,57,0),"-")=0,"-",IFERROR(VLOOKUP(J283,'[63]ТР нефть'!$J$28:$BP$638,57,0),"-"))</f>
        <v>-</v>
      </c>
      <c r="BO283" s="115" t="str">
        <f>IF(IFERROR(VLOOKUP(J283,'[63]ТР нефть'!$J$28:$BP$638,58,0),"-")=0,"-",IFERROR(VLOOKUP(J283,'[63]ТР нефть'!$J$28:$BP$638,58,0),"-"))</f>
        <v>-</v>
      </c>
      <c r="BP283" s="115" t="str">
        <f>IF(IFERROR(VLOOKUP(J283,'[63]ТР нефть'!$J$28:$BP$638,59,0),"-")=0,"-",IFERROR(VLOOKUP(J283,'[63]ТР нефть'!$J$28:$BP$638,59,0),"-"))</f>
        <v>-</v>
      </c>
      <c r="BQ283" s="138">
        <v>2377</v>
      </c>
      <c r="BR283" s="128">
        <v>1938.87</v>
      </c>
      <c r="BS283" s="115">
        <f t="shared" si="211"/>
        <v>438.13000000000011</v>
      </c>
      <c r="BT283" s="128">
        <v>73</v>
      </c>
      <c r="BU283" s="128">
        <v>5.5</v>
      </c>
      <c r="BV283" s="127">
        <v>18</v>
      </c>
      <c r="BW283" s="127" t="s">
        <v>217</v>
      </c>
      <c r="BX283" s="127" t="s">
        <v>195</v>
      </c>
      <c r="BY283" s="139">
        <v>24</v>
      </c>
      <c r="BZ283" s="139">
        <v>0</v>
      </c>
      <c r="CA283" s="80">
        <v>18</v>
      </c>
      <c r="CB283" s="138">
        <v>29</v>
      </c>
      <c r="CC283" s="138">
        <v>17</v>
      </c>
      <c r="CD283" s="135">
        <v>45017</v>
      </c>
      <c r="CE283" s="138">
        <v>65</v>
      </c>
      <c r="CF283" s="138">
        <v>82</v>
      </c>
      <c r="CG283" s="138" t="str">
        <f t="shared" si="212"/>
        <v>В работе</v>
      </c>
      <c r="CH283" s="138" t="s">
        <v>196</v>
      </c>
      <c r="CI283" s="138">
        <v>5</v>
      </c>
      <c r="CJ283" s="139"/>
      <c r="CK283" s="139">
        <f t="shared" si="207"/>
        <v>22</v>
      </c>
      <c r="CL283" s="99"/>
      <c r="CM283" s="99"/>
      <c r="CN283" s="140">
        <v>40</v>
      </c>
      <c r="CO283" s="141">
        <f t="shared" si="165"/>
        <v>7.524</v>
      </c>
      <c r="CP283" s="142">
        <v>9</v>
      </c>
      <c r="CQ283" s="143">
        <v>0</v>
      </c>
      <c r="CR283" s="138">
        <v>13.1</v>
      </c>
      <c r="CS283" s="139">
        <v>7.2</v>
      </c>
      <c r="CT283" s="138"/>
      <c r="CU283" s="138">
        <f t="shared" si="188"/>
        <v>5.8999999999999995</v>
      </c>
      <c r="CV283" s="115">
        <f t="shared" si="189"/>
        <v>784.15736310473142</v>
      </c>
      <c r="CW283" s="115">
        <f t="shared" si="166"/>
        <v>956.93779904306223</v>
      </c>
      <c r="CX283" s="133">
        <f t="shared" si="190"/>
        <v>0.36</v>
      </c>
      <c r="CY283" s="116"/>
      <c r="CZ283" s="131"/>
      <c r="DA283" s="145" t="str">
        <f t="shared" si="167"/>
        <v>Газлифт</v>
      </c>
      <c r="DB283" s="146">
        <f t="shared" si="168"/>
        <v>7.524</v>
      </c>
      <c r="DC283" s="142">
        <f t="shared" si="203"/>
        <v>9</v>
      </c>
      <c r="DD283" s="119">
        <f t="shared" si="204"/>
        <v>0</v>
      </c>
      <c r="DE283" s="115">
        <f t="shared" si="169"/>
        <v>5.8999999999999995</v>
      </c>
      <c r="DF283" s="121">
        <f t="shared" si="170"/>
        <v>7.2</v>
      </c>
      <c r="DG283" s="115">
        <f t="shared" si="171"/>
        <v>784.15736310473142</v>
      </c>
      <c r="DH283" s="115">
        <f t="shared" si="172"/>
        <v>40</v>
      </c>
      <c r="DI283" s="147"/>
      <c r="DJ283" s="111">
        <v>43590</v>
      </c>
      <c r="DK283" s="112">
        <v>42063</v>
      </c>
      <c r="DL283" s="113">
        <f t="shared" ca="1" si="192"/>
        <v>3041</v>
      </c>
      <c r="DM283" s="114"/>
      <c r="DN283" s="114"/>
      <c r="DO283" s="114"/>
      <c r="DP283" s="114"/>
      <c r="DQ283" s="112">
        <v>43597</v>
      </c>
      <c r="DR283" s="114" t="s">
        <v>198</v>
      </c>
      <c r="DS283" s="114"/>
      <c r="DT283" s="115">
        <v>47</v>
      </c>
      <c r="DU283" s="116">
        <f t="shared" si="193"/>
        <v>0.5</v>
      </c>
      <c r="DV283" s="117">
        <f t="shared" si="194"/>
        <v>7.524</v>
      </c>
      <c r="DW283" s="118">
        <f t="shared" si="195"/>
        <v>9</v>
      </c>
      <c r="DX283" s="119">
        <f t="shared" si="173"/>
        <v>0</v>
      </c>
      <c r="DY283" s="115">
        <f t="shared" si="196"/>
        <v>5.8999999999999995</v>
      </c>
      <c r="DZ283" s="117">
        <f t="shared" si="197"/>
        <v>0</v>
      </c>
      <c r="EA283" s="120">
        <f t="shared" si="197"/>
        <v>0</v>
      </c>
      <c r="EB283" s="119">
        <f t="shared" si="197"/>
        <v>0</v>
      </c>
      <c r="EC283" s="121">
        <f t="shared" si="198"/>
        <v>0</v>
      </c>
      <c r="ED283" s="122"/>
      <c r="EE283" s="145">
        <v>18</v>
      </c>
      <c r="EF283" s="148">
        <v>18</v>
      </c>
      <c r="EG283" s="115">
        <v>32</v>
      </c>
      <c r="EH283" s="115">
        <v>17</v>
      </c>
      <c r="EI283" s="128" t="s">
        <v>195</v>
      </c>
      <c r="EJ283" s="121">
        <v>24</v>
      </c>
      <c r="EK283" s="121">
        <v>0</v>
      </c>
      <c r="EL283" s="149">
        <v>7.0224000000000002</v>
      </c>
      <c r="EM283" s="142">
        <v>8.4</v>
      </c>
      <c r="EN283" s="119">
        <v>0</v>
      </c>
      <c r="EO283" s="115">
        <v>13.1</v>
      </c>
      <c r="EP283" s="115">
        <v>840.16860332649787</v>
      </c>
      <c r="EQ283" s="115">
        <v>82</v>
      </c>
      <c r="ER283" s="115">
        <v>7.2</v>
      </c>
      <c r="ES283" s="115">
        <v>40</v>
      </c>
      <c r="ET283" s="150">
        <v>0.33600000000000002</v>
      </c>
      <c r="EU283" s="145">
        <f t="shared" si="174"/>
        <v>18</v>
      </c>
      <c r="EV283" s="115">
        <f t="shared" si="175"/>
        <v>18</v>
      </c>
      <c r="EW283" s="115">
        <f t="shared" si="175"/>
        <v>29</v>
      </c>
      <c r="EX283" s="115">
        <f t="shared" si="175"/>
        <v>17</v>
      </c>
      <c r="EY283" s="115" t="str">
        <f t="shared" si="206"/>
        <v>Постоянный</v>
      </c>
      <c r="EZ283" s="115">
        <f t="shared" si="206"/>
        <v>24</v>
      </c>
      <c r="FA283" s="115">
        <f t="shared" si="206"/>
        <v>0</v>
      </c>
      <c r="FB283" s="149">
        <f t="shared" si="209"/>
        <v>7.524</v>
      </c>
      <c r="FC283" s="142">
        <f t="shared" si="209"/>
        <v>9</v>
      </c>
      <c r="FD283" s="119">
        <f t="shared" si="209"/>
        <v>0</v>
      </c>
      <c r="FE283" s="121">
        <f t="shared" si="208"/>
        <v>13.1</v>
      </c>
      <c r="FF283" s="121">
        <f t="shared" si="199"/>
        <v>784.15736310473142</v>
      </c>
      <c r="FG283" s="121">
        <f t="shared" si="177"/>
        <v>82</v>
      </c>
      <c r="FH283" s="121">
        <f t="shared" si="200"/>
        <v>7.2</v>
      </c>
      <c r="FI283" s="121">
        <f t="shared" si="205"/>
        <v>40</v>
      </c>
      <c r="FJ283" s="144">
        <f t="shared" si="178"/>
        <v>0.36</v>
      </c>
      <c r="FK283" s="132">
        <f t="shared" si="179"/>
        <v>0</v>
      </c>
      <c r="FL283" s="115">
        <f t="shared" si="179"/>
        <v>0</v>
      </c>
      <c r="FM283" s="115">
        <f t="shared" si="179"/>
        <v>-3</v>
      </c>
      <c r="FN283" s="115">
        <f t="shared" si="162"/>
        <v>0</v>
      </c>
      <c r="FO283" s="115">
        <f t="shared" si="201"/>
        <v>0</v>
      </c>
      <c r="FP283" s="115">
        <f t="shared" si="201"/>
        <v>0</v>
      </c>
      <c r="FQ283" s="149">
        <f t="shared" si="201"/>
        <v>0.50159999999999982</v>
      </c>
      <c r="FR283" s="142">
        <f t="shared" si="201"/>
        <v>0.59999999999999964</v>
      </c>
      <c r="FS283" s="119">
        <f t="shared" si="201"/>
        <v>0</v>
      </c>
      <c r="FT283" s="121">
        <f t="shared" si="201"/>
        <v>0</v>
      </c>
      <c r="FU283" s="121">
        <f t="shared" si="180"/>
        <v>0</v>
      </c>
      <c r="FV283" s="121">
        <f t="shared" si="180"/>
        <v>0</v>
      </c>
      <c r="FW283" s="121">
        <f t="shared" si="181"/>
        <v>-56.011240221766457</v>
      </c>
      <c r="FX283" s="121">
        <f t="shared" si="182"/>
        <v>0</v>
      </c>
      <c r="FY283" s="144">
        <f t="shared" si="182"/>
        <v>2.3999999999999966E-2</v>
      </c>
      <c r="FZ283" s="145"/>
      <c r="GA283" s="151"/>
      <c r="GB283" s="145" t="s">
        <v>199</v>
      </c>
      <c r="GC283" s="151" t="s">
        <v>1257</v>
      </c>
      <c r="GD283" s="997" t="s">
        <v>220</v>
      </c>
      <c r="GE283" s="1004" t="s">
        <v>199</v>
      </c>
      <c r="GF283" s="1004">
        <v>-1.8977199999999987</v>
      </c>
      <c r="GG283" s="1004"/>
      <c r="GH283" s="1004">
        <v>0</v>
      </c>
      <c r="GI283" s="145"/>
      <c r="GJ283" s="996">
        <v>0</v>
      </c>
      <c r="GK283" s="145"/>
      <c r="GL283" s="996">
        <v>0</v>
      </c>
      <c r="GM283" s="1005"/>
      <c r="GN283" s="996">
        <v>0</v>
      </c>
      <c r="GO283" s="1006"/>
      <c r="GP283" s="996">
        <v>0.10704143999999971</v>
      </c>
      <c r="GQ283" s="1006" t="s">
        <v>221</v>
      </c>
      <c r="GR283" s="996">
        <v>-6.2349214400000008</v>
      </c>
      <c r="GS283" s="1006" t="s">
        <v>221</v>
      </c>
      <c r="GT283" s="996">
        <v>7.524</v>
      </c>
      <c r="GU283" s="1006" t="s">
        <v>199</v>
      </c>
      <c r="GV283" s="996">
        <v>2.508</v>
      </c>
      <c r="GW283" s="1006" t="s">
        <v>199</v>
      </c>
      <c r="GX283" s="1036">
        <v>-1.2740640000000001</v>
      </c>
      <c r="GY283" s="1006"/>
      <c r="GZ283" s="996">
        <v>-9.9359999999997228E-3</v>
      </c>
      <c r="HA283" s="1006" t="s">
        <v>199</v>
      </c>
      <c r="HB283" s="996">
        <v>2.0304767999999997</v>
      </c>
      <c r="HC283" s="1006" t="s">
        <v>199</v>
      </c>
      <c r="HD283" s="996">
        <v>-2.5004760000000008</v>
      </c>
      <c r="HE283" s="1006"/>
      <c r="HF283" s="996">
        <v>0</v>
      </c>
      <c r="HG283" s="1006"/>
      <c r="HH283" s="996">
        <v>0</v>
      </c>
      <c r="HI283" s="1006"/>
      <c r="HJ283" s="996">
        <v>0.83349200000000057</v>
      </c>
      <c r="HK283" s="1006"/>
      <c r="HL283" s="996">
        <v>0</v>
      </c>
      <c r="HM283" s="1006"/>
      <c r="HN283" s="996">
        <v>0</v>
      </c>
      <c r="HO283" s="1006" t="s">
        <v>204</v>
      </c>
      <c r="HP283" s="996">
        <v>-1.2502380000000004</v>
      </c>
      <c r="HQ283" s="1006" t="s">
        <v>199</v>
      </c>
      <c r="HR283" s="996">
        <v>2.9172220000000006</v>
      </c>
      <c r="HS283" s="1006"/>
      <c r="HT283" s="996">
        <v>0</v>
      </c>
      <c r="HU283" s="1006"/>
      <c r="HV283" s="996">
        <v>0</v>
      </c>
      <c r="HW283" s="1006"/>
      <c r="HX283" s="996">
        <v>0</v>
      </c>
      <c r="HY283" s="1006" t="s">
        <v>204</v>
      </c>
      <c r="HZ283" s="996">
        <v>-2.2504283999999997</v>
      </c>
      <c r="IA283" s="1006"/>
      <c r="IB283" s="996">
        <v>0</v>
      </c>
      <c r="IC283" s="1006" t="s">
        <v>199</v>
      </c>
      <c r="ID283" s="996">
        <v>4.1674599999999993</v>
      </c>
      <c r="IE283" s="1006" t="s">
        <v>199</v>
      </c>
      <c r="IF283" s="996">
        <v>-2.8338727999999991</v>
      </c>
      <c r="IG283" s="1006"/>
      <c r="IH283" s="996">
        <v>0</v>
      </c>
      <c r="II283" s="1006"/>
      <c r="IJ283" s="996">
        <v>0</v>
      </c>
      <c r="IK283" s="1006"/>
      <c r="IL283" s="996">
        <v>0</v>
      </c>
      <c r="IM283" s="1006"/>
      <c r="IN283" s="996">
        <v>0.1009051999999997</v>
      </c>
      <c r="IO283" s="1006" t="s">
        <v>199</v>
      </c>
      <c r="IP283" s="996">
        <v>-2.4346828</v>
      </c>
      <c r="IQ283" s="1006" t="s">
        <v>199</v>
      </c>
      <c r="IR283" s="996">
        <v>-1.7443139999999993</v>
      </c>
      <c r="IS283" s="1006" t="s">
        <v>204</v>
      </c>
      <c r="IT283" s="996">
        <v>-2.4989711999999997</v>
      </c>
      <c r="IU283" s="1006"/>
      <c r="IV283" s="996">
        <v>0</v>
      </c>
      <c r="IW283" s="1006"/>
      <c r="IX283" s="996">
        <v>0</v>
      </c>
      <c r="IY283" s="1006"/>
      <c r="IZ283" s="996">
        <v>-0.83299039999999991</v>
      </c>
      <c r="JA283" s="1006" t="s">
        <v>204</v>
      </c>
      <c r="JB283" s="996">
        <v>4.9979423999999995</v>
      </c>
      <c r="JC283" s="1006"/>
      <c r="JD283" s="996">
        <v>0</v>
      </c>
      <c r="JE283" s="1006"/>
      <c r="JF283" s="996">
        <v>0</v>
      </c>
      <c r="JG283" s="1006"/>
      <c r="JH283" s="996">
        <v>0</v>
      </c>
      <c r="JI283" s="1006"/>
      <c r="JJ283" s="996">
        <v>0</v>
      </c>
      <c r="JK283" s="1007" t="s">
        <v>204</v>
      </c>
      <c r="JL283" s="1007">
        <v>-2.9059360000000005</v>
      </c>
      <c r="JM283" s="1007"/>
      <c r="JN283" s="1007">
        <v>0</v>
      </c>
      <c r="JO283" s="1008"/>
      <c r="JP283" s="1007">
        <v>0</v>
      </c>
      <c r="JQ283" s="1008">
        <v>0</v>
      </c>
      <c r="JR283" s="1007">
        <v>0</v>
      </c>
      <c r="JS283" s="1008" t="s">
        <v>203</v>
      </c>
      <c r="JT283" s="1007">
        <v>-7.2230399999999975</v>
      </c>
      <c r="JU283" s="1008" t="s">
        <v>203</v>
      </c>
      <c r="JV283" s="1007">
        <v>6.2084871199999974</v>
      </c>
      <c r="JW283" s="1008" t="s">
        <v>25</v>
      </c>
      <c r="JX283" s="1007">
        <v>2.2274216799999991</v>
      </c>
      <c r="JY283" s="1008"/>
      <c r="JZ283" s="1007">
        <v>0</v>
      </c>
      <c r="KA283" s="1008"/>
      <c r="KB283" s="1007">
        <v>0</v>
      </c>
      <c r="KC283" s="1008"/>
      <c r="KD283" s="1007">
        <v>0</v>
      </c>
      <c r="KE283" s="1008" t="s">
        <v>206</v>
      </c>
      <c r="KF283" s="1007">
        <v>-2.5057427999999984</v>
      </c>
      <c r="KG283" s="1008" t="s">
        <v>207</v>
      </c>
      <c r="KH283" s="1007">
        <v>6.2643569999999995</v>
      </c>
      <c r="KI283" s="1008" t="s">
        <v>207</v>
      </c>
      <c r="KJ283" s="1007">
        <v>-4.5938618</v>
      </c>
      <c r="KK283" s="1008"/>
      <c r="KL283" s="1007">
        <v>0</v>
      </c>
      <c r="KM283" s="1008" t="s">
        <v>240</v>
      </c>
      <c r="KN283" s="1007">
        <v>-2.3840211999999994</v>
      </c>
      <c r="KO283" s="1008"/>
      <c r="KP283" s="1007">
        <v>0</v>
      </c>
      <c r="KQ283" s="1008" t="s">
        <v>240</v>
      </c>
      <c r="KR283" s="1007">
        <v>-3.47776</v>
      </c>
      <c r="KS283" s="1008" t="s">
        <v>207</v>
      </c>
      <c r="KT283" s="1007">
        <v>8.36</v>
      </c>
      <c r="KU283" s="1008" t="s">
        <v>204</v>
      </c>
      <c r="KV283" s="1007">
        <v>1.6719999999999997</v>
      </c>
      <c r="KW283" s="1008" t="s">
        <v>204</v>
      </c>
      <c r="KX283" s="1007">
        <v>-4.1800000000000006</v>
      </c>
      <c r="KY283" s="1008" t="s">
        <v>206</v>
      </c>
      <c r="KZ283" s="1007">
        <v>-2.4758975999999997</v>
      </c>
      <c r="LA283" s="1008">
        <v>0</v>
      </c>
      <c r="LB283" s="1007">
        <v>0</v>
      </c>
      <c r="LC283" s="1008">
        <v>0</v>
      </c>
      <c r="LD283" s="1007">
        <v>0</v>
      </c>
      <c r="LE283" s="1008" t="s">
        <v>204</v>
      </c>
      <c r="LF283" s="1007">
        <v>-1.6679872000000007</v>
      </c>
      <c r="LG283" s="1008">
        <v>0</v>
      </c>
      <c r="LH283" s="1007">
        <v>0</v>
      </c>
      <c r="LI283" s="1008">
        <v>0</v>
      </c>
      <c r="LJ283" s="1007">
        <v>0</v>
      </c>
      <c r="LK283" s="1008" t="s">
        <v>206</v>
      </c>
      <c r="LL283" s="1007">
        <v>1.7513865599999985</v>
      </c>
      <c r="LM283" s="1008">
        <v>0</v>
      </c>
      <c r="LN283" s="1007">
        <v>0</v>
      </c>
      <c r="LO283" s="1008" t="s">
        <v>206</v>
      </c>
      <c r="LP283" s="1007">
        <v>-1.9253161599999999</v>
      </c>
      <c r="LQ283" s="1008">
        <v>0</v>
      </c>
      <c r="LR283" s="1007">
        <v>0</v>
      </c>
      <c r="LS283" s="1008" t="s">
        <v>206</v>
      </c>
      <c r="LT283" s="1007">
        <v>1.6679871999999989</v>
      </c>
      <c r="LU283" s="1008">
        <v>0</v>
      </c>
      <c r="LV283" s="1007">
        <v>0.95752742999999996</v>
      </c>
      <c r="LW283" s="1008">
        <v>0</v>
      </c>
      <c r="LX283" s="1007">
        <v>0</v>
      </c>
      <c r="LY283" s="1009">
        <v>0</v>
      </c>
      <c r="LZ283" s="1010">
        <v>0</v>
      </c>
      <c r="MA283" s="1011">
        <v>0</v>
      </c>
      <c r="MB283" s="1012">
        <v>-0.18147199999997801</v>
      </c>
      <c r="MC283" s="995"/>
      <c r="MD283" s="996"/>
      <c r="ME283" s="997" t="s">
        <v>220</v>
      </c>
      <c r="MF283" s="997"/>
      <c r="MG283" s="998"/>
      <c r="NR283" s="1000"/>
      <c r="NS283" s="1000"/>
      <c r="NT283" s="1001"/>
      <c r="NU283" s="1000"/>
      <c r="NV283" s="1001"/>
      <c r="NX283" s="1002"/>
      <c r="NZ283" s="1001"/>
      <c r="OA283" s="1001"/>
      <c r="OC283" s="1003"/>
      <c r="OD283" s="1003"/>
      <c r="OE283" s="1001"/>
      <c r="OF283" s="1003"/>
      <c r="OG283" s="1003"/>
      <c r="OH283" s="1003"/>
      <c r="OI283" s="1016"/>
      <c r="QX283" s="1000">
        <f>CN283-CA283</f>
        <v>22</v>
      </c>
      <c r="ASU283" s="999" t="s">
        <v>208</v>
      </c>
    </row>
    <row r="284" spans="1:466 1191:1191" ht="21" customHeight="1" x14ac:dyDescent="0.25">
      <c r="A284" s="982">
        <f t="shared" si="163"/>
        <v>1249</v>
      </c>
      <c r="B284" s="124">
        <f>SUBTOTAL(103,$J$29:J284)</f>
        <v>256</v>
      </c>
      <c r="C284" s="126">
        <v>45068</v>
      </c>
      <c r="D284" s="124" t="s">
        <v>176</v>
      </c>
      <c r="E284" s="127" t="s">
        <v>177</v>
      </c>
      <c r="F284" s="128" t="s">
        <v>177</v>
      </c>
      <c r="G284" s="127" t="s">
        <v>178</v>
      </c>
      <c r="H284" s="127" t="s">
        <v>408</v>
      </c>
      <c r="I284" s="127" t="s">
        <v>888</v>
      </c>
      <c r="J284" s="152">
        <v>1249</v>
      </c>
      <c r="K284" s="127" t="s">
        <v>1258</v>
      </c>
      <c r="L284" s="130">
        <v>44085</v>
      </c>
      <c r="M284" s="127" t="s">
        <v>230</v>
      </c>
      <c r="N284" s="127" t="s">
        <v>245</v>
      </c>
      <c r="O284" s="127" t="s">
        <v>185</v>
      </c>
      <c r="P284" s="127" t="s">
        <v>186</v>
      </c>
      <c r="Q284" s="85" t="str">
        <f t="shared" si="213"/>
        <v/>
      </c>
      <c r="R284" s="130"/>
      <c r="S284" s="128"/>
      <c r="T284" s="131"/>
      <c r="U284" s="132">
        <v>203</v>
      </c>
      <c r="V284" s="121">
        <v>218.2</v>
      </c>
      <c r="W284" s="116">
        <v>0.98</v>
      </c>
      <c r="X284" s="116">
        <v>1.66</v>
      </c>
      <c r="Y284" s="116">
        <f t="shared" si="191"/>
        <v>0.98</v>
      </c>
      <c r="Z284" s="133">
        <v>1.454</v>
      </c>
      <c r="AA284" s="133">
        <v>0.83599999999999997</v>
      </c>
      <c r="AB284" s="133">
        <v>0.72</v>
      </c>
      <c r="AC284" s="121">
        <v>34.299999999999997</v>
      </c>
      <c r="AD284" s="134">
        <v>1.17</v>
      </c>
      <c r="AE284" s="124">
        <v>177.8</v>
      </c>
      <c r="AF284" s="128">
        <v>9.19</v>
      </c>
      <c r="AG284" s="128">
        <v>2307.4</v>
      </c>
      <c r="AH284" s="127">
        <v>2937</v>
      </c>
      <c r="AI284" s="127">
        <v>2937</v>
      </c>
      <c r="AJ284" s="135"/>
      <c r="AK284" s="128"/>
      <c r="AL284" s="131"/>
      <c r="AM284" s="124" t="s">
        <v>232</v>
      </c>
      <c r="AN284" s="136" t="s">
        <v>1259</v>
      </c>
      <c r="AO284" s="137">
        <v>59.6</v>
      </c>
      <c r="AP284" s="128">
        <v>2937</v>
      </c>
      <c r="AQ284" s="128">
        <v>415</v>
      </c>
      <c r="AR284" s="128"/>
      <c r="AS284" s="128"/>
      <c r="AT284" s="122"/>
      <c r="AU284" s="124" t="s">
        <v>189</v>
      </c>
      <c r="AV284" s="115">
        <f>VLOOKUP(J284,'[63]ТР нефть'!$J$28:$BP$638,39,0)</f>
        <v>493.00001015599997</v>
      </c>
      <c r="AW284" s="115" t="str">
        <f>VLOOKUP(J284,'[63]ТР нефть'!$J$28:$BP$638,40,0)</f>
        <v>ГП</v>
      </c>
      <c r="AX284" s="115">
        <f>VLOOKUP(J284,'[63]ТР нефть'!$J$28:$BP$638,41,0)</f>
        <v>970.00002949199995</v>
      </c>
      <c r="AY284" s="115" t="str">
        <f>VLOOKUP(J284,'[63]ТР нефть'!$J$28:$BP$638,42,0)</f>
        <v>ГК79 1/8</v>
      </c>
      <c r="AZ284" s="115">
        <f>VLOOKUP(J284,'[63]ТР нефть'!$J$28:$BP$638,43,0)</f>
        <v>1374.9999785160001</v>
      </c>
      <c r="BA284" s="115" t="str">
        <f>VLOOKUP(J284,'[63]ТР нефть'!$J$28:$BP$638,44,0)</f>
        <v>ГК79 1/8</v>
      </c>
      <c r="BB284" s="115">
        <f>VLOOKUP(J284,'[63]ТР нефть'!$J$28:$BP$638,45,0)</f>
        <v>1707.9999316410001</v>
      </c>
      <c r="BC284" s="115" t="str">
        <f>VLOOKUP(J284,'[63]ТР нефть'!$J$28:$BP$638,46,0)</f>
        <v>ГК78 1/8</v>
      </c>
      <c r="BD284" s="115">
        <f>VLOOKUP(J284,'[63]ТР нефть'!$J$28:$BP$638,47,0)</f>
        <v>1979.9999988279999</v>
      </c>
      <c r="BE284" s="115" t="str">
        <f>VLOOKUP(J284,'[63]ТР нефть'!$J$28:$BP$638,48,0)</f>
        <v>ЦКсОК 5/16</v>
      </c>
      <c r="BF284" s="115" t="str">
        <f>VLOOKUP(J284,'[63]ТР нефть'!$J$28:$BP$638,49,0)</f>
        <v>-</v>
      </c>
      <c r="BG284" s="115" t="str">
        <f>VLOOKUP(J284,'[63]ТР нефть'!$J$28:$BP$638,50,0)</f>
        <v>-</v>
      </c>
      <c r="BH284" s="115">
        <f>VLOOKUP(J284,'[63]ТР нефть'!$J$28:$BP$638,51,0)</f>
        <v>1991.43</v>
      </c>
      <c r="BI284" s="115" t="str">
        <f>VLOOKUP(J284,'[63]ТР нефть'!$J$28:$BP$638,52,0)</f>
        <v>закрыт</v>
      </c>
      <c r="BJ284" s="115" t="str">
        <f>IF(IFERROR(VLOOKUP(J284,'[63]ТР нефть'!$J$28:$BP$638,53,0),"-")=0,"-",IFERROR(VLOOKUP(J284,'[63]ТР нефть'!$J$28:$BP$638,53,0),"-"))</f>
        <v>-</v>
      </c>
      <c r="BK284" s="138" t="str">
        <f>IF(IFERROR(VLOOKUP(J284,'[63]ТР нефть'!$J$28:$BP$638,54,0),"-")=0,"-",IFERROR(VLOOKUP(J284,'[63]ТР нефть'!$J$28:$BP$638,54,0),"-"))</f>
        <v>-</v>
      </c>
      <c r="BL284" s="138" t="str">
        <f>IF(IFERROR(VLOOKUP(J284,'[63]ТР нефть'!$J$28:$BP$638,55,0),"-")=0,"-",IFERROR(VLOOKUP(J284,'[63]ТР нефть'!$J$28:$BP$638,55,0),"-"))</f>
        <v>-</v>
      </c>
      <c r="BM284" s="138" t="str">
        <f>IF(IFERROR(VLOOKUP(J284,'[63]ТР нефть'!$J$28:$BP$638,56,0),"-")=0,"-",IFERROR(VLOOKUP(J284,'[63]ТР нефть'!$J$28:$BP$638,56,0),"-"))</f>
        <v>-</v>
      </c>
      <c r="BN284" s="138" t="str">
        <f>IF(IFERROR(VLOOKUP(J284,'[63]ТР нефть'!$J$28:$BP$638,57,0),"-")=0,"-",IFERROR(VLOOKUP(J284,'[63]ТР нефть'!$J$28:$BP$638,57,0),"-"))</f>
        <v>-</v>
      </c>
      <c r="BO284" s="115" t="str">
        <f>IF(IFERROR(VLOOKUP(J284,'[63]ТР нефть'!$J$28:$BP$638,58,0),"-")=0,"-",IFERROR(VLOOKUP(J284,'[63]ТР нефть'!$J$28:$BP$638,58,0),"-"))</f>
        <v>-</v>
      </c>
      <c r="BP284" s="115" t="str">
        <f>IF(IFERROR(VLOOKUP(J284,'[63]ТР нефть'!$J$28:$BP$638,59,0),"-")=0,"-",IFERROR(VLOOKUP(J284,'[63]ТР нефть'!$J$28:$BP$638,59,0),"-"))</f>
        <v>-</v>
      </c>
      <c r="BQ284" s="138">
        <v>2327.5700000000002</v>
      </c>
      <c r="BR284" s="128">
        <f>1734.27+163</f>
        <v>1897.27</v>
      </c>
      <c r="BS284" s="115">
        <f t="shared" si="211"/>
        <v>430.30000000000018</v>
      </c>
      <c r="BT284" s="128">
        <v>73</v>
      </c>
      <c r="BU284" s="128">
        <v>5.5</v>
      </c>
      <c r="BV284" s="127">
        <v>12</v>
      </c>
      <c r="BW284" s="127" t="s">
        <v>217</v>
      </c>
      <c r="BX284" s="127" t="s">
        <v>195</v>
      </c>
      <c r="BY284" s="139">
        <v>24</v>
      </c>
      <c r="BZ284" s="139">
        <v>0</v>
      </c>
      <c r="CA284" s="80">
        <v>24</v>
      </c>
      <c r="CB284" s="138">
        <v>43</v>
      </c>
      <c r="CC284" s="138">
        <v>23</v>
      </c>
      <c r="CD284" s="135">
        <v>45017</v>
      </c>
      <c r="CE284" s="138">
        <v>98</v>
      </c>
      <c r="CF284" s="138">
        <v>68</v>
      </c>
      <c r="CG284" s="138" t="str">
        <f t="shared" si="212"/>
        <v/>
      </c>
      <c r="CH284" s="138" t="s">
        <v>197</v>
      </c>
      <c r="CI284" s="138">
        <v>5</v>
      </c>
      <c r="CJ284" s="139"/>
      <c r="CK284" s="139"/>
      <c r="CL284" s="99"/>
      <c r="CM284" s="99"/>
      <c r="CN284" s="173">
        <v>55</v>
      </c>
      <c r="CO284" s="159">
        <f t="shared" si="165"/>
        <v>9.613999999999999</v>
      </c>
      <c r="CP284" s="160">
        <v>11.5</v>
      </c>
      <c r="CQ284" s="161">
        <v>0</v>
      </c>
      <c r="CR284" s="138">
        <v>11</v>
      </c>
      <c r="CS284" s="138">
        <v>6</v>
      </c>
      <c r="CT284" s="138"/>
      <c r="CU284" s="138">
        <f t="shared" si="188"/>
        <v>5</v>
      </c>
      <c r="CV284" s="115">
        <f t="shared" si="189"/>
        <v>520.07489078427295</v>
      </c>
      <c r="CW284" s="115">
        <f t="shared" si="166"/>
        <v>624.08986894112763</v>
      </c>
      <c r="CX284" s="133">
        <f t="shared" si="190"/>
        <v>0.26744186046511625</v>
      </c>
      <c r="CY284" s="116"/>
      <c r="CZ284" s="1024"/>
      <c r="DA284" s="145" t="str">
        <f t="shared" si="167"/>
        <v>Газлифт</v>
      </c>
      <c r="DB284" s="146">
        <f t="shared" si="168"/>
        <v>9.613999999999999</v>
      </c>
      <c r="DC284" s="142">
        <f t="shared" si="203"/>
        <v>11.5</v>
      </c>
      <c r="DD284" s="119">
        <f t="shared" si="204"/>
        <v>0</v>
      </c>
      <c r="DE284" s="115">
        <f t="shared" si="169"/>
        <v>5</v>
      </c>
      <c r="DF284" s="121">
        <f t="shared" si="170"/>
        <v>6</v>
      </c>
      <c r="DG284" s="115">
        <f t="shared" si="171"/>
        <v>520.07489078427295</v>
      </c>
      <c r="DH284" s="115">
        <f t="shared" si="172"/>
        <v>55</v>
      </c>
      <c r="DI284" s="147"/>
      <c r="DJ284" s="111"/>
      <c r="DK284" s="112">
        <v>44085.083333333336</v>
      </c>
      <c r="DL284" s="113">
        <f t="shared" ca="1" si="192"/>
        <v>1018.9166666666642</v>
      </c>
      <c r="DM284" s="114"/>
      <c r="DN284" s="114"/>
      <c r="DO284" s="114"/>
      <c r="DP284" s="114"/>
      <c r="DQ284" s="112"/>
      <c r="DR284" s="114"/>
      <c r="DS284" s="114"/>
      <c r="DT284" s="115">
        <v>52</v>
      </c>
      <c r="DU284" s="116">
        <f t="shared" si="193"/>
        <v>0.26292171634457906</v>
      </c>
      <c r="DV284" s="117">
        <f t="shared" si="194"/>
        <v>10.110917523747132</v>
      </c>
      <c r="DW284" s="118">
        <f t="shared" si="195"/>
        <v>12.094398951850637</v>
      </c>
      <c r="DX284" s="119">
        <f t="shared" si="173"/>
        <v>0</v>
      </c>
      <c r="DY284" s="115">
        <f t="shared" si="196"/>
        <v>5.2584343268915807</v>
      </c>
      <c r="DZ284" s="117">
        <f t="shared" si="197"/>
        <v>0.49691752374713261</v>
      </c>
      <c r="EA284" s="120">
        <f t="shared" si="197"/>
        <v>0.5943989518506374</v>
      </c>
      <c r="EB284" s="119">
        <f t="shared" si="197"/>
        <v>0</v>
      </c>
      <c r="EC284" s="121">
        <f t="shared" si="198"/>
        <v>0.25843432689158075</v>
      </c>
      <c r="ED284" s="122"/>
      <c r="EE284" s="145">
        <v>12</v>
      </c>
      <c r="EF284" s="148">
        <v>25</v>
      </c>
      <c r="EG284" s="115">
        <v>42</v>
      </c>
      <c r="EH284" s="115">
        <v>24</v>
      </c>
      <c r="EI284" s="128" t="s">
        <v>195</v>
      </c>
      <c r="EJ284" s="121">
        <v>24</v>
      </c>
      <c r="EK284" s="121">
        <v>0</v>
      </c>
      <c r="EL284" s="162">
        <v>6.27</v>
      </c>
      <c r="EM284" s="142">
        <v>7.5</v>
      </c>
      <c r="EN284" s="119">
        <v>0</v>
      </c>
      <c r="EO284" s="115">
        <v>13.561999999999999</v>
      </c>
      <c r="EP284" s="115">
        <v>626.79425837320571</v>
      </c>
      <c r="EQ284" s="115">
        <v>68</v>
      </c>
      <c r="ER284" s="115">
        <v>9.6319999999999997</v>
      </c>
      <c r="ES284" s="115">
        <v>51</v>
      </c>
      <c r="ET284" s="150">
        <v>0.15</v>
      </c>
      <c r="EU284" s="145">
        <f t="shared" si="174"/>
        <v>12</v>
      </c>
      <c r="EV284" s="115">
        <f t="shared" si="175"/>
        <v>24</v>
      </c>
      <c r="EW284" s="115">
        <f t="shared" si="175"/>
        <v>43</v>
      </c>
      <c r="EX284" s="115">
        <f t="shared" si="175"/>
        <v>23</v>
      </c>
      <c r="EY284" s="115" t="str">
        <f t="shared" si="206"/>
        <v>Постоянный</v>
      </c>
      <c r="EZ284" s="115">
        <f t="shared" si="206"/>
        <v>24</v>
      </c>
      <c r="FA284" s="115">
        <f t="shared" si="206"/>
        <v>0</v>
      </c>
      <c r="FB284" s="149">
        <f t="shared" si="209"/>
        <v>9.613999999999999</v>
      </c>
      <c r="FC284" s="142">
        <f t="shared" si="209"/>
        <v>11.5</v>
      </c>
      <c r="FD284" s="119">
        <f t="shared" si="209"/>
        <v>0</v>
      </c>
      <c r="FE284" s="121">
        <f t="shared" si="208"/>
        <v>11</v>
      </c>
      <c r="FF284" s="121">
        <f t="shared" si="199"/>
        <v>520.07489078427295</v>
      </c>
      <c r="FG284" s="121">
        <f t="shared" si="177"/>
        <v>68</v>
      </c>
      <c r="FH284" s="121">
        <f t="shared" si="200"/>
        <v>6</v>
      </c>
      <c r="FI284" s="121">
        <f t="shared" si="205"/>
        <v>55</v>
      </c>
      <c r="FJ284" s="144">
        <f t="shared" si="178"/>
        <v>0.26744186046511625</v>
      </c>
      <c r="FK284" s="132">
        <f t="shared" si="179"/>
        <v>0</v>
      </c>
      <c r="FL284" s="115">
        <f t="shared" si="179"/>
        <v>-1</v>
      </c>
      <c r="FM284" s="115">
        <f t="shared" si="179"/>
        <v>1</v>
      </c>
      <c r="FN284" s="115">
        <f t="shared" si="179"/>
        <v>-1</v>
      </c>
      <c r="FO284" s="115">
        <f t="shared" si="201"/>
        <v>0</v>
      </c>
      <c r="FP284" s="115">
        <f t="shared" si="201"/>
        <v>0</v>
      </c>
      <c r="FQ284" s="149">
        <f t="shared" si="201"/>
        <v>3.3439999999999994</v>
      </c>
      <c r="FR284" s="142">
        <f t="shared" si="201"/>
        <v>4</v>
      </c>
      <c r="FS284" s="119">
        <f t="shared" si="201"/>
        <v>0</v>
      </c>
      <c r="FT284" s="121">
        <f t="shared" si="201"/>
        <v>-2.5619999999999994</v>
      </c>
      <c r="FU284" s="121">
        <f t="shared" si="180"/>
        <v>0</v>
      </c>
      <c r="FV284" s="121">
        <f t="shared" si="180"/>
        <v>-3.6319999999999997</v>
      </c>
      <c r="FW284" s="121">
        <f t="shared" si="181"/>
        <v>-106.71936758893276</v>
      </c>
      <c r="FX284" s="121">
        <f>CN284-ES284</f>
        <v>4</v>
      </c>
      <c r="FY284" s="144">
        <f t="shared" ref="FY284:FY347" si="214">FJ284-ET284</f>
        <v>0.11744186046511626</v>
      </c>
      <c r="FZ284" s="145" t="s">
        <v>199</v>
      </c>
      <c r="GA284" s="151" t="s">
        <v>1189</v>
      </c>
      <c r="GB284" s="145"/>
      <c r="GC284" s="151"/>
      <c r="GD284" s="997" t="s">
        <v>416</v>
      </c>
      <c r="GE284" s="1004"/>
      <c r="GF284" s="1004">
        <v>0</v>
      </c>
      <c r="GG284" s="1004" t="s">
        <v>204</v>
      </c>
      <c r="GH284" s="1004">
        <v>1.7878695999999996</v>
      </c>
      <c r="GI284" s="145"/>
      <c r="GJ284" s="996">
        <v>0</v>
      </c>
      <c r="GK284" s="145" t="s">
        <v>207</v>
      </c>
      <c r="GL284" s="996">
        <v>-1.4179830720000002</v>
      </c>
      <c r="GM284" s="1005" t="s">
        <v>199</v>
      </c>
      <c r="GN284" s="996">
        <v>-2.7608465279999992</v>
      </c>
      <c r="GO284" s="1006" t="s">
        <v>199</v>
      </c>
      <c r="GP284" s="996">
        <v>2.9092799999999999</v>
      </c>
      <c r="GQ284" s="1006" t="s">
        <v>203</v>
      </c>
      <c r="GR284" s="996">
        <v>-5.5922907480000008</v>
      </c>
      <c r="GS284" s="1006"/>
      <c r="GT284" s="996">
        <v>-7.0292520000005965E-3</v>
      </c>
      <c r="GU284" s="1006"/>
      <c r="GV284" s="996">
        <v>0</v>
      </c>
      <c r="GW284" s="1006"/>
      <c r="GX284" s="1035">
        <v>0</v>
      </c>
      <c r="GY284" s="1006"/>
      <c r="GZ284" s="996">
        <v>0</v>
      </c>
      <c r="HA284" s="1006"/>
      <c r="HB284" s="996">
        <v>0.16549455999999996</v>
      </c>
      <c r="HC284" s="1006" t="s">
        <v>199</v>
      </c>
      <c r="HD284" s="996">
        <v>-2.0064000000000002</v>
      </c>
      <c r="HE284" s="1006"/>
      <c r="HF284" s="996">
        <v>0.33440000000000047</v>
      </c>
      <c r="HG284" s="1006" t="s">
        <v>199</v>
      </c>
      <c r="HH284" s="996">
        <v>2.3407999999999998</v>
      </c>
      <c r="HI284" s="1006" t="s">
        <v>204</v>
      </c>
      <c r="HJ284" s="996">
        <v>-5.5677600000000007</v>
      </c>
      <c r="HK284" s="1006"/>
      <c r="HL284" s="996">
        <v>0</v>
      </c>
      <c r="HM284" s="1006" t="s">
        <v>199</v>
      </c>
      <c r="HN284" s="996">
        <v>5.4005600000000005</v>
      </c>
      <c r="HO284" s="1006" t="s">
        <v>199</v>
      </c>
      <c r="HP284" s="996">
        <v>-2.9259999999999993</v>
      </c>
      <c r="HQ284" s="1006"/>
      <c r="HR284" s="996">
        <v>0.83599999999999941</v>
      </c>
      <c r="HS284" s="1006"/>
      <c r="HT284" s="996">
        <v>-0.66880000000000006</v>
      </c>
      <c r="HU284" s="1006" t="s">
        <v>223</v>
      </c>
      <c r="HV284" s="996">
        <v>-2.2933954559999998</v>
      </c>
      <c r="HW284" s="1006"/>
      <c r="HX284" s="996">
        <v>0</v>
      </c>
      <c r="HY284" s="1006" t="s">
        <v>199</v>
      </c>
      <c r="HZ284" s="996">
        <v>2.6751381360000002</v>
      </c>
      <c r="IA284" s="1006"/>
      <c r="IB284" s="996">
        <v>0</v>
      </c>
      <c r="IC284" s="1006" t="s">
        <v>199</v>
      </c>
      <c r="ID284" s="996">
        <v>-6.4391144399999982</v>
      </c>
      <c r="IE284" s="1006"/>
      <c r="IF284" s="996">
        <v>0.16858775999999764</v>
      </c>
      <c r="IG284" s="1006"/>
      <c r="IH284" s="996">
        <v>0</v>
      </c>
      <c r="II284" s="1006"/>
      <c r="IJ284" s="996">
        <v>0</v>
      </c>
      <c r="IK284" s="1006"/>
      <c r="IL284" s="996">
        <v>0</v>
      </c>
      <c r="IM284" s="1006"/>
      <c r="IN284" s="996">
        <v>0</v>
      </c>
      <c r="IO284" s="1006" t="s">
        <v>199</v>
      </c>
      <c r="IP284" s="996">
        <v>-7.0914159999999988</v>
      </c>
      <c r="IQ284" s="1006" t="s">
        <v>25</v>
      </c>
      <c r="IR284" s="996"/>
      <c r="IS284" s="1006"/>
      <c r="IT284" s="996"/>
      <c r="IU284" s="1006"/>
      <c r="IV284" s="996"/>
      <c r="IW284" s="1006"/>
      <c r="IX284" s="996"/>
      <c r="IY284" s="1006"/>
      <c r="IZ284" s="996"/>
      <c r="JA284" s="1006"/>
      <c r="JB284" s="996"/>
      <c r="JC284" s="1006"/>
      <c r="JD284" s="996"/>
      <c r="JE284" s="1006"/>
      <c r="JF284" s="996"/>
      <c r="JG284" s="1006"/>
      <c r="JH284" s="996"/>
      <c r="JI284" s="1006"/>
      <c r="JJ284" s="996"/>
      <c r="JK284" s="1007"/>
      <c r="JL284" s="1007"/>
      <c r="JM284" s="1007"/>
      <c r="JN284" s="1007"/>
      <c r="JO284" s="1008"/>
      <c r="JP284" s="1007"/>
      <c r="JQ284" s="1008"/>
      <c r="JR284" s="1007"/>
      <c r="JS284" s="1008"/>
      <c r="JT284" s="1007"/>
      <c r="JU284" s="1008"/>
      <c r="JV284" s="1007"/>
      <c r="JW284" s="1008"/>
      <c r="JX284" s="1007"/>
      <c r="JY284" s="1008"/>
      <c r="JZ284" s="1007"/>
      <c r="KA284" s="1008"/>
      <c r="KB284" s="1007"/>
      <c r="KC284" s="1008"/>
      <c r="KD284" s="1007"/>
      <c r="KE284" s="1008"/>
      <c r="KF284" s="1007"/>
      <c r="KG284" s="1008"/>
      <c r="KH284" s="1007"/>
      <c r="KI284" s="1008"/>
      <c r="KJ284" s="1007"/>
      <c r="KK284" s="1008"/>
      <c r="KL284" s="1007"/>
      <c r="KM284" s="1008"/>
      <c r="KN284" s="1007"/>
      <c r="KO284" s="1008"/>
      <c r="KP284" s="1007"/>
      <c r="KQ284" s="1008"/>
      <c r="KR284" s="1007"/>
      <c r="KS284" s="1008"/>
      <c r="KT284" s="1007"/>
      <c r="KU284" s="1008"/>
      <c r="KV284" s="1007"/>
      <c r="KW284" s="1008"/>
      <c r="KX284" s="1007"/>
      <c r="KY284" s="1008"/>
      <c r="KZ284" s="1007"/>
      <c r="LA284" s="1008"/>
      <c r="LB284" s="1007"/>
      <c r="LC284" s="1008"/>
      <c r="LD284" s="1007"/>
      <c r="LE284" s="1008"/>
      <c r="LF284" s="1007"/>
      <c r="LG284" s="1008"/>
      <c r="LH284" s="1007"/>
      <c r="LI284" s="1008"/>
      <c r="LJ284" s="1007"/>
      <c r="LK284" s="1008"/>
      <c r="LL284" s="1007"/>
      <c r="LM284" s="1008"/>
      <c r="LN284" s="1007"/>
      <c r="LO284" s="1008"/>
      <c r="LP284" s="1007"/>
      <c r="LQ284" s="1008"/>
      <c r="LR284" s="1007"/>
      <c r="LS284" s="1008"/>
      <c r="LT284" s="1007"/>
      <c r="LU284" s="1008"/>
      <c r="LV284" s="1007"/>
      <c r="LW284" s="1008"/>
      <c r="LX284" s="1007"/>
      <c r="LY284" s="1009"/>
      <c r="LZ284" s="1010"/>
      <c r="MA284" s="1011"/>
      <c r="MB284" s="1012"/>
      <c r="MC284" s="995"/>
      <c r="MD284" s="996"/>
      <c r="ME284" s="997" t="s">
        <v>416</v>
      </c>
      <c r="MF284" s="997"/>
      <c r="MG284" s="998"/>
      <c r="NR284" s="1000"/>
      <c r="NS284" s="1000"/>
      <c r="NT284" s="1001"/>
      <c r="NU284" s="1000"/>
      <c r="NV284" s="1001"/>
      <c r="NX284" s="1002"/>
      <c r="NZ284" s="1001"/>
      <c r="OA284" s="1001"/>
      <c r="OC284" s="1003"/>
      <c r="OD284" s="1003"/>
      <c r="OE284" s="1001"/>
      <c r="OF284" s="1003"/>
      <c r="OG284" s="1003"/>
      <c r="OH284" s="1003"/>
      <c r="OI284" s="1016"/>
      <c r="QX284" s="1000">
        <f>CN284-CA284</f>
        <v>31</v>
      </c>
      <c r="ASU284" s="999" t="s">
        <v>208</v>
      </c>
    </row>
    <row r="285" spans="1:466 1191:1191" ht="21" customHeight="1" x14ac:dyDescent="0.25">
      <c r="A285" s="982">
        <f t="shared" ref="A285:A348" si="215">$J285</f>
        <v>1250</v>
      </c>
      <c r="B285" s="124">
        <f>SUBTOTAL(103,$J$29:J285)</f>
        <v>257</v>
      </c>
      <c r="C285" s="126">
        <v>45068</v>
      </c>
      <c r="D285" s="124" t="s">
        <v>176</v>
      </c>
      <c r="E285" s="127" t="s">
        <v>177</v>
      </c>
      <c r="F285" s="128" t="s">
        <v>177</v>
      </c>
      <c r="G285" s="127" t="s">
        <v>178</v>
      </c>
      <c r="H285" s="127" t="s">
        <v>408</v>
      </c>
      <c r="I285" s="127" t="s">
        <v>409</v>
      </c>
      <c r="J285" s="152">
        <v>1250</v>
      </c>
      <c r="K285" s="127" t="s">
        <v>409</v>
      </c>
      <c r="L285" s="130">
        <v>42230</v>
      </c>
      <c r="M285" s="127" t="s">
        <v>230</v>
      </c>
      <c r="N285" s="127" t="s">
        <v>245</v>
      </c>
      <c r="O285" s="127" t="s">
        <v>185</v>
      </c>
      <c r="P285" s="127" t="s">
        <v>186</v>
      </c>
      <c r="Q285" s="85" t="str">
        <f t="shared" si="213"/>
        <v/>
      </c>
      <c r="R285" s="130"/>
      <c r="S285" s="128"/>
      <c r="T285" s="131"/>
      <c r="U285" s="132">
        <v>203</v>
      </c>
      <c r="V285" s="121">
        <v>218.2</v>
      </c>
      <c r="W285" s="116">
        <v>0.98</v>
      </c>
      <c r="X285" s="116">
        <v>1.66</v>
      </c>
      <c r="Y285" s="116">
        <f t="shared" si="191"/>
        <v>0.98</v>
      </c>
      <c r="Z285" s="133">
        <v>1.454</v>
      </c>
      <c r="AA285" s="133">
        <v>0.83599999999999997</v>
      </c>
      <c r="AB285" s="133">
        <v>0.72</v>
      </c>
      <c r="AC285" s="121">
        <v>34.299999999999997</v>
      </c>
      <c r="AD285" s="134">
        <v>1.17</v>
      </c>
      <c r="AE285" s="124">
        <v>177.8</v>
      </c>
      <c r="AF285" s="128">
        <v>9.19</v>
      </c>
      <c r="AG285" s="128">
        <v>2338</v>
      </c>
      <c r="AH285" s="127">
        <v>3035</v>
      </c>
      <c r="AI285" s="127">
        <v>3035</v>
      </c>
      <c r="AJ285" s="135"/>
      <c r="AK285" s="128"/>
      <c r="AL285" s="131"/>
      <c r="AM285" s="124" t="s">
        <v>232</v>
      </c>
      <c r="AN285" s="136" t="s">
        <v>1260</v>
      </c>
      <c r="AO285" s="137">
        <v>33.18</v>
      </c>
      <c r="AP285" s="128">
        <v>2338</v>
      </c>
      <c r="AQ285" s="128">
        <v>258.44</v>
      </c>
      <c r="AR285" s="128"/>
      <c r="AS285" s="128"/>
      <c r="AT285" s="122"/>
      <c r="AU285" s="124" t="s">
        <v>189</v>
      </c>
      <c r="AV285" s="115">
        <f>VLOOKUP(J285,'[63]ТР нефть'!$J$28:$BP$638,39,0)</f>
        <v>549.99999140600005</v>
      </c>
      <c r="AW285" s="115" t="str">
        <f>VLOOKUP(J285,'[63]ТР нефть'!$J$28:$BP$638,40,0)</f>
        <v>ГП</v>
      </c>
      <c r="AX285" s="115">
        <f>VLOOKUP(J285,'[63]ТР нефть'!$J$28:$BP$638,41,0)</f>
        <v>980.00001445299995</v>
      </c>
      <c r="AY285" s="115" t="str">
        <f>VLOOKUP(J285,'[63]ТР нефть'!$J$28:$BP$638,42,0)</f>
        <v>ГК79 1/8</v>
      </c>
      <c r="AZ285" s="115">
        <f>VLOOKUP(J285,'[63]ТР нефть'!$J$28:$BP$638,43,0)</f>
        <v>1340.0000683589999</v>
      </c>
      <c r="BA285" s="115" t="str">
        <f>VLOOKUP(J285,'[63]ТР нефть'!$J$28:$BP$638,44,0)</f>
        <v>ГК78 1/8</v>
      </c>
      <c r="BB285" s="115">
        <f>VLOOKUP(J285,'[63]ТР нефть'!$J$28:$BP$638,45,0)</f>
        <v>1630.000004297</v>
      </c>
      <c r="BC285" s="115" t="str">
        <f>VLOOKUP(J285,'[63]ТР нефть'!$J$28:$BP$638,46,0)</f>
        <v>ГК78 1/8</v>
      </c>
      <c r="BD285" s="115">
        <f>VLOOKUP(J285,'[63]ТР нефть'!$J$28:$BP$638,47,0)</f>
        <v>1899.9999703129999</v>
      </c>
      <c r="BE285" s="115" t="str">
        <f>VLOOKUP(J285,'[63]ТР нефть'!$J$28:$BP$638,48,0)</f>
        <v>ЦКсОК 5/16</v>
      </c>
      <c r="BF285" s="115" t="str">
        <f>VLOOKUP(J285,'[63]ТР нефть'!$J$28:$BP$638,49,0)</f>
        <v>-</v>
      </c>
      <c r="BG285" s="115" t="str">
        <f>VLOOKUP(J285,'[63]ТР нефть'!$J$28:$BP$638,50,0)</f>
        <v>-</v>
      </c>
      <c r="BH285" s="115" t="str">
        <f>VLOOKUP(J285,'[63]ТР нефть'!$J$28:$BP$638,51,0)</f>
        <v>-</v>
      </c>
      <c r="BI285" s="115" t="str">
        <f>VLOOKUP(J285,'[63]ТР нефть'!$J$28:$BP$638,52,0)</f>
        <v>-</v>
      </c>
      <c r="BJ285" s="115" t="str">
        <f>IF(IFERROR(VLOOKUP(J285,'[63]ТР нефть'!$J$28:$BP$638,53,0),"-")=0,"-",IFERROR(VLOOKUP(J285,'[63]ТР нефть'!$J$28:$BP$638,53,0),"-"))</f>
        <v>-</v>
      </c>
      <c r="BK285" s="138" t="str">
        <f>IF(IFERROR(VLOOKUP(J285,'[63]ТР нефть'!$J$28:$BP$638,54,0),"-")=0,"-",IFERROR(VLOOKUP(J285,'[63]ТР нефть'!$J$28:$BP$638,54,0),"-"))</f>
        <v>-</v>
      </c>
      <c r="BL285" s="138" t="str">
        <f>IF(IFERROR(VLOOKUP(J285,'[63]ТР нефть'!$J$28:$BP$638,55,0),"-")=0,"-",IFERROR(VLOOKUP(J285,'[63]ТР нефть'!$J$28:$BP$638,55,0),"-"))</f>
        <v>-</v>
      </c>
      <c r="BM285" s="138" t="str">
        <f>IF(IFERROR(VLOOKUP(J285,'[63]ТР нефть'!$J$28:$BP$638,56,0),"-")=0,"-",IFERROR(VLOOKUP(J285,'[63]ТР нефть'!$J$28:$BP$638,56,0),"-"))</f>
        <v>-</v>
      </c>
      <c r="BN285" s="138" t="str">
        <f>IF(IFERROR(VLOOKUP(J285,'[63]ТР нефть'!$J$28:$BP$638,57,0),"-")=0,"-",IFERROR(VLOOKUP(J285,'[63]ТР нефть'!$J$28:$BP$638,57,0),"-"))</f>
        <v>-</v>
      </c>
      <c r="BO285" s="115" t="str">
        <f>IF(IFERROR(VLOOKUP(J285,'[63]ТР нефть'!$J$28:$BP$638,58,0),"-")=0,"-",IFERROR(VLOOKUP(J285,'[63]ТР нефть'!$J$28:$BP$638,58,0),"-"))</f>
        <v>-</v>
      </c>
      <c r="BP285" s="115" t="str">
        <f>IF(IFERROR(VLOOKUP(J285,'[63]ТР нефть'!$J$28:$BP$638,59,0),"-")=0,"-",IFERROR(VLOOKUP(J285,'[63]ТР нефть'!$J$28:$BP$638,59,0),"-"))</f>
        <v>-</v>
      </c>
      <c r="BQ285" s="138">
        <v>2150</v>
      </c>
      <c r="BR285" s="128">
        <v>1883.92</v>
      </c>
      <c r="BS285" s="115">
        <f t="shared" si="211"/>
        <v>266.07999999999993</v>
      </c>
      <c r="BT285" s="128">
        <v>73</v>
      </c>
      <c r="BU285" s="128">
        <v>5.5</v>
      </c>
      <c r="BV285" s="127">
        <v>18</v>
      </c>
      <c r="BW285" s="127" t="s">
        <v>217</v>
      </c>
      <c r="BX285" s="127" t="s">
        <v>195</v>
      </c>
      <c r="BY285" s="139">
        <v>24</v>
      </c>
      <c r="BZ285" s="139">
        <v>0</v>
      </c>
      <c r="CA285" s="138">
        <v>21</v>
      </c>
      <c r="CB285" s="138">
        <v>35</v>
      </c>
      <c r="CC285" s="138">
        <v>20</v>
      </c>
      <c r="CD285" s="135">
        <v>45017</v>
      </c>
      <c r="CE285" s="138">
        <v>65</v>
      </c>
      <c r="CF285" s="138">
        <v>67</v>
      </c>
      <c r="CG285" s="138" t="str">
        <f t="shared" si="212"/>
        <v>В работе</v>
      </c>
      <c r="CH285" s="138" t="s">
        <v>196</v>
      </c>
      <c r="CI285" s="138">
        <v>6</v>
      </c>
      <c r="CJ285" s="139"/>
      <c r="CK285" s="139"/>
      <c r="CL285" s="99"/>
      <c r="CM285" s="99"/>
      <c r="CN285" s="140">
        <v>42</v>
      </c>
      <c r="CO285" s="159">
        <f t="shared" ref="CO285:CO348" si="216">CP285*(1-CQ285/100)*0.836</f>
        <v>7.0224000000000002</v>
      </c>
      <c r="CP285" s="160">
        <v>8.4</v>
      </c>
      <c r="CQ285" s="161">
        <v>0</v>
      </c>
      <c r="CR285" s="138">
        <v>11.4</v>
      </c>
      <c r="CS285" s="139">
        <v>7.2</v>
      </c>
      <c r="CT285" s="138"/>
      <c r="CU285" s="138">
        <f t="shared" si="188"/>
        <v>4.2</v>
      </c>
      <c r="CV285" s="115">
        <f t="shared" si="189"/>
        <v>598.08612440191382</v>
      </c>
      <c r="CW285" s="115">
        <f t="shared" ref="CW285:CW348" si="217">IF(CP285&lt;&gt;0,IF(AU285=$AU$29,CS285/(CO285+(CP285-CO285/0.836)*1.158)*1000,""),"")</f>
        <v>1025.2904989747096</v>
      </c>
      <c r="CX285" s="133">
        <f t="shared" si="190"/>
        <v>0.36521739130434783</v>
      </c>
      <c r="CY285" s="116"/>
      <c r="CZ285" s="131"/>
      <c r="DA285" s="145" t="str">
        <f t="shared" ref="DA285:DA348" si="218">AU285</f>
        <v>Газлифт</v>
      </c>
      <c r="DB285" s="146">
        <f t="shared" ref="DB285:DB348" si="219">IFERROR(DC285*(1-DD285/100)*$AA285,"-")</f>
        <v>11.286</v>
      </c>
      <c r="DC285" s="142">
        <v>13.5</v>
      </c>
      <c r="DD285" s="119">
        <f t="shared" si="204"/>
        <v>0</v>
      </c>
      <c r="DE285" s="115">
        <f t="shared" ref="DE285:DE348" si="220">CU285</f>
        <v>4.2</v>
      </c>
      <c r="DF285" s="121">
        <f t="shared" ref="DF285:DF348" si="221">CS285</f>
        <v>7.2</v>
      </c>
      <c r="DG285" s="115">
        <f t="shared" ref="DG285:DG348" si="222">CV285</f>
        <v>598.08612440191382</v>
      </c>
      <c r="DH285" s="115">
        <f t="shared" ref="DH285:DH348" si="223">CN285</f>
        <v>42</v>
      </c>
      <c r="DI285" s="147"/>
      <c r="DJ285" s="111">
        <v>43632</v>
      </c>
      <c r="DK285" s="112">
        <v>42230</v>
      </c>
      <c r="DL285" s="113">
        <f t="shared" ca="1" si="192"/>
        <v>2874</v>
      </c>
      <c r="DM285" s="114"/>
      <c r="DN285" s="114"/>
      <c r="DO285" s="114"/>
      <c r="DP285" s="114"/>
      <c r="DQ285" s="112">
        <v>43675</v>
      </c>
      <c r="DR285" s="114" t="s">
        <v>198</v>
      </c>
      <c r="DS285" s="114"/>
      <c r="DT285" s="115">
        <v>44</v>
      </c>
      <c r="DU285" s="116">
        <f t="shared" si="193"/>
        <v>0.4</v>
      </c>
      <c r="DV285" s="117">
        <f t="shared" si="194"/>
        <v>7.0224000000000002</v>
      </c>
      <c r="DW285" s="118">
        <f t="shared" si="195"/>
        <v>8.4</v>
      </c>
      <c r="DX285" s="119">
        <f t="shared" ref="DX285:DX348" si="224">CQ285</f>
        <v>0</v>
      </c>
      <c r="DY285" s="115">
        <f t="shared" si="196"/>
        <v>4.2</v>
      </c>
      <c r="DZ285" s="117">
        <f t="shared" si="197"/>
        <v>0</v>
      </c>
      <c r="EA285" s="120">
        <f t="shared" si="197"/>
        <v>0</v>
      </c>
      <c r="EB285" s="119">
        <f t="shared" si="197"/>
        <v>0</v>
      </c>
      <c r="EC285" s="121">
        <f t="shared" si="198"/>
        <v>0</v>
      </c>
      <c r="ED285" s="122"/>
      <c r="EE285" s="211">
        <v>18</v>
      </c>
      <c r="EF285" s="115">
        <v>22</v>
      </c>
      <c r="EG285" s="115">
        <v>36</v>
      </c>
      <c r="EH285" s="115">
        <v>20</v>
      </c>
      <c r="EI285" s="128" t="s">
        <v>195</v>
      </c>
      <c r="EJ285" s="121">
        <v>24</v>
      </c>
      <c r="EK285" s="121">
        <v>0</v>
      </c>
      <c r="EL285" s="162">
        <v>9.5304000000000002</v>
      </c>
      <c r="EM285" s="142">
        <v>11.4</v>
      </c>
      <c r="EN285" s="119">
        <v>0</v>
      </c>
      <c r="EO285" s="115">
        <v>15.5</v>
      </c>
      <c r="EP285" s="115">
        <v>703.01351464786353</v>
      </c>
      <c r="EQ285" s="115">
        <v>68</v>
      </c>
      <c r="ER285" s="115">
        <v>8.8000000000000007</v>
      </c>
      <c r="ES285" s="115">
        <v>42</v>
      </c>
      <c r="ET285" s="150">
        <v>0.4956521739130435</v>
      </c>
      <c r="EU285" s="145">
        <f t="shared" ref="EU285:EU348" si="225">BV285</f>
        <v>18</v>
      </c>
      <c r="EV285" s="115">
        <f t="shared" ref="EV285:EX348" si="226">CA285</f>
        <v>21</v>
      </c>
      <c r="EW285" s="115">
        <f t="shared" si="226"/>
        <v>35</v>
      </c>
      <c r="EX285" s="115">
        <f t="shared" si="226"/>
        <v>20</v>
      </c>
      <c r="EY285" s="115" t="str">
        <f t="shared" si="206"/>
        <v>Постоянный</v>
      </c>
      <c r="EZ285" s="115">
        <f t="shared" si="206"/>
        <v>24</v>
      </c>
      <c r="FA285" s="115">
        <f t="shared" si="206"/>
        <v>0</v>
      </c>
      <c r="FB285" s="149">
        <f t="shared" si="209"/>
        <v>7.0224000000000002</v>
      </c>
      <c r="FC285" s="142">
        <f t="shared" si="209"/>
        <v>8.4</v>
      </c>
      <c r="FD285" s="119">
        <f t="shared" si="209"/>
        <v>0</v>
      </c>
      <c r="FE285" s="121">
        <f t="shared" si="208"/>
        <v>11.4</v>
      </c>
      <c r="FF285" s="121">
        <f t="shared" si="199"/>
        <v>598.08612440191382</v>
      </c>
      <c r="FG285" s="121">
        <f t="shared" ref="FG285:FG348" si="227">CF285</f>
        <v>67</v>
      </c>
      <c r="FH285" s="121">
        <f t="shared" si="200"/>
        <v>7.2</v>
      </c>
      <c r="FI285" s="121">
        <f t="shared" si="205"/>
        <v>42</v>
      </c>
      <c r="FJ285" s="144">
        <f t="shared" ref="FJ285:FJ348" si="228">CX285</f>
        <v>0.36521739130434783</v>
      </c>
      <c r="FK285" s="132">
        <f t="shared" ref="FK285:FN348" si="229">EU285-EE285</f>
        <v>0</v>
      </c>
      <c r="FL285" s="115">
        <f t="shared" si="229"/>
        <v>-1</v>
      </c>
      <c r="FM285" s="115">
        <f t="shared" si="229"/>
        <v>-1</v>
      </c>
      <c r="FN285" s="115">
        <f t="shared" si="229"/>
        <v>0</v>
      </c>
      <c r="FO285" s="115">
        <f t="shared" si="201"/>
        <v>0</v>
      </c>
      <c r="FP285" s="115">
        <f t="shared" si="201"/>
        <v>0</v>
      </c>
      <c r="FQ285" s="149">
        <f t="shared" si="201"/>
        <v>-2.508</v>
      </c>
      <c r="FR285" s="142">
        <f t="shared" si="201"/>
        <v>-3</v>
      </c>
      <c r="FS285" s="119">
        <f t="shared" si="201"/>
        <v>0</v>
      </c>
      <c r="FT285" s="121">
        <f t="shared" si="201"/>
        <v>-4.0999999999999996</v>
      </c>
      <c r="FU285" s="121">
        <f t="shared" ref="FU285:FV348" si="230">FG285-EQ285</f>
        <v>-1</v>
      </c>
      <c r="FV285" s="121">
        <f t="shared" si="230"/>
        <v>-1.6000000000000005</v>
      </c>
      <c r="FW285" s="121">
        <f t="shared" ref="FW285:FW348" si="231">FF285-EP285</f>
        <v>-104.92739024594971</v>
      </c>
      <c r="FX285" s="121">
        <f>CN285-ES285</f>
        <v>0</v>
      </c>
      <c r="FY285" s="144">
        <f t="shared" si="214"/>
        <v>-0.13043478260869568</v>
      </c>
      <c r="FZ285" s="145" t="s">
        <v>199</v>
      </c>
      <c r="GA285" s="151" t="s">
        <v>1261</v>
      </c>
      <c r="GB285" s="145"/>
      <c r="GC285" s="151"/>
      <c r="GD285" s="997" t="s">
        <v>416</v>
      </c>
      <c r="GE285" s="1004"/>
      <c r="GF285" s="1004">
        <v>-0.86776799999999987</v>
      </c>
      <c r="GG285" s="1004"/>
      <c r="GH285" s="1004">
        <v>-5.1831999999999212E-2</v>
      </c>
      <c r="GI285" s="145" t="s">
        <v>223</v>
      </c>
      <c r="GJ285" s="996">
        <v>-1.1369600000000002</v>
      </c>
      <c r="GK285" s="145"/>
      <c r="GL285" s="996">
        <v>0.75239999999999974</v>
      </c>
      <c r="GM285" s="1005"/>
      <c r="GN285" s="996">
        <v>-0.28424000000000049</v>
      </c>
      <c r="GO285" s="1006" t="s">
        <v>199</v>
      </c>
      <c r="GP285" s="996">
        <v>2.0482000000000014</v>
      </c>
      <c r="GQ285" s="1006"/>
      <c r="GR285" s="996">
        <v>0</v>
      </c>
      <c r="GS285" s="1006"/>
      <c r="GT285" s="996">
        <v>-0.45144000000000162</v>
      </c>
      <c r="GU285" s="1006"/>
      <c r="GV285" s="996">
        <v>0</v>
      </c>
      <c r="GW285" s="1006"/>
      <c r="GX285" s="1035">
        <v>-0.30095999999999989</v>
      </c>
      <c r="GY285" s="1006"/>
      <c r="GZ285" s="996">
        <v>0.58520000000000039</v>
      </c>
      <c r="HA285" s="1006" t="s">
        <v>223</v>
      </c>
      <c r="HB285" s="996">
        <v>-3.6683679999999992</v>
      </c>
      <c r="HC285" s="1006" t="s">
        <v>308</v>
      </c>
      <c r="HD285" s="996">
        <v>4.5461679999999998</v>
      </c>
      <c r="HE285" s="1006" t="s">
        <v>199</v>
      </c>
      <c r="HF285" s="996">
        <v>-3.7143479999999993</v>
      </c>
      <c r="HG285" s="1006" t="s">
        <v>199</v>
      </c>
      <c r="HH285" s="996">
        <v>3.7143479999999993</v>
      </c>
      <c r="HI285" s="1006"/>
      <c r="HJ285" s="996">
        <v>0</v>
      </c>
      <c r="HK285" s="1006" t="s">
        <v>204</v>
      </c>
      <c r="HL285" s="996">
        <v>-2.3742400000000004</v>
      </c>
      <c r="HM285" s="1006"/>
      <c r="HN285" s="996">
        <v>0.70223999999999975</v>
      </c>
      <c r="HO285" s="1006"/>
      <c r="HP285" s="996">
        <v>0.16719999999999935</v>
      </c>
      <c r="HQ285" s="1006" t="s">
        <v>204</v>
      </c>
      <c r="HR285" s="996">
        <v>1.6302000000000021</v>
      </c>
      <c r="HS285" s="1006" t="s">
        <v>204</v>
      </c>
      <c r="HT285" s="996">
        <v>-1.2038399999999996</v>
      </c>
      <c r="HU285" s="1006"/>
      <c r="HV285" s="996">
        <v>0.94467999999999819</v>
      </c>
      <c r="HW285" s="1006"/>
      <c r="HX285" s="996">
        <v>0</v>
      </c>
      <c r="HY285" s="1006" t="s">
        <v>221</v>
      </c>
      <c r="HZ285" s="996">
        <v>-1.6636399999999991</v>
      </c>
      <c r="IA285" s="1006"/>
      <c r="IB285" s="996">
        <v>0</v>
      </c>
      <c r="IC285" s="1006"/>
      <c r="ID285" s="996">
        <v>0</v>
      </c>
      <c r="IE285" s="1006"/>
      <c r="IF285" s="996">
        <v>0</v>
      </c>
      <c r="IG285" s="1006" t="s">
        <v>199</v>
      </c>
      <c r="IH285" s="996">
        <v>2.1150800000000007</v>
      </c>
      <c r="II285" s="1006"/>
      <c r="IJ285" s="996">
        <v>0</v>
      </c>
      <c r="IK285" s="1006"/>
      <c r="IL285" s="996">
        <v>0.18391999999999875</v>
      </c>
      <c r="IM285" s="1006"/>
      <c r="IN285" s="996">
        <v>-0.71059999999999945</v>
      </c>
      <c r="IO285" s="1006"/>
      <c r="IP285" s="996">
        <v>0</v>
      </c>
      <c r="IQ285" s="1006"/>
      <c r="IR285" s="996">
        <v>0.37619999999999898</v>
      </c>
      <c r="IS285" s="1006" t="s">
        <v>199</v>
      </c>
      <c r="IT285" s="996">
        <v>1.7221600000000006</v>
      </c>
      <c r="IU285" s="1006" t="s">
        <v>199</v>
      </c>
      <c r="IV285" s="996">
        <v>-5.5677599999999998</v>
      </c>
      <c r="IW285" s="1006"/>
      <c r="IX285" s="996">
        <v>0</v>
      </c>
      <c r="IY285" s="1006"/>
      <c r="IZ285" s="996">
        <v>0</v>
      </c>
      <c r="JA285" s="1006" t="s">
        <v>199</v>
      </c>
      <c r="JB285" s="996">
        <v>3.0848399999999998</v>
      </c>
      <c r="JC285" s="1006"/>
      <c r="JD285" s="996">
        <v>0</v>
      </c>
      <c r="JE285" s="1006" t="s">
        <v>199</v>
      </c>
      <c r="JF285" s="996">
        <v>-4.8153599999999983</v>
      </c>
      <c r="JG285" s="1006" t="s">
        <v>204</v>
      </c>
      <c r="JH285" s="996">
        <v>-4.3722799999999999</v>
      </c>
      <c r="JI285" s="1006" t="s">
        <v>199</v>
      </c>
      <c r="JJ285" s="996">
        <v>4.7651999999999983</v>
      </c>
      <c r="JK285" s="1007"/>
      <c r="JL285" s="1007">
        <v>0</v>
      </c>
      <c r="JM285" s="1007"/>
      <c r="JN285" s="1007">
        <v>0</v>
      </c>
      <c r="JO285" s="1008" t="s">
        <v>203</v>
      </c>
      <c r="JP285" s="1007">
        <v>-8.6107999999999993</v>
      </c>
      <c r="JQ285" s="1008" t="s">
        <v>203</v>
      </c>
      <c r="JR285" s="1007">
        <v>5.9137999999999984</v>
      </c>
      <c r="JS285" s="1008">
        <v>0</v>
      </c>
      <c r="JT285" s="1007">
        <v>0</v>
      </c>
      <c r="JU285" s="1008"/>
      <c r="JV285" s="1007">
        <v>0</v>
      </c>
      <c r="JW285" s="1008" t="s">
        <v>197</v>
      </c>
      <c r="JX285" s="1007">
        <v>0</v>
      </c>
      <c r="JY285" s="1008" t="s">
        <v>199</v>
      </c>
      <c r="JZ285" s="1007">
        <v>5.1832000000000003</v>
      </c>
      <c r="KA285" s="1008"/>
      <c r="KB285" s="1007">
        <v>0</v>
      </c>
      <c r="KC285" s="1008" t="s">
        <v>207</v>
      </c>
      <c r="KD285" s="1007">
        <v>1.8391999999999995</v>
      </c>
      <c r="KE285" s="1008"/>
      <c r="KF285" s="1007">
        <v>0</v>
      </c>
      <c r="KG285" s="1008" t="s">
        <v>207</v>
      </c>
      <c r="KH285" s="1007">
        <v>-7.8583999999999996</v>
      </c>
      <c r="KI285" s="1008" t="s">
        <v>207</v>
      </c>
      <c r="KJ285" s="1007">
        <v>2.508</v>
      </c>
      <c r="KK285" s="1008"/>
      <c r="KL285" s="1007">
        <v>0</v>
      </c>
      <c r="KM285" s="1008"/>
      <c r="KN285" s="1007">
        <v>0</v>
      </c>
      <c r="KO285" s="1008" t="s">
        <v>206</v>
      </c>
      <c r="KP285" s="1007">
        <v>6.6879999999999997</v>
      </c>
      <c r="KQ285" s="1008">
        <v>0</v>
      </c>
      <c r="KR285" s="1007">
        <v>0</v>
      </c>
      <c r="KS285" s="1008">
        <v>0</v>
      </c>
      <c r="KT285" s="1007">
        <v>0</v>
      </c>
      <c r="KU285" s="1008" t="s">
        <v>476</v>
      </c>
      <c r="KV285" s="1007">
        <v>0.83599999999999997</v>
      </c>
      <c r="KW285" s="1008">
        <v>0</v>
      </c>
      <c r="KX285" s="1007">
        <v>0</v>
      </c>
      <c r="KY285" s="1008">
        <v>0</v>
      </c>
      <c r="KZ285" s="1007">
        <v>0</v>
      </c>
      <c r="LA285" s="1008">
        <v>0</v>
      </c>
      <c r="LB285" s="1007">
        <v>0</v>
      </c>
      <c r="LC285" s="1008">
        <v>0</v>
      </c>
      <c r="LD285" s="1007">
        <v>0</v>
      </c>
      <c r="LE285" s="1008">
        <v>0</v>
      </c>
      <c r="LF285" s="1007">
        <v>0</v>
      </c>
      <c r="LG285" s="1008">
        <v>0</v>
      </c>
      <c r="LH285" s="1007">
        <v>0</v>
      </c>
      <c r="LI285" s="1008">
        <v>0</v>
      </c>
      <c r="LJ285" s="1007">
        <v>0</v>
      </c>
      <c r="LK285" s="1008">
        <v>0</v>
      </c>
      <c r="LL285" s="1007">
        <v>0</v>
      </c>
      <c r="LM285" s="1008">
        <v>0</v>
      </c>
      <c r="LN285" s="1007">
        <v>0</v>
      </c>
      <c r="LO285" s="1008">
        <v>0</v>
      </c>
      <c r="LP285" s="1007">
        <v>-2.6751839999999998</v>
      </c>
      <c r="LQ285" s="1008">
        <v>0</v>
      </c>
      <c r="LR285" s="1007">
        <v>0</v>
      </c>
      <c r="LS285" s="1008">
        <v>0</v>
      </c>
      <c r="LT285" s="1007">
        <v>0</v>
      </c>
      <c r="LU285" s="1008">
        <v>0</v>
      </c>
      <c r="LV285" s="1007">
        <v>0</v>
      </c>
      <c r="LW285" s="1008">
        <v>0</v>
      </c>
      <c r="LX285" s="1007">
        <v>-0.4855488</v>
      </c>
      <c r="LY285" s="1009">
        <v>0</v>
      </c>
      <c r="LZ285" s="1010">
        <v>0</v>
      </c>
      <c r="MA285" s="1011" t="s">
        <v>207</v>
      </c>
      <c r="MB285" s="1012">
        <v>2.3468191999999997</v>
      </c>
      <c r="MC285" s="995"/>
      <c r="MD285" s="996"/>
      <c r="ME285" s="997" t="s">
        <v>416</v>
      </c>
      <c r="MF285" s="997"/>
      <c r="MG285" s="998"/>
      <c r="NR285" s="1000"/>
      <c r="NS285" s="1000"/>
      <c r="NT285" s="1001"/>
      <c r="NU285" s="1000"/>
      <c r="NV285" s="1001"/>
      <c r="NX285" s="1002"/>
      <c r="NZ285" s="1001"/>
      <c r="OA285" s="1001"/>
      <c r="OC285" s="1003"/>
      <c r="OD285" s="1003"/>
      <c r="OE285" s="1001"/>
      <c r="OF285" s="1003"/>
      <c r="OG285" s="1003"/>
      <c r="QX285" s="1000">
        <f>CN285-CA285</f>
        <v>21</v>
      </c>
      <c r="ASU285" s="999" t="s">
        <v>208</v>
      </c>
    </row>
    <row r="286" spans="1:466 1191:1191" ht="21" customHeight="1" x14ac:dyDescent="0.25">
      <c r="A286" s="982" t="str">
        <f t="shared" si="215"/>
        <v>1252-1</v>
      </c>
      <c r="B286" s="124">
        <f>SUBTOTAL(103,$J$29:J286)</f>
        <v>258</v>
      </c>
      <c r="C286" s="126">
        <v>45068</v>
      </c>
      <c r="D286" s="124" t="s">
        <v>176</v>
      </c>
      <c r="E286" s="127" t="s">
        <v>177</v>
      </c>
      <c r="F286" s="128" t="s">
        <v>177</v>
      </c>
      <c r="G286" s="127" t="s">
        <v>178</v>
      </c>
      <c r="H286" s="127" t="s">
        <v>421</v>
      </c>
      <c r="I286" s="127" t="s">
        <v>632</v>
      </c>
      <c r="J286" s="190" t="s">
        <v>1262</v>
      </c>
      <c r="K286" s="127" t="s">
        <v>1263</v>
      </c>
      <c r="L286" s="130">
        <v>42757</v>
      </c>
      <c r="M286" s="127" t="s">
        <v>230</v>
      </c>
      <c r="N286" s="127" t="s">
        <v>231</v>
      </c>
      <c r="O286" s="127" t="s">
        <v>185</v>
      </c>
      <c r="P286" s="127" t="s">
        <v>186</v>
      </c>
      <c r="Q286" s="85" t="str">
        <f t="shared" si="213"/>
        <v/>
      </c>
      <c r="R286" s="130"/>
      <c r="S286" s="128"/>
      <c r="T286" s="131"/>
      <c r="U286" s="132">
        <v>203</v>
      </c>
      <c r="V286" s="121">
        <v>218.2</v>
      </c>
      <c r="W286" s="116">
        <v>0.98</v>
      </c>
      <c r="X286" s="116">
        <v>1.66</v>
      </c>
      <c r="Y286" s="116">
        <f t="shared" si="191"/>
        <v>0.98</v>
      </c>
      <c r="Z286" s="133">
        <v>1.454</v>
      </c>
      <c r="AA286" s="133">
        <v>0.83599999999999997</v>
      </c>
      <c r="AB286" s="133">
        <v>0.72</v>
      </c>
      <c r="AC286" s="121">
        <v>34.299999999999997</v>
      </c>
      <c r="AD286" s="134">
        <v>1.17</v>
      </c>
      <c r="AE286" s="124">
        <v>177.8</v>
      </c>
      <c r="AF286" s="128">
        <v>9.19</v>
      </c>
      <c r="AG286" s="128">
        <v>2091</v>
      </c>
      <c r="AH286" s="127">
        <v>2706</v>
      </c>
      <c r="AI286" s="127">
        <v>2706</v>
      </c>
      <c r="AJ286" s="135"/>
      <c r="AK286" s="128"/>
      <c r="AL286" s="131"/>
      <c r="AM286" s="124" t="s">
        <v>232</v>
      </c>
      <c r="AN286" s="136" t="s">
        <v>1264</v>
      </c>
      <c r="AO286" s="137">
        <v>6.51</v>
      </c>
      <c r="AP286" s="128">
        <v>2091</v>
      </c>
      <c r="AQ286" s="128">
        <v>217.37830985915502</v>
      </c>
      <c r="AR286" s="128"/>
      <c r="AS286" s="128"/>
      <c r="AT286" s="122"/>
      <c r="AU286" s="124" t="s">
        <v>250</v>
      </c>
      <c r="AV286" s="115">
        <f>VLOOKUP(J286,'[63]ТР нефть'!$J$28:$BP$638,39,0)</f>
        <v>600</v>
      </c>
      <c r="AW286" s="115" t="str">
        <f>VLOOKUP(J286,'[63]ТР нефть'!$J$28:$BP$638,40,0)</f>
        <v>ГП</v>
      </c>
      <c r="AX286" s="115">
        <f>VLOOKUP(J286,'[63]ТР нефть'!$J$28:$BP$638,41,0)</f>
        <v>1100</v>
      </c>
      <c r="AY286" s="115" t="str">
        <f>VLOOKUP(J286,'[63]ТР нефть'!$J$28:$BP$638,42,0)</f>
        <v>ГП</v>
      </c>
      <c r="AZ286" s="115">
        <f>VLOOKUP(J286,'[63]ТР нефть'!$J$28:$BP$638,43,0)</f>
        <v>1470</v>
      </c>
      <c r="BA286" s="115" t="str">
        <f>VLOOKUP(J286,'[63]ТР нефть'!$J$28:$BP$638,44,0)</f>
        <v>ГП</v>
      </c>
      <c r="BB286" s="115">
        <f>VLOOKUP(J286,'[63]ТР нефть'!$J$28:$BP$638,45,0)</f>
        <v>1760</v>
      </c>
      <c r="BC286" s="115" t="str">
        <f>VLOOKUP(J286,'[63]ТР нефть'!$J$28:$BP$638,46,0)</f>
        <v>ЦКсОК 5/16</v>
      </c>
      <c r="BD286" s="115" t="str">
        <f>VLOOKUP(J286,'[63]ТР нефть'!$J$28:$BP$638,47,0)</f>
        <v>-</v>
      </c>
      <c r="BE286" s="115" t="str">
        <f>VLOOKUP(J286,'[63]ТР нефть'!$J$28:$BP$638,48,0)</f>
        <v>-</v>
      </c>
      <c r="BF286" s="115" t="str">
        <f>VLOOKUP(J286,'[63]ТР нефть'!$J$28:$BP$638,49,0)</f>
        <v>-</v>
      </c>
      <c r="BG286" s="115" t="str">
        <f>VLOOKUP(J286,'[63]ТР нефть'!$J$28:$BP$638,50,0)</f>
        <v>-</v>
      </c>
      <c r="BH286" s="115">
        <f>VLOOKUP(J286,'[63]ТР нефть'!$J$28:$BP$638,51,0)</f>
        <v>1770</v>
      </c>
      <c r="BI286" s="115" t="str">
        <f>VLOOKUP(J286,'[63]ТР нефть'!$J$28:$BP$638,52,0)</f>
        <v>закрыт</v>
      </c>
      <c r="BJ286" s="115" t="str">
        <f>IF(IFERROR(VLOOKUP(J286,'[63]ТР нефть'!$J$28:$BP$638,53,0),"-")=0,"-",IFERROR(VLOOKUP(J286,'[63]ТР нефть'!$J$28:$BP$638,53,0),"-"))</f>
        <v>-</v>
      </c>
      <c r="BK286" s="138" t="str">
        <f>IF(IFERROR(VLOOKUP(J286,'[63]ТР нефть'!$J$28:$BP$638,54,0),"-")=0,"-",IFERROR(VLOOKUP(J286,'[63]ТР нефть'!$J$28:$BP$638,54,0),"-"))</f>
        <v>-</v>
      </c>
      <c r="BL286" s="138" t="str">
        <f>IF(IFERROR(VLOOKUP(J286,'[63]ТР нефть'!$J$28:$BP$638,55,0),"-")=0,"-",IFERROR(VLOOKUP(J286,'[63]ТР нефть'!$J$28:$BP$638,55,0),"-"))</f>
        <v>-</v>
      </c>
      <c r="BM286" s="138" t="str">
        <f>IF(IFERROR(VLOOKUP(J286,'[63]ТР нефть'!$J$28:$BP$638,56,0),"-")=0,"-",IFERROR(VLOOKUP(J286,'[63]ТР нефть'!$J$28:$BP$638,56,0),"-"))</f>
        <v>-</v>
      </c>
      <c r="BN286" s="138" t="str">
        <f>IF(IFERROR(VLOOKUP(J286,'[63]ТР нефть'!$J$28:$BP$638,57,0),"-")=0,"-",IFERROR(VLOOKUP(J286,'[63]ТР нефть'!$J$28:$BP$638,57,0),"-"))</f>
        <v>-</v>
      </c>
      <c r="BO286" s="115" t="str">
        <f>IF(IFERROR(VLOOKUP(J286,'[63]ТР нефть'!$J$28:$BP$638,58,0),"-")=0,"-",IFERROR(VLOOKUP(J286,'[63]ТР нефть'!$J$28:$BP$638,58,0),"-"))</f>
        <v>-</v>
      </c>
      <c r="BP286" s="115" t="str">
        <f>IF(IFERROR(VLOOKUP(J286,'[63]ТР нефть'!$J$28:$BP$638,59,0),"-")=0,"-",IFERROR(VLOOKUP(J286,'[63]ТР нефть'!$J$28:$BP$638,59,0),"-"))</f>
        <v>-</v>
      </c>
      <c r="BQ286" s="138">
        <v>2110</v>
      </c>
      <c r="BR286" s="128">
        <v>1875.43</v>
      </c>
      <c r="BS286" s="115">
        <f t="shared" si="211"/>
        <v>234.56999999999994</v>
      </c>
      <c r="BT286" s="128">
        <v>73</v>
      </c>
      <c r="BU286" s="128">
        <v>5.5</v>
      </c>
      <c r="BV286" s="127">
        <v>65</v>
      </c>
      <c r="BW286" s="127" t="s">
        <v>217</v>
      </c>
      <c r="BX286" s="127" t="s">
        <v>195</v>
      </c>
      <c r="BY286" s="139">
        <v>24</v>
      </c>
      <c r="BZ286" s="139">
        <v>0</v>
      </c>
      <c r="CA286" s="138">
        <v>53</v>
      </c>
      <c r="CB286" s="138">
        <v>26</v>
      </c>
      <c r="CC286" s="138">
        <v>52</v>
      </c>
      <c r="CD286" s="135">
        <v>45017</v>
      </c>
      <c r="CE286" s="138">
        <v>122.8</v>
      </c>
      <c r="CF286" s="138"/>
      <c r="CG286" s="138" t="str">
        <f t="shared" si="212"/>
        <v/>
      </c>
      <c r="CH286" s="138" t="s">
        <v>197</v>
      </c>
      <c r="CI286" s="127"/>
      <c r="CJ286" s="138"/>
      <c r="CK286" s="138"/>
      <c r="CL286" s="99"/>
      <c r="CM286" s="138"/>
      <c r="CN286" s="154">
        <v>103</v>
      </c>
      <c r="CO286" s="159">
        <f t="shared" si="216"/>
        <v>16.3856</v>
      </c>
      <c r="CP286" s="160">
        <v>19.600000000000001</v>
      </c>
      <c r="CQ286" s="161">
        <v>0</v>
      </c>
      <c r="CR286" s="138">
        <v>23</v>
      </c>
      <c r="CS286" s="139"/>
      <c r="CT286" s="138"/>
      <c r="CU286" s="138">
        <f t="shared" si="188"/>
        <v>23</v>
      </c>
      <c r="CV286" s="115">
        <f t="shared" si="189"/>
        <v>1403.6715164534712</v>
      </c>
      <c r="CW286" s="115" t="str">
        <f t="shared" si="217"/>
        <v/>
      </c>
      <c r="CX286" s="133">
        <f t="shared" si="190"/>
        <v>0.98989898989899017</v>
      </c>
      <c r="CY286" s="116"/>
      <c r="CZ286" s="131"/>
      <c r="DA286" s="145" t="str">
        <f t="shared" si="218"/>
        <v>Фон.</v>
      </c>
      <c r="DB286" s="146">
        <f t="shared" si="219"/>
        <v>16.3856</v>
      </c>
      <c r="DC286" s="142">
        <f>IFERROR(IF(AND(FZ286="Технология",FQ286&lt;$JC$24),EM286,CP286),"-")</f>
        <v>19.600000000000001</v>
      </c>
      <c r="DD286" s="119">
        <f t="shared" si="204"/>
        <v>0</v>
      </c>
      <c r="DE286" s="115">
        <f t="shared" si="220"/>
        <v>23</v>
      </c>
      <c r="DF286" s="121">
        <f t="shared" si="221"/>
        <v>0</v>
      </c>
      <c r="DG286" s="115">
        <f t="shared" si="222"/>
        <v>1403.6715164534712</v>
      </c>
      <c r="DH286" s="115">
        <f t="shared" si="223"/>
        <v>103</v>
      </c>
      <c r="DI286" s="147"/>
      <c r="DJ286" s="111" t="s">
        <v>197</v>
      </c>
      <c r="DK286" s="112">
        <v>44012</v>
      </c>
      <c r="DL286" s="113">
        <f t="shared" ca="1" si="192"/>
        <v>1092</v>
      </c>
      <c r="DM286" s="114"/>
      <c r="DN286" s="114"/>
      <c r="DO286" s="114"/>
      <c r="DP286" s="114"/>
      <c r="DQ286" s="112">
        <v>42757</v>
      </c>
      <c r="DR286" s="114" t="s">
        <v>324</v>
      </c>
      <c r="DS286" s="114"/>
      <c r="DT286" s="115">
        <v>69</v>
      </c>
      <c r="DU286" s="116">
        <f t="shared" si="193"/>
        <v>0.85868430897670678</v>
      </c>
      <c r="DV286" s="117">
        <f t="shared" si="194"/>
        <v>38.620872427983542</v>
      </c>
      <c r="DW286" s="118">
        <f t="shared" si="195"/>
        <v>46.197215822946823</v>
      </c>
      <c r="DX286" s="119">
        <f t="shared" si="224"/>
        <v>0</v>
      </c>
      <c r="DY286" s="115">
        <f t="shared" si="196"/>
        <v>54.211018567743714</v>
      </c>
      <c r="DZ286" s="117">
        <f t="shared" si="197"/>
        <v>22.235272427983542</v>
      </c>
      <c r="EA286" s="120">
        <f t="shared" si="197"/>
        <v>26.597215822946822</v>
      </c>
      <c r="EB286" s="119">
        <f t="shared" si="197"/>
        <v>0</v>
      </c>
      <c r="EC286" s="121">
        <f t="shared" si="198"/>
        <v>31.211018567743714</v>
      </c>
      <c r="ED286" s="122"/>
      <c r="EE286" s="145">
        <v>65</v>
      </c>
      <c r="EF286" s="115">
        <v>53</v>
      </c>
      <c r="EG286" s="115">
        <v>26</v>
      </c>
      <c r="EH286" s="115">
        <v>52</v>
      </c>
      <c r="EI286" s="128" t="s">
        <v>195</v>
      </c>
      <c r="EJ286" s="121">
        <v>24</v>
      </c>
      <c r="EK286" s="121">
        <v>0</v>
      </c>
      <c r="EL286" s="159">
        <f>EM286*(1-EN286/100)*0.836</f>
        <v>16.3856</v>
      </c>
      <c r="EM286" s="142">
        <v>19.600000000000001</v>
      </c>
      <c r="EN286" s="143">
        <v>0</v>
      </c>
      <c r="EO286" s="138">
        <v>23</v>
      </c>
      <c r="EP286" s="115">
        <v>1403.6715164534712</v>
      </c>
      <c r="EQ286" s="115">
        <v>0</v>
      </c>
      <c r="ER286" s="115">
        <v>0</v>
      </c>
      <c r="ES286" s="115">
        <v>103</v>
      </c>
      <c r="ET286" s="150">
        <v>0.83333333333333348</v>
      </c>
      <c r="EU286" s="145">
        <f t="shared" si="225"/>
        <v>65</v>
      </c>
      <c r="EV286" s="115">
        <f t="shared" si="226"/>
        <v>53</v>
      </c>
      <c r="EW286" s="115">
        <f t="shared" si="226"/>
        <v>26</v>
      </c>
      <c r="EX286" s="115">
        <f t="shared" si="226"/>
        <v>52</v>
      </c>
      <c r="EY286" s="115" t="str">
        <f t="shared" si="206"/>
        <v>Постоянный</v>
      </c>
      <c r="EZ286" s="115">
        <f t="shared" si="206"/>
        <v>24</v>
      </c>
      <c r="FA286" s="115">
        <f t="shared" si="206"/>
        <v>0</v>
      </c>
      <c r="FB286" s="149">
        <f t="shared" si="209"/>
        <v>16.3856</v>
      </c>
      <c r="FC286" s="142">
        <f t="shared" si="209"/>
        <v>19.600000000000001</v>
      </c>
      <c r="FD286" s="119">
        <f t="shared" si="209"/>
        <v>0</v>
      </c>
      <c r="FE286" s="121">
        <f t="shared" si="208"/>
        <v>23</v>
      </c>
      <c r="FF286" s="121">
        <f t="shared" si="199"/>
        <v>1403.6715164534712</v>
      </c>
      <c r="FG286" s="121">
        <f t="shared" si="227"/>
        <v>0</v>
      </c>
      <c r="FH286" s="121">
        <f t="shared" si="200"/>
        <v>0</v>
      </c>
      <c r="FI286" s="121">
        <f t="shared" si="205"/>
        <v>103</v>
      </c>
      <c r="FJ286" s="144">
        <f t="shared" si="228"/>
        <v>0.98989898989899017</v>
      </c>
      <c r="FK286" s="132">
        <f t="shared" si="229"/>
        <v>0</v>
      </c>
      <c r="FL286" s="115">
        <f t="shared" si="229"/>
        <v>0</v>
      </c>
      <c r="FM286" s="115">
        <f t="shared" si="229"/>
        <v>0</v>
      </c>
      <c r="FN286" s="115">
        <f t="shared" si="229"/>
        <v>0</v>
      </c>
      <c r="FO286" s="115">
        <f t="shared" si="201"/>
        <v>0</v>
      </c>
      <c r="FP286" s="115">
        <f t="shared" si="201"/>
        <v>0</v>
      </c>
      <c r="FQ286" s="149">
        <f t="shared" si="201"/>
        <v>0</v>
      </c>
      <c r="FR286" s="142">
        <f t="shared" si="201"/>
        <v>0</v>
      </c>
      <c r="FS286" s="119">
        <f t="shared" si="201"/>
        <v>0</v>
      </c>
      <c r="FT286" s="121">
        <f t="shared" si="201"/>
        <v>0</v>
      </c>
      <c r="FU286" s="121">
        <f t="shared" si="230"/>
        <v>0</v>
      </c>
      <c r="FV286" s="121">
        <f t="shared" si="230"/>
        <v>0</v>
      </c>
      <c r="FW286" s="121">
        <f t="shared" si="231"/>
        <v>0</v>
      </c>
      <c r="FX286" s="121">
        <f>CN286-ES286</f>
        <v>0</v>
      </c>
      <c r="FY286" s="144">
        <f t="shared" si="214"/>
        <v>0.15656565656565669</v>
      </c>
      <c r="FZ286" s="145"/>
      <c r="GA286" s="151"/>
      <c r="GB286" s="145" t="s">
        <v>221</v>
      </c>
      <c r="GC286" s="151" t="s">
        <v>533</v>
      </c>
      <c r="GD286" s="997" t="s">
        <v>416</v>
      </c>
      <c r="GE286" s="1004" t="s">
        <v>221</v>
      </c>
      <c r="GF286" s="1004">
        <v>4.457829551999998</v>
      </c>
      <c r="GG286" s="1004"/>
      <c r="GH286" s="1004">
        <v>0</v>
      </c>
      <c r="GI286" s="145"/>
      <c r="GJ286" s="996">
        <v>0</v>
      </c>
      <c r="GK286" s="145"/>
      <c r="GL286" s="996">
        <v>0</v>
      </c>
      <c r="GM286" s="1005"/>
      <c r="GN286" s="996">
        <v>0</v>
      </c>
      <c r="GO286" s="1006"/>
      <c r="GP286" s="996">
        <v>0</v>
      </c>
      <c r="GQ286" s="1006"/>
      <c r="GR286" s="996">
        <v>0</v>
      </c>
      <c r="GS286" s="1006"/>
      <c r="GT286" s="996">
        <v>0</v>
      </c>
      <c r="GU286" s="1006"/>
      <c r="GV286" s="996">
        <v>0</v>
      </c>
      <c r="GW286" s="1006"/>
      <c r="GX286" s="1035">
        <v>0</v>
      </c>
      <c r="GY286" s="1006"/>
      <c r="GZ286" s="996">
        <v>0</v>
      </c>
      <c r="HA286" s="1006"/>
      <c r="HB286" s="996">
        <v>0</v>
      </c>
      <c r="HC286" s="1006" t="s">
        <v>223</v>
      </c>
      <c r="HD286" s="996">
        <v>-3.5867175519999996</v>
      </c>
      <c r="HE286" s="1006"/>
      <c r="HF286" s="996">
        <v>0</v>
      </c>
      <c r="HG286" s="1006" t="s">
        <v>223</v>
      </c>
      <c r="HH286" s="996">
        <v>-4.754331999999998</v>
      </c>
      <c r="HI286" s="1006"/>
      <c r="HJ286" s="996">
        <v>0</v>
      </c>
      <c r="HK286" s="1006" t="s">
        <v>204</v>
      </c>
      <c r="HL286" s="996">
        <v>7.3841371999999978</v>
      </c>
      <c r="HM286" s="1006"/>
      <c r="HN286" s="996">
        <v>0</v>
      </c>
      <c r="HO286" s="1006" t="s">
        <v>204</v>
      </c>
      <c r="HP286" s="996">
        <v>-4.6024809599999958</v>
      </c>
      <c r="HQ286" s="1006"/>
      <c r="HR286" s="996">
        <v>0</v>
      </c>
      <c r="HS286" s="1006"/>
      <c r="HT286" s="996">
        <v>0</v>
      </c>
      <c r="HU286" s="1006"/>
      <c r="HV286" s="996">
        <v>-8.3215440000001806E-2</v>
      </c>
      <c r="HW286" s="1006" t="s">
        <v>241</v>
      </c>
      <c r="HX286" s="996">
        <v>-4.1607719999999979</v>
      </c>
      <c r="HY286" s="1006"/>
      <c r="HZ286" s="996">
        <v>0</v>
      </c>
      <c r="IA286" s="1006" t="s">
        <v>204</v>
      </c>
      <c r="IB286" s="996">
        <v>2.2551384239999983</v>
      </c>
      <c r="IC286" s="1006" t="s">
        <v>204</v>
      </c>
      <c r="ID286" s="996">
        <v>1.2399100559999994</v>
      </c>
      <c r="IE286" s="1006"/>
      <c r="IF286" s="996">
        <v>0</v>
      </c>
      <c r="IG286" s="1006" t="s">
        <v>204</v>
      </c>
      <c r="IH286" s="996">
        <v>9.0538398719999993</v>
      </c>
      <c r="II286" s="1006" t="s">
        <v>204</v>
      </c>
      <c r="IJ286" s="996">
        <v>-5.2805371519999991</v>
      </c>
      <c r="IK286" s="1006" t="s">
        <v>204</v>
      </c>
      <c r="IL286" s="996">
        <v>-2.3107876000000029</v>
      </c>
      <c r="IM286" s="1006"/>
      <c r="IN286" s="996">
        <v>-0.36441239999999731</v>
      </c>
      <c r="IO286" s="1006"/>
      <c r="IP286" s="996">
        <v>0</v>
      </c>
      <c r="IQ286" s="1006" t="s">
        <v>223</v>
      </c>
      <c r="IR286" s="996">
        <v>-3.6533200000000008</v>
      </c>
      <c r="IS286" s="1006"/>
      <c r="IT286" s="996">
        <v>0</v>
      </c>
      <c r="IU286" s="1006"/>
      <c r="IV286" s="996">
        <v>0.25915999999999784</v>
      </c>
      <c r="IW286" s="1006" t="s">
        <v>223</v>
      </c>
      <c r="IX286" s="996">
        <v>-2.6584799999999973</v>
      </c>
      <c r="IY286" s="1006"/>
      <c r="IZ286" s="996">
        <v>0</v>
      </c>
      <c r="JA286" s="1006"/>
      <c r="JB286" s="996">
        <v>0</v>
      </c>
      <c r="JC286" s="1006"/>
      <c r="JD286" s="996">
        <v>0</v>
      </c>
      <c r="JE286" s="1006"/>
      <c r="JF286" s="996">
        <v>0</v>
      </c>
      <c r="JG286" s="1006"/>
      <c r="JH286" s="996">
        <v>0</v>
      </c>
      <c r="JI286" s="1006"/>
      <c r="JJ286" s="996">
        <v>0</v>
      </c>
      <c r="JK286" s="1007"/>
      <c r="JL286" s="1007">
        <v>0</v>
      </c>
      <c r="JM286" s="1007" t="s">
        <v>199</v>
      </c>
      <c r="JN286" s="1007">
        <v>2.1234399999999987</v>
      </c>
      <c r="JO286" s="1008"/>
      <c r="JP286" s="1007">
        <v>0</v>
      </c>
      <c r="JQ286" s="1008" t="s">
        <v>223</v>
      </c>
      <c r="JR286" s="1007">
        <v>-3.8957599999999992</v>
      </c>
      <c r="JS286" s="1008">
        <v>0</v>
      </c>
      <c r="JT286" s="1007">
        <v>-0.53503999999999863</v>
      </c>
      <c r="JU286" s="1008" t="s">
        <v>223</v>
      </c>
      <c r="JV286" s="1007">
        <v>-4.6815999999999995</v>
      </c>
      <c r="JW286" s="1008" t="s">
        <v>197</v>
      </c>
      <c r="JX286" s="1007">
        <v>0</v>
      </c>
      <c r="JY286" s="1008"/>
      <c r="JZ286" s="1007">
        <v>0</v>
      </c>
      <c r="KA286" s="1008"/>
      <c r="KB286" s="1007">
        <v>0</v>
      </c>
      <c r="KC286" s="1008"/>
      <c r="KD286" s="1007">
        <v>0</v>
      </c>
      <c r="KE286" s="1008"/>
      <c r="KF286" s="1007">
        <v>0</v>
      </c>
      <c r="KG286" s="1008" t="s">
        <v>204</v>
      </c>
      <c r="KH286" s="1007">
        <v>-2.173600000000004</v>
      </c>
      <c r="KI286" s="1008" t="s">
        <v>207</v>
      </c>
      <c r="KJ286" s="1007">
        <v>3.5948000000000029</v>
      </c>
      <c r="KK286" s="1008"/>
      <c r="KL286" s="1007">
        <v>0</v>
      </c>
      <c r="KM286" s="1008"/>
      <c r="KN286" s="1007">
        <v>0</v>
      </c>
      <c r="KO286" s="1008"/>
      <c r="KP286" s="1007">
        <v>0</v>
      </c>
      <c r="KQ286" s="1008">
        <v>0</v>
      </c>
      <c r="KR286" s="1007">
        <v>0</v>
      </c>
      <c r="KS286" s="1008" t="s">
        <v>204</v>
      </c>
      <c r="KT286" s="1007">
        <v>-3.9292000000000016</v>
      </c>
      <c r="KU286" s="1008">
        <v>0</v>
      </c>
      <c r="KV286" s="1007">
        <v>0</v>
      </c>
      <c r="KW286" s="1008" t="s">
        <v>204</v>
      </c>
      <c r="KX286" s="1007">
        <v>-3.3439999999999976</v>
      </c>
      <c r="KY286" s="1008">
        <v>0</v>
      </c>
      <c r="KZ286" s="1007">
        <v>0</v>
      </c>
      <c r="LA286" s="1008" t="s">
        <v>204</v>
      </c>
      <c r="LB286" s="1007">
        <v>-2.5080000000000027</v>
      </c>
      <c r="LC286" s="1008">
        <v>0</v>
      </c>
      <c r="LD286" s="1007">
        <v>0</v>
      </c>
      <c r="LE286" s="1008">
        <v>0</v>
      </c>
      <c r="LF286" s="1007">
        <v>0</v>
      </c>
      <c r="LG286" s="1008" t="s">
        <v>204</v>
      </c>
      <c r="LH286" s="1007">
        <v>-1.671999999999997</v>
      </c>
      <c r="LI286" s="1008">
        <v>0</v>
      </c>
      <c r="LJ286" s="1007">
        <v>0</v>
      </c>
      <c r="LK286" s="1008" t="s">
        <v>207</v>
      </c>
      <c r="LL286" s="1007">
        <v>5.8520000000000003</v>
      </c>
      <c r="LM286" s="1008" t="s">
        <v>555</v>
      </c>
      <c r="LN286" s="1007">
        <v>-0.83599999999999997</v>
      </c>
      <c r="LO286" s="1008">
        <v>0</v>
      </c>
      <c r="LP286" s="1007">
        <v>0</v>
      </c>
      <c r="LQ286" s="1008" t="s">
        <v>204</v>
      </c>
      <c r="LR286" s="1007">
        <v>4.2552400000000041</v>
      </c>
      <c r="LS286" s="1008">
        <v>0</v>
      </c>
      <c r="LT286" s="1007">
        <v>0.76759999999997997</v>
      </c>
      <c r="LU286" s="1008">
        <v>0</v>
      </c>
      <c r="LV286" s="1007">
        <v>2.58</v>
      </c>
      <c r="LW286" s="1008">
        <v>0</v>
      </c>
      <c r="LX286" s="1007">
        <v>0</v>
      </c>
      <c r="LY286" s="1009">
        <v>0</v>
      </c>
      <c r="LZ286" s="1010">
        <v>0</v>
      </c>
      <c r="MA286" s="1011">
        <v>0</v>
      </c>
      <c r="MB286" s="1012">
        <v>25.8</v>
      </c>
      <c r="MC286" s="995"/>
      <c r="MD286" s="996"/>
      <c r="ME286" s="997" t="s">
        <v>416</v>
      </c>
      <c r="MF286" s="997"/>
      <c r="MG286" s="998"/>
      <c r="NR286" s="1000"/>
      <c r="NS286" s="1000"/>
      <c r="NT286" s="1001"/>
      <c r="NU286" s="1000"/>
      <c r="NV286" s="1001"/>
      <c r="NX286" s="1002"/>
      <c r="NZ286" s="1001"/>
      <c r="OA286" s="1001"/>
      <c r="OC286" s="1003"/>
      <c r="OD286" s="1003"/>
      <c r="OE286" s="1001"/>
      <c r="OF286" s="1003"/>
      <c r="OG286" s="1003"/>
      <c r="QX286" s="1000">
        <f>CN286-CA286</f>
        <v>50</v>
      </c>
      <c r="ASU286" s="999" t="s">
        <v>292</v>
      </c>
    </row>
    <row r="287" spans="1:466 1191:1191" ht="21" customHeight="1" x14ac:dyDescent="0.25">
      <c r="A287" s="982">
        <f t="shared" si="215"/>
        <v>1256</v>
      </c>
      <c r="B287" s="124">
        <f>SUBTOTAL(103,$J$29:J287)</f>
        <v>259</v>
      </c>
      <c r="C287" s="126">
        <v>45068</v>
      </c>
      <c r="D287" s="124" t="s">
        <v>176</v>
      </c>
      <c r="E287" s="127" t="s">
        <v>177</v>
      </c>
      <c r="F287" s="128" t="s">
        <v>177</v>
      </c>
      <c r="G287" s="127" t="s">
        <v>178</v>
      </c>
      <c r="H287" s="127" t="s">
        <v>408</v>
      </c>
      <c r="I287" s="127" t="s">
        <v>409</v>
      </c>
      <c r="J287" s="152">
        <v>1256</v>
      </c>
      <c r="K287" s="127" t="s">
        <v>409</v>
      </c>
      <c r="L287" s="130">
        <v>42297</v>
      </c>
      <c r="M287" s="127" t="s">
        <v>230</v>
      </c>
      <c r="N287" s="127" t="s">
        <v>245</v>
      </c>
      <c r="O287" s="127" t="s">
        <v>185</v>
      </c>
      <c r="P287" s="127" t="s">
        <v>186</v>
      </c>
      <c r="Q287" s="85" t="str">
        <f t="shared" si="213"/>
        <v/>
      </c>
      <c r="R287" s="130"/>
      <c r="S287" s="128"/>
      <c r="T287" s="131"/>
      <c r="U287" s="132">
        <v>203</v>
      </c>
      <c r="V287" s="121">
        <v>218.2</v>
      </c>
      <c r="W287" s="116">
        <v>0.98</v>
      </c>
      <c r="X287" s="116">
        <v>1.66</v>
      </c>
      <c r="Y287" s="116">
        <f t="shared" si="191"/>
        <v>0.98</v>
      </c>
      <c r="Z287" s="133">
        <v>1.454</v>
      </c>
      <c r="AA287" s="133">
        <v>0.83599999999999997</v>
      </c>
      <c r="AB287" s="133">
        <v>0.72</v>
      </c>
      <c r="AC287" s="121">
        <v>34.299999999999997</v>
      </c>
      <c r="AD287" s="134">
        <v>1.17</v>
      </c>
      <c r="AE287" s="124">
        <v>177.8</v>
      </c>
      <c r="AF287" s="128">
        <v>9.19</v>
      </c>
      <c r="AG287" s="128">
        <v>2123</v>
      </c>
      <c r="AH287" s="127" t="s">
        <v>1265</v>
      </c>
      <c r="AI287" s="127" t="s">
        <v>1265</v>
      </c>
      <c r="AJ287" s="135">
        <v>43115</v>
      </c>
      <c r="AK287" s="128" t="s">
        <v>1018</v>
      </c>
      <c r="AL287" s="131"/>
      <c r="AM287" s="124" t="s">
        <v>232</v>
      </c>
      <c r="AN287" s="136" t="s">
        <v>1266</v>
      </c>
      <c r="AO287" s="137" t="s">
        <v>1267</v>
      </c>
      <c r="AP287" s="128" t="s">
        <v>1268</v>
      </c>
      <c r="AQ287" s="128">
        <v>240.76</v>
      </c>
      <c r="AR287" s="128"/>
      <c r="AS287" s="128"/>
      <c r="AT287" s="122"/>
      <c r="AU287" s="124" t="s">
        <v>189</v>
      </c>
      <c r="AV287" s="115">
        <f>VLOOKUP(J287,'[63]ТР нефть'!$J$28:$BP$638,39,0)</f>
        <v>540.00000644500005</v>
      </c>
      <c r="AW287" s="115" t="str">
        <f>VLOOKUP(J287,'[63]ТР нефть'!$J$28:$BP$638,40,0)</f>
        <v>ГК 79 5/32</v>
      </c>
      <c r="AX287" s="115">
        <f>VLOOKUP(J287,'[63]ТР нефть'!$J$28:$BP$638,41,0)</f>
        <v>970.00002949199995</v>
      </c>
      <c r="AY287" s="115" t="str">
        <f>VLOOKUP(J287,'[63]ТР нефть'!$J$28:$BP$638,42,0)</f>
        <v>ГК 79 5/32</v>
      </c>
      <c r="AZ287" s="115">
        <f>VLOOKUP(J287,'[63]ТР нефть'!$J$28:$BP$638,43,0)</f>
        <v>1310.000039063</v>
      </c>
      <c r="BA287" s="115" t="str">
        <f>VLOOKUP(J287,'[63]ТР нефть'!$J$28:$BP$638,44,0)</f>
        <v>ГК 77 1/8</v>
      </c>
      <c r="BB287" s="115">
        <f>VLOOKUP(J287,'[63]ТР нефть'!$J$28:$BP$638,45,0)</f>
        <v>1590.000064453</v>
      </c>
      <c r="BC287" s="115" t="str">
        <f>VLOOKUP(J287,'[63]ТР нефть'!$J$28:$BP$638,46,0)</f>
        <v>ГК 77 1/8</v>
      </c>
      <c r="BD287" s="115">
        <f>VLOOKUP(J287,'[63]ТР нефть'!$J$28:$BP$638,47,0)</f>
        <v>1790.0000613279999</v>
      </c>
      <c r="BE287" s="115" t="str">
        <f>VLOOKUP(J287,'[63]ТР нефть'!$J$28:$BP$638,48,0)</f>
        <v>ЦКсОК 5/16</v>
      </c>
      <c r="BF287" s="115" t="str">
        <f>VLOOKUP(J287,'[63]ТР нефть'!$J$28:$BP$638,49,0)</f>
        <v>-</v>
      </c>
      <c r="BG287" s="115" t="str">
        <f>VLOOKUP(J287,'[63]ТР нефть'!$J$28:$BP$638,50,0)</f>
        <v>-</v>
      </c>
      <c r="BH287" s="115">
        <f>VLOOKUP(J287,'[63]ТР нефть'!$J$28:$BP$638,51,0)</f>
        <v>1800</v>
      </c>
      <c r="BI287" s="115" t="str">
        <f>VLOOKUP(J287,'[63]ТР нефть'!$J$28:$BP$638,52,0)</f>
        <v>Открыт</v>
      </c>
      <c r="BJ287" s="115" t="str">
        <f>IF(IFERROR(VLOOKUP(J287,'[63]ТР нефть'!$J$28:$BP$638,53,0),"-")=0,"-",IFERROR(VLOOKUP(J287,'[63]ТР нефть'!$J$28:$BP$638,53,0),"-"))</f>
        <v>-</v>
      </c>
      <c r="BK287" s="138" t="str">
        <f>IF(IFERROR(VLOOKUP(J287,'[63]ТР нефть'!$J$28:$BP$638,54,0),"-")=0,"-",IFERROR(VLOOKUP(J287,'[63]ТР нефть'!$J$28:$BP$638,54,0),"-"))</f>
        <v>-</v>
      </c>
      <c r="BL287" s="138" t="str">
        <f>IF(IFERROR(VLOOKUP(J287,'[63]ТР нефть'!$J$28:$BP$638,55,0),"-")=0,"-",IFERROR(VLOOKUP(J287,'[63]ТР нефть'!$J$28:$BP$638,55,0),"-"))</f>
        <v>-</v>
      </c>
      <c r="BM287" s="138" t="str">
        <f>IF(IFERROR(VLOOKUP(J287,'[63]ТР нефть'!$J$28:$BP$638,56,0),"-")=0,"-",IFERROR(VLOOKUP(J287,'[63]ТР нефть'!$J$28:$BP$638,56,0),"-"))</f>
        <v>-</v>
      </c>
      <c r="BN287" s="138" t="str">
        <f>IF(IFERROR(VLOOKUP(J287,'[63]ТР нефть'!$J$28:$BP$638,57,0),"-")=0,"-",IFERROR(VLOOKUP(J287,'[63]ТР нефть'!$J$28:$BP$638,57,0),"-"))</f>
        <v>-</v>
      </c>
      <c r="BO287" s="115" t="str">
        <f>IF(IFERROR(VLOOKUP(J287,'[63]ТР нефть'!$J$28:$BP$638,58,0),"-")=0,"-",IFERROR(VLOOKUP(J287,'[63]ТР нефть'!$J$28:$BP$638,58,0),"-"))</f>
        <v>-</v>
      </c>
      <c r="BP287" s="115" t="str">
        <f>IF(IFERROR(VLOOKUP(J287,'[63]ТР нефть'!$J$28:$BP$638,59,0),"-")=0,"-",IFERROR(VLOOKUP(J287,'[63]ТР нефть'!$J$28:$BP$638,59,0),"-"))</f>
        <v>-</v>
      </c>
      <c r="BQ287" s="138">
        <v>2120</v>
      </c>
      <c r="BR287" s="128">
        <v>1881.7</v>
      </c>
      <c r="BS287" s="115">
        <f t="shared" si="211"/>
        <v>238.29999999999995</v>
      </c>
      <c r="BT287" s="128">
        <v>73</v>
      </c>
      <c r="BU287" s="128">
        <v>5.5</v>
      </c>
      <c r="BV287" s="127">
        <v>18</v>
      </c>
      <c r="BW287" s="127" t="s">
        <v>217</v>
      </c>
      <c r="BX287" s="127" t="s">
        <v>195</v>
      </c>
      <c r="BY287" s="139">
        <v>24</v>
      </c>
      <c r="BZ287" s="139">
        <v>0</v>
      </c>
      <c r="CA287" s="138">
        <v>21</v>
      </c>
      <c r="CB287" s="138">
        <v>37</v>
      </c>
      <c r="CC287" s="138">
        <v>20</v>
      </c>
      <c r="CD287" s="135">
        <v>45017</v>
      </c>
      <c r="CE287" s="138">
        <v>116</v>
      </c>
      <c r="CF287" s="138">
        <v>68</v>
      </c>
      <c r="CG287" s="138" t="str">
        <f t="shared" si="212"/>
        <v>В работе</v>
      </c>
      <c r="CH287" s="138" t="s">
        <v>196</v>
      </c>
      <c r="CI287" s="138">
        <v>6</v>
      </c>
      <c r="CJ287" s="139"/>
      <c r="CK287" s="139"/>
      <c r="CL287" s="99"/>
      <c r="CM287" s="99"/>
      <c r="CN287" s="154">
        <v>41</v>
      </c>
      <c r="CO287" s="141">
        <f t="shared" si="216"/>
        <v>16.302</v>
      </c>
      <c r="CP287" s="160">
        <v>19.5</v>
      </c>
      <c r="CQ287" s="161">
        <v>0</v>
      </c>
      <c r="CR287" s="115">
        <v>15.5</v>
      </c>
      <c r="CS287" s="138">
        <v>9.6</v>
      </c>
      <c r="CT287" s="138"/>
      <c r="CU287" s="138">
        <f t="shared" si="188"/>
        <v>5.9</v>
      </c>
      <c r="CV287" s="115">
        <f t="shared" si="189"/>
        <v>361.91878297141454</v>
      </c>
      <c r="CW287" s="115">
        <f t="shared" si="217"/>
        <v>588.88479941111518</v>
      </c>
      <c r="CX287" s="133">
        <f t="shared" si="190"/>
        <v>0.26</v>
      </c>
      <c r="CY287" s="116"/>
      <c r="CZ287" s="131"/>
      <c r="DA287" s="145" t="str">
        <f t="shared" si="218"/>
        <v>Газлифт</v>
      </c>
      <c r="DB287" s="146">
        <f t="shared" si="219"/>
        <v>16.302</v>
      </c>
      <c r="DC287" s="142">
        <f>IFERROR(IF(AND(FZ287="Технология",FQ287&lt;$JC$24),EM287,CP287),"-")</f>
        <v>19.5</v>
      </c>
      <c r="DD287" s="119">
        <f t="shared" si="204"/>
        <v>0</v>
      </c>
      <c r="DE287" s="115">
        <f t="shared" si="220"/>
        <v>5.9</v>
      </c>
      <c r="DF287" s="121">
        <f t="shared" si="221"/>
        <v>9.6</v>
      </c>
      <c r="DG287" s="115">
        <f t="shared" si="222"/>
        <v>361.91878297141454</v>
      </c>
      <c r="DH287" s="115">
        <f t="shared" si="223"/>
        <v>41</v>
      </c>
      <c r="DI287" s="147"/>
      <c r="DJ287" s="111">
        <v>42991</v>
      </c>
      <c r="DK287" s="112">
        <v>43145.083333333336</v>
      </c>
      <c r="DL287" s="113">
        <f t="shared" ca="1" si="192"/>
        <v>1958.9166666666642</v>
      </c>
      <c r="DM287" s="114"/>
      <c r="DN287" s="114"/>
      <c r="DO287" s="114"/>
      <c r="DP287" s="114"/>
      <c r="DQ287" s="112" t="s">
        <v>1269</v>
      </c>
      <c r="DR287" s="114" t="s">
        <v>198</v>
      </c>
      <c r="DS287" s="114"/>
      <c r="DT287" s="115">
        <v>44</v>
      </c>
      <c r="DU287" s="116">
        <f t="shared" si="193"/>
        <v>0.27083333333333331</v>
      </c>
      <c r="DV287" s="117">
        <f t="shared" si="194"/>
        <v>16.302</v>
      </c>
      <c r="DW287" s="118">
        <f t="shared" si="195"/>
        <v>19.5</v>
      </c>
      <c r="DX287" s="119">
        <f t="shared" si="224"/>
        <v>0</v>
      </c>
      <c r="DY287" s="115">
        <f t="shared" si="196"/>
        <v>5.9</v>
      </c>
      <c r="DZ287" s="117">
        <f t="shared" si="197"/>
        <v>0</v>
      </c>
      <c r="EA287" s="120">
        <f t="shared" si="197"/>
        <v>0</v>
      </c>
      <c r="EB287" s="119">
        <f t="shared" si="197"/>
        <v>0</v>
      </c>
      <c r="EC287" s="121">
        <f t="shared" si="198"/>
        <v>0</v>
      </c>
      <c r="ED287" s="122"/>
      <c r="EE287" s="145">
        <v>18</v>
      </c>
      <c r="EF287" s="115">
        <v>20</v>
      </c>
      <c r="EG287" s="115">
        <v>33</v>
      </c>
      <c r="EH287" s="115">
        <v>20</v>
      </c>
      <c r="EI287" s="128" t="s">
        <v>195</v>
      </c>
      <c r="EJ287" s="121">
        <v>24</v>
      </c>
      <c r="EK287" s="121">
        <v>0</v>
      </c>
      <c r="EL287" s="149">
        <v>15.5496</v>
      </c>
      <c r="EM287" s="142">
        <v>18.600000000000001</v>
      </c>
      <c r="EN287" s="119">
        <v>0</v>
      </c>
      <c r="EO287" s="115">
        <v>15.5</v>
      </c>
      <c r="EP287" s="115">
        <v>430.8792509132067</v>
      </c>
      <c r="EQ287" s="115">
        <v>61</v>
      </c>
      <c r="ER287" s="115">
        <v>8.8000000000000007</v>
      </c>
      <c r="ES287" s="115">
        <v>42</v>
      </c>
      <c r="ET287" s="150">
        <v>0.25135135135135139</v>
      </c>
      <c r="EU287" s="145">
        <f t="shared" si="225"/>
        <v>18</v>
      </c>
      <c r="EV287" s="115">
        <f t="shared" si="226"/>
        <v>21</v>
      </c>
      <c r="EW287" s="115">
        <f t="shared" si="226"/>
        <v>37</v>
      </c>
      <c r="EX287" s="115">
        <f t="shared" si="226"/>
        <v>20</v>
      </c>
      <c r="EY287" s="115" t="str">
        <f t="shared" si="206"/>
        <v>Постоянный</v>
      </c>
      <c r="EZ287" s="115">
        <f t="shared" si="206"/>
        <v>24</v>
      </c>
      <c r="FA287" s="115">
        <f t="shared" si="206"/>
        <v>0</v>
      </c>
      <c r="FB287" s="149">
        <f t="shared" si="209"/>
        <v>16.302</v>
      </c>
      <c r="FC287" s="142">
        <f t="shared" si="209"/>
        <v>19.5</v>
      </c>
      <c r="FD287" s="119">
        <f t="shared" si="209"/>
        <v>0</v>
      </c>
      <c r="FE287" s="121">
        <f t="shared" si="208"/>
        <v>15.5</v>
      </c>
      <c r="FF287" s="121">
        <f t="shared" si="199"/>
        <v>361.91878297141454</v>
      </c>
      <c r="FG287" s="121">
        <f t="shared" si="227"/>
        <v>68</v>
      </c>
      <c r="FH287" s="121">
        <f t="shared" si="200"/>
        <v>9.6</v>
      </c>
      <c r="FI287" s="121">
        <f t="shared" si="205"/>
        <v>41</v>
      </c>
      <c r="FJ287" s="212">
        <f t="shared" si="228"/>
        <v>0.26</v>
      </c>
      <c r="FK287" s="132">
        <f t="shared" si="229"/>
        <v>0</v>
      </c>
      <c r="FL287" s="115">
        <f t="shared" si="229"/>
        <v>1</v>
      </c>
      <c r="FM287" s="115">
        <f t="shared" si="229"/>
        <v>4</v>
      </c>
      <c r="FN287" s="115">
        <f t="shared" si="229"/>
        <v>0</v>
      </c>
      <c r="FO287" s="115">
        <f t="shared" ref="FO287:FT350" si="232">EZ287-EJ287</f>
        <v>0</v>
      </c>
      <c r="FP287" s="115">
        <f t="shared" si="232"/>
        <v>0</v>
      </c>
      <c r="FQ287" s="149">
        <f t="shared" si="232"/>
        <v>0.75239999999999974</v>
      </c>
      <c r="FR287" s="142">
        <f t="shared" si="232"/>
        <v>0.89999999999999858</v>
      </c>
      <c r="FS287" s="119">
        <f t="shared" si="232"/>
        <v>0</v>
      </c>
      <c r="FT287" s="121">
        <f t="shared" si="232"/>
        <v>0</v>
      </c>
      <c r="FU287" s="121">
        <f t="shared" si="230"/>
        <v>7</v>
      </c>
      <c r="FV287" s="121">
        <f t="shared" si="230"/>
        <v>0.79999999999999893</v>
      </c>
      <c r="FW287" s="121">
        <f t="shared" si="231"/>
        <v>-68.96046794179216</v>
      </c>
      <c r="FX287" s="121">
        <f>CN287-ES287</f>
        <v>-1</v>
      </c>
      <c r="FY287" s="144">
        <f t="shared" si="214"/>
        <v>8.6486486486486158E-3</v>
      </c>
      <c r="FZ287" s="145"/>
      <c r="GA287" s="151"/>
      <c r="GB287" s="145" t="s">
        <v>199</v>
      </c>
      <c r="GC287" s="131" t="s">
        <v>415</v>
      </c>
      <c r="GD287" s="997" t="s">
        <v>416</v>
      </c>
      <c r="GE287" s="1004" t="s">
        <v>199</v>
      </c>
      <c r="GF287" s="1004">
        <v>-0.75239999999999974</v>
      </c>
      <c r="GG287" s="1004"/>
      <c r="GH287" s="1004">
        <v>0</v>
      </c>
      <c r="GI287" s="145"/>
      <c r="GJ287" s="996">
        <v>0.41800000000000104</v>
      </c>
      <c r="GK287" s="145"/>
      <c r="GL287" s="996">
        <v>0</v>
      </c>
      <c r="GM287" s="1005" t="s">
        <v>240</v>
      </c>
      <c r="GN287" s="996">
        <v>-1.6720000000000024</v>
      </c>
      <c r="GO287" s="1006" t="s">
        <v>199</v>
      </c>
      <c r="GP287" s="996">
        <v>-2.340799999999998</v>
      </c>
      <c r="GQ287" s="1006"/>
      <c r="GR287" s="996">
        <v>0</v>
      </c>
      <c r="GS287" s="1006" t="s">
        <v>199</v>
      </c>
      <c r="GT287" s="996">
        <v>3.7620000000000005</v>
      </c>
      <c r="GU287" s="1006"/>
      <c r="GV287" s="996">
        <v>0</v>
      </c>
      <c r="GW287" s="1006"/>
      <c r="GX287" s="1035">
        <v>0.41799999999999926</v>
      </c>
      <c r="GY287" s="1006"/>
      <c r="GZ287" s="996">
        <v>-0.41799999999999926</v>
      </c>
      <c r="HA287" s="1006"/>
      <c r="HB287" s="996">
        <v>-0.58520000000000039</v>
      </c>
      <c r="HC287" s="1006" t="s">
        <v>199</v>
      </c>
      <c r="HD287" s="996">
        <v>1.7973999999999979</v>
      </c>
      <c r="HE287" s="1006" t="s">
        <v>204</v>
      </c>
      <c r="HF287" s="996">
        <v>0.96975999999999907</v>
      </c>
      <c r="HG287" s="1006"/>
      <c r="HH287" s="996">
        <v>0</v>
      </c>
      <c r="HI287" s="1006" t="s">
        <v>199</v>
      </c>
      <c r="HJ287" s="996">
        <v>1.2038400000000014</v>
      </c>
      <c r="HK287" s="1006" t="s">
        <v>223</v>
      </c>
      <c r="HL287" s="996">
        <v>-2.3658799999999989</v>
      </c>
      <c r="HM287" s="1006"/>
      <c r="HN287" s="996">
        <v>0</v>
      </c>
      <c r="HO287" s="1006"/>
      <c r="HP287" s="996">
        <v>0.72731999999999886</v>
      </c>
      <c r="HQ287" s="1006"/>
      <c r="HR287" s="996">
        <v>-0.5350400000000004</v>
      </c>
      <c r="HS287" s="1006"/>
      <c r="HT287" s="996">
        <v>-0.3343999999999987</v>
      </c>
      <c r="HU287" s="1006" t="s">
        <v>199</v>
      </c>
      <c r="HV287" s="996">
        <v>2.5079999999999991</v>
      </c>
      <c r="HW287" s="1006" t="s">
        <v>206</v>
      </c>
      <c r="HX287" s="996">
        <v>-4.3890000000000011</v>
      </c>
      <c r="HY287" s="1006" t="s">
        <v>199</v>
      </c>
      <c r="HZ287" s="996">
        <v>3.3022000000000009</v>
      </c>
      <c r="IA287" s="1006" t="s">
        <v>199</v>
      </c>
      <c r="IB287" s="996">
        <v>12.23068</v>
      </c>
      <c r="IC287" s="1006" t="s">
        <v>199</v>
      </c>
      <c r="ID287" s="996">
        <v>-12.81588</v>
      </c>
      <c r="IE287" s="1006" t="s">
        <v>199</v>
      </c>
      <c r="IF287" s="996">
        <v>3.6198800000000002</v>
      </c>
      <c r="IG287" s="1006"/>
      <c r="IH287" s="996">
        <v>0</v>
      </c>
      <c r="II287" s="1006"/>
      <c r="IJ287" s="996">
        <v>0</v>
      </c>
      <c r="IK287" s="1006" t="s">
        <v>204</v>
      </c>
      <c r="IL287" s="996">
        <v>-1.0868000000000002</v>
      </c>
      <c r="IM287" s="1006"/>
      <c r="IN287" s="996">
        <v>0</v>
      </c>
      <c r="IO287" s="1006"/>
      <c r="IP287" s="996">
        <v>0.97812000000000054</v>
      </c>
      <c r="IQ287" s="1006"/>
      <c r="IR287" s="996">
        <v>0</v>
      </c>
      <c r="IS287" s="1006"/>
      <c r="IT287" s="996">
        <v>0.90287999999999968</v>
      </c>
      <c r="IU287" s="1006" t="s">
        <v>203</v>
      </c>
      <c r="IV287" s="996">
        <v>-4.0412239999999979</v>
      </c>
      <c r="IW287" s="1006"/>
      <c r="IX287" s="996">
        <v>0</v>
      </c>
      <c r="IY287" s="1006" t="s">
        <v>25</v>
      </c>
      <c r="IZ287" s="996">
        <v>2.1351439999999986</v>
      </c>
      <c r="JA287" s="1006"/>
      <c r="JB287" s="996">
        <v>0</v>
      </c>
      <c r="JC287" s="1006" t="s">
        <v>223</v>
      </c>
      <c r="JD287" s="996">
        <v>-1.5800400000000003</v>
      </c>
      <c r="JE287" s="1006"/>
      <c r="JF287" s="996">
        <v>0</v>
      </c>
      <c r="JG287" s="1006"/>
      <c r="JH287" s="996">
        <v>0</v>
      </c>
      <c r="JI287" s="1006"/>
      <c r="JJ287" s="996">
        <v>0</v>
      </c>
      <c r="JK287" s="1007" t="s">
        <v>199</v>
      </c>
      <c r="JL287" s="1007">
        <v>2.1903199999999998</v>
      </c>
      <c r="JM287" s="1007" t="s">
        <v>199</v>
      </c>
      <c r="JN287" s="1007">
        <v>-1.5298800000000004</v>
      </c>
      <c r="JO287" s="1008"/>
      <c r="JP287" s="1007">
        <v>0</v>
      </c>
      <c r="JQ287" s="1008">
        <v>0</v>
      </c>
      <c r="JR287" s="1007">
        <v>0</v>
      </c>
      <c r="JS287" s="1008">
        <v>0</v>
      </c>
      <c r="JT287" s="1007">
        <v>0</v>
      </c>
      <c r="JU287" s="1008" t="s">
        <v>223</v>
      </c>
      <c r="JV287" s="1007">
        <v>-3.0263200000000001</v>
      </c>
      <c r="JW287" s="1008" t="s">
        <v>197</v>
      </c>
      <c r="JX287" s="1007">
        <v>0</v>
      </c>
      <c r="JY287" s="1008"/>
      <c r="JZ287" s="1007">
        <v>0</v>
      </c>
      <c r="KA287" s="1008"/>
      <c r="KB287" s="1007">
        <v>0</v>
      </c>
      <c r="KC287" s="1008" t="s">
        <v>207</v>
      </c>
      <c r="KD287" s="1007">
        <v>4.9491200000000006</v>
      </c>
      <c r="KE287" s="1008"/>
      <c r="KF287" s="1007">
        <v>0</v>
      </c>
      <c r="KG287" s="1008" t="s">
        <v>207</v>
      </c>
      <c r="KH287" s="1007">
        <v>-6.0192000000000014</v>
      </c>
      <c r="KI287" s="1008" t="s">
        <v>203</v>
      </c>
      <c r="KJ287" s="1007">
        <v>3.0263200000000019</v>
      </c>
      <c r="KK287" s="1008"/>
      <c r="KL287" s="1007">
        <v>0</v>
      </c>
      <c r="KM287" s="1008" t="s">
        <v>203</v>
      </c>
      <c r="KN287" s="1007">
        <v>-4.9700199999999981</v>
      </c>
      <c r="KO287" s="1008"/>
      <c r="KP287" s="1007">
        <v>0</v>
      </c>
      <c r="KQ287" s="1008">
        <v>0</v>
      </c>
      <c r="KR287" s="1007">
        <v>0</v>
      </c>
      <c r="KS287" s="1008">
        <v>0</v>
      </c>
      <c r="KT287" s="1007">
        <v>0</v>
      </c>
      <c r="KU287" s="1008">
        <v>0</v>
      </c>
      <c r="KV287" s="1007">
        <v>0</v>
      </c>
      <c r="KW287" s="1008">
        <v>0</v>
      </c>
      <c r="KX287" s="1007">
        <v>0</v>
      </c>
      <c r="KY287" s="1008">
        <v>0</v>
      </c>
      <c r="KZ287" s="1007">
        <v>0</v>
      </c>
      <c r="LA287" s="1008" t="s">
        <v>25</v>
      </c>
      <c r="LB287" s="1007">
        <v>19.499699999999997</v>
      </c>
      <c r="LC287" s="1008">
        <v>0</v>
      </c>
      <c r="LD287" s="1007">
        <v>0</v>
      </c>
      <c r="LE287" s="1008">
        <v>0</v>
      </c>
      <c r="LF287" s="1007">
        <v>0</v>
      </c>
      <c r="LG287" s="1008">
        <v>0</v>
      </c>
      <c r="LH287" s="1007">
        <v>-3.7794240000000001</v>
      </c>
      <c r="LI287" s="1008">
        <v>0</v>
      </c>
      <c r="LJ287" s="1007">
        <v>0</v>
      </c>
      <c r="LK287" s="1008">
        <v>0</v>
      </c>
      <c r="LL287" s="1007">
        <v>0</v>
      </c>
      <c r="LM287" s="1008">
        <v>0</v>
      </c>
      <c r="LN287" s="1007">
        <v>0</v>
      </c>
      <c r="LO287" s="1008">
        <v>0</v>
      </c>
      <c r="LP287" s="1007">
        <v>0</v>
      </c>
      <c r="LQ287" s="1008">
        <v>0</v>
      </c>
      <c r="LR287" s="1007">
        <v>0</v>
      </c>
      <c r="LS287" s="1008">
        <v>0</v>
      </c>
      <c r="LT287" s="1007">
        <v>0</v>
      </c>
      <c r="LU287" s="1008">
        <v>0</v>
      </c>
      <c r="LV287" s="1007">
        <v>0</v>
      </c>
      <c r="LW287" s="1008">
        <v>0</v>
      </c>
      <c r="LX287" s="1007">
        <v>-0.54373959999999999</v>
      </c>
      <c r="LY287" s="1009">
        <v>0</v>
      </c>
      <c r="LZ287" s="1010">
        <v>0</v>
      </c>
      <c r="MA287" s="1011">
        <v>0</v>
      </c>
      <c r="MB287" s="1012">
        <v>0</v>
      </c>
      <c r="MC287" s="995"/>
      <c r="MD287" s="996"/>
      <c r="ME287" s="997" t="s">
        <v>416</v>
      </c>
      <c r="MF287" s="997"/>
      <c r="MG287" s="998"/>
      <c r="NR287" s="1000"/>
      <c r="NS287" s="1000"/>
      <c r="NT287" s="1001"/>
      <c r="NU287" s="1000"/>
      <c r="NV287" s="1001"/>
      <c r="NX287" s="1002"/>
      <c r="NZ287" s="1001"/>
      <c r="OA287" s="1001"/>
      <c r="OC287" s="1003"/>
      <c r="OD287" s="1003"/>
      <c r="OE287" s="1001"/>
      <c r="OF287" s="1003"/>
      <c r="OG287" s="1003"/>
      <c r="QX287" s="1000">
        <f>CN287-CA287</f>
        <v>20</v>
      </c>
      <c r="ASU287" s="999" t="s">
        <v>208</v>
      </c>
    </row>
    <row r="288" spans="1:466 1191:1191" ht="21" customHeight="1" x14ac:dyDescent="0.25">
      <c r="A288" s="982">
        <f t="shared" si="215"/>
        <v>1257</v>
      </c>
      <c r="B288" s="124">
        <f>SUBTOTAL(103,$J$29:J288)</f>
        <v>260</v>
      </c>
      <c r="C288" s="126">
        <v>45096</v>
      </c>
      <c r="D288" s="124" t="s">
        <v>176</v>
      </c>
      <c r="E288" s="127" t="s">
        <v>177</v>
      </c>
      <c r="F288" s="128" t="s">
        <v>177</v>
      </c>
      <c r="G288" s="127" t="s">
        <v>178</v>
      </c>
      <c r="H288" s="127" t="s">
        <v>421</v>
      </c>
      <c r="I288" s="127" t="s">
        <v>1270</v>
      </c>
      <c r="J288" s="152">
        <v>1257</v>
      </c>
      <c r="K288" s="127" t="s">
        <v>1270</v>
      </c>
      <c r="L288" s="130">
        <v>43656</v>
      </c>
      <c r="M288" s="127" t="s">
        <v>230</v>
      </c>
      <c r="N288" s="127" t="s">
        <v>245</v>
      </c>
      <c r="O288" s="127" t="s">
        <v>185</v>
      </c>
      <c r="P288" s="127" t="s">
        <v>208</v>
      </c>
      <c r="Q288" s="85" t="str">
        <f t="shared" si="213"/>
        <v/>
      </c>
      <c r="R288" s="130"/>
      <c r="S288" s="128"/>
      <c r="T288" s="131"/>
      <c r="U288" s="132">
        <v>203</v>
      </c>
      <c r="V288" s="121">
        <v>218.2</v>
      </c>
      <c r="W288" s="116">
        <v>0.98</v>
      </c>
      <c r="X288" s="116">
        <v>1.66</v>
      </c>
      <c r="Y288" s="116">
        <f t="shared" si="191"/>
        <v>1.0306639635073491</v>
      </c>
      <c r="Z288" s="133">
        <v>1.454</v>
      </c>
      <c r="AA288" s="133">
        <v>0.83599999999999997</v>
      </c>
      <c r="AB288" s="133">
        <v>0.72</v>
      </c>
      <c r="AC288" s="121">
        <v>34.299999999999997</v>
      </c>
      <c r="AD288" s="134">
        <v>1.17</v>
      </c>
      <c r="AE288" s="124">
        <v>177.8</v>
      </c>
      <c r="AF288" s="128">
        <v>9.19</v>
      </c>
      <c r="AG288" s="128">
        <v>2133</v>
      </c>
      <c r="AH288" s="127">
        <v>2758</v>
      </c>
      <c r="AI288" s="127">
        <v>2758</v>
      </c>
      <c r="AJ288" s="135"/>
      <c r="AK288" s="128"/>
      <c r="AL288" s="131"/>
      <c r="AM288" s="124" t="s">
        <v>232</v>
      </c>
      <c r="AN288" s="136" t="s">
        <v>1271</v>
      </c>
      <c r="AO288" s="137">
        <v>165.81</v>
      </c>
      <c r="AP288" s="128">
        <v>2057</v>
      </c>
      <c r="AQ288" s="128">
        <v>169</v>
      </c>
      <c r="AR288" s="128"/>
      <c r="AS288" s="128"/>
      <c r="AT288" s="122"/>
      <c r="AU288" s="124" t="s">
        <v>189</v>
      </c>
      <c r="AV288" s="115">
        <f>VLOOKUP(J288,'[63]ТР нефть'!$J$28:$BP$638,39,0)</f>
        <v>529.99998427699995</v>
      </c>
      <c r="AW288" s="115" t="str">
        <f>VLOOKUP(J288,'[63]ТР нефть'!$J$28:$BP$638,40,0)</f>
        <v>ГП</v>
      </c>
      <c r="AX288" s="115">
        <f>VLOOKUP(J288,'[63]ТР нефть'!$J$28:$BP$638,41,0)</f>
        <v>959.99997011699998</v>
      </c>
      <c r="AY288" s="115" t="str">
        <f>VLOOKUP(J288,'[63]ТР нефть'!$J$28:$BP$638,42,0)</f>
        <v>ГП</v>
      </c>
      <c r="AZ288" s="115">
        <f>VLOOKUP(J288,'[63]ТР нефть'!$J$28:$BP$638,43,0)</f>
        <v>1299.9999796879999</v>
      </c>
      <c r="BA288" s="115" t="str">
        <f>VLOOKUP(J288,'[63]ТР нефть'!$J$28:$BP$638,44,0)</f>
        <v>ГК87 1/8</v>
      </c>
      <c r="BB288" s="115">
        <f>VLOOKUP(J288,'[63]ТР нефть'!$J$28:$BP$638,45,0)</f>
        <v>1580.000005078</v>
      </c>
      <c r="BC288" s="115" t="str">
        <f>VLOOKUP(J288,'[63]ТР нефть'!$J$28:$BP$638,46,0)</f>
        <v>ГК86 1/8</v>
      </c>
      <c r="BD288" s="115">
        <f>VLOOKUP(J288,'[63]ТР нефть'!$J$28:$BP$638,47,0)</f>
        <v>1769.9999425779999</v>
      </c>
      <c r="BE288" s="115" t="str">
        <f>VLOOKUP(J288,'[63]ТР нефть'!$J$28:$BP$638,48,0)</f>
        <v>ЦКсОК 5/16</v>
      </c>
      <c r="BF288" s="115" t="str">
        <f>VLOOKUP(J288,'[63]ТР нефть'!$J$28:$BP$638,49,0)</f>
        <v>-</v>
      </c>
      <c r="BG288" s="115" t="str">
        <f>VLOOKUP(J288,'[63]ТР нефть'!$J$28:$BP$638,50,0)</f>
        <v>-</v>
      </c>
      <c r="BH288" s="115">
        <f>VLOOKUP(J288,'[63]ТР нефть'!$J$28:$BP$638,51,0)</f>
        <v>1780</v>
      </c>
      <c r="BI288" s="115" t="str">
        <f>VLOOKUP(J288,'[63]ТР нефть'!$J$28:$BP$638,52,0)</f>
        <v>закрыт</v>
      </c>
      <c r="BJ288" s="115" t="str">
        <f>IF(IFERROR(VLOOKUP(J288,'[63]ТР нефть'!$J$28:$BP$638,53,0),"-")=0,"-",IFERROR(VLOOKUP(J288,'[63]ТР нефть'!$J$28:$BP$638,53,0),"-"))</f>
        <v>-</v>
      </c>
      <c r="BK288" s="138" t="str">
        <f>IF(IFERROR(VLOOKUP(J288,'[63]ТР нефть'!$J$28:$BP$638,54,0),"-")=0,"-",IFERROR(VLOOKUP(J288,'[63]ТР нефть'!$J$28:$BP$638,54,0),"-"))</f>
        <v>-</v>
      </c>
      <c r="BL288" s="138" t="str">
        <f>IF(IFERROR(VLOOKUP(J288,'[63]ТР нефть'!$J$28:$BP$638,55,0),"-")=0,"-",IFERROR(VLOOKUP(J288,'[63]ТР нефть'!$J$28:$BP$638,55,0),"-"))</f>
        <v>-</v>
      </c>
      <c r="BM288" s="138" t="str">
        <f>IF(IFERROR(VLOOKUP(J288,'[63]ТР нефть'!$J$28:$BP$638,56,0),"-")=0,"-",IFERROR(VLOOKUP(J288,'[63]ТР нефть'!$J$28:$BP$638,56,0),"-"))</f>
        <v>-</v>
      </c>
      <c r="BN288" s="138" t="str">
        <f>IF(IFERROR(VLOOKUP(J288,'[63]ТР нефть'!$J$28:$BP$638,57,0),"-")=0,"-",IFERROR(VLOOKUP(J288,'[63]ТР нефть'!$J$28:$BP$638,57,0),"-"))</f>
        <v>-</v>
      </c>
      <c r="BO288" s="115" t="str">
        <f>IF(IFERROR(VLOOKUP(J288,'[63]ТР нефть'!$J$28:$BP$638,58,0),"-")=0,"-",IFERROR(VLOOKUP(J288,'[63]ТР нефть'!$J$28:$BP$638,58,0),"-"))</f>
        <v>-</v>
      </c>
      <c r="BP288" s="115" t="str">
        <f>IF(IFERROR(VLOOKUP(J288,'[63]ТР нефть'!$J$28:$BP$638,59,0),"-")=0,"-",IFERROR(VLOOKUP(J288,'[63]ТР нефть'!$J$28:$BP$638,59,0),"-"))</f>
        <v>-</v>
      </c>
      <c r="BQ288" s="138">
        <v>2258.8000000000002</v>
      </c>
      <c r="BR288" s="128">
        <v>1964</v>
      </c>
      <c r="BS288" s="115">
        <f t="shared" si="211"/>
        <v>294.80000000000018</v>
      </c>
      <c r="BT288" s="128">
        <v>73</v>
      </c>
      <c r="BU288" s="128">
        <v>5.5</v>
      </c>
      <c r="BV288" s="127">
        <v>65</v>
      </c>
      <c r="BW288" s="127" t="s">
        <v>217</v>
      </c>
      <c r="BX288" s="127" t="s">
        <v>195</v>
      </c>
      <c r="BY288" s="139">
        <v>24</v>
      </c>
      <c r="BZ288" s="139">
        <v>0</v>
      </c>
      <c r="CA288" s="138">
        <v>20</v>
      </c>
      <c r="CB288" s="138">
        <v>35</v>
      </c>
      <c r="CC288" s="138">
        <v>19</v>
      </c>
      <c r="CD288" s="135">
        <v>45017</v>
      </c>
      <c r="CE288" s="138">
        <v>92</v>
      </c>
      <c r="CF288" s="138">
        <v>92</v>
      </c>
      <c r="CG288" s="138" t="str">
        <f t="shared" si="212"/>
        <v>В работе</v>
      </c>
      <c r="CH288" s="138" t="s">
        <v>235</v>
      </c>
      <c r="CI288" s="138">
        <v>6</v>
      </c>
      <c r="CJ288" s="139"/>
      <c r="CK288" s="138"/>
      <c r="CL288" s="99"/>
      <c r="CM288" s="99"/>
      <c r="CN288" s="140">
        <v>42</v>
      </c>
      <c r="CO288" s="141">
        <f t="shared" si="216"/>
        <v>6.9889599999999996</v>
      </c>
      <c r="CP288" s="142">
        <v>9.5</v>
      </c>
      <c r="CQ288" s="143">
        <v>12</v>
      </c>
      <c r="CR288" s="138">
        <v>18.600000000000001</v>
      </c>
      <c r="CS288" s="139">
        <v>9.9</v>
      </c>
      <c r="CT288" s="138"/>
      <c r="CU288" s="138">
        <f t="shared" si="188"/>
        <v>8.7000000000000011</v>
      </c>
      <c r="CV288" s="115">
        <f t="shared" si="189"/>
        <v>1244.8204024633139</v>
      </c>
      <c r="CW288" s="115">
        <f t="shared" si="217"/>
        <v>1191.4676474411128</v>
      </c>
      <c r="CX288" s="133">
        <f t="shared" si="190"/>
        <v>0.19</v>
      </c>
      <c r="CY288" s="116"/>
      <c r="CZ288" s="131"/>
      <c r="DA288" s="145" t="str">
        <f t="shared" si="218"/>
        <v>Газлифт</v>
      </c>
      <c r="DB288" s="146">
        <f t="shared" si="219"/>
        <v>6.9889599999999996</v>
      </c>
      <c r="DC288" s="142">
        <f>IFERROR(IF(AND(FZ288="Технология",FQ288&lt;$JC$24),EM288,CP288),"-")</f>
        <v>9.5</v>
      </c>
      <c r="DD288" s="119">
        <f t="shared" si="204"/>
        <v>12</v>
      </c>
      <c r="DE288" s="115">
        <f t="shared" si="220"/>
        <v>8.7000000000000011</v>
      </c>
      <c r="DF288" s="121">
        <f t="shared" si="221"/>
        <v>9.9</v>
      </c>
      <c r="DG288" s="115">
        <f t="shared" si="222"/>
        <v>1244.8204024633139</v>
      </c>
      <c r="DH288" s="115">
        <f t="shared" si="223"/>
        <v>42</v>
      </c>
      <c r="DI288" s="147"/>
      <c r="DJ288" s="111" t="s">
        <v>197</v>
      </c>
      <c r="DK288" s="112">
        <v>43656</v>
      </c>
      <c r="DL288" s="113">
        <f t="shared" ca="1" si="192"/>
        <v>1448</v>
      </c>
      <c r="DM288" s="114"/>
      <c r="DN288" s="114"/>
      <c r="DO288" s="114"/>
      <c r="DP288" s="114"/>
      <c r="DQ288" s="112">
        <v>43656</v>
      </c>
      <c r="DR288" s="114" t="s">
        <v>324</v>
      </c>
      <c r="DS288" s="114"/>
      <c r="DT288" s="115">
        <v>49</v>
      </c>
      <c r="DU288" s="116">
        <f t="shared" si="193"/>
        <v>0.22093023255813954</v>
      </c>
      <c r="DV288" s="117">
        <f t="shared" si="194"/>
        <v>6.9889599999999996</v>
      </c>
      <c r="DW288" s="118">
        <f t="shared" si="195"/>
        <v>9.5</v>
      </c>
      <c r="DX288" s="119">
        <f t="shared" si="224"/>
        <v>12</v>
      </c>
      <c r="DY288" s="115">
        <f t="shared" si="196"/>
        <v>8.7000000000000011</v>
      </c>
      <c r="DZ288" s="117">
        <f t="shared" si="197"/>
        <v>0</v>
      </c>
      <c r="EA288" s="120">
        <f t="shared" si="197"/>
        <v>0</v>
      </c>
      <c r="EB288" s="119">
        <f t="shared" si="197"/>
        <v>0</v>
      </c>
      <c r="EC288" s="121">
        <f t="shared" si="198"/>
        <v>0</v>
      </c>
      <c r="ED288" s="122"/>
      <c r="EE288" s="145">
        <v>65</v>
      </c>
      <c r="EF288" s="115">
        <v>21</v>
      </c>
      <c r="EG288" s="115">
        <v>33</v>
      </c>
      <c r="EH288" s="115">
        <v>20</v>
      </c>
      <c r="EI288" s="128" t="s">
        <v>195</v>
      </c>
      <c r="EJ288" s="121">
        <v>24</v>
      </c>
      <c r="EK288" s="121">
        <v>0</v>
      </c>
      <c r="EL288" s="149">
        <v>7.0386183999999989</v>
      </c>
      <c r="EM288" s="142">
        <v>8.9</v>
      </c>
      <c r="EN288" s="119">
        <v>5.4</v>
      </c>
      <c r="EO288" s="115">
        <v>16.3</v>
      </c>
      <c r="EP288" s="115">
        <v>696.15934854487932</v>
      </c>
      <c r="EQ288" s="115">
        <v>92</v>
      </c>
      <c r="ER288" s="115">
        <v>11.4</v>
      </c>
      <c r="ES288" s="115">
        <v>44</v>
      </c>
      <c r="ET288" s="150">
        <v>0.18541666666666667</v>
      </c>
      <c r="EU288" s="145">
        <f t="shared" si="225"/>
        <v>65</v>
      </c>
      <c r="EV288" s="115">
        <f t="shared" si="226"/>
        <v>20</v>
      </c>
      <c r="EW288" s="115">
        <f t="shared" si="226"/>
        <v>35</v>
      </c>
      <c r="EX288" s="115">
        <f t="shared" si="226"/>
        <v>19</v>
      </c>
      <c r="EY288" s="115" t="str">
        <f t="shared" si="206"/>
        <v>Постоянный</v>
      </c>
      <c r="EZ288" s="115">
        <f t="shared" si="206"/>
        <v>24</v>
      </c>
      <c r="FA288" s="115">
        <f t="shared" si="206"/>
        <v>0</v>
      </c>
      <c r="FB288" s="149">
        <f t="shared" si="209"/>
        <v>6.9889599999999996</v>
      </c>
      <c r="FC288" s="142">
        <f t="shared" si="209"/>
        <v>9.5</v>
      </c>
      <c r="FD288" s="119">
        <f t="shared" si="209"/>
        <v>12</v>
      </c>
      <c r="FE288" s="121">
        <f t="shared" si="208"/>
        <v>18.600000000000001</v>
      </c>
      <c r="FF288" s="121">
        <f t="shared" si="199"/>
        <v>1244.8204024633139</v>
      </c>
      <c r="FG288" s="121">
        <f t="shared" si="227"/>
        <v>92</v>
      </c>
      <c r="FH288" s="121">
        <f t="shared" si="200"/>
        <v>9.9</v>
      </c>
      <c r="FI288" s="121">
        <f t="shared" si="205"/>
        <v>42</v>
      </c>
      <c r="FJ288" s="144">
        <f t="shared" si="228"/>
        <v>0.19</v>
      </c>
      <c r="FK288" s="132">
        <f t="shared" si="229"/>
        <v>0</v>
      </c>
      <c r="FL288" s="115">
        <f t="shared" si="229"/>
        <v>-1</v>
      </c>
      <c r="FM288" s="115">
        <f t="shared" si="229"/>
        <v>2</v>
      </c>
      <c r="FN288" s="115">
        <f t="shared" si="229"/>
        <v>-1</v>
      </c>
      <c r="FO288" s="115">
        <f t="shared" si="232"/>
        <v>0</v>
      </c>
      <c r="FP288" s="115">
        <f t="shared" si="232"/>
        <v>0</v>
      </c>
      <c r="FQ288" s="149">
        <f t="shared" si="232"/>
        <v>-4.9658399999999325E-2</v>
      </c>
      <c r="FR288" s="142">
        <f t="shared" si="232"/>
        <v>0.59999999999999964</v>
      </c>
      <c r="FS288" s="119">
        <f t="shared" si="232"/>
        <v>6.6</v>
      </c>
      <c r="FT288" s="121">
        <f t="shared" si="232"/>
        <v>2.3000000000000007</v>
      </c>
      <c r="FU288" s="121">
        <f t="shared" si="230"/>
        <v>0</v>
      </c>
      <c r="FV288" s="121">
        <f t="shared" si="230"/>
        <v>-1.5</v>
      </c>
      <c r="FW288" s="121">
        <f t="shared" si="231"/>
        <v>548.66105391843462</v>
      </c>
      <c r="FX288" s="121">
        <f t="shared" ref="FX288:FY348" si="233">FI288-ES288</f>
        <v>-2</v>
      </c>
      <c r="FY288" s="144">
        <f t="shared" si="214"/>
        <v>4.5833333333333282E-3</v>
      </c>
      <c r="FZ288" s="145"/>
      <c r="GA288" s="163" t="s">
        <v>1272</v>
      </c>
      <c r="GB288" s="145"/>
      <c r="GC288" s="151" t="s">
        <v>237</v>
      </c>
      <c r="GD288" s="997" t="s">
        <v>238</v>
      </c>
      <c r="GE288" s="1004"/>
      <c r="GF288" s="1004">
        <v>0.55125839999999915</v>
      </c>
      <c r="GG288" s="1004"/>
      <c r="GH288" s="1004">
        <v>0</v>
      </c>
      <c r="GI288" s="145" t="s">
        <v>223</v>
      </c>
      <c r="GJ288" s="996">
        <v>-0.98473944800000002</v>
      </c>
      <c r="GK288" s="145" t="s">
        <v>223</v>
      </c>
      <c r="GL288" s="996">
        <v>-1.7753730720000007</v>
      </c>
      <c r="GM288" s="1005"/>
      <c r="GN288" s="996">
        <v>-0.51383904000000058</v>
      </c>
      <c r="GO288" s="1006" t="s">
        <v>203</v>
      </c>
      <c r="GP288" s="996">
        <v>-1.049422439999999</v>
      </c>
      <c r="GQ288" s="1006"/>
      <c r="GR288" s="996">
        <v>0.94403878800000207</v>
      </c>
      <c r="GS288" s="1006" t="s">
        <v>203</v>
      </c>
      <c r="GT288" s="996">
        <v>-2.0212247880000014</v>
      </c>
      <c r="GU288" s="1006" t="s">
        <v>204</v>
      </c>
      <c r="GV288" s="996">
        <v>0.38142500000000013</v>
      </c>
      <c r="GW288" s="1006" t="s">
        <v>349</v>
      </c>
      <c r="GX288" s="1049">
        <v>2.3259382607999992</v>
      </c>
      <c r="GY288" s="1006" t="s">
        <v>349</v>
      </c>
      <c r="GZ288" s="996">
        <v>-1.9712151007999985</v>
      </c>
      <c r="HA288" s="1006" t="s">
        <v>25</v>
      </c>
      <c r="HB288" s="996">
        <v>2.9104838399999995</v>
      </c>
      <c r="HC288" s="1006"/>
      <c r="HD288" s="996">
        <v>0</v>
      </c>
      <c r="HE288" s="1006" t="s">
        <v>199</v>
      </c>
      <c r="HF288" s="996">
        <v>5.0417487999999988</v>
      </c>
      <c r="HG288" s="1006" t="s">
        <v>199</v>
      </c>
      <c r="HH288" s="996">
        <v>-5.5352028159999982</v>
      </c>
      <c r="HI288" s="1006"/>
      <c r="HJ288" s="996">
        <v>0</v>
      </c>
      <c r="HK288" s="1006"/>
      <c r="HL288" s="996">
        <v>0.76479202799999957</v>
      </c>
      <c r="HM288" s="1006"/>
      <c r="HN288" s="996">
        <v>-5.5650012000000082E-2</v>
      </c>
      <c r="HO288" s="1006" t="s">
        <v>203</v>
      </c>
      <c r="HP288" s="996">
        <v>-1.8349364000000001</v>
      </c>
      <c r="HQ288" s="1006"/>
      <c r="HR288" s="996">
        <v>0</v>
      </c>
      <c r="HS288" s="1006" t="s">
        <v>203</v>
      </c>
      <c r="HT288" s="996">
        <v>-1.6620515999999999</v>
      </c>
      <c r="HU288" s="1006" t="s">
        <v>25</v>
      </c>
      <c r="HV288" s="996">
        <v>4.0738279999999989</v>
      </c>
      <c r="HW288" s="1006" t="s">
        <v>204</v>
      </c>
      <c r="HX288" s="996">
        <v>-1.9729599999999987</v>
      </c>
      <c r="HY288" s="1006"/>
      <c r="HZ288" s="996">
        <v>0.73149999999999871</v>
      </c>
      <c r="IA288" s="1006"/>
      <c r="IB288" s="996">
        <v>0.74822000000000077</v>
      </c>
      <c r="IC288" s="1006"/>
      <c r="ID288" s="996">
        <v>0.58519999999999861</v>
      </c>
      <c r="IE288" s="1006"/>
      <c r="IF288" s="996">
        <v>0</v>
      </c>
      <c r="IG288" s="1006"/>
      <c r="IH288" s="996">
        <v>-0.75239999999999885</v>
      </c>
      <c r="II288" s="1006" t="s">
        <v>199</v>
      </c>
      <c r="IJ288" s="996">
        <v>1.4211999999999998</v>
      </c>
      <c r="IK288" s="1006"/>
      <c r="IL288" s="996">
        <v>0</v>
      </c>
      <c r="IM288" s="1006" t="s">
        <v>204</v>
      </c>
      <c r="IN288" s="996">
        <v>-1.5048000000000004</v>
      </c>
      <c r="IO288" s="1006"/>
      <c r="IP288" s="996">
        <v>0</v>
      </c>
      <c r="IQ288" s="1006" t="s">
        <v>223</v>
      </c>
      <c r="IR288" s="996">
        <v>-3.4217229199999988</v>
      </c>
      <c r="IS288" s="1006" t="s">
        <v>223</v>
      </c>
      <c r="IT288" s="996">
        <v>-3.3929076720000033</v>
      </c>
      <c r="IU288" s="1006"/>
      <c r="IV288" s="996">
        <v>0</v>
      </c>
      <c r="IW288" s="1006"/>
      <c r="IX288" s="996">
        <v>0</v>
      </c>
      <c r="IY288" s="1006"/>
      <c r="IZ288" s="996">
        <v>0</v>
      </c>
      <c r="JA288" s="1006"/>
      <c r="JB288" s="996">
        <v>0</v>
      </c>
      <c r="JC288" s="1006"/>
      <c r="JD288" s="996">
        <v>0</v>
      </c>
      <c r="JE288" s="1006"/>
      <c r="JF288" s="996">
        <v>0</v>
      </c>
      <c r="JG288" s="1006" t="s">
        <v>199</v>
      </c>
      <c r="JH288" s="996">
        <v>6.0873105920000032</v>
      </c>
      <c r="JI288" s="1006"/>
      <c r="JJ288" s="996">
        <v>0</v>
      </c>
      <c r="JK288" s="1007" t="s">
        <v>199</v>
      </c>
      <c r="JL288" s="1007">
        <v>-7.9687520000000003</v>
      </c>
      <c r="JM288" s="1007" t="s">
        <v>203</v>
      </c>
      <c r="JN288" s="1007">
        <v>-12.465595999999998</v>
      </c>
      <c r="JO288" s="1008"/>
      <c r="JP288" s="1007">
        <v>0</v>
      </c>
      <c r="JQ288" s="1008" t="s">
        <v>203</v>
      </c>
      <c r="JR288" s="1007">
        <v>-1.234705120000001</v>
      </c>
      <c r="JS288" s="1008" t="s">
        <v>25</v>
      </c>
      <c r="JT288" s="1007">
        <v>30.589173119999998</v>
      </c>
      <c r="JU288" s="1008"/>
      <c r="JV288" s="1007">
        <v>0</v>
      </c>
      <c r="JW288" s="1008"/>
      <c r="JX288" s="1007"/>
      <c r="JY288" s="1008"/>
      <c r="JZ288" s="1007"/>
      <c r="KA288" s="1008"/>
      <c r="KB288" s="1007"/>
      <c r="KC288" s="1008"/>
      <c r="KD288" s="1007"/>
      <c r="KE288" s="1008"/>
      <c r="KF288" s="1007"/>
      <c r="KG288" s="1008"/>
      <c r="KH288" s="1007"/>
      <c r="KI288" s="1008"/>
      <c r="KJ288" s="1007"/>
      <c r="KK288" s="1008"/>
      <c r="KL288" s="1007"/>
      <c r="KM288" s="1008"/>
      <c r="KN288" s="1007"/>
      <c r="KO288" s="1008"/>
      <c r="KP288" s="1007"/>
      <c r="KQ288" s="1008"/>
      <c r="KR288" s="1007"/>
      <c r="KS288" s="1008"/>
      <c r="KT288" s="1007"/>
      <c r="KU288" s="1008"/>
      <c r="KV288" s="1007"/>
      <c r="KW288" s="1008"/>
      <c r="KX288" s="1007"/>
      <c r="KY288" s="1008"/>
      <c r="KZ288" s="1007"/>
      <c r="LA288" s="1008"/>
      <c r="LB288" s="1007"/>
      <c r="LC288" s="1008"/>
      <c r="LD288" s="1007"/>
      <c r="LE288" s="1008"/>
      <c r="LF288" s="1007"/>
      <c r="LG288" s="1008"/>
      <c r="LH288" s="1007"/>
      <c r="LI288" s="1008"/>
      <c r="LJ288" s="1007"/>
      <c r="LK288" s="1008"/>
      <c r="LL288" s="1007"/>
      <c r="LM288" s="1008"/>
      <c r="LN288" s="1007"/>
      <c r="LO288" s="1008"/>
      <c r="LP288" s="1007"/>
      <c r="LQ288" s="1008"/>
      <c r="LR288" s="1007"/>
      <c r="LS288" s="1008"/>
      <c r="LT288" s="1007"/>
      <c r="LU288" s="1008"/>
      <c r="LV288" s="1007"/>
      <c r="LW288" s="1008"/>
      <c r="LX288" s="1007"/>
      <c r="LY288" s="1009"/>
      <c r="LZ288" s="1010"/>
      <c r="MA288" s="1011"/>
      <c r="MB288" s="1012"/>
      <c r="MC288" s="995"/>
      <c r="MD288" s="996"/>
      <c r="ME288" s="997" t="s">
        <v>238</v>
      </c>
      <c r="MF288" s="997"/>
      <c r="MG288" s="998"/>
      <c r="NR288" s="1000"/>
      <c r="NS288" s="1000"/>
      <c r="NT288" s="1001"/>
      <c r="NU288" s="1000"/>
      <c r="NV288" s="1001"/>
      <c r="NX288" s="1002"/>
      <c r="NZ288" s="1001"/>
      <c r="OA288" s="1001"/>
      <c r="OC288" s="1003"/>
      <c r="OD288" s="1003"/>
      <c r="OE288" s="1001"/>
      <c r="OF288" s="1003"/>
      <c r="OG288" s="1003"/>
      <c r="QX288" s="1000">
        <f>CN288-CA288</f>
        <v>22</v>
      </c>
      <c r="ASU288" s="999" t="s">
        <v>208</v>
      </c>
    </row>
    <row r="289" spans="1:466 1191:1191" ht="21" customHeight="1" x14ac:dyDescent="0.25">
      <c r="A289" s="982">
        <f t="shared" si="215"/>
        <v>1258</v>
      </c>
      <c r="B289" s="124">
        <f>SUBTOTAL(103,$J$29:J289)</f>
        <v>261</v>
      </c>
      <c r="C289" s="126">
        <v>45096</v>
      </c>
      <c r="D289" s="124" t="s">
        <v>176</v>
      </c>
      <c r="E289" s="127" t="s">
        <v>177</v>
      </c>
      <c r="F289" s="128" t="s">
        <v>177</v>
      </c>
      <c r="G289" s="127" t="s">
        <v>178</v>
      </c>
      <c r="H289" s="127" t="s">
        <v>421</v>
      </c>
      <c r="I289" s="127" t="s">
        <v>1270</v>
      </c>
      <c r="J289" s="152">
        <v>1258</v>
      </c>
      <c r="K289" s="127" t="s">
        <v>1270</v>
      </c>
      <c r="L289" s="130">
        <v>43494</v>
      </c>
      <c r="M289" s="127" t="s">
        <v>230</v>
      </c>
      <c r="N289" s="127" t="s">
        <v>245</v>
      </c>
      <c r="O289" s="127" t="s">
        <v>185</v>
      </c>
      <c r="P289" s="127" t="s">
        <v>208</v>
      </c>
      <c r="Q289" s="85" t="str">
        <f t="shared" si="213"/>
        <v/>
      </c>
      <c r="R289" s="130"/>
      <c r="S289" s="128"/>
      <c r="T289" s="131"/>
      <c r="U289" s="132">
        <v>203</v>
      </c>
      <c r="V289" s="121">
        <v>218.2</v>
      </c>
      <c r="W289" s="116">
        <v>0.98</v>
      </c>
      <c r="X289" s="116">
        <v>1.66</v>
      </c>
      <c r="Y289" s="116">
        <f t="shared" si="191"/>
        <v>0.98605891623227049</v>
      </c>
      <c r="Z289" s="133">
        <v>1.454</v>
      </c>
      <c r="AA289" s="133">
        <v>0.83599999999999997</v>
      </c>
      <c r="AB289" s="133">
        <v>0.72</v>
      </c>
      <c r="AC289" s="121">
        <v>34.299999999999997</v>
      </c>
      <c r="AD289" s="134">
        <v>1.17</v>
      </c>
      <c r="AE289" s="124">
        <v>177.8</v>
      </c>
      <c r="AF289" s="128">
        <v>9.19</v>
      </c>
      <c r="AG289" s="128">
        <v>2129</v>
      </c>
      <c r="AH289" s="127">
        <v>2862</v>
      </c>
      <c r="AI289" s="127">
        <v>2862</v>
      </c>
      <c r="AJ289" s="135"/>
      <c r="AK289" s="128"/>
      <c r="AL289" s="131"/>
      <c r="AM289" s="124" t="s">
        <v>232</v>
      </c>
      <c r="AN289" s="136" t="s">
        <v>1273</v>
      </c>
      <c r="AO289" s="137">
        <v>76</v>
      </c>
      <c r="AP289" s="128">
        <v>2129</v>
      </c>
      <c r="AQ289" s="128">
        <v>204.79199999999992</v>
      </c>
      <c r="AR289" s="128"/>
      <c r="AS289" s="128"/>
      <c r="AT289" s="122"/>
      <c r="AU289" s="124" t="s">
        <v>189</v>
      </c>
      <c r="AV289" s="115">
        <f>VLOOKUP(J289,'[63]ТР нефть'!$J$28:$BP$638,39,0)</f>
        <v>549.99999140600005</v>
      </c>
      <c r="AW289" s="115" t="str">
        <f>VLOOKUP(J289,'[63]ТР нефть'!$J$28:$BP$638,40,0)</f>
        <v>ГП</v>
      </c>
      <c r="AX289" s="115">
        <f>VLOOKUP(J289,'[63]ТР нефть'!$J$28:$BP$638,41,0)</f>
        <v>1005.000014063</v>
      </c>
      <c r="AY289" s="115" t="str">
        <f>VLOOKUP(J289,'[63]ТР нефть'!$J$28:$BP$638,42,0)</f>
        <v>ГП</v>
      </c>
      <c r="AZ289" s="115">
        <f>VLOOKUP(J289,'[63]ТР нефть'!$J$28:$BP$638,43,0)</f>
        <v>1410.0000375</v>
      </c>
      <c r="BA289" s="115" t="str">
        <f>VLOOKUP(J289,'[63]ТР нефть'!$J$28:$BP$638,44,0)</f>
        <v>ГП</v>
      </c>
      <c r="BB289" s="115">
        <f>VLOOKUP(J289,'[63]ТР нефть'!$J$28:$BP$638,45,0)</f>
        <v>1724.9999730469999</v>
      </c>
      <c r="BC289" s="115" t="str">
        <f>VLOOKUP(J289,'[63]ТР нефть'!$J$28:$BP$638,46,0)</f>
        <v>ГП</v>
      </c>
      <c r="BD289" s="115">
        <f>VLOOKUP(J289,'[63]ТР нефть'!$J$28:$BP$638,47,0)</f>
        <v>1979.9999988279999</v>
      </c>
      <c r="BE289" s="115" t="str">
        <f>VLOOKUP(J289,'[63]ТР нефть'!$J$28:$BP$638,48,0)</f>
        <v>ЦКсОК 5/16</v>
      </c>
      <c r="BF289" s="115" t="str">
        <f>VLOOKUP(J289,'[63]ТР нефть'!$J$28:$BP$638,49,0)</f>
        <v>-</v>
      </c>
      <c r="BG289" s="115" t="str">
        <f>VLOOKUP(J289,'[63]ТР нефть'!$J$28:$BP$638,50,0)</f>
        <v>-</v>
      </c>
      <c r="BH289" s="115">
        <f>VLOOKUP(J289,'[63]ТР нефть'!$J$28:$BP$638,51,0)</f>
        <v>1990</v>
      </c>
      <c r="BI289" s="115" t="str">
        <f>VLOOKUP(J289,'[63]ТР нефть'!$J$28:$BP$638,52,0)</f>
        <v>закрыт</v>
      </c>
      <c r="BJ289" s="115" t="str">
        <f>IF(IFERROR(VLOOKUP(J289,'[63]ТР нефть'!$J$28:$BP$638,53,0),"-")=0,"-",IFERROR(VLOOKUP(J289,'[63]ТР нефть'!$J$28:$BP$638,53,0),"-"))</f>
        <v>-</v>
      </c>
      <c r="BK289" s="138" t="str">
        <f>IF(IFERROR(VLOOKUP(J289,'[63]ТР нефть'!$J$28:$BP$638,54,0),"-")=0,"-",IFERROR(VLOOKUP(J289,'[63]ТР нефть'!$J$28:$BP$638,54,0),"-"))</f>
        <v>-</v>
      </c>
      <c r="BL289" s="138" t="str">
        <f>IF(IFERROR(VLOOKUP(J289,'[63]ТР нефть'!$J$28:$BP$638,55,0),"-")=0,"-",IFERROR(VLOOKUP(J289,'[63]ТР нефть'!$J$28:$BP$638,55,0),"-"))</f>
        <v>-</v>
      </c>
      <c r="BM289" s="138" t="str">
        <f>IF(IFERROR(VLOOKUP(J289,'[63]ТР нефть'!$J$28:$BP$638,56,0),"-")=0,"-",IFERROR(VLOOKUP(J289,'[63]ТР нефть'!$J$28:$BP$638,56,0),"-"))</f>
        <v>-</v>
      </c>
      <c r="BN289" s="138" t="str">
        <f>IF(IFERROR(VLOOKUP(J289,'[63]ТР нефть'!$J$28:$BP$638,57,0),"-")=0,"-",IFERROR(VLOOKUP(J289,'[63]ТР нефть'!$J$28:$BP$638,57,0),"-"))</f>
        <v>-</v>
      </c>
      <c r="BO289" s="115" t="str">
        <f>IF(IFERROR(VLOOKUP(J289,'[63]ТР нефть'!$J$28:$BP$638,58,0),"-")=0,"-",IFERROR(VLOOKUP(J289,'[63]ТР нефть'!$J$28:$BP$638,58,0),"-"))</f>
        <v>-</v>
      </c>
      <c r="BP289" s="115" t="str">
        <f>IF(IFERROR(VLOOKUP(J289,'[63]ТР нефть'!$J$28:$BP$638,59,0),"-")=0,"-",IFERROR(VLOOKUP(J289,'[63]ТР нефть'!$J$28:$BP$638,59,0),"-"))</f>
        <v>-</v>
      </c>
      <c r="BQ289" s="138">
        <v>2140</v>
      </c>
      <c r="BR289" s="128">
        <v>1927.93</v>
      </c>
      <c r="BS289" s="115">
        <f t="shared" si="211"/>
        <v>212.06999999999994</v>
      </c>
      <c r="BT289" s="128">
        <v>73</v>
      </c>
      <c r="BU289" s="128">
        <v>5.5</v>
      </c>
      <c r="BV289" s="127">
        <v>65</v>
      </c>
      <c r="BW289" s="127" t="s">
        <v>217</v>
      </c>
      <c r="BX289" s="127" t="s">
        <v>195</v>
      </c>
      <c r="BY289" s="139">
        <v>24</v>
      </c>
      <c r="BZ289" s="139">
        <v>0</v>
      </c>
      <c r="CA289" s="138">
        <v>21</v>
      </c>
      <c r="CB289" s="138">
        <v>34</v>
      </c>
      <c r="CC289" s="138">
        <v>20</v>
      </c>
      <c r="CD289" s="135">
        <v>45017</v>
      </c>
      <c r="CE289" s="138">
        <v>87</v>
      </c>
      <c r="CF289" s="138">
        <v>84</v>
      </c>
      <c r="CG289" s="138" t="str">
        <f t="shared" si="212"/>
        <v>В работе</v>
      </c>
      <c r="CH289" s="138" t="s">
        <v>235</v>
      </c>
      <c r="CI289" s="127">
        <v>6</v>
      </c>
      <c r="CJ289" s="138"/>
      <c r="CK289" s="138"/>
      <c r="CL289" s="99"/>
      <c r="CM289" s="99"/>
      <c r="CN289" s="140">
        <v>40</v>
      </c>
      <c r="CO289" s="141">
        <f t="shared" si="216"/>
        <v>5.8465659999999993</v>
      </c>
      <c r="CP289" s="142">
        <v>7.1</v>
      </c>
      <c r="CQ289" s="119">
        <v>1.5</v>
      </c>
      <c r="CR289" s="138">
        <v>14.5</v>
      </c>
      <c r="CS289" s="139">
        <v>8.3000000000000007</v>
      </c>
      <c r="CT289" s="138"/>
      <c r="CU289" s="138">
        <f t="shared" si="188"/>
        <v>6.1999999999999993</v>
      </c>
      <c r="CV289" s="115">
        <f t="shared" si="189"/>
        <v>1060.4515539549197</v>
      </c>
      <c r="CW289" s="115">
        <f t="shared" si="217"/>
        <v>1390.3096755670497</v>
      </c>
      <c r="CX289" s="133">
        <f t="shared" si="190"/>
        <v>0.15106382978723404</v>
      </c>
      <c r="CY289" s="116"/>
      <c r="CZ289" s="131"/>
      <c r="DA289" s="145" t="str">
        <f t="shared" si="218"/>
        <v>Газлифт</v>
      </c>
      <c r="DB289" s="146">
        <f t="shared" si="219"/>
        <v>5.8465659999999993</v>
      </c>
      <c r="DC289" s="142">
        <f>IFERROR(IF(AND(FZ289="Технология",FQ289&lt;$JC$24),EM289,CP289),"-")</f>
        <v>7.1</v>
      </c>
      <c r="DD289" s="119">
        <f t="shared" si="204"/>
        <v>1.5</v>
      </c>
      <c r="DE289" s="115">
        <f t="shared" si="220"/>
        <v>6.1999999999999993</v>
      </c>
      <c r="DF289" s="121">
        <f t="shared" si="221"/>
        <v>8.3000000000000007</v>
      </c>
      <c r="DG289" s="115">
        <f t="shared" si="222"/>
        <v>1060.4515539549197</v>
      </c>
      <c r="DH289" s="115">
        <f t="shared" si="223"/>
        <v>40</v>
      </c>
      <c r="DI289" s="147"/>
      <c r="DJ289" s="111" t="s">
        <v>197</v>
      </c>
      <c r="DK289" s="112">
        <v>43494</v>
      </c>
      <c r="DL289" s="113">
        <f t="shared" ca="1" si="192"/>
        <v>1610</v>
      </c>
      <c r="DM289" s="114"/>
      <c r="DN289" s="114"/>
      <c r="DO289" s="114"/>
      <c r="DP289" s="114"/>
      <c r="DQ289" s="112">
        <v>43494</v>
      </c>
      <c r="DR289" s="114" t="s">
        <v>324</v>
      </c>
      <c r="DS289" s="114"/>
      <c r="DT289" s="115">
        <v>50</v>
      </c>
      <c r="DU289" s="116">
        <f t="shared" si="193"/>
        <v>0.19189189189189187</v>
      </c>
      <c r="DV289" s="117">
        <f t="shared" si="194"/>
        <v>5.8465659999999993</v>
      </c>
      <c r="DW289" s="118">
        <f t="shared" si="195"/>
        <v>7.1</v>
      </c>
      <c r="DX289" s="119">
        <f t="shared" si="224"/>
        <v>1.5</v>
      </c>
      <c r="DY289" s="115">
        <f t="shared" si="196"/>
        <v>6.1999999999999984</v>
      </c>
      <c r="DZ289" s="117">
        <f t="shared" si="197"/>
        <v>0</v>
      </c>
      <c r="EA289" s="120">
        <f t="shared" si="197"/>
        <v>0</v>
      </c>
      <c r="EB289" s="119">
        <f t="shared" si="197"/>
        <v>0</v>
      </c>
      <c r="EC289" s="121">
        <f t="shared" si="198"/>
        <v>0</v>
      </c>
      <c r="ED289" s="122"/>
      <c r="EE289" s="145">
        <v>65</v>
      </c>
      <c r="EF289" s="115">
        <v>21</v>
      </c>
      <c r="EG289" s="115">
        <v>34</v>
      </c>
      <c r="EH289" s="115">
        <v>20</v>
      </c>
      <c r="EI289" s="128" t="s">
        <v>195</v>
      </c>
      <c r="EJ289" s="121">
        <v>24</v>
      </c>
      <c r="EK289" s="121">
        <v>0</v>
      </c>
      <c r="EL289" s="149">
        <v>5.8465659999999993</v>
      </c>
      <c r="EM289" s="142">
        <v>7.1</v>
      </c>
      <c r="EN289" s="119">
        <v>1.5</v>
      </c>
      <c r="EO289" s="115">
        <v>14.5</v>
      </c>
      <c r="EP289" s="115">
        <v>1060.4515539549197</v>
      </c>
      <c r="EQ289" s="115">
        <v>84</v>
      </c>
      <c r="ER289" s="115">
        <v>8.3000000000000007</v>
      </c>
      <c r="ES289" s="115">
        <v>40</v>
      </c>
      <c r="ET289" s="150">
        <v>0.15106382978723404</v>
      </c>
      <c r="EU289" s="145">
        <f t="shared" si="225"/>
        <v>65</v>
      </c>
      <c r="EV289" s="115">
        <f t="shared" si="226"/>
        <v>21</v>
      </c>
      <c r="EW289" s="115">
        <f t="shared" si="226"/>
        <v>34</v>
      </c>
      <c r="EX289" s="115">
        <f t="shared" si="226"/>
        <v>20</v>
      </c>
      <c r="EY289" s="115" t="str">
        <f t="shared" si="206"/>
        <v>Постоянный</v>
      </c>
      <c r="EZ289" s="115">
        <f t="shared" si="206"/>
        <v>24</v>
      </c>
      <c r="FA289" s="115">
        <f t="shared" si="206"/>
        <v>0</v>
      </c>
      <c r="FB289" s="149">
        <f t="shared" si="209"/>
        <v>5.8465659999999993</v>
      </c>
      <c r="FC289" s="142">
        <f t="shared" si="209"/>
        <v>7.1</v>
      </c>
      <c r="FD289" s="119">
        <f t="shared" si="209"/>
        <v>1.5</v>
      </c>
      <c r="FE289" s="121">
        <f t="shared" si="208"/>
        <v>14.5</v>
      </c>
      <c r="FF289" s="121">
        <f t="shared" si="199"/>
        <v>1060.4515539549197</v>
      </c>
      <c r="FG289" s="121">
        <f t="shared" si="227"/>
        <v>84</v>
      </c>
      <c r="FH289" s="121">
        <f t="shared" si="200"/>
        <v>8.3000000000000007</v>
      </c>
      <c r="FI289" s="121">
        <f t="shared" si="205"/>
        <v>40</v>
      </c>
      <c r="FJ289" s="144">
        <f t="shared" si="228"/>
        <v>0.15106382978723404</v>
      </c>
      <c r="FK289" s="132">
        <f t="shared" si="229"/>
        <v>0</v>
      </c>
      <c r="FL289" s="115">
        <f t="shared" si="229"/>
        <v>0</v>
      </c>
      <c r="FM289" s="115">
        <f t="shared" si="229"/>
        <v>0</v>
      </c>
      <c r="FN289" s="115">
        <f t="shared" si="229"/>
        <v>0</v>
      </c>
      <c r="FO289" s="115">
        <f t="shared" si="232"/>
        <v>0</v>
      </c>
      <c r="FP289" s="115">
        <f t="shared" si="232"/>
        <v>0</v>
      </c>
      <c r="FQ289" s="149">
        <f t="shared" si="232"/>
        <v>0</v>
      </c>
      <c r="FR289" s="142">
        <f t="shared" si="232"/>
        <v>0</v>
      </c>
      <c r="FS289" s="119">
        <f t="shared" si="232"/>
        <v>0</v>
      </c>
      <c r="FT289" s="121">
        <f t="shared" si="232"/>
        <v>0</v>
      </c>
      <c r="FU289" s="121">
        <f t="shared" si="230"/>
        <v>0</v>
      </c>
      <c r="FV289" s="121">
        <f t="shared" si="230"/>
        <v>0</v>
      </c>
      <c r="FW289" s="121">
        <f t="shared" si="231"/>
        <v>0</v>
      </c>
      <c r="FX289" s="121">
        <f t="shared" si="233"/>
        <v>0</v>
      </c>
      <c r="FY289" s="144">
        <f t="shared" si="214"/>
        <v>0</v>
      </c>
      <c r="FZ289" s="145"/>
      <c r="GA289" s="1033" t="s">
        <v>266</v>
      </c>
      <c r="GB289" s="145" t="s">
        <v>199</v>
      </c>
      <c r="GC289" s="151" t="s">
        <v>1274</v>
      </c>
      <c r="GD289" s="997" t="s">
        <v>238</v>
      </c>
      <c r="GE289" s="1004" t="s">
        <v>199</v>
      </c>
      <c r="GF289" s="1004">
        <v>-2.0934443199999997</v>
      </c>
      <c r="GG289" s="1004"/>
      <c r="GH289" s="1004">
        <v>0</v>
      </c>
      <c r="GI289" s="145"/>
      <c r="GJ289" s="996">
        <v>0.60286635199999861</v>
      </c>
      <c r="GK289" s="145"/>
      <c r="GL289" s="996">
        <v>-0.62112124799999968</v>
      </c>
      <c r="GM289" s="1005"/>
      <c r="GN289" s="996">
        <v>-0.1956908799999999</v>
      </c>
      <c r="GO289" s="1006"/>
      <c r="GP289" s="996">
        <v>0.29555609600000121</v>
      </c>
      <c r="GQ289" s="1006"/>
      <c r="GR289" s="996">
        <v>0.24094857599999919</v>
      </c>
      <c r="GS289" s="1006"/>
      <c r="GT289" s="996">
        <v>0</v>
      </c>
      <c r="GU289" s="1006"/>
      <c r="GV289" s="996">
        <v>0.42330358400000012</v>
      </c>
      <c r="GW289" s="1006"/>
      <c r="GX289" s="1049">
        <v>-0.60573216000000052</v>
      </c>
      <c r="GY289" s="1006"/>
      <c r="GZ289" s="996">
        <v>-0.89451999999999998</v>
      </c>
      <c r="HA289" s="1006" t="s">
        <v>204</v>
      </c>
      <c r="HB289" s="996">
        <v>-3.0095999999999989</v>
      </c>
      <c r="HC289" s="1006" t="s">
        <v>199</v>
      </c>
      <c r="HD289" s="996">
        <v>-1.6720000000000006</v>
      </c>
      <c r="HE289" s="1006"/>
      <c r="HF289" s="996">
        <v>0</v>
      </c>
      <c r="HG289" s="1006"/>
      <c r="HH289" s="996">
        <v>0.62422447999999875</v>
      </c>
      <c r="HI289" s="1006"/>
      <c r="HJ289" s="996">
        <v>0</v>
      </c>
      <c r="HK289" s="1006" t="s">
        <v>199</v>
      </c>
      <c r="HL289" s="996">
        <v>1.6678367200000004</v>
      </c>
      <c r="HM289" s="1006"/>
      <c r="HN289" s="996">
        <v>0.76153748000000121</v>
      </c>
      <c r="HO289" s="1006"/>
      <c r="HP289" s="996">
        <v>0</v>
      </c>
      <c r="HQ289" s="1006"/>
      <c r="HR289" s="996">
        <v>0</v>
      </c>
      <c r="HS289" s="1006" t="s">
        <v>203</v>
      </c>
      <c r="HT289" s="996">
        <v>-3.1766578799999987</v>
      </c>
      <c r="HU289" s="1006" t="s">
        <v>25</v>
      </c>
      <c r="HV289" s="996">
        <v>4.276307199999998</v>
      </c>
      <c r="HW289" s="1006"/>
      <c r="HX289" s="996">
        <v>-0.37787199999999999</v>
      </c>
      <c r="HY289" s="1006"/>
      <c r="HZ289" s="996">
        <v>-6.0125119999998589E-2</v>
      </c>
      <c r="IA289" s="1006"/>
      <c r="IB289" s="996">
        <v>-0.49969392000000035</v>
      </c>
      <c r="IC289" s="1006"/>
      <c r="ID289" s="996">
        <v>-0.83282319999999999</v>
      </c>
      <c r="IE289" s="1006" t="s">
        <v>199</v>
      </c>
      <c r="IF289" s="996">
        <v>1.797266239999999</v>
      </c>
      <c r="IG289" s="1006"/>
      <c r="IH289" s="996">
        <v>0</v>
      </c>
      <c r="II289" s="1006"/>
      <c r="IJ289" s="996">
        <v>0</v>
      </c>
      <c r="IK289" s="1006" t="s">
        <v>199</v>
      </c>
      <c r="IL289" s="996">
        <v>1.6719999999999997</v>
      </c>
      <c r="IM289" s="1006" t="s">
        <v>199</v>
      </c>
      <c r="IN289" s="996">
        <v>-2.1819599999999992</v>
      </c>
      <c r="IO289" s="1006"/>
      <c r="IP289" s="996">
        <v>0</v>
      </c>
      <c r="IQ289" s="1006" t="s">
        <v>223</v>
      </c>
      <c r="IR289" s="996">
        <v>-3.6449600000000011</v>
      </c>
      <c r="IS289" s="1006"/>
      <c r="IT289" s="996">
        <v>-0.8610799999999994</v>
      </c>
      <c r="IU289" s="1006"/>
      <c r="IV289" s="996">
        <v>0</v>
      </c>
      <c r="IW289" s="1006"/>
      <c r="IX289" s="996">
        <v>0</v>
      </c>
      <c r="IY289" s="1006"/>
      <c r="IZ289" s="996">
        <v>0</v>
      </c>
      <c r="JA289" s="1006" t="s">
        <v>223</v>
      </c>
      <c r="JB289" s="996">
        <v>1.6720000000000006</v>
      </c>
      <c r="JC289" s="1006"/>
      <c r="JD289" s="996">
        <v>0</v>
      </c>
      <c r="JE289" s="1006"/>
      <c r="JF289" s="996">
        <v>0</v>
      </c>
      <c r="JG289" s="1006"/>
      <c r="JH289" s="996">
        <v>0</v>
      </c>
      <c r="JI289" s="1006"/>
      <c r="JJ289" s="996">
        <v>0</v>
      </c>
      <c r="JK289" s="1007"/>
      <c r="JL289" s="1007">
        <v>0</v>
      </c>
      <c r="JM289" s="1007" t="s">
        <v>203</v>
      </c>
      <c r="JN289" s="1007">
        <v>-2.1654573600000013</v>
      </c>
      <c r="JO289" s="1008"/>
      <c r="JP289" s="1007">
        <v>0</v>
      </c>
      <c r="JQ289" s="1008">
        <v>0</v>
      </c>
      <c r="JR289" s="1007">
        <v>0</v>
      </c>
      <c r="JS289" s="1008">
        <v>0</v>
      </c>
      <c r="JT289" s="1007">
        <v>0</v>
      </c>
      <c r="JU289" s="1008" t="s">
        <v>203</v>
      </c>
      <c r="JV289" s="1007">
        <v>-2.4994226399999988</v>
      </c>
      <c r="JW289" s="1008" t="s">
        <v>203</v>
      </c>
      <c r="JX289" s="1007">
        <v>-4.7819199999999995</v>
      </c>
      <c r="JY289" s="1008"/>
      <c r="JZ289" s="1007">
        <v>0</v>
      </c>
      <c r="KA289" s="1008"/>
      <c r="KB289" s="1007">
        <v>0</v>
      </c>
      <c r="KC289" s="1008"/>
      <c r="KD289" s="1007">
        <v>0</v>
      </c>
      <c r="KE289" s="1008"/>
      <c r="KF289" s="1007">
        <v>21.986799999999999</v>
      </c>
      <c r="KG289" s="1008"/>
      <c r="KH289" s="1007"/>
      <c r="KI289" s="1008"/>
      <c r="KJ289" s="1007"/>
      <c r="KK289" s="1008"/>
      <c r="KL289" s="1007"/>
      <c r="KM289" s="1008"/>
      <c r="KN289" s="1007"/>
      <c r="KO289" s="1008"/>
      <c r="KP289" s="1007"/>
      <c r="KQ289" s="1008"/>
      <c r="KR289" s="1007"/>
      <c r="KS289" s="1008"/>
      <c r="KT289" s="1007"/>
      <c r="KU289" s="1008"/>
      <c r="KV289" s="1007"/>
      <c r="KW289" s="1008"/>
      <c r="KX289" s="1007"/>
      <c r="KY289" s="1008"/>
      <c r="KZ289" s="1007"/>
      <c r="LA289" s="1008"/>
      <c r="LB289" s="1007"/>
      <c r="LC289" s="1008"/>
      <c r="LD289" s="1007"/>
      <c r="LE289" s="1008"/>
      <c r="LF289" s="1007"/>
      <c r="LG289" s="1008"/>
      <c r="LH289" s="1007"/>
      <c r="LI289" s="1008"/>
      <c r="LJ289" s="1007"/>
      <c r="LK289" s="1008"/>
      <c r="LL289" s="1007"/>
      <c r="LM289" s="1008"/>
      <c r="LN289" s="1007"/>
      <c r="LO289" s="1008"/>
      <c r="LP289" s="1007"/>
      <c r="LQ289" s="1008"/>
      <c r="LR289" s="1007"/>
      <c r="LS289" s="1008"/>
      <c r="LT289" s="1007"/>
      <c r="LU289" s="1008"/>
      <c r="LV289" s="1007"/>
      <c r="LW289" s="1008"/>
      <c r="LX289" s="1007"/>
      <c r="LY289" s="1009"/>
      <c r="LZ289" s="1010"/>
      <c r="MA289" s="1011"/>
      <c r="MB289" s="1012"/>
      <c r="MC289" s="995"/>
      <c r="MD289" s="996"/>
      <c r="ME289" s="997" t="s">
        <v>238</v>
      </c>
      <c r="MF289" s="997"/>
      <c r="MG289" s="998"/>
      <c r="NR289" s="1000"/>
      <c r="NS289" s="1000"/>
      <c r="NT289" s="1001"/>
      <c r="NU289" s="1000"/>
      <c r="NV289" s="1001"/>
      <c r="NX289" s="1002"/>
      <c r="NZ289" s="1001"/>
      <c r="OA289" s="1001"/>
      <c r="OC289" s="1003"/>
      <c r="OD289" s="1003"/>
      <c r="OE289" s="1001"/>
      <c r="OF289" s="1003"/>
      <c r="OG289" s="1003"/>
      <c r="OH289" s="1003"/>
      <c r="OI289" s="1016"/>
      <c r="QX289" s="1000">
        <f>CN289-CA289</f>
        <v>19</v>
      </c>
      <c r="ASU289" s="999" t="s">
        <v>208</v>
      </c>
    </row>
    <row r="290" spans="1:466 1191:1191" ht="21" customHeight="1" x14ac:dyDescent="0.25">
      <c r="A290" s="982">
        <f t="shared" si="215"/>
        <v>1260</v>
      </c>
      <c r="B290" s="124">
        <f>SUBTOTAL(103,$J$29:J290)</f>
        <v>262</v>
      </c>
      <c r="C290" s="126">
        <v>45096</v>
      </c>
      <c r="D290" s="124" t="s">
        <v>176</v>
      </c>
      <c r="E290" s="127" t="s">
        <v>177</v>
      </c>
      <c r="F290" s="128" t="s">
        <v>177</v>
      </c>
      <c r="G290" s="127" t="s">
        <v>178</v>
      </c>
      <c r="H290" s="127" t="s">
        <v>226</v>
      </c>
      <c r="I290" s="127" t="s">
        <v>242</v>
      </c>
      <c r="J290" s="152">
        <v>1260</v>
      </c>
      <c r="K290" s="127" t="s">
        <v>182</v>
      </c>
      <c r="L290" s="130">
        <v>43557</v>
      </c>
      <c r="M290" s="127" t="s">
        <v>230</v>
      </c>
      <c r="N290" s="127" t="s">
        <v>465</v>
      </c>
      <c r="O290" s="127" t="s">
        <v>185</v>
      </c>
      <c r="P290" s="127" t="s">
        <v>208</v>
      </c>
      <c r="Q290" s="85" t="str">
        <f t="shared" si="213"/>
        <v/>
      </c>
      <c r="R290" s="130"/>
      <c r="S290" s="128"/>
      <c r="T290" s="131"/>
      <c r="U290" s="132">
        <v>203</v>
      </c>
      <c r="V290" s="121">
        <v>218.2</v>
      </c>
      <c r="W290" s="116">
        <v>0.98</v>
      </c>
      <c r="X290" s="116">
        <v>1.66</v>
      </c>
      <c r="Y290" s="116">
        <f t="shared" si="191"/>
        <v>0.98080354989630048</v>
      </c>
      <c r="Z290" s="133">
        <v>1.454</v>
      </c>
      <c r="AA290" s="133">
        <v>0.83599999999999997</v>
      </c>
      <c r="AB290" s="133">
        <v>0.72</v>
      </c>
      <c r="AC290" s="121">
        <v>34.299999999999997</v>
      </c>
      <c r="AD290" s="134">
        <v>1.17</v>
      </c>
      <c r="AE290" s="124">
        <v>177.8</v>
      </c>
      <c r="AF290" s="128">
        <v>9.19</v>
      </c>
      <c r="AG290" s="128">
        <v>2276.8000000000002</v>
      </c>
      <c r="AH290" s="127">
        <v>2868</v>
      </c>
      <c r="AI290" s="127">
        <v>2868</v>
      </c>
      <c r="AJ290" s="135"/>
      <c r="AK290" s="128"/>
      <c r="AL290" s="131"/>
      <c r="AM290" s="124" t="s">
        <v>232</v>
      </c>
      <c r="AN290" s="136" t="s">
        <v>1275</v>
      </c>
      <c r="AO290" s="137">
        <v>88.6</v>
      </c>
      <c r="AP290" s="128">
        <v>2276.8000000000002</v>
      </c>
      <c r="AQ290" s="128">
        <v>394.96</v>
      </c>
      <c r="AR290" s="128"/>
      <c r="AS290" s="128"/>
      <c r="AT290" s="122"/>
      <c r="AU290" s="124" t="s">
        <v>189</v>
      </c>
      <c r="AV290" s="115">
        <f>VLOOKUP(J290,'[63]ТР нефть'!$J$28:$BP$638,39,0)</f>
        <v>599.99999062500001</v>
      </c>
      <c r="AW290" s="115" t="str">
        <f>VLOOKUP(J290,'[63]ТР нефть'!$J$28:$BP$638,40,0)</f>
        <v>ГП</v>
      </c>
      <c r="AX290" s="115">
        <f>VLOOKUP(J290,'[63]ТР нефть'!$J$28:$BP$638,41,0)</f>
        <v>1030.000013672</v>
      </c>
      <c r="AY290" s="115" t="str">
        <f>VLOOKUP(J290,'[63]ТР нефть'!$J$28:$BP$638,42,0)</f>
        <v>ГП</v>
      </c>
      <c r="AZ290" s="115">
        <f>VLOOKUP(J290,'[63]ТР нефть'!$J$28:$BP$638,43,0)</f>
        <v>1430.000007422</v>
      </c>
      <c r="BA290" s="115" t="str">
        <f>VLOOKUP(J290,'[63]ТР нефть'!$J$28:$BP$638,44,0)</f>
        <v>ГП</v>
      </c>
      <c r="BB290" s="115">
        <f>VLOOKUP(J290,'[63]ТР нефть'!$J$28:$BP$638,45,0)</f>
        <v>1690.000062891</v>
      </c>
      <c r="BC290" s="115" t="str">
        <f>VLOOKUP(J290,'[63]ТР нефть'!$J$28:$BP$638,46,0)</f>
        <v>ГП</v>
      </c>
      <c r="BD290" s="115">
        <f>VLOOKUP(J290,'[63]ТР нефть'!$J$28:$BP$638,47,0)</f>
        <v>1969.999939453</v>
      </c>
      <c r="BE290" s="115" t="str">
        <f>VLOOKUP(J290,'[63]ТР нефть'!$J$28:$BP$638,48,0)</f>
        <v>ЦКсОК 5/16</v>
      </c>
      <c r="BF290" s="115" t="str">
        <f>VLOOKUP(J290,'[63]ТР нефть'!$J$28:$BP$638,49,0)</f>
        <v>-</v>
      </c>
      <c r="BG290" s="115" t="str">
        <f>VLOOKUP(J290,'[63]ТР нефть'!$J$28:$BP$638,50,0)</f>
        <v>-</v>
      </c>
      <c r="BH290" s="115" t="str">
        <f>VLOOKUP(J290,'[63]ТР нефть'!$J$28:$BP$638,51,0)</f>
        <v>-</v>
      </c>
      <c r="BI290" s="115" t="str">
        <f>VLOOKUP(J290,'[63]ТР нефть'!$J$28:$BP$638,52,0)</f>
        <v>-</v>
      </c>
      <c r="BJ290" s="115" t="str">
        <f>IF(IFERROR(VLOOKUP(J290,'[63]ТР нефть'!$J$28:$BP$638,53,0),"-")=0,"-",IFERROR(VLOOKUP(J290,'[63]ТР нефть'!$J$28:$BP$638,53,0),"-"))</f>
        <v>-</v>
      </c>
      <c r="BK290" s="138" t="str">
        <f>IF(IFERROR(VLOOKUP(J290,'[63]ТР нефть'!$J$28:$BP$638,54,0),"-")=0,"-",IFERROR(VLOOKUP(J290,'[63]ТР нефть'!$J$28:$BP$638,54,0),"-"))</f>
        <v>-</v>
      </c>
      <c r="BL290" s="138" t="str">
        <f>IF(IFERROR(VLOOKUP(J290,'[63]ТР нефть'!$J$28:$BP$638,55,0),"-")=0,"-",IFERROR(VLOOKUP(J290,'[63]ТР нефть'!$J$28:$BP$638,55,0),"-"))</f>
        <v>-</v>
      </c>
      <c r="BM290" s="138" t="str">
        <f>IF(IFERROR(VLOOKUP(J290,'[63]ТР нефть'!$J$28:$BP$638,56,0),"-")=0,"-",IFERROR(VLOOKUP(J290,'[63]ТР нефть'!$J$28:$BP$638,56,0),"-"))</f>
        <v>-</v>
      </c>
      <c r="BN290" s="138" t="str">
        <f>IF(IFERROR(VLOOKUP(J290,'[63]ТР нефть'!$J$28:$BP$638,57,0),"-")=0,"-",IFERROR(VLOOKUP(J290,'[63]ТР нефть'!$J$28:$BP$638,57,0),"-"))</f>
        <v>-</v>
      </c>
      <c r="BO290" s="115" t="str">
        <f>IF(IFERROR(VLOOKUP(J290,'[63]ТР нефть'!$J$28:$BP$638,58,0),"-")=0,"-",IFERROR(VLOOKUP(J290,'[63]ТР нефть'!$J$28:$BP$638,58,0),"-"))</f>
        <v>-</v>
      </c>
      <c r="BP290" s="115" t="str">
        <f>IF(IFERROR(VLOOKUP(J290,'[63]ТР нефть'!$J$28:$BP$638,59,0),"-")=0,"-",IFERROR(VLOOKUP(J290,'[63]ТР нефть'!$J$28:$BP$638,59,0),"-"))</f>
        <v>-</v>
      </c>
      <c r="BQ290" s="138">
        <v>2286</v>
      </c>
      <c r="BR290" s="128">
        <v>1884.32</v>
      </c>
      <c r="BS290" s="115">
        <f t="shared" si="211"/>
        <v>401.68000000000006</v>
      </c>
      <c r="BT290" s="128">
        <v>73</v>
      </c>
      <c r="BU290" s="128">
        <v>5.5</v>
      </c>
      <c r="BV290" s="127">
        <v>18</v>
      </c>
      <c r="BW290" s="127" t="s">
        <v>217</v>
      </c>
      <c r="BX290" s="127" t="s">
        <v>195</v>
      </c>
      <c r="BY290" s="139">
        <v>24</v>
      </c>
      <c r="BZ290" s="139">
        <v>0</v>
      </c>
      <c r="CA290" s="115">
        <v>20</v>
      </c>
      <c r="CB290" s="115">
        <v>60</v>
      </c>
      <c r="CC290" s="115">
        <v>19</v>
      </c>
      <c r="CD290" s="135">
        <v>45017</v>
      </c>
      <c r="CE290" s="138">
        <v>76.400000000000006</v>
      </c>
      <c r="CF290" s="138">
        <v>79</v>
      </c>
      <c r="CG290" s="138" t="str">
        <f t="shared" si="212"/>
        <v>В работе</v>
      </c>
      <c r="CH290" s="138" t="s">
        <v>235</v>
      </c>
      <c r="CI290" s="127">
        <v>6</v>
      </c>
      <c r="CJ290" s="138"/>
      <c r="CK290" s="138"/>
      <c r="CL290" s="99"/>
      <c r="CM290" s="99"/>
      <c r="CN290" s="140">
        <v>39</v>
      </c>
      <c r="CO290" s="141">
        <f t="shared" si="216"/>
        <v>9.8358927919999992</v>
      </c>
      <c r="CP290" s="142">
        <v>11.789</v>
      </c>
      <c r="CQ290" s="119">
        <v>0.2</v>
      </c>
      <c r="CR290" s="115">
        <v>38.545000000000002</v>
      </c>
      <c r="CS290" s="139">
        <v>9.5</v>
      </c>
      <c r="CT290" s="138"/>
      <c r="CU290" s="138">
        <f t="shared" si="188"/>
        <v>29.045000000000002</v>
      </c>
      <c r="CV290" s="115">
        <f t="shared" si="189"/>
        <v>2952.9602054654038</v>
      </c>
      <c r="CW290" s="115">
        <f t="shared" si="217"/>
        <v>963.1766304016985</v>
      </c>
      <c r="CX290" s="133">
        <f t="shared" si="190"/>
        <v>0.31521390374331543</v>
      </c>
      <c r="CY290" s="116"/>
      <c r="CZ290" s="131"/>
      <c r="DA290" s="145" t="str">
        <f t="shared" si="218"/>
        <v>Газлифт</v>
      </c>
      <c r="DB290" s="146">
        <f t="shared" si="219"/>
        <v>9.8358927919999992</v>
      </c>
      <c r="DC290" s="142">
        <f>IFERROR(IF(AND(FZ290="Технология",FQ290&lt;$JC$24),EM290,CP290),"-")</f>
        <v>11.789</v>
      </c>
      <c r="DD290" s="119">
        <f t="shared" si="204"/>
        <v>0.2</v>
      </c>
      <c r="DE290" s="115">
        <f t="shared" si="220"/>
        <v>29.045000000000002</v>
      </c>
      <c r="DF290" s="121">
        <f t="shared" si="221"/>
        <v>9.5</v>
      </c>
      <c r="DG290" s="115">
        <f t="shared" si="222"/>
        <v>2952.9602054654038</v>
      </c>
      <c r="DH290" s="115">
        <f t="shared" si="223"/>
        <v>39</v>
      </c>
      <c r="DI290" s="147"/>
      <c r="DJ290" s="111" t="s">
        <v>197</v>
      </c>
      <c r="DK290" s="112">
        <v>43557</v>
      </c>
      <c r="DL290" s="113">
        <f t="shared" ca="1" si="192"/>
        <v>1547</v>
      </c>
      <c r="DM290" s="114"/>
      <c r="DN290" s="114"/>
      <c r="DO290" s="114"/>
      <c r="DP290" s="114"/>
      <c r="DQ290" s="112">
        <v>43557</v>
      </c>
      <c r="DR290" s="114" t="s">
        <v>324</v>
      </c>
      <c r="DS290" s="114"/>
      <c r="DT290" s="115">
        <v>40</v>
      </c>
      <c r="DU290" s="116">
        <f t="shared" si="193"/>
        <v>0.32387362637362632</v>
      </c>
      <c r="DV290" s="117">
        <f t="shared" si="194"/>
        <v>9.8358927919999992</v>
      </c>
      <c r="DW290" s="118">
        <f t="shared" si="195"/>
        <v>11.789</v>
      </c>
      <c r="DX290" s="119">
        <f t="shared" si="224"/>
        <v>0.2</v>
      </c>
      <c r="DY290" s="115">
        <f t="shared" si="196"/>
        <v>29.045000000000002</v>
      </c>
      <c r="DZ290" s="117">
        <f t="shared" si="197"/>
        <v>0</v>
      </c>
      <c r="EA290" s="120">
        <f t="shared" si="197"/>
        <v>0</v>
      </c>
      <c r="EB290" s="119">
        <f t="shared" si="197"/>
        <v>0</v>
      </c>
      <c r="EC290" s="121">
        <f t="shared" si="198"/>
        <v>0</v>
      </c>
      <c r="ED290" s="122"/>
      <c r="EE290" s="145">
        <v>18</v>
      </c>
      <c r="EF290" s="115">
        <v>20</v>
      </c>
      <c r="EG290" s="115">
        <v>60</v>
      </c>
      <c r="EH290" s="115">
        <v>19</v>
      </c>
      <c r="EI290" s="128" t="s">
        <v>195</v>
      </c>
      <c r="EJ290" s="121">
        <v>24</v>
      </c>
      <c r="EK290" s="121">
        <v>0</v>
      </c>
      <c r="EL290" s="149">
        <v>9.8358927919999992</v>
      </c>
      <c r="EM290" s="142">
        <v>11.789</v>
      </c>
      <c r="EN290" s="119">
        <v>0.2</v>
      </c>
      <c r="EO290" s="115">
        <v>38.545000000000002</v>
      </c>
      <c r="EP290" s="115">
        <v>2952.9602054654038</v>
      </c>
      <c r="EQ290" s="115">
        <v>79</v>
      </c>
      <c r="ER290" s="115">
        <v>9.5</v>
      </c>
      <c r="ES290" s="115">
        <v>39</v>
      </c>
      <c r="ET290" s="150">
        <v>0.31521390374331543</v>
      </c>
      <c r="EU290" s="145">
        <f t="shared" si="225"/>
        <v>18</v>
      </c>
      <c r="EV290" s="115">
        <f t="shared" si="226"/>
        <v>20</v>
      </c>
      <c r="EW290" s="115">
        <f t="shared" si="226"/>
        <v>60</v>
      </c>
      <c r="EX290" s="115">
        <f t="shared" si="226"/>
        <v>19</v>
      </c>
      <c r="EY290" s="115" t="str">
        <f t="shared" si="206"/>
        <v>Постоянный</v>
      </c>
      <c r="EZ290" s="115">
        <f t="shared" si="206"/>
        <v>24</v>
      </c>
      <c r="FA290" s="115">
        <f t="shared" si="206"/>
        <v>0</v>
      </c>
      <c r="FB290" s="149">
        <f t="shared" si="209"/>
        <v>9.8358927919999992</v>
      </c>
      <c r="FC290" s="142">
        <f t="shared" si="209"/>
        <v>11.789</v>
      </c>
      <c r="FD290" s="119">
        <f t="shared" si="209"/>
        <v>0.2</v>
      </c>
      <c r="FE290" s="121">
        <f t="shared" si="208"/>
        <v>38.545000000000002</v>
      </c>
      <c r="FF290" s="121">
        <f t="shared" si="199"/>
        <v>2952.9602054654038</v>
      </c>
      <c r="FG290" s="121">
        <f t="shared" si="227"/>
        <v>79</v>
      </c>
      <c r="FH290" s="121">
        <f t="shared" si="200"/>
        <v>9.5</v>
      </c>
      <c r="FI290" s="121">
        <f t="shared" si="205"/>
        <v>39</v>
      </c>
      <c r="FJ290" s="144">
        <f t="shared" si="228"/>
        <v>0.31521390374331543</v>
      </c>
      <c r="FK290" s="132">
        <f t="shared" si="229"/>
        <v>0</v>
      </c>
      <c r="FL290" s="115">
        <f t="shared" si="229"/>
        <v>0</v>
      </c>
      <c r="FM290" s="115">
        <f t="shared" si="229"/>
        <v>0</v>
      </c>
      <c r="FN290" s="115">
        <f t="shared" si="229"/>
        <v>0</v>
      </c>
      <c r="FO290" s="115">
        <f t="shared" si="232"/>
        <v>0</v>
      </c>
      <c r="FP290" s="115">
        <f t="shared" si="232"/>
        <v>0</v>
      </c>
      <c r="FQ290" s="149">
        <f t="shared" si="232"/>
        <v>0</v>
      </c>
      <c r="FR290" s="142">
        <f t="shared" si="232"/>
        <v>0</v>
      </c>
      <c r="FS290" s="119">
        <f t="shared" si="232"/>
        <v>0</v>
      </c>
      <c r="FT290" s="121">
        <f t="shared" si="232"/>
        <v>0</v>
      </c>
      <c r="FU290" s="121">
        <f t="shared" si="230"/>
        <v>0</v>
      </c>
      <c r="FV290" s="121">
        <f t="shared" si="230"/>
        <v>0</v>
      </c>
      <c r="FW290" s="121">
        <f t="shared" si="231"/>
        <v>0</v>
      </c>
      <c r="FX290" s="121">
        <f t="shared" si="233"/>
        <v>0</v>
      </c>
      <c r="FY290" s="144">
        <f t="shared" si="214"/>
        <v>0</v>
      </c>
      <c r="FZ290" s="145"/>
      <c r="GA290" s="151" t="s">
        <v>313</v>
      </c>
      <c r="GB290" s="145"/>
      <c r="GC290" s="151" t="s">
        <v>533</v>
      </c>
      <c r="GD290" s="997" t="s">
        <v>238</v>
      </c>
      <c r="GE290" s="1004"/>
      <c r="GF290" s="1004">
        <v>0</v>
      </c>
      <c r="GG290" s="1004"/>
      <c r="GH290" s="1004">
        <v>0</v>
      </c>
      <c r="GI290" s="145"/>
      <c r="GJ290" s="996">
        <v>0</v>
      </c>
      <c r="GK290" s="145"/>
      <c r="GL290" s="996">
        <v>0</v>
      </c>
      <c r="GM290" s="1005"/>
      <c r="GN290" s="996">
        <v>0</v>
      </c>
      <c r="GO290" s="1006"/>
      <c r="GP290" s="996">
        <v>0</v>
      </c>
      <c r="GQ290" s="1006" t="s">
        <v>203</v>
      </c>
      <c r="GR290" s="996">
        <v>-2.0891573119999993</v>
      </c>
      <c r="GS290" s="1006"/>
      <c r="GT290" s="996">
        <v>0</v>
      </c>
      <c r="GU290" s="1006"/>
      <c r="GV290" s="996">
        <v>0</v>
      </c>
      <c r="GW290" s="1006"/>
      <c r="GX290" s="997">
        <v>0.93856382399999916</v>
      </c>
      <c r="GY290" s="1006" t="s">
        <v>203</v>
      </c>
      <c r="GZ290" s="996">
        <v>-2.6009126219999992</v>
      </c>
      <c r="HA290" s="1006"/>
      <c r="HB290" s="996">
        <v>0</v>
      </c>
      <c r="HC290" s="1006"/>
      <c r="HD290" s="996">
        <v>0</v>
      </c>
      <c r="HE290" s="1006"/>
      <c r="HF290" s="996">
        <v>0</v>
      </c>
      <c r="HG290" s="1006"/>
      <c r="HH290" s="996">
        <v>0</v>
      </c>
      <c r="HI290" s="1006"/>
      <c r="HJ290" s="996">
        <v>0</v>
      </c>
      <c r="HK290" s="1006"/>
      <c r="HL290" s="996">
        <v>0</v>
      </c>
      <c r="HM290" s="1006"/>
      <c r="HN290" s="996">
        <v>-0.48248109799999916</v>
      </c>
      <c r="HO290" s="1006"/>
      <c r="HP290" s="996">
        <v>0.68969999999999843</v>
      </c>
      <c r="HQ290" s="1006" t="s">
        <v>203</v>
      </c>
      <c r="HR290" s="996">
        <v>-7.3976803999999987</v>
      </c>
      <c r="HS290" s="1006" t="s">
        <v>203</v>
      </c>
      <c r="HT290" s="996">
        <v>-4.2954516000000034</v>
      </c>
      <c r="HU290" s="1006" t="s">
        <v>203</v>
      </c>
      <c r="HV290" s="996">
        <v>-7.578615880000001</v>
      </c>
      <c r="HW290" s="1006" t="s">
        <v>25</v>
      </c>
      <c r="HX290" s="996">
        <v>26.131127880000001</v>
      </c>
      <c r="HY290" s="1006"/>
      <c r="HZ290" s="996">
        <v>0</v>
      </c>
      <c r="IA290" s="1006"/>
      <c r="IB290" s="996">
        <v>0.25079999999999991</v>
      </c>
      <c r="IC290" s="1006"/>
      <c r="ID290" s="996">
        <v>0</v>
      </c>
      <c r="IE290" s="1006"/>
      <c r="IF290" s="996">
        <v>0</v>
      </c>
      <c r="IG290" s="1006" t="s">
        <v>199</v>
      </c>
      <c r="IH290" s="996">
        <v>3.5947999999999993</v>
      </c>
      <c r="II290" s="1006" t="s">
        <v>223</v>
      </c>
      <c r="IJ290" s="996">
        <v>-2.2572000000000001</v>
      </c>
      <c r="IK290" s="1006"/>
      <c r="IL290" s="996">
        <v>0</v>
      </c>
      <c r="IM290" s="1006" t="s">
        <v>199</v>
      </c>
      <c r="IN290" s="996">
        <v>-4.2635999999999994</v>
      </c>
      <c r="IO290" s="1006" t="s">
        <v>199</v>
      </c>
      <c r="IP290" s="996">
        <v>1.2958000000000007</v>
      </c>
      <c r="IQ290" s="1006"/>
      <c r="IR290" s="996">
        <v>0</v>
      </c>
      <c r="IS290" s="1006"/>
      <c r="IT290" s="996">
        <v>-0.87780000000000147</v>
      </c>
      <c r="IU290" s="1006"/>
      <c r="IV290" s="996">
        <v>0</v>
      </c>
      <c r="IW290" s="1006"/>
      <c r="IX290" s="996">
        <v>0</v>
      </c>
      <c r="IY290" s="1006"/>
      <c r="IZ290" s="996">
        <v>0</v>
      </c>
      <c r="JA290" s="1006"/>
      <c r="JB290" s="996">
        <v>0</v>
      </c>
      <c r="JC290" s="1006" t="s">
        <v>199</v>
      </c>
      <c r="JD290" s="996">
        <v>1.8391999999999999</v>
      </c>
      <c r="JE290" s="1006"/>
      <c r="JF290" s="996">
        <v>0</v>
      </c>
      <c r="JG290" s="1006"/>
      <c r="JH290" s="996">
        <v>0</v>
      </c>
      <c r="JI290" s="1006"/>
      <c r="JJ290" s="996">
        <v>0</v>
      </c>
      <c r="JK290" s="1007" t="s">
        <v>199</v>
      </c>
      <c r="JL290" s="1007">
        <v>-3.3439999999999994</v>
      </c>
      <c r="JM290" s="1007"/>
      <c r="JN290" s="1007">
        <v>0</v>
      </c>
      <c r="JO290" s="1008" t="s">
        <v>203</v>
      </c>
      <c r="JP290" s="1007">
        <v>-2.2571999999999992</v>
      </c>
      <c r="JQ290" s="1008" t="s">
        <v>203</v>
      </c>
      <c r="JR290" s="1007">
        <v>-4.6816000000000031</v>
      </c>
      <c r="JS290" s="1008" t="s">
        <v>199</v>
      </c>
      <c r="JT290" s="1007">
        <v>13.877600000000003</v>
      </c>
      <c r="JU290" s="1008" t="s">
        <v>644</v>
      </c>
      <c r="JV290" s="1007">
        <v>-13.382334037600002</v>
      </c>
      <c r="JW290" s="1008" t="s">
        <v>197</v>
      </c>
      <c r="JX290" s="1007">
        <v>0</v>
      </c>
      <c r="JY290" s="1008" t="s">
        <v>324</v>
      </c>
      <c r="JZ290" s="1007">
        <v>16.726334037600001</v>
      </c>
      <c r="KA290" s="1008"/>
      <c r="KB290" s="1007"/>
      <c r="KC290" s="1008"/>
      <c r="KD290" s="1007"/>
      <c r="KE290" s="1008"/>
      <c r="KF290" s="1007"/>
      <c r="KG290" s="1008"/>
      <c r="KH290" s="1007"/>
      <c r="KI290" s="1008"/>
      <c r="KJ290" s="1007"/>
      <c r="KK290" s="1008"/>
      <c r="KL290" s="1007"/>
      <c r="KM290" s="1008"/>
      <c r="KN290" s="1007"/>
      <c r="KO290" s="1008"/>
      <c r="KP290" s="1007"/>
      <c r="KQ290" s="1008"/>
      <c r="KR290" s="1007"/>
      <c r="KS290" s="1008"/>
      <c r="KT290" s="1007"/>
      <c r="KU290" s="1008"/>
      <c r="KV290" s="1007"/>
      <c r="KW290" s="1008"/>
      <c r="KX290" s="1007"/>
      <c r="KY290" s="1008"/>
      <c r="KZ290" s="1007"/>
      <c r="LA290" s="1008"/>
      <c r="LB290" s="1007"/>
      <c r="LC290" s="1008"/>
      <c r="LD290" s="1007"/>
      <c r="LE290" s="1008"/>
      <c r="LF290" s="1007"/>
      <c r="LG290" s="1008"/>
      <c r="LH290" s="1007"/>
      <c r="LI290" s="1008"/>
      <c r="LJ290" s="1007"/>
      <c r="LK290" s="1008"/>
      <c r="LL290" s="1007"/>
      <c r="LM290" s="1008"/>
      <c r="LN290" s="1007"/>
      <c r="LO290" s="1008"/>
      <c r="LP290" s="1007"/>
      <c r="LQ290" s="1008"/>
      <c r="LR290" s="1007"/>
      <c r="LS290" s="1008"/>
      <c r="LT290" s="1007"/>
      <c r="LU290" s="1008"/>
      <c r="LV290" s="1007"/>
      <c r="LW290" s="1008"/>
      <c r="LX290" s="1007"/>
      <c r="LY290" s="1009"/>
      <c r="LZ290" s="1010"/>
      <c r="MA290" s="1011"/>
      <c r="MB290" s="1012"/>
      <c r="MC290" s="995"/>
      <c r="MD290" s="996"/>
      <c r="ME290" s="997" t="s">
        <v>238</v>
      </c>
      <c r="MF290" s="997"/>
      <c r="MG290" s="998"/>
      <c r="NR290" s="1000"/>
      <c r="NS290" s="1000"/>
      <c r="NT290" s="1001"/>
      <c r="NU290" s="1000"/>
      <c r="NV290" s="1001"/>
      <c r="NX290" s="1002"/>
      <c r="NZ290" s="1001"/>
      <c r="OA290" s="1001"/>
      <c r="OC290" s="1003"/>
      <c r="OD290" s="1003"/>
      <c r="OE290" s="1001"/>
      <c r="OF290" s="1003"/>
      <c r="OG290" s="1003"/>
      <c r="OH290" s="1003"/>
      <c r="OI290" s="1016"/>
      <c r="QX290" s="1000">
        <f>CN290-CA290</f>
        <v>19</v>
      </c>
      <c r="ASU290" s="999" t="s">
        <v>208</v>
      </c>
    </row>
    <row r="291" spans="1:466 1191:1191" s="1023" customFormat="1" ht="21" customHeight="1" x14ac:dyDescent="0.25">
      <c r="A291" s="982">
        <f t="shared" si="215"/>
        <v>1261</v>
      </c>
      <c r="B291" s="124">
        <f>SUBTOTAL(103,$J$29:J291)</f>
        <v>263</v>
      </c>
      <c r="C291" s="126">
        <v>45068</v>
      </c>
      <c r="D291" s="124" t="s">
        <v>176</v>
      </c>
      <c r="E291" s="127" t="s">
        <v>177</v>
      </c>
      <c r="F291" s="128" t="s">
        <v>177</v>
      </c>
      <c r="G291" s="127" t="s">
        <v>178</v>
      </c>
      <c r="H291" s="127" t="s">
        <v>408</v>
      </c>
      <c r="I291" s="127" t="s">
        <v>1276</v>
      </c>
      <c r="J291" s="129">
        <v>1261</v>
      </c>
      <c r="K291" s="127" t="s">
        <v>1276</v>
      </c>
      <c r="L291" s="130">
        <v>42073</v>
      </c>
      <c r="M291" s="127" t="s">
        <v>230</v>
      </c>
      <c r="N291" s="127" t="s">
        <v>231</v>
      </c>
      <c r="O291" s="127" t="s">
        <v>185</v>
      </c>
      <c r="P291" s="127" t="s">
        <v>186</v>
      </c>
      <c r="Q291" s="85" t="str">
        <f t="shared" si="213"/>
        <v/>
      </c>
      <c r="R291" s="130"/>
      <c r="S291" s="128"/>
      <c r="T291" s="131"/>
      <c r="U291" s="132">
        <v>203</v>
      </c>
      <c r="V291" s="121">
        <v>218.2</v>
      </c>
      <c r="W291" s="116">
        <v>0.98</v>
      </c>
      <c r="X291" s="116">
        <v>1.66</v>
      </c>
      <c r="Y291" s="116">
        <f t="shared" si="191"/>
        <v>0.98</v>
      </c>
      <c r="Z291" s="133">
        <v>1.454</v>
      </c>
      <c r="AA291" s="133">
        <v>0.83599999999999997</v>
      </c>
      <c r="AB291" s="133">
        <v>0.72</v>
      </c>
      <c r="AC291" s="121">
        <v>34.299999999999997</v>
      </c>
      <c r="AD291" s="134">
        <v>1.17</v>
      </c>
      <c r="AE291" s="124" t="s">
        <v>365</v>
      </c>
      <c r="AF291" s="128" t="s">
        <v>983</v>
      </c>
      <c r="AG291" s="128" t="s">
        <v>1277</v>
      </c>
      <c r="AH291" s="127">
        <v>3002</v>
      </c>
      <c r="AI291" s="127">
        <v>3002</v>
      </c>
      <c r="AJ291" s="135"/>
      <c r="AK291" s="128"/>
      <c r="AL291" s="131"/>
      <c r="AM291" s="124" t="s">
        <v>985</v>
      </c>
      <c r="AN291" s="136" t="s">
        <v>1278</v>
      </c>
      <c r="AO291" s="137">
        <v>25.97</v>
      </c>
      <c r="AP291" s="128">
        <v>2179</v>
      </c>
      <c r="AQ291" s="128">
        <v>148</v>
      </c>
      <c r="AR291" s="128"/>
      <c r="AS291" s="128"/>
      <c r="AT291" s="122"/>
      <c r="AU291" s="124" t="s">
        <v>189</v>
      </c>
      <c r="AV291" s="115">
        <f>VLOOKUP(J291,'[63]ТР нефть'!$J$28:$BP$638,39,0)</f>
        <v>379.99998662100001</v>
      </c>
      <c r="AW291" s="115" t="str">
        <f>VLOOKUP(J291,'[63]ТР нефть'!$J$28:$BP$638,40,0)</f>
        <v>ГП</v>
      </c>
      <c r="AX291" s="115">
        <f>VLOOKUP(J291,'[63]ТР нефть'!$J$28:$BP$638,41,0)</f>
        <v>730.00001835900002</v>
      </c>
      <c r="AY291" s="115" t="str">
        <f>VLOOKUP(J291,'[63]ТР нефть'!$J$28:$BP$638,42,0)</f>
        <v>ГП</v>
      </c>
      <c r="AZ291" s="115">
        <f>VLOOKUP(J291,'[63]ТР нефть'!$J$28:$BP$638,43,0)</f>
        <v>1059.9999685549999</v>
      </c>
      <c r="BA291" s="115" t="str">
        <f>VLOOKUP(J291,'[63]ТР нефть'!$J$28:$BP$638,44,0)</f>
        <v>ГП</v>
      </c>
      <c r="BB291" s="115">
        <f>VLOOKUP(J291,'[63]ТР нефть'!$J$28:$BP$638,45,0)</f>
        <v>1360.0000382809999</v>
      </c>
      <c r="BC291" s="115" t="str">
        <f>VLOOKUP(J291,'[63]ТР нефть'!$J$28:$BP$638,46,0)</f>
        <v>ГК83 1/8</v>
      </c>
      <c r="BD291" s="115">
        <f>VLOOKUP(J291,'[63]ТР нефть'!$J$28:$BP$638,47,0)</f>
        <v>1599.9999749999999</v>
      </c>
      <c r="BE291" s="115" t="str">
        <f>VLOOKUP(J291,'[63]ТР нефть'!$J$28:$BP$638,48,0)</f>
        <v>ГК82 1/8</v>
      </c>
      <c r="BF291" s="115" t="str">
        <f>VLOOKUP(J291,'[63]ТР нефть'!$J$28:$BP$638,49,0)</f>
        <v>-</v>
      </c>
      <c r="BG291" s="115" t="str">
        <f>VLOOKUP(J291,'[63]ТР нефть'!$J$28:$BP$638,50,0)</f>
        <v>-</v>
      </c>
      <c r="BH291" s="115">
        <f>VLOOKUP(J291,'[63]ТР нефть'!$J$28:$BP$638,51,0)</f>
        <v>1800</v>
      </c>
      <c r="BI291" s="115" t="str">
        <f>VLOOKUP(J291,'[63]ТР нефть'!$J$28:$BP$638,52,0)</f>
        <v>открыт</v>
      </c>
      <c r="BJ291" s="115" t="str">
        <f>IF(IFERROR(VLOOKUP(J291,'[63]ТР нефть'!$J$28:$BP$638,53,0),"-")=0,"-",IFERROR(VLOOKUP(J291,'[63]ТР нефть'!$J$28:$BP$638,53,0),"-"))</f>
        <v>-</v>
      </c>
      <c r="BK291" s="138" t="str">
        <f>IF(IFERROR(VLOOKUP(J291,'[63]ТР нефть'!$J$28:$BP$638,54,0),"-")=0,"-",IFERROR(VLOOKUP(J291,'[63]ТР нефть'!$J$28:$BP$638,54,0),"-"))</f>
        <v>-</v>
      </c>
      <c r="BL291" s="138" t="str">
        <f>IF(IFERROR(VLOOKUP(J291,'[63]ТР нефть'!$J$28:$BP$638,55,0),"-")=0,"-",IFERROR(VLOOKUP(J291,'[63]ТР нефть'!$J$28:$BP$638,55,0),"-"))</f>
        <v>-</v>
      </c>
      <c r="BM291" s="138" t="str">
        <f>IF(IFERROR(VLOOKUP(J291,'[63]ТР нефть'!$J$28:$BP$638,56,0),"-")=0,"-",IFERROR(VLOOKUP(J291,'[63]ТР нефть'!$J$28:$BP$638,56,0),"-"))</f>
        <v>-</v>
      </c>
      <c r="BN291" s="138" t="str">
        <f>IF(IFERROR(VLOOKUP(J291,'[63]ТР нефть'!$J$28:$BP$638,57,0),"-")=0,"-",IFERROR(VLOOKUP(J291,'[63]ТР нефть'!$J$28:$BP$638,57,0),"-"))</f>
        <v>-</v>
      </c>
      <c r="BO291" s="115" t="str">
        <f>IF(IFERROR(VLOOKUP(J291,'[63]ТР нефть'!$J$28:$BP$638,58,0),"-")=0,"-",IFERROR(VLOOKUP(J291,'[63]ТР нефть'!$J$28:$BP$638,58,0),"-"))</f>
        <v>-</v>
      </c>
      <c r="BP291" s="115" t="str">
        <f>IF(IFERROR(VLOOKUP(J291,'[63]ТР нефть'!$J$28:$BP$638,59,0),"-")=0,"-",IFERROR(VLOOKUP(J291,'[63]ТР нефть'!$J$28:$BP$638,59,0),"-"))</f>
        <v>-</v>
      </c>
      <c r="BQ291" s="138">
        <v>1890</v>
      </c>
      <c r="BR291" s="128">
        <v>1811.97</v>
      </c>
      <c r="BS291" s="115">
        <f t="shared" si="211"/>
        <v>78.029999999999973</v>
      </c>
      <c r="BT291" s="128">
        <v>73</v>
      </c>
      <c r="BU291" s="128">
        <v>5.5</v>
      </c>
      <c r="BV291" s="127">
        <v>18</v>
      </c>
      <c r="BW291" s="127" t="s">
        <v>217</v>
      </c>
      <c r="BX291" s="127" t="s">
        <v>195</v>
      </c>
      <c r="BY291" s="139">
        <v>24</v>
      </c>
      <c r="BZ291" s="139">
        <v>0</v>
      </c>
      <c r="CA291" s="138">
        <v>21</v>
      </c>
      <c r="CB291" s="138">
        <v>30</v>
      </c>
      <c r="CC291" s="138">
        <v>20</v>
      </c>
      <c r="CD291" s="135">
        <v>45017</v>
      </c>
      <c r="CE291" s="138">
        <v>72</v>
      </c>
      <c r="CF291" s="138">
        <v>69</v>
      </c>
      <c r="CG291" s="138" t="str">
        <f t="shared" si="212"/>
        <v>В работе</v>
      </c>
      <c r="CH291" s="138" t="s">
        <v>196</v>
      </c>
      <c r="CI291" s="127">
        <v>6</v>
      </c>
      <c r="CJ291" s="138"/>
      <c r="CK291" s="138"/>
      <c r="CL291" s="99"/>
      <c r="CM291" s="99"/>
      <c r="CN291" s="140">
        <v>37</v>
      </c>
      <c r="CO291" s="159">
        <f t="shared" si="216"/>
        <v>6.1027999999999993</v>
      </c>
      <c r="CP291" s="160">
        <v>7.3</v>
      </c>
      <c r="CQ291" s="161">
        <v>0</v>
      </c>
      <c r="CR291" s="138">
        <v>25.73</v>
      </c>
      <c r="CS291" s="138">
        <v>6.9</v>
      </c>
      <c r="CT291" s="138"/>
      <c r="CU291" s="138">
        <f t="shared" si="188"/>
        <v>18.829999999999998</v>
      </c>
      <c r="CV291" s="138">
        <f t="shared" si="189"/>
        <v>3085.4689650652163</v>
      </c>
      <c r="CW291" s="138">
        <f t="shared" si="217"/>
        <v>1130.6285639378648</v>
      </c>
      <c r="CX291" s="164">
        <f t="shared" si="190"/>
        <v>0.20857142857142857</v>
      </c>
      <c r="CY291" s="116"/>
      <c r="CZ291" s="136"/>
      <c r="DA291" s="124" t="str">
        <f t="shared" si="218"/>
        <v>Газлифт</v>
      </c>
      <c r="DB291" s="166">
        <f t="shared" si="219"/>
        <v>7.6661199999999994</v>
      </c>
      <c r="DC291" s="138">
        <v>9.17</v>
      </c>
      <c r="DD291" s="138">
        <f t="shared" si="204"/>
        <v>0</v>
      </c>
      <c r="DE291" s="138">
        <f t="shared" si="220"/>
        <v>18.829999999999998</v>
      </c>
      <c r="DF291" s="139">
        <f t="shared" si="221"/>
        <v>6.9</v>
      </c>
      <c r="DG291" s="115">
        <f t="shared" si="222"/>
        <v>3085.4689650652163</v>
      </c>
      <c r="DH291" s="115">
        <f t="shared" si="223"/>
        <v>37</v>
      </c>
      <c r="DI291" s="167"/>
      <c r="DJ291" s="111">
        <v>42955</v>
      </c>
      <c r="DK291" s="112">
        <v>42063</v>
      </c>
      <c r="DL291" s="113">
        <f t="shared" ca="1" si="192"/>
        <v>3041</v>
      </c>
      <c r="DM291" s="114"/>
      <c r="DN291" s="114"/>
      <c r="DO291" s="114"/>
      <c r="DP291" s="114"/>
      <c r="DQ291" s="112">
        <v>42971</v>
      </c>
      <c r="DR291" s="114" t="s">
        <v>405</v>
      </c>
      <c r="DS291" s="114"/>
      <c r="DT291" s="115">
        <v>36</v>
      </c>
      <c r="DU291" s="116">
        <f t="shared" si="193"/>
        <v>0.20692913385826767</v>
      </c>
      <c r="DV291" s="117">
        <f t="shared" si="194"/>
        <v>6.2277392125984239</v>
      </c>
      <c r="DW291" s="118">
        <f t="shared" si="195"/>
        <v>7.4494488188976362</v>
      </c>
      <c r="DX291" s="119">
        <f t="shared" si="224"/>
        <v>0</v>
      </c>
      <c r="DY291" s="115">
        <f t="shared" si="196"/>
        <v>19.215496062992123</v>
      </c>
      <c r="DZ291" s="117">
        <f t="shared" si="197"/>
        <v>0.12493921259842455</v>
      </c>
      <c r="EA291" s="120">
        <f t="shared" si="197"/>
        <v>0.14944881889763639</v>
      </c>
      <c r="EB291" s="119">
        <f t="shared" si="197"/>
        <v>0</v>
      </c>
      <c r="EC291" s="121">
        <f t="shared" si="198"/>
        <v>0.38549606299212513</v>
      </c>
      <c r="ED291" s="122"/>
      <c r="EE291" s="124">
        <v>18</v>
      </c>
      <c r="EF291" s="138">
        <v>21</v>
      </c>
      <c r="EG291" s="138">
        <v>30</v>
      </c>
      <c r="EH291" s="138">
        <v>20</v>
      </c>
      <c r="EI291" s="127" t="s">
        <v>195</v>
      </c>
      <c r="EJ291" s="139">
        <v>24</v>
      </c>
      <c r="EK291" s="139">
        <v>0</v>
      </c>
      <c r="EL291" s="176">
        <v>6.0981008439999993</v>
      </c>
      <c r="EM291" s="138">
        <v>7.3</v>
      </c>
      <c r="EN291" s="138">
        <v>7.6999999999999999E-2</v>
      </c>
      <c r="EO291" s="138">
        <v>25.73</v>
      </c>
      <c r="EP291" s="138">
        <v>3087.8466069525698</v>
      </c>
      <c r="EQ291" s="138">
        <v>69</v>
      </c>
      <c r="ER291" s="138">
        <v>6.9</v>
      </c>
      <c r="ES291" s="138">
        <v>37</v>
      </c>
      <c r="ET291" s="154">
        <v>0.20857142857142857</v>
      </c>
      <c r="EU291" s="124">
        <f t="shared" si="225"/>
        <v>18</v>
      </c>
      <c r="EV291" s="138">
        <f t="shared" si="226"/>
        <v>21</v>
      </c>
      <c r="EW291" s="138">
        <f t="shared" si="226"/>
        <v>30</v>
      </c>
      <c r="EX291" s="138">
        <f t="shared" si="226"/>
        <v>20</v>
      </c>
      <c r="EY291" s="138" t="str">
        <f t="shared" si="206"/>
        <v>Постоянный</v>
      </c>
      <c r="EZ291" s="138">
        <f t="shared" si="206"/>
        <v>24</v>
      </c>
      <c r="FA291" s="138">
        <f t="shared" si="206"/>
        <v>0</v>
      </c>
      <c r="FB291" s="139">
        <f t="shared" si="209"/>
        <v>6.1027999999999993</v>
      </c>
      <c r="FC291" s="138">
        <f t="shared" si="209"/>
        <v>7.3</v>
      </c>
      <c r="FD291" s="138">
        <f t="shared" si="209"/>
        <v>0</v>
      </c>
      <c r="FE291" s="139">
        <f t="shared" si="208"/>
        <v>25.73</v>
      </c>
      <c r="FF291" s="139">
        <f t="shared" si="199"/>
        <v>3085.4689650652163</v>
      </c>
      <c r="FG291" s="139">
        <f t="shared" si="227"/>
        <v>69</v>
      </c>
      <c r="FH291" s="139">
        <f t="shared" si="200"/>
        <v>6.9</v>
      </c>
      <c r="FI291" s="139">
        <f t="shared" si="205"/>
        <v>37</v>
      </c>
      <c r="FJ291" s="168">
        <f t="shared" si="228"/>
        <v>0.20857142857142857</v>
      </c>
      <c r="FK291" s="169">
        <f t="shared" si="229"/>
        <v>0</v>
      </c>
      <c r="FL291" s="138">
        <f t="shared" si="229"/>
        <v>0</v>
      </c>
      <c r="FM291" s="138">
        <f t="shared" si="229"/>
        <v>0</v>
      </c>
      <c r="FN291" s="138">
        <f t="shared" si="229"/>
        <v>0</v>
      </c>
      <c r="FO291" s="138">
        <f t="shared" si="232"/>
        <v>0</v>
      </c>
      <c r="FP291" s="138">
        <f t="shared" si="232"/>
        <v>0</v>
      </c>
      <c r="FQ291" s="149">
        <f t="shared" si="232"/>
        <v>4.6991560000000376E-3</v>
      </c>
      <c r="FR291" s="142">
        <f t="shared" si="232"/>
        <v>0</v>
      </c>
      <c r="FS291" s="119">
        <f t="shared" si="232"/>
        <v>-7.6999999999999999E-2</v>
      </c>
      <c r="FT291" s="139">
        <f t="shared" si="232"/>
        <v>0</v>
      </c>
      <c r="FU291" s="139">
        <f t="shared" si="230"/>
        <v>0</v>
      </c>
      <c r="FV291" s="139">
        <f t="shared" si="230"/>
        <v>0</v>
      </c>
      <c r="FW291" s="139">
        <f t="shared" si="231"/>
        <v>-2.3776418873535476</v>
      </c>
      <c r="FX291" s="139">
        <f>CN291-ES291</f>
        <v>0</v>
      </c>
      <c r="FY291" s="168">
        <f t="shared" si="214"/>
        <v>0</v>
      </c>
      <c r="FZ291" s="124"/>
      <c r="GA291" s="151"/>
      <c r="GB291" s="124" t="s">
        <v>199</v>
      </c>
      <c r="GC291" s="136" t="s">
        <v>415</v>
      </c>
      <c r="GD291" s="1018" t="s">
        <v>416</v>
      </c>
      <c r="GE291" s="1019" t="s">
        <v>199</v>
      </c>
      <c r="GF291" s="1019">
        <v>-1.5621162435999993</v>
      </c>
      <c r="GG291" s="1019"/>
      <c r="GH291" s="1019">
        <v>-0.65241325467999989</v>
      </c>
      <c r="GI291" s="124"/>
      <c r="GJ291" s="1015">
        <v>-0.91336965772000234</v>
      </c>
      <c r="GK291" s="124"/>
      <c r="GL291" s="1015">
        <v>0</v>
      </c>
      <c r="GM291" s="1013"/>
      <c r="GN291" s="1015">
        <v>0</v>
      </c>
      <c r="GO291" s="1014"/>
      <c r="GP291" s="1015">
        <v>0</v>
      </c>
      <c r="GQ291" s="1014"/>
      <c r="GR291" s="1015">
        <v>0</v>
      </c>
      <c r="GS291" s="1014"/>
      <c r="GT291" s="1015">
        <v>0</v>
      </c>
      <c r="GU291" s="1014"/>
      <c r="GV291" s="1015">
        <v>0</v>
      </c>
      <c r="GW291" s="1014" t="s">
        <v>25</v>
      </c>
      <c r="GX291" s="1020">
        <v>-0.97754161339999968</v>
      </c>
      <c r="GY291" s="1014"/>
      <c r="GZ291" s="1015">
        <v>0</v>
      </c>
      <c r="HA291" s="1014"/>
      <c r="HB291" s="1015">
        <v>0.21735999999999933</v>
      </c>
      <c r="HC291" s="1014"/>
      <c r="HD291" s="1015">
        <v>-0.79461799999999982</v>
      </c>
      <c r="HE291" s="1014"/>
      <c r="HF291" s="1015">
        <v>0</v>
      </c>
      <c r="HG291" s="1014"/>
      <c r="HH291" s="1015">
        <v>0</v>
      </c>
      <c r="HI291" s="1014"/>
      <c r="HJ291" s="1015">
        <v>-0.5423048399999999</v>
      </c>
      <c r="HK291" s="1014"/>
      <c r="HL291" s="1015">
        <v>0</v>
      </c>
      <c r="HM291" s="1014" t="s">
        <v>199</v>
      </c>
      <c r="HN291" s="1015">
        <v>-1.5882411599999999</v>
      </c>
      <c r="HO291" s="1006"/>
      <c r="HP291" s="996">
        <v>0</v>
      </c>
      <c r="HQ291" s="1006"/>
      <c r="HR291" s="996">
        <v>0</v>
      </c>
      <c r="HS291" s="1006"/>
      <c r="HT291" s="996">
        <v>0.90278971200000058</v>
      </c>
      <c r="HU291" s="1006"/>
      <c r="HV291" s="996">
        <v>-0.26749324800000096</v>
      </c>
      <c r="HW291" s="1006"/>
      <c r="HX291" s="996">
        <v>0</v>
      </c>
      <c r="HY291" s="1006" t="s">
        <v>199</v>
      </c>
      <c r="HZ291" s="996">
        <v>-1.471212864</v>
      </c>
      <c r="IA291" s="1006"/>
      <c r="IB291" s="996">
        <v>0</v>
      </c>
      <c r="IC291" s="1006"/>
      <c r="ID291" s="996">
        <v>0</v>
      </c>
      <c r="IE291" s="1006"/>
      <c r="IF291" s="996">
        <v>3.3331320000002052E-2</v>
      </c>
      <c r="IG291" s="1006" t="s">
        <v>199</v>
      </c>
      <c r="IH291" s="996">
        <v>0.98697323999999753</v>
      </c>
      <c r="II291" s="1006"/>
      <c r="IJ291" s="996">
        <v>0</v>
      </c>
      <c r="IK291" s="1006"/>
      <c r="IL291" s="996">
        <v>0</v>
      </c>
      <c r="IM291" s="1006"/>
      <c r="IN291" s="996">
        <v>0.58391256000000169</v>
      </c>
      <c r="IO291" s="1006"/>
      <c r="IP291" s="996">
        <v>0.66732863999999825</v>
      </c>
      <c r="IQ291" s="1006"/>
      <c r="IR291" s="996">
        <v>-0.63396220800000069</v>
      </c>
      <c r="IS291" s="1006"/>
      <c r="IT291" s="996">
        <v>-0.7841111519999977</v>
      </c>
      <c r="IU291" s="1006"/>
      <c r="IV291" s="996">
        <v>0</v>
      </c>
      <c r="IW291" s="1006" t="s">
        <v>204</v>
      </c>
      <c r="IX291" s="996">
        <v>-1.6683216000000023</v>
      </c>
      <c r="IY291" s="1006"/>
      <c r="IZ291" s="996">
        <v>0</v>
      </c>
      <c r="JA291" s="1006" t="s">
        <v>199</v>
      </c>
      <c r="JB291" s="996">
        <v>5.8391256000000018</v>
      </c>
      <c r="JC291" s="1006" t="s">
        <v>199</v>
      </c>
      <c r="JD291" s="996">
        <v>-7.4240311199999995</v>
      </c>
      <c r="JE291" s="1006"/>
      <c r="JF291" s="996">
        <v>0</v>
      </c>
      <c r="JG291" s="1006"/>
      <c r="JH291" s="996">
        <v>0</v>
      </c>
      <c r="JI291" s="1006"/>
      <c r="JJ291" s="996">
        <v>0</v>
      </c>
      <c r="JK291" s="1007"/>
      <c r="JL291" s="1007">
        <v>0</v>
      </c>
      <c r="JM291" s="1007" t="s">
        <v>199</v>
      </c>
      <c r="JN291" s="1007">
        <v>3.8121148559999991</v>
      </c>
      <c r="JO291" s="1008"/>
      <c r="JP291" s="1007">
        <v>-0.55888773599999908</v>
      </c>
      <c r="JQ291" s="1008">
        <v>0</v>
      </c>
      <c r="JR291" s="1007">
        <v>0</v>
      </c>
      <c r="JS291" s="1008">
        <v>0</v>
      </c>
      <c r="JT291" s="1007">
        <v>-1.3376000000000943E-2</v>
      </c>
      <c r="JU291" s="1008"/>
      <c r="JV291" s="1007">
        <v>0</v>
      </c>
      <c r="JW291" s="1008" t="s">
        <v>197</v>
      </c>
      <c r="JX291" s="1007">
        <v>0</v>
      </c>
      <c r="JY291" s="1008" t="s">
        <v>204</v>
      </c>
      <c r="JZ291" s="1007">
        <v>-3.4255434399999984</v>
      </c>
      <c r="KA291" s="1008"/>
      <c r="KB291" s="1007">
        <v>0</v>
      </c>
      <c r="KC291" s="1008"/>
      <c r="KD291" s="1007">
        <v>0</v>
      </c>
      <c r="KE291" s="1008"/>
      <c r="KF291" s="1007">
        <v>0</v>
      </c>
      <c r="KG291" s="1008"/>
      <c r="KH291" s="1020">
        <v>0</v>
      </c>
      <c r="KI291" s="1008"/>
      <c r="KJ291" s="1007">
        <v>0</v>
      </c>
      <c r="KK291" s="1008"/>
      <c r="KL291" s="1007">
        <v>0</v>
      </c>
      <c r="KM291" s="1008"/>
      <c r="KN291" s="1007">
        <v>0</v>
      </c>
      <c r="KO291" s="1008"/>
      <c r="KP291" s="1007">
        <v>0</v>
      </c>
      <c r="KQ291" s="1008" t="s">
        <v>206</v>
      </c>
      <c r="KR291" s="1007">
        <v>0.75194856000000065</v>
      </c>
      <c r="KS291" s="1008">
        <v>0</v>
      </c>
      <c r="KT291" s="1007">
        <v>0</v>
      </c>
      <c r="KU291" s="1008">
        <v>0</v>
      </c>
      <c r="KV291" s="1007">
        <v>0</v>
      </c>
      <c r="KW291" s="1008">
        <v>0</v>
      </c>
      <c r="KX291" s="1007">
        <v>0</v>
      </c>
      <c r="KY291" s="1008" t="s">
        <v>223</v>
      </c>
      <c r="KZ291" s="1007">
        <v>-3.4923833119999994</v>
      </c>
      <c r="LA291" s="1008">
        <v>0</v>
      </c>
      <c r="LB291" s="1007">
        <v>0</v>
      </c>
      <c r="LC291" s="1008">
        <v>0</v>
      </c>
      <c r="LD291" s="1007">
        <v>0</v>
      </c>
      <c r="LE291" s="1008">
        <v>0</v>
      </c>
      <c r="LF291" s="1020">
        <v>2.8239845919999969</v>
      </c>
      <c r="LG291" s="1008">
        <v>0</v>
      </c>
      <c r="LH291" s="1007">
        <v>0</v>
      </c>
      <c r="LI291" s="1008" t="s">
        <v>203</v>
      </c>
      <c r="LJ291" s="1007">
        <v>-5.8484887999999984</v>
      </c>
      <c r="LK291" s="1008">
        <v>0</v>
      </c>
      <c r="LL291" s="1007">
        <v>0</v>
      </c>
      <c r="LM291" s="1008">
        <v>0</v>
      </c>
      <c r="LN291" s="1007">
        <v>0</v>
      </c>
      <c r="LO291" s="1008">
        <v>0</v>
      </c>
      <c r="LP291" s="1007">
        <v>-0.83549839999999898</v>
      </c>
      <c r="LQ291" s="1008" t="s">
        <v>204</v>
      </c>
      <c r="LR291" s="1007">
        <v>1.6799679999999999</v>
      </c>
      <c r="LS291" s="1008">
        <v>0</v>
      </c>
      <c r="LT291" s="1007">
        <v>0</v>
      </c>
      <c r="LU291" s="1008" t="s">
        <v>206</v>
      </c>
      <c r="LV291" s="1007">
        <v>-0.83549841000000002</v>
      </c>
      <c r="LW291" s="1008">
        <v>0</v>
      </c>
      <c r="LX291" s="1007">
        <v>0</v>
      </c>
      <c r="LY291" s="1009">
        <v>0</v>
      </c>
      <c r="LZ291" s="1010">
        <v>0</v>
      </c>
      <c r="MA291" s="1011" t="s">
        <v>206</v>
      </c>
      <c r="MB291" s="1012">
        <v>1.2532476000000017</v>
      </c>
      <c r="MC291" s="1041"/>
      <c r="MD291" s="1015"/>
      <c r="ME291" s="1018" t="s">
        <v>416</v>
      </c>
      <c r="MF291" s="997"/>
      <c r="MG291" s="1042"/>
      <c r="MH291" s="1043"/>
      <c r="MI291" s="1043"/>
      <c r="MJ291" s="1043"/>
      <c r="MK291" s="1043"/>
      <c r="ML291" s="1043"/>
      <c r="MM291" s="1043"/>
      <c r="MN291" s="1043"/>
      <c r="MO291" s="1043"/>
      <c r="MP291" s="1043"/>
      <c r="MQ291" s="878"/>
      <c r="MR291" s="878"/>
      <c r="MS291" s="1043"/>
      <c r="MT291" s="1043"/>
      <c r="MU291" s="1043"/>
      <c r="MV291" s="1043"/>
      <c r="MW291" s="878"/>
      <c r="MX291" s="878"/>
      <c r="MY291" s="878"/>
      <c r="MZ291" s="878"/>
      <c r="NA291" s="878"/>
      <c r="NB291" s="878"/>
      <c r="NC291" s="878"/>
      <c r="ND291" s="878"/>
      <c r="NE291" s="878"/>
      <c r="NF291" s="878"/>
      <c r="NG291" s="878"/>
      <c r="NH291" s="878"/>
      <c r="NI291" s="878"/>
      <c r="NJ291" s="878"/>
      <c r="NK291" s="878"/>
      <c r="NL291" s="878"/>
      <c r="NM291" s="1043"/>
      <c r="NR291" s="1044"/>
      <c r="NS291" s="1044"/>
      <c r="NT291" s="1045"/>
      <c r="NU291" s="1044"/>
      <c r="NV291" s="1045"/>
      <c r="NX291" s="1046"/>
      <c r="NZ291" s="1045"/>
      <c r="OA291" s="1045"/>
      <c r="OC291" s="1047"/>
      <c r="OD291" s="1047"/>
      <c r="OE291" s="1045"/>
      <c r="OF291" s="1047"/>
      <c r="OG291" s="1047"/>
      <c r="QX291" s="1000">
        <f>CN291-CA291</f>
        <v>16</v>
      </c>
      <c r="ASU291" s="1023" t="s">
        <v>292</v>
      </c>
    </row>
    <row r="292" spans="1:466 1191:1191" ht="21" customHeight="1" x14ac:dyDescent="0.25">
      <c r="A292" s="982">
        <f t="shared" si="215"/>
        <v>1262</v>
      </c>
      <c r="B292" s="124">
        <f>SUBTOTAL(103,$J$29:J292)</f>
        <v>264</v>
      </c>
      <c r="C292" s="126">
        <v>45068</v>
      </c>
      <c r="D292" s="124" t="s">
        <v>176</v>
      </c>
      <c r="E292" s="127" t="s">
        <v>177</v>
      </c>
      <c r="F292" s="128" t="s">
        <v>177</v>
      </c>
      <c r="G292" s="127" t="s">
        <v>178</v>
      </c>
      <c r="H292" s="127" t="s">
        <v>421</v>
      </c>
      <c r="I292" s="127" t="s">
        <v>422</v>
      </c>
      <c r="J292" s="129">
        <v>1262</v>
      </c>
      <c r="K292" s="127" t="s">
        <v>1279</v>
      </c>
      <c r="L292" s="130">
        <v>42185</v>
      </c>
      <c r="M292" s="127" t="s">
        <v>230</v>
      </c>
      <c r="N292" s="127" t="s">
        <v>231</v>
      </c>
      <c r="O292" s="127" t="s">
        <v>185</v>
      </c>
      <c r="P292" s="127" t="s">
        <v>186</v>
      </c>
      <c r="Q292" s="85" t="str">
        <f t="shared" si="213"/>
        <v/>
      </c>
      <c r="R292" s="130"/>
      <c r="S292" s="128"/>
      <c r="T292" s="131"/>
      <c r="U292" s="132">
        <v>203</v>
      </c>
      <c r="V292" s="121">
        <v>218.2</v>
      </c>
      <c r="W292" s="116">
        <v>0.98</v>
      </c>
      <c r="X292" s="116">
        <v>1.66</v>
      </c>
      <c r="Y292" s="116">
        <f t="shared" si="191"/>
        <v>0.98</v>
      </c>
      <c r="Z292" s="133">
        <v>1.454</v>
      </c>
      <c r="AA292" s="133">
        <v>0.83599999999999997</v>
      </c>
      <c r="AB292" s="133">
        <v>0.72</v>
      </c>
      <c r="AC292" s="121">
        <v>34.299999999999997</v>
      </c>
      <c r="AD292" s="134">
        <v>1.17</v>
      </c>
      <c r="AE292" s="124">
        <v>177.8</v>
      </c>
      <c r="AF292" s="128">
        <v>9.19</v>
      </c>
      <c r="AG292" s="128">
        <v>2128</v>
      </c>
      <c r="AH292" s="127">
        <v>2751</v>
      </c>
      <c r="AI292" s="127">
        <v>2751</v>
      </c>
      <c r="AJ292" s="135"/>
      <c r="AK292" s="128"/>
      <c r="AL292" s="131"/>
      <c r="AM292" s="124" t="s">
        <v>232</v>
      </c>
      <c r="AN292" s="136" t="s">
        <v>1280</v>
      </c>
      <c r="AO292" s="137">
        <v>12.49</v>
      </c>
      <c r="AP292" s="128">
        <v>2129</v>
      </c>
      <c r="AQ292" s="128">
        <v>321.25</v>
      </c>
      <c r="AR292" s="128"/>
      <c r="AS292" s="128"/>
      <c r="AT292" s="122"/>
      <c r="AU292" s="124" t="s">
        <v>189</v>
      </c>
      <c r="AV292" s="115">
        <f>VLOOKUP(J292,'[63]ТР нефть'!$J$28:$BP$638,39,0)</f>
        <v>420.00000087900003</v>
      </c>
      <c r="AW292" s="115" t="str">
        <f>VLOOKUP(J292,'[63]ТР нефть'!$J$28:$BP$638,40,0)</f>
        <v>ГП</v>
      </c>
      <c r="AX292" s="115">
        <f>VLOOKUP(J292,'[63]ТР нефть'!$J$28:$BP$638,41,0)</f>
        <v>759.99997324200001</v>
      </c>
      <c r="AY292" s="115" t="str">
        <f>VLOOKUP(J292,'[63]ТР нефть'!$J$28:$BP$638,42,0)</f>
        <v>ГП</v>
      </c>
      <c r="AZ292" s="115">
        <f>VLOOKUP(J292,'[63]ТР нефть'!$J$28:$BP$638,43,0)</f>
        <v>1059.9999685549999</v>
      </c>
      <c r="BA292" s="115" t="str">
        <f>VLOOKUP(J292,'[63]ТР нефть'!$J$28:$BP$638,44,0)</f>
        <v>ГП</v>
      </c>
      <c r="BB292" s="115">
        <f>VLOOKUP(J292,'[63]ТР нефть'!$J$28:$BP$638,45,0)</f>
        <v>1340.0000683589999</v>
      </c>
      <c r="BC292" s="115" t="str">
        <f>VLOOKUP(J292,'[63]ТР нефть'!$J$28:$BP$638,46,0)</f>
        <v>ГК 89 1/8</v>
      </c>
      <c r="BD292" s="115">
        <f>VLOOKUP(J292,'[63]ТР нефть'!$J$28:$BP$638,47,0)</f>
        <v>1580.000005078</v>
      </c>
      <c r="BE292" s="115" t="str">
        <f>VLOOKUP(J292,'[63]ТР нефть'!$J$28:$BP$638,48,0)</f>
        <v>ГК 89 1/8</v>
      </c>
      <c r="BF292" s="115" t="str">
        <f>VLOOKUP(J292,'[63]ТР нефть'!$J$28:$BP$638,49,0)</f>
        <v>-</v>
      </c>
      <c r="BG292" s="115" t="str">
        <f>VLOOKUP(J292,'[63]ТР нефть'!$J$28:$BP$638,50,0)</f>
        <v>-</v>
      </c>
      <c r="BH292" s="115">
        <f>VLOOKUP(J292,'[63]ТР нефть'!$J$28:$BP$638,51,0)</f>
        <v>1770</v>
      </c>
      <c r="BI292" s="115" t="str">
        <f>VLOOKUP(J292,'[63]ТР нефть'!$J$28:$BP$638,52,0)</f>
        <v>закрыт</v>
      </c>
      <c r="BJ292" s="115" t="str">
        <f>IF(IFERROR(VLOOKUP(J292,'[63]ТР нефть'!$J$28:$BP$638,53,0),"-")=0,"-",IFERROR(VLOOKUP(J292,'[63]ТР нефть'!$J$28:$BP$638,53,0),"-"))</f>
        <v>-</v>
      </c>
      <c r="BK292" s="138" t="str">
        <f>IF(IFERROR(VLOOKUP(J292,'[63]ТР нефть'!$J$28:$BP$638,54,0),"-")=0,"-",IFERROR(VLOOKUP(J292,'[63]ТР нефть'!$J$28:$BP$638,54,0),"-"))</f>
        <v>-</v>
      </c>
      <c r="BL292" s="138" t="str">
        <f>IF(IFERROR(VLOOKUP(J292,'[63]ТР нефть'!$J$28:$BP$638,55,0),"-")=0,"-",IFERROR(VLOOKUP(J292,'[63]ТР нефть'!$J$28:$BP$638,55,0),"-"))</f>
        <v>-</v>
      </c>
      <c r="BM292" s="138" t="str">
        <f>IF(IFERROR(VLOOKUP(J292,'[63]ТР нефть'!$J$28:$BP$638,56,0),"-")=0,"-",IFERROR(VLOOKUP(J292,'[63]ТР нефть'!$J$28:$BP$638,56,0),"-"))</f>
        <v>-</v>
      </c>
      <c r="BN292" s="138" t="str">
        <f>IF(IFERROR(VLOOKUP(J292,'[63]ТР нефть'!$J$28:$BP$638,57,0),"-")=0,"-",IFERROR(VLOOKUP(J292,'[63]ТР нефть'!$J$28:$BP$638,57,0),"-"))</f>
        <v>-</v>
      </c>
      <c r="BO292" s="115" t="str">
        <f>IF(IFERROR(VLOOKUP(J292,'[63]ТР нефть'!$J$28:$BP$638,58,0),"-")=0,"-",IFERROR(VLOOKUP(J292,'[63]ТР нефть'!$J$28:$BP$638,58,0),"-"))</f>
        <v>-</v>
      </c>
      <c r="BP292" s="115" t="str">
        <f>IF(IFERROR(VLOOKUP(J292,'[63]ТР нефть'!$J$28:$BP$638,59,0),"-")=0,"-",IFERROR(VLOOKUP(J292,'[63]ТР нефть'!$J$28:$BP$638,59,0),"-"))</f>
        <v>-</v>
      </c>
      <c r="BQ292" s="138">
        <v>1985</v>
      </c>
      <c r="BR292" s="128">
        <v>1837.3</v>
      </c>
      <c r="BS292" s="115">
        <f t="shared" si="211"/>
        <v>147.70000000000005</v>
      </c>
      <c r="BT292" s="128">
        <v>73</v>
      </c>
      <c r="BU292" s="128">
        <v>5.5</v>
      </c>
      <c r="BV292" s="127">
        <v>18</v>
      </c>
      <c r="BW292" s="127" t="s">
        <v>217</v>
      </c>
      <c r="BX292" s="127" t="s">
        <v>195</v>
      </c>
      <c r="BY292" s="139">
        <v>24</v>
      </c>
      <c r="BZ292" s="139">
        <v>0</v>
      </c>
      <c r="CA292" s="138">
        <v>22</v>
      </c>
      <c r="CB292" s="138">
        <v>32</v>
      </c>
      <c r="CC292" s="138">
        <v>21</v>
      </c>
      <c r="CD292" s="135">
        <v>45017</v>
      </c>
      <c r="CE292" s="138">
        <v>88</v>
      </c>
      <c r="CF292" s="138">
        <v>71</v>
      </c>
      <c r="CG292" s="138" t="str">
        <f t="shared" si="212"/>
        <v>В работе</v>
      </c>
      <c r="CH292" s="138" t="s">
        <v>196</v>
      </c>
      <c r="CI292" s="127">
        <v>6</v>
      </c>
      <c r="CJ292" s="138"/>
      <c r="CK292" s="138"/>
      <c r="CL292" s="99"/>
      <c r="CM292" s="99"/>
      <c r="CN292" s="140">
        <v>42</v>
      </c>
      <c r="CO292" s="159">
        <f t="shared" si="216"/>
        <v>8.1091999999999995</v>
      </c>
      <c r="CP292" s="160">
        <v>9.6999999999999993</v>
      </c>
      <c r="CQ292" s="161">
        <v>0</v>
      </c>
      <c r="CR292" s="138">
        <v>24</v>
      </c>
      <c r="CS292" s="139">
        <v>8.4</v>
      </c>
      <c r="CT292" s="138"/>
      <c r="CU292" s="138">
        <f t="shared" si="188"/>
        <v>15.6</v>
      </c>
      <c r="CV292" s="115">
        <f t="shared" si="189"/>
        <v>1923.740936220589</v>
      </c>
      <c r="CW292" s="115">
        <f t="shared" si="217"/>
        <v>1035.8605041187786</v>
      </c>
      <c r="CX292" s="133">
        <f t="shared" si="190"/>
        <v>0.21086956521739128</v>
      </c>
      <c r="CY292" s="116"/>
      <c r="CZ292" s="1024"/>
      <c r="DA292" s="145" t="str">
        <f t="shared" si="218"/>
        <v>Газлифт</v>
      </c>
      <c r="DB292" s="146">
        <f t="shared" si="219"/>
        <v>8.9451999999999998</v>
      </c>
      <c r="DC292" s="142">
        <f t="shared" ref="DC292:DC355" si="234">IFERROR(IF(AND(FZ292="Технология",FQ292&lt;$JC$24),EM292,CP292),"-")</f>
        <v>10.7</v>
      </c>
      <c r="DD292" s="119">
        <f t="shared" si="204"/>
        <v>0</v>
      </c>
      <c r="DE292" s="115">
        <f t="shared" si="220"/>
        <v>15.6</v>
      </c>
      <c r="DF292" s="121">
        <f t="shared" si="221"/>
        <v>8.4</v>
      </c>
      <c r="DG292" s="115">
        <f t="shared" si="222"/>
        <v>1923.740936220589</v>
      </c>
      <c r="DH292" s="115">
        <f t="shared" si="223"/>
        <v>42</v>
      </c>
      <c r="DI292" s="147"/>
      <c r="DJ292" s="111">
        <v>43234</v>
      </c>
      <c r="DK292" s="112">
        <v>42185</v>
      </c>
      <c r="DL292" s="113">
        <f t="shared" ca="1" si="192"/>
        <v>2919</v>
      </c>
      <c r="DM292" s="114"/>
      <c r="DN292" s="114"/>
      <c r="DO292" s="114"/>
      <c r="DP292" s="114"/>
      <c r="DQ292" s="112">
        <v>43245</v>
      </c>
      <c r="DR292" s="114" t="s">
        <v>198</v>
      </c>
      <c r="DS292" s="114"/>
      <c r="DT292" s="115">
        <v>47</v>
      </c>
      <c r="DU292" s="116">
        <f t="shared" si="193"/>
        <v>0.23658536585365852</v>
      </c>
      <c r="DV292" s="117">
        <f t="shared" si="194"/>
        <v>8.1091999999999995</v>
      </c>
      <c r="DW292" s="118">
        <f t="shared" si="195"/>
        <v>9.6999999999999993</v>
      </c>
      <c r="DX292" s="119">
        <f t="shared" si="224"/>
        <v>0</v>
      </c>
      <c r="DY292" s="115">
        <f t="shared" si="196"/>
        <v>15.6</v>
      </c>
      <c r="DZ292" s="117">
        <f t="shared" si="197"/>
        <v>0</v>
      </c>
      <c r="EA292" s="120">
        <f t="shared" si="197"/>
        <v>0</v>
      </c>
      <c r="EB292" s="119">
        <f t="shared" si="197"/>
        <v>0</v>
      </c>
      <c r="EC292" s="121">
        <f t="shared" si="198"/>
        <v>0</v>
      </c>
      <c r="ED292" s="122"/>
      <c r="EE292" s="211">
        <v>18</v>
      </c>
      <c r="EF292" s="115">
        <v>28</v>
      </c>
      <c r="EG292" s="115">
        <v>68</v>
      </c>
      <c r="EH292" s="115">
        <v>27</v>
      </c>
      <c r="EI292" s="128" t="s">
        <v>195</v>
      </c>
      <c r="EJ292" s="121">
        <v>24</v>
      </c>
      <c r="EK292" s="121">
        <v>0</v>
      </c>
      <c r="EL292" s="162">
        <v>8.9451999999999998</v>
      </c>
      <c r="EM292" s="142">
        <v>10.7</v>
      </c>
      <c r="EN292" s="119">
        <v>0</v>
      </c>
      <c r="EO292" s="115">
        <v>20.100000000000001</v>
      </c>
      <c r="EP292" s="115">
        <v>1643.3394446183431</v>
      </c>
      <c r="EQ292" s="115">
        <v>70</v>
      </c>
      <c r="ER292" s="115">
        <v>5.4</v>
      </c>
      <c r="ES292" s="115">
        <v>51</v>
      </c>
      <c r="ET292" s="150">
        <v>0.28918918918918918</v>
      </c>
      <c r="EU292" s="145">
        <f t="shared" si="225"/>
        <v>18</v>
      </c>
      <c r="EV292" s="115">
        <f t="shared" si="226"/>
        <v>22</v>
      </c>
      <c r="EW292" s="115">
        <f t="shared" si="226"/>
        <v>32</v>
      </c>
      <c r="EX292" s="115">
        <f t="shared" si="226"/>
        <v>21</v>
      </c>
      <c r="EY292" s="115" t="str">
        <f t="shared" si="206"/>
        <v>Постоянный</v>
      </c>
      <c r="EZ292" s="115">
        <f t="shared" si="206"/>
        <v>24</v>
      </c>
      <c r="FA292" s="115">
        <f t="shared" si="206"/>
        <v>0</v>
      </c>
      <c r="FB292" s="149">
        <f t="shared" si="209"/>
        <v>8.1091999999999995</v>
      </c>
      <c r="FC292" s="142">
        <f t="shared" si="209"/>
        <v>9.6999999999999993</v>
      </c>
      <c r="FD292" s="119">
        <f t="shared" si="209"/>
        <v>0</v>
      </c>
      <c r="FE292" s="121">
        <f t="shared" si="208"/>
        <v>24</v>
      </c>
      <c r="FF292" s="121">
        <f t="shared" si="199"/>
        <v>1923.740936220589</v>
      </c>
      <c r="FG292" s="121">
        <f t="shared" si="227"/>
        <v>71</v>
      </c>
      <c r="FH292" s="121">
        <f t="shared" si="200"/>
        <v>8.4</v>
      </c>
      <c r="FI292" s="121">
        <f t="shared" si="205"/>
        <v>42</v>
      </c>
      <c r="FJ292" s="144">
        <f t="shared" si="228"/>
        <v>0.21086956521739128</v>
      </c>
      <c r="FK292" s="132">
        <f t="shared" si="229"/>
        <v>0</v>
      </c>
      <c r="FL292" s="115">
        <f t="shared" si="229"/>
        <v>-6</v>
      </c>
      <c r="FM292" s="115">
        <f t="shared" si="229"/>
        <v>-36</v>
      </c>
      <c r="FN292" s="115">
        <f t="shared" si="229"/>
        <v>-6</v>
      </c>
      <c r="FO292" s="115">
        <f t="shared" si="232"/>
        <v>0</v>
      </c>
      <c r="FP292" s="115">
        <f t="shared" si="232"/>
        <v>0</v>
      </c>
      <c r="FQ292" s="149">
        <f t="shared" si="232"/>
        <v>-0.8360000000000003</v>
      </c>
      <c r="FR292" s="142">
        <f t="shared" si="232"/>
        <v>-1</v>
      </c>
      <c r="FS292" s="119">
        <f t="shared" si="232"/>
        <v>0</v>
      </c>
      <c r="FT292" s="121">
        <f t="shared" si="232"/>
        <v>3.8999999999999986</v>
      </c>
      <c r="FU292" s="121">
        <f t="shared" si="230"/>
        <v>1</v>
      </c>
      <c r="FV292" s="121">
        <f t="shared" si="230"/>
        <v>3</v>
      </c>
      <c r="FW292" s="121">
        <f t="shared" si="231"/>
        <v>280.40149160224587</v>
      </c>
      <c r="FX292" s="121">
        <f>CN292-ES292</f>
        <v>-9</v>
      </c>
      <c r="FY292" s="144">
        <f t="shared" si="214"/>
        <v>-7.8319623971797897E-2</v>
      </c>
      <c r="FZ292" s="145" t="s">
        <v>199</v>
      </c>
      <c r="GA292" s="1033" t="s">
        <v>1281</v>
      </c>
      <c r="GB292" s="145" t="s">
        <v>199</v>
      </c>
      <c r="GC292" s="1033" t="s">
        <v>415</v>
      </c>
      <c r="GD292" s="997" t="s">
        <v>416</v>
      </c>
      <c r="GE292" s="1004" t="s">
        <v>199</v>
      </c>
      <c r="GF292" s="1004">
        <v>-1.0781499080000003</v>
      </c>
      <c r="GG292" s="1004" t="s">
        <v>223</v>
      </c>
      <c r="GH292" s="1004">
        <v>-2.2658500919999991</v>
      </c>
      <c r="GI292" s="145"/>
      <c r="GJ292" s="996">
        <v>0</v>
      </c>
      <c r="GK292" s="145"/>
      <c r="GL292" s="996">
        <v>0</v>
      </c>
      <c r="GM292" s="1005"/>
      <c r="GN292" s="996">
        <v>0</v>
      </c>
      <c r="GO292" s="1006" t="s">
        <v>199</v>
      </c>
      <c r="GP292" s="996">
        <v>3.4401092351999996</v>
      </c>
      <c r="GQ292" s="1006"/>
      <c r="GR292" s="996">
        <v>0</v>
      </c>
      <c r="GS292" s="1006" t="s">
        <v>223</v>
      </c>
      <c r="GT292" s="996">
        <v>-1.1979092352000009</v>
      </c>
      <c r="GU292" s="1006"/>
      <c r="GV292" s="996">
        <v>0</v>
      </c>
      <c r="GW292" s="1006"/>
      <c r="GX292" s="1035">
        <v>0</v>
      </c>
      <c r="GY292" s="1006"/>
      <c r="GZ292" s="996">
        <v>0</v>
      </c>
      <c r="HA292" s="1006" t="s">
        <v>199</v>
      </c>
      <c r="HB292" s="996">
        <v>0.95942511720000034</v>
      </c>
      <c r="HC292" s="1006" t="s">
        <v>199</v>
      </c>
      <c r="HD292" s="996">
        <v>-7.421339200000002</v>
      </c>
      <c r="HE292" s="1006" t="s">
        <v>199</v>
      </c>
      <c r="HF292" s="996">
        <v>6.6876656000000025</v>
      </c>
      <c r="HG292" s="1006"/>
      <c r="HH292" s="996">
        <v>0</v>
      </c>
      <c r="HI292" s="1006"/>
      <c r="HJ292" s="996">
        <v>0</v>
      </c>
      <c r="HK292" s="1006" t="s">
        <v>221</v>
      </c>
      <c r="HL292" s="996">
        <v>-7.0541680000000007</v>
      </c>
      <c r="HM292" s="1006"/>
      <c r="HN292" s="996">
        <v>0</v>
      </c>
      <c r="HO292" s="1006"/>
      <c r="HP292" s="996">
        <v>0</v>
      </c>
      <c r="HQ292" s="1006" t="s">
        <v>199</v>
      </c>
      <c r="HR292" s="996">
        <v>3.3827377319999998</v>
      </c>
      <c r="HS292" s="1006" t="s">
        <v>643</v>
      </c>
      <c r="HT292" s="996">
        <v>0</v>
      </c>
      <c r="HU292" s="1006" t="s">
        <v>199</v>
      </c>
      <c r="HV292" s="996">
        <v>1.8004622680000004</v>
      </c>
      <c r="HW292" s="1006" t="s">
        <v>207</v>
      </c>
      <c r="HX292" s="996">
        <v>-2.1351440000000004</v>
      </c>
      <c r="HY292" s="1006"/>
      <c r="HZ292" s="996">
        <v>-0.85724275999999922</v>
      </c>
      <c r="IA292" s="1006" t="s">
        <v>199</v>
      </c>
      <c r="IB292" s="996">
        <v>-3.4325240400000006</v>
      </c>
      <c r="IC292" s="1006"/>
      <c r="ID292" s="996">
        <v>0</v>
      </c>
      <c r="IE292" s="1006" t="s">
        <v>199</v>
      </c>
      <c r="IF292" s="996">
        <v>4.8281507999999995</v>
      </c>
      <c r="IG292" s="1006"/>
      <c r="IH292" s="996">
        <v>0</v>
      </c>
      <c r="II292" s="1006" t="s">
        <v>223</v>
      </c>
      <c r="IJ292" s="996">
        <v>-2.0442707999999996</v>
      </c>
      <c r="IK292" s="1006"/>
      <c r="IL292" s="996">
        <v>0</v>
      </c>
      <c r="IM292" s="1006"/>
      <c r="IN292" s="996">
        <v>0</v>
      </c>
      <c r="IO292" s="1006"/>
      <c r="IP292" s="996">
        <v>0</v>
      </c>
      <c r="IQ292" s="1006"/>
      <c r="IR292" s="996">
        <v>0</v>
      </c>
      <c r="IS292" s="1006"/>
      <c r="IT292" s="996">
        <v>0</v>
      </c>
      <c r="IU292" s="1006"/>
      <c r="IV292" s="996">
        <v>0</v>
      </c>
      <c r="IW292" s="1006"/>
      <c r="IX292" s="996">
        <v>0</v>
      </c>
      <c r="IY292" s="1006" t="s">
        <v>199</v>
      </c>
      <c r="IZ292" s="996">
        <v>2.9741870399999994</v>
      </c>
      <c r="JA292" s="1006"/>
      <c r="JB292" s="996">
        <v>0</v>
      </c>
      <c r="JC292" s="1006"/>
      <c r="JD292" s="996">
        <v>0</v>
      </c>
      <c r="JE292" s="1006"/>
      <c r="JF292" s="996">
        <v>0</v>
      </c>
      <c r="JG292" s="1006" t="s">
        <v>199</v>
      </c>
      <c r="JH292" s="996">
        <v>-1.6714984000000017</v>
      </c>
      <c r="JI292" s="1006"/>
      <c r="JJ292" s="996">
        <v>0</v>
      </c>
      <c r="JK292" s="1007"/>
      <c r="JL292" s="1007">
        <v>0</v>
      </c>
      <c r="JM292" s="1007"/>
      <c r="JN292" s="1007">
        <v>0</v>
      </c>
      <c r="JO292" s="1008"/>
      <c r="JP292" s="1007">
        <v>0</v>
      </c>
      <c r="JQ292" s="1008">
        <v>0</v>
      </c>
      <c r="JR292" s="1007">
        <v>-2.4578399999981571E-3</v>
      </c>
      <c r="JS292" s="1008">
        <v>0</v>
      </c>
      <c r="JT292" s="1007">
        <v>0</v>
      </c>
      <c r="JU292" s="1008"/>
      <c r="JV292" s="1007">
        <v>0</v>
      </c>
      <c r="JW292" s="1008" t="s">
        <v>197</v>
      </c>
      <c r="JX292" s="1007">
        <v>0</v>
      </c>
      <c r="JY292" s="1008"/>
      <c r="JZ292" s="1007">
        <v>0</v>
      </c>
      <c r="KA292" s="1008" t="s">
        <v>206</v>
      </c>
      <c r="KB292" s="1007">
        <v>1.8392000000000008</v>
      </c>
      <c r="KC292" s="1008"/>
      <c r="KD292" s="1007">
        <v>0</v>
      </c>
      <c r="KE292" s="1008"/>
      <c r="KF292" s="1007">
        <v>0</v>
      </c>
      <c r="KG292" s="1008" t="s">
        <v>199</v>
      </c>
      <c r="KH292" s="1007">
        <v>-2.6752000000000011</v>
      </c>
      <c r="KI292" s="1008" t="s">
        <v>207</v>
      </c>
      <c r="KJ292" s="1007">
        <v>-6.5559788799999996</v>
      </c>
      <c r="KK292" s="1008"/>
      <c r="KL292" s="1007">
        <v>0</v>
      </c>
      <c r="KM292" s="1008" t="s">
        <v>206</v>
      </c>
      <c r="KN292" s="1007">
        <v>-6.1512211200000007</v>
      </c>
      <c r="KO292" s="1008"/>
      <c r="KP292" s="1007">
        <v>0</v>
      </c>
      <c r="KQ292" s="1008" t="s">
        <v>207</v>
      </c>
      <c r="KR292" s="1007">
        <v>8.4268800000000006</v>
      </c>
      <c r="KS292" s="1008">
        <v>0</v>
      </c>
      <c r="KT292" s="1007">
        <v>0</v>
      </c>
      <c r="KU292" s="1008" t="s">
        <v>1248</v>
      </c>
      <c r="KV292" s="1007">
        <v>2.4954599999999996</v>
      </c>
      <c r="KW292" s="1008" t="s">
        <v>204</v>
      </c>
      <c r="KX292" s="1007">
        <v>-2.828187999999999</v>
      </c>
      <c r="KY292" s="1008">
        <v>0</v>
      </c>
      <c r="KZ292" s="1007">
        <v>0</v>
      </c>
      <c r="LA292" s="1008">
        <v>0</v>
      </c>
      <c r="LB292" s="1007">
        <v>0</v>
      </c>
      <c r="LC292" s="1008">
        <v>0</v>
      </c>
      <c r="LD292" s="1007">
        <v>0</v>
      </c>
      <c r="LE292" s="1008">
        <v>0</v>
      </c>
      <c r="LF292" s="1007">
        <v>0</v>
      </c>
      <c r="LG292" s="1008" t="s">
        <v>204</v>
      </c>
      <c r="LH292" s="1007">
        <v>-3.6143200000000002</v>
      </c>
      <c r="LI292" s="1008">
        <v>0</v>
      </c>
      <c r="LJ292" s="1007">
        <v>0</v>
      </c>
      <c r="LK292" s="1008">
        <v>0</v>
      </c>
      <c r="LL292" s="1007">
        <v>0</v>
      </c>
      <c r="LM292" s="1008" t="s">
        <v>555</v>
      </c>
      <c r="LN292" s="1007">
        <v>-1.6703300000000001</v>
      </c>
      <c r="LO292" s="1008">
        <v>0</v>
      </c>
      <c r="LP292" s="1007">
        <v>0</v>
      </c>
      <c r="LQ292" s="1008">
        <v>0</v>
      </c>
      <c r="LR292" s="1007">
        <v>0</v>
      </c>
      <c r="LS292" s="1008">
        <v>0</v>
      </c>
      <c r="LT292" s="1007">
        <v>0</v>
      </c>
      <c r="LU292" s="1008" t="s">
        <v>206</v>
      </c>
      <c r="LV292" s="1007">
        <v>1.6732800000000001</v>
      </c>
      <c r="LW292" s="1008">
        <v>0</v>
      </c>
      <c r="LX292" s="1007">
        <v>0</v>
      </c>
      <c r="LY292" s="1009">
        <v>0</v>
      </c>
      <c r="LZ292" s="1010">
        <v>-2.5549200000000001</v>
      </c>
      <c r="MA292" s="1011" t="s">
        <v>207</v>
      </c>
      <c r="MB292" s="1012">
        <v>2.5549200000000001</v>
      </c>
      <c r="MC292" s="995"/>
      <c r="MD292" s="996"/>
      <c r="ME292" s="997" t="s">
        <v>416</v>
      </c>
      <c r="MF292" s="997"/>
      <c r="MG292" s="998"/>
      <c r="NR292" s="1000"/>
      <c r="NS292" s="1000"/>
      <c r="NT292" s="1001"/>
      <c r="NU292" s="1000"/>
      <c r="NV292" s="1001"/>
      <c r="NX292" s="1002"/>
      <c r="NZ292" s="1001"/>
      <c r="OA292" s="1001"/>
      <c r="OC292" s="1003"/>
      <c r="OD292" s="1003"/>
      <c r="OE292" s="1001"/>
      <c r="OF292" s="1003"/>
      <c r="OG292" s="1003"/>
      <c r="QX292" s="1000">
        <f>CN292-CA292</f>
        <v>20</v>
      </c>
      <c r="ASU292" s="999" t="s">
        <v>208</v>
      </c>
    </row>
    <row r="293" spans="1:466 1191:1191" ht="21" customHeight="1" x14ac:dyDescent="0.25">
      <c r="A293" s="982">
        <f t="shared" si="215"/>
        <v>1284</v>
      </c>
      <c r="B293" s="124">
        <f>SUBTOTAL(103,$J$29:J293)</f>
        <v>265</v>
      </c>
      <c r="C293" s="126">
        <v>45068</v>
      </c>
      <c r="D293" s="124" t="s">
        <v>176</v>
      </c>
      <c r="E293" s="127" t="s">
        <v>177</v>
      </c>
      <c r="F293" s="128" t="s">
        <v>177</v>
      </c>
      <c r="G293" s="127" t="s">
        <v>178</v>
      </c>
      <c r="H293" s="127" t="s">
        <v>179</v>
      </c>
      <c r="I293" s="127" t="s">
        <v>1249</v>
      </c>
      <c r="J293" s="152">
        <v>1284</v>
      </c>
      <c r="K293" s="127" t="s">
        <v>1249</v>
      </c>
      <c r="L293" s="130">
        <v>41997</v>
      </c>
      <c r="M293" s="127" t="s">
        <v>230</v>
      </c>
      <c r="N293" s="127" t="s">
        <v>245</v>
      </c>
      <c r="O293" s="127" t="s">
        <v>185</v>
      </c>
      <c r="P293" s="127" t="s">
        <v>186</v>
      </c>
      <c r="Q293" s="85" t="str">
        <f t="shared" si="213"/>
        <v/>
      </c>
      <c r="R293" s="130"/>
      <c r="S293" s="128"/>
      <c r="T293" s="131"/>
      <c r="U293" s="132">
        <v>203</v>
      </c>
      <c r="V293" s="121">
        <v>218.2</v>
      </c>
      <c r="W293" s="116">
        <v>0.98</v>
      </c>
      <c r="X293" s="116">
        <v>1.66</v>
      </c>
      <c r="Y293" s="116">
        <f t="shared" si="191"/>
        <v>0.98</v>
      </c>
      <c r="Z293" s="133">
        <v>1.454</v>
      </c>
      <c r="AA293" s="133">
        <v>0.83599999999999997</v>
      </c>
      <c r="AB293" s="133">
        <v>0.72</v>
      </c>
      <c r="AC293" s="121">
        <v>34.299999999999997</v>
      </c>
      <c r="AD293" s="134">
        <v>1.17</v>
      </c>
      <c r="AE293" s="124">
        <v>177.8</v>
      </c>
      <c r="AF293" s="128">
        <v>9.19</v>
      </c>
      <c r="AG293" s="128">
        <v>2264</v>
      </c>
      <c r="AH293" s="127" t="s">
        <v>1282</v>
      </c>
      <c r="AI293" s="127" t="s">
        <v>1282</v>
      </c>
      <c r="AJ293" s="135"/>
      <c r="AK293" s="128"/>
      <c r="AL293" s="131"/>
      <c r="AM293" s="124" t="s">
        <v>232</v>
      </c>
      <c r="AN293" s="136" t="s">
        <v>1283</v>
      </c>
      <c r="AO293" s="137" t="s">
        <v>1284</v>
      </c>
      <c r="AP293" s="128">
        <v>1800</v>
      </c>
      <c r="AQ293" s="128">
        <v>399.87</v>
      </c>
      <c r="AR293" s="128"/>
      <c r="AS293" s="128"/>
      <c r="AT293" s="122"/>
      <c r="AU293" s="124" t="s">
        <v>189</v>
      </c>
      <c r="AV293" s="115">
        <f>VLOOKUP(J293,'[63]ТР нефть'!$J$28:$BP$638,39,0)</f>
        <v>449.999992969</v>
      </c>
      <c r="AW293" s="115" t="str">
        <f>VLOOKUP(J293,'[63]ТР нефть'!$J$28:$BP$638,40,0)</f>
        <v>ГК 80 1/8</v>
      </c>
      <c r="AX293" s="115">
        <f>VLOOKUP(J293,'[63]ТР нефть'!$J$28:$BP$638,41,0)</f>
        <v>830.00001679699994</v>
      </c>
      <c r="AY293" s="115" t="str">
        <f>VLOOKUP(J293,'[63]ТР нефть'!$J$28:$BP$638,42,0)</f>
        <v>ГК 80 1/8</v>
      </c>
      <c r="AZ293" s="115">
        <f>VLOOKUP(J293,'[63]ТР нефть'!$J$28:$BP$638,43,0)</f>
        <v>1180.000011328</v>
      </c>
      <c r="BA293" s="115" t="str">
        <f>VLOOKUP(J293,'[63]ТР нефть'!$J$28:$BP$638,44,0)</f>
        <v>ГК 81 1/8</v>
      </c>
      <c r="BB293" s="115">
        <f>VLOOKUP(J293,'[63]ТР нефть'!$J$28:$BP$638,45,0)</f>
        <v>1449.9999773439999</v>
      </c>
      <c r="BC293" s="115" t="str">
        <f>VLOOKUP(J293,'[63]ТР нефть'!$J$28:$BP$638,46,0)</f>
        <v>ГК 84 5/32</v>
      </c>
      <c r="BD293" s="115">
        <f>VLOOKUP(J293,'[63]ТР нефть'!$J$28:$BP$638,47,0)</f>
        <v>1630.000004297</v>
      </c>
      <c r="BE293" s="115" t="str">
        <f>VLOOKUP(J293,'[63]ТР нефть'!$J$28:$BP$638,48,0)</f>
        <v>ЦКсОК 5/16</v>
      </c>
      <c r="BF293" s="115" t="str">
        <f>VLOOKUP(J293,'[63]ТР нефть'!$J$28:$BP$638,49,0)</f>
        <v>-</v>
      </c>
      <c r="BG293" s="115" t="str">
        <f>VLOOKUP(J293,'[63]ТР нефть'!$J$28:$BP$638,50,0)</f>
        <v>-</v>
      </c>
      <c r="BH293" s="115">
        <f>VLOOKUP(J293,'[63]ТР нефть'!$J$28:$BP$638,51,0)</f>
        <v>1640</v>
      </c>
      <c r="BI293" s="115" t="str">
        <f>VLOOKUP(J293,'[63]ТР нефть'!$J$28:$BP$638,52,0)</f>
        <v>закрыт</v>
      </c>
      <c r="BJ293" s="115" t="str">
        <f>IF(IFERROR(VLOOKUP(J293,'[63]ТР нефть'!$J$28:$BP$638,53,0),"-")=0,"-",IFERROR(VLOOKUP(J293,'[63]ТР нефть'!$J$28:$BP$638,53,0),"-"))</f>
        <v>-</v>
      </c>
      <c r="BK293" s="138" t="str">
        <f>IF(IFERROR(VLOOKUP(J293,'[63]ТР нефть'!$J$28:$BP$638,54,0),"-")=0,"-",IFERROR(VLOOKUP(J293,'[63]ТР нефть'!$J$28:$BP$638,54,0),"-"))</f>
        <v>-</v>
      </c>
      <c r="BL293" s="138" t="str">
        <f>IF(IFERROR(VLOOKUP(J293,'[63]ТР нефть'!$J$28:$BP$638,55,0),"-")=0,"-",IFERROR(VLOOKUP(J293,'[63]ТР нефть'!$J$28:$BP$638,55,0),"-"))</f>
        <v>-</v>
      </c>
      <c r="BM293" s="138" t="str">
        <f>IF(IFERROR(VLOOKUP(J293,'[63]ТР нефть'!$J$28:$BP$638,56,0),"-")=0,"-",IFERROR(VLOOKUP(J293,'[63]ТР нефть'!$J$28:$BP$638,56,0),"-"))</f>
        <v>-</v>
      </c>
      <c r="BN293" s="138" t="str">
        <f>IF(IFERROR(VLOOKUP(J293,'[63]ТР нефть'!$J$28:$BP$638,57,0),"-")=0,"-",IFERROR(VLOOKUP(J293,'[63]ТР нефть'!$J$28:$BP$638,57,0),"-"))</f>
        <v>-</v>
      </c>
      <c r="BO293" s="115" t="str">
        <f>IF(IFERROR(VLOOKUP(J293,'[63]ТР нефть'!$J$28:$BP$638,58,0),"-")=0,"-",IFERROR(VLOOKUP(J293,'[63]ТР нефть'!$J$28:$BP$638,58,0),"-"))</f>
        <v>-</v>
      </c>
      <c r="BP293" s="115" t="str">
        <f>IF(IFERROR(VLOOKUP(J293,'[63]ТР нефть'!$J$28:$BP$638,59,0),"-")=0,"-",IFERROR(VLOOKUP(J293,'[63]ТР нефть'!$J$28:$BP$638,59,0),"-"))</f>
        <v>-</v>
      </c>
      <c r="BQ293" s="138">
        <v>2285</v>
      </c>
      <c r="BR293" s="128">
        <v>1868.71</v>
      </c>
      <c r="BS293" s="115">
        <f t="shared" si="211"/>
        <v>416.28999999999996</v>
      </c>
      <c r="BT293" s="128">
        <v>73</v>
      </c>
      <c r="BU293" s="128">
        <v>5.5</v>
      </c>
      <c r="BV293" s="127">
        <v>18</v>
      </c>
      <c r="BW293" s="127" t="s">
        <v>217</v>
      </c>
      <c r="BX293" s="127" t="s">
        <v>195</v>
      </c>
      <c r="BY293" s="139">
        <v>24</v>
      </c>
      <c r="BZ293" s="139">
        <v>0</v>
      </c>
      <c r="CA293" s="138">
        <v>25</v>
      </c>
      <c r="CB293" s="138">
        <v>40</v>
      </c>
      <c r="CC293" s="138">
        <v>24</v>
      </c>
      <c r="CD293" s="135">
        <v>45017</v>
      </c>
      <c r="CE293" s="138">
        <v>123</v>
      </c>
      <c r="CF293" s="138">
        <v>72</v>
      </c>
      <c r="CG293" s="138" t="str">
        <f t="shared" si="212"/>
        <v>В работе</v>
      </c>
      <c r="CH293" s="138" t="s">
        <v>272</v>
      </c>
      <c r="CI293" s="127">
        <v>6</v>
      </c>
      <c r="CJ293" s="138"/>
      <c r="CK293" s="138">
        <f t="shared" si="207"/>
        <v>23</v>
      </c>
      <c r="CL293" s="99"/>
      <c r="CM293" s="99"/>
      <c r="CN293" s="140">
        <v>48</v>
      </c>
      <c r="CO293" s="141">
        <f t="shared" si="216"/>
        <v>11.703999999999999</v>
      </c>
      <c r="CP293" s="142">
        <v>14</v>
      </c>
      <c r="CQ293" s="143">
        <v>0</v>
      </c>
      <c r="CR293" s="138">
        <v>16</v>
      </c>
      <c r="CS293" s="139">
        <v>13</v>
      </c>
      <c r="CT293" s="138"/>
      <c r="CU293" s="138">
        <f t="shared" si="188"/>
        <v>3</v>
      </c>
      <c r="CV293" s="115">
        <f t="shared" si="189"/>
        <v>256.32262474367741</v>
      </c>
      <c r="CW293" s="115">
        <f t="shared" si="217"/>
        <v>1110.7313738892688</v>
      </c>
      <c r="CX293" s="133">
        <f t="shared" si="190"/>
        <v>0.18666666666666668</v>
      </c>
      <c r="CY293" s="116"/>
      <c r="CZ293" s="131"/>
      <c r="DA293" s="145" t="str">
        <f t="shared" si="218"/>
        <v>Газлифт</v>
      </c>
      <c r="DB293" s="146">
        <f t="shared" si="219"/>
        <v>11.703999999999999</v>
      </c>
      <c r="DC293" s="142">
        <f t="shared" si="234"/>
        <v>14</v>
      </c>
      <c r="DD293" s="119">
        <f t="shared" si="204"/>
        <v>0</v>
      </c>
      <c r="DE293" s="115">
        <f t="shared" si="220"/>
        <v>3</v>
      </c>
      <c r="DF293" s="121">
        <f t="shared" si="221"/>
        <v>13</v>
      </c>
      <c r="DG293" s="115">
        <f t="shared" si="222"/>
        <v>256.32262474367741</v>
      </c>
      <c r="DH293" s="115">
        <f t="shared" si="223"/>
        <v>48</v>
      </c>
      <c r="DI293" s="147"/>
      <c r="DJ293" s="111">
        <v>42962</v>
      </c>
      <c r="DK293" s="112">
        <v>43680</v>
      </c>
      <c r="DL293" s="113">
        <f t="shared" ca="1" si="192"/>
        <v>1424</v>
      </c>
      <c r="DM293" s="114"/>
      <c r="DN293" s="114"/>
      <c r="DO293" s="114"/>
      <c r="DP293" s="114"/>
      <c r="DQ293" s="112">
        <v>43609.708333333336</v>
      </c>
      <c r="DR293" s="114" t="s">
        <v>282</v>
      </c>
      <c r="DS293" s="114"/>
      <c r="DT293" s="128">
        <v>47</v>
      </c>
      <c r="DU293" s="116">
        <f t="shared" si="193"/>
        <v>0.18574142916150355</v>
      </c>
      <c r="DV293" s="117">
        <f t="shared" si="194"/>
        <v>11.801267443205289</v>
      </c>
      <c r="DW293" s="118">
        <f t="shared" si="195"/>
        <v>14.116348616274269</v>
      </c>
      <c r="DX293" s="119">
        <f t="shared" si="224"/>
        <v>0</v>
      </c>
      <c r="DY293" s="121">
        <f t="shared" si="196"/>
        <v>3.0249318463444865</v>
      </c>
      <c r="DZ293" s="117">
        <f t="shared" si="197"/>
        <v>9.7267443205289794E-2</v>
      </c>
      <c r="EA293" s="120">
        <f t="shared" si="197"/>
        <v>0.11634861627426929</v>
      </c>
      <c r="EB293" s="119">
        <f t="shared" si="197"/>
        <v>0</v>
      </c>
      <c r="EC293" s="121">
        <f t="shared" si="198"/>
        <v>2.493184634448653E-2</v>
      </c>
      <c r="ED293" s="122"/>
      <c r="EE293" s="145">
        <v>18</v>
      </c>
      <c r="EF293" s="115">
        <v>25</v>
      </c>
      <c r="EG293" s="115">
        <v>38</v>
      </c>
      <c r="EH293" s="115">
        <v>24</v>
      </c>
      <c r="EI293" s="128" t="s">
        <v>195</v>
      </c>
      <c r="EJ293" s="121">
        <v>24</v>
      </c>
      <c r="EK293" s="121">
        <v>0</v>
      </c>
      <c r="EL293" s="149">
        <v>11.406383999999999</v>
      </c>
      <c r="EM293" s="142">
        <v>13.644</v>
      </c>
      <c r="EN293" s="119">
        <v>0</v>
      </c>
      <c r="EO293" s="115">
        <v>16</v>
      </c>
      <c r="EP293" s="115">
        <v>263.01060879591643</v>
      </c>
      <c r="EQ293" s="115">
        <v>74</v>
      </c>
      <c r="ER293" s="115">
        <v>13</v>
      </c>
      <c r="ES293" s="115">
        <v>41</v>
      </c>
      <c r="ET293" s="150">
        <v>0.16639024390243903</v>
      </c>
      <c r="EU293" s="145">
        <f t="shared" si="225"/>
        <v>18</v>
      </c>
      <c r="EV293" s="115">
        <f t="shared" si="226"/>
        <v>25</v>
      </c>
      <c r="EW293" s="115">
        <f t="shared" si="226"/>
        <v>40</v>
      </c>
      <c r="EX293" s="115">
        <f t="shared" si="226"/>
        <v>24</v>
      </c>
      <c r="EY293" s="115" t="str">
        <f t="shared" si="206"/>
        <v>Постоянный</v>
      </c>
      <c r="EZ293" s="115">
        <f t="shared" si="206"/>
        <v>24</v>
      </c>
      <c r="FA293" s="115">
        <f t="shared" si="206"/>
        <v>0</v>
      </c>
      <c r="FB293" s="149">
        <f t="shared" si="209"/>
        <v>11.703999999999999</v>
      </c>
      <c r="FC293" s="142">
        <f t="shared" si="209"/>
        <v>14</v>
      </c>
      <c r="FD293" s="119">
        <f t="shared" si="209"/>
        <v>0</v>
      </c>
      <c r="FE293" s="121">
        <f t="shared" si="208"/>
        <v>16</v>
      </c>
      <c r="FF293" s="121">
        <f t="shared" si="199"/>
        <v>256.32262474367741</v>
      </c>
      <c r="FG293" s="121">
        <f t="shared" si="227"/>
        <v>72</v>
      </c>
      <c r="FH293" s="121">
        <f t="shared" si="200"/>
        <v>13</v>
      </c>
      <c r="FI293" s="121">
        <f t="shared" si="205"/>
        <v>48</v>
      </c>
      <c r="FJ293" s="144">
        <f t="shared" si="228"/>
        <v>0.18666666666666668</v>
      </c>
      <c r="FK293" s="132">
        <f t="shared" si="229"/>
        <v>0</v>
      </c>
      <c r="FL293" s="115">
        <f t="shared" si="229"/>
        <v>0</v>
      </c>
      <c r="FM293" s="115">
        <f t="shared" si="229"/>
        <v>2</v>
      </c>
      <c r="FN293" s="115">
        <f t="shared" si="229"/>
        <v>0</v>
      </c>
      <c r="FO293" s="115">
        <f t="shared" si="232"/>
        <v>0</v>
      </c>
      <c r="FP293" s="115">
        <f t="shared" si="232"/>
        <v>0</v>
      </c>
      <c r="FQ293" s="149">
        <f t="shared" si="232"/>
        <v>0.29761599999999966</v>
      </c>
      <c r="FR293" s="142">
        <f t="shared" si="232"/>
        <v>0.35599999999999987</v>
      </c>
      <c r="FS293" s="119">
        <f t="shared" si="232"/>
        <v>0</v>
      </c>
      <c r="FT293" s="121">
        <f t="shared" si="232"/>
        <v>0</v>
      </c>
      <c r="FU293" s="121">
        <f t="shared" si="230"/>
        <v>-2</v>
      </c>
      <c r="FV293" s="121">
        <f t="shared" si="230"/>
        <v>0</v>
      </c>
      <c r="FW293" s="121">
        <f t="shared" si="231"/>
        <v>-6.6879840522390168</v>
      </c>
      <c r="FX293" s="121">
        <f t="shared" si="233"/>
        <v>7</v>
      </c>
      <c r="FY293" s="144">
        <f t="shared" si="214"/>
        <v>2.0276422764227642E-2</v>
      </c>
      <c r="FZ293" s="145"/>
      <c r="GA293" s="151" t="s">
        <v>1285</v>
      </c>
      <c r="GB293" s="145"/>
      <c r="GC293" s="151"/>
      <c r="GD293" s="997" t="s">
        <v>220</v>
      </c>
      <c r="GE293" s="1004"/>
      <c r="GF293" s="1004">
        <v>0</v>
      </c>
      <c r="GG293" s="1004"/>
      <c r="GH293" s="1004">
        <v>0</v>
      </c>
      <c r="GI293" s="145"/>
      <c r="GJ293" s="996">
        <v>0</v>
      </c>
      <c r="GK293" s="145"/>
      <c r="GL293" s="996">
        <v>0</v>
      </c>
      <c r="GM293" s="1005"/>
      <c r="GN293" s="996">
        <v>0</v>
      </c>
      <c r="GO293" s="1006"/>
      <c r="GP293" s="996">
        <v>0</v>
      </c>
      <c r="GQ293" s="1006"/>
      <c r="GR293" s="996">
        <v>0</v>
      </c>
      <c r="GS293" s="1006"/>
      <c r="GT293" s="996">
        <v>-0.29761599999999966</v>
      </c>
      <c r="GU293" s="1006"/>
      <c r="GV293" s="996">
        <v>0.83599999999999852</v>
      </c>
      <c r="GW293" s="1006"/>
      <c r="GX293" s="1036">
        <v>-0.29259999999999842</v>
      </c>
      <c r="GY293" s="1006"/>
      <c r="GZ293" s="996">
        <v>0</v>
      </c>
      <c r="HA293" s="1006"/>
      <c r="HB293" s="996">
        <v>-0.12540000000000084</v>
      </c>
      <c r="HC293" s="1006" t="s">
        <v>199</v>
      </c>
      <c r="HD293" s="996">
        <v>-3.1901759999999992</v>
      </c>
      <c r="HE293" s="1006"/>
      <c r="HF293" s="996">
        <v>0</v>
      </c>
      <c r="HG293" s="1006"/>
      <c r="HH293" s="996">
        <v>0</v>
      </c>
      <c r="HI293" s="1006"/>
      <c r="HJ293" s="996">
        <v>0</v>
      </c>
      <c r="HK293" s="1006"/>
      <c r="HL293" s="996">
        <v>0</v>
      </c>
      <c r="HM293" s="1006"/>
      <c r="HN293" s="996">
        <v>0</v>
      </c>
      <c r="HO293" s="1006"/>
      <c r="HP293" s="996">
        <v>0</v>
      </c>
      <c r="HQ293" s="1006"/>
      <c r="HR293" s="996">
        <v>0</v>
      </c>
      <c r="HS293" s="1006"/>
      <c r="HT293" s="996">
        <v>-0.62700000000000244</v>
      </c>
      <c r="HU293" s="1006"/>
      <c r="HV293" s="996">
        <v>0.88616000000000383</v>
      </c>
      <c r="HW293" s="1006" t="s">
        <v>199</v>
      </c>
      <c r="HX293" s="996">
        <v>3.7954399999999993</v>
      </c>
      <c r="HY293" s="1006" t="s">
        <v>203</v>
      </c>
      <c r="HZ293" s="996">
        <v>-4.1496364800000016</v>
      </c>
      <c r="IA293" s="1006" t="s">
        <v>203</v>
      </c>
      <c r="IB293" s="996">
        <v>-4.8406929735999995</v>
      </c>
      <c r="IC293" s="1006" t="s">
        <v>25</v>
      </c>
      <c r="ID293" s="996">
        <v>16.779675853600001</v>
      </c>
      <c r="IE293" s="1006" t="s">
        <v>199</v>
      </c>
      <c r="IF293" s="996">
        <v>-2.8987464000000003</v>
      </c>
      <c r="IG293" s="1006" t="s">
        <v>204</v>
      </c>
      <c r="IH293" s="996">
        <v>-9.3382871999999999</v>
      </c>
      <c r="II293" s="1006"/>
      <c r="IJ293" s="996">
        <v>0</v>
      </c>
      <c r="IK293" s="1006"/>
      <c r="IL293" s="996">
        <v>0</v>
      </c>
      <c r="IM293" s="1006"/>
      <c r="IN293" s="996">
        <v>0</v>
      </c>
      <c r="IO293" s="1006" t="s">
        <v>199</v>
      </c>
      <c r="IP293" s="996">
        <v>2.5636107200000016</v>
      </c>
      <c r="IQ293" s="1006"/>
      <c r="IR293" s="996">
        <v>0</v>
      </c>
      <c r="IS293" s="1006"/>
      <c r="IT293" s="996">
        <v>0</v>
      </c>
      <c r="IU293" s="1006"/>
      <c r="IV293" s="996">
        <v>0</v>
      </c>
      <c r="IW293" s="1006"/>
      <c r="IX293" s="996">
        <v>0</v>
      </c>
      <c r="IY293" s="1006" t="s">
        <v>199</v>
      </c>
      <c r="IZ293" s="996">
        <v>-3.6502435200000019</v>
      </c>
      <c r="JA293" s="1006"/>
      <c r="JB293" s="996">
        <v>0.76912000000000091</v>
      </c>
      <c r="JC293" s="1006"/>
      <c r="JD293" s="996">
        <v>0.76911999999999736</v>
      </c>
      <c r="JE293" s="1006"/>
      <c r="JF293" s="996">
        <v>0</v>
      </c>
      <c r="JG293" s="1006" t="s">
        <v>223</v>
      </c>
      <c r="JH293" s="996">
        <v>-2.1025399999999976</v>
      </c>
      <c r="JI293" s="1006"/>
      <c r="JJ293" s="996">
        <v>0</v>
      </c>
      <c r="JK293" s="1007" t="s">
        <v>203</v>
      </c>
      <c r="JL293" s="1007">
        <v>-2.9194039600000004</v>
      </c>
      <c r="JM293" s="1007"/>
      <c r="JN293" s="1007">
        <v>0</v>
      </c>
      <c r="JO293" s="1008"/>
      <c r="JP293" s="1007">
        <v>0</v>
      </c>
      <c r="JQ293" s="1008" t="s">
        <v>25</v>
      </c>
      <c r="JR293" s="1007">
        <v>0</v>
      </c>
      <c r="JS293" s="1008">
        <v>0</v>
      </c>
      <c r="JT293" s="1007">
        <v>0</v>
      </c>
      <c r="JU293" s="1008"/>
      <c r="JV293" s="1007">
        <v>0</v>
      </c>
      <c r="JW293" s="1008" t="s">
        <v>197</v>
      </c>
      <c r="JX293" s="1007">
        <v>0</v>
      </c>
      <c r="JY293" s="1008"/>
      <c r="JZ293" s="1007">
        <v>0</v>
      </c>
      <c r="KA293" s="1008"/>
      <c r="KB293" s="1007">
        <v>0</v>
      </c>
      <c r="KC293" s="1008"/>
      <c r="KD293" s="1007">
        <v>0</v>
      </c>
      <c r="KE293" s="1008"/>
      <c r="KF293" s="1007">
        <v>0</v>
      </c>
      <c r="KG293" s="1008"/>
      <c r="KH293" s="1007">
        <v>0</v>
      </c>
      <c r="KI293" s="1008"/>
      <c r="KJ293" s="1007">
        <v>0</v>
      </c>
      <c r="KK293" s="1008"/>
      <c r="KL293" s="1007">
        <v>0</v>
      </c>
      <c r="KM293" s="1008"/>
      <c r="KN293" s="1007">
        <v>0</v>
      </c>
      <c r="KO293" s="1008"/>
      <c r="KP293" s="1007">
        <v>0</v>
      </c>
      <c r="KQ293" s="1008"/>
      <c r="KR293" s="1007"/>
      <c r="KS293" s="1008"/>
      <c r="KT293" s="1007"/>
      <c r="KU293" s="1008"/>
      <c r="KV293" s="1007" t="s">
        <v>192</v>
      </c>
      <c r="KW293" s="1008"/>
      <c r="KX293" s="1007"/>
      <c r="KY293" s="1008" t="s">
        <v>197</v>
      </c>
      <c r="KZ293" s="1007" t="s">
        <v>197</v>
      </c>
      <c r="LA293" s="1008" t="s">
        <v>197</v>
      </c>
      <c r="LB293" s="1007" t="e">
        <v>#VALUE!</v>
      </c>
      <c r="LC293" s="1008"/>
      <c r="LD293" s="1007" t="e">
        <v>#VALUE!</v>
      </c>
      <c r="LE293" s="1008" t="e">
        <v>#VALUE!</v>
      </c>
      <c r="LF293" s="1007" t="e">
        <v>#VALUE!</v>
      </c>
      <c r="LG293" s="1008" t="e">
        <v>#VALUE!</v>
      </c>
      <c r="LH293" s="1007" t="e">
        <v>#VALUE!</v>
      </c>
      <c r="LI293" s="1008" t="e">
        <v>#VALUE!</v>
      </c>
      <c r="LJ293" s="1007" t="e">
        <v>#VALUE!</v>
      </c>
      <c r="LK293" s="1008" t="e">
        <v>#VALUE!</v>
      </c>
      <c r="LL293" s="1007"/>
      <c r="LM293" s="1008"/>
      <c r="LN293" s="1007"/>
      <c r="LO293" s="1008"/>
      <c r="LP293" s="1007"/>
      <c r="LQ293" s="1008"/>
      <c r="LR293" s="1007"/>
      <c r="LS293" s="1008"/>
      <c r="LT293" s="1007"/>
      <c r="LU293" s="1008"/>
      <c r="LV293" s="1007"/>
      <c r="LW293" s="1008"/>
      <c r="LX293" s="1007"/>
      <c r="LY293" s="1009"/>
      <c r="LZ293" s="1010"/>
      <c r="MA293" s="1011"/>
      <c r="MB293" s="1012"/>
      <c r="MC293" s="995"/>
      <c r="MD293" s="996"/>
      <c r="ME293" s="997" t="s">
        <v>220</v>
      </c>
      <c r="MF293" s="997"/>
      <c r="MG293" s="998"/>
      <c r="NR293" s="1000"/>
      <c r="NS293" s="1000"/>
      <c r="NT293" s="1001"/>
      <c r="NU293" s="1000"/>
      <c r="NV293" s="1001"/>
      <c r="NX293" s="1002"/>
      <c r="NZ293" s="1001"/>
      <c r="OA293" s="1001"/>
      <c r="OC293" s="1003"/>
      <c r="OD293" s="1003"/>
      <c r="OE293" s="1001"/>
      <c r="OF293" s="1003"/>
      <c r="OG293" s="1003"/>
      <c r="OH293" s="1003"/>
      <c r="OI293" s="1016"/>
      <c r="QX293" s="1000">
        <f>CN293-CA293</f>
        <v>23</v>
      </c>
      <c r="ASU293" s="999" t="s">
        <v>208</v>
      </c>
    </row>
    <row r="294" spans="1:466 1191:1191" ht="21" customHeight="1" x14ac:dyDescent="0.25">
      <c r="A294" s="982">
        <f t="shared" si="215"/>
        <v>1285</v>
      </c>
      <c r="B294" s="124">
        <f>SUBTOTAL(103,$J$29:J294)</f>
        <v>266</v>
      </c>
      <c r="C294" s="126">
        <v>45068</v>
      </c>
      <c r="D294" s="124" t="s">
        <v>176</v>
      </c>
      <c r="E294" s="127" t="s">
        <v>177</v>
      </c>
      <c r="F294" s="128" t="s">
        <v>177</v>
      </c>
      <c r="G294" s="127" t="s">
        <v>178</v>
      </c>
      <c r="H294" s="127" t="s">
        <v>179</v>
      </c>
      <c r="I294" s="127" t="s">
        <v>1286</v>
      </c>
      <c r="J294" s="152">
        <v>1285</v>
      </c>
      <c r="K294" s="127" t="s">
        <v>1286</v>
      </c>
      <c r="L294" s="130">
        <v>43810</v>
      </c>
      <c r="M294" s="127" t="s">
        <v>230</v>
      </c>
      <c r="N294" s="127" t="s">
        <v>245</v>
      </c>
      <c r="O294" s="127" t="s">
        <v>185</v>
      </c>
      <c r="P294" s="127" t="s">
        <v>186</v>
      </c>
      <c r="Q294" s="85" t="str">
        <f t="shared" si="213"/>
        <v/>
      </c>
      <c r="R294" s="130"/>
      <c r="S294" s="128"/>
      <c r="T294" s="131"/>
      <c r="U294" s="132">
        <v>203</v>
      </c>
      <c r="V294" s="121">
        <v>218.2</v>
      </c>
      <c r="W294" s="116">
        <v>0.98</v>
      </c>
      <c r="X294" s="116">
        <v>1.66</v>
      </c>
      <c r="Y294" s="116">
        <f t="shared" si="191"/>
        <v>1.0068077732392622</v>
      </c>
      <c r="Z294" s="133">
        <v>1.454</v>
      </c>
      <c r="AA294" s="133">
        <v>0.83599999999999997</v>
      </c>
      <c r="AB294" s="133">
        <v>0.72</v>
      </c>
      <c r="AC294" s="121">
        <v>34.299999999999997</v>
      </c>
      <c r="AD294" s="134">
        <v>1.17</v>
      </c>
      <c r="AE294" s="124">
        <v>177.8</v>
      </c>
      <c r="AF294" s="128">
        <v>9.19</v>
      </c>
      <c r="AG294" s="128">
        <v>2266</v>
      </c>
      <c r="AH294" s="127">
        <v>2982</v>
      </c>
      <c r="AI294" s="127">
        <v>2982</v>
      </c>
      <c r="AJ294" s="135"/>
      <c r="AK294" s="128"/>
      <c r="AL294" s="131"/>
      <c r="AM294" s="124" t="s">
        <v>232</v>
      </c>
      <c r="AN294" s="136" t="s">
        <v>1287</v>
      </c>
      <c r="AO294" s="137">
        <v>78.599999999999994</v>
      </c>
      <c r="AP294" s="128">
        <v>2266</v>
      </c>
      <c r="AQ294" s="128">
        <v>406.4</v>
      </c>
      <c r="AR294" s="128"/>
      <c r="AS294" s="128"/>
      <c r="AT294" s="122"/>
      <c r="AU294" s="124" t="s">
        <v>189</v>
      </c>
      <c r="AV294" s="115">
        <f>VLOOKUP(J294,'[63]ТР нефть'!$J$28:$BP$638,39,0)</f>
        <v>484.93698603500002</v>
      </c>
      <c r="AW294" s="115" t="str">
        <f>VLOOKUP(J294,'[63]ТР нефть'!$J$28:$BP$638,40,0)</f>
        <v>ГП</v>
      </c>
      <c r="AX294" s="115">
        <f>VLOOKUP(J294,'[63]ТР нефть'!$J$28:$BP$638,41,0)</f>
        <v>975.05497675799995</v>
      </c>
      <c r="AY294" s="115" t="str">
        <f>VLOOKUP(J294,'[63]ТР нефть'!$J$28:$BP$638,42,0)</f>
        <v>ГП</v>
      </c>
      <c r="AZ294" s="115">
        <f>VLOOKUP(J294,'[63]ТР нефть'!$J$28:$BP$638,43,0)</f>
        <v>1391.1100277339999</v>
      </c>
      <c r="BA294" s="115" t="str">
        <f>VLOOKUP(J294,'[63]ТР нефть'!$J$28:$BP$638,44,0)</f>
        <v>ГК85 5/32</v>
      </c>
      <c r="BB294" s="115">
        <f>VLOOKUP(J294,'[63]ТР нефть'!$J$28:$BP$638,45,0)</f>
        <v>1756.8700277339999</v>
      </c>
      <c r="BC294" s="115" t="str">
        <f>VLOOKUP(J294,'[63]ТР нефть'!$J$28:$BP$638,46,0)</f>
        <v>ГК85 5/32</v>
      </c>
      <c r="BD294" s="115">
        <f>VLOOKUP(J294,'[63]ТР нефть'!$J$28:$BP$638,47,0)</f>
        <v>1976.929972266</v>
      </c>
      <c r="BE294" s="115" t="str">
        <f>VLOOKUP(J294,'[63]ТР нефть'!$J$28:$BP$638,48,0)</f>
        <v>ГК 85 5/32</v>
      </c>
      <c r="BF294" s="115" t="str">
        <f>VLOOKUP(J294,'[63]ТР нефть'!$J$28:$BP$638,49,0)</f>
        <v>-</v>
      </c>
      <c r="BG294" s="115" t="str">
        <f>VLOOKUP(J294,'[63]ТР нефть'!$J$28:$BP$638,50,0)</f>
        <v>-</v>
      </c>
      <c r="BH294" s="115">
        <f>VLOOKUP(J294,'[63]ТР нефть'!$J$28:$BP$638,51,0)</f>
        <v>1990</v>
      </c>
      <c r="BI294" s="115" t="str">
        <f>VLOOKUP(J294,'[63]ТР нефть'!$J$28:$BP$638,52,0)</f>
        <v>закрыт</v>
      </c>
      <c r="BJ294" s="115" t="str">
        <f>IF(IFERROR(VLOOKUP(J294,'[63]ТР нефть'!$J$28:$BP$638,53,0),"-")=0,"-",IFERROR(VLOOKUP(J294,'[63]ТР нефть'!$J$28:$BP$638,53,0),"-"))</f>
        <v>-</v>
      </c>
      <c r="BK294" s="138" t="str">
        <f>IF(IFERROR(VLOOKUP(J294,'[63]ТР нефть'!$J$28:$BP$638,54,0),"-")=0,"-",IFERROR(VLOOKUP(J294,'[63]ТР нефть'!$J$28:$BP$638,54,0),"-"))</f>
        <v>-</v>
      </c>
      <c r="BL294" s="138" t="str">
        <f>IF(IFERROR(VLOOKUP(J294,'[63]ТР нефть'!$J$28:$BP$638,55,0),"-")=0,"-",IFERROR(VLOOKUP(J294,'[63]ТР нефть'!$J$28:$BP$638,55,0),"-"))</f>
        <v>-</v>
      </c>
      <c r="BM294" s="138" t="str">
        <f>IF(IFERROR(VLOOKUP(J294,'[63]ТР нефть'!$J$28:$BP$638,56,0),"-")=0,"-",IFERROR(VLOOKUP(J294,'[63]ТР нефть'!$J$28:$BP$638,56,0),"-"))</f>
        <v>-</v>
      </c>
      <c r="BN294" s="138" t="str">
        <f>IF(IFERROR(VLOOKUP(J294,'[63]ТР нефть'!$J$28:$BP$638,57,0),"-")=0,"-",IFERROR(VLOOKUP(J294,'[63]ТР нефть'!$J$28:$BP$638,57,0),"-"))</f>
        <v>-</v>
      </c>
      <c r="BO294" s="115" t="str">
        <f>IF(IFERROR(VLOOKUP(J294,'[63]ТР нефть'!$J$28:$BP$638,58,0),"-")=0,"-",IFERROR(VLOOKUP(J294,'[63]ТР нефть'!$J$28:$BP$638,58,0),"-"))</f>
        <v>-</v>
      </c>
      <c r="BP294" s="115" t="str">
        <f>IF(IFERROR(VLOOKUP(J294,'[63]ТР нефть'!$J$28:$BP$638,59,0),"-")=0,"-",IFERROR(VLOOKUP(J294,'[63]ТР нефть'!$J$28:$BP$638,59,0),"-"))</f>
        <v>-</v>
      </c>
      <c r="BQ294" s="138">
        <v>2266</v>
      </c>
      <c r="BR294" s="128">
        <v>1858</v>
      </c>
      <c r="BS294" s="115">
        <f t="shared" si="211"/>
        <v>408</v>
      </c>
      <c r="BT294" s="128">
        <v>73</v>
      </c>
      <c r="BU294" s="128">
        <v>5.5</v>
      </c>
      <c r="BV294" s="127">
        <v>18</v>
      </c>
      <c r="BW294" s="127" t="s">
        <v>217</v>
      </c>
      <c r="BX294" s="127" t="s">
        <v>195</v>
      </c>
      <c r="BY294" s="139">
        <v>24</v>
      </c>
      <c r="BZ294" s="139">
        <v>0</v>
      </c>
      <c r="CA294" s="138">
        <v>24</v>
      </c>
      <c r="CB294" s="138">
        <v>48</v>
      </c>
      <c r="CC294" s="138">
        <v>23</v>
      </c>
      <c r="CD294" s="135">
        <v>45017</v>
      </c>
      <c r="CE294" s="138">
        <v>95</v>
      </c>
      <c r="CF294" s="127">
        <v>71</v>
      </c>
      <c r="CG294" s="138" t="str">
        <f t="shared" si="212"/>
        <v>В работе</v>
      </c>
      <c r="CH294" s="138" t="s">
        <v>272</v>
      </c>
      <c r="CI294" s="138">
        <v>6</v>
      </c>
      <c r="CJ294" s="127"/>
      <c r="CK294" s="127">
        <f t="shared" si="207"/>
        <v>34</v>
      </c>
      <c r="CL294" s="99"/>
      <c r="CM294" s="99"/>
      <c r="CN294" s="140">
        <v>58</v>
      </c>
      <c r="CO294" s="141">
        <f t="shared" si="216"/>
        <v>14.069880000000001</v>
      </c>
      <c r="CP294" s="142">
        <v>18</v>
      </c>
      <c r="CQ294" s="143">
        <v>6.5</v>
      </c>
      <c r="CR294" s="138">
        <v>20</v>
      </c>
      <c r="CS294" s="139">
        <v>16.8</v>
      </c>
      <c r="CT294" s="138"/>
      <c r="CU294" s="138">
        <f t="shared" si="188"/>
        <v>3.1999999999999993</v>
      </c>
      <c r="CV294" s="115">
        <f t="shared" si="189"/>
        <v>227.43619703934922</v>
      </c>
      <c r="CW294" s="115">
        <f t="shared" si="217"/>
        <v>1089.1593634641492</v>
      </c>
      <c r="CX294" s="133">
        <f t="shared" si="190"/>
        <v>0.48648648648648651</v>
      </c>
      <c r="CY294" s="116"/>
      <c r="CZ294" s="131"/>
      <c r="DA294" s="145" t="str">
        <f t="shared" si="218"/>
        <v>Газлифт</v>
      </c>
      <c r="DB294" s="146">
        <f t="shared" si="219"/>
        <v>14.069880000000001</v>
      </c>
      <c r="DC294" s="142">
        <f t="shared" si="234"/>
        <v>18</v>
      </c>
      <c r="DD294" s="119">
        <f t="shared" si="204"/>
        <v>6.5</v>
      </c>
      <c r="DE294" s="115">
        <f t="shared" si="220"/>
        <v>3.1999999999999993</v>
      </c>
      <c r="DF294" s="121">
        <f t="shared" si="221"/>
        <v>16.8</v>
      </c>
      <c r="DG294" s="115">
        <f t="shared" si="222"/>
        <v>227.43619703934922</v>
      </c>
      <c r="DH294" s="115">
        <f t="shared" si="223"/>
        <v>58</v>
      </c>
      <c r="DI294" s="147"/>
      <c r="DJ294" s="111"/>
      <c r="DK294" s="112">
        <v>43810</v>
      </c>
      <c r="DL294" s="113">
        <f t="shared" ca="1" si="192"/>
        <v>1294</v>
      </c>
      <c r="DM294" s="114"/>
      <c r="DN294" s="114"/>
      <c r="DO294" s="114"/>
      <c r="DP294" s="114"/>
      <c r="DQ294" s="112"/>
      <c r="DR294" s="114"/>
      <c r="DS294" s="114"/>
      <c r="DT294" s="128">
        <v>60</v>
      </c>
      <c r="DU294" s="116">
        <f t="shared" si="193"/>
        <v>0.51428571428571423</v>
      </c>
      <c r="DV294" s="117">
        <f t="shared" si="194"/>
        <v>14.069880000000001</v>
      </c>
      <c r="DW294" s="118">
        <f t="shared" si="195"/>
        <v>18</v>
      </c>
      <c r="DX294" s="119">
        <f t="shared" si="224"/>
        <v>6.5</v>
      </c>
      <c r="DY294" s="121">
        <f t="shared" si="196"/>
        <v>3.1999999999999993</v>
      </c>
      <c r="DZ294" s="117">
        <f t="shared" si="197"/>
        <v>0</v>
      </c>
      <c r="EA294" s="120">
        <f t="shared" si="197"/>
        <v>0</v>
      </c>
      <c r="EB294" s="119">
        <f t="shared" si="197"/>
        <v>0</v>
      </c>
      <c r="EC294" s="121">
        <f t="shared" si="198"/>
        <v>0</v>
      </c>
      <c r="ED294" s="122"/>
      <c r="EE294" s="145">
        <v>18</v>
      </c>
      <c r="EF294" s="115">
        <v>24</v>
      </c>
      <c r="EG294" s="115">
        <v>50</v>
      </c>
      <c r="EH294" s="115">
        <v>23</v>
      </c>
      <c r="EI294" s="128" t="s">
        <v>195</v>
      </c>
      <c r="EJ294" s="121">
        <v>24</v>
      </c>
      <c r="EK294" s="121">
        <v>0</v>
      </c>
      <c r="EL294" s="149">
        <v>14.521320000000001</v>
      </c>
      <c r="EM294" s="142">
        <v>18</v>
      </c>
      <c r="EN294" s="119">
        <v>3.5</v>
      </c>
      <c r="EO294" s="115">
        <v>18</v>
      </c>
      <c r="EP294" s="115">
        <v>110.18282084548797</v>
      </c>
      <c r="EQ294" s="115">
        <v>72</v>
      </c>
      <c r="ER294" s="115">
        <v>16.399999999999999</v>
      </c>
      <c r="ES294" s="115">
        <v>61</v>
      </c>
      <c r="ET294" s="150">
        <v>0.52941176470588236</v>
      </c>
      <c r="EU294" s="145">
        <f t="shared" si="225"/>
        <v>18</v>
      </c>
      <c r="EV294" s="115">
        <f t="shared" si="226"/>
        <v>24</v>
      </c>
      <c r="EW294" s="115">
        <f t="shared" si="226"/>
        <v>48</v>
      </c>
      <c r="EX294" s="115">
        <f t="shared" si="226"/>
        <v>23</v>
      </c>
      <c r="EY294" s="115" t="str">
        <f t="shared" si="206"/>
        <v>Постоянный</v>
      </c>
      <c r="EZ294" s="115">
        <f t="shared" si="206"/>
        <v>24</v>
      </c>
      <c r="FA294" s="115">
        <f t="shared" si="206"/>
        <v>0</v>
      </c>
      <c r="FB294" s="149">
        <f t="shared" si="209"/>
        <v>14.069880000000001</v>
      </c>
      <c r="FC294" s="142">
        <f t="shared" si="209"/>
        <v>18</v>
      </c>
      <c r="FD294" s="119">
        <f t="shared" si="209"/>
        <v>6.5</v>
      </c>
      <c r="FE294" s="121">
        <f t="shared" si="208"/>
        <v>20</v>
      </c>
      <c r="FF294" s="121">
        <f t="shared" si="199"/>
        <v>227.43619703934922</v>
      </c>
      <c r="FG294" s="121">
        <f t="shared" si="227"/>
        <v>71</v>
      </c>
      <c r="FH294" s="121">
        <f t="shared" si="200"/>
        <v>16.8</v>
      </c>
      <c r="FI294" s="121">
        <f t="shared" si="205"/>
        <v>58</v>
      </c>
      <c r="FJ294" s="144">
        <f t="shared" si="228"/>
        <v>0.48648648648648651</v>
      </c>
      <c r="FK294" s="132">
        <f t="shared" si="229"/>
        <v>0</v>
      </c>
      <c r="FL294" s="115">
        <f t="shared" si="229"/>
        <v>0</v>
      </c>
      <c r="FM294" s="115">
        <f t="shared" si="229"/>
        <v>-2</v>
      </c>
      <c r="FN294" s="115">
        <f t="shared" si="229"/>
        <v>0</v>
      </c>
      <c r="FO294" s="115">
        <f t="shared" si="232"/>
        <v>0</v>
      </c>
      <c r="FP294" s="115">
        <f t="shared" si="232"/>
        <v>0</v>
      </c>
      <c r="FQ294" s="149">
        <f t="shared" si="232"/>
        <v>-0.45143999999999984</v>
      </c>
      <c r="FR294" s="142">
        <f t="shared" si="232"/>
        <v>0</v>
      </c>
      <c r="FS294" s="119">
        <f t="shared" si="232"/>
        <v>3</v>
      </c>
      <c r="FT294" s="121">
        <f t="shared" si="232"/>
        <v>2</v>
      </c>
      <c r="FU294" s="121">
        <f t="shared" si="230"/>
        <v>-1</v>
      </c>
      <c r="FV294" s="121">
        <f t="shared" si="230"/>
        <v>0.40000000000000213</v>
      </c>
      <c r="FW294" s="121">
        <f t="shared" si="231"/>
        <v>117.25337619386126</v>
      </c>
      <c r="FX294" s="121">
        <f t="shared" si="233"/>
        <v>-3</v>
      </c>
      <c r="FY294" s="144">
        <f t="shared" si="214"/>
        <v>-4.2925278219395846E-2</v>
      </c>
      <c r="FZ294" s="145"/>
      <c r="GA294" s="151"/>
      <c r="GB294" s="145"/>
      <c r="GC294" s="151"/>
      <c r="GD294" s="997" t="s">
        <v>220</v>
      </c>
      <c r="GE294" s="1004"/>
      <c r="GF294" s="1004">
        <v>0</v>
      </c>
      <c r="GG294" s="1004"/>
      <c r="GH294" s="1004">
        <v>0</v>
      </c>
      <c r="GI294" s="145" t="s">
        <v>222</v>
      </c>
      <c r="GJ294" s="996">
        <v>2.4829200000000036</v>
      </c>
      <c r="GK294" s="145" t="s">
        <v>223</v>
      </c>
      <c r="GL294" s="996">
        <v>-2.7337199999999999</v>
      </c>
      <c r="GM294" s="1005"/>
      <c r="GN294" s="996">
        <v>0</v>
      </c>
      <c r="GO294" s="1006"/>
      <c r="GP294" s="996">
        <v>0</v>
      </c>
      <c r="GQ294" s="1006"/>
      <c r="GR294" s="996">
        <v>0</v>
      </c>
      <c r="GS294" s="1006"/>
      <c r="GT294" s="996">
        <v>0</v>
      </c>
      <c r="GU294" s="1006" t="s">
        <v>203</v>
      </c>
      <c r="GV294" s="996">
        <v>-2.0816400000000037</v>
      </c>
      <c r="GW294" s="1006" t="s">
        <v>199</v>
      </c>
      <c r="GX294" s="1036">
        <v>2.8089600000000008</v>
      </c>
      <c r="GY294" s="1006" t="s">
        <v>199</v>
      </c>
      <c r="GZ294" s="996">
        <v>-3.1065759999999987</v>
      </c>
      <c r="HA294" s="1006" t="s">
        <v>203</v>
      </c>
      <c r="HB294" s="996">
        <v>-6.1486240000000016</v>
      </c>
      <c r="HC294" s="1006"/>
      <c r="HD294" s="996">
        <v>0.11118799999999851</v>
      </c>
      <c r="HE294" s="1006" t="s">
        <v>204</v>
      </c>
      <c r="HF294" s="996">
        <v>2.6392520000000026</v>
      </c>
      <c r="HG294" s="1006"/>
      <c r="HH294" s="996">
        <v>0</v>
      </c>
      <c r="HI294" s="1006" t="s">
        <v>223</v>
      </c>
      <c r="HJ294" s="996">
        <v>-2.7504400000000011</v>
      </c>
      <c r="HK294" s="1006"/>
      <c r="HL294" s="996">
        <v>0</v>
      </c>
      <c r="HM294" s="1006" t="s">
        <v>199</v>
      </c>
      <c r="HN294" s="996">
        <v>2.2625504000000003</v>
      </c>
      <c r="HO294" s="1006" t="s">
        <v>199</v>
      </c>
      <c r="HP294" s="996">
        <v>-1.6843728000000002</v>
      </c>
      <c r="HQ294" s="1006" t="s">
        <v>199</v>
      </c>
      <c r="HR294" s="996">
        <v>-3.7107916560000014</v>
      </c>
      <c r="HS294" s="1006" t="s">
        <v>205</v>
      </c>
      <c r="HT294" s="996">
        <v>-2.4177571439999994</v>
      </c>
      <c r="HU294" s="1006" t="s">
        <v>204</v>
      </c>
      <c r="HV294" s="996">
        <v>7.9463471999999999</v>
      </c>
      <c r="HW294" s="1006" t="s">
        <v>204</v>
      </c>
      <c r="HX294" s="996">
        <v>-6.9716715199999992</v>
      </c>
      <c r="HY294" s="1006"/>
      <c r="HZ294" s="996">
        <v>0</v>
      </c>
      <c r="IA294" s="1006"/>
      <c r="IB294" s="996">
        <v>0</v>
      </c>
      <c r="IC294" s="1006"/>
      <c r="ID294" s="996">
        <v>0</v>
      </c>
      <c r="IE294" s="1006"/>
      <c r="IF294" s="996">
        <v>0</v>
      </c>
      <c r="IG294" s="1006"/>
      <c r="IH294" s="996">
        <v>0</v>
      </c>
      <c r="II294" s="1006" t="s">
        <v>199</v>
      </c>
      <c r="IJ294" s="996">
        <v>1.4051404400000003</v>
      </c>
      <c r="IK294" s="1006"/>
      <c r="IL294" s="996">
        <v>0</v>
      </c>
      <c r="IM294" s="1006" t="s">
        <v>199</v>
      </c>
      <c r="IN294" s="996">
        <v>3.7005790800000007</v>
      </c>
      <c r="IO294" s="1006"/>
      <c r="IP294" s="996">
        <v>-0.86074560000000311</v>
      </c>
      <c r="IQ294" s="1006"/>
      <c r="IR294" s="996">
        <v>0</v>
      </c>
      <c r="IS294" s="1006"/>
      <c r="IT294" s="996">
        <v>0</v>
      </c>
      <c r="IU294" s="1006"/>
      <c r="IV294" s="996">
        <v>0</v>
      </c>
      <c r="IW294" s="1006" t="s">
        <v>223</v>
      </c>
      <c r="IX294" s="996">
        <v>-5.4293183999999979</v>
      </c>
      <c r="IY294" s="1006"/>
      <c r="IZ294" s="996">
        <v>0</v>
      </c>
      <c r="JA294" s="1006" t="s">
        <v>199</v>
      </c>
      <c r="JB294" s="996">
        <v>2.48292</v>
      </c>
      <c r="JC294" s="1006" t="s">
        <v>199</v>
      </c>
      <c r="JD294" s="996">
        <v>-2.7155370000000012</v>
      </c>
      <c r="JE294" s="1006"/>
      <c r="JF294" s="996">
        <v>-0.81238300000000052</v>
      </c>
      <c r="JG294" s="1006"/>
      <c r="JH294" s="996">
        <v>0</v>
      </c>
      <c r="JI294" s="1006" t="s">
        <v>25</v>
      </c>
      <c r="JJ294" s="996">
        <v>21.736000000000001</v>
      </c>
      <c r="JK294" s="1007"/>
      <c r="JL294" s="1007"/>
      <c r="JM294" s="1007"/>
      <c r="JN294" s="1007"/>
      <c r="JO294" s="1008"/>
      <c r="JP294" s="1007"/>
      <c r="JQ294" s="1008"/>
      <c r="JR294" s="1007"/>
      <c r="JS294" s="1008"/>
      <c r="JT294" s="1007"/>
      <c r="JU294" s="1008"/>
      <c r="JV294" s="1007"/>
      <c r="JW294" s="1008"/>
      <c r="JX294" s="1007"/>
      <c r="JY294" s="1008"/>
      <c r="JZ294" s="1007"/>
      <c r="KA294" s="1008"/>
      <c r="KB294" s="1007"/>
      <c r="KC294" s="1008"/>
      <c r="KD294" s="1007"/>
      <c r="KE294" s="1008"/>
      <c r="KF294" s="1007"/>
      <c r="KG294" s="1008"/>
      <c r="KH294" s="1007"/>
      <c r="KI294" s="1008"/>
      <c r="KJ294" s="1007"/>
      <c r="KK294" s="1008"/>
      <c r="KL294" s="1007"/>
      <c r="KM294" s="1008"/>
      <c r="KN294" s="1007"/>
      <c r="KO294" s="1008"/>
      <c r="KP294" s="1007"/>
      <c r="KQ294" s="1008"/>
      <c r="KR294" s="1007"/>
      <c r="KS294" s="1008"/>
      <c r="KT294" s="1007"/>
      <c r="KU294" s="1008"/>
      <c r="KV294" s="1007"/>
      <c r="KW294" s="1008"/>
      <c r="KX294" s="1007"/>
      <c r="KY294" s="1008"/>
      <c r="KZ294" s="1007"/>
      <c r="LA294" s="1008"/>
      <c r="LB294" s="1007"/>
      <c r="LC294" s="1008"/>
      <c r="LD294" s="1007"/>
      <c r="LE294" s="1008"/>
      <c r="LF294" s="1007"/>
      <c r="LG294" s="1008"/>
      <c r="LH294" s="1007"/>
      <c r="LI294" s="1008"/>
      <c r="LJ294" s="1007"/>
      <c r="LK294" s="1008"/>
      <c r="LL294" s="1007"/>
      <c r="LM294" s="1008"/>
      <c r="LN294" s="1007"/>
      <c r="LO294" s="1008"/>
      <c r="LP294" s="1007"/>
      <c r="LQ294" s="1008"/>
      <c r="LR294" s="1007"/>
      <c r="LS294" s="1008"/>
      <c r="LT294" s="1007"/>
      <c r="LU294" s="1008"/>
      <c r="LV294" s="1007"/>
      <c r="LW294" s="1008"/>
      <c r="LX294" s="1007"/>
      <c r="LY294" s="1009"/>
      <c r="LZ294" s="1010"/>
      <c r="MA294" s="1011"/>
      <c r="MB294" s="1012"/>
      <c r="MC294" s="995"/>
      <c r="MD294" s="996"/>
      <c r="ME294" s="997" t="s">
        <v>220</v>
      </c>
      <c r="MF294" s="997"/>
      <c r="MG294" s="998"/>
      <c r="NR294" s="1000"/>
      <c r="NS294" s="1000"/>
      <c r="NT294" s="1001"/>
      <c r="NU294" s="1000"/>
      <c r="NV294" s="1001"/>
      <c r="NX294" s="1002"/>
      <c r="NZ294" s="1001"/>
      <c r="OA294" s="1001"/>
      <c r="OC294" s="1003"/>
      <c r="OD294" s="1003"/>
      <c r="OE294" s="1001"/>
      <c r="OF294" s="1003"/>
      <c r="OG294" s="1003"/>
      <c r="OH294" s="1003"/>
      <c r="OI294" s="1016"/>
      <c r="QX294" s="1000">
        <f>CN294-CA294</f>
        <v>34</v>
      </c>
      <c r="ASU294" s="999" t="s">
        <v>208</v>
      </c>
    </row>
    <row r="295" spans="1:466 1191:1191" ht="21" customHeight="1" x14ac:dyDescent="0.25">
      <c r="A295" s="982">
        <f t="shared" si="215"/>
        <v>1286</v>
      </c>
      <c r="B295" s="124">
        <f>SUBTOTAL(103,$J$29:J295)</f>
        <v>267</v>
      </c>
      <c r="C295" s="126">
        <v>45068</v>
      </c>
      <c r="D295" s="124" t="s">
        <v>176</v>
      </c>
      <c r="E295" s="127" t="s">
        <v>177</v>
      </c>
      <c r="F295" s="128" t="s">
        <v>177</v>
      </c>
      <c r="G295" s="127" t="s">
        <v>178</v>
      </c>
      <c r="H295" s="127" t="s">
        <v>179</v>
      </c>
      <c r="I295" s="127" t="s">
        <v>1286</v>
      </c>
      <c r="J295" s="152">
        <v>1286</v>
      </c>
      <c r="K295" s="127" t="s">
        <v>1286</v>
      </c>
      <c r="L295" s="130">
        <v>43771</v>
      </c>
      <c r="M295" s="127" t="s">
        <v>230</v>
      </c>
      <c r="N295" s="127" t="s">
        <v>245</v>
      </c>
      <c r="O295" s="127" t="s">
        <v>185</v>
      </c>
      <c r="P295" s="127" t="s">
        <v>186</v>
      </c>
      <c r="Q295" s="85" t="str">
        <f t="shared" si="213"/>
        <v/>
      </c>
      <c r="R295" s="130"/>
      <c r="S295" s="128" t="s">
        <v>156</v>
      </c>
      <c r="T295" s="131"/>
      <c r="U295" s="132">
        <v>203</v>
      </c>
      <c r="V295" s="121">
        <v>218.2</v>
      </c>
      <c r="W295" s="116">
        <v>0.98</v>
      </c>
      <c r="X295" s="116">
        <v>1.66</v>
      </c>
      <c r="Y295" s="116">
        <f t="shared" si="191"/>
        <v>0.98</v>
      </c>
      <c r="Z295" s="133">
        <v>1.454</v>
      </c>
      <c r="AA295" s="133">
        <v>0.83599999999999997</v>
      </c>
      <c r="AB295" s="133">
        <v>0.72</v>
      </c>
      <c r="AC295" s="121">
        <v>34.299999999999997</v>
      </c>
      <c r="AD295" s="134">
        <v>1.17</v>
      </c>
      <c r="AE295" s="124">
        <v>177.8</v>
      </c>
      <c r="AF295" s="128">
        <v>9.19</v>
      </c>
      <c r="AG295" s="128">
        <v>2324</v>
      </c>
      <c r="AH295" s="127">
        <v>3025</v>
      </c>
      <c r="AI295" s="127">
        <v>3025</v>
      </c>
      <c r="AJ295" s="135"/>
      <c r="AK295" s="128"/>
      <c r="AL295" s="131"/>
      <c r="AM295" s="124" t="s">
        <v>232</v>
      </c>
      <c r="AN295" s="136" t="s">
        <v>1288</v>
      </c>
      <c r="AO295" s="137">
        <v>49.75</v>
      </c>
      <c r="AP295" s="128">
        <v>2324</v>
      </c>
      <c r="AQ295" s="128">
        <v>456</v>
      </c>
      <c r="AR295" s="128"/>
      <c r="AS295" s="128"/>
      <c r="AT295" s="122"/>
      <c r="AU295" s="124" t="s">
        <v>189</v>
      </c>
      <c r="AV295" s="115">
        <f>VLOOKUP(J295,'[63]ТР нефть'!$J$28:$BP$638,39,0)</f>
        <v>499.99999218800002</v>
      </c>
      <c r="AW295" s="115" t="str">
        <f>VLOOKUP(J295,'[63]ТР нефть'!$J$28:$BP$638,40,0)</f>
        <v>ГП</v>
      </c>
      <c r="AX295" s="115">
        <f>VLOOKUP(J295,'[63]ТР нефть'!$J$28:$BP$638,41,0)</f>
        <v>980.00001445299995</v>
      </c>
      <c r="AY295" s="115" t="str">
        <f>VLOOKUP(J295,'[63]ТР нефть'!$J$28:$BP$638,42,0)</f>
        <v>ГП</v>
      </c>
      <c r="AZ295" s="115">
        <f>VLOOKUP(J295,'[63]ТР нефть'!$J$28:$BP$638,43,0)</f>
        <v>1399.9999781250001</v>
      </c>
      <c r="BA295" s="115" t="str">
        <f>VLOOKUP(J295,'[63]ТР нефть'!$J$28:$BP$638,44,0)</f>
        <v>ГК80 1/8</v>
      </c>
      <c r="BB295" s="115">
        <f>VLOOKUP(J295,'[63]ТР нефть'!$J$28:$BP$638,45,0)</f>
        <v>1744.9999429689999</v>
      </c>
      <c r="BC295" s="115" t="str">
        <f>VLOOKUP(J295,'[63]ТР нефть'!$J$28:$BP$638,46,0)</f>
        <v>ГК78 1/8</v>
      </c>
      <c r="BD295" s="115">
        <f>VLOOKUP(J295,'[63]ТР нефть'!$J$28:$BP$638,47,0)</f>
        <v>2069.9999378910002</v>
      </c>
      <c r="BE295" s="115" t="str">
        <f>VLOOKUP(J295,'[63]ТР нефть'!$J$28:$BP$638,48,0)</f>
        <v>ЦКсОК 5/16</v>
      </c>
      <c r="BF295" s="115" t="str">
        <f>VLOOKUP(J295,'[63]ТР нефть'!$J$28:$BP$638,49,0)</f>
        <v>-</v>
      </c>
      <c r="BG295" s="115" t="str">
        <f>VLOOKUP(J295,'[63]ТР нефть'!$J$28:$BP$638,50,0)</f>
        <v>-</v>
      </c>
      <c r="BH295" s="115">
        <f>VLOOKUP(J295,'[63]ТР нефть'!$J$28:$BP$638,51,0)</f>
        <v>2080</v>
      </c>
      <c r="BI295" s="115" t="str">
        <f>VLOOKUP(J295,'[63]ТР нефть'!$J$28:$BP$638,52,0)</f>
        <v>закрыт</v>
      </c>
      <c r="BJ295" s="115" t="str">
        <f>IF(IFERROR(VLOOKUP(J295,'[63]ТР нефть'!$J$28:$BP$638,53,0),"-")=0,"-",IFERROR(VLOOKUP(J295,'[63]ТР нефть'!$J$28:$BP$638,53,0),"-"))</f>
        <v>-</v>
      </c>
      <c r="BK295" s="138" t="str">
        <f>IF(IFERROR(VLOOKUP(J295,'[63]ТР нефть'!$J$28:$BP$638,54,0),"-")=0,"-",IFERROR(VLOOKUP(J295,'[63]ТР нефть'!$J$28:$BP$638,54,0),"-"))</f>
        <v>-</v>
      </c>
      <c r="BL295" s="138" t="str">
        <f>IF(IFERROR(VLOOKUP(J295,'[63]ТР нефть'!$J$28:$BP$638,55,0),"-")=0,"-",IFERROR(VLOOKUP(J295,'[63]ТР нефть'!$J$28:$BP$638,55,0),"-"))</f>
        <v>-</v>
      </c>
      <c r="BM295" s="138" t="str">
        <f>IF(IFERROR(VLOOKUP(J295,'[63]ТР нефть'!$J$28:$BP$638,56,0),"-")=0,"-",IFERROR(VLOOKUP(J295,'[63]ТР нефть'!$J$28:$BP$638,56,0),"-"))</f>
        <v>-</v>
      </c>
      <c r="BN295" s="138" t="str">
        <f>IF(IFERROR(VLOOKUP(J295,'[63]ТР нефть'!$J$28:$BP$638,57,0),"-")=0,"-",IFERROR(VLOOKUP(J295,'[63]ТР нефть'!$J$28:$BP$638,57,0),"-"))</f>
        <v>-</v>
      </c>
      <c r="BO295" s="115" t="str">
        <f>IF(IFERROR(VLOOKUP(J295,'[63]ТР нефть'!$J$28:$BP$638,58,0),"-")=0,"-",IFERROR(VLOOKUP(J295,'[63]ТР нефть'!$J$28:$BP$638,58,0),"-"))</f>
        <v>-</v>
      </c>
      <c r="BP295" s="115" t="str">
        <f>IF(IFERROR(VLOOKUP(J295,'[63]ТР нефть'!$J$28:$BP$638,59,0),"-")=0,"-",IFERROR(VLOOKUP(J295,'[63]ТР нефть'!$J$28:$BP$638,59,0),"-"))</f>
        <v>-</v>
      </c>
      <c r="BQ295" s="138">
        <v>2334.14</v>
      </c>
      <c r="BR295" s="128">
        <v>1871</v>
      </c>
      <c r="BS295" s="115">
        <f t="shared" si="211"/>
        <v>463.13999999999987</v>
      </c>
      <c r="BT295" s="128">
        <v>73</v>
      </c>
      <c r="BU295" s="128">
        <v>5.5</v>
      </c>
      <c r="BV295" s="127">
        <v>18</v>
      </c>
      <c r="BW295" s="127" t="s">
        <v>217</v>
      </c>
      <c r="BX295" s="127" t="s">
        <v>195</v>
      </c>
      <c r="BY295" s="139">
        <v>24</v>
      </c>
      <c r="BZ295" s="139">
        <v>0</v>
      </c>
      <c r="CA295" s="138">
        <v>24</v>
      </c>
      <c r="CB295" s="138">
        <v>43</v>
      </c>
      <c r="CC295" s="138">
        <v>23</v>
      </c>
      <c r="CD295" s="135">
        <v>45017</v>
      </c>
      <c r="CE295" s="138">
        <v>115</v>
      </c>
      <c r="CF295" s="138">
        <v>70</v>
      </c>
      <c r="CG295" s="138" t="str">
        <f t="shared" si="212"/>
        <v>В работе</v>
      </c>
      <c r="CH295" s="138" t="s">
        <v>272</v>
      </c>
      <c r="CI295" s="127">
        <v>6</v>
      </c>
      <c r="CJ295" s="138"/>
      <c r="CK295" s="138">
        <f t="shared" si="207"/>
        <v>21</v>
      </c>
      <c r="CL295" s="99"/>
      <c r="CM295" s="99"/>
      <c r="CN295" s="140">
        <v>45</v>
      </c>
      <c r="CO295" s="141">
        <f t="shared" si="216"/>
        <v>9.1959999999999997</v>
      </c>
      <c r="CP295" s="142">
        <v>11</v>
      </c>
      <c r="CQ295" s="143">
        <v>0</v>
      </c>
      <c r="CR295" s="138">
        <v>26</v>
      </c>
      <c r="CS295" s="139">
        <v>12</v>
      </c>
      <c r="CT295" s="138"/>
      <c r="CU295" s="138">
        <f t="shared" si="188"/>
        <v>14</v>
      </c>
      <c r="CV295" s="115">
        <f t="shared" si="189"/>
        <v>1522.4010439321444</v>
      </c>
      <c r="CW295" s="115">
        <f t="shared" si="217"/>
        <v>1304.9151805132667</v>
      </c>
      <c r="CX295" s="133">
        <f t="shared" si="190"/>
        <v>0.15714285714285714</v>
      </c>
      <c r="CY295" s="116"/>
      <c r="CZ295" s="131"/>
      <c r="DA295" s="145" t="str">
        <f t="shared" si="218"/>
        <v>Газлифт</v>
      </c>
      <c r="DB295" s="146">
        <f t="shared" si="219"/>
        <v>9.1959999999999997</v>
      </c>
      <c r="DC295" s="142">
        <f t="shared" si="234"/>
        <v>11</v>
      </c>
      <c r="DD295" s="119">
        <f t="shared" si="204"/>
        <v>0</v>
      </c>
      <c r="DE295" s="115">
        <f t="shared" si="220"/>
        <v>14</v>
      </c>
      <c r="DF295" s="121">
        <f t="shared" si="221"/>
        <v>12</v>
      </c>
      <c r="DG295" s="115">
        <f t="shared" si="222"/>
        <v>1522.4010439321444</v>
      </c>
      <c r="DH295" s="115">
        <f t="shared" si="223"/>
        <v>45</v>
      </c>
      <c r="DI295" s="147"/>
      <c r="DJ295" s="111"/>
      <c r="DK295" s="112">
        <v>43771</v>
      </c>
      <c r="DL295" s="113">
        <f t="shared" ca="1" si="192"/>
        <v>1333</v>
      </c>
      <c r="DM295" s="114"/>
      <c r="DN295" s="114"/>
      <c r="DO295" s="114"/>
      <c r="DP295" s="114"/>
      <c r="DQ295" s="112"/>
      <c r="DR295" s="114"/>
      <c r="DS295" s="114"/>
      <c r="DT295" s="128">
        <v>49</v>
      </c>
      <c r="DU295" s="116">
        <f t="shared" si="193"/>
        <v>0.16666666666666666</v>
      </c>
      <c r="DV295" s="117">
        <f t="shared" si="194"/>
        <v>9.1959999999999997</v>
      </c>
      <c r="DW295" s="118">
        <f t="shared" si="195"/>
        <v>11</v>
      </c>
      <c r="DX295" s="119">
        <f t="shared" si="224"/>
        <v>0</v>
      </c>
      <c r="DY295" s="121">
        <f t="shared" si="196"/>
        <v>14</v>
      </c>
      <c r="DZ295" s="117">
        <f t="shared" si="197"/>
        <v>0</v>
      </c>
      <c r="EA295" s="120">
        <f t="shared" si="197"/>
        <v>0</v>
      </c>
      <c r="EB295" s="119">
        <f t="shared" si="197"/>
        <v>0</v>
      </c>
      <c r="EC295" s="121">
        <f t="shared" si="198"/>
        <v>0</v>
      </c>
      <c r="ED295" s="122"/>
      <c r="EE295" s="145">
        <v>18</v>
      </c>
      <c r="EF295" s="115">
        <v>24</v>
      </c>
      <c r="EG295" s="115">
        <v>42</v>
      </c>
      <c r="EH295" s="115">
        <v>23</v>
      </c>
      <c r="EI295" s="128" t="s">
        <v>195</v>
      </c>
      <c r="EJ295" s="121">
        <v>24</v>
      </c>
      <c r="EK295" s="121">
        <v>0</v>
      </c>
      <c r="EL295" s="149">
        <v>10.032</v>
      </c>
      <c r="EM295" s="142">
        <v>12</v>
      </c>
      <c r="EN295" s="119">
        <v>0</v>
      </c>
      <c r="EO295" s="115">
        <v>27</v>
      </c>
      <c r="EP295" s="115">
        <v>1495.2153110047848</v>
      </c>
      <c r="EQ295" s="115">
        <v>72</v>
      </c>
      <c r="ER295" s="115">
        <v>12</v>
      </c>
      <c r="ES295" s="115">
        <v>46</v>
      </c>
      <c r="ET295" s="150">
        <v>0.17391304347826086</v>
      </c>
      <c r="EU295" s="145">
        <f t="shared" si="225"/>
        <v>18</v>
      </c>
      <c r="EV295" s="115">
        <f t="shared" si="226"/>
        <v>24</v>
      </c>
      <c r="EW295" s="115">
        <f t="shared" si="226"/>
        <v>43</v>
      </c>
      <c r="EX295" s="115">
        <f t="shared" si="226"/>
        <v>23</v>
      </c>
      <c r="EY295" s="115" t="str">
        <f t="shared" si="206"/>
        <v>Постоянный</v>
      </c>
      <c r="EZ295" s="115">
        <f t="shared" si="206"/>
        <v>24</v>
      </c>
      <c r="FA295" s="115">
        <f t="shared" si="206"/>
        <v>0</v>
      </c>
      <c r="FB295" s="149">
        <f t="shared" si="209"/>
        <v>9.1959999999999997</v>
      </c>
      <c r="FC295" s="142">
        <f t="shared" si="209"/>
        <v>11</v>
      </c>
      <c r="FD295" s="119">
        <f t="shared" si="209"/>
        <v>0</v>
      </c>
      <c r="FE295" s="121">
        <f t="shared" si="208"/>
        <v>26</v>
      </c>
      <c r="FF295" s="121">
        <f t="shared" si="199"/>
        <v>1522.4010439321444</v>
      </c>
      <c r="FG295" s="121">
        <f t="shared" si="227"/>
        <v>70</v>
      </c>
      <c r="FH295" s="121">
        <f t="shared" si="200"/>
        <v>12</v>
      </c>
      <c r="FI295" s="121">
        <f t="shared" si="205"/>
        <v>45</v>
      </c>
      <c r="FJ295" s="144">
        <f t="shared" si="228"/>
        <v>0.15714285714285714</v>
      </c>
      <c r="FK295" s="132">
        <f t="shared" si="229"/>
        <v>0</v>
      </c>
      <c r="FL295" s="115">
        <f t="shared" si="229"/>
        <v>0</v>
      </c>
      <c r="FM295" s="115">
        <f t="shared" si="229"/>
        <v>1</v>
      </c>
      <c r="FN295" s="115">
        <f t="shared" si="229"/>
        <v>0</v>
      </c>
      <c r="FO295" s="115">
        <f t="shared" si="232"/>
        <v>0</v>
      </c>
      <c r="FP295" s="115">
        <f t="shared" si="232"/>
        <v>0</v>
      </c>
      <c r="FQ295" s="149">
        <f t="shared" si="232"/>
        <v>-0.8360000000000003</v>
      </c>
      <c r="FR295" s="142">
        <f t="shared" si="232"/>
        <v>-1</v>
      </c>
      <c r="FS295" s="119">
        <f t="shared" si="232"/>
        <v>0</v>
      </c>
      <c r="FT295" s="121">
        <f t="shared" si="232"/>
        <v>-1</v>
      </c>
      <c r="FU295" s="121">
        <f t="shared" si="230"/>
        <v>-2</v>
      </c>
      <c r="FV295" s="121">
        <f t="shared" si="230"/>
        <v>0</v>
      </c>
      <c r="FW295" s="121">
        <f t="shared" si="231"/>
        <v>27.185732927359595</v>
      </c>
      <c r="FX295" s="121">
        <f t="shared" si="233"/>
        <v>-1</v>
      </c>
      <c r="FY295" s="144">
        <f t="shared" si="214"/>
        <v>-1.6770186335403725E-2</v>
      </c>
      <c r="FZ295" s="145"/>
      <c r="GA295" s="151"/>
      <c r="GB295" s="145"/>
      <c r="GC295" s="151"/>
      <c r="GD295" s="997" t="s">
        <v>220</v>
      </c>
      <c r="GE295" s="1004"/>
      <c r="GF295" s="1004">
        <v>-0.8360000000000003</v>
      </c>
      <c r="GG295" s="1004"/>
      <c r="GH295" s="1004">
        <v>0.8360000000000003</v>
      </c>
      <c r="GI295" s="145"/>
      <c r="GJ295" s="996">
        <v>0</v>
      </c>
      <c r="GK295" s="145" t="s">
        <v>223</v>
      </c>
      <c r="GL295" s="996">
        <v>-4.18</v>
      </c>
      <c r="GM295" s="1005" t="s">
        <v>240</v>
      </c>
      <c r="GN295" s="996">
        <v>-3.2113267999999984</v>
      </c>
      <c r="GO295" s="1006" t="s">
        <v>308</v>
      </c>
      <c r="GP295" s="996">
        <v>17.423326799999998</v>
      </c>
      <c r="GQ295" s="1006"/>
      <c r="GR295" s="996">
        <v>-10.032</v>
      </c>
      <c r="GS295" s="1006"/>
      <c r="GT295" s="996">
        <v>0</v>
      </c>
      <c r="GU295" s="1006"/>
      <c r="GV295" s="996">
        <v>0</v>
      </c>
      <c r="GW295" s="1006"/>
      <c r="GX295" s="1036">
        <v>0</v>
      </c>
      <c r="GY295" s="1006"/>
      <c r="GZ295" s="996">
        <v>0</v>
      </c>
      <c r="HA295" s="1006"/>
      <c r="HB295" s="996">
        <v>0</v>
      </c>
      <c r="HC295" s="1006"/>
      <c r="HD295" s="996">
        <v>0</v>
      </c>
      <c r="HE295" s="1006"/>
      <c r="HF295" s="996">
        <v>0</v>
      </c>
      <c r="HG295" s="1006"/>
      <c r="HH295" s="996">
        <v>-0.8360000000000003</v>
      </c>
      <c r="HI295" s="1006"/>
      <c r="HJ295" s="996">
        <v>0</v>
      </c>
      <c r="HK295" s="1006"/>
      <c r="HL295" s="996">
        <v>0</v>
      </c>
      <c r="HM295" s="1006"/>
      <c r="HN295" s="996">
        <v>0</v>
      </c>
      <c r="HO295" s="1006"/>
      <c r="HP295" s="996">
        <v>-0.83599999999999852</v>
      </c>
      <c r="HQ295" s="1006"/>
      <c r="HR295" s="996">
        <v>0</v>
      </c>
      <c r="HS295" s="1006" t="s">
        <v>203</v>
      </c>
      <c r="HT295" s="996">
        <v>-1.6720000000000006</v>
      </c>
      <c r="HU295" s="1006"/>
      <c r="HV295" s="996">
        <v>0</v>
      </c>
      <c r="HW295" s="1006"/>
      <c r="HX295" s="996">
        <v>0</v>
      </c>
      <c r="HY295" s="1006" t="s">
        <v>203</v>
      </c>
      <c r="HZ295" s="996">
        <v>-1.1369600000000002</v>
      </c>
      <c r="IA295" s="1006"/>
      <c r="IB295" s="996">
        <v>0</v>
      </c>
      <c r="IC295" s="1006"/>
      <c r="ID295" s="996">
        <v>0</v>
      </c>
      <c r="IE295" s="1006"/>
      <c r="IF295" s="996">
        <v>0</v>
      </c>
      <c r="IG295" s="1006"/>
      <c r="IH295" s="996">
        <v>-0.40404000000000018</v>
      </c>
      <c r="II295" s="1006"/>
      <c r="IJ295" s="996">
        <v>0</v>
      </c>
      <c r="IK295" s="1006" t="s">
        <v>199</v>
      </c>
      <c r="IL295" s="996">
        <v>-2.3407999999999998</v>
      </c>
      <c r="IM295" s="1006"/>
      <c r="IN295" s="996">
        <v>0</v>
      </c>
      <c r="IO295" s="1006" t="s">
        <v>199</v>
      </c>
      <c r="IP295" s="996">
        <v>-2.207040000000001</v>
      </c>
      <c r="IQ295" s="1006"/>
      <c r="IR295" s="996">
        <v>0</v>
      </c>
      <c r="IS295" s="1006" t="s">
        <v>223</v>
      </c>
      <c r="IT295" s="996">
        <v>-1.6636399999999991</v>
      </c>
      <c r="IU295" s="1006" t="s">
        <v>199</v>
      </c>
      <c r="IV295" s="996">
        <v>-7.4821999999999989</v>
      </c>
      <c r="IW295" s="1006" t="s">
        <v>199</v>
      </c>
      <c r="IX295" s="996">
        <v>3.9124800000000022</v>
      </c>
      <c r="IY295" s="1006"/>
      <c r="IZ295" s="996">
        <v>0</v>
      </c>
      <c r="JA295" s="1006"/>
      <c r="JB295" s="996">
        <v>0.83599999999999852</v>
      </c>
      <c r="JC295" s="1006" t="s">
        <v>223</v>
      </c>
      <c r="JD295" s="996">
        <v>-2.0816400000000002</v>
      </c>
      <c r="JE295" s="1006"/>
      <c r="JF295" s="996">
        <v>0</v>
      </c>
      <c r="JG295" s="1006"/>
      <c r="JH295" s="996">
        <v>0</v>
      </c>
      <c r="JI295" s="1006"/>
      <c r="JJ295" s="996">
        <v>0</v>
      </c>
      <c r="JK295" s="1007" t="s">
        <v>25</v>
      </c>
      <c r="JL295" s="1007">
        <v>21.894839999999999</v>
      </c>
      <c r="JM295" s="1007"/>
      <c r="JN295" s="1007"/>
      <c r="JO295" s="1008"/>
      <c r="JP295" s="1007"/>
      <c r="JQ295" s="1008"/>
      <c r="JR295" s="1007"/>
      <c r="JS295" s="1008"/>
      <c r="JT295" s="1007"/>
      <c r="JU295" s="1008"/>
      <c r="JV295" s="1007"/>
      <c r="JW295" s="1008"/>
      <c r="JX295" s="1007"/>
      <c r="JY295" s="1008"/>
      <c r="JZ295" s="1007"/>
      <c r="KA295" s="1008"/>
      <c r="KB295" s="1007"/>
      <c r="KC295" s="1008"/>
      <c r="KD295" s="1007"/>
      <c r="KE295" s="1008"/>
      <c r="KF295" s="1007"/>
      <c r="KG295" s="1008"/>
      <c r="KH295" s="1007"/>
      <c r="KI295" s="1008"/>
      <c r="KJ295" s="1007"/>
      <c r="KK295" s="1008"/>
      <c r="KL295" s="1007"/>
      <c r="KM295" s="1008"/>
      <c r="KN295" s="1007"/>
      <c r="KO295" s="1008"/>
      <c r="KP295" s="1007"/>
      <c r="KQ295" s="1008"/>
      <c r="KR295" s="1007"/>
      <c r="KS295" s="1008"/>
      <c r="KT295" s="1007"/>
      <c r="KU295" s="1008"/>
      <c r="KV295" s="1007"/>
      <c r="KW295" s="1008"/>
      <c r="KX295" s="1007"/>
      <c r="KY295" s="1008"/>
      <c r="KZ295" s="1007"/>
      <c r="LA295" s="1008"/>
      <c r="LB295" s="1007"/>
      <c r="LC295" s="1008"/>
      <c r="LD295" s="1007"/>
      <c r="LE295" s="1008"/>
      <c r="LF295" s="1007"/>
      <c r="LG295" s="1008"/>
      <c r="LH295" s="1007"/>
      <c r="LI295" s="1008"/>
      <c r="LJ295" s="1007"/>
      <c r="LK295" s="1008"/>
      <c r="LL295" s="1007"/>
      <c r="LM295" s="1008"/>
      <c r="LN295" s="1007"/>
      <c r="LO295" s="1008"/>
      <c r="LP295" s="1007"/>
      <c r="LQ295" s="1008"/>
      <c r="LR295" s="1007"/>
      <c r="LS295" s="1008"/>
      <c r="LT295" s="1007"/>
      <c r="LU295" s="1008"/>
      <c r="LV295" s="1007"/>
      <c r="LW295" s="1008"/>
      <c r="LX295" s="1007"/>
      <c r="LY295" s="1009"/>
      <c r="LZ295" s="1010"/>
      <c r="MA295" s="1011"/>
      <c r="MB295" s="1012"/>
      <c r="MC295" s="995"/>
      <c r="MD295" s="996"/>
      <c r="ME295" s="997" t="s">
        <v>220</v>
      </c>
      <c r="MF295" s="997"/>
      <c r="MG295" s="998"/>
      <c r="NR295" s="1000"/>
      <c r="NS295" s="1000"/>
      <c r="NT295" s="1001"/>
      <c r="NU295" s="1000"/>
      <c r="NV295" s="1001"/>
      <c r="NX295" s="1002"/>
      <c r="NZ295" s="1001"/>
      <c r="OA295" s="1001"/>
      <c r="OC295" s="1003"/>
      <c r="OD295" s="1003"/>
      <c r="OE295" s="1001"/>
      <c r="OF295" s="1003"/>
      <c r="OG295" s="1003"/>
      <c r="QX295" s="1000">
        <f>CN295-CA295</f>
        <v>21</v>
      </c>
      <c r="ASU295" s="999" t="s">
        <v>292</v>
      </c>
    </row>
    <row r="296" spans="1:466 1191:1191" ht="21" customHeight="1" x14ac:dyDescent="0.25">
      <c r="A296" s="982">
        <f t="shared" si="215"/>
        <v>1287</v>
      </c>
      <c r="B296" s="124">
        <f>SUBTOTAL(103,$J$29:J296)</f>
        <v>268</v>
      </c>
      <c r="C296" s="126">
        <v>45068</v>
      </c>
      <c r="D296" s="124" t="s">
        <v>176</v>
      </c>
      <c r="E296" s="127" t="s">
        <v>177</v>
      </c>
      <c r="F296" s="128" t="s">
        <v>177</v>
      </c>
      <c r="G296" s="127" t="s">
        <v>178</v>
      </c>
      <c r="H296" s="127" t="s">
        <v>179</v>
      </c>
      <c r="I296" s="127" t="s">
        <v>1289</v>
      </c>
      <c r="J296" s="152">
        <v>1287</v>
      </c>
      <c r="K296" s="127" t="s">
        <v>1289</v>
      </c>
      <c r="L296" s="130">
        <v>43658</v>
      </c>
      <c r="M296" s="127" t="s">
        <v>230</v>
      </c>
      <c r="N296" s="127" t="s">
        <v>184</v>
      </c>
      <c r="O296" s="127" t="s">
        <v>185</v>
      </c>
      <c r="P296" s="127" t="s">
        <v>186</v>
      </c>
      <c r="Q296" s="85">
        <f t="shared" si="213"/>
        <v>-4</v>
      </c>
      <c r="R296" s="130">
        <v>43644</v>
      </c>
      <c r="S296" s="128" t="s">
        <v>747</v>
      </c>
      <c r="T296" s="131" t="s">
        <v>1290</v>
      </c>
      <c r="U296" s="132">
        <v>203</v>
      </c>
      <c r="V296" s="121">
        <v>218.2</v>
      </c>
      <c r="W296" s="116">
        <v>0.98</v>
      </c>
      <c r="X296" s="116">
        <v>1.66</v>
      </c>
      <c r="Y296" s="116">
        <f t="shared" si="191"/>
        <v>0.98</v>
      </c>
      <c r="Z296" s="133">
        <v>1.454</v>
      </c>
      <c r="AA296" s="133">
        <v>0.83599999999999997</v>
      </c>
      <c r="AB296" s="133">
        <v>0.72</v>
      </c>
      <c r="AC296" s="121">
        <v>34.299999999999997</v>
      </c>
      <c r="AD296" s="134">
        <v>1.17</v>
      </c>
      <c r="AE296" s="124">
        <v>177.8</v>
      </c>
      <c r="AF296" s="128">
        <v>9.19</v>
      </c>
      <c r="AG296" s="128">
        <v>2144.6</v>
      </c>
      <c r="AH296" s="138">
        <v>2959.45</v>
      </c>
      <c r="AI296" s="138">
        <v>2959.45</v>
      </c>
      <c r="AJ296" s="135"/>
      <c r="AK296" s="128"/>
      <c r="AL296" s="131"/>
      <c r="AM296" s="124" t="s">
        <v>187</v>
      </c>
      <c r="AN296" s="136" t="s">
        <v>1291</v>
      </c>
      <c r="AO296" s="137">
        <v>14.56</v>
      </c>
      <c r="AP296" s="128">
        <v>2183.75</v>
      </c>
      <c r="AQ296" s="128">
        <v>348.91</v>
      </c>
      <c r="AR296" s="128" t="s">
        <v>1292</v>
      </c>
      <c r="AS296" s="128">
        <v>114</v>
      </c>
      <c r="AT296" s="122">
        <v>7.37</v>
      </c>
      <c r="AU296" s="124" t="s">
        <v>189</v>
      </c>
      <c r="AV296" s="115">
        <f>VLOOKUP(J296,'[63]ТР нефть'!$J$28:$BP$638,39,0)</f>
        <v>470.00000009799999</v>
      </c>
      <c r="AW296" s="115" t="str">
        <f>VLOOKUP(J296,'[63]ТР нефть'!$J$28:$BP$638,40,0)</f>
        <v>ГП</v>
      </c>
      <c r="AX296" s="115">
        <f>VLOOKUP(J296,'[63]ТР нефть'!$J$28:$BP$638,41,0)</f>
        <v>909.99997089800002</v>
      </c>
      <c r="AY296" s="115" t="str">
        <f>VLOOKUP(J296,'[63]ТР нефть'!$J$28:$BP$638,42,0)</f>
        <v>ГП</v>
      </c>
      <c r="AZ296" s="115">
        <f>VLOOKUP(J296,'[63]ТР нефть'!$J$28:$BP$638,43,0)</f>
        <v>1269.9999503910001</v>
      </c>
      <c r="BA296" s="115" t="str">
        <f>VLOOKUP(J296,'[63]ТР нефть'!$J$28:$BP$638,44,0)</f>
        <v>ГК80 1/8</v>
      </c>
      <c r="BB296" s="115">
        <f>VLOOKUP(J296,'[63]ТР нефть'!$J$28:$BP$638,45,0)</f>
        <v>1510.0000359380001</v>
      </c>
      <c r="BC296" s="115" t="str">
        <f>VLOOKUP(J296,'[63]ТР нефть'!$J$28:$BP$638,46,0)</f>
        <v>ГК79 5/32</v>
      </c>
      <c r="BD296" s="115">
        <f>VLOOKUP(J296,'[63]ТР нефть'!$J$28:$BP$638,47,0)</f>
        <v>1880</v>
      </c>
      <c r="BE296" s="115" t="str">
        <f>VLOOKUP(J296,'[63]ТР нефть'!$J$28:$BP$638,48,0)</f>
        <v>ЦКсОК 5/16</v>
      </c>
      <c r="BF296" s="115" t="str">
        <f>VLOOKUP(J296,'[63]ТР нефть'!$J$28:$BP$638,49,0)</f>
        <v>-</v>
      </c>
      <c r="BG296" s="115" t="str">
        <f>VLOOKUP(J296,'[63]ТР нефть'!$J$28:$BP$638,50,0)</f>
        <v>-</v>
      </c>
      <c r="BH296" s="115" t="str">
        <f>VLOOKUP(J296,'[63]ТР нефть'!$J$28:$BP$638,51,0)</f>
        <v>-</v>
      </c>
      <c r="BI296" s="115" t="str">
        <f>VLOOKUP(J296,'[63]ТР нефть'!$J$28:$BP$638,52,0)</f>
        <v>-</v>
      </c>
      <c r="BJ296" s="115" t="str">
        <f>IF(IFERROR(VLOOKUP(J296,'[63]ТР нефть'!$J$28:$BP$638,53,0),"-")=0,"-",IFERROR(VLOOKUP(J296,'[63]ТР нефть'!$J$28:$BP$638,53,0),"-"))</f>
        <v>-</v>
      </c>
      <c r="BK296" s="138" t="str">
        <f>IF(IFERROR(VLOOKUP(J296,'[63]ТР нефть'!$J$28:$BP$638,54,0),"-")=0,"-",IFERROR(VLOOKUP(J296,'[63]ТР нефть'!$J$28:$BP$638,54,0),"-"))</f>
        <v>-</v>
      </c>
      <c r="BL296" s="138" t="str">
        <f>IF(IFERROR(VLOOKUP(J296,'[63]ТР нефть'!$J$28:$BP$638,55,0),"-")=0,"-",IFERROR(VLOOKUP(J296,'[63]ТР нефть'!$J$28:$BP$638,55,0),"-"))</f>
        <v>-</v>
      </c>
      <c r="BM296" s="138" t="str">
        <f>IF(IFERROR(VLOOKUP(J296,'[63]ТР нефть'!$J$28:$BP$638,56,0),"-")=0,"-",IFERROR(VLOOKUP(J296,'[63]ТР нефть'!$J$28:$BP$638,56,0),"-"))</f>
        <v>-</v>
      </c>
      <c r="BN296" s="138" t="str">
        <f>IF(IFERROR(VLOOKUP(J296,'[63]ТР нефть'!$J$28:$BP$638,57,0),"-")=0,"-",IFERROR(VLOOKUP(J296,'[63]ТР нефть'!$J$28:$BP$638,57,0),"-"))</f>
        <v>-</v>
      </c>
      <c r="BO296" s="115" t="str">
        <f>IF(IFERROR(VLOOKUP(J296,'[63]ТР нефть'!$J$28:$BP$638,58,0),"-")=0,"-",IFERROR(VLOOKUP(J296,'[63]ТР нефть'!$J$28:$BP$638,58,0),"-"))</f>
        <v>-</v>
      </c>
      <c r="BP296" s="115" t="str">
        <f>IF(IFERROR(VLOOKUP(J296,'[63]ТР нефть'!$J$28:$BP$638,59,0),"-")=0,"-",IFERROR(VLOOKUP(J296,'[63]ТР нефть'!$J$28:$BP$638,59,0),"-"))</f>
        <v>-</v>
      </c>
      <c r="BQ296" s="138">
        <v>2959.45</v>
      </c>
      <c r="BR296" s="128">
        <v>1828.9</v>
      </c>
      <c r="BS296" s="115">
        <f t="shared" si="211"/>
        <v>1130.5499999999997</v>
      </c>
      <c r="BT296" s="128">
        <v>73</v>
      </c>
      <c r="BU296" s="128">
        <v>5.5</v>
      </c>
      <c r="BV296" s="127">
        <v>65</v>
      </c>
      <c r="BW296" s="127" t="s">
        <v>217</v>
      </c>
      <c r="BX296" s="127" t="s">
        <v>218</v>
      </c>
      <c r="BY296" s="139">
        <v>24</v>
      </c>
      <c r="BZ296" s="139">
        <v>24</v>
      </c>
      <c r="CA296" s="138">
        <v>27</v>
      </c>
      <c r="CB296" s="138">
        <v>32</v>
      </c>
      <c r="CC296" s="138">
        <v>26</v>
      </c>
      <c r="CD296" s="135">
        <v>45017</v>
      </c>
      <c r="CE296" s="138">
        <v>131</v>
      </c>
      <c r="CF296" s="138">
        <v>71</v>
      </c>
      <c r="CG296" s="138" t="str">
        <f t="shared" si="212"/>
        <v>В работе</v>
      </c>
      <c r="CH296" s="138" t="s">
        <v>272</v>
      </c>
      <c r="CI296" s="127"/>
      <c r="CJ296" s="138"/>
      <c r="CK296" s="138">
        <f t="shared" si="207"/>
        <v>19</v>
      </c>
      <c r="CL296" s="99"/>
      <c r="CM296" s="99"/>
      <c r="CN296" s="140">
        <v>46</v>
      </c>
      <c r="CO296" s="141">
        <f t="shared" si="216"/>
        <v>5.3504000000000005</v>
      </c>
      <c r="CP296" s="142">
        <v>6.4</v>
      </c>
      <c r="CQ296" s="143">
        <v>0</v>
      </c>
      <c r="CR296" s="138">
        <v>21</v>
      </c>
      <c r="CS296" s="139">
        <v>2.4</v>
      </c>
      <c r="CT296" s="138"/>
      <c r="CU296" s="138">
        <f t="shared" si="188"/>
        <v>18.600000000000001</v>
      </c>
      <c r="CV296" s="115">
        <f t="shared" si="189"/>
        <v>3476.3755980861242</v>
      </c>
      <c r="CW296" s="115">
        <f t="shared" si="217"/>
        <v>448.56459330143542</v>
      </c>
      <c r="CX296" s="133">
        <f t="shared" si="190"/>
        <v>7.5294117647058831E-2</v>
      </c>
      <c r="CY296" s="116"/>
      <c r="CZ296" s="131"/>
      <c r="DA296" s="145" t="str">
        <f t="shared" si="218"/>
        <v>Газлифт</v>
      </c>
      <c r="DB296" s="146">
        <f t="shared" si="219"/>
        <v>5.3504000000000005</v>
      </c>
      <c r="DC296" s="142">
        <f t="shared" si="234"/>
        <v>6.4</v>
      </c>
      <c r="DD296" s="119">
        <f t="shared" si="204"/>
        <v>0</v>
      </c>
      <c r="DE296" s="115">
        <f t="shared" si="220"/>
        <v>18.600000000000001</v>
      </c>
      <c r="DF296" s="121">
        <f t="shared" si="221"/>
        <v>2.4</v>
      </c>
      <c r="DG296" s="115">
        <f t="shared" si="222"/>
        <v>3476.3755980861242</v>
      </c>
      <c r="DH296" s="115">
        <f t="shared" si="223"/>
        <v>46</v>
      </c>
      <c r="DI296" s="147"/>
      <c r="DJ296" s="111" t="s">
        <v>197</v>
      </c>
      <c r="DK296" s="112">
        <v>43889</v>
      </c>
      <c r="DL296" s="113">
        <f t="shared" ca="1" si="192"/>
        <v>1215</v>
      </c>
      <c r="DM296" s="114"/>
      <c r="DN296" s="114"/>
      <c r="DO296" s="114"/>
      <c r="DP296" s="114"/>
      <c r="DQ296" s="112">
        <v>43658</v>
      </c>
      <c r="DR296" s="114" t="s">
        <v>324</v>
      </c>
      <c r="DS296" s="114"/>
      <c r="DT296" s="128">
        <v>45</v>
      </c>
      <c r="DU296" s="116">
        <f t="shared" si="193"/>
        <v>7.4935146883544843E-2</v>
      </c>
      <c r="DV296" s="117">
        <f t="shared" si="194"/>
        <v>5.3875373203393391</v>
      </c>
      <c r="DW296" s="118">
        <f t="shared" si="195"/>
        <v>6.4444226319848559</v>
      </c>
      <c r="DX296" s="119">
        <f t="shared" si="224"/>
        <v>0</v>
      </c>
      <c r="DY296" s="121">
        <f t="shared" si="196"/>
        <v>18.729103274205983</v>
      </c>
      <c r="DZ296" s="117">
        <f t="shared" si="197"/>
        <v>3.7137320339338586E-2</v>
      </c>
      <c r="EA296" s="120">
        <f t="shared" si="197"/>
        <v>4.4422631984855521E-2</v>
      </c>
      <c r="EB296" s="119">
        <f t="shared" si="197"/>
        <v>0</v>
      </c>
      <c r="EC296" s="121">
        <f t="shared" si="198"/>
        <v>0.12910327420598122</v>
      </c>
      <c r="ED296" s="122"/>
      <c r="EE296" s="145">
        <v>65</v>
      </c>
      <c r="EF296" s="115">
        <v>27</v>
      </c>
      <c r="EG296" s="115">
        <v>32</v>
      </c>
      <c r="EH296" s="115">
        <v>26</v>
      </c>
      <c r="EI296" s="128" t="s">
        <v>218</v>
      </c>
      <c r="EJ296" s="121">
        <v>24</v>
      </c>
      <c r="EK296" s="121">
        <v>24</v>
      </c>
      <c r="EL296" s="149">
        <v>5.3504000000000005</v>
      </c>
      <c r="EM296" s="142">
        <v>6.4</v>
      </c>
      <c r="EN296" s="119">
        <v>0</v>
      </c>
      <c r="EO296" s="115">
        <v>21</v>
      </c>
      <c r="EP296" s="115">
        <v>3476.3755980861242</v>
      </c>
      <c r="EQ296" s="115">
        <v>71</v>
      </c>
      <c r="ER296" s="115">
        <v>2.4</v>
      </c>
      <c r="ES296" s="115">
        <v>46</v>
      </c>
      <c r="ET296" s="150">
        <v>7.5294117647058831E-2</v>
      </c>
      <c r="EU296" s="145">
        <f t="shared" si="225"/>
        <v>65</v>
      </c>
      <c r="EV296" s="115">
        <f t="shared" si="226"/>
        <v>27</v>
      </c>
      <c r="EW296" s="115">
        <f t="shared" si="226"/>
        <v>32</v>
      </c>
      <c r="EX296" s="115">
        <f t="shared" si="226"/>
        <v>26</v>
      </c>
      <c r="EY296" s="115" t="str">
        <f t="shared" si="206"/>
        <v>Периодический</v>
      </c>
      <c r="EZ296" s="115">
        <f t="shared" si="206"/>
        <v>24</v>
      </c>
      <c r="FA296" s="115">
        <f t="shared" si="206"/>
        <v>24</v>
      </c>
      <c r="FB296" s="149">
        <f t="shared" si="209"/>
        <v>5.3504000000000005</v>
      </c>
      <c r="FC296" s="142">
        <f t="shared" si="209"/>
        <v>6.4</v>
      </c>
      <c r="FD296" s="119">
        <f t="shared" si="209"/>
        <v>0</v>
      </c>
      <c r="FE296" s="121">
        <f t="shared" si="208"/>
        <v>21</v>
      </c>
      <c r="FF296" s="121">
        <f t="shared" si="199"/>
        <v>3476.3755980861242</v>
      </c>
      <c r="FG296" s="121">
        <f t="shared" si="227"/>
        <v>71</v>
      </c>
      <c r="FH296" s="121">
        <f t="shared" si="200"/>
        <v>2.4</v>
      </c>
      <c r="FI296" s="121">
        <f t="shared" si="205"/>
        <v>46</v>
      </c>
      <c r="FJ296" s="144">
        <f t="shared" si="228"/>
        <v>7.5294117647058831E-2</v>
      </c>
      <c r="FK296" s="132">
        <f t="shared" si="229"/>
        <v>0</v>
      </c>
      <c r="FL296" s="115">
        <f t="shared" si="229"/>
        <v>0</v>
      </c>
      <c r="FM296" s="115">
        <f t="shared" si="229"/>
        <v>0</v>
      </c>
      <c r="FN296" s="115">
        <f t="shared" si="229"/>
        <v>0</v>
      </c>
      <c r="FO296" s="115">
        <f t="shared" si="232"/>
        <v>0</v>
      </c>
      <c r="FP296" s="115">
        <f t="shared" si="232"/>
        <v>0</v>
      </c>
      <c r="FQ296" s="149">
        <f t="shared" si="232"/>
        <v>0</v>
      </c>
      <c r="FR296" s="142">
        <f t="shared" si="232"/>
        <v>0</v>
      </c>
      <c r="FS296" s="119">
        <f t="shared" si="232"/>
        <v>0</v>
      </c>
      <c r="FT296" s="121">
        <f t="shared" si="232"/>
        <v>0</v>
      </c>
      <c r="FU296" s="121">
        <f t="shared" si="230"/>
        <v>0</v>
      </c>
      <c r="FV296" s="121">
        <f t="shared" si="230"/>
        <v>0</v>
      </c>
      <c r="FW296" s="121">
        <f t="shared" si="231"/>
        <v>0</v>
      </c>
      <c r="FX296" s="121">
        <f t="shared" si="233"/>
        <v>0</v>
      </c>
      <c r="FY296" s="144">
        <f t="shared" si="214"/>
        <v>0</v>
      </c>
      <c r="FZ296" s="145"/>
      <c r="GA296" s="125"/>
      <c r="GB296" s="145"/>
      <c r="GC296" s="125"/>
      <c r="GD296" s="997" t="s">
        <v>202</v>
      </c>
      <c r="GE296" s="1004"/>
      <c r="GF296" s="1004">
        <v>0</v>
      </c>
      <c r="GG296" s="1004"/>
      <c r="GH296" s="1004">
        <v>0</v>
      </c>
      <c r="GI296" s="145"/>
      <c r="GJ296" s="996">
        <v>0</v>
      </c>
      <c r="GK296" s="145"/>
      <c r="GL296" s="996">
        <v>0</v>
      </c>
      <c r="GM296" s="1005"/>
      <c r="GN296" s="996">
        <v>0</v>
      </c>
      <c r="GO296" s="1006"/>
      <c r="GP296" s="996">
        <v>-0.50159999999999894</v>
      </c>
      <c r="GQ296" s="1006"/>
      <c r="GR296" s="996">
        <v>0</v>
      </c>
      <c r="GS296" s="1006"/>
      <c r="GT296" s="996">
        <v>0</v>
      </c>
      <c r="GU296" s="1006"/>
      <c r="GV296" s="996">
        <v>0</v>
      </c>
      <c r="GW296" s="1006"/>
      <c r="GX296" s="1035">
        <v>0</v>
      </c>
      <c r="GY296" s="1006" t="s">
        <v>199</v>
      </c>
      <c r="GZ296" s="996">
        <v>1.4629999999999992</v>
      </c>
      <c r="HA296" s="1006" t="s">
        <v>199</v>
      </c>
      <c r="HB296" s="996">
        <v>-2.1610599999999991</v>
      </c>
      <c r="HC296" s="1006" t="s">
        <v>241</v>
      </c>
      <c r="HD296" s="996">
        <v>5.9999999999504894E-5</v>
      </c>
      <c r="HE296" s="1006" t="s">
        <v>223</v>
      </c>
      <c r="HF296" s="996">
        <v>-3.9258559999999987</v>
      </c>
      <c r="HG296" s="1006"/>
      <c r="HH296" s="996">
        <v>0.36783999999999928</v>
      </c>
      <c r="HI296" s="1006"/>
      <c r="HJ296" s="996">
        <v>0.17556000000000083</v>
      </c>
      <c r="HK296" s="1006"/>
      <c r="HL296" s="996">
        <v>0</v>
      </c>
      <c r="HM296" s="1006"/>
      <c r="HN296" s="996">
        <v>0</v>
      </c>
      <c r="HO296" s="1006"/>
      <c r="HP296" s="996">
        <v>-4.2635999999999896E-2</v>
      </c>
      <c r="HQ296" s="1006"/>
      <c r="HR296" s="996">
        <v>0</v>
      </c>
      <c r="HS296" s="1006"/>
      <c r="HT296" s="996">
        <v>0</v>
      </c>
      <c r="HU296" s="1006" t="s">
        <v>199</v>
      </c>
      <c r="HV296" s="996">
        <v>-0.95243808000000207</v>
      </c>
      <c r="HW296" s="1006" t="s">
        <v>203</v>
      </c>
      <c r="HX296" s="996">
        <v>-2.2134061399999982</v>
      </c>
      <c r="HY296" s="1006" t="s">
        <v>203</v>
      </c>
      <c r="HZ296" s="996">
        <v>-1.3044735000000003</v>
      </c>
      <c r="IA296" s="1006" t="s">
        <v>25</v>
      </c>
      <c r="IB296" s="996">
        <v>4.5798337199999999</v>
      </c>
      <c r="IC296" s="1006"/>
      <c r="ID296" s="996">
        <v>-0.12540000000000084</v>
      </c>
      <c r="IE296" s="1006"/>
      <c r="IF296" s="996">
        <v>-0.15089799999999975</v>
      </c>
      <c r="IG296" s="1006"/>
      <c r="IH296" s="996">
        <v>-0.53539111999999989</v>
      </c>
      <c r="II296" s="1006"/>
      <c r="IJ296" s="996">
        <v>0</v>
      </c>
      <c r="IK296" s="1006"/>
      <c r="IL296" s="996">
        <v>0.41124512000000202</v>
      </c>
      <c r="IM296" s="1006"/>
      <c r="IN296" s="996">
        <v>0</v>
      </c>
      <c r="IO296" s="1006"/>
      <c r="IP296" s="996">
        <v>0</v>
      </c>
      <c r="IQ296" s="1006"/>
      <c r="IR296" s="996">
        <v>0.33774399999999893</v>
      </c>
      <c r="IS296" s="1006"/>
      <c r="IT296" s="996">
        <v>0</v>
      </c>
      <c r="IU296" s="1006"/>
      <c r="IV296" s="996">
        <v>0</v>
      </c>
      <c r="IW296" s="1006"/>
      <c r="IX296" s="996">
        <v>0.82011599999999873</v>
      </c>
      <c r="IY296" s="1006"/>
      <c r="IZ296" s="996">
        <v>0.98648000000000025</v>
      </c>
      <c r="JA296" s="1006"/>
      <c r="JB296" s="996">
        <v>0</v>
      </c>
      <c r="JC296" s="1006"/>
      <c r="JD296" s="996">
        <v>-23.964776000000001</v>
      </c>
      <c r="JE296" s="1006"/>
      <c r="JF296" s="996">
        <v>0</v>
      </c>
      <c r="JG296" s="1006"/>
      <c r="JH296" s="996">
        <v>0</v>
      </c>
      <c r="JI296" s="1006"/>
      <c r="JJ296" s="996">
        <v>0</v>
      </c>
      <c r="JK296" s="1007"/>
      <c r="JL296" s="1007">
        <v>0</v>
      </c>
      <c r="JM296" s="1007" t="s">
        <v>203</v>
      </c>
      <c r="JN296" s="1007">
        <v>-11.332949091199993</v>
      </c>
      <c r="JO296" s="1008"/>
      <c r="JP296" s="1007">
        <v>0</v>
      </c>
      <c r="JQ296" s="1008">
        <v>0</v>
      </c>
      <c r="JR296" s="1007">
        <v>0</v>
      </c>
      <c r="JS296" s="1008" t="s">
        <v>25</v>
      </c>
      <c r="JT296" s="1007">
        <v>41.512549091199993</v>
      </c>
      <c r="JU296" s="1008"/>
      <c r="JV296" s="1007"/>
      <c r="JW296" s="1008"/>
      <c r="JX296" s="1007"/>
      <c r="JY296" s="1008"/>
      <c r="JZ296" s="1007"/>
      <c r="KA296" s="1008"/>
      <c r="KB296" s="1007"/>
      <c r="KC296" s="1008"/>
      <c r="KD296" s="1007"/>
      <c r="KE296" s="1008"/>
      <c r="KF296" s="1007"/>
      <c r="KG296" s="1008"/>
      <c r="KH296" s="1007"/>
      <c r="KI296" s="1008"/>
      <c r="KJ296" s="1007"/>
      <c r="KK296" s="1008"/>
      <c r="KL296" s="1007"/>
      <c r="KM296" s="1008"/>
      <c r="KN296" s="1007"/>
      <c r="KO296" s="1008"/>
      <c r="KP296" s="1007"/>
      <c r="KQ296" s="1008"/>
      <c r="KR296" s="1007"/>
      <c r="KS296" s="1008"/>
      <c r="KT296" s="1007"/>
      <c r="KU296" s="1008"/>
      <c r="KV296" s="1007"/>
      <c r="KW296" s="1008"/>
      <c r="KX296" s="1007"/>
      <c r="KY296" s="1008"/>
      <c r="KZ296" s="1007"/>
      <c r="LA296" s="1008"/>
      <c r="LB296" s="1007"/>
      <c r="LC296" s="1008"/>
      <c r="LD296" s="1007"/>
      <c r="LE296" s="1008"/>
      <c r="LF296" s="1007"/>
      <c r="LG296" s="1008"/>
      <c r="LH296" s="1007"/>
      <c r="LI296" s="1008"/>
      <c r="LJ296" s="1007"/>
      <c r="LK296" s="1008"/>
      <c r="LL296" s="1007"/>
      <c r="LM296" s="1008"/>
      <c r="LN296" s="1007"/>
      <c r="LO296" s="1008"/>
      <c r="LP296" s="1007"/>
      <c r="LQ296" s="1008"/>
      <c r="LR296" s="1007"/>
      <c r="LS296" s="1008"/>
      <c r="LT296" s="1007"/>
      <c r="LU296" s="1008"/>
      <c r="LV296" s="1007"/>
      <c r="LW296" s="1008"/>
      <c r="LX296" s="1007"/>
      <c r="LY296" s="1009"/>
      <c r="LZ296" s="1010"/>
      <c r="MA296" s="1011"/>
      <c r="MB296" s="1012"/>
      <c r="MC296" s="995"/>
      <c r="MD296" s="996"/>
      <c r="ME296" s="997" t="s">
        <v>202</v>
      </c>
      <c r="MF296" s="997"/>
      <c r="MG296" s="998"/>
      <c r="NR296" s="1000"/>
      <c r="NS296" s="1000"/>
      <c r="NT296" s="1001"/>
      <c r="NU296" s="1000"/>
      <c r="NV296" s="1001"/>
      <c r="NX296" s="1002"/>
      <c r="NZ296" s="1001"/>
      <c r="OA296" s="1001"/>
      <c r="OC296" s="1003"/>
      <c r="OD296" s="1003"/>
      <c r="OE296" s="1001"/>
      <c r="OF296" s="1003"/>
      <c r="OG296" s="1003"/>
      <c r="QX296" s="1000">
        <f>CN296-CA296</f>
        <v>19</v>
      </c>
      <c r="ASU296" s="999" t="s">
        <v>208</v>
      </c>
    </row>
    <row r="297" spans="1:466 1191:1191" ht="21" customHeight="1" x14ac:dyDescent="0.25">
      <c r="A297" s="982">
        <f t="shared" si="215"/>
        <v>1288</v>
      </c>
      <c r="B297" s="124">
        <f>SUBTOTAL(103,$J$29:J297)</f>
        <v>269</v>
      </c>
      <c r="C297" s="126">
        <v>45068</v>
      </c>
      <c r="D297" s="124" t="s">
        <v>176</v>
      </c>
      <c r="E297" s="127" t="s">
        <v>177</v>
      </c>
      <c r="F297" s="128" t="s">
        <v>177</v>
      </c>
      <c r="G297" s="127" t="s">
        <v>178</v>
      </c>
      <c r="H297" s="127" t="s">
        <v>179</v>
      </c>
      <c r="I297" s="127" t="s">
        <v>1293</v>
      </c>
      <c r="J297" s="152">
        <v>1288</v>
      </c>
      <c r="K297" s="127" t="s">
        <v>1293</v>
      </c>
      <c r="L297" s="130">
        <v>43293</v>
      </c>
      <c r="M297" s="127" t="s">
        <v>230</v>
      </c>
      <c r="N297" s="127" t="s">
        <v>184</v>
      </c>
      <c r="O297" s="127" t="s">
        <v>185</v>
      </c>
      <c r="P297" s="127" t="s">
        <v>186</v>
      </c>
      <c r="Q297" s="85">
        <f t="shared" si="213"/>
        <v>-4</v>
      </c>
      <c r="R297" s="130">
        <v>43236</v>
      </c>
      <c r="S297" s="128" t="s">
        <v>747</v>
      </c>
      <c r="T297" s="131" t="s">
        <v>1294</v>
      </c>
      <c r="U297" s="132">
        <v>203</v>
      </c>
      <c r="V297" s="121">
        <v>218.2</v>
      </c>
      <c r="W297" s="116">
        <v>0.98</v>
      </c>
      <c r="X297" s="116">
        <v>1.66</v>
      </c>
      <c r="Y297" s="116">
        <f t="shared" si="191"/>
        <v>0.98120581919949812</v>
      </c>
      <c r="Z297" s="133">
        <v>1.454</v>
      </c>
      <c r="AA297" s="133">
        <v>0.83599999999999997</v>
      </c>
      <c r="AB297" s="133">
        <v>0.72</v>
      </c>
      <c r="AC297" s="121">
        <v>34.299999999999997</v>
      </c>
      <c r="AD297" s="134">
        <v>1.17</v>
      </c>
      <c r="AE297" s="124">
        <v>177.8</v>
      </c>
      <c r="AF297" s="128">
        <v>9.19</v>
      </c>
      <c r="AG297" s="128">
        <v>2478.27</v>
      </c>
      <c r="AH297" s="138">
        <v>3266.28</v>
      </c>
      <c r="AI297" s="138">
        <v>3266.28</v>
      </c>
      <c r="AJ297" s="135">
        <v>43228</v>
      </c>
      <c r="AK297" s="128" t="s">
        <v>1018</v>
      </c>
      <c r="AL297" s="131"/>
      <c r="AM297" s="124" t="s">
        <v>187</v>
      </c>
      <c r="AN297" s="136" t="s">
        <v>1295</v>
      </c>
      <c r="AO297" s="137">
        <v>8.4</v>
      </c>
      <c r="AP297" s="128">
        <v>2516.0500000000002</v>
      </c>
      <c r="AQ297" s="128">
        <v>571.49</v>
      </c>
      <c r="AR297" s="128" t="s">
        <v>1296</v>
      </c>
      <c r="AS297" s="128">
        <v>114</v>
      </c>
      <c r="AT297" s="122">
        <v>7.37</v>
      </c>
      <c r="AU297" s="124" t="s">
        <v>189</v>
      </c>
      <c r="AV297" s="115">
        <f>VLOOKUP(J297,'[63]ТР нефть'!$J$28:$BP$638,39,0)</f>
        <v>479.99998505899998</v>
      </c>
      <c r="AW297" s="115" t="str">
        <f>VLOOKUP(J297,'[63]ТР нефть'!$J$28:$BP$638,40,0)</f>
        <v>ГК73 1/8</v>
      </c>
      <c r="AX297" s="115">
        <f>VLOOKUP(J297,'[63]ТР нефть'!$J$28:$BP$638,41,0)</f>
        <v>930.00001523399999</v>
      </c>
      <c r="AY297" s="115" t="str">
        <f>VLOOKUP(J297,'[63]ТР нефть'!$J$28:$BP$638,42,0)</f>
        <v>ГК72 1/8</v>
      </c>
      <c r="AZ297" s="115">
        <f>VLOOKUP(J297,'[63]ТР нефть'!$J$28:$BP$638,43,0)</f>
        <v>1361.999990625</v>
      </c>
      <c r="BA297" s="115" t="str">
        <f>VLOOKUP(J297,'[63]ТР нефть'!$J$28:$BP$638,44,0)</f>
        <v>ГК71 1/8</v>
      </c>
      <c r="BB297" s="115">
        <f>VLOOKUP(J297,'[63]ТР нефть'!$J$28:$BP$638,45,0)</f>
        <v>1699.9999734380001</v>
      </c>
      <c r="BC297" s="115" t="str">
        <f>VLOOKUP(J297,'[63]ТР нефть'!$J$28:$BP$638,46,0)</f>
        <v>ГК70 5/32</v>
      </c>
      <c r="BD297" s="115">
        <f>VLOOKUP(J297,'[63]ТР нефть'!$J$28:$BP$638,47,0)</f>
        <v>1929.999999609</v>
      </c>
      <c r="BE297" s="115" t="str">
        <f>VLOOKUP(J297,'[63]ТР нефть'!$J$28:$BP$638,48,0)</f>
        <v>ЦКсОК 5/16</v>
      </c>
      <c r="BF297" s="115" t="str">
        <f>VLOOKUP(J297,'[63]ТР нефть'!$J$28:$BP$638,49,0)</f>
        <v>-</v>
      </c>
      <c r="BG297" s="115" t="str">
        <f>VLOOKUP(J297,'[63]ТР нефть'!$J$28:$BP$638,50,0)</f>
        <v>-</v>
      </c>
      <c r="BH297" s="115">
        <f>VLOOKUP(J297,'[63]ТР нефть'!$J$28:$BP$638,51,0)</f>
        <v>1920</v>
      </c>
      <c r="BI297" s="115" t="str">
        <f>VLOOKUP(J297,'[63]ТР нефть'!$J$28:$BP$638,52,0)</f>
        <v>закрыт</v>
      </c>
      <c r="BJ297" s="115" t="str">
        <f>IF(IFERROR(VLOOKUP(J297,'[63]ТР нефть'!$J$28:$BP$638,53,0),"-")=0,"-",IFERROR(VLOOKUP(J297,'[63]ТР нефть'!$J$28:$BP$638,53,0),"-"))</f>
        <v>-</v>
      </c>
      <c r="BK297" s="138" t="str">
        <f>IF(IFERROR(VLOOKUP(J297,'[63]ТР нефть'!$J$28:$BP$638,54,0),"-")=0,"-",IFERROR(VLOOKUP(J297,'[63]ТР нефть'!$J$28:$BP$638,54,0),"-"))</f>
        <v>-</v>
      </c>
      <c r="BL297" s="138" t="str">
        <f>IF(IFERROR(VLOOKUP(J297,'[63]ТР нефть'!$J$28:$BP$638,55,0),"-")=0,"-",IFERROR(VLOOKUP(J297,'[63]ТР нефть'!$J$28:$BP$638,55,0),"-"))</f>
        <v>-</v>
      </c>
      <c r="BM297" s="138" t="str">
        <f>IF(IFERROR(VLOOKUP(J297,'[63]ТР нефть'!$J$28:$BP$638,56,0),"-")=0,"-",IFERROR(VLOOKUP(J297,'[63]ТР нефть'!$J$28:$BP$638,56,0),"-"))</f>
        <v>-</v>
      </c>
      <c r="BN297" s="138" t="str">
        <f>IF(IFERROR(VLOOKUP(J297,'[63]ТР нефть'!$J$28:$BP$638,57,0),"-")=0,"-",IFERROR(VLOOKUP(J297,'[63]ТР нефть'!$J$28:$BP$638,57,0),"-"))</f>
        <v>-</v>
      </c>
      <c r="BO297" s="115" t="str">
        <f>IF(IFERROR(VLOOKUP(J297,'[63]ТР нефть'!$J$28:$BP$638,58,0),"-")=0,"-",IFERROR(VLOOKUP(J297,'[63]ТР нефть'!$J$28:$BP$638,58,0),"-"))</f>
        <v>-</v>
      </c>
      <c r="BP297" s="115" t="str">
        <f>IF(IFERROR(VLOOKUP(J297,'[63]ТР нефть'!$J$28:$BP$638,59,0),"-")=0,"-",IFERROR(VLOOKUP(J297,'[63]ТР нефть'!$J$28:$BP$638,59,0),"-"))</f>
        <v>-</v>
      </c>
      <c r="BQ297" s="138">
        <v>1942</v>
      </c>
      <c r="BR297" s="128">
        <v>1630.9</v>
      </c>
      <c r="BS297" s="115">
        <f t="shared" si="211"/>
        <v>311.09999999999991</v>
      </c>
      <c r="BT297" s="128">
        <v>73</v>
      </c>
      <c r="BU297" s="128">
        <v>5.5</v>
      </c>
      <c r="BV297" s="127">
        <v>65</v>
      </c>
      <c r="BW297" s="127" t="s">
        <v>217</v>
      </c>
      <c r="BX297" s="127" t="s">
        <v>195</v>
      </c>
      <c r="BY297" s="139">
        <v>24</v>
      </c>
      <c r="BZ297" s="139">
        <v>0</v>
      </c>
      <c r="CA297" s="138">
        <v>25</v>
      </c>
      <c r="CB297" s="138">
        <v>40</v>
      </c>
      <c r="CC297" s="138">
        <v>24</v>
      </c>
      <c r="CD297" s="135">
        <v>45017</v>
      </c>
      <c r="CE297" s="138">
        <v>115</v>
      </c>
      <c r="CF297" s="138">
        <v>67</v>
      </c>
      <c r="CG297" s="138" t="str">
        <f t="shared" si="212"/>
        <v>В работе</v>
      </c>
      <c r="CH297" s="138" t="s">
        <v>196</v>
      </c>
      <c r="CI297" s="127"/>
      <c r="CJ297" s="138"/>
      <c r="CK297" s="138">
        <f t="shared" si="207"/>
        <v>82</v>
      </c>
      <c r="CL297" s="99"/>
      <c r="CM297" s="99"/>
      <c r="CN297" s="140">
        <v>107</v>
      </c>
      <c r="CO297" s="141">
        <f t="shared" si="216"/>
        <v>3.5006664000000001</v>
      </c>
      <c r="CP297" s="142">
        <v>4.2</v>
      </c>
      <c r="CQ297" s="143">
        <v>0.3</v>
      </c>
      <c r="CR297" s="138">
        <v>17</v>
      </c>
      <c r="CS297" s="139">
        <v>7</v>
      </c>
      <c r="CT297" s="138"/>
      <c r="CU297" s="138">
        <f t="shared" ref="CU297:CU329" si="235">IF(CR297&lt;&gt;"0",CR297-CS297,"0")</f>
        <v>10</v>
      </c>
      <c r="CV297" s="115">
        <f t="shared" ref="CV297:CV329" si="236">(CR297-CS297)*1000/CO297</f>
        <v>2856.5989607007396</v>
      </c>
      <c r="CW297" s="115">
        <f t="shared" si="217"/>
        <v>1991.3194402958623</v>
      </c>
      <c r="CX297" s="133">
        <f t="shared" ref="CX297:CX329" si="237">IF(CP297&lt;&gt;0,CP297/(CE297-CN297),0)</f>
        <v>0.52500000000000002</v>
      </c>
      <c r="CY297" s="116"/>
      <c r="CZ297" s="131"/>
      <c r="DA297" s="145" t="str">
        <f t="shared" si="218"/>
        <v>Газлифт</v>
      </c>
      <c r="DB297" s="146">
        <f t="shared" si="219"/>
        <v>3.5006664000000001</v>
      </c>
      <c r="DC297" s="142">
        <f t="shared" si="234"/>
        <v>4.2</v>
      </c>
      <c r="DD297" s="119">
        <f t="shared" si="204"/>
        <v>0.3</v>
      </c>
      <c r="DE297" s="115">
        <f t="shared" si="220"/>
        <v>10</v>
      </c>
      <c r="DF297" s="121">
        <f t="shared" si="221"/>
        <v>7</v>
      </c>
      <c r="DG297" s="115">
        <f t="shared" si="222"/>
        <v>2856.5989607007396</v>
      </c>
      <c r="DH297" s="115">
        <f t="shared" si="223"/>
        <v>107</v>
      </c>
      <c r="DI297" s="147"/>
      <c r="DJ297" s="111" t="s">
        <v>197</v>
      </c>
      <c r="DK297" s="112">
        <v>43293</v>
      </c>
      <c r="DL297" s="113">
        <f t="shared" ca="1" si="192"/>
        <v>1811</v>
      </c>
      <c r="DM297" s="114"/>
      <c r="DN297" s="114"/>
      <c r="DO297" s="114"/>
      <c r="DP297" s="114"/>
      <c r="DQ297" s="112">
        <v>43293</v>
      </c>
      <c r="DR297" s="114" t="s">
        <v>324</v>
      </c>
      <c r="DS297" s="114"/>
      <c r="DT297" s="115">
        <v>60</v>
      </c>
      <c r="DU297" s="116">
        <f t="shared" si="193"/>
        <v>0.42659521435692921</v>
      </c>
      <c r="DV297" s="117">
        <f t="shared" si="194"/>
        <v>19.556003412263209</v>
      </c>
      <c r="DW297" s="118">
        <f t="shared" si="195"/>
        <v>23.462736789631105</v>
      </c>
      <c r="DX297" s="119">
        <f t="shared" si="224"/>
        <v>0.3</v>
      </c>
      <c r="DY297" s="115">
        <f t="shared" si="196"/>
        <v>55.863659022931202</v>
      </c>
      <c r="DZ297" s="117">
        <f t="shared" si="197"/>
        <v>16.055337012263209</v>
      </c>
      <c r="EA297" s="120">
        <f t="shared" si="197"/>
        <v>19.262736789631106</v>
      </c>
      <c r="EB297" s="119">
        <f t="shared" si="197"/>
        <v>0</v>
      </c>
      <c r="EC297" s="121">
        <f t="shared" si="198"/>
        <v>45.863659022931202</v>
      </c>
      <c r="ED297" s="122" t="s">
        <v>1297</v>
      </c>
      <c r="EE297" s="145">
        <v>65</v>
      </c>
      <c r="EF297" s="115">
        <v>27</v>
      </c>
      <c r="EG297" s="115">
        <v>53</v>
      </c>
      <c r="EH297" s="115">
        <v>26</v>
      </c>
      <c r="EI297" s="128" t="s">
        <v>195</v>
      </c>
      <c r="EJ297" s="121">
        <v>24</v>
      </c>
      <c r="EK297" s="121">
        <v>0</v>
      </c>
      <c r="EL297" s="149">
        <v>2.5254807599999998</v>
      </c>
      <c r="EM297" s="142">
        <v>3.03</v>
      </c>
      <c r="EN297" s="119">
        <v>0.3</v>
      </c>
      <c r="EO297" s="115">
        <v>7.2</v>
      </c>
      <c r="EP297" s="115">
        <v>158.38568494974413</v>
      </c>
      <c r="EQ297" s="115">
        <v>68</v>
      </c>
      <c r="ER297" s="115">
        <v>6.8</v>
      </c>
      <c r="ES297" s="115">
        <v>96</v>
      </c>
      <c r="ET297" s="150">
        <v>4.128065395095367E-2</v>
      </c>
      <c r="EU297" s="145">
        <f t="shared" si="225"/>
        <v>65</v>
      </c>
      <c r="EV297" s="115">
        <f t="shared" si="226"/>
        <v>25</v>
      </c>
      <c r="EW297" s="115">
        <f t="shared" si="226"/>
        <v>40</v>
      </c>
      <c r="EX297" s="115">
        <f t="shared" si="226"/>
        <v>24</v>
      </c>
      <c r="EY297" s="115" t="str">
        <f t="shared" si="206"/>
        <v>Постоянный</v>
      </c>
      <c r="EZ297" s="115">
        <f t="shared" si="206"/>
        <v>24</v>
      </c>
      <c r="FA297" s="115">
        <f t="shared" si="206"/>
        <v>0</v>
      </c>
      <c r="FB297" s="149">
        <f t="shared" si="209"/>
        <v>3.5006664000000001</v>
      </c>
      <c r="FC297" s="142">
        <f t="shared" si="209"/>
        <v>4.2</v>
      </c>
      <c r="FD297" s="119">
        <f t="shared" si="209"/>
        <v>0.3</v>
      </c>
      <c r="FE297" s="121">
        <f t="shared" si="208"/>
        <v>17</v>
      </c>
      <c r="FF297" s="121">
        <f t="shared" si="199"/>
        <v>2856.5989607007396</v>
      </c>
      <c r="FG297" s="121">
        <f t="shared" si="227"/>
        <v>67</v>
      </c>
      <c r="FH297" s="121">
        <f t="shared" si="200"/>
        <v>7</v>
      </c>
      <c r="FI297" s="121">
        <f t="shared" si="205"/>
        <v>107</v>
      </c>
      <c r="FJ297" s="144">
        <f t="shared" si="228"/>
        <v>0.52500000000000002</v>
      </c>
      <c r="FK297" s="132">
        <f t="shared" si="229"/>
        <v>0</v>
      </c>
      <c r="FL297" s="115">
        <f t="shared" si="229"/>
        <v>-2</v>
      </c>
      <c r="FM297" s="115">
        <f t="shared" si="229"/>
        <v>-13</v>
      </c>
      <c r="FN297" s="115">
        <f t="shared" si="229"/>
        <v>-2</v>
      </c>
      <c r="FO297" s="115">
        <f t="shared" si="232"/>
        <v>0</v>
      </c>
      <c r="FP297" s="115">
        <f t="shared" si="232"/>
        <v>0</v>
      </c>
      <c r="FQ297" s="149">
        <f t="shared" si="232"/>
        <v>0.9751856400000003</v>
      </c>
      <c r="FR297" s="142">
        <f t="shared" si="232"/>
        <v>1.1700000000000004</v>
      </c>
      <c r="FS297" s="119">
        <f t="shared" si="232"/>
        <v>0</v>
      </c>
      <c r="FT297" s="121">
        <f t="shared" si="232"/>
        <v>9.8000000000000007</v>
      </c>
      <c r="FU297" s="121">
        <f t="shared" si="230"/>
        <v>-1</v>
      </c>
      <c r="FV297" s="121">
        <f t="shared" si="230"/>
        <v>0.20000000000000018</v>
      </c>
      <c r="FW297" s="121">
        <f t="shared" si="231"/>
        <v>2698.2132757509953</v>
      </c>
      <c r="FX297" s="121">
        <f t="shared" si="233"/>
        <v>11</v>
      </c>
      <c r="FY297" s="144">
        <f t="shared" si="214"/>
        <v>0.48371934604904637</v>
      </c>
      <c r="FZ297" s="145" t="s">
        <v>199</v>
      </c>
      <c r="GA297" s="125" t="s">
        <v>200</v>
      </c>
      <c r="GB297" s="145"/>
      <c r="GC297" s="125"/>
      <c r="GD297" s="997" t="s">
        <v>202</v>
      </c>
      <c r="GE297" s="1004"/>
      <c r="GF297" s="1004">
        <v>0</v>
      </c>
      <c r="GG297" s="1004"/>
      <c r="GH297" s="1004">
        <v>-0.49348244000000019</v>
      </c>
      <c r="GI297" s="145"/>
      <c r="GJ297" s="996">
        <v>0</v>
      </c>
      <c r="GK297" s="145" t="s">
        <v>223</v>
      </c>
      <c r="GL297" s="996">
        <v>-1.6390198000000007</v>
      </c>
      <c r="GM297" s="1005" t="s">
        <v>1298</v>
      </c>
      <c r="GN297" s="996">
        <v>-15.103016999999998</v>
      </c>
      <c r="GO297" s="1006"/>
      <c r="GP297" s="996">
        <v>0</v>
      </c>
      <c r="GQ297" s="1006"/>
      <c r="GR297" s="996">
        <v>0</v>
      </c>
      <c r="GS297" s="1006"/>
      <c r="GT297" s="996">
        <v>0</v>
      </c>
      <c r="GU297" s="1006" t="s">
        <v>204</v>
      </c>
      <c r="GV297" s="996">
        <v>-6.6879999999999997</v>
      </c>
      <c r="GW297" s="1006"/>
      <c r="GX297" s="1035">
        <v>0</v>
      </c>
      <c r="GY297" s="1006"/>
      <c r="GZ297" s="996">
        <v>0</v>
      </c>
      <c r="HA297" s="1006" t="s">
        <v>204</v>
      </c>
      <c r="HB297" s="996">
        <v>6.67964</v>
      </c>
      <c r="HC297" s="1006" t="s">
        <v>241</v>
      </c>
      <c r="HD297" s="996">
        <v>-1.7710162580000004</v>
      </c>
      <c r="HE297" s="1006" t="s">
        <v>241</v>
      </c>
      <c r="HF297" s="996">
        <v>0</v>
      </c>
      <c r="HG297" s="1006" t="s">
        <v>199</v>
      </c>
      <c r="HH297" s="996">
        <v>0.87144263800000044</v>
      </c>
      <c r="HI297" s="1006"/>
      <c r="HJ297" s="996">
        <v>0</v>
      </c>
      <c r="HK297" s="1006"/>
      <c r="HL297" s="996">
        <v>3.376185999999981E-2</v>
      </c>
      <c r="HM297" s="1006" t="s">
        <v>199</v>
      </c>
      <c r="HN297" s="996">
        <v>-1.20245224</v>
      </c>
      <c r="HO297" s="1006"/>
      <c r="HP297" s="996">
        <v>0</v>
      </c>
      <c r="HQ297" s="1006"/>
      <c r="HR297" s="996">
        <v>0</v>
      </c>
      <c r="HS297" s="1006" t="s">
        <v>199</v>
      </c>
      <c r="HT297" s="996">
        <v>3.4534152754838709</v>
      </c>
      <c r="HU297" s="1006" t="s">
        <v>199</v>
      </c>
      <c r="HV297" s="996">
        <v>-1.7778054274838708</v>
      </c>
      <c r="HW297" s="1006"/>
      <c r="HX297" s="996">
        <v>0</v>
      </c>
      <c r="HY297" s="1006"/>
      <c r="HZ297" s="996">
        <v>0</v>
      </c>
      <c r="IA297" s="1006" t="s">
        <v>204</v>
      </c>
      <c r="IB297" s="996">
        <v>-2.0007737200000011</v>
      </c>
      <c r="IC297" s="1006"/>
      <c r="ID297" s="996">
        <v>0.25828387200000158</v>
      </c>
      <c r="IE297" s="1006"/>
      <c r="IF297" s="996">
        <v>-0.39375600000000066</v>
      </c>
      <c r="IG297" s="1006"/>
      <c r="IH297" s="996">
        <v>0.30430400000000013</v>
      </c>
      <c r="II297" s="1006"/>
      <c r="IJ297" s="996">
        <v>-4.3806399999990475E-3</v>
      </c>
      <c r="IK297" s="1006" t="s">
        <v>199</v>
      </c>
      <c r="IL297" s="996">
        <v>1.4941326399999992</v>
      </c>
      <c r="IM297" s="1006"/>
      <c r="IN297" s="996">
        <v>0</v>
      </c>
      <c r="IO297" s="1006" t="s">
        <v>199</v>
      </c>
      <c r="IP297" s="996">
        <v>1.5407479999999998</v>
      </c>
      <c r="IQ297" s="1006"/>
      <c r="IR297" s="996">
        <v>0</v>
      </c>
      <c r="IS297" s="1006"/>
      <c r="IT297" s="996">
        <v>0</v>
      </c>
      <c r="IU297" s="1006"/>
      <c r="IV297" s="996">
        <v>0</v>
      </c>
      <c r="IW297" s="1006"/>
      <c r="IX297" s="996">
        <v>0</v>
      </c>
      <c r="IY297" s="1006"/>
      <c r="IZ297" s="996">
        <v>0</v>
      </c>
      <c r="JA297" s="1006" t="s">
        <v>199</v>
      </c>
      <c r="JB297" s="996">
        <v>-3.6606768000000001</v>
      </c>
      <c r="JC297" s="1006"/>
      <c r="JD297" s="996">
        <v>0.57466639999999991</v>
      </c>
      <c r="JE297" s="1006"/>
      <c r="JF297" s="996">
        <v>-0.5235031999999995</v>
      </c>
      <c r="JG297" s="1006"/>
      <c r="JH297" s="996">
        <v>0</v>
      </c>
      <c r="JI297" s="1006"/>
      <c r="JJ297" s="996">
        <v>0.24879359999999995</v>
      </c>
      <c r="JK297" s="1007"/>
      <c r="JL297" s="1007">
        <v>0</v>
      </c>
      <c r="JM297" s="1007" t="s">
        <v>199</v>
      </c>
      <c r="JN297" s="1007">
        <v>-1.4345760000000007</v>
      </c>
      <c r="JO297" s="1008"/>
      <c r="JP297" s="1007">
        <v>0</v>
      </c>
      <c r="JQ297" s="1008">
        <v>0</v>
      </c>
      <c r="JR297" s="1007">
        <v>0.50421333600000118</v>
      </c>
      <c r="JS297" s="1008">
        <v>0</v>
      </c>
      <c r="JT297" s="1007">
        <v>0</v>
      </c>
      <c r="JU297" s="1008" t="s">
        <v>204</v>
      </c>
      <c r="JV297" s="1007">
        <v>-5.9532613359999997</v>
      </c>
      <c r="JW297" s="1008" t="s">
        <v>197</v>
      </c>
      <c r="JX297" s="1007">
        <v>0</v>
      </c>
      <c r="JY297" s="1008"/>
      <c r="JZ297" s="1007">
        <v>0</v>
      </c>
      <c r="KA297" s="1008"/>
      <c r="KB297" s="1007">
        <v>0</v>
      </c>
      <c r="KC297" s="1008" t="s">
        <v>276</v>
      </c>
      <c r="KD297" s="1007">
        <v>-5.4339999999999993</v>
      </c>
      <c r="KE297" s="1008"/>
      <c r="KF297" s="1007">
        <v>0</v>
      </c>
      <c r="KG297" s="1008" t="s">
        <v>199</v>
      </c>
      <c r="KH297" s="1007">
        <v>9.6139999999999972</v>
      </c>
      <c r="KI297" s="1008" t="s">
        <v>207</v>
      </c>
      <c r="KJ297" s="1007">
        <v>-11.703999999999997</v>
      </c>
      <c r="KK297" s="1008"/>
      <c r="KL297" s="1007">
        <v>0</v>
      </c>
      <c r="KM297" s="1008" t="s">
        <v>276</v>
      </c>
      <c r="KN297" s="1007">
        <v>-8.6108000000000047</v>
      </c>
      <c r="KO297" s="1008"/>
      <c r="KP297" s="1007">
        <v>0</v>
      </c>
      <c r="KQ297" s="1008" t="s">
        <v>324</v>
      </c>
      <c r="KR297" s="1007">
        <v>27.838800000000003</v>
      </c>
      <c r="KS297" s="1008">
        <v>0</v>
      </c>
      <c r="KT297" s="1007">
        <v>0</v>
      </c>
      <c r="KU297" s="1008">
        <v>0</v>
      </c>
      <c r="KV297" s="1007">
        <v>0</v>
      </c>
      <c r="KW297" s="1008">
        <v>0</v>
      </c>
      <c r="KX297" s="1007">
        <v>0</v>
      </c>
      <c r="KY297" s="1008">
        <v>0</v>
      </c>
      <c r="KZ297" s="1007">
        <v>0</v>
      </c>
      <c r="LA297" s="1008">
        <v>0</v>
      </c>
      <c r="LB297" s="1007">
        <v>0</v>
      </c>
      <c r="LC297" s="1008">
        <v>0</v>
      </c>
      <c r="LD297" s="1007">
        <v>0</v>
      </c>
      <c r="LE297" s="1008">
        <v>0</v>
      </c>
      <c r="LF297" s="1007">
        <v>0</v>
      </c>
      <c r="LG297" s="1008">
        <v>0</v>
      </c>
      <c r="LH297" s="1007">
        <v>0</v>
      </c>
      <c r="LI297" s="1008">
        <v>0</v>
      </c>
      <c r="LJ297" s="1007">
        <v>0</v>
      </c>
      <c r="LK297" s="1008">
        <v>0</v>
      </c>
      <c r="LL297" s="1007">
        <v>0</v>
      </c>
      <c r="LM297" s="1008">
        <v>0</v>
      </c>
      <c r="LN297" s="1007">
        <v>0</v>
      </c>
      <c r="LO297" s="1008">
        <v>0</v>
      </c>
      <c r="LP297" s="1007">
        <v>0</v>
      </c>
      <c r="LQ297" s="1008">
        <v>0</v>
      </c>
      <c r="LR297" s="1007">
        <v>0</v>
      </c>
      <c r="LS297" s="1008">
        <v>0</v>
      </c>
      <c r="LT297" s="1007">
        <v>0</v>
      </c>
      <c r="LU297" s="1008">
        <v>0</v>
      </c>
      <c r="LV297" s="1007">
        <v>0</v>
      </c>
      <c r="LW297" s="1008">
        <v>0</v>
      </c>
      <c r="LX297" s="1007">
        <v>0</v>
      </c>
      <c r="LY297" s="1009">
        <v>0</v>
      </c>
      <c r="LZ297" s="1010">
        <v>0</v>
      </c>
      <c r="MA297" s="1011">
        <v>0</v>
      </c>
      <c r="MB297" s="1012">
        <v>0</v>
      </c>
      <c r="MC297" s="995"/>
      <c r="MD297" s="996"/>
      <c r="ME297" s="997" t="s">
        <v>202</v>
      </c>
      <c r="MF297" s="997"/>
      <c r="MG297" s="998"/>
      <c r="NR297" s="1000"/>
      <c r="NS297" s="1000"/>
      <c r="NT297" s="1001"/>
      <c r="NU297" s="1000"/>
      <c r="NV297" s="1001"/>
      <c r="NX297" s="1002"/>
      <c r="NZ297" s="1001"/>
      <c r="OA297" s="1001"/>
      <c r="OC297" s="1003"/>
      <c r="OD297" s="1003"/>
      <c r="OE297" s="1001"/>
      <c r="OF297" s="1003"/>
      <c r="OG297" s="1003"/>
      <c r="QX297" s="1000">
        <f>CN297-CA297</f>
        <v>82</v>
      </c>
      <c r="ASU297" s="999" t="s">
        <v>225</v>
      </c>
    </row>
    <row r="298" spans="1:466 1191:1191" ht="21" customHeight="1" x14ac:dyDescent="0.25">
      <c r="A298" s="982">
        <f t="shared" si="215"/>
        <v>1289</v>
      </c>
      <c r="B298" s="124">
        <f>SUBTOTAL(103,$J$29:J298)</f>
        <v>270</v>
      </c>
      <c r="C298" s="126">
        <v>45068</v>
      </c>
      <c r="D298" s="124" t="s">
        <v>176</v>
      </c>
      <c r="E298" s="127" t="s">
        <v>177</v>
      </c>
      <c r="F298" s="128" t="s">
        <v>177</v>
      </c>
      <c r="G298" s="127" t="s">
        <v>178</v>
      </c>
      <c r="H298" s="127" t="s">
        <v>179</v>
      </c>
      <c r="I298" s="127" t="s">
        <v>1299</v>
      </c>
      <c r="J298" s="152">
        <v>1289</v>
      </c>
      <c r="K298" s="127" t="s">
        <v>1299</v>
      </c>
      <c r="L298" s="130">
        <v>43318</v>
      </c>
      <c r="M298" s="127" t="s">
        <v>230</v>
      </c>
      <c r="N298" s="127" t="s">
        <v>184</v>
      </c>
      <c r="O298" s="127" t="s">
        <v>185</v>
      </c>
      <c r="P298" s="127" t="s">
        <v>186</v>
      </c>
      <c r="Q298" s="85">
        <f t="shared" si="213"/>
        <v>-4</v>
      </c>
      <c r="R298" s="130">
        <v>43252</v>
      </c>
      <c r="S298" s="128" t="s">
        <v>747</v>
      </c>
      <c r="T298" s="131" t="s">
        <v>1294</v>
      </c>
      <c r="U298" s="132">
        <v>203</v>
      </c>
      <c r="V298" s="121">
        <v>218.2</v>
      </c>
      <c r="W298" s="116">
        <v>0.98</v>
      </c>
      <c r="X298" s="116">
        <v>1.66</v>
      </c>
      <c r="Y298" s="116">
        <f t="shared" si="191"/>
        <v>0.98080354989630048</v>
      </c>
      <c r="Z298" s="133">
        <v>1.454</v>
      </c>
      <c r="AA298" s="133">
        <v>0.83599999999999997</v>
      </c>
      <c r="AB298" s="133">
        <v>0.72</v>
      </c>
      <c r="AC298" s="121">
        <v>34.299999999999997</v>
      </c>
      <c r="AD298" s="134">
        <v>1.17</v>
      </c>
      <c r="AE298" s="124">
        <v>177.8</v>
      </c>
      <c r="AF298" s="128">
        <v>9.19</v>
      </c>
      <c r="AG298" s="128">
        <v>2098.2600000000002</v>
      </c>
      <c r="AH298" s="138">
        <v>3008.21</v>
      </c>
      <c r="AI298" s="138">
        <v>3008.21</v>
      </c>
      <c r="AJ298" s="135">
        <v>43244</v>
      </c>
      <c r="AK298" s="128" t="s">
        <v>1018</v>
      </c>
      <c r="AL298" s="131"/>
      <c r="AM298" s="124" t="s">
        <v>187</v>
      </c>
      <c r="AN298" s="136" t="s">
        <v>1300</v>
      </c>
      <c r="AO298" s="137">
        <v>9.81</v>
      </c>
      <c r="AP298" s="128">
        <v>2210.09</v>
      </c>
      <c r="AQ298" s="128">
        <v>295.69</v>
      </c>
      <c r="AR298" s="128" t="s">
        <v>1301</v>
      </c>
      <c r="AS298" s="128">
        <v>114</v>
      </c>
      <c r="AT298" s="122">
        <v>7.37</v>
      </c>
      <c r="AU298" s="124" t="s">
        <v>189</v>
      </c>
      <c r="AV298" s="115">
        <f>VLOOKUP(J298,'[63]ТР нефть'!$J$28:$BP$638,39,0)</f>
        <v>549.99999140600005</v>
      </c>
      <c r="AW298" s="115" t="str">
        <f>VLOOKUP(J298,'[63]ТР нефть'!$J$28:$BP$638,40,0)</f>
        <v>ГП</v>
      </c>
      <c r="AX298" s="115">
        <f>VLOOKUP(J298,'[63]ТР нефть'!$J$28:$BP$638,41,0)</f>
        <v>1005.000014063</v>
      </c>
      <c r="AY298" s="115" t="str">
        <f>VLOOKUP(J298,'[63]ТР нефть'!$J$28:$BP$638,42,0)</f>
        <v>гк 76 1/8</v>
      </c>
      <c r="AZ298" s="115">
        <f>VLOOKUP(J298,'[63]ТР нефть'!$J$28:$BP$638,43,0)</f>
        <v>1374.9999785160001</v>
      </c>
      <c r="BA298" s="115" t="str">
        <f>VLOOKUP(J298,'[63]ТР нефть'!$J$28:$BP$638,44,0)</f>
        <v>гк 77 1/8</v>
      </c>
      <c r="BB298" s="115">
        <f>VLOOKUP(J298,'[63]ТР нефть'!$J$28:$BP$638,45,0)</f>
        <v>1660.0000335939999</v>
      </c>
      <c r="BC298" s="115" t="str">
        <f>VLOOKUP(J298,'[63]ТР нефть'!$J$28:$BP$638,46,0)</f>
        <v>гк 77 5/32</v>
      </c>
      <c r="BD298" s="115">
        <f>VLOOKUP(J298,'[63]ТР нефть'!$J$28:$BP$638,47,0)</f>
        <v>1949.999969531</v>
      </c>
      <c r="BE298" s="115" t="str">
        <f>VLOOKUP(J298,'[63]ТР нефть'!$J$28:$BP$638,48,0)</f>
        <v>ЦКсОК 5/16</v>
      </c>
      <c r="BF298" s="115" t="str">
        <f>VLOOKUP(J298,'[63]ТР нефть'!$J$28:$BP$638,49,0)</f>
        <v>-</v>
      </c>
      <c r="BG298" s="115" t="str">
        <f>VLOOKUP(J298,'[63]ТР нефть'!$J$28:$BP$638,50,0)</f>
        <v>-</v>
      </c>
      <c r="BH298" s="115">
        <f>VLOOKUP(J298,'[63]ТР нефть'!$J$28:$BP$638,51,0)</f>
        <v>1960</v>
      </c>
      <c r="BI298" s="115" t="str">
        <f>VLOOKUP(J298,'[63]ТР нефть'!$J$28:$BP$638,52,0)</f>
        <v>закрыт</v>
      </c>
      <c r="BJ298" s="115" t="str">
        <f>IF(IFERROR(VLOOKUP(J298,'[63]ТР нефть'!$J$28:$BP$638,53,0),"-")=0,"-",IFERROR(VLOOKUP(J298,'[63]ТР нефть'!$J$28:$BP$638,53,0),"-"))</f>
        <v>-</v>
      </c>
      <c r="BK298" s="138" t="str">
        <f>IF(IFERROR(VLOOKUP(J298,'[63]ТР нефть'!$J$28:$BP$638,54,0),"-")=0,"-",IFERROR(VLOOKUP(J298,'[63]ТР нефть'!$J$28:$BP$638,54,0),"-"))</f>
        <v>-</v>
      </c>
      <c r="BL298" s="138" t="str">
        <f>IF(IFERROR(VLOOKUP(J298,'[63]ТР нефть'!$J$28:$BP$638,55,0),"-")=0,"-",IFERROR(VLOOKUP(J298,'[63]ТР нефть'!$J$28:$BP$638,55,0),"-"))</f>
        <v>-</v>
      </c>
      <c r="BM298" s="138" t="str">
        <f>IF(IFERROR(VLOOKUP(J298,'[63]ТР нефть'!$J$28:$BP$638,56,0),"-")=0,"-",IFERROR(VLOOKUP(J298,'[63]ТР нефть'!$J$28:$BP$638,56,0),"-"))</f>
        <v>-</v>
      </c>
      <c r="BN298" s="138" t="str">
        <f>IF(IFERROR(VLOOKUP(J298,'[63]ТР нефть'!$J$28:$BP$638,57,0),"-")=0,"-",IFERROR(VLOOKUP(J298,'[63]ТР нефть'!$J$28:$BP$638,57,0),"-"))</f>
        <v>-</v>
      </c>
      <c r="BO298" s="115" t="str">
        <f>IF(IFERROR(VLOOKUP(J298,'[63]ТР нефть'!$J$28:$BP$638,58,0),"-")=0,"-",IFERROR(VLOOKUP(J298,'[63]ТР нефть'!$J$28:$BP$638,58,0),"-"))</f>
        <v>-</v>
      </c>
      <c r="BP298" s="115" t="str">
        <f>IF(IFERROR(VLOOKUP(J298,'[63]ТР нефть'!$J$28:$BP$638,59,0),"-")=0,"-",IFERROR(VLOOKUP(J298,'[63]ТР нефть'!$J$28:$BP$638,59,0),"-"))</f>
        <v>-</v>
      </c>
      <c r="BQ298" s="138">
        <v>1982</v>
      </c>
      <c r="BR298" s="128">
        <v>1809.47</v>
      </c>
      <c r="BS298" s="115">
        <f t="shared" si="211"/>
        <v>172.52999999999997</v>
      </c>
      <c r="BT298" s="128">
        <v>73</v>
      </c>
      <c r="BU298" s="128">
        <v>5.5</v>
      </c>
      <c r="BV298" s="127">
        <v>18</v>
      </c>
      <c r="BW298" s="127" t="s">
        <v>194</v>
      </c>
      <c r="BX298" s="127" t="s">
        <v>195</v>
      </c>
      <c r="BY298" s="139">
        <v>24</v>
      </c>
      <c r="BZ298" s="139">
        <v>0</v>
      </c>
      <c r="CA298" s="138">
        <v>25</v>
      </c>
      <c r="CB298" s="138">
        <v>43</v>
      </c>
      <c r="CC298" s="138">
        <v>24</v>
      </c>
      <c r="CD298" s="135">
        <v>45017</v>
      </c>
      <c r="CE298" s="138">
        <v>130</v>
      </c>
      <c r="CF298" s="138">
        <v>71</v>
      </c>
      <c r="CG298" s="138" t="str">
        <f t="shared" si="212"/>
        <v>В работе</v>
      </c>
      <c r="CH298" s="138" t="s">
        <v>196</v>
      </c>
      <c r="CI298" s="127"/>
      <c r="CJ298" s="138"/>
      <c r="CK298" s="138">
        <f t="shared" si="207"/>
        <v>26</v>
      </c>
      <c r="CL298" s="99"/>
      <c r="CM298" s="99"/>
      <c r="CN298" s="140">
        <v>51</v>
      </c>
      <c r="CO298" s="141">
        <f t="shared" si="216"/>
        <v>9.7532943200000002</v>
      </c>
      <c r="CP298" s="142">
        <v>11.69</v>
      </c>
      <c r="CQ298" s="143">
        <v>0.2</v>
      </c>
      <c r="CR298" s="138">
        <v>13</v>
      </c>
      <c r="CS298" s="139">
        <v>9.6</v>
      </c>
      <c r="CT298" s="138"/>
      <c r="CU298" s="138">
        <f t="shared" si="235"/>
        <v>3.4000000000000004</v>
      </c>
      <c r="CV298" s="115">
        <f t="shared" si="236"/>
        <v>348.60016405205749</v>
      </c>
      <c r="CW298" s="115">
        <f t="shared" si="217"/>
        <v>981.5581220092206</v>
      </c>
      <c r="CX298" s="133">
        <f t="shared" si="237"/>
        <v>0.14797468354430379</v>
      </c>
      <c r="CY298" s="116"/>
      <c r="CZ298" s="131"/>
      <c r="DA298" s="145" t="str">
        <f t="shared" si="218"/>
        <v>Газлифт</v>
      </c>
      <c r="DB298" s="146">
        <f t="shared" si="219"/>
        <v>9.6751115999999993</v>
      </c>
      <c r="DC298" s="142">
        <f t="shared" si="234"/>
        <v>11.69</v>
      </c>
      <c r="DD298" s="119">
        <f t="shared" si="204"/>
        <v>1</v>
      </c>
      <c r="DE298" s="115">
        <f t="shared" si="220"/>
        <v>3.4000000000000004</v>
      </c>
      <c r="DF298" s="121">
        <f t="shared" si="221"/>
        <v>9.6</v>
      </c>
      <c r="DG298" s="115">
        <f t="shared" si="222"/>
        <v>348.60016405205749</v>
      </c>
      <c r="DH298" s="115">
        <f t="shared" si="223"/>
        <v>51</v>
      </c>
      <c r="DI298" s="147"/>
      <c r="DJ298" s="111" t="s">
        <v>197</v>
      </c>
      <c r="DK298" s="112">
        <v>43318</v>
      </c>
      <c r="DL298" s="113">
        <f t="shared" ca="1" si="192"/>
        <v>1786</v>
      </c>
      <c r="DM298" s="114"/>
      <c r="DN298" s="114"/>
      <c r="DO298" s="114"/>
      <c r="DP298" s="114"/>
      <c r="DQ298" s="112">
        <v>43318</v>
      </c>
      <c r="DR298" s="114" t="s">
        <v>324</v>
      </c>
      <c r="DS298" s="114"/>
      <c r="DT298" s="115">
        <v>54</v>
      </c>
      <c r="DU298" s="116">
        <f t="shared" si="193"/>
        <v>0.15381578947368421</v>
      </c>
      <c r="DV298" s="117">
        <f t="shared" si="194"/>
        <v>9.7532943200000002</v>
      </c>
      <c r="DW298" s="118">
        <f t="shared" si="195"/>
        <v>11.69</v>
      </c>
      <c r="DX298" s="119">
        <f t="shared" si="224"/>
        <v>0.2</v>
      </c>
      <c r="DY298" s="115">
        <f t="shared" si="196"/>
        <v>3.4000000000000004</v>
      </c>
      <c r="DZ298" s="117">
        <f t="shared" si="197"/>
        <v>0</v>
      </c>
      <c r="EA298" s="120">
        <f t="shared" si="197"/>
        <v>0</v>
      </c>
      <c r="EB298" s="119">
        <f t="shared" si="197"/>
        <v>0</v>
      </c>
      <c r="EC298" s="121">
        <f t="shared" si="198"/>
        <v>0</v>
      </c>
      <c r="ED298" s="122"/>
      <c r="EE298" s="145">
        <v>18</v>
      </c>
      <c r="EF298" s="115">
        <v>27</v>
      </c>
      <c r="EG298" s="115">
        <v>45</v>
      </c>
      <c r="EH298" s="115">
        <v>26</v>
      </c>
      <c r="EI298" s="128" t="s">
        <v>195</v>
      </c>
      <c r="EJ298" s="121">
        <v>24</v>
      </c>
      <c r="EK298" s="121">
        <v>0</v>
      </c>
      <c r="EL298" s="149">
        <v>7.3126592000000006</v>
      </c>
      <c r="EM298" s="142">
        <v>8.8000000000000007</v>
      </c>
      <c r="EN298" s="119">
        <v>1</v>
      </c>
      <c r="EO298" s="115">
        <v>11</v>
      </c>
      <c r="EP298" s="115">
        <v>191.44882343211077</v>
      </c>
      <c r="EQ298" s="115">
        <v>70</v>
      </c>
      <c r="ER298" s="115">
        <v>9.6</v>
      </c>
      <c r="ES298" s="115">
        <v>56</v>
      </c>
      <c r="ET298" s="150">
        <v>0.11891891891891893</v>
      </c>
      <c r="EU298" s="145">
        <f t="shared" si="225"/>
        <v>18</v>
      </c>
      <c r="EV298" s="115">
        <f t="shared" si="226"/>
        <v>25</v>
      </c>
      <c r="EW298" s="115">
        <f t="shared" si="226"/>
        <v>43</v>
      </c>
      <c r="EX298" s="115">
        <f t="shared" si="226"/>
        <v>24</v>
      </c>
      <c r="EY298" s="115" t="str">
        <f t="shared" si="206"/>
        <v>Постоянный</v>
      </c>
      <c r="EZ298" s="115">
        <f t="shared" si="206"/>
        <v>24</v>
      </c>
      <c r="FA298" s="115">
        <f t="shared" si="206"/>
        <v>0</v>
      </c>
      <c r="FB298" s="149">
        <f t="shared" ref="FB298:FE361" si="238">CO298</f>
        <v>9.7532943200000002</v>
      </c>
      <c r="FC298" s="142">
        <f t="shared" si="238"/>
        <v>11.69</v>
      </c>
      <c r="FD298" s="119">
        <v>1</v>
      </c>
      <c r="FE298" s="121">
        <f t="shared" si="208"/>
        <v>13</v>
      </c>
      <c r="FF298" s="121">
        <f t="shared" si="199"/>
        <v>348.60016405205749</v>
      </c>
      <c r="FG298" s="121">
        <f t="shared" si="227"/>
        <v>71</v>
      </c>
      <c r="FH298" s="121">
        <f t="shared" si="200"/>
        <v>9.6</v>
      </c>
      <c r="FI298" s="121">
        <f t="shared" si="205"/>
        <v>51</v>
      </c>
      <c r="FJ298" s="144">
        <f t="shared" si="228"/>
        <v>0.14797468354430379</v>
      </c>
      <c r="FK298" s="132">
        <f t="shared" si="229"/>
        <v>0</v>
      </c>
      <c r="FL298" s="115">
        <f t="shared" si="229"/>
        <v>-2</v>
      </c>
      <c r="FM298" s="115">
        <f t="shared" si="229"/>
        <v>-2</v>
      </c>
      <c r="FN298" s="115">
        <f t="shared" si="229"/>
        <v>-2</v>
      </c>
      <c r="FO298" s="115">
        <f t="shared" si="232"/>
        <v>0</v>
      </c>
      <c r="FP298" s="115">
        <f t="shared" si="232"/>
        <v>0</v>
      </c>
      <c r="FQ298" s="149">
        <f t="shared" si="232"/>
        <v>2.4406351199999996</v>
      </c>
      <c r="FR298" s="142">
        <f t="shared" si="232"/>
        <v>2.8899999999999988</v>
      </c>
      <c r="FS298" s="119">
        <f t="shared" si="232"/>
        <v>0</v>
      </c>
      <c r="FT298" s="121">
        <f t="shared" si="232"/>
        <v>2</v>
      </c>
      <c r="FU298" s="121">
        <f t="shared" si="230"/>
        <v>1</v>
      </c>
      <c r="FV298" s="121">
        <f t="shared" si="230"/>
        <v>0</v>
      </c>
      <c r="FW298" s="121">
        <f t="shared" si="231"/>
        <v>157.15134061994672</v>
      </c>
      <c r="FX298" s="121">
        <f t="shared" si="233"/>
        <v>-5</v>
      </c>
      <c r="FY298" s="144">
        <f t="shared" si="214"/>
        <v>2.9055764625384867E-2</v>
      </c>
      <c r="FZ298" s="145" t="s">
        <v>199</v>
      </c>
      <c r="GA298" s="125" t="s">
        <v>200</v>
      </c>
      <c r="GB298" s="145" t="s">
        <v>199</v>
      </c>
      <c r="GC298" s="125" t="s">
        <v>415</v>
      </c>
      <c r="GD298" s="997" t="s">
        <v>202</v>
      </c>
      <c r="GE298" s="1004" t="s">
        <v>199</v>
      </c>
      <c r="GF298" s="1004">
        <v>-2.6616567999999994</v>
      </c>
      <c r="GG298" s="1004"/>
      <c r="GH298" s="1004">
        <v>0</v>
      </c>
      <c r="GI298" s="145"/>
      <c r="GJ298" s="996">
        <v>0.24327599999999983</v>
      </c>
      <c r="GK298" s="145"/>
      <c r="GL298" s="996">
        <v>0</v>
      </c>
      <c r="GM298" s="1005"/>
      <c r="GN298" s="996">
        <v>-0.10031999999999996</v>
      </c>
      <c r="GO298" s="1006" t="s">
        <v>199</v>
      </c>
      <c r="GP298" s="996">
        <v>-2.2485223199999993</v>
      </c>
      <c r="GQ298" s="1006"/>
      <c r="GR298" s="996">
        <v>0.32739431999999979</v>
      </c>
      <c r="GS298" s="1006"/>
      <c r="GT298" s="996">
        <v>-0.20231200000000094</v>
      </c>
      <c r="GU298" s="1006"/>
      <c r="GV298" s="996">
        <v>0.25080000000000169</v>
      </c>
      <c r="GW298" s="1006"/>
      <c r="GX298" s="1035">
        <v>-0.8360000000000003</v>
      </c>
      <c r="GY298" s="1006"/>
      <c r="GZ298" s="996">
        <v>-0.66880000000000095</v>
      </c>
      <c r="HA298" s="1006"/>
      <c r="HB298" s="996">
        <v>-0.41799999999999926</v>
      </c>
      <c r="HC298" s="1006"/>
      <c r="HD298" s="996">
        <v>0</v>
      </c>
      <c r="HE298" s="1006"/>
      <c r="HF298" s="996">
        <v>0.82656992000000074</v>
      </c>
      <c r="HG298" s="1006" t="s">
        <v>204</v>
      </c>
      <c r="HH298" s="996">
        <v>5.8029518799999993</v>
      </c>
      <c r="HI298" s="1006" t="s">
        <v>204</v>
      </c>
      <c r="HJ298" s="996">
        <v>-5.9847308840000002</v>
      </c>
      <c r="HK298" s="1006"/>
      <c r="HL298" s="996">
        <v>3.0322555999999778E-2</v>
      </c>
      <c r="HM298" s="1006"/>
      <c r="HN298" s="996">
        <v>0</v>
      </c>
      <c r="HO298" s="1006"/>
      <c r="HP298" s="996">
        <v>0</v>
      </c>
      <c r="HQ298" s="1006"/>
      <c r="HR298" s="996">
        <v>0</v>
      </c>
      <c r="HS298" s="1006" t="s">
        <v>643</v>
      </c>
      <c r="HT298" s="996">
        <v>0</v>
      </c>
      <c r="HU298" s="1006"/>
      <c r="HV298" s="996">
        <v>-0.64256799200000003</v>
      </c>
      <c r="HW298" s="1006"/>
      <c r="HX298" s="996">
        <v>0</v>
      </c>
      <c r="HY298" s="1006"/>
      <c r="HZ298" s="996">
        <v>0</v>
      </c>
      <c r="IA298" s="1006" t="s">
        <v>223</v>
      </c>
      <c r="IB298" s="996">
        <v>-2.0389454799999989</v>
      </c>
      <c r="IC298" s="1006"/>
      <c r="ID298" s="996">
        <v>3.1266400000001582E-2</v>
      </c>
      <c r="IE298" s="1006"/>
      <c r="IF298" s="996">
        <v>-8.3432800000002416E-2</v>
      </c>
      <c r="IG298" s="1006" t="s">
        <v>199</v>
      </c>
      <c r="IH298" s="996">
        <v>1.1263428000000015</v>
      </c>
      <c r="II298" s="1006"/>
      <c r="IJ298" s="996">
        <v>0</v>
      </c>
      <c r="IK298" s="1006" t="s">
        <v>199</v>
      </c>
      <c r="IL298" s="996">
        <v>-1.9606708000000008</v>
      </c>
      <c r="IM298" s="1006" t="s">
        <v>199</v>
      </c>
      <c r="IN298" s="996">
        <v>2.0023872000000011</v>
      </c>
      <c r="IO298" s="1006"/>
      <c r="IP298" s="996">
        <v>0</v>
      </c>
      <c r="IQ298" s="1006" t="s">
        <v>199</v>
      </c>
      <c r="IR298" s="996">
        <v>-3.0035808000000017</v>
      </c>
      <c r="IS298" s="1006" t="s">
        <v>223</v>
      </c>
      <c r="IT298" s="996">
        <v>-4.17164</v>
      </c>
      <c r="IU298" s="1006"/>
      <c r="IV298" s="996">
        <v>0</v>
      </c>
      <c r="IW298" s="1006"/>
      <c r="IX298" s="996">
        <v>0</v>
      </c>
      <c r="IY298" s="1006"/>
      <c r="IZ298" s="996">
        <v>0</v>
      </c>
      <c r="JA298" s="1006"/>
      <c r="JB298" s="996">
        <v>-0.58402960000000093</v>
      </c>
      <c r="JC298" s="1006" t="s">
        <v>199</v>
      </c>
      <c r="JD298" s="996">
        <v>-2.6830583999999966</v>
      </c>
      <c r="JE298" s="1006"/>
      <c r="JF298" s="996">
        <v>-0.83198720000000037</v>
      </c>
      <c r="JG298" s="1006"/>
      <c r="JH298" s="996">
        <v>0</v>
      </c>
      <c r="JI298" s="1006"/>
      <c r="JJ298" s="996">
        <v>0</v>
      </c>
      <c r="JK298" s="1007"/>
      <c r="JL298" s="1007">
        <v>0</v>
      </c>
      <c r="JM298" s="1007"/>
      <c r="JN298" s="1007">
        <v>0</v>
      </c>
      <c r="JO298" s="1008" t="s">
        <v>199</v>
      </c>
      <c r="JP298" s="1007">
        <v>2.8958530039999957</v>
      </c>
      <c r="JQ298" s="1008" t="s">
        <v>199</v>
      </c>
      <c r="JR298" s="1007">
        <v>-6.1974678039999951</v>
      </c>
      <c r="JS298" s="1008" t="s">
        <v>223</v>
      </c>
      <c r="JT298" s="1007">
        <v>4.0132179999999984</v>
      </c>
      <c r="JU298" s="1008"/>
      <c r="JV298" s="1007">
        <v>0</v>
      </c>
      <c r="JW298" s="1008" t="s">
        <v>197</v>
      </c>
      <c r="JX298" s="1007">
        <v>0</v>
      </c>
      <c r="JY298" s="1008" t="s">
        <v>240</v>
      </c>
      <c r="JZ298" s="1007">
        <v>-3.7787200000000034</v>
      </c>
      <c r="KA298" s="1008" t="s">
        <v>240</v>
      </c>
      <c r="KB298" s="1007">
        <v>-9.5972799999999943</v>
      </c>
      <c r="KC298" s="1008"/>
      <c r="KD298" s="1007">
        <v>0</v>
      </c>
      <c r="KE298" s="1008"/>
      <c r="KF298" s="1007">
        <v>0</v>
      </c>
      <c r="KG298" s="1008" t="s">
        <v>207</v>
      </c>
      <c r="KH298" s="1007">
        <v>10.031999999999996</v>
      </c>
      <c r="KI298" s="1008" t="s">
        <v>207</v>
      </c>
      <c r="KJ298" s="1007">
        <v>-16.803600000000003</v>
      </c>
      <c r="KK298" s="1008"/>
      <c r="KL298" s="1007">
        <v>0</v>
      </c>
      <c r="KM298" s="1008" t="s">
        <v>203</v>
      </c>
      <c r="KN298" s="1007">
        <v>5.0996000000000024</v>
      </c>
      <c r="KO298" s="1008" t="s">
        <v>324</v>
      </c>
      <c r="KP298" s="1007">
        <v>40.128</v>
      </c>
      <c r="KQ298" s="1008">
        <v>0</v>
      </c>
      <c r="KR298" s="1007">
        <v>0</v>
      </c>
      <c r="KS298" s="1008">
        <v>0</v>
      </c>
      <c r="KT298" s="1007">
        <v>0</v>
      </c>
      <c r="KU298" s="1008">
        <v>0</v>
      </c>
      <c r="KV298" s="1007">
        <v>0</v>
      </c>
      <c r="KW298" s="1008">
        <v>0</v>
      </c>
      <c r="KX298" s="1007">
        <v>0</v>
      </c>
      <c r="KY298" s="1008">
        <v>0</v>
      </c>
      <c r="KZ298" s="1007">
        <v>0</v>
      </c>
      <c r="LA298" s="1008">
        <v>0</v>
      </c>
      <c r="LB298" s="1007">
        <v>0</v>
      </c>
      <c r="LC298" s="1008">
        <v>0</v>
      </c>
      <c r="LD298" s="1007">
        <v>0</v>
      </c>
      <c r="LE298" s="1008">
        <v>0</v>
      </c>
      <c r="LF298" s="1007">
        <v>0</v>
      </c>
      <c r="LG298" s="1008">
        <v>0</v>
      </c>
      <c r="LH298" s="1007">
        <v>0</v>
      </c>
      <c r="LI298" s="1008">
        <v>0</v>
      </c>
      <c r="LJ298" s="1007">
        <v>0</v>
      </c>
      <c r="LK298" s="1008">
        <v>0</v>
      </c>
      <c r="LL298" s="1007">
        <v>0</v>
      </c>
      <c r="LM298" s="1008">
        <v>0</v>
      </c>
      <c r="LN298" s="1007">
        <v>0</v>
      </c>
      <c r="LO298" s="1008">
        <v>0</v>
      </c>
      <c r="LP298" s="1007">
        <v>0</v>
      </c>
      <c r="LQ298" s="1008">
        <v>0</v>
      </c>
      <c r="LR298" s="1007">
        <v>0</v>
      </c>
      <c r="LS298" s="1008">
        <v>0</v>
      </c>
      <c r="LT298" s="1007">
        <v>0</v>
      </c>
      <c r="LU298" s="1008">
        <v>0</v>
      </c>
      <c r="LV298" s="1007">
        <v>0</v>
      </c>
      <c r="LW298" s="1008">
        <v>0</v>
      </c>
      <c r="LX298" s="1007">
        <v>0</v>
      </c>
      <c r="LY298" s="1009">
        <v>0</v>
      </c>
      <c r="LZ298" s="1010">
        <v>0</v>
      </c>
      <c r="MA298" s="1011">
        <v>0</v>
      </c>
      <c r="MB298" s="1012">
        <v>0</v>
      </c>
      <c r="MC298" s="995"/>
      <c r="MD298" s="996"/>
      <c r="ME298" s="997" t="s">
        <v>202</v>
      </c>
      <c r="MF298" s="997"/>
      <c r="MG298" s="998"/>
      <c r="NR298" s="1000"/>
      <c r="NS298" s="1000"/>
      <c r="NT298" s="1001"/>
      <c r="NU298" s="1000"/>
      <c r="NV298" s="1001"/>
      <c r="NX298" s="1002"/>
      <c r="NZ298" s="1001"/>
      <c r="OA298" s="1001"/>
      <c r="OC298" s="1003"/>
      <c r="OD298" s="1003"/>
      <c r="OE298" s="1001"/>
      <c r="OF298" s="1003"/>
      <c r="OG298" s="1003"/>
      <c r="QX298" s="1000">
        <f>CN298-CA298</f>
        <v>26</v>
      </c>
      <c r="ASU298" s="999" t="s">
        <v>208</v>
      </c>
    </row>
    <row r="299" spans="1:466 1191:1191" ht="21" customHeight="1" x14ac:dyDescent="0.25">
      <c r="A299" s="982">
        <f t="shared" si="215"/>
        <v>1292</v>
      </c>
      <c r="B299" s="124">
        <f>SUBTOTAL(103,$J$29:J299)</f>
        <v>271</v>
      </c>
      <c r="C299" s="126">
        <v>45068</v>
      </c>
      <c r="D299" s="124" t="s">
        <v>176</v>
      </c>
      <c r="E299" s="127" t="s">
        <v>177</v>
      </c>
      <c r="F299" s="128" t="s">
        <v>177</v>
      </c>
      <c r="G299" s="127" t="s">
        <v>178</v>
      </c>
      <c r="H299" s="127" t="s">
        <v>179</v>
      </c>
      <c r="I299" s="127" t="s">
        <v>1289</v>
      </c>
      <c r="J299" s="152">
        <v>1292</v>
      </c>
      <c r="K299" s="127" t="s">
        <v>1289</v>
      </c>
      <c r="L299" s="130">
        <v>43450</v>
      </c>
      <c r="M299" s="127" t="s">
        <v>230</v>
      </c>
      <c r="N299" s="127" t="s">
        <v>184</v>
      </c>
      <c r="O299" s="127" t="s">
        <v>185</v>
      </c>
      <c r="P299" s="127" t="s">
        <v>186</v>
      </c>
      <c r="Q299" s="85" t="str">
        <f t="shared" si="213"/>
        <v/>
      </c>
      <c r="R299" s="130"/>
      <c r="S299" s="128"/>
      <c r="T299" s="131"/>
      <c r="U299" s="132">
        <v>203</v>
      </c>
      <c r="V299" s="121">
        <v>218.2</v>
      </c>
      <c r="W299" s="116">
        <v>0.98</v>
      </c>
      <c r="X299" s="116">
        <v>1.66</v>
      </c>
      <c r="Y299" s="116">
        <f t="shared" si="191"/>
        <v>0.98</v>
      </c>
      <c r="Z299" s="133">
        <v>1.454</v>
      </c>
      <c r="AA299" s="133">
        <v>0.83599999999999997</v>
      </c>
      <c r="AB299" s="133">
        <v>0.72</v>
      </c>
      <c r="AC299" s="121">
        <v>34.299999999999997</v>
      </c>
      <c r="AD299" s="134">
        <v>1.17</v>
      </c>
      <c r="AE299" s="124">
        <v>177.8</v>
      </c>
      <c r="AF299" s="128">
        <v>9.19</v>
      </c>
      <c r="AG299" s="128">
        <v>2137</v>
      </c>
      <c r="AH299" s="127">
        <v>2920</v>
      </c>
      <c r="AI299" s="127">
        <v>2920</v>
      </c>
      <c r="AJ299" s="135"/>
      <c r="AK299" s="128"/>
      <c r="AL299" s="131"/>
      <c r="AM299" s="124" t="s">
        <v>187</v>
      </c>
      <c r="AN299" s="136" t="s">
        <v>1302</v>
      </c>
      <c r="AO299" s="137">
        <v>49.76</v>
      </c>
      <c r="AP299" s="128">
        <v>2230.5100000000002</v>
      </c>
      <c r="AQ299" s="128">
        <v>387.61889000000019</v>
      </c>
      <c r="AR299" s="128" t="s">
        <v>1303</v>
      </c>
      <c r="AS299" s="128">
        <v>114</v>
      </c>
      <c r="AT299" s="122">
        <v>7.37</v>
      </c>
      <c r="AU299" s="124" t="s">
        <v>189</v>
      </c>
      <c r="AV299" s="115">
        <f>VLOOKUP(J299,'[63]ТР нефть'!$J$28:$BP$638,39,0)</f>
        <v>549.99999140600005</v>
      </c>
      <c r="AW299" s="115" t="str">
        <f>VLOOKUP(J299,'[63]ТР нефть'!$J$28:$BP$638,40,0)</f>
        <v>ГП</v>
      </c>
      <c r="AX299" s="115">
        <f>VLOOKUP(J299,'[63]ТР нефть'!$J$28:$BP$638,41,0)</f>
        <v>1009.999969336</v>
      </c>
      <c r="AY299" s="115" t="str">
        <f>VLOOKUP(J299,'[63]ТР нефть'!$J$28:$BP$638,42,0)</f>
        <v>ГК74 1/8</v>
      </c>
      <c r="AZ299" s="115">
        <f>VLOOKUP(J299,'[63]ТР нефть'!$J$28:$BP$638,43,0)</f>
        <v>1360.0000382809999</v>
      </c>
      <c r="BA299" s="115" t="str">
        <f>VLOOKUP(J299,'[63]ТР нефть'!$J$28:$BP$638,44,0)</f>
        <v>ГК74 1/8</v>
      </c>
      <c r="BB299" s="115">
        <f>VLOOKUP(J299,'[63]ТР нефть'!$J$28:$BP$638,45,0)</f>
        <v>1649.999974219</v>
      </c>
      <c r="BC299" s="115" t="str">
        <f>VLOOKUP(J299,'[63]ТР нефть'!$J$28:$BP$638,46,0)</f>
        <v>ГК74 1/8</v>
      </c>
      <c r="BD299" s="115">
        <f>VLOOKUP(J299,'[63]ТР нефть'!$J$28:$BP$638,47,0)</f>
        <v>1869.9999410160001</v>
      </c>
      <c r="BE299" s="115" t="str">
        <f>VLOOKUP(J299,'[63]ТР нефть'!$J$28:$BP$638,48,0)</f>
        <v>ЦКсОК 5/16</v>
      </c>
      <c r="BF299" s="115" t="str">
        <f>VLOOKUP(J299,'[63]ТР нефть'!$J$28:$BP$638,49,0)</f>
        <v>-</v>
      </c>
      <c r="BG299" s="115" t="str">
        <f>VLOOKUP(J299,'[63]ТР нефть'!$J$28:$BP$638,50,0)</f>
        <v>-</v>
      </c>
      <c r="BH299" s="115" t="str">
        <f>VLOOKUP(J299,'[63]ТР нефть'!$J$28:$BP$638,51,0)</f>
        <v>-</v>
      </c>
      <c r="BI299" s="115" t="str">
        <f>VLOOKUP(J299,'[63]ТР нефть'!$J$28:$BP$638,52,0)</f>
        <v>-</v>
      </c>
      <c r="BJ299" s="115" t="str">
        <f>IF(IFERROR(VLOOKUP(J299,'[63]ТР нефть'!$J$28:$BP$638,53,0),"-")=0,"-",IFERROR(VLOOKUP(J299,'[63]ТР нефть'!$J$28:$BP$638,53,0),"-"))</f>
        <v>-</v>
      </c>
      <c r="BK299" s="138" t="str">
        <f>IF(IFERROR(VLOOKUP(J299,'[63]ТР нефть'!$J$28:$BP$638,54,0),"-")=0,"-",IFERROR(VLOOKUP(J299,'[63]ТР нефть'!$J$28:$BP$638,54,0),"-"))</f>
        <v>-</v>
      </c>
      <c r="BL299" s="138" t="str">
        <f>IF(IFERROR(VLOOKUP(J299,'[63]ТР нефть'!$J$28:$BP$638,55,0),"-")=0,"-",IFERROR(VLOOKUP(J299,'[63]ТР нефть'!$J$28:$BP$638,55,0),"-"))</f>
        <v>-</v>
      </c>
      <c r="BM299" s="138" t="str">
        <f>IF(IFERROR(VLOOKUP(J299,'[63]ТР нефть'!$J$28:$BP$638,56,0),"-")=0,"-",IFERROR(VLOOKUP(J299,'[63]ТР нефть'!$J$28:$BP$638,56,0),"-"))</f>
        <v>-</v>
      </c>
      <c r="BN299" s="138" t="str">
        <f>IF(IFERROR(VLOOKUP(J299,'[63]ТР нефть'!$J$28:$BP$638,57,0),"-")=0,"-",IFERROR(VLOOKUP(J299,'[63]ТР нефть'!$J$28:$BP$638,57,0),"-"))</f>
        <v>-</v>
      </c>
      <c r="BO299" s="115" t="str">
        <f>IF(IFERROR(VLOOKUP(J299,'[63]ТР нефть'!$J$28:$BP$638,58,0),"-")=0,"-",IFERROR(VLOOKUP(J299,'[63]ТР нефть'!$J$28:$BP$638,58,0),"-"))</f>
        <v>-</v>
      </c>
      <c r="BP299" s="115" t="str">
        <f>IF(IFERROR(VLOOKUP(J299,'[63]ТР нефть'!$J$28:$BP$638,59,0),"-")=0,"-",IFERROR(VLOOKUP(J299,'[63]ТР нефть'!$J$28:$BP$638,59,0),"-"))</f>
        <v>-</v>
      </c>
      <c r="BQ299" s="138">
        <v>2079</v>
      </c>
      <c r="BR299" s="128">
        <v>1812.07</v>
      </c>
      <c r="BS299" s="115">
        <f t="shared" si="211"/>
        <v>266.93000000000006</v>
      </c>
      <c r="BT299" s="128">
        <v>73</v>
      </c>
      <c r="BU299" s="128">
        <v>5.5</v>
      </c>
      <c r="BV299" s="127">
        <v>65</v>
      </c>
      <c r="BW299" s="127" t="s">
        <v>217</v>
      </c>
      <c r="BX299" s="127" t="s">
        <v>195</v>
      </c>
      <c r="BY299" s="139">
        <v>24</v>
      </c>
      <c r="BZ299" s="139">
        <v>0</v>
      </c>
      <c r="CA299" s="138">
        <v>25</v>
      </c>
      <c r="CB299" s="138">
        <v>41</v>
      </c>
      <c r="CC299" s="138">
        <v>24</v>
      </c>
      <c r="CD299" s="135">
        <v>45017</v>
      </c>
      <c r="CE299" s="138">
        <v>119</v>
      </c>
      <c r="CF299" s="138">
        <v>72</v>
      </c>
      <c r="CG299" s="138" t="str">
        <f t="shared" si="212"/>
        <v>В работе</v>
      </c>
      <c r="CH299" s="138" t="s">
        <v>272</v>
      </c>
      <c r="CI299" s="127"/>
      <c r="CJ299" s="138"/>
      <c r="CK299" s="138">
        <f t="shared" si="207"/>
        <v>20</v>
      </c>
      <c r="CL299" s="99"/>
      <c r="CM299" s="99"/>
      <c r="CN299" s="140">
        <v>45</v>
      </c>
      <c r="CO299" s="141">
        <f t="shared" si="216"/>
        <v>9.613999999999999</v>
      </c>
      <c r="CP299" s="142">
        <v>11.5</v>
      </c>
      <c r="CQ299" s="143">
        <v>0</v>
      </c>
      <c r="CR299" s="138">
        <v>23</v>
      </c>
      <c r="CS299" s="139">
        <v>7.2</v>
      </c>
      <c r="CT299" s="138"/>
      <c r="CU299" s="138">
        <f t="shared" si="235"/>
        <v>15.8</v>
      </c>
      <c r="CV299" s="115">
        <f t="shared" si="236"/>
        <v>1643.4366548783028</v>
      </c>
      <c r="CW299" s="115">
        <f t="shared" si="217"/>
        <v>748.90784272935321</v>
      </c>
      <c r="CX299" s="133">
        <f t="shared" si="237"/>
        <v>0.1554054054054054</v>
      </c>
      <c r="CY299" s="116"/>
      <c r="CZ299" s="131"/>
      <c r="DA299" s="145" t="str">
        <f t="shared" si="218"/>
        <v>Газлифт</v>
      </c>
      <c r="DB299" s="146">
        <f t="shared" si="219"/>
        <v>9.613999999999999</v>
      </c>
      <c r="DC299" s="142">
        <f t="shared" si="234"/>
        <v>11.5</v>
      </c>
      <c r="DD299" s="119">
        <f t="shared" si="204"/>
        <v>0</v>
      </c>
      <c r="DE299" s="115">
        <f t="shared" si="220"/>
        <v>15.8</v>
      </c>
      <c r="DF299" s="121">
        <f t="shared" si="221"/>
        <v>7.2</v>
      </c>
      <c r="DG299" s="115">
        <f t="shared" si="222"/>
        <v>1643.4366548783028</v>
      </c>
      <c r="DH299" s="115">
        <f t="shared" si="223"/>
        <v>45</v>
      </c>
      <c r="DI299" s="147"/>
      <c r="DJ299" s="111" t="s">
        <v>197</v>
      </c>
      <c r="DK299" s="112">
        <v>43450</v>
      </c>
      <c r="DL299" s="113">
        <f t="shared" ca="1" si="192"/>
        <v>1654</v>
      </c>
      <c r="DM299" s="114"/>
      <c r="DN299" s="114"/>
      <c r="DO299" s="114"/>
      <c r="DP299" s="114"/>
      <c r="DQ299" s="112">
        <v>43450</v>
      </c>
      <c r="DR299" s="114" t="s">
        <v>324</v>
      </c>
      <c r="DS299" s="114"/>
      <c r="DT299" s="115">
        <v>48</v>
      </c>
      <c r="DU299" s="116">
        <f t="shared" si="193"/>
        <v>0.1619718309859155</v>
      </c>
      <c r="DV299" s="117">
        <f t="shared" si="194"/>
        <v>9.613999999999999</v>
      </c>
      <c r="DW299" s="118">
        <f t="shared" si="195"/>
        <v>11.5</v>
      </c>
      <c r="DX299" s="119">
        <f t="shared" si="224"/>
        <v>0</v>
      </c>
      <c r="DY299" s="115">
        <f t="shared" si="196"/>
        <v>15.800000000000002</v>
      </c>
      <c r="DZ299" s="117">
        <f t="shared" si="197"/>
        <v>0</v>
      </c>
      <c r="EA299" s="120">
        <f t="shared" si="197"/>
        <v>0</v>
      </c>
      <c r="EB299" s="119">
        <f t="shared" si="197"/>
        <v>0</v>
      </c>
      <c r="EC299" s="121">
        <f t="shared" si="198"/>
        <v>0</v>
      </c>
      <c r="ED299" s="122"/>
      <c r="EE299" s="145">
        <v>65</v>
      </c>
      <c r="EF299" s="115">
        <v>27</v>
      </c>
      <c r="EG299" s="115">
        <v>41</v>
      </c>
      <c r="EH299" s="115">
        <v>26</v>
      </c>
      <c r="EI299" s="128" t="s">
        <v>195</v>
      </c>
      <c r="EJ299" s="121">
        <v>24</v>
      </c>
      <c r="EK299" s="121">
        <v>0</v>
      </c>
      <c r="EL299" s="149">
        <v>9.613999999999999</v>
      </c>
      <c r="EM299" s="142">
        <v>11.5</v>
      </c>
      <c r="EN299" s="119">
        <v>0</v>
      </c>
      <c r="EO299" s="115">
        <v>23</v>
      </c>
      <c r="EP299" s="115">
        <v>1872.2696068233827</v>
      </c>
      <c r="EQ299" s="115">
        <v>71</v>
      </c>
      <c r="ER299" s="115">
        <v>5</v>
      </c>
      <c r="ES299" s="115">
        <v>48</v>
      </c>
      <c r="ET299" s="150">
        <v>0.1619718309859155</v>
      </c>
      <c r="EU299" s="145">
        <f t="shared" si="225"/>
        <v>65</v>
      </c>
      <c r="EV299" s="115">
        <f t="shared" si="226"/>
        <v>25</v>
      </c>
      <c r="EW299" s="115">
        <f t="shared" si="226"/>
        <v>41</v>
      </c>
      <c r="EX299" s="115">
        <f t="shared" si="226"/>
        <v>24</v>
      </c>
      <c r="EY299" s="115" t="str">
        <f t="shared" si="206"/>
        <v>Постоянный</v>
      </c>
      <c r="EZ299" s="115">
        <f t="shared" si="206"/>
        <v>24</v>
      </c>
      <c r="FA299" s="115">
        <f t="shared" si="206"/>
        <v>0</v>
      </c>
      <c r="FB299" s="149">
        <f t="shared" si="238"/>
        <v>9.613999999999999</v>
      </c>
      <c r="FC299" s="142">
        <f t="shared" si="238"/>
        <v>11.5</v>
      </c>
      <c r="FD299" s="119">
        <f t="shared" si="238"/>
        <v>0</v>
      </c>
      <c r="FE299" s="121">
        <f t="shared" si="208"/>
        <v>23</v>
      </c>
      <c r="FF299" s="121">
        <f t="shared" si="199"/>
        <v>1643.4366548783028</v>
      </c>
      <c r="FG299" s="121">
        <f t="shared" si="227"/>
        <v>72</v>
      </c>
      <c r="FH299" s="121">
        <f t="shared" si="200"/>
        <v>7.2</v>
      </c>
      <c r="FI299" s="121">
        <f t="shared" si="205"/>
        <v>45</v>
      </c>
      <c r="FJ299" s="144">
        <f t="shared" si="228"/>
        <v>0.1554054054054054</v>
      </c>
      <c r="FK299" s="132">
        <f t="shared" si="229"/>
        <v>0</v>
      </c>
      <c r="FL299" s="115">
        <f t="shared" si="229"/>
        <v>-2</v>
      </c>
      <c r="FM299" s="115">
        <f t="shared" si="229"/>
        <v>0</v>
      </c>
      <c r="FN299" s="115">
        <f t="shared" si="229"/>
        <v>-2</v>
      </c>
      <c r="FO299" s="115">
        <f t="shared" si="232"/>
        <v>0</v>
      </c>
      <c r="FP299" s="115">
        <f t="shared" si="232"/>
        <v>0</v>
      </c>
      <c r="FQ299" s="149">
        <f t="shared" si="232"/>
        <v>0</v>
      </c>
      <c r="FR299" s="142">
        <f t="shared" si="232"/>
        <v>0</v>
      </c>
      <c r="FS299" s="119">
        <f t="shared" si="232"/>
        <v>0</v>
      </c>
      <c r="FT299" s="121">
        <f t="shared" si="232"/>
        <v>0</v>
      </c>
      <c r="FU299" s="121">
        <f t="shared" si="230"/>
        <v>1</v>
      </c>
      <c r="FV299" s="121">
        <f t="shared" si="230"/>
        <v>2.2000000000000002</v>
      </c>
      <c r="FW299" s="121">
        <f t="shared" si="231"/>
        <v>-228.83295194507991</v>
      </c>
      <c r="FX299" s="121">
        <f t="shared" si="233"/>
        <v>-3</v>
      </c>
      <c r="FY299" s="144">
        <f t="shared" si="214"/>
        <v>-6.5664255805100991E-3</v>
      </c>
      <c r="FZ299" s="145"/>
      <c r="GA299" s="125"/>
      <c r="GB299" s="145"/>
      <c r="GC299" s="125"/>
      <c r="GD299" s="997" t="s">
        <v>202</v>
      </c>
      <c r="GE299" s="1004"/>
      <c r="GF299" s="1004">
        <v>0</v>
      </c>
      <c r="GG299" s="1004"/>
      <c r="GH299" s="1004">
        <v>-0.8360000000000003</v>
      </c>
      <c r="GI299" s="145"/>
      <c r="GJ299" s="996">
        <v>0</v>
      </c>
      <c r="GK299" s="145"/>
      <c r="GL299" s="996">
        <v>0.41277499999999989</v>
      </c>
      <c r="GM299" s="1005"/>
      <c r="GN299" s="996">
        <v>0</v>
      </c>
      <c r="GO299" s="1006"/>
      <c r="GP299" s="996">
        <v>-0.83077500000000093</v>
      </c>
      <c r="GQ299" s="1006"/>
      <c r="GR299" s="996">
        <v>-0.2324079999999995</v>
      </c>
      <c r="GS299" s="1006"/>
      <c r="GT299" s="996">
        <v>0</v>
      </c>
      <c r="GU299" s="1006"/>
      <c r="GV299" s="996">
        <v>-0.60359199999999902</v>
      </c>
      <c r="GW299" s="1006"/>
      <c r="GX299" s="1035">
        <v>0</v>
      </c>
      <c r="GY299" s="1006"/>
      <c r="GZ299" s="996">
        <v>-0.58520000000000039</v>
      </c>
      <c r="HA299" s="1006"/>
      <c r="HB299" s="996">
        <v>0.58520000000000039</v>
      </c>
      <c r="HC299" s="1006"/>
      <c r="HD299" s="996">
        <v>0</v>
      </c>
      <c r="HE299" s="1006" t="s">
        <v>223</v>
      </c>
      <c r="HF299" s="996">
        <v>-0.78584000000000032</v>
      </c>
      <c r="HG299" s="1006" t="s">
        <v>199</v>
      </c>
      <c r="HH299" s="996">
        <v>3.7118399999999987</v>
      </c>
      <c r="HI299" s="1006"/>
      <c r="HJ299" s="996">
        <v>0</v>
      </c>
      <c r="HK299" s="1006"/>
      <c r="HL299" s="996">
        <v>0</v>
      </c>
      <c r="HM299" s="1006"/>
      <c r="HN299" s="996">
        <v>0</v>
      </c>
      <c r="HO299" s="1006" t="s">
        <v>223</v>
      </c>
      <c r="HP299" s="996">
        <v>-5.5343199999999992</v>
      </c>
      <c r="HQ299" s="1006"/>
      <c r="HR299" s="996">
        <v>0</v>
      </c>
      <c r="HS299" s="1006"/>
      <c r="HT299" s="996">
        <v>0</v>
      </c>
      <c r="HU299" s="1006" t="s">
        <v>223</v>
      </c>
      <c r="HV299" s="996">
        <v>-1.9044581599999972</v>
      </c>
      <c r="HW299" s="1006" t="s">
        <v>199</v>
      </c>
      <c r="HX299" s="996">
        <v>2.307129263999995</v>
      </c>
      <c r="HY299" s="1006" t="s">
        <v>199</v>
      </c>
      <c r="HZ299" s="996">
        <v>-2.725087463999996</v>
      </c>
      <c r="IA299" s="1006"/>
      <c r="IB299" s="996">
        <v>-0.30928906800000178</v>
      </c>
      <c r="IC299" s="1006" t="s">
        <v>223</v>
      </c>
      <c r="ID299" s="996">
        <v>-1.4461353720000005</v>
      </c>
      <c r="IE299" s="1006"/>
      <c r="IF299" s="996">
        <v>0</v>
      </c>
      <c r="IG299" s="1006"/>
      <c r="IH299" s="996">
        <v>0</v>
      </c>
      <c r="II299" s="1006"/>
      <c r="IJ299" s="996">
        <v>-0.83591640000000211</v>
      </c>
      <c r="IK299" s="1006"/>
      <c r="IL299" s="996">
        <v>-0.25272279999999725</v>
      </c>
      <c r="IM299" s="1006"/>
      <c r="IN299" s="996">
        <v>0</v>
      </c>
      <c r="IO299" s="1006"/>
      <c r="IP299" s="996">
        <v>-0.58520000000000039</v>
      </c>
      <c r="IQ299" s="1006"/>
      <c r="IR299" s="996">
        <v>0</v>
      </c>
      <c r="IS299" s="1006" t="s">
        <v>199</v>
      </c>
      <c r="IT299" s="996">
        <v>2.09</v>
      </c>
      <c r="IU299" s="1006" t="s">
        <v>204</v>
      </c>
      <c r="IV299" s="996">
        <v>-9.2795999999999985</v>
      </c>
      <c r="IW299" s="1006" t="s">
        <v>204</v>
      </c>
      <c r="IX299" s="996">
        <v>8.0256000000000007</v>
      </c>
      <c r="IY299" s="1006"/>
      <c r="IZ299" s="996">
        <v>0</v>
      </c>
      <c r="JA299" s="1006"/>
      <c r="JB299" s="996">
        <v>0</v>
      </c>
      <c r="JC299" s="1006" t="s">
        <v>199</v>
      </c>
      <c r="JD299" s="996">
        <v>-4.0128000000000021</v>
      </c>
      <c r="JE299" s="1006" t="s">
        <v>223</v>
      </c>
      <c r="JF299" s="996">
        <v>-2.4243999999999986</v>
      </c>
      <c r="JG299" s="1006" t="s">
        <v>223</v>
      </c>
      <c r="JH299" s="996">
        <v>-2.3408000000000015</v>
      </c>
      <c r="JI299" s="1006"/>
      <c r="JJ299" s="996">
        <v>0</v>
      </c>
      <c r="JK299" s="1007"/>
      <c r="JL299" s="1007">
        <v>0</v>
      </c>
      <c r="JM299" s="1007"/>
      <c r="JN299" s="1007">
        <v>0</v>
      </c>
      <c r="JO299" s="1008"/>
      <c r="JP299" s="1007">
        <v>0</v>
      </c>
      <c r="JQ299" s="1008">
        <v>0</v>
      </c>
      <c r="JR299" s="1007">
        <v>0</v>
      </c>
      <c r="JS299" s="1008" t="s">
        <v>223</v>
      </c>
      <c r="JT299" s="1007">
        <v>2.9260000000000019</v>
      </c>
      <c r="JU299" s="1008"/>
      <c r="JV299" s="1007">
        <v>0</v>
      </c>
      <c r="JW299" s="1008" t="s">
        <v>197</v>
      </c>
      <c r="JX299" s="1007">
        <v>0</v>
      </c>
      <c r="JY299" s="1008" t="s">
        <v>240</v>
      </c>
      <c r="JZ299" s="1007">
        <v>-9.195999999999998</v>
      </c>
      <c r="KA299" s="1008" t="s">
        <v>240</v>
      </c>
      <c r="KB299" s="1007">
        <v>2.4076799999999992</v>
      </c>
      <c r="KC299" s="1008"/>
      <c r="KD299" s="1007">
        <v>0</v>
      </c>
      <c r="KE299" s="1008" t="s">
        <v>240</v>
      </c>
      <c r="KF299" s="1007">
        <v>-9.9316800000000001</v>
      </c>
      <c r="KG299" s="1008"/>
      <c r="KH299" s="1007">
        <v>41.8</v>
      </c>
      <c r="KI299" s="1008"/>
      <c r="KJ299" s="1007">
        <v>0</v>
      </c>
      <c r="KK299" s="1008"/>
      <c r="KL299" s="1007"/>
      <c r="KM299" s="1008"/>
      <c r="KN299" s="1007"/>
      <c r="KO299" s="1008"/>
      <c r="KP299" s="1007"/>
      <c r="KQ299" s="1008"/>
      <c r="KR299" s="1007"/>
      <c r="KS299" s="1008"/>
      <c r="KT299" s="1007"/>
      <c r="KU299" s="1008"/>
      <c r="KV299" s="1007"/>
      <c r="KW299" s="1008"/>
      <c r="KX299" s="1007"/>
      <c r="KY299" s="1008"/>
      <c r="KZ299" s="1007"/>
      <c r="LA299" s="1008"/>
      <c r="LB299" s="1007"/>
      <c r="LC299" s="1008"/>
      <c r="LD299" s="1007"/>
      <c r="LE299" s="1008"/>
      <c r="LF299" s="1007"/>
      <c r="LG299" s="1008"/>
      <c r="LH299" s="1007"/>
      <c r="LI299" s="1008"/>
      <c r="LJ299" s="1007"/>
      <c r="LK299" s="1008"/>
      <c r="LL299" s="1007"/>
      <c r="LM299" s="1008"/>
      <c r="LN299" s="1007"/>
      <c r="LO299" s="1008"/>
      <c r="LP299" s="1007"/>
      <c r="LQ299" s="1008"/>
      <c r="LR299" s="1007"/>
      <c r="LS299" s="1008"/>
      <c r="LT299" s="1007"/>
      <c r="LU299" s="1008"/>
      <c r="LV299" s="1007"/>
      <c r="LW299" s="1008"/>
      <c r="LX299" s="1007"/>
      <c r="LY299" s="1009"/>
      <c r="LZ299" s="1010"/>
      <c r="MA299" s="1011"/>
      <c r="MB299" s="1012"/>
      <c r="MC299" s="995"/>
      <c r="MD299" s="996"/>
      <c r="ME299" s="997" t="s">
        <v>202</v>
      </c>
      <c r="MF299" s="997"/>
      <c r="MG299" s="998"/>
      <c r="NR299" s="1000"/>
      <c r="NS299" s="1000"/>
      <c r="NT299" s="1001"/>
      <c r="NU299" s="1000"/>
      <c r="NV299" s="1001"/>
      <c r="NX299" s="1002"/>
      <c r="NZ299" s="1001"/>
      <c r="OA299" s="1001"/>
      <c r="OC299" s="1003"/>
      <c r="OD299" s="1003"/>
      <c r="OE299" s="1001"/>
      <c r="OF299" s="1003"/>
      <c r="OG299" s="1003"/>
      <c r="QX299" s="1000">
        <f>CN299-CA299</f>
        <v>20</v>
      </c>
      <c r="ASU299" s="999" t="s">
        <v>208</v>
      </c>
    </row>
    <row r="300" spans="1:466 1191:1191" ht="21" customHeight="1" x14ac:dyDescent="0.25">
      <c r="A300" s="982">
        <f t="shared" si="215"/>
        <v>1325</v>
      </c>
      <c r="B300" s="124">
        <f>SUBTOTAL(103,$J$29:J300)</f>
        <v>272</v>
      </c>
      <c r="C300" s="126">
        <v>45068</v>
      </c>
      <c r="D300" s="124" t="s">
        <v>176</v>
      </c>
      <c r="E300" s="127" t="s">
        <v>177</v>
      </c>
      <c r="F300" s="128" t="s">
        <v>177</v>
      </c>
      <c r="G300" s="127" t="s">
        <v>178</v>
      </c>
      <c r="H300" s="127" t="s">
        <v>179</v>
      </c>
      <c r="I300" s="127" t="s">
        <v>1304</v>
      </c>
      <c r="J300" s="152">
        <v>1325</v>
      </c>
      <c r="K300" s="127" t="s">
        <v>1305</v>
      </c>
      <c r="L300" s="130">
        <v>43475</v>
      </c>
      <c r="M300" s="127" t="s">
        <v>230</v>
      </c>
      <c r="N300" s="127" t="s">
        <v>184</v>
      </c>
      <c r="O300" s="127" t="s">
        <v>185</v>
      </c>
      <c r="P300" s="127" t="s">
        <v>186</v>
      </c>
      <c r="Q300" s="85">
        <f t="shared" si="213"/>
        <v>-4</v>
      </c>
      <c r="R300" s="130">
        <v>43407</v>
      </c>
      <c r="S300" s="128" t="s">
        <v>747</v>
      </c>
      <c r="T300" s="131" t="s">
        <v>1294</v>
      </c>
      <c r="U300" s="132">
        <v>203</v>
      </c>
      <c r="V300" s="121">
        <v>218.2</v>
      </c>
      <c r="W300" s="116">
        <v>0.98</v>
      </c>
      <c r="X300" s="116">
        <v>1.66</v>
      </c>
      <c r="Y300" s="116">
        <f t="shared" si="191"/>
        <v>1.4848484848484849</v>
      </c>
      <c r="Z300" s="133">
        <v>1.454</v>
      </c>
      <c r="AA300" s="133">
        <v>0.83599999999999997</v>
      </c>
      <c r="AB300" s="133">
        <v>0.72</v>
      </c>
      <c r="AC300" s="121">
        <v>34.299999999999997</v>
      </c>
      <c r="AD300" s="134">
        <v>1.17</v>
      </c>
      <c r="AE300" s="124">
        <v>177.8</v>
      </c>
      <c r="AF300" s="128">
        <v>9.19</v>
      </c>
      <c r="AG300" s="128">
        <v>2322.1999999999998</v>
      </c>
      <c r="AH300" s="138">
        <v>3166</v>
      </c>
      <c r="AI300" s="138">
        <v>3166</v>
      </c>
      <c r="AJ300" s="135"/>
      <c r="AK300" s="128"/>
      <c r="AL300" s="131"/>
      <c r="AM300" s="124" t="s">
        <v>985</v>
      </c>
      <c r="AN300" s="136" t="s">
        <v>1306</v>
      </c>
      <c r="AO300" s="137">
        <v>46.7</v>
      </c>
      <c r="AP300" s="128">
        <v>2349.27</v>
      </c>
      <c r="AQ300" s="128">
        <v>407.11604807692311</v>
      </c>
      <c r="AR300" s="128" t="s">
        <v>1307</v>
      </c>
      <c r="AS300" s="128">
        <v>114</v>
      </c>
      <c r="AT300" s="122">
        <v>7.37</v>
      </c>
      <c r="AU300" s="124" t="s">
        <v>189</v>
      </c>
      <c r="AV300" s="115">
        <f>VLOOKUP(J300,'[63]ТР нефть'!$J$28:$BP$638,39,0)</f>
        <v>549.99999140600005</v>
      </c>
      <c r="AW300" s="115" t="str">
        <f>VLOOKUP(J300,'[63]ТР нефть'!$J$28:$BP$638,40,0)</f>
        <v>ГП</v>
      </c>
      <c r="AX300" s="115">
        <f>VLOOKUP(J300,'[63]ТР нефть'!$J$28:$BP$638,41,0)</f>
        <v>1080.0000128910001</v>
      </c>
      <c r="AY300" s="115" t="str">
        <f>VLOOKUP(J300,'[63]ТР нефть'!$J$28:$BP$638,42,0)</f>
        <v>ГК75 1/8</v>
      </c>
      <c r="AZ300" s="115">
        <f>VLOOKUP(J300,'[63]ТР нефть'!$J$28:$BP$638,43,0)</f>
        <v>1480.000006641</v>
      </c>
      <c r="BA300" s="115" t="str">
        <f>VLOOKUP(J300,'[63]ТР нефть'!$J$28:$BP$638,44,0)</f>
        <v>ГК75 5/32</v>
      </c>
      <c r="BB300" s="115">
        <f>VLOOKUP(J300,'[63]ТР нефть'!$J$28:$BP$638,45,0)</f>
        <v>1719.9999433590001</v>
      </c>
      <c r="BC300" s="115" t="str">
        <f>VLOOKUP(J300,'[63]ТР нефть'!$J$28:$BP$638,46,0)</f>
        <v>ГК74 5/32</v>
      </c>
      <c r="BD300" s="115">
        <f>VLOOKUP(J300,'[63]ТР нефть'!$J$28:$BP$638,47,0)</f>
        <v>1960.0000289059999</v>
      </c>
      <c r="BE300" s="115" t="str">
        <f>VLOOKUP(J300,'[63]ТР нефть'!$J$28:$BP$638,48,0)</f>
        <v>ЦКсОК 5/16</v>
      </c>
      <c r="BF300" s="115" t="str">
        <f>VLOOKUP(J300,'[63]ТР нефть'!$J$28:$BP$638,49,0)</f>
        <v>-</v>
      </c>
      <c r="BG300" s="115" t="str">
        <f>VLOOKUP(J300,'[63]ТР нефть'!$J$28:$BP$638,50,0)</f>
        <v>-</v>
      </c>
      <c r="BH300" s="115" t="str">
        <f>VLOOKUP(J300,'[63]ТР нефть'!$J$28:$BP$638,51,0)</f>
        <v>-</v>
      </c>
      <c r="BI300" s="115" t="str">
        <f>VLOOKUP(J300,'[63]ТР нефть'!$J$28:$BP$638,52,0)</f>
        <v>-</v>
      </c>
      <c r="BJ300" s="115" t="str">
        <f>IF(IFERROR(VLOOKUP(J300,'[63]ТР нефть'!$J$28:$BP$638,53,0),"-")=0,"-",IFERROR(VLOOKUP(J300,'[63]ТР нефть'!$J$28:$BP$638,53,0),"-"))</f>
        <v>-</v>
      </c>
      <c r="BK300" s="138" t="str">
        <f>IF(IFERROR(VLOOKUP(J300,'[63]ТР нефть'!$J$28:$BP$638,54,0),"-")=0,"-",IFERROR(VLOOKUP(J300,'[63]ТР нефть'!$J$28:$BP$638,54,0),"-"))</f>
        <v>-</v>
      </c>
      <c r="BL300" s="138" t="str">
        <f>IF(IFERROR(VLOOKUP(J300,'[63]ТР нефть'!$J$28:$BP$638,55,0),"-")=0,"-",IFERROR(VLOOKUP(J300,'[63]ТР нефть'!$J$28:$BP$638,55,0),"-"))</f>
        <v>-</v>
      </c>
      <c r="BM300" s="138" t="str">
        <f>IF(IFERROR(VLOOKUP(J300,'[63]ТР нефть'!$J$28:$BP$638,56,0),"-")=0,"-",IFERROR(VLOOKUP(J300,'[63]ТР нефть'!$J$28:$BP$638,56,0),"-"))</f>
        <v>-</v>
      </c>
      <c r="BN300" s="138" t="str">
        <f>IF(IFERROR(VLOOKUP(J300,'[63]ТР нефть'!$J$28:$BP$638,57,0),"-")=0,"-",IFERROR(VLOOKUP(J300,'[63]ТР нефть'!$J$28:$BP$638,57,0),"-"))</f>
        <v>-</v>
      </c>
      <c r="BO300" s="115" t="str">
        <f>IF(IFERROR(VLOOKUP(J300,'[63]ТР нефть'!$J$28:$BP$638,58,0),"-")=0,"-",IFERROR(VLOOKUP(J300,'[63]ТР нефть'!$J$28:$BP$638,58,0),"-"))</f>
        <v>-</v>
      </c>
      <c r="BP300" s="115" t="str">
        <f>IF(IFERROR(VLOOKUP(J300,'[63]ТР нефть'!$J$28:$BP$638,59,0),"-")=0,"-",IFERROR(VLOOKUP(J300,'[63]ТР нефть'!$J$28:$BP$638,59,0),"-"))</f>
        <v>-</v>
      </c>
      <c r="BQ300" s="138">
        <v>3166</v>
      </c>
      <c r="BR300" s="128">
        <v>1987</v>
      </c>
      <c r="BS300" s="115">
        <f t="shared" si="211"/>
        <v>1179</v>
      </c>
      <c r="BT300" s="128">
        <v>73</v>
      </c>
      <c r="BU300" s="128">
        <v>5.5</v>
      </c>
      <c r="BV300" s="127">
        <v>18</v>
      </c>
      <c r="BW300" s="127" t="s">
        <v>217</v>
      </c>
      <c r="BX300" s="127" t="s">
        <v>195</v>
      </c>
      <c r="BY300" s="139">
        <v>24</v>
      </c>
      <c r="BZ300" s="139">
        <v>0</v>
      </c>
      <c r="CA300" s="138">
        <v>11</v>
      </c>
      <c r="CB300" s="138">
        <v>60</v>
      </c>
      <c r="CC300" s="138">
        <v>10</v>
      </c>
      <c r="CD300" s="135">
        <v>45017</v>
      </c>
      <c r="CE300" s="138">
        <v>188</v>
      </c>
      <c r="CF300" s="138">
        <v>71</v>
      </c>
      <c r="CG300" s="138" t="str">
        <f t="shared" si="212"/>
        <v>В работе</v>
      </c>
      <c r="CH300" s="138" t="s">
        <v>235</v>
      </c>
      <c r="CI300" s="127">
        <v>5</v>
      </c>
      <c r="CJ300" s="138"/>
      <c r="CK300" s="138">
        <f t="shared" si="207"/>
        <v>44</v>
      </c>
      <c r="CL300" s="99"/>
      <c r="CM300" s="99"/>
      <c r="CN300" s="140">
        <v>55</v>
      </c>
      <c r="CO300" s="141">
        <f t="shared" si="216"/>
        <v>2.5581600000000004</v>
      </c>
      <c r="CP300" s="142">
        <v>18</v>
      </c>
      <c r="CQ300" s="143">
        <v>83</v>
      </c>
      <c r="CR300" s="138">
        <v>10</v>
      </c>
      <c r="CS300" s="139">
        <v>8.8000000000000007</v>
      </c>
      <c r="CT300" s="138"/>
      <c r="CU300" s="138">
        <f t="shared" si="235"/>
        <v>1.1999999999999993</v>
      </c>
      <c r="CV300" s="115">
        <f t="shared" si="236"/>
        <v>469.08715639365761</v>
      </c>
      <c r="CW300" s="115">
        <f t="shared" si="217"/>
        <v>443.13116481055141</v>
      </c>
      <c r="CX300" s="133">
        <f t="shared" si="237"/>
        <v>0.13533834586466165</v>
      </c>
      <c r="CY300" s="116"/>
      <c r="CZ300" s="131"/>
      <c r="DA300" s="145" t="str">
        <f t="shared" si="218"/>
        <v>Газлифт</v>
      </c>
      <c r="DB300" s="146">
        <f t="shared" si="219"/>
        <v>2.5581600000000004</v>
      </c>
      <c r="DC300" s="142">
        <f t="shared" si="234"/>
        <v>18</v>
      </c>
      <c r="DD300" s="119">
        <f t="shared" si="204"/>
        <v>83</v>
      </c>
      <c r="DE300" s="115">
        <f t="shared" si="220"/>
        <v>1.1999999999999993</v>
      </c>
      <c r="DF300" s="121">
        <f t="shared" si="221"/>
        <v>8.8000000000000007</v>
      </c>
      <c r="DG300" s="115">
        <f t="shared" si="222"/>
        <v>469.08715639365761</v>
      </c>
      <c r="DH300" s="115">
        <f t="shared" si="223"/>
        <v>55</v>
      </c>
      <c r="DI300" s="147"/>
      <c r="DJ300" s="111" t="s">
        <v>197</v>
      </c>
      <c r="DK300" s="112">
        <v>43475</v>
      </c>
      <c r="DL300" s="113">
        <f t="shared" ca="1" si="192"/>
        <v>1629</v>
      </c>
      <c r="DM300" s="114"/>
      <c r="DN300" s="114"/>
      <c r="DO300" s="114"/>
      <c r="DP300" s="114"/>
      <c r="DQ300" s="112">
        <v>43475</v>
      </c>
      <c r="DR300" s="114" t="s">
        <v>324</v>
      </c>
      <c r="DS300" s="114"/>
      <c r="DT300" s="115">
        <v>60</v>
      </c>
      <c r="DU300" s="116">
        <f t="shared" si="193"/>
        <v>0.140625</v>
      </c>
      <c r="DV300" s="117">
        <f t="shared" si="194"/>
        <v>2.5581600000000004</v>
      </c>
      <c r="DW300" s="118">
        <f t="shared" si="195"/>
        <v>18</v>
      </c>
      <c r="DX300" s="119">
        <f t="shared" si="224"/>
        <v>83</v>
      </c>
      <c r="DY300" s="115">
        <f t="shared" si="196"/>
        <v>1.1999999999999993</v>
      </c>
      <c r="DZ300" s="117">
        <f t="shared" si="197"/>
        <v>0</v>
      </c>
      <c r="EA300" s="120">
        <f t="shared" si="197"/>
        <v>0</v>
      </c>
      <c r="EB300" s="119">
        <f t="shared" si="197"/>
        <v>0</v>
      </c>
      <c r="EC300" s="121">
        <f t="shared" si="198"/>
        <v>0</v>
      </c>
      <c r="ED300" s="122" t="s">
        <v>1297</v>
      </c>
      <c r="EE300" s="145">
        <v>18</v>
      </c>
      <c r="EF300" s="115">
        <v>10</v>
      </c>
      <c r="EG300" s="115">
        <v>53</v>
      </c>
      <c r="EH300" s="115">
        <v>9</v>
      </c>
      <c r="EI300" s="128" t="s">
        <v>195</v>
      </c>
      <c r="EJ300" s="121">
        <v>24</v>
      </c>
      <c r="EK300" s="121">
        <v>0</v>
      </c>
      <c r="EL300" s="149">
        <v>2.5581600000000004</v>
      </c>
      <c r="EM300" s="142">
        <v>18</v>
      </c>
      <c r="EN300" s="119">
        <v>83</v>
      </c>
      <c r="EO300" s="115">
        <v>10.3</v>
      </c>
      <c r="EP300" s="115">
        <v>586.35894549207228</v>
      </c>
      <c r="EQ300" s="115">
        <v>71</v>
      </c>
      <c r="ER300" s="115">
        <v>8.8000000000000007</v>
      </c>
      <c r="ES300" s="115">
        <v>94</v>
      </c>
      <c r="ET300" s="150">
        <v>0.19148936170212766</v>
      </c>
      <c r="EU300" s="145">
        <f t="shared" si="225"/>
        <v>18</v>
      </c>
      <c r="EV300" s="115">
        <f t="shared" si="226"/>
        <v>11</v>
      </c>
      <c r="EW300" s="115">
        <f t="shared" si="226"/>
        <v>60</v>
      </c>
      <c r="EX300" s="115">
        <f t="shared" si="226"/>
        <v>10</v>
      </c>
      <c r="EY300" s="115" t="str">
        <f t="shared" si="206"/>
        <v>Постоянный</v>
      </c>
      <c r="EZ300" s="115">
        <f t="shared" si="206"/>
        <v>24</v>
      </c>
      <c r="FA300" s="115">
        <f t="shared" si="206"/>
        <v>0</v>
      </c>
      <c r="FB300" s="149">
        <f t="shared" si="238"/>
        <v>2.5581600000000004</v>
      </c>
      <c r="FC300" s="142">
        <f t="shared" si="238"/>
        <v>18</v>
      </c>
      <c r="FD300" s="119">
        <f t="shared" si="238"/>
        <v>83</v>
      </c>
      <c r="FE300" s="121">
        <f t="shared" si="208"/>
        <v>10</v>
      </c>
      <c r="FF300" s="121">
        <f t="shared" si="199"/>
        <v>469.08715639365761</v>
      </c>
      <c r="FG300" s="121">
        <f t="shared" si="227"/>
        <v>71</v>
      </c>
      <c r="FH300" s="121">
        <f t="shared" si="200"/>
        <v>8.8000000000000007</v>
      </c>
      <c r="FI300" s="121">
        <f t="shared" si="205"/>
        <v>55</v>
      </c>
      <c r="FJ300" s="144">
        <f t="shared" si="228"/>
        <v>0.13533834586466165</v>
      </c>
      <c r="FK300" s="132">
        <f t="shared" si="229"/>
        <v>0</v>
      </c>
      <c r="FL300" s="115">
        <f t="shared" si="229"/>
        <v>1</v>
      </c>
      <c r="FM300" s="115">
        <f t="shared" si="229"/>
        <v>7</v>
      </c>
      <c r="FN300" s="115">
        <f t="shared" si="229"/>
        <v>1</v>
      </c>
      <c r="FO300" s="115">
        <f t="shared" si="232"/>
        <v>0</v>
      </c>
      <c r="FP300" s="115">
        <f t="shared" si="232"/>
        <v>0</v>
      </c>
      <c r="FQ300" s="149">
        <f t="shared" si="232"/>
        <v>0</v>
      </c>
      <c r="FR300" s="142">
        <f t="shared" si="232"/>
        <v>0</v>
      </c>
      <c r="FS300" s="119">
        <f t="shared" si="232"/>
        <v>0</v>
      </c>
      <c r="FT300" s="121">
        <f t="shared" si="232"/>
        <v>-0.30000000000000071</v>
      </c>
      <c r="FU300" s="121">
        <f t="shared" si="230"/>
        <v>0</v>
      </c>
      <c r="FV300" s="121">
        <f t="shared" si="230"/>
        <v>0</v>
      </c>
      <c r="FW300" s="121">
        <f t="shared" si="231"/>
        <v>-117.27178909841467</v>
      </c>
      <c r="FX300" s="121">
        <f t="shared" si="233"/>
        <v>-39</v>
      </c>
      <c r="FY300" s="144">
        <f t="shared" si="214"/>
        <v>-5.6151015837466012E-2</v>
      </c>
      <c r="FZ300" s="145"/>
      <c r="GA300" s="125"/>
      <c r="GB300" s="145"/>
      <c r="GC300" s="125"/>
      <c r="GD300" s="997" t="s">
        <v>202</v>
      </c>
      <c r="GE300" s="1004"/>
      <c r="GF300" s="1004">
        <v>0.70746500000000112</v>
      </c>
      <c r="GG300" s="1004"/>
      <c r="GH300" s="1004">
        <v>0</v>
      </c>
      <c r="GI300" s="145"/>
      <c r="GJ300" s="996">
        <v>0</v>
      </c>
      <c r="GK300" s="145"/>
      <c r="GL300" s="996">
        <v>0</v>
      </c>
      <c r="GM300" s="1005"/>
      <c r="GN300" s="996">
        <v>0</v>
      </c>
      <c r="GO300" s="1006"/>
      <c r="GP300" s="996">
        <v>0</v>
      </c>
      <c r="GQ300" s="1006" t="s">
        <v>240</v>
      </c>
      <c r="GR300" s="996">
        <v>-7.0282519999999993</v>
      </c>
      <c r="GS300" s="1006"/>
      <c r="GT300" s="996">
        <v>0</v>
      </c>
      <c r="GU300" s="1006" t="s">
        <v>199</v>
      </c>
      <c r="GV300" s="996">
        <v>5.0479769999999977</v>
      </c>
      <c r="GW300" s="1006" t="s">
        <v>199</v>
      </c>
      <c r="GX300" s="1035">
        <v>1.0512700000000001</v>
      </c>
      <c r="GY300" s="1006" t="s">
        <v>199</v>
      </c>
      <c r="GZ300" s="996">
        <v>1.1809753999999999</v>
      </c>
      <c r="HA300" s="1006" t="s">
        <v>204</v>
      </c>
      <c r="HB300" s="996">
        <v>0</v>
      </c>
      <c r="HC300" s="1006" t="s">
        <v>199</v>
      </c>
      <c r="HD300" s="996">
        <v>-3.5213047319999995</v>
      </c>
      <c r="HE300" s="1006" t="s">
        <v>308</v>
      </c>
      <c r="HF300" s="996">
        <v>3.9496293319999998</v>
      </c>
      <c r="HG300" s="1006"/>
      <c r="HH300" s="996">
        <v>0</v>
      </c>
      <c r="HI300" s="1006"/>
      <c r="HJ300" s="996">
        <v>0</v>
      </c>
      <c r="HK300" s="1006" t="s">
        <v>199</v>
      </c>
      <c r="HL300" s="996">
        <v>-21.802879999999998</v>
      </c>
      <c r="HM300" s="1006" t="s">
        <v>276</v>
      </c>
      <c r="HN300" s="996">
        <v>22.869833359999998</v>
      </c>
      <c r="HO300" s="1006"/>
      <c r="HP300" s="996">
        <v>0</v>
      </c>
      <c r="HQ300" s="1006"/>
      <c r="HR300" s="996">
        <v>0</v>
      </c>
      <c r="HS300" s="1006"/>
      <c r="HT300" s="996">
        <v>6.6356014077419367E-2</v>
      </c>
      <c r="HU300" s="1006"/>
      <c r="HV300" s="996">
        <v>-0.83222230207741943</v>
      </c>
      <c r="HW300" s="1006"/>
      <c r="HX300" s="996">
        <v>0</v>
      </c>
      <c r="HY300" s="1006"/>
      <c r="HZ300" s="996">
        <v>0</v>
      </c>
      <c r="IA300" s="1006"/>
      <c r="IB300" s="996">
        <v>0</v>
      </c>
      <c r="IC300" s="1006"/>
      <c r="ID300" s="996">
        <v>3.3312928000000075E-2</v>
      </c>
      <c r="IE300" s="1006"/>
      <c r="IF300" s="996">
        <v>0</v>
      </c>
      <c r="IG300" s="1006"/>
      <c r="IH300" s="996">
        <v>0</v>
      </c>
      <c r="II300" s="1006"/>
      <c r="IJ300" s="996">
        <v>9.965119999999994E-2</v>
      </c>
      <c r="IK300" s="1006"/>
      <c r="IL300" s="996">
        <v>-0.58921280000000009</v>
      </c>
      <c r="IM300" s="1006"/>
      <c r="IN300" s="996">
        <v>0</v>
      </c>
      <c r="IO300" s="1006"/>
      <c r="IP300" s="996">
        <v>-0.24277439999999961</v>
      </c>
      <c r="IQ300" s="1006"/>
      <c r="IR300" s="996">
        <v>0</v>
      </c>
      <c r="IS300" s="1006"/>
      <c r="IT300" s="996">
        <v>0</v>
      </c>
      <c r="IU300" s="1006"/>
      <c r="IV300" s="996">
        <v>0</v>
      </c>
      <c r="IW300" s="1006"/>
      <c r="IX300" s="996">
        <v>0</v>
      </c>
      <c r="IY300" s="1006"/>
      <c r="IZ300" s="996">
        <v>0</v>
      </c>
      <c r="JA300" s="1006" t="s">
        <v>199</v>
      </c>
      <c r="JB300" s="996">
        <v>-4.7610200000000003</v>
      </c>
      <c r="JC300" s="1006" t="s">
        <v>199</v>
      </c>
      <c r="JD300" s="996">
        <v>-5.9932839999999983</v>
      </c>
      <c r="JE300" s="1006" t="s">
        <v>199</v>
      </c>
      <c r="JF300" s="996">
        <v>3.5287559999999996</v>
      </c>
      <c r="JG300" s="1006"/>
      <c r="JH300" s="996">
        <v>0</v>
      </c>
      <c r="JI300" s="1006"/>
      <c r="JJ300" s="996">
        <v>0</v>
      </c>
      <c r="JK300" s="1007"/>
      <c r="JL300" s="1007">
        <v>0</v>
      </c>
      <c r="JM300" s="1007" t="s">
        <v>199</v>
      </c>
      <c r="JN300" s="1007">
        <v>7.2969214999999981</v>
      </c>
      <c r="JO300" s="1008"/>
      <c r="JP300" s="1007">
        <v>0</v>
      </c>
      <c r="JQ300" s="1008">
        <v>0</v>
      </c>
      <c r="JR300" s="1007">
        <v>1.5967600000001969E-3</v>
      </c>
      <c r="JS300" s="1008" t="s">
        <v>199</v>
      </c>
      <c r="JT300" s="1007">
        <v>-12.910251859999999</v>
      </c>
      <c r="JU300" s="1008" t="s">
        <v>199</v>
      </c>
      <c r="JV300" s="1007">
        <v>9.6648655839999993</v>
      </c>
      <c r="JW300" s="1008" t="s">
        <v>199</v>
      </c>
      <c r="JX300" s="1007">
        <v>-9.4712479839999997</v>
      </c>
      <c r="JY300" s="1008" t="s">
        <v>199</v>
      </c>
      <c r="JZ300" s="1007">
        <v>-21.318000000000001</v>
      </c>
      <c r="KA300" s="1008"/>
      <c r="KB300" s="1007">
        <v>0</v>
      </c>
      <c r="KC300" s="1008"/>
      <c r="KD300" s="1007">
        <v>0</v>
      </c>
      <c r="KE300" s="1008" t="s">
        <v>324</v>
      </c>
      <c r="KF300" s="1007">
        <v>35.53</v>
      </c>
      <c r="KG300" s="1008"/>
      <c r="KH300" s="1007">
        <v>0</v>
      </c>
      <c r="KI300" s="1008"/>
      <c r="KJ300" s="1007">
        <v>0</v>
      </c>
      <c r="KK300" s="1008"/>
      <c r="KL300" s="1007"/>
      <c r="KM300" s="1008"/>
      <c r="KN300" s="1007"/>
      <c r="KO300" s="1008"/>
      <c r="KP300" s="1007"/>
      <c r="KQ300" s="1008"/>
      <c r="KR300" s="1007"/>
      <c r="KS300" s="1008"/>
      <c r="KT300" s="1007"/>
      <c r="KU300" s="1008"/>
      <c r="KV300" s="1007"/>
      <c r="KW300" s="1008"/>
      <c r="KX300" s="1007"/>
      <c r="KY300" s="1008"/>
      <c r="KZ300" s="1007"/>
      <c r="LA300" s="1008"/>
      <c r="LB300" s="1007"/>
      <c r="LC300" s="1008"/>
      <c r="LD300" s="1007"/>
      <c r="LE300" s="1008"/>
      <c r="LF300" s="1007"/>
      <c r="LG300" s="1008"/>
      <c r="LH300" s="1007"/>
      <c r="LI300" s="1008"/>
      <c r="LJ300" s="1007"/>
      <c r="LK300" s="1008"/>
      <c r="LL300" s="1007"/>
      <c r="LM300" s="1008"/>
      <c r="LN300" s="1007"/>
      <c r="LO300" s="1008"/>
      <c r="LP300" s="1007"/>
      <c r="LQ300" s="1008"/>
      <c r="LR300" s="1007"/>
      <c r="LS300" s="1008"/>
      <c r="LT300" s="1007"/>
      <c r="LU300" s="1008"/>
      <c r="LV300" s="1007"/>
      <c r="LW300" s="1008"/>
      <c r="LX300" s="1007"/>
      <c r="LY300" s="1009"/>
      <c r="LZ300" s="1010"/>
      <c r="MA300" s="1011"/>
      <c r="MB300" s="1012"/>
      <c r="MC300" s="995"/>
      <c r="MD300" s="996"/>
      <c r="ME300" s="997" t="s">
        <v>202</v>
      </c>
      <c r="MF300" s="997"/>
      <c r="MG300" s="998"/>
      <c r="NR300" s="1000"/>
      <c r="NS300" s="1000"/>
      <c r="NT300" s="1001"/>
      <c r="NU300" s="1000"/>
      <c r="NV300" s="1001"/>
      <c r="NX300" s="1002"/>
      <c r="NZ300" s="1001"/>
      <c r="OA300" s="1001"/>
      <c r="OC300" s="1003"/>
      <c r="OD300" s="1003"/>
      <c r="OE300" s="1001"/>
      <c r="OF300" s="1003"/>
      <c r="OG300" s="1003"/>
      <c r="QX300" s="1000">
        <f>CN300-CA300</f>
        <v>44</v>
      </c>
      <c r="ASU300" s="999" t="s">
        <v>315</v>
      </c>
    </row>
    <row r="301" spans="1:466 1191:1191" ht="21" customHeight="1" x14ac:dyDescent="0.25">
      <c r="A301" s="982">
        <f t="shared" si="215"/>
        <v>1294</v>
      </c>
      <c r="B301" s="124">
        <f>SUBTOTAL(103,$J$29:J301)</f>
        <v>273</v>
      </c>
      <c r="C301" s="126">
        <v>45068</v>
      </c>
      <c r="D301" s="124" t="s">
        <v>176</v>
      </c>
      <c r="E301" s="127" t="s">
        <v>177</v>
      </c>
      <c r="F301" s="128" t="s">
        <v>177</v>
      </c>
      <c r="G301" s="127" t="s">
        <v>178</v>
      </c>
      <c r="H301" s="127" t="s">
        <v>179</v>
      </c>
      <c r="I301" s="127" t="s">
        <v>1308</v>
      </c>
      <c r="J301" s="152">
        <v>1294</v>
      </c>
      <c r="K301" s="127" t="s">
        <v>1308</v>
      </c>
      <c r="L301" s="130">
        <v>41848</v>
      </c>
      <c r="M301" s="127" t="s">
        <v>230</v>
      </c>
      <c r="N301" s="127" t="s">
        <v>184</v>
      </c>
      <c r="O301" s="127" t="s">
        <v>185</v>
      </c>
      <c r="P301" s="127" t="s">
        <v>186</v>
      </c>
      <c r="Q301" s="85" t="str">
        <f t="shared" si="213"/>
        <v/>
      </c>
      <c r="R301" s="130"/>
      <c r="S301" s="128"/>
      <c r="T301" s="131"/>
      <c r="U301" s="132">
        <v>203</v>
      </c>
      <c r="V301" s="121">
        <v>218.2</v>
      </c>
      <c r="W301" s="116">
        <v>0.98</v>
      </c>
      <c r="X301" s="116">
        <v>1.66</v>
      </c>
      <c r="Y301" s="116">
        <f t="shared" ref="Y301:Y364" si="239">(W301*X301)/((CQ301/100)*W301+(1-CQ301/100)*X301)</f>
        <v>0.98</v>
      </c>
      <c r="Z301" s="133">
        <v>1.454</v>
      </c>
      <c r="AA301" s="133">
        <v>0.83599999999999997</v>
      </c>
      <c r="AB301" s="133">
        <v>0.72</v>
      </c>
      <c r="AC301" s="121">
        <v>34.299999999999997</v>
      </c>
      <c r="AD301" s="134">
        <v>1.17</v>
      </c>
      <c r="AE301" s="124">
        <v>177.8</v>
      </c>
      <c r="AF301" s="128">
        <v>9.19</v>
      </c>
      <c r="AG301" s="128">
        <v>2107</v>
      </c>
      <c r="AH301" s="127">
        <v>2420</v>
      </c>
      <c r="AI301" s="127">
        <v>2420</v>
      </c>
      <c r="AJ301" s="135"/>
      <c r="AK301" s="128"/>
      <c r="AL301" s="131"/>
      <c r="AM301" s="124" t="s">
        <v>232</v>
      </c>
      <c r="AN301" s="136" t="s">
        <v>1309</v>
      </c>
      <c r="AO301" s="137">
        <v>16.600000000000001</v>
      </c>
      <c r="AP301" s="128">
        <v>2107</v>
      </c>
      <c r="AQ301" s="128">
        <v>228.35</v>
      </c>
      <c r="AR301" s="128"/>
      <c r="AS301" s="128"/>
      <c r="AT301" s="122"/>
      <c r="AU301" s="124" t="s">
        <v>189</v>
      </c>
      <c r="AV301" s="115">
        <f>VLOOKUP(J301,'[63]ТР нефть'!$J$28:$BP$638,39,0)</f>
        <v>449.999992969</v>
      </c>
      <c r="AW301" s="115" t="str">
        <f>VLOOKUP(J301,'[63]ТР нефть'!$J$28:$BP$638,40,0)</f>
        <v>ГП</v>
      </c>
      <c r="AX301" s="115">
        <f>VLOOKUP(J301,'[63]ТР нефть'!$J$28:$BP$638,41,0)</f>
        <v>859.99997168000004</v>
      </c>
      <c r="AY301" s="115" t="str">
        <f>VLOOKUP(J301,'[63]ТР нефть'!$J$28:$BP$638,42,0)</f>
        <v>ГП</v>
      </c>
      <c r="AZ301" s="115">
        <f>VLOOKUP(J301,'[63]ТР нефть'!$J$28:$BP$638,43,0)</f>
        <v>1170.0000263669999</v>
      </c>
      <c r="BA301" s="115" t="str">
        <f>VLOOKUP(J301,'[63]ТР нефть'!$J$28:$BP$638,44,0)</f>
        <v>ГК75 1/8</v>
      </c>
      <c r="BB301" s="115">
        <f>VLOOKUP(J301,'[63]ТР нефть'!$J$28:$BP$638,45,0)</f>
        <v>1449.9999773439999</v>
      </c>
      <c r="BC301" s="115" t="str">
        <f>VLOOKUP(J301,'[63]ТР нефть'!$J$28:$BP$638,46,0)</f>
        <v>ГК 75 5/32</v>
      </c>
      <c r="BD301" s="115">
        <f>VLOOKUP(J301,'[63]ТР нефть'!$J$28:$BP$638,47,0)</f>
        <v>1669.999944141</v>
      </c>
      <c r="BE301" s="115" t="str">
        <f>VLOOKUP(J301,'[63]ТР нефть'!$J$28:$BP$638,48,0)</f>
        <v>ЦКсОК 5/16</v>
      </c>
      <c r="BF301" s="115" t="str">
        <f>VLOOKUP(J301,'[63]ТР нефть'!$J$28:$BP$638,49,0)</f>
        <v>-</v>
      </c>
      <c r="BG301" s="115" t="str">
        <f>VLOOKUP(J301,'[63]ТР нефть'!$J$28:$BP$638,50,0)</f>
        <v>-</v>
      </c>
      <c r="BH301" s="115" t="str">
        <f>VLOOKUP(J301,'[63]ТР нефть'!$J$28:$BP$638,51,0)</f>
        <v>-</v>
      </c>
      <c r="BI301" s="115" t="str">
        <f>VLOOKUP(J301,'[63]ТР нефть'!$J$28:$BP$638,52,0)</f>
        <v>-</v>
      </c>
      <c r="BJ301" s="115" t="str">
        <f>IF(IFERROR(VLOOKUP(J301,'[63]ТР нефть'!$J$28:$BP$638,53,0),"-")=0,"-",IFERROR(VLOOKUP(J301,'[63]ТР нефть'!$J$28:$BP$638,53,0),"-"))</f>
        <v>-</v>
      </c>
      <c r="BK301" s="138" t="str">
        <f>IF(IFERROR(VLOOKUP(J301,'[63]ТР нефть'!$J$28:$BP$638,54,0),"-")=0,"-",IFERROR(VLOOKUP(J301,'[63]ТР нефть'!$J$28:$BP$638,54,0),"-"))</f>
        <v>-</v>
      </c>
      <c r="BL301" s="138" t="str">
        <f>IF(IFERROR(VLOOKUP(J301,'[63]ТР нефть'!$J$28:$BP$638,55,0),"-")=0,"-",IFERROR(VLOOKUP(J301,'[63]ТР нефть'!$J$28:$BP$638,55,0),"-"))</f>
        <v>-</v>
      </c>
      <c r="BM301" s="138" t="str">
        <f>IF(IFERROR(VLOOKUP(J301,'[63]ТР нефть'!$J$28:$BP$638,56,0),"-")=0,"-",IFERROR(VLOOKUP(J301,'[63]ТР нефть'!$J$28:$BP$638,56,0),"-"))</f>
        <v>-</v>
      </c>
      <c r="BN301" s="138" t="str">
        <f>IF(IFERROR(VLOOKUP(J301,'[63]ТР нефть'!$J$28:$BP$638,57,0),"-")=0,"-",IFERROR(VLOOKUP(J301,'[63]ТР нефть'!$J$28:$BP$638,57,0),"-"))</f>
        <v>-</v>
      </c>
      <c r="BO301" s="115" t="str">
        <f>IF(IFERROR(VLOOKUP(J301,'[63]ТР нефть'!$J$28:$BP$638,58,0),"-")=0,"-",IFERROR(VLOOKUP(J301,'[63]ТР нефть'!$J$28:$BP$638,58,0),"-"))</f>
        <v>-</v>
      </c>
      <c r="BP301" s="115" t="str">
        <f>IF(IFERROR(VLOOKUP(J301,'[63]ТР нефть'!$J$28:$BP$638,59,0),"-")=0,"-",IFERROR(VLOOKUP(J301,'[63]ТР нефть'!$J$28:$BP$638,59,0),"-"))</f>
        <v>-</v>
      </c>
      <c r="BQ301" s="138">
        <v>1700</v>
      </c>
      <c r="BR301" s="128">
        <v>1886.2</v>
      </c>
      <c r="BS301" s="115">
        <f t="shared" si="211"/>
        <v>-186.20000000000005</v>
      </c>
      <c r="BT301" s="128">
        <v>73</v>
      </c>
      <c r="BU301" s="128">
        <v>5.5</v>
      </c>
      <c r="BV301" s="127">
        <v>18</v>
      </c>
      <c r="BW301" s="127" t="s">
        <v>194</v>
      </c>
      <c r="BX301" s="127" t="s">
        <v>195</v>
      </c>
      <c r="BY301" s="139">
        <v>24</v>
      </c>
      <c r="BZ301" s="139">
        <v>0</v>
      </c>
      <c r="CA301" s="80">
        <v>25</v>
      </c>
      <c r="CB301" s="138">
        <v>46</v>
      </c>
      <c r="CC301" s="138">
        <v>25</v>
      </c>
      <c r="CD301" s="135">
        <v>45017</v>
      </c>
      <c r="CE301" s="138">
        <v>98</v>
      </c>
      <c r="CF301" s="138">
        <v>72</v>
      </c>
      <c r="CG301" s="138" t="str">
        <f t="shared" si="212"/>
        <v>В работе</v>
      </c>
      <c r="CH301" s="138" t="s">
        <v>196</v>
      </c>
      <c r="CI301" s="127">
        <v>5</v>
      </c>
      <c r="CJ301" s="138"/>
      <c r="CK301" s="138">
        <f t="shared" si="207"/>
        <v>28</v>
      </c>
      <c r="CL301" s="99"/>
      <c r="CM301" s="99"/>
      <c r="CN301" s="140">
        <v>53</v>
      </c>
      <c r="CO301" s="141">
        <f t="shared" si="216"/>
        <v>6.9388000000000005</v>
      </c>
      <c r="CP301" s="142">
        <v>8.3000000000000007</v>
      </c>
      <c r="CQ301" s="143">
        <v>0</v>
      </c>
      <c r="CR301" s="115">
        <v>12</v>
      </c>
      <c r="CS301" s="139">
        <v>9.6</v>
      </c>
      <c r="CT301" s="138"/>
      <c r="CU301" s="138">
        <f t="shared" si="235"/>
        <v>2.4000000000000004</v>
      </c>
      <c r="CV301" s="115">
        <f t="shared" si="236"/>
        <v>345.88113218423939</v>
      </c>
      <c r="CW301" s="115">
        <f t="shared" si="217"/>
        <v>1383.5245287369573</v>
      </c>
      <c r="CX301" s="133">
        <f t="shared" si="237"/>
        <v>0.18444444444444447</v>
      </c>
      <c r="CY301" s="116"/>
      <c r="CZ301" s="131"/>
      <c r="DA301" s="145" t="str">
        <f t="shared" si="218"/>
        <v>Газлифт</v>
      </c>
      <c r="DB301" s="146">
        <f t="shared" si="219"/>
        <v>6.9388000000000005</v>
      </c>
      <c r="DC301" s="142">
        <f t="shared" si="234"/>
        <v>8.3000000000000007</v>
      </c>
      <c r="DD301" s="119">
        <f t="shared" si="204"/>
        <v>0</v>
      </c>
      <c r="DE301" s="115">
        <f t="shared" si="220"/>
        <v>2.4000000000000004</v>
      </c>
      <c r="DF301" s="121">
        <f t="shared" si="221"/>
        <v>9.6</v>
      </c>
      <c r="DG301" s="115">
        <f t="shared" si="222"/>
        <v>345.88113218423939</v>
      </c>
      <c r="DH301" s="115">
        <f t="shared" si="223"/>
        <v>53</v>
      </c>
      <c r="DI301" s="147"/>
      <c r="DJ301" s="111">
        <v>43526</v>
      </c>
      <c r="DK301" s="112">
        <v>44221</v>
      </c>
      <c r="DL301" s="113">
        <f t="shared" ref="DL301:DL338" ca="1" si="240">TODAY()-DK301</f>
        <v>883</v>
      </c>
      <c r="DM301" s="114"/>
      <c r="DN301" s="114"/>
      <c r="DO301" s="114"/>
      <c r="DP301" s="114"/>
      <c r="DQ301" s="112">
        <v>42665</v>
      </c>
      <c r="DR301" s="114" t="s">
        <v>198</v>
      </c>
      <c r="DS301" s="114"/>
      <c r="DT301" s="115">
        <v>60</v>
      </c>
      <c r="DU301" s="116">
        <f t="shared" ref="DU301:DU338" si="241">DW301/(CE301-DT301)</f>
        <v>0.21842105263157896</v>
      </c>
      <c r="DV301" s="117">
        <f t="shared" ref="DV301:DV338" si="242">DW301*(1-DX301/100)*$AA301</f>
        <v>6.9388000000000005</v>
      </c>
      <c r="DW301" s="118">
        <f t="shared" ref="DW301:DW338" si="243">IF(DT301&lt;CN301,IF(MQ301=1,CP301,(1-0.2*(DT301/CE301)-0.8*(DT301/CE301)^2)*(CP301/(1-0.2*(CN301/CE301)-0.8*(CN301/CE301)^2))),CP301)</f>
        <v>8.3000000000000007</v>
      </c>
      <c r="DX301" s="119">
        <f t="shared" si="224"/>
        <v>0</v>
      </c>
      <c r="DY301" s="115">
        <f t="shared" ref="DY301:DY338" si="244">(CV301*DV301)/1000</f>
        <v>2.4000000000000004</v>
      </c>
      <c r="DZ301" s="117">
        <f t="shared" ref="DZ301:EB338" si="245">DV301-CO301</f>
        <v>0</v>
      </c>
      <c r="EA301" s="120">
        <f t="shared" si="245"/>
        <v>0</v>
      </c>
      <c r="EB301" s="119">
        <f t="shared" si="245"/>
        <v>0</v>
      </c>
      <c r="EC301" s="121">
        <f t="shared" ref="EC301:EC338" si="246">DY301-CU301</f>
        <v>0</v>
      </c>
      <c r="ED301" s="122"/>
      <c r="EE301" s="145">
        <v>18</v>
      </c>
      <c r="EF301" s="148">
        <v>26</v>
      </c>
      <c r="EG301" s="115">
        <v>50</v>
      </c>
      <c r="EH301" s="115">
        <v>25</v>
      </c>
      <c r="EI301" s="128" t="s">
        <v>195</v>
      </c>
      <c r="EJ301" s="121">
        <v>24</v>
      </c>
      <c r="EK301" s="121">
        <v>0</v>
      </c>
      <c r="EL301" s="149">
        <v>7.8583999999999996</v>
      </c>
      <c r="EM301" s="142">
        <v>9.4</v>
      </c>
      <c r="EN301" s="119">
        <v>0</v>
      </c>
      <c r="EO301" s="115">
        <v>10</v>
      </c>
      <c r="EP301" s="115">
        <v>50.900946757609738</v>
      </c>
      <c r="EQ301" s="115">
        <v>71</v>
      </c>
      <c r="ER301" s="115">
        <v>9.6</v>
      </c>
      <c r="ES301" s="115">
        <v>54</v>
      </c>
      <c r="ET301" s="150">
        <v>0.21363636363636365</v>
      </c>
      <c r="EU301" s="145">
        <f t="shared" si="225"/>
        <v>18</v>
      </c>
      <c r="EV301" s="115">
        <f t="shared" si="226"/>
        <v>25</v>
      </c>
      <c r="EW301" s="115">
        <f t="shared" si="226"/>
        <v>46</v>
      </c>
      <c r="EX301" s="115">
        <f t="shared" si="226"/>
        <v>25</v>
      </c>
      <c r="EY301" s="115" t="str">
        <f t="shared" si="206"/>
        <v>Постоянный</v>
      </c>
      <c r="EZ301" s="115">
        <f t="shared" si="206"/>
        <v>24</v>
      </c>
      <c r="FA301" s="115">
        <f t="shared" si="206"/>
        <v>0</v>
      </c>
      <c r="FB301" s="149">
        <f t="shared" si="238"/>
        <v>6.9388000000000005</v>
      </c>
      <c r="FC301" s="142">
        <f t="shared" si="238"/>
        <v>8.3000000000000007</v>
      </c>
      <c r="FD301" s="119">
        <f t="shared" si="238"/>
        <v>0</v>
      </c>
      <c r="FE301" s="121">
        <f t="shared" si="208"/>
        <v>12</v>
      </c>
      <c r="FF301" s="121">
        <f t="shared" ref="FF301:FF364" si="247">CV301</f>
        <v>345.88113218423939</v>
      </c>
      <c r="FG301" s="121">
        <f t="shared" si="227"/>
        <v>72</v>
      </c>
      <c r="FH301" s="121">
        <f t="shared" ref="FH301:FH364" si="248">CS301</f>
        <v>9.6</v>
      </c>
      <c r="FI301" s="121">
        <f t="shared" si="205"/>
        <v>53</v>
      </c>
      <c r="FJ301" s="144">
        <f t="shared" si="228"/>
        <v>0.18444444444444447</v>
      </c>
      <c r="FK301" s="132">
        <f t="shared" si="229"/>
        <v>0</v>
      </c>
      <c r="FL301" s="115">
        <f t="shared" si="229"/>
        <v>-1</v>
      </c>
      <c r="FM301" s="115">
        <f t="shared" si="229"/>
        <v>-4</v>
      </c>
      <c r="FN301" s="115">
        <f t="shared" si="229"/>
        <v>0</v>
      </c>
      <c r="FO301" s="115">
        <f t="shared" si="232"/>
        <v>0</v>
      </c>
      <c r="FP301" s="115">
        <f t="shared" si="232"/>
        <v>0</v>
      </c>
      <c r="FQ301" s="149">
        <f t="shared" si="232"/>
        <v>-0.91959999999999908</v>
      </c>
      <c r="FR301" s="142">
        <f t="shared" si="232"/>
        <v>-1.0999999999999996</v>
      </c>
      <c r="FS301" s="119">
        <f t="shared" si="232"/>
        <v>0</v>
      </c>
      <c r="FT301" s="121">
        <f t="shared" si="232"/>
        <v>2</v>
      </c>
      <c r="FU301" s="121">
        <f t="shared" si="230"/>
        <v>1</v>
      </c>
      <c r="FV301" s="121">
        <f t="shared" si="230"/>
        <v>0</v>
      </c>
      <c r="FW301" s="121">
        <f t="shared" si="231"/>
        <v>294.98018542662965</v>
      </c>
      <c r="FX301" s="121">
        <f t="shared" si="233"/>
        <v>-1</v>
      </c>
      <c r="FY301" s="144">
        <f t="shared" si="214"/>
        <v>-2.9191919191919186E-2</v>
      </c>
      <c r="FZ301" s="145"/>
      <c r="GA301" s="125"/>
      <c r="GB301" s="145"/>
      <c r="GC301" s="125"/>
      <c r="GD301" s="997" t="s">
        <v>202</v>
      </c>
      <c r="GE301" s="1004"/>
      <c r="GF301" s="1004">
        <v>0.93632000000000026</v>
      </c>
      <c r="GG301" s="1004"/>
      <c r="GH301" s="1004">
        <v>-0.31475399999999976</v>
      </c>
      <c r="GI301" s="145"/>
      <c r="GJ301" s="996">
        <v>-0.69346199999999936</v>
      </c>
      <c r="GK301" s="145"/>
      <c r="GL301" s="996">
        <v>-0.44642400000000038</v>
      </c>
      <c r="GM301" s="1005"/>
      <c r="GN301" s="996">
        <v>0</v>
      </c>
      <c r="GO301" s="1006"/>
      <c r="GP301" s="996">
        <v>0</v>
      </c>
      <c r="GQ301" s="1006" t="s">
        <v>240</v>
      </c>
      <c r="GR301" s="996">
        <v>-1.1536799999999996</v>
      </c>
      <c r="GS301" s="1006"/>
      <c r="GT301" s="996">
        <v>0</v>
      </c>
      <c r="GU301" s="1006"/>
      <c r="GV301" s="996">
        <v>0</v>
      </c>
      <c r="GW301" s="1006"/>
      <c r="GX301" s="1035">
        <v>0</v>
      </c>
      <c r="GY301" s="1006"/>
      <c r="GZ301" s="996">
        <v>-0.5016000000000016</v>
      </c>
      <c r="HA301" s="1006"/>
      <c r="HB301" s="996">
        <v>-6.9805999999985602E-3</v>
      </c>
      <c r="HC301" s="1006"/>
      <c r="HD301" s="996">
        <v>0</v>
      </c>
      <c r="HE301" s="1006" t="s">
        <v>241</v>
      </c>
      <c r="HF301" s="996">
        <v>0.37429726399999907</v>
      </c>
      <c r="HG301" s="1006"/>
      <c r="HH301" s="996">
        <v>0.29510883600000071</v>
      </c>
      <c r="HI301" s="1006"/>
      <c r="HJ301" s="996">
        <v>0.22286756799999985</v>
      </c>
      <c r="HK301" s="1006"/>
      <c r="HL301" s="996">
        <v>-0.212668368000001</v>
      </c>
      <c r="HM301" s="1006" t="s">
        <v>204</v>
      </c>
      <c r="HN301" s="996">
        <v>-10.724061699999998</v>
      </c>
      <c r="HO301" s="1006"/>
      <c r="HP301" s="996">
        <v>0</v>
      </c>
      <c r="HQ301" s="1006"/>
      <c r="HR301" s="996">
        <v>0</v>
      </c>
      <c r="HS301" s="1006"/>
      <c r="HT301" s="996">
        <v>0</v>
      </c>
      <c r="HU301" s="1006" t="s">
        <v>204</v>
      </c>
      <c r="HV301" s="996">
        <v>1.0513034399999981</v>
      </c>
      <c r="HW301" s="1006" t="s">
        <v>204</v>
      </c>
      <c r="HX301" s="996">
        <v>4.668142072000002</v>
      </c>
      <c r="HY301" s="1006"/>
      <c r="HZ301" s="996">
        <v>0</v>
      </c>
      <c r="IA301" s="1006" t="s">
        <v>203</v>
      </c>
      <c r="IB301" s="996">
        <v>-1.7193585640000038</v>
      </c>
      <c r="IC301" s="1006" t="s">
        <v>204</v>
      </c>
      <c r="ID301" s="996">
        <v>-11.242605747999999</v>
      </c>
      <c r="IE301" s="1006" t="s">
        <v>203</v>
      </c>
      <c r="IF301" s="996">
        <v>-9.5191976000000018</v>
      </c>
      <c r="IG301" s="1006" t="s">
        <v>25</v>
      </c>
      <c r="IH301" s="996">
        <v>33.276812800000002</v>
      </c>
      <c r="II301" s="1006"/>
      <c r="IJ301" s="996">
        <v>0</v>
      </c>
      <c r="IK301" s="1006"/>
      <c r="IL301" s="996">
        <v>0</v>
      </c>
      <c r="IM301" s="1006"/>
      <c r="IN301" s="996">
        <v>0</v>
      </c>
      <c r="IO301" s="1006" t="s">
        <v>199</v>
      </c>
      <c r="IP301" s="996">
        <v>1.5884</v>
      </c>
      <c r="IQ301" s="1006"/>
      <c r="IR301" s="996">
        <v>0</v>
      </c>
      <c r="IS301" s="1006"/>
      <c r="IT301" s="996">
        <v>0</v>
      </c>
      <c r="IU301" s="1006"/>
      <c r="IV301" s="996">
        <v>0</v>
      </c>
      <c r="IW301" s="1006"/>
      <c r="IX301" s="996">
        <v>0</v>
      </c>
      <c r="IY301" s="1006"/>
      <c r="IZ301" s="996">
        <v>-0.83599999999999985</v>
      </c>
      <c r="JA301" s="1006"/>
      <c r="JB301" s="996">
        <v>-0.75240000000000018</v>
      </c>
      <c r="JC301" s="1006"/>
      <c r="JD301" s="996">
        <v>0</v>
      </c>
      <c r="JE301" s="1006"/>
      <c r="JF301" s="996">
        <v>0</v>
      </c>
      <c r="JG301" s="1006"/>
      <c r="JH301" s="996">
        <v>0</v>
      </c>
      <c r="JI301" s="1006"/>
      <c r="JJ301" s="996">
        <v>0</v>
      </c>
      <c r="JK301" s="1007"/>
      <c r="JL301" s="1007">
        <v>0</v>
      </c>
      <c r="JM301" s="1007" t="s">
        <v>199</v>
      </c>
      <c r="JN301" s="1007">
        <v>1.8391999999999999</v>
      </c>
      <c r="JO301" s="1008"/>
      <c r="JP301" s="1007">
        <v>0</v>
      </c>
      <c r="JQ301" s="1008" t="s">
        <v>223</v>
      </c>
      <c r="JR301" s="1007">
        <v>-3.9291999999999998</v>
      </c>
      <c r="JS301" s="1008">
        <v>0</v>
      </c>
      <c r="JT301" s="1007">
        <v>0</v>
      </c>
      <c r="JU301" s="1008"/>
      <c r="JV301" s="1007">
        <v>0</v>
      </c>
      <c r="JW301" s="1008" t="s">
        <v>197</v>
      </c>
      <c r="JX301" s="1007">
        <v>1.672000000000029E-2</v>
      </c>
      <c r="JY301" s="1008" t="s">
        <v>204</v>
      </c>
      <c r="JZ301" s="1007">
        <v>-1.8559200000000011</v>
      </c>
      <c r="KA301" s="1008"/>
      <c r="KB301" s="1007">
        <v>0</v>
      </c>
      <c r="KC301" s="1008"/>
      <c r="KD301" s="1007">
        <v>0</v>
      </c>
      <c r="KE301" s="1008" t="s">
        <v>204</v>
      </c>
      <c r="KF301" s="1007">
        <v>1.2414600000000018</v>
      </c>
      <c r="KG301" s="1008"/>
      <c r="KH301" s="1007">
        <v>0</v>
      </c>
      <c r="KI301" s="1008" t="s">
        <v>1310</v>
      </c>
      <c r="KJ301" s="1007">
        <v>-2.4001560000000008</v>
      </c>
      <c r="KK301" s="1008"/>
      <c r="KL301" s="1007">
        <v>0</v>
      </c>
      <c r="KM301" s="1008" t="s">
        <v>314</v>
      </c>
      <c r="KN301" s="1007">
        <v>-2.1518639999999998</v>
      </c>
      <c r="KO301" s="1008" t="s">
        <v>314</v>
      </c>
      <c r="KP301" s="1007">
        <v>3.1974742799999998</v>
      </c>
      <c r="KQ301" s="1008">
        <v>0</v>
      </c>
      <c r="KR301" s="1007">
        <v>0</v>
      </c>
      <c r="KS301" s="1008">
        <v>0</v>
      </c>
      <c r="KT301" s="1007">
        <v>0</v>
      </c>
      <c r="KU301" s="1008">
        <v>0</v>
      </c>
      <c r="KV301" s="1007">
        <v>0</v>
      </c>
      <c r="KW301" s="1008">
        <v>0</v>
      </c>
      <c r="KX301" s="1007">
        <v>0.19668571999999962</v>
      </c>
      <c r="KY301" s="1008" t="s">
        <v>206</v>
      </c>
      <c r="KZ301" s="1007">
        <v>-5.891292</v>
      </c>
      <c r="LA301" s="1008">
        <v>0</v>
      </c>
      <c r="LB301" s="1007">
        <v>0</v>
      </c>
      <c r="LC301" s="1008">
        <v>0</v>
      </c>
      <c r="LD301" s="1007">
        <v>0</v>
      </c>
      <c r="LE301" s="1008" t="s">
        <v>206</v>
      </c>
      <c r="LF301" s="1007">
        <v>4.4323466000000007</v>
      </c>
      <c r="LG301" s="1008">
        <v>0</v>
      </c>
      <c r="LH301" s="1007">
        <v>0</v>
      </c>
      <c r="LI301" s="1008">
        <v>0</v>
      </c>
      <c r="LJ301" s="1007">
        <v>0</v>
      </c>
      <c r="LK301" s="1008">
        <v>0</v>
      </c>
      <c r="LL301" s="1007">
        <v>0</v>
      </c>
      <c r="LM301" s="1008">
        <v>0</v>
      </c>
      <c r="LN301" s="1007">
        <v>0</v>
      </c>
      <c r="LO301" s="1008">
        <v>0</v>
      </c>
      <c r="LP301" s="1007">
        <v>0</v>
      </c>
      <c r="LQ301" s="1008">
        <v>0</v>
      </c>
      <c r="LR301" s="1007">
        <v>0</v>
      </c>
      <c r="LS301" s="1008">
        <v>0</v>
      </c>
      <c r="LT301" s="1007">
        <v>0</v>
      </c>
      <c r="LU301" s="1008">
        <v>0</v>
      </c>
      <c r="LV301" s="1007">
        <v>0</v>
      </c>
      <c r="LW301" s="1008">
        <v>0</v>
      </c>
      <c r="LX301" s="1007">
        <v>0.33139400000000002</v>
      </c>
      <c r="LY301" s="1009">
        <v>0</v>
      </c>
      <c r="LZ301" s="1010">
        <v>-0.73734363999999897</v>
      </c>
      <c r="MA301" s="1011">
        <v>0</v>
      </c>
      <c r="MB301" s="1012">
        <v>0</v>
      </c>
      <c r="MC301" s="995"/>
      <c r="MD301" s="996"/>
      <c r="ME301" s="997" t="s">
        <v>202</v>
      </c>
      <c r="MF301" s="997"/>
      <c r="MG301" s="998"/>
      <c r="NR301" s="1000"/>
      <c r="NS301" s="1000"/>
      <c r="NT301" s="1001"/>
      <c r="NU301" s="1000"/>
      <c r="NV301" s="1001"/>
      <c r="NX301" s="1002"/>
      <c r="NZ301" s="1001"/>
      <c r="OA301" s="1001"/>
      <c r="OC301" s="1003"/>
      <c r="OD301" s="1003"/>
      <c r="OE301" s="1001"/>
      <c r="OF301" s="1003"/>
      <c r="OG301" s="1003"/>
      <c r="QX301" s="1000">
        <f>CN301-CA301</f>
        <v>28</v>
      </c>
      <c r="ASU301" s="999" t="s">
        <v>315</v>
      </c>
    </row>
    <row r="302" spans="1:466 1191:1191" s="1026" customFormat="1" ht="21" customHeight="1" x14ac:dyDescent="0.25">
      <c r="A302" s="982">
        <f t="shared" si="215"/>
        <v>1297</v>
      </c>
      <c r="B302" s="124">
        <f>SUBTOTAL(103,$J$29:J302)</f>
        <v>274</v>
      </c>
      <c r="C302" s="126">
        <v>45068</v>
      </c>
      <c r="D302" s="124" t="s">
        <v>176</v>
      </c>
      <c r="E302" s="127" t="s">
        <v>177</v>
      </c>
      <c r="F302" s="128" t="s">
        <v>177</v>
      </c>
      <c r="G302" s="127" t="s">
        <v>178</v>
      </c>
      <c r="H302" s="127" t="s">
        <v>179</v>
      </c>
      <c r="I302" s="127" t="s">
        <v>1311</v>
      </c>
      <c r="J302" s="152">
        <v>1297</v>
      </c>
      <c r="K302" s="127" t="s">
        <v>1311</v>
      </c>
      <c r="L302" s="130">
        <v>43428</v>
      </c>
      <c r="M302" s="127" t="s">
        <v>230</v>
      </c>
      <c r="N302" s="127" t="s">
        <v>184</v>
      </c>
      <c r="O302" s="127" t="s">
        <v>185</v>
      </c>
      <c r="P302" s="127" t="s">
        <v>186</v>
      </c>
      <c r="Q302" s="85" t="str">
        <f t="shared" si="213"/>
        <v/>
      </c>
      <c r="R302" s="130"/>
      <c r="S302" s="128"/>
      <c r="T302" s="131"/>
      <c r="U302" s="132">
        <v>203</v>
      </c>
      <c r="V302" s="121">
        <v>218.2</v>
      </c>
      <c r="W302" s="116">
        <v>0.98</v>
      </c>
      <c r="X302" s="116">
        <v>1.66</v>
      </c>
      <c r="Y302" s="116">
        <f t="shared" si="239"/>
        <v>0.98605891623227049</v>
      </c>
      <c r="Z302" s="133">
        <v>1.454</v>
      </c>
      <c r="AA302" s="133">
        <v>0.83599999999999997</v>
      </c>
      <c r="AB302" s="133">
        <v>0.72</v>
      </c>
      <c r="AC302" s="121">
        <v>34.299999999999997</v>
      </c>
      <c r="AD302" s="134">
        <v>1.17</v>
      </c>
      <c r="AE302" s="124">
        <v>177.8</v>
      </c>
      <c r="AF302" s="128">
        <v>9.19</v>
      </c>
      <c r="AG302" s="128">
        <v>2101.8000000000002</v>
      </c>
      <c r="AH302" s="127">
        <v>2954</v>
      </c>
      <c r="AI302" s="127">
        <v>2954</v>
      </c>
      <c r="AJ302" s="135"/>
      <c r="AK302" s="128"/>
      <c r="AL302" s="131"/>
      <c r="AM302" s="124" t="s">
        <v>187</v>
      </c>
      <c r="AN302" s="136" t="s">
        <v>1312</v>
      </c>
      <c r="AO302" s="137">
        <v>81.519999999999982</v>
      </c>
      <c r="AP302" s="128">
        <v>2118</v>
      </c>
      <c r="AQ302" s="128">
        <v>287</v>
      </c>
      <c r="AR302" s="128" t="s">
        <v>1313</v>
      </c>
      <c r="AS302" s="128">
        <v>114</v>
      </c>
      <c r="AT302" s="122">
        <v>7.37</v>
      </c>
      <c r="AU302" s="124" t="s">
        <v>189</v>
      </c>
      <c r="AV302" s="115">
        <f>VLOOKUP(J302,'[63]ТР нефть'!$J$28:$BP$638,39,0)</f>
        <v>443.000010938</v>
      </c>
      <c r="AW302" s="115" t="str">
        <f>VLOOKUP(J302,'[63]ТР нефть'!$J$28:$BP$638,40,0)</f>
        <v>ГП</v>
      </c>
      <c r="AX302" s="115">
        <f>VLOOKUP(J302,'[63]ТР нефть'!$J$28:$BP$638,41,0)</f>
        <v>849.00001054699999</v>
      </c>
      <c r="AY302" s="115" t="str">
        <f>VLOOKUP(J302,'[63]ТР нефть'!$J$28:$BP$638,42,0)</f>
        <v>ГП</v>
      </c>
      <c r="AZ302" s="115">
        <f>VLOOKUP(J302,'[63]ТР нефть'!$J$28:$BP$638,43,0)</f>
        <v>1273.000027734</v>
      </c>
      <c r="BA302" s="115" t="str">
        <f>VLOOKUP(J302,'[63]ТР нефть'!$J$28:$BP$638,44,0)</f>
        <v>ГК81 1/8</v>
      </c>
      <c r="BB302" s="115">
        <f>VLOOKUP(J302,'[63]ТР нефть'!$J$28:$BP$638,45,0)</f>
        <v>1633.000081641</v>
      </c>
      <c r="BC302" s="115" t="str">
        <f>VLOOKUP(J302,'[63]ТР нефть'!$J$28:$BP$638,46,0)</f>
        <v>ГК82 1/8</v>
      </c>
      <c r="BD302" s="115">
        <f>VLOOKUP(J302,'[63]ТР нефть'!$J$28:$BP$638,47,0)</f>
        <v>1935.0000292970001</v>
      </c>
      <c r="BE302" s="115" t="str">
        <f>VLOOKUP(J302,'[63]ТР нефть'!$J$28:$BP$638,48,0)</f>
        <v>ЦКсОК 5/16</v>
      </c>
      <c r="BF302" s="115" t="str">
        <f>VLOOKUP(J302,'[63]ТР нефть'!$J$28:$BP$638,49,0)</f>
        <v>-</v>
      </c>
      <c r="BG302" s="115" t="str">
        <f>VLOOKUP(J302,'[63]ТР нефть'!$J$28:$BP$638,50,0)</f>
        <v>-</v>
      </c>
      <c r="BH302" s="115">
        <f>VLOOKUP(J302,'[63]ТР нефть'!$J$28:$BP$638,51,0)</f>
        <v>1945</v>
      </c>
      <c r="BI302" s="115" t="str">
        <f>VLOOKUP(J302,'[63]ТР нефть'!$J$28:$BP$638,52,0)</f>
        <v>закрыт</v>
      </c>
      <c r="BJ302" s="115" t="str">
        <f>IF(IFERROR(VLOOKUP(J302,'[63]ТР нефть'!$J$28:$BP$638,53,0),"-")=0,"-",IFERROR(VLOOKUP(J302,'[63]ТР нефть'!$J$28:$BP$638,53,0),"-"))</f>
        <v>-</v>
      </c>
      <c r="BK302" s="138" t="str">
        <f>IF(IFERROR(VLOOKUP(J302,'[63]ТР нефть'!$J$28:$BP$638,54,0),"-")=0,"-",IFERROR(VLOOKUP(J302,'[63]ТР нефть'!$J$28:$BP$638,54,0),"-"))</f>
        <v>-</v>
      </c>
      <c r="BL302" s="138" t="str">
        <f>IF(IFERROR(VLOOKUP(J302,'[63]ТР нефть'!$J$28:$BP$638,55,0),"-")=0,"-",IFERROR(VLOOKUP(J302,'[63]ТР нефть'!$J$28:$BP$638,55,0),"-"))</f>
        <v>-</v>
      </c>
      <c r="BM302" s="138" t="str">
        <f>IF(IFERROR(VLOOKUP(J302,'[63]ТР нефть'!$J$28:$BP$638,56,0),"-")=0,"-",IFERROR(VLOOKUP(J302,'[63]ТР нефть'!$J$28:$BP$638,56,0),"-"))</f>
        <v>-</v>
      </c>
      <c r="BN302" s="138" t="str">
        <f>IF(IFERROR(VLOOKUP(J302,'[63]ТР нефть'!$J$28:$BP$638,57,0),"-")=0,"-",IFERROR(VLOOKUP(J302,'[63]ТР нефть'!$J$28:$BP$638,57,0),"-"))</f>
        <v>-</v>
      </c>
      <c r="BO302" s="115" t="str">
        <f>IF(IFERROR(VLOOKUP(J302,'[63]ТР нефть'!$J$28:$BP$638,58,0),"-")=0,"-",IFERROR(VLOOKUP(J302,'[63]ТР нефть'!$J$28:$BP$638,58,0),"-"))</f>
        <v>-</v>
      </c>
      <c r="BP302" s="115" t="str">
        <f>IF(IFERROR(VLOOKUP(J302,'[63]ТР нефть'!$J$28:$BP$638,59,0),"-")=0,"-",IFERROR(VLOOKUP(J302,'[63]ТР нефть'!$J$28:$BP$638,59,0),"-"))</f>
        <v>-</v>
      </c>
      <c r="BQ302" s="138">
        <v>1930</v>
      </c>
      <c r="BR302" s="128">
        <v>1711</v>
      </c>
      <c r="BS302" s="115">
        <f t="shared" si="211"/>
        <v>219</v>
      </c>
      <c r="BT302" s="128">
        <v>73</v>
      </c>
      <c r="BU302" s="128">
        <v>5.5</v>
      </c>
      <c r="BV302" s="127">
        <v>18</v>
      </c>
      <c r="BW302" s="127" t="s">
        <v>194</v>
      </c>
      <c r="BX302" s="127" t="s">
        <v>195</v>
      </c>
      <c r="BY302" s="139">
        <v>24</v>
      </c>
      <c r="BZ302" s="139">
        <v>0</v>
      </c>
      <c r="CA302" s="80">
        <v>25</v>
      </c>
      <c r="CB302" s="138">
        <v>68</v>
      </c>
      <c r="CC302" s="138">
        <v>24</v>
      </c>
      <c r="CD302" s="135">
        <v>45017</v>
      </c>
      <c r="CE302" s="138">
        <v>107</v>
      </c>
      <c r="CF302" s="138">
        <v>74</v>
      </c>
      <c r="CG302" s="138" t="str">
        <f t="shared" si="212"/>
        <v>В работе</v>
      </c>
      <c r="CH302" s="138" t="s">
        <v>196</v>
      </c>
      <c r="CI302" s="127"/>
      <c r="CJ302" s="138"/>
      <c r="CK302" s="138">
        <f t="shared" si="207"/>
        <v>39</v>
      </c>
      <c r="CL302" s="99"/>
      <c r="CM302" s="99"/>
      <c r="CN302" s="140">
        <v>64</v>
      </c>
      <c r="CO302" s="141">
        <f t="shared" si="216"/>
        <v>6.6700259999999991</v>
      </c>
      <c r="CP302" s="142">
        <v>8.1</v>
      </c>
      <c r="CQ302" s="143">
        <v>1.5</v>
      </c>
      <c r="CR302" s="138">
        <v>13</v>
      </c>
      <c r="CS302" s="139">
        <v>8.4</v>
      </c>
      <c r="CT302" s="138"/>
      <c r="CU302" s="138">
        <f t="shared" si="235"/>
        <v>4.5999999999999996</v>
      </c>
      <c r="CV302" s="115">
        <f t="shared" si="236"/>
        <v>689.65248411325547</v>
      </c>
      <c r="CW302" s="115">
        <f t="shared" si="217"/>
        <v>1233.3492347288243</v>
      </c>
      <c r="CX302" s="133">
        <f t="shared" si="237"/>
        <v>0.1883720930232558</v>
      </c>
      <c r="CY302" s="116"/>
      <c r="CZ302" s="131"/>
      <c r="DA302" s="145" t="str">
        <f t="shared" si="218"/>
        <v>Газлифт</v>
      </c>
      <c r="DB302" s="146">
        <f t="shared" si="219"/>
        <v>6.6700259999999991</v>
      </c>
      <c r="DC302" s="142">
        <f t="shared" si="234"/>
        <v>8.1</v>
      </c>
      <c r="DD302" s="119">
        <f t="shared" si="204"/>
        <v>1.5</v>
      </c>
      <c r="DE302" s="115">
        <f t="shared" si="220"/>
        <v>4.5999999999999996</v>
      </c>
      <c r="DF302" s="121">
        <f t="shared" si="221"/>
        <v>8.4</v>
      </c>
      <c r="DG302" s="115">
        <f t="shared" si="222"/>
        <v>689.65248411325547</v>
      </c>
      <c r="DH302" s="115">
        <f t="shared" si="223"/>
        <v>64</v>
      </c>
      <c r="DI302" s="147"/>
      <c r="DJ302" s="111" t="s">
        <v>197</v>
      </c>
      <c r="DK302" s="112">
        <v>44109</v>
      </c>
      <c r="DL302" s="113">
        <f t="shared" ca="1" si="240"/>
        <v>995</v>
      </c>
      <c r="DM302" s="114"/>
      <c r="DN302" s="114"/>
      <c r="DO302" s="114"/>
      <c r="DP302" s="114"/>
      <c r="DQ302" s="112">
        <v>43428</v>
      </c>
      <c r="DR302" s="114" t="s">
        <v>324</v>
      </c>
      <c r="DS302" s="114"/>
      <c r="DT302" s="115">
        <v>50</v>
      </c>
      <c r="DU302" s="116">
        <f t="shared" si="241"/>
        <v>0.1750360156410784</v>
      </c>
      <c r="DV302" s="117">
        <f t="shared" si="242"/>
        <v>8.2157039740687363</v>
      </c>
      <c r="DW302" s="118">
        <f t="shared" si="243"/>
        <v>9.9770528915414687</v>
      </c>
      <c r="DX302" s="119">
        <f t="shared" si="224"/>
        <v>1.5</v>
      </c>
      <c r="DY302" s="115">
        <f t="shared" si="244"/>
        <v>5.665980654455649</v>
      </c>
      <c r="DZ302" s="117">
        <f t="shared" si="245"/>
        <v>1.5456779740687372</v>
      </c>
      <c r="EA302" s="120">
        <f t="shared" si="245"/>
        <v>1.877052891541469</v>
      </c>
      <c r="EB302" s="119">
        <f t="shared" si="245"/>
        <v>0</v>
      </c>
      <c r="EC302" s="121">
        <f t="shared" si="246"/>
        <v>1.0659806544556494</v>
      </c>
      <c r="ED302" s="122"/>
      <c r="EE302" s="145">
        <v>18</v>
      </c>
      <c r="EF302" s="148">
        <v>27</v>
      </c>
      <c r="EG302" s="115">
        <v>67</v>
      </c>
      <c r="EH302" s="115">
        <v>26</v>
      </c>
      <c r="EI302" s="128" t="s">
        <v>195</v>
      </c>
      <c r="EJ302" s="121">
        <v>24</v>
      </c>
      <c r="EK302" s="121">
        <v>0</v>
      </c>
      <c r="EL302" s="149">
        <v>5.7373007999999999</v>
      </c>
      <c r="EM302" s="142">
        <v>7</v>
      </c>
      <c r="EN302" s="119">
        <v>1.96</v>
      </c>
      <c r="EO302" s="115">
        <v>11.8</v>
      </c>
      <c r="EP302" s="115">
        <v>732.05155985546389</v>
      </c>
      <c r="EQ302" s="115">
        <v>72</v>
      </c>
      <c r="ER302" s="115">
        <v>7.6</v>
      </c>
      <c r="ES302" s="115">
        <v>60</v>
      </c>
      <c r="ET302" s="150">
        <v>0.14893617021276595</v>
      </c>
      <c r="EU302" s="145">
        <f t="shared" si="225"/>
        <v>18</v>
      </c>
      <c r="EV302" s="115">
        <f t="shared" si="226"/>
        <v>25</v>
      </c>
      <c r="EW302" s="115">
        <f t="shared" si="226"/>
        <v>68</v>
      </c>
      <c r="EX302" s="115">
        <f t="shared" si="226"/>
        <v>24</v>
      </c>
      <c r="EY302" s="115" t="str">
        <f t="shared" si="206"/>
        <v>Постоянный</v>
      </c>
      <c r="EZ302" s="115">
        <f t="shared" si="206"/>
        <v>24</v>
      </c>
      <c r="FA302" s="115">
        <f t="shared" si="206"/>
        <v>0</v>
      </c>
      <c r="FB302" s="149">
        <f t="shared" si="238"/>
        <v>6.6700259999999991</v>
      </c>
      <c r="FC302" s="142">
        <f t="shared" si="238"/>
        <v>8.1</v>
      </c>
      <c r="FD302" s="119">
        <f t="shared" si="238"/>
        <v>1.5</v>
      </c>
      <c r="FE302" s="121">
        <f t="shared" si="208"/>
        <v>13</v>
      </c>
      <c r="FF302" s="121">
        <f t="shared" si="247"/>
        <v>689.65248411325547</v>
      </c>
      <c r="FG302" s="121">
        <f t="shared" si="227"/>
        <v>74</v>
      </c>
      <c r="FH302" s="121">
        <f t="shared" si="248"/>
        <v>8.4</v>
      </c>
      <c r="FI302" s="121">
        <f t="shared" si="205"/>
        <v>64</v>
      </c>
      <c r="FJ302" s="144">
        <f t="shared" si="228"/>
        <v>0.1883720930232558</v>
      </c>
      <c r="FK302" s="132">
        <f t="shared" si="229"/>
        <v>0</v>
      </c>
      <c r="FL302" s="115">
        <f t="shared" si="229"/>
        <v>-2</v>
      </c>
      <c r="FM302" s="115">
        <f t="shared" si="229"/>
        <v>1</v>
      </c>
      <c r="FN302" s="115">
        <f t="shared" si="229"/>
        <v>-2</v>
      </c>
      <c r="FO302" s="115">
        <f t="shared" si="232"/>
        <v>0</v>
      </c>
      <c r="FP302" s="115">
        <f t="shared" si="232"/>
        <v>0</v>
      </c>
      <c r="FQ302" s="149">
        <f t="shared" si="232"/>
        <v>0.93272519999999925</v>
      </c>
      <c r="FR302" s="142">
        <f t="shared" si="232"/>
        <v>1.0999999999999996</v>
      </c>
      <c r="FS302" s="119">
        <f t="shared" si="232"/>
        <v>-0.45999999999999996</v>
      </c>
      <c r="FT302" s="121">
        <f t="shared" si="232"/>
        <v>1.1999999999999993</v>
      </c>
      <c r="FU302" s="121">
        <f t="shared" si="230"/>
        <v>2</v>
      </c>
      <c r="FV302" s="121">
        <f t="shared" si="230"/>
        <v>0.80000000000000071</v>
      </c>
      <c r="FW302" s="121">
        <f t="shared" si="231"/>
        <v>-42.399075742208424</v>
      </c>
      <c r="FX302" s="121">
        <f t="shared" si="233"/>
        <v>4</v>
      </c>
      <c r="FY302" s="144">
        <f t="shared" si="214"/>
        <v>3.9435922810489854E-2</v>
      </c>
      <c r="FZ302" s="145"/>
      <c r="GA302" s="125"/>
      <c r="GB302" s="145"/>
      <c r="GC302" s="125"/>
      <c r="GD302" s="997" t="s">
        <v>202</v>
      </c>
      <c r="GE302" s="1004"/>
      <c r="GF302" s="1004">
        <v>-5.6179199999999874E-2</v>
      </c>
      <c r="GG302" s="1004" t="s">
        <v>223</v>
      </c>
      <c r="GH302" s="1004">
        <v>-1.6688231999999994</v>
      </c>
      <c r="GI302" s="145" t="s">
        <v>1314</v>
      </c>
      <c r="GJ302" s="996">
        <v>1.4461577767999989</v>
      </c>
      <c r="GK302" s="145"/>
      <c r="GL302" s="996">
        <v>-0.99504565600000028</v>
      </c>
      <c r="GM302" s="1005"/>
      <c r="GN302" s="996">
        <v>-4.1552543999999081E-2</v>
      </c>
      <c r="GO302" s="1006" t="s">
        <v>203</v>
      </c>
      <c r="GP302" s="996">
        <v>-0.80306160000000038</v>
      </c>
      <c r="GQ302" s="1006" t="s">
        <v>199</v>
      </c>
      <c r="GR302" s="996">
        <v>-2.3469863999999996</v>
      </c>
      <c r="GS302" s="1006"/>
      <c r="GT302" s="996">
        <v>0.56088075999999898</v>
      </c>
      <c r="GU302" s="1006"/>
      <c r="GV302" s="996">
        <v>-0.80448279999999972</v>
      </c>
      <c r="GW302" s="1006"/>
      <c r="GX302" s="1035">
        <v>-0.5631379600000006</v>
      </c>
      <c r="GY302" s="1006" t="s">
        <v>203</v>
      </c>
      <c r="GZ302" s="996">
        <v>-2.4134483999999983</v>
      </c>
      <c r="HA302" s="1006" t="s">
        <v>25</v>
      </c>
      <c r="HB302" s="996">
        <v>2.4343065999999993</v>
      </c>
      <c r="HC302" s="1006" t="s">
        <v>363</v>
      </c>
      <c r="HD302" s="996">
        <v>4.5739148399999987</v>
      </c>
      <c r="HE302" s="1006" t="s">
        <v>25</v>
      </c>
      <c r="HF302" s="996">
        <v>3.4099227800000005</v>
      </c>
      <c r="HG302" s="1006" t="s">
        <v>223</v>
      </c>
      <c r="HH302" s="996">
        <v>-4.7412842972000009</v>
      </c>
      <c r="HI302" s="1006"/>
      <c r="HJ302" s="996">
        <v>0</v>
      </c>
      <c r="HK302" s="1006"/>
      <c r="HL302" s="996">
        <v>-0.28048126039999932</v>
      </c>
      <c r="HM302" s="1006" t="s">
        <v>199</v>
      </c>
      <c r="HN302" s="996">
        <v>-4.2377662624000001</v>
      </c>
      <c r="HO302" s="1006" t="s">
        <v>199</v>
      </c>
      <c r="HP302" s="996">
        <v>5.9556640000000005</v>
      </c>
      <c r="HQ302" s="1006"/>
      <c r="HR302" s="996">
        <v>-0.59356000000000009</v>
      </c>
      <c r="HS302" s="1006" t="s">
        <v>643</v>
      </c>
      <c r="HT302" s="996">
        <v>0</v>
      </c>
      <c r="HU302" s="1006" t="s">
        <v>199</v>
      </c>
      <c r="HV302" s="996">
        <v>-3.8029639999999998</v>
      </c>
      <c r="HW302" s="1006"/>
      <c r="HX302" s="996">
        <v>0.24806460799999996</v>
      </c>
      <c r="HY302" s="1006" t="s">
        <v>199</v>
      </c>
      <c r="HZ302" s="996">
        <v>-4.8427406720000006</v>
      </c>
      <c r="IA302" s="1006" t="s">
        <v>199</v>
      </c>
      <c r="IB302" s="996">
        <v>4.8321719600000019</v>
      </c>
      <c r="IC302" s="1006"/>
      <c r="ID302" s="996">
        <v>-0.15832669600000226</v>
      </c>
      <c r="IE302" s="1006" t="s">
        <v>199</v>
      </c>
      <c r="IF302" s="996">
        <v>1.9096748000000012</v>
      </c>
      <c r="IG302" s="1006"/>
      <c r="IH302" s="996">
        <v>0</v>
      </c>
      <c r="II302" s="1006"/>
      <c r="IJ302" s="996">
        <v>-0.71762240000000066</v>
      </c>
      <c r="IK302" s="1006"/>
      <c r="IL302" s="996">
        <v>0</v>
      </c>
      <c r="IM302" s="1006" t="s">
        <v>199</v>
      </c>
      <c r="IN302" s="996">
        <v>1.8269944000000002</v>
      </c>
      <c r="IO302" s="1006"/>
      <c r="IP302" s="996">
        <v>4.4308000000000014E-2</v>
      </c>
      <c r="IQ302" s="1006"/>
      <c r="IR302" s="996">
        <v>0</v>
      </c>
      <c r="IS302" s="1006"/>
      <c r="IT302" s="996">
        <v>0</v>
      </c>
      <c r="IU302" s="1006"/>
      <c r="IV302" s="996">
        <v>0</v>
      </c>
      <c r="IW302" s="1006"/>
      <c r="IX302" s="996">
        <v>0</v>
      </c>
      <c r="IY302" s="1006"/>
      <c r="IZ302" s="996">
        <v>0</v>
      </c>
      <c r="JA302" s="1006" t="s">
        <v>223</v>
      </c>
      <c r="JB302" s="996">
        <v>-3.2603999999999997</v>
      </c>
      <c r="JC302" s="1006"/>
      <c r="JD302" s="996">
        <v>0</v>
      </c>
      <c r="JE302" s="1006"/>
      <c r="JF302" s="996">
        <v>0</v>
      </c>
      <c r="JG302" s="1006"/>
      <c r="JH302" s="996">
        <v>0</v>
      </c>
      <c r="JI302" s="1006"/>
      <c r="JJ302" s="996">
        <v>0</v>
      </c>
      <c r="JK302" s="1007"/>
      <c r="JL302" s="1007">
        <v>0</v>
      </c>
      <c r="JM302" s="1007"/>
      <c r="JN302" s="1007">
        <v>0</v>
      </c>
      <c r="JO302" s="1008"/>
      <c r="JP302" s="1007">
        <v>0</v>
      </c>
      <c r="JQ302" s="1008" t="s">
        <v>223</v>
      </c>
      <c r="JR302" s="1007">
        <v>-2.1736000000000004</v>
      </c>
      <c r="JS302" s="1008" t="s">
        <v>223</v>
      </c>
      <c r="JT302" s="1007">
        <v>5.8520000000000003</v>
      </c>
      <c r="JU302" s="1008"/>
      <c r="JV302" s="1007">
        <v>0</v>
      </c>
      <c r="JW302" s="1008" t="s">
        <v>223</v>
      </c>
      <c r="JX302" s="1007">
        <v>-5.8520000000000003</v>
      </c>
      <c r="JY302" s="1008"/>
      <c r="JZ302" s="1007">
        <v>0</v>
      </c>
      <c r="KA302" s="1008"/>
      <c r="KB302" s="1007">
        <v>0</v>
      </c>
      <c r="KC302" s="1008" t="s">
        <v>240</v>
      </c>
      <c r="KD302" s="1007">
        <v>-7.5240000000000009</v>
      </c>
      <c r="KE302" s="1008" t="s">
        <v>240</v>
      </c>
      <c r="KF302" s="1007">
        <v>-12.54</v>
      </c>
      <c r="KG302" s="1008" t="s">
        <v>203</v>
      </c>
      <c r="KH302" s="1007">
        <v>-18.141200000000001</v>
      </c>
      <c r="KI302" s="1008"/>
      <c r="KJ302" s="1007">
        <v>0</v>
      </c>
      <c r="KK302" s="1008"/>
      <c r="KL302" s="1007"/>
      <c r="KM302" s="1008"/>
      <c r="KN302" s="1007"/>
      <c r="KO302" s="1008"/>
      <c r="KP302" s="1007"/>
      <c r="KQ302" s="1008"/>
      <c r="KR302" s="1007"/>
      <c r="KS302" s="1008"/>
      <c r="KT302" s="1007"/>
      <c r="KU302" s="1008"/>
      <c r="KV302" s="1007"/>
      <c r="KW302" s="1008"/>
      <c r="KX302" s="1007"/>
      <c r="KY302" s="1008"/>
      <c r="KZ302" s="1007"/>
      <c r="LA302" s="1008"/>
      <c r="LB302" s="1007"/>
      <c r="LC302" s="1008"/>
      <c r="LD302" s="1007"/>
      <c r="LE302" s="1008"/>
      <c r="LF302" s="1007"/>
      <c r="LG302" s="1008"/>
      <c r="LH302" s="1007"/>
      <c r="LI302" s="1008"/>
      <c r="LJ302" s="1007"/>
      <c r="LK302" s="1008"/>
      <c r="LL302" s="1007"/>
      <c r="LM302" s="1008"/>
      <c r="LN302" s="1007"/>
      <c r="LO302" s="1008"/>
      <c r="LP302" s="1007"/>
      <c r="LQ302" s="1008"/>
      <c r="LR302" s="1007"/>
      <c r="LS302" s="1008"/>
      <c r="LT302" s="1007"/>
      <c r="LU302" s="1008"/>
      <c r="LV302" s="1007"/>
      <c r="LW302" s="1008"/>
      <c r="LX302" s="1007"/>
      <c r="LY302" s="1009"/>
      <c r="LZ302" s="1010"/>
      <c r="MA302" s="1011"/>
      <c r="MB302" s="1012"/>
      <c r="MC302" s="995"/>
      <c r="MD302" s="996"/>
      <c r="ME302" s="997" t="s">
        <v>202</v>
      </c>
      <c r="MF302" s="997"/>
      <c r="MG302" s="998"/>
      <c r="MH302" s="878"/>
      <c r="MI302" s="878"/>
      <c r="MJ302" s="878"/>
      <c r="MK302" s="878"/>
      <c r="ML302" s="878"/>
      <c r="MM302" s="878"/>
      <c r="MN302" s="878"/>
      <c r="MO302" s="878"/>
      <c r="MP302" s="878"/>
      <c r="MQ302" s="878"/>
      <c r="MR302" s="878"/>
      <c r="MS302" s="878"/>
      <c r="MT302" s="878"/>
      <c r="MU302" s="878"/>
      <c r="MV302" s="878"/>
      <c r="MW302" s="878"/>
      <c r="MX302" s="878"/>
      <c r="MY302" s="878"/>
      <c r="MZ302" s="878"/>
      <c r="NA302" s="878"/>
      <c r="NB302" s="878"/>
      <c r="NC302" s="878"/>
      <c r="ND302" s="878"/>
      <c r="NE302" s="878"/>
      <c r="NF302" s="878"/>
      <c r="NG302" s="878"/>
      <c r="NH302" s="878"/>
      <c r="NI302" s="878"/>
      <c r="NJ302" s="878"/>
      <c r="NK302" s="878"/>
      <c r="NL302" s="878"/>
      <c r="NM302" s="878"/>
      <c r="NR302" s="1027"/>
      <c r="NS302" s="1027"/>
      <c r="NT302" s="1028"/>
      <c r="NU302" s="1027"/>
      <c r="NV302" s="1028"/>
      <c r="NW302" s="1029"/>
      <c r="NX302" s="1030"/>
      <c r="NY302" s="1029"/>
      <c r="NZ302" s="1028"/>
      <c r="OA302" s="1028"/>
      <c r="OB302" s="1029"/>
      <c r="OC302" s="1031"/>
      <c r="OD302" s="1031"/>
      <c r="OE302" s="1028"/>
      <c r="OF302" s="1031"/>
      <c r="OG302" s="1031"/>
      <c r="QX302" s="1000">
        <f>CN302-CA302</f>
        <v>39</v>
      </c>
      <c r="ASU302" s="1026" t="s">
        <v>208</v>
      </c>
    </row>
    <row r="303" spans="1:466 1191:1191" s="1032" customFormat="1" ht="21" customHeight="1" x14ac:dyDescent="0.25">
      <c r="A303" s="982">
        <f t="shared" si="215"/>
        <v>1298</v>
      </c>
      <c r="B303" s="124">
        <f>SUBTOTAL(103,$J$29:J303)</f>
        <v>275</v>
      </c>
      <c r="C303" s="126">
        <v>45068</v>
      </c>
      <c r="D303" s="124" t="s">
        <v>176</v>
      </c>
      <c r="E303" s="127" t="s">
        <v>177</v>
      </c>
      <c r="F303" s="128" t="s">
        <v>177</v>
      </c>
      <c r="G303" s="127" t="s">
        <v>178</v>
      </c>
      <c r="H303" s="127" t="s">
        <v>179</v>
      </c>
      <c r="I303" s="127" t="s">
        <v>663</v>
      </c>
      <c r="J303" s="152">
        <v>1298</v>
      </c>
      <c r="K303" s="127" t="s">
        <v>663</v>
      </c>
      <c r="L303" s="130">
        <v>41898</v>
      </c>
      <c r="M303" s="127" t="s">
        <v>230</v>
      </c>
      <c r="N303" s="127" t="s">
        <v>184</v>
      </c>
      <c r="O303" s="127" t="s">
        <v>455</v>
      </c>
      <c r="P303" s="127" t="s">
        <v>292</v>
      </c>
      <c r="Q303" s="127">
        <v>-4</v>
      </c>
      <c r="R303" s="130"/>
      <c r="S303" s="128"/>
      <c r="T303" s="131"/>
      <c r="U303" s="132">
        <v>203</v>
      </c>
      <c r="V303" s="121">
        <v>218.2</v>
      </c>
      <c r="W303" s="116">
        <v>0.98</v>
      </c>
      <c r="X303" s="116">
        <v>1.66</v>
      </c>
      <c r="Y303" s="116">
        <f t="shared" si="239"/>
        <v>1.0100809405897562</v>
      </c>
      <c r="Z303" s="133">
        <v>1.454</v>
      </c>
      <c r="AA303" s="133">
        <v>0.83599999999999997</v>
      </c>
      <c r="AB303" s="133">
        <v>0.72</v>
      </c>
      <c r="AC303" s="121">
        <v>34.299999999999997</v>
      </c>
      <c r="AD303" s="134">
        <v>1.17</v>
      </c>
      <c r="AE303" s="124">
        <v>177.8</v>
      </c>
      <c r="AF303" s="128">
        <v>9.19</v>
      </c>
      <c r="AG303" s="128">
        <v>2063</v>
      </c>
      <c r="AH303" s="127">
        <v>2678</v>
      </c>
      <c r="AI303" s="127">
        <v>2678</v>
      </c>
      <c r="AJ303" s="135"/>
      <c r="AK303" s="128"/>
      <c r="AL303" s="131"/>
      <c r="AM303" s="124" t="s">
        <v>232</v>
      </c>
      <c r="AN303" s="136" t="s">
        <v>1315</v>
      </c>
      <c r="AO303" s="137">
        <v>35.03</v>
      </c>
      <c r="AP303" s="128">
        <v>2063</v>
      </c>
      <c r="AQ303" s="128">
        <v>228</v>
      </c>
      <c r="AR303" s="128"/>
      <c r="AS303" s="128"/>
      <c r="AT303" s="122"/>
      <c r="AU303" s="124" t="s">
        <v>189</v>
      </c>
      <c r="AV303" s="128">
        <f>VLOOKUP(J303,'[63]ТР нефть'!$J$28:$BP$638,39,0)</f>
        <v>500</v>
      </c>
      <c r="AW303" s="128" t="str">
        <f>VLOOKUP(J303,'[63]ТР нефть'!$J$28:$BP$638,40,0)</f>
        <v>ГП</v>
      </c>
      <c r="AX303" s="128">
        <f>VLOOKUP(J303,'[63]ТР нефть'!$J$28:$BP$638,41,0)</f>
        <v>900</v>
      </c>
      <c r="AY303" s="128" t="str">
        <f>VLOOKUP(J303,'[63]ТР нефть'!$J$28:$BP$638,42,0)</f>
        <v>ГП</v>
      </c>
      <c r="AZ303" s="128">
        <f>VLOOKUP(J303,'[63]ТР нефть'!$J$28:$BP$638,43,0)</f>
        <v>1220</v>
      </c>
      <c r="BA303" s="128" t="str">
        <f>VLOOKUP(J303,'[63]ТР нефть'!$J$28:$BP$638,44,0)</f>
        <v>ГП</v>
      </c>
      <c r="BB303" s="128">
        <f>VLOOKUP(J303,'[63]ТР нефть'!$J$28:$BP$638,45,0)</f>
        <v>1480</v>
      </c>
      <c r="BC303" s="128" t="str">
        <f>VLOOKUP(J303,'[63]ТР нефть'!$J$28:$BP$638,46,0)</f>
        <v>ГП</v>
      </c>
      <c r="BD303" s="128">
        <f>VLOOKUP(J303,'[63]ТР нефть'!$J$28:$BP$638,47,0)</f>
        <v>1730</v>
      </c>
      <c r="BE303" s="128" t="str">
        <f>VLOOKUP(J303,'[63]ТР нефть'!$J$28:$BP$638,48,0)</f>
        <v>ЦКсОК 5/16</v>
      </c>
      <c r="BF303" s="128" t="str">
        <f>VLOOKUP(J303,'[63]ТР нефть'!$J$28:$BP$638,49,0)</f>
        <v>-</v>
      </c>
      <c r="BG303" s="128" t="str">
        <f>VLOOKUP(J303,'[63]ТР нефть'!$J$28:$BP$638,50,0)</f>
        <v>-</v>
      </c>
      <c r="BH303" s="128">
        <f>VLOOKUP(J303,'[63]ТР нефть'!$J$28:$BP$638,51,0)</f>
        <v>1770</v>
      </c>
      <c r="BI303" s="128" t="str">
        <f>VLOOKUP(J303,'[63]ТР нефть'!$J$28:$BP$638,52,0)</f>
        <v>закр</v>
      </c>
      <c r="BJ303" s="128" t="str">
        <f>IF(IFERROR(VLOOKUP(J303,'[63]ТР нефть'!$J$28:$BP$638,53,0),"-")=0,"-",IFERROR(VLOOKUP(J303,'[63]ТР нефть'!$J$28:$BP$638,53,0),"-"))</f>
        <v>-</v>
      </c>
      <c r="BK303" s="127" t="str">
        <f>IF(IFERROR(VLOOKUP(J303,'[63]ТР нефть'!$J$28:$BP$638,54,0),"-")=0,"-",IFERROR(VLOOKUP(J303,'[63]ТР нефть'!$J$28:$BP$638,54,0),"-"))</f>
        <v>-</v>
      </c>
      <c r="BL303" s="127" t="str">
        <f>IF(IFERROR(VLOOKUP(J303,'[63]ТР нефть'!$J$28:$BP$638,55,0),"-")=0,"-",IFERROR(VLOOKUP(J303,'[63]ТР нефть'!$J$28:$BP$638,55,0),"-"))</f>
        <v>-</v>
      </c>
      <c r="BM303" s="127" t="str">
        <f>IF(IFERROR(VLOOKUP(J303,'[63]ТР нефть'!$J$28:$BP$638,56,0),"-")=0,"-",IFERROR(VLOOKUP(J303,'[63]ТР нефть'!$J$28:$BP$638,56,0),"-"))</f>
        <v>-</v>
      </c>
      <c r="BN303" s="127" t="str">
        <f>IF(IFERROR(VLOOKUP(J303,'[63]ТР нефть'!$J$28:$BP$638,57,0),"-")=0,"-",IFERROR(VLOOKUP(J303,'[63]ТР нефть'!$J$28:$BP$638,57,0),"-"))</f>
        <v>-</v>
      </c>
      <c r="BO303" s="128" t="str">
        <f>IF(IFERROR(VLOOKUP(J303,'[63]ТР нефть'!$J$28:$BP$638,58,0),"-")=0,"-",IFERROR(VLOOKUP(J303,'[63]ТР нефть'!$J$28:$BP$638,58,0),"-"))</f>
        <v>-</v>
      </c>
      <c r="BP303" s="128" t="str">
        <f>IF(IFERROR(VLOOKUP(J303,'[63]ТР нефть'!$J$28:$BP$638,59,0),"-")=0,"-",IFERROR(VLOOKUP(J303,'[63]ТР нефть'!$J$28:$BP$638,59,0),"-"))</f>
        <v>-</v>
      </c>
      <c r="BQ303" s="138">
        <v>2090</v>
      </c>
      <c r="BR303" s="128">
        <v>1839.91</v>
      </c>
      <c r="BS303" s="115">
        <f t="shared" si="211"/>
        <v>250.08999999999992</v>
      </c>
      <c r="BT303" s="128">
        <v>73</v>
      </c>
      <c r="BU303" s="128">
        <v>5.5</v>
      </c>
      <c r="BV303" s="127">
        <v>65</v>
      </c>
      <c r="BW303" s="127" t="s">
        <v>217</v>
      </c>
      <c r="BX303" s="127" t="s">
        <v>218</v>
      </c>
      <c r="BY303" s="139">
        <v>24</v>
      </c>
      <c r="BZ303" s="139">
        <v>720</v>
      </c>
      <c r="CA303" s="80">
        <v>24</v>
      </c>
      <c r="CB303" s="138">
        <v>42</v>
      </c>
      <c r="CC303" s="138">
        <v>23</v>
      </c>
      <c r="CD303" s="135">
        <v>45017</v>
      </c>
      <c r="CE303" s="138">
        <v>89.2</v>
      </c>
      <c r="CF303" s="138">
        <v>74</v>
      </c>
      <c r="CG303" s="138" t="str">
        <f t="shared" si="212"/>
        <v>В работе</v>
      </c>
      <c r="CH303" s="138" t="s">
        <v>196</v>
      </c>
      <c r="CI303" s="127">
        <v>5</v>
      </c>
      <c r="CJ303" s="138"/>
      <c r="CK303" s="138">
        <f t="shared" si="207"/>
        <v>30.515999999999998</v>
      </c>
      <c r="CL303" s="138"/>
      <c r="CM303" s="99"/>
      <c r="CN303" s="140">
        <v>54.515999999999998</v>
      </c>
      <c r="CO303" s="141">
        <f t="shared" si="216"/>
        <v>0.85274507999999993</v>
      </c>
      <c r="CP303" s="142">
        <v>1.1000000000000001</v>
      </c>
      <c r="CQ303" s="143">
        <v>7.27</v>
      </c>
      <c r="CR303" s="138">
        <v>1</v>
      </c>
      <c r="CS303" s="139">
        <v>0.2</v>
      </c>
      <c r="CT303" s="138"/>
      <c r="CU303" s="138">
        <f t="shared" si="235"/>
        <v>0.8</v>
      </c>
      <c r="CV303" s="115">
        <f t="shared" si="236"/>
        <v>938.14672023672074</v>
      </c>
      <c r="CW303" s="115">
        <f t="shared" si="217"/>
        <v>211.56177930818748</v>
      </c>
      <c r="CX303" s="133">
        <f t="shared" si="237"/>
        <v>3.1714911774881789E-2</v>
      </c>
      <c r="CY303" s="116"/>
      <c r="CZ303" s="131"/>
      <c r="DA303" s="145" t="str">
        <f t="shared" si="218"/>
        <v>Газлифт</v>
      </c>
      <c r="DB303" s="146">
        <f t="shared" si="219"/>
        <v>0.85274507999999993</v>
      </c>
      <c r="DC303" s="142">
        <f t="shared" si="234"/>
        <v>1.1000000000000001</v>
      </c>
      <c r="DD303" s="119">
        <f t="shared" si="204"/>
        <v>7.27</v>
      </c>
      <c r="DE303" s="115">
        <f t="shared" si="220"/>
        <v>0.8</v>
      </c>
      <c r="DF303" s="121">
        <f t="shared" si="221"/>
        <v>0.2</v>
      </c>
      <c r="DG303" s="115">
        <f t="shared" si="222"/>
        <v>938.14672023672074</v>
      </c>
      <c r="DH303" s="115">
        <f t="shared" si="223"/>
        <v>54.515999999999998</v>
      </c>
      <c r="DI303" s="150"/>
      <c r="DJ303" s="111">
        <v>43658</v>
      </c>
      <c r="DK303" s="112">
        <v>42591</v>
      </c>
      <c r="DL303" s="113">
        <f t="shared" ca="1" si="240"/>
        <v>2513</v>
      </c>
      <c r="DM303" s="114"/>
      <c r="DN303" s="114"/>
      <c r="DO303" s="114"/>
      <c r="DP303" s="114"/>
      <c r="DQ303" s="112">
        <v>43609</v>
      </c>
      <c r="DR303" s="114" t="s">
        <v>198</v>
      </c>
      <c r="DS303" s="114"/>
      <c r="DT303" s="115">
        <v>46</v>
      </c>
      <c r="DU303" s="116">
        <f t="shared" si="241"/>
        <v>3.008805539552744E-2</v>
      </c>
      <c r="DV303" s="117">
        <f t="shared" si="242"/>
        <v>1.0076376909719185</v>
      </c>
      <c r="DW303" s="118">
        <f t="shared" si="243"/>
        <v>1.2998039930867855</v>
      </c>
      <c r="DX303" s="119">
        <f t="shared" si="224"/>
        <v>7.27</v>
      </c>
      <c r="DY303" s="115">
        <f t="shared" si="244"/>
        <v>0.94531199497220764</v>
      </c>
      <c r="DZ303" s="117">
        <f t="shared" si="245"/>
        <v>0.15489261097191853</v>
      </c>
      <c r="EA303" s="120">
        <f t="shared" si="245"/>
        <v>0.19980399308678543</v>
      </c>
      <c r="EB303" s="119">
        <f t="shared" si="245"/>
        <v>0</v>
      </c>
      <c r="EC303" s="121">
        <f t="shared" si="246"/>
        <v>0.14531199497220759</v>
      </c>
      <c r="ED303" s="122"/>
      <c r="EE303" s="145">
        <v>65</v>
      </c>
      <c r="EF303" s="148">
        <v>24</v>
      </c>
      <c r="EG303" s="115">
        <v>42</v>
      </c>
      <c r="EH303" s="115">
        <v>23</v>
      </c>
      <c r="EI303" s="128" t="s">
        <v>218</v>
      </c>
      <c r="EJ303" s="121">
        <v>24</v>
      </c>
      <c r="EK303" s="121">
        <v>720</v>
      </c>
      <c r="EL303" s="149">
        <v>0.85274507999999993</v>
      </c>
      <c r="EM303" s="142">
        <v>1.1000000000000001</v>
      </c>
      <c r="EN303" s="119">
        <v>7.27</v>
      </c>
      <c r="EO303" s="115">
        <v>1</v>
      </c>
      <c r="EP303" s="115">
        <v>938.14672023672074</v>
      </c>
      <c r="EQ303" s="115">
        <v>74</v>
      </c>
      <c r="ER303" s="115">
        <v>0.2</v>
      </c>
      <c r="ES303" s="115">
        <v>54.515999999999998</v>
      </c>
      <c r="ET303" s="150">
        <v>3.1714911774881789E-2</v>
      </c>
      <c r="EU303" s="145">
        <f t="shared" si="225"/>
        <v>65</v>
      </c>
      <c r="EV303" s="115">
        <f t="shared" si="226"/>
        <v>24</v>
      </c>
      <c r="EW303" s="115">
        <f t="shared" si="226"/>
        <v>42</v>
      </c>
      <c r="EX303" s="115">
        <f t="shared" si="226"/>
        <v>23</v>
      </c>
      <c r="EY303" s="115" t="str">
        <f t="shared" si="206"/>
        <v>Периодический</v>
      </c>
      <c r="EZ303" s="115">
        <f t="shared" si="206"/>
        <v>24</v>
      </c>
      <c r="FA303" s="115">
        <f t="shared" si="206"/>
        <v>720</v>
      </c>
      <c r="FB303" s="149">
        <f t="shared" si="238"/>
        <v>0.85274507999999993</v>
      </c>
      <c r="FC303" s="142">
        <f t="shared" si="238"/>
        <v>1.1000000000000001</v>
      </c>
      <c r="FD303" s="119">
        <f t="shared" si="238"/>
        <v>7.27</v>
      </c>
      <c r="FE303" s="121">
        <f t="shared" si="208"/>
        <v>1</v>
      </c>
      <c r="FF303" s="121">
        <f t="shared" si="247"/>
        <v>938.14672023672074</v>
      </c>
      <c r="FG303" s="121">
        <f t="shared" si="227"/>
        <v>74</v>
      </c>
      <c r="FH303" s="121">
        <f t="shared" si="248"/>
        <v>0.2</v>
      </c>
      <c r="FI303" s="121">
        <f t="shared" si="205"/>
        <v>54.515999999999998</v>
      </c>
      <c r="FJ303" s="144">
        <f t="shared" si="228"/>
        <v>3.1714911774881789E-2</v>
      </c>
      <c r="FK303" s="132">
        <f t="shared" si="229"/>
        <v>0</v>
      </c>
      <c r="FL303" s="115">
        <f t="shared" si="229"/>
        <v>0</v>
      </c>
      <c r="FM303" s="115">
        <f t="shared" si="229"/>
        <v>0</v>
      </c>
      <c r="FN303" s="115">
        <f t="shared" si="229"/>
        <v>0</v>
      </c>
      <c r="FO303" s="115">
        <f t="shared" si="232"/>
        <v>0</v>
      </c>
      <c r="FP303" s="115">
        <f t="shared" si="232"/>
        <v>0</v>
      </c>
      <c r="FQ303" s="149">
        <f t="shared" si="232"/>
        <v>0</v>
      </c>
      <c r="FR303" s="142">
        <f t="shared" si="232"/>
        <v>0</v>
      </c>
      <c r="FS303" s="119">
        <f t="shared" si="232"/>
        <v>0</v>
      </c>
      <c r="FT303" s="121">
        <f t="shared" si="232"/>
        <v>0</v>
      </c>
      <c r="FU303" s="121">
        <f t="shared" si="230"/>
        <v>0</v>
      </c>
      <c r="FV303" s="121">
        <f t="shared" si="230"/>
        <v>0</v>
      </c>
      <c r="FW303" s="121">
        <f t="shared" si="231"/>
        <v>0</v>
      </c>
      <c r="FX303" s="121">
        <f t="shared" si="233"/>
        <v>0</v>
      </c>
      <c r="FY303" s="144">
        <f t="shared" si="214"/>
        <v>0</v>
      </c>
      <c r="FZ303" s="145"/>
      <c r="GA303" s="151"/>
      <c r="GB303" s="145"/>
      <c r="GC303" s="151"/>
      <c r="GD303" s="997" t="s">
        <v>202</v>
      </c>
      <c r="GE303" s="1004"/>
      <c r="GF303" s="1004">
        <v>0</v>
      </c>
      <c r="GG303" s="1004"/>
      <c r="GH303" s="1004">
        <v>0</v>
      </c>
      <c r="GI303" s="145"/>
      <c r="GJ303" s="996">
        <v>0</v>
      </c>
      <c r="GK303" s="145"/>
      <c r="GL303" s="996">
        <v>0</v>
      </c>
      <c r="GM303" s="1005"/>
      <c r="GN303" s="996">
        <v>0</v>
      </c>
      <c r="GO303" s="1006"/>
      <c r="GP303" s="996">
        <v>0</v>
      </c>
      <c r="GQ303" s="1006"/>
      <c r="GR303" s="996">
        <v>0</v>
      </c>
      <c r="GS303" s="1006"/>
      <c r="GT303" s="996">
        <v>0</v>
      </c>
      <c r="GU303" s="1006"/>
      <c r="GV303" s="996">
        <v>0.12667908000000005</v>
      </c>
      <c r="GW303" s="1006"/>
      <c r="GX303" s="1035">
        <v>0</v>
      </c>
      <c r="GY303" s="1006"/>
      <c r="GZ303" s="996">
        <v>8.6525999999999881E-2</v>
      </c>
      <c r="HA303" s="1006"/>
      <c r="HB303" s="996">
        <v>0</v>
      </c>
      <c r="HC303" s="1006" t="s">
        <v>241</v>
      </c>
      <c r="HD303" s="996">
        <v>0</v>
      </c>
      <c r="HE303" s="1006"/>
      <c r="HF303" s="996">
        <v>-0.52743239999999991</v>
      </c>
      <c r="HG303" s="1006" t="s">
        <v>199</v>
      </c>
      <c r="HH303" s="996">
        <v>0</v>
      </c>
      <c r="HI303" s="1006"/>
      <c r="HJ303" s="996">
        <v>0.66465561359999992</v>
      </c>
      <c r="HK303" s="1006"/>
      <c r="HL303" s="996">
        <v>-6.888371940645166E-2</v>
      </c>
      <c r="HM303" s="1006"/>
      <c r="HN303" s="996">
        <v>-0.10994802322580632</v>
      </c>
      <c r="HO303" s="1006"/>
      <c r="HP303" s="996">
        <v>0</v>
      </c>
      <c r="HQ303" s="1006"/>
      <c r="HR303" s="996">
        <v>-2.8966051612903332E-2</v>
      </c>
      <c r="HS303" s="1006"/>
      <c r="HT303" s="996">
        <v>0</v>
      </c>
      <c r="HU303" s="1006"/>
      <c r="HV303" s="996">
        <v>-6.8713806451612736E-2</v>
      </c>
      <c r="HW303" s="1006"/>
      <c r="HX303" s="996">
        <v>-0.87728761290322588</v>
      </c>
      <c r="HY303" s="1006"/>
      <c r="HZ303" s="996">
        <v>-0.21243805000000004</v>
      </c>
      <c r="IA303" s="1006" t="s">
        <v>25</v>
      </c>
      <c r="IB303" s="996">
        <v>-1.5384937259999998</v>
      </c>
      <c r="IC303" s="1006"/>
      <c r="ID303" s="996">
        <v>0.32065281599999995</v>
      </c>
      <c r="IE303" s="1006"/>
      <c r="IF303" s="996">
        <v>0</v>
      </c>
      <c r="IG303" s="1006"/>
      <c r="IH303" s="996">
        <v>0</v>
      </c>
      <c r="II303" s="1006"/>
      <c r="IJ303" s="996">
        <v>0.82799112000000008</v>
      </c>
      <c r="IK303" s="1006"/>
      <c r="IL303" s="996">
        <v>0.16131455999999966</v>
      </c>
      <c r="IM303" s="1006"/>
      <c r="IN303" s="996">
        <v>-4.2167839999999845E-2</v>
      </c>
      <c r="IO303" s="1006" t="s">
        <v>203</v>
      </c>
      <c r="IP303" s="996">
        <v>-3.3817035999999998</v>
      </c>
      <c r="IQ303" s="1006" t="s">
        <v>25</v>
      </c>
      <c r="IR303" s="996">
        <v>2.3859607199999999</v>
      </c>
      <c r="IS303" s="1006"/>
      <c r="IT303" s="996">
        <v>0.33440000000000003</v>
      </c>
      <c r="IU303" s="1006"/>
      <c r="IV303" s="996">
        <v>0</v>
      </c>
      <c r="IW303" s="1006"/>
      <c r="IX303" s="996">
        <v>0</v>
      </c>
      <c r="IY303" s="1006"/>
      <c r="IZ303" s="996">
        <v>0</v>
      </c>
      <c r="JA303" s="1006"/>
      <c r="JB303" s="996">
        <v>0</v>
      </c>
      <c r="JC303" s="1006"/>
      <c r="JD303" s="996">
        <v>0</v>
      </c>
      <c r="JE303" s="1006"/>
      <c r="JF303" s="996">
        <v>0</v>
      </c>
      <c r="JG303" s="1006"/>
      <c r="JH303" s="996">
        <v>0</v>
      </c>
      <c r="JI303" s="1006"/>
      <c r="JJ303" s="996">
        <v>0</v>
      </c>
      <c r="JK303" s="1007"/>
      <c r="JL303" s="1007">
        <v>0</v>
      </c>
      <c r="JM303" s="1007" t="s">
        <v>204</v>
      </c>
      <c r="JN303" s="1007">
        <v>-2.2154000000000003</v>
      </c>
      <c r="JO303" s="1008"/>
      <c r="JP303" s="1007">
        <v>0</v>
      </c>
      <c r="JQ303" s="1008">
        <v>0</v>
      </c>
      <c r="JR303" s="1007">
        <v>0</v>
      </c>
      <c r="JS303" s="1008">
        <v>0</v>
      </c>
      <c r="JT303" s="1007">
        <v>0.77171160000000061</v>
      </c>
      <c r="JU303" s="1008" t="s">
        <v>25</v>
      </c>
      <c r="JV303" s="1007">
        <v>0.4822883999999994</v>
      </c>
      <c r="JW303" s="1008" t="s">
        <v>197</v>
      </c>
      <c r="JX303" s="1007">
        <v>0</v>
      </c>
      <c r="JY303" s="1008"/>
      <c r="JZ303" s="1007">
        <v>0</v>
      </c>
      <c r="KA303" s="1008"/>
      <c r="KB303" s="1007">
        <v>0</v>
      </c>
      <c r="KC303" s="1008"/>
      <c r="KD303" s="1007">
        <v>0</v>
      </c>
      <c r="KE303" s="1008" t="s">
        <v>204</v>
      </c>
      <c r="KF303" s="1007">
        <v>-0.41799999999999971</v>
      </c>
      <c r="KG303" s="1008" t="s">
        <v>221</v>
      </c>
      <c r="KH303" s="1007">
        <v>-1.6719999999999997</v>
      </c>
      <c r="KI303" s="1008" t="s">
        <v>314</v>
      </c>
      <c r="KJ303" s="1007">
        <v>-0.8360000000000003</v>
      </c>
      <c r="KK303" s="1008"/>
      <c r="KL303" s="1007">
        <v>0</v>
      </c>
      <c r="KM303" s="1008"/>
      <c r="KN303" s="1007">
        <v>0</v>
      </c>
      <c r="KO303" s="1008" t="s">
        <v>314</v>
      </c>
      <c r="KP303" s="1007">
        <v>3.1767999999999996</v>
      </c>
      <c r="KQ303" s="1008">
        <v>0</v>
      </c>
      <c r="KR303" s="1007">
        <v>0</v>
      </c>
      <c r="KS303" s="1008">
        <v>0</v>
      </c>
      <c r="KT303" s="1007">
        <v>0</v>
      </c>
      <c r="KU303" s="1008" t="s">
        <v>260</v>
      </c>
      <c r="KV303" s="1007">
        <v>3.5112000000000001</v>
      </c>
      <c r="KW303" s="1008">
        <v>0</v>
      </c>
      <c r="KX303" s="1007">
        <v>0</v>
      </c>
      <c r="KY303" s="1008">
        <v>0</v>
      </c>
      <c r="KZ303" s="1007">
        <v>0</v>
      </c>
      <c r="LA303" s="1008">
        <v>0</v>
      </c>
      <c r="LB303" s="1007">
        <v>0</v>
      </c>
      <c r="LC303" s="1008">
        <v>0</v>
      </c>
      <c r="LD303" s="1007">
        <v>0</v>
      </c>
      <c r="LE303" s="1008">
        <v>0</v>
      </c>
      <c r="LF303" s="1007">
        <v>0</v>
      </c>
      <c r="LG303" s="1008">
        <v>0</v>
      </c>
      <c r="LH303" s="1007">
        <v>-3.4234199999999997</v>
      </c>
      <c r="LI303" s="1008">
        <v>0</v>
      </c>
      <c r="LJ303" s="1007">
        <v>0</v>
      </c>
      <c r="LK303" s="1008" t="s">
        <v>206</v>
      </c>
      <c r="LL303" s="1007">
        <v>-0.65280000000000005</v>
      </c>
      <c r="LM303" s="1008">
        <v>0</v>
      </c>
      <c r="LN303" s="1007">
        <v>0</v>
      </c>
      <c r="LO303" s="1008">
        <v>0</v>
      </c>
      <c r="LP303" s="1007">
        <v>-0.81599999999998996</v>
      </c>
      <c r="LQ303" s="1008">
        <v>0</v>
      </c>
      <c r="LR303" s="1007">
        <v>-0.81511</v>
      </c>
      <c r="LS303" s="1008">
        <v>0</v>
      </c>
      <c r="LT303" s="1007">
        <v>0</v>
      </c>
      <c r="LU303" s="1008">
        <v>0</v>
      </c>
      <c r="LV303" s="1007">
        <v>0.81511</v>
      </c>
      <c r="LW303" s="1008" t="s">
        <v>240</v>
      </c>
      <c r="LX303" s="1007">
        <v>-2.3774999999999999</v>
      </c>
      <c r="LY303" s="1009">
        <v>0</v>
      </c>
      <c r="LZ303" s="1010">
        <v>0</v>
      </c>
      <c r="MA303" s="1011" t="s">
        <v>223</v>
      </c>
      <c r="MB303" s="1012">
        <v>-2.1192599999999988</v>
      </c>
      <c r="MC303" s="995"/>
      <c r="MD303" s="996"/>
      <c r="ME303" s="997" t="s">
        <v>202</v>
      </c>
      <c r="MF303" s="997">
        <f>CN303-CA303</f>
        <v>30.515999999999998</v>
      </c>
      <c r="MG303" s="998"/>
      <c r="MH303" s="878"/>
      <c r="MI303" s="878"/>
      <c r="MJ303" s="878"/>
      <c r="MK303" s="878"/>
      <c r="ML303" s="878"/>
      <c r="MM303" s="878"/>
      <c r="MN303" s="878"/>
      <c r="MO303" s="878"/>
      <c r="MP303" s="878"/>
      <c r="MQ303" s="878"/>
      <c r="MR303" s="878"/>
      <c r="MS303" s="878"/>
      <c r="MT303" s="878"/>
      <c r="MU303" s="878"/>
      <c r="MV303" s="878"/>
      <c r="MW303" s="878"/>
      <c r="MX303" s="878"/>
      <c r="MY303" s="878"/>
      <c r="MZ303" s="878"/>
      <c r="NA303" s="878"/>
      <c r="NB303" s="878"/>
      <c r="NC303" s="878"/>
      <c r="ND303" s="878"/>
      <c r="NE303" s="878"/>
      <c r="NF303" s="878"/>
      <c r="NG303" s="878"/>
      <c r="NH303" s="878"/>
      <c r="NI303" s="878"/>
      <c r="NJ303" s="878"/>
      <c r="NK303" s="878"/>
      <c r="NL303" s="878"/>
      <c r="NM303" s="878"/>
      <c r="NR303" s="1027"/>
      <c r="NS303" s="1027"/>
      <c r="NT303" s="1028"/>
      <c r="NU303" s="1027"/>
      <c r="NV303" s="1028"/>
      <c r="NW303" s="1029"/>
      <c r="NX303" s="1030"/>
      <c r="NY303" s="1029"/>
      <c r="NZ303" s="1028"/>
      <c r="OA303" s="1028"/>
      <c r="OB303" s="1029"/>
      <c r="OC303" s="1031"/>
      <c r="OD303" s="1031"/>
      <c r="OE303" s="1028"/>
      <c r="OF303" s="1031"/>
      <c r="OG303" s="1031"/>
      <c r="ASU303" s="1032" t="s">
        <v>225</v>
      </c>
    </row>
    <row r="304" spans="1:466 1191:1191" ht="21" customHeight="1" x14ac:dyDescent="0.25">
      <c r="A304" s="982">
        <f t="shared" si="215"/>
        <v>1300</v>
      </c>
      <c r="B304" s="124">
        <f>SUBTOTAL(103,$J$29:J304)</f>
        <v>276</v>
      </c>
      <c r="C304" s="126">
        <v>45068</v>
      </c>
      <c r="D304" s="124" t="s">
        <v>176</v>
      </c>
      <c r="E304" s="127" t="s">
        <v>177</v>
      </c>
      <c r="F304" s="128" t="s">
        <v>177</v>
      </c>
      <c r="G304" s="127" t="s">
        <v>178</v>
      </c>
      <c r="H304" s="127" t="s">
        <v>179</v>
      </c>
      <c r="I304" s="127" t="s">
        <v>1311</v>
      </c>
      <c r="J304" s="152">
        <v>1300</v>
      </c>
      <c r="K304" s="127" t="s">
        <v>1311</v>
      </c>
      <c r="L304" s="130">
        <v>43433</v>
      </c>
      <c r="M304" s="127" t="s">
        <v>230</v>
      </c>
      <c r="N304" s="127" t="s">
        <v>184</v>
      </c>
      <c r="O304" s="127" t="s">
        <v>185</v>
      </c>
      <c r="P304" s="127" t="s">
        <v>186</v>
      </c>
      <c r="Q304" s="85" t="str">
        <f t="shared" ref="Q304:Q347" si="249">IF(R304="","",-4)</f>
        <v/>
      </c>
      <c r="R304" s="130"/>
      <c r="S304" s="128"/>
      <c r="T304" s="131"/>
      <c r="U304" s="132">
        <v>203</v>
      </c>
      <c r="V304" s="121">
        <v>218.2</v>
      </c>
      <c r="W304" s="116">
        <v>0.98</v>
      </c>
      <c r="X304" s="116">
        <v>1.66</v>
      </c>
      <c r="Y304" s="116">
        <f t="shared" si="239"/>
        <v>1.0132037867463877</v>
      </c>
      <c r="Z304" s="133">
        <v>1.454</v>
      </c>
      <c r="AA304" s="133">
        <v>0.83599999999999997</v>
      </c>
      <c r="AB304" s="133">
        <v>0.72</v>
      </c>
      <c r="AC304" s="121">
        <v>34.299999999999997</v>
      </c>
      <c r="AD304" s="134">
        <v>1.17</v>
      </c>
      <c r="AE304" s="124">
        <v>177.8</v>
      </c>
      <c r="AF304" s="128">
        <v>9.19</v>
      </c>
      <c r="AG304" s="128">
        <v>2272.6</v>
      </c>
      <c r="AH304" s="127">
        <v>3051</v>
      </c>
      <c r="AI304" s="127">
        <v>3051</v>
      </c>
      <c r="AJ304" s="135"/>
      <c r="AK304" s="128"/>
      <c r="AL304" s="131"/>
      <c r="AM304" s="124" t="s">
        <v>187</v>
      </c>
      <c r="AN304" s="136" t="s">
        <v>1316</v>
      </c>
      <c r="AO304" s="137">
        <v>45.79</v>
      </c>
      <c r="AP304" s="128">
        <v>2324.5</v>
      </c>
      <c r="AQ304" s="128">
        <v>439.9</v>
      </c>
      <c r="AR304" s="128" t="s">
        <v>1317</v>
      </c>
      <c r="AS304" s="128">
        <v>114</v>
      </c>
      <c r="AT304" s="122">
        <v>7.37</v>
      </c>
      <c r="AU304" s="124" t="s">
        <v>189</v>
      </c>
      <c r="AV304" s="115">
        <f>VLOOKUP(J304,'[63]ТР нефть'!$J$28:$BP$638,39,0)</f>
        <v>452.99999589800001</v>
      </c>
      <c r="AW304" s="115" t="str">
        <f>VLOOKUP(J304,'[63]ТР нефть'!$J$28:$BP$638,40,0)</f>
        <v>ГП</v>
      </c>
      <c r="AX304" s="115">
        <f>VLOOKUP(J304,'[63]ТР нефть'!$J$28:$BP$638,41,0)</f>
        <v>852.999989648</v>
      </c>
      <c r="AY304" s="115" t="str">
        <f>VLOOKUP(J304,'[63]ТР нефть'!$J$28:$BP$638,42,0)</f>
        <v>ГП</v>
      </c>
      <c r="AZ304" s="115">
        <f>VLOOKUP(J304,'[63]ТР нефть'!$J$28:$BP$638,43,0)</f>
        <v>1196.9999783200001</v>
      </c>
      <c r="BA304" s="115" t="str">
        <f>VLOOKUP(J304,'[63]ТР нефть'!$J$28:$BP$638,44,0)</f>
        <v>ГП</v>
      </c>
      <c r="BB304" s="115">
        <f>VLOOKUP(J304,'[63]ТР нефть'!$J$28:$BP$638,45,0)</f>
        <v>1459.000060547</v>
      </c>
      <c r="BC304" s="115" t="str">
        <f>VLOOKUP(J304,'[63]ТР нефть'!$J$28:$BP$638,46,0)</f>
        <v>ГК79 1/8</v>
      </c>
      <c r="BD304" s="115">
        <f>VLOOKUP(J304,'[63]ТР нефть'!$J$28:$BP$638,47,0)</f>
        <v>1675.9999499999999</v>
      </c>
      <c r="BE304" s="115" t="str">
        <f>VLOOKUP(J304,'[63]ТР нефть'!$J$28:$BP$638,48,0)</f>
        <v>ГК77 1/8</v>
      </c>
      <c r="BF304" s="115">
        <f>VLOOKUP(J304,'[63]ТР нефть'!$J$28:$BP$638,49,0)</f>
        <v>1830</v>
      </c>
      <c r="BG304" s="115" t="str">
        <f>VLOOKUP(J304,'[63]ТР нефть'!$J$28:$BP$638,50,0)</f>
        <v>ЦКсОК 5/16</v>
      </c>
      <c r="BH304" s="115">
        <f>VLOOKUP(J304,'[63]ТР нефть'!$J$28:$BP$638,51,0)</f>
        <v>1840</v>
      </c>
      <c r="BI304" s="115" t="str">
        <f>VLOOKUP(J304,'[63]ТР нефть'!$J$28:$BP$638,52,0)</f>
        <v>закрыт</v>
      </c>
      <c r="BJ304" s="115" t="str">
        <f>IF(IFERROR(VLOOKUP(J304,'[63]ТР нефть'!$J$28:$BP$638,53,0),"-")=0,"-",IFERROR(VLOOKUP(J304,'[63]ТР нефть'!$J$28:$BP$638,53,0),"-"))</f>
        <v>-</v>
      </c>
      <c r="BK304" s="138" t="str">
        <f>IF(IFERROR(VLOOKUP(J304,'[63]ТР нефть'!$J$28:$BP$638,54,0),"-")=0,"-",IFERROR(VLOOKUP(J304,'[63]ТР нефть'!$J$28:$BP$638,54,0),"-"))</f>
        <v>-</v>
      </c>
      <c r="BL304" s="138" t="str">
        <f>IF(IFERROR(VLOOKUP(J304,'[63]ТР нефть'!$J$28:$BP$638,55,0),"-")=0,"-",IFERROR(VLOOKUP(J304,'[63]ТР нефть'!$J$28:$BP$638,55,0),"-"))</f>
        <v>-</v>
      </c>
      <c r="BM304" s="138" t="str">
        <f>IF(IFERROR(VLOOKUP(J304,'[63]ТР нефть'!$J$28:$BP$638,56,0),"-")=0,"-",IFERROR(VLOOKUP(J304,'[63]ТР нефть'!$J$28:$BP$638,56,0),"-"))</f>
        <v>-</v>
      </c>
      <c r="BN304" s="138" t="str">
        <f>IF(IFERROR(VLOOKUP(J304,'[63]ТР нефть'!$J$28:$BP$638,57,0),"-")=0,"-",IFERROR(VLOOKUP(J304,'[63]ТР нефть'!$J$28:$BP$638,57,0),"-"))</f>
        <v>-</v>
      </c>
      <c r="BO304" s="115" t="str">
        <f>IF(IFERROR(VLOOKUP(J304,'[63]ТР нефть'!$J$28:$BP$638,58,0),"-")=0,"-",IFERROR(VLOOKUP(J304,'[63]ТР нефть'!$J$28:$BP$638,58,0),"-"))</f>
        <v>-</v>
      </c>
      <c r="BP304" s="115" t="str">
        <f>IF(IFERROR(VLOOKUP(J304,'[63]ТР нефть'!$J$28:$BP$638,59,0),"-")=0,"-",IFERROR(VLOOKUP(J304,'[63]ТР нефть'!$J$28:$BP$638,59,0),"-"))</f>
        <v>-</v>
      </c>
      <c r="BQ304" s="138">
        <v>1770</v>
      </c>
      <c r="BR304" s="128">
        <v>1644.5</v>
      </c>
      <c r="BS304" s="115">
        <f t="shared" si="211"/>
        <v>125.5</v>
      </c>
      <c r="BT304" s="128">
        <v>73</v>
      </c>
      <c r="BU304" s="128">
        <v>5.5</v>
      </c>
      <c r="BV304" s="127">
        <v>18</v>
      </c>
      <c r="BW304" s="127" t="s">
        <v>194</v>
      </c>
      <c r="BX304" s="127" t="s">
        <v>195</v>
      </c>
      <c r="BY304" s="139">
        <v>24</v>
      </c>
      <c r="BZ304" s="139">
        <v>0</v>
      </c>
      <c r="CA304" s="80">
        <v>25</v>
      </c>
      <c r="CB304" s="138">
        <v>71</v>
      </c>
      <c r="CC304" s="138">
        <v>24</v>
      </c>
      <c r="CD304" s="135">
        <v>45017</v>
      </c>
      <c r="CE304" s="138">
        <v>91</v>
      </c>
      <c r="CF304" s="138">
        <v>73</v>
      </c>
      <c r="CG304" s="138" t="str">
        <f>IF(CH304&lt;&gt;"","В работе","")</f>
        <v>В работе</v>
      </c>
      <c r="CH304" s="138" t="s">
        <v>272</v>
      </c>
      <c r="CI304" s="127"/>
      <c r="CJ304" s="138"/>
      <c r="CK304" s="138">
        <f t="shared" si="207"/>
        <v>46</v>
      </c>
      <c r="CL304" s="99"/>
      <c r="CM304" s="99"/>
      <c r="CN304" s="140">
        <v>71</v>
      </c>
      <c r="CO304" s="141">
        <f t="shared" si="216"/>
        <v>5.5376640000000004</v>
      </c>
      <c r="CP304" s="142">
        <v>7.2</v>
      </c>
      <c r="CQ304" s="143">
        <v>8</v>
      </c>
      <c r="CR304" s="138">
        <v>6.7</v>
      </c>
      <c r="CS304" s="139">
        <v>5</v>
      </c>
      <c r="CT304" s="138"/>
      <c r="CU304" s="138">
        <f t="shared" si="235"/>
        <v>1.7000000000000002</v>
      </c>
      <c r="CV304" s="115">
        <f t="shared" si="236"/>
        <v>306.98865081016112</v>
      </c>
      <c r="CW304" s="115">
        <f t="shared" si="217"/>
        <v>805.84437017782739</v>
      </c>
      <c r="CX304" s="133">
        <f t="shared" si="237"/>
        <v>0.36</v>
      </c>
      <c r="CY304" s="116"/>
      <c r="CZ304" s="131"/>
      <c r="DA304" s="145" t="str">
        <f t="shared" si="218"/>
        <v>Газлифт</v>
      </c>
      <c r="DB304" s="146">
        <f t="shared" si="219"/>
        <v>5.5376640000000004</v>
      </c>
      <c r="DC304" s="142">
        <f t="shared" si="234"/>
        <v>7.2</v>
      </c>
      <c r="DD304" s="119">
        <f t="shared" si="204"/>
        <v>8</v>
      </c>
      <c r="DE304" s="115">
        <f t="shared" si="220"/>
        <v>1.7000000000000002</v>
      </c>
      <c r="DF304" s="121">
        <f t="shared" si="221"/>
        <v>5</v>
      </c>
      <c r="DG304" s="115">
        <f t="shared" si="222"/>
        <v>306.98865081016112</v>
      </c>
      <c r="DH304" s="115">
        <f t="shared" si="223"/>
        <v>71</v>
      </c>
      <c r="DI304" s="147"/>
      <c r="DJ304" s="111" t="s">
        <v>197</v>
      </c>
      <c r="DK304" s="112">
        <v>44114</v>
      </c>
      <c r="DL304" s="113">
        <f t="shared" ca="1" si="240"/>
        <v>990</v>
      </c>
      <c r="DM304" s="114"/>
      <c r="DN304" s="114"/>
      <c r="DO304" s="114"/>
      <c r="DP304" s="114"/>
      <c r="DQ304" s="112">
        <v>43433</v>
      </c>
      <c r="DR304" s="114" t="s">
        <v>324</v>
      </c>
      <c r="DS304" s="114"/>
      <c r="DT304" s="115">
        <v>60</v>
      </c>
      <c r="DU304" s="116">
        <f t="shared" si="241"/>
        <v>0.33856562922868744</v>
      </c>
      <c r="DV304" s="117">
        <f t="shared" si="242"/>
        <v>8.0723254993234104</v>
      </c>
      <c r="DW304" s="118">
        <f t="shared" si="243"/>
        <v>10.49553450608931</v>
      </c>
      <c r="DX304" s="119">
        <f t="shared" si="224"/>
        <v>8</v>
      </c>
      <c r="DY304" s="115">
        <f t="shared" si="244"/>
        <v>2.4781123139377539</v>
      </c>
      <c r="DZ304" s="117">
        <f t="shared" si="245"/>
        <v>2.53466149932341</v>
      </c>
      <c r="EA304" s="120">
        <f t="shared" si="245"/>
        <v>3.29553450608931</v>
      </c>
      <c r="EB304" s="119">
        <f t="shared" si="245"/>
        <v>0</v>
      </c>
      <c r="EC304" s="121">
        <f t="shared" si="246"/>
        <v>0.77811231393775371</v>
      </c>
      <c r="ED304" s="122"/>
      <c r="EE304" s="145">
        <v>18</v>
      </c>
      <c r="EF304" s="148">
        <v>27</v>
      </c>
      <c r="EG304" s="115">
        <v>66</v>
      </c>
      <c r="EH304" s="115">
        <v>26</v>
      </c>
      <c r="EI304" s="128" t="s">
        <v>195</v>
      </c>
      <c r="EJ304" s="121">
        <v>24</v>
      </c>
      <c r="EK304" s="121">
        <v>0</v>
      </c>
      <c r="EL304" s="149">
        <v>5.5376640000000004</v>
      </c>
      <c r="EM304" s="117">
        <v>7.2</v>
      </c>
      <c r="EN304" s="119">
        <v>8</v>
      </c>
      <c r="EO304" s="115">
        <v>14</v>
      </c>
      <c r="EP304" s="115">
        <v>794.55886092041692</v>
      </c>
      <c r="EQ304" s="115">
        <v>72</v>
      </c>
      <c r="ER304" s="115">
        <v>9.6</v>
      </c>
      <c r="ES304" s="115">
        <v>64</v>
      </c>
      <c r="ET304" s="150">
        <v>0.26666666666666666</v>
      </c>
      <c r="EU304" s="145">
        <f t="shared" si="225"/>
        <v>18</v>
      </c>
      <c r="EV304" s="115">
        <f t="shared" si="226"/>
        <v>25</v>
      </c>
      <c r="EW304" s="115">
        <f t="shared" si="226"/>
        <v>71</v>
      </c>
      <c r="EX304" s="115">
        <f t="shared" si="226"/>
        <v>24</v>
      </c>
      <c r="EY304" s="115" t="str">
        <f t="shared" si="206"/>
        <v>Постоянный</v>
      </c>
      <c r="EZ304" s="115">
        <f t="shared" si="206"/>
        <v>24</v>
      </c>
      <c r="FA304" s="115">
        <f t="shared" si="206"/>
        <v>0</v>
      </c>
      <c r="FB304" s="149">
        <f t="shared" si="238"/>
        <v>5.5376640000000004</v>
      </c>
      <c r="FC304" s="117">
        <f t="shared" si="238"/>
        <v>7.2</v>
      </c>
      <c r="FD304" s="119">
        <f t="shared" si="238"/>
        <v>8</v>
      </c>
      <c r="FE304" s="121">
        <f t="shared" si="208"/>
        <v>6.7</v>
      </c>
      <c r="FF304" s="121">
        <f t="shared" si="247"/>
        <v>306.98865081016112</v>
      </c>
      <c r="FG304" s="121">
        <f t="shared" si="227"/>
        <v>73</v>
      </c>
      <c r="FH304" s="121">
        <f t="shared" si="248"/>
        <v>5</v>
      </c>
      <c r="FI304" s="121">
        <f t="shared" si="205"/>
        <v>71</v>
      </c>
      <c r="FJ304" s="144">
        <f t="shared" si="228"/>
        <v>0.36</v>
      </c>
      <c r="FK304" s="132">
        <f t="shared" si="229"/>
        <v>0</v>
      </c>
      <c r="FL304" s="115">
        <f t="shared" si="229"/>
        <v>-2</v>
      </c>
      <c r="FM304" s="115">
        <f t="shared" si="229"/>
        <v>5</v>
      </c>
      <c r="FN304" s="115">
        <f t="shared" si="229"/>
        <v>-2</v>
      </c>
      <c r="FO304" s="115">
        <f t="shared" si="232"/>
        <v>0</v>
      </c>
      <c r="FP304" s="115">
        <f t="shared" si="232"/>
        <v>0</v>
      </c>
      <c r="FQ304" s="149">
        <f t="shared" si="232"/>
        <v>0</v>
      </c>
      <c r="FR304" s="142">
        <f t="shared" si="232"/>
        <v>0</v>
      </c>
      <c r="FS304" s="119">
        <f t="shared" si="232"/>
        <v>0</v>
      </c>
      <c r="FT304" s="121">
        <f t="shared" si="232"/>
        <v>-7.3</v>
      </c>
      <c r="FU304" s="121">
        <f t="shared" si="230"/>
        <v>1</v>
      </c>
      <c r="FV304" s="121">
        <f t="shared" si="230"/>
        <v>-4.5999999999999996</v>
      </c>
      <c r="FW304" s="121">
        <f t="shared" si="231"/>
        <v>-487.5702101102558</v>
      </c>
      <c r="FX304" s="121">
        <f t="shared" si="233"/>
        <v>7</v>
      </c>
      <c r="FY304" s="144">
        <f t="shared" si="214"/>
        <v>9.3333333333333324E-2</v>
      </c>
      <c r="FZ304" s="145"/>
      <c r="GA304" s="125"/>
      <c r="GB304" s="145" t="s">
        <v>199</v>
      </c>
      <c r="GC304" s="125" t="s">
        <v>415</v>
      </c>
      <c r="GD304" s="997" t="s">
        <v>202</v>
      </c>
      <c r="GE304" s="1004" t="s">
        <v>199</v>
      </c>
      <c r="GF304" s="1004">
        <v>-1.4468651999999986</v>
      </c>
      <c r="GG304" s="1004"/>
      <c r="GH304" s="1004">
        <v>0</v>
      </c>
      <c r="GI304" s="145"/>
      <c r="GJ304" s="996">
        <v>-0.15156680000000033</v>
      </c>
      <c r="GK304" s="145" t="s">
        <v>199</v>
      </c>
      <c r="GL304" s="996">
        <v>-1.8927040000000011</v>
      </c>
      <c r="GM304" s="1005" t="s">
        <v>25</v>
      </c>
      <c r="GN304" s="996">
        <v>-0.47020000000000017</v>
      </c>
      <c r="GO304" s="1006"/>
      <c r="GP304" s="996">
        <v>0</v>
      </c>
      <c r="GQ304" s="1006"/>
      <c r="GR304" s="996">
        <v>0</v>
      </c>
      <c r="GS304" s="1006"/>
      <c r="GT304" s="996">
        <v>-0.89769680000000029</v>
      </c>
      <c r="GU304" s="1006"/>
      <c r="GV304" s="996">
        <v>0</v>
      </c>
      <c r="GW304" s="1006"/>
      <c r="GX304" s="1035">
        <v>0</v>
      </c>
      <c r="GY304" s="1006"/>
      <c r="GZ304" s="996">
        <v>-0.64748200000000011</v>
      </c>
      <c r="HA304" s="1006"/>
      <c r="HB304" s="996">
        <v>-2.1318000000000836E-2</v>
      </c>
      <c r="HC304" s="1006"/>
      <c r="HD304" s="996">
        <v>0</v>
      </c>
      <c r="HE304" s="1006"/>
      <c r="HF304" s="996">
        <v>-0.24849765599999962</v>
      </c>
      <c r="HG304" s="1006" t="s">
        <v>199</v>
      </c>
      <c r="HH304" s="996">
        <v>0.77909013599999977</v>
      </c>
      <c r="HI304" s="1006" t="s">
        <v>223</v>
      </c>
      <c r="HJ304" s="996">
        <v>-1.4200647119999976</v>
      </c>
      <c r="HK304" s="1006"/>
      <c r="HL304" s="996">
        <v>0.13782463199999917</v>
      </c>
      <c r="HM304" s="1006"/>
      <c r="HN304" s="996">
        <v>-0.5575284000000007</v>
      </c>
      <c r="HO304" s="1006"/>
      <c r="HP304" s="996">
        <v>-0.81426399999999965</v>
      </c>
      <c r="HQ304" s="1006"/>
      <c r="HR304" s="996">
        <v>0</v>
      </c>
      <c r="HS304" s="1006"/>
      <c r="HT304" s="996">
        <v>0</v>
      </c>
      <c r="HU304" s="1006"/>
      <c r="HV304" s="996">
        <v>0.13710400000000078</v>
      </c>
      <c r="HW304" s="1006"/>
      <c r="HX304" s="996">
        <v>-0.32443488000000187</v>
      </c>
      <c r="HY304" s="1006"/>
      <c r="HZ304" s="996">
        <v>-2.4648623999999231E-2</v>
      </c>
      <c r="IA304" s="1006" t="s">
        <v>221</v>
      </c>
      <c r="IB304" s="996">
        <v>5.6680499039999992</v>
      </c>
      <c r="IC304" s="1006"/>
      <c r="ID304" s="996">
        <v>0</v>
      </c>
      <c r="IE304" s="1006"/>
      <c r="IF304" s="996">
        <v>0</v>
      </c>
      <c r="IG304" s="1006"/>
      <c r="IH304" s="996">
        <v>0</v>
      </c>
      <c r="II304" s="1006"/>
      <c r="IJ304" s="996">
        <v>0</v>
      </c>
      <c r="IK304" s="1006"/>
      <c r="IL304" s="996">
        <v>0</v>
      </c>
      <c r="IM304" s="1006" t="s">
        <v>199</v>
      </c>
      <c r="IN304" s="996">
        <v>-4.2522303999999993</v>
      </c>
      <c r="IO304" s="1006" t="s">
        <v>239</v>
      </c>
      <c r="IP304" s="996">
        <v>0.23935348800000078</v>
      </c>
      <c r="IQ304" s="1006"/>
      <c r="IR304" s="996">
        <v>0</v>
      </c>
      <c r="IS304" s="1006"/>
      <c r="IT304" s="996">
        <v>0</v>
      </c>
      <c r="IU304" s="1006"/>
      <c r="IV304" s="996">
        <v>0</v>
      </c>
      <c r="IW304" s="1006" t="s">
        <v>204</v>
      </c>
      <c r="IX304" s="996">
        <v>3.5226465119999988</v>
      </c>
      <c r="IY304" s="1006"/>
      <c r="IZ304" s="996">
        <v>-0.41799999999999926</v>
      </c>
      <c r="JA304" s="1006"/>
      <c r="JB304" s="996">
        <v>-0.41800000000000015</v>
      </c>
      <c r="JC304" s="1006"/>
      <c r="JD304" s="996">
        <v>0</v>
      </c>
      <c r="JE304" s="1006" t="s">
        <v>199</v>
      </c>
      <c r="JF304" s="996">
        <v>-6.3452400000000004</v>
      </c>
      <c r="JG304" s="1006"/>
      <c r="JH304" s="996">
        <v>0</v>
      </c>
      <c r="JI304" s="1006"/>
      <c r="JJ304" s="996">
        <v>0</v>
      </c>
      <c r="JK304" s="1007"/>
      <c r="JL304" s="1007">
        <v>0</v>
      </c>
      <c r="JM304" s="1007"/>
      <c r="JN304" s="1007">
        <v>0</v>
      </c>
      <c r="JO304" s="1008"/>
      <c r="JP304" s="1007">
        <v>0</v>
      </c>
      <c r="JQ304" s="1008">
        <v>0</v>
      </c>
      <c r="JR304" s="1007">
        <v>0</v>
      </c>
      <c r="JS304" s="1008">
        <v>0</v>
      </c>
      <c r="JT304" s="1007">
        <v>0</v>
      </c>
      <c r="JU304" s="1008"/>
      <c r="JV304" s="1007">
        <v>0</v>
      </c>
      <c r="JW304" s="1008" t="s">
        <v>197</v>
      </c>
      <c r="JX304" s="1007">
        <v>0</v>
      </c>
      <c r="JY304" s="1008" t="s">
        <v>240</v>
      </c>
      <c r="JZ304" s="1007">
        <v>1.9980400000000014</v>
      </c>
      <c r="KA304" s="1008"/>
      <c r="KB304" s="1007">
        <v>8.3599999999961483E-4</v>
      </c>
      <c r="KC304" s="1008" t="s">
        <v>240</v>
      </c>
      <c r="KD304" s="1007">
        <v>-12.390355999999999</v>
      </c>
      <c r="KE304" s="1008" t="s">
        <v>240</v>
      </c>
      <c r="KF304" s="1007">
        <v>-31.50048</v>
      </c>
      <c r="KG304" s="1008"/>
      <c r="KH304" s="1007">
        <v>0</v>
      </c>
      <c r="KI304" s="1008"/>
      <c r="KJ304" s="1007">
        <v>0</v>
      </c>
      <c r="KK304" s="1008"/>
      <c r="KL304" s="1007"/>
      <c r="KM304" s="1008"/>
      <c r="KN304" s="1007"/>
      <c r="KO304" s="1008"/>
      <c r="KP304" s="1007"/>
      <c r="KQ304" s="1008"/>
      <c r="KR304" s="1007"/>
      <c r="KS304" s="1008"/>
      <c r="KT304" s="1007"/>
      <c r="KU304" s="1008"/>
      <c r="KV304" s="1007"/>
      <c r="KW304" s="1008"/>
      <c r="KX304" s="1007"/>
      <c r="KY304" s="1008"/>
      <c r="KZ304" s="1007"/>
      <c r="LA304" s="1008"/>
      <c r="LB304" s="1007"/>
      <c r="LC304" s="1008"/>
      <c r="LD304" s="1007"/>
      <c r="LE304" s="1008"/>
      <c r="LF304" s="1007"/>
      <c r="LG304" s="1008"/>
      <c r="LH304" s="1007"/>
      <c r="LI304" s="1008"/>
      <c r="LJ304" s="1007"/>
      <c r="LK304" s="1008"/>
      <c r="LL304" s="1007"/>
      <c r="LM304" s="1008"/>
      <c r="LN304" s="1007"/>
      <c r="LO304" s="1008"/>
      <c r="LP304" s="1007"/>
      <c r="LQ304" s="1008"/>
      <c r="LR304" s="1007"/>
      <c r="LS304" s="1008"/>
      <c r="LT304" s="1007"/>
      <c r="LU304" s="1008"/>
      <c r="LV304" s="1007"/>
      <c r="LW304" s="1008"/>
      <c r="LX304" s="1007"/>
      <c r="LY304" s="1009"/>
      <c r="LZ304" s="1010"/>
      <c r="MA304" s="1011"/>
      <c r="MB304" s="1012"/>
      <c r="MC304" s="995"/>
      <c r="MD304" s="996"/>
      <c r="ME304" s="997" t="s">
        <v>202</v>
      </c>
      <c r="MF304" s="997"/>
      <c r="MG304" s="998"/>
      <c r="NR304" s="1000"/>
      <c r="NS304" s="1000"/>
      <c r="NT304" s="1001"/>
      <c r="NU304" s="1000"/>
      <c r="NV304" s="1001"/>
      <c r="NX304" s="1002"/>
      <c r="NZ304" s="1001"/>
      <c r="OA304" s="1001"/>
      <c r="OC304" s="1003"/>
      <c r="OD304" s="1003"/>
      <c r="OE304" s="1001"/>
      <c r="OF304" s="1003"/>
      <c r="OG304" s="1003"/>
      <c r="QX304" s="1000">
        <f>CN304-CA304</f>
        <v>46</v>
      </c>
      <c r="ASU304" s="999" t="s">
        <v>208</v>
      </c>
    </row>
    <row r="305" spans="1:466 1191:1191" ht="21" customHeight="1" x14ac:dyDescent="0.25">
      <c r="A305" s="982">
        <f t="shared" si="215"/>
        <v>1301</v>
      </c>
      <c r="B305" s="124">
        <f>SUBTOTAL(103,$J$29:J305)</f>
        <v>277</v>
      </c>
      <c r="C305" s="126">
        <v>45068</v>
      </c>
      <c r="D305" s="124" t="s">
        <v>176</v>
      </c>
      <c r="E305" s="127" t="s">
        <v>177</v>
      </c>
      <c r="F305" s="128" t="s">
        <v>177</v>
      </c>
      <c r="G305" s="127" t="s">
        <v>178</v>
      </c>
      <c r="H305" s="127" t="s">
        <v>179</v>
      </c>
      <c r="I305" s="127" t="s">
        <v>1137</v>
      </c>
      <c r="J305" s="152">
        <v>1301</v>
      </c>
      <c r="K305" s="127" t="s">
        <v>481</v>
      </c>
      <c r="L305" s="130">
        <v>43531</v>
      </c>
      <c r="M305" s="127" t="s">
        <v>230</v>
      </c>
      <c r="N305" s="127" t="s">
        <v>184</v>
      </c>
      <c r="O305" s="127" t="s">
        <v>185</v>
      </c>
      <c r="P305" s="127" t="s">
        <v>186</v>
      </c>
      <c r="Q305" s="85">
        <f t="shared" si="249"/>
        <v>-4</v>
      </c>
      <c r="R305" s="130">
        <v>43487</v>
      </c>
      <c r="S305" s="128" t="s">
        <v>1318</v>
      </c>
      <c r="T305" s="131" t="s">
        <v>1290</v>
      </c>
      <c r="U305" s="132">
        <v>203</v>
      </c>
      <c r="V305" s="121">
        <v>218.2</v>
      </c>
      <c r="W305" s="116">
        <v>0.98</v>
      </c>
      <c r="X305" s="116">
        <v>1.66</v>
      </c>
      <c r="Y305" s="116">
        <f t="shared" si="239"/>
        <v>0.98</v>
      </c>
      <c r="Z305" s="133">
        <v>1.454</v>
      </c>
      <c r="AA305" s="133">
        <v>0.83599999999999997</v>
      </c>
      <c r="AB305" s="133">
        <v>0.72</v>
      </c>
      <c r="AC305" s="121">
        <v>34.299999999999997</v>
      </c>
      <c r="AD305" s="134">
        <v>1.17</v>
      </c>
      <c r="AE305" s="124">
        <v>177.8</v>
      </c>
      <c r="AF305" s="128">
        <v>9.19</v>
      </c>
      <c r="AG305" s="128">
        <v>2204.6999999999998</v>
      </c>
      <c r="AH305" s="127">
        <v>2940</v>
      </c>
      <c r="AI305" s="127">
        <v>2940</v>
      </c>
      <c r="AJ305" s="135"/>
      <c r="AK305" s="128"/>
      <c r="AL305" s="131"/>
      <c r="AM305" s="124" t="s">
        <v>985</v>
      </c>
      <c r="AN305" s="136" t="s">
        <v>1319</v>
      </c>
      <c r="AO305" s="137">
        <v>99.92</v>
      </c>
      <c r="AP305" s="128">
        <v>2242.2199999999998</v>
      </c>
      <c r="AQ305" s="128">
        <v>422.12</v>
      </c>
      <c r="AR305" s="128" t="s">
        <v>1320</v>
      </c>
      <c r="AS305" s="128">
        <v>114</v>
      </c>
      <c r="AT305" s="122">
        <v>7.37</v>
      </c>
      <c r="AU305" s="124" t="s">
        <v>189</v>
      </c>
      <c r="AV305" s="115">
        <f>VLOOKUP(J305,'[63]ТР нефть'!$J$28:$BP$638,39,0)</f>
        <v>397.00002802699998</v>
      </c>
      <c r="AW305" s="115" t="str">
        <f>VLOOKUP(J305,'[63]ТР нефть'!$J$28:$BP$638,40,0)</f>
        <v>ГП</v>
      </c>
      <c r="AX305" s="115">
        <f>VLOOKUP(J305,'[63]ТР нефть'!$J$28:$BP$638,41,0)</f>
        <v>755.00001796900006</v>
      </c>
      <c r="AY305" s="115" t="str">
        <f>VLOOKUP(J305,'[63]ТР нефть'!$J$28:$BP$638,42,0)</f>
        <v>ГП</v>
      </c>
      <c r="AZ305" s="115">
        <f>VLOOKUP(J305,'[63]ТР нефть'!$J$28:$BP$638,43,0)</f>
        <v>1128.000059766</v>
      </c>
      <c r="BA305" s="115" t="str">
        <f>VLOOKUP(J305,'[63]ТР нефть'!$J$28:$BP$638,44,0)</f>
        <v>ГП</v>
      </c>
      <c r="BB305" s="115">
        <f>VLOOKUP(J305,'[63]ТР нефть'!$J$28:$BP$638,45,0)</f>
        <v>1458.0000843749999</v>
      </c>
      <c r="BC305" s="115" t="str">
        <f>VLOOKUP(J305,'[63]ТР нефть'!$J$28:$BP$638,46,0)</f>
        <v>ГК82 1/8</v>
      </c>
      <c r="BD305" s="115">
        <f>VLOOKUP(J305,'[63]ТР нефть'!$J$28:$BP$638,47,0)</f>
        <v>1773.9999960939999</v>
      </c>
      <c r="BE305" s="115" t="str">
        <f>VLOOKUP(J305,'[63]ТР нефть'!$J$28:$BP$638,48,0)</f>
        <v>ГК81 1/8</v>
      </c>
      <c r="BF305" s="115">
        <f>VLOOKUP(J305,'[63]ТР нефть'!$J$28:$BP$638,49,0)</f>
        <v>1957</v>
      </c>
      <c r="BG305" s="115" t="str">
        <f>VLOOKUP(J305,'[63]ТР нефть'!$J$28:$BP$638,50,0)</f>
        <v>ЦКсОК 5/16</v>
      </c>
      <c r="BH305" s="115">
        <f>VLOOKUP(J305,'[63]ТР нефть'!$J$28:$BP$638,51,0)</f>
        <v>1967</v>
      </c>
      <c r="BI305" s="115" t="str">
        <f>VLOOKUP(J305,'[63]ТР нефть'!$J$28:$BP$638,52,0)</f>
        <v>закрыт</v>
      </c>
      <c r="BJ305" s="115" t="str">
        <f>IF(IFERROR(VLOOKUP(J305,'[63]ТР нефть'!$J$28:$BP$638,53,0),"-")=0,"-",IFERROR(VLOOKUP(J305,'[63]ТР нефть'!$J$28:$BP$638,53,0),"-"))</f>
        <v>-</v>
      </c>
      <c r="BK305" s="138" t="str">
        <f>IF(IFERROR(VLOOKUP(J305,'[63]ТР нефть'!$J$28:$BP$638,54,0),"-")=0,"-",IFERROR(VLOOKUP(J305,'[63]ТР нефть'!$J$28:$BP$638,54,0),"-"))</f>
        <v>-</v>
      </c>
      <c r="BL305" s="138" t="str">
        <f>IF(IFERROR(VLOOKUP(J305,'[63]ТР нефть'!$J$28:$BP$638,55,0),"-")=0,"-",IFERROR(VLOOKUP(J305,'[63]ТР нефть'!$J$28:$BP$638,55,0),"-"))</f>
        <v>-</v>
      </c>
      <c r="BM305" s="138" t="str">
        <f>IF(IFERROR(VLOOKUP(J305,'[63]ТР нефть'!$J$28:$BP$638,56,0),"-")=0,"-",IFERROR(VLOOKUP(J305,'[63]ТР нефть'!$J$28:$BP$638,56,0),"-"))</f>
        <v>-</v>
      </c>
      <c r="BN305" s="138" t="str">
        <f>IF(IFERROR(VLOOKUP(J305,'[63]ТР нефть'!$J$28:$BP$638,57,0),"-")=0,"-",IFERROR(VLOOKUP(J305,'[63]ТР нефть'!$J$28:$BP$638,57,0),"-"))</f>
        <v>-</v>
      </c>
      <c r="BO305" s="115" t="str">
        <f>IF(IFERROR(VLOOKUP(J305,'[63]ТР нефть'!$J$28:$BP$638,58,0),"-")=0,"-",IFERROR(VLOOKUP(J305,'[63]ТР нефть'!$J$28:$BP$638,58,0),"-"))</f>
        <v>-</v>
      </c>
      <c r="BP305" s="115" t="str">
        <f>IF(IFERROR(VLOOKUP(J305,'[63]ТР нефть'!$J$28:$BP$638,59,0),"-")=0,"-",IFERROR(VLOOKUP(J305,'[63]ТР нефть'!$J$28:$BP$638,59,0),"-"))</f>
        <v>-</v>
      </c>
      <c r="BQ305" s="138">
        <v>2940</v>
      </c>
      <c r="BR305" s="128">
        <v>1920</v>
      </c>
      <c r="BS305" s="115">
        <f t="shared" si="211"/>
        <v>1020</v>
      </c>
      <c r="BT305" s="128">
        <v>73</v>
      </c>
      <c r="BU305" s="128">
        <v>5.5</v>
      </c>
      <c r="BV305" s="127">
        <v>18</v>
      </c>
      <c r="BW305" s="127" t="s">
        <v>217</v>
      </c>
      <c r="BX305" s="127" t="s">
        <v>195</v>
      </c>
      <c r="BY305" s="139">
        <v>24</v>
      </c>
      <c r="BZ305" s="139">
        <v>0</v>
      </c>
      <c r="CA305" s="80">
        <v>24</v>
      </c>
      <c r="CB305" s="138">
        <v>64</v>
      </c>
      <c r="CC305" s="138">
        <v>23</v>
      </c>
      <c r="CD305" s="135">
        <v>45017</v>
      </c>
      <c r="CE305" s="138">
        <v>139</v>
      </c>
      <c r="CF305" s="138">
        <v>74</v>
      </c>
      <c r="CG305" s="138" t="str">
        <f t="shared" si="212"/>
        <v>В работе</v>
      </c>
      <c r="CH305" s="138" t="s">
        <v>272</v>
      </c>
      <c r="CI305" s="127"/>
      <c r="CJ305" s="138"/>
      <c r="CK305" s="138">
        <f t="shared" si="207"/>
        <v>49</v>
      </c>
      <c r="CL305" s="99"/>
      <c r="CM305" s="99"/>
      <c r="CN305" s="140">
        <v>73</v>
      </c>
      <c r="CO305" s="141">
        <f t="shared" si="216"/>
        <v>10.032</v>
      </c>
      <c r="CP305" s="142">
        <v>12</v>
      </c>
      <c r="CQ305" s="143">
        <v>0</v>
      </c>
      <c r="CR305" s="138">
        <v>16.8</v>
      </c>
      <c r="CS305" s="139">
        <v>9.6</v>
      </c>
      <c r="CT305" s="138"/>
      <c r="CU305" s="138">
        <f t="shared" si="235"/>
        <v>7.2000000000000011</v>
      </c>
      <c r="CV305" s="115">
        <f t="shared" si="236"/>
        <v>717.7033492822967</v>
      </c>
      <c r="CW305" s="115">
        <f t="shared" si="217"/>
        <v>956.93779904306223</v>
      </c>
      <c r="CX305" s="133">
        <f t="shared" si="237"/>
        <v>0.18181818181818182</v>
      </c>
      <c r="CY305" s="116"/>
      <c r="CZ305" s="1024"/>
      <c r="DA305" s="145" t="str">
        <f t="shared" si="218"/>
        <v>Газлифт</v>
      </c>
      <c r="DB305" s="146">
        <f t="shared" si="219"/>
        <v>10.032</v>
      </c>
      <c r="DC305" s="142">
        <f t="shared" si="234"/>
        <v>12</v>
      </c>
      <c r="DD305" s="119">
        <f t="shared" si="204"/>
        <v>0</v>
      </c>
      <c r="DE305" s="115">
        <f t="shared" si="220"/>
        <v>7.2000000000000011</v>
      </c>
      <c r="DF305" s="121">
        <f t="shared" si="221"/>
        <v>9.6</v>
      </c>
      <c r="DG305" s="115">
        <f t="shared" si="222"/>
        <v>717.7033492822967</v>
      </c>
      <c r="DH305" s="115">
        <f t="shared" si="223"/>
        <v>73</v>
      </c>
      <c r="DI305" s="147"/>
      <c r="DJ305" s="111">
        <v>43658</v>
      </c>
      <c r="DK305" s="112">
        <v>43844</v>
      </c>
      <c r="DL305" s="113">
        <f t="shared" ca="1" si="240"/>
        <v>1260</v>
      </c>
      <c r="DM305" s="114"/>
      <c r="DN305" s="114"/>
      <c r="DO305" s="114"/>
      <c r="DP305" s="114"/>
      <c r="DQ305" s="112">
        <v>43531</v>
      </c>
      <c r="DR305" s="114" t="s">
        <v>324</v>
      </c>
      <c r="DS305" s="114"/>
      <c r="DT305" s="115">
        <v>55</v>
      </c>
      <c r="DU305" s="116">
        <f t="shared" si="241"/>
        <v>0.16855484940591323</v>
      </c>
      <c r="DV305" s="117">
        <f t="shared" si="242"/>
        <v>11.836595744680849</v>
      </c>
      <c r="DW305" s="118">
        <f t="shared" si="243"/>
        <v>14.158607350096711</v>
      </c>
      <c r="DX305" s="119">
        <f t="shared" si="224"/>
        <v>0</v>
      </c>
      <c r="DY305" s="115">
        <f t="shared" si="244"/>
        <v>8.4951644100580275</v>
      </c>
      <c r="DZ305" s="117">
        <f t="shared" si="245"/>
        <v>1.8045957446808494</v>
      </c>
      <c r="EA305" s="120">
        <f t="shared" si="245"/>
        <v>2.1586073500967107</v>
      </c>
      <c r="EB305" s="119">
        <f t="shared" si="245"/>
        <v>0</v>
      </c>
      <c r="EC305" s="121">
        <f t="shared" si="246"/>
        <v>1.2951644100580264</v>
      </c>
      <c r="ED305" s="122"/>
      <c r="EE305" s="145">
        <v>18</v>
      </c>
      <c r="EF305" s="148">
        <v>28</v>
      </c>
      <c r="EG305" s="115">
        <v>62</v>
      </c>
      <c r="EH305" s="115">
        <v>27</v>
      </c>
      <c r="EI305" s="128" t="s">
        <v>195</v>
      </c>
      <c r="EJ305" s="121">
        <v>24</v>
      </c>
      <c r="EK305" s="121">
        <v>0</v>
      </c>
      <c r="EL305" s="149">
        <v>10.032</v>
      </c>
      <c r="EM305" s="142">
        <v>12</v>
      </c>
      <c r="EN305" s="119">
        <v>0</v>
      </c>
      <c r="EO305" s="115">
        <v>15</v>
      </c>
      <c r="EP305" s="115">
        <v>777.51196172248808</v>
      </c>
      <c r="EQ305" s="115">
        <v>71</v>
      </c>
      <c r="ER305" s="115">
        <v>7.2</v>
      </c>
      <c r="ES305" s="115">
        <v>82</v>
      </c>
      <c r="ET305" s="150">
        <v>0.21052631578947367</v>
      </c>
      <c r="EU305" s="145">
        <f t="shared" si="225"/>
        <v>18</v>
      </c>
      <c r="EV305" s="115">
        <f t="shared" si="226"/>
        <v>24</v>
      </c>
      <c r="EW305" s="115">
        <f t="shared" si="226"/>
        <v>64</v>
      </c>
      <c r="EX305" s="115">
        <f t="shared" si="226"/>
        <v>23</v>
      </c>
      <c r="EY305" s="115" t="str">
        <f t="shared" si="206"/>
        <v>Постоянный</v>
      </c>
      <c r="EZ305" s="115">
        <f t="shared" si="206"/>
        <v>24</v>
      </c>
      <c r="FA305" s="115">
        <f t="shared" si="206"/>
        <v>0</v>
      </c>
      <c r="FB305" s="149">
        <f t="shared" si="238"/>
        <v>10.032</v>
      </c>
      <c r="FC305" s="142">
        <f t="shared" si="238"/>
        <v>12</v>
      </c>
      <c r="FD305" s="119">
        <f t="shared" si="238"/>
        <v>0</v>
      </c>
      <c r="FE305" s="121">
        <f t="shared" si="208"/>
        <v>16.8</v>
      </c>
      <c r="FF305" s="121">
        <f t="shared" si="247"/>
        <v>717.7033492822967</v>
      </c>
      <c r="FG305" s="121">
        <f t="shared" si="227"/>
        <v>74</v>
      </c>
      <c r="FH305" s="121">
        <f t="shared" si="248"/>
        <v>9.6</v>
      </c>
      <c r="FI305" s="121">
        <f t="shared" si="205"/>
        <v>73</v>
      </c>
      <c r="FJ305" s="144">
        <f t="shared" si="228"/>
        <v>0.18181818181818182</v>
      </c>
      <c r="FK305" s="132">
        <f t="shared" si="229"/>
        <v>0</v>
      </c>
      <c r="FL305" s="115">
        <f t="shared" si="229"/>
        <v>-4</v>
      </c>
      <c r="FM305" s="115">
        <f t="shared" si="229"/>
        <v>2</v>
      </c>
      <c r="FN305" s="115">
        <f t="shared" si="229"/>
        <v>-4</v>
      </c>
      <c r="FO305" s="115">
        <f t="shared" si="232"/>
        <v>0</v>
      </c>
      <c r="FP305" s="115">
        <f t="shared" si="232"/>
        <v>0</v>
      </c>
      <c r="FQ305" s="149">
        <f t="shared" si="232"/>
        <v>0</v>
      </c>
      <c r="FR305" s="142">
        <f t="shared" si="232"/>
        <v>0</v>
      </c>
      <c r="FS305" s="119">
        <f t="shared" si="232"/>
        <v>0</v>
      </c>
      <c r="FT305" s="121">
        <f t="shared" si="232"/>
        <v>1.8000000000000007</v>
      </c>
      <c r="FU305" s="121">
        <f t="shared" si="230"/>
        <v>3</v>
      </c>
      <c r="FV305" s="121">
        <f t="shared" si="230"/>
        <v>2.3999999999999995</v>
      </c>
      <c r="FW305" s="121">
        <f t="shared" si="231"/>
        <v>-59.808612440191382</v>
      </c>
      <c r="FX305" s="121">
        <f t="shared" si="233"/>
        <v>-9</v>
      </c>
      <c r="FY305" s="144">
        <f t="shared" si="214"/>
        <v>-2.8708133971291849E-2</v>
      </c>
      <c r="FZ305" s="145"/>
      <c r="GA305" s="151"/>
      <c r="GB305" s="145"/>
      <c r="GC305" s="151"/>
      <c r="GD305" s="997" t="s">
        <v>202</v>
      </c>
      <c r="GE305" s="1004"/>
      <c r="GF305" s="1004">
        <v>0</v>
      </c>
      <c r="GG305" s="1004"/>
      <c r="GH305" s="1004">
        <v>0</v>
      </c>
      <c r="GI305" s="145"/>
      <c r="GJ305" s="996">
        <v>0.63199999999999967</v>
      </c>
      <c r="GK305" s="145"/>
      <c r="GL305" s="996">
        <v>0</v>
      </c>
      <c r="GM305" s="1005"/>
      <c r="GN305" s="996">
        <v>0</v>
      </c>
      <c r="GO305" s="1006"/>
      <c r="GP305" s="996">
        <v>0</v>
      </c>
      <c r="GQ305" s="1006" t="s">
        <v>199</v>
      </c>
      <c r="GR305" s="996">
        <v>-6.3535999999999992</v>
      </c>
      <c r="GS305" s="1006" t="s">
        <v>308</v>
      </c>
      <c r="GT305" s="996">
        <v>8.025599999999999</v>
      </c>
      <c r="GU305" s="1006"/>
      <c r="GV305" s="996">
        <v>0</v>
      </c>
      <c r="GW305" s="1006"/>
      <c r="GX305" s="1035">
        <v>-0.41800000000000015</v>
      </c>
      <c r="GY305" s="1006"/>
      <c r="GZ305" s="996">
        <v>0</v>
      </c>
      <c r="HA305" s="1006"/>
      <c r="HB305" s="996">
        <v>0.33272799999999947</v>
      </c>
      <c r="HC305" s="1006" t="s">
        <v>199</v>
      </c>
      <c r="HD305" s="996">
        <v>-0.37452799999999886</v>
      </c>
      <c r="HE305" s="1006"/>
      <c r="HF305" s="996">
        <v>0</v>
      </c>
      <c r="HG305" s="1006" t="s">
        <v>199</v>
      </c>
      <c r="HH305" s="996">
        <v>-0.48070000000000057</v>
      </c>
      <c r="HI305" s="1006"/>
      <c r="HJ305" s="996">
        <v>0</v>
      </c>
      <c r="HK305" s="1006"/>
      <c r="HL305" s="996">
        <v>-0.8527199999999997</v>
      </c>
      <c r="HM305" s="1006" t="s">
        <v>199</v>
      </c>
      <c r="HN305" s="996">
        <v>3.1308199999999999</v>
      </c>
      <c r="HO305" s="1006"/>
      <c r="HP305" s="996">
        <v>0</v>
      </c>
      <c r="HQ305" s="1006"/>
      <c r="HR305" s="996">
        <v>-2.5080000000000435E-2</v>
      </c>
      <c r="HS305" s="1006" t="s">
        <v>199</v>
      </c>
      <c r="HT305" s="996">
        <v>2.7989280000000001</v>
      </c>
      <c r="HU305" s="1006"/>
      <c r="HV305" s="996">
        <v>0</v>
      </c>
      <c r="HW305" s="1006"/>
      <c r="HX305" s="996">
        <v>-0.26751999999999998</v>
      </c>
      <c r="HY305" s="1006"/>
      <c r="HZ305" s="996">
        <v>0</v>
      </c>
      <c r="IA305" s="1006" t="s">
        <v>199</v>
      </c>
      <c r="IB305" s="996">
        <v>-3.0330079999999997</v>
      </c>
      <c r="IC305" s="1006"/>
      <c r="ID305" s="996">
        <v>0</v>
      </c>
      <c r="IE305" s="1006"/>
      <c r="IF305" s="996">
        <v>0</v>
      </c>
      <c r="IG305" s="1006"/>
      <c r="IH305" s="996">
        <v>0</v>
      </c>
      <c r="II305" s="1006" t="s">
        <v>199</v>
      </c>
      <c r="IJ305" s="996">
        <v>-1.9674089599999998</v>
      </c>
      <c r="IK305" s="1006"/>
      <c r="IL305" s="996">
        <v>0</v>
      </c>
      <c r="IM305" s="1006" t="s">
        <v>199</v>
      </c>
      <c r="IN305" s="996">
        <v>3.2682249599999995</v>
      </c>
      <c r="IO305" s="1006"/>
      <c r="IP305" s="996">
        <v>0</v>
      </c>
      <c r="IQ305" s="1006"/>
      <c r="IR305" s="996">
        <v>-0.32461879999999965</v>
      </c>
      <c r="IS305" s="1006"/>
      <c r="IT305" s="996">
        <v>-0.49507920000000016</v>
      </c>
      <c r="IU305" s="1006"/>
      <c r="IV305" s="996">
        <v>0</v>
      </c>
      <c r="IW305" s="1006"/>
      <c r="IX305" s="996">
        <v>0</v>
      </c>
      <c r="IY305" s="1006"/>
      <c r="IZ305" s="996">
        <v>0</v>
      </c>
      <c r="JA305" s="1006"/>
      <c r="JB305" s="996">
        <v>0</v>
      </c>
      <c r="JC305" s="1006"/>
      <c r="JD305" s="996">
        <v>0</v>
      </c>
      <c r="JE305" s="1006" t="s">
        <v>199</v>
      </c>
      <c r="JF305" s="996">
        <v>-7.6386206160000008</v>
      </c>
      <c r="JG305" s="1006" t="s">
        <v>224</v>
      </c>
      <c r="JH305" s="996">
        <v>-2.3310973839999996</v>
      </c>
      <c r="JI305" s="1006"/>
      <c r="JJ305" s="996">
        <v>0</v>
      </c>
      <c r="JK305" s="1007"/>
      <c r="JL305" s="1007">
        <v>0</v>
      </c>
      <c r="JM305" s="1007"/>
      <c r="JN305" s="1007">
        <v>0</v>
      </c>
      <c r="JO305" s="1008"/>
      <c r="JP305" s="1007">
        <v>0</v>
      </c>
      <c r="JQ305" s="1008">
        <v>0</v>
      </c>
      <c r="JR305" s="1007">
        <v>0</v>
      </c>
      <c r="JS305" s="1008">
        <v>0</v>
      </c>
      <c r="JT305" s="1007">
        <v>0</v>
      </c>
      <c r="JU305" s="1008"/>
      <c r="JV305" s="1007">
        <v>0</v>
      </c>
      <c r="JW305" s="1008" t="s">
        <v>197</v>
      </c>
      <c r="JX305" s="1007">
        <v>0</v>
      </c>
      <c r="JY305" s="1008"/>
      <c r="JZ305" s="1007">
        <v>0</v>
      </c>
      <c r="KA305" s="1008" t="s">
        <v>324</v>
      </c>
      <c r="KB305" s="1007">
        <v>12.85768</v>
      </c>
      <c r="KC305" s="1008"/>
      <c r="KD305" s="1007"/>
      <c r="KE305" s="1008"/>
      <c r="KF305" s="1007"/>
      <c r="KG305" s="1008"/>
      <c r="KH305" s="1007"/>
      <c r="KI305" s="1008"/>
      <c r="KJ305" s="1007"/>
      <c r="KK305" s="1008"/>
      <c r="KL305" s="1007"/>
      <c r="KM305" s="1008"/>
      <c r="KN305" s="1007"/>
      <c r="KO305" s="1008"/>
      <c r="KP305" s="1007"/>
      <c r="KQ305" s="1008"/>
      <c r="KR305" s="1007"/>
      <c r="KS305" s="1008"/>
      <c r="KT305" s="1007"/>
      <c r="KU305" s="1008"/>
      <c r="KV305" s="1007"/>
      <c r="KW305" s="1008"/>
      <c r="KX305" s="1007"/>
      <c r="KY305" s="1008"/>
      <c r="KZ305" s="1007"/>
      <c r="LA305" s="1008"/>
      <c r="LB305" s="1007"/>
      <c r="LC305" s="1008"/>
      <c r="LD305" s="1007"/>
      <c r="LE305" s="1008"/>
      <c r="LF305" s="1007"/>
      <c r="LG305" s="1008"/>
      <c r="LH305" s="1007"/>
      <c r="LI305" s="1008"/>
      <c r="LJ305" s="1007"/>
      <c r="LK305" s="1008"/>
      <c r="LL305" s="1007"/>
      <c r="LM305" s="1008"/>
      <c r="LN305" s="1007"/>
      <c r="LO305" s="1008"/>
      <c r="LP305" s="1007"/>
      <c r="LQ305" s="1008"/>
      <c r="LR305" s="1007"/>
      <c r="LS305" s="1008"/>
      <c r="LT305" s="1007"/>
      <c r="LU305" s="1008"/>
      <c r="LV305" s="1007"/>
      <c r="LW305" s="1008"/>
      <c r="LX305" s="1007"/>
      <c r="LY305" s="1009"/>
      <c r="LZ305" s="1010"/>
      <c r="MA305" s="1011"/>
      <c r="MB305" s="1012"/>
      <c r="MC305" s="995"/>
      <c r="MD305" s="996"/>
      <c r="ME305" s="997" t="s">
        <v>202</v>
      </c>
      <c r="MF305" s="997"/>
      <c r="MG305" s="998"/>
      <c r="NR305" s="1000"/>
      <c r="NS305" s="1000"/>
      <c r="NT305" s="1001"/>
      <c r="NU305" s="1000"/>
      <c r="NV305" s="1001"/>
      <c r="NX305" s="1002"/>
      <c r="NZ305" s="1001"/>
      <c r="OA305" s="1001"/>
      <c r="OC305" s="1003"/>
      <c r="OD305" s="1003"/>
      <c r="OE305" s="1001"/>
      <c r="OF305" s="1003"/>
      <c r="OG305" s="1003"/>
      <c r="QX305" s="1000">
        <f>CN305-CA305</f>
        <v>49</v>
      </c>
      <c r="ASU305" s="999" t="s">
        <v>315</v>
      </c>
    </row>
    <row r="306" spans="1:466 1191:1191" ht="21" customHeight="1" x14ac:dyDescent="0.25">
      <c r="A306" s="982">
        <f t="shared" si="215"/>
        <v>1302</v>
      </c>
      <c r="B306" s="124">
        <f>SUBTOTAL(103,$J$29:J306)</f>
        <v>278</v>
      </c>
      <c r="C306" s="126">
        <v>45068</v>
      </c>
      <c r="D306" s="124" t="s">
        <v>176</v>
      </c>
      <c r="E306" s="127" t="s">
        <v>177</v>
      </c>
      <c r="F306" s="128" t="s">
        <v>177</v>
      </c>
      <c r="G306" s="127" t="s">
        <v>178</v>
      </c>
      <c r="H306" s="127" t="s">
        <v>179</v>
      </c>
      <c r="I306" s="127" t="s">
        <v>1137</v>
      </c>
      <c r="J306" s="152">
        <v>1302</v>
      </c>
      <c r="K306" s="127" t="s">
        <v>481</v>
      </c>
      <c r="L306" s="130">
        <v>43557</v>
      </c>
      <c r="M306" s="127" t="s">
        <v>230</v>
      </c>
      <c r="N306" s="127" t="s">
        <v>184</v>
      </c>
      <c r="O306" s="127" t="s">
        <v>185</v>
      </c>
      <c r="P306" s="127" t="s">
        <v>186</v>
      </c>
      <c r="Q306" s="85" t="str">
        <f t="shared" si="249"/>
        <v/>
      </c>
      <c r="R306" s="130"/>
      <c r="S306" s="128"/>
      <c r="T306" s="131"/>
      <c r="U306" s="132">
        <v>203</v>
      </c>
      <c r="V306" s="121">
        <v>218.2</v>
      </c>
      <c r="W306" s="116">
        <v>0.98</v>
      </c>
      <c r="X306" s="116">
        <v>1.66</v>
      </c>
      <c r="Y306" s="116">
        <f t="shared" si="239"/>
        <v>0.98</v>
      </c>
      <c r="Z306" s="133">
        <v>1.454</v>
      </c>
      <c r="AA306" s="133">
        <v>0.83599999999999997</v>
      </c>
      <c r="AB306" s="133">
        <v>0.72</v>
      </c>
      <c r="AC306" s="121">
        <v>34.299999999999997</v>
      </c>
      <c r="AD306" s="134">
        <v>1.17</v>
      </c>
      <c r="AE306" s="124">
        <v>177.8</v>
      </c>
      <c r="AF306" s="128">
        <v>9.19</v>
      </c>
      <c r="AG306" s="128">
        <v>2127.6999999999998</v>
      </c>
      <c r="AH306" s="127">
        <v>2818</v>
      </c>
      <c r="AI306" s="127">
        <v>2818</v>
      </c>
      <c r="AJ306" s="135"/>
      <c r="AK306" s="128"/>
      <c r="AL306" s="131"/>
      <c r="AM306" s="124" t="s">
        <v>985</v>
      </c>
      <c r="AN306" s="136" t="s">
        <v>1321</v>
      </c>
      <c r="AO306" s="137">
        <v>27.19</v>
      </c>
      <c r="AP306" s="128">
        <v>2152</v>
      </c>
      <c r="AQ306" s="128">
        <v>387.12</v>
      </c>
      <c r="AR306" s="128" t="s">
        <v>1322</v>
      </c>
      <c r="AS306" s="128">
        <v>114</v>
      </c>
      <c r="AT306" s="122">
        <v>7.37</v>
      </c>
      <c r="AU306" s="124" t="s">
        <v>189</v>
      </c>
      <c r="AV306" s="115">
        <f>VLOOKUP(J306,'[63]ТР нефть'!$J$28:$BP$638,39,0)</f>
        <v>549.99999140600005</v>
      </c>
      <c r="AW306" s="115" t="str">
        <f>VLOOKUP(J306,'[63]ТР нефть'!$J$28:$BP$638,40,0)</f>
        <v>ГК 76 1/8</v>
      </c>
      <c r="AX306" s="115">
        <f>VLOOKUP(J306,'[63]ТР нефть'!$J$28:$BP$638,41,0)</f>
        <v>1070.00002793</v>
      </c>
      <c r="AY306" s="115" t="str">
        <f>VLOOKUP(J306,'[63]ТР нефть'!$J$28:$BP$638,42,0)</f>
        <v>ГК 77 1/8</v>
      </c>
      <c r="AZ306" s="115">
        <f>VLOOKUP(J306,'[63]ТР нефть'!$J$28:$BP$638,43,0)</f>
        <v>1440.000066797</v>
      </c>
      <c r="BA306" s="115" t="str">
        <f>VLOOKUP(J306,'[63]ТР нефть'!$J$28:$BP$638,44,0)</f>
        <v>ГК 77 1/8</v>
      </c>
      <c r="BB306" s="115">
        <f>VLOOKUP(J306,'[63]ТР нефть'!$J$28:$BP$638,45,0)</f>
        <v>1699.9999734380001</v>
      </c>
      <c r="BC306" s="115" t="str">
        <f>VLOOKUP(J306,'[63]ТР нефть'!$J$28:$BP$638,46,0)</f>
        <v>ГК 76 5/32</v>
      </c>
      <c r="BD306" s="115">
        <f>VLOOKUP(J306,'[63]ТР нефть'!$J$28:$BP$638,47,0)</f>
        <v>1949.999969531</v>
      </c>
      <c r="BE306" s="115" t="str">
        <f>VLOOKUP(J306,'[63]ТР нефть'!$J$28:$BP$638,48,0)</f>
        <v>ЦКсОК 5/16</v>
      </c>
      <c r="BF306" s="115" t="str">
        <f>VLOOKUP(J306,'[63]ТР нефть'!$J$28:$BP$638,49,0)</f>
        <v>-</v>
      </c>
      <c r="BG306" s="115" t="str">
        <f>VLOOKUP(J306,'[63]ТР нефть'!$J$28:$BP$638,50,0)</f>
        <v>-</v>
      </c>
      <c r="BH306" s="115" t="str">
        <f>VLOOKUP(J306,'[63]ТР нефть'!$J$28:$BP$638,51,0)</f>
        <v>-</v>
      </c>
      <c r="BI306" s="115" t="str">
        <f>VLOOKUP(J306,'[63]ТР нефть'!$J$28:$BP$638,52,0)</f>
        <v>-</v>
      </c>
      <c r="BJ306" s="115" t="str">
        <f>IF(IFERROR(VLOOKUP(J306,'[63]ТР нефть'!$J$28:$BP$638,53,0),"-")=0,"-",IFERROR(VLOOKUP(J306,'[63]ТР нефть'!$J$28:$BP$638,53,0),"-"))</f>
        <v>-</v>
      </c>
      <c r="BK306" s="138" t="str">
        <f>IF(IFERROR(VLOOKUP(J306,'[63]ТР нефть'!$J$28:$BP$638,54,0),"-")=0,"-",IFERROR(VLOOKUP(J306,'[63]ТР нефть'!$J$28:$BP$638,54,0),"-"))</f>
        <v>-</v>
      </c>
      <c r="BL306" s="138" t="str">
        <f>IF(IFERROR(VLOOKUP(J306,'[63]ТР нефть'!$J$28:$BP$638,55,0),"-")=0,"-",IFERROR(VLOOKUP(J306,'[63]ТР нефть'!$J$28:$BP$638,55,0),"-"))</f>
        <v>-</v>
      </c>
      <c r="BM306" s="138" t="str">
        <f>IF(IFERROR(VLOOKUP(J306,'[63]ТР нефть'!$J$28:$BP$638,56,0),"-")=0,"-",IFERROR(VLOOKUP(J306,'[63]ТР нефть'!$J$28:$BP$638,56,0),"-"))</f>
        <v>-</v>
      </c>
      <c r="BN306" s="138" t="str">
        <f>IF(IFERROR(VLOOKUP(J306,'[63]ТР нефть'!$J$28:$BP$638,57,0),"-")=0,"-",IFERROR(VLOOKUP(J306,'[63]ТР нефть'!$J$28:$BP$638,57,0),"-"))</f>
        <v>-</v>
      </c>
      <c r="BO306" s="115" t="str">
        <f>IF(IFERROR(VLOOKUP(J306,'[63]ТР нефть'!$J$28:$BP$638,58,0),"-")=0,"-",IFERROR(VLOOKUP(J306,'[63]ТР нефть'!$J$28:$BP$638,58,0),"-"))</f>
        <v>-</v>
      </c>
      <c r="BP306" s="115" t="str">
        <f>IF(IFERROR(VLOOKUP(J306,'[63]ТР нефть'!$J$28:$BP$638,59,0),"-")=0,"-",IFERROR(VLOOKUP(J306,'[63]ТР нефть'!$J$28:$BP$638,59,0),"-"))</f>
        <v>-</v>
      </c>
      <c r="BQ306" s="138">
        <v>2036</v>
      </c>
      <c r="BR306" s="128">
        <v>1775.78</v>
      </c>
      <c r="BS306" s="115">
        <f t="shared" si="211"/>
        <v>260.22000000000003</v>
      </c>
      <c r="BT306" s="128">
        <v>73</v>
      </c>
      <c r="BU306" s="128">
        <v>5.5</v>
      </c>
      <c r="BV306" s="127">
        <v>65</v>
      </c>
      <c r="BW306" s="127" t="s">
        <v>217</v>
      </c>
      <c r="BX306" s="127" t="s">
        <v>195</v>
      </c>
      <c r="BY306" s="139">
        <v>24</v>
      </c>
      <c r="BZ306" s="139">
        <v>0</v>
      </c>
      <c r="CA306" s="80">
        <v>25</v>
      </c>
      <c r="CB306" s="138">
        <v>50</v>
      </c>
      <c r="CC306" s="138">
        <v>24</v>
      </c>
      <c r="CD306" s="135">
        <v>45017</v>
      </c>
      <c r="CE306" s="138">
        <v>106</v>
      </c>
      <c r="CF306" s="138">
        <v>74</v>
      </c>
      <c r="CG306" s="138" t="str">
        <f t="shared" si="212"/>
        <v>В работе</v>
      </c>
      <c r="CH306" s="138" t="s">
        <v>272</v>
      </c>
      <c r="CI306" s="127"/>
      <c r="CJ306" s="138"/>
      <c r="CK306" s="138">
        <f t="shared" si="207"/>
        <v>25</v>
      </c>
      <c r="CL306" s="99"/>
      <c r="CM306" s="99"/>
      <c r="CN306" s="140">
        <v>50</v>
      </c>
      <c r="CO306" s="141">
        <f t="shared" si="216"/>
        <v>9.1959999999999997</v>
      </c>
      <c r="CP306" s="142">
        <v>11</v>
      </c>
      <c r="CQ306" s="143">
        <v>0</v>
      </c>
      <c r="CR306" s="138">
        <v>9.5</v>
      </c>
      <c r="CS306" s="139">
        <v>8</v>
      </c>
      <c r="CT306" s="138"/>
      <c r="CU306" s="138">
        <f t="shared" si="235"/>
        <v>1.5</v>
      </c>
      <c r="CV306" s="115">
        <f t="shared" si="236"/>
        <v>163.11439756415834</v>
      </c>
      <c r="CW306" s="115">
        <f t="shared" si="217"/>
        <v>869.94345367551102</v>
      </c>
      <c r="CX306" s="133">
        <f t="shared" si="237"/>
        <v>0.19642857142857142</v>
      </c>
      <c r="CY306" s="116"/>
      <c r="CZ306" s="131"/>
      <c r="DA306" s="145" t="str">
        <f t="shared" si="218"/>
        <v>Газлифт</v>
      </c>
      <c r="DB306" s="146">
        <f t="shared" si="219"/>
        <v>9.1959999999999997</v>
      </c>
      <c r="DC306" s="142">
        <f t="shared" si="234"/>
        <v>11</v>
      </c>
      <c r="DD306" s="119">
        <f t="shared" si="204"/>
        <v>0</v>
      </c>
      <c r="DE306" s="115">
        <f t="shared" si="220"/>
        <v>1.5</v>
      </c>
      <c r="DF306" s="121">
        <f t="shared" si="221"/>
        <v>8</v>
      </c>
      <c r="DG306" s="115">
        <f t="shared" si="222"/>
        <v>163.11439756415834</v>
      </c>
      <c r="DH306" s="115">
        <f t="shared" si="223"/>
        <v>50</v>
      </c>
      <c r="DI306" s="147"/>
      <c r="DJ306" s="111">
        <v>43662</v>
      </c>
      <c r="DK306" s="112">
        <v>43557</v>
      </c>
      <c r="DL306" s="113">
        <f t="shared" ca="1" si="240"/>
        <v>1547</v>
      </c>
      <c r="DM306" s="114"/>
      <c r="DN306" s="114"/>
      <c r="DO306" s="114"/>
      <c r="DP306" s="114"/>
      <c r="DQ306" s="112">
        <v>43557</v>
      </c>
      <c r="DR306" s="114" t="s">
        <v>324</v>
      </c>
      <c r="DS306" s="114"/>
      <c r="DT306" s="115">
        <v>54</v>
      </c>
      <c r="DU306" s="116">
        <f t="shared" si="241"/>
        <v>0.21153846153846154</v>
      </c>
      <c r="DV306" s="117">
        <f t="shared" si="242"/>
        <v>9.1959999999999997</v>
      </c>
      <c r="DW306" s="118">
        <f t="shared" si="243"/>
        <v>11</v>
      </c>
      <c r="DX306" s="119">
        <f t="shared" si="224"/>
        <v>0</v>
      </c>
      <c r="DY306" s="115">
        <f t="shared" si="244"/>
        <v>1.5</v>
      </c>
      <c r="DZ306" s="117">
        <f t="shared" si="245"/>
        <v>0</v>
      </c>
      <c r="EA306" s="120">
        <f t="shared" si="245"/>
        <v>0</v>
      </c>
      <c r="EB306" s="119">
        <f t="shared" si="245"/>
        <v>0</v>
      </c>
      <c r="EC306" s="121">
        <f t="shared" si="246"/>
        <v>0</v>
      </c>
      <c r="ED306" s="122"/>
      <c r="EE306" s="145">
        <v>65</v>
      </c>
      <c r="EF306" s="115">
        <v>26</v>
      </c>
      <c r="EG306" s="115">
        <v>49</v>
      </c>
      <c r="EH306" s="115">
        <v>25</v>
      </c>
      <c r="EI306" s="148" t="s">
        <v>195</v>
      </c>
      <c r="EJ306" s="115">
        <v>24</v>
      </c>
      <c r="EK306" s="115">
        <v>0</v>
      </c>
      <c r="EL306" s="149">
        <v>9.1959999999999997</v>
      </c>
      <c r="EM306" s="142">
        <v>11</v>
      </c>
      <c r="EN306" s="119">
        <v>0</v>
      </c>
      <c r="EO306" s="115">
        <v>9.5</v>
      </c>
      <c r="EP306" s="115">
        <v>163.11439756415834</v>
      </c>
      <c r="EQ306" s="115">
        <v>71</v>
      </c>
      <c r="ER306" s="115">
        <v>8</v>
      </c>
      <c r="ES306" s="115">
        <v>51</v>
      </c>
      <c r="ET306" s="150">
        <v>0.2</v>
      </c>
      <c r="EU306" s="145">
        <f t="shared" si="225"/>
        <v>65</v>
      </c>
      <c r="EV306" s="115">
        <f t="shared" si="226"/>
        <v>25</v>
      </c>
      <c r="EW306" s="115">
        <f t="shared" si="226"/>
        <v>50</v>
      </c>
      <c r="EX306" s="115">
        <f t="shared" si="226"/>
        <v>24</v>
      </c>
      <c r="EY306" s="115" t="str">
        <f t="shared" si="206"/>
        <v>Постоянный</v>
      </c>
      <c r="EZ306" s="115">
        <f t="shared" si="206"/>
        <v>24</v>
      </c>
      <c r="FA306" s="115">
        <f t="shared" si="206"/>
        <v>0</v>
      </c>
      <c r="FB306" s="149">
        <f t="shared" si="238"/>
        <v>9.1959999999999997</v>
      </c>
      <c r="FC306" s="142">
        <f t="shared" si="238"/>
        <v>11</v>
      </c>
      <c r="FD306" s="119">
        <f t="shared" si="238"/>
        <v>0</v>
      </c>
      <c r="FE306" s="121">
        <f t="shared" si="208"/>
        <v>9.5</v>
      </c>
      <c r="FF306" s="121">
        <f t="shared" si="247"/>
        <v>163.11439756415834</v>
      </c>
      <c r="FG306" s="121">
        <f t="shared" si="227"/>
        <v>74</v>
      </c>
      <c r="FH306" s="121">
        <f t="shared" si="248"/>
        <v>8</v>
      </c>
      <c r="FI306" s="121">
        <f t="shared" si="205"/>
        <v>50</v>
      </c>
      <c r="FJ306" s="144">
        <f t="shared" si="228"/>
        <v>0.19642857142857142</v>
      </c>
      <c r="FK306" s="132">
        <f t="shared" si="229"/>
        <v>0</v>
      </c>
      <c r="FL306" s="115">
        <f t="shared" si="229"/>
        <v>-1</v>
      </c>
      <c r="FM306" s="115">
        <f t="shared" si="229"/>
        <v>1</v>
      </c>
      <c r="FN306" s="115">
        <f t="shared" si="229"/>
        <v>-1</v>
      </c>
      <c r="FO306" s="115">
        <f t="shared" si="232"/>
        <v>0</v>
      </c>
      <c r="FP306" s="115">
        <f t="shared" si="232"/>
        <v>0</v>
      </c>
      <c r="FQ306" s="149">
        <f t="shared" si="232"/>
        <v>0</v>
      </c>
      <c r="FR306" s="142">
        <f t="shared" si="232"/>
        <v>0</v>
      </c>
      <c r="FS306" s="119">
        <f t="shared" si="232"/>
        <v>0</v>
      </c>
      <c r="FT306" s="121">
        <f t="shared" si="232"/>
        <v>0</v>
      </c>
      <c r="FU306" s="121">
        <f t="shared" si="230"/>
        <v>3</v>
      </c>
      <c r="FV306" s="121">
        <f t="shared" si="230"/>
        <v>0</v>
      </c>
      <c r="FW306" s="121">
        <f t="shared" si="231"/>
        <v>0</v>
      </c>
      <c r="FX306" s="121">
        <f t="shared" si="233"/>
        <v>-1</v>
      </c>
      <c r="FY306" s="144">
        <f t="shared" si="214"/>
        <v>-3.5714285714285865E-3</v>
      </c>
      <c r="FZ306" s="145"/>
      <c r="GA306" s="151"/>
      <c r="GB306" s="145"/>
      <c r="GC306" s="151"/>
      <c r="GD306" s="997" t="s">
        <v>202</v>
      </c>
      <c r="GE306" s="1004"/>
      <c r="GF306" s="1004">
        <v>0.8360000000000003</v>
      </c>
      <c r="GG306" s="1004"/>
      <c r="GH306" s="1004">
        <v>0</v>
      </c>
      <c r="GI306" s="145"/>
      <c r="GJ306" s="996">
        <v>0.41800000000000015</v>
      </c>
      <c r="GK306" s="145"/>
      <c r="GL306" s="996">
        <v>-0.85272000000000059</v>
      </c>
      <c r="GM306" s="1005"/>
      <c r="GN306" s="996">
        <v>-0.61027999999999949</v>
      </c>
      <c r="GO306" s="1006"/>
      <c r="GP306" s="996">
        <v>0</v>
      </c>
      <c r="GQ306" s="1006"/>
      <c r="GR306" s="996">
        <v>-0.54340000000000011</v>
      </c>
      <c r="GS306" s="1006" t="s">
        <v>199</v>
      </c>
      <c r="GT306" s="996">
        <v>1.5073999999999987</v>
      </c>
      <c r="GU306" s="1006"/>
      <c r="GV306" s="996">
        <v>1.3350000000000009</v>
      </c>
      <c r="GW306" s="1006" t="s">
        <v>199</v>
      </c>
      <c r="GX306" s="1035">
        <v>3.4765227199999993</v>
      </c>
      <c r="GY306" s="1006" t="s">
        <v>199</v>
      </c>
      <c r="GZ306" s="996">
        <v>-2.1446911199999992</v>
      </c>
      <c r="HA306" s="1006" t="s">
        <v>199</v>
      </c>
      <c r="HB306" s="996">
        <v>0.96716840000000026</v>
      </c>
      <c r="HC306" s="1006"/>
      <c r="HD306" s="996">
        <v>-6.2006120000000386E-2</v>
      </c>
      <c r="HE306" s="1006"/>
      <c r="HF306" s="996">
        <v>0</v>
      </c>
      <c r="HG306" s="1006" t="s">
        <v>199</v>
      </c>
      <c r="HH306" s="996">
        <v>-1.0857758999999998</v>
      </c>
      <c r="HI306" s="1006"/>
      <c r="HJ306" s="996">
        <v>-0.15985991999999971</v>
      </c>
      <c r="HK306" s="1006"/>
      <c r="HL306" s="996">
        <v>-1.9186200000000042E-2</v>
      </c>
      <c r="HM306" s="1006"/>
      <c r="HN306" s="996">
        <v>0.10296593999999981</v>
      </c>
      <c r="HO306" s="1006"/>
      <c r="HP306" s="996">
        <v>-5.0578000000003343E-3</v>
      </c>
      <c r="HQ306" s="1006"/>
      <c r="HR306" s="996">
        <v>0</v>
      </c>
      <c r="HS306" s="1006"/>
      <c r="HT306" s="996">
        <v>0</v>
      </c>
      <c r="HU306" s="1006"/>
      <c r="HV306" s="996">
        <v>-0.35948000000000047</v>
      </c>
      <c r="HW306" s="1006" t="s">
        <v>241</v>
      </c>
      <c r="HX306" s="996">
        <v>-2.5599958560000005</v>
      </c>
      <c r="HY306" s="1006" t="s">
        <v>199</v>
      </c>
      <c r="HZ306" s="996">
        <v>1.6102363200000012</v>
      </c>
      <c r="IA306" s="1006"/>
      <c r="IB306" s="996">
        <v>0.86085929600000011</v>
      </c>
      <c r="IC306" s="1006" t="s">
        <v>204</v>
      </c>
      <c r="ID306" s="996">
        <v>-3.8649617599999999</v>
      </c>
      <c r="IE306" s="1006" t="s">
        <v>199</v>
      </c>
      <c r="IF306" s="996">
        <v>7.0303419999999992</v>
      </c>
      <c r="IG306" s="1006"/>
      <c r="IH306" s="996">
        <v>0</v>
      </c>
      <c r="II306" s="1006"/>
      <c r="IJ306" s="996">
        <v>0</v>
      </c>
      <c r="IK306" s="1006"/>
      <c r="IL306" s="996">
        <v>-2.5079999999999991E-2</v>
      </c>
      <c r="IM306" s="1006" t="s">
        <v>199</v>
      </c>
      <c r="IN306" s="996">
        <v>-4.5144000000000002</v>
      </c>
      <c r="IO306" s="1006"/>
      <c r="IP306" s="996">
        <v>0</v>
      </c>
      <c r="IQ306" s="1006"/>
      <c r="IR306" s="996">
        <v>0.83599999999999941</v>
      </c>
      <c r="IS306" s="1006" t="s">
        <v>199</v>
      </c>
      <c r="IT306" s="996">
        <v>-1.6678199999999999</v>
      </c>
      <c r="IU306" s="1006"/>
      <c r="IV306" s="996">
        <v>0</v>
      </c>
      <c r="IW306" s="1006"/>
      <c r="IX306" s="996">
        <v>-0.63954000000000022</v>
      </c>
      <c r="IY306" s="1006" t="s">
        <v>199</v>
      </c>
      <c r="IZ306" s="996">
        <v>3.5596880000000004</v>
      </c>
      <c r="JA306" s="1006" t="s">
        <v>199</v>
      </c>
      <c r="JB306" s="996">
        <v>-6.9613719999999981</v>
      </c>
      <c r="JC306" s="1006"/>
      <c r="JD306" s="996">
        <v>0</v>
      </c>
      <c r="JE306" s="1006"/>
      <c r="JF306" s="996">
        <v>0</v>
      </c>
      <c r="JG306" s="1006" t="s">
        <v>199</v>
      </c>
      <c r="JH306" s="996">
        <v>2.892058399999998</v>
      </c>
      <c r="JI306" s="1006"/>
      <c r="JJ306" s="996">
        <v>0</v>
      </c>
      <c r="JK306" s="1007" t="s">
        <v>203</v>
      </c>
      <c r="JL306" s="1007">
        <v>-2.4775779599999996</v>
      </c>
      <c r="JM306" s="1007"/>
      <c r="JN306" s="1007">
        <v>0</v>
      </c>
      <c r="JO306" s="1008"/>
      <c r="JP306" s="1007">
        <v>0</v>
      </c>
      <c r="JQ306" s="1008" t="s">
        <v>25</v>
      </c>
      <c r="JR306" s="1007">
        <v>3.9169635599999992</v>
      </c>
      <c r="JS306" s="1008">
        <v>0</v>
      </c>
      <c r="JT306" s="1007">
        <v>0</v>
      </c>
      <c r="JU306" s="1008"/>
      <c r="JV306" s="1007">
        <v>0</v>
      </c>
      <c r="JW306" s="1008" t="s">
        <v>203</v>
      </c>
      <c r="JX306" s="1007">
        <v>5.4665538399999996</v>
      </c>
      <c r="JY306" s="1008" t="s">
        <v>324</v>
      </c>
      <c r="JZ306" s="1007">
        <v>12.557606159999999</v>
      </c>
      <c r="KA306" s="1008"/>
      <c r="KB306" s="1007"/>
      <c r="KC306" s="1008"/>
      <c r="KD306" s="1007"/>
      <c r="KE306" s="1008"/>
      <c r="KF306" s="1007"/>
      <c r="KG306" s="1008"/>
      <c r="KH306" s="1007"/>
      <c r="KI306" s="1008"/>
      <c r="KJ306" s="1007"/>
      <c r="KK306" s="1008"/>
      <c r="KL306" s="1007"/>
      <c r="KM306" s="1008"/>
      <c r="KN306" s="1007"/>
      <c r="KO306" s="1008"/>
      <c r="KP306" s="1007"/>
      <c r="KQ306" s="1008"/>
      <c r="KR306" s="1007"/>
      <c r="KS306" s="1008"/>
      <c r="KT306" s="1007"/>
      <c r="KU306" s="1008"/>
      <c r="KV306" s="1007"/>
      <c r="KW306" s="1008"/>
      <c r="KX306" s="1007"/>
      <c r="KY306" s="1008"/>
      <c r="KZ306" s="1007"/>
      <c r="LA306" s="1008"/>
      <c r="LB306" s="1007"/>
      <c r="LC306" s="1008"/>
      <c r="LD306" s="1007"/>
      <c r="LE306" s="1008"/>
      <c r="LF306" s="1007"/>
      <c r="LG306" s="1008"/>
      <c r="LH306" s="1007"/>
      <c r="LI306" s="1008"/>
      <c r="LJ306" s="1007"/>
      <c r="LK306" s="1008"/>
      <c r="LL306" s="1007"/>
      <c r="LM306" s="1008"/>
      <c r="LN306" s="1007"/>
      <c r="LO306" s="1008"/>
      <c r="LP306" s="1007"/>
      <c r="LQ306" s="1008"/>
      <c r="LR306" s="1007"/>
      <c r="LS306" s="1008"/>
      <c r="LT306" s="1007"/>
      <c r="LU306" s="1008"/>
      <c r="LV306" s="1007"/>
      <c r="LW306" s="1008"/>
      <c r="LX306" s="1007"/>
      <c r="LY306" s="1009"/>
      <c r="LZ306" s="1010"/>
      <c r="MA306" s="1011"/>
      <c r="MB306" s="1012"/>
      <c r="MC306" s="995"/>
      <c r="MD306" s="996"/>
      <c r="ME306" s="997" t="s">
        <v>202</v>
      </c>
      <c r="MF306" s="997"/>
      <c r="MG306" s="998"/>
      <c r="NR306" s="1000"/>
      <c r="NS306" s="1000"/>
      <c r="NT306" s="1001"/>
      <c r="NU306" s="1000"/>
      <c r="NV306" s="1001"/>
      <c r="NX306" s="1002"/>
      <c r="NZ306" s="1001"/>
      <c r="OA306" s="1001"/>
      <c r="OC306" s="1003"/>
      <c r="OD306" s="1003"/>
      <c r="OE306" s="1001"/>
      <c r="OF306" s="1003"/>
      <c r="OG306" s="1003"/>
      <c r="QX306" s="1000">
        <f>CN306-CA306</f>
        <v>25</v>
      </c>
      <c r="ASU306" s="999" t="s">
        <v>208</v>
      </c>
    </row>
    <row r="307" spans="1:466 1191:1191" ht="21" customHeight="1" x14ac:dyDescent="0.25">
      <c r="A307" s="982">
        <f t="shared" si="215"/>
        <v>1309</v>
      </c>
      <c r="B307" s="124">
        <f>SUBTOTAL(103,$J$29:J307)</f>
        <v>279</v>
      </c>
      <c r="C307" s="126">
        <v>45068</v>
      </c>
      <c r="D307" s="124" t="s">
        <v>176</v>
      </c>
      <c r="E307" s="127" t="s">
        <v>177</v>
      </c>
      <c r="F307" s="128" t="s">
        <v>177</v>
      </c>
      <c r="G307" s="127" t="s">
        <v>178</v>
      </c>
      <c r="H307" s="127" t="s">
        <v>408</v>
      </c>
      <c r="I307" s="127" t="s">
        <v>634</v>
      </c>
      <c r="J307" s="152">
        <v>1309</v>
      </c>
      <c r="K307" s="127" t="s">
        <v>1323</v>
      </c>
      <c r="L307" s="130">
        <v>42963</v>
      </c>
      <c r="M307" s="127" t="s">
        <v>230</v>
      </c>
      <c r="N307" s="127" t="s">
        <v>245</v>
      </c>
      <c r="O307" s="127" t="s">
        <v>185</v>
      </c>
      <c r="P307" s="127" t="s">
        <v>186</v>
      </c>
      <c r="Q307" s="85" t="str">
        <f t="shared" si="249"/>
        <v/>
      </c>
      <c r="R307" s="130"/>
      <c r="S307" s="128"/>
      <c r="T307" s="131"/>
      <c r="U307" s="132">
        <v>203</v>
      </c>
      <c r="V307" s="121">
        <v>218.2</v>
      </c>
      <c r="W307" s="116">
        <v>0.98</v>
      </c>
      <c r="X307" s="116">
        <v>1.66</v>
      </c>
      <c r="Y307" s="116">
        <f t="shared" si="239"/>
        <v>0.98</v>
      </c>
      <c r="Z307" s="133">
        <v>1.454</v>
      </c>
      <c r="AA307" s="133">
        <v>0.83599999999999997</v>
      </c>
      <c r="AB307" s="133">
        <v>0.72</v>
      </c>
      <c r="AC307" s="121">
        <v>34.299999999999997</v>
      </c>
      <c r="AD307" s="134">
        <v>1.17</v>
      </c>
      <c r="AE307" s="124">
        <v>177.8</v>
      </c>
      <c r="AF307" s="128">
        <v>9.19</v>
      </c>
      <c r="AG307" s="128">
        <v>2138</v>
      </c>
      <c r="AH307" s="127">
        <v>2722</v>
      </c>
      <c r="AI307" s="127">
        <v>2722</v>
      </c>
      <c r="AJ307" s="135"/>
      <c r="AK307" s="128"/>
      <c r="AL307" s="131"/>
      <c r="AM307" s="124" t="s">
        <v>232</v>
      </c>
      <c r="AN307" s="136" t="s">
        <v>1324</v>
      </c>
      <c r="AO307" s="137">
        <v>7.86</v>
      </c>
      <c r="AP307" s="128">
        <v>2138</v>
      </c>
      <c r="AQ307" s="128">
        <v>245.9</v>
      </c>
      <c r="AR307" s="128"/>
      <c r="AS307" s="128"/>
      <c r="AT307" s="122"/>
      <c r="AU307" s="124" t="s">
        <v>189</v>
      </c>
      <c r="AV307" s="115">
        <f>VLOOKUP(J307,'[63]ТР нефть'!$J$28:$BP$638,39,0)</f>
        <v>599.99999062500001</v>
      </c>
      <c r="AW307" s="115" t="str">
        <f>VLOOKUP(J307,'[63]ТР нефть'!$J$28:$BP$638,40,0)</f>
        <v>ГП</v>
      </c>
      <c r="AX307" s="115">
        <f>VLOOKUP(J307,'[63]ТР нефть'!$J$28:$BP$638,41,0)</f>
        <v>1030.000013672</v>
      </c>
      <c r="AY307" s="115" t="str">
        <f>VLOOKUP(J307,'[63]ТР нефть'!$J$28:$BP$638,42,0)</f>
        <v>ГК81 1/8</v>
      </c>
      <c r="AZ307" s="115">
        <f>VLOOKUP(J307,'[63]ТР нефть'!$J$28:$BP$638,43,0)</f>
        <v>1349.999978906</v>
      </c>
      <c r="BA307" s="115" t="str">
        <f>VLOOKUP(J307,'[63]ТР нефть'!$J$28:$BP$638,44,0)</f>
        <v>ГК81 1/8</v>
      </c>
      <c r="BB307" s="115">
        <f>VLOOKUP(J307,'[63]ТР нефть'!$J$28:$BP$638,45,0)</f>
        <v>1599.9999749999999</v>
      </c>
      <c r="BC307" s="115" t="str">
        <f>VLOOKUP(J307,'[63]ТР нефть'!$J$28:$BP$638,46,0)</f>
        <v>ГК81 1/8</v>
      </c>
      <c r="BD307" s="115">
        <f>VLOOKUP(J307,'[63]ТР нефть'!$J$28:$BP$638,47,0)</f>
        <v>1849.9999710940001</v>
      </c>
      <c r="BE307" s="115" t="str">
        <f>VLOOKUP(J307,'[63]ТР нефть'!$J$28:$BP$638,48,0)</f>
        <v>ЦКсОК 5/16</v>
      </c>
      <c r="BF307" s="115" t="str">
        <f>VLOOKUP(J307,'[63]ТР нефть'!$J$28:$BP$638,49,0)</f>
        <v>-</v>
      </c>
      <c r="BG307" s="115" t="str">
        <f>VLOOKUP(J307,'[63]ТР нефть'!$J$28:$BP$638,50,0)</f>
        <v>-</v>
      </c>
      <c r="BH307" s="115">
        <f>VLOOKUP(J307,'[63]ТР нефть'!$J$28:$BP$638,51,0)</f>
        <v>1860</v>
      </c>
      <c r="BI307" s="115" t="str">
        <f>VLOOKUP(J307,'[63]ТР нефть'!$J$28:$BP$638,52,0)</f>
        <v>закрыт</v>
      </c>
      <c r="BJ307" s="115" t="str">
        <f>IF(IFERROR(VLOOKUP(J307,'[63]ТР нефть'!$J$28:$BP$638,53,0),"-")=0,"-",IFERROR(VLOOKUP(J307,'[63]ТР нефть'!$J$28:$BP$638,53,0),"-"))</f>
        <v>-</v>
      </c>
      <c r="BK307" s="138" t="str">
        <f>IF(IFERROR(VLOOKUP(J307,'[63]ТР нефть'!$J$28:$BP$638,54,0),"-")=0,"-",IFERROR(VLOOKUP(J307,'[63]ТР нефть'!$J$28:$BP$638,54,0),"-"))</f>
        <v>-</v>
      </c>
      <c r="BL307" s="138" t="str">
        <f>IF(IFERROR(VLOOKUP(J307,'[63]ТР нефть'!$J$28:$BP$638,55,0),"-")=0,"-",IFERROR(VLOOKUP(J307,'[63]ТР нефть'!$J$28:$BP$638,55,0),"-"))</f>
        <v>-</v>
      </c>
      <c r="BM307" s="138" t="str">
        <f>IF(IFERROR(VLOOKUP(J307,'[63]ТР нефть'!$J$28:$BP$638,56,0),"-")=0,"-",IFERROR(VLOOKUP(J307,'[63]ТР нефть'!$J$28:$BP$638,56,0),"-"))</f>
        <v>-</v>
      </c>
      <c r="BN307" s="138" t="str">
        <f>IF(IFERROR(VLOOKUP(J307,'[63]ТР нефть'!$J$28:$BP$638,57,0),"-")=0,"-",IFERROR(VLOOKUP(J307,'[63]ТР нефть'!$J$28:$BP$638,57,0),"-"))</f>
        <v>-</v>
      </c>
      <c r="BO307" s="115" t="str">
        <f>IF(IFERROR(VLOOKUP(J307,'[63]ТР нефть'!$J$28:$BP$638,58,0),"-")=0,"-",IFERROR(VLOOKUP(J307,'[63]ТР нефть'!$J$28:$BP$638,58,0),"-"))</f>
        <v>-</v>
      </c>
      <c r="BP307" s="115" t="str">
        <f>IF(IFERROR(VLOOKUP(J307,'[63]ТР нефть'!$J$28:$BP$638,59,0),"-")=0,"-",IFERROR(VLOOKUP(J307,'[63]ТР нефть'!$J$28:$BP$638,59,0),"-"))</f>
        <v>-</v>
      </c>
      <c r="BQ307" s="138">
        <v>2140</v>
      </c>
      <c r="BR307" s="128">
        <v>1893.17</v>
      </c>
      <c r="BS307" s="115">
        <f t="shared" si="211"/>
        <v>246.82999999999993</v>
      </c>
      <c r="BT307" s="128">
        <v>73</v>
      </c>
      <c r="BU307" s="128">
        <v>5.5</v>
      </c>
      <c r="BV307" s="127">
        <v>65</v>
      </c>
      <c r="BW307" s="127" t="s">
        <v>217</v>
      </c>
      <c r="BX307" s="127" t="s">
        <v>195</v>
      </c>
      <c r="BY307" s="139">
        <v>24</v>
      </c>
      <c r="BZ307" s="139">
        <v>0</v>
      </c>
      <c r="CA307" s="138">
        <v>23</v>
      </c>
      <c r="CB307" s="138">
        <v>38</v>
      </c>
      <c r="CC307" s="138">
        <v>22</v>
      </c>
      <c r="CD307" s="135">
        <v>45017</v>
      </c>
      <c r="CE307" s="138">
        <v>84</v>
      </c>
      <c r="CF307" s="138">
        <v>68</v>
      </c>
      <c r="CG307" s="138" t="str">
        <f t="shared" si="212"/>
        <v>В работе</v>
      </c>
      <c r="CH307" s="138" t="s">
        <v>272</v>
      </c>
      <c r="CI307" s="138">
        <v>6</v>
      </c>
      <c r="CJ307" s="139"/>
      <c r="CK307" s="139"/>
      <c r="CL307" s="99"/>
      <c r="CM307" s="99"/>
      <c r="CN307" s="140">
        <v>50</v>
      </c>
      <c r="CO307" s="159">
        <f t="shared" si="216"/>
        <v>10.45</v>
      </c>
      <c r="CP307" s="160">
        <v>12.5</v>
      </c>
      <c r="CQ307" s="161">
        <v>0</v>
      </c>
      <c r="CR307" s="115">
        <v>28</v>
      </c>
      <c r="CS307" s="139">
        <v>7.4</v>
      </c>
      <c r="CT307" s="138"/>
      <c r="CU307" s="138">
        <f t="shared" si="235"/>
        <v>20.6</v>
      </c>
      <c r="CV307" s="115">
        <f t="shared" si="236"/>
        <v>1971.2918660287082</v>
      </c>
      <c r="CW307" s="115">
        <f t="shared" si="217"/>
        <v>708.13397129186603</v>
      </c>
      <c r="CX307" s="133">
        <f t="shared" si="237"/>
        <v>0.36764705882352944</v>
      </c>
      <c r="CY307" s="116"/>
      <c r="CZ307" s="131"/>
      <c r="DA307" s="145" t="str">
        <f t="shared" si="218"/>
        <v>Газлифт</v>
      </c>
      <c r="DB307" s="146">
        <f t="shared" si="219"/>
        <v>10.45</v>
      </c>
      <c r="DC307" s="142">
        <f t="shared" si="234"/>
        <v>12.5</v>
      </c>
      <c r="DD307" s="119">
        <f t="shared" si="204"/>
        <v>0</v>
      </c>
      <c r="DE307" s="115">
        <f t="shared" si="220"/>
        <v>20.6</v>
      </c>
      <c r="DF307" s="121">
        <f t="shared" si="221"/>
        <v>7.4</v>
      </c>
      <c r="DG307" s="115">
        <f t="shared" si="222"/>
        <v>1971.2918660287082</v>
      </c>
      <c r="DH307" s="115">
        <f t="shared" si="223"/>
        <v>50</v>
      </c>
      <c r="DI307" s="147"/>
      <c r="DJ307" s="111">
        <v>43708</v>
      </c>
      <c r="DK307" s="112">
        <v>42963.083333333336</v>
      </c>
      <c r="DL307" s="113">
        <f t="shared" ca="1" si="240"/>
        <v>2140.9166666666642</v>
      </c>
      <c r="DM307" s="114"/>
      <c r="DN307" s="114"/>
      <c r="DO307" s="114"/>
      <c r="DP307" s="114"/>
      <c r="DQ307" s="112">
        <v>43909</v>
      </c>
      <c r="DR307" s="114" t="s">
        <v>198</v>
      </c>
      <c r="DS307" s="114"/>
      <c r="DT307" s="115">
        <v>53</v>
      </c>
      <c r="DU307" s="116">
        <f t="shared" si="241"/>
        <v>0.40322580645161288</v>
      </c>
      <c r="DV307" s="117">
        <f t="shared" si="242"/>
        <v>10.45</v>
      </c>
      <c r="DW307" s="118">
        <f t="shared" si="243"/>
        <v>12.5</v>
      </c>
      <c r="DX307" s="119">
        <f t="shared" si="224"/>
        <v>0</v>
      </c>
      <c r="DY307" s="115">
        <f t="shared" si="244"/>
        <v>20.6</v>
      </c>
      <c r="DZ307" s="117">
        <f t="shared" si="245"/>
        <v>0</v>
      </c>
      <c r="EA307" s="120">
        <f t="shared" si="245"/>
        <v>0</v>
      </c>
      <c r="EB307" s="119">
        <f t="shared" si="245"/>
        <v>0</v>
      </c>
      <c r="EC307" s="121">
        <f t="shared" si="246"/>
        <v>0</v>
      </c>
      <c r="ED307" s="122"/>
      <c r="EE307" s="211">
        <v>65</v>
      </c>
      <c r="EF307" s="115">
        <v>23</v>
      </c>
      <c r="EG307" s="115">
        <v>39</v>
      </c>
      <c r="EH307" s="115">
        <v>23</v>
      </c>
      <c r="EI307" s="128" t="s">
        <v>195</v>
      </c>
      <c r="EJ307" s="121">
        <v>24</v>
      </c>
      <c r="EK307" s="121">
        <v>0</v>
      </c>
      <c r="EL307" s="162">
        <v>6.1027999999999993</v>
      </c>
      <c r="EM307" s="142">
        <v>7.3</v>
      </c>
      <c r="EN307" s="119">
        <v>0</v>
      </c>
      <c r="EO307" s="115">
        <v>12.3</v>
      </c>
      <c r="EP307" s="115">
        <v>1196.1722488038279</v>
      </c>
      <c r="EQ307" s="115">
        <v>65</v>
      </c>
      <c r="ER307" s="115">
        <v>5</v>
      </c>
      <c r="ES307" s="115">
        <v>49</v>
      </c>
      <c r="ET307" s="150">
        <v>0.20857142857142857</v>
      </c>
      <c r="EU307" s="145">
        <f t="shared" si="225"/>
        <v>65</v>
      </c>
      <c r="EV307" s="115">
        <f t="shared" si="226"/>
        <v>23</v>
      </c>
      <c r="EW307" s="115">
        <f t="shared" si="226"/>
        <v>38</v>
      </c>
      <c r="EX307" s="115">
        <f t="shared" si="226"/>
        <v>22</v>
      </c>
      <c r="EY307" s="115" t="str">
        <f t="shared" si="206"/>
        <v>Постоянный</v>
      </c>
      <c r="EZ307" s="115">
        <f t="shared" si="206"/>
        <v>24</v>
      </c>
      <c r="FA307" s="115">
        <f t="shared" si="206"/>
        <v>0</v>
      </c>
      <c r="FB307" s="149">
        <f t="shared" si="238"/>
        <v>10.45</v>
      </c>
      <c r="FC307" s="142">
        <f t="shared" si="238"/>
        <v>12.5</v>
      </c>
      <c r="FD307" s="119">
        <f t="shared" si="238"/>
        <v>0</v>
      </c>
      <c r="FE307" s="121">
        <f t="shared" si="208"/>
        <v>28</v>
      </c>
      <c r="FF307" s="121">
        <f t="shared" si="247"/>
        <v>1971.2918660287082</v>
      </c>
      <c r="FG307" s="121">
        <f t="shared" si="227"/>
        <v>68</v>
      </c>
      <c r="FH307" s="121">
        <f t="shared" si="248"/>
        <v>7.4</v>
      </c>
      <c r="FI307" s="121">
        <f t="shared" si="205"/>
        <v>50</v>
      </c>
      <c r="FJ307" s="144">
        <f t="shared" si="228"/>
        <v>0.36764705882352944</v>
      </c>
      <c r="FK307" s="132">
        <f t="shared" si="229"/>
        <v>0</v>
      </c>
      <c r="FL307" s="115">
        <f t="shared" si="229"/>
        <v>0</v>
      </c>
      <c r="FM307" s="115">
        <f t="shared" si="229"/>
        <v>-1</v>
      </c>
      <c r="FN307" s="115">
        <f t="shared" si="229"/>
        <v>-1</v>
      </c>
      <c r="FO307" s="115">
        <f t="shared" si="232"/>
        <v>0</v>
      </c>
      <c r="FP307" s="115">
        <f t="shared" si="232"/>
        <v>0</v>
      </c>
      <c r="FQ307" s="149">
        <f t="shared" si="232"/>
        <v>4.3472</v>
      </c>
      <c r="FR307" s="142">
        <f t="shared" si="232"/>
        <v>5.2</v>
      </c>
      <c r="FS307" s="119">
        <f t="shared" si="232"/>
        <v>0</v>
      </c>
      <c r="FT307" s="121">
        <f t="shared" si="232"/>
        <v>15.7</v>
      </c>
      <c r="FU307" s="121">
        <f t="shared" si="230"/>
        <v>3</v>
      </c>
      <c r="FV307" s="121">
        <f t="shared" si="230"/>
        <v>2.4000000000000004</v>
      </c>
      <c r="FW307" s="121">
        <f t="shared" si="231"/>
        <v>775.11961722488036</v>
      </c>
      <c r="FX307" s="121">
        <f>CN307-ES307</f>
        <v>1</v>
      </c>
      <c r="FY307" s="144">
        <f t="shared" si="214"/>
        <v>0.15907563025210086</v>
      </c>
      <c r="FZ307" s="145" t="s">
        <v>204</v>
      </c>
      <c r="GA307" s="151" t="s">
        <v>1325</v>
      </c>
      <c r="GB307" s="145"/>
      <c r="GC307" s="151"/>
      <c r="GD307" s="997" t="s">
        <v>416</v>
      </c>
      <c r="GE307" s="1004"/>
      <c r="GF307" s="1004">
        <v>-0.14212000000000025</v>
      </c>
      <c r="GG307" s="1004"/>
      <c r="GH307" s="1004">
        <v>4.9156800000000445E-2</v>
      </c>
      <c r="GI307" s="145"/>
      <c r="GJ307" s="996">
        <v>0</v>
      </c>
      <c r="GK307" s="145"/>
      <c r="GL307" s="996">
        <v>-0.78650879999999912</v>
      </c>
      <c r="GM307" s="1005" t="s">
        <v>240</v>
      </c>
      <c r="GN307" s="996">
        <v>-2.9694720000000014</v>
      </c>
      <c r="GO307" s="1006"/>
      <c r="GP307" s="996">
        <v>0</v>
      </c>
      <c r="GQ307" s="1006"/>
      <c r="GR307" s="996">
        <v>0</v>
      </c>
      <c r="GS307" s="1006"/>
      <c r="GT307" s="996">
        <v>0</v>
      </c>
      <c r="GU307" s="1006"/>
      <c r="GV307" s="996">
        <v>0</v>
      </c>
      <c r="GW307" s="1006" t="s">
        <v>199</v>
      </c>
      <c r="GX307" s="1035">
        <v>3.6901039999999998</v>
      </c>
      <c r="GY307" s="1006"/>
      <c r="GZ307" s="996">
        <v>2.8821936000000825E-2</v>
      </c>
      <c r="HA307" s="1006"/>
      <c r="HB307" s="996">
        <v>-0.59730193600000092</v>
      </c>
      <c r="HC307" s="1006"/>
      <c r="HD307" s="996">
        <v>-0.57500079999999887</v>
      </c>
      <c r="HE307" s="1006"/>
      <c r="HF307" s="996">
        <v>-0.82279119999999928</v>
      </c>
      <c r="HG307" s="1006"/>
      <c r="HH307" s="996">
        <v>-9.2495040000001083E-2</v>
      </c>
      <c r="HI307" s="1006"/>
      <c r="HJ307" s="996">
        <v>-0.72082845999999989</v>
      </c>
      <c r="HK307" s="1006"/>
      <c r="HL307" s="996">
        <v>0</v>
      </c>
      <c r="HM307" s="1006" t="s">
        <v>199</v>
      </c>
      <c r="HN307" s="996">
        <v>1.5402589399999993</v>
      </c>
      <c r="HO307" s="1006" t="s">
        <v>199</v>
      </c>
      <c r="HP307" s="996">
        <v>-1.3820701839999998</v>
      </c>
      <c r="HQ307" s="1006" t="s">
        <v>203</v>
      </c>
      <c r="HR307" s="996">
        <v>-1.0626278959999986</v>
      </c>
      <c r="HS307" s="1006"/>
      <c r="HT307" s="996">
        <v>0</v>
      </c>
      <c r="HU307" s="1006"/>
      <c r="HV307" s="996">
        <v>-0.38434264000000162</v>
      </c>
      <c r="HW307" s="1006"/>
      <c r="HX307" s="996">
        <v>0</v>
      </c>
      <c r="HY307" s="1006" t="s">
        <v>203</v>
      </c>
      <c r="HZ307" s="996">
        <v>-1.7601261039999994</v>
      </c>
      <c r="IA307" s="1006" t="s">
        <v>203</v>
      </c>
      <c r="IB307" s="996">
        <v>-0.95459997599999902</v>
      </c>
      <c r="IC307" s="1006"/>
      <c r="ID307" s="996">
        <v>0</v>
      </c>
      <c r="IE307" s="1006" t="s">
        <v>221</v>
      </c>
      <c r="IF307" s="996">
        <v>-6.027023680000001</v>
      </c>
      <c r="IG307" s="1006" t="s">
        <v>25</v>
      </c>
      <c r="IH307" s="996">
        <v>4.8441539300000001</v>
      </c>
      <c r="II307" s="1006"/>
      <c r="IJ307" s="996">
        <v>0</v>
      </c>
      <c r="IK307" s="1006"/>
      <c r="IL307" s="996">
        <v>0</v>
      </c>
      <c r="IM307" s="1006"/>
      <c r="IN307" s="996">
        <v>0</v>
      </c>
      <c r="IO307" s="1006" t="s">
        <v>199</v>
      </c>
      <c r="IP307" s="996">
        <v>-1.2958000000000007</v>
      </c>
      <c r="IQ307" s="1006"/>
      <c r="IR307" s="996">
        <v>0</v>
      </c>
      <c r="IS307" s="1006"/>
      <c r="IT307" s="996">
        <v>-0.20063999999999815</v>
      </c>
      <c r="IU307" s="1006" t="s">
        <v>203</v>
      </c>
      <c r="IV307" s="996">
        <v>-1.7135023840000017</v>
      </c>
      <c r="IW307" s="1006"/>
      <c r="IX307" s="996">
        <v>0</v>
      </c>
      <c r="IY307" s="1006"/>
      <c r="IZ307" s="996">
        <v>0</v>
      </c>
      <c r="JA307" s="1006"/>
      <c r="JB307" s="996">
        <v>4.511892000000195E-2</v>
      </c>
      <c r="JC307" s="1006"/>
      <c r="JD307" s="996">
        <v>0</v>
      </c>
      <c r="JE307" s="1006" t="s">
        <v>199</v>
      </c>
      <c r="JF307" s="996">
        <v>-3.5111999999999997</v>
      </c>
      <c r="JG307" s="1006" t="s">
        <v>223</v>
      </c>
      <c r="JH307" s="996">
        <v>-2.0732799999999987</v>
      </c>
      <c r="JI307" s="1006" t="s">
        <v>203</v>
      </c>
      <c r="JJ307" s="996">
        <v>-3.0539915999999998</v>
      </c>
      <c r="JK307" s="1007"/>
      <c r="JL307" s="1007">
        <v>0</v>
      </c>
      <c r="JM307" s="1007"/>
      <c r="JN307" s="1007">
        <v>0</v>
      </c>
      <c r="JO307" s="1008" t="s">
        <v>25</v>
      </c>
      <c r="JP307" s="1007">
        <v>2.8449915999999984</v>
      </c>
      <c r="JQ307" s="1008">
        <v>0</v>
      </c>
      <c r="JR307" s="1007">
        <v>0</v>
      </c>
      <c r="JS307" s="1008" t="s">
        <v>199</v>
      </c>
      <c r="JT307" s="1007">
        <v>-8.9201200000000007</v>
      </c>
      <c r="JU307" s="1008"/>
      <c r="JV307" s="1007">
        <v>0</v>
      </c>
      <c r="JW307" s="1008" t="s">
        <v>197</v>
      </c>
      <c r="JX307" s="1007">
        <v>0</v>
      </c>
      <c r="JY307" s="1008"/>
      <c r="JZ307" s="1007">
        <v>0</v>
      </c>
      <c r="KA307" s="1008"/>
      <c r="KB307" s="1007">
        <v>0</v>
      </c>
      <c r="KC307" s="1008" t="s">
        <v>240</v>
      </c>
      <c r="KD307" s="1007">
        <v>-2.7588000000000008</v>
      </c>
      <c r="KE307" s="1008"/>
      <c r="KF307" s="1007">
        <v>0</v>
      </c>
      <c r="KG307" s="1008"/>
      <c r="KH307" s="1007">
        <v>0</v>
      </c>
      <c r="KI307" s="1008"/>
      <c r="KJ307" s="1007">
        <v>0</v>
      </c>
      <c r="KK307" s="1008" t="s">
        <v>206</v>
      </c>
      <c r="KL307" s="1007">
        <v>-3.2185999999999986</v>
      </c>
      <c r="KM307" s="1008"/>
      <c r="KN307" s="1007">
        <v>0</v>
      </c>
      <c r="KO307" s="1008"/>
      <c r="KP307" s="1007">
        <v>0</v>
      </c>
      <c r="KQ307" s="1008">
        <v>0</v>
      </c>
      <c r="KR307" s="1007">
        <v>0</v>
      </c>
      <c r="KS307" s="1008">
        <v>0</v>
      </c>
      <c r="KT307" s="1007">
        <v>0</v>
      </c>
      <c r="KU307" s="1008">
        <v>0</v>
      </c>
      <c r="KV307" s="1007">
        <v>0</v>
      </c>
      <c r="KW307" s="1008">
        <v>0</v>
      </c>
      <c r="KX307" s="1007">
        <v>0</v>
      </c>
      <c r="KY307" s="1008">
        <v>0</v>
      </c>
      <c r="KZ307" s="1007">
        <v>0</v>
      </c>
      <c r="LA307" s="1008">
        <v>0</v>
      </c>
      <c r="LB307" s="1007">
        <v>0</v>
      </c>
      <c r="LC307" s="1008">
        <v>0</v>
      </c>
      <c r="LD307" s="1007">
        <v>0</v>
      </c>
      <c r="LE307" s="1008" t="s">
        <v>206</v>
      </c>
      <c r="LF307" s="1007">
        <v>4.5729199999999999</v>
      </c>
      <c r="LG307" s="1008">
        <v>0</v>
      </c>
      <c r="LH307" s="1007">
        <v>0</v>
      </c>
      <c r="LI307" s="1008">
        <v>0</v>
      </c>
      <c r="LJ307" s="1007">
        <v>0</v>
      </c>
      <c r="LK307" s="1008" t="s">
        <v>206</v>
      </c>
      <c r="LL307" s="1007">
        <v>0.45981</v>
      </c>
      <c r="LM307" s="1008">
        <v>0</v>
      </c>
      <c r="LN307" s="1007">
        <v>20.005479999999999</v>
      </c>
      <c r="LO307" s="1008">
        <v>0</v>
      </c>
      <c r="LP307" s="1007">
        <v>0</v>
      </c>
      <c r="LQ307" s="1008">
        <v>0</v>
      </c>
      <c r="LR307" s="1007">
        <v>0</v>
      </c>
      <c r="LS307" s="1008">
        <v>0</v>
      </c>
      <c r="LT307" s="1007">
        <v>0</v>
      </c>
      <c r="LU307" s="1008">
        <v>0</v>
      </c>
      <c r="LV307" s="1007">
        <v>0</v>
      </c>
      <c r="LW307" s="1008">
        <v>0</v>
      </c>
      <c r="LX307" s="1007">
        <v>0</v>
      </c>
      <c r="LY307" s="1009">
        <v>0</v>
      </c>
      <c r="LZ307" s="1010">
        <v>0</v>
      </c>
      <c r="MA307" s="1011">
        <v>0</v>
      </c>
      <c r="MB307" s="1012">
        <v>0</v>
      </c>
      <c r="MC307" s="995"/>
      <c r="MD307" s="996"/>
      <c r="ME307" s="997" t="s">
        <v>416</v>
      </c>
      <c r="MF307" s="997"/>
      <c r="MG307" s="998"/>
      <c r="NR307" s="1000"/>
      <c r="NS307" s="1000"/>
      <c r="NT307" s="1001"/>
      <c r="NU307" s="1000"/>
      <c r="NV307" s="1001"/>
      <c r="NX307" s="1002"/>
      <c r="NZ307" s="1001"/>
      <c r="OA307" s="1001"/>
      <c r="OC307" s="1003"/>
      <c r="OD307" s="1003"/>
      <c r="OE307" s="1001"/>
      <c r="OF307" s="1003"/>
      <c r="OG307" s="1003"/>
      <c r="QX307" s="1000">
        <f>CN307-CA307</f>
        <v>27</v>
      </c>
      <c r="ASU307" s="999" t="s">
        <v>208</v>
      </c>
    </row>
    <row r="308" spans="1:466 1191:1191" ht="21" customHeight="1" x14ac:dyDescent="0.25">
      <c r="A308" s="982">
        <f t="shared" si="215"/>
        <v>1313</v>
      </c>
      <c r="B308" s="124">
        <f>SUBTOTAL(103,$J$29:J308)</f>
        <v>280</v>
      </c>
      <c r="C308" s="126">
        <v>45068</v>
      </c>
      <c r="D308" s="124" t="s">
        <v>176</v>
      </c>
      <c r="E308" s="127" t="s">
        <v>177</v>
      </c>
      <c r="F308" s="128" t="s">
        <v>177</v>
      </c>
      <c r="G308" s="127" t="s">
        <v>178</v>
      </c>
      <c r="H308" s="127" t="s">
        <v>179</v>
      </c>
      <c r="I308" s="127" t="s">
        <v>1326</v>
      </c>
      <c r="J308" s="152">
        <v>1313</v>
      </c>
      <c r="K308" s="127" t="s">
        <v>1326</v>
      </c>
      <c r="L308" s="130">
        <v>43721</v>
      </c>
      <c r="M308" s="127" t="s">
        <v>230</v>
      </c>
      <c r="N308" s="127" t="s">
        <v>184</v>
      </c>
      <c r="O308" s="127" t="s">
        <v>185</v>
      </c>
      <c r="P308" s="127" t="s">
        <v>186</v>
      </c>
      <c r="Q308" s="85" t="str">
        <f t="shared" si="249"/>
        <v/>
      </c>
      <c r="R308" s="130"/>
      <c r="S308" s="128"/>
      <c r="T308" s="131"/>
      <c r="U308" s="132">
        <v>203</v>
      </c>
      <c r="V308" s="121">
        <v>218.2</v>
      </c>
      <c r="W308" s="116">
        <v>0.98</v>
      </c>
      <c r="X308" s="116">
        <v>1.66</v>
      </c>
      <c r="Y308" s="116">
        <f t="shared" si="239"/>
        <v>0.98040161029819439</v>
      </c>
      <c r="Z308" s="133">
        <v>1.454</v>
      </c>
      <c r="AA308" s="133">
        <v>0.83599999999999997</v>
      </c>
      <c r="AB308" s="133">
        <v>0.72</v>
      </c>
      <c r="AC308" s="121">
        <v>34.299999999999997</v>
      </c>
      <c r="AD308" s="134">
        <v>1.17</v>
      </c>
      <c r="AE308" s="124">
        <v>177.8</v>
      </c>
      <c r="AF308" s="128">
        <v>9.19</v>
      </c>
      <c r="AG308" s="128">
        <v>2138</v>
      </c>
      <c r="AH308" s="138">
        <v>3133</v>
      </c>
      <c r="AI308" s="138">
        <v>3133</v>
      </c>
      <c r="AJ308" s="135"/>
      <c r="AK308" s="128"/>
      <c r="AL308" s="131"/>
      <c r="AM308" s="124" t="s">
        <v>985</v>
      </c>
      <c r="AN308" s="136" t="s">
        <v>1327</v>
      </c>
      <c r="AO308" s="137">
        <v>16</v>
      </c>
      <c r="AP308" s="128">
        <v>2220</v>
      </c>
      <c r="AQ308" s="128">
        <v>1180</v>
      </c>
      <c r="AR308" s="128" t="s">
        <v>1328</v>
      </c>
      <c r="AS308" s="128">
        <v>114</v>
      </c>
      <c r="AT308" s="122">
        <v>7.37</v>
      </c>
      <c r="AU308" s="124" t="s">
        <v>189</v>
      </c>
      <c r="AV308" s="115">
        <f>VLOOKUP(J308,'[63]ТР нефть'!$J$28:$BP$638,39,0)</f>
        <v>499.99999218800002</v>
      </c>
      <c r="AW308" s="115" t="str">
        <f>VLOOKUP(J308,'[63]ТР нефть'!$J$28:$BP$638,40,0)</f>
        <v>ГП</v>
      </c>
      <c r="AX308" s="115">
        <f>VLOOKUP(J308,'[63]ТР нефть'!$J$28:$BP$638,41,0)</f>
        <v>870.00003105500002</v>
      </c>
      <c r="AY308" s="115" t="str">
        <f>VLOOKUP(J308,'[63]ТР нефть'!$J$28:$BP$638,42,0)</f>
        <v>ГП</v>
      </c>
      <c r="AZ308" s="115">
        <f>VLOOKUP(J308,'[63]ТР нефть'!$J$28:$BP$638,43,0)</f>
        <v>1174.999981641</v>
      </c>
      <c r="BA308" s="115" t="str">
        <f>VLOOKUP(J308,'[63]ТР нефть'!$J$28:$BP$638,44,0)</f>
        <v>ГК77 5/32</v>
      </c>
      <c r="BB308" s="115">
        <f>VLOOKUP(J308,'[63]ТР нефть'!$J$28:$BP$638,45,0)</f>
        <v>1405.0000078129999</v>
      </c>
      <c r="BC308" s="115" t="str">
        <f>VLOOKUP(J308,'[63]ТР нефть'!$J$28:$BP$638,46,0)</f>
        <v>ГК76 5/32</v>
      </c>
      <c r="BD308" s="115">
        <f>VLOOKUP(J308,'[63]ТР нефть'!$J$28:$BP$638,47,0)</f>
        <v>1619.9999449219999</v>
      </c>
      <c r="BE308" s="115" t="str">
        <f>VLOOKUP(J308,'[63]ТР нефть'!$J$28:$BP$638,48,0)</f>
        <v>ГК75 5/32</v>
      </c>
      <c r="BF308" s="115">
        <f>VLOOKUP(J308,'[63]ТР нефть'!$J$28:$BP$638,49,0)</f>
        <v>1860</v>
      </c>
      <c r="BG308" s="115" t="str">
        <f>VLOOKUP(J308,'[63]ТР нефть'!$J$28:$BP$638,50,0)</f>
        <v>ЦКсОК 5/16</v>
      </c>
      <c r="BH308" s="115" t="str">
        <f>VLOOKUP(J308,'[63]ТР нефть'!$J$28:$BP$638,51,0)</f>
        <v>-</v>
      </c>
      <c r="BI308" s="115" t="str">
        <f>VLOOKUP(J308,'[63]ТР нефть'!$J$28:$BP$638,52,0)</f>
        <v>-</v>
      </c>
      <c r="BJ308" s="115" t="str">
        <f>IF(IFERROR(VLOOKUP(J308,'[63]ТР нефть'!$J$28:$BP$638,53,0),"-")=0,"-",IFERROR(VLOOKUP(J308,'[63]ТР нефть'!$J$28:$BP$638,53,0),"-"))</f>
        <v>-</v>
      </c>
      <c r="BK308" s="138" t="str">
        <f>IF(IFERROR(VLOOKUP(J308,'[63]ТР нефть'!$J$28:$BP$638,54,0),"-")=0,"-",IFERROR(VLOOKUP(J308,'[63]ТР нефть'!$J$28:$BP$638,54,0),"-"))</f>
        <v>-</v>
      </c>
      <c r="BL308" s="138" t="str">
        <f>IF(IFERROR(VLOOKUP(J308,'[63]ТР нефть'!$J$28:$BP$638,55,0),"-")=0,"-",IFERROR(VLOOKUP(J308,'[63]ТР нефть'!$J$28:$BP$638,55,0),"-"))</f>
        <v>-</v>
      </c>
      <c r="BM308" s="138" t="str">
        <f>IF(IFERROR(VLOOKUP(J308,'[63]ТР нефть'!$J$28:$BP$638,56,0),"-")=0,"-",IFERROR(VLOOKUP(J308,'[63]ТР нефть'!$J$28:$BP$638,56,0),"-"))</f>
        <v>-</v>
      </c>
      <c r="BN308" s="138" t="str">
        <f>IF(IFERROR(VLOOKUP(J308,'[63]ТР нефть'!$J$28:$BP$638,57,0),"-")=0,"-",IFERROR(VLOOKUP(J308,'[63]ТР нефть'!$J$28:$BP$638,57,0),"-"))</f>
        <v>-</v>
      </c>
      <c r="BO308" s="115" t="str">
        <f>IF(IFERROR(VLOOKUP(J308,'[63]ТР нефть'!$J$28:$BP$638,58,0),"-")=0,"-",IFERROR(VLOOKUP(J308,'[63]ТР нефть'!$J$28:$BP$638,58,0),"-"))</f>
        <v>-</v>
      </c>
      <c r="BP308" s="115" t="str">
        <f>IF(IFERROR(VLOOKUP(J308,'[63]ТР нефть'!$J$28:$BP$638,59,0),"-")=0,"-",IFERROR(VLOOKUP(J308,'[63]ТР нефть'!$J$28:$BP$638,59,0),"-"))</f>
        <v>-</v>
      </c>
      <c r="BQ308" s="138">
        <v>2088</v>
      </c>
      <c r="BR308" s="128">
        <v>1899</v>
      </c>
      <c r="BS308" s="115">
        <f t="shared" si="211"/>
        <v>189</v>
      </c>
      <c r="BT308" s="128">
        <v>73</v>
      </c>
      <c r="BU308" s="128">
        <v>5.5</v>
      </c>
      <c r="BV308" s="127">
        <v>65</v>
      </c>
      <c r="BW308" s="127" t="s">
        <v>217</v>
      </c>
      <c r="BX308" s="127" t="s">
        <v>195</v>
      </c>
      <c r="BY308" s="139">
        <v>24</v>
      </c>
      <c r="BZ308" s="139">
        <v>0</v>
      </c>
      <c r="CA308" s="138">
        <v>29</v>
      </c>
      <c r="CB308" s="138">
        <v>47</v>
      </c>
      <c r="CC308" s="138">
        <v>28</v>
      </c>
      <c r="CD308" s="135">
        <v>45017</v>
      </c>
      <c r="CE308" s="138">
        <v>112</v>
      </c>
      <c r="CF308" s="138">
        <v>66</v>
      </c>
      <c r="CG308" s="138" t="str">
        <f t="shared" si="212"/>
        <v>В работе</v>
      </c>
      <c r="CH308" s="138" t="s">
        <v>272</v>
      </c>
      <c r="CI308" s="138"/>
      <c r="CJ308" s="139"/>
      <c r="CK308" s="139">
        <f t="shared" si="207"/>
        <v>34</v>
      </c>
      <c r="CL308" s="99"/>
      <c r="CM308" s="99"/>
      <c r="CN308" s="140">
        <v>63</v>
      </c>
      <c r="CO308" s="141">
        <f t="shared" si="216"/>
        <v>8.3516399999999997</v>
      </c>
      <c r="CP308" s="142">
        <v>10</v>
      </c>
      <c r="CQ308" s="143">
        <v>0.1</v>
      </c>
      <c r="CR308" s="138">
        <v>11.5</v>
      </c>
      <c r="CS308" s="139">
        <v>9.6</v>
      </c>
      <c r="CT308" s="138"/>
      <c r="CU308" s="138">
        <f t="shared" si="235"/>
        <v>1.9000000000000004</v>
      </c>
      <c r="CV308" s="115">
        <f t="shared" si="236"/>
        <v>227.50022750022757</v>
      </c>
      <c r="CW308" s="115">
        <f t="shared" si="217"/>
        <v>1147.8832315782677</v>
      </c>
      <c r="CX308" s="133">
        <f t="shared" si="237"/>
        <v>0.20408163265306123</v>
      </c>
      <c r="CY308" s="116"/>
      <c r="CZ308" s="131"/>
      <c r="DA308" s="145" t="str">
        <f t="shared" si="218"/>
        <v>Газлифт</v>
      </c>
      <c r="DB308" s="146">
        <f t="shared" si="219"/>
        <v>8.3516399999999997</v>
      </c>
      <c r="DC308" s="142">
        <f t="shared" si="234"/>
        <v>10</v>
      </c>
      <c r="DD308" s="119">
        <f t="shared" si="204"/>
        <v>0.1</v>
      </c>
      <c r="DE308" s="115">
        <f t="shared" si="220"/>
        <v>1.9000000000000004</v>
      </c>
      <c r="DF308" s="121">
        <f t="shared" si="221"/>
        <v>9.6</v>
      </c>
      <c r="DG308" s="115">
        <f t="shared" si="222"/>
        <v>227.50022750022757</v>
      </c>
      <c r="DH308" s="115">
        <f t="shared" si="223"/>
        <v>63</v>
      </c>
      <c r="DI308" s="147"/>
      <c r="DJ308" s="111" t="s">
        <v>197</v>
      </c>
      <c r="DK308" s="112">
        <v>43721</v>
      </c>
      <c r="DL308" s="113">
        <f t="shared" ca="1" si="240"/>
        <v>1383</v>
      </c>
      <c r="DM308" s="114"/>
      <c r="DN308" s="114"/>
      <c r="DO308" s="114"/>
      <c r="DP308" s="114"/>
      <c r="DQ308" s="112"/>
      <c r="DR308" s="114"/>
      <c r="DS308" s="114"/>
      <c r="DT308" s="115">
        <v>60</v>
      </c>
      <c r="DU308" s="116">
        <f t="shared" si="241"/>
        <v>0.20106564793405049</v>
      </c>
      <c r="DV308" s="117">
        <f t="shared" si="242"/>
        <v>8.7319851211420527</v>
      </c>
      <c r="DW308" s="118">
        <f t="shared" si="243"/>
        <v>10.455413692570625</v>
      </c>
      <c r="DX308" s="119">
        <f t="shared" si="224"/>
        <v>0.1</v>
      </c>
      <c r="DY308" s="115">
        <f t="shared" si="244"/>
        <v>1.9865286015884192</v>
      </c>
      <c r="DZ308" s="117">
        <f t="shared" si="245"/>
        <v>0.38034512114205299</v>
      </c>
      <c r="EA308" s="120">
        <f t="shared" si="245"/>
        <v>0.45541369257062492</v>
      </c>
      <c r="EB308" s="119">
        <f t="shared" si="245"/>
        <v>0</v>
      </c>
      <c r="EC308" s="121">
        <f t="shared" si="246"/>
        <v>8.6528601588418796E-2</v>
      </c>
      <c r="ED308" s="122"/>
      <c r="EE308" s="145">
        <v>65</v>
      </c>
      <c r="EF308" s="115">
        <v>30</v>
      </c>
      <c r="EG308" s="115">
        <v>47</v>
      </c>
      <c r="EH308" s="115">
        <v>29</v>
      </c>
      <c r="EI308" s="128" t="s">
        <v>195</v>
      </c>
      <c r="EJ308" s="121">
        <v>24</v>
      </c>
      <c r="EK308" s="121">
        <v>0</v>
      </c>
      <c r="EL308" s="149">
        <v>7.516475999999999</v>
      </c>
      <c r="EM308" s="142">
        <v>9</v>
      </c>
      <c r="EN308" s="119">
        <v>0.1</v>
      </c>
      <c r="EO308" s="115">
        <v>11.5</v>
      </c>
      <c r="EP308" s="115">
        <v>465.64374049754173</v>
      </c>
      <c r="EQ308" s="115">
        <v>64</v>
      </c>
      <c r="ER308" s="115">
        <v>8</v>
      </c>
      <c r="ES308" s="115">
        <v>64</v>
      </c>
      <c r="ET308" s="150">
        <v>0.1875</v>
      </c>
      <c r="EU308" s="145">
        <f t="shared" si="225"/>
        <v>65</v>
      </c>
      <c r="EV308" s="115">
        <f t="shared" si="226"/>
        <v>29</v>
      </c>
      <c r="EW308" s="115">
        <f t="shared" si="226"/>
        <v>47</v>
      </c>
      <c r="EX308" s="115">
        <f t="shared" si="226"/>
        <v>28</v>
      </c>
      <c r="EY308" s="115" t="str">
        <f t="shared" si="206"/>
        <v>Постоянный</v>
      </c>
      <c r="EZ308" s="115">
        <f t="shared" si="206"/>
        <v>24</v>
      </c>
      <c r="FA308" s="115">
        <f t="shared" si="206"/>
        <v>0</v>
      </c>
      <c r="FB308" s="149">
        <f t="shared" si="238"/>
        <v>8.3516399999999997</v>
      </c>
      <c r="FC308" s="142">
        <f t="shared" si="238"/>
        <v>10</v>
      </c>
      <c r="FD308" s="119">
        <f t="shared" si="238"/>
        <v>0.1</v>
      </c>
      <c r="FE308" s="121">
        <f t="shared" si="208"/>
        <v>11.5</v>
      </c>
      <c r="FF308" s="121">
        <f t="shared" si="247"/>
        <v>227.50022750022757</v>
      </c>
      <c r="FG308" s="121">
        <f t="shared" si="227"/>
        <v>66</v>
      </c>
      <c r="FH308" s="121">
        <f t="shared" si="248"/>
        <v>9.6</v>
      </c>
      <c r="FI308" s="121">
        <f t="shared" si="205"/>
        <v>63</v>
      </c>
      <c r="FJ308" s="144">
        <f t="shared" si="228"/>
        <v>0.20408163265306123</v>
      </c>
      <c r="FK308" s="132">
        <f t="shared" si="229"/>
        <v>0</v>
      </c>
      <c r="FL308" s="115">
        <f t="shared" si="229"/>
        <v>-1</v>
      </c>
      <c r="FM308" s="115">
        <f t="shared" si="229"/>
        <v>0</v>
      </c>
      <c r="FN308" s="115">
        <f t="shared" si="229"/>
        <v>-1</v>
      </c>
      <c r="FO308" s="115">
        <f t="shared" si="232"/>
        <v>0</v>
      </c>
      <c r="FP308" s="115">
        <f t="shared" si="232"/>
        <v>0</v>
      </c>
      <c r="FQ308" s="149">
        <f t="shared" si="232"/>
        <v>0.83516400000000068</v>
      </c>
      <c r="FR308" s="142">
        <f t="shared" si="232"/>
        <v>1</v>
      </c>
      <c r="FS308" s="119">
        <f t="shared" si="232"/>
        <v>0</v>
      </c>
      <c r="FT308" s="121">
        <f t="shared" si="232"/>
        <v>0</v>
      </c>
      <c r="FU308" s="121">
        <f t="shared" si="230"/>
        <v>2</v>
      </c>
      <c r="FV308" s="121">
        <f t="shared" si="230"/>
        <v>1.5999999999999996</v>
      </c>
      <c r="FW308" s="121">
        <f t="shared" si="231"/>
        <v>-238.14351299731416</v>
      </c>
      <c r="FX308" s="121">
        <f t="shared" si="233"/>
        <v>-1</v>
      </c>
      <c r="FY308" s="144">
        <f t="shared" si="214"/>
        <v>1.6581632653061229E-2</v>
      </c>
      <c r="FZ308" s="145"/>
      <c r="GA308" s="125"/>
      <c r="GB308" s="145" t="s">
        <v>223</v>
      </c>
      <c r="GC308" s="125" t="s">
        <v>1329</v>
      </c>
      <c r="GD308" s="997" t="s">
        <v>202</v>
      </c>
      <c r="GE308" s="1004" t="s">
        <v>223</v>
      </c>
      <c r="GF308" s="1004">
        <v>-2.2647239999999993</v>
      </c>
      <c r="GG308" s="1004" t="s">
        <v>223</v>
      </c>
      <c r="GH308" s="1004">
        <v>-1.725002400000001</v>
      </c>
      <c r="GI308" s="145"/>
      <c r="GJ308" s="996">
        <v>0</v>
      </c>
      <c r="GK308" s="145"/>
      <c r="GL308" s="996">
        <v>0.33306239999999931</v>
      </c>
      <c r="GM308" s="1005"/>
      <c r="GN308" s="996">
        <v>0.41382000000000119</v>
      </c>
      <c r="GO308" s="1006"/>
      <c r="GP308" s="996">
        <v>-8.6944000000000798E-2</v>
      </c>
      <c r="GQ308" s="1006" t="s">
        <v>241</v>
      </c>
      <c r="GR308" s="996">
        <v>-2.9995679999999982</v>
      </c>
      <c r="GS308" s="1006" t="s">
        <v>199</v>
      </c>
      <c r="GT308" s="996">
        <v>3.1951919999999987</v>
      </c>
      <c r="GU308" s="1006" t="s">
        <v>223</v>
      </c>
      <c r="GV308" s="996">
        <v>-2.9126239999999974</v>
      </c>
      <c r="GW308" s="1006" t="s">
        <v>199</v>
      </c>
      <c r="GX308" s="1035">
        <v>5.2032639999999972</v>
      </c>
      <c r="GY308" s="1006" t="s">
        <v>199</v>
      </c>
      <c r="GZ308" s="996">
        <v>-3.6185758400000001</v>
      </c>
      <c r="HA308" s="1006" t="s">
        <v>199</v>
      </c>
      <c r="HB308" s="996">
        <v>3.1512986559999998</v>
      </c>
      <c r="HC308" s="1006"/>
      <c r="HD308" s="996">
        <v>0</v>
      </c>
      <c r="HE308" s="1006" t="s">
        <v>199</v>
      </c>
      <c r="HF308" s="996">
        <v>-1.7554244400000005</v>
      </c>
      <c r="HG308" s="1006" t="s">
        <v>199</v>
      </c>
      <c r="HH308" s="996">
        <v>-0.28529837600000008</v>
      </c>
      <c r="HI308" s="1006" t="s">
        <v>199</v>
      </c>
      <c r="HJ308" s="996">
        <v>-2.4745600000000003</v>
      </c>
      <c r="HK308" s="1006"/>
      <c r="HL308" s="996">
        <v>0.65670475199999956</v>
      </c>
      <c r="HM308" s="1006"/>
      <c r="HN308" s="996">
        <v>0</v>
      </c>
      <c r="HO308" s="1006"/>
      <c r="HP308" s="996">
        <v>0</v>
      </c>
      <c r="HQ308" s="1006"/>
      <c r="HR308" s="996">
        <v>0</v>
      </c>
      <c r="HS308" s="1006"/>
      <c r="HT308" s="996">
        <v>0</v>
      </c>
      <c r="HU308" s="1006"/>
      <c r="HV308" s="996">
        <v>-0.89255205599999954</v>
      </c>
      <c r="HW308" s="1006"/>
      <c r="HX308" s="996">
        <v>0</v>
      </c>
      <c r="HY308" s="1006"/>
      <c r="HZ308" s="996">
        <v>0</v>
      </c>
      <c r="IA308" s="1006"/>
      <c r="IB308" s="996">
        <v>0.68347514400000087</v>
      </c>
      <c r="IC308" s="1006" t="s">
        <v>204</v>
      </c>
      <c r="ID308" s="996">
        <v>-1.7204378400000007</v>
      </c>
      <c r="IE308" s="1006"/>
      <c r="IF308" s="996">
        <v>0</v>
      </c>
      <c r="IG308" s="1006"/>
      <c r="IH308" s="996">
        <v>0</v>
      </c>
      <c r="II308" s="1006"/>
      <c r="IJ308" s="996">
        <v>0.40337000000000067</v>
      </c>
      <c r="IK308" s="1006"/>
      <c r="IL308" s="996">
        <v>0</v>
      </c>
      <c r="IM308" s="1006" t="s">
        <v>199</v>
      </c>
      <c r="IN308" s="996">
        <v>-3.3440000000000012</v>
      </c>
      <c r="IO308" s="1006"/>
      <c r="IP308" s="996">
        <v>0</v>
      </c>
      <c r="IQ308" s="1006" t="s">
        <v>199</v>
      </c>
      <c r="IR308" s="996">
        <v>-1.6385599999999982</v>
      </c>
      <c r="IS308" s="1006"/>
      <c r="IT308" s="996">
        <v>0</v>
      </c>
      <c r="IU308" s="1006"/>
      <c r="IV308" s="996">
        <v>0</v>
      </c>
      <c r="IW308" s="1006" t="s">
        <v>223</v>
      </c>
      <c r="IX308" s="996">
        <v>-1.7054399999999994</v>
      </c>
      <c r="IY308" s="1006" t="s">
        <v>223</v>
      </c>
      <c r="IZ308" s="996">
        <v>-7.1060000000000016</v>
      </c>
      <c r="JA308" s="1006"/>
      <c r="JB308" s="996">
        <v>0</v>
      </c>
      <c r="JC308" s="1006"/>
      <c r="JD308" s="996">
        <v>0</v>
      </c>
      <c r="JE308" s="1006"/>
      <c r="JF308" s="996">
        <v>0</v>
      </c>
      <c r="JG308" s="1006"/>
      <c r="JH308" s="996">
        <v>0</v>
      </c>
      <c r="JI308" s="1006" t="s">
        <v>203</v>
      </c>
      <c r="JJ308" s="996">
        <v>-9.6139999999999972</v>
      </c>
      <c r="JK308" s="1007"/>
      <c r="JL308" s="1007">
        <v>0</v>
      </c>
      <c r="JM308" s="1007" t="s">
        <v>203</v>
      </c>
      <c r="JN308" s="1007">
        <v>-11.871200000000002</v>
      </c>
      <c r="JO308" s="1008" t="s">
        <v>25</v>
      </c>
      <c r="JP308" s="1007">
        <v>49.491199999999999</v>
      </c>
      <c r="JQ308" s="1008"/>
      <c r="JR308" s="1007"/>
      <c r="JS308" s="1008"/>
      <c r="JT308" s="1007"/>
      <c r="JU308" s="1008"/>
      <c r="JV308" s="1007"/>
      <c r="JW308" s="1008"/>
      <c r="JX308" s="1007"/>
      <c r="JY308" s="1008"/>
      <c r="JZ308" s="1007"/>
      <c r="KA308" s="1008"/>
      <c r="KB308" s="1007"/>
      <c r="KC308" s="1008"/>
      <c r="KD308" s="1007"/>
      <c r="KE308" s="1008"/>
      <c r="KF308" s="1007"/>
      <c r="KG308" s="1008"/>
      <c r="KH308" s="1007"/>
      <c r="KI308" s="1008"/>
      <c r="KJ308" s="1007"/>
      <c r="KK308" s="1008"/>
      <c r="KL308" s="1007"/>
      <c r="KM308" s="1008"/>
      <c r="KN308" s="1007"/>
      <c r="KO308" s="1008"/>
      <c r="KP308" s="1007"/>
      <c r="KQ308" s="1008"/>
      <c r="KR308" s="1007"/>
      <c r="KS308" s="1008"/>
      <c r="KT308" s="1007"/>
      <c r="KU308" s="1008"/>
      <c r="KV308" s="1007"/>
      <c r="KW308" s="1008"/>
      <c r="KX308" s="1007"/>
      <c r="KY308" s="1008"/>
      <c r="KZ308" s="1007"/>
      <c r="LA308" s="1008"/>
      <c r="LB308" s="1007"/>
      <c r="LC308" s="1008"/>
      <c r="LD308" s="1007"/>
      <c r="LE308" s="1008"/>
      <c r="LF308" s="1007"/>
      <c r="LG308" s="1008"/>
      <c r="LH308" s="1007"/>
      <c r="LI308" s="1008"/>
      <c r="LJ308" s="1007"/>
      <c r="LK308" s="1008"/>
      <c r="LL308" s="1007"/>
      <c r="LM308" s="1008"/>
      <c r="LN308" s="1007"/>
      <c r="LO308" s="1008"/>
      <c r="LP308" s="1007"/>
      <c r="LQ308" s="1008"/>
      <c r="LR308" s="1007"/>
      <c r="LS308" s="1008"/>
      <c r="LT308" s="1007"/>
      <c r="LU308" s="1008"/>
      <c r="LV308" s="1007"/>
      <c r="LW308" s="1008"/>
      <c r="LX308" s="1007"/>
      <c r="LY308" s="1009"/>
      <c r="LZ308" s="1010"/>
      <c r="MA308" s="1011"/>
      <c r="MB308" s="1012"/>
      <c r="MC308" s="995"/>
      <c r="MD308" s="996"/>
      <c r="ME308" s="997" t="s">
        <v>202</v>
      </c>
      <c r="MF308" s="997"/>
      <c r="MG308" s="998"/>
      <c r="NR308" s="1000"/>
      <c r="NS308" s="1000"/>
      <c r="NT308" s="1001"/>
      <c r="NU308" s="1000"/>
      <c r="NV308" s="1001"/>
      <c r="NX308" s="1002"/>
      <c r="NZ308" s="1001"/>
      <c r="OA308" s="1001"/>
      <c r="OC308" s="1003"/>
      <c r="OD308" s="1003"/>
      <c r="OE308" s="1001"/>
      <c r="OF308" s="1003"/>
      <c r="OG308" s="1003"/>
      <c r="QX308" s="1000">
        <f>CN308-CA308</f>
        <v>34</v>
      </c>
      <c r="ASU308" s="999" t="s">
        <v>208</v>
      </c>
    </row>
    <row r="309" spans="1:466 1191:1191" ht="21" customHeight="1" x14ac:dyDescent="0.25">
      <c r="A309" s="982" t="str">
        <f t="shared" si="215"/>
        <v>1314-1</v>
      </c>
      <c r="B309" s="124">
        <f>SUBTOTAL(103,$J$29:J309)</f>
        <v>281</v>
      </c>
      <c r="C309" s="126">
        <v>45068</v>
      </c>
      <c r="D309" s="124" t="s">
        <v>176</v>
      </c>
      <c r="E309" s="127" t="s">
        <v>177</v>
      </c>
      <c r="F309" s="128" t="s">
        <v>177</v>
      </c>
      <c r="G309" s="127" t="s">
        <v>178</v>
      </c>
      <c r="H309" s="127" t="s">
        <v>179</v>
      </c>
      <c r="I309" s="127" t="s">
        <v>1330</v>
      </c>
      <c r="J309" s="152" t="s">
        <v>1331</v>
      </c>
      <c r="K309" s="127" t="s">
        <v>1330</v>
      </c>
      <c r="L309" s="130">
        <v>43885</v>
      </c>
      <c r="M309" s="127" t="s">
        <v>230</v>
      </c>
      <c r="N309" s="127" t="s">
        <v>184</v>
      </c>
      <c r="O309" s="127" t="s">
        <v>185</v>
      </c>
      <c r="P309" s="127" t="s">
        <v>292</v>
      </c>
      <c r="Q309" s="85" t="str">
        <f t="shared" si="249"/>
        <v/>
      </c>
      <c r="R309" s="130"/>
      <c r="S309" s="128"/>
      <c r="T309" s="131"/>
      <c r="U309" s="132">
        <v>203</v>
      </c>
      <c r="V309" s="121">
        <v>218.2</v>
      </c>
      <c r="W309" s="116">
        <v>0.98</v>
      </c>
      <c r="X309" s="116">
        <v>1.66</v>
      </c>
      <c r="Y309" s="116">
        <f t="shared" si="239"/>
        <v>1.0306639635073491</v>
      </c>
      <c r="Z309" s="133">
        <v>1.454</v>
      </c>
      <c r="AA309" s="133">
        <v>0.83599999999999997</v>
      </c>
      <c r="AB309" s="133">
        <v>0.72</v>
      </c>
      <c r="AC309" s="121">
        <v>34.299999999999997</v>
      </c>
      <c r="AD309" s="134">
        <v>1.17</v>
      </c>
      <c r="AE309" s="124">
        <v>177.8</v>
      </c>
      <c r="AF309" s="128">
        <v>9.19</v>
      </c>
      <c r="AG309" s="128">
        <v>2419.2600000000002</v>
      </c>
      <c r="AH309" s="127">
        <v>3317</v>
      </c>
      <c r="AI309" s="127">
        <v>3317</v>
      </c>
      <c r="AJ309" s="135"/>
      <c r="AK309" s="128"/>
      <c r="AL309" s="131"/>
      <c r="AM309" s="124" t="s">
        <v>985</v>
      </c>
      <c r="AN309" s="136" t="s">
        <v>1332</v>
      </c>
      <c r="AO309" s="137">
        <v>38.4</v>
      </c>
      <c r="AP309" s="128">
        <v>2566.46</v>
      </c>
      <c r="AQ309" s="128">
        <v>737</v>
      </c>
      <c r="AR309" s="128" t="s">
        <v>1333</v>
      </c>
      <c r="AS309" s="128">
        <v>114</v>
      </c>
      <c r="AT309" s="122">
        <v>7.37</v>
      </c>
      <c r="AU309" s="124" t="s">
        <v>250</v>
      </c>
      <c r="AV309" s="115">
        <f>VLOOKUP(J309,'[63]ТР нефть'!$J$28:$BP$638,39,0)</f>
        <v>300</v>
      </c>
      <c r="AW309" s="115" t="str">
        <f>VLOOKUP(J309,'[63]ТР нефть'!$J$28:$BP$638,40,0)</f>
        <v>ГК 70 1/8</v>
      </c>
      <c r="AX309" s="115">
        <f>VLOOKUP(J309,'[63]ТР нефть'!$J$28:$BP$638,41,0)</f>
        <v>920</v>
      </c>
      <c r="AY309" s="115" t="str">
        <f>VLOOKUP(J309,'[63]ТР нефть'!$J$28:$BP$638,42,0)</f>
        <v>ГК71 1/8</v>
      </c>
      <c r="AZ309" s="115">
        <f>VLOOKUP(J309,'[63]ТР нефть'!$J$28:$BP$638,43,0)</f>
        <v>1330</v>
      </c>
      <c r="BA309" s="115" t="str">
        <f>VLOOKUP(J309,'[63]ТР нефть'!$J$28:$BP$638,44,0)</f>
        <v>ГК 71 1/8</v>
      </c>
      <c r="BB309" s="115">
        <f>VLOOKUP(J309,'[63]ТР нефть'!$J$28:$BP$638,45,0)</f>
        <v>1670</v>
      </c>
      <c r="BC309" s="115" t="str">
        <f>VLOOKUP(J309,'[63]ТР нефть'!$J$28:$BP$638,46,0)</f>
        <v>ГК71 1/8</v>
      </c>
      <c r="BD309" s="115">
        <f>VLOOKUP(J309,'[63]ТР нефть'!$J$28:$BP$638,47,0)</f>
        <v>1960</v>
      </c>
      <c r="BE309" s="115" t="str">
        <f>VLOOKUP(J309,'[63]ТР нефть'!$J$28:$BP$638,48,0)</f>
        <v>ЦКсОК 5/16</v>
      </c>
      <c r="BF309" s="115" t="str">
        <f>VLOOKUP(J309,'[63]ТР нефть'!$J$28:$BP$638,49,0)</f>
        <v>-</v>
      </c>
      <c r="BG309" s="115" t="str">
        <f>VLOOKUP(J309,'[63]ТР нефть'!$J$28:$BP$638,50,0)</f>
        <v>-</v>
      </c>
      <c r="BH309" s="115" t="str">
        <f>VLOOKUP(J309,'[63]ТР нефть'!$J$28:$BP$638,51,0)</f>
        <v>-</v>
      </c>
      <c r="BI309" s="115" t="str">
        <f>VLOOKUP(J309,'[63]ТР нефть'!$J$28:$BP$638,52,0)</f>
        <v>-</v>
      </c>
      <c r="BJ309" s="115" t="str">
        <f>IF(IFERROR(VLOOKUP(J309,'[63]ТР нефть'!$J$28:$BP$638,53,0),"-")=0,"-",IFERROR(VLOOKUP(J309,'[63]ТР нефть'!$J$28:$BP$638,53,0),"-"))</f>
        <v>-</v>
      </c>
      <c r="BK309" s="138" t="str">
        <f>IF(IFERROR(VLOOKUP(J309,'[63]ТР нефть'!$J$28:$BP$638,54,0),"-")=0,"-",IFERROR(VLOOKUP(J309,'[63]ТР нефть'!$J$28:$BP$638,54,0),"-"))</f>
        <v>-</v>
      </c>
      <c r="BL309" s="138" t="str">
        <f>IF(IFERROR(VLOOKUP(J309,'[63]ТР нефть'!$J$28:$BP$638,55,0),"-")=0,"-",IFERROR(VLOOKUP(J309,'[63]ТР нефть'!$J$28:$BP$638,55,0),"-"))</f>
        <v>-</v>
      </c>
      <c r="BM309" s="138" t="str">
        <f>IF(IFERROR(VLOOKUP(J309,'[63]ТР нефть'!$J$28:$BP$638,56,0),"-")=0,"-",IFERROR(VLOOKUP(J309,'[63]ТР нефть'!$J$28:$BP$638,56,0),"-"))</f>
        <v>-</v>
      </c>
      <c r="BN309" s="138" t="str">
        <f>IF(IFERROR(VLOOKUP(J309,'[63]ТР нефть'!$J$28:$BP$638,57,0),"-")=0,"-",IFERROR(VLOOKUP(J309,'[63]ТР нефть'!$J$28:$BP$638,57,0),"-"))</f>
        <v>-</v>
      </c>
      <c r="BO309" s="115" t="str">
        <f>IF(IFERROR(VLOOKUP(J309,'[63]ТР нефть'!$J$28:$BP$638,58,0),"-")=0,"-",IFERROR(VLOOKUP(J309,'[63]ТР нефть'!$J$28:$BP$638,58,0),"-"))</f>
        <v>-</v>
      </c>
      <c r="BP309" s="115" t="str">
        <f>IF(IFERROR(VLOOKUP(J309,'[63]ТР нефть'!$J$28:$BP$638,59,0),"-")=0,"-",IFERROR(VLOOKUP(J309,'[63]ТР нефть'!$J$28:$BP$638,59,0),"-"))</f>
        <v>-</v>
      </c>
      <c r="BQ309" s="138">
        <v>2062</v>
      </c>
      <c r="BR309" s="128">
        <v>1658</v>
      </c>
      <c r="BS309" s="115">
        <f t="shared" si="211"/>
        <v>404</v>
      </c>
      <c r="BT309" s="128">
        <v>73</v>
      </c>
      <c r="BU309" s="128">
        <v>5.5</v>
      </c>
      <c r="BV309" s="127">
        <v>4</v>
      </c>
      <c r="BW309" s="127" t="s">
        <v>194</v>
      </c>
      <c r="BX309" s="127" t="s">
        <v>195</v>
      </c>
      <c r="BY309" s="139">
        <v>24</v>
      </c>
      <c r="BZ309" s="139">
        <v>0</v>
      </c>
      <c r="CA309" s="138">
        <v>41</v>
      </c>
      <c r="CB309" s="138">
        <v>50</v>
      </c>
      <c r="CC309" s="138">
        <v>32</v>
      </c>
      <c r="CD309" s="135">
        <v>45017</v>
      </c>
      <c r="CE309" s="138">
        <v>127</v>
      </c>
      <c r="CF309" s="138"/>
      <c r="CG309" s="138"/>
      <c r="CH309" s="138"/>
      <c r="CI309" s="127"/>
      <c r="CJ309" s="138"/>
      <c r="CK309" s="138">
        <f t="shared" si="207"/>
        <v>24</v>
      </c>
      <c r="CL309" s="99"/>
      <c r="CM309" s="127"/>
      <c r="CN309" s="154">
        <v>65</v>
      </c>
      <c r="CO309" s="141">
        <f t="shared" si="216"/>
        <v>9.563839999999999</v>
      </c>
      <c r="CP309" s="142">
        <v>13</v>
      </c>
      <c r="CQ309" s="143">
        <v>12</v>
      </c>
      <c r="CR309" s="138">
        <v>45</v>
      </c>
      <c r="CS309" s="139"/>
      <c r="CT309" s="138"/>
      <c r="CU309" s="138">
        <f t="shared" si="235"/>
        <v>45</v>
      </c>
      <c r="CV309" s="115">
        <f t="shared" si="236"/>
        <v>4705.2230066584134</v>
      </c>
      <c r="CW309" s="115" t="str">
        <f t="shared" si="217"/>
        <v/>
      </c>
      <c r="CX309" s="133">
        <f t="shared" si="237"/>
        <v>0.20967741935483872</v>
      </c>
      <c r="CY309" s="116"/>
      <c r="CZ309" s="131"/>
      <c r="DA309" s="145" t="str">
        <f t="shared" si="218"/>
        <v>Фон.</v>
      </c>
      <c r="DB309" s="146">
        <f t="shared" si="219"/>
        <v>9.563839999999999</v>
      </c>
      <c r="DC309" s="142">
        <f t="shared" si="234"/>
        <v>13</v>
      </c>
      <c r="DD309" s="119">
        <f t="shared" ref="DD309:DD367" si="250">IFERROR(IF(AND(FZ309="Технология",FQ309&lt;$JC$29),EN309,CQ309),"-")</f>
        <v>12</v>
      </c>
      <c r="DE309" s="115">
        <f t="shared" si="220"/>
        <v>45</v>
      </c>
      <c r="DF309" s="121">
        <f t="shared" si="221"/>
        <v>0</v>
      </c>
      <c r="DG309" s="115">
        <f t="shared" si="222"/>
        <v>4705.2230066584134</v>
      </c>
      <c r="DH309" s="115">
        <f t="shared" si="223"/>
        <v>65</v>
      </c>
      <c r="DI309" s="147"/>
      <c r="DJ309" s="111"/>
      <c r="DK309" s="112">
        <v>44184</v>
      </c>
      <c r="DL309" s="113">
        <f t="shared" ca="1" si="240"/>
        <v>920</v>
      </c>
      <c r="DM309" s="114"/>
      <c r="DN309" s="114"/>
      <c r="DO309" s="114"/>
      <c r="DP309" s="114"/>
      <c r="DQ309" s="112"/>
      <c r="DR309" s="114"/>
      <c r="DS309" s="114"/>
      <c r="DT309" s="115">
        <v>58</v>
      </c>
      <c r="DU309" s="116">
        <f t="shared" si="241"/>
        <v>0.20311767886105606</v>
      </c>
      <c r="DV309" s="117">
        <f t="shared" si="242"/>
        <v>10.310643364930618</v>
      </c>
      <c r="DW309" s="118">
        <f t="shared" si="243"/>
        <v>14.015119841412869</v>
      </c>
      <c r="DX309" s="119">
        <f t="shared" si="224"/>
        <v>12</v>
      </c>
      <c r="DY309" s="115">
        <f t="shared" si="244"/>
        <v>48.513876374121466</v>
      </c>
      <c r="DZ309" s="117">
        <f t="shared" si="245"/>
        <v>0.74680336493061894</v>
      </c>
      <c r="EA309" s="120">
        <f t="shared" si="245"/>
        <v>1.0151198414128686</v>
      </c>
      <c r="EB309" s="119">
        <f t="shared" si="245"/>
        <v>0</v>
      </c>
      <c r="EC309" s="121">
        <f t="shared" si="246"/>
        <v>3.513876374121466</v>
      </c>
      <c r="ED309" s="122"/>
      <c r="EE309" s="145">
        <v>4</v>
      </c>
      <c r="EF309" s="115">
        <v>41</v>
      </c>
      <c r="EG309" s="115">
        <v>50</v>
      </c>
      <c r="EH309" s="115">
        <v>32</v>
      </c>
      <c r="EI309" s="128" t="s">
        <v>195</v>
      </c>
      <c r="EJ309" s="121">
        <v>24</v>
      </c>
      <c r="EK309" s="121">
        <v>0</v>
      </c>
      <c r="EL309" s="149">
        <v>9.563839999999999</v>
      </c>
      <c r="EM309" s="142">
        <v>13</v>
      </c>
      <c r="EN309" s="119">
        <v>12</v>
      </c>
      <c r="EO309" s="115">
        <v>45</v>
      </c>
      <c r="EP309" s="115">
        <v>4705.2230066584134</v>
      </c>
      <c r="EQ309" s="115">
        <v>0</v>
      </c>
      <c r="ER309" s="115">
        <v>0</v>
      </c>
      <c r="ES309" s="115">
        <v>65</v>
      </c>
      <c r="ET309" s="150">
        <v>0.20967741935483872</v>
      </c>
      <c r="EU309" s="145">
        <f t="shared" si="225"/>
        <v>4</v>
      </c>
      <c r="EV309" s="115">
        <f t="shared" si="226"/>
        <v>41</v>
      </c>
      <c r="EW309" s="115">
        <f t="shared" si="226"/>
        <v>50</v>
      </c>
      <c r="EX309" s="115">
        <f t="shared" si="226"/>
        <v>32</v>
      </c>
      <c r="EY309" s="115" t="str">
        <f t="shared" si="206"/>
        <v>Постоянный</v>
      </c>
      <c r="EZ309" s="115">
        <f t="shared" si="206"/>
        <v>24</v>
      </c>
      <c r="FA309" s="115">
        <f t="shared" si="206"/>
        <v>0</v>
      </c>
      <c r="FB309" s="149">
        <f t="shared" si="238"/>
        <v>9.563839999999999</v>
      </c>
      <c r="FC309" s="117">
        <f t="shared" si="238"/>
        <v>13</v>
      </c>
      <c r="FD309" s="119">
        <f t="shared" si="238"/>
        <v>12</v>
      </c>
      <c r="FE309" s="121">
        <f t="shared" si="208"/>
        <v>45</v>
      </c>
      <c r="FF309" s="121">
        <f t="shared" si="247"/>
        <v>4705.2230066584134</v>
      </c>
      <c r="FG309" s="121">
        <f t="shared" si="227"/>
        <v>0</v>
      </c>
      <c r="FH309" s="121">
        <f t="shared" si="248"/>
        <v>0</v>
      </c>
      <c r="FI309" s="121">
        <f t="shared" si="205"/>
        <v>65</v>
      </c>
      <c r="FJ309" s="144">
        <f t="shared" si="228"/>
        <v>0.20967741935483872</v>
      </c>
      <c r="FK309" s="132">
        <f t="shared" si="229"/>
        <v>0</v>
      </c>
      <c r="FL309" s="115">
        <f t="shared" si="229"/>
        <v>0</v>
      </c>
      <c r="FM309" s="115">
        <f t="shared" si="229"/>
        <v>0</v>
      </c>
      <c r="FN309" s="115">
        <f t="shared" si="229"/>
        <v>0</v>
      </c>
      <c r="FO309" s="115">
        <f t="shared" si="232"/>
        <v>0</v>
      </c>
      <c r="FP309" s="115">
        <f t="shared" si="232"/>
        <v>0</v>
      </c>
      <c r="FQ309" s="149">
        <f t="shared" si="232"/>
        <v>0</v>
      </c>
      <c r="FR309" s="142">
        <f t="shared" si="232"/>
        <v>0</v>
      </c>
      <c r="FS309" s="119">
        <f t="shared" si="232"/>
        <v>0</v>
      </c>
      <c r="FT309" s="121">
        <f t="shared" si="232"/>
        <v>0</v>
      </c>
      <c r="FU309" s="121">
        <f t="shared" si="230"/>
        <v>0</v>
      </c>
      <c r="FV309" s="121">
        <f t="shared" si="230"/>
        <v>0</v>
      </c>
      <c r="FW309" s="121">
        <f t="shared" si="231"/>
        <v>0</v>
      </c>
      <c r="FX309" s="121">
        <f t="shared" si="233"/>
        <v>0</v>
      </c>
      <c r="FY309" s="144">
        <f t="shared" si="214"/>
        <v>0</v>
      </c>
      <c r="FZ309" s="145"/>
      <c r="GA309" s="125"/>
      <c r="GB309" s="145"/>
      <c r="GC309" s="125"/>
      <c r="GD309" s="997" t="s">
        <v>202</v>
      </c>
      <c r="GE309" s="1004"/>
      <c r="GF309" s="1004">
        <v>0</v>
      </c>
      <c r="GG309" s="1004"/>
      <c r="GH309" s="1004">
        <v>0</v>
      </c>
      <c r="GI309" s="145"/>
      <c r="GJ309" s="996">
        <v>0</v>
      </c>
      <c r="GK309" s="145"/>
      <c r="GL309" s="996">
        <v>0</v>
      </c>
      <c r="GM309" s="1005"/>
      <c r="GN309" s="996">
        <v>0</v>
      </c>
      <c r="GO309" s="1006"/>
      <c r="GP309" s="996">
        <v>0</v>
      </c>
      <c r="GQ309" s="1006" t="s">
        <v>241</v>
      </c>
      <c r="GR309" s="996">
        <v>-1.8105285440000003</v>
      </c>
      <c r="GS309" s="1006"/>
      <c r="GT309" s="996">
        <v>-0.56371145600000006</v>
      </c>
      <c r="GU309" s="1006"/>
      <c r="GV309" s="996">
        <v>0</v>
      </c>
      <c r="GW309" s="1006"/>
      <c r="GX309" s="1035">
        <v>0</v>
      </c>
      <c r="GY309" s="1006"/>
      <c r="GZ309" s="996">
        <v>0.59254007999999914</v>
      </c>
      <c r="HA309" s="1006"/>
      <c r="HB309" s="996">
        <v>-0.82814159999999859</v>
      </c>
      <c r="HC309" s="1006"/>
      <c r="HD309" s="996">
        <v>0</v>
      </c>
      <c r="HE309" s="1006" t="s">
        <v>241</v>
      </c>
      <c r="HF309" s="996">
        <v>0</v>
      </c>
      <c r="HG309" s="1006"/>
      <c r="HH309" s="996">
        <v>0</v>
      </c>
      <c r="HI309" s="1006"/>
      <c r="HJ309" s="996">
        <v>0</v>
      </c>
      <c r="HK309" s="1006"/>
      <c r="HL309" s="996">
        <v>0</v>
      </c>
      <c r="HM309" s="1006"/>
      <c r="HN309" s="996">
        <v>0</v>
      </c>
      <c r="HO309" s="1006"/>
      <c r="HP309" s="996">
        <v>0</v>
      </c>
      <c r="HQ309" s="1006"/>
      <c r="HR309" s="996">
        <v>0</v>
      </c>
      <c r="HS309" s="1006" t="s">
        <v>199</v>
      </c>
      <c r="HT309" s="996">
        <v>4.6496815199999988</v>
      </c>
      <c r="HU309" s="1006"/>
      <c r="HV309" s="996">
        <v>0</v>
      </c>
      <c r="HW309" s="1006" t="s">
        <v>199</v>
      </c>
      <c r="HX309" s="996">
        <v>-5.3587599999999993</v>
      </c>
      <c r="HY309" s="1006"/>
      <c r="HZ309" s="996">
        <v>-0.8861599999999985</v>
      </c>
      <c r="IA309" s="1006" t="s">
        <v>206</v>
      </c>
      <c r="IB309" s="996">
        <v>-2.6729762400000006</v>
      </c>
      <c r="IC309" s="1006" t="s">
        <v>199</v>
      </c>
      <c r="ID309" s="996">
        <v>2.2298962399999986</v>
      </c>
      <c r="IE309" s="1006"/>
      <c r="IF309" s="996">
        <v>0</v>
      </c>
      <c r="IG309" s="1006"/>
      <c r="IH309" s="996">
        <v>0</v>
      </c>
      <c r="II309" s="1006" t="s">
        <v>204</v>
      </c>
      <c r="IJ309" s="996">
        <v>10.6567428</v>
      </c>
      <c r="IK309" s="1006" t="s">
        <v>239</v>
      </c>
      <c r="IL309" s="996">
        <v>-10.500410799999999</v>
      </c>
      <c r="IM309" s="1006"/>
      <c r="IN309" s="996">
        <v>0</v>
      </c>
      <c r="IO309" s="1006" t="s">
        <v>199</v>
      </c>
      <c r="IP309" s="996">
        <v>-1.4103320000000004</v>
      </c>
      <c r="IQ309" s="1006" t="s">
        <v>203</v>
      </c>
      <c r="IR309" s="996">
        <v>-4.5980000000000008</v>
      </c>
      <c r="IS309" s="1006" t="s">
        <v>203</v>
      </c>
      <c r="IT309" s="996">
        <v>-2.5855807999999953</v>
      </c>
      <c r="IU309" s="1006"/>
      <c r="IV309" s="996">
        <v>0</v>
      </c>
      <c r="IW309" s="1006" t="s">
        <v>203</v>
      </c>
      <c r="IX309" s="996">
        <v>-11.380300800000008</v>
      </c>
      <c r="IY309" s="1006"/>
      <c r="IZ309" s="996">
        <v>0</v>
      </c>
      <c r="JA309" s="1006" t="s">
        <v>203</v>
      </c>
      <c r="JB309" s="996">
        <v>-6.5595903999999905</v>
      </c>
      <c r="JC309" s="1006"/>
      <c r="JD309" s="996">
        <v>0</v>
      </c>
      <c r="JE309" s="1006" t="s">
        <v>25</v>
      </c>
      <c r="JF309" s="996">
        <v>40.589471999999994</v>
      </c>
      <c r="JG309" s="1006"/>
      <c r="JH309" s="996"/>
      <c r="JI309" s="1006"/>
      <c r="JJ309" s="996"/>
      <c r="JK309" s="1007"/>
      <c r="JL309" s="1007"/>
      <c r="JM309" s="1007"/>
      <c r="JN309" s="1007"/>
      <c r="JO309" s="1008"/>
      <c r="JP309" s="1007"/>
      <c r="JQ309" s="1008"/>
      <c r="JR309" s="1007"/>
      <c r="JS309" s="1008"/>
      <c r="JT309" s="1007"/>
      <c r="JU309" s="1008"/>
      <c r="JV309" s="1007"/>
      <c r="JW309" s="1008"/>
      <c r="JX309" s="1007"/>
      <c r="JY309" s="1008"/>
      <c r="JZ309" s="1007"/>
      <c r="KA309" s="1008"/>
      <c r="KB309" s="1007"/>
      <c r="KC309" s="1008"/>
      <c r="KD309" s="1007"/>
      <c r="KE309" s="1008"/>
      <c r="KF309" s="1007"/>
      <c r="KG309" s="1008"/>
      <c r="KH309" s="1007"/>
      <c r="KI309" s="1008"/>
      <c r="KJ309" s="1007"/>
      <c r="KK309" s="1008"/>
      <c r="KL309" s="1007"/>
      <c r="KM309" s="1008"/>
      <c r="KN309" s="1007"/>
      <c r="KO309" s="1008"/>
      <c r="KP309" s="1007"/>
      <c r="KQ309" s="1008"/>
      <c r="KR309" s="1007"/>
      <c r="KS309" s="1008"/>
      <c r="KT309" s="1007"/>
      <c r="KU309" s="1008"/>
      <c r="KV309" s="1007"/>
      <c r="KW309" s="1008"/>
      <c r="KX309" s="1007"/>
      <c r="KY309" s="1008"/>
      <c r="KZ309" s="1007"/>
      <c r="LA309" s="1008"/>
      <c r="LB309" s="1007"/>
      <c r="LC309" s="1008"/>
      <c r="LD309" s="1007"/>
      <c r="LE309" s="1008"/>
      <c r="LF309" s="1007"/>
      <c r="LG309" s="1008"/>
      <c r="LH309" s="1007"/>
      <c r="LI309" s="1008"/>
      <c r="LJ309" s="1007"/>
      <c r="LK309" s="1008"/>
      <c r="LL309" s="1007"/>
      <c r="LM309" s="1008"/>
      <c r="LN309" s="1007"/>
      <c r="LO309" s="1008"/>
      <c r="LP309" s="1007"/>
      <c r="LQ309" s="1008"/>
      <c r="LR309" s="1007"/>
      <c r="LS309" s="1008"/>
      <c r="LT309" s="1007"/>
      <c r="LU309" s="1008"/>
      <c r="LV309" s="1007"/>
      <c r="LW309" s="1008"/>
      <c r="LX309" s="1007"/>
      <c r="LY309" s="1009"/>
      <c r="LZ309" s="1010"/>
      <c r="MA309" s="1011"/>
      <c r="MB309" s="1012"/>
      <c r="MC309" s="995"/>
      <c r="MD309" s="996"/>
      <c r="ME309" s="997" t="s">
        <v>202</v>
      </c>
      <c r="MF309" s="997"/>
      <c r="MG309" s="998"/>
      <c r="NR309" s="1000"/>
      <c r="NS309" s="1000"/>
      <c r="NT309" s="1001"/>
      <c r="NU309" s="1000"/>
      <c r="NV309" s="1001"/>
      <c r="NX309" s="1002"/>
      <c r="NZ309" s="1001"/>
      <c r="OA309" s="1001"/>
      <c r="OC309" s="1003"/>
      <c r="OD309" s="1003"/>
      <c r="OE309" s="1001"/>
      <c r="OF309" s="1003"/>
      <c r="OG309" s="1003"/>
      <c r="QX309" s="1000">
        <f>CN309-CA309</f>
        <v>24</v>
      </c>
      <c r="ASU309" s="999" t="s">
        <v>208</v>
      </c>
    </row>
    <row r="310" spans="1:466 1191:1191" ht="21" customHeight="1" x14ac:dyDescent="0.25">
      <c r="A310" s="982">
        <f t="shared" si="215"/>
        <v>1317</v>
      </c>
      <c r="B310" s="124">
        <f>SUBTOTAL(103,$J$29:J310)</f>
        <v>282</v>
      </c>
      <c r="C310" s="126">
        <v>45068</v>
      </c>
      <c r="D310" s="124" t="s">
        <v>176</v>
      </c>
      <c r="E310" s="127" t="s">
        <v>177</v>
      </c>
      <c r="F310" s="128" t="s">
        <v>177</v>
      </c>
      <c r="G310" s="127" t="s">
        <v>178</v>
      </c>
      <c r="H310" s="127" t="s">
        <v>179</v>
      </c>
      <c r="I310" s="127" t="s">
        <v>1334</v>
      </c>
      <c r="J310" s="152">
        <v>1317</v>
      </c>
      <c r="K310" s="127" t="s">
        <v>1334</v>
      </c>
      <c r="L310" s="130">
        <v>43100</v>
      </c>
      <c r="M310" s="127" t="s">
        <v>230</v>
      </c>
      <c r="N310" s="127" t="s">
        <v>184</v>
      </c>
      <c r="O310" s="127" t="s">
        <v>185</v>
      </c>
      <c r="P310" s="127" t="s">
        <v>186</v>
      </c>
      <c r="Q310" s="85" t="str">
        <f t="shared" si="249"/>
        <v/>
      </c>
      <c r="R310" s="130"/>
      <c r="S310" s="128"/>
      <c r="T310" s="131"/>
      <c r="U310" s="132">
        <v>203</v>
      </c>
      <c r="V310" s="121">
        <v>218.2</v>
      </c>
      <c r="W310" s="116">
        <v>0.98</v>
      </c>
      <c r="X310" s="116">
        <v>1.66</v>
      </c>
      <c r="Y310" s="116">
        <f t="shared" si="239"/>
        <v>0.98973036114085466</v>
      </c>
      <c r="Z310" s="133">
        <v>1.454</v>
      </c>
      <c r="AA310" s="133">
        <v>0.83599999999999997</v>
      </c>
      <c r="AB310" s="133">
        <v>0.72</v>
      </c>
      <c r="AC310" s="121">
        <v>34.299999999999997</v>
      </c>
      <c r="AD310" s="134">
        <v>1.17</v>
      </c>
      <c r="AE310" s="124">
        <v>177.8</v>
      </c>
      <c r="AF310" s="128">
        <v>9.19</v>
      </c>
      <c r="AG310" s="128">
        <v>2410.06</v>
      </c>
      <c r="AH310" s="138">
        <v>3430.64</v>
      </c>
      <c r="AI310" s="138">
        <v>3430.64</v>
      </c>
      <c r="AJ310" s="135">
        <v>43093</v>
      </c>
      <c r="AK310" s="128" t="s">
        <v>1018</v>
      </c>
      <c r="AL310" s="131"/>
      <c r="AM310" s="124" t="s">
        <v>985</v>
      </c>
      <c r="AN310" s="136" t="s">
        <v>1335</v>
      </c>
      <c r="AO310" s="137">
        <v>9.6300000000000008</v>
      </c>
      <c r="AP310" s="128">
        <v>2515.0700000000002</v>
      </c>
      <c r="AQ310" s="128">
        <v>584.79</v>
      </c>
      <c r="AR310" s="128" t="s">
        <v>1336</v>
      </c>
      <c r="AS310" s="128">
        <v>114</v>
      </c>
      <c r="AT310" s="122">
        <v>7.37</v>
      </c>
      <c r="AU310" s="124" t="s">
        <v>189</v>
      </c>
      <c r="AV310" s="115">
        <f>VLOOKUP(J310,'[63]ТР нефть'!$J$28:$BP$638,39,0)</f>
        <v>479.99998505899998</v>
      </c>
      <c r="AW310" s="115" t="str">
        <f>VLOOKUP(J310,'[63]ТР нефть'!$J$28:$BP$638,40,0)</f>
        <v>ГП</v>
      </c>
      <c r="AX310" s="115">
        <f>VLOOKUP(J310,'[63]ТР нефть'!$J$28:$BP$638,41,0)</f>
        <v>920.00003027299999</v>
      </c>
      <c r="AY310" s="115" t="str">
        <f>VLOOKUP(J310,'[63]ТР нефть'!$J$28:$BP$638,42,0)</f>
        <v>ГП</v>
      </c>
      <c r="AZ310" s="115">
        <f>VLOOKUP(J310,'[63]ТР нефть'!$J$28:$BP$638,43,0)</f>
        <v>1315.0000687500001</v>
      </c>
      <c r="BA310" s="115" t="str">
        <f>VLOOKUP(J310,'[63]ТР нефть'!$J$28:$BP$638,44,0)</f>
        <v>ГП</v>
      </c>
      <c r="BB310" s="115">
        <f>VLOOKUP(J310,'[63]ТР нефть'!$J$28:$BP$638,45,0)</f>
        <v>1635.0000339840001</v>
      </c>
      <c r="BC310" s="115" t="str">
        <f>VLOOKUP(J310,'[63]ТР нефть'!$J$28:$BP$638,46,0)</f>
        <v>ГК 81 1/8</v>
      </c>
      <c r="BD310" s="115">
        <f>VLOOKUP(J310,'[63]ТР нефть'!$J$28:$BP$638,47,0)</f>
        <v>1865.000060156</v>
      </c>
      <c r="BE310" s="115" t="str">
        <f>VLOOKUP(J310,'[63]ТР нефть'!$J$28:$BP$638,48,0)</f>
        <v>ГК79 1/8</v>
      </c>
      <c r="BF310" s="115">
        <f>VLOOKUP(J310,'[63]ТР нефть'!$J$28:$BP$638,49,0)</f>
        <v>2065</v>
      </c>
      <c r="BG310" s="115" t="str">
        <f>VLOOKUP(J310,'[63]ТР нефть'!$J$28:$BP$638,50,0)</f>
        <v>ЦКсОК 5/16</v>
      </c>
      <c r="BH310" s="115">
        <f>VLOOKUP(J310,'[63]ТР нефть'!$J$28:$BP$638,51,0)</f>
        <v>2150</v>
      </c>
      <c r="BI310" s="115" t="str">
        <f>VLOOKUP(J310,'[63]ТР нефть'!$J$28:$BP$638,52,0)</f>
        <v>закрыт</v>
      </c>
      <c r="BJ310" s="115" t="str">
        <f>IF(IFERROR(VLOOKUP(J310,'[63]ТР нефть'!$J$28:$BP$638,53,0),"-")=0,"-",IFERROR(VLOOKUP(J310,'[63]ТР нефть'!$J$28:$BP$638,53,0),"-"))</f>
        <v>-</v>
      </c>
      <c r="BK310" s="138" t="str">
        <f>IF(IFERROR(VLOOKUP(J310,'[63]ТР нефть'!$J$28:$BP$638,54,0),"-")=0,"-",IFERROR(VLOOKUP(J310,'[63]ТР нефть'!$J$28:$BP$638,54,0),"-"))</f>
        <v>-</v>
      </c>
      <c r="BL310" s="138" t="str">
        <f>IF(IFERROR(VLOOKUP(J310,'[63]ТР нефть'!$J$28:$BP$638,55,0),"-")=0,"-",IFERROR(VLOOKUP(J310,'[63]ТР нефть'!$J$28:$BP$638,55,0),"-"))</f>
        <v>-</v>
      </c>
      <c r="BM310" s="138" t="str">
        <f>IF(IFERROR(VLOOKUP(J310,'[63]ТР нефть'!$J$28:$BP$638,56,0),"-")=0,"-",IFERROR(VLOOKUP(J310,'[63]ТР нефть'!$J$28:$BP$638,56,0),"-"))</f>
        <v>-</v>
      </c>
      <c r="BN310" s="138" t="str">
        <f>IF(IFERROR(VLOOKUP(J310,'[63]ТР нефть'!$J$28:$BP$638,57,0),"-")=0,"-",IFERROR(VLOOKUP(J310,'[63]ТР нефть'!$J$28:$BP$638,57,0),"-"))</f>
        <v>-</v>
      </c>
      <c r="BO310" s="115" t="str">
        <f>IF(IFERROR(VLOOKUP(J310,'[63]ТР нефть'!$J$28:$BP$638,58,0),"-")=0,"-",IFERROR(VLOOKUP(J310,'[63]ТР нефть'!$J$28:$BP$638,58,0),"-"))</f>
        <v>-</v>
      </c>
      <c r="BP310" s="115" t="str">
        <f>IF(IFERROR(VLOOKUP(J310,'[63]ТР нефть'!$J$28:$BP$638,59,0),"-")=0,"-",IFERROR(VLOOKUP(J310,'[63]ТР нефть'!$J$28:$BP$638,59,0),"-"))</f>
        <v>-</v>
      </c>
      <c r="BQ310" s="138">
        <v>2125</v>
      </c>
      <c r="BR310" s="128">
        <v>1869.6</v>
      </c>
      <c r="BS310" s="115">
        <f t="shared" si="211"/>
        <v>255.40000000000009</v>
      </c>
      <c r="BT310" s="128">
        <v>73</v>
      </c>
      <c r="BU310" s="128">
        <v>5.5</v>
      </c>
      <c r="BV310" s="127">
        <v>65</v>
      </c>
      <c r="BW310" s="127" t="s">
        <v>217</v>
      </c>
      <c r="BX310" s="127" t="s">
        <v>195</v>
      </c>
      <c r="BY310" s="139">
        <v>24</v>
      </c>
      <c r="BZ310" s="139">
        <v>0</v>
      </c>
      <c r="CA310" s="138">
        <v>12</v>
      </c>
      <c r="CB310" s="138">
        <v>70</v>
      </c>
      <c r="CC310" s="138">
        <v>11</v>
      </c>
      <c r="CD310" s="135">
        <v>45017</v>
      </c>
      <c r="CE310" s="138">
        <v>101</v>
      </c>
      <c r="CF310" s="138">
        <v>70</v>
      </c>
      <c r="CG310" s="138" t="str">
        <f t="shared" ref="CG310:CG320" si="251">IF(CH310&lt;&gt;"","В работе","")</f>
        <v>В работе</v>
      </c>
      <c r="CH310" s="138" t="s">
        <v>272</v>
      </c>
      <c r="CI310" s="127">
        <v>5</v>
      </c>
      <c r="CJ310" s="138"/>
      <c r="CK310" s="138">
        <f t="shared" si="207"/>
        <v>28</v>
      </c>
      <c r="CL310" s="99"/>
      <c r="CM310" s="99"/>
      <c r="CN310" s="140">
        <v>40</v>
      </c>
      <c r="CO310" s="141">
        <f t="shared" si="216"/>
        <v>5.7115519999999993</v>
      </c>
      <c r="CP310" s="142">
        <v>7</v>
      </c>
      <c r="CQ310" s="143">
        <v>2.4</v>
      </c>
      <c r="CR310" s="138">
        <v>8</v>
      </c>
      <c r="CS310" s="139">
        <v>5</v>
      </c>
      <c r="CT310" s="138"/>
      <c r="CU310" s="138">
        <f t="shared" si="235"/>
        <v>3</v>
      </c>
      <c r="CV310" s="115">
        <f t="shared" si="236"/>
        <v>525.25128021245371</v>
      </c>
      <c r="CW310" s="115">
        <f t="shared" si="217"/>
        <v>846.58292042662367</v>
      </c>
      <c r="CX310" s="133">
        <f t="shared" si="237"/>
        <v>0.11475409836065574</v>
      </c>
      <c r="CY310" s="116"/>
      <c r="CZ310" s="131"/>
      <c r="DA310" s="145" t="str">
        <f t="shared" si="218"/>
        <v>Газлифт</v>
      </c>
      <c r="DB310" s="146">
        <f t="shared" si="219"/>
        <v>5.7115519999999993</v>
      </c>
      <c r="DC310" s="142">
        <f t="shared" si="234"/>
        <v>7</v>
      </c>
      <c r="DD310" s="119">
        <f t="shared" si="250"/>
        <v>2.4</v>
      </c>
      <c r="DE310" s="115">
        <f t="shared" si="220"/>
        <v>3</v>
      </c>
      <c r="DF310" s="121">
        <f t="shared" si="221"/>
        <v>5</v>
      </c>
      <c r="DG310" s="115">
        <f t="shared" si="222"/>
        <v>525.25128021245371</v>
      </c>
      <c r="DH310" s="115">
        <f t="shared" si="223"/>
        <v>40</v>
      </c>
      <c r="DI310" s="147"/>
      <c r="DJ310" s="111">
        <v>43560</v>
      </c>
      <c r="DK310" s="112">
        <v>43227</v>
      </c>
      <c r="DL310" s="113">
        <f t="shared" ca="1" si="240"/>
        <v>1877</v>
      </c>
      <c r="DM310" s="114"/>
      <c r="DN310" s="114"/>
      <c r="DO310" s="114"/>
      <c r="DP310" s="114"/>
      <c r="DQ310" s="112">
        <v>43100</v>
      </c>
      <c r="DR310" s="114" t="s">
        <v>324</v>
      </c>
      <c r="DS310" s="114"/>
      <c r="DT310" s="115">
        <v>51</v>
      </c>
      <c r="DU310" s="116">
        <f t="shared" si="241"/>
        <v>0.14000000000000001</v>
      </c>
      <c r="DV310" s="117">
        <f t="shared" si="242"/>
        <v>5.7115519999999993</v>
      </c>
      <c r="DW310" s="118">
        <f t="shared" si="243"/>
        <v>7</v>
      </c>
      <c r="DX310" s="119">
        <f t="shared" si="224"/>
        <v>2.4</v>
      </c>
      <c r="DY310" s="115">
        <f t="shared" si="244"/>
        <v>3</v>
      </c>
      <c r="DZ310" s="117">
        <f t="shared" si="245"/>
        <v>0</v>
      </c>
      <c r="EA310" s="120">
        <f t="shared" si="245"/>
        <v>0</v>
      </c>
      <c r="EB310" s="119">
        <f t="shared" si="245"/>
        <v>0</v>
      </c>
      <c r="EC310" s="121">
        <f t="shared" si="246"/>
        <v>0</v>
      </c>
      <c r="ED310" s="122"/>
      <c r="EE310" s="145">
        <v>65</v>
      </c>
      <c r="EF310" s="115">
        <v>12</v>
      </c>
      <c r="EG310" s="115">
        <v>32</v>
      </c>
      <c r="EH310" s="115">
        <v>11</v>
      </c>
      <c r="EI310" s="128" t="s">
        <v>195</v>
      </c>
      <c r="EJ310" s="121">
        <v>24</v>
      </c>
      <c r="EK310" s="121">
        <v>0</v>
      </c>
      <c r="EL310" s="149">
        <v>5.7115519999999993</v>
      </c>
      <c r="EM310" s="142">
        <v>7</v>
      </c>
      <c r="EN310" s="119">
        <v>2.4</v>
      </c>
      <c r="EO310" s="115">
        <v>8</v>
      </c>
      <c r="EP310" s="115">
        <v>525.25128021245371</v>
      </c>
      <c r="EQ310" s="115">
        <v>74</v>
      </c>
      <c r="ER310" s="115">
        <v>5</v>
      </c>
      <c r="ES310" s="115">
        <v>50</v>
      </c>
      <c r="ET310" s="150">
        <v>0.13725490196078433</v>
      </c>
      <c r="EU310" s="145">
        <f t="shared" si="225"/>
        <v>65</v>
      </c>
      <c r="EV310" s="115">
        <f t="shared" si="226"/>
        <v>12</v>
      </c>
      <c r="EW310" s="115">
        <f t="shared" si="226"/>
        <v>70</v>
      </c>
      <c r="EX310" s="115">
        <f t="shared" si="226"/>
        <v>11</v>
      </c>
      <c r="EY310" s="115" t="str">
        <f t="shared" si="206"/>
        <v>Постоянный</v>
      </c>
      <c r="EZ310" s="115">
        <f t="shared" si="206"/>
        <v>24</v>
      </c>
      <c r="FA310" s="115">
        <f t="shared" si="206"/>
        <v>0</v>
      </c>
      <c r="FB310" s="149">
        <f t="shared" si="238"/>
        <v>5.7115519999999993</v>
      </c>
      <c r="FC310" s="142">
        <f t="shared" si="238"/>
        <v>7</v>
      </c>
      <c r="FD310" s="119">
        <f t="shared" si="238"/>
        <v>2.4</v>
      </c>
      <c r="FE310" s="121">
        <f t="shared" si="208"/>
        <v>8</v>
      </c>
      <c r="FF310" s="121">
        <f t="shared" si="247"/>
        <v>525.25128021245371</v>
      </c>
      <c r="FG310" s="121">
        <f t="shared" si="227"/>
        <v>70</v>
      </c>
      <c r="FH310" s="121">
        <f t="shared" si="248"/>
        <v>5</v>
      </c>
      <c r="FI310" s="121">
        <f t="shared" si="205"/>
        <v>40</v>
      </c>
      <c r="FJ310" s="144">
        <f t="shared" si="228"/>
        <v>0.11475409836065574</v>
      </c>
      <c r="FK310" s="132">
        <f t="shared" si="229"/>
        <v>0</v>
      </c>
      <c r="FL310" s="115">
        <f t="shared" si="229"/>
        <v>0</v>
      </c>
      <c r="FM310" s="115">
        <f t="shared" si="229"/>
        <v>38</v>
      </c>
      <c r="FN310" s="115">
        <f t="shared" si="229"/>
        <v>0</v>
      </c>
      <c r="FO310" s="115">
        <f t="shared" si="232"/>
        <v>0</v>
      </c>
      <c r="FP310" s="115">
        <f t="shared" si="232"/>
        <v>0</v>
      </c>
      <c r="FQ310" s="149">
        <f t="shared" si="232"/>
        <v>0</v>
      </c>
      <c r="FR310" s="142">
        <f t="shared" si="232"/>
        <v>0</v>
      </c>
      <c r="FS310" s="119">
        <f t="shared" si="232"/>
        <v>0</v>
      </c>
      <c r="FT310" s="121">
        <f t="shared" si="232"/>
        <v>0</v>
      </c>
      <c r="FU310" s="121">
        <f t="shared" si="230"/>
        <v>-4</v>
      </c>
      <c r="FV310" s="121">
        <f t="shared" si="230"/>
        <v>0</v>
      </c>
      <c r="FW310" s="121">
        <f t="shared" si="231"/>
        <v>0</v>
      </c>
      <c r="FX310" s="121">
        <f t="shared" si="233"/>
        <v>-10</v>
      </c>
      <c r="FY310" s="144">
        <f t="shared" si="214"/>
        <v>-2.2500803600128585E-2</v>
      </c>
      <c r="FZ310" s="145"/>
      <c r="GA310" s="125"/>
      <c r="GB310" s="145"/>
      <c r="GC310" s="125"/>
      <c r="GD310" s="997" t="s">
        <v>202</v>
      </c>
      <c r="GE310" s="1004"/>
      <c r="GF310" s="1004">
        <v>0</v>
      </c>
      <c r="GG310" s="1004"/>
      <c r="GH310" s="1004">
        <v>0</v>
      </c>
      <c r="GI310" s="145"/>
      <c r="GJ310" s="996">
        <v>0</v>
      </c>
      <c r="GK310" s="145"/>
      <c r="GL310" s="996">
        <v>0</v>
      </c>
      <c r="GM310" s="1005"/>
      <c r="GN310" s="996">
        <v>-0.90956800000000015</v>
      </c>
      <c r="GO310" s="1006" t="s">
        <v>241</v>
      </c>
      <c r="GP310" s="996">
        <v>-3.0386593600000005</v>
      </c>
      <c r="GQ310" s="1006"/>
      <c r="GR310" s="996">
        <v>0</v>
      </c>
      <c r="GS310" s="1006"/>
      <c r="GT310" s="996">
        <v>-5.1978634400000008</v>
      </c>
      <c r="GU310" s="1006"/>
      <c r="GV310" s="996">
        <v>0</v>
      </c>
      <c r="GW310" s="1006"/>
      <c r="GX310" s="1035">
        <v>0</v>
      </c>
      <c r="GY310" s="1006" t="s">
        <v>146</v>
      </c>
      <c r="GZ310" s="996">
        <v>1.9592495999999997</v>
      </c>
      <c r="HA310" s="1006" t="s">
        <v>199</v>
      </c>
      <c r="HB310" s="996">
        <v>2.0303932000000007</v>
      </c>
      <c r="HC310" s="1006" t="s">
        <v>241</v>
      </c>
      <c r="HD310" s="996">
        <v>0</v>
      </c>
      <c r="HE310" s="1006" t="s">
        <v>223</v>
      </c>
      <c r="HF310" s="996">
        <v>-0.80278488399999937</v>
      </c>
      <c r="HG310" s="1006"/>
      <c r="HH310" s="996">
        <v>-0.15463073999999821</v>
      </c>
      <c r="HI310" s="1006"/>
      <c r="HJ310" s="996">
        <v>0</v>
      </c>
      <c r="HK310" s="1006" t="s">
        <v>204</v>
      </c>
      <c r="HL310" s="996">
        <v>-6.8087928039999994</v>
      </c>
      <c r="HM310" s="1006" t="s">
        <v>204</v>
      </c>
      <c r="HN310" s="996">
        <v>8.0003912559999968</v>
      </c>
      <c r="HO310" s="1006"/>
      <c r="HP310" s="996">
        <v>0</v>
      </c>
      <c r="HQ310" s="1006"/>
      <c r="HR310" s="996">
        <v>0</v>
      </c>
      <c r="HS310" s="1006"/>
      <c r="HT310" s="996">
        <v>0</v>
      </c>
      <c r="HU310" s="1006" t="s">
        <v>223</v>
      </c>
      <c r="HV310" s="996">
        <v>-2.3241828279999996</v>
      </c>
      <c r="HW310" s="1006" t="s">
        <v>199</v>
      </c>
      <c r="HX310" s="996">
        <v>2.0147600000000008</v>
      </c>
      <c r="HY310" s="1006"/>
      <c r="HZ310" s="996">
        <v>0</v>
      </c>
      <c r="IA310" s="1006" t="s">
        <v>204</v>
      </c>
      <c r="IB310" s="996">
        <v>-3.962337368</v>
      </c>
      <c r="IC310" s="1006" t="s">
        <v>204</v>
      </c>
      <c r="ID310" s="996">
        <v>5.307921168</v>
      </c>
      <c r="IE310" s="1006" t="s">
        <v>199</v>
      </c>
      <c r="IF310" s="996">
        <v>1.0849524400000004</v>
      </c>
      <c r="IG310" s="1006"/>
      <c r="IH310" s="996">
        <v>-0.16691576000000019</v>
      </c>
      <c r="II310" s="1006"/>
      <c r="IJ310" s="996">
        <v>-0.16691576000000019</v>
      </c>
      <c r="IK310" s="1006" t="s">
        <v>204</v>
      </c>
      <c r="IL310" s="996">
        <v>-5.341304319999999</v>
      </c>
      <c r="IM310" s="1006" t="s">
        <v>199</v>
      </c>
      <c r="IN310" s="996">
        <v>4.0894361200000002</v>
      </c>
      <c r="IO310" s="1006" t="s">
        <v>199</v>
      </c>
      <c r="IP310" s="996">
        <v>-1.5856997200000009</v>
      </c>
      <c r="IQ310" s="1006" t="s">
        <v>199</v>
      </c>
      <c r="IR310" s="996">
        <v>-1.5022418399999999</v>
      </c>
      <c r="IS310" s="1006"/>
      <c r="IT310" s="996">
        <v>0</v>
      </c>
      <c r="IU310" s="1006"/>
      <c r="IV310" s="996">
        <v>0</v>
      </c>
      <c r="IW310" s="1006"/>
      <c r="IX310" s="996">
        <v>0</v>
      </c>
      <c r="IY310" s="1006"/>
      <c r="IZ310" s="996">
        <v>0</v>
      </c>
      <c r="JA310" s="1006"/>
      <c r="JB310" s="996">
        <v>0</v>
      </c>
      <c r="JC310" s="1006"/>
      <c r="JD310" s="996">
        <v>-0.83457879999999918</v>
      </c>
      <c r="JE310" s="1006"/>
      <c r="JF310" s="996">
        <v>0</v>
      </c>
      <c r="JG310" s="1006"/>
      <c r="JH310" s="996">
        <v>0</v>
      </c>
      <c r="JI310" s="1006"/>
      <c r="JJ310" s="996">
        <v>0</v>
      </c>
      <c r="JK310" s="1007"/>
      <c r="JL310" s="1007">
        <v>0</v>
      </c>
      <c r="JM310" s="1007" t="s">
        <v>199</v>
      </c>
      <c r="JN310" s="1007">
        <v>-2.4318069599999994</v>
      </c>
      <c r="JO310" s="1008"/>
      <c r="JP310" s="1007">
        <v>0</v>
      </c>
      <c r="JQ310" s="1008" t="s">
        <v>204</v>
      </c>
      <c r="JR310" s="1007">
        <v>-5.283269200000003</v>
      </c>
      <c r="JS310" s="1008">
        <v>0</v>
      </c>
      <c r="JT310" s="1007">
        <v>0</v>
      </c>
      <c r="JU310" s="1008" t="s">
        <v>199</v>
      </c>
      <c r="JV310" s="1007">
        <v>3.3440000000000012</v>
      </c>
      <c r="JW310" s="1008" t="s">
        <v>197</v>
      </c>
      <c r="JX310" s="1007">
        <v>0</v>
      </c>
      <c r="JY310" s="1008"/>
      <c r="JZ310" s="1007">
        <v>0</v>
      </c>
      <c r="KA310" s="1008" t="s">
        <v>240</v>
      </c>
      <c r="KB310" s="1007">
        <v>-3.3440000000000012</v>
      </c>
      <c r="KC310" s="1008" t="s">
        <v>206</v>
      </c>
      <c r="KD310" s="1007">
        <v>-2.5079999999999991</v>
      </c>
      <c r="KE310" s="1008"/>
      <c r="KF310" s="1007">
        <v>0</v>
      </c>
      <c r="KG310" s="1008" t="s">
        <v>207</v>
      </c>
      <c r="KH310" s="1007">
        <v>8.4436000000000018</v>
      </c>
      <c r="KI310" s="1008" t="s">
        <v>207</v>
      </c>
      <c r="KJ310" s="1007">
        <v>4.0963999999999992</v>
      </c>
      <c r="KK310" s="1008"/>
      <c r="KL310" s="1007">
        <v>0</v>
      </c>
      <c r="KM310" s="1008" t="s">
        <v>207</v>
      </c>
      <c r="KN310" s="1007">
        <v>-19.228000000000002</v>
      </c>
      <c r="KO310" s="1008" t="s">
        <v>240</v>
      </c>
      <c r="KP310" s="1007">
        <v>-17.974</v>
      </c>
      <c r="KQ310" s="1008">
        <v>0</v>
      </c>
      <c r="KR310" s="1007">
        <v>0</v>
      </c>
      <c r="KS310" s="1008">
        <v>0</v>
      </c>
      <c r="KT310" s="1007">
        <v>0</v>
      </c>
      <c r="KU310" s="1008">
        <v>0</v>
      </c>
      <c r="KV310" s="1007">
        <v>0</v>
      </c>
      <c r="KW310" s="1008">
        <v>0</v>
      </c>
      <c r="KX310" s="1007">
        <v>-2.9928799999999995</v>
      </c>
      <c r="KY310" s="1008">
        <v>0</v>
      </c>
      <c r="KZ310" s="1007">
        <v>0</v>
      </c>
      <c r="LA310" s="1008">
        <v>0</v>
      </c>
      <c r="LB310" s="1007">
        <v>0</v>
      </c>
      <c r="LC310" s="1008">
        <v>0</v>
      </c>
      <c r="LD310" s="1007">
        <v>0</v>
      </c>
      <c r="LE310" s="1008" t="s">
        <v>25</v>
      </c>
      <c r="LF310" s="1007">
        <v>50</v>
      </c>
      <c r="LG310" s="1008">
        <v>0</v>
      </c>
      <c r="LH310" s="1007">
        <v>0</v>
      </c>
      <c r="LI310" s="1008">
        <v>0</v>
      </c>
      <c r="LJ310" s="1007">
        <v>0</v>
      </c>
      <c r="LK310" s="1008">
        <v>0</v>
      </c>
      <c r="LL310" s="1007">
        <v>0</v>
      </c>
      <c r="LM310" s="1008">
        <v>0</v>
      </c>
      <c r="LN310" s="1007">
        <v>0</v>
      </c>
      <c r="LO310" s="1008">
        <v>0</v>
      </c>
      <c r="LP310" s="1007">
        <v>0</v>
      </c>
      <c r="LQ310" s="1008">
        <v>0</v>
      </c>
      <c r="LR310" s="1007">
        <v>0</v>
      </c>
      <c r="LS310" s="1008">
        <v>0</v>
      </c>
      <c r="LT310" s="1007">
        <v>0</v>
      </c>
      <c r="LU310" s="1008">
        <v>0</v>
      </c>
      <c r="LV310" s="1007">
        <v>0</v>
      </c>
      <c r="LW310" s="1008">
        <v>0</v>
      </c>
      <c r="LX310" s="1007">
        <v>0</v>
      </c>
      <c r="LY310" s="1009">
        <v>0</v>
      </c>
      <c r="LZ310" s="1010">
        <v>0</v>
      </c>
      <c r="MA310" s="1011">
        <v>0</v>
      </c>
      <c r="MB310" s="1012">
        <v>0</v>
      </c>
      <c r="MC310" s="995"/>
      <c r="MD310" s="996"/>
      <c r="ME310" s="997" t="s">
        <v>202</v>
      </c>
      <c r="MF310" s="997"/>
      <c r="MG310" s="998"/>
      <c r="NR310" s="1000"/>
      <c r="NS310" s="1000"/>
      <c r="NT310" s="1001"/>
      <c r="NU310" s="1000"/>
      <c r="NV310" s="1001"/>
      <c r="NX310" s="1002"/>
      <c r="NZ310" s="1001"/>
      <c r="OA310" s="1001"/>
      <c r="OC310" s="1003"/>
      <c r="OD310" s="1003"/>
      <c r="OE310" s="1001"/>
      <c r="OF310" s="1003"/>
      <c r="OG310" s="1003"/>
      <c r="QX310" s="1000">
        <f>CN310-CA310</f>
        <v>28</v>
      </c>
      <c r="ASU310" s="999" t="s">
        <v>208</v>
      </c>
    </row>
    <row r="311" spans="1:466 1191:1191" ht="21" customHeight="1" x14ac:dyDescent="0.25">
      <c r="A311" s="982">
        <f t="shared" si="215"/>
        <v>1318</v>
      </c>
      <c r="B311" s="124">
        <f>SUBTOTAL(103,$J$29:J311)</f>
        <v>283</v>
      </c>
      <c r="C311" s="126">
        <v>45068</v>
      </c>
      <c r="D311" s="124" t="s">
        <v>176</v>
      </c>
      <c r="E311" s="127" t="s">
        <v>177</v>
      </c>
      <c r="F311" s="128" t="s">
        <v>177</v>
      </c>
      <c r="G311" s="127" t="s">
        <v>178</v>
      </c>
      <c r="H311" s="127" t="s">
        <v>179</v>
      </c>
      <c r="I311" s="127" t="s">
        <v>1334</v>
      </c>
      <c r="J311" s="152">
        <v>1318</v>
      </c>
      <c r="K311" s="127" t="s">
        <v>1334</v>
      </c>
      <c r="L311" s="130">
        <v>43097</v>
      </c>
      <c r="M311" s="127" t="s">
        <v>230</v>
      </c>
      <c r="N311" s="127" t="s">
        <v>184</v>
      </c>
      <c r="O311" s="127" t="s">
        <v>185</v>
      </c>
      <c r="P311" s="127" t="s">
        <v>186</v>
      </c>
      <c r="Q311" s="85">
        <f t="shared" si="249"/>
        <v>-4</v>
      </c>
      <c r="R311" s="130">
        <v>43090</v>
      </c>
      <c r="S311" s="128" t="s">
        <v>747</v>
      </c>
      <c r="T311" s="131" t="s">
        <v>1294</v>
      </c>
      <c r="U311" s="132">
        <v>203</v>
      </c>
      <c r="V311" s="121">
        <v>218.2</v>
      </c>
      <c r="W311" s="116">
        <v>0.98</v>
      </c>
      <c r="X311" s="116">
        <v>1.66</v>
      </c>
      <c r="Y311" s="116">
        <f t="shared" si="239"/>
        <v>0.98</v>
      </c>
      <c r="Z311" s="133">
        <v>1.454</v>
      </c>
      <c r="AA311" s="133">
        <v>0.83599999999999997</v>
      </c>
      <c r="AB311" s="133">
        <v>0.72</v>
      </c>
      <c r="AC311" s="121">
        <v>34.299999999999997</v>
      </c>
      <c r="AD311" s="134">
        <v>1.17</v>
      </c>
      <c r="AE311" s="124">
        <v>177.8</v>
      </c>
      <c r="AF311" s="128">
        <v>9.19</v>
      </c>
      <c r="AG311" s="128">
        <v>2352.92</v>
      </c>
      <c r="AH311" s="138">
        <v>3065.6</v>
      </c>
      <c r="AI311" s="138">
        <v>3065.6</v>
      </c>
      <c r="AJ311" s="135">
        <v>43085</v>
      </c>
      <c r="AK311" s="128" t="s">
        <v>1018</v>
      </c>
      <c r="AL311" s="131"/>
      <c r="AM311" s="124" t="s">
        <v>985</v>
      </c>
      <c r="AN311" s="136" t="s">
        <v>1337</v>
      </c>
      <c r="AO311" s="137">
        <v>9.11</v>
      </c>
      <c r="AP311" s="128">
        <v>2458.81</v>
      </c>
      <c r="AQ311" s="128">
        <v>541.70000000000005</v>
      </c>
      <c r="AR311" s="128" t="s">
        <v>1338</v>
      </c>
      <c r="AS311" s="128">
        <v>114</v>
      </c>
      <c r="AT311" s="122">
        <v>7.37</v>
      </c>
      <c r="AU311" s="124" t="s">
        <v>189</v>
      </c>
      <c r="AV311" s="115">
        <f>VLOOKUP(J311,'[63]ТР нефть'!$J$28:$BP$638,39,0)</f>
        <v>460.00001513699999</v>
      </c>
      <c r="AW311" s="115" t="str">
        <f>VLOOKUP(J311,'[63]ТР нефть'!$J$28:$BP$638,40,0)</f>
        <v>ГП</v>
      </c>
      <c r="AX311" s="115">
        <f>VLOOKUP(J311,'[63]ТР нефть'!$J$28:$BP$638,41,0)</f>
        <v>920.00003027299999</v>
      </c>
      <c r="AY311" s="115" t="str">
        <f>VLOOKUP(J311,'[63]ТР нефть'!$J$28:$BP$638,42,0)</f>
        <v>ГП</v>
      </c>
      <c r="AZ311" s="115">
        <f>VLOOKUP(J311,'[63]ТР нефть'!$J$28:$BP$638,43,0)</f>
        <v>1340.0000683589999</v>
      </c>
      <c r="BA311" s="115" t="str">
        <f>VLOOKUP(J311,'[63]ТР нефть'!$J$28:$BP$638,44,0)</f>
        <v>ГК73 1/8</v>
      </c>
      <c r="BB311" s="115">
        <f>VLOOKUP(J311,'[63]ТР нефть'!$J$28:$BP$638,45,0)</f>
        <v>1669.999944141</v>
      </c>
      <c r="BC311" s="115" t="str">
        <f>VLOOKUP(J311,'[63]ТР нефть'!$J$28:$BP$638,46,0)</f>
        <v>ГК73 5/32</v>
      </c>
      <c r="BD311" s="115">
        <f>VLOOKUP(J311,'[63]ТР нефть'!$J$28:$BP$638,47,0)</f>
        <v>1949.999969531</v>
      </c>
      <c r="BE311" s="115" t="str">
        <f>VLOOKUP(J311,'[63]ТР нефть'!$J$28:$BP$638,48,0)</f>
        <v>ЦКсОК 5/16</v>
      </c>
      <c r="BF311" s="115" t="str">
        <f>VLOOKUP(J311,'[63]ТР нефть'!$J$28:$BP$638,49,0)</f>
        <v>-</v>
      </c>
      <c r="BG311" s="115" t="str">
        <f>VLOOKUP(J311,'[63]ТР нефть'!$J$28:$BP$638,50,0)</f>
        <v>-</v>
      </c>
      <c r="BH311" s="115">
        <f>VLOOKUP(J311,'[63]ТР нефть'!$J$28:$BP$638,51,0)</f>
        <v>1970</v>
      </c>
      <c r="BI311" s="115" t="str">
        <f>VLOOKUP(J311,'[63]ТР нефть'!$J$28:$BP$638,52,0)</f>
        <v>закрыт</v>
      </c>
      <c r="BJ311" s="115" t="str">
        <f>IF(IFERROR(VLOOKUP(J311,'[63]ТР нефть'!$J$28:$BP$638,53,0),"-")=0,"-",IFERROR(VLOOKUP(J311,'[63]ТР нефть'!$J$28:$BP$638,53,0),"-"))</f>
        <v>-</v>
      </c>
      <c r="BK311" s="138" t="str">
        <f>IF(IFERROR(VLOOKUP(J311,'[63]ТР нефть'!$J$28:$BP$638,54,0),"-")=0,"-",IFERROR(VLOOKUP(J311,'[63]ТР нефть'!$J$28:$BP$638,54,0),"-"))</f>
        <v>-</v>
      </c>
      <c r="BL311" s="138" t="str">
        <f>IF(IFERROR(VLOOKUP(J311,'[63]ТР нефть'!$J$28:$BP$638,55,0),"-")=0,"-",IFERROR(VLOOKUP(J311,'[63]ТР нефть'!$J$28:$BP$638,55,0),"-"))</f>
        <v>-</v>
      </c>
      <c r="BM311" s="138" t="str">
        <f>IF(IFERROR(VLOOKUP(J311,'[63]ТР нефть'!$J$28:$BP$638,56,0),"-")=0,"-",IFERROR(VLOOKUP(J311,'[63]ТР нефть'!$J$28:$BP$638,56,0),"-"))</f>
        <v>-</v>
      </c>
      <c r="BN311" s="138" t="str">
        <f>IF(IFERROR(VLOOKUP(J311,'[63]ТР нефть'!$J$28:$BP$638,57,0),"-")=0,"-",IFERROR(VLOOKUP(J311,'[63]ТР нефть'!$J$28:$BP$638,57,0),"-"))</f>
        <v>-</v>
      </c>
      <c r="BO311" s="115" t="str">
        <f>IF(IFERROR(VLOOKUP(J311,'[63]ТР нефть'!$J$28:$BP$638,58,0),"-")=0,"-",IFERROR(VLOOKUP(J311,'[63]ТР нефть'!$J$28:$BP$638,58,0),"-"))</f>
        <v>-</v>
      </c>
      <c r="BP311" s="115" t="str">
        <f>IF(IFERROR(VLOOKUP(J311,'[63]ТР нефть'!$J$28:$BP$638,59,0),"-")=0,"-",IFERROR(VLOOKUP(J311,'[63]ТР нефть'!$J$28:$BP$638,59,0),"-"))</f>
        <v>-</v>
      </c>
      <c r="BQ311" s="138">
        <v>2098</v>
      </c>
      <c r="BR311" s="128">
        <v>2098</v>
      </c>
      <c r="BS311" s="115">
        <f t="shared" si="211"/>
        <v>0</v>
      </c>
      <c r="BT311" s="128">
        <v>73</v>
      </c>
      <c r="BU311" s="128">
        <v>5.5</v>
      </c>
      <c r="BV311" s="127">
        <v>65</v>
      </c>
      <c r="BW311" s="127" t="s">
        <v>217</v>
      </c>
      <c r="BX311" s="127" t="s">
        <v>195</v>
      </c>
      <c r="BY311" s="139">
        <v>24</v>
      </c>
      <c r="BZ311" s="139">
        <v>0</v>
      </c>
      <c r="CA311" s="138">
        <v>11</v>
      </c>
      <c r="CB311" s="138">
        <v>62</v>
      </c>
      <c r="CC311" s="138">
        <v>10</v>
      </c>
      <c r="CD311" s="135">
        <v>45017</v>
      </c>
      <c r="CE311" s="138">
        <v>121</v>
      </c>
      <c r="CF311" s="138">
        <v>70</v>
      </c>
      <c r="CG311" s="138" t="str">
        <f t="shared" si="251"/>
        <v>В работе</v>
      </c>
      <c r="CH311" s="138" t="s">
        <v>272</v>
      </c>
      <c r="CI311" s="127">
        <v>5</v>
      </c>
      <c r="CJ311" s="138"/>
      <c r="CK311" s="138">
        <f t="shared" si="207"/>
        <v>48</v>
      </c>
      <c r="CL311" s="99"/>
      <c r="CM311" s="99"/>
      <c r="CN311" s="140">
        <v>59</v>
      </c>
      <c r="CO311" s="141">
        <f t="shared" si="216"/>
        <v>6.9388000000000005</v>
      </c>
      <c r="CP311" s="142">
        <v>8.3000000000000007</v>
      </c>
      <c r="CQ311" s="143">
        <v>0</v>
      </c>
      <c r="CR311" s="138">
        <v>18.7</v>
      </c>
      <c r="CS311" s="139">
        <v>9.6</v>
      </c>
      <c r="CT311" s="138"/>
      <c r="CU311" s="138">
        <f t="shared" si="235"/>
        <v>9.1</v>
      </c>
      <c r="CV311" s="115">
        <f t="shared" si="236"/>
        <v>1311.4659595319074</v>
      </c>
      <c r="CW311" s="115">
        <f t="shared" si="217"/>
        <v>1383.5245287369573</v>
      </c>
      <c r="CX311" s="133">
        <f t="shared" si="237"/>
        <v>0.13387096774193549</v>
      </c>
      <c r="CY311" s="116"/>
      <c r="CZ311" s="131"/>
      <c r="DA311" s="145" t="str">
        <f t="shared" si="218"/>
        <v>Газлифт</v>
      </c>
      <c r="DB311" s="146">
        <f t="shared" si="219"/>
        <v>6.9388000000000005</v>
      </c>
      <c r="DC311" s="142">
        <f t="shared" si="234"/>
        <v>8.3000000000000007</v>
      </c>
      <c r="DD311" s="119">
        <f t="shared" si="250"/>
        <v>0</v>
      </c>
      <c r="DE311" s="115">
        <f t="shared" si="220"/>
        <v>9.1</v>
      </c>
      <c r="DF311" s="121">
        <f t="shared" si="221"/>
        <v>9.6</v>
      </c>
      <c r="DG311" s="115">
        <f t="shared" si="222"/>
        <v>1311.4659595319074</v>
      </c>
      <c r="DH311" s="115">
        <f t="shared" si="223"/>
        <v>59</v>
      </c>
      <c r="DI311" s="147"/>
      <c r="DJ311" s="111">
        <v>43560</v>
      </c>
      <c r="DK311" s="112">
        <v>43168</v>
      </c>
      <c r="DL311" s="113">
        <f t="shared" ca="1" si="240"/>
        <v>1936</v>
      </c>
      <c r="DM311" s="114"/>
      <c r="DN311" s="114"/>
      <c r="DO311" s="114"/>
      <c r="DP311" s="114"/>
      <c r="DQ311" s="112">
        <v>43097</v>
      </c>
      <c r="DR311" s="114" t="s">
        <v>324</v>
      </c>
      <c r="DS311" s="114"/>
      <c r="DT311" s="115">
        <v>47</v>
      </c>
      <c r="DU311" s="116">
        <f t="shared" si="241"/>
        <v>0.12623029419661694</v>
      </c>
      <c r="DV311" s="117">
        <f t="shared" si="242"/>
        <v>7.8091109201795099</v>
      </c>
      <c r="DW311" s="118">
        <f t="shared" si="243"/>
        <v>9.3410417705496531</v>
      </c>
      <c r="DX311" s="119">
        <f t="shared" si="224"/>
        <v>0</v>
      </c>
      <c r="DY311" s="115">
        <f t="shared" si="244"/>
        <v>10.241383146024319</v>
      </c>
      <c r="DZ311" s="117">
        <f t="shared" si="245"/>
        <v>0.8703109201795094</v>
      </c>
      <c r="EA311" s="120">
        <f t="shared" si="245"/>
        <v>1.0410417705496524</v>
      </c>
      <c r="EB311" s="119">
        <f t="shared" si="245"/>
        <v>0</v>
      </c>
      <c r="EC311" s="121">
        <f t="shared" si="246"/>
        <v>1.1413831460243191</v>
      </c>
      <c r="ED311" s="122"/>
      <c r="EE311" s="145">
        <v>65</v>
      </c>
      <c r="EF311" s="115">
        <v>9</v>
      </c>
      <c r="EG311" s="115">
        <v>54</v>
      </c>
      <c r="EH311" s="115">
        <v>8</v>
      </c>
      <c r="EI311" s="128" t="s">
        <v>195</v>
      </c>
      <c r="EJ311" s="121">
        <v>24</v>
      </c>
      <c r="EK311" s="121">
        <v>0</v>
      </c>
      <c r="EL311" s="149">
        <v>6.9388000000000005</v>
      </c>
      <c r="EM311" s="142">
        <v>8.3000000000000007</v>
      </c>
      <c r="EN311" s="119">
        <v>0</v>
      </c>
      <c r="EO311" s="115">
        <v>18.7</v>
      </c>
      <c r="EP311" s="115">
        <v>1311.4659595319074</v>
      </c>
      <c r="EQ311" s="115">
        <v>70</v>
      </c>
      <c r="ER311" s="115">
        <v>9.6</v>
      </c>
      <c r="ES311" s="115">
        <v>58</v>
      </c>
      <c r="ET311" s="150">
        <v>0.13174603174603175</v>
      </c>
      <c r="EU311" s="145">
        <f t="shared" si="225"/>
        <v>65</v>
      </c>
      <c r="EV311" s="115">
        <f t="shared" si="226"/>
        <v>11</v>
      </c>
      <c r="EW311" s="115">
        <f t="shared" si="226"/>
        <v>62</v>
      </c>
      <c r="EX311" s="115">
        <f t="shared" si="226"/>
        <v>10</v>
      </c>
      <c r="EY311" s="115" t="str">
        <f t="shared" si="206"/>
        <v>Постоянный</v>
      </c>
      <c r="EZ311" s="115">
        <f t="shared" si="206"/>
        <v>24</v>
      </c>
      <c r="FA311" s="115">
        <f t="shared" si="206"/>
        <v>0</v>
      </c>
      <c r="FB311" s="149">
        <f t="shared" si="238"/>
        <v>6.9388000000000005</v>
      </c>
      <c r="FC311" s="142">
        <f t="shared" si="238"/>
        <v>8.3000000000000007</v>
      </c>
      <c r="FD311" s="119">
        <f t="shared" si="238"/>
        <v>0</v>
      </c>
      <c r="FE311" s="121">
        <f t="shared" si="208"/>
        <v>18.7</v>
      </c>
      <c r="FF311" s="121">
        <f t="shared" si="247"/>
        <v>1311.4659595319074</v>
      </c>
      <c r="FG311" s="121">
        <f t="shared" si="227"/>
        <v>70</v>
      </c>
      <c r="FH311" s="121">
        <f t="shared" si="248"/>
        <v>9.6</v>
      </c>
      <c r="FI311" s="121">
        <f t="shared" si="205"/>
        <v>59</v>
      </c>
      <c r="FJ311" s="144">
        <f t="shared" si="228"/>
        <v>0.13387096774193549</v>
      </c>
      <c r="FK311" s="132">
        <f t="shared" si="229"/>
        <v>0</v>
      </c>
      <c r="FL311" s="115">
        <f t="shared" si="229"/>
        <v>2</v>
      </c>
      <c r="FM311" s="115">
        <f t="shared" si="229"/>
        <v>8</v>
      </c>
      <c r="FN311" s="115">
        <f t="shared" si="229"/>
        <v>2</v>
      </c>
      <c r="FO311" s="115">
        <f t="shared" si="232"/>
        <v>0</v>
      </c>
      <c r="FP311" s="115">
        <f t="shared" si="232"/>
        <v>0</v>
      </c>
      <c r="FQ311" s="149">
        <f t="shared" si="232"/>
        <v>0</v>
      </c>
      <c r="FR311" s="142">
        <f t="shared" si="232"/>
        <v>0</v>
      </c>
      <c r="FS311" s="119">
        <f t="shared" si="232"/>
        <v>0</v>
      </c>
      <c r="FT311" s="121">
        <f t="shared" si="232"/>
        <v>0</v>
      </c>
      <c r="FU311" s="121">
        <f t="shared" si="230"/>
        <v>0</v>
      </c>
      <c r="FV311" s="121">
        <f t="shared" si="230"/>
        <v>0</v>
      </c>
      <c r="FW311" s="121">
        <f t="shared" si="231"/>
        <v>0</v>
      </c>
      <c r="FX311" s="121">
        <f t="shared" si="233"/>
        <v>1</v>
      </c>
      <c r="FY311" s="144">
        <f t="shared" si="214"/>
        <v>2.1249359959037428E-3</v>
      </c>
      <c r="FZ311" s="145"/>
      <c r="GA311" s="125"/>
      <c r="GB311" s="145" t="s">
        <v>204</v>
      </c>
      <c r="GC311" s="125" t="s">
        <v>219</v>
      </c>
      <c r="GD311" s="997" t="s">
        <v>202</v>
      </c>
      <c r="GE311" s="1004" t="s">
        <v>204</v>
      </c>
      <c r="GF311" s="1004">
        <v>3.3022000000000009</v>
      </c>
      <c r="GG311" s="1004"/>
      <c r="GH311" s="1004">
        <v>0</v>
      </c>
      <c r="GI311" s="145"/>
      <c r="GJ311" s="996">
        <v>0</v>
      </c>
      <c r="GK311" s="145" t="s">
        <v>204</v>
      </c>
      <c r="GL311" s="996">
        <v>0</v>
      </c>
      <c r="GM311" s="1005" t="s">
        <v>240</v>
      </c>
      <c r="GN311" s="996">
        <v>-2.4661999999999997</v>
      </c>
      <c r="GO311" s="1006" t="s">
        <v>241</v>
      </c>
      <c r="GP311" s="996">
        <v>-3.6784000000000008</v>
      </c>
      <c r="GQ311" s="1006" t="s">
        <v>199</v>
      </c>
      <c r="GR311" s="996">
        <v>3.7883340000000008</v>
      </c>
      <c r="GS311" s="1006" t="s">
        <v>199</v>
      </c>
      <c r="GT311" s="996">
        <v>-3.6228060000000006</v>
      </c>
      <c r="GU311" s="1006"/>
      <c r="GV311" s="996">
        <v>0.35003320000000038</v>
      </c>
      <c r="GW311" s="1006"/>
      <c r="GX311" s="1035">
        <v>0</v>
      </c>
      <c r="GY311" s="1006"/>
      <c r="GZ311" s="996">
        <v>-0.70784119999999895</v>
      </c>
      <c r="HA311" s="1006"/>
      <c r="HB311" s="996">
        <v>-0.47652000000000072</v>
      </c>
      <c r="HC311" s="1006" t="s">
        <v>241</v>
      </c>
      <c r="HD311" s="996">
        <v>0</v>
      </c>
      <c r="HE311" s="1006" t="s">
        <v>223</v>
      </c>
      <c r="HF311" s="996">
        <v>-0.91123999999999938</v>
      </c>
      <c r="HG311" s="1006"/>
      <c r="HH311" s="996">
        <v>-0.35111999999999988</v>
      </c>
      <c r="HI311" s="1006"/>
      <c r="HJ311" s="996">
        <v>0</v>
      </c>
      <c r="HK311" s="1006" t="s">
        <v>204</v>
      </c>
      <c r="HL311" s="996">
        <v>-1.9990891800000004</v>
      </c>
      <c r="HM311" s="1006" t="s">
        <v>276</v>
      </c>
      <c r="HN311" s="996">
        <v>6.1038491799999992</v>
      </c>
      <c r="HO311" s="1006"/>
      <c r="HP311" s="996">
        <v>0</v>
      </c>
      <c r="HQ311" s="1006"/>
      <c r="HR311" s="996">
        <v>0</v>
      </c>
      <c r="HS311" s="1006" t="s">
        <v>643</v>
      </c>
      <c r="HT311" s="996">
        <v>0</v>
      </c>
      <c r="HU311" s="1006"/>
      <c r="HV311" s="996">
        <v>0</v>
      </c>
      <c r="HW311" s="1006" t="s">
        <v>204</v>
      </c>
      <c r="HX311" s="996">
        <v>-1.1201313199999987</v>
      </c>
      <c r="HY311" s="1006"/>
      <c r="HZ311" s="996">
        <v>0</v>
      </c>
      <c r="IA311" s="1006"/>
      <c r="IB311" s="996">
        <v>0.8776913199999985</v>
      </c>
      <c r="IC311" s="1006" t="s">
        <v>221</v>
      </c>
      <c r="ID311" s="996">
        <v>2.58324</v>
      </c>
      <c r="IE311" s="1006"/>
      <c r="IF311" s="996">
        <v>0</v>
      </c>
      <c r="IG311" s="1006"/>
      <c r="IH311" s="996">
        <v>0.25079999999999991</v>
      </c>
      <c r="II311" s="1006"/>
      <c r="IJ311" s="996">
        <v>0</v>
      </c>
      <c r="IK311" s="1006" t="s">
        <v>223</v>
      </c>
      <c r="IL311" s="996">
        <v>-2.2571999999999992</v>
      </c>
      <c r="IM311" s="1006" t="s">
        <v>199</v>
      </c>
      <c r="IN311" s="996">
        <v>1.0867999999999993</v>
      </c>
      <c r="IO311" s="1006" t="s">
        <v>199</v>
      </c>
      <c r="IP311" s="996">
        <v>-1.3376000000000001</v>
      </c>
      <c r="IQ311" s="1006" t="s">
        <v>199</v>
      </c>
      <c r="IR311" s="996">
        <v>-2.3408000000000007</v>
      </c>
      <c r="IS311" s="1006"/>
      <c r="IT311" s="996">
        <v>0</v>
      </c>
      <c r="IU311" s="1006"/>
      <c r="IV311" s="996">
        <v>0</v>
      </c>
      <c r="IW311" s="1006"/>
      <c r="IX311" s="996">
        <v>0</v>
      </c>
      <c r="IY311" s="1006"/>
      <c r="IZ311" s="996">
        <v>0</v>
      </c>
      <c r="JA311" s="1006"/>
      <c r="JB311" s="996">
        <v>0</v>
      </c>
      <c r="JC311" s="1006" t="s">
        <v>199</v>
      </c>
      <c r="JD311" s="996">
        <v>-1.8391999999999982</v>
      </c>
      <c r="JE311" s="1006"/>
      <c r="JF311" s="996">
        <v>0</v>
      </c>
      <c r="JG311" s="1006"/>
      <c r="JH311" s="996">
        <v>-0.8360000000000003</v>
      </c>
      <c r="JI311" s="1006" t="s">
        <v>223</v>
      </c>
      <c r="JJ311" s="996">
        <v>-2.09</v>
      </c>
      <c r="JK311" s="1007"/>
      <c r="JL311" s="1007">
        <v>0</v>
      </c>
      <c r="JM311" s="1007"/>
      <c r="JN311" s="1007">
        <v>0</v>
      </c>
      <c r="JO311" s="1008"/>
      <c r="JP311" s="1007">
        <v>0</v>
      </c>
      <c r="JQ311" s="1008" t="s">
        <v>204</v>
      </c>
      <c r="JR311" s="1007">
        <v>-2.9260000000000019</v>
      </c>
      <c r="JS311" s="1008">
        <v>0</v>
      </c>
      <c r="JT311" s="1007">
        <v>0</v>
      </c>
      <c r="JU311" s="1008"/>
      <c r="JV311" s="1007">
        <v>0</v>
      </c>
      <c r="JW311" s="1008" t="s">
        <v>197</v>
      </c>
      <c r="JX311" s="1007">
        <v>0</v>
      </c>
      <c r="JY311" s="1008"/>
      <c r="JZ311" s="1007">
        <v>0</v>
      </c>
      <c r="KA311" s="1008" t="s">
        <v>199</v>
      </c>
      <c r="KB311" s="1007">
        <v>-7.5239999999999974</v>
      </c>
      <c r="KC311" s="1008"/>
      <c r="KD311" s="1007">
        <v>0</v>
      </c>
      <c r="KE311" s="1008"/>
      <c r="KF311" s="1007">
        <v>0</v>
      </c>
      <c r="KG311" s="1008" t="s">
        <v>240</v>
      </c>
      <c r="KH311" s="1007">
        <v>1.6720000000000006</v>
      </c>
      <c r="KI311" s="1008" t="s">
        <v>240</v>
      </c>
      <c r="KJ311" s="1007">
        <v>-5.0160000000000018</v>
      </c>
      <c r="KK311" s="1008"/>
      <c r="KL311" s="1007">
        <v>0</v>
      </c>
      <c r="KM311" s="1008" t="s">
        <v>240</v>
      </c>
      <c r="KN311" s="1007">
        <v>0.83600000000000207</v>
      </c>
      <c r="KO311" s="1008" t="s">
        <v>240</v>
      </c>
      <c r="KP311" s="1007">
        <v>-3.3440000000000012</v>
      </c>
      <c r="KQ311" s="1008">
        <v>0</v>
      </c>
      <c r="KR311" s="1007">
        <v>0</v>
      </c>
      <c r="KS311" s="1008">
        <v>0</v>
      </c>
      <c r="KT311" s="1007">
        <v>0</v>
      </c>
      <c r="KU311" s="1008">
        <v>0</v>
      </c>
      <c r="KV311" s="1007">
        <v>0</v>
      </c>
      <c r="KW311" s="1008">
        <v>0</v>
      </c>
      <c r="KX311" s="1007">
        <v>0</v>
      </c>
      <c r="KY311" s="1008" t="s">
        <v>224</v>
      </c>
      <c r="KZ311" s="1007">
        <v>30.931999999999999</v>
      </c>
      <c r="LA311" s="1008">
        <v>0</v>
      </c>
      <c r="LB311" s="1007">
        <v>0</v>
      </c>
      <c r="LC311" s="1008">
        <v>0</v>
      </c>
      <c r="LD311" s="1007">
        <v>0</v>
      </c>
      <c r="LE311" s="1008" t="s">
        <v>25</v>
      </c>
      <c r="LF311" s="1007">
        <v>31.015599999999999</v>
      </c>
      <c r="LG311" s="1008">
        <v>0</v>
      </c>
      <c r="LH311" s="1007">
        <v>0</v>
      </c>
      <c r="LI311" s="1008">
        <v>0</v>
      </c>
      <c r="LJ311" s="1007">
        <v>0</v>
      </c>
      <c r="LK311" s="1008">
        <v>0</v>
      </c>
      <c r="LL311" s="1007">
        <v>0</v>
      </c>
      <c r="LM311" s="1008">
        <v>0</v>
      </c>
      <c r="LN311" s="1007">
        <v>0</v>
      </c>
      <c r="LO311" s="1008">
        <v>0</v>
      </c>
      <c r="LP311" s="1007">
        <v>0</v>
      </c>
      <c r="LQ311" s="1008">
        <v>0</v>
      </c>
      <c r="LR311" s="1007">
        <v>0</v>
      </c>
      <c r="LS311" s="1008">
        <v>0</v>
      </c>
      <c r="LT311" s="1007">
        <v>0</v>
      </c>
      <c r="LU311" s="1008">
        <v>0</v>
      </c>
      <c r="LV311" s="1007">
        <v>0</v>
      </c>
      <c r="LW311" s="1008">
        <v>0</v>
      </c>
      <c r="LX311" s="1007">
        <v>0</v>
      </c>
      <c r="LY311" s="1009">
        <v>0</v>
      </c>
      <c r="LZ311" s="1010">
        <v>0</v>
      </c>
      <c r="MA311" s="1011">
        <v>0</v>
      </c>
      <c r="MB311" s="1012">
        <v>0</v>
      </c>
      <c r="MC311" s="995"/>
      <c r="MD311" s="996"/>
      <c r="ME311" s="997" t="s">
        <v>202</v>
      </c>
      <c r="MF311" s="997"/>
      <c r="MG311" s="998"/>
      <c r="NR311" s="1000"/>
      <c r="NS311" s="1000"/>
      <c r="NT311" s="1001"/>
      <c r="NU311" s="1000"/>
      <c r="NV311" s="1001"/>
      <c r="NX311" s="1002"/>
      <c r="NZ311" s="1001"/>
      <c r="OA311" s="1001"/>
      <c r="OC311" s="1003"/>
      <c r="OD311" s="1003"/>
      <c r="OE311" s="1001"/>
      <c r="OF311" s="1003"/>
      <c r="OG311" s="1003"/>
      <c r="QX311" s="1000">
        <f>CN311-CA311</f>
        <v>48</v>
      </c>
      <c r="ASU311" s="999" t="s">
        <v>208</v>
      </c>
    </row>
    <row r="312" spans="1:466 1191:1191" ht="21" customHeight="1" x14ac:dyDescent="0.25">
      <c r="A312" s="982">
        <f t="shared" si="215"/>
        <v>1319</v>
      </c>
      <c r="B312" s="124">
        <f>SUBTOTAL(103,$J$29:J312)</f>
        <v>284</v>
      </c>
      <c r="C312" s="126">
        <v>45068</v>
      </c>
      <c r="D312" s="124" t="s">
        <v>176</v>
      </c>
      <c r="E312" s="127" t="s">
        <v>177</v>
      </c>
      <c r="F312" s="128" t="s">
        <v>177</v>
      </c>
      <c r="G312" s="127" t="s">
        <v>178</v>
      </c>
      <c r="H312" s="127" t="s">
        <v>179</v>
      </c>
      <c r="I312" s="127" t="s">
        <v>1339</v>
      </c>
      <c r="J312" s="152">
        <v>1319</v>
      </c>
      <c r="K312" s="127" t="s">
        <v>1330</v>
      </c>
      <c r="L312" s="130">
        <v>43974</v>
      </c>
      <c r="M312" s="127" t="s">
        <v>230</v>
      </c>
      <c r="N312" s="127" t="s">
        <v>184</v>
      </c>
      <c r="O312" s="127" t="s">
        <v>185</v>
      </c>
      <c r="P312" s="127" t="s">
        <v>186</v>
      </c>
      <c r="Q312" s="85" t="str">
        <f t="shared" si="249"/>
        <v/>
      </c>
      <c r="R312" s="130"/>
      <c r="S312" s="128"/>
      <c r="T312" s="131"/>
      <c r="U312" s="132">
        <v>203</v>
      </c>
      <c r="V312" s="121">
        <v>218.2</v>
      </c>
      <c r="W312" s="116">
        <v>0.98</v>
      </c>
      <c r="X312" s="116">
        <v>1.66</v>
      </c>
      <c r="Y312" s="116">
        <f t="shared" si="239"/>
        <v>0.98</v>
      </c>
      <c r="Z312" s="133">
        <v>1.454</v>
      </c>
      <c r="AA312" s="133">
        <v>0.83599999999999997</v>
      </c>
      <c r="AB312" s="133">
        <v>0.72</v>
      </c>
      <c r="AC312" s="121">
        <v>34.299999999999997</v>
      </c>
      <c r="AD312" s="134">
        <v>1.17</v>
      </c>
      <c r="AE312" s="124">
        <v>177.8</v>
      </c>
      <c r="AF312" s="128">
        <v>9.19</v>
      </c>
      <c r="AG312" s="128">
        <v>2303</v>
      </c>
      <c r="AH312" s="138">
        <v>3096.91</v>
      </c>
      <c r="AI312" s="138">
        <v>3096.91</v>
      </c>
      <c r="AJ312" s="135"/>
      <c r="AK312" s="128"/>
      <c r="AL312" s="131"/>
      <c r="AM312" s="124" t="s">
        <v>985</v>
      </c>
      <c r="AN312" s="136" t="s">
        <v>1340</v>
      </c>
      <c r="AO312" s="137">
        <v>15.14</v>
      </c>
      <c r="AP312" s="128">
        <v>2352.92</v>
      </c>
      <c r="AQ312" s="128">
        <f>AP312-1864.82</f>
        <v>488.10000000000014</v>
      </c>
      <c r="AR312" s="128" t="s">
        <v>1341</v>
      </c>
      <c r="AS312" s="128">
        <v>114</v>
      </c>
      <c r="AT312" s="122">
        <v>7.37</v>
      </c>
      <c r="AU312" s="124" t="s">
        <v>189</v>
      </c>
      <c r="AV312" s="115">
        <f>VLOOKUP(J312,'[63]ТР нефть'!$J$28:$BP$638,39,0)</f>
        <v>521.00001269500001</v>
      </c>
      <c r="AW312" s="115" t="str">
        <f>VLOOKUP(J312,'[63]ТР нефть'!$J$28:$BP$638,40,0)</f>
        <v>ГП</v>
      </c>
      <c r="AX312" s="115">
        <f>VLOOKUP(J312,'[63]ТР нефть'!$J$28:$BP$638,41,0)</f>
        <v>1003.9999634770001</v>
      </c>
      <c r="AY312" s="115" t="str">
        <f>VLOOKUP(J312,'[63]ТР нефть'!$J$28:$BP$638,42,0)</f>
        <v>ГК71 1/8</v>
      </c>
      <c r="AZ312" s="115">
        <f>VLOOKUP(J312,'[63]ТР нефть'!$J$28:$BP$638,43,0)</f>
        <v>1399.9999781250001</v>
      </c>
      <c r="BA312" s="115" t="str">
        <f>VLOOKUP(J312,'[63]ТР нефть'!$J$28:$BP$638,44,0)</f>
        <v>ГК72 5/32</v>
      </c>
      <c r="BB312" s="115">
        <f>VLOOKUP(J312,'[63]ТР нефть'!$J$28:$BP$638,45,0)</f>
        <v>1697.0000449219999</v>
      </c>
      <c r="BC312" s="115" t="str">
        <f>VLOOKUP(J312,'[63]ТР нефть'!$J$28:$BP$638,46,0)</f>
        <v>ГК72 3/16</v>
      </c>
      <c r="BD312" s="115">
        <f>VLOOKUP(J312,'[63]ТР нефть'!$J$28:$BP$638,47,0)</f>
        <v>1890.000059766</v>
      </c>
      <c r="BE312" s="115" t="str">
        <f>VLOOKUP(J312,'[63]ТР нефть'!$J$28:$BP$638,48,0)</f>
        <v>ЦКсОК 5/16</v>
      </c>
      <c r="BF312" s="115" t="str">
        <f>VLOOKUP(J312,'[63]ТР нефть'!$J$28:$BP$638,49,0)</f>
        <v>-</v>
      </c>
      <c r="BG312" s="115" t="str">
        <f>VLOOKUP(J312,'[63]ТР нефть'!$J$28:$BP$638,50,0)</f>
        <v>-</v>
      </c>
      <c r="BH312" s="115" t="str">
        <f>VLOOKUP(J312,'[63]ТР нефть'!$J$28:$BP$638,51,0)</f>
        <v>-</v>
      </c>
      <c r="BI312" s="115" t="str">
        <f>VLOOKUP(J312,'[63]ТР нефть'!$J$28:$BP$638,52,0)</f>
        <v>-</v>
      </c>
      <c r="BJ312" s="115" t="str">
        <f>IF(IFERROR(VLOOKUP(J312,'[63]ТР нефть'!$J$28:$BP$638,53,0),"-")=0,"-",IFERROR(VLOOKUP(J312,'[63]ТР нефть'!$J$28:$BP$638,53,0),"-"))</f>
        <v>-</v>
      </c>
      <c r="BK312" s="138" t="str">
        <f>IF(IFERROR(VLOOKUP(J312,'[63]ТР нефть'!$J$28:$BP$638,54,0),"-")=0,"-",IFERROR(VLOOKUP(J312,'[63]ТР нефть'!$J$28:$BP$638,54,0),"-"))</f>
        <v>-</v>
      </c>
      <c r="BL312" s="138" t="str">
        <f>IF(IFERROR(VLOOKUP(J312,'[63]ТР нефть'!$J$28:$BP$638,55,0),"-")=0,"-",IFERROR(VLOOKUP(J312,'[63]ТР нефть'!$J$28:$BP$638,55,0),"-"))</f>
        <v>-</v>
      </c>
      <c r="BM312" s="138" t="str">
        <f>IF(IFERROR(VLOOKUP(J312,'[63]ТР нефть'!$J$28:$BP$638,56,0),"-")=0,"-",IFERROR(VLOOKUP(J312,'[63]ТР нефть'!$J$28:$BP$638,56,0),"-"))</f>
        <v>-</v>
      </c>
      <c r="BN312" s="138" t="str">
        <f>IF(IFERROR(VLOOKUP(J312,'[63]ТР нефть'!$J$28:$BP$638,57,0),"-")=0,"-",IFERROR(VLOOKUP(J312,'[63]ТР нефть'!$J$28:$BP$638,57,0),"-"))</f>
        <v>-</v>
      </c>
      <c r="BO312" s="115" t="str">
        <f>IF(IFERROR(VLOOKUP(J312,'[63]ТР нефть'!$J$28:$BP$638,58,0),"-")=0,"-",IFERROR(VLOOKUP(J312,'[63]ТР нефть'!$J$28:$BP$638,58,0),"-"))</f>
        <v>-</v>
      </c>
      <c r="BP312" s="115" t="str">
        <f>IF(IFERROR(VLOOKUP(J312,'[63]ТР нефть'!$J$28:$BP$638,59,0),"-")=0,"-",IFERROR(VLOOKUP(J312,'[63]ТР нефть'!$J$28:$BP$638,59,0),"-"))</f>
        <v>-</v>
      </c>
      <c r="BQ312" s="138">
        <v>2253</v>
      </c>
      <c r="BR312" s="128">
        <v>1848.62</v>
      </c>
      <c r="BS312" s="115">
        <f t="shared" si="211"/>
        <v>404.38000000000011</v>
      </c>
      <c r="BT312" s="128">
        <v>73</v>
      </c>
      <c r="BU312" s="128">
        <v>5.5</v>
      </c>
      <c r="BV312" s="127">
        <v>18</v>
      </c>
      <c r="BW312" s="127" t="s">
        <v>194</v>
      </c>
      <c r="BX312" s="127" t="s">
        <v>195</v>
      </c>
      <c r="BY312" s="139">
        <v>24</v>
      </c>
      <c r="BZ312" s="139">
        <v>0</v>
      </c>
      <c r="CA312" s="138">
        <v>16</v>
      </c>
      <c r="CB312" s="138">
        <v>32</v>
      </c>
      <c r="CC312" s="138">
        <v>15</v>
      </c>
      <c r="CD312" s="135">
        <v>45017</v>
      </c>
      <c r="CE312" s="138">
        <v>119</v>
      </c>
      <c r="CF312" s="138">
        <v>71</v>
      </c>
      <c r="CG312" s="138" t="str">
        <f t="shared" si="251"/>
        <v>В работе</v>
      </c>
      <c r="CH312" s="138" t="s">
        <v>235</v>
      </c>
      <c r="CI312" s="127">
        <v>5</v>
      </c>
      <c r="CJ312" s="138"/>
      <c r="CK312" s="138">
        <f t="shared" si="207"/>
        <v>26</v>
      </c>
      <c r="CL312" s="99"/>
      <c r="CM312" s="99"/>
      <c r="CN312" s="140">
        <v>42</v>
      </c>
      <c r="CO312" s="141">
        <f t="shared" si="216"/>
        <v>9.613999999999999</v>
      </c>
      <c r="CP312" s="142">
        <v>11.5</v>
      </c>
      <c r="CQ312" s="143">
        <v>0</v>
      </c>
      <c r="CR312" s="138">
        <v>22</v>
      </c>
      <c r="CS312" s="139">
        <v>14.18</v>
      </c>
      <c r="CT312" s="138"/>
      <c r="CU312" s="138">
        <f t="shared" si="235"/>
        <v>7.82</v>
      </c>
      <c r="CV312" s="115">
        <f t="shared" si="236"/>
        <v>813.39712918660291</v>
      </c>
      <c r="CW312" s="115">
        <f t="shared" si="217"/>
        <v>1474.9323902641981</v>
      </c>
      <c r="CX312" s="133">
        <f t="shared" si="237"/>
        <v>0.14935064935064934</v>
      </c>
      <c r="CY312" s="116"/>
      <c r="CZ312" s="131"/>
      <c r="DA312" s="145" t="str">
        <f t="shared" si="218"/>
        <v>Газлифт</v>
      </c>
      <c r="DB312" s="146">
        <f t="shared" si="219"/>
        <v>9.613999999999999</v>
      </c>
      <c r="DC312" s="142">
        <f t="shared" si="234"/>
        <v>11.5</v>
      </c>
      <c r="DD312" s="119">
        <f t="shared" si="250"/>
        <v>0</v>
      </c>
      <c r="DE312" s="115">
        <f t="shared" si="220"/>
        <v>7.82</v>
      </c>
      <c r="DF312" s="121">
        <f t="shared" si="221"/>
        <v>14.18</v>
      </c>
      <c r="DG312" s="115">
        <f t="shared" si="222"/>
        <v>813.39712918660291</v>
      </c>
      <c r="DH312" s="115">
        <f t="shared" si="223"/>
        <v>42</v>
      </c>
      <c r="DI312" s="147"/>
      <c r="DJ312" s="111"/>
      <c r="DK312" s="112">
        <v>43974</v>
      </c>
      <c r="DL312" s="113">
        <f t="shared" ca="1" si="240"/>
        <v>1130</v>
      </c>
      <c r="DM312" s="114"/>
      <c r="DN312" s="114"/>
      <c r="DO312" s="114"/>
      <c r="DP312" s="114"/>
      <c r="DQ312" s="112"/>
      <c r="DR312" s="114"/>
      <c r="DS312" s="114"/>
      <c r="DT312" s="115">
        <v>48</v>
      </c>
      <c r="DU312" s="116">
        <f t="shared" si="241"/>
        <v>0.1619718309859155</v>
      </c>
      <c r="DV312" s="117">
        <f t="shared" si="242"/>
        <v>9.613999999999999</v>
      </c>
      <c r="DW312" s="118">
        <f t="shared" si="243"/>
        <v>11.5</v>
      </c>
      <c r="DX312" s="119">
        <f t="shared" si="224"/>
        <v>0</v>
      </c>
      <c r="DY312" s="115">
        <f t="shared" si="244"/>
        <v>7.82</v>
      </c>
      <c r="DZ312" s="117">
        <f t="shared" si="245"/>
        <v>0</v>
      </c>
      <c r="EA312" s="120">
        <f t="shared" si="245"/>
        <v>0</v>
      </c>
      <c r="EB312" s="119">
        <f t="shared" si="245"/>
        <v>0</v>
      </c>
      <c r="EC312" s="121">
        <f t="shared" si="246"/>
        <v>0</v>
      </c>
      <c r="ED312" s="122"/>
      <c r="EE312" s="145">
        <v>18</v>
      </c>
      <c r="EF312" s="115">
        <v>15</v>
      </c>
      <c r="EG312" s="115">
        <v>32</v>
      </c>
      <c r="EH312" s="115">
        <v>15</v>
      </c>
      <c r="EI312" s="128" t="s">
        <v>195</v>
      </c>
      <c r="EJ312" s="121">
        <v>24</v>
      </c>
      <c r="EK312" s="121">
        <v>0</v>
      </c>
      <c r="EL312" s="149">
        <v>10.868</v>
      </c>
      <c r="EM312" s="142">
        <v>13</v>
      </c>
      <c r="EN312" s="119">
        <v>0</v>
      </c>
      <c r="EO312" s="115">
        <v>15</v>
      </c>
      <c r="EP312" s="115">
        <v>797.75487670224516</v>
      </c>
      <c r="EQ312" s="115">
        <v>72</v>
      </c>
      <c r="ER312" s="115">
        <v>6.33</v>
      </c>
      <c r="ES312" s="115">
        <v>42</v>
      </c>
      <c r="ET312" s="150">
        <v>0.16883116883116883</v>
      </c>
      <c r="EU312" s="145">
        <f t="shared" si="225"/>
        <v>18</v>
      </c>
      <c r="EV312" s="115">
        <f t="shared" si="226"/>
        <v>16</v>
      </c>
      <c r="EW312" s="115">
        <f t="shared" si="226"/>
        <v>32</v>
      </c>
      <c r="EX312" s="115">
        <f t="shared" si="226"/>
        <v>15</v>
      </c>
      <c r="EY312" s="115" t="str">
        <f t="shared" si="206"/>
        <v>Постоянный</v>
      </c>
      <c r="EZ312" s="115">
        <f t="shared" si="206"/>
        <v>24</v>
      </c>
      <c r="FA312" s="115">
        <f t="shared" si="206"/>
        <v>0</v>
      </c>
      <c r="FB312" s="149">
        <f t="shared" si="238"/>
        <v>9.613999999999999</v>
      </c>
      <c r="FC312" s="142">
        <f t="shared" si="238"/>
        <v>11.5</v>
      </c>
      <c r="FD312" s="119">
        <f t="shared" si="238"/>
        <v>0</v>
      </c>
      <c r="FE312" s="121">
        <f t="shared" si="208"/>
        <v>22</v>
      </c>
      <c r="FF312" s="121">
        <f t="shared" si="247"/>
        <v>813.39712918660291</v>
      </c>
      <c r="FG312" s="121">
        <f t="shared" si="227"/>
        <v>71</v>
      </c>
      <c r="FH312" s="121">
        <f t="shared" si="248"/>
        <v>14.18</v>
      </c>
      <c r="FI312" s="121">
        <f t="shared" si="205"/>
        <v>42</v>
      </c>
      <c r="FJ312" s="144">
        <f t="shared" si="228"/>
        <v>0.14935064935064934</v>
      </c>
      <c r="FK312" s="132">
        <f t="shared" si="229"/>
        <v>0</v>
      </c>
      <c r="FL312" s="115">
        <f t="shared" si="229"/>
        <v>1</v>
      </c>
      <c r="FM312" s="115">
        <f t="shared" si="229"/>
        <v>0</v>
      </c>
      <c r="FN312" s="115">
        <f t="shared" si="229"/>
        <v>0</v>
      </c>
      <c r="FO312" s="115">
        <f t="shared" si="232"/>
        <v>0</v>
      </c>
      <c r="FP312" s="115">
        <f t="shared" si="232"/>
        <v>0</v>
      </c>
      <c r="FQ312" s="149">
        <f t="shared" si="232"/>
        <v>-1.2540000000000013</v>
      </c>
      <c r="FR312" s="142">
        <f t="shared" si="232"/>
        <v>-1.5</v>
      </c>
      <c r="FS312" s="119">
        <f t="shared" si="232"/>
        <v>0</v>
      </c>
      <c r="FT312" s="121">
        <f t="shared" si="232"/>
        <v>7</v>
      </c>
      <c r="FU312" s="121">
        <f t="shared" si="230"/>
        <v>-1</v>
      </c>
      <c r="FV312" s="121">
        <f t="shared" si="230"/>
        <v>7.85</v>
      </c>
      <c r="FW312" s="121">
        <f t="shared" si="231"/>
        <v>15.642252484357755</v>
      </c>
      <c r="FX312" s="121">
        <f t="shared" si="233"/>
        <v>0</v>
      </c>
      <c r="FY312" s="144">
        <f t="shared" si="214"/>
        <v>-1.9480519480519487E-2</v>
      </c>
      <c r="FZ312" s="145" t="s">
        <v>223</v>
      </c>
      <c r="GA312" s="151" t="s">
        <v>1342</v>
      </c>
      <c r="GB312" s="145"/>
      <c r="GC312" s="151"/>
      <c r="GD312" s="997" t="s">
        <v>202</v>
      </c>
      <c r="GE312" s="1004"/>
      <c r="GF312" s="1004">
        <v>-0.83599999999999852</v>
      </c>
      <c r="GG312" s="1004"/>
      <c r="GH312" s="1004">
        <v>0</v>
      </c>
      <c r="GI312" s="145"/>
      <c r="GJ312" s="996">
        <v>0</v>
      </c>
      <c r="GK312" s="145"/>
      <c r="GL312" s="996">
        <v>0</v>
      </c>
      <c r="GM312" s="1005"/>
      <c r="GN312" s="996">
        <v>0</v>
      </c>
      <c r="GO312" s="1006" t="s">
        <v>240</v>
      </c>
      <c r="GP312" s="996">
        <v>-1.086800000000002</v>
      </c>
      <c r="GQ312" s="1006" t="s">
        <v>240</v>
      </c>
      <c r="GR312" s="996">
        <v>-3.8705311920000014</v>
      </c>
      <c r="GS312" s="1006"/>
      <c r="GT312" s="996">
        <v>-0.53309880799999476</v>
      </c>
      <c r="GU312" s="1006"/>
      <c r="GV312" s="996">
        <v>0</v>
      </c>
      <c r="GW312" s="1006"/>
      <c r="GX312" s="1035">
        <v>0</v>
      </c>
      <c r="GY312" s="1006"/>
      <c r="GZ312" s="996">
        <v>0</v>
      </c>
      <c r="HA312" s="1006"/>
      <c r="HB312" s="996">
        <v>0.39355368799999724</v>
      </c>
      <c r="HC312" s="1006" t="s">
        <v>223</v>
      </c>
      <c r="HD312" s="996">
        <v>-9.6091236880000004</v>
      </c>
      <c r="HE312" s="1006"/>
      <c r="HF312" s="996">
        <v>0</v>
      </c>
      <c r="HG312" s="1006" t="s">
        <v>223</v>
      </c>
      <c r="HH312" s="996">
        <v>-4.1105183680000081</v>
      </c>
      <c r="HI312" s="1006"/>
      <c r="HJ312" s="996">
        <v>0</v>
      </c>
      <c r="HK312" s="1006" t="s">
        <v>933</v>
      </c>
      <c r="HL312" s="996">
        <v>-9.6071147040000007</v>
      </c>
      <c r="HM312" s="1006" t="s">
        <v>276</v>
      </c>
      <c r="HN312" s="996">
        <v>19.218386000000006</v>
      </c>
      <c r="HO312" s="1006"/>
      <c r="HP312" s="996">
        <v>0</v>
      </c>
      <c r="HQ312" s="1006"/>
      <c r="HR312" s="996">
        <v>0</v>
      </c>
      <c r="HS312" s="1006" t="s">
        <v>199</v>
      </c>
      <c r="HT312" s="996">
        <v>1.5291150599999952</v>
      </c>
      <c r="HU312" s="1006"/>
      <c r="HV312" s="996">
        <v>0.3091653400000034</v>
      </c>
      <c r="HW312" s="1006" t="s">
        <v>199</v>
      </c>
      <c r="HX312" s="996">
        <v>-1.3285753800000002</v>
      </c>
      <c r="HY312" s="1006" t="s">
        <v>199</v>
      </c>
      <c r="HZ312" s="996">
        <v>-3.934330531999997</v>
      </c>
      <c r="IA312" s="1006"/>
      <c r="IB312" s="996">
        <v>0.69750991199999746</v>
      </c>
      <c r="IC312" s="1006"/>
      <c r="ID312" s="996">
        <v>-0.86576159999999902</v>
      </c>
      <c r="IE312" s="1006" t="s">
        <v>204</v>
      </c>
      <c r="IF312" s="996">
        <v>-1.4987807999999987</v>
      </c>
      <c r="IG312" s="1006" t="s">
        <v>223</v>
      </c>
      <c r="IH312" s="996">
        <v>-5.9118576000000012</v>
      </c>
      <c r="II312" s="1006" t="s">
        <v>199</v>
      </c>
      <c r="IJ312" s="996">
        <v>1.2489840000000001</v>
      </c>
      <c r="IK312" s="1006" t="s">
        <v>199</v>
      </c>
      <c r="IL312" s="996">
        <v>28.638016</v>
      </c>
      <c r="IM312" s="1006" t="s">
        <v>199</v>
      </c>
      <c r="IN312" s="996">
        <v>-28.758400000000002</v>
      </c>
      <c r="IO312" s="1006" t="s">
        <v>199</v>
      </c>
      <c r="IP312" s="996">
        <v>5.8520000000000003</v>
      </c>
      <c r="IQ312" s="1006" t="s">
        <v>199</v>
      </c>
      <c r="IR312" s="996">
        <v>-9.195999999999998</v>
      </c>
      <c r="IS312" s="1006"/>
      <c r="IT312" s="996">
        <v>-13.375999999999998</v>
      </c>
      <c r="IU312" s="1006" t="s">
        <v>199</v>
      </c>
      <c r="IV312" s="996">
        <v>13.786843840000003</v>
      </c>
      <c r="IW312" s="1006"/>
      <c r="IX312" s="996" t="e">
        <v>#VALUE!</v>
      </c>
      <c r="IY312" s="1006"/>
      <c r="IZ312" s="996"/>
      <c r="JA312" s="1006"/>
      <c r="JB312" s="996"/>
      <c r="JC312" s="1006"/>
      <c r="JD312" s="996"/>
      <c r="JE312" s="1006"/>
      <c r="JF312" s="996"/>
      <c r="JG312" s="1006"/>
      <c r="JH312" s="996"/>
      <c r="JI312" s="1006"/>
      <c r="JJ312" s="996"/>
      <c r="JK312" s="1007"/>
      <c r="JL312" s="1007"/>
      <c r="JM312" s="1007"/>
      <c r="JN312" s="1007"/>
      <c r="JO312" s="1008"/>
      <c r="JP312" s="1007"/>
      <c r="JQ312" s="1008"/>
      <c r="JR312" s="1007"/>
      <c r="JS312" s="1008"/>
      <c r="JT312" s="1007"/>
      <c r="JU312" s="1008"/>
      <c r="JV312" s="1007"/>
      <c r="JW312" s="1008"/>
      <c r="JX312" s="1007"/>
      <c r="JY312" s="1008"/>
      <c r="JZ312" s="1007"/>
      <c r="KA312" s="1008"/>
      <c r="KB312" s="1007"/>
      <c r="KC312" s="1008"/>
      <c r="KD312" s="1007"/>
      <c r="KE312" s="1008"/>
      <c r="KF312" s="1007"/>
      <c r="KG312" s="1008"/>
      <c r="KH312" s="1007"/>
      <c r="KI312" s="1008"/>
      <c r="KJ312" s="1007"/>
      <c r="KK312" s="1008"/>
      <c r="KL312" s="1007"/>
      <c r="KM312" s="1008"/>
      <c r="KN312" s="1007"/>
      <c r="KO312" s="1008"/>
      <c r="KP312" s="1007"/>
      <c r="KQ312" s="1008"/>
      <c r="KR312" s="1007"/>
      <c r="KS312" s="1008"/>
      <c r="KT312" s="1007"/>
      <c r="KU312" s="1008"/>
      <c r="KV312" s="1007"/>
      <c r="KW312" s="1008"/>
      <c r="KX312" s="1007"/>
      <c r="KY312" s="1008"/>
      <c r="KZ312" s="1007"/>
      <c r="LA312" s="1008"/>
      <c r="LB312" s="1007"/>
      <c r="LC312" s="1008"/>
      <c r="LD312" s="1007"/>
      <c r="LE312" s="1008"/>
      <c r="LF312" s="1007"/>
      <c r="LG312" s="1008"/>
      <c r="LH312" s="1007"/>
      <c r="LI312" s="1008"/>
      <c r="LJ312" s="1007"/>
      <c r="LK312" s="1008"/>
      <c r="LL312" s="1007"/>
      <c r="LM312" s="1008"/>
      <c r="LN312" s="1007"/>
      <c r="LO312" s="1008"/>
      <c r="LP312" s="1007"/>
      <c r="LQ312" s="1008"/>
      <c r="LR312" s="1007"/>
      <c r="LS312" s="1008"/>
      <c r="LT312" s="1007"/>
      <c r="LU312" s="1008"/>
      <c r="LV312" s="1007"/>
      <c r="LW312" s="1008"/>
      <c r="LX312" s="1007"/>
      <c r="LY312" s="1009"/>
      <c r="LZ312" s="1010"/>
      <c r="MA312" s="1011"/>
      <c r="MB312" s="1012"/>
      <c r="MC312" s="995"/>
      <c r="MD312" s="996"/>
      <c r="ME312" s="997" t="s">
        <v>202</v>
      </c>
      <c r="MF312" s="997"/>
      <c r="MG312" s="998"/>
      <c r="NR312" s="1000"/>
      <c r="NS312" s="1000"/>
      <c r="NT312" s="1001"/>
      <c r="NU312" s="1000"/>
      <c r="NV312" s="1001"/>
      <c r="NX312" s="1002"/>
      <c r="NZ312" s="1001"/>
      <c r="OA312" s="1001"/>
      <c r="OC312" s="1003"/>
      <c r="OD312" s="1003"/>
      <c r="OE312" s="1001"/>
      <c r="OF312" s="1003"/>
      <c r="OG312" s="1003"/>
      <c r="QX312" s="1000">
        <f>CN312-CA312</f>
        <v>26</v>
      </c>
      <c r="ASU312" s="999" t="s">
        <v>208</v>
      </c>
    </row>
    <row r="313" spans="1:466 1191:1191" ht="21" customHeight="1" x14ac:dyDescent="0.25">
      <c r="A313" s="982">
        <f t="shared" si="215"/>
        <v>1321</v>
      </c>
      <c r="B313" s="124">
        <f>SUBTOTAL(103,$J$29:J313)</f>
        <v>285</v>
      </c>
      <c r="C313" s="126">
        <v>45068</v>
      </c>
      <c r="D313" s="124" t="s">
        <v>176</v>
      </c>
      <c r="E313" s="127" t="s">
        <v>177</v>
      </c>
      <c r="F313" s="128" t="s">
        <v>177</v>
      </c>
      <c r="G313" s="127" t="s">
        <v>178</v>
      </c>
      <c r="H313" s="127" t="s">
        <v>179</v>
      </c>
      <c r="I313" s="127" t="s">
        <v>1334</v>
      </c>
      <c r="J313" s="152">
        <v>1321</v>
      </c>
      <c r="K313" s="127" t="s">
        <v>1334</v>
      </c>
      <c r="L313" s="130">
        <v>43408</v>
      </c>
      <c r="M313" s="127" t="s">
        <v>230</v>
      </c>
      <c r="N313" s="127" t="s">
        <v>184</v>
      </c>
      <c r="O313" s="127" t="s">
        <v>185</v>
      </c>
      <c r="P313" s="127" t="s">
        <v>186</v>
      </c>
      <c r="Q313" s="85" t="str">
        <f t="shared" si="249"/>
        <v/>
      </c>
      <c r="R313" s="130"/>
      <c r="S313" s="128"/>
      <c r="T313" s="131"/>
      <c r="U313" s="132">
        <v>203</v>
      </c>
      <c r="V313" s="121">
        <v>218.2</v>
      </c>
      <c r="W313" s="116">
        <v>0.98</v>
      </c>
      <c r="X313" s="116">
        <v>1.66</v>
      </c>
      <c r="Y313" s="116">
        <f t="shared" si="239"/>
        <v>0.98</v>
      </c>
      <c r="Z313" s="133">
        <v>1.454</v>
      </c>
      <c r="AA313" s="133">
        <v>0.83599999999999997</v>
      </c>
      <c r="AB313" s="133">
        <v>0.72</v>
      </c>
      <c r="AC313" s="121">
        <v>34.299999999999997</v>
      </c>
      <c r="AD313" s="134">
        <v>1.17</v>
      </c>
      <c r="AE313" s="124">
        <v>177.8</v>
      </c>
      <c r="AF313" s="128">
        <v>9.19</v>
      </c>
      <c r="AG313" s="128">
        <v>2298.1999999999998</v>
      </c>
      <c r="AH313" s="138">
        <v>3095.45</v>
      </c>
      <c r="AI313" s="138">
        <v>3095.45</v>
      </c>
      <c r="AJ313" s="135"/>
      <c r="AK313" s="128"/>
      <c r="AL313" s="131"/>
      <c r="AM313" s="124" t="s">
        <v>985</v>
      </c>
      <c r="AN313" s="136" t="s">
        <v>1343</v>
      </c>
      <c r="AO313" s="137">
        <v>64.58</v>
      </c>
      <c r="AP313" s="128">
        <v>2324.9899999999998</v>
      </c>
      <c r="AQ313" s="128">
        <v>383</v>
      </c>
      <c r="AR313" s="128" t="s">
        <v>1344</v>
      </c>
      <c r="AS313" s="128">
        <v>114</v>
      </c>
      <c r="AT313" s="122">
        <v>7.37</v>
      </c>
      <c r="AU313" s="124" t="s">
        <v>189</v>
      </c>
      <c r="AV313" s="115">
        <f>VLOOKUP(J313,'[63]ТР нефть'!$J$28:$BP$638,39,0)</f>
        <v>390.00000878899999</v>
      </c>
      <c r="AW313" s="115" t="str">
        <f>VLOOKUP(J313,'[63]ТР нефть'!$J$28:$BP$638,40,0)</f>
        <v>ГП</v>
      </c>
      <c r="AX313" s="115">
        <f>VLOOKUP(J313,'[63]ТР нефть'!$J$28:$BP$638,41,0)</f>
        <v>980.00001445299995</v>
      </c>
      <c r="AY313" s="115" t="str">
        <f>VLOOKUP(J313,'[63]ТР нефть'!$J$28:$BP$638,42,0)</f>
        <v>ГП</v>
      </c>
      <c r="AZ313" s="115">
        <f>VLOOKUP(J313,'[63]ТР нефть'!$J$28:$BP$638,43,0)</f>
        <v>1269.9999503910001</v>
      </c>
      <c r="BA313" s="115" t="str">
        <f>VLOOKUP(J313,'[63]ТР нефть'!$J$28:$BP$638,44,0)</f>
        <v>ГК76 1/8</v>
      </c>
      <c r="BB313" s="115">
        <f>VLOOKUP(J313,'[63]ТР нефть'!$J$28:$BP$638,45,0)</f>
        <v>1510.0000359380001</v>
      </c>
      <c r="BC313" s="115" t="str">
        <f>VLOOKUP(J313,'[63]ТР нефть'!$J$28:$BP$638,46,0)</f>
        <v>ГК75 1/8</v>
      </c>
      <c r="BD313" s="115">
        <f>VLOOKUP(J313,'[63]ТР нефть'!$J$28:$BP$638,47,0)</f>
        <v>1730.000002734</v>
      </c>
      <c r="BE313" s="115" t="str">
        <f>VLOOKUP(J313,'[63]ТР нефть'!$J$28:$BP$638,48,0)</f>
        <v>ГК74 1/8</v>
      </c>
      <c r="BF313" s="115">
        <f>VLOOKUP(J313,'[63]ТР нефть'!$J$28:$BP$638,49,0)</f>
        <v>1980</v>
      </c>
      <c r="BG313" s="115" t="str">
        <f>VLOOKUP(J313,'[63]ТР нефть'!$J$28:$BP$638,50,0)</f>
        <v>ЦКсОК 5/16</v>
      </c>
      <c r="BH313" s="115" t="str">
        <f>VLOOKUP(J313,'[63]ТР нефть'!$J$28:$BP$638,51,0)</f>
        <v>-</v>
      </c>
      <c r="BI313" s="115" t="str">
        <f>VLOOKUP(J313,'[63]ТР нефть'!$J$28:$BP$638,52,0)</f>
        <v>-</v>
      </c>
      <c r="BJ313" s="115" t="str">
        <f>IF(IFERROR(VLOOKUP(J313,'[63]ТР нефть'!$J$28:$BP$638,53,0),"-")=0,"-",IFERROR(VLOOKUP(J313,'[63]ТР нефть'!$J$28:$BP$638,53,0),"-"))</f>
        <v>-</v>
      </c>
      <c r="BK313" s="138" t="str">
        <f>IF(IFERROR(VLOOKUP(J313,'[63]ТР нефть'!$J$28:$BP$638,54,0),"-")=0,"-",IFERROR(VLOOKUP(J313,'[63]ТР нефть'!$J$28:$BP$638,54,0),"-"))</f>
        <v>-</v>
      </c>
      <c r="BL313" s="138" t="str">
        <f>IF(IFERROR(VLOOKUP(J313,'[63]ТР нефть'!$J$28:$BP$638,55,0),"-")=0,"-",IFERROR(VLOOKUP(J313,'[63]ТР нефть'!$J$28:$BP$638,55,0),"-"))</f>
        <v>-</v>
      </c>
      <c r="BM313" s="138" t="str">
        <f>IF(IFERROR(VLOOKUP(J313,'[63]ТР нефть'!$J$28:$BP$638,56,0),"-")=0,"-",IFERROR(VLOOKUP(J313,'[63]ТР нефть'!$J$28:$BP$638,56,0),"-"))</f>
        <v>-</v>
      </c>
      <c r="BN313" s="138" t="str">
        <f>IF(IFERROR(VLOOKUP(J313,'[63]ТР нефть'!$J$28:$BP$638,57,0),"-")=0,"-",IFERROR(VLOOKUP(J313,'[63]ТР нефть'!$J$28:$BP$638,57,0),"-"))</f>
        <v>-</v>
      </c>
      <c r="BO313" s="115" t="str">
        <f>IF(IFERROR(VLOOKUP(J313,'[63]ТР нефть'!$J$28:$BP$638,58,0),"-")=0,"-",IFERROR(VLOOKUP(J313,'[63]ТР нефть'!$J$28:$BP$638,58,0),"-"))</f>
        <v>-</v>
      </c>
      <c r="BP313" s="115" t="str">
        <f>IF(IFERROR(VLOOKUP(J313,'[63]ТР нефть'!$J$28:$BP$638,59,0),"-")=0,"-",IFERROR(VLOOKUP(J313,'[63]ТР нефть'!$J$28:$BP$638,59,0),"-"))</f>
        <v>-</v>
      </c>
      <c r="BQ313" s="138">
        <v>2520</v>
      </c>
      <c r="BR313" s="128">
        <v>1926.24</v>
      </c>
      <c r="BS313" s="115">
        <f t="shared" si="211"/>
        <v>593.76</v>
      </c>
      <c r="BT313" s="128">
        <v>73</v>
      </c>
      <c r="BU313" s="128">
        <v>5.5</v>
      </c>
      <c r="BV313" s="127">
        <v>65</v>
      </c>
      <c r="BW313" s="127" t="s">
        <v>217</v>
      </c>
      <c r="BX313" s="127" t="s">
        <v>195</v>
      </c>
      <c r="BY313" s="139">
        <v>24</v>
      </c>
      <c r="BZ313" s="139">
        <v>0</v>
      </c>
      <c r="CA313" s="138">
        <v>11</v>
      </c>
      <c r="CB313" s="138">
        <v>55</v>
      </c>
      <c r="CC313" s="138">
        <v>10</v>
      </c>
      <c r="CD313" s="135">
        <v>45017</v>
      </c>
      <c r="CE313" s="138">
        <v>93</v>
      </c>
      <c r="CF313" s="138">
        <v>71</v>
      </c>
      <c r="CG313" s="138" t="str">
        <f t="shared" si="251"/>
        <v>В работе</v>
      </c>
      <c r="CH313" s="138" t="s">
        <v>272</v>
      </c>
      <c r="CI313" s="138">
        <v>5</v>
      </c>
      <c r="CJ313" s="138"/>
      <c r="CK313" s="138">
        <f t="shared" si="207"/>
        <v>28</v>
      </c>
      <c r="CL313" s="99"/>
      <c r="CM313" s="99"/>
      <c r="CN313" s="140">
        <v>39</v>
      </c>
      <c r="CO313" s="141">
        <f t="shared" si="216"/>
        <v>7.8583999999999996</v>
      </c>
      <c r="CP313" s="142">
        <v>9.4</v>
      </c>
      <c r="CQ313" s="143">
        <v>0</v>
      </c>
      <c r="CR313" s="138">
        <v>16</v>
      </c>
      <c r="CS313" s="139">
        <v>8.4</v>
      </c>
      <c r="CT313" s="138"/>
      <c r="CU313" s="138">
        <f t="shared" si="235"/>
        <v>7.6</v>
      </c>
      <c r="CV313" s="115">
        <f t="shared" si="236"/>
        <v>967.11798839458413</v>
      </c>
      <c r="CW313" s="115">
        <f t="shared" si="217"/>
        <v>1068.9198819098035</v>
      </c>
      <c r="CX313" s="133">
        <f t="shared" si="237"/>
        <v>0.17407407407407408</v>
      </c>
      <c r="CY313" s="116"/>
      <c r="CZ313" s="131"/>
      <c r="DA313" s="145" t="str">
        <f t="shared" si="218"/>
        <v>Газлифт</v>
      </c>
      <c r="DB313" s="146">
        <f t="shared" si="219"/>
        <v>7.8583999999999996</v>
      </c>
      <c r="DC313" s="142">
        <f t="shared" si="234"/>
        <v>9.4</v>
      </c>
      <c r="DD313" s="119">
        <f t="shared" si="250"/>
        <v>0</v>
      </c>
      <c r="DE313" s="115">
        <f t="shared" si="220"/>
        <v>7.6</v>
      </c>
      <c r="DF313" s="121">
        <f t="shared" si="221"/>
        <v>8.4</v>
      </c>
      <c r="DG313" s="115">
        <f t="shared" si="222"/>
        <v>967.11798839458413</v>
      </c>
      <c r="DH313" s="115">
        <f t="shared" si="223"/>
        <v>39</v>
      </c>
      <c r="DI313" s="147"/>
      <c r="DJ313" s="111">
        <v>43560</v>
      </c>
      <c r="DK313" s="112">
        <v>43408</v>
      </c>
      <c r="DL313" s="113">
        <f t="shared" ca="1" si="240"/>
        <v>1696</v>
      </c>
      <c r="DM313" s="114"/>
      <c r="DN313" s="114"/>
      <c r="DO313" s="114"/>
      <c r="DP313" s="114"/>
      <c r="DQ313" s="112">
        <v>43408</v>
      </c>
      <c r="DR313" s="114" t="s">
        <v>324</v>
      </c>
      <c r="DS313" s="114"/>
      <c r="DT313" s="115">
        <v>57</v>
      </c>
      <c r="DU313" s="116">
        <f t="shared" si="241"/>
        <v>0.26111111111111113</v>
      </c>
      <c r="DV313" s="117">
        <f t="shared" si="242"/>
        <v>7.8583999999999996</v>
      </c>
      <c r="DW313" s="118">
        <f t="shared" si="243"/>
        <v>9.4</v>
      </c>
      <c r="DX313" s="119">
        <f t="shared" si="224"/>
        <v>0</v>
      </c>
      <c r="DY313" s="115">
        <f t="shared" si="244"/>
        <v>7.6</v>
      </c>
      <c r="DZ313" s="117">
        <f t="shared" si="245"/>
        <v>0</v>
      </c>
      <c r="EA313" s="120">
        <f t="shared" si="245"/>
        <v>0</v>
      </c>
      <c r="EB313" s="119">
        <f t="shared" si="245"/>
        <v>0</v>
      </c>
      <c r="EC313" s="121">
        <f t="shared" si="246"/>
        <v>0</v>
      </c>
      <c r="ED313" s="122"/>
      <c r="EE313" s="145">
        <v>65</v>
      </c>
      <c r="EF313" s="115">
        <v>12</v>
      </c>
      <c r="EG313" s="115">
        <v>55</v>
      </c>
      <c r="EH313" s="115">
        <v>11</v>
      </c>
      <c r="EI313" s="128" t="s">
        <v>195</v>
      </c>
      <c r="EJ313" s="121">
        <v>24</v>
      </c>
      <c r="EK313" s="121">
        <v>0</v>
      </c>
      <c r="EL313" s="149">
        <v>7.8583999999999996</v>
      </c>
      <c r="EM313" s="142">
        <v>9.4</v>
      </c>
      <c r="EN313" s="119">
        <v>0</v>
      </c>
      <c r="EO313" s="115">
        <v>16</v>
      </c>
      <c r="EP313" s="115">
        <v>814.41514812175512</v>
      </c>
      <c r="EQ313" s="115">
        <v>71</v>
      </c>
      <c r="ER313" s="115">
        <v>9.6</v>
      </c>
      <c r="ES313" s="115">
        <v>39</v>
      </c>
      <c r="ET313" s="150">
        <v>0.17407407407407408</v>
      </c>
      <c r="EU313" s="145">
        <f t="shared" si="225"/>
        <v>65</v>
      </c>
      <c r="EV313" s="115">
        <f t="shared" si="226"/>
        <v>11</v>
      </c>
      <c r="EW313" s="115">
        <f t="shared" si="226"/>
        <v>55</v>
      </c>
      <c r="EX313" s="115">
        <f t="shared" si="226"/>
        <v>10</v>
      </c>
      <c r="EY313" s="115" t="str">
        <f t="shared" si="206"/>
        <v>Постоянный</v>
      </c>
      <c r="EZ313" s="115">
        <f t="shared" si="206"/>
        <v>24</v>
      </c>
      <c r="FA313" s="115">
        <f t="shared" si="206"/>
        <v>0</v>
      </c>
      <c r="FB313" s="149">
        <f t="shared" si="238"/>
        <v>7.8583999999999996</v>
      </c>
      <c r="FC313" s="142">
        <f t="shared" si="238"/>
        <v>9.4</v>
      </c>
      <c r="FD313" s="119">
        <f t="shared" si="238"/>
        <v>0</v>
      </c>
      <c r="FE313" s="121">
        <f t="shared" si="208"/>
        <v>16</v>
      </c>
      <c r="FF313" s="121">
        <f t="shared" si="247"/>
        <v>967.11798839458413</v>
      </c>
      <c r="FG313" s="121">
        <f t="shared" si="227"/>
        <v>71</v>
      </c>
      <c r="FH313" s="121">
        <f t="shared" si="248"/>
        <v>8.4</v>
      </c>
      <c r="FI313" s="121">
        <f t="shared" si="205"/>
        <v>39</v>
      </c>
      <c r="FJ313" s="144">
        <f t="shared" si="228"/>
        <v>0.17407407407407408</v>
      </c>
      <c r="FK313" s="132">
        <f t="shared" si="229"/>
        <v>0</v>
      </c>
      <c r="FL313" s="115">
        <f t="shared" si="229"/>
        <v>-1</v>
      </c>
      <c r="FM313" s="115">
        <f t="shared" si="229"/>
        <v>0</v>
      </c>
      <c r="FN313" s="115">
        <f t="shared" si="229"/>
        <v>-1</v>
      </c>
      <c r="FO313" s="115">
        <f t="shared" si="232"/>
        <v>0</v>
      </c>
      <c r="FP313" s="115">
        <f t="shared" si="232"/>
        <v>0</v>
      </c>
      <c r="FQ313" s="149">
        <f t="shared" si="232"/>
        <v>0</v>
      </c>
      <c r="FR313" s="142">
        <f t="shared" si="232"/>
        <v>0</v>
      </c>
      <c r="FS313" s="119">
        <f t="shared" si="232"/>
        <v>0</v>
      </c>
      <c r="FT313" s="121">
        <f t="shared" si="232"/>
        <v>0</v>
      </c>
      <c r="FU313" s="121">
        <f t="shared" si="230"/>
        <v>0</v>
      </c>
      <c r="FV313" s="121">
        <f t="shared" si="230"/>
        <v>-1.1999999999999993</v>
      </c>
      <c r="FW313" s="121">
        <f t="shared" si="231"/>
        <v>152.70284027282901</v>
      </c>
      <c r="FX313" s="121">
        <f t="shared" si="233"/>
        <v>0</v>
      </c>
      <c r="FY313" s="144">
        <f t="shared" si="214"/>
        <v>0</v>
      </c>
      <c r="FZ313" s="145"/>
      <c r="GA313" s="125"/>
      <c r="GB313" s="145"/>
      <c r="GC313" s="125"/>
      <c r="GD313" s="997" t="s">
        <v>202</v>
      </c>
      <c r="GE313" s="1004"/>
      <c r="GF313" s="1004">
        <v>0</v>
      </c>
      <c r="GG313" s="1004"/>
      <c r="GH313" s="1004">
        <v>0</v>
      </c>
      <c r="GI313" s="145"/>
      <c r="GJ313" s="996">
        <v>0</v>
      </c>
      <c r="GK313" s="145"/>
      <c r="GL313" s="996">
        <v>-0.64993983999999827</v>
      </c>
      <c r="GM313" s="1005" t="s">
        <v>199</v>
      </c>
      <c r="GN313" s="996">
        <v>2.0878598399999984</v>
      </c>
      <c r="GO313" s="1006" t="s">
        <v>241</v>
      </c>
      <c r="GP313" s="996">
        <v>-2.2321200000000001</v>
      </c>
      <c r="GQ313" s="1006"/>
      <c r="GR313" s="996">
        <v>0.91542000000000101</v>
      </c>
      <c r="GS313" s="1006"/>
      <c r="GT313" s="996">
        <v>0.22081936799999902</v>
      </c>
      <c r="GU313" s="1006"/>
      <c r="GV313" s="996">
        <v>-0.2283433679999991</v>
      </c>
      <c r="GW313" s="1006" t="s">
        <v>204</v>
      </c>
      <c r="GX313" s="1035">
        <v>-5.4248040000000017</v>
      </c>
      <c r="GY313" s="1006" t="s">
        <v>199</v>
      </c>
      <c r="GZ313" s="996">
        <v>1.6734462800000003</v>
      </c>
      <c r="HA313" s="1006" t="s">
        <v>199</v>
      </c>
      <c r="HB313" s="996">
        <v>4.47366172</v>
      </c>
      <c r="HC313" s="1006" t="s">
        <v>223</v>
      </c>
      <c r="HD313" s="996">
        <v>-0.92795999999999967</v>
      </c>
      <c r="HE313" s="1006" t="s">
        <v>223</v>
      </c>
      <c r="HF313" s="996">
        <v>-1.8308399999999985</v>
      </c>
      <c r="HG313" s="1006"/>
      <c r="HH313" s="996">
        <v>0.71270086799999888</v>
      </c>
      <c r="HI313" s="1006"/>
      <c r="HJ313" s="996">
        <v>0</v>
      </c>
      <c r="HK313" s="1006" t="s">
        <v>199</v>
      </c>
      <c r="HL313" s="996">
        <v>-3.6228085079999985</v>
      </c>
      <c r="HM313" s="1006" t="s">
        <v>276</v>
      </c>
      <c r="HN313" s="996">
        <v>0.80325638799999766</v>
      </c>
      <c r="HO313" s="1006"/>
      <c r="HP313" s="996">
        <v>0</v>
      </c>
      <c r="HQ313" s="1006"/>
      <c r="HR313" s="996">
        <v>0</v>
      </c>
      <c r="HS313" s="1006"/>
      <c r="HT313" s="996">
        <v>0</v>
      </c>
      <c r="HU313" s="1006" t="s">
        <v>199</v>
      </c>
      <c r="HV313" s="996">
        <v>-1.8571681480000013</v>
      </c>
      <c r="HW313" s="1006" t="s">
        <v>199</v>
      </c>
      <c r="HX313" s="996">
        <v>-1.2978883279999973</v>
      </c>
      <c r="HY313" s="1006" t="s">
        <v>203</v>
      </c>
      <c r="HZ313" s="996">
        <v>-6.0363129200000003</v>
      </c>
      <c r="IA313" s="1006" t="s">
        <v>203</v>
      </c>
      <c r="IB313" s="996">
        <v>-1.7703319919999991</v>
      </c>
      <c r="IC313" s="1006" t="s">
        <v>203</v>
      </c>
      <c r="ID313" s="996">
        <v>13.988152639999999</v>
      </c>
      <c r="IE313" s="1006"/>
      <c r="IF313" s="996">
        <v>0</v>
      </c>
      <c r="IG313" s="1006"/>
      <c r="IH313" s="996">
        <v>0</v>
      </c>
      <c r="II313" s="1006"/>
      <c r="IJ313" s="996">
        <v>0</v>
      </c>
      <c r="IK313" s="1006"/>
      <c r="IL313" s="996">
        <v>0</v>
      </c>
      <c r="IM313" s="1006" t="s">
        <v>199</v>
      </c>
      <c r="IN313" s="996">
        <v>8.2763999999999989</v>
      </c>
      <c r="IO313" s="1006" t="s">
        <v>199</v>
      </c>
      <c r="IP313" s="996">
        <v>-3.3243539999999996</v>
      </c>
      <c r="IQ313" s="1006"/>
      <c r="IR313" s="996">
        <v>0</v>
      </c>
      <c r="IS313" s="1006"/>
      <c r="IT313" s="996">
        <v>0</v>
      </c>
      <c r="IU313" s="1006"/>
      <c r="IV313" s="996">
        <v>0</v>
      </c>
      <c r="IW313" s="1006"/>
      <c r="IX313" s="996">
        <v>0</v>
      </c>
      <c r="IY313" s="1006"/>
      <c r="IZ313" s="996">
        <v>0</v>
      </c>
      <c r="JA313" s="1006"/>
      <c r="JB313" s="996">
        <v>0</v>
      </c>
      <c r="JC313" s="1006" t="s">
        <v>199</v>
      </c>
      <c r="JD313" s="996">
        <v>-1.1696475999999998</v>
      </c>
      <c r="JE313" s="1006"/>
      <c r="JF313" s="996">
        <v>0</v>
      </c>
      <c r="JG313" s="1006"/>
      <c r="JH313" s="996">
        <v>0</v>
      </c>
      <c r="JI313" s="1006" t="s">
        <v>223</v>
      </c>
      <c r="JJ313" s="996">
        <v>-3.4730783999999986</v>
      </c>
      <c r="JK313" s="1007"/>
      <c r="JL313" s="1007">
        <v>0</v>
      </c>
      <c r="JM313" s="1007" t="s">
        <v>199</v>
      </c>
      <c r="JN313" s="1007">
        <v>2.9928799999999987</v>
      </c>
      <c r="JO313" s="1008"/>
      <c r="JP313" s="1007">
        <v>0</v>
      </c>
      <c r="JQ313" s="1008">
        <v>0</v>
      </c>
      <c r="JR313" s="1007">
        <v>0</v>
      </c>
      <c r="JS313" s="1008" t="s">
        <v>199</v>
      </c>
      <c r="JT313" s="1007">
        <v>-2.785552</v>
      </c>
      <c r="JU313" s="1008" t="s">
        <v>199</v>
      </c>
      <c r="JV313" s="1007">
        <v>3.3874719999999998</v>
      </c>
      <c r="JW313" s="1008" t="s">
        <v>207</v>
      </c>
      <c r="JX313" s="1007">
        <v>-3.40252</v>
      </c>
      <c r="JY313" s="1008"/>
      <c r="JZ313" s="1007">
        <v>0</v>
      </c>
      <c r="KA313" s="1008"/>
      <c r="KB313" s="1007">
        <v>0</v>
      </c>
      <c r="KC313" s="1008"/>
      <c r="KD313" s="1007">
        <v>0</v>
      </c>
      <c r="KE313" s="1008" t="s">
        <v>199</v>
      </c>
      <c r="KF313" s="1007">
        <v>-5.8520000000000003</v>
      </c>
      <c r="KG313" s="1008" t="s">
        <v>203</v>
      </c>
      <c r="KH313" s="1007">
        <v>0.71895999999999916</v>
      </c>
      <c r="KI313" s="1008" t="s">
        <v>25</v>
      </c>
      <c r="KJ313" s="1007">
        <v>13.493040000000001</v>
      </c>
      <c r="KK313" s="1008"/>
      <c r="KL313" s="1007">
        <v>0</v>
      </c>
      <c r="KM313" s="1008"/>
      <c r="KN313" s="1007"/>
      <c r="KO313" s="1008"/>
      <c r="KP313" s="1007"/>
      <c r="KQ313" s="1008"/>
      <c r="KR313" s="1007"/>
      <c r="KS313" s="1008"/>
      <c r="KT313" s="1007"/>
      <c r="KU313" s="1008"/>
      <c r="KV313" s="1007"/>
      <c r="KW313" s="1008"/>
      <c r="KX313" s="1007"/>
      <c r="KY313" s="1008"/>
      <c r="KZ313" s="1007"/>
      <c r="LA313" s="1008"/>
      <c r="LB313" s="1007"/>
      <c r="LC313" s="1008"/>
      <c r="LD313" s="1007"/>
      <c r="LE313" s="1008"/>
      <c r="LF313" s="1007"/>
      <c r="LG313" s="1008"/>
      <c r="LH313" s="1007"/>
      <c r="LI313" s="1008"/>
      <c r="LJ313" s="1007"/>
      <c r="LK313" s="1008"/>
      <c r="LL313" s="1007"/>
      <c r="LM313" s="1008"/>
      <c r="LN313" s="1007"/>
      <c r="LO313" s="1008"/>
      <c r="LP313" s="1007"/>
      <c r="LQ313" s="1008"/>
      <c r="LR313" s="1007"/>
      <c r="LS313" s="1008"/>
      <c r="LT313" s="1007"/>
      <c r="LU313" s="1008"/>
      <c r="LV313" s="1007"/>
      <c r="LW313" s="1008"/>
      <c r="LX313" s="1007"/>
      <c r="LY313" s="1009"/>
      <c r="LZ313" s="1010"/>
      <c r="MA313" s="1011"/>
      <c r="MB313" s="1012"/>
      <c r="MC313" s="995"/>
      <c r="MD313" s="996"/>
      <c r="ME313" s="997" t="s">
        <v>202</v>
      </c>
      <c r="MF313" s="997"/>
      <c r="MG313" s="998"/>
      <c r="NR313" s="1000"/>
      <c r="NS313" s="1000"/>
      <c r="NT313" s="1001"/>
      <c r="NU313" s="1000"/>
      <c r="NV313" s="1001"/>
      <c r="NX313" s="1002"/>
      <c r="NZ313" s="1001"/>
      <c r="OA313" s="1001"/>
      <c r="OC313" s="1003"/>
      <c r="OD313" s="1003"/>
      <c r="OE313" s="1001"/>
      <c r="OF313" s="1003"/>
      <c r="OG313" s="1003"/>
      <c r="QX313" s="1000">
        <f>CN313-CA313</f>
        <v>28</v>
      </c>
      <c r="ASU313" s="999" t="s">
        <v>208</v>
      </c>
    </row>
    <row r="314" spans="1:466 1191:1191" ht="21" customHeight="1" x14ac:dyDescent="0.25">
      <c r="A314" s="982">
        <f t="shared" si="215"/>
        <v>1322</v>
      </c>
      <c r="B314" s="124">
        <f>SUBTOTAL(103,$J$29:J314)</f>
        <v>286</v>
      </c>
      <c r="C314" s="126">
        <v>45068</v>
      </c>
      <c r="D314" s="124" t="s">
        <v>176</v>
      </c>
      <c r="E314" s="127" t="s">
        <v>177</v>
      </c>
      <c r="F314" s="128" t="s">
        <v>177</v>
      </c>
      <c r="G314" s="127" t="s">
        <v>178</v>
      </c>
      <c r="H314" s="127" t="s">
        <v>179</v>
      </c>
      <c r="I314" s="127" t="s">
        <v>1334</v>
      </c>
      <c r="J314" s="152">
        <v>1322</v>
      </c>
      <c r="K314" s="127" t="s">
        <v>1334</v>
      </c>
      <c r="L314" s="130">
        <v>43074</v>
      </c>
      <c r="M314" s="127" t="s">
        <v>230</v>
      </c>
      <c r="N314" s="127" t="s">
        <v>184</v>
      </c>
      <c r="O314" s="127" t="s">
        <v>185</v>
      </c>
      <c r="P314" s="127" t="s">
        <v>186</v>
      </c>
      <c r="Q314" s="85">
        <f t="shared" si="249"/>
        <v>-4</v>
      </c>
      <c r="R314" s="130">
        <v>43064</v>
      </c>
      <c r="S314" s="128" t="s">
        <v>747</v>
      </c>
      <c r="T314" s="131" t="s">
        <v>1294</v>
      </c>
      <c r="U314" s="132">
        <v>203</v>
      </c>
      <c r="V314" s="121">
        <v>218.2</v>
      </c>
      <c r="W314" s="116">
        <v>0.98</v>
      </c>
      <c r="X314" s="116">
        <v>1.66</v>
      </c>
      <c r="Y314" s="116">
        <f t="shared" si="239"/>
        <v>0.98</v>
      </c>
      <c r="Z314" s="133">
        <v>1.454</v>
      </c>
      <c r="AA314" s="133">
        <v>0.83599999999999997</v>
      </c>
      <c r="AB314" s="133">
        <v>0.72</v>
      </c>
      <c r="AC314" s="121">
        <v>34.299999999999997</v>
      </c>
      <c r="AD314" s="134">
        <v>1.17</v>
      </c>
      <c r="AE314" s="124">
        <v>177.8</v>
      </c>
      <c r="AF314" s="128">
        <v>9.19</v>
      </c>
      <c r="AG314" s="128">
        <v>2270.33</v>
      </c>
      <c r="AH314" s="138">
        <v>2998.65</v>
      </c>
      <c r="AI314" s="138">
        <v>2998.65</v>
      </c>
      <c r="AJ314" s="135">
        <v>43057</v>
      </c>
      <c r="AK314" s="128" t="s">
        <v>1018</v>
      </c>
      <c r="AL314" s="131"/>
      <c r="AM314" s="124" t="s">
        <v>985</v>
      </c>
      <c r="AN314" s="136" t="s">
        <v>1345</v>
      </c>
      <c r="AO314" s="137">
        <v>9.1199999999999992</v>
      </c>
      <c r="AP314" s="128">
        <v>2363.84</v>
      </c>
      <c r="AQ314" s="128">
        <v>417.1</v>
      </c>
      <c r="AR314" s="128" t="s">
        <v>1346</v>
      </c>
      <c r="AS314" s="128">
        <v>114</v>
      </c>
      <c r="AT314" s="122">
        <v>7.37</v>
      </c>
      <c r="AU314" s="124" t="s">
        <v>189</v>
      </c>
      <c r="AV314" s="115">
        <f>VLOOKUP(J314,'[63]ТР нефть'!$J$28:$BP$638,39,0)</f>
        <v>430.00002304700001</v>
      </c>
      <c r="AW314" s="115" t="str">
        <f>VLOOKUP(J314,'[63]ТР нефть'!$J$28:$BP$638,40,0)</f>
        <v>ГП</v>
      </c>
      <c r="AX314" s="115">
        <f>VLOOKUP(J314,'[63]ТР нефть'!$J$28:$BP$638,41,0)</f>
        <v>840.00000175800005</v>
      </c>
      <c r="AY314" s="115" t="str">
        <f>VLOOKUP(J314,'[63]ТР нефть'!$J$28:$BP$638,42,0)</f>
        <v>ГП</v>
      </c>
      <c r="AZ314" s="115">
        <f>VLOOKUP(J314,'[63]ТР нефть'!$J$28:$BP$638,43,0)</f>
        <v>1179.999936914</v>
      </c>
      <c r="BA314" s="115" t="str">
        <f>VLOOKUP(J314,'[63]ТР нефть'!$J$28:$BP$638,44,0)</f>
        <v>ГП</v>
      </c>
      <c r="BB314" s="115">
        <f>VLOOKUP(J314,'[63]ТР нефть'!$J$28:$BP$638,45,0)</f>
        <v>1440.000066797</v>
      </c>
      <c r="BC314" s="115" t="str">
        <f>VLOOKUP(J314,'[63]ТР нефть'!$J$28:$BP$638,46,0)</f>
        <v>ГК75 1/8</v>
      </c>
      <c r="BD314" s="115">
        <f>VLOOKUP(J314,'[63]ТР нефть'!$J$28:$BP$638,47,0)</f>
        <v>1640.0000636719999</v>
      </c>
      <c r="BE314" s="115" t="str">
        <f>VLOOKUP(J314,'[63]ТР нефть'!$J$28:$BP$638,48,0)</f>
        <v>ГК 74 5/32</v>
      </c>
      <c r="BF314" s="115">
        <f>VLOOKUP(J314,'[63]ТР нефть'!$J$28:$BP$638,49,0)</f>
        <v>1800</v>
      </c>
      <c r="BG314" s="115" t="str">
        <f>VLOOKUP(J314,'[63]ТР нефть'!$J$28:$BP$638,50,0)</f>
        <v>ЦКсОК 5/16</v>
      </c>
      <c r="BH314" s="115">
        <f>VLOOKUP(J314,'[63]ТР нефть'!$J$28:$BP$638,51,0)</f>
        <v>1970</v>
      </c>
      <c r="BI314" s="115" t="str">
        <f>VLOOKUP(J314,'[63]ТР нефть'!$J$28:$BP$638,52,0)</f>
        <v>закрыт</v>
      </c>
      <c r="BJ314" s="115" t="str">
        <f>IF(IFERROR(VLOOKUP(J314,'[63]ТР нефть'!$J$28:$BP$638,53,0),"-")=0,"-",IFERROR(VLOOKUP(J314,'[63]ТР нефть'!$J$28:$BP$638,53,0),"-"))</f>
        <v>-</v>
      </c>
      <c r="BK314" s="138" t="str">
        <f>IF(IFERROR(VLOOKUP(J314,'[63]ТР нефть'!$J$28:$BP$638,54,0),"-")=0,"-",IFERROR(VLOOKUP(J314,'[63]ТР нефть'!$J$28:$BP$638,54,0),"-"))</f>
        <v>-</v>
      </c>
      <c r="BL314" s="138" t="str">
        <f>IF(IFERROR(VLOOKUP(J314,'[63]ТР нефть'!$J$28:$BP$638,55,0),"-")=0,"-",IFERROR(VLOOKUP(J314,'[63]ТР нефть'!$J$28:$BP$638,55,0),"-"))</f>
        <v>-</v>
      </c>
      <c r="BM314" s="138" t="str">
        <f>IF(IFERROR(VLOOKUP(J314,'[63]ТР нефть'!$J$28:$BP$638,56,0),"-")=0,"-",IFERROR(VLOOKUP(J314,'[63]ТР нефть'!$J$28:$BP$638,56,0),"-"))</f>
        <v>-</v>
      </c>
      <c r="BN314" s="138" t="str">
        <f>IF(IFERROR(VLOOKUP(J314,'[63]ТР нефть'!$J$28:$BP$638,57,0),"-")=0,"-",IFERROR(VLOOKUP(J314,'[63]ТР нефть'!$J$28:$BP$638,57,0),"-"))</f>
        <v>-</v>
      </c>
      <c r="BO314" s="115" t="str">
        <f>IF(IFERROR(VLOOKUP(J314,'[63]ТР нефть'!$J$28:$BP$638,58,0),"-")=0,"-",IFERROR(VLOOKUP(J314,'[63]ТР нефть'!$J$28:$BP$638,58,0),"-"))</f>
        <v>-</v>
      </c>
      <c r="BP314" s="115" t="str">
        <f>IF(IFERROR(VLOOKUP(J314,'[63]ТР нефть'!$J$28:$BP$638,59,0),"-")=0,"-",IFERROR(VLOOKUP(J314,'[63]ТР нефть'!$J$28:$BP$638,59,0),"-"))</f>
        <v>-</v>
      </c>
      <c r="BQ314" s="138">
        <v>2210</v>
      </c>
      <c r="BR314" s="128">
        <v>2210</v>
      </c>
      <c r="BS314" s="115">
        <f t="shared" si="211"/>
        <v>0</v>
      </c>
      <c r="BT314" s="128">
        <v>73</v>
      </c>
      <c r="BU314" s="128">
        <v>5.5</v>
      </c>
      <c r="BV314" s="127">
        <v>65</v>
      </c>
      <c r="BW314" s="127" t="s">
        <v>217</v>
      </c>
      <c r="BX314" s="127" t="s">
        <v>218</v>
      </c>
      <c r="BY314" s="139">
        <v>24</v>
      </c>
      <c r="BZ314" s="139">
        <v>48</v>
      </c>
      <c r="CA314" s="138">
        <v>11</v>
      </c>
      <c r="CB314" s="138">
        <v>28</v>
      </c>
      <c r="CC314" s="138">
        <v>10</v>
      </c>
      <c r="CD314" s="135">
        <v>45017</v>
      </c>
      <c r="CE314" s="138">
        <v>130</v>
      </c>
      <c r="CF314" s="138">
        <v>70</v>
      </c>
      <c r="CG314" s="138" t="str">
        <f t="shared" si="251"/>
        <v>В работе</v>
      </c>
      <c r="CH314" s="138" t="s">
        <v>272</v>
      </c>
      <c r="CI314" s="127">
        <v>5</v>
      </c>
      <c r="CJ314" s="138"/>
      <c r="CK314" s="138">
        <f t="shared" si="207"/>
        <v>24</v>
      </c>
      <c r="CL314" s="99"/>
      <c r="CM314" s="99"/>
      <c r="CN314" s="140">
        <v>35</v>
      </c>
      <c r="CO314" s="141">
        <f t="shared" si="216"/>
        <v>3.5112000000000001</v>
      </c>
      <c r="CP314" s="142">
        <v>4.2</v>
      </c>
      <c r="CQ314" s="143">
        <v>0</v>
      </c>
      <c r="CR314" s="138">
        <v>4.8</v>
      </c>
      <c r="CS314" s="139">
        <v>1.2</v>
      </c>
      <c r="CT314" s="138"/>
      <c r="CU314" s="138">
        <f t="shared" si="235"/>
        <v>3.5999999999999996</v>
      </c>
      <c r="CV314" s="115">
        <f t="shared" si="236"/>
        <v>1025.2904989747094</v>
      </c>
      <c r="CW314" s="115">
        <f t="shared" si="217"/>
        <v>341.76349965823647</v>
      </c>
      <c r="CX314" s="133">
        <f t="shared" si="237"/>
        <v>4.4210526315789478E-2</v>
      </c>
      <c r="CY314" s="116"/>
      <c r="CZ314" s="131"/>
      <c r="DA314" s="145" t="str">
        <f t="shared" si="218"/>
        <v>Газлифт</v>
      </c>
      <c r="DB314" s="146">
        <f t="shared" si="219"/>
        <v>3.5112000000000001</v>
      </c>
      <c r="DC314" s="142">
        <f t="shared" si="234"/>
        <v>4.2</v>
      </c>
      <c r="DD314" s="119">
        <f t="shared" si="250"/>
        <v>0</v>
      </c>
      <c r="DE314" s="115">
        <f t="shared" si="220"/>
        <v>3.5999999999999996</v>
      </c>
      <c r="DF314" s="121">
        <f t="shared" si="221"/>
        <v>1.2</v>
      </c>
      <c r="DG314" s="115">
        <f t="shared" si="222"/>
        <v>1025.2904989747094</v>
      </c>
      <c r="DH314" s="115">
        <f t="shared" si="223"/>
        <v>35</v>
      </c>
      <c r="DI314" s="147"/>
      <c r="DJ314" s="111">
        <v>43560</v>
      </c>
      <c r="DK314" s="112">
        <v>43169</v>
      </c>
      <c r="DL314" s="113">
        <f t="shared" ca="1" si="240"/>
        <v>1935</v>
      </c>
      <c r="DM314" s="114"/>
      <c r="DN314" s="114"/>
      <c r="DO314" s="114"/>
      <c r="DP314" s="114"/>
      <c r="DQ314" s="112">
        <v>43074</v>
      </c>
      <c r="DR314" s="114" t="s">
        <v>324</v>
      </c>
      <c r="DS314" s="114"/>
      <c r="DT314" s="115">
        <v>50</v>
      </c>
      <c r="DU314" s="116">
        <f t="shared" si="241"/>
        <v>5.2500000000000005E-2</v>
      </c>
      <c r="DV314" s="117">
        <f t="shared" si="242"/>
        <v>3.5112000000000001</v>
      </c>
      <c r="DW314" s="118">
        <f t="shared" si="243"/>
        <v>4.2</v>
      </c>
      <c r="DX314" s="119">
        <f t="shared" si="224"/>
        <v>0</v>
      </c>
      <c r="DY314" s="115">
        <f t="shared" si="244"/>
        <v>3.6</v>
      </c>
      <c r="DZ314" s="117">
        <f t="shared" si="245"/>
        <v>0</v>
      </c>
      <c r="EA314" s="120">
        <f t="shared" si="245"/>
        <v>0</v>
      </c>
      <c r="EB314" s="119">
        <f t="shared" si="245"/>
        <v>0</v>
      </c>
      <c r="EC314" s="121">
        <f t="shared" si="246"/>
        <v>0</v>
      </c>
      <c r="ED314" s="122"/>
      <c r="EE314" s="145">
        <v>65</v>
      </c>
      <c r="EF314" s="115">
        <v>11</v>
      </c>
      <c r="EG314" s="115">
        <v>32</v>
      </c>
      <c r="EH314" s="115">
        <v>10</v>
      </c>
      <c r="EI314" s="128" t="s">
        <v>218</v>
      </c>
      <c r="EJ314" s="121">
        <v>24</v>
      </c>
      <c r="EK314" s="121">
        <v>72</v>
      </c>
      <c r="EL314" s="149">
        <v>3.5112000000000001</v>
      </c>
      <c r="EM314" s="142">
        <v>4.2</v>
      </c>
      <c r="EN314" s="119">
        <v>0</v>
      </c>
      <c r="EO314" s="115">
        <v>4.8</v>
      </c>
      <c r="EP314" s="115">
        <v>1025.2904989747094</v>
      </c>
      <c r="EQ314" s="115">
        <v>70</v>
      </c>
      <c r="ER314" s="115">
        <v>1.2</v>
      </c>
      <c r="ES314" s="115">
        <v>39</v>
      </c>
      <c r="ET314" s="150">
        <v>4.6153846153846156E-2</v>
      </c>
      <c r="EU314" s="145">
        <f t="shared" si="225"/>
        <v>65</v>
      </c>
      <c r="EV314" s="115">
        <f t="shared" si="226"/>
        <v>11</v>
      </c>
      <c r="EW314" s="115">
        <f t="shared" si="226"/>
        <v>28</v>
      </c>
      <c r="EX314" s="115">
        <f t="shared" si="226"/>
        <v>10</v>
      </c>
      <c r="EY314" s="115" t="str">
        <f t="shared" si="206"/>
        <v>Периодический</v>
      </c>
      <c r="EZ314" s="115">
        <f t="shared" si="206"/>
        <v>24</v>
      </c>
      <c r="FA314" s="115">
        <f t="shared" si="206"/>
        <v>48</v>
      </c>
      <c r="FB314" s="149">
        <f t="shared" si="238"/>
        <v>3.5112000000000001</v>
      </c>
      <c r="FC314" s="142">
        <f t="shared" si="238"/>
        <v>4.2</v>
      </c>
      <c r="FD314" s="119">
        <f t="shared" si="238"/>
        <v>0</v>
      </c>
      <c r="FE314" s="121">
        <f t="shared" si="208"/>
        <v>4.8</v>
      </c>
      <c r="FF314" s="121">
        <f t="shared" si="247"/>
        <v>1025.2904989747094</v>
      </c>
      <c r="FG314" s="121">
        <f t="shared" si="227"/>
        <v>70</v>
      </c>
      <c r="FH314" s="121">
        <f t="shared" si="248"/>
        <v>1.2</v>
      </c>
      <c r="FI314" s="121">
        <f t="shared" si="205"/>
        <v>35</v>
      </c>
      <c r="FJ314" s="144">
        <f t="shared" si="228"/>
        <v>4.4210526315789478E-2</v>
      </c>
      <c r="FK314" s="132">
        <f t="shared" si="229"/>
        <v>0</v>
      </c>
      <c r="FL314" s="115">
        <f t="shared" si="229"/>
        <v>0</v>
      </c>
      <c r="FM314" s="115">
        <f t="shared" si="229"/>
        <v>-4</v>
      </c>
      <c r="FN314" s="115">
        <f t="shared" si="229"/>
        <v>0</v>
      </c>
      <c r="FO314" s="115">
        <f t="shared" si="232"/>
        <v>0</v>
      </c>
      <c r="FP314" s="115">
        <f t="shared" si="232"/>
        <v>-24</v>
      </c>
      <c r="FQ314" s="149">
        <f t="shared" si="232"/>
        <v>0</v>
      </c>
      <c r="FR314" s="142">
        <f t="shared" si="232"/>
        <v>0</v>
      </c>
      <c r="FS314" s="119">
        <f t="shared" si="232"/>
        <v>0</v>
      </c>
      <c r="FT314" s="121">
        <f t="shared" si="232"/>
        <v>0</v>
      </c>
      <c r="FU314" s="121">
        <f t="shared" si="230"/>
        <v>0</v>
      </c>
      <c r="FV314" s="121">
        <f t="shared" si="230"/>
        <v>0</v>
      </c>
      <c r="FW314" s="121">
        <f t="shared" si="231"/>
        <v>0</v>
      </c>
      <c r="FX314" s="121">
        <f t="shared" si="233"/>
        <v>-4</v>
      </c>
      <c r="FY314" s="144">
        <f t="shared" si="214"/>
        <v>-1.9433198380566785E-3</v>
      </c>
      <c r="FZ314" s="145"/>
      <c r="GA314" s="125"/>
      <c r="GB314" s="145"/>
      <c r="GC314" s="125"/>
      <c r="GD314" s="997" t="s">
        <v>202</v>
      </c>
      <c r="GE314" s="1004"/>
      <c r="GF314" s="1004">
        <v>0</v>
      </c>
      <c r="GG314" s="1004"/>
      <c r="GH314" s="1004">
        <v>0</v>
      </c>
      <c r="GI314" s="145"/>
      <c r="GJ314" s="996">
        <v>0</v>
      </c>
      <c r="GK314" s="145"/>
      <c r="GL314" s="996">
        <v>0</v>
      </c>
      <c r="GM314" s="1005" t="s">
        <v>240</v>
      </c>
      <c r="GN314" s="996">
        <v>-3.0617709980000005</v>
      </c>
      <c r="GO314" s="1006"/>
      <c r="GP314" s="996">
        <v>0</v>
      </c>
      <c r="GQ314" s="1006"/>
      <c r="GR314" s="996">
        <v>0</v>
      </c>
      <c r="GS314" s="1006"/>
      <c r="GT314" s="996">
        <v>-0.86742900199999973</v>
      </c>
      <c r="GU314" s="1006" t="s">
        <v>204</v>
      </c>
      <c r="GV314" s="996">
        <v>-4.9323999999999995</v>
      </c>
      <c r="GW314" s="1006" t="s">
        <v>199</v>
      </c>
      <c r="GX314" s="1035">
        <v>5.8302640000000006</v>
      </c>
      <c r="GY314" s="1006"/>
      <c r="GZ314" s="996">
        <v>0.86144951200000008</v>
      </c>
      <c r="HA314" s="1006"/>
      <c r="HB314" s="996">
        <v>-0.58891351200000042</v>
      </c>
      <c r="HC314" s="1006"/>
      <c r="HD314" s="996">
        <v>0</v>
      </c>
      <c r="HE314" s="1006"/>
      <c r="HF314" s="996">
        <v>-0.47652000000000072</v>
      </c>
      <c r="HG314" s="1006"/>
      <c r="HH314" s="996">
        <v>0.15208930000000098</v>
      </c>
      <c r="HI314" s="1006"/>
      <c r="HJ314" s="996">
        <v>-0.2965542800000005</v>
      </c>
      <c r="HK314" s="1006" t="s">
        <v>276</v>
      </c>
      <c r="HL314" s="996">
        <v>1.8749849799999998</v>
      </c>
      <c r="HM314" s="1006"/>
      <c r="HN314" s="996">
        <v>-0.75239999999999974</v>
      </c>
      <c r="HO314" s="1006"/>
      <c r="HP314" s="996">
        <v>0</v>
      </c>
      <c r="HQ314" s="1006"/>
      <c r="HR314" s="996">
        <v>0</v>
      </c>
      <c r="HS314" s="1006"/>
      <c r="HT314" s="996">
        <v>0</v>
      </c>
      <c r="HU314" s="1006"/>
      <c r="HV314" s="996">
        <v>-0.75239999999999974</v>
      </c>
      <c r="HW314" s="1006"/>
      <c r="HX314" s="996">
        <v>-0.13505078400000059</v>
      </c>
      <c r="HY314" s="1006"/>
      <c r="HZ314" s="996">
        <v>0</v>
      </c>
      <c r="IA314" s="1006" t="s">
        <v>199</v>
      </c>
      <c r="IB314" s="996">
        <v>-2.2714588159999991</v>
      </c>
      <c r="IC314" s="1006"/>
      <c r="ID314" s="996">
        <v>0</v>
      </c>
      <c r="IE314" s="1006" t="s">
        <v>199</v>
      </c>
      <c r="IF314" s="996">
        <v>2.6698495999999992</v>
      </c>
      <c r="IG314" s="1006"/>
      <c r="IH314" s="996">
        <v>-0.58402959999999826</v>
      </c>
      <c r="II314" s="1006"/>
      <c r="IJ314" s="996">
        <v>0.16686559999999862</v>
      </c>
      <c r="IK314" s="1006"/>
      <c r="IL314" s="996">
        <v>0</v>
      </c>
      <c r="IM314" s="1006"/>
      <c r="IN314" s="996">
        <v>0</v>
      </c>
      <c r="IO314" s="1006"/>
      <c r="IP314" s="996">
        <v>0</v>
      </c>
      <c r="IQ314" s="1006" t="s">
        <v>199</v>
      </c>
      <c r="IR314" s="996">
        <v>-2.5029839999999997</v>
      </c>
      <c r="IS314" s="1006"/>
      <c r="IT314" s="996">
        <v>0</v>
      </c>
      <c r="IU314" s="1006"/>
      <c r="IV314" s="996">
        <v>0</v>
      </c>
      <c r="IW314" s="1006"/>
      <c r="IX314" s="996">
        <v>0</v>
      </c>
      <c r="IY314" s="1006"/>
      <c r="IZ314" s="996">
        <v>0</v>
      </c>
      <c r="JA314" s="1006" t="s">
        <v>199</v>
      </c>
      <c r="JB314" s="996">
        <v>3.3373119999999998</v>
      </c>
      <c r="JC314" s="1006"/>
      <c r="JD314" s="996">
        <v>0</v>
      </c>
      <c r="JE314" s="1006"/>
      <c r="JF314" s="996">
        <v>0</v>
      </c>
      <c r="JG314" s="1006"/>
      <c r="JH314" s="996">
        <v>0</v>
      </c>
      <c r="JI314" s="1006"/>
      <c r="JJ314" s="996">
        <v>0.23642079999999943</v>
      </c>
      <c r="JK314" s="1007"/>
      <c r="JL314" s="1007">
        <v>0</v>
      </c>
      <c r="JM314" s="1007"/>
      <c r="JN314" s="1007">
        <v>0</v>
      </c>
      <c r="JO314" s="1008"/>
      <c r="JP314" s="1007">
        <v>0</v>
      </c>
      <c r="JQ314" s="1008">
        <v>0</v>
      </c>
      <c r="JR314" s="1007">
        <v>0</v>
      </c>
      <c r="JS314" s="1008" t="s">
        <v>199</v>
      </c>
      <c r="JT314" s="1007">
        <v>-1.9813852079999998</v>
      </c>
      <c r="JU314" s="1008" t="s">
        <v>199</v>
      </c>
      <c r="JV314" s="1007">
        <v>-4.9547395919999992</v>
      </c>
      <c r="JW314" s="1008" t="s">
        <v>197</v>
      </c>
      <c r="JX314" s="1007">
        <v>0</v>
      </c>
      <c r="JY314" s="1008"/>
      <c r="JZ314" s="1007">
        <v>0</v>
      </c>
      <c r="KA314" s="1008" t="s">
        <v>240</v>
      </c>
      <c r="KB314" s="1007">
        <v>-2.0063999999999993</v>
      </c>
      <c r="KC314" s="1008"/>
      <c r="KD314" s="1007">
        <v>0</v>
      </c>
      <c r="KE314" s="1008"/>
      <c r="KF314" s="1007">
        <v>0</v>
      </c>
      <c r="KG314" s="1008" t="s">
        <v>207</v>
      </c>
      <c r="KH314" s="1007">
        <v>1.0031999999999996</v>
      </c>
      <c r="KI314" s="1008" t="s">
        <v>207</v>
      </c>
      <c r="KJ314" s="1007">
        <v>-7.2731999999999992</v>
      </c>
      <c r="KK314" s="1008" t="s">
        <v>223</v>
      </c>
      <c r="KL314" s="1007">
        <v>-4.2636000000000003</v>
      </c>
      <c r="KM314" s="1008"/>
      <c r="KN314" s="1007">
        <v>0</v>
      </c>
      <c r="KO314" s="1008" t="s">
        <v>240</v>
      </c>
      <c r="KP314" s="1007">
        <v>-22.2376</v>
      </c>
      <c r="KQ314" s="1008">
        <v>0</v>
      </c>
      <c r="KR314" s="1007">
        <v>0</v>
      </c>
      <c r="KS314" s="1008" t="s">
        <v>199</v>
      </c>
      <c r="KT314" s="1007">
        <v>16.051200000000001</v>
      </c>
      <c r="KU314" s="1008" t="s">
        <v>199</v>
      </c>
      <c r="KV314" s="1007">
        <v>-16.051200000000001</v>
      </c>
      <c r="KW314" s="1008">
        <v>0</v>
      </c>
      <c r="KX314" s="1007">
        <v>0</v>
      </c>
      <c r="KY314" s="1008" t="s">
        <v>224</v>
      </c>
      <c r="KZ314" s="1007">
        <v>47.317599999999999</v>
      </c>
      <c r="LA314" s="1008">
        <v>0</v>
      </c>
      <c r="LB314" s="1007">
        <v>0</v>
      </c>
      <c r="LC314" s="1008">
        <v>0</v>
      </c>
      <c r="LD314" s="1007">
        <v>0</v>
      </c>
      <c r="LE314" s="1008" t="s">
        <v>25</v>
      </c>
      <c r="LF314" s="1007">
        <v>50.995999999999995</v>
      </c>
      <c r="LG314" s="1008">
        <v>0</v>
      </c>
      <c r="LH314" s="1007">
        <v>5.9960000000000004</v>
      </c>
      <c r="LI314" s="1008">
        <v>0</v>
      </c>
      <c r="LJ314" s="1007">
        <v>0</v>
      </c>
      <c r="LK314" s="1008">
        <v>0</v>
      </c>
      <c r="LL314" s="1007">
        <v>0</v>
      </c>
      <c r="LM314" s="1008">
        <v>0</v>
      </c>
      <c r="LN314" s="1007">
        <v>0</v>
      </c>
      <c r="LO314" s="1008">
        <v>0</v>
      </c>
      <c r="LP314" s="1007">
        <v>0</v>
      </c>
      <c r="LQ314" s="1008">
        <v>0</v>
      </c>
      <c r="LR314" s="1007">
        <v>0</v>
      </c>
      <c r="LS314" s="1008">
        <v>0</v>
      </c>
      <c r="LT314" s="1007">
        <v>0</v>
      </c>
      <c r="LU314" s="1008">
        <v>0</v>
      </c>
      <c r="LV314" s="1007">
        <v>0</v>
      </c>
      <c r="LW314" s="1008">
        <v>0</v>
      </c>
      <c r="LX314" s="1007">
        <v>0</v>
      </c>
      <c r="LY314" s="1009">
        <v>0</v>
      </c>
      <c r="LZ314" s="1010">
        <v>0</v>
      </c>
      <c r="MA314" s="1011">
        <v>0</v>
      </c>
      <c r="MB314" s="1012">
        <v>0</v>
      </c>
      <c r="MC314" s="995"/>
      <c r="MD314" s="996"/>
      <c r="ME314" s="997" t="s">
        <v>202</v>
      </c>
      <c r="MF314" s="997"/>
      <c r="MG314" s="998"/>
      <c r="NR314" s="1000"/>
      <c r="NS314" s="1000"/>
      <c r="NT314" s="1001"/>
      <c r="NU314" s="1000"/>
      <c r="NV314" s="1001"/>
      <c r="NX314" s="1002"/>
      <c r="NZ314" s="1001"/>
      <c r="OA314" s="1001"/>
      <c r="OC314" s="1003"/>
      <c r="OD314" s="1003"/>
      <c r="OE314" s="1001"/>
      <c r="OF314" s="1003"/>
      <c r="OG314" s="1003"/>
      <c r="QX314" s="1000">
        <f>CN314-CA314</f>
        <v>24</v>
      </c>
      <c r="ASU314" s="999" t="s">
        <v>208</v>
      </c>
    </row>
    <row r="315" spans="1:466 1191:1191" ht="21" customHeight="1" x14ac:dyDescent="0.25">
      <c r="A315" s="982">
        <f t="shared" si="215"/>
        <v>1323</v>
      </c>
      <c r="B315" s="124">
        <f>SUBTOTAL(103,$J$29:J315)</f>
        <v>287</v>
      </c>
      <c r="C315" s="126">
        <v>45068</v>
      </c>
      <c r="D315" s="124" t="s">
        <v>176</v>
      </c>
      <c r="E315" s="127" t="s">
        <v>177</v>
      </c>
      <c r="F315" s="128" t="s">
        <v>177</v>
      </c>
      <c r="G315" s="127" t="s">
        <v>178</v>
      </c>
      <c r="H315" s="127" t="s">
        <v>179</v>
      </c>
      <c r="I315" s="127" t="s">
        <v>1132</v>
      </c>
      <c r="J315" s="152">
        <v>1323</v>
      </c>
      <c r="K315" s="127" t="s">
        <v>1132</v>
      </c>
      <c r="L315" s="130">
        <v>42562</v>
      </c>
      <c r="M315" s="127" t="s">
        <v>230</v>
      </c>
      <c r="N315" s="127" t="s">
        <v>184</v>
      </c>
      <c r="O315" s="127" t="s">
        <v>185</v>
      </c>
      <c r="P315" s="127" t="s">
        <v>186</v>
      </c>
      <c r="Q315" s="85" t="str">
        <f t="shared" si="249"/>
        <v/>
      </c>
      <c r="R315" s="130"/>
      <c r="S315" s="128"/>
      <c r="T315" s="131"/>
      <c r="U315" s="132">
        <v>203</v>
      </c>
      <c r="V315" s="121">
        <v>218.2</v>
      </c>
      <c r="W315" s="116">
        <v>0.98</v>
      </c>
      <c r="X315" s="116">
        <v>1.66</v>
      </c>
      <c r="Y315" s="116">
        <f t="shared" si="239"/>
        <v>0.98</v>
      </c>
      <c r="Z315" s="133">
        <v>1.454</v>
      </c>
      <c r="AA315" s="133">
        <v>0.83599999999999997</v>
      </c>
      <c r="AB315" s="133">
        <v>0.72</v>
      </c>
      <c r="AC315" s="121">
        <v>34.299999999999997</v>
      </c>
      <c r="AD315" s="134">
        <v>1.17</v>
      </c>
      <c r="AE315" s="124">
        <v>177.8</v>
      </c>
      <c r="AF315" s="128">
        <v>9.19</v>
      </c>
      <c r="AG315" s="128">
        <v>2047.5</v>
      </c>
      <c r="AH315" s="138">
        <v>2700</v>
      </c>
      <c r="AI315" s="138">
        <v>2700</v>
      </c>
      <c r="AJ315" s="135"/>
      <c r="AK315" s="128"/>
      <c r="AL315" s="131"/>
      <c r="AM315" s="124" t="s">
        <v>232</v>
      </c>
      <c r="AN315" s="206" t="s">
        <v>1347</v>
      </c>
      <c r="AO315" s="137">
        <v>46.37</v>
      </c>
      <c r="AP315" s="128">
        <v>2450</v>
      </c>
      <c r="AQ315" s="128">
        <v>567</v>
      </c>
      <c r="AR315" s="128"/>
      <c r="AS315" s="128"/>
      <c r="AT315" s="122"/>
      <c r="AU315" s="124" t="s">
        <v>189</v>
      </c>
      <c r="AV315" s="115">
        <f>VLOOKUP(J315,'[63]ТР нефть'!$J$28:$BP$638,39,0)</f>
        <v>396.00001464799999</v>
      </c>
      <c r="AW315" s="115" t="str">
        <f>VLOOKUP(J315,'[63]ТР нефть'!$J$28:$BP$638,40,0)</f>
        <v>ГП</v>
      </c>
      <c r="AX315" s="115">
        <f>VLOOKUP(J315,'[63]ТР нефть'!$J$28:$BP$638,41,0)</f>
        <v>743.99998242200002</v>
      </c>
      <c r="AY315" s="115" t="str">
        <f>VLOOKUP(J315,'[63]ТР нефть'!$J$28:$BP$638,42,0)</f>
        <v>ГП</v>
      </c>
      <c r="AZ315" s="115">
        <f>VLOOKUP(J315,'[63]ТР нефть'!$J$28:$BP$638,43,0)</f>
        <v>1045.00002832</v>
      </c>
      <c r="BA315" s="115" t="str">
        <f>VLOOKUP(J315,'[63]ТР нефть'!$J$28:$BP$638,44,0)</f>
        <v>ГП</v>
      </c>
      <c r="BB315" s="115">
        <f>VLOOKUP(J315,'[63]ТР нефть'!$J$28:$BP$638,45,0)</f>
        <v>1304.0000332029999</v>
      </c>
      <c r="BC315" s="115" t="str">
        <f>VLOOKUP(J315,'[63]ТР нефть'!$J$28:$BP$638,46,0)</f>
        <v>ГК74 1/8</v>
      </c>
      <c r="BD315" s="115">
        <f>VLOOKUP(J315,'[63]ТР нефть'!$J$28:$BP$638,47,0)</f>
        <v>1529.000029688</v>
      </c>
      <c r="BE315" s="115" t="str">
        <f>VLOOKUP(J315,'[63]ТР нефть'!$J$28:$BP$638,48,0)</f>
        <v>ГК73 5/32</v>
      </c>
      <c r="BF315" s="115">
        <f>VLOOKUP(J315,'[63]ТР нефть'!$J$28:$BP$638,49,0)</f>
        <v>1720</v>
      </c>
      <c r="BG315" s="115" t="str">
        <f>VLOOKUP(J315,'[63]ТР нефть'!$J$28:$BP$638,50,0)</f>
        <v>ЦКсОК 5/16</v>
      </c>
      <c r="BH315" s="115">
        <f>VLOOKUP(J315,'[63]ТР нефть'!$J$28:$BP$638,51,0)</f>
        <v>1730</v>
      </c>
      <c r="BI315" s="115" t="str">
        <f>VLOOKUP(J315,'[63]ТР нефть'!$J$28:$BP$638,52,0)</f>
        <v>закрыт</v>
      </c>
      <c r="BJ315" s="115" t="str">
        <f>IF(IFERROR(VLOOKUP(J315,'[63]ТР нефть'!$J$28:$BP$638,53,0),"-")=0,"-",IFERROR(VLOOKUP(J315,'[63]ТР нефть'!$J$28:$BP$638,53,0),"-"))</f>
        <v>-</v>
      </c>
      <c r="BK315" s="138" t="str">
        <f>IF(IFERROR(VLOOKUP(J315,'[63]ТР нефть'!$J$28:$BP$638,54,0),"-")=0,"-",IFERROR(VLOOKUP(J315,'[63]ТР нефть'!$J$28:$BP$638,54,0),"-"))</f>
        <v>-</v>
      </c>
      <c r="BL315" s="138" t="str">
        <f>IF(IFERROR(VLOOKUP(J315,'[63]ТР нефть'!$J$28:$BP$638,55,0),"-")=0,"-",IFERROR(VLOOKUP(J315,'[63]ТР нефть'!$J$28:$BP$638,55,0),"-"))</f>
        <v>-</v>
      </c>
      <c r="BM315" s="138" t="str">
        <f>IF(IFERROR(VLOOKUP(J315,'[63]ТР нефть'!$J$28:$BP$638,56,0),"-")=0,"-",IFERROR(VLOOKUP(J315,'[63]ТР нефть'!$J$28:$BP$638,56,0),"-"))</f>
        <v>-</v>
      </c>
      <c r="BN315" s="138" t="str">
        <f>IF(IFERROR(VLOOKUP(J315,'[63]ТР нефть'!$J$28:$BP$638,57,0),"-")=0,"-",IFERROR(VLOOKUP(J315,'[63]ТР нефть'!$J$28:$BP$638,57,0),"-"))</f>
        <v>-</v>
      </c>
      <c r="BO315" s="115" t="str">
        <f>IF(IFERROR(VLOOKUP(J315,'[63]ТР нефть'!$J$28:$BP$638,58,0),"-")=0,"-",IFERROR(VLOOKUP(J315,'[63]ТР нефть'!$J$28:$BP$638,58,0),"-"))</f>
        <v>-</v>
      </c>
      <c r="BP315" s="115" t="str">
        <f>IF(IFERROR(VLOOKUP(J315,'[63]ТР нефть'!$J$28:$BP$638,59,0),"-")=0,"-",IFERROR(VLOOKUP(J315,'[63]ТР нефть'!$J$28:$BP$638,59,0),"-"))</f>
        <v>-</v>
      </c>
      <c r="BQ315" s="138">
        <v>1890</v>
      </c>
      <c r="BR315" s="128">
        <f>1629.74+173.6</f>
        <v>1803.34</v>
      </c>
      <c r="BS315" s="115">
        <f t="shared" si="211"/>
        <v>86.660000000000082</v>
      </c>
      <c r="BT315" s="128">
        <v>73</v>
      </c>
      <c r="BU315" s="128">
        <v>5.5</v>
      </c>
      <c r="BV315" s="127">
        <v>65</v>
      </c>
      <c r="BW315" s="127" t="s">
        <v>217</v>
      </c>
      <c r="BX315" s="127" t="s">
        <v>195</v>
      </c>
      <c r="BY315" s="139">
        <v>24</v>
      </c>
      <c r="BZ315" s="139">
        <v>0</v>
      </c>
      <c r="CA315" s="138">
        <v>24</v>
      </c>
      <c r="CB315" s="138">
        <v>54</v>
      </c>
      <c r="CC315" s="138">
        <v>23</v>
      </c>
      <c r="CD315" s="135">
        <v>45017</v>
      </c>
      <c r="CE315" s="138">
        <v>121</v>
      </c>
      <c r="CF315" s="138">
        <v>72</v>
      </c>
      <c r="CG315" s="138" t="str">
        <f t="shared" si="251"/>
        <v>В работе</v>
      </c>
      <c r="CH315" s="138" t="s">
        <v>235</v>
      </c>
      <c r="CI315" s="127"/>
      <c r="CJ315" s="138"/>
      <c r="CK315" s="138">
        <f t="shared" si="207"/>
        <v>58</v>
      </c>
      <c r="CL315" s="99"/>
      <c r="CM315" s="99"/>
      <c r="CN315" s="140">
        <v>82</v>
      </c>
      <c r="CO315" s="141">
        <f t="shared" si="216"/>
        <v>1.6719999999999999</v>
      </c>
      <c r="CP315" s="213">
        <v>2</v>
      </c>
      <c r="CQ315" s="143">
        <v>0</v>
      </c>
      <c r="CR315" s="138">
        <v>5.3</v>
      </c>
      <c r="CS315" s="139">
        <v>4.8</v>
      </c>
      <c r="CT315" s="138"/>
      <c r="CU315" s="138">
        <f t="shared" si="235"/>
        <v>0.5</v>
      </c>
      <c r="CV315" s="115">
        <f t="shared" si="236"/>
        <v>299.04306220095697</v>
      </c>
      <c r="CW315" s="115">
        <f t="shared" si="217"/>
        <v>2870.8133971291863</v>
      </c>
      <c r="CX315" s="133">
        <f t="shared" si="237"/>
        <v>5.128205128205128E-2</v>
      </c>
      <c r="CY315" s="116"/>
      <c r="CZ315" s="201"/>
      <c r="DA315" s="145" t="str">
        <f t="shared" si="218"/>
        <v>Газлифт</v>
      </c>
      <c r="DB315" s="146">
        <f t="shared" si="219"/>
        <v>1.6719999999999999</v>
      </c>
      <c r="DC315" s="142">
        <f t="shared" si="234"/>
        <v>2</v>
      </c>
      <c r="DD315" s="119">
        <f t="shared" si="250"/>
        <v>0</v>
      </c>
      <c r="DE315" s="115">
        <f t="shared" si="220"/>
        <v>0.5</v>
      </c>
      <c r="DF315" s="121">
        <f t="shared" si="221"/>
        <v>4.8</v>
      </c>
      <c r="DG315" s="115">
        <f t="shared" si="222"/>
        <v>299.04306220095697</v>
      </c>
      <c r="DH315" s="115">
        <f t="shared" si="223"/>
        <v>82</v>
      </c>
      <c r="DI315" s="147"/>
      <c r="DJ315" s="111">
        <v>43572</v>
      </c>
      <c r="DK315" s="112">
        <v>44048</v>
      </c>
      <c r="DL315" s="113">
        <f t="shared" ca="1" si="240"/>
        <v>1056</v>
      </c>
      <c r="DM315" s="114"/>
      <c r="DN315" s="114"/>
      <c r="DO315" s="114"/>
      <c r="DP315" s="114"/>
      <c r="DQ315" s="112">
        <v>42564</v>
      </c>
      <c r="DR315" s="114" t="s">
        <v>324</v>
      </c>
      <c r="DS315" s="114"/>
      <c r="DT315" s="115">
        <v>60</v>
      </c>
      <c r="DU315" s="116">
        <f t="shared" si="241"/>
        <v>4.6445158985351905E-2</v>
      </c>
      <c r="DV315" s="117">
        <f t="shared" si="242"/>
        <v>2.3685173276170057</v>
      </c>
      <c r="DW315" s="118">
        <f t="shared" si="243"/>
        <v>2.8331546981064664</v>
      </c>
      <c r="DX315" s="119">
        <f t="shared" si="224"/>
        <v>0</v>
      </c>
      <c r="DY315" s="115">
        <f t="shared" si="244"/>
        <v>0.7082886745266167</v>
      </c>
      <c r="DZ315" s="117">
        <f t="shared" si="245"/>
        <v>0.6965173276170058</v>
      </c>
      <c r="EA315" s="120">
        <f t="shared" si="245"/>
        <v>0.83315469810646636</v>
      </c>
      <c r="EB315" s="119">
        <f t="shared" si="245"/>
        <v>0</v>
      </c>
      <c r="EC315" s="121">
        <f t="shared" si="246"/>
        <v>0.2082886745266167</v>
      </c>
      <c r="ED315" s="122"/>
      <c r="EE315" s="145">
        <v>65</v>
      </c>
      <c r="EF315" s="115">
        <v>24</v>
      </c>
      <c r="EG315" s="115">
        <v>54</v>
      </c>
      <c r="EH315" s="115">
        <v>23</v>
      </c>
      <c r="EI315" s="128" t="s">
        <v>195</v>
      </c>
      <c r="EJ315" s="121">
        <v>24</v>
      </c>
      <c r="EK315" s="121">
        <v>0</v>
      </c>
      <c r="EL315" s="149">
        <v>1.6719999999999999</v>
      </c>
      <c r="EM315" s="172">
        <v>2</v>
      </c>
      <c r="EN315" s="119">
        <v>0</v>
      </c>
      <c r="EO315" s="115">
        <v>5.3</v>
      </c>
      <c r="EP315" s="115">
        <v>299.04306220095697</v>
      </c>
      <c r="EQ315" s="115">
        <v>72</v>
      </c>
      <c r="ER315" s="115">
        <v>4.8</v>
      </c>
      <c r="ES315" s="115">
        <v>89</v>
      </c>
      <c r="ET315" s="150">
        <v>6.25E-2</v>
      </c>
      <c r="EU315" s="145">
        <f t="shared" si="225"/>
        <v>65</v>
      </c>
      <c r="EV315" s="115">
        <f t="shared" si="226"/>
        <v>24</v>
      </c>
      <c r="EW315" s="115">
        <f t="shared" si="226"/>
        <v>54</v>
      </c>
      <c r="EX315" s="115">
        <f t="shared" si="226"/>
        <v>23</v>
      </c>
      <c r="EY315" s="115" t="str">
        <f t="shared" si="206"/>
        <v>Постоянный</v>
      </c>
      <c r="EZ315" s="115">
        <f t="shared" si="206"/>
        <v>24</v>
      </c>
      <c r="FA315" s="115">
        <f t="shared" si="206"/>
        <v>0</v>
      </c>
      <c r="FB315" s="149">
        <f t="shared" si="238"/>
        <v>1.6719999999999999</v>
      </c>
      <c r="FC315" s="142">
        <f t="shared" si="238"/>
        <v>2</v>
      </c>
      <c r="FD315" s="119">
        <f t="shared" si="238"/>
        <v>0</v>
      </c>
      <c r="FE315" s="121">
        <f t="shared" si="208"/>
        <v>5.3</v>
      </c>
      <c r="FF315" s="121">
        <f t="shared" si="247"/>
        <v>299.04306220095697</v>
      </c>
      <c r="FG315" s="121">
        <f t="shared" si="227"/>
        <v>72</v>
      </c>
      <c r="FH315" s="121">
        <f t="shared" si="248"/>
        <v>4.8</v>
      </c>
      <c r="FI315" s="121">
        <f t="shared" ref="FI315:FI378" si="252">CN315</f>
        <v>82</v>
      </c>
      <c r="FJ315" s="144">
        <f t="shared" si="228"/>
        <v>5.128205128205128E-2</v>
      </c>
      <c r="FK315" s="132">
        <f t="shared" si="229"/>
        <v>0</v>
      </c>
      <c r="FL315" s="115">
        <f t="shared" si="229"/>
        <v>0</v>
      </c>
      <c r="FM315" s="115">
        <f t="shared" si="229"/>
        <v>0</v>
      </c>
      <c r="FN315" s="115">
        <f t="shared" si="229"/>
        <v>0</v>
      </c>
      <c r="FO315" s="115">
        <f t="shared" si="232"/>
        <v>0</v>
      </c>
      <c r="FP315" s="115">
        <f t="shared" si="232"/>
        <v>0</v>
      </c>
      <c r="FQ315" s="149">
        <f t="shared" si="232"/>
        <v>0</v>
      </c>
      <c r="FR315" s="142">
        <f t="shared" si="232"/>
        <v>0</v>
      </c>
      <c r="FS315" s="119">
        <f t="shared" si="232"/>
        <v>0</v>
      </c>
      <c r="FT315" s="121">
        <f t="shared" si="232"/>
        <v>0</v>
      </c>
      <c r="FU315" s="121">
        <f t="shared" si="230"/>
        <v>0</v>
      </c>
      <c r="FV315" s="121">
        <f t="shared" si="230"/>
        <v>0</v>
      </c>
      <c r="FW315" s="121">
        <f t="shared" si="231"/>
        <v>0</v>
      </c>
      <c r="FX315" s="121">
        <f t="shared" si="233"/>
        <v>-7</v>
      </c>
      <c r="FY315" s="144">
        <f t="shared" si="214"/>
        <v>-1.121794871794872E-2</v>
      </c>
      <c r="FZ315" s="145"/>
      <c r="GA315" s="125"/>
      <c r="GB315" s="145"/>
      <c r="GC315" s="125"/>
      <c r="GD315" s="997" t="s">
        <v>202</v>
      </c>
      <c r="GE315" s="1004"/>
      <c r="GF315" s="1004">
        <v>0</v>
      </c>
      <c r="GG315" s="1004"/>
      <c r="GH315" s="1004">
        <v>-0.71745520000000007</v>
      </c>
      <c r="GI315" s="145"/>
      <c r="GJ315" s="996">
        <v>0</v>
      </c>
      <c r="GK315" s="145"/>
      <c r="GL315" s="996">
        <v>-0.76560879999999987</v>
      </c>
      <c r="GM315" s="1005"/>
      <c r="GN315" s="996">
        <v>0</v>
      </c>
      <c r="GO315" s="1006" t="s">
        <v>199</v>
      </c>
      <c r="GP315" s="996">
        <v>1.1277222</v>
      </c>
      <c r="GQ315" s="1006"/>
      <c r="GR315" s="996">
        <v>0</v>
      </c>
      <c r="GS315" s="1006"/>
      <c r="GT315" s="996">
        <v>0.6777368399999999</v>
      </c>
      <c r="GU315" s="1006"/>
      <c r="GV315" s="996">
        <v>-0.32330627999999995</v>
      </c>
      <c r="GW315" s="1006"/>
      <c r="GX315" s="1035">
        <v>0</v>
      </c>
      <c r="GY315" s="1006"/>
      <c r="GZ315" s="996">
        <v>0</v>
      </c>
      <c r="HA315" s="1006"/>
      <c r="HB315" s="996">
        <v>0.32676748720000015</v>
      </c>
      <c r="HC315" s="1006"/>
      <c r="HD315" s="996">
        <v>0</v>
      </c>
      <c r="HE315" s="1006"/>
      <c r="HF315" s="996">
        <v>0</v>
      </c>
      <c r="HG315" s="1006" t="s">
        <v>199</v>
      </c>
      <c r="HH315" s="996">
        <v>0.65805472479999971</v>
      </c>
      <c r="HI315" s="1006"/>
      <c r="HJ315" s="996">
        <v>0</v>
      </c>
      <c r="HK315" s="1006"/>
      <c r="HL315" s="996">
        <v>0.43432257638709687</v>
      </c>
      <c r="HM315" s="1006"/>
      <c r="HN315" s="996">
        <v>0</v>
      </c>
      <c r="HO315" s="1006"/>
      <c r="HP315" s="996">
        <v>0</v>
      </c>
      <c r="HQ315" s="1006"/>
      <c r="HR315" s="996">
        <v>0.14050193548387091</v>
      </c>
      <c r="HS315" s="1006"/>
      <c r="HT315" s="996">
        <v>-7.7936774193548358E-2</v>
      </c>
      <c r="HU315" s="1006"/>
      <c r="HV315" s="996">
        <v>7.8206451612903016E-3</v>
      </c>
      <c r="HW315" s="1006" t="s">
        <v>199</v>
      </c>
      <c r="HX315" s="996">
        <v>-1.2977003628387096</v>
      </c>
      <c r="HY315" s="1006"/>
      <c r="HZ315" s="996">
        <v>0</v>
      </c>
      <c r="IA315" s="1006"/>
      <c r="IB315" s="996">
        <v>0.62609962799999996</v>
      </c>
      <c r="IC315" s="1006"/>
      <c r="ID315" s="996">
        <v>1.8981379999999937E-2</v>
      </c>
      <c r="IE315" s="1006"/>
      <c r="IF315" s="996">
        <v>5.642999999999998E-2</v>
      </c>
      <c r="IG315" s="1006"/>
      <c r="IH315" s="996">
        <v>0</v>
      </c>
      <c r="II315" s="1006"/>
      <c r="IJ315" s="996">
        <v>0.11225808000000004</v>
      </c>
      <c r="IK315" s="1006"/>
      <c r="IL315" s="996">
        <v>-0.64637848000000031</v>
      </c>
      <c r="IM315" s="1006"/>
      <c r="IN315" s="996">
        <v>0</v>
      </c>
      <c r="IO315" s="1006" t="s">
        <v>199</v>
      </c>
      <c r="IP315" s="996">
        <v>-3.0562086719999995</v>
      </c>
      <c r="IQ315" s="1006"/>
      <c r="IR315" s="996">
        <v>0</v>
      </c>
      <c r="IS315" s="1006" t="s">
        <v>239</v>
      </c>
      <c r="IT315" s="996">
        <v>-0.46774868800000036</v>
      </c>
      <c r="IU315" s="1006"/>
      <c r="IV315" s="996">
        <v>0</v>
      </c>
      <c r="IW315" s="1006"/>
      <c r="IX315" s="996">
        <v>0</v>
      </c>
      <c r="IY315" s="1006"/>
      <c r="IZ315" s="996">
        <v>0</v>
      </c>
      <c r="JA315" s="1006"/>
      <c r="JB315" s="996">
        <v>0</v>
      </c>
      <c r="JC315" s="1006"/>
      <c r="JD315" s="996">
        <v>0</v>
      </c>
      <c r="JE315" s="1006"/>
      <c r="JF315" s="996">
        <v>-0.25022315999999911</v>
      </c>
      <c r="JG315" s="1006"/>
      <c r="JH315" s="996">
        <v>0</v>
      </c>
      <c r="JI315" s="1006"/>
      <c r="JJ315" s="996">
        <v>-0.3336308800000003</v>
      </c>
      <c r="JK315" s="1007"/>
      <c r="JL315" s="1007">
        <v>0</v>
      </c>
      <c r="JM315" s="1007"/>
      <c r="JN315" s="1007">
        <v>-0.41703860000000059</v>
      </c>
      <c r="JO315" s="1008"/>
      <c r="JP315" s="1007">
        <v>0</v>
      </c>
      <c r="JQ315" s="1008">
        <v>0</v>
      </c>
      <c r="JR315" s="1007">
        <v>-0.62555789999999956</v>
      </c>
      <c r="JS315" s="1008">
        <v>0</v>
      </c>
      <c r="JT315" s="1007">
        <v>0</v>
      </c>
      <c r="JU315" s="1008"/>
      <c r="JV315" s="1007">
        <v>0</v>
      </c>
      <c r="JW315" s="1008" t="s">
        <v>197</v>
      </c>
      <c r="JX315" s="1007">
        <v>0</v>
      </c>
      <c r="JY315" s="1008"/>
      <c r="JZ315" s="1007">
        <v>0</v>
      </c>
      <c r="KA315" s="1008" t="s">
        <v>204</v>
      </c>
      <c r="KB315" s="1007">
        <v>0.62555789999999956</v>
      </c>
      <c r="KC315" s="1008"/>
      <c r="KD315" s="1007">
        <v>0</v>
      </c>
      <c r="KE315" s="1008"/>
      <c r="KF315" s="1007">
        <v>0</v>
      </c>
      <c r="KG315" s="1008"/>
      <c r="KH315" s="1007">
        <v>0</v>
      </c>
      <c r="KI315" s="1008"/>
      <c r="KJ315" s="1007">
        <v>-0.6672617599999997</v>
      </c>
      <c r="KK315" s="1008"/>
      <c r="KL315" s="1007">
        <v>0</v>
      </c>
      <c r="KM315" s="1008"/>
      <c r="KN315" s="1007">
        <v>0</v>
      </c>
      <c r="KO315" s="1008"/>
      <c r="KP315" s="1007">
        <v>0</v>
      </c>
      <c r="KQ315" s="1008">
        <v>0</v>
      </c>
      <c r="KR315" s="1007">
        <v>0</v>
      </c>
      <c r="KS315" s="1008">
        <v>0</v>
      </c>
      <c r="KT315" s="1007">
        <v>0</v>
      </c>
      <c r="KU315" s="1008" t="s">
        <v>206</v>
      </c>
      <c r="KV315" s="1007">
        <v>-1.7806298399999996</v>
      </c>
      <c r="KW315" s="1008" t="s">
        <v>204</v>
      </c>
      <c r="KX315" s="1007">
        <v>2.041512</v>
      </c>
      <c r="KY315" s="1008">
        <v>0</v>
      </c>
      <c r="KZ315" s="1007">
        <v>0.41632800000000003</v>
      </c>
      <c r="LA315" s="1008">
        <v>0</v>
      </c>
      <c r="LB315" s="1007">
        <v>0</v>
      </c>
      <c r="LC315" s="1008" t="s">
        <v>206</v>
      </c>
      <c r="LD315" s="1007">
        <v>-0.8360000000000003</v>
      </c>
      <c r="LE315" s="1008">
        <v>0</v>
      </c>
      <c r="LF315" s="1007">
        <v>0</v>
      </c>
      <c r="LG315" s="1008" t="s">
        <v>223</v>
      </c>
      <c r="LH315" s="1007">
        <v>-3.3440000000000003</v>
      </c>
      <c r="LI315" s="1008">
        <v>0</v>
      </c>
      <c r="LJ315" s="1007">
        <v>0</v>
      </c>
      <c r="LK315" s="1008" t="s">
        <v>224</v>
      </c>
      <c r="LL315" s="1007">
        <v>9.1280000000000001</v>
      </c>
      <c r="LM315" s="1008">
        <v>0</v>
      </c>
      <c r="LN315" s="1007">
        <v>0</v>
      </c>
      <c r="LO315" s="1008">
        <v>0</v>
      </c>
      <c r="LP315" s="1007">
        <v>0</v>
      </c>
      <c r="LQ315" s="1008">
        <v>0</v>
      </c>
      <c r="LR315" s="1007">
        <v>0</v>
      </c>
      <c r="LS315" s="1008">
        <v>0</v>
      </c>
      <c r="LT315" s="1007">
        <v>-3.8584743999999986</v>
      </c>
      <c r="LU315" s="1008">
        <v>0</v>
      </c>
      <c r="LV315" s="1007">
        <v>0</v>
      </c>
      <c r="LW315" s="1008">
        <v>0</v>
      </c>
      <c r="LX315" s="1007">
        <v>-5.1719975999999974</v>
      </c>
      <c r="LY315" s="1009">
        <v>0</v>
      </c>
      <c r="LZ315" s="1010">
        <v>0</v>
      </c>
      <c r="MA315" s="1011">
        <v>0</v>
      </c>
      <c r="MB315" s="1012">
        <v>0</v>
      </c>
      <c r="MC315" s="995"/>
      <c r="MD315" s="996"/>
      <c r="ME315" s="997" t="s">
        <v>202</v>
      </c>
      <c r="MF315" s="997"/>
      <c r="MG315" s="998"/>
      <c r="NR315" s="1000"/>
      <c r="NS315" s="1000"/>
      <c r="NT315" s="1001"/>
      <c r="NU315" s="1000"/>
      <c r="NV315" s="1001"/>
      <c r="NX315" s="1002"/>
      <c r="NZ315" s="1001"/>
      <c r="OA315" s="1001"/>
      <c r="OC315" s="1003"/>
      <c r="OD315" s="1003"/>
      <c r="OE315" s="1001"/>
      <c r="OF315" s="1003"/>
      <c r="OG315" s="1003"/>
      <c r="QX315" s="1000">
        <f>CN315-CA315</f>
        <v>58</v>
      </c>
      <c r="ASU315" s="999" t="s">
        <v>315</v>
      </c>
    </row>
    <row r="316" spans="1:466 1191:1191" ht="21" customHeight="1" x14ac:dyDescent="0.25">
      <c r="A316" s="982">
        <f t="shared" si="215"/>
        <v>3291</v>
      </c>
      <c r="B316" s="124">
        <f>SUBTOTAL(103,$J$29:J316)</f>
        <v>288</v>
      </c>
      <c r="C316" s="126">
        <v>45068</v>
      </c>
      <c r="D316" s="124" t="s">
        <v>176</v>
      </c>
      <c r="E316" s="127" t="s">
        <v>177</v>
      </c>
      <c r="F316" s="128" t="s">
        <v>177</v>
      </c>
      <c r="G316" s="127" t="s">
        <v>178</v>
      </c>
      <c r="H316" s="127" t="s">
        <v>179</v>
      </c>
      <c r="I316" s="127" t="s">
        <v>1289</v>
      </c>
      <c r="J316" s="152">
        <v>3291</v>
      </c>
      <c r="K316" s="127" t="s">
        <v>1289</v>
      </c>
      <c r="L316" s="130">
        <v>43350</v>
      </c>
      <c r="M316" s="127" t="s">
        <v>230</v>
      </c>
      <c r="N316" s="127" t="s">
        <v>184</v>
      </c>
      <c r="O316" s="127" t="s">
        <v>185</v>
      </c>
      <c r="P316" s="127" t="s">
        <v>186</v>
      </c>
      <c r="Q316" s="85" t="str">
        <f t="shared" si="249"/>
        <v/>
      </c>
      <c r="R316" s="130"/>
      <c r="S316" s="128"/>
      <c r="T316" s="131"/>
      <c r="U316" s="132">
        <v>203</v>
      </c>
      <c r="V316" s="121">
        <v>218.2</v>
      </c>
      <c r="W316" s="116">
        <v>0.98</v>
      </c>
      <c r="X316" s="116">
        <v>1.66</v>
      </c>
      <c r="Y316" s="116">
        <f t="shared" si="239"/>
        <v>0.98</v>
      </c>
      <c r="Z316" s="133">
        <v>1.454</v>
      </c>
      <c r="AA316" s="133">
        <v>0.83599999999999997</v>
      </c>
      <c r="AB316" s="133">
        <v>0.72</v>
      </c>
      <c r="AC316" s="121">
        <v>34.299999999999997</v>
      </c>
      <c r="AD316" s="134">
        <v>1.17</v>
      </c>
      <c r="AE316" s="124">
        <v>177.8</v>
      </c>
      <c r="AF316" s="128">
        <v>9.19</v>
      </c>
      <c r="AG316" s="128">
        <v>2459.6</v>
      </c>
      <c r="AH316" s="127">
        <v>3221</v>
      </c>
      <c r="AI316" s="127">
        <v>3221</v>
      </c>
      <c r="AJ316" s="135"/>
      <c r="AK316" s="128"/>
      <c r="AL316" s="131"/>
      <c r="AM316" s="124" t="s">
        <v>985</v>
      </c>
      <c r="AN316" s="136" t="s">
        <v>1348</v>
      </c>
      <c r="AO316" s="137">
        <v>29.73</v>
      </c>
      <c r="AP316" s="128">
        <v>2494.81</v>
      </c>
      <c r="AQ316" s="128">
        <v>657.06</v>
      </c>
      <c r="AR316" s="128" t="s">
        <v>1349</v>
      </c>
      <c r="AS316" s="128">
        <v>114</v>
      </c>
      <c r="AT316" s="122">
        <v>7.37</v>
      </c>
      <c r="AU316" s="124" t="s">
        <v>189</v>
      </c>
      <c r="AV316" s="115">
        <f>VLOOKUP(J316,'[63]ТР нефть'!$J$28:$BP$638,39,0)</f>
        <v>499.99999218800002</v>
      </c>
      <c r="AW316" s="115" t="str">
        <f>VLOOKUP(J316,'[63]ТР нефть'!$J$28:$BP$638,40,0)</f>
        <v>ГП</v>
      </c>
      <c r="AX316" s="115">
        <f>VLOOKUP(J316,'[63]ТР нефть'!$J$28:$BP$638,41,0)</f>
        <v>934.99997050800005</v>
      </c>
      <c r="AY316" s="115" t="str">
        <f>VLOOKUP(J316,'[63]ТР нефть'!$J$28:$BP$638,42,0)</f>
        <v>ГК 79/2</v>
      </c>
      <c r="AZ316" s="115">
        <f>VLOOKUP(J316,'[63]ТР нефть'!$J$28:$BP$638,43,0)</f>
        <v>1315.0000687500001</v>
      </c>
      <c r="BA316" s="115" t="str">
        <f>VLOOKUP(J316,'[63]ТР нефть'!$J$28:$BP$638,44,0)</f>
        <v>ГК80/3</v>
      </c>
      <c r="BB316" s="115">
        <f>VLOOKUP(J316,'[63]ТР нефть'!$J$28:$BP$638,45,0)</f>
        <v>1605.000004687</v>
      </c>
      <c r="BC316" s="115" t="str">
        <f>VLOOKUP(J316,'[63]ТР нефть'!$J$28:$BP$638,46,0)</f>
        <v>ГК73/3</v>
      </c>
      <c r="BD316" s="115">
        <f>VLOOKUP(J316,'[63]ТР нефть'!$J$28:$BP$638,47,0)</f>
        <v>1880.000000391</v>
      </c>
      <c r="BE316" s="115" t="str">
        <f>VLOOKUP(J316,'[63]ТР нефть'!$J$28:$BP$638,48,0)</f>
        <v>ЦКсОК 5/16</v>
      </c>
      <c r="BF316" s="115" t="str">
        <f>VLOOKUP(J316,'[63]ТР нефть'!$J$28:$BP$638,49,0)</f>
        <v>-</v>
      </c>
      <c r="BG316" s="115" t="str">
        <f>VLOOKUP(J316,'[63]ТР нефть'!$J$28:$BP$638,50,0)</f>
        <v>-</v>
      </c>
      <c r="BH316" s="115">
        <f>VLOOKUP(J316,'[63]ТР нефть'!$J$28:$BP$638,51,0)</f>
        <v>1890</v>
      </c>
      <c r="BI316" s="115" t="str">
        <f>VLOOKUP(J316,'[63]ТР нефть'!$J$28:$BP$638,52,0)</f>
        <v>закрыт</v>
      </c>
      <c r="BJ316" s="115" t="str">
        <f>IF(IFERROR(VLOOKUP(J316,'[63]ТР нефть'!$J$28:$BP$638,53,0),"-")=0,"-",IFERROR(VLOOKUP(J316,'[63]ТР нефть'!$J$28:$BP$638,53,0),"-"))</f>
        <v>-</v>
      </c>
      <c r="BK316" s="138" t="str">
        <f>IF(IFERROR(VLOOKUP(J316,'[63]ТР нефть'!$J$28:$BP$638,54,0),"-")=0,"-",IFERROR(VLOOKUP(J316,'[63]ТР нефть'!$J$28:$BP$638,54,0),"-"))</f>
        <v>-</v>
      </c>
      <c r="BL316" s="138" t="str">
        <f>IF(IFERROR(VLOOKUP(J316,'[63]ТР нефть'!$J$28:$BP$638,55,0),"-")=0,"-",IFERROR(VLOOKUP(J316,'[63]ТР нефть'!$J$28:$BP$638,55,0),"-"))</f>
        <v>-</v>
      </c>
      <c r="BM316" s="138" t="str">
        <f>IF(IFERROR(VLOOKUP(J316,'[63]ТР нефть'!$J$28:$BP$638,56,0),"-")=0,"-",IFERROR(VLOOKUP(J316,'[63]ТР нефть'!$J$28:$BP$638,56,0),"-"))</f>
        <v>-</v>
      </c>
      <c r="BN316" s="138" t="str">
        <f>IF(IFERROR(VLOOKUP(J316,'[63]ТР нефть'!$J$28:$BP$638,57,0),"-")=0,"-",IFERROR(VLOOKUP(J316,'[63]ТР нефть'!$J$28:$BP$638,57,0),"-"))</f>
        <v>-</v>
      </c>
      <c r="BO316" s="115" t="str">
        <f>IF(IFERROR(VLOOKUP(J316,'[63]ТР нефть'!$J$28:$BP$638,58,0),"-")=0,"-",IFERROR(VLOOKUP(J316,'[63]ТР нефть'!$J$28:$BP$638,58,0),"-"))</f>
        <v>-</v>
      </c>
      <c r="BP316" s="115" t="str">
        <f>IF(IFERROR(VLOOKUP(J316,'[63]ТР нефть'!$J$28:$BP$638,59,0),"-")=0,"-",IFERROR(VLOOKUP(J316,'[63]ТР нефть'!$J$28:$BP$638,59,0),"-"))</f>
        <v>-</v>
      </c>
      <c r="BQ316" s="138">
        <v>1912</v>
      </c>
      <c r="BR316" s="128">
        <v>1433.63</v>
      </c>
      <c r="BS316" s="115">
        <f t="shared" si="211"/>
        <v>478.36999999999989</v>
      </c>
      <c r="BT316" s="128">
        <v>73</v>
      </c>
      <c r="BU316" s="128">
        <v>5.5</v>
      </c>
      <c r="BV316" s="127">
        <v>65</v>
      </c>
      <c r="BW316" s="127" t="s">
        <v>217</v>
      </c>
      <c r="BX316" s="127" t="s">
        <v>195</v>
      </c>
      <c r="BY316" s="139">
        <v>24</v>
      </c>
      <c r="BZ316" s="139">
        <v>0</v>
      </c>
      <c r="CA316" s="138">
        <v>26</v>
      </c>
      <c r="CB316" s="138">
        <v>32</v>
      </c>
      <c r="CC316" s="138">
        <v>25</v>
      </c>
      <c r="CD316" s="135">
        <v>45017</v>
      </c>
      <c r="CE316" s="138">
        <v>125</v>
      </c>
      <c r="CF316" s="138">
        <v>72</v>
      </c>
      <c r="CG316" s="138" t="str">
        <f t="shared" si="251"/>
        <v>В работе</v>
      </c>
      <c r="CH316" s="138" t="s">
        <v>196</v>
      </c>
      <c r="CI316" s="127"/>
      <c r="CJ316" s="138"/>
      <c r="CK316" s="138">
        <f t="shared" si="207"/>
        <v>26</v>
      </c>
      <c r="CL316" s="99"/>
      <c r="CM316" s="99"/>
      <c r="CN316" s="140">
        <v>52</v>
      </c>
      <c r="CO316" s="141">
        <f t="shared" si="216"/>
        <v>9.6975999999999996</v>
      </c>
      <c r="CP316" s="142">
        <v>11.6</v>
      </c>
      <c r="CQ316" s="143">
        <v>0</v>
      </c>
      <c r="CR316" s="138">
        <v>21</v>
      </c>
      <c r="CS316" s="139">
        <v>7.92</v>
      </c>
      <c r="CT316" s="138"/>
      <c r="CU316" s="138">
        <f t="shared" si="235"/>
        <v>13.08</v>
      </c>
      <c r="CV316" s="115">
        <f t="shared" si="236"/>
        <v>1348.7873288236265</v>
      </c>
      <c r="CW316" s="115">
        <f t="shared" si="217"/>
        <v>816.69691470054454</v>
      </c>
      <c r="CX316" s="133">
        <f t="shared" si="237"/>
        <v>0.15890410958904108</v>
      </c>
      <c r="CY316" s="116"/>
      <c r="CZ316" s="131"/>
      <c r="DA316" s="145" t="str">
        <f t="shared" si="218"/>
        <v>Газлифт</v>
      </c>
      <c r="DB316" s="146">
        <f t="shared" si="219"/>
        <v>9.6975999999999996</v>
      </c>
      <c r="DC316" s="142">
        <f t="shared" si="234"/>
        <v>11.6</v>
      </c>
      <c r="DD316" s="119">
        <f t="shared" si="250"/>
        <v>0</v>
      </c>
      <c r="DE316" s="115">
        <f t="shared" si="220"/>
        <v>13.08</v>
      </c>
      <c r="DF316" s="121">
        <f t="shared" si="221"/>
        <v>7.92</v>
      </c>
      <c r="DG316" s="115">
        <f t="shared" si="222"/>
        <v>1348.7873288236265</v>
      </c>
      <c r="DH316" s="115">
        <f t="shared" si="223"/>
        <v>52</v>
      </c>
      <c r="DI316" s="147"/>
      <c r="DJ316" s="111">
        <v>43613</v>
      </c>
      <c r="DK316" s="112">
        <v>43350</v>
      </c>
      <c r="DL316" s="113">
        <f t="shared" ca="1" si="240"/>
        <v>1754</v>
      </c>
      <c r="DM316" s="114"/>
      <c r="DN316" s="114"/>
      <c r="DO316" s="114"/>
      <c r="DP316" s="114"/>
      <c r="DQ316" s="112">
        <v>43350</v>
      </c>
      <c r="DR316" s="114" t="s">
        <v>324</v>
      </c>
      <c r="DS316" s="114"/>
      <c r="DT316" s="115">
        <v>58</v>
      </c>
      <c r="DU316" s="116">
        <f t="shared" si="241"/>
        <v>0.17313432835820894</v>
      </c>
      <c r="DV316" s="117">
        <f t="shared" si="242"/>
        <v>9.6975999999999996</v>
      </c>
      <c r="DW316" s="118">
        <f t="shared" si="243"/>
        <v>11.6</v>
      </c>
      <c r="DX316" s="119">
        <f t="shared" si="224"/>
        <v>0</v>
      </c>
      <c r="DY316" s="115">
        <f t="shared" si="244"/>
        <v>13.08</v>
      </c>
      <c r="DZ316" s="117">
        <f t="shared" si="245"/>
        <v>0</v>
      </c>
      <c r="EA316" s="120">
        <f t="shared" si="245"/>
        <v>0</v>
      </c>
      <c r="EB316" s="119">
        <f t="shared" si="245"/>
        <v>0</v>
      </c>
      <c r="EC316" s="121">
        <f t="shared" si="246"/>
        <v>0</v>
      </c>
      <c r="ED316" s="122"/>
      <c r="EE316" s="145">
        <v>65</v>
      </c>
      <c r="EF316" s="115">
        <v>27</v>
      </c>
      <c r="EG316" s="115">
        <v>33</v>
      </c>
      <c r="EH316" s="115">
        <v>26</v>
      </c>
      <c r="EI316" s="128" t="s">
        <v>195</v>
      </c>
      <c r="EJ316" s="121">
        <v>24</v>
      </c>
      <c r="EK316" s="121">
        <v>0</v>
      </c>
      <c r="EL316" s="149">
        <v>9.1959999999999997</v>
      </c>
      <c r="EM316" s="142">
        <v>11</v>
      </c>
      <c r="EN316" s="119">
        <v>0</v>
      </c>
      <c r="EO316" s="115">
        <v>19</v>
      </c>
      <c r="EP316" s="115">
        <v>1022.1835580687256</v>
      </c>
      <c r="EQ316" s="115">
        <v>71</v>
      </c>
      <c r="ER316" s="115">
        <v>9.6</v>
      </c>
      <c r="ES316" s="115">
        <v>66</v>
      </c>
      <c r="ET316" s="150">
        <v>0.1864406779661017</v>
      </c>
      <c r="EU316" s="145">
        <f t="shared" si="225"/>
        <v>65</v>
      </c>
      <c r="EV316" s="115">
        <f t="shared" si="226"/>
        <v>26</v>
      </c>
      <c r="EW316" s="115">
        <f t="shared" si="226"/>
        <v>32</v>
      </c>
      <c r="EX316" s="115">
        <f t="shared" si="226"/>
        <v>25</v>
      </c>
      <c r="EY316" s="115" t="str">
        <f t="shared" si="206"/>
        <v>Постоянный</v>
      </c>
      <c r="EZ316" s="115">
        <f t="shared" si="206"/>
        <v>24</v>
      </c>
      <c r="FA316" s="115">
        <f t="shared" si="206"/>
        <v>0</v>
      </c>
      <c r="FB316" s="149">
        <f t="shared" si="238"/>
        <v>9.6975999999999996</v>
      </c>
      <c r="FC316" s="142">
        <f t="shared" si="238"/>
        <v>11.6</v>
      </c>
      <c r="FD316" s="119">
        <f t="shared" si="238"/>
        <v>0</v>
      </c>
      <c r="FE316" s="121">
        <f t="shared" si="208"/>
        <v>21</v>
      </c>
      <c r="FF316" s="121">
        <f t="shared" si="247"/>
        <v>1348.7873288236265</v>
      </c>
      <c r="FG316" s="121">
        <f t="shared" si="227"/>
        <v>72</v>
      </c>
      <c r="FH316" s="121">
        <f t="shared" si="248"/>
        <v>7.92</v>
      </c>
      <c r="FI316" s="121">
        <f t="shared" si="252"/>
        <v>52</v>
      </c>
      <c r="FJ316" s="144">
        <f t="shared" si="228"/>
        <v>0.15890410958904108</v>
      </c>
      <c r="FK316" s="132">
        <f t="shared" si="229"/>
        <v>0</v>
      </c>
      <c r="FL316" s="115">
        <f t="shared" si="229"/>
        <v>-1</v>
      </c>
      <c r="FM316" s="115">
        <f t="shared" si="229"/>
        <v>-1</v>
      </c>
      <c r="FN316" s="115">
        <f t="shared" si="229"/>
        <v>-1</v>
      </c>
      <c r="FO316" s="115">
        <f t="shared" si="232"/>
        <v>0</v>
      </c>
      <c r="FP316" s="115">
        <f t="shared" si="232"/>
        <v>0</v>
      </c>
      <c r="FQ316" s="149">
        <f t="shared" si="232"/>
        <v>0.50159999999999982</v>
      </c>
      <c r="FR316" s="142">
        <f t="shared" si="232"/>
        <v>0.59999999999999964</v>
      </c>
      <c r="FS316" s="119">
        <f t="shared" si="232"/>
        <v>0</v>
      </c>
      <c r="FT316" s="121">
        <f t="shared" si="232"/>
        <v>2</v>
      </c>
      <c r="FU316" s="121">
        <f t="shared" si="230"/>
        <v>1</v>
      </c>
      <c r="FV316" s="121">
        <f t="shared" si="230"/>
        <v>-1.6799999999999997</v>
      </c>
      <c r="FW316" s="121">
        <f t="shared" si="231"/>
        <v>326.60377075490089</v>
      </c>
      <c r="FX316" s="121">
        <f t="shared" si="233"/>
        <v>-14</v>
      </c>
      <c r="FY316" s="144">
        <f t="shared" si="214"/>
        <v>-2.7536568377060616E-2</v>
      </c>
      <c r="FZ316" s="145"/>
      <c r="GA316" s="125"/>
      <c r="GB316" s="145" t="s">
        <v>199</v>
      </c>
      <c r="GC316" s="125" t="s">
        <v>1350</v>
      </c>
      <c r="GD316" s="997" t="s">
        <v>202</v>
      </c>
      <c r="GE316" s="1004" t="s">
        <v>199</v>
      </c>
      <c r="GF316" s="1004">
        <v>-1.1704000000000008</v>
      </c>
      <c r="GG316" s="1004"/>
      <c r="GH316" s="1004">
        <v>0</v>
      </c>
      <c r="GI316" s="145"/>
      <c r="GJ316" s="996">
        <v>-0.55593999999999788</v>
      </c>
      <c r="GK316" s="145"/>
      <c r="GL316" s="996">
        <v>-0.74888879999999958</v>
      </c>
      <c r="GM316" s="1005"/>
      <c r="GN316" s="996">
        <v>0.16673183999999885</v>
      </c>
      <c r="GO316" s="1006"/>
      <c r="GP316" s="996">
        <v>0</v>
      </c>
      <c r="GQ316" s="1006"/>
      <c r="GR316" s="996">
        <v>-0.90550304000000104</v>
      </c>
      <c r="GS316" s="1006" t="s">
        <v>199</v>
      </c>
      <c r="GT316" s="996">
        <v>3.9515446080000007</v>
      </c>
      <c r="GU316" s="1006"/>
      <c r="GV316" s="996">
        <v>-0.25009776000000272</v>
      </c>
      <c r="GW316" s="1006"/>
      <c r="GX316" s="996">
        <v>-0.616907807999997</v>
      </c>
      <c r="GY316" s="1006"/>
      <c r="GZ316" s="996">
        <v>0</v>
      </c>
      <c r="HA316" s="1006" t="s">
        <v>199</v>
      </c>
      <c r="HB316" s="996">
        <v>2.5343239680000007</v>
      </c>
      <c r="HC316" s="1006" t="s">
        <v>199</v>
      </c>
      <c r="HD316" s="996">
        <v>-2.9261437920000031</v>
      </c>
      <c r="HE316" s="1006"/>
      <c r="HF316" s="996">
        <v>0</v>
      </c>
      <c r="HG316" s="1006"/>
      <c r="HH316" s="996">
        <v>0.28505259200000133</v>
      </c>
      <c r="HI316" s="1006"/>
      <c r="HJ316" s="996">
        <v>0</v>
      </c>
      <c r="HK316" s="1006"/>
      <c r="HL316" s="996">
        <v>0</v>
      </c>
      <c r="HM316" s="1006" t="s">
        <v>199</v>
      </c>
      <c r="HN316" s="996">
        <v>-4.6648800000000001</v>
      </c>
      <c r="HO316" s="1006" t="s">
        <v>199</v>
      </c>
      <c r="HP316" s="996">
        <v>4.7652000000000001</v>
      </c>
      <c r="HQ316" s="1006" t="s">
        <v>199</v>
      </c>
      <c r="HR316" s="996">
        <v>-2.09</v>
      </c>
      <c r="HS316" s="1006"/>
      <c r="HT316" s="996">
        <v>0</v>
      </c>
      <c r="HU316" s="1006"/>
      <c r="HV316" s="996">
        <v>0.3654757919999998</v>
      </c>
      <c r="HW316" s="1006"/>
      <c r="HX316" s="996">
        <v>0.29233666000000191</v>
      </c>
      <c r="HY316" s="1006"/>
      <c r="HZ316" s="996">
        <v>0.53551317599999848</v>
      </c>
      <c r="IA316" s="1006"/>
      <c r="IB316" s="996">
        <v>3.5594371999998486E-2</v>
      </c>
      <c r="IC316" s="1006"/>
      <c r="ID316" s="996">
        <v>-0.81091999999999764</v>
      </c>
      <c r="IE316" s="1006"/>
      <c r="IF316" s="996">
        <v>0</v>
      </c>
      <c r="IG316" s="1006"/>
      <c r="IH316" s="996">
        <v>0</v>
      </c>
      <c r="II316" s="1006" t="s">
        <v>223</v>
      </c>
      <c r="IJ316" s="996">
        <v>-3.7620000000000022</v>
      </c>
      <c r="IK316" s="1006"/>
      <c r="IL316" s="996">
        <v>0</v>
      </c>
      <c r="IM316" s="1006"/>
      <c r="IN316" s="996">
        <v>0</v>
      </c>
      <c r="IO316" s="1006"/>
      <c r="IP316" s="996">
        <v>-0.41799999999999926</v>
      </c>
      <c r="IQ316" s="1006"/>
      <c r="IR316" s="996">
        <v>0</v>
      </c>
      <c r="IS316" s="1006"/>
      <c r="IT316" s="996">
        <v>0</v>
      </c>
      <c r="IU316" s="1006"/>
      <c r="IV316" s="996">
        <v>0</v>
      </c>
      <c r="IW316" s="1006"/>
      <c r="IX316" s="996">
        <v>0</v>
      </c>
      <c r="IY316" s="1006"/>
      <c r="IZ316" s="996">
        <v>0</v>
      </c>
      <c r="JA316" s="1006" t="s">
        <v>199</v>
      </c>
      <c r="JB316" s="996">
        <v>8.2764000000000006</v>
      </c>
      <c r="JC316" s="1006" t="s">
        <v>199</v>
      </c>
      <c r="JD316" s="996">
        <v>-14.128400000000001</v>
      </c>
      <c r="JE316" s="1006"/>
      <c r="JF316" s="996">
        <v>0</v>
      </c>
      <c r="JG316" s="1006"/>
      <c r="JH316" s="996">
        <v>0</v>
      </c>
      <c r="JI316" s="1006"/>
      <c r="JJ316" s="996">
        <v>0</v>
      </c>
      <c r="JK316" s="1007"/>
      <c r="JL316" s="1007">
        <v>0</v>
      </c>
      <c r="JM316" s="1007" t="s">
        <v>199</v>
      </c>
      <c r="JN316" s="1007">
        <v>-3.3439999999999976</v>
      </c>
      <c r="JO316" s="1008"/>
      <c r="JP316" s="1007">
        <v>0</v>
      </c>
      <c r="JQ316" s="1008">
        <v>0</v>
      </c>
      <c r="JR316" s="1007">
        <v>0</v>
      </c>
      <c r="JS316" s="1008" t="s">
        <v>204</v>
      </c>
      <c r="JT316" s="1007">
        <v>8.36</v>
      </c>
      <c r="JU316" s="1008"/>
      <c r="JV316" s="1007">
        <v>0</v>
      </c>
      <c r="JW316" s="1008" t="s">
        <v>197</v>
      </c>
      <c r="JX316" s="1007">
        <v>0</v>
      </c>
      <c r="JY316" s="1008" t="s">
        <v>204</v>
      </c>
      <c r="JZ316" s="1007">
        <v>-9.1960000000000015</v>
      </c>
      <c r="KA316" s="1008" t="s">
        <v>1298</v>
      </c>
      <c r="KB316" s="1007">
        <v>-7.5239999999999974</v>
      </c>
      <c r="KC316" s="1008"/>
      <c r="KD316" s="1007">
        <v>0</v>
      </c>
      <c r="KE316" s="1008" t="s">
        <v>199</v>
      </c>
      <c r="KF316" s="1007">
        <v>-4.0462400000000045</v>
      </c>
      <c r="KG316" s="1008"/>
      <c r="KH316" s="1007">
        <v>0</v>
      </c>
      <c r="KI316" s="1008" t="s">
        <v>203</v>
      </c>
      <c r="KJ316" s="1007">
        <v>-7.1561599999999927</v>
      </c>
      <c r="KK316" s="1008"/>
      <c r="KL316" s="1007">
        <v>0</v>
      </c>
      <c r="KM316" s="1008" t="s">
        <v>324</v>
      </c>
      <c r="KN316" s="1007">
        <v>48.822399999999995</v>
      </c>
      <c r="KO316" s="1008"/>
      <c r="KP316" s="1007"/>
      <c r="KQ316" s="1008">
        <v>0</v>
      </c>
      <c r="KR316" s="1007">
        <v>0</v>
      </c>
      <c r="KS316" s="1008">
        <v>0</v>
      </c>
      <c r="KT316" s="1007">
        <v>0</v>
      </c>
      <c r="KU316" s="1008">
        <v>0</v>
      </c>
      <c r="KV316" s="1007">
        <v>0</v>
      </c>
      <c r="KW316" s="1008">
        <v>0</v>
      </c>
      <c r="KX316" s="1007">
        <v>0</v>
      </c>
      <c r="KY316" s="1008">
        <v>0</v>
      </c>
      <c r="KZ316" s="1007">
        <v>0</v>
      </c>
      <c r="LA316" s="1008">
        <v>0</v>
      </c>
      <c r="LB316" s="1007">
        <v>0</v>
      </c>
      <c r="LC316" s="1008">
        <v>0</v>
      </c>
      <c r="LD316" s="1007">
        <v>0</v>
      </c>
      <c r="LE316" s="1008">
        <v>0</v>
      </c>
      <c r="LF316" s="1007">
        <v>0</v>
      </c>
      <c r="LG316" s="1008">
        <v>0</v>
      </c>
      <c r="LH316" s="1007">
        <v>0</v>
      </c>
      <c r="LI316" s="1008">
        <v>0</v>
      </c>
      <c r="LJ316" s="1007">
        <v>0</v>
      </c>
      <c r="LK316" s="1008">
        <v>0</v>
      </c>
      <c r="LL316" s="1007">
        <v>0</v>
      </c>
      <c r="LM316" s="1008">
        <v>0</v>
      </c>
      <c r="LN316" s="1007">
        <v>0</v>
      </c>
      <c r="LO316" s="1008">
        <v>0</v>
      </c>
      <c r="LP316" s="1007">
        <v>0</v>
      </c>
      <c r="LQ316" s="1008">
        <v>0</v>
      </c>
      <c r="LR316" s="1007">
        <v>0</v>
      </c>
      <c r="LS316" s="1008">
        <v>0</v>
      </c>
      <c r="LT316" s="1007">
        <v>0</v>
      </c>
      <c r="LU316" s="1008">
        <v>0</v>
      </c>
      <c r="LV316" s="1007">
        <v>0</v>
      </c>
      <c r="LW316" s="1008">
        <v>0</v>
      </c>
      <c r="LX316" s="1007">
        <v>0</v>
      </c>
      <c r="LY316" s="1009">
        <v>0</v>
      </c>
      <c r="LZ316" s="1010">
        <v>0</v>
      </c>
      <c r="MA316" s="1011">
        <v>0</v>
      </c>
      <c r="MB316" s="1012">
        <v>0</v>
      </c>
      <c r="MC316" s="995"/>
      <c r="MD316" s="996"/>
      <c r="ME316" s="997" t="s">
        <v>202</v>
      </c>
      <c r="MF316" s="997"/>
      <c r="MG316" s="998"/>
      <c r="NR316" s="1000"/>
      <c r="NS316" s="1000"/>
      <c r="NT316" s="1001"/>
      <c r="NU316" s="1000"/>
      <c r="NV316" s="1001"/>
      <c r="NX316" s="1002"/>
      <c r="NZ316" s="1001"/>
      <c r="OA316" s="1001"/>
      <c r="OC316" s="1003"/>
      <c r="OD316" s="1003"/>
      <c r="OE316" s="1001"/>
      <c r="OF316" s="1003"/>
      <c r="OG316" s="1003"/>
      <c r="QX316" s="1000">
        <f>CN316-CA316</f>
        <v>26</v>
      </c>
      <c r="ASU316" s="999" t="s">
        <v>208</v>
      </c>
    </row>
    <row r="317" spans="1:466 1191:1191" ht="21" customHeight="1" x14ac:dyDescent="0.25">
      <c r="A317" s="982">
        <f t="shared" si="215"/>
        <v>1326</v>
      </c>
      <c r="B317" s="124">
        <f>SUBTOTAL(103,$J$29:J317)</f>
        <v>289</v>
      </c>
      <c r="C317" s="126">
        <v>45068</v>
      </c>
      <c r="D317" s="124" t="s">
        <v>176</v>
      </c>
      <c r="E317" s="127" t="s">
        <v>177</v>
      </c>
      <c r="F317" s="128" t="s">
        <v>177</v>
      </c>
      <c r="G317" s="127" t="s">
        <v>178</v>
      </c>
      <c r="H317" s="127" t="s">
        <v>179</v>
      </c>
      <c r="I317" s="127" t="s">
        <v>1132</v>
      </c>
      <c r="J317" s="152">
        <v>1326</v>
      </c>
      <c r="K317" s="127" t="s">
        <v>1132</v>
      </c>
      <c r="L317" s="130">
        <v>42433</v>
      </c>
      <c r="M317" s="127" t="s">
        <v>230</v>
      </c>
      <c r="N317" s="127" t="s">
        <v>184</v>
      </c>
      <c r="O317" s="127" t="s">
        <v>185</v>
      </c>
      <c r="P317" s="127" t="s">
        <v>292</v>
      </c>
      <c r="Q317" s="85" t="str">
        <f t="shared" si="249"/>
        <v/>
      </c>
      <c r="R317" s="130"/>
      <c r="S317" s="128"/>
      <c r="T317" s="131"/>
      <c r="U317" s="132">
        <v>203</v>
      </c>
      <c r="V317" s="121">
        <v>218.2</v>
      </c>
      <c r="W317" s="116">
        <v>0.98</v>
      </c>
      <c r="X317" s="116">
        <v>1.66</v>
      </c>
      <c r="Y317" s="116">
        <f t="shared" si="239"/>
        <v>0.99798782881821746</v>
      </c>
      <c r="Z317" s="133">
        <v>1.454</v>
      </c>
      <c r="AA317" s="133">
        <v>0.83599999999999997</v>
      </c>
      <c r="AB317" s="133">
        <v>0.72</v>
      </c>
      <c r="AC317" s="121">
        <v>34.299999999999997</v>
      </c>
      <c r="AD317" s="134">
        <v>1.17</v>
      </c>
      <c r="AE317" s="124">
        <v>177.8</v>
      </c>
      <c r="AF317" s="128">
        <v>9.19</v>
      </c>
      <c r="AG317" s="128">
        <v>2355</v>
      </c>
      <c r="AH317" s="127">
        <v>2900</v>
      </c>
      <c r="AI317" s="127">
        <v>2900</v>
      </c>
      <c r="AJ317" s="135"/>
      <c r="AK317" s="128"/>
      <c r="AL317" s="131"/>
      <c r="AM317" s="124" t="s">
        <v>232</v>
      </c>
      <c r="AN317" s="206" t="s">
        <v>1351</v>
      </c>
      <c r="AO317" s="137">
        <v>64.13</v>
      </c>
      <c r="AP317" s="128">
        <v>2355</v>
      </c>
      <c r="AQ317" s="128">
        <v>459</v>
      </c>
      <c r="AR317" s="128" t="s">
        <v>1352</v>
      </c>
      <c r="AS317" s="128">
        <v>114</v>
      </c>
      <c r="AT317" s="122">
        <v>7.37</v>
      </c>
      <c r="AU317" s="124" t="s">
        <v>189</v>
      </c>
      <c r="AV317" s="115">
        <f>VLOOKUP(J317,'[63]ТР нефть'!$J$28:$BP$638,39,0)</f>
        <v>500.00002939500001</v>
      </c>
      <c r="AW317" s="115" t="str">
        <f>VLOOKUP(J317,'[63]ТР нефть'!$J$28:$BP$638,40,0)</f>
        <v>ГП</v>
      </c>
      <c r="AX317" s="115">
        <f>VLOOKUP(J317,'[63]ТР нефть'!$J$28:$BP$638,41,0)</f>
        <v>925</v>
      </c>
      <c r="AY317" s="115" t="str">
        <f>VLOOKUP(J317,'[63]ТР нефть'!$J$28:$BP$638,42,0)</f>
        <v>ГП</v>
      </c>
      <c r="AZ317" s="115">
        <f>VLOOKUP(J317,'[63]ТР нефть'!$J$28:$BP$638,43,0)</f>
        <v>1401</v>
      </c>
      <c r="BA317" s="115" t="str">
        <f>VLOOKUP(J317,'[63]ТР нефть'!$J$28:$BP$638,44,0)</f>
        <v>ГК78 1/8</v>
      </c>
      <c r="BB317" s="115">
        <f>VLOOKUP(J317,'[63]ТР нефть'!$J$28:$BP$638,45,0)</f>
        <v>1732</v>
      </c>
      <c r="BC317" s="115" t="str">
        <f>VLOOKUP(J317,'[63]ТР нефть'!$J$28:$BP$638,46,0)</f>
        <v>ГК77 1/8</v>
      </c>
      <c r="BD317" s="115" t="str">
        <f>VLOOKUP(J317,'[63]ТР нефть'!$J$28:$BP$638,47,0)</f>
        <v>-</v>
      </c>
      <c r="BE317" s="115" t="str">
        <f>VLOOKUP(J317,'[63]ТР нефть'!$J$28:$BP$638,48,0)</f>
        <v>-</v>
      </c>
      <c r="BF317" s="115" t="str">
        <f>VLOOKUP(J317,'[63]ТР нефть'!$J$28:$BP$638,49,0)</f>
        <v>-</v>
      </c>
      <c r="BG317" s="115" t="str">
        <f>VLOOKUP(J317,'[63]ТР нефть'!$J$28:$BP$638,50,0)</f>
        <v>-</v>
      </c>
      <c r="BH317" s="115" t="str">
        <f>VLOOKUP(J317,'[63]ТР нефть'!$J$28:$BP$638,51,0)</f>
        <v>-</v>
      </c>
      <c r="BI317" s="115" t="str">
        <f>VLOOKUP(J317,'[63]ТР нефть'!$J$28:$BP$638,52,0)</f>
        <v>-</v>
      </c>
      <c r="BJ317" s="115" t="str">
        <f>IF(IFERROR(VLOOKUP(J317,'[63]ТР нефть'!$J$28:$BP$638,53,0),"-")=0,"-",IFERROR(VLOOKUP(J317,'[63]ТР нефть'!$J$28:$BP$638,53,0),"-"))</f>
        <v>-</v>
      </c>
      <c r="BK317" s="138" t="str">
        <f>IF(IFERROR(VLOOKUP(J317,'[63]ТР нефть'!$J$28:$BP$638,54,0),"-")=0,"-",IFERROR(VLOOKUP(J317,'[63]ТР нефть'!$J$28:$BP$638,54,0),"-"))</f>
        <v>-</v>
      </c>
      <c r="BL317" s="138" t="str">
        <f>IF(IFERROR(VLOOKUP(J317,'[63]ТР нефть'!$J$28:$BP$638,55,0),"-")=0,"-",IFERROR(VLOOKUP(J317,'[63]ТР нефть'!$J$28:$BP$638,55,0),"-"))</f>
        <v>-</v>
      </c>
      <c r="BM317" s="138" t="str">
        <f>IF(IFERROR(VLOOKUP(J317,'[63]ТР нефть'!$J$28:$BP$638,56,0),"-")=0,"-",IFERROR(VLOOKUP(J317,'[63]ТР нефть'!$J$28:$BP$638,56,0),"-"))</f>
        <v>-</v>
      </c>
      <c r="BN317" s="138" t="str">
        <f>IF(IFERROR(VLOOKUP(J317,'[63]ТР нефть'!$J$28:$BP$638,57,0),"-")=0,"-",IFERROR(VLOOKUP(J317,'[63]ТР нефть'!$J$28:$BP$638,57,0),"-"))</f>
        <v>-</v>
      </c>
      <c r="BO317" s="115" t="str">
        <f>IF(IFERROR(VLOOKUP(J317,'[63]ТР нефть'!$J$28:$BP$638,58,0),"-")=0,"-",IFERROR(VLOOKUP(J317,'[63]ТР нефть'!$J$28:$BP$638,58,0),"-"))</f>
        <v>-</v>
      </c>
      <c r="BP317" s="115" t="str">
        <f>IF(IFERROR(VLOOKUP(J317,'[63]ТР нефть'!$J$28:$BP$638,59,0),"-")=0,"-",IFERROR(VLOOKUP(J317,'[63]ТР нефть'!$J$28:$BP$638,59,0),"-"))</f>
        <v>-</v>
      </c>
      <c r="BQ317" s="138">
        <v>2210</v>
      </c>
      <c r="BR317" s="128">
        <v>2006.5</v>
      </c>
      <c r="BS317" s="115">
        <f t="shared" si="211"/>
        <v>203.5</v>
      </c>
      <c r="BT317" s="128">
        <v>73</v>
      </c>
      <c r="BU317" s="128">
        <v>5.5</v>
      </c>
      <c r="BV317" s="127">
        <v>65</v>
      </c>
      <c r="BW317" s="127" t="s">
        <v>194</v>
      </c>
      <c r="BX317" s="127" t="s">
        <v>195</v>
      </c>
      <c r="BY317" s="139">
        <v>24</v>
      </c>
      <c r="BZ317" s="139">
        <v>0</v>
      </c>
      <c r="CA317" s="138">
        <v>27</v>
      </c>
      <c r="CB317" s="138">
        <v>62</v>
      </c>
      <c r="CC317" s="138">
        <v>25</v>
      </c>
      <c r="CD317" s="135">
        <v>45017</v>
      </c>
      <c r="CE317" s="138">
        <v>135</v>
      </c>
      <c r="CF317" s="138">
        <v>73</v>
      </c>
      <c r="CG317" s="138" t="str">
        <f t="shared" si="251"/>
        <v>В работе</v>
      </c>
      <c r="CH317" s="138" t="s">
        <v>272</v>
      </c>
      <c r="CI317" s="127"/>
      <c r="CJ317" s="138"/>
      <c r="CK317" s="138">
        <f t="shared" si="207"/>
        <v>88</v>
      </c>
      <c r="CL317" s="99"/>
      <c r="CM317" s="99"/>
      <c r="CN317" s="140">
        <v>115</v>
      </c>
      <c r="CO317" s="141">
        <f t="shared" si="216"/>
        <v>2.0779615999999996</v>
      </c>
      <c r="CP317" s="142">
        <v>2.6</v>
      </c>
      <c r="CQ317" s="143">
        <v>4.4000000000000004</v>
      </c>
      <c r="CR317" s="138">
        <v>9.1</v>
      </c>
      <c r="CS317" s="139">
        <v>8.5</v>
      </c>
      <c r="CT317" s="138"/>
      <c r="CU317" s="138">
        <f t="shared" si="235"/>
        <v>0.59999999999999964</v>
      </c>
      <c r="CV317" s="115">
        <f t="shared" si="236"/>
        <v>288.74450807945624</v>
      </c>
      <c r="CW317" s="115">
        <f t="shared" si="217"/>
        <v>3845.3938153762188</v>
      </c>
      <c r="CX317" s="133">
        <f t="shared" si="237"/>
        <v>0.13</v>
      </c>
      <c r="CY317" s="116"/>
      <c r="CZ317" s="131"/>
      <c r="DA317" s="145" t="str">
        <f t="shared" si="218"/>
        <v>Газлифт</v>
      </c>
      <c r="DB317" s="146">
        <f t="shared" si="219"/>
        <v>2.0779615999999996</v>
      </c>
      <c r="DC317" s="142">
        <f t="shared" si="234"/>
        <v>2.6</v>
      </c>
      <c r="DD317" s="119">
        <f t="shared" si="250"/>
        <v>4.4000000000000004</v>
      </c>
      <c r="DE317" s="115">
        <f t="shared" si="220"/>
        <v>0.59999999999999964</v>
      </c>
      <c r="DF317" s="121">
        <f t="shared" si="221"/>
        <v>8.5</v>
      </c>
      <c r="DG317" s="115">
        <f t="shared" si="222"/>
        <v>288.74450807945624</v>
      </c>
      <c r="DH317" s="115">
        <f t="shared" si="223"/>
        <v>115</v>
      </c>
      <c r="DI317" s="147"/>
      <c r="DJ317" s="111">
        <v>43563</v>
      </c>
      <c r="DK317" s="112">
        <v>43419</v>
      </c>
      <c r="DL317" s="113">
        <f t="shared" ca="1" si="240"/>
        <v>1685</v>
      </c>
      <c r="DM317" s="114"/>
      <c r="DN317" s="114"/>
      <c r="DO317" s="114"/>
      <c r="DP317" s="114"/>
      <c r="DQ317" s="112">
        <v>42433</v>
      </c>
      <c r="DR317" s="114" t="s">
        <v>324</v>
      </c>
      <c r="DS317" s="114" t="s">
        <v>1220</v>
      </c>
      <c r="DT317" s="115">
        <v>60</v>
      </c>
      <c r="DU317" s="116">
        <f t="shared" si="241"/>
        <v>0.10480176211453746</v>
      </c>
      <c r="DV317" s="117">
        <f t="shared" si="242"/>
        <v>6.2819433832599119</v>
      </c>
      <c r="DW317" s="118">
        <f t="shared" si="243"/>
        <v>7.860132158590309</v>
      </c>
      <c r="DX317" s="119">
        <f t="shared" si="224"/>
        <v>4.4000000000000004</v>
      </c>
      <c r="DY317" s="115">
        <f t="shared" si="244"/>
        <v>1.8138766519823781</v>
      </c>
      <c r="DZ317" s="117">
        <f t="shared" si="245"/>
        <v>4.2039817832599127</v>
      </c>
      <c r="EA317" s="120">
        <f t="shared" si="245"/>
        <v>5.2601321585903094</v>
      </c>
      <c r="EB317" s="119">
        <f t="shared" si="245"/>
        <v>0</v>
      </c>
      <c r="EC317" s="121">
        <f t="shared" si="246"/>
        <v>1.2138766519823785</v>
      </c>
      <c r="ED317" s="122" t="s">
        <v>1297</v>
      </c>
      <c r="EE317" s="145">
        <v>65</v>
      </c>
      <c r="EF317" s="115">
        <v>27</v>
      </c>
      <c r="EG317" s="115">
        <v>62</v>
      </c>
      <c r="EH317" s="115">
        <v>25</v>
      </c>
      <c r="EI317" s="128" t="s">
        <v>195</v>
      </c>
      <c r="EJ317" s="121">
        <v>24</v>
      </c>
      <c r="EK317" s="121">
        <v>0</v>
      </c>
      <c r="EL317" s="149">
        <v>2.0779615999999996</v>
      </c>
      <c r="EM317" s="142">
        <v>2.6</v>
      </c>
      <c r="EN317" s="119">
        <v>4.4000000000000004</v>
      </c>
      <c r="EO317" s="115">
        <v>9.1</v>
      </c>
      <c r="EP317" s="115">
        <v>288.74450807945624</v>
      </c>
      <c r="EQ317" s="115">
        <v>73</v>
      </c>
      <c r="ER317" s="115">
        <v>8.5</v>
      </c>
      <c r="ES317" s="115">
        <v>115</v>
      </c>
      <c r="ET317" s="150">
        <v>0.13</v>
      </c>
      <c r="EU317" s="145">
        <f t="shared" si="225"/>
        <v>65</v>
      </c>
      <c r="EV317" s="115">
        <f t="shared" si="226"/>
        <v>27</v>
      </c>
      <c r="EW317" s="115">
        <f t="shared" si="226"/>
        <v>62</v>
      </c>
      <c r="EX317" s="115">
        <f t="shared" si="226"/>
        <v>25</v>
      </c>
      <c r="EY317" s="115" t="str">
        <f t="shared" si="206"/>
        <v>Постоянный</v>
      </c>
      <c r="EZ317" s="115">
        <f t="shared" si="206"/>
        <v>24</v>
      </c>
      <c r="FA317" s="115">
        <f t="shared" si="206"/>
        <v>0</v>
      </c>
      <c r="FB317" s="149">
        <f t="shared" si="238"/>
        <v>2.0779615999999996</v>
      </c>
      <c r="FC317" s="142">
        <f t="shared" si="238"/>
        <v>2.6</v>
      </c>
      <c r="FD317" s="119">
        <f t="shared" si="238"/>
        <v>4.4000000000000004</v>
      </c>
      <c r="FE317" s="121">
        <f t="shared" si="208"/>
        <v>9.1</v>
      </c>
      <c r="FF317" s="121">
        <f t="shared" si="247"/>
        <v>288.74450807945624</v>
      </c>
      <c r="FG317" s="121">
        <f t="shared" si="227"/>
        <v>73</v>
      </c>
      <c r="FH317" s="121">
        <f t="shared" si="248"/>
        <v>8.5</v>
      </c>
      <c r="FI317" s="121">
        <f t="shared" si="252"/>
        <v>115</v>
      </c>
      <c r="FJ317" s="144">
        <f t="shared" si="228"/>
        <v>0.13</v>
      </c>
      <c r="FK317" s="132">
        <f t="shared" si="229"/>
        <v>0</v>
      </c>
      <c r="FL317" s="115">
        <f t="shared" si="229"/>
        <v>0</v>
      </c>
      <c r="FM317" s="115">
        <f t="shared" si="229"/>
        <v>0</v>
      </c>
      <c r="FN317" s="115">
        <f t="shared" si="229"/>
        <v>0</v>
      </c>
      <c r="FO317" s="115">
        <f t="shared" si="232"/>
        <v>0</v>
      </c>
      <c r="FP317" s="115">
        <f t="shared" si="232"/>
        <v>0</v>
      </c>
      <c r="FQ317" s="149">
        <f t="shared" si="232"/>
        <v>0</v>
      </c>
      <c r="FR317" s="142">
        <f t="shared" si="232"/>
        <v>0</v>
      </c>
      <c r="FS317" s="119">
        <f t="shared" si="232"/>
        <v>0</v>
      </c>
      <c r="FT317" s="121">
        <f t="shared" si="232"/>
        <v>0</v>
      </c>
      <c r="FU317" s="121">
        <f t="shared" si="230"/>
        <v>0</v>
      </c>
      <c r="FV317" s="121">
        <f t="shared" si="230"/>
        <v>0</v>
      </c>
      <c r="FW317" s="121">
        <f t="shared" si="231"/>
        <v>0</v>
      </c>
      <c r="FX317" s="121">
        <f t="shared" si="233"/>
        <v>0</v>
      </c>
      <c r="FY317" s="144">
        <f t="shared" si="214"/>
        <v>0</v>
      </c>
      <c r="FZ317" s="145"/>
      <c r="GA317" s="125"/>
      <c r="GB317" s="145"/>
      <c r="GC317" s="125"/>
      <c r="GD317" s="997" t="s">
        <v>202</v>
      </c>
      <c r="GE317" s="1004"/>
      <c r="GF317" s="1004">
        <v>0</v>
      </c>
      <c r="GG317" s="1004"/>
      <c r="GH317" s="1004">
        <v>0</v>
      </c>
      <c r="GI317" s="145"/>
      <c r="GJ317" s="996">
        <v>0</v>
      </c>
      <c r="GK317" s="145"/>
      <c r="GL317" s="996">
        <v>-0.75173120000000004</v>
      </c>
      <c r="GM317" s="1005"/>
      <c r="GN317" s="996">
        <v>0</v>
      </c>
      <c r="GO317" s="1006" t="s">
        <v>199</v>
      </c>
      <c r="GP317" s="996">
        <v>1.5803325999999998</v>
      </c>
      <c r="GQ317" s="1006" t="s">
        <v>199</v>
      </c>
      <c r="GR317" s="996">
        <v>-3.9709219176000001</v>
      </c>
      <c r="GS317" s="1006"/>
      <c r="GT317" s="996">
        <v>2.8211760000029784E-4</v>
      </c>
      <c r="GU317" s="1006"/>
      <c r="GV317" s="996">
        <v>0</v>
      </c>
      <c r="GW317" s="1006"/>
      <c r="GX317" s="1035">
        <v>0</v>
      </c>
      <c r="GY317" s="1006"/>
      <c r="GZ317" s="996">
        <v>-0.11594679999999968</v>
      </c>
      <c r="HA317" s="1006"/>
      <c r="HB317" s="996">
        <v>0.21120877887999967</v>
      </c>
      <c r="HC317" s="1006" t="s">
        <v>199</v>
      </c>
      <c r="HD317" s="996">
        <v>3.9947143939999994</v>
      </c>
      <c r="HE317" s="1006"/>
      <c r="HF317" s="996">
        <v>0</v>
      </c>
      <c r="HG317" s="1006" t="s">
        <v>199</v>
      </c>
      <c r="HH317" s="996">
        <v>-0.97424965439999989</v>
      </c>
      <c r="HI317" s="1006"/>
      <c r="HJ317" s="996">
        <v>0</v>
      </c>
      <c r="HK317" s="1006"/>
      <c r="HL317" s="996">
        <v>0.87037841000000027</v>
      </c>
      <c r="HM317" s="1006" t="s">
        <v>199</v>
      </c>
      <c r="HN317" s="996">
        <v>-1.0454702499999997</v>
      </c>
      <c r="HO317" s="1006"/>
      <c r="HP317" s="996">
        <v>-0.13723190799999996</v>
      </c>
      <c r="HQ317" s="1006"/>
      <c r="HR317" s="996">
        <v>0.24973911599999976</v>
      </c>
      <c r="HS317" s="1006"/>
      <c r="HT317" s="996">
        <v>0</v>
      </c>
      <c r="HU317" s="1006"/>
      <c r="HV317" s="996">
        <v>0.15501279199999995</v>
      </c>
      <c r="HW317" s="1006" t="s">
        <v>199</v>
      </c>
      <c r="HX317" s="996">
        <v>-2.8452074552000002</v>
      </c>
      <c r="HY317" s="1006" t="s">
        <v>199</v>
      </c>
      <c r="HZ317" s="996">
        <v>2.0020345751999997</v>
      </c>
      <c r="IA317" s="1006"/>
      <c r="IB317" s="996">
        <v>0.16430576800000063</v>
      </c>
      <c r="IC317" s="1006"/>
      <c r="ID317" s="996">
        <v>0.20075871199999984</v>
      </c>
      <c r="IE317" s="1006" t="s">
        <v>199</v>
      </c>
      <c r="IF317" s="996">
        <v>-2.6374964000000003</v>
      </c>
      <c r="IG317" s="1006"/>
      <c r="IH317" s="996">
        <v>-0.70541679999999918</v>
      </c>
      <c r="II317" s="1006"/>
      <c r="IJ317" s="996">
        <v>0</v>
      </c>
      <c r="IK317" s="1006" t="s">
        <v>199</v>
      </c>
      <c r="IL317" s="996">
        <v>4.8860855999999995</v>
      </c>
      <c r="IM317" s="1006"/>
      <c r="IN317" s="996">
        <v>0</v>
      </c>
      <c r="IO317" s="1006"/>
      <c r="IP317" s="996">
        <v>-0.68719617999999971</v>
      </c>
      <c r="IQ317" s="1006"/>
      <c r="IR317" s="996">
        <v>0</v>
      </c>
      <c r="IS317" s="1006"/>
      <c r="IT317" s="996">
        <v>0</v>
      </c>
      <c r="IU317" s="1006"/>
      <c r="IV317" s="996">
        <v>0</v>
      </c>
      <c r="IW317" s="1006"/>
      <c r="IX317" s="996">
        <v>0</v>
      </c>
      <c r="IY317" s="1006"/>
      <c r="IZ317" s="996">
        <v>0</v>
      </c>
      <c r="JA317" s="1006"/>
      <c r="JB317" s="996">
        <v>0</v>
      </c>
      <c r="JC317" s="1006"/>
      <c r="JD317" s="996">
        <v>0</v>
      </c>
      <c r="JE317" s="1006"/>
      <c r="JF317" s="996">
        <v>0</v>
      </c>
      <c r="JG317" s="1006"/>
      <c r="JH317" s="996">
        <v>0</v>
      </c>
      <c r="JI317" s="1006"/>
      <c r="JJ317" s="996">
        <v>0</v>
      </c>
      <c r="JK317" s="1007"/>
      <c r="JL317" s="1007">
        <v>0</v>
      </c>
      <c r="JM317" s="1007"/>
      <c r="JN317" s="1007">
        <v>0</v>
      </c>
      <c r="JO317" s="1008"/>
      <c r="JP317" s="1007">
        <v>0</v>
      </c>
      <c r="JQ317" s="1008">
        <v>0</v>
      </c>
      <c r="JR317" s="1007">
        <v>3.7661799999999523E-3</v>
      </c>
      <c r="JS317" s="1008">
        <v>0</v>
      </c>
      <c r="JT317" s="1007">
        <v>0</v>
      </c>
      <c r="JU317" s="1008"/>
      <c r="JV317" s="1007">
        <v>-8.8616000000003581E-3</v>
      </c>
      <c r="JW317" s="1008" t="s">
        <v>199</v>
      </c>
      <c r="JX317" s="1007">
        <v>-4.20793076</v>
      </c>
      <c r="JY317" s="1008"/>
      <c r="JZ317" s="1007">
        <v>0</v>
      </c>
      <c r="KA317" s="1008"/>
      <c r="KB317" s="1007">
        <v>0</v>
      </c>
      <c r="KC317" s="1008"/>
      <c r="KD317" s="1007">
        <v>0</v>
      </c>
      <c r="KE317" s="1008"/>
      <c r="KF317" s="1007">
        <v>0</v>
      </c>
      <c r="KG317" s="1008"/>
      <c r="KH317" s="1007">
        <v>0</v>
      </c>
      <c r="KI317" s="1008" t="s">
        <v>224</v>
      </c>
      <c r="KJ317" s="1007">
        <v>6.4100383600000006</v>
      </c>
      <c r="KK317" s="1008"/>
      <c r="KL317" s="1007">
        <v>-3.0839204000000002</v>
      </c>
      <c r="KM317" s="1008"/>
      <c r="KN317" s="1007">
        <v>0</v>
      </c>
      <c r="KO317" s="1008"/>
      <c r="KP317" s="1007">
        <v>0</v>
      </c>
      <c r="KQ317" s="1008"/>
      <c r="KR317" s="1007"/>
      <c r="KS317" s="1008"/>
      <c r="KT317" s="1007"/>
      <c r="KU317" s="1008"/>
      <c r="KV317" s="1007" t="s">
        <v>192</v>
      </c>
      <c r="KW317" s="1008"/>
      <c r="KX317" s="1007"/>
      <c r="KY317" s="1008">
        <v>3.9749999999999996</v>
      </c>
      <c r="KZ317" s="1007">
        <v>4.7549999999999999</v>
      </c>
      <c r="LA317" s="1008">
        <v>1.2500000000000001E-2</v>
      </c>
      <c r="LB317" s="1007">
        <v>2.3897499999999998</v>
      </c>
      <c r="LC317" s="1008"/>
      <c r="LD317" s="1007">
        <v>1.225625</v>
      </c>
      <c r="LE317" s="1008">
        <v>1.4661250000000001</v>
      </c>
      <c r="LF317" s="1007">
        <v>3.8541666666666672E-3</v>
      </c>
      <c r="LG317" s="1008">
        <v>0.73683958333333333</v>
      </c>
      <c r="LH317" s="1007">
        <v>-1.8582954000000003</v>
      </c>
      <c r="LI317" s="1008">
        <v>-2.2338750000000003</v>
      </c>
      <c r="LJ317" s="1007">
        <v>-0.29614583333333333</v>
      </c>
      <c r="LK317" s="1008">
        <v>-313.26316041666666</v>
      </c>
      <c r="LL317" s="1007"/>
      <c r="LM317" s="1008"/>
      <c r="LN317" s="1007"/>
      <c r="LO317" s="1008"/>
      <c r="LP317" s="1007"/>
      <c r="LQ317" s="1008"/>
      <c r="LR317" s="1007"/>
      <c r="LS317" s="1008"/>
      <c r="LT317" s="1007"/>
      <c r="LU317" s="1008"/>
      <c r="LV317" s="1007"/>
      <c r="LW317" s="1008"/>
      <c r="LX317" s="1007"/>
      <c r="LY317" s="1009"/>
      <c r="LZ317" s="1010"/>
      <c r="MA317" s="1011"/>
      <c r="MB317" s="1012"/>
      <c r="MC317" s="995"/>
      <c r="MD317" s="996"/>
      <c r="ME317" s="997" t="s">
        <v>202</v>
      </c>
      <c r="MF317" s="997"/>
      <c r="MG317" s="998"/>
      <c r="NR317" s="1000"/>
      <c r="NS317" s="1000"/>
      <c r="NT317" s="1001"/>
      <c r="NU317" s="1000"/>
      <c r="NV317" s="1001"/>
      <c r="NX317" s="1002"/>
      <c r="NZ317" s="1001"/>
      <c r="OA317" s="1001"/>
      <c r="OC317" s="1003"/>
      <c r="OD317" s="1003"/>
      <c r="OE317" s="1001"/>
      <c r="OF317" s="1003"/>
      <c r="OG317" s="1003"/>
      <c r="QX317" s="1000">
        <f>CN317-CA317</f>
        <v>88</v>
      </c>
      <c r="ASU317" s="999" t="s">
        <v>315</v>
      </c>
    </row>
    <row r="318" spans="1:466 1191:1191" ht="21" customHeight="1" x14ac:dyDescent="0.25">
      <c r="A318" s="982">
        <f t="shared" si="215"/>
        <v>1327</v>
      </c>
      <c r="B318" s="124">
        <f>SUBTOTAL(103,$J$29:J318)</f>
        <v>290</v>
      </c>
      <c r="C318" s="126">
        <v>45068</v>
      </c>
      <c r="D318" s="124" t="s">
        <v>176</v>
      </c>
      <c r="E318" s="127" t="s">
        <v>177</v>
      </c>
      <c r="F318" s="128" t="s">
        <v>177</v>
      </c>
      <c r="G318" s="127" t="s">
        <v>178</v>
      </c>
      <c r="H318" s="127" t="s">
        <v>179</v>
      </c>
      <c r="I318" s="127" t="s">
        <v>1132</v>
      </c>
      <c r="J318" s="152">
        <v>1327</v>
      </c>
      <c r="K318" s="127" t="s">
        <v>1132</v>
      </c>
      <c r="L318" s="130">
        <v>42364</v>
      </c>
      <c r="M318" s="127" t="s">
        <v>230</v>
      </c>
      <c r="N318" s="127" t="s">
        <v>184</v>
      </c>
      <c r="O318" s="127" t="s">
        <v>185</v>
      </c>
      <c r="P318" s="127" t="s">
        <v>186</v>
      </c>
      <c r="Q318" s="85" t="str">
        <f t="shared" si="249"/>
        <v/>
      </c>
      <c r="R318" s="130"/>
      <c r="S318" s="128"/>
      <c r="T318" s="131"/>
      <c r="U318" s="132">
        <v>203</v>
      </c>
      <c r="V318" s="121">
        <v>218.2</v>
      </c>
      <c r="W318" s="116">
        <v>0.98</v>
      </c>
      <c r="X318" s="116">
        <v>1.66</v>
      </c>
      <c r="Y318" s="116">
        <f t="shared" si="239"/>
        <v>0.98</v>
      </c>
      <c r="Z318" s="133">
        <v>1.454</v>
      </c>
      <c r="AA318" s="133">
        <v>0.83599999999999997</v>
      </c>
      <c r="AB318" s="133">
        <v>0.72</v>
      </c>
      <c r="AC318" s="121">
        <v>34.299999999999997</v>
      </c>
      <c r="AD318" s="134">
        <v>1.17</v>
      </c>
      <c r="AE318" s="124">
        <v>177.8</v>
      </c>
      <c r="AF318" s="128">
        <v>9.19</v>
      </c>
      <c r="AG318" s="128">
        <v>2328</v>
      </c>
      <c r="AH318" s="127">
        <v>2945</v>
      </c>
      <c r="AI318" s="127">
        <v>2935</v>
      </c>
      <c r="AJ318" s="135"/>
      <c r="AK318" s="128"/>
      <c r="AL318" s="131"/>
      <c r="AM318" s="124" t="s">
        <v>985</v>
      </c>
      <c r="AN318" s="206" t="s">
        <v>1353</v>
      </c>
      <c r="AO318" s="137">
        <v>12.97</v>
      </c>
      <c r="AP318" s="128">
        <v>2245</v>
      </c>
      <c r="AQ318" s="128">
        <v>389.9</v>
      </c>
      <c r="AR318" s="128"/>
      <c r="AS318" s="128"/>
      <c r="AT318" s="122"/>
      <c r="AU318" s="124" t="s">
        <v>189</v>
      </c>
      <c r="AV318" s="115">
        <f>VLOOKUP(J318,'[63]ТР нефть'!$J$28:$BP$638,39,0)</f>
        <v>549.99999140600005</v>
      </c>
      <c r="AW318" s="115" t="str">
        <f>VLOOKUP(J318,'[63]ТР нефть'!$J$28:$BP$638,40,0)</f>
        <v>ГП</v>
      </c>
      <c r="AX318" s="115">
        <f>VLOOKUP(J318,'[63]ТР нефть'!$J$28:$BP$638,41,0)</f>
        <v>930.00001523399999</v>
      </c>
      <c r="AY318" s="115" t="str">
        <f>VLOOKUP(J318,'[63]ТР нефть'!$J$28:$BP$638,42,0)</f>
        <v>ГП</v>
      </c>
      <c r="AZ318" s="115">
        <f>VLOOKUP(J318,'[63]ТР нефть'!$J$28:$BP$638,43,0)</f>
        <v>1249.9999804690001</v>
      </c>
      <c r="BA318" s="115" t="str">
        <f>VLOOKUP(J318,'[63]ТР нефть'!$J$28:$BP$638,44,0)</f>
        <v>ГК79 1/8</v>
      </c>
      <c r="BB318" s="115">
        <f>VLOOKUP(J318,'[63]ТР нефть'!$J$28:$BP$638,45,0)</f>
        <v>1469.9999472659999</v>
      </c>
      <c r="BC318" s="115" t="str">
        <f>VLOOKUP(J318,'[63]ТР нефть'!$J$28:$BP$638,46,0)</f>
        <v>ГК79 1/8</v>
      </c>
      <c r="BD318" s="115">
        <f>VLOOKUP(J318,'[63]ТР нефть'!$J$28:$BP$638,47,0)</f>
        <v>1649.999974219</v>
      </c>
      <c r="BE318" s="115" t="str">
        <f>VLOOKUP(J318,'[63]ТР нефть'!$J$28:$BP$638,48,0)</f>
        <v>ГК78 5/32</v>
      </c>
      <c r="BF318" s="115">
        <f>VLOOKUP(J318,'[63]ТР нефть'!$J$28:$BP$638,49,0)</f>
        <v>1800</v>
      </c>
      <c r="BG318" s="115" t="str">
        <f>VLOOKUP(J318,'[63]ТР нефть'!$J$28:$BP$638,50,0)</f>
        <v>ЦКсОК 5/16</v>
      </c>
      <c r="BH318" s="115">
        <f>VLOOKUP(J318,'[63]ТР нефть'!$J$28:$BP$638,51,0)</f>
        <v>1920</v>
      </c>
      <c r="BI318" s="115" t="str">
        <f>VLOOKUP(J318,'[63]ТР нефть'!$J$28:$BP$638,52,0)</f>
        <v>открыт</v>
      </c>
      <c r="BJ318" s="115" t="str">
        <f>IF(IFERROR(VLOOKUP(J318,'[63]ТР нефть'!$J$28:$BP$638,53,0),"-")=0,"-",IFERROR(VLOOKUP(J318,'[63]ТР нефть'!$J$28:$BP$638,53,0),"-"))</f>
        <v>-</v>
      </c>
      <c r="BK318" s="138" t="str">
        <f>IF(IFERROR(VLOOKUP(J318,'[63]ТР нефть'!$J$28:$BP$638,54,0),"-")=0,"-",IFERROR(VLOOKUP(J318,'[63]ТР нефть'!$J$28:$BP$638,54,0),"-"))</f>
        <v>-</v>
      </c>
      <c r="BL318" s="138" t="str">
        <f>IF(IFERROR(VLOOKUP(J318,'[63]ТР нефть'!$J$28:$BP$638,55,0),"-")=0,"-",IFERROR(VLOOKUP(J318,'[63]ТР нефть'!$J$28:$BP$638,55,0),"-"))</f>
        <v>-</v>
      </c>
      <c r="BM318" s="138" t="str">
        <f>IF(IFERROR(VLOOKUP(J318,'[63]ТР нефть'!$J$28:$BP$638,56,0),"-")=0,"-",IFERROR(VLOOKUP(J318,'[63]ТР нефть'!$J$28:$BP$638,56,0),"-"))</f>
        <v>-</v>
      </c>
      <c r="BN318" s="138" t="str">
        <f>IF(IFERROR(VLOOKUP(J318,'[63]ТР нефть'!$J$28:$BP$638,57,0),"-")=0,"-",IFERROR(VLOOKUP(J318,'[63]ТР нефть'!$J$28:$BP$638,57,0),"-"))</f>
        <v>-</v>
      </c>
      <c r="BO318" s="115" t="str">
        <f>IF(IFERROR(VLOOKUP(J318,'[63]ТР нефть'!$J$28:$BP$638,58,0),"-")=0,"-",IFERROR(VLOOKUP(J318,'[63]ТР нефть'!$J$28:$BP$638,58,0),"-"))</f>
        <v>-</v>
      </c>
      <c r="BP318" s="115" t="str">
        <f>IF(IFERROR(VLOOKUP(J318,'[63]ТР нефть'!$J$28:$BP$638,59,0),"-")=0,"-",IFERROR(VLOOKUP(J318,'[63]ТР нефть'!$J$28:$BP$638,59,0),"-"))</f>
        <v>-</v>
      </c>
      <c r="BQ318" s="138">
        <v>2250</v>
      </c>
      <c r="BR318" s="128">
        <v>2000.4</v>
      </c>
      <c r="BS318" s="115">
        <f t="shared" si="211"/>
        <v>249.59999999999991</v>
      </c>
      <c r="BT318" s="128">
        <v>73</v>
      </c>
      <c r="BU318" s="128">
        <v>5.5</v>
      </c>
      <c r="BV318" s="127">
        <v>18</v>
      </c>
      <c r="BW318" s="127" t="s">
        <v>194</v>
      </c>
      <c r="BX318" s="127" t="s">
        <v>195</v>
      </c>
      <c r="BY318" s="139">
        <v>24</v>
      </c>
      <c r="BZ318" s="139">
        <v>0</v>
      </c>
      <c r="CA318" s="138">
        <v>28</v>
      </c>
      <c r="CB318" s="138">
        <v>42</v>
      </c>
      <c r="CC318" s="138">
        <v>27</v>
      </c>
      <c r="CD318" s="135">
        <v>45017</v>
      </c>
      <c r="CE318" s="138">
        <v>83</v>
      </c>
      <c r="CF318" s="138">
        <v>70</v>
      </c>
      <c r="CG318" s="138" t="str">
        <f t="shared" si="251"/>
        <v>В работе</v>
      </c>
      <c r="CH318" s="138" t="s">
        <v>272</v>
      </c>
      <c r="CI318" s="127"/>
      <c r="CJ318" s="138"/>
      <c r="CK318" s="138">
        <f t="shared" si="207"/>
        <v>29</v>
      </c>
      <c r="CL318" s="99"/>
      <c r="CM318" s="99"/>
      <c r="CN318" s="140">
        <v>57</v>
      </c>
      <c r="CO318" s="141">
        <f t="shared" si="216"/>
        <v>5.016</v>
      </c>
      <c r="CP318" s="142">
        <v>6</v>
      </c>
      <c r="CQ318" s="143">
        <v>0</v>
      </c>
      <c r="CR318" s="115">
        <v>8</v>
      </c>
      <c r="CS318" s="139">
        <v>5.4</v>
      </c>
      <c r="CT318" s="138"/>
      <c r="CU318" s="138">
        <f t="shared" si="235"/>
        <v>2.5999999999999996</v>
      </c>
      <c r="CV318" s="115">
        <f t="shared" si="236"/>
        <v>518.34130781499198</v>
      </c>
      <c r="CW318" s="115">
        <f t="shared" si="217"/>
        <v>1076.5550239234451</v>
      </c>
      <c r="CX318" s="133">
        <f t="shared" si="237"/>
        <v>0.23076923076923078</v>
      </c>
      <c r="CY318" s="116"/>
      <c r="CZ318" s="131"/>
      <c r="DA318" s="145" t="str">
        <f t="shared" si="218"/>
        <v>Газлифт</v>
      </c>
      <c r="DB318" s="146">
        <f t="shared" si="219"/>
        <v>5.016</v>
      </c>
      <c r="DC318" s="142">
        <f t="shared" si="234"/>
        <v>6</v>
      </c>
      <c r="DD318" s="119">
        <f t="shared" si="250"/>
        <v>0</v>
      </c>
      <c r="DE318" s="115">
        <f t="shared" si="220"/>
        <v>2.5999999999999996</v>
      </c>
      <c r="DF318" s="121">
        <f t="shared" si="221"/>
        <v>5.4</v>
      </c>
      <c r="DG318" s="115">
        <f t="shared" si="222"/>
        <v>518.34130781499198</v>
      </c>
      <c r="DH318" s="115">
        <f t="shared" si="223"/>
        <v>57</v>
      </c>
      <c r="DI318" s="147"/>
      <c r="DJ318" s="111">
        <v>43495</v>
      </c>
      <c r="DK318" s="112">
        <v>43189</v>
      </c>
      <c r="DL318" s="113">
        <f t="shared" ca="1" si="240"/>
        <v>1915</v>
      </c>
      <c r="DM318" s="114"/>
      <c r="DN318" s="114"/>
      <c r="DO318" s="114"/>
      <c r="DP318" s="114"/>
      <c r="DQ318" s="112">
        <v>42369</v>
      </c>
      <c r="DR318" s="114" t="s">
        <v>324</v>
      </c>
      <c r="DS318" s="114"/>
      <c r="DT318" s="115">
        <v>60</v>
      </c>
      <c r="DU318" s="116">
        <f t="shared" si="241"/>
        <v>0.2608695652173913</v>
      </c>
      <c r="DV318" s="117">
        <f t="shared" si="242"/>
        <v>5.016</v>
      </c>
      <c r="DW318" s="118">
        <f t="shared" si="243"/>
        <v>6</v>
      </c>
      <c r="DX318" s="119">
        <f t="shared" si="224"/>
        <v>0</v>
      </c>
      <c r="DY318" s="115">
        <f t="shared" si="244"/>
        <v>2.5999999999999996</v>
      </c>
      <c r="DZ318" s="117">
        <f t="shared" si="245"/>
        <v>0</v>
      </c>
      <c r="EA318" s="120">
        <f t="shared" si="245"/>
        <v>0</v>
      </c>
      <c r="EB318" s="119">
        <f t="shared" si="245"/>
        <v>0</v>
      </c>
      <c r="EC318" s="121">
        <f t="shared" si="246"/>
        <v>0</v>
      </c>
      <c r="ED318" s="122" t="s">
        <v>1354</v>
      </c>
      <c r="EE318" s="145">
        <v>18</v>
      </c>
      <c r="EF318" s="115">
        <v>28</v>
      </c>
      <c r="EG318" s="115">
        <v>42</v>
      </c>
      <c r="EH318" s="115">
        <v>27</v>
      </c>
      <c r="EI318" s="128" t="s">
        <v>218</v>
      </c>
      <c r="EJ318" s="121">
        <v>24</v>
      </c>
      <c r="EK318" s="121">
        <v>24</v>
      </c>
      <c r="EL318" s="149">
        <v>5.016</v>
      </c>
      <c r="EM318" s="142">
        <v>6</v>
      </c>
      <c r="EN318" s="119">
        <v>0</v>
      </c>
      <c r="EO318" s="115">
        <v>8</v>
      </c>
      <c r="EP318" s="115">
        <v>518.34130781499198</v>
      </c>
      <c r="EQ318" s="115">
        <v>70</v>
      </c>
      <c r="ER318" s="115">
        <v>5.4</v>
      </c>
      <c r="ES318" s="115">
        <v>57</v>
      </c>
      <c r="ET318" s="150">
        <v>0.23076923076923078</v>
      </c>
      <c r="EU318" s="145">
        <f t="shared" si="225"/>
        <v>18</v>
      </c>
      <c r="EV318" s="115">
        <f t="shared" si="226"/>
        <v>28</v>
      </c>
      <c r="EW318" s="115">
        <f t="shared" si="226"/>
        <v>42</v>
      </c>
      <c r="EX318" s="115">
        <f t="shared" si="226"/>
        <v>27</v>
      </c>
      <c r="EY318" s="115" t="str">
        <f t="shared" si="206"/>
        <v>Постоянный</v>
      </c>
      <c r="EZ318" s="115">
        <f t="shared" si="206"/>
        <v>24</v>
      </c>
      <c r="FA318" s="115">
        <f t="shared" si="206"/>
        <v>0</v>
      </c>
      <c r="FB318" s="149">
        <f t="shared" si="238"/>
        <v>5.016</v>
      </c>
      <c r="FC318" s="142">
        <f t="shared" si="238"/>
        <v>6</v>
      </c>
      <c r="FD318" s="119">
        <f t="shared" si="238"/>
        <v>0</v>
      </c>
      <c r="FE318" s="121">
        <f t="shared" si="208"/>
        <v>8</v>
      </c>
      <c r="FF318" s="121">
        <f t="shared" si="247"/>
        <v>518.34130781499198</v>
      </c>
      <c r="FG318" s="121">
        <f t="shared" si="227"/>
        <v>70</v>
      </c>
      <c r="FH318" s="121">
        <f t="shared" si="248"/>
        <v>5.4</v>
      </c>
      <c r="FI318" s="121">
        <f t="shared" si="252"/>
        <v>57</v>
      </c>
      <c r="FJ318" s="144">
        <f t="shared" si="228"/>
        <v>0.23076923076923078</v>
      </c>
      <c r="FK318" s="132">
        <f t="shared" si="229"/>
        <v>0</v>
      </c>
      <c r="FL318" s="115">
        <f t="shared" si="229"/>
        <v>0</v>
      </c>
      <c r="FM318" s="115">
        <f t="shared" si="229"/>
        <v>0</v>
      </c>
      <c r="FN318" s="115">
        <f t="shared" si="229"/>
        <v>0</v>
      </c>
      <c r="FO318" s="115">
        <f t="shared" si="232"/>
        <v>0</v>
      </c>
      <c r="FP318" s="115">
        <f t="shared" si="232"/>
        <v>-24</v>
      </c>
      <c r="FQ318" s="149">
        <f t="shared" si="232"/>
        <v>0</v>
      </c>
      <c r="FR318" s="142">
        <f t="shared" si="232"/>
        <v>0</v>
      </c>
      <c r="FS318" s="119">
        <f t="shared" si="232"/>
        <v>0</v>
      </c>
      <c r="FT318" s="121">
        <f t="shared" si="232"/>
        <v>0</v>
      </c>
      <c r="FU318" s="121">
        <f t="shared" si="230"/>
        <v>0</v>
      </c>
      <c r="FV318" s="121">
        <f t="shared" si="230"/>
        <v>0</v>
      </c>
      <c r="FW318" s="121">
        <f t="shared" si="231"/>
        <v>0</v>
      </c>
      <c r="FX318" s="121">
        <f t="shared" si="233"/>
        <v>0</v>
      </c>
      <c r="FY318" s="144">
        <f t="shared" si="214"/>
        <v>0</v>
      </c>
      <c r="FZ318" s="145"/>
      <c r="GA318" s="125"/>
      <c r="GB318" s="145"/>
      <c r="GC318" s="125"/>
      <c r="GD318" s="997" t="s">
        <v>202</v>
      </c>
      <c r="GE318" s="1004"/>
      <c r="GF318" s="1004">
        <v>0</v>
      </c>
      <c r="GG318" s="1004"/>
      <c r="GH318" s="1004">
        <v>0.91959999999999997</v>
      </c>
      <c r="GI318" s="145"/>
      <c r="GJ318" s="996">
        <v>0</v>
      </c>
      <c r="GK318" s="145"/>
      <c r="GL318" s="996">
        <v>0</v>
      </c>
      <c r="GM318" s="1005"/>
      <c r="GN318" s="996">
        <v>0</v>
      </c>
      <c r="GO318" s="1006"/>
      <c r="GP318" s="996">
        <v>0</v>
      </c>
      <c r="GQ318" s="1006"/>
      <c r="GR318" s="996">
        <v>0</v>
      </c>
      <c r="GS318" s="1006"/>
      <c r="GT318" s="996">
        <v>0</v>
      </c>
      <c r="GU318" s="1006"/>
      <c r="GV318" s="996">
        <v>0</v>
      </c>
      <c r="GW318" s="1006"/>
      <c r="GX318" s="1035">
        <v>-0.46248941200000004</v>
      </c>
      <c r="GY318" s="1006"/>
      <c r="GZ318" s="996">
        <v>0</v>
      </c>
      <c r="HA318" s="1006" t="s">
        <v>223</v>
      </c>
      <c r="HB318" s="996">
        <v>-3.5172259716000012</v>
      </c>
      <c r="HC318" s="1006" t="s">
        <v>199</v>
      </c>
      <c r="HD318" s="996">
        <v>0</v>
      </c>
      <c r="HE318" s="1006"/>
      <c r="HF318" s="996">
        <v>0</v>
      </c>
      <c r="HG318" s="1006"/>
      <c r="HH318" s="996">
        <v>-0.28388461639999818</v>
      </c>
      <c r="HI318" s="1006" t="s">
        <v>203</v>
      </c>
      <c r="HJ318" s="996">
        <v>-4.7600126199999995</v>
      </c>
      <c r="HK318" s="1006" t="s">
        <v>308</v>
      </c>
      <c r="HL318" s="996">
        <v>6.378889835999999</v>
      </c>
      <c r="HM318" s="1006"/>
      <c r="HN318" s="996">
        <v>0</v>
      </c>
      <c r="HO318" s="1006"/>
      <c r="HP318" s="996">
        <v>0</v>
      </c>
      <c r="HQ318" s="1006"/>
      <c r="HR318" s="996">
        <v>0</v>
      </c>
      <c r="HS318" s="1006"/>
      <c r="HT318" s="996">
        <v>0</v>
      </c>
      <c r="HU318" s="1006" t="s">
        <v>204</v>
      </c>
      <c r="HV318" s="996">
        <v>-2.6772532160000004</v>
      </c>
      <c r="HW318" s="1006" t="s">
        <v>199</v>
      </c>
      <c r="HX318" s="996">
        <v>1.5820046000000012</v>
      </c>
      <c r="HY318" s="1006"/>
      <c r="HZ318" s="996">
        <v>-0.10562860000000018</v>
      </c>
      <c r="IA318" s="1006"/>
      <c r="IB318" s="996">
        <v>0</v>
      </c>
      <c r="IC318" s="1006"/>
      <c r="ID318" s="996">
        <v>0</v>
      </c>
      <c r="IE318" s="1006"/>
      <c r="IF318" s="996">
        <v>8.3599999999999675E-2</v>
      </c>
      <c r="IG318" s="1006"/>
      <c r="IH318" s="996">
        <v>-0.50159999999999982</v>
      </c>
      <c r="II318" s="1006"/>
      <c r="IJ318" s="996">
        <v>0.83599999999999941</v>
      </c>
      <c r="IK318" s="1006"/>
      <c r="IL318" s="996">
        <v>0</v>
      </c>
      <c r="IM318" s="1006"/>
      <c r="IN318" s="996">
        <v>0</v>
      </c>
      <c r="IO318" s="1006"/>
      <c r="IP318" s="996">
        <v>0</v>
      </c>
      <c r="IQ318" s="1006"/>
      <c r="IR318" s="996">
        <v>0</v>
      </c>
      <c r="IS318" s="1006"/>
      <c r="IT318" s="996">
        <v>0</v>
      </c>
      <c r="IU318" s="1006"/>
      <c r="IV318" s="996">
        <v>0</v>
      </c>
      <c r="IW318" s="1006"/>
      <c r="IX318" s="996">
        <v>-0.83599999999999941</v>
      </c>
      <c r="IY318" s="1006"/>
      <c r="IZ318" s="996">
        <v>-0.8360000000000003</v>
      </c>
      <c r="JA318" s="1006"/>
      <c r="JB318" s="996">
        <v>-0.8360000000000003</v>
      </c>
      <c r="JC318" s="1006"/>
      <c r="JD318" s="996">
        <v>0</v>
      </c>
      <c r="JE318" s="1006"/>
      <c r="JF318" s="996">
        <v>0</v>
      </c>
      <c r="JG318" s="1006"/>
      <c r="JH318" s="996">
        <v>0</v>
      </c>
      <c r="JI318" s="1006" t="s">
        <v>199</v>
      </c>
      <c r="JJ318" s="996">
        <v>-5.016</v>
      </c>
      <c r="JK318" s="1007" t="s">
        <v>204</v>
      </c>
      <c r="JL318" s="1007">
        <v>-6.2653183999999964</v>
      </c>
      <c r="JM318" s="1007" t="s">
        <v>199</v>
      </c>
      <c r="JN318" s="1007">
        <v>12.953318399999997</v>
      </c>
      <c r="JO318" s="1008" t="s">
        <v>199</v>
      </c>
      <c r="JP318" s="1007">
        <v>-4.18</v>
      </c>
      <c r="JQ318" s="1008" t="s">
        <v>199</v>
      </c>
      <c r="JR318" s="1007">
        <v>10.867999999999999</v>
      </c>
      <c r="JS318" s="1008" t="s">
        <v>199</v>
      </c>
      <c r="JT318" s="1007">
        <v>-6.27</v>
      </c>
      <c r="JU318" s="1008"/>
      <c r="JV318" s="1007">
        <v>0</v>
      </c>
      <c r="JW318" s="1008" t="s">
        <v>197</v>
      </c>
      <c r="JX318" s="1007">
        <v>0</v>
      </c>
      <c r="JY318" s="1008"/>
      <c r="JZ318" s="1007">
        <v>0</v>
      </c>
      <c r="KA318" s="1008"/>
      <c r="KB318" s="1007">
        <v>0</v>
      </c>
      <c r="KC318" s="1008"/>
      <c r="KD318" s="1007">
        <v>0</v>
      </c>
      <c r="KE318" s="1008" t="s">
        <v>204</v>
      </c>
      <c r="KF318" s="1007">
        <v>-0.41800000000000015</v>
      </c>
      <c r="KG318" s="1008"/>
      <c r="KH318" s="1007">
        <v>0</v>
      </c>
      <c r="KI318" s="1008"/>
      <c r="KJ318" s="1007">
        <v>0</v>
      </c>
      <c r="KK318" s="1008"/>
      <c r="KL318" s="1007">
        <v>0</v>
      </c>
      <c r="KM318" s="1008" t="s">
        <v>314</v>
      </c>
      <c r="KN318" s="1007">
        <v>2.508</v>
      </c>
      <c r="KO318" s="1008" t="s">
        <v>314</v>
      </c>
      <c r="KP318" s="1007">
        <v>1.7472399999999997</v>
      </c>
      <c r="KQ318" s="1008">
        <v>0</v>
      </c>
      <c r="KR318" s="1007">
        <v>0</v>
      </c>
      <c r="KS318" s="1008">
        <v>0</v>
      </c>
      <c r="KT318" s="1007">
        <v>0</v>
      </c>
      <c r="KU318" s="1008" t="s">
        <v>207</v>
      </c>
      <c r="KV318" s="1007">
        <v>-2.791236800000001</v>
      </c>
      <c r="KW318" s="1008">
        <v>0</v>
      </c>
      <c r="KX318" s="1007">
        <v>0</v>
      </c>
      <c r="KY318" s="1008">
        <v>0</v>
      </c>
      <c r="KZ318" s="1007">
        <v>0</v>
      </c>
      <c r="LA318" s="1008">
        <v>0</v>
      </c>
      <c r="LB318" s="1007">
        <v>0</v>
      </c>
      <c r="LC318" s="1008">
        <v>0</v>
      </c>
      <c r="LD318" s="1007">
        <v>0</v>
      </c>
      <c r="LE318" s="1008">
        <v>0</v>
      </c>
      <c r="LF318" s="1007">
        <v>0</v>
      </c>
      <c r="LG318" s="1008">
        <v>0</v>
      </c>
      <c r="LH318" s="1007">
        <v>0</v>
      </c>
      <c r="LI318" s="1008">
        <v>0</v>
      </c>
      <c r="LJ318" s="1007">
        <v>0</v>
      </c>
      <c r="LK318" s="1008">
        <v>0</v>
      </c>
      <c r="LL318" s="1007">
        <v>0</v>
      </c>
      <c r="LM318" s="1008">
        <v>0</v>
      </c>
      <c r="LN318" s="1007">
        <v>0</v>
      </c>
      <c r="LO318" s="1008" t="s">
        <v>206</v>
      </c>
      <c r="LP318" s="1007">
        <v>1.66296</v>
      </c>
      <c r="LQ318" s="1008">
        <v>0</v>
      </c>
      <c r="LR318" s="1007">
        <v>0.332592</v>
      </c>
      <c r="LS318" s="1008">
        <v>0</v>
      </c>
      <c r="LT318" s="1007">
        <v>0</v>
      </c>
      <c r="LU318" s="1008">
        <v>0</v>
      </c>
      <c r="LV318" s="1007">
        <v>0</v>
      </c>
      <c r="LW318" s="1008">
        <v>0</v>
      </c>
      <c r="LX318" s="1007">
        <v>0</v>
      </c>
      <c r="LY318" s="1009">
        <v>0</v>
      </c>
      <c r="LZ318" s="1010">
        <v>0</v>
      </c>
      <c r="MA318" s="1011">
        <v>0</v>
      </c>
      <c r="MB318" s="1012">
        <v>-0.41574100000000003</v>
      </c>
      <c r="MC318" s="995"/>
      <c r="MD318" s="996"/>
      <c r="ME318" s="997" t="s">
        <v>202</v>
      </c>
      <c r="MF318" s="997"/>
      <c r="MG318" s="998"/>
      <c r="NR318" s="1000"/>
      <c r="NS318" s="1000"/>
      <c r="NT318" s="1001"/>
      <c r="NU318" s="1000"/>
      <c r="NV318" s="1001"/>
      <c r="NX318" s="1002"/>
      <c r="NZ318" s="1001"/>
      <c r="OA318" s="1001"/>
      <c r="OC318" s="1003"/>
      <c r="OD318" s="1003"/>
      <c r="OE318" s="1001"/>
      <c r="OF318" s="1003"/>
      <c r="OG318" s="1003"/>
      <c r="QX318" s="1000">
        <f>CN318-CA318</f>
        <v>29</v>
      </c>
      <c r="ASU318" s="999" t="s">
        <v>208</v>
      </c>
    </row>
    <row r="319" spans="1:466 1191:1191" ht="21" customHeight="1" x14ac:dyDescent="0.25">
      <c r="A319" s="982">
        <f t="shared" si="215"/>
        <v>1328</v>
      </c>
      <c r="B319" s="124">
        <f>SUBTOTAL(103,$J$29:J319)</f>
        <v>291</v>
      </c>
      <c r="C319" s="126">
        <v>45068</v>
      </c>
      <c r="D319" s="124" t="s">
        <v>176</v>
      </c>
      <c r="E319" s="127" t="s">
        <v>177</v>
      </c>
      <c r="F319" s="128" t="s">
        <v>177</v>
      </c>
      <c r="G319" s="127" t="s">
        <v>178</v>
      </c>
      <c r="H319" s="127" t="s">
        <v>179</v>
      </c>
      <c r="I319" s="127" t="s">
        <v>1299</v>
      </c>
      <c r="J319" s="152">
        <v>1328</v>
      </c>
      <c r="K319" s="127" t="s">
        <v>1299</v>
      </c>
      <c r="L319" s="130">
        <v>43980</v>
      </c>
      <c r="M319" s="127" t="s">
        <v>230</v>
      </c>
      <c r="N319" s="127" t="s">
        <v>184</v>
      </c>
      <c r="O319" s="127" t="s">
        <v>185</v>
      </c>
      <c r="P319" s="127" t="s">
        <v>186</v>
      </c>
      <c r="Q319" s="85" t="str">
        <f t="shared" si="249"/>
        <v/>
      </c>
      <c r="R319" s="130"/>
      <c r="S319" s="128"/>
      <c r="T319" s="131"/>
      <c r="U319" s="132">
        <v>203</v>
      </c>
      <c r="V319" s="121">
        <v>218.2</v>
      </c>
      <c r="W319" s="116">
        <v>0.98</v>
      </c>
      <c r="X319" s="116">
        <v>1.66</v>
      </c>
      <c r="Y319" s="116">
        <f t="shared" si="239"/>
        <v>1.1720461095100865</v>
      </c>
      <c r="Z319" s="133">
        <v>1.454</v>
      </c>
      <c r="AA319" s="133">
        <v>0.83599999999999997</v>
      </c>
      <c r="AB319" s="133">
        <v>0.72</v>
      </c>
      <c r="AC319" s="121">
        <v>34.299999999999997</v>
      </c>
      <c r="AD319" s="134">
        <v>1.17</v>
      </c>
      <c r="AE319" s="124">
        <v>177.8</v>
      </c>
      <c r="AF319" s="128">
        <v>9.19</v>
      </c>
      <c r="AG319" s="128">
        <v>2367.5</v>
      </c>
      <c r="AH319" s="127">
        <v>2951</v>
      </c>
      <c r="AI319" s="127">
        <v>2951</v>
      </c>
      <c r="AJ319" s="135"/>
      <c r="AK319" s="128"/>
      <c r="AL319" s="131"/>
      <c r="AM319" s="124" t="s">
        <v>985</v>
      </c>
      <c r="AN319" s="136" t="s">
        <v>1355</v>
      </c>
      <c r="AO319" s="137">
        <f>1805.69+187.3-1774.39+187.3</f>
        <v>405.89999999999992</v>
      </c>
      <c r="AP319" s="128">
        <v>2528.87</v>
      </c>
      <c r="AQ319" s="128">
        <f>AP319-1774.39+187.39</f>
        <v>941.86999999999978</v>
      </c>
      <c r="AR319" s="128" t="s">
        <v>1356</v>
      </c>
      <c r="AS319" s="128">
        <v>114</v>
      </c>
      <c r="AT319" s="122">
        <v>7.37</v>
      </c>
      <c r="AU319" s="124" t="s">
        <v>189</v>
      </c>
      <c r="AV319" s="115">
        <f>VLOOKUP(J319,'[63]ТР нефть'!$J$28:$BP$638,39,0)</f>
        <v>579.99998349600003</v>
      </c>
      <c r="AW319" s="115" t="str">
        <f>VLOOKUP(J319,'[63]ТР нефть'!$J$28:$BP$638,40,0)</f>
        <v>ГП</v>
      </c>
      <c r="AX319" s="115">
        <f>VLOOKUP(J319,'[63]ТР нефть'!$J$28:$BP$638,41,0)</f>
        <v>1099.9999828130001</v>
      </c>
      <c r="AY319" s="115" t="str">
        <f>VLOOKUP(J319,'[63]ТР нефть'!$J$28:$BP$638,42,0)</f>
        <v>ГК 74 1/8</v>
      </c>
      <c r="AZ319" s="115">
        <f>VLOOKUP(J319,'[63]ТР нефть'!$J$28:$BP$638,43,0)</f>
        <v>1530.0000058590001</v>
      </c>
      <c r="BA319" s="115" t="str">
        <f>VLOOKUP(J319,'[63]ТР нефть'!$J$28:$BP$638,44,0)</f>
        <v>ГК 75 5/32</v>
      </c>
      <c r="BB319" s="115">
        <f>VLOOKUP(J319,'[63]ТР нефть'!$J$28:$BP$638,45,0)</f>
        <v>1885.000030078</v>
      </c>
      <c r="BC319" s="115" t="str">
        <f>VLOOKUP(J319,'[63]ТР нефть'!$J$28:$BP$638,46,0)</f>
        <v>ГК 75 5/32</v>
      </c>
      <c r="BD319" s="115">
        <f>VLOOKUP(J319,'[63]ТР нефть'!$J$28:$BP$638,47,0)</f>
        <v>2190.0000550780001</v>
      </c>
      <c r="BE319" s="115" t="str">
        <f>VLOOKUP(J319,'[63]ТР нефть'!$J$28:$BP$638,48,0)</f>
        <v>ЦКсОК 5/16</v>
      </c>
      <c r="BF319" s="115" t="str">
        <f>VLOOKUP(J319,'[63]ТР нефть'!$J$28:$BP$638,49,0)</f>
        <v>-</v>
      </c>
      <c r="BG319" s="115" t="str">
        <f>VLOOKUP(J319,'[63]ТР нефть'!$J$28:$BP$638,50,0)</f>
        <v>-</v>
      </c>
      <c r="BH319" s="115" t="str">
        <f>VLOOKUP(J319,'[63]ТР нефть'!$J$28:$BP$638,51,0)</f>
        <v>-</v>
      </c>
      <c r="BI319" s="115" t="str">
        <f>VLOOKUP(J319,'[63]ТР нефть'!$J$28:$BP$638,52,0)</f>
        <v>-</v>
      </c>
      <c r="BJ319" s="115" t="str">
        <f>IF(IFERROR(VLOOKUP(J319,'[63]ТР нефть'!$J$28:$BP$638,53,0),"-")=0,"-",IFERROR(VLOOKUP(J319,'[63]ТР нефть'!$J$28:$BP$638,53,0),"-"))</f>
        <v>-</v>
      </c>
      <c r="BK319" s="138" t="str">
        <f>IF(IFERROR(VLOOKUP(J319,'[63]ТР нефть'!$J$28:$BP$638,54,0),"-")=0,"-",IFERROR(VLOOKUP(J319,'[63]ТР нефть'!$J$28:$BP$638,54,0),"-"))</f>
        <v>-</v>
      </c>
      <c r="BL319" s="138" t="str">
        <f>IF(IFERROR(VLOOKUP(J319,'[63]ТР нефть'!$J$28:$BP$638,55,0),"-")=0,"-",IFERROR(VLOOKUP(J319,'[63]ТР нефть'!$J$28:$BP$638,55,0),"-"))</f>
        <v>-</v>
      </c>
      <c r="BM319" s="138" t="str">
        <f>IF(IFERROR(VLOOKUP(J319,'[63]ТР нефть'!$J$28:$BP$638,56,0),"-")=0,"-",IFERROR(VLOOKUP(J319,'[63]ТР нефть'!$J$28:$BP$638,56,0),"-"))</f>
        <v>-</v>
      </c>
      <c r="BN319" s="138" t="str">
        <f>IF(IFERROR(VLOOKUP(J319,'[63]ТР нефть'!$J$28:$BP$638,57,0),"-")=0,"-",IFERROR(VLOOKUP(J319,'[63]ТР нефть'!$J$28:$BP$638,57,0),"-"))</f>
        <v>-</v>
      </c>
      <c r="BO319" s="115" t="str">
        <f>IF(IFERROR(VLOOKUP(J319,'[63]ТР нефть'!$J$28:$BP$638,58,0),"-")=0,"-",IFERROR(VLOOKUP(J319,'[63]ТР нефть'!$J$28:$BP$638,58,0),"-"))</f>
        <v>-</v>
      </c>
      <c r="BP319" s="115" t="str">
        <f>IF(IFERROR(VLOOKUP(J319,'[63]ТР нефть'!$J$28:$BP$638,59,0),"-")=0,"-",IFERROR(VLOOKUP(J319,'[63]ТР нефть'!$J$28:$BP$638,59,0),"-"))</f>
        <v>-</v>
      </c>
      <c r="BQ319" s="138">
        <v>2317</v>
      </c>
      <c r="BR319" s="128">
        <f>1711.45+187.3</f>
        <v>1898.75</v>
      </c>
      <c r="BS319" s="115">
        <f t="shared" si="211"/>
        <v>418.25</v>
      </c>
      <c r="BT319" s="128">
        <v>73</v>
      </c>
      <c r="BU319" s="128">
        <v>5.5</v>
      </c>
      <c r="BV319" s="127">
        <v>18</v>
      </c>
      <c r="BW319" s="127" t="s">
        <v>194</v>
      </c>
      <c r="BX319" s="127" t="s">
        <v>218</v>
      </c>
      <c r="BY319" s="139">
        <v>24</v>
      </c>
      <c r="BZ319" s="139">
        <v>24</v>
      </c>
      <c r="CA319" s="138">
        <v>25</v>
      </c>
      <c r="CB319" s="138">
        <v>61</v>
      </c>
      <c r="CC319" s="138">
        <v>24</v>
      </c>
      <c r="CD319" s="135">
        <v>45017</v>
      </c>
      <c r="CE319" s="138">
        <v>172</v>
      </c>
      <c r="CF319" s="138">
        <v>72</v>
      </c>
      <c r="CG319" s="138" t="str">
        <f t="shared" si="251"/>
        <v>В работе</v>
      </c>
      <c r="CH319" s="138" t="s">
        <v>235</v>
      </c>
      <c r="CI319" s="127"/>
      <c r="CJ319" s="138"/>
      <c r="CK319" s="138">
        <f t="shared" si="207"/>
        <v>107</v>
      </c>
      <c r="CL319" s="99"/>
      <c r="CM319" s="99"/>
      <c r="CN319" s="140">
        <v>132</v>
      </c>
      <c r="CO319" s="141">
        <f t="shared" si="216"/>
        <v>1.0031999999999999</v>
      </c>
      <c r="CP319" s="142">
        <v>2</v>
      </c>
      <c r="CQ319" s="143">
        <v>40</v>
      </c>
      <c r="CR319" s="138">
        <v>10</v>
      </c>
      <c r="CS319" s="139">
        <v>9.6</v>
      </c>
      <c r="CT319" s="138"/>
      <c r="CU319" s="138">
        <f t="shared" si="235"/>
        <v>0.40000000000000036</v>
      </c>
      <c r="CV319" s="115">
        <f t="shared" si="236"/>
        <v>398.72408293460967</v>
      </c>
      <c r="CW319" s="115">
        <f t="shared" si="217"/>
        <v>4975.1243781094536</v>
      </c>
      <c r="CX319" s="133">
        <f t="shared" si="237"/>
        <v>0.05</v>
      </c>
      <c r="CY319" s="116"/>
      <c r="CZ319" s="131"/>
      <c r="DA319" s="145" t="str">
        <f t="shared" si="218"/>
        <v>Газлифт</v>
      </c>
      <c r="DB319" s="146">
        <f t="shared" si="219"/>
        <v>1.0031999999999999</v>
      </c>
      <c r="DC319" s="142">
        <f t="shared" si="234"/>
        <v>2</v>
      </c>
      <c r="DD319" s="119">
        <f t="shared" si="250"/>
        <v>40</v>
      </c>
      <c r="DE319" s="115">
        <f t="shared" si="220"/>
        <v>0.40000000000000036</v>
      </c>
      <c r="DF319" s="121">
        <f t="shared" si="221"/>
        <v>9.6</v>
      </c>
      <c r="DG319" s="115">
        <f t="shared" si="222"/>
        <v>398.72408293460967</v>
      </c>
      <c r="DH319" s="115">
        <f t="shared" si="223"/>
        <v>132</v>
      </c>
      <c r="DI319" s="147"/>
      <c r="DJ319" s="111"/>
      <c r="DK319" s="112">
        <v>43980</v>
      </c>
      <c r="DL319" s="113">
        <f t="shared" ca="1" si="240"/>
        <v>1124</v>
      </c>
      <c r="DM319" s="114"/>
      <c r="DN319" s="114"/>
      <c r="DO319" s="114"/>
      <c r="DP319" s="114"/>
      <c r="DQ319" s="112"/>
      <c r="DR319" s="114"/>
      <c r="DS319" s="114"/>
      <c r="DT319" s="115">
        <v>60</v>
      </c>
      <c r="DU319" s="116">
        <f t="shared" si="241"/>
        <v>3.9625360230547545E-2</v>
      </c>
      <c r="DV319" s="117">
        <f t="shared" si="242"/>
        <v>2.2261210374639764</v>
      </c>
      <c r="DW319" s="118">
        <f t="shared" si="243"/>
        <v>4.4380403458213253</v>
      </c>
      <c r="DX319" s="119">
        <f t="shared" si="224"/>
        <v>40</v>
      </c>
      <c r="DY319" s="115">
        <f t="shared" si="244"/>
        <v>0.88760806916426593</v>
      </c>
      <c r="DZ319" s="117">
        <f t="shared" si="245"/>
        <v>1.2229210374639765</v>
      </c>
      <c r="EA319" s="120">
        <f t="shared" si="245"/>
        <v>2.4380403458213253</v>
      </c>
      <c r="EB319" s="119">
        <f t="shared" si="245"/>
        <v>0</v>
      </c>
      <c r="EC319" s="121">
        <f t="shared" si="246"/>
        <v>0.48760806916426558</v>
      </c>
      <c r="ED319" s="122"/>
      <c r="EE319" s="145">
        <v>18</v>
      </c>
      <c r="EF319" s="115">
        <v>27</v>
      </c>
      <c r="EG319" s="115">
        <v>59</v>
      </c>
      <c r="EH319" s="115">
        <v>26</v>
      </c>
      <c r="EI319" s="128" t="s">
        <v>195</v>
      </c>
      <c r="EJ319" s="121">
        <v>24</v>
      </c>
      <c r="EK319" s="121">
        <v>0</v>
      </c>
      <c r="EL319" s="149">
        <v>1.0031999999999999</v>
      </c>
      <c r="EM319" s="117">
        <v>2</v>
      </c>
      <c r="EN319" s="119">
        <v>40</v>
      </c>
      <c r="EO319" s="115">
        <v>10</v>
      </c>
      <c r="EP319" s="115">
        <v>398.72408293460967</v>
      </c>
      <c r="EQ319" s="115">
        <v>70</v>
      </c>
      <c r="ER319" s="115">
        <v>9.6</v>
      </c>
      <c r="ES319" s="115">
        <v>125</v>
      </c>
      <c r="ET319" s="150">
        <v>4.2553191489361701E-2</v>
      </c>
      <c r="EU319" s="145">
        <f t="shared" si="225"/>
        <v>18</v>
      </c>
      <c r="EV319" s="115">
        <f t="shared" si="226"/>
        <v>25</v>
      </c>
      <c r="EW319" s="115">
        <f t="shared" si="226"/>
        <v>61</v>
      </c>
      <c r="EX319" s="115">
        <f t="shared" si="226"/>
        <v>24</v>
      </c>
      <c r="EY319" s="115" t="str">
        <f t="shared" si="206"/>
        <v>Периодический</v>
      </c>
      <c r="EZ319" s="115">
        <f t="shared" si="206"/>
        <v>24</v>
      </c>
      <c r="FA319" s="115">
        <f t="shared" si="206"/>
        <v>24</v>
      </c>
      <c r="FB319" s="149">
        <f t="shared" si="238"/>
        <v>1.0031999999999999</v>
      </c>
      <c r="FC319" s="142">
        <f t="shared" si="238"/>
        <v>2</v>
      </c>
      <c r="FD319" s="119">
        <f t="shared" si="238"/>
        <v>40</v>
      </c>
      <c r="FE319" s="121">
        <f t="shared" si="208"/>
        <v>10</v>
      </c>
      <c r="FF319" s="121">
        <f t="shared" si="247"/>
        <v>398.72408293460967</v>
      </c>
      <c r="FG319" s="121">
        <f t="shared" si="227"/>
        <v>72</v>
      </c>
      <c r="FH319" s="121">
        <f t="shared" si="248"/>
        <v>9.6</v>
      </c>
      <c r="FI319" s="121">
        <f t="shared" si="252"/>
        <v>132</v>
      </c>
      <c r="FJ319" s="144">
        <f t="shared" si="228"/>
        <v>0.05</v>
      </c>
      <c r="FK319" s="132">
        <f t="shared" si="229"/>
        <v>0</v>
      </c>
      <c r="FL319" s="115">
        <f t="shared" si="229"/>
        <v>-2</v>
      </c>
      <c r="FM319" s="115">
        <f t="shared" si="229"/>
        <v>2</v>
      </c>
      <c r="FN319" s="115">
        <f t="shared" si="229"/>
        <v>-2</v>
      </c>
      <c r="FO319" s="115">
        <f t="shared" si="232"/>
        <v>0</v>
      </c>
      <c r="FP319" s="115">
        <f t="shared" si="232"/>
        <v>24</v>
      </c>
      <c r="FQ319" s="149">
        <f t="shared" si="232"/>
        <v>0</v>
      </c>
      <c r="FR319" s="117">
        <f t="shared" si="232"/>
        <v>0</v>
      </c>
      <c r="FS319" s="119">
        <f t="shared" si="232"/>
        <v>0</v>
      </c>
      <c r="FT319" s="121">
        <f t="shared" si="232"/>
        <v>0</v>
      </c>
      <c r="FU319" s="121">
        <f t="shared" si="230"/>
        <v>2</v>
      </c>
      <c r="FV319" s="121">
        <f t="shared" si="230"/>
        <v>0</v>
      </c>
      <c r="FW319" s="121">
        <f t="shared" si="231"/>
        <v>0</v>
      </c>
      <c r="FX319" s="121">
        <f t="shared" si="233"/>
        <v>7</v>
      </c>
      <c r="FY319" s="144">
        <f t="shared" si="214"/>
        <v>7.4468085106383017E-3</v>
      </c>
      <c r="FZ319" s="214"/>
      <c r="GA319" s="151"/>
      <c r="GB319" s="214"/>
      <c r="GC319" s="151"/>
      <c r="GD319" s="997" t="s">
        <v>202</v>
      </c>
      <c r="GE319" s="1004"/>
      <c r="GF319" s="1004">
        <v>-0.50159999999999982</v>
      </c>
      <c r="GG319" s="1004"/>
      <c r="GH319" s="1004">
        <v>0.30095999999999989</v>
      </c>
      <c r="GI319" s="214"/>
      <c r="GJ319" s="996">
        <v>0.59489759999999992</v>
      </c>
      <c r="GK319" s="214"/>
      <c r="GL319" s="996">
        <v>0</v>
      </c>
      <c r="GM319" s="1005"/>
      <c r="GN319" s="996">
        <v>-0.54804816000000001</v>
      </c>
      <c r="GO319" s="1006"/>
      <c r="GP319" s="996">
        <v>0</v>
      </c>
      <c r="GQ319" s="1006"/>
      <c r="GR319" s="996">
        <v>0</v>
      </c>
      <c r="GS319" s="1006"/>
      <c r="GT319" s="996">
        <v>-0.48449544000000011</v>
      </c>
      <c r="GU319" s="1006"/>
      <c r="GV319" s="996">
        <v>0</v>
      </c>
      <c r="GW319" s="1006" t="s">
        <v>199</v>
      </c>
      <c r="GX319" s="1035">
        <v>1.3117676</v>
      </c>
      <c r="GY319" s="1006"/>
      <c r="GZ319" s="996">
        <v>0</v>
      </c>
      <c r="HA319" s="1006"/>
      <c r="HB319" s="996">
        <v>0.20759032008000006</v>
      </c>
      <c r="HC319" s="1006"/>
      <c r="HD319" s="996">
        <v>0</v>
      </c>
      <c r="HE319" s="1006"/>
      <c r="HF319" s="996">
        <v>0</v>
      </c>
      <c r="HG319" s="1006"/>
      <c r="HH319" s="996">
        <v>-7.4248320079999972E-2</v>
      </c>
      <c r="HI319" s="1006"/>
      <c r="HJ319" s="996">
        <v>-0.16174658322580646</v>
      </c>
      <c r="HK319" s="1006"/>
      <c r="HL319" s="996">
        <v>0</v>
      </c>
      <c r="HM319" s="1006"/>
      <c r="HN319" s="996">
        <v>0</v>
      </c>
      <c r="HO319" s="1006"/>
      <c r="HP319" s="996">
        <v>0</v>
      </c>
      <c r="HQ319" s="1006"/>
      <c r="HR319" s="996">
        <v>0.29513604105806451</v>
      </c>
      <c r="HS319" s="1006"/>
      <c r="HT319" s="996">
        <v>0</v>
      </c>
      <c r="HU319" s="1006"/>
      <c r="HV319" s="996">
        <v>0</v>
      </c>
      <c r="HW319" s="1006"/>
      <c r="HX319" s="996">
        <v>-7.2445057832258075E-2</v>
      </c>
      <c r="HY319" s="1006"/>
      <c r="HZ319" s="996">
        <v>0</v>
      </c>
      <c r="IA319" s="1006"/>
      <c r="IB319" s="996">
        <v>0</v>
      </c>
      <c r="IC319" s="1006" t="s">
        <v>199</v>
      </c>
      <c r="ID319" s="996">
        <v>-1.3693679999999999</v>
      </c>
      <c r="IE319" s="1006"/>
      <c r="IF319" s="996">
        <v>-0.41799999999999993</v>
      </c>
      <c r="IG319" s="1006" t="s">
        <v>199</v>
      </c>
      <c r="IH319" s="996">
        <v>-2.2572000000000001</v>
      </c>
      <c r="II319" s="1006"/>
      <c r="IJ319" s="996">
        <v>0</v>
      </c>
      <c r="IK319" s="1006"/>
      <c r="IL319" s="996">
        <v>0</v>
      </c>
      <c r="IM319" s="1006"/>
      <c r="IN319" s="996">
        <v>0</v>
      </c>
      <c r="IO319" s="1006"/>
      <c r="IP319" s="996">
        <v>0</v>
      </c>
      <c r="IQ319" s="1006"/>
      <c r="IR319" s="996">
        <v>0</v>
      </c>
      <c r="IS319" s="1006"/>
      <c r="IT319" s="996">
        <v>0</v>
      </c>
      <c r="IU319" s="1006" t="s">
        <v>199</v>
      </c>
      <c r="IV319" s="996">
        <v>-4.18</v>
      </c>
      <c r="IW319" s="1006" t="s">
        <v>435</v>
      </c>
      <c r="IX319" s="996">
        <v>-17.84</v>
      </c>
      <c r="IY319" s="1006"/>
      <c r="IZ319" s="996">
        <v>0</v>
      </c>
      <c r="JA319" s="1006"/>
      <c r="JB319" s="996">
        <v>0</v>
      </c>
      <c r="JC319" s="1006"/>
      <c r="JD319" s="996"/>
      <c r="JE319" s="1006"/>
      <c r="JF319" s="996"/>
      <c r="JG319" s="1006"/>
      <c r="JH319" s="996"/>
      <c r="JI319" s="1006"/>
      <c r="JJ319" s="996"/>
      <c r="JK319" s="1007"/>
      <c r="JL319" s="1007"/>
      <c r="JM319" s="1007"/>
      <c r="JN319" s="1007"/>
      <c r="JO319" s="1008"/>
      <c r="JP319" s="1007"/>
      <c r="JQ319" s="1008"/>
      <c r="JR319" s="1007"/>
      <c r="JS319" s="1008"/>
      <c r="JT319" s="1007"/>
      <c r="JU319" s="1008"/>
      <c r="JV319" s="1007"/>
      <c r="JW319" s="1008"/>
      <c r="JX319" s="1007"/>
      <c r="JY319" s="1008"/>
      <c r="JZ319" s="1007"/>
      <c r="KA319" s="1008"/>
      <c r="KB319" s="1007"/>
      <c r="KC319" s="1008"/>
      <c r="KD319" s="1007"/>
      <c r="KE319" s="1008"/>
      <c r="KF319" s="1007"/>
      <c r="KG319" s="1008"/>
      <c r="KH319" s="1007"/>
      <c r="KI319" s="1008"/>
      <c r="KJ319" s="1007"/>
      <c r="KK319" s="1008"/>
      <c r="KL319" s="1007"/>
      <c r="KM319" s="1008"/>
      <c r="KN319" s="1007"/>
      <c r="KO319" s="1008"/>
      <c r="KP319" s="1007"/>
      <c r="KQ319" s="1008"/>
      <c r="KR319" s="1007"/>
      <c r="KS319" s="1008"/>
      <c r="KT319" s="1007"/>
      <c r="KU319" s="1008"/>
      <c r="KV319" s="1007"/>
      <c r="KW319" s="1008"/>
      <c r="KX319" s="1007"/>
      <c r="KY319" s="1008"/>
      <c r="KZ319" s="1007"/>
      <c r="LA319" s="1008"/>
      <c r="LB319" s="1007"/>
      <c r="LC319" s="1008"/>
      <c r="LD319" s="1007"/>
      <c r="LE319" s="1008"/>
      <c r="LF319" s="1007"/>
      <c r="LG319" s="1008"/>
      <c r="LH319" s="1007"/>
      <c r="LI319" s="1008"/>
      <c r="LJ319" s="1007"/>
      <c r="LK319" s="1008"/>
      <c r="LL319" s="1007"/>
      <c r="LM319" s="1008"/>
      <c r="LN319" s="1007"/>
      <c r="LO319" s="1008"/>
      <c r="LP319" s="1007"/>
      <c r="LQ319" s="1008"/>
      <c r="LR319" s="1007"/>
      <c r="LS319" s="1008"/>
      <c r="LT319" s="1007"/>
      <c r="LU319" s="1008"/>
      <c r="LV319" s="1007"/>
      <c r="LW319" s="1008"/>
      <c r="LX319" s="1007"/>
      <c r="LY319" s="1009"/>
      <c r="LZ319" s="1010"/>
      <c r="MA319" s="1011"/>
      <c r="MB319" s="1012"/>
      <c r="MC319" s="995"/>
      <c r="MD319" s="996"/>
      <c r="ME319" s="997" t="s">
        <v>202</v>
      </c>
      <c r="MF319" s="997"/>
      <c r="MG319" s="998"/>
      <c r="NR319" s="1000"/>
      <c r="NS319" s="1000"/>
      <c r="NT319" s="1001"/>
      <c r="NU319" s="1000"/>
      <c r="NV319" s="1001"/>
      <c r="NX319" s="1002"/>
      <c r="NZ319" s="1001"/>
      <c r="OA319" s="1001"/>
      <c r="OC319" s="1003"/>
      <c r="OD319" s="1003"/>
      <c r="OE319" s="1001"/>
      <c r="OF319" s="1003"/>
      <c r="OG319" s="1003"/>
      <c r="QX319" s="1000">
        <f>CN319-CA319</f>
        <v>107</v>
      </c>
      <c r="ASU319" s="999" t="s">
        <v>208</v>
      </c>
    </row>
    <row r="320" spans="1:466 1191:1191" ht="21" customHeight="1" x14ac:dyDescent="0.25">
      <c r="A320" s="982">
        <f t="shared" si="215"/>
        <v>1329</v>
      </c>
      <c r="B320" s="124">
        <f>SUBTOTAL(103,$J$29:J320)</f>
        <v>292</v>
      </c>
      <c r="C320" s="126">
        <v>45068</v>
      </c>
      <c r="D320" s="124" t="s">
        <v>176</v>
      </c>
      <c r="E320" s="127" t="s">
        <v>177</v>
      </c>
      <c r="F320" s="128" t="s">
        <v>177</v>
      </c>
      <c r="G320" s="127" t="s">
        <v>178</v>
      </c>
      <c r="H320" s="127" t="s">
        <v>179</v>
      </c>
      <c r="I320" s="127" t="s">
        <v>1293</v>
      </c>
      <c r="J320" s="152">
        <v>1329</v>
      </c>
      <c r="K320" s="127" t="s">
        <v>1293</v>
      </c>
      <c r="L320" s="130">
        <v>43255</v>
      </c>
      <c r="M320" s="127" t="s">
        <v>230</v>
      </c>
      <c r="N320" s="127" t="s">
        <v>184</v>
      </c>
      <c r="O320" s="127" t="s">
        <v>185</v>
      </c>
      <c r="P320" s="127" t="s">
        <v>186</v>
      </c>
      <c r="Q320" s="85" t="str">
        <f t="shared" si="249"/>
        <v/>
      </c>
      <c r="R320" s="130"/>
      <c r="S320" s="128"/>
      <c r="T320" s="131"/>
      <c r="U320" s="132">
        <v>203</v>
      </c>
      <c r="V320" s="121">
        <v>218.2</v>
      </c>
      <c r="W320" s="116">
        <v>0.98</v>
      </c>
      <c r="X320" s="116">
        <v>1.66</v>
      </c>
      <c r="Y320" s="116">
        <f t="shared" si="239"/>
        <v>0.99219321785801406</v>
      </c>
      <c r="Z320" s="133">
        <v>1.454</v>
      </c>
      <c r="AA320" s="133">
        <v>0.83599999999999997</v>
      </c>
      <c r="AB320" s="133">
        <v>0.72</v>
      </c>
      <c r="AC320" s="121">
        <v>34.299999999999997</v>
      </c>
      <c r="AD320" s="134">
        <v>1.17</v>
      </c>
      <c r="AE320" s="124">
        <v>177.8</v>
      </c>
      <c r="AF320" s="128">
        <v>9.19</v>
      </c>
      <c r="AG320" s="128">
        <v>2033</v>
      </c>
      <c r="AH320" s="127">
        <v>2984</v>
      </c>
      <c r="AI320" s="127">
        <v>2984</v>
      </c>
      <c r="AJ320" s="135"/>
      <c r="AK320" s="128"/>
      <c r="AL320" s="131"/>
      <c r="AM320" s="124" t="s">
        <v>985</v>
      </c>
      <c r="AN320" s="136" t="s">
        <v>1357</v>
      </c>
      <c r="AO320" s="137">
        <v>103.1</v>
      </c>
      <c r="AP320" s="128">
        <v>2050.9</v>
      </c>
      <c r="AQ320" s="128">
        <v>160.80000000000001</v>
      </c>
      <c r="AR320" s="128" t="s">
        <v>1358</v>
      </c>
      <c r="AS320" s="128">
        <v>114</v>
      </c>
      <c r="AT320" s="122">
        <v>7.37</v>
      </c>
      <c r="AU320" s="124" t="s">
        <v>189</v>
      </c>
      <c r="AV320" s="115">
        <f>VLOOKUP(J320,'[63]ТР нефть'!$J$28:$BP$638,39,0)</f>
        <v>544.99999892599999</v>
      </c>
      <c r="AW320" s="115" t="str">
        <f>VLOOKUP(J320,'[63]ТР нефть'!$J$28:$BP$638,40,0)</f>
        <v>ГП</v>
      </c>
      <c r="AX320" s="115">
        <f>VLOOKUP(J320,'[63]ТР нефть'!$J$28:$BP$638,41,0)</f>
        <v>958.00001777299997</v>
      </c>
      <c r="AY320" s="115" t="str">
        <f>VLOOKUP(J320,'[63]ТР нефть'!$J$28:$BP$638,42,0)</f>
        <v>ГП</v>
      </c>
      <c r="AZ320" s="115">
        <f>VLOOKUP(J320,'[63]ТР нефть'!$J$28:$BP$638,43,0)</f>
        <v>1274.9999800779999</v>
      </c>
      <c r="BA320" s="115" t="str">
        <f>VLOOKUP(J320,'[63]ТР нефть'!$J$28:$BP$638,44,0)</f>
        <v>ГК73 1/8</v>
      </c>
      <c r="BB320" s="115">
        <f>VLOOKUP(J320,'[63]ТР нефть'!$J$28:$BP$638,45,0)</f>
        <v>1511.000012109</v>
      </c>
      <c r="BC320" s="115" t="str">
        <f>VLOOKUP(J320,'[63]ТР нефть'!$J$28:$BP$638,46,0)</f>
        <v>ГК73 1/8</v>
      </c>
      <c r="BD320" s="115">
        <f>VLOOKUP(J320,'[63]ТР нефть'!$J$28:$BP$638,47,0)</f>
        <v>1792.9999898440001</v>
      </c>
      <c r="BE320" s="115" t="str">
        <f>VLOOKUP(J320,'[63]ТР нефть'!$J$28:$BP$638,48,0)</f>
        <v>ЦКсОК 5/16</v>
      </c>
      <c r="BF320" s="115" t="str">
        <f>VLOOKUP(J320,'[63]ТР нефть'!$J$28:$BP$638,49,0)</f>
        <v>-</v>
      </c>
      <c r="BG320" s="115" t="str">
        <f>VLOOKUP(J320,'[63]ТР нефть'!$J$28:$BP$638,50,0)</f>
        <v>-</v>
      </c>
      <c r="BH320" s="115">
        <f>VLOOKUP(J320,'[63]ТР нефть'!$J$28:$BP$638,51,0)</f>
        <v>1806</v>
      </c>
      <c r="BI320" s="115" t="str">
        <f>VLOOKUP(J320,'[63]ТР нефть'!$J$28:$BP$638,52,0)</f>
        <v xml:space="preserve">открыт </v>
      </c>
      <c r="BJ320" s="115" t="str">
        <f>IF(IFERROR(VLOOKUP(J320,'[63]ТР нефть'!$J$28:$BP$638,53,0),"-")=0,"-",IFERROR(VLOOKUP(J320,'[63]ТР нефть'!$J$28:$BP$638,53,0),"-"))</f>
        <v>-</v>
      </c>
      <c r="BK320" s="138" t="str">
        <f>IF(IFERROR(VLOOKUP(J320,'[63]ТР нефть'!$J$28:$BP$638,54,0),"-")=0,"-",IFERROR(VLOOKUP(J320,'[63]ТР нефть'!$J$28:$BP$638,54,0),"-"))</f>
        <v>-</v>
      </c>
      <c r="BL320" s="138" t="str">
        <f>IF(IFERROR(VLOOKUP(J320,'[63]ТР нефть'!$J$28:$BP$638,55,0),"-")=0,"-",IFERROR(VLOOKUP(J320,'[63]ТР нефть'!$J$28:$BP$638,55,0),"-"))</f>
        <v>-</v>
      </c>
      <c r="BM320" s="138" t="str">
        <f>IF(IFERROR(VLOOKUP(J320,'[63]ТР нефть'!$J$28:$BP$638,56,0),"-")=0,"-",IFERROR(VLOOKUP(J320,'[63]ТР нефть'!$J$28:$BP$638,56,0),"-"))</f>
        <v>-</v>
      </c>
      <c r="BN320" s="138" t="str">
        <f>IF(IFERROR(VLOOKUP(J320,'[63]ТР нефть'!$J$28:$BP$638,57,0),"-")=0,"-",IFERROR(VLOOKUP(J320,'[63]ТР нефть'!$J$28:$BP$638,57,0),"-"))</f>
        <v>-</v>
      </c>
      <c r="BO320" s="115" t="str">
        <f>IF(IFERROR(VLOOKUP(J320,'[63]ТР нефть'!$J$28:$BP$638,58,0),"-")=0,"-",IFERROR(VLOOKUP(J320,'[63]ТР нефть'!$J$28:$BP$638,58,0),"-"))</f>
        <v>-</v>
      </c>
      <c r="BP320" s="115" t="str">
        <f>IF(IFERROR(VLOOKUP(J320,'[63]ТР нефть'!$J$28:$BP$638,59,0),"-")=0,"-",IFERROR(VLOOKUP(J320,'[63]ТР нефть'!$J$28:$BP$638,59,0),"-"))</f>
        <v>-</v>
      </c>
      <c r="BQ320" s="138">
        <v>2984</v>
      </c>
      <c r="BR320" s="128">
        <v>1999</v>
      </c>
      <c r="BS320" s="115">
        <f t="shared" si="211"/>
        <v>985</v>
      </c>
      <c r="BT320" s="128">
        <v>73</v>
      </c>
      <c r="BU320" s="128">
        <v>5.5</v>
      </c>
      <c r="BV320" s="127">
        <v>65</v>
      </c>
      <c r="BW320" s="127" t="s">
        <v>217</v>
      </c>
      <c r="BX320" s="127" t="s">
        <v>218</v>
      </c>
      <c r="BY320" s="139">
        <v>24</v>
      </c>
      <c r="BZ320" s="139">
        <v>24</v>
      </c>
      <c r="CA320" s="138">
        <v>25</v>
      </c>
      <c r="CB320" s="138">
        <v>26</v>
      </c>
      <c r="CC320" s="138">
        <v>24</v>
      </c>
      <c r="CD320" s="135">
        <v>45017</v>
      </c>
      <c r="CE320" s="138">
        <v>127</v>
      </c>
      <c r="CF320" s="138">
        <v>67</v>
      </c>
      <c r="CG320" s="138" t="str">
        <f t="shared" si="251"/>
        <v>В работе</v>
      </c>
      <c r="CH320" s="138" t="s">
        <v>196</v>
      </c>
      <c r="CI320" s="127"/>
      <c r="CJ320" s="138"/>
      <c r="CK320" s="138">
        <f t="shared" si="207"/>
        <v>31</v>
      </c>
      <c r="CL320" s="99"/>
      <c r="CM320" s="99"/>
      <c r="CN320" s="140">
        <v>56</v>
      </c>
      <c r="CO320" s="141">
        <f t="shared" si="216"/>
        <v>2.2705759999999997</v>
      </c>
      <c r="CP320" s="142">
        <v>2.8</v>
      </c>
      <c r="CQ320" s="143">
        <v>3</v>
      </c>
      <c r="CR320" s="115">
        <v>7</v>
      </c>
      <c r="CS320" s="139">
        <v>4</v>
      </c>
      <c r="CT320" s="138"/>
      <c r="CU320" s="138">
        <f t="shared" si="235"/>
        <v>3</v>
      </c>
      <c r="CV320" s="115">
        <f t="shared" si="236"/>
        <v>1321.2506430086464</v>
      </c>
      <c r="CW320" s="115">
        <f t="shared" si="217"/>
        <v>1689.2976238339622</v>
      </c>
      <c r="CX320" s="133">
        <f t="shared" si="237"/>
        <v>3.9436619718309855E-2</v>
      </c>
      <c r="CY320" s="116"/>
      <c r="CZ320" s="131"/>
      <c r="DA320" s="145" t="str">
        <f t="shared" si="218"/>
        <v>Газлифт</v>
      </c>
      <c r="DB320" s="146">
        <f t="shared" si="219"/>
        <v>2.2705759999999997</v>
      </c>
      <c r="DC320" s="142">
        <f t="shared" si="234"/>
        <v>2.8</v>
      </c>
      <c r="DD320" s="119">
        <f t="shared" si="250"/>
        <v>3</v>
      </c>
      <c r="DE320" s="115">
        <f t="shared" si="220"/>
        <v>3</v>
      </c>
      <c r="DF320" s="121">
        <f t="shared" si="221"/>
        <v>4</v>
      </c>
      <c r="DG320" s="115">
        <f t="shared" si="222"/>
        <v>1321.2506430086464</v>
      </c>
      <c r="DH320" s="115">
        <f t="shared" si="223"/>
        <v>56</v>
      </c>
      <c r="DI320" s="147"/>
      <c r="DJ320" s="111">
        <v>43525</v>
      </c>
      <c r="DK320" s="112">
        <v>43255</v>
      </c>
      <c r="DL320" s="113">
        <f t="shared" ca="1" si="240"/>
        <v>1849</v>
      </c>
      <c r="DM320" s="114"/>
      <c r="DN320" s="114"/>
      <c r="DO320" s="114"/>
      <c r="DP320" s="114"/>
      <c r="DQ320" s="112">
        <v>42369</v>
      </c>
      <c r="DR320" s="114" t="s">
        <v>324</v>
      </c>
      <c r="DS320" s="114"/>
      <c r="DT320" s="115">
        <v>47</v>
      </c>
      <c r="DU320" s="116">
        <f t="shared" si="241"/>
        <v>3.7783862663759035E-2</v>
      </c>
      <c r="DV320" s="117">
        <f t="shared" si="242"/>
        <v>2.4511751929036381</v>
      </c>
      <c r="DW320" s="118">
        <f t="shared" si="243"/>
        <v>3.022709013100723</v>
      </c>
      <c r="DX320" s="119">
        <f t="shared" si="224"/>
        <v>3</v>
      </c>
      <c r="DY320" s="115">
        <f t="shared" si="244"/>
        <v>3.2386167997507744</v>
      </c>
      <c r="DZ320" s="117">
        <f t="shared" si="245"/>
        <v>0.18059919290363835</v>
      </c>
      <c r="EA320" s="120">
        <f t="shared" si="245"/>
        <v>0.22270901310072322</v>
      </c>
      <c r="EB320" s="119">
        <f t="shared" si="245"/>
        <v>0</v>
      </c>
      <c r="EC320" s="121">
        <f t="shared" si="246"/>
        <v>0.23861679975077443</v>
      </c>
      <c r="ED320" s="122"/>
      <c r="EE320" s="145">
        <v>65</v>
      </c>
      <c r="EF320" s="115">
        <v>27</v>
      </c>
      <c r="EG320" s="115">
        <v>38</v>
      </c>
      <c r="EH320" s="115">
        <v>26</v>
      </c>
      <c r="EI320" s="128" t="s">
        <v>195</v>
      </c>
      <c r="EJ320" s="121">
        <v>24</v>
      </c>
      <c r="EK320" s="121">
        <v>0</v>
      </c>
      <c r="EL320" s="149">
        <v>2.3129444799999996</v>
      </c>
      <c r="EM320" s="117">
        <v>2.8</v>
      </c>
      <c r="EN320" s="119">
        <v>1.19</v>
      </c>
      <c r="EO320" s="116">
        <v>11.8</v>
      </c>
      <c r="EP320" s="115">
        <v>951.16852956193793</v>
      </c>
      <c r="EQ320" s="115">
        <v>74</v>
      </c>
      <c r="ER320" s="116">
        <v>9.6</v>
      </c>
      <c r="ES320" s="115">
        <v>56</v>
      </c>
      <c r="ET320" s="150">
        <v>3.9436619718309855E-2</v>
      </c>
      <c r="EU320" s="145">
        <f t="shared" si="225"/>
        <v>65</v>
      </c>
      <c r="EV320" s="115">
        <f t="shared" si="226"/>
        <v>25</v>
      </c>
      <c r="EW320" s="115">
        <f t="shared" si="226"/>
        <v>26</v>
      </c>
      <c r="EX320" s="115">
        <f t="shared" si="226"/>
        <v>24</v>
      </c>
      <c r="EY320" s="115" t="str">
        <f t="shared" ref="EY320:FA383" si="253">BX320</f>
        <v>Периодический</v>
      </c>
      <c r="EZ320" s="115">
        <f t="shared" si="253"/>
        <v>24</v>
      </c>
      <c r="FA320" s="115">
        <f t="shared" si="253"/>
        <v>24</v>
      </c>
      <c r="FB320" s="149">
        <f t="shared" si="238"/>
        <v>2.2705759999999997</v>
      </c>
      <c r="FC320" s="142">
        <f t="shared" si="238"/>
        <v>2.8</v>
      </c>
      <c r="FD320" s="119">
        <f t="shared" si="238"/>
        <v>3</v>
      </c>
      <c r="FE320" s="121">
        <f t="shared" si="208"/>
        <v>7</v>
      </c>
      <c r="FF320" s="121">
        <f t="shared" si="247"/>
        <v>1321.2506430086464</v>
      </c>
      <c r="FG320" s="121">
        <f t="shared" si="227"/>
        <v>67</v>
      </c>
      <c r="FH320" s="121">
        <f t="shared" si="248"/>
        <v>4</v>
      </c>
      <c r="FI320" s="121">
        <f t="shared" si="252"/>
        <v>56</v>
      </c>
      <c r="FJ320" s="144">
        <f t="shared" si="228"/>
        <v>3.9436619718309855E-2</v>
      </c>
      <c r="FK320" s="132">
        <f t="shared" si="229"/>
        <v>0</v>
      </c>
      <c r="FL320" s="115">
        <f t="shared" si="229"/>
        <v>-2</v>
      </c>
      <c r="FM320" s="115">
        <f t="shared" si="229"/>
        <v>-12</v>
      </c>
      <c r="FN320" s="115">
        <f t="shared" si="229"/>
        <v>-2</v>
      </c>
      <c r="FO320" s="115">
        <f t="shared" si="232"/>
        <v>0</v>
      </c>
      <c r="FP320" s="115">
        <f t="shared" si="232"/>
        <v>24</v>
      </c>
      <c r="FQ320" s="149">
        <f t="shared" si="232"/>
        <v>-4.2368479999999931E-2</v>
      </c>
      <c r="FR320" s="117">
        <f t="shared" si="232"/>
        <v>0</v>
      </c>
      <c r="FS320" s="119">
        <f t="shared" si="232"/>
        <v>1.81</v>
      </c>
      <c r="FT320" s="121">
        <f t="shared" si="232"/>
        <v>-4.8000000000000007</v>
      </c>
      <c r="FU320" s="121">
        <f t="shared" si="230"/>
        <v>-7</v>
      </c>
      <c r="FV320" s="121">
        <f t="shared" si="230"/>
        <v>-5.6</v>
      </c>
      <c r="FW320" s="121">
        <f t="shared" si="231"/>
        <v>370.08211344670849</v>
      </c>
      <c r="FX320" s="121">
        <f t="shared" si="233"/>
        <v>0</v>
      </c>
      <c r="FY320" s="144">
        <f t="shared" si="214"/>
        <v>0</v>
      </c>
      <c r="FZ320" s="145"/>
      <c r="GA320" s="125"/>
      <c r="GB320" s="145" t="s">
        <v>223</v>
      </c>
      <c r="GC320" s="125" t="s">
        <v>1359</v>
      </c>
      <c r="GD320" s="997" t="s">
        <v>202</v>
      </c>
      <c r="GE320" s="1004" t="s">
        <v>223</v>
      </c>
      <c r="GF320" s="1004">
        <v>-1.0297179200000004</v>
      </c>
      <c r="GG320" s="1004"/>
      <c r="GH320" s="1004">
        <v>-0.26835599999999982</v>
      </c>
      <c r="GI320" s="145"/>
      <c r="GJ320" s="996">
        <v>0</v>
      </c>
      <c r="GK320" s="145" t="s">
        <v>199</v>
      </c>
      <c r="GL320" s="996">
        <v>-1.2970869383999997</v>
      </c>
      <c r="GM320" s="1005"/>
      <c r="GN320" s="996">
        <v>0</v>
      </c>
      <c r="GO320" s="1006"/>
      <c r="GP320" s="996">
        <v>0</v>
      </c>
      <c r="GQ320" s="1006" t="s">
        <v>203</v>
      </c>
      <c r="GR320" s="996">
        <v>-15.773865861600001</v>
      </c>
      <c r="GS320" s="1006"/>
      <c r="GT320" s="996">
        <v>0</v>
      </c>
      <c r="GU320" s="1006"/>
      <c r="GV320" s="996">
        <v>-0.28495895999999998</v>
      </c>
      <c r="GW320" s="1006"/>
      <c r="GX320" s="1035">
        <v>0</v>
      </c>
      <c r="GY320" s="1006"/>
      <c r="GZ320" s="996">
        <v>-0.9409179999999997</v>
      </c>
      <c r="HA320" s="1006"/>
      <c r="HB320" s="996">
        <v>0.13012507199999979</v>
      </c>
      <c r="HC320" s="1006" t="s">
        <v>199</v>
      </c>
      <c r="HD320" s="996">
        <v>-1.1484994752</v>
      </c>
      <c r="HE320" s="1006"/>
      <c r="HF320" s="996">
        <v>0</v>
      </c>
      <c r="HG320" s="1006"/>
      <c r="HH320" s="996">
        <v>0.25137366319999987</v>
      </c>
      <c r="HI320" s="1006"/>
      <c r="HJ320" s="996">
        <v>0</v>
      </c>
      <c r="HK320" s="1006" t="s">
        <v>199</v>
      </c>
      <c r="HL320" s="996">
        <v>1.70791874</v>
      </c>
      <c r="HM320" s="1006"/>
      <c r="HN320" s="996">
        <v>0.88723870967741936</v>
      </c>
      <c r="HO320" s="1006"/>
      <c r="HP320" s="996">
        <v>0</v>
      </c>
      <c r="HQ320" s="1006"/>
      <c r="HR320" s="996">
        <v>8.7375483870967732E-2</v>
      </c>
      <c r="HS320" s="1006"/>
      <c r="HT320" s="996">
        <v>-0.10274709677419354</v>
      </c>
      <c r="HU320" s="1006" t="s">
        <v>199</v>
      </c>
      <c r="HV320" s="996">
        <v>-1.6242670967741937</v>
      </c>
      <c r="HW320" s="1006"/>
      <c r="HX320" s="996">
        <v>0</v>
      </c>
      <c r="HY320" s="1006" t="s">
        <v>199</v>
      </c>
      <c r="HZ320" s="996">
        <v>-4.6314399999999996</v>
      </c>
      <c r="IA320" s="1006"/>
      <c r="IB320" s="996">
        <v>0</v>
      </c>
      <c r="IC320" s="1006"/>
      <c r="ID320" s="996">
        <v>0</v>
      </c>
      <c r="IE320" s="1006"/>
      <c r="IF320" s="996">
        <v>0</v>
      </c>
      <c r="IG320" s="1006"/>
      <c r="IH320" s="996">
        <v>0</v>
      </c>
      <c r="II320" s="1006"/>
      <c r="IJ320" s="996">
        <v>0</v>
      </c>
      <c r="IK320" s="1006"/>
      <c r="IL320" s="996">
        <v>0</v>
      </c>
      <c r="IM320" s="1006"/>
      <c r="IN320" s="996">
        <v>0</v>
      </c>
      <c r="IO320" s="1006"/>
      <c r="IP320" s="996">
        <v>0</v>
      </c>
      <c r="IQ320" s="1006"/>
      <c r="IR320" s="996">
        <v>0</v>
      </c>
      <c r="IS320" s="1006" t="s">
        <v>204</v>
      </c>
      <c r="IT320" s="996">
        <v>-3.5613600000000005</v>
      </c>
      <c r="IU320" s="1006" t="s">
        <v>199</v>
      </c>
      <c r="IV320" s="996">
        <v>9.1959999999999997</v>
      </c>
      <c r="IW320" s="1006"/>
      <c r="IX320" s="996">
        <v>0</v>
      </c>
      <c r="IY320" s="1006"/>
      <c r="IZ320" s="996">
        <v>0</v>
      </c>
      <c r="JA320" s="1006"/>
      <c r="JB320" s="996">
        <v>1.6720000000000068E-2</v>
      </c>
      <c r="JC320" s="1006" t="s">
        <v>204</v>
      </c>
      <c r="JD320" s="996">
        <v>-6.4723119999999996</v>
      </c>
      <c r="JE320" s="1006"/>
      <c r="JF320" s="996">
        <v>0</v>
      </c>
      <c r="JG320" s="1006"/>
      <c r="JH320" s="996">
        <v>-0.17388799999999982</v>
      </c>
      <c r="JI320" s="1006"/>
      <c r="JJ320" s="996">
        <v>0</v>
      </c>
      <c r="JK320" s="1007"/>
      <c r="JL320" s="1007">
        <v>0.26501200000000047</v>
      </c>
      <c r="JM320" s="1007"/>
      <c r="JN320" s="1007">
        <v>0</v>
      </c>
      <c r="JO320" s="1008" t="s">
        <v>223</v>
      </c>
      <c r="JP320" s="1007">
        <v>-2.3299319999999994</v>
      </c>
      <c r="JQ320" s="1008">
        <v>0</v>
      </c>
      <c r="JR320" s="1007">
        <v>0</v>
      </c>
      <c r="JS320" s="1008">
        <v>0</v>
      </c>
      <c r="JT320" s="1007">
        <v>-0.37118400000000129</v>
      </c>
      <c r="JU320" s="1008"/>
      <c r="JV320" s="1007">
        <v>0</v>
      </c>
      <c r="JW320" s="1008" t="s">
        <v>197</v>
      </c>
      <c r="JX320" s="1007">
        <v>0</v>
      </c>
      <c r="JY320" s="1008"/>
      <c r="JZ320" s="1007">
        <v>0</v>
      </c>
      <c r="KA320" s="1008"/>
      <c r="KB320" s="1007">
        <v>0</v>
      </c>
      <c r="KC320" s="1008"/>
      <c r="KD320" s="1007">
        <v>0</v>
      </c>
      <c r="KE320" s="1008" t="s">
        <v>204</v>
      </c>
      <c r="KF320" s="1007">
        <v>-0.96641600000000061</v>
      </c>
      <c r="KG320" s="1008" t="s">
        <v>204</v>
      </c>
      <c r="KH320" s="1007">
        <v>-0.83599999999999852</v>
      </c>
      <c r="KI320" s="1008" t="s">
        <v>206</v>
      </c>
      <c r="KJ320" s="1007">
        <v>0.83599999999999852</v>
      </c>
      <c r="KK320" s="1008"/>
      <c r="KL320" s="1007">
        <v>0</v>
      </c>
      <c r="KM320" s="1008" t="s">
        <v>207</v>
      </c>
      <c r="KN320" s="1007">
        <v>-18.27496</v>
      </c>
      <c r="KO320" s="1008"/>
      <c r="KP320" s="1007">
        <v>0</v>
      </c>
      <c r="KQ320" s="1008" t="s">
        <v>203</v>
      </c>
      <c r="KR320" s="1007">
        <v>-2.0398399999999981</v>
      </c>
      <c r="KS320" s="1008" t="s">
        <v>324</v>
      </c>
      <c r="KT320" s="1007">
        <v>31.182799999999997</v>
      </c>
      <c r="KU320" s="1008">
        <v>0</v>
      </c>
      <c r="KV320" s="1007">
        <v>0</v>
      </c>
      <c r="KW320" s="1008">
        <v>0</v>
      </c>
      <c r="KX320" s="1007">
        <v>0</v>
      </c>
      <c r="KY320" s="1008">
        <v>0</v>
      </c>
      <c r="KZ320" s="1007">
        <v>0</v>
      </c>
      <c r="LA320" s="1008">
        <v>0</v>
      </c>
      <c r="LB320" s="1007">
        <v>0</v>
      </c>
      <c r="LC320" s="1008">
        <v>0</v>
      </c>
      <c r="LD320" s="1007">
        <v>0</v>
      </c>
      <c r="LE320" s="1008">
        <v>0</v>
      </c>
      <c r="LF320" s="1007">
        <v>0</v>
      </c>
      <c r="LG320" s="1008">
        <v>0</v>
      </c>
      <c r="LH320" s="1007">
        <v>0</v>
      </c>
      <c r="LI320" s="1008">
        <v>0</v>
      </c>
      <c r="LJ320" s="1007">
        <v>0</v>
      </c>
      <c r="LK320" s="1008">
        <v>0</v>
      </c>
      <c r="LL320" s="1007">
        <v>0</v>
      </c>
      <c r="LM320" s="1008">
        <v>0</v>
      </c>
      <c r="LN320" s="1007">
        <v>0</v>
      </c>
      <c r="LO320" s="1008" t="s">
        <v>206</v>
      </c>
      <c r="LP320" s="1007">
        <v>1.66296</v>
      </c>
      <c r="LQ320" s="1008">
        <v>0</v>
      </c>
      <c r="LR320" s="1007">
        <v>0.332592</v>
      </c>
      <c r="LS320" s="1008">
        <v>0</v>
      </c>
      <c r="LT320" s="1007">
        <v>0</v>
      </c>
      <c r="LU320" s="1008">
        <v>0</v>
      </c>
      <c r="LV320" s="1007">
        <v>0</v>
      </c>
      <c r="LW320" s="1008">
        <v>0</v>
      </c>
      <c r="LX320" s="1007">
        <v>0</v>
      </c>
      <c r="LY320" s="1009">
        <v>0</v>
      </c>
      <c r="LZ320" s="1010">
        <v>0</v>
      </c>
      <c r="MA320" s="1011">
        <v>0</v>
      </c>
      <c r="MB320" s="1012">
        <v>-0.41574100000000003</v>
      </c>
      <c r="MC320" s="995"/>
      <c r="MD320" s="996"/>
      <c r="ME320" s="997" t="s">
        <v>202</v>
      </c>
      <c r="MF320" s="997"/>
      <c r="MG320" s="998"/>
      <c r="NR320" s="1000"/>
      <c r="NS320" s="1000"/>
      <c r="NT320" s="1001"/>
      <c r="NU320" s="1000"/>
      <c r="NV320" s="1001"/>
      <c r="NX320" s="1002"/>
      <c r="NZ320" s="1001"/>
      <c r="OA320" s="1001"/>
      <c r="OC320" s="1003"/>
      <c r="OD320" s="1003"/>
      <c r="OE320" s="1001"/>
      <c r="OF320" s="1003"/>
      <c r="OG320" s="1003"/>
      <c r="QX320" s="1000">
        <f>CN320-CA320</f>
        <v>31</v>
      </c>
      <c r="ASU320" s="999" t="s">
        <v>225</v>
      </c>
    </row>
    <row r="321" spans="1:1191" s="1026" customFormat="1" ht="21" customHeight="1" x14ac:dyDescent="0.25">
      <c r="A321" s="982">
        <f t="shared" si="215"/>
        <v>1330</v>
      </c>
      <c r="B321" s="124">
        <f>SUBTOTAL(103,$J$29:J321)</f>
        <v>293</v>
      </c>
      <c r="C321" s="126">
        <v>45068</v>
      </c>
      <c r="D321" s="124" t="s">
        <v>176</v>
      </c>
      <c r="E321" s="127" t="s">
        <v>177</v>
      </c>
      <c r="F321" s="128" t="s">
        <v>177</v>
      </c>
      <c r="G321" s="127" t="s">
        <v>178</v>
      </c>
      <c r="H321" s="127" t="s">
        <v>179</v>
      </c>
      <c r="I321" s="127" t="s">
        <v>1299</v>
      </c>
      <c r="J321" s="152">
        <v>1330</v>
      </c>
      <c r="K321" s="127" t="s">
        <v>1299</v>
      </c>
      <c r="L321" s="130">
        <v>43342</v>
      </c>
      <c r="M321" s="127" t="s">
        <v>230</v>
      </c>
      <c r="N321" s="127" t="s">
        <v>184</v>
      </c>
      <c r="O321" s="127" t="s">
        <v>185</v>
      </c>
      <c r="P321" s="127" t="s">
        <v>186</v>
      </c>
      <c r="Q321" s="85" t="str">
        <f t="shared" si="249"/>
        <v/>
      </c>
      <c r="R321" s="130"/>
      <c r="S321" s="128"/>
      <c r="T321" s="131"/>
      <c r="U321" s="132">
        <v>203</v>
      </c>
      <c r="V321" s="121">
        <v>218.2</v>
      </c>
      <c r="W321" s="116">
        <v>0.98</v>
      </c>
      <c r="X321" s="116">
        <v>1.66</v>
      </c>
      <c r="Y321" s="116">
        <f t="shared" si="239"/>
        <v>0.98160841861363191</v>
      </c>
      <c r="Z321" s="133">
        <v>1.454</v>
      </c>
      <c r="AA321" s="133">
        <v>0.83599999999999997</v>
      </c>
      <c r="AB321" s="133">
        <v>0.72</v>
      </c>
      <c r="AC321" s="121">
        <v>34.299999999999997</v>
      </c>
      <c r="AD321" s="134">
        <v>1.17</v>
      </c>
      <c r="AE321" s="124">
        <v>177.8</v>
      </c>
      <c r="AF321" s="128">
        <v>9.19</v>
      </c>
      <c r="AG321" s="128">
        <v>2316</v>
      </c>
      <c r="AH321" s="127">
        <v>3176.5</v>
      </c>
      <c r="AI321" s="127">
        <v>3176.5</v>
      </c>
      <c r="AJ321" s="135"/>
      <c r="AK321" s="128"/>
      <c r="AL321" s="131"/>
      <c r="AM321" s="124" t="s">
        <v>985</v>
      </c>
      <c r="AN321" s="136" t="s">
        <v>1360</v>
      </c>
      <c r="AO321" s="137">
        <v>13.49</v>
      </c>
      <c r="AP321" s="128">
        <v>2587.1</v>
      </c>
      <c r="AQ321" s="128">
        <v>691.165421552206</v>
      </c>
      <c r="AR321" s="128" t="s">
        <v>1361</v>
      </c>
      <c r="AS321" s="128">
        <v>114</v>
      </c>
      <c r="AT321" s="122">
        <v>7.37</v>
      </c>
      <c r="AU321" s="124" t="s">
        <v>189</v>
      </c>
      <c r="AV321" s="115">
        <f>VLOOKUP(J321,'[63]ТР нефть'!$J$28:$BP$638,39,0)</f>
        <v>420.00000087900003</v>
      </c>
      <c r="AW321" s="115" t="str">
        <f>VLOOKUP(J321,'[63]ТР нефть'!$J$28:$BP$638,40,0)</f>
        <v>ГП</v>
      </c>
      <c r="AX321" s="115">
        <f>VLOOKUP(J321,'[63]ТР нефть'!$J$28:$BP$638,41,0)</f>
        <v>899.99998593800001</v>
      </c>
      <c r="AY321" s="115" t="str">
        <f>VLOOKUP(J321,'[63]ТР нефть'!$J$28:$BP$638,42,0)</f>
        <v>ГК77 1/8</v>
      </c>
      <c r="AZ321" s="115">
        <f>VLOOKUP(J321,'[63]ТР нефть'!$J$28:$BP$638,43,0)</f>
        <v>1299.9999796879999</v>
      </c>
      <c r="BA321" s="115" t="str">
        <f>VLOOKUP(J321,'[63]ТР нефть'!$J$28:$BP$638,44,0)</f>
        <v>ГК76 1/8</v>
      </c>
      <c r="BB321" s="115">
        <f>VLOOKUP(J321,'[63]ТР нефть'!$J$28:$BP$638,45,0)</f>
        <v>1599.9999749999999</v>
      </c>
      <c r="BC321" s="115" t="str">
        <f>VLOOKUP(J321,'[63]ТР нефть'!$J$28:$BP$638,46,0)</f>
        <v>ГК75 1/8</v>
      </c>
      <c r="BD321" s="115">
        <f>VLOOKUP(J321,'[63]ТР нефть'!$J$28:$BP$638,47,0)</f>
        <v>1880.000000391</v>
      </c>
      <c r="BE321" s="115" t="str">
        <f>VLOOKUP(J321,'[63]ТР нефть'!$J$28:$BP$638,48,0)</f>
        <v>ЦКсОК 5/16</v>
      </c>
      <c r="BF321" s="115" t="str">
        <f>VLOOKUP(J321,'[63]ТР нефть'!$J$28:$BP$638,49,0)</f>
        <v>-</v>
      </c>
      <c r="BG321" s="115" t="str">
        <f>VLOOKUP(J321,'[63]ТР нефть'!$J$28:$BP$638,50,0)</f>
        <v>-</v>
      </c>
      <c r="BH321" s="115" t="str">
        <f>VLOOKUP(J321,'[63]ТР нефть'!$J$28:$BP$638,51,0)</f>
        <v>-</v>
      </c>
      <c r="BI321" s="115" t="str">
        <f>VLOOKUP(J321,'[63]ТР нефть'!$J$28:$BP$638,52,0)</f>
        <v>-</v>
      </c>
      <c r="BJ321" s="115" t="str">
        <f>IF(IFERROR(VLOOKUP(J321,'[63]ТР нефть'!$J$28:$BP$638,53,0),"-")=0,"-",IFERROR(VLOOKUP(J321,'[63]ТР нефть'!$J$28:$BP$638,53,0),"-"))</f>
        <v>-</v>
      </c>
      <c r="BK321" s="138" t="str">
        <f>IF(IFERROR(VLOOKUP(J321,'[63]ТР нефть'!$J$28:$BP$638,54,0),"-")=0,"-",IFERROR(VLOOKUP(J321,'[63]ТР нефть'!$J$28:$BP$638,54,0),"-"))</f>
        <v>-</v>
      </c>
      <c r="BL321" s="138" t="str">
        <f>IF(IFERROR(VLOOKUP(J321,'[63]ТР нефть'!$J$28:$BP$638,55,0),"-")=0,"-",IFERROR(VLOOKUP(J321,'[63]ТР нефть'!$J$28:$BP$638,55,0),"-"))</f>
        <v>-</v>
      </c>
      <c r="BM321" s="138" t="str">
        <f>IF(IFERROR(VLOOKUP(J321,'[63]ТР нефть'!$J$28:$BP$638,56,0),"-")=0,"-",IFERROR(VLOOKUP(J321,'[63]ТР нефть'!$J$28:$BP$638,56,0),"-"))</f>
        <v>-</v>
      </c>
      <c r="BN321" s="138" t="str">
        <f>IF(IFERROR(VLOOKUP(J321,'[63]ТР нефть'!$J$28:$BP$638,57,0),"-")=0,"-",IFERROR(VLOOKUP(J321,'[63]ТР нефть'!$J$28:$BP$638,57,0),"-"))</f>
        <v>-</v>
      </c>
      <c r="BO321" s="115" t="str">
        <f>IF(IFERROR(VLOOKUP(J321,'[63]ТР нефть'!$J$28:$BP$638,58,0),"-")=0,"-",IFERROR(VLOOKUP(J321,'[63]ТР нефть'!$J$28:$BP$638,58,0),"-"))</f>
        <v>-</v>
      </c>
      <c r="BP321" s="115" t="str">
        <f>IF(IFERROR(VLOOKUP(J321,'[63]ТР нефть'!$J$28:$BP$638,59,0),"-")=0,"-",IFERROR(VLOOKUP(J321,'[63]ТР нефть'!$J$28:$BP$638,59,0),"-"))</f>
        <v>-</v>
      </c>
      <c r="BQ321" s="138">
        <v>2020</v>
      </c>
      <c r="BR321" s="128">
        <v>1685</v>
      </c>
      <c r="BS321" s="115">
        <f t="shared" si="211"/>
        <v>335</v>
      </c>
      <c r="BT321" s="128">
        <v>73</v>
      </c>
      <c r="BU321" s="128">
        <v>5.5</v>
      </c>
      <c r="BV321" s="127">
        <v>65</v>
      </c>
      <c r="BW321" s="127" t="s">
        <v>217</v>
      </c>
      <c r="BX321" s="127" t="s">
        <v>195</v>
      </c>
      <c r="BY321" s="139">
        <v>24</v>
      </c>
      <c r="BZ321" s="139">
        <v>0</v>
      </c>
      <c r="CA321" s="138">
        <v>25</v>
      </c>
      <c r="CB321" s="138">
        <v>41</v>
      </c>
      <c r="CC321" s="138">
        <v>24</v>
      </c>
      <c r="CD321" s="135">
        <v>45017</v>
      </c>
      <c r="CE321" s="138">
        <v>83.3</v>
      </c>
      <c r="CF321" s="138">
        <v>71</v>
      </c>
      <c r="CG321" s="138" t="str">
        <f>IF(CH321&lt;&gt;"","В работе","")</f>
        <v>В работе</v>
      </c>
      <c r="CH321" s="138" t="s">
        <v>272</v>
      </c>
      <c r="CI321" s="127"/>
      <c r="CJ321" s="138"/>
      <c r="CK321" s="138">
        <f t="shared" si="207"/>
        <v>29</v>
      </c>
      <c r="CL321" s="99"/>
      <c r="CM321" s="99"/>
      <c r="CN321" s="140">
        <v>54</v>
      </c>
      <c r="CO321" s="141">
        <f t="shared" si="216"/>
        <v>12.53979936</v>
      </c>
      <c r="CP321" s="142">
        <v>15.06</v>
      </c>
      <c r="CQ321" s="143">
        <v>0.4</v>
      </c>
      <c r="CR321" s="138">
        <v>20</v>
      </c>
      <c r="CS321" s="139">
        <v>13.2</v>
      </c>
      <c r="CT321" s="138"/>
      <c r="CU321" s="138">
        <f t="shared" si="235"/>
        <v>6.8000000000000007</v>
      </c>
      <c r="CV321" s="115">
        <f t="shared" si="236"/>
        <v>542.27342916593534</v>
      </c>
      <c r="CW321" s="115">
        <f t="shared" si="217"/>
        <v>1046.825015889852</v>
      </c>
      <c r="CX321" s="133">
        <f t="shared" si="237"/>
        <v>0.51399317406143352</v>
      </c>
      <c r="CY321" s="116"/>
      <c r="CZ321" s="131"/>
      <c r="DA321" s="145" t="str">
        <f t="shared" si="218"/>
        <v>Газлифт</v>
      </c>
      <c r="DB321" s="146">
        <f t="shared" si="219"/>
        <v>12.53979936</v>
      </c>
      <c r="DC321" s="142">
        <f t="shared" si="234"/>
        <v>15.06</v>
      </c>
      <c r="DD321" s="119">
        <f t="shared" si="250"/>
        <v>0.4</v>
      </c>
      <c r="DE321" s="115">
        <f t="shared" si="220"/>
        <v>6.8000000000000007</v>
      </c>
      <c r="DF321" s="121">
        <f t="shared" si="221"/>
        <v>13.2</v>
      </c>
      <c r="DG321" s="115">
        <f t="shared" si="222"/>
        <v>542.27342916593534</v>
      </c>
      <c r="DH321" s="115">
        <f t="shared" si="223"/>
        <v>54</v>
      </c>
      <c r="DI321" s="147"/>
      <c r="DJ321" s="111">
        <v>44322</v>
      </c>
      <c r="DK321" s="112">
        <v>43399</v>
      </c>
      <c r="DL321" s="113">
        <f t="shared" ca="1" si="240"/>
        <v>1705</v>
      </c>
      <c r="DM321" s="114">
        <v>21.5</v>
      </c>
      <c r="DN321" s="114">
        <v>50</v>
      </c>
      <c r="DO321" s="114"/>
      <c r="DP321" s="114" t="s">
        <v>884</v>
      </c>
      <c r="DQ321" s="112">
        <v>43342</v>
      </c>
      <c r="DR321" s="114" t="s">
        <v>324</v>
      </c>
      <c r="DS321" s="114"/>
      <c r="DT321" s="115">
        <v>50</v>
      </c>
      <c r="DU321" s="116">
        <f t="shared" si="241"/>
        <v>0.50099097519189528</v>
      </c>
      <c r="DV321" s="117">
        <f t="shared" si="242"/>
        <v>13.891199609931444</v>
      </c>
      <c r="DW321" s="118">
        <f t="shared" si="243"/>
        <v>16.68299947389011</v>
      </c>
      <c r="DX321" s="119">
        <f t="shared" si="224"/>
        <v>0.4</v>
      </c>
      <c r="DY321" s="115">
        <f t="shared" si="244"/>
        <v>7.5328284477060281</v>
      </c>
      <c r="DZ321" s="117">
        <f t="shared" si="245"/>
        <v>1.3514002499314444</v>
      </c>
      <c r="EA321" s="120">
        <f t="shared" si="245"/>
        <v>1.6229994738901095</v>
      </c>
      <c r="EB321" s="119">
        <f t="shared" si="245"/>
        <v>0</v>
      </c>
      <c r="EC321" s="121">
        <f t="shared" si="246"/>
        <v>0.7328284477060274</v>
      </c>
      <c r="ED321" s="122"/>
      <c r="EE321" s="145">
        <v>65</v>
      </c>
      <c r="EF321" s="115">
        <v>27</v>
      </c>
      <c r="EG321" s="115">
        <v>41</v>
      </c>
      <c r="EH321" s="115">
        <v>26</v>
      </c>
      <c r="EI321" s="128" t="s">
        <v>195</v>
      </c>
      <c r="EJ321" s="121">
        <v>24</v>
      </c>
      <c r="EK321" s="121">
        <v>0</v>
      </c>
      <c r="EL321" s="149">
        <v>11.5739184</v>
      </c>
      <c r="EM321" s="142">
        <v>13.9</v>
      </c>
      <c r="EN321" s="119">
        <v>0.4</v>
      </c>
      <c r="EO321" s="115">
        <v>19.100000000000001</v>
      </c>
      <c r="EP321" s="115">
        <v>613.44825102620405</v>
      </c>
      <c r="EQ321" s="115">
        <v>70</v>
      </c>
      <c r="ER321" s="115">
        <v>12</v>
      </c>
      <c r="ES321" s="115">
        <v>54</v>
      </c>
      <c r="ET321" s="150">
        <v>0.47440273037542668</v>
      </c>
      <c r="EU321" s="145">
        <f t="shared" si="225"/>
        <v>65</v>
      </c>
      <c r="EV321" s="115">
        <f t="shared" si="226"/>
        <v>25</v>
      </c>
      <c r="EW321" s="115">
        <f t="shared" si="226"/>
        <v>41</v>
      </c>
      <c r="EX321" s="115">
        <f t="shared" si="226"/>
        <v>24</v>
      </c>
      <c r="EY321" s="115" t="str">
        <f t="shared" si="253"/>
        <v>Постоянный</v>
      </c>
      <c r="EZ321" s="115">
        <f t="shared" si="253"/>
        <v>24</v>
      </c>
      <c r="FA321" s="115">
        <f t="shared" si="253"/>
        <v>0</v>
      </c>
      <c r="FB321" s="149">
        <f t="shared" si="238"/>
        <v>12.53979936</v>
      </c>
      <c r="FC321" s="142">
        <f t="shared" si="238"/>
        <v>15.06</v>
      </c>
      <c r="FD321" s="119">
        <f t="shared" si="238"/>
        <v>0.4</v>
      </c>
      <c r="FE321" s="121">
        <f t="shared" si="208"/>
        <v>20</v>
      </c>
      <c r="FF321" s="121">
        <f t="shared" si="247"/>
        <v>542.27342916593534</v>
      </c>
      <c r="FG321" s="121">
        <f t="shared" si="227"/>
        <v>71</v>
      </c>
      <c r="FH321" s="121">
        <f t="shared" si="248"/>
        <v>13.2</v>
      </c>
      <c r="FI321" s="121">
        <f t="shared" si="252"/>
        <v>54</v>
      </c>
      <c r="FJ321" s="144">
        <f t="shared" si="228"/>
        <v>0.51399317406143352</v>
      </c>
      <c r="FK321" s="132">
        <f t="shared" si="229"/>
        <v>0</v>
      </c>
      <c r="FL321" s="115">
        <f t="shared" si="229"/>
        <v>-2</v>
      </c>
      <c r="FM321" s="115">
        <f t="shared" si="229"/>
        <v>0</v>
      </c>
      <c r="FN321" s="115">
        <f t="shared" si="229"/>
        <v>-2</v>
      </c>
      <c r="FO321" s="115">
        <f t="shared" si="232"/>
        <v>0</v>
      </c>
      <c r="FP321" s="115">
        <f t="shared" si="232"/>
        <v>0</v>
      </c>
      <c r="FQ321" s="149">
        <f t="shared" si="232"/>
        <v>0.96588095999999979</v>
      </c>
      <c r="FR321" s="142">
        <f t="shared" si="232"/>
        <v>1.1600000000000001</v>
      </c>
      <c r="FS321" s="119">
        <f t="shared" si="232"/>
        <v>0</v>
      </c>
      <c r="FT321" s="121">
        <f t="shared" si="232"/>
        <v>0.89999999999999858</v>
      </c>
      <c r="FU321" s="121">
        <f t="shared" si="230"/>
        <v>1</v>
      </c>
      <c r="FV321" s="121">
        <f t="shared" si="230"/>
        <v>1.1999999999999993</v>
      </c>
      <c r="FW321" s="121">
        <f t="shared" si="231"/>
        <v>-71.174821860268707</v>
      </c>
      <c r="FX321" s="121">
        <f t="shared" si="233"/>
        <v>0</v>
      </c>
      <c r="FY321" s="144">
        <f t="shared" si="214"/>
        <v>3.9590443686006838E-2</v>
      </c>
      <c r="FZ321" s="145" t="s">
        <v>199</v>
      </c>
      <c r="GA321" s="125" t="s">
        <v>200</v>
      </c>
      <c r="GB321" s="145" t="s">
        <v>199</v>
      </c>
      <c r="GC321" s="125" t="s">
        <v>415</v>
      </c>
      <c r="GD321" s="997" t="s">
        <v>202</v>
      </c>
      <c r="GE321" s="1004" t="s">
        <v>199</v>
      </c>
      <c r="GF321" s="1004">
        <v>-1.9151087999999969</v>
      </c>
      <c r="GG321" s="1004" t="s">
        <v>223</v>
      </c>
      <c r="GH321" s="1004">
        <v>-3.1640928000000041</v>
      </c>
      <c r="GI321" s="145"/>
      <c r="GJ321" s="996">
        <v>0.16653120000000143</v>
      </c>
      <c r="GK321" s="145" t="s">
        <v>223</v>
      </c>
      <c r="GL321" s="996">
        <v>-2.0192735639999988</v>
      </c>
      <c r="GM321" s="145"/>
      <c r="GN321" s="996">
        <v>-0.72213763599999936</v>
      </c>
      <c r="GO321" s="128" t="s">
        <v>204</v>
      </c>
      <c r="GP321" s="996">
        <v>3.8288799999999981</v>
      </c>
      <c r="GQ321" s="128"/>
      <c r="GR321" s="996">
        <v>0</v>
      </c>
      <c r="GS321" s="128"/>
      <c r="GT321" s="996">
        <v>0</v>
      </c>
      <c r="GU321" s="128" t="s">
        <v>204</v>
      </c>
      <c r="GV321" s="996">
        <v>-2.9928799999999995</v>
      </c>
      <c r="GW321" s="1006"/>
      <c r="GX321" s="1035">
        <v>0</v>
      </c>
      <c r="GY321" s="1006" t="s">
        <v>203</v>
      </c>
      <c r="GZ321" s="996">
        <v>-1.8977199999999996</v>
      </c>
      <c r="HA321" s="1006"/>
      <c r="HB321" s="996">
        <v>1.170399999999816E-2</v>
      </c>
      <c r="HC321" s="1006" t="s">
        <v>363</v>
      </c>
      <c r="HD321" s="996">
        <v>2.9443679232000015</v>
      </c>
      <c r="HE321" s="1006" t="s">
        <v>25</v>
      </c>
      <c r="HF321" s="996">
        <v>6.7041388128000001</v>
      </c>
      <c r="HG321" s="1006" t="s">
        <v>199</v>
      </c>
      <c r="HH321" s="996">
        <v>-2.0217790559999997</v>
      </c>
      <c r="HI321" s="1006"/>
      <c r="HJ321" s="996">
        <v>-0.41616080000000011</v>
      </c>
      <c r="HK321" s="1006" t="s">
        <v>204</v>
      </c>
      <c r="HL321" s="996">
        <v>-5.3997908800000012</v>
      </c>
      <c r="HM321" s="1006"/>
      <c r="HN321" s="996">
        <v>0</v>
      </c>
      <c r="HO321" s="1006"/>
      <c r="HP321" s="996">
        <v>-0.13501399999999819</v>
      </c>
      <c r="HQ321" s="1006" t="s">
        <v>199</v>
      </c>
      <c r="HR321" s="996">
        <v>3.707743599999997</v>
      </c>
      <c r="HS321" s="1006" t="s">
        <v>239</v>
      </c>
      <c r="HT321" s="996">
        <v>1.8938664162000016</v>
      </c>
      <c r="HU321" s="1006"/>
      <c r="HV321" s="996">
        <v>0</v>
      </c>
      <c r="HW321" s="1006"/>
      <c r="HX321" s="996">
        <v>0</v>
      </c>
      <c r="HY321" s="1006"/>
      <c r="HZ321" s="996">
        <v>0</v>
      </c>
      <c r="IA321" s="1006" t="s">
        <v>223</v>
      </c>
      <c r="IB321" s="996">
        <v>-2.5489560162</v>
      </c>
      <c r="IC321" s="1006" t="s">
        <v>223</v>
      </c>
      <c r="ID321" s="996">
        <v>-3.0932000000000013</v>
      </c>
      <c r="IE321" s="1006"/>
      <c r="IF321" s="996">
        <v>-0.66880000000000095</v>
      </c>
      <c r="IG321" s="1006" t="s">
        <v>199</v>
      </c>
      <c r="IH321" s="996">
        <v>1.7556000000000012</v>
      </c>
      <c r="II321" s="1006"/>
      <c r="IJ321" s="996">
        <v>0</v>
      </c>
      <c r="IK321" s="1006"/>
      <c r="IL321" s="996">
        <v>0.83600000000000207</v>
      </c>
      <c r="IM321" s="1006"/>
      <c r="IN321" s="996">
        <v>-0.75239999999999796</v>
      </c>
      <c r="IO321" s="1006"/>
      <c r="IP321" s="996">
        <v>0</v>
      </c>
      <c r="IQ321" s="1006"/>
      <c r="IR321" s="996">
        <v>0</v>
      </c>
      <c r="IS321" s="1006"/>
      <c r="IT321" s="996">
        <v>0</v>
      </c>
      <c r="IU321" s="1006"/>
      <c r="IV321" s="996">
        <v>0</v>
      </c>
      <c r="IW321" s="1006"/>
      <c r="IX321" s="996">
        <v>0</v>
      </c>
      <c r="IY321" s="1006"/>
      <c r="IZ321" s="996">
        <v>0</v>
      </c>
      <c r="JA321" s="1006"/>
      <c r="JB321" s="996">
        <v>0</v>
      </c>
      <c r="JC321" s="1006"/>
      <c r="JD321" s="996">
        <v>0</v>
      </c>
      <c r="JE321" s="1006"/>
      <c r="JF321" s="996">
        <v>0</v>
      </c>
      <c r="JG321" s="1006"/>
      <c r="JH321" s="996">
        <v>0</v>
      </c>
      <c r="JI321" s="1006"/>
      <c r="JJ321" s="996">
        <v>0</v>
      </c>
      <c r="JK321" s="1007"/>
      <c r="JL321" s="1007">
        <v>0</v>
      </c>
      <c r="JM321" s="1007" t="s">
        <v>199</v>
      </c>
      <c r="JN321" s="1007">
        <v>-6.3118000000000016</v>
      </c>
      <c r="JO321" s="1008"/>
      <c r="JP321" s="1007">
        <v>0</v>
      </c>
      <c r="JQ321" s="1008" t="s">
        <v>223</v>
      </c>
      <c r="JR321" s="1007">
        <v>-3.2604000000000006</v>
      </c>
      <c r="JS321" s="1008">
        <v>0</v>
      </c>
      <c r="JT321" s="1007">
        <v>0</v>
      </c>
      <c r="JU321" s="1008"/>
      <c r="JV321" s="1007">
        <v>0</v>
      </c>
      <c r="JW321" s="1008" t="s">
        <v>197</v>
      </c>
      <c r="JX321" s="1007">
        <v>0</v>
      </c>
      <c r="JY321" s="1008"/>
      <c r="JZ321" s="1007">
        <v>0</v>
      </c>
      <c r="KA321" s="1008" t="s">
        <v>199</v>
      </c>
      <c r="KB321" s="1007">
        <v>-6.8133999999999979</v>
      </c>
      <c r="KC321" s="1008"/>
      <c r="KD321" s="1007">
        <v>0</v>
      </c>
      <c r="KE321" s="1008" t="s">
        <v>240</v>
      </c>
      <c r="KF321" s="1007">
        <v>-17.137999999999998</v>
      </c>
      <c r="KG321" s="1008"/>
      <c r="KH321" s="1007">
        <v>0</v>
      </c>
      <c r="KI321" s="1008" t="s">
        <v>221</v>
      </c>
      <c r="KJ321" s="1007">
        <v>1.5800399999999968</v>
      </c>
      <c r="KK321" s="1008"/>
      <c r="KL321" s="1007">
        <v>1.0115600000000029</v>
      </c>
      <c r="KM321" s="1008" t="s">
        <v>324</v>
      </c>
      <c r="KN321" s="1007">
        <v>48.404399999999995</v>
      </c>
      <c r="KO321" s="1008"/>
      <c r="KP321" s="1007"/>
      <c r="KQ321" s="1008">
        <v>0</v>
      </c>
      <c r="KR321" s="1007">
        <v>0</v>
      </c>
      <c r="KS321" s="1008">
        <v>0</v>
      </c>
      <c r="KT321" s="1007">
        <v>0</v>
      </c>
      <c r="KU321" s="1008">
        <v>0</v>
      </c>
      <c r="KV321" s="1007">
        <v>0</v>
      </c>
      <c r="KW321" s="1008">
        <v>0</v>
      </c>
      <c r="KX321" s="1007">
        <v>0</v>
      </c>
      <c r="KY321" s="1008">
        <v>0</v>
      </c>
      <c r="KZ321" s="1007">
        <v>0</v>
      </c>
      <c r="LA321" s="1008">
        <v>0</v>
      </c>
      <c r="LB321" s="1007">
        <v>0</v>
      </c>
      <c r="LC321" s="1008">
        <v>0</v>
      </c>
      <c r="LD321" s="1007">
        <v>0</v>
      </c>
      <c r="LE321" s="1008">
        <v>0</v>
      </c>
      <c r="LF321" s="1007">
        <v>0</v>
      </c>
      <c r="LG321" s="1008">
        <v>0</v>
      </c>
      <c r="LH321" s="1007">
        <v>0</v>
      </c>
      <c r="LI321" s="1008">
        <v>0</v>
      </c>
      <c r="LJ321" s="1007">
        <v>0</v>
      </c>
      <c r="LK321" s="1008">
        <v>0</v>
      </c>
      <c r="LL321" s="1007">
        <v>0</v>
      </c>
      <c r="LM321" s="1008">
        <v>0</v>
      </c>
      <c r="LN321" s="1007">
        <v>0</v>
      </c>
      <c r="LO321" s="1008">
        <v>0</v>
      </c>
      <c r="LP321" s="1007">
        <v>0</v>
      </c>
      <c r="LQ321" s="1008">
        <v>0</v>
      </c>
      <c r="LR321" s="1007">
        <v>0</v>
      </c>
      <c r="LS321" s="1008">
        <v>0</v>
      </c>
      <c r="LT321" s="1007">
        <v>0</v>
      </c>
      <c r="LU321" s="1008">
        <v>0</v>
      </c>
      <c r="LV321" s="1007">
        <v>0</v>
      </c>
      <c r="LW321" s="1008">
        <v>0</v>
      </c>
      <c r="LX321" s="1007">
        <v>0</v>
      </c>
      <c r="LY321" s="1009">
        <v>0</v>
      </c>
      <c r="LZ321" s="1010">
        <v>0</v>
      </c>
      <c r="MA321" s="1011">
        <v>0</v>
      </c>
      <c r="MB321" s="1012">
        <v>0</v>
      </c>
      <c r="MC321" s="995"/>
      <c r="MD321" s="996"/>
      <c r="ME321" s="997" t="s">
        <v>202</v>
      </c>
      <c r="MF321" s="997"/>
      <c r="MG321" s="998"/>
      <c r="MH321" s="878"/>
      <c r="MI321" s="878"/>
      <c r="MJ321" s="878"/>
      <c r="MK321" s="878"/>
      <c r="ML321" s="878"/>
      <c r="MM321" s="878"/>
      <c r="MN321" s="878"/>
      <c r="MO321" s="878"/>
      <c r="MP321" s="878"/>
      <c r="MQ321" s="878"/>
      <c r="MR321" s="878"/>
      <c r="MS321" s="878"/>
      <c r="MT321" s="878"/>
      <c r="MU321" s="878"/>
      <c r="MV321" s="878"/>
      <c r="MW321" s="878"/>
      <c r="MX321" s="878"/>
      <c r="MY321" s="878"/>
      <c r="MZ321" s="878"/>
      <c r="NA321" s="878"/>
      <c r="NB321" s="878"/>
      <c r="NC321" s="878"/>
      <c r="ND321" s="878"/>
      <c r="NE321" s="878"/>
      <c r="NF321" s="878"/>
      <c r="NG321" s="878"/>
      <c r="NH321" s="878"/>
      <c r="NI321" s="878"/>
      <c r="NJ321" s="878"/>
      <c r="NK321" s="878"/>
      <c r="NL321" s="878"/>
      <c r="NM321" s="878"/>
      <c r="NR321" s="1027"/>
      <c r="NS321" s="1027"/>
      <c r="NT321" s="1028"/>
      <c r="NU321" s="1027"/>
      <c r="NV321" s="1028"/>
      <c r="NW321" s="1029"/>
      <c r="NX321" s="1030"/>
      <c r="NY321" s="1029"/>
      <c r="NZ321" s="1028"/>
      <c r="OA321" s="1028"/>
      <c r="OB321" s="1029"/>
      <c r="OC321" s="1031"/>
      <c r="OD321" s="1031"/>
      <c r="OE321" s="1028"/>
      <c r="OF321" s="1031"/>
      <c r="OG321" s="1031"/>
      <c r="QX321" s="1000">
        <f t="shared" ref="QX321:QX329" si="254">CN321-CA321</f>
        <v>29</v>
      </c>
      <c r="ASU321" s="1026" t="s">
        <v>208</v>
      </c>
    </row>
    <row r="322" spans="1:1191" s="1032" customFormat="1" ht="21" customHeight="1" x14ac:dyDescent="0.25">
      <c r="A322" s="982">
        <f t="shared" si="215"/>
        <v>1331</v>
      </c>
      <c r="B322" s="124">
        <f>SUBTOTAL(103,$J$29:J322)</f>
        <v>294</v>
      </c>
      <c r="C322" s="126">
        <v>45068</v>
      </c>
      <c r="D322" s="124" t="s">
        <v>176</v>
      </c>
      <c r="E322" s="127" t="s">
        <v>177</v>
      </c>
      <c r="F322" s="128" t="s">
        <v>177</v>
      </c>
      <c r="G322" s="127" t="s">
        <v>178</v>
      </c>
      <c r="H322" s="127" t="s">
        <v>179</v>
      </c>
      <c r="I322" s="127" t="s">
        <v>1362</v>
      </c>
      <c r="J322" s="152">
        <v>1331</v>
      </c>
      <c r="K322" s="127" t="s">
        <v>1362</v>
      </c>
      <c r="L322" s="130">
        <v>43403</v>
      </c>
      <c r="M322" s="127" t="s">
        <v>230</v>
      </c>
      <c r="N322" s="127" t="s">
        <v>184</v>
      </c>
      <c r="O322" s="127" t="s">
        <v>185</v>
      </c>
      <c r="P322" s="127" t="s">
        <v>186</v>
      </c>
      <c r="Q322" s="85" t="str">
        <f t="shared" si="249"/>
        <v/>
      </c>
      <c r="R322" s="130"/>
      <c r="S322" s="128"/>
      <c r="T322" s="131"/>
      <c r="U322" s="132">
        <v>203</v>
      </c>
      <c r="V322" s="121">
        <v>218.2</v>
      </c>
      <c r="W322" s="116">
        <v>0.98</v>
      </c>
      <c r="X322" s="116">
        <v>1.66</v>
      </c>
      <c r="Y322" s="116">
        <f t="shared" si="239"/>
        <v>0.99342924839395197</v>
      </c>
      <c r="Z322" s="133">
        <v>1.454</v>
      </c>
      <c r="AA322" s="133">
        <v>0.83599999999999997</v>
      </c>
      <c r="AB322" s="133">
        <v>0.72</v>
      </c>
      <c r="AC322" s="121">
        <v>34.299999999999997</v>
      </c>
      <c r="AD322" s="134">
        <v>1.17</v>
      </c>
      <c r="AE322" s="124">
        <v>177.8</v>
      </c>
      <c r="AF322" s="128">
        <v>9.19</v>
      </c>
      <c r="AG322" s="128">
        <v>2242.4</v>
      </c>
      <c r="AH322" s="127">
        <v>3133</v>
      </c>
      <c r="AI322" s="127">
        <v>3133</v>
      </c>
      <c r="AJ322" s="135"/>
      <c r="AK322" s="128"/>
      <c r="AL322" s="131"/>
      <c r="AM322" s="124" t="s">
        <v>985</v>
      </c>
      <c r="AN322" s="136" t="s">
        <v>1363</v>
      </c>
      <c r="AO322" s="137">
        <v>84.37</v>
      </c>
      <c r="AP322" s="128">
        <v>2341.35</v>
      </c>
      <c r="AQ322" s="128">
        <v>445.33</v>
      </c>
      <c r="AR322" s="128" t="s">
        <v>1364</v>
      </c>
      <c r="AS322" s="128">
        <v>114.3</v>
      </c>
      <c r="AT322" s="122">
        <v>7.37</v>
      </c>
      <c r="AU322" s="124" t="s">
        <v>883</v>
      </c>
      <c r="AV322" s="115">
        <f>VLOOKUP(J322,'[63]ТР нефть'!$J$28:$BP$638,39,0)</f>
        <v>300</v>
      </c>
      <c r="AW322" s="115" t="str">
        <f>VLOOKUP(J322,'[63]ТР нефть'!$J$28:$BP$638,40,0)</f>
        <v>ГП</v>
      </c>
      <c r="AX322" s="115" t="str">
        <f>VLOOKUP(J322,'[63]ТР нефть'!$J$28:$BP$638,41,0)</f>
        <v>-</v>
      </c>
      <c r="AY322" s="115" t="str">
        <f>VLOOKUP(J322,'[63]ТР нефть'!$J$28:$BP$638,42,0)</f>
        <v>-</v>
      </c>
      <c r="AZ322" s="115" t="str">
        <f>VLOOKUP(J322,'[63]ТР нефть'!$J$28:$BP$638,43,0)</f>
        <v>-</v>
      </c>
      <c r="BA322" s="115" t="str">
        <f>VLOOKUP(J322,'[63]ТР нефть'!$J$28:$BP$638,44,0)</f>
        <v>-</v>
      </c>
      <c r="BB322" s="115" t="str">
        <f>VLOOKUP(J322,'[63]ТР нефть'!$J$28:$BP$638,45,0)</f>
        <v>-</v>
      </c>
      <c r="BC322" s="115" t="str">
        <f>VLOOKUP(J322,'[63]ТР нефть'!$J$28:$BP$638,46,0)</f>
        <v>-</v>
      </c>
      <c r="BD322" s="115" t="str">
        <f>VLOOKUP(J322,'[63]ТР нефть'!$J$28:$BP$638,47,0)</f>
        <v>-</v>
      </c>
      <c r="BE322" s="115" t="str">
        <f>VLOOKUP(J322,'[63]ТР нефть'!$J$28:$BP$638,48,0)</f>
        <v>-</v>
      </c>
      <c r="BF322" s="115" t="str">
        <f>VLOOKUP(J322,'[63]ТР нефть'!$J$28:$BP$638,49,0)</f>
        <v>-</v>
      </c>
      <c r="BG322" s="115" t="str">
        <f>VLOOKUP(J322,'[63]ТР нефть'!$J$28:$BP$638,50,0)</f>
        <v>-</v>
      </c>
      <c r="BH322" s="115">
        <f>VLOOKUP(J322,'[63]ТР нефть'!$J$28:$BP$638,51,0)</f>
        <v>1930</v>
      </c>
      <c r="BI322" s="115" t="str">
        <f>VLOOKUP(J322,'[63]ТР нефть'!$J$28:$BP$638,52,0)</f>
        <v>закрыт</v>
      </c>
      <c r="BJ322" s="115" t="str">
        <f>IF(IFERROR(VLOOKUP(J322,'[63]ТР нефть'!$J$28:$BP$638,53,0),"-")=0,"-",IFERROR(VLOOKUP(J322,'[63]ТР нефть'!$J$28:$BP$638,53,0),"-"))</f>
        <v>-</v>
      </c>
      <c r="BK322" s="138" t="str">
        <f>IF(IFERROR(VLOOKUP(J322,'[63]ТР нефть'!$J$28:$BP$638,54,0),"-")=0,"-",IFERROR(VLOOKUP(J322,'[63]ТР нефть'!$J$28:$BP$638,54,0),"-"))</f>
        <v>D1150N</v>
      </c>
      <c r="BL322" s="138" t="str">
        <f>IF(IFERROR(VLOOKUP(J322,'[63]ТР нефть'!$J$28:$BP$638,55,0),"-")=0,"-",IFERROR(VLOOKUP(J322,'[63]ТР нефть'!$J$28:$BP$638,55,0),"-"))</f>
        <v>-</v>
      </c>
      <c r="BM322" s="138">
        <f>IF(IFERROR(VLOOKUP(J322,'[63]ТР нефть'!$J$28:$BP$638,56,0),"-")=0,"-",IFERROR(VLOOKUP(J322,'[63]ТР нефть'!$J$28:$BP$638,56,0),"-"))</f>
        <v>1641</v>
      </c>
      <c r="BN322" s="138">
        <f>IF(IFERROR(VLOOKUP(J322,'[63]ТР нефть'!$J$28:$BP$638,57,0),"-")=0,"-",IFERROR(VLOOKUP(J322,'[63]ТР нефть'!$J$28:$BP$638,57,0),"-"))</f>
        <v>47</v>
      </c>
      <c r="BO322" s="115">
        <f>IF(IFERROR(VLOOKUP(J322,'[63]ТР нефть'!$J$28:$BP$638,58,0),"-")=0,"-",IFERROR(VLOOKUP(J322,'[63]ТР нефть'!$J$28:$BP$638,58,0),"-"))</f>
        <v>100</v>
      </c>
      <c r="BP322" s="115" t="str">
        <f>IF(IFERROR(VLOOKUP(J322,'[63]ТР нефть'!$J$28:$BP$638,59,0),"-")=0,"-",IFERROR(VLOOKUP(J322,'[63]ТР нефть'!$J$28:$BP$638,59,0),"-"))</f>
        <v>-</v>
      </c>
      <c r="BQ322" s="138">
        <v>2060</v>
      </c>
      <c r="BR322" s="128">
        <v>1780.58</v>
      </c>
      <c r="BS322" s="115">
        <f t="shared" si="211"/>
        <v>279.42000000000007</v>
      </c>
      <c r="BT322" s="128">
        <v>73</v>
      </c>
      <c r="BU322" s="128">
        <v>5.5</v>
      </c>
      <c r="BV322" s="127">
        <v>65</v>
      </c>
      <c r="BW322" s="127" t="s">
        <v>217</v>
      </c>
      <c r="BX322" s="127" t="s">
        <v>218</v>
      </c>
      <c r="BY322" s="139">
        <v>3.5</v>
      </c>
      <c r="BZ322" s="139">
        <v>20.5</v>
      </c>
      <c r="CA322" s="138">
        <v>25</v>
      </c>
      <c r="CB322" s="138">
        <v>24</v>
      </c>
      <c r="CC322" s="138">
        <v>24</v>
      </c>
      <c r="CD322" s="135">
        <v>45017</v>
      </c>
      <c r="CE322" s="138">
        <v>73</v>
      </c>
      <c r="CF322" s="138"/>
      <c r="CG322" s="138"/>
      <c r="CH322" s="138"/>
      <c r="CI322" s="127"/>
      <c r="CJ322" s="138">
        <f>IF((BR322-(100*(CM322-CB322))/(9.8*(AB322+AA322)/2))&gt;0,BR322-(100*(CM322-CB322))/(9.8*(AB322+AA322)/2),0)</f>
        <v>1308.411698231992</v>
      </c>
      <c r="CK322" s="138">
        <f t="shared" si="207"/>
        <v>43.321929340400004</v>
      </c>
      <c r="CL322" s="99"/>
      <c r="CM322" s="127">
        <v>60</v>
      </c>
      <c r="CN322" s="150">
        <f>IF(CM322=0,0,(((AP322-AQ322-BR322)*((AD322*(CQ322/100))+(AB322*((100-CQ322)/100)))*9.81/100+CM322)))</f>
        <v>68.321929340400004</v>
      </c>
      <c r="CO322" s="141">
        <f t="shared" si="216"/>
        <v>5.3355191999999994</v>
      </c>
      <c r="CP322" s="142">
        <v>6.6</v>
      </c>
      <c r="CQ322" s="143">
        <v>3.3</v>
      </c>
      <c r="CR322" s="138">
        <v>4</v>
      </c>
      <c r="CS322" s="139"/>
      <c r="CT322" s="138"/>
      <c r="CU322" s="138">
        <f t="shared" si="235"/>
        <v>4</v>
      </c>
      <c r="CV322" s="115">
        <f t="shared" si="236"/>
        <v>749.69273843115411</v>
      </c>
      <c r="CW322" s="115" t="str">
        <f t="shared" si="217"/>
        <v/>
      </c>
      <c r="CX322" s="133">
        <f t="shared" si="237"/>
        <v>1.4108380313700393</v>
      </c>
      <c r="CY322" s="116"/>
      <c r="CZ322" s="131"/>
      <c r="DA322" s="145" t="str">
        <f t="shared" si="218"/>
        <v>ЭЦН</v>
      </c>
      <c r="DB322" s="146">
        <f t="shared" si="219"/>
        <v>5.3355191999999994</v>
      </c>
      <c r="DC322" s="142">
        <f t="shared" si="234"/>
        <v>6.6</v>
      </c>
      <c r="DD322" s="119">
        <f t="shared" si="250"/>
        <v>3.3</v>
      </c>
      <c r="DE322" s="115">
        <f t="shared" si="220"/>
        <v>4</v>
      </c>
      <c r="DF322" s="121">
        <f t="shared" si="221"/>
        <v>0</v>
      </c>
      <c r="DG322" s="115">
        <f t="shared" si="222"/>
        <v>749.69273843115411</v>
      </c>
      <c r="DH322" s="115">
        <f t="shared" si="223"/>
        <v>68.321929340400004</v>
      </c>
      <c r="DI322" s="147"/>
      <c r="DJ322" s="111">
        <v>44216</v>
      </c>
      <c r="DK322" s="112">
        <v>43945</v>
      </c>
      <c r="DL322" s="113">
        <f t="shared" ca="1" si="240"/>
        <v>1159</v>
      </c>
      <c r="DM322" s="114">
        <v>26</v>
      </c>
      <c r="DN322" s="114">
        <v>58</v>
      </c>
      <c r="DO322" s="114">
        <v>34</v>
      </c>
      <c r="DP322" s="114"/>
      <c r="DQ322" s="112">
        <v>43403</v>
      </c>
      <c r="DR322" s="114" t="s">
        <v>324</v>
      </c>
      <c r="DS322" s="114"/>
      <c r="DT322" s="115">
        <v>60</v>
      </c>
      <c r="DU322" s="116">
        <f t="shared" si="241"/>
        <v>1.3372605891698857</v>
      </c>
      <c r="DV322" s="117">
        <f t="shared" si="242"/>
        <v>14.053747596356073</v>
      </c>
      <c r="DW322" s="118">
        <f t="shared" si="243"/>
        <v>17.384387659208514</v>
      </c>
      <c r="DX322" s="119">
        <f t="shared" si="224"/>
        <v>3.3</v>
      </c>
      <c r="DY322" s="115">
        <f t="shared" si="244"/>
        <v>10.535992520732433</v>
      </c>
      <c r="DZ322" s="117">
        <f t="shared" si="245"/>
        <v>8.7182283963560749</v>
      </c>
      <c r="EA322" s="120">
        <f t="shared" si="245"/>
        <v>10.784387659208514</v>
      </c>
      <c r="EB322" s="119">
        <f t="shared" si="245"/>
        <v>0</v>
      </c>
      <c r="EC322" s="121">
        <f t="shared" si="246"/>
        <v>6.5359925207324334</v>
      </c>
      <c r="ED322" s="122"/>
      <c r="EE322" s="145">
        <v>65</v>
      </c>
      <c r="EF322" s="115">
        <v>26</v>
      </c>
      <c r="EG322" s="115">
        <v>26</v>
      </c>
      <c r="EH322" s="115">
        <v>26</v>
      </c>
      <c r="EI322" s="128" t="s">
        <v>218</v>
      </c>
      <c r="EJ322" s="121">
        <v>3.5</v>
      </c>
      <c r="EK322" s="121">
        <v>20.5</v>
      </c>
      <c r="EL322" s="149">
        <v>5.3355191999999994</v>
      </c>
      <c r="EM322" s="142">
        <v>6.6</v>
      </c>
      <c r="EN322" s="119">
        <v>3.3</v>
      </c>
      <c r="EO322" s="115">
        <v>4</v>
      </c>
      <c r="EP322" s="115">
        <v>749.69273843115411</v>
      </c>
      <c r="EQ322" s="115">
        <v>0</v>
      </c>
      <c r="ER322" s="115">
        <v>0</v>
      </c>
      <c r="ES322" s="115">
        <v>68.321929340400004</v>
      </c>
      <c r="ET322" s="150">
        <v>1.4108380313700393</v>
      </c>
      <c r="EU322" s="145">
        <f t="shared" si="225"/>
        <v>65</v>
      </c>
      <c r="EV322" s="115">
        <f t="shared" si="226"/>
        <v>25</v>
      </c>
      <c r="EW322" s="115">
        <f t="shared" si="226"/>
        <v>24</v>
      </c>
      <c r="EX322" s="115">
        <f t="shared" si="226"/>
        <v>24</v>
      </c>
      <c r="EY322" s="115" t="str">
        <f t="shared" si="253"/>
        <v>Периодический</v>
      </c>
      <c r="EZ322" s="115">
        <f t="shared" si="253"/>
        <v>3.5</v>
      </c>
      <c r="FA322" s="115">
        <f t="shared" si="253"/>
        <v>20.5</v>
      </c>
      <c r="FB322" s="149">
        <f t="shared" si="238"/>
        <v>5.3355191999999994</v>
      </c>
      <c r="FC322" s="142">
        <f t="shared" si="238"/>
        <v>6.6</v>
      </c>
      <c r="FD322" s="119">
        <f t="shared" si="238"/>
        <v>3.3</v>
      </c>
      <c r="FE322" s="121">
        <f t="shared" si="208"/>
        <v>4</v>
      </c>
      <c r="FF322" s="121">
        <f t="shared" si="247"/>
        <v>749.69273843115411</v>
      </c>
      <c r="FG322" s="121">
        <f t="shared" si="227"/>
        <v>0</v>
      </c>
      <c r="FH322" s="121">
        <f t="shared" si="248"/>
        <v>0</v>
      </c>
      <c r="FI322" s="121">
        <f t="shared" si="252"/>
        <v>68.321929340400004</v>
      </c>
      <c r="FJ322" s="144">
        <f t="shared" si="228"/>
        <v>1.4108380313700393</v>
      </c>
      <c r="FK322" s="132">
        <f t="shared" si="229"/>
        <v>0</v>
      </c>
      <c r="FL322" s="115">
        <f t="shared" si="229"/>
        <v>-1</v>
      </c>
      <c r="FM322" s="115">
        <f t="shared" si="229"/>
        <v>-2</v>
      </c>
      <c r="FN322" s="115">
        <f t="shared" si="229"/>
        <v>-2</v>
      </c>
      <c r="FO322" s="121">
        <f t="shared" si="232"/>
        <v>0</v>
      </c>
      <c r="FP322" s="121">
        <f t="shared" si="232"/>
        <v>0</v>
      </c>
      <c r="FQ322" s="149">
        <f t="shared" si="232"/>
        <v>0</v>
      </c>
      <c r="FR322" s="142">
        <f t="shared" si="232"/>
        <v>0</v>
      </c>
      <c r="FS322" s="119">
        <f t="shared" si="232"/>
        <v>0</v>
      </c>
      <c r="FT322" s="121">
        <f t="shared" si="232"/>
        <v>0</v>
      </c>
      <c r="FU322" s="121">
        <f t="shared" si="230"/>
        <v>0</v>
      </c>
      <c r="FV322" s="121">
        <f t="shared" si="230"/>
        <v>0</v>
      </c>
      <c r="FW322" s="121">
        <f t="shared" si="231"/>
        <v>0</v>
      </c>
      <c r="FX322" s="121">
        <f t="shared" si="233"/>
        <v>0</v>
      </c>
      <c r="FY322" s="144">
        <f t="shared" si="214"/>
        <v>0</v>
      </c>
      <c r="FZ322" s="145"/>
      <c r="GA322" s="125"/>
      <c r="GB322" s="145"/>
      <c r="GC322" s="125"/>
      <c r="GD322" s="997" t="s">
        <v>202</v>
      </c>
      <c r="GE322" s="1004"/>
      <c r="GF322" s="1004">
        <v>0.10801119999999909</v>
      </c>
      <c r="GG322" s="1004"/>
      <c r="GH322" s="1004">
        <v>-0.25247199999999914</v>
      </c>
      <c r="GI322" s="145"/>
      <c r="GJ322" s="996">
        <v>0.17505839999999928</v>
      </c>
      <c r="GK322" s="145" t="s">
        <v>199</v>
      </c>
      <c r="GL322" s="996">
        <v>3.1478744000000001</v>
      </c>
      <c r="GM322" s="1005"/>
      <c r="GN322" s="996">
        <v>-1.0378103999999997</v>
      </c>
      <c r="GO322" s="1006" t="s">
        <v>199</v>
      </c>
      <c r="GP322" s="996">
        <v>-7.1635167999999991</v>
      </c>
      <c r="GQ322" s="1006"/>
      <c r="GR322" s="996">
        <v>0.62733439999999874</v>
      </c>
      <c r="GS322" s="1006"/>
      <c r="GT322" s="996">
        <v>0</v>
      </c>
      <c r="GU322" s="1006" t="s">
        <v>223</v>
      </c>
      <c r="GV322" s="996">
        <v>-2.4327599999999983</v>
      </c>
      <c r="GW322" s="1006"/>
      <c r="GX322" s="1035">
        <v>-0.8109200000000012</v>
      </c>
      <c r="GY322" s="1006"/>
      <c r="GZ322" s="996">
        <v>1.0228459999999995</v>
      </c>
      <c r="HA322" s="1006"/>
      <c r="HB322" s="996">
        <v>0</v>
      </c>
      <c r="HC322" s="1006" t="s">
        <v>241</v>
      </c>
      <c r="HD322" s="996">
        <v>-3.0598101599999996</v>
      </c>
      <c r="HE322" s="1006"/>
      <c r="HF322" s="996">
        <v>0</v>
      </c>
      <c r="HG322" s="1006" t="s">
        <v>199</v>
      </c>
      <c r="HH322" s="996">
        <v>2.2625503999999985</v>
      </c>
      <c r="HI322" s="1006"/>
      <c r="HJ322" s="996">
        <v>0</v>
      </c>
      <c r="HK322" s="1006"/>
      <c r="HL322" s="996">
        <v>5.5476960000001796E-2</v>
      </c>
      <c r="HM322" s="1006"/>
      <c r="HN322" s="996">
        <v>0</v>
      </c>
      <c r="HO322" s="1006"/>
      <c r="HP322" s="996">
        <v>-0.32624900000000068</v>
      </c>
      <c r="HQ322" s="1006"/>
      <c r="HR322" s="996">
        <v>0</v>
      </c>
      <c r="HS322" s="1006" t="s">
        <v>223</v>
      </c>
      <c r="HT322" s="996">
        <v>-2.4571578239999994</v>
      </c>
      <c r="HU322" s="1006" t="s">
        <v>223</v>
      </c>
      <c r="HV322" s="996">
        <v>-3.3481097760000011</v>
      </c>
      <c r="HW322" s="1006"/>
      <c r="HX322" s="996">
        <v>0.919307400000001</v>
      </c>
      <c r="HY322" s="1006" t="s">
        <v>199</v>
      </c>
      <c r="HZ322" s="996">
        <v>2.56941256</v>
      </c>
      <c r="IA322" s="1006" t="s">
        <v>223</v>
      </c>
      <c r="IB322" s="996">
        <v>-2.2883527040000011</v>
      </c>
      <c r="IC322" s="1006" t="s">
        <v>204</v>
      </c>
      <c r="ID322" s="996">
        <v>-3.2751938559999978</v>
      </c>
      <c r="IE322" s="1006"/>
      <c r="IF322" s="996">
        <v>0.54005599999999632</v>
      </c>
      <c r="IG322" s="1006"/>
      <c r="IH322" s="996">
        <v>0</v>
      </c>
      <c r="II322" s="1006"/>
      <c r="IJ322" s="996">
        <v>0</v>
      </c>
      <c r="IK322" s="1006"/>
      <c r="IL322" s="996">
        <v>-0.41381999999999763</v>
      </c>
      <c r="IM322" s="1006"/>
      <c r="IN322" s="996">
        <v>0</v>
      </c>
      <c r="IO322" s="1006"/>
      <c r="IP322" s="996">
        <v>0</v>
      </c>
      <c r="IQ322" s="1006"/>
      <c r="IR322" s="996">
        <v>0.20983599999999925</v>
      </c>
      <c r="IS322" s="1006"/>
      <c r="IT322" s="996">
        <v>-0.87947199999999626</v>
      </c>
      <c r="IU322" s="1006"/>
      <c r="IV322" s="996">
        <v>0</v>
      </c>
      <c r="IW322" s="1006"/>
      <c r="IX322" s="996">
        <v>0</v>
      </c>
      <c r="IY322" s="1006" t="s">
        <v>199</v>
      </c>
      <c r="IZ322" s="996">
        <v>13.443399999999997</v>
      </c>
      <c r="JA322" s="1006"/>
      <c r="JB322" s="996">
        <v>0</v>
      </c>
      <c r="JC322" s="1006" t="s">
        <v>199</v>
      </c>
      <c r="JD322" s="996">
        <v>-14.489669040000003</v>
      </c>
      <c r="JE322" s="1006"/>
      <c r="JF322" s="996">
        <v>0</v>
      </c>
      <c r="JG322" s="1006"/>
      <c r="JH322" s="996">
        <v>0</v>
      </c>
      <c r="JI322" s="1006" t="s">
        <v>204</v>
      </c>
      <c r="JJ322" s="996">
        <v>-3.3309584000000001</v>
      </c>
      <c r="JK322" s="1007"/>
      <c r="JL322" s="1007">
        <v>0</v>
      </c>
      <c r="JM322" s="1007"/>
      <c r="JN322" s="1007">
        <v>0</v>
      </c>
      <c r="JO322" s="1008"/>
      <c r="JP322" s="1007">
        <v>0</v>
      </c>
      <c r="JQ322" s="1008">
        <v>0</v>
      </c>
      <c r="JR322" s="1007">
        <v>0</v>
      </c>
      <c r="JS322" s="1008">
        <v>0</v>
      </c>
      <c r="JT322" s="1007">
        <v>0</v>
      </c>
      <c r="JU322" s="1008" t="s">
        <v>204</v>
      </c>
      <c r="JV322" s="1007">
        <v>-8.318952399999997</v>
      </c>
      <c r="JW322" s="1008" t="s">
        <v>223</v>
      </c>
      <c r="JX322" s="1007">
        <v>-4.639800000000001</v>
      </c>
      <c r="JY322" s="1008"/>
      <c r="JZ322" s="1007">
        <v>0</v>
      </c>
      <c r="KA322" s="1008" t="s">
        <v>240</v>
      </c>
      <c r="KB322" s="1007">
        <v>-7.5741599999999991</v>
      </c>
      <c r="KC322" s="1008"/>
      <c r="KD322" s="1007">
        <v>0</v>
      </c>
      <c r="KE322" s="1008" t="s">
        <v>240</v>
      </c>
      <c r="KF322" s="1007">
        <v>-17.38044</v>
      </c>
      <c r="KG322" s="1008" t="s">
        <v>203</v>
      </c>
      <c r="KH322" s="1007">
        <v>-10.826199999999986</v>
      </c>
      <c r="KI322" s="1008" t="s">
        <v>203</v>
      </c>
      <c r="KJ322" s="1007">
        <v>16.864436388799987</v>
      </c>
      <c r="KK322" s="1008"/>
      <c r="KL322" s="1007">
        <v>57.690043611199997</v>
      </c>
      <c r="KM322" s="1008"/>
      <c r="KN322" s="1007">
        <v>0</v>
      </c>
      <c r="KO322" s="1008"/>
      <c r="KP322" s="1007"/>
      <c r="KQ322" s="1008">
        <v>0</v>
      </c>
      <c r="KR322" s="1007">
        <v>0</v>
      </c>
      <c r="KS322" s="1008">
        <v>0</v>
      </c>
      <c r="KT322" s="1007">
        <v>0</v>
      </c>
      <c r="KU322" s="1008">
        <v>0</v>
      </c>
      <c r="KV322" s="1007">
        <v>0</v>
      </c>
      <c r="KW322" s="1008">
        <v>0</v>
      </c>
      <c r="KX322" s="1007">
        <v>0</v>
      </c>
      <c r="KY322" s="1008">
        <v>0</v>
      </c>
      <c r="KZ322" s="1007">
        <v>0</v>
      </c>
      <c r="LA322" s="1008">
        <v>0</v>
      </c>
      <c r="LB322" s="1007">
        <v>0</v>
      </c>
      <c r="LC322" s="1008">
        <v>0</v>
      </c>
      <c r="LD322" s="1007">
        <v>0</v>
      </c>
      <c r="LE322" s="1008">
        <v>0</v>
      </c>
      <c r="LF322" s="1007">
        <v>0</v>
      </c>
      <c r="LG322" s="1008">
        <v>0</v>
      </c>
      <c r="LH322" s="1007">
        <v>0</v>
      </c>
      <c r="LI322" s="1008">
        <v>0</v>
      </c>
      <c r="LJ322" s="1007">
        <v>0</v>
      </c>
      <c r="LK322" s="1008">
        <v>0</v>
      </c>
      <c r="LL322" s="1007">
        <v>0</v>
      </c>
      <c r="LM322" s="1008">
        <v>0</v>
      </c>
      <c r="LN322" s="1007">
        <v>0</v>
      </c>
      <c r="LO322" s="1008">
        <v>0</v>
      </c>
      <c r="LP322" s="1007">
        <v>0</v>
      </c>
      <c r="LQ322" s="1008">
        <v>0</v>
      </c>
      <c r="LR322" s="1007">
        <v>0</v>
      </c>
      <c r="LS322" s="1008">
        <v>0</v>
      </c>
      <c r="LT322" s="1007">
        <v>0</v>
      </c>
      <c r="LU322" s="1008">
        <v>0</v>
      </c>
      <c r="LV322" s="1007">
        <v>0</v>
      </c>
      <c r="LW322" s="1008">
        <v>0</v>
      </c>
      <c r="LX322" s="1007">
        <v>0</v>
      </c>
      <c r="LY322" s="1009">
        <v>0</v>
      </c>
      <c r="LZ322" s="1010">
        <v>0</v>
      </c>
      <c r="MA322" s="1011">
        <v>0</v>
      </c>
      <c r="MB322" s="1012">
        <v>0</v>
      </c>
      <c r="MC322" s="995"/>
      <c r="MD322" s="996"/>
      <c r="ME322" s="997" t="s">
        <v>202</v>
      </c>
      <c r="MF322" s="997"/>
      <c r="MG322" s="998"/>
      <c r="MH322" s="878"/>
      <c r="MI322" s="878"/>
      <c r="MJ322" s="878"/>
      <c r="MK322" s="878"/>
      <c r="ML322" s="878"/>
      <c r="MM322" s="878"/>
      <c r="MN322" s="878"/>
      <c r="MO322" s="878"/>
      <c r="MP322" s="878"/>
      <c r="MQ322" s="878"/>
      <c r="MR322" s="878"/>
      <c r="MS322" s="878"/>
      <c r="MT322" s="878"/>
      <c r="MU322" s="878"/>
      <c r="MV322" s="878"/>
      <c r="MW322" s="878"/>
      <c r="MX322" s="878"/>
      <c r="MY322" s="878"/>
      <c r="MZ322" s="878"/>
      <c r="NA322" s="878"/>
      <c r="NB322" s="878"/>
      <c r="NC322" s="878"/>
      <c r="ND322" s="878"/>
      <c r="NE322" s="878"/>
      <c r="NF322" s="878"/>
      <c r="NG322" s="878"/>
      <c r="NH322" s="878"/>
      <c r="NI322" s="878"/>
      <c r="NJ322" s="878"/>
      <c r="NK322" s="878"/>
      <c r="NL322" s="878"/>
      <c r="NM322" s="878"/>
      <c r="NR322" s="1027"/>
      <c r="NS322" s="1027"/>
      <c r="NT322" s="1028"/>
      <c r="NU322" s="1027"/>
      <c r="NV322" s="1028"/>
      <c r="NW322" s="1029"/>
      <c r="NX322" s="1030"/>
      <c r="NY322" s="1029"/>
      <c r="NZ322" s="1028"/>
      <c r="OA322" s="1028"/>
      <c r="OB322" s="1029"/>
      <c r="OC322" s="1031"/>
      <c r="OD322" s="1031"/>
      <c r="OE322" s="1028"/>
      <c r="OF322" s="1031"/>
      <c r="OG322" s="1031"/>
      <c r="QX322" s="1000">
        <f t="shared" si="254"/>
        <v>43.321929340400004</v>
      </c>
      <c r="ASU322" s="1032" t="s">
        <v>225</v>
      </c>
    </row>
    <row r="323" spans="1:1191" ht="21" customHeight="1" x14ac:dyDescent="0.25">
      <c r="A323" s="982">
        <f t="shared" si="215"/>
        <v>1332</v>
      </c>
      <c r="B323" s="124">
        <f>SUBTOTAL(103,$J$29:J323)</f>
        <v>295</v>
      </c>
      <c r="C323" s="126">
        <v>45068</v>
      </c>
      <c r="D323" s="124" t="s">
        <v>176</v>
      </c>
      <c r="E323" s="127" t="s">
        <v>177</v>
      </c>
      <c r="F323" s="128" t="s">
        <v>177</v>
      </c>
      <c r="G323" s="127" t="s">
        <v>178</v>
      </c>
      <c r="H323" s="127" t="s">
        <v>179</v>
      </c>
      <c r="I323" s="127" t="s">
        <v>1365</v>
      </c>
      <c r="J323" s="215">
        <v>1332</v>
      </c>
      <c r="K323" s="127" t="s">
        <v>1365</v>
      </c>
      <c r="L323" s="130">
        <v>43632</v>
      </c>
      <c r="M323" s="127" t="s">
        <v>230</v>
      </c>
      <c r="N323" s="127" t="s">
        <v>184</v>
      </c>
      <c r="O323" s="127" t="s">
        <v>185</v>
      </c>
      <c r="P323" s="127" t="s">
        <v>186</v>
      </c>
      <c r="Q323" s="85" t="str">
        <f t="shared" si="249"/>
        <v/>
      </c>
      <c r="R323" s="130"/>
      <c r="S323" s="128"/>
      <c r="T323" s="131"/>
      <c r="U323" s="132">
        <v>203</v>
      </c>
      <c r="V323" s="121">
        <v>218.2</v>
      </c>
      <c r="W323" s="116">
        <v>0.98</v>
      </c>
      <c r="X323" s="116">
        <v>1.66</v>
      </c>
      <c r="Y323" s="116">
        <f t="shared" si="239"/>
        <v>0.98</v>
      </c>
      <c r="Z323" s="133">
        <v>1.454</v>
      </c>
      <c r="AA323" s="133">
        <v>0.83599999999999997</v>
      </c>
      <c r="AB323" s="133">
        <v>0.72</v>
      </c>
      <c r="AC323" s="121">
        <v>34.299999999999997</v>
      </c>
      <c r="AD323" s="134">
        <v>1.17</v>
      </c>
      <c r="AE323" s="124">
        <v>177.8</v>
      </c>
      <c r="AF323" s="128">
        <v>9.19</v>
      </c>
      <c r="AG323" s="128">
        <v>2320</v>
      </c>
      <c r="AH323" s="127">
        <v>3108</v>
      </c>
      <c r="AI323" s="127">
        <v>3108</v>
      </c>
      <c r="AJ323" s="135"/>
      <c r="AK323" s="128"/>
      <c r="AL323" s="131"/>
      <c r="AM323" s="124" t="s">
        <v>985</v>
      </c>
      <c r="AN323" s="136" t="s">
        <v>1366</v>
      </c>
      <c r="AO323" s="137">
        <v>182.61</v>
      </c>
      <c r="AP323" s="128">
        <v>2451.0700000000002</v>
      </c>
      <c r="AQ323" s="128">
        <f>AP323-1877</f>
        <v>574.07000000000016</v>
      </c>
      <c r="AR323" s="128"/>
      <c r="AS323" s="128"/>
      <c r="AT323" s="122"/>
      <c r="AU323" s="124" t="s">
        <v>250</v>
      </c>
      <c r="AV323" s="115">
        <f>VLOOKUP(J323,'[63]ТР нефть'!$J$28:$BP$638,39,0)</f>
        <v>500</v>
      </c>
      <c r="AW323" s="115" t="str">
        <f>VLOOKUP(J323,'[63]ТР нефть'!$J$28:$BP$638,40,0)</f>
        <v>ГП</v>
      </c>
      <c r="AX323" s="115">
        <f>VLOOKUP(J323,'[63]ТР нефть'!$J$28:$BP$638,41,0)</f>
        <v>955</v>
      </c>
      <c r="AY323" s="115" t="str">
        <f>VLOOKUP(J323,'[63]ТР нефть'!$J$28:$BP$638,42,0)</f>
        <v>ГК 73 1/8</v>
      </c>
      <c r="AZ323" s="115">
        <f>VLOOKUP(J323,'[63]ТР нефть'!$J$28:$BP$638,43,0)</f>
        <v>1345</v>
      </c>
      <c r="BA323" s="115" t="str">
        <f>VLOOKUP(J323,'[63]ТР нефть'!$J$28:$BP$638,44,0)</f>
        <v>ГК 74 5/32</v>
      </c>
      <c r="BB323" s="115">
        <f>VLOOKUP(J323,'[63]ТР нефть'!$J$28:$BP$638,45,0)</f>
        <v>1645</v>
      </c>
      <c r="BC323" s="115" t="str">
        <f>VLOOKUP(J323,'[63]ТР нефть'!$J$28:$BP$638,46,0)</f>
        <v>ГК 74 5/32</v>
      </c>
      <c r="BD323" s="115">
        <f>VLOOKUP(J323,'[63]ТР нефть'!$J$28:$BP$638,47,0)</f>
        <v>1920</v>
      </c>
      <c r="BE323" s="115" t="str">
        <f>VLOOKUP(J323,'[63]ТР нефть'!$J$28:$BP$638,48,0)</f>
        <v>ЦКсОК 5/16</v>
      </c>
      <c r="BF323" s="115" t="str">
        <f>VLOOKUP(J323,'[63]ТР нефть'!$J$28:$BP$638,49,0)</f>
        <v>-</v>
      </c>
      <c r="BG323" s="115" t="str">
        <f>VLOOKUP(J323,'[63]ТР нефть'!$J$28:$BP$638,50,0)</f>
        <v>-</v>
      </c>
      <c r="BH323" s="115" t="str">
        <f>VLOOKUP(J323,'[63]ТР нефть'!$J$28:$BP$638,51,0)</f>
        <v>-</v>
      </c>
      <c r="BI323" s="115" t="str">
        <f>VLOOKUP(J323,'[63]ТР нефть'!$J$28:$BP$638,52,0)</f>
        <v>-</v>
      </c>
      <c r="BJ323" s="115" t="str">
        <f>IF(IFERROR(VLOOKUP(J323,'[63]ТР нефть'!$J$28:$BP$638,53,0),"-")=0,"-",IFERROR(VLOOKUP(J323,'[63]ТР нефть'!$J$28:$BP$638,53,0),"-"))</f>
        <v>-</v>
      </c>
      <c r="BK323" s="138" t="str">
        <f>IF(IFERROR(VLOOKUP(J323,'[63]ТР нефть'!$J$28:$BP$638,54,0),"-")=0,"-",IFERROR(VLOOKUP(J323,'[63]ТР нефть'!$J$28:$BP$638,54,0),"-"))</f>
        <v>-</v>
      </c>
      <c r="BL323" s="138" t="str">
        <f>IF(IFERROR(VLOOKUP(J323,'[63]ТР нефть'!$J$28:$BP$638,55,0),"-")=0,"-",IFERROR(VLOOKUP(J323,'[63]ТР нефть'!$J$28:$BP$638,55,0),"-"))</f>
        <v>-</v>
      </c>
      <c r="BM323" s="138" t="str">
        <f>IF(IFERROR(VLOOKUP(J323,'[63]ТР нефть'!$J$28:$BP$638,56,0),"-")=0,"-",IFERROR(VLOOKUP(J323,'[63]ТР нефть'!$J$28:$BP$638,56,0),"-"))</f>
        <v>-</v>
      </c>
      <c r="BN323" s="138" t="str">
        <f>IF(IFERROR(VLOOKUP(J323,'[63]ТР нефть'!$J$28:$BP$638,57,0),"-")=0,"-",IFERROR(VLOOKUP(J323,'[63]ТР нефть'!$J$28:$BP$638,57,0),"-"))</f>
        <v>-</v>
      </c>
      <c r="BO323" s="115" t="str">
        <f>IF(IFERROR(VLOOKUP(J323,'[63]ТР нефть'!$J$28:$BP$638,58,0),"-")=0,"-",IFERROR(VLOOKUP(J323,'[63]ТР нефть'!$J$28:$BP$638,58,0),"-"))</f>
        <v>-</v>
      </c>
      <c r="BP323" s="115" t="str">
        <f>IF(IFERROR(VLOOKUP(J323,'[63]ТР нефть'!$J$28:$BP$638,59,0),"-")=0,"-",IFERROR(VLOOKUP(J323,'[63]ТР нефть'!$J$28:$BP$638,59,0),"-"))</f>
        <v>-</v>
      </c>
      <c r="BQ323" s="138">
        <v>2260</v>
      </c>
      <c r="BR323" s="128">
        <v>1822</v>
      </c>
      <c r="BS323" s="115">
        <f t="shared" si="211"/>
        <v>438</v>
      </c>
      <c r="BT323" s="128">
        <v>73</v>
      </c>
      <c r="BU323" s="128">
        <v>5.5</v>
      </c>
      <c r="BV323" s="127">
        <v>65</v>
      </c>
      <c r="BW323" s="127" t="s">
        <v>217</v>
      </c>
      <c r="BX323" s="127" t="s">
        <v>195</v>
      </c>
      <c r="BY323" s="139">
        <v>24</v>
      </c>
      <c r="BZ323" s="139">
        <v>0</v>
      </c>
      <c r="CA323" s="138">
        <v>27</v>
      </c>
      <c r="CB323" s="138">
        <v>35</v>
      </c>
      <c r="CC323" s="138">
        <v>27</v>
      </c>
      <c r="CD323" s="135">
        <v>45017</v>
      </c>
      <c r="CE323" s="138">
        <v>91</v>
      </c>
      <c r="CF323" s="138"/>
      <c r="CG323" s="138"/>
      <c r="CH323" s="138"/>
      <c r="CI323" s="127"/>
      <c r="CJ323" s="138"/>
      <c r="CK323" s="138">
        <f t="shared" ref="CK323:CK381" si="255">CN323-CA323</f>
        <v>27</v>
      </c>
      <c r="CL323" s="99"/>
      <c r="CM323" s="127"/>
      <c r="CN323" s="154">
        <v>54</v>
      </c>
      <c r="CO323" s="141">
        <f t="shared" si="216"/>
        <v>8.4603199999999994</v>
      </c>
      <c r="CP323" s="142">
        <v>10.119999999999999</v>
      </c>
      <c r="CQ323" s="143">
        <v>0</v>
      </c>
      <c r="CR323" s="138">
        <v>23.6</v>
      </c>
      <c r="CS323" s="139"/>
      <c r="CT323" s="138"/>
      <c r="CU323" s="138">
        <f t="shared" si="235"/>
        <v>23.6</v>
      </c>
      <c r="CV323" s="115">
        <f t="shared" si="236"/>
        <v>2789.4925960247369</v>
      </c>
      <c r="CW323" s="115" t="str">
        <f t="shared" si="217"/>
        <v/>
      </c>
      <c r="CX323" s="133">
        <f t="shared" si="237"/>
        <v>0.2735135135135135</v>
      </c>
      <c r="CY323" s="116"/>
      <c r="CZ323" s="131"/>
      <c r="DA323" s="145" t="str">
        <f t="shared" si="218"/>
        <v>Фон.</v>
      </c>
      <c r="DB323" s="146">
        <f t="shared" si="219"/>
        <v>8.4603199999999994</v>
      </c>
      <c r="DC323" s="142">
        <f t="shared" si="234"/>
        <v>10.119999999999999</v>
      </c>
      <c r="DD323" s="119">
        <f t="shared" si="250"/>
        <v>0</v>
      </c>
      <c r="DE323" s="115">
        <f t="shared" si="220"/>
        <v>23.6</v>
      </c>
      <c r="DF323" s="121">
        <f t="shared" si="221"/>
        <v>0</v>
      </c>
      <c r="DG323" s="115">
        <f t="shared" si="222"/>
        <v>2789.4925960247369</v>
      </c>
      <c r="DH323" s="115">
        <f t="shared" si="223"/>
        <v>54</v>
      </c>
      <c r="DI323" s="147"/>
      <c r="DJ323" s="111" t="s">
        <v>197</v>
      </c>
      <c r="DK323" s="112">
        <v>43632</v>
      </c>
      <c r="DL323" s="113">
        <f t="shared" ca="1" si="240"/>
        <v>1472</v>
      </c>
      <c r="DM323" s="114"/>
      <c r="DN323" s="114"/>
      <c r="DO323" s="114"/>
      <c r="DP323" s="114"/>
      <c r="DQ323" s="112">
        <v>43632</v>
      </c>
      <c r="DR323" s="114" t="s">
        <v>324</v>
      </c>
      <c r="DS323" s="114"/>
      <c r="DT323" s="115">
        <v>52</v>
      </c>
      <c r="DU323" s="116">
        <f t="shared" si="241"/>
        <v>0.27025254762959677</v>
      </c>
      <c r="DV323" s="117">
        <f t="shared" si="242"/>
        <v>8.8113140629153737</v>
      </c>
      <c r="DW323" s="118">
        <f t="shared" si="243"/>
        <v>10.539849357554274</v>
      </c>
      <c r="DX323" s="119">
        <f t="shared" si="224"/>
        <v>0</v>
      </c>
      <c r="DY323" s="115">
        <f t="shared" si="244"/>
        <v>24.579095339751078</v>
      </c>
      <c r="DZ323" s="117">
        <f t="shared" si="245"/>
        <v>0.35099406291537427</v>
      </c>
      <c r="EA323" s="120">
        <f t="shared" si="245"/>
        <v>0.41984935755427522</v>
      </c>
      <c r="EB323" s="119">
        <f t="shared" si="245"/>
        <v>0</v>
      </c>
      <c r="EC323" s="121">
        <f t="shared" si="246"/>
        <v>0.97909533975107621</v>
      </c>
      <c r="ED323" s="122"/>
      <c r="EE323" s="145">
        <v>65</v>
      </c>
      <c r="EF323" s="115">
        <v>30</v>
      </c>
      <c r="EG323" s="115">
        <v>40</v>
      </c>
      <c r="EH323" s="115">
        <v>29</v>
      </c>
      <c r="EI323" s="128" t="s">
        <v>195</v>
      </c>
      <c r="EJ323" s="121">
        <v>24</v>
      </c>
      <c r="EK323" s="121">
        <v>0</v>
      </c>
      <c r="EL323" s="149">
        <v>8.4603199999999994</v>
      </c>
      <c r="EM323" s="142">
        <v>10.119999999999999</v>
      </c>
      <c r="EN323" s="119">
        <v>0</v>
      </c>
      <c r="EO323" s="115">
        <v>23.6</v>
      </c>
      <c r="EP323" s="115">
        <v>2789.4925960247369</v>
      </c>
      <c r="EQ323" s="115">
        <v>0</v>
      </c>
      <c r="ER323" s="115">
        <v>0</v>
      </c>
      <c r="ES323" s="115">
        <v>54</v>
      </c>
      <c r="ET323" s="150">
        <v>0.2735135135135135</v>
      </c>
      <c r="EU323" s="145">
        <f t="shared" si="225"/>
        <v>65</v>
      </c>
      <c r="EV323" s="115">
        <f t="shared" si="226"/>
        <v>27</v>
      </c>
      <c r="EW323" s="115">
        <f t="shared" si="226"/>
        <v>35</v>
      </c>
      <c r="EX323" s="115">
        <f t="shared" si="226"/>
        <v>27</v>
      </c>
      <c r="EY323" s="115" t="str">
        <f t="shared" si="253"/>
        <v>Постоянный</v>
      </c>
      <c r="EZ323" s="115">
        <f t="shared" si="253"/>
        <v>24</v>
      </c>
      <c r="FA323" s="115">
        <f t="shared" si="253"/>
        <v>0</v>
      </c>
      <c r="FB323" s="149">
        <f t="shared" si="238"/>
        <v>8.4603199999999994</v>
      </c>
      <c r="FC323" s="142">
        <f t="shared" si="238"/>
        <v>10.119999999999999</v>
      </c>
      <c r="FD323" s="119">
        <f t="shared" si="238"/>
        <v>0</v>
      </c>
      <c r="FE323" s="121">
        <f t="shared" si="208"/>
        <v>23.6</v>
      </c>
      <c r="FF323" s="121">
        <f t="shared" si="247"/>
        <v>2789.4925960247369</v>
      </c>
      <c r="FG323" s="121">
        <f t="shared" si="227"/>
        <v>0</v>
      </c>
      <c r="FH323" s="121">
        <f t="shared" si="248"/>
        <v>0</v>
      </c>
      <c r="FI323" s="121">
        <f t="shared" si="252"/>
        <v>54</v>
      </c>
      <c r="FJ323" s="144">
        <f t="shared" si="228"/>
        <v>0.2735135135135135</v>
      </c>
      <c r="FK323" s="132">
        <f t="shared" si="229"/>
        <v>0</v>
      </c>
      <c r="FL323" s="115">
        <f t="shared" si="229"/>
        <v>-3</v>
      </c>
      <c r="FM323" s="115">
        <f t="shared" si="229"/>
        <v>-5</v>
      </c>
      <c r="FN323" s="115">
        <f t="shared" si="229"/>
        <v>-2</v>
      </c>
      <c r="FO323" s="115">
        <f t="shared" si="232"/>
        <v>0</v>
      </c>
      <c r="FP323" s="115">
        <f t="shared" si="232"/>
        <v>0</v>
      </c>
      <c r="FQ323" s="149">
        <f t="shared" si="232"/>
        <v>0</v>
      </c>
      <c r="FR323" s="142">
        <f t="shared" si="232"/>
        <v>0</v>
      </c>
      <c r="FS323" s="119">
        <f t="shared" si="232"/>
        <v>0</v>
      </c>
      <c r="FT323" s="121">
        <f t="shared" si="232"/>
        <v>0</v>
      </c>
      <c r="FU323" s="121">
        <f t="shared" si="230"/>
        <v>0</v>
      </c>
      <c r="FV323" s="121">
        <f t="shared" si="230"/>
        <v>0</v>
      </c>
      <c r="FW323" s="121">
        <f t="shared" si="231"/>
        <v>0</v>
      </c>
      <c r="FX323" s="121">
        <f t="shared" si="233"/>
        <v>0</v>
      </c>
      <c r="FY323" s="144">
        <f t="shared" si="214"/>
        <v>0</v>
      </c>
      <c r="FZ323" s="145"/>
      <c r="GA323" s="125"/>
      <c r="GB323" s="145" t="s">
        <v>199</v>
      </c>
      <c r="GC323" s="125" t="s">
        <v>415</v>
      </c>
      <c r="GD323" s="997" t="s">
        <v>202</v>
      </c>
      <c r="GE323" s="1004" t="s">
        <v>199</v>
      </c>
      <c r="GF323" s="1004">
        <v>-1.5716800000000006</v>
      </c>
      <c r="GG323" s="1004" t="s">
        <v>223</v>
      </c>
      <c r="GH323" s="1004">
        <v>-2.1735999999999986</v>
      </c>
      <c r="GI323" s="145"/>
      <c r="GJ323" s="996">
        <v>0</v>
      </c>
      <c r="GK323" s="145"/>
      <c r="GL323" s="996">
        <v>-0.8360000000000003</v>
      </c>
      <c r="GM323" s="1005" t="s">
        <v>221</v>
      </c>
      <c r="GN323" s="996">
        <v>3.5947999999999993</v>
      </c>
      <c r="GO323" s="1006"/>
      <c r="GP323" s="996">
        <v>0</v>
      </c>
      <c r="GQ323" s="1006"/>
      <c r="GR323" s="996">
        <v>-0.91960000000000086</v>
      </c>
      <c r="GS323" s="1006" t="s">
        <v>223</v>
      </c>
      <c r="GT323" s="996">
        <v>-1.0031999999999979</v>
      </c>
      <c r="GU323" s="1006"/>
      <c r="GV323" s="996">
        <v>0</v>
      </c>
      <c r="GW323" s="1006"/>
      <c r="GX323" s="1035">
        <v>-0.50159999999999982</v>
      </c>
      <c r="GY323" s="1006" t="s">
        <v>223</v>
      </c>
      <c r="GZ323" s="996">
        <v>-1.2456400000000016</v>
      </c>
      <c r="HA323" s="1006"/>
      <c r="HB323" s="996">
        <v>0.19228000000000023</v>
      </c>
      <c r="HC323" s="1006"/>
      <c r="HD323" s="996">
        <v>0</v>
      </c>
      <c r="HE323" s="1006"/>
      <c r="HF323" s="996">
        <v>0</v>
      </c>
      <c r="HG323" s="1006" t="s">
        <v>223</v>
      </c>
      <c r="HH323" s="996">
        <v>-1.9562400000000011</v>
      </c>
      <c r="HI323" s="1006"/>
      <c r="HJ323" s="996">
        <v>-0.73567999999999856</v>
      </c>
      <c r="HK323" s="1006" t="s">
        <v>223</v>
      </c>
      <c r="HL323" s="996">
        <v>-0.97812000000000054</v>
      </c>
      <c r="HM323" s="1006"/>
      <c r="HN323" s="996">
        <v>0.12540000000000262</v>
      </c>
      <c r="HO323" s="1006" t="s">
        <v>223</v>
      </c>
      <c r="HP323" s="996">
        <v>-1.8392000000000017</v>
      </c>
      <c r="HQ323" s="1006" t="s">
        <v>204</v>
      </c>
      <c r="HR323" s="996">
        <v>-2.1819600000000001</v>
      </c>
      <c r="HS323" s="1006"/>
      <c r="HT323" s="996">
        <v>0.22572000000000259</v>
      </c>
      <c r="HU323" s="1006" t="s">
        <v>221</v>
      </c>
      <c r="HV323" s="996">
        <v>2.441119999999998</v>
      </c>
      <c r="HW323" s="1006" t="s">
        <v>199</v>
      </c>
      <c r="HX323" s="996">
        <v>-2.58324</v>
      </c>
      <c r="HY323" s="1006"/>
      <c r="HZ323" s="996">
        <v>0</v>
      </c>
      <c r="IA323" s="1006"/>
      <c r="IB323" s="996">
        <v>-0.74404000000000181</v>
      </c>
      <c r="IC323" s="1006"/>
      <c r="ID323" s="996">
        <v>0</v>
      </c>
      <c r="IE323" s="1006"/>
      <c r="IF323" s="996">
        <v>-0.91959999999999908</v>
      </c>
      <c r="IG323" s="1006" t="s">
        <v>223</v>
      </c>
      <c r="IH323" s="996">
        <v>-1.0868000000000002</v>
      </c>
      <c r="II323" s="1006"/>
      <c r="IJ323" s="996">
        <v>0</v>
      </c>
      <c r="IK323" s="1006"/>
      <c r="IL323" s="996">
        <v>0</v>
      </c>
      <c r="IM323" s="1006" t="s">
        <v>204</v>
      </c>
      <c r="IN323" s="996">
        <v>-3.6783999999999999</v>
      </c>
      <c r="IO323" s="1006" t="s">
        <v>204</v>
      </c>
      <c r="IP323" s="996">
        <v>-3.2604000000000006</v>
      </c>
      <c r="IQ323" s="1006" t="s">
        <v>204</v>
      </c>
      <c r="IR323" s="996">
        <v>-10.032</v>
      </c>
      <c r="IS323" s="1006"/>
      <c r="IT323" s="996">
        <v>0</v>
      </c>
      <c r="IU323" s="1006"/>
      <c r="IV323" s="996">
        <v>0</v>
      </c>
      <c r="IW323" s="1006" t="s">
        <v>204</v>
      </c>
      <c r="IX323" s="996">
        <v>22.154</v>
      </c>
      <c r="IY323" s="1006"/>
      <c r="IZ323" s="996">
        <v>0</v>
      </c>
      <c r="JA323" s="1006"/>
      <c r="JB323" s="996">
        <v>0</v>
      </c>
      <c r="JC323" s="1006"/>
      <c r="JD323" s="996">
        <v>0</v>
      </c>
      <c r="JE323" s="1006"/>
      <c r="JF323" s="996">
        <v>0</v>
      </c>
      <c r="JG323" s="1006"/>
      <c r="JH323" s="996">
        <v>0</v>
      </c>
      <c r="JI323" s="1006" t="s">
        <v>203</v>
      </c>
      <c r="JJ323" s="996">
        <v>-6.0191999999999979</v>
      </c>
      <c r="JK323" s="1007"/>
      <c r="JL323" s="1007">
        <v>0</v>
      </c>
      <c r="JM323" s="1007" t="s">
        <v>199</v>
      </c>
      <c r="JN323" s="1007">
        <v>-2.7588000000000008</v>
      </c>
      <c r="JO323" s="1008" t="s">
        <v>199</v>
      </c>
      <c r="JP323" s="1007">
        <v>-2.5079999999999991</v>
      </c>
      <c r="JQ323" s="1008">
        <v>0</v>
      </c>
      <c r="JR323" s="1007">
        <v>0</v>
      </c>
      <c r="JS323" s="1008" t="s">
        <v>203</v>
      </c>
      <c r="JT323" s="1007">
        <v>-2.5079999999999991</v>
      </c>
      <c r="JU323" s="1008" t="s">
        <v>25</v>
      </c>
      <c r="JV323" s="1007">
        <v>31.767999999999997</v>
      </c>
      <c r="JW323" s="1008"/>
      <c r="JX323" s="1007"/>
      <c r="JY323" s="1008"/>
      <c r="JZ323" s="1007"/>
      <c r="KA323" s="1008"/>
      <c r="KB323" s="1007"/>
      <c r="KC323" s="1008"/>
      <c r="KD323" s="1007"/>
      <c r="KE323" s="1008"/>
      <c r="KF323" s="1007"/>
      <c r="KG323" s="1008"/>
      <c r="KH323" s="1007"/>
      <c r="KI323" s="1008"/>
      <c r="KJ323" s="1007"/>
      <c r="KK323" s="1008"/>
      <c r="KL323" s="1007"/>
      <c r="KM323" s="1008"/>
      <c r="KN323" s="1007"/>
      <c r="KO323" s="1008"/>
      <c r="KP323" s="1007"/>
      <c r="KQ323" s="1008"/>
      <c r="KR323" s="1007"/>
      <c r="KS323" s="1008"/>
      <c r="KT323" s="1007"/>
      <c r="KU323" s="1008"/>
      <c r="KV323" s="1007"/>
      <c r="KW323" s="1008"/>
      <c r="KX323" s="1007"/>
      <c r="KY323" s="1008"/>
      <c r="KZ323" s="1007"/>
      <c r="LA323" s="1008"/>
      <c r="LB323" s="1007"/>
      <c r="LC323" s="1008"/>
      <c r="LD323" s="1007"/>
      <c r="LE323" s="1008"/>
      <c r="LF323" s="1007"/>
      <c r="LG323" s="1008"/>
      <c r="LH323" s="1007"/>
      <c r="LI323" s="1008"/>
      <c r="LJ323" s="1007"/>
      <c r="LK323" s="1008"/>
      <c r="LL323" s="1007"/>
      <c r="LM323" s="1008"/>
      <c r="LN323" s="1007"/>
      <c r="LO323" s="1008"/>
      <c r="LP323" s="1007"/>
      <c r="LQ323" s="1008"/>
      <c r="LR323" s="1007"/>
      <c r="LS323" s="1008"/>
      <c r="LT323" s="1007"/>
      <c r="LU323" s="1008"/>
      <c r="LV323" s="1007"/>
      <c r="LW323" s="1008"/>
      <c r="LX323" s="1007"/>
      <c r="LY323" s="1009"/>
      <c r="LZ323" s="1010"/>
      <c r="MA323" s="1011"/>
      <c r="MB323" s="1012"/>
      <c r="MC323" s="995"/>
      <c r="MD323" s="996"/>
      <c r="ME323" s="997" t="s">
        <v>202</v>
      </c>
      <c r="MF323" s="997"/>
      <c r="MG323" s="998"/>
      <c r="NR323" s="1000"/>
      <c r="NS323" s="1000"/>
      <c r="NT323" s="1001"/>
      <c r="NU323" s="1000"/>
      <c r="NV323" s="1001"/>
      <c r="NX323" s="1002"/>
      <c r="NZ323" s="1001"/>
      <c r="OA323" s="1001"/>
      <c r="OC323" s="1003"/>
      <c r="OD323" s="1003"/>
      <c r="OE323" s="1001"/>
      <c r="OF323" s="1003"/>
      <c r="OG323" s="1003"/>
      <c r="QX323" s="1000">
        <f t="shared" si="254"/>
        <v>27</v>
      </c>
      <c r="ASU323" s="999" t="s">
        <v>208</v>
      </c>
    </row>
    <row r="324" spans="1:1191" ht="21" customHeight="1" x14ac:dyDescent="0.25">
      <c r="A324" s="982">
        <f t="shared" si="215"/>
        <v>1333</v>
      </c>
      <c r="B324" s="124">
        <f>SUBTOTAL(103,$J$29:J324)</f>
        <v>296</v>
      </c>
      <c r="C324" s="126">
        <v>45068</v>
      </c>
      <c r="D324" s="124" t="s">
        <v>176</v>
      </c>
      <c r="E324" s="127" t="s">
        <v>177</v>
      </c>
      <c r="F324" s="128" t="s">
        <v>177</v>
      </c>
      <c r="G324" s="127" t="s">
        <v>178</v>
      </c>
      <c r="H324" s="127" t="s">
        <v>179</v>
      </c>
      <c r="I324" s="127" t="s">
        <v>1367</v>
      </c>
      <c r="J324" s="215">
        <v>1333</v>
      </c>
      <c r="K324" s="127" t="s">
        <v>1367</v>
      </c>
      <c r="L324" s="130">
        <v>44224</v>
      </c>
      <c r="M324" s="127" t="s">
        <v>230</v>
      </c>
      <c r="N324" s="127" t="s">
        <v>1368</v>
      </c>
      <c r="O324" s="127" t="s">
        <v>185</v>
      </c>
      <c r="P324" s="127" t="s">
        <v>186</v>
      </c>
      <c r="Q324" s="85" t="str">
        <f t="shared" si="249"/>
        <v/>
      </c>
      <c r="R324" s="130"/>
      <c r="S324" s="128"/>
      <c r="T324" s="131"/>
      <c r="U324" s="132">
        <v>203</v>
      </c>
      <c r="V324" s="121">
        <v>218.2</v>
      </c>
      <c r="W324" s="116">
        <v>0.98</v>
      </c>
      <c r="X324" s="116">
        <v>1.66</v>
      </c>
      <c r="Y324" s="116">
        <f t="shared" si="239"/>
        <v>1.0175131348511381</v>
      </c>
      <c r="Z324" s="133">
        <v>1.454</v>
      </c>
      <c r="AA324" s="133">
        <v>0.83599999999999997</v>
      </c>
      <c r="AB324" s="133">
        <v>0.72</v>
      </c>
      <c r="AC324" s="121">
        <v>34.299999999999997</v>
      </c>
      <c r="AD324" s="134">
        <v>1.17</v>
      </c>
      <c r="AE324" s="124">
        <v>177.8</v>
      </c>
      <c r="AF324" s="128">
        <v>9.19</v>
      </c>
      <c r="AG324" s="128">
        <v>2043</v>
      </c>
      <c r="AH324" s="127">
        <v>2837</v>
      </c>
      <c r="AI324" s="127">
        <v>2837</v>
      </c>
      <c r="AJ324" s="135">
        <v>44051</v>
      </c>
      <c r="AK324" s="128"/>
      <c r="AL324" s="131"/>
      <c r="AM324" s="124" t="s">
        <v>232</v>
      </c>
      <c r="AN324" s="136" t="s">
        <v>1369</v>
      </c>
      <c r="AO324" s="137">
        <v>37.74</v>
      </c>
      <c r="AP324" s="128">
        <v>2837</v>
      </c>
      <c r="AQ324" s="128">
        <v>216.49</v>
      </c>
      <c r="AR324" s="128"/>
      <c r="AS324" s="128"/>
      <c r="AT324" s="122"/>
      <c r="AU324" s="124" t="s">
        <v>250</v>
      </c>
      <c r="AV324" s="115">
        <f>VLOOKUP(J324,'[63]ТР нефть'!$J$28:$BP$638,39,0)</f>
        <v>350</v>
      </c>
      <c r="AW324" s="115" t="str">
        <f>VLOOKUP(J324,'[63]ТР нефть'!$J$28:$BP$638,40,0)</f>
        <v>ГП</v>
      </c>
      <c r="AX324" s="115">
        <f>VLOOKUP(J324,'[63]ТР нефть'!$J$28:$BP$638,41,0)</f>
        <v>640</v>
      </c>
      <c r="AY324" s="115" t="str">
        <f>VLOOKUP(J324,'[63]ТР нефть'!$J$28:$BP$638,42,0)</f>
        <v>ГП</v>
      </c>
      <c r="AZ324" s="115">
        <f>VLOOKUP(J324,'[63]ТР нефть'!$J$28:$BP$638,43,0)</f>
        <v>910</v>
      </c>
      <c r="BA324" s="115" t="str">
        <f>VLOOKUP(J324,'[63]ТР нефть'!$J$28:$BP$638,44,0)</f>
        <v>ГП</v>
      </c>
      <c r="BB324" s="115">
        <f>VLOOKUP(J324,'[63]ТР нефть'!$J$28:$BP$638,45,0)</f>
        <v>1100</v>
      </c>
      <c r="BC324" s="115" t="str">
        <f>VLOOKUP(J324,'[63]ТР нефть'!$J$28:$BP$638,46,0)</f>
        <v>ГП</v>
      </c>
      <c r="BD324" s="115">
        <f>VLOOKUP(J324,'[63]ТР нефть'!$J$28:$BP$638,47,0)</f>
        <v>1590</v>
      </c>
      <c r="BE324" s="115" t="str">
        <f>VLOOKUP(J324,'[63]ТР нефть'!$J$28:$BP$638,48,0)</f>
        <v>ГП</v>
      </c>
      <c r="BF324" s="115">
        <f>VLOOKUP(J324,'[63]ТР нефть'!$J$28:$BP$638,49,0)</f>
        <v>1810</v>
      </c>
      <c r="BG324" s="115" t="str">
        <f>VLOOKUP(J324,'[63]ТР нефть'!$J$28:$BP$638,50,0)</f>
        <v>ЦКсОК 5/16</v>
      </c>
      <c r="BH324" s="115" t="str">
        <f>VLOOKUP(J324,'[63]ТР нефть'!$J$28:$BP$638,51,0)</f>
        <v>-</v>
      </c>
      <c r="BI324" s="115" t="str">
        <f>VLOOKUP(J324,'[63]ТР нефть'!$J$28:$BP$638,52,0)</f>
        <v>-</v>
      </c>
      <c r="BJ324" s="115" t="str">
        <f>IF(IFERROR(VLOOKUP(J324,'[63]ТР нефть'!$J$28:$BP$638,53,0),"-")=0,"-",IFERROR(VLOOKUP(J324,'[63]ТР нефть'!$J$28:$BP$638,53,0),"-"))</f>
        <v>-</v>
      </c>
      <c r="BK324" s="138" t="str">
        <f>IF(IFERROR(VLOOKUP(J324,'[63]ТР нефть'!$J$28:$BP$638,54,0),"-")=0,"-",IFERROR(VLOOKUP(J324,'[63]ТР нефть'!$J$28:$BP$638,54,0),"-"))</f>
        <v>-</v>
      </c>
      <c r="BL324" s="138" t="str">
        <f>IF(IFERROR(VLOOKUP(J324,'[63]ТР нефть'!$J$28:$BP$638,55,0),"-")=0,"-",IFERROR(VLOOKUP(J324,'[63]ТР нефть'!$J$28:$BP$638,55,0),"-"))</f>
        <v>-</v>
      </c>
      <c r="BM324" s="138" t="str">
        <f>IF(IFERROR(VLOOKUP(J324,'[63]ТР нефть'!$J$28:$BP$638,56,0),"-")=0,"-",IFERROR(VLOOKUP(J324,'[63]ТР нефть'!$J$28:$BP$638,56,0),"-"))</f>
        <v>-</v>
      </c>
      <c r="BN324" s="138" t="str">
        <f>IF(IFERROR(VLOOKUP(J324,'[63]ТР нефть'!$J$28:$BP$638,57,0),"-")=0,"-",IFERROR(VLOOKUP(J324,'[63]ТР нефть'!$J$28:$BP$638,57,0),"-"))</f>
        <v>-</v>
      </c>
      <c r="BO324" s="115" t="str">
        <f>IF(IFERROR(VLOOKUP(J324,'[63]ТР нефть'!$J$28:$BP$638,58,0),"-")=0,"-",IFERROR(VLOOKUP(J324,'[63]ТР нефть'!$J$28:$BP$638,58,0),"-"))</f>
        <v>-</v>
      </c>
      <c r="BP324" s="115" t="str">
        <f>IF(IFERROR(VLOOKUP(J324,'[63]ТР нефть'!$J$28:$BP$638,59,0),"-")=0,"-",IFERROR(VLOOKUP(J324,'[63]ТР нефть'!$J$28:$BP$638,59,0),"-"))</f>
        <v>-</v>
      </c>
      <c r="BQ324" s="138">
        <v>2100</v>
      </c>
      <c r="BR324" s="128">
        <v>1842.03</v>
      </c>
      <c r="BS324" s="115">
        <v>257.97000000000003</v>
      </c>
      <c r="BT324" s="128">
        <v>73</v>
      </c>
      <c r="BU324" s="128">
        <v>5.5</v>
      </c>
      <c r="BV324" s="127">
        <v>12</v>
      </c>
      <c r="BW324" s="127" t="s">
        <v>217</v>
      </c>
      <c r="BX324" s="127" t="s">
        <v>195</v>
      </c>
      <c r="BY324" s="139">
        <v>24</v>
      </c>
      <c r="BZ324" s="139">
        <v>0</v>
      </c>
      <c r="CA324" s="138">
        <v>42</v>
      </c>
      <c r="CB324" s="138">
        <v>44</v>
      </c>
      <c r="CC324" s="138">
        <v>42</v>
      </c>
      <c r="CD324" s="135">
        <v>45017</v>
      </c>
      <c r="CE324" s="138">
        <v>95.7</v>
      </c>
      <c r="CF324" s="138"/>
      <c r="CG324" s="138"/>
      <c r="CH324" s="138"/>
      <c r="CI324" s="127"/>
      <c r="CJ324" s="138"/>
      <c r="CK324" s="138">
        <f t="shared" si="255"/>
        <v>35</v>
      </c>
      <c r="CL324" s="99"/>
      <c r="CM324" s="127"/>
      <c r="CN324" s="154">
        <v>77</v>
      </c>
      <c r="CO324" s="141">
        <f t="shared" si="216"/>
        <v>20.540520000000001</v>
      </c>
      <c r="CP324" s="142">
        <v>27</v>
      </c>
      <c r="CQ324" s="143">
        <v>9</v>
      </c>
      <c r="CR324" s="138">
        <v>50</v>
      </c>
      <c r="CS324" s="139"/>
      <c r="CT324" s="138"/>
      <c r="CU324" s="138">
        <f t="shared" si="235"/>
        <v>50</v>
      </c>
      <c r="CV324" s="115">
        <f t="shared" si="236"/>
        <v>2434.21296052875</v>
      </c>
      <c r="CW324" s="115" t="str">
        <f t="shared" si="217"/>
        <v/>
      </c>
      <c r="CX324" s="133">
        <f t="shared" si="237"/>
        <v>1.4438502673796789</v>
      </c>
      <c r="CY324" s="116"/>
      <c r="CZ324" s="131"/>
      <c r="DA324" s="145" t="str">
        <f t="shared" si="218"/>
        <v>Фон.</v>
      </c>
      <c r="DB324" s="146">
        <f t="shared" si="219"/>
        <v>20.540520000000001</v>
      </c>
      <c r="DC324" s="142">
        <f t="shared" si="234"/>
        <v>27</v>
      </c>
      <c r="DD324" s="119">
        <f t="shared" si="250"/>
        <v>9</v>
      </c>
      <c r="DE324" s="115">
        <f t="shared" si="220"/>
        <v>50</v>
      </c>
      <c r="DF324" s="121">
        <f t="shared" si="221"/>
        <v>0</v>
      </c>
      <c r="DG324" s="115">
        <f t="shared" si="222"/>
        <v>2434.21296052875</v>
      </c>
      <c r="DH324" s="115">
        <f t="shared" si="223"/>
        <v>77</v>
      </c>
      <c r="DI324" s="147"/>
      <c r="DJ324" s="111"/>
      <c r="DK324" s="112">
        <v>44224</v>
      </c>
      <c r="DL324" s="113">
        <f t="shared" ca="1" si="240"/>
        <v>880</v>
      </c>
      <c r="DM324" s="114"/>
      <c r="DN324" s="114"/>
      <c r="DO324" s="114"/>
      <c r="DP324" s="114"/>
      <c r="DQ324" s="112"/>
      <c r="DR324" s="114"/>
      <c r="DS324" s="114"/>
      <c r="DT324" s="115">
        <v>60</v>
      </c>
      <c r="DU324" s="116">
        <f t="shared" si="241"/>
        <v>1.319016423537571</v>
      </c>
      <c r="DV324" s="117">
        <f t="shared" si="242"/>
        <v>35.823341157024799</v>
      </c>
      <c r="DW324" s="118">
        <f t="shared" si="243"/>
        <v>47.088886320291287</v>
      </c>
      <c r="DX324" s="119">
        <f t="shared" si="224"/>
        <v>9</v>
      </c>
      <c r="DY324" s="115">
        <f t="shared" si="244"/>
        <v>87.201641333872757</v>
      </c>
      <c r="DZ324" s="117">
        <f t="shared" si="245"/>
        <v>15.282821157024799</v>
      </c>
      <c r="EA324" s="120">
        <f t="shared" si="245"/>
        <v>20.088886320291287</v>
      </c>
      <c r="EB324" s="119">
        <f t="shared" si="245"/>
        <v>0</v>
      </c>
      <c r="EC324" s="121">
        <f t="shared" si="246"/>
        <v>37.201641333872757</v>
      </c>
      <c r="ED324" s="122"/>
      <c r="EE324" s="145">
        <v>12</v>
      </c>
      <c r="EF324" s="115">
        <v>44</v>
      </c>
      <c r="EG324" s="115">
        <v>44</v>
      </c>
      <c r="EH324" s="115">
        <v>42</v>
      </c>
      <c r="EI324" s="128" t="s">
        <v>195</v>
      </c>
      <c r="EJ324" s="121">
        <v>24</v>
      </c>
      <c r="EK324" s="121">
        <v>0</v>
      </c>
      <c r="EL324" s="149">
        <v>20.540520000000001</v>
      </c>
      <c r="EM324" s="142">
        <v>27</v>
      </c>
      <c r="EN324" s="119">
        <v>9</v>
      </c>
      <c r="EO324" s="115">
        <v>50</v>
      </c>
      <c r="EP324" s="115">
        <v>2434.21296052875</v>
      </c>
      <c r="EQ324" s="115">
        <v>0</v>
      </c>
      <c r="ER324" s="115">
        <v>0</v>
      </c>
      <c r="ES324" s="115">
        <v>77</v>
      </c>
      <c r="ET324" s="150">
        <v>1.4438502673796789</v>
      </c>
      <c r="EU324" s="145">
        <f t="shared" si="225"/>
        <v>12</v>
      </c>
      <c r="EV324" s="115">
        <f t="shared" si="226"/>
        <v>42</v>
      </c>
      <c r="EW324" s="115">
        <f t="shared" si="226"/>
        <v>44</v>
      </c>
      <c r="EX324" s="115">
        <f t="shared" si="226"/>
        <v>42</v>
      </c>
      <c r="EY324" s="115" t="str">
        <f t="shared" si="253"/>
        <v>Постоянный</v>
      </c>
      <c r="EZ324" s="115">
        <f t="shared" si="253"/>
        <v>24</v>
      </c>
      <c r="FA324" s="115">
        <f t="shared" si="253"/>
        <v>0</v>
      </c>
      <c r="FB324" s="149">
        <f t="shared" si="238"/>
        <v>20.540520000000001</v>
      </c>
      <c r="FC324" s="142">
        <f t="shared" si="238"/>
        <v>27</v>
      </c>
      <c r="FD324" s="119">
        <f t="shared" si="238"/>
        <v>9</v>
      </c>
      <c r="FE324" s="121">
        <f t="shared" si="208"/>
        <v>50</v>
      </c>
      <c r="FF324" s="121">
        <f t="shared" si="247"/>
        <v>2434.21296052875</v>
      </c>
      <c r="FG324" s="121">
        <f t="shared" si="227"/>
        <v>0</v>
      </c>
      <c r="FH324" s="121">
        <f t="shared" si="248"/>
        <v>0</v>
      </c>
      <c r="FI324" s="121">
        <f t="shared" si="252"/>
        <v>77</v>
      </c>
      <c r="FJ324" s="144">
        <f t="shared" si="228"/>
        <v>1.4438502673796789</v>
      </c>
      <c r="FK324" s="132">
        <f t="shared" si="229"/>
        <v>0</v>
      </c>
      <c r="FL324" s="115">
        <f t="shared" si="229"/>
        <v>-2</v>
      </c>
      <c r="FM324" s="115">
        <f t="shared" si="229"/>
        <v>0</v>
      </c>
      <c r="FN324" s="115">
        <f t="shared" si="229"/>
        <v>0</v>
      </c>
      <c r="FO324" s="115">
        <f t="shared" si="232"/>
        <v>0</v>
      </c>
      <c r="FP324" s="115">
        <f t="shared" si="232"/>
        <v>0</v>
      </c>
      <c r="FQ324" s="149">
        <f t="shared" si="232"/>
        <v>0</v>
      </c>
      <c r="FR324" s="142">
        <f t="shared" si="232"/>
        <v>0</v>
      </c>
      <c r="FS324" s="119">
        <f t="shared" si="232"/>
        <v>0</v>
      </c>
      <c r="FT324" s="121">
        <f t="shared" si="232"/>
        <v>0</v>
      </c>
      <c r="FU324" s="121">
        <f t="shared" si="230"/>
        <v>0</v>
      </c>
      <c r="FV324" s="121">
        <f t="shared" si="230"/>
        <v>0</v>
      </c>
      <c r="FW324" s="121">
        <f t="shared" si="231"/>
        <v>0</v>
      </c>
      <c r="FX324" s="121">
        <f t="shared" si="233"/>
        <v>0</v>
      </c>
      <c r="FY324" s="144">
        <f t="shared" si="214"/>
        <v>0</v>
      </c>
      <c r="FZ324" s="145"/>
      <c r="GA324" s="151"/>
      <c r="GB324" s="145" t="s">
        <v>199</v>
      </c>
      <c r="GC324" s="151" t="s">
        <v>1093</v>
      </c>
      <c r="GD324" s="997" t="s">
        <v>220</v>
      </c>
      <c r="GE324" s="1004" t="s">
        <v>199</v>
      </c>
      <c r="GF324" s="1004">
        <v>-11.561880000000002</v>
      </c>
      <c r="GG324" s="1004" t="s">
        <v>199</v>
      </c>
      <c r="GH324" s="1004">
        <v>9.8779252000000035</v>
      </c>
      <c r="GI324" s="145"/>
      <c r="GJ324" s="996">
        <v>0</v>
      </c>
      <c r="GK324" s="145"/>
      <c r="GL324" s="996">
        <v>0</v>
      </c>
      <c r="GM324" s="1005"/>
      <c r="GN324" s="996">
        <v>0</v>
      </c>
      <c r="GO324" s="1006"/>
      <c r="GP324" s="996">
        <v>0</v>
      </c>
      <c r="GQ324" s="1006"/>
      <c r="GR324" s="996">
        <v>0</v>
      </c>
      <c r="GS324" s="1006"/>
      <c r="GT324" s="996">
        <v>-0.32746119999999834</v>
      </c>
      <c r="GU324" s="1006"/>
      <c r="GV324" s="996">
        <v>0.31433600000000084</v>
      </c>
      <c r="GW324" s="1006"/>
      <c r="GX324" s="1036">
        <v>0</v>
      </c>
      <c r="GY324" s="1006" t="s">
        <v>223</v>
      </c>
      <c r="GZ324" s="996">
        <v>-3.5571800000000025</v>
      </c>
      <c r="HA324" s="1006" t="s">
        <v>199</v>
      </c>
      <c r="HB324" s="996">
        <v>4.2547384000000008</v>
      </c>
      <c r="HC324" s="1006" t="s">
        <v>199</v>
      </c>
      <c r="HD324" s="996">
        <v>3.1932752192000002</v>
      </c>
      <c r="HE324" s="1006" t="s">
        <v>199</v>
      </c>
      <c r="HF324" s="996">
        <v>-4.2654807492000018</v>
      </c>
      <c r="HG324" s="1006" t="s">
        <v>199</v>
      </c>
      <c r="HH324" s="996">
        <v>-3.9576219099999967</v>
      </c>
      <c r="HI324" s="1006" t="s">
        <v>199</v>
      </c>
      <c r="HJ324" s="996">
        <v>1.6743734039999936</v>
      </c>
      <c r="HK324" s="1006" t="s">
        <v>199</v>
      </c>
      <c r="HL324" s="996">
        <v>-10.276194763999992</v>
      </c>
      <c r="HM324" s="1006" t="s">
        <v>203</v>
      </c>
      <c r="HN324" s="996">
        <v>-4.2370151999999948</v>
      </c>
      <c r="HO324" s="1006" t="s">
        <v>203</v>
      </c>
      <c r="HP324" s="996">
        <v>-1.5290022000000079</v>
      </c>
      <c r="HQ324" s="1006"/>
      <c r="HR324" s="996">
        <v>0.41235281999999529</v>
      </c>
      <c r="HS324" s="1006" t="s">
        <v>199</v>
      </c>
      <c r="HT324" s="996">
        <v>-7.6523845199999982</v>
      </c>
      <c r="HU324" s="1006"/>
      <c r="HV324" s="996">
        <v>-0.23669250000000375</v>
      </c>
      <c r="HW324" s="1006" t="s">
        <v>435</v>
      </c>
      <c r="HX324" s="996">
        <v>-25.9267352432</v>
      </c>
      <c r="HY324" s="1006" t="s">
        <v>199</v>
      </c>
      <c r="HZ324" s="996">
        <v>9.6042365232000009</v>
      </c>
      <c r="IA324" s="1006" t="s">
        <v>199</v>
      </c>
      <c r="IB324" s="996">
        <v>-15.233575279999997</v>
      </c>
      <c r="IC324" s="1006"/>
      <c r="ID324" s="996">
        <v>0</v>
      </c>
      <c r="IE324" s="1006" t="s">
        <v>221</v>
      </c>
      <c r="IF324" s="996">
        <v>19.703265999999999</v>
      </c>
      <c r="IG324" s="1006" t="s">
        <v>203</v>
      </c>
      <c r="IH324" s="996">
        <v>-2.3807600000000022</v>
      </c>
      <c r="II324" s="1006"/>
      <c r="IJ324" s="996"/>
      <c r="IK324" s="1006"/>
      <c r="IL324" s="996"/>
      <c r="IM324" s="1006"/>
      <c r="IN324" s="996"/>
      <c r="IO324" s="1006"/>
      <c r="IP324" s="996"/>
      <c r="IQ324" s="1006"/>
      <c r="IR324" s="996"/>
      <c r="IS324" s="1006"/>
      <c r="IT324" s="996"/>
      <c r="IU324" s="1006"/>
      <c r="IV324" s="996"/>
      <c r="IW324" s="1006"/>
      <c r="IX324" s="996"/>
      <c r="IY324" s="1006"/>
      <c r="IZ324" s="996"/>
      <c r="JA324" s="1006"/>
      <c r="JB324" s="996"/>
      <c r="JC324" s="1006"/>
      <c r="JD324" s="996"/>
      <c r="JE324" s="1006"/>
      <c r="JF324" s="996"/>
      <c r="JG324" s="1006"/>
      <c r="JH324" s="996"/>
      <c r="JI324" s="1006"/>
      <c r="JJ324" s="996"/>
      <c r="JK324" s="1007"/>
      <c r="JL324" s="1007"/>
      <c r="JM324" s="1007"/>
      <c r="JN324" s="1007"/>
      <c r="JO324" s="1008"/>
      <c r="JP324" s="1007"/>
      <c r="JQ324" s="1008"/>
      <c r="JR324" s="1007"/>
      <c r="JS324" s="1008"/>
      <c r="JT324" s="1007"/>
      <c r="JU324" s="1008"/>
      <c r="JV324" s="1007"/>
      <c r="JW324" s="1008"/>
      <c r="JX324" s="1007"/>
      <c r="JY324" s="1008"/>
      <c r="JZ324" s="1007"/>
      <c r="KA324" s="1008"/>
      <c r="KB324" s="1007"/>
      <c r="KC324" s="1008"/>
      <c r="KD324" s="1007"/>
      <c r="KE324" s="1008"/>
      <c r="KF324" s="1007"/>
      <c r="KG324" s="1008"/>
      <c r="KH324" s="1007"/>
      <c r="KI324" s="1008"/>
      <c r="KJ324" s="1007"/>
      <c r="KK324" s="1008"/>
      <c r="KL324" s="1007"/>
      <c r="KM324" s="1008"/>
      <c r="KN324" s="1007"/>
      <c r="KO324" s="1008"/>
      <c r="KP324" s="1007"/>
      <c r="KQ324" s="1008"/>
      <c r="KR324" s="1007"/>
      <c r="KS324" s="1008"/>
      <c r="KT324" s="1007"/>
      <c r="KU324" s="1008"/>
      <c r="KV324" s="1007"/>
      <c r="KW324" s="1008"/>
      <c r="KX324" s="1007"/>
      <c r="KY324" s="1008"/>
      <c r="KZ324" s="1007"/>
      <c r="LA324" s="1008"/>
      <c r="LB324" s="1007"/>
      <c r="LC324" s="1008"/>
      <c r="LD324" s="1007"/>
      <c r="LE324" s="1008"/>
      <c r="LF324" s="1007"/>
      <c r="LG324" s="1008"/>
      <c r="LH324" s="1007"/>
      <c r="LI324" s="1008"/>
      <c r="LJ324" s="1007"/>
      <c r="LK324" s="1008"/>
      <c r="LL324" s="1007"/>
      <c r="LM324" s="1008"/>
      <c r="LN324" s="1007"/>
      <c r="LO324" s="1008"/>
      <c r="LP324" s="1007"/>
      <c r="LQ324" s="1008"/>
      <c r="LR324" s="1007"/>
      <c r="LS324" s="1008"/>
      <c r="LT324" s="1007"/>
      <c r="LU324" s="1008"/>
      <c r="LV324" s="1007"/>
      <c r="LW324" s="1008"/>
      <c r="LX324" s="1007"/>
      <c r="LY324" s="1009"/>
      <c r="LZ324" s="1010"/>
      <c r="MA324" s="1011"/>
      <c r="MB324" s="1012"/>
      <c r="MC324" s="995"/>
      <c r="MD324" s="996"/>
      <c r="ME324" s="997" t="s">
        <v>220</v>
      </c>
      <c r="MF324" s="997"/>
      <c r="MG324" s="998"/>
      <c r="NR324" s="1000"/>
      <c r="NS324" s="1000"/>
      <c r="NT324" s="1001"/>
      <c r="NU324" s="1000"/>
      <c r="NV324" s="1001"/>
      <c r="NX324" s="1002"/>
      <c r="NZ324" s="1001"/>
      <c r="OA324" s="1001"/>
      <c r="OC324" s="1003"/>
      <c r="OD324" s="1003"/>
      <c r="OE324" s="1001"/>
      <c r="OF324" s="1003"/>
      <c r="OG324" s="1003"/>
      <c r="QX324" s="1000">
        <f t="shared" si="254"/>
        <v>35</v>
      </c>
      <c r="ASU324" s="999" t="s">
        <v>208</v>
      </c>
    </row>
    <row r="325" spans="1:1191" ht="21" customHeight="1" x14ac:dyDescent="0.25">
      <c r="A325" s="982">
        <f t="shared" si="215"/>
        <v>1334</v>
      </c>
      <c r="B325" s="124">
        <f>SUBTOTAL(103,$J$29:J325)</f>
        <v>297</v>
      </c>
      <c r="C325" s="126">
        <v>45096</v>
      </c>
      <c r="D325" s="124" t="s">
        <v>176</v>
      </c>
      <c r="E325" s="127" t="s">
        <v>177</v>
      </c>
      <c r="F325" s="128" t="s">
        <v>177</v>
      </c>
      <c r="G325" s="127" t="s">
        <v>178</v>
      </c>
      <c r="H325" s="127" t="s">
        <v>421</v>
      </c>
      <c r="I325" s="127" t="s">
        <v>586</v>
      </c>
      <c r="J325" s="152">
        <v>1334</v>
      </c>
      <c r="K325" s="127" t="s">
        <v>1370</v>
      </c>
      <c r="L325" s="130">
        <v>43697</v>
      </c>
      <c r="M325" s="127" t="s">
        <v>230</v>
      </c>
      <c r="N325" s="127" t="s">
        <v>1229</v>
      </c>
      <c r="O325" s="127" t="s">
        <v>185</v>
      </c>
      <c r="P325" s="127" t="s">
        <v>208</v>
      </c>
      <c r="Q325" s="85" t="str">
        <f t="shared" si="249"/>
        <v/>
      </c>
      <c r="R325" s="130"/>
      <c r="S325" s="128"/>
      <c r="T325" s="131"/>
      <c r="U325" s="132">
        <v>203</v>
      </c>
      <c r="V325" s="121">
        <v>218.2</v>
      </c>
      <c r="W325" s="116">
        <v>0.98</v>
      </c>
      <c r="X325" s="116">
        <v>1.66</v>
      </c>
      <c r="Y325" s="116">
        <f t="shared" si="239"/>
        <v>0.98281820159010158</v>
      </c>
      <c r="Z325" s="133">
        <v>1.454</v>
      </c>
      <c r="AA325" s="133">
        <v>0.83599999999999997</v>
      </c>
      <c r="AB325" s="133">
        <v>0.72</v>
      </c>
      <c r="AC325" s="121">
        <v>34.299999999999997</v>
      </c>
      <c r="AD325" s="134">
        <v>1.17</v>
      </c>
      <c r="AE325" s="124">
        <v>177.8</v>
      </c>
      <c r="AF325" s="128">
        <v>9.19</v>
      </c>
      <c r="AG325" s="128">
        <v>2065</v>
      </c>
      <c r="AH325" s="127">
        <v>2552</v>
      </c>
      <c r="AI325" s="127">
        <v>2552</v>
      </c>
      <c r="AJ325" s="135"/>
      <c r="AK325" s="128"/>
      <c r="AL325" s="131"/>
      <c r="AM325" s="124" t="s">
        <v>232</v>
      </c>
      <c r="AN325" s="136" t="s">
        <v>1371</v>
      </c>
      <c r="AO325" s="137">
        <v>64</v>
      </c>
      <c r="AP325" s="128">
        <v>2065</v>
      </c>
      <c r="AQ325" s="128">
        <v>222</v>
      </c>
      <c r="AR325" s="128"/>
      <c r="AS325" s="128"/>
      <c r="AT325" s="122"/>
      <c r="AU325" s="124" t="s">
        <v>189</v>
      </c>
      <c r="AV325" s="115">
        <f>VLOOKUP(J325,'[63]ТР нефть'!$J$28:$BP$638,39,0)</f>
        <v>500</v>
      </c>
      <c r="AW325" s="115" t="str">
        <f>VLOOKUP(J325,'[63]ТР нефть'!$J$28:$BP$638,40,0)</f>
        <v>ГП</v>
      </c>
      <c r="AX325" s="115">
        <f>VLOOKUP(J325,'[63]ТР нефть'!$J$28:$BP$638,41,0)</f>
        <v>950</v>
      </c>
      <c r="AY325" s="115" t="str">
        <f>VLOOKUP(J325,'[63]ТР нефть'!$J$28:$BP$638,42,0)</f>
        <v>ГП</v>
      </c>
      <c r="AZ325" s="115">
        <f>VLOOKUP(J325,'[63]ТР нефть'!$J$28:$BP$638,43,0)</f>
        <v>1290</v>
      </c>
      <c r="BA325" s="115" t="str">
        <f>VLOOKUP(J325,'[63]ТР нефть'!$J$28:$BP$638,44,0)</f>
        <v>ГК88 1/8</v>
      </c>
      <c r="BB325" s="115">
        <f>VLOOKUP(J325,'[63]ТР нефть'!$J$28:$BP$638,45,0)</f>
        <v>1552</v>
      </c>
      <c r="BC325" s="115" t="str">
        <f>VLOOKUP(J325,'[63]ТР нефть'!$J$28:$BP$638,46,0)</f>
        <v>ГК87 5/32</v>
      </c>
      <c r="BD325" s="115">
        <f>VLOOKUP(J325,'[63]ТР нефть'!$J$28:$BP$638,47,0)</f>
        <v>1808</v>
      </c>
      <c r="BE325" s="115" t="str">
        <f>VLOOKUP(J325,'[63]ТР нефть'!$J$28:$BP$638,48,0)</f>
        <v>ГК87 5/32</v>
      </c>
      <c r="BF325" s="115">
        <f>VLOOKUP(J325,'[63]ТР нефть'!$J$28:$BP$638,49,0)</f>
        <v>1808</v>
      </c>
      <c r="BG325" s="115" t="str">
        <f>VLOOKUP(J325,'[63]ТР нефть'!$J$28:$BP$638,50,0)</f>
        <v>ЦКсОК 5/16</v>
      </c>
      <c r="BH325" s="115" t="str">
        <f>VLOOKUP(J325,'[63]ТР нефть'!$J$28:$BP$638,51,0)</f>
        <v>-</v>
      </c>
      <c r="BI325" s="115" t="str">
        <f>VLOOKUP(J325,'[63]ТР нефть'!$J$28:$BP$638,52,0)</f>
        <v>-</v>
      </c>
      <c r="BJ325" s="115" t="str">
        <f>IF(IFERROR(VLOOKUP(J325,'[63]ТР нефть'!$J$28:$BP$638,53,0),"-")=0,"-",IFERROR(VLOOKUP(J325,'[63]ТР нефть'!$J$28:$BP$638,53,0),"-"))</f>
        <v>-</v>
      </c>
      <c r="BK325" s="138" t="str">
        <f>IF(IFERROR(VLOOKUP(J325,'[63]ТР нефть'!$J$28:$BP$638,54,0),"-")=0,"-",IFERROR(VLOOKUP(J325,'[63]ТР нефть'!$J$28:$BP$638,54,0),"-"))</f>
        <v>-</v>
      </c>
      <c r="BL325" s="138" t="str">
        <f>IF(IFERROR(VLOOKUP(J325,'[63]ТР нефть'!$J$28:$BP$638,55,0),"-")=0,"-",IFERROR(VLOOKUP(J325,'[63]ТР нефть'!$J$28:$BP$638,55,0),"-"))</f>
        <v>-</v>
      </c>
      <c r="BM325" s="138" t="str">
        <f>IF(IFERROR(VLOOKUP(J325,'[63]ТР нефть'!$J$28:$BP$638,56,0),"-")=0,"-",IFERROR(VLOOKUP(J325,'[63]ТР нефть'!$J$28:$BP$638,56,0),"-"))</f>
        <v>-</v>
      </c>
      <c r="BN325" s="138" t="str">
        <f>IF(IFERROR(VLOOKUP(J325,'[63]ТР нефть'!$J$28:$BP$638,57,0),"-")=0,"-",IFERROR(VLOOKUP(J325,'[63]ТР нефть'!$J$28:$BP$638,57,0),"-"))</f>
        <v>-</v>
      </c>
      <c r="BO325" s="115" t="str">
        <f>IF(IFERROR(VLOOKUP(J325,'[63]ТР нефть'!$J$28:$BP$638,58,0),"-")=0,"-",IFERROR(VLOOKUP(J325,'[63]ТР нефть'!$J$28:$BP$638,58,0),"-"))</f>
        <v>-</v>
      </c>
      <c r="BP325" s="115" t="str">
        <f>IF(IFERROR(VLOOKUP(J325,'[63]ТР нефть'!$J$28:$BP$638,59,0),"-")=0,"-",IFERROR(VLOOKUP(J325,'[63]ТР нефть'!$J$28:$BP$638,59,0),"-"))</f>
        <v>-</v>
      </c>
      <c r="BQ325" s="138">
        <v>2103</v>
      </c>
      <c r="BR325" s="128">
        <v>1858</v>
      </c>
      <c r="BS325" s="115">
        <f>BQ325-BR325</f>
        <v>245</v>
      </c>
      <c r="BT325" s="128">
        <v>73</v>
      </c>
      <c r="BU325" s="128">
        <v>5.5</v>
      </c>
      <c r="BV325" s="127">
        <v>65</v>
      </c>
      <c r="BW325" s="127" t="s">
        <v>234</v>
      </c>
      <c r="BX325" s="127" t="s">
        <v>1372</v>
      </c>
      <c r="BY325" s="139">
        <v>24</v>
      </c>
      <c r="BZ325" s="139">
        <v>0</v>
      </c>
      <c r="CA325" s="115">
        <v>23</v>
      </c>
      <c r="CB325" s="115">
        <v>52</v>
      </c>
      <c r="CC325" s="115">
        <v>22</v>
      </c>
      <c r="CD325" s="135">
        <v>45017</v>
      </c>
      <c r="CE325" s="138">
        <v>135</v>
      </c>
      <c r="CF325" s="138">
        <v>82</v>
      </c>
      <c r="CG325" s="138" t="str">
        <f>IF(CH325&lt;&gt;"","В работе","")</f>
        <v>В работе</v>
      </c>
      <c r="CH325" s="138" t="s">
        <v>235</v>
      </c>
      <c r="CI325" s="127">
        <v>6</v>
      </c>
      <c r="CJ325" s="138"/>
      <c r="CK325" s="138"/>
      <c r="CL325" s="99"/>
      <c r="CM325" s="99"/>
      <c r="CN325" s="140">
        <v>47</v>
      </c>
      <c r="CO325" s="141">
        <f t="shared" si="216"/>
        <v>16.602959999999999</v>
      </c>
      <c r="CP325" s="142">
        <v>20</v>
      </c>
      <c r="CQ325" s="119">
        <v>0.7</v>
      </c>
      <c r="CR325" s="115">
        <v>26</v>
      </c>
      <c r="CS325" s="139">
        <v>12.7</v>
      </c>
      <c r="CT325" s="138"/>
      <c r="CU325" s="138">
        <f t="shared" si="235"/>
        <v>13.3</v>
      </c>
      <c r="CV325" s="115">
        <f t="shared" si="236"/>
        <v>801.06197930971348</v>
      </c>
      <c r="CW325" s="115">
        <f t="shared" si="217"/>
        <v>757.52695483707794</v>
      </c>
      <c r="CX325" s="133">
        <f t="shared" si="237"/>
        <v>0.22727272727272727</v>
      </c>
      <c r="CY325" s="116"/>
      <c r="CZ325" s="131"/>
      <c r="DA325" s="145" t="str">
        <f t="shared" si="218"/>
        <v>Газлифт</v>
      </c>
      <c r="DB325" s="146">
        <f t="shared" si="219"/>
        <v>16.669840000000001</v>
      </c>
      <c r="DC325" s="142">
        <f t="shared" si="234"/>
        <v>20</v>
      </c>
      <c r="DD325" s="119">
        <f t="shared" si="250"/>
        <v>0.3</v>
      </c>
      <c r="DE325" s="115">
        <f t="shared" si="220"/>
        <v>13.3</v>
      </c>
      <c r="DF325" s="121">
        <f t="shared" si="221"/>
        <v>12.7</v>
      </c>
      <c r="DG325" s="115">
        <f t="shared" si="222"/>
        <v>801.06197930971348</v>
      </c>
      <c r="DH325" s="115">
        <f t="shared" si="223"/>
        <v>47</v>
      </c>
      <c r="DI325" s="147"/>
      <c r="DJ325" s="111" t="s">
        <v>197</v>
      </c>
      <c r="DK325" s="112">
        <v>43697</v>
      </c>
      <c r="DL325" s="113">
        <f t="shared" ca="1" si="240"/>
        <v>1407</v>
      </c>
      <c r="DM325" s="114"/>
      <c r="DN325" s="114"/>
      <c r="DO325" s="114"/>
      <c r="DP325" s="114"/>
      <c r="DQ325" s="112">
        <v>43697</v>
      </c>
      <c r="DR325" s="114" t="s">
        <v>324</v>
      </c>
      <c r="DS325" s="114"/>
      <c r="DT325" s="115">
        <v>60</v>
      </c>
      <c r="DU325" s="116">
        <f t="shared" si="241"/>
        <v>0.26666666666666666</v>
      </c>
      <c r="DV325" s="117">
        <f t="shared" si="242"/>
        <v>16.602959999999999</v>
      </c>
      <c r="DW325" s="118">
        <f t="shared" si="243"/>
        <v>20</v>
      </c>
      <c r="DX325" s="119">
        <f t="shared" si="224"/>
        <v>0.7</v>
      </c>
      <c r="DY325" s="115">
        <f t="shared" si="244"/>
        <v>13.3</v>
      </c>
      <c r="DZ325" s="117">
        <f t="shared" si="245"/>
        <v>0</v>
      </c>
      <c r="EA325" s="120">
        <f t="shared" si="245"/>
        <v>0</v>
      </c>
      <c r="EB325" s="119">
        <f t="shared" si="245"/>
        <v>0</v>
      </c>
      <c r="EC325" s="121">
        <f t="shared" si="246"/>
        <v>0</v>
      </c>
      <c r="ED325" s="122"/>
      <c r="EE325" s="145">
        <v>65</v>
      </c>
      <c r="EF325" s="115">
        <v>35</v>
      </c>
      <c r="EG325" s="115">
        <v>49</v>
      </c>
      <c r="EH325" s="115">
        <v>34</v>
      </c>
      <c r="EI325" s="128" t="s">
        <v>1372</v>
      </c>
      <c r="EJ325" s="121">
        <v>24</v>
      </c>
      <c r="EK325" s="121">
        <v>0</v>
      </c>
      <c r="EL325" s="149">
        <v>14.252713199999999</v>
      </c>
      <c r="EM325" s="142">
        <v>17.100000000000001</v>
      </c>
      <c r="EN325" s="119">
        <v>0.3</v>
      </c>
      <c r="EO325" s="115">
        <v>26.8</v>
      </c>
      <c r="EP325" s="115">
        <v>982.2691163111316</v>
      </c>
      <c r="EQ325" s="115">
        <v>82</v>
      </c>
      <c r="ER325" s="115">
        <v>12.8</v>
      </c>
      <c r="ES325" s="115">
        <v>55</v>
      </c>
      <c r="ET325" s="150">
        <v>0.21375000000000002</v>
      </c>
      <c r="EU325" s="145">
        <f t="shared" si="225"/>
        <v>65</v>
      </c>
      <c r="EV325" s="115">
        <f t="shared" si="226"/>
        <v>23</v>
      </c>
      <c r="EW325" s="115">
        <f t="shared" si="226"/>
        <v>52</v>
      </c>
      <c r="EX325" s="115">
        <f t="shared" si="226"/>
        <v>22</v>
      </c>
      <c r="EY325" s="115" t="str">
        <f t="shared" si="253"/>
        <v>постоянный</v>
      </c>
      <c r="EZ325" s="115">
        <f t="shared" si="253"/>
        <v>24</v>
      </c>
      <c r="FA325" s="115">
        <f t="shared" si="253"/>
        <v>0</v>
      </c>
      <c r="FB325" s="149">
        <f t="shared" si="238"/>
        <v>16.602959999999999</v>
      </c>
      <c r="FC325" s="142">
        <f t="shared" si="238"/>
        <v>20</v>
      </c>
      <c r="FD325" s="119">
        <f t="shared" si="238"/>
        <v>0.7</v>
      </c>
      <c r="FE325" s="121">
        <f t="shared" si="208"/>
        <v>26</v>
      </c>
      <c r="FF325" s="121">
        <f t="shared" si="247"/>
        <v>801.06197930971348</v>
      </c>
      <c r="FG325" s="121">
        <f t="shared" si="227"/>
        <v>82</v>
      </c>
      <c r="FH325" s="121">
        <f t="shared" si="248"/>
        <v>12.7</v>
      </c>
      <c r="FI325" s="121">
        <f t="shared" si="252"/>
        <v>47</v>
      </c>
      <c r="FJ325" s="144">
        <f t="shared" si="228"/>
        <v>0.22727272727272727</v>
      </c>
      <c r="FK325" s="132">
        <f t="shared" si="229"/>
        <v>0</v>
      </c>
      <c r="FL325" s="115">
        <f t="shared" si="229"/>
        <v>-12</v>
      </c>
      <c r="FM325" s="115">
        <f t="shared" si="229"/>
        <v>3</v>
      </c>
      <c r="FN325" s="115">
        <f t="shared" si="229"/>
        <v>-12</v>
      </c>
      <c r="FO325" s="115">
        <f t="shared" si="232"/>
        <v>0</v>
      </c>
      <c r="FP325" s="115">
        <f t="shared" si="232"/>
        <v>0</v>
      </c>
      <c r="FQ325" s="149">
        <f t="shared" si="232"/>
        <v>2.3502468000000007</v>
      </c>
      <c r="FR325" s="142">
        <f t="shared" si="232"/>
        <v>2.8999999999999986</v>
      </c>
      <c r="FS325" s="119">
        <f t="shared" si="232"/>
        <v>0.39999999999999997</v>
      </c>
      <c r="FT325" s="121">
        <f t="shared" si="232"/>
        <v>-0.80000000000000071</v>
      </c>
      <c r="FU325" s="121">
        <f t="shared" si="230"/>
        <v>0</v>
      </c>
      <c r="FV325" s="121">
        <f t="shared" si="230"/>
        <v>-0.10000000000000142</v>
      </c>
      <c r="FW325" s="121">
        <f t="shared" si="231"/>
        <v>-181.20713700141812</v>
      </c>
      <c r="FX325" s="121">
        <f t="shared" si="233"/>
        <v>-8</v>
      </c>
      <c r="FY325" s="144">
        <f t="shared" si="214"/>
        <v>1.3522727272727242E-2</v>
      </c>
      <c r="FZ325" s="145" t="s">
        <v>199</v>
      </c>
      <c r="GA325" s="151" t="s">
        <v>303</v>
      </c>
      <c r="GB325" s="145" t="s">
        <v>221</v>
      </c>
      <c r="GC325" s="151" t="s">
        <v>533</v>
      </c>
      <c r="GD325" s="997" t="s">
        <v>238</v>
      </c>
      <c r="GE325" s="1004" t="s">
        <v>221</v>
      </c>
      <c r="GF325" s="1004">
        <v>0.8767131999999993</v>
      </c>
      <c r="GG325" s="1004"/>
      <c r="GH325" s="1004">
        <v>0</v>
      </c>
      <c r="GI325" s="145"/>
      <c r="GJ325" s="996">
        <v>0</v>
      </c>
      <c r="GK325" s="145" t="s">
        <v>199</v>
      </c>
      <c r="GL325" s="996">
        <v>-5.9485914400000031</v>
      </c>
      <c r="GM325" s="1005" t="s">
        <v>199</v>
      </c>
      <c r="GN325" s="996">
        <v>2.5679746400000028</v>
      </c>
      <c r="GO325" s="1006" t="s">
        <v>199</v>
      </c>
      <c r="GP325" s="996">
        <v>2.2378290439999979</v>
      </c>
      <c r="GQ325" s="1006"/>
      <c r="GR325" s="996">
        <v>0</v>
      </c>
      <c r="GS325" s="1006" t="s">
        <v>146</v>
      </c>
      <c r="GT325" s="996">
        <v>6.2947698440000028</v>
      </c>
      <c r="GU325" s="1006" t="s">
        <v>203</v>
      </c>
      <c r="GV325" s="996">
        <v>-11.910624088</v>
      </c>
      <c r="GW325" s="1006"/>
      <c r="GX325" s="1049">
        <v>0</v>
      </c>
      <c r="GY325" s="1006"/>
      <c r="GZ325" s="996">
        <v>0</v>
      </c>
      <c r="HA325" s="1006"/>
      <c r="HB325" s="996">
        <v>0</v>
      </c>
      <c r="HC325" s="1006" t="s">
        <v>25</v>
      </c>
      <c r="HD325" s="996">
        <v>18.8375044</v>
      </c>
      <c r="HE325" s="1006"/>
      <c r="HF325" s="996">
        <v>0</v>
      </c>
      <c r="HG325" s="1006"/>
      <c r="HH325" s="996">
        <v>0</v>
      </c>
      <c r="HI325" s="1006"/>
      <c r="HJ325" s="996">
        <v>0</v>
      </c>
      <c r="HK325" s="1006"/>
      <c r="HL325" s="996">
        <v>0</v>
      </c>
      <c r="HM325" s="1006"/>
      <c r="HN325" s="996">
        <v>0.50377360000000015</v>
      </c>
      <c r="HO325" s="1006"/>
      <c r="HP325" s="996">
        <v>0</v>
      </c>
      <c r="HQ325" s="1006"/>
      <c r="HR325" s="996">
        <v>-0.81175599999999992</v>
      </c>
      <c r="HS325" s="1006"/>
      <c r="HT325" s="996">
        <v>0</v>
      </c>
      <c r="HU325" s="1006"/>
      <c r="HV325" s="996">
        <v>0</v>
      </c>
      <c r="HW325" s="1006" t="s">
        <v>199</v>
      </c>
      <c r="HX325" s="996">
        <v>-3.5207959424000008</v>
      </c>
      <c r="HY325" s="1006"/>
      <c r="HZ325" s="996">
        <v>0</v>
      </c>
      <c r="IA325" s="1006"/>
      <c r="IB325" s="996">
        <v>0</v>
      </c>
      <c r="IC325" s="1006"/>
      <c r="ID325" s="996">
        <v>4.9723942400000887E-2</v>
      </c>
      <c r="IE325" s="1006"/>
      <c r="IF325" s="996">
        <v>0</v>
      </c>
      <c r="IG325" s="1006"/>
      <c r="IH325" s="996">
        <v>0</v>
      </c>
      <c r="II325" s="1006"/>
      <c r="IJ325" s="996">
        <v>0</v>
      </c>
      <c r="IK325" s="1006"/>
      <c r="IL325" s="996">
        <v>0</v>
      </c>
      <c r="IM325" s="1006"/>
      <c r="IN325" s="996">
        <v>0</v>
      </c>
      <c r="IO325" s="1006"/>
      <c r="IP325" s="996">
        <v>-0.11104170000000035</v>
      </c>
      <c r="IQ325" s="1006" t="s">
        <v>199</v>
      </c>
      <c r="IR325" s="996">
        <v>-2.5054543800000006</v>
      </c>
      <c r="IS325" s="1006"/>
      <c r="IT325" s="996">
        <v>0</v>
      </c>
      <c r="IU325" s="1006"/>
      <c r="IV325" s="996">
        <v>0</v>
      </c>
      <c r="IW325" s="1006" t="s">
        <v>199</v>
      </c>
      <c r="IX325" s="996">
        <v>1.9518760800000008</v>
      </c>
      <c r="IY325" s="1006"/>
      <c r="IZ325" s="996">
        <v>0</v>
      </c>
      <c r="JA325" s="1006"/>
      <c r="JB325" s="996">
        <v>0</v>
      </c>
      <c r="JC325" s="1006" t="s">
        <v>199</v>
      </c>
      <c r="JD325" s="996">
        <v>-3.1793079999999989</v>
      </c>
      <c r="JE325" s="1006"/>
      <c r="JF325" s="996">
        <v>0</v>
      </c>
      <c r="JG325" s="1006" t="s">
        <v>223</v>
      </c>
      <c r="JH325" s="996">
        <v>-1.806094400000001</v>
      </c>
      <c r="JI325" s="1006"/>
      <c r="JJ325" s="996">
        <v>0</v>
      </c>
      <c r="JK325" s="1007"/>
      <c r="JL325" s="1007">
        <v>0</v>
      </c>
      <c r="JM325" s="1007"/>
      <c r="JN325" s="1007">
        <v>0</v>
      </c>
      <c r="JO325" s="1008" t="s">
        <v>199</v>
      </c>
      <c r="JP325" s="1007">
        <v>-7.370510399999997</v>
      </c>
      <c r="JQ325" s="1008" t="s">
        <v>25</v>
      </c>
      <c r="JR325" s="1007">
        <v>18.096724799999997</v>
      </c>
      <c r="JS325" s="1008">
        <v>0</v>
      </c>
      <c r="JT325" s="1007">
        <v>0</v>
      </c>
      <c r="JU325" s="1008"/>
      <c r="JV325" s="1007"/>
      <c r="JW325" s="1008"/>
      <c r="JX325" s="1007"/>
      <c r="JY325" s="1008"/>
      <c r="JZ325" s="1007"/>
      <c r="KA325" s="1008"/>
      <c r="KB325" s="1007"/>
      <c r="KC325" s="1008"/>
      <c r="KD325" s="1007"/>
      <c r="KE325" s="1008"/>
      <c r="KF325" s="1007"/>
      <c r="KG325" s="1008"/>
      <c r="KH325" s="1007"/>
      <c r="KI325" s="1008"/>
      <c r="KJ325" s="1007"/>
      <c r="KK325" s="1008"/>
      <c r="KL325" s="1007"/>
      <c r="KM325" s="1008"/>
      <c r="KN325" s="1007"/>
      <c r="KO325" s="1008"/>
      <c r="KP325" s="1007"/>
      <c r="KQ325" s="1008"/>
      <c r="KR325" s="1007"/>
      <c r="KS325" s="1008"/>
      <c r="KT325" s="1007"/>
      <c r="KU325" s="1008"/>
      <c r="KV325" s="1007"/>
      <c r="KW325" s="1008"/>
      <c r="KX325" s="1007"/>
      <c r="KY325" s="1008"/>
      <c r="KZ325" s="1007"/>
      <c r="LA325" s="1008"/>
      <c r="LB325" s="1007"/>
      <c r="LC325" s="1008"/>
      <c r="LD325" s="1007"/>
      <c r="LE325" s="1008"/>
      <c r="LF325" s="1007"/>
      <c r="LG325" s="1008"/>
      <c r="LH325" s="1007"/>
      <c r="LI325" s="1008"/>
      <c r="LJ325" s="1007"/>
      <c r="LK325" s="1008"/>
      <c r="LL325" s="1007"/>
      <c r="LM325" s="1008"/>
      <c r="LN325" s="1007"/>
      <c r="LO325" s="1008"/>
      <c r="LP325" s="1007"/>
      <c r="LQ325" s="1008"/>
      <c r="LR325" s="1007"/>
      <c r="LS325" s="1008"/>
      <c r="LT325" s="1007"/>
      <c r="LU325" s="1008"/>
      <c r="LV325" s="1007"/>
      <c r="LW325" s="1008"/>
      <c r="LX325" s="1007"/>
      <c r="LY325" s="1009"/>
      <c r="LZ325" s="1010"/>
      <c r="MA325" s="1011"/>
      <c r="MB325" s="1012"/>
      <c r="MC325" s="995"/>
      <c r="MD325" s="996"/>
      <c r="ME325" s="997" t="s">
        <v>238</v>
      </c>
      <c r="MF325" s="997"/>
      <c r="MG325" s="998"/>
      <c r="NR325" s="1000"/>
      <c r="NS325" s="1000"/>
      <c r="NT325" s="1001"/>
      <c r="NU325" s="1000"/>
      <c r="NV325" s="1001"/>
      <c r="NX325" s="1002"/>
      <c r="NZ325" s="1001"/>
      <c r="OA325" s="1001"/>
      <c r="OC325" s="1003"/>
      <c r="OD325" s="1003"/>
      <c r="OE325" s="1001"/>
      <c r="OF325" s="1003"/>
      <c r="OG325" s="1003"/>
      <c r="QX325" s="1000">
        <f t="shared" si="254"/>
        <v>24</v>
      </c>
      <c r="ASU325" s="999" t="s">
        <v>208</v>
      </c>
    </row>
    <row r="326" spans="1:1191" ht="21" customHeight="1" x14ac:dyDescent="0.25">
      <c r="A326" s="982">
        <f t="shared" si="215"/>
        <v>1337</v>
      </c>
      <c r="B326" s="124">
        <f>SUBTOTAL(103,$J$29:J326)</f>
        <v>298</v>
      </c>
      <c r="C326" s="126">
        <v>45096</v>
      </c>
      <c r="D326" s="124" t="s">
        <v>176</v>
      </c>
      <c r="E326" s="127" t="s">
        <v>177</v>
      </c>
      <c r="F326" s="128" t="s">
        <v>177</v>
      </c>
      <c r="G326" s="127" t="s">
        <v>178</v>
      </c>
      <c r="H326" s="127" t="s">
        <v>421</v>
      </c>
      <c r="I326" s="127" t="s">
        <v>586</v>
      </c>
      <c r="J326" s="152">
        <v>1337</v>
      </c>
      <c r="K326" s="127" t="s">
        <v>1370</v>
      </c>
      <c r="L326" s="130">
        <v>43768</v>
      </c>
      <c r="M326" s="127" t="s">
        <v>230</v>
      </c>
      <c r="N326" s="127" t="s">
        <v>231</v>
      </c>
      <c r="O326" s="127" t="s">
        <v>185</v>
      </c>
      <c r="P326" s="127" t="s">
        <v>208</v>
      </c>
      <c r="Q326" s="85" t="str">
        <f t="shared" si="249"/>
        <v/>
      </c>
      <c r="R326" s="130"/>
      <c r="S326" s="128"/>
      <c r="T326" s="131"/>
      <c r="U326" s="132">
        <v>203</v>
      </c>
      <c r="V326" s="121">
        <v>218.2</v>
      </c>
      <c r="W326" s="116">
        <v>0.98</v>
      </c>
      <c r="X326" s="116">
        <v>1.66</v>
      </c>
      <c r="Y326" s="116">
        <f t="shared" si="239"/>
        <v>0.98020076401190581</v>
      </c>
      <c r="Z326" s="133">
        <v>1.454</v>
      </c>
      <c r="AA326" s="133">
        <v>0.83599999999999997</v>
      </c>
      <c r="AB326" s="133">
        <v>0.72</v>
      </c>
      <c r="AC326" s="121">
        <v>34.299999999999997</v>
      </c>
      <c r="AD326" s="134">
        <v>1.17</v>
      </c>
      <c r="AE326" s="124">
        <v>177.8</v>
      </c>
      <c r="AF326" s="128">
        <v>9.19</v>
      </c>
      <c r="AG326" s="128">
        <v>2202.7800000000002</v>
      </c>
      <c r="AH326" s="127" t="s">
        <v>1373</v>
      </c>
      <c r="AI326" s="127" t="s">
        <v>1373</v>
      </c>
      <c r="AJ326" s="135"/>
      <c r="AK326" s="128"/>
      <c r="AL326" s="131"/>
      <c r="AM326" s="124" t="s">
        <v>232</v>
      </c>
      <c r="AN326" s="136" t="s">
        <v>1374</v>
      </c>
      <c r="AO326" s="137">
        <v>80</v>
      </c>
      <c r="AP326" s="128">
        <v>2202.7800000000002</v>
      </c>
      <c r="AQ326" s="128">
        <v>328</v>
      </c>
      <c r="AR326" s="128"/>
      <c r="AS326" s="128"/>
      <c r="AT326" s="122"/>
      <c r="AU326" s="124" t="s">
        <v>189</v>
      </c>
      <c r="AV326" s="115">
        <f>VLOOKUP(J326,'[63]ТР нефть'!$J$28:$BP$638,39,0)</f>
        <v>510.00001435500002</v>
      </c>
      <c r="AW326" s="115" t="str">
        <f>VLOOKUP(J326,'[63]ТР нефть'!$J$28:$BP$638,40,0)</f>
        <v>ГК83 1/8</v>
      </c>
      <c r="AX326" s="115">
        <f>VLOOKUP(J326,'[63]ТР нефть'!$J$28:$BP$638,41,0)</f>
        <v>940.00000019499998</v>
      </c>
      <c r="AY326" s="115" t="str">
        <f>VLOOKUP(J326,'[63]ТР нефть'!$J$28:$BP$638,42,0)</f>
        <v>ГК83 1/8</v>
      </c>
      <c r="AZ326" s="115">
        <f>VLOOKUP(J326,'[63]ТР нефть'!$J$28:$BP$638,43,0)</f>
        <v>1230.0000105470001</v>
      </c>
      <c r="BA326" s="115" t="str">
        <f>VLOOKUP(J326,'[63]ТР нефть'!$J$28:$BP$638,44,0)</f>
        <v>ГК83 5/32</v>
      </c>
      <c r="BB326" s="115">
        <f>VLOOKUP(J326,'[63]ТР нефть'!$J$28:$BP$638,45,0)</f>
        <v>1499.999976563</v>
      </c>
      <c r="BC326" s="115" t="str">
        <f>VLOOKUP(J326,'[63]ТР нефть'!$J$28:$BP$638,46,0)</f>
        <v>ГК83 5/32</v>
      </c>
      <c r="BD326" s="115">
        <f>VLOOKUP(J326,'[63]ТР нефть'!$J$28:$BP$638,47,0)</f>
        <v>1812.9999597660001</v>
      </c>
      <c r="BE326" s="115" t="str">
        <f>VLOOKUP(J326,'[63]ТР нефть'!$J$28:$BP$638,48,0)</f>
        <v>ЦКсОК 5/16</v>
      </c>
      <c r="BF326" s="115" t="str">
        <f>VLOOKUP(J326,'[63]ТР нефть'!$J$28:$BP$638,49,0)</f>
        <v>-</v>
      </c>
      <c r="BG326" s="115" t="str">
        <f>VLOOKUP(J326,'[63]ТР нефть'!$J$28:$BP$638,50,0)</f>
        <v>-</v>
      </c>
      <c r="BH326" s="115">
        <f>VLOOKUP(J326,'[63]ТР нефть'!$J$28:$BP$638,51,0)</f>
        <v>1820</v>
      </c>
      <c r="BI326" s="115" t="str">
        <f>VLOOKUP(J326,'[63]ТР нефть'!$J$28:$BP$638,52,0)</f>
        <v>закрыт</v>
      </c>
      <c r="BJ326" s="115" t="str">
        <f>IF(IFERROR(VLOOKUP(J326,'[63]ТР нефть'!$J$28:$BP$638,53,0),"-")=0,"-",IFERROR(VLOOKUP(J326,'[63]ТР нефть'!$J$28:$BP$638,53,0),"-"))</f>
        <v>-</v>
      </c>
      <c r="BK326" s="138" t="str">
        <f>IF(IFERROR(VLOOKUP(J326,'[63]ТР нефть'!$J$28:$BP$638,54,0),"-")=0,"-",IFERROR(VLOOKUP(J326,'[63]ТР нефть'!$J$28:$BP$638,54,0),"-"))</f>
        <v>-</v>
      </c>
      <c r="BL326" s="138" t="str">
        <f>IF(IFERROR(VLOOKUP(J326,'[63]ТР нефть'!$J$28:$BP$638,55,0),"-")=0,"-",IFERROR(VLOOKUP(J326,'[63]ТР нефть'!$J$28:$BP$638,55,0),"-"))</f>
        <v>-</v>
      </c>
      <c r="BM326" s="138" t="str">
        <f>IF(IFERROR(VLOOKUP(J326,'[63]ТР нефть'!$J$28:$BP$638,56,0),"-")=0,"-",IFERROR(VLOOKUP(J326,'[63]ТР нефть'!$J$28:$BP$638,56,0),"-"))</f>
        <v>-</v>
      </c>
      <c r="BN326" s="138" t="str">
        <f>IF(IFERROR(VLOOKUP(J326,'[63]ТР нефть'!$J$28:$BP$638,57,0),"-")=0,"-",IFERROR(VLOOKUP(J326,'[63]ТР нефть'!$J$28:$BP$638,57,0),"-"))</f>
        <v>-</v>
      </c>
      <c r="BO326" s="115" t="str">
        <f>IF(IFERROR(VLOOKUP(J326,'[63]ТР нефть'!$J$28:$BP$638,58,0),"-")=0,"-",IFERROR(VLOOKUP(J326,'[63]ТР нефть'!$J$28:$BP$638,58,0),"-"))</f>
        <v>-</v>
      </c>
      <c r="BP326" s="115" t="str">
        <f>IF(IFERROR(VLOOKUP(J326,'[63]ТР нефть'!$J$28:$BP$638,59,0),"-")=0,"-",IFERROR(VLOOKUP(J326,'[63]ТР нефть'!$J$28:$BP$638,59,0),"-"))</f>
        <v>-</v>
      </c>
      <c r="BQ326" s="138">
        <v>2200</v>
      </c>
      <c r="BR326" s="128">
        <v>1874</v>
      </c>
      <c r="BS326" s="115">
        <f>BQ326-BR326</f>
        <v>326</v>
      </c>
      <c r="BT326" s="128">
        <v>73</v>
      </c>
      <c r="BU326" s="128">
        <v>5.5</v>
      </c>
      <c r="BV326" s="127">
        <v>65</v>
      </c>
      <c r="BW326" s="127" t="s">
        <v>234</v>
      </c>
      <c r="BX326" s="127" t="s">
        <v>195</v>
      </c>
      <c r="BY326" s="139">
        <v>24</v>
      </c>
      <c r="BZ326" s="139">
        <v>0</v>
      </c>
      <c r="CA326" s="115">
        <v>23</v>
      </c>
      <c r="CB326" s="115">
        <v>72</v>
      </c>
      <c r="CC326" s="115">
        <v>22</v>
      </c>
      <c r="CD326" s="135">
        <v>45017</v>
      </c>
      <c r="CE326" s="138">
        <v>156</v>
      </c>
      <c r="CF326" s="138">
        <v>81</v>
      </c>
      <c r="CG326" s="138" t="str">
        <f>IF(CH326&lt;&gt;"","В работе","")</f>
        <v>В работе</v>
      </c>
      <c r="CH326" s="138" t="s">
        <v>235</v>
      </c>
      <c r="CI326" s="127">
        <v>6</v>
      </c>
      <c r="CJ326" s="138"/>
      <c r="CK326" s="138"/>
      <c r="CL326" s="99"/>
      <c r="CM326" s="99"/>
      <c r="CN326" s="204">
        <v>54</v>
      </c>
      <c r="CO326" s="141">
        <f t="shared" si="216"/>
        <v>15.72565324</v>
      </c>
      <c r="CP326" s="142">
        <v>18.82</v>
      </c>
      <c r="CQ326" s="119">
        <v>0.05</v>
      </c>
      <c r="CR326" s="115">
        <v>55.054000000000002</v>
      </c>
      <c r="CS326" s="139">
        <v>7</v>
      </c>
      <c r="CT326" s="138"/>
      <c r="CU326" s="138">
        <f t="shared" si="235"/>
        <v>48.054000000000002</v>
      </c>
      <c r="CV326" s="115">
        <f t="shared" si="236"/>
        <v>3055.7713098855029</v>
      </c>
      <c r="CW326" s="115">
        <f t="shared" si="217"/>
        <v>444.82430971868132</v>
      </c>
      <c r="CX326" s="133">
        <f t="shared" si="237"/>
        <v>0.18450980392156863</v>
      </c>
      <c r="CY326" s="116"/>
      <c r="CZ326" s="131"/>
      <c r="DA326" s="145" t="str">
        <f t="shared" si="218"/>
        <v>Газлифт</v>
      </c>
      <c r="DB326" s="146">
        <f t="shared" si="219"/>
        <v>15.72565324</v>
      </c>
      <c r="DC326" s="142">
        <f t="shared" si="234"/>
        <v>18.82</v>
      </c>
      <c r="DD326" s="119">
        <f t="shared" si="250"/>
        <v>0.05</v>
      </c>
      <c r="DE326" s="115">
        <f t="shared" si="220"/>
        <v>48.054000000000002</v>
      </c>
      <c r="DF326" s="121">
        <f t="shared" si="221"/>
        <v>7</v>
      </c>
      <c r="DG326" s="115">
        <f t="shared" si="222"/>
        <v>3055.7713098855029</v>
      </c>
      <c r="DH326" s="115">
        <f t="shared" si="223"/>
        <v>54</v>
      </c>
      <c r="DI326" s="1038"/>
      <c r="DJ326" s="111" t="s">
        <v>197</v>
      </c>
      <c r="DK326" s="112">
        <v>44523</v>
      </c>
      <c r="DL326" s="113">
        <f t="shared" ca="1" si="240"/>
        <v>581</v>
      </c>
      <c r="DM326" s="114"/>
      <c r="DN326" s="114"/>
      <c r="DO326" s="114"/>
      <c r="DP326" s="114"/>
      <c r="DQ326" s="112">
        <v>44523</v>
      </c>
      <c r="DR326" s="114" t="s">
        <v>282</v>
      </c>
      <c r="DS326" s="114"/>
      <c r="DT326" s="115">
        <v>60</v>
      </c>
      <c r="DU326" s="116">
        <f t="shared" si="241"/>
        <v>0.19604166666666667</v>
      </c>
      <c r="DV326" s="117">
        <f t="shared" si="242"/>
        <v>15.72565324</v>
      </c>
      <c r="DW326" s="118">
        <f t="shared" si="243"/>
        <v>18.82</v>
      </c>
      <c r="DX326" s="119">
        <f t="shared" si="224"/>
        <v>0.05</v>
      </c>
      <c r="DY326" s="115">
        <f t="shared" si="244"/>
        <v>48.054000000000002</v>
      </c>
      <c r="DZ326" s="117">
        <f t="shared" si="245"/>
        <v>0</v>
      </c>
      <c r="EA326" s="120">
        <f t="shared" si="245"/>
        <v>0</v>
      </c>
      <c r="EB326" s="119">
        <f t="shared" si="245"/>
        <v>0</v>
      </c>
      <c r="EC326" s="121">
        <f t="shared" si="246"/>
        <v>0</v>
      </c>
      <c r="ED326" s="122" t="s">
        <v>1375</v>
      </c>
      <c r="EE326" s="145">
        <v>65</v>
      </c>
      <c r="EF326" s="115">
        <v>23</v>
      </c>
      <c r="EG326" s="115">
        <v>72</v>
      </c>
      <c r="EH326" s="115">
        <v>22</v>
      </c>
      <c r="EI326" s="128" t="s">
        <v>195</v>
      </c>
      <c r="EJ326" s="121">
        <v>24</v>
      </c>
      <c r="EK326" s="121">
        <v>0</v>
      </c>
      <c r="EL326" s="149">
        <v>15.72565324</v>
      </c>
      <c r="EM326" s="142">
        <v>18.82</v>
      </c>
      <c r="EN326" s="119">
        <v>0.05</v>
      </c>
      <c r="EO326" s="115">
        <v>55.054000000000002</v>
      </c>
      <c r="EP326" s="115">
        <v>3055.7713098855029</v>
      </c>
      <c r="EQ326" s="115">
        <v>81</v>
      </c>
      <c r="ER326" s="115">
        <v>7</v>
      </c>
      <c r="ES326" s="115">
        <v>54</v>
      </c>
      <c r="ET326" s="150">
        <v>0.18450980392156863</v>
      </c>
      <c r="EU326" s="145">
        <f t="shared" si="225"/>
        <v>65</v>
      </c>
      <c r="EV326" s="115">
        <f t="shared" si="226"/>
        <v>23</v>
      </c>
      <c r="EW326" s="115">
        <f t="shared" si="226"/>
        <v>72</v>
      </c>
      <c r="EX326" s="115">
        <f t="shared" si="226"/>
        <v>22</v>
      </c>
      <c r="EY326" s="115" t="str">
        <f t="shared" si="253"/>
        <v>Постоянный</v>
      </c>
      <c r="EZ326" s="115">
        <f t="shared" si="253"/>
        <v>24</v>
      </c>
      <c r="FA326" s="115">
        <f t="shared" si="253"/>
        <v>0</v>
      </c>
      <c r="FB326" s="149">
        <f t="shared" si="238"/>
        <v>15.72565324</v>
      </c>
      <c r="FC326" s="142">
        <f t="shared" si="238"/>
        <v>18.82</v>
      </c>
      <c r="FD326" s="119">
        <f t="shared" si="238"/>
        <v>0.05</v>
      </c>
      <c r="FE326" s="121">
        <f t="shared" si="208"/>
        <v>55.054000000000002</v>
      </c>
      <c r="FF326" s="121">
        <f t="shared" si="247"/>
        <v>3055.7713098855029</v>
      </c>
      <c r="FG326" s="121">
        <f t="shared" si="227"/>
        <v>81</v>
      </c>
      <c r="FH326" s="121">
        <f t="shared" si="248"/>
        <v>7</v>
      </c>
      <c r="FI326" s="121">
        <f t="shared" si="252"/>
        <v>54</v>
      </c>
      <c r="FJ326" s="144">
        <f t="shared" si="228"/>
        <v>0.18450980392156863</v>
      </c>
      <c r="FK326" s="132">
        <f t="shared" si="229"/>
        <v>0</v>
      </c>
      <c r="FL326" s="115">
        <f t="shared" si="229"/>
        <v>0</v>
      </c>
      <c r="FM326" s="115">
        <f t="shared" si="229"/>
        <v>0</v>
      </c>
      <c r="FN326" s="115">
        <f t="shared" si="229"/>
        <v>0</v>
      </c>
      <c r="FO326" s="115">
        <f t="shared" si="232"/>
        <v>0</v>
      </c>
      <c r="FP326" s="115">
        <f t="shared" si="232"/>
        <v>0</v>
      </c>
      <c r="FQ326" s="149">
        <f t="shared" si="232"/>
        <v>0</v>
      </c>
      <c r="FR326" s="142">
        <f t="shared" si="232"/>
        <v>0</v>
      </c>
      <c r="FS326" s="119">
        <f t="shared" si="232"/>
        <v>0</v>
      </c>
      <c r="FT326" s="121">
        <f t="shared" si="232"/>
        <v>0</v>
      </c>
      <c r="FU326" s="121">
        <f t="shared" si="230"/>
        <v>0</v>
      </c>
      <c r="FV326" s="121">
        <f t="shared" si="230"/>
        <v>0</v>
      </c>
      <c r="FW326" s="121">
        <f t="shared" si="231"/>
        <v>0</v>
      </c>
      <c r="FX326" s="121">
        <f t="shared" si="233"/>
        <v>0</v>
      </c>
      <c r="FY326" s="144">
        <f t="shared" si="214"/>
        <v>0</v>
      </c>
      <c r="FZ326" s="145"/>
      <c r="GA326" s="151" t="s">
        <v>313</v>
      </c>
      <c r="GB326" s="145"/>
      <c r="GC326" s="151" t="s">
        <v>533</v>
      </c>
      <c r="GD326" s="997" t="s">
        <v>238</v>
      </c>
      <c r="GE326" s="1004"/>
      <c r="GF326" s="1004">
        <v>0</v>
      </c>
      <c r="GG326" s="1004"/>
      <c r="GH326" s="1004">
        <v>0</v>
      </c>
      <c r="GI326" s="145"/>
      <c r="GJ326" s="996">
        <v>2.5173631999997781E-2</v>
      </c>
      <c r="GK326" s="145"/>
      <c r="GL326" s="996">
        <v>0</v>
      </c>
      <c r="GM326" s="1005"/>
      <c r="GN326" s="996">
        <v>0.5911665320000008</v>
      </c>
      <c r="GO326" s="1006"/>
      <c r="GP326" s="996">
        <v>0</v>
      </c>
      <c r="GQ326" s="1006"/>
      <c r="GR326" s="996">
        <v>0</v>
      </c>
      <c r="GS326" s="1006"/>
      <c r="GT326" s="996">
        <v>0</v>
      </c>
      <c r="GU326" s="1006" t="s">
        <v>204</v>
      </c>
      <c r="GV326" s="996">
        <v>0</v>
      </c>
      <c r="GW326" s="1006" t="s">
        <v>1376</v>
      </c>
      <c r="GX326" s="1049">
        <v>-11.653722123999996</v>
      </c>
      <c r="GY326" s="1006"/>
      <c r="GZ326" s="996">
        <v>0</v>
      </c>
      <c r="HA326" s="1006" t="s">
        <v>204</v>
      </c>
      <c r="HB326" s="996">
        <v>3.7141807999999976</v>
      </c>
      <c r="HC326" s="1006"/>
      <c r="HD326" s="996">
        <v>0</v>
      </c>
      <c r="HE326" s="1006"/>
      <c r="HF326" s="996">
        <v>0</v>
      </c>
      <c r="HG326" s="1006" t="s">
        <v>223</v>
      </c>
      <c r="HH326" s="996">
        <v>-2.5807821599999983</v>
      </c>
      <c r="HI326" s="1006"/>
      <c r="HJ326" s="996">
        <v>0</v>
      </c>
      <c r="HK326" s="1006"/>
      <c r="HL326" s="996">
        <v>0.19260042208000172</v>
      </c>
      <c r="HM326" s="1006"/>
      <c r="HN326" s="996"/>
      <c r="HO326" s="1006" t="s">
        <v>25</v>
      </c>
      <c r="HP326" s="996">
        <v>25.437000000000001</v>
      </c>
      <c r="HQ326" s="1006"/>
      <c r="HR326" s="996">
        <v>0</v>
      </c>
      <c r="HS326" s="1006"/>
      <c r="HT326" s="996">
        <v>0</v>
      </c>
      <c r="HU326" s="1006"/>
      <c r="HV326" s="996">
        <v>0</v>
      </c>
      <c r="HW326" s="1006"/>
      <c r="HX326" s="996">
        <v>0</v>
      </c>
      <c r="HY326" s="1006"/>
      <c r="HZ326" s="996">
        <v>0</v>
      </c>
      <c r="IA326" s="1006"/>
      <c r="IB326" s="996">
        <v>0</v>
      </c>
      <c r="IC326" s="1006"/>
      <c r="ID326" s="996">
        <v>0</v>
      </c>
      <c r="IE326" s="1006"/>
      <c r="IF326" s="996">
        <v>0</v>
      </c>
      <c r="IG326" s="1006"/>
      <c r="IH326" s="996">
        <v>0</v>
      </c>
      <c r="II326" s="1006"/>
      <c r="IJ326" s="996">
        <v>0</v>
      </c>
      <c r="IK326" s="1006"/>
      <c r="IL326" s="996">
        <v>-0.20314800000000005</v>
      </c>
      <c r="IM326" s="1006"/>
      <c r="IN326" s="996">
        <v>0</v>
      </c>
      <c r="IO326" s="1006"/>
      <c r="IP326" s="996">
        <v>0</v>
      </c>
      <c r="IQ326" s="1006"/>
      <c r="IR326" s="996">
        <v>0</v>
      </c>
      <c r="IS326" s="1006"/>
      <c r="IT326" s="996">
        <v>0</v>
      </c>
      <c r="IU326" s="1006"/>
      <c r="IV326" s="996">
        <v>0</v>
      </c>
      <c r="IW326" s="1006" t="s">
        <v>199</v>
      </c>
      <c r="IX326" s="996">
        <v>-1.2941698000000001</v>
      </c>
      <c r="IY326" s="1006"/>
      <c r="IZ326" s="996">
        <v>0</v>
      </c>
      <c r="JA326" s="1006" t="s">
        <v>199</v>
      </c>
      <c r="JB326" s="996">
        <v>-4.2234719999999992</v>
      </c>
      <c r="JC326" s="1006" t="s">
        <v>199</v>
      </c>
      <c r="JD326" s="996">
        <v>4.9946819999999992</v>
      </c>
      <c r="JE326" s="1006"/>
      <c r="JF326" s="996">
        <v>0</v>
      </c>
      <c r="JG326" s="1006"/>
      <c r="JH326" s="996">
        <v>0</v>
      </c>
      <c r="JI326" s="1006" t="s">
        <v>435</v>
      </c>
      <c r="JJ326" s="996">
        <v>-17.366645999999999</v>
      </c>
      <c r="JK326" s="1007"/>
      <c r="JL326" s="1007">
        <v>-8.4000000001083208E-5</v>
      </c>
      <c r="JM326" s="1007"/>
      <c r="JN326" s="1007"/>
      <c r="JO326" s="1008"/>
      <c r="JP326" s="1007"/>
      <c r="JQ326" s="1008"/>
      <c r="JR326" s="1007"/>
      <c r="JS326" s="1008"/>
      <c r="JT326" s="1007"/>
      <c r="JU326" s="1008"/>
      <c r="JV326" s="1007"/>
      <c r="JW326" s="1008"/>
      <c r="JX326" s="1007"/>
      <c r="JY326" s="1008"/>
      <c r="JZ326" s="1007"/>
      <c r="KA326" s="1008"/>
      <c r="KB326" s="1007"/>
      <c r="KC326" s="1008"/>
      <c r="KD326" s="1007"/>
      <c r="KE326" s="1008"/>
      <c r="KF326" s="1007"/>
      <c r="KG326" s="1008"/>
      <c r="KH326" s="1007"/>
      <c r="KI326" s="1008"/>
      <c r="KJ326" s="1007"/>
      <c r="KK326" s="1008"/>
      <c r="KL326" s="1007"/>
      <c r="KM326" s="1008"/>
      <c r="KN326" s="1007"/>
      <c r="KO326" s="1008"/>
      <c r="KP326" s="1007"/>
      <c r="KQ326" s="1008"/>
      <c r="KR326" s="1007"/>
      <c r="KS326" s="1008"/>
      <c r="KT326" s="1007"/>
      <c r="KU326" s="1008"/>
      <c r="KV326" s="1007"/>
      <c r="KW326" s="1008"/>
      <c r="KX326" s="1007"/>
      <c r="KY326" s="1008"/>
      <c r="KZ326" s="1007"/>
      <c r="LA326" s="1008"/>
      <c r="LB326" s="1007"/>
      <c r="LC326" s="1008"/>
      <c r="LD326" s="1007"/>
      <c r="LE326" s="1008"/>
      <c r="LF326" s="1007"/>
      <c r="LG326" s="1008"/>
      <c r="LH326" s="1007"/>
      <c r="LI326" s="1008"/>
      <c r="LJ326" s="1007"/>
      <c r="LK326" s="1008"/>
      <c r="LL326" s="1007"/>
      <c r="LM326" s="1008"/>
      <c r="LN326" s="1007"/>
      <c r="LO326" s="1008"/>
      <c r="LP326" s="1007"/>
      <c r="LQ326" s="1008"/>
      <c r="LR326" s="1007"/>
      <c r="LS326" s="1008"/>
      <c r="LT326" s="1007"/>
      <c r="LU326" s="1008"/>
      <c r="LV326" s="1007"/>
      <c r="LW326" s="1008"/>
      <c r="LX326" s="1007"/>
      <c r="LY326" s="1009"/>
      <c r="LZ326" s="1010"/>
      <c r="MA326" s="1011"/>
      <c r="MB326" s="1012"/>
      <c r="MC326" s="995"/>
      <c r="MD326" s="996"/>
      <c r="ME326" s="997" t="s">
        <v>238</v>
      </c>
      <c r="MF326" s="997"/>
      <c r="MG326" s="998"/>
      <c r="NR326" s="1000"/>
      <c r="NS326" s="1000"/>
      <c r="NT326" s="1001"/>
      <c r="NU326" s="1000"/>
      <c r="NV326" s="1001"/>
      <c r="NX326" s="1002"/>
      <c r="NZ326" s="1001"/>
      <c r="OA326" s="1001"/>
      <c r="OC326" s="1003"/>
      <c r="OD326" s="1003"/>
      <c r="OE326" s="1001"/>
      <c r="OF326" s="1003"/>
      <c r="OG326" s="1003"/>
      <c r="QX326" s="1000">
        <f t="shared" si="254"/>
        <v>31</v>
      </c>
      <c r="ASU326" s="999" t="s">
        <v>208</v>
      </c>
    </row>
    <row r="327" spans="1:1191" ht="21" customHeight="1" x14ac:dyDescent="0.25">
      <c r="A327" s="982">
        <f t="shared" si="215"/>
        <v>1338</v>
      </c>
      <c r="B327" s="124">
        <f>SUBTOTAL(103,$J$29:J327)</f>
        <v>299</v>
      </c>
      <c r="C327" s="126">
        <v>45068</v>
      </c>
      <c r="D327" s="124" t="s">
        <v>176</v>
      </c>
      <c r="E327" s="127" t="s">
        <v>177</v>
      </c>
      <c r="F327" s="128" t="s">
        <v>177</v>
      </c>
      <c r="G327" s="127" t="s">
        <v>178</v>
      </c>
      <c r="H327" s="127" t="s">
        <v>408</v>
      </c>
      <c r="I327" s="127" t="s">
        <v>1377</v>
      </c>
      <c r="J327" s="152">
        <v>1338</v>
      </c>
      <c r="K327" s="127" t="s">
        <v>1377</v>
      </c>
      <c r="L327" s="130">
        <v>43884</v>
      </c>
      <c r="M327" s="127" t="s">
        <v>230</v>
      </c>
      <c r="N327" s="127" t="s">
        <v>231</v>
      </c>
      <c r="O327" s="127" t="s">
        <v>185</v>
      </c>
      <c r="P327" s="127" t="s">
        <v>186</v>
      </c>
      <c r="Q327" s="85" t="str">
        <f t="shared" si="249"/>
        <v/>
      </c>
      <c r="R327" s="130"/>
      <c r="S327" s="128"/>
      <c r="T327" s="131"/>
      <c r="U327" s="132">
        <v>203</v>
      </c>
      <c r="V327" s="121">
        <v>218.2</v>
      </c>
      <c r="W327" s="116">
        <v>0.98</v>
      </c>
      <c r="X327" s="116">
        <v>1.66</v>
      </c>
      <c r="Y327" s="116">
        <f t="shared" si="239"/>
        <v>0.98281820159010158</v>
      </c>
      <c r="Z327" s="133">
        <v>1.454</v>
      </c>
      <c r="AA327" s="133">
        <v>0.83599999999999997</v>
      </c>
      <c r="AB327" s="133">
        <v>0.72</v>
      </c>
      <c r="AC327" s="121">
        <v>34.299999999999997</v>
      </c>
      <c r="AD327" s="134">
        <v>1.17</v>
      </c>
      <c r="AE327" s="124">
        <v>177.8</v>
      </c>
      <c r="AF327" s="128">
        <v>9.19</v>
      </c>
      <c r="AG327" s="128">
        <v>2202</v>
      </c>
      <c r="AH327" s="127">
        <v>2584</v>
      </c>
      <c r="AI327" s="127">
        <v>2584</v>
      </c>
      <c r="AJ327" s="135"/>
      <c r="AK327" s="128"/>
      <c r="AL327" s="131"/>
      <c r="AM327" s="124" t="s">
        <v>232</v>
      </c>
      <c r="AN327" s="136" t="s">
        <v>1378</v>
      </c>
      <c r="AO327" s="137">
        <v>20</v>
      </c>
      <c r="AP327" s="128">
        <v>2202</v>
      </c>
      <c r="AQ327" s="128">
        <v>347.4</v>
      </c>
      <c r="AR327" s="128"/>
      <c r="AS327" s="128"/>
      <c r="AT327" s="122"/>
      <c r="AU327" s="124" t="s">
        <v>250</v>
      </c>
      <c r="AV327" s="115">
        <f>VLOOKUP(J327,'[63]ТР нефть'!$J$28:$BP$638,39,0)</f>
        <v>474.00001640599999</v>
      </c>
      <c r="AW327" s="115" t="str">
        <f>VLOOKUP(J327,'[63]ТР нефть'!$J$28:$BP$638,40,0)</f>
        <v>ГК 76 1/8</v>
      </c>
      <c r="AX327" s="115">
        <f>VLOOKUP(J327,'[63]ТР нефть'!$J$28:$BP$638,41,0)</f>
        <v>880.00001601600002</v>
      </c>
      <c r="AY327" s="115" t="str">
        <f>VLOOKUP(J327,'[63]ТР нефть'!$J$28:$BP$638,42,0)</f>
        <v>гк 76 1/8</v>
      </c>
      <c r="AZ327" s="115">
        <f>VLOOKUP(J327,'[63]ТР нефть'!$J$28:$BP$638,43,0)</f>
        <v>1161.9999937499999</v>
      </c>
      <c r="BA327" s="115" t="str">
        <f>VLOOKUP(J327,'[63]ТР нефть'!$J$28:$BP$638,44,0)</f>
        <v>ГК 77 1/8</v>
      </c>
      <c r="BB327" s="115">
        <f>VLOOKUP(J327,'[63]ТР нефть'!$J$28:$BP$638,45,0)</f>
        <v>1398.000025781</v>
      </c>
      <c r="BC327" s="115" t="str">
        <f>VLOOKUP(J327,'[63]ТР нефть'!$J$28:$BP$638,46,0)</f>
        <v>ГК 77 1/8</v>
      </c>
      <c r="BD327" s="115">
        <f>VLOOKUP(J327,'[63]ТР нефть'!$J$28:$BP$638,47,0)</f>
        <v>1621.000069922</v>
      </c>
      <c r="BE327" s="115" t="str">
        <f>VLOOKUP(J327,'[63]ТР нефть'!$J$28:$BP$638,48,0)</f>
        <v>ГК 77 1/8</v>
      </c>
      <c r="BF327" s="115">
        <f>VLOOKUP(J327,'[63]ТР нефть'!$J$28:$BP$638,49,0)</f>
        <v>1860</v>
      </c>
      <c r="BG327" s="115" t="str">
        <f>VLOOKUP(J327,'[63]ТР нефть'!$J$28:$BP$638,50,0)</f>
        <v>ЦКсОК 5/16</v>
      </c>
      <c r="BH327" s="115">
        <f>VLOOKUP(J327,'[63]ТР нефть'!$J$28:$BP$638,51,0)</f>
        <v>1870</v>
      </c>
      <c r="BI327" s="115" t="str">
        <f>VLOOKUP(J327,'[63]ТР нефть'!$J$28:$BP$638,52,0)</f>
        <v>закрыт</v>
      </c>
      <c r="BJ327" s="115" t="str">
        <f>IF(IFERROR(VLOOKUP(J327,'[63]ТР нефть'!$J$28:$BP$638,53,0),"-")=0,"-",IFERROR(VLOOKUP(J327,'[63]ТР нефть'!$J$28:$BP$638,53,0),"-"))</f>
        <v>-</v>
      </c>
      <c r="BK327" s="138" t="str">
        <f>IF(IFERROR(VLOOKUP(J327,'[63]ТР нефть'!$J$28:$BP$638,54,0),"-")=0,"-",IFERROR(VLOOKUP(J327,'[63]ТР нефть'!$J$28:$BP$638,54,0),"-"))</f>
        <v>-</v>
      </c>
      <c r="BL327" s="138" t="str">
        <f>IF(IFERROR(VLOOKUP(J327,'[63]ТР нефть'!$J$28:$BP$638,55,0),"-")=0,"-",IFERROR(VLOOKUP(J327,'[63]ТР нефть'!$J$28:$BP$638,55,0),"-"))</f>
        <v>-</v>
      </c>
      <c r="BM327" s="138" t="str">
        <f>IF(IFERROR(VLOOKUP(J327,'[63]ТР нефть'!$J$28:$BP$638,56,0),"-")=0,"-",IFERROR(VLOOKUP(J327,'[63]ТР нефть'!$J$28:$BP$638,56,0),"-"))</f>
        <v>-</v>
      </c>
      <c r="BN327" s="138" t="str">
        <f>IF(IFERROR(VLOOKUP(J327,'[63]ТР нефть'!$J$28:$BP$638,57,0),"-")=0,"-",IFERROR(VLOOKUP(J327,'[63]ТР нефть'!$J$28:$BP$638,57,0),"-"))</f>
        <v>-</v>
      </c>
      <c r="BO327" s="115" t="str">
        <f>IF(IFERROR(VLOOKUP(J327,'[63]ТР нефть'!$J$28:$BP$638,58,0),"-")=0,"-",IFERROR(VLOOKUP(J327,'[63]ТР нефть'!$J$28:$BP$638,58,0),"-"))</f>
        <v>-</v>
      </c>
      <c r="BP327" s="115" t="str">
        <f>IF(IFERROR(VLOOKUP(J327,'[63]ТР нефть'!$J$28:$BP$638,59,0),"-")=0,"-",IFERROR(VLOOKUP(J327,'[63]ТР нефть'!$J$28:$BP$638,59,0),"-"))</f>
        <v>-</v>
      </c>
      <c r="BQ327" s="138">
        <v>2202</v>
      </c>
      <c r="BR327" s="128">
        <v>1862.9</v>
      </c>
      <c r="BS327" s="115">
        <f>BQ327-BR327</f>
        <v>339.09999999999991</v>
      </c>
      <c r="BT327" s="128">
        <v>88.9</v>
      </c>
      <c r="BU327" s="128">
        <v>7.34</v>
      </c>
      <c r="BV327" s="127">
        <v>18</v>
      </c>
      <c r="BW327" s="127" t="s">
        <v>217</v>
      </c>
      <c r="BX327" s="127" t="s">
        <v>195</v>
      </c>
      <c r="BY327" s="139">
        <v>24</v>
      </c>
      <c r="BZ327" s="139">
        <v>0</v>
      </c>
      <c r="CA327" s="138">
        <v>24</v>
      </c>
      <c r="CB327" s="138">
        <v>38</v>
      </c>
      <c r="CC327" s="138">
        <v>24</v>
      </c>
      <c r="CD327" s="135">
        <v>45017</v>
      </c>
      <c r="CE327" s="138">
        <v>74</v>
      </c>
      <c r="CF327" s="138"/>
      <c r="CG327" s="138"/>
      <c r="CH327" s="138"/>
      <c r="CI327" s="127"/>
      <c r="CJ327" s="138"/>
      <c r="CK327" s="138"/>
      <c r="CL327" s="99"/>
      <c r="CM327" s="127"/>
      <c r="CN327" s="154">
        <v>49</v>
      </c>
      <c r="CO327" s="159">
        <f t="shared" si="216"/>
        <v>4.7318435999999995</v>
      </c>
      <c r="CP327" s="160">
        <v>5.7</v>
      </c>
      <c r="CQ327" s="161">
        <v>0.7</v>
      </c>
      <c r="CR327" s="138">
        <v>11</v>
      </c>
      <c r="CS327" s="139"/>
      <c r="CT327" s="138"/>
      <c r="CU327" s="138">
        <f t="shared" si="235"/>
        <v>11</v>
      </c>
      <c r="CV327" s="115">
        <f t="shared" si="236"/>
        <v>2324.6753125990895</v>
      </c>
      <c r="CW327" s="115" t="str">
        <f t="shared" si="217"/>
        <v/>
      </c>
      <c r="CX327" s="133">
        <f t="shared" si="237"/>
        <v>0.22800000000000001</v>
      </c>
      <c r="CY327" s="116"/>
      <c r="CZ327" s="131"/>
      <c r="DA327" s="145" t="str">
        <f t="shared" si="218"/>
        <v>Фон.</v>
      </c>
      <c r="DB327" s="146">
        <f t="shared" si="219"/>
        <v>4.7318435999999995</v>
      </c>
      <c r="DC327" s="142">
        <f t="shared" si="234"/>
        <v>5.7</v>
      </c>
      <c r="DD327" s="119">
        <f t="shared" si="250"/>
        <v>0.7</v>
      </c>
      <c r="DE327" s="115">
        <f t="shared" si="220"/>
        <v>11</v>
      </c>
      <c r="DF327" s="121">
        <f t="shared" si="221"/>
        <v>0</v>
      </c>
      <c r="DG327" s="115">
        <f t="shared" si="222"/>
        <v>2324.6753125990895</v>
      </c>
      <c r="DH327" s="115">
        <f t="shared" si="223"/>
        <v>49</v>
      </c>
      <c r="DI327" s="147"/>
      <c r="DJ327" s="111"/>
      <c r="DK327" s="112">
        <v>43884.083333333336</v>
      </c>
      <c r="DL327" s="113">
        <f t="shared" ca="1" si="240"/>
        <v>1219.9166666666642</v>
      </c>
      <c r="DM327" s="114"/>
      <c r="DN327" s="114"/>
      <c r="DO327" s="114"/>
      <c r="DP327" s="114"/>
      <c r="DQ327" s="112"/>
      <c r="DR327" s="114"/>
      <c r="DS327" s="114"/>
      <c r="DT327" s="115">
        <v>49</v>
      </c>
      <c r="DU327" s="116">
        <f t="shared" si="241"/>
        <v>0.22800000000000001</v>
      </c>
      <c r="DV327" s="117">
        <f t="shared" si="242"/>
        <v>4.7318435999999995</v>
      </c>
      <c r="DW327" s="118">
        <f t="shared" si="243"/>
        <v>5.7</v>
      </c>
      <c r="DX327" s="119">
        <f t="shared" si="224"/>
        <v>0.7</v>
      </c>
      <c r="DY327" s="115">
        <f t="shared" si="244"/>
        <v>11</v>
      </c>
      <c r="DZ327" s="117">
        <f t="shared" si="245"/>
        <v>0</v>
      </c>
      <c r="EA327" s="120">
        <f t="shared" si="245"/>
        <v>0</v>
      </c>
      <c r="EB327" s="119">
        <f t="shared" si="245"/>
        <v>0</v>
      </c>
      <c r="EC327" s="121">
        <f t="shared" si="246"/>
        <v>0</v>
      </c>
      <c r="ED327" s="122"/>
      <c r="EE327" s="145">
        <v>18</v>
      </c>
      <c r="EF327" s="115">
        <v>24</v>
      </c>
      <c r="EG327" s="115">
        <v>38</v>
      </c>
      <c r="EH327" s="115">
        <v>24</v>
      </c>
      <c r="EI327" s="128" t="s">
        <v>195</v>
      </c>
      <c r="EJ327" s="121">
        <v>24</v>
      </c>
      <c r="EK327" s="121">
        <v>0</v>
      </c>
      <c r="EL327" s="162">
        <v>4.7318435999999995</v>
      </c>
      <c r="EM327" s="142">
        <v>5.7</v>
      </c>
      <c r="EN327" s="119">
        <v>0.7</v>
      </c>
      <c r="EO327" s="115">
        <v>11</v>
      </c>
      <c r="EP327" s="115">
        <v>2324.6753125990895</v>
      </c>
      <c r="EQ327" s="115">
        <v>0</v>
      </c>
      <c r="ER327" s="115">
        <v>0</v>
      </c>
      <c r="ES327" s="115">
        <v>49</v>
      </c>
      <c r="ET327" s="150">
        <v>0.22800000000000001</v>
      </c>
      <c r="EU327" s="145">
        <f t="shared" si="225"/>
        <v>18</v>
      </c>
      <c r="EV327" s="115">
        <f t="shared" si="226"/>
        <v>24</v>
      </c>
      <c r="EW327" s="115">
        <f t="shared" si="226"/>
        <v>38</v>
      </c>
      <c r="EX327" s="115">
        <f t="shared" si="226"/>
        <v>24</v>
      </c>
      <c r="EY327" s="115" t="str">
        <f t="shared" si="253"/>
        <v>Постоянный</v>
      </c>
      <c r="EZ327" s="115">
        <f t="shared" si="253"/>
        <v>24</v>
      </c>
      <c r="FA327" s="115">
        <f t="shared" si="253"/>
        <v>0</v>
      </c>
      <c r="FB327" s="149">
        <f t="shared" si="238"/>
        <v>4.7318435999999995</v>
      </c>
      <c r="FC327" s="142">
        <f t="shared" si="238"/>
        <v>5.7</v>
      </c>
      <c r="FD327" s="119">
        <f t="shared" si="238"/>
        <v>0.7</v>
      </c>
      <c r="FE327" s="121">
        <f t="shared" si="208"/>
        <v>11</v>
      </c>
      <c r="FF327" s="121">
        <f t="shared" si="247"/>
        <v>2324.6753125990895</v>
      </c>
      <c r="FG327" s="121">
        <f t="shared" si="227"/>
        <v>0</v>
      </c>
      <c r="FH327" s="121">
        <f t="shared" si="248"/>
        <v>0</v>
      </c>
      <c r="FI327" s="121">
        <f t="shared" si="252"/>
        <v>49</v>
      </c>
      <c r="FJ327" s="144">
        <f t="shared" si="228"/>
        <v>0.22800000000000001</v>
      </c>
      <c r="FK327" s="132">
        <f t="shared" si="229"/>
        <v>0</v>
      </c>
      <c r="FL327" s="115">
        <f t="shared" si="229"/>
        <v>0</v>
      </c>
      <c r="FM327" s="115">
        <f t="shared" si="229"/>
        <v>0</v>
      </c>
      <c r="FN327" s="115">
        <f t="shared" si="229"/>
        <v>0</v>
      </c>
      <c r="FO327" s="115">
        <f t="shared" si="232"/>
        <v>0</v>
      </c>
      <c r="FP327" s="115">
        <f t="shared" si="232"/>
        <v>0</v>
      </c>
      <c r="FQ327" s="149">
        <f t="shared" si="232"/>
        <v>0</v>
      </c>
      <c r="FR327" s="142">
        <f t="shared" si="232"/>
        <v>0</v>
      </c>
      <c r="FS327" s="119">
        <f t="shared" si="232"/>
        <v>0</v>
      </c>
      <c r="FT327" s="121">
        <f t="shared" si="232"/>
        <v>0</v>
      </c>
      <c r="FU327" s="121">
        <f t="shared" si="230"/>
        <v>0</v>
      </c>
      <c r="FV327" s="121">
        <f t="shared" si="230"/>
        <v>0</v>
      </c>
      <c r="FW327" s="121">
        <f t="shared" si="231"/>
        <v>0</v>
      </c>
      <c r="FX327" s="121">
        <f>CN327-ES327</f>
        <v>0</v>
      </c>
      <c r="FY327" s="144">
        <f t="shared" si="214"/>
        <v>0</v>
      </c>
      <c r="FZ327" s="145"/>
      <c r="GA327" s="1024" t="s">
        <v>870</v>
      </c>
      <c r="GB327" s="145"/>
      <c r="GC327" s="1024"/>
      <c r="GD327" s="997" t="s">
        <v>416</v>
      </c>
      <c r="GE327" s="1004"/>
      <c r="GF327" s="1004">
        <v>-0.38782039999999984</v>
      </c>
      <c r="GG327" s="1004"/>
      <c r="GH327" s="1004">
        <v>0</v>
      </c>
      <c r="GI327" s="145"/>
      <c r="GJ327" s="996">
        <v>0</v>
      </c>
      <c r="GK327" s="145"/>
      <c r="GL327" s="996">
        <v>0</v>
      </c>
      <c r="GM327" s="1005"/>
      <c r="GN327" s="996">
        <v>0</v>
      </c>
      <c r="GO327" s="1006"/>
      <c r="GP327" s="996">
        <v>0</v>
      </c>
      <c r="GQ327" s="1006"/>
      <c r="GR327" s="996">
        <v>0</v>
      </c>
      <c r="GS327" s="1006"/>
      <c r="GT327" s="996">
        <v>0</v>
      </c>
      <c r="GU327" s="1006"/>
      <c r="GV327" s="996">
        <v>0</v>
      </c>
      <c r="GW327" s="1006"/>
      <c r="GX327" s="1035">
        <v>0</v>
      </c>
      <c r="GY327" s="1006" t="s">
        <v>25</v>
      </c>
      <c r="GZ327" s="996">
        <v>-3.3072160000000013</v>
      </c>
      <c r="HA327" s="1006"/>
      <c r="HB327" s="996">
        <v>-0.68551999999999857</v>
      </c>
      <c r="HC327" s="1006"/>
      <c r="HD327" s="996">
        <v>-0.16719999999999935</v>
      </c>
      <c r="HE327" s="1006"/>
      <c r="HF327" s="996">
        <v>0</v>
      </c>
      <c r="HG327" s="1006" t="s">
        <v>199</v>
      </c>
      <c r="HH327" s="996">
        <v>1.0867999999999984</v>
      </c>
      <c r="HI327" s="1006"/>
      <c r="HJ327" s="996">
        <v>-8.3600000000000563E-2</v>
      </c>
      <c r="HK327" s="1006"/>
      <c r="HL327" s="996">
        <v>0</v>
      </c>
      <c r="HM327" s="1006" t="s">
        <v>199</v>
      </c>
      <c r="HN327" s="996">
        <v>1.5507800000000014</v>
      </c>
      <c r="HO327" s="1006" t="s">
        <v>199</v>
      </c>
      <c r="HP327" s="996">
        <v>-1.4086600000000011</v>
      </c>
      <c r="HQ327" s="1006"/>
      <c r="HR327" s="996">
        <v>-0.47652000000000072</v>
      </c>
      <c r="HS327" s="1006"/>
      <c r="HT327" s="996">
        <v>0.70224000000000064</v>
      </c>
      <c r="HU327" s="1006" t="s">
        <v>223</v>
      </c>
      <c r="HV327" s="996">
        <v>-1.6552799999999985</v>
      </c>
      <c r="HW327" s="1006"/>
      <c r="HX327" s="996">
        <v>-0.43616000000000099</v>
      </c>
      <c r="HY327" s="1006" t="s">
        <v>204</v>
      </c>
      <c r="HZ327" s="996">
        <v>-1.0868000000000002</v>
      </c>
      <c r="IA327" s="1006" t="s">
        <v>221</v>
      </c>
      <c r="IB327" s="996">
        <v>-2.1903199999999998</v>
      </c>
      <c r="IC327" s="1006"/>
      <c r="ID327" s="996">
        <v>0</v>
      </c>
      <c r="IE327" s="1006" t="s">
        <v>199</v>
      </c>
      <c r="IF327" s="996">
        <v>2.9510799999999993</v>
      </c>
      <c r="IG327" s="1006" t="s">
        <v>199</v>
      </c>
      <c r="IH327" s="996">
        <v>1.8475600000000014</v>
      </c>
      <c r="II327" s="1006" t="s">
        <v>199</v>
      </c>
      <c r="IJ327" s="996">
        <v>-2.7420800000000014</v>
      </c>
      <c r="IK327" s="1006"/>
      <c r="IL327" s="996">
        <v>-0.8694399999999991</v>
      </c>
      <c r="IM327" s="1006"/>
      <c r="IN327" s="996">
        <v>0</v>
      </c>
      <c r="IO327" s="1006"/>
      <c r="IP327" s="996">
        <v>0</v>
      </c>
      <c r="IQ327" s="1006" t="s">
        <v>203</v>
      </c>
      <c r="IR327" s="996">
        <v>-6.2449199999999969</v>
      </c>
      <c r="IS327" s="1006"/>
      <c r="IT327" s="996">
        <v>0</v>
      </c>
      <c r="IU327" s="1006" t="s">
        <v>203</v>
      </c>
      <c r="IV327" s="996">
        <v>-4.6230800000000016</v>
      </c>
      <c r="IW327" s="1006"/>
      <c r="IX327" s="996">
        <v>0</v>
      </c>
      <c r="IY327" s="1006"/>
      <c r="IZ327" s="996">
        <v>0</v>
      </c>
      <c r="JA327" s="1006" t="s">
        <v>203</v>
      </c>
      <c r="JB327" s="996">
        <v>-12.54</v>
      </c>
      <c r="JC327" s="1006"/>
      <c r="JD327" s="996">
        <v>0</v>
      </c>
      <c r="JE327" s="1006" t="s">
        <v>25</v>
      </c>
      <c r="JF327" s="996">
        <v>38</v>
      </c>
      <c r="JG327" s="1006"/>
      <c r="JH327" s="996">
        <v>0</v>
      </c>
      <c r="JI327" s="1006"/>
      <c r="JJ327" s="996"/>
      <c r="JK327" s="1007"/>
      <c r="JL327" s="1007"/>
      <c r="JM327" s="1007"/>
      <c r="JN327" s="1007"/>
      <c r="JO327" s="1008"/>
      <c r="JP327" s="1007"/>
      <c r="JQ327" s="1008"/>
      <c r="JR327" s="1007"/>
      <c r="JS327" s="1008"/>
      <c r="JT327" s="1007"/>
      <c r="JU327" s="1008"/>
      <c r="JV327" s="1007"/>
      <c r="JW327" s="1008"/>
      <c r="JX327" s="1007"/>
      <c r="JY327" s="1008"/>
      <c r="JZ327" s="1007"/>
      <c r="KA327" s="1008"/>
      <c r="KB327" s="1007"/>
      <c r="KC327" s="1008"/>
      <c r="KD327" s="1007"/>
      <c r="KE327" s="1008"/>
      <c r="KF327" s="1007"/>
      <c r="KG327" s="1008"/>
      <c r="KH327" s="1007"/>
      <c r="KI327" s="1008"/>
      <c r="KJ327" s="1007"/>
      <c r="KK327" s="1008"/>
      <c r="KL327" s="1007"/>
      <c r="KM327" s="1008"/>
      <c r="KN327" s="1007"/>
      <c r="KO327" s="1008"/>
      <c r="KP327" s="1007"/>
      <c r="KQ327" s="1008"/>
      <c r="KR327" s="1007"/>
      <c r="KS327" s="1008"/>
      <c r="KT327" s="1007"/>
      <c r="KU327" s="1008"/>
      <c r="KV327" s="1007"/>
      <c r="KW327" s="1008"/>
      <c r="KX327" s="1007"/>
      <c r="KY327" s="1008"/>
      <c r="KZ327" s="1007"/>
      <c r="LA327" s="1008"/>
      <c r="LB327" s="1007"/>
      <c r="LC327" s="1008"/>
      <c r="LD327" s="1007"/>
      <c r="LE327" s="1008"/>
      <c r="LF327" s="1007"/>
      <c r="LG327" s="1008"/>
      <c r="LH327" s="1007"/>
      <c r="LI327" s="1008"/>
      <c r="LJ327" s="1007"/>
      <c r="LK327" s="1008"/>
      <c r="LL327" s="1007"/>
      <c r="LM327" s="1008"/>
      <c r="LN327" s="1007"/>
      <c r="LO327" s="1008"/>
      <c r="LP327" s="1007"/>
      <c r="LQ327" s="1008"/>
      <c r="LR327" s="1007"/>
      <c r="LS327" s="1008"/>
      <c r="LT327" s="1007"/>
      <c r="LU327" s="1008"/>
      <c r="LV327" s="1007"/>
      <c r="LW327" s="1008"/>
      <c r="LX327" s="1007"/>
      <c r="LY327" s="1009"/>
      <c r="LZ327" s="1010"/>
      <c r="MA327" s="1011"/>
      <c r="MB327" s="1012"/>
      <c r="MC327" s="995"/>
      <c r="MD327" s="996"/>
      <c r="ME327" s="997" t="s">
        <v>416</v>
      </c>
      <c r="MF327" s="997"/>
      <c r="MG327" s="998"/>
      <c r="NR327" s="1000"/>
      <c r="NS327" s="1000"/>
      <c r="NT327" s="1001"/>
      <c r="NU327" s="1000"/>
      <c r="NV327" s="1001"/>
      <c r="NX327" s="1002"/>
      <c r="NZ327" s="1001"/>
      <c r="OA327" s="1001"/>
      <c r="OC327" s="1003"/>
      <c r="OD327" s="1003"/>
      <c r="OE327" s="1001"/>
      <c r="OF327" s="1003"/>
      <c r="OG327" s="1003"/>
      <c r="QX327" s="1000">
        <f t="shared" si="254"/>
        <v>25</v>
      </c>
      <c r="ASU327" s="999" t="s">
        <v>208</v>
      </c>
    </row>
    <row r="328" spans="1:1191" s="1023" customFormat="1" ht="21" customHeight="1" x14ac:dyDescent="0.25">
      <c r="A328" s="1017">
        <f t="shared" si="215"/>
        <v>1339</v>
      </c>
      <c r="B328" s="124">
        <f>SUBTOTAL(103,$J$29:J328)</f>
        <v>300</v>
      </c>
      <c r="C328" s="126">
        <v>45096</v>
      </c>
      <c r="D328" s="124" t="s">
        <v>176</v>
      </c>
      <c r="E328" s="127" t="s">
        <v>177</v>
      </c>
      <c r="F328" s="127" t="s">
        <v>177</v>
      </c>
      <c r="G328" s="127" t="s">
        <v>178</v>
      </c>
      <c r="H328" s="127" t="s">
        <v>421</v>
      </c>
      <c r="I328" s="127" t="s">
        <v>586</v>
      </c>
      <c r="J328" s="152">
        <v>1339</v>
      </c>
      <c r="K328" s="127" t="s">
        <v>1370</v>
      </c>
      <c r="L328" s="130">
        <v>43768</v>
      </c>
      <c r="M328" s="127" t="s">
        <v>230</v>
      </c>
      <c r="N328" s="127" t="s">
        <v>1229</v>
      </c>
      <c r="O328" s="127" t="s">
        <v>455</v>
      </c>
      <c r="P328" s="127" t="s">
        <v>455</v>
      </c>
      <c r="Q328" s="85" t="str">
        <f t="shared" si="249"/>
        <v/>
      </c>
      <c r="R328" s="130"/>
      <c r="S328" s="128"/>
      <c r="T328" s="131"/>
      <c r="U328" s="132">
        <v>203</v>
      </c>
      <c r="V328" s="121">
        <v>218.2</v>
      </c>
      <c r="W328" s="116">
        <v>0.98</v>
      </c>
      <c r="X328" s="116">
        <v>1.66</v>
      </c>
      <c r="Y328" s="116">
        <f t="shared" si="239"/>
        <v>1.6485610052695578</v>
      </c>
      <c r="Z328" s="133">
        <v>1.454</v>
      </c>
      <c r="AA328" s="133">
        <v>0.83599999999999997</v>
      </c>
      <c r="AB328" s="133">
        <v>0.72</v>
      </c>
      <c r="AC328" s="121">
        <v>34.299999999999997</v>
      </c>
      <c r="AD328" s="134">
        <v>1.17</v>
      </c>
      <c r="AE328" s="124">
        <v>177.8</v>
      </c>
      <c r="AF328" s="128">
        <v>9.19</v>
      </c>
      <c r="AG328" s="128">
        <v>2298</v>
      </c>
      <c r="AH328" s="127">
        <v>2876</v>
      </c>
      <c r="AI328" s="127">
        <v>2876</v>
      </c>
      <c r="AJ328" s="135"/>
      <c r="AK328" s="128"/>
      <c r="AL328" s="131"/>
      <c r="AM328" s="124" t="s">
        <v>232</v>
      </c>
      <c r="AN328" s="136" t="s">
        <v>1379</v>
      </c>
      <c r="AO328" s="137">
        <v>86</v>
      </c>
      <c r="AP328" s="128">
        <v>2298</v>
      </c>
      <c r="AQ328" s="128">
        <v>449</v>
      </c>
      <c r="AR328" s="128"/>
      <c r="AS328" s="128"/>
      <c r="AT328" s="122"/>
      <c r="AU328" s="124" t="s">
        <v>883</v>
      </c>
      <c r="AV328" s="115">
        <f>VLOOKUP(J328,'[63]ТР нефть'!$J$28:$BP$638,39,0)</f>
        <v>300</v>
      </c>
      <c r="AW328" s="115" t="str">
        <f>VLOOKUP(J328,'[63]ТР нефть'!$J$28:$BP$638,40,0)</f>
        <v>ГП</v>
      </c>
      <c r="AX328" s="115" t="str">
        <f>VLOOKUP(J328,'[63]ТР нефть'!$J$28:$BP$638,41,0)</f>
        <v>-</v>
      </c>
      <c r="AY328" s="115" t="str">
        <f>VLOOKUP(J328,'[63]ТР нефть'!$J$28:$BP$638,42,0)</f>
        <v>-</v>
      </c>
      <c r="AZ328" s="115" t="str">
        <f>VLOOKUP(J328,'[63]ТР нефть'!$J$28:$BP$638,43,0)</f>
        <v>-</v>
      </c>
      <c r="BA328" s="115" t="str">
        <f>VLOOKUP(J328,'[63]ТР нефть'!$J$28:$BP$638,44,0)</f>
        <v>-</v>
      </c>
      <c r="BB328" s="115" t="str">
        <f>VLOOKUP(J328,'[63]ТР нефть'!$J$28:$BP$638,45,0)</f>
        <v>-</v>
      </c>
      <c r="BC328" s="115" t="str">
        <f>VLOOKUP(J328,'[63]ТР нефть'!$J$28:$BP$638,46,0)</f>
        <v>-</v>
      </c>
      <c r="BD328" s="115" t="str">
        <f>VLOOKUP(J328,'[63]ТР нефть'!$J$28:$BP$638,47,0)</f>
        <v>-</v>
      </c>
      <c r="BE328" s="115" t="str">
        <f>VLOOKUP(J328,'[63]ТР нефть'!$J$28:$BP$638,48,0)</f>
        <v>-</v>
      </c>
      <c r="BF328" s="115" t="str">
        <f>VLOOKUP(J328,'[63]ТР нефть'!$J$28:$BP$638,49,0)</f>
        <v>-</v>
      </c>
      <c r="BG328" s="115" t="str">
        <f>VLOOKUP(J328,'[63]ТР нефть'!$J$28:$BP$638,50,0)</f>
        <v>-</v>
      </c>
      <c r="BH328" s="115">
        <f>VLOOKUP(J328,'[63]ТР нефть'!$J$28:$BP$638,51,0)</f>
        <v>1990</v>
      </c>
      <c r="BI328" s="115" t="str">
        <f>VLOOKUP(J328,'[63]ТР нефть'!$J$28:$BP$638,52,0)</f>
        <v>закрыт</v>
      </c>
      <c r="BJ328" s="115" t="str">
        <f>IF(IFERROR(VLOOKUP(J328,'[63]ТР нефть'!$J$28:$BP$638,53,0),"-")=0,"-",IFERROR(VLOOKUP(J328,'[63]ТР нефть'!$J$28:$BP$638,53,0),"-"))</f>
        <v>-</v>
      </c>
      <c r="BK328" s="138" t="str">
        <f>IF(IFERROR(VLOOKUP(J328,'[63]ТР нефть'!$J$28:$BP$638,54,0),"-")=0,"-",IFERROR(VLOOKUP(J328,'[63]ТР нефть'!$J$28:$BP$638,54,0),"-"))</f>
        <v>D2400N</v>
      </c>
      <c r="BL328" s="138" t="str">
        <f>IF(IFERROR(VLOOKUP(J328,'[63]ТР нефть'!$J$28:$BP$638,55,0),"-")=0,"-",IFERROR(VLOOKUP(J328,'[63]ТР нефть'!$J$28:$BP$638,55,0),"-"))</f>
        <v>-</v>
      </c>
      <c r="BM328" s="138">
        <f>IF(IFERROR(VLOOKUP(J328,'[63]ТР нефть'!$J$28:$BP$638,56,0),"-")=0,"-",IFERROR(VLOOKUP(J328,'[63]ТР нефть'!$J$28:$BP$638,56,0),"-"))</f>
        <v>909</v>
      </c>
      <c r="BN328" s="138">
        <f>IF(IFERROR(VLOOKUP(J328,'[63]ТР нефть'!$J$28:$BP$638,57,0),"-")=0,"-",IFERROR(VLOOKUP(J328,'[63]ТР нефть'!$J$28:$BP$638,57,0),"-"))</f>
        <v>50</v>
      </c>
      <c r="BO328" s="115">
        <f>IF(IFERROR(VLOOKUP(J328,'[63]ТР нефть'!$J$28:$BP$638,58,0),"-")=0,"-",IFERROR(VLOOKUP(J328,'[63]ТР нефть'!$J$28:$BP$638,58,0),"-"))</f>
        <v>125</v>
      </c>
      <c r="BP328" s="115" t="str">
        <f>IF(IFERROR(VLOOKUP(J328,'[63]ТР нефть'!$J$28:$BP$638,59,0),"-")=0,"-",IFERROR(VLOOKUP(J328,'[63]ТР нефть'!$J$28:$BP$638,59,0),"-"))</f>
        <v>-</v>
      </c>
      <c r="BQ328" s="138">
        <v>2100</v>
      </c>
      <c r="BR328" s="128">
        <v>1763.16</v>
      </c>
      <c r="BS328" s="115">
        <f>BQ328-BR328</f>
        <v>336.83999999999992</v>
      </c>
      <c r="BT328" s="128">
        <v>73</v>
      </c>
      <c r="BU328" s="128">
        <v>5.5</v>
      </c>
      <c r="BV328" s="127">
        <v>65</v>
      </c>
      <c r="BW328" s="127" t="s">
        <v>217</v>
      </c>
      <c r="BX328" s="127" t="s">
        <v>195</v>
      </c>
      <c r="BY328" s="139">
        <v>24</v>
      </c>
      <c r="BZ328" s="139">
        <v>0</v>
      </c>
      <c r="CA328" s="138">
        <v>37</v>
      </c>
      <c r="CB328" s="138">
        <v>36</v>
      </c>
      <c r="CC328" s="138">
        <v>36</v>
      </c>
      <c r="CD328" s="135">
        <v>45017</v>
      </c>
      <c r="CE328" s="138">
        <v>148</v>
      </c>
      <c r="CF328" s="138"/>
      <c r="CG328" s="138" t="str">
        <f>IF(CH328&lt;&gt;"","В работе","")</f>
        <v/>
      </c>
      <c r="CH328" s="138" t="s">
        <v>197</v>
      </c>
      <c r="CI328" s="127"/>
      <c r="CJ328" s="138"/>
      <c r="CK328" s="138"/>
      <c r="CL328" s="99"/>
      <c r="CM328" s="127">
        <v>60</v>
      </c>
      <c r="CN328" s="154">
        <f>IF(CM328=0,0,(((AP328-AQ328-BR328)*((AD328*(CQ328/100))+(AB328*((100-CQ328)/100)))*9.81/100+CM328)))</f>
        <v>69.814563611999986</v>
      </c>
      <c r="CO328" s="141">
        <f t="shared" si="216"/>
        <v>1.2540000000000011</v>
      </c>
      <c r="CP328" s="142">
        <v>150</v>
      </c>
      <c r="CQ328" s="143">
        <v>99</v>
      </c>
      <c r="CR328" s="138">
        <v>1.8</v>
      </c>
      <c r="CS328" s="139"/>
      <c r="CT328" s="138"/>
      <c r="CU328" s="138">
        <f t="shared" si="235"/>
        <v>1.8</v>
      </c>
      <c r="CV328" s="138">
        <f t="shared" si="236"/>
        <v>1435.406698564592</v>
      </c>
      <c r="CW328" s="138" t="str">
        <f t="shared" si="217"/>
        <v/>
      </c>
      <c r="CX328" s="164">
        <f t="shared" si="237"/>
        <v>1.9185158634354333</v>
      </c>
      <c r="CY328" s="165"/>
      <c r="CZ328" s="136"/>
      <c r="DA328" s="124" t="str">
        <f t="shared" si="218"/>
        <v>ЭЦН</v>
      </c>
      <c r="DB328" s="166">
        <f t="shared" si="219"/>
        <v>1.2540000000000011</v>
      </c>
      <c r="DC328" s="142">
        <f t="shared" si="234"/>
        <v>150</v>
      </c>
      <c r="DD328" s="138">
        <f t="shared" si="250"/>
        <v>99</v>
      </c>
      <c r="DE328" s="138">
        <f t="shared" si="220"/>
        <v>1.8</v>
      </c>
      <c r="DF328" s="139">
        <f t="shared" si="221"/>
        <v>0</v>
      </c>
      <c r="DG328" s="138">
        <f t="shared" si="222"/>
        <v>1435.406698564592</v>
      </c>
      <c r="DH328" s="138">
        <f t="shared" si="223"/>
        <v>69.814563611999986</v>
      </c>
      <c r="DI328" s="167"/>
      <c r="DJ328" s="111">
        <v>44223</v>
      </c>
      <c r="DK328" s="112">
        <v>44214</v>
      </c>
      <c r="DL328" s="113">
        <f t="shared" ca="1" si="240"/>
        <v>890</v>
      </c>
      <c r="DM328" s="114">
        <v>31</v>
      </c>
      <c r="DN328" s="114">
        <v>52</v>
      </c>
      <c r="DO328" s="114">
        <v>32</v>
      </c>
      <c r="DP328" s="114"/>
      <c r="DQ328" s="112"/>
      <c r="DR328" s="114"/>
      <c r="DS328" s="114"/>
      <c r="DT328" s="115">
        <v>60</v>
      </c>
      <c r="DU328" s="116">
        <f t="shared" si="241"/>
        <v>1.8446213586810301</v>
      </c>
      <c r="DV328" s="117">
        <f t="shared" si="242"/>
        <v>1.3570510411544614</v>
      </c>
      <c r="DW328" s="118">
        <f t="shared" si="243"/>
        <v>162.32667956393064</v>
      </c>
      <c r="DX328" s="119">
        <f t="shared" si="224"/>
        <v>99</v>
      </c>
      <c r="DY328" s="115">
        <f t="shared" si="244"/>
        <v>1.9479201547671678</v>
      </c>
      <c r="DZ328" s="117">
        <f t="shared" si="245"/>
        <v>0.10305104115446029</v>
      </c>
      <c r="EA328" s="120">
        <f t="shared" si="245"/>
        <v>12.326679563930639</v>
      </c>
      <c r="EB328" s="119">
        <f t="shared" si="245"/>
        <v>0</v>
      </c>
      <c r="EC328" s="121">
        <f t="shared" si="246"/>
        <v>0.1479201547671678</v>
      </c>
      <c r="ED328" s="122" t="s">
        <v>1380</v>
      </c>
      <c r="EE328" s="124">
        <v>65</v>
      </c>
      <c r="EF328" s="138">
        <v>37</v>
      </c>
      <c r="EG328" s="138">
        <v>36</v>
      </c>
      <c r="EH328" s="138">
        <v>36</v>
      </c>
      <c r="EI328" s="127" t="s">
        <v>195</v>
      </c>
      <c r="EJ328" s="139">
        <v>24</v>
      </c>
      <c r="EK328" s="139">
        <v>0</v>
      </c>
      <c r="EL328" s="139">
        <v>1.2540000000000011</v>
      </c>
      <c r="EM328" s="142">
        <v>150</v>
      </c>
      <c r="EN328" s="138">
        <v>99</v>
      </c>
      <c r="EO328" s="138">
        <v>1.8</v>
      </c>
      <c r="EP328" s="138">
        <v>1435.406698564592</v>
      </c>
      <c r="EQ328" s="138">
        <v>0</v>
      </c>
      <c r="ER328" s="138">
        <v>0</v>
      </c>
      <c r="ES328" s="138">
        <v>69.814563611999986</v>
      </c>
      <c r="ET328" s="154">
        <v>1.9185158634354333</v>
      </c>
      <c r="EU328" s="124">
        <f t="shared" si="225"/>
        <v>65</v>
      </c>
      <c r="EV328" s="138">
        <f t="shared" si="226"/>
        <v>37</v>
      </c>
      <c r="EW328" s="138">
        <f t="shared" si="226"/>
        <v>36</v>
      </c>
      <c r="EX328" s="138">
        <f t="shared" si="226"/>
        <v>36</v>
      </c>
      <c r="EY328" s="138" t="str">
        <f t="shared" si="253"/>
        <v>Постоянный</v>
      </c>
      <c r="EZ328" s="138">
        <f t="shared" si="253"/>
        <v>24</v>
      </c>
      <c r="FA328" s="138">
        <f t="shared" si="253"/>
        <v>0</v>
      </c>
      <c r="FB328" s="139">
        <f t="shared" si="238"/>
        <v>1.2540000000000011</v>
      </c>
      <c r="FC328" s="138">
        <f t="shared" si="238"/>
        <v>150</v>
      </c>
      <c r="FD328" s="138">
        <f t="shared" si="238"/>
        <v>99</v>
      </c>
      <c r="FE328" s="139">
        <f t="shared" si="238"/>
        <v>1.8</v>
      </c>
      <c r="FF328" s="139">
        <f t="shared" si="247"/>
        <v>1435.406698564592</v>
      </c>
      <c r="FG328" s="139">
        <f t="shared" si="227"/>
        <v>0</v>
      </c>
      <c r="FH328" s="139">
        <f t="shared" si="248"/>
        <v>0</v>
      </c>
      <c r="FI328" s="139">
        <f t="shared" si="252"/>
        <v>69.814563611999986</v>
      </c>
      <c r="FJ328" s="168">
        <f t="shared" si="228"/>
        <v>1.9185158634354333</v>
      </c>
      <c r="FK328" s="169">
        <f t="shared" si="229"/>
        <v>0</v>
      </c>
      <c r="FL328" s="138">
        <f t="shared" si="229"/>
        <v>0</v>
      </c>
      <c r="FM328" s="138">
        <f t="shared" si="229"/>
        <v>0</v>
      </c>
      <c r="FN328" s="138">
        <f t="shared" si="229"/>
        <v>0</v>
      </c>
      <c r="FO328" s="138">
        <f t="shared" si="232"/>
        <v>0</v>
      </c>
      <c r="FP328" s="138">
        <f t="shared" si="232"/>
        <v>0</v>
      </c>
      <c r="FQ328" s="149">
        <f t="shared" si="232"/>
        <v>0</v>
      </c>
      <c r="FR328" s="142">
        <f t="shared" si="232"/>
        <v>0</v>
      </c>
      <c r="FS328" s="119">
        <f t="shared" si="232"/>
        <v>0</v>
      </c>
      <c r="FT328" s="121">
        <f t="shared" si="232"/>
        <v>0</v>
      </c>
      <c r="FU328" s="139">
        <f t="shared" si="230"/>
        <v>0</v>
      </c>
      <c r="FV328" s="139">
        <f t="shared" si="230"/>
        <v>0</v>
      </c>
      <c r="FW328" s="139">
        <f t="shared" si="231"/>
        <v>0</v>
      </c>
      <c r="FX328" s="139">
        <f t="shared" si="233"/>
        <v>0</v>
      </c>
      <c r="FY328" s="168">
        <f t="shared" si="214"/>
        <v>0</v>
      </c>
      <c r="FZ328" s="124"/>
      <c r="GA328" s="151"/>
      <c r="GB328" s="124"/>
      <c r="GC328" s="151" t="s">
        <v>394</v>
      </c>
      <c r="GD328" s="1018" t="s">
        <v>238</v>
      </c>
      <c r="GE328" s="1019"/>
      <c r="GF328" s="1019">
        <v>0</v>
      </c>
      <c r="GG328" s="1019"/>
      <c r="GH328" s="1019">
        <v>0</v>
      </c>
      <c r="GI328" s="124"/>
      <c r="GJ328" s="1015">
        <v>0.36784000000000039</v>
      </c>
      <c r="GK328" s="124"/>
      <c r="GL328" s="1015">
        <v>-4.5980000000000132E-2</v>
      </c>
      <c r="GM328" s="1013"/>
      <c r="GN328" s="1015">
        <v>-0.21318000000000015</v>
      </c>
      <c r="GO328" s="1014"/>
      <c r="GP328" s="1015">
        <v>0</v>
      </c>
      <c r="GQ328" s="1014"/>
      <c r="GR328" s="1015">
        <v>0.1337600000000001</v>
      </c>
      <c r="GS328" s="1014"/>
      <c r="GT328" s="1015">
        <v>0</v>
      </c>
      <c r="GU328" s="1014"/>
      <c r="GV328" s="1015">
        <v>0.10299520000000006</v>
      </c>
      <c r="GW328" s="1014"/>
      <c r="GX328" s="1054">
        <v>5.5844800000000139E-2</v>
      </c>
      <c r="GY328" s="1014" t="s">
        <v>204</v>
      </c>
      <c r="GZ328" s="1015">
        <v>-7.2564799999999972</v>
      </c>
      <c r="HA328" s="1014"/>
      <c r="HB328" s="1015">
        <v>0</v>
      </c>
      <c r="HC328" s="1014" t="s">
        <v>204</v>
      </c>
      <c r="HD328" s="1015">
        <v>4.3197499399999906</v>
      </c>
      <c r="HE328" s="1014"/>
      <c r="HF328" s="1015">
        <v>0</v>
      </c>
      <c r="HG328" s="1014"/>
      <c r="HH328" s="1015">
        <v>0</v>
      </c>
      <c r="HI328" s="1014"/>
      <c r="HJ328" s="1015">
        <v>0</v>
      </c>
      <c r="HK328" s="1014" t="s">
        <v>276</v>
      </c>
      <c r="HL328" s="1015">
        <v>-8.7671528999999886</v>
      </c>
      <c r="HM328" s="1014"/>
      <c r="HN328" s="1015">
        <v>0</v>
      </c>
      <c r="HO328" s="1014" t="s">
        <v>204</v>
      </c>
      <c r="HP328" s="1015">
        <v>-3.6213848000000048</v>
      </c>
      <c r="HQ328" s="1014" t="s">
        <v>204</v>
      </c>
      <c r="HR328" s="1015">
        <v>3.0824799999999968</v>
      </c>
      <c r="HS328" s="1014"/>
      <c r="HT328" s="1015">
        <v>0</v>
      </c>
      <c r="HU328" s="1014"/>
      <c r="HV328" s="1015">
        <v>0.87362000000000961</v>
      </c>
      <c r="HW328" s="1014" t="s">
        <v>223</v>
      </c>
      <c r="HX328" s="1015">
        <v>-7.7998799999999946</v>
      </c>
      <c r="HY328" s="1014" t="s">
        <v>221</v>
      </c>
      <c r="HZ328" s="1015">
        <v>-14.972759999999994</v>
      </c>
      <c r="IA328" s="1014" t="s">
        <v>199</v>
      </c>
      <c r="IB328" s="1015">
        <v>25.360060000000004</v>
      </c>
      <c r="IC328" s="1014" t="s">
        <v>199</v>
      </c>
      <c r="ID328" s="1015">
        <v>9.5064067999999935</v>
      </c>
      <c r="IE328" s="1014" t="s">
        <v>1044</v>
      </c>
      <c r="IF328" s="1015">
        <v>10.057581600000006</v>
      </c>
      <c r="IG328" s="1014" t="s">
        <v>221</v>
      </c>
      <c r="IH328" s="1015">
        <v>-10.203296400000013</v>
      </c>
      <c r="II328" s="1014" t="s">
        <v>239</v>
      </c>
      <c r="IJ328" s="1015">
        <v>-11.379632000000008</v>
      </c>
      <c r="IK328" s="1014" t="s">
        <v>223</v>
      </c>
      <c r="IL328" s="1015">
        <v>-11.503359999999994</v>
      </c>
      <c r="IM328" s="1014" t="s">
        <v>1381</v>
      </c>
      <c r="IN328" s="1015">
        <v>25.155239999999999</v>
      </c>
      <c r="IO328" s="1014" t="s">
        <v>1382</v>
      </c>
      <c r="IP328" s="1015">
        <v>39.300360000000005</v>
      </c>
      <c r="IQ328" s="1014"/>
      <c r="IR328" s="1015">
        <v>0</v>
      </c>
      <c r="IS328" s="1014"/>
      <c r="IT328" s="1015">
        <v>0</v>
      </c>
      <c r="IU328" s="1014"/>
      <c r="IV328" s="1015">
        <v>0</v>
      </c>
      <c r="IW328" s="1014"/>
      <c r="IX328" s="1015">
        <v>0</v>
      </c>
      <c r="IY328" s="1014"/>
      <c r="IZ328" s="1015">
        <v>0</v>
      </c>
      <c r="JA328" s="1014" t="s">
        <v>199</v>
      </c>
      <c r="JB328" s="1015">
        <v>-42.836640000000003</v>
      </c>
      <c r="JC328" s="1014" t="s">
        <v>1382</v>
      </c>
      <c r="JD328" s="1015">
        <v>43.515973600000002</v>
      </c>
      <c r="JE328" s="1014" t="s">
        <v>199</v>
      </c>
      <c r="JF328" s="1015">
        <v>-6.5728075600000047</v>
      </c>
      <c r="JG328" s="1014" t="s">
        <v>199</v>
      </c>
      <c r="JH328" s="1015">
        <v>-13.527722295999999</v>
      </c>
      <c r="JI328" s="1014" t="s">
        <v>199</v>
      </c>
      <c r="JJ328" s="1015">
        <v>7.9855522560000018</v>
      </c>
      <c r="JK328" s="1020"/>
      <c r="JL328" s="1020">
        <v>0</v>
      </c>
      <c r="JM328" s="1020" t="s">
        <v>25</v>
      </c>
      <c r="JN328" s="1020">
        <v>16</v>
      </c>
      <c r="JO328" s="1021"/>
      <c r="JP328" s="1020"/>
      <c r="JQ328" s="1021"/>
      <c r="JR328" s="1020"/>
      <c r="JS328" s="1021"/>
      <c r="JT328" s="1020"/>
      <c r="JU328" s="1021"/>
      <c r="JV328" s="1020"/>
      <c r="JW328" s="1021"/>
      <c r="JX328" s="1020"/>
      <c r="JY328" s="1021"/>
      <c r="JZ328" s="1020"/>
      <c r="KA328" s="1021"/>
      <c r="KB328" s="1020"/>
      <c r="KC328" s="1021"/>
      <c r="KD328" s="1020"/>
      <c r="KE328" s="1021"/>
      <c r="KF328" s="1020"/>
      <c r="KG328" s="1021"/>
      <c r="KH328" s="1020"/>
      <c r="KI328" s="1021"/>
      <c r="KJ328" s="1020"/>
      <c r="KK328" s="1021"/>
      <c r="KL328" s="1020"/>
      <c r="KM328" s="1021"/>
      <c r="KN328" s="1020"/>
      <c r="KO328" s="1021"/>
      <c r="KP328" s="1020"/>
      <c r="KQ328" s="1021"/>
      <c r="KR328" s="1020"/>
      <c r="KS328" s="1021"/>
      <c r="KT328" s="1020"/>
      <c r="KU328" s="1021"/>
      <c r="KV328" s="1020"/>
      <c r="KW328" s="1021"/>
      <c r="KX328" s="1020"/>
      <c r="KY328" s="1021"/>
      <c r="KZ328" s="1020"/>
      <c r="LA328" s="1021"/>
      <c r="LB328" s="1020"/>
      <c r="LC328" s="1021"/>
      <c r="LD328" s="1020"/>
      <c r="LE328" s="1021"/>
      <c r="LF328" s="1020"/>
      <c r="LG328" s="1021"/>
      <c r="LH328" s="1020"/>
      <c r="LI328" s="1021"/>
      <c r="LJ328" s="1020"/>
      <c r="LK328" s="1021"/>
      <c r="LL328" s="1020"/>
      <c r="LM328" s="1021"/>
      <c r="LN328" s="1020"/>
      <c r="LO328" s="1021"/>
      <c r="LP328" s="1020"/>
      <c r="LQ328" s="1021"/>
      <c r="LR328" s="1020"/>
      <c r="LS328" s="1021"/>
      <c r="LT328" s="1020"/>
      <c r="LU328" s="1021"/>
      <c r="LV328" s="1020"/>
      <c r="LW328" s="1021"/>
      <c r="LX328" s="1020"/>
      <c r="LY328" s="1009"/>
      <c r="LZ328" s="980"/>
      <c r="MA328" s="1009"/>
      <c r="MB328" s="1022"/>
      <c r="MC328" s="995"/>
      <c r="MD328" s="1015"/>
      <c r="ME328" s="1018" t="s">
        <v>238</v>
      </c>
      <c r="MF328" s="997"/>
      <c r="MG328" s="998"/>
      <c r="MH328" s="878"/>
      <c r="MI328" s="878"/>
      <c r="MJ328" s="878"/>
      <c r="MK328" s="878"/>
      <c r="ML328" s="878"/>
      <c r="MM328" s="878"/>
      <c r="MN328" s="878"/>
      <c r="MO328" s="878"/>
      <c r="MP328" s="878"/>
      <c r="MQ328" s="878"/>
      <c r="MR328" s="878"/>
      <c r="MS328" s="878"/>
      <c r="MT328" s="878"/>
      <c r="MU328" s="878"/>
      <c r="MV328" s="878"/>
      <c r="MW328" s="878"/>
      <c r="MX328" s="878"/>
      <c r="MY328" s="878"/>
      <c r="MZ328" s="878"/>
      <c r="NA328" s="878"/>
      <c r="NB328" s="878"/>
      <c r="NC328" s="878"/>
      <c r="ND328" s="878"/>
      <c r="NE328" s="878"/>
      <c r="NF328" s="878"/>
      <c r="NG328" s="878"/>
      <c r="NH328" s="878"/>
      <c r="NI328" s="878"/>
      <c r="NJ328" s="878"/>
      <c r="NK328" s="878"/>
      <c r="NL328" s="878"/>
      <c r="NM328" s="878"/>
      <c r="NN328" s="999"/>
      <c r="NO328" s="999"/>
      <c r="NP328" s="999"/>
      <c r="NQ328" s="999"/>
      <c r="NR328" s="1000"/>
      <c r="NS328" s="1000"/>
      <c r="NT328" s="1001"/>
      <c r="NU328" s="1000"/>
      <c r="NV328" s="1001"/>
      <c r="NW328" s="999"/>
      <c r="NX328" s="1002"/>
      <c r="NY328" s="999"/>
      <c r="NZ328" s="1001"/>
      <c r="OA328" s="1001"/>
      <c r="OB328" s="999"/>
      <c r="OC328" s="1003"/>
      <c r="OD328" s="1003"/>
      <c r="OE328" s="1001"/>
      <c r="OF328" s="1003"/>
      <c r="OG328" s="1003"/>
      <c r="OH328" s="999"/>
      <c r="OI328" s="999"/>
      <c r="OJ328" s="999"/>
      <c r="OK328" s="999"/>
      <c r="OL328" s="999"/>
      <c r="OM328" s="999"/>
      <c r="ON328" s="999"/>
      <c r="OO328" s="999"/>
      <c r="OP328" s="999"/>
      <c r="OQ328" s="999"/>
      <c r="OR328" s="999"/>
      <c r="OS328" s="999"/>
      <c r="OT328" s="999"/>
      <c r="OU328" s="999"/>
      <c r="OV328" s="999"/>
      <c r="OW328" s="999"/>
      <c r="OX328" s="999"/>
      <c r="OY328" s="999"/>
      <c r="OZ328" s="999"/>
      <c r="PA328" s="999"/>
      <c r="PB328" s="999"/>
      <c r="PC328" s="999"/>
      <c r="PD328" s="999"/>
      <c r="PE328" s="999"/>
      <c r="PF328" s="999"/>
      <c r="PG328" s="999"/>
      <c r="PH328" s="999"/>
      <c r="PI328" s="999"/>
      <c r="PJ328" s="999"/>
      <c r="PK328" s="999"/>
      <c r="PL328" s="999"/>
      <c r="PM328" s="999"/>
      <c r="PN328" s="999"/>
      <c r="PO328" s="999"/>
      <c r="PP328" s="999"/>
      <c r="PQ328" s="999"/>
      <c r="PR328" s="999"/>
      <c r="PS328" s="999"/>
      <c r="PT328" s="999"/>
      <c r="PU328" s="999"/>
      <c r="PV328" s="999"/>
      <c r="PW328" s="999"/>
      <c r="PX328" s="999"/>
      <c r="PY328" s="999"/>
      <c r="PZ328" s="999"/>
      <c r="QA328" s="999"/>
      <c r="QB328" s="999"/>
      <c r="QC328" s="999"/>
      <c r="QD328" s="999"/>
      <c r="QE328" s="999"/>
      <c r="QF328" s="999"/>
      <c r="QG328" s="999"/>
      <c r="QH328" s="999"/>
      <c r="QI328" s="999"/>
      <c r="QJ328" s="999"/>
      <c r="QK328" s="999"/>
      <c r="QL328" s="999"/>
      <c r="QM328" s="999"/>
      <c r="QN328" s="999"/>
      <c r="QO328" s="999"/>
      <c r="QP328" s="999"/>
      <c r="QQ328" s="999"/>
      <c r="QR328" s="999"/>
      <c r="QS328" s="999"/>
      <c r="QT328" s="999"/>
      <c r="QU328" s="999"/>
      <c r="QV328" s="999"/>
      <c r="QW328" s="999"/>
      <c r="QX328" s="1000">
        <f t="shared" si="254"/>
        <v>32.814563611999986</v>
      </c>
      <c r="QY328" s="999"/>
      <c r="QZ328" s="999"/>
      <c r="RA328" s="999"/>
      <c r="RB328" s="999"/>
      <c r="RC328" s="999"/>
      <c r="RD328" s="999"/>
      <c r="RE328" s="999"/>
      <c r="RF328" s="999"/>
      <c r="RG328" s="999"/>
      <c r="RH328" s="999"/>
      <c r="RI328" s="999"/>
      <c r="RJ328" s="999"/>
      <c r="RK328" s="999"/>
      <c r="RL328" s="999"/>
      <c r="RM328" s="999"/>
      <c r="RN328" s="999"/>
      <c r="RO328" s="999"/>
      <c r="RP328" s="999"/>
      <c r="RQ328" s="999"/>
      <c r="RR328" s="999"/>
      <c r="RS328" s="999"/>
      <c r="RT328" s="999"/>
      <c r="RU328" s="999"/>
      <c r="RV328" s="999"/>
      <c r="RW328" s="999"/>
      <c r="RX328" s="999"/>
      <c r="RY328" s="999"/>
      <c r="RZ328" s="999"/>
      <c r="SA328" s="999"/>
      <c r="SB328" s="999"/>
      <c r="SC328" s="999"/>
      <c r="SD328" s="999"/>
      <c r="SE328" s="999"/>
      <c r="SF328" s="999"/>
      <c r="SG328" s="999"/>
      <c r="SH328" s="999"/>
      <c r="SI328" s="999"/>
      <c r="SJ328" s="999"/>
      <c r="SK328" s="999"/>
      <c r="SL328" s="999"/>
      <c r="SM328" s="999"/>
      <c r="SN328" s="999"/>
      <c r="SO328" s="999"/>
      <c r="SP328" s="999"/>
      <c r="SQ328" s="999"/>
      <c r="SR328" s="999"/>
      <c r="SS328" s="999"/>
      <c r="ST328" s="999"/>
      <c r="SU328" s="999"/>
      <c r="SV328" s="999"/>
      <c r="SW328" s="999"/>
      <c r="SX328" s="999"/>
      <c r="SY328" s="999"/>
      <c r="SZ328" s="999"/>
      <c r="TA328" s="999"/>
      <c r="TB328" s="999"/>
      <c r="TC328" s="999"/>
      <c r="TD328" s="999"/>
      <c r="TE328" s="999"/>
      <c r="TF328" s="999"/>
      <c r="TG328" s="999"/>
      <c r="TH328" s="999"/>
      <c r="TI328" s="999"/>
      <c r="TJ328" s="999"/>
      <c r="TK328" s="999"/>
      <c r="TL328" s="999"/>
      <c r="TM328" s="999"/>
      <c r="TN328" s="999"/>
      <c r="TO328" s="999"/>
      <c r="TP328" s="999"/>
      <c r="TQ328" s="999"/>
      <c r="TR328" s="999"/>
      <c r="TS328" s="999"/>
      <c r="TT328" s="999"/>
      <c r="TU328" s="999"/>
      <c r="TV328" s="999"/>
      <c r="TW328" s="999"/>
      <c r="TX328" s="999"/>
      <c r="TY328" s="999"/>
      <c r="TZ328" s="999"/>
      <c r="UA328" s="999"/>
      <c r="UB328" s="999"/>
      <c r="UC328" s="999"/>
      <c r="UD328" s="999"/>
      <c r="UE328" s="999"/>
      <c r="UF328" s="999"/>
      <c r="UG328" s="999"/>
      <c r="UH328" s="999"/>
      <c r="UI328" s="999"/>
      <c r="UJ328" s="999"/>
      <c r="UK328" s="999"/>
      <c r="UL328" s="999"/>
      <c r="UM328" s="999"/>
      <c r="UN328" s="999"/>
      <c r="UO328" s="999"/>
      <c r="UP328" s="999"/>
      <c r="UQ328" s="999"/>
      <c r="UR328" s="999"/>
      <c r="US328" s="999"/>
      <c r="UT328" s="999"/>
      <c r="UU328" s="999"/>
      <c r="UV328" s="999"/>
      <c r="UW328" s="999"/>
      <c r="UX328" s="999"/>
      <c r="UY328" s="999"/>
      <c r="UZ328" s="999"/>
      <c r="VA328" s="999"/>
      <c r="VB328" s="999"/>
      <c r="VC328" s="999"/>
      <c r="VD328" s="999"/>
      <c r="VE328" s="999"/>
      <c r="VF328" s="999"/>
      <c r="VG328" s="999"/>
      <c r="VH328" s="999"/>
      <c r="VI328" s="999"/>
      <c r="VJ328" s="999"/>
      <c r="VK328" s="999"/>
      <c r="VL328" s="999"/>
      <c r="VM328" s="999"/>
      <c r="VN328" s="999"/>
      <c r="VO328" s="999"/>
      <c r="VP328" s="999"/>
      <c r="VQ328" s="999"/>
      <c r="VR328" s="999"/>
      <c r="VS328" s="999"/>
      <c r="VT328" s="999"/>
      <c r="VU328" s="999"/>
      <c r="VV328" s="999"/>
      <c r="VW328" s="999"/>
      <c r="VX328" s="999"/>
      <c r="VY328" s="999"/>
      <c r="VZ328" s="999"/>
      <c r="WA328" s="999"/>
      <c r="WB328" s="999"/>
      <c r="WC328" s="999"/>
      <c r="WD328" s="999"/>
      <c r="WE328" s="999"/>
      <c r="WF328" s="999"/>
      <c r="WG328" s="999"/>
      <c r="WH328" s="999"/>
      <c r="WI328" s="999"/>
      <c r="WJ328" s="999"/>
      <c r="WK328" s="999"/>
      <c r="WL328" s="999"/>
      <c r="WM328" s="999"/>
      <c r="WN328" s="999"/>
      <c r="WO328" s="999"/>
      <c r="WP328" s="999"/>
      <c r="WQ328" s="999"/>
      <c r="WR328" s="999"/>
      <c r="WS328" s="999"/>
      <c r="WT328" s="999"/>
      <c r="WU328" s="999"/>
      <c r="WV328" s="999"/>
      <c r="WW328" s="999"/>
      <c r="WX328" s="999"/>
      <c r="WY328" s="999"/>
      <c r="WZ328" s="999"/>
      <c r="XA328" s="999"/>
      <c r="XB328" s="999"/>
      <c r="XC328" s="999"/>
      <c r="XD328" s="999"/>
      <c r="XE328" s="999"/>
      <c r="XF328" s="999"/>
      <c r="XG328" s="999"/>
      <c r="XH328" s="999"/>
      <c r="XI328" s="999"/>
      <c r="XJ328" s="999"/>
      <c r="XK328" s="999"/>
      <c r="XL328" s="999"/>
      <c r="XM328" s="999"/>
      <c r="XN328" s="999"/>
      <c r="XO328" s="999"/>
      <c r="XP328" s="999"/>
      <c r="XQ328" s="999"/>
      <c r="XR328" s="999"/>
      <c r="XS328" s="999"/>
      <c r="XT328" s="999"/>
      <c r="XU328" s="999"/>
      <c r="XV328" s="999"/>
      <c r="XW328" s="999"/>
      <c r="XX328" s="999"/>
      <c r="XY328" s="999"/>
      <c r="XZ328" s="999"/>
      <c r="YA328" s="999"/>
      <c r="YB328" s="999"/>
      <c r="YC328" s="999"/>
      <c r="YD328" s="999"/>
      <c r="YE328" s="999"/>
      <c r="YF328" s="999"/>
      <c r="YG328" s="999"/>
      <c r="YH328" s="999"/>
      <c r="YI328" s="999"/>
      <c r="YJ328" s="999"/>
      <c r="YK328" s="999"/>
      <c r="YL328" s="999"/>
      <c r="YM328" s="999"/>
      <c r="YN328" s="999"/>
      <c r="YO328" s="999"/>
      <c r="YP328" s="999"/>
      <c r="YQ328" s="999"/>
      <c r="YR328" s="999"/>
      <c r="YS328" s="999"/>
      <c r="YT328" s="999"/>
      <c r="YU328" s="999"/>
      <c r="YV328" s="999"/>
      <c r="YW328" s="999"/>
      <c r="YX328" s="999"/>
      <c r="YY328" s="999"/>
      <c r="YZ328" s="999"/>
      <c r="ZA328" s="999"/>
      <c r="ZB328" s="999"/>
      <c r="ZC328" s="999"/>
      <c r="ZD328" s="999"/>
      <c r="ZE328" s="999"/>
      <c r="ZF328" s="999"/>
      <c r="ZG328" s="999"/>
      <c r="ZH328" s="999"/>
      <c r="ZI328" s="999"/>
      <c r="ZJ328" s="999"/>
      <c r="ZK328" s="999"/>
      <c r="ZL328" s="999"/>
      <c r="ZM328" s="999"/>
      <c r="ZN328" s="999"/>
      <c r="ZO328" s="999"/>
      <c r="ZP328" s="999"/>
      <c r="ZQ328" s="999"/>
      <c r="ZR328" s="999"/>
      <c r="ZS328" s="999"/>
      <c r="ZT328" s="999"/>
      <c r="ZU328" s="999"/>
      <c r="ZV328" s="999"/>
      <c r="ZW328" s="999"/>
      <c r="ZX328" s="999"/>
      <c r="ZY328" s="999"/>
      <c r="ZZ328" s="999"/>
      <c r="AAA328" s="999"/>
      <c r="AAB328" s="999"/>
      <c r="AAC328" s="999"/>
      <c r="AAD328" s="999"/>
      <c r="AAE328" s="999"/>
      <c r="AAF328" s="999"/>
      <c r="AAG328" s="999"/>
      <c r="AAH328" s="999"/>
      <c r="AAI328" s="999"/>
      <c r="AAJ328" s="999"/>
      <c r="AAK328" s="999"/>
      <c r="AAL328" s="999"/>
      <c r="AAM328" s="999"/>
      <c r="AAN328" s="999"/>
      <c r="AAO328" s="999"/>
      <c r="AAP328" s="999"/>
      <c r="AAQ328" s="999"/>
      <c r="AAR328" s="999"/>
      <c r="AAS328" s="999"/>
      <c r="AAT328" s="999"/>
      <c r="AAU328" s="999"/>
      <c r="AAV328" s="999"/>
      <c r="AAW328" s="999"/>
      <c r="AAX328" s="999"/>
      <c r="AAY328" s="999"/>
      <c r="AAZ328" s="999"/>
      <c r="ABA328" s="999"/>
      <c r="ABB328" s="999"/>
      <c r="ABC328" s="999"/>
      <c r="ABD328" s="999"/>
      <c r="ABE328" s="999"/>
      <c r="ABF328" s="999"/>
      <c r="ABG328" s="999"/>
      <c r="ABH328" s="999"/>
      <c r="ABI328" s="999"/>
      <c r="ABJ328" s="999"/>
      <c r="ABK328" s="999"/>
      <c r="ABL328" s="999"/>
      <c r="ABM328" s="999"/>
      <c r="ABN328" s="999"/>
      <c r="ABO328" s="999"/>
      <c r="ABP328" s="999"/>
      <c r="ABQ328" s="999"/>
      <c r="ABR328" s="999"/>
      <c r="ABS328" s="999"/>
      <c r="ABT328" s="999"/>
      <c r="ABU328" s="999"/>
      <c r="ABV328" s="999"/>
      <c r="ABW328" s="999"/>
      <c r="ABX328" s="999"/>
      <c r="ABY328" s="999"/>
      <c r="ABZ328" s="999"/>
      <c r="ACA328" s="999"/>
      <c r="ACB328" s="999"/>
      <c r="ACC328" s="999"/>
      <c r="ACD328" s="999"/>
      <c r="ACE328" s="999"/>
      <c r="ACF328" s="999"/>
      <c r="ACG328" s="999"/>
      <c r="ACH328" s="999"/>
      <c r="ACI328" s="999"/>
      <c r="ACJ328" s="999"/>
      <c r="ACK328" s="999"/>
      <c r="ACL328" s="999"/>
      <c r="ACM328" s="999"/>
      <c r="ACN328" s="999"/>
      <c r="ACO328" s="999"/>
      <c r="ACP328" s="999"/>
      <c r="ACQ328" s="999"/>
      <c r="ACR328" s="999"/>
      <c r="ACS328" s="999"/>
      <c r="ACT328" s="999"/>
      <c r="ACU328" s="999"/>
      <c r="ACV328" s="999"/>
      <c r="ACW328" s="999"/>
      <c r="ACX328" s="999"/>
      <c r="ACY328" s="999"/>
      <c r="ACZ328" s="999"/>
      <c r="ADA328" s="999"/>
      <c r="ADB328" s="999"/>
      <c r="ADC328" s="999"/>
      <c r="ADD328" s="999"/>
      <c r="ADE328" s="999"/>
      <c r="ADF328" s="999"/>
      <c r="ADG328" s="999"/>
      <c r="ADH328" s="999"/>
      <c r="ADI328" s="999"/>
      <c r="ADJ328" s="999"/>
      <c r="ADK328" s="999"/>
      <c r="ADL328" s="999"/>
      <c r="ADM328" s="999"/>
      <c r="ADN328" s="999"/>
      <c r="ADO328" s="999"/>
      <c r="ADP328" s="999"/>
      <c r="ADQ328" s="999"/>
      <c r="ADR328" s="999"/>
      <c r="ADS328" s="999"/>
      <c r="ADT328" s="999"/>
      <c r="ADU328" s="999"/>
      <c r="ADV328" s="999"/>
      <c r="ADW328" s="999"/>
      <c r="ADX328" s="999"/>
      <c r="ADY328" s="999"/>
      <c r="ADZ328" s="999"/>
      <c r="AEA328" s="999"/>
      <c r="AEB328" s="999"/>
      <c r="AEC328" s="999"/>
      <c r="AED328" s="999"/>
      <c r="AEE328" s="999"/>
      <c r="AEF328" s="999"/>
      <c r="AEG328" s="999"/>
      <c r="AEH328" s="999"/>
      <c r="AEI328" s="999"/>
      <c r="AEJ328" s="999"/>
      <c r="AEK328" s="999"/>
      <c r="AEL328" s="999"/>
      <c r="AEM328" s="999"/>
      <c r="AEN328" s="999"/>
      <c r="AEO328" s="999"/>
      <c r="AEP328" s="999"/>
      <c r="AEQ328" s="999"/>
      <c r="AER328" s="999"/>
      <c r="AES328" s="999"/>
      <c r="AET328" s="999"/>
      <c r="AEU328" s="999"/>
      <c r="AEV328" s="999"/>
      <c r="AEW328" s="999"/>
      <c r="AEX328" s="999"/>
      <c r="AEY328" s="999"/>
      <c r="AEZ328" s="999"/>
      <c r="AFA328" s="999"/>
      <c r="AFB328" s="999"/>
      <c r="AFC328" s="999"/>
      <c r="AFD328" s="999"/>
      <c r="AFE328" s="999"/>
      <c r="AFF328" s="999"/>
      <c r="AFG328" s="999"/>
      <c r="AFH328" s="999"/>
      <c r="AFI328" s="999"/>
      <c r="AFJ328" s="999"/>
      <c r="AFK328" s="999"/>
      <c r="AFL328" s="999"/>
      <c r="AFM328" s="999"/>
      <c r="AFN328" s="999"/>
      <c r="AFO328" s="999"/>
      <c r="AFP328" s="999"/>
      <c r="AFQ328" s="999"/>
      <c r="AFR328" s="999"/>
      <c r="AFS328" s="999"/>
      <c r="AFT328" s="999"/>
      <c r="AFU328" s="999"/>
      <c r="AFV328" s="999"/>
      <c r="AFW328" s="999"/>
      <c r="AFX328" s="999"/>
      <c r="AFY328" s="999"/>
      <c r="AFZ328" s="999"/>
      <c r="AGA328" s="999"/>
      <c r="AGB328" s="999"/>
      <c r="AGC328" s="999"/>
      <c r="AGD328" s="999"/>
      <c r="AGE328" s="999"/>
      <c r="AGF328" s="999"/>
      <c r="AGG328" s="999"/>
      <c r="AGH328" s="999"/>
      <c r="AGI328" s="999"/>
      <c r="AGJ328" s="999"/>
      <c r="AGK328" s="999"/>
      <c r="AGL328" s="999"/>
      <c r="AGM328" s="999"/>
      <c r="AGN328" s="999"/>
      <c r="AGO328" s="999"/>
      <c r="AGP328" s="999"/>
      <c r="AGQ328" s="999"/>
      <c r="AGR328" s="999"/>
      <c r="AGS328" s="999"/>
      <c r="AGT328" s="999"/>
      <c r="AGU328" s="999"/>
      <c r="AGV328" s="999"/>
      <c r="AGW328" s="999"/>
      <c r="AGX328" s="999"/>
      <c r="AGY328" s="999"/>
      <c r="AGZ328" s="999"/>
      <c r="AHA328" s="999"/>
      <c r="AHB328" s="999"/>
      <c r="AHC328" s="999"/>
      <c r="AHD328" s="999"/>
      <c r="AHE328" s="999"/>
      <c r="AHF328" s="999"/>
      <c r="AHG328" s="999"/>
      <c r="AHH328" s="999"/>
      <c r="AHI328" s="999"/>
      <c r="AHJ328" s="999"/>
      <c r="AHK328" s="999"/>
      <c r="AHL328" s="999"/>
      <c r="AHM328" s="999"/>
      <c r="AHN328" s="999"/>
      <c r="AHO328" s="999"/>
      <c r="AHP328" s="999"/>
      <c r="AHQ328" s="999"/>
      <c r="AHR328" s="999"/>
      <c r="AHS328" s="999"/>
      <c r="AHT328" s="999"/>
      <c r="AHU328" s="999"/>
      <c r="AHV328" s="999"/>
      <c r="AHW328" s="999"/>
      <c r="AHX328" s="999"/>
      <c r="AHY328" s="999"/>
      <c r="AHZ328" s="999"/>
      <c r="AIA328" s="999"/>
      <c r="AIB328" s="999"/>
      <c r="AIC328" s="999"/>
      <c r="AID328" s="999"/>
      <c r="AIE328" s="999"/>
      <c r="AIF328" s="999"/>
      <c r="AIG328" s="999"/>
      <c r="AIH328" s="999"/>
      <c r="AII328" s="999"/>
      <c r="AIJ328" s="999"/>
      <c r="AIK328" s="999"/>
      <c r="AIL328" s="999"/>
      <c r="AIM328" s="999"/>
      <c r="AIN328" s="999"/>
      <c r="AIO328" s="999"/>
      <c r="AIP328" s="999"/>
      <c r="AIQ328" s="999"/>
      <c r="AIR328" s="999"/>
      <c r="AIS328" s="999"/>
      <c r="AIT328" s="999"/>
      <c r="AIU328" s="999"/>
      <c r="AIV328" s="999"/>
      <c r="AIW328" s="999"/>
      <c r="AIX328" s="999"/>
      <c r="AIY328" s="999"/>
      <c r="AIZ328" s="999"/>
      <c r="AJA328" s="999"/>
      <c r="AJB328" s="999"/>
      <c r="AJC328" s="999"/>
      <c r="AJD328" s="999"/>
      <c r="AJE328" s="999"/>
      <c r="AJF328" s="999"/>
      <c r="AJG328" s="999"/>
      <c r="AJH328" s="999"/>
      <c r="AJI328" s="999"/>
      <c r="AJJ328" s="999"/>
      <c r="AJK328" s="999"/>
      <c r="AJL328" s="999"/>
      <c r="AJM328" s="999"/>
      <c r="AJN328" s="999"/>
      <c r="AJO328" s="999"/>
      <c r="AJP328" s="999"/>
      <c r="AJQ328" s="999"/>
      <c r="AJR328" s="999"/>
      <c r="AJS328" s="999"/>
      <c r="AJT328" s="999"/>
      <c r="AJU328" s="999"/>
      <c r="AJV328" s="999"/>
      <c r="AJW328" s="999"/>
      <c r="AJX328" s="999"/>
      <c r="AJY328" s="999"/>
      <c r="AJZ328" s="999"/>
      <c r="AKA328" s="999"/>
      <c r="AKB328" s="999"/>
      <c r="AKC328" s="999"/>
      <c r="AKD328" s="999"/>
      <c r="AKE328" s="999"/>
      <c r="AKF328" s="999"/>
      <c r="AKG328" s="999"/>
      <c r="AKH328" s="999"/>
      <c r="AKI328" s="999"/>
      <c r="AKJ328" s="999"/>
      <c r="AKK328" s="999"/>
      <c r="AKL328" s="999"/>
      <c r="AKM328" s="999"/>
      <c r="AKN328" s="999"/>
      <c r="AKO328" s="999"/>
      <c r="AKP328" s="999"/>
      <c r="AKQ328" s="999"/>
      <c r="AKR328" s="999"/>
      <c r="AKS328" s="999"/>
      <c r="AKT328" s="999"/>
      <c r="AKU328" s="999"/>
      <c r="AKV328" s="999"/>
      <c r="AKW328" s="999"/>
      <c r="AKX328" s="999"/>
      <c r="AKY328" s="999"/>
      <c r="AKZ328" s="999"/>
      <c r="ALA328" s="999"/>
      <c r="ALB328" s="999"/>
      <c r="ALC328" s="999"/>
      <c r="ALD328" s="999"/>
      <c r="ALE328" s="999"/>
      <c r="ALF328" s="999"/>
      <c r="ALG328" s="999"/>
      <c r="ALH328" s="999"/>
      <c r="ALI328" s="999"/>
      <c r="ALJ328" s="999"/>
      <c r="ALK328" s="999"/>
      <c r="ALL328" s="999"/>
      <c r="ALM328" s="999"/>
      <c r="ALN328" s="999"/>
      <c r="ALO328" s="999"/>
      <c r="ALP328" s="999"/>
      <c r="ALQ328" s="999"/>
      <c r="ALR328" s="999"/>
      <c r="ALS328" s="999"/>
      <c r="ALT328" s="999"/>
      <c r="ALU328" s="999"/>
      <c r="ALV328" s="999"/>
      <c r="ALW328" s="999"/>
      <c r="ALX328" s="999"/>
      <c r="ALY328" s="999"/>
      <c r="ALZ328" s="999"/>
      <c r="AMA328" s="999"/>
      <c r="AMB328" s="999"/>
      <c r="AMC328" s="999"/>
      <c r="AMD328" s="999"/>
      <c r="AME328" s="999"/>
      <c r="AMF328" s="999"/>
      <c r="AMG328" s="999"/>
      <c r="AMH328" s="999"/>
      <c r="AMI328" s="999"/>
      <c r="AMJ328" s="999"/>
      <c r="AMK328" s="999"/>
      <c r="AML328" s="999"/>
      <c r="AMM328" s="999"/>
      <c r="AMN328" s="999"/>
      <c r="AMO328" s="999"/>
      <c r="AMP328" s="999"/>
      <c r="AMQ328" s="999"/>
      <c r="AMR328" s="999"/>
      <c r="AMS328" s="999"/>
      <c r="AMT328" s="999"/>
      <c r="AMU328" s="999"/>
      <c r="AMV328" s="999"/>
      <c r="AMW328" s="999"/>
      <c r="AMX328" s="999"/>
      <c r="AMY328" s="999"/>
      <c r="AMZ328" s="999"/>
      <c r="ANA328" s="999"/>
      <c r="ANB328" s="999"/>
      <c r="ANC328" s="999"/>
      <c r="AND328" s="999"/>
      <c r="ANE328" s="999"/>
      <c r="ANF328" s="999"/>
      <c r="ANG328" s="999"/>
      <c r="ANH328" s="999"/>
      <c r="ANI328" s="999"/>
      <c r="ANJ328" s="999"/>
      <c r="ANK328" s="999"/>
      <c r="ANL328" s="999"/>
      <c r="ANM328" s="999"/>
      <c r="ANN328" s="999"/>
      <c r="ANO328" s="999"/>
      <c r="ANP328" s="999"/>
      <c r="ANQ328" s="999"/>
      <c r="ANR328" s="999"/>
      <c r="ANS328" s="999"/>
      <c r="ANT328" s="999"/>
      <c r="ANU328" s="999"/>
      <c r="ANV328" s="999"/>
      <c r="ANW328" s="999"/>
      <c r="ANX328" s="999"/>
      <c r="ANY328" s="999"/>
      <c r="ANZ328" s="999"/>
      <c r="AOA328" s="999"/>
      <c r="AOB328" s="999"/>
      <c r="AOC328" s="999"/>
      <c r="AOD328" s="999"/>
      <c r="AOE328" s="999"/>
      <c r="AOF328" s="999"/>
      <c r="AOG328" s="999"/>
      <c r="AOH328" s="999"/>
      <c r="AOI328" s="999"/>
      <c r="AOJ328" s="999"/>
      <c r="AOK328" s="999"/>
      <c r="AOL328" s="999"/>
      <c r="AOM328" s="999"/>
      <c r="AON328" s="999"/>
      <c r="AOO328" s="999"/>
      <c r="AOP328" s="999"/>
      <c r="AOQ328" s="999"/>
      <c r="AOR328" s="999"/>
      <c r="AOS328" s="999"/>
      <c r="AOT328" s="999"/>
      <c r="AOU328" s="999"/>
      <c r="AOV328" s="999"/>
      <c r="AOW328" s="999"/>
      <c r="AOX328" s="999"/>
      <c r="AOY328" s="999"/>
      <c r="AOZ328" s="999"/>
      <c r="APA328" s="999"/>
      <c r="APB328" s="999"/>
      <c r="APC328" s="999"/>
      <c r="APD328" s="999"/>
      <c r="APE328" s="999"/>
      <c r="APF328" s="999"/>
      <c r="APG328" s="999"/>
      <c r="APH328" s="999"/>
      <c r="API328" s="999"/>
      <c r="APJ328" s="999"/>
      <c r="APK328" s="999"/>
      <c r="APL328" s="999"/>
      <c r="APM328" s="999"/>
      <c r="APN328" s="999"/>
      <c r="APO328" s="999"/>
      <c r="APP328" s="999"/>
      <c r="APQ328" s="999"/>
      <c r="APR328" s="999"/>
      <c r="APS328" s="999"/>
      <c r="APT328" s="999"/>
      <c r="APU328" s="999"/>
      <c r="APV328" s="999"/>
      <c r="APW328" s="999"/>
      <c r="APX328" s="999"/>
      <c r="APY328" s="999"/>
      <c r="APZ328" s="999"/>
      <c r="AQA328" s="999"/>
      <c r="AQB328" s="999"/>
      <c r="AQC328" s="999"/>
      <c r="AQD328" s="999"/>
      <c r="AQE328" s="999"/>
      <c r="AQF328" s="999"/>
      <c r="AQG328" s="999"/>
      <c r="AQH328" s="999"/>
      <c r="AQI328" s="999"/>
      <c r="AQJ328" s="999"/>
      <c r="AQK328" s="999"/>
      <c r="AQL328" s="999"/>
      <c r="AQM328" s="999"/>
      <c r="AQN328" s="999"/>
      <c r="AQO328" s="999"/>
      <c r="AQP328" s="999"/>
      <c r="AQQ328" s="999"/>
      <c r="AQR328" s="999"/>
      <c r="AQS328" s="999"/>
      <c r="AQT328" s="999"/>
      <c r="AQU328" s="999"/>
      <c r="AQV328" s="999"/>
      <c r="AQW328" s="999"/>
      <c r="AQX328" s="999"/>
      <c r="AQY328" s="999"/>
      <c r="AQZ328" s="999"/>
      <c r="ARA328" s="999"/>
      <c r="ARB328" s="999"/>
      <c r="ARC328" s="999"/>
      <c r="ARD328" s="999"/>
      <c r="ARE328" s="999"/>
      <c r="ARF328" s="999"/>
      <c r="ARG328" s="999"/>
      <c r="ARH328" s="999"/>
      <c r="ARI328" s="999"/>
      <c r="ARJ328" s="999"/>
      <c r="ARK328" s="999"/>
      <c r="ARL328" s="999"/>
      <c r="ARM328" s="999"/>
      <c r="ARN328" s="999"/>
      <c r="ARO328" s="999"/>
      <c r="ARP328" s="999"/>
      <c r="ARQ328" s="999"/>
      <c r="ARR328" s="999"/>
      <c r="ARS328" s="999"/>
      <c r="ART328" s="999"/>
      <c r="ARU328" s="999"/>
      <c r="ARV328" s="999"/>
      <c r="ARW328" s="999"/>
      <c r="ARX328" s="999"/>
      <c r="ARY328" s="999"/>
      <c r="ARZ328" s="999"/>
      <c r="ASA328" s="999"/>
      <c r="ASB328" s="999"/>
      <c r="ASC328" s="999"/>
      <c r="ASD328" s="999"/>
      <c r="ASE328" s="999"/>
      <c r="ASF328" s="999"/>
      <c r="ASG328" s="999"/>
      <c r="ASH328" s="999"/>
      <c r="ASI328" s="999"/>
      <c r="ASJ328" s="999"/>
      <c r="ASK328" s="999"/>
      <c r="ASL328" s="999"/>
      <c r="ASM328" s="999"/>
      <c r="ASN328" s="999"/>
      <c r="ASO328" s="999"/>
      <c r="ASP328" s="999"/>
      <c r="ASQ328" s="999"/>
      <c r="ASR328" s="999"/>
      <c r="ASU328" s="1023" t="s">
        <v>225</v>
      </c>
    </row>
    <row r="329" spans="1:1191" ht="21" customHeight="1" x14ac:dyDescent="0.25">
      <c r="A329" s="982">
        <f t="shared" si="215"/>
        <v>1346</v>
      </c>
      <c r="B329" s="124">
        <f>SUBTOTAL(103,$J$29:J329)</f>
        <v>301</v>
      </c>
      <c r="C329" s="126">
        <v>45096</v>
      </c>
      <c r="D329" s="124" t="s">
        <v>176</v>
      </c>
      <c r="E329" s="127" t="s">
        <v>177</v>
      </c>
      <c r="F329" s="128" t="s">
        <v>177</v>
      </c>
      <c r="G329" s="127" t="s">
        <v>178</v>
      </c>
      <c r="H329" s="127" t="s">
        <v>421</v>
      </c>
      <c r="I329" s="127" t="s">
        <v>560</v>
      </c>
      <c r="J329" s="152">
        <v>1346</v>
      </c>
      <c r="K329" s="127" t="s">
        <v>1228</v>
      </c>
      <c r="L329" s="130">
        <v>43902</v>
      </c>
      <c r="M329" s="127" t="s">
        <v>230</v>
      </c>
      <c r="N329" s="127" t="s">
        <v>465</v>
      </c>
      <c r="O329" s="127" t="s">
        <v>185</v>
      </c>
      <c r="P329" s="127" t="s">
        <v>208</v>
      </c>
      <c r="Q329" s="85" t="str">
        <f t="shared" si="249"/>
        <v/>
      </c>
      <c r="R329" s="130"/>
      <c r="S329" s="128"/>
      <c r="T329" s="131"/>
      <c r="U329" s="132">
        <v>203</v>
      </c>
      <c r="V329" s="121">
        <v>218.2</v>
      </c>
      <c r="W329" s="116">
        <v>0.98</v>
      </c>
      <c r="X329" s="116">
        <v>1.66</v>
      </c>
      <c r="Y329" s="116">
        <f t="shared" si="239"/>
        <v>1.1440225035161744</v>
      </c>
      <c r="Z329" s="133">
        <v>1.454</v>
      </c>
      <c r="AA329" s="133">
        <v>0.83599999999999997</v>
      </c>
      <c r="AB329" s="133">
        <v>0.72</v>
      </c>
      <c r="AC329" s="121">
        <v>34.299999999999997</v>
      </c>
      <c r="AD329" s="134">
        <v>1.17</v>
      </c>
      <c r="AE329" s="124">
        <v>177.8</v>
      </c>
      <c r="AF329" s="128">
        <v>9.19</v>
      </c>
      <c r="AG329" s="128">
        <v>2314</v>
      </c>
      <c r="AH329" s="127">
        <v>2924</v>
      </c>
      <c r="AI329" s="127">
        <v>2924</v>
      </c>
      <c r="AJ329" s="135"/>
      <c r="AK329" s="128"/>
      <c r="AL329" s="131"/>
      <c r="AM329" s="124" t="s">
        <v>232</v>
      </c>
      <c r="AN329" s="136" t="s">
        <v>1383</v>
      </c>
      <c r="AO329" s="137">
        <v>84</v>
      </c>
      <c r="AP329" s="128">
        <v>2314</v>
      </c>
      <c r="AQ329" s="128">
        <v>458.56</v>
      </c>
      <c r="AR329" s="128"/>
      <c r="AS329" s="128"/>
      <c r="AT329" s="122"/>
      <c r="AU329" s="124" t="s">
        <v>189</v>
      </c>
      <c r="AV329" s="115">
        <f>VLOOKUP(J329,'[63]ТР нефть'!$J$28:$BP$638,39,0)</f>
        <v>560.99998974599998</v>
      </c>
      <c r="AW329" s="115" t="str">
        <f>VLOOKUP(J329,'[63]ТР нефть'!$J$28:$BP$638,40,0)</f>
        <v>ГП</v>
      </c>
      <c r="AX329" s="115">
        <f>VLOOKUP(J329,'[63]ТР нефть'!$J$28:$BP$638,41,0)</f>
        <v>1152.000008789</v>
      </c>
      <c r="AY329" s="115" t="str">
        <f>VLOOKUP(J329,'[63]ТР нефть'!$J$28:$BP$638,42,0)</f>
        <v>ГП</v>
      </c>
      <c r="AZ329" s="115">
        <f>VLOOKUP(J329,'[63]ТР нефть'!$J$28:$BP$638,43,0)</f>
        <v>1626.9999269530001</v>
      </c>
      <c r="BA329" s="115" t="str">
        <f>VLOOKUP(J329,'[63]ТР нефть'!$J$28:$BP$638,44,0)</f>
        <v>ГП</v>
      </c>
      <c r="BB329" s="115">
        <f>VLOOKUP(J329,'[63]ТР нефть'!$J$28:$BP$638,45,0)</f>
        <v>1990.000058203</v>
      </c>
      <c r="BC329" s="115" t="str">
        <f>VLOOKUP(J329,'[63]ТР нефть'!$J$28:$BP$638,46,0)</f>
        <v>ЦКсОК 5/16</v>
      </c>
      <c r="BD329" s="115" t="str">
        <f>VLOOKUP(J329,'[63]ТР нефть'!$J$28:$BP$638,47,0)</f>
        <v>-</v>
      </c>
      <c r="BE329" s="115" t="str">
        <f>VLOOKUP(J329,'[63]ТР нефть'!$J$28:$BP$638,48,0)</f>
        <v>-</v>
      </c>
      <c r="BF329" s="115" t="str">
        <f>VLOOKUP(J329,'[63]ТР нефть'!$J$28:$BP$638,49,0)</f>
        <v>-</v>
      </c>
      <c r="BG329" s="115" t="str">
        <f>VLOOKUP(J329,'[63]ТР нефть'!$J$28:$BP$638,50,0)</f>
        <v>-</v>
      </c>
      <c r="BH329" s="115">
        <f>VLOOKUP(J329,'[63]ТР нефть'!$J$28:$BP$638,51,0)</f>
        <v>2000</v>
      </c>
      <c r="BI329" s="115" t="str">
        <f>VLOOKUP(J329,'[63]ТР нефть'!$J$28:$BP$638,52,0)</f>
        <v>закрыт</v>
      </c>
      <c r="BJ329" s="115" t="str">
        <f>IF(IFERROR(VLOOKUP(J329,'[63]ТР нефть'!$J$28:$BP$638,53,0),"-")=0,"-",IFERROR(VLOOKUP(J329,'[63]ТР нефть'!$J$28:$BP$638,53,0),"-"))</f>
        <v>-</v>
      </c>
      <c r="BK329" s="138" t="str">
        <f>IF(IFERROR(VLOOKUP(J329,'[63]ТР нефть'!$J$28:$BP$638,54,0),"-")=0,"-",IFERROR(VLOOKUP(J329,'[63]ТР нефть'!$J$28:$BP$638,54,0),"-"))</f>
        <v>-</v>
      </c>
      <c r="BL329" s="138" t="str">
        <f>IF(IFERROR(VLOOKUP(J329,'[63]ТР нефть'!$J$28:$BP$638,55,0),"-")=0,"-",IFERROR(VLOOKUP(J329,'[63]ТР нефть'!$J$28:$BP$638,55,0),"-"))</f>
        <v>-</v>
      </c>
      <c r="BM329" s="138" t="str">
        <f>IF(IFERROR(VLOOKUP(J329,'[63]ТР нефть'!$J$28:$BP$638,56,0),"-")=0,"-",IFERROR(VLOOKUP(J329,'[63]ТР нефть'!$J$28:$BP$638,56,0),"-"))</f>
        <v>-</v>
      </c>
      <c r="BN329" s="138" t="str">
        <f>IF(IFERROR(VLOOKUP(J329,'[63]ТР нефть'!$J$28:$BP$638,57,0),"-")=0,"-",IFERROR(VLOOKUP(J329,'[63]ТР нефть'!$J$28:$BP$638,57,0),"-"))</f>
        <v>-</v>
      </c>
      <c r="BO329" s="115" t="str">
        <f>IF(IFERROR(VLOOKUP(J329,'[63]ТР нефть'!$J$28:$BP$638,58,0),"-")=0,"-",IFERROR(VLOOKUP(J329,'[63]ТР нефть'!$J$28:$BP$638,58,0),"-"))</f>
        <v>-</v>
      </c>
      <c r="BP329" s="115" t="str">
        <f>IF(IFERROR(VLOOKUP(J329,'[63]ТР нефть'!$J$28:$BP$638,59,0),"-")=0,"-",IFERROR(VLOOKUP(J329,'[63]ТР нефть'!$J$28:$BP$638,59,0),"-"))</f>
        <v>-</v>
      </c>
      <c r="BQ329" s="138">
        <v>2332</v>
      </c>
      <c r="BR329" s="128">
        <v>1864</v>
      </c>
      <c r="BS329" s="115">
        <f>BQ329-BR329</f>
        <v>468</v>
      </c>
      <c r="BT329" s="128">
        <v>73</v>
      </c>
      <c r="BU329" s="128">
        <v>5.5</v>
      </c>
      <c r="BV329" s="127">
        <v>18</v>
      </c>
      <c r="BW329" s="127" t="s">
        <v>234</v>
      </c>
      <c r="BX329" s="127" t="s">
        <v>195</v>
      </c>
      <c r="BY329" s="139">
        <v>24</v>
      </c>
      <c r="BZ329" s="139">
        <v>0</v>
      </c>
      <c r="CA329" s="138">
        <v>28</v>
      </c>
      <c r="CB329" s="138">
        <v>30</v>
      </c>
      <c r="CC329" s="138">
        <v>27</v>
      </c>
      <c r="CD329" s="135">
        <v>45017</v>
      </c>
      <c r="CE329" s="138">
        <v>105</v>
      </c>
      <c r="CF329" s="138">
        <v>87</v>
      </c>
      <c r="CG329" s="138" t="str">
        <f>IF(CH329&lt;&gt;"","В работе","")</f>
        <v/>
      </c>
      <c r="CH329" s="138" t="s">
        <v>197</v>
      </c>
      <c r="CI329" s="127"/>
      <c r="CJ329" s="138"/>
      <c r="CK329" s="138"/>
      <c r="CL329" s="99"/>
      <c r="CM329" s="99"/>
      <c r="CN329" s="140">
        <v>56</v>
      </c>
      <c r="CO329" s="141">
        <f t="shared" si="216"/>
        <v>2.7170000000000001</v>
      </c>
      <c r="CP329" s="142">
        <v>5</v>
      </c>
      <c r="CQ329" s="143">
        <v>35</v>
      </c>
      <c r="CR329" s="138">
        <v>12</v>
      </c>
      <c r="CS329" s="139">
        <v>4</v>
      </c>
      <c r="CT329" s="138"/>
      <c r="CU329" s="138">
        <f t="shared" si="235"/>
        <v>8</v>
      </c>
      <c r="CV329" s="115">
        <f t="shared" si="236"/>
        <v>2944.4239970555759</v>
      </c>
      <c r="CW329" s="115">
        <f t="shared" si="217"/>
        <v>843.25919679561525</v>
      </c>
      <c r="CX329" s="133">
        <f t="shared" si="237"/>
        <v>0.10204081632653061</v>
      </c>
      <c r="CY329" s="116"/>
      <c r="CZ329" s="131"/>
      <c r="DA329" s="145" t="str">
        <f t="shared" si="218"/>
        <v>Газлифт</v>
      </c>
      <c r="DB329" s="146">
        <f t="shared" si="219"/>
        <v>2.7170000000000001</v>
      </c>
      <c r="DC329" s="142">
        <f t="shared" si="234"/>
        <v>5</v>
      </c>
      <c r="DD329" s="119">
        <f t="shared" si="250"/>
        <v>35</v>
      </c>
      <c r="DE329" s="115">
        <f t="shared" si="220"/>
        <v>8</v>
      </c>
      <c r="DF329" s="121">
        <f t="shared" si="221"/>
        <v>4</v>
      </c>
      <c r="DG329" s="115">
        <f t="shared" si="222"/>
        <v>2944.4239970555759</v>
      </c>
      <c r="DH329" s="115">
        <f t="shared" si="223"/>
        <v>56</v>
      </c>
      <c r="DI329" s="147"/>
      <c r="DJ329" s="111"/>
      <c r="DK329" s="112">
        <v>43902</v>
      </c>
      <c r="DL329" s="113">
        <f t="shared" ca="1" si="240"/>
        <v>1202</v>
      </c>
      <c r="DM329" s="114"/>
      <c r="DN329" s="114"/>
      <c r="DO329" s="114"/>
      <c r="DP329" s="114"/>
      <c r="DQ329" s="112"/>
      <c r="DR329" s="114"/>
      <c r="DS329" s="114"/>
      <c r="DT329" s="115">
        <v>60</v>
      </c>
      <c r="DU329" s="116">
        <f t="shared" si="241"/>
        <v>0.1111111111111111</v>
      </c>
      <c r="DV329" s="117">
        <f t="shared" si="242"/>
        <v>2.7170000000000001</v>
      </c>
      <c r="DW329" s="118">
        <f t="shared" si="243"/>
        <v>5</v>
      </c>
      <c r="DX329" s="119">
        <f t="shared" si="224"/>
        <v>35</v>
      </c>
      <c r="DY329" s="115">
        <f t="shared" si="244"/>
        <v>8</v>
      </c>
      <c r="DZ329" s="117">
        <f t="shared" si="245"/>
        <v>0</v>
      </c>
      <c r="EA329" s="120">
        <f t="shared" si="245"/>
        <v>0</v>
      </c>
      <c r="EB329" s="119">
        <f t="shared" si="245"/>
        <v>0</v>
      </c>
      <c r="EC329" s="121">
        <f t="shared" si="246"/>
        <v>0</v>
      </c>
      <c r="ED329" s="122"/>
      <c r="EE329" s="145">
        <v>18</v>
      </c>
      <c r="EF329" s="115">
        <v>28</v>
      </c>
      <c r="EG329" s="115">
        <v>30</v>
      </c>
      <c r="EH329" s="115">
        <v>27</v>
      </c>
      <c r="EI329" s="128" t="s">
        <v>195</v>
      </c>
      <c r="EJ329" s="121">
        <v>24</v>
      </c>
      <c r="EK329" s="121">
        <v>0</v>
      </c>
      <c r="EL329" s="149">
        <v>2.7170000000000001</v>
      </c>
      <c r="EM329" s="142">
        <v>5</v>
      </c>
      <c r="EN329" s="119">
        <v>35</v>
      </c>
      <c r="EO329" s="115">
        <v>12</v>
      </c>
      <c r="EP329" s="115">
        <v>2944.4239970555759</v>
      </c>
      <c r="EQ329" s="115">
        <v>87</v>
      </c>
      <c r="ER329" s="115">
        <v>4</v>
      </c>
      <c r="ES329" s="115">
        <v>56</v>
      </c>
      <c r="ET329" s="150">
        <v>0.10204081632653061</v>
      </c>
      <c r="EU329" s="145">
        <f t="shared" si="225"/>
        <v>18</v>
      </c>
      <c r="EV329" s="115">
        <f t="shared" si="226"/>
        <v>28</v>
      </c>
      <c r="EW329" s="115">
        <f t="shared" si="226"/>
        <v>30</v>
      </c>
      <c r="EX329" s="115">
        <f t="shared" si="226"/>
        <v>27</v>
      </c>
      <c r="EY329" s="115" t="str">
        <f t="shared" si="253"/>
        <v>Постоянный</v>
      </c>
      <c r="EZ329" s="115">
        <f t="shared" si="253"/>
        <v>24</v>
      </c>
      <c r="FA329" s="115">
        <f t="shared" si="253"/>
        <v>0</v>
      </c>
      <c r="FB329" s="149">
        <f t="shared" si="238"/>
        <v>2.7170000000000001</v>
      </c>
      <c r="FC329" s="142">
        <f t="shared" si="238"/>
        <v>5</v>
      </c>
      <c r="FD329" s="119">
        <f t="shared" si="238"/>
        <v>35</v>
      </c>
      <c r="FE329" s="121">
        <f t="shared" si="238"/>
        <v>12</v>
      </c>
      <c r="FF329" s="121">
        <f t="shared" si="247"/>
        <v>2944.4239970555759</v>
      </c>
      <c r="FG329" s="121">
        <f t="shared" si="227"/>
        <v>87</v>
      </c>
      <c r="FH329" s="121">
        <f t="shared" si="248"/>
        <v>4</v>
      </c>
      <c r="FI329" s="121">
        <f t="shared" si="252"/>
        <v>56</v>
      </c>
      <c r="FJ329" s="144">
        <f t="shared" si="228"/>
        <v>0.10204081632653061</v>
      </c>
      <c r="FK329" s="132">
        <f t="shared" si="229"/>
        <v>0</v>
      </c>
      <c r="FL329" s="115">
        <f t="shared" si="229"/>
        <v>0</v>
      </c>
      <c r="FM329" s="115">
        <f t="shared" si="229"/>
        <v>0</v>
      </c>
      <c r="FN329" s="115">
        <f t="shared" si="229"/>
        <v>0</v>
      </c>
      <c r="FO329" s="115">
        <f t="shared" si="232"/>
        <v>0</v>
      </c>
      <c r="FP329" s="115">
        <f t="shared" si="232"/>
        <v>0</v>
      </c>
      <c r="FQ329" s="149">
        <f t="shared" si="232"/>
        <v>0</v>
      </c>
      <c r="FR329" s="142">
        <f t="shared" ref="FR329:FT392" si="256">FC329-EM329</f>
        <v>0</v>
      </c>
      <c r="FS329" s="119">
        <f t="shared" si="256"/>
        <v>0</v>
      </c>
      <c r="FT329" s="121">
        <f t="shared" si="256"/>
        <v>0</v>
      </c>
      <c r="FU329" s="121">
        <f t="shared" si="230"/>
        <v>0</v>
      </c>
      <c r="FV329" s="121">
        <f t="shared" si="230"/>
        <v>0</v>
      </c>
      <c r="FW329" s="121">
        <f t="shared" si="231"/>
        <v>0</v>
      </c>
      <c r="FX329" s="121">
        <f t="shared" si="233"/>
        <v>0</v>
      </c>
      <c r="FY329" s="144">
        <f t="shared" si="214"/>
        <v>0</v>
      </c>
      <c r="FZ329" s="145"/>
      <c r="GA329" s="151" t="s">
        <v>313</v>
      </c>
      <c r="GB329" s="145"/>
      <c r="GC329" s="151" t="s">
        <v>1384</v>
      </c>
      <c r="GD329" s="997" t="s">
        <v>238</v>
      </c>
      <c r="GE329" s="1004"/>
      <c r="GF329" s="1004">
        <v>0</v>
      </c>
      <c r="GG329" s="1004"/>
      <c r="GH329" s="1004">
        <v>0</v>
      </c>
      <c r="GI329" s="145"/>
      <c r="GJ329" s="996">
        <v>0</v>
      </c>
      <c r="GK329" s="145"/>
      <c r="GL329" s="996">
        <v>0</v>
      </c>
      <c r="GM329" s="1005"/>
      <c r="GN329" s="996">
        <v>0</v>
      </c>
      <c r="GO329" s="1006"/>
      <c r="GP329" s="996">
        <v>0</v>
      </c>
      <c r="GQ329" s="1006"/>
      <c r="GR329" s="996">
        <v>0</v>
      </c>
      <c r="GS329" s="1006"/>
      <c r="GT329" s="996">
        <v>0</v>
      </c>
      <c r="GU329" s="1006"/>
      <c r="GV329" s="996">
        <v>0</v>
      </c>
      <c r="GW329" s="1006"/>
      <c r="GX329" s="1049">
        <v>0</v>
      </c>
      <c r="GY329" s="1006"/>
      <c r="GZ329" s="996">
        <v>0</v>
      </c>
      <c r="HA329" s="1006"/>
      <c r="HB329" s="996">
        <v>0</v>
      </c>
      <c r="HC329" s="1006"/>
      <c r="HD329" s="996">
        <v>0</v>
      </c>
      <c r="HE329" s="1006"/>
      <c r="HF329" s="996">
        <v>0</v>
      </c>
      <c r="HG329" s="1006"/>
      <c r="HH329" s="996">
        <v>0</v>
      </c>
      <c r="HI329" s="1006"/>
      <c r="HJ329" s="996">
        <v>0</v>
      </c>
      <c r="HK329" s="1006"/>
      <c r="HL329" s="996">
        <v>0</v>
      </c>
      <c r="HM329" s="1006"/>
      <c r="HN329" s="996">
        <v>0</v>
      </c>
      <c r="HO329" s="1006"/>
      <c r="HP329" s="996">
        <v>0</v>
      </c>
      <c r="HQ329" s="1006"/>
      <c r="HR329" s="996">
        <v>0</v>
      </c>
      <c r="HS329" s="1006"/>
      <c r="HT329" s="996">
        <v>0</v>
      </c>
      <c r="HU329" s="1006"/>
      <c r="HV329" s="996">
        <v>0</v>
      </c>
      <c r="HW329" s="1006"/>
      <c r="HX329" s="996">
        <v>0</v>
      </c>
      <c r="HY329" s="1006"/>
      <c r="HZ329" s="996">
        <v>0</v>
      </c>
      <c r="IA329" s="1006"/>
      <c r="IB329" s="996">
        <v>0.41800000000000015</v>
      </c>
      <c r="IC329" s="1006"/>
      <c r="ID329" s="996">
        <v>0</v>
      </c>
      <c r="IE329" s="1006" t="s">
        <v>199</v>
      </c>
      <c r="IF329" s="996">
        <v>3.6784000000000003</v>
      </c>
      <c r="IG329" s="1006" t="s">
        <v>199</v>
      </c>
      <c r="IH329" s="996">
        <v>-3.0096000000000003</v>
      </c>
      <c r="II329" s="1006" t="s">
        <v>199</v>
      </c>
      <c r="IJ329" s="996">
        <v>2.5748799999999998</v>
      </c>
      <c r="IK329" s="1006"/>
      <c r="IL329" s="996">
        <v>0</v>
      </c>
      <c r="IM329" s="1006"/>
      <c r="IN329" s="996">
        <v>-0.31767999999999974</v>
      </c>
      <c r="IO329" s="1006"/>
      <c r="IP329" s="996">
        <v>-0.66880000000000006</v>
      </c>
      <c r="IQ329" s="1006" t="s">
        <v>203</v>
      </c>
      <c r="IR329" s="996">
        <v>-6.6865578999999995</v>
      </c>
      <c r="IS329" s="1006"/>
      <c r="IT329" s="996">
        <v>0</v>
      </c>
      <c r="IU329" s="1006" t="s">
        <v>199</v>
      </c>
      <c r="IV329" s="996">
        <v>2.0528439800000005</v>
      </c>
      <c r="IW329" s="1006"/>
      <c r="IX329" s="996">
        <v>1.2925563199999992</v>
      </c>
      <c r="IY329" s="1006"/>
      <c r="IZ329" s="996">
        <v>0</v>
      </c>
      <c r="JA329" s="1006" t="s">
        <v>897</v>
      </c>
      <c r="JB329" s="996">
        <v>-19.113802399999997</v>
      </c>
      <c r="JC329" s="1006" t="s">
        <v>25</v>
      </c>
      <c r="JD329" s="996">
        <v>27.303759999999997</v>
      </c>
      <c r="JE329" s="1006"/>
      <c r="JF329" s="996"/>
      <c r="JG329" s="1006"/>
      <c r="JH329" s="996"/>
      <c r="JI329" s="1006"/>
      <c r="JJ329" s="996"/>
      <c r="JK329" s="1007"/>
      <c r="JL329" s="1007"/>
      <c r="JM329" s="1007"/>
      <c r="JN329" s="1007"/>
      <c r="JO329" s="1008"/>
      <c r="JP329" s="1007"/>
      <c r="JQ329" s="1008"/>
      <c r="JR329" s="1007"/>
      <c r="JS329" s="1008"/>
      <c r="JT329" s="1007"/>
      <c r="JU329" s="1008"/>
      <c r="JV329" s="1007"/>
      <c r="JW329" s="1008"/>
      <c r="JX329" s="1007"/>
      <c r="JY329" s="1008"/>
      <c r="JZ329" s="1007"/>
      <c r="KA329" s="1008"/>
      <c r="KB329" s="1007"/>
      <c r="KC329" s="1008"/>
      <c r="KD329" s="1007"/>
      <c r="KE329" s="1008"/>
      <c r="KF329" s="1007"/>
      <c r="KG329" s="1008"/>
      <c r="KH329" s="1007"/>
      <c r="KI329" s="1008"/>
      <c r="KJ329" s="1007"/>
      <c r="KK329" s="1008"/>
      <c r="KL329" s="1007"/>
      <c r="KM329" s="1008"/>
      <c r="KN329" s="1007"/>
      <c r="KO329" s="1008"/>
      <c r="KP329" s="1007"/>
      <c r="KQ329" s="1008"/>
      <c r="KR329" s="1007"/>
      <c r="KS329" s="1008"/>
      <c r="KT329" s="1007"/>
      <c r="KU329" s="1008"/>
      <c r="KV329" s="1007"/>
      <c r="KW329" s="1008"/>
      <c r="KX329" s="1007"/>
      <c r="KY329" s="1008"/>
      <c r="KZ329" s="1007"/>
      <c r="LA329" s="1008"/>
      <c r="LB329" s="1007"/>
      <c r="LC329" s="1008"/>
      <c r="LD329" s="1007"/>
      <c r="LE329" s="1008"/>
      <c r="LF329" s="1007"/>
      <c r="LG329" s="1008"/>
      <c r="LH329" s="1007"/>
      <c r="LI329" s="1008"/>
      <c r="LJ329" s="1007"/>
      <c r="LK329" s="1008"/>
      <c r="LL329" s="1007"/>
      <c r="LM329" s="1008"/>
      <c r="LN329" s="1007"/>
      <c r="LO329" s="1008"/>
      <c r="LP329" s="1007"/>
      <c r="LQ329" s="1008"/>
      <c r="LR329" s="1007"/>
      <c r="LS329" s="1008"/>
      <c r="LT329" s="1007"/>
      <c r="LU329" s="1008"/>
      <c r="LV329" s="1007"/>
      <c r="LW329" s="1008"/>
      <c r="LX329" s="1007"/>
      <c r="LY329" s="1009"/>
      <c r="LZ329" s="1010"/>
      <c r="MA329" s="1011"/>
      <c r="MB329" s="1012"/>
      <c r="MC329" s="995"/>
      <c r="MD329" s="996"/>
      <c r="ME329" s="997" t="s">
        <v>238</v>
      </c>
      <c r="MF329" s="997"/>
      <c r="MG329" s="998"/>
      <c r="NR329" s="1000"/>
      <c r="NS329" s="1000"/>
      <c r="NT329" s="1001"/>
      <c r="NU329" s="1000"/>
      <c r="NV329" s="1001"/>
      <c r="NX329" s="1002"/>
      <c r="NZ329" s="1001"/>
      <c r="OA329" s="1001"/>
      <c r="OC329" s="1003"/>
      <c r="OD329" s="1003"/>
      <c r="OE329" s="1001"/>
      <c r="OF329" s="1003"/>
      <c r="OG329" s="1003"/>
      <c r="QX329" s="1000">
        <f t="shared" si="254"/>
        <v>28</v>
      </c>
      <c r="ASU329" s="999" t="s">
        <v>225</v>
      </c>
    </row>
    <row r="330" spans="1:1191" ht="21" customHeight="1" x14ac:dyDescent="0.25">
      <c r="A330" s="982">
        <f t="shared" si="215"/>
        <v>1349</v>
      </c>
      <c r="B330" s="124">
        <f>SUBTOTAL(103,$J$29:J330)</f>
        <v>302</v>
      </c>
      <c r="C330" s="126">
        <v>45096</v>
      </c>
      <c r="D330" s="124" t="s">
        <v>176</v>
      </c>
      <c r="E330" s="127" t="s">
        <v>177</v>
      </c>
      <c r="F330" s="128" t="s">
        <v>177</v>
      </c>
      <c r="G330" s="127" t="s">
        <v>178</v>
      </c>
      <c r="H330" s="127" t="s">
        <v>179</v>
      </c>
      <c r="I330" s="127" t="s">
        <v>417</v>
      </c>
      <c r="J330" s="152">
        <v>1349</v>
      </c>
      <c r="K330" s="127" t="s">
        <v>1385</v>
      </c>
      <c r="L330" s="130">
        <v>43838</v>
      </c>
      <c r="M330" s="127" t="s">
        <v>230</v>
      </c>
      <c r="N330" s="127" t="s">
        <v>231</v>
      </c>
      <c r="O330" s="127" t="s">
        <v>1386</v>
      </c>
      <c r="P330" s="127" t="s">
        <v>582</v>
      </c>
      <c r="Q330" s="85" t="str">
        <f t="shared" si="249"/>
        <v/>
      </c>
      <c r="R330" s="130"/>
      <c r="S330" s="128"/>
      <c r="T330" s="131"/>
      <c r="U330" s="132">
        <v>203</v>
      </c>
      <c r="V330" s="121">
        <v>218.2</v>
      </c>
      <c r="W330" s="116">
        <v>0.98</v>
      </c>
      <c r="X330" s="116">
        <v>1.66</v>
      </c>
      <c r="Y330" s="116">
        <f t="shared" si="239"/>
        <v>0.98</v>
      </c>
      <c r="Z330" s="133">
        <v>1.454</v>
      </c>
      <c r="AA330" s="133">
        <v>0.83599999999999997</v>
      </c>
      <c r="AB330" s="133">
        <v>0.72</v>
      </c>
      <c r="AC330" s="121">
        <v>34.299999999999997</v>
      </c>
      <c r="AD330" s="134">
        <v>1.17</v>
      </c>
      <c r="AE330" s="124">
        <v>177.8</v>
      </c>
      <c r="AF330" s="128">
        <v>9.19</v>
      </c>
      <c r="AG330" s="128">
        <v>2372</v>
      </c>
      <c r="AH330" s="127" t="s">
        <v>1387</v>
      </c>
      <c r="AI330" s="127" t="s">
        <v>1387</v>
      </c>
      <c r="AJ330" s="135"/>
      <c r="AK330" s="128"/>
      <c r="AL330" s="131"/>
      <c r="AM330" s="124" t="s">
        <v>232</v>
      </c>
      <c r="AN330" s="136" t="s">
        <v>1388</v>
      </c>
      <c r="AO330" s="137">
        <v>85</v>
      </c>
      <c r="AP330" s="128">
        <v>2372</v>
      </c>
      <c r="AQ330" s="128">
        <v>439.6</v>
      </c>
      <c r="AR330" s="128"/>
      <c r="AS330" s="128"/>
      <c r="AT330" s="122"/>
      <c r="AU330" s="124" t="s">
        <v>189</v>
      </c>
      <c r="AV330" s="115">
        <f>VLOOKUP(J330,'[63]ТР нефть'!$J$28:$BP$638,39,0)</f>
        <v>510</v>
      </c>
      <c r="AW330" s="115" t="str">
        <f>VLOOKUP(J330,'[63]ТР нефть'!$J$28:$BP$638,40,0)</f>
        <v>ГП</v>
      </c>
      <c r="AX330" s="115">
        <f>VLOOKUP(J330,'[63]ТР нефть'!$J$28:$BP$638,41,0)</f>
        <v>1013</v>
      </c>
      <c r="AY330" s="115" t="str">
        <f>VLOOKUP(J330,'[63]ТР нефть'!$J$28:$BP$638,42,0)</f>
        <v>ГП</v>
      </c>
      <c r="AZ330" s="115">
        <f>VLOOKUP(J330,'[63]ТР нефть'!$J$28:$BP$638,43,0)</f>
        <v>1441</v>
      </c>
      <c r="BA330" s="115" t="str">
        <f>VLOOKUP(J330,'[63]ТР нефть'!$J$28:$BP$638,44,0)</f>
        <v>ГП</v>
      </c>
      <c r="BB330" s="115">
        <f>VLOOKUP(J330,'[63]ТР нефть'!$J$28:$BP$638,45,0)</f>
        <v>1780</v>
      </c>
      <c r="BC330" s="115" t="str">
        <f>VLOOKUP(J330,'[63]ТР нефть'!$J$28:$BP$638,46,0)</f>
        <v>ГК 84 1/8</v>
      </c>
      <c r="BD330" s="115">
        <f>VLOOKUP(J330,'[63]ТР нефть'!$J$28:$BP$638,47,0)</f>
        <v>2060</v>
      </c>
      <c r="BE330" s="115" t="str">
        <f>VLOOKUP(J330,'[63]ТР нефть'!$J$28:$BP$638,48,0)</f>
        <v>ЦКсОК 5/16</v>
      </c>
      <c r="BF330" s="115" t="str">
        <f>VLOOKUP(J330,'[63]ТР нефть'!$J$28:$BP$638,49,0)</f>
        <v>-</v>
      </c>
      <c r="BG330" s="115" t="str">
        <f>VLOOKUP(J330,'[63]ТР нефть'!$J$28:$BP$638,50,0)</f>
        <v>-</v>
      </c>
      <c r="BH330" s="115" t="str">
        <f>VLOOKUP(J330,'[63]ТР нефть'!$J$28:$BP$638,51,0)</f>
        <v>закрыт</v>
      </c>
      <c r="BI330" s="115" t="str">
        <f>VLOOKUP(J330,'[63]ТР нефть'!$J$28:$BP$638,52,0)</f>
        <v>закрыт</v>
      </c>
      <c r="BJ330" s="115" t="str">
        <f>IF(IFERROR(VLOOKUP(J330,'[63]ТР нефть'!$J$28:$BP$638,53,0),"-")=0,"-",IFERROR(VLOOKUP(J330,'[63]ТР нефть'!$J$28:$BP$638,53,0),"-"))</f>
        <v>-</v>
      </c>
      <c r="BK330" s="138" t="str">
        <f>IF(IFERROR(VLOOKUP(J330,'[63]ТР нефть'!$J$28:$BP$638,54,0),"-")=0,"-",IFERROR(VLOOKUP(J330,'[63]ТР нефть'!$J$28:$BP$638,54,0),"-"))</f>
        <v>-</v>
      </c>
      <c r="BL330" s="138" t="str">
        <f>IF(IFERROR(VLOOKUP(J330,'[63]ТР нефть'!$J$28:$BP$638,55,0),"-")=0,"-",IFERROR(VLOOKUP(J330,'[63]ТР нефть'!$J$28:$BP$638,55,0),"-"))</f>
        <v>-</v>
      </c>
      <c r="BM330" s="138" t="str">
        <f>IF(IFERROR(VLOOKUP(J330,'[63]ТР нефть'!$J$28:$BP$638,56,0),"-")=0,"-",IFERROR(VLOOKUP(J330,'[63]ТР нефть'!$J$28:$BP$638,56,0),"-"))</f>
        <v>-</v>
      </c>
      <c r="BN330" s="138" t="str">
        <f>IF(IFERROR(VLOOKUP(J330,'[63]ТР нефть'!$J$28:$BP$638,57,0),"-")=0,"-",IFERROR(VLOOKUP(J330,'[63]ТР нефть'!$J$28:$BP$638,57,0),"-"))</f>
        <v>-</v>
      </c>
      <c r="BO330" s="115" t="str">
        <f>IF(IFERROR(VLOOKUP(J330,'[63]ТР нефть'!$J$28:$BP$638,58,0),"-")=0,"-",IFERROR(VLOOKUP(J330,'[63]ТР нефть'!$J$28:$BP$638,58,0),"-"))</f>
        <v>-</v>
      </c>
      <c r="BP330" s="115" t="str">
        <f>IF(IFERROR(VLOOKUP(J330,'[63]ТР нефть'!$J$28:$BP$638,59,0),"-")=0,"-",IFERROR(VLOOKUP(J330,'[63]ТР нефть'!$J$28:$BP$638,59,0),"-"))</f>
        <v>-</v>
      </c>
      <c r="BQ330" s="138">
        <v>2200</v>
      </c>
      <c r="BR330" s="128"/>
      <c r="BS330" s="115">
        <v>0</v>
      </c>
      <c r="BT330" s="128">
        <v>73</v>
      </c>
      <c r="BU330" s="128">
        <v>5.5</v>
      </c>
      <c r="BV330" s="127">
        <v>65</v>
      </c>
      <c r="BW330" s="127" t="s">
        <v>217</v>
      </c>
      <c r="BX330" s="127" t="s">
        <v>195</v>
      </c>
      <c r="BY330" s="139">
        <v>24</v>
      </c>
      <c r="BZ330" s="139">
        <v>0</v>
      </c>
      <c r="CA330" s="138">
        <v>20</v>
      </c>
      <c r="CB330" s="138">
        <v>48</v>
      </c>
      <c r="CC330" s="138">
        <v>19</v>
      </c>
      <c r="CD330" s="135">
        <v>45017</v>
      </c>
      <c r="CE330" s="138">
        <v>207.5</v>
      </c>
      <c r="CF330" s="138">
        <v>80</v>
      </c>
      <c r="CG330" s="138" t="str">
        <f>IF(CH330&lt;&gt;"","В работе","")</f>
        <v/>
      </c>
      <c r="CH330" s="138" t="s">
        <v>197</v>
      </c>
      <c r="CI330" s="127"/>
      <c r="CJ330" s="138"/>
      <c r="CK330" s="138"/>
      <c r="CL330" s="138"/>
      <c r="CM330" s="99"/>
      <c r="CN330" s="140"/>
      <c r="CO330" s="141">
        <f t="shared" si="216"/>
        <v>0</v>
      </c>
      <c r="CP330" s="142"/>
      <c r="CQ330" s="119"/>
      <c r="CR330" s="138"/>
      <c r="CS330" s="139"/>
      <c r="CT330" s="138"/>
      <c r="CU330" s="138"/>
      <c r="CV330" s="115"/>
      <c r="CW330" s="115" t="str">
        <f t="shared" si="217"/>
        <v/>
      </c>
      <c r="CX330" s="133"/>
      <c r="CY330" s="116"/>
      <c r="CZ330" s="131"/>
      <c r="DA330" s="145" t="str">
        <f t="shared" si="218"/>
        <v>Газлифт</v>
      </c>
      <c r="DB330" s="146">
        <f t="shared" si="219"/>
        <v>0</v>
      </c>
      <c r="DC330" s="142">
        <f t="shared" si="234"/>
        <v>0</v>
      </c>
      <c r="DD330" s="119">
        <f t="shared" si="250"/>
        <v>0</v>
      </c>
      <c r="DE330" s="115">
        <f t="shared" si="220"/>
        <v>0</v>
      </c>
      <c r="DF330" s="121">
        <f t="shared" si="221"/>
        <v>0</v>
      </c>
      <c r="DG330" s="115">
        <f t="shared" si="222"/>
        <v>0</v>
      </c>
      <c r="DH330" s="115">
        <f t="shared" si="223"/>
        <v>0</v>
      </c>
      <c r="DI330" s="150"/>
      <c r="DJ330" s="111">
        <v>44056</v>
      </c>
      <c r="DK330" s="112">
        <v>43916</v>
      </c>
      <c r="DL330" s="113">
        <f t="shared" ca="1" si="240"/>
        <v>1188</v>
      </c>
      <c r="DM330" s="114">
        <v>23.4</v>
      </c>
      <c r="DN330" s="114">
        <v>60</v>
      </c>
      <c r="DO330" s="114">
        <v>39</v>
      </c>
      <c r="DP330" s="114"/>
      <c r="DQ330" s="112"/>
      <c r="DR330" s="114"/>
      <c r="DS330" s="114"/>
      <c r="DT330" s="115">
        <v>60</v>
      </c>
      <c r="DU330" s="116">
        <f t="shared" si="241"/>
        <v>0</v>
      </c>
      <c r="DV330" s="117">
        <f t="shared" si="242"/>
        <v>0</v>
      </c>
      <c r="DW330" s="118">
        <f t="shared" si="243"/>
        <v>0</v>
      </c>
      <c r="DX330" s="119">
        <f t="shared" si="224"/>
        <v>0</v>
      </c>
      <c r="DY330" s="115">
        <f t="shared" si="244"/>
        <v>0</v>
      </c>
      <c r="DZ330" s="117">
        <f t="shared" si="245"/>
        <v>0</v>
      </c>
      <c r="EA330" s="120">
        <f t="shared" si="245"/>
        <v>0</v>
      </c>
      <c r="EB330" s="119">
        <f t="shared" si="245"/>
        <v>0</v>
      </c>
      <c r="EC330" s="121">
        <f t="shared" si="246"/>
        <v>0</v>
      </c>
      <c r="ED330" s="122"/>
      <c r="EE330" s="145">
        <v>65</v>
      </c>
      <c r="EF330" s="115">
        <v>20</v>
      </c>
      <c r="EG330" s="115">
        <v>48</v>
      </c>
      <c r="EH330" s="115">
        <v>19</v>
      </c>
      <c r="EI330" s="128" t="s">
        <v>195</v>
      </c>
      <c r="EJ330" s="121">
        <v>24</v>
      </c>
      <c r="EK330" s="121">
        <v>0</v>
      </c>
      <c r="EL330" s="149">
        <v>0</v>
      </c>
      <c r="EM330" s="142">
        <v>0</v>
      </c>
      <c r="EN330" s="119">
        <v>0</v>
      </c>
      <c r="EO330" s="115">
        <v>0</v>
      </c>
      <c r="EP330" s="115">
        <v>0</v>
      </c>
      <c r="EQ330" s="115">
        <v>80</v>
      </c>
      <c r="ER330" s="115">
        <v>0</v>
      </c>
      <c r="ES330" s="115">
        <v>0</v>
      </c>
      <c r="ET330" s="150">
        <v>0</v>
      </c>
      <c r="EU330" s="145">
        <f t="shared" si="225"/>
        <v>65</v>
      </c>
      <c r="EV330" s="115">
        <f t="shared" si="226"/>
        <v>20</v>
      </c>
      <c r="EW330" s="115">
        <f t="shared" si="226"/>
        <v>48</v>
      </c>
      <c r="EX330" s="115">
        <f t="shared" si="226"/>
        <v>19</v>
      </c>
      <c r="EY330" s="115" t="str">
        <f t="shared" si="253"/>
        <v>Постоянный</v>
      </c>
      <c r="EZ330" s="115">
        <f t="shared" si="253"/>
        <v>24</v>
      </c>
      <c r="FA330" s="115">
        <f t="shared" si="253"/>
        <v>0</v>
      </c>
      <c r="FB330" s="149">
        <f t="shared" si="238"/>
        <v>0</v>
      </c>
      <c r="FC330" s="142">
        <f t="shared" si="238"/>
        <v>0</v>
      </c>
      <c r="FD330" s="119">
        <f t="shared" si="238"/>
        <v>0</v>
      </c>
      <c r="FE330" s="121">
        <f t="shared" si="238"/>
        <v>0</v>
      </c>
      <c r="FF330" s="121">
        <f t="shared" si="247"/>
        <v>0</v>
      </c>
      <c r="FG330" s="121">
        <f t="shared" si="227"/>
        <v>80</v>
      </c>
      <c r="FH330" s="121">
        <f t="shared" si="248"/>
        <v>0</v>
      </c>
      <c r="FI330" s="121">
        <f t="shared" si="252"/>
        <v>0</v>
      </c>
      <c r="FJ330" s="144">
        <f t="shared" si="228"/>
        <v>0</v>
      </c>
      <c r="FK330" s="132">
        <f t="shared" si="229"/>
        <v>0</v>
      </c>
      <c r="FL330" s="115">
        <f t="shared" si="229"/>
        <v>0</v>
      </c>
      <c r="FM330" s="115">
        <f t="shared" si="229"/>
        <v>0</v>
      </c>
      <c r="FN330" s="115">
        <f t="shared" si="229"/>
        <v>0</v>
      </c>
      <c r="FO330" s="115">
        <f t="shared" ref="FO330:FT393" si="257">EZ330-EJ330</f>
        <v>0</v>
      </c>
      <c r="FP330" s="115">
        <f t="shared" si="257"/>
        <v>0</v>
      </c>
      <c r="FQ330" s="149">
        <f t="shared" si="257"/>
        <v>0</v>
      </c>
      <c r="FR330" s="142">
        <f t="shared" si="256"/>
        <v>0</v>
      </c>
      <c r="FS330" s="119">
        <f t="shared" si="256"/>
        <v>0</v>
      </c>
      <c r="FT330" s="121">
        <f t="shared" si="256"/>
        <v>0</v>
      </c>
      <c r="FU330" s="121">
        <f t="shared" si="230"/>
        <v>0</v>
      </c>
      <c r="FV330" s="121">
        <f t="shared" si="230"/>
        <v>0</v>
      </c>
      <c r="FW330" s="121">
        <f t="shared" si="231"/>
        <v>0</v>
      </c>
      <c r="FX330" s="121">
        <f t="shared" si="233"/>
        <v>0</v>
      </c>
      <c r="FY330" s="144">
        <f t="shared" si="214"/>
        <v>0</v>
      </c>
      <c r="FZ330" s="145"/>
      <c r="GA330" s="151"/>
      <c r="GB330" s="145"/>
      <c r="GC330" s="151" t="s">
        <v>394</v>
      </c>
      <c r="GD330" s="997" t="s">
        <v>238</v>
      </c>
      <c r="GE330" s="1004"/>
      <c r="GF330" s="1004">
        <v>0</v>
      </c>
      <c r="GG330" s="1004"/>
      <c r="GH330" s="1004">
        <v>0</v>
      </c>
      <c r="GI330" s="145"/>
      <c r="GJ330" s="996">
        <v>0</v>
      </c>
      <c r="GK330" s="145"/>
      <c r="GL330" s="996">
        <v>0</v>
      </c>
      <c r="GM330" s="1005"/>
      <c r="GN330" s="996">
        <v>0</v>
      </c>
      <c r="GO330" s="1006"/>
      <c r="GP330" s="996">
        <v>0</v>
      </c>
      <c r="GQ330" s="1006"/>
      <c r="GR330" s="996">
        <v>-0.95889199999999997</v>
      </c>
      <c r="GS330" s="1006"/>
      <c r="GT330" s="996">
        <v>0</v>
      </c>
      <c r="GU330" s="1006"/>
      <c r="GV330" s="996">
        <v>0</v>
      </c>
      <c r="GW330" s="1006"/>
      <c r="GX330" s="1049">
        <v>0</v>
      </c>
      <c r="GY330" s="1006"/>
      <c r="GZ330" s="996">
        <v>0</v>
      </c>
      <c r="HA330" s="1006" t="s">
        <v>199</v>
      </c>
      <c r="HB330" s="996">
        <v>-1.7798440000000002</v>
      </c>
      <c r="HC330" s="1006" t="s">
        <v>199</v>
      </c>
      <c r="HD330" s="996">
        <v>-3.9987551999999988</v>
      </c>
      <c r="HE330" s="1006" t="s">
        <v>199</v>
      </c>
      <c r="HF330" s="996">
        <v>3.1844911999999992</v>
      </c>
      <c r="HG330" s="1006"/>
      <c r="HH330" s="996">
        <v>0</v>
      </c>
      <c r="HI330" s="1006"/>
      <c r="HJ330" s="996">
        <v>0</v>
      </c>
      <c r="HK330" s="1006"/>
      <c r="HL330" s="996">
        <v>0</v>
      </c>
      <c r="HM330" s="1006"/>
      <c r="HN330" s="996">
        <v>0</v>
      </c>
      <c r="HO330" s="1006"/>
      <c r="HP330" s="996">
        <v>-0.74699999999999989</v>
      </c>
      <c r="HQ330" s="1006" t="s">
        <v>146</v>
      </c>
      <c r="HR330" s="996">
        <v>-2.2722480000000003</v>
      </c>
      <c r="HS330" s="1006"/>
      <c r="HT330" s="996">
        <v>0</v>
      </c>
      <c r="HU330" s="1006"/>
      <c r="HV330" s="996">
        <v>0</v>
      </c>
      <c r="HW330" s="1006"/>
      <c r="HX330" s="996">
        <v>0.33237688000000043</v>
      </c>
      <c r="HY330" s="1006"/>
      <c r="HZ330" s="996">
        <v>0.92663911999999993</v>
      </c>
      <c r="IA330" s="1006" t="s">
        <v>199</v>
      </c>
      <c r="IB330" s="996">
        <v>-1.2188879999999997</v>
      </c>
      <c r="IC330" s="1006"/>
      <c r="ID330" s="996">
        <v>0.1585055999999998</v>
      </c>
      <c r="IE330" s="1006"/>
      <c r="IF330" s="996">
        <v>0</v>
      </c>
      <c r="IG330" s="1006"/>
      <c r="IH330" s="996">
        <v>-0.4260256</v>
      </c>
      <c r="II330" s="1006"/>
      <c r="IJ330" s="996">
        <v>0</v>
      </c>
      <c r="IK330" s="1006"/>
      <c r="IL330" s="996">
        <v>0</v>
      </c>
      <c r="IM330" s="1006"/>
      <c r="IN330" s="996">
        <v>0</v>
      </c>
      <c r="IO330" s="1006"/>
      <c r="IP330" s="996">
        <v>0</v>
      </c>
      <c r="IQ330" s="1006"/>
      <c r="IR330" s="996">
        <v>0</v>
      </c>
      <c r="IS330" s="1006" t="s">
        <v>204</v>
      </c>
      <c r="IT330" s="996">
        <v>-1.8768200000000004</v>
      </c>
      <c r="IU330" s="1006"/>
      <c r="IV330" s="996">
        <v>0</v>
      </c>
      <c r="IW330" s="1006"/>
      <c r="IX330" s="996">
        <v>0</v>
      </c>
      <c r="IY330" s="1006"/>
      <c r="IZ330" s="996">
        <v>-0.81510000000000105</v>
      </c>
      <c r="JA330" s="1006" t="s">
        <v>203</v>
      </c>
      <c r="JB330" s="996">
        <v>-15.728399999999999</v>
      </c>
      <c r="JC330" s="1006"/>
      <c r="JD330" s="996">
        <v>0</v>
      </c>
      <c r="JE330" s="1006"/>
      <c r="JF330" s="996">
        <v>0</v>
      </c>
      <c r="JG330" s="1006" t="s">
        <v>25</v>
      </c>
      <c r="JH330" s="996">
        <v>21</v>
      </c>
      <c r="JI330" s="1006"/>
      <c r="JJ330" s="996">
        <v>0</v>
      </c>
      <c r="JK330" s="1007"/>
      <c r="JL330" s="1007">
        <v>0</v>
      </c>
      <c r="JM330" s="1007"/>
      <c r="JN330" s="1007">
        <v>0</v>
      </c>
      <c r="JO330" s="1008"/>
      <c r="JP330" s="1007"/>
      <c r="JQ330" s="1008"/>
      <c r="JR330" s="1007"/>
      <c r="JS330" s="1008"/>
      <c r="JT330" s="1007"/>
      <c r="JU330" s="1008"/>
      <c r="JV330" s="1007"/>
      <c r="JW330" s="1008"/>
      <c r="JX330" s="1007"/>
      <c r="JY330" s="1008"/>
      <c r="JZ330" s="1007"/>
      <c r="KA330" s="1008"/>
      <c r="KB330" s="1007"/>
      <c r="KC330" s="1008"/>
      <c r="KD330" s="1007"/>
      <c r="KE330" s="1008"/>
      <c r="KF330" s="1007"/>
      <c r="KG330" s="1008"/>
      <c r="KH330" s="1007"/>
      <c r="KI330" s="1008"/>
      <c r="KJ330" s="1007"/>
      <c r="KK330" s="1008"/>
      <c r="KL330" s="1007"/>
      <c r="KM330" s="1008"/>
      <c r="KN330" s="1007"/>
      <c r="KO330" s="1008"/>
      <c r="KP330" s="1007"/>
      <c r="KQ330" s="1008"/>
      <c r="KR330" s="1007"/>
      <c r="KS330" s="1008"/>
      <c r="KT330" s="1007"/>
      <c r="KU330" s="1008"/>
      <c r="KV330" s="1007"/>
      <c r="KW330" s="1008"/>
      <c r="KX330" s="1007"/>
      <c r="KY330" s="1008"/>
      <c r="KZ330" s="1007"/>
      <c r="LA330" s="1008"/>
      <c r="LB330" s="1007"/>
      <c r="LC330" s="1008"/>
      <c r="LD330" s="1007"/>
      <c r="LE330" s="1008"/>
      <c r="LF330" s="1007"/>
      <c r="LG330" s="1008"/>
      <c r="LH330" s="1007"/>
      <c r="LI330" s="1008"/>
      <c r="LJ330" s="1007"/>
      <c r="LK330" s="1008"/>
      <c r="LL330" s="1007"/>
      <c r="LM330" s="1008"/>
      <c r="LN330" s="1007"/>
      <c r="LO330" s="1008"/>
      <c r="LP330" s="1007"/>
      <c r="LQ330" s="1008"/>
      <c r="LR330" s="1007"/>
      <c r="LS330" s="1008"/>
      <c r="LT330" s="1007"/>
      <c r="LU330" s="1008"/>
      <c r="LV330" s="1007"/>
      <c r="LW330" s="1008"/>
      <c r="LX330" s="1007"/>
      <c r="LY330" s="1009"/>
      <c r="LZ330" s="1010"/>
      <c r="MA330" s="1011"/>
      <c r="MB330" s="1012"/>
      <c r="MC330" s="995"/>
      <c r="MD330" s="996"/>
      <c r="ME330" s="997" t="s">
        <v>238</v>
      </c>
      <c r="MF330" s="997">
        <f>CN330-CA330</f>
        <v>-20</v>
      </c>
      <c r="MG330" s="998"/>
      <c r="NR330" s="1000"/>
      <c r="NS330" s="1000"/>
      <c r="NT330" s="1001"/>
      <c r="NU330" s="1000"/>
      <c r="NV330" s="1001"/>
      <c r="NX330" s="1002"/>
      <c r="NZ330" s="1001"/>
      <c r="OA330" s="1001"/>
      <c r="OC330" s="1003"/>
      <c r="OD330" s="1003"/>
      <c r="OE330" s="1001"/>
      <c r="OF330" s="1003"/>
      <c r="OG330" s="1003"/>
      <c r="ASU330" s="999" t="s">
        <v>292</v>
      </c>
    </row>
    <row r="331" spans="1:1191" ht="21" customHeight="1" x14ac:dyDescent="0.25">
      <c r="A331" s="982">
        <f t="shared" si="215"/>
        <v>1350</v>
      </c>
      <c r="B331" s="124">
        <f>SUBTOTAL(103,$J$29:J331)</f>
        <v>303</v>
      </c>
      <c r="C331" s="126">
        <v>45096</v>
      </c>
      <c r="D331" s="124" t="s">
        <v>176</v>
      </c>
      <c r="E331" s="127" t="s">
        <v>177</v>
      </c>
      <c r="F331" s="128" t="s">
        <v>177</v>
      </c>
      <c r="G331" s="127" t="s">
        <v>178</v>
      </c>
      <c r="H331" s="127" t="s">
        <v>421</v>
      </c>
      <c r="I331" s="127" t="s">
        <v>560</v>
      </c>
      <c r="J331" s="152">
        <v>1350</v>
      </c>
      <c r="K331" s="127" t="s">
        <v>182</v>
      </c>
      <c r="L331" s="130">
        <v>43732</v>
      </c>
      <c r="M331" s="127" t="s">
        <v>230</v>
      </c>
      <c r="N331" s="127" t="s">
        <v>231</v>
      </c>
      <c r="O331" s="127" t="s">
        <v>185</v>
      </c>
      <c r="P331" s="127" t="s">
        <v>208</v>
      </c>
      <c r="Q331" s="85" t="str">
        <f t="shared" si="249"/>
        <v/>
      </c>
      <c r="R331" s="130"/>
      <c r="S331" s="128"/>
      <c r="T331" s="131"/>
      <c r="U331" s="132">
        <v>203</v>
      </c>
      <c r="V331" s="121">
        <v>218.2</v>
      </c>
      <c r="W331" s="116">
        <v>0.98</v>
      </c>
      <c r="X331" s="116">
        <v>1.66</v>
      </c>
      <c r="Y331" s="116">
        <f t="shared" si="239"/>
        <v>0.98040161029819439</v>
      </c>
      <c r="Z331" s="133">
        <v>1.454</v>
      </c>
      <c r="AA331" s="133">
        <v>0.83599999999999997</v>
      </c>
      <c r="AB331" s="133">
        <v>0.72</v>
      </c>
      <c r="AC331" s="121">
        <v>34.299999999999997</v>
      </c>
      <c r="AD331" s="134">
        <v>1.17</v>
      </c>
      <c r="AE331" s="124">
        <v>177.8</v>
      </c>
      <c r="AF331" s="128">
        <v>9.19</v>
      </c>
      <c r="AG331" s="128">
        <v>2334</v>
      </c>
      <c r="AH331" s="127" t="s">
        <v>1389</v>
      </c>
      <c r="AI331" s="127" t="s">
        <v>1389</v>
      </c>
      <c r="AJ331" s="135"/>
      <c r="AK331" s="128"/>
      <c r="AL331" s="131"/>
      <c r="AM331" s="124" t="s">
        <v>232</v>
      </c>
      <c r="AN331" s="136" t="s">
        <v>1390</v>
      </c>
      <c r="AO331" s="137">
        <v>80</v>
      </c>
      <c r="AP331" s="128">
        <v>2334</v>
      </c>
      <c r="AQ331" s="128">
        <v>475</v>
      </c>
      <c r="AR331" s="128"/>
      <c r="AS331" s="128"/>
      <c r="AT331" s="122"/>
      <c r="AU331" s="124" t="s">
        <v>250</v>
      </c>
      <c r="AV331" s="115">
        <f>VLOOKUP(J331,'[63]ТР нефть'!$J$28:$BP$638,39,0)</f>
        <v>500</v>
      </c>
      <c r="AW331" s="115" t="str">
        <f>VLOOKUP(J331,'[63]ТР нефть'!$J$28:$BP$638,40,0)</f>
        <v>ГП</v>
      </c>
      <c r="AX331" s="115">
        <f>VLOOKUP(J331,'[63]ТР нефть'!$J$28:$BP$638,41,0)</f>
        <v>970</v>
      </c>
      <c r="AY331" s="115" t="str">
        <f>VLOOKUP(J331,'[63]ТР нефть'!$J$28:$BP$638,42,0)</f>
        <v>ГП</v>
      </c>
      <c r="AZ331" s="115">
        <f>VLOOKUP(J331,'[63]ТР нефть'!$J$28:$BP$638,43,0)</f>
        <v>1280</v>
      </c>
      <c r="BA331" s="115" t="str">
        <f>VLOOKUP(J331,'[63]ТР нефть'!$J$28:$BP$638,44,0)</f>
        <v>ГК 78 1/8</v>
      </c>
      <c r="BB331" s="115">
        <f>VLOOKUP(J331,'[63]ТР нефть'!$J$28:$BP$638,45,0)</f>
        <v>1710</v>
      </c>
      <c r="BC331" s="115" t="str">
        <f>VLOOKUP(J331,'[63]ТР нефть'!$J$28:$BP$638,46,0)</f>
        <v>ГК 78 1/8</v>
      </c>
      <c r="BD331" s="115">
        <f>VLOOKUP(J331,'[63]ТР нефть'!$J$28:$BP$638,47,0)</f>
        <v>2010</v>
      </c>
      <c r="BE331" s="115" t="str">
        <f>VLOOKUP(J331,'[63]ТР нефть'!$J$28:$BP$638,48,0)</f>
        <v>ЦКсОК 5/16</v>
      </c>
      <c r="BF331" s="115" t="str">
        <f>VLOOKUP(J331,'[63]ТР нефть'!$J$28:$BP$638,49,0)</f>
        <v>-</v>
      </c>
      <c r="BG331" s="115" t="str">
        <f>VLOOKUP(J331,'[63]ТР нефть'!$J$28:$BP$638,50,0)</f>
        <v>-</v>
      </c>
      <c r="BH331" s="115">
        <f>VLOOKUP(J331,'[63]ТР нефть'!$J$28:$BP$638,51,0)</f>
        <v>2020</v>
      </c>
      <c r="BI331" s="115" t="str">
        <f>VLOOKUP(J331,'[63]ТР нефть'!$J$28:$BP$638,52,0)</f>
        <v>закрыт</v>
      </c>
      <c r="BJ331" s="115" t="str">
        <f>IF(IFERROR(VLOOKUP(J331,'[63]ТР нефть'!$J$28:$BP$638,53,0),"-")=0,"-",IFERROR(VLOOKUP(J331,'[63]ТР нефть'!$J$28:$BP$638,53,0),"-"))</f>
        <v>-</v>
      </c>
      <c r="BK331" s="138" t="str">
        <f>IF(IFERROR(VLOOKUP(J331,'[63]ТР нефть'!$J$28:$BP$638,54,0),"-")=0,"-",IFERROR(VLOOKUP(J331,'[63]ТР нефть'!$J$28:$BP$638,54,0),"-"))</f>
        <v>-</v>
      </c>
      <c r="BL331" s="138" t="str">
        <f>IF(IFERROR(VLOOKUP(J331,'[63]ТР нефть'!$J$28:$BP$638,55,0),"-")=0,"-",IFERROR(VLOOKUP(J331,'[63]ТР нефть'!$J$28:$BP$638,55,0),"-"))</f>
        <v>-</v>
      </c>
      <c r="BM331" s="138" t="str">
        <f>IF(IFERROR(VLOOKUP(J331,'[63]ТР нефть'!$J$28:$BP$638,56,0),"-")=0,"-",IFERROR(VLOOKUP(J331,'[63]ТР нефть'!$J$28:$BP$638,56,0),"-"))</f>
        <v>-</v>
      </c>
      <c r="BN331" s="138" t="str">
        <f>IF(IFERROR(VLOOKUP(J331,'[63]ТР нефть'!$J$28:$BP$638,57,0),"-")=0,"-",IFERROR(VLOOKUP(J331,'[63]ТР нефть'!$J$28:$BP$638,57,0),"-"))</f>
        <v>-</v>
      </c>
      <c r="BO331" s="115" t="str">
        <f>IF(IFERROR(VLOOKUP(J331,'[63]ТР нефть'!$J$28:$BP$638,58,0),"-")=0,"-",IFERROR(VLOOKUP(J331,'[63]ТР нефть'!$J$28:$BP$638,58,0),"-"))</f>
        <v>-</v>
      </c>
      <c r="BP331" s="115" t="str">
        <f>IF(IFERROR(VLOOKUP(J331,'[63]ТР нефть'!$J$28:$BP$638,59,0),"-")=0,"-",IFERROR(VLOOKUP(J331,'[63]ТР нефть'!$J$28:$BP$638,59,0),"-"))</f>
        <v>-</v>
      </c>
      <c r="BQ331" s="138">
        <v>2380</v>
      </c>
      <c r="BR331" s="128">
        <v>1742</v>
      </c>
      <c r="BS331" s="115">
        <f t="shared" ref="BS331:BS370" si="258">BQ331-BR331</f>
        <v>638</v>
      </c>
      <c r="BT331" s="128">
        <v>73</v>
      </c>
      <c r="BU331" s="128">
        <v>5.5</v>
      </c>
      <c r="BV331" s="127">
        <v>18</v>
      </c>
      <c r="BW331" s="127" t="s">
        <v>234</v>
      </c>
      <c r="BX331" s="127" t="s">
        <v>195</v>
      </c>
      <c r="BY331" s="139">
        <v>24</v>
      </c>
      <c r="BZ331" s="139">
        <v>0</v>
      </c>
      <c r="CA331" s="138">
        <v>28</v>
      </c>
      <c r="CB331" s="138">
        <v>55</v>
      </c>
      <c r="CC331" s="138">
        <v>27</v>
      </c>
      <c r="CD331" s="135">
        <v>45017</v>
      </c>
      <c r="CE331" s="138">
        <v>113</v>
      </c>
      <c r="CF331" s="138"/>
      <c r="CG331" s="138"/>
      <c r="CH331" s="138"/>
      <c r="CI331" s="127"/>
      <c r="CJ331" s="138"/>
      <c r="CK331" s="138"/>
      <c r="CL331" s="99"/>
      <c r="CM331" s="127"/>
      <c r="CN331" s="154">
        <v>70</v>
      </c>
      <c r="CO331" s="141">
        <f t="shared" si="216"/>
        <v>27.226346399999997</v>
      </c>
      <c r="CP331" s="142">
        <v>32.6</v>
      </c>
      <c r="CQ331" s="143">
        <v>0.1</v>
      </c>
      <c r="CR331" s="138">
        <v>151.4</v>
      </c>
      <c r="CS331" s="139"/>
      <c r="CT331" s="138"/>
      <c r="CU331" s="138">
        <f t="shared" ref="CU331:CU345" si="259">IF(CR331&lt;&gt;"0",CR331-CS331,"0")</f>
        <v>151.4</v>
      </c>
      <c r="CV331" s="115">
        <f t="shared" ref="CV331:CV345" si="260">(CR331-CS331)*1000/CO331</f>
        <v>5560.7901910775663</v>
      </c>
      <c r="CW331" s="115" t="str">
        <f t="shared" si="217"/>
        <v/>
      </c>
      <c r="CX331" s="133">
        <f t="shared" ref="CX331:CX345" si="261">IF(CP331&lt;&gt;0,CP331/(CE331-CN331),0)</f>
        <v>0.75813953488372099</v>
      </c>
      <c r="CY331" s="116"/>
      <c r="CZ331" s="131"/>
      <c r="DA331" s="145" t="str">
        <f t="shared" si="218"/>
        <v>Фон.</v>
      </c>
      <c r="DB331" s="146">
        <f t="shared" si="219"/>
        <v>27.253599999999999</v>
      </c>
      <c r="DC331" s="142">
        <f t="shared" si="234"/>
        <v>32.6</v>
      </c>
      <c r="DD331" s="119">
        <f t="shared" si="250"/>
        <v>0</v>
      </c>
      <c r="DE331" s="115">
        <f t="shared" si="220"/>
        <v>151.4</v>
      </c>
      <c r="DF331" s="121">
        <f t="shared" si="221"/>
        <v>0</v>
      </c>
      <c r="DG331" s="115">
        <f t="shared" si="222"/>
        <v>5560.7901910775663</v>
      </c>
      <c r="DH331" s="115">
        <f t="shared" si="223"/>
        <v>70</v>
      </c>
      <c r="DI331" s="147"/>
      <c r="DJ331" s="111" t="s">
        <v>197</v>
      </c>
      <c r="DK331" s="112">
        <v>43732</v>
      </c>
      <c r="DL331" s="113">
        <f t="shared" ca="1" si="240"/>
        <v>1372</v>
      </c>
      <c r="DM331" s="114"/>
      <c r="DN331" s="114"/>
      <c r="DO331" s="114"/>
      <c r="DP331" s="114"/>
      <c r="DQ331" s="112" t="s">
        <v>1391</v>
      </c>
      <c r="DR331" s="114" t="s">
        <v>198</v>
      </c>
      <c r="DS331" s="114"/>
      <c r="DT331" s="115">
        <v>59</v>
      </c>
      <c r="DU331" s="116">
        <f t="shared" si="241"/>
        <v>0.71866244667675783</v>
      </c>
      <c r="DV331" s="117">
        <f t="shared" si="242"/>
        <v>32.410854195282781</v>
      </c>
      <c r="DW331" s="118">
        <f t="shared" si="243"/>
        <v>38.807772120544925</v>
      </c>
      <c r="DX331" s="119">
        <f t="shared" si="224"/>
        <v>0.1</v>
      </c>
      <c r="DY331" s="115">
        <f t="shared" si="244"/>
        <v>180.22996009357368</v>
      </c>
      <c r="DZ331" s="117">
        <f t="shared" si="245"/>
        <v>5.1845077952827836</v>
      </c>
      <c r="EA331" s="120">
        <f t="shared" si="245"/>
        <v>6.2077721205449237</v>
      </c>
      <c r="EB331" s="119">
        <f t="shared" si="245"/>
        <v>0</v>
      </c>
      <c r="EC331" s="121">
        <f t="shared" si="246"/>
        <v>28.829960093573675</v>
      </c>
      <c r="ED331" s="122"/>
      <c r="EE331" s="145">
        <v>18</v>
      </c>
      <c r="EF331" s="115">
        <v>37</v>
      </c>
      <c r="EG331" s="115">
        <v>86</v>
      </c>
      <c r="EH331" s="115">
        <v>36</v>
      </c>
      <c r="EI331" s="128" t="s">
        <v>195</v>
      </c>
      <c r="EJ331" s="121">
        <v>24</v>
      </c>
      <c r="EK331" s="121">
        <v>0</v>
      </c>
      <c r="EL331" s="149">
        <v>22.404799999999998</v>
      </c>
      <c r="EM331" s="142">
        <v>26.8</v>
      </c>
      <c r="EN331" s="119">
        <v>0</v>
      </c>
      <c r="EO331" s="115">
        <v>64.599999999999994</v>
      </c>
      <c r="EP331" s="115">
        <v>2883.3107191316144</v>
      </c>
      <c r="EQ331" s="115">
        <v>0</v>
      </c>
      <c r="ER331" s="115">
        <v>0</v>
      </c>
      <c r="ES331" s="115">
        <v>64</v>
      </c>
      <c r="ET331" s="150">
        <v>0.54693877551020409</v>
      </c>
      <c r="EU331" s="145">
        <f t="shared" si="225"/>
        <v>18</v>
      </c>
      <c r="EV331" s="115">
        <f t="shared" si="226"/>
        <v>28</v>
      </c>
      <c r="EW331" s="115">
        <f t="shared" si="226"/>
        <v>55</v>
      </c>
      <c r="EX331" s="115">
        <f t="shared" si="226"/>
        <v>27</v>
      </c>
      <c r="EY331" s="115" t="str">
        <f t="shared" si="253"/>
        <v>Постоянный</v>
      </c>
      <c r="EZ331" s="115">
        <f t="shared" si="253"/>
        <v>24</v>
      </c>
      <c r="FA331" s="115">
        <f t="shared" si="253"/>
        <v>0</v>
      </c>
      <c r="FB331" s="149">
        <f t="shared" si="238"/>
        <v>27.226346399999997</v>
      </c>
      <c r="FC331" s="142">
        <f t="shared" si="238"/>
        <v>32.6</v>
      </c>
      <c r="FD331" s="119">
        <f t="shared" si="238"/>
        <v>0.1</v>
      </c>
      <c r="FE331" s="121">
        <f t="shared" si="238"/>
        <v>151.4</v>
      </c>
      <c r="FF331" s="121">
        <f t="shared" si="247"/>
        <v>5560.7901910775663</v>
      </c>
      <c r="FG331" s="121">
        <f t="shared" si="227"/>
        <v>0</v>
      </c>
      <c r="FH331" s="121">
        <f t="shared" si="248"/>
        <v>0</v>
      </c>
      <c r="FI331" s="121">
        <f t="shared" si="252"/>
        <v>70</v>
      </c>
      <c r="FJ331" s="144">
        <f t="shared" si="228"/>
        <v>0.75813953488372099</v>
      </c>
      <c r="FK331" s="132">
        <f t="shared" si="229"/>
        <v>0</v>
      </c>
      <c r="FL331" s="115">
        <f t="shared" si="229"/>
        <v>-9</v>
      </c>
      <c r="FM331" s="115">
        <f t="shared" si="229"/>
        <v>-31</v>
      </c>
      <c r="FN331" s="115">
        <f t="shared" si="229"/>
        <v>-9</v>
      </c>
      <c r="FO331" s="115">
        <f t="shared" si="257"/>
        <v>0</v>
      </c>
      <c r="FP331" s="115">
        <f t="shared" si="257"/>
        <v>0</v>
      </c>
      <c r="FQ331" s="149">
        <f t="shared" si="257"/>
        <v>4.821546399999999</v>
      </c>
      <c r="FR331" s="142">
        <f t="shared" si="256"/>
        <v>5.8000000000000007</v>
      </c>
      <c r="FS331" s="119">
        <f t="shared" si="256"/>
        <v>0.1</v>
      </c>
      <c r="FT331" s="121">
        <f t="shared" si="256"/>
        <v>86.800000000000011</v>
      </c>
      <c r="FU331" s="121">
        <f t="shared" si="230"/>
        <v>0</v>
      </c>
      <c r="FV331" s="121">
        <f t="shared" si="230"/>
        <v>0</v>
      </c>
      <c r="FW331" s="121">
        <f t="shared" si="231"/>
        <v>2677.4794719459519</v>
      </c>
      <c r="FX331" s="121">
        <f t="shared" si="233"/>
        <v>6</v>
      </c>
      <c r="FY331" s="144">
        <f t="shared" si="214"/>
        <v>0.2112007593735169</v>
      </c>
      <c r="FZ331" s="145" t="s">
        <v>199</v>
      </c>
      <c r="GA331" s="1055" t="s">
        <v>200</v>
      </c>
      <c r="GB331" s="145" t="s">
        <v>199</v>
      </c>
      <c r="GC331" s="151" t="s">
        <v>304</v>
      </c>
      <c r="GD331" s="997" t="s">
        <v>238</v>
      </c>
      <c r="GE331" s="1004" t="s">
        <v>199</v>
      </c>
      <c r="GF331" s="1004">
        <v>-3.8068096000000011</v>
      </c>
      <c r="GG331" s="1004"/>
      <c r="GH331" s="1004">
        <v>0</v>
      </c>
      <c r="GI331" s="145"/>
      <c r="GJ331" s="996">
        <v>0</v>
      </c>
      <c r="GK331" s="145"/>
      <c r="GL331" s="996">
        <v>0</v>
      </c>
      <c r="GM331" s="1005"/>
      <c r="GN331" s="996">
        <v>0</v>
      </c>
      <c r="GO331" s="1006" t="s">
        <v>203</v>
      </c>
      <c r="GP331" s="996">
        <v>-10.593315479999998</v>
      </c>
      <c r="GQ331" s="1006" t="s">
        <v>221</v>
      </c>
      <c r="GR331" s="996">
        <v>21.815035439999996</v>
      </c>
      <c r="GS331" s="1006" t="s">
        <v>25</v>
      </c>
      <c r="GT331" s="996">
        <v>8.3980296400000007</v>
      </c>
      <c r="GU331" s="1006"/>
      <c r="GV331" s="996">
        <v>0</v>
      </c>
      <c r="GW331" s="1006"/>
      <c r="GX331" s="1049">
        <v>0</v>
      </c>
      <c r="GY331" s="1006"/>
      <c r="GZ331" s="996">
        <v>0</v>
      </c>
      <c r="HA331" s="1006" t="s">
        <v>199</v>
      </c>
      <c r="HB331" s="996">
        <v>-1.6348815999999999</v>
      </c>
      <c r="HC331" s="1006" t="s">
        <v>241</v>
      </c>
      <c r="HD331" s="996">
        <v>-1.518214455999999</v>
      </c>
      <c r="HE331" s="1006" t="s">
        <v>199</v>
      </c>
      <c r="HF331" s="996">
        <v>2.9909120559999991</v>
      </c>
      <c r="HG331" s="1006" t="s">
        <v>199</v>
      </c>
      <c r="HH331" s="996">
        <v>-7.7254759999999987</v>
      </c>
      <c r="HI331" s="1006"/>
      <c r="HJ331" s="996">
        <v>0</v>
      </c>
      <c r="HK331" s="1006"/>
      <c r="HL331" s="996">
        <v>0.47951999999999906</v>
      </c>
      <c r="HM331" s="1006" t="s">
        <v>203</v>
      </c>
      <c r="HN331" s="996">
        <v>-8.2099284695999994</v>
      </c>
      <c r="HO331" s="1006"/>
      <c r="HP331" s="996">
        <v>0</v>
      </c>
      <c r="HQ331" s="1006" t="s">
        <v>203</v>
      </c>
      <c r="HR331" s="996">
        <v>-3.2748400000000011</v>
      </c>
      <c r="HS331" s="1006" t="s">
        <v>25</v>
      </c>
      <c r="HT331" s="996">
        <v>18.085429999999999</v>
      </c>
      <c r="HU331" s="1006"/>
      <c r="HV331" s="996">
        <v>0</v>
      </c>
      <c r="HW331" s="1006"/>
      <c r="HX331" s="996">
        <v>0</v>
      </c>
      <c r="HY331" s="1006"/>
      <c r="HZ331" s="996">
        <v>0</v>
      </c>
      <c r="IA331" s="1006"/>
      <c r="IB331" s="996">
        <v>0.16720000000000002</v>
      </c>
      <c r="IC331" s="1006"/>
      <c r="ID331" s="996">
        <v>0</v>
      </c>
      <c r="IE331" s="1006"/>
      <c r="IF331" s="996">
        <v>0</v>
      </c>
      <c r="IG331" s="1006"/>
      <c r="IH331" s="996">
        <v>-0.25080000000000013</v>
      </c>
      <c r="II331" s="1006"/>
      <c r="IJ331" s="996">
        <v>0</v>
      </c>
      <c r="IK331" s="1006"/>
      <c r="IL331" s="996">
        <v>0</v>
      </c>
      <c r="IM331" s="1006"/>
      <c r="IN331" s="996">
        <v>0</v>
      </c>
      <c r="IO331" s="1006"/>
      <c r="IP331" s="996">
        <v>0</v>
      </c>
      <c r="IQ331" s="1006" t="s">
        <v>199</v>
      </c>
      <c r="IR331" s="996">
        <v>-1.5883999999999998</v>
      </c>
      <c r="IS331" s="1006"/>
      <c r="IT331" s="996">
        <v>0</v>
      </c>
      <c r="IU331" s="1006" t="s">
        <v>203</v>
      </c>
      <c r="IV331" s="996">
        <v>-3.3439999999999999</v>
      </c>
      <c r="IW331" s="1006" t="s">
        <v>203</v>
      </c>
      <c r="IX331" s="996">
        <v>-2.0448560000000002</v>
      </c>
      <c r="IY331" s="1006"/>
      <c r="IZ331" s="996">
        <v>0</v>
      </c>
      <c r="JA331" s="1006" t="s">
        <v>25</v>
      </c>
      <c r="JB331" s="996">
        <v>3.5</v>
      </c>
      <c r="JC331" s="1006" t="s">
        <v>199</v>
      </c>
      <c r="JD331" s="996">
        <v>1.8124479999999998</v>
      </c>
      <c r="JE331" s="1006"/>
      <c r="JF331" s="996">
        <v>0</v>
      </c>
      <c r="JG331" s="1006" t="s">
        <v>199</v>
      </c>
      <c r="JH331" s="996">
        <v>-3.1333280000000006</v>
      </c>
      <c r="JI331" s="1006"/>
      <c r="JJ331" s="996">
        <v>0</v>
      </c>
      <c r="JK331" s="1007" t="s">
        <v>897</v>
      </c>
      <c r="JL331" s="1007">
        <v>-10.63392</v>
      </c>
      <c r="JM331" s="1007"/>
      <c r="JN331" s="1007">
        <v>18.057600000000001</v>
      </c>
      <c r="JO331" s="1008"/>
      <c r="JP331" s="1007">
        <v>0</v>
      </c>
      <c r="JQ331" s="1008"/>
      <c r="JR331" s="1007"/>
      <c r="JS331" s="1008"/>
      <c r="JT331" s="1007"/>
      <c r="JU331" s="1008"/>
      <c r="JV331" s="1007"/>
      <c r="JW331" s="1008"/>
      <c r="JX331" s="1007"/>
      <c r="JY331" s="1008"/>
      <c r="JZ331" s="1007"/>
      <c r="KA331" s="1008"/>
      <c r="KB331" s="1007"/>
      <c r="KC331" s="1008"/>
      <c r="KD331" s="1007"/>
      <c r="KE331" s="1008"/>
      <c r="KF331" s="1007"/>
      <c r="KG331" s="1008"/>
      <c r="KH331" s="1007"/>
      <c r="KI331" s="1008"/>
      <c r="KJ331" s="1007"/>
      <c r="KK331" s="1008"/>
      <c r="KL331" s="1007"/>
      <c r="KM331" s="1008"/>
      <c r="KN331" s="1007"/>
      <c r="KO331" s="1008"/>
      <c r="KP331" s="1007"/>
      <c r="KQ331" s="1008"/>
      <c r="KR331" s="1007"/>
      <c r="KS331" s="1008"/>
      <c r="KT331" s="1007"/>
      <c r="KU331" s="1008"/>
      <c r="KV331" s="1007"/>
      <c r="KW331" s="1008"/>
      <c r="KX331" s="1007"/>
      <c r="KY331" s="1008"/>
      <c r="KZ331" s="1007"/>
      <c r="LA331" s="1008"/>
      <c r="LB331" s="1007"/>
      <c r="LC331" s="1008"/>
      <c r="LD331" s="1007"/>
      <c r="LE331" s="1008"/>
      <c r="LF331" s="1007"/>
      <c r="LG331" s="1008"/>
      <c r="LH331" s="1007"/>
      <c r="LI331" s="1008"/>
      <c r="LJ331" s="1007"/>
      <c r="LK331" s="1008"/>
      <c r="LL331" s="1007"/>
      <c r="LM331" s="1008"/>
      <c r="LN331" s="1007"/>
      <c r="LO331" s="1008"/>
      <c r="LP331" s="1007"/>
      <c r="LQ331" s="1008"/>
      <c r="LR331" s="1007"/>
      <c r="LS331" s="1008"/>
      <c r="LT331" s="1007"/>
      <c r="LU331" s="1008"/>
      <c r="LV331" s="1007"/>
      <c r="LW331" s="1008"/>
      <c r="LX331" s="1007"/>
      <c r="LY331" s="1009"/>
      <c r="LZ331" s="1010"/>
      <c r="MA331" s="1011"/>
      <c r="MB331" s="1012"/>
      <c r="MC331" s="995"/>
      <c r="MD331" s="996"/>
      <c r="ME331" s="997" t="s">
        <v>238</v>
      </c>
      <c r="MF331" s="997"/>
      <c r="MG331" s="998"/>
      <c r="NR331" s="1000"/>
      <c r="NS331" s="1000"/>
      <c r="NT331" s="1001"/>
      <c r="NU331" s="1000"/>
      <c r="NV331" s="1001"/>
      <c r="NX331" s="1002"/>
      <c r="NZ331" s="1001"/>
      <c r="OA331" s="1001"/>
      <c r="OC331" s="1003"/>
      <c r="OD331" s="1003"/>
      <c r="OE331" s="1001"/>
      <c r="OF331" s="1003"/>
      <c r="OG331" s="1003"/>
      <c r="OH331" s="1003"/>
      <c r="OI331" s="1016"/>
      <c r="QX331" s="1000">
        <f t="shared" ref="QX331:QX347" si="262">CN331-CA331</f>
        <v>42</v>
      </c>
      <c r="ASU331" s="999" t="s">
        <v>208</v>
      </c>
    </row>
    <row r="332" spans="1:1191" ht="21" customHeight="1" x14ac:dyDescent="0.25">
      <c r="A332" s="982">
        <f t="shared" si="215"/>
        <v>1351</v>
      </c>
      <c r="B332" s="124">
        <f>SUBTOTAL(103,$J$29:J332)</f>
        <v>304</v>
      </c>
      <c r="C332" s="126">
        <v>45068</v>
      </c>
      <c r="D332" s="124" t="s">
        <v>176</v>
      </c>
      <c r="E332" s="127" t="s">
        <v>177</v>
      </c>
      <c r="F332" s="128" t="s">
        <v>177</v>
      </c>
      <c r="G332" s="127" t="s">
        <v>178</v>
      </c>
      <c r="H332" s="127" t="s">
        <v>421</v>
      </c>
      <c r="I332" s="127" t="s">
        <v>422</v>
      </c>
      <c r="J332" s="152">
        <v>1351</v>
      </c>
      <c r="K332" s="127" t="s">
        <v>1236</v>
      </c>
      <c r="L332" s="130">
        <v>42605</v>
      </c>
      <c r="M332" s="127" t="s">
        <v>230</v>
      </c>
      <c r="N332" s="127" t="s">
        <v>231</v>
      </c>
      <c r="O332" s="127" t="s">
        <v>185</v>
      </c>
      <c r="P332" s="127" t="s">
        <v>186</v>
      </c>
      <c r="Q332" s="85" t="str">
        <f t="shared" si="249"/>
        <v/>
      </c>
      <c r="R332" s="130"/>
      <c r="S332" s="128"/>
      <c r="T332" s="131"/>
      <c r="U332" s="132">
        <v>203</v>
      </c>
      <c r="V332" s="121">
        <v>218.2</v>
      </c>
      <c r="W332" s="116">
        <v>0.98</v>
      </c>
      <c r="X332" s="116">
        <v>1.66</v>
      </c>
      <c r="Y332" s="116">
        <f t="shared" si="239"/>
        <v>0.98</v>
      </c>
      <c r="Z332" s="133">
        <v>1.454</v>
      </c>
      <c r="AA332" s="133">
        <v>0.83599999999999997</v>
      </c>
      <c r="AB332" s="133">
        <v>0.72</v>
      </c>
      <c r="AC332" s="121">
        <v>34.299999999999997</v>
      </c>
      <c r="AD332" s="134">
        <v>1.17</v>
      </c>
      <c r="AE332" s="124">
        <v>177.8</v>
      </c>
      <c r="AF332" s="128">
        <v>9.19</v>
      </c>
      <c r="AG332" s="128">
        <v>2162</v>
      </c>
      <c r="AH332" s="127">
        <v>2775</v>
      </c>
      <c r="AI332" s="127">
        <v>2775</v>
      </c>
      <c r="AJ332" s="135"/>
      <c r="AK332" s="128"/>
      <c r="AL332" s="131"/>
      <c r="AM332" s="124" t="s">
        <v>232</v>
      </c>
      <c r="AN332" s="136" t="s">
        <v>1392</v>
      </c>
      <c r="AO332" s="137">
        <v>22.87</v>
      </c>
      <c r="AP332" s="128">
        <v>2248</v>
      </c>
      <c r="AQ332" s="128">
        <v>274.7</v>
      </c>
      <c r="AR332" s="128"/>
      <c r="AS332" s="128"/>
      <c r="AT332" s="122"/>
      <c r="AU332" s="124" t="s">
        <v>189</v>
      </c>
      <c r="AV332" s="115">
        <f>VLOOKUP(J332,'[63]ТР нефть'!$J$28:$BP$638,39,0)</f>
        <v>582.99998642599996</v>
      </c>
      <c r="AW332" s="115" t="str">
        <f>VLOOKUP(J332,'[63]ТР нефть'!$J$28:$BP$638,40,0)</f>
        <v>ГП</v>
      </c>
      <c r="AX332" s="115">
        <f>VLOOKUP(J332,'[63]ТР нефть'!$J$28:$BP$638,41,0)</f>
        <v>1134.999967383</v>
      </c>
      <c r="AY332" s="115" t="str">
        <f>VLOOKUP(J332,'[63]ТР нефть'!$J$28:$BP$638,42,0)</f>
        <v>ГК79 1/8</v>
      </c>
      <c r="AZ332" s="115">
        <f>VLOOKUP(J332,'[63]ТР нефть'!$J$28:$BP$638,43,0)</f>
        <v>1668.999967969</v>
      </c>
      <c r="BA332" s="115" t="str">
        <f>VLOOKUP(J332,'[63]ТР нефть'!$J$28:$BP$638,44,0)</f>
        <v>ГК80 5/32</v>
      </c>
      <c r="BB332" s="115">
        <f>VLOOKUP(J332,'[63]ТР нефть'!$J$28:$BP$638,45,0)</f>
        <v>1819.999941797</v>
      </c>
      <c r="BC332" s="115" t="str">
        <f>VLOOKUP(J332,'[63]ТР нефть'!$J$28:$BP$638,46,0)</f>
        <v>ЦКсОК 5/16</v>
      </c>
      <c r="BD332" s="115" t="str">
        <f>VLOOKUP(J332,'[63]ТР нефть'!$J$28:$BP$638,47,0)</f>
        <v>-</v>
      </c>
      <c r="BE332" s="115" t="str">
        <f>VLOOKUP(J332,'[63]ТР нефть'!$J$28:$BP$638,48,0)</f>
        <v>-</v>
      </c>
      <c r="BF332" s="115" t="str">
        <f>VLOOKUP(J332,'[63]ТР нефть'!$J$28:$BP$638,49,0)</f>
        <v>-</v>
      </c>
      <c r="BG332" s="115" t="str">
        <f>VLOOKUP(J332,'[63]ТР нефть'!$J$28:$BP$638,50,0)</f>
        <v>-</v>
      </c>
      <c r="BH332" s="115" t="str">
        <f>VLOOKUP(J332,'[63]ТР нефть'!$J$28:$BP$638,51,0)</f>
        <v>-</v>
      </c>
      <c r="BI332" s="115" t="str">
        <f>VLOOKUP(J332,'[63]ТР нефть'!$J$28:$BP$638,52,0)</f>
        <v>-</v>
      </c>
      <c r="BJ332" s="115" t="str">
        <f>IF(IFERROR(VLOOKUP(J332,'[63]ТР нефть'!$J$28:$BP$638,53,0),"-")=0,"-",IFERROR(VLOOKUP(J332,'[63]ТР нефть'!$J$28:$BP$638,53,0),"-"))</f>
        <v>-</v>
      </c>
      <c r="BK332" s="138" t="str">
        <f>IF(IFERROR(VLOOKUP(J332,'[63]ТР нефть'!$J$28:$BP$638,54,0),"-")=0,"-",IFERROR(VLOOKUP(J332,'[63]ТР нефть'!$J$28:$BP$638,54,0),"-"))</f>
        <v>-</v>
      </c>
      <c r="BL332" s="138" t="str">
        <f>IF(IFERROR(VLOOKUP(J332,'[63]ТР нефть'!$J$28:$BP$638,55,0),"-")=0,"-",IFERROR(VLOOKUP(J332,'[63]ТР нефть'!$J$28:$BP$638,55,0),"-"))</f>
        <v>-</v>
      </c>
      <c r="BM332" s="138" t="str">
        <f>IF(IFERROR(VLOOKUP(J332,'[63]ТР нефть'!$J$28:$BP$638,56,0),"-")=0,"-",IFERROR(VLOOKUP(J332,'[63]ТР нефть'!$J$28:$BP$638,56,0),"-"))</f>
        <v>-</v>
      </c>
      <c r="BN332" s="138" t="str">
        <f>IF(IFERROR(VLOOKUP(J332,'[63]ТР нефть'!$J$28:$BP$638,57,0),"-")=0,"-",IFERROR(VLOOKUP(J332,'[63]ТР нефть'!$J$28:$BP$638,57,0),"-"))</f>
        <v>-</v>
      </c>
      <c r="BO332" s="115" t="str">
        <f>IF(IFERROR(VLOOKUP(J332,'[63]ТР нефть'!$J$28:$BP$638,58,0),"-")=0,"-",IFERROR(VLOOKUP(J332,'[63]ТР нефть'!$J$28:$BP$638,58,0),"-"))</f>
        <v>-</v>
      </c>
      <c r="BP332" s="115" t="str">
        <f>IF(IFERROR(VLOOKUP(J332,'[63]ТР нефть'!$J$28:$BP$638,59,0),"-")=0,"-",IFERROR(VLOOKUP(J332,'[63]ТР нефть'!$J$28:$BP$638,59,0),"-"))</f>
        <v>-</v>
      </c>
      <c r="BQ332" s="138">
        <v>2170</v>
      </c>
      <c r="BR332" s="128">
        <v>1887.9</v>
      </c>
      <c r="BS332" s="115">
        <f t="shared" si="258"/>
        <v>282.09999999999991</v>
      </c>
      <c r="BT332" s="128">
        <v>73</v>
      </c>
      <c r="BU332" s="128">
        <v>5.5</v>
      </c>
      <c r="BV332" s="127">
        <v>18</v>
      </c>
      <c r="BW332" s="127" t="s">
        <v>217</v>
      </c>
      <c r="BX332" s="127" t="s">
        <v>195</v>
      </c>
      <c r="BY332" s="139">
        <v>24</v>
      </c>
      <c r="BZ332" s="139">
        <v>0</v>
      </c>
      <c r="CA332" s="138">
        <v>28</v>
      </c>
      <c r="CB332" s="138">
        <v>54</v>
      </c>
      <c r="CC332" s="138">
        <v>27</v>
      </c>
      <c r="CD332" s="135">
        <v>45017</v>
      </c>
      <c r="CE332" s="138">
        <v>95</v>
      </c>
      <c r="CF332" s="138">
        <v>70</v>
      </c>
      <c r="CG332" s="138" t="str">
        <f t="shared" ref="CG332:CG338" si="263">IF(CH332&lt;&gt;"","В работе","")</f>
        <v>В работе</v>
      </c>
      <c r="CH332" s="138" t="s">
        <v>196</v>
      </c>
      <c r="CI332" s="127">
        <v>6</v>
      </c>
      <c r="CJ332" s="138"/>
      <c r="CK332" s="138"/>
      <c r="CL332" s="99"/>
      <c r="CM332" s="99"/>
      <c r="CN332" s="140">
        <v>45</v>
      </c>
      <c r="CO332" s="159">
        <f t="shared" si="216"/>
        <v>6.0191999999999997</v>
      </c>
      <c r="CP332" s="160">
        <v>7.2</v>
      </c>
      <c r="CQ332" s="161">
        <v>0</v>
      </c>
      <c r="CR332" s="138">
        <v>14</v>
      </c>
      <c r="CS332" s="139">
        <v>7.2</v>
      </c>
      <c r="CT332" s="138"/>
      <c r="CU332" s="138">
        <f t="shared" si="259"/>
        <v>6.8</v>
      </c>
      <c r="CV332" s="115">
        <f t="shared" si="260"/>
        <v>1129.7182349813929</v>
      </c>
      <c r="CW332" s="115">
        <f t="shared" si="217"/>
        <v>1196.1722488038279</v>
      </c>
      <c r="CX332" s="133">
        <f t="shared" si="261"/>
        <v>0.14400000000000002</v>
      </c>
      <c r="CY332" s="116"/>
      <c r="CZ332" s="131"/>
      <c r="DA332" s="145" t="str">
        <f t="shared" si="218"/>
        <v>Газлифт</v>
      </c>
      <c r="DB332" s="146">
        <f t="shared" si="219"/>
        <v>6.0191999999999997</v>
      </c>
      <c r="DC332" s="142">
        <f t="shared" si="234"/>
        <v>7.2</v>
      </c>
      <c r="DD332" s="119">
        <f t="shared" si="250"/>
        <v>0</v>
      </c>
      <c r="DE332" s="115">
        <f t="shared" si="220"/>
        <v>6.8</v>
      </c>
      <c r="DF332" s="121">
        <f t="shared" si="221"/>
        <v>7.2</v>
      </c>
      <c r="DG332" s="115">
        <f t="shared" si="222"/>
        <v>1129.7182349813929</v>
      </c>
      <c r="DH332" s="115">
        <f t="shared" si="223"/>
        <v>45</v>
      </c>
      <c r="DI332" s="147"/>
      <c r="DJ332" s="111">
        <v>43173</v>
      </c>
      <c r="DK332" s="112">
        <v>42582</v>
      </c>
      <c r="DL332" s="113">
        <f t="shared" ca="1" si="240"/>
        <v>2522</v>
      </c>
      <c r="DM332" s="114"/>
      <c r="DN332" s="114"/>
      <c r="DO332" s="114"/>
      <c r="DP332" s="114"/>
      <c r="DQ332" s="112">
        <v>43888</v>
      </c>
      <c r="DR332" s="114" t="s">
        <v>198</v>
      </c>
      <c r="DS332" s="114"/>
      <c r="DT332" s="115">
        <v>58</v>
      </c>
      <c r="DU332" s="116">
        <f t="shared" si="241"/>
        <v>0.19459459459459461</v>
      </c>
      <c r="DV332" s="117">
        <f t="shared" si="242"/>
        <v>6.0191999999999997</v>
      </c>
      <c r="DW332" s="118">
        <f t="shared" si="243"/>
        <v>7.2</v>
      </c>
      <c r="DX332" s="119">
        <f t="shared" si="224"/>
        <v>0</v>
      </c>
      <c r="DY332" s="115">
        <f t="shared" si="244"/>
        <v>6.8</v>
      </c>
      <c r="DZ332" s="117">
        <f t="shared" si="245"/>
        <v>0</v>
      </c>
      <c r="EA332" s="120">
        <f t="shared" si="245"/>
        <v>0</v>
      </c>
      <c r="EB332" s="119">
        <f t="shared" si="245"/>
        <v>0</v>
      </c>
      <c r="EC332" s="121">
        <f t="shared" si="246"/>
        <v>0</v>
      </c>
      <c r="ED332" s="122"/>
      <c r="EE332" s="145">
        <v>18</v>
      </c>
      <c r="EF332" s="115">
        <v>28</v>
      </c>
      <c r="EG332" s="115">
        <v>54</v>
      </c>
      <c r="EH332" s="115">
        <v>27</v>
      </c>
      <c r="EI332" s="128" t="s">
        <v>195</v>
      </c>
      <c r="EJ332" s="121">
        <v>24</v>
      </c>
      <c r="EK332" s="121">
        <v>0</v>
      </c>
      <c r="EL332" s="162">
        <v>6.0191999999999997</v>
      </c>
      <c r="EM332" s="142">
        <v>7.2</v>
      </c>
      <c r="EN332" s="119">
        <v>0</v>
      </c>
      <c r="EO332" s="115">
        <v>14</v>
      </c>
      <c r="EP332" s="115">
        <v>1129.7182349813929</v>
      </c>
      <c r="EQ332" s="115">
        <v>70</v>
      </c>
      <c r="ER332" s="115">
        <v>7.2</v>
      </c>
      <c r="ES332" s="115">
        <v>45</v>
      </c>
      <c r="ET332" s="150">
        <v>0.14400000000000002</v>
      </c>
      <c r="EU332" s="145">
        <f t="shared" si="225"/>
        <v>18</v>
      </c>
      <c r="EV332" s="115">
        <f t="shared" si="226"/>
        <v>28</v>
      </c>
      <c r="EW332" s="115">
        <f t="shared" si="226"/>
        <v>54</v>
      </c>
      <c r="EX332" s="115">
        <f t="shared" si="226"/>
        <v>27</v>
      </c>
      <c r="EY332" s="115" t="str">
        <f t="shared" si="253"/>
        <v>Постоянный</v>
      </c>
      <c r="EZ332" s="115">
        <f t="shared" si="253"/>
        <v>24</v>
      </c>
      <c r="FA332" s="115">
        <f t="shared" si="253"/>
        <v>0</v>
      </c>
      <c r="FB332" s="149">
        <f t="shared" si="238"/>
        <v>6.0191999999999997</v>
      </c>
      <c r="FC332" s="142">
        <f t="shared" si="238"/>
        <v>7.2</v>
      </c>
      <c r="FD332" s="119">
        <f t="shared" si="238"/>
        <v>0</v>
      </c>
      <c r="FE332" s="121">
        <f t="shared" si="238"/>
        <v>14</v>
      </c>
      <c r="FF332" s="121">
        <f t="shared" si="247"/>
        <v>1129.7182349813929</v>
      </c>
      <c r="FG332" s="121">
        <f t="shared" si="227"/>
        <v>70</v>
      </c>
      <c r="FH332" s="121">
        <f t="shared" si="248"/>
        <v>7.2</v>
      </c>
      <c r="FI332" s="121">
        <f t="shared" si="252"/>
        <v>45</v>
      </c>
      <c r="FJ332" s="144">
        <f t="shared" si="228"/>
        <v>0.14400000000000002</v>
      </c>
      <c r="FK332" s="132">
        <f t="shared" si="229"/>
        <v>0</v>
      </c>
      <c r="FL332" s="115">
        <f t="shared" si="229"/>
        <v>0</v>
      </c>
      <c r="FM332" s="115">
        <f t="shared" si="229"/>
        <v>0</v>
      </c>
      <c r="FN332" s="115">
        <f t="shared" si="229"/>
        <v>0</v>
      </c>
      <c r="FO332" s="115">
        <f t="shared" si="257"/>
        <v>0</v>
      </c>
      <c r="FP332" s="115">
        <f t="shared" si="257"/>
        <v>0</v>
      </c>
      <c r="FQ332" s="149">
        <f t="shared" si="257"/>
        <v>0</v>
      </c>
      <c r="FR332" s="142">
        <f t="shared" si="256"/>
        <v>0</v>
      </c>
      <c r="FS332" s="119">
        <f t="shared" si="256"/>
        <v>0</v>
      </c>
      <c r="FT332" s="121">
        <f t="shared" si="256"/>
        <v>0</v>
      </c>
      <c r="FU332" s="121">
        <f t="shared" si="230"/>
        <v>0</v>
      </c>
      <c r="FV332" s="121">
        <f t="shared" si="230"/>
        <v>0</v>
      </c>
      <c r="FW332" s="121">
        <f t="shared" si="231"/>
        <v>0</v>
      </c>
      <c r="FX332" s="121">
        <f>CN332-ES332</f>
        <v>0</v>
      </c>
      <c r="FY332" s="144">
        <f t="shared" si="214"/>
        <v>0</v>
      </c>
      <c r="FZ332" s="145"/>
      <c r="GA332" s="151" t="s">
        <v>1181</v>
      </c>
      <c r="GB332" s="145"/>
      <c r="GC332" s="151"/>
      <c r="GD332" s="997" t="s">
        <v>416</v>
      </c>
      <c r="GE332" s="1004"/>
      <c r="GF332" s="1004">
        <v>1.6191648000000392E-2</v>
      </c>
      <c r="GG332" s="1004"/>
      <c r="GH332" s="1004">
        <v>-0.91606204800000057</v>
      </c>
      <c r="GI332" s="145"/>
      <c r="GJ332" s="996">
        <v>-0.75408955600000027</v>
      </c>
      <c r="GK332" s="145"/>
      <c r="GL332" s="996">
        <v>0</v>
      </c>
      <c r="GM332" s="1005"/>
      <c r="GN332" s="996">
        <v>0</v>
      </c>
      <c r="GO332" s="1006" t="s">
        <v>25</v>
      </c>
      <c r="GP332" s="996">
        <v>3.2089199560000008</v>
      </c>
      <c r="GQ332" s="1006"/>
      <c r="GR332" s="996">
        <v>-0.37868626400000149</v>
      </c>
      <c r="GS332" s="1006"/>
      <c r="GT332" s="996">
        <v>0.79000996800000056</v>
      </c>
      <c r="GU332" s="1006"/>
      <c r="GV332" s="996">
        <v>0</v>
      </c>
      <c r="GW332" s="1006"/>
      <c r="GX332" s="1035">
        <v>0</v>
      </c>
      <c r="GY332" s="1006" t="s">
        <v>203</v>
      </c>
      <c r="GZ332" s="996">
        <v>-1.8655624240000002</v>
      </c>
      <c r="HA332" s="1006" t="s">
        <v>203</v>
      </c>
      <c r="HB332" s="996">
        <v>-1.522004879999999</v>
      </c>
      <c r="HC332" s="1006" t="s">
        <v>241</v>
      </c>
      <c r="HD332" s="996">
        <v>0</v>
      </c>
      <c r="HE332" s="1006" t="s">
        <v>203</v>
      </c>
      <c r="HF332" s="996">
        <v>-15.165625200000001</v>
      </c>
      <c r="HG332" s="1006" t="s">
        <v>25</v>
      </c>
      <c r="HH332" s="996">
        <v>19.695992800000003</v>
      </c>
      <c r="HI332" s="1006"/>
      <c r="HJ332" s="996">
        <v>0</v>
      </c>
      <c r="HK332" s="1006"/>
      <c r="HL332" s="996">
        <v>0</v>
      </c>
      <c r="HM332" s="1006"/>
      <c r="HN332" s="996">
        <v>0</v>
      </c>
      <c r="HO332" s="1006"/>
      <c r="HP332" s="996">
        <v>0</v>
      </c>
      <c r="HQ332" s="1006" t="s">
        <v>203</v>
      </c>
      <c r="HR332" s="996">
        <v>-2.9418839999999995</v>
      </c>
      <c r="HS332" s="1006"/>
      <c r="HT332" s="996">
        <v>0</v>
      </c>
      <c r="HU332" s="1006"/>
      <c r="HV332" s="996">
        <v>0</v>
      </c>
      <c r="HW332" s="1006"/>
      <c r="HX332" s="996">
        <v>0</v>
      </c>
      <c r="HY332" s="1006" t="s">
        <v>221</v>
      </c>
      <c r="HZ332" s="996">
        <v>1.6264379999999994</v>
      </c>
      <c r="IA332" s="1006"/>
      <c r="IB332" s="996">
        <v>0</v>
      </c>
      <c r="IC332" s="1006"/>
      <c r="ID332" s="996">
        <v>-0.55853160000000024</v>
      </c>
      <c r="IE332" s="1006"/>
      <c r="IF332" s="996">
        <v>0</v>
      </c>
      <c r="IG332" s="1006"/>
      <c r="IH332" s="996">
        <v>0</v>
      </c>
      <c r="II332" s="1006" t="s">
        <v>199</v>
      </c>
      <c r="IJ332" s="996">
        <v>3.9353028000000001</v>
      </c>
      <c r="IK332" s="1006" t="s">
        <v>204</v>
      </c>
      <c r="IL332" s="996">
        <v>-1.5166998329999997</v>
      </c>
      <c r="IM332" s="1006"/>
      <c r="IN332" s="996">
        <v>0</v>
      </c>
      <c r="IO332" s="1006"/>
      <c r="IP332" s="996">
        <v>0</v>
      </c>
      <c r="IQ332" s="1006"/>
      <c r="IR332" s="996">
        <v>0</v>
      </c>
      <c r="IS332" s="1006"/>
      <c r="IT332" s="996">
        <v>0</v>
      </c>
      <c r="IU332" s="1006"/>
      <c r="IV332" s="996">
        <v>0</v>
      </c>
      <c r="IW332" s="1006" t="s">
        <v>203</v>
      </c>
      <c r="IX332" s="996">
        <v>-3.971640166999999</v>
      </c>
      <c r="IY332" s="1006"/>
      <c r="IZ332" s="996">
        <v>0</v>
      </c>
      <c r="JA332" s="1006"/>
      <c r="JB332" s="996">
        <v>0</v>
      </c>
      <c r="JC332" s="1006"/>
      <c r="JD332" s="996">
        <v>3.4020058599999992</v>
      </c>
      <c r="JE332" s="1006"/>
      <c r="JF332" s="996">
        <v>0</v>
      </c>
      <c r="JG332" s="1006" t="s">
        <v>199</v>
      </c>
      <c r="JH332" s="996">
        <v>-2.3251156367999997</v>
      </c>
      <c r="JI332" s="1006" t="s">
        <v>223</v>
      </c>
      <c r="JJ332" s="996">
        <v>-2.6584350232</v>
      </c>
      <c r="JK332" s="1007"/>
      <c r="JL332" s="1007">
        <v>0</v>
      </c>
      <c r="JM332" s="1007" t="s">
        <v>199</v>
      </c>
      <c r="JN332" s="1007">
        <v>2.1675807999999988</v>
      </c>
      <c r="JO332" s="1008"/>
      <c r="JP332" s="1007">
        <v>-0.77157365999999961</v>
      </c>
      <c r="JQ332" s="1008" t="s">
        <v>199</v>
      </c>
      <c r="JR332" s="1007">
        <v>-2.4263771399999996</v>
      </c>
      <c r="JS332" s="1008">
        <v>0</v>
      </c>
      <c r="JT332" s="1007">
        <v>0</v>
      </c>
      <c r="JU332" s="1008" t="s">
        <v>199</v>
      </c>
      <c r="JV332" s="1007">
        <v>4.8108455999999995</v>
      </c>
      <c r="JW332" s="1008" t="s">
        <v>197</v>
      </c>
      <c r="JX332" s="1007">
        <v>0</v>
      </c>
      <c r="JY332" s="1008"/>
      <c r="JZ332" s="1007">
        <v>0</v>
      </c>
      <c r="KA332" s="1008" t="s">
        <v>206</v>
      </c>
      <c r="KB332" s="1007">
        <v>-1.0784399999999996</v>
      </c>
      <c r="KC332" s="1008" t="s">
        <v>207</v>
      </c>
      <c r="KD332" s="1007">
        <v>-5.2166399999999999</v>
      </c>
      <c r="KE332" s="1008"/>
      <c r="KF332" s="1007">
        <v>0</v>
      </c>
      <c r="KG332" s="1008"/>
      <c r="KH332" s="1007">
        <v>0</v>
      </c>
      <c r="KI332" s="1008" t="s">
        <v>206</v>
      </c>
      <c r="KJ332" s="1007">
        <v>3.0497280000000009</v>
      </c>
      <c r="KK332" s="1008"/>
      <c r="KL332" s="1007">
        <v>0</v>
      </c>
      <c r="KM332" s="1008"/>
      <c r="KN332" s="1007">
        <v>0</v>
      </c>
      <c r="KO332" s="1008"/>
      <c r="KP332" s="1007">
        <v>0</v>
      </c>
      <c r="KQ332" s="1008" t="s">
        <v>207</v>
      </c>
      <c r="KR332" s="1007">
        <v>0.86275199999999952</v>
      </c>
      <c r="KS332" s="1008" t="s">
        <v>207</v>
      </c>
      <c r="KT332" s="1007">
        <v>-2.3826000000000001</v>
      </c>
      <c r="KU332" s="1008">
        <v>0</v>
      </c>
      <c r="KV332" s="1007">
        <v>0</v>
      </c>
      <c r="KW332" s="1008">
        <v>0</v>
      </c>
      <c r="KX332" s="1007">
        <v>0</v>
      </c>
      <c r="KY332" s="1008">
        <v>0</v>
      </c>
      <c r="KZ332" s="1007">
        <v>0</v>
      </c>
      <c r="LA332" s="1008">
        <v>0</v>
      </c>
      <c r="LB332" s="1007">
        <v>0</v>
      </c>
      <c r="LC332" s="1008">
        <v>0</v>
      </c>
      <c r="LD332" s="1007">
        <v>0</v>
      </c>
      <c r="LE332" s="1008">
        <v>0</v>
      </c>
      <c r="LF332" s="1007">
        <v>0</v>
      </c>
      <c r="LG332" s="1008">
        <v>0</v>
      </c>
      <c r="LH332" s="1007">
        <v>-8.36</v>
      </c>
      <c r="LI332" s="1008">
        <v>0</v>
      </c>
      <c r="LJ332" s="1007">
        <v>0</v>
      </c>
      <c r="LK332" s="1008">
        <v>0</v>
      </c>
      <c r="LL332" s="1007">
        <v>0</v>
      </c>
      <c r="LM332" s="1008">
        <v>0</v>
      </c>
      <c r="LN332" s="1007">
        <v>0</v>
      </c>
      <c r="LO332" s="1008" t="s">
        <v>223</v>
      </c>
      <c r="LP332" s="1007">
        <v>-3.3439999999999994</v>
      </c>
      <c r="LQ332" s="1008">
        <v>0</v>
      </c>
      <c r="LR332" s="1007">
        <v>0</v>
      </c>
      <c r="LS332" s="1008">
        <v>0</v>
      </c>
      <c r="LT332" s="1007">
        <v>0.41830000000000001</v>
      </c>
      <c r="LU332" s="1008">
        <v>0</v>
      </c>
      <c r="LV332" s="1007">
        <v>0</v>
      </c>
      <c r="LW332" s="1008">
        <v>0</v>
      </c>
      <c r="LX332" s="1007">
        <v>0</v>
      </c>
      <c r="LY332" s="1009">
        <v>0</v>
      </c>
      <c r="LZ332" s="1010">
        <v>-0.25916099999999997</v>
      </c>
      <c r="MA332" s="1011" t="s">
        <v>206</v>
      </c>
      <c r="MB332" s="1012">
        <v>2.1932</v>
      </c>
      <c r="MC332" s="995"/>
      <c r="MD332" s="996"/>
      <c r="ME332" s="997" t="s">
        <v>416</v>
      </c>
      <c r="MF332" s="997"/>
      <c r="MG332" s="998"/>
      <c r="NR332" s="1000"/>
      <c r="NS332" s="1000"/>
      <c r="NT332" s="1001"/>
      <c r="NU332" s="1000"/>
      <c r="NV332" s="1001"/>
      <c r="NX332" s="1002"/>
      <c r="NZ332" s="1001"/>
      <c r="OA332" s="1001"/>
      <c r="OC332" s="1003"/>
      <c r="OD332" s="1003"/>
      <c r="OE332" s="1001"/>
      <c r="OF332" s="1003"/>
      <c r="OG332" s="1003"/>
      <c r="QX332" s="1000">
        <f t="shared" si="262"/>
        <v>17</v>
      </c>
      <c r="ASU332" s="999" t="s">
        <v>208</v>
      </c>
    </row>
    <row r="333" spans="1:1191" ht="21" customHeight="1" x14ac:dyDescent="0.25">
      <c r="A333" s="982">
        <f t="shared" si="215"/>
        <v>1516</v>
      </c>
      <c r="B333" s="124">
        <f>SUBTOTAL(103,$J$29:J333)</f>
        <v>305</v>
      </c>
      <c r="C333" s="126">
        <v>45068</v>
      </c>
      <c r="D333" s="124" t="s">
        <v>176</v>
      </c>
      <c r="E333" s="127" t="s">
        <v>177</v>
      </c>
      <c r="F333" s="128" t="s">
        <v>177</v>
      </c>
      <c r="G333" s="127" t="s">
        <v>178</v>
      </c>
      <c r="H333" s="127" t="s">
        <v>179</v>
      </c>
      <c r="I333" s="127" t="s">
        <v>1393</v>
      </c>
      <c r="J333" s="152">
        <v>1516</v>
      </c>
      <c r="K333" s="127" t="s">
        <v>1394</v>
      </c>
      <c r="L333" s="130">
        <v>43710</v>
      </c>
      <c r="M333" s="127" t="s">
        <v>230</v>
      </c>
      <c r="N333" s="127" t="s">
        <v>184</v>
      </c>
      <c r="O333" s="127" t="s">
        <v>185</v>
      </c>
      <c r="P333" s="127" t="s">
        <v>186</v>
      </c>
      <c r="Q333" s="85" t="str">
        <f t="shared" si="249"/>
        <v/>
      </c>
      <c r="R333" s="130"/>
      <c r="S333" s="128"/>
      <c r="T333" s="131"/>
      <c r="U333" s="132">
        <v>203</v>
      </c>
      <c r="V333" s="121">
        <v>218.2</v>
      </c>
      <c r="W333" s="116">
        <v>0.98</v>
      </c>
      <c r="X333" s="116">
        <v>1.66</v>
      </c>
      <c r="Y333" s="116">
        <f t="shared" si="239"/>
        <v>0.98403097023953534</v>
      </c>
      <c r="Z333" s="133">
        <v>1.454</v>
      </c>
      <c r="AA333" s="133">
        <v>0.83599999999999997</v>
      </c>
      <c r="AB333" s="133">
        <v>0.72</v>
      </c>
      <c r="AC333" s="121">
        <v>34.299999999999997</v>
      </c>
      <c r="AD333" s="134">
        <v>1.17</v>
      </c>
      <c r="AE333" s="124">
        <v>177.8</v>
      </c>
      <c r="AF333" s="128">
        <v>9.19</v>
      </c>
      <c r="AG333" s="128">
        <v>2205</v>
      </c>
      <c r="AH333" s="127">
        <v>3100</v>
      </c>
      <c r="AI333" s="127">
        <v>3100</v>
      </c>
      <c r="AJ333" s="135"/>
      <c r="AK333" s="128"/>
      <c r="AL333" s="131"/>
      <c r="AM333" s="124" t="s">
        <v>985</v>
      </c>
      <c r="AN333" s="136" t="s">
        <v>1395</v>
      </c>
      <c r="AO333" s="137">
        <v>21</v>
      </c>
      <c r="AP333" s="128">
        <v>2205</v>
      </c>
      <c r="AQ333" s="128">
        <v>1174</v>
      </c>
      <c r="AR333" s="128"/>
      <c r="AS333" s="128"/>
      <c r="AT333" s="122"/>
      <c r="AU333" s="124" t="s">
        <v>189</v>
      </c>
      <c r="AV333" s="115">
        <f>VLOOKUP(J333,'[63]ТР нефть'!$J$28:$BP$638,39,0)</f>
        <v>530.00002148399994</v>
      </c>
      <c r="AW333" s="115" t="str">
        <f>VLOOKUP(J333,'[63]ТР нефть'!$J$28:$BP$638,40,0)</f>
        <v>ГП</v>
      </c>
      <c r="AX333" s="115">
        <f>VLOOKUP(J333,'[63]ТР нефть'!$J$28:$BP$638,41,0)</f>
        <v>910.000045312</v>
      </c>
      <c r="AY333" s="115" t="str">
        <f>VLOOKUP(J333,'[63]ТР нефть'!$J$28:$BP$638,42,0)</f>
        <v>ГП</v>
      </c>
      <c r="AZ333" s="115">
        <f>VLOOKUP(J333,'[63]ТР нефть'!$J$28:$BP$638,43,0)</f>
        <v>1199.99998125</v>
      </c>
      <c r="BA333" s="115" t="str">
        <f>VLOOKUP(J333,'[63]ТР нефть'!$J$28:$BP$638,44,0)</f>
        <v>ГК72 1/8</v>
      </c>
      <c r="BB333" s="115">
        <f>VLOOKUP(J333,'[63]ТР нефть'!$J$28:$BP$638,45,0)</f>
        <v>1410.0000375</v>
      </c>
      <c r="BC333" s="115" t="str">
        <f>VLOOKUP(J333,'[63]ТР нефть'!$J$28:$BP$638,46,0)</f>
        <v>ГК71 1/8</v>
      </c>
      <c r="BD333" s="115">
        <f>VLOOKUP(J333,'[63]ТР нефть'!$J$28:$BP$638,47,0)</f>
        <v>1580.000005078</v>
      </c>
      <c r="BE333" s="115" t="str">
        <f>VLOOKUP(J333,'[63]ТР нефть'!$J$28:$BP$638,48,0)</f>
        <v>ГК70 5/32</v>
      </c>
      <c r="BF333" s="115">
        <f>VLOOKUP(J333,'[63]ТР нефть'!$J$28:$BP$638,49,0)</f>
        <v>1870</v>
      </c>
      <c r="BG333" s="115" t="str">
        <f>VLOOKUP(J333,'[63]ТР нефть'!$J$28:$BP$638,50,0)</f>
        <v>ЦКсОК 5/16</v>
      </c>
      <c r="BH333" s="115" t="str">
        <f>VLOOKUP(J333,'[63]ТР нефть'!$J$28:$BP$638,51,0)</f>
        <v>-</v>
      </c>
      <c r="BI333" s="115" t="str">
        <f>VLOOKUP(J333,'[63]ТР нефть'!$J$28:$BP$638,52,0)</f>
        <v>-</v>
      </c>
      <c r="BJ333" s="115" t="str">
        <f>IF(IFERROR(VLOOKUP(J333,'[63]ТР нефть'!$J$28:$BP$638,53,0),"-")=0,"-",IFERROR(VLOOKUP(J333,'[63]ТР нефть'!$J$28:$BP$638,53,0),"-"))</f>
        <v>-</v>
      </c>
      <c r="BK333" s="138" t="str">
        <f>IF(IFERROR(VLOOKUP(J333,'[63]ТР нефть'!$J$28:$BP$638,54,0),"-")=0,"-",IFERROR(VLOOKUP(J333,'[63]ТР нефть'!$J$28:$BP$638,54,0),"-"))</f>
        <v>-</v>
      </c>
      <c r="BL333" s="138" t="str">
        <f>IF(IFERROR(VLOOKUP(J333,'[63]ТР нефть'!$J$28:$BP$638,55,0),"-")=0,"-",IFERROR(VLOOKUP(J333,'[63]ТР нефть'!$J$28:$BP$638,55,0),"-"))</f>
        <v>-</v>
      </c>
      <c r="BM333" s="138" t="str">
        <f>IF(IFERROR(VLOOKUP(J333,'[63]ТР нефть'!$J$28:$BP$638,56,0),"-")=0,"-",IFERROR(VLOOKUP(J333,'[63]ТР нефть'!$J$28:$BP$638,56,0),"-"))</f>
        <v>-</v>
      </c>
      <c r="BN333" s="138" t="str">
        <f>IF(IFERROR(VLOOKUP(J333,'[63]ТР нефть'!$J$28:$BP$638,57,0),"-")=0,"-",IFERROR(VLOOKUP(J333,'[63]ТР нефть'!$J$28:$BP$638,57,0),"-"))</f>
        <v>-</v>
      </c>
      <c r="BO333" s="115" t="str">
        <f>IF(IFERROR(VLOOKUP(J333,'[63]ТР нефть'!$J$28:$BP$638,58,0),"-")=0,"-",IFERROR(VLOOKUP(J333,'[63]ТР нефть'!$J$28:$BP$638,58,0),"-"))</f>
        <v>-</v>
      </c>
      <c r="BP333" s="115" t="str">
        <f>IF(IFERROR(VLOOKUP(J333,'[63]ТР нефть'!$J$28:$BP$638,59,0),"-")=0,"-",IFERROR(VLOOKUP(J333,'[63]ТР нефть'!$J$28:$BP$638,59,0),"-"))</f>
        <v>-</v>
      </c>
      <c r="BQ333" s="138">
        <v>2137</v>
      </c>
      <c r="BR333" s="128">
        <v>1893</v>
      </c>
      <c r="BS333" s="115">
        <f t="shared" si="258"/>
        <v>244</v>
      </c>
      <c r="BT333" s="128">
        <v>73</v>
      </c>
      <c r="BU333" s="128">
        <v>5.5</v>
      </c>
      <c r="BV333" s="127">
        <v>18</v>
      </c>
      <c r="BW333" s="127" t="s">
        <v>217</v>
      </c>
      <c r="BX333" s="127" t="s">
        <v>195</v>
      </c>
      <c r="BY333" s="139">
        <v>24</v>
      </c>
      <c r="BZ333" s="139">
        <v>0</v>
      </c>
      <c r="CA333" s="138">
        <v>30</v>
      </c>
      <c r="CB333" s="138">
        <v>66</v>
      </c>
      <c r="CC333" s="138">
        <v>29</v>
      </c>
      <c r="CD333" s="135">
        <v>45017</v>
      </c>
      <c r="CE333" s="138">
        <v>142</v>
      </c>
      <c r="CF333" s="138">
        <v>66</v>
      </c>
      <c r="CG333" s="138" t="str">
        <f t="shared" si="263"/>
        <v>В работе</v>
      </c>
      <c r="CH333" s="138" t="s">
        <v>272</v>
      </c>
      <c r="CI333" s="127"/>
      <c r="CJ333" s="138"/>
      <c r="CK333" s="138">
        <f t="shared" si="255"/>
        <v>44</v>
      </c>
      <c r="CL333" s="99"/>
      <c r="CM333" s="99"/>
      <c r="CN333" s="140">
        <v>74</v>
      </c>
      <c r="CO333" s="141">
        <f t="shared" si="216"/>
        <v>7.2832319999999999</v>
      </c>
      <c r="CP333" s="142">
        <v>8.8000000000000007</v>
      </c>
      <c r="CQ333" s="143">
        <v>1</v>
      </c>
      <c r="CR333" s="115">
        <v>9</v>
      </c>
      <c r="CS333" s="139">
        <v>7.2</v>
      </c>
      <c r="CT333" s="138"/>
      <c r="CU333" s="138">
        <f t="shared" si="259"/>
        <v>1.7999999999999998</v>
      </c>
      <c r="CV333" s="115">
        <f t="shared" si="260"/>
        <v>247.14302661236107</v>
      </c>
      <c r="CW333" s="115">
        <f t="shared" si="217"/>
        <v>974.93126734565203</v>
      </c>
      <c r="CX333" s="133">
        <f t="shared" si="261"/>
        <v>0.12941176470588237</v>
      </c>
      <c r="CY333" s="116"/>
      <c r="CZ333" s="131"/>
      <c r="DA333" s="145" t="str">
        <f t="shared" si="218"/>
        <v>Газлифт</v>
      </c>
      <c r="DB333" s="146">
        <f t="shared" si="219"/>
        <v>9.5872479999999989</v>
      </c>
      <c r="DC333" s="142">
        <f t="shared" si="234"/>
        <v>12.2</v>
      </c>
      <c r="DD333" s="119">
        <f t="shared" si="250"/>
        <v>6</v>
      </c>
      <c r="DE333" s="115">
        <f t="shared" si="220"/>
        <v>1.7999999999999998</v>
      </c>
      <c r="DF333" s="121">
        <f t="shared" si="221"/>
        <v>7.2</v>
      </c>
      <c r="DG333" s="115">
        <f t="shared" si="222"/>
        <v>247.14302661236107</v>
      </c>
      <c r="DH333" s="115">
        <f t="shared" si="223"/>
        <v>74</v>
      </c>
      <c r="DI333" s="147"/>
      <c r="DJ333" s="111" t="s">
        <v>197</v>
      </c>
      <c r="DK333" s="112">
        <v>43710</v>
      </c>
      <c r="DL333" s="113">
        <f t="shared" ca="1" si="240"/>
        <v>1394</v>
      </c>
      <c r="DM333" s="114"/>
      <c r="DN333" s="114"/>
      <c r="DO333" s="114"/>
      <c r="DP333" s="114"/>
      <c r="DQ333" s="112"/>
      <c r="DR333" s="114"/>
      <c r="DS333" s="114"/>
      <c r="DT333" s="115">
        <v>60</v>
      </c>
      <c r="DU333" s="116">
        <f t="shared" si="241"/>
        <v>0.12220792889720501</v>
      </c>
      <c r="DV333" s="117">
        <f t="shared" si="242"/>
        <v>8.2938219623435856</v>
      </c>
      <c r="DW333" s="118">
        <f t="shared" si="243"/>
        <v>10.021050169570811</v>
      </c>
      <c r="DX333" s="119">
        <f t="shared" si="224"/>
        <v>1</v>
      </c>
      <c r="DY333" s="115">
        <f t="shared" si="244"/>
        <v>2.0497602619576654</v>
      </c>
      <c r="DZ333" s="117">
        <f t="shared" si="245"/>
        <v>1.0105899623435857</v>
      </c>
      <c r="EA333" s="120">
        <f t="shared" si="245"/>
        <v>1.2210501695708107</v>
      </c>
      <c r="EB333" s="119">
        <f t="shared" si="245"/>
        <v>0</v>
      </c>
      <c r="EC333" s="121">
        <f t="shared" si="246"/>
        <v>0.24976026195766554</v>
      </c>
      <c r="ED333" s="122"/>
      <c r="EE333" s="145">
        <v>18</v>
      </c>
      <c r="EF333" s="115">
        <v>32</v>
      </c>
      <c r="EG333" s="115">
        <v>65</v>
      </c>
      <c r="EH333" s="115">
        <v>31</v>
      </c>
      <c r="EI333" s="128" t="s">
        <v>195</v>
      </c>
      <c r="EJ333" s="121">
        <v>24</v>
      </c>
      <c r="EK333" s="121">
        <v>0</v>
      </c>
      <c r="EL333" s="149">
        <v>9.5872479999999989</v>
      </c>
      <c r="EM333" s="142">
        <v>12.2</v>
      </c>
      <c r="EN333" s="119">
        <v>6</v>
      </c>
      <c r="EO333" s="115">
        <v>20</v>
      </c>
      <c r="EP333" s="115">
        <v>584.10922508732438</v>
      </c>
      <c r="EQ333" s="115">
        <v>65</v>
      </c>
      <c r="ER333" s="115">
        <v>14.4</v>
      </c>
      <c r="ES333" s="115">
        <v>64</v>
      </c>
      <c r="ET333" s="150">
        <v>0.15641025641025641</v>
      </c>
      <c r="EU333" s="145">
        <f t="shared" si="225"/>
        <v>18</v>
      </c>
      <c r="EV333" s="115">
        <f t="shared" si="226"/>
        <v>30</v>
      </c>
      <c r="EW333" s="115">
        <f t="shared" si="226"/>
        <v>66</v>
      </c>
      <c r="EX333" s="115">
        <f t="shared" si="226"/>
        <v>29</v>
      </c>
      <c r="EY333" s="115" t="str">
        <f t="shared" si="253"/>
        <v>Постоянный</v>
      </c>
      <c r="EZ333" s="115">
        <f t="shared" si="253"/>
        <v>24</v>
      </c>
      <c r="FA333" s="115">
        <f t="shared" si="253"/>
        <v>0</v>
      </c>
      <c r="FB333" s="149">
        <f t="shared" si="238"/>
        <v>7.2832319999999999</v>
      </c>
      <c r="FC333" s="142">
        <f t="shared" si="238"/>
        <v>8.8000000000000007</v>
      </c>
      <c r="FD333" s="119">
        <f t="shared" si="238"/>
        <v>1</v>
      </c>
      <c r="FE333" s="121">
        <f t="shared" si="238"/>
        <v>9</v>
      </c>
      <c r="FF333" s="121">
        <f t="shared" si="247"/>
        <v>247.14302661236107</v>
      </c>
      <c r="FG333" s="121">
        <f t="shared" si="227"/>
        <v>66</v>
      </c>
      <c r="FH333" s="121">
        <f t="shared" si="248"/>
        <v>7.2</v>
      </c>
      <c r="FI333" s="121">
        <f t="shared" si="252"/>
        <v>74</v>
      </c>
      <c r="FJ333" s="144">
        <f t="shared" si="228"/>
        <v>0.12941176470588237</v>
      </c>
      <c r="FK333" s="132">
        <f t="shared" si="229"/>
        <v>0</v>
      </c>
      <c r="FL333" s="115">
        <f t="shared" si="229"/>
        <v>-2</v>
      </c>
      <c r="FM333" s="115">
        <f t="shared" si="229"/>
        <v>1</v>
      </c>
      <c r="FN333" s="115">
        <f t="shared" si="229"/>
        <v>-2</v>
      </c>
      <c r="FO333" s="115">
        <f t="shared" si="257"/>
        <v>0</v>
      </c>
      <c r="FP333" s="115">
        <f t="shared" si="257"/>
        <v>0</v>
      </c>
      <c r="FQ333" s="149">
        <f t="shared" si="257"/>
        <v>-2.304015999999999</v>
      </c>
      <c r="FR333" s="142">
        <f t="shared" si="256"/>
        <v>-3.3999999999999986</v>
      </c>
      <c r="FS333" s="119">
        <f t="shared" si="256"/>
        <v>-5</v>
      </c>
      <c r="FT333" s="121">
        <f t="shared" si="256"/>
        <v>-11</v>
      </c>
      <c r="FU333" s="121">
        <f t="shared" si="230"/>
        <v>1</v>
      </c>
      <c r="FV333" s="121">
        <f t="shared" si="230"/>
        <v>-7.2</v>
      </c>
      <c r="FW333" s="121">
        <f t="shared" si="231"/>
        <v>-336.96619847496333</v>
      </c>
      <c r="FX333" s="121">
        <f t="shared" si="233"/>
        <v>10</v>
      </c>
      <c r="FY333" s="144">
        <f t="shared" si="214"/>
        <v>-2.6998491704374045E-2</v>
      </c>
      <c r="FZ333" s="145" t="s">
        <v>199</v>
      </c>
      <c r="GA333" s="125" t="s">
        <v>1396</v>
      </c>
      <c r="GB333" s="145"/>
      <c r="GC333" s="125"/>
      <c r="GD333" s="997" t="s">
        <v>202</v>
      </c>
      <c r="GE333" s="1004"/>
      <c r="GF333" s="1004">
        <v>0</v>
      </c>
      <c r="GG333" s="1004"/>
      <c r="GH333" s="1004">
        <v>-0.40796800000000033</v>
      </c>
      <c r="GI333" s="145"/>
      <c r="GJ333" s="996">
        <v>0</v>
      </c>
      <c r="GK333" s="145"/>
      <c r="GL333" s="996">
        <v>-0.98606200000000044</v>
      </c>
      <c r="GM333" s="1005"/>
      <c r="GN333" s="996">
        <v>0.27393629999999902</v>
      </c>
      <c r="GO333" s="1006"/>
      <c r="GP333" s="996">
        <v>0</v>
      </c>
      <c r="GQ333" s="1006" t="s">
        <v>241</v>
      </c>
      <c r="GR333" s="996">
        <v>-1.1170422999999996</v>
      </c>
      <c r="GS333" s="1006" t="s">
        <v>199</v>
      </c>
      <c r="GT333" s="996">
        <v>1.7923840000000002</v>
      </c>
      <c r="GU333" s="1006" t="s">
        <v>25</v>
      </c>
      <c r="GV333" s="996">
        <v>-2.1192599999999988</v>
      </c>
      <c r="GW333" s="1006" t="s">
        <v>203</v>
      </c>
      <c r="GX333" s="996">
        <v>-1.3994807199999997</v>
      </c>
      <c r="GY333" s="1006" t="s">
        <v>25</v>
      </c>
      <c r="GZ333" s="996">
        <v>2.2507407199999978</v>
      </c>
      <c r="HA333" s="1006"/>
      <c r="HB333" s="996">
        <v>0</v>
      </c>
      <c r="HC333" s="1006" t="s">
        <v>223</v>
      </c>
      <c r="HD333" s="996">
        <v>-4.0889568411999981</v>
      </c>
      <c r="HE333" s="1006" t="s">
        <v>204</v>
      </c>
      <c r="HF333" s="996">
        <v>-1.3384744560000001</v>
      </c>
      <c r="HG333" s="1006" t="s">
        <v>223</v>
      </c>
      <c r="HH333" s="996">
        <v>-9.3333999439999999</v>
      </c>
      <c r="HI333" s="1006"/>
      <c r="HJ333" s="996">
        <v>0</v>
      </c>
      <c r="HK333" s="1006"/>
      <c r="HL333" s="996">
        <v>0</v>
      </c>
      <c r="HM333" s="1006" t="s">
        <v>199</v>
      </c>
      <c r="HN333" s="996">
        <v>-13.544662832799998</v>
      </c>
      <c r="HO333" s="1006"/>
      <c r="HP333" s="996">
        <v>0</v>
      </c>
      <c r="HQ333" s="1006"/>
      <c r="HR333" s="996">
        <v>0</v>
      </c>
      <c r="HS333" s="1006"/>
      <c r="HT333" s="996">
        <v>0</v>
      </c>
      <c r="HU333" s="1006" t="s">
        <v>1397</v>
      </c>
      <c r="HV333" s="996">
        <v>-5.1611730719999986</v>
      </c>
      <c r="HW333" s="1006" t="s">
        <v>199</v>
      </c>
      <c r="HX333" s="996">
        <v>7.8340188959999963</v>
      </c>
      <c r="HY333" s="1006" t="s">
        <v>199</v>
      </c>
      <c r="HZ333" s="996">
        <v>-4.1835730640000008</v>
      </c>
      <c r="IA333" s="1006"/>
      <c r="IB333" s="996">
        <v>0.94289430400000107</v>
      </c>
      <c r="IC333" s="1006" t="s">
        <v>199</v>
      </c>
      <c r="ID333" s="996">
        <v>-5.6718888160000009</v>
      </c>
      <c r="IE333" s="1006"/>
      <c r="IF333" s="996">
        <v>0</v>
      </c>
      <c r="IG333" s="1006" t="s">
        <v>199</v>
      </c>
      <c r="IH333" s="996">
        <v>-1.2539999999999978</v>
      </c>
      <c r="II333" s="1006"/>
      <c r="IJ333" s="996">
        <v>0.83599999999999852</v>
      </c>
      <c r="IK333" s="1006"/>
      <c r="IL333" s="996">
        <v>0</v>
      </c>
      <c r="IM333" s="1006"/>
      <c r="IN333" s="996">
        <v>0</v>
      </c>
      <c r="IO333" s="1006" t="s">
        <v>199</v>
      </c>
      <c r="IP333" s="996">
        <v>18.057600000000001</v>
      </c>
      <c r="IQ333" s="1006"/>
      <c r="IR333" s="996">
        <v>0</v>
      </c>
      <c r="IS333" s="1006"/>
      <c r="IT333" s="996">
        <v>0</v>
      </c>
      <c r="IU333" s="1006"/>
      <c r="IV333" s="996">
        <v>0</v>
      </c>
      <c r="IW333" s="1006"/>
      <c r="IX333" s="996">
        <v>0</v>
      </c>
      <c r="IY333" s="1006"/>
      <c r="IZ333" s="996">
        <v>0</v>
      </c>
      <c r="JA333" s="1006" t="s">
        <v>199</v>
      </c>
      <c r="JB333" s="996">
        <v>-17.137999999999998</v>
      </c>
      <c r="JC333" s="1006"/>
      <c r="JD333" s="996">
        <v>0</v>
      </c>
      <c r="JE333" s="1006"/>
      <c r="JF333" s="996">
        <v>0</v>
      </c>
      <c r="JG333" s="1006"/>
      <c r="JH333" s="996">
        <v>0</v>
      </c>
      <c r="JI333" s="1006"/>
      <c r="JJ333" s="996">
        <v>0</v>
      </c>
      <c r="JK333" s="1007" t="s">
        <v>203</v>
      </c>
      <c r="JL333" s="1007">
        <v>-1.7556000000000012</v>
      </c>
      <c r="JM333" s="1007" t="s">
        <v>203</v>
      </c>
      <c r="JN333" s="1007">
        <v>-21.34308</v>
      </c>
      <c r="JO333" s="1008" t="s">
        <v>25</v>
      </c>
      <c r="JP333" s="1007">
        <v>43.99868</v>
      </c>
      <c r="JQ333" s="1008"/>
      <c r="JR333" s="1007"/>
      <c r="JS333" s="1008"/>
      <c r="JT333" s="1007"/>
      <c r="JU333" s="1008"/>
      <c r="JV333" s="1007"/>
      <c r="JW333" s="1008"/>
      <c r="JX333" s="1007"/>
      <c r="JY333" s="1008"/>
      <c r="JZ333" s="1007"/>
      <c r="KA333" s="1008"/>
      <c r="KB333" s="1007"/>
      <c r="KC333" s="1008"/>
      <c r="KD333" s="1007"/>
      <c r="KE333" s="1008"/>
      <c r="KF333" s="1007"/>
      <c r="KG333" s="1008"/>
      <c r="KH333" s="1007"/>
      <c r="KI333" s="1008"/>
      <c r="KJ333" s="1007"/>
      <c r="KK333" s="1008"/>
      <c r="KL333" s="1007"/>
      <c r="KM333" s="1008"/>
      <c r="KN333" s="1007"/>
      <c r="KO333" s="1008"/>
      <c r="KP333" s="1007"/>
      <c r="KQ333" s="1008"/>
      <c r="KR333" s="1007"/>
      <c r="KS333" s="1008"/>
      <c r="KT333" s="1007"/>
      <c r="KU333" s="1008"/>
      <c r="KV333" s="1007"/>
      <c r="KW333" s="1008"/>
      <c r="KX333" s="1007"/>
      <c r="KY333" s="1008"/>
      <c r="KZ333" s="1007"/>
      <c r="LA333" s="1008"/>
      <c r="LB333" s="1007"/>
      <c r="LC333" s="1008"/>
      <c r="LD333" s="1007"/>
      <c r="LE333" s="1008"/>
      <c r="LF333" s="1007"/>
      <c r="LG333" s="1008"/>
      <c r="LH333" s="1007"/>
      <c r="LI333" s="1008"/>
      <c r="LJ333" s="1007"/>
      <c r="LK333" s="1008"/>
      <c r="LL333" s="1007"/>
      <c r="LM333" s="1008"/>
      <c r="LN333" s="1007"/>
      <c r="LO333" s="1008"/>
      <c r="LP333" s="1007"/>
      <c r="LQ333" s="1008"/>
      <c r="LR333" s="1007"/>
      <c r="LS333" s="1008"/>
      <c r="LT333" s="1007"/>
      <c r="LU333" s="1008"/>
      <c r="LV333" s="1007"/>
      <c r="LW333" s="1008"/>
      <c r="LX333" s="1007"/>
      <c r="LY333" s="1009"/>
      <c r="LZ333" s="1010"/>
      <c r="MA333" s="1011"/>
      <c r="MB333" s="1012"/>
      <c r="MC333" s="995"/>
      <c r="MD333" s="996"/>
      <c r="ME333" s="997" t="s">
        <v>202</v>
      </c>
      <c r="MF333" s="997"/>
      <c r="MG333" s="998"/>
      <c r="NR333" s="1000"/>
      <c r="NS333" s="1000"/>
      <c r="NT333" s="1001"/>
      <c r="NU333" s="1000"/>
      <c r="NV333" s="1001"/>
      <c r="NX333" s="1002"/>
      <c r="NZ333" s="1001"/>
      <c r="OA333" s="1001"/>
      <c r="OC333" s="1003"/>
      <c r="OD333" s="1003"/>
      <c r="OE333" s="1001"/>
      <c r="OF333" s="1003"/>
      <c r="OG333" s="1003"/>
      <c r="QX333" s="1000">
        <f t="shared" si="262"/>
        <v>44</v>
      </c>
      <c r="ASU333" s="999" t="s">
        <v>208</v>
      </c>
    </row>
    <row r="334" spans="1:1191" ht="21" customHeight="1" x14ac:dyDescent="0.25">
      <c r="A334" s="982">
        <f t="shared" si="215"/>
        <v>1353</v>
      </c>
      <c r="B334" s="124">
        <f>SUBTOTAL(103,$J$29:J334)</f>
        <v>306</v>
      </c>
      <c r="C334" s="126">
        <v>45068</v>
      </c>
      <c r="D334" s="124" t="s">
        <v>176</v>
      </c>
      <c r="E334" s="127" t="s">
        <v>177</v>
      </c>
      <c r="F334" s="128" t="s">
        <v>177</v>
      </c>
      <c r="G334" s="127" t="s">
        <v>178</v>
      </c>
      <c r="H334" s="127" t="s">
        <v>421</v>
      </c>
      <c r="I334" s="127" t="s">
        <v>567</v>
      </c>
      <c r="J334" s="152">
        <v>1353</v>
      </c>
      <c r="K334" s="127" t="s">
        <v>182</v>
      </c>
      <c r="L334" s="130">
        <v>43871</v>
      </c>
      <c r="M334" s="127" t="s">
        <v>230</v>
      </c>
      <c r="N334" s="127" t="s">
        <v>465</v>
      </c>
      <c r="O334" s="127" t="s">
        <v>185</v>
      </c>
      <c r="P334" s="127" t="s">
        <v>186</v>
      </c>
      <c r="Q334" s="85" t="str">
        <f t="shared" si="249"/>
        <v/>
      </c>
      <c r="R334" s="130"/>
      <c r="S334" s="128"/>
      <c r="T334" s="131"/>
      <c r="U334" s="132">
        <v>203</v>
      </c>
      <c r="V334" s="121">
        <v>218.2</v>
      </c>
      <c r="W334" s="116">
        <v>0.98</v>
      </c>
      <c r="X334" s="116">
        <v>1.66</v>
      </c>
      <c r="Y334" s="116">
        <f t="shared" si="239"/>
        <v>0.98</v>
      </c>
      <c r="Z334" s="133">
        <v>1.454</v>
      </c>
      <c r="AA334" s="133">
        <v>0.83599999999999997</v>
      </c>
      <c r="AB334" s="133">
        <v>0.72</v>
      </c>
      <c r="AC334" s="121">
        <v>34.299999999999997</v>
      </c>
      <c r="AD334" s="134">
        <v>1.17</v>
      </c>
      <c r="AE334" s="124">
        <v>177.8</v>
      </c>
      <c r="AF334" s="128">
        <v>9.19</v>
      </c>
      <c r="AG334" s="128">
        <v>2104.6999999999998</v>
      </c>
      <c r="AH334" s="127">
        <v>2717</v>
      </c>
      <c r="AI334" s="127">
        <v>2717</v>
      </c>
      <c r="AJ334" s="135"/>
      <c r="AK334" s="128"/>
      <c r="AL334" s="131"/>
      <c r="AM334" s="124" t="s">
        <v>232</v>
      </c>
      <c r="AN334" s="136" t="s">
        <v>1398</v>
      </c>
      <c r="AO334" s="137">
        <v>48.74</v>
      </c>
      <c r="AP334" s="128">
        <v>2104</v>
      </c>
      <c r="AQ334" s="128">
        <v>245.74</v>
      </c>
      <c r="AR334" s="128"/>
      <c r="AS334" s="128"/>
      <c r="AT334" s="122"/>
      <c r="AU334" s="124" t="s">
        <v>189</v>
      </c>
      <c r="AV334" s="115">
        <f>VLOOKUP(J334,'[63]ТР нефть'!$J$28:$BP$638,39,0)</f>
        <v>470</v>
      </c>
      <c r="AW334" s="115" t="str">
        <f>VLOOKUP(J334,'[63]ТР нефть'!$J$28:$BP$638,40,0)</f>
        <v>ГП</v>
      </c>
      <c r="AX334" s="115">
        <f>VLOOKUP(J334,'[63]ТР нефть'!$J$28:$BP$638,41,0)</f>
        <v>885</v>
      </c>
      <c r="AY334" s="115" t="str">
        <f>VLOOKUP(J334,'[63]ТР нефть'!$J$28:$BP$638,42,0)</f>
        <v>ГП</v>
      </c>
      <c r="AZ334" s="115">
        <f>VLOOKUP(J334,'[63]ТР нефть'!$J$28:$BP$638,43,0)</f>
        <v>1165</v>
      </c>
      <c r="BA334" s="115" t="str">
        <f>VLOOKUP(J334,'[63]ТР нефть'!$J$28:$BP$638,44,0)</f>
        <v>ГП</v>
      </c>
      <c r="BB334" s="115">
        <f>VLOOKUP(J334,'[63]ТР нефть'!$J$28:$BP$638,45,0)</f>
        <v>1420</v>
      </c>
      <c r="BC334" s="115" t="str">
        <f>VLOOKUP(J334,'[63]ТР нефть'!$J$28:$BP$638,46,0)</f>
        <v>ГК 80 5/32</v>
      </c>
      <c r="BD334" s="115">
        <f>VLOOKUP(J334,'[63]ТР нефть'!$J$28:$BP$638,47,0)</f>
        <v>1640</v>
      </c>
      <c r="BE334" s="115" t="str">
        <f>VLOOKUP(J334,'[63]ТР нефть'!$J$28:$BP$638,48,0)</f>
        <v>ГК80 5/32</v>
      </c>
      <c r="BF334" s="115">
        <f>VLOOKUP(J334,'[63]ТР нефть'!$J$28:$BP$638,49,0)</f>
        <v>1850</v>
      </c>
      <c r="BG334" s="115" t="str">
        <f>VLOOKUP(J334,'[63]ТР нефть'!$J$28:$BP$638,50,0)</f>
        <v>ЦКсОК 5/16</v>
      </c>
      <c r="BH334" s="115">
        <f>VLOOKUP(J334,'[63]ТР нефть'!$J$28:$BP$638,51,0)</f>
        <v>1850</v>
      </c>
      <c r="BI334" s="115" t="str">
        <f>VLOOKUP(J334,'[63]ТР нефть'!$J$28:$BP$638,52,0)</f>
        <v>закрыт</v>
      </c>
      <c r="BJ334" s="115" t="str">
        <f>IF(IFERROR(VLOOKUP(J334,'[63]ТР нефть'!$J$28:$BP$638,53,0),"-")=0,"-",IFERROR(VLOOKUP(J334,'[63]ТР нефть'!$J$28:$BP$638,53,0),"-"))</f>
        <v>-</v>
      </c>
      <c r="BK334" s="138" t="str">
        <f>IF(IFERROR(VLOOKUP(J334,'[63]ТР нефть'!$J$28:$BP$638,54,0),"-")=0,"-",IFERROR(VLOOKUP(J334,'[63]ТР нефть'!$J$28:$BP$638,54,0),"-"))</f>
        <v>-</v>
      </c>
      <c r="BL334" s="138" t="str">
        <f>IF(IFERROR(VLOOKUP(J334,'[63]ТР нефть'!$J$28:$BP$638,55,0),"-")=0,"-",IFERROR(VLOOKUP(J334,'[63]ТР нефть'!$J$28:$BP$638,55,0),"-"))</f>
        <v>-</v>
      </c>
      <c r="BM334" s="138" t="str">
        <f>IF(IFERROR(VLOOKUP(J334,'[63]ТР нефть'!$J$28:$BP$638,56,0),"-")=0,"-",IFERROR(VLOOKUP(J334,'[63]ТР нефть'!$J$28:$BP$638,56,0),"-"))</f>
        <v>-</v>
      </c>
      <c r="BN334" s="138" t="str">
        <f>IF(IFERROR(VLOOKUP(J334,'[63]ТР нефть'!$J$28:$BP$638,57,0),"-")=0,"-",IFERROR(VLOOKUP(J334,'[63]ТР нефть'!$J$28:$BP$638,57,0),"-"))</f>
        <v>-</v>
      </c>
      <c r="BO334" s="115" t="str">
        <f>IF(IFERROR(VLOOKUP(J334,'[63]ТР нефть'!$J$28:$BP$638,58,0),"-")=0,"-",IFERROR(VLOOKUP(J334,'[63]ТР нефть'!$J$28:$BP$638,58,0),"-"))</f>
        <v>-</v>
      </c>
      <c r="BP334" s="115" t="str">
        <f>IF(IFERROR(VLOOKUP(J334,'[63]ТР нефть'!$J$28:$BP$638,59,0),"-")=0,"-",IFERROR(VLOOKUP(J334,'[63]ТР нефть'!$J$28:$BP$638,59,0),"-"))</f>
        <v>-</v>
      </c>
      <c r="BQ334" s="138">
        <v>2152.6</v>
      </c>
      <c r="BR334" s="128">
        <v>1881.81</v>
      </c>
      <c r="BS334" s="115">
        <f t="shared" si="258"/>
        <v>270.78999999999996</v>
      </c>
      <c r="BT334" s="128">
        <v>73</v>
      </c>
      <c r="BU334" s="128">
        <v>5.5</v>
      </c>
      <c r="BV334" s="127">
        <v>18</v>
      </c>
      <c r="BW334" s="127" t="s">
        <v>217</v>
      </c>
      <c r="BX334" s="127" t="s">
        <v>195</v>
      </c>
      <c r="BY334" s="139">
        <v>24</v>
      </c>
      <c r="BZ334" s="139">
        <v>0</v>
      </c>
      <c r="CA334" s="80">
        <v>22</v>
      </c>
      <c r="CB334" s="138">
        <v>51</v>
      </c>
      <c r="CC334" s="138">
        <v>20</v>
      </c>
      <c r="CD334" s="135">
        <v>45017</v>
      </c>
      <c r="CE334" s="138">
        <v>81</v>
      </c>
      <c r="CF334" s="138">
        <v>69</v>
      </c>
      <c r="CG334" s="138" t="str">
        <f t="shared" si="263"/>
        <v>В работе</v>
      </c>
      <c r="CH334" s="138" t="s">
        <v>272</v>
      </c>
      <c r="CI334" s="127">
        <v>6</v>
      </c>
      <c r="CJ334" s="138"/>
      <c r="CK334" s="138"/>
      <c r="CL334" s="99"/>
      <c r="CM334" s="99"/>
      <c r="CN334" s="140">
        <v>45</v>
      </c>
      <c r="CO334" s="159">
        <f t="shared" si="216"/>
        <v>9.1959999999999997</v>
      </c>
      <c r="CP334" s="160">
        <v>11</v>
      </c>
      <c r="CQ334" s="161">
        <v>0</v>
      </c>
      <c r="CR334" s="138">
        <v>21</v>
      </c>
      <c r="CS334" s="139">
        <v>4</v>
      </c>
      <c r="CT334" s="138"/>
      <c r="CU334" s="138">
        <f t="shared" si="259"/>
        <v>17</v>
      </c>
      <c r="CV334" s="115">
        <f t="shared" si="260"/>
        <v>1848.6298390604611</v>
      </c>
      <c r="CW334" s="115">
        <f t="shared" si="217"/>
        <v>434.97172683775551</v>
      </c>
      <c r="CX334" s="133">
        <f t="shared" si="261"/>
        <v>0.30555555555555558</v>
      </c>
      <c r="CY334" s="116"/>
      <c r="CZ334" s="131"/>
      <c r="DA334" s="145" t="str">
        <f t="shared" si="218"/>
        <v>Газлифт</v>
      </c>
      <c r="DB334" s="146">
        <f t="shared" si="219"/>
        <v>9.1959999999999997</v>
      </c>
      <c r="DC334" s="142">
        <f t="shared" si="234"/>
        <v>11</v>
      </c>
      <c r="DD334" s="119">
        <f t="shared" si="250"/>
        <v>0</v>
      </c>
      <c r="DE334" s="115">
        <f t="shared" si="220"/>
        <v>17</v>
      </c>
      <c r="DF334" s="121">
        <f t="shared" si="221"/>
        <v>4</v>
      </c>
      <c r="DG334" s="115">
        <f t="shared" si="222"/>
        <v>1848.6298390604611</v>
      </c>
      <c r="DH334" s="115">
        <f t="shared" si="223"/>
        <v>45</v>
      </c>
      <c r="DI334" s="216"/>
      <c r="DJ334" s="111" t="s">
        <v>197</v>
      </c>
      <c r="DK334" s="112">
        <v>43871.083333333336</v>
      </c>
      <c r="DL334" s="113">
        <f t="shared" ca="1" si="240"/>
        <v>1232.9166666666642</v>
      </c>
      <c r="DM334" s="114"/>
      <c r="DN334" s="114"/>
      <c r="DO334" s="114"/>
      <c r="DP334" s="114"/>
      <c r="DQ334" s="112"/>
      <c r="DR334" s="114"/>
      <c r="DS334" s="114"/>
      <c r="DT334" s="115">
        <v>60</v>
      </c>
      <c r="DU334" s="116">
        <f t="shared" si="241"/>
        <v>0.52380952380952384</v>
      </c>
      <c r="DV334" s="117">
        <f t="shared" si="242"/>
        <v>9.1959999999999997</v>
      </c>
      <c r="DW334" s="118">
        <f t="shared" si="243"/>
        <v>11</v>
      </c>
      <c r="DX334" s="119">
        <f t="shared" si="224"/>
        <v>0</v>
      </c>
      <c r="DY334" s="115">
        <f t="shared" si="244"/>
        <v>17</v>
      </c>
      <c r="DZ334" s="117">
        <f t="shared" si="245"/>
        <v>0</v>
      </c>
      <c r="EA334" s="120">
        <f t="shared" si="245"/>
        <v>0</v>
      </c>
      <c r="EB334" s="119">
        <f t="shared" si="245"/>
        <v>0</v>
      </c>
      <c r="EC334" s="121">
        <f t="shared" si="246"/>
        <v>0</v>
      </c>
      <c r="ED334" s="122"/>
      <c r="EE334" s="145">
        <v>18</v>
      </c>
      <c r="EF334" s="148">
        <v>21</v>
      </c>
      <c r="EG334" s="115">
        <v>39</v>
      </c>
      <c r="EH334" s="115">
        <v>18</v>
      </c>
      <c r="EI334" s="128" t="s">
        <v>195</v>
      </c>
      <c r="EJ334" s="121">
        <v>24</v>
      </c>
      <c r="EK334" s="121">
        <v>0</v>
      </c>
      <c r="EL334" s="162">
        <v>9.2378</v>
      </c>
      <c r="EM334" s="142">
        <v>11.05</v>
      </c>
      <c r="EN334" s="119">
        <v>0</v>
      </c>
      <c r="EO334" s="115">
        <v>22.617000000000001</v>
      </c>
      <c r="EP334" s="115">
        <v>1564.9830046114876</v>
      </c>
      <c r="EQ334" s="115">
        <v>79</v>
      </c>
      <c r="ER334" s="115">
        <v>8.16</v>
      </c>
      <c r="ES334" s="115">
        <v>41</v>
      </c>
      <c r="ET334" s="150">
        <v>0.27625</v>
      </c>
      <c r="EU334" s="145">
        <f t="shared" si="225"/>
        <v>18</v>
      </c>
      <c r="EV334" s="115">
        <f t="shared" si="226"/>
        <v>22</v>
      </c>
      <c r="EW334" s="115">
        <f t="shared" si="226"/>
        <v>51</v>
      </c>
      <c r="EX334" s="115">
        <f t="shared" si="226"/>
        <v>20</v>
      </c>
      <c r="EY334" s="115" t="str">
        <f t="shared" si="253"/>
        <v>Постоянный</v>
      </c>
      <c r="EZ334" s="115">
        <f t="shared" si="253"/>
        <v>24</v>
      </c>
      <c r="FA334" s="115">
        <f t="shared" si="253"/>
        <v>0</v>
      </c>
      <c r="FB334" s="149">
        <f t="shared" si="238"/>
        <v>9.1959999999999997</v>
      </c>
      <c r="FC334" s="142">
        <f t="shared" si="238"/>
        <v>11</v>
      </c>
      <c r="FD334" s="119">
        <f t="shared" si="238"/>
        <v>0</v>
      </c>
      <c r="FE334" s="121">
        <f t="shared" si="238"/>
        <v>21</v>
      </c>
      <c r="FF334" s="121">
        <f t="shared" si="247"/>
        <v>1848.6298390604611</v>
      </c>
      <c r="FG334" s="121">
        <f t="shared" si="227"/>
        <v>69</v>
      </c>
      <c r="FH334" s="121">
        <f t="shared" si="248"/>
        <v>4</v>
      </c>
      <c r="FI334" s="121">
        <f t="shared" si="252"/>
        <v>45</v>
      </c>
      <c r="FJ334" s="144">
        <f t="shared" si="228"/>
        <v>0.30555555555555558</v>
      </c>
      <c r="FK334" s="132">
        <f t="shared" si="229"/>
        <v>0</v>
      </c>
      <c r="FL334" s="115">
        <f t="shared" si="229"/>
        <v>1</v>
      </c>
      <c r="FM334" s="115">
        <f t="shared" si="229"/>
        <v>12</v>
      </c>
      <c r="FN334" s="115">
        <f t="shared" si="229"/>
        <v>2</v>
      </c>
      <c r="FO334" s="115">
        <f t="shared" si="257"/>
        <v>0</v>
      </c>
      <c r="FP334" s="115">
        <f t="shared" si="257"/>
        <v>0</v>
      </c>
      <c r="FQ334" s="149">
        <f t="shared" si="257"/>
        <v>-4.1800000000000281E-2</v>
      </c>
      <c r="FR334" s="142">
        <f t="shared" si="256"/>
        <v>-5.0000000000000711E-2</v>
      </c>
      <c r="FS334" s="119">
        <f t="shared" si="256"/>
        <v>0</v>
      </c>
      <c r="FT334" s="121">
        <f t="shared" si="256"/>
        <v>-1.6170000000000009</v>
      </c>
      <c r="FU334" s="121">
        <f t="shared" si="230"/>
        <v>-10</v>
      </c>
      <c r="FV334" s="121">
        <f t="shared" si="230"/>
        <v>-4.16</v>
      </c>
      <c r="FW334" s="121">
        <f t="shared" si="231"/>
        <v>283.64683444897355</v>
      </c>
      <c r="FX334" s="121">
        <f>CN334-ES334</f>
        <v>4</v>
      </c>
      <c r="FY334" s="144">
        <f t="shared" si="214"/>
        <v>2.9305555555555585E-2</v>
      </c>
      <c r="FZ334" s="145"/>
      <c r="GA334" s="151"/>
      <c r="GB334" s="145"/>
      <c r="GC334" s="151"/>
      <c r="GD334" s="997" t="s">
        <v>416</v>
      </c>
      <c r="GE334" s="1004"/>
      <c r="GF334" s="1004">
        <v>0</v>
      </c>
      <c r="GG334" s="1004"/>
      <c r="GH334" s="1004">
        <v>-0.12539999999999907</v>
      </c>
      <c r="GI334" s="145" t="s">
        <v>203</v>
      </c>
      <c r="GJ334" s="996">
        <v>-1.5048000000000012</v>
      </c>
      <c r="GK334" s="145"/>
      <c r="GL334" s="996">
        <v>0</v>
      </c>
      <c r="GM334" s="1005"/>
      <c r="GN334" s="996">
        <v>0</v>
      </c>
      <c r="GO334" s="1006"/>
      <c r="GP334" s="996">
        <v>0</v>
      </c>
      <c r="GQ334" s="1006" t="s">
        <v>199</v>
      </c>
      <c r="GR334" s="996">
        <v>-2.8423999999999978</v>
      </c>
      <c r="GS334" s="1006" t="s">
        <v>199</v>
      </c>
      <c r="GT334" s="996">
        <v>2.4243999999999986</v>
      </c>
      <c r="GU334" s="1006" t="s">
        <v>203</v>
      </c>
      <c r="GV334" s="996">
        <v>-4.18</v>
      </c>
      <c r="GW334" s="1006"/>
      <c r="GX334" s="1035">
        <v>0</v>
      </c>
      <c r="GY334" s="1006"/>
      <c r="GZ334" s="996">
        <v>-0.34652200000000022</v>
      </c>
      <c r="HA334" s="1006"/>
      <c r="HB334" s="996">
        <v>0.77505559999999996</v>
      </c>
      <c r="HC334" s="1006" t="s">
        <v>203</v>
      </c>
      <c r="HD334" s="996">
        <v>-6.59977692</v>
      </c>
      <c r="HE334" s="1006" t="s">
        <v>349</v>
      </c>
      <c r="HF334" s="996">
        <v>1.2017082000000023</v>
      </c>
      <c r="HG334" s="1006" t="s">
        <v>25</v>
      </c>
      <c r="HH334" s="996">
        <v>20</v>
      </c>
      <c r="HI334" s="1006"/>
      <c r="HJ334" s="996">
        <v>0</v>
      </c>
      <c r="HK334" s="1006"/>
      <c r="HL334" s="996">
        <v>0</v>
      </c>
      <c r="HM334" s="1006"/>
      <c r="HN334" s="996">
        <v>-0.76109439999999995</v>
      </c>
      <c r="HO334" s="1006"/>
      <c r="HP334" s="996">
        <v>0.93349766399999989</v>
      </c>
      <c r="HQ334" s="1006"/>
      <c r="HR334" s="996">
        <v>0</v>
      </c>
      <c r="HS334" s="1006" t="s">
        <v>643</v>
      </c>
      <c r="HT334" s="996">
        <v>0</v>
      </c>
      <c r="HU334" s="1006"/>
      <c r="HV334" s="996">
        <v>0</v>
      </c>
      <c r="HW334" s="1006"/>
      <c r="HX334" s="996">
        <v>0</v>
      </c>
      <c r="HY334" s="1006" t="s">
        <v>204</v>
      </c>
      <c r="HZ334" s="996">
        <v>-3.6464998284000001</v>
      </c>
      <c r="IA334" s="1006"/>
      <c r="IB334" s="996">
        <v>0</v>
      </c>
      <c r="IC334" s="1006"/>
      <c r="ID334" s="996">
        <v>0</v>
      </c>
      <c r="IE334" s="1006" t="s">
        <v>199</v>
      </c>
      <c r="IF334" s="996">
        <v>1.3142905644000002</v>
      </c>
      <c r="IG334" s="1006"/>
      <c r="IH334" s="996">
        <v>0</v>
      </c>
      <c r="II334" s="1006"/>
      <c r="IJ334" s="996">
        <v>0</v>
      </c>
      <c r="IK334" s="1006"/>
      <c r="IL334" s="996">
        <v>0</v>
      </c>
      <c r="IM334" s="1006"/>
      <c r="IN334" s="996">
        <v>0</v>
      </c>
      <c r="IO334" s="1006"/>
      <c r="IP334" s="996">
        <v>0</v>
      </c>
      <c r="IQ334" s="1006" t="s">
        <v>199</v>
      </c>
      <c r="IR334" s="996">
        <v>-1.0375595999999998</v>
      </c>
      <c r="IS334" s="1006"/>
      <c r="IT334" s="996">
        <v>0</v>
      </c>
      <c r="IU334" s="1006"/>
      <c r="IV334" s="996">
        <v>0</v>
      </c>
      <c r="IW334" s="1006"/>
      <c r="IX334" s="996">
        <v>0</v>
      </c>
      <c r="IY334" s="1006"/>
      <c r="IZ334" s="996">
        <v>0</v>
      </c>
      <c r="JA334" s="1006"/>
      <c r="JB334" s="996">
        <v>0</v>
      </c>
      <c r="JC334" s="1006" t="s">
        <v>199</v>
      </c>
      <c r="JD334" s="996">
        <v>-14.189595200000003</v>
      </c>
      <c r="JE334" s="1006" t="s">
        <v>25</v>
      </c>
      <c r="JF334" s="996">
        <v>18.849960800000002</v>
      </c>
      <c r="JG334" s="1006"/>
      <c r="JH334" s="996">
        <v>0</v>
      </c>
      <c r="JI334" s="1006"/>
      <c r="JJ334" s="996">
        <v>0</v>
      </c>
      <c r="JK334" s="1007"/>
      <c r="JL334" s="1007">
        <v>0</v>
      </c>
      <c r="JM334" s="1007"/>
      <c r="JN334" s="1007">
        <v>0</v>
      </c>
      <c r="JO334" s="1008"/>
      <c r="JP334" s="1007">
        <v>0</v>
      </c>
      <c r="JQ334" s="1008">
        <v>0</v>
      </c>
      <c r="JR334" s="1007">
        <v>0</v>
      </c>
      <c r="JS334" s="1008">
        <v>0</v>
      </c>
      <c r="JT334" s="1007">
        <v>0</v>
      </c>
      <c r="JU334" s="1008"/>
      <c r="JV334" s="1007"/>
      <c r="JW334" s="1008"/>
      <c r="JX334" s="1007"/>
      <c r="JY334" s="1008"/>
      <c r="JZ334" s="1007"/>
      <c r="KA334" s="1008"/>
      <c r="KB334" s="1007"/>
      <c r="KC334" s="1008"/>
      <c r="KD334" s="1007"/>
      <c r="KE334" s="1008"/>
      <c r="KF334" s="1007"/>
      <c r="KG334" s="1008"/>
      <c r="KH334" s="1007"/>
      <c r="KI334" s="1008"/>
      <c r="KJ334" s="1007"/>
      <c r="KK334" s="1008"/>
      <c r="KL334" s="1007"/>
      <c r="KM334" s="1008"/>
      <c r="KN334" s="1007"/>
      <c r="KO334" s="1008"/>
      <c r="KP334" s="1007"/>
      <c r="KQ334" s="1008"/>
      <c r="KR334" s="1007"/>
      <c r="KS334" s="1008"/>
      <c r="KT334" s="1007"/>
      <c r="KU334" s="1008"/>
      <c r="KV334" s="1007"/>
      <c r="KW334" s="1008"/>
      <c r="KX334" s="1007"/>
      <c r="KY334" s="1008"/>
      <c r="KZ334" s="1007"/>
      <c r="LA334" s="1008"/>
      <c r="LB334" s="1007"/>
      <c r="LC334" s="1008"/>
      <c r="LD334" s="1007"/>
      <c r="LE334" s="1008"/>
      <c r="LF334" s="1007"/>
      <c r="LG334" s="1008"/>
      <c r="LH334" s="1007"/>
      <c r="LI334" s="1008"/>
      <c r="LJ334" s="1007"/>
      <c r="LK334" s="1008"/>
      <c r="LL334" s="1007"/>
      <c r="LM334" s="1008"/>
      <c r="LN334" s="1007"/>
      <c r="LO334" s="1008"/>
      <c r="LP334" s="1007"/>
      <c r="LQ334" s="1008"/>
      <c r="LR334" s="1007"/>
      <c r="LS334" s="1008"/>
      <c r="LT334" s="1007"/>
      <c r="LU334" s="1008"/>
      <c r="LV334" s="1007"/>
      <c r="LW334" s="1008"/>
      <c r="LX334" s="1007"/>
      <c r="LY334" s="1009"/>
      <c r="LZ334" s="1010"/>
      <c r="MA334" s="1011"/>
      <c r="MB334" s="1012"/>
      <c r="MC334" s="995"/>
      <c r="MD334" s="996"/>
      <c r="ME334" s="997" t="s">
        <v>416</v>
      </c>
      <c r="MF334" s="997"/>
      <c r="MG334" s="998"/>
      <c r="NR334" s="1000"/>
      <c r="NS334" s="1000"/>
      <c r="NT334" s="1001"/>
      <c r="NU334" s="1000"/>
      <c r="NV334" s="1001"/>
      <c r="NX334" s="1002"/>
      <c r="NZ334" s="1001"/>
      <c r="OA334" s="1001"/>
      <c r="OC334" s="1003"/>
      <c r="OD334" s="1003"/>
      <c r="OE334" s="1001"/>
      <c r="OF334" s="1003"/>
      <c r="OG334" s="1003"/>
      <c r="QX334" s="1000">
        <f t="shared" si="262"/>
        <v>23</v>
      </c>
      <c r="ASU334" s="999" t="s">
        <v>208</v>
      </c>
    </row>
    <row r="335" spans="1:1191" ht="21" customHeight="1" x14ac:dyDescent="0.25">
      <c r="A335" s="982">
        <f t="shared" si="215"/>
        <v>1354</v>
      </c>
      <c r="B335" s="124">
        <f>SUBTOTAL(103,$J$29:J335)</f>
        <v>307</v>
      </c>
      <c r="C335" s="126">
        <v>45068</v>
      </c>
      <c r="D335" s="124" t="s">
        <v>176</v>
      </c>
      <c r="E335" s="127" t="s">
        <v>177</v>
      </c>
      <c r="F335" s="128" t="s">
        <v>177</v>
      </c>
      <c r="G335" s="127" t="s">
        <v>178</v>
      </c>
      <c r="H335" s="127" t="s">
        <v>421</v>
      </c>
      <c r="I335" s="127" t="s">
        <v>422</v>
      </c>
      <c r="J335" s="152">
        <v>1354</v>
      </c>
      <c r="K335" s="127" t="s">
        <v>1399</v>
      </c>
      <c r="L335" s="130">
        <v>43416</v>
      </c>
      <c r="M335" s="127" t="s">
        <v>230</v>
      </c>
      <c r="N335" s="127" t="s">
        <v>231</v>
      </c>
      <c r="O335" s="127" t="s">
        <v>185</v>
      </c>
      <c r="P335" s="127" t="s">
        <v>186</v>
      </c>
      <c r="Q335" s="85" t="str">
        <f t="shared" si="249"/>
        <v/>
      </c>
      <c r="R335" s="130"/>
      <c r="S335" s="128"/>
      <c r="T335" s="131"/>
      <c r="U335" s="132">
        <v>203</v>
      </c>
      <c r="V335" s="121">
        <v>218.2</v>
      </c>
      <c r="W335" s="116">
        <v>0.98</v>
      </c>
      <c r="X335" s="116">
        <v>1.66</v>
      </c>
      <c r="Y335" s="116">
        <f t="shared" si="239"/>
        <v>0.98040161029819439</v>
      </c>
      <c r="Z335" s="133">
        <v>1.454</v>
      </c>
      <c r="AA335" s="133">
        <v>0.83599999999999997</v>
      </c>
      <c r="AB335" s="133">
        <v>0.72</v>
      </c>
      <c r="AC335" s="121">
        <v>34.299999999999997</v>
      </c>
      <c r="AD335" s="134">
        <v>1.17</v>
      </c>
      <c r="AE335" s="124">
        <v>177.8</v>
      </c>
      <c r="AF335" s="128">
        <v>9.19</v>
      </c>
      <c r="AG335" s="128">
        <v>1981.2</v>
      </c>
      <c r="AH335" s="127">
        <v>2875</v>
      </c>
      <c r="AI335" s="127">
        <v>2875</v>
      </c>
      <c r="AJ335" s="135"/>
      <c r="AK335" s="128"/>
      <c r="AL335" s="131"/>
      <c r="AM335" s="124" t="s">
        <v>232</v>
      </c>
      <c r="AN335" s="136" t="s">
        <v>1400</v>
      </c>
      <c r="AO335" s="137">
        <v>140.99</v>
      </c>
      <c r="AP335" s="128">
        <v>1981.24</v>
      </c>
      <c r="AQ335" s="128">
        <v>1981.24</v>
      </c>
      <c r="AR335" s="128" t="s">
        <v>1401</v>
      </c>
      <c r="AS335" s="128">
        <v>114</v>
      </c>
      <c r="AT335" s="122">
        <v>7.37</v>
      </c>
      <c r="AU335" s="124" t="s">
        <v>189</v>
      </c>
      <c r="AV335" s="115">
        <f>VLOOKUP(J335,'[63]ТР нефть'!$J$28:$BP$638,39,0)</f>
        <v>549.99999140600005</v>
      </c>
      <c r="AW335" s="115" t="str">
        <f>VLOOKUP(J335,'[63]ТР нефть'!$J$28:$BP$638,40,0)</f>
        <v>ГП</v>
      </c>
      <c r="AX335" s="115">
        <f>VLOOKUP(J335,'[63]ТР нефть'!$J$28:$BP$638,41,0)</f>
        <v>980.00001445299995</v>
      </c>
      <c r="AY335" s="115" t="str">
        <f>VLOOKUP(J335,'[63]ТР нефть'!$J$28:$BP$638,42,0)</f>
        <v>ГК 86 1/8</v>
      </c>
      <c r="AZ335" s="115">
        <f>VLOOKUP(J335,'[63]ТР нефть'!$J$28:$BP$638,43,0)</f>
        <v>1310.000039063</v>
      </c>
      <c r="BA335" s="115" t="str">
        <f>VLOOKUP(J335,'[63]ТР нефть'!$J$28:$BP$638,44,0)</f>
        <v>ГК 86 1/8</v>
      </c>
      <c r="BB335" s="115">
        <f>VLOOKUP(J335,'[63]ТР нефть'!$J$28:$BP$638,45,0)</f>
        <v>1574.9999753909999</v>
      </c>
      <c r="BC335" s="115" t="str">
        <f>VLOOKUP(J335,'[63]ТР нефть'!$J$28:$BP$638,46,0)</f>
        <v>ГК 86 5/32</v>
      </c>
      <c r="BD335" s="115">
        <f>VLOOKUP(J335,'[63]ТР нефть'!$J$28:$BP$638,47,0)</f>
        <v>1899.9999703129999</v>
      </c>
      <c r="BE335" s="115" t="str">
        <f>VLOOKUP(J335,'[63]ТР нефть'!$J$28:$BP$638,48,0)</f>
        <v>ЦКсОК 5/16</v>
      </c>
      <c r="BF335" s="115" t="str">
        <f>VLOOKUP(J335,'[63]ТР нефть'!$J$28:$BP$638,49,0)</f>
        <v>-</v>
      </c>
      <c r="BG335" s="115" t="str">
        <f>VLOOKUP(J335,'[63]ТР нефть'!$J$28:$BP$638,50,0)</f>
        <v>-</v>
      </c>
      <c r="BH335" s="115">
        <f>VLOOKUP(J335,'[63]ТР нефть'!$J$28:$BP$638,51,0)</f>
        <v>1910</v>
      </c>
      <c r="BI335" s="115" t="str">
        <f>VLOOKUP(J335,'[63]ТР нефть'!$J$28:$BP$638,52,0)</f>
        <v>закрыт</v>
      </c>
      <c r="BJ335" s="115" t="str">
        <f>IF(IFERROR(VLOOKUP(J335,'[63]ТР нефть'!$J$28:$BP$638,53,0),"-")=0,"-",IFERROR(VLOOKUP(J335,'[63]ТР нефть'!$J$28:$BP$638,53,0),"-"))</f>
        <v>-</v>
      </c>
      <c r="BK335" s="138" t="str">
        <f>IF(IFERROR(VLOOKUP(J335,'[63]ТР нефть'!$J$28:$BP$638,54,0),"-")=0,"-",IFERROR(VLOOKUP(J335,'[63]ТР нефть'!$J$28:$BP$638,54,0),"-"))</f>
        <v>-</v>
      </c>
      <c r="BL335" s="138" t="str">
        <f>IF(IFERROR(VLOOKUP(J335,'[63]ТР нефть'!$J$28:$BP$638,55,0),"-")=0,"-",IFERROR(VLOOKUP(J335,'[63]ТР нефть'!$J$28:$BP$638,55,0),"-"))</f>
        <v>-</v>
      </c>
      <c r="BM335" s="138" t="str">
        <f>IF(IFERROR(VLOOKUP(J335,'[63]ТР нефть'!$J$28:$BP$638,56,0),"-")=0,"-",IFERROR(VLOOKUP(J335,'[63]ТР нефть'!$J$28:$BP$638,56,0),"-"))</f>
        <v>-</v>
      </c>
      <c r="BN335" s="138" t="str">
        <f>IF(IFERROR(VLOOKUP(J335,'[63]ТР нефть'!$J$28:$BP$638,57,0),"-")=0,"-",IFERROR(VLOOKUP(J335,'[63]ТР нефть'!$J$28:$BP$638,57,0),"-"))</f>
        <v>-</v>
      </c>
      <c r="BO335" s="115" t="str">
        <f>IF(IFERROR(VLOOKUP(J335,'[63]ТР нефть'!$J$28:$BP$638,58,0),"-")=0,"-",IFERROR(VLOOKUP(J335,'[63]ТР нефть'!$J$28:$BP$638,58,0),"-"))</f>
        <v>-</v>
      </c>
      <c r="BP335" s="115" t="str">
        <f>IF(IFERROR(VLOOKUP(J335,'[63]ТР нефть'!$J$28:$BP$638,59,0),"-")=0,"-",IFERROR(VLOOKUP(J335,'[63]ТР нефть'!$J$28:$BP$638,59,0),"-"))</f>
        <v>-</v>
      </c>
      <c r="BQ335" s="138">
        <v>1942</v>
      </c>
      <c r="BR335" s="128">
        <v>1822.08</v>
      </c>
      <c r="BS335" s="115">
        <f t="shared" si="258"/>
        <v>119.92000000000007</v>
      </c>
      <c r="BT335" s="128">
        <v>73</v>
      </c>
      <c r="BU335" s="128">
        <v>5.5</v>
      </c>
      <c r="BV335" s="127">
        <v>65</v>
      </c>
      <c r="BW335" s="127" t="s">
        <v>217</v>
      </c>
      <c r="BX335" s="127" t="s">
        <v>195</v>
      </c>
      <c r="BY335" s="139">
        <v>24</v>
      </c>
      <c r="BZ335" s="139">
        <v>0</v>
      </c>
      <c r="CA335" s="138">
        <v>25</v>
      </c>
      <c r="CB335" s="138">
        <v>41</v>
      </c>
      <c r="CC335" s="138">
        <v>25</v>
      </c>
      <c r="CD335" s="135">
        <v>45017</v>
      </c>
      <c r="CE335" s="138">
        <v>76</v>
      </c>
      <c r="CF335" s="138">
        <v>71</v>
      </c>
      <c r="CG335" s="138" t="str">
        <f t="shared" si="263"/>
        <v/>
      </c>
      <c r="CH335" s="138" t="s">
        <v>197</v>
      </c>
      <c r="CI335" s="127">
        <v>6</v>
      </c>
      <c r="CJ335" s="138"/>
      <c r="CK335" s="138"/>
      <c r="CL335" s="99"/>
      <c r="CM335" s="99"/>
      <c r="CN335" s="140">
        <v>39</v>
      </c>
      <c r="CO335" s="159">
        <f t="shared" si="216"/>
        <v>6.8483447999999987</v>
      </c>
      <c r="CP335" s="160">
        <v>8.1999999999999993</v>
      </c>
      <c r="CQ335" s="161">
        <v>0.1</v>
      </c>
      <c r="CR335" s="119">
        <v>10.9</v>
      </c>
      <c r="CS335" s="138">
        <v>5.8</v>
      </c>
      <c r="CT335" s="138"/>
      <c r="CU335" s="138">
        <f t="shared" si="259"/>
        <v>5.1000000000000005</v>
      </c>
      <c r="CV335" s="115">
        <f t="shared" si="260"/>
        <v>744.70549438457044</v>
      </c>
      <c r="CW335" s="115">
        <f t="shared" si="217"/>
        <v>845.7472996892725</v>
      </c>
      <c r="CX335" s="133">
        <f t="shared" si="261"/>
        <v>0.22162162162162161</v>
      </c>
      <c r="CY335" s="116"/>
      <c r="CZ335" s="131"/>
      <c r="DA335" s="145" t="str">
        <f t="shared" si="218"/>
        <v>Газлифт</v>
      </c>
      <c r="DB335" s="146">
        <f t="shared" si="219"/>
        <v>6.8483447999999987</v>
      </c>
      <c r="DC335" s="142">
        <f t="shared" si="234"/>
        <v>8.1999999999999993</v>
      </c>
      <c r="DD335" s="119">
        <f t="shared" si="250"/>
        <v>0.1</v>
      </c>
      <c r="DE335" s="115">
        <f t="shared" si="220"/>
        <v>5.1000000000000005</v>
      </c>
      <c r="DF335" s="121">
        <f t="shared" si="221"/>
        <v>5.8</v>
      </c>
      <c r="DG335" s="115">
        <f t="shared" si="222"/>
        <v>744.70549438457044</v>
      </c>
      <c r="DH335" s="115">
        <f t="shared" si="223"/>
        <v>39</v>
      </c>
      <c r="DI335" s="147"/>
      <c r="DJ335" s="111">
        <v>43612</v>
      </c>
      <c r="DK335" s="112">
        <v>43416.083333333336</v>
      </c>
      <c r="DL335" s="113">
        <f t="shared" ca="1" si="240"/>
        <v>1687.9166666666642</v>
      </c>
      <c r="DM335" s="114"/>
      <c r="DN335" s="114"/>
      <c r="DO335" s="114"/>
      <c r="DP335" s="114"/>
      <c r="DQ335" s="112">
        <v>43624</v>
      </c>
      <c r="DR335" s="114" t="s">
        <v>198</v>
      </c>
      <c r="DS335" s="114"/>
      <c r="DT335" s="115">
        <v>58</v>
      </c>
      <c r="DU335" s="116">
        <f t="shared" si="241"/>
        <v>0.45555555555555549</v>
      </c>
      <c r="DV335" s="117">
        <f t="shared" si="242"/>
        <v>6.8483447999999987</v>
      </c>
      <c r="DW335" s="118">
        <f t="shared" si="243"/>
        <v>8.1999999999999993</v>
      </c>
      <c r="DX335" s="119">
        <f t="shared" si="224"/>
        <v>0.1</v>
      </c>
      <c r="DY335" s="115">
        <f t="shared" si="244"/>
        <v>5.1000000000000005</v>
      </c>
      <c r="DZ335" s="117">
        <f t="shared" si="245"/>
        <v>0</v>
      </c>
      <c r="EA335" s="120">
        <f t="shared" si="245"/>
        <v>0</v>
      </c>
      <c r="EB335" s="119">
        <f t="shared" si="245"/>
        <v>0</v>
      </c>
      <c r="EC335" s="121">
        <f t="shared" si="246"/>
        <v>0</v>
      </c>
      <c r="ED335" s="122"/>
      <c r="EE335" s="145">
        <v>65</v>
      </c>
      <c r="EF335" s="115">
        <v>25</v>
      </c>
      <c r="EG335" s="115">
        <v>41</v>
      </c>
      <c r="EH335" s="115">
        <v>25</v>
      </c>
      <c r="EI335" s="128" t="s">
        <v>195</v>
      </c>
      <c r="EJ335" s="121">
        <v>24</v>
      </c>
      <c r="EK335" s="121">
        <v>0</v>
      </c>
      <c r="EL335" s="162">
        <v>6.8483447999999987</v>
      </c>
      <c r="EM335" s="142">
        <v>8.1999999999999993</v>
      </c>
      <c r="EN335" s="119">
        <v>0.1</v>
      </c>
      <c r="EO335" s="115">
        <v>10.9</v>
      </c>
      <c r="EP335" s="115">
        <v>744.70549438457044</v>
      </c>
      <c r="EQ335" s="115">
        <v>71</v>
      </c>
      <c r="ER335" s="115">
        <v>5.8</v>
      </c>
      <c r="ES335" s="115">
        <v>39</v>
      </c>
      <c r="ET335" s="150">
        <v>0.22162162162162161</v>
      </c>
      <c r="EU335" s="145">
        <f t="shared" si="225"/>
        <v>65</v>
      </c>
      <c r="EV335" s="115">
        <f t="shared" si="226"/>
        <v>25</v>
      </c>
      <c r="EW335" s="115">
        <f t="shared" si="226"/>
        <v>41</v>
      </c>
      <c r="EX335" s="115">
        <f t="shared" si="226"/>
        <v>25</v>
      </c>
      <c r="EY335" s="115" t="str">
        <f t="shared" si="253"/>
        <v>Постоянный</v>
      </c>
      <c r="EZ335" s="115">
        <f t="shared" si="253"/>
        <v>24</v>
      </c>
      <c r="FA335" s="115">
        <f t="shared" si="253"/>
        <v>0</v>
      </c>
      <c r="FB335" s="149">
        <f t="shared" si="238"/>
        <v>6.8483447999999987</v>
      </c>
      <c r="FC335" s="142">
        <f t="shared" si="238"/>
        <v>8.1999999999999993</v>
      </c>
      <c r="FD335" s="119">
        <f t="shared" si="238"/>
        <v>0.1</v>
      </c>
      <c r="FE335" s="121">
        <f t="shared" si="238"/>
        <v>10.9</v>
      </c>
      <c r="FF335" s="121">
        <f t="shared" si="247"/>
        <v>744.70549438457044</v>
      </c>
      <c r="FG335" s="121">
        <f t="shared" si="227"/>
        <v>71</v>
      </c>
      <c r="FH335" s="121">
        <f t="shared" si="248"/>
        <v>5.8</v>
      </c>
      <c r="FI335" s="121">
        <f t="shared" si="252"/>
        <v>39</v>
      </c>
      <c r="FJ335" s="144">
        <f t="shared" si="228"/>
        <v>0.22162162162162161</v>
      </c>
      <c r="FK335" s="132">
        <f t="shared" si="229"/>
        <v>0</v>
      </c>
      <c r="FL335" s="115">
        <f t="shared" si="229"/>
        <v>0</v>
      </c>
      <c r="FM335" s="115">
        <f t="shared" si="229"/>
        <v>0</v>
      </c>
      <c r="FN335" s="115">
        <f t="shared" si="229"/>
        <v>0</v>
      </c>
      <c r="FO335" s="115">
        <f t="shared" si="257"/>
        <v>0</v>
      </c>
      <c r="FP335" s="115">
        <f t="shared" si="257"/>
        <v>0</v>
      </c>
      <c r="FQ335" s="149">
        <f t="shared" si="257"/>
        <v>0</v>
      </c>
      <c r="FR335" s="142">
        <f t="shared" si="256"/>
        <v>0</v>
      </c>
      <c r="FS335" s="119">
        <f t="shared" si="256"/>
        <v>0</v>
      </c>
      <c r="FT335" s="121">
        <f t="shared" si="256"/>
        <v>0</v>
      </c>
      <c r="FU335" s="121">
        <f t="shared" si="230"/>
        <v>0</v>
      </c>
      <c r="FV335" s="121">
        <f t="shared" si="230"/>
        <v>0</v>
      </c>
      <c r="FW335" s="121">
        <f t="shared" si="231"/>
        <v>0</v>
      </c>
      <c r="FX335" s="121">
        <f>CN335-ES335</f>
        <v>0</v>
      </c>
      <c r="FY335" s="144">
        <f t="shared" si="214"/>
        <v>0</v>
      </c>
      <c r="FZ335" s="145"/>
      <c r="GA335" s="151" t="s">
        <v>1181</v>
      </c>
      <c r="GB335" s="145"/>
      <c r="GC335" s="151"/>
      <c r="GD335" s="997" t="s">
        <v>416</v>
      </c>
      <c r="GE335" s="1004"/>
      <c r="GF335" s="1004">
        <v>0.39275279999999935</v>
      </c>
      <c r="GG335" s="1004"/>
      <c r="GH335" s="1004">
        <v>0</v>
      </c>
      <c r="GI335" s="145" t="s">
        <v>223</v>
      </c>
      <c r="GJ335" s="996">
        <v>-1.1269280000000004</v>
      </c>
      <c r="GK335" s="145"/>
      <c r="GL335" s="996">
        <v>0</v>
      </c>
      <c r="GM335" s="1005"/>
      <c r="GN335" s="996">
        <v>0</v>
      </c>
      <c r="GO335" s="1006" t="s">
        <v>199</v>
      </c>
      <c r="GP335" s="996">
        <v>1.5476867999999993</v>
      </c>
      <c r="GQ335" s="1006"/>
      <c r="GR335" s="996">
        <v>0.76938752000000044</v>
      </c>
      <c r="GS335" s="1006" t="s">
        <v>223</v>
      </c>
      <c r="GT335" s="996">
        <v>-0.69105432000000011</v>
      </c>
      <c r="GU335" s="1006"/>
      <c r="GV335" s="996">
        <v>0.63515100000000047</v>
      </c>
      <c r="GW335" s="1006"/>
      <c r="GX335" s="1035">
        <v>0</v>
      </c>
      <c r="GY335" s="1006" t="s">
        <v>25</v>
      </c>
      <c r="GZ335" s="996">
        <v>0.64801704000000004</v>
      </c>
      <c r="HA335" s="1006" t="s">
        <v>199</v>
      </c>
      <c r="HB335" s="996">
        <v>2.4319323599999993</v>
      </c>
      <c r="HC335" s="1006"/>
      <c r="HD335" s="996">
        <v>-9.3409800000001653E-3</v>
      </c>
      <c r="HE335" s="1006"/>
      <c r="HF335" s="996">
        <v>0</v>
      </c>
      <c r="HG335" s="1006"/>
      <c r="HH335" s="996">
        <v>-1.0558512800000006</v>
      </c>
      <c r="HI335" s="1006"/>
      <c r="HJ335" s="996">
        <v>0</v>
      </c>
      <c r="HK335" s="1006"/>
      <c r="HL335" s="996">
        <v>0</v>
      </c>
      <c r="HM335" s="1006" t="s">
        <v>199</v>
      </c>
      <c r="HN335" s="996">
        <v>1.1703999999999999</v>
      </c>
      <c r="HO335" s="1006" t="s">
        <v>199</v>
      </c>
      <c r="HP335" s="996">
        <v>-1.2130359999999998</v>
      </c>
      <c r="HQ335" s="1006"/>
      <c r="HR335" s="996">
        <v>-0.45457500000000017</v>
      </c>
      <c r="HS335" s="1006"/>
      <c r="HT335" s="996">
        <v>0</v>
      </c>
      <c r="HU335" s="1006"/>
      <c r="HV335" s="996">
        <v>0.33001100000000072</v>
      </c>
      <c r="HW335" s="1006"/>
      <c r="HX335" s="996">
        <v>0</v>
      </c>
      <c r="HY335" s="1006"/>
      <c r="HZ335" s="996">
        <v>0.18600999999999868</v>
      </c>
      <c r="IA335" s="1006"/>
      <c r="IB335" s="996">
        <v>0</v>
      </c>
      <c r="IC335" s="1006"/>
      <c r="ID335" s="996">
        <v>-0.76519079999999917</v>
      </c>
      <c r="IE335" s="1006" t="s">
        <v>204</v>
      </c>
      <c r="IF335" s="996">
        <v>1.5138287999999998</v>
      </c>
      <c r="IG335" s="1006"/>
      <c r="IH335" s="996">
        <v>0</v>
      </c>
      <c r="II335" s="1006"/>
      <c r="IJ335" s="996">
        <v>0</v>
      </c>
      <c r="IK335" s="1006" t="s">
        <v>204</v>
      </c>
      <c r="IL335" s="996">
        <v>-1.6452479999999996</v>
      </c>
      <c r="IM335" s="1006"/>
      <c r="IN335" s="996">
        <v>0</v>
      </c>
      <c r="IO335" s="1006" t="s">
        <v>223</v>
      </c>
      <c r="IP335" s="996">
        <v>-1.7773360000000009</v>
      </c>
      <c r="IQ335" s="1006"/>
      <c r="IR335" s="996">
        <v>0</v>
      </c>
      <c r="IS335" s="1006"/>
      <c r="IT335" s="996">
        <v>0</v>
      </c>
      <c r="IU335" s="1006"/>
      <c r="IV335" s="996">
        <v>0</v>
      </c>
      <c r="IW335" s="1006"/>
      <c r="IX335" s="996">
        <v>0</v>
      </c>
      <c r="IY335" s="1006"/>
      <c r="IZ335" s="996">
        <v>0</v>
      </c>
      <c r="JA335" s="1006"/>
      <c r="JB335" s="996">
        <v>0</v>
      </c>
      <c r="JC335" s="1006"/>
      <c r="JD335" s="996">
        <v>0</v>
      </c>
      <c r="JE335" s="1006" t="s">
        <v>204</v>
      </c>
      <c r="JF335" s="996">
        <v>-7.6192337759999997</v>
      </c>
      <c r="JG335" s="1006"/>
      <c r="JH335" s="996">
        <v>0</v>
      </c>
      <c r="JI335" s="1006"/>
      <c r="JJ335" s="996">
        <v>0</v>
      </c>
      <c r="JK335" s="1007"/>
      <c r="JL335" s="1007">
        <v>0</v>
      </c>
      <c r="JM335" s="1007"/>
      <c r="JN335" s="1007">
        <v>0</v>
      </c>
      <c r="JO335" s="1008"/>
      <c r="JP335" s="1007">
        <v>0</v>
      </c>
      <c r="JQ335" s="1008">
        <v>0</v>
      </c>
      <c r="JR335" s="1007">
        <v>0</v>
      </c>
      <c r="JS335" s="1008">
        <v>0</v>
      </c>
      <c r="JT335" s="1007">
        <v>0</v>
      </c>
      <c r="JU335" s="1008" t="s">
        <v>25</v>
      </c>
      <c r="JV335" s="1007">
        <v>8.8949697759999999</v>
      </c>
      <c r="JW335" s="1008" t="s">
        <v>197</v>
      </c>
      <c r="JX335" s="1007">
        <v>0</v>
      </c>
      <c r="JY335" s="1008"/>
      <c r="JZ335" s="1007">
        <v>0</v>
      </c>
      <c r="KA335" s="1008"/>
      <c r="KB335" s="1007">
        <v>0</v>
      </c>
      <c r="KC335" s="1008" t="s">
        <v>240</v>
      </c>
      <c r="KD335" s="1007">
        <v>-6.5490501119999998</v>
      </c>
      <c r="KE335" s="1008"/>
      <c r="KF335" s="1007">
        <v>0</v>
      </c>
      <c r="KG335" s="1008" t="s">
        <v>199</v>
      </c>
      <c r="KH335" s="1007">
        <v>-6.3733897920000011</v>
      </c>
      <c r="KI335" s="1008" t="s">
        <v>25</v>
      </c>
      <c r="KJ335" s="1007">
        <v>20.070239904000001</v>
      </c>
      <c r="KK335" s="1008"/>
      <c r="KL335" s="1007">
        <v>0</v>
      </c>
      <c r="KM335" s="1008"/>
      <c r="KN335" s="1007"/>
      <c r="KO335" s="1008"/>
      <c r="KP335" s="1007"/>
      <c r="KQ335" s="1008"/>
      <c r="KR335" s="1007"/>
      <c r="KS335" s="1008"/>
      <c r="KT335" s="1007"/>
      <c r="KU335" s="1008"/>
      <c r="KV335" s="1007"/>
      <c r="KW335" s="1008"/>
      <c r="KX335" s="1007"/>
      <c r="KY335" s="1008"/>
      <c r="KZ335" s="1007"/>
      <c r="LA335" s="1008"/>
      <c r="LB335" s="1007"/>
      <c r="LC335" s="1008"/>
      <c r="LD335" s="1007"/>
      <c r="LE335" s="1008"/>
      <c r="LF335" s="1007"/>
      <c r="LG335" s="1008"/>
      <c r="LH335" s="1007"/>
      <c r="LI335" s="1008"/>
      <c r="LJ335" s="1007"/>
      <c r="LK335" s="1008"/>
      <c r="LL335" s="1007"/>
      <c r="LM335" s="1008"/>
      <c r="LN335" s="1007"/>
      <c r="LO335" s="1008"/>
      <c r="LP335" s="1007"/>
      <c r="LQ335" s="1008"/>
      <c r="LR335" s="1007"/>
      <c r="LS335" s="1008"/>
      <c r="LT335" s="1007"/>
      <c r="LU335" s="1008"/>
      <c r="LV335" s="1007"/>
      <c r="LW335" s="1008"/>
      <c r="LX335" s="1007"/>
      <c r="LY335" s="1009"/>
      <c r="LZ335" s="1010"/>
      <c r="MA335" s="1011"/>
      <c r="MB335" s="1012"/>
      <c r="MC335" s="995"/>
      <c r="MD335" s="996"/>
      <c r="ME335" s="997" t="s">
        <v>416</v>
      </c>
      <c r="MF335" s="997"/>
      <c r="MG335" s="998"/>
      <c r="NR335" s="1000"/>
      <c r="NS335" s="1000"/>
      <c r="NT335" s="1001"/>
      <c r="NU335" s="1000"/>
      <c r="NV335" s="1001"/>
      <c r="NX335" s="1002"/>
      <c r="NZ335" s="1001"/>
      <c r="OA335" s="1001"/>
      <c r="OC335" s="1003"/>
      <c r="OD335" s="1003"/>
      <c r="OE335" s="1001"/>
      <c r="OF335" s="1003"/>
      <c r="OG335" s="1003"/>
      <c r="QX335" s="1000">
        <f t="shared" si="262"/>
        <v>14</v>
      </c>
      <c r="ASU335" s="999" t="s">
        <v>208</v>
      </c>
    </row>
    <row r="336" spans="1:1191" ht="21" customHeight="1" x14ac:dyDescent="0.25">
      <c r="A336" s="982">
        <f t="shared" si="215"/>
        <v>1356</v>
      </c>
      <c r="B336" s="124">
        <f>SUBTOTAL(103,$J$29:J336)</f>
        <v>308</v>
      </c>
      <c r="C336" s="126">
        <v>45068</v>
      </c>
      <c r="D336" s="124" t="s">
        <v>176</v>
      </c>
      <c r="E336" s="127" t="s">
        <v>177</v>
      </c>
      <c r="F336" s="128" t="s">
        <v>177</v>
      </c>
      <c r="G336" s="127" t="s">
        <v>178</v>
      </c>
      <c r="H336" s="127" t="s">
        <v>408</v>
      </c>
      <c r="I336" s="127" t="s">
        <v>634</v>
      </c>
      <c r="J336" s="152">
        <v>1356</v>
      </c>
      <c r="K336" s="127" t="s">
        <v>634</v>
      </c>
      <c r="L336" s="130">
        <v>42913</v>
      </c>
      <c r="M336" s="127" t="s">
        <v>230</v>
      </c>
      <c r="N336" s="127" t="s">
        <v>231</v>
      </c>
      <c r="O336" s="127" t="s">
        <v>185</v>
      </c>
      <c r="P336" s="127" t="s">
        <v>186</v>
      </c>
      <c r="Q336" s="85" t="str">
        <f t="shared" si="249"/>
        <v/>
      </c>
      <c r="R336" s="130"/>
      <c r="S336" s="128"/>
      <c r="T336" s="131"/>
      <c r="U336" s="132">
        <v>203</v>
      </c>
      <c r="V336" s="121">
        <v>218.2</v>
      </c>
      <c r="W336" s="116">
        <v>0.98</v>
      </c>
      <c r="X336" s="116">
        <v>1.66</v>
      </c>
      <c r="Y336" s="116">
        <f t="shared" si="239"/>
        <v>0.98</v>
      </c>
      <c r="Z336" s="133">
        <v>1.454</v>
      </c>
      <c r="AA336" s="133">
        <v>0.83599999999999997</v>
      </c>
      <c r="AB336" s="133">
        <v>0.72</v>
      </c>
      <c r="AC336" s="121">
        <v>34.299999999999997</v>
      </c>
      <c r="AD336" s="134">
        <v>1.17</v>
      </c>
      <c r="AE336" s="124">
        <v>177.8</v>
      </c>
      <c r="AF336" s="128">
        <v>9.19</v>
      </c>
      <c r="AG336" s="128">
        <v>2221.1999999999998</v>
      </c>
      <c r="AH336" s="127">
        <v>2821</v>
      </c>
      <c r="AI336" s="127">
        <v>2821</v>
      </c>
      <c r="AJ336" s="135"/>
      <c r="AK336" s="128"/>
      <c r="AL336" s="131"/>
      <c r="AM336" s="124" t="s">
        <v>232</v>
      </c>
      <c r="AN336" s="136" t="s">
        <v>1402</v>
      </c>
      <c r="AO336" s="137">
        <v>73.459999999999994</v>
      </c>
      <c r="AP336" s="128">
        <v>2221</v>
      </c>
      <c r="AQ336" s="128">
        <v>338.44</v>
      </c>
      <c r="AR336" s="128"/>
      <c r="AS336" s="128"/>
      <c r="AT336" s="122"/>
      <c r="AU336" s="124" t="s">
        <v>189</v>
      </c>
      <c r="AV336" s="115">
        <f>VLOOKUP(J336,'[63]ТР нефть'!$J$28:$BP$638,39,0)</f>
        <v>554.99998388699998</v>
      </c>
      <c r="AW336" s="115" t="str">
        <f>VLOOKUP(J336,'[63]ТР нефть'!$J$28:$BP$638,40,0)</f>
        <v>ГП</v>
      </c>
      <c r="AX336" s="115">
        <f>VLOOKUP(J336,'[63]ТР нефть'!$J$28:$BP$638,41,0)</f>
        <v>980.00001445299995</v>
      </c>
      <c r="AY336" s="115" t="str">
        <f>VLOOKUP(J336,'[63]ТР нефть'!$J$28:$BP$638,42,0)</f>
        <v>ГП</v>
      </c>
      <c r="AZ336" s="115">
        <f>VLOOKUP(J336,'[63]ТР нефть'!$J$28:$BP$638,43,0)</f>
        <v>1330.000008984</v>
      </c>
      <c r="BA336" s="115" t="str">
        <f>VLOOKUP(J336,'[63]ТР нефть'!$J$28:$BP$638,44,0)</f>
        <v>ГК87 1/8</v>
      </c>
      <c r="BB336" s="115">
        <f>VLOOKUP(J336,'[63]ТР нефть'!$J$28:$BP$638,45,0)</f>
        <v>1630.000004297</v>
      </c>
      <c r="BC336" s="115" t="str">
        <f>VLOOKUP(J336,'[63]ТР нефть'!$J$28:$BP$638,46,0)</f>
        <v>ГК87 1/8</v>
      </c>
      <c r="BD336" s="115">
        <f>VLOOKUP(J336,'[63]ТР нефть'!$J$28:$BP$638,47,0)</f>
        <v>1899.9999703129999</v>
      </c>
      <c r="BE336" s="115" t="str">
        <f>VLOOKUP(J336,'[63]ТР нефть'!$J$28:$BP$638,48,0)</f>
        <v>ГК 87 1/8</v>
      </c>
      <c r="BF336" s="115" t="str">
        <f>VLOOKUP(J336,'[63]ТР нефть'!$J$28:$BP$638,49,0)</f>
        <v>-</v>
      </c>
      <c r="BG336" s="115" t="str">
        <f>VLOOKUP(J336,'[63]ТР нефть'!$J$28:$BP$638,50,0)</f>
        <v>-</v>
      </c>
      <c r="BH336" s="115">
        <f>VLOOKUP(J336,'[63]ТР нефть'!$J$28:$BP$638,51,0)</f>
        <v>1910</v>
      </c>
      <c r="BI336" s="115" t="str">
        <f>VLOOKUP(J336,'[63]ТР нефть'!$J$28:$BP$638,52,0)</f>
        <v>закрыт</v>
      </c>
      <c r="BJ336" s="115" t="str">
        <f>IF(IFERROR(VLOOKUP(J336,'[63]ТР нефть'!$J$28:$BP$638,53,0),"-")=0,"-",IFERROR(VLOOKUP(J336,'[63]ТР нефть'!$J$28:$BP$638,53,0),"-"))</f>
        <v>-</v>
      </c>
      <c r="BK336" s="138" t="str">
        <f>IF(IFERROR(VLOOKUP(J336,'[63]ТР нефть'!$J$28:$BP$638,54,0),"-")=0,"-",IFERROR(VLOOKUP(J336,'[63]ТР нефть'!$J$28:$BP$638,54,0),"-"))</f>
        <v>-</v>
      </c>
      <c r="BL336" s="138" t="str">
        <f>IF(IFERROR(VLOOKUP(J336,'[63]ТР нефть'!$J$28:$BP$638,55,0),"-")=0,"-",IFERROR(VLOOKUP(J336,'[63]ТР нефть'!$J$28:$BP$638,55,0),"-"))</f>
        <v>-</v>
      </c>
      <c r="BM336" s="138" t="str">
        <f>IF(IFERROR(VLOOKUP(J336,'[63]ТР нефть'!$J$28:$BP$638,56,0),"-")=0,"-",IFERROR(VLOOKUP(J336,'[63]ТР нефть'!$J$28:$BP$638,56,0),"-"))</f>
        <v>-</v>
      </c>
      <c r="BN336" s="138" t="str">
        <f>IF(IFERROR(VLOOKUP(J336,'[63]ТР нефть'!$J$28:$BP$638,57,0),"-")=0,"-",IFERROR(VLOOKUP(J336,'[63]ТР нефть'!$J$28:$BP$638,57,0),"-"))</f>
        <v>-</v>
      </c>
      <c r="BO336" s="115" t="str">
        <f>IF(IFERROR(VLOOKUP(J336,'[63]ТР нефть'!$J$28:$BP$638,58,0),"-")=0,"-",IFERROR(VLOOKUP(J336,'[63]ТР нефть'!$J$28:$BP$638,58,0),"-"))</f>
        <v>-</v>
      </c>
      <c r="BP336" s="115" t="str">
        <f>IF(IFERROR(VLOOKUP(J336,'[63]ТР нефть'!$J$28:$BP$638,59,0),"-")=0,"-",IFERROR(VLOOKUP(J336,'[63]ТР нефть'!$J$28:$BP$638,59,0),"-"))</f>
        <v>-</v>
      </c>
      <c r="BQ336" s="138">
        <v>2250</v>
      </c>
      <c r="BR336" s="128">
        <v>1843.51</v>
      </c>
      <c r="BS336" s="115">
        <f t="shared" si="258"/>
        <v>406.49</v>
      </c>
      <c r="BT336" s="128">
        <v>73</v>
      </c>
      <c r="BU336" s="128">
        <v>5.5</v>
      </c>
      <c r="BV336" s="127">
        <v>18</v>
      </c>
      <c r="BW336" s="127" t="s">
        <v>217</v>
      </c>
      <c r="BX336" s="127" t="s">
        <v>195</v>
      </c>
      <c r="BY336" s="139">
        <v>24</v>
      </c>
      <c r="BZ336" s="139">
        <v>0</v>
      </c>
      <c r="CA336" s="138">
        <v>22</v>
      </c>
      <c r="CB336" s="138">
        <v>38</v>
      </c>
      <c r="CC336" s="138">
        <v>21</v>
      </c>
      <c r="CD336" s="135">
        <v>45017</v>
      </c>
      <c r="CE336" s="138">
        <v>69</v>
      </c>
      <c r="CF336" s="138">
        <v>66</v>
      </c>
      <c r="CG336" s="138" t="str">
        <f t="shared" si="263"/>
        <v>В работе</v>
      </c>
      <c r="CH336" s="138" t="s">
        <v>272</v>
      </c>
      <c r="CI336" s="127">
        <v>6</v>
      </c>
      <c r="CJ336" s="138"/>
      <c r="CK336" s="138"/>
      <c r="CL336" s="99"/>
      <c r="CM336" s="99"/>
      <c r="CN336" s="140">
        <v>40</v>
      </c>
      <c r="CO336" s="159">
        <f t="shared" si="216"/>
        <v>12.122</v>
      </c>
      <c r="CP336" s="160">
        <v>14.5</v>
      </c>
      <c r="CQ336" s="161">
        <v>0</v>
      </c>
      <c r="CR336" s="173">
        <v>41</v>
      </c>
      <c r="CS336" s="139">
        <v>14</v>
      </c>
      <c r="CT336" s="138"/>
      <c r="CU336" s="138">
        <f t="shared" si="259"/>
        <v>27</v>
      </c>
      <c r="CV336" s="115">
        <f t="shared" si="260"/>
        <v>2227.3552219105759</v>
      </c>
      <c r="CW336" s="115">
        <f t="shared" si="217"/>
        <v>1154.9249298795578</v>
      </c>
      <c r="CX336" s="133">
        <f t="shared" si="261"/>
        <v>0.5</v>
      </c>
      <c r="CY336" s="116"/>
      <c r="CZ336" s="131"/>
      <c r="DA336" s="145" t="str">
        <f t="shared" si="218"/>
        <v>Газлифт</v>
      </c>
      <c r="DB336" s="146">
        <f t="shared" si="219"/>
        <v>12.122</v>
      </c>
      <c r="DC336" s="142">
        <f t="shared" si="234"/>
        <v>14.5</v>
      </c>
      <c r="DD336" s="119">
        <f t="shared" si="250"/>
        <v>0</v>
      </c>
      <c r="DE336" s="115">
        <f t="shared" si="220"/>
        <v>27</v>
      </c>
      <c r="DF336" s="121">
        <f t="shared" si="221"/>
        <v>14</v>
      </c>
      <c r="DG336" s="115">
        <f t="shared" si="222"/>
        <v>2227.3552219105759</v>
      </c>
      <c r="DH336" s="115">
        <f t="shared" si="223"/>
        <v>40</v>
      </c>
      <c r="DI336" s="147"/>
      <c r="DJ336" s="111" t="s">
        <v>197</v>
      </c>
      <c r="DK336" s="112">
        <v>42913.083333333336</v>
      </c>
      <c r="DL336" s="113">
        <f t="shared" ca="1" si="240"/>
        <v>2190.9166666666642</v>
      </c>
      <c r="DM336" s="114"/>
      <c r="DN336" s="114"/>
      <c r="DO336" s="114"/>
      <c r="DP336" s="114"/>
      <c r="DQ336" s="112">
        <v>42913</v>
      </c>
      <c r="DR336" s="114" t="s">
        <v>324</v>
      </c>
      <c r="DS336" s="114"/>
      <c r="DT336" s="115">
        <v>46</v>
      </c>
      <c r="DU336" s="116">
        <f t="shared" si="241"/>
        <v>0.63043478260869568</v>
      </c>
      <c r="DV336" s="117">
        <f t="shared" si="242"/>
        <v>12.122</v>
      </c>
      <c r="DW336" s="118">
        <f t="shared" si="243"/>
        <v>14.5</v>
      </c>
      <c r="DX336" s="119">
        <f t="shared" si="224"/>
        <v>0</v>
      </c>
      <c r="DY336" s="115">
        <f t="shared" si="244"/>
        <v>27</v>
      </c>
      <c r="DZ336" s="117">
        <f t="shared" si="245"/>
        <v>0</v>
      </c>
      <c r="EA336" s="120">
        <f t="shared" si="245"/>
        <v>0</v>
      </c>
      <c r="EB336" s="119">
        <f t="shared" si="245"/>
        <v>0</v>
      </c>
      <c r="EC336" s="121">
        <f t="shared" si="246"/>
        <v>0</v>
      </c>
      <c r="ED336" s="122"/>
      <c r="EE336" s="145">
        <v>18</v>
      </c>
      <c r="EF336" s="115">
        <v>19</v>
      </c>
      <c r="EG336" s="115">
        <v>36</v>
      </c>
      <c r="EH336" s="115">
        <v>18</v>
      </c>
      <c r="EI336" s="128" t="s">
        <v>195</v>
      </c>
      <c r="EJ336" s="121">
        <v>24</v>
      </c>
      <c r="EK336" s="121">
        <v>0</v>
      </c>
      <c r="EL336" s="162">
        <v>7.524</v>
      </c>
      <c r="EM336" s="142">
        <v>9</v>
      </c>
      <c r="EN336" s="119">
        <v>0</v>
      </c>
      <c r="EO336" s="115">
        <v>23.844999999999999</v>
      </c>
      <c r="EP336" s="115">
        <v>1255.3163211057945</v>
      </c>
      <c r="EQ336" s="115">
        <v>78</v>
      </c>
      <c r="ER336" s="115">
        <v>14.4</v>
      </c>
      <c r="ES336" s="115">
        <v>41</v>
      </c>
      <c r="ET336" s="150">
        <v>0.32142857142857145</v>
      </c>
      <c r="EU336" s="145">
        <f t="shared" si="225"/>
        <v>18</v>
      </c>
      <c r="EV336" s="115">
        <f t="shared" si="226"/>
        <v>22</v>
      </c>
      <c r="EW336" s="115">
        <f t="shared" si="226"/>
        <v>38</v>
      </c>
      <c r="EX336" s="115">
        <f t="shared" si="226"/>
        <v>21</v>
      </c>
      <c r="EY336" s="115" t="str">
        <f t="shared" si="253"/>
        <v>Постоянный</v>
      </c>
      <c r="EZ336" s="115">
        <f t="shared" si="253"/>
        <v>24</v>
      </c>
      <c r="FA336" s="115">
        <f t="shared" si="253"/>
        <v>0</v>
      </c>
      <c r="FB336" s="149">
        <f t="shared" si="238"/>
        <v>12.122</v>
      </c>
      <c r="FC336" s="142">
        <f t="shared" si="238"/>
        <v>14.5</v>
      </c>
      <c r="FD336" s="119">
        <f t="shared" si="238"/>
        <v>0</v>
      </c>
      <c r="FE336" s="121">
        <f t="shared" si="238"/>
        <v>41</v>
      </c>
      <c r="FF336" s="121">
        <f t="shared" si="247"/>
        <v>2227.3552219105759</v>
      </c>
      <c r="FG336" s="121">
        <f t="shared" si="227"/>
        <v>66</v>
      </c>
      <c r="FH336" s="121">
        <f t="shared" si="248"/>
        <v>14</v>
      </c>
      <c r="FI336" s="121">
        <f t="shared" si="252"/>
        <v>40</v>
      </c>
      <c r="FJ336" s="144">
        <f t="shared" si="228"/>
        <v>0.5</v>
      </c>
      <c r="FK336" s="132">
        <f t="shared" si="229"/>
        <v>0</v>
      </c>
      <c r="FL336" s="115">
        <f t="shared" si="229"/>
        <v>3</v>
      </c>
      <c r="FM336" s="115">
        <f t="shared" si="229"/>
        <v>2</v>
      </c>
      <c r="FN336" s="115">
        <f t="shared" si="229"/>
        <v>3</v>
      </c>
      <c r="FO336" s="115">
        <f t="shared" si="257"/>
        <v>0</v>
      </c>
      <c r="FP336" s="115">
        <f t="shared" si="257"/>
        <v>0</v>
      </c>
      <c r="FQ336" s="149">
        <f t="shared" si="257"/>
        <v>4.5979999999999999</v>
      </c>
      <c r="FR336" s="142">
        <f t="shared" si="256"/>
        <v>5.5</v>
      </c>
      <c r="FS336" s="119">
        <f t="shared" si="256"/>
        <v>0</v>
      </c>
      <c r="FT336" s="121">
        <f t="shared" si="256"/>
        <v>17.155000000000001</v>
      </c>
      <c r="FU336" s="121">
        <f t="shared" si="230"/>
        <v>-12</v>
      </c>
      <c r="FV336" s="121">
        <f t="shared" si="230"/>
        <v>-0.40000000000000036</v>
      </c>
      <c r="FW336" s="121">
        <f t="shared" si="231"/>
        <v>972.03890080478141</v>
      </c>
      <c r="FX336" s="121">
        <f>CN336-ES336</f>
        <v>-1</v>
      </c>
      <c r="FY336" s="144">
        <f t="shared" si="214"/>
        <v>0.17857142857142855</v>
      </c>
      <c r="FZ336" s="145" t="s">
        <v>204</v>
      </c>
      <c r="GA336" s="163" t="s">
        <v>1325</v>
      </c>
      <c r="GB336" s="145"/>
      <c r="GC336" s="163" t="s">
        <v>896</v>
      </c>
      <c r="GD336" s="997" t="s">
        <v>416</v>
      </c>
      <c r="GE336" s="1004"/>
      <c r="GF336" s="1004">
        <v>0</v>
      </c>
      <c r="GG336" s="1004"/>
      <c r="GH336" s="1004">
        <v>0</v>
      </c>
      <c r="GI336" s="145"/>
      <c r="GJ336" s="996">
        <v>0</v>
      </c>
      <c r="GK336" s="145" t="s">
        <v>240</v>
      </c>
      <c r="GL336" s="996">
        <v>-5.0159999999999991</v>
      </c>
      <c r="GM336" s="1005" t="s">
        <v>240</v>
      </c>
      <c r="GN336" s="996">
        <v>-1.7312080280000011</v>
      </c>
      <c r="GO336" s="1006" t="s">
        <v>199</v>
      </c>
      <c r="GP336" s="996">
        <v>3.9131011480000009</v>
      </c>
      <c r="GQ336" s="1006"/>
      <c r="GR336" s="996">
        <v>0.28430687999999904</v>
      </c>
      <c r="GS336" s="1006"/>
      <c r="GT336" s="996">
        <v>0</v>
      </c>
      <c r="GU336" s="1006"/>
      <c r="GV336" s="996">
        <v>0.91123999999999938</v>
      </c>
      <c r="GW336" s="1006"/>
      <c r="GX336" s="1035">
        <v>-0.12539999999999907</v>
      </c>
      <c r="GY336" s="1006"/>
      <c r="GZ336" s="996">
        <v>-0.81902919999999924</v>
      </c>
      <c r="HA336" s="1006"/>
      <c r="HB336" s="996">
        <v>-0.66905080000000083</v>
      </c>
      <c r="HC336" s="1006"/>
      <c r="HD336" s="996">
        <v>0.52450639999999993</v>
      </c>
      <c r="HE336" s="1006"/>
      <c r="HF336" s="996">
        <v>0</v>
      </c>
      <c r="HG336" s="1006"/>
      <c r="HH336" s="996">
        <v>-2.6466400000000334E-2</v>
      </c>
      <c r="HI336" s="1006"/>
      <c r="HJ336" s="996">
        <v>0</v>
      </c>
      <c r="HK336" s="1006"/>
      <c r="HL336" s="996">
        <v>0</v>
      </c>
      <c r="HM336" s="1006"/>
      <c r="HN336" s="996">
        <v>0.63536000000000215</v>
      </c>
      <c r="HO336" s="1006" t="s">
        <v>199</v>
      </c>
      <c r="HP336" s="996">
        <v>-1.7556000000000012</v>
      </c>
      <c r="HQ336" s="1006" t="s">
        <v>199</v>
      </c>
      <c r="HR336" s="996">
        <v>1.7723200000000006</v>
      </c>
      <c r="HS336" s="1006"/>
      <c r="HT336" s="996">
        <v>0</v>
      </c>
      <c r="HU336" s="1006"/>
      <c r="HV336" s="996">
        <v>0</v>
      </c>
      <c r="HW336" s="1006"/>
      <c r="HX336" s="996">
        <v>0</v>
      </c>
      <c r="HY336" s="1006" t="s">
        <v>223</v>
      </c>
      <c r="HZ336" s="996">
        <v>-5.2584400000000002</v>
      </c>
      <c r="IA336" s="1006" t="s">
        <v>199</v>
      </c>
      <c r="IB336" s="996">
        <v>2.5665199999999988</v>
      </c>
      <c r="IC336" s="1006"/>
      <c r="ID336" s="996">
        <v>8.3600000000000563E-2</v>
      </c>
      <c r="IE336" s="1006"/>
      <c r="IF336" s="996">
        <v>-0.16719999999999935</v>
      </c>
      <c r="IG336" s="1006" t="s">
        <v>1065</v>
      </c>
      <c r="IH336" s="996">
        <v>-6.9388000000000005</v>
      </c>
      <c r="II336" s="1006" t="s">
        <v>221</v>
      </c>
      <c r="IJ336" s="996">
        <v>-2.9259999999999984</v>
      </c>
      <c r="IK336" s="1006" t="s">
        <v>221</v>
      </c>
      <c r="IL336" s="996">
        <v>7.356799999999998</v>
      </c>
      <c r="IM336" s="1006" t="s">
        <v>203</v>
      </c>
      <c r="IN336" s="996">
        <v>-5.6597200000000001</v>
      </c>
      <c r="IO336" s="1006" t="s">
        <v>203</v>
      </c>
      <c r="IP336" s="996">
        <v>-35.059081200000008</v>
      </c>
      <c r="IQ336" s="1006" t="s">
        <v>25</v>
      </c>
      <c r="IR336" s="996">
        <v>44.06280120000001</v>
      </c>
      <c r="IS336" s="1006"/>
      <c r="IT336" s="996">
        <v>0</v>
      </c>
      <c r="IU336" s="1006"/>
      <c r="IV336" s="996">
        <v>0</v>
      </c>
      <c r="IW336" s="1006"/>
      <c r="IX336" s="996">
        <v>0</v>
      </c>
      <c r="IY336" s="1006"/>
      <c r="IZ336" s="996">
        <v>0</v>
      </c>
      <c r="JA336" s="1006"/>
      <c r="JB336" s="996">
        <v>0</v>
      </c>
      <c r="JC336" s="1006" t="s">
        <v>223</v>
      </c>
      <c r="JD336" s="996">
        <v>-1.9896799999999999</v>
      </c>
      <c r="JE336" s="1006"/>
      <c r="JF336" s="996">
        <v>0</v>
      </c>
      <c r="JG336" s="1006"/>
      <c r="JH336" s="996">
        <v>0</v>
      </c>
      <c r="JI336" s="1006" t="s">
        <v>204</v>
      </c>
      <c r="JJ336" s="996">
        <v>3.7452799999999993</v>
      </c>
      <c r="JK336" s="1007"/>
      <c r="JL336" s="1007">
        <v>0</v>
      </c>
      <c r="JM336" s="1007"/>
      <c r="JN336" s="1007">
        <v>0</v>
      </c>
      <c r="JO336" s="1008" t="s">
        <v>204</v>
      </c>
      <c r="JP336" s="1007">
        <v>-3.4276</v>
      </c>
      <c r="JQ336" s="1008">
        <v>0</v>
      </c>
      <c r="JR336" s="1007">
        <v>0</v>
      </c>
      <c r="JS336" s="1008">
        <v>0</v>
      </c>
      <c r="JT336" s="1007">
        <v>0</v>
      </c>
      <c r="JU336" s="1008"/>
      <c r="JV336" s="1007">
        <v>0</v>
      </c>
      <c r="JW336" s="1008" t="s">
        <v>206</v>
      </c>
      <c r="JX336" s="1007">
        <v>-3.2603999999999989</v>
      </c>
      <c r="JY336" s="1008"/>
      <c r="JZ336" s="1007">
        <v>0</v>
      </c>
      <c r="KA336" s="1008"/>
      <c r="KB336" s="1007">
        <v>0</v>
      </c>
      <c r="KC336" s="1008"/>
      <c r="KD336" s="1007">
        <v>0</v>
      </c>
      <c r="KE336" s="1008"/>
      <c r="KF336" s="1007">
        <v>0</v>
      </c>
      <c r="KG336" s="1008"/>
      <c r="KH336" s="1007">
        <v>0</v>
      </c>
      <c r="KI336" s="1008"/>
      <c r="KJ336" s="1007">
        <v>0</v>
      </c>
      <c r="KK336" s="1008"/>
      <c r="KL336" s="1007">
        <v>0</v>
      </c>
      <c r="KM336" s="1008" t="s">
        <v>240</v>
      </c>
      <c r="KN336" s="1007">
        <v>3.7619999999999987</v>
      </c>
      <c r="KO336" s="1008"/>
      <c r="KP336" s="1007">
        <v>0</v>
      </c>
      <c r="KQ336" s="1008" t="s">
        <v>223</v>
      </c>
      <c r="KR336" s="1007">
        <v>-2.1736000000000004</v>
      </c>
      <c r="KS336" s="1008">
        <v>0</v>
      </c>
      <c r="KT336" s="1007">
        <v>0</v>
      </c>
      <c r="KU336" s="1008">
        <v>0</v>
      </c>
      <c r="KV336" s="1007">
        <v>0</v>
      </c>
      <c r="KW336" s="1008">
        <v>0</v>
      </c>
      <c r="KX336" s="1007">
        <v>0</v>
      </c>
      <c r="KY336" s="1008">
        <v>0</v>
      </c>
      <c r="KZ336" s="1007">
        <v>0</v>
      </c>
      <c r="LA336" s="1008">
        <v>0</v>
      </c>
      <c r="LB336" s="1007">
        <v>0</v>
      </c>
      <c r="LC336" s="1008">
        <v>0</v>
      </c>
      <c r="LD336" s="1007">
        <v>0</v>
      </c>
      <c r="LE336" s="1008" t="s">
        <v>203</v>
      </c>
      <c r="LF336" s="1007">
        <v>-2.0899999999999981</v>
      </c>
      <c r="LG336" s="1008">
        <v>0</v>
      </c>
      <c r="LH336" s="1007">
        <v>0</v>
      </c>
      <c r="LI336" s="1008">
        <v>0</v>
      </c>
      <c r="LJ336" s="1007">
        <v>0</v>
      </c>
      <c r="LK336" s="1008">
        <v>0</v>
      </c>
      <c r="LL336" s="1007">
        <v>0</v>
      </c>
      <c r="LM336" s="1008" t="s">
        <v>203</v>
      </c>
      <c r="LN336" s="1007">
        <v>-3.9291999999999998</v>
      </c>
      <c r="LO336" s="1008">
        <v>0</v>
      </c>
      <c r="LP336" s="1007">
        <v>0</v>
      </c>
      <c r="LQ336" s="1008" t="s">
        <v>25</v>
      </c>
      <c r="LR336" s="1007">
        <v>19.984000000000002</v>
      </c>
      <c r="LS336" s="1008">
        <v>0</v>
      </c>
      <c r="LT336" s="1007">
        <v>0</v>
      </c>
      <c r="LU336" s="1008">
        <v>0</v>
      </c>
      <c r="LV336" s="1007">
        <v>0</v>
      </c>
      <c r="LW336" s="1008">
        <v>0</v>
      </c>
      <c r="LX336" s="1007">
        <v>0</v>
      </c>
      <c r="LY336" s="1009">
        <v>0</v>
      </c>
      <c r="LZ336" s="1010">
        <v>0</v>
      </c>
      <c r="MA336" s="1011">
        <v>0</v>
      </c>
      <c r="MB336" s="1012">
        <v>0</v>
      </c>
      <c r="MC336" s="995"/>
      <c r="MD336" s="996"/>
      <c r="ME336" s="997" t="s">
        <v>416</v>
      </c>
      <c r="MF336" s="997"/>
      <c r="MG336" s="998"/>
      <c r="NR336" s="1000"/>
      <c r="NS336" s="1000"/>
      <c r="NT336" s="1001"/>
      <c r="NU336" s="1000"/>
      <c r="NV336" s="1001"/>
      <c r="NX336" s="1002"/>
      <c r="NZ336" s="1001"/>
      <c r="OA336" s="1001"/>
      <c r="OC336" s="1003"/>
      <c r="OD336" s="1003"/>
      <c r="OE336" s="1001"/>
      <c r="OF336" s="1003"/>
      <c r="OG336" s="1003"/>
      <c r="QX336" s="1000">
        <f t="shared" si="262"/>
        <v>18</v>
      </c>
      <c r="ASU336" s="999" t="s">
        <v>208</v>
      </c>
    </row>
    <row r="337" spans="1:466 1191:1191" ht="21" customHeight="1" x14ac:dyDescent="0.25">
      <c r="A337" s="982">
        <f t="shared" si="215"/>
        <v>1358</v>
      </c>
      <c r="B337" s="124">
        <f>SUBTOTAL(103,$J$29:J337)</f>
        <v>309</v>
      </c>
      <c r="C337" s="126">
        <v>45068</v>
      </c>
      <c r="D337" s="124" t="s">
        <v>176</v>
      </c>
      <c r="E337" s="127" t="s">
        <v>177</v>
      </c>
      <c r="F337" s="128" t="s">
        <v>177</v>
      </c>
      <c r="G337" s="127" t="s">
        <v>178</v>
      </c>
      <c r="H337" s="127" t="s">
        <v>179</v>
      </c>
      <c r="I337" s="127" t="s">
        <v>1249</v>
      </c>
      <c r="J337" s="152">
        <v>1358</v>
      </c>
      <c r="K337" s="127" t="s">
        <v>1403</v>
      </c>
      <c r="L337" s="130">
        <v>43729</v>
      </c>
      <c r="M337" s="127" t="s">
        <v>230</v>
      </c>
      <c r="N337" s="127" t="s">
        <v>245</v>
      </c>
      <c r="O337" s="127" t="s">
        <v>185</v>
      </c>
      <c r="P337" s="127" t="s">
        <v>186</v>
      </c>
      <c r="Q337" s="85" t="str">
        <f t="shared" si="249"/>
        <v/>
      </c>
      <c r="R337" s="130"/>
      <c r="S337" s="128"/>
      <c r="T337" s="131"/>
      <c r="U337" s="132">
        <v>203</v>
      </c>
      <c r="V337" s="121">
        <v>218.2</v>
      </c>
      <c r="W337" s="116">
        <v>0.98</v>
      </c>
      <c r="X337" s="116">
        <v>1.66</v>
      </c>
      <c r="Y337" s="116">
        <f t="shared" si="239"/>
        <v>0.98</v>
      </c>
      <c r="Z337" s="133">
        <v>1.454</v>
      </c>
      <c r="AA337" s="133">
        <v>0.83599999999999997</v>
      </c>
      <c r="AB337" s="133">
        <v>0.72</v>
      </c>
      <c r="AC337" s="121">
        <v>34.299999999999997</v>
      </c>
      <c r="AD337" s="134">
        <v>1.17</v>
      </c>
      <c r="AE337" s="124">
        <v>177.8</v>
      </c>
      <c r="AF337" s="128">
        <v>9.19</v>
      </c>
      <c r="AG337" s="128">
        <v>2305</v>
      </c>
      <c r="AH337" s="127">
        <v>2859</v>
      </c>
      <c r="AI337" s="127">
        <v>2859</v>
      </c>
      <c r="AJ337" s="135"/>
      <c r="AK337" s="128"/>
      <c r="AL337" s="131"/>
      <c r="AM337" s="124" t="s">
        <v>232</v>
      </c>
      <c r="AN337" s="136" t="s">
        <v>1404</v>
      </c>
      <c r="AO337" s="137">
        <v>57</v>
      </c>
      <c r="AP337" s="128">
        <v>2305</v>
      </c>
      <c r="AQ337" s="128">
        <v>936</v>
      </c>
      <c r="AR337" s="128"/>
      <c r="AS337" s="128"/>
      <c r="AT337" s="122"/>
      <c r="AU337" s="124" t="s">
        <v>189</v>
      </c>
      <c r="AV337" s="115">
        <f>VLOOKUP(J337,'[63]ТР нефть'!$J$28:$BP$638,39,0)</f>
        <v>499.99999218800002</v>
      </c>
      <c r="AW337" s="115" t="str">
        <f>VLOOKUP(J337,'[63]ТР нефть'!$J$28:$BP$638,40,0)</f>
        <v>ГП</v>
      </c>
      <c r="AX337" s="115">
        <f>VLOOKUP(J337,'[63]ТР нефть'!$J$28:$BP$638,41,0)</f>
        <v>980.00001445299995</v>
      </c>
      <c r="AY337" s="115" t="str">
        <f>VLOOKUP(J337,'[63]ТР нефть'!$J$28:$BP$638,42,0)</f>
        <v>ГП</v>
      </c>
      <c r="AZ337" s="115">
        <f>VLOOKUP(J337,'[63]ТР нефть'!$J$28:$BP$638,43,0)</f>
        <v>1380.0000082030001</v>
      </c>
      <c r="BA337" s="115" t="str">
        <f>VLOOKUP(J337,'[63]ТР нефть'!$J$28:$BP$638,44,0)</f>
        <v>ГК81 1/8</v>
      </c>
      <c r="BB337" s="115">
        <f>VLOOKUP(J337,'[63]ТР нефть'!$J$28:$BP$638,45,0)</f>
        <v>1669.999944141</v>
      </c>
      <c r="BC337" s="115" t="str">
        <f>VLOOKUP(J337,'[63]ТР нефть'!$J$28:$BP$638,46,0)</f>
        <v>ГК80 1/8</v>
      </c>
      <c r="BD337" s="115">
        <f>VLOOKUP(J337,'[63]ТР нефть'!$J$28:$BP$638,47,0)</f>
        <v>1969.999939453</v>
      </c>
      <c r="BE337" s="115" t="str">
        <f>VLOOKUP(J337,'[63]ТР нефть'!$J$28:$BP$638,48,0)</f>
        <v>ЦКсОК 5/16</v>
      </c>
      <c r="BF337" s="115" t="str">
        <f>VLOOKUP(J337,'[63]ТР нефть'!$J$28:$BP$638,49,0)</f>
        <v>-</v>
      </c>
      <c r="BG337" s="115" t="str">
        <f>VLOOKUP(J337,'[63]ТР нефть'!$J$28:$BP$638,50,0)</f>
        <v>-</v>
      </c>
      <c r="BH337" s="115">
        <f>VLOOKUP(J337,'[63]ТР нефть'!$J$28:$BP$638,51,0)</f>
        <v>1980</v>
      </c>
      <c r="BI337" s="115" t="str">
        <f>VLOOKUP(J337,'[63]ТР нефть'!$J$28:$BP$638,52,0)</f>
        <v>закрыт</v>
      </c>
      <c r="BJ337" s="115" t="str">
        <f>IF(IFERROR(VLOOKUP(J337,'[63]ТР нефть'!$J$28:$BP$638,53,0),"-")=0,"-",IFERROR(VLOOKUP(J337,'[63]ТР нефть'!$J$28:$BP$638,53,0),"-"))</f>
        <v>-</v>
      </c>
      <c r="BK337" s="138" t="str">
        <f>IF(IFERROR(VLOOKUP(J337,'[63]ТР нефть'!$J$28:$BP$638,54,0),"-")=0,"-",IFERROR(VLOOKUP(J337,'[63]ТР нефть'!$J$28:$BP$638,54,0),"-"))</f>
        <v>-</v>
      </c>
      <c r="BL337" s="138" t="str">
        <f>IF(IFERROR(VLOOKUP(J337,'[63]ТР нефть'!$J$28:$BP$638,55,0),"-")=0,"-",IFERROR(VLOOKUP(J337,'[63]ТР нефть'!$J$28:$BP$638,55,0),"-"))</f>
        <v>-</v>
      </c>
      <c r="BM337" s="138" t="str">
        <f>IF(IFERROR(VLOOKUP(J337,'[63]ТР нефть'!$J$28:$BP$638,56,0),"-")=0,"-",IFERROR(VLOOKUP(J337,'[63]ТР нефть'!$J$28:$BP$638,56,0),"-"))</f>
        <v>-</v>
      </c>
      <c r="BN337" s="138" t="str">
        <f>IF(IFERROR(VLOOKUP(J337,'[63]ТР нефть'!$J$28:$BP$638,57,0),"-")=0,"-",IFERROR(VLOOKUP(J337,'[63]ТР нефть'!$J$28:$BP$638,57,0),"-"))</f>
        <v>-</v>
      </c>
      <c r="BO337" s="115" t="str">
        <f>IF(IFERROR(VLOOKUP(J337,'[63]ТР нефть'!$J$28:$BP$638,58,0),"-")=0,"-",IFERROR(VLOOKUP(J337,'[63]ТР нефть'!$J$28:$BP$638,58,0),"-"))</f>
        <v>-</v>
      </c>
      <c r="BP337" s="115" t="str">
        <f>IF(IFERROR(VLOOKUP(J337,'[63]ТР нефть'!$J$28:$BP$638,59,0),"-")=0,"-",IFERROR(VLOOKUP(J337,'[63]ТР нефть'!$J$28:$BP$638,59,0),"-"))</f>
        <v>-</v>
      </c>
      <c r="BQ337" s="138">
        <v>2350</v>
      </c>
      <c r="BR337" s="128">
        <v>1876</v>
      </c>
      <c r="BS337" s="115">
        <f t="shared" si="258"/>
        <v>474</v>
      </c>
      <c r="BT337" s="128">
        <v>73</v>
      </c>
      <c r="BU337" s="128">
        <v>5.5</v>
      </c>
      <c r="BV337" s="127">
        <v>65</v>
      </c>
      <c r="BW337" s="127" t="s">
        <v>217</v>
      </c>
      <c r="BX337" s="127" t="s">
        <v>195</v>
      </c>
      <c r="BY337" s="139">
        <v>24</v>
      </c>
      <c r="BZ337" s="139">
        <v>0</v>
      </c>
      <c r="CA337" s="138">
        <v>25</v>
      </c>
      <c r="CB337" s="138">
        <v>43</v>
      </c>
      <c r="CC337" s="138">
        <v>24</v>
      </c>
      <c r="CD337" s="135">
        <v>45017</v>
      </c>
      <c r="CE337" s="138">
        <v>109</v>
      </c>
      <c r="CF337" s="138">
        <v>72</v>
      </c>
      <c r="CG337" s="138" t="str">
        <f t="shared" si="263"/>
        <v>В работе</v>
      </c>
      <c r="CH337" s="138" t="s">
        <v>235</v>
      </c>
      <c r="CI337" s="127">
        <v>5</v>
      </c>
      <c r="CJ337" s="138"/>
      <c r="CK337" s="138">
        <f t="shared" si="255"/>
        <v>20</v>
      </c>
      <c r="CL337" s="99"/>
      <c r="CM337" s="99"/>
      <c r="CN337" s="140">
        <v>45</v>
      </c>
      <c r="CO337" s="141">
        <f t="shared" si="216"/>
        <v>14.546399999999998</v>
      </c>
      <c r="CP337" s="142">
        <v>17.399999999999999</v>
      </c>
      <c r="CQ337" s="143">
        <v>0</v>
      </c>
      <c r="CR337" s="138">
        <v>20</v>
      </c>
      <c r="CS337" s="139">
        <v>15.5</v>
      </c>
      <c r="CT337" s="138"/>
      <c r="CU337" s="138">
        <f t="shared" si="259"/>
        <v>4.5</v>
      </c>
      <c r="CV337" s="115">
        <f t="shared" si="260"/>
        <v>309.35489193202443</v>
      </c>
      <c r="CW337" s="115">
        <f t="shared" si="217"/>
        <v>1065.5557388769732</v>
      </c>
      <c r="CX337" s="133">
        <f t="shared" si="261"/>
        <v>0.27187499999999998</v>
      </c>
      <c r="CY337" s="116"/>
      <c r="CZ337" s="131"/>
      <c r="DA337" s="145" t="str">
        <f t="shared" si="218"/>
        <v>Газлифт</v>
      </c>
      <c r="DB337" s="146">
        <f t="shared" si="219"/>
        <v>14.546399999999998</v>
      </c>
      <c r="DC337" s="142">
        <f t="shared" si="234"/>
        <v>17.399999999999999</v>
      </c>
      <c r="DD337" s="119">
        <f t="shared" si="250"/>
        <v>0</v>
      </c>
      <c r="DE337" s="115">
        <f t="shared" si="220"/>
        <v>4.5</v>
      </c>
      <c r="DF337" s="121">
        <f t="shared" si="221"/>
        <v>15.5</v>
      </c>
      <c r="DG337" s="115">
        <f t="shared" si="222"/>
        <v>309.35489193202443</v>
      </c>
      <c r="DH337" s="115">
        <f t="shared" si="223"/>
        <v>45</v>
      </c>
      <c r="DI337" s="147"/>
      <c r="DJ337" s="111" t="s">
        <v>197</v>
      </c>
      <c r="DK337" s="112">
        <v>43729</v>
      </c>
      <c r="DL337" s="113">
        <f t="shared" ca="1" si="240"/>
        <v>1375</v>
      </c>
      <c r="DM337" s="114"/>
      <c r="DN337" s="114"/>
      <c r="DO337" s="114"/>
      <c r="DP337" s="114"/>
      <c r="DQ337" s="112"/>
      <c r="DR337" s="114"/>
      <c r="DS337" s="114"/>
      <c r="DT337" s="115">
        <v>55</v>
      </c>
      <c r="DU337" s="116">
        <f t="shared" si="241"/>
        <v>0.32222222222222219</v>
      </c>
      <c r="DV337" s="117">
        <f t="shared" si="242"/>
        <v>14.546399999999998</v>
      </c>
      <c r="DW337" s="118">
        <f t="shared" si="243"/>
        <v>17.399999999999999</v>
      </c>
      <c r="DX337" s="119">
        <f t="shared" si="224"/>
        <v>0</v>
      </c>
      <c r="DY337" s="115">
        <f t="shared" si="244"/>
        <v>4.5</v>
      </c>
      <c r="DZ337" s="117">
        <f t="shared" si="245"/>
        <v>0</v>
      </c>
      <c r="EA337" s="120">
        <f t="shared" si="245"/>
        <v>0</v>
      </c>
      <c r="EB337" s="119">
        <f t="shared" si="245"/>
        <v>0</v>
      </c>
      <c r="EC337" s="121">
        <f t="shared" si="246"/>
        <v>0</v>
      </c>
      <c r="ED337" s="122"/>
      <c r="EE337" s="145">
        <v>65</v>
      </c>
      <c r="EF337" s="115">
        <v>25</v>
      </c>
      <c r="EG337" s="115">
        <v>48</v>
      </c>
      <c r="EH337" s="115">
        <v>24</v>
      </c>
      <c r="EI337" s="128" t="s">
        <v>195</v>
      </c>
      <c r="EJ337" s="121">
        <v>24</v>
      </c>
      <c r="EK337" s="121">
        <v>0</v>
      </c>
      <c r="EL337" s="149">
        <v>20.064</v>
      </c>
      <c r="EM337" s="142">
        <v>24</v>
      </c>
      <c r="EN337" s="119">
        <v>0</v>
      </c>
      <c r="EO337" s="115">
        <v>20</v>
      </c>
      <c r="EP337" s="115">
        <v>224.28229665071771</v>
      </c>
      <c r="EQ337" s="115">
        <v>76</v>
      </c>
      <c r="ER337" s="115">
        <v>15.5</v>
      </c>
      <c r="ES337" s="115">
        <v>46</v>
      </c>
      <c r="ET337" s="150">
        <v>0.38095238095238093</v>
      </c>
      <c r="EU337" s="145">
        <f t="shared" si="225"/>
        <v>65</v>
      </c>
      <c r="EV337" s="115">
        <f t="shared" si="226"/>
        <v>25</v>
      </c>
      <c r="EW337" s="115">
        <f t="shared" si="226"/>
        <v>43</v>
      </c>
      <c r="EX337" s="115">
        <f t="shared" si="226"/>
        <v>24</v>
      </c>
      <c r="EY337" s="115" t="str">
        <f t="shared" si="253"/>
        <v>Постоянный</v>
      </c>
      <c r="EZ337" s="115">
        <f t="shared" si="253"/>
        <v>24</v>
      </c>
      <c r="FA337" s="115">
        <f t="shared" si="253"/>
        <v>0</v>
      </c>
      <c r="FB337" s="149">
        <f t="shared" si="238"/>
        <v>14.546399999999998</v>
      </c>
      <c r="FC337" s="142">
        <f t="shared" si="238"/>
        <v>17.399999999999999</v>
      </c>
      <c r="FD337" s="119">
        <f t="shared" si="238"/>
        <v>0</v>
      </c>
      <c r="FE337" s="121">
        <f t="shared" si="238"/>
        <v>20</v>
      </c>
      <c r="FF337" s="121">
        <f t="shared" si="247"/>
        <v>309.35489193202443</v>
      </c>
      <c r="FG337" s="121">
        <f t="shared" si="227"/>
        <v>72</v>
      </c>
      <c r="FH337" s="121">
        <f t="shared" si="248"/>
        <v>15.5</v>
      </c>
      <c r="FI337" s="121">
        <f t="shared" si="252"/>
        <v>45</v>
      </c>
      <c r="FJ337" s="144">
        <f t="shared" si="228"/>
        <v>0.27187499999999998</v>
      </c>
      <c r="FK337" s="132">
        <f t="shared" si="229"/>
        <v>0</v>
      </c>
      <c r="FL337" s="115">
        <f t="shared" si="229"/>
        <v>0</v>
      </c>
      <c r="FM337" s="115">
        <f t="shared" si="229"/>
        <v>-5</v>
      </c>
      <c r="FN337" s="115">
        <f t="shared" si="229"/>
        <v>0</v>
      </c>
      <c r="FO337" s="115">
        <f t="shared" si="257"/>
        <v>0</v>
      </c>
      <c r="FP337" s="115">
        <f t="shared" si="257"/>
        <v>0</v>
      </c>
      <c r="FQ337" s="149">
        <f t="shared" si="257"/>
        <v>-5.5176000000000016</v>
      </c>
      <c r="FR337" s="142">
        <f t="shared" si="256"/>
        <v>-6.6000000000000014</v>
      </c>
      <c r="FS337" s="119">
        <f t="shared" si="256"/>
        <v>0</v>
      </c>
      <c r="FT337" s="121">
        <f t="shared" si="256"/>
        <v>0</v>
      </c>
      <c r="FU337" s="121">
        <f t="shared" si="230"/>
        <v>-4</v>
      </c>
      <c r="FV337" s="121">
        <f t="shared" si="230"/>
        <v>0</v>
      </c>
      <c r="FW337" s="121">
        <f t="shared" si="231"/>
        <v>85.072595281306718</v>
      </c>
      <c r="FX337" s="121">
        <f t="shared" si="233"/>
        <v>-1</v>
      </c>
      <c r="FY337" s="144">
        <f t="shared" si="214"/>
        <v>-0.10907738095238095</v>
      </c>
      <c r="FZ337" s="145" t="s">
        <v>240</v>
      </c>
      <c r="GA337" s="131" t="s">
        <v>1405</v>
      </c>
      <c r="GB337" s="145"/>
      <c r="GC337" s="131"/>
      <c r="GD337" s="997" t="s">
        <v>220</v>
      </c>
      <c r="GE337" s="1004"/>
      <c r="GF337" s="1004">
        <v>0.48956160000000182</v>
      </c>
      <c r="GG337" s="1004"/>
      <c r="GH337" s="1004">
        <v>0</v>
      </c>
      <c r="GI337" s="145"/>
      <c r="GJ337" s="996">
        <v>0</v>
      </c>
      <c r="GK337" s="145"/>
      <c r="GL337" s="996">
        <v>0</v>
      </c>
      <c r="GM337" s="1005"/>
      <c r="GN337" s="996">
        <v>0</v>
      </c>
      <c r="GO337" s="1006" t="s">
        <v>203</v>
      </c>
      <c r="GP337" s="996">
        <v>-2.8301906379999977</v>
      </c>
      <c r="GQ337" s="1006" t="s">
        <v>203</v>
      </c>
      <c r="GR337" s="996">
        <v>-1.1655549620000016</v>
      </c>
      <c r="GS337" s="1006" t="s">
        <v>203</v>
      </c>
      <c r="GT337" s="996">
        <v>-8.256336000000001</v>
      </c>
      <c r="GU337" s="1006" t="s">
        <v>221</v>
      </c>
      <c r="GV337" s="996">
        <v>20.286073368</v>
      </c>
      <c r="GW337" s="1006"/>
      <c r="GX337" s="1036">
        <v>0</v>
      </c>
      <c r="GY337" s="1006"/>
      <c r="GZ337" s="996">
        <v>0</v>
      </c>
      <c r="HA337" s="1006"/>
      <c r="HB337" s="996">
        <v>0</v>
      </c>
      <c r="HC337" s="1006"/>
      <c r="HD337" s="996">
        <v>0</v>
      </c>
      <c r="HE337" s="1006"/>
      <c r="HF337" s="996">
        <v>0</v>
      </c>
      <c r="HG337" s="1006"/>
      <c r="HH337" s="996">
        <v>0</v>
      </c>
      <c r="HI337" s="1006"/>
      <c r="HJ337" s="996">
        <v>0</v>
      </c>
      <c r="HK337" s="1006"/>
      <c r="HL337" s="996">
        <v>-0.41800000000000104</v>
      </c>
      <c r="HM337" s="1006" t="s">
        <v>221</v>
      </c>
      <c r="HN337" s="996">
        <v>3.176800000000001</v>
      </c>
      <c r="HO337" s="1006"/>
      <c r="HP337" s="996">
        <v>0</v>
      </c>
      <c r="HQ337" s="1006"/>
      <c r="HR337" s="996">
        <v>0</v>
      </c>
      <c r="HS337" s="1006"/>
      <c r="HT337" s="996">
        <v>0.85134059999999945</v>
      </c>
      <c r="HU337" s="1006"/>
      <c r="HV337" s="996">
        <v>0</v>
      </c>
      <c r="HW337" s="1006" t="s">
        <v>199</v>
      </c>
      <c r="HX337" s="996">
        <v>3.5708593999999998</v>
      </c>
      <c r="HY337" s="1006"/>
      <c r="HZ337" s="996">
        <v>0</v>
      </c>
      <c r="IA337" s="1006"/>
      <c r="IB337" s="996">
        <v>0</v>
      </c>
      <c r="IC337" s="1006" t="s">
        <v>204</v>
      </c>
      <c r="ID337" s="996">
        <v>-5.0459622399999997</v>
      </c>
      <c r="IE337" s="1006"/>
      <c r="IF337" s="996">
        <v>0</v>
      </c>
      <c r="IG337" s="1006" t="s">
        <v>204</v>
      </c>
      <c r="IH337" s="996">
        <v>-7.5841585600000023</v>
      </c>
      <c r="II337" s="1006"/>
      <c r="IJ337" s="996">
        <v>0</v>
      </c>
      <c r="IK337" s="1006"/>
      <c r="IL337" s="996">
        <v>0</v>
      </c>
      <c r="IM337" s="1006"/>
      <c r="IN337" s="996">
        <v>0</v>
      </c>
      <c r="IO337" s="1006"/>
      <c r="IP337" s="996">
        <v>-7.8065679999994586E-2</v>
      </c>
      <c r="IQ337" s="1006" t="s">
        <v>199</v>
      </c>
      <c r="IR337" s="996">
        <v>2.6435824799999992</v>
      </c>
      <c r="IS337" s="1006"/>
      <c r="IT337" s="996">
        <v>0.45143999999999807</v>
      </c>
      <c r="IU337" s="1006"/>
      <c r="IV337" s="996">
        <v>0</v>
      </c>
      <c r="IW337" s="1006"/>
      <c r="IX337" s="996">
        <v>0</v>
      </c>
      <c r="IY337" s="1006"/>
      <c r="IZ337" s="996">
        <v>0</v>
      </c>
      <c r="JA337" s="1006"/>
      <c r="JB337" s="996">
        <v>0</v>
      </c>
      <c r="JC337" s="1006"/>
      <c r="JD337" s="996">
        <v>0</v>
      </c>
      <c r="JE337" s="1006"/>
      <c r="JF337" s="996">
        <v>0</v>
      </c>
      <c r="JG337" s="1006"/>
      <c r="JH337" s="996">
        <v>0</v>
      </c>
      <c r="JI337" s="1006"/>
      <c r="JJ337" s="996">
        <v>0</v>
      </c>
      <c r="JK337" s="1007" t="s">
        <v>203</v>
      </c>
      <c r="JL337" s="1007">
        <v>-5.7934799999999989</v>
      </c>
      <c r="JM337" s="1007" t="s">
        <v>203</v>
      </c>
      <c r="JN337" s="1007">
        <v>-1.7522491280800025</v>
      </c>
      <c r="JO337" s="1008" t="s">
        <v>25</v>
      </c>
      <c r="JP337" s="1007">
        <v>25.043209128080001</v>
      </c>
      <c r="JQ337" s="1008"/>
      <c r="JR337" s="1007"/>
      <c r="JS337" s="1008"/>
      <c r="JT337" s="1007"/>
      <c r="JU337" s="1008"/>
      <c r="JV337" s="1007"/>
      <c r="JW337" s="1008"/>
      <c r="JX337" s="1007"/>
      <c r="JY337" s="1008"/>
      <c r="JZ337" s="1007"/>
      <c r="KA337" s="1008"/>
      <c r="KB337" s="1007"/>
      <c r="KC337" s="1008"/>
      <c r="KD337" s="1007"/>
      <c r="KE337" s="1008"/>
      <c r="KF337" s="1007"/>
      <c r="KG337" s="1008"/>
      <c r="KH337" s="1007"/>
      <c r="KI337" s="1008"/>
      <c r="KJ337" s="1007"/>
      <c r="KK337" s="1008"/>
      <c r="KL337" s="1007"/>
      <c r="KM337" s="1008"/>
      <c r="KN337" s="1007"/>
      <c r="KO337" s="1008"/>
      <c r="KP337" s="1007"/>
      <c r="KQ337" s="1008"/>
      <c r="KR337" s="1007"/>
      <c r="KS337" s="1008"/>
      <c r="KT337" s="1007"/>
      <c r="KU337" s="1008"/>
      <c r="KV337" s="1007"/>
      <c r="KW337" s="1008"/>
      <c r="KX337" s="1007"/>
      <c r="KY337" s="1008"/>
      <c r="KZ337" s="1007"/>
      <c r="LA337" s="1008"/>
      <c r="LB337" s="1007"/>
      <c r="LC337" s="1008"/>
      <c r="LD337" s="1007"/>
      <c r="LE337" s="1008"/>
      <c r="LF337" s="1007"/>
      <c r="LG337" s="1008"/>
      <c r="LH337" s="1007"/>
      <c r="LI337" s="1008"/>
      <c r="LJ337" s="1007"/>
      <c r="LK337" s="1008"/>
      <c r="LL337" s="1007"/>
      <c r="LM337" s="1008"/>
      <c r="LN337" s="1007"/>
      <c r="LO337" s="1008"/>
      <c r="LP337" s="1007"/>
      <c r="LQ337" s="1008"/>
      <c r="LR337" s="1007"/>
      <c r="LS337" s="1008"/>
      <c r="LT337" s="1007"/>
      <c r="LU337" s="1008"/>
      <c r="LV337" s="1007"/>
      <c r="LW337" s="1008"/>
      <c r="LX337" s="1007"/>
      <c r="LY337" s="1009"/>
      <c r="LZ337" s="1010"/>
      <c r="MA337" s="1011"/>
      <c r="MB337" s="1012"/>
      <c r="MC337" s="995"/>
      <c r="MD337" s="996"/>
      <c r="ME337" s="997" t="s">
        <v>220</v>
      </c>
      <c r="MF337" s="997"/>
      <c r="MG337" s="998"/>
      <c r="NR337" s="1000"/>
      <c r="NS337" s="1000"/>
      <c r="NT337" s="1001"/>
      <c r="NU337" s="1000"/>
      <c r="NV337" s="1001"/>
      <c r="NX337" s="1002"/>
      <c r="NZ337" s="1001"/>
      <c r="OA337" s="1001"/>
      <c r="OC337" s="1003"/>
      <c r="OD337" s="1003"/>
      <c r="OE337" s="1001"/>
      <c r="OF337" s="1003"/>
      <c r="OG337" s="1003"/>
      <c r="OH337" s="1003"/>
      <c r="OI337" s="1016"/>
      <c r="QX337" s="1000">
        <f t="shared" si="262"/>
        <v>20</v>
      </c>
      <c r="ASU337" s="999" t="s">
        <v>292</v>
      </c>
    </row>
    <row r="338" spans="1:466 1191:1191" ht="21" customHeight="1" x14ac:dyDescent="0.25">
      <c r="A338" s="982">
        <f t="shared" si="215"/>
        <v>1359</v>
      </c>
      <c r="B338" s="124">
        <f>SUBTOTAL(103,$J$29:J338)</f>
        <v>310</v>
      </c>
      <c r="C338" s="126">
        <v>45096</v>
      </c>
      <c r="D338" s="124" t="s">
        <v>176</v>
      </c>
      <c r="E338" s="127" t="s">
        <v>177</v>
      </c>
      <c r="F338" s="128" t="s">
        <v>177</v>
      </c>
      <c r="G338" s="127" t="s">
        <v>178</v>
      </c>
      <c r="H338" s="127" t="s">
        <v>421</v>
      </c>
      <c r="I338" s="127" t="s">
        <v>939</v>
      </c>
      <c r="J338" s="152">
        <v>1359</v>
      </c>
      <c r="K338" s="127" t="s">
        <v>1406</v>
      </c>
      <c r="L338" s="130">
        <v>43456</v>
      </c>
      <c r="M338" s="127" t="s">
        <v>230</v>
      </c>
      <c r="N338" s="127" t="s">
        <v>231</v>
      </c>
      <c r="O338" s="127" t="s">
        <v>185</v>
      </c>
      <c r="P338" s="127" t="s">
        <v>208</v>
      </c>
      <c r="Q338" s="85" t="str">
        <f t="shared" si="249"/>
        <v/>
      </c>
      <c r="R338" s="130"/>
      <c r="S338" s="128"/>
      <c r="T338" s="131"/>
      <c r="U338" s="132">
        <v>203</v>
      </c>
      <c r="V338" s="121">
        <v>218.2</v>
      </c>
      <c r="W338" s="116">
        <v>0.98</v>
      </c>
      <c r="X338" s="116">
        <v>1.66</v>
      </c>
      <c r="Y338" s="116">
        <f t="shared" si="239"/>
        <v>0.98</v>
      </c>
      <c r="Z338" s="133">
        <v>1.454</v>
      </c>
      <c r="AA338" s="133">
        <v>0.83599999999999997</v>
      </c>
      <c r="AB338" s="133">
        <v>0.72</v>
      </c>
      <c r="AC338" s="121">
        <v>34.299999999999997</v>
      </c>
      <c r="AD338" s="134">
        <v>1.17</v>
      </c>
      <c r="AE338" s="124">
        <v>177.8</v>
      </c>
      <c r="AF338" s="128">
        <v>9.19</v>
      </c>
      <c r="AG338" s="128">
        <v>2373.1999999999998</v>
      </c>
      <c r="AH338" s="127">
        <v>3024</v>
      </c>
      <c r="AI338" s="127">
        <v>3024</v>
      </c>
      <c r="AJ338" s="135"/>
      <c r="AK338" s="128"/>
      <c r="AL338" s="131"/>
      <c r="AM338" s="124" t="s">
        <v>232</v>
      </c>
      <c r="AN338" s="136" t="s">
        <v>1407</v>
      </c>
      <c r="AO338" s="137">
        <v>17.64</v>
      </c>
      <c r="AP338" s="128">
        <v>2373</v>
      </c>
      <c r="AQ338" s="128">
        <v>454.29</v>
      </c>
      <c r="AR338" s="128"/>
      <c r="AS338" s="128"/>
      <c r="AT338" s="122"/>
      <c r="AU338" s="124" t="s">
        <v>189</v>
      </c>
      <c r="AV338" s="115">
        <f>VLOOKUP(J338,'[63]ТР нефть'!$J$28:$BP$638,39,0)</f>
        <v>699.99998906300004</v>
      </c>
      <c r="AW338" s="115" t="str">
        <f>VLOOKUP(J338,'[63]ТР нефть'!$J$28:$BP$638,40,0)</f>
        <v>ГП</v>
      </c>
      <c r="AX338" s="115">
        <f>VLOOKUP(J338,'[63]ТР нефть'!$J$28:$BP$638,41,0)</f>
        <v>1349.999978906</v>
      </c>
      <c r="AY338" s="115" t="str">
        <f>VLOOKUP(J338,'[63]ТР нефть'!$J$28:$BP$638,42,0)</f>
        <v>ГК 86 1/8</v>
      </c>
      <c r="AZ338" s="115">
        <f>VLOOKUP(J338,'[63]ТР нефть'!$J$28:$BP$638,43,0)</f>
        <v>1769.9999425779999</v>
      </c>
      <c r="BA338" s="115" t="str">
        <f>VLOOKUP(J338,'[63]ТР нефть'!$J$28:$BP$638,44,0)</f>
        <v>ГК 86 1/8</v>
      </c>
      <c r="BB338" s="115">
        <f>VLOOKUP(J338,'[63]ТР нефть'!$J$28:$BP$638,45,0)</f>
        <v>2160.0000257810002</v>
      </c>
      <c r="BC338" s="115" t="str">
        <f>VLOOKUP(J338,'[63]ТР нефть'!$J$28:$BP$638,46,0)</f>
        <v>ГК 86 1/8</v>
      </c>
      <c r="BD338" s="115" t="str">
        <f>VLOOKUP(J338,'[63]ТР нефть'!$J$28:$BP$638,47,0)</f>
        <v>-</v>
      </c>
      <c r="BE338" s="115" t="str">
        <f>VLOOKUP(J338,'[63]ТР нефть'!$J$28:$BP$638,48,0)</f>
        <v>-</v>
      </c>
      <c r="BF338" s="115" t="str">
        <f>VLOOKUP(J338,'[63]ТР нефть'!$J$28:$BP$638,49,0)</f>
        <v>-</v>
      </c>
      <c r="BG338" s="115" t="str">
        <f>VLOOKUP(J338,'[63]ТР нефть'!$J$28:$BP$638,50,0)</f>
        <v>-</v>
      </c>
      <c r="BH338" s="115">
        <f>VLOOKUP(J338,'[63]ТР нефть'!$J$28:$BP$638,51,0)</f>
        <v>2170</v>
      </c>
      <c r="BI338" s="115" t="str">
        <f>VLOOKUP(J338,'[63]ТР нефть'!$J$28:$BP$638,52,0)</f>
        <v>закрыт</v>
      </c>
      <c r="BJ338" s="115" t="str">
        <f>IF(IFERROR(VLOOKUP(J338,'[63]ТР нефть'!$J$28:$BP$638,53,0),"-")=0,"-",IFERROR(VLOOKUP(J338,'[63]ТР нефть'!$J$28:$BP$638,53,0),"-"))</f>
        <v>-</v>
      </c>
      <c r="BK338" s="138" t="str">
        <f>IF(IFERROR(VLOOKUP(J338,'[63]ТР нефть'!$J$28:$BP$638,54,0),"-")=0,"-",IFERROR(VLOOKUP(J338,'[63]ТР нефть'!$J$28:$BP$638,54,0),"-"))</f>
        <v>-</v>
      </c>
      <c r="BL338" s="138" t="str">
        <f>IF(IFERROR(VLOOKUP(J338,'[63]ТР нефть'!$J$28:$BP$638,55,0),"-")=0,"-",IFERROR(VLOOKUP(J338,'[63]ТР нефть'!$J$28:$BP$638,55,0),"-"))</f>
        <v>-</v>
      </c>
      <c r="BM338" s="138" t="str">
        <f>IF(IFERROR(VLOOKUP(J338,'[63]ТР нефть'!$J$28:$BP$638,56,0),"-")=0,"-",IFERROR(VLOOKUP(J338,'[63]ТР нефть'!$J$28:$BP$638,56,0),"-"))</f>
        <v>-</v>
      </c>
      <c r="BN338" s="138" t="str">
        <f>IF(IFERROR(VLOOKUP(J338,'[63]ТР нефть'!$J$28:$BP$638,57,0),"-")=0,"-",IFERROR(VLOOKUP(J338,'[63]ТР нефть'!$J$28:$BP$638,57,0),"-"))</f>
        <v>-</v>
      </c>
      <c r="BO338" s="115" t="str">
        <f>IF(IFERROR(VLOOKUP(J338,'[63]ТР нефть'!$J$28:$BP$638,58,0),"-")=0,"-",IFERROR(VLOOKUP(J338,'[63]ТР нефть'!$J$28:$BP$638,58,0),"-"))</f>
        <v>-</v>
      </c>
      <c r="BP338" s="115" t="str">
        <f>IF(IFERROR(VLOOKUP(J338,'[63]ТР нефть'!$J$28:$BP$638,59,0),"-")=0,"-",IFERROR(VLOOKUP(J338,'[63]ТР нефть'!$J$28:$BP$638,59,0),"-"))</f>
        <v>-</v>
      </c>
      <c r="BQ338" s="138">
        <v>2380</v>
      </c>
      <c r="BR338" s="128">
        <v>1922.78</v>
      </c>
      <c r="BS338" s="115">
        <f t="shared" si="258"/>
        <v>457.22</v>
      </c>
      <c r="BT338" s="128">
        <v>73</v>
      </c>
      <c r="BU338" s="128">
        <v>5.5</v>
      </c>
      <c r="BV338" s="127">
        <v>65</v>
      </c>
      <c r="BW338" s="127" t="s">
        <v>234</v>
      </c>
      <c r="BX338" s="127" t="s">
        <v>195</v>
      </c>
      <c r="BY338" s="139">
        <v>24</v>
      </c>
      <c r="BZ338" s="139">
        <v>0</v>
      </c>
      <c r="CA338" s="138">
        <v>19</v>
      </c>
      <c r="CB338" s="138">
        <v>40</v>
      </c>
      <c r="CC338" s="138">
        <v>18</v>
      </c>
      <c r="CD338" s="135">
        <v>45017</v>
      </c>
      <c r="CE338" s="138">
        <v>123</v>
      </c>
      <c r="CF338" s="138">
        <v>77</v>
      </c>
      <c r="CG338" s="138" t="str">
        <f t="shared" si="263"/>
        <v>В работе</v>
      </c>
      <c r="CH338" s="138" t="s">
        <v>196</v>
      </c>
      <c r="CI338" s="127">
        <v>6</v>
      </c>
      <c r="CJ338" s="138"/>
      <c r="CK338" s="138"/>
      <c r="CL338" s="99"/>
      <c r="CM338" s="99"/>
      <c r="CN338" s="140">
        <v>37</v>
      </c>
      <c r="CO338" s="141">
        <f t="shared" si="216"/>
        <v>7.9419999999999993</v>
      </c>
      <c r="CP338" s="142">
        <v>9.5</v>
      </c>
      <c r="CQ338" s="143">
        <v>0</v>
      </c>
      <c r="CR338" s="138">
        <v>17.899999999999999</v>
      </c>
      <c r="CS338" s="139">
        <v>9.6</v>
      </c>
      <c r="CT338" s="138"/>
      <c r="CU338" s="138">
        <f t="shared" si="259"/>
        <v>8.2999999999999989</v>
      </c>
      <c r="CV338" s="115">
        <f t="shared" si="260"/>
        <v>1045.07680684966</v>
      </c>
      <c r="CW338" s="115">
        <f t="shared" si="217"/>
        <v>1208.7635356333417</v>
      </c>
      <c r="CX338" s="133">
        <f t="shared" si="261"/>
        <v>0.11046511627906977</v>
      </c>
      <c r="CY338" s="116"/>
      <c r="CZ338" s="131"/>
      <c r="DA338" s="145" t="str">
        <f t="shared" si="218"/>
        <v>Газлифт</v>
      </c>
      <c r="DB338" s="146">
        <f t="shared" si="219"/>
        <v>7.9419999999999993</v>
      </c>
      <c r="DC338" s="142">
        <f t="shared" si="234"/>
        <v>9.5</v>
      </c>
      <c r="DD338" s="119">
        <f t="shared" si="250"/>
        <v>0</v>
      </c>
      <c r="DE338" s="115">
        <f t="shared" si="220"/>
        <v>8.2999999999999989</v>
      </c>
      <c r="DF338" s="121">
        <f t="shared" si="221"/>
        <v>9.6</v>
      </c>
      <c r="DG338" s="115">
        <f t="shared" si="222"/>
        <v>1045.07680684966</v>
      </c>
      <c r="DH338" s="115">
        <f t="shared" si="223"/>
        <v>37</v>
      </c>
      <c r="DI338" s="147"/>
      <c r="DJ338" s="111">
        <v>43651</v>
      </c>
      <c r="DK338" s="112">
        <v>43456</v>
      </c>
      <c r="DL338" s="113">
        <f t="shared" ca="1" si="240"/>
        <v>1648</v>
      </c>
      <c r="DM338" s="114"/>
      <c r="DN338" s="114"/>
      <c r="DO338" s="114"/>
      <c r="DP338" s="114"/>
      <c r="DQ338" s="112" t="s">
        <v>1408</v>
      </c>
      <c r="DR338" s="114" t="s">
        <v>198</v>
      </c>
      <c r="DS338" s="114"/>
      <c r="DT338" s="115">
        <v>58</v>
      </c>
      <c r="DU338" s="116">
        <f t="shared" si="241"/>
        <v>0.14615384615384616</v>
      </c>
      <c r="DV338" s="117">
        <f t="shared" si="242"/>
        <v>7.9419999999999993</v>
      </c>
      <c r="DW338" s="118">
        <f t="shared" si="243"/>
        <v>9.5</v>
      </c>
      <c r="DX338" s="119">
        <f t="shared" si="224"/>
        <v>0</v>
      </c>
      <c r="DY338" s="115">
        <f t="shared" si="244"/>
        <v>8.2999999999999989</v>
      </c>
      <c r="DZ338" s="117">
        <f t="shared" si="245"/>
        <v>0</v>
      </c>
      <c r="EA338" s="120">
        <f t="shared" si="245"/>
        <v>0</v>
      </c>
      <c r="EB338" s="119">
        <f t="shared" si="245"/>
        <v>0</v>
      </c>
      <c r="EC338" s="121">
        <f t="shared" si="246"/>
        <v>0</v>
      </c>
      <c r="ED338" s="122"/>
      <c r="EE338" s="145">
        <v>65</v>
      </c>
      <c r="EF338" s="115">
        <v>17</v>
      </c>
      <c r="EG338" s="115">
        <v>39</v>
      </c>
      <c r="EH338" s="115">
        <v>16</v>
      </c>
      <c r="EI338" s="128" t="s">
        <v>195</v>
      </c>
      <c r="EJ338" s="121">
        <v>24</v>
      </c>
      <c r="EK338" s="121">
        <v>0</v>
      </c>
      <c r="EL338" s="149">
        <v>10.032</v>
      </c>
      <c r="EM338" s="142">
        <v>12</v>
      </c>
      <c r="EN338" s="119">
        <v>0</v>
      </c>
      <c r="EO338" s="115">
        <v>22</v>
      </c>
      <c r="EP338" s="115">
        <v>1445.3748006379585</v>
      </c>
      <c r="EQ338" s="115">
        <v>77</v>
      </c>
      <c r="ER338" s="115">
        <v>7.5</v>
      </c>
      <c r="ES338" s="115">
        <v>39</v>
      </c>
      <c r="ET338" s="150">
        <v>0.14285714285714285</v>
      </c>
      <c r="EU338" s="145">
        <f t="shared" si="225"/>
        <v>65</v>
      </c>
      <c r="EV338" s="115">
        <f t="shared" si="226"/>
        <v>19</v>
      </c>
      <c r="EW338" s="115">
        <f t="shared" si="226"/>
        <v>40</v>
      </c>
      <c r="EX338" s="115">
        <f t="shared" si="226"/>
        <v>18</v>
      </c>
      <c r="EY338" s="115" t="str">
        <f t="shared" si="253"/>
        <v>Постоянный</v>
      </c>
      <c r="EZ338" s="115">
        <f t="shared" si="253"/>
        <v>24</v>
      </c>
      <c r="FA338" s="115">
        <f t="shared" si="253"/>
        <v>0</v>
      </c>
      <c r="FB338" s="149">
        <f t="shared" si="238"/>
        <v>7.9419999999999993</v>
      </c>
      <c r="FC338" s="142">
        <f t="shared" si="238"/>
        <v>9.5</v>
      </c>
      <c r="FD338" s="119">
        <f t="shared" si="238"/>
        <v>0</v>
      </c>
      <c r="FE338" s="121">
        <f t="shared" si="238"/>
        <v>17.899999999999999</v>
      </c>
      <c r="FF338" s="121">
        <f t="shared" si="247"/>
        <v>1045.07680684966</v>
      </c>
      <c r="FG338" s="121">
        <f t="shared" si="227"/>
        <v>77</v>
      </c>
      <c r="FH338" s="121">
        <f t="shared" si="248"/>
        <v>9.6</v>
      </c>
      <c r="FI338" s="121">
        <f t="shared" si="252"/>
        <v>37</v>
      </c>
      <c r="FJ338" s="144">
        <f t="shared" si="228"/>
        <v>0.11046511627906977</v>
      </c>
      <c r="FK338" s="132">
        <f t="shared" si="229"/>
        <v>0</v>
      </c>
      <c r="FL338" s="115">
        <f t="shared" si="229"/>
        <v>2</v>
      </c>
      <c r="FM338" s="115">
        <f t="shared" si="229"/>
        <v>1</v>
      </c>
      <c r="FN338" s="115">
        <f t="shared" si="229"/>
        <v>2</v>
      </c>
      <c r="FO338" s="115">
        <f t="shared" si="257"/>
        <v>0</v>
      </c>
      <c r="FP338" s="115">
        <f t="shared" si="257"/>
        <v>0</v>
      </c>
      <c r="FQ338" s="149">
        <f t="shared" si="257"/>
        <v>-2.0900000000000007</v>
      </c>
      <c r="FR338" s="142">
        <f t="shared" si="256"/>
        <v>-2.5</v>
      </c>
      <c r="FS338" s="119">
        <f t="shared" si="256"/>
        <v>0</v>
      </c>
      <c r="FT338" s="121">
        <f t="shared" si="256"/>
        <v>-4.1000000000000014</v>
      </c>
      <c r="FU338" s="121">
        <f t="shared" si="230"/>
        <v>0</v>
      </c>
      <c r="FV338" s="121">
        <f t="shared" si="230"/>
        <v>2.0999999999999996</v>
      </c>
      <c r="FW338" s="121">
        <f t="shared" si="231"/>
        <v>-400.29799378829853</v>
      </c>
      <c r="FX338" s="121">
        <f t="shared" si="233"/>
        <v>-2</v>
      </c>
      <c r="FY338" s="144">
        <f t="shared" si="214"/>
        <v>-3.239202657807308E-2</v>
      </c>
      <c r="FZ338" s="145" t="s">
        <v>240</v>
      </c>
      <c r="GA338" s="151" t="s">
        <v>361</v>
      </c>
      <c r="GB338" s="145"/>
      <c r="GC338" s="151" t="s">
        <v>1409</v>
      </c>
      <c r="GD338" s="997" t="s">
        <v>238</v>
      </c>
      <c r="GE338" s="1004"/>
      <c r="GF338" s="1004">
        <v>0</v>
      </c>
      <c r="GG338" s="1004"/>
      <c r="GH338" s="1004">
        <v>0</v>
      </c>
      <c r="GI338" s="145" t="s">
        <v>204</v>
      </c>
      <c r="GJ338" s="996">
        <v>3.0179599999999995</v>
      </c>
      <c r="GK338" s="145" t="s">
        <v>223</v>
      </c>
      <c r="GL338" s="996">
        <v>-1.3793999999999977</v>
      </c>
      <c r="GM338" s="1005"/>
      <c r="GN338" s="996">
        <v>3.3439999999998804E-2</v>
      </c>
      <c r="GO338" s="1006"/>
      <c r="GP338" s="996">
        <v>0</v>
      </c>
      <c r="GQ338" s="1006"/>
      <c r="GR338" s="996">
        <v>0</v>
      </c>
      <c r="GS338" s="1006" t="s">
        <v>203</v>
      </c>
      <c r="GT338" s="996">
        <v>-2.2363</v>
      </c>
      <c r="GU338" s="1006"/>
      <c r="GV338" s="996">
        <v>0.72623930279999982</v>
      </c>
      <c r="GW338" s="1006" t="s">
        <v>25</v>
      </c>
      <c r="GX338" s="1049">
        <v>7.6964606971999991</v>
      </c>
      <c r="GY338" s="1006"/>
      <c r="GZ338" s="996">
        <v>0</v>
      </c>
      <c r="HA338" s="1006"/>
      <c r="HB338" s="996">
        <v>0</v>
      </c>
      <c r="HC338" s="1006"/>
      <c r="HD338" s="996">
        <v>0</v>
      </c>
      <c r="HE338" s="1006" t="s">
        <v>199</v>
      </c>
      <c r="HF338" s="996">
        <v>0</v>
      </c>
      <c r="HG338" s="1006" t="s">
        <v>199</v>
      </c>
      <c r="HH338" s="996">
        <v>-5.5175999999999998</v>
      </c>
      <c r="HI338" s="1006"/>
      <c r="HJ338" s="996">
        <v>0</v>
      </c>
      <c r="HK338" s="1006"/>
      <c r="HL338" s="996">
        <v>0</v>
      </c>
      <c r="HM338" s="1006"/>
      <c r="HN338" s="996">
        <v>0</v>
      </c>
      <c r="HO338" s="1006"/>
      <c r="HP338" s="996">
        <v>0</v>
      </c>
      <c r="HQ338" s="1006"/>
      <c r="HR338" s="996">
        <v>0.42218</v>
      </c>
      <c r="HS338" s="1006" t="s">
        <v>25</v>
      </c>
      <c r="HT338" s="996">
        <v>1.6678200000000007</v>
      </c>
      <c r="HU338" s="1006"/>
      <c r="HV338" s="996">
        <v>0</v>
      </c>
      <c r="HW338" s="1006"/>
      <c r="HX338" s="996">
        <v>0</v>
      </c>
      <c r="HY338" s="1006" t="s">
        <v>199</v>
      </c>
      <c r="HZ338" s="996">
        <v>2.2571999999999997</v>
      </c>
      <c r="IA338" s="1006" t="s">
        <v>199</v>
      </c>
      <c r="IB338" s="996">
        <v>-3.9291999999999994</v>
      </c>
      <c r="IC338" s="1006"/>
      <c r="ID338" s="996">
        <v>0</v>
      </c>
      <c r="IE338" s="1006"/>
      <c r="IF338" s="996">
        <v>1.8391999999999991</v>
      </c>
      <c r="IG338" s="1006"/>
      <c r="IH338" s="996">
        <v>0</v>
      </c>
      <c r="II338" s="1006"/>
      <c r="IJ338" s="996">
        <v>0</v>
      </c>
      <c r="IK338" s="1006"/>
      <c r="IL338" s="996">
        <v>0</v>
      </c>
      <c r="IM338" s="1006"/>
      <c r="IN338" s="996">
        <v>0</v>
      </c>
      <c r="IO338" s="1006" t="s">
        <v>199</v>
      </c>
      <c r="IP338" s="996">
        <v>-1.7126463199999993</v>
      </c>
      <c r="IQ338" s="1006" t="s">
        <v>204</v>
      </c>
      <c r="IR338" s="996">
        <v>-9.660749120000002</v>
      </c>
      <c r="IS338" s="1006" t="s">
        <v>204</v>
      </c>
      <c r="IT338" s="996">
        <v>9.9657386400000014</v>
      </c>
      <c r="IU338" s="1006"/>
      <c r="IV338" s="996">
        <v>0</v>
      </c>
      <c r="IW338" s="1006"/>
      <c r="IX338" s="996">
        <v>0</v>
      </c>
      <c r="IY338" s="1006"/>
      <c r="IZ338" s="996">
        <v>0.97293679999999938</v>
      </c>
      <c r="JA338" s="1006"/>
      <c r="JB338" s="996">
        <v>0</v>
      </c>
      <c r="JC338" s="1006"/>
      <c r="JD338" s="996">
        <v>0</v>
      </c>
      <c r="JE338" s="1006"/>
      <c r="JF338" s="996">
        <v>0</v>
      </c>
      <c r="JG338" s="1006" t="s">
        <v>223</v>
      </c>
      <c r="JH338" s="996">
        <v>-1.9336679999999999</v>
      </c>
      <c r="JI338" s="1006"/>
      <c r="JJ338" s="996">
        <v>0</v>
      </c>
      <c r="JK338" s="1007"/>
      <c r="JL338" s="1007">
        <v>0</v>
      </c>
      <c r="JM338" s="1007"/>
      <c r="JN338" s="1007">
        <v>0</v>
      </c>
      <c r="JO338" s="1008" t="s">
        <v>203</v>
      </c>
      <c r="JP338" s="1007">
        <v>-2.3968119999999997</v>
      </c>
      <c r="JQ338" s="1008">
        <v>0</v>
      </c>
      <c r="JR338" s="1007">
        <v>0</v>
      </c>
      <c r="JS338" s="1008" t="s">
        <v>25</v>
      </c>
      <c r="JT338" s="1007">
        <v>3.1767999999999992</v>
      </c>
      <c r="JU338" s="1008" t="s">
        <v>204</v>
      </c>
      <c r="JV338" s="1007">
        <v>-5.9356</v>
      </c>
      <c r="JW338" s="1008" t="s">
        <v>223</v>
      </c>
      <c r="JX338" s="1007">
        <v>-13.543199999999997</v>
      </c>
      <c r="JY338" s="1008"/>
      <c r="JZ338" s="1007">
        <v>0</v>
      </c>
      <c r="KA338" s="1008"/>
      <c r="KB338" s="1007">
        <v>0</v>
      </c>
      <c r="KC338" s="1008"/>
      <c r="KD338" s="1007">
        <v>0</v>
      </c>
      <c r="KE338" s="1008"/>
      <c r="KF338" s="1007">
        <v>0</v>
      </c>
      <c r="KG338" s="1008"/>
      <c r="KH338" s="1007"/>
      <c r="KI338" s="1008"/>
      <c r="KJ338" s="1007"/>
      <c r="KK338" s="1008"/>
      <c r="KL338" s="1007"/>
      <c r="KM338" s="1008"/>
      <c r="KN338" s="1007"/>
      <c r="KO338" s="1008"/>
      <c r="KP338" s="1007"/>
      <c r="KQ338" s="1008"/>
      <c r="KR338" s="1007"/>
      <c r="KS338" s="1008"/>
      <c r="KT338" s="1007"/>
      <c r="KU338" s="1008"/>
      <c r="KV338" s="1007"/>
      <c r="KW338" s="1008"/>
      <c r="KX338" s="1007"/>
      <c r="KY338" s="1008"/>
      <c r="KZ338" s="1007"/>
      <c r="LA338" s="1008"/>
      <c r="LB338" s="1007"/>
      <c r="LC338" s="1008"/>
      <c r="LD338" s="1007"/>
      <c r="LE338" s="1008"/>
      <c r="LF338" s="1007"/>
      <c r="LG338" s="1008"/>
      <c r="LH338" s="1007"/>
      <c r="LI338" s="1008"/>
      <c r="LJ338" s="1007"/>
      <c r="LK338" s="1008"/>
      <c r="LL338" s="1007"/>
      <c r="LM338" s="1008"/>
      <c r="LN338" s="1007"/>
      <c r="LO338" s="1008"/>
      <c r="LP338" s="1007"/>
      <c r="LQ338" s="1008"/>
      <c r="LR338" s="1007"/>
      <c r="LS338" s="1008"/>
      <c r="LT338" s="1007"/>
      <c r="LU338" s="1008"/>
      <c r="LV338" s="1007"/>
      <c r="LW338" s="1008"/>
      <c r="LX338" s="1007"/>
      <c r="LY338" s="1009"/>
      <c r="LZ338" s="1010"/>
      <c r="MA338" s="1011"/>
      <c r="MB338" s="1012"/>
      <c r="MC338" s="995"/>
      <c r="MD338" s="996"/>
      <c r="ME338" s="997" t="s">
        <v>238</v>
      </c>
      <c r="MF338" s="997"/>
      <c r="MG338" s="998"/>
      <c r="NR338" s="1000"/>
      <c r="NS338" s="1000"/>
      <c r="NT338" s="1001"/>
      <c r="NU338" s="1000"/>
      <c r="NV338" s="1001"/>
      <c r="NX338" s="1002"/>
      <c r="NZ338" s="1001"/>
      <c r="OA338" s="1001"/>
      <c r="OC338" s="1003"/>
      <c r="OD338" s="1003"/>
      <c r="OE338" s="1001"/>
      <c r="OF338" s="1003"/>
      <c r="OG338" s="1003"/>
      <c r="QX338" s="1000">
        <f t="shared" si="262"/>
        <v>18</v>
      </c>
      <c r="ASU338" s="999" t="s">
        <v>292</v>
      </c>
    </row>
    <row r="339" spans="1:466 1191:1191" ht="21" customHeight="1" x14ac:dyDescent="0.25">
      <c r="A339" s="982">
        <f t="shared" si="215"/>
        <v>1360</v>
      </c>
      <c r="B339" s="124">
        <f>SUBTOTAL(103,$J$29:J339)</f>
        <v>311</v>
      </c>
      <c r="C339" s="126">
        <v>45068</v>
      </c>
      <c r="D339" s="124" t="s">
        <v>176</v>
      </c>
      <c r="E339" s="127" t="s">
        <v>177</v>
      </c>
      <c r="F339" s="128" t="s">
        <v>177</v>
      </c>
      <c r="G339" s="127" t="s">
        <v>178</v>
      </c>
      <c r="H339" s="127" t="s">
        <v>179</v>
      </c>
      <c r="I339" s="127" t="s">
        <v>1410</v>
      </c>
      <c r="J339" s="152">
        <v>1360</v>
      </c>
      <c r="K339" s="127" t="s">
        <v>1411</v>
      </c>
      <c r="L339" s="130">
        <v>44765</v>
      </c>
      <c r="M339" s="127" t="s">
        <v>230</v>
      </c>
      <c r="N339" s="127" t="s">
        <v>245</v>
      </c>
      <c r="O339" s="127" t="s">
        <v>185</v>
      </c>
      <c r="P339" s="127" t="s">
        <v>186</v>
      </c>
      <c r="Q339" s="85" t="str">
        <f t="shared" si="249"/>
        <v/>
      </c>
      <c r="R339" s="130"/>
      <c r="S339" s="128"/>
      <c r="T339" s="131"/>
      <c r="U339" s="132">
        <v>203</v>
      </c>
      <c r="V339" s="121">
        <v>218.2</v>
      </c>
      <c r="W339" s="116">
        <v>0.98</v>
      </c>
      <c r="X339" s="116">
        <v>1.66</v>
      </c>
      <c r="Y339" s="116">
        <f t="shared" si="239"/>
        <v>0.99219321785801406</v>
      </c>
      <c r="Z339" s="133">
        <v>1.454</v>
      </c>
      <c r="AA339" s="133">
        <v>0.83599999999999997</v>
      </c>
      <c r="AB339" s="133">
        <v>0.72</v>
      </c>
      <c r="AC339" s="121">
        <v>34.299999999999997</v>
      </c>
      <c r="AD339" s="134">
        <v>1.17</v>
      </c>
      <c r="AE339" s="124">
        <v>178</v>
      </c>
      <c r="AF339" s="128">
        <v>9.1999999999999993</v>
      </c>
      <c r="AG339" s="128">
        <v>2227.09</v>
      </c>
      <c r="AH339" s="127">
        <v>3109</v>
      </c>
      <c r="AI339" s="127">
        <v>3109</v>
      </c>
      <c r="AJ339" s="135"/>
      <c r="AK339" s="128"/>
      <c r="AL339" s="131"/>
      <c r="AM339" s="124" t="s">
        <v>1412</v>
      </c>
      <c r="AN339" s="136" t="s">
        <v>1413</v>
      </c>
      <c r="AO339" s="137">
        <v>34.799999999999997</v>
      </c>
      <c r="AP339" s="128">
        <v>2288</v>
      </c>
      <c r="AQ339" s="128">
        <v>432</v>
      </c>
      <c r="AR339" s="128"/>
      <c r="AS339" s="128"/>
      <c r="AT339" s="122"/>
      <c r="AU339" s="124" t="s">
        <v>189</v>
      </c>
      <c r="AV339" s="115">
        <v>452.76</v>
      </c>
      <c r="AW339" s="115" t="str">
        <f>VLOOKUP(J339,'[63]ТР нефть'!$J$28:$BP$638,40,0)</f>
        <v>ГП</v>
      </c>
      <c r="AX339" s="115">
        <v>888</v>
      </c>
      <c r="AY339" s="115" t="str">
        <f>VLOOKUP(J339,'[63]ТР нефть'!$J$28:$BP$638,42,0)</f>
        <v>ГП</v>
      </c>
      <c r="AZ339" s="115">
        <v>1251.96</v>
      </c>
      <c r="BA339" s="115" t="str">
        <f>VLOOKUP(J339,'[63]ТР нефть'!$J$28:$BP$638,44,0)</f>
        <v>ГК 78 1/8</v>
      </c>
      <c r="BB339" s="115">
        <v>1524.5</v>
      </c>
      <c r="BC339" s="115" t="str">
        <f>VLOOKUP(J339,'[63]ТР нефть'!$J$28:$BP$638,46,0)</f>
        <v>ГК 77 1/8</v>
      </c>
      <c r="BD339" s="115">
        <v>1743.69</v>
      </c>
      <c r="BE339" s="115" t="str">
        <f>VLOOKUP(J339,'[63]ТР нефть'!$J$28:$BP$638,48,0)</f>
        <v>ГК 77 5/32</v>
      </c>
      <c r="BF339" s="115">
        <v>1981.78</v>
      </c>
      <c r="BG339" s="115" t="str">
        <f>VLOOKUP(J339,'[63]ТР нефть'!$J$28:$BP$638,50,0)</f>
        <v>ЦКсОК 5/16</v>
      </c>
      <c r="BH339" s="115" t="str">
        <f>VLOOKUP(J339,'[63]ТР нефть'!$J$28:$BP$638,51,0)</f>
        <v>-</v>
      </c>
      <c r="BI339" s="115" t="str">
        <f>VLOOKUP(J339,'[63]ТР нефть'!$J$28:$BP$638,52,0)</f>
        <v>-</v>
      </c>
      <c r="BJ339" s="115" t="str">
        <f>IF(IFERROR(VLOOKUP(J339,'[63]ТР нефть'!$J$28:$BP$638,53,0),"-")=0,"-",IFERROR(VLOOKUP(J339,'[63]ТР нефть'!$J$28:$BP$638,53,0),"-"))</f>
        <v>-</v>
      </c>
      <c r="BK339" s="138" t="str">
        <f>IF(IFERROR(VLOOKUP(J339,'[63]ТР нефть'!$J$28:$BP$638,54,0),"-")=0,"-",IFERROR(VLOOKUP(J339,'[63]ТР нефть'!$J$28:$BP$638,54,0),"-"))</f>
        <v>-</v>
      </c>
      <c r="BL339" s="138" t="str">
        <f>IF(IFERROR(VLOOKUP(J339,'[63]ТР нефть'!$J$28:$BP$638,55,0),"-")=0,"-",IFERROR(VLOOKUP(J339,'[63]ТР нефть'!$J$28:$BP$638,55,0),"-"))</f>
        <v>-</v>
      </c>
      <c r="BM339" s="138" t="str">
        <f>IF(IFERROR(VLOOKUP(J339,'[63]ТР нефть'!$J$28:$BP$638,56,0),"-")=0,"-",IFERROR(VLOOKUP(J339,'[63]ТР нефть'!$J$28:$BP$638,56,0),"-"))</f>
        <v>-</v>
      </c>
      <c r="BN339" s="138" t="str">
        <f>IF(IFERROR(VLOOKUP(J339,'[63]ТР нефть'!$J$28:$BP$638,57,0),"-")=0,"-",IFERROR(VLOOKUP(J339,'[63]ТР нефть'!$J$28:$BP$638,57,0),"-"))</f>
        <v>-</v>
      </c>
      <c r="BO339" s="115" t="str">
        <f>IF(IFERROR(VLOOKUP(J339,'[63]ТР нефть'!$J$28:$BP$638,58,0),"-")=0,"-",IFERROR(VLOOKUP(J339,'[63]ТР нефть'!$J$28:$BP$638,58,0),"-"))</f>
        <v>-</v>
      </c>
      <c r="BP339" s="115" t="str">
        <f>IF(IFERROR(VLOOKUP(J339,'[63]ТР нефть'!$J$28:$BP$638,59,0),"-")=0,"-",IFERROR(VLOOKUP(J339,'[63]ТР нефть'!$J$28:$BP$638,59,0),"-"))</f>
        <v>-</v>
      </c>
      <c r="BQ339" s="138">
        <v>2243.9</v>
      </c>
      <c r="BR339" s="128">
        <v>1840</v>
      </c>
      <c r="BS339" s="115">
        <f>BQ339-BR339</f>
        <v>403.90000000000009</v>
      </c>
      <c r="BT339" s="128">
        <v>73</v>
      </c>
      <c r="BU339" s="128">
        <v>5.5</v>
      </c>
      <c r="BV339" s="127">
        <v>18</v>
      </c>
      <c r="BW339" s="127" t="s">
        <v>234</v>
      </c>
      <c r="BX339" s="127" t="s">
        <v>195</v>
      </c>
      <c r="BY339" s="139">
        <v>24</v>
      </c>
      <c r="BZ339" s="139">
        <v>0</v>
      </c>
      <c r="CA339" s="138">
        <v>27</v>
      </c>
      <c r="CB339" s="138">
        <v>45</v>
      </c>
      <c r="CC339" s="138">
        <v>25</v>
      </c>
      <c r="CD339" s="135">
        <v>45017</v>
      </c>
      <c r="CE339" s="138">
        <v>82</v>
      </c>
      <c r="CF339" s="138">
        <v>55</v>
      </c>
      <c r="CG339" s="138" t="s">
        <v>186</v>
      </c>
      <c r="CH339" s="138" t="s">
        <v>272</v>
      </c>
      <c r="CI339" s="127">
        <v>5</v>
      </c>
      <c r="CJ339" s="138"/>
      <c r="CK339" s="138">
        <f t="shared" si="255"/>
        <v>21</v>
      </c>
      <c r="CL339" s="99"/>
      <c r="CM339" s="99"/>
      <c r="CN339" s="140">
        <v>48</v>
      </c>
      <c r="CO339" s="141">
        <f t="shared" si="216"/>
        <v>13.380179999999999</v>
      </c>
      <c r="CP339" s="142">
        <v>16.5</v>
      </c>
      <c r="CQ339" s="143">
        <v>3</v>
      </c>
      <c r="CR339" s="138">
        <v>15.6</v>
      </c>
      <c r="CS339" s="139">
        <v>11.5</v>
      </c>
      <c r="CT339" s="138"/>
      <c r="CU339" s="138">
        <f t="shared" si="259"/>
        <v>4.0999999999999996</v>
      </c>
      <c r="CV339" s="115">
        <f t="shared" si="260"/>
        <v>306.423381449278</v>
      </c>
      <c r="CW339" s="115">
        <f t="shared" si="217"/>
        <v>824.17247708263005</v>
      </c>
      <c r="CX339" s="133">
        <f t="shared" si="261"/>
        <v>0.48529411764705882</v>
      </c>
      <c r="CY339" s="116"/>
      <c r="CZ339" s="131"/>
      <c r="DA339" s="145" t="str">
        <f t="shared" si="218"/>
        <v>Газлифт</v>
      </c>
      <c r="DB339" s="146">
        <f t="shared" si="219"/>
        <v>13.380179999999999</v>
      </c>
      <c r="DC339" s="142">
        <f t="shared" si="234"/>
        <v>16.5</v>
      </c>
      <c r="DD339" s="119">
        <f t="shared" si="250"/>
        <v>3</v>
      </c>
      <c r="DE339" s="115">
        <f t="shared" si="220"/>
        <v>4.0999999999999996</v>
      </c>
      <c r="DF339" s="121">
        <f t="shared" si="221"/>
        <v>11.5</v>
      </c>
      <c r="DG339" s="115">
        <f t="shared" si="222"/>
        <v>306.423381449278</v>
      </c>
      <c r="DH339" s="115">
        <f t="shared" si="223"/>
        <v>48</v>
      </c>
      <c r="DI339" s="147"/>
      <c r="DJ339" s="111"/>
      <c r="DK339" s="112"/>
      <c r="DL339" s="113"/>
      <c r="DM339" s="114"/>
      <c r="DN339" s="114"/>
      <c r="DO339" s="114"/>
      <c r="DP339" s="114"/>
      <c r="DQ339" s="112"/>
      <c r="DR339" s="114"/>
      <c r="DS339" s="114"/>
      <c r="DT339" s="115"/>
      <c r="DU339" s="116"/>
      <c r="DV339" s="117"/>
      <c r="DW339" s="118"/>
      <c r="DX339" s="119">
        <f t="shared" si="224"/>
        <v>3</v>
      </c>
      <c r="DY339" s="115"/>
      <c r="DZ339" s="117"/>
      <c r="EA339" s="120"/>
      <c r="EB339" s="119">
        <f t="shared" ref="EB339:EB402" si="264">DX339-CQ339</f>
        <v>0</v>
      </c>
      <c r="EC339" s="121"/>
      <c r="ED339" s="122"/>
      <c r="EE339" s="145">
        <v>18</v>
      </c>
      <c r="EF339" s="115">
        <v>27</v>
      </c>
      <c r="EG339" s="115">
        <v>45</v>
      </c>
      <c r="EH339" s="115">
        <v>26</v>
      </c>
      <c r="EI339" s="128" t="s">
        <v>195</v>
      </c>
      <c r="EJ339" s="121">
        <v>24</v>
      </c>
      <c r="EK339" s="121">
        <v>0</v>
      </c>
      <c r="EL339" s="149">
        <v>13.380179999999999</v>
      </c>
      <c r="EM339" s="142">
        <v>16.5</v>
      </c>
      <c r="EN339" s="119">
        <v>3</v>
      </c>
      <c r="EO339" s="115">
        <v>15.6</v>
      </c>
      <c r="EP339" s="115">
        <v>306.423381449278</v>
      </c>
      <c r="EQ339" s="115">
        <v>55</v>
      </c>
      <c r="ER339" s="115">
        <v>11.5</v>
      </c>
      <c r="ES339" s="115">
        <v>48</v>
      </c>
      <c r="ET339" s="150">
        <v>0.48529411764705882</v>
      </c>
      <c r="EU339" s="145">
        <f t="shared" si="225"/>
        <v>18</v>
      </c>
      <c r="EV339" s="115">
        <f t="shared" si="226"/>
        <v>27</v>
      </c>
      <c r="EW339" s="115">
        <f t="shared" si="226"/>
        <v>45</v>
      </c>
      <c r="EX339" s="115">
        <f t="shared" si="226"/>
        <v>25</v>
      </c>
      <c r="EY339" s="115" t="str">
        <f t="shared" si="253"/>
        <v>Постоянный</v>
      </c>
      <c r="EZ339" s="115">
        <f t="shared" si="253"/>
        <v>24</v>
      </c>
      <c r="FA339" s="115">
        <f t="shared" si="253"/>
        <v>0</v>
      </c>
      <c r="FB339" s="149">
        <f t="shared" si="238"/>
        <v>13.380179999999999</v>
      </c>
      <c r="FC339" s="142">
        <f t="shared" si="238"/>
        <v>16.5</v>
      </c>
      <c r="FD339" s="119">
        <f t="shared" si="238"/>
        <v>3</v>
      </c>
      <c r="FE339" s="121">
        <f t="shared" si="238"/>
        <v>15.6</v>
      </c>
      <c r="FF339" s="121">
        <f t="shared" si="247"/>
        <v>306.423381449278</v>
      </c>
      <c r="FG339" s="121">
        <f t="shared" si="227"/>
        <v>55</v>
      </c>
      <c r="FH339" s="121">
        <f t="shared" si="248"/>
        <v>11.5</v>
      </c>
      <c r="FI339" s="121">
        <f t="shared" si="252"/>
        <v>48</v>
      </c>
      <c r="FJ339" s="144">
        <f t="shared" si="228"/>
        <v>0.48529411764705882</v>
      </c>
      <c r="FK339" s="132">
        <f t="shared" si="229"/>
        <v>0</v>
      </c>
      <c r="FL339" s="115">
        <f t="shared" si="229"/>
        <v>0</v>
      </c>
      <c r="FM339" s="115">
        <f t="shared" si="229"/>
        <v>0</v>
      </c>
      <c r="FN339" s="115">
        <f t="shared" si="229"/>
        <v>-1</v>
      </c>
      <c r="FO339" s="115">
        <f t="shared" si="257"/>
        <v>0</v>
      </c>
      <c r="FP339" s="115">
        <f t="shared" si="257"/>
        <v>0</v>
      </c>
      <c r="FQ339" s="149">
        <f t="shared" si="257"/>
        <v>0</v>
      </c>
      <c r="FR339" s="142">
        <f t="shared" si="256"/>
        <v>0</v>
      </c>
      <c r="FS339" s="119">
        <f t="shared" si="256"/>
        <v>0</v>
      </c>
      <c r="FT339" s="121">
        <f t="shared" si="256"/>
        <v>0</v>
      </c>
      <c r="FU339" s="121">
        <f t="shared" si="230"/>
        <v>0</v>
      </c>
      <c r="FV339" s="121">
        <f t="shared" si="230"/>
        <v>0</v>
      </c>
      <c r="FW339" s="121">
        <f t="shared" si="231"/>
        <v>0</v>
      </c>
      <c r="FX339" s="121">
        <f t="shared" si="233"/>
        <v>0</v>
      </c>
      <c r="FY339" s="144">
        <f t="shared" si="214"/>
        <v>0</v>
      </c>
      <c r="FZ339" s="145"/>
      <c r="GA339" s="151" t="s">
        <v>1414</v>
      </c>
      <c r="GB339" s="145"/>
      <c r="GC339" s="151"/>
      <c r="GD339" s="997" t="s">
        <v>220</v>
      </c>
      <c r="GE339" s="1004"/>
      <c r="GF339" s="1004">
        <v>0.45478400000000008</v>
      </c>
      <c r="GG339" s="1004"/>
      <c r="GH339" s="1004">
        <v>0</v>
      </c>
      <c r="GI339" s="145"/>
      <c r="GJ339" s="996">
        <v>3.3606029599999587E-2</v>
      </c>
      <c r="GK339" s="145"/>
      <c r="GL339" s="996">
        <v>0</v>
      </c>
      <c r="GM339" s="1005"/>
      <c r="GN339" s="996">
        <v>0</v>
      </c>
      <c r="GO339" s="1006"/>
      <c r="GP339" s="996">
        <v>0.36463333807999909</v>
      </c>
      <c r="GQ339" s="1006"/>
      <c r="GR339" s="996">
        <v>0</v>
      </c>
      <c r="GS339" s="1006" t="s">
        <v>203</v>
      </c>
      <c r="GT339" s="996">
        <v>-3.8584433676799996</v>
      </c>
      <c r="GU339" s="1006"/>
      <c r="GV339" s="996">
        <v>0</v>
      </c>
      <c r="GW339" s="1006" t="s">
        <v>203</v>
      </c>
      <c r="GX339" s="1036">
        <v>-9.637491599999997</v>
      </c>
      <c r="GY339" s="1006"/>
      <c r="GZ339" s="996"/>
      <c r="HA339" s="1006"/>
      <c r="HB339" s="996"/>
      <c r="HC339" s="1006"/>
      <c r="HD339" s="996"/>
      <c r="HE339" s="1006"/>
      <c r="HF339" s="996"/>
      <c r="HG339" s="1006"/>
      <c r="HH339" s="996"/>
      <c r="HI339" s="1006"/>
      <c r="HJ339" s="996"/>
      <c r="HK339" s="1006"/>
      <c r="HL339" s="996"/>
      <c r="HM339" s="1006"/>
      <c r="HN339" s="996"/>
      <c r="HO339" s="1006"/>
      <c r="HP339" s="996"/>
      <c r="HQ339" s="1006"/>
      <c r="HR339" s="996"/>
      <c r="HS339" s="1006"/>
      <c r="HT339" s="996"/>
      <c r="HU339" s="1006"/>
      <c r="HV339" s="996"/>
      <c r="HW339" s="1006"/>
      <c r="HX339" s="996"/>
      <c r="HY339" s="1006"/>
      <c r="HZ339" s="996"/>
      <c r="IA339" s="1006"/>
      <c r="IB339" s="996"/>
      <c r="IC339" s="1006"/>
      <c r="ID339" s="996"/>
      <c r="IE339" s="1006"/>
      <c r="IF339" s="996"/>
      <c r="IG339" s="1006"/>
      <c r="IH339" s="996"/>
      <c r="II339" s="1006"/>
      <c r="IJ339" s="996"/>
      <c r="IK339" s="1006"/>
      <c r="IL339" s="996"/>
      <c r="IM339" s="1006"/>
      <c r="IN339" s="996"/>
      <c r="IO339" s="1006"/>
      <c r="IP339" s="996"/>
      <c r="IQ339" s="1006"/>
      <c r="IR339" s="996"/>
      <c r="IS339" s="1006"/>
      <c r="IT339" s="996"/>
      <c r="IU339" s="1006"/>
      <c r="IV339" s="996"/>
      <c r="IW339" s="1006"/>
      <c r="IX339" s="996"/>
      <c r="IY339" s="1006"/>
      <c r="IZ339" s="996"/>
      <c r="JA339" s="1006"/>
      <c r="JB339" s="996"/>
      <c r="JC339" s="1006"/>
      <c r="JD339" s="996"/>
      <c r="JE339" s="1006"/>
      <c r="JF339" s="996"/>
      <c r="JG339" s="1006"/>
      <c r="JH339" s="996"/>
      <c r="JI339" s="1006"/>
      <c r="JJ339" s="996"/>
      <c r="JK339" s="1007"/>
      <c r="JL339" s="1007"/>
      <c r="JM339" s="1007"/>
      <c r="JN339" s="1007"/>
      <c r="JO339" s="1008"/>
      <c r="JP339" s="1007"/>
      <c r="JQ339" s="1008"/>
      <c r="JR339" s="1007"/>
      <c r="JS339" s="1008"/>
      <c r="JT339" s="1007"/>
      <c r="JU339" s="1008"/>
      <c r="JV339" s="1007"/>
      <c r="JW339" s="1008"/>
      <c r="JX339" s="1007"/>
      <c r="JY339" s="1008"/>
      <c r="JZ339" s="1007"/>
      <c r="KA339" s="1008"/>
      <c r="KB339" s="1007"/>
      <c r="KC339" s="1008"/>
      <c r="KD339" s="1007"/>
      <c r="KE339" s="1008"/>
      <c r="KF339" s="1007"/>
      <c r="KG339" s="1008"/>
      <c r="KH339" s="1007"/>
      <c r="KI339" s="1008"/>
      <c r="KJ339" s="1007"/>
      <c r="KK339" s="1008"/>
      <c r="KL339" s="1007"/>
      <c r="KM339" s="1008"/>
      <c r="KN339" s="1007"/>
      <c r="KO339" s="1008"/>
      <c r="KP339" s="1007"/>
      <c r="KQ339" s="1008"/>
      <c r="KR339" s="1007"/>
      <c r="KS339" s="1008"/>
      <c r="KT339" s="1007"/>
      <c r="KU339" s="1008"/>
      <c r="KV339" s="1007"/>
      <c r="KW339" s="1008"/>
      <c r="KX339" s="1007"/>
      <c r="KY339" s="1008"/>
      <c r="KZ339" s="1007"/>
      <c r="LA339" s="1008"/>
      <c r="LB339" s="1007"/>
      <c r="LC339" s="1008"/>
      <c r="LD339" s="1007"/>
      <c r="LE339" s="1008"/>
      <c r="LF339" s="1007"/>
      <c r="LG339" s="1008"/>
      <c r="LH339" s="1007"/>
      <c r="LI339" s="1008"/>
      <c r="LJ339" s="1007"/>
      <c r="LK339" s="1008"/>
      <c r="LL339" s="1007"/>
      <c r="LM339" s="1008"/>
      <c r="LN339" s="1007"/>
      <c r="LO339" s="1008"/>
      <c r="LP339" s="1007"/>
      <c r="LQ339" s="1008"/>
      <c r="LR339" s="1007"/>
      <c r="LS339" s="1008"/>
      <c r="LT339" s="1007"/>
      <c r="LU339" s="1008"/>
      <c r="LV339" s="1007"/>
      <c r="LW339" s="1008"/>
      <c r="LX339" s="1007"/>
      <c r="LY339" s="1009"/>
      <c r="LZ339" s="1010"/>
      <c r="MA339" s="1011"/>
      <c r="MB339" s="1012"/>
      <c r="MC339" s="995"/>
      <c r="MD339" s="996"/>
      <c r="ME339" s="997" t="s">
        <v>220</v>
      </c>
      <c r="MF339" s="997"/>
      <c r="MG339" s="998"/>
      <c r="NR339" s="1000"/>
      <c r="NS339" s="1000"/>
      <c r="NT339" s="1001"/>
      <c r="NU339" s="1000"/>
      <c r="NV339" s="1001"/>
      <c r="NX339" s="1002"/>
      <c r="NZ339" s="1001"/>
      <c r="OA339" s="1001"/>
      <c r="OC339" s="1003"/>
      <c r="OD339" s="1003"/>
      <c r="OE339" s="1001"/>
      <c r="OF339" s="1003"/>
      <c r="OG339" s="1003"/>
      <c r="QX339" s="1000">
        <f t="shared" si="262"/>
        <v>21</v>
      </c>
    </row>
    <row r="340" spans="1:466 1191:1191" ht="21" customHeight="1" x14ac:dyDescent="0.25">
      <c r="A340" s="982">
        <f t="shared" si="215"/>
        <v>1361</v>
      </c>
      <c r="B340" s="124">
        <f>SUBTOTAL(103,$J$29:J340)</f>
        <v>312</v>
      </c>
      <c r="C340" s="126">
        <v>45096</v>
      </c>
      <c r="D340" s="124" t="s">
        <v>176</v>
      </c>
      <c r="E340" s="127" t="s">
        <v>177</v>
      </c>
      <c r="F340" s="128" t="s">
        <v>177</v>
      </c>
      <c r="G340" s="127" t="s">
        <v>178</v>
      </c>
      <c r="H340" s="127" t="s">
        <v>421</v>
      </c>
      <c r="I340" s="127" t="s">
        <v>939</v>
      </c>
      <c r="J340" s="152">
        <v>1361</v>
      </c>
      <c r="K340" s="127" t="s">
        <v>1406</v>
      </c>
      <c r="L340" s="130">
        <v>43440</v>
      </c>
      <c r="M340" s="127" t="s">
        <v>230</v>
      </c>
      <c r="N340" s="127" t="s">
        <v>231</v>
      </c>
      <c r="O340" s="127" t="s">
        <v>185</v>
      </c>
      <c r="P340" s="127" t="s">
        <v>208</v>
      </c>
      <c r="Q340" s="85" t="str">
        <f t="shared" si="249"/>
        <v/>
      </c>
      <c r="R340" s="130"/>
      <c r="S340" s="128"/>
      <c r="T340" s="131"/>
      <c r="U340" s="132">
        <v>203</v>
      </c>
      <c r="V340" s="121">
        <v>218.2</v>
      </c>
      <c r="W340" s="116">
        <v>0.98</v>
      </c>
      <c r="X340" s="116">
        <v>1.66</v>
      </c>
      <c r="Y340" s="116">
        <f t="shared" si="239"/>
        <v>0.98</v>
      </c>
      <c r="Z340" s="133">
        <v>1.454</v>
      </c>
      <c r="AA340" s="133">
        <v>0.83599999999999997</v>
      </c>
      <c r="AB340" s="133">
        <v>0.72</v>
      </c>
      <c r="AC340" s="121">
        <v>34.299999999999997</v>
      </c>
      <c r="AD340" s="134">
        <v>1.17</v>
      </c>
      <c r="AE340" s="124">
        <v>177.8</v>
      </c>
      <c r="AF340" s="128">
        <v>9.19</v>
      </c>
      <c r="AG340" s="128">
        <v>2138.1</v>
      </c>
      <c r="AH340" s="127">
        <v>2729</v>
      </c>
      <c r="AI340" s="127">
        <v>2729</v>
      </c>
      <c r="AJ340" s="135"/>
      <c r="AK340" s="128"/>
      <c r="AL340" s="131"/>
      <c r="AM340" s="124" t="s">
        <v>232</v>
      </c>
      <c r="AN340" s="136" t="s">
        <v>1415</v>
      </c>
      <c r="AO340" s="137">
        <v>34.450000000000003</v>
      </c>
      <c r="AP340" s="128">
        <v>2138</v>
      </c>
      <c r="AQ340" s="128">
        <v>238.14505617977511</v>
      </c>
      <c r="AR340" s="128"/>
      <c r="AS340" s="128"/>
      <c r="AT340" s="122"/>
      <c r="AU340" s="124" t="s">
        <v>189</v>
      </c>
      <c r="AV340" s="115">
        <f>VLOOKUP(J340,'[63]ТР нефть'!$J$28:$BP$638,39,0)</f>
        <v>437.00000507800002</v>
      </c>
      <c r="AW340" s="115" t="str">
        <f>VLOOKUP(J340,'[63]ТР нефть'!$J$28:$BP$638,40,0)</f>
        <v>ГП</v>
      </c>
      <c r="AX340" s="115">
        <f>VLOOKUP(J340,'[63]ТР нефть'!$J$28:$BP$638,41,0)</f>
        <v>946.00000605499997</v>
      </c>
      <c r="AY340" s="115" t="str">
        <f>VLOOKUP(J340,'[63]ТР нефть'!$J$28:$BP$638,42,0)</f>
        <v>ГК78 1/6</v>
      </c>
      <c r="AZ340" s="115">
        <f>VLOOKUP(J340,'[63]ТР нефть'!$J$28:$BP$638,43,0)</f>
        <v>1365.0000679689999</v>
      </c>
      <c r="BA340" s="115" t="str">
        <f>VLOOKUP(J340,'[63]ТР нефть'!$J$28:$BP$638,44,0)</f>
        <v>ГК77 5/32</v>
      </c>
      <c r="BB340" s="115">
        <f>VLOOKUP(J340,'[63]ТР нефть'!$J$28:$BP$638,45,0)</f>
        <v>1669.999944141</v>
      </c>
      <c r="BC340" s="115" t="str">
        <f>VLOOKUP(J340,'[63]ТР нефть'!$J$28:$BP$638,46,0)</f>
        <v>ЦКсОК 5/16</v>
      </c>
      <c r="BD340" s="115" t="str">
        <f>VLOOKUP(J340,'[63]ТР нефть'!$J$28:$BP$638,47,0)</f>
        <v>-</v>
      </c>
      <c r="BE340" s="115" t="str">
        <f>VLOOKUP(J340,'[63]ТР нефть'!$J$28:$BP$638,48,0)</f>
        <v>-</v>
      </c>
      <c r="BF340" s="115" t="str">
        <f>VLOOKUP(J340,'[63]ТР нефть'!$J$28:$BP$638,49,0)</f>
        <v>-</v>
      </c>
      <c r="BG340" s="115" t="str">
        <f>VLOOKUP(J340,'[63]ТР нефть'!$J$28:$BP$638,50,0)</f>
        <v>-</v>
      </c>
      <c r="BH340" s="115" t="str">
        <f>VLOOKUP(J340,'[63]ТР нефть'!$J$28:$BP$638,51,0)</f>
        <v>-</v>
      </c>
      <c r="BI340" s="115" t="str">
        <f>VLOOKUP(J340,'[63]ТР нефть'!$J$28:$BP$638,52,0)</f>
        <v>-</v>
      </c>
      <c r="BJ340" s="115" t="str">
        <f>IF(IFERROR(VLOOKUP(J340,'[63]ТР нефть'!$J$28:$BP$638,53,0),"-")=0,"-",IFERROR(VLOOKUP(J340,'[63]ТР нефть'!$J$28:$BP$638,53,0),"-"))</f>
        <v>-</v>
      </c>
      <c r="BK340" s="138" t="str">
        <f>IF(IFERROR(VLOOKUP(J340,'[63]ТР нефть'!$J$28:$BP$638,54,0),"-")=0,"-",IFERROR(VLOOKUP(J340,'[63]ТР нефть'!$J$28:$BP$638,54,0),"-"))</f>
        <v>-</v>
      </c>
      <c r="BL340" s="138" t="str">
        <f>IF(IFERROR(VLOOKUP(J340,'[63]ТР нефть'!$J$28:$BP$638,55,0),"-")=0,"-",IFERROR(VLOOKUP(J340,'[63]ТР нефть'!$J$28:$BP$638,55,0),"-"))</f>
        <v>-</v>
      </c>
      <c r="BM340" s="138" t="str">
        <f>IF(IFERROR(VLOOKUP(J340,'[63]ТР нефть'!$J$28:$BP$638,56,0),"-")=0,"-",IFERROR(VLOOKUP(J340,'[63]ТР нефть'!$J$28:$BP$638,56,0),"-"))</f>
        <v>-</v>
      </c>
      <c r="BN340" s="138" t="str">
        <f>IF(IFERROR(VLOOKUP(J340,'[63]ТР нефть'!$J$28:$BP$638,57,0),"-")=0,"-",IFERROR(VLOOKUP(J340,'[63]ТР нефть'!$J$28:$BP$638,57,0),"-"))</f>
        <v>-</v>
      </c>
      <c r="BO340" s="115" t="str">
        <f>IF(IFERROR(VLOOKUP(J340,'[63]ТР нефть'!$J$28:$BP$638,58,0),"-")=0,"-",IFERROR(VLOOKUP(J340,'[63]ТР нефть'!$J$28:$BP$638,58,0),"-"))</f>
        <v>-</v>
      </c>
      <c r="BP340" s="115" t="str">
        <f>IF(IFERROR(VLOOKUP(J340,'[63]ТР нефть'!$J$28:$BP$638,59,0),"-")=0,"-",IFERROR(VLOOKUP(J340,'[63]ТР нефть'!$J$28:$BP$638,59,0),"-"))</f>
        <v>-</v>
      </c>
      <c r="BQ340" s="138">
        <v>2141.7600000000002</v>
      </c>
      <c r="BR340" s="128">
        <v>1899.89</v>
      </c>
      <c r="BS340" s="115">
        <f t="shared" si="258"/>
        <v>241.87000000000012</v>
      </c>
      <c r="BT340" s="128">
        <v>73</v>
      </c>
      <c r="BU340" s="128">
        <v>5.5</v>
      </c>
      <c r="BV340" s="127">
        <v>65</v>
      </c>
      <c r="BW340" s="127" t="s">
        <v>217</v>
      </c>
      <c r="BX340" s="127" t="s">
        <v>195</v>
      </c>
      <c r="BY340" s="139">
        <v>24</v>
      </c>
      <c r="BZ340" s="139">
        <v>0</v>
      </c>
      <c r="CA340" s="115">
        <v>19</v>
      </c>
      <c r="CB340" s="115">
        <v>31</v>
      </c>
      <c r="CC340" s="115">
        <v>18</v>
      </c>
      <c r="CD340" s="135">
        <v>45017</v>
      </c>
      <c r="CE340" s="138">
        <v>141</v>
      </c>
      <c r="CF340" s="138">
        <v>78</v>
      </c>
      <c r="CG340" s="138" t="str">
        <f t="shared" ref="CG340:CG389" si="265">IF(CH340&lt;&gt;"","В работе","")</f>
        <v>В работе</v>
      </c>
      <c r="CH340" s="138" t="s">
        <v>196</v>
      </c>
      <c r="CI340" s="138">
        <v>6</v>
      </c>
      <c r="CJ340" s="139"/>
      <c r="CK340" s="138"/>
      <c r="CL340" s="99"/>
      <c r="CM340" s="99"/>
      <c r="CN340" s="140">
        <v>45</v>
      </c>
      <c r="CO340" s="141">
        <f t="shared" si="216"/>
        <v>6.0191999999999997</v>
      </c>
      <c r="CP340" s="142">
        <v>7.2</v>
      </c>
      <c r="CQ340" s="119">
        <v>0</v>
      </c>
      <c r="CR340" s="115">
        <v>14.9</v>
      </c>
      <c r="CS340" s="139">
        <v>10.9</v>
      </c>
      <c r="CT340" s="138"/>
      <c r="CU340" s="138">
        <f t="shared" si="259"/>
        <v>4</v>
      </c>
      <c r="CV340" s="115">
        <f t="shared" si="260"/>
        <v>664.54013822434877</v>
      </c>
      <c r="CW340" s="115">
        <f t="shared" si="217"/>
        <v>1810.8718766613506</v>
      </c>
      <c r="CX340" s="133">
        <f t="shared" si="261"/>
        <v>7.4999999999999997E-2</v>
      </c>
      <c r="CY340" s="116"/>
      <c r="CZ340" s="131"/>
      <c r="DA340" s="145" t="str">
        <f t="shared" si="218"/>
        <v>Газлифт</v>
      </c>
      <c r="DB340" s="146">
        <f t="shared" si="219"/>
        <v>6.0191999999999997</v>
      </c>
      <c r="DC340" s="142">
        <f t="shared" si="234"/>
        <v>7.2</v>
      </c>
      <c r="DD340" s="119">
        <f t="shared" si="250"/>
        <v>0</v>
      </c>
      <c r="DE340" s="115">
        <f t="shared" si="220"/>
        <v>4</v>
      </c>
      <c r="DF340" s="121">
        <f t="shared" si="221"/>
        <v>10.9</v>
      </c>
      <c r="DG340" s="115">
        <f t="shared" si="222"/>
        <v>664.54013822434877</v>
      </c>
      <c r="DH340" s="115">
        <f t="shared" si="223"/>
        <v>45</v>
      </c>
      <c r="DI340" s="147"/>
      <c r="DJ340" s="111">
        <v>43692</v>
      </c>
      <c r="DK340" s="112">
        <v>43440</v>
      </c>
      <c r="DL340" s="113">
        <f t="shared" ref="DL340:DL397" ca="1" si="266">TODAY()-DK340</f>
        <v>1664</v>
      </c>
      <c r="DM340" s="114"/>
      <c r="DN340" s="114"/>
      <c r="DO340" s="114"/>
      <c r="DP340" s="114"/>
      <c r="DQ340" s="112">
        <v>43440</v>
      </c>
      <c r="DR340" s="114" t="s">
        <v>324</v>
      </c>
      <c r="DS340" s="114">
        <v>0</v>
      </c>
      <c r="DT340" s="115">
        <v>60</v>
      </c>
      <c r="DU340" s="116">
        <f t="shared" ref="DU340:DU397" si="267">DW340/(CE340-DT340)</f>
        <v>8.8888888888888892E-2</v>
      </c>
      <c r="DV340" s="117">
        <f t="shared" ref="DV340:DV397" si="268">DW340*(1-DX340/100)*$AA340</f>
        <v>6.0191999999999997</v>
      </c>
      <c r="DW340" s="118">
        <f t="shared" ref="DW340:DW397" si="269">IF(DT340&lt;CN340,IF(MQ340=1,CP340,(1-0.2*(DT340/CE340)-0.8*(DT340/CE340)^2)*(CP340/(1-0.2*(CN340/CE340)-0.8*(CN340/CE340)^2))),CP340)</f>
        <v>7.2</v>
      </c>
      <c r="DX340" s="119">
        <f t="shared" si="224"/>
        <v>0</v>
      </c>
      <c r="DY340" s="115">
        <f t="shared" ref="DY340:DY397" si="270">(CV340*DV340)/1000</f>
        <v>4</v>
      </c>
      <c r="DZ340" s="117">
        <f t="shared" ref="DZ340:EA371" si="271">DV340-CO340</f>
        <v>0</v>
      </c>
      <c r="EA340" s="120">
        <f t="shared" si="271"/>
        <v>0</v>
      </c>
      <c r="EB340" s="119">
        <f t="shared" si="264"/>
        <v>0</v>
      </c>
      <c r="EC340" s="121">
        <f t="shared" ref="EC340:EC397" si="272">DY340-CU340</f>
        <v>0</v>
      </c>
      <c r="ED340" s="122"/>
      <c r="EE340" s="145">
        <v>65</v>
      </c>
      <c r="EF340" s="115">
        <v>16</v>
      </c>
      <c r="EG340" s="115">
        <v>35</v>
      </c>
      <c r="EH340" s="115">
        <v>15</v>
      </c>
      <c r="EI340" s="128" t="s">
        <v>195</v>
      </c>
      <c r="EJ340" s="121">
        <v>24</v>
      </c>
      <c r="EK340" s="121">
        <v>0</v>
      </c>
      <c r="EL340" s="149">
        <v>7.2731999999999992</v>
      </c>
      <c r="EM340" s="142">
        <v>8.6999999999999993</v>
      </c>
      <c r="EN340" s="119">
        <v>0</v>
      </c>
      <c r="EO340" s="115">
        <v>12</v>
      </c>
      <c r="EP340" s="115">
        <v>329.97855139415947</v>
      </c>
      <c r="EQ340" s="115">
        <v>78</v>
      </c>
      <c r="ER340" s="115">
        <v>9.6</v>
      </c>
      <c r="ES340" s="115">
        <v>49</v>
      </c>
      <c r="ET340" s="150">
        <v>9.4565217391304343E-2</v>
      </c>
      <c r="EU340" s="145">
        <f t="shared" si="225"/>
        <v>65</v>
      </c>
      <c r="EV340" s="115">
        <f t="shared" si="226"/>
        <v>19</v>
      </c>
      <c r="EW340" s="115">
        <f t="shared" si="226"/>
        <v>31</v>
      </c>
      <c r="EX340" s="115">
        <f t="shared" si="226"/>
        <v>18</v>
      </c>
      <c r="EY340" s="115" t="str">
        <f t="shared" si="253"/>
        <v>Постоянный</v>
      </c>
      <c r="EZ340" s="115">
        <f t="shared" si="253"/>
        <v>24</v>
      </c>
      <c r="FA340" s="115">
        <f t="shared" si="253"/>
        <v>0</v>
      </c>
      <c r="FB340" s="149">
        <f t="shared" si="238"/>
        <v>6.0191999999999997</v>
      </c>
      <c r="FC340" s="142">
        <f t="shared" si="238"/>
        <v>7.2</v>
      </c>
      <c r="FD340" s="119">
        <f t="shared" si="238"/>
        <v>0</v>
      </c>
      <c r="FE340" s="121">
        <f t="shared" si="238"/>
        <v>14.9</v>
      </c>
      <c r="FF340" s="121">
        <f t="shared" si="247"/>
        <v>664.54013822434877</v>
      </c>
      <c r="FG340" s="121">
        <f t="shared" si="227"/>
        <v>78</v>
      </c>
      <c r="FH340" s="121">
        <f t="shared" si="248"/>
        <v>10.9</v>
      </c>
      <c r="FI340" s="121">
        <f t="shared" si="252"/>
        <v>45</v>
      </c>
      <c r="FJ340" s="144">
        <f t="shared" si="228"/>
        <v>7.4999999999999997E-2</v>
      </c>
      <c r="FK340" s="132">
        <f t="shared" si="229"/>
        <v>0</v>
      </c>
      <c r="FL340" s="115">
        <f t="shared" si="229"/>
        <v>3</v>
      </c>
      <c r="FM340" s="115">
        <f t="shared" si="229"/>
        <v>-4</v>
      </c>
      <c r="FN340" s="115">
        <f t="shared" si="229"/>
        <v>3</v>
      </c>
      <c r="FO340" s="115">
        <f t="shared" si="257"/>
        <v>0</v>
      </c>
      <c r="FP340" s="115">
        <f t="shared" si="257"/>
        <v>0</v>
      </c>
      <c r="FQ340" s="149">
        <f t="shared" si="257"/>
        <v>-1.2539999999999996</v>
      </c>
      <c r="FR340" s="142">
        <f t="shared" si="256"/>
        <v>-1.4999999999999991</v>
      </c>
      <c r="FS340" s="119">
        <f t="shared" si="256"/>
        <v>0</v>
      </c>
      <c r="FT340" s="121">
        <f t="shared" si="256"/>
        <v>2.9000000000000004</v>
      </c>
      <c r="FU340" s="121">
        <f t="shared" si="230"/>
        <v>0</v>
      </c>
      <c r="FV340" s="121">
        <f t="shared" si="230"/>
        <v>1.3000000000000007</v>
      </c>
      <c r="FW340" s="121">
        <f t="shared" si="231"/>
        <v>334.5615868301893</v>
      </c>
      <c r="FX340" s="121">
        <f t="shared" si="233"/>
        <v>-4</v>
      </c>
      <c r="FY340" s="144">
        <f t="shared" si="214"/>
        <v>-1.9565217391304346E-2</v>
      </c>
      <c r="FZ340" s="145" t="s">
        <v>240</v>
      </c>
      <c r="GA340" s="151" t="s">
        <v>361</v>
      </c>
      <c r="GB340" s="145"/>
      <c r="GC340" s="151" t="s">
        <v>1409</v>
      </c>
      <c r="GD340" s="997" t="s">
        <v>238</v>
      </c>
      <c r="GE340" s="1004"/>
      <c r="GF340" s="1004">
        <v>0</v>
      </c>
      <c r="GG340" s="1004"/>
      <c r="GH340" s="1004">
        <v>0</v>
      </c>
      <c r="GI340" s="145" t="s">
        <v>199</v>
      </c>
      <c r="GJ340" s="996">
        <v>-1.1035199999999996</v>
      </c>
      <c r="GK340" s="145"/>
      <c r="GL340" s="996">
        <v>0.8610799999999994</v>
      </c>
      <c r="GM340" s="1005"/>
      <c r="GN340" s="996">
        <v>0.40963999999999956</v>
      </c>
      <c r="GO340" s="1006"/>
      <c r="GP340" s="996">
        <v>0</v>
      </c>
      <c r="GQ340" s="1006"/>
      <c r="GR340" s="996">
        <v>-2.4243999999999488E-2</v>
      </c>
      <c r="GS340" s="1006"/>
      <c r="GT340" s="996">
        <v>0</v>
      </c>
      <c r="GU340" s="1006"/>
      <c r="GV340" s="996">
        <v>0</v>
      </c>
      <c r="GW340" s="1006"/>
      <c r="GX340" s="1049">
        <v>4.263599999999812E-3</v>
      </c>
      <c r="GY340" s="1006"/>
      <c r="GZ340" s="996">
        <v>-6.0944400000001231E-2</v>
      </c>
      <c r="HA340" s="1006" t="s">
        <v>308</v>
      </c>
      <c r="HB340" s="996">
        <v>7.1869248000000008</v>
      </c>
      <c r="HC340" s="1006"/>
      <c r="HD340" s="996">
        <v>0</v>
      </c>
      <c r="HE340" s="1006"/>
      <c r="HF340" s="996">
        <v>0</v>
      </c>
      <c r="HG340" s="1006"/>
      <c r="HH340" s="996">
        <v>0</v>
      </c>
      <c r="HI340" s="1006"/>
      <c r="HJ340" s="996">
        <v>0</v>
      </c>
      <c r="HK340" s="1006" t="s">
        <v>197</v>
      </c>
      <c r="HL340" s="996">
        <v>0</v>
      </c>
      <c r="HM340" s="1006"/>
      <c r="HN340" s="996">
        <v>0</v>
      </c>
      <c r="HO340" s="1006"/>
      <c r="HP340" s="996">
        <v>0</v>
      </c>
      <c r="HQ340" s="1006"/>
      <c r="HR340" s="996">
        <v>0</v>
      </c>
      <c r="HS340" s="1006"/>
      <c r="HT340" s="996">
        <v>0</v>
      </c>
      <c r="HU340" s="1006"/>
      <c r="HV340" s="996">
        <v>0</v>
      </c>
      <c r="HW340" s="1006"/>
      <c r="HX340" s="996">
        <v>0</v>
      </c>
      <c r="HY340" s="1006"/>
      <c r="HZ340" s="996">
        <v>0</v>
      </c>
      <c r="IA340" s="1006"/>
      <c r="IB340" s="996">
        <v>0</v>
      </c>
      <c r="IC340" s="1006"/>
      <c r="ID340" s="996">
        <v>0</v>
      </c>
      <c r="IE340" s="1006"/>
      <c r="IF340" s="996">
        <v>0</v>
      </c>
      <c r="IG340" s="1006"/>
      <c r="IH340" s="996">
        <v>0</v>
      </c>
      <c r="II340" s="1006"/>
      <c r="IJ340" s="996">
        <v>0</v>
      </c>
      <c r="IK340" s="1006"/>
      <c r="IL340" s="996">
        <v>0</v>
      </c>
      <c r="IM340" s="1006"/>
      <c r="IN340" s="996">
        <v>0</v>
      </c>
      <c r="IO340" s="1006"/>
      <c r="IP340" s="996">
        <v>0</v>
      </c>
      <c r="IQ340" s="1006"/>
      <c r="IR340" s="996">
        <v>0</v>
      </c>
      <c r="IS340" s="1006"/>
      <c r="IT340" s="996">
        <v>0</v>
      </c>
      <c r="IU340" s="1006"/>
      <c r="IV340" s="996">
        <v>0</v>
      </c>
      <c r="IW340" s="1006"/>
      <c r="IX340" s="996">
        <v>0</v>
      </c>
      <c r="IY340" s="1006"/>
      <c r="IZ340" s="996">
        <v>0</v>
      </c>
      <c r="JA340" s="1006"/>
      <c r="JB340" s="996">
        <v>0</v>
      </c>
      <c r="JC340" s="1006"/>
      <c r="JD340" s="996">
        <v>0</v>
      </c>
      <c r="JE340" s="1006"/>
      <c r="JF340" s="996">
        <v>0</v>
      </c>
      <c r="JG340" s="1006"/>
      <c r="JH340" s="996">
        <v>0</v>
      </c>
      <c r="JI340" s="1006"/>
      <c r="JJ340" s="996">
        <v>0</v>
      </c>
      <c r="JK340" s="1007"/>
      <c r="JL340" s="1007">
        <v>0</v>
      </c>
      <c r="JM340" s="1007" t="s">
        <v>199</v>
      </c>
      <c r="JN340" s="1007">
        <v>-3.08949652</v>
      </c>
      <c r="JO340" s="1008"/>
      <c r="JP340" s="1007">
        <v>0</v>
      </c>
      <c r="JQ340" s="1008" t="s">
        <v>25</v>
      </c>
      <c r="JR340" s="1007">
        <v>0.69184851999999974</v>
      </c>
      <c r="JS340" s="1008" t="s">
        <v>223</v>
      </c>
      <c r="JT340" s="1007">
        <v>-2.2471679999999994</v>
      </c>
      <c r="JU340" s="1008"/>
      <c r="JV340" s="1007">
        <v>0</v>
      </c>
      <c r="JW340" s="1008" t="s">
        <v>197</v>
      </c>
      <c r="JX340" s="1007">
        <v>0</v>
      </c>
      <c r="JY340" s="1008" t="s">
        <v>240</v>
      </c>
      <c r="JZ340" s="1007">
        <v>-16.562831999999997</v>
      </c>
      <c r="KA340" s="1008"/>
      <c r="KB340" s="1007">
        <v>0</v>
      </c>
      <c r="KC340" s="1008"/>
      <c r="KD340" s="1007">
        <v>0</v>
      </c>
      <c r="KE340" s="1008"/>
      <c r="KF340" s="1007">
        <v>0</v>
      </c>
      <c r="KG340" s="1008"/>
      <c r="KH340" s="1007">
        <v>25.832399999999996</v>
      </c>
      <c r="KI340" s="1008"/>
      <c r="KJ340" s="1007">
        <v>0</v>
      </c>
      <c r="KK340" s="1008"/>
      <c r="KL340" s="1007">
        <v>0</v>
      </c>
      <c r="KM340" s="1008"/>
      <c r="KN340" s="1007"/>
      <c r="KO340" s="1008"/>
      <c r="KP340" s="1007"/>
      <c r="KQ340" s="1008"/>
      <c r="KR340" s="1007"/>
      <c r="KS340" s="1008"/>
      <c r="KT340" s="1007"/>
      <c r="KU340" s="1008"/>
      <c r="KV340" s="1007"/>
      <c r="KW340" s="1008"/>
      <c r="KX340" s="1007"/>
      <c r="KY340" s="1008"/>
      <c r="KZ340" s="1007"/>
      <c r="LA340" s="1008"/>
      <c r="LB340" s="1007"/>
      <c r="LC340" s="1008"/>
      <c r="LD340" s="1007"/>
      <c r="LE340" s="1008"/>
      <c r="LF340" s="1007"/>
      <c r="LG340" s="1008"/>
      <c r="LH340" s="1007"/>
      <c r="LI340" s="1008"/>
      <c r="LJ340" s="1007"/>
      <c r="LK340" s="1008"/>
      <c r="LL340" s="1007"/>
      <c r="LM340" s="1008"/>
      <c r="LN340" s="1007"/>
      <c r="LO340" s="1008"/>
      <c r="LP340" s="1007"/>
      <c r="LQ340" s="1008"/>
      <c r="LR340" s="1007"/>
      <c r="LS340" s="1008"/>
      <c r="LT340" s="1007"/>
      <c r="LU340" s="1008"/>
      <c r="LV340" s="1007"/>
      <c r="LW340" s="1008"/>
      <c r="LX340" s="1007"/>
      <c r="LY340" s="1009"/>
      <c r="LZ340" s="1010"/>
      <c r="MA340" s="1011"/>
      <c r="MB340" s="1012"/>
      <c r="MC340" s="995"/>
      <c r="MD340" s="996"/>
      <c r="ME340" s="997" t="s">
        <v>238</v>
      </c>
      <c r="MF340" s="997"/>
      <c r="MG340" s="998"/>
      <c r="NR340" s="1000"/>
      <c r="NS340" s="1000"/>
      <c r="NT340" s="1001"/>
      <c r="NU340" s="1000"/>
      <c r="NV340" s="1001"/>
      <c r="NX340" s="1002"/>
      <c r="NZ340" s="1001"/>
      <c r="OA340" s="1001"/>
      <c r="OC340" s="1003"/>
      <c r="OD340" s="1003"/>
      <c r="OE340" s="1001"/>
      <c r="OF340" s="1003"/>
      <c r="OG340" s="1003"/>
      <c r="QX340" s="1000">
        <f t="shared" si="262"/>
        <v>26</v>
      </c>
      <c r="ASU340" s="999" t="s">
        <v>208</v>
      </c>
    </row>
    <row r="341" spans="1:466 1191:1191" ht="21" customHeight="1" x14ac:dyDescent="0.25">
      <c r="A341" s="982">
        <f t="shared" si="215"/>
        <v>1362</v>
      </c>
      <c r="B341" s="124">
        <f>SUBTOTAL(103,$J$29:J341)</f>
        <v>313</v>
      </c>
      <c r="C341" s="126">
        <v>45096</v>
      </c>
      <c r="D341" s="124" t="s">
        <v>176</v>
      </c>
      <c r="E341" s="127" t="s">
        <v>177</v>
      </c>
      <c r="F341" s="128" t="s">
        <v>177</v>
      </c>
      <c r="G341" s="127" t="s">
        <v>178</v>
      </c>
      <c r="H341" s="127" t="s">
        <v>421</v>
      </c>
      <c r="I341" s="127" t="s">
        <v>939</v>
      </c>
      <c r="J341" s="152">
        <v>1362</v>
      </c>
      <c r="K341" s="127" t="s">
        <v>1406</v>
      </c>
      <c r="L341" s="130">
        <v>43375</v>
      </c>
      <c r="M341" s="127" t="s">
        <v>230</v>
      </c>
      <c r="N341" s="127" t="s">
        <v>231</v>
      </c>
      <c r="O341" s="127" t="s">
        <v>185</v>
      </c>
      <c r="P341" s="127" t="s">
        <v>208</v>
      </c>
      <c r="Q341" s="85" t="str">
        <f t="shared" si="249"/>
        <v/>
      </c>
      <c r="R341" s="130"/>
      <c r="S341" s="128"/>
      <c r="T341" s="131"/>
      <c r="U341" s="132">
        <v>203</v>
      </c>
      <c r="V341" s="121">
        <v>218.2</v>
      </c>
      <c r="W341" s="116">
        <v>0.98</v>
      </c>
      <c r="X341" s="116">
        <v>1.66</v>
      </c>
      <c r="Y341" s="116">
        <f t="shared" si="239"/>
        <v>0.98</v>
      </c>
      <c r="Z341" s="133">
        <v>1.454</v>
      </c>
      <c r="AA341" s="133">
        <v>0.83599999999999997</v>
      </c>
      <c r="AB341" s="133">
        <v>0.72</v>
      </c>
      <c r="AC341" s="121">
        <v>34.299999999999997</v>
      </c>
      <c r="AD341" s="134">
        <v>1.17</v>
      </c>
      <c r="AE341" s="124">
        <v>177.8</v>
      </c>
      <c r="AF341" s="128">
        <v>9.19</v>
      </c>
      <c r="AG341" s="128">
        <v>2221</v>
      </c>
      <c r="AH341" s="127">
        <v>2821</v>
      </c>
      <c r="AI341" s="127">
        <v>2821</v>
      </c>
      <c r="AJ341" s="135"/>
      <c r="AK341" s="128"/>
      <c r="AL341" s="131"/>
      <c r="AM341" s="124" t="s">
        <v>232</v>
      </c>
      <c r="AN341" s="136" t="s">
        <v>1416</v>
      </c>
      <c r="AO341" s="137">
        <v>28.64</v>
      </c>
      <c r="AP341" s="128">
        <v>2348</v>
      </c>
      <c r="AQ341" s="128">
        <v>456.37187500000005</v>
      </c>
      <c r="AR341" s="128"/>
      <c r="AS341" s="128"/>
      <c r="AT341" s="122"/>
      <c r="AU341" s="124" t="s">
        <v>189</v>
      </c>
      <c r="AV341" s="115">
        <f>VLOOKUP(J341,'[63]ТР нефть'!$J$28:$BP$638,39,0)</f>
        <v>599.99999062500001</v>
      </c>
      <c r="AW341" s="115" t="str">
        <f>VLOOKUP(J341,'[63]ТР нефть'!$J$28:$BP$638,40,0)</f>
        <v>ГП</v>
      </c>
      <c r="AX341" s="115">
        <f>VLOOKUP(J341,'[63]ТР нефть'!$J$28:$BP$638,41,0)</f>
        <v>1170.0000263669999</v>
      </c>
      <c r="AY341" s="115" t="str">
        <f>VLOOKUP(J341,'[63]ТР нефть'!$J$28:$BP$638,42,0)</f>
        <v>ГП</v>
      </c>
      <c r="AZ341" s="115">
        <f>VLOOKUP(J341,'[63]ТР нефть'!$J$28:$BP$638,43,0)</f>
        <v>1640.0000636719999</v>
      </c>
      <c r="BA341" s="115" t="str">
        <f>VLOOKUP(J341,'[63]ТР нефть'!$J$28:$BP$638,44,0)</f>
        <v>ГК86 1/8</v>
      </c>
      <c r="BB341" s="115">
        <f>VLOOKUP(J341,'[63]ТР нефть'!$J$28:$BP$638,45,0)</f>
        <v>2019.9999386720001</v>
      </c>
      <c r="BC341" s="115" t="str">
        <f>VLOOKUP(J341,'[63]ТР нефть'!$J$28:$BP$638,46,0)</f>
        <v>ЦКсОК 5/16</v>
      </c>
      <c r="BD341" s="115" t="str">
        <f>VLOOKUP(J341,'[63]ТР нефть'!$J$28:$BP$638,47,0)</f>
        <v>-</v>
      </c>
      <c r="BE341" s="115" t="str">
        <f>VLOOKUP(J341,'[63]ТР нефть'!$J$28:$BP$638,48,0)</f>
        <v>-</v>
      </c>
      <c r="BF341" s="115" t="str">
        <f>VLOOKUP(J341,'[63]ТР нефть'!$J$28:$BP$638,49,0)</f>
        <v>-</v>
      </c>
      <c r="BG341" s="115" t="str">
        <f>VLOOKUP(J341,'[63]ТР нефть'!$J$28:$BP$638,50,0)</f>
        <v>-</v>
      </c>
      <c r="BH341" s="115">
        <f>VLOOKUP(J341,'[63]ТР нефть'!$J$28:$BP$638,51,0)</f>
        <v>2030</v>
      </c>
      <c r="BI341" s="115" t="str">
        <f>VLOOKUP(J341,'[63]ТР нефть'!$J$28:$BP$638,52,0)</f>
        <v>закрыт</v>
      </c>
      <c r="BJ341" s="115" t="str">
        <f>IF(IFERROR(VLOOKUP(J341,'[63]ТР нефть'!$J$28:$BP$638,53,0),"-")=0,"-",IFERROR(VLOOKUP(J341,'[63]ТР нефть'!$J$28:$BP$638,53,0),"-"))</f>
        <v>-</v>
      </c>
      <c r="BK341" s="138" t="str">
        <f>IF(IFERROR(VLOOKUP(J341,'[63]ТР нефть'!$J$28:$BP$638,54,0),"-")=0,"-",IFERROR(VLOOKUP(J341,'[63]ТР нефть'!$J$28:$BP$638,54,0),"-"))</f>
        <v>-</v>
      </c>
      <c r="BL341" s="138" t="str">
        <f>IF(IFERROR(VLOOKUP(J341,'[63]ТР нефть'!$J$28:$BP$638,55,0),"-")=0,"-",IFERROR(VLOOKUP(J341,'[63]ТР нефть'!$J$28:$BP$638,55,0),"-"))</f>
        <v>-</v>
      </c>
      <c r="BM341" s="138" t="str">
        <f>IF(IFERROR(VLOOKUP(J341,'[63]ТР нефть'!$J$28:$BP$638,56,0),"-")=0,"-",IFERROR(VLOOKUP(J341,'[63]ТР нефть'!$J$28:$BP$638,56,0),"-"))</f>
        <v>-</v>
      </c>
      <c r="BN341" s="138" t="str">
        <f>IF(IFERROR(VLOOKUP(J341,'[63]ТР нефть'!$J$28:$BP$638,57,0),"-")=0,"-",IFERROR(VLOOKUP(J341,'[63]ТР нефть'!$J$28:$BP$638,57,0),"-"))</f>
        <v>-</v>
      </c>
      <c r="BO341" s="115" t="str">
        <f>IF(IFERROR(VLOOKUP(J341,'[63]ТР нефть'!$J$28:$BP$638,58,0),"-")=0,"-",IFERROR(VLOOKUP(J341,'[63]ТР нефть'!$J$28:$BP$638,58,0),"-"))</f>
        <v>-</v>
      </c>
      <c r="BP341" s="115" t="str">
        <f>IF(IFERROR(VLOOKUP(J341,'[63]ТР нефть'!$J$28:$BP$638,59,0),"-")=0,"-",IFERROR(VLOOKUP(J341,'[63]ТР нефть'!$J$28:$BP$638,59,0),"-"))</f>
        <v>-</v>
      </c>
      <c r="BQ341" s="138">
        <v>2350</v>
      </c>
      <c r="BR341" s="128">
        <v>1892</v>
      </c>
      <c r="BS341" s="115">
        <f t="shared" si="258"/>
        <v>458</v>
      </c>
      <c r="BT341" s="128">
        <v>73</v>
      </c>
      <c r="BU341" s="128">
        <v>5.5</v>
      </c>
      <c r="BV341" s="127">
        <v>18</v>
      </c>
      <c r="BW341" s="127" t="s">
        <v>234</v>
      </c>
      <c r="BX341" s="127" t="s">
        <v>195</v>
      </c>
      <c r="BY341" s="139">
        <v>24</v>
      </c>
      <c r="BZ341" s="139">
        <v>0</v>
      </c>
      <c r="CA341" s="138">
        <v>17</v>
      </c>
      <c r="CB341" s="138">
        <v>64</v>
      </c>
      <c r="CC341" s="138">
        <v>16</v>
      </c>
      <c r="CD341" s="135">
        <v>45017</v>
      </c>
      <c r="CE341" s="138">
        <v>102</v>
      </c>
      <c r="CF341" s="138">
        <v>74</v>
      </c>
      <c r="CG341" s="138" t="str">
        <f t="shared" si="265"/>
        <v>В работе</v>
      </c>
      <c r="CH341" s="138" t="s">
        <v>235</v>
      </c>
      <c r="CI341" s="127">
        <v>6</v>
      </c>
      <c r="CJ341" s="138"/>
      <c r="CK341" s="138"/>
      <c r="CL341" s="99"/>
      <c r="CM341" s="99"/>
      <c r="CN341" s="140">
        <v>58</v>
      </c>
      <c r="CO341" s="141">
        <f t="shared" si="216"/>
        <v>6.6044</v>
      </c>
      <c r="CP341" s="142">
        <v>7.9</v>
      </c>
      <c r="CQ341" s="143">
        <v>0</v>
      </c>
      <c r="CR341" s="138">
        <v>10</v>
      </c>
      <c r="CS341" s="139">
        <v>8.4</v>
      </c>
      <c r="CT341" s="138"/>
      <c r="CU341" s="138">
        <f t="shared" si="259"/>
        <v>1.5999999999999996</v>
      </c>
      <c r="CV341" s="115">
        <f>(CR341-CS341)*1000/CO341</f>
        <v>242.26273393495239</v>
      </c>
      <c r="CW341" s="115">
        <f t="shared" si="217"/>
        <v>1271.8793531585004</v>
      </c>
      <c r="CX341" s="133">
        <f t="shared" si="261"/>
        <v>0.17954545454545456</v>
      </c>
      <c r="CY341" s="116"/>
      <c r="CZ341" s="131"/>
      <c r="DA341" s="145" t="str">
        <f t="shared" si="218"/>
        <v>Газлифт</v>
      </c>
      <c r="DB341" s="146">
        <f t="shared" si="219"/>
        <v>6.6044</v>
      </c>
      <c r="DC341" s="142">
        <f t="shared" si="234"/>
        <v>7.9</v>
      </c>
      <c r="DD341" s="119">
        <f t="shared" si="250"/>
        <v>0</v>
      </c>
      <c r="DE341" s="115">
        <f t="shared" si="220"/>
        <v>1.5999999999999996</v>
      </c>
      <c r="DF341" s="121">
        <f t="shared" si="221"/>
        <v>8.4</v>
      </c>
      <c r="DG341" s="115">
        <f t="shared" si="222"/>
        <v>242.26273393495239</v>
      </c>
      <c r="DH341" s="115">
        <f t="shared" si="223"/>
        <v>58</v>
      </c>
      <c r="DI341" s="147"/>
      <c r="DJ341" s="111">
        <v>43694</v>
      </c>
      <c r="DK341" s="112">
        <v>43375</v>
      </c>
      <c r="DL341" s="113">
        <f t="shared" ca="1" si="266"/>
        <v>1729</v>
      </c>
      <c r="DM341" s="114"/>
      <c r="DN341" s="114"/>
      <c r="DO341" s="114"/>
      <c r="DP341" s="114"/>
      <c r="DQ341" s="112">
        <v>43375</v>
      </c>
      <c r="DR341" s="114" t="s">
        <v>324</v>
      </c>
      <c r="DS341" s="114"/>
      <c r="DT341" s="115">
        <v>56</v>
      </c>
      <c r="DU341" s="116">
        <f t="shared" si="267"/>
        <v>0.17760965449644692</v>
      </c>
      <c r="DV341" s="117">
        <f t="shared" si="268"/>
        <v>6.8301568733153619</v>
      </c>
      <c r="DW341" s="118">
        <f t="shared" si="269"/>
        <v>8.1700441068365581</v>
      </c>
      <c r="DX341" s="119">
        <f t="shared" si="224"/>
        <v>0</v>
      </c>
      <c r="DY341" s="115">
        <f t="shared" si="270"/>
        <v>1.6546924773339859</v>
      </c>
      <c r="DZ341" s="117">
        <f t="shared" si="271"/>
        <v>0.22575687331536187</v>
      </c>
      <c r="EA341" s="120">
        <f t="shared" si="271"/>
        <v>0.27004410683655777</v>
      </c>
      <c r="EB341" s="119">
        <f t="shared" si="264"/>
        <v>0</v>
      </c>
      <c r="EC341" s="121">
        <f t="shared" si="272"/>
        <v>5.46924773339863E-2</v>
      </c>
      <c r="ED341" s="122"/>
      <c r="EE341" s="145">
        <v>18</v>
      </c>
      <c r="EF341" s="115">
        <v>17</v>
      </c>
      <c r="EG341" s="115">
        <v>64</v>
      </c>
      <c r="EH341" s="115">
        <v>16</v>
      </c>
      <c r="EI341" s="128" t="s">
        <v>195</v>
      </c>
      <c r="EJ341" s="121">
        <v>24</v>
      </c>
      <c r="EK341" s="121">
        <v>0</v>
      </c>
      <c r="EL341" s="149">
        <v>6.6044</v>
      </c>
      <c r="EM341" s="142">
        <v>7.9</v>
      </c>
      <c r="EN341" s="119">
        <v>0</v>
      </c>
      <c r="EO341" s="115">
        <v>10</v>
      </c>
      <c r="EP341" s="115">
        <v>242.26273393495239</v>
      </c>
      <c r="EQ341" s="115">
        <v>74</v>
      </c>
      <c r="ER341" s="115">
        <v>8.4</v>
      </c>
      <c r="ES341" s="115">
        <v>58</v>
      </c>
      <c r="ET341" s="150">
        <v>0.17954545454545456</v>
      </c>
      <c r="EU341" s="145">
        <f t="shared" si="225"/>
        <v>18</v>
      </c>
      <c r="EV341" s="115">
        <f t="shared" si="226"/>
        <v>17</v>
      </c>
      <c r="EW341" s="115">
        <f t="shared" si="226"/>
        <v>64</v>
      </c>
      <c r="EX341" s="115">
        <f t="shared" si="226"/>
        <v>16</v>
      </c>
      <c r="EY341" s="115" t="str">
        <f t="shared" si="253"/>
        <v>Постоянный</v>
      </c>
      <c r="EZ341" s="115">
        <f t="shared" si="253"/>
        <v>24</v>
      </c>
      <c r="FA341" s="115">
        <f t="shared" si="253"/>
        <v>0</v>
      </c>
      <c r="FB341" s="149">
        <f t="shared" si="238"/>
        <v>6.6044</v>
      </c>
      <c r="FC341" s="142">
        <f t="shared" si="238"/>
        <v>7.9</v>
      </c>
      <c r="FD341" s="119">
        <f t="shared" si="238"/>
        <v>0</v>
      </c>
      <c r="FE341" s="121">
        <f t="shared" si="238"/>
        <v>10</v>
      </c>
      <c r="FF341" s="121">
        <f>CV341</f>
        <v>242.26273393495239</v>
      </c>
      <c r="FG341" s="121">
        <f t="shared" si="227"/>
        <v>74</v>
      </c>
      <c r="FH341" s="121">
        <f t="shared" si="248"/>
        <v>8.4</v>
      </c>
      <c r="FI341" s="121">
        <f t="shared" si="252"/>
        <v>58</v>
      </c>
      <c r="FJ341" s="144">
        <f t="shared" si="228"/>
        <v>0.17954545454545456</v>
      </c>
      <c r="FK341" s="132">
        <f t="shared" si="229"/>
        <v>0</v>
      </c>
      <c r="FL341" s="115">
        <f t="shared" si="229"/>
        <v>0</v>
      </c>
      <c r="FM341" s="115">
        <f t="shared" si="229"/>
        <v>0</v>
      </c>
      <c r="FN341" s="115">
        <f t="shared" si="229"/>
        <v>0</v>
      </c>
      <c r="FO341" s="115">
        <f t="shared" si="257"/>
        <v>0</v>
      </c>
      <c r="FP341" s="115">
        <f t="shared" si="257"/>
        <v>0</v>
      </c>
      <c r="FQ341" s="149">
        <f t="shared" si="257"/>
        <v>0</v>
      </c>
      <c r="FR341" s="142">
        <f t="shared" si="256"/>
        <v>0</v>
      </c>
      <c r="FS341" s="119">
        <f t="shared" si="256"/>
        <v>0</v>
      </c>
      <c r="FT341" s="121">
        <f t="shared" si="256"/>
        <v>0</v>
      </c>
      <c r="FU341" s="121">
        <f t="shared" si="230"/>
        <v>0</v>
      </c>
      <c r="FV341" s="121">
        <f t="shared" si="230"/>
        <v>0</v>
      </c>
      <c r="FW341" s="121">
        <f t="shared" si="231"/>
        <v>0</v>
      </c>
      <c r="FX341" s="121">
        <f t="shared" si="233"/>
        <v>0</v>
      </c>
      <c r="FY341" s="144">
        <f t="shared" si="214"/>
        <v>0</v>
      </c>
      <c r="FZ341" s="145"/>
      <c r="GA341" s="151" t="s">
        <v>387</v>
      </c>
      <c r="GB341" s="145"/>
      <c r="GC341" s="151" t="s">
        <v>1409</v>
      </c>
      <c r="GD341" s="997" t="s">
        <v>238</v>
      </c>
      <c r="GE341" s="1004"/>
      <c r="GF341" s="1004">
        <v>0</v>
      </c>
      <c r="GG341" s="1004"/>
      <c r="GH341" s="1004">
        <v>0</v>
      </c>
      <c r="GI341" s="145"/>
      <c r="GJ341" s="996">
        <v>-0.35346982879999889</v>
      </c>
      <c r="GK341" s="145"/>
      <c r="GL341" s="996">
        <v>0</v>
      </c>
      <c r="GM341" s="1005"/>
      <c r="GN341" s="996">
        <v>0</v>
      </c>
      <c r="GO341" s="1006"/>
      <c r="GP341" s="996">
        <v>0</v>
      </c>
      <c r="GQ341" s="1006" t="s">
        <v>204</v>
      </c>
      <c r="GR341" s="996">
        <v>-5.5279573712000003</v>
      </c>
      <c r="GS341" s="1006"/>
      <c r="GT341" s="996">
        <v>0</v>
      </c>
      <c r="GU341" s="1006"/>
      <c r="GV341" s="996">
        <v>0</v>
      </c>
      <c r="GW341" s="1006" t="s">
        <v>204</v>
      </c>
      <c r="GX341" s="1049">
        <v>-2.3113727999999991</v>
      </c>
      <c r="GY341" s="1006"/>
      <c r="GZ341" s="996">
        <v>0</v>
      </c>
      <c r="HA341" s="1006"/>
      <c r="HB341" s="996">
        <v>0</v>
      </c>
      <c r="HC341" s="1006" t="s">
        <v>363</v>
      </c>
      <c r="HD341" s="996">
        <v>6.3410934399999981</v>
      </c>
      <c r="HE341" s="1006"/>
      <c r="HF341" s="996">
        <v>0</v>
      </c>
      <c r="HG341" s="1006"/>
      <c r="HH341" s="996">
        <v>0</v>
      </c>
      <c r="HI341" s="1006"/>
      <c r="HJ341" s="996">
        <v>0</v>
      </c>
      <c r="HK341" s="1006"/>
      <c r="HL341" s="996">
        <v>0</v>
      </c>
      <c r="HM341" s="1006" t="s">
        <v>204</v>
      </c>
      <c r="HN341" s="996">
        <v>5.2793065600000002</v>
      </c>
      <c r="HO341" s="1006"/>
      <c r="HP341" s="996">
        <v>0</v>
      </c>
      <c r="HQ341" s="1006"/>
      <c r="HR341" s="996">
        <v>0</v>
      </c>
      <c r="HS341" s="1006"/>
      <c r="HT341" s="996">
        <v>0</v>
      </c>
      <c r="HU341" s="1006"/>
      <c r="HV341" s="996">
        <v>0</v>
      </c>
      <c r="HW341" s="1006"/>
      <c r="HX341" s="996">
        <v>0</v>
      </c>
      <c r="HY341" s="1006"/>
      <c r="HZ341" s="996">
        <v>0</v>
      </c>
      <c r="IA341" s="1006"/>
      <c r="IB341" s="996">
        <v>-0.58520000000000039</v>
      </c>
      <c r="IC341" s="1006"/>
      <c r="ID341" s="996">
        <v>-0.33440000000000003</v>
      </c>
      <c r="IE341" s="1006"/>
      <c r="IF341" s="996">
        <v>0.8360000000000003</v>
      </c>
      <c r="IG341" s="1006"/>
      <c r="IH341" s="996">
        <v>-0.75239999999999974</v>
      </c>
      <c r="II341" s="1006"/>
      <c r="IJ341" s="996">
        <v>0</v>
      </c>
      <c r="IK341" s="1006"/>
      <c r="IL341" s="996">
        <v>0</v>
      </c>
      <c r="IM341" s="1006"/>
      <c r="IN341" s="996">
        <v>-0.58520000000000039</v>
      </c>
      <c r="IO341" s="1006"/>
      <c r="IP341" s="996">
        <v>-0.91959999999999997</v>
      </c>
      <c r="IQ341" s="1006"/>
      <c r="IR341" s="996">
        <v>0.26484480000000055</v>
      </c>
      <c r="IS341" s="1006" t="s">
        <v>199</v>
      </c>
      <c r="IT341" s="996">
        <v>2.0412611999999997</v>
      </c>
      <c r="IU341" s="1006" t="s">
        <v>199</v>
      </c>
      <c r="IV341" s="996">
        <v>-2.0866560000000001</v>
      </c>
      <c r="IW341" s="1006"/>
      <c r="IX341" s="996">
        <v>0</v>
      </c>
      <c r="IY341" s="1006"/>
      <c r="IZ341" s="996">
        <v>-0.68217600000000012</v>
      </c>
      <c r="JA341" s="1006"/>
      <c r="JB341" s="996">
        <v>0.59648599999999963</v>
      </c>
      <c r="JC341" s="1006"/>
      <c r="JD341" s="996">
        <v>0</v>
      </c>
      <c r="JE341" s="1006"/>
      <c r="JF341" s="996">
        <v>0</v>
      </c>
      <c r="JG341" s="1006" t="s">
        <v>223</v>
      </c>
      <c r="JH341" s="996">
        <v>-2.6996947999999987</v>
      </c>
      <c r="JI341" s="1006"/>
      <c r="JJ341" s="996">
        <v>0</v>
      </c>
      <c r="JK341" s="1007"/>
      <c r="JL341" s="1007">
        <v>0</v>
      </c>
      <c r="JM341" s="1007" t="s">
        <v>203</v>
      </c>
      <c r="JN341" s="1007">
        <v>1.6797747999999988</v>
      </c>
      <c r="JO341" s="1008"/>
      <c r="JP341" s="1007">
        <v>1.2205599999999999</v>
      </c>
      <c r="JQ341" s="1008">
        <v>0</v>
      </c>
      <c r="JR341" s="1007">
        <v>0</v>
      </c>
      <c r="JS341" s="1008" t="s">
        <v>223</v>
      </c>
      <c r="JT341" s="1007">
        <v>-4.6398000000000001</v>
      </c>
      <c r="JU341" s="1008"/>
      <c r="JV341" s="1007">
        <v>0</v>
      </c>
      <c r="JW341" s="1008" t="s">
        <v>223</v>
      </c>
      <c r="JX341" s="1007">
        <v>-5.3437119999999982</v>
      </c>
      <c r="JY341" s="1008" t="s">
        <v>240</v>
      </c>
      <c r="JZ341" s="1007">
        <v>-10.331287999999999</v>
      </c>
      <c r="KA341" s="1008"/>
      <c r="KB341" s="1007">
        <v>0</v>
      </c>
      <c r="KC341" s="1008" t="s">
        <v>240</v>
      </c>
      <c r="KD341" s="1007">
        <v>-3.7954399999999993</v>
      </c>
      <c r="KE341" s="1008"/>
      <c r="KF341" s="1007">
        <v>0</v>
      </c>
      <c r="KG341" s="1008"/>
      <c r="KH341" s="1007">
        <v>0</v>
      </c>
      <c r="KI341" s="1008"/>
      <c r="KJ341" s="1007">
        <v>0</v>
      </c>
      <c r="KK341" s="1008" t="s">
        <v>25</v>
      </c>
      <c r="KL341" s="1007">
        <v>29.293439999999997</v>
      </c>
      <c r="KM341" s="1008"/>
      <c r="KN341" s="1007">
        <v>0</v>
      </c>
      <c r="KO341" s="1008"/>
      <c r="KP341" s="1007"/>
      <c r="KQ341" s="1008">
        <v>0</v>
      </c>
      <c r="KR341" s="1007">
        <v>0</v>
      </c>
      <c r="KS341" s="1008">
        <v>0</v>
      </c>
      <c r="KT341" s="1007">
        <v>0</v>
      </c>
      <c r="KU341" s="1008">
        <v>0</v>
      </c>
      <c r="KV341" s="1007">
        <v>0</v>
      </c>
      <c r="KW341" s="1008">
        <v>0</v>
      </c>
      <c r="KX341" s="1007">
        <v>0</v>
      </c>
      <c r="KY341" s="1008">
        <v>0</v>
      </c>
      <c r="KZ341" s="1007">
        <v>0</v>
      </c>
      <c r="LA341" s="1008">
        <v>0</v>
      </c>
      <c r="LB341" s="1007">
        <v>0</v>
      </c>
      <c r="LC341" s="1008">
        <v>0</v>
      </c>
      <c r="LD341" s="1007">
        <v>0</v>
      </c>
      <c r="LE341" s="1008">
        <v>0</v>
      </c>
      <c r="LF341" s="1007">
        <v>0</v>
      </c>
      <c r="LG341" s="1008">
        <v>0</v>
      </c>
      <c r="LH341" s="1007">
        <v>0</v>
      </c>
      <c r="LI341" s="1008">
        <v>0</v>
      </c>
      <c r="LJ341" s="1007">
        <v>0</v>
      </c>
      <c r="LK341" s="1008">
        <v>0</v>
      </c>
      <c r="LL341" s="1007">
        <v>0</v>
      </c>
      <c r="LM341" s="1008">
        <v>0</v>
      </c>
      <c r="LN341" s="1007">
        <v>0</v>
      </c>
      <c r="LO341" s="1008">
        <v>0</v>
      </c>
      <c r="LP341" s="1007">
        <v>0</v>
      </c>
      <c r="LQ341" s="1008">
        <v>0</v>
      </c>
      <c r="LR341" s="1007">
        <v>0</v>
      </c>
      <c r="LS341" s="1008">
        <v>0</v>
      </c>
      <c r="LT341" s="1007">
        <v>0</v>
      </c>
      <c r="LU341" s="1008">
        <v>0</v>
      </c>
      <c r="LV341" s="1007">
        <v>0</v>
      </c>
      <c r="LW341" s="1008">
        <v>0</v>
      </c>
      <c r="LX341" s="1007">
        <v>0</v>
      </c>
      <c r="LY341" s="1009">
        <v>0</v>
      </c>
      <c r="LZ341" s="1010">
        <v>0</v>
      </c>
      <c r="MA341" s="1011">
        <v>0</v>
      </c>
      <c r="MB341" s="1012">
        <v>0</v>
      </c>
      <c r="MC341" s="995"/>
      <c r="MD341" s="996"/>
      <c r="ME341" s="997" t="s">
        <v>238</v>
      </c>
      <c r="MF341" s="997"/>
      <c r="MG341" s="998"/>
      <c r="NR341" s="1000"/>
      <c r="NS341" s="1000"/>
      <c r="NT341" s="1001"/>
      <c r="NU341" s="1000"/>
      <c r="NV341" s="1001"/>
      <c r="NX341" s="1002"/>
      <c r="NZ341" s="1001"/>
      <c r="OA341" s="1001"/>
      <c r="OC341" s="1003"/>
      <c r="OD341" s="1003"/>
      <c r="OE341" s="1001"/>
      <c r="OF341" s="1003"/>
      <c r="OG341" s="1003"/>
      <c r="OH341" s="1003"/>
      <c r="OI341" s="1016"/>
      <c r="QX341" s="1000">
        <f t="shared" si="262"/>
        <v>41</v>
      </c>
      <c r="ASU341" s="999" t="s">
        <v>208</v>
      </c>
    </row>
    <row r="342" spans="1:466 1191:1191" ht="21" customHeight="1" x14ac:dyDescent="0.25">
      <c r="A342" s="982">
        <f t="shared" si="215"/>
        <v>1363</v>
      </c>
      <c r="B342" s="124">
        <f>SUBTOTAL(103,$J$29:J342)</f>
        <v>314</v>
      </c>
      <c r="C342" s="126">
        <v>45068</v>
      </c>
      <c r="D342" s="124" t="s">
        <v>176</v>
      </c>
      <c r="E342" s="127" t="s">
        <v>177</v>
      </c>
      <c r="F342" s="128" t="s">
        <v>177</v>
      </c>
      <c r="G342" s="127" t="s">
        <v>178</v>
      </c>
      <c r="H342" s="127" t="s">
        <v>179</v>
      </c>
      <c r="I342" s="127" t="s">
        <v>1417</v>
      </c>
      <c r="J342" s="152">
        <v>1363</v>
      </c>
      <c r="K342" s="127" t="s">
        <v>1417</v>
      </c>
      <c r="L342" s="130">
        <v>44058</v>
      </c>
      <c r="M342" s="127" t="s">
        <v>230</v>
      </c>
      <c r="N342" s="127" t="s">
        <v>184</v>
      </c>
      <c r="O342" s="127" t="s">
        <v>185</v>
      </c>
      <c r="P342" s="127" t="s">
        <v>186</v>
      </c>
      <c r="Q342" s="85" t="str">
        <f t="shared" si="249"/>
        <v/>
      </c>
      <c r="R342" s="130"/>
      <c r="S342" s="128"/>
      <c r="T342" s="131"/>
      <c r="U342" s="132">
        <v>203</v>
      </c>
      <c r="V342" s="121">
        <v>218.2</v>
      </c>
      <c r="W342" s="116">
        <v>0.98</v>
      </c>
      <c r="X342" s="116">
        <v>1.66</v>
      </c>
      <c r="Y342" s="116">
        <f t="shared" si="239"/>
        <v>0.98</v>
      </c>
      <c r="Z342" s="133">
        <v>1.454</v>
      </c>
      <c r="AA342" s="133">
        <v>0.83599999999999997</v>
      </c>
      <c r="AB342" s="133">
        <v>0.72</v>
      </c>
      <c r="AC342" s="121">
        <v>34.299999999999997</v>
      </c>
      <c r="AD342" s="134">
        <v>1.17</v>
      </c>
      <c r="AE342" s="124">
        <v>177.8</v>
      </c>
      <c r="AF342" s="128">
        <v>9.19</v>
      </c>
      <c r="AG342" s="128">
        <v>2087</v>
      </c>
      <c r="AH342" s="127">
        <v>2752</v>
      </c>
      <c r="AI342" s="127">
        <v>2752</v>
      </c>
      <c r="AJ342" s="135"/>
      <c r="AK342" s="128"/>
      <c r="AL342" s="131"/>
      <c r="AM342" s="124" t="s">
        <v>232</v>
      </c>
      <c r="AN342" s="136" t="s">
        <v>1418</v>
      </c>
      <c r="AO342" s="137">
        <v>203.3</v>
      </c>
      <c r="AP342" s="128">
        <v>2087</v>
      </c>
      <c r="AQ342" s="128">
        <v>1810.17</v>
      </c>
      <c r="AR342" s="128"/>
      <c r="AS342" s="128"/>
      <c r="AT342" s="122"/>
      <c r="AU342" s="124" t="s">
        <v>189</v>
      </c>
      <c r="AV342" s="115">
        <f>VLOOKUP(J342,'[63]ТР нефть'!$J$28:$BP$638,39,0)</f>
        <v>455.999998828</v>
      </c>
      <c r="AW342" s="115" t="str">
        <f>VLOOKUP(J342,'[63]ТР нефть'!$J$28:$BP$638,40,0)</f>
        <v>ГП</v>
      </c>
      <c r="AX342" s="115">
        <f>VLOOKUP(J342,'[63]ТР нефть'!$J$28:$BP$638,41,0)</f>
        <v>861.00002226599997</v>
      </c>
      <c r="AY342" s="115" t="str">
        <f>VLOOKUP(J342,'[63]ТР нефть'!$J$28:$BP$638,42,0)</f>
        <v>ГП</v>
      </c>
      <c r="AZ342" s="115">
        <f>VLOOKUP(J342,'[63]ТР нефть'!$J$28:$BP$638,43,0)</f>
        <v>1195.000025977</v>
      </c>
      <c r="BA342" s="115" t="str">
        <f>VLOOKUP(J342,'[63]ТР нефть'!$J$28:$BP$638,44,0)</f>
        <v>ГП</v>
      </c>
      <c r="BB342" s="115">
        <f>VLOOKUP(J342,'[63]ТР нефть'!$J$28:$BP$638,45,0)</f>
        <v>1459.000060547</v>
      </c>
      <c r="BC342" s="115" t="str">
        <f>VLOOKUP(J342,'[63]ТР нефть'!$J$28:$BP$638,46,0)</f>
        <v>ГК76 1/8</v>
      </c>
      <c r="BD342" s="115">
        <f>VLOOKUP(J342,'[63]ТР нефть'!$J$28:$BP$638,47,0)</f>
        <v>1667.9999917969999</v>
      </c>
      <c r="BE342" s="115" t="str">
        <f>VLOOKUP(J342,'[63]ТР нефть'!$J$28:$BP$638,48,0)</f>
        <v>ГК75 1/8</v>
      </c>
      <c r="BF342" s="115" t="str">
        <f>VLOOKUP(J342,'[63]ТР нефть'!$J$28:$BP$638,49,0)</f>
        <v>-</v>
      </c>
      <c r="BG342" s="115" t="str">
        <f>VLOOKUP(J342,'[63]ТР нефть'!$J$28:$BP$638,50,0)</f>
        <v>-</v>
      </c>
      <c r="BH342" s="115">
        <f>VLOOKUP(J342,'[63]ТР нефть'!$J$28:$BP$638,51,0)</f>
        <v>1840</v>
      </c>
      <c r="BI342" s="115" t="str">
        <f>VLOOKUP(J342,'[63]ТР нефть'!$J$28:$BP$638,52,0)</f>
        <v>закрыт</v>
      </c>
      <c r="BJ342" s="115" t="str">
        <f>IF(IFERROR(VLOOKUP(J342,'[63]ТР нефть'!$J$28:$BP$638,53,0),"-")=0,"-",IFERROR(VLOOKUP(J342,'[63]ТР нефть'!$J$28:$BP$638,53,0),"-"))</f>
        <v>-</v>
      </c>
      <c r="BK342" s="138" t="str">
        <f>IF(IFERROR(VLOOKUP(J342,'[63]ТР нефть'!$J$28:$BP$638,54,0),"-")=0,"-",IFERROR(VLOOKUP(J342,'[63]ТР нефть'!$J$28:$BP$638,54,0),"-"))</f>
        <v>-</v>
      </c>
      <c r="BL342" s="138" t="str">
        <f>IF(IFERROR(VLOOKUP(J342,'[63]ТР нефть'!$J$28:$BP$638,55,0),"-")=0,"-",IFERROR(VLOOKUP(J342,'[63]ТР нефть'!$J$28:$BP$638,55,0),"-"))</f>
        <v>-</v>
      </c>
      <c r="BM342" s="138" t="str">
        <f>IF(IFERROR(VLOOKUP(J342,'[63]ТР нефть'!$J$28:$BP$638,56,0),"-")=0,"-",IFERROR(VLOOKUP(J342,'[63]ТР нефть'!$J$28:$BP$638,56,0),"-"))</f>
        <v>-</v>
      </c>
      <c r="BN342" s="138" t="str">
        <f>IF(IFERROR(VLOOKUP(J342,'[63]ТР нефть'!$J$28:$BP$638,57,0),"-")=0,"-",IFERROR(VLOOKUP(J342,'[63]ТР нефть'!$J$28:$BP$638,57,0),"-"))</f>
        <v>-</v>
      </c>
      <c r="BO342" s="115" t="str">
        <f>IF(IFERROR(VLOOKUP(J342,'[63]ТР нефть'!$J$28:$BP$638,58,0),"-")=0,"-",IFERROR(VLOOKUP(J342,'[63]ТР нефть'!$J$28:$BP$638,58,0),"-"))</f>
        <v>-</v>
      </c>
      <c r="BP342" s="115" t="str">
        <f>IF(IFERROR(VLOOKUP(J342,'[63]ТР нефть'!$J$28:$BP$638,59,0),"-")=0,"-",IFERROR(VLOOKUP(J342,'[63]ТР нефть'!$J$28:$BP$638,59,0),"-"))</f>
        <v>-</v>
      </c>
      <c r="BQ342" s="138">
        <v>2137</v>
      </c>
      <c r="BR342" s="128">
        <f>1679.78+148.9</f>
        <v>1828.68</v>
      </c>
      <c r="BS342" s="115">
        <f t="shared" si="258"/>
        <v>308.31999999999994</v>
      </c>
      <c r="BT342" s="128">
        <v>73</v>
      </c>
      <c r="BU342" s="128">
        <v>5.5</v>
      </c>
      <c r="BV342" s="127">
        <v>65</v>
      </c>
      <c r="BW342" s="127" t="s">
        <v>217</v>
      </c>
      <c r="BX342" s="127" t="s">
        <v>195</v>
      </c>
      <c r="BY342" s="139">
        <v>24</v>
      </c>
      <c r="BZ342" s="139">
        <v>0</v>
      </c>
      <c r="CA342" s="138">
        <v>29</v>
      </c>
      <c r="CB342" s="138">
        <v>48</v>
      </c>
      <c r="CC342" s="138">
        <v>25</v>
      </c>
      <c r="CD342" s="135">
        <v>45017</v>
      </c>
      <c r="CE342" s="138">
        <v>111</v>
      </c>
      <c r="CF342" s="138">
        <v>58</v>
      </c>
      <c r="CG342" s="138" t="str">
        <f t="shared" si="265"/>
        <v>В работе</v>
      </c>
      <c r="CH342" s="138" t="s">
        <v>235</v>
      </c>
      <c r="CI342" s="127">
        <v>5</v>
      </c>
      <c r="CJ342" s="138"/>
      <c r="CK342" s="138">
        <f t="shared" si="255"/>
        <v>29</v>
      </c>
      <c r="CL342" s="99"/>
      <c r="CM342" s="99"/>
      <c r="CN342" s="140">
        <v>58</v>
      </c>
      <c r="CO342" s="141">
        <f t="shared" si="216"/>
        <v>6.6879999999999997</v>
      </c>
      <c r="CP342" s="142">
        <v>8</v>
      </c>
      <c r="CQ342" s="143">
        <v>0</v>
      </c>
      <c r="CR342" s="138">
        <v>12</v>
      </c>
      <c r="CS342" s="139">
        <v>10</v>
      </c>
      <c r="CT342" s="138"/>
      <c r="CU342" s="138">
        <f t="shared" si="259"/>
        <v>2</v>
      </c>
      <c r="CV342" s="115">
        <f t="shared" si="260"/>
        <v>299.04306220095697</v>
      </c>
      <c r="CW342" s="115">
        <f t="shared" si="217"/>
        <v>1495.2153110047848</v>
      </c>
      <c r="CX342" s="133">
        <f t="shared" si="261"/>
        <v>0.15094339622641509</v>
      </c>
      <c r="CY342" s="116"/>
      <c r="CZ342" s="131"/>
      <c r="DA342" s="145" t="str">
        <f t="shared" si="218"/>
        <v>Газлифт</v>
      </c>
      <c r="DB342" s="146">
        <f t="shared" si="219"/>
        <v>6.6879999999999997</v>
      </c>
      <c r="DC342" s="142">
        <f t="shared" si="234"/>
        <v>8</v>
      </c>
      <c r="DD342" s="119">
        <f t="shared" si="250"/>
        <v>0</v>
      </c>
      <c r="DE342" s="115">
        <f t="shared" si="220"/>
        <v>2</v>
      </c>
      <c r="DF342" s="121">
        <f t="shared" si="221"/>
        <v>10</v>
      </c>
      <c r="DG342" s="115">
        <f t="shared" si="222"/>
        <v>299.04306220095697</v>
      </c>
      <c r="DH342" s="115">
        <f t="shared" si="223"/>
        <v>58</v>
      </c>
      <c r="DI342" s="147"/>
      <c r="DJ342" s="111"/>
      <c r="DK342" s="112">
        <v>44058</v>
      </c>
      <c r="DL342" s="113">
        <f t="shared" ca="1" si="266"/>
        <v>1046</v>
      </c>
      <c r="DM342" s="114"/>
      <c r="DN342" s="114"/>
      <c r="DO342" s="114"/>
      <c r="DP342" s="114"/>
      <c r="DQ342" s="112"/>
      <c r="DR342" s="114"/>
      <c r="DS342" s="114"/>
      <c r="DT342" s="115">
        <v>60</v>
      </c>
      <c r="DU342" s="116">
        <f t="shared" si="267"/>
        <v>0.15686274509803921</v>
      </c>
      <c r="DV342" s="117">
        <f t="shared" si="268"/>
        <v>6.6879999999999997</v>
      </c>
      <c r="DW342" s="118">
        <f t="shared" si="269"/>
        <v>8</v>
      </c>
      <c r="DX342" s="119">
        <f t="shared" si="224"/>
        <v>0</v>
      </c>
      <c r="DY342" s="115">
        <f t="shared" si="270"/>
        <v>2.0000000000000004</v>
      </c>
      <c r="DZ342" s="117">
        <f t="shared" si="271"/>
        <v>0</v>
      </c>
      <c r="EA342" s="120">
        <f t="shared" si="271"/>
        <v>0</v>
      </c>
      <c r="EB342" s="119">
        <f t="shared" si="264"/>
        <v>0</v>
      </c>
      <c r="EC342" s="121">
        <f t="shared" si="272"/>
        <v>0</v>
      </c>
      <c r="ED342" s="122"/>
      <c r="EE342" s="145">
        <v>65</v>
      </c>
      <c r="EF342" s="115">
        <v>26</v>
      </c>
      <c r="EG342" s="115">
        <v>48</v>
      </c>
      <c r="EH342" s="115">
        <v>25</v>
      </c>
      <c r="EI342" s="128" t="s">
        <v>195</v>
      </c>
      <c r="EJ342" s="121">
        <v>24</v>
      </c>
      <c r="EK342" s="121">
        <v>0</v>
      </c>
      <c r="EL342" s="149">
        <v>6.4371999999999998</v>
      </c>
      <c r="EM342" s="142">
        <v>7.7</v>
      </c>
      <c r="EN342" s="119">
        <v>0</v>
      </c>
      <c r="EO342" s="115">
        <v>12.4</v>
      </c>
      <c r="EP342" s="115">
        <v>217.48586341887784</v>
      </c>
      <c r="EQ342" s="115">
        <v>66</v>
      </c>
      <c r="ER342" s="115">
        <v>11</v>
      </c>
      <c r="ES342" s="115">
        <v>58</v>
      </c>
      <c r="ET342" s="150">
        <v>0.14528301886792452</v>
      </c>
      <c r="EU342" s="145">
        <f t="shared" si="225"/>
        <v>65</v>
      </c>
      <c r="EV342" s="115">
        <f t="shared" si="226"/>
        <v>29</v>
      </c>
      <c r="EW342" s="115">
        <f t="shared" si="226"/>
        <v>48</v>
      </c>
      <c r="EX342" s="115">
        <f t="shared" si="226"/>
        <v>25</v>
      </c>
      <c r="EY342" s="115" t="str">
        <f t="shared" si="253"/>
        <v>Постоянный</v>
      </c>
      <c r="EZ342" s="115">
        <f t="shared" si="253"/>
        <v>24</v>
      </c>
      <c r="FA342" s="115">
        <f t="shared" si="253"/>
        <v>0</v>
      </c>
      <c r="FB342" s="149">
        <f t="shared" si="238"/>
        <v>6.6879999999999997</v>
      </c>
      <c r="FC342" s="142">
        <f t="shared" si="238"/>
        <v>8</v>
      </c>
      <c r="FD342" s="119">
        <f t="shared" si="238"/>
        <v>0</v>
      </c>
      <c r="FE342" s="121">
        <f t="shared" si="238"/>
        <v>12</v>
      </c>
      <c r="FF342" s="121">
        <f t="shared" si="247"/>
        <v>299.04306220095697</v>
      </c>
      <c r="FG342" s="121">
        <f t="shared" si="227"/>
        <v>58</v>
      </c>
      <c r="FH342" s="121">
        <f t="shared" si="248"/>
        <v>10</v>
      </c>
      <c r="FI342" s="121">
        <f t="shared" si="252"/>
        <v>58</v>
      </c>
      <c r="FJ342" s="144">
        <f t="shared" si="228"/>
        <v>0.15094339622641509</v>
      </c>
      <c r="FK342" s="132">
        <f t="shared" si="229"/>
        <v>0</v>
      </c>
      <c r="FL342" s="115">
        <f t="shared" si="229"/>
        <v>3</v>
      </c>
      <c r="FM342" s="115">
        <f t="shared" si="229"/>
        <v>0</v>
      </c>
      <c r="FN342" s="115">
        <f t="shared" si="229"/>
        <v>0</v>
      </c>
      <c r="FO342" s="115">
        <f t="shared" si="257"/>
        <v>0</v>
      </c>
      <c r="FP342" s="115">
        <f t="shared" si="257"/>
        <v>0</v>
      </c>
      <c r="FQ342" s="149">
        <f t="shared" si="257"/>
        <v>0.25079999999999991</v>
      </c>
      <c r="FR342" s="142">
        <f t="shared" si="256"/>
        <v>0.29999999999999982</v>
      </c>
      <c r="FS342" s="119">
        <f t="shared" si="256"/>
        <v>0</v>
      </c>
      <c r="FT342" s="121">
        <f t="shared" si="256"/>
        <v>-0.40000000000000036</v>
      </c>
      <c r="FU342" s="121">
        <f t="shared" si="230"/>
        <v>-8</v>
      </c>
      <c r="FV342" s="121">
        <f t="shared" si="230"/>
        <v>-1</v>
      </c>
      <c r="FW342" s="121">
        <f t="shared" si="231"/>
        <v>81.557198782079126</v>
      </c>
      <c r="FX342" s="121">
        <f t="shared" si="233"/>
        <v>0</v>
      </c>
      <c r="FY342" s="144">
        <f t="shared" si="214"/>
        <v>5.6603773584905648E-3</v>
      </c>
      <c r="FZ342" s="145"/>
      <c r="GA342" s="151" t="s">
        <v>1419</v>
      </c>
      <c r="GB342" s="145"/>
      <c r="GC342" s="151"/>
      <c r="GD342" s="997" t="s">
        <v>220</v>
      </c>
      <c r="GE342" s="1004"/>
      <c r="GF342" s="1004">
        <v>-0.67674199999999907</v>
      </c>
      <c r="GG342" s="1004"/>
      <c r="GH342" s="1004">
        <v>0</v>
      </c>
      <c r="GI342" s="145" t="s">
        <v>223</v>
      </c>
      <c r="GJ342" s="996">
        <v>-1.1663704800000021</v>
      </c>
      <c r="GK342" s="145"/>
      <c r="GL342" s="996">
        <v>0</v>
      </c>
      <c r="GM342" s="1005"/>
      <c r="GN342" s="996">
        <v>0</v>
      </c>
      <c r="GO342" s="1006"/>
      <c r="GP342" s="996">
        <v>0.42191248000000137</v>
      </c>
      <c r="GQ342" s="1006"/>
      <c r="GR342" s="996">
        <v>0</v>
      </c>
      <c r="GS342" s="1006"/>
      <c r="GT342" s="996">
        <v>0</v>
      </c>
      <c r="GU342" s="1006"/>
      <c r="GV342" s="996">
        <v>0</v>
      </c>
      <c r="GW342" s="1006"/>
      <c r="GX342" s="1036">
        <v>0</v>
      </c>
      <c r="GY342" s="1006"/>
      <c r="GZ342" s="996">
        <v>0</v>
      </c>
      <c r="HA342" s="1006"/>
      <c r="HB342" s="996">
        <v>0</v>
      </c>
      <c r="HC342" s="1006"/>
      <c r="HD342" s="996">
        <v>0</v>
      </c>
      <c r="HE342" s="1006"/>
      <c r="HF342" s="996">
        <v>0</v>
      </c>
      <c r="HG342" s="1006"/>
      <c r="HH342" s="996">
        <v>0</v>
      </c>
      <c r="HI342" s="1006"/>
      <c r="HJ342" s="996">
        <v>-4.1600000000000747E-2</v>
      </c>
      <c r="HK342" s="1006"/>
      <c r="HL342" s="996">
        <v>0</v>
      </c>
      <c r="HM342" s="1006" t="s">
        <v>223</v>
      </c>
      <c r="HN342" s="996">
        <v>-1.6719999999999997</v>
      </c>
      <c r="HO342" s="1006"/>
      <c r="HP342" s="996">
        <v>0</v>
      </c>
      <c r="HQ342" s="1006"/>
      <c r="HR342" s="996">
        <v>0</v>
      </c>
      <c r="HS342" s="1006"/>
      <c r="HT342" s="996">
        <v>0</v>
      </c>
      <c r="HU342" s="1006"/>
      <c r="HV342" s="996">
        <v>-0.74404000000000003</v>
      </c>
      <c r="HW342" s="1006"/>
      <c r="HX342" s="996">
        <v>0</v>
      </c>
      <c r="HY342" s="1006"/>
      <c r="HZ342" s="996">
        <v>0</v>
      </c>
      <c r="IA342" s="1006"/>
      <c r="IB342" s="996">
        <v>0</v>
      </c>
      <c r="IC342" s="1006"/>
      <c r="ID342" s="996">
        <v>0</v>
      </c>
      <c r="IE342" s="1006" t="s">
        <v>199</v>
      </c>
      <c r="IF342" s="996">
        <v>-5.1065388000000009</v>
      </c>
      <c r="IG342" s="1006"/>
      <c r="IH342" s="996">
        <v>0</v>
      </c>
      <c r="II342" s="1006"/>
      <c r="IJ342" s="996">
        <v>0</v>
      </c>
      <c r="IK342" s="1006"/>
      <c r="IL342" s="996">
        <v>0</v>
      </c>
      <c r="IM342" s="1006"/>
      <c r="IN342" s="996">
        <v>0</v>
      </c>
      <c r="IO342" s="1006" t="s">
        <v>204</v>
      </c>
      <c r="IP342" s="996">
        <v>-13.419114191999999</v>
      </c>
      <c r="IQ342" s="1006"/>
      <c r="IR342" s="996">
        <v>0</v>
      </c>
      <c r="IS342" s="1006"/>
      <c r="IT342" s="996">
        <v>27.629692991999999</v>
      </c>
      <c r="IU342" s="1006"/>
      <c r="IV342" s="996"/>
      <c r="IW342" s="1006"/>
      <c r="IX342" s="996"/>
      <c r="IY342" s="1006"/>
      <c r="IZ342" s="996"/>
      <c r="JA342" s="1006"/>
      <c r="JB342" s="996"/>
      <c r="JC342" s="1006"/>
      <c r="JD342" s="996"/>
      <c r="JE342" s="1006"/>
      <c r="JF342" s="996"/>
      <c r="JG342" s="1006"/>
      <c r="JH342" s="996"/>
      <c r="JI342" s="1006"/>
      <c r="JJ342" s="996"/>
      <c r="JK342" s="1007"/>
      <c r="JL342" s="1007"/>
      <c r="JM342" s="1007"/>
      <c r="JN342" s="1007"/>
      <c r="JO342" s="1008"/>
      <c r="JP342" s="1007"/>
      <c r="JQ342" s="1008"/>
      <c r="JR342" s="1007"/>
      <c r="JS342" s="1008"/>
      <c r="JT342" s="1007"/>
      <c r="JU342" s="1008"/>
      <c r="JV342" s="1007"/>
      <c r="JW342" s="1008"/>
      <c r="JX342" s="1007"/>
      <c r="JY342" s="1008"/>
      <c r="JZ342" s="1007"/>
      <c r="KA342" s="1008"/>
      <c r="KB342" s="1007"/>
      <c r="KC342" s="1008"/>
      <c r="KD342" s="1007"/>
      <c r="KE342" s="1008"/>
      <c r="KF342" s="1007"/>
      <c r="KG342" s="1008"/>
      <c r="KH342" s="1007"/>
      <c r="KI342" s="1008"/>
      <c r="KJ342" s="1007"/>
      <c r="KK342" s="1008"/>
      <c r="KL342" s="1007"/>
      <c r="KM342" s="1008"/>
      <c r="KN342" s="1007"/>
      <c r="KO342" s="1008"/>
      <c r="KP342" s="1007"/>
      <c r="KQ342" s="1008"/>
      <c r="KR342" s="1007"/>
      <c r="KS342" s="1008"/>
      <c r="KT342" s="1007"/>
      <c r="KU342" s="1008"/>
      <c r="KV342" s="1007"/>
      <c r="KW342" s="1008"/>
      <c r="KX342" s="1007"/>
      <c r="KY342" s="1008"/>
      <c r="KZ342" s="1007"/>
      <c r="LA342" s="1008"/>
      <c r="LB342" s="1007"/>
      <c r="LC342" s="1008"/>
      <c r="LD342" s="1007"/>
      <c r="LE342" s="1008"/>
      <c r="LF342" s="1007"/>
      <c r="LG342" s="1008"/>
      <c r="LH342" s="1007"/>
      <c r="LI342" s="1008"/>
      <c r="LJ342" s="1007"/>
      <c r="LK342" s="1008"/>
      <c r="LL342" s="1007"/>
      <c r="LM342" s="1008"/>
      <c r="LN342" s="1007"/>
      <c r="LO342" s="1008"/>
      <c r="LP342" s="1007"/>
      <c r="LQ342" s="1008"/>
      <c r="LR342" s="1007"/>
      <c r="LS342" s="1008"/>
      <c r="LT342" s="1007"/>
      <c r="LU342" s="1008"/>
      <c r="LV342" s="1007"/>
      <c r="LW342" s="1008"/>
      <c r="LX342" s="1007"/>
      <c r="LY342" s="1009"/>
      <c r="LZ342" s="1010"/>
      <c r="MA342" s="1011"/>
      <c r="MB342" s="1012"/>
      <c r="MC342" s="995"/>
      <c r="MD342" s="996"/>
      <c r="ME342" s="997" t="s">
        <v>220</v>
      </c>
      <c r="MF342" s="997"/>
      <c r="MG342" s="998"/>
      <c r="NR342" s="1000"/>
      <c r="NS342" s="1000"/>
      <c r="NT342" s="1001"/>
      <c r="NU342" s="1000"/>
      <c r="NV342" s="1001"/>
      <c r="NX342" s="1002"/>
      <c r="NZ342" s="1001"/>
      <c r="OA342" s="1001"/>
      <c r="OC342" s="1003"/>
      <c r="OD342" s="1003"/>
      <c r="OE342" s="1001"/>
      <c r="OF342" s="1003"/>
      <c r="OG342" s="1003"/>
      <c r="OH342" s="1003"/>
      <c r="OI342" s="1016"/>
      <c r="QX342" s="1000">
        <f t="shared" si="262"/>
        <v>29</v>
      </c>
      <c r="ASU342" s="999" t="s">
        <v>208</v>
      </c>
    </row>
    <row r="343" spans="1:466 1191:1191" ht="21" customHeight="1" x14ac:dyDescent="0.25">
      <c r="A343" s="982">
        <f t="shared" si="215"/>
        <v>1365</v>
      </c>
      <c r="B343" s="124">
        <f>SUBTOTAL(103,$J$29:J343)</f>
        <v>315</v>
      </c>
      <c r="C343" s="126">
        <v>45096</v>
      </c>
      <c r="D343" s="124" t="s">
        <v>176</v>
      </c>
      <c r="E343" s="127" t="s">
        <v>177</v>
      </c>
      <c r="F343" s="128" t="s">
        <v>177</v>
      </c>
      <c r="G343" s="127" t="s">
        <v>178</v>
      </c>
      <c r="H343" s="127" t="s">
        <v>421</v>
      </c>
      <c r="I343" s="127" t="s">
        <v>1153</v>
      </c>
      <c r="J343" s="152">
        <v>1365</v>
      </c>
      <c r="K343" s="127" t="s">
        <v>1154</v>
      </c>
      <c r="L343" s="130">
        <v>42160</v>
      </c>
      <c r="M343" s="127" t="s">
        <v>230</v>
      </c>
      <c r="N343" s="127" t="s">
        <v>231</v>
      </c>
      <c r="O343" s="127" t="s">
        <v>185</v>
      </c>
      <c r="P343" s="127" t="s">
        <v>208</v>
      </c>
      <c r="Q343" s="85" t="str">
        <f t="shared" si="249"/>
        <v/>
      </c>
      <c r="R343" s="130"/>
      <c r="S343" s="128"/>
      <c r="T343" s="131"/>
      <c r="U343" s="132">
        <v>203</v>
      </c>
      <c r="V343" s="121">
        <v>218.2</v>
      </c>
      <c r="W343" s="116">
        <v>0.98</v>
      </c>
      <c r="X343" s="116">
        <v>1.66</v>
      </c>
      <c r="Y343" s="116">
        <f t="shared" si="239"/>
        <v>0.98080354989630048</v>
      </c>
      <c r="Z343" s="133">
        <v>1.454</v>
      </c>
      <c r="AA343" s="133">
        <v>0.83599999999999997</v>
      </c>
      <c r="AB343" s="133">
        <v>0.72</v>
      </c>
      <c r="AC343" s="121">
        <v>34.299999999999997</v>
      </c>
      <c r="AD343" s="134">
        <v>1.17</v>
      </c>
      <c r="AE343" s="124">
        <v>177.8</v>
      </c>
      <c r="AF343" s="128">
        <v>9.19</v>
      </c>
      <c r="AG343" s="128">
        <v>2339</v>
      </c>
      <c r="AH343" s="127">
        <v>3091</v>
      </c>
      <c r="AI343" s="127">
        <v>3091</v>
      </c>
      <c r="AJ343" s="135"/>
      <c r="AK343" s="128"/>
      <c r="AL343" s="131"/>
      <c r="AM343" s="124" t="s">
        <v>232</v>
      </c>
      <c r="AN343" s="136" t="s">
        <v>1420</v>
      </c>
      <c r="AO343" s="137">
        <v>67.489999999999995</v>
      </c>
      <c r="AP343" s="128">
        <v>2339</v>
      </c>
      <c r="AQ343" s="128">
        <v>382.88</v>
      </c>
      <c r="AR343" s="128"/>
      <c r="AS343" s="128"/>
      <c r="AT343" s="122"/>
      <c r="AU343" s="124" t="s">
        <v>189</v>
      </c>
      <c r="AV343" s="115">
        <f>VLOOKUP(J343,'[63]ТР нефть'!$J$28:$BP$638,39,0)</f>
        <v>421.00001425800002</v>
      </c>
      <c r="AW343" s="115" t="str">
        <f>VLOOKUP(J343,'[63]ТР нефть'!$J$28:$BP$638,40,0)</f>
        <v>ГП</v>
      </c>
      <c r="AX343" s="115">
        <f>VLOOKUP(J343,'[63]ТР нефть'!$J$28:$BP$638,41,0)</f>
        <v>842.00002851600004</v>
      </c>
      <c r="AY343" s="115" t="str">
        <f>VLOOKUP(J343,'[63]ТР нефть'!$J$28:$BP$638,42,0)</f>
        <v>ГП</v>
      </c>
      <c r="AZ343" s="115">
        <f>VLOOKUP(J343,'[63]ТР нефть'!$J$28:$BP$638,43,0)</f>
        <v>1215.99997207</v>
      </c>
      <c r="BA343" s="115" t="str">
        <f>VLOOKUP(J343,'[63]ТР нефть'!$J$28:$BP$638,44,0)</f>
        <v>ГК86 1/8</v>
      </c>
      <c r="BB343" s="115">
        <f>VLOOKUP(J343,'[63]ТР нефть'!$J$28:$BP$638,45,0)</f>
        <v>1590.000064453</v>
      </c>
      <c r="BC343" s="115" t="str">
        <f>VLOOKUP(J343,'[63]ТР нефть'!$J$28:$BP$638,46,0)</f>
        <v>ГК85 1/6</v>
      </c>
      <c r="BD343" s="115">
        <f>VLOOKUP(J343,'[63]ТР нефть'!$J$28:$BP$638,47,0)</f>
        <v>1790.0000613279999</v>
      </c>
      <c r="BE343" s="115" t="str">
        <f>VLOOKUP(J343,'[63]ТР нефть'!$J$28:$BP$638,48,0)</f>
        <v>ЦКсОК 5/16</v>
      </c>
      <c r="BF343" s="115" t="str">
        <f>VLOOKUP(J343,'[63]ТР нефть'!$J$28:$BP$638,49,0)</f>
        <v>-</v>
      </c>
      <c r="BG343" s="115" t="str">
        <f>VLOOKUP(J343,'[63]ТР нефть'!$J$28:$BP$638,50,0)</f>
        <v>-</v>
      </c>
      <c r="BH343" s="115">
        <f>VLOOKUP(J343,'[63]ТР нефть'!$J$28:$BP$638,51,0)</f>
        <v>1800</v>
      </c>
      <c r="BI343" s="115" t="str">
        <f>VLOOKUP(J343,'[63]ТР нефть'!$J$28:$BP$638,52,0)</f>
        <v>закрыт</v>
      </c>
      <c r="BJ343" s="115" t="str">
        <f>IF(IFERROR(VLOOKUP(J343,'[63]ТР нефть'!$J$28:$BP$638,53,0),"-")=0,"-",IFERROR(VLOOKUP(J343,'[63]ТР нефть'!$J$28:$BP$638,53,0),"-"))</f>
        <v>-</v>
      </c>
      <c r="BK343" s="138" t="str">
        <f>IF(IFERROR(VLOOKUP(J343,'[63]ТР нефть'!$J$28:$BP$638,54,0),"-")=0,"-",IFERROR(VLOOKUP(J343,'[63]ТР нефть'!$J$28:$BP$638,54,0),"-"))</f>
        <v>-</v>
      </c>
      <c r="BL343" s="138" t="str">
        <f>IF(IFERROR(VLOOKUP(J343,'[63]ТР нефть'!$J$28:$BP$638,55,0),"-")=0,"-",IFERROR(VLOOKUP(J343,'[63]ТР нефть'!$J$28:$BP$638,55,0),"-"))</f>
        <v>-</v>
      </c>
      <c r="BM343" s="138" t="str">
        <f>IF(IFERROR(VLOOKUP(J343,'[63]ТР нефть'!$J$28:$BP$638,56,0),"-")=0,"-",IFERROR(VLOOKUP(J343,'[63]ТР нефть'!$J$28:$BP$638,56,0),"-"))</f>
        <v>-</v>
      </c>
      <c r="BN343" s="138" t="str">
        <f>IF(IFERROR(VLOOKUP(J343,'[63]ТР нефть'!$J$28:$BP$638,57,0),"-")=0,"-",IFERROR(VLOOKUP(J343,'[63]ТР нефть'!$J$28:$BP$638,57,0),"-"))</f>
        <v>-</v>
      </c>
      <c r="BO343" s="115" t="str">
        <f>IF(IFERROR(VLOOKUP(J343,'[63]ТР нефть'!$J$28:$BP$638,58,0),"-")=0,"-",IFERROR(VLOOKUP(J343,'[63]ТР нефть'!$J$28:$BP$638,58,0),"-"))</f>
        <v>-</v>
      </c>
      <c r="BP343" s="115" t="str">
        <f>IF(IFERROR(VLOOKUP(J343,'[63]ТР нефть'!$J$28:$BP$638,59,0),"-")=0,"-",IFERROR(VLOOKUP(J343,'[63]ТР нефть'!$J$28:$BP$638,59,0),"-"))</f>
        <v>-</v>
      </c>
      <c r="BQ343" s="138">
        <v>2350</v>
      </c>
      <c r="BR343" s="128">
        <v>1912.1</v>
      </c>
      <c r="BS343" s="115">
        <f t="shared" si="258"/>
        <v>437.90000000000009</v>
      </c>
      <c r="BT343" s="128">
        <v>73</v>
      </c>
      <c r="BU343" s="128">
        <v>5.5</v>
      </c>
      <c r="BV343" s="127">
        <v>18</v>
      </c>
      <c r="BW343" s="127" t="s">
        <v>217</v>
      </c>
      <c r="BX343" s="127" t="s">
        <v>195</v>
      </c>
      <c r="BY343" s="139">
        <v>24</v>
      </c>
      <c r="BZ343" s="139">
        <v>0</v>
      </c>
      <c r="CA343" s="138">
        <v>25</v>
      </c>
      <c r="CB343" s="138">
        <v>39</v>
      </c>
      <c r="CC343" s="138">
        <v>24</v>
      </c>
      <c r="CD343" s="135">
        <v>45017</v>
      </c>
      <c r="CE343" s="138">
        <v>116</v>
      </c>
      <c r="CF343" s="138">
        <v>80</v>
      </c>
      <c r="CG343" s="138" t="str">
        <f t="shared" si="265"/>
        <v>В работе</v>
      </c>
      <c r="CH343" s="138" t="s">
        <v>196</v>
      </c>
      <c r="CI343" s="127">
        <v>6</v>
      </c>
      <c r="CJ343" s="138"/>
      <c r="CK343" s="138"/>
      <c r="CL343" s="99"/>
      <c r="CM343" s="99"/>
      <c r="CN343" s="140">
        <v>47</v>
      </c>
      <c r="CO343" s="141">
        <f t="shared" si="216"/>
        <v>4.8391023999999998</v>
      </c>
      <c r="CP343" s="142">
        <v>5.8</v>
      </c>
      <c r="CQ343" s="143">
        <v>0.2</v>
      </c>
      <c r="CR343" s="138">
        <v>21.5</v>
      </c>
      <c r="CS343" s="139">
        <v>8.5</v>
      </c>
      <c r="CT343" s="138"/>
      <c r="CU343" s="138">
        <f t="shared" si="259"/>
        <v>13</v>
      </c>
      <c r="CV343" s="115">
        <f t="shared" si="260"/>
        <v>2686.4486273322095</v>
      </c>
      <c r="CW343" s="115">
        <f t="shared" si="217"/>
        <v>1751.6616881006864</v>
      </c>
      <c r="CX343" s="133">
        <f t="shared" si="261"/>
        <v>8.4057971014492749E-2</v>
      </c>
      <c r="CY343" s="116"/>
      <c r="CZ343" s="131"/>
      <c r="DA343" s="145" t="str">
        <f t="shared" si="218"/>
        <v>Газлифт</v>
      </c>
      <c r="DB343" s="146">
        <f t="shared" si="219"/>
        <v>4.8391023999999998</v>
      </c>
      <c r="DC343" s="142">
        <f t="shared" si="234"/>
        <v>5.8</v>
      </c>
      <c r="DD343" s="119">
        <f t="shared" si="250"/>
        <v>0.2</v>
      </c>
      <c r="DE343" s="115">
        <f t="shared" si="220"/>
        <v>13</v>
      </c>
      <c r="DF343" s="121">
        <f t="shared" si="221"/>
        <v>8.5</v>
      </c>
      <c r="DG343" s="115">
        <f t="shared" si="222"/>
        <v>2686.4486273322095</v>
      </c>
      <c r="DH343" s="115">
        <f t="shared" si="223"/>
        <v>47</v>
      </c>
      <c r="DI343" s="147"/>
      <c r="DJ343" s="111">
        <v>42686</v>
      </c>
      <c r="DK343" s="112">
        <v>42146</v>
      </c>
      <c r="DL343" s="113">
        <f t="shared" ca="1" si="266"/>
        <v>2958</v>
      </c>
      <c r="DM343" s="114"/>
      <c r="DN343" s="114"/>
      <c r="DO343" s="114"/>
      <c r="DP343" s="114"/>
      <c r="DQ343" s="112" t="s">
        <v>1421</v>
      </c>
      <c r="DR343" s="114" t="s">
        <v>198</v>
      </c>
      <c r="DS343" s="114"/>
      <c r="DT343" s="115">
        <v>52</v>
      </c>
      <c r="DU343" s="116">
        <f t="shared" si="267"/>
        <v>9.0624999999999997E-2</v>
      </c>
      <c r="DV343" s="117">
        <f t="shared" si="268"/>
        <v>4.8391023999999998</v>
      </c>
      <c r="DW343" s="118">
        <f t="shared" si="269"/>
        <v>5.8</v>
      </c>
      <c r="DX343" s="119">
        <f t="shared" si="224"/>
        <v>0.2</v>
      </c>
      <c r="DY343" s="115">
        <f t="shared" si="270"/>
        <v>13</v>
      </c>
      <c r="DZ343" s="117">
        <f t="shared" si="271"/>
        <v>0</v>
      </c>
      <c r="EA343" s="120">
        <f t="shared" si="271"/>
        <v>0</v>
      </c>
      <c r="EB343" s="119">
        <f t="shared" si="264"/>
        <v>0</v>
      </c>
      <c r="EC343" s="121">
        <f t="shared" si="272"/>
        <v>0</v>
      </c>
      <c r="ED343" s="122"/>
      <c r="EE343" s="145">
        <v>18</v>
      </c>
      <c r="EF343" s="115">
        <v>25</v>
      </c>
      <c r="EG343" s="115">
        <v>39</v>
      </c>
      <c r="EH343" s="115">
        <v>24</v>
      </c>
      <c r="EI343" s="128" t="s">
        <v>195</v>
      </c>
      <c r="EJ343" s="121">
        <v>24</v>
      </c>
      <c r="EK343" s="121">
        <v>0</v>
      </c>
      <c r="EL343" s="149">
        <v>4.8391023999999998</v>
      </c>
      <c r="EM343" s="142">
        <v>5.8</v>
      </c>
      <c r="EN343" s="119">
        <v>0.2</v>
      </c>
      <c r="EO343" s="115">
        <v>21.5</v>
      </c>
      <c r="EP343" s="115">
        <v>2686.4486273322095</v>
      </c>
      <c r="EQ343" s="115">
        <v>80</v>
      </c>
      <c r="ER343" s="115">
        <v>8.5</v>
      </c>
      <c r="ES343" s="115">
        <v>47</v>
      </c>
      <c r="ET343" s="150">
        <v>8.4057971014492749E-2</v>
      </c>
      <c r="EU343" s="145">
        <f t="shared" si="225"/>
        <v>18</v>
      </c>
      <c r="EV343" s="115">
        <f t="shared" si="226"/>
        <v>25</v>
      </c>
      <c r="EW343" s="115">
        <f t="shared" si="226"/>
        <v>39</v>
      </c>
      <c r="EX343" s="115">
        <f t="shared" si="226"/>
        <v>24</v>
      </c>
      <c r="EY343" s="115" t="str">
        <f t="shared" si="253"/>
        <v>Постоянный</v>
      </c>
      <c r="EZ343" s="115">
        <f t="shared" si="253"/>
        <v>24</v>
      </c>
      <c r="FA343" s="115">
        <f t="shared" si="253"/>
        <v>0</v>
      </c>
      <c r="FB343" s="149">
        <f t="shared" si="238"/>
        <v>4.8391023999999998</v>
      </c>
      <c r="FC343" s="142">
        <f t="shared" si="238"/>
        <v>5.8</v>
      </c>
      <c r="FD343" s="119">
        <f t="shared" si="238"/>
        <v>0.2</v>
      </c>
      <c r="FE343" s="121">
        <f t="shared" si="238"/>
        <v>21.5</v>
      </c>
      <c r="FF343" s="121">
        <f t="shared" si="247"/>
        <v>2686.4486273322095</v>
      </c>
      <c r="FG343" s="121">
        <f t="shared" si="227"/>
        <v>80</v>
      </c>
      <c r="FH343" s="121">
        <f t="shared" si="248"/>
        <v>8.5</v>
      </c>
      <c r="FI343" s="121">
        <f t="shared" si="252"/>
        <v>47</v>
      </c>
      <c r="FJ343" s="144">
        <f t="shared" si="228"/>
        <v>8.4057971014492749E-2</v>
      </c>
      <c r="FK343" s="132">
        <f t="shared" si="229"/>
        <v>0</v>
      </c>
      <c r="FL343" s="115">
        <f t="shared" si="229"/>
        <v>0</v>
      </c>
      <c r="FM343" s="115">
        <f t="shared" si="229"/>
        <v>0</v>
      </c>
      <c r="FN343" s="115">
        <f t="shared" si="229"/>
        <v>0</v>
      </c>
      <c r="FO343" s="115">
        <f t="shared" si="257"/>
        <v>0</v>
      </c>
      <c r="FP343" s="115">
        <f t="shared" si="257"/>
        <v>0</v>
      </c>
      <c r="FQ343" s="149">
        <f t="shared" si="257"/>
        <v>0</v>
      </c>
      <c r="FR343" s="142">
        <f t="shared" si="256"/>
        <v>0</v>
      </c>
      <c r="FS343" s="119">
        <f t="shared" si="256"/>
        <v>0</v>
      </c>
      <c r="FT343" s="121">
        <f t="shared" si="256"/>
        <v>0</v>
      </c>
      <c r="FU343" s="121">
        <f t="shared" si="230"/>
        <v>0</v>
      </c>
      <c r="FV343" s="121">
        <f t="shared" si="230"/>
        <v>0</v>
      </c>
      <c r="FW343" s="121">
        <f t="shared" si="231"/>
        <v>0</v>
      </c>
      <c r="FX343" s="121">
        <f t="shared" si="233"/>
        <v>0</v>
      </c>
      <c r="FY343" s="144">
        <f t="shared" si="214"/>
        <v>0</v>
      </c>
      <c r="FZ343" s="145"/>
      <c r="GA343" s="151" t="s">
        <v>313</v>
      </c>
      <c r="GB343" s="145"/>
      <c r="GC343" s="151" t="s">
        <v>387</v>
      </c>
      <c r="GD343" s="997" t="s">
        <v>238</v>
      </c>
      <c r="GE343" s="1004"/>
      <c r="GF343" s="1004">
        <v>0</v>
      </c>
      <c r="GG343" s="1004"/>
      <c r="GH343" s="1004">
        <v>0</v>
      </c>
      <c r="GI343" s="145" t="s">
        <v>222</v>
      </c>
      <c r="GJ343" s="996">
        <v>-0.95437759999999994</v>
      </c>
      <c r="GK343" s="145" t="s">
        <v>223</v>
      </c>
      <c r="GL343" s="996">
        <v>-2.3788380000000009</v>
      </c>
      <c r="GM343" s="1005"/>
      <c r="GN343" s="996">
        <v>0</v>
      </c>
      <c r="GO343" s="1006"/>
      <c r="GP343" s="996">
        <v>0</v>
      </c>
      <c r="GQ343" s="1006"/>
      <c r="GR343" s="996">
        <v>0</v>
      </c>
      <c r="GS343" s="1006"/>
      <c r="GT343" s="996">
        <v>0</v>
      </c>
      <c r="GU343" s="1006"/>
      <c r="GV343" s="996">
        <v>0</v>
      </c>
      <c r="GW343" s="1006"/>
      <c r="GX343" s="1049">
        <v>0</v>
      </c>
      <c r="GY343" s="1006"/>
      <c r="GZ343" s="996">
        <v>0</v>
      </c>
      <c r="HA343" s="1006"/>
      <c r="HB343" s="996">
        <v>0</v>
      </c>
      <c r="HC343" s="1006" t="s">
        <v>204</v>
      </c>
      <c r="HD343" s="996">
        <v>-7.5102260639999994</v>
      </c>
      <c r="HE343" s="1006" t="s">
        <v>204</v>
      </c>
      <c r="HF343" s="996">
        <v>6.8528785116000002</v>
      </c>
      <c r="HG343" s="1006"/>
      <c r="HH343" s="996">
        <v>0</v>
      </c>
      <c r="HI343" s="1006"/>
      <c r="HJ343" s="996">
        <v>0</v>
      </c>
      <c r="HK343" s="1006"/>
      <c r="HL343" s="996">
        <v>0</v>
      </c>
      <c r="HM343" s="1006" t="s">
        <v>199</v>
      </c>
      <c r="HN343" s="996">
        <v>-1.7039344476</v>
      </c>
      <c r="HO343" s="1006"/>
      <c r="HP343" s="996">
        <v>0</v>
      </c>
      <c r="HQ343" s="1006"/>
      <c r="HR343" s="996">
        <v>0</v>
      </c>
      <c r="HS343" s="1006"/>
      <c r="HT343" s="996">
        <v>0</v>
      </c>
      <c r="HU343" s="1006" t="s">
        <v>223</v>
      </c>
      <c r="HV343" s="996">
        <v>-1.6301999999999985</v>
      </c>
      <c r="HW343" s="1006"/>
      <c r="HX343" s="996">
        <v>-0.91939935999999989</v>
      </c>
      <c r="HY343" s="1006"/>
      <c r="HZ343" s="996">
        <v>-0.71080064000000043</v>
      </c>
      <c r="IA343" s="1006"/>
      <c r="IB343" s="996">
        <v>0</v>
      </c>
      <c r="IC343" s="1006"/>
      <c r="ID343" s="996">
        <v>0</v>
      </c>
      <c r="IE343" s="1006"/>
      <c r="IF343" s="996">
        <v>0.75239999999999974</v>
      </c>
      <c r="IG343" s="1006"/>
      <c r="IH343" s="996">
        <v>-0.33440000000000047</v>
      </c>
      <c r="II343" s="1006"/>
      <c r="IJ343" s="996">
        <v>0</v>
      </c>
      <c r="IK343" s="1006" t="s">
        <v>199</v>
      </c>
      <c r="IL343" s="996">
        <v>1.4211999999999989</v>
      </c>
      <c r="IM343" s="1006"/>
      <c r="IN343" s="996">
        <v>0</v>
      </c>
      <c r="IO343" s="1006"/>
      <c r="IP343" s="996">
        <v>0</v>
      </c>
      <c r="IQ343" s="1006" t="s">
        <v>199</v>
      </c>
      <c r="IR343" s="996">
        <v>-1.4211999999999989</v>
      </c>
      <c r="IS343" s="1006"/>
      <c r="IT343" s="996">
        <v>0</v>
      </c>
      <c r="IU343" s="1006"/>
      <c r="IV343" s="996">
        <v>-2.7662654800000297E-2</v>
      </c>
      <c r="IW343" s="1006"/>
      <c r="IX343" s="996">
        <v>3.1675454800000225E-2</v>
      </c>
      <c r="IY343" s="1006"/>
      <c r="IZ343" s="996">
        <v>0</v>
      </c>
      <c r="JA343" s="1006" t="s">
        <v>199</v>
      </c>
      <c r="JB343" s="996">
        <v>2.5072475999999995</v>
      </c>
      <c r="JC343" s="1006" t="s">
        <v>199</v>
      </c>
      <c r="JD343" s="996">
        <v>-2.2565228399999988</v>
      </c>
      <c r="JE343" s="1006" t="s">
        <v>199</v>
      </c>
      <c r="JF343" s="996">
        <v>2.2565228399999988</v>
      </c>
      <c r="JG343" s="1006"/>
      <c r="JH343" s="996">
        <v>0</v>
      </c>
      <c r="JI343" s="1006" t="s">
        <v>199</v>
      </c>
      <c r="JJ343" s="996">
        <v>4.9309202800000005</v>
      </c>
      <c r="JK343" s="1007"/>
      <c r="JL343" s="1007">
        <v>0</v>
      </c>
      <c r="JM343" s="1007"/>
      <c r="JN343" s="1007">
        <v>0</v>
      </c>
      <c r="JO343" s="1008" t="s">
        <v>205</v>
      </c>
      <c r="JP343" s="1007">
        <v>-8.0231923199999997</v>
      </c>
      <c r="JQ343" s="1008">
        <v>0</v>
      </c>
      <c r="JR343" s="1007">
        <v>0</v>
      </c>
      <c r="JS343" s="1008">
        <v>0</v>
      </c>
      <c r="JT343" s="1007">
        <v>-0.65543235999999894</v>
      </c>
      <c r="JU343" s="1008" t="s">
        <v>204</v>
      </c>
      <c r="JV343" s="1007">
        <v>-4.4232759999999995</v>
      </c>
      <c r="JW343" s="1008" t="s">
        <v>197</v>
      </c>
      <c r="JX343" s="1007">
        <v>0</v>
      </c>
      <c r="JY343" s="1008"/>
      <c r="JZ343" s="1007">
        <v>0</v>
      </c>
      <c r="KA343" s="1008" t="s">
        <v>199</v>
      </c>
      <c r="KB343" s="1007">
        <v>1.6552799999999976</v>
      </c>
      <c r="KC343" s="1008"/>
      <c r="KD343" s="1007">
        <v>0</v>
      </c>
      <c r="KE343" s="1008"/>
      <c r="KF343" s="1007">
        <v>0</v>
      </c>
      <c r="KG343" s="1008"/>
      <c r="KH343" s="1007">
        <v>0</v>
      </c>
      <c r="KI343" s="1008" t="s">
        <v>207</v>
      </c>
      <c r="KJ343" s="1007">
        <v>-3.3105599999999988</v>
      </c>
      <c r="KK343" s="1008"/>
      <c r="KL343" s="1007">
        <v>0</v>
      </c>
      <c r="KM343" s="1008" t="s">
        <v>206</v>
      </c>
      <c r="KN343" s="1007">
        <v>0</v>
      </c>
      <c r="KO343" s="1008"/>
      <c r="KP343" s="1007">
        <v>0</v>
      </c>
      <c r="KQ343" s="1008" t="s">
        <v>207</v>
      </c>
      <c r="KR343" s="1007">
        <v>-1.8810000000000002</v>
      </c>
      <c r="KS343" s="1008" t="s">
        <v>207</v>
      </c>
      <c r="KT343" s="1007">
        <v>3.3440000000000012</v>
      </c>
      <c r="KU343" s="1008" t="s">
        <v>206</v>
      </c>
      <c r="KV343" s="1007">
        <v>-5.8520000000000003</v>
      </c>
      <c r="KW343" s="1008">
        <v>0</v>
      </c>
      <c r="KX343" s="1007">
        <v>0</v>
      </c>
      <c r="KY343" s="1008">
        <v>0</v>
      </c>
      <c r="KZ343" s="1007">
        <v>0</v>
      </c>
      <c r="LA343" s="1008">
        <v>0</v>
      </c>
      <c r="LB343" s="1007">
        <v>0</v>
      </c>
      <c r="LC343" s="1008" t="s">
        <v>204</v>
      </c>
      <c r="LD343" s="1007">
        <v>1.6720000000000006</v>
      </c>
      <c r="LE343" s="1008">
        <v>0</v>
      </c>
      <c r="LF343" s="1007">
        <v>0</v>
      </c>
      <c r="LG343" s="1008">
        <v>0</v>
      </c>
      <c r="LH343" s="1007">
        <v>0</v>
      </c>
      <c r="LI343" s="1008">
        <v>0</v>
      </c>
      <c r="LJ343" s="1007">
        <v>0</v>
      </c>
      <c r="LK343" s="1008" t="s">
        <v>206</v>
      </c>
      <c r="LL343" s="1007">
        <v>4.18</v>
      </c>
      <c r="LM343" s="1008" t="s">
        <v>555</v>
      </c>
      <c r="LN343" s="1007">
        <v>2.508</v>
      </c>
      <c r="LO343" s="1008" t="s">
        <v>206</v>
      </c>
      <c r="LP343" s="1007">
        <v>1.6719999999999988</v>
      </c>
      <c r="LQ343" s="1008" t="s">
        <v>204</v>
      </c>
      <c r="LR343" s="1007">
        <v>-1.32</v>
      </c>
      <c r="LS343" s="1008">
        <v>0</v>
      </c>
      <c r="LT343" s="1007">
        <v>0</v>
      </c>
      <c r="LU343" s="1008">
        <v>0</v>
      </c>
      <c r="LV343" s="1007">
        <v>0</v>
      </c>
      <c r="LW343" s="1008">
        <v>0</v>
      </c>
      <c r="LX343" s="1007">
        <v>-6.6879999999999988</v>
      </c>
      <c r="LY343" s="1009" t="s">
        <v>206</v>
      </c>
      <c r="LZ343" s="1010">
        <v>1.751419999999996</v>
      </c>
      <c r="MA343" s="1011">
        <v>0</v>
      </c>
      <c r="MB343" s="1012">
        <v>-0.83182400000000001</v>
      </c>
      <c r="MC343" s="995"/>
      <c r="MD343" s="996"/>
      <c r="ME343" s="997" t="s">
        <v>238</v>
      </c>
      <c r="MF343" s="997"/>
      <c r="MG343" s="998"/>
      <c r="NR343" s="1000"/>
      <c r="NS343" s="1000"/>
      <c r="NT343" s="1001"/>
      <c r="NU343" s="1000"/>
      <c r="NV343" s="1001"/>
      <c r="NX343" s="1002"/>
      <c r="NZ343" s="1001"/>
      <c r="OA343" s="1001"/>
      <c r="OC343" s="1003"/>
      <c r="OD343" s="1003"/>
      <c r="OE343" s="1001"/>
      <c r="OF343" s="1003"/>
      <c r="OG343" s="1003"/>
      <c r="QX343" s="1000">
        <f t="shared" si="262"/>
        <v>22</v>
      </c>
      <c r="ASU343" s="999" t="s">
        <v>208</v>
      </c>
    </row>
    <row r="344" spans="1:466 1191:1191" ht="21" customHeight="1" x14ac:dyDescent="0.25">
      <c r="A344" s="982">
        <f t="shared" si="215"/>
        <v>1366</v>
      </c>
      <c r="B344" s="124">
        <f>SUBTOTAL(103,$J$29:J344)</f>
        <v>316</v>
      </c>
      <c r="C344" s="126">
        <v>45096</v>
      </c>
      <c r="D344" s="124" t="s">
        <v>176</v>
      </c>
      <c r="E344" s="127" t="s">
        <v>177</v>
      </c>
      <c r="F344" s="128" t="s">
        <v>177</v>
      </c>
      <c r="G344" s="127" t="s">
        <v>178</v>
      </c>
      <c r="H344" s="127" t="s">
        <v>421</v>
      </c>
      <c r="I344" s="127" t="s">
        <v>1153</v>
      </c>
      <c r="J344" s="152">
        <v>1366</v>
      </c>
      <c r="K344" s="127" t="s">
        <v>1154</v>
      </c>
      <c r="L344" s="130">
        <v>42213</v>
      </c>
      <c r="M344" s="127" t="s">
        <v>230</v>
      </c>
      <c r="N344" s="127" t="s">
        <v>231</v>
      </c>
      <c r="O344" s="127" t="s">
        <v>185</v>
      </c>
      <c r="P344" s="127" t="s">
        <v>208</v>
      </c>
      <c r="Q344" s="85" t="str">
        <f t="shared" si="249"/>
        <v/>
      </c>
      <c r="R344" s="130"/>
      <c r="S344" s="128"/>
      <c r="T344" s="131"/>
      <c r="U344" s="132">
        <v>203</v>
      </c>
      <c r="V344" s="121">
        <v>218.2</v>
      </c>
      <c r="W344" s="116">
        <v>0.98</v>
      </c>
      <c r="X344" s="116">
        <v>1.66</v>
      </c>
      <c r="Y344" s="116">
        <f t="shared" si="239"/>
        <v>0.98160841861363191</v>
      </c>
      <c r="Z344" s="133">
        <v>1.454</v>
      </c>
      <c r="AA344" s="133">
        <v>0.83599999999999997</v>
      </c>
      <c r="AB344" s="133">
        <v>0.72</v>
      </c>
      <c r="AC344" s="121">
        <v>34.299999999999997</v>
      </c>
      <c r="AD344" s="134">
        <v>1.17</v>
      </c>
      <c r="AE344" s="124">
        <v>177.8</v>
      </c>
      <c r="AF344" s="128">
        <v>9.19</v>
      </c>
      <c r="AG344" s="128">
        <v>2275</v>
      </c>
      <c r="AH344" s="127">
        <v>2883</v>
      </c>
      <c r="AI344" s="127">
        <v>2883</v>
      </c>
      <c r="AJ344" s="135"/>
      <c r="AK344" s="128"/>
      <c r="AL344" s="131"/>
      <c r="AM344" s="124" t="s">
        <v>232</v>
      </c>
      <c r="AN344" s="136" t="s">
        <v>1422</v>
      </c>
      <c r="AO344" s="137">
        <v>33.130000000000003</v>
      </c>
      <c r="AP344" s="128">
        <v>2123</v>
      </c>
      <c r="AQ344" s="128">
        <v>269.12699999999995</v>
      </c>
      <c r="AR344" s="128" t="s">
        <v>1423</v>
      </c>
      <c r="AS344" s="128">
        <v>114</v>
      </c>
      <c r="AT344" s="122">
        <v>7.37</v>
      </c>
      <c r="AU344" s="124" t="s">
        <v>250</v>
      </c>
      <c r="AV344" s="115">
        <f>VLOOKUP(J344,'[63]ТР нефть'!$J$28:$BP$638,39,0)</f>
        <v>410</v>
      </c>
      <c r="AW344" s="115" t="str">
        <f>VLOOKUP(J344,'[63]ТР нефть'!$J$28:$BP$638,40,0)</f>
        <v>ГП</v>
      </c>
      <c r="AX344" s="115">
        <f>VLOOKUP(J344,'[63]ТР нефть'!$J$28:$BP$638,41,0)</f>
        <v>775</v>
      </c>
      <c r="AY344" s="115" t="str">
        <f>VLOOKUP(J344,'[63]ТР нефть'!$J$28:$BP$638,42,0)</f>
        <v>ГП</v>
      </c>
      <c r="AZ344" s="115">
        <f>VLOOKUP(J344,'[63]ТР нефть'!$J$28:$BP$638,43,0)</f>
        <v>1090</v>
      </c>
      <c r="BA344" s="115" t="str">
        <f>VLOOKUP(J344,'[63]ТР нефть'!$J$28:$BP$638,44,0)</f>
        <v>ГК 71 1/8</v>
      </c>
      <c r="BB344" s="115">
        <f>VLOOKUP(J344,'[63]ТР нефть'!$J$28:$BP$638,45,0)</f>
        <v>1390</v>
      </c>
      <c r="BC344" s="115" t="str">
        <f>VLOOKUP(J344,'[63]ТР нефть'!$J$28:$BP$638,46,0)</f>
        <v>ГК 71 1/8</v>
      </c>
      <c r="BD344" s="115">
        <f>VLOOKUP(J344,'[63]ТР нефть'!$J$28:$BP$638,47,0)</f>
        <v>1660</v>
      </c>
      <c r="BE344" s="115" t="str">
        <f>VLOOKUP(J344,'[63]ТР нефть'!$J$28:$BP$638,48,0)</f>
        <v>ЦКсОК 5/16</v>
      </c>
      <c r="BF344" s="115" t="str">
        <f>VLOOKUP(J344,'[63]ТР нефть'!$J$28:$BP$638,49,0)</f>
        <v>-</v>
      </c>
      <c r="BG344" s="115" t="str">
        <f>VLOOKUP(J344,'[63]ТР нефть'!$J$28:$BP$638,50,0)</f>
        <v>-</v>
      </c>
      <c r="BH344" s="115">
        <f>VLOOKUP(J344,'[63]ТР нефть'!$J$28:$BP$638,51,0)</f>
        <v>1850</v>
      </c>
      <c r="BI344" s="115" t="str">
        <f>VLOOKUP(J344,'[63]ТР нефть'!$J$28:$BP$638,52,0)</f>
        <v>закрыт</v>
      </c>
      <c r="BJ344" s="115" t="str">
        <f>IF(IFERROR(VLOOKUP(J344,'[63]ТР нефть'!$J$28:$BP$638,53,0),"-")=0,"-",IFERROR(VLOOKUP(J344,'[63]ТР нефть'!$J$28:$BP$638,53,0),"-"))</f>
        <v>-</v>
      </c>
      <c r="BK344" s="138" t="str">
        <f>IF(IFERROR(VLOOKUP(J344,'[63]ТР нефть'!$J$28:$BP$638,54,0),"-")=0,"-",IFERROR(VLOOKUP(J344,'[63]ТР нефть'!$J$28:$BP$638,54,0),"-"))</f>
        <v>-</v>
      </c>
      <c r="BL344" s="138" t="str">
        <f>IF(IFERROR(VLOOKUP(J344,'[63]ТР нефть'!$J$28:$BP$638,55,0),"-")=0,"-",IFERROR(VLOOKUP(J344,'[63]ТР нефть'!$J$28:$BP$638,55,0),"-"))</f>
        <v>-</v>
      </c>
      <c r="BM344" s="138" t="str">
        <f>IF(IFERROR(VLOOKUP(J344,'[63]ТР нефть'!$J$28:$BP$638,56,0),"-")=0,"-",IFERROR(VLOOKUP(J344,'[63]ТР нефть'!$J$28:$BP$638,56,0),"-"))</f>
        <v>-</v>
      </c>
      <c r="BN344" s="138" t="str">
        <f>IF(IFERROR(VLOOKUP(J344,'[63]ТР нефть'!$J$28:$BP$638,57,0),"-")=0,"-",IFERROR(VLOOKUP(J344,'[63]ТР нефть'!$J$28:$BP$638,57,0),"-"))</f>
        <v>-</v>
      </c>
      <c r="BO344" s="115" t="str">
        <f>IF(IFERROR(VLOOKUP(J344,'[63]ТР нефть'!$J$28:$BP$638,58,0),"-")=0,"-",IFERROR(VLOOKUP(J344,'[63]ТР нефть'!$J$28:$BP$638,58,0),"-"))</f>
        <v>-</v>
      </c>
      <c r="BP344" s="115" t="str">
        <f>IF(IFERROR(VLOOKUP(J344,'[63]ТР нефть'!$J$28:$BP$638,59,0),"-")=0,"-",IFERROR(VLOOKUP(J344,'[63]ТР нефть'!$J$28:$BP$638,59,0),"-"))</f>
        <v>-</v>
      </c>
      <c r="BQ344" s="138">
        <v>2125</v>
      </c>
      <c r="BR344" s="128">
        <v>1852.34</v>
      </c>
      <c r="BS344" s="115">
        <f t="shared" si="258"/>
        <v>272.66000000000008</v>
      </c>
      <c r="BT344" s="128">
        <v>73</v>
      </c>
      <c r="BU344" s="128">
        <v>5.5</v>
      </c>
      <c r="BV344" s="127">
        <v>18</v>
      </c>
      <c r="BW344" s="127" t="s">
        <v>234</v>
      </c>
      <c r="BX344" s="127" t="s">
        <v>195</v>
      </c>
      <c r="BY344" s="139">
        <v>24</v>
      </c>
      <c r="BZ344" s="139">
        <v>0</v>
      </c>
      <c r="CA344" s="138">
        <v>25</v>
      </c>
      <c r="CB344" s="138">
        <v>50</v>
      </c>
      <c r="CC344" s="138">
        <v>24</v>
      </c>
      <c r="CD344" s="135">
        <v>45017</v>
      </c>
      <c r="CE344" s="138">
        <v>123</v>
      </c>
      <c r="CF344" s="138"/>
      <c r="CG344" s="138" t="str">
        <f t="shared" si="265"/>
        <v/>
      </c>
      <c r="CH344" s="138" t="s">
        <v>197</v>
      </c>
      <c r="CI344" s="127"/>
      <c r="CJ344" s="138"/>
      <c r="CK344" s="138"/>
      <c r="CL344" s="99"/>
      <c r="CM344" s="138"/>
      <c r="CN344" s="154">
        <v>52</v>
      </c>
      <c r="CO344" s="141">
        <f t="shared" si="216"/>
        <v>10.3249344</v>
      </c>
      <c r="CP344" s="142">
        <v>12.4</v>
      </c>
      <c r="CQ344" s="143">
        <v>0.4</v>
      </c>
      <c r="CR344" s="138">
        <v>20.8</v>
      </c>
      <c r="CS344" s="139"/>
      <c r="CT344" s="138"/>
      <c r="CU344" s="138">
        <f t="shared" si="259"/>
        <v>20.8</v>
      </c>
      <c r="CV344" s="115">
        <f t="shared" si="260"/>
        <v>2014.5406444422542</v>
      </c>
      <c r="CW344" s="115" t="str">
        <f t="shared" si="217"/>
        <v/>
      </c>
      <c r="CX344" s="133">
        <f t="shared" si="261"/>
        <v>0.17464788732394368</v>
      </c>
      <c r="CY344" s="116"/>
      <c r="CZ344" s="150"/>
      <c r="DA344" s="145" t="str">
        <f t="shared" si="218"/>
        <v>Фон.</v>
      </c>
      <c r="DB344" s="146">
        <f t="shared" si="219"/>
        <v>10.3249344</v>
      </c>
      <c r="DC344" s="142">
        <f t="shared" si="234"/>
        <v>12.4</v>
      </c>
      <c r="DD344" s="119">
        <f t="shared" si="250"/>
        <v>0.4</v>
      </c>
      <c r="DE344" s="115">
        <f t="shared" si="220"/>
        <v>20.8</v>
      </c>
      <c r="DF344" s="121">
        <f t="shared" si="221"/>
        <v>0</v>
      </c>
      <c r="DG344" s="115">
        <f t="shared" si="222"/>
        <v>2014.5406444422542</v>
      </c>
      <c r="DH344" s="115">
        <f t="shared" si="223"/>
        <v>52</v>
      </c>
      <c r="DI344" s="147"/>
      <c r="DJ344" s="111">
        <v>43101</v>
      </c>
      <c r="DK344" s="112">
        <v>42185</v>
      </c>
      <c r="DL344" s="113">
        <f t="shared" ca="1" si="266"/>
        <v>2919</v>
      </c>
      <c r="DM344" s="114"/>
      <c r="DN344" s="114"/>
      <c r="DO344" s="114"/>
      <c r="DP344" s="114"/>
      <c r="DQ344" s="112">
        <v>42213</v>
      </c>
      <c r="DR344" s="114" t="s">
        <v>324</v>
      </c>
      <c r="DS344" s="114"/>
      <c r="DT344" s="115">
        <v>56</v>
      </c>
      <c r="DU344" s="116">
        <f t="shared" si="267"/>
        <v>0.18507462686567164</v>
      </c>
      <c r="DV344" s="117">
        <f t="shared" si="268"/>
        <v>10.3249344</v>
      </c>
      <c r="DW344" s="118">
        <f t="shared" si="269"/>
        <v>12.4</v>
      </c>
      <c r="DX344" s="119">
        <f t="shared" si="224"/>
        <v>0.4</v>
      </c>
      <c r="DY344" s="115">
        <f t="shared" si="270"/>
        <v>20.8</v>
      </c>
      <c r="DZ344" s="117">
        <f t="shared" si="271"/>
        <v>0</v>
      </c>
      <c r="EA344" s="120">
        <f t="shared" si="271"/>
        <v>0</v>
      </c>
      <c r="EB344" s="119">
        <f t="shared" si="264"/>
        <v>0</v>
      </c>
      <c r="EC344" s="121">
        <f t="shared" si="272"/>
        <v>0</v>
      </c>
      <c r="ED344" s="122"/>
      <c r="EE344" s="145">
        <v>18</v>
      </c>
      <c r="EF344" s="115">
        <v>25</v>
      </c>
      <c r="EG344" s="115">
        <v>50</v>
      </c>
      <c r="EH344" s="115">
        <v>24</v>
      </c>
      <c r="EI344" s="128" t="s">
        <v>195</v>
      </c>
      <c r="EJ344" s="121">
        <v>24</v>
      </c>
      <c r="EK344" s="121">
        <v>0</v>
      </c>
      <c r="EL344" s="149">
        <v>10.3249344</v>
      </c>
      <c r="EM344" s="142">
        <v>12.4</v>
      </c>
      <c r="EN344" s="119">
        <v>0.4</v>
      </c>
      <c r="EO344" s="115">
        <v>20.8</v>
      </c>
      <c r="EP344" s="115">
        <v>2014.5406444422542</v>
      </c>
      <c r="EQ344" s="115">
        <v>0</v>
      </c>
      <c r="ER344" s="115">
        <v>0</v>
      </c>
      <c r="ES344" s="115">
        <v>52</v>
      </c>
      <c r="ET344" s="150">
        <v>0.17464788732394368</v>
      </c>
      <c r="EU344" s="145">
        <f t="shared" si="225"/>
        <v>18</v>
      </c>
      <c r="EV344" s="115">
        <f t="shared" si="226"/>
        <v>25</v>
      </c>
      <c r="EW344" s="115">
        <f t="shared" si="226"/>
        <v>50</v>
      </c>
      <c r="EX344" s="115">
        <f t="shared" si="226"/>
        <v>24</v>
      </c>
      <c r="EY344" s="115" t="str">
        <f t="shared" si="253"/>
        <v>Постоянный</v>
      </c>
      <c r="EZ344" s="115">
        <f t="shared" si="253"/>
        <v>24</v>
      </c>
      <c r="FA344" s="115">
        <f t="shared" si="253"/>
        <v>0</v>
      </c>
      <c r="FB344" s="149">
        <f t="shared" si="238"/>
        <v>10.3249344</v>
      </c>
      <c r="FC344" s="142">
        <f t="shared" si="238"/>
        <v>12.4</v>
      </c>
      <c r="FD344" s="119">
        <f t="shared" si="238"/>
        <v>0.4</v>
      </c>
      <c r="FE344" s="121">
        <f t="shared" si="238"/>
        <v>20.8</v>
      </c>
      <c r="FF344" s="121">
        <f t="shared" si="247"/>
        <v>2014.5406444422542</v>
      </c>
      <c r="FG344" s="121">
        <f t="shared" si="227"/>
        <v>0</v>
      </c>
      <c r="FH344" s="121">
        <f t="shared" si="248"/>
        <v>0</v>
      </c>
      <c r="FI344" s="121">
        <f t="shared" si="252"/>
        <v>52</v>
      </c>
      <c r="FJ344" s="144">
        <f t="shared" si="228"/>
        <v>0.17464788732394368</v>
      </c>
      <c r="FK344" s="132">
        <f t="shared" si="229"/>
        <v>0</v>
      </c>
      <c r="FL344" s="115">
        <f t="shared" si="229"/>
        <v>0</v>
      </c>
      <c r="FM344" s="115">
        <f t="shared" si="229"/>
        <v>0</v>
      </c>
      <c r="FN344" s="115">
        <f t="shared" si="229"/>
        <v>0</v>
      </c>
      <c r="FO344" s="115">
        <f t="shared" si="257"/>
        <v>0</v>
      </c>
      <c r="FP344" s="115">
        <f t="shared" si="257"/>
        <v>0</v>
      </c>
      <c r="FQ344" s="149">
        <f t="shared" si="257"/>
        <v>0</v>
      </c>
      <c r="FR344" s="142">
        <f t="shared" si="256"/>
        <v>0</v>
      </c>
      <c r="FS344" s="119">
        <f t="shared" si="256"/>
        <v>0</v>
      </c>
      <c r="FT344" s="121">
        <f t="shared" si="256"/>
        <v>0</v>
      </c>
      <c r="FU344" s="121">
        <f t="shared" si="230"/>
        <v>0</v>
      </c>
      <c r="FV344" s="121">
        <f t="shared" si="230"/>
        <v>0</v>
      </c>
      <c r="FW344" s="121">
        <f t="shared" si="231"/>
        <v>0</v>
      </c>
      <c r="FX344" s="121">
        <f t="shared" si="233"/>
        <v>0</v>
      </c>
      <c r="FY344" s="144">
        <f t="shared" si="214"/>
        <v>0</v>
      </c>
      <c r="FZ344" s="145"/>
      <c r="GA344" s="151" t="s">
        <v>1424</v>
      </c>
      <c r="GB344" s="145"/>
      <c r="GC344" s="151" t="s">
        <v>1425</v>
      </c>
      <c r="GD344" s="997" t="s">
        <v>238</v>
      </c>
      <c r="GE344" s="1004"/>
      <c r="GF344" s="1004">
        <v>0.74939039999999935</v>
      </c>
      <c r="GG344" s="1004" t="s">
        <v>223</v>
      </c>
      <c r="GH344" s="1004">
        <v>-6.8610854400000001</v>
      </c>
      <c r="GI344" s="145"/>
      <c r="GJ344" s="996">
        <v>0.86265999999999821</v>
      </c>
      <c r="GK344" s="145" t="s">
        <v>25</v>
      </c>
      <c r="GL344" s="996">
        <v>3.8372400000000013</v>
      </c>
      <c r="GM344" s="1005"/>
      <c r="GN344" s="996">
        <v>0</v>
      </c>
      <c r="GO344" s="1006"/>
      <c r="GP344" s="996">
        <v>0</v>
      </c>
      <c r="GQ344" s="1006"/>
      <c r="GR344" s="996">
        <v>-4.1649520000001772E-2</v>
      </c>
      <c r="GS344" s="1006" t="s">
        <v>223</v>
      </c>
      <c r="GT344" s="996">
        <v>-3.3163952800000001</v>
      </c>
      <c r="GU344" s="1006"/>
      <c r="GV344" s="996">
        <v>0</v>
      </c>
      <c r="GW344" s="1006"/>
      <c r="GX344" s="1049">
        <v>0</v>
      </c>
      <c r="GY344" s="1006"/>
      <c r="GZ344" s="996">
        <v>0</v>
      </c>
      <c r="HA344" s="1006" t="s">
        <v>199</v>
      </c>
      <c r="HB344" s="996">
        <v>-2.5335816000000015</v>
      </c>
      <c r="HC344" s="1006" t="s">
        <v>199</v>
      </c>
      <c r="HD344" s="996">
        <v>-2.1583847999999968</v>
      </c>
      <c r="HE344" s="1006" t="s">
        <v>199</v>
      </c>
      <c r="HF344" s="996">
        <v>2.4034164000000011</v>
      </c>
      <c r="HG344" s="1006"/>
      <c r="HH344" s="996">
        <v>0.11600645319999714</v>
      </c>
      <c r="HI344" s="1006"/>
      <c r="HJ344" s="996">
        <v>0</v>
      </c>
      <c r="HK344" s="1006"/>
      <c r="HL344" s="996">
        <v>0</v>
      </c>
      <c r="HM344" s="1006"/>
      <c r="HN344" s="996">
        <v>-1.0236516532000017</v>
      </c>
      <c r="HO344" s="1006"/>
      <c r="HP344" s="996">
        <v>0</v>
      </c>
      <c r="HQ344" s="1006"/>
      <c r="HR344" s="996">
        <v>0</v>
      </c>
      <c r="HS344" s="1006" t="s">
        <v>223</v>
      </c>
      <c r="HT344" s="996">
        <v>-2.6710199999999986</v>
      </c>
      <c r="HU344" s="1006"/>
      <c r="HV344" s="996">
        <v>0</v>
      </c>
      <c r="HW344" s="1006"/>
      <c r="HX344" s="996">
        <v>-0.66211199999999693</v>
      </c>
      <c r="HY344" s="1006"/>
      <c r="HZ344" s="996">
        <v>-0.4806080399999999</v>
      </c>
      <c r="IA344" s="1006"/>
      <c r="IB344" s="996">
        <v>0</v>
      </c>
      <c r="IC344" s="1006"/>
      <c r="ID344" s="996">
        <v>0</v>
      </c>
      <c r="IE344" s="1006" t="s">
        <v>199</v>
      </c>
      <c r="IF344" s="996">
        <v>3.9162336399999944</v>
      </c>
      <c r="IG344" s="1006"/>
      <c r="IH344" s="996">
        <v>-0.83324119999999624</v>
      </c>
      <c r="II344" s="1006" t="s">
        <v>223</v>
      </c>
      <c r="IJ344" s="996">
        <v>-3.3329648000000027</v>
      </c>
      <c r="IK344" s="1006"/>
      <c r="IL344" s="996">
        <v>0</v>
      </c>
      <c r="IM344" s="1006"/>
      <c r="IN344" s="996">
        <v>0</v>
      </c>
      <c r="IO344" s="1006"/>
      <c r="IP344" s="996">
        <v>0</v>
      </c>
      <c r="IQ344" s="1006"/>
      <c r="IR344" s="996">
        <v>0</v>
      </c>
      <c r="IS344" s="1006"/>
      <c r="IT344" s="996">
        <v>0</v>
      </c>
      <c r="IU344" s="1006"/>
      <c r="IV344" s="996">
        <v>0</v>
      </c>
      <c r="IW344" s="1006"/>
      <c r="IX344" s="996">
        <v>0</v>
      </c>
      <c r="IY344" s="1006"/>
      <c r="IZ344" s="996">
        <v>-0.41662059999999812</v>
      </c>
      <c r="JA344" s="1006"/>
      <c r="JB344" s="996">
        <v>0</v>
      </c>
      <c r="JC344" s="1006" t="s">
        <v>199</v>
      </c>
      <c r="JD344" s="996">
        <v>2.0831030000000013</v>
      </c>
      <c r="JE344" s="1006"/>
      <c r="JF344" s="996">
        <v>0</v>
      </c>
      <c r="JG344" s="1006" t="s">
        <v>199</v>
      </c>
      <c r="JH344" s="996">
        <v>3.5829371600000002</v>
      </c>
      <c r="JI344" s="1006" t="s">
        <v>199</v>
      </c>
      <c r="JJ344" s="996">
        <v>-6.9959071600000016</v>
      </c>
      <c r="JK344" s="1007" t="s">
        <v>199</v>
      </c>
      <c r="JL344" s="1007">
        <v>-2.2989999999999995</v>
      </c>
      <c r="JM344" s="1007" t="s">
        <v>199</v>
      </c>
      <c r="JN344" s="1007">
        <v>3.1350000000000016</v>
      </c>
      <c r="JO344" s="1008"/>
      <c r="JP344" s="1007">
        <v>0</v>
      </c>
      <c r="JQ344" s="1008" t="s">
        <v>199</v>
      </c>
      <c r="JR344" s="1007">
        <v>4.597999999999999</v>
      </c>
      <c r="JS344" s="1008" t="s">
        <v>204</v>
      </c>
      <c r="JT344" s="1007">
        <v>-6.1153399999999998</v>
      </c>
      <c r="JU344" s="1008"/>
      <c r="JV344" s="1007">
        <v>3.7452800000000508E-2</v>
      </c>
      <c r="JW344" s="1008" t="s">
        <v>197</v>
      </c>
      <c r="JX344" s="1007">
        <v>0</v>
      </c>
      <c r="JY344" s="1008" t="s">
        <v>199</v>
      </c>
      <c r="JZ344" s="1007">
        <v>-2.1714263999999979</v>
      </c>
      <c r="KA344" s="1008"/>
      <c r="KB344" s="1007">
        <v>0</v>
      </c>
      <c r="KC344" s="1008"/>
      <c r="KD344" s="1007">
        <v>0</v>
      </c>
      <c r="KE344" s="1008"/>
      <c r="KF344" s="1007">
        <v>0</v>
      </c>
      <c r="KG344" s="1008"/>
      <c r="KH344" s="1007">
        <v>0</v>
      </c>
      <c r="KI344" s="1008"/>
      <c r="KJ344" s="1007">
        <v>0</v>
      </c>
      <c r="KK344" s="1008"/>
      <c r="KL344" s="1007">
        <v>0</v>
      </c>
      <c r="KM344" s="1008" t="s">
        <v>206</v>
      </c>
      <c r="KN344" s="1007">
        <v>-2.8862064000000025</v>
      </c>
      <c r="KO344" s="1008"/>
      <c r="KP344" s="1007">
        <v>0</v>
      </c>
      <c r="KQ344" s="1008" t="s">
        <v>206</v>
      </c>
      <c r="KR344" s="1007">
        <v>-2.4954599999999978</v>
      </c>
      <c r="KS344" s="1008">
        <v>0</v>
      </c>
      <c r="KT344" s="1007">
        <v>0</v>
      </c>
      <c r="KU344" s="1008" t="s">
        <v>206</v>
      </c>
      <c r="KV344" s="1007">
        <v>0.9150020000000012</v>
      </c>
      <c r="KW344" s="1008">
        <v>0</v>
      </c>
      <c r="KX344" s="1007">
        <v>0</v>
      </c>
      <c r="KY344" s="1008">
        <v>0</v>
      </c>
      <c r="KZ344" s="1007">
        <v>0</v>
      </c>
      <c r="LA344" s="1008">
        <v>0</v>
      </c>
      <c r="LB344" s="1007">
        <v>0</v>
      </c>
      <c r="LC344" s="1008">
        <v>0</v>
      </c>
      <c r="LD344" s="1007">
        <v>0</v>
      </c>
      <c r="LE344" s="1008" t="s">
        <v>223</v>
      </c>
      <c r="LF344" s="1007">
        <v>2.4289144</v>
      </c>
      <c r="LG344" s="1008" t="s">
        <v>223</v>
      </c>
      <c r="LH344" s="1007">
        <v>-3.3272799999999947</v>
      </c>
      <c r="LI344" s="1008" t="s">
        <v>223</v>
      </c>
      <c r="LJ344" s="1007">
        <v>-8.6675644000000034</v>
      </c>
      <c r="LK344" s="1008">
        <v>0</v>
      </c>
      <c r="LL344" s="1007">
        <v>0</v>
      </c>
      <c r="LM344" s="1008">
        <v>0</v>
      </c>
      <c r="LN344" s="1007">
        <v>0</v>
      </c>
      <c r="LO344" s="1008" t="s">
        <v>206</v>
      </c>
      <c r="LP344" s="1007">
        <v>6.1721440000000003</v>
      </c>
      <c r="LQ344" s="1008">
        <v>0</v>
      </c>
      <c r="LR344" s="1007">
        <v>0</v>
      </c>
      <c r="LS344" s="1008">
        <v>0</v>
      </c>
      <c r="LT344" s="1007">
        <v>0</v>
      </c>
      <c r="LU344" s="1008">
        <v>0</v>
      </c>
      <c r="LV344" s="1007">
        <v>0</v>
      </c>
      <c r="LW344" s="1008">
        <v>0</v>
      </c>
      <c r="LX344" s="1007">
        <v>0</v>
      </c>
      <c r="LY344" s="1009">
        <v>0</v>
      </c>
      <c r="LZ344" s="1010">
        <v>-0.29260000000000003</v>
      </c>
      <c r="MA344" s="1011">
        <v>0</v>
      </c>
      <c r="MB344" s="1012">
        <v>0</v>
      </c>
      <c r="MC344" s="995"/>
      <c r="MD344" s="996"/>
      <c r="ME344" s="997" t="s">
        <v>238</v>
      </c>
      <c r="MF344" s="997"/>
      <c r="MG344" s="998"/>
      <c r="NR344" s="1000"/>
      <c r="NS344" s="1000"/>
      <c r="NT344" s="1001"/>
      <c r="NU344" s="1000"/>
      <c r="NV344" s="1001"/>
      <c r="NX344" s="1002"/>
      <c r="NZ344" s="1001"/>
      <c r="OA344" s="1001"/>
      <c r="OC344" s="1003"/>
      <c r="OD344" s="1003"/>
      <c r="OE344" s="1001"/>
      <c r="OF344" s="1003"/>
      <c r="OG344" s="1003"/>
      <c r="QX344" s="1000">
        <f t="shared" si="262"/>
        <v>27</v>
      </c>
      <c r="ASU344" s="999" t="s">
        <v>208</v>
      </c>
    </row>
    <row r="345" spans="1:466 1191:1191" ht="21" customHeight="1" x14ac:dyDescent="0.25">
      <c r="A345" s="982">
        <f t="shared" si="215"/>
        <v>1367</v>
      </c>
      <c r="B345" s="124">
        <f>SUBTOTAL(103,$J$29:J345)</f>
        <v>317</v>
      </c>
      <c r="C345" s="126">
        <v>45096</v>
      </c>
      <c r="D345" s="124" t="s">
        <v>176</v>
      </c>
      <c r="E345" s="127" t="s">
        <v>177</v>
      </c>
      <c r="F345" s="128" t="s">
        <v>177</v>
      </c>
      <c r="G345" s="127" t="s">
        <v>178</v>
      </c>
      <c r="H345" s="127" t="s">
        <v>179</v>
      </c>
      <c r="I345" s="127" t="s">
        <v>417</v>
      </c>
      <c r="J345" s="152">
        <v>1367</v>
      </c>
      <c r="K345" s="127" t="s">
        <v>1154</v>
      </c>
      <c r="L345" s="130">
        <v>43460</v>
      </c>
      <c r="M345" s="127" t="s">
        <v>230</v>
      </c>
      <c r="N345" s="127" t="s">
        <v>231</v>
      </c>
      <c r="O345" s="127" t="s">
        <v>185</v>
      </c>
      <c r="P345" s="127" t="s">
        <v>315</v>
      </c>
      <c r="Q345" s="85" t="str">
        <f t="shared" si="249"/>
        <v/>
      </c>
      <c r="R345" s="130"/>
      <c r="S345" s="128"/>
      <c r="T345" s="131"/>
      <c r="U345" s="132">
        <v>203</v>
      </c>
      <c r="V345" s="121">
        <v>218.2</v>
      </c>
      <c r="W345" s="116">
        <v>0.98</v>
      </c>
      <c r="X345" s="116">
        <v>1.66</v>
      </c>
      <c r="Y345" s="116">
        <f t="shared" si="239"/>
        <v>1.0119180911149259</v>
      </c>
      <c r="Z345" s="133">
        <v>1.454</v>
      </c>
      <c r="AA345" s="133">
        <v>0.83599999999999997</v>
      </c>
      <c r="AB345" s="133">
        <v>0.72</v>
      </c>
      <c r="AC345" s="121">
        <v>34.299999999999997</v>
      </c>
      <c r="AD345" s="134">
        <v>1.17</v>
      </c>
      <c r="AE345" s="124">
        <v>177.8</v>
      </c>
      <c r="AF345" s="128">
        <v>9.19</v>
      </c>
      <c r="AG345" s="128">
        <v>2338</v>
      </c>
      <c r="AH345" s="127">
        <v>2410</v>
      </c>
      <c r="AI345" s="127">
        <v>2410</v>
      </c>
      <c r="AJ345" s="135"/>
      <c r="AK345" s="128"/>
      <c r="AL345" s="131"/>
      <c r="AM345" s="124" t="s">
        <v>232</v>
      </c>
      <c r="AN345" s="136" t="s">
        <v>1426</v>
      </c>
      <c r="AO345" s="137">
        <v>29.27</v>
      </c>
      <c r="AP345" s="128">
        <v>2318</v>
      </c>
      <c r="AQ345" s="128">
        <v>405.2</v>
      </c>
      <c r="AR345" s="128" t="s">
        <v>1427</v>
      </c>
      <c r="AS345" s="128">
        <v>114</v>
      </c>
      <c r="AT345" s="122">
        <v>7.37</v>
      </c>
      <c r="AU345" s="124" t="s">
        <v>883</v>
      </c>
      <c r="AV345" s="115">
        <f>VLOOKUP(J345,'[63]ТР нефть'!$J$28:$BP$638,39,0)</f>
        <v>300</v>
      </c>
      <c r="AW345" s="115" t="str">
        <f>VLOOKUP(J345,'[63]ТР нефть'!$J$28:$BP$638,40,0)</f>
        <v>ГК43 5/16</v>
      </c>
      <c r="AX345" s="115" t="str">
        <f>VLOOKUP(J345,'[63]ТР нефть'!$J$28:$BP$638,41,0)</f>
        <v>-</v>
      </c>
      <c r="AY345" s="115" t="str">
        <f>VLOOKUP(J345,'[63]ТР нефть'!$J$28:$BP$638,42,0)</f>
        <v>-</v>
      </c>
      <c r="AZ345" s="115" t="str">
        <f>VLOOKUP(J345,'[63]ТР нефть'!$J$28:$BP$638,43,0)</f>
        <v>-</v>
      </c>
      <c r="BA345" s="115" t="str">
        <f>VLOOKUP(J345,'[63]ТР нефть'!$J$28:$BP$638,44,0)</f>
        <v>-</v>
      </c>
      <c r="BB345" s="115" t="str">
        <f>VLOOKUP(J345,'[63]ТР нефть'!$J$28:$BP$638,45,0)</f>
        <v>-</v>
      </c>
      <c r="BC345" s="115" t="str">
        <f>VLOOKUP(J345,'[63]ТР нефть'!$J$28:$BP$638,46,0)</f>
        <v>-</v>
      </c>
      <c r="BD345" s="115" t="str">
        <f>VLOOKUP(J345,'[63]ТР нефть'!$J$28:$BP$638,47,0)</f>
        <v>-</v>
      </c>
      <c r="BE345" s="115" t="str">
        <f>VLOOKUP(J345,'[63]ТР нефть'!$J$28:$BP$638,48,0)</f>
        <v>-</v>
      </c>
      <c r="BF345" s="115" t="str">
        <f>VLOOKUP(J345,'[63]ТР нефть'!$J$28:$BP$638,49,0)</f>
        <v>-</v>
      </c>
      <c r="BG345" s="115" t="str">
        <f>VLOOKUP(J345,'[63]ТР нефть'!$J$28:$BP$638,50,0)</f>
        <v>-</v>
      </c>
      <c r="BH345" s="115">
        <f>VLOOKUP(J345,'[63]ТР нефть'!$J$28:$BP$638,51,0)</f>
        <v>1770</v>
      </c>
      <c r="BI345" s="115" t="str">
        <f>VLOOKUP(J345,'[63]ТР нефть'!$J$28:$BP$638,52,0)</f>
        <v>закрыт</v>
      </c>
      <c r="BJ345" s="115" t="str">
        <f>IF(IFERROR(VLOOKUP(J345,'[63]ТР нефть'!$J$28:$BP$638,53,0),"-")=0,"-",IFERROR(VLOOKUP(J345,'[63]ТР нефть'!$J$28:$BP$638,53,0),"-"))</f>
        <v>-</v>
      </c>
      <c r="BK345" s="138" t="str">
        <f>IF(IFERROR(VLOOKUP(J345,'[63]ТР нефть'!$J$28:$BP$638,54,0),"-")=0,"-",IFERROR(VLOOKUP(J345,'[63]ТР нефть'!$J$28:$BP$638,54,0),"-"))</f>
        <v>D1050N</v>
      </c>
      <c r="BL345" s="138" t="str">
        <f>IF(IFERROR(VLOOKUP(J345,'[63]ТР нефть'!$J$28:$BP$638,55,0),"-")=0,"-",IFERROR(VLOOKUP(J345,'[63]ТР нефть'!$J$28:$BP$638,55,0),"-"))</f>
        <v>-</v>
      </c>
      <c r="BM345" s="138">
        <f>IF(IFERROR(VLOOKUP(J345,'[63]ТР нефть'!$J$28:$BP$638,56,0),"-")=0,"-",IFERROR(VLOOKUP(J345,'[63]ТР нефть'!$J$28:$BP$638,56,0),"-"))</f>
        <v>1321</v>
      </c>
      <c r="BN345" s="138">
        <v>62</v>
      </c>
      <c r="BO345" s="115">
        <f>IF(IFERROR(VLOOKUP(J345,'[63]ТР нефть'!$J$28:$BP$638,58,0),"-")=0,"-",IFERROR(VLOOKUP(J345,'[63]ТР нефть'!$J$28:$BP$638,58,0),"-"))</f>
        <v>33</v>
      </c>
      <c r="BP345" s="115" t="str">
        <f>IF(IFERROR(VLOOKUP(J345,'[63]ТР нефть'!$J$28:$BP$638,59,0),"-")=0,"-",IFERROR(VLOOKUP(J345,'[63]ТР нефть'!$J$28:$BP$638,59,0),"-"))</f>
        <v>-</v>
      </c>
      <c r="BQ345" s="138">
        <v>2050</v>
      </c>
      <c r="BR345" s="128">
        <v>1749.6</v>
      </c>
      <c r="BS345" s="115">
        <f t="shared" si="258"/>
        <v>300.40000000000009</v>
      </c>
      <c r="BT345" s="128">
        <v>73</v>
      </c>
      <c r="BU345" s="128">
        <v>5.5</v>
      </c>
      <c r="BV345" s="127">
        <v>65</v>
      </c>
      <c r="BW345" s="127" t="s">
        <v>217</v>
      </c>
      <c r="BX345" s="127" t="s">
        <v>218</v>
      </c>
      <c r="BY345" s="139">
        <v>5</v>
      </c>
      <c r="BZ345" s="139">
        <v>19</v>
      </c>
      <c r="CA345" s="80">
        <v>22</v>
      </c>
      <c r="CB345" s="138">
        <v>25</v>
      </c>
      <c r="CC345" s="138">
        <v>21</v>
      </c>
      <c r="CD345" s="135">
        <v>45017</v>
      </c>
      <c r="CE345" s="138">
        <v>130</v>
      </c>
      <c r="CF345" s="138"/>
      <c r="CG345" s="138" t="str">
        <f t="shared" si="265"/>
        <v/>
      </c>
      <c r="CH345" s="138" t="s">
        <v>197</v>
      </c>
      <c r="CI345" s="127"/>
      <c r="CJ345" s="138"/>
      <c r="CK345" s="138"/>
      <c r="CL345" s="99"/>
      <c r="CM345" s="127">
        <v>82</v>
      </c>
      <c r="CN345" s="154">
        <f>IF(CM345=0,0,(((AP345-AQ345-BR345)*((AD345*(CQ345/100))+(AB345*((100-CQ345)/100)))*9.81/100+CM345)))</f>
        <v>94.081886128000008</v>
      </c>
      <c r="CO345" s="141">
        <f t="shared" si="216"/>
        <v>5.8643727999999999</v>
      </c>
      <c r="CP345" s="142">
        <v>7.6</v>
      </c>
      <c r="CQ345" s="143">
        <v>7.7</v>
      </c>
      <c r="CR345" s="138">
        <v>12</v>
      </c>
      <c r="CS345" s="139"/>
      <c r="CT345" s="138"/>
      <c r="CU345" s="138">
        <f t="shared" si="259"/>
        <v>12</v>
      </c>
      <c r="CV345" s="115">
        <f t="shared" si="260"/>
        <v>2046.2546310152725</v>
      </c>
      <c r="CW345" s="115" t="str">
        <f t="shared" si="217"/>
        <v/>
      </c>
      <c r="CX345" s="133">
        <f t="shared" si="261"/>
        <v>0.21159240229272142</v>
      </c>
      <c r="CY345" s="116"/>
      <c r="CZ345" s="131"/>
      <c r="DA345" s="145" t="str">
        <f t="shared" si="218"/>
        <v>ЭЦН</v>
      </c>
      <c r="DB345" s="146">
        <f t="shared" si="219"/>
        <v>5.7563616</v>
      </c>
      <c r="DC345" s="142">
        <f t="shared" si="234"/>
        <v>7.6</v>
      </c>
      <c r="DD345" s="119">
        <f t="shared" si="250"/>
        <v>9.4</v>
      </c>
      <c r="DE345" s="115">
        <f t="shared" si="220"/>
        <v>12</v>
      </c>
      <c r="DF345" s="121">
        <f t="shared" si="221"/>
        <v>0</v>
      </c>
      <c r="DG345" s="115">
        <f t="shared" si="222"/>
        <v>2046.2546310152725</v>
      </c>
      <c r="DH345" s="115">
        <f t="shared" si="223"/>
        <v>94.081886128000008</v>
      </c>
      <c r="DI345" s="147"/>
      <c r="DJ345" s="111">
        <v>44231</v>
      </c>
      <c r="DK345" s="112">
        <v>44002</v>
      </c>
      <c r="DL345" s="113">
        <f t="shared" ca="1" si="266"/>
        <v>1102</v>
      </c>
      <c r="DM345" s="114">
        <v>18.600000000000001</v>
      </c>
      <c r="DN345" s="114">
        <v>45</v>
      </c>
      <c r="DO345" s="114">
        <v>38</v>
      </c>
      <c r="DP345" s="114"/>
      <c r="DQ345" s="112">
        <v>43594</v>
      </c>
      <c r="DR345" s="114" t="s">
        <v>198</v>
      </c>
      <c r="DS345" s="114"/>
      <c r="DT345" s="115">
        <v>65</v>
      </c>
      <c r="DU345" s="116">
        <f t="shared" si="267"/>
        <v>0.18760978122040955</v>
      </c>
      <c r="DV345" s="117">
        <f t="shared" si="268"/>
        <v>9.4097224171302418</v>
      </c>
      <c r="DW345" s="118">
        <f t="shared" si="269"/>
        <v>12.194635779326621</v>
      </c>
      <c r="DX345" s="119">
        <f t="shared" si="224"/>
        <v>7.7</v>
      </c>
      <c r="DY345" s="115">
        <f t="shared" si="270"/>
        <v>19.254688072620983</v>
      </c>
      <c r="DZ345" s="117">
        <f t="shared" si="271"/>
        <v>3.5453496171302419</v>
      </c>
      <c r="EA345" s="120">
        <f t="shared" si="271"/>
        <v>4.5946357793266213</v>
      </c>
      <c r="EB345" s="119">
        <f t="shared" si="264"/>
        <v>0</v>
      </c>
      <c r="EC345" s="121">
        <f t="shared" si="272"/>
        <v>7.2546880726209828</v>
      </c>
      <c r="ED345" s="122"/>
      <c r="EE345" s="145">
        <v>65</v>
      </c>
      <c r="EF345" s="148">
        <v>25</v>
      </c>
      <c r="EG345" s="115">
        <v>25</v>
      </c>
      <c r="EH345" s="115">
        <v>24</v>
      </c>
      <c r="EI345" s="128" t="s">
        <v>218</v>
      </c>
      <c r="EJ345" s="121">
        <v>5</v>
      </c>
      <c r="EK345" s="121">
        <v>19</v>
      </c>
      <c r="EL345" s="149">
        <v>2.8781808</v>
      </c>
      <c r="EM345" s="142">
        <v>3.8</v>
      </c>
      <c r="EN345" s="119">
        <v>9.4</v>
      </c>
      <c r="EO345" s="115">
        <v>6.2</v>
      </c>
      <c r="EP345" s="115">
        <v>2154.1384752479762</v>
      </c>
      <c r="EQ345" s="115">
        <v>0</v>
      </c>
      <c r="ER345" s="115">
        <v>0</v>
      </c>
      <c r="ES345" s="115">
        <v>107.204362016</v>
      </c>
      <c r="ET345" s="150">
        <v>0.16524873120041211</v>
      </c>
      <c r="EU345" s="145">
        <f t="shared" si="225"/>
        <v>65</v>
      </c>
      <c r="EV345" s="115">
        <f t="shared" si="226"/>
        <v>22</v>
      </c>
      <c r="EW345" s="115">
        <f t="shared" si="226"/>
        <v>25</v>
      </c>
      <c r="EX345" s="115">
        <f t="shared" si="226"/>
        <v>21</v>
      </c>
      <c r="EY345" s="115" t="str">
        <f t="shared" si="253"/>
        <v>Периодический</v>
      </c>
      <c r="EZ345" s="115">
        <f t="shared" si="253"/>
        <v>5</v>
      </c>
      <c r="FA345" s="115">
        <f t="shared" si="253"/>
        <v>19</v>
      </c>
      <c r="FB345" s="149">
        <f t="shared" si="238"/>
        <v>5.8643727999999999</v>
      </c>
      <c r="FC345" s="142">
        <f t="shared" si="238"/>
        <v>7.6</v>
      </c>
      <c r="FD345" s="119">
        <f t="shared" si="238"/>
        <v>7.7</v>
      </c>
      <c r="FE345" s="121">
        <f t="shared" si="238"/>
        <v>12</v>
      </c>
      <c r="FF345" s="121">
        <f t="shared" si="247"/>
        <v>2046.2546310152725</v>
      </c>
      <c r="FG345" s="121">
        <f t="shared" si="227"/>
        <v>0</v>
      </c>
      <c r="FH345" s="121">
        <f t="shared" si="248"/>
        <v>0</v>
      </c>
      <c r="FI345" s="121">
        <f t="shared" si="252"/>
        <v>94.081886128000008</v>
      </c>
      <c r="FJ345" s="144">
        <f t="shared" si="228"/>
        <v>0.21159240229272142</v>
      </c>
      <c r="FK345" s="132">
        <f t="shared" si="229"/>
        <v>0</v>
      </c>
      <c r="FL345" s="115">
        <f t="shared" si="229"/>
        <v>-3</v>
      </c>
      <c r="FM345" s="115">
        <f t="shared" si="229"/>
        <v>0</v>
      </c>
      <c r="FN345" s="115">
        <f t="shared" si="229"/>
        <v>-3</v>
      </c>
      <c r="FO345" s="115">
        <f t="shared" si="257"/>
        <v>0</v>
      </c>
      <c r="FP345" s="115">
        <f t="shared" si="257"/>
        <v>0</v>
      </c>
      <c r="FQ345" s="149">
        <f t="shared" si="257"/>
        <v>2.986192</v>
      </c>
      <c r="FR345" s="142">
        <f t="shared" si="256"/>
        <v>3.8</v>
      </c>
      <c r="FS345" s="119">
        <f t="shared" si="256"/>
        <v>-1.7000000000000002</v>
      </c>
      <c r="FT345" s="121">
        <f t="shared" si="256"/>
        <v>5.8</v>
      </c>
      <c r="FU345" s="121">
        <f t="shared" si="230"/>
        <v>0</v>
      </c>
      <c r="FV345" s="121">
        <f t="shared" si="230"/>
        <v>0</v>
      </c>
      <c r="FW345" s="121">
        <f t="shared" si="231"/>
        <v>-107.88384423270372</v>
      </c>
      <c r="FX345" s="121">
        <f t="shared" si="233"/>
        <v>-13.122475887999997</v>
      </c>
      <c r="FY345" s="144">
        <f t="shared" si="214"/>
        <v>4.6343671092309302E-2</v>
      </c>
      <c r="FZ345" s="145" t="s">
        <v>199</v>
      </c>
      <c r="GA345" s="1034" t="s">
        <v>1428</v>
      </c>
      <c r="GB345" s="145" t="s">
        <v>199</v>
      </c>
      <c r="GC345" s="151" t="s">
        <v>1429</v>
      </c>
      <c r="GD345" s="997" t="s">
        <v>238</v>
      </c>
      <c r="GE345" s="1004" t="s">
        <v>199</v>
      </c>
      <c r="GF345" s="1004">
        <v>-4.2229703999999995</v>
      </c>
      <c r="GG345" s="1004" t="s">
        <v>199</v>
      </c>
      <c r="GH345" s="1004">
        <v>3.2221111999999992</v>
      </c>
      <c r="GI345" s="145" t="s">
        <v>204</v>
      </c>
      <c r="GJ345" s="996">
        <v>0</v>
      </c>
      <c r="GK345" s="145" t="s">
        <v>199</v>
      </c>
      <c r="GL345" s="996">
        <v>-1.680359999999999</v>
      </c>
      <c r="GM345" s="1005" t="s">
        <v>199</v>
      </c>
      <c r="GN345" s="996">
        <v>-2.0470714000000001</v>
      </c>
      <c r="GO345" s="1006" t="s">
        <v>199</v>
      </c>
      <c r="GP345" s="996">
        <v>-4.3005094000000001</v>
      </c>
      <c r="GQ345" s="1006" t="s">
        <v>308</v>
      </c>
      <c r="GR345" s="996">
        <v>2.0442707999999978</v>
      </c>
      <c r="GS345" s="1006"/>
      <c r="GT345" s="996">
        <v>0</v>
      </c>
      <c r="GU345" s="1006"/>
      <c r="GV345" s="996">
        <v>0</v>
      </c>
      <c r="GW345" s="1006"/>
      <c r="GX345" s="1049">
        <v>0</v>
      </c>
      <c r="GY345" s="1006"/>
      <c r="GZ345" s="996">
        <v>0</v>
      </c>
      <c r="HA345" s="1006"/>
      <c r="HB345" s="996">
        <v>0</v>
      </c>
      <c r="HC345" s="1006"/>
      <c r="HD345" s="996">
        <v>0</v>
      </c>
      <c r="HE345" s="1006" t="s">
        <v>204</v>
      </c>
      <c r="HF345" s="996">
        <v>-2.928090000000001</v>
      </c>
      <c r="HG345" s="1006"/>
      <c r="HH345" s="996">
        <v>0</v>
      </c>
      <c r="HI345" s="1006"/>
      <c r="HJ345" s="996">
        <v>0</v>
      </c>
      <c r="HK345" s="1006"/>
      <c r="HL345" s="996">
        <v>0</v>
      </c>
      <c r="HM345" s="1006" t="s">
        <v>199</v>
      </c>
      <c r="HN345" s="996">
        <v>-2.4942896000000001</v>
      </c>
      <c r="HO345" s="1006"/>
      <c r="HP345" s="996">
        <v>0.13944480000000148</v>
      </c>
      <c r="HQ345" s="1006"/>
      <c r="HR345" s="996">
        <v>0</v>
      </c>
      <c r="HS345" s="1006"/>
      <c r="HT345" s="996">
        <v>0</v>
      </c>
      <c r="HU345" s="1006" t="s">
        <v>886</v>
      </c>
      <c r="HV345" s="996">
        <v>-28.493555199999996</v>
      </c>
      <c r="HW345" s="1006"/>
      <c r="HX345" s="996">
        <v>0.70224000000000331</v>
      </c>
      <c r="HY345" s="1006" t="s">
        <v>223</v>
      </c>
      <c r="HZ345" s="996">
        <v>-3.7569840000000028</v>
      </c>
      <c r="IA345" s="1006"/>
      <c r="IB345" s="996">
        <v>-0.87278400000000289</v>
      </c>
      <c r="IC345" s="1006"/>
      <c r="ID345" s="996">
        <v>0.24901012399999445</v>
      </c>
      <c r="IE345" s="1006"/>
      <c r="IF345" s="996">
        <v>0</v>
      </c>
      <c r="IG345" s="1006" t="s">
        <v>199</v>
      </c>
      <c r="IH345" s="996">
        <v>8.3524266760000074</v>
      </c>
      <c r="II345" s="1006" t="s">
        <v>199</v>
      </c>
      <c r="IJ345" s="996">
        <v>-6.6592416000000014</v>
      </c>
      <c r="IK345" s="1006" t="s">
        <v>199</v>
      </c>
      <c r="IL345" s="996">
        <v>-18.214099200000007</v>
      </c>
      <c r="IM345" s="1006" t="s">
        <v>146</v>
      </c>
      <c r="IN345" s="996">
        <v>-4.3839839999999981</v>
      </c>
      <c r="IO345" s="1006" t="s">
        <v>204</v>
      </c>
      <c r="IP345" s="996">
        <v>8.030616000000002</v>
      </c>
      <c r="IQ345" s="1006"/>
      <c r="IR345" s="996">
        <v>0</v>
      </c>
      <c r="IS345" s="1006" t="s">
        <v>204</v>
      </c>
      <c r="IT345" s="996">
        <v>11.677247999999999</v>
      </c>
      <c r="IU345" s="1006" t="s">
        <v>239</v>
      </c>
      <c r="IV345" s="996">
        <v>0.44475200000000825</v>
      </c>
      <c r="IW345" s="1006"/>
      <c r="IX345" s="996">
        <v>0</v>
      </c>
      <c r="IY345" s="1006"/>
      <c r="IZ345" s="996">
        <v>0</v>
      </c>
      <c r="JA345" s="1006"/>
      <c r="JB345" s="996">
        <v>-0.57392821200001265</v>
      </c>
      <c r="JC345" s="1006" t="s">
        <v>146</v>
      </c>
      <c r="JD345" s="996">
        <v>-4.2247117879999934</v>
      </c>
      <c r="JE345" s="1006"/>
      <c r="JF345" s="996">
        <v>1.0032000000009589E-2</v>
      </c>
      <c r="JG345" s="1006"/>
      <c r="JH345" s="996">
        <v>0</v>
      </c>
      <c r="JI345" s="1006"/>
      <c r="JJ345" s="996">
        <v>0</v>
      </c>
      <c r="JK345" s="1007"/>
      <c r="JL345" s="1007">
        <v>-0.36150312000000895</v>
      </c>
      <c r="JM345" s="1007"/>
      <c r="JN345" s="1007">
        <v>0</v>
      </c>
      <c r="JO345" s="1008" t="s">
        <v>205</v>
      </c>
      <c r="JP345" s="1007">
        <v>35.856391119999998</v>
      </c>
      <c r="JQ345" s="1008">
        <v>0</v>
      </c>
      <c r="JR345" s="1007">
        <v>0</v>
      </c>
      <c r="JS345" s="1008" t="s">
        <v>1382</v>
      </c>
      <c r="JT345" s="1007">
        <v>9.6636583999999992</v>
      </c>
      <c r="JU345" s="1008"/>
      <c r="JV345" s="1007">
        <v>0</v>
      </c>
      <c r="JW345" s="1008" t="s">
        <v>25</v>
      </c>
      <c r="JX345" s="1007">
        <v>7.7000616000000006</v>
      </c>
      <c r="JY345" s="1008"/>
      <c r="JZ345" s="1007">
        <v>0</v>
      </c>
      <c r="KA345" s="1008"/>
      <c r="KB345" s="1007">
        <v>0</v>
      </c>
      <c r="KC345" s="1008"/>
      <c r="KD345" s="1007">
        <v>-0.10031999999999999</v>
      </c>
      <c r="KE345" s="1008"/>
      <c r="KF345" s="1007">
        <v>0</v>
      </c>
      <c r="KG345" s="1008"/>
      <c r="KH345" s="1007">
        <v>0.10031999999999999</v>
      </c>
      <c r="KI345" s="1008"/>
      <c r="KJ345" s="1007">
        <v>0</v>
      </c>
      <c r="KK345" s="1008"/>
      <c r="KL345" s="1007">
        <v>0</v>
      </c>
      <c r="KM345" s="1008"/>
      <c r="KN345" s="1007">
        <v>0</v>
      </c>
      <c r="KO345" s="1008"/>
      <c r="KP345" s="1007">
        <v>0</v>
      </c>
      <c r="KQ345" s="1008"/>
      <c r="KR345" s="1007"/>
      <c r="KS345" s="1008"/>
      <c r="KT345" s="1007"/>
      <c r="KU345" s="1008"/>
      <c r="KV345" s="1007" t="s">
        <v>192</v>
      </c>
      <c r="KW345" s="1008"/>
      <c r="KX345" s="1007"/>
      <c r="KY345" s="1008" t="s">
        <v>197</v>
      </c>
      <c r="KZ345" s="1007" t="s">
        <v>197</v>
      </c>
      <c r="LA345" s="1008" t="s">
        <v>197</v>
      </c>
      <c r="LB345" s="1007" t="e">
        <v>#VALUE!</v>
      </c>
      <c r="LC345" s="1008"/>
      <c r="LD345" s="1007" t="e">
        <v>#VALUE!</v>
      </c>
      <c r="LE345" s="1008" t="e">
        <v>#VALUE!</v>
      </c>
      <c r="LF345" s="1007" t="e">
        <v>#VALUE!</v>
      </c>
      <c r="LG345" s="1008" t="e">
        <v>#VALUE!</v>
      </c>
      <c r="LH345" s="1007" t="e">
        <v>#VALUE!</v>
      </c>
      <c r="LI345" s="1008" t="e">
        <v>#VALUE!</v>
      </c>
      <c r="LJ345" s="1007" t="e">
        <v>#VALUE!</v>
      </c>
      <c r="LK345" s="1008" t="e">
        <v>#VALUE!</v>
      </c>
      <c r="LL345" s="1007"/>
      <c r="LM345" s="1008"/>
      <c r="LN345" s="1007"/>
      <c r="LO345" s="1008"/>
      <c r="LP345" s="1007"/>
      <c r="LQ345" s="1008"/>
      <c r="LR345" s="1007"/>
      <c r="LS345" s="1008"/>
      <c r="LT345" s="1007"/>
      <c r="LU345" s="1008"/>
      <c r="LV345" s="1007"/>
      <c r="LW345" s="1008"/>
      <c r="LX345" s="1007"/>
      <c r="LY345" s="1009"/>
      <c r="LZ345" s="1010"/>
      <c r="MA345" s="1011"/>
      <c r="MB345" s="1012"/>
      <c r="MC345" s="995"/>
      <c r="MD345" s="996"/>
      <c r="ME345" s="997" t="s">
        <v>238</v>
      </c>
      <c r="MF345" s="997"/>
      <c r="MG345" s="998"/>
      <c r="NR345" s="1000"/>
      <c r="NS345" s="1000"/>
      <c r="NT345" s="1001"/>
      <c r="NU345" s="1000"/>
      <c r="NV345" s="1001"/>
      <c r="NX345" s="1002"/>
      <c r="NZ345" s="1001"/>
      <c r="OA345" s="1001"/>
      <c r="OC345" s="1003"/>
      <c r="OD345" s="1003"/>
      <c r="OE345" s="1001"/>
      <c r="OF345" s="1003"/>
      <c r="OG345" s="1003"/>
      <c r="QX345" s="1000">
        <f t="shared" si="262"/>
        <v>72.081886128000008</v>
      </c>
      <c r="ASU345" s="999" t="s">
        <v>292</v>
      </c>
    </row>
    <row r="346" spans="1:466 1191:1191" ht="21" customHeight="1" x14ac:dyDescent="0.25">
      <c r="A346" s="982">
        <f t="shared" si="215"/>
        <v>1368</v>
      </c>
      <c r="B346" s="124">
        <f>SUBTOTAL(103,$J$29:J346)</f>
        <v>318</v>
      </c>
      <c r="C346" s="126">
        <v>45096</v>
      </c>
      <c r="D346" s="124" t="s">
        <v>176</v>
      </c>
      <c r="E346" s="127" t="s">
        <v>177</v>
      </c>
      <c r="F346" s="128" t="s">
        <v>177</v>
      </c>
      <c r="G346" s="127" t="s">
        <v>178</v>
      </c>
      <c r="H346" s="127" t="s">
        <v>179</v>
      </c>
      <c r="I346" s="127" t="s">
        <v>417</v>
      </c>
      <c r="J346" s="152">
        <v>1368</v>
      </c>
      <c r="K346" s="127" t="s">
        <v>1385</v>
      </c>
      <c r="L346" s="130">
        <v>43716</v>
      </c>
      <c r="M346" s="127" t="s">
        <v>230</v>
      </c>
      <c r="N346" s="127" t="s">
        <v>231</v>
      </c>
      <c r="O346" s="127" t="s">
        <v>185</v>
      </c>
      <c r="P346" s="127" t="s">
        <v>292</v>
      </c>
      <c r="Q346" s="85" t="str">
        <f t="shared" si="249"/>
        <v/>
      </c>
      <c r="R346" s="130"/>
      <c r="S346" s="128"/>
      <c r="T346" s="131"/>
      <c r="U346" s="132">
        <v>203</v>
      </c>
      <c r="V346" s="121">
        <v>218.2</v>
      </c>
      <c r="W346" s="116">
        <v>0.98</v>
      </c>
      <c r="X346" s="116">
        <v>1.66</v>
      </c>
      <c r="Y346" s="116">
        <f t="shared" si="239"/>
        <v>1.6554054054054053</v>
      </c>
      <c r="Z346" s="133">
        <v>1.454</v>
      </c>
      <c r="AA346" s="133">
        <v>0.83599999999999997</v>
      </c>
      <c r="AB346" s="133">
        <v>0.72</v>
      </c>
      <c r="AC346" s="121">
        <v>34.299999999999997</v>
      </c>
      <c r="AD346" s="134">
        <v>1.17</v>
      </c>
      <c r="AE346" s="124">
        <v>177.8</v>
      </c>
      <c r="AF346" s="128">
        <v>9.19</v>
      </c>
      <c r="AG346" s="128">
        <v>2344</v>
      </c>
      <c r="AH346" s="127" t="s">
        <v>1430</v>
      </c>
      <c r="AI346" s="127" t="s">
        <v>1430</v>
      </c>
      <c r="AJ346" s="135"/>
      <c r="AK346" s="128"/>
      <c r="AL346" s="131"/>
      <c r="AM346" s="124" t="s">
        <v>232</v>
      </c>
      <c r="AN346" s="136" t="s">
        <v>1431</v>
      </c>
      <c r="AO346" s="137">
        <v>17.84</v>
      </c>
      <c r="AP346" s="128">
        <v>2344</v>
      </c>
      <c r="AQ346" s="128">
        <v>395.6</v>
      </c>
      <c r="AR346" s="128"/>
      <c r="AS346" s="128"/>
      <c r="AT346" s="122"/>
      <c r="AU346" s="124" t="s">
        <v>883</v>
      </c>
      <c r="AV346" s="115">
        <f>VLOOKUP(J346,'[63]ТР нефть'!$J$28:$BP$638,39,0)</f>
        <v>300</v>
      </c>
      <c r="AW346" s="115" t="str">
        <f>VLOOKUP(J346,'[63]ТР нефть'!$J$28:$BP$638,40,0)</f>
        <v>ГП</v>
      </c>
      <c r="AX346" s="115" t="str">
        <f>VLOOKUP(J346,'[63]ТР нефть'!$J$28:$BP$638,41,0)</f>
        <v>-</v>
      </c>
      <c r="AY346" s="115" t="str">
        <f>VLOOKUP(J346,'[63]ТР нефть'!$J$28:$BP$638,42,0)</f>
        <v>-</v>
      </c>
      <c r="AZ346" s="115" t="str">
        <f>VLOOKUP(J346,'[63]ТР нефть'!$J$28:$BP$638,43,0)</f>
        <v>-</v>
      </c>
      <c r="BA346" s="115" t="str">
        <f>VLOOKUP(J346,'[63]ТР нефть'!$J$28:$BP$638,44,0)</f>
        <v>-</v>
      </c>
      <c r="BB346" s="115" t="str">
        <f>VLOOKUP(J346,'[63]ТР нефть'!$J$28:$BP$638,45,0)</f>
        <v>-</v>
      </c>
      <c r="BC346" s="115" t="str">
        <f>VLOOKUP(J346,'[63]ТР нефть'!$J$28:$BP$638,46,0)</f>
        <v>-</v>
      </c>
      <c r="BD346" s="115" t="str">
        <f>VLOOKUP(J346,'[63]ТР нефть'!$J$28:$BP$638,47,0)</f>
        <v>-</v>
      </c>
      <c r="BE346" s="115" t="str">
        <f>VLOOKUP(J346,'[63]ТР нефть'!$J$28:$BP$638,48,0)</f>
        <v>-</v>
      </c>
      <c r="BF346" s="115" t="str">
        <f>VLOOKUP(J346,'[63]ТР нефть'!$J$28:$BP$638,49,0)</f>
        <v>-</v>
      </c>
      <c r="BG346" s="115" t="str">
        <f>VLOOKUP(J346,'[63]ТР нефть'!$J$28:$BP$638,50,0)</f>
        <v>-</v>
      </c>
      <c r="BH346" s="115">
        <f>VLOOKUP(J346,'[63]ТР нефть'!$J$28:$BP$638,51,0)</f>
        <v>1930</v>
      </c>
      <c r="BI346" s="115" t="str">
        <f>VLOOKUP(J346,'[63]ТР нефть'!$J$28:$BP$638,52,0)</f>
        <v>закр</v>
      </c>
      <c r="BJ346" s="115" t="str">
        <f>IF(IFERROR(VLOOKUP(J346,'[63]ТР нефть'!$J$28:$BP$638,53,0),"-")=0,"-",IFERROR(VLOOKUP(J346,'[63]ТР нефть'!$J$28:$BP$638,53,0),"-"))</f>
        <v>-</v>
      </c>
      <c r="BK346" s="138" t="str">
        <f>IF(IFERROR(VLOOKUP(J346,'[63]ТР нефть'!$J$28:$BP$638,54,0),"-")=0,"-",IFERROR(VLOOKUP(J346,'[63]ТР нефть'!$J$28:$BP$638,54,0),"-"))</f>
        <v>D1050N</v>
      </c>
      <c r="BL346" s="138" t="str">
        <f>IF(IFERROR(VLOOKUP(J346,'[63]ТР нефть'!$J$28:$BP$638,55,0),"-")=0,"-",IFERROR(VLOOKUP(J346,'[63]ТР нефть'!$J$28:$BP$638,55,0),"-"))</f>
        <v>-</v>
      </c>
      <c r="BM346" s="138">
        <f>IF(IFERROR(VLOOKUP(J346,'[63]ТР нефть'!$J$28:$BP$638,56,0),"-")=0,"-",IFERROR(VLOOKUP(J346,'[63]ТР нефть'!$J$28:$BP$638,56,0),"-"))</f>
        <v>1338</v>
      </c>
      <c r="BN346" s="138">
        <f>IF(IFERROR(VLOOKUP(J346,'[63]ТР нефть'!$J$28:$BP$638,57,0),"-")=0,"-",IFERROR(VLOOKUP(J346,'[63]ТР нефть'!$J$28:$BP$638,57,0),"-"))</f>
        <v>49</v>
      </c>
      <c r="BO346" s="115">
        <f>IF(IFERROR(VLOOKUP(J346,'[63]ТР нефть'!$J$28:$BP$638,58,0),"-")=0,"-",IFERROR(VLOOKUP(J346,'[63]ТР нефть'!$J$28:$BP$638,58,0),"-"))</f>
        <v>48</v>
      </c>
      <c r="BP346" s="115" t="str">
        <f>IF(IFERROR(VLOOKUP(J346,'[63]ТР нефть'!$J$28:$BP$638,59,0),"-")=0,"-",IFERROR(VLOOKUP(J346,'[63]ТР нефть'!$J$28:$BP$638,59,0),"-"))</f>
        <v>-</v>
      </c>
      <c r="BQ346" s="138">
        <v>1959</v>
      </c>
      <c r="BR346" s="128">
        <v>1762</v>
      </c>
      <c r="BS346" s="115">
        <f t="shared" si="258"/>
        <v>197</v>
      </c>
      <c r="BT346" s="128">
        <v>73</v>
      </c>
      <c r="BU346" s="128">
        <v>5.5</v>
      </c>
      <c r="BV346" s="127">
        <v>18</v>
      </c>
      <c r="BW346" s="127" t="s">
        <v>217</v>
      </c>
      <c r="BX346" s="127" t="s">
        <v>195</v>
      </c>
      <c r="BY346" s="139">
        <v>24</v>
      </c>
      <c r="BZ346" s="139">
        <v>0</v>
      </c>
      <c r="CA346" s="80">
        <v>26</v>
      </c>
      <c r="CB346" s="138">
        <v>25</v>
      </c>
      <c r="CC346" s="138">
        <v>25</v>
      </c>
      <c r="CD346" s="135">
        <v>45017</v>
      </c>
      <c r="CE346" s="138">
        <v>153</v>
      </c>
      <c r="CF346" s="138"/>
      <c r="CG346" s="138" t="str">
        <f t="shared" si="265"/>
        <v/>
      </c>
      <c r="CH346" s="138" t="s">
        <v>197</v>
      </c>
      <c r="CI346" s="127"/>
      <c r="CJ346" s="138"/>
      <c r="CK346" s="138"/>
      <c r="CL346" s="99"/>
      <c r="CM346" s="127">
        <v>84</v>
      </c>
      <c r="CN346" s="154">
        <f>IF(CM346=0,0,(((AP346-AQ346-BR346)*((AD346*(CQ346/100))+(AB346*((100-CQ346)/100)))*9.81/100+CM346)))</f>
        <v>105.36151828800001</v>
      </c>
      <c r="CO346" s="141">
        <f t="shared" si="216"/>
        <v>0.15048000000000011</v>
      </c>
      <c r="CP346" s="142">
        <v>45</v>
      </c>
      <c r="CQ346" s="143">
        <v>99.6</v>
      </c>
      <c r="CR346" s="138">
        <v>4</v>
      </c>
      <c r="CS346" s="139"/>
      <c r="CT346" s="138"/>
      <c r="CU346" s="138">
        <f>IF(CR346&lt;&gt;"0",CR346-CS346,"0")</f>
        <v>4</v>
      </c>
      <c r="CV346" s="115">
        <f>(CR346-CS346)*1000/CO346</f>
        <v>26581.605528973931</v>
      </c>
      <c r="CW346" s="115" t="str">
        <f t="shared" si="217"/>
        <v/>
      </c>
      <c r="CX346" s="133"/>
      <c r="CY346" s="116"/>
      <c r="CZ346" s="131"/>
      <c r="DA346" s="145" t="str">
        <f t="shared" si="218"/>
        <v>ЭЦН</v>
      </c>
      <c r="DB346" s="146">
        <f t="shared" si="219"/>
        <v>0.15048000000000011</v>
      </c>
      <c r="DC346" s="142">
        <f t="shared" si="234"/>
        <v>45</v>
      </c>
      <c r="DD346" s="119">
        <f t="shared" si="250"/>
        <v>99.6</v>
      </c>
      <c r="DE346" s="115">
        <f t="shared" si="220"/>
        <v>4</v>
      </c>
      <c r="DF346" s="121">
        <f t="shared" si="221"/>
        <v>0</v>
      </c>
      <c r="DG346" s="115">
        <f t="shared" si="222"/>
        <v>26581.605528973931</v>
      </c>
      <c r="DH346" s="115">
        <f t="shared" si="223"/>
        <v>105.36151828800001</v>
      </c>
      <c r="DI346" s="147"/>
      <c r="DJ346" s="111">
        <v>44253</v>
      </c>
      <c r="DK346" s="112">
        <v>43949</v>
      </c>
      <c r="DL346" s="113">
        <f t="shared" ca="1" si="266"/>
        <v>1155</v>
      </c>
      <c r="DM346" s="114">
        <v>18.2</v>
      </c>
      <c r="DN346" s="114">
        <v>48</v>
      </c>
      <c r="DO346" s="114">
        <v>43</v>
      </c>
      <c r="DP346" s="114"/>
      <c r="DQ346" s="112"/>
      <c r="DR346" s="114"/>
      <c r="DS346" s="114"/>
      <c r="DT346" s="115">
        <v>60</v>
      </c>
      <c r="DU346" s="116">
        <f t="shared" si="267"/>
        <v>0.80015230500596712</v>
      </c>
      <c r="DV346" s="117">
        <f t="shared" si="268"/>
        <v>0.24884096563841593</v>
      </c>
      <c r="DW346" s="118">
        <f t="shared" si="269"/>
        <v>74.414164365554939</v>
      </c>
      <c r="DX346" s="119">
        <f t="shared" si="224"/>
        <v>99.6</v>
      </c>
      <c r="DY346" s="115">
        <f t="shared" si="270"/>
        <v>6.6145923880493287</v>
      </c>
      <c r="DZ346" s="117">
        <f t="shared" si="271"/>
        <v>9.8360965638415815E-2</v>
      </c>
      <c r="EA346" s="120">
        <f t="shared" si="271"/>
        <v>29.414164365554939</v>
      </c>
      <c r="EB346" s="119">
        <f t="shared" si="264"/>
        <v>0</v>
      </c>
      <c r="EC346" s="121">
        <f t="shared" si="272"/>
        <v>2.6145923880493287</v>
      </c>
      <c r="ED346" s="122"/>
      <c r="EE346" s="145">
        <v>18</v>
      </c>
      <c r="EF346" s="148">
        <v>26</v>
      </c>
      <c r="EG346" s="115">
        <v>25</v>
      </c>
      <c r="EH346" s="115">
        <v>25</v>
      </c>
      <c r="EI346" s="128" t="s">
        <v>195</v>
      </c>
      <c r="EJ346" s="121">
        <v>24</v>
      </c>
      <c r="EK346" s="121">
        <v>0</v>
      </c>
      <c r="EL346" s="149">
        <v>0.15048000000000011</v>
      </c>
      <c r="EM346" s="142">
        <v>45</v>
      </c>
      <c r="EN346" s="119">
        <v>99.6</v>
      </c>
      <c r="EO346" s="115">
        <v>4</v>
      </c>
      <c r="EP346" s="115">
        <v>26581.605528973931</v>
      </c>
      <c r="EQ346" s="115">
        <v>0</v>
      </c>
      <c r="ER346" s="115">
        <v>0</v>
      </c>
      <c r="ES346" s="115">
        <v>105.36151828800001</v>
      </c>
      <c r="ET346" s="150">
        <v>0</v>
      </c>
      <c r="EU346" s="145">
        <f t="shared" si="225"/>
        <v>18</v>
      </c>
      <c r="EV346" s="115">
        <f t="shared" si="226"/>
        <v>26</v>
      </c>
      <c r="EW346" s="115">
        <f t="shared" si="226"/>
        <v>25</v>
      </c>
      <c r="EX346" s="115">
        <f t="shared" si="226"/>
        <v>25</v>
      </c>
      <c r="EY346" s="115" t="str">
        <f t="shared" si="253"/>
        <v>Постоянный</v>
      </c>
      <c r="EZ346" s="115">
        <f t="shared" si="253"/>
        <v>24</v>
      </c>
      <c r="FA346" s="115">
        <f t="shared" si="253"/>
        <v>0</v>
      </c>
      <c r="FB346" s="149">
        <f t="shared" si="238"/>
        <v>0.15048000000000011</v>
      </c>
      <c r="FC346" s="142">
        <f t="shared" si="238"/>
        <v>45</v>
      </c>
      <c r="FD346" s="119">
        <f t="shared" si="238"/>
        <v>99.6</v>
      </c>
      <c r="FE346" s="121">
        <f t="shared" si="238"/>
        <v>4</v>
      </c>
      <c r="FF346" s="121">
        <f t="shared" si="247"/>
        <v>26581.605528973931</v>
      </c>
      <c r="FG346" s="121">
        <f t="shared" si="227"/>
        <v>0</v>
      </c>
      <c r="FH346" s="121">
        <f t="shared" si="248"/>
        <v>0</v>
      </c>
      <c r="FI346" s="121">
        <f t="shared" si="252"/>
        <v>105.36151828800001</v>
      </c>
      <c r="FJ346" s="144">
        <f t="shared" si="228"/>
        <v>0</v>
      </c>
      <c r="FK346" s="132">
        <f t="shared" si="229"/>
        <v>0</v>
      </c>
      <c r="FL346" s="115">
        <f t="shared" si="229"/>
        <v>0</v>
      </c>
      <c r="FM346" s="115">
        <f t="shared" si="229"/>
        <v>0</v>
      </c>
      <c r="FN346" s="115">
        <f t="shared" si="229"/>
        <v>0</v>
      </c>
      <c r="FO346" s="115">
        <f t="shared" si="257"/>
        <v>0</v>
      </c>
      <c r="FP346" s="115">
        <f t="shared" si="257"/>
        <v>0</v>
      </c>
      <c r="FQ346" s="149">
        <f t="shared" si="257"/>
        <v>0</v>
      </c>
      <c r="FR346" s="142">
        <f t="shared" si="256"/>
        <v>0</v>
      </c>
      <c r="FS346" s="119">
        <f t="shared" si="256"/>
        <v>0</v>
      </c>
      <c r="FT346" s="121">
        <f t="shared" si="256"/>
        <v>0</v>
      </c>
      <c r="FU346" s="121">
        <f t="shared" si="230"/>
        <v>0</v>
      </c>
      <c r="FV346" s="121">
        <f t="shared" si="230"/>
        <v>0</v>
      </c>
      <c r="FW346" s="121">
        <f t="shared" si="231"/>
        <v>0</v>
      </c>
      <c r="FX346" s="121">
        <f t="shared" si="233"/>
        <v>0</v>
      </c>
      <c r="FY346" s="144">
        <f t="shared" si="214"/>
        <v>0</v>
      </c>
      <c r="FZ346" s="145"/>
      <c r="GA346" s="1033"/>
      <c r="GB346" s="145" t="s">
        <v>199</v>
      </c>
      <c r="GC346" s="151" t="s">
        <v>1432</v>
      </c>
      <c r="GD346" s="997" t="s">
        <v>238</v>
      </c>
      <c r="GE346" s="1004" t="s">
        <v>199</v>
      </c>
      <c r="GF346" s="1004">
        <v>-3.5361128000000028</v>
      </c>
      <c r="GG346" s="1004" t="s">
        <v>308</v>
      </c>
      <c r="GH346" s="1004">
        <v>3.6865928000000028</v>
      </c>
      <c r="GI346" s="145"/>
      <c r="GJ346" s="996">
        <v>0</v>
      </c>
      <c r="GK346" s="145"/>
      <c r="GL346" s="996">
        <v>-2.3183283199999982</v>
      </c>
      <c r="GM346" s="1005"/>
      <c r="GN346" s="996">
        <v>0</v>
      </c>
      <c r="GO346" s="1006"/>
      <c r="GP346" s="996">
        <v>0</v>
      </c>
      <c r="GQ346" s="1006" t="s">
        <v>308</v>
      </c>
      <c r="GR346" s="996">
        <v>-0.60767168000000416</v>
      </c>
      <c r="GS346" s="1006"/>
      <c r="GT346" s="996">
        <v>0</v>
      </c>
      <c r="GU346" s="1006"/>
      <c r="GV346" s="996">
        <v>0</v>
      </c>
      <c r="GW346" s="1006" t="s">
        <v>204</v>
      </c>
      <c r="GX346" s="1049">
        <v>-4.0756671999999963</v>
      </c>
      <c r="GY346" s="1006"/>
      <c r="GZ346" s="996">
        <v>0.28022719999999968</v>
      </c>
      <c r="HA346" s="1006" t="s">
        <v>146</v>
      </c>
      <c r="HB346" s="996">
        <v>-6.6879999999999384E-2</v>
      </c>
      <c r="HC346" s="1006"/>
      <c r="HD346" s="996">
        <v>0</v>
      </c>
      <c r="HE346" s="1006" t="s">
        <v>223</v>
      </c>
      <c r="HF346" s="996">
        <v>-2.8457440000000016</v>
      </c>
      <c r="HG346" s="1006" t="s">
        <v>199</v>
      </c>
      <c r="HH346" s="996">
        <v>-3.402185600000001</v>
      </c>
      <c r="HI346" s="1006"/>
      <c r="HJ346" s="996">
        <v>0</v>
      </c>
      <c r="HK346" s="1006"/>
      <c r="HL346" s="996">
        <v>0</v>
      </c>
      <c r="HM346" s="1006" t="s">
        <v>199</v>
      </c>
      <c r="HN346" s="996">
        <v>-1.9258095999999991</v>
      </c>
      <c r="HO346" s="1006" t="s">
        <v>199</v>
      </c>
      <c r="HP346" s="996">
        <v>5.7774287999999991</v>
      </c>
      <c r="HQ346" s="1006" t="s">
        <v>886</v>
      </c>
      <c r="HR346" s="996">
        <v>-8.3170295999999997</v>
      </c>
      <c r="HS346" s="1006"/>
      <c r="HT346" s="996">
        <v>0</v>
      </c>
      <c r="HU346" s="1006"/>
      <c r="HV346" s="996">
        <v>0.41382000000000119</v>
      </c>
      <c r="HW346" s="1006" t="s">
        <v>223</v>
      </c>
      <c r="HX346" s="996">
        <v>-6.9703172000000002</v>
      </c>
      <c r="HY346" s="1006"/>
      <c r="HZ346" s="996">
        <v>0.51639720000000366</v>
      </c>
      <c r="IA346" s="1006"/>
      <c r="IB346" s="996">
        <v>-0.45144000000000162</v>
      </c>
      <c r="IC346" s="1006"/>
      <c r="ID346" s="996">
        <v>-0.33013640000000066</v>
      </c>
      <c r="IE346" s="1006"/>
      <c r="IF346" s="996">
        <v>-0.16009400000000085</v>
      </c>
      <c r="IG346" s="1006"/>
      <c r="IH346" s="996">
        <v>-0.50812079999999682</v>
      </c>
      <c r="II346" s="1006" t="s">
        <v>146</v>
      </c>
      <c r="IJ346" s="996">
        <v>-4.0021828000000035</v>
      </c>
      <c r="IK346" s="1006" t="s">
        <v>146</v>
      </c>
      <c r="IL346" s="996">
        <v>8.4803004000000044</v>
      </c>
      <c r="IM346" s="1006"/>
      <c r="IN346" s="996">
        <v>0.59665319999999511</v>
      </c>
      <c r="IO346" s="1006" t="s">
        <v>204</v>
      </c>
      <c r="IP346" s="996">
        <v>7.7947804000000005</v>
      </c>
      <c r="IQ346" s="1006"/>
      <c r="IR346" s="996">
        <v>0</v>
      </c>
      <c r="IS346" s="1006" t="s">
        <v>223</v>
      </c>
      <c r="IT346" s="996">
        <v>-1.4629999999999992</v>
      </c>
      <c r="IU346" s="1006" t="s">
        <v>223</v>
      </c>
      <c r="IV346" s="996">
        <v>-4.8404400000000027</v>
      </c>
      <c r="IW346" s="1006" t="s">
        <v>199</v>
      </c>
      <c r="IX346" s="996">
        <v>7.9793952831999988</v>
      </c>
      <c r="IY346" s="1006"/>
      <c r="IZ346" s="996">
        <v>0</v>
      </c>
      <c r="JA346" s="1006"/>
      <c r="JB346" s="996">
        <v>0</v>
      </c>
      <c r="JC346" s="1006" t="s">
        <v>199</v>
      </c>
      <c r="JD346" s="996">
        <v>-5.0233150000000002</v>
      </c>
      <c r="JE346" s="1006" t="s">
        <v>223</v>
      </c>
      <c r="JF346" s="996">
        <v>-7.9690863999999983</v>
      </c>
      <c r="JG346" s="1006" t="s">
        <v>223</v>
      </c>
      <c r="JH346" s="996">
        <v>-5.7160998400000018</v>
      </c>
      <c r="JI346" s="1006" t="s">
        <v>203</v>
      </c>
      <c r="JJ346" s="996">
        <v>2.0262667040000046</v>
      </c>
      <c r="JK346" s="1007" t="s">
        <v>203</v>
      </c>
      <c r="JL346" s="1007">
        <v>-11.965604464000002</v>
      </c>
      <c r="JM346" s="1007"/>
      <c r="JN346" s="1007">
        <v>3.0803255999991563E-2</v>
      </c>
      <c r="JO346" s="1008" t="s">
        <v>25</v>
      </c>
      <c r="JP346" s="1007">
        <v>40.857120744000007</v>
      </c>
      <c r="JQ346" s="1008">
        <v>0</v>
      </c>
      <c r="JR346" s="1007">
        <v>0</v>
      </c>
      <c r="JS346" s="1008">
        <v>0</v>
      </c>
      <c r="JT346" s="1007">
        <v>0</v>
      </c>
      <c r="JU346" s="1008"/>
      <c r="JV346" s="1007"/>
      <c r="JW346" s="1008"/>
      <c r="JX346" s="1007"/>
      <c r="JY346" s="1008"/>
      <c r="JZ346" s="1007"/>
      <c r="KA346" s="1008"/>
      <c r="KB346" s="1007"/>
      <c r="KC346" s="1008"/>
      <c r="KD346" s="1007"/>
      <c r="KE346" s="1008"/>
      <c r="KF346" s="1007"/>
      <c r="KG346" s="1008"/>
      <c r="KH346" s="1007"/>
      <c r="KI346" s="1008"/>
      <c r="KJ346" s="1007"/>
      <c r="KK346" s="1008"/>
      <c r="KL346" s="1007"/>
      <c r="KM346" s="1008"/>
      <c r="KN346" s="1007"/>
      <c r="KO346" s="1008"/>
      <c r="KP346" s="1007"/>
      <c r="KQ346" s="1008"/>
      <c r="KR346" s="1007"/>
      <c r="KS346" s="1008"/>
      <c r="KT346" s="1007"/>
      <c r="KU346" s="1008"/>
      <c r="KV346" s="1007"/>
      <c r="KW346" s="1008"/>
      <c r="KX346" s="1007"/>
      <c r="KY346" s="1008"/>
      <c r="KZ346" s="1007"/>
      <c r="LA346" s="1008"/>
      <c r="LB346" s="1007"/>
      <c r="LC346" s="1008"/>
      <c r="LD346" s="1007"/>
      <c r="LE346" s="1008"/>
      <c r="LF346" s="1007"/>
      <c r="LG346" s="1008"/>
      <c r="LH346" s="1007"/>
      <c r="LI346" s="1008"/>
      <c r="LJ346" s="1007"/>
      <c r="LK346" s="1008"/>
      <c r="LL346" s="1007"/>
      <c r="LM346" s="1008"/>
      <c r="LN346" s="1007"/>
      <c r="LO346" s="1008"/>
      <c r="LP346" s="1007"/>
      <c r="LQ346" s="1008"/>
      <c r="LR346" s="1007"/>
      <c r="LS346" s="1008"/>
      <c r="LT346" s="1007"/>
      <c r="LU346" s="1008"/>
      <c r="LV346" s="1007"/>
      <c r="LW346" s="1008"/>
      <c r="LX346" s="1007"/>
      <c r="LY346" s="1009"/>
      <c r="LZ346" s="1010"/>
      <c r="MA346" s="1011"/>
      <c r="MB346" s="1012"/>
      <c r="MC346" s="995"/>
      <c r="MD346" s="996"/>
      <c r="ME346" s="997" t="s">
        <v>238</v>
      </c>
      <c r="MF346" s="997"/>
      <c r="MG346" s="998"/>
      <c r="NR346" s="1000"/>
      <c r="NS346" s="1000"/>
      <c r="NT346" s="1001"/>
      <c r="NU346" s="1000"/>
      <c r="NV346" s="1001"/>
      <c r="NX346" s="1002"/>
      <c r="NZ346" s="1001"/>
      <c r="OA346" s="1001"/>
      <c r="OC346" s="1003"/>
      <c r="OD346" s="1003"/>
      <c r="OE346" s="1001"/>
      <c r="OF346" s="1003"/>
      <c r="OG346" s="1003"/>
      <c r="QX346" s="1000">
        <f t="shared" si="262"/>
        <v>79.361518288000013</v>
      </c>
      <c r="ASU346" s="999" t="s">
        <v>208</v>
      </c>
    </row>
    <row r="347" spans="1:466 1191:1191" ht="21" customHeight="1" x14ac:dyDescent="0.25">
      <c r="A347" s="982">
        <f t="shared" si="215"/>
        <v>1369</v>
      </c>
      <c r="B347" s="124">
        <f>SUBTOTAL(103,$J$29:J347)</f>
        <v>319</v>
      </c>
      <c r="C347" s="126">
        <v>45096</v>
      </c>
      <c r="D347" s="124" t="s">
        <v>176</v>
      </c>
      <c r="E347" s="127" t="s">
        <v>177</v>
      </c>
      <c r="F347" s="128" t="s">
        <v>177</v>
      </c>
      <c r="G347" s="127" t="s">
        <v>178</v>
      </c>
      <c r="H347" s="127" t="s">
        <v>421</v>
      </c>
      <c r="I347" s="127" t="s">
        <v>1433</v>
      </c>
      <c r="J347" s="152">
        <v>1369</v>
      </c>
      <c r="K347" s="217" t="s">
        <v>1433</v>
      </c>
      <c r="L347" s="130">
        <v>43949</v>
      </c>
      <c r="M347" s="127" t="s">
        <v>230</v>
      </c>
      <c r="N347" s="127" t="s">
        <v>231</v>
      </c>
      <c r="O347" s="127" t="s">
        <v>185</v>
      </c>
      <c r="P347" s="127" t="s">
        <v>208</v>
      </c>
      <c r="Q347" s="85" t="str">
        <f t="shared" si="249"/>
        <v/>
      </c>
      <c r="R347" s="130"/>
      <c r="S347" s="128"/>
      <c r="T347" s="131"/>
      <c r="U347" s="132">
        <v>203</v>
      </c>
      <c r="V347" s="121">
        <v>218.2</v>
      </c>
      <c r="W347" s="116">
        <v>0.98</v>
      </c>
      <c r="X347" s="116">
        <v>1.66</v>
      </c>
      <c r="Y347" s="116">
        <f t="shared" si="239"/>
        <v>0.98</v>
      </c>
      <c r="Z347" s="133">
        <v>1.454</v>
      </c>
      <c r="AA347" s="133">
        <v>0.83599999999999997</v>
      </c>
      <c r="AB347" s="133">
        <v>0.72</v>
      </c>
      <c r="AC347" s="121">
        <v>34.299999999999997</v>
      </c>
      <c r="AD347" s="134">
        <v>1.17</v>
      </c>
      <c r="AE347" s="124">
        <v>177.8</v>
      </c>
      <c r="AF347" s="128">
        <v>9.19</v>
      </c>
      <c r="AG347" s="128">
        <v>2428</v>
      </c>
      <c r="AH347" s="127">
        <v>2891</v>
      </c>
      <c r="AI347" s="127">
        <v>2891</v>
      </c>
      <c r="AJ347" s="135"/>
      <c r="AK347" s="128"/>
      <c r="AL347" s="131"/>
      <c r="AM347" s="124" t="s">
        <v>187</v>
      </c>
      <c r="AN347" s="136" t="s">
        <v>1434</v>
      </c>
      <c r="AO347" s="137">
        <v>2.88</v>
      </c>
      <c r="AP347" s="128">
        <v>2533.8000000000002</v>
      </c>
      <c r="AQ347" s="128">
        <v>556.16999999999996</v>
      </c>
      <c r="AR347" s="128"/>
      <c r="AS347" s="128"/>
      <c r="AT347" s="122"/>
      <c r="AU347" s="124" t="s">
        <v>189</v>
      </c>
      <c r="AV347" s="115">
        <f>VLOOKUP(J347,'[63]ТР нефть'!$J$28:$BP$638,39,0)</f>
        <v>577.99999394500003</v>
      </c>
      <c r="AW347" s="115" t="str">
        <f>VLOOKUP(J347,'[63]ТР нефть'!$J$28:$BP$638,40,0)</f>
        <v>ГК82 1/8</v>
      </c>
      <c r="AX347" s="115">
        <f>VLOOKUP(J347,'[63]ТР нефть'!$J$28:$BP$638,41,0)</f>
        <v>1093.999976953</v>
      </c>
      <c r="AY347" s="115" t="str">
        <f>VLOOKUP(J347,'[63]ТР нефть'!$J$28:$BP$638,42,0)</f>
        <v>ГК83 1/8</v>
      </c>
      <c r="AZ347" s="115">
        <f>VLOOKUP(J347,'[63]ТР нефть'!$J$28:$BP$638,43,0)</f>
        <v>1492.000018359</v>
      </c>
      <c r="BA347" s="115" t="str">
        <f>VLOOKUP(J347,'[63]ТР нефть'!$J$28:$BP$638,44,0)</f>
        <v>ГК84 5/32</v>
      </c>
      <c r="BB347" s="115">
        <f>VLOOKUP(J347,'[63]ТР нефть'!$J$28:$BP$638,45,0)</f>
        <v>1844.9999414060001</v>
      </c>
      <c r="BC347" s="115" t="str">
        <f>VLOOKUP(J347,'[63]ТР нефть'!$J$28:$BP$638,46,0)</f>
        <v>ГК84 5/32</v>
      </c>
      <c r="BD347" s="115">
        <f>VLOOKUP(J347,'[63]ТР нефть'!$J$28:$BP$638,47,0)</f>
        <v>2109.0000503910001</v>
      </c>
      <c r="BE347" s="115" t="str">
        <f>VLOOKUP(J347,'[63]ТР нефть'!$J$28:$BP$638,48,0)</f>
        <v>ЦКсОК 5/16</v>
      </c>
      <c r="BF347" s="115" t="str">
        <f>VLOOKUP(J347,'[63]ТР нефть'!$J$28:$BP$638,49,0)</f>
        <v>-</v>
      </c>
      <c r="BG347" s="115" t="str">
        <f>VLOOKUP(J347,'[63]ТР нефть'!$J$28:$BP$638,50,0)</f>
        <v>-</v>
      </c>
      <c r="BH347" s="115" t="str">
        <f>VLOOKUP(J347,'[63]ТР нефть'!$J$28:$BP$638,51,0)</f>
        <v>-</v>
      </c>
      <c r="BI347" s="115" t="str">
        <f>VLOOKUP(J347,'[63]ТР нефть'!$J$28:$BP$638,52,0)</f>
        <v>-</v>
      </c>
      <c r="BJ347" s="115" t="str">
        <f>IF(IFERROR(VLOOKUP(J347,'[63]ТР нефть'!$J$28:$BP$638,53,0),"-")=0,"-",IFERROR(VLOOKUP(J347,'[63]ТР нефть'!$J$28:$BP$638,53,0),"-"))</f>
        <v>-</v>
      </c>
      <c r="BK347" s="138" t="str">
        <f>IF(IFERROR(VLOOKUP(J347,'[63]ТР нефть'!$J$28:$BP$638,54,0),"-")=0,"-",IFERROR(VLOOKUP(J347,'[63]ТР нефть'!$J$28:$BP$638,54,0),"-"))</f>
        <v>-</v>
      </c>
      <c r="BL347" s="138" t="str">
        <f>IF(IFERROR(VLOOKUP(J347,'[63]ТР нефть'!$J$28:$BP$638,55,0),"-")=0,"-",IFERROR(VLOOKUP(J347,'[63]ТР нефть'!$J$28:$BP$638,55,0),"-"))</f>
        <v>-</v>
      </c>
      <c r="BM347" s="138" t="str">
        <f>IF(IFERROR(VLOOKUP(J347,'[63]ТР нефть'!$J$28:$BP$638,56,0),"-")=0,"-",IFERROR(VLOOKUP(J347,'[63]ТР нефть'!$J$28:$BP$638,56,0),"-"))</f>
        <v>-</v>
      </c>
      <c r="BN347" s="138" t="str">
        <f>IF(IFERROR(VLOOKUP(J347,'[63]ТР нефть'!$J$28:$BP$638,57,0),"-")=0,"-",IFERROR(VLOOKUP(J347,'[63]ТР нефть'!$J$28:$BP$638,57,0),"-"))</f>
        <v>-</v>
      </c>
      <c r="BO347" s="115" t="str">
        <f>IF(IFERROR(VLOOKUP(J347,'[63]ТР нефть'!$J$28:$BP$638,58,0),"-")=0,"-",IFERROR(VLOOKUP(J347,'[63]ТР нефть'!$J$28:$BP$638,58,0),"-"))</f>
        <v>-</v>
      </c>
      <c r="BP347" s="115" t="str">
        <f>IF(IFERROR(VLOOKUP(J347,'[63]ТР нефть'!$J$28:$BP$638,59,0),"-")=0,"-",IFERROR(VLOOKUP(J347,'[63]ТР нефть'!$J$28:$BP$638,59,0),"-"))</f>
        <v>-</v>
      </c>
      <c r="BQ347" s="138">
        <v>2347</v>
      </c>
      <c r="BR347" s="128">
        <v>1890.0800000000002</v>
      </c>
      <c r="BS347" s="115">
        <f t="shared" si="258"/>
        <v>456.91999999999985</v>
      </c>
      <c r="BT347" s="128">
        <v>73</v>
      </c>
      <c r="BU347" s="128">
        <v>5.5</v>
      </c>
      <c r="BV347" s="127">
        <v>18</v>
      </c>
      <c r="BW347" s="127" t="s">
        <v>234</v>
      </c>
      <c r="BX347" s="127" t="s">
        <v>195</v>
      </c>
      <c r="BY347" s="139">
        <v>24</v>
      </c>
      <c r="BZ347" s="139">
        <v>0</v>
      </c>
      <c r="CA347" s="148">
        <v>20</v>
      </c>
      <c r="CB347" s="115">
        <v>50</v>
      </c>
      <c r="CC347" s="115">
        <v>18</v>
      </c>
      <c r="CD347" s="135">
        <v>45017</v>
      </c>
      <c r="CE347" s="138">
        <v>130</v>
      </c>
      <c r="CF347" s="138">
        <v>84</v>
      </c>
      <c r="CG347" s="138" t="str">
        <f t="shared" si="265"/>
        <v>В работе</v>
      </c>
      <c r="CH347" s="138" t="s">
        <v>272</v>
      </c>
      <c r="CI347" s="127">
        <v>6</v>
      </c>
      <c r="CJ347" s="138"/>
      <c r="CK347" s="138"/>
      <c r="CL347" s="99"/>
      <c r="CM347" s="99"/>
      <c r="CN347" s="173">
        <v>51</v>
      </c>
      <c r="CO347" s="141">
        <f>CP347*(1-CQ347/100)*0.836</f>
        <v>9.1959999999999997</v>
      </c>
      <c r="CP347" s="142">
        <v>11</v>
      </c>
      <c r="CQ347" s="119">
        <v>0</v>
      </c>
      <c r="CR347" s="115">
        <v>15</v>
      </c>
      <c r="CS347" s="139">
        <v>14</v>
      </c>
      <c r="CT347" s="138"/>
      <c r="CU347" s="138">
        <f>IF(CR347&lt;&gt;"0",CR347-CS347,"0")</f>
        <v>1</v>
      </c>
      <c r="CV347" s="115">
        <f>(CR347-CS347)*1000/CO347</f>
        <v>108.74293170943889</v>
      </c>
      <c r="CW347" s="115">
        <f t="shared" si="217"/>
        <v>1522.4010439321444</v>
      </c>
      <c r="CX347" s="133">
        <f>IF(CP347&lt;&gt;0,CP347/(CE347-CN347),0)</f>
        <v>0.13924050632911392</v>
      </c>
      <c r="CY347" s="116"/>
      <c r="CZ347" s="131"/>
      <c r="DA347" s="145" t="str">
        <f t="shared" si="218"/>
        <v>Газлифт</v>
      </c>
      <c r="DB347" s="146">
        <f t="shared" si="219"/>
        <v>9.1959999999999997</v>
      </c>
      <c r="DC347" s="142">
        <f t="shared" si="234"/>
        <v>11</v>
      </c>
      <c r="DD347" s="119">
        <f t="shared" si="250"/>
        <v>0</v>
      </c>
      <c r="DE347" s="115">
        <f t="shared" si="220"/>
        <v>1</v>
      </c>
      <c r="DF347" s="121">
        <f t="shared" si="221"/>
        <v>14</v>
      </c>
      <c r="DG347" s="115">
        <f t="shared" si="222"/>
        <v>108.74293170943889</v>
      </c>
      <c r="DH347" s="115">
        <f t="shared" si="223"/>
        <v>51</v>
      </c>
      <c r="DI347" s="147"/>
      <c r="DJ347" s="111"/>
      <c r="DK347" s="112">
        <v>43949</v>
      </c>
      <c r="DL347" s="113">
        <f t="shared" ca="1" si="266"/>
        <v>1155</v>
      </c>
      <c r="DM347" s="114"/>
      <c r="DN347" s="114"/>
      <c r="DO347" s="114"/>
      <c r="DP347" s="114"/>
      <c r="DQ347" s="112"/>
      <c r="DR347" s="114"/>
      <c r="DS347" s="114"/>
      <c r="DT347" s="115">
        <v>55</v>
      </c>
      <c r="DU347" s="116">
        <f t="shared" si="267"/>
        <v>0.14666666666666667</v>
      </c>
      <c r="DV347" s="117">
        <f t="shared" si="268"/>
        <v>9.1959999999999997</v>
      </c>
      <c r="DW347" s="118">
        <f t="shared" si="269"/>
        <v>11</v>
      </c>
      <c r="DX347" s="119">
        <f t="shared" si="224"/>
        <v>0</v>
      </c>
      <c r="DY347" s="115">
        <f t="shared" si="270"/>
        <v>1</v>
      </c>
      <c r="DZ347" s="117">
        <f t="shared" si="271"/>
        <v>0</v>
      </c>
      <c r="EA347" s="120">
        <f t="shared" si="271"/>
        <v>0</v>
      </c>
      <c r="EB347" s="119">
        <f t="shared" si="264"/>
        <v>0</v>
      </c>
      <c r="EC347" s="121">
        <f t="shared" si="272"/>
        <v>0</v>
      </c>
      <c r="ED347" s="122"/>
      <c r="EE347" s="145">
        <v>18</v>
      </c>
      <c r="EF347" s="148">
        <v>20</v>
      </c>
      <c r="EG347" s="115">
        <v>50</v>
      </c>
      <c r="EH347" s="115">
        <v>18</v>
      </c>
      <c r="EI347" s="128" t="s">
        <v>195</v>
      </c>
      <c r="EJ347" s="121">
        <v>24</v>
      </c>
      <c r="EK347" s="121">
        <v>0</v>
      </c>
      <c r="EL347" s="149">
        <v>9.1959999999999997</v>
      </c>
      <c r="EM347" s="142">
        <v>11</v>
      </c>
      <c r="EN347" s="119">
        <v>0</v>
      </c>
      <c r="EO347" s="115">
        <v>15</v>
      </c>
      <c r="EP347" s="115">
        <v>108.74293170943889</v>
      </c>
      <c r="EQ347" s="115">
        <v>84</v>
      </c>
      <c r="ER347" s="115">
        <v>14</v>
      </c>
      <c r="ES347" s="115">
        <v>51</v>
      </c>
      <c r="ET347" s="150">
        <v>0.13924050632911392</v>
      </c>
      <c r="EU347" s="145">
        <f t="shared" si="225"/>
        <v>18</v>
      </c>
      <c r="EV347" s="115">
        <f t="shared" si="226"/>
        <v>20</v>
      </c>
      <c r="EW347" s="115">
        <f t="shared" si="226"/>
        <v>50</v>
      </c>
      <c r="EX347" s="115">
        <f t="shared" si="226"/>
        <v>18</v>
      </c>
      <c r="EY347" s="115" t="str">
        <f t="shared" si="253"/>
        <v>Постоянный</v>
      </c>
      <c r="EZ347" s="115">
        <f t="shared" si="253"/>
        <v>24</v>
      </c>
      <c r="FA347" s="115">
        <f t="shared" si="253"/>
        <v>0</v>
      </c>
      <c r="FB347" s="149">
        <f t="shared" si="238"/>
        <v>9.1959999999999997</v>
      </c>
      <c r="FC347" s="142">
        <f t="shared" si="238"/>
        <v>11</v>
      </c>
      <c r="FD347" s="119">
        <f t="shared" si="238"/>
        <v>0</v>
      </c>
      <c r="FE347" s="121">
        <f t="shared" si="238"/>
        <v>15</v>
      </c>
      <c r="FF347" s="121">
        <f t="shared" si="247"/>
        <v>108.74293170943889</v>
      </c>
      <c r="FG347" s="121">
        <f t="shared" si="227"/>
        <v>84</v>
      </c>
      <c r="FH347" s="121">
        <f t="shared" si="248"/>
        <v>14</v>
      </c>
      <c r="FI347" s="121">
        <f t="shared" si="252"/>
        <v>51</v>
      </c>
      <c r="FJ347" s="144">
        <f t="shared" si="228"/>
        <v>0.13924050632911392</v>
      </c>
      <c r="FK347" s="132">
        <f t="shared" si="229"/>
        <v>0</v>
      </c>
      <c r="FL347" s="115">
        <f t="shared" si="229"/>
        <v>0</v>
      </c>
      <c r="FM347" s="115">
        <f t="shared" si="229"/>
        <v>0</v>
      </c>
      <c r="FN347" s="115">
        <f t="shared" si="229"/>
        <v>0</v>
      </c>
      <c r="FO347" s="115">
        <f t="shared" si="257"/>
        <v>0</v>
      </c>
      <c r="FP347" s="115">
        <f t="shared" si="257"/>
        <v>0</v>
      </c>
      <c r="FQ347" s="149">
        <f t="shared" si="257"/>
        <v>0</v>
      </c>
      <c r="FR347" s="142">
        <f t="shared" si="256"/>
        <v>0</v>
      </c>
      <c r="FS347" s="119">
        <f t="shared" si="256"/>
        <v>0</v>
      </c>
      <c r="FT347" s="121">
        <f t="shared" si="256"/>
        <v>0</v>
      </c>
      <c r="FU347" s="121">
        <f t="shared" si="230"/>
        <v>0</v>
      </c>
      <c r="FV347" s="121">
        <f t="shared" si="230"/>
        <v>0</v>
      </c>
      <c r="FW347" s="121">
        <f t="shared" si="231"/>
        <v>0</v>
      </c>
      <c r="FX347" s="121">
        <f t="shared" si="233"/>
        <v>0</v>
      </c>
      <c r="FY347" s="144">
        <f t="shared" si="214"/>
        <v>0</v>
      </c>
      <c r="FZ347" s="145"/>
      <c r="GA347" s="151" t="s">
        <v>1409</v>
      </c>
      <c r="GB347" s="145"/>
      <c r="GC347" s="151" t="s">
        <v>1409</v>
      </c>
      <c r="GD347" s="997" t="s">
        <v>238</v>
      </c>
      <c r="GE347" s="1004"/>
      <c r="GF347" s="1004">
        <v>0</v>
      </c>
      <c r="GG347" s="1004"/>
      <c r="GH347" s="1004">
        <v>9.2712399999999917E-2</v>
      </c>
      <c r="GI347" s="145"/>
      <c r="GJ347" s="996">
        <v>0</v>
      </c>
      <c r="GK347" s="145"/>
      <c r="GL347" s="996">
        <v>-0.31768000000000018</v>
      </c>
      <c r="GM347" s="1005"/>
      <c r="GN347" s="996">
        <v>0.2842399999999996</v>
      </c>
      <c r="GO347" s="1006"/>
      <c r="GP347" s="996">
        <v>8.359999999999701E-3</v>
      </c>
      <c r="GQ347" s="1006" t="s">
        <v>199</v>
      </c>
      <c r="GR347" s="996">
        <v>-1.7305199999999994</v>
      </c>
      <c r="GS347" s="1006"/>
      <c r="GT347" s="996">
        <v>0.91960000000000086</v>
      </c>
      <c r="GU347" s="1006"/>
      <c r="GV347" s="996">
        <v>0</v>
      </c>
      <c r="GW347" s="1006"/>
      <c r="GX347" s="1049">
        <v>0</v>
      </c>
      <c r="GY347" s="1006"/>
      <c r="GZ347" s="996">
        <v>0.69388000000000005</v>
      </c>
      <c r="HA347" s="1006"/>
      <c r="HB347" s="996">
        <v>-0.19228000000000023</v>
      </c>
      <c r="HC347" s="1006" t="s">
        <v>199</v>
      </c>
      <c r="HD347" s="996">
        <v>-2.3408000000000015</v>
      </c>
      <c r="HE347" s="1006"/>
      <c r="HF347" s="996">
        <v>0</v>
      </c>
      <c r="HG347" s="1006"/>
      <c r="HH347" s="996">
        <v>0.66640000000000121</v>
      </c>
      <c r="HI347" s="1006"/>
      <c r="HJ347" s="996">
        <v>0</v>
      </c>
      <c r="HK347" s="1006"/>
      <c r="HL347" s="996">
        <v>0</v>
      </c>
      <c r="HM347" s="1006"/>
      <c r="HN347" s="996">
        <v>-1.0951599999999999</v>
      </c>
      <c r="HO347" s="1006"/>
      <c r="HP347" s="996">
        <v>-0.29260000000000019</v>
      </c>
      <c r="HQ347" s="1006"/>
      <c r="HR347" s="996">
        <v>-0.25080000000000169</v>
      </c>
      <c r="HS347" s="1006"/>
      <c r="HT347" s="996">
        <v>0</v>
      </c>
      <c r="HU347" s="1006"/>
      <c r="HV347" s="996">
        <v>0</v>
      </c>
      <c r="HW347" s="1006"/>
      <c r="HX347" s="996">
        <v>-0.83599999999999852</v>
      </c>
      <c r="HY347" s="1006" t="s">
        <v>204</v>
      </c>
      <c r="HZ347" s="996">
        <v>-5.4339999999999993</v>
      </c>
      <c r="IA347" s="1006" t="s">
        <v>199</v>
      </c>
      <c r="IB347" s="996">
        <v>2.9259999999999984</v>
      </c>
      <c r="IC347" s="1006"/>
      <c r="ID347" s="996">
        <v>0</v>
      </c>
      <c r="IE347" s="1006"/>
      <c r="IF347" s="996">
        <v>0</v>
      </c>
      <c r="IG347" s="1006"/>
      <c r="IH347" s="996">
        <v>0</v>
      </c>
      <c r="II347" s="1006"/>
      <c r="IJ347" s="996">
        <v>0</v>
      </c>
      <c r="IK347" s="1006" t="s">
        <v>199</v>
      </c>
      <c r="IL347" s="996">
        <v>-2.9259999999999984</v>
      </c>
      <c r="IM347" s="1006" t="s">
        <v>199</v>
      </c>
      <c r="IN347" s="996">
        <v>2.1067199999999993</v>
      </c>
      <c r="IO347" s="1006" t="s">
        <v>204</v>
      </c>
      <c r="IP347" s="996">
        <v>-10.884720000000002</v>
      </c>
      <c r="IQ347" s="1006"/>
      <c r="IR347" s="996">
        <v>0</v>
      </c>
      <c r="IS347" s="1006" t="s">
        <v>203</v>
      </c>
      <c r="IT347" s="996">
        <v>-1.8101908000000009</v>
      </c>
      <c r="IU347" s="1006"/>
      <c r="IV347" s="996">
        <v>0</v>
      </c>
      <c r="IW347" s="1006"/>
      <c r="IX347" s="996">
        <v>0</v>
      </c>
      <c r="IY347" s="1006" t="s">
        <v>203</v>
      </c>
      <c r="IZ347" s="996">
        <v>1.6429908000000033</v>
      </c>
      <c r="JA347" s="1006" t="s">
        <v>25</v>
      </c>
      <c r="JB347" s="996">
        <v>26.1</v>
      </c>
      <c r="JC347" s="1006"/>
      <c r="JD347" s="996"/>
      <c r="JE347" s="1006"/>
      <c r="JF347" s="996"/>
      <c r="JG347" s="1006"/>
      <c r="JH347" s="996"/>
      <c r="JI347" s="1006"/>
      <c r="JJ347" s="996"/>
      <c r="JK347" s="1007"/>
      <c r="JL347" s="1007"/>
      <c r="JM347" s="1007"/>
      <c r="JN347" s="1007"/>
      <c r="JO347" s="1008"/>
      <c r="JP347" s="1007"/>
      <c r="JQ347" s="1008"/>
      <c r="JR347" s="1007"/>
      <c r="JS347" s="1008"/>
      <c r="JT347" s="1007"/>
      <c r="JU347" s="1008"/>
      <c r="JV347" s="1007"/>
      <c r="JW347" s="1008"/>
      <c r="JX347" s="1007"/>
      <c r="JY347" s="1008"/>
      <c r="JZ347" s="1007"/>
      <c r="KA347" s="1008"/>
      <c r="KB347" s="1007"/>
      <c r="KC347" s="1008"/>
      <c r="KD347" s="1007"/>
      <c r="KE347" s="1008"/>
      <c r="KF347" s="1007"/>
      <c r="KG347" s="1008"/>
      <c r="KH347" s="1007"/>
      <c r="KI347" s="1008"/>
      <c r="KJ347" s="1007"/>
      <c r="KK347" s="1008"/>
      <c r="KL347" s="1007"/>
      <c r="KM347" s="1008"/>
      <c r="KN347" s="1007"/>
      <c r="KO347" s="1008"/>
      <c r="KP347" s="1007"/>
      <c r="KQ347" s="1008"/>
      <c r="KR347" s="1007"/>
      <c r="KS347" s="1008"/>
      <c r="KT347" s="1007"/>
      <c r="KU347" s="1008"/>
      <c r="KV347" s="1007"/>
      <c r="KW347" s="1008"/>
      <c r="KX347" s="1007"/>
      <c r="KY347" s="1008"/>
      <c r="KZ347" s="1007"/>
      <c r="LA347" s="1008"/>
      <c r="LB347" s="1007"/>
      <c r="LC347" s="1008"/>
      <c r="LD347" s="1007"/>
      <c r="LE347" s="1008"/>
      <c r="LF347" s="1007"/>
      <c r="LG347" s="1008"/>
      <c r="LH347" s="1007"/>
      <c r="LI347" s="1008"/>
      <c r="LJ347" s="1007"/>
      <c r="LK347" s="1008"/>
      <c r="LL347" s="1007"/>
      <c r="LM347" s="1008"/>
      <c r="LN347" s="1007"/>
      <c r="LO347" s="1008"/>
      <c r="LP347" s="1007"/>
      <c r="LQ347" s="1008"/>
      <c r="LR347" s="1007"/>
      <c r="LS347" s="1008"/>
      <c r="LT347" s="1007"/>
      <c r="LU347" s="1008"/>
      <c r="LV347" s="1007"/>
      <c r="LW347" s="1008"/>
      <c r="LX347" s="1007"/>
      <c r="LY347" s="1009"/>
      <c r="LZ347" s="1010"/>
      <c r="MA347" s="1011"/>
      <c r="MB347" s="1012"/>
      <c r="MC347" s="995"/>
      <c r="MD347" s="996"/>
      <c r="ME347" s="997" t="s">
        <v>238</v>
      </c>
      <c r="MF347" s="997"/>
      <c r="MG347" s="998"/>
      <c r="NR347" s="1000"/>
      <c r="NS347" s="1000"/>
      <c r="NT347" s="1001"/>
      <c r="NU347" s="1000"/>
      <c r="NV347" s="1001"/>
      <c r="NX347" s="1002"/>
      <c r="NZ347" s="1001"/>
      <c r="OA347" s="1001"/>
      <c r="OC347" s="1003"/>
      <c r="OD347" s="1003"/>
      <c r="OE347" s="1001"/>
      <c r="OF347" s="1003"/>
      <c r="OG347" s="1003"/>
      <c r="QX347" s="1000">
        <f t="shared" si="262"/>
        <v>31</v>
      </c>
      <c r="ASU347" s="999" t="s">
        <v>208</v>
      </c>
    </row>
    <row r="348" spans="1:466 1191:1191" ht="21" customHeight="1" x14ac:dyDescent="0.25">
      <c r="A348" s="982">
        <f t="shared" si="215"/>
        <v>1370</v>
      </c>
      <c r="B348" s="145">
        <f>SUBTOTAL(103,$J$29:J348)</f>
        <v>320</v>
      </c>
      <c r="C348" s="126">
        <v>45096</v>
      </c>
      <c r="D348" s="145" t="s">
        <v>176</v>
      </c>
      <c r="E348" s="128" t="s">
        <v>177</v>
      </c>
      <c r="F348" s="128" t="s">
        <v>177</v>
      </c>
      <c r="G348" s="128" t="s">
        <v>178</v>
      </c>
      <c r="H348" s="128" t="s">
        <v>179</v>
      </c>
      <c r="I348" s="128" t="s">
        <v>417</v>
      </c>
      <c r="J348" s="152">
        <v>1370</v>
      </c>
      <c r="K348" s="127" t="s">
        <v>1385</v>
      </c>
      <c r="L348" s="135">
        <v>43777</v>
      </c>
      <c r="M348" s="128" t="s">
        <v>230</v>
      </c>
      <c r="N348" s="128" t="s">
        <v>231</v>
      </c>
      <c r="O348" s="127" t="s">
        <v>582</v>
      </c>
      <c r="P348" s="127" t="s">
        <v>582</v>
      </c>
      <c r="Q348" s="127">
        <v>-4</v>
      </c>
      <c r="R348" s="130"/>
      <c r="S348" s="128"/>
      <c r="T348" s="131"/>
      <c r="U348" s="132">
        <v>203</v>
      </c>
      <c r="V348" s="121">
        <v>218.2</v>
      </c>
      <c r="W348" s="116">
        <v>0.98</v>
      </c>
      <c r="X348" s="116">
        <v>1.66</v>
      </c>
      <c r="Y348" s="116">
        <f t="shared" si="239"/>
        <v>0.98</v>
      </c>
      <c r="Z348" s="133">
        <v>1.454</v>
      </c>
      <c r="AA348" s="133">
        <v>0.83599999999999997</v>
      </c>
      <c r="AB348" s="133">
        <v>0.72</v>
      </c>
      <c r="AC348" s="121">
        <v>34.299999999999997</v>
      </c>
      <c r="AD348" s="134">
        <v>1.17</v>
      </c>
      <c r="AE348" s="145">
        <v>177.8</v>
      </c>
      <c r="AF348" s="128">
        <v>9.19</v>
      </c>
      <c r="AG348" s="128">
        <v>2291</v>
      </c>
      <c r="AH348" s="128">
        <v>2728</v>
      </c>
      <c r="AI348" s="128">
        <v>2728</v>
      </c>
      <c r="AJ348" s="135"/>
      <c r="AK348" s="128"/>
      <c r="AL348" s="131"/>
      <c r="AM348" s="145" t="s">
        <v>232</v>
      </c>
      <c r="AN348" s="131" t="s">
        <v>1435</v>
      </c>
      <c r="AO348" s="137">
        <v>16</v>
      </c>
      <c r="AP348" s="128">
        <v>2291</v>
      </c>
      <c r="AQ348" s="128">
        <v>360.7</v>
      </c>
      <c r="AR348" s="128"/>
      <c r="AS348" s="128"/>
      <c r="AT348" s="122"/>
      <c r="AU348" s="145" t="s">
        <v>883</v>
      </c>
      <c r="AV348" s="128">
        <f>VLOOKUP(J348,'[63]ТР нефть'!$J$28:$BP$638,39,0)</f>
        <v>300</v>
      </c>
      <c r="AW348" s="128" t="str">
        <f>VLOOKUP(J348,'[63]ТР нефть'!$J$28:$BP$638,40,0)</f>
        <v>ГП</v>
      </c>
      <c r="AX348" s="128" t="str">
        <f>VLOOKUP(J348,'[63]ТР нефть'!$J$28:$BP$638,41,0)</f>
        <v>-</v>
      </c>
      <c r="AY348" s="128" t="str">
        <f>VLOOKUP(J348,'[63]ТР нефть'!$J$28:$BP$638,42,0)</f>
        <v>-</v>
      </c>
      <c r="AZ348" s="128" t="str">
        <f>VLOOKUP(J348,'[63]ТР нефть'!$J$28:$BP$638,43,0)</f>
        <v>-</v>
      </c>
      <c r="BA348" s="128" t="str">
        <f>VLOOKUP(J348,'[63]ТР нефть'!$J$28:$BP$638,44,0)</f>
        <v>-</v>
      </c>
      <c r="BB348" s="128" t="str">
        <f>VLOOKUP(J348,'[63]ТР нефть'!$J$28:$BP$638,45,0)</f>
        <v>-</v>
      </c>
      <c r="BC348" s="128" t="str">
        <f>VLOOKUP(J348,'[63]ТР нефть'!$J$28:$BP$638,46,0)</f>
        <v>-</v>
      </c>
      <c r="BD348" s="128" t="str">
        <f>VLOOKUP(J348,'[63]ТР нефть'!$J$28:$BP$638,47,0)</f>
        <v>-</v>
      </c>
      <c r="BE348" s="128" t="str">
        <f>VLOOKUP(J348,'[63]ТР нефть'!$J$28:$BP$638,48,0)</f>
        <v>-</v>
      </c>
      <c r="BF348" s="128" t="str">
        <f>VLOOKUP(J348,'[63]ТР нефть'!$J$28:$BP$638,49,0)</f>
        <v>-</v>
      </c>
      <c r="BG348" s="128" t="str">
        <f>VLOOKUP(J348,'[63]ТР нефть'!$J$28:$BP$638,50,0)</f>
        <v>-</v>
      </c>
      <c r="BH348" s="128">
        <f>VLOOKUP(J348,'[63]ТР нефть'!$J$28:$BP$638,51,0)</f>
        <v>1790</v>
      </c>
      <c r="BI348" s="128" t="str">
        <f>VLOOKUP(J348,'[63]ТР нефть'!$J$28:$BP$638,52,0)</f>
        <v>закр</v>
      </c>
      <c r="BJ348" s="128" t="str">
        <f>IF(IFERROR(VLOOKUP(J348,'[63]ТР нефть'!$J$28:$BP$638,53,0),"-")=0,"-",IFERROR(VLOOKUP(J348,'[63]ТР нефть'!$J$28:$BP$638,53,0),"-"))</f>
        <v>-</v>
      </c>
      <c r="BK348" s="128" t="str">
        <f>IF(IFERROR(VLOOKUP(J348,'[63]ТР нефть'!$J$28:$BP$638,54,0),"-")=0,"-",IFERROR(VLOOKUP(J348,'[63]ТР нефть'!$J$28:$BP$638,54,0),"-"))</f>
        <v>D3500N</v>
      </c>
      <c r="BL348" s="128" t="str">
        <f>IF(IFERROR(VLOOKUP(J348,'[63]ТР нефть'!$J$28:$BP$638,55,0),"-")=0,"-",IFERROR(VLOOKUP(J348,'[63]ТР нефть'!$J$28:$BP$638,55,0),"-"))</f>
        <v>-</v>
      </c>
      <c r="BM348" s="128">
        <f>IF(IFERROR(VLOOKUP(J348,'[63]ТР нефть'!$J$28:$BP$638,56,0),"-")=0,"-",IFERROR(VLOOKUP(J348,'[63]ТР нефть'!$J$28:$BP$638,56,0),"-"))</f>
        <v>1464</v>
      </c>
      <c r="BN348" s="128">
        <f>IF(IFERROR(VLOOKUP(J348,'[63]ТР нефть'!$J$28:$BP$638,57,0),"-")=0,"-",IFERROR(VLOOKUP(J348,'[63]ТР нефть'!$J$28:$BP$638,57,0),"-"))</f>
        <v>45</v>
      </c>
      <c r="BO348" s="128">
        <f>IF(IFERROR(VLOOKUP(J348,'[63]ТР нефть'!$J$28:$BP$638,58,0),"-")=0,"-",IFERROR(VLOOKUP(J348,'[63]ТР нефть'!$J$28:$BP$638,58,0),"-"))</f>
        <v>200</v>
      </c>
      <c r="BP348" s="128" t="str">
        <f>IF(IFERROR(VLOOKUP(J348,'[63]ТР нефть'!$J$28:$BP$638,59,0),"-")=0,"-",IFERROR(VLOOKUP(J348,'[63]ТР нефть'!$J$28:$BP$638,59,0),"-"))</f>
        <v>-</v>
      </c>
      <c r="BQ348" s="115">
        <v>1833</v>
      </c>
      <c r="BR348" s="128">
        <v>1718.44</v>
      </c>
      <c r="BS348" s="115">
        <f t="shared" si="258"/>
        <v>114.55999999999995</v>
      </c>
      <c r="BT348" s="128">
        <v>73</v>
      </c>
      <c r="BU348" s="128">
        <v>5.5</v>
      </c>
      <c r="BV348" s="128">
        <v>65</v>
      </c>
      <c r="BW348" s="128" t="s">
        <v>217</v>
      </c>
      <c r="BX348" s="127" t="s">
        <v>195</v>
      </c>
      <c r="BY348" s="121">
        <v>24</v>
      </c>
      <c r="BZ348" s="121">
        <v>0</v>
      </c>
      <c r="CA348" s="148"/>
      <c r="CB348" s="115"/>
      <c r="CC348" s="115"/>
      <c r="CD348" s="135">
        <v>45017</v>
      </c>
      <c r="CE348" s="115">
        <v>198</v>
      </c>
      <c r="CF348" s="138"/>
      <c r="CG348" s="115" t="str">
        <f t="shared" si="265"/>
        <v/>
      </c>
      <c r="CH348" s="115" t="s">
        <v>197</v>
      </c>
      <c r="CI348" s="128"/>
      <c r="CJ348" s="115"/>
      <c r="CK348" s="138"/>
      <c r="CL348" s="115"/>
      <c r="CM348" s="128"/>
      <c r="CN348" s="150"/>
      <c r="CO348" s="141">
        <f t="shared" si="216"/>
        <v>0</v>
      </c>
      <c r="CP348" s="142"/>
      <c r="CQ348" s="119"/>
      <c r="CR348" s="138"/>
      <c r="CS348" s="139"/>
      <c r="CT348" s="138"/>
      <c r="CU348" s="138"/>
      <c r="CV348" s="115"/>
      <c r="CW348" s="115" t="str">
        <f t="shared" si="217"/>
        <v/>
      </c>
      <c r="CX348" s="133"/>
      <c r="CY348" s="116"/>
      <c r="CZ348" s="131"/>
      <c r="DA348" s="145" t="str">
        <f t="shared" si="218"/>
        <v>ЭЦН</v>
      </c>
      <c r="DB348" s="146">
        <f t="shared" si="219"/>
        <v>0</v>
      </c>
      <c r="DC348" s="142">
        <f t="shared" si="234"/>
        <v>0</v>
      </c>
      <c r="DD348" s="119">
        <f t="shared" si="250"/>
        <v>0</v>
      </c>
      <c r="DE348" s="115">
        <f t="shared" si="220"/>
        <v>0</v>
      </c>
      <c r="DF348" s="121">
        <f t="shared" si="221"/>
        <v>0</v>
      </c>
      <c r="DG348" s="115">
        <f t="shared" si="222"/>
        <v>0</v>
      </c>
      <c r="DH348" s="115">
        <f t="shared" si="223"/>
        <v>0</v>
      </c>
      <c r="DI348" s="150"/>
      <c r="DJ348" s="111">
        <v>44231</v>
      </c>
      <c r="DK348" s="112">
        <v>44116</v>
      </c>
      <c r="DL348" s="113">
        <f t="shared" ca="1" si="266"/>
        <v>988</v>
      </c>
      <c r="DM348" s="114">
        <v>53</v>
      </c>
      <c r="DN348" s="114">
        <v>79</v>
      </c>
      <c r="DO348" s="114">
        <v>43</v>
      </c>
      <c r="DP348" s="114"/>
      <c r="DQ348" s="112"/>
      <c r="DR348" s="114"/>
      <c r="DS348" s="114"/>
      <c r="DT348" s="115">
        <v>90</v>
      </c>
      <c r="DU348" s="116">
        <f t="shared" si="267"/>
        <v>0</v>
      </c>
      <c r="DV348" s="117">
        <f t="shared" si="268"/>
        <v>0</v>
      </c>
      <c r="DW348" s="118">
        <f t="shared" si="269"/>
        <v>0</v>
      </c>
      <c r="DX348" s="119">
        <f t="shared" si="224"/>
        <v>0</v>
      </c>
      <c r="DY348" s="115">
        <f t="shared" si="270"/>
        <v>0</v>
      </c>
      <c r="DZ348" s="117">
        <f t="shared" si="271"/>
        <v>0</v>
      </c>
      <c r="EA348" s="120">
        <f t="shared" si="271"/>
        <v>0</v>
      </c>
      <c r="EB348" s="119">
        <f t="shared" si="264"/>
        <v>0</v>
      </c>
      <c r="EC348" s="121">
        <f t="shared" si="272"/>
        <v>0</v>
      </c>
      <c r="ED348" s="122"/>
      <c r="EE348" s="145">
        <v>65</v>
      </c>
      <c r="EF348" s="148">
        <v>0</v>
      </c>
      <c r="EG348" s="115">
        <v>0</v>
      </c>
      <c r="EH348" s="115">
        <v>0</v>
      </c>
      <c r="EI348" s="128" t="s">
        <v>195</v>
      </c>
      <c r="EJ348" s="121">
        <v>24</v>
      </c>
      <c r="EK348" s="121">
        <v>0</v>
      </c>
      <c r="EL348" s="149">
        <v>0</v>
      </c>
      <c r="EM348" s="142">
        <v>0</v>
      </c>
      <c r="EN348" s="119">
        <v>0</v>
      </c>
      <c r="EO348" s="115">
        <v>0</v>
      </c>
      <c r="EP348" s="115">
        <v>0</v>
      </c>
      <c r="EQ348" s="115">
        <v>0</v>
      </c>
      <c r="ER348" s="115">
        <v>0</v>
      </c>
      <c r="ES348" s="115">
        <v>0</v>
      </c>
      <c r="ET348" s="150">
        <v>0</v>
      </c>
      <c r="EU348" s="145">
        <f t="shared" si="225"/>
        <v>65</v>
      </c>
      <c r="EV348" s="115">
        <f t="shared" si="226"/>
        <v>0</v>
      </c>
      <c r="EW348" s="115">
        <f t="shared" si="226"/>
        <v>0</v>
      </c>
      <c r="EX348" s="115">
        <f t="shared" si="226"/>
        <v>0</v>
      </c>
      <c r="EY348" s="115" t="str">
        <f t="shared" si="253"/>
        <v>Постоянный</v>
      </c>
      <c r="EZ348" s="115">
        <f t="shared" si="253"/>
        <v>24</v>
      </c>
      <c r="FA348" s="115">
        <f t="shared" si="253"/>
        <v>0</v>
      </c>
      <c r="FB348" s="149">
        <f t="shared" si="238"/>
        <v>0</v>
      </c>
      <c r="FC348" s="142">
        <f t="shared" si="238"/>
        <v>0</v>
      </c>
      <c r="FD348" s="119">
        <f t="shared" si="238"/>
        <v>0</v>
      </c>
      <c r="FE348" s="121">
        <f t="shared" si="238"/>
        <v>0</v>
      </c>
      <c r="FF348" s="121">
        <f t="shared" si="247"/>
        <v>0</v>
      </c>
      <c r="FG348" s="121">
        <f t="shared" si="227"/>
        <v>0</v>
      </c>
      <c r="FH348" s="121">
        <f t="shared" si="248"/>
        <v>0</v>
      </c>
      <c r="FI348" s="121">
        <f t="shared" si="252"/>
        <v>0</v>
      </c>
      <c r="FJ348" s="144">
        <f t="shared" si="228"/>
        <v>0</v>
      </c>
      <c r="FK348" s="132">
        <f t="shared" si="229"/>
        <v>0</v>
      </c>
      <c r="FL348" s="115">
        <f t="shared" si="229"/>
        <v>0</v>
      </c>
      <c r="FM348" s="115">
        <f t="shared" si="229"/>
        <v>0</v>
      </c>
      <c r="FN348" s="115">
        <f t="shared" ref="FN348:FN411" si="273">EX348-EH348</f>
        <v>0</v>
      </c>
      <c r="FO348" s="115">
        <f t="shared" si="257"/>
        <v>0</v>
      </c>
      <c r="FP348" s="115">
        <f t="shared" si="257"/>
        <v>0</v>
      </c>
      <c r="FQ348" s="149">
        <f t="shared" si="257"/>
        <v>0</v>
      </c>
      <c r="FR348" s="142">
        <f t="shared" si="256"/>
        <v>0</v>
      </c>
      <c r="FS348" s="119">
        <f t="shared" si="256"/>
        <v>0</v>
      </c>
      <c r="FT348" s="121">
        <f t="shared" si="256"/>
        <v>0</v>
      </c>
      <c r="FU348" s="121">
        <f t="shared" si="230"/>
        <v>0</v>
      </c>
      <c r="FV348" s="121">
        <f t="shared" si="230"/>
        <v>0</v>
      </c>
      <c r="FW348" s="121">
        <f t="shared" si="231"/>
        <v>0</v>
      </c>
      <c r="FX348" s="121">
        <f t="shared" si="233"/>
        <v>0</v>
      </c>
      <c r="FY348" s="144">
        <f t="shared" si="233"/>
        <v>0</v>
      </c>
      <c r="FZ348" s="145"/>
      <c r="GA348" s="151"/>
      <c r="GB348" s="145"/>
      <c r="GC348" s="151" t="s">
        <v>394</v>
      </c>
      <c r="GD348" s="997" t="s">
        <v>238</v>
      </c>
      <c r="GE348" s="1004"/>
      <c r="GF348" s="1004">
        <v>0</v>
      </c>
      <c r="GG348" s="1004"/>
      <c r="GH348" s="1004">
        <v>0</v>
      </c>
      <c r="GI348" s="145"/>
      <c r="GJ348" s="996">
        <v>0</v>
      </c>
      <c r="GK348" s="145"/>
      <c r="GL348" s="996">
        <v>-0.1</v>
      </c>
      <c r="GM348" s="1005"/>
      <c r="GN348" s="996">
        <v>0</v>
      </c>
      <c r="GO348" s="1006"/>
      <c r="GP348" s="996">
        <v>0</v>
      </c>
      <c r="GQ348" s="1006"/>
      <c r="GR348" s="996">
        <v>0.1</v>
      </c>
      <c r="GS348" s="1006"/>
      <c r="GT348" s="996">
        <v>0</v>
      </c>
      <c r="GU348" s="1006"/>
      <c r="GV348" s="996">
        <v>0</v>
      </c>
      <c r="GW348" s="1006"/>
      <c r="GX348" s="1049">
        <v>0</v>
      </c>
      <c r="GY348" s="1006"/>
      <c r="GZ348" s="996">
        <v>0</v>
      </c>
      <c r="HA348" s="1006"/>
      <c r="HB348" s="996">
        <v>0</v>
      </c>
      <c r="HC348" s="1006"/>
      <c r="HD348" s="996">
        <v>0</v>
      </c>
      <c r="HE348" s="1006"/>
      <c r="HF348" s="996">
        <v>0</v>
      </c>
      <c r="HG348" s="1006"/>
      <c r="HH348" s="996">
        <v>0</v>
      </c>
      <c r="HI348" s="1006"/>
      <c r="HJ348" s="996">
        <v>0</v>
      </c>
      <c r="HK348" s="1006" t="s">
        <v>197</v>
      </c>
      <c r="HL348" s="996">
        <v>0</v>
      </c>
      <c r="HM348" s="1006"/>
      <c r="HN348" s="996">
        <v>0</v>
      </c>
      <c r="HO348" s="1006"/>
      <c r="HP348" s="996">
        <v>0</v>
      </c>
      <c r="HQ348" s="1006"/>
      <c r="HR348" s="996">
        <v>0</v>
      </c>
      <c r="HS348" s="1006"/>
      <c r="HT348" s="996">
        <v>0</v>
      </c>
      <c r="HU348" s="1006"/>
      <c r="HV348" s="996">
        <v>-0.35212319999999409</v>
      </c>
      <c r="HW348" s="1006" t="s">
        <v>204</v>
      </c>
      <c r="HX348" s="996">
        <v>-35.26749599999998</v>
      </c>
      <c r="HY348" s="1006"/>
      <c r="HZ348" s="996">
        <v>0</v>
      </c>
      <c r="IA348" s="1006" t="s">
        <v>146</v>
      </c>
      <c r="IB348" s="996">
        <v>-5.3830040000000139</v>
      </c>
      <c r="IC348" s="1006" t="s">
        <v>146</v>
      </c>
      <c r="ID348" s="996">
        <v>11.99372834000004</v>
      </c>
      <c r="IE348" s="1006" t="s">
        <v>146</v>
      </c>
      <c r="IF348" s="996">
        <v>-11.003068340000034</v>
      </c>
      <c r="IG348" s="1006" t="s">
        <v>275</v>
      </c>
      <c r="IH348" s="996">
        <v>-7.2681840000000051</v>
      </c>
      <c r="II348" s="1006" t="s">
        <v>199</v>
      </c>
      <c r="IJ348" s="996">
        <v>6.4372000000000043</v>
      </c>
      <c r="IK348" s="1006" t="s">
        <v>204</v>
      </c>
      <c r="IL348" s="996">
        <v>20.249759200000014</v>
      </c>
      <c r="IM348" s="1006" t="s">
        <v>204</v>
      </c>
      <c r="IN348" s="996">
        <v>11.270635991999999</v>
      </c>
      <c r="IO348" s="1006" t="s">
        <v>239</v>
      </c>
      <c r="IP348" s="996">
        <v>-14.873963192000009</v>
      </c>
      <c r="IQ348" s="1006"/>
      <c r="IR348" s="996">
        <v>0</v>
      </c>
      <c r="IS348" s="1006" t="s">
        <v>146</v>
      </c>
      <c r="IT348" s="996">
        <v>-3.8690080000000009</v>
      </c>
      <c r="IU348" s="1006"/>
      <c r="IV348" s="996">
        <v>3.3439999999998804E-2</v>
      </c>
      <c r="IW348" s="1006"/>
      <c r="IX348" s="996">
        <v>0</v>
      </c>
      <c r="IY348" s="1006"/>
      <c r="IZ348" s="996">
        <v>-0.9229440000000011</v>
      </c>
      <c r="JA348" s="1006"/>
      <c r="JB348" s="996">
        <v>1.0149040000000014</v>
      </c>
      <c r="JC348" s="1006" t="s">
        <v>223</v>
      </c>
      <c r="JD348" s="996">
        <v>0.71896000000000271</v>
      </c>
      <c r="JE348" s="1006"/>
      <c r="JF348" s="996">
        <v>0</v>
      </c>
      <c r="JG348" s="1006"/>
      <c r="JH348" s="996">
        <v>0</v>
      </c>
      <c r="JI348" s="1006" t="s">
        <v>221</v>
      </c>
      <c r="JJ348" s="996">
        <v>26.486373539999988</v>
      </c>
      <c r="JK348" s="1007" t="s">
        <v>25</v>
      </c>
      <c r="JL348" s="1007">
        <v>17.311666460000012</v>
      </c>
      <c r="JM348" s="1007"/>
      <c r="JN348" s="1007">
        <v>0</v>
      </c>
      <c r="JO348" s="1008"/>
      <c r="JP348" s="1007"/>
      <c r="JQ348" s="1008"/>
      <c r="JR348" s="1007"/>
      <c r="JS348" s="1008"/>
      <c r="JT348" s="1007"/>
      <c r="JU348" s="1008"/>
      <c r="JV348" s="1007"/>
      <c r="JW348" s="1008"/>
      <c r="JX348" s="1007"/>
      <c r="JY348" s="1008"/>
      <c r="JZ348" s="1007"/>
      <c r="KA348" s="1008"/>
      <c r="KB348" s="1007"/>
      <c r="KC348" s="1008"/>
      <c r="KD348" s="1007"/>
      <c r="KE348" s="1008"/>
      <c r="KF348" s="1007"/>
      <c r="KG348" s="1008"/>
      <c r="KH348" s="1007"/>
      <c r="KI348" s="1008"/>
      <c r="KJ348" s="1007"/>
      <c r="KK348" s="1008"/>
      <c r="KL348" s="1007"/>
      <c r="KM348" s="1008"/>
      <c r="KN348" s="1007"/>
      <c r="KO348" s="1008"/>
      <c r="KP348" s="1007"/>
      <c r="KQ348" s="1008"/>
      <c r="KR348" s="1007"/>
      <c r="KS348" s="1008"/>
      <c r="KT348" s="1007"/>
      <c r="KU348" s="1008"/>
      <c r="KV348" s="1007"/>
      <c r="KW348" s="1008"/>
      <c r="KX348" s="1007"/>
      <c r="KY348" s="1008"/>
      <c r="KZ348" s="1007"/>
      <c r="LA348" s="1008"/>
      <c r="LB348" s="1007"/>
      <c r="LC348" s="1008"/>
      <c r="LD348" s="1007"/>
      <c r="LE348" s="1008"/>
      <c r="LF348" s="1007"/>
      <c r="LG348" s="1008"/>
      <c r="LH348" s="1007"/>
      <c r="LI348" s="1008"/>
      <c r="LJ348" s="1007"/>
      <c r="LK348" s="1008"/>
      <c r="LL348" s="1007"/>
      <c r="LM348" s="1008"/>
      <c r="LN348" s="1007"/>
      <c r="LO348" s="1008"/>
      <c r="LP348" s="1007"/>
      <c r="LQ348" s="1008"/>
      <c r="LR348" s="1007"/>
      <c r="LS348" s="1008"/>
      <c r="LT348" s="1007"/>
      <c r="LU348" s="1008"/>
      <c r="LV348" s="1007"/>
      <c r="LW348" s="1008"/>
      <c r="LX348" s="1007"/>
      <c r="LY348" s="1009"/>
      <c r="LZ348" s="1010"/>
      <c r="MA348" s="1011"/>
      <c r="MB348" s="1012"/>
      <c r="MC348" s="995"/>
      <c r="MD348" s="996"/>
      <c r="ME348" s="997" t="s">
        <v>238</v>
      </c>
      <c r="MF348" s="997">
        <f>CN348-CA348</f>
        <v>0</v>
      </c>
      <c r="MG348" s="998"/>
      <c r="NR348" s="1000"/>
      <c r="NS348" s="1000"/>
      <c r="NT348" s="1001"/>
      <c r="NU348" s="1000"/>
      <c r="NV348" s="1001"/>
      <c r="NX348" s="1002"/>
      <c r="NZ348" s="1001"/>
      <c r="OA348" s="1001"/>
      <c r="OC348" s="1003"/>
      <c r="OD348" s="1003"/>
      <c r="OE348" s="1001"/>
      <c r="OF348" s="1003"/>
      <c r="OG348" s="1003"/>
      <c r="ASU348" s="999" t="s">
        <v>582</v>
      </c>
    </row>
    <row r="349" spans="1:466 1191:1191" ht="21" customHeight="1" x14ac:dyDescent="0.25">
      <c r="A349" s="982">
        <f t="shared" ref="A349:A412" si="274">$J349</f>
        <v>1371</v>
      </c>
      <c r="B349" s="124">
        <f>SUBTOTAL(103,$J$29:J349)</f>
        <v>321</v>
      </c>
      <c r="C349" s="126">
        <v>45096</v>
      </c>
      <c r="D349" s="124" t="s">
        <v>176</v>
      </c>
      <c r="E349" s="127" t="s">
        <v>177</v>
      </c>
      <c r="F349" s="128" t="s">
        <v>177</v>
      </c>
      <c r="G349" s="127" t="s">
        <v>178</v>
      </c>
      <c r="H349" s="127" t="s">
        <v>421</v>
      </c>
      <c r="I349" s="127" t="s">
        <v>1433</v>
      </c>
      <c r="J349" s="152">
        <v>1371</v>
      </c>
      <c r="K349" s="127" t="s">
        <v>1433</v>
      </c>
      <c r="L349" s="130">
        <v>43982</v>
      </c>
      <c r="M349" s="127" t="s">
        <v>230</v>
      </c>
      <c r="N349" s="127" t="s">
        <v>231</v>
      </c>
      <c r="O349" s="127" t="s">
        <v>185</v>
      </c>
      <c r="P349" s="127" t="s">
        <v>208</v>
      </c>
      <c r="Q349" s="85" t="str">
        <f t="shared" ref="Q349:Q358" si="275">IF(R349="","",-4)</f>
        <v/>
      </c>
      <c r="R349" s="130"/>
      <c r="S349" s="128"/>
      <c r="T349" s="131"/>
      <c r="U349" s="132">
        <v>203</v>
      </c>
      <c r="V349" s="121">
        <v>218.2</v>
      </c>
      <c r="W349" s="116">
        <v>0.98</v>
      </c>
      <c r="X349" s="116">
        <v>1.66</v>
      </c>
      <c r="Y349" s="116">
        <f t="shared" si="239"/>
        <v>0.98</v>
      </c>
      <c r="Z349" s="133">
        <v>1.454</v>
      </c>
      <c r="AA349" s="133">
        <v>0.83599999999999997</v>
      </c>
      <c r="AB349" s="133">
        <v>0.72</v>
      </c>
      <c r="AC349" s="121">
        <v>34.299999999999997</v>
      </c>
      <c r="AD349" s="134">
        <v>1.17</v>
      </c>
      <c r="AE349" s="124">
        <v>177.8</v>
      </c>
      <c r="AF349" s="128">
        <v>9.19</v>
      </c>
      <c r="AG349" s="128">
        <v>2228</v>
      </c>
      <c r="AH349" s="127">
        <v>2802</v>
      </c>
      <c r="AI349" s="127">
        <v>2802</v>
      </c>
      <c r="AJ349" s="135"/>
      <c r="AK349" s="128"/>
      <c r="AL349" s="131"/>
      <c r="AM349" s="124" t="s">
        <v>187</v>
      </c>
      <c r="AN349" s="136" t="s">
        <v>1436</v>
      </c>
      <c r="AO349" s="137">
        <v>0.28999999999996362</v>
      </c>
      <c r="AP349" s="128">
        <v>2247.1999999999998</v>
      </c>
      <c r="AQ349" s="128">
        <v>310.89</v>
      </c>
      <c r="AR349" s="128"/>
      <c r="AS349" s="128"/>
      <c r="AT349" s="122"/>
      <c r="AU349" s="124" t="s">
        <v>189</v>
      </c>
      <c r="AV349" s="115">
        <f>VLOOKUP(J349,'[63]ТР нефть'!$J$28:$BP$638,39,0)</f>
        <v>569.99999853500003</v>
      </c>
      <c r="AW349" s="115" t="str">
        <f>VLOOKUP(J349,'[63]ТР нефть'!$J$28:$BP$638,40,0)</f>
        <v>ГП</v>
      </c>
      <c r="AX349" s="115">
        <f>VLOOKUP(J349,'[63]ТР нефть'!$J$28:$BP$638,41,0)</f>
        <v>1021.999981055</v>
      </c>
      <c r="AY349" s="115" t="str">
        <f>VLOOKUP(J349,'[63]ТР нефть'!$J$28:$BP$638,42,0)</f>
        <v>ГК 71 1/8</v>
      </c>
      <c r="AZ349" s="115">
        <f>VLOOKUP(J349,'[63]ТР нефть'!$J$28:$BP$638,43,0)</f>
        <v>1361.999990625</v>
      </c>
      <c r="BA349" s="115" t="str">
        <f>VLOOKUP(J349,'[63]ТР нефть'!$J$28:$BP$638,44,0)</f>
        <v>ГК 71 1/8</v>
      </c>
      <c r="BB349" s="115">
        <f>VLOOKUP(J349,'[63]ТР нефть'!$J$28:$BP$638,45,0)</f>
        <v>1610.000034375</v>
      </c>
      <c r="BC349" s="115" t="str">
        <f>VLOOKUP(J349,'[63]ТР нефть'!$J$28:$BP$638,46,0)</f>
        <v>ГК 71 1/8</v>
      </c>
      <c r="BD349" s="115">
        <f>VLOOKUP(J349,'[63]ТР нефть'!$J$28:$BP$638,47,0)</f>
        <v>1840.000060547</v>
      </c>
      <c r="BE349" s="115" t="str">
        <f>VLOOKUP(J349,'[63]ТР нефть'!$J$28:$BP$638,48,0)</f>
        <v>ЦКсОК 5/16</v>
      </c>
      <c r="BF349" s="115" t="str">
        <f>VLOOKUP(J349,'[63]ТР нефть'!$J$28:$BP$638,49,0)</f>
        <v>-</v>
      </c>
      <c r="BG349" s="115" t="str">
        <f>VLOOKUP(J349,'[63]ТР нефть'!$J$28:$BP$638,50,0)</f>
        <v>-</v>
      </c>
      <c r="BH349" s="115" t="str">
        <f>VLOOKUP(J349,'[63]ТР нефть'!$J$28:$BP$638,51,0)</f>
        <v>-</v>
      </c>
      <c r="BI349" s="115" t="str">
        <f>VLOOKUP(J349,'[63]ТР нефть'!$J$28:$BP$638,52,0)</f>
        <v>-</v>
      </c>
      <c r="BJ349" s="115" t="str">
        <f>IF(IFERROR(VLOOKUP(J349,'[63]ТР нефть'!$J$28:$BP$638,53,0),"-")=0,"-",IFERROR(VLOOKUP(J349,'[63]ТР нефть'!$J$28:$BP$638,53,0),"-"))</f>
        <v>-</v>
      </c>
      <c r="BK349" s="138" t="str">
        <f>IF(IFERROR(VLOOKUP(J349,'[63]ТР нефть'!$J$28:$BP$638,54,0),"-")=0,"-",IFERROR(VLOOKUP(J349,'[63]ТР нефть'!$J$28:$BP$638,54,0),"-"))</f>
        <v>-</v>
      </c>
      <c r="BL349" s="138" t="str">
        <f>IF(IFERROR(VLOOKUP(J349,'[63]ТР нефть'!$J$28:$BP$638,55,0),"-")=0,"-",IFERROR(VLOOKUP(J349,'[63]ТР нефть'!$J$28:$BP$638,55,0),"-"))</f>
        <v>-</v>
      </c>
      <c r="BM349" s="138" t="str">
        <f>IF(IFERROR(VLOOKUP(J349,'[63]ТР нефть'!$J$28:$BP$638,56,0),"-")=0,"-",IFERROR(VLOOKUP(J349,'[63]ТР нефть'!$J$28:$BP$638,56,0),"-"))</f>
        <v>-</v>
      </c>
      <c r="BN349" s="138" t="str">
        <f>IF(IFERROR(VLOOKUP(J349,'[63]ТР нефть'!$J$28:$BP$638,57,0),"-")=0,"-",IFERROR(VLOOKUP(J349,'[63]ТР нефть'!$J$28:$BP$638,57,0),"-"))</f>
        <v>-</v>
      </c>
      <c r="BO349" s="115" t="str">
        <f>IF(IFERROR(VLOOKUP(J349,'[63]ТР нефть'!$J$28:$BP$638,58,0),"-")=0,"-",IFERROR(VLOOKUP(J349,'[63]ТР нефть'!$J$28:$BP$638,58,0),"-"))</f>
        <v>-</v>
      </c>
      <c r="BP349" s="115" t="str">
        <f>IF(IFERROR(VLOOKUP(J349,'[63]ТР нефть'!$J$28:$BP$638,59,0),"-")=0,"-",IFERROR(VLOOKUP(J349,'[63]ТР нефть'!$J$28:$BP$638,59,0),"-"))</f>
        <v>-</v>
      </c>
      <c r="BQ349" s="138">
        <v>2178</v>
      </c>
      <c r="BR349" s="128">
        <f>1745.31+172.95</f>
        <v>1918.26</v>
      </c>
      <c r="BS349" s="115">
        <f t="shared" si="258"/>
        <v>259.74</v>
      </c>
      <c r="BT349" s="128">
        <v>73</v>
      </c>
      <c r="BU349" s="128">
        <v>5.5</v>
      </c>
      <c r="BV349" s="127">
        <v>12</v>
      </c>
      <c r="BW349" s="127" t="s">
        <v>234</v>
      </c>
      <c r="BX349" s="127" t="s">
        <v>195</v>
      </c>
      <c r="BY349" s="139">
        <v>24</v>
      </c>
      <c r="BZ349" s="139">
        <v>0</v>
      </c>
      <c r="CA349" s="80">
        <v>22</v>
      </c>
      <c r="CB349" s="138">
        <v>52</v>
      </c>
      <c r="CC349" s="138">
        <v>21</v>
      </c>
      <c r="CD349" s="135">
        <v>45017</v>
      </c>
      <c r="CE349" s="138">
        <v>118</v>
      </c>
      <c r="CF349" s="138">
        <v>82</v>
      </c>
      <c r="CG349" s="138" t="str">
        <f t="shared" si="265"/>
        <v>В работе</v>
      </c>
      <c r="CH349" s="138" t="s">
        <v>235</v>
      </c>
      <c r="CI349" s="127">
        <v>6</v>
      </c>
      <c r="CJ349" s="138"/>
      <c r="CK349" s="138"/>
      <c r="CL349" s="99"/>
      <c r="CM349" s="99"/>
      <c r="CN349" s="138">
        <v>52</v>
      </c>
      <c r="CO349" s="141">
        <f t="shared" ref="CO349:CO412" si="276">CP349*(1-CQ349/100)*0.836</f>
        <v>6.9388000000000005</v>
      </c>
      <c r="CP349" s="142">
        <v>8.3000000000000007</v>
      </c>
      <c r="CQ349" s="119">
        <v>0</v>
      </c>
      <c r="CR349" s="138">
        <v>7.6</v>
      </c>
      <c r="CS349" s="139">
        <v>6.2</v>
      </c>
      <c r="CT349" s="138"/>
      <c r="CU349" s="138">
        <f t="shared" ref="CU349:CU399" si="277">IF(CR349&lt;&gt;"0",CR349-CS349,"0")</f>
        <v>1.3999999999999995</v>
      </c>
      <c r="CV349" s="115">
        <f t="shared" ref="CV349:CV399" si="278">(CR349-CS349)*1000/CO349</f>
        <v>201.76399377413955</v>
      </c>
      <c r="CW349" s="115">
        <f t="shared" ref="CW349:CW412" si="279">IF(CP349&lt;&gt;0,IF(AU349=$AU$29,CS349/(CO349+(CP349-CO349/0.836)*1.158)*1000,""),"")</f>
        <v>893.5262581426183</v>
      </c>
      <c r="CX349" s="133">
        <f t="shared" ref="CX349:CX399" si="280">IF(CP349&lt;&gt;0,CP349/(CE349-CN349),0)</f>
        <v>0.12575757575757576</v>
      </c>
      <c r="CY349" s="116"/>
      <c r="CZ349" s="131"/>
      <c r="DA349" s="145" t="str">
        <f t="shared" ref="DA349:DA412" si="281">AU349</f>
        <v>Газлифт</v>
      </c>
      <c r="DB349" s="146">
        <f t="shared" ref="DB349:DB412" si="282">IFERROR(DC349*(1-DD349/100)*$AA349,"-")</f>
        <v>6.9388000000000005</v>
      </c>
      <c r="DC349" s="142">
        <f t="shared" si="234"/>
        <v>8.3000000000000007</v>
      </c>
      <c r="DD349" s="119">
        <f t="shared" si="250"/>
        <v>0</v>
      </c>
      <c r="DE349" s="115">
        <f t="shared" ref="DE349:DE415" si="283">CU349</f>
        <v>1.3999999999999995</v>
      </c>
      <c r="DF349" s="121">
        <f t="shared" ref="DF349:DF412" si="284">CS349</f>
        <v>6.2</v>
      </c>
      <c r="DG349" s="115">
        <f t="shared" ref="DG349:DG412" si="285">CV349</f>
        <v>201.76399377413955</v>
      </c>
      <c r="DH349" s="115">
        <f t="shared" ref="DH349:DH412" si="286">CN349</f>
        <v>52</v>
      </c>
      <c r="DI349" s="147"/>
      <c r="DJ349" s="111"/>
      <c r="DK349" s="112">
        <v>43982</v>
      </c>
      <c r="DL349" s="113">
        <f t="shared" ca="1" si="266"/>
        <v>1122</v>
      </c>
      <c r="DM349" s="114"/>
      <c r="DN349" s="114"/>
      <c r="DO349" s="114"/>
      <c r="DP349" s="114"/>
      <c r="DQ349" s="112"/>
      <c r="DR349" s="114"/>
      <c r="DS349" s="114"/>
      <c r="DT349" s="115">
        <v>53</v>
      </c>
      <c r="DU349" s="116">
        <f t="shared" si="267"/>
        <v>0.12769230769230772</v>
      </c>
      <c r="DV349" s="117">
        <f t="shared" si="268"/>
        <v>6.9388000000000005</v>
      </c>
      <c r="DW349" s="118">
        <f t="shared" si="269"/>
        <v>8.3000000000000007</v>
      </c>
      <c r="DX349" s="119">
        <f t="shared" ref="DX349:DX412" si="287">CQ349</f>
        <v>0</v>
      </c>
      <c r="DY349" s="115">
        <f t="shared" si="270"/>
        <v>1.3999999999999995</v>
      </c>
      <c r="DZ349" s="117">
        <f t="shared" si="271"/>
        <v>0</v>
      </c>
      <c r="EA349" s="120">
        <f t="shared" si="271"/>
        <v>0</v>
      </c>
      <c r="EB349" s="119">
        <f t="shared" si="264"/>
        <v>0</v>
      </c>
      <c r="EC349" s="121">
        <f t="shared" si="272"/>
        <v>0</v>
      </c>
      <c r="ED349" s="122"/>
      <c r="EE349" s="145">
        <v>12</v>
      </c>
      <c r="EF349" s="148">
        <v>22</v>
      </c>
      <c r="EG349" s="115">
        <v>52</v>
      </c>
      <c r="EH349" s="115">
        <v>21</v>
      </c>
      <c r="EI349" s="128" t="s">
        <v>195</v>
      </c>
      <c r="EJ349" s="121">
        <v>24</v>
      </c>
      <c r="EK349" s="121">
        <v>0</v>
      </c>
      <c r="EL349" s="149">
        <v>6.9388000000000005</v>
      </c>
      <c r="EM349" s="142">
        <v>8.3000000000000007</v>
      </c>
      <c r="EN349" s="119">
        <v>0</v>
      </c>
      <c r="EO349" s="115">
        <v>7.6</v>
      </c>
      <c r="EP349" s="115">
        <v>201.76399377413955</v>
      </c>
      <c r="EQ349" s="115">
        <v>82</v>
      </c>
      <c r="ER349" s="115">
        <v>6.2</v>
      </c>
      <c r="ES349" s="115">
        <v>52</v>
      </c>
      <c r="ET349" s="150">
        <v>0.12575757575757576</v>
      </c>
      <c r="EU349" s="145">
        <f t="shared" ref="EU349:EU412" si="288">BV349</f>
        <v>12</v>
      </c>
      <c r="EV349" s="115">
        <f t="shared" ref="EV349:EX412" si="289">CA349</f>
        <v>22</v>
      </c>
      <c r="EW349" s="115">
        <f t="shared" si="289"/>
        <v>52</v>
      </c>
      <c r="EX349" s="115">
        <f t="shared" si="289"/>
        <v>21</v>
      </c>
      <c r="EY349" s="115" t="str">
        <f t="shared" si="253"/>
        <v>Постоянный</v>
      </c>
      <c r="EZ349" s="115">
        <f t="shared" si="253"/>
        <v>24</v>
      </c>
      <c r="FA349" s="115">
        <f t="shared" si="253"/>
        <v>0</v>
      </c>
      <c r="FB349" s="149">
        <f t="shared" si="238"/>
        <v>6.9388000000000005</v>
      </c>
      <c r="FC349" s="142">
        <f t="shared" si="238"/>
        <v>8.3000000000000007</v>
      </c>
      <c r="FD349" s="119">
        <f t="shared" si="238"/>
        <v>0</v>
      </c>
      <c r="FE349" s="121">
        <f t="shared" si="238"/>
        <v>7.6</v>
      </c>
      <c r="FF349" s="121">
        <f t="shared" si="247"/>
        <v>201.76399377413955</v>
      </c>
      <c r="FG349" s="121">
        <f t="shared" ref="FG349:FG412" si="290">CF349</f>
        <v>82</v>
      </c>
      <c r="FH349" s="121">
        <f t="shared" si="248"/>
        <v>6.2</v>
      </c>
      <c r="FI349" s="121">
        <f t="shared" si="252"/>
        <v>52</v>
      </c>
      <c r="FJ349" s="144">
        <f t="shared" ref="FJ349:FJ412" si="291">CX349</f>
        <v>0.12575757575757576</v>
      </c>
      <c r="FK349" s="132">
        <f t="shared" ref="FK349:FN412" si="292">EU349-EE349</f>
        <v>0</v>
      </c>
      <c r="FL349" s="115">
        <f t="shared" si="292"/>
        <v>0</v>
      </c>
      <c r="FM349" s="115">
        <f t="shared" si="292"/>
        <v>0</v>
      </c>
      <c r="FN349" s="115">
        <f t="shared" si="273"/>
        <v>0</v>
      </c>
      <c r="FO349" s="115">
        <f t="shared" si="257"/>
        <v>0</v>
      </c>
      <c r="FP349" s="115">
        <f t="shared" si="257"/>
        <v>0</v>
      </c>
      <c r="FQ349" s="149">
        <f t="shared" si="257"/>
        <v>0</v>
      </c>
      <c r="FR349" s="142">
        <f t="shared" si="256"/>
        <v>0</v>
      </c>
      <c r="FS349" s="119">
        <f t="shared" si="256"/>
        <v>0</v>
      </c>
      <c r="FT349" s="121">
        <f t="shared" si="256"/>
        <v>0</v>
      </c>
      <c r="FU349" s="121">
        <f t="shared" ref="FU349:FV412" si="293">FG349-EQ349</f>
        <v>0</v>
      </c>
      <c r="FV349" s="121">
        <f t="shared" si="293"/>
        <v>0</v>
      </c>
      <c r="FW349" s="121">
        <f t="shared" ref="FW349:FW412" si="294">FF349-EP349</f>
        <v>0</v>
      </c>
      <c r="FX349" s="121">
        <f t="shared" ref="FX349:FY412" si="295">FI349-ES349</f>
        <v>0</v>
      </c>
      <c r="FY349" s="144">
        <f t="shared" si="295"/>
        <v>0</v>
      </c>
      <c r="FZ349" s="145"/>
      <c r="GA349" s="151" t="s">
        <v>1409</v>
      </c>
      <c r="GB349" s="145"/>
      <c r="GC349" s="151" t="s">
        <v>1409</v>
      </c>
      <c r="GD349" s="997" t="s">
        <v>238</v>
      </c>
      <c r="GE349" s="1004"/>
      <c r="GF349" s="1004">
        <v>0</v>
      </c>
      <c r="GG349" s="1004"/>
      <c r="GH349" s="1004">
        <v>0</v>
      </c>
      <c r="GI349" s="145"/>
      <c r="GJ349" s="996">
        <v>0.42636000000000074</v>
      </c>
      <c r="GK349" s="145"/>
      <c r="GL349" s="996">
        <v>0</v>
      </c>
      <c r="GM349" s="1005"/>
      <c r="GN349" s="996">
        <v>0</v>
      </c>
      <c r="GO349" s="1006"/>
      <c r="GP349" s="996">
        <v>0</v>
      </c>
      <c r="GQ349" s="1006"/>
      <c r="GR349" s="996">
        <v>-0.47819199999999995</v>
      </c>
      <c r="GS349" s="1006"/>
      <c r="GT349" s="996">
        <v>0</v>
      </c>
      <c r="GU349" s="1006"/>
      <c r="GV349" s="996">
        <v>0</v>
      </c>
      <c r="GW349" s="1006"/>
      <c r="GX349" s="1049">
        <v>0</v>
      </c>
      <c r="GY349" s="1006" t="s">
        <v>204</v>
      </c>
      <c r="GZ349" s="996">
        <v>-1.4529680000000003</v>
      </c>
      <c r="HA349" s="1006"/>
      <c r="HB349" s="996">
        <v>0.91959999999999997</v>
      </c>
      <c r="HC349" s="1006"/>
      <c r="HD349" s="996">
        <v>0</v>
      </c>
      <c r="HE349" s="1006"/>
      <c r="HF349" s="996">
        <v>0.33440000000000047</v>
      </c>
      <c r="HG349" s="1006" t="s">
        <v>199</v>
      </c>
      <c r="HH349" s="996">
        <v>-1.7556000000000003</v>
      </c>
      <c r="HI349" s="1006"/>
      <c r="HJ349" s="996">
        <v>0</v>
      </c>
      <c r="HK349" s="1006"/>
      <c r="HL349" s="996">
        <v>0</v>
      </c>
      <c r="HM349" s="1006"/>
      <c r="HN349" s="996">
        <v>0</v>
      </c>
      <c r="HO349" s="1006" t="s">
        <v>199</v>
      </c>
      <c r="HP349" s="996">
        <v>-2.09</v>
      </c>
      <c r="HQ349" s="1006"/>
      <c r="HR349" s="996">
        <v>-0.3343999999999987</v>
      </c>
      <c r="HS349" s="1006"/>
      <c r="HT349" s="996">
        <v>0</v>
      </c>
      <c r="HU349" s="1006"/>
      <c r="HV349" s="996">
        <v>-0.33440000000000047</v>
      </c>
      <c r="HW349" s="1006"/>
      <c r="HX349" s="996">
        <v>0</v>
      </c>
      <c r="HY349" s="1006"/>
      <c r="HZ349" s="996">
        <v>0.83599999999999852</v>
      </c>
      <c r="IA349" s="1006" t="s">
        <v>205</v>
      </c>
      <c r="IB349" s="996">
        <v>6.0191999999999997</v>
      </c>
      <c r="IC349" s="1006" t="s">
        <v>223</v>
      </c>
      <c r="ID349" s="996">
        <v>-5.016</v>
      </c>
      <c r="IE349" s="1006"/>
      <c r="IF349" s="996">
        <v>0</v>
      </c>
      <c r="IG349" s="1006"/>
      <c r="IH349" s="996">
        <v>0</v>
      </c>
      <c r="II349" s="1006"/>
      <c r="IJ349" s="996">
        <v>0</v>
      </c>
      <c r="IK349" s="1006"/>
      <c r="IL349" s="996">
        <v>0</v>
      </c>
      <c r="IM349" s="1006"/>
      <c r="IN349" s="996">
        <v>0</v>
      </c>
      <c r="IO349" s="1006" t="s">
        <v>204</v>
      </c>
      <c r="IP349" s="996">
        <v>-8.4435999999999964</v>
      </c>
      <c r="IQ349" s="1006"/>
      <c r="IR349" s="996">
        <v>0</v>
      </c>
      <c r="IS349" s="1006"/>
      <c r="IT349" s="996">
        <v>0.1137628799999959</v>
      </c>
      <c r="IU349" s="1006"/>
      <c r="IV349" s="996">
        <v>0.41124512000000024</v>
      </c>
      <c r="IW349" s="1006" t="s">
        <v>25</v>
      </c>
      <c r="IX349" s="996">
        <v>25.307392</v>
      </c>
      <c r="IY349" s="1006"/>
      <c r="IZ349" s="996"/>
      <c r="JA349" s="1006"/>
      <c r="JB349" s="996"/>
      <c r="JC349" s="1006"/>
      <c r="JD349" s="996"/>
      <c r="JE349" s="1006"/>
      <c r="JF349" s="996"/>
      <c r="JG349" s="1006"/>
      <c r="JH349" s="996"/>
      <c r="JI349" s="1006"/>
      <c r="JJ349" s="996"/>
      <c r="JK349" s="1007"/>
      <c r="JL349" s="1007"/>
      <c r="JM349" s="1007"/>
      <c r="JN349" s="1007"/>
      <c r="JO349" s="1008"/>
      <c r="JP349" s="1007"/>
      <c r="JQ349" s="1008"/>
      <c r="JR349" s="1007"/>
      <c r="JS349" s="1008"/>
      <c r="JT349" s="1007"/>
      <c r="JU349" s="1008"/>
      <c r="JV349" s="1007"/>
      <c r="JW349" s="1008"/>
      <c r="JX349" s="1007"/>
      <c r="JY349" s="1008"/>
      <c r="JZ349" s="1007"/>
      <c r="KA349" s="1008"/>
      <c r="KB349" s="1007"/>
      <c r="KC349" s="1008"/>
      <c r="KD349" s="1007"/>
      <c r="KE349" s="1008"/>
      <c r="KF349" s="1007"/>
      <c r="KG349" s="1008"/>
      <c r="KH349" s="1007"/>
      <c r="KI349" s="1008"/>
      <c r="KJ349" s="1007"/>
      <c r="KK349" s="1008"/>
      <c r="KL349" s="1007"/>
      <c r="KM349" s="1008"/>
      <c r="KN349" s="1007"/>
      <c r="KO349" s="1008"/>
      <c r="KP349" s="1007"/>
      <c r="KQ349" s="1008"/>
      <c r="KR349" s="1007"/>
      <c r="KS349" s="1008"/>
      <c r="KT349" s="1007"/>
      <c r="KU349" s="1008"/>
      <c r="KV349" s="1007"/>
      <c r="KW349" s="1008"/>
      <c r="KX349" s="1007"/>
      <c r="KY349" s="1008"/>
      <c r="KZ349" s="1007"/>
      <c r="LA349" s="1008"/>
      <c r="LB349" s="1007"/>
      <c r="LC349" s="1008"/>
      <c r="LD349" s="1007"/>
      <c r="LE349" s="1008"/>
      <c r="LF349" s="1007"/>
      <c r="LG349" s="1008"/>
      <c r="LH349" s="1007"/>
      <c r="LI349" s="1008"/>
      <c r="LJ349" s="1007"/>
      <c r="LK349" s="1008"/>
      <c r="LL349" s="1007"/>
      <c r="LM349" s="1008"/>
      <c r="LN349" s="1007"/>
      <c r="LO349" s="1008"/>
      <c r="LP349" s="1007"/>
      <c r="LQ349" s="1008"/>
      <c r="LR349" s="1007"/>
      <c r="LS349" s="1008"/>
      <c r="LT349" s="1007"/>
      <c r="LU349" s="1008"/>
      <c r="LV349" s="1007"/>
      <c r="LW349" s="1008"/>
      <c r="LX349" s="1007"/>
      <c r="LY349" s="1009"/>
      <c r="LZ349" s="1010"/>
      <c r="MA349" s="1011"/>
      <c r="MB349" s="1012"/>
      <c r="MC349" s="995"/>
      <c r="MD349" s="996"/>
      <c r="ME349" s="997" t="s">
        <v>238</v>
      </c>
      <c r="MF349" s="997"/>
      <c r="MG349" s="998"/>
      <c r="NR349" s="1000"/>
      <c r="NS349" s="1000"/>
      <c r="NT349" s="1001"/>
      <c r="NU349" s="1000"/>
      <c r="NV349" s="1001"/>
      <c r="NX349" s="1002"/>
      <c r="NZ349" s="1001"/>
      <c r="OA349" s="1001"/>
      <c r="OC349" s="1003"/>
      <c r="OD349" s="1003"/>
      <c r="OE349" s="1001"/>
      <c r="OF349" s="1003"/>
      <c r="OG349" s="1003"/>
      <c r="QX349" s="1000">
        <f>CN349-CA349</f>
        <v>30</v>
      </c>
      <c r="ASU349" s="999" t="s">
        <v>208</v>
      </c>
    </row>
    <row r="350" spans="1:466 1191:1191" ht="21" customHeight="1" x14ac:dyDescent="0.25">
      <c r="A350" s="982">
        <f t="shared" si="274"/>
        <v>1372</v>
      </c>
      <c r="B350" s="124">
        <f>SUBTOTAL(103,$J$29:J350)</f>
        <v>322</v>
      </c>
      <c r="C350" s="126">
        <v>45068</v>
      </c>
      <c r="D350" s="124" t="s">
        <v>176</v>
      </c>
      <c r="E350" s="127" t="s">
        <v>177</v>
      </c>
      <c r="F350" s="128" t="s">
        <v>177</v>
      </c>
      <c r="G350" s="127" t="s">
        <v>178</v>
      </c>
      <c r="H350" s="127" t="s">
        <v>408</v>
      </c>
      <c r="I350" s="127" t="s">
        <v>634</v>
      </c>
      <c r="J350" s="152">
        <v>1372</v>
      </c>
      <c r="K350" s="127" t="s">
        <v>1323</v>
      </c>
      <c r="L350" s="130">
        <v>42919</v>
      </c>
      <c r="M350" s="127" t="s">
        <v>230</v>
      </c>
      <c r="N350" s="127" t="s">
        <v>231</v>
      </c>
      <c r="O350" s="127" t="s">
        <v>185</v>
      </c>
      <c r="P350" s="127" t="s">
        <v>186</v>
      </c>
      <c r="Q350" s="85" t="str">
        <f t="shared" si="275"/>
        <v/>
      </c>
      <c r="R350" s="130"/>
      <c r="S350" s="128"/>
      <c r="T350" s="131"/>
      <c r="U350" s="132">
        <v>203</v>
      </c>
      <c r="V350" s="121">
        <v>218.2</v>
      </c>
      <c r="W350" s="116">
        <v>0.98</v>
      </c>
      <c r="X350" s="116">
        <v>1.66</v>
      </c>
      <c r="Y350" s="116">
        <f t="shared" si="239"/>
        <v>0.98</v>
      </c>
      <c r="Z350" s="133">
        <v>1.454</v>
      </c>
      <c r="AA350" s="133">
        <v>0.83599999999999997</v>
      </c>
      <c r="AB350" s="133">
        <v>0.72</v>
      </c>
      <c r="AC350" s="121">
        <v>34.299999999999997</v>
      </c>
      <c r="AD350" s="134">
        <v>1.17</v>
      </c>
      <c r="AE350" s="124">
        <v>177.8</v>
      </c>
      <c r="AF350" s="128">
        <v>9.19</v>
      </c>
      <c r="AG350" s="128">
        <v>2198</v>
      </c>
      <c r="AH350" s="127">
        <v>2977</v>
      </c>
      <c r="AI350" s="127">
        <v>2977</v>
      </c>
      <c r="AJ350" s="135"/>
      <c r="AK350" s="128"/>
      <c r="AL350" s="131"/>
      <c r="AM350" s="124" t="s">
        <v>232</v>
      </c>
      <c r="AN350" s="136" t="s">
        <v>1437</v>
      </c>
      <c r="AO350" s="137">
        <v>120.6</v>
      </c>
      <c r="AP350" s="128">
        <v>2198</v>
      </c>
      <c r="AQ350" s="128">
        <v>299</v>
      </c>
      <c r="AR350" s="128"/>
      <c r="AS350" s="128"/>
      <c r="AT350" s="122"/>
      <c r="AU350" s="124" t="s">
        <v>189</v>
      </c>
      <c r="AV350" s="115">
        <f>VLOOKUP(J350,'[63]ТР нефть'!$J$28:$BP$638,39,0)</f>
        <v>519.99999931599996</v>
      </c>
      <c r="AW350" s="115" t="str">
        <f>VLOOKUP(J350,'[63]ТР нефть'!$J$28:$BP$638,40,0)</f>
        <v>ГП</v>
      </c>
      <c r="AX350" s="115">
        <f>VLOOKUP(J350,'[63]ТР нефть'!$J$28:$BP$638,41,0)</f>
        <v>959.99997011699998</v>
      </c>
      <c r="AY350" s="115" t="str">
        <f>VLOOKUP(J350,'[63]ТР нефть'!$J$28:$BP$638,42,0)</f>
        <v>ГК81 1/8</v>
      </c>
      <c r="AZ350" s="115">
        <f>VLOOKUP(J350,'[63]ТР нефть'!$J$28:$BP$638,43,0)</f>
        <v>1330.000008984</v>
      </c>
      <c r="BA350" s="115" t="str">
        <f>VLOOKUP(J350,'[63]ТР нефть'!$J$28:$BP$638,44,0)</f>
        <v>ГК81 1/8</v>
      </c>
      <c r="BB350" s="115">
        <f>VLOOKUP(J350,'[63]ТР нефть'!$J$28:$BP$638,45,0)</f>
        <v>1660.0000335939999</v>
      </c>
      <c r="BC350" s="115" t="str">
        <f>VLOOKUP(J350,'[63]ТР нефть'!$J$28:$BP$638,46,0)</f>
        <v>ГК81 1/8</v>
      </c>
      <c r="BD350" s="115">
        <f>VLOOKUP(J350,'[63]ТР нефть'!$J$28:$BP$638,47,0)</f>
        <v>1929.999999609</v>
      </c>
      <c r="BE350" s="115" t="str">
        <f>VLOOKUP(J350,'[63]ТР нефть'!$J$28:$BP$638,48,0)</f>
        <v>ЦКсОК 5/16</v>
      </c>
      <c r="BF350" s="115" t="str">
        <f>VLOOKUP(J350,'[63]ТР нефть'!$J$28:$BP$638,49,0)</f>
        <v>-</v>
      </c>
      <c r="BG350" s="115" t="str">
        <f>VLOOKUP(J350,'[63]ТР нефть'!$J$28:$BP$638,50,0)</f>
        <v>-</v>
      </c>
      <c r="BH350" s="115">
        <f>VLOOKUP(J350,'[63]ТР нефть'!$J$28:$BP$638,51,0)</f>
        <v>1943</v>
      </c>
      <c r="BI350" s="115" t="str">
        <f>VLOOKUP(J350,'[63]ТР нефть'!$J$28:$BP$638,52,0)</f>
        <v>закрыт</v>
      </c>
      <c r="BJ350" s="115" t="str">
        <f>IF(IFERROR(VLOOKUP(J350,'[63]ТР нефть'!$J$28:$BP$638,53,0),"-")=0,"-",IFERROR(VLOOKUP(J350,'[63]ТР нефть'!$J$28:$BP$638,53,0),"-"))</f>
        <v>-</v>
      </c>
      <c r="BK350" s="138" t="str">
        <f>IF(IFERROR(VLOOKUP(J350,'[63]ТР нефть'!$J$28:$BP$638,54,0),"-")=0,"-",IFERROR(VLOOKUP(J350,'[63]ТР нефть'!$J$28:$BP$638,54,0),"-"))</f>
        <v>-</v>
      </c>
      <c r="BL350" s="138" t="str">
        <f>IF(IFERROR(VLOOKUP(J350,'[63]ТР нефть'!$J$28:$BP$638,55,0),"-")=0,"-",IFERROR(VLOOKUP(J350,'[63]ТР нефть'!$J$28:$BP$638,55,0),"-"))</f>
        <v>-</v>
      </c>
      <c r="BM350" s="138" t="str">
        <f>IF(IFERROR(VLOOKUP(J350,'[63]ТР нефть'!$J$28:$BP$638,56,0),"-")=0,"-",IFERROR(VLOOKUP(J350,'[63]ТР нефть'!$J$28:$BP$638,56,0),"-"))</f>
        <v>-</v>
      </c>
      <c r="BN350" s="138" t="str">
        <f>IF(IFERROR(VLOOKUP(J350,'[63]ТР нефть'!$J$28:$BP$638,57,0),"-")=0,"-",IFERROR(VLOOKUP(J350,'[63]ТР нефть'!$J$28:$BP$638,57,0),"-"))</f>
        <v>-</v>
      </c>
      <c r="BO350" s="115" t="str">
        <f>IF(IFERROR(VLOOKUP(J350,'[63]ТР нефть'!$J$28:$BP$638,58,0),"-")=0,"-",IFERROR(VLOOKUP(J350,'[63]ТР нефть'!$J$28:$BP$638,58,0),"-"))</f>
        <v>-</v>
      </c>
      <c r="BP350" s="115" t="str">
        <f>IF(IFERROR(VLOOKUP(J350,'[63]ТР нефть'!$J$28:$BP$638,59,0),"-")=0,"-",IFERROR(VLOOKUP(J350,'[63]ТР нефть'!$J$28:$BP$638,59,0),"-"))</f>
        <v>-</v>
      </c>
      <c r="BQ350" s="138">
        <v>2250</v>
      </c>
      <c r="BR350" s="128">
        <v>1913.08</v>
      </c>
      <c r="BS350" s="115">
        <f t="shared" si="258"/>
        <v>336.92000000000007</v>
      </c>
      <c r="BT350" s="128">
        <v>73</v>
      </c>
      <c r="BU350" s="128">
        <v>5.5</v>
      </c>
      <c r="BV350" s="127">
        <v>18</v>
      </c>
      <c r="BW350" s="127" t="s">
        <v>217</v>
      </c>
      <c r="BX350" s="127" t="s">
        <v>195</v>
      </c>
      <c r="BY350" s="139">
        <v>24</v>
      </c>
      <c r="BZ350" s="139">
        <v>0</v>
      </c>
      <c r="CA350" s="138">
        <v>22</v>
      </c>
      <c r="CB350" s="138">
        <v>41</v>
      </c>
      <c r="CC350" s="138">
        <v>22</v>
      </c>
      <c r="CD350" s="135">
        <v>45017</v>
      </c>
      <c r="CE350" s="138">
        <v>91</v>
      </c>
      <c r="CF350" s="138">
        <v>67</v>
      </c>
      <c r="CG350" s="138" t="str">
        <f t="shared" si="265"/>
        <v>В работе</v>
      </c>
      <c r="CH350" s="138" t="s">
        <v>272</v>
      </c>
      <c r="CI350" s="127">
        <v>6</v>
      </c>
      <c r="CJ350" s="138"/>
      <c r="CK350" s="138"/>
      <c r="CL350" s="99"/>
      <c r="CM350" s="99"/>
      <c r="CN350" s="140">
        <v>46</v>
      </c>
      <c r="CO350" s="159">
        <f t="shared" si="276"/>
        <v>11.286</v>
      </c>
      <c r="CP350" s="160">
        <v>13.5</v>
      </c>
      <c r="CQ350" s="161">
        <v>0</v>
      </c>
      <c r="CR350" s="138">
        <v>32</v>
      </c>
      <c r="CS350" s="139">
        <v>10.8</v>
      </c>
      <c r="CT350" s="138"/>
      <c r="CU350" s="138">
        <f t="shared" si="277"/>
        <v>21.2</v>
      </c>
      <c r="CV350" s="115">
        <f t="shared" si="278"/>
        <v>1878.4334573808258</v>
      </c>
      <c r="CW350" s="115">
        <f t="shared" si="279"/>
        <v>956.93779904306234</v>
      </c>
      <c r="CX350" s="133">
        <f t="shared" si="280"/>
        <v>0.3</v>
      </c>
      <c r="CY350" s="116"/>
      <c r="CZ350" s="131"/>
      <c r="DA350" s="145" t="str">
        <f t="shared" si="281"/>
        <v>Газлифт</v>
      </c>
      <c r="DB350" s="146">
        <f t="shared" si="282"/>
        <v>11.286</v>
      </c>
      <c r="DC350" s="142">
        <f t="shared" si="234"/>
        <v>13.5</v>
      </c>
      <c r="DD350" s="119">
        <f t="shared" si="250"/>
        <v>0</v>
      </c>
      <c r="DE350" s="115">
        <f t="shared" si="283"/>
        <v>21.2</v>
      </c>
      <c r="DF350" s="121">
        <f t="shared" si="284"/>
        <v>10.8</v>
      </c>
      <c r="DG350" s="115">
        <f t="shared" si="285"/>
        <v>1878.4334573808258</v>
      </c>
      <c r="DH350" s="115">
        <f t="shared" si="286"/>
        <v>46</v>
      </c>
      <c r="DI350" s="147"/>
      <c r="DJ350" s="111">
        <v>43558</v>
      </c>
      <c r="DK350" s="112">
        <v>43583.083333333336</v>
      </c>
      <c r="DL350" s="113">
        <f t="shared" ca="1" si="266"/>
        <v>1520.9166666666642</v>
      </c>
      <c r="DM350" s="114"/>
      <c r="DN350" s="114"/>
      <c r="DO350" s="114"/>
      <c r="DP350" s="114"/>
      <c r="DQ350" s="112">
        <v>43558.541666666664</v>
      </c>
      <c r="DR350" s="114" t="s">
        <v>282</v>
      </c>
      <c r="DS350" s="114"/>
      <c r="DT350" s="115">
        <v>49</v>
      </c>
      <c r="DU350" s="116">
        <f t="shared" si="267"/>
        <v>0.32142857142857145</v>
      </c>
      <c r="DV350" s="117">
        <f t="shared" si="268"/>
        <v>11.286</v>
      </c>
      <c r="DW350" s="118">
        <f t="shared" si="269"/>
        <v>13.5</v>
      </c>
      <c r="DX350" s="119">
        <f t="shared" si="287"/>
        <v>0</v>
      </c>
      <c r="DY350" s="115">
        <f t="shared" si="270"/>
        <v>21.2</v>
      </c>
      <c r="DZ350" s="117">
        <f t="shared" si="271"/>
        <v>0</v>
      </c>
      <c r="EA350" s="120">
        <f t="shared" si="271"/>
        <v>0</v>
      </c>
      <c r="EB350" s="119">
        <f t="shared" si="264"/>
        <v>0</v>
      </c>
      <c r="EC350" s="121">
        <f t="shared" si="272"/>
        <v>0</v>
      </c>
      <c r="ED350" s="122"/>
      <c r="EE350" s="145">
        <v>18</v>
      </c>
      <c r="EF350" s="115">
        <v>23</v>
      </c>
      <c r="EG350" s="115">
        <v>42</v>
      </c>
      <c r="EH350" s="115">
        <v>22</v>
      </c>
      <c r="EI350" s="128" t="s">
        <v>195</v>
      </c>
      <c r="EJ350" s="121">
        <v>24</v>
      </c>
      <c r="EK350" s="121">
        <v>0</v>
      </c>
      <c r="EL350" s="162">
        <v>7.1059999999999999</v>
      </c>
      <c r="EM350" s="142">
        <v>8.5</v>
      </c>
      <c r="EN350" s="119">
        <v>0</v>
      </c>
      <c r="EO350" s="115">
        <v>16</v>
      </c>
      <c r="EP350" s="115">
        <v>1196.1722488038279</v>
      </c>
      <c r="EQ350" s="115">
        <v>65</v>
      </c>
      <c r="ER350" s="115">
        <v>7.5</v>
      </c>
      <c r="ES350" s="115">
        <v>46</v>
      </c>
      <c r="ET350" s="150">
        <v>0.18888888888888888</v>
      </c>
      <c r="EU350" s="145">
        <f t="shared" si="288"/>
        <v>18</v>
      </c>
      <c r="EV350" s="115">
        <f t="shared" si="289"/>
        <v>22</v>
      </c>
      <c r="EW350" s="115">
        <f t="shared" si="289"/>
        <v>41</v>
      </c>
      <c r="EX350" s="115">
        <f t="shared" si="289"/>
        <v>22</v>
      </c>
      <c r="EY350" s="115" t="str">
        <f t="shared" si="253"/>
        <v>Постоянный</v>
      </c>
      <c r="EZ350" s="115">
        <f t="shared" si="253"/>
        <v>24</v>
      </c>
      <c r="FA350" s="115">
        <f t="shared" si="253"/>
        <v>0</v>
      </c>
      <c r="FB350" s="149">
        <f t="shared" si="238"/>
        <v>11.286</v>
      </c>
      <c r="FC350" s="142">
        <f t="shared" si="238"/>
        <v>13.5</v>
      </c>
      <c r="FD350" s="119">
        <f t="shared" si="238"/>
        <v>0</v>
      </c>
      <c r="FE350" s="121">
        <f t="shared" si="238"/>
        <v>32</v>
      </c>
      <c r="FF350" s="121">
        <f t="shared" si="247"/>
        <v>1878.4334573808258</v>
      </c>
      <c r="FG350" s="121">
        <f t="shared" si="290"/>
        <v>67</v>
      </c>
      <c r="FH350" s="121">
        <f t="shared" si="248"/>
        <v>10.8</v>
      </c>
      <c r="FI350" s="121">
        <f t="shared" si="252"/>
        <v>46</v>
      </c>
      <c r="FJ350" s="144">
        <f t="shared" si="291"/>
        <v>0.3</v>
      </c>
      <c r="FK350" s="132">
        <f t="shared" si="292"/>
        <v>0</v>
      </c>
      <c r="FL350" s="115">
        <f t="shared" si="292"/>
        <v>-1</v>
      </c>
      <c r="FM350" s="115">
        <f t="shared" si="292"/>
        <v>-1</v>
      </c>
      <c r="FN350" s="115">
        <f t="shared" si="273"/>
        <v>0</v>
      </c>
      <c r="FO350" s="115">
        <f t="shared" si="257"/>
        <v>0</v>
      </c>
      <c r="FP350" s="115">
        <f t="shared" si="257"/>
        <v>0</v>
      </c>
      <c r="FQ350" s="149">
        <f t="shared" si="257"/>
        <v>4.18</v>
      </c>
      <c r="FR350" s="142">
        <f t="shared" si="256"/>
        <v>5</v>
      </c>
      <c r="FS350" s="119">
        <f t="shared" si="256"/>
        <v>0</v>
      </c>
      <c r="FT350" s="121">
        <f t="shared" si="256"/>
        <v>16</v>
      </c>
      <c r="FU350" s="121">
        <f t="shared" si="293"/>
        <v>2</v>
      </c>
      <c r="FV350" s="121">
        <f t="shared" si="293"/>
        <v>3.3000000000000007</v>
      </c>
      <c r="FW350" s="121">
        <f t="shared" si="294"/>
        <v>682.26120857699789</v>
      </c>
      <c r="FX350" s="121">
        <f>CN350-ES350</f>
        <v>0</v>
      </c>
      <c r="FY350" s="144">
        <f t="shared" si="295"/>
        <v>0.1111111111111111</v>
      </c>
      <c r="FZ350" s="145" t="s">
        <v>204</v>
      </c>
      <c r="GA350" s="151" t="s">
        <v>1325</v>
      </c>
      <c r="GB350" s="145" t="s">
        <v>199</v>
      </c>
      <c r="GC350" s="151" t="s">
        <v>415</v>
      </c>
      <c r="GD350" s="997" t="s">
        <v>416</v>
      </c>
      <c r="GE350" s="1004" t="s">
        <v>199</v>
      </c>
      <c r="GF350" s="1004">
        <v>-0.8401465599999991</v>
      </c>
      <c r="GG350" s="1004"/>
      <c r="GH350" s="1004">
        <v>0</v>
      </c>
      <c r="GI350" s="145"/>
      <c r="GJ350" s="996">
        <v>0</v>
      </c>
      <c r="GK350" s="145"/>
      <c r="GL350" s="996">
        <v>0</v>
      </c>
      <c r="GM350" s="1005"/>
      <c r="GN350" s="996">
        <v>-0.77834944000000128</v>
      </c>
      <c r="GO350" s="1006"/>
      <c r="GP350" s="996">
        <v>0</v>
      </c>
      <c r="GQ350" s="1006"/>
      <c r="GR350" s="996">
        <v>0</v>
      </c>
      <c r="GS350" s="1006"/>
      <c r="GT350" s="996">
        <v>1.9612560000000006</v>
      </c>
      <c r="GU350" s="1006"/>
      <c r="GV350" s="996">
        <v>0</v>
      </c>
      <c r="GW350" s="1006"/>
      <c r="GX350" s="1035">
        <v>0</v>
      </c>
      <c r="GY350" s="1006" t="s">
        <v>199</v>
      </c>
      <c r="GZ350" s="996">
        <v>-2.4548638399999998</v>
      </c>
      <c r="HA350" s="1006"/>
      <c r="HB350" s="996">
        <v>0</v>
      </c>
      <c r="HC350" s="1006" t="s">
        <v>199</v>
      </c>
      <c r="HD350" s="996">
        <v>2.4853778399999999</v>
      </c>
      <c r="HE350" s="1006" t="s">
        <v>25</v>
      </c>
      <c r="HF350" s="996">
        <v>-2.99412564</v>
      </c>
      <c r="HG350" s="1006" t="s">
        <v>199</v>
      </c>
      <c r="HH350" s="996">
        <v>1.1494916400000008</v>
      </c>
      <c r="HI350" s="1006"/>
      <c r="HJ350" s="996">
        <v>0.11703999999999937</v>
      </c>
      <c r="HK350" s="1006"/>
      <c r="HL350" s="996">
        <v>0</v>
      </c>
      <c r="HM350" s="1006" t="s">
        <v>204</v>
      </c>
      <c r="HN350" s="996">
        <v>-1.3208799999999989</v>
      </c>
      <c r="HO350" s="1006"/>
      <c r="HP350" s="996">
        <v>0</v>
      </c>
      <c r="HQ350" s="1006"/>
      <c r="HR350" s="996">
        <v>0</v>
      </c>
      <c r="HS350" s="1006" t="s">
        <v>204</v>
      </c>
      <c r="HT350" s="996">
        <v>-1.4743804680000014</v>
      </c>
      <c r="HU350" s="1006" t="s">
        <v>203</v>
      </c>
      <c r="HV350" s="996">
        <v>-1.3964435319999993</v>
      </c>
      <c r="HW350" s="1006"/>
      <c r="HX350" s="996">
        <v>-0.24797600000000131</v>
      </c>
      <c r="HY350" s="1006" t="s">
        <v>25</v>
      </c>
      <c r="HZ350" s="996">
        <v>4.9000000000000004</v>
      </c>
      <c r="IA350" s="1006" t="s">
        <v>199</v>
      </c>
      <c r="IB350" s="996">
        <v>-2.7208539599999995</v>
      </c>
      <c r="IC350" s="1006"/>
      <c r="ID350" s="996">
        <v>0.90411059200000032</v>
      </c>
      <c r="IE350" s="1006" t="s">
        <v>199</v>
      </c>
      <c r="IF350" s="996">
        <v>2.1678048480000012</v>
      </c>
      <c r="IG350" s="1006"/>
      <c r="IH350" s="996">
        <v>0</v>
      </c>
      <c r="II350" s="1006"/>
      <c r="IJ350" s="996">
        <v>9.1959999999998487E-2</v>
      </c>
      <c r="IK350" s="1006" t="s">
        <v>204</v>
      </c>
      <c r="IL350" s="996">
        <v>-1.0115599999999993</v>
      </c>
      <c r="IM350" s="1006"/>
      <c r="IN350" s="996">
        <v>-0.41799999999999926</v>
      </c>
      <c r="IO350" s="1006"/>
      <c r="IP350" s="996">
        <v>0.76911999999999914</v>
      </c>
      <c r="IQ350" s="1006"/>
      <c r="IR350" s="996">
        <v>-0.88482239999999912</v>
      </c>
      <c r="IS350" s="1006" t="s">
        <v>204</v>
      </c>
      <c r="IT350" s="996">
        <v>-3.3597168000000011</v>
      </c>
      <c r="IU350" s="1006" t="s">
        <v>199</v>
      </c>
      <c r="IV350" s="996">
        <v>4.7740281600000021</v>
      </c>
      <c r="IW350" s="1006"/>
      <c r="IX350" s="996">
        <v>0</v>
      </c>
      <c r="IY350" s="1006"/>
      <c r="IZ350" s="996">
        <v>0</v>
      </c>
      <c r="JA350" s="1006" t="s">
        <v>223</v>
      </c>
      <c r="JB350" s="996">
        <v>-6.8735953439999999</v>
      </c>
      <c r="JC350" s="1006"/>
      <c r="JD350" s="996">
        <v>0</v>
      </c>
      <c r="JE350" s="1006"/>
      <c r="JF350" s="996">
        <v>0</v>
      </c>
      <c r="JG350" s="1006"/>
      <c r="JH350" s="996">
        <v>0</v>
      </c>
      <c r="JI350" s="1006"/>
      <c r="JJ350" s="996">
        <v>0</v>
      </c>
      <c r="JK350" s="1007"/>
      <c r="JL350" s="1007">
        <v>0</v>
      </c>
      <c r="JM350" s="1007"/>
      <c r="JN350" s="1007">
        <v>0</v>
      </c>
      <c r="JO350" s="1008" t="s">
        <v>203</v>
      </c>
      <c r="JP350" s="1007">
        <v>-6.1912287359999993</v>
      </c>
      <c r="JQ350" s="1008" t="s">
        <v>203</v>
      </c>
      <c r="JR350" s="1007">
        <v>-4.0074328800000032</v>
      </c>
      <c r="JS350" s="1008" t="s">
        <v>203</v>
      </c>
      <c r="JT350" s="1007">
        <v>-2.5054920000000003</v>
      </c>
      <c r="JU350" s="1008" t="s">
        <v>203</v>
      </c>
      <c r="JV350" s="1007">
        <v>-6.0818999999999939</v>
      </c>
      <c r="JW350" s="1008" t="s">
        <v>203</v>
      </c>
      <c r="JX350" s="1007">
        <v>15.242639999999994</v>
      </c>
      <c r="JY350" s="1008"/>
      <c r="JZ350" s="1007">
        <v>-4.7986399999999998</v>
      </c>
      <c r="KA350" s="1008"/>
      <c r="KB350" s="1007">
        <v>0</v>
      </c>
      <c r="KC350" s="1008" t="s">
        <v>207</v>
      </c>
      <c r="KD350" s="1007">
        <v>-7.3233600000000001</v>
      </c>
      <c r="KE350" s="1008"/>
      <c r="KF350" s="1007">
        <v>0</v>
      </c>
      <c r="KG350" s="1008"/>
      <c r="KH350" s="1007">
        <v>0</v>
      </c>
      <c r="KI350" s="1008"/>
      <c r="KJ350" s="1007">
        <v>0</v>
      </c>
      <c r="KK350" s="1008"/>
      <c r="KL350" s="1007">
        <v>4.4893199999999993</v>
      </c>
      <c r="KM350" s="1008"/>
      <c r="KN350" s="1007">
        <v>0</v>
      </c>
      <c r="KO350" s="1008"/>
      <c r="KP350" s="1007">
        <v>0</v>
      </c>
      <c r="KQ350" s="1008" t="s">
        <v>207</v>
      </c>
      <c r="KR350" s="1007">
        <v>-10.34132</v>
      </c>
      <c r="KS350" s="1008">
        <v>0</v>
      </c>
      <c r="KT350" s="1007">
        <v>0</v>
      </c>
      <c r="KU350" s="1008">
        <v>0</v>
      </c>
      <c r="KV350" s="1007">
        <v>0</v>
      </c>
      <c r="KW350" s="1008">
        <v>0</v>
      </c>
      <c r="KX350" s="1007">
        <v>0</v>
      </c>
      <c r="KY350" s="1008">
        <v>0</v>
      </c>
      <c r="KZ350" s="1007">
        <v>0</v>
      </c>
      <c r="LA350" s="1008">
        <v>0</v>
      </c>
      <c r="LB350" s="1007">
        <v>0</v>
      </c>
      <c r="LC350" s="1008">
        <v>0</v>
      </c>
      <c r="LD350" s="1007">
        <v>0</v>
      </c>
      <c r="LE350" s="1008">
        <v>0</v>
      </c>
      <c r="LF350" s="1007">
        <v>0</v>
      </c>
      <c r="LG350" s="1008">
        <v>0</v>
      </c>
      <c r="LH350" s="1007">
        <v>0</v>
      </c>
      <c r="LI350" s="1008">
        <v>0</v>
      </c>
      <c r="LJ350" s="1007">
        <v>0</v>
      </c>
      <c r="LK350" s="1008" t="s">
        <v>206</v>
      </c>
      <c r="LL350" s="1007">
        <v>-0.33439999999999898</v>
      </c>
      <c r="LM350" s="1008" t="s">
        <v>203</v>
      </c>
      <c r="LN350" s="1007">
        <v>-3.0263200000000001</v>
      </c>
      <c r="LO350" s="1008">
        <v>0</v>
      </c>
      <c r="LP350" s="1007">
        <v>0</v>
      </c>
      <c r="LQ350" s="1008">
        <v>0</v>
      </c>
      <c r="LR350" s="1007">
        <v>0</v>
      </c>
      <c r="LS350" s="1008">
        <v>0</v>
      </c>
      <c r="LT350" s="1007">
        <v>0</v>
      </c>
      <c r="LU350" s="1008">
        <v>0</v>
      </c>
      <c r="LV350" s="1007">
        <v>0</v>
      </c>
      <c r="LW350" s="1008">
        <v>0</v>
      </c>
      <c r="LX350" s="1007">
        <v>0</v>
      </c>
      <c r="LY350" s="1009">
        <v>0</v>
      </c>
      <c r="LZ350" s="1010">
        <v>0</v>
      </c>
      <c r="MA350" s="1011">
        <v>0</v>
      </c>
      <c r="MB350" s="1012">
        <v>0</v>
      </c>
      <c r="MC350" s="995"/>
      <c r="MD350" s="996"/>
      <c r="ME350" s="997" t="s">
        <v>416</v>
      </c>
      <c r="MF350" s="997"/>
      <c r="MG350" s="998"/>
      <c r="NR350" s="1000"/>
      <c r="NS350" s="1000"/>
      <c r="NT350" s="1001"/>
      <c r="NU350" s="1000"/>
      <c r="NV350" s="1001"/>
      <c r="NX350" s="1002"/>
      <c r="NZ350" s="1001"/>
      <c r="OA350" s="1001"/>
      <c r="OC350" s="1003"/>
      <c r="OD350" s="1003"/>
      <c r="OE350" s="1001"/>
      <c r="OF350" s="1003"/>
      <c r="OG350" s="1003"/>
      <c r="QX350" s="1000">
        <f>CN350-CA350</f>
        <v>24</v>
      </c>
      <c r="ASU350" s="999" t="s">
        <v>208</v>
      </c>
    </row>
    <row r="351" spans="1:466 1191:1191" ht="21" customHeight="1" x14ac:dyDescent="0.25">
      <c r="A351" s="982">
        <f t="shared" si="274"/>
        <v>1374</v>
      </c>
      <c r="B351" s="124">
        <f>SUBTOTAL(103,$J$29:J351)</f>
        <v>323</v>
      </c>
      <c r="C351" s="126">
        <v>45068</v>
      </c>
      <c r="D351" s="124" t="s">
        <v>176</v>
      </c>
      <c r="E351" s="127" t="s">
        <v>177</v>
      </c>
      <c r="F351" s="128" t="s">
        <v>177</v>
      </c>
      <c r="G351" s="127" t="s">
        <v>178</v>
      </c>
      <c r="H351" s="127" t="s">
        <v>179</v>
      </c>
      <c r="I351" s="127" t="s">
        <v>1137</v>
      </c>
      <c r="J351" s="152">
        <v>1374</v>
      </c>
      <c r="K351" s="127" t="s">
        <v>1438</v>
      </c>
      <c r="L351" s="130">
        <v>43175</v>
      </c>
      <c r="M351" s="127" t="s">
        <v>230</v>
      </c>
      <c r="N351" s="127" t="s">
        <v>184</v>
      </c>
      <c r="O351" s="127" t="s">
        <v>185</v>
      </c>
      <c r="P351" s="127" t="s">
        <v>186</v>
      </c>
      <c r="Q351" s="85">
        <f t="shared" si="275"/>
        <v>-4</v>
      </c>
      <c r="R351" s="130">
        <v>43123</v>
      </c>
      <c r="S351" s="128" t="s">
        <v>747</v>
      </c>
      <c r="T351" s="131" t="s">
        <v>1294</v>
      </c>
      <c r="U351" s="132">
        <v>203</v>
      </c>
      <c r="V351" s="121">
        <v>218.2</v>
      </c>
      <c r="W351" s="116">
        <v>0.98</v>
      </c>
      <c r="X351" s="116">
        <v>1.66</v>
      </c>
      <c r="Y351" s="116">
        <f t="shared" si="239"/>
        <v>0.98</v>
      </c>
      <c r="Z351" s="133">
        <v>1.454</v>
      </c>
      <c r="AA351" s="133">
        <v>0.83599999999999997</v>
      </c>
      <c r="AB351" s="133">
        <v>0.72</v>
      </c>
      <c r="AC351" s="121">
        <v>34.299999999999997</v>
      </c>
      <c r="AD351" s="134">
        <v>1.17</v>
      </c>
      <c r="AE351" s="124">
        <v>177.8</v>
      </c>
      <c r="AF351" s="128">
        <v>9.19</v>
      </c>
      <c r="AG351" s="128">
        <v>2124.5</v>
      </c>
      <c r="AH351" s="127">
        <v>2923</v>
      </c>
      <c r="AI351" s="127">
        <v>2923</v>
      </c>
      <c r="AJ351" s="135">
        <v>42954</v>
      </c>
      <c r="AK351" s="128" t="s">
        <v>1018</v>
      </c>
      <c r="AL351" s="131"/>
      <c r="AM351" s="124" t="s">
        <v>187</v>
      </c>
      <c r="AN351" s="136" t="s">
        <v>1439</v>
      </c>
      <c r="AO351" s="137">
        <v>8.8800000000000008</v>
      </c>
      <c r="AP351" s="128">
        <v>2190.79</v>
      </c>
      <c r="AQ351" s="128">
        <v>393.79</v>
      </c>
      <c r="AR351" s="128" t="s">
        <v>1440</v>
      </c>
      <c r="AS351" s="128">
        <v>114</v>
      </c>
      <c r="AT351" s="122">
        <v>7.37</v>
      </c>
      <c r="AU351" s="124" t="s">
        <v>189</v>
      </c>
      <c r="AV351" s="115">
        <f>VLOOKUP(J351,'[63]ТР нефть'!$J$28:$BP$638,39,0)</f>
        <v>499.99999218800002</v>
      </c>
      <c r="AW351" s="115" t="str">
        <f>VLOOKUP(J351,'[63]ТР нефть'!$J$28:$BP$638,40,0)</f>
        <v>ГП</v>
      </c>
      <c r="AX351" s="115">
        <f>VLOOKUP(J351,'[63]ТР нефть'!$J$28:$BP$638,41,0)</f>
        <v>899.99998593800001</v>
      </c>
      <c r="AY351" s="115" t="str">
        <f>VLOOKUP(J351,'[63]ТР нефть'!$J$28:$BP$638,42,0)</f>
        <v>ГП</v>
      </c>
      <c r="AZ351" s="115">
        <f>VLOOKUP(J351,'[63]ТР нефть'!$J$28:$BP$638,43,0)</f>
        <v>1209.9999662109999</v>
      </c>
      <c r="BA351" s="115" t="str">
        <f>VLOOKUP(J351,'[63]ТР нефть'!$J$28:$BP$638,44,0)</f>
        <v>ГК82 1/8</v>
      </c>
      <c r="BB351" s="115">
        <f>VLOOKUP(J351,'[63]ТР нефть'!$J$28:$BP$638,45,0)</f>
        <v>1455.000007031</v>
      </c>
      <c r="BC351" s="115" t="str">
        <f>VLOOKUP(J351,'[63]ТР нефть'!$J$28:$BP$638,46,0)</f>
        <v>ГК82 1/8</v>
      </c>
      <c r="BD351" s="115">
        <f>VLOOKUP(J351,'[63]ТР нефть'!$J$28:$BP$638,47,0)</f>
        <v>1660.0000335939999</v>
      </c>
      <c r="BE351" s="115" t="str">
        <f>VLOOKUP(J351,'[63]ТР нефть'!$J$28:$BP$638,48,0)</f>
        <v>ГК82 5/32</v>
      </c>
      <c r="BF351" s="115">
        <f>VLOOKUP(J351,'[63]ТР нефть'!$J$28:$BP$638,49,0)</f>
        <v>1790</v>
      </c>
      <c r="BG351" s="115" t="str">
        <f>VLOOKUP(J351,'[63]ТР нефть'!$J$28:$BP$638,50,0)</f>
        <v>ЦКсОК 5/16</v>
      </c>
      <c r="BH351" s="115">
        <f>VLOOKUP(J351,'[63]ТР нефть'!$J$28:$BP$638,51,0)</f>
        <v>1800</v>
      </c>
      <c r="BI351" s="115" t="str">
        <f>VLOOKUP(J351,'[63]ТР нефть'!$J$28:$BP$638,52,0)</f>
        <v>закрыт</v>
      </c>
      <c r="BJ351" s="115" t="str">
        <f>IF(IFERROR(VLOOKUP(J351,'[63]ТР нефть'!$J$28:$BP$638,53,0),"-")=0,"-",IFERROR(VLOOKUP(J351,'[63]ТР нефть'!$J$28:$BP$638,53,0),"-"))</f>
        <v>-</v>
      </c>
      <c r="BK351" s="138" t="str">
        <f>IF(IFERROR(VLOOKUP(J351,'[63]ТР нефть'!$J$28:$BP$638,54,0),"-")=0,"-",IFERROR(VLOOKUP(J351,'[63]ТР нефть'!$J$28:$BP$638,54,0),"-"))</f>
        <v>-</v>
      </c>
      <c r="BL351" s="138" t="str">
        <f>IF(IFERROR(VLOOKUP(J351,'[63]ТР нефть'!$J$28:$BP$638,55,0),"-")=0,"-",IFERROR(VLOOKUP(J351,'[63]ТР нефть'!$J$28:$BP$638,55,0),"-"))</f>
        <v>-</v>
      </c>
      <c r="BM351" s="138" t="str">
        <f>IF(IFERROR(VLOOKUP(J351,'[63]ТР нефть'!$J$28:$BP$638,56,0),"-")=0,"-",IFERROR(VLOOKUP(J351,'[63]ТР нефть'!$J$28:$BP$638,56,0),"-"))</f>
        <v>-</v>
      </c>
      <c r="BN351" s="138" t="str">
        <f>IF(IFERROR(VLOOKUP(J351,'[63]ТР нефть'!$J$28:$BP$638,57,0),"-")=0,"-",IFERROR(VLOOKUP(J351,'[63]ТР нефть'!$J$28:$BP$638,57,0),"-"))</f>
        <v>-</v>
      </c>
      <c r="BO351" s="115" t="str">
        <f>IF(IFERROR(VLOOKUP(J351,'[63]ТР нефть'!$J$28:$BP$638,58,0),"-")=0,"-",IFERROR(VLOOKUP(J351,'[63]ТР нефть'!$J$28:$BP$638,58,0),"-"))</f>
        <v>-</v>
      </c>
      <c r="BP351" s="115" t="str">
        <f>IF(IFERROR(VLOOKUP(J351,'[63]ТР нефть'!$J$28:$BP$638,59,0),"-")=0,"-",IFERROR(VLOOKUP(J351,'[63]ТР нефть'!$J$28:$BP$638,59,0),"-"))</f>
        <v>-</v>
      </c>
      <c r="BQ351" s="138">
        <v>1875</v>
      </c>
      <c r="BR351" s="128">
        <v>1617.8</v>
      </c>
      <c r="BS351" s="115">
        <f t="shared" si="258"/>
        <v>257.20000000000005</v>
      </c>
      <c r="BT351" s="128">
        <v>73</v>
      </c>
      <c r="BU351" s="128">
        <v>5.5</v>
      </c>
      <c r="BV351" s="127">
        <v>65</v>
      </c>
      <c r="BW351" s="127" t="s">
        <v>217</v>
      </c>
      <c r="BX351" s="127" t="s">
        <v>195</v>
      </c>
      <c r="BY351" s="139">
        <v>24</v>
      </c>
      <c r="BZ351" s="139">
        <v>0</v>
      </c>
      <c r="CA351" s="80">
        <v>24</v>
      </c>
      <c r="CB351" s="138">
        <v>40</v>
      </c>
      <c r="CC351" s="138">
        <v>23</v>
      </c>
      <c r="CD351" s="135">
        <v>45017</v>
      </c>
      <c r="CE351" s="138">
        <v>95</v>
      </c>
      <c r="CF351" s="138">
        <v>72</v>
      </c>
      <c r="CG351" s="138" t="str">
        <f t="shared" si="265"/>
        <v>В работе</v>
      </c>
      <c r="CH351" s="138" t="s">
        <v>272</v>
      </c>
      <c r="CI351" s="127"/>
      <c r="CJ351" s="138"/>
      <c r="CK351" s="138">
        <f t="shared" si="255"/>
        <v>15</v>
      </c>
      <c r="CL351" s="99"/>
      <c r="CM351" s="99"/>
      <c r="CN351" s="140">
        <v>39</v>
      </c>
      <c r="CO351" s="141">
        <f t="shared" si="276"/>
        <v>14.212</v>
      </c>
      <c r="CP351" s="142">
        <v>17</v>
      </c>
      <c r="CQ351" s="143">
        <v>0</v>
      </c>
      <c r="CR351" s="138">
        <v>22.3</v>
      </c>
      <c r="CS351" s="139">
        <v>14</v>
      </c>
      <c r="CT351" s="138"/>
      <c r="CU351" s="138">
        <f t="shared" si="277"/>
        <v>8.3000000000000007</v>
      </c>
      <c r="CV351" s="115">
        <f t="shared" si="278"/>
        <v>584.01350971010413</v>
      </c>
      <c r="CW351" s="115">
        <f t="shared" si="279"/>
        <v>985.08302842668172</v>
      </c>
      <c r="CX351" s="133">
        <f t="shared" si="280"/>
        <v>0.30357142857142855</v>
      </c>
      <c r="CY351" s="116"/>
      <c r="CZ351" s="131"/>
      <c r="DA351" s="145" t="str">
        <f t="shared" si="281"/>
        <v>Газлифт</v>
      </c>
      <c r="DB351" s="146">
        <f t="shared" si="282"/>
        <v>14.212</v>
      </c>
      <c r="DC351" s="142">
        <f t="shared" si="234"/>
        <v>17</v>
      </c>
      <c r="DD351" s="119">
        <f t="shared" si="250"/>
        <v>0</v>
      </c>
      <c r="DE351" s="115">
        <f t="shared" si="283"/>
        <v>8.3000000000000007</v>
      </c>
      <c r="DF351" s="121">
        <f t="shared" si="284"/>
        <v>14</v>
      </c>
      <c r="DG351" s="115">
        <f t="shared" si="285"/>
        <v>584.01350971010413</v>
      </c>
      <c r="DH351" s="115">
        <f t="shared" si="286"/>
        <v>39</v>
      </c>
      <c r="DI351" s="147"/>
      <c r="DJ351" s="111" t="s">
        <v>197</v>
      </c>
      <c r="DK351" s="112">
        <v>43175</v>
      </c>
      <c r="DL351" s="113">
        <f t="shared" ca="1" si="266"/>
        <v>1929</v>
      </c>
      <c r="DM351" s="114"/>
      <c r="DN351" s="114"/>
      <c r="DO351" s="114"/>
      <c r="DP351" s="114"/>
      <c r="DQ351" s="112">
        <v>43175</v>
      </c>
      <c r="DR351" s="114" t="s">
        <v>324</v>
      </c>
      <c r="DS351" s="114"/>
      <c r="DT351" s="115">
        <v>50</v>
      </c>
      <c r="DU351" s="116">
        <f t="shared" si="267"/>
        <v>0.37777777777777777</v>
      </c>
      <c r="DV351" s="117">
        <f t="shared" si="268"/>
        <v>14.212</v>
      </c>
      <c r="DW351" s="118">
        <f t="shared" si="269"/>
        <v>17</v>
      </c>
      <c r="DX351" s="119">
        <f t="shared" si="287"/>
        <v>0</v>
      </c>
      <c r="DY351" s="115">
        <f t="shared" si="270"/>
        <v>8.3000000000000007</v>
      </c>
      <c r="DZ351" s="117">
        <f t="shared" si="271"/>
        <v>0</v>
      </c>
      <c r="EA351" s="120">
        <f t="shared" si="271"/>
        <v>0</v>
      </c>
      <c r="EB351" s="119">
        <f t="shared" si="264"/>
        <v>0</v>
      </c>
      <c r="EC351" s="121">
        <f t="shared" si="272"/>
        <v>0</v>
      </c>
      <c r="ED351" s="122"/>
      <c r="EE351" s="145">
        <v>65</v>
      </c>
      <c r="EF351" s="148">
        <v>26</v>
      </c>
      <c r="EG351" s="115">
        <v>39</v>
      </c>
      <c r="EH351" s="115">
        <v>25</v>
      </c>
      <c r="EI351" s="128" t="s">
        <v>195</v>
      </c>
      <c r="EJ351" s="121">
        <v>24</v>
      </c>
      <c r="EK351" s="121">
        <v>0</v>
      </c>
      <c r="EL351" s="149">
        <v>12.707199999999998</v>
      </c>
      <c r="EM351" s="142">
        <v>15.2</v>
      </c>
      <c r="EN351" s="119">
        <v>0</v>
      </c>
      <c r="EO351" s="115">
        <v>21</v>
      </c>
      <c r="EP351" s="115">
        <v>550.86879879123649</v>
      </c>
      <c r="EQ351" s="115">
        <v>71</v>
      </c>
      <c r="ER351" s="115">
        <v>14</v>
      </c>
      <c r="ES351" s="115">
        <v>46</v>
      </c>
      <c r="ET351" s="150">
        <v>0.31020408163265306</v>
      </c>
      <c r="EU351" s="145">
        <f t="shared" si="288"/>
        <v>65</v>
      </c>
      <c r="EV351" s="115">
        <f t="shared" si="289"/>
        <v>24</v>
      </c>
      <c r="EW351" s="115">
        <f t="shared" si="289"/>
        <v>40</v>
      </c>
      <c r="EX351" s="115">
        <f t="shared" si="289"/>
        <v>23</v>
      </c>
      <c r="EY351" s="115" t="str">
        <f t="shared" si="253"/>
        <v>Постоянный</v>
      </c>
      <c r="EZ351" s="115">
        <f t="shared" si="253"/>
        <v>24</v>
      </c>
      <c r="FA351" s="115">
        <f t="shared" si="253"/>
        <v>0</v>
      </c>
      <c r="FB351" s="149">
        <f t="shared" si="238"/>
        <v>14.212</v>
      </c>
      <c r="FC351" s="142">
        <f t="shared" si="238"/>
        <v>17</v>
      </c>
      <c r="FD351" s="119">
        <f t="shared" si="238"/>
        <v>0</v>
      </c>
      <c r="FE351" s="121">
        <f t="shared" si="238"/>
        <v>22.3</v>
      </c>
      <c r="FF351" s="121">
        <f t="shared" si="247"/>
        <v>584.01350971010413</v>
      </c>
      <c r="FG351" s="121">
        <f t="shared" si="290"/>
        <v>72</v>
      </c>
      <c r="FH351" s="121">
        <f t="shared" si="248"/>
        <v>14</v>
      </c>
      <c r="FI351" s="121">
        <f t="shared" si="252"/>
        <v>39</v>
      </c>
      <c r="FJ351" s="144">
        <f t="shared" si="291"/>
        <v>0.30357142857142855</v>
      </c>
      <c r="FK351" s="132">
        <f t="shared" si="292"/>
        <v>0</v>
      </c>
      <c r="FL351" s="115">
        <f t="shared" si="292"/>
        <v>-2</v>
      </c>
      <c r="FM351" s="115">
        <f t="shared" si="292"/>
        <v>1</v>
      </c>
      <c r="FN351" s="115">
        <f t="shared" si="273"/>
        <v>-2</v>
      </c>
      <c r="FO351" s="115">
        <f t="shared" si="257"/>
        <v>0</v>
      </c>
      <c r="FP351" s="115">
        <f t="shared" si="257"/>
        <v>0</v>
      </c>
      <c r="FQ351" s="149">
        <f t="shared" si="257"/>
        <v>1.5048000000000012</v>
      </c>
      <c r="FR351" s="142">
        <f t="shared" si="256"/>
        <v>1.8000000000000007</v>
      </c>
      <c r="FS351" s="119">
        <f t="shared" si="256"/>
        <v>0</v>
      </c>
      <c r="FT351" s="121">
        <f t="shared" si="256"/>
        <v>1.3000000000000007</v>
      </c>
      <c r="FU351" s="121">
        <f t="shared" si="293"/>
        <v>1</v>
      </c>
      <c r="FV351" s="121">
        <f t="shared" si="293"/>
        <v>0</v>
      </c>
      <c r="FW351" s="121">
        <f t="shared" si="294"/>
        <v>33.144710918867645</v>
      </c>
      <c r="FX351" s="121">
        <f t="shared" si="295"/>
        <v>-7</v>
      </c>
      <c r="FY351" s="144">
        <f t="shared" si="295"/>
        <v>-6.6326530612245138E-3</v>
      </c>
      <c r="FZ351" s="145" t="s">
        <v>199</v>
      </c>
      <c r="GA351" s="151" t="s">
        <v>200</v>
      </c>
      <c r="GB351" s="145"/>
      <c r="GC351" s="151"/>
      <c r="GD351" s="997" t="s">
        <v>202</v>
      </c>
      <c r="GE351" s="1004"/>
      <c r="GF351" s="1004">
        <v>-0.58520000000000039</v>
      </c>
      <c r="GG351" s="1004"/>
      <c r="GH351" s="1004">
        <v>0</v>
      </c>
      <c r="GI351" s="145" t="s">
        <v>206</v>
      </c>
      <c r="GJ351" s="996">
        <v>-1.7556000000000012</v>
      </c>
      <c r="GK351" s="145" t="s">
        <v>199</v>
      </c>
      <c r="GL351" s="996">
        <v>7.6828399999999997</v>
      </c>
      <c r="GM351" s="1005" t="s">
        <v>240</v>
      </c>
      <c r="GN351" s="996">
        <v>-1.9645999999999999</v>
      </c>
      <c r="GO351" s="1006"/>
      <c r="GP351" s="996">
        <v>0</v>
      </c>
      <c r="GQ351" s="1006"/>
      <c r="GR351" s="996">
        <v>0</v>
      </c>
      <c r="GS351" s="1006"/>
      <c r="GT351" s="996">
        <v>1.0951600000000017</v>
      </c>
      <c r="GU351" s="1006"/>
      <c r="GV351" s="996">
        <v>4.1799999999998505E-2</v>
      </c>
      <c r="GW351" s="1006"/>
      <c r="GX351" s="1035">
        <v>0</v>
      </c>
      <c r="GY351" s="1006" t="s">
        <v>204</v>
      </c>
      <c r="GZ351" s="996">
        <v>-2.6501199999999994</v>
      </c>
      <c r="HA351" s="1006" t="s">
        <v>199</v>
      </c>
      <c r="HB351" s="996">
        <v>2.4411199999999997</v>
      </c>
      <c r="HC351" s="1006"/>
      <c r="HD351" s="996">
        <v>0</v>
      </c>
      <c r="HE351" s="1006" t="s">
        <v>199</v>
      </c>
      <c r="HF351" s="996">
        <v>-0.53503999999999863</v>
      </c>
      <c r="HG351" s="1006" t="s">
        <v>199</v>
      </c>
      <c r="HH351" s="996">
        <v>2.0816399999999993</v>
      </c>
      <c r="HI351" s="1006"/>
      <c r="HJ351" s="996">
        <v>0.25915999999999961</v>
      </c>
      <c r="HK351" s="1006"/>
      <c r="HL351" s="996">
        <v>-0.38455999999999957</v>
      </c>
      <c r="HM351" s="1006" t="s">
        <v>204</v>
      </c>
      <c r="HN351" s="996">
        <v>1.6301999999999985</v>
      </c>
      <c r="HO351" s="1006"/>
      <c r="HP351" s="996">
        <v>0</v>
      </c>
      <c r="HQ351" s="1006"/>
      <c r="HR351" s="996">
        <v>0</v>
      </c>
      <c r="HS351" s="1006" t="s">
        <v>204</v>
      </c>
      <c r="HT351" s="996">
        <v>-7.0976400000000002</v>
      </c>
      <c r="HU351" s="1006" t="s">
        <v>204</v>
      </c>
      <c r="HV351" s="996">
        <v>7.0976400000000002</v>
      </c>
      <c r="HW351" s="1006"/>
      <c r="HX351" s="996">
        <v>0</v>
      </c>
      <c r="HY351" s="1006"/>
      <c r="HZ351" s="996">
        <v>0</v>
      </c>
      <c r="IA351" s="1006"/>
      <c r="IB351" s="996">
        <v>0</v>
      </c>
      <c r="IC351" s="1006"/>
      <c r="ID351" s="996">
        <v>0</v>
      </c>
      <c r="IE351" s="1006"/>
      <c r="IF351" s="996">
        <v>0.33440000000000047</v>
      </c>
      <c r="IG351" s="1006"/>
      <c r="IH351" s="996">
        <v>0</v>
      </c>
      <c r="II351" s="1006"/>
      <c r="IJ351" s="996">
        <v>0</v>
      </c>
      <c r="IK351" s="1006"/>
      <c r="IL351" s="996">
        <v>0.41800000000000015</v>
      </c>
      <c r="IM351" s="1006"/>
      <c r="IN351" s="996">
        <v>-0.8360000000000003</v>
      </c>
      <c r="IO351" s="1006" t="s">
        <v>199</v>
      </c>
      <c r="IP351" s="996">
        <v>-2.3207359999999992</v>
      </c>
      <c r="IQ351" s="1006" t="s">
        <v>223</v>
      </c>
      <c r="IR351" s="996">
        <v>-1.4412640000000003</v>
      </c>
      <c r="IS351" s="1006"/>
      <c r="IT351" s="996">
        <v>0</v>
      </c>
      <c r="IU351" s="1006"/>
      <c r="IV351" s="996">
        <v>0</v>
      </c>
      <c r="IW351" s="1006"/>
      <c r="IX351" s="996">
        <v>0</v>
      </c>
      <c r="IY351" s="1006"/>
      <c r="IZ351" s="996">
        <v>0</v>
      </c>
      <c r="JA351" s="1006"/>
      <c r="JB351" s="996">
        <v>-0.8360000000000003</v>
      </c>
      <c r="JC351" s="1006" t="s">
        <v>199</v>
      </c>
      <c r="JD351" s="996">
        <v>-7.9420000000000002</v>
      </c>
      <c r="JE351" s="1006" t="s">
        <v>223</v>
      </c>
      <c r="JF351" s="996">
        <v>-4.597999999999999</v>
      </c>
      <c r="JG351" s="1006"/>
      <c r="JH351" s="996">
        <v>0</v>
      </c>
      <c r="JI351" s="1006"/>
      <c r="JJ351" s="996">
        <v>0</v>
      </c>
      <c r="JK351" s="1007"/>
      <c r="JL351" s="1007">
        <v>0</v>
      </c>
      <c r="JM351" s="1007"/>
      <c r="JN351" s="1007">
        <v>0</v>
      </c>
      <c r="JO351" s="1008"/>
      <c r="JP351" s="1007">
        <v>0</v>
      </c>
      <c r="JQ351" s="1008">
        <v>0</v>
      </c>
      <c r="JR351" s="1007">
        <v>0</v>
      </c>
      <c r="JS351" s="1008" t="s">
        <v>199</v>
      </c>
      <c r="JT351" s="1007">
        <v>5.8520000000000003</v>
      </c>
      <c r="JU351" s="1008"/>
      <c r="JV351" s="1007">
        <v>0</v>
      </c>
      <c r="JW351" s="1008" t="s">
        <v>197</v>
      </c>
      <c r="JX351" s="1007">
        <v>0</v>
      </c>
      <c r="JY351" s="1008"/>
      <c r="JZ351" s="1007">
        <v>0</v>
      </c>
      <c r="KA351" s="1008"/>
      <c r="KB351" s="1007">
        <v>0</v>
      </c>
      <c r="KC351" s="1008"/>
      <c r="KD351" s="1007">
        <v>0</v>
      </c>
      <c r="KE351" s="1008"/>
      <c r="KF351" s="1007">
        <v>0</v>
      </c>
      <c r="KG351" s="1008"/>
      <c r="KH351" s="1007">
        <v>0</v>
      </c>
      <c r="KI351" s="1008"/>
      <c r="KJ351" s="1007">
        <v>0</v>
      </c>
      <c r="KK351" s="1008"/>
      <c r="KL351" s="1007">
        <v>0</v>
      </c>
      <c r="KM351" s="1008" t="s">
        <v>207</v>
      </c>
      <c r="KN351" s="1007">
        <v>-5.0160000000000018</v>
      </c>
      <c r="KO351" s="1008" t="s">
        <v>203</v>
      </c>
      <c r="KP351" s="1007">
        <v>-2.5079999999999991</v>
      </c>
      <c r="KQ351" s="1008">
        <v>0</v>
      </c>
      <c r="KR351" s="1007">
        <v>0</v>
      </c>
      <c r="KS351" s="1008">
        <v>0</v>
      </c>
      <c r="KT351" s="1007">
        <v>0</v>
      </c>
      <c r="KU351" s="1008" t="s">
        <v>203</v>
      </c>
      <c r="KV351" s="1007">
        <v>-7.0474800000000002</v>
      </c>
      <c r="KW351" s="1008" t="s">
        <v>203</v>
      </c>
      <c r="KX351" s="1007">
        <v>-18.868519999999997</v>
      </c>
      <c r="KY351" s="1008" t="s">
        <v>342</v>
      </c>
      <c r="KZ351" s="1007">
        <v>50.16</v>
      </c>
      <c r="LA351" s="1008">
        <v>0</v>
      </c>
      <c r="LB351" s="1007">
        <v>0</v>
      </c>
      <c r="LC351" s="1008">
        <v>0</v>
      </c>
      <c r="LD351" s="1007">
        <v>0</v>
      </c>
      <c r="LE351" s="1008">
        <v>0</v>
      </c>
      <c r="LF351" s="1007">
        <v>0</v>
      </c>
      <c r="LG351" s="1008">
        <v>0</v>
      </c>
      <c r="LH351" s="1007">
        <v>0</v>
      </c>
      <c r="LI351" s="1008">
        <v>0</v>
      </c>
      <c r="LJ351" s="1007">
        <v>0</v>
      </c>
      <c r="LK351" s="1008">
        <v>0</v>
      </c>
      <c r="LL351" s="1007">
        <v>0</v>
      </c>
      <c r="LM351" s="1008">
        <v>0</v>
      </c>
      <c r="LN351" s="1007">
        <v>0</v>
      </c>
      <c r="LO351" s="1008">
        <v>0</v>
      </c>
      <c r="LP351" s="1007">
        <v>0</v>
      </c>
      <c r="LQ351" s="1008">
        <v>0</v>
      </c>
      <c r="LR351" s="1007">
        <v>0</v>
      </c>
      <c r="LS351" s="1008">
        <v>0</v>
      </c>
      <c r="LT351" s="1007">
        <v>0</v>
      </c>
      <c r="LU351" s="1008">
        <v>0</v>
      </c>
      <c r="LV351" s="1007">
        <v>0</v>
      </c>
      <c r="LW351" s="1008">
        <v>0</v>
      </c>
      <c r="LX351" s="1007">
        <v>0</v>
      </c>
      <c r="LY351" s="1009">
        <v>0</v>
      </c>
      <c r="LZ351" s="1010">
        <v>0</v>
      </c>
      <c r="MA351" s="1011">
        <v>0</v>
      </c>
      <c r="MB351" s="1012">
        <v>0</v>
      </c>
      <c r="MC351" s="995"/>
      <c r="MD351" s="996"/>
      <c r="ME351" s="997" t="s">
        <v>202</v>
      </c>
      <c r="MF351" s="997"/>
      <c r="MG351" s="998"/>
      <c r="NR351" s="1000"/>
      <c r="NS351" s="1000"/>
      <c r="NT351" s="1001"/>
      <c r="NU351" s="1000"/>
      <c r="NV351" s="1001"/>
      <c r="NX351" s="1002"/>
      <c r="NZ351" s="1001"/>
      <c r="OA351" s="1001"/>
      <c r="OC351" s="1003"/>
      <c r="OD351" s="1003"/>
      <c r="OE351" s="1001"/>
      <c r="OF351" s="1003"/>
      <c r="OG351" s="1003"/>
      <c r="QX351" s="1000">
        <f>CN351-CA351</f>
        <v>15</v>
      </c>
      <c r="ASU351" s="999" t="s">
        <v>208</v>
      </c>
    </row>
    <row r="352" spans="1:466 1191:1191" ht="21" customHeight="1" x14ac:dyDescent="0.25">
      <c r="A352" s="982">
        <f t="shared" si="274"/>
        <v>1377</v>
      </c>
      <c r="B352" s="124">
        <f>SUBTOTAL(103,$J$29:J352)</f>
        <v>324</v>
      </c>
      <c r="C352" s="126">
        <v>45068</v>
      </c>
      <c r="D352" s="124" t="s">
        <v>176</v>
      </c>
      <c r="E352" s="127" t="s">
        <v>177</v>
      </c>
      <c r="F352" s="128" t="s">
        <v>177</v>
      </c>
      <c r="G352" s="127" t="s">
        <v>178</v>
      </c>
      <c r="H352" s="127" t="s">
        <v>179</v>
      </c>
      <c r="I352" s="127" t="s">
        <v>1249</v>
      </c>
      <c r="J352" s="152">
        <v>1377</v>
      </c>
      <c r="K352" s="127" t="s">
        <v>1441</v>
      </c>
      <c r="L352" s="130">
        <v>43860</v>
      </c>
      <c r="M352" s="127" t="s">
        <v>230</v>
      </c>
      <c r="N352" s="127" t="s">
        <v>245</v>
      </c>
      <c r="O352" s="127" t="s">
        <v>185</v>
      </c>
      <c r="P352" s="127" t="s">
        <v>186</v>
      </c>
      <c r="Q352" s="85" t="str">
        <f t="shared" si="275"/>
        <v/>
      </c>
      <c r="R352" s="130"/>
      <c r="S352" s="128"/>
      <c r="T352" s="131"/>
      <c r="U352" s="132">
        <v>203</v>
      </c>
      <c r="V352" s="121">
        <v>218.2</v>
      </c>
      <c r="W352" s="116">
        <v>0.98</v>
      </c>
      <c r="X352" s="116">
        <v>1.66</v>
      </c>
      <c r="Y352" s="116">
        <f t="shared" si="239"/>
        <v>0.98</v>
      </c>
      <c r="Z352" s="133">
        <v>1.454</v>
      </c>
      <c r="AA352" s="133">
        <v>0.83599999999999997</v>
      </c>
      <c r="AB352" s="133">
        <v>0.72</v>
      </c>
      <c r="AC352" s="121">
        <v>34.299999999999997</v>
      </c>
      <c r="AD352" s="134">
        <v>1.17</v>
      </c>
      <c r="AE352" s="124">
        <v>177.8</v>
      </c>
      <c r="AF352" s="128">
        <v>9.19</v>
      </c>
      <c r="AG352" s="128">
        <v>2152</v>
      </c>
      <c r="AH352" s="127">
        <v>2797</v>
      </c>
      <c r="AI352" s="127">
        <v>2797</v>
      </c>
      <c r="AJ352" s="135"/>
      <c r="AK352" s="128"/>
      <c r="AL352" s="131"/>
      <c r="AM352" s="124" t="s">
        <v>232</v>
      </c>
      <c r="AN352" s="136" t="s">
        <v>1442</v>
      </c>
      <c r="AO352" s="137">
        <v>110.08499999999999</v>
      </c>
      <c r="AP352" s="128">
        <v>2152</v>
      </c>
      <c r="AQ352" s="128">
        <v>289.71499999999997</v>
      </c>
      <c r="AR352" s="128"/>
      <c r="AS352" s="128"/>
      <c r="AT352" s="122"/>
      <c r="AU352" s="124" t="s">
        <v>189</v>
      </c>
      <c r="AV352" s="115">
        <f>VLOOKUP(J352,'[63]ТР нефть'!$J$28:$BP$638,39,0)</f>
        <v>468.00001054699999</v>
      </c>
      <c r="AW352" s="115" t="str">
        <f>VLOOKUP(J352,'[63]ТР нефть'!$J$28:$BP$638,40,0)</f>
        <v>ГП</v>
      </c>
      <c r="AX352" s="115">
        <f>VLOOKUP(J352,'[63]ТР нефть'!$J$28:$BP$638,41,0)</f>
        <v>893.00000390599996</v>
      </c>
      <c r="AY352" s="115" t="str">
        <f>VLOOKUP(J352,'[63]ТР нефть'!$J$28:$BP$638,42,0)</f>
        <v>ГП</v>
      </c>
      <c r="AZ352" s="115">
        <f>VLOOKUP(J352,'[63]ТР нефть'!$J$28:$BP$638,43,0)</f>
        <v>1239.0000193359999</v>
      </c>
      <c r="BA352" s="115" t="str">
        <f>VLOOKUP(J352,'[63]ТР нефть'!$J$28:$BP$638,44,0)</f>
        <v>ГК83 1/8</v>
      </c>
      <c r="BB352" s="115">
        <f>VLOOKUP(J352,'[63]ТР нефть'!$J$28:$BP$638,45,0)</f>
        <v>1560.000035156</v>
      </c>
      <c r="BC352" s="115" t="str">
        <f>VLOOKUP(J352,'[63]ТР нефть'!$J$28:$BP$638,46,0)</f>
        <v>ГК 72 5/32</v>
      </c>
      <c r="BD352" s="115">
        <f>VLOOKUP(J352,'[63]ТР нефть'!$J$28:$BP$638,47,0)</f>
        <v>1830.0000011720001</v>
      </c>
      <c r="BE352" s="115" t="str">
        <f>VLOOKUP(J352,'[63]ТР нефть'!$J$28:$BP$638,48,0)</f>
        <v>ЦКсОК 5/16</v>
      </c>
      <c r="BF352" s="115" t="str">
        <f>VLOOKUP(J352,'[63]ТР нефть'!$J$28:$BP$638,49,0)</f>
        <v>-</v>
      </c>
      <c r="BG352" s="115" t="str">
        <f>VLOOKUP(J352,'[63]ТР нефть'!$J$28:$BP$638,50,0)</f>
        <v>-</v>
      </c>
      <c r="BH352" s="115">
        <f>VLOOKUP(J352,'[63]ТР нефть'!$J$28:$BP$638,51,0)</f>
        <v>1841</v>
      </c>
      <c r="BI352" s="115" t="str">
        <f>VLOOKUP(J352,'[63]ТР нефть'!$J$28:$BP$638,52,0)</f>
        <v>закрыт</v>
      </c>
      <c r="BJ352" s="115" t="str">
        <f>IF(IFERROR(VLOOKUP(J352,'[63]ТР нефть'!$J$28:$BP$638,53,0),"-")=0,"-",IFERROR(VLOOKUP(J352,'[63]ТР нефть'!$J$28:$BP$638,53,0),"-"))</f>
        <v>-</v>
      </c>
      <c r="BK352" s="138" t="str">
        <f>IF(IFERROR(VLOOKUP(J352,'[63]ТР нефть'!$J$28:$BP$638,54,0),"-")=0,"-",IFERROR(VLOOKUP(J352,'[63]ТР нефть'!$J$28:$BP$638,54,0),"-"))</f>
        <v>-</v>
      </c>
      <c r="BL352" s="138" t="str">
        <f>IF(IFERROR(VLOOKUP(J352,'[63]ТР нефть'!$J$28:$BP$638,55,0),"-")=0,"-",IFERROR(VLOOKUP(J352,'[63]ТР нефть'!$J$28:$BP$638,55,0),"-"))</f>
        <v>-</v>
      </c>
      <c r="BM352" s="138" t="str">
        <f>IF(IFERROR(VLOOKUP(J352,'[63]ТР нефть'!$J$28:$BP$638,56,0),"-")=0,"-",IFERROR(VLOOKUP(J352,'[63]ТР нефть'!$J$28:$BP$638,56,0),"-"))</f>
        <v>-</v>
      </c>
      <c r="BN352" s="138" t="str">
        <f>IF(IFERROR(VLOOKUP(J352,'[63]ТР нефть'!$J$28:$BP$638,57,0),"-")=0,"-",IFERROR(VLOOKUP(J352,'[63]ТР нефть'!$J$28:$BP$638,57,0),"-"))</f>
        <v>-</v>
      </c>
      <c r="BO352" s="115" t="str">
        <f>IF(IFERROR(VLOOKUP(J352,'[63]ТР нефть'!$J$28:$BP$638,58,0),"-")=0,"-",IFERROR(VLOOKUP(J352,'[63]ТР нефть'!$J$28:$BP$638,58,0),"-"))</f>
        <v>-</v>
      </c>
      <c r="BP352" s="115" t="str">
        <f>IF(IFERROR(VLOOKUP(J352,'[63]ТР нефть'!$J$28:$BP$638,59,0),"-")=0,"-",IFERROR(VLOOKUP(J352,'[63]ТР нефть'!$J$28:$BP$638,59,0),"-"))</f>
        <v>-</v>
      </c>
      <c r="BQ352" s="138">
        <v>2202</v>
      </c>
      <c r="BR352" s="128">
        <v>1879</v>
      </c>
      <c r="BS352" s="115">
        <f t="shared" si="258"/>
        <v>323</v>
      </c>
      <c r="BT352" s="128">
        <v>73</v>
      </c>
      <c r="BU352" s="128">
        <v>5.5</v>
      </c>
      <c r="BV352" s="127">
        <v>12</v>
      </c>
      <c r="BW352" s="127" t="s">
        <v>217</v>
      </c>
      <c r="BX352" s="127" t="s">
        <v>195</v>
      </c>
      <c r="BY352" s="139">
        <v>24</v>
      </c>
      <c r="BZ352" s="139">
        <v>0</v>
      </c>
      <c r="CA352" s="80">
        <v>25</v>
      </c>
      <c r="CB352" s="138">
        <v>40</v>
      </c>
      <c r="CC352" s="138">
        <v>24</v>
      </c>
      <c r="CD352" s="135">
        <v>45017</v>
      </c>
      <c r="CE352" s="138">
        <v>109</v>
      </c>
      <c r="CF352" s="138">
        <v>70</v>
      </c>
      <c r="CG352" s="138" t="s">
        <v>186</v>
      </c>
      <c r="CH352" s="138" t="s">
        <v>197</v>
      </c>
      <c r="CI352" s="127"/>
      <c r="CJ352" s="138"/>
      <c r="CK352" s="138">
        <f t="shared" si="255"/>
        <v>24</v>
      </c>
      <c r="CL352" s="99"/>
      <c r="CM352" s="99"/>
      <c r="CN352" s="140">
        <v>49</v>
      </c>
      <c r="CO352" s="141">
        <f t="shared" si="276"/>
        <v>12.958</v>
      </c>
      <c r="CP352" s="142">
        <v>15.5</v>
      </c>
      <c r="CQ352" s="143">
        <v>0</v>
      </c>
      <c r="CR352" s="138">
        <v>16</v>
      </c>
      <c r="CS352" s="139">
        <v>6</v>
      </c>
      <c r="CT352" s="138"/>
      <c r="CU352" s="138">
        <f t="shared" si="277"/>
        <v>10</v>
      </c>
      <c r="CV352" s="115">
        <f t="shared" si="278"/>
        <v>771.72403148634044</v>
      </c>
      <c r="CW352" s="115">
        <f t="shared" si="279"/>
        <v>463.03441889180431</v>
      </c>
      <c r="CX352" s="133">
        <f t="shared" si="280"/>
        <v>0.25833333333333336</v>
      </c>
      <c r="CY352" s="116"/>
      <c r="CZ352" s="131"/>
      <c r="DA352" s="145" t="str">
        <f t="shared" si="281"/>
        <v>Газлифт</v>
      </c>
      <c r="DB352" s="146">
        <f t="shared" si="282"/>
        <v>12.958</v>
      </c>
      <c r="DC352" s="142">
        <f t="shared" si="234"/>
        <v>15.5</v>
      </c>
      <c r="DD352" s="119">
        <f t="shared" si="250"/>
        <v>0</v>
      </c>
      <c r="DE352" s="115">
        <f t="shared" si="283"/>
        <v>10</v>
      </c>
      <c r="DF352" s="121">
        <f t="shared" si="284"/>
        <v>6</v>
      </c>
      <c r="DG352" s="115">
        <f t="shared" si="285"/>
        <v>771.72403148634044</v>
      </c>
      <c r="DH352" s="115">
        <f t="shared" si="286"/>
        <v>49</v>
      </c>
      <c r="DI352" s="147"/>
      <c r="DJ352" s="111"/>
      <c r="DK352" s="112">
        <v>43860</v>
      </c>
      <c r="DL352" s="113">
        <f t="shared" ca="1" si="266"/>
        <v>1244</v>
      </c>
      <c r="DM352" s="114"/>
      <c r="DN352" s="114"/>
      <c r="DO352" s="114"/>
      <c r="DP352" s="114"/>
      <c r="DQ352" s="112"/>
      <c r="DR352" s="114"/>
      <c r="DS352" s="114"/>
      <c r="DT352" s="115">
        <v>54</v>
      </c>
      <c r="DU352" s="116">
        <f t="shared" si="267"/>
        <v>0.2818181818181818</v>
      </c>
      <c r="DV352" s="117">
        <f t="shared" si="268"/>
        <v>12.958</v>
      </c>
      <c r="DW352" s="118">
        <f t="shared" si="269"/>
        <v>15.5</v>
      </c>
      <c r="DX352" s="119">
        <f t="shared" si="287"/>
        <v>0</v>
      </c>
      <c r="DY352" s="115">
        <f t="shared" si="270"/>
        <v>10</v>
      </c>
      <c r="DZ352" s="117">
        <f t="shared" si="271"/>
        <v>0</v>
      </c>
      <c r="EA352" s="120">
        <f t="shared" si="271"/>
        <v>0</v>
      </c>
      <c r="EB352" s="119">
        <f t="shared" si="264"/>
        <v>0</v>
      </c>
      <c r="EC352" s="121">
        <f t="shared" si="272"/>
        <v>0</v>
      </c>
      <c r="ED352" s="122"/>
      <c r="EE352" s="145">
        <v>12</v>
      </c>
      <c r="EF352" s="148">
        <v>25</v>
      </c>
      <c r="EG352" s="115">
        <v>42</v>
      </c>
      <c r="EH352" s="115">
        <v>24</v>
      </c>
      <c r="EI352" s="128" t="s">
        <v>195</v>
      </c>
      <c r="EJ352" s="121">
        <v>24</v>
      </c>
      <c r="EK352" s="121">
        <v>0</v>
      </c>
      <c r="EL352" s="149">
        <v>12.958</v>
      </c>
      <c r="EM352" s="142">
        <v>15.5</v>
      </c>
      <c r="EN352" s="119">
        <v>0</v>
      </c>
      <c r="EO352" s="115">
        <v>16</v>
      </c>
      <c r="EP352" s="115">
        <v>771.72403148634044</v>
      </c>
      <c r="EQ352" s="115">
        <v>75</v>
      </c>
      <c r="ER352" s="115">
        <v>6</v>
      </c>
      <c r="ES352" s="115">
        <v>49</v>
      </c>
      <c r="ET352" s="150">
        <v>0.25833333333333336</v>
      </c>
      <c r="EU352" s="145">
        <f t="shared" si="288"/>
        <v>12</v>
      </c>
      <c r="EV352" s="115">
        <f t="shared" si="289"/>
        <v>25</v>
      </c>
      <c r="EW352" s="115">
        <f t="shared" si="289"/>
        <v>40</v>
      </c>
      <c r="EX352" s="115">
        <f t="shared" si="289"/>
        <v>24</v>
      </c>
      <c r="EY352" s="115" t="str">
        <f t="shared" si="253"/>
        <v>Постоянный</v>
      </c>
      <c r="EZ352" s="115">
        <f t="shared" si="253"/>
        <v>24</v>
      </c>
      <c r="FA352" s="115">
        <f t="shared" si="253"/>
        <v>0</v>
      </c>
      <c r="FB352" s="149">
        <f t="shared" si="238"/>
        <v>12.958</v>
      </c>
      <c r="FC352" s="142">
        <f t="shared" si="238"/>
        <v>15.5</v>
      </c>
      <c r="FD352" s="119">
        <f t="shared" si="238"/>
        <v>0</v>
      </c>
      <c r="FE352" s="121">
        <f t="shared" si="238"/>
        <v>16</v>
      </c>
      <c r="FF352" s="121">
        <f t="shared" si="247"/>
        <v>771.72403148634044</v>
      </c>
      <c r="FG352" s="121">
        <f t="shared" si="290"/>
        <v>70</v>
      </c>
      <c r="FH352" s="121">
        <f t="shared" si="248"/>
        <v>6</v>
      </c>
      <c r="FI352" s="121">
        <f t="shared" si="252"/>
        <v>49</v>
      </c>
      <c r="FJ352" s="144">
        <f t="shared" si="291"/>
        <v>0.25833333333333336</v>
      </c>
      <c r="FK352" s="132">
        <f t="shared" si="292"/>
        <v>0</v>
      </c>
      <c r="FL352" s="115">
        <f t="shared" si="292"/>
        <v>0</v>
      </c>
      <c r="FM352" s="115">
        <f t="shared" si="292"/>
        <v>-2</v>
      </c>
      <c r="FN352" s="115">
        <f t="shared" si="273"/>
        <v>0</v>
      </c>
      <c r="FO352" s="115">
        <f t="shared" si="257"/>
        <v>0</v>
      </c>
      <c r="FP352" s="115">
        <f t="shared" si="257"/>
        <v>0</v>
      </c>
      <c r="FQ352" s="149">
        <f t="shared" si="257"/>
        <v>0</v>
      </c>
      <c r="FR352" s="142">
        <f t="shared" si="256"/>
        <v>0</v>
      </c>
      <c r="FS352" s="119">
        <f t="shared" si="256"/>
        <v>0</v>
      </c>
      <c r="FT352" s="121">
        <f t="shared" si="256"/>
        <v>0</v>
      </c>
      <c r="FU352" s="121">
        <f t="shared" si="293"/>
        <v>-5</v>
      </c>
      <c r="FV352" s="121">
        <f t="shared" si="293"/>
        <v>0</v>
      </c>
      <c r="FW352" s="121">
        <f t="shared" si="294"/>
        <v>0</v>
      </c>
      <c r="FX352" s="121">
        <f t="shared" si="295"/>
        <v>0</v>
      </c>
      <c r="FY352" s="144">
        <f t="shared" si="295"/>
        <v>0</v>
      </c>
      <c r="FZ352" s="145" t="s">
        <v>199</v>
      </c>
      <c r="GA352" s="151" t="s">
        <v>1443</v>
      </c>
      <c r="GB352" s="145" t="s">
        <v>199</v>
      </c>
      <c r="GC352" s="151" t="s">
        <v>201</v>
      </c>
      <c r="GD352" s="997" t="s">
        <v>220</v>
      </c>
      <c r="GE352" s="1004" t="s">
        <v>199</v>
      </c>
      <c r="GF352" s="1004">
        <v>5.4340000000000002</v>
      </c>
      <c r="GG352" s="1004" t="s">
        <v>199</v>
      </c>
      <c r="GH352" s="1004">
        <v>-4.0211599999999992</v>
      </c>
      <c r="GI352" s="145"/>
      <c r="GJ352" s="996">
        <v>0</v>
      </c>
      <c r="GK352" s="145"/>
      <c r="GL352" s="996">
        <v>0</v>
      </c>
      <c r="GM352" s="1005"/>
      <c r="GN352" s="996">
        <v>0</v>
      </c>
      <c r="GO352" s="1006" t="s">
        <v>199</v>
      </c>
      <c r="GP352" s="996">
        <v>-0.99483999999999995</v>
      </c>
      <c r="GQ352" s="1006"/>
      <c r="GR352" s="996">
        <v>0</v>
      </c>
      <c r="GS352" s="1006"/>
      <c r="GT352" s="996">
        <v>0</v>
      </c>
      <c r="GU352" s="1006" t="s">
        <v>199</v>
      </c>
      <c r="GV352" s="996">
        <v>-1.6720000000000006</v>
      </c>
      <c r="GW352" s="1006"/>
      <c r="GX352" s="1036">
        <v>0.8360000000000003</v>
      </c>
      <c r="GY352" s="1006"/>
      <c r="GZ352" s="996">
        <v>0</v>
      </c>
      <c r="HA352" s="1006"/>
      <c r="HB352" s="996">
        <v>0.8360000000000003</v>
      </c>
      <c r="HC352" s="1006" t="s">
        <v>199</v>
      </c>
      <c r="HD352" s="996">
        <v>0</v>
      </c>
      <c r="HE352" s="1006"/>
      <c r="HF352" s="996">
        <v>0</v>
      </c>
      <c r="HG352" s="1006"/>
      <c r="HH352" s="996">
        <v>0.8360000000000003</v>
      </c>
      <c r="HI352" s="1006"/>
      <c r="HJ352" s="996">
        <v>0</v>
      </c>
      <c r="HK352" s="1006" t="s">
        <v>223</v>
      </c>
      <c r="HL352" s="996">
        <v>-1.378563999999999</v>
      </c>
      <c r="HM352" s="1006"/>
      <c r="HN352" s="996">
        <v>0</v>
      </c>
      <c r="HO352" s="1006"/>
      <c r="HP352" s="996">
        <v>0</v>
      </c>
      <c r="HQ352" s="1006"/>
      <c r="HR352" s="996">
        <v>0</v>
      </c>
      <c r="HS352" s="1006"/>
      <c r="HT352" s="996">
        <v>0</v>
      </c>
      <c r="HU352" s="1006"/>
      <c r="HV352" s="996">
        <v>0</v>
      </c>
      <c r="HW352" s="1006"/>
      <c r="HX352" s="996">
        <v>0.14339071999999931</v>
      </c>
      <c r="HY352" s="1006" t="s">
        <v>199</v>
      </c>
      <c r="HZ352" s="996">
        <v>8.9456012799999982</v>
      </c>
      <c r="IA352" s="1006"/>
      <c r="IB352" s="996">
        <v>0</v>
      </c>
      <c r="IC352" s="1006"/>
      <c r="ID352" s="996">
        <v>0</v>
      </c>
      <c r="IE352" s="1006"/>
      <c r="IF352" s="996">
        <v>-0.87755839599999907</v>
      </c>
      <c r="IG352" s="1006"/>
      <c r="IH352" s="996">
        <v>0</v>
      </c>
      <c r="II352" s="1006"/>
      <c r="IJ352" s="996">
        <v>0</v>
      </c>
      <c r="IK352" s="1006"/>
      <c r="IL352" s="996">
        <v>0</v>
      </c>
      <c r="IM352" s="1006"/>
      <c r="IN352" s="996">
        <v>0</v>
      </c>
      <c r="IO352" s="1006"/>
      <c r="IP352" s="996">
        <v>0</v>
      </c>
      <c r="IQ352" s="1006"/>
      <c r="IR352" s="996">
        <v>0</v>
      </c>
      <c r="IS352" s="1006"/>
      <c r="IT352" s="996">
        <v>0</v>
      </c>
      <c r="IU352" s="1006" t="s">
        <v>203</v>
      </c>
      <c r="IV352" s="996">
        <v>-2.5692696040000014</v>
      </c>
      <c r="IW352" s="1006"/>
      <c r="IX352" s="996">
        <v>0</v>
      </c>
      <c r="IY352" s="1006" t="s">
        <v>435</v>
      </c>
      <c r="IZ352" s="996">
        <v>-17.097056899999998</v>
      </c>
      <c r="JA352" s="1006" t="s">
        <v>199</v>
      </c>
      <c r="JB352" s="996">
        <v>20.190256899999998</v>
      </c>
      <c r="JC352" s="1006" t="s">
        <v>199</v>
      </c>
      <c r="JD352" s="996">
        <v>-10.700800000000001</v>
      </c>
      <c r="JE352" s="1006" t="s">
        <v>199</v>
      </c>
      <c r="JF352" s="996">
        <v>-9.9483999999999977</v>
      </c>
      <c r="JG352" s="1006" t="s">
        <v>25</v>
      </c>
      <c r="JH352" s="996">
        <v>25</v>
      </c>
      <c r="JI352" s="1006"/>
      <c r="JJ352" s="996"/>
      <c r="JK352" s="1007"/>
      <c r="JL352" s="1007"/>
      <c r="JM352" s="1007"/>
      <c r="JN352" s="1007"/>
      <c r="JO352" s="1008"/>
      <c r="JP352" s="1007"/>
      <c r="JQ352" s="1008"/>
      <c r="JR352" s="1007"/>
      <c r="JS352" s="1008"/>
      <c r="JT352" s="1007"/>
      <c r="JU352" s="1008"/>
      <c r="JV352" s="1007"/>
      <c r="JW352" s="1008"/>
      <c r="JX352" s="1007"/>
      <c r="JY352" s="1008"/>
      <c r="JZ352" s="1007"/>
      <c r="KA352" s="1008"/>
      <c r="KB352" s="1007"/>
      <c r="KC352" s="1008"/>
      <c r="KD352" s="1007"/>
      <c r="KE352" s="1008"/>
      <c r="KF352" s="1007"/>
      <c r="KG352" s="1008"/>
      <c r="KH352" s="1007"/>
      <c r="KI352" s="1008"/>
      <c r="KJ352" s="1007"/>
      <c r="KK352" s="1008"/>
      <c r="KL352" s="1007"/>
      <c r="KM352" s="1008"/>
      <c r="KN352" s="1007"/>
      <c r="KO352" s="1008"/>
      <c r="KP352" s="1007"/>
      <c r="KQ352" s="1008"/>
      <c r="KR352" s="1007"/>
      <c r="KS352" s="1008"/>
      <c r="KT352" s="1007"/>
      <c r="KU352" s="1008"/>
      <c r="KV352" s="1007"/>
      <c r="KW352" s="1008"/>
      <c r="KX352" s="1007"/>
      <c r="KY352" s="1008"/>
      <c r="KZ352" s="1007"/>
      <c r="LA352" s="1008"/>
      <c r="LB352" s="1007"/>
      <c r="LC352" s="1008"/>
      <c r="LD352" s="1007"/>
      <c r="LE352" s="1008"/>
      <c r="LF352" s="1007"/>
      <c r="LG352" s="1008"/>
      <c r="LH352" s="1007"/>
      <c r="LI352" s="1008"/>
      <c r="LJ352" s="1007"/>
      <c r="LK352" s="1008"/>
      <c r="LL352" s="1007"/>
      <c r="LM352" s="1008"/>
      <c r="LN352" s="1007"/>
      <c r="LO352" s="1008"/>
      <c r="LP352" s="1007"/>
      <c r="LQ352" s="1008"/>
      <c r="LR352" s="1007"/>
      <c r="LS352" s="1008"/>
      <c r="LT352" s="1007"/>
      <c r="LU352" s="1008"/>
      <c r="LV352" s="1007"/>
      <c r="LW352" s="1008"/>
      <c r="LX352" s="1007"/>
      <c r="LY352" s="1009"/>
      <c r="LZ352" s="1010"/>
      <c r="MA352" s="1011"/>
      <c r="MB352" s="1012"/>
      <c r="MC352" s="995"/>
      <c r="MD352" s="996"/>
      <c r="ME352" s="997" t="s">
        <v>220</v>
      </c>
      <c r="MF352" s="997"/>
      <c r="MG352" s="998"/>
      <c r="NR352" s="1000"/>
      <c r="NS352" s="1000"/>
      <c r="NT352" s="1001"/>
      <c r="NU352" s="1000"/>
      <c r="NV352" s="1001"/>
      <c r="NX352" s="1002"/>
      <c r="NZ352" s="1001"/>
      <c r="OA352" s="1001"/>
      <c r="OC352" s="1003"/>
      <c r="OD352" s="1003"/>
      <c r="OE352" s="1001"/>
      <c r="OF352" s="1003"/>
      <c r="OG352" s="1003"/>
      <c r="QX352" s="1000">
        <f>CN352-CA352</f>
        <v>24</v>
      </c>
      <c r="ASU352" s="999" t="s">
        <v>208</v>
      </c>
    </row>
    <row r="353" spans="1:466 1191:1191" ht="21" customHeight="1" x14ac:dyDescent="0.25">
      <c r="A353" s="982">
        <f t="shared" si="274"/>
        <v>1378</v>
      </c>
      <c r="B353" s="124">
        <f>SUBTOTAL(103,$J$29:J353)</f>
        <v>325</v>
      </c>
      <c r="C353" s="126">
        <v>45068</v>
      </c>
      <c r="D353" s="124" t="s">
        <v>176</v>
      </c>
      <c r="E353" s="127" t="s">
        <v>177</v>
      </c>
      <c r="F353" s="128" t="s">
        <v>177</v>
      </c>
      <c r="G353" s="127" t="s">
        <v>178</v>
      </c>
      <c r="H353" s="127" t="s">
        <v>179</v>
      </c>
      <c r="I353" s="127" t="s">
        <v>1286</v>
      </c>
      <c r="J353" s="152">
        <v>1378</v>
      </c>
      <c r="K353" s="127" t="s">
        <v>1444</v>
      </c>
      <c r="L353" s="130">
        <v>42316</v>
      </c>
      <c r="M353" s="127" t="s">
        <v>230</v>
      </c>
      <c r="N353" s="127" t="s">
        <v>245</v>
      </c>
      <c r="O353" s="127" t="s">
        <v>185</v>
      </c>
      <c r="P353" s="127" t="s">
        <v>186</v>
      </c>
      <c r="Q353" s="85" t="str">
        <f t="shared" si="275"/>
        <v/>
      </c>
      <c r="R353" s="130"/>
      <c r="S353" s="128"/>
      <c r="T353" s="131"/>
      <c r="U353" s="132">
        <v>203</v>
      </c>
      <c r="V353" s="121">
        <v>218.2</v>
      </c>
      <c r="W353" s="116">
        <v>0.98</v>
      </c>
      <c r="X353" s="116">
        <v>1.66</v>
      </c>
      <c r="Y353" s="116">
        <f t="shared" si="239"/>
        <v>0.98809523809523803</v>
      </c>
      <c r="Z353" s="133">
        <v>1.454</v>
      </c>
      <c r="AA353" s="133">
        <v>0.83599999999999997</v>
      </c>
      <c r="AB353" s="133">
        <v>0.72</v>
      </c>
      <c r="AC353" s="121">
        <v>34.299999999999997</v>
      </c>
      <c r="AD353" s="134">
        <v>1.17</v>
      </c>
      <c r="AE353" s="124">
        <v>177.8</v>
      </c>
      <c r="AF353" s="128">
        <v>9.19</v>
      </c>
      <c r="AG353" s="128">
        <v>2346.6999999999998</v>
      </c>
      <c r="AH353" s="127">
        <v>3065</v>
      </c>
      <c r="AI353" s="127">
        <v>3065</v>
      </c>
      <c r="AJ353" s="135">
        <v>42298</v>
      </c>
      <c r="AK353" s="128" t="s">
        <v>1018</v>
      </c>
      <c r="AL353" s="131"/>
      <c r="AM353" s="124" t="s">
        <v>232</v>
      </c>
      <c r="AN353" s="136" t="s">
        <v>1445</v>
      </c>
      <c r="AO353" s="137">
        <v>36.6</v>
      </c>
      <c r="AP353" s="128">
        <v>2278</v>
      </c>
      <c r="AQ353" s="128">
        <v>391.5</v>
      </c>
      <c r="AR353" s="128"/>
      <c r="AS353" s="128"/>
      <c r="AT353" s="122"/>
      <c r="AU353" s="124" t="s">
        <v>189</v>
      </c>
      <c r="AV353" s="115">
        <f>VLOOKUP(J353,'[63]ТР нефть'!$J$28:$BP$638,39,0)</f>
        <v>568.99998515599998</v>
      </c>
      <c r="AW353" s="115" t="str">
        <f>VLOOKUP(J353,'[63]ТР нефть'!$J$28:$BP$638,40,0)</f>
        <v>ГП</v>
      </c>
      <c r="AX353" s="115">
        <f>VLOOKUP(J353,'[63]ТР нефть'!$J$28:$BP$638,41,0)</f>
        <v>1049.999983594</v>
      </c>
      <c r="AY353" s="115" t="str">
        <f>VLOOKUP(J353,'[63]ТР нефть'!$J$28:$BP$638,42,0)</f>
        <v>ГК85 1/8</v>
      </c>
      <c r="AZ353" s="115">
        <f>VLOOKUP(J353,'[63]ТР нефть'!$J$28:$BP$638,43,0)</f>
        <v>1390.000067578</v>
      </c>
      <c r="BA353" s="115" t="str">
        <f>VLOOKUP(J353,'[63]ТР нефть'!$J$28:$BP$638,44,0)</f>
        <v>ГК85 5/32</v>
      </c>
      <c r="BB353" s="115">
        <f>VLOOKUP(J353,'[63]ТР нефть'!$J$28:$BP$638,45,0)</f>
        <v>1792.9999898440001</v>
      </c>
      <c r="BC353" s="115" t="str">
        <f>VLOOKUP(J353,'[63]ТР нефть'!$J$28:$BP$638,46,0)</f>
        <v>ГК86 5/32</v>
      </c>
      <c r="BD353" s="115">
        <f>VLOOKUP(J353,'[63]ТР нефть'!$J$28:$BP$638,47,0)</f>
        <v>2019.9999386720001</v>
      </c>
      <c r="BE353" s="115" t="str">
        <f>VLOOKUP(J353,'[63]ТР нефть'!$J$28:$BP$638,48,0)</f>
        <v>ЦКсОК 5/16</v>
      </c>
      <c r="BF353" s="115" t="str">
        <f>VLOOKUP(J353,'[63]ТР нефть'!$J$28:$BP$638,49,0)</f>
        <v>-</v>
      </c>
      <c r="BG353" s="115" t="str">
        <f>VLOOKUP(J353,'[63]ТР нефть'!$J$28:$BP$638,50,0)</f>
        <v>-</v>
      </c>
      <c r="BH353" s="115" t="str">
        <f>VLOOKUP(J353,'[63]ТР нефть'!$J$28:$BP$638,51,0)</f>
        <v>-</v>
      </c>
      <c r="BI353" s="115" t="str">
        <f>VLOOKUP(J353,'[63]ТР нефть'!$J$28:$BP$638,52,0)</f>
        <v>-</v>
      </c>
      <c r="BJ353" s="115" t="str">
        <f>IF(IFERROR(VLOOKUP(J353,'[63]ТР нефть'!$J$28:$BP$638,53,0),"-")=0,"-",IFERROR(VLOOKUP(J353,'[63]ТР нефть'!$J$28:$BP$638,53,0),"-"))</f>
        <v>-</v>
      </c>
      <c r="BK353" s="138" t="str">
        <f>IF(IFERROR(VLOOKUP(J353,'[63]ТР нефть'!$J$28:$BP$638,54,0),"-")=0,"-",IFERROR(VLOOKUP(J353,'[63]ТР нефть'!$J$28:$BP$638,54,0),"-"))</f>
        <v>-</v>
      </c>
      <c r="BL353" s="138" t="str">
        <f>IF(IFERROR(VLOOKUP(J353,'[63]ТР нефть'!$J$28:$BP$638,55,0),"-")=0,"-",IFERROR(VLOOKUP(J353,'[63]ТР нефть'!$J$28:$BP$638,55,0),"-"))</f>
        <v>-</v>
      </c>
      <c r="BM353" s="138" t="str">
        <f>IF(IFERROR(VLOOKUP(J353,'[63]ТР нефть'!$J$28:$BP$638,56,0),"-")=0,"-",IFERROR(VLOOKUP(J353,'[63]ТР нефть'!$J$28:$BP$638,56,0),"-"))</f>
        <v>-</v>
      </c>
      <c r="BN353" s="138" t="str">
        <f>IF(IFERROR(VLOOKUP(J353,'[63]ТР нефть'!$J$28:$BP$638,57,0),"-")=0,"-",IFERROR(VLOOKUP(J353,'[63]ТР нефть'!$J$28:$BP$638,57,0),"-"))</f>
        <v>-</v>
      </c>
      <c r="BO353" s="115" t="str">
        <f>IF(IFERROR(VLOOKUP(J353,'[63]ТР нефть'!$J$28:$BP$638,58,0),"-")=0,"-",IFERROR(VLOOKUP(J353,'[63]ТР нефть'!$J$28:$BP$638,58,0),"-"))</f>
        <v>-</v>
      </c>
      <c r="BP353" s="115" t="str">
        <f>IF(IFERROR(VLOOKUP(J353,'[63]ТР нефть'!$J$28:$BP$638,59,0),"-")=0,"-",IFERROR(VLOOKUP(J353,'[63]ТР нефть'!$J$28:$BP$638,59,0),"-"))</f>
        <v>-</v>
      </c>
      <c r="BQ353" s="138">
        <v>2362.02</v>
      </c>
      <c r="BR353" s="128">
        <v>1899</v>
      </c>
      <c r="BS353" s="115">
        <f t="shared" si="258"/>
        <v>463.02</v>
      </c>
      <c r="BT353" s="128">
        <v>73</v>
      </c>
      <c r="BU353" s="128">
        <v>5.5</v>
      </c>
      <c r="BV353" s="127">
        <v>18</v>
      </c>
      <c r="BW353" s="127" t="s">
        <v>217</v>
      </c>
      <c r="BX353" s="127" t="s">
        <v>195</v>
      </c>
      <c r="BY353" s="139">
        <v>24</v>
      </c>
      <c r="BZ353" s="139">
        <v>0</v>
      </c>
      <c r="CA353" s="138">
        <v>25</v>
      </c>
      <c r="CB353" s="138">
        <v>44</v>
      </c>
      <c r="CC353" s="138">
        <v>24</v>
      </c>
      <c r="CD353" s="135">
        <v>45017</v>
      </c>
      <c r="CE353" s="138">
        <v>144</v>
      </c>
      <c r="CF353" s="138">
        <v>71</v>
      </c>
      <c r="CG353" s="138" t="str">
        <f t="shared" si="265"/>
        <v>В работе</v>
      </c>
      <c r="CH353" s="138" t="s">
        <v>196</v>
      </c>
      <c r="CI353" s="138">
        <v>6</v>
      </c>
      <c r="CJ353" s="139"/>
      <c r="CK353" s="139">
        <f t="shared" si="255"/>
        <v>36</v>
      </c>
      <c r="CL353" s="99"/>
      <c r="CM353" s="99"/>
      <c r="CN353" s="140">
        <v>61</v>
      </c>
      <c r="CO353" s="141">
        <f t="shared" si="276"/>
        <v>3.2771199999999996</v>
      </c>
      <c r="CP353" s="142">
        <v>4</v>
      </c>
      <c r="CQ353" s="143">
        <v>2</v>
      </c>
      <c r="CR353" s="138">
        <v>18</v>
      </c>
      <c r="CS353" s="139">
        <v>7.4</v>
      </c>
      <c r="CT353" s="138"/>
      <c r="CU353" s="138">
        <f t="shared" si="277"/>
        <v>10.6</v>
      </c>
      <c r="CV353" s="115">
        <f t="shared" si="278"/>
        <v>3234.5474074797389</v>
      </c>
      <c r="CW353" s="115">
        <f t="shared" si="279"/>
        <v>2196.0020891695549</v>
      </c>
      <c r="CX353" s="133">
        <f t="shared" si="280"/>
        <v>4.8192771084337352E-2</v>
      </c>
      <c r="CY353" s="116"/>
      <c r="CZ353" s="131"/>
      <c r="DA353" s="145" t="str">
        <f t="shared" si="281"/>
        <v>Газлифт</v>
      </c>
      <c r="DB353" s="146">
        <f t="shared" si="282"/>
        <v>5.3253199999999996</v>
      </c>
      <c r="DC353" s="142">
        <f t="shared" si="234"/>
        <v>6.5</v>
      </c>
      <c r="DD353" s="119">
        <f t="shared" si="250"/>
        <v>2</v>
      </c>
      <c r="DE353" s="115">
        <f t="shared" si="283"/>
        <v>10.6</v>
      </c>
      <c r="DF353" s="121">
        <f t="shared" si="284"/>
        <v>7.4</v>
      </c>
      <c r="DG353" s="115">
        <f t="shared" si="285"/>
        <v>3234.5474074797389</v>
      </c>
      <c r="DH353" s="115">
        <f t="shared" si="286"/>
        <v>61</v>
      </c>
      <c r="DI353" s="147"/>
      <c r="DJ353" s="111">
        <v>43555</v>
      </c>
      <c r="DK353" s="112">
        <v>44113</v>
      </c>
      <c r="DL353" s="113">
        <f t="shared" ca="1" si="266"/>
        <v>991</v>
      </c>
      <c r="DM353" s="114"/>
      <c r="DN353" s="114"/>
      <c r="DO353" s="114"/>
      <c r="DP353" s="114"/>
      <c r="DQ353" s="112">
        <v>43565</v>
      </c>
      <c r="DR353" s="114" t="s">
        <v>198</v>
      </c>
      <c r="DS353" s="114"/>
      <c r="DT353" s="115">
        <v>50</v>
      </c>
      <c r="DU353" s="116">
        <f t="shared" si="267"/>
        <v>4.5993101034844774E-2</v>
      </c>
      <c r="DV353" s="117">
        <f t="shared" si="268"/>
        <v>3.5420354146877968</v>
      </c>
      <c r="DW353" s="118">
        <f t="shared" si="269"/>
        <v>4.323351497275409</v>
      </c>
      <c r="DX353" s="119">
        <f t="shared" si="287"/>
        <v>2</v>
      </c>
      <c r="DY353" s="115">
        <f t="shared" si="270"/>
        <v>11.456881467779835</v>
      </c>
      <c r="DZ353" s="117">
        <f t="shared" si="271"/>
        <v>0.26491541468779722</v>
      </c>
      <c r="EA353" s="120">
        <f t="shared" si="271"/>
        <v>0.32335149727540902</v>
      </c>
      <c r="EB353" s="119">
        <f t="shared" si="264"/>
        <v>0</v>
      </c>
      <c r="EC353" s="121">
        <f t="shared" si="272"/>
        <v>0.85688146777983576</v>
      </c>
      <c r="ED353" s="122"/>
      <c r="EE353" s="145">
        <v>18</v>
      </c>
      <c r="EF353" s="115">
        <v>25</v>
      </c>
      <c r="EG353" s="115">
        <v>38</v>
      </c>
      <c r="EH353" s="115">
        <v>23</v>
      </c>
      <c r="EI353" s="128" t="s">
        <v>218</v>
      </c>
      <c r="EJ353" s="121">
        <v>24</v>
      </c>
      <c r="EK353" s="121">
        <v>24</v>
      </c>
      <c r="EL353" s="149">
        <v>5.3253199999999996</v>
      </c>
      <c r="EM353" s="142">
        <v>6.5</v>
      </c>
      <c r="EN353" s="119">
        <v>2</v>
      </c>
      <c r="EO353" s="115">
        <v>18</v>
      </c>
      <c r="EP353" s="115">
        <v>1990.4907122952238</v>
      </c>
      <c r="EQ353" s="115">
        <v>72</v>
      </c>
      <c r="ER353" s="115">
        <v>7.4</v>
      </c>
      <c r="ES353" s="115">
        <v>49</v>
      </c>
      <c r="ET353" s="150">
        <v>6.8421052631578952E-2</v>
      </c>
      <c r="EU353" s="145">
        <f t="shared" si="288"/>
        <v>18</v>
      </c>
      <c r="EV353" s="115">
        <f t="shared" si="289"/>
        <v>25</v>
      </c>
      <c r="EW353" s="115">
        <f t="shared" si="289"/>
        <v>44</v>
      </c>
      <c r="EX353" s="115">
        <f t="shared" si="289"/>
        <v>24</v>
      </c>
      <c r="EY353" s="115" t="str">
        <f t="shared" si="253"/>
        <v>Постоянный</v>
      </c>
      <c r="EZ353" s="115">
        <f t="shared" si="253"/>
        <v>24</v>
      </c>
      <c r="FA353" s="115">
        <f t="shared" si="253"/>
        <v>0</v>
      </c>
      <c r="FB353" s="149">
        <f t="shared" si="238"/>
        <v>3.2771199999999996</v>
      </c>
      <c r="FC353" s="142">
        <f t="shared" si="238"/>
        <v>4</v>
      </c>
      <c r="FD353" s="119">
        <f t="shared" si="238"/>
        <v>2</v>
      </c>
      <c r="FE353" s="121">
        <f t="shared" si="238"/>
        <v>18</v>
      </c>
      <c r="FF353" s="121">
        <f t="shared" si="247"/>
        <v>3234.5474074797389</v>
      </c>
      <c r="FG353" s="121">
        <f t="shared" si="290"/>
        <v>71</v>
      </c>
      <c r="FH353" s="121">
        <f t="shared" si="248"/>
        <v>7.4</v>
      </c>
      <c r="FI353" s="121">
        <f t="shared" si="252"/>
        <v>61</v>
      </c>
      <c r="FJ353" s="144">
        <f t="shared" si="291"/>
        <v>4.8192771084337352E-2</v>
      </c>
      <c r="FK353" s="132">
        <f t="shared" si="292"/>
        <v>0</v>
      </c>
      <c r="FL353" s="115">
        <f t="shared" si="292"/>
        <v>0</v>
      </c>
      <c r="FM353" s="115">
        <f t="shared" si="292"/>
        <v>6</v>
      </c>
      <c r="FN353" s="115">
        <f t="shared" si="273"/>
        <v>1</v>
      </c>
      <c r="FO353" s="115">
        <f t="shared" si="257"/>
        <v>0</v>
      </c>
      <c r="FP353" s="115">
        <f t="shared" si="257"/>
        <v>-24</v>
      </c>
      <c r="FQ353" s="149">
        <f t="shared" si="257"/>
        <v>-2.0482</v>
      </c>
      <c r="FR353" s="142">
        <f t="shared" si="256"/>
        <v>-2.5</v>
      </c>
      <c r="FS353" s="119">
        <f t="shared" si="256"/>
        <v>0</v>
      </c>
      <c r="FT353" s="121">
        <f t="shared" si="256"/>
        <v>0</v>
      </c>
      <c r="FU353" s="121">
        <f t="shared" si="293"/>
        <v>-1</v>
      </c>
      <c r="FV353" s="121">
        <f t="shared" si="293"/>
        <v>0</v>
      </c>
      <c r="FW353" s="121">
        <f t="shared" si="294"/>
        <v>1244.0566951845151</v>
      </c>
      <c r="FX353" s="121">
        <f t="shared" si="295"/>
        <v>12</v>
      </c>
      <c r="FY353" s="144">
        <f t="shared" si="295"/>
        <v>-2.02282815472416E-2</v>
      </c>
      <c r="FZ353" s="145" t="s">
        <v>199</v>
      </c>
      <c r="GA353" s="151" t="s">
        <v>415</v>
      </c>
      <c r="GB353" s="145"/>
      <c r="GC353" s="151"/>
      <c r="GD353" s="997" t="s">
        <v>220</v>
      </c>
      <c r="GE353" s="1004"/>
      <c r="GF353" s="1004">
        <v>0</v>
      </c>
      <c r="GG353" s="1004" t="s">
        <v>199</v>
      </c>
      <c r="GH353" s="1004">
        <v>2.5665199999999997</v>
      </c>
      <c r="GI353" s="145"/>
      <c r="GJ353" s="996">
        <v>0</v>
      </c>
      <c r="GK353" s="145"/>
      <c r="GL353" s="996">
        <v>0</v>
      </c>
      <c r="GM353" s="1005"/>
      <c r="GN353" s="996">
        <v>0</v>
      </c>
      <c r="GO353" s="1006"/>
      <c r="GP353" s="996">
        <v>0</v>
      </c>
      <c r="GQ353" s="1006"/>
      <c r="GR353" s="996">
        <v>-0.58519999999999994</v>
      </c>
      <c r="GS353" s="1006"/>
      <c r="GT353" s="996">
        <v>0</v>
      </c>
      <c r="GU353" s="1006"/>
      <c r="GV353" s="996">
        <v>0</v>
      </c>
      <c r="GW353" s="1006"/>
      <c r="GX353" s="1036">
        <v>-0.75240000000000018</v>
      </c>
      <c r="GY353" s="1006"/>
      <c r="GZ353" s="996">
        <v>0</v>
      </c>
      <c r="HA353" s="1006"/>
      <c r="HB353" s="996">
        <v>0</v>
      </c>
      <c r="HC353" s="1006"/>
      <c r="HD353" s="996">
        <v>0</v>
      </c>
      <c r="HE353" s="1006"/>
      <c r="HF353" s="996">
        <v>0</v>
      </c>
      <c r="HG353" s="1006"/>
      <c r="HH353" s="996">
        <v>0</v>
      </c>
      <c r="HI353" s="1006"/>
      <c r="HJ353" s="996">
        <v>-0.24578399999999956</v>
      </c>
      <c r="HK353" s="1006"/>
      <c r="HL353" s="996">
        <v>0</v>
      </c>
      <c r="HM353" s="1006"/>
      <c r="HN353" s="996">
        <v>0</v>
      </c>
      <c r="HO353" s="1006"/>
      <c r="HP353" s="996">
        <v>-0.79470159999999979</v>
      </c>
      <c r="HQ353" s="1006" t="s">
        <v>223</v>
      </c>
      <c r="HR353" s="996">
        <v>-1.6497624000000002</v>
      </c>
      <c r="HS353" s="1006"/>
      <c r="HT353" s="996">
        <v>0</v>
      </c>
      <c r="HU353" s="1006" t="s">
        <v>221</v>
      </c>
      <c r="HV353" s="996">
        <v>1.7706479999999996</v>
      </c>
      <c r="HW353" s="1006" t="s">
        <v>199</v>
      </c>
      <c r="HX353" s="996">
        <v>2.2572000000000001</v>
      </c>
      <c r="HY353" s="1006" t="s">
        <v>199</v>
      </c>
      <c r="HZ353" s="996">
        <v>-3.5947999999999993</v>
      </c>
      <c r="IA353" s="1006"/>
      <c r="IB353" s="996">
        <v>0</v>
      </c>
      <c r="IC353" s="1006"/>
      <c r="ID353" s="996">
        <v>0.42092599999999969</v>
      </c>
      <c r="IE353" s="1006" t="s">
        <v>199</v>
      </c>
      <c r="IF353" s="996">
        <v>-3.5977259999999989</v>
      </c>
      <c r="IG353" s="1006" t="s">
        <v>223</v>
      </c>
      <c r="IH353" s="996">
        <v>-8.2346000000000021</v>
      </c>
      <c r="II353" s="1006" t="s">
        <v>223</v>
      </c>
      <c r="IJ353" s="996">
        <v>-13.388264788799997</v>
      </c>
      <c r="IK353" s="1006"/>
      <c r="IL353" s="996">
        <v>0</v>
      </c>
      <c r="IM353" s="1006"/>
      <c r="IN353" s="996">
        <v>0</v>
      </c>
      <c r="IO353" s="1006" t="s">
        <v>25</v>
      </c>
      <c r="IP353" s="996">
        <v>25.447564788799998</v>
      </c>
      <c r="IQ353" s="1006"/>
      <c r="IR353" s="996">
        <v>0</v>
      </c>
      <c r="IS353" s="1006"/>
      <c r="IT353" s="996">
        <v>0</v>
      </c>
      <c r="IU353" s="1006"/>
      <c r="IV353" s="996">
        <v>0</v>
      </c>
      <c r="IW353" s="1006"/>
      <c r="IX353" s="996">
        <v>0</v>
      </c>
      <c r="IY353" s="1006"/>
      <c r="IZ353" s="996">
        <v>-0.91541999999999923</v>
      </c>
      <c r="JA353" s="1006"/>
      <c r="JB353" s="996">
        <v>0.82763999999999971</v>
      </c>
      <c r="JC353" s="1006" t="s">
        <v>199</v>
      </c>
      <c r="JD353" s="996">
        <v>2.5631759999999995</v>
      </c>
      <c r="JE353" s="1006"/>
      <c r="JF353" s="996">
        <v>0</v>
      </c>
      <c r="JG353" s="1006"/>
      <c r="JH353" s="996">
        <v>0</v>
      </c>
      <c r="JI353" s="1006"/>
      <c r="JJ353" s="996">
        <v>0</v>
      </c>
      <c r="JK353" s="1007"/>
      <c r="JL353" s="1007">
        <v>0</v>
      </c>
      <c r="JM353" s="1007"/>
      <c r="JN353" s="1007">
        <v>-0.78249599999999919</v>
      </c>
      <c r="JO353" s="1008"/>
      <c r="JP353" s="1007">
        <v>0</v>
      </c>
      <c r="JQ353" s="1008" t="s">
        <v>203</v>
      </c>
      <c r="JR353" s="1007">
        <v>-4.1800000000000006</v>
      </c>
      <c r="JS353" s="1008" t="s">
        <v>199</v>
      </c>
      <c r="JT353" s="1007">
        <v>4.8488000000000007</v>
      </c>
      <c r="JU353" s="1008" t="s">
        <v>644</v>
      </c>
      <c r="JV353" s="1007">
        <v>-7.2168619599999992</v>
      </c>
      <c r="JW353" s="1008" t="s">
        <v>197</v>
      </c>
      <c r="JX353" s="1007">
        <v>0</v>
      </c>
      <c r="JY353" s="1008" t="s">
        <v>25</v>
      </c>
      <c r="JZ353" s="1007">
        <v>8.4290619599999985</v>
      </c>
      <c r="KA353" s="1008"/>
      <c r="KB353" s="1007">
        <v>0</v>
      </c>
      <c r="KC353" s="1008" t="s">
        <v>206</v>
      </c>
      <c r="KD353" s="1007">
        <v>-11.244199999999999</v>
      </c>
      <c r="KE353" s="1008"/>
      <c r="KF353" s="1007">
        <v>0</v>
      </c>
      <c r="KG353" s="1008"/>
      <c r="KH353" s="1007">
        <v>0</v>
      </c>
      <c r="KI353" s="1008"/>
      <c r="KJ353" s="1007">
        <v>0</v>
      </c>
      <c r="KK353" s="1008"/>
      <c r="KL353" s="1007">
        <v>0</v>
      </c>
      <c r="KM353" s="1008"/>
      <c r="KN353" s="1007">
        <v>0</v>
      </c>
      <c r="KO353" s="1008"/>
      <c r="KP353" s="1007">
        <v>0</v>
      </c>
      <c r="KQ353" s="1008">
        <v>0</v>
      </c>
      <c r="KR353" s="1007">
        <v>0</v>
      </c>
      <c r="KS353" s="1008">
        <v>0</v>
      </c>
      <c r="KT353" s="1007">
        <v>0.8360000000000003</v>
      </c>
      <c r="KU353" s="1008" t="s">
        <v>206</v>
      </c>
      <c r="KV353" s="1007">
        <v>-0.8360000000000003</v>
      </c>
      <c r="KW353" s="1008">
        <v>0</v>
      </c>
      <c r="KX353" s="1007">
        <v>0</v>
      </c>
      <c r="KY353" s="1008">
        <v>0</v>
      </c>
      <c r="KZ353" s="1007">
        <v>0</v>
      </c>
      <c r="LA353" s="1008">
        <v>0</v>
      </c>
      <c r="LB353" s="1007">
        <v>0</v>
      </c>
      <c r="LC353" s="1008" t="s">
        <v>204</v>
      </c>
      <c r="LD353" s="1007">
        <v>5.2667999999999999</v>
      </c>
      <c r="LE353" s="1008" t="s">
        <v>206</v>
      </c>
      <c r="LF353" s="1007">
        <v>0.79587200000000013</v>
      </c>
      <c r="LG353" s="1008" t="s">
        <v>199</v>
      </c>
      <c r="LH353" s="1007">
        <v>-3.8784960000000002</v>
      </c>
      <c r="LI353" s="1008" t="s">
        <v>204</v>
      </c>
      <c r="LJ353" s="1007">
        <v>1.4392576000000012</v>
      </c>
      <c r="LK353" s="1008">
        <v>0</v>
      </c>
      <c r="LL353" s="1007">
        <v>-0.66881199999999996</v>
      </c>
      <c r="LM353" s="1008">
        <v>0</v>
      </c>
      <c r="LN353" s="1007">
        <v>0</v>
      </c>
      <c r="LO353" s="1008">
        <v>0</v>
      </c>
      <c r="LP353" s="1007">
        <v>0</v>
      </c>
      <c r="LQ353" s="1008" t="s">
        <v>204</v>
      </c>
      <c r="LR353" s="1007">
        <v>0.99116159999999998</v>
      </c>
      <c r="LS353" s="1008">
        <v>0</v>
      </c>
      <c r="LT353" s="1007">
        <v>0</v>
      </c>
      <c r="LU353" s="1008">
        <v>0</v>
      </c>
      <c r="LV353" s="1007">
        <v>4.9558799999999996</v>
      </c>
      <c r="LW353" s="1008">
        <v>0</v>
      </c>
      <c r="LX353" s="1007">
        <v>0.38824959999999997</v>
      </c>
      <c r="LY353" s="1009" t="s">
        <v>206</v>
      </c>
      <c r="LZ353" s="1010">
        <v>-1.9575441599999999</v>
      </c>
      <c r="MA353" s="1011">
        <v>0</v>
      </c>
      <c r="MB353" s="1012">
        <v>0.3338721</v>
      </c>
      <c r="MC353" s="995"/>
      <c r="MD353" s="996"/>
      <c r="ME353" s="997" t="s">
        <v>220</v>
      </c>
      <c r="MF353" s="997"/>
      <c r="MG353" s="998"/>
      <c r="NR353" s="1000"/>
      <c r="NS353" s="1000"/>
      <c r="NT353" s="1001"/>
      <c r="NU353" s="1000"/>
      <c r="NV353" s="1001"/>
      <c r="NX353" s="1002"/>
      <c r="NZ353" s="1001"/>
      <c r="OA353" s="1001"/>
      <c r="OC353" s="1003"/>
      <c r="OD353" s="1003"/>
      <c r="OE353" s="1001"/>
      <c r="OF353" s="1003"/>
      <c r="OG353" s="1003"/>
      <c r="QX353" s="1000">
        <f>CN353-CA353</f>
        <v>36</v>
      </c>
      <c r="ASU353" s="999" t="s">
        <v>208</v>
      </c>
    </row>
    <row r="354" spans="1:466 1191:1191" ht="21" customHeight="1" x14ac:dyDescent="0.25">
      <c r="A354" s="982">
        <f t="shared" si="274"/>
        <v>1379</v>
      </c>
      <c r="B354" s="124">
        <f>SUBTOTAL(103,$J$29:J354)</f>
        <v>326</v>
      </c>
      <c r="C354" s="126">
        <v>45096</v>
      </c>
      <c r="D354" s="124" t="s">
        <v>176</v>
      </c>
      <c r="E354" s="127" t="s">
        <v>177</v>
      </c>
      <c r="F354" s="128" t="s">
        <v>177</v>
      </c>
      <c r="G354" s="127" t="s">
        <v>178</v>
      </c>
      <c r="H354" s="127" t="s">
        <v>226</v>
      </c>
      <c r="I354" s="127" t="s">
        <v>285</v>
      </c>
      <c r="J354" s="152">
        <v>1379</v>
      </c>
      <c r="K354" s="127" t="s">
        <v>1444</v>
      </c>
      <c r="L354" s="130">
        <v>42089</v>
      </c>
      <c r="M354" s="127" t="s">
        <v>230</v>
      </c>
      <c r="N354" s="127" t="s">
        <v>245</v>
      </c>
      <c r="O354" s="127" t="s">
        <v>185</v>
      </c>
      <c r="P354" s="127" t="s">
        <v>208</v>
      </c>
      <c r="Q354" s="85" t="str">
        <f t="shared" si="275"/>
        <v/>
      </c>
      <c r="R354" s="130"/>
      <c r="S354" s="128"/>
      <c r="T354" s="131"/>
      <c r="U354" s="132">
        <v>203</v>
      </c>
      <c r="V354" s="121">
        <v>218.2</v>
      </c>
      <c r="W354" s="116">
        <v>0.98</v>
      </c>
      <c r="X354" s="116">
        <v>1.66</v>
      </c>
      <c r="Y354" s="116">
        <f t="shared" si="239"/>
        <v>0.98004014622285718</v>
      </c>
      <c r="Z354" s="133">
        <v>1.454</v>
      </c>
      <c r="AA354" s="133">
        <v>0.83599999999999997</v>
      </c>
      <c r="AB354" s="133">
        <v>0.72</v>
      </c>
      <c r="AC354" s="121">
        <v>34.299999999999997</v>
      </c>
      <c r="AD354" s="134">
        <v>1.17</v>
      </c>
      <c r="AE354" s="124">
        <v>177.8</v>
      </c>
      <c r="AF354" s="128">
        <v>9.19</v>
      </c>
      <c r="AG354" s="128">
        <v>2271</v>
      </c>
      <c r="AH354" s="127">
        <v>2800</v>
      </c>
      <c r="AI354" s="127">
        <v>2800</v>
      </c>
      <c r="AJ354" s="135"/>
      <c r="AK354" s="128"/>
      <c r="AL354" s="131"/>
      <c r="AM354" s="124" t="s">
        <v>232</v>
      </c>
      <c r="AN354" s="136" t="s">
        <v>1446</v>
      </c>
      <c r="AO354" s="137">
        <v>78.64</v>
      </c>
      <c r="AP354" s="128">
        <v>2271</v>
      </c>
      <c r="AQ354" s="128">
        <v>378</v>
      </c>
      <c r="AR354" s="128"/>
      <c r="AS354" s="128"/>
      <c r="AT354" s="122"/>
      <c r="AU354" s="124" t="s">
        <v>189</v>
      </c>
      <c r="AV354" s="115">
        <f>VLOOKUP(J354,'[63]ТР нефть'!$J$28:$BP$638,39,0)</f>
        <v>600.15120000000002</v>
      </c>
      <c r="AW354" s="115" t="str">
        <f>VLOOKUP(J354,'[63]ТР нефть'!$J$28:$BP$638,40,0)</f>
        <v>ГК 85 1/8</v>
      </c>
      <c r="AX354" s="115">
        <f>VLOOKUP(J354,'[63]ТР нефть'!$J$28:$BP$638,41,0)</f>
        <v>1129.8936000000001</v>
      </c>
      <c r="AY354" s="115" t="str">
        <f>VLOOKUP(J354,'[63]ТР нефть'!$J$28:$BP$638,42,0)</f>
        <v>ГК 87 1/8</v>
      </c>
      <c r="AZ354" s="115">
        <f>VLOOKUP(J354,'[63]ТР нефть'!$J$28:$BP$638,43,0)</f>
        <v>1570.0247999999999</v>
      </c>
      <c r="BA354" s="115" t="str">
        <f>VLOOKUP(J354,'[63]ТР нефть'!$J$28:$BP$638,44,0)</f>
        <v>ГК 88 5/32</v>
      </c>
      <c r="BB354" s="115">
        <f>VLOOKUP(J354,'[63]ТР нефть'!$J$28:$BP$638,45,0)</f>
        <v>1929.9936</v>
      </c>
      <c r="BC354" s="115" t="str">
        <f>VLOOKUP(J354,'[63]ТР нефть'!$J$28:$BP$638,46,0)</f>
        <v>ЦКсОК 5/16</v>
      </c>
      <c r="BD354" s="115" t="str">
        <f>VLOOKUP(J354,'[63]ТР нефть'!$J$28:$BP$638,47,0)</f>
        <v>-</v>
      </c>
      <c r="BE354" s="115" t="str">
        <f>VLOOKUP(J354,'[63]ТР нефть'!$J$28:$BP$638,48,0)</f>
        <v>-</v>
      </c>
      <c r="BF354" s="115" t="str">
        <f>VLOOKUP(J354,'[63]ТР нефть'!$J$28:$BP$638,49,0)</f>
        <v>-</v>
      </c>
      <c r="BG354" s="115" t="str">
        <f>VLOOKUP(J354,'[63]ТР нефть'!$J$28:$BP$638,50,0)</f>
        <v>-</v>
      </c>
      <c r="BH354" s="115">
        <f>VLOOKUP(J354,'[63]ТР нефть'!$J$28:$BP$638,51,0)</f>
        <v>1940</v>
      </c>
      <c r="BI354" s="115" t="str">
        <f>VLOOKUP(J354,'[63]ТР нефть'!$J$28:$BP$638,52,0)</f>
        <v>закрыт</v>
      </c>
      <c r="BJ354" s="115" t="str">
        <f>IF(IFERROR(VLOOKUP(J354,'[63]ТР нефть'!$J$28:$BP$638,53,0),"-")=0,"-",IFERROR(VLOOKUP(J354,'[63]ТР нефть'!$J$28:$BP$638,53,0),"-"))</f>
        <v>-</v>
      </c>
      <c r="BK354" s="138" t="str">
        <f>IF(IFERROR(VLOOKUP(J354,'[63]ТР нефть'!$J$28:$BP$638,54,0),"-")=0,"-",IFERROR(VLOOKUP(J354,'[63]ТР нефть'!$J$28:$BP$638,54,0),"-"))</f>
        <v>-</v>
      </c>
      <c r="BL354" s="138" t="str">
        <f>IF(IFERROR(VLOOKUP(J354,'[63]ТР нефть'!$J$28:$BP$638,55,0),"-")=0,"-",IFERROR(VLOOKUP(J354,'[63]ТР нефть'!$J$28:$BP$638,55,0),"-"))</f>
        <v>-</v>
      </c>
      <c r="BM354" s="138" t="str">
        <f>IF(IFERROR(VLOOKUP(J354,'[63]ТР нефть'!$J$28:$BP$638,56,0),"-")=0,"-",IFERROR(VLOOKUP(J354,'[63]ТР нефть'!$J$28:$BP$638,56,0),"-"))</f>
        <v>-</v>
      </c>
      <c r="BN354" s="138" t="str">
        <f>IF(IFERROR(VLOOKUP(J354,'[63]ТР нефть'!$J$28:$BP$638,57,0),"-")=0,"-",IFERROR(VLOOKUP(J354,'[63]ТР нефть'!$J$28:$BP$638,57,0),"-"))</f>
        <v>-</v>
      </c>
      <c r="BO354" s="115" t="str">
        <f>IF(IFERROR(VLOOKUP(J354,'[63]ТР нефть'!$J$28:$BP$638,58,0),"-")=0,"-",IFERROR(VLOOKUP(J354,'[63]ТР нефть'!$J$28:$BP$638,58,0),"-"))</f>
        <v>-</v>
      </c>
      <c r="BP354" s="115" t="str">
        <f>IF(IFERROR(VLOOKUP(J354,'[63]ТР нефть'!$J$28:$BP$638,59,0),"-")=0,"-",IFERROR(VLOOKUP(J354,'[63]ТР нефть'!$J$28:$BP$638,59,0),"-"))</f>
        <v>-</v>
      </c>
      <c r="BQ354" s="138">
        <v>2300</v>
      </c>
      <c r="BR354" s="128">
        <v>1895.96</v>
      </c>
      <c r="BS354" s="115">
        <f t="shared" si="258"/>
        <v>404.03999999999996</v>
      </c>
      <c r="BT354" s="128">
        <v>73</v>
      </c>
      <c r="BU354" s="128">
        <v>5.5</v>
      </c>
      <c r="BV354" s="127">
        <v>18</v>
      </c>
      <c r="BW354" s="127" t="s">
        <v>234</v>
      </c>
      <c r="BX354" s="127" t="s">
        <v>195</v>
      </c>
      <c r="BY354" s="139">
        <v>24</v>
      </c>
      <c r="BZ354" s="139">
        <v>0</v>
      </c>
      <c r="CA354" s="138">
        <v>18</v>
      </c>
      <c r="CB354" s="138">
        <v>41</v>
      </c>
      <c r="CC354" s="138">
        <v>17</v>
      </c>
      <c r="CD354" s="135">
        <v>45017</v>
      </c>
      <c r="CE354" s="138">
        <v>94</v>
      </c>
      <c r="CF354" s="138">
        <v>75</v>
      </c>
      <c r="CG354" s="138" t="str">
        <f t="shared" si="265"/>
        <v>В работе</v>
      </c>
      <c r="CH354" s="138" t="s">
        <v>196</v>
      </c>
      <c r="CI354" s="138">
        <v>6</v>
      </c>
      <c r="CJ354" s="139"/>
      <c r="CK354" s="138"/>
      <c r="CL354" s="99"/>
      <c r="CM354" s="99"/>
      <c r="CN354" s="140">
        <v>40</v>
      </c>
      <c r="CO354" s="141">
        <f t="shared" si="276"/>
        <v>6.7709228399999999</v>
      </c>
      <c r="CP354" s="142">
        <v>8.1</v>
      </c>
      <c r="CQ354" s="143">
        <v>0.01</v>
      </c>
      <c r="CR354" s="138">
        <v>27</v>
      </c>
      <c r="CS354" s="139">
        <v>9.6</v>
      </c>
      <c r="CT354" s="138"/>
      <c r="CU354" s="138">
        <f t="shared" si="277"/>
        <v>17.399999999999999</v>
      </c>
      <c r="CV354" s="115">
        <f t="shared" si="278"/>
        <v>2569.8121823523838</v>
      </c>
      <c r="CW354" s="115">
        <f t="shared" si="279"/>
        <v>1417.6310256772229</v>
      </c>
      <c r="CX354" s="133">
        <f t="shared" si="280"/>
        <v>0.15</v>
      </c>
      <c r="CY354" s="116"/>
      <c r="CZ354" s="131"/>
      <c r="DA354" s="145" t="str">
        <f t="shared" si="281"/>
        <v>Газлифт</v>
      </c>
      <c r="DB354" s="146">
        <f t="shared" si="282"/>
        <v>6.7709228399999999</v>
      </c>
      <c r="DC354" s="142">
        <f t="shared" si="234"/>
        <v>8.1</v>
      </c>
      <c r="DD354" s="119">
        <f t="shared" si="250"/>
        <v>0.01</v>
      </c>
      <c r="DE354" s="115">
        <f t="shared" si="283"/>
        <v>17.399999999999999</v>
      </c>
      <c r="DF354" s="121">
        <f t="shared" si="284"/>
        <v>9.6</v>
      </c>
      <c r="DG354" s="115">
        <f t="shared" si="285"/>
        <v>2569.8121823523838</v>
      </c>
      <c r="DH354" s="115">
        <f t="shared" si="286"/>
        <v>40</v>
      </c>
      <c r="DI354" s="147"/>
      <c r="DJ354" s="111">
        <v>43477</v>
      </c>
      <c r="DK354" s="112">
        <v>43534</v>
      </c>
      <c r="DL354" s="113">
        <f t="shared" ca="1" si="266"/>
        <v>1570</v>
      </c>
      <c r="DM354" s="114"/>
      <c r="DN354" s="114"/>
      <c r="DO354" s="114"/>
      <c r="DP354" s="114"/>
      <c r="DQ354" s="112">
        <v>43518.958333333336</v>
      </c>
      <c r="DR354" s="114" t="s">
        <v>282</v>
      </c>
      <c r="DS354" s="114"/>
      <c r="DT354" s="115">
        <v>44</v>
      </c>
      <c r="DU354" s="116">
        <f t="shared" si="267"/>
        <v>0.16200000000000001</v>
      </c>
      <c r="DV354" s="117">
        <f t="shared" si="268"/>
        <v>6.7709228399999999</v>
      </c>
      <c r="DW354" s="118">
        <f t="shared" si="269"/>
        <v>8.1</v>
      </c>
      <c r="DX354" s="119">
        <f t="shared" si="287"/>
        <v>0.01</v>
      </c>
      <c r="DY354" s="115">
        <f t="shared" si="270"/>
        <v>17.399999999999999</v>
      </c>
      <c r="DZ354" s="117">
        <f t="shared" si="271"/>
        <v>0</v>
      </c>
      <c r="EA354" s="120">
        <f t="shared" si="271"/>
        <v>0</v>
      </c>
      <c r="EB354" s="119">
        <f t="shared" si="264"/>
        <v>0</v>
      </c>
      <c r="EC354" s="121">
        <f t="shared" si="272"/>
        <v>0</v>
      </c>
      <c r="ED354" s="122"/>
      <c r="EE354" s="145">
        <v>18</v>
      </c>
      <c r="EF354" s="115">
        <v>19</v>
      </c>
      <c r="EG354" s="115">
        <v>41</v>
      </c>
      <c r="EH354" s="115">
        <v>18</v>
      </c>
      <c r="EI354" s="128" t="s">
        <v>195</v>
      </c>
      <c r="EJ354" s="121">
        <v>24</v>
      </c>
      <c r="EK354" s="121">
        <v>0</v>
      </c>
      <c r="EL354" s="149">
        <v>7.5232476000000004</v>
      </c>
      <c r="EM354" s="142">
        <v>9</v>
      </c>
      <c r="EN354" s="119">
        <v>0.01</v>
      </c>
      <c r="EO354" s="115">
        <v>28</v>
      </c>
      <c r="EP354" s="115">
        <v>1727.9771570990165</v>
      </c>
      <c r="EQ354" s="115">
        <v>77</v>
      </c>
      <c r="ER354" s="115">
        <v>15</v>
      </c>
      <c r="ES354" s="115">
        <v>43</v>
      </c>
      <c r="ET354" s="150">
        <v>0.17647058823529413</v>
      </c>
      <c r="EU354" s="145">
        <f t="shared" si="288"/>
        <v>18</v>
      </c>
      <c r="EV354" s="115">
        <f t="shared" si="289"/>
        <v>18</v>
      </c>
      <c r="EW354" s="115">
        <f t="shared" si="289"/>
        <v>41</v>
      </c>
      <c r="EX354" s="115">
        <f t="shared" si="289"/>
        <v>17</v>
      </c>
      <c r="EY354" s="115" t="str">
        <f t="shared" si="253"/>
        <v>Постоянный</v>
      </c>
      <c r="EZ354" s="115">
        <f t="shared" si="253"/>
        <v>24</v>
      </c>
      <c r="FA354" s="115">
        <f t="shared" si="253"/>
        <v>0</v>
      </c>
      <c r="FB354" s="149">
        <f t="shared" si="238"/>
        <v>6.7709228399999999</v>
      </c>
      <c r="FC354" s="142">
        <f t="shared" si="238"/>
        <v>8.1</v>
      </c>
      <c r="FD354" s="119">
        <f t="shared" si="238"/>
        <v>0.01</v>
      </c>
      <c r="FE354" s="121">
        <f t="shared" si="238"/>
        <v>27</v>
      </c>
      <c r="FF354" s="121">
        <f t="shared" si="247"/>
        <v>2569.8121823523838</v>
      </c>
      <c r="FG354" s="121">
        <f t="shared" si="290"/>
        <v>75</v>
      </c>
      <c r="FH354" s="121">
        <f t="shared" si="248"/>
        <v>9.6</v>
      </c>
      <c r="FI354" s="121">
        <f t="shared" si="252"/>
        <v>40</v>
      </c>
      <c r="FJ354" s="144">
        <f t="shared" si="291"/>
        <v>0.15</v>
      </c>
      <c r="FK354" s="132">
        <f t="shared" si="292"/>
        <v>0</v>
      </c>
      <c r="FL354" s="115">
        <f t="shared" si="292"/>
        <v>-1</v>
      </c>
      <c r="FM354" s="115">
        <f t="shared" si="292"/>
        <v>0</v>
      </c>
      <c r="FN354" s="115">
        <f t="shared" si="273"/>
        <v>-1</v>
      </c>
      <c r="FO354" s="115">
        <f t="shared" si="257"/>
        <v>0</v>
      </c>
      <c r="FP354" s="115">
        <f t="shared" si="257"/>
        <v>0</v>
      </c>
      <c r="FQ354" s="149">
        <f t="shared" si="257"/>
        <v>-0.75232476000000048</v>
      </c>
      <c r="FR354" s="117">
        <f t="shared" si="256"/>
        <v>-0.90000000000000036</v>
      </c>
      <c r="FS354" s="207">
        <f t="shared" si="256"/>
        <v>0</v>
      </c>
      <c r="FT354" s="121">
        <f t="shared" si="256"/>
        <v>-1</v>
      </c>
      <c r="FU354" s="121">
        <f t="shared" si="293"/>
        <v>-2</v>
      </c>
      <c r="FV354" s="121">
        <f t="shared" si="293"/>
        <v>-5.4</v>
      </c>
      <c r="FW354" s="121">
        <f t="shared" si="294"/>
        <v>841.83502525336735</v>
      </c>
      <c r="FX354" s="121">
        <f t="shared" si="295"/>
        <v>-3</v>
      </c>
      <c r="FY354" s="144">
        <f t="shared" si="295"/>
        <v>-2.6470588235294135E-2</v>
      </c>
      <c r="FZ354" s="145"/>
      <c r="GA354" s="163" t="s">
        <v>1447</v>
      </c>
      <c r="GB354" s="145"/>
      <c r="GC354" s="151" t="s">
        <v>237</v>
      </c>
      <c r="GD354" s="997" t="s">
        <v>238</v>
      </c>
      <c r="GE354" s="1004"/>
      <c r="GF354" s="1004">
        <v>-0.28421157599999969</v>
      </c>
      <c r="GG354" s="1004"/>
      <c r="GH354" s="1004">
        <v>0</v>
      </c>
      <c r="GI354" s="145"/>
      <c r="GJ354" s="996">
        <v>0</v>
      </c>
      <c r="GK354" s="145"/>
      <c r="GL354" s="996">
        <v>-0.25913408399999938</v>
      </c>
      <c r="GM354" s="1005"/>
      <c r="GN354" s="996">
        <v>-4.179581999999904E-2</v>
      </c>
      <c r="GO354" s="1006"/>
      <c r="GP354" s="996">
        <v>0</v>
      </c>
      <c r="GQ354" s="1006"/>
      <c r="GR354" s="996">
        <v>-2.1733826400001988E-2</v>
      </c>
      <c r="GS354" s="1006"/>
      <c r="GT354" s="996">
        <v>0</v>
      </c>
      <c r="GU354" s="1006"/>
      <c r="GV354" s="996">
        <v>-0.89867709359999992</v>
      </c>
      <c r="GW354" s="1006"/>
      <c r="GX354" s="1049">
        <v>-0.90287999999999791</v>
      </c>
      <c r="GY354" s="1006"/>
      <c r="GZ354" s="996">
        <v>0</v>
      </c>
      <c r="HA354" s="1006"/>
      <c r="HB354" s="996">
        <v>0</v>
      </c>
      <c r="HC354" s="1006" t="s">
        <v>363</v>
      </c>
      <c r="HD354" s="996">
        <v>2.5865839999999993</v>
      </c>
      <c r="HE354" s="1006"/>
      <c r="HF354" s="996">
        <v>0</v>
      </c>
      <c r="HG354" s="1006"/>
      <c r="HH354" s="996">
        <v>0</v>
      </c>
      <c r="HI354" s="1006"/>
      <c r="HJ354" s="996">
        <v>0</v>
      </c>
      <c r="HK354" s="1006" t="s">
        <v>223</v>
      </c>
      <c r="HL354" s="996">
        <v>-1.5633200000000018</v>
      </c>
      <c r="HM354" s="1006" t="s">
        <v>204</v>
      </c>
      <c r="HN354" s="996">
        <v>1.3987116000000004</v>
      </c>
      <c r="HO354" s="1006"/>
      <c r="HP354" s="996">
        <v>0</v>
      </c>
      <c r="HQ354" s="1006" t="s">
        <v>204</v>
      </c>
      <c r="HR354" s="996">
        <v>-2.2902956000000003</v>
      </c>
      <c r="HS354" s="1006"/>
      <c r="HT354" s="996">
        <v>0</v>
      </c>
      <c r="HU354" s="1006"/>
      <c r="HV354" s="996">
        <v>0</v>
      </c>
      <c r="HW354" s="1006" t="s">
        <v>223</v>
      </c>
      <c r="HX354" s="996">
        <v>-4.0051756800000042</v>
      </c>
      <c r="HY354" s="1006"/>
      <c r="HZ354" s="996">
        <v>0</v>
      </c>
      <c r="IA354" s="1006" t="s">
        <v>204</v>
      </c>
      <c r="IB354" s="996">
        <v>4.0051756800000042</v>
      </c>
      <c r="IC354" s="1006"/>
      <c r="ID354" s="996">
        <v>-0.66752928000000011</v>
      </c>
      <c r="IE354" s="1006"/>
      <c r="IF354" s="996">
        <v>0</v>
      </c>
      <c r="IG354" s="1006" t="s">
        <v>204</v>
      </c>
      <c r="IH354" s="996">
        <v>1.6688231999999985</v>
      </c>
      <c r="II354" s="1006"/>
      <c r="IJ354" s="996">
        <v>0</v>
      </c>
      <c r="IK354" s="1006" t="s">
        <v>223</v>
      </c>
      <c r="IL354" s="996">
        <v>-3.7381639680000021</v>
      </c>
      <c r="IM354" s="1006"/>
      <c r="IN354" s="996">
        <v>0</v>
      </c>
      <c r="IO354" s="1006"/>
      <c r="IP354" s="996">
        <v>0</v>
      </c>
      <c r="IQ354" s="1006"/>
      <c r="IR354" s="996">
        <v>0</v>
      </c>
      <c r="IS354" s="1006"/>
      <c r="IT354" s="996">
        <v>0</v>
      </c>
      <c r="IU354" s="1006" t="s">
        <v>204</v>
      </c>
      <c r="IV354" s="996">
        <v>17.088749568000001</v>
      </c>
      <c r="IW354" s="1006"/>
      <c r="IX354" s="996">
        <v>0</v>
      </c>
      <c r="IY354" s="1006"/>
      <c r="IZ354" s="996">
        <v>0</v>
      </c>
      <c r="JA354" s="1006"/>
      <c r="JB354" s="996">
        <v>0</v>
      </c>
      <c r="JC354" s="1006" t="s">
        <v>199</v>
      </c>
      <c r="JD354" s="996">
        <v>-15.403238135999999</v>
      </c>
      <c r="JE354" s="1006"/>
      <c r="JF354" s="996">
        <v>0</v>
      </c>
      <c r="JG354" s="1006"/>
      <c r="JH354" s="996">
        <v>-0.1168176239999994</v>
      </c>
      <c r="JI354" s="1006"/>
      <c r="JJ354" s="996">
        <v>0</v>
      </c>
      <c r="JK354" s="1007"/>
      <c r="JL354" s="1007">
        <v>0</v>
      </c>
      <c r="JM354" s="1007" t="s">
        <v>199</v>
      </c>
      <c r="JN354" s="1007">
        <v>3.1707640799999997</v>
      </c>
      <c r="JO354" s="1008" t="s">
        <v>203</v>
      </c>
      <c r="JP354" s="1007">
        <v>-12.541206348000001</v>
      </c>
      <c r="JQ354" s="1008">
        <v>0</v>
      </c>
      <c r="JR354" s="1007">
        <v>0</v>
      </c>
      <c r="JS354" s="1008">
        <v>0</v>
      </c>
      <c r="JT354" s="1007">
        <v>0</v>
      </c>
      <c r="JU354" s="1008" t="s">
        <v>204</v>
      </c>
      <c r="JV354" s="1007">
        <v>9.9615444280000034</v>
      </c>
      <c r="JW354" s="1008" t="s">
        <v>197</v>
      </c>
      <c r="JX354" s="1007">
        <v>0</v>
      </c>
      <c r="JY354" s="1008"/>
      <c r="JZ354" s="1007">
        <v>0</v>
      </c>
      <c r="KA354" s="1008" t="s">
        <v>25</v>
      </c>
      <c r="KB354" s="1007">
        <v>7.4567588479999962</v>
      </c>
      <c r="KC354" s="1008"/>
      <c r="KD354" s="1007">
        <v>0</v>
      </c>
      <c r="KE354" s="1008"/>
      <c r="KF354" s="1007">
        <v>0</v>
      </c>
      <c r="KG354" s="1008"/>
      <c r="KH354" s="1007">
        <v>0</v>
      </c>
      <c r="KI354" s="1008"/>
      <c r="KJ354" s="1007">
        <v>0</v>
      </c>
      <c r="KK354" s="1008"/>
      <c r="KL354" s="1007">
        <v>6.1299382320000007</v>
      </c>
      <c r="KM354" s="1008"/>
      <c r="KN354" s="1007">
        <v>0</v>
      </c>
      <c r="KO354" s="1008"/>
      <c r="KP354" s="1007">
        <v>0</v>
      </c>
      <c r="KQ354" s="1008">
        <v>0</v>
      </c>
      <c r="KR354" s="1007">
        <v>0</v>
      </c>
      <c r="KS354" s="1008">
        <v>0</v>
      </c>
      <c r="KT354" s="1007">
        <v>0</v>
      </c>
      <c r="KU354" s="1008" t="s">
        <v>206</v>
      </c>
      <c r="KV354" s="1007">
        <v>1.3957605200000001</v>
      </c>
      <c r="KW354" s="1008">
        <v>0</v>
      </c>
      <c r="KX354" s="1007">
        <v>0</v>
      </c>
      <c r="KY354" s="1008">
        <v>0</v>
      </c>
      <c r="KZ354" s="1007">
        <v>0</v>
      </c>
      <c r="LA354" s="1008">
        <v>0</v>
      </c>
      <c r="LB354" s="1007">
        <v>0</v>
      </c>
      <c r="LC354" s="1008">
        <v>0</v>
      </c>
      <c r="LD354" s="1007">
        <v>0</v>
      </c>
      <c r="LE354" s="1008">
        <v>0</v>
      </c>
      <c r="LF354" s="1007">
        <v>0</v>
      </c>
      <c r="LG354" s="1008" t="s">
        <v>206</v>
      </c>
      <c r="LH354" s="1007">
        <v>-0.24631679999999001</v>
      </c>
      <c r="LI354" s="1008">
        <v>0</v>
      </c>
      <c r="LJ354" s="1007">
        <v>0</v>
      </c>
      <c r="LK354" s="1008">
        <v>0</v>
      </c>
      <c r="LL354" s="1007">
        <v>0</v>
      </c>
      <c r="LM354" s="1008">
        <v>0</v>
      </c>
      <c r="LN354" s="1007">
        <v>0</v>
      </c>
      <c r="LO354" s="1008">
        <v>0</v>
      </c>
      <c r="LP354" s="1007">
        <v>0.65682848000000005</v>
      </c>
      <c r="LQ354" s="1008">
        <v>0</v>
      </c>
      <c r="LR354" s="1007">
        <v>0.82135599999999998</v>
      </c>
      <c r="LS354" s="1008">
        <v>0</v>
      </c>
      <c r="LT354" s="1007">
        <v>0</v>
      </c>
      <c r="LU354" s="1008">
        <v>0</v>
      </c>
      <c r="LV354" s="1007">
        <v>0</v>
      </c>
      <c r="LW354" s="1008">
        <v>0</v>
      </c>
      <c r="LX354" s="1007">
        <v>0</v>
      </c>
      <c r="LY354" s="1009">
        <v>0</v>
      </c>
      <c r="LZ354" s="1010">
        <v>-0.47411300000000001</v>
      </c>
      <c r="MA354" s="1011">
        <v>0</v>
      </c>
      <c r="MB354" s="1012">
        <v>0</v>
      </c>
      <c r="MC354" s="995"/>
      <c r="MD354" s="996"/>
      <c r="ME354" s="997" t="s">
        <v>238</v>
      </c>
      <c r="MF354" s="997"/>
      <c r="MG354" s="998"/>
      <c r="NR354" s="1000"/>
      <c r="NS354" s="1000"/>
      <c r="NT354" s="1001"/>
      <c r="NU354" s="1000"/>
      <c r="NV354" s="1001"/>
      <c r="NX354" s="1002"/>
      <c r="NZ354" s="1001"/>
      <c r="OA354" s="1001"/>
      <c r="OC354" s="1003"/>
      <c r="OD354" s="1003"/>
      <c r="OE354" s="1001"/>
      <c r="OF354" s="1003"/>
      <c r="OG354" s="1003"/>
      <c r="OH354" s="1003"/>
      <c r="OI354" s="1016"/>
      <c r="QX354" s="1000">
        <f>CN354-CA354</f>
        <v>22</v>
      </c>
      <c r="ASU354" s="999" t="s">
        <v>208</v>
      </c>
    </row>
    <row r="355" spans="1:466 1191:1191" ht="21" customHeight="1" x14ac:dyDescent="0.25">
      <c r="A355" s="982">
        <f t="shared" si="274"/>
        <v>1383</v>
      </c>
      <c r="B355" s="124">
        <f>SUBTOTAL(103,$J$29:J355)</f>
        <v>327</v>
      </c>
      <c r="C355" s="126">
        <v>45068</v>
      </c>
      <c r="D355" s="124" t="s">
        <v>176</v>
      </c>
      <c r="E355" s="127" t="s">
        <v>177</v>
      </c>
      <c r="F355" s="128" t="s">
        <v>177</v>
      </c>
      <c r="G355" s="127" t="s">
        <v>178</v>
      </c>
      <c r="H355" s="127" t="s">
        <v>408</v>
      </c>
      <c r="I355" s="127" t="s">
        <v>632</v>
      </c>
      <c r="J355" s="152">
        <v>1383</v>
      </c>
      <c r="K355" s="127" t="s">
        <v>1448</v>
      </c>
      <c r="L355" s="130">
        <v>42203</v>
      </c>
      <c r="M355" s="127" t="s">
        <v>230</v>
      </c>
      <c r="N355" s="127" t="s">
        <v>231</v>
      </c>
      <c r="O355" s="127" t="s">
        <v>185</v>
      </c>
      <c r="P355" s="127" t="s">
        <v>186</v>
      </c>
      <c r="Q355" s="85" t="str">
        <f t="shared" si="275"/>
        <v/>
      </c>
      <c r="R355" s="130"/>
      <c r="S355" s="128"/>
      <c r="T355" s="131"/>
      <c r="U355" s="132">
        <v>203</v>
      </c>
      <c r="V355" s="121">
        <v>218.2</v>
      </c>
      <c r="W355" s="116">
        <v>0.98</v>
      </c>
      <c r="X355" s="116">
        <v>1.66</v>
      </c>
      <c r="Y355" s="116">
        <f t="shared" si="239"/>
        <v>0.98973036114085466</v>
      </c>
      <c r="Z355" s="133">
        <v>1.454</v>
      </c>
      <c r="AA355" s="133">
        <v>0.83599999999999997</v>
      </c>
      <c r="AB355" s="133">
        <v>0.72</v>
      </c>
      <c r="AC355" s="121">
        <v>34.299999999999997</v>
      </c>
      <c r="AD355" s="134">
        <v>1.17</v>
      </c>
      <c r="AE355" s="124">
        <v>177.8</v>
      </c>
      <c r="AF355" s="128">
        <v>9.19</v>
      </c>
      <c r="AG355" s="128">
        <v>2145</v>
      </c>
      <c r="AH355" s="127" t="s">
        <v>1449</v>
      </c>
      <c r="AI355" s="127" t="s">
        <v>1449</v>
      </c>
      <c r="AJ355" s="135"/>
      <c r="AK355" s="128"/>
      <c r="AL355" s="131"/>
      <c r="AM355" s="124" t="s">
        <v>232</v>
      </c>
      <c r="AN355" s="136" t="s">
        <v>1450</v>
      </c>
      <c r="AO355" s="137">
        <v>44.21</v>
      </c>
      <c r="AP355" s="128">
        <v>2145</v>
      </c>
      <c r="AQ355" s="128">
        <v>269.2</v>
      </c>
      <c r="AR355" s="128"/>
      <c r="AS355" s="128"/>
      <c r="AT355" s="122"/>
      <c r="AU355" s="124" t="s">
        <v>189</v>
      </c>
      <c r="AV355" s="115">
        <f>VLOOKUP(J355,'[63]ТР нефть'!$J$28:$BP$638,39,0)</f>
        <v>532.999987207</v>
      </c>
      <c r="AW355" s="115" t="str">
        <f>VLOOKUP(J355,'[63]ТР нефть'!$J$28:$BP$638,40,0)</f>
        <v>ГК77 1/8</v>
      </c>
      <c r="AX355" s="115">
        <f>VLOOKUP(J355,'[63]ТР нефть'!$J$28:$BP$638,41,0)</f>
        <v>1059.9999685549999</v>
      </c>
      <c r="AY355" s="115" t="str">
        <f>VLOOKUP(J355,'[63]ТР нефть'!$J$28:$BP$638,42,0)</f>
        <v>ГК78 1/8</v>
      </c>
      <c r="AZ355" s="115">
        <f>VLOOKUP(J355,'[63]ТР нефть'!$J$28:$BP$638,43,0)</f>
        <v>1592.0000167969999</v>
      </c>
      <c r="BA355" s="115" t="str">
        <f>VLOOKUP(J355,'[63]ТР нефть'!$J$28:$BP$638,44,0)</f>
        <v>ГК77 1/8</v>
      </c>
      <c r="BB355" s="115">
        <f>VLOOKUP(J355,'[63]ТР нефть'!$J$28:$BP$638,45,0)</f>
        <v>1949.999969531</v>
      </c>
      <c r="BC355" s="115" t="str">
        <f>VLOOKUP(J355,'[63]ТР нефть'!$J$28:$BP$638,46,0)</f>
        <v>ЦКсОК 5/16</v>
      </c>
      <c r="BD355" s="115" t="str">
        <f>VLOOKUP(J355,'[63]ТР нефть'!$J$28:$BP$638,47,0)</f>
        <v>-</v>
      </c>
      <c r="BE355" s="115" t="str">
        <f>VLOOKUP(J355,'[63]ТР нефть'!$J$28:$BP$638,48,0)</f>
        <v>-</v>
      </c>
      <c r="BF355" s="115" t="str">
        <f>VLOOKUP(J355,'[63]ТР нефть'!$J$28:$BP$638,49,0)</f>
        <v>-</v>
      </c>
      <c r="BG355" s="115" t="str">
        <f>VLOOKUP(J355,'[63]ТР нефть'!$J$28:$BP$638,50,0)</f>
        <v>-</v>
      </c>
      <c r="BH355" s="115" t="str">
        <f>VLOOKUP(J355,'[63]ТР нефть'!$J$28:$BP$638,51,0)</f>
        <v>-</v>
      </c>
      <c r="BI355" s="115" t="str">
        <f>VLOOKUP(J355,'[63]ТР нефть'!$J$28:$BP$638,52,0)</f>
        <v>-</v>
      </c>
      <c r="BJ355" s="115" t="str">
        <f>IF(IFERROR(VLOOKUP(J355,'[63]ТР нефть'!$J$28:$BP$638,53,0),"-")=0,"-",IFERROR(VLOOKUP(J355,'[63]ТР нефть'!$J$28:$BP$638,53,0),"-"))</f>
        <v>-</v>
      </c>
      <c r="BK355" s="138" t="str">
        <f>IF(IFERROR(VLOOKUP(J355,'[63]ТР нефть'!$J$28:$BP$638,54,0),"-")=0,"-",IFERROR(VLOOKUP(J355,'[63]ТР нефть'!$J$28:$BP$638,54,0),"-"))</f>
        <v>-</v>
      </c>
      <c r="BL355" s="138" t="str">
        <f>IF(IFERROR(VLOOKUP(J355,'[63]ТР нефть'!$J$28:$BP$638,55,0),"-")=0,"-",IFERROR(VLOOKUP(J355,'[63]ТР нефть'!$J$28:$BP$638,55,0),"-"))</f>
        <v>-</v>
      </c>
      <c r="BM355" s="138" t="str">
        <f>IF(IFERROR(VLOOKUP(J355,'[63]ТР нефть'!$J$28:$BP$638,56,0),"-")=0,"-",IFERROR(VLOOKUP(J355,'[63]ТР нефть'!$J$28:$BP$638,56,0),"-"))</f>
        <v>-</v>
      </c>
      <c r="BN355" s="138" t="str">
        <f>IF(IFERROR(VLOOKUP(J355,'[63]ТР нефть'!$J$28:$BP$638,57,0),"-")=0,"-",IFERROR(VLOOKUP(J355,'[63]ТР нефть'!$J$28:$BP$638,57,0),"-"))</f>
        <v>-</v>
      </c>
      <c r="BO355" s="115" t="str">
        <f>IF(IFERROR(VLOOKUP(J355,'[63]ТР нефть'!$J$28:$BP$638,58,0),"-")=0,"-",IFERROR(VLOOKUP(J355,'[63]ТР нефть'!$J$28:$BP$638,58,0),"-"))</f>
        <v>-</v>
      </c>
      <c r="BP355" s="115" t="str">
        <f>IF(IFERROR(VLOOKUP(J355,'[63]ТР нефть'!$J$28:$BP$638,59,0),"-")=0,"-",IFERROR(VLOOKUP(J355,'[63]ТР нефть'!$J$28:$BP$638,59,0),"-"))</f>
        <v>-</v>
      </c>
      <c r="BQ355" s="138">
        <v>2065</v>
      </c>
      <c r="BR355" s="128">
        <v>1875.5</v>
      </c>
      <c r="BS355" s="115">
        <f t="shared" si="258"/>
        <v>189.5</v>
      </c>
      <c r="BT355" s="128">
        <v>73</v>
      </c>
      <c r="BU355" s="128">
        <v>5.5</v>
      </c>
      <c r="BV355" s="127">
        <v>18</v>
      </c>
      <c r="BW355" s="127" t="s">
        <v>217</v>
      </c>
      <c r="BX355" s="127" t="s">
        <v>195</v>
      </c>
      <c r="BY355" s="139">
        <v>24</v>
      </c>
      <c r="BZ355" s="139">
        <v>0</v>
      </c>
      <c r="CA355" s="138">
        <v>21</v>
      </c>
      <c r="CB355" s="138">
        <v>46</v>
      </c>
      <c r="CC355" s="138">
        <v>21</v>
      </c>
      <c r="CD355" s="135">
        <v>45017</v>
      </c>
      <c r="CE355" s="138">
        <v>95</v>
      </c>
      <c r="CF355" s="138">
        <v>66</v>
      </c>
      <c r="CG355" s="138" t="str">
        <f t="shared" si="265"/>
        <v>В работе</v>
      </c>
      <c r="CH355" s="138" t="s">
        <v>196</v>
      </c>
      <c r="CI355" s="127">
        <v>6</v>
      </c>
      <c r="CJ355" s="138"/>
      <c r="CK355" s="138"/>
      <c r="CL355" s="99"/>
      <c r="CM355" s="99"/>
      <c r="CN355" s="140">
        <v>39</v>
      </c>
      <c r="CO355" s="159">
        <f t="shared" si="276"/>
        <v>9.791231999999999</v>
      </c>
      <c r="CP355" s="160">
        <v>12</v>
      </c>
      <c r="CQ355" s="161">
        <v>2.4</v>
      </c>
      <c r="CR355" s="138">
        <v>21</v>
      </c>
      <c r="CS355" s="139">
        <v>9.6</v>
      </c>
      <c r="CT355" s="138"/>
      <c r="CU355" s="138">
        <f t="shared" si="277"/>
        <v>11.4</v>
      </c>
      <c r="CV355" s="115">
        <f t="shared" si="278"/>
        <v>1164.3070044709391</v>
      </c>
      <c r="CW355" s="115">
        <f t="shared" si="279"/>
        <v>948.17287087781858</v>
      </c>
      <c r="CX355" s="133">
        <f t="shared" si="280"/>
        <v>0.21428571428571427</v>
      </c>
      <c r="CY355" s="116"/>
      <c r="CZ355" s="131"/>
      <c r="DA355" s="145" t="str">
        <f t="shared" si="281"/>
        <v>Газлифт</v>
      </c>
      <c r="DB355" s="146">
        <f t="shared" si="282"/>
        <v>9.791231999999999</v>
      </c>
      <c r="DC355" s="142">
        <f t="shared" si="234"/>
        <v>12</v>
      </c>
      <c r="DD355" s="119">
        <f t="shared" si="250"/>
        <v>2.4</v>
      </c>
      <c r="DE355" s="115">
        <f t="shared" si="283"/>
        <v>11.4</v>
      </c>
      <c r="DF355" s="121">
        <f t="shared" si="284"/>
        <v>9.6</v>
      </c>
      <c r="DG355" s="115">
        <f t="shared" si="285"/>
        <v>1164.3070044709391</v>
      </c>
      <c r="DH355" s="115">
        <f t="shared" si="286"/>
        <v>39</v>
      </c>
      <c r="DI355" s="147"/>
      <c r="DJ355" s="111">
        <v>43329</v>
      </c>
      <c r="DK355" s="112">
        <v>44212.083333333336</v>
      </c>
      <c r="DL355" s="113">
        <f t="shared" ca="1" si="266"/>
        <v>891.91666666666424</v>
      </c>
      <c r="DM355" s="114"/>
      <c r="DN355" s="114"/>
      <c r="DO355" s="114"/>
      <c r="DP355" s="114"/>
      <c r="DQ355" s="112" t="s">
        <v>666</v>
      </c>
      <c r="DR355" s="114" t="s">
        <v>198</v>
      </c>
      <c r="DS355" s="114"/>
      <c r="DT355" s="115">
        <v>45</v>
      </c>
      <c r="DU355" s="116">
        <f t="shared" si="267"/>
        <v>0.24</v>
      </c>
      <c r="DV355" s="117">
        <f t="shared" si="268"/>
        <v>9.791231999999999</v>
      </c>
      <c r="DW355" s="118">
        <f t="shared" si="269"/>
        <v>12</v>
      </c>
      <c r="DX355" s="119">
        <f t="shared" si="287"/>
        <v>2.4</v>
      </c>
      <c r="DY355" s="115">
        <f t="shared" si="270"/>
        <v>11.4</v>
      </c>
      <c r="DZ355" s="117">
        <f t="shared" si="271"/>
        <v>0</v>
      </c>
      <c r="EA355" s="120">
        <f t="shared" si="271"/>
        <v>0</v>
      </c>
      <c r="EB355" s="119">
        <f t="shared" si="264"/>
        <v>0</v>
      </c>
      <c r="EC355" s="121">
        <f t="shared" si="272"/>
        <v>0</v>
      </c>
      <c r="ED355" s="122"/>
      <c r="EE355" s="145">
        <v>18</v>
      </c>
      <c r="EF355" s="115">
        <v>21</v>
      </c>
      <c r="EG355" s="115">
        <v>46</v>
      </c>
      <c r="EH355" s="115">
        <v>21</v>
      </c>
      <c r="EI355" s="128" t="s">
        <v>195</v>
      </c>
      <c r="EJ355" s="121">
        <v>24</v>
      </c>
      <c r="EK355" s="121">
        <v>0</v>
      </c>
      <c r="EL355" s="162">
        <v>8.2764000000000006</v>
      </c>
      <c r="EM355" s="142">
        <v>10</v>
      </c>
      <c r="EN355" s="119">
        <v>1</v>
      </c>
      <c r="EO355" s="115">
        <v>19.399999999999999</v>
      </c>
      <c r="EP355" s="115">
        <v>954.5212894495188</v>
      </c>
      <c r="EQ355" s="115">
        <v>66</v>
      </c>
      <c r="ER355" s="115">
        <v>11.5</v>
      </c>
      <c r="ES355" s="115">
        <v>42</v>
      </c>
      <c r="ET355" s="150">
        <v>0.18867924528301888</v>
      </c>
      <c r="EU355" s="145">
        <f t="shared" si="288"/>
        <v>18</v>
      </c>
      <c r="EV355" s="115">
        <f t="shared" si="289"/>
        <v>21</v>
      </c>
      <c r="EW355" s="115">
        <f t="shared" si="289"/>
        <v>46</v>
      </c>
      <c r="EX355" s="115">
        <f t="shared" si="289"/>
        <v>21</v>
      </c>
      <c r="EY355" s="115" t="str">
        <f t="shared" si="253"/>
        <v>Постоянный</v>
      </c>
      <c r="EZ355" s="115">
        <f t="shared" si="253"/>
        <v>24</v>
      </c>
      <c r="FA355" s="115">
        <f t="shared" si="253"/>
        <v>0</v>
      </c>
      <c r="FB355" s="149">
        <f t="shared" si="238"/>
        <v>9.791231999999999</v>
      </c>
      <c r="FC355" s="142">
        <f t="shared" si="238"/>
        <v>12</v>
      </c>
      <c r="FD355" s="119">
        <f t="shared" si="238"/>
        <v>2.4</v>
      </c>
      <c r="FE355" s="121">
        <f t="shared" si="238"/>
        <v>21</v>
      </c>
      <c r="FF355" s="121">
        <f t="shared" si="247"/>
        <v>1164.3070044709391</v>
      </c>
      <c r="FG355" s="121">
        <f t="shared" si="290"/>
        <v>66</v>
      </c>
      <c r="FH355" s="121">
        <f t="shared" si="248"/>
        <v>9.6</v>
      </c>
      <c r="FI355" s="121">
        <f t="shared" si="252"/>
        <v>39</v>
      </c>
      <c r="FJ355" s="144">
        <f t="shared" si="291"/>
        <v>0.21428571428571427</v>
      </c>
      <c r="FK355" s="132">
        <f t="shared" si="292"/>
        <v>0</v>
      </c>
      <c r="FL355" s="115">
        <f t="shared" si="292"/>
        <v>0</v>
      </c>
      <c r="FM355" s="115">
        <f t="shared" si="292"/>
        <v>0</v>
      </c>
      <c r="FN355" s="115">
        <f t="shared" si="273"/>
        <v>0</v>
      </c>
      <c r="FO355" s="115">
        <f t="shared" si="257"/>
        <v>0</v>
      </c>
      <c r="FP355" s="115">
        <f t="shared" si="257"/>
        <v>0</v>
      </c>
      <c r="FQ355" s="149">
        <f t="shared" si="257"/>
        <v>1.5148319999999984</v>
      </c>
      <c r="FR355" s="142">
        <f t="shared" si="256"/>
        <v>2</v>
      </c>
      <c r="FS355" s="119">
        <f t="shared" si="256"/>
        <v>1.4</v>
      </c>
      <c r="FT355" s="121">
        <f t="shared" si="256"/>
        <v>1.6000000000000014</v>
      </c>
      <c r="FU355" s="121">
        <f t="shared" si="293"/>
        <v>0</v>
      </c>
      <c r="FV355" s="121">
        <f t="shared" si="293"/>
        <v>-1.9000000000000004</v>
      </c>
      <c r="FW355" s="121">
        <f t="shared" si="294"/>
        <v>209.78571502142029</v>
      </c>
      <c r="FX355" s="121">
        <f>CN355-ES355</f>
        <v>-3</v>
      </c>
      <c r="FY355" s="144">
        <f t="shared" si="295"/>
        <v>2.5606469002695392E-2</v>
      </c>
      <c r="FZ355" s="145" t="s">
        <v>221</v>
      </c>
      <c r="GA355" s="1034" t="s">
        <v>1451</v>
      </c>
      <c r="GB355" s="145" t="s">
        <v>221</v>
      </c>
      <c r="GC355" s="1024" t="s">
        <v>1452</v>
      </c>
      <c r="GD355" s="997" t="s">
        <v>416</v>
      </c>
      <c r="GE355" s="1004" t="s">
        <v>221</v>
      </c>
      <c r="GF355" s="1004">
        <v>2.7290250240000011</v>
      </c>
      <c r="GG355" s="1004"/>
      <c r="GH355" s="1004">
        <v>0</v>
      </c>
      <c r="GI355" s="145"/>
      <c r="GJ355" s="996">
        <v>0</v>
      </c>
      <c r="GK355" s="145"/>
      <c r="GL355" s="996">
        <v>0</v>
      </c>
      <c r="GM355" s="1005"/>
      <c r="GN355" s="996">
        <v>0</v>
      </c>
      <c r="GO355" s="1006"/>
      <c r="GP355" s="996">
        <v>0</v>
      </c>
      <c r="GQ355" s="1006"/>
      <c r="GR355" s="996">
        <v>0</v>
      </c>
      <c r="GS355" s="1006"/>
      <c r="GT355" s="996">
        <v>0</v>
      </c>
      <c r="GU355" s="1006"/>
      <c r="GV355" s="996">
        <v>0</v>
      </c>
      <c r="GW355" s="1006"/>
      <c r="GX355" s="1035">
        <v>0</v>
      </c>
      <c r="GY355" s="1006"/>
      <c r="GZ355" s="996">
        <v>0</v>
      </c>
      <c r="HA355" s="1006"/>
      <c r="HB355" s="996">
        <v>0</v>
      </c>
      <c r="HC355" s="1006" t="s">
        <v>241</v>
      </c>
      <c r="HD355" s="996">
        <v>0</v>
      </c>
      <c r="HE355" s="1006"/>
      <c r="HF355" s="996">
        <v>0</v>
      </c>
      <c r="HG355" s="1006" t="s">
        <v>199</v>
      </c>
      <c r="HH355" s="996">
        <v>-5.3168463039999994</v>
      </c>
      <c r="HI355" s="1006"/>
      <c r="HJ355" s="996">
        <v>0</v>
      </c>
      <c r="HK355" s="1006"/>
      <c r="HL355" s="996">
        <v>0</v>
      </c>
      <c r="HM355" s="1006" t="s">
        <v>199</v>
      </c>
      <c r="HN355" s="996">
        <v>2.9575773919999993</v>
      </c>
      <c r="HO355" s="1006"/>
      <c r="HP355" s="996">
        <v>9.5789548800000013E-2</v>
      </c>
      <c r="HQ355" s="1006" t="s">
        <v>199</v>
      </c>
      <c r="HR355" s="996">
        <v>-2.2659301808000007</v>
      </c>
      <c r="HS355" s="1006" t="s">
        <v>204</v>
      </c>
      <c r="HT355" s="996">
        <v>1.0735326800000013</v>
      </c>
      <c r="HU355" s="1006"/>
      <c r="HV355" s="996">
        <v>0.70762384000000011</v>
      </c>
      <c r="HW355" s="1006"/>
      <c r="HX355" s="996">
        <v>0.52262456399999913</v>
      </c>
      <c r="HY355" s="1006" t="s">
        <v>204</v>
      </c>
      <c r="HZ355" s="996">
        <v>-1.5244786040000005</v>
      </c>
      <c r="IA355" s="1006" t="s">
        <v>203</v>
      </c>
      <c r="IB355" s="996">
        <v>-3.9196721915999984</v>
      </c>
      <c r="IC355" s="1006" t="s">
        <v>221</v>
      </c>
      <c r="ID355" s="996">
        <v>-7.8525788484000003</v>
      </c>
      <c r="IE355" s="1006" t="s">
        <v>199</v>
      </c>
      <c r="IF355" s="996">
        <v>1.9295225267999996</v>
      </c>
      <c r="IG355" s="1006" t="s">
        <v>199</v>
      </c>
      <c r="IH355" s="996">
        <v>6.2802105531999999</v>
      </c>
      <c r="II355" s="1006" t="s">
        <v>25</v>
      </c>
      <c r="IJ355" s="996">
        <v>30.923747175199999</v>
      </c>
      <c r="IK355" s="1006"/>
      <c r="IL355" s="996">
        <v>-4.7652000000000001</v>
      </c>
      <c r="IM355" s="1006" t="s">
        <v>204</v>
      </c>
      <c r="IN355" s="996">
        <v>-1.9227999999999996</v>
      </c>
      <c r="IO355" s="1006" t="s">
        <v>204</v>
      </c>
      <c r="IP355" s="996">
        <v>-5.5759695199999983</v>
      </c>
      <c r="IQ355" s="1006"/>
      <c r="IR355" s="996">
        <v>0</v>
      </c>
      <c r="IS355" s="1006"/>
      <c r="IT355" s="996">
        <v>0</v>
      </c>
      <c r="IU355" s="1006" t="s">
        <v>199</v>
      </c>
      <c r="IV355" s="996">
        <v>6.6360175199999984</v>
      </c>
      <c r="IW355" s="1006"/>
      <c r="IX355" s="996">
        <v>0</v>
      </c>
      <c r="IY355" s="1006"/>
      <c r="IZ355" s="996">
        <v>0</v>
      </c>
      <c r="JA355" s="1006"/>
      <c r="JB355" s="996">
        <v>0</v>
      </c>
      <c r="JC355" s="1006"/>
      <c r="JD355" s="996">
        <v>0</v>
      </c>
      <c r="JE355" s="1006" t="s">
        <v>199</v>
      </c>
      <c r="JF355" s="996">
        <v>3.5260807999999995</v>
      </c>
      <c r="JG355" s="1006"/>
      <c r="JH355" s="996">
        <v>0</v>
      </c>
      <c r="JI355" s="1006" t="s">
        <v>199</v>
      </c>
      <c r="JJ355" s="996">
        <v>-7.038034871999999</v>
      </c>
      <c r="JK355" s="1007" t="s">
        <v>204</v>
      </c>
      <c r="JL355" s="1007">
        <v>2.8164020719999989</v>
      </c>
      <c r="JM355" s="1007"/>
      <c r="JN355" s="1007">
        <v>0</v>
      </c>
      <c r="JO355" s="1008"/>
      <c r="JP355" s="1007">
        <v>0</v>
      </c>
      <c r="JQ355" s="1008" t="s">
        <v>199</v>
      </c>
      <c r="JR355" s="1007">
        <v>-1.4106179287200007</v>
      </c>
      <c r="JS355" s="1008" t="s">
        <v>224</v>
      </c>
      <c r="JT355" s="1007">
        <v>7.7341219287200005</v>
      </c>
      <c r="JU355" s="1008"/>
      <c r="JV355" s="1007">
        <v>0</v>
      </c>
      <c r="JW355" s="1008" t="s">
        <v>197</v>
      </c>
      <c r="JX355" s="1007">
        <v>0</v>
      </c>
      <c r="JY355" s="1008"/>
      <c r="JZ355" s="1007">
        <v>0</v>
      </c>
      <c r="KA355" s="1008"/>
      <c r="KB355" s="1007">
        <v>0</v>
      </c>
      <c r="KC355" s="1008" t="s">
        <v>207</v>
      </c>
      <c r="KD355" s="1007">
        <v>-8.2108576000000006</v>
      </c>
      <c r="KE355" s="1008"/>
      <c r="KF355" s="1007">
        <v>0</v>
      </c>
      <c r="KG355" s="1008"/>
      <c r="KH355" s="1007">
        <v>0</v>
      </c>
      <c r="KI355" s="1008" t="s">
        <v>206</v>
      </c>
      <c r="KJ355" s="1007">
        <v>5.0511119999999998</v>
      </c>
      <c r="KK355" s="1008"/>
      <c r="KL355" s="1007">
        <v>0</v>
      </c>
      <c r="KM355" s="1008" t="s">
        <v>207</v>
      </c>
      <c r="KN355" s="1007">
        <v>-3.2535919999999994</v>
      </c>
      <c r="KO355" s="1008"/>
      <c r="KP355" s="1007">
        <v>0</v>
      </c>
      <c r="KQ355" s="1008" t="s">
        <v>207</v>
      </c>
      <c r="KR355" s="1007">
        <v>1.9786448000000001</v>
      </c>
      <c r="KS355" s="1008" t="s">
        <v>207</v>
      </c>
      <c r="KT355" s="1007">
        <v>-5.8467331999999992</v>
      </c>
      <c r="KU355" s="1008" t="s">
        <v>207</v>
      </c>
      <c r="KV355" s="1007">
        <v>-4.1762379999999997</v>
      </c>
      <c r="KW355" s="1008" t="s">
        <v>204</v>
      </c>
      <c r="KX355" s="1007">
        <v>-18.375447199999996</v>
      </c>
      <c r="KY355" s="1008" t="s">
        <v>204</v>
      </c>
      <c r="KZ355" s="1007">
        <v>20.045942399999994</v>
      </c>
      <c r="LA355" s="1008">
        <v>0</v>
      </c>
      <c r="LB355" s="1007">
        <v>0</v>
      </c>
      <c r="LC355" s="1008">
        <v>0</v>
      </c>
      <c r="LD355" s="1007">
        <v>0</v>
      </c>
      <c r="LE355" s="1008" t="s">
        <v>203</v>
      </c>
      <c r="LF355" s="1007">
        <v>-0.83524759999999887</v>
      </c>
      <c r="LG355" s="1008">
        <v>0</v>
      </c>
      <c r="LH355" s="1007">
        <v>0</v>
      </c>
      <c r="LI355" s="1008" t="s">
        <v>203</v>
      </c>
      <c r="LJ355" s="1007">
        <v>-0.91877236000000018</v>
      </c>
      <c r="LK355" s="1008" t="s">
        <v>25</v>
      </c>
      <c r="LL355" s="1007">
        <v>4.6773865599999978</v>
      </c>
      <c r="LM355" s="1008" t="s">
        <v>555</v>
      </c>
      <c r="LN355" s="1007">
        <v>-4.5938600000000003</v>
      </c>
      <c r="LO355" s="1008">
        <v>0</v>
      </c>
      <c r="LP355" s="1007">
        <v>0</v>
      </c>
      <c r="LQ355" s="1008" t="s">
        <v>204</v>
      </c>
      <c r="LR355" s="1007">
        <v>-1.674952</v>
      </c>
      <c r="LS355" s="1008">
        <v>0</v>
      </c>
      <c r="LT355" s="1007">
        <v>0</v>
      </c>
      <c r="LU355" s="1008">
        <v>0</v>
      </c>
      <c r="LV355" s="1007">
        <v>0</v>
      </c>
      <c r="LW355" s="1008">
        <v>0</v>
      </c>
      <c r="LX355" s="1007">
        <v>-0.751722839999999</v>
      </c>
      <c r="LY355" s="1009">
        <v>0</v>
      </c>
      <c r="LZ355" s="1010">
        <v>0</v>
      </c>
      <c r="MA355" s="1011">
        <v>0</v>
      </c>
      <c r="MB355" s="1012">
        <v>0</v>
      </c>
      <c r="MC355" s="995"/>
      <c r="MD355" s="996"/>
      <c r="ME355" s="997" t="s">
        <v>416</v>
      </c>
      <c r="MF355" s="997"/>
      <c r="MG355" s="998"/>
      <c r="NR355" s="1000"/>
      <c r="NS355" s="1000"/>
      <c r="NT355" s="1001"/>
      <c r="NU355" s="1000"/>
      <c r="NV355" s="1001"/>
      <c r="NX355" s="1002"/>
      <c r="NZ355" s="1001"/>
      <c r="OA355" s="1001"/>
      <c r="OC355" s="1003"/>
      <c r="OD355" s="1003"/>
      <c r="OE355" s="1001"/>
      <c r="OF355" s="1003"/>
      <c r="OG355" s="1003"/>
      <c r="QX355" s="1000">
        <f>CN355-CA355</f>
        <v>18</v>
      </c>
      <c r="ASU355" s="999" t="s">
        <v>208</v>
      </c>
    </row>
    <row r="356" spans="1:466 1191:1191" ht="21" customHeight="1" x14ac:dyDescent="0.25">
      <c r="A356" s="982">
        <f t="shared" si="274"/>
        <v>1385</v>
      </c>
      <c r="B356" s="145">
        <f>SUBTOTAL(103,$J$29:J356)</f>
        <v>328</v>
      </c>
      <c r="C356" s="126">
        <v>45068</v>
      </c>
      <c r="D356" s="145" t="s">
        <v>176</v>
      </c>
      <c r="E356" s="128" t="s">
        <v>177</v>
      </c>
      <c r="F356" s="128" t="s">
        <v>177</v>
      </c>
      <c r="G356" s="128" t="s">
        <v>178</v>
      </c>
      <c r="H356" s="128" t="s">
        <v>408</v>
      </c>
      <c r="I356" s="128" t="s">
        <v>975</v>
      </c>
      <c r="J356" s="129">
        <v>1385</v>
      </c>
      <c r="K356" s="127" t="s">
        <v>975</v>
      </c>
      <c r="L356" s="135">
        <v>42314</v>
      </c>
      <c r="M356" s="128" t="s">
        <v>230</v>
      </c>
      <c r="N356" s="128" t="s">
        <v>231</v>
      </c>
      <c r="O356" s="127" t="s">
        <v>185</v>
      </c>
      <c r="P356" s="127" t="s">
        <v>186</v>
      </c>
      <c r="Q356" s="85" t="str">
        <f t="shared" si="275"/>
        <v/>
      </c>
      <c r="R356" s="130"/>
      <c r="S356" s="128"/>
      <c r="T356" s="131"/>
      <c r="U356" s="132">
        <v>203</v>
      </c>
      <c r="V356" s="121">
        <v>218.2</v>
      </c>
      <c r="W356" s="116">
        <v>0.98</v>
      </c>
      <c r="X356" s="116">
        <v>1.66</v>
      </c>
      <c r="Y356" s="116">
        <f t="shared" si="239"/>
        <v>0.98</v>
      </c>
      <c r="Z356" s="133">
        <v>1.454</v>
      </c>
      <c r="AA356" s="133">
        <v>0.83599999999999997</v>
      </c>
      <c r="AB356" s="133">
        <v>0.72</v>
      </c>
      <c r="AC356" s="121">
        <v>34.299999999999997</v>
      </c>
      <c r="AD356" s="134">
        <v>1.17</v>
      </c>
      <c r="AE356" s="145">
        <v>177.8</v>
      </c>
      <c r="AF356" s="128">
        <v>9.19</v>
      </c>
      <c r="AG356" s="128">
        <v>2558</v>
      </c>
      <c r="AH356" s="128">
        <v>3280</v>
      </c>
      <c r="AI356" s="128">
        <v>3280</v>
      </c>
      <c r="AJ356" s="135"/>
      <c r="AK356" s="128"/>
      <c r="AL356" s="131"/>
      <c r="AM356" s="145" t="s">
        <v>232</v>
      </c>
      <c r="AN356" s="131" t="s">
        <v>1453</v>
      </c>
      <c r="AO356" s="137">
        <v>53.71</v>
      </c>
      <c r="AP356" s="128">
        <v>2558</v>
      </c>
      <c r="AQ356" s="128">
        <v>694</v>
      </c>
      <c r="AR356" s="128"/>
      <c r="AS356" s="128"/>
      <c r="AT356" s="122"/>
      <c r="AU356" s="145" t="s">
        <v>189</v>
      </c>
      <c r="AV356" s="115">
        <f>VLOOKUP(J356,'[63]ТР нефть'!$J$28:$BP$638,39,0)</f>
        <v>537.00000351599999</v>
      </c>
      <c r="AW356" s="115" t="str">
        <f>VLOOKUP(J356,'[63]ТР нефть'!$J$28:$BP$638,40,0)</f>
        <v>ГК 78 1/8</v>
      </c>
      <c r="AX356" s="115">
        <f>VLOOKUP(J356,'[63]ТР нефть'!$J$28:$BP$638,41,0)</f>
        <v>999.99998437500005</v>
      </c>
      <c r="AY356" s="115" t="str">
        <f>VLOOKUP(J356,'[63]ТР нефть'!$J$28:$BP$638,42,0)</f>
        <v>ГК77 1/8</v>
      </c>
      <c r="AZ356" s="115">
        <f>VLOOKUP(J356,'[63]ТР нефть'!$J$28:$BP$638,43,0)</f>
        <v>1455.9999832030001</v>
      </c>
      <c r="BA356" s="115" t="str">
        <f>VLOOKUP(J356,'[63]ТР нефть'!$J$28:$BP$638,44,0)</f>
        <v>ГК76 5/32</v>
      </c>
      <c r="BB356" s="115">
        <f>VLOOKUP(J356,'[63]ТР нефть'!$J$28:$BP$638,45,0)</f>
        <v>1815.0000609379999</v>
      </c>
      <c r="BC356" s="115" t="str">
        <f>VLOOKUP(J356,'[63]ТР нефть'!$J$28:$BP$638,46,0)</f>
        <v>ЦКсОК 5/16</v>
      </c>
      <c r="BD356" s="115" t="str">
        <f>VLOOKUP(J356,'[63]ТР нефть'!$J$28:$BP$638,47,0)</f>
        <v>-</v>
      </c>
      <c r="BE356" s="115" t="str">
        <f>VLOOKUP(J356,'[63]ТР нефть'!$J$28:$BP$638,48,0)</f>
        <v>-</v>
      </c>
      <c r="BF356" s="115" t="str">
        <f>VLOOKUP(J356,'[63]ТР нефть'!$J$28:$BP$638,49,0)</f>
        <v>-</v>
      </c>
      <c r="BG356" s="115" t="str">
        <f>VLOOKUP(J356,'[63]ТР нефть'!$J$28:$BP$638,50,0)</f>
        <v>-</v>
      </c>
      <c r="BH356" s="115" t="str">
        <f>VLOOKUP(J356,'[63]ТР нефть'!$J$28:$BP$638,51,0)</f>
        <v>-</v>
      </c>
      <c r="BI356" s="115" t="str">
        <f>VLOOKUP(J356,'[63]ТР нефть'!$J$28:$BP$638,52,0)</f>
        <v>-</v>
      </c>
      <c r="BJ356" s="115" t="str">
        <f>IF(IFERROR(VLOOKUP(J356,'[63]ТР нефть'!$J$28:$BP$638,53,0),"-")=0,"-",IFERROR(VLOOKUP(J356,'[63]ТР нефть'!$J$28:$BP$638,53,0),"-"))</f>
        <v>-</v>
      </c>
      <c r="BK356" s="115" t="str">
        <f>IF(IFERROR(VLOOKUP(J356,'[63]ТР нефть'!$J$28:$BP$638,54,0),"-")=0,"-",IFERROR(VLOOKUP(J356,'[63]ТР нефть'!$J$28:$BP$638,54,0),"-"))</f>
        <v>-</v>
      </c>
      <c r="BL356" s="115" t="str">
        <f>IF(IFERROR(VLOOKUP(J356,'[63]ТР нефть'!$J$28:$BP$638,55,0),"-")=0,"-",IFERROR(VLOOKUP(J356,'[63]ТР нефть'!$J$28:$BP$638,55,0),"-"))</f>
        <v>-</v>
      </c>
      <c r="BM356" s="115" t="str">
        <f>IF(IFERROR(VLOOKUP(J356,'[63]ТР нефть'!$J$28:$BP$638,56,0),"-")=0,"-",IFERROR(VLOOKUP(J356,'[63]ТР нефть'!$J$28:$BP$638,56,0),"-"))</f>
        <v>-</v>
      </c>
      <c r="BN356" s="115" t="str">
        <f>IF(IFERROR(VLOOKUP(J356,'[63]ТР нефть'!$J$28:$BP$638,57,0),"-")=0,"-",IFERROR(VLOOKUP(J356,'[63]ТР нефть'!$J$28:$BP$638,57,0),"-"))</f>
        <v>-</v>
      </c>
      <c r="BO356" s="115" t="str">
        <f>IF(IFERROR(VLOOKUP(J356,'[63]ТР нефть'!$J$28:$BP$638,58,0),"-")=0,"-",IFERROR(VLOOKUP(J356,'[63]ТР нефть'!$J$28:$BP$638,58,0),"-"))</f>
        <v>-</v>
      </c>
      <c r="BP356" s="115" t="str">
        <f>IF(IFERROR(VLOOKUP(J356,'[63]ТР нефть'!$J$28:$BP$638,59,0),"-")=0,"-",IFERROR(VLOOKUP(J356,'[63]ТР нефть'!$J$28:$BP$638,59,0),"-"))</f>
        <v>-</v>
      </c>
      <c r="BQ356" s="115">
        <v>2570</v>
      </c>
      <c r="BR356" s="128">
        <v>1866.8</v>
      </c>
      <c r="BS356" s="115">
        <f t="shared" si="258"/>
        <v>703.2</v>
      </c>
      <c r="BT356" s="128">
        <v>73</v>
      </c>
      <c r="BU356" s="128">
        <v>5.5</v>
      </c>
      <c r="BV356" s="128">
        <v>18</v>
      </c>
      <c r="BW356" s="128" t="s">
        <v>217</v>
      </c>
      <c r="BX356" s="127" t="s">
        <v>195</v>
      </c>
      <c r="BY356" s="121">
        <v>24</v>
      </c>
      <c r="BZ356" s="121">
        <v>0</v>
      </c>
      <c r="CA356" s="115">
        <v>24</v>
      </c>
      <c r="CB356" s="115">
        <v>57</v>
      </c>
      <c r="CC356" s="115">
        <v>20</v>
      </c>
      <c r="CD356" s="135">
        <v>45017</v>
      </c>
      <c r="CE356" s="115">
        <v>126.8</v>
      </c>
      <c r="CF356" s="115">
        <v>67</v>
      </c>
      <c r="CG356" s="115" t="str">
        <f t="shared" si="265"/>
        <v>В работе</v>
      </c>
      <c r="CH356" s="115" t="s">
        <v>196</v>
      </c>
      <c r="CI356" s="115"/>
      <c r="CJ356" s="121"/>
      <c r="CK356" s="121"/>
      <c r="CL356" s="99"/>
      <c r="CM356" s="99"/>
      <c r="CN356" s="156">
        <v>117</v>
      </c>
      <c r="CO356" s="159">
        <f t="shared" si="276"/>
        <v>11.703999999999999</v>
      </c>
      <c r="CP356" s="160">
        <v>14</v>
      </c>
      <c r="CQ356" s="161">
        <v>0</v>
      </c>
      <c r="CR356" s="138">
        <v>17</v>
      </c>
      <c r="CS356" s="139">
        <v>9.6</v>
      </c>
      <c r="CT356" s="138"/>
      <c r="CU356" s="138">
        <f t="shared" si="277"/>
        <v>7.4</v>
      </c>
      <c r="CV356" s="115">
        <f t="shared" si="278"/>
        <v>632.26247436773758</v>
      </c>
      <c r="CW356" s="115">
        <f t="shared" si="279"/>
        <v>820.23239917976764</v>
      </c>
      <c r="CX356" s="133">
        <f t="shared" si="280"/>
        <v>1.428571428571429</v>
      </c>
      <c r="CY356" s="116"/>
      <c r="CZ356" s="131"/>
      <c r="DA356" s="145" t="str">
        <f t="shared" si="281"/>
        <v>Газлифт</v>
      </c>
      <c r="DB356" s="146">
        <f t="shared" si="282"/>
        <v>11.703999999999999</v>
      </c>
      <c r="DC356" s="142">
        <f t="shared" ref="DC356:DC367" si="296">IFERROR(IF(AND(FZ356="Технология",FQ356&lt;$JC$24),EM356,CP356),"-")</f>
        <v>14</v>
      </c>
      <c r="DD356" s="119">
        <f t="shared" si="250"/>
        <v>0</v>
      </c>
      <c r="DE356" s="115">
        <f t="shared" si="283"/>
        <v>7.4</v>
      </c>
      <c r="DF356" s="121">
        <f t="shared" si="284"/>
        <v>9.6</v>
      </c>
      <c r="DG356" s="115">
        <f t="shared" si="285"/>
        <v>632.26247436773758</v>
      </c>
      <c r="DH356" s="115">
        <f t="shared" si="286"/>
        <v>117</v>
      </c>
      <c r="DI356" s="147"/>
      <c r="DJ356" s="111">
        <v>43472</v>
      </c>
      <c r="DK356" s="112">
        <v>42309</v>
      </c>
      <c r="DL356" s="113">
        <f t="shared" ca="1" si="266"/>
        <v>2795</v>
      </c>
      <c r="DM356" s="114"/>
      <c r="DN356" s="114"/>
      <c r="DO356" s="114"/>
      <c r="DP356" s="114"/>
      <c r="DQ356" s="112">
        <v>42993</v>
      </c>
      <c r="DR356" s="114" t="s">
        <v>405</v>
      </c>
      <c r="DS356" s="114">
        <v>0</v>
      </c>
      <c r="DT356" s="115">
        <v>60</v>
      </c>
      <c r="DU356" s="116">
        <f t="shared" si="267"/>
        <v>1.1330049261083757</v>
      </c>
      <c r="DV356" s="117">
        <f t="shared" si="268"/>
        <v>63.272433497537008</v>
      </c>
      <c r="DW356" s="118">
        <f t="shared" si="269"/>
        <v>75.684729064039487</v>
      </c>
      <c r="DX356" s="119">
        <f t="shared" si="287"/>
        <v>0</v>
      </c>
      <c r="DY356" s="115">
        <f t="shared" si="270"/>
        <v>40.004785362420876</v>
      </c>
      <c r="DZ356" s="117">
        <f t="shared" si="271"/>
        <v>51.568433497537008</v>
      </c>
      <c r="EA356" s="120">
        <f t="shared" si="271"/>
        <v>61.684729064039487</v>
      </c>
      <c r="EB356" s="119">
        <f t="shared" si="264"/>
        <v>0</v>
      </c>
      <c r="EC356" s="121">
        <f t="shared" si="272"/>
        <v>32.604785362420877</v>
      </c>
      <c r="ED356" s="122"/>
      <c r="EE356" s="145">
        <v>18</v>
      </c>
      <c r="EF356" s="115">
        <v>21</v>
      </c>
      <c r="EG356" s="115">
        <v>60</v>
      </c>
      <c r="EH356" s="115">
        <v>19</v>
      </c>
      <c r="EI356" s="128" t="s">
        <v>195</v>
      </c>
      <c r="EJ356" s="121">
        <v>24</v>
      </c>
      <c r="EK356" s="121">
        <v>0</v>
      </c>
      <c r="EL356" s="162">
        <v>3.2185999999999999</v>
      </c>
      <c r="EM356" s="142">
        <v>3.85</v>
      </c>
      <c r="EN356" s="119">
        <v>0</v>
      </c>
      <c r="EO356" s="115">
        <v>15</v>
      </c>
      <c r="EP356" s="115">
        <v>1677.7480892313429</v>
      </c>
      <c r="EQ356" s="115">
        <v>68</v>
      </c>
      <c r="ER356" s="115">
        <v>9.6</v>
      </c>
      <c r="ES356" s="115">
        <v>117</v>
      </c>
      <c r="ET356" s="150">
        <v>0.39285714285714296</v>
      </c>
      <c r="EU356" s="145">
        <f t="shared" si="288"/>
        <v>18</v>
      </c>
      <c r="EV356" s="115">
        <f t="shared" si="289"/>
        <v>24</v>
      </c>
      <c r="EW356" s="115">
        <f t="shared" si="289"/>
        <v>57</v>
      </c>
      <c r="EX356" s="115">
        <f t="shared" si="289"/>
        <v>20</v>
      </c>
      <c r="EY356" s="115" t="str">
        <f t="shared" si="253"/>
        <v>Постоянный</v>
      </c>
      <c r="EZ356" s="115">
        <f t="shared" si="253"/>
        <v>24</v>
      </c>
      <c r="FA356" s="115">
        <f t="shared" si="253"/>
        <v>0</v>
      </c>
      <c r="FB356" s="149">
        <f t="shared" si="238"/>
        <v>11.703999999999999</v>
      </c>
      <c r="FC356" s="142">
        <f t="shared" si="238"/>
        <v>14</v>
      </c>
      <c r="FD356" s="119">
        <f t="shared" si="238"/>
        <v>0</v>
      </c>
      <c r="FE356" s="121">
        <f t="shared" si="238"/>
        <v>17</v>
      </c>
      <c r="FF356" s="121">
        <f t="shared" si="247"/>
        <v>632.26247436773758</v>
      </c>
      <c r="FG356" s="121">
        <f t="shared" si="290"/>
        <v>67</v>
      </c>
      <c r="FH356" s="121">
        <f t="shared" si="248"/>
        <v>9.6</v>
      </c>
      <c r="FI356" s="121">
        <f t="shared" si="252"/>
        <v>117</v>
      </c>
      <c r="FJ356" s="144">
        <f t="shared" si="291"/>
        <v>1.428571428571429</v>
      </c>
      <c r="FK356" s="132">
        <f t="shared" si="292"/>
        <v>0</v>
      </c>
      <c r="FL356" s="115">
        <f t="shared" si="292"/>
        <v>3</v>
      </c>
      <c r="FM356" s="115">
        <f t="shared" si="292"/>
        <v>-3</v>
      </c>
      <c r="FN356" s="115">
        <f t="shared" si="273"/>
        <v>1</v>
      </c>
      <c r="FO356" s="115">
        <f t="shared" si="257"/>
        <v>0</v>
      </c>
      <c r="FP356" s="115">
        <f t="shared" si="257"/>
        <v>0</v>
      </c>
      <c r="FQ356" s="149">
        <f t="shared" si="257"/>
        <v>8.4853999999999985</v>
      </c>
      <c r="FR356" s="142">
        <f t="shared" si="256"/>
        <v>10.15</v>
      </c>
      <c r="FS356" s="119">
        <f t="shared" si="256"/>
        <v>0</v>
      </c>
      <c r="FT356" s="121">
        <f t="shared" si="256"/>
        <v>2</v>
      </c>
      <c r="FU356" s="121">
        <f t="shared" si="293"/>
        <v>-1</v>
      </c>
      <c r="FV356" s="121">
        <f t="shared" si="293"/>
        <v>0</v>
      </c>
      <c r="FW356" s="121">
        <f t="shared" si="294"/>
        <v>-1045.4856148636054</v>
      </c>
      <c r="FX356" s="121">
        <f>CN356-ES356</f>
        <v>0</v>
      </c>
      <c r="FY356" s="144">
        <f t="shared" si="295"/>
        <v>1.035714285714286</v>
      </c>
      <c r="FZ356" s="145" t="s">
        <v>199</v>
      </c>
      <c r="GA356" s="151" t="s">
        <v>1454</v>
      </c>
      <c r="GB356" s="145"/>
      <c r="GC356" s="151" t="s">
        <v>1455</v>
      </c>
      <c r="GD356" s="997" t="s">
        <v>416</v>
      </c>
      <c r="GE356" s="1004"/>
      <c r="GF356" s="1004">
        <v>0</v>
      </c>
      <c r="GG356" s="1004" t="s">
        <v>199</v>
      </c>
      <c r="GH356" s="1004">
        <v>-6.5205491999999978</v>
      </c>
      <c r="GI356" s="145"/>
      <c r="GJ356" s="996">
        <v>-4.8508000000015983E-3</v>
      </c>
      <c r="GK356" s="145" t="s">
        <v>206</v>
      </c>
      <c r="GL356" s="996">
        <v>0</v>
      </c>
      <c r="GM356" s="1005"/>
      <c r="GN356" s="996">
        <v>12.541672</v>
      </c>
      <c r="GO356" s="1006"/>
      <c r="GP356" s="996">
        <v>0</v>
      </c>
      <c r="GQ356" s="1006"/>
      <c r="GR356" s="996">
        <v>0</v>
      </c>
      <c r="GS356" s="1006"/>
      <c r="GT356" s="996">
        <v>0</v>
      </c>
      <c r="GU356" s="1006"/>
      <c r="GV356" s="996">
        <v>0</v>
      </c>
      <c r="GW356" s="1006"/>
      <c r="GX356" s="1035">
        <v>0</v>
      </c>
      <c r="GY356" s="1006"/>
      <c r="GZ356" s="996">
        <v>0</v>
      </c>
      <c r="HA356" s="1006"/>
      <c r="HB356" s="996">
        <v>0</v>
      </c>
      <c r="HC356" s="1006"/>
      <c r="HD356" s="996">
        <v>0</v>
      </c>
      <c r="HE356" s="1006"/>
      <c r="HF356" s="996">
        <v>0</v>
      </c>
      <c r="HG356" s="1006"/>
      <c r="HH356" s="996">
        <v>0</v>
      </c>
      <c r="HI356" s="1006"/>
      <c r="HJ356" s="996">
        <v>0</v>
      </c>
      <c r="HK356" s="1006" t="s">
        <v>197</v>
      </c>
      <c r="HL356" s="996">
        <v>0</v>
      </c>
      <c r="HM356" s="1006"/>
      <c r="HN356" s="996">
        <v>0</v>
      </c>
      <c r="HO356" s="1006"/>
      <c r="HP356" s="996">
        <v>0</v>
      </c>
      <c r="HQ356" s="1006"/>
      <c r="HR356" s="996">
        <v>0</v>
      </c>
      <c r="HS356" s="1006"/>
      <c r="HT356" s="996">
        <v>0</v>
      </c>
      <c r="HU356" s="1006"/>
      <c r="HV356" s="996">
        <v>0</v>
      </c>
      <c r="HW356" s="1006"/>
      <c r="HX356" s="996">
        <v>0</v>
      </c>
      <c r="HY356" s="1006"/>
      <c r="HZ356" s="996">
        <v>0</v>
      </c>
      <c r="IA356" s="1006"/>
      <c r="IB356" s="996">
        <v>0</v>
      </c>
      <c r="IC356" s="1006"/>
      <c r="ID356" s="996">
        <v>0</v>
      </c>
      <c r="IE356" s="1006"/>
      <c r="IF356" s="996">
        <v>0</v>
      </c>
      <c r="IG356" s="1006"/>
      <c r="IH356" s="996">
        <v>0</v>
      </c>
      <c r="II356" s="1006"/>
      <c r="IJ356" s="996">
        <v>0</v>
      </c>
      <c r="IK356" s="1006"/>
      <c r="IL356" s="996">
        <v>0</v>
      </c>
      <c r="IM356" s="1006"/>
      <c r="IN356" s="996">
        <v>0</v>
      </c>
      <c r="IO356" s="1006"/>
      <c r="IP356" s="996">
        <v>0</v>
      </c>
      <c r="IQ356" s="1006"/>
      <c r="IR356" s="996">
        <v>0</v>
      </c>
      <c r="IS356" s="1006"/>
      <c r="IT356" s="996">
        <v>0</v>
      </c>
      <c r="IU356" s="1006"/>
      <c r="IV356" s="996" t="e">
        <v>#VALUE!</v>
      </c>
      <c r="IW356" s="1006"/>
      <c r="IX356" s="996" t="e">
        <v>#VALUE!</v>
      </c>
      <c r="IY356" s="1006"/>
      <c r="IZ356" s="996">
        <v>0</v>
      </c>
      <c r="JA356" s="1006"/>
      <c r="JB356" s="996">
        <v>0</v>
      </c>
      <c r="JC356" s="1006"/>
      <c r="JD356" s="996"/>
      <c r="JE356" s="1006"/>
      <c r="JF356" s="996">
        <v>0</v>
      </c>
      <c r="JG356" s="1006"/>
      <c r="JH356" s="996">
        <v>0</v>
      </c>
      <c r="JI356" s="1006"/>
      <c r="JJ356" s="996">
        <v>0</v>
      </c>
      <c r="JK356" s="1007"/>
      <c r="JL356" s="1007">
        <v>0</v>
      </c>
      <c r="JM356" s="1007"/>
      <c r="JN356" s="1007">
        <v>0</v>
      </c>
      <c r="JO356" s="1008"/>
      <c r="JP356" s="1007">
        <v>0</v>
      </c>
      <c r="JQ356" s="1008">
        <v>0</v>
      </c>
      <c r="JR356" s="1007">
        <v>0</v>
      </c>
      <c r="JS356" s="1008">
        <v>0</v>
      </c>
      <c r="JT356" s="1007">
        <v>0</v>
      </c>
      <c r="JU356" s="1008"/>
      <c r="JV356" s="1007">
        <v>0</v>
      </c>
      <c r="JW356" s="1008" t="s">
        <v>197</v>
      </c>
      <c r="JX356" s="1007">
        <v>0</v>
      </c>
      <c r="JY356" s="1008"/>
      <c r="JZ356" s="1007">
        <v>0</v>
      </c>
      <c r="KA356" s="1008"/>
      <c r="KB356" s="1007">
        <v>-6.9943103999999998</v>
      </c>
      <c r="KC356" s="1008"/>
      <c r="KD356" s="1007">
        <v>0</v>
      </c>
      <c r="KE356" s="1008"/>
      <c r="KF356" s="1007">
        <v>0</v>
      </c>
      <c r="KG356" s="1008"/>
      <c r="KH356" s="1007">
        <v>0</v>
      </c>
      <c r="KI356" s="1008"/>
      <c r="KJ356" s="1007">
        <v>0</v>
      </c>
      <c r="KK356" s="1008"/>
      <c r="KL356" s="1007">
        <v>0</v>
      </c>
      <c r="KM356" s="1008" t="s">
        <v>207</v>
      </c>
      <c r="KN356" s="1007">
        <v>-6.9110448000000009</v>
      </c>
      <c r="KO356" s="1008" t="s">
        <v>207</v>
      </c>
      <c r="KP356" s="1007">
        <v>-8.9926847999999993</v>
      </c>
      <c r="KQ356" s="1008">
        <v>0</v>
      </c>
      <c r="KR356" s="1007">
        <v>0</v>
      </c>
      <c r="KS356" s="1008">
        <v>0</v>
      </c>
      <c r="KT356" s="1007">
        <v>0</v>
      </c>
      <c r="KU356" s="1008">
        <v>0</v>
      </c>
      <c r="KV356" s="1007">
        <v>0</v>
      </c>
      <c r="KW356" s="1008">
        <v>0</v>
      </c>
      <c r="KX356" s="1007">
        <v>0</v>
      </c>
      <c r="KY356" s="1008">
        <v>0</v>
      </c>
      <c r="KZ356" s="1007">
        <v>0</v>
      </c>
      <c r="LA356" s="1008">
        <v>0</v>
      </c>
      <c r="LB356" s="1007">
        <v>0</v>
      </c>
      <c r="LC356" s="1008">
        <v>0</v>
      </c>
      <c r="LD356" s="1007">
        <v>0</v>
      </c>
      <c r="LE356" s="1008" t="s">
        <v>204</v>
      </c>
      <c r="LF356" s="1007">
        <v>0.31640927999999846</v>
      </c>
      <c r="LG356" s="1008">
        <v>0</v>
      </c>
      <c r="LH356" s="1007">
        <v>0</v>
      </c>
      <c r="LI356" s="1008">
        <v>0</v>
      </c>
      <c r="LJ356" s="1007">
        <v>0</v>
      </c>
      <c r="LK356" s="1008" t="s">
        <v>25</v>
      </c>
      <c r="LL356" s="1007">
        <v>4.4297299200000033</v>
      </c>
      <c r="LM356" s="1008">
        <v>0</v>
      </c>
      <c r="LN356" s="1007">
        <v>0</v>
      </c>
      <c r="LO356" s="1008">
        <v>0</v>
      </c>
      <c r="LP356" s="1007">
        <v>0</v>
      </c>
      <c r="LQ356" s="1008">
        <v>0</v>
      </c>
      <c r="LR356" s="1007">
        <v>0</v>
      </c>
      <c r="LS356" s="1008">
        <v>0</v>
      </c>
      <c r="LT356" s="1007">
        <v>0</v>
      </c>
      <c r="LU356" s="1008">
        <v>0</v>
      </c>
      <c r="LV356" s="1007">
        <v>0</v>
      </c>
      <c r="LW356" s="1008">
        <v>0</v>
      </c>
      <c r="LX356" s="1007">
        <v>0</v>
      </c>
      <c r="LY356" s="1009" t="s">
        <v>206</v>
      </c>
      <c r="LZ356" s="1010">
        <v>-5.1624671999999983</v>
      </c>
      <c r="MA356" s="1011">
        <v>0</v>
      </c>
      <c r="MB356" s="1012">
        <v>0</v>
      </c>
      <c r="MC356" s="995"/>
      <c r="MD356" s="996"/>
      <c r="ME356" s="997" t="s">
        <v>416</v>
      </c>
      <c r="MF356" s="997"/>
      <c r="MG356" s="998"/>
      <c r="NR356" s="1000"/>
      <c r="NS356" s="1000"/>
      <c r="NT356" s="1001"/>
      <c r="NU356" s="1000"/>
      <c r="NV356" s="1001"/>
      <c r="NX356" s="1002"/>
      <c r="NZ356" s="1001"/>
      <c r="OA356" s="1001"/>
      <c r="OC356" s="1003"/>
      <c r="OD356" s="1003"/>
      <c r="OE356" s="1001"/>
      <c r="OF356" s="1003"/>
      <c r="OG356" s="1003"/>
      <c r="QX356" s="1000">
        <f>CN356-CA356</f>
        <v>93</v>
      </c>
      <c r="ASU356" s="999" t="s">
        <v>582</v>
      </c>
    </row>
    <row r="357" spans="1:466 1191:1191" ht="21" customHeight="1" x14ac:dyDescent="0.25">
      <c r="A357" s="982">
        <f t="shared" si="274"/>
        <v>1387</v>
      </c>
      <c r="B357" s="124">
        <f>SUBTOTAL(103,$J$29:J357)</f>
        <v>329</v>
      </c>
      <c r="C357" s="126">
        <v>45068</v>
      </c>
      <c r="D357" s="124" t="s">
        <v>176</v>
      </c>
      <c r="E357" s="127" t="s">
        <v>177</v>
      </c>
      <c r="F357" s="128" t="s">
        <v>177</v>
      </c>
      <c r="G357" s="127" t="s">
        <v>178</v>
      </c>
      <c r="H357" s="127" t="s">
        <v>179</v>
      </c>
      <c r="I357" s="127" t="s">
        <v>1456</v>
      </c>
      <c r="J357" s="152">
        <v>1387</v>
      </c>
      <c r="K357" s="127" t="s">
        <v>1456</v>
      </c>
      <c r="L357" s="130">
        <v>44280</v>
      </c>
      <c r="M357" s="127" t="s">
        <v>230</v>
      </c>
      <c r="N357" s="127" t="s">
        <v>245</v>
      </c>
      <c r="O357" s="127" t="s">
        <v>185</v>
      </c>
      <c r="P357" s="127" t="s">
        <v>186</v>
      </c>
      <c r="Q357" s="85">
        <f t="shared" si="275"/>
        <v>-4</v>
      </c>
      <c r="R357" s="130">
        <v>43877</v>
      </c>
      <c r="S357" s="128" t="s">
        <v>1318</v>
      </c>
      <c r="T357" s="131" t="s">
        <v>1457</v>
      </c>
      <c r="U357" s="132">
        <v>203</v>
      </c>
      <c r="V357" s="121">
        <v>218.2</v>
      </c>
      <c r="W357" s="116">
        <v>0.98</v>
      </c>
      <c r="X357" s="116">
        <v>1.66</v>
      </c>
      <c r="Y357" s="116">
        <f t="shared" si="239"/>
        <v>1.3155085749034474</v>
      </c>
      <c r="Z357" s="133">
        <v>1.454</v>
      </c>
      <c r="AA357" s="133">
        <v>0.83599999999999997</v>
      </c>
      <c r="AB357" s="133">
        <v>0.72</v>
      </c>
      <c r="AC357" s="121">
        <v>34.299999999999997</v>
      </c>
      <c r="AD357" s="134">
        <v>1.17</v>
      </c>
      <c r="AE357" s="124">
        <v>177.8</v>
      </c>
      <c r="AF357" s="128">
        <v>9.19</v>
      </c>
      <c r="AG357" s="128">
        <v>2311.6</v>
      </c>
      <c r="AH357" s="127">
        <v>3023</v>
      </c>
      <c r="AI357" s="127">
        <v>3023</v>
      </c>
      <c r="AJ357" s="135">
        <v>43868</v>
      </c>
      <c r="AK357" s="128"/>
      <c r="AL357" s="131"/>
      <c r="AM357" s="124" t="s">
        <v>985</v>
      </c>
      <c r="AN357" s="136" t="s">
        <v>1458</v>
      </c>
      <c r="AO357" s="137">
        <v>41.06</v>
      </c>
      <c r="AP357" s="128">
        <v>2566.83</v>
      </c>
      <c r="AQ357" s="128">
        <v>621.5</v>
      </c>
      <c r="AR357" s="128" t="s">
        <v>1459</v>
      </c>
      <c r="AS357" s="128">
        <v>114</v>
      </c>
      <c r="AT357" s="122">
        <v>7.37</v>
      </c>
      <c r="AU357" s="124" t="s">
        <v>189</v>
      </c>
      <c r="AV357" s="115">
        <f>VLOOKUP(J357,'[63]ТР нефть'!$J$28:$BP$638,39,0)</f>
        <v>643.00000781300002</v>
      </c>
      <c r="AW357" s="115" t="str">
        <f>VLOOKUP(J357,'[63]ТР нефть'!$J$28:$BP$638,40,0)</f>
        <v>ГП</v>
      </c>
      <c r="AX357" s="115">
        <f>VLOOKUP(J357,'[63]ТР нефть'!$J$28:$BP$638,41,0)</f>
        <v>1267.0000218749999</v>
      </c>
      <c r="AY357" s="115" t="str">
        <f>VLOOKUP(J357,'[63]ТР нефть'!$J$28:$BP$638,42,0)</f>
        <v>ГП</v>
      </c>
      <c r="AZ357" s="115">
        <f>VLOOKUP(J357,'[63]ТР нефть'!$J$28:$BP$638,43,0)</f>
        <v>1690.000062891</v>
      </c>
      <c r="BA357" s="115" t="str">
        <f>VLOOKUP(J357,'[63]ТР нефть'!$J$28:$BP$638,44,0)</f>
        <v>ГК88 5/32</v>
      </c>
      <c r="BB357" s="115">
        <f>VLOOKUP(J357,'[63]ТР нефть'!$J$28:$BP$638,45,0)</f>
        <v>1979.0000226560001</v>
      </c>
      <c r="BC357" s="115" t="str">
        <f>VLOOKUP(J357,'[63]ТР нефть'!$J$28:$BP$638,46,0)</f>
        <v>ЦКсОК 5/16</v>
      </c>
      <c r="BD357" s="115" t="str">
        <f>VLOOKUP(J357,'[63]ТР нефть'!$J$28:$BP$638,47,0)</f>
        <v>-</v>
      </c>
      <c r="BE357" s="115" t="str">
        <f>VLOOKUP(J357,'[63]ТР нефть'!$J$28:$BP$638,48,0)</f>
        <v>-</v>
      </c>
      <c r="BF357" s="115" t="str">
        <f>VLOOKUP(J357,'[63]ТР нефть'!$J$28:$BP$638,49,0)</f>
        <v>-</v>
      </c>
      <c r="BG357" s="115" t="str">
        <f>VLOOKUP(J357,'[63]ТР нефть'!$J$28:$BP$638,50,0)</f>
        <v>-</v>
      </c>
      <c r="BH357" s="115" t="str">
        <f>VLOOKUP(J357,'[63]ТР нефть'!$J$28:$BP$638,51,0)</f>
        <v>-</v>
      </c>
      <c r="BI357" s="115" t="str">
        <f>VLOOKUP(J357,'[63]ТР нефть'!$J$28:$BP$638,52,0)</f>
        <v>-</v>
      </c>
      <c r="BJ357" s="115" t="str">
        <f>IF(IFERROR(VLOOKUP(J357,'[63]ТР нефть'!$J$28:$BP$638,53,0),"-")=0,"-",IFERROR(VLOOKUP(J357,'[63]ТР нефть'!$J$28:$BP$638,53,0),"-"))</f>
        <v>-</v>
      </c>
      <c r="BK357" s="138" t="str">
        <f>IF(IFERROR(VLOOKUP(J357,'[63]ТР нефть'!$J$28:$BP$638,54,0),"-")=0,"-",IFERROR(VLOOKUP(J357,'[63]ТР нефть'!$J$28:$BP$638,54,0),"-"))</f>
        <v>-</v>
      </c>
      <c r="BL357" s="138" t="str">
        <f>IF(IFERROR(VLOOKUP(J357,'[63]ТР нефть'!$J$28:$BP$638,55,0),"-")=0,"-",IFERROR(VLOOKUP(J357,'[63]ТР нефть'!$J$28:$BP$638,55,0),"-"))</f>
        <v>-</v>
      </c>
      <c r="BM357" s="138" t="str">
        <f>IF(IFERROR(VLOOKUP(J357,'[63]ТР нефть'!$J$28:$BP$638,56,0),"-")=0,"-",IFERROR(VLOOKUP(J357,'[63]ТР нефть'!$J$28:$BP$638,56,0),"-"))</f>
        <v>-</v>
      </c>
      <c r="BN357" s="138" t="str">
        <f>IF(IFERROR(VLOOKUP(J357,'[63]ТР нефть'!$J$28:$BP$638,57,0),"-")=0,"-",IFERROR(VLOOKUP(J357,'[63]ТР нефть'!$J$28:$BP$638,57,0),"-"))</f>
        <v>-</v>
      </c>
      <c r="BO357" s="115" t="str">
        <f>IF(IFERROR(VLOOKUP(J357,'[63]ТР нефть'!$J$28:$BP$638,58,0),"-")=0,"-",IFERROR(VLOOKUP(J357,'[63]ТР нефть'!$J$28:$BP$638,58,0),"-"))</f>
        <v>-</v>
      </c>
      <c r="BP357" s="115" t="str">
        <f>IF(IFERROR(VLOOKUP(J357,'[63]ТР нефть'!$J$28:$BP$638,59,0),"-")=0,"-",IFERROR(VLOOKUP(J357,'[63]ТР нефть'!$J$28:$BP$638,59,0),"-"))</f>
        <v>-</v>
      </c>
      <c r="BQ357" s="138">
        <v>3023</v>
      </c>
      <c r="BR357" s="128">
        <v>1988.5</v>
      </c>
      <c r="BS357" s="115">
        <f t="shared" si="258"/>
        <v>1034.5</v>
      </c>
      <c r="BT357" s="128">
        <v>73</v>
      </c>
      <c r="BU357" s="128">
        <v>5.5</v>
      </c>
      <c r="BV357" s="127">
        <v>18</v>
      </c>
      <c r="BW357" s="127" t="s">
        <v>217</v>
      </c>
      <c r="BX357" s="127" t="s">
        <v>195</v>
      </c>
      <c r="BY357" s="139">
        <v>24</v>
      </c>
      <c r="BZ357" s="139">
        <v>0</v>
      </c>
      <c r="CA357" s="138">
        <v>18</v>
      </c>
      <c r="CB357" s="138">
        <v>65</v>
      </c>
      <c r="CC357" s="138">
        <v>17</v>
      </c>
      <c r="CD357" s="135">
        <v>45017</v>
      </c>
      <c r="CE357" s="138">
        <v>150</v>
      </c>
      <c r="CF357" s="138">
        <v>84</v>
      </c>
      <c r="CG357" s="138" t="str">
        <f t="shared" si="265"/>
        <v>В работе</v>
      </c>
      <c r="CH357" s="138" t="s">
        <v>235</v>
      </c>
      <c r="CI357" s="138">
        <v>5</v>
      </c>
      <c r="CJ357" s="139"/>
      <c r="CK357" s="139">
        <f t="shared" si="255"/>
        <v>126</v>
      </c>
      <c r="CL357" s="99"/>
      <c r="CM357" s="99"/>
      <c r="CN357" s="140">
        <v>144</v>
      </c>
      <c r="CO357" s="141">
        <f t="shared" si="276"/>
        <v>0.63101280000000004</v>
      </c>
      <c r="CP357" s="142">
        <v>2</v>
      </c>
      <c r="CQ357" s="143">
        <v>62.26</v>
      </c>
      <c r="CR357" s="138">
        <v>15</v>
      </c>
      <c r="CS357" s="139">
        <v>14</v>
      </c>
      <c r="CT357" s="138"/>
      <c r="CU357" s="138">
        <f t="shared" si="277"/>
        <v>1</v>
      </c>
      <c r="CV357" s="115">
        <f t="shared" si="278"/>
        <v>1584.7539067353307</v>
      </c>
      <c r="CW357" s="115">
        <f t="shared" si="279"/>
        <v>6753.6459075028379</v>
      </c>
      <c r="CX357" s="133">
        <f t="shared" si="280"/>
        <v>0.33333333333333331</v>
      </c>
      <c r="CY357" s="116"/>
      <c r="CZ357" s="131"/>
      <c r="DA357" s="145" t="str">
        <f t="shared" si="281"/>
        <v>Газлифт</v>
      </c>
      <c r="DB357" s="146">
        <f t="shared" si="282"/>
        <v>1.9876903200000002</v>
      </c>
      <c r="DC357" s="142">
        <f t="shared" si="296"/>
        <v>6.3</v>
      </c>
      <c r="DD357" s="119">
        <f t="shared" si="250"/>
        <v>62.26</v>
      </c>
      <c r="DE357" s="115">
        <f t="shared" si="283"/>
        <v>1</v>
      </c>
      <c r="DF357" s="121">
        <f t="shared" si="284"/>
        <v>14</v>
      </c>
      <c r="DG357" s="115">
        <f t="shared" si="285"/>
        <v>1584.7539067353307</v>
      </c>
      <c r="DH357" s="115">
        <f t="shared" si="286"/>
        <v>144</v>
      </c>
      <c r="DI357" s="147"/>
      <c r="DJ357" s="111"/>
      <c r="DK357" s="112">
        <v>44280</v>
      </c>
      <c r="DL357" s="113">
        <f t="shared" ca="1" si="266"/>
        <v>824</v>
      </c>
      <c r="DM357" s="114"/>
      <c r="DN357" s="114"/>
      <c r="DO357" s="114"/>
      <c r="DP357" s="114"/>
      <c r="DQ357" s="112"/>
      <c r="DR357" s="114"/>
      <c r="DS357" s="114"/>
      <c r="DT357" s="115">
        <v>60</v>
      </c>
      <c r="DU357" s="116">
        <f t="shared" si="267"/>
        <v>0.24886877828054296</v>
      </c>
      <c r="DV357" s="117">
        <f t="shared" si="268"/>
        <v>7.0667723076923084</v>
      </c>
      <c r="DW357" s="118">
        <f t="shared" si="269"/>
        <v>22.398190045248867</v>
      </c>
      <c r="DX357" s="119">
        <f t="shared" si="287"/>
        <v>62.26</v>
      </c>
      <c r="DY357" s="115">
        <f t="shared" si="270"/>
        <v>11.199095022624435</v>
      </c>
      <c r="DZ357" s="117">
        <f t="shared" si="271"/>
        <v>6.4357595076923086</v>
      </c>
      <c r="EA357" s="120">
        <f t="shared" si="271"/>
        <v>20.398190045248867</v>
      </c>
      <c r="EB357" s="119">
        <f t="shared" si="264"/>
        <v>0</v>
      </c>
      <c r="EC357" s="121">
        <f t="shared" si="272"/>
        <v>10.199095022624435</v>
      </c>
      <c r="ED357" s="122"/>
      <c r="EE357" s="145">
        <v>18</v>
      </c>
      <c r="EF357" s="115">
        <v>18</v>
      </c>
      <c r="EG357" s="115">
        <v>62</v>
      </c>
      <c r="EH357" s="115">
        <v>17</v>
      </c>
      <c r="EI357" s="128" t="s">
        <v>218</v>
      </c>
      <c r="EJ357" s="121">
        <v>24</v>
      </c>
      <c r="EK357" s="121">
        <v>24</v>
      </c>
      <c r="EL357" s="149">
        <v>1.9876903200000002</v>
      </c>
      <c r="EM357" s="142">
        <v>6.3</v>
      </c>
      <c r="EN357" s="119">
        <v>62.26</v>
      </c>
      <c r="EO357" s="115">
        <v>6</v>
      </c>
      <c r="EP357" s="115">
        <v>1510.2956279426867</v>
      </c>
      <c r="EQ357" s="115">
        <v>84</v>
      </c>
      <c r="ER357" s="115">
        <v>2.9980000000000002</v>
      </c>
      <c r="ES357" s="115">
        <v>82.23</v>
      </c>
      <c r="ET357" s="150">
        <v>0.11502647434727041</v>
      </c>
      <c r="EU357" s="145">
        <f t="shared" si="288"/>
        <v>18</v>
      </c>
      <c r="EV357" s="115">
        <f t="shared" si="289"/>
        <v>18</v>
      </c>
      <c r="EW357" s="115">
        <f t="shared" si="289"/>
        <v>65</v>
      </c>
      <c r="EX357" s="115">
        <f t="shared" si="289"/>
        <v>17</v>
      </c>
      <c r="EY357" s="115" t="str">
        <f t="shared" si="253"/>
        <v>Постоянный</v>
      </c>
      <c r="EZ357" s="115">
        <f t="shared" si="253"/>
        <v>24</v>
      </c>
      <c r="FA357" s="115">
        <f t="shared" si="253"/>
        <v>0</v>
      </c>
      <c r="FB357" s="149">
        <f t="shared" si="238"/>
        <v>0.63101280000000004</v>
      </c>
      <c r="FC357" s="142">
        <f t="shared" si="238"/>
        <v>2</v>
      </c>
      <c r="FD357" s="119">
        <f t="shared" si="238"/>
        <v>62.26</v>
      </c>
      <c r="FE357" s="121">
        <f t="shared" si="238"/>
        <v>15</v>
      </c>
      <c r="FF357" s="121">
        <f t="shared" si="247"/>
        <v>1584.7539067353307</v>
      </c>
      <c r="FG357" s="121">
        <f t="shared" si="290"/>
        <v>84</v>
      </c>
      <c r="FH357" s="121">
        <f t="shared" si="248"/>
        <v>14</v>
      </c>
      <c r="FI357" s="121">
        <f t="shared" si="252"/>
        <v>144</v>
      </c>
      <c r="FJ357" s="144">
        <f t="shared" si="291"/>
        <v>0.33333333333333331</v>
      </c>
      <c r="FK357" s="132">
        <f t="shared" si="292"/>
        <v>0</v>
      </c>
      <c r="FL357" s="115">
        <f t="shared" si="292"/>
        <v>0</v>
      </c>
      <c r="FM357" s="115">
        <f t="shared" si="292"/>
        <v>3</v>
      </c>
      <c r="FN357" s="115">
        <f t="shared" si="273"/>
        <v>0</v>
      </c>
      <c r="FO357" s="115">
        <f t="shared" si="257"/>
        <v>0</v>
      </c>
      <c r="FP357" s="115">
        <f t="shared" si="257"/>
        <v>-24</v>
      </c>
      <c r="FQ357" s="149">
        <f t="shared" si="257"/>
        <v>-1.3566775200000003</v>
      </c>
      <c r="FR357" s="142">
        <f t="shared" si="256"/>
        <v>-4.3</v>
      </c>
      <c r="FS357" s="119">
        <f t="shared" si="256"/>
        <v>0</v>
      </c>
      <c r="FT357" s="121">
        <f t="shared" si="256"/>
        <v>9</v>
      </c>
      <c r="FU357" s="121">
        <f t="shared" si="293"/>
        <v>0</v>
      </c>
      <c r="FV357" s="121">
        <f t="shared" si="293"/>
        <v>11.001999999999999</v>
      </c>
      <c r="FW357" s="121">
        <f t="shared" si="294"/>
        <v>74.458278792644023</v>
      </c>
      <c r="FX357" s="121">
        <f t="shared" si="295"/>
        <v>61.769999999999996</v>
      </c>
      <c r="FY357" s="144">
        <f t="shared" si="295"/>
        <v>0.21830685898606289</v>
      </c>
      <c r="FZ357" s="145" t="s">
        <v>199</v>
      </c>
      <c r="GA357" s="151" t="s">
        <v>1460</v>
      </c>
      <c r="GB357" s="145"/>
      <c r="GC357" s="151"/>
      <c r="GD357" s="997" t="s">
        <v>220</v>
      </c>
      <c r="GE357" s="1004"/>
      <c r="GF357" s="1004">
        <v>0</v>
      </c>
      <c r="GG357" s="1004"/>
      <c r="GH357" s="1004">
        <v>0</v>
      </c>
      <c r="GI357" s="145"/>
      <c r="GJ357" s="996">
        <v>0</v>
      </c>
      <c r="GK357" s="145"/>
      <c r="GL357" s="996">
        <v>0</v>
      </c>
      <c r="GM357" s="1005"/>
      <c r="GN357" s="996">
        <v>0</v>
      </c>
      <c r="GO357" s="1006"/>
      <c r="GP357" s="996">
        <v>-5.3194679999999606E-2</v>
      </c>
      <c r="GQ357" s="1006"/>
      <c r="GR357" s="996">
        <v>0.14985300000000001</v>
      </c>
      <c r="GS357" s="1006"/>
      <c r="GT357" s="996">
        <v>-0.31600799999999984</v>
      </c>
      <c r="GU357" s="1006"/>
      <c r="GV357" s="996">
        <v>0.20063999999999993</v>
      </c>
      <c r="GW357" s="1006" t="s">
        <v>199</v>
      </c>
      <c r="GX357" s="1036">
        <v>-1.8057600000000007</v>
      </c>
      <c r="GY357" s="1006"/>
      <c r="GZ357" s="996">
        <v>0.19060800000000055</v>
      </c>
      <c r="HA357" s="1006"/>
      <c r="HB357" s="996">
        <v>0</v>
      </c>
      <c r="HC357" s="1006"/>
      <c r="HD357" s="996">
        <v>-0.19060800000000055</v>
      </c>
      <c r="HE357" s="1006"/>
      <c r="HF357" s="996">
        <v>-6.687999999999894E-2</v>
      </c>
      <c r="HG357" s="1006"/>
      <c r="HH357" s="996">
        <v>0.46815999999999924</v>
      </c>
      <c r="HI357" s="1006"/>
      <c r="HJ357" s="996">
        <v>0</v>
      </c>
      <c r="HK357" s="1006"/>
      <c r="HL357" s="996">
        <v>0</v>
      </c>
      <c r="HM357" s="1006"/>
      <c r="HN357" s="996">
        <v>-0.52166399999999857</v>
      </c>
      <c r="HO357" s="1006"/>
      <c r="HP357" s="996">
        <v>7.0223999999998732E-2</v>
      </c>
      <c r="HQ357" s="1006"/>
      <c r="HR357" s="996">
        <v>0</v>
      </c>
      <c r="HS357" s="1006" t="s">
        <v>643</v>
      </c>
      <c r="HT357" s="996">
        <v>0</v>
      </c>
      <c r="HU357" s="1006" t="s">
        <v>199</v>
      </c>
      <c r="HV357" s="996">
        <v>1.1704000000000003</v>
      </c>
      <c r="HW357" s="1006" t="s">
        <v>1382</v>
      </c>
      <c r="HX357" s="996">
        <v>0</v>
      </c>
      <c r="HY357" s="1006" t="s">
        <v>241</v>
      </c>
      <c r="HZ357" s="996">
        <v>-20.327657679999998</v>
      </c>
      <c r="IA357" s="1006"/>
      <c r="IB357" s="996">
        <v>0</v>
      </c>
      <c r="IC357" s="1006" t="s">
        <v>25</v>
      </c>
      <c r="ID357" s="996">
        <v>23.019577679999998</v>
      </c>
      <c r="IE357" s="1006"/>
      <c r="IF357" s="996">
        <v>0</v>
      </c>
      <c r="IG357" s="1006"/>
      <c r="IH357" s="996">
        <v>0</v>
      </c>
      <c r="II357" s="1006"/>
      <c r="IJ357" s="996"/>
      <c r="IK357" s="1006"/>
      <c r="IL357" s="996"/>
      <c r="IM357" s="1006"/>
      <c r="IN357" s="996"/>
      <c r="IO357" s="1006"/>
      <c r="IP357" s="996"/>
      <c r="IQ357" s="1006"/>
      <c r="IR357" s="996"/>
      <c r="IS357" s="1006"/>
      <c r="IT357" s="996"/>
      <c r="IU357" s="1006"/>
      <c r="IV357" s="996"/>
      <c r="IW357" s="1006"/>
      <c r="IX357" s="996"/>
      <c r="IY357" s="1006"/>
      <c r="IZ357" s="996"/>
      <c r="JA357" s="1006"/>
      <c r="JB357" s="996"/>
      <c r="JC357" s="1006"/>
      <c r="JD357" s="996"/>
      <c r="JE357" s="1006"/>
      <c r="JF357" s="996"/>
      <c r="JG357" s="1006"/>
      <c r="JH357" s="996"/>
      <c r="JI357" s="1006"/>
      <c r="JJ357" s="996"/>
      <c r="JK357" s="1007"/>
      <c r="JL357" s="1007"/>
      <c r="JM357" s="1007"/>
      <c r="JN357" s="1007"/>
      <c r="JO357" s="1008"/>
      <c r="JP357" s="1007"/>
      <c r="JQ357" s="1008"/>
      <c r="JR357" s="1007"/>
      <c r="JS357" s="1008"/>
      <c r="JT357" s="1007"/>
      <c r="JU357" s="1008"/>
      <c r="JV357" s="1007"/>
      <c r="JW357" s="1008"/>
      <c r="JX357" s="1007"/>
      <c r="JY357" s="1008"/>
      <c r="JZ357" s="1007"/>
      <c r="KA357" s="1008"/>
      <c r="KB357" s="1007"/>
      <c r="KC357" s="1008"/>
      <c r="KD357" s="1007"/>
      <c r="KE357" s="1008"/>
      <c r="KF357" s="1007"/>
      <c r="KG357" s="1008"/>
      <c r="KH357" s="1007"/>
      <c r="KI357" s="1008"/>
      <c r="KJ357" s="1007"/>
      <c r="KK357" s="1008"/>
      <c r="KL357" s="1007"/>
      <c r="KM357" s="1008"/>
      <c r="KN357" s="1007"/>
      <c r="KO357" s="1008"/>
      <c r="KP357" s="1007"/>
      <c r="KQ357" s="1008"/>
      <c r="KR357" s="1007"/>
      <c r="KS357" s="1008"/>
      <c r="KT357" s="1007"/>
      <c r="KU357" s="1008"/>
      <c r="KV357" s="1007"/>
      <c r="KW357" s="1008"/>
      <c r="KX357" s="1007"/>
      <c r="KY357" s="1008"/>
      <c r="KZ357" s="1007"/>
      <c r="LA357" s="1008"/>
      <c r="LB357" s="1007"/>
      <c r="LC357" s="1008"/>
      <c r="LD357" s="1007"/>
      <c r="LE357" s="1008"/>
      <c r="LF357" s="1007"/>
      <c r="LG357" s="1008"/>
      <c r="LH357" s="1007"/>
      <c r="LI357" s="1008"/>
      <c r="LJ357" s="1007"/>
      <c r="LK357" s="1008"/>
      <c r="LL357" s="1007"/>
      <c r="LM357" s="1008"/>
      <c r="LN357" s="1007"/>
      <c r="LO357" s="1008"/>
      <c r="LP357" s="1007"/>
      <c r="LQ357" s="1008"/>
      <c r="LR357" s="1007"/>
      <c r="LS357" s="1008"/>
      <c r="LT357" s="1007"/>
      <c r="LU357" s="1008"/>
      <c r="LV357" s="1007"/>
      <c r="LW357" s="1008"/>
      <c r="LX357" s="1007"/>
      <c r="LY357" s="1009"/>
      <c r="LZ357" s="1010"/>
      <c r="MA357" s="1011"/>
      <c r="MB357" s="1012"/>
      <c r="MC357" s="995"/>
      <c r="MD357" s="996"/>
      <c r="ME357" s="997" t="s">
        <v>220</v>
      </c>
      <c r="MF357" s="997"/>
      <c r="MG357" s="998"/>
      <c r="NR357" s="1000"/>
      <c r="NS357" s="1000"/>
      <c r="NT357" s="1001"/>
      <c r="NU357" s="1000"/>
      <c r="NV357" s="1001"/>
      <c r="NX357" s="1002"/>
      <c r="NZ357" s="1001"/>
      <c r="OA357" s="1001"/>
      <c r="OC357" s="1003"/>
      <c r="OD357" s="1003"/>
      <c r="OE357" s="1001"/>
      <c r="OF357" s="1003"/>
      <c r="OG357" s="1003"/>
      <c r="QX357" s="1000">
        <f>CN357-CA357</f>
        <v>126</v>
      </c>
      <c r="ASU357" s="999" t="s">
        <v>208</v>
      </c>
    </row>
    <row r="358" spans="1:466 1191:1191" ht="21" customHeight="1" x14ac:dyDescent="0.25">
      <c r="A358" s="982">
        <f t="shared" si="274"/>
        <v>1388</v>
      </c>
      <c r="B358" s="124">
        <f>SUBTOTAL(103,$J$29:J358)</f>
        <v>330</v>
      </c>
      <c r="C358" s="126">
        <v>45068</v>
      </c>
      <c r="D358" s="124" t="s">
        <v>176</v>
      </c>
      <c r="E358" s="127" t="s">
        <v>177</v>
      </c>
      <c r="F358" s="128" t="s">
        <v>177</v>
      </c>
      <c r="G358" s="127" t="s">
        <v>178</v>
      </c>
      <c r="H358" s="127" t="s">
        <v>179</v>
      </c>
      <c r="I358" s="127" t="s">
        <v>601</v>
      </c>
      <c r="J358" s="152">
        <v>1388</v>
      </c>
      <c r="K358" s="127" t="s">
        <v>1461</v>
      </c>
      <c r="L358" s="130">
        <v>43418</v>
      </c>
      <c r="M358" s="127" t="s">
        <v>230</v>
      </c>
      <c r="N358" s="127" t="s">
        <v>184</v>
      </c>
      <c r="O358" s="127" t="s">
        <v>185</v>
      </c>
      <c r="P358" s="127" t="s">
        <v>292</v>
      </c>
      <c r="Q358" s="85" t="str">
        <f t="shared" si="275"/>
        <v/>
      </c>
      <c r="R358" s="130"/>
      <c r="S358" s="128"/>
      <c r="T358" s="131"/>
      <c r="U358" s="132">
        <v>203</v>
      </c>
      <c r="V358" s="121">
        <v>218.2</v>
      </c>
      <c r="W358" s="116">
        <v>0.98</v>
      </c>
      <c r="X358" s="116">
        <v>1.66</v>
      </c>
      <c r="Y358" s="116">
        <f t="shared" si="239"/>
        <v>0.98008029573507216</v>
      </c>
      <c r="Z358" s="133">
        <v>1.454</v>
      </c>
      <c r="AA358" s="133">
        <v>0.83599999999999997</v>
      </c>
      <c r="AB358" s="133">
        <v>0.72</v>
      </c>
      <c r="AC358" s="121">
        <v>34.299999999999997</v>
      </c>
      <c r="AD358" s="134">
        <v>1.17</v>
      </c>
      <c r="AE358" s="124">
        <v>177.8</v>
      </c>
      <c r="AF358" s="128">
        <v>9.19</v>
      </c>
      <c r="AG358" s="128">
        <v>2345</v>
      </c>
      <c r="AH358" s="127">
        <v>2471</v>
      </c>
      <c r="AI358" s="127">
        <v>2471</v>
      </c>
      <c r="AJ358" s="135"/>
      <c r="AK358" s="128"/>
      <c r="AL358" s="131"/>
      <c r="AM358" s="124" t="s">
        <v>232</v>
      </c>
      <c r="AN358" s="136" t="s">
        <v>1462</v>
      </c>
      <c r="AO358" s="137">
        <v>12.69</v>
      </c>
      <c r="AP358" s="128">
        <v>2288</v>
      </c>
      <c r="AQ358" s="128">
        <v>385.02800000000002</v>
      </c>
      <c r="AR358" s="128" t="s">
        <v>1463</v>
      </c>
      <c r="AS358" s="128">
        <v>114</v>
      </c>
      <c r="AT358" s="122">
        <v>7.37</v>
      </c>
      <c r="AU358" s="124" t="s">
        <v>189</v>
      </c>
      <c r="AV358" s="115">
        <f>VLOOKUP(J358,'[63]ТР нефть'!$J$28:$BP$638,39,0)</f>
        <v>519.99999931599996</v>
      </c>
      <c r="AW358" s="115" t="str">
        <f>VLOOKUP(J358,'[63]ТР нефть'!$J$28:$BP$638,40,0)</f>
        <v>ГП</v>
      </c>
      <c r="AX358" s="115">
        <f>VLOOKUP(J358,'[63]ТР нефть'!$J$28:$BP$638,41,0)</f>
        <v>989.99999941399994</v>
      </c>
      <c r="AY358" s="115" t="str">
        <f>VLOOKUP(J358,'[63]ТР нефть'!$J$28:$BP$638,42,0)</f>
        <v>ГП</v>
      </c>
      <c r="AZ358" s="115">
        <f>VLOOKUP(J358,'[63]ТР нефть'!$J$28:$BP$638,43,0)</f>
        <v>1394.999948438</v>
      </c>
      <c r="BA358" s="115" t="str">
        <f>VLOOKUP(J358,'[63]ТР нефть'!$J$28:$BP$638,44,0)</f>
        <v>ГП</v>
      </c>
      <c r="BB358" s="115">
        <f>VLOOKUP(J358,'[63]ТР нефть'!$J$28:$BP$638,45,0)</f>
        <v>1749.999972656</v>
      </c>
      <c r="BC358" s="115" t="str">
        <f>VLOOKUP(J358,'[63]ТР нефть'!$J$28:$BP$638,46,0)</f>
        <v>ГП</v>
      </c>
      <c r="BD358" s="115">
        <f>VLOOKUP(J358,'[63]ТР нефть'!$J$28:$BP$638,47,0)</f>
        <v>2079.9999972659998</v>
      </c>
      <c r="BE358" s="115" t="str">
        <f>VLOOKUP(J358,'[63]ТР нефть'!$J$28:$BP$638,48,0)</f>
        <v>ЦКсОК 5/16</v>
      </c>
      <c r="BF358" s="115" t="str">
        <f>VLOOKUP(J358,'[63]ТР нефть'!$J$28:$BP$638,49,0)</f>
        <v>-</v>
      </c>
      <c r="BG358" s="115" t="str">
        <f>VLOOKUP(J358,'[63]ТР нефть'!$J$28:$BP$638,50,0)</f>
        <v>-</v>
      </c>
      <c r="BH358" s="115">
        <f>VLOOKUP(J358,'[63]ТР нефть'!$J$28:$BP$638,51,0)</f>
        <v>2090</v>
      </c>
      <c r="BI358" s="115" t="str">
        <f>VLOOKUP(J358,'[63]ТР нефть'!$J$28:$BP$638,52,0)</f>
        <v>закрыт</v>
      </c>
      <c r="BJ358" s="115" t="str">
        <f>IF(IFERROR(VLOOKUP(J358,'[63]ТР нефть'!$J$28:$BP$638,53,0),"-")=0,"-",IFERROR(VLOOKUP(J358,'[63]ТР нефть'!$J$28:$BP$638,53,0),"-"))</f>
        <v>-</v>
      </c>
      <c r="BK358" s="138" t="str">
        <f>IF(IFERROR(VLOOKUP(J358,'[63]ТР нефть'!$J$28:$BP$638,54,0),"-")=0,"-",IFERROR(VLOOKUP(J358,'[63]ТР нефть'!$J$28:$BP$638,54,0),"-"))</f>
        <v>-</v>
      </c>
      <c r="BL358" s="138" t="str">
        <f>IF(IFERROR(VLOOKUP(J358,'[63]ТР нефть'!$J$28:$BP$638,55,0),"-")=0,"-",IFERROR(VLOOKUP(J358,'[63]ТР нефть'!$J$28:$BP$638,55,0),"-"))</f>
        <v>-</v>
      </c>
      <c r="BM358" s="138" t="str">
        <f>IF(IFERROR(VLOOKUP(J358,'[63]ТР нефть'!$J$28:$BP$638,56,0),"-")=0,"-",IFERROR(VLOOKUP(J358,'[63]ТР нефть'!$J$28:$BP$638,56,0),"-"))</f>
        <v>-</v>
      </c>
      <c r="BN358" s="138" t="str">
        <f>IF(IFERROR(VLOOKUP(J358,'[63]ТР нефть'!$J$28:$BP$638,57,0),"-")=0,"-",IFERROR(VLOOKUP(J358,'[63]ТР нефть'!$J$28:$BP$638,57,0),"-"))</f>
        <v>-</v>
      </c>
      <c r="BO358" s="115" t="str">
        <f>IF(IFERROR(VLOOKUP(J358,'[63]ТР нефть'!$J$28:$BP$638,58,0),"-")=0,"-",IFERROR(VLOOKUP(J358,'[63]ТР нефть'!$J$28:$BP$638,58,0),"-"))</f>
        <v>-</v>
      </c>
      <c r="BP358" s="115" t="str">
        <f>IF(IFERROR(VLOOKUP(J358,'[63]ТР нефть'!$J$28:$BP$638,59,0),"-")=0,"-",IFERROR(VLOOKUP(J358,'[63]ТР нефть'!$J$28:$BP$638,59,0),"-"))</f>
        <v>-</v>
      </c>
      <c r="BQ358" s="138">
        <v>2262</v>
      </c>
      <c r="BR358" s="128">
        <v>1893.79</v>
      </c>
      <c r="BS358" s="115">
        <f t="shared" si="258"/>
        <v>368.21000000000004</v>
      </c>
      <c r="BT358" s="128">
        <v>73</v>
      </c>
      <c r="BU358" s="128">
        <v>5.5</v>
      </c>
      <c r="BV358" s="127">
        <v>18</v>
      </c>
      <c r="BW358" s="127" t="s">
        <v>217</v>
      </c>
      <c r="BX358" s="127" t="s">
        <v>195</v>
      </c>
      <c r="BY358" s="139">
        <v>24</v>
      </c>
      <c r="BZ358" s="139">
        <v>0</v>
      </c>
      <c r="CA358" s="80">
        <v>19</v>
      </c>
      <c r="CB358" s="138">
        <v>60</v>
      </c>
      <c r="CC358" s="138">
        <v>18</v>
      </c>
      <c r="CD358" s="135">
        <v>45017</v>
      </c>
      <c r="CE358" s="138">
        <v>102</v>
      </c>
      <c r="CF358" s="138">
        <v>82</v>
      </c>
      <c r="CG358" s="138" t="str">
        <f t="shared" si="265"/>
        <v/>
      </c>
      <c r="CH358" s="138" t="s">
        <v>197</v>
      </c>
      <c r="CI358" s="127">
        <v>5</v>
      </c>
      <c r="CJ358" s="138"/>
      <c r="CK358" s="138">
        <f t="shared" si="255"/>
        <v>19</v>
      </c>
      <c r="CL358" s="99"/>
      <c r="CM358" s="99"/>
      <c r="CN358" s="140">
        <v>38</v>
      </c>
      <c r="CO358" s="141">
        <f t="shared" si="276"/>
        <v>4.4299138400000002</v>
      </c>
      <c r="CP358" s="142">
        <v>5.3</v>
      </c>
      <c r="CQ358" s="143">
        <v>0.02</v>
      </c>
      <c r="CR358" s="138">
        <v>25</v>
      </c>
      <c r="CS358" s="139">
        <v>10.8</v>
      </c>
      <c r="CT358" s="138"/>
      <c r="CU358" s="138">
        <f t="shared" si="277"/>
        <v>14.2</v>
      </c>
      <c r="CV358" s="115">
        <f t="shared" si="278"/>
        <v>3205.4799512759823</v>
      </c>
      <c r="CW358" s="115">
        <f t="shared" si="279"/>
        <v>2437.2953196627009</v>
      </c>
      <c r="CX358" s="133">
        <f t="shared" si="280"/>
        <v>8.2812499999999997E-2</v>
      </c>
      <c r="CY358" s="116"/>
      <c r="CZ358" s="131"/>
      <c r="DA358" s="145" t="str">
        <f t="shared" si="281"/>
        <v>Газлифт</v>
      </c>
      <c r="DB358" s="146">
        <f t="shared" si="282"/>
        <v>4.4299138400000002</v>
      </c>
      <c r="DC358" s="142">
        <f t="shared" si="296"/>
        <v>5.3</v>
      </c>
      <c r="DD358" s="119">
        <f t="shared" si="250"/>
        <v>0.02</v>
      </c>
      <c r="DE358" s="115">
        <f t="shared" si="283"/>
        <v>14.2</v>
      </c>
      <c r="DF358" s="121">
        <f t="shared" si="284"/>
        <v>10.8</v>
      </c>
      <c r="DG358" s="115">
        <f t="shared" si="285"/>
        <v>3205.4799512759823</v>
      </c>
      <c r="DH358" s="115">
        <f t="shared" si="286"/>
        <v>38</v>
      </c>
      <c r="DI358" s="147"/>
      <c r="DJ358" s="111" t="s">
        <v>197</v>
      </c>
      <c r="DK358" s="112">
        <v>43418</v>
      </c>
      <c r="DL358" s="113">
        <f t="shared" ca="1" si="266"/>
        <v>1686</v>
      </c>
      <c r="DM358" s="114"/>
      <c r="DN358" s="114"/>
      <c r="DO358" s="114"/>
      <c r="DP358" s="114"/>
      <c r="DQ358" s="112">
        <v>43418</v>
      </c>
      <c r="DR358" s="114" t="s">
        <v>324</v>
      </c>
      <c r="DS358" s="114"/>
      <c r="DT358" s="115">
        <v>44</v>
      </c>
      <c r="DU358" s="116">
        <f t="shared" si="267"/>
        <v>9.1379310344827588E-2</v>
      </c>
      <c r="DV358" s="117">
        <f t="shared" si="268"/>
        <v>4.4299138400000002</v>
      </c>
      <c r="DW358" s="118">
        <f t="shared" si="269"/>
        <v>5.3</v>
      </c>
      <c r="DX358" s="119">
        <f t="shared" si="287"/>
        <v>0.02</v>
      </c>
      <c r="DY358" s="115">
        <f t="shared" si="270"/>
        <v>14.2</v>
      </c>
      <c r="DZ358" s="117">
        <f t="shared" si="271"/>
        <v>0</v>
      </c>
      <c r="EA358" s="120">
        <f t="shared" si="271"/>
        <v>0</v>
      </c>
      <c r="EB358" s="119">
        <f t="shared" si="264"/>
        <v>0</v>
      </c>
      <c r="EC358" s="121">
        <f t="shared" si="272"/>
        <v>0</v>
      </c>
      <c r="ED358" s="122"/>
      <c r="EE358" s="145">
        <v>18</v>
      </c>
      <c r="EF358" s="148">
        <v>19</v>
      </c>
      <c r="EG358" s="115">
        <v>60</v>
      </c>
      <c r="EH358" s="115">
        <v>18</v>
      </c>
      <c r="EI358" s="128" t="s">
        <v>195</v>
      </c>
      <c r="EJ358" s="121">
        <v>24</v>
      </c>
      <c r="EK358" s="121">
        <v>0</v>
      </c>
      <c r="EL358" s="149">
        <v>4.4299138400000002</v>
      </c>
      <c r="EM358" s="142">
        <v>5.3</v>
      </c>
      <c r="EN358" s="119">
        <v>0.02</v>
      </c>
      <c r="EO358" s="115">
        <v>25</v>
      </c>
      <c r="EP358" s="115">
        <v>3205.4799512759823</v>
      </c>
      <c r="EQ358" s="115">
        <v>82</v>
      </c>
      <c r="ER358" s="115">
        <v>10.8</v>
      </c>
      <c r="ES358" s="115">
        <v>38</v>
      </c>
      <c r="ET358" s="150">
        <v>8.2812499999999997E-2</v>
      </c>
      <c r="EU358" s="145">
        <f t="shared" si="288"/>
        <v>18</v>
      </c>
      <c r="EV358" s="115">
        <f t="shared" si="289"/>
        <v>19</v>
      </c>
      <c r="EW358" s="115">
        <f t="shared" si="289"/>
        <v>60</v>
      </c>
      <c r="EX358" s="115">
        <f t="shared" si="289"/>
        <v>18</v>
      </c>
      <c r="EY358" s="115" t="str">
        <f t="shared" si="253"/>
        <v>Постоянный</v>
      </c>
      <c r="EZ358" s="115">
        <f t="shared" si="253"/>
        <v>24</v>
      </c>
      <c r="FA358" s="115">
        <f t="shared" si="253"/>
        <v>0</v>
      </c>
      <c r="FB358" s="149">
        <f t="shared" si="238"/>
        <v>4.4299138400000002</v>
      </c>
      <c r="FC358" s="142">
        <f t="shared" si="238"/>
        <v>5.3</v>
      </c>
      <c r="FD358" s="119">
        <f t="shared" si="238"/>
        <v>0.02</v>
      </c>
      <c r="FE358" s="121">
        <f t="shared" si="238"/>
        <v>25</v>
      </c>
      <c r="FF358" s="121">
        <f t="shared" si="247"/>
        <v>3205.4799512759823</v>
      </c>
      <c r="FG358" s="121">
        <f t="shared" si="290"/>
        <v>82</v>
      </c>
      <c r="FH358" s="121">
        <f t="shared" si="248"/>
        <v>10.8</v>
      </c>
      <c r="FI358" s="121">
        <f t="shared" si="252"/>
        <v>38</v>
      </c>
      <c r="FJ358" s="144">
        <f t="shared" si="291"/>
        <v>8.2812499999999997E-2</v>
      </c>
      <c r="FK358" s="132">
        <f t="shared" si="292"/>
        <v>0</v>
      </c>
      <c r="FL358" s="115">
        <f t="shared" si="292"/>
        <v>0</v>
      </c>
      <c r="FM358" s="115">
        <f t="shared" si="292"/>
        <v>0</v>
      </c>
      <c r="FN358" s="115">
        <f t="shared" si="273"/>
        <v>0</v>
      </c>
      <c r="FO358" s="115">
        <f t="shared" si="257"/>
        <v>0</v>
      </c>
      <c r="FP358" s="115">
        <f t="shared" si="257"/>
        <v>0</v>
      </c>
      <c r="FQ358" s="149">
        <f t="shared" si="257"/>
        <v>0</v>
      </c>
      <c r="FR358" s="142">
        <f t="shared" si="256"/>
        <v>0</v>
      </c>
      <c r="FS358" s="119">
        <f t="shared" si="256"/>
        <v>0</v>
      </c>
      <c r="FT358" s="121">
        <f t="shared" si="256"/>
        <v>0</v>
      </c>
      <c r="FU358" s="121">
        <f t="shared" si="293"/>
        <v>0</v>
      </c>
      <c r="FV358" s="121">
        <f t="shared" si="293"/>
        <v>0</v>
      </c>
      <c r="FW358" s="121">
        <f t="shared" si="294"/>
        <v>0</v>
      </c>
      <c r="FX358" s="121">
        <f t="shared" si="295"/>
        <v>0</v>
      </c>
      <c r="FY358" s="144">
        <f t="shared" si="295"/>
        <v>0</v>
      </c>
      <c r="FZ358" s="145"/>
      <c r="GA358" s="151" t="s">
        <v>1464</v>
      </c>
      <c r="GB358" s="145"/>
      <c r="GC358" s="151"/>
      <c r="GD358" s="997" t="s">
        <v>220</v>
      </c>
      <c r="GE358" s="1004"/>
      <c r="GF358" s="1004">
        <v>0</v>
      </c>
      <c r="GG358" s="1004"/>
      <c r="GH358" s="1004">
        <v>0</v>
      </c>
      <c r="GI358" s="145"/>
      <c r="GJ358" s="996">
        <v>0</v>
      </c>
      <c r="GK358" s="145"/>
      <c r="GL358" s="996">
        <v>0</v>
      </c>
      <c r="GM358" s="1005" t="s">
        <v>240</v>
      </c>
      <c r="GN358" s="996">
        <v>-1.9616995815999996</v>
      </c>
      <c r="GO358" s="1006"/>
      <c r="GP358" s="996">
        <v>0</v>
      </c>
      <c r="GQ358" s="1006"/>
      <c r="GR358" s="996">
        <v>-0.74448257839999954</v>
      </c>
      <c r="GS358" s="1006"/>
      <c r="GT358" s="996">
        <v>0</v>
      </c>
      <c r="GU358" s="1006"/>
      <c r="GV358" s="996">
        <v>0.28089600000000026</v>
      </c>
      <c r="GW358" s="1006"/>
      <c r="GX358" s="1036">
        <v>0</v>
      </c>
      <c r="GY358" s="1006"/>
      <c r="GZ358" s="996">
        <v>0.90287999999999879</v>
      </c>
      <c r="HA358" s="1006"/>
      <c r="HB358" s="996">
        <v>0</v>
      </c>
      <c r="HC358" s="1006"/>
      <c r="HD358" s="996">
        <v>0</v>
      </c>
      <c r="HE358" s="1006"/>
      <c r="HF358" s="996">
        <v>0</v>
      </c>
      <c r="HG358" s="1006" t="s">
        <v>204</v>
      </c>
      <c r="HH358" s="996">
        <v>1.7723200000000006</v>
      </c>
      <c r="HI358" s="1006"/>
      <c r="HJ358" s="996">
        <v>-0.8360000000000003</v>
      </c>
      <c r="HK358" s="1006"/>
      <c r="HL358" s="996">
        <v>0</v>
      </c>
      <c r="HM358" s="1006"/>
      <c r="HN358" s="996">
        <v>0</v>
      </c>
      <c r="HO358" s="1006"/>
      <c r="HP358" s="996">
        <v>0</v>
      </c>
      <c r="HQ358" s="1006"/>
      <c r="HR358" s="996">
        <v>0</v>
      </c>
      <c r="HS358" s="1006"/>
      <c r="HT358" s="996">
        <v>0</v>
      </c>
      <c r="HU358" s="1006"/>
      <c r="HV358" s="996">
        <v>0</v>
      </c>
      <c r="HW358" s="1006"/>
      <c r="HX358" s="996">
        <v>0</v>
      </c>
      <c r="HY358" s="1006"/>
      <c r="HZ358" s="996">
        <v>0</v>
      </c>
      <c r="IA358" s="1006"/>
      <c r="IB358" s="996">
        <v>0</v>
      </c>
      <c r="IC358" s="1006"/>
      <c r="ID358" s="996">
        <v>0</v>
      </c>
      <c r="IE358" s="1006"/>
      <c r="IF358" s="996">
        <v>0</v>
      </c>
      <c r="IG358" s="1006"/>
      <c r="IH358" s="996">
        <v>6.7214400000000118E-2</v>
      </c>
      <c r="II358" s="1006" t="s">
        <v>199</v>
      </c>
      <c r="IJ358" s="996">
        <v>-1.2371964000000002</v>
      </c>
      <c r="IK358" s="1006"/>
      <c r="IL358" s="996">
        <v>0</v>
      </c>
      <c r="IM358" s="1006" t="s">
        <v>204</v>
      </c>
      <c r="IN358" s="996">
        <v>-2.8428180000000003</v>
      </c>
      <c r="IO358" s="1006"/>
      <c r="IP358" s="996">
        <v>0</v>
      </c>
      <c r="IQ358" s="1006" t="s">
        <v>199</v>
      </c>
      <c r="IR358" s="996">
        <v>-1.7973999999999997</v>
      </c>
      <c r="IS358" s="1006" t="s">
        <v>199</v>
      </c>
      <c r="IT358" s="996">
        <v>3.0313360000000005</v>
      </c>
      <c r="IU358" s="1006" t="s">
        <v>199</v>
      </c>
      <c r="IV358" s="996">
        <v>-3.0731360000000008</v>
      </c>
      <c r="IW358" s="1006"/>
      <c r="IX358" s="996">
        <v>0</v>
      </c>
      <c r="IY358" s="1006"/>
      <c r="IZ358" s="996">
        <v>0</v>
      </c>
      <c r="JA358" s="1006" t="s">
        <v>223</v>
      </c>
      <c r="JB358" s="996">
        <v>-1.6719999999999988</v>
      </c>
      <c r="JC358" s="1006"/>
      <c r="JD358" s="996">
        <v>0</v>
      </c>
      <c r="JE358" s="1006"/>
      <c r="JF358" s="996">
        <v>0</v>
      </c>
      <c r="JG358" s="1006"/>
      <c r="JH358" s="996">
        <v>0</v>
      </c>
      <c r="JI358" s="1006"/>
      <c r="JJ358" s="996">
        <v>0</v>
      </c>
      <c r="JK358" s="1007"/>
      <c r="JL358" s="1007">
        <v>0</v>
      </c>
      <c r="JM358" s="1007"/>
      <c r="JN358" s="1007">
        <v>0</v>
      </c>
      <c r="JO358" s="1008"/>
      <c r="JP358" s="1007">
        <v>0</v>
      </c>
      <c r="JQ358" s="1008">
        <v>0</v>
      </c>
      <c r="JR358" s="1007">
        <v>0</v>
      </c>
      <c r="JS358" s="1008">
        <v>0</v>
      </c>
      <c r="JT358" s="1007">
        <v>0</v>
      </c>
      <c r="JU358" s="1008"/>
      <c r="JV358" s="1007">
        <v>0</v>
      </c>
      <c r="JW358" s="1008" t="s">
        <v>197</v>
      </c>
      <c r="JX358" s="1007">
        <v>0</v>
      </c>
      <c r="JY358" s="1008"/>
      <c r="JZ358" s="1007">
        <v>0</v>
      </c>
      <c r="KA358" s="1008"/>
      <c r="KB358" s="1007">
        <v>0</v>
      </c>
      <c r="KC358" s="1008"/>
      <c r="KD358" s="1007">
        <v>0</v>
      </c>
      <c r="KE358" s="1008" t="s">
        <v>240</v>
      </c>
      <c r="KF358" s="1007">
        <v>-17.974</v>
      </c>
      <c r="KG358" s="1008"/>
      <c r="KH358" s="1007">
        <v>0</v>
      </c>
      <c r="KI358" s="1008"/>
      <c r="KJ358" s="1007">
        <v>0</v>
      </c>
      <c r="KK358" s="1008"/>
      <c r="KL358" s="1007"/>
      <c r="KM358" s="1008"/>
      <c r="KN358" s="1007"/>
      <c r="KO358" s="1008"/>
      <c r="KP358" s="1007"/>
      <c r="KQ358" s="1008"/>
      <c r="KR358" s="1007"/>
      <c r="KS358" s="1008"/>
      <c r="KT358" s="1007"/>
      <c r="KU358" s="1008"/>
      <c r="KV358" s="1007"/>
      <c r="KW358" s="1008"/>
      <c r="KX358" s="1007"/>
      <c r="KY358" s="1008"/>
      <c r="KZ358" s="1007"/>
      <c r="LA358" s="1008"/>
      <c r="LB358" s="1007"/>
      <c r="LC358" s="1008"/>
      <c r="LD358" s="1007"/>
      <c r="LE358" s="1008"/>
      <c r="LF358" s="1007"/>
      <c r="LG358" s="1008"/>
      <c r="LH358" s="1007"/>
      <c r="LI358" s="1008"/>
      <c r="LJ358" s="1007"/>
      <c r="LK358" s="1008"/>
      <c r="LL358" s="1007"/>
      <c r="LM358" s="1008"/>
      <c r="LN358" s="1007"/>
      <c r="LO358" s="1008"/>
      <c r="LP358" s="1007"/>
      <c r="LQ358" s="1008"/>
      <c r="LR358" s="1007"/>
      <c r="LS358" s="1008"/>
      <c r="LT358" s="1007"/>
      <c r="LU358" s="1008"/>
      <c r="LV358" s="1007"/>
      <c r="LW358" s="1008"/>
      <c r="LX358" s="1007"/>
      <c r="LY358" s="1009"/>
      <c r="LZ358" s="1010"/>
      <c r="MA358" s="1011"/>
      <c r="MB358" s="1012"/>
      <c r="MC358" s="995"/>
      <c r="MD358" s="996"/>
      <c r="ME358" s="997" t="s">
        <v>220</v>
      </c>
      <c r="MF358" s="997"/>
      <c r="MG358" s="998"/>
      <c r="NR358" s="1000"/>
      <c r="NS358" s="1000"/>
      <c r="NT358" s="1001"/>
      <c r="NU358" s="1000"/>
      <c r="NV358" s="1001"/>
      <c r="NX358" s="1002"/>
      <c r="NZ358" s="1001"/>
      <c r="OA358" s="1001"/>
      <c r="OC358" s="1003"/>
      <c r="OD358" s="1003"/>
      <c r="OE358" s="1001"/>
      <c r="OF358" s="1003"/>
      <c r="OG358" s="1003"/>
      <c r="QX358" s="1000">
        <f>CN358-CA358</f>
        <v>19</v>
      </c>
      <c r="ASU358" s="999" t="s">
        <v>208</v>
      </c>
    </row>
    <row r="359" spans="1:466 1191:1191" ht="21" customHeight="1" x14ac:dyDescent="0.25">
      <c r="A359" s="982">
        <f t="shared" si="274"/>
        <v>1391</v>
      </c>
      <c r="B359" s="124">
        <f>SUBTOTAL(103,$J$29:J359)</f>
        <v>331</v>
      </c>
      <c r="C359" s="126">
        <v>45068</v>
      </c>
      <c r="D359" s="124" t="s">
        <v>176</v>
      </c>
      <c r="E359" s="127" t="s">
        <v>177</v>
      </c>
      <c r="F359" s="128" t="s">
        <v>177</v>
      </c>
      <c r="G359" s="127" t="s">
        <v>178</v>
      </c>
      <c r="H359" s="127" t="s">
        <v>179</v>
      </c>
      <c r="I359" s="127" t="s">
        <v>1456</v>
      </c>
      <c r="J359" s="152">
        <v>1391</v>
      </c>
      <c r="K359" s="127" t="s">
        <v>1456</v>
      </c>
      <c r="L359" s="130">
        <v>44280</v>
      </c>
      <c r="M359" s="127" t="s">
        <v>230</v>
      </c>
      <c r="N359" s="127" t="s">
        <v>245</v>
      </c>
      <c r="O359" s="127" t="s">
        <v>702</v>
      </c>
      <c r="P359" s="127" t="s">
        <v>292</v>
      </c>
      <c r="Q359" s="127">
        <v>-4</v>
      </c>
      <c r="R359" s="130">
        <v>43881</v>
      </c>
      <c r="S359" s="148" t="s">
        <v>1318</v>
      </c>
      <c r="T359" s="131" t="s">
        <v>1465</v>
      </c>
      <c r="U359" s="132">
        <v>203</v>
      </c>
      <c r="V359" s="121">
        <v>218.2</v>
      </c>
      <c r="W359" s="116">
        <v>0.98</v>
      </c>
      <c r="X359" s="116">
        <v>1.66</v>
      </c>
      <c r="Y359" s="116">
        <f t="shared" si="239"/>
        <v>1.597909790979098</v>
      </c>
      <c r="Z359" s="133">
        <v>1.454</v>
      </c>
      <c r="AA359" s="133">
        <v>0.83599999999999997</v>
      </c>
      <c r="AB359" s="133">
        <v>0.72</v>
      </c>
      <c r="AC359" s="121">
        <v>34.299999999999997</v>
      </c>
      <c r="AD359" s="134">
        <v>1.17</v>
      </c>
      <c r="AE359" s="124">
        <v>177.8</v>
      </c>
      <c r="AF359" s="128">
        <v>9.19</v>
      </c>
      <c r="AG359" s="128">
        <v>2222.54</v>
      </c>
      <c r="AH359" s="127">
        <v>2768</v>
      </c>
      <c r="AI359" s="127">
        <v>2734</v>
      </c>
      <c r="AJ359" s="135">
        <v>43790</v>
      </c>
      <c r="AK359" s="128"/>
      <c r="AL359" s="131"/>
      <c r="AM359" s="124" t="s">
        <v>985</v>
      </c>
      <c r="AN359" s="136" t="s">
        <v>1466</v>
      </c>
      <c r="AO359" s="137">
        <v>4.18</v>
      </c>
      <c r="AP359" s="128">
        <v>2233.65</v>
      </c>
      <c r="AQ359" s="128">
        <v>260.36</v>
      </c>
      <c r="AR359" s="128" t="s">
        <v>1467</v>
      </c>
      <c r="AS359" s="128">
        <v>114</v>
      </c>
      <c r="AT359" s="122">
        <v>7.37</v>
      </c>
      <c r="AU359" s="124" t="s">
        <v>189</v>
      </c>
      <c r="AV359" s="128">
        <f>VLOOKUP(J359,'[63]ТР нефть'!$J$28:$BP$638,39,0)</f>
        <v>633</v>
      </c>
      <c r="AW359" s="128" t="str">
        <f>VLOOKUP(J359,'[63]ТР нефть'!$J$28:$BP$638,40,0)</f>
        <v>ГК 87 1/8</v>
      </c>
      <c r="AX359" s="128">
        <f>VLOOKUP(J359,'[63]ТР нефть'!$J$28:$BP$638,41,0)</f>
        <v>1200</v>
      </c>
      <c r="AY359" s="128" t="str">
        <f>VLOOKUP(J359,'[63]ТР нефть'!$J$28:$BP$638,42,0)</f>
        <v>ГК 90 5/32</v>
      </c>
      <c r="AZ359" s="128">
        <f>VLOOKUP(J359,'[63]ТР нефть'!$J$28:$BP$638,43,0)</f>
        <v>1646</v>
      </c>
      <c r="BA359" s="128" t="str">
        <f>VLOOKUP(J359,'[63]ТР нефть'!$J$28:$BP$638,44,0)</f>
        <v>ГК 92 5/32</v>
      </c>
      <c r="BB359" s="128">
        <f>VLOOKUP(J359,'[63]ТР нефть'!$J$28:$BP$638,45,0)</f>
        <v>1857</v>
      </c>
      <c r="BC359" s="128" t="str">
        <f>VLOOKUP(J359,'[63]ТР нефть'!$J$28:$BP$638,46,0)</f>
        <v>ЦКсОК 5/16</v>
      </c>
      <c r="BD359" s="128" t="str">
        <f>VLOOKUP(J359,'[63]ТР нефть'!$J$28:$BP$638,47,0)</f>
        <v>-</v>
      </c>
      <c r="BE359" s="128" t="str">
        <f>VLOOKUP(J359,'[63]ТР нефть'!$J$28:$BP$638,48,0)</f>
        <v>-</v>
      </c>
      <c r="BF359" s="128" t="str">
        <f>VLOOKUP(J359,'[63]ТР нефть'!$J$28:$BP$638,49,0)</f>
        <v>-</v>
      </c>
      <c r="BG359" s="128" t="str">
        <f>VLOOKUP(J359,'[63]ТР нефть'!$J$28:$BP$638,50,0)</f>
        <v>-</v>
      </c>
      <c r="BH359" s="128">
        <f>VLOOKUP(J359,'[63]ТР нефть'!$J$28:$BP$638,51,0)</f>
        <v>2170</v>
      </c>
      <c r="BI359" s="128" t="str">
        <f>VLOOKUP(J359,'[63]ТР нефть'!$J$28:$BP$638,52,0)</f>
        <v>закрыт</v>
      </c>
      <c r="BJ359" s="128" t="str">
        <f>IF(IFERROR(VLOOKUP(J359,'[63]ТР нефть'!$J$28:$BP$638,53,0),"-")=0,"-",IFERROR(VLOOKUP(J359,'[63]ТР нефть'!$J$28:$BP$638,53,0),"-"))</f>
        <v>-</v>
      </c>
      <c r="BK359" s="127" t="str">
        <f>IF(IFERROR(VLOOKUP(J359,'[63]ТР нефть'!$J$28:$BP$638,54,0),"-")=0,"-",IFERROR(VLOOKUP(J359,'[63]ТР нефть'!$J$28:$BP$638,54,0),"-"))</f>
        <v>-</v>
      </c>
      <c r="BL359" s="127" t="str">
        <f>IF(IFERROR(VLOOKUP(J359,'[63]ТР нефть'!$J$28:$BP$638,55,0),"-")=0,"-",IFERROR(VLOOKUP(J359,'[63]ТР нефть'!$J$28:$BP$638,55,0),"-"))</f>
        <v>-</v>
      </c>
      <c r="BM359" s="127" t="str">
        <f>IF(IFERROR(VLOOKUP(J359,'[63]ТР нефть'!$J$28:$BP$638,56,0),"-")=0,"-",IFERROR(VLOOKUP(J359,'[63]ТР нефть'!$J$28:$BP$638,56,0),"-"))</f>
        <v>-</v>
      </c>
      <c r="BN359" s="127" t="str">
        <f>IF(IFERROR(VLOOKUP(J359,'[63]ТР нефть'!$J$28:$BP$638,57,0),"-")=0,"-",IFERROR(VLOOKUP(J359,'[63]ТР нефть'!$J$28:$BP$638,57,0),"-"))</f>
        <v>-</v>
      </c>
      <c r="BO359" s="128" t="str">
        <f>IF(IFERROR(VLOOKUP(J359,'[63]ТР нефть'!$J$28:$BP$638,58,0),"-")=0,"-",IFERROR(VLOOKUP(J359,'[63]ТР нефть'!$J$28:$BP$638,58,0),"-"))</f>
        <v>-</v>
      </c>
      <c r="BP359" s="128" t="str">
        <f>IF(IFERROR(VLOOKUP(J359,'[63]ТР нефть'!$J$28:$BP$638,59,0),"-")=0,"-",IFERROR(VLOOKUP(J359,'[63]ТР нефть'!$J$28:$BP$638,59,0),"-"))</f>
        <v>-</v>
      </c>
      <c r="BQ359" s="138">
        <v>2734</v>
      </c>
      <c r="BR359" s="128">
        <v>1977.38</v>
      </c>
      <c r="BS359" s="115">
        <f t="shared" si="258"/>
        <v>756.61999999999989</v>
      </c>
      <c r="BT359" s="128">
        <v>73</v>
      </c>
      <c r="BU359" s="128">
        <v>5.5</v>
      </c>
      <c r="BV359" s="127">
        <v>18</v>
      </c>
      <c r="BW359" s="127" t="s">
        <v>217</v>
      </c>
      <c r="BX359" s="127" t="s">
        <v>218</v>
      </c>
      <c r="BY359" s="139">
        <v>24</v>
      </c>
      <c r="BZ359" s="139">
        <v>720</v>
      </c>
      <c r="CA359" s="80">
        <v>19</v>
      </c>
      <c r="CB359" s="138">
        <v>66</v>
      </c>
      <c r="CC359" s="138">
        <v>18</v>
      </c>
      <c r="CD359" s="135">
        <v>45017</v>
      </c>
      <c r="CE359" s="138">
        <v>137</v>
      </c>
      <c r="CF359" s="138">
        <v>84</v>
      </c>
      <c r="CG359" s="138" t="str">
        <f t="shared" si="265"/>
        <v>В работе</v>
      </c>
      <c r="CH359" s="138" t="s">
        <v>235</v>
      </c>
      <c r="CI359" s="127">
        <v>6</v>
      </c>
      <c r="CJ359" s="138"/>
      <c r="CK359" s="138">
        <f t="shared" si="255"/>
        <v>112.24000000000001</v>
      </c>
      <c r="CL359" s="138"/>
      <c r="CM359" s="99"/>
      <c r="CN359" s="140">
        <v>131.24</v>
      </c>
      <c r="CO359" s="141">
        <f t="shared" si="276"/>
        <v>0.15669315199999981</v>
      </c>
      <c r="CP359" s="142">
        <v>3.347</v>
      </c>
      <c r="CQ359" s="143">
        <v>94.4</v>
      </c>
      <c r="CR359" s="138">
        <v>0.73333333333333328</v>
      </c>
      <c r="CS359" s="139">
        <f>12/30</f>
        <v>0.4</v>
      </c>
      <c r="CT359" s="138"/>
      <c r="CU359" s="138">
        <f t="shared" si="277"/>
        <v>0.33333333333333326</v>
      </c>
      <c r="CV359" s="115">
        <f t="shared" si="278"/>
        <v>2127.2999430972814</v>
      </c>
      <c r="CW359" s="115">
        <f t="shared" si="279"/>
        <v>104.83628396871728</v>
      </c>
      <c r="CX359" s="133">
        <f t="shared" si="280"/>
        <v>0.58107638888888979</v>
      </c>
      <c r="CY359" s="116"/>
      <c r="CZ359" s="131"/>
      <c r="DA359" s="145" t="str">
        <f t="shared" si="281"/>
        <v>Газлифт</v>
      </c>
      <c r="DB359" s="146">
        <f t="shared" si="282"/>
        <v>0.15669315199999981</v>
      </c>
      <c r="DC359" s="142">
        <f t="shared" si="296"/>
        <v>3.347</v>
      </c>
      <c r="DD359" s="119">
        <f t="shared" si="250"/>
        <v>94.4</v>
      </c>
      <c r="DE359" s="115">
        <f t="shared" si="283"/>
        <v>0.33333333333333326</v>
      </c>
      <c r="DF359" s="121">
        <f t="shared" si="284"/>
        <v>0.4</v>
      </c>
      <c r="DG359" s="115">
        <f t="shared" si="285"/>
        <v>2127.2999430972814</v>
      </c>
      <c r="DH359" s="115">
        <f t="shared" si="286"/>
        <v>131.24</v>
      </c>
      <c r="DI359" s="147"/>
      <c r="DJ359" s="111"/>
      <c r="DK359" s="112">
        <v>44280</v>
      </c>
      <c r="DL359" s="113">
        <f t="shared" ca="1" si="266"/>
        <v>824</v>
      </c>
      <c r="DM359" s="114"/>
      <c r="DN359" s="114"/>
      <c r="DO359" s="114"/>
      <c r="DP359" s="114"/>
      <c r="DQ359" s="112"/>
      <c r="DR359" s="114"/>
      <c r="DS359" s="114"/>
      <c r="DT359" s="115">
        <v>60</v>
      </c>
      <c r="DU359" s="116">
        <f t="shared" si="267"/>
        <v>0.44422597418280174</v>
      </c>
      <c r="DV359" s="117">
        <f t="shared" si="268"/>
        <v>1.6013600069653358</v>
      </c>
      <c r="DW359" s="118">
        <f t="shared" si="269"/>
        <v>34.205400012075735</v>
      </c>
      <c r="DX359" s="119">
        <f t="shared" si="287"/>
        <v>94.4</v>
      </c>
      <c r="DY359" s="115">
        <f t="shared" si="270"/>
        <v>3.406573051695621</v>
      </c>
      <c r="DZ359" s="117">
        <f t="shared" si="271"/>
        <v>1.4446668549653359</v>
      </c>
      <c r="EA359" s="120">
        <f t="shared" si="271"/>
        <v>30.858400012075734</v>
      </c>
      <c r="EB359" s="119">
        <f t="shared" si="264"/>
        <v>0</v>
      </c>
      <c r="EC359" s="121">
        <f t="shared" si="272"/>
        <v>3.0732397183622879</v>
      </c>
      <c r="ED359" s="122"/>
      <c r="EE359" s="145">
        <v>18</v>
      </c>
      <c r="EF359" s="148">
        <v>19</v>
      </c>
      <c r="EG359" s="115">
        <v>66</v>
      </c>
      <c r="EH359" s="115">
        <v>18</v>
      </c>
      <c r="EI359" s="128" t="s">
        <v>218</v>
      </c>
      <c r="EJ359" s="121">
        <v>24</v>
      </c>
      <c r="EK359" s="121">
        <v>720</v>
      </c>
      <c r="EL359" s="149">
        <v>0.15669315199999981</v>
      </c>
      <c r="EM359" s="142">
        <v>3.347</v>
      </c>
      <c r="EN359" s="119">
        <v>94.4</v>
      </c>
      <c r="EO359" s="115">
        <v>0.73333333333333328</v>
      </c>
      <c r="EP359" s="115">
        <v>2127.2999430972814</v>
      </c>
      <c r="EQ359" s="115">
        <v>84</v>
      </c>
      <c r="ER359" s="115">
        <v>0.4</v>
      </c>
      <c r="ES359" s="115">
        <v>131.24</v>
      </c>
      <c r="ET359" s="150">
        <v>0.58107638888888979</v>
      </c>
      <c r="EU359" s="145">
        <f t="shared" si="288"/>
        <v>18</v>
      </c>
      <c r="EV359" s="115">
        <f t="shared" si="289"/>
        <v>19</v>
      </c>
      <c r="EW359" s="115">
        <f t="shared" si="289"/>
        <v>66</v>
      </c>
      <c r="EX359" s="115">
        <f t="shared" si="289"/>
        <v>18</v>
      </c>
      <c r="EY359" s="115" t="str">
        <f t="shared" si="253"/>
        <v>Периодический</v>
      </c>
      <c r="EZ359" s="115">
        <f t="shared" si="253"/>
        <v>24</v>
      </c>
      <c r="FA359" s="115">
        <f t="shared" si="253"/>
        <v>720</v>
      </c>
      <c r="FB359" s="149">
        <f t="shared" si="238"/>
        <v>0.15669315199999981</v>
      </c>
      <c r="FC359" s="142">
        <f t="shared" si="238"/>
        <v>3.347</v>
      </c>
      <c r="FD359" s="119">
        <f t="shared" si="238"/>
        <v>94.4</v>
      </c>
      <c r="FE359" s="121">
        <f t="shared" si="238"/>
        <v>0.73333333333333328</v>
      </c>
      <c r="FF359" s="121">
        <f t="shared" si="247"/>
        <v>2127.2999430972814</v>
      </c>
      <c r="FG359" s="121">
        <f t="shared" si="290"/>
        <v>84</v>
      </c>
      <c r="FH359" s="121">
        <f t="shared" si="248"/>
        <v>0.4</v>
      </c>
      <c r="FI359" s="121">
        <f t="shared" si="252"/>
        <v>131.24</v>
      </c>
      <c r="FJ359" s="144">
        <f t="shared" si="291"/>
        <v>0.58107638888888979</v>
      </c>
      <c r="FK359" s="132">
        <f t="shared" si="292"/>
        <v>0</v>
      </c>
      <c r="FL359" s="115">
        <f t="shared" si="292"/>
        <v>0</v>
      </c>
      <c r="FM359" s="115">
        <f t="shared" si="292"/>
        <v>0</v>
      </c>
      <c r="FN359" s="115">
        <f t="shared" si="273"/>
        <v>0</v>
      </c>
      <c r="FO359" s="115">
        <f t="shared" si="257"/>
        <v>0</v>
      </c>
      <c r="FP359" s="115">
        <f t="shared" si="257"/>
        <v>0</v>
      </c>
      <c r="FQ359" s="149">
        <f t="shared" si="257"/>
        <v>0</v>
      </c>
      <c r="FR359" s="142">
        <f t="shared" si="256"/>
        <v>0</v>
      </c>
      <c r="FS359" s="119">
        <f t="shared" si="256"/>
        <v>0</v>
      </c>
      <c r="FT359" s="121">
        <f t="shared" si="256"/>
        <v>0</v>
      </c>
      <c r="FU359" s="121">
        <f t="shared" si="293"/>
        <v>0</v>
      </c>
      <c r="FV359" s="121">
        <f t="shared" si="293"/>
        <v>0</v>
      </c>
      <c r="FW359" s="121">
        <f t="shared" si="294"/>
        <v>0</v>
      </c>
      <c r="FX359" s="121">
        <f t="shared" si="295"/>
        <v>0</v>
      </c>
      <c r="FY359" s="144">
        <f t="shared" si="295"/>
        <v>0</v>
      </c>
      <c r="FZ359" s="145"/>
      <c r="GA359" s="151"/>
      <c r="GB359" s="145"/>
      <c r="GC359" s="151"/>
      <c r="GD359" s="997" t="s">
        <v>220</v>
      </c>
      <c r="GE359" s="1004"/>
      <c r="GF359" s="1004">
        <v>0</v>
      </c>
      <c r="GG359" s="1004"/>
      <c r="GH359" s="1004">
        <v>0</v>
      </c>
      <c r="GI359" s="145"/>
      <c r="GJ359" s="996">
        <v>0</v>
      </c>
      <c r="GK359" s="145"/>
      <c r="GL359" s="996">
        <v>0</v>
      </c>
      <c r="GM359" s="1005"/>
      <c r="GN359" s="996">
        <v>0</v>
      </c>
      <c r="GO359" s="1006"/>
      <c r="GP359" s="996">
        <v>0</v>
      </c>
      <c r="GQ359" s="1006"/>
      <c r="GR359" s="996">
        <v>0</v>
      </c>
      <c r="GS359" s="1006"/>
      <c r="GT359" s="996">
        <v>0</v>
      </c>
      <c r="GU359" s="1006"/>
      <c r="GV359" s="996">
        <v>0</v>
      </c>
      <c r="GW359" s="1006"/>
      <c r="GX359" s="1036">
        <v>0</v>
      </c>
      <c r="GY359" s="1006"/>
      <c r="GZ359" s="996">
        <v>0</v>
      </c>
      <c r="HA359" s="1006"/>
      <c r="HB359" s="996">
        <v>0</v>
      </c>
      <c r="HC359" s="1006"/>
      <c r="HD359" s="996">
        <v>0</v>
      </c>
      <c r="HE359" s="1006"/>
      <c r="HF359" s="996">
        <v>0</v>
      </c>
      <c r="HG359" s="1006"/>
      <c r="HH359" s="996">
        <v>0</v>
      </c>
      <c r="HI359" s="1006"/>
      <c r="HJ359" s="996">
        <v>0</v>
      </c>
      <c r="HK359" s="1006"/>
      <c r="HL359" s="996">
        <v>0</v>
      </c>
      <c r="HM359" s="1006"/>
      <c r="HN359" s="996">
        <v>0</v>
      </c>
      <c r="HO359" s="1006"/>
      <c r="HP359" s="996">
        <v>0</v>
      </c>
      <c r="HQ359" s="1006"/>
      <c r="HR359" s="996">
        <v>0</v>
      </c>
      <c r="HS359" s="1006"/>
      <c r="HT359" s="996">
        <v>0</v>
      </c>
      <c r="HU359" s="1006"/>
      <c r="HV359" s="996">
        <v>-9.4106848000000382E-2</v>
      </c>
      <c r="HW359" s="1006"/>
      <c r="HX359" s="996">
        <v>1.2539999999999996E-2</v>
      </c>
      <c r="HY359" s="1006" t="s">
        <v>241</v>
      </c>
      <c r="HZ359" s="996">
        <v>-24.361374399999999</v>
      </c>
      <c r="IA359" s="1006"/>
      <c r="IB359" s="996">
        <v>0</v>
      </c>
      <c r="IC359" s="1006" t="s">
        <v>25</v>
      </c>
      <c r="ID359" s="996">
        <v>24.599634399999999</v>
      </c>
      <c r="IE359" s="1006"/>
      <c r="IF359" s="996">
        <v>0</v>
      </c>
      <c r="IG359" s="1006"/>
      <c r="IH359" s="996">
        <v>0</v>
      </c>
      <c r="II359" s="1006"/>
      <c r="IJ359" s="996"/>
      <c r="IK359" s="1006"/>
      <c r="IL359" s="996"/>
      <c r="IM359" s="1006"/>
      <c r="IN359" s="996"/>
      <c r="IO359" s="1006"/>
      <c r="IP359" s="996"/>
      <c r="IQ359" s="1006"/>
      <c r="IR359" s="996"/>
      <c r="IS359" s="1006"/>
      <c r="IT359" s="996"/>
      <c r="IU359" s="1006"/>
      <c r="IV359" s="996"/>
      <c r="IW359" s="1006"/>
      <c r="IX359" s="996"/>
      <c r="IY359" s="1006"/>
      <c r="IZ359" s="996"/>
      <c r="JA359" s="1006"/>
      <c r="JB359" s="996"/>
      <c r="JC359" s="1006"/>
      <c r="JD359" s="996"/>
      <c r="JE359" s="1006"/>
      <c r="JF359" s="996"/>
      <c r="JG359" s="1006"/>
      <c r="JH359" s="996"/>
      <c r="JI359" s="1006"/>
      <c r="JJ359" s="996"/>
      <c r="JK359" s="1007"/>
      <c r="JL359" s="1007"/>
      <c r="JM359" s="1007"/>
      <c r="JN359" s="1007"/>
      <c r="JO359" s="1008"/>
      <c r="JP359" s="1007"/>
      <c r="JQ359" s="1008"/>
      <c r="JR359" s="1007"/>
      <c r="JS359" s="1008"/>
      <c r="JT359" s="1007"/>
      <c r="JU359" s="1008"/>
      <c r="JV359" s="1007"/>
      <c r="JW359" s="1008"/>
      <c r="JX359" s="1007"/>
      <c r="JY359" s="1008"/>
      <c r="JZ359" s="1007"/>
      <c r="KA359" s="1008"/>
      <c r="KB359" s="1007"/>
      <c r="KC359" s="1008"/>
      <c r="KD359" s="1007"/>
      <c r="KE359" s="1008"/>
      <c r="KF359" s="1007"/>
      <c r="KG359" s="1008"/>
      <c r="KH359" s="1007"/>
      <c r="KI359" s="1008"/>
      <c r="KJ359" s="1007"/>
      <c r="KK359" s="1008"/>
      <c r="KL359" s="1007"/>
      <c r="KM359" s="1008"/>
      <c r="KN359" s="1007"/>
      <c r="KO359" s="1008"/>
      <c r="KP359" s="1007"/>
      <c r="KQ359" s="1008"/>
      <c r="KR359" s="1007"/>
      <c r="KS359" s="1008"/>
      <c r="KT359" s="1007"/>
      <c r="KU359" s="1008"/>
      <c r="KV359" s="1007"/>
      <c r="KW359" s="1008"/>
      <c r="KX359" s="1007"/>
      <c r="KY359" s="1008"/>
      <c r="KZ359" s="1007"/>
      <c r="LA359" s="1008"/>
      <c r="LB359" s="1007"/>
      <c r="LC359" s="1008"/>
      <c r="LD359" s="1007"/>
      <c r="LE359" s="1008"/>
      <c r="LF359" s="1007"/>
      <c r="LG359" s="1008"/>
      <c r="LH359" s="1007"/>
      <c r="LI359" s="1008"/>
      <c r="LJ359" s="1007"/>
      <c r="LK359" s="1008"/>
      <c r="LL359" s="1007"/>
      <c r="LM359" s="1008"/>
      <c r="LN359" s="1007"/>
      <c r="LO359" s="1008"/>
      <c r="LP359" s="1007"/>
      <c r="LQ359" s="1008"/>
      <c r="LR359" s="1007"/>
      <c r="LS359" s="1008"/>
      <c r="LT359" s="1007"/>
      <c r="LU359" s="1008"/>
      <c r="LV359" s="1007"/>
      <c r="LW359" s="1008"/>
      <c r="LX359" s="1007"/>
      <c r="LY359" s="1009"/>
      <c r="LZ359" s="1010"/>
      <c r="MA359" s="1011"/>
      <c r="MB359" s="1012"/>
      <c r="MC359" s="995"/>
      <c r="MD359" s="996"/>
      <c r="ME359" s="997" t="s">
        <v>220</v>
      </c>
      <c r="MF359" s="997">
        <f>CN359-CA359</f>
        <v>112.24000000000001</v>
      </c>
      <c r="MG359" s="998"/>
      <c r="NR359" s="1000"/>
      <c r="NS359" s="1000"/>
      <c r="NT359" s="1001"/>
      <c r="NU359" s="1000"/>
      <c r="NV359" s="1001"/>
      <c r="NX359" s="1002"/>
      <c r="NZ359" s="1001"/>
      <c r="OA359" s="1001"/>
      <c r="OC359" s="1003"/>
      <c r="OD359" s="1003"/>
      <c r="OE359" s="1001"/>
      <c r="OF359" s="1003"/>
      <c r="OG359" s="1003"/>
      <c r="ASU359" s="999" t="s">
        <v>225</v>
      </c>
    </row>
    <row r="360" spans="1:466 1191:1191" ht="21" customHeight="1" x14ac:dyDescent="0.25">
      <c r="A360" s="982">
        <f t="shared" si="274"/>
        <v>1392</v>
      </c>
      <c r="B360" s="124">
        <f>SUBTOTAL(103,$J$29:J360)</f>
        <v>332</v>
      </c>
      <c r="C360" s="126">
        <v>45068</v>
      </c>
      <c r="D360" s="124" t="s">
        <v>176</v>
      </c>
      <c r="E360" s="127" t="s">
        <v>177</v>
      </c>
      <c r="F360" s="128" t="s">
        <v>177</v>
      </c>
      <c r="G360" s="127" t="s">
        <v>178</v>
      </c>
      <c r="H360" s="127" t="s">
        <v>179</v>
      </c>
      <c r="I360" s="127" t="s">
        <v>601</v>
      </c>
      <c r="J360" s="152">
        <v>1392</v>
      </c>
      <c r="K360" s="127" t="s">
        <v>1461</v>
      </c>
      <c r="L360" s="130">
        <v>43467</v>
      </c>
      <c r="M360" s="127" t="s">
        <v>230</v>
      </c>
      <c r="N360" s="127" t="s">
        <v>184</v>
      </c>
      <c r="O360" s="127" t="s">
        <v>185</v>
      </c>
      <c r="P360" s="127" t="s">
        <v>186</v>
      </c>
      <c r="Q360" s="85" t="str">
        <f t="shared" ref="Q360:Q399" si="297">IF(R360="","",-4)</f>
        <v/>
      </c>
      <c r="R360" s="130"/>
      <c r="S360" s="128"/>
      <c r="T360" s="131"/>
      <c r="U360" s="132">
        <v>203</v>
      </c>
      <c r="V360" s="121">
        <v>218.2</v>
      </c>
      <c r="W360" s="116">
        <v>0.98</v>
      </c>
      <c r="X360" s="116">
        <v>1.66</v>
      </c>
      <c r="Y360" s="116">
        <f t="shared" si="239"/>
        <v>1.0184661154044565</v>
      </c>
      <c r="Z360" s="133">
        <v>1.454</v>
      </c>
      <c r="AA360" s="133">
        <v>0.83599999999999997</v>
      </c>
      <c r="AB360" s="133">
        <v>0.72</v>
      </c>
      <c r="AC360" s="121">
        <v>34.299999999999997</v>
      </c>
      <c r="AD360" s="134">
        <v>1.17</v>
      </c>
      <c r="AE360" s="124">
        <v>177.8</v>
      </c>
      <c r="AF360" s="128">
        <v>9.19</v>
      </c>
      <c r="AG360" s="128">
        <v>2205.3000000000002</v>
      </c>
      <c r="AH360" s="127">
        <v>2933</v>
      </c>
      <c r="AI360" s="127">
        <v>2933</v>
      </c>
      <c r="AJ360" s="135"/>
      <c r="AK360" s="128"/>
      <c r="AL360" s="131"/>
      <c r="AM360" s="124" t="s">
        <v>232</v>
      </c>
      <c r="AN360" s="136" t="s">
        <v>1468</v>
      </c>
      <c r="AO360" s="137">
        <v>84.36</v>
      </c>
      <c r="AP360" s="128">
        <v>2205</v>
      </c>
      <c r="AQ360" s="128">
        <v>272.07653946227219</v>
      </c>
      <c r="AR360" s="128"/>
      <c r="AS360" s="128"/>
      <c r="AT360" s="122"/>
      <c r="AU360" s="124" t="s">
        <v>189</v>
      </c>
      <c r="AV360" s="115">
        <f>VLOOKUP(J360,'[63]ТР нефть'!$J$28:$BP$638,39,0)</f>
        <v>519.99999931599996</v>
      </c>
      <c r="AW360" s="115" t="str">
        <f>VLOOKUP(J360,'[63]ТР нефть'!$J$28:$BP$638,40,0)</f>
        <v>ГК85 1/8</v>
      </c>
      <c r="AX360" s="115">
        <f>VLOOKUP(J360,'[63]ТР нефть'!$J$28:$BP$638,41,0)</f>
        <v>1139.9999970700001</v>
      </c>
      <c r="AY360" s="115" t="str">
        <f>VLOOKUP(J360,'[63]ТР нефть'!$J$28:$BP$638,42,0)</f>
        <v>ГК89 1/8</v>
      </c>
      <c r="AZ360" s="115">
        <f>VLOOKUP(J360,'[63]ТР нефть'!$J$28:$BP$638,43,0)</f>
        <v>1574.9999753909999</v>
      </c>
      <c r="BA360" s="115" t="str">
        <f>VLOOKUP(J360,'[63]ТР нефть'!$J$28:$BP$638,44,0)</f>
        <v>ГК91 1/8</v>
      </c>
      <c r="BB360" s="115">
        <f>VLOOKUP(J360,'[63]ТР нефть'!$J$28:$BP$638,45,0)</f>
        <v>1969.999939453</v>
      </c>
      <c r="BC360" s="115" t="str">
        <f>VLOOKUP(J360,'[63]ТР нефть'!$J$28:$BP$638,46,0)</f>
        <v>ЦКсОК 5/16</v>
      </c>
      <c r="BD360" s="115" t="str">
        <f>VLOOKUP(J360,'[63]ТР нефть'!$J$28:$BP$638,47,0)</f>
        <v>-</v>
      </c>
      <c r="BE360" s="115" t="str">
        <f>VLOOKUP(J360,'[63]ТР нефть'!$J$28:$BP$638,48,0)</f>
        <v>-</v>
      </c>
      <c r="BF360" s="115" t="str">
        <f>VLOOKUP(J360,'[63]ТР нефть'!$J$28:$BP$638,49,0)</f>
        <v>-</v>
      </c>
      <c r="BG360" s="115" t="str">
        <f>VLOOKUP(J360,'[63]ТР нефть'!$J$28:$BP$638,50,0)</f>
        <v>-</v>
      </c>
      <c r="BH360" s="115" t="str">
        <f>VLOOKUP(J360,'[63]ТР нефть'!$J$28:$BP$638,51,0)</f>
        <v>-</v>
      </c>
      <c r="BI360" s="115" t="str">
        <f>VLOOKUP(J360,'[63]ТР нефть'!$J$28:$BP$638,52,0)</f>
        <v>-</v>
      </c>
      <c r="BJ360" s="115" t="str">
        <f>IF(IFERROR(VLOOKUP(J360,'[63]ТР нефть'!$J$28:$BP$638,53,0),"-")=0,"-",IFERROR(VLOOKUP(J360,'[63]ТР нефть'!$J$28:$BP$638,53,0),"-"))</f>
        <v>-</v>
      </c>
      <c r="BK360" s="138" t="str">
        <f>IF(IFERROR(VLOOKUP(J360,'[63]ТР нефть'!$J$28:$BP$638,54,0),"-")=0,"-",IFERROR(VLOOKUP(J360,'[63]ТР нефть'!$J$28:$BP$638,54,0),"-"))</f>
        <v>-</v>
      </c>
      <c r="BL360" s="138" t="str">
        <f>IF(IFERROR(VLOOKUP(J360,'[63]ТР нефть'!$J$28:$BP$638,55,0),"-")=0,"-",IFERROR(VLOOKUP(J360,'[63]ТР нефть'!$J$28:$BP$638,55,0),"-"))</f>
        <v>-</v>
      </c>
      <c r="BM360" s="138" t="str">
        <f>IF(IFERROR(VLOOKUP(J360,'[63]ТР нефть'!$J$28:$BP$638,56,0),"-")=0,"-",IFERROR(VLOOKUP(J360,'[63]ТР нефть'!$J$28:$BP$638,56,0),"-"))</f>
        <v>-</v>
      </c>
      <c r="BN360" s="138" t="str">
        <f>IF(IFERROR(VLOOKUP(J360,'[63]ТР нефть'!$J$28:$BP$638,57,0),"-")=0,"-",IFERROR(VLOOKUP(J360,'[63]ТР нефть'!$J$28:$BP$638,57,0),"-"))</f>
        <v>-</v>
      </c>
      <c r="BO360" s="115" t="str">
        <f>IF(IFERROR(VLOOKUP(J360,'[63]ТР нефть'!$J$28:$BP$638,58,0),"-")=0,"-",IFERROR(VLOOKUP(J360,'[63]ТР нефть'!$J$28:$BP$638,58,0),"-"))</f>
        <v>-</v>
      </c>
      <c r="BP360" s="115" t="str">
        <f>IF(IFERROR(VLOOKUP(J360,'[63]ТР нефть'!$J$28:$BP$638,59,0),"-")=0,"-",IFERROR(VLOOKUP(J360,'[63]ТР нефть'!$J$28:$BP$638,59,0),"-"))</f>
        <v>-</v>
      </c>
      <c r="BQ360" s="138">
        <v>2220</v>
      </c>
      <c r="BR360" s="128">
        <v>1935.25</v>
      </c>
      <c r="BS360" s="115">
        <f t="shared" si="258"/>
        <v>284.75</v>
      </c>
      <c r="BT360" s="128">
        <v>73</v>
      </c>
      <c r="BU360" s="128">
        <v>5.5</v>
      </c>
      <c r="BV360" s="127">
        <v>65</v>
      </c>
      <c r="BW360" s="127" t="s">
        <v>217</v>
      </c>
      <c r="BX360" s="127" t="s">
        <v>195</v>
      </c>
      <c r="BY360" s="139">
        <v>24</v>
      </c>
      <c r="BZ360" s="139">
        <v>0</v>
      </c>
      <c r="CA360" s="80">
        <v>20</v>
      </c>
      <c r="CB360" s="138">
        <v>42</v>
      </c>
      <c r="CC360" s="138">
        <v>19</v>
      </c>
      <c r="CD360" s="135">
        <v>45017</v>
      </c>
      <c r="CE360" s="138">
        <v>78</v>
      </c>
      <c r="CF360" s="138">
        <v>84</v>
      </c>
      <c r="CG360" s="138" t="str">
        <f t="shared" si="265"/>
        <v/>
      </c>
      <c r="CH360" s="138" t="s">
        <v>197</v>
      </c>
      <c r="CI360" s="127">
        <v>5</v>
      </c>
      <c r="CJ360" s="138"/>
      <c r="CK360" s="138">
        <f t="shared" si="255"/>
        <v>28</v>
      </c>
      <c r="CL360" s="99"/>
      <c r="CM360" s="99"/>
      <c r="CN360" s="140">
        <v>48</v>
      </c>
      <c r="CO360" s="141">
        <f t="shared" si="276"/>
        <v>6.0432863303999991</v>
      </c>
      <c r="CP360" s="142">
        <v>7.9630000000000001</v>
      </c>
      <c r="CQ360" s="143">
        <v>9.2200000000000006</v>
      </c>
      <c r="CR360" s="138">
        <v>16.574000000000002</v>
      </c>
      <c r="CS360" s="139">
        <v>11.5</v>
      </c>
      <c r="CT360" s="138"/>
      <c r="CU360" s="138">
        <f t="shared" si="277"/>
        <v>5.0740000000000016</v>
      </c>
      <c r="CV360" s="115">
        <f t="shared" si="278"/>
        <v>839.6093983625891</v>
      </c>
      <c r="CW360" s="115">
        <f t="shared" si="279"/>
        <v>1668.2438269918689</v>
      </c>
      <c r="CX360" s="133">
        <f t="shared" si="280"/>
        <v>0.26543333333333335</v>
      </c>
      <c r="CY360" s="116"/>
      <c r="CZ360" s="131"/>
      <c r="DA360" s="145" t="str">
        <f t="shared" si="281"/>
        <v>Газлифт</v>
      </c>
      <c r="DB360" s="146">
        <f t="shared" si="282"/>
        <v>6.0432863303999991</v>
      </c>
      <c r="DC360" s="142">
        <f t="shared" si="296"/>
        <v>7.9630000000000001</v>
      </c>
      <c r="DD360" s="119">
        <f t="shared" si="250"/>
        <v>9.2200000000000006</v>
      </c>
      <c r="DE360" s="115">
        <f t="shared" si="283"/>
        <v>5.0740000000000016</v>
      </c>
      <c r="DF360" s="121">
        <f t="shared" si="284"/>
        <v>11.5</v>
      </c>
      <c r="DG360" s="115">
        <f t="shared" si="285"/>
        <v>839.6093983625891</v>
      </c>
      <c r="DH360" s="115">
        <f t="shared" si="286"/>
        <v>48</v>
      </c>
      <c r="DI360" s="147"/>
      <c r="DJ360" s="111" t="s">
        <v>197</v>
      </c>
      <c r="DK360" s="112">
        <v>43467</v>
      </c>
      <c r="DL360" s="113">
        <f t="shared" ca="1" si="266"/>
        <v>1637</v>
      </c>
      <c r="DM360" s="114"/>
      <c r="DN360" s="114"/>
      <c r="DO360" s="114"/>
      <c r="DP360" s="114"/>
      <c r="DQ360" s="112">
        <v>43467</v>
      </c>
      <c r="DR360" s="114" t="s">
        <v>324</v>
      </c>
      <c r="DS360" s="114"/>
      <c r="DT360" s="115">
        <v>44</v>
      </c>
      <c r="DU360" s="116">
        <f t="shared" si="267"/>
        <v>0.25813619702176405</v>
      </c>
      <c r="DV360" s="117">
        <f t="shared" si="268"/>
        <v>6.6607675911923012</v>
      </c>
      <c r="DW360" s="118">
        <f t="shared" si="269"/>
        <v>8.7766306987399769</v>
      </c>
      <c r="DX360" s="119">
        <f t="shared" si="287"/>
        <v>9.2200000000000006</v>
      </c>
      <c r="DY360" s="115">
        <f t="shared" si="270"/>
        <v>5.5924430698740002</v>
      </c>
      <c r="DZ360" s="117">
        <f t="shared" si="271"/>
        <v>0.61748126079230214</v>
      </c>
      <c r="EA360" s="120">
        <f t="shared" si="271"/>
        <v>0.81363069873997684</v>
      </c>
      <c r="EB360" s="119">
        <f t="shared" si="264"/>
        <v>0</v>
      </c>
      <c r="EC360" s="121">
        <f t="shared" si="272"/>
        <v>0.51844306987399857</v>
      </c>
      <c r="ED360" s="122"/>
      <c r="EE360" s="145">
        <v>65</v>
      </c>
      <c r="EF360" s="148">
        <v>20</v>
      </c>
      <c r="EG360" s="115">
        <v>42</v>
      </c>
      <c r="EH360" s="115">
        <v>19</v>
      </c>
      <c r="EI360" s="128" t="s">
        <v>195</v>
      </c>
      <c r="EJ360" s="121">
        <v>24</v>
      </c>
      <c r="EK360" s="121">
        <v>0</v>
      </c>
      <c r="EL360" s="149">
        <v>6.0432863303999991</v>
      </c>
      <c r="EM360" s="142">
        <v>7.9630000000000001</v>
      </c>
      <c r="EN360" s="119">
        <v>9.2200000000000006</v>
      </c>
      <c r="EO360" s="115">
        <v>16.574000000000002</v>
      </c>
      <c r="EP360" s="115">
        <v>839.6093983625891</v>
      </c>
      <c r="EQ360" s="115">
        <v>84</v>
      </c>
      <c r="ER360" s="115">
        <v>11.5</v>
      </c>
      <c r="ES360" s="115">
        <v>48</v>
      </c>
      <c r="ET360" s="150">
        <v>0.26543333333333335</v>
      </c>
      <c r="EU360" s="145">
        <f t="shared" si="288"/>
        <v>65</v>
      </c>
      <c r="EV360" s="115">
        <f t="shared" si="289"/>
        <v>20</v>
      </c>
      <c r="EW360" s="115">
        <f t="shared" si="289"/>
        <v>42</v>
      </c>
      <c r="EX360" s="115">
        <f t="shared" si="289"/>
        <v>19</v>
      </c>
      <c r="EY360" s="115" t="str">
        <f t="shared" si="253"/>
        <v>Постоянный</v>
      </c>
      <c r="EZ360" s="115">
        <f t="shared" si="253"/>
        <v>24</v>
      </c>
      <c r="FA360" s="115">
        <f t="shared" si="253"/>
        <v>0</v>
      </c>
      <c r="FB360" s="149">
        <f t="shared" si="238"/>
        <v>6.0432863303999991</v>
      </c>
      <c r="FC360" s="142">
        <f t="shared" si="238"/>
        <v>7.9630000000000001</v>
      </c>
      <c r="FD360" s="119">
        <f t="shared" si="238"/>
        <v>9.2200000000000006</v>
      </c>
      <c r="FE360" s="121">
        <f t="shared" si="238"/>
        <v>16.574000000000002</v>
      </c>
      <c r="FF360" s="121">
        <f t="shared" si="247"/>
        <v>839.6093983625891</v>
      </c>
      <c r="FG360" s="121">
        <f t="shared" si="290"/>
        <v>84</v>
      </c>
      <c r="FH360" s="121">
        <f t="shared" si="248"/>
        <v>11.5</v>
      </c>
      <c r="FI360" s="121">
        <f t="shared" si="252"/>
        <v>48</v>
      </c>
      <c r="FJ360" s="144">
        <f t="shared" si="291"/>
        <v>0.26543333333333335</v>
      </c>
      <c r="FK360" s="132">
        <f t="shared" si="292"/>
        <v>0</v>
      </c>
      <c r="FL360" s="115">
        <f t="shared" si="292"/>
        <v>0</v>
      </c>
      <c r="FM360" s="115">
        <f t="shared" si="292"/>
        <v>0</v>
      </c>
      <c r="FN360" s="115">
        <f t="shared" si="273"/>
        <v>0</v>
      </c>
      <c r="FO360" s="115">
        <f t="shared" si="257"/>
        <v>0</v>
      </c>
      <c r="FP360" s="115">
        <f t="shared" si="257"/>
        <v>0</v>
      </c>
      <c r="FQ360" s="149">
        <f t="shared" si="257"/>
        <v>0</v>
      </c>
      <c r="FR360" s="142">
        <f t="shared" si="256"/>
        <v>0</v>
      </c>
      <c r="FS360" s="119">
        <f t="shared" si="256"/>
        <v>0</v>
      </c>
      <c r="FT360" s="121">
        <f t="shared" si="256"/>
        <v>0</v>
      </c>
      <c r="FU360" s="121">
        <f t="shared" si="293"/>
        <v>0</v>
      </c>
      <c r="FV360" s="121">
        <f t="shared" si="293"/>
        <v>0</v>
      </c>
      <c r="FW360" s="121">
        <f t="shared" si="294"/>
        <v>0</v>
      </c>
      <c r="FX360" s="121">
        <f t="shared" si="295"/>
        <v>0</v>
      </c>
      <c r="FY360" s="144">
        <f t="shared" si="295"/>
        <v>0</v>
      </c>
      <c r="FZ360" s="145"/>
      <c r="GA360" s="151" t="s">
        <v>1464</v>
      </c>
      <c r="GB360" s="145"/>
      <c r="GC360" s="151"/>
      <c r="GD360" s="997" t="s">
        <v>220</v>
      </c>
      <c r="GE360" s="1004"/>
      <c r="GF360" s="1004">
        <v>0</v>
      </c>
      <c r="GG360" s="1004"/>
      <c r="GH360" s="1004">
        <v>0</v>
      </c>
      <c r="GI360" s="145"/>
      <c r="GJ360" s="996">
        <v>0</v>
      </c>
      <c r="GK360" s="145"/>
      <c r="GL360" s="996">
        <v>0</v>
      </c>
      <c r="GM360" s="1005"/>
      <c r="GN360" s="996">
        <v>0</v>
      </c>
      <c r="GO360" s="1006"/>
      <c r="GP360" s="996">
        <v>0.59340233039999912</v>
      </c>
      <c r="GQ360" s="1006"/>
      <c r="GR360" s="996">
        <v>0</v>
      </c>
      <c r="GS360" s="1006" t="s">
        <v>203</v>
      </c>
      <c r="GT360" s="996">
        <v>-2.6593159999999996</v>
      </c>
      <c r="GU360" s="1006"/>
      <c r="GV360" s="996">
        <v>0</v>
      </c>
      <c r="GW360" s="1006" t="s">
        <v>203</v>
      </c>
      <c r="GX360" s="1036">
        <v>-1.9228000000000005</v>
      </c>
      <c r="GY360" s="1006" t="s">
        <v>25</v>
      </c>
      <c r="GZ360" s="996">
        <v>2.508</v>
      </c>
      <c r="HA360" s="1006"/>
      <c r="HB360" s="996">
        <v>0</v>
      </c>
      <c r="HC360" s="1006"/>
      <c r="HD360" s="996">
        <v>0</v>
      </c>
      <c r="HE360" s="1006"/>
      <c r="HF360" s="996">
        <v>0</v>
      </c>
      <c r="HG360" s="1006"/>
      <c r="HH360" s="996">
        <v>0</v>
      </c>
      <c r="HI360" s="1006"/>
      <c r="HJ360" s="996">
        <v>-0.83599999999999941</v>
      </c>
      <c r="HK360" s="1006"/>
      <c r="HL360" s="996">
        <v>-0.8360000000000003</v>
      </c>
      <c r="HM360" s="1006"/>
      <c r="HN360" s="996">
        <v>-7.3567999999999856E-2</v>
      </c>
      <c r="HO360" s="1006" t="s">
        <v>349</v>
      </c>
      <c r="HP360" s="996">
        <v>-1.1804319999999997</v>
      </c>
      <c r="HQ360" s="1006" t="s">
        <v>203</v>
      </c>
      <c r="HR360" s="996">
        <v>-1.5434140040000006</v>
      </c>
      <c r="HS360" s="1006" t="s">
        <v>204</v>
      </c>
      <c r="HT360" s="996">
        <v>4.7202140040000007</v>
      </c>
      <c r="HU360" s="1006"/>
      <c r="HV360" s="996">
        <v>0</v>
      </c>
      <c r="HW360" s="1006"/>
      <c r="HX360" s="996">
        <v>0</v>
      </c>
      <c r="HY360" s="1006"/>
      <c r="HZ360" s="996">
        <v>0</v>
      </c>
      <c r="IA360" s="1006" t="s">
        <v>199</v>
      </c>
      <c r="IB360" s="996">
        <v>-6.6357613695999991</v>
      </c>
      <c r="IC360" s="1006" t="s">
        <v>25</v>
      </c>
      <c r="ID360" s="996">
        <v>8.0569613695999998</v>
      </c>
      <c r="IE360" s="1006"/>
      <c r="IF360" s="996">
        <v>0</v>
      </c>
      <c r="IG360" s="1006" t="s">
        <v>199</v>
      </c>
      <c r="IH360" s="996">
        <v>-3.2938400000000003</v>
      </c>
      <c r="II360" s="1006"/>
      <c r="IJ360" s="996">
        <v>-0.32725220000000022</v>
      </c>
      <c r="IK360" s="1006"/>
      <c r="IL360" s="996">
        <v>0</v>
      </c>
      <c r="IM360" s="1006"/>
      <c r="IN360" s="996">
        <v>0</v>
      </c>
      <c r="IO360" s="1006" t="s">
        <v>199</v>
      </c>
      <c r="IP360" s="996">
        <v>-3.9029077999999995</v>
      </c>
      <c r="IQ360" s="1006"/>
      <c r="IR360" s="996">
        <v>0</v>
      </c>
      <c r="IS360" s="1006" t="s">
        <v>199</v>
      </c>
      <c r="IT360" s="996">
        <v>3.4443200000000012</v>
      </c>
      <c r="IU360" s="1006" t="s">
        <v>199</v>
      </c>
      <c r="IV360" s="996">
        <v>-2.3575200000000009</v>
      </c>
      <c r="IW360" s="1006" t="s">
        <v>199</v>
      </c>
      <c r="IX360" s="996">
        <v>-2.4578400000000009</v>
      </c>
      <c r="IY360" s="1006"/>
      <c r="IZ360" s="996">
        <v>0</v>
      </c>
      <c r="JA360" s="1006" t="s">
        <v>204</v>
      </c>
      <c r="JB360" s="996">
        <v>2.106720000000001</v>
      </c>
      <c r="JC360" s="1006"/>
      <c r="JD360" s="996">
        <v>0</v>
      </c>
      <c r="JE360" s="1006"/>
      <c r="JF360" s="996">
        <v>0</v>
      </c>
      <c r="JG360" s="1006"/>
      <c r="JH360" s="996">
        <v>0</v>
      </c>
      <c r="JI360" s="1006" t="s">
        <v>203</v>
      </c>
      <c r="JJ360" s="996">
        <v>-3.9710000000000001</v>
      </c>
      <c r="JK360" s="1007"/>
      <c r="JL360" s="1007">
        <v>0</v>
      </c>
      <c r="JM360" s="1007"/>
      <c r="JN360" s="1007">
        <v>0</v>
      </c>
      <c r="JO360" s="1008"/>
      <c r="JP360" s="1007">
        <v>0</v>
      </c>
      <c r="JQ360" s="1008">
        <v>0</v>
      </c>
      <c r="JR360" s="1007">
        <v>-0.10867999999999967</v>
      </c>
      <c r="JS360" s="1008">
        <v>0</v>
      </c>
      <c r="JT360" s="1007">
        <v>0</v>
      </c>
      <c r="JU360" s="1008" t="s">
        <v>203</v>
      </c>
      <c r="JV360" s="1007">
        <v>-7.6326800000000006</v>
      </c>
      <c r="JW360" s="1008" t="s">
        <v>197</v>
      </c>
      <c r="JX360" s="1007">
        <v>0</v>
      </c>
      <c r="JY360" s="1008" t="s">
        <v>203</v>
      </c>
      <c r="JZ360" s="1007">
        <v>-11.595320000000001</v>
      </c>
      <c r="KA360" s="1008" t="s">
        <v>203</v>
      </c>
      <c r="KB360" s="1007">
        <v>6.9379640000000009</v>
      </c>
      <c r="KC360" s="1008"/>
      <c r="KD360" s="1007">
        <v>0</v>
      </c>
      <c r="KE360" s="1008" t="s">
        <v>324</v>
      </c>
      <c r="KF360" s="1007">
        <v>29.010035999999999</v>
      </c>
      <c r="KG360" s="1008"/>
      <c r="KH360" s="1007"/>
      <c r="KI360" s="1008"/>
      <c r="KJ360" s="1007"/>
      <c r="KK360" s="1008"/>
      <c r="KL360" s="1007"/>
      <c r="KM360" s="1008"/>
      <c r="KN360" s="1007"/>
      <c r="KO360" s="1008"/>
      <c r="KP360" s="1007"/>
      <c r="KQ360" s="1008"/>
      <c r="KR360" s="1007"/>
      <c r="KS360" s="1008"/>
      <c r="KT360" s="1007"/>
      <c r="KU360" s="1008"/>
      <c r="KV360" s="1007"/>
      <c r="KW360" s="1008"/>
      <c r="KX360" s="1007"/>
      <c r="KY360" s="1008"/>
      <c r="KZ360" s="1007"/>
      <c r="LA360" s="1008"/>
      <c r="LB360" s="1007"/>
      <c r="LC360" s="1008"/>
      <c r="LD360" s="1007"/>
      <c r="LE360" s="1008"/>
      <c r="LF360" s="1007"/>
      <c r="LG360" s="1008"/>
      <c r="LH360" s="1007"/>
      <c r="LI360" s="1008"/>
      <c r="LJ360" s="1007"/>
      <c r="LK360" s="1008"/>
      <c r="LL360" s="1007"/>
      <c r="LM360" s="1008"/>
      <c r="LN360" s="1007"/>
      <c r="LO360" s="1008"/>
      <c r="LP360" s="1007"/>
      <c r="LQ360" s="1008"/>
      <c r="LR360" s="1007"/>
      <c r="LS360" s="1008"/>
      <c r="LT360" s="1007"/>
      <c r="LU360" s="1008"/>
      <c r="LV360" s="1007"/>
      <c r="LW360" s="1008"/>
      <c r="LX360" s="1007"/>
      <c r="LY360" s="1009"/>
      <c r="LZ360" s="1010"/>
      <c r="MA360" s="1011"/>
      <c r="MB360" s="1012"/>
      <c r="MC360" s="995"/>
      <c r="MD360" s="996"/>
      <c r="ME360" s="997" t="s">
        <v>220</v>
      </c>
      <c r="MF360" s="997"/>
      <c r="MG360" s="998"/>
      <c r="NR360" s="1000"/>
      <c r="NS360" s="1000"/>
      <c r="NT360" s="1001"/>
      <c r="NU360" s="1000"/>
      <c r="NV360" s="1001"/>
      <c r="NX360" s="1002"/>
      <c r="NZ360" s="1001"/>
      <c r="OA360" s="1001"/>
      <c r="OC360" s="1003"/>
      <c r="OD360" s="1003"/>
      <c r="OE360" s="1001"/>
      <c r="OF360" s="1003"/>
      <c r="OG360" s="1003"/>
      <c r="OH360" s="1003"/>
      <c r="OI360" s="1016"/>
      <c r="QX360" s="1000">
        <f>CN360-CA360</f>
        <v>28</v>
      </c>
      <c r="ASU360" s="999" t="s">
        <v>208</v>
      </c>
    </row>
    <row r="361" spans="1:466 1191:1191" ht="21" customHeight="1" x14ac:dyDescent="0.25">
      <c r="A361" s="982">
        <f t="shared" si="274"/>
        <v>1393</v>
      </c>
      <c r="B361" s="124">
        <f>SUBTOTAL(103,$J$29:J361)</f>
        <v>333</v>
      </c>
      <c r="C361" s="126">
        <v>45068</v>
      </c>
      <c r="D361" s="124" t="s">
        <v>176</v>
      </c>
      <c r="E361" s="127" t="s">
        <v>177</v>
      </c>
      <c r="F361" s="128" t="s">
        <v>177</v>
      </c>
      <c r="G361" s="127" t="s">
        <v>178</v>
      </c>
      <c r="H361" s="127" t="s">
        <v>179</v>
      </c>
      <c r="I361" s="127" t="s">
        <v>601</v>
      </c>
      <c r="J361" s="152">
        <v>1393</v>
      </c>
      <c r="K361" s="127" t="s">
        <v>1461</v>
      </c>
      <c r="L361" s="130">
        <v>43366</v>
      </c>
      <c r="M361" s="127" t="s">
        <v>230</v>
      </c>
      <c r="N361" s="127" t="s">
        <v>245</v>
      </c>
      <c r="O361" s="127" t="s">
        <v>185</v>
      </c>
      <c r="P361" s="127" t="s">
        <v>292</v>
      </c>
      <c r="Q361" s="85" t="str">
        <f t="shared" si="297"/>
        <v/>
      </c>
      <c r="R361" s="130"/>
      <c r="S361" s="128"/>
      <c r="T361" s="131"/>
      <c r="U361" s="132">
        <v>203</v>
      </c>
      <c r="V361" s="121">
        <v>218.2</v>
      </c>
      <c r="W361" s="116">
        <v>0.98</v>
      </c>
      <c r="X361" s="116">
        <v>1.66</v>
      </c>
      <c r="Y361" s="116">
        <f t="shared" si="239"/>
        <v>1.0123462936227408</v>
      </c>
      <c r="Z361" s="133">
        <v>1.454</v>
      </c>
      <c r="AA361" s="133">
        <v>0.83599999999999997</v>
      </c>
      <c r="AB361" s="133">
        <v>0.72</v>
      </c>
      <c r="AC361" s="121">
        <v>34.299999999999997</v>
      </c>
      <c r="AD361" s="134">
        <v>1.17</v>
      </c>
      <c r="AE361" s="124">
        <v>177.8</v>
      </c>
      <c r="AF361" s="128">
        <v>9.19</v>
      </c>
      <c r="AG361" s="128">
        <v>2186</v>
      </c>
      <c r="AH361" s="127">
        <v>2949</v>
      </c>
      <c r="AI361" s="127">
        <v>2949</v>
      </c>
      <c r="AJ361" s="135"/>
      <c r="AK361" s="128"/>
      <c r="AL361" s="131"/>
      <c r="AM361" s="124" t="s">
        <v>232</v>
      </c>
      <c r="AN361" s="136" t="s">
        <v>1469</v>
      </c>
      <c r="AO361" s="137">
        <v>17.86</v>
      </c>
      <c r="AP361" s="128">
        <v>2174</v>
      </c>
      <c r="AQ361" s="128">
        <v>243.91629629629642</v>
      </c>
      <c r="AR361" s="128"/>
      <c r="AS361" s="128"/>
      <c r="AT361" s="122"/>
      <c r="AU361" s="124" t="s">
        <v>189</v>
      </c>
      <c r="AV361" s="115">
        <f>VLOOKUP(J361,'[63]ТР нефть'!$J$28:$BP$638,39,0)</f>
        <v>579.99998349600003</v>
      </c>
      <c r="AW361" s="115" t="str">
        <f>VLOOKUP(J361,'[63]ТР нефть'!$J$28:$BP$638,40,0)</f>
        <v>ГП</v>
      </c>
      <c r="AX361" s="115">
        <f>VLOOKUP(J361,'[63]ТР нефть'!$J$28:$BP$638,41,0)</f>
        <v>1034.9999689450001</v>
      </c>
      <c r="AY361" s="115" t="str">
        <f>VLOOKUP(J361,'[63]ТР нефть'!$J$28:$BP$638,42,0)</f>
        <v>ГП</v>
      </c>
      <c r="AZ361" s="115">
        <f>VLOOKUP(J361,'[63]ТР нефть'!$J$28:$BP$638,43,0)</f>
        <v>1410.0047999999999</v>
      </c>
      <c r="BA361" s="115" t="str">
        <f>VLOOKUP(J361,'[63]ТР нефть'!$J$28:$BP$638,44,0)</f>
        <v>ГК90 1/8</v>
      </c>
      <c r="BB361" s="115">
        <f>VLOOKUP(J361,'[63]ТР нефть'!$J$28:$BP$638,45,0)</f>
        <v>1710.000032813</v>
      </c>
      <c r="BC361" s="115" t="str">
        <f>VLOOKUP(J361,'[63]ТР нефть'!$J$28:$BP$638,46,0)</f>
        <v>ГК89 1/8</v>
      </c>
      <c r="BD361" s="115">
        <f>VLOOKUP(J361,'[63]ТР нефть'!$J$28:$BP$638,47,0)</f>
        <v>1949.999969531</v>
      </c>
      <c r="BE361" s="115" t="str">
        <f>VLOOKUP(J361,'[63]ТР нефть'!$J$28:$BP$638,48,0)</f>
        <v>ЦКсОК 5/16</v>
      </c>
      <c r="BF361" s="115" t="str">
        <f>VLOOKUP(J361,'[63]ТР нефть'!$J$28:$BP$638,49,0)</f>
        <v>-</v>
      </c>
      <c r="BG361" s="115" t="str">
        <f>VLOOKUP(J361,'[63]ТР нефть'!$J$28:$BP$638,50,0)</f>
        <v>-</v>
      </c>
      <c r="BH361" s="115">
        <f>VLOOKUP(J361,'[63]ТР нефть'!$J$28:$BP$638,51,0)</f>
        <v>1960</v>
      </c>
      <c r="BI361" s="115" t="str">
        <f>VLOOKUP(J361,'[63]ТР нефть'!$J$28:$BP$638,52,0)</f>
        <v>закрыт</v>
      </c>
      <c r="BJ361" s="115" t="str">
        <f>IF(IFERROR(VLOOKUP(J361,'[63]ТР нефть'!$J$28:$BP$638,53,0),"-")=0,"-",IFERROR(VLOOKUP(J361,'[63]ТР нефть'!$J$28:$BP$638,53,0),"-"))</f>
        <v>-</v>
      </c>
      <c r="BK361" s="138" t="str">
        <f>IF(IFERROR(VLOOKUP(J361,'[63]ТР нефть'!$J$28:$BP$638,54,0),"-")=0,"-",IFERROR(VLOOKUP(J361,'[63]ТР нефть'!$J$28:$BP$638,54,0),"-"))</f>
        <v>-</v>
      </c>
      <c r="BL361" s="138" t="str">
        <f>IF(IFERROR(VLOOKUP(J361,'[63]ТР нефть'!$J$28:$BP$638,55,0),"-")=0,"-",IFERROR(VLOOKUP(J361,'[63]ТР нефть'!$J$28:$BP$638,55,0),"-"))</f>
        <v>-</v>
      </c>
      <c r="BM361" s="138" t="str">
        <f>IF(IFERROR(VLOOKUP(J361,'[63]ТР нефть'!$J$28:$BP$638,56,0),"-")=0,"-",IFERROR(VLOOKUP(J361,'[63]ТР нефть'!$J$28:$BP$638,56,0),"-"))</f>
        <v>-</v>
      </c>
      <c r="BN361" s="138" t="str">
        <f>IF(IFERROR(VLOOKUP(J361,'[63]ТР нефть'!$J$28:$BP$638,57,0),"-")=0,"-",IFERROR(VLOOKUP(J361,'[63]ТР нефть'!$J$28:$BP$638,57,0),"-"))</f>
        <v>-</v>
      </c>
      <c r="BO361" s="115" t="str">
        <f>IF(IFERROR(VLOOKUP(J361,'[63]ТР нефть'!$J$28:$BP$638,58,0),"-")=0,"-",IFERROR(VLOOKUP(J361,'[63]ТР нефть'!$J$28:$BP$638,58,0),"-"))</f>
        <v>-</v>
      </c>
      <c r="BP361" s="115" t="str">
        <f>IF(IFERROR(VLOOKUP(J361,'[63]ТР нефть'!$J$28:$BP$638,59,0),"-")=0,"-",IFERROR(VLOOKUP(J361,'[63]ТР нефть'!$J$28:$BP$638,59,0),"-"))</f>
        <v>-</v>
      </c>
      <c r="BQ361" s="138">
        <v>2220</v>
      </c>
      <c r="BR361" s="128">
        <v>1942.16</v>
      </c>
      <c r="BS361" s="115">
        <f t="shared" si="258"/>
        <v>277.83999999999992</v>
      </c>
      <c r="BT361" s="128">
        <v>73</v>
      </c>
      <c r="BU361" s="128">
        <v>5.5</v>
      </c>
      <c r="BV361" s="127">
        <v>18</v>
      </c>
      <c r="BW361" s="127" t="s">
        <v>217</v>
      </c>
      <c r="BX361" s="127" t="s">
        <v>218</v>
      </c>
      <c r="BY361" s="139">
        <v>24</v>
      </c>
      <c r="BZ361" s="139">
        <v>24</v>
      </c>
      <c r="CA361" s="80">
        <v>19</v>
      </c>
      <c r="CB361" s="138">
        <v>76</v>
      </c>
      <c r="CC361" s="138">
        <v>18</v>
      </c>
      <c r="CD361" s="135">
        <v>45017</v>
      </c>
      <c r="CE361" s="138">
        <v>105</v>
      </c>
      <c r="CF361" s="138">
        <v>84</v>
      </c>
      <c r="CG361" s="138" t="str">
        <f t="shared" si="265"/>
        <v/>
      </c>
      <c r="CH361" s="138" t="s">
        <v>197</v>
      </c>
      <c r="CI361" s="138">
        <v>5</v>
      </c>
      <c r="CJ361" s="139"/>
      <c r="CK361" s="139">
        <f t="shared" si="255"/>
        <v>26</v>
      </c>
      <c r="CL361" s="99"/>
      <c r="CM361" s="99"/>
      <c r="CN361" s="140">
        <v>45</v>
      </c>
      <c r="CO361" s="141">
        <f t="shared" si="276"/>
        <v>5.2413856000000001</v>
      </c>
      <c r="CP361" s="142">
        <v>6.8</v>
      </c>
      <c r="CQ361" s="143">
        <v>7.8</v>
      </c>
      <c r="CR361" s="138">
        <v>19.8</v>
      </c>
      <c r="CS361" s="139">
        <v>7.2</v>
      </c>
      <c r="CT361" s="138"/>
      <c r="CU361" s="138">
        <f t="shared" si="277"/>
        <v>12.600000000000001</v>
      </c>
      <c r="CV361" s="115">
        <f t="shared" si="278"/>
        <v>2403.9444836876723</v>
      </c>
      <c r="CW361" s="115">
        <f t="shared" si="279"/>
        <v>1229.5945371027422</v>
      </c>
      <c r="CX361" s="133">
        <f t="shared" si="280"/>
        <v>0.11333333333333333</v>
      </c>
      <c r="CY361" s="116"/>
      <c r="CZ361" s="131"/>
      <c r="DA361" s="145" t="str">
        <f t="shared" si="281"/>
        <v>Газлифт</v>
      </c>
      <c r="DB361" s="146">
        <f t="shared" si="282"/>
        <v>5.2413856000000001</v>
      </c>
      <c r="DC361" s="142">
        <f t="shared" si="296"/>
        <v>6.8</v>
      </c>
      <c r="DD361" s="119">
        <f t="shared" si="250"/>
        <v>7.8</v>
      </c>
      <c r="DE361" s="115">
        <f t="shared" si="283"/>
        <v>12.600000000000001</v>
      </c>
      <c r="DF361" s="121">
        <f t="shared" si="284"/>
        <v>7.2</v>
      </c>
      <c r="DG361" s="115">
        <f t="shared" si="285"/>
        <v>2403.9444836876723</v>
      </c>
      <c r="DH361" s="115">
        <f t="shared" si="286"/>
        <v>45</v>
      </c>
      <c r="DI361" s="147"/>
      <c r="DJ361" s="111" t="s">
        <v>197</v>
      </c>
      <c r="DK361" s="112">
        <v>43366</v>
      </c>
      <c r="DL361" s="113">
        <f t="shared" ca="1" si="266"/>
        <v>1738</v>
      </c>
      <c r="DM361" s="114"/>
      <c r="DN361" s="114"/>
      <c r="DO361" s="114"/>
      <c r="DP361" s="114"/>
      <c r="DQ361" s="112">
        <v>43366</v>
      </c>
      <c r="DR361" s="114" t="s">
        <v>324</v>
      </c>
      <c r="DS361" s="114"/>
      <c r="DT361" s="115">
        <v>45</v>
      </c>
      <c r="DU361" s="116">
        <f t="shared" si="267"/>
        <v>0.11333333333333333</v>
      </c>
      <c r="DV361" s="117">
        <f t="shared" si="268"/>
        <v>5.2413856000000001</v>
      </c>
      <c r="DW361" s="118">
        <f t="shared" si="269"/>
        <v>6.8</v>
      </c>
      <c r="DX361" s="119">
        <f t="shared" si="287"/>
        <v>7.8</v>
      </c>
      <c r="DY361" s="115">
        <f t="shared" si="270"/>
        <v>12.600000000000001</v>
      </c>
      <c r="DZ361" s="117">
        <f t="shared" si="271"/>
        <v>0</v>
      </c>
      <c r="EA361" s="120">
        <f t="shared" si="271"/>
        <v>0</v>
      </c>
      <c r="EB361" s="119">
        <f t="shared" si="264"/>
        <v>0</v>
      </c>
      <c r="EC361" s="121">
        <f t="shared" si="272"/>
        <v>0</v>
      </c>
      <c r="ED361" s="122"/>
      <c r="EE361" s="145">
        <v>18</v>
      </c>
      <c r="EF361" s="148">
        <v>19</v>
      </c>
      <c r="EG361" s="115">
        <v>76</v>
      </c>
      <c r="EH361" s="115">
        <v>18</v>
      </c>
      <c r="EI361" s="128" t="s">
        <v>218</v>
      </c>
      <c r="EJ361" s="121">
        <v>24</v>
      </c>
      <c r="EK361" s="121">
        <v>24</v>
      </c>
      <c r="EL361" s="149">
        <v>5.2413856000000001</v>
      </c>
      <c r="EM361" s="142">
        <v>6.8</v>
      </c>
      <c r="EN361" s="119">
        <v>7.8</v>
      </c>
      <c r="EO361" s="115">
        <v>19.8</v>
      </c>
      <c r="EP361" s="115">
        <v>2403.9444836876723</v>
      </c>
      <c r="EQ361" s="115">
        <v>84</v>
      </c>
      <c r="ER361" s="115">
        <v>7.2</v>
      </c>
      <c r="ES361" s="115">
        <v>45</v>
      </c>
      <c r="ET361" s="150">
        <v>0.11333333333333333</v>
      </c>
      <c r="EU361" s="145">
        <f t="shared" si="288"/>
        <v>18</v>
      </c>
      <c r="EV361" s="115">
        <f t="shared" si="289"/>
        <v>19</v>
      </c>
      <c r="EW361" s="115">
        <f t="shared" si="289"/>
        <v>76</v>
      </c>
      <c r="EX361" s="115">
        <f t="shared" si="289"/>
        <v>18</v>
      </c>
      <c r="EY361" s="115" t="str">
        <f t="shared" si="253"/>
        <v>Периодический</v>
      </c>
      <c r="EZ361" s="115">
        <f t="shared" si="253"/>
        <v>24</v>
      </c>
      <c r="FA361" s="115">
        <f t="shared" si="253"/>
        <v>24</v>
      </c>
      <c r="FB361" s="149">
        <f t="shared" si="238"/>
        <v>5.2413856000000001</v>
      </c>
      <c r="FC361" s="142">
        <f t="shared" si="238"/>
        <v>6.8</v>
      </c>
      <c r="FD361" s="119">
        <f t="shared" si="238"/>
        <v>7.8</v>
      </c>
      <c r="FE361" s="121">
        <f t="shared" si="238"/>
        <v>19.8</v>
      </c>
      <c r="FF361" s="121">
        <f t="shared" si="247"/>
        <v>2403.9444836876723</v>
      </c>
      <c r="FG361" s="121">
        <f t="shared" si="290"/>
        <v>84</v>
      </c>
      <c r="FH361" s="121">
        <f t="shared" si="248"/>
        <v>7.2</v>
      </c>
      <c r="FI361" s="121">
        <f t="shared" si="252"/>
        <v>45</v>
      </c>
      <c r="FJ361" s="144">
        <f t="shared" si="291"/>
        <v>0.11333333333333333</v>
      </c>
      <c r="FK361" s="132">
        <f t="shared" si="292"/>
        <v>0</v>
      </c>
      <c r="FL361" s="115">
        <f t="shared" si="292"/>
        <v>0</v>
      </c>
      <c r="FM361" s="115">
        <f t="shared" si="292"/>
        <v>0</v>
      </c>
      <c r="FN361" s="115">
        <f t="shared" si="273"/>
        <v>0</v>
      </c>
      <c r="FO361" s="115">
        <f t="shared" si="257"/>
        <v>0</v>
      </c>
      <c r="FP361" s="115">
        <f t="shared" si="257"/>
        <v>0</v>
      </c>
      <c r="FQ361" s="149">
        <f t="shared" si="257"/>
        <v>0</v>
      </c>
      <c r="FR361" s="142">
        <f t="shared" si="256"/>
        <v>0</v>
      </c>
      <c r="FS361" s="119">
        <f t="shared" si="256"/>
        <v>0</v>
      </c>
      <c r="FT361" s="121">
        <f t="shared" si="256"/>
        <v>0</v>
      </c>
      <c r="FU361" s="121">
        <f t="shared" si="293"/>
        <v>0</v>
      </c>
      <c r="FV361" s="121">
        <f t="shared" si="293"/>
        <v>0</v>
      </c>
      <c r="FW361" s="121">
        <f t="shared" si="294"/>
        <v>0</v>
      </c>
      <c r="FX361" s="121">
        <f t="shared" si="295"/>
        <v>0</v>
      </c>
      <c r="FY361" s="144">
        <f t="shared" si="295"/>
        <v>0</v>
      </c>
      <c r="FZ361" s="145"/>
      <c r="GA361" s="151" t="s">
        <v>1464</v>
      </c>
      <c r="GB361" s="145"/>
      <c r="GC361" s="151"/>
      <c r="GD361" s="997" t="s">
        <v>220</v>
      </c>
      <c r="GE361" s="1004"/>
      <c r="GF361" s="1004">
        <v>0</v>
      </c>
      <c r="GG361" s="1004"/>
      <c r="GH361" s="1004">
        <v>0</v>
      </c>
      <c r="GI361" s="145"/>
      <c r="GJ361" s="996">
        <v>0</v>
      </c>
      <c r="GK361" s="145"/>
      <c r="GL361" s="996">
        <v>0</v>
      </c>
      <c r="GM361" s="1005"/>
      <c r="GN361" s="996">
        <v>0</v>
      </c>
      <c r="GO361" s="1006"/>
      <c r="GP361" s="996">
        <v>0</v>
      </c>
      <c r="GQ361" s="1006"/>
      <c r="GR361" s="996">
        <v>0</v>
      </c>
      <c r="GS361" s="1006"/>
      <c r="GT361" s="996">
        <v>0</v>
      </c>
      <c r="GU361" s="1006"/>
      <c r="GV361" s="996">
        <v>0</v>
      </c>
      <c r="GW361" s="1006"/>
      <c r="GX361" s="1036">
        <v>0</v>
      </c>
      <c r="GY361" s="1006" t="s">
        <v>933</v>
      </c>
      <c r="GZ361" s="996">
        <v>-2.7173343999999995</v>
      </c>
      <c r="HA361" s="1006"/>
      <c r="HB361" s="996">
        <v>-0.23408000000000051</v>
      </c>
      <c r="HC361" s="1006" t="s">
        <v>204</v>
      </c>
      <c r="HD361" s="996">
        <v>-4.3471999999999991</v>
      </c>
      <c r="HE361" s="1006" t="s">
        <v>204</v>
      </c>
      <c r="HF361" s="996">
        <v>5.5175999999999989</v>
      </c>
      <c r="HG361" s="1006"/>
      <c r="HH361" s="996">
        <v>0</v>
      </c>
      <c r="HI361" s="1006"/>
      <c r="HJ361" s="996">
        <v>-0.87760000000000016</v>
      </c>
      <c r="HK361" s="1006" t="s">
        <v>223</v>
      </c>
      <c r="HL361" s="996">
        <v>-2.2321200000000001</v>
      </c>
      <c r="HM361" s="1006"/>
      <c r="HN361" s="996">
        <v>0</v>
      </c>
      <c r="HO361" s="1006" t="s">
        <v>199</v>
      </c>
      <c r="HP361" s="996">
        <v>9.2127199999999991</v>
      </c>
      <c r="HQ361" s="1006"/>
      <c r="HR361" s="996">
        <v>0</v>
      </c>
      <c r="HS361" s="1006"/>
      <c r="HT361" s="996">
        <v>0</v>
      </c>
      <c r="HU361" s="1006"/>
      <c r="HV361" s="996">
        <v>0</v>
      </c>
      <c r="HW361" s="1006" t="s">
        <v>199</v>
      </c>
      <c r="HX361" s="996">
        <v>-6.6880000000000006</v>
      </c>
      <c r="HY361" s="1006" t="s">
        <v>433</v>
      </c>
      <c r="HZ361" s="996">
        <v>-1.5537245926399983</v>
      </c>
      <c r="IA361" s="1006" t="s">
        <v>25</v>
      </c>
      <c r="IB361" s="996">
        <v>5.1150845926399988</v>
      </c>
      <c r="IC361" s="1006"/>
      <c r="ID361" s="996">
        <v>0</v>
      </c>
      <c r="IE361" s="1006" t="s">
        <v>204</v>
      </c>
      <c r="IF361" s="996">
        <v>-3.8706799999999983</v>
      </c>
      <c r="IG361" s="1006"/>
      <c r="IH361" s="996">
        <v>0</v>
      </c>
      <c r="II361" s="1006"/>
      <c r="IJ361" s="996">
        <v>0</v>
      </c>
      <c r="IK361" s="1006"/>
      <c r="IL361" s="996">
        <v>0</v>
      </c>
      <c r="IM361" s="1006" t="s">
        <v>199</v>
      </c>
      <c r="IN361" s="996">
        <v>3.0367699999999989</v>
      </c>
      <c r="IO361" s="1006" t="s">
        <v>199</v>
      </c>
      <c r="IP361" s="996">
        <v>-4.3125059999999991</v>
      </c>
      <c r="IQ361" s="1006" t="s">
        <v>199</v>
      </c>
      <c r="IR361" s="996">
        <v>-1.4747040000000009</v>
      </c>
      <c r="IS361" s="1006" t="s">
        <v>199</v>
      </c>
      <c r="IT361" s="996">
        <v>2.1694200000000006</v>
      </c>
      <c r="IU361" s="1006" t="s">
        <v>199</v>
      </c>
      <c r="IV361" s="996">
        <v>-2.4536600000000011</v>
      </c>
      <c r="IW361" s="1006" t="s">
        <v>199</v>
      </c>
      <c r="IX361" s="996">
        <v>-3.8121599999999987</v>
      </c>
      <c r="IY361" s="1006"/>
      <c r="IZ361" s="996">
        <v>0.99960519999999775</v>
      </c>
      <c r="JA361" s="1006"/>
      <c r="JB361" s="996">
        <v>0.670664280000004</v>
      </c>
      <c r="JC361" s="1006"/>
      <c r="JD361" s="996">
        <v>0</v>
      </c>
      <c r="JE361" s="1006"/>
      <c r="JF361" s="996">
        <v>0</v>
      </c>
      <c r="JG361" s="1006"/>
      <c r="JH361" s="996">
        <v>0</v>
      </c>
      <c r="JI361" s="1006"/>
      <c r="JJ361" s="996">
        <v>0</v>
      </c>
      <c r="JK361" s="1007"/>
      <c r="JL361" s="1007">
        <v>0</v>
      </c>
      <c r="JM361" s="1007" t="s">
        <v>199</v>
      </c>
      <c r="JN361" s="1007">
        <v>2.3926905199999986</v>
      </c>
      <c r="JO361" s="1008"/>
      <c r="JP361" s="1007">
        <v>0</v>
      </c>
      <c r="JQ361" s="1008">
        <v>0</v>
      </c>
      <c r="JR361" s="1007">
        <v>0</v>
      </c>
      <c r="JS361" s="1008">
        <v>0</v>
      </c>
      <c r="JT361" s="1007">
        <v>0</v>
      </c>
      <c r="JU361" s="1008"/>
      <c r="JV361" s="1007">
        <v>0</v>
      </c>
      <c r="JW361" s="1008" t="s">
        <v>197</v>
      </c>
      <c r="JX361" s="1007">
        <v>0</v>
      </c>
      <c r="JY361" s="1008"/>
      <c r="JZ361" s="1007">
        <v>0</v>
      </c>
      <c r="KA361" s="1008"/>
      <c r="KB361" s="1007">
        <v>0</v>
      </c>
      <c r="KC361" s="1008"/>
      <c r="KD361" s="1007">
        <v>4.1799999999996729E-2</v>
      </c>
      <c r="KE361" s="1008"/>
      <c r="KF361" s="1007">
        <v>0</v>
      </c>
      <c r="KG361" s="1008"/>
      <c r="KH361" s="1007">
        <v>0</v>
      </c>
      <c r="KI361" s="1008" t="s">
        <v>206</v>
      </c>
      <c r="KJ361" s="1007">
        <v>-12.730861308</v>
      </c>
      <c r="KK361" s="1008"/>
      <c r="KL361" s="1007">
        <v>0</v>
      </c>
      <c r="KM361" s="1008"/>
      <c r="KN361" s="1007">
        <v>0</v>
      </c>
      <c r="KO361" s="1008"/>
      <c r="KP361" s="1007"/>
      <c r="KQ361" s="1008">
        <v>0</v>
      </c>
      <c r="KR361" s="1007">
        <v>0</v>
      </c>
      <c r="KS361" s="1008">
        <v>0</v>
      </c>
      <c r="KT361" s="1007">
        <v>0</v>
      </c>
      <c r="KU361" s="1008">
        <v>0</v>
      </c>
      <c r="KV361" s="1007">
        <v>0</v>
      </c>
      <c r="KW361" s="1008">
        <v>0</v>
      </c>
      <c r="KX361" s="1007">
        <v>0</v>
      </c>
      <c r="KY361" s="1008">
        <v>0</v>
      </c>
      <c r="KZ361" s="1007">
        <v>0</v>
      </c>
      <c r="LA361" s="1008">
        <v>0</v>
      </c>
      <c r="LB361" s="1007">
        <v>0</v>
      </c>
      <c r="LC361" s="1008">
        <v>0</v>
      </c>
      <c r="LD361" s="1007">
        <v>0</v>
      </c>
      <c r="LE361" s="1008">
        <v>0</v>
      </c>
      <c r="LF361" s="1007">
        <v>0</v>
      </c>
      <c r="LG361" s="1008">
        <v>0</v>
      </c>
      <c r="LH361" s="1007">
        <v>0</v>
      </c>
      <c r="LI361" s="1008">
        <v>0</v>
      </c>
      <c r="LJ361" s="1007">
        <v>0</v>
      </c>
      <c r="LK361" s="1008">
        <v>0</v>
      </c>
      <c r="LL361" s="1007">
        <v>0</v>
      </c>
      <c r="LM361" s="1008">
        <v>0</v>
      </c>
      <c r="LN361" s="1007">
        <v>0</v>
      </c>
      <c r="LO361" s="1008">
        <v>0</v>
      </c>
      <c r="LP361" s="1007">
        <v>0</v>
      </c>
      <c r="LQ361" s="1008">
        <v>0</v>
      </c>
      <c r="LR361" s="1007">
        <v>0</v>
      </c>
      <c r="LS361" s="1008">
        <v>0</v>
      </c>
      <c r="LT361" s="1007">
        <v>0</v>
      </c>
      <c r="LU361" s="1008">
        <v>0</v>
      </c>
      <c r="LV361" s="1007">
        <v>0</v>
      </c>
      <c r="LW361" s="1008">
        <v>0</v>
      </c>
      <c r="LX361" s="1007">
        <v>0</v>
      </c>
      <c r="LY361" s="1009">
        <v>0</v>
      </c>
      <c r="LZ361" s="1010">
        <v>0</v>
      </c>
      <c r="MA361" s="1011">
        <v>0</v>
      </c>
      <c r="MB361" s="1012">
        <v>0</v>
      </c>
      <c r="MC361" s="995"/>
      <c r="MD361" s="996"/>
      <c r="ME361" s="997" t="s">
        <v>220</v>
      </c>
      <c r="MF361" s="997"/>
      <c r="MG361" s="998"/>
      <c r="NR361" s="1000"/>
      <c r="NS361" s="1000"/>
      <c r="NT361" s="1001"/>
      <c r="NU361" s="1000"/>
      <c r="NV361" s="1001"/>
      <c r="NX361" s="1002"/>
      <c r="NZ361" s="1001"/>
      <c r="OA361" s="1001"/>
      <c r="OC361" s="1003"/>
      <c r="OD361" s="1003"/>
      <c r="OE361" s="1001"/>
      <c r="OF361" s="1003"/>
      <c r="OG361" s="1003"/>
      <c r="QX361" s="1000">
        <f>CN361-CA361</f>
        <v>26</v>
      </c>
      <c r="ASU361" s="999" t="s">
        <v>208</v>
      </c>
    </row>
    <row r="362" spans="1:466 1191:1191" ht="21" customHeight="1" x14ac:dyDescent="0.25">
      <c r="A362" s="982">
        <f t="shared" si="274"/>
        <v>1394</v>
      </c>
      <c r="B362" s="124">
        <f>SUBTOTAL(103,$J$29:J362)</f>
        <v>334</v>
      </c>
      <c r="C362" s="126">
        <v>45068</v>
      </c>
      <c r="D362" s="124" t="s">
        <v>176</v>
      </c>
      <c r="E362" s="127" t="s">
        <v>177</v>
      </c>
      <c r="F362" s="128" t="s">
        <v>177</v>
      </c>
      <c r="G362" s="127" t="s">
        <v>178</v>
      </c>
      <c r="H362" s="127" t="s">
        <v>408</v>
      </c>
      <c r="I362" s="127" t="s">
        <v>888</v>
      </c>
      <c r="J362" s="152">
        <v>1394</v>
      </c>
      <c r="K362" s="127" t="s">
        <v>894</v>
      </c>
      <c r="L362" s="130">
        <v>43439</v>
      </c>
      <c r="M362" s="127" t="s">
        <v>230</v>
      </c>
      <c r="N362" s="127" t="s">
        <v>231</v>
      </c>
      <c r="O362" s="127" t="s">
        <v>185</v>
      </c>
      <c r="P362" s="127" t="s">
        <v>186</v>
      </c>
      <c r="Q362" s="85" t="str">
        <f t="shared" si="297"/>
        <v/>
      </c>
      <c r="R362" s="130"/>
      <c r="S362" s="128"/>
      <c r="T362" s="131"/>
      <c r="U362" s="132">
        <v>203</v>
      </c>
      <c r="V362" s="121">
        <v>218.2</v>
      </c>
      <c r="W362" s="116">
        <v>0.98</v>
      </c>
      <c r="X362" s="116">
        <v>1.66</v>
      </c>
      <c r="Y362" s="116">
        <f t="shared" si="239"/>
        <v>0.98</v>
      </c>
      <c r="Z362" s="133">
        <v>1.454</v>
      </c>
      <c r="AA362" s="133">
        <v>0.83599999999999997</v>
      </c>
      <c r="AB362" s="133">
        <v>0.72</v>
      </c>
      <c r="AC362" s="121">
        <v>34.299999999999997</v>
      </c>
      <c r="AD362" s="134">
        <v>1.17</v>
      </c>
      <c r="AE362" s="124">
        <v>177.8</v>
      </c>
      <c r="AF362" s="128">
        <v>9.19</v>
      </c>
      <c r="AG362" s="128">
        <v>2292</v>
      </c>
      <c r="AH362" s="127">
        <v>2929</v>
      </c>
      <c r="AI362" s="127">
        <v>2929</v>
      </c>
      <c r="AJ362" s="135"/>
      <c r="AK362" s="128"/>
      <c r="AL362" s="131"/>
      <c r="AM362" s="124" t="s">
        <v>232</v>
      </c>
      <c r="AN362" s="136" t="s">
        <v>1470</v>
      </c>
      <c r="AO362" s="137">
        <v>24.39</v>
      </c>
      <c r="AP362" s="128">
        <v>2292</v>
      </c>
      <c r="AQ362" s="128">
        <v>411.29544276457864</v>
      </c>
      <c r="AR362" s="128"/>
      <c r="AS362" s="128"/>
      <c r="AT362" s="122"/>
      <c r="AU362" s="124" t="s">
        <v>189</v>
      </c>
      <c r="AV362" s="115">
        <f>VLOOKUP(J362,'[63]ТР нефть'!$J$28:$BP$638,39,0)</f>
        <v>505.99999804700002</v>
      </c>
      <c r="AW362" s="115" t="str">
        <f>VLOOKUP(J362,'[63]ТР нефть'!$J$28:$BP$638,40,0)</f>
        <v>ГК80 1/8</v>
      </c>
      <c r="AX362" s="115">
        <f>VLOOKUP(J362,'[63]ТР нефть'!$J$28:$BP$638,41,0)</f>
        <v>905.99999179700001</v>
      </c>
      <c r="AY362" s="115" t="str">
        <f>VLOOKUP(J362,'[63]ТР нефть'!$J$28:$BP$638,42,0)</f>
        <v>ГК81 1/8</v>
      </c>
      <c r="AZ362" s="115">
        <f>VLOOKUP(J362,'[63]ТР нефть'!$J$28:$BP$638,43,0)</f>
        <v>1297.000051172</v>
      </c>
      <c r="BA362" s="115" t="str">
        <f>VLOOKUP(J362,'[63]ТР нефть'!$J$28:$BP$638,44,0)</f>
        <v>ГК82 1/8</v>
      </c>
      <c r="BB362" s="115">
        <f>VLOOKUP(J362,'[63]ТР нефть'!$J$28:$BP$638,45,0)</f>
        <v>1630.000004297</v>
      </c>
      <c r="BC362" s="115" t="str">
        <f>VLOOKUP(J362,'[63]ТР нефть'!$J$28:$BP$638,46,0)</f>
        <v>ГК82 1/8</v>
      </c>
      <c r="BD362" s="115">
        <f>VLOOKUP(J362,'[63]ТР нефть'!$J$28:$BP$638,47,0)</f>
        <v>1894.9999406249999</v>
      </c>
      <c r="BE362" s="115" t="str">
        <f>VLOOKUP(J362,'[63]ТР нефть'!$J$28:$BP$638,48,0)</f>
        <v>ЦКсОК 5/16</v>
      </c>
      <c r="BF362" s="115" t="str">
        <f>VLOOKUP(J362,'[63]ТР нефть'!$J$28:$BP$638,49,0)</f>
        <v>-</v>
      </c>
      <c r="BG362" s="115" t="str">
        <f>VLOOKUP(J362,'[63]ТР нефть'!$J$28:$BP$638,50,0)</f>
        <v>-</v>
      </c>
      <c r="BH362" s="115" t="str">
        <f>VLOOKUP(J362,'[63]ТР нефть'!$J$28:$BP$638,51,0)</f>
        <v>-</v>
      </c>
      <c r="BI362" s="115" t="str">
        <f>VLOOKUP(J362,'[63]ТР нефть'!$J$28:$BP$638,52,0)</f>
        <v>-</v>
      </c>
      <c r="BJ362" s="115" t="str">
        <f>IF(IFERROR(VLOOKUP(J362,'[63]ТР нефть'!$J$28:$BP$638,53,0),"-")=0,"-",IFERROR(VLOOKUP(J362,'[63]ТР нефть'!$J$28:$BP$638,53,0),"-"))</f>
        <v>-</v>
      </c>
      <c r="BK362" s="138" t="str">
        <f>IF(IFERROR(VLOOKUP(J362,'[63]ТР нефть'!$J$28:$BP$638,54,0),"-")=0,"-",IFERROR(VLOOKUP(J362,'[63]ТР нефть'!$J$28:$BP$638,54,0),"-"))</f>
        <v>-</v>
      </c>
      <c r="BL362" s="138" t="str">
        <f>IF(IFERROR(VLOOKUP(J362,'[63]ТР нефть'!$J$28:$BP$638,55,0),"-")=0,"-",IFERROR(VLOOKUP(J362,'[63]ТР нефть'!$J$28:$BP$638,55,0),"-"))</f>
        <v>-</v>
      </c>
      <c r="BM362" s="138" t="str">
        <f>IF(IFERROR(VLOOKUP(J362,'[63]ТР нефть'!$J$28:$BP$638,56,0),"-")=0,"-",IFERROR(VLOOKUP(J362,'[63]ТР нефть'!$J$28:$BP$638,56,0),"-"))</f>
        <v>-</v>
      </c>
      <c r="BN362" s="138" t="str">
        <f>IF(IFERROR(VLOOKUP(J362,'[63]ТР нефть'!$J$28:$BP$638,57,0),"-")=0,"-",IFERROR(VLOOKUP(J362,'[63]ТР нефть'!$J$28:$BP$638,57,0),"-"))</f>
        <v>-</v>
      </c>
      <c r="BO362" s="115" t="str">
        <f>IF(IFERROR(VLOOKUP(J362,'[63]ТР нефть'!$J$28:$BP$638,58,0),"-")=0,"-",IFERROR(VLOOKUP(J362,'[63]ТР нефть'!$J$28:$BP$638,58,0),"-"))</f>
        <v>-</v>
      </c>
      <c r="BP362" s="115" t="str">
        <f>IF(IFERROR(VLOOKUP(J362,'[63]ТР нефть'!$J$28:$BP$638,59,0),"-")=0,"-",IFERROR(VLOOKUP(J362,'[63]ТР нефть'!$J$28:$BP$638,59,0),"-"))</f>
        <v>-</v>
      </c>
      <c r="BQ362" s="138">
        <v>2295.8000000000002</v>
      </c>
      <c r="BR362" s="128">
        <v>1881</v>
      </c>
      <c r="BS362" s="115">
        <f t="shared" si="258"/>
        <v>414.80000000000018</v>
      </c>
      <c r="BT362" s="128">
        <v>73</v>
      </c>
      <c r="BU362" s="128">
        <v>5.5</v>
      </c>
      <c r="BV362" s="127">
        <v>18</v>
      </c>
      <c r="BW362" s="127" t="s">
        <v>217</v>
      </c>
      <c r="BX362" s="127" t="s">
        <v>195</v>
      </c>
      <c r="BY362" s="139">
        <v>24</v>
      </c>
      <c r="BZ362" s="139">
        <v>0</v>
      </c>
      <c r="CA362" s="138">
        <v>23</v>
      </c>
      <c r="CB362" s="138">
        <v>42</v>
      </c>
      <c r="CC362" s="138">
        <v>22</v>
      </c>
      <c r="CD362" s="135">
        <v>45017</v>
      </c>
      <c r="CE362" s="138">
        <v>129.1</v>
      </c>
      <c r="CF362" s="138">
        <v>67</v>
      </c>
      <c r="CG362" s="138" t="str">
        <f t="shared" si="265"/>
        <v>В работе</v>
      </c>
      <c r="CH362" s="138" t="s">
        <v>235</v>
      </c>
      <c r="CI362" s="127">
        <v>6</v>
      </c>
      <c r="CJ362" s="138"/>
      <c r="CK362" s="138"/>
      <c r="CL362" s="99"/>
      <c r="CM362" s="99"/>
      <c r="CN362" s="154">
        <v>44</v>
      </c>
      <c r="CO362" s="141">
        <f t="shared" si="276"/>
        <v>2.8423999999999996</v>
      </c>
      <c r="CP362" s="160">
        <v>3.4</v>
      </c>
      <c r="CQ362" s="161">
        <v>0</v>
      </c>
      <c r="CR362" s="138">
        <v>12.5</v>
      </c>
      <c r="CS362" s="139">
        <v>9</v>
      </c>
      <c r="CT362" s="138"/>
      <c r="CU362" s="138">
        <f t="shared" si="277"/>
        <v>3.5</v>
      </c>
      <c r="CV362" s="115">
        <f t="shared" si="278"/>
        <v>1231.3537855333523</v>
      </c>
      <c r="CW362" s="115">
        <f t="shared" si="279"/>
        <v>3166.3383056571911</v>
      </c>
      <c r="CX362" s="133">
        <f t="shared" si="280"/>
        <v>3.995299647473561E-2</v>
      </c>
      <c r="CY362" s="116"/>
      <c r="CZ362" s="131"/>
      <c r="DA362" s="145" t="str">
        <f t="shared" si="281"/>
        <v>Газлифт</v>
      </c>
      <c r="DB362" s="146">
        <f t="shared" si="282"/>
        <v>2.8423999999999996</v>
      </c>
      <c r="DC362" s="142">
        <f t="shared" si="296"/>
        <v>3.4</v>
      </c>
      <c r="DD362" s="119">
        <f t="shared" si="250"/>
        <v>0</v>
      </c>
      <c r="DE362" s="115">
        <f t="shared" si="283"/>
        <v>3.5</v>
      </c>
      <c r="DF362" s="121">
        <f t="shared" si="284"/>
        <v>9</v>
      </c>
      <c r="DG362" s="115">
        <f t="shared" si="285"/>
        <v>1231.3537855333523</v>
      </c>
      <c r="DH362" s="115">
        <f t="shared" si="286"/>
        <v>44</v>
      </c>
      <c r="DI362" s="147"/>
      <c r="DJ362" s="111">
        <v>43700</v>
      </c>
      <c r="DK362" s="112">
        <v>44111.083333333336</v>
      </c>
      <c r="DL362" s="113">
        <f t="shared" ca="1" si="266"/>
        <v>992.91666666666424</v>
      </c>
      <c r="DM362" s="114"/>
      <c r="DN362" s="114"/>
      <c r="DO362" s="114"/>
      <c r="DP362" s="114"/>
      <c r="DQ362" s="112">
        <v>43439</v>
      </c>
      <c r="DR362" s="114" t="s">
        <v>324</v>
      </c>
      <c r="DS362" s="114"/>
      <c r="DT362" s="115">
        <v>56</v>
      </c>
      <c r="DU362" s="116">
        <f t="shared" si="267"/>
        <v>4.6511627906976744E-2</v>
      </c>
      <c r="DV362" s="117">
        <f t="shared" si="268"/>
        <v>2.8423999999999996</v>
      </c>
      <c r="DW362" s="118">
        <f t="shared" si="269"/>
        <v>3.4</v>
      </c>
      <c r="DX362" s="119">
        <f t="shared" si="287"/>
        <v>0</v>
      </c>
      <c r="DY362" s="115">
        <f t="shared" si="270"/>
        <v>3.5</v>
      </c>
      <c r="DZ362" s="117">
        <f t="shared" si="271"/>
        <v>0</v>
      </c>
      <c r="EA362" s="120">
        <f t="shared" si="271"/>
        <v>0</v>
      </c>
      <c r="EB362" s="119">
        <f t="shared" si="264"/>
        <v>0</v>
      </c>
      <c r="EC362" s="121">
        <f t="shared" si="272"/>
        <v>0</v>
      </c>
      <c r="ED362" s="122"/>
      <c r="EE362" s="145">
        <v>18</v>
      </c>
      <c r="EF362" s="115">
        <v>23</v>
      </c>
      <c r="EG362" s="115">
        <v>42</v>
      </c>
      <c r="EH362" s="115">
        <v>22</v>
      </c>
      <c r="EI362" s="128" t="s">
        <v>195</v>
      </c>
      <c r="EJ362" s="121">
        <v>24</v>
      </c>
      <c r="EK362" s="121">
        <v>0</v>
      </c>
      <c r="EL362" s="149">
        <v>2.8423999999999996</v>
      </c>
      <c r="EM362" s="142">
        <v>3.4</v>
      </c>
      <c r="EN362" s="119">
        <v>0</v>
      </c>
      <c r="EO362" s="115">
        <v>12.5</v>
      </c>
      <c r="EP362" s="115">
        <v>1231.3537855333523</v>
      </c>
      <c r="EQ362" s="115">
        <v>67</v>
      </c>
      <c r="ER362" s="115">
        <v>9</v>
      </c>
      <c r="ES362" s="115">
        <v>44</v>
      </c>
      <c r="ET362" s="150">
        <v>3.995299647473561E-2</v>
      </c>
      <c r="EU362" s="145">
        <f t="shared" si="288"/>
        <v>18</v>
      </c>
      <c r="EV362" s="115">
        <f t="shared" si="289"/>
        <v>23</v>
      </c>
      <c r="EW362" s="115">
        <f t="shared" si="289"/>
        <v>42</v>
      </c>
      <c r="EX362" s="115">
        <f t="shared" si="289"/>
        <v>22</v>
      </c>
      <c r="EY362" s="115" t="str">
        <f t="shared" si="253"/>
        <v>Постоянный</v>
      </c>
      <c r="EZ362" s="115">
        <f t="shared" si="253"/>
        <v>24</v>
      </c>
      <c r="FA362" s="115">
        <f t="shared" si="253"/>
        <v>0</v>
      </c>
      <c r="FB362" s="149">
        <f t="shared" ref="FB362:FE425" si="298">CO362</f>
        <v>2.8423999999999996</v>
      </c>
      <c r="FC362" s="142">
        <f t="shared" si="298"/>
        <v>3.4</v>
      </c>
      <c r="FD362" s="119">
        <f t="shared" si="298"/>
        <v>0</v>
      </c>
      <c r="FE362" s="121">
        <f t="shared" si="298"/>
        <v>12.5</v>
      </c>
      <c r="FF362" s="121">
        <f t="shared" si="247"/>
        <v>1231.3537855333523</v>
      </c>
      <c r="FG362" s="121">
        <f t="shared" si="290"/>
        <v>67</v>
      </c>
      <c r="FH362" s="121">
        <f t="shared" si="248"/>
        <v>9</v>
      </c>
      <c r="FI362" s="121">
        <f t="shared" si="252"/>
        <v>44</v>
      </c>
      <c r="FJ362" s="144">
        <f t="shared" si="291"/>
        <v>3.995299647473561E-2</v>
      </c>
      <c r="FK362" s="132">
        <f t="shared" si="292"/>
        <v>0</v>
      </c>
      <c r="FL362" s="115">
        <f t="shared" si="292"/>
        <v>0</v>
      </c>
      <c r="FM362" s="115">
        <f t="shared" si="292"/>
        <v>0</v>
      </c>
      <c r="FN362" s="115">
        <f t="shared" si="273"/>
        <v>0</v>
      </c>
      <c r="FO362" s="115">
        <f t="shared" si="257"/>
        <v>0</v>
      </c>
      <c r="FP362" s="115">
        <f t="shared" si="257"/>
        <v>0</v>
      </c>
      <c r="FQ362" s="149">
        <f t="shared" si="257"/>
        <v>0</v>
      </c>
      <c r="FR362" s="142">
        <f t="shared" si="256"/>
        <v>0</v>
      </c>
      <c r="FS362" s="119">
        <f t="shared" si="256"/>
        <v>0</v>
      </c>
      <c r="FT362" s="121">
        <f t="shared" si="256"/>
        <v>0</v>
      </c>
      <c r="FU362" s="121">
        <f t="shared" si="293"/>
        <v>0</v>
      </c>
      <c r="FV362" s="121">
        <f t="shared" si="293"/>
        <v>0</v>
      </c>
      <c r="FW362" s="121">
        <f t="shared" si="294"/>
        <v>0</v>
      </c>
      <c r="FX362" s="121">
        <f>CN362-ES362</f>
        <v>0</v>
      </c>
      <c r="FY362" s="144">
        <f t="shared" si="295"/>
        <v>0</v>
      </c>
      <c r="FZ362" s="145"/>
      <c r="GA362" s="1024" t="s">
        <v>870</v>
      </c>
      <c r="GB362" s="145"/>
      <c r="GC362" s="1024"/>
      <c r="GD362" s="997" t="s">
        <v>416</v>
      </c>
      <c r="GE362" s="1004"/>
      <c r="GF362" s="1004">
        <v>0.69002900645161258</v>
      </c>
      <c r="GG362" s="1004"/>
      <c r="GH362" s="1004">
        <v>0</v>
      </c>
      <c r="GI362" s="145"/>
      <c r="GJ362" s="996">
        <v>0</v>
      </c>
      <c r="GK362" s="145"/>
      <c r="GL362" s="996">
        <v>0</v>
      </c>
      <c r="GM362" s="1005"/>
      <c r="GN362" s="996">
        <v>0</v>
      </c>
      <c r="GO362" s="1006"/>
      <c r="GP362" s="996">
        <v>0.63085099354838703</v>
      </c>
      <c r="GQ362" s="1006"/>
      <c r="GR362" s="996">
        <v>0</v>
      </c>
      <c r="GS362" s="1006"/>
      <c r="GT362" s="996">
        <v>0</v>
      </c>
      <c r="GU362" s="1006"/>
      <c r="GV362" s="996">
        <v>0</v>
      </c>
      <c r="GW362" s="1006"/>
      <c r="GX362" s="1035">
        <v>0.27052960000000015</v>
      </c>
      <c r="GY362" s="1006"/>
      <c r="GZ362" s="996">
        <v>0</v>
      </c>
      <c r="HA362" s="1006"/>
      <c r="HB362" s="996">
        <v>0</v>
      </c>
      <c r="HC362" s="1006"/>
      <c r="HD362" s="996">
        <v>0</v>
      </c>
      <c r="HE362" s="1006"/>
      <c r="HF362" s="996">
        <v>0</v>
      </c>
      <c r="HG362" s="1006"/>
      <c r="HH362" s="996">
        <v>0</v>
      </c>
      <c r="HI362" s="1006"/>
      <c r="HJ362" s="996">
        <v>0</v>
      </c>
      <c r="HK362" s="1006"/>
      <c r="HL362" s="996">
        <v>0</v>
      </c>
      <c r="HM362" s="1006" t="s">
        <v>199</v>
      </c>
      <c r="HN362" s="996">
        <v>-4.4535258239999997</v>
      </c>
      <c r="HO362" s="1006"/>
      <c r="HP362" s="996">
        <v>0</v>
      </c>
      <c r="HQ362" s="1006" t="s">
        <v>221</v>
      </c>
      <c r="HR362" s="996">
        <v>4.4755962240000002</v>
      </c>
      <c r="HS362" s="1006"/>
      <c r="HT362" s="996">
        <v>0</v>
      </c>
      <c r="HU362" s="1006"/>
      <c r="HV362" s="996">
        <v>0</v>
      </c>
      <c r="HW362" s="1006"/>
      <c r="HX362" s="996">
        <v>0.22883744400000028</v>
      </c>
      <c r="HY362" s="1006" t="s">
        <v>221</v>
      </c>
      <c r="HZ362" s="996">
        <v>-3.1281857640000004</v>
      </c>
      <c r="IA362" s="1006" t="s">
        <v>221</v>
      </c>
      <c r="IB362" s="996">
        <v>-1.2221316800000004</v>
      </c>
      <c r="IC362" s="1006"/>
      <c r="ID362" s="996">
        <v>0</v>
      </c>
      <c r="IE362" s="1006"/>
      <c r="IF362" s="996">
        <v>0</v>
      </c>
      <c r="IG362" s="1006"/>
      <c r="IH362" s="996">
        <v>0</v>
      </c>
      <c r="II362" s="1006"/>
      <c r="IJ362" s="996">
        <v>0</v>
      </c>
      <c r="IK362" s="1006"/>
      <c r="IL362" s="996">
        <v>0</v>
      </c>
      <c r="IM362" s="1006"/>
      <c r="IN362" s="996">
        <v>0</v>
      </c>
      <c r="IO362" s="1006" t="s">
        <v>239</v>
      </c>
      <c r="IP362" s="996">
        <v>0.79420000000000091</v>
      </c>
      <c r="IQ362" s="1006"/>
      <c r="IR362" s="996">
        <v>0</v>
      </c>
      <c r="IS362" s="1006"/>
      <c r="IT362" s="996">
        <v>0</v>
      </c>
      <c r="IU362" s="1006"/>
      <c r="IV362" s="996">
        <v>0</v>
      </c>
      <c r="IW362" s="1006"/>
      <c r="IX362" s="996">
        <v>0</v>
      </c>
      <c r="IY362" s="1006"/>
      <c r="IZ362" s="996">
        <v>0</v>
      </c>
      <c r="JA362" s="1006"/>
      <c r="JB362" s="996">
        <v>-0.41799999999999971</v>
      </c>
      <c r="JC362" s="1006"/>
      <c r="JD362" s="996">
        <v>-0.41800000000000015</v>
      </c>
      <c r="JE362" s="1006"/>
      <c r="JF362" s="996">
        <v>0</v>
      </c>
      <c r="JG362" s="1006"/>
      <c r="JH362" s="996">
        <v>0</v>
      </c>
      <c r="JI362" s="1006"/>
      <c r="JJ362" s="996">
        <v>-0.72503116575999993</v>
      </c>
      <c r="JK362" s="1007"/>
      <c r="JL362" s="1007">
        <v>0</v>
      </c>
      <c r="JM362" s="1007"/>
      <c r="JN362" s="1007">
        <v>0</v>
      </c>
      <c r="JO362" s="1008" t="s">
        <v>25</v>
      </c>
      <c r="JP362" s="1007">
        <v>-0.52896883423999963</v>
      </c>
      <c r="JQ362" s="1008">
        <v>0</v>
      </c>
      <c r="JR362" s="1007">
        <v>0</v>
      </c>
      <c r="JS362" s="1008">
        <v>0</v>
      </c>
      <c r="JT362" s="1007">
        <v>0</v>
      </c>
      <c r="JU362" s="1008"/>
      <c r="JV362" s="1007">
        <v>0</v>
      </c>
      <c r="JW362" s="1008" t="s">
        <v>223</v>
      </c>
      <c r="JX362" s="1007">
        <v>-7.524</v>
      </c>
      <c r="JY362" s="1008" t="s">
        <v>240</v>
      </c>
      <c r="JZ362" s="1007">
        <v>-4.1800000000000015</v>
      </c>
      <c r="KA362" s="1008"/>
      <c r="KB362" s="1007">
        <v>0</v>
      </c>
      <c r="KC362" s="1008" t="s">
        <v>240</v>
      </c>
      <c r="KD362" s="1007">
        <v>-11.871851745600001</v>
      </c>
      <c r="KE362" s="1008"/>
      <c r="KF362" s="1007">
        <v>0</v>
      </c>
      <c r="KG362" s="1008"/>
      <c r="KH362" s="1007">
        <v>29.427851745600002</v>
      </c>
      <c r="KI362" s="1008"/>
      <c r="KJ362" s="1007">
        <v>0</v>
      </c>
      <c r="KK362" s="1008"/>
      <c r="KL362" s="1007"/>
      <c r="KM362" s="1008"/>
      <c r="KN362" s="1007"/>
      <c r="KO362" s="1008"/>
      <c r="KP362" s="1007"/>
      <c r="KQ362" s="1008"/>
      <c r="KR362" s="1007"/>
      <c r="KS362" s="1008"/>
      <c r="KT362" s="1007"/>
      <c r="KU362" s="1008"/>
      <c r="KV362" s="1007"/>
      <c r="KW362" s="1008"/>
      <c r="KX362" s="1007"/>
      <c r="KY362" s="1008"/>
      <c r="KZ362" s="1007"/>
      <c r="LA362" s="1008"/>
      <c r="LB362" s="1007"/>
      <c r="LC362" s="1008"/>
      <c r="LD362" s="1007"/>
      <c r="LE362" s="1008"/>
      <c r="LF362" s="1007"/>
      <c r="LG362" s="1008"/>
      <c r="LH362" s="1007"/>
      <c r="LI362" s="1008"/>
      <c r="LJ362" s="1007"/>
      <c r="LK362" s="1008"/>
      <c r="LL362" s="1007"/>
      <c r="LM362" s="1008"/>
      <c r="LN362" s="1007"/>
      <c r="LO362" s="1008"/>
      <c r="LP362" s="1007"/>
      <c r="LQ362" s="1008"/>
      <c r="LR362" s="1007"/>
      <c r="LS362" s="1008"/>
      <c r="LT362" s="1007"/>
      <c r="LU362" s="1008"/>
      <c r="LV362" s="1007"/>
      <c r="LW362" s="1008"/>
      <c r="LX362" s="1007"/>
      <c r="LY362" s="1009"/>
      <c r="LZ362" s="1010"/>
      <c r="MA362" s="1011"/>
      <c r="MB362" s="1012"/>
      <c r="MC362" s="995"/>
      <c r="MD362" s="996"/>
      <c r="ME362" s="997" t="s">
        <v>416</v>
      </c>
      <c r="MF362" s="997"/>
      <c r="MG362" s="998"/>
      <c r="NR362" s="1000"/>
      <c r="NS362" s="1000"/>
      <c r="NT362" s="1001"/>
      <c r="NU362" s="1000"/>
      <c r="NV362" s="1001"/>
      <c r="NX362" s="1002"/>
      <c r="NZ362" s="1001"/>
      <c r="OA362" s="1001"/>
      <c r="OC362" s="1003"/>
      <c r="OD362" s="1003"/>
      <c r="OE362" s="1001"/>
      <c r="OF362" s="1003"/>
      <c r="OG362" s="1003"/>
      <c r="QX362" s="1000">
        <f>CN362-CA362</f>
        <v>21</v>
      </c>
      <c r="ASU362" s="999" t="s">
        <v>225</v>
      </c>
    </row>
    <row r="363" spans="1:466 1191:1191" ht="21" customHeight="1" x14ac:dyDescent="0.25">
      <c r="A363" s="982">
        <f t="shared" si="274"/>
        <v>1397</v>
      </c>
      <c r="B363" s="124">
        <f>SUBTOTAL(103,$J$29:J363)</f>
        <v>335</v>
      </c>
      <c r="C363" s="126">
        <v>45068</v>
      </c>
      <c r="D363" s="124" t="s">
        <v>176</v>
      </c>
      <c r="E363" s="127" t="s">
        <v>177</v>
      </c>
      <c r="F363" s="128" t="s">
        <v>177</v>
      </c>
      <c r="G363" s="127" t="s">
        <v>178</v>
      </c>
      <c r="H363" s="127" t="s">
        <v>179</v>
      </c>
      <c r="I363" s="127" t="s">
        <v>601</v>
      </c>
      <c r="J363" s="152">
        <v>1397</v>
      </c>
      <c r="K363" s="127" t="s">
        <v>1461</v>
      </c>
      <c r="L363" s="130">
        <v>43373</v>
      </c>
      <c r="M363" s="127" t="s">
        <v>230</v>
      </c>
      <c r="N363" s="127" t="s">
        <v>184</v>
      </c>
      <c r="O363" s="127" t="s">
        <v>185</v>
      </c>
      <c r="P363" s="127" t="s">
        <v>186</v>
      </c>
      <c r="Q363" s="85" t="str">
        <f t="shared" si="297"/>
        <v/>
      </c>
      <c r="R363" s="130"/>
      <c r="S363" s="128"/>
      <c r="T363" s="131"/>
      <c r="U363" s="132">
        <v>203</v>
      </c>
      <c r="V363" s="121">
        <v>218.2</v>
      </c>
      <c r="W363" s="116">
        <v>0.98</v>
      </c>
      <c r="X363" s="116">
        <v>1.66</v>
      </c>
      <c r="Y363" s="116">
        <f t="shared" si="239"/>
        <v>1.3661404098085321</v>
      </c>
      <c r="Z363" s="133">
        <v>1.454</v>
      </c>
      <c r="AA363" s="133">
        <v>0.83599999999999997</v>
      </c>
      <c r="AB363" s="133">
        <v>0.72</v>
      </c>
      <c r="AC363" s="121">
        <v>34.299999999999997</v>
      </c>
      <c r="AD363" s="134">
        <v>1.17</v>
      </c>
      <c r="AE363" s="124">
        <v>177.8</v>
      </c>
      <c r="AF363" s="128">
        <v>9.19</v>
      </c>
      <c r="AG363" s="128">
        <v>2405.64</v>
      </c>
      <c r="AH363" s="127">
        <v>3007</v>
      </c>
      <c r="AI363" s="127">
        <v>3007</v>
      </c>
      <c r="AJ363" s="135">
        <v>43258</v>
      </c>
      <c r="AK363" s="128" t="s">
        <v>1018</v>
      </c>
      <c r="AL363" s="131"/>
      <c r="AM363" s="124" t="s">
        <v>232</v>
      </c>
      <c r="AN363" s="136" t="s">
        <v>1471</v>
      </c>
      <c r="AO363" s="137">
        <v>122.78</v>
      </c>
      <c r="AP363" s="128">
        <v>2405.64</v>
      </c>
      <c r="AQ363" s="128">
        <v>460</v>
      </c>
      <c r="AR363" s="128"/>
      <c r="AS363" s="128"/>
      <c r="AT363" s="122"/>
      <c r="AU363" s="124" t="s">
        <v>189</v>
      </c>
      <c r="AV363" s="115">
        <f>VLOOKUP(J363,'[63]ТР нефть'!$J$28:$BP$638,39,0)</f>
        <v>540.00000644500005</v>
      </c>
      <c r="AW363" s="115" t="str">
        <f>VLOOKUP(J363,'[63]ТР нефть'!$J$28:$BP$638,40,0)</f>
        <v>ГП</v>
      </c>
      <c r="AX363" s="115">
        <f>VLOOKUP(J363,'[63]ТР нефть'!$J$28:$BP$638,41,0)</f>
        <v>1005.000014063</v>
      </c>
      <c r="AY363" s="115" t="str">
        <f>VLOOKUP(J363,'[63]ТР нефть'!$J$28:$BP$638,42,0)</f>
        <v>ГП</v>
      </c>
      <c r="AZ363" s="115">
        <f>VLOOKUP(J363,'[63]ТР нефть'!$J$28:$BP$638,43,0)</f>
        <v>1399.9999781250001</v>
      </c>
      <c r="BA363" s="115" t="str">
        <f>VLOOKUP(J363,'[63]ТР нефть'!$J$28:$BP$638,44,0)</f>
        <v>ГП</v>
      </c>
      <c r="BB363" s="115">
        <f>VLOOKUP(J363,'[63]ТР нефть'!$J$28:$BP$638,45,0)</f>
        <v>1699.9999734380001</v>
      </c>
      <c r="BC363" s="115" t="str">
        <f>VLOOKUP(J363,'[63]ТР нефть'!$J$28:$BP$638,46,0)</f>
        <v>ГК88 1/8</v>
      </c>
      <c r="BD363" s="115">
        <f>VLOOKUP(J363,'[63]ТР нефть'!$J$28:$BP$638,47,0)</f>
        <v>1999.9999687500001</v>
      </c>
      <c r="BE363" s="115" t="str">
        <f>VLOOKUP(J363,'[63]ТР нефть'!$J$28:$BP$638,48,0)</f>
        <v>ЦКсОК 5/16</v>
      </c>
      <c r="BF363" s="115" t="str">
        <f>VLOOKUP(J363,'[63]ТР нефть'!$J$28:$BP$638,49,0)</f>
        <v>-</v>
      </c>
      <c r="BG363" s="115" t="str">
        <f>VLOOKUP(J363,'[63]ТР нефть'!$J$28:$BP$638,50,0)</f>
        <v>-</v>
      </c>
      <c r="BH363" s="115">
        <f>VLOOKUP(J363,'[63]ТР нефть'!$J$28:$BP$638,51,0)</f>
        <v>2040</v>
      </c>
      <c r="BI363" s="115" t="str">
        <f>VLOOKUP(J363,'[63]ТР нефть'!$J$28:$BP$638,52,0)</f>
        <v>закрыт</v>
      </c>
      <c r="BJ363" s="115" t="str">
        <f>IF(IFERROR(VLOOKUP(J363,'[63]ТР нефть'!$J$28:$BP$638,53,0),"-")=0,"-",IFERROR(VLOOKUP(J363,'[63]ТР нефть'!$J$28:$BP$638,53,0),"-"))</f>
        <v>-</v>
      </c>
      <c r="BK363" s="138" t="str">
        <f>IF(IFERROR(VLOOKUP(J363,'[63]ТР нефть'!$J$28:$BP$638,54,0),"-")=0,"-",IFERROR(VLOOKUP(J363,'[63]ТР нефть'!$J$28:$BP$638,54,0),"-"))</f>
        <v>-</v>
      </c>
      <c r="BL363" s="138" t="str">
        <f>IF(IFERROR(VLOOKUP(J363,'[63]ТР нефть'!$J$28:$BP$638,55,0),"-")=0,"-",IFERROR(VLOOKUP(J363,'[63]ТР нефть'!$J$28:$BP$638,55,0),"-"))</f>
        <v>-</v>
      </c>
      <c r="BM363" s="138" t="str">
        <f>IF(IFERROR(VLOOKUP(J363,'[63]ТР нефть'!$J$28:$BP$638,56,0),"-")=0,"-",IFERROR(VLOOKUP(J363,'[63]ТР нефть'!$J$28:$BP$638,56,0),"-"))</f>
        <v>-</v>
      </c>
      <c r="BN363" s="138" t="str">
        <f>IF(IFERROR(VLOOKUP(J363,'[63]ТР нефть'!$J$28:$BP$638,57,0),"-")=0,"-",IFERROR(VLOOKUP(J363,'[63]ТР нефть'!$J$28:$BP$638,57,0),"-"))</f>
        <v>-</v>
      </c>
      <c r="BO363" s="115" t="str">
        <f>IF(IFERROR(VLOOKUP(J363,'[63]ТР нефть'!$J$28:$BP$638,58,0),"-")=0,"-",IFERROR(VLOOKUP(J363,'[63]ТР нефть'!$J$28:$BP$638,58,0),"-"))</f>
        <v>-</v>
      </c>
      <c r="BP363" s="115" t="str">
        <f>IF(IFERROR(VLOOKUP(J363,'[63]ТР нефть'!$J$28:$BP$638,59,0),"-")=0,"-",IFERROR(VLOOKUP(J363,'[63]ТР нефть'!$J$28:$BP$638,59,0),"-"))</f>
        <v>-</v>
      </c>
      <c r="BQ363" s="138">
        <v>2070</v>
      </c>
      <c r="BR363" s="128">
        <v>1802.81</v>
      </c>
      <c r="BS363" s="115">
        <f t="shared" si="258"/>
        <v>267.19000000000005</v>
      </c>
      <c r="BT363" s="128">
        <v>73</v>
      </c>
      <c r="BU363" s="128">
        <v>5.5</v>
      </c>
      <c r="BV363" s="127">
        <v>65</v>
      </c>
      <c r="BW363" s="127" t="s">
        <v>217</v>
      </c>
      <c r="BX363" s="127" t="s">
        <v>195</v>
      </c>
      <c r="BY363" s="139">
        <v>24</v>
      </c>
      <c r="BZ363" s="139">
        <v>0</v>
      </c>
      <c r="CA363" s="80">
        <v>20</v>
      </c>
      <c r="CB363" s="138">
        <v>48</v>
      </c>
      <c r="CC363" s="138">
        <v>19</v>
      </c>
      <c r="CD363" s="135">
        <v>45017</v>
      </c>
      <c r="CE363" s="138">
        <v>111</v>
      </c>
      <c r="CF363" s="138">
        <v>82</v>
      </c>
      <c r="CG363" s="138" t="str">
        <f t="shared" si="265"/>
        <v>В работе</v>
      </c>
      <c r="CH363" s="138" t="s">
        <v>196</v>
      </c>
      <c r="CI363" s="127">
        <v>5</v>
      </c>
      <c r="CJ363" s="138"/>
      <c r="CK363" s="138">
        <f t="shared" si="255"/>
        <v>50</v>
      </c>
      <c r="CL363" s="99"/>
      <c r="CM363" s="99"/>
      <c r="CN363" s="140">
        <v>70</v>
      </c>
      <c r="CO363" s="141">
        <f t="shared" si="276"/>
        <v>2.4879360000000004</v>
      </c>
      <c r="CP363" s="142">
        <v>9.6</v>
      </c>
      <c r="CQ363" s="143">
        <v>69</v>
      </c>
      <c r="CR363" s="138">
        <v>11.4</v>
      </c>
      <c r="CS363" s="139">
        <v>10.6</v>
      </c>
      <c r="CT363" s="138"/>
      <c r="CU363" s="138">
        <f t="shared" si="277"/>
        <v>0.80000000000000071</v>
      </c>
      <c r="CV363" s="115">
        <f t="shared" si="278"/>
        <v>321.55167978597541</v>
      </c>
      <c r="CW363" s="115">
        <f t="shared" si="279"/>
        <v>1043.4582648194698</v>
      </c>
      <c r="CX363" s="133">
        <f t="shared" si="280"/>
        <v>0.23414634146341462</v>
      </c>
      <c r="CY363" s="116"/>
      <c r="CZ363" s="131"/>
      <c r="DA363" s="145" t="str">
        <f t="shared" si="281"/>
        <v>Газлифт</v>
      </c>
      <c r="DB363" s="146">
        <f t="shared" si="282"/>
        <v>2.4879360000000004</v>
      </c>
      <c r="DC363" s="142">
        <f t="shared" si="296"/>
        <v>9.6</v>
      </c>
      <c r="DD363" s="119">
        <f t="shared" si="250"/>
        <v>69</v>
      </c>
      <c r="DE363" s="115">
        <f t="shared" si="283"/>
        <v>0.80000000000000071</v>
      </c>
      <c r="DF363" s="121">
        <f t="shared" si="284"/>
        <v>10.6</v>
      </c>
      <c r="DG363" s="115">
        <f t="shared" si="285"/>
        <v>321.55167978597541</v>
      </c>
      <c r="DH363" s="115">
        <f t="shared" si="286"/>
        <v>70</v>
      </c>
      <c r="DI363" s="147"/>
      <c r="DJ363" s="111" t="s">
        <v>197</v>
      </c>
      <c r="DK363" s="112">
        <v>43373</v>
      </c>
      <c r="DL363" s="113">
        <f t="shared" ca="1" si="266"/>
        <v>1731</v>
      </c>
      <c r="DM363" s="114"/>
      <c r="DN363" s="114"/>
      <c r="DO363" s="114"/>
      <c r="DP363" s="114"/>
      <c r="DQ363" s="112">
        <v>43863</v>
      </c>
      <c r="DR363" s="114" t="s">
        <v>198</v>
      </c>
      <c r="DS363" s="114"/>
      <c r="DT363" s="115">
        <v>60</v>
      </c>
      <c r="DU363" s="116">
        <f t="shared" si="267"/>
        <v>0.2229297502555864</v>
      </c>
      <c r="DV363" s="117">
        <f t="shared" si="268"/>
        <v>2.9464981778881265</v>
      </c>
      <c r="DW363" s="118">
        <f t="shared" si="269"/>
        <v>11.369417263034906</v>
      </c>
      <c r="DX363" s="119">
        <f t="shared" si="287"/>
        <v>69</v>
      </c>
      <c r="DY363" s="115">
        <f t="shared" si="270"/>
        <v>0.94745143858624281</v>
      </c>
      <c r="DZ363" s="117">
        <f t="shared" si="271"/>
        <v>0.45856217788812614</v>
      </c>
      <c r="EA363" s="120">
        <f t="shared" si="271"/>
        <v>1.7694172630349065</v>
      </c>
      <c r="EB363" s="119">
        <f t="shared" si="264"/>
        <v>0</v>
      </c>
      <c r="EC363" s="121">
        <f t="shared" si="272"/>
        <v>0.1474514385862421</v>
      </c>
      <c r="ED363" s="122"/>
      <c r="EE363" s="145">
        <v>65</v>
      </c>
      <c r="EF363" s="148">
        <v>20</v>
      </c>
      <c r="EG363" s="115">
        <v>48</v>
      </c>
      <c r="EH363" s="115">
        <v>19</v>
      </c>
      <c r="EI363" s="128" t="s">
        <v>195</v>
      </c>
      <c r="EJ363" s="121">
        <v>24</v>
      </c>
      <c r="EK363" s="121">
        <v>0</v>
      </c>
      <c r="EL363" s="149">
        <v>2.4879360000000004</v>
      </c>
      <c r="EM363" s="142">
        <v>9.6</v>
      </c>
      <c r="EN363" s="119">
        <v>69</v>
      </c>
      <c r="EO363" s="115">
        <v>11.4</v>
      </c>
      <c r="EP363" s="115">
        <v>321.55167978597541</v>
      </c>
      <c r="EQ363" s="115">
        <v>82</v>
      </c>
      <c r="ER363" s="115">
        <v>10.6</v>
      </c>
      <c r="ES363" s="115">
        <v>70</v>
      </c>
      <c r="ET363" s="150">
        <v>0.23414634146341462</v>
      </c>
      <c r="EU363" s="145">
        <f t="shared" si="288"/>
        <v>65</v>
      </c>
      <c r="EV363" s="115">
        <f t="shared" si="289"/>
        <v>20</v>
      </c>
      <c r="EW363" s="115">
        <f t="shared" si="289"/>
        <v>48</v>
      </c>
      <c r="EX363" s="115">
        <f t="shared" si="289"/>
        <v>19</v>
      </c>
      <c r="EY363" s="115" t="str">
        <f t="shared" si="253"/>
        <v>Постоянный</v>
      </c>
      <c r="EZ363" s="115">
        <f t="shared" si="253"/>
        <v>24</v>
      </c>
      <c r="FA363" s="115">
        <f t="shared" si="253"/>
        <v>0</v>
      </c>
      <c r="FB363" s="149">
        <f t="shared" si="298"/>
        <v>2.4879360000000004</v>
      </c>
      <c r="FC363" s="142">
        <f t="shared" si="298"/>
        <v>9.6</v>
      </c>
      <c r="FD363" s="119">
        <f t="shared" si="298"/>
        <v>69</v>
      </c>
      <c r="FE363" s="121">
        <f t="shared" si="298"/>
        <v>11.4</v>
      </c>
      <c r="FF363" s="121">
        <f t="shared" si="247"/>
        <v>321.55167978597541</v>
      </c>
      <c r="FG363" s="121">
        <f t="shared" si="290"/>
        <v>82</v>
      </c>
      <c r="FH363" s="121">
        <f t="shared" si="248"/>
        <v>10.6</v>
      </c>
      <c r="FI363" s="121">
        <f t="shared" si="252"/>
        <v>70</v>
      </c>
      <c r="FJ363" s="144">
        <f t="shared" si="291"/>
        <v>0.23414634146341462</v>
      </c>
      <c r="FK363" s="132">
        <f t="shared" si="292"/>
        <v>0</v>
      </c>
      <c r="FL363" s="115">
        <f t="shared" si="292"/>
        <v>0</v>
      </c>
      <c r="FM363" s="115">
        <f t="shared" si="292"/>
        <v>0</v>
      </c>
      <c r="FN363" s="115">
        <f t="shared" si="273"/>
        <v>0</v>
      </c>
      <c r="FO363" s="115">
        <f t="shared" si="257"/>
        <v>0</v>
      </c>
      <c r="FP363" s="115">
        <f t="shared" si="257"/>
        <v>0</v>
      </c>
      <c r="FQ363" s="149">
        <f t="shared" si="257"/>
        <v>0</v>
      </c>
      <c r="FR363" s="142">
        <f t="shared" si="256"/>
        <v>0</v>
      </c>
      <c r="FS363" s="119">
        <f t="shared" si="256"/>
        <v>0</v>
      </c>
      <c r="FT363" s="121">
        <f t="shared" si="256"/>
        <v>0</v>
      </c>
      <c r="FU363" s="121">
        <f t="shared" si="293"/>
        <v>0</v>
      </c>
      <c r="FV363" s="121">
        <f t="shared" si="293"/>
        <v>0</v>
      </c>
      <c r="FW363" s="121">
        <f t="shared" si="294"/>
        <v>0</v>
      </c>
      <c r="FX363" s="121">
        <f t="shared" si="295"/>
        <v>0</v>
      </c>
      <c r="FY363" s="144">
        <f t="shared" si="295"/>
        <v>0</v>
      </c>
      <c r="FZ363" s="145"/>
      <c r="GA363" s="151" t="s">
        <v>1464</v>
      </c>
      <c r="GB363" s="145"/>
      <c r="GC363" s="151"/>
      <c r="GD363" s="997" t="s">
        <v>220</v>
      </c>
      <c r="GE363" s="1004"/>
      <c r="GF363" s="1004">
        <v>3.7941024000000212E-2</v>
      </c>
      <c r="GG363" s="1004"/>
      <c r="GH363" s="1004">
        <v>0</v>
      </c>
      <c r="GI363" s="145"/>
      <c r="GJ363" s="996">
        <v>0</v>
      </c>
      <c r="GK363" s="145"/>
      <c r="GL363" s="996">
        <v>0</v>
      </c>
      <c r="GM363" s="1005"/>
      <c r="GN363" s="996">
        <v>0</v>
      </c>
      <c r="GO363" s="1006"/>
      <c r="GP363" s="996">
        <v>0.30983497600000076</v>
      </c>
      <c r="GQ363" s="1006"/>
      <c r="GR363" s="996">
        <v>0</v>
      </c>
      <c r="GS363" s="1006"/>
      <c r="GT363" s="996">
        <v>0</v>
      </c>
      <c r="GU363" s="1006"/>
      <c r="GV363" s="996">
        <v>-0.53503999999999996</v>
      </c>
      <c r="GW363" s="1006"/>
      <c r="GX363" s="1036">
        <v>0</v>
      </c>
      <c r="GY363" s="1006"/>
      <c r="GZ363" s="996">
        <v>0</v>
      </c>
      <c r="HA363" s="1006" t="s">
        <v>199</v>
      </c>
      <c r="HB363" s="996">
        <v>-1.2682120000000001</v>
      </c>
      <c r="HC363" s="1006"/>
      <c r="HD363" s="996">
        <v>0.6328519999999993</v>
      </c>
      <c r="HE363" s="1006" t="s">
        <v>204</v>
      </c>
      <c r="HF363" s="996">
        <v>1.97296</v>
      </c>
      <c r="HG363" s="1006"/>
      <c r="HH363" s="996">
        <v>0</v>
      </c>
      <c r="HI363" s="1006"/>
      <c r="HJ363" s="996">
        <v>0.45144000000000006</v>
      </c>
      <c r="HK363" s="1006" t="s">
        <v>199</v>
      </c>
      <c r="HL363" s="996">
        <v>-2.0481999999999996</v>
      </c>
      <c r="HM363" s="1006"/>
      <c r="HN363" s="996">
        <v>0</v>
      </c>
      <c r="HO363" s="1006"/>
      <c r="HP363" s="996">
        <v>0</v>
      </c>
      <c r="HQ363" s="1006"/>
      <c r="HR363" s="996">
        <v>0</v>
      </c>
      <c r="HS363" s="1006"/>
      <c r="HT363" s="996">
        <v>0</v>
      </c>
      <c r="HU363" s="1006"/>
      <c r="HV363" s="996">
        <v>0</v>
      </c>
      <c r="HW363" s="1006"/>
      <c r="HX363" s="996">
        <v>0.89432771999999972</v>
      </c>
      <c r="HY363" s="1006"/>
      <c r="HZ363" s="996">
        <v>0</v>
      </c>
      <c r="IA363" s="1006"/>
      <c r="IB363" s="996">
        <v>0</v>
      </c>
      <c r="IC363" s="1006"/>
      <c r="ID363" s="996">
        <v>0</v>
      </c>
      <c r="IE363" s="1006" t="s">
        <v>223</v>
      </c>
      <c r="IF363" s="996">
        <v>-1.0531677199999998</v>
      </c>
      <c r="IG363" s="1006"/>
      <c r="IH363" s="996">
        <v>-0.7369340000000002</v>
      </c>
      <c r="II363" s="1006"/>
      <c r="IJ363" s="996">
        <v>0</v>
      </c>
      <c r="IK363" s="1006"/>
      <c r="IL363" s="996">
        <v>0.91463415999999986</v>
      </c>
      <c r="IM363" s="1006"/>
      <c r="IN363" s="996">
        <v>0.70217980799999991</v>
      </c>
      <c r="IO363" s="1006" t="s">
        <v>199</v>
      </c>
      <c r="IP363" s="996">
        <v>-4.371015968</v>
      </c>
      <c r="IQ363" s="1006"/>
      <c r="IR363" s="996">
        <v>0.27420800000000156</v>
      </c>
      <c r="IS363" s="1006" t="s">
        <v>199</v>
      </c>
      <c r="IT363" s="996">
        <v>4.5929839999999986</v>
      </c>
      <c r="IU363" s="1006" t="s">
        <v>199</v>
      </c>
      <c r="IV363" s="996">
        <v>-4.0529280000000005</v>
      </c>
      <c r="IW363" s="1006"/>
      <c r="IX363" s="996">
        <v>0</v>
      </c>
      <c r="IY363" s="1006"/>
      <c r="IZ363" s="996">
        <v>0</v>
      </c>
      <c r="JA363" s="1006" t="s">
        <v>349</v>
      </c>
      <c r="JB363" s="996">
        <v>-2.4575108835199995</v>
      </c>
      <c r="JC363" s="1006"/>
      <c r="JD363" s="996">
        <v>0</v>
      </c>
      <c r="JE363" s="1006" t="s">
        <v>25</v>
      </c>
      <c r="JF363" s="996">
        <v>6.5890228835200002</v>
      </c>
      <c r="JG363" s="1006"/>
      <c r="JH363" s="996">
        <v>6.9555199999999928E-2</v>
      </c>
      <c r="JI363" s="1006"/>
      <c r="JJ363" s="996">
        <v>0</v>
      </c>
      <c r="JK363" s="1007"/>
      <c r="JL363" s="1007">
        <v>0</v>
      </c>
      <c r="JM363" s="1007" t="s">
        <v>146</v>
      </c>
      <c r="JN363" s="1007">
        <v>-2.4684572000000005</v>
      </c>
      <c r="JO363" s="1008"/>
      <c r="JP363" s="1007">
        <v>0</v>
      </c>
      <c r="JQ363" s="1008" t="s">
        <v>199</v>
      </c>
      <c r="JR363" s="1007">
        <v>-16.720417999999995</v>
      </c>
      <c r="JS363" s="1008">
        <v>0</v>
      </c>
      <c r="JT363" s="1007">
        <v>0</v>
      </c>
      <c r="JU363" s="1008"/>
      <c r="JV363" s="1007">
        <v>0</v>
      </c>
      <c r="JW363" s="1008" t="s">
        <v>197</v>
      </c>
      <c r="JX363" s="1007">
        <v>0</v>
      </c>
      <c r="JY363" s="1008"/>
      <c r="JZ363" s="1007">
        <v>0</v>
      </c>
      <c r="KA363" s="1008"/>
      <c r="KB363" s="1007">
        <v>0</v>
      </c>
      <c r="KC363" s="1008" t="s">
        <v>207</v>
      </c>
      <c r="KD363" s="1007">
        <v>15.357319999999998</v>
      </c>
      <c r="KE363" s="1008"/>
      <c r="KF363" s="1007">
        <v>0</v>
      </c>
      <c r="KG363" s="1008"/>
      <c r="KH363" s="1007">
        <v>0</v>
      </c>
      <c r="KI363" s="1008" t="s">
        <v>349</v>
      </c>
      <c r="KJ363" s="1007">
        <v>1.4002999999999997</v>
      </c>
      <c r="KK363" s="1008"/>
      <c r="KL363" s="1007">
        <v>2.5999999999992696E-4</v>
      </c>
      <c r="KM363" s="1008"/>
      <c r="KN363" s="1007">
        <v>0</v>
      </c>
      <c r="KO363" s="1008"/>
      <c r="KP363" s="1007">
        <v>0</v>
      </c>
      <c r="KQ363" s="1008">
        <v>0</v>
      </c>
      <c r="KR363" s="1007">
        <v>0</v>
      </c>
      <c r="KS363" s="1008">
        <v>0</v>
      </c>
      <c r="KT363" s="1007">
        <v>0</v>
      </c>
      <c r="KU363" s="1008">
        <v>0</v>
      </c>
      <c r="KV363" s="1007">
        <v>0</v>
      </c>
      <c r="KW363" s="1008">
        <v>0</v>
      </c>
      <c r="KX363" s="1007">
        <v>0</v>
      </c>
      <c r="KY363" s="1008">
        <v>0</v>
      </c>
      <c r="KZ363" s="1007">
        <v>0</v>
      </c>
      <c r="LA363" s="1008">
        <v>0</v>
      </c>
      <c r="LB363" s="1007">
        <v>0</v>
      </c>
      <c r="LC363" s="1008">
        <v>0</v>
      </c>
      <c r="LD363" s="1007">
        <v>0</v>
      </c>
      <c r="LE363" s="1008">
        <v>0</v>
      </c>
      <c r="LF363" s="1007">
        <v>0</v>
      </c>
      <c r="LG363" s="1008">
        <v>0</v>
      </c>
      <c r="LH363" s="1007">
        <v>0</v>
      </c>
      <c r="LI363" s="1008">
        <v>0</v>
      </c>
      <c r="LJ363" s="1007">
        <v>0</v>
      </c>
      <c r="LK363" s="1008">
        <v>0</v>
      </c>
      <c r="LL363" s="1007">
        <v>0</v>
      </c>
      <c r="LM363" s="1008">
        <v>0</v>
      </c>
      <c r="LN363" s="1007">
        <v>0</v>
      </c>
      <c r="LO363" s="1008">
        <v>0</v>
      </c>
      <c r="LP363" s="1007">
        <v>0</v>
      </c>
      <c r="LQ363" s="1008">
        <v>0</v>
      </c>
      <c r="LR363" s="1007">
        <v>0</v>
      </c>
      <c r="LS363" s="1008">
        <v>0</v>
      </c>
      <c r="LT363" s="1007">
        <v>0</v>
      </c>
      <c r="LU363" s="1008">
        <v>0</v>
      </c>
      <c r="LV363" s="1007">
        <v>0</v>
      </c>
      <c r="LW363" s="1008">
        <v>0</v>
      </c>
      <c r="LX363" s="1007">
        <v>0</v>
      </c>
      <c r="LY363" s="1009">
        <v>0</v>
      </c>
      <c r="LZ363" s="1010">
        <v>0</v>
      </c>
      <c r="MA363" s="1011">
        <v>0</v>
      </c>
      <c r="MB363" s="1012">
        <v>0</v>
      </c>
      <c r="MC363" s="995"/>
      <c r="MD363" s="996"/>
      <c r="ME363" s="997" t="s">
        <v>220</v>
      </c>
      <c r="MF363" s="997"/>
      <c r="MG363" s="998"/>
      <c r="NR363" s="1000"/>
      <c r="NS363" s="1000"/>
      <c r="NT363" s="1001"/>
      <c r="NU363" s="1000"/>
      <c r="NV363" s="1001"/>
      <c r="NX363" s="1002"/>
      <c r="NZ363" s="1001"/>
      <c r="OA363" s="1001"/>
      <c r="OC363" s="1003"/>
      <c r="OD363" s="1003"/>
      <c r="OE363" s="1001"/>
      <c r="OF363" s="1003"/>
      <c r="OG363" s="1003"/>
      <c r="QX363" s="1000">
        <f>CN363-CA363</f>
        <v>50</v>
      </c>
      <c r="ASU363" s="999" t="s">
        <v>208</v>
      </c>
    </row>
    <row r="364" spans="1:466 1191:1191" ht="21" customHeight="1" x14ac:dyDescent="0.25">
      <c r="A364" s="982">
        <f t="shared" si="274"/>
        <v>3287</v>
      </c>
      <c r="B364" s="124">
        <f>SUBTOTAL(103,$J$29:J364)</f>
        <v>336</v>
      </c>
      <c r="C364" s="126">
        <v>45068</v>
      </c>
      <c r="D364" s="124" t="s">
        <v>176</v>
      </c>
      <c r="E364" s="127" t="s">
        <v>177</v>
      </c>
      <c r="F364" s="128" t="s">
        <v>177</v>
      </c>
      <c r="G364" s="127" t="s">
        <v>178</v>
      </c>
      <c r="H364" s="127" t="s">
        <v>179</v>
      </c>
      <c r="I364" s="127" t="s">
        <v>1299</v>
      </c>
      <c r="J364" s="152">
        <v>3287</v>
      </c>
      <c r="K364" s="127" t="s">
        <v>1299</v>
      </c>
      <c r="L364" s="130">
        <v>43546</v>
      </c>
      <c r="M364" s="127" t="s">
        <v>230</v>
      </c>
      <c r="N364" s="127" t="s">
        <v>184</v>
      </c>
      <c r="O364" s="127" t="s">
        <v>185</v>
      </c>
      <c r="P364" s="127" t="s">
        <v>186</v>
      </c>
      <c r="Q364" s="85" t="str">
        <f t="shared" si="297"/>
        <v/>
      </c>
      <c r="R364" s="130"/>
      <c r="S364" s="128"/>
      <c r="T364" s="131"/>
      <c r="U364" s="132">
        <v>203</v>
      </c>
      <c r="V364" s="121">
        <v>218.2</v>
      </c>
      <c r="W364" s="116">
        <v>0.98</v>
      </c>
      <c r="X364" s="116">
        <v>1.66</v>
      </c>
      <c r="Y364" s="116">
        <f t="shared" si="239"/>
        <v>1.0039769038408843</v>
      </c>
      <c r="Z364" s="133">
        <v>1.454</v>
      </c>
      <c r="AA364" s="133">
        <v>0.83599999999999997</v>
      </c>
      <c r="AB364" s="133">
        <v>0.72</v>
      </c>
      <c r="AC364" s="121">
        <v>34.299999999999997</v>
      </c>
      <c r="AD364" s="134">
        <v>1.17</v>
      </c>
      <c r="AE364" s="124">
        <v>177.8</v>
      </c>
      <c r="AF364" s="128">
        <v>9.19</v>
      </c>
      <c r="AG364" s="128">
        <v>2083.3000000000002</v>
      </c>
      <c r="AH364" s="127">
        <v>3069</v>
      </c>
      <c r="AI364" s="127">
        <v>3069</v>
      </c>
      <c r="AJ364" s="135"/>
      <c r="AK364" s="128"/>
      <c r="AL364" s="131"/>
      <c r="AM364" s="124" t="s">
        <v>985</v>
      </c>
      <c r="AN364" s="136" t="s">
        <v>1472</v>
      </c>
      <c r="AO364" s="137">
        <v>21.84</v>
      </c>
      <c r="AP364" s="128">
        <v>2084</v>
      </c>
      <c r="AQ364" s="128">
        <v>284.16000000000003</v>
      </c>
      <c r="AR364" s="128" t="s">
        <v>1473</v>
      </c>
      <c r="AS364" s="128">
        <v>114</v>
      </c>
      <c r="AT364" s="122">
        <v>7.37</v>
      </c>
      <c r="AU364" s="124" t="s">
        <v>189</v>
      </c>
      <c r="AV364" s="115">
        <f>VLOOKUP(J364,'[63]ТР нефть'!$J$28:$BP$638,39,0)</f>
        <v>554.99998388699998</v>
      </c>
      <c r="AW364" s="115" t="str">
        <f>VLOOKUP(J364,'[63]ТР нефть'!$J$28:$BP$638,40,0)</f>
        <v>ГП</v>
      </c>
      <c r="AX364" s="115">
        <f>VLOOKUP(J364,'[63]ТР нефть'!$J$28:$BP$638,41,0)</f>
        <v>995.00002910199998</v>
      </c>
      <c r="AY364" s="115" t="str">
        <f>VLOOKUP(J364,'[63]ТР нефть'!$J$28:$BP$638,42,0)</f>
        <v>ГК77 1/8</v>
      </c>
      <c r="AZ364" s="115">
        <f>VLOOKUP(J364,'[63]ТР нефть'!$J$28:$BP$638,43,0)</f>
        <v>1319.9999496089999</v>
      </c>
      <c r="BA364" s="115" t="str">
        <f>VLOOKUP(J364,'[63]ТР нефть'!$J$28:$BP$638,44,0)</f>
        <v>ГК77 1/8</v>
      </c>
      <c r="BB364" s="115">
        <f>VLOOKUP(J364,'[63]ТР нефть'!$J$28:$BP$638,45,0)</f>
        <v>1599.9999749999999</v>
      </c>
      <c r="BC364" s="115" t="str">
        <f>VLOOKUP(J364,'[63]ТР нефть'!$J$28:$BP$638,46,0)</f>
        <v>ГК77 1/8</v>
      </c>
      <c r="BD364" s="115">
        <f>VLOOKUP(J364,'[63]ТР нефть'!$J$28:$BP$638,47,0)</f>
        <v>1899.9999703129999</v>
      </c>
      <c r="BE364" s="115" t="str">
        <f>VLOOKUP(J364,'[63]ТР нефть'!$J$28:$BP$638,48,0)</f>
        <v>ЦКсОК 5/16</v>
      </c>
      <c r="BF364" s="115" t="str">
        <f>VLOOKUP(J364,'[63]ТР нефть'!$J$28:$BP$638,49,0)</f>
        <v>-</v>
      </c>
      <c r="BG364" s="115" t="str">
        <f>VLOOKUP(J364,'[63]ТР нефть'!$J$28:$BP$638,50,0)</f>
        <v>-</v>
      </c>
      <c r="BH364" s="115" t="str">
        <f>VLOOKUP(J364,'[63]ТР нефть'!$J$28:$BP$638,51,0)</f>
        <v>-</v>
      </c>
      <c r="BI364" s="115" t="str">
        <f>VLOOKUP(J364,'[63]ТР нефть'!$J$28:$BP$638,52,0)</f>
        <v>-</v>
      </c>
      <c r="BJ364" s="115" t="str">
        <f>IF(IFERROR(VLOOKUP(J364,'[63]ТР нефть'!$J$28:$BP$638,53,0),"-")=0,"-",IFERROR(VLOOKUP(J364,'[63]ТР нефть'!$J$28:$BP$638,53,0),"-"))</f>
        <v>-</v>
      </c>
      <c r="BK364" s="138" t="str">
        <f>IF(IFERROR(VLOOKUP(J364,'[63]ТР нефть'!$J$28:$BP$638,54,0),"-")=0,"-",IFERROR(VLOOKUP(J364,'[63]ТР нефть'!$J$28:$BP$638,54,0),"-"))</f>
        <v>-</v>
      </c>
      <c r="BL364" s="138" t="str">
        <f>IF(IFERROR(VLOOKUP(J364,'[63]ТР нефть'!$J$28:$BP$638,55,0),"-")=0,"-",IFERROR(VLOOKUP(J364,'[63]ТР нефть'!$J$28:$BP$638,55,0),"-"))</f>
        <v>-</v>
      </c>
      <c r="BM364" s="138" t="str">
        <f>IF(IFERROR(VLOOKUP(J364,'[63]ТР нефть'!$J$28:$BP$638,56,0),"-")=0,"-",IFERROR(VLOOKUP(J364,'[63]ТР нефть'!$J$28:$BP$638,56,0),"-"))</f>
        <v>-</v>
      </c>
      <c r="BN364" s="138" t="str">
        <f>IF(IFERROR(VLOOKUP(J364,'[63]ТР нефть'!$J$28:$BP$638,57,0),"-")=0,"-",IFERROR(VLOOKUP(J364,'[63]ТР нефть'!$J$28:$BP$638,57,0),"-"))</f>
        <v>-</v>
      </c>
      <c r="BO364" s="115" t="str">
        <f>IF(IFERROR(VLOOKUP(J364,'[63]ТР нефть'!$J$28:$BP$638,58,0),"-")=0,"-",IFERROR(VLOOKUP(J364,'[63]ТР нефть'!$J$28:$BP$638,58,0),"-"))</f>
        <v>-</v>
      </c>
      <c r="BP364" s="115" t="str">
        <f>IF(IFERROR(VLOOKUP(J364,'[63]ТР нефть'!$J$28:$BP$638,59,0),"-")=0,"-",IFERROR(VLOOKUP(J364,'[63]ТР нефть'!$J$28:$BP$638,59,0),"-"))</f>
        <v>-</v>
      </c>
      <c r="BQ364" s="138">
        <v>2024</v>
      </c>
      <c r="BR364" s="128">
        <v>1853.86</v>
      </c>
      <c r="BS364" s="115">
        <f t="shared" si="258"/>
        <v>170.1400000000001</v>
      </c>
      <c r="BT364" s="128">
        <v>73</v>
      </c>
      <c r="BU364" s="128">
        <v>5.5</v>
      </c>
      <c r="BV364" s="127">
        <v>65</v>
      </c>
      <c r="BW364" s="127" t="s">
        <v>217</v>
      </c>
      <c r="BX364" s="127" t="s">
        <v>195</v>
      </c>
      <c r="BY364" s="139">
        <v>24</v>
      </c>
      <c r="BZ364" s="139">
        <v>0</v>
      </c>
      <c r="CA364" s="138">
        <v>26</v>
      </c>
      <c r="CB364" s="138">
        <v>46</v>
      </c>
      <c r="CC364" s="138">
        <v>25</v>
      </c>
      <c r="CD364" s="135">
        <v>45017</v>
      </c>
      <c r="CE364" s="138">
        <v>115</v>
      </c>
      <c r="CF364" s="138">
        <v>71</v>
      </c>
      <c r="CG364" s="138" t="str">
        <f t="shared" si="265"/>
        <v>В работе</v>
      </c>
      <c r="CH364" s="138" t="s">
        <v>272</v>
      </c>
      <c r="CI364" s="127"/>
      <c r="CJ364" s="138"/>
      <c r="CK364" s="138">
        <f t="shared" si="255"/>
        <v>42</v>
      </c>
      <c r="CL364" s="99"/>
      <c r="CM364" s="99"/>
      <c r="CN364" s="140">
        <v>68</v>
      </c>
      <c r="CO364" s="141">
        <f t="shared" si="276"/>
        <v>2.4090192720000001</v>
      </c>
      <c r="CP364" s="142">
        <v>3.06</v>
      </c>
      <c r="CQ364" s="143">
        <v>5.83</v>
      </c>
      <c r="CR364" s="115">
        <v>7.1449999999999996</v>
      </c>
      <c r="CS364" s="139">
        <v>6.24</v>
      </c>
      <c r="CT364" s="138"/>
      <c r="CU364" s="138">
        <f t="shared" si="277"/>
        <v>0.90499999999999936</v>
      </c>
      <c r="CV364" s="115">
        <f t="shared" si="278"/>
        <v>375.67154838435818</v>
      </c>
      <c r="CW364" s="115">
        <f t="shared" si="279"/>
        <v>2385.6820940148409</v>
      </c>
      <c r="CX364" s="133">
        <f t="shared" si="280"/>
        <v>6.5106382978723412E-2</v>
      </c>
      <c r="CY364" s="116"/>
      <c r="CZ364" s="131"/>
      <c r="DA364" s="145" t="str">
        <f t="shared" si="281"/>
        <v>Газлифт</v>
      </c>
      <c r="DB364" s="146">
        <f t="shared" si="282"/>
        <v>2.4090192720000001</v>
      </c>
      <c r="DC364" s="142">
        <f t="shared" si="296"/>
        <v>3.06</v>
      </c>
      <c r="DD364" s="119">
        <f t="shared" si="250"/>
        <v>5.83</v>
      </c>
      <c r="DE364" s="115">
        <f t="shared" si="283"/>
        <v>0.90499999999999936</v>
      </c>
      <c r="DF364" s="121">
        <f t="shared" si="284"/>
        <v>6.24</v>
      </c>
      <c r="DG364" s="115">
        <f t="shared" si="285"/>
        <v>375.67154838435818</v>
      </c>
      <c r="DH364" s="115">
        <f t="shared" si="286"/>
        <v>68</v>
      </c>
      <c r="DI364" s="147"/>
      <c r="DJ364" s="111" t="s">
        <v>197</v>
      </c>
      <c r="DK364" s="112">
        <v>43546</v>
      </c>
      <c r="DL364" s="113">
        <f t="shared" ca="1" si="266"/>
        <v>1558</v>
      </c>
      <c r="DM364" s="114"/>
      <c r="DN364" s="114"/>
      <c r="DO364" s="114"/>
      <c r="DP364" s="114"/>
      <c r="DQ364" s="112">
        <v>43546</v>
      </c>
      <c r="DR364" s="114" t="s">
        <v>324</v>
      </c>
      <c r="DS364" s="114"/>
      <c r="DT364" s="115">
        <v>60</v>
      </c>
      <c r="DU364" s="116">
        <f t="shared" si="267"/>
        <v>6.2646637694993595E-2</v>
      </c>
      <c r="DV364" s="117">
        <f t="shared" si="268"/>
        <v>2.7125596942249235</v>
      </c>
      <c r="DW364" s="118">
        <f t="shared" si="269"/>
        <v>3.4455650732246474</v>
      </c>
      <c r="DX364" s="119">
        <f t="shared" si="287"/>
        <v>5.83</v>
      </c>
      <c r="DY364" s="115">
        <f t="shared" si="270"/>
        <v>1.0190315004144781</v>
      </c>
      <c r="DZ364" s="117">
        <f t="shared" si="271"/>
        <v>0.30354042222492339</v>
      </c>
      <c r="EA364" s="120">
        <f t="shared" si="271"/>
        <v>0.38556507322464739</v>
      </c>
      <c r="EB364" s="119">
        <f t="shared" si="264"/>
        <v>0</v>
      </c>
      <c r="EC364" s="121">
        <f t="shared" si="272"/>
        <v>0.11403150041447874</v>
      </c>
      <c r="ED364" s="1056"/>
      <c r="EE364" s="145">
        <v>65</v>
      </c>
      <c r="EF364" s="115">
        <v>27</v>
      </c>
      <c r="EG364" s="115">
        <v>50</v>
      </c>
      <c r="EH364" s="115">
        <v>26</v>
      </c>
      <c r="EI364" s="128" t="s">
        <v>195</v>
      </c>
      <c r="EJ364" s="121">
        <v>24</v>
      </c>
      <c r="EK364" s="121">
        <v>0</v>
      </c>
      <c r="EL364" s="149">
        <v>2.4090192720000001</v>
      </c>
      <c r="EM364" s="142">
        <v>3.06</v>
      </c>
      <c r="EN364" s="119">
        <v>5.83</v>
      </c>
      <c r="EO364" s="115">
        <v>7.1449999999999996</v>
      </c>
      <c r="EP364" s="115">
        <v>375.67154838435818</v>
      </c>
      <c r="EQ364" s="115">
        <v>70</v>
      </c>
      <c r="ER364" s="115">
        <v>6.24</v>
      </c>
      <c r="ES364" s="115">
        <v>69</v>
      </c>
      <c r="ET364" s="150">
        <v>6.6521739130434784E-2</v>
      </c>
      <c r="EU364" s="145">
        <f t="shared" si="288"/>
        <v>65</v>
      </c>
      <c r="EV364" s="115">
        <f t="shared" si="289"/>
        <v>26</v>
      </c>
      <c r="EW364" s="115">
        <f t="shared" si="289"/>
        <v>46</v>
      </c>
      <c r="EX364" s="115">
        <f t="shared" si="289"/>
        <v>25</v>
      </c>
      <c r="EY364" s="115" t="str">
        <f t="shared" si="253"/>
        <v>Постоянный</v>
      </c>
      <c r="EZ364" s="115">
        <f t="shared" si="253"/>
        <v>24</v>
      </c>
      <c r="FA364" s="115">
        <f t="shared" si="253"/>
        <v>0</v>
      </c>
      <c r="FB364" s="149">
        <f t="shared" si="298"/>
        <v>2.4090192720000001</v>
      </c>
      <c r="FC364" s="142">
        <f t="shared" si="298"/>
        <v>3.06</v>
      </c>
      <c r="FD364" s="119">
        <f t="shared" si="298"/>
        <v>5.83</v>
      </c>
      <c r="FE364" s="121">
        <f t="shared" si="298"/>
        <v>7.1449999999999996</v>
      </c>
      <c r="FF364" s="121">
        <f t="shared" si="247"/>
        <v>375.67154838435818</v>
      </c>
      <c r="FG364" s="121">
        <f t="shared" si="290"/>
        <v>71</v>
      </c>
      <c r="FH364" s="121">
        <f t="shared" si="248"/>
        <v>6.24</v>
      </c>
      <c r="FI364" s="121">
        <f t="shared" si="252"/>
        <v>68</v>
      </c>
      <c r="FJ364" s="144">
        <f t="shared" si="291"/>
        <v>6.5106382978723412E-2</v>
      </c>
      <c r="FK364" s="132">
        <f t="shared" si="292"/>
        <v>0</v>
      </c>
      <c r="FL364" s="115">
        <f t="shared" si="292"/>
        <v>-1</v>
      </c>
      <c r="FM364" s="115">
        <f t="shared" si="292"/>
        <v>-4</v>
      </c>
      <c r="FN364" s="115">
        <f t="shared" si="273"/>
        <v>-1</v>
      </c>
      <c r="FO364" s="115">
        <f t="shared" si="257"/>
        <v>0</v>
      </c>
      <c r="FP364" s="115">
        <f t="shared" si="257"/>
        <v>0</v>
      </c>
      <c r="FQ364" s="149">
        <f t="shared" si="257"/>
        <v>0</v>
      </c>
      <c r="FR364" s="142">
        <f t="shared" si="256"/>
        <v>0</v>
      </c>
      <c r="FS364" s="119">
        <f t="shared" si="256"/>
        <v>0</v>
      </c>
      <c r="FT364" s="121">
        <f t="shared" si="256"/>
        <v>0</v>
      </c>
      <c r="FU364" s="121">
        <f t="shared" si="293"/>
        <v>1</v>
      </c>
      <c r="FV364" s="121">
        <f t="shared" si="293"/>
        <v>0</v>
      </c>
      <c r="FW364" s="121">
        <f t="shared" si="294"/>
        <v>0</v>
      </c>
      <c r="FX364" s="121">
        <f t="shared" si="295"/>
        <v>-1</v>
      </c>
      <c r="FY364" s="144">
        <f t="shared" si="295"/>
        <v>-1.4153561517113722E-3</v>
      </c>
      <c r="FZ364" s="145"/>
      <c r="GA364" s="125"/>
      <c r="GB364" s="145"/>
      <c r="GC364" s="125"/>
      <c r="GD364" s="997" t="s">
        <v>202</v>
      </c>
      <c r="GE364" s="1004"/>
      <c r="GF364" s="1004">
        <v>0.51715127200000022</v>
      </c>
      <c r="GG364" s="1004" t="s">
        <v>199</v>
      </c>
      <c r="GH364" s="1004">
        <v>-2.3717319999999997</v>
      </c>
      <c r="GI364" s="145"/>
      <c r="GJ364" s="996">
        <v>0.70223999999999975</v>
      </c>
      <c r="GK364" s="145"/>
      <c r="GL364" s="996">
        <v>0</v>
      </c>
      <c r="GM364" s="1057"/>
      <c r="GN364" s="996">
        <v>0</v>
      </c>
      <c r="GO364" s="1058"/>
      <c r="GP364" s="996">
        <v>0</v>
      </c>
      <c r="GQ364" s="1058"/>
      <c r="GR364" s="996">
        <v>0</v>
      </c>
      <c r="GS364" s="1058"/>
      <c r="GT364" s="996">
        <v>5.0159999999999538E-2</v>
      </c>
      <c r="GU364" s="1058"/>
      <c r="GV364" s="996">
        <v>0.8535560000000002</v>
      </c>
      <c r="GW364" s="1006"/>
      <c r="GX364" s="996">
        <v>0.89890899999999974</v>
      </c>
      <c r="GY364" s="1058"/>
      <c r="GZ364" s="1035">
        <v>0.2892142000000002</v>
      </c>
      <c r="HA364" s="1058" t="s">
        <v>204</v>
      </c>
      <c r="HB364" s="1035">
        <v>-3.8755180991999998</v>
      </c>
      <c r="HC364" s="1058" t="s">
        <v>199</v>
      </c>
      <c r="HD364" s="1035">
        <v>3.6237980811999995</v>
      </c>
      <c r="HE364" s="1058"/>
      <c r="HF364" s="1035">
        <v>0</v>
      </c>
      <c r="HG364" s="1058"/>
      <c r="HH364" s="1035">
        <v>-4.8066238000000094E-2</v>
      </c>
      <c r="HI364" s="1058"/>
      <c r="HJ364" s="1035">
        <v>0</v>
      </c>
      <c r="HK364" s="1058"/>
      <c r="HL364" s="1035">
        <v>0</v>
      </c>
      <c r="HM364" s="1058" t="s">
        <v>199</v>
      </c>
      <c r="HN364" s="1035">
        <v>-0.951872944</v>
      </c>
      <c r="HO364" s="1058" t="s">
        <v>199</v>
      </c>
      <c r="HP364" s="1035">
        <v>-0.83081680000000002</v>
      </c>
      <c r="HQ364" s="1058" t="s">
        <v>223</v>
      </c>
      <c r="HR364" s="1035">
        <v>-0.92538512000000006</v>
      </c>
      <c r="HS364" s="1058"/>
      <c r="HT364" s="1035">
        <v>0.64706400000000031</v>
      </c>
      <c r="HU364" s="1058" t="s">
        <v>199</v>
      </c>
      <c r="HV364" s="1035">
        <v>1.5062379199999998</v>
      </c>
      <c r="HW364" s="1058" t="s">
        <v>199</v>
      </c>
      <c r="HX364" s="1035">
        <v>-1.2554044799999997</v>
      </c>
      <c r="HY364" s="1058"/>
      <c r="HZ364" s="1035">
        <v>0</v>
      </c>
      <c r="IA364" s="1058"/>
      <c r="IB364" s="1035">
        <v>0.17487448000000017</v>
      </c>
      <c r="IC364" s="1058"/>
      <c r="ID364" s="1035">
        <v>0</v>
      </c>
      <c r="IE364" s="1058"/>
      <c r="IF364" s="1035">
        <v>1.1286000000000129E-2</v>
      </c>
      <c r="IG364" s="1058"/>
      <c r="IH364" s="1035">
        <v>-0.56513599999999986</v>
      </c>
      <c r="II364" s="1058" t="s">
        <v>204</v>
      </c>
      <c r="IJ364" s="1035">
        <v>-0.79169199999999984</v>
      </c>
      <c r="IK364" s="1058"/>
      <c r="IL364" s="1035">
        <v>0</v>
      </c>
      <c r="IM364" s="1058" t="s">
        <v>199</v>
      </c>
      <c r="IN364" s="1035">
        <v>2.1945133759999988</v>
      </c>
      <c r="IO364" s="1058"/>
      <c r="IP364" s="1035">
        <v>-0.10660337599999981</v>
      </c>
      <c r="IQ364" s="1058" t="s">
        <v>199</v>
      </c>
      <c r="IR364" s="1035">
        <v>-1.4759580000000003</v>
      </c>
      <c r="IS364" s="1058"/>
      <c r="IT364" s="1035">
        <v>0</v>
      </c>
      <c r="IU364" s="1058"/>
      <c r="IV364" s="1035">
        <v>-0.7574159999999992</v>
      </c>
      <c r="IW364" s="1058"/>
      <c r="IX364" s="1035">
        <v>0</v>
      </c>
      <c r="IY364" s="1058"/>
      <c r="IZ364" s="1035">
        <v>0</v>
      </c>
      <c r="JA364" s="1058"/>
      <c r="JB364" s="1035">
        <v>-0.79252800000000079</v>
      </c>
      <c r="JC364" s="1058"/>
      <c r="JD364" s="1035">
        <v>0</v>
      </c>
      <c r="JE364" s="1058"/>
      <c r="JF364" s="1035">
        <v>0</v>
      </c>
      <c r="JG364" s="1058"/>
      <c r="JH364" s="1035">
        <v>0</v>
      </c>
      <c r="JI364" s="1058"/>
      <c r="JJ364" s="1035">
        <v>0</v>
      </c>
      <c r="JK364" s="1007"/>
      <c r="JL364" s="1007">
        <v>0</v>
      </c>
      <c r="JM364" s="1007"/>
      <c r="JN364" s="1007">
        <v>-0.40629599999999932</v>
      </c>
      <c r="JO364" s="1008" t="s">
        <v>203</v>
      </c>
      <c r="JP364" s="1007">
        <v>-1.5764786400000013</v>
      </c>
      <c r="JQ364" s="1008">
        <v>0</v>
      </c>
      <c r="JR364" s="1007">
        <v>0</v>
      </c>
      <c r="JS364" s="1008">
        <v>0</v>
      </c>
      <c r="JT364" s="1007">
        <v>0</v>
      </c>
      <c r="JU364" s="1008" t="s">
        <v>204</v>
      </c>
      <c r="JV364" s="1007">
        <v>-3.6150813599999987</v>
      </c>
      <c r="JW364" s="1008" t="s">
        <v>197</v>
      </c>
      <c r="JX364" s="1007">
        <v>1.6719999999999402E-2</v>
      </c>
      <c r="JY364" s="1008" t="s">
        <v>204</v>
      </c>
      <c r="JZ364" s="1007">
        <v>-16.736719999999998</v>
      </c>
      <c r="KA364" s="1008"/>
      <c r="KB364" s="1007">
        <v>28.006</v>
      </c>
      <c r="KC364" s="1008"/>
      <c r="KD364" s="1007"/>
      <c r="KE364" s="1008"/>
      <c r="KF364" s="1007"/>
      <c r="KG364" s="1008"/>
      <c r="KH364" s="1007"/>
      <c r="KI364" s="1008"/>
      <c r="KJ364" s="1007"/>
      <c r="KK364" s="1008"/>
      <c r="KL364" s="1007"/>
      <c r="KM364" s="1008"/>
      <c r="KN364" s="1007"/>
      <c r="KO364" s="1008"/>
      <c r="KP364" s="1007"/>
      <c r="KQ364" s="1008"/>
      <c r="KR364" s="1007"/>
      <c r="KS364" s="1008"/>
      <c r="KT364" s="1007"/>
      <c r="KU364" s="1008"/>
      <c r="KV364" s="1007"/>
      <c r="KW364" s="1008"/>
      <c r="KX364" s="1007"/>
      <c r="KY364" s="1008"/>
      <c r="KZ364" s="1007"/>
      <c r="LA364" s="1008"/>
      <c r="LB364" s="1007"/>
      <c r="LC364" s="1008"/>
      <c r="LD364" s="1007"/>
      <c r="LE364" s="1008"/>
      <c r="LF364" s="1007"/>
      <c r="LG364" s="1008"/>
      <c r="LH364" s="1007"/>
      <c r="LI364" s="1008"/>
      <c r="LJ364" s="1007"/>
      <c r="LK364" s="1008"/>
      <c r="LL364" s="1007"/>
      <c r="LM364" s="1008"/>
      <c r="LN364" s="1007"/>
      <c r="LO364" s="1008"/>
      <c r="LP364" s="1007"/>
      <c r="LQ364" s="1008"/>
      <c r="LR364" s="1007"/>
      <c r="LS364" s="1008"/>
      <c r="LT364" s="1007"/>
      <c r="LU364" s="1008"/>
      <c r="LV364" s="1007"/>
      <c r="LW364" s="1008"/>
      <c r="LX364" s="1007"/>
      <c r="LY364" s="1009"/>
      <c r="LZ364" s="1010"/>
      <c r="MA364" s="1011"/>
      <c r="MB364" s="1012"/>
      <c r="MC364" s="995"/>
      <c r="MD364" s="996"/>
      <c r="ME364" s="997" t="s">
        <v>202</v>
      </c>
      <c r="MF364" s="997"/>
      <c r="MG364" s="998"/>
      <c r="NR364" s="1000"/>
      <c r="NS364" s="1000"/>
      <c r="NT364" s="1001"/>
      <c r="NU364" s="1000"/>
      <c r="NV364" s="1001"/>
      <c r="NX364" s="1002"/>
      <c r="NZ364" s="1001"/>
      <c r="OA364" s="1001"/>
      <c r="OC364" s="1003"/>
      <c r="OD364" s="1003"/>
      <c r="OE364" s="1001"/>
      <c r="OF364" s="1003"/>
      <c r="OG364" s="1003"/>
      <c r="QX364" s="1000">
        <f>CN364-CA364</f>
        <v>42</v>
      </c>
      <c r="ASU364" s="999" t="s">
        <v>208</v>
      </c>
    </row>
    <row r="365" spans="1:466 1191:1191" ht="21" customHeight="1" x14ac:dyDescent="0.25">
      <c r="A365" s="982">
        <f t="shared" si="274"/>
        <v>1400</v>
      </c>
      <c r="B365" s="124">
        <f>SUBTOTAL(103,$J$29:J365)</f>
        <v>337</v>
      </c>
      <c r="C365" s="126">
        <v>45068</v>
      </c>
      <c r="D365" s="124" t="s">
        <v>176</v>
      </c>
      <c r="E365" s="127" t="s">
        <v>177</v>
      </c>
      <c r="F365" s="128" t="s">
        <v>177</v>
      </c>
      <c r="G365" s="127" t="s">
        <v>178</v>
      </c>
      <c r="H365" s="127" t="s">
        <v>179</v>
      </c>
      <c r="I365" s="127" t="s">
        <v>601</v>
      </c>
      <c r="J365" s="152">
        <v>1400</v>
      </c>
      <c r="K365" s="127" t="s">
        <v>1474</v>
      </c>
      <c r="L365" s="130">
        <v>43679</v>
      </c>
      <c r="M365" s="127" t="s">
        <v>230</v>
      </c>
      <c r="N365" s="127" t="s">
        <v>245</v>
      </c>
      <c r="O365" s="127" t="s">
        <v>185</v>
      </c>
      <c r="P365" s="127" t="s">
        <v>186</v>
      </c>
      <c r="Q365" s="85" t="str">
        <f t="shared" si="297"/>
        <v/>
      </c>
      <c r="R365" s="130"/>
      <c r="S365" s="128"/>
      <c r="T365" s="131"/>
      <c r="U365" s="132">
        <v>203</v>
      </c>
      <c r="V365" s="121">
        <v>218.2</v>
      </c>
      <c r="W365" s="116">
        <v>0.98</v>
      </c>
      <c r="X365" s="116">
        <v>1.66</v>
      </c>
      <c r="Y365" s="116">
        <f t="shared" ref="Y365:Y428" si="299">(W365*X365)/((CQ365/100)*W365+(1-CQ365/100)*X365)</f>
        <v>0.99013998782714552</v>
      </c>
      <c r="Z365" s="133">
        <v>1.454</v>
      </c>
      <c r="AA365" s="133">
        <v>0.83599999999999997</v>
      </c>
      <c r="AB365" s="133">
        <v>0.72</v>
      </c>
      <c r="AC365" s="121">
        <v>34.299999999999997</v>
      </c>
      <c r="AD365" s="134">
        <v>1.17</v>
      </c>
      <c r="AE365" s="124">
        <v>177.8</v>
      </c>
      <c r="AF365" s="128">
        <v>9.19</v>
      </c>
      <c r="AG365" s="128">
        <v>2403</v>
      </c>
      <c r="AH365" s="127">
        <v>2945</v>
      </c>
      <c r="AI365" s="127">
        <v>2945</v>
      </c>
      <c r="AJ365" s="135"/>
      <c r="AK365" s="128"/>
      <c r="AL365" s="131"/>
      <c r="AM365" s="124" t="s">
        <v>232</v>
      </c>
      <c r="AN365" s="136" t="s">
        <v>1475</v>
      </c>
      <c r="AO365" s="137">
        <v>58</v>
      </c>
      <c r="AP365" s="128">
        <v>2348</v>
      </c>
      <c r="AQ365" s="128">
        <f>AP365-1922</f>
        <v>426</v>
      </c>
      <c r="AR365" s="128"/>
      <c r="AS365" s="128"/>
      <c r="AT365" s="122"/>
      <c r="AU365" s="124" t="s">
        <v>189</v>
      </c>
      <c r="AV365" s="115">
        <f>VLOOKUP(J365,'[63]ТР нефть'!$J$28:$BP$638,39,0)</f>
        <v>540.00000644500005</v>
      </c>
      <c r="AW365" s="115" t="str">
        <f>VLOOKUP(J365,'[63]ТР нефть'!$J$28:$BP$638,40,0)</f>
        <v>ГП</v>
      </c>
      <c r="AX365" s="115">
        <f>VLOOKUP(J365,'[63]ТР нефть'!$J$28:$BP$638,41,0)</f>
        <v>1099.9999828130001</v>
      </c>
      <c r="AY365" s="115" t="str">
        <f>VLOOKUP(J365,'[63]ТР нефть'!$J$28:$BP$638,42,0)</f>
        <v>ГП</v>
      </c>
      <c r="AZ365" s="115">
        <f>VLOOKUP(J365,'[63]ТР нефть'!$J$28:$BP$638,43,0)</f>
        <v>1490.0000660159999</v>
      </c>
      <c r="BA365" s="115" t="str">
        <f>VLOOKUP(J365,'[63]ТР нефть'!$J$28:$BP$638,44,0)</f>
        <v>ГП</v>
      </c>
      <c r="BB365" s="115">
        <f>VLOOKUP(J365,'[63]ТР нефть'!$J$28:$BP$638,45,0)</f>
        <v>1817.9999894529999</v>
      </c>
      <c r="BC365" s="115" t="str">
        <f>VLOOKUP(J365,'[63]ТР нефть'!$J$28:$BP$638,46,0)</f>
        <v>ЦКсОК 5/16</v>
      </c>
      <c r="BD365" s="115" t="str">
        <f>VLOOKUP(J365,'[63]ТР нефть'!$J$28:$BP$638,47,0)</f>
        <v>-</v>
      </c>
      <c r="BE365" s="115" t="str">
        <f>VLOOKUP(J365,'[63]ТР нефть'!$J$28:$BP$638,48,0)</f>
        <v>-</v>
      </c>
      <c r="BF365" s="115" t="str">
        <f>VLOOKUP(J365,'[63]ТР нефть'!$J$28:$BP$638,49,0)</f>
        <v>-</v>
      </c>
      <c r="BG365" s="115" t="str">
        <f>VLOOKUP(J365,'[63]ТР нефть'!$J$28:$BP$638,50,0)</f>
        <v>-</v>
      </c>
      <c r="BH365" s="115">
        <f>VLOOKUP(J365,'[63]ТР нефть'!$J$28:$BP$638,51,0)</f>
        <v>1828</v>
      </c>
      <c r="BI365" s="115" t="str">
        <f>VLOOKUP(J365,'[63]ТР нефть'!$J$28:$BP$638,52,0)</f>
        <v>закрыт</v>
      </c>
      <c r="BJ365" s="115" t="str">
        <f>IF(IFERROR(VLOOKUP(J365,'[63]ТР нефть'!$J$28:$BP$638,53,0),"-")=0,"-",IFERROR(VLOOKUP(J365,'[63]ТР нефть'!$J$28:$BP$638,53,0),"-"))</f>
        <v>-</v>
      </c>
      <c r="BK365" s="138" t="str">
        <f>IF(IFERROR(VLOOKUP(J365,'[63]ТР нефть'!$J$28:$BP$638,54,0),"-")=0,"-",IFERROR(VLOOKUP(J365,'[63]ТР нефть'!$J$28:$BP$638,54,0),"-"))</f>
        <v>-</v>
      </c>
      <c r="BL365" s="138" t="str">
        <f>IF(IFERROR(VLOOKUP(J365,'[63]ТР нефть'!$J$28:$BP$638,55,0),"-")=0,"-",IFERROR(VLOOKUP(J365,'[63]ТР нефть'!$J$28:$BP$638,55,0),"-"))</f>
        <v>-</v>
      </c>
      <c r="BM365" s="138" t="str">
        <f>IF(IFERROR(VLOOKUP(J365,'[63]ТР нефть'!$J$28:$BP$638,56,0),"-")=0,"-",IFERROR(VLOOKUP(J365,'[63]ТР нефть'!$J$28:$BP$638,56,0),"-"))</f>
        <v>-</v>
      </c>
      <c r="BN365" s="138" t="str">
        <f>IF(IFERROR(VLOOKUP(J365,'[63]ТР нефть'!$J$28:$BP$638,57,0),"-")=0,"-",IFERROR(VLOOKUP(J365,'[63]ТР нефть'!$J$28:$BP$638,57,0),"-"))</f>
        <v>-</v>
      </c>
      <c r="BO365" s="115" t="str">
        <f>IF(IFERROR(VLOOKUP(J365,'[63]ТР нефть'!$J$28:$BP$638,58,0),"-")=0,"-",IFERROR(VLOOKUP(J365,'[63]ТР нефть'!$J$28:$BP$638,58,0),"-"))</f>
        <v>-</v>
      </c>
      <c r="BP365" s="115" t="str">
        <f>IF(IFERROR(VLOOKUP(J365,'[63]ТР нефть'!$J$28:$BP$638,59,0),"-")=0,"-",IFERROR(VLOOKUP(J365,'[63]ТР нефть'!$J$28:$BP$638,59,0),"-"))</f>
        <v>-</v>
      </c>
      <c r="BQ365" s="138">
        <v>2370</v>
      </c>
      <c r="BR365" s="128">
        <v>1959.2</v>
      </c>
      <c r="BS365" s="115">
        <f t="shared" si="258"/>
        <v>410.79999999999995</v>
      </c>
      <c r="BT365" s="128">
        <v>73</v>
      </c>
      <c r="BU365" s="128">
        <v>5.5</v>
      </c>
      <c r="BV365" s="127">
        <v>18</v>
      </c>
      <c r="BW365" s="127" t="s">
        <v>217</v>
      </c>
      <c r="BX365" s="127" t="s">
        <v>195</v>
      </c>
      <c r="BY365" s="139">
        <v>24</v>
      </c>
      <c r="BZ365" s="139">
        <v>0</v>
      </c>
      <c r="CA365" s="80">
        <v>18</v>
      </c>
      <c r="CB365" s="138">
        <v>32</v>
      </c>
      <c r="CC365" s="138">
        <v>17</v>
      </c>
      <c r="CD365" s="135">
        <v>45017</v>
      </c>
      <c r="CE365" s="138">
        <v>94</v>
      </c>
      <c r="CF365" s="138">
        <v>82</v>
      </c>
      <c r="CG365" s="138" t="s">
        <v>1131</v>
      </c>
      <c r="CH365" s="138" t="s">
        <v>235</v>
      </c>
      <c r="CI365" s="127">
        <v>5</v>
      </c>
      <c r="CJ365" s="138"/>
      <c r="CK365" s="138">
        <f t="shared" si="255"/>
        <v>24</v>
      </c>
      <c r="CL365" s="99"/>
      <c r="CM365" s="99"/>
      <c r="CN365" s="140">
        <v>42</v>
      </c>
      <c r="CO365" s="141">
        <f t="shared" si="276"/>
        <v>4.3200299999999991</v>
      </c>
      <c r="CP365" s="142">
        <v>5.3</v>
      </c>
      <c r="CQ365" s="143">
        <v>2.5</v>
      </c>
      <c r="CR365" s="138">
        <v>13</v>
      </c>
      <c r="CS365" s="139">
        <v>7.2</v>
      </c>
      <c r="CT365" s="138"/>
      <c r="CU365" s="138">
        <f t="shared" si="277"/>
        <v>5.8</v>
      </c>
      <c r="CV365" s="115">
        <f t="shared" si="278"/>
        <v>1342.5832690976686</v>
      </c>
      <c r="CW365" s="115">
        <f t="shared" si="279"/>
        <v>1609.4906297467403</v>
      </c>
      <c r="CX365" s="133">
        <f t="shared" si="280"/>
        <v>0.10192307692307692</v>
      </c>
      <c r="CY365" s="116"/>
      <c r="CZ365" s="131"/>
      <c r="DA365" s="145" t="str">
        <f t="shared" si="281"/>
        <v>Газлифт</v>
      </c>
      <c r="DB365" s="146">
        <f t="shared" si="282"/>
        <v>4.3200299999999991</v>
      </c>
      <c r="DC365" s="142">
        <f t="shared" si="296"/>
        <v>5.3</v>
      </c>
      <c r="DD365" s="119">
        <f t="shared" si="250"/>
        <v>2.5</v>
      </c>
      <c r="DE365" s="115">
        <f t="shared" si="283"/>
        <v>5.8</v>
      </c>
      <c r="DF365" s="121">
        <f t="shared" si="284"/>
        <v>7.2</v>
      </c>
      <c r="DG365" s="115">
        <f t="shared" si="285"/>
        <v>1342.5832690976686</v>
      </c>
      <c r="DH365" s="115">
        <f t="shared" si="286"/>
        <v>42</v>
      </c>
      <c r="DI365" s="147"/>
      <c r="DJ365" s="111" t="s">
        <v>197</v>
      </c>
      <c r="DK365" s="112">
        <v>43679</v>
      </c>
      <c r="DL365" s="113">
        <f t="shared" ca="1" si="266"/>
        <v>1425</v>
      </c>
      <c r="DM365" s="114"/>
      <c r="DN365" s="114"/>
      <c r="DO365" s="114"/>
      <c r="DP365" s="114"/>
      <c r="DQ365" s="112">
        <v>43679</v>
      </c>
      <c r="DR365" s="114" t="s">
        <v>324</v>
      </c>
      <c r="DS365" s="114"/>
      <c r="DT365" s="115">
        <v>50</v>
      </c>
      <c r="DU365" s="116">
        <f t="shared" si="267"/>
        <v>0.12045454545454545</v>
      </c>
      <c r="DV365" s="117">
        <f t="shared" si="268"/>
        <v>4.3200299999999991</v>
      </c>
      <c r="DW365" s="118">
        <f t="shared" si="269"/>
        <v>5.3</v>
      </c>
      <c r="DX365" s="119">
        <f t="shared" si="287"/>
        <v>2.5</v>
      </c>
      <c r="DY365" s="115">
        <f t="shared" si="270"/>
        <v>5.8</v>
      </c>
      <c r="DZ365" s="117">
        <f t="shared" si="271"/>
        <v>0</v>
      </c>
      <c r="EA365" s="120">
        <f t="shared" si="271"/>
        <v>0</v>
      </c>
      <c r="EB365" s="119">
        <f t="shared" si="264"/>
        <v>0</v>
      </c>
      <c r="EC365" s="121">
        <f t="shared" si="272"/>
        <v>0</v>
      </c>
      <c r="ED365" s="122"/>
      <c r="EE365" s="145">
        <v>18</v>
      </c>
      <c r="EF365" s="148">
        <v>18</v>
      </c>
      <c r="EG365" s="115">
        <v>38</v>
      </c>
      <c r="EH365" s="115">
        <v>17</v>
      </c>
      <c r="EI365" s="128" t="s">
        <v>195</v>
      </c>
      <c r="EJ365" s="121">
        <v>24</v>
      </c>
      <c r="EK365" s="121">
        <v>0</v>
      </c>
      <c r="EL365" s="149">
        <v>5.3524899999999995</v>
      </c>
      <c r="EM365" s="142">
        <v>6.5</v>
      </c>
      <c r="EN365" s="119">
        <v>1.5</v>
      </c>
      <c r="EO365" s="115">
        <v>13</v>
      </c>
      <c r="EP365" s="115">
        <v>1083.6078161752755</v>
      </c>
      <c r="EQ365" s="115">
        <v>84</v>
      </c>
      <c r="ER365" s="115">
        <v>7.2</v>
      </c>
      <c r="ES365" s="115">
        <v>46</v>
      </c>
      <c r="ET365" s="150">
        <v>0.13541666666666666</v>
      </c>
      <c r="EU365" s="145">
        <f t="shared" si="288"/>
        <v>18</v>
      </c>
      <c r="EV365" s="115">
        <f t="shared" si="289"/>
        <v>18</v>
      </c>
      <c r="EW365" s="115">
        <f t="shared" si="289"/>
        <v>32</v>
      </c>
      <c r="EX365" s="115">
        <f t="shared" si="289"/>
        <v>17</v>
      </c>
      <c r="EY365" s="115" t="str">
        <f t="shared" si="253"/>
        <v>Постоянный</v>
      </c>
      <c r="EZ365" s="115">
        <f t="shared" si="253"/>
        <v>24</v>
      </c>
      <c r="FA365" s="115">
        <f t="shared" si="253"/>
        <v>0</v>
      </c>
      <c r="FB365" s="149">
        <f t="shared" si="298"/>
        <v>4.3200299999999991</v>
      </c>
      <c r="FC365" s="142">
        <f t="shared" si="298"/>
        <v>5.3</v>
      </c>
      <c r="FD365" s="119">
        <f t="shared" si="298"/>
        <v>2.5</v>
      </c>
      <c r="FE365" s="121">
        <f t="shared" si="298"/>
        <v>13</v>
      </c>
      <c r="FF365" s="121">
        <f t="shared" ref="FF365:FF428" si="300">CV365</f>
        <v>1342.5832690976686</v>
      </c>
      <c r="FG365" s="121">
        <f t="shared" si="290"/>
        <v>82</v>
      </c>
      <c r="FH365" s="121">
        <f t="shared" ref="FH365:FH428" si="301">CS365</f>
        <v>7.2</v>
      </c>
      <c r="FI365" s="121">
        <f t="shared" si="252"/>
        <v>42</v>
      </c>
      <c r="FJ365" s="144">
        <f t="shared" si="291"/>
        <v>0.10192307692307692</v>
      </c>
      <c r="FK365" s="132">
        <f t="shared" si="292"/>
        <v>0</v>
      </c>
      <c r="FL365" s="115">
        <f t="shared" si="292"/>
        <v>0</v>
      </c>
      <c r="FM365" s="115">
        <f t="shared" si="292"/>
        <v>-6</v>
      </c>
      <c r="FN365" s="115">
        <f t="shared" si="273"/>
        <v>0</v>
      </c>
      <c r="FO365" s="115">
        <f t="shared" si="257"/>
        <v>0</v>
      </c>
      <c r="FP365" s="115">
        <f t="shared" si="257"/>
        <v>0</v>
      </c>
      <c r="FQ365" s="149">
        <f t="shared" si="257"/>
        <v>-1.0324600000000004</v>
      </c>
      <c r="FR365" s="142">
        <f t="shared" si="256"/>
        <v>-1.2000000000000002</v>
      </c>
      <c r="FS365" s="119">
        <f t="shared" si="256"/>
        <v>1</v>
      </c>
      <c r="FT365" s="121">
        <f t="shared" si="256"/>
        <v>0</v>
      </c>
      <c r="FU365" s="121">
        <f t="shared" si="293"/>
        <v>-2</v>
      </c>
      <c r="FV365" s="121">
        <f t="shared" si="293"/>
        <v>0</v>
      </c>
      <c r="FW365" s="121">
        <f t="shared" si="294"/>
        <v>258.97545292239306</v>
      </c>
      <c r="FX365" s="121">
        <f t="shared" si="295"/>
        <v>-4</v>
      </c>
      <c r="FY365" s="144">
        <f t="shared" si="295"/>
        <v>-3.3493589743589736E-2</v>
      </c>
      <c r="FZ365" s="145" t="s">
        <v>222</v>
      </c>
      <c r="GA365" s="151" t="s">
        <v>1476</v>
      </c>
      <c r="GB365" s="145"/>
      <c r="GC365" s="151"/>
      <c r="GD365" s="997" t="s">
        <v>220</v>
      </c>
      <c r="GE365" s="1004"/>
      <c r="GF365" s="1004">
        <v>0.20142583999999886</v>
      </c>
      <c r="GG365" s="1004"/>
      <c r="GH365" s="1004">
        <v>0</v>
      </c>
      <c r="GI365" s="145"/>
      <c r="GJ365" s="996">
        <v>0</v>
      </c>
      <c r="GK365" s="145"/>
      <c r="GL365" s="996">
        <v>0</v>
      </c>
      <c r="GM365" s="1005"/>
      <c r="GN365" s="996">
        <v>0</v>
      </c>
      <c r="GO365" s="1006"/>
      <c r="GP365" s="996">
        <v>1.8659520000000818E-2</v>
      </c>
      <c r="GQ365" s="1006"/>
      <c r="GR365" s="996">
        <v>-0.2744253600000004</v>
      </c>
      <c r="GS365" s="1006"/>
      <c r="GT365" s="996">
        <v>0</v>
      </c>
      <c r="GU365" s="1006" t="s">
        <v>199</v>
      </c>
      <c r="GV365" s="996">
        <v>1.337600000000001</v>
      </c>
      <c r="GW365" s="1006" t="s">
        <v>199</v>
      </c>
      <c r="GX365" s="1036">
        <v>-2.4415380000000004</v>
      </c>
      <c r="GY365" s="1006"/>
      <c r="GZ365" s="996">
        <v>0.39489295999999907</v>
      </c>
      <c r="HA365" s="1006"/>
      <c r="HB365" s="996">
        <v>0</v>
      </c>
      <c r="HC365" s="1006"/>
      <c r="HD365" s="996">
        <v>0</v>
      </c>
      <c r="HE365" s="1006" t="s">
        <v>203</v>
      </c>
      <c r="HF365" s="996">
        <v>-4.8967337319999977</v>
      </c>
      <c r="HG365" s="1006" t="s">
        <v>25</v>
      </c>
      <c r="HH365" s="996">
        <v>6.4146087719999985</v>
      </c>
      <c r="HI365" s="1006"/>
      <c r="HJ365" s="996">
        <v>0</v>
      </c>
      <c r="HK365" s="1006"/>
      <c r="HL365" s="996">
        <v>0</v>
      </c>
      <c r="HM365" s="1006" t="s">
        <v>199</v>
      </c>
      <c r="HN365" s="996">
        <v>-1.1603680000000001</v>
      </c>
      <c r="HO365" s="1006"/>
      <c r="HP365" s="996">
        <v>-0.82262399999999936</v>
      </c>
      <c r="HQ365" s="1006"/>
      <c r="HR365" s="996">
        <v>-1.7790080000000001</v>
      </c>
      <c r="HS365" s="1006" t="s">
        <v>643</v>
      </c>
      <c r="HT365" s="996">
        <v>0</v>
      </c>
      <c r="HU365" s="1006" t="s">
        <v>199</v>
      </c>
      <c r="HV365" s="996">
        <v>-5.8520000000000003</v>
      </c>
      <c r="HW365" s="1006"/>
      <c r="HX365" s="996">
        <v>0</v>
      </c>
      <c r="HY365" s="1006"/>
      <c r="HZ365" s="996">
        <v>-0.68552000000000035</v>
      </c>
      <c r="IA365" s="1006"/>
      <c r="IB365" s="996">
        <v>-0.90287999999999791</v>
      </c>
      <c r="IC365" s="1006"/>
      <c r="ID365" s="996">
        <v>0</v>
      </c>
      <c r="IE365" s="1006"/>
      <c r="IF365" s="996">
        <v>0</v>
      </c>
      <c r="IG365" s="1006"/>
      <c r="IH365" s="996">
        <v>0</v>
      </c>
      <c r="II365" s="1006"/>
      <c r="IJ365" s="996">
        <v>0</v>
      </c>
      <c r="IK365" s="1006"/>
      <c r="IL365" s="996">
        <v>0</v>
      </c>
      <c r="IM365" s="1006" t="s">
        <v>199</v>
      </c>
      <c r="IN365" s="996">
        <v>6.292697399999998</v>
      </c>
      <c r="IO365" s="1006"/>
      <c r="IP365" s="996">
        <v>0</v>
      </c>
      <c r="IQ365" s="1006"/>
      <c r="IR365" s="996">
        <v>-0.83779739999999947</v>
      </c>
      <c r="IS365" s="1006" t="s">
        <v>199</v>
      </c>
      <c r="IT365" s="996">
        <v>4.4935</v>
      </c>
      <c r="IU365" s="1006" t="s">
        <v>199</v>
      </c>
      <c r="IV365" s="996">
        <v>-6.3535999999999992</v>
      </c>
      <c r="IW365" s="1006"/>
      <c r="IX365" s="996">
        <v>0</v>
      </c>
      <c r="IY365" s="1006"/>
      <c r="IZ365" s="996">
        <v>0</v>
      </c>
      <c r="JA365" s="1006"/>
      <c r="JB365" s="996">
        <v>-0.18392000000000053</v>
      </c>
      <c r="JC365" s="1006" t="s">
        <v>223</v>
      </c>
      <c r="JD365" s="996">
        <v>-2.5582854000000008</v>
      </c>
      <c r="JE365" s="1006"/>
      <c r="JF365" s="996">
        <v>0</v>
      </c>
      <c r="JG365" s="1006"/>
      <c r="JH365" s="996">
        <v>0.73580540000000028</v>
      </c>
      <c r="JI365" s="1006" t="s">
        <v>203</v>
      </c>
      <c r="JJ365" s="996">
        <v>-3.238664</v>
      </c>
      <c r="JK365" s="1007" t="s">
        <v>204</v>
      </c>
      <c r="JL365" s="1007">
        <v>-2.8253455999999986</v>
      </c>
      <c r="JM365" s="1007"/>
      <c r="JN365" s="1007">
        <v>0</v>
      </c>
      <c r="JO365" s="1008" t="s">
        <v>203</v>
      </c>
      <c r="JP365" s="1007">
        <v>-10.070790399999996</v>
      </c>
      <c r="JQ365" s="1008" t="s">
        <v>25</v>
      </c>
      <c r="JR365" s="1007">
        <v>30.346799999999995</v>
      </c>
      <c r="JS365" s="1008"/>
      <c r="JT365" s="1007"/>
      <c r="JU365" s="1008"/>
      <c r="JV365" s="1007"/>
      <c r="JW365" s="1008"/>
      <c r="JX365" s="1007"/>
      <c r="JY365" s="1008"/>
      <c r="JZ365" s="1007"/>
      <c r="KA365" s="1008"/>
      <c r="KB365" s="1007"/>
      <c r="KC365" s="1008"/>
      <c r="KD365" s="1007"/>
      <c r="KE365" s="1008"/>
      <c r="KF365" s="1007"/>
      <c r="KG365" s="1008"/>
      <c r="KH365" s="1007"/>
      <c r="KI365" s="1008"/>
      <c r="KJ365" s="1007"/>
      <c r="KK365" s="1008"/>
      <c r="KL365" s="1007"/>
      <c r="KM365" s="1008"/>
      <c r="KN365" s="1007"/>
      <c r="KO365" s="1008"/>
      <c r="KP365" s="1007"/>
      <c r="KQ365" s="1008"/>
      <c r="KR365" s="1007"/>
      <c r="KS365" s="1008"/>
      <c r="KT365" s="1007"/>
      <c r="KU365" s="1008"/>
      <c r="KV365" s="1007"/>
      <c r="KW365" s="1008"/>
      <c r="KX365" s="1007"/>
      <c r="KY365" s="1008"/>
      <c r="KZ365" s="1007"/>
      <c r="LA365" s="1008"/>
      <c r="LB365" s="1007"/>
      <c r="LC365" s="1008"/>
      <c r="LD365" s="1007"/>
      <c r="LE365" s="1008"/>
      <c r="LF365" s="1007"/>
      <c r="LG365" s="1008"/>
      <c r="LH365" s="1007"/>
      <c r="LI365" s="1008"/>
      <c r="LJ365" s="1007"/>
      <c r="LK365" s="1008"/>
      <c r="LL365" s="1007"/>
      <c r="LM365" s="1008"/>
      <c r="LN365" s="1007"/>
      <c r="LO365" s="1008"/>
      <c r="LP365" s="1007"/>
      <c r="LQ365" s="1008"/>
      <c r="LR365" s="1007"/>
      <c r="LS365" s="1008"/>
      <c r="LT365" s="1007"/>
      <c r="LU365" s="1008"/>
      <c r="LV365" s="1007"/>
      <c r="LW365" s="1008"/>
      <c r="LX365" s="1007"/>
      <c r="LY365" s="1009"/>
      <c r="LZ365" s="1010"/>
      <c r="MA365" s="1011"/>
      <c r="MB365" s="1012"/>
      <c r="MC365" s="995"/>
      <c r="MD365" s="996"/>
      <c r="ME365" s="997" t="s">
        <v>220</v>
      </c>
      <c r="MF365" s="997"/>
      <c r="MG365" s="998"/>
      <c r="NR365" s="1000"/>
      <c r="NS365" s="1000"/>
      <c r="NT365" s="1001"/>
      <c r="NU365" s="1000"/>
      <c r="NV365" s="1001"/>
      <c r="NX365" s="1002"/>
      <c r="NZ365" s="1001"/>
      <c r="OA365" s="1001"/>
      <c r="OC365" s="1003"/>
      <c r="OD365" s="1003"/>
      <c r="OE365" s="1001"/>
      <c r="OF365" s="1003"/>
      <c r="OG365" s="1003"/>
      <c r="QX365" s="1000">
        <f>CN365-CA365</f>
        <v>24</v>
      </c>
      <c r="ASU365" s="999" t="s">
        <v>208</v>
      </c>
    </row>
    <row r="366" spans="1:466 1191:1191" ht="21" customHeight="1" x14ac:dyDescent="0.25">
      <c r="A366" s="982">
        <f t="shared" si="274"/>
        <v>1401</v>
      </c>
      <c r="B366" s="124">
        <f>SUBTOTAL(103,$J$29:J366)</f>
        <v>338</v>
      </c>
      <c r="C366" s="126">
        <v>45068</v>
      </c>
      <c r="D366" s="124" t="s">
        <v>176</v>
      </c>
      <c r="E366" s="127" t="s">
        <v>177</v>
      </c>
      <c r="F366" s="128" t="s">
        <v>177</v>
      </c>
      <c r="G366" s="127" t="s">
        <v>178</v>
      </c>
      <c r="H366" s="127" t="s">
        <v>179</v>
      </c>
      <c r="I366" s="127" t="s">
        <v>601</v>
      </c>
      <c r="J366" s="152">
        <v>1401</v>
      </c>
      <c r="K366" s="127" t="s">
        <v>1474</v>
      </c>
      <c r="L366" s="130">
        <v>43753</v>
      </c>
      <c r="M366" s="127" t="s">
        <v>230</v>
      </c>
      <c r="N366" s="127" t="s">
        <v>245</v>
      </c>
      <c r="O366" s="127" t="s">
        <v>185</v>
      </c>
      <c r="P366" s="127" t="s">
        <v>186</v>
      </c>
      <c r="Q366" s="85" t="str">
        <f t="shared" si="297"/>
        <v/>
      </c>
      <c r="R366" s="130"/>
      <c r="S366" s="128"/>
      <c r="T366" s="131"/>
      <c r="U366" s="132">
        <v>203</v>
      </c>
      <c r="V366" s="121">
        <v>218.2</v>
      </c>
      <c r="W366" s="116">
        <v>0.98</v>
      </c>
      <c r="X366" s="116">
        <v>1.66</v>
      </c>
      <c r="Y366" s="116">
        <f t="shared" si="299"/>
        <v>1.1069678824169842</v>
      </c>
      <c r="Z366" s="133">
        <v>1.454</v>
      </c>
      <c r="AA366" s="133">
        <v>0.83599999999999997</v>
      </c>
      <c r="AB366" s="133">
        <v>0.72</v>
      </c>
      <c r="AC366" s="121">
        <v>34.299999999999997</v>
      </c>
      <c r="AD366" s="134">
        <v>1.17</v>
      </c>
      <c r="AE366" s="124">
        <v>177.8</v>
      </c>
      <c r="AF366" s="128">
        <v>9.19</v>
      </c>
      <c r="AG366" s="128">
        <v>2293</v>
      </c>
      <c r="AH366" s="127">
        <v>3018</v>
      </c>
      <c r="AI366" s="127">
        <v>3018</v>
      </c>
      <c r="AJ366" s="135"/>
      <c r="AK366" s="128"/>
      <c r="AL366" s="131"/>
      <c r="AM366" s="124" t="s">
        <v>232</v>
      </c>
      <c r="AN366" s="136" t="s">
        <v>1477</v>
      </c>
      <c r="AO366" s="137">
        <v>66</v>
      </c>
      <c r="AP366" s="128">
        <v>2293</v>
      </c>
      <c r="AQ366" s="128">
        <v>358</v>
      </c>
      <c r="AR366" s="128"/>
      <c r="AS366" s="128"/>
      <c r="AT366" s="122"/>
      <c r="AU366" s="124" t="s">
        <v>189</v>
      </c>
      <c r="AV366" s="115">
        <f>VLOOKUP(J366,'[63]ТР нефть'!$J$28:$BP$638,39,0)</f>
        <v>499.99999218800002</v>
      </c>
      <c r="AW366" s="115" t="str">
        <f>VLOOKUP(J366,'[63]ТР нефть'!$J$28:$BP$638,40,0)</f>
        <v>ГП</v>
      </c>
      <c r="AX366" s="115">
        <f>VLOOKUP(J366,'[63]ТР нефть'!$J$28:$BP$638,41,0)</f>
        <v>899.99998593800001</v>
      </c>
      <c r="AY366" s="115" t="str">
        <f>VLOOKUP(J366,'[63]ТР нефть'!$J$28:$BP$638,42,0)</f>
        <v>ГП</v>
      </c>
      <c r="AZ366" s="115">
        <f>VLOOKUP(J366,'[63]ТР нефть'!$J$28:$BP$638,43,0)</f>
        <v>1260.000039844</v>
      </c>
      <c r="BA366" s="115" t="str">
        <f>VLOOKUP(J366,'[63]ТР нефть'!$J$28:$BP$638,44,0)</f>
        <v>ГК87 1/8</v>
      </c>
      <c r="BB366" s="115">
        <f>VLOOKUP(J366,'[63]ТР нефть'!$J$28:$BP$638,45,0)</f>
        <v>1565.000064844</v>
      </c>
      <c r="BC366" s="115" t="str">
        <f>VLOOKUP(J366,'[63]ТР нефть'!$J$28:$BP$638,46,0)</f>
        <v>ГК87 1/8</v>
      </c>
      <c r="BD366" s="115">
        <f>VLOOKUP(J366,'[63]ТР нефть'!$J$28:$BP$638,47,0)</f>
        <v>1880.000000391</v>
      </c>
      <c r="BE366" s="115" t="str">
        <f>VLOOKUP(J366,'[63]ТР нефть'!$J$28:$BP$638,48,0)</f>
        <v>ЦКсОК 5/16</v>
      </c>
      <c r="BF366" s="115" t="str">
        <f>VLOOKUP(J366,'[63]ТР нефть'!$J$28:$BP$638,49,0)</f>
        <v>-</v>
      </c>
      <c r="BG366" s="115" t="str">
        <f>VLOOKUP(J366,'[63]ТР нефть'!$J$28:$BP$638,50,0)</f>
        <v>-</v>
      </c>
      <c r="BH366" s="115">
        <f>VLOOKUP(J366,'[63]ТР нефть'!$J$28:$BP$638,51,0)</f>
        <v>1890</v>
      </c>
      <c r="BI366" s="115" t="str">
        <f>VLOOKUP(J366,'[63]ТР нефть'!$J$28:$BP$638,52,0)</f>
        <v>закрыт</v>
      </c>
      <c r="BJ366" s="115" t="str">
        <f>IF(IFERROR(VLOOKUP(J366,'[63]ТР нефть'!$J$28:$BP$638,53,0),"-")=0,"-",IFERROR(VLOOKUP(J366,'[63]ТР нефть'!$J$28:$BP$638,53,0),"-"))</f>
        <v>-</v>
      </c>
      <c r="BK366" s="138" t="str">
        <f>IF(IFERROR(VLOOKUP(J366,'[63]ТР нефть'!$J$28:$BP$638,54,0),"-")=0,"-",IFERROR(VLOOKUP(J366,'[63]ТР нефть'!$J$28:$BP$638,54,0),"-"))</f>
        <v>-</v>
      </c>
      <c r="BL366" s="138" t="str">
        <f>IF(IFERROR(VLOOKUP(J366,'[63]ТР нефть'!$J$28:$BP$638,55,0),"-")=0,"-",IFERROR(VLOOKUP(J366,'[63]ТР нефть'!$J$28:$BP$638,55,0),"-"))</f>
        <v>-</v>
      </c>
      <c r="BM366" s="138" t="str">
        <f>IF(IFERROR(VLOOKUP(J366,'[63]ТР нефть'!$J$28:$BP$638,56,0),"-")=0,"-",IFERROR(VLOOKUP(J366,'[63]ТР нефть'!$J$28:$BP$638,56,0),"-"))</f>
        <v>-</v>
      </c>
      <c r="BN366" s="138" t="str">
        <f>IF(IFERROR(VLOOKUP(J366,'[63]ТР нефть'!$J$28:$BP$638,57,0),"-")=0,"-",IFERROR(VLOOKUP(J366,'[63]ТР нефть'!$J$28:$BP$638,57,0),"-"))</f>
        <v>-</v>
      </c>
      <c r="BO366" s="115" t="str">
        <f>IF(IFERROR(VLOOKUP(J366,'[63]ТР нефть'!$J$28:$BP$638,58,0),"-")=0,"-",IFERROR(VLOOKUP(J366,'[63]ТР нефть'!$J$28:$BP$638,58,0),"-"))</f>
        <v>-</v>
      </c>
      <c r="BP366" s="115" t="str">
        <f>IF(IFERROR(VLOOKUP(J366,'[63]ТР нефть'!$J$28:$BP$638,59,0),"-")=0,"-",IFERROR(VLOOKUP(J366,'[63]ТР нефть'!$J$28:$BP$638,59,0),"-"))</f>
        <v>-</v>
      </c>
      <c r="BQ366" s="138">
        <v>3018</v>
      </c>
      <c r="BR366" s="128">
        <v>1945</v>
      </c>
      <c r="BS366" s="115">
        <f t="shared" si="258"/>
        <v>1073</v>
      </c>
      <c r="BT366" s="128">
        <v>73</v>
      </c>
      <c r="BU366" s="128">
        <v>5.5</v>
      </c>
      <c r="BV366" s="127">
        <v>65</v>
      </c>
      <c r="BW366" s="127" t="s">
        <v>217</v>
      </c>
      <c r="BX366" s="127" t="s">
        <v>195</v>
      </c>
      <c r="BY366" s="139">
        <v>24</v>
      </c>
      <c r="BZ366" s="139">
        <v>0</v>
      </c>
      <c r="CA366" s="80">
        <v>18</v>
      </c>
      <c r="CB366" s="138">
        <v>51</v>
      </c>
      <c r="CC366" s="138">
        <v>17</v>
      </c>
      <c r="CD366" s="135">
        <v>45017</v>
      </c>
      <c r="CE366" s="138">
        <v>166</v>
      </c>
      <c r="CF366" s="138">
        <v>82</v>
      </c>
      <c r="CG366" s="138" t="s">
        <v>1131</v>
      </c>
      <c r="CH366" s="138" t="s">
        <v>235</v>
      </c>
      <c r="CI366" s="127">
        <v>5</v>
      </c>
      <c r="CJ366" s="138"/>
      <c r="CK366" s="138">
        <f t="shared" si="255"/>
        <v>51</v>
      </c>
      <c r="CL366" s="99"/>
      <c r="CM366" s="99"/>
      <c r="CN366" s="140">
        <v>69</v>
      </c>
      <c r="CO366" s="141">
        <f t="shared" si="276"/>
        <v>4.5143999999999993</v>
      </c>
      <c r="CP366" s="142">
        <v>7.5</v>
      </c>
      <c r="CQ366" s="143">
        <v>28</v>
      </c>
      <c r="CR366" s="138">
        <v>19</v>
      </c>
      <c r="CS366" s="139">
        <v>14.4</v>
      </c>
      <c r="CT366" s="138"/>
      <c r="CU366" s="138">
        <f t="shared" si="277"/>
        <v>4.5999999999999996</v>
      </c>
      <c r="CV366" s="115">
        <f t="shared" si="278"/>
        <v>1018.9615452773349</v>
      </c>
      <c r="CW366" s="115">
        <f t="shared" si="279"/>
        <v>2073.0759264058047</v>
      </c>
      <c r="CX366" s="133">
        <f t="shared" si="280"/>
        <v>7.7319587628865982E-2</v>
      </c>
      <c r="CY366" s="116"/>
      <c r="CZ366" s="131"/>
      <c r="DA366" s="145" t="str">
        <f t="shared" si="281"/>
        <v>Газлифт</v>
      </c>
      <c r="DB366" s="146">
        <f t="shared" si="282"/>
        <v>4.5143999999999993</v>
      </c>
      <c r="DC366" s="142">
        <f t="shared" si="296"/>
        <v>7.5</v>
      </c>
      <c r="DD366" s="119">
        <f t="shared" si="250"/>
        <v>28</v>
      </c>
      <c r="DE366" s="115">
        <f t="shared" si="283"/>
        <v>4.5999999999999996</v>
      </c>
      <c r="DF366" s="121">
        <f t="shared" si="284"/>
        <v>14.4</v>
      </c>
      <c r="DG366" s="115">
        <f t="shared" si="285"/>
        <v>1018.9615452773349</v>
      </c>
      <c r="DH366" s="115">
        <f t="shared" si="286"/>
        <v>69</v>
      </c>
      <c r="DI366" s="147"/>
      <c r="DJ366" s="111" t="s">
        <v>197</v>
      </c>
      <c r="DK366" s="112">
        <v>43753</v>
      </c>
      <c r="DL366" s="113">
        <f t="shared" ca="1" si="266"/>
        <v>1351</v>
      </c>
      <c r="DM366" s="114"/>
      <c r="DN366" s="114"/>
      <c r="DO366" s="114"/>
      <c r="DP366" s="114"/>
      <c r="DQ366" s="112"/>
      <c r="DR366" s="114"/>
      <c r="DS366" s="114"/>
      <c r="DT366" s="115">
        <v>60</v>
      </c>
      <c r="DU366" s="116">
        <f t="shared" si="267"/>
        <v>7.4802856024309763E-2</v>
      </c>
      <c r="DV366" s="117">
        <f t="shared" si="268"/>
        <v>4.7726855204041678</v>
      </c>
      <c r="DW366" s="118">
        <f t="shared" si="269"/>
        <v>7.9291027385768347</v>
      </c>
      <c r="DX366" s="119">
        <f t="shared" si="287"/>
        <v>28</v>
      </c>
      <c r="DY366" s="115">
        <f t="shared" si="270"/>
        <v>4.863183012993793</v>
      </c>
      <c r="DZ366" s="117">
        <f t="shared" si="271"/>
        <v>0.25828552040416852</v>
      </c>
      <c r="EA366" s="120">
        <f t="shared" si="271"/>
        <v>0.42910273857683467</v>
      </c>
      <c r="EB366" s="119">
        <f t="shared" si="264"/>
        <v>0</v>
      </c>
      <c r="EC366" s="121">
        <f t="shared" si="272"/>
        <v>0.26318301299379332</v>
      </c>
      <c r="ED366" s="122"/>
      <c r="EE366" s="145">
        <v>65</v>
      </c>
      <c r="EF366" s="148">
        <v>19</v>
      </c>
      <c r="EG366" s="115">
        <v>62</v>
      </c>
      <c r="EH366" s="115">
        <v>18</v>
      </c>
      <c r="EI366" s="128" t="s">
        <v>195</v>
      </c>
      <c r="EJ366" s="121">
        <v>24</v>
      </c>
      <c r="EK366" s="121">
        <v>0</v>
      </c>
      <c r="EL366" s="149">
        <v>6.4957199999999995</v>
      </c>
      <c r="EM366" s="142">
        <v>10.5</v>
      </c>
      <c r="EN366" s="119">
        <v>26</v>
      </c>
      <c r="EO366" s="115">
        <v>19</v>
      </c>
      <c r="EP366" s="115">
        <v>708.15860289544503</v>
      </c>
      <c r="EQ366" s="115">
        <v>82</v>
      </c>
      <c r="ER366" s="115">
        <v>14.4</v>
      </c>
      <c r="ES366" s="115">
        <v>69</v>
      </c>
      <c r="ET366" s="150">
        <v>0.10824742268041238</v>
      </c>
      <c r="EU366" s="145">
        <f t="shared" si="288"/>
        <v>65</v>
      </c>
      <c r="EV366" s="115">
        <f t="shared" si="289"/>
        <v>18</v>
      </c>
      <c r="EW366" s="115">
        <f t="shared" si="289"/>
        <v>51</v>
      </c>
      <c r="EX366" s="115">
        <f t="shared" si="289"/>
        <v>17</v>
      </c>
      <c r="EY366" s="115" t="str">
        <f t="shared" si="253"/>
        <v>Постоянный</v>
      </c>
      <c r="EZ366" s="115">
        <f t="shared" si="253"/>
        <v>24</v>
      </c>
      <c r="FA366" s="115">
        <f t="shared" si="253"/>
        <v>0</v>
      </c>
      <c r="FB366" s="149">
        <f t="shared" si="298"/>
        <v>4.5143999999999993</v>
      </c>
      <c r="FC366" s="142">
        <f t="shared" si="298"/>
        <v>7.5</v>
      </c>
      <c r="FD366" s="119">
        <f t="shared" si="298"/>
        <v>28</v>
      </c>
      <c r="FE366" s="121">
        <f t="shared" si="298"/>
        <v>19</v>
      </c>
      <c r="FF366" s="121">
        <f t="shared" si="300"/>
        <v>1018.9615452773349</v>
      </c>
      <c r="FG366" s="121">
        <f t="shared" si="290"/>
        <v>82</v>
      </c>
      <c r="FH366" s="121">
        <f t="shared" si="301"/>
        <v>14.4</v>
      </c>
      <c r="FI366" s="121">
        <f t="shared" si="252"/>
        <v>69</v>
      </c>
      <c r="FJ366" s="144">
        <f t="shared" si="291"/>
        <v>7.7319587628865982E-2</v>
      </c>
      <c r="FK366" s="132">
        <f t="shared" si="292"/>
        <v>0</v>
      </c>
      <c r="FL366" s="115">
        <f t="shared" si="292"/>
        <v>-1</v>
      </c>
      <c r="FM366" s="115">
        <f t="shared" si="292"/>
        <v>-11</v>
      </c>
      <c r="FN366" s="115">
        <f t="shared" si="273"/>
        <v>-1</v>
      </c>
      <c r="FO366" s="115">
        <f t="shared" si="257"/>
        <v>0</v>
      </c>
      <c r="FP366" s="115">
        <f t="shared" si="257"/>
        <v>0</v>
      </c>
      <c r="FQ366" s="149">
        <f t="shared" si="257"/>
        <v>-1.9813200000000002</v>
      </c>
      <c r="FR366" s="142">
        <f t="shared" si="256"/>
        <v>-3</v>
      </c>
      <c r="FS366" s="119">
        <f t="shared" si="256"/>
        <v>2</v>
      </c>
      <c r="FT366" s="121">
        <f t="shared" si="256"/>
        <v>0</v>
      </c>
      <c r="FU366" s="121">
        <f t="shared" si="293"/>
        <v>0</v>
      </c>
      <c r="FV366" s="121">
        <f t="shared" si="293"/>
        <v>0</v>
      </c>
      <c r="FW366" s="121">
        <f t="shared" si="294"/>
        <v>310.80294238188992</v>
      </c>
      <c r="FX366" s="121">
        <f t="shared" si="295"/>
        <v>0</v>
      </c>
      <c r="FY366" s="144">
        <f t="shared" si="295"/>
        <v>-3.0927835051546393E-2</v>
      </c>
      <c r="FZ366" s="145" t="s">
        <v>204</v>
      </c>
      <c r="GA366" s="151" t="s">
        <v>1478</v>
      </c>
      <c r="GB366" s="145" t="s">
        <v>204</v>
      </c>
      <c r="GC366" s="151" t="s">
        <v>219</v>
      </c>
      <c r="GD366" s="997" t="s">
        <v>220</v>
      </c>
      <c r="GE366" s="1004" t="s">
        <v>204</v>
      </c>
      <c r="GF366" s="1004">
        <v>2.5558359199999994</v>
      </c>
      <c r="GG366" s="1004"/>
      <c r="GH366" s="1004">
        <v>0</v>
      </c>
      <c r="GI366" s="145"/>
      <c r="GJ366" s="996">
        <v>-0.58980652719999993</v>
      </c>
      <c r="GK366" s="145"/>
      <c r="GL366" s="996">
        <v>0</v>
      </c>
      <c r="GM366" s="1005"/>
      <c r="GN366" s="996">
        <v>-0.42051293240000032</v>
      </c>
      <c r="GO366" s="1006" t="s">
        <v>203</v>
      </c>
      <c r="GP366" s="996">
        <v>-2.2461513403999991</v>
      </c>
      <c r="GQ366" s="1006" t="s">
        <v>221</v>
      </c>
      <c r="GR366" s="996">
        <v>-1.2004190880000003</v>
      </c>
      <c r="GS366" s="1006" t="s">
        <v>221</v>
      </c>
      <c r="GT366" s="996">
        <v>2.0155150752000015</v>
      </c>
      <c r="GU366" s="1006" t="s">
        <v>203</v>
      </c>
      <c r="GV366" s="996">
        <v>-1.8057600000000003</v>
      </c>
      <c r="GW366" s="1006" t="s">
        <v>199</v>
      </c>
      <c r="GX366" s="1036">
        <v>1.2623599999999993</v>
      </c>
      <c r="GY366" s="1006" t="s">
        <v>199</v>
      </c>
      <c r="GZ366" s="996">
        <v>-1.8677076000000001</v>
      </c>
      <c r="HA366" s="1006" t="s">
        <v>199</v>
      </c>
      <c r="HB366" s="996">
        <v>2.7815525760000002</v>
      </c>
      <c r="HC366" s="1006" t="s">
        <v>199</v>
      </c>
      <c r="HD366" s="996">
        <v>-5.5021298199999986</v>
      </c>
      <c r="HE366" s="1006"/>
      <c r="HF366" s="996">
        <v>0</v>
      </c>
      <c r="HG366" s="1006" t="s">
        <v>199</v>
      </c>
      <c r="HH366" s="996">
        <v>3.037504843999999</v>
      </c>
      <c r="HI366" s="1006"/>
      <c r="HJ366" s="996">
        <v>-0.46397999999999939</v>
      </c>
      <c r="HK366" s="1006"/>
      <c r="HL366" s="996">
        <v>0</v>
      </c>
      <c r="HM366" s="1006"/>
      <c r="HN366" s="996">
        <v>0</v>
      </c>
      <c r="HO366" s="1006"/>
      <c r="HP366" s="996">
        <v>-0.61864000000000097</v>
      </c>
      <c r="HQ366" s="1006" t="s">
        <v>199</v>
      </c>
      <c r="HR366" s="996">
        <v>-6.2198399999999996</v>
      </c>
      <c r="HS366" s="1006"/>
      <c r="HT366" s="996">
        <v>0</v>
      </c>
      <c r="HU366" s="1006"/>
      <c r="HV366" s="996">
        <v>0</v>
      </c>
      <c r="HW366" s="1006" t="s">
        <v>199</v>
      </c>
      <c r="HX366" s="996">
        <v>7.2656091200000006</v>
      </c>
      <c r="HY366" s="1006"/>
      <c r="HZ366" s="996">
        <v>0</v>
      </c>
      <c r="IA366" s="1006"/>
      <c r="IB366" s="996">
        <v>0</v>
      </c>
      <c r="IC366" s="1006"/>
      <c r="ID366" s="996">
        <v>-0.78995311999999984</v>
      </c>
      <c r="IE366" s="1006" t="s">
        <v>199</v>
      </c>
      <c r="IF366" s="996">
        <v>7.0170495999999991</v>
      </c>
      <c r="IG366" s="1006" t="s">
        <v>146</v>
      </c>
      <c r="IH366" s="996">
        <v>-2.8699545599999992</v>
      </c>
      <c r="II366" s="1006" t="s">
        <v>146</v>
      </c>
      <c r="IJ366" s="996">
        <v>2.5677990800000008</v>
      </c>
      <c r="IK366" s="1006"/>
      <c r="IL366" s="996">
        <v>0</v>
      </c>
      <c r="IM366" s="1006" t="s">
        <v>146</v>
      </c>
      <c r="IN366" s="996">
        <v>-6.2919784399999994</v>
      </c>
      <c r="IO366" s="1006" t="s">
        <v>204</v>
      </c>
      <c r="IP366" s="996">
        <v>-3.4083452479999998</v>
      </c>
      <c r="IQ366" s="1006"/>
      <c r="IR366" s="996">
        <v>0.73993356799999788</v>
      </c>
      <c r="IS366" s="1006"/>
      <c r="IT366" s="996">
        <v>0</v>
      </c>
      <c r="IU366" s="1006"/>
      <c r="IV366" s="996">
        <v>0</v>
      </c>
      <c r="IW366" s="1006"/>
      <c r="IX366" s="996">
        <v>0</v>
      </c>
      <c r="IY366" s="1006"/>
      <c r="IZ366" s="996">
        <v>0</v>
      </c>
      <c r="JA366" s="1006" t="s">
        <v>275</v>
      </c>
      <c r="JB366" s="996">
        <v>-9.3130399999999991</v>
      </c>
      <c r="JC366" s="1006"/>
      <c r="JD366" s="996">
        <v>0</v>
      </c>
      <c r="JE366" s="1006"/>
      <c r="JF366" s="996">
        <v>0</v>
      </c>
      <c r="JG366" s="1006"/>
      <c r="JH366" s="996">
        <v>0</v>
      </c>
      <c r="JI366" s="1006"/>
      <c r="JJ366" s="996">
        <v>0</v>
      </c>
      <c r="JK366" s="1007" t="s">
        <v>203</v>
      </c>
      <c r="JL366" s="1007">
        <v>-2.5389319999999991</v>
      </c>
      <c r="JM366" s="1007" t="s">
        <v>25</v>
      </c>
      <c r="JN366" s="1007">
        <v>22.134771999999998</v>
      </c>
      <c r="JO366" s="1008"/>
      <c r="JP366" s="1007"/>
      <c r="JQ366" s="1008"/>
      <c r="JR366" s="1007"/>
      <c r="JS366" s="1008"/>
      <c r="JT366" s="1007"/>
      <c r="JU366" s="1008"/>
      <c r="JV366" s="1007"/>
      <c r="JW366" s="1008"/>
      <c r="JX366" s="1007"/>
      <c r="JY366" s="1008"/>
      <c r="JZ366" s="1007"/>
      <c r="KA366" s="1008"/>
      <c r="KB366" s="1007"/>
      <c r="KC366" s="1008"/>
      <c r="KD366" s="1007"/>
      <c r="KE366" s="1008"/>
      <c r="KF366" s="1007"/>
      <c r="KG366" s="1008"/>
      <c r="KH366" s="1007"/>
      <c r="KI366" s="1008"/>
      <c r="KJ366" s="1007"/>
      <c r="KK366" s="1008"/>
      <c r="KL366" s="1007"/>
      <c r="KM366" s="1008"/>
      <c r="KN366" s="1007"/>
      <c r="KO366" s="1008"/>
      <c r="KP366" s="1007"/>
      <c r="KQ366" s="1008"/>
      <c r="KR366" s="1007"/>
      <c r="KS366" s="1008"/>
      <c r="KT366" s="1007"/>
      <c r="KU366" s="1008"/>
      <c r="KV366" s="1007"/>
      <c r="KW366" s="1008"/>
      <c r="KX366" s="1007"/>
      <c r="KY366" s="1008"/>
      <c r="KZ366" s="1007"/>
      <c r="LA366" s="1008"/>
      <c r="LB366" s="1007"/>
      <c r="LC366" s="1008"/>
      <c r="LD366" s="1007"/>
      <c r="LE366" s="1008"/>
      <c r="LF366" s="1007"/>
      <c r="LG366" s="1008"/>
      <c r="LH366" s="1007"/>
      <c r="LI366" s="1008"/>
      <c r="LJ366" s="1007"/>
      <c r="LK366" s="1008"/>
      <c r="LL366" s="1007"/>
      <c r="LM366" s="1008"/>
      <c r="LN366" s="1007"/>
      <c r="LO366" s="1008"/>
      <c r="LP366" s="1007"/>
      <c r="LQ366" s="1008"/>
      <c r="LR366" s="1007"/>
      <c r="LS366" s="1008"/>
      <c r="LT366" s="1007"/>
      <c r="LU366" s="1008"/>
      <c r="LV366" s="1007"/>
      <c r="LW366" s="1008"/>
      <c r="LX366" s="1007"/>
      <c r="LY366" s="1009"/>
      <c r="LZ366" s="1010"/>
      <c r="MA366" s="1011"/>
      <c r="MB366" s="1012"/>
      <c r="MC366" s="995"/>
      <c r="MD366" s="996"/>
      <c r="ME366" s="997" t="s">
        <v>220</v>
      </c>
      <c r="MF366" s="997"/>
      <c r="MG366" s="998"/>
      <c r="NR366" s="1000"/>
      <c r="NS366" s="1000"/>
      <c r="NT366" s="1001"/>
      <c r="NU366" s="1000"/>
      <c r="NV366" s="1001"/>
      <c r="NX366" s="1002"/>
      <c r="NZ366" s="1001"/>
      <c r="OA366" s="1001"/>
      <c r="OC366" s="1003"/>
      <c r="OD366" s="1003"/>
      <c r="OE366" s="1001"/>
      <c r="OF366" s="1003"/>
      <c r="OG366" s="1003"/>
      <c r="QX366" s="1000">
        <f>CN366-CA366</f>
        <v>51</v>
      </c>
      <c r="ASU366" s="999" t="s">
        <v>208</v>
      </c>
    </row>
    <row r="367" spans="1:466 1191:1191" ht="21" customHeight="1" x14ac:dyDescent="0.25">
      <c r="A367" s="982">
        <f t="shared" si="274"/>
        <v>1402</v>
      </c>
      <c r="B367" s="124">
        <f>SUBTOTAL(103,$J$29:J367)</f>
        <v>339</v>
      </c>
      <c r="C367" s="126">
        <v>45068</v>
      </c>
      <c r="D367" s="124" t="s">
        <v>176</v>
      </c>
      <c r="E367" s="127" t="s">
        <v>177</v>
      </c>
      <c r="F367" s="128" t="s">
        <v>177</v>
      </c>
      <c r="G367" s="127" t="s">
        <v>178</v>
      </c>
      <c r="H367" s="127" t="s">
        <v>179</v>
      </c>
      <c r="I367" s="127" t="s">
        <v>601</v>
      </c>
      <c r="J367" s="152">
        <v>1402</v>
      </c>
      <c r="K367" s="127" t="s">
        <v>1474</v>
      </c>
      <c r="L367" s="130">
        <v>43722</v>
      </c>
      <c r="M367" s="127" t="s">
        <v>230</v>
      </c>
      <c r="N367" s="127" t="s">
        <v>184</v>
      </c>
      <c r="O367" s="127" t="s">
        <v>185</v>
      </c>
      <c r="P367" s="127" t="s">
        <v>186</v>
      </c>
      <c r="Q367" s="85" t="str">
        <f t="shared" si="297"/>
        <v/>
      </c>
      <c r="R367" s="130"/>
      <c r="S367" s="128"/>
      <c r="T367" s="131"/>
      <c r="U367" s="132">
        <v>203</v>
      </c>
      <c r="V367" s="121">
        <v>218.2</v>
      </c>
      <c r="W367" s="116">
        <v>0.98</v>
      </c>
      <c r="X367" s="116">
        <v>1.66</v>
      </c>
      <c r="Y367" s="116">
        <f t="shared" si="299"/>
        <v>0.98809523809523803</v>
      </c>
      <c r="Z367" s="133">
        <v>1.454</v>
      </c>
      <c r="AA367" s="133">
        <v>0.83599999999999997</v>
      </c>
      <c r="AB367" s="133">
        <v>0.72</v>
      </c>
      <c r="AC367" s="121">
        <v>34.299999999999997</v>
      </c>
      <c r="AD367" s="134">
        <v>1.17</v>
      </c>
      <c r="AE367" s="124">
        <v>177.8</v>
      </c>
      <c r="AF367" s="128">
        <v>9.19</v>
      </c>
      <c r="AG367" s="128">
        <v>2415</v>
      </c>
      <c r="AH367" s="127">
        <v>3018</v>
      </c>
      <c r="AI367" s="127">
        <v>3018</v>
      </c>
      <c r="AJ367" s="135"/>
      <c r="AK367" s="128"/>
      <c r="AL367" s="131"/>
      <c r="AM367" s="124" t="s">
        <v>232</v>
      </c>
      <c r="AN367" s="136" t="s">
        <v>1479</v>
      </c>
      <c r="AO367" s="137">
        <v>31</v>
      </c>
      <c r="AP367" s="128">
        <v>2415</v>
      </c>
      <c r="AQ367" s="128">
        <v>1044</v>
      </c>
      <c r="AR367" s="128"/>
      <c r="AS367" s="128"/>
      <c r="AT367" s="122"/>
      <c r="AU367" s="124" t="s">
        <v>189</v>
      </c>
      <c r="AV367" s="115">
        <f>VLOOKUP(J367,'[63]ТР нефть'!$J$28:$BP$638,39,0)</f>
        <v>549.99999140600005</v>
      </c>
      <c r="AW367" s="115" t="str">
        <f>VLOOKUP(J367,'[63]ТР нефть'!$J$28:$BP$638,40,0)</f>
        <v>ГК 84 1/8</v>
      </c>
      <c r="AX367" s="115">
        <f>VLOOKUP(J367,'[63]ТР нефть'!$J$28:$BP$638,41,0)</f>
        <v>1080.0000128910001</v>
      </c>
      <c r="AY367" s="115" t="str">
        <f>VLOOKUP(J367,'[63]ТР нефть'!$J$28:$BP$638,42,0)</f>
        <v>ГК 85 1/8</v>
      </c>
      <c r="AZ367" s="115">
        <f>VLOOKUP(J367,'[63]ТР нефть'!$J$28:$BP$638,43,0)</f>
        <v>1510.0000359380001</v>
      </c>
      <c r="BA367" s="115" t="str">
        <f>VLOOKUP(J367,'[63]ТР нефть'!$J$28:$BP$638,44,0)</f>
        <v>ГК 86 1/8</v>
      </c>
      <c r="BB367" s="115">
        <f>VLOOKUP(J367,'[63]ТР нефть'!$J$28:$BP$638,45,0)</f>
        <v>1855.0000007809999</v>
      </c>
      <c r="BC367" s="115" t="str">
        <f>VLOOKUP(J367,'[63]ТР нефть'!$J$28:$BP$638,46,0)</f>
        <v>ГК 86 5/32</v>
      </c>
      <c r="BD367" s="115">
        <f>VLOOKUP(J367,'[63]ТР нефть'!$J$28:$BP$638,47,0)</f>
        <v>2140.000055859</v>
      </c>
      <c r="BE367" s="115" t="str">
        <f>VLOOKUP(J367,'[63]ТР нефть'!$J$28:$BP$638,48,0)</f>
        <v>ЦКсОК 5/16</v>
      </c>
      <c r="BF367" s="115" t="str">
        <f>VLOOKUP(J367,'[63]ТР нефть'!$J$28:$BP$638,49,0)</f>
        <v>-</v>
      </c>
      <c r="BG367" s="115" t="str">
        <f>VLOOKUP(J367,'[63]ТР нефть'!$J$28:$BP$638,50,0)</f>
        <v>-</v>
      </c>
      <c r="BH367" s="115">
        <f>VLOOKUP(J367,'[63]ТР нефть'!$J$28:$BP$638,51,0)</f>
        <v>2150</v>
      </c>
      <c r="BI367" s="115" t="str">
        <f>VLOOKUP(J367,'[63]ТР нефть'!$J$28:$BP$638,52,0)</f>
        <v>закрыт</v>
      </c>
      <c r="BJ367" s="115" t="str">
        <f>IF(IFERROR(VLOOKUP(J367,'[63]ТР нефть'!$J$28:$BP$638,53,0),"-")=0,"-",IFERROR(VLOOKUP(J367,'[63]ТР нефть'!$J$28:$BP$638,53,0),"-"))</f>
        <v>-</v>
      </c>
      <c r="BK367" s="138" t="str">
        <f>IF(IFERROR(VLOOKUP(J367,'[63]ТР нефть'!$J$28:$BP$638,54,0),"-")=0,"-",IFERROR(VLOOKUP(J367,'[63]ТР нефть'!$J$28:$BP$638,54,0),"-"))</f>
        <v>-</v>
      </c>
      <c r="BL367" s="138" t="str">
        <f>IF(IFERROR(VLOOKUP(J367,'[63]ТР нефть'!$J$28:$BP$638,55,0),"-")=0,"-",IFERROR(VLOOKUP(J367,'[63]ТР нефть'!$J$28:$BP$638,55,0),"-"))</f>
        <v>-</v>
      </c>
      <c r="BM367" s="138" t="str">
        <f>IF(IFERROR(VLOOKUP(J367,'[63]ТР нефть'!$J$28:$BP$638,56,0),"-")=0,"-",IFERROR(VLOOKUP(J367,'[63]ТР нефть'!$J$28:$BP$638,56,0),"-"))</f>
        <v>-</v>
      </c>
      <c r="BN367" s="138" t="str">
        <f>IF(IFERROR(VLOOKUP(J367,'[63]ТР нефть'!$J$28:$BP$638,57,0),"-")=0,"-",IFERROR(VLOOKUP(J367,'[63]ТР нефть'!$J$28:$BP$638,57,0),"-"))</f>
        <v>-</v>
      </c>
      <c r="BO367" s="115" t="str">
        <f>IF(IFERROR(VLOOKUP(J367,'[63]ТР нефть'!$J$28:$BP$638,58,0),"-")=0,"-",IFERROR(VLOOKUP(J367,'[63]ТР нефть'!$J$28:$BP$638,58,0),"-"))</f>
        <v>-</v>
      </c>
      <c r="BP367" s="115" t="str">
        <f>IF(IFERROR(VLOOKUP(J367,'[63]ТР нефть'!$J$28:$BP$638,59,0),"-")=0,"-",IFERROR(VLOOKUP(J367,'[63]ТР нефть'!$J$28:$BP$638,59,0),"-"))</f>
        <v>-</v>
      </c>
      <c r="BQ367" s="138">
        <v>2435</v>
      </c>
      <c r="BR367" s="128">
        <v>1940</v>
      </c>
      <c r="BS367" s="115">
        <f t="shared" si="258"/>
        <v>495</v>
      </c>
      <c r="BT367" s="128">
        <v>73</v>
      </c>
      <c r="BU367" s="128">
        <v>5.5</v>
      </c>
      <c r="BV367" s="127">
        <v>18</v>
      </c>
      <c r="BW367" s="127" t="s">
        <v>217</v>
      </c>
      <c r="BX367" s="127" t="s">
        <v>195</v>
      </c>
      <c r="BY367" s="139">
        <v>24</v>
      </c>
      <c r="BZ367" s="139">
        <v>0</v>
      </c>
      <c r="CA367" s="80">
        <v>18</v>
      </c>
      <c r="CB367" s="138">
        <v>32</v>
      </c>
      <c r="CC367" s="138">
        <v>17</v>
      </c>
      <c r="CD367" s="135">
        <v>45017</v>
      </c>
      <c r="CE367" s="138">
        <v>77</v>
      </c>
      <c r="CF367" s="138">
        <v>82</v>
      </c>
      <c r="CG367" s="138" t="s">
        <v>1131</v>
      </c>
      <c r="CH367" s="138" t="s">
        <v>235</v>
      </c>
      <c r="CI367" s="127">
        <v>5</v>
      </c>
      <c r="CJ367" s="138"/>
      <c r="CK367" s="138">
        <f t="shared" si="255"/>
        <v>23</v>
      </c>
      <c r="CL367" s="99"/>
      <c r="CM367" s="99"/>
      <c r="CN367" s="140">
        <v>41</v>
      </c>
      <c r="CO367" s="141">
        <f t="shared" si="276"/>
        <v>7.7831600000000005</v>
      </c>
      <c r="CP367" s="142">
        <v>9.5</v>
      </c>
      <c r="CQ367" s="143">
        <v>2</v>
      </c>
      <c r="CR367" s="138">
        <v>23</v>
      </c>
      <c r="CS367" s="139">
        <v>15</v>
      </c>
      <c r="CT367" s="138"/>
      <c r="CU367" s="138">
        <f t="shared" si="277"/>
        <v>8</v>
      </c>
      <c r="CV367" s="115">
        <f t="shared" si="278"/>
        <v>1027.8601493480796</v>
      </c>
      <c r="CW367" s="115">
        <f t="shared" si="279"/>
        <v>1874.2549836440014</v>
      </c>
      <c r="CX367" s="133">
        <f t="shared" si="280"/>
        <v>0.2638888888888889</v>
      </c>
      <c r="CY367" s="116"/>
      <c r="CZ367" s="131"/>
      <c r="DA367" s="145" t="str">
        <f t="shared" si="281"/>
        <v>Газлифт</v>
      </c>
      <c r="DB367" s="146">
        <f t="shared" si="282"/>
        <v>7.7831600000000005</v>
      </c>
      <c r="DC367" s="142">
        <f t="shared" si="296"/>
        <v>9.5</v>
      </c>
      <c r="DD367" s="119">
        <f t="shared" si="250"/>
        <v>2</v>
      </c>
      <c r="DE367" s="115">
        <f t="shared" si="283"/>
        <v>8</v>
      </c>
      <c r="DF367" s="121">
        <f t="shared" si="284"/>
        <v>15</v>
      </c>
      <c r="DG367" s="115">
        <f t="shared" si="285"/>
        <v>1027.8601493480796</v>
      </c>
      <c r="DH367" s="115">
        <f t="shared" si="286"/>
        <v>41</v>
      </c>
      <c r="DI367" s="147"/>
      <c r="DJ367" s="111" t="s">
        <v>197</v>
      </c>
      <c r="DK367" s="112">
        <v>43722</v>
      </c>
      <c r="DL367" s="113">
        <f t="shared" ca="1" si="266"/>
        <v>1382</v>
      </c>
      <c r="DM367" s="114"/>
      <c r="DN367" s="114"/>
      <c r="DO367" s="114"/>
      <c r="DP367" s="114"/>
      <c r="DQ367" s="112"/>
      <c r="DR367" s="114"/>
      <c r="DS367" s="114"/>
      <c r="DT367" s="115">
        <v>44</v>
      </c>
      <c r="DU367" s="116">
        <f t="shared" si="267"/>
        <v>0.2878787878787879</v>
      </c>
      <c r="DV367" s="117">
        <f t="shared" si="268"/>
        <v>7.7831600000000005</v>
      </c>
      <c r="DW367" s="118">
        <f t="shared" si="269"/>
        <v>9.5</v>
      </c>
      <c r="DX367" s="119">
        <f t="shared" si="287"/>
        <v>2</v>
      </c>
      <c r="DY367" s="115">
        <f t="shared" si="270"/>
        <v>8</v>
      </c>
      <c r="DZ367" s="117">
        <f t="shared" si="271"/>
        <v>0</v>
      </c>
      <c r="EA367" s="120">
        <f t="shared" si="271"/>
        <v>0</v>
      </c>
      <c r="EB367" s="119">
        <f t="shared" si="264"/>
        <v>0</v>
      </c>
      <c r="EC367" s="121">
        <f t="shared" si="272"/>
        <v>0</v>
      </c>
      <c r="ED367" s="122"/>
      <c r="EE367" s="145">
        <v>18</v>
      </c>
      <c r="EF367" s="148">
        <v>18</v>
      </c>
      <c r="EG367" s="115">
        <v>34</v>
      </c>
      <c r="EH367" s="115">
        <v>17</v>
      </c>
      <c r="EI367" s="128" t="s">
        <v>195</v>
      </c>
      <c r="EJ367" s="121">
        <v>24</v>
      </c>
      <c r="EK367" s="121">
        <v>0</v>
      </c>
      <c r="EL367" s="149">
        <v>7.8625799999999995</v>
      </c>
      <c r="EM367" s="142">
        <v>9.5</v>
      </c>
      <c r="EN367" s="119">
        <v>1</v>
      </c>
      <c r="EO367" s="115">
        <v>16</v>
      </c>
      <c r="EP367" s="115">
        <v>1068.3516097769436</v>
      </c>
      <c r="EQ367" s="115">
        <v>84</v>
      </c>
      <c r="ER367" s="115">
        <v>7.6</v>
      </c>
      <c r="ES367" s="115">
        <v>41</v>
      </c>
      <c r="ET367" s="150">
        <v>0.2638888888888889</v>
      </c>
      <c r="EU367" s="145">
        <f t="shared" si="288"/>
        <v>18</v>
      </c>
      <c r="EV367" s="115">
        <f t="shared" si="289"/>
        <v>18</v>
      </c>
      <c r="EW367" s="115">
        <f t="shared" si="289"/>
        <v>32</v>
      </c>
      <c r="EX367" s="115">
        <f t="shared" si="289"/>
        <v>17</v>
      </c>
      <c r="EY367" s="115" t="str">
        <f t="shared" si="253"/>
        <v>Постоянный</v>
      </c>
      <c r="EZ367" s="115">
        <f t="shared" si="253"/>
        <v>24</v>
      </c>
      <c r="FA367" s="115">
        <f t="shared" si="253"/>
        <v>0</v>
      </c>
      <c r="FB367" s="149">
        <f t="shared" si="298"/>
        <v>7.7831600000000005</v>
      </c>
      <c r="FC367" s="142">
        <f t="shared" si="298"/>
        <v>9.5</v>
      </c>
      <c r="FD367" s="119">
        <f t="shared" si="298"/>
        <v>2</v>
      </c>
      <c r="FE367" s="121">
        <f t="shared" si="298"/>
        <v>23</v>
      </c>
      <c r="FF367" s="121">
        <f t="shared" si="300"/>
        <v>1027.8601493480796</v>
      </c>
      <c r="FG367" s="121">
        <f t="shared" si="290"/>
        <v>82</v>
      </c>
      <c r="FH367" s="121">
        <f t="shared" si="301"/>
        <v>15</v>
      </c>
      <c r="FI367" s="121">
        <f t="shared" si="252"/>
        <v>41</v>
      </c>
      <c r="FJ367" s="144">
        <f t="shared" si="291"/>
        <v>0.2638888888888889</v>
      </c>
      <c r="FK367" s="132">
        <f t="shared" si="292"/>
        <v>0</v>
      </c>
      <c r="FL367" s="115">
        <f t="shared" si="292"/>
        <v>0</v>
      </c>
      <c r="FM367" s="115">
        <f t="shared" si="292"/>
        <v>-2</v>
      </c>
      <c r="FN367" s="115">
        <f t="shared" si="273"/>
        <v>0</v>
      </c>
      <c r="FO367" s="115">
        <f t="shared" si="257"/>
        <v>0</v>
      </c>
      <c r="FP367" s="115">
        <f t="shared" si="257"/>
        <v>0</v>
      </c>
      <c r="FQ367" s="149">
        <f t="shared" si="257"/>
        <v>-7.9419999999998936E-2</v>
      </c>
      <c r="FR367" s="142">
        <f t="shared" si="256"/>
        <v>0</v>
      </c>
      <c r="FS367" s="119">
        <f t="shared" si="256"/>
        <v>1</v>
      </c>
      <c r="FT367" s="121">
        <f t="shared" si="256"/>
        <v>7</v>
      </c>
      <c r="FU367" s="121">
        <f t="shared" si="293"/>
        <v>-2</v>
      </c>
      <c r="FV367" s="121">
        <f t="shared" si="293"/>
        <v>7.4</v>
      </c>
      <c r="FW367" s="121">
        <f t="shared" si="294"/>
        <v>-40.491460428864002</v>
      </c>
      <c r="FX367" s="121">
        <f t="shared" si="295"/>
        <v>0</v>
      </c>
      <c r="FY367" s="144">
        <f t="shared" si="295"/>
        <v>0</v>
      </c>
      <c r="FZ367" s="124"/>
      <c r="GA367" s="151"/>
      <c r="GB367" s="145" t="s">
        <v>204</v>
      </c>
      <c r="GC367" s="151" t="s">
        <v>219</v>
      </c>
      <c r="GD367" s="997" t="s">
        <v>220</v>
      </c>
      <c r="GE367" s="1004" t="s">
        <v>204</v>
      </c>
      <c r="GF367" s="1004">
        <v>1.4872439999999996</v>
      </c>
      <c r="GG367" s="1004"/>
      <c r="GH367" s="1004">
        <v>0</v>
      </c>
      <c r="GI367" s="145"/>
      <c r="GJ367" s="996">
        <v>0</v>
      </c>
      <c r="GK367" s="145"/>
      <c r="GL367" s="996">
        <v>0</v>
      </c>
      <c r="GM367" s="1005" t="s">
        <v>240</v>
      </c>
      <c r="GN367" s="996">
        <v>-1.6585236800000009</v>
      </c>
      <c r="GO367" s="1006"/>
      <c r="GP367" s="996">
        <v>0</v>
      </c>
      <c r="GQ367" s="1006" t="s">
        <v>203</v>
      </c>
      <c r="GR367" s="996">
        <v>1.2956996800000011</v>
      </c>
      <c r="GS367" s="1006"/>
      <c r="GT367" s="996">
        <v>0</v>
      </c>
      <c r="GU367" s="1006" t="s">
        <v>203</v>
      </c>
      <c r="GV367" s="996">
        <v>-1.5282080000000002</v>
      </c>
      <c r="GW367" s="1006"/>
      <c r="GX367" s="1036">
        <v>-1.0032000000000707E-2</v>
      </c>
      <c r="GY367" s="1006"/>
      <c r="GZ367" s="996">
        <v>-0.71356779999999986</v>
      </c>
      <c r="HA367" s="1006"/>
      <c r="HB367" s="996">
        <v>0</v>
      </c>
      <c r="HC367" s="1006" t="s">
        <v>199</v>
      </c>
      <c r="HD367" s="996">
        <v>-2.5916000000000015</v>
      </c>
      <c r="HE367" s="1006"/>
      <c r="HF367" s="996">
        <v>0</v>
      </c>
      <c r="HG367" s="1006" t="s">
        <v>223</v>
      </c>
      <c r="HH367" s="996">
        <v>-2.2571999999999992</v>
      </c>
      <c r="HI367" s="1006"/>
      <c r="HJ367" s="996">
        <v>0</v>
      </c>
      <c r="HK367" s="1006"/>
      <c r="HL367" s="996">
        <v>0.43472000000000044</v>
      </c>
      <c r="HM367" s="1006"/>
      <c r="HN367" s="996">
        <v>-0.84436</v>
      </c>
      <c r="HO367" s="1006"/>
      <c r="HP367" s="996">
        <v>0</v>
      </c>
      <c r="HQ367" s="1006" t="s">
        <v>199</v>
      </c>
      <c r="HR367" s="996">
        <v>4.9240400000000006</v>
      </c>
      <c r="HS367" s="1006" t="s">
        <v>643</v>
      </c>
      <c r="HT367" s="996">
        <v>0</v>
      </c>
      <c r="HU367" s="1006" t="s">
        <v>199</v>
      </c>
      <c r="HV367" s="996">
        <v>-4.2635999999999994</v>
      </c>
      <c r="HW367" s="1006"/>
      <c r="HX367" s="996">
        <v>0</v>
      </c>
      <c r="HY367" s="1006"/>
      <c r="HZ367" s="996">
        <v>0</v>
      </c>
      <c r="IA367" s="1006"/>
      <c r="IB367" s="996">
        <v>0</v>
      </c>
      <c r="IC367" s="1006"/>
      <c r="ID367" s="996">
        <v>0</v>
      </c>
      <c r="IE367" s="1006"/>
      <c r="IF367" s="996">
        <v>0</v>
      </c>
      <c r="IG367" s="1006"/>
      <c r="IH367" s="996">
        <v>0</v>
      </c>
      <c r="II367" s="1006"/>
      <c r="IJ367" s="996">
        <v>0</v>
      </c>
      <c r="IK367" s="1006"/>
      <c r="IL367" s="996">
        <v>0</v>
      </c>
      <c r="IM367" s="1006" t="s">
        <v>204</v>
      </c>
      <c r="IN367" s="996">
        <v>3.7172572799999992</v>
      </c>
      <c r="IO367" s="1006" t="s">
        <v>199</v>
      </c>
      <c r="IP367" s="996">
        <v>4.2632655999999987</v>
      </c>
      <c r="IQ367" s="1006" t="s">
        <v>199</v>
      </c>
      <c r="IR367" s="996">
        <v>-2.3778180800000004</v>
      </c>
      <c r="IS367" s="1006"/>
      <c r="IT367" s="996">
        <v>0</v>
      </c>
      <c r="IU367" s="1006" t="s">
        <v>223</v>
      </c>
      <c r="IV367" s="996">
        <v>-5.2894566867999995</v>
      </c>
      <c r="IW367" s="1006" t="s">
        <v>204</v>
      </c>
      <c r="IX367" s="996">
        <v>2.7822090868</v>
      </c>
      <c r="IY367" s="1006"/>
      <c r="IZ367" s="996">
        <v>0</v>
      </c>
      <c r="JA367" s="1006"/>
      <c r="JB367" s="996">
        <v>0</v>
      </c>
      <c r="JC367" s="1006" t="s">
        <v>204</v>
      </c>
      <c r="JD367" s="996">
        <v>-2.0893730000000001</v>
      </c>
      <c r="JE367" s="1006"/>
      <c r="JF367" s="996">
        <v>0</v>
      </c>
      <c r="JG367" s="1006"/>
      <c r="JH367" s="996">
        <v>0</v>
      </c>
      <c r="JI367" s="1006" t="s">
        <v>203</v>
      </c>
      <c r="JJ367" s="996">
        <v>-2.0893730000000001</v>
      </c>
      <c r="JK367" s="1007"/>
      <c r="JL367" s="1007">
        <v>0</v>
      </c>
      <c r="JM367" s="1007" t="s">
        <v>203</v>
      </c>
      <c r="JN367" s="1007">
        <v>-12.578025460000001</v>
      </c>
      <c r="JO367" s="1008" t="s">
        <v>25</v>
      </c>
      <c r="JP367" s="1007">
        <v>24.278514260000001</v>
      </c>
      <c r="JQ367" s="1008"/>
      <c r="JR367" s="1007"/>
      <c r="JS367" s="1008"/>
      <c r="JT367" s="1007"/>
      <c r="JU367" s="1008"/>
      <c r="JV367" s="1007"/>
      <c r="JW367" s="1008"/>
      <c r="JX367" s="1007"/>
      <c r="JY367" s="1008"/>
      <c r="JZ367" s="1007"/>
      <c r="KA367" s="1008"/>
      <c r="KB367" s="1007"/>
      <c r="KC367" s="1008"/>
      <c r="KD367" s="1007"/>
      <c r="KE367" s="1008"/>
      <c r="KF367" s="1007"/>
      <c r="KG367" s="1008"/>
      <c r="KH367" s="1007"/>
      <c r="KI367" s="1008"/>
      <c r="KJ367" s="1007"/>
      <c r="KK367" s="1008"/>
      <c r="KL367" s="1007"/>
      <c r="KM367" s="1008"/>
      <c r="KN367" s="1007"/>
      <c r="KO367" s="1008"/>
      <c r="KP367" s="1007"/>
      <c r="KQ367" s="1008"/>
      <c r="KR367" s="1007"/>
      <c r="KS367" s="1008"/>
      <c r="KT367" s="1007"/>
      <c r="KU367" s="1008"/>
      <c r="KV367" s="1007"/>
      <c r="KW367" s="1008"/>
      <c r="KX367" s="1007"/>
      <c r="KY367" s="1008"/>
      <c r="KZ367" s="1007"/>
      <c r="LA367" s="1008"/>
      <c r="LB367" s="1007"/>
      <c r="LC367" s="1008"/>
      <c r="LD367" s="1007"/>
      <c r="LE367" s="1008"/>
      <c r="LF367" s="1007"/>
      <c r="LG367" s="1008"/>
      <c r="LH367" s="1007"/>
      <c r="LI367" s="1008"/>
      <c r="LJ367" s="1007"/>
      <c r="LK367" s="1008"/>
      <c r="LL367" s="1007"/>
      <c r="LM367" s="1008"/>
      <c r="LN367" s="1007"/>
      <c r="LO367" s="1008"/>
      <c r="LP367" s="1007"/>
      <c r="LQ367" s="1008"/>
      <c r="LR367" s="1007"/>
      <c r="LS367" s="1008"/>
      <c r="LT367" s="1007"/>
      <c r="LU367" s="1008"/>
      <c r="LV367" s="1007"/>
      <c r="LW367" s="1008"/>
      <c r="LX367" s="1007"/>
      <c r="LY367" s="1009"/>
      <c r="LZ367" s="1010"/>
      <c r="MA367" s="1011"/>
      <c r="MB367" s="1012"/>
      <c r="MC367" s="995"/>
      <c r="MD367" s="996"/>
      <c r="ME367" s="997" t="s">
        <v>220</v>
      </c>
      <c r="MF367" s="997"/>
      <c r="MG367" s="998"/>
      <c r="NR367" s="1000"/>
      <c r="NS367" s="1000"/>
      <c r="NT367" s="1001"/>
      <c r="NU367" s="1000"/>
      <c r="NV367" s="1001"/>
      <c r="NX367" s="1002"/>
      <c r="NZ367" s="1001"/>
      <c r="OA367" s="1001"/>
      <c r="OC367" s="1003"/>
      <c r="OD367" s="1003"/>
      <c r="OE367" s="1001"/>
      <c r="OF367" s="1003"/>
      <c r="OG367" s="1003"/>
      <c r="QX367" s="1000">
        <f>CN367-CA367</f>
        <v>23</v>
      </c>
      <c r="ASU367" s="999" t="s">
        <v>208</v>
      </c>
    </row>
    <row r="368" spans="1:466 1191:1191" ht="21" customHeight="1" x14ac:dyDescent="0.25">
      <c r="A368" s="982">
        <f t="shared" si="274"/>
        <v>1404</v>
      </c>
      <c r="B368" s="124">
        <f>SUBTOTAL(103,$J$29:J368)</f>
        <v>340</v>
      </c>
      <c r="C368" s="126">
        <v>45068</v>
      </c>
      <c r="D368" s="124" t="s">
        <v>176</v>
      </c>
      <c r="E368" s="127" t="s">
        <v>177</v>
      </c>
      <c r="F368" s="128" t="s">
        <v>177</v>
      </c>
      <c r="G368" s="127" t="s">
        <v>178</v>
      </c>
      <c r="H368" s="127" t="s">
        <v>408</v>
      </c>
      <c r="I368" s="127" t="s">
        <v>634</v>
      </c>
      <c r="J368" s="152">
        <v>1404</v>
      </c>
      <c r="K368" s="127" t="s">
        <v>634</v>
      </c>
      <c r="L368" s="130">
        <v>42927</v>
      </c>
      <c r="M368" s="127" t="s">
        <v>230</v>
      </c>
      <c r="N368" s="127" t="s">
        <v>231</v>
      </c>
      <c r="O368" s="127" t="s">
        <v>185</v>
      </c>
      <c r="P368" s="127" t="s">
        <v>186</v>
      </c>
      <c r="Q368" s="85" t="str">
        <f t="shared" si="297"/>
        <v/>
      </c>
      <c r="R368" s="130"/>
      <c r="S368" s="128"/>
      <c r="T368" s="131"/>
      <c r="U368" s="132">
        <v>203</v>
      </c>
      <c r="V368" s="121">
        <v>218.2</v>
      </c>
      <c r="W368" s="116">
        <v>0.98</v>
      </c>
      <c r="X368" s="116">
        <v>1.66</v>
      </c>
      <c r="Y368" s="116">
        <f t="shared" si="299"/>
        <v>0.98120581919949812</v>
      </c>
      <c r="Z368" s="133">
        <v>1.454</v>
      </c>
      <c r="AA368" s="133">
        <v>0.83599999999999997</v>
      </c>
      <c r="AB368" s="133">
        <v>0.72</v>
      </c>
      <c r="AC368" s="121">
        <v>34.299999999999997</v>
      </c>
      <c r="AD368" s="134">
        <v>1.17</v>
      </c>
      <c r="AE368" s="124">
        <v>177.8</v>
      </c>
      <c r="AF368" s="128">
        <v>9.19</v>
      </c>
      <c r="AG368" s="128">
        <v>2155</v>
      </c>
      <c r="AH368" s="127">
        <v>2760</v>
      </c>
      <c r="AI368" s="127">
        <v>2760</v>
      </c>
      <c r="AJ368" s="135"/>
      <c r="AK368" s="128"/>
      <c r="AL368" s="131"/>
      <c r="AM368" s="124" t="s">
        <v>232</v>
      </c>
      <c r="AN368" s="136" t="s">
        <v>1480</v>
      </c>
      <c r="AO368" s="137">
        <v>19.5</v>
      </c>
      <c r="AP368" s="128">
        <v>2015</v>
      </c>
      <c r="AQ368" s="128">
        <v>171.31500000000005</v>
      </c>
      <c r="AR368" s="128"/>
      <c r="AS368" s="128"/>
      <c r="AT368" s="122"/>
      <c r="AU368" s="124" t="s">
        <v>189</v>
      </c>
      <c r="AV368" s="115">
        <f>VLOOKUP(J368,'[63]ТР нефть'!$J$28:$BP$638,39,0)</f>
        <v>479.99998505899998</v>
      </c>
      <c r="AW368" s="115" t="str">
        <f>VLOOKUP(J368,'[63]ТР нефть'!$J$28:$BP$638,40,0)</f>
        <v>ГП</v>
      </c>
      <c r="AX368" s="115">
        <f>VLOOKUP(J368,'[63]ТР нефть'!$J$28:$BP$638,41,0)</f>
        <v>999.99998437500005</v>
      </c>
      <c r="AY368" s="115" t="str">
        <f>VLOOKUP(J368,'[63]ТР нефть'!$J$28:$BP$638,42,0)</f>
        <v>ГК78 1/8</v>
      </c>
      <c r="AZ368" s="115">
        <f>VLOOKUP(J368,'[63]ТР нефть'!$J$28:$BP$638,43,0)</f>
        <v>1349.999978906</v>
      </c>
      <c r="BA368" s="115" t="str">
        <f>VLOOKUP(J368,'[63]ТР нефть'!$J$28:$BP$638,44,0)</f>
        <v>ГК78 1/8</v>
      </c>
      <c r="BB368" s="115">
        <f>VLOOKUP(J368,'[63]ТР нефть'!$J$28:$BP$638,45,0)</f>
        <v>1590.000064453</v>
      </c>
      <c r="BC368" s="115" t="str">
        <f>VLOOKUP(J368,'[63]ТР нефть'!$J$28:$BP$638,46,0)</f>
        <v>ГК78 1/8</v>
      </c>
      <c r="BD368" s="115">
        <f>VLOOKUP(J368,'[63]ТР нефть'!$J$28:$BP$638,47,0)</f>
        <v>1830.0000011720001</v>
      </c>
      <c r="BE368" s="115" t="str">
        <f>VLOOKUP(J368,'[63]ТР нефть'!$J$28:$BP$638,48,0)</f>
        <v>ЦКсОК 5/16</v>
      </c>
      <c r="BF368" s="115" t="str">
        <f>VLOOKUP(J368,'[63]ТР нефть'!$J$28:$BP$638,49,0)</f>
        <v>-</v>
      </c>
      <c r="BG368" s="115" t="str">
        <f>VLOOKUP(J368,'[63]ТР нефть'!$J$28:$BP$638,50,0)</f>
        <v>-</v>
      </c>
      <c r="BH368" s="115">
        <f>VLOOKUP(J368,'[63]ТР нефть'!$J$28:$BP$638,51,0)</f>
        <v>1840</v>
      </c>
      <c r="BI368" s="115" t="str">
        <f>VLOOKUP(J368,'[63]ТР нефть'!$J$28:$BP$638,52,0)</f>
        <v>закрыт</v>
      </c>
      <c r="BJ368" s="115" t="str">
        <f>IF(IFERROR(VLOOKUP(J368,'[63]ТР нефть'!$J$28:$BP$638,53,0),"-")=0,"-",IFERROR(VLOOKUP(J368,'[63]ТР нефть'!$J$28:$BP$638,53,0),"-"))</f>
        <v>-</v>
      </c>
      <c r="BK368" s="138" t="str">
        <f>IF(IFERROR(VLOOKUP(J368,'[63]ТР нефть'!$J$28:$BP$638,54,0),"-")=0,"-",IFERROR(VLOOKUP(J368,'[63]ТР нефть'!$J$28:$BP$638,54,0),"-"))</f>
        <v>-</v>
      </c>
      <c r="BL368" s="138" t="str">
        <f>IF(IFERROR(VLOOKUP(J368,'[63]ТР нефть'!$J$28:$BP$638,55,0),"-")=0,"-",IFERROR(VLOOKUP(J368,'[63]ТР нефть'!$J$28:$BP$638,55,0),"-"))</f>
        <v>-</v>
      </c>
      <c r="BM368" s="138" t="str">
        <f>IF(IFERROR(VLOOKUP(J368,'[63]ТР нефть'!$J$28:$BP$638,56,0),"-")=0,"-",IFERROR(VLOOKUP(J368,'[63]ТР нефть'!$J$28:$BP$638,56,0),"-"))</f>
        <v>-</v>
      </c>
      <c r="BN368" s="138" t="str">
        <f>IF(IFERROR(VLOOKUP(J368,'[63]ТР нефть'!$J$28:$BP$638,57,0),"-")=0,"-",IFERROR(VLOOKUP(J368,'[63]ТР нефть'!$J$28:$BP$638,57,0),"-"))</f>
        <v>-</v>
      </c>
      <c r="BO368" s="115" t="str">
        <f>IF(IFERROR(VLOOKUP(J368,'[63]ТР нефть'!$J$28:$BP$638,58,0),"-")=0,"-",IFERROR(VLOOKUP(J368,'[63]ТР нефть'!$J$28:$BP$638,58,0),"-"))</f>
        <v>-</v>
      </c>
      <c r="BP368" s="115" t="str">
        <f>IF(IFERROR(VLOOKUP(J368,'[63]ТР нефть'!$J$28:$BP$638,59,0),"-")=0,"-",IFERROR(VLOOKUP(J368,'[63]ТР нефть'!$J$28:$BP$638,59,0),"-"))</f>
        <v>-</v>
      </c>
      <c r="BQ368" s="138">
        <v>2175</v>
      </c>
      <c r="BR368" s="128">
        <v>1893.08</v>
      </c>
      <c r="BS368" s="115">
        <f t="shared" si="258"/>
        <v>281.92000000000007</v>
      </c>
      <c r="BT368" s="128">
        <v>73</v>
      </c>
      <c r="BU368" s="128">
        <v>5.5</v>
      </c>
      <c r="BV368" s="127">
        <v>18</v>
      </c>
      <c r="BW368" s="127" t="s">
        <v>217</v>
      </c>
      <c r="BX368" s="127" t="s">
        <v>195</v>
      </c>
      <c r="BY368" s="139">
        <v>24</v>
      </c>
      <c r="BZ368" s="139">
        <v>0</v>
      </c>
      <c r="CA368" s="138">
        <v>22</v>
      </c>
      <c r="CB368" s="138">
        <v>34</v>
      </c>
      <c r="CC368" s="138">
        <v>21</v>
      </c>
      <c r="CD368" s="135">
        <v>45017</v>
      </c>
      <c r="CE368" s="138">
        <v>67</v>
      </c>
      <c r="CF368" s="138">
        <v>64</v>
      </c>
      <c r="CG368" s="138" t="str">
        <f t="shared" si="265"/>
        <v>В работе</v>
      </c>
      <c r="CH368" s="138" t="s">
        <v>272</v>
      </c>
      <c r="CI368" s="127">
        <v>6</v>
      </c>
      <c r="CJ368" s="138"/>
      <c r="CK368" s="138"/>
      <c r="CL368" s="99"/>
      <c r="CM368" s="99"/>
      <c r="CN368" s="140">
        <v>44</v>
      </c>
      <c r="CO368" s="159">
        <f t="shared" si="276"/>
        <v>6.2511899999999994</v>
      </c>
      <c r="CP368" s="160">
        <v>7.5</v>
      </c>
      <c r="CQ368" s="161">
        <v>0.3</v>
      </c>
      <c r="CR368" s="173">
        <v>18</v>
      </c>
      <c r="CS368" s="138">
        <v>10.8</v>
      </c>
      <c r="CT368" s="138"/>
      <c r="CU368" s="138">
        <f t="shared" si="277"/>
        <v>7.1999999999999993</v>
      </c>
      <c r="CV368" s="115">
        <f t="shared" si="278"/>
        <v>1151.7807009545381</v>
      </c>
      <c r="CW368" s="115">
        <f t="shared" si="279"/>
        <v>1720.499996415625</v>
      </c>
      <c r="CX368" s="133">
        <f t="shared" si="280"/>
        <v>0.32608695652173914</v>
      </c>
      <c r="CY368" s="116"/>
      <c r="CZ368" s="131"/>
      <c r="DA368" s="145" t="str">
        <f t="shared" si="281"/>
        <v>Газлифт</v>
      </c>
      <c r="DB368" s="146">
        <f t="shared" si="282"/>
        <v>6.2511899999999994</v>
      </c>
      <c r="DC368" s="142">
        <v>7.5</v>
      </c>
      <c r="DD368" s="119">
        <v>0.3</v>
      </c>
      <c r="DE368" s="115">
        <v>16</v>
      </c>
      <c r="DF368" s="115">
        <v>11</v>
      </c>
      <c r="DG368" s="115">
        <f t="shared" si="285"/>
        <v>1151.7807009545381</v>
      </c>
      <c r="DH368" s="115">
        <f t="shared" si="286"/>
        <v>44</v>
      </c>
      <c r="DI368" s="147"/>
      <c r="DJ368" s="111">
        <v>43629</v>
      </c>
      <c r="DK368" s="112">
        <v>42927.083333333336</v>
      </c>
      <c r="DL368" s="113">
        <f t="shared" ca="1" si="266"/>
        <v>2176.9166666666642</v>
      </c>
      <c r="DM368" s="114"/>
      <c r="DN368" s="114"/>
      <c r="DO368" s="114"/>
      <c r="DP368" s="114"/>
      <c r="DQ368" s="112">
        <v>43634</v>
      </c>
      <c r="DR368" s="114" t="s">
        <v>198</v>
      </c>
      <c r="DS368" s="114"/>
      <c r="DT368" s="115">
        <v>52</v>
      </c>
      <c r="DU368" s="116">
        <f t="shared" si="267"/>
        <v>0.5</v>
      </c>
      <c r="DV368" s="117">
        <f t="shared" si="268"/>
        <v>6.2511899999999994</v>
      </c>
      <c r="DW368" s="118">
        <f t="shared" si="269"/>
        <v>7.5</v>
      </c>
      <c r="DX368" s="119">
        <f t="shared" si="287"/>
        <v>0.3</v>
      </c>
      <c r="DY368" s="115">
        <f t="shared" si="270"/>
        <v>7.1999999999999984</v>
      </c>
      <c r="DZ368" s="117">
        <f t="shared" si="271"/>
        <v>0</v>
      </c>
      <c r="EA368" s="120">
        <f t="shared" si="271"/>
        <v>0</v>
      </c>
      <c r="EB368" s="119">
        <f t="shared" si="264"/>
        <v>0</v>
      </c>
      <c r="EC368" s="121">
        <f t="shared" si="272"/>
        <v>0</v>
      </c>
      <c r="ED368" s="122"/>
      <c r="EE368" s="145">
        <v>18</v>
      </c>
      <c r="EF368" s="115">
        <v>19</v>
      </c>
      <c r="EG368" s="115">
        <v>34</v>
      </c>
      <c r="EH368" s="115">
        <v>18</v>
      </c>
      <c r="EI368" s="128" t="s">
        <v>195</v>
      </c>
      <c r="EJ368" s="121">
        <v>24</v>
      </c>
      <c r="EK368" s="121">
        <v>0</v>
      </c>
      <c r="EL368" s="162">
        <v>6.2511899999999994</v>
      </c>
      <c r="EM368" s="142">
        <v>7.5</v>
      </c>
      <c r="EN368" s="119">
        <v>0.3</v>
      </c>
      <c r="EO368" s="115">
        <v>16</v>
      </c>
      <c r="EP368" s="115">
        <v>799.84770899620719</v>
      </c>
      <c r="EQ368" s="115">
        <v>78</v>
      </c>
      <c r="ER368" s="115">
        <v>11</v>
      </c>
      <c r="ES368" s="115">
        <v>44</v>
      </c>
      <c r="ET368" s="150">
        <v>0.32608695652173914</v>
      </c>
      <c r="EU368" s="145">
        <f t="shared" si="288"/>
        <v>18</v>
      </c>
      <c r="EV368" s="115">
        <f t="shared" si="289"/>
        <v>22</v>
      </c>
      <c r="EW368" s="115">
        <f t="shared" si="289"/>
        <v>34</v>
      </c>
      <c r="EX368" s="115">
        <f t="shared" si="289"/>
        <v>21</v>
      </c>
      <c r="EY368" s="115" t="str">
        <f t="shared" si="253"/>
        <v>Постоянный</v>
      </c>
      <c r="EZ368" s="115">
        <f t="shared" si="253"/>
        <v>24</v>
      </c>
      <c r="FA368" s="115">
        <f t="shared" si="253"/>
        <v>0</v>
      </c>
      <c r="FB368" s="149">
        <f t="shared" si="298"/>
        <v>6.2511899999999994</v>
      </c>
      <c r="FC368" s="142">
        <f t="shared" si="298"/>
        <v>7.5</v>
      </c>
      <c r="FD368" s="119">
        <f t="shared" si="298"/>
        <v>0.3</v>
      </c>
      <c r="FE368" s="121">
        <f t="shared" si="298"/>
        <v>18</v>
      </c>
      <c r="FF368" s="121">
        <f t="shared" si="300"/>
        <v>1151.7807009545381</v>
      </c>
      <c r="FG368" s="121">
        <f t="shared" si="290"/>
        <v>64</v>
      </c>
      <c r="FH368" s="121">
        <f t="shared" si="301"/>
        <v>10.8</v>
      </c>
      <c r="FI368" s="121">
        <f t="shared" si="252"/>
        <v>44</v>
      </c>
      <c r="FJ368" s="144">
        <f t="shared" si="291"/>
        <v>0.32608695652173914</v>
      </c>
      <c r="FK368" s="132">
        <f t="shared" si="292"/>
        <v>0</v>
      </c>
      <c r="FL368" s="115">
        <f t="shared" si="292"/>
        <v>3</v>
      </c>
      <c r="FM368" s="115">
        <f t="shared" si="292"/>
        <v>0</v>
      </c>
      <c r="FN368" s="115">
        <f t="shared" si="273"/>
        <v>3</v>
      </c>
      <c r="FO368" s="115">
        <f t="shared" si="257"/>
        <v>0</v>
      </c>
      <c r="FP368" s="115">
        <f t="shared" si="257"/>
        <v>0</v>
      </c>
      <c r="FQ368" s="149">
        <f t="shared" si="257"/>
        <v>0</v>
      </c>
      <c r="FR368" s="142">
        <f t="shared" si="256"/>
        <v>0</v>
      </c>
      <c r="FS368" s="119">
        <f t="shared" si="256"/>
        <v>0</v>
      </c>
      <c r="FT368" s="121">
        <f t="shared" si="256"/>
        <v>2</v>
      </c>
      <c r="FU368" s="121">
        <f t="shared" si="293"/>
        <v>-14</v>
      </c>
      <c r="FV368" s="121">
        <f t="shared" si="293"/>
        <v>-0.19999999999999929</v>
      </c>
      <c r="FW368" s="121">
        <f t="shared" si="294"/>
        <v>351.93299195833094</v>
      </c>
      <c r="FX368" s="121">
        <f>CN368-ES368</f>
        <v>0</v>
      </c>
      <c r="FY368" s="144">
        <f t="shared" si="295"/>
        <v>0</v>
      </c>
      <c r="FZ368" s="145"/>
      <c r="GA368" s="151" t="s">
        <v>1481</v>
      </c>
      <c r="GB368" s="145"/>
      <c r="GC368" s="151" t="s">
        <v>1482</v>
      </c>
      <c r="GD368" s="997" t="s">
        <v>416</v>
      </c>
      <c r="GE368" s="1004"/>
      <c r="GF368" s="1004">
        <v>0</v>
      </c>
      <c r="GG368" s="1004"/>
      <c r="GH368" s="1004">
        <v>0</v>
      </c>
      <c r="GI368" s="145"/>
      <c r="GJ368" s="996">
        <v>0</v>
      </c>
      <c r="GK368" s="145"/>
      <c r="GL368" s="996">
        <v>0</v>
      </c>
      <c r="GM368" s="1005"/>
      <c r="GN368" s="996">
        <v>0</v>
      </c>
      <c r="GO368" s="1006"/>
      <c r="GP368" s="996">
        <v>-0.31141000000000041</v>
      </c>
      <c r="GQ368" s="1006"/>
      <c r="GR368" s="996">
        <v>0</v>
      </c>
      <c r="GS368" s="1006"/>
      <c r="GT368" s="996">
        <v>-0.19228000000000023</v>
      </c>
      <c r="GU368" s="1006" t="s">
        <v>199</v>
      </c>
      <c r="GV368" s="996">
        <v>2.5748800000000003</v>
      </c>
      <c r="GW368" s="1006"/>
      <c r="GX368" s="1035">
        <v>-0.77747999999999973</v>
      </c>
      <c r="GY368" s="1006"/>
      <c r="GZ368" s="996">
        <v>-0.5601200000000004</v>
      </c>
      <c r="HA368" s="1006"/>
      <c r="HB368" s="996">
        <v>-0.5684800000000001</v>
      </c>
      <c r="HC368" s="1006" t="s">
        <v>222</v>
      </c>
      <c r="HD368" s="996">
        <v>-2.1485199999999987</v>
      </c>
      <c r="HE368" s="1006" t="s">
        <v>199</v>
      </c>
      <c r="HF368" s="996">
        <v>1.7990719999999989</v>
      </c>
      <c r="HG368" s="1006" t="s">
        <v>223</v>
      </c>
      <c r="HH368" s="996">
        <v>-1.6891580640000008</v>
      </c>
      <c r="HI368" s="1006"/>
      <c r="HJ368" s="996">
        <v>3.2206064000000367E-2</v>
      </c>
      <c r="HK368" s="1006"/>
      <c r="HL368" s="996">
        <v>0</v>
      </c>
      <c r="HM368" s="1006" t="s">
        <v>199</v>
      </c>
      <c r="HN368" s="996">
        <v>2.4912800000000006</v>
      </c>
      <c r="HO368" s="1006" t="s">
        <v>199</v>
      </c>
      <c r="HP368" s="996">
        <v>-3.2603999999999997</v>
      </c>
      <c r="HQ368" s="1006"/>
      <c r="HR368" s="996">
        <v>0.70809199999999883</v>
      </c>
      <c r="HS368" s="1006"/>
      <c r="HT368" s="996">
        <v>0.26551360000000113</v>
      </c>
      <c r="HU368" s="1006"/>
      <c r="HV368" s="996">
        <v>0.53119439999999862</v>
      </c>
      <c r="HW368" s="1006"/>
      <c r="HX368" s="996">
        <v>0</v>
      </c>
      <c r="HY368" s="1006"/>
      <c r="HZ368" s="996">
        <v>0.41800000000000015</v>
      </c>
      <c r="IA368" s="1006" t="s">
        <v>223</v>
      </c>
      <c r="IB368" s="996">
        <v>-2.9605602399999977</v>
      </c>
      <c r="IC368" s="1006" t="s">
        <v>204</v>
      </c>
      <c r="ID368" s="996">
        <v>2.7933602399999984</v>
      </c>
      <c r="IE368" s="1006"/>
      <c r="IF368" s="996">
        <v>0</v>
      </c>
      <c r="IG368" s="1006"/>
      <c r="IH368" s="996">
        <v>0</v>
      </c>
      <c r="II368" s="1006"/>
      <c r="IJ368" s="996">
        <v>0</v>
      </c>
      <c r="IK368" s="1006" t="s">
        <v>204</v>
      </c>
      <c r="IL368" s="996">
        <v>-5.324901999999998</v>
      </c>
      <c r="IM368" s="1006" t="s">
        <v>203</v>
      </c>
      <c r="IN368" s="996">
        <v>-2.0151780000000024</v>
      </c>
      <c r="IO368" s="1006" t="s">
        <v>203</v>
      </c>
      <c r="IP368" s="996">
        <v>7.2025580000000007</v>
      </c>
      <c r="IQ368" s="1006"/>
      <c r="IR368" s="996">
        <v>0.973522</v>
      </c>
      <c r="IS368" s="1006"/>
      <c r="IT368" s="996">
        <v>0</v>
      </c>
      <c r="IU368" s="1006"/>
      <c r="IV368" s="996">
        <v>0</v>
      </c>
      <c r="IW368" s="1006"/>
      <c r="IX368" s="996">
        <v>0</v>
      </c>
      <c r="IY368" s="1006"/>
      <c r="IZ368" s="996">
        <v>-0.62699999999999978</v>
      </c>
      <c r="JA368" s="1006" t="s">
        <v>199</v>
      </c>
      <c r="JB368" s="996">
        <v>2.7190899999999987</v>
      </c>
      <c r="JC368" s="1006" t="s">
        <v>199</v>
      </c>
      <c r="JD368" s="996">
        <v>-2.5067459999999997</v>
      </c>
      <c r="JE368" s="1006" t="s">
        <v>199</v>
      </c>
      <c r="JF368" s="996">
        <v>1.9594397900000002</v>
      </c>
      <c r="JG368" s="1006" t="s">
        <v>199</v>
      </c>
      <c r="JH368" s="996">
        <v>1.84245831</v>
      </c>
      <c r="JI368" s="1006"/>
      <c r="JJ368" s="996">
        <v>0</v>
      </c>
      <c r="JK368" s="1007"/>
      <c r="JL368" s="1007">
        <v>0</v>
      </c>
      <c r="JM368" s="1007" t="s">
        <v>199</v>
      </c>
      <c r="JN368" s="1007">
        <v>-3.4676652999999997</v>
      </c>
      <c r="JO368" s="1008" t="s">
        <v>199</v>
      </c>
      <c r="JP368" s="1007">
        <v>-0.82722618000000026</v>
      </c>
      <c r="JQ368" s="1008">
        <v>0</v>
      </c>
      <c r="JR368" s="1007">
        <v>-3.5906199999997668E-3</v>
      </c>
      <c r="JS368" s="1008" t="s">
        <v>199</v>
      </c>
      <c r="JT368" s="1007">
        <v>-2.5999599999999985</v>
      </c>
      <c r="JU368" s="1008"/>
      <c r="JV368" s="1007">
        <v>0</v>
      </c>
      <c r="JW368" s="1008" t="s">
        <v>197</v>
      </c>
      <c r="JX368" s="1007">
        <v>0</v>
      </c>
      <c r="JY368" s="1008"/>
      <c r="JZ368" s="1007">
        <v>0</v>
      </c>
      <c r="KA368" s="1008"/>
      <c r="KB368" s="1007">
        <v>0</v>
      </c>
      <c r="KC368" s="1008"/>
      <c r="KD368" s="1007">
        <v>0</v>
      </c>
      <c r="KE368" s="1008"/>
      <c r="KF368" s="1007">
        <v>0</v>
      </c>
      <c r="KG368" s="1008"/>
      <c r="KH368" s="1007">
        <v>0</v>
      </c>
      <c r="KI368" s="1008"/>
      <c r="KJ368" s="1007">
        <v>0</v>
      </c>
      <c r="KK368" s="1008"/>
      <c r="KL368" s="1007">
        <v>0</v>
      </c>
      <c r="KM368" s="1008" t="s">
        <v>240</v>
      </c>
      <c r="KN368" s="1007">
        <v>-5.6680800000000016</v>
      </c>
      <c r="KO368" s="1008"/>
      <c r="KP368" s="1007">
        <v>0</v>
      </c>
      <c r="KQ368" s="1008">
        <v>0</v>
      </c>
      <c r="KR368" s="1007">
        <v>0</v>
      </c>
      <c r="KS368" s="1008" t="s">
        <v>207</v>
      </c>
      <c r="KT368" s="1007">
        <v>-3.7787199999999981</v>
      </c>
      <c r="KU368" s="1008">
        <v>0</v>
      </c>
      <c r="KV368" s="1007">
        <v>0</v>
      </c>
      <c r="KW368" s="1008">
        <v>0</v>
      </c>
      <c r="KX368" s="1007">
        <v>0</v>
      </c>
      <c r="KY368" s="1008">
        <v>0</v>
      </c>
      <c r="KZ368" s="1007">
        <v>0</v>
      </c>
      <c r="LA368" s="1008">
        <v>0</v>
      </c>
      <c r="LB368" s="1007">
        <v>0</v>
      </c>
      <c r="LC368" s="1008">
        <v>0</v>
      </c>
      <c r="LD368" s="1007">
        <v>0</v>
      </c>
      <c r="LE368" s="1008" t="s">
        <v>204</v>
      </c>
      <c r="LF368" s="1007">
        <v>0.83599999999999852</v>
      </c>
      <c r="LG368" s="1008">
        <v>0</v>
      </c>
      <c r="LH368" s="1007">
        <v>0</v>
      </c>
      <c r="LI368" s="1008">
        <v>0</v>
      </c>
      <c r="LJ368" s="1007">
        <v>0</v>
      </c>
      <c r="LK368" s="1008">
        <v>0</v>
      </c>
      <c r="LL368" s="1007">
        <v>0</v>
      </c>
      <c r="LM368" s="1008" t="s">
        <v>203</v>
      </c>
      <c r="LN368" s="1007">
        <v>-1.5574699999999999</v>
      </c>
      <c r="LO368" s="1008">
        <v>0</v>
      </c>
      <c r="LP368" s="1007">
        <v>0</v>
      </c>
      <c r="LQ368" s="1008">
        <v>0</v>
      </c>
      <c r="LR368" s="1007">
        <v>0</v>
      </c>
      <c r="LS368" s="1008">
        <v>0</v>
      </c>
      <c r="LT368" s="1007">
        <v>0</v>
      </c>
      <c r="LU368" s="1008">
        <v>0</v>
      </c>
      <c r="LV368" s="1007">
        <v>0</v>
      </c>
      <c r="LW368" s="1008">
        <v>0</v>
      </c>
      <c r="LX368" s="1007">
        <v>0</v>
      </c>
      <c r="LY368" s="1009">
        <v>0</v>
      </c>
      <c r="LZ368" s="1010">
        <v>0</v>
      </c>
      <c r="MA368" s="1011">
        <v>0</v>
      </c>
      <c r="MB368" s="1012">
        <v>0</v>
      </c>
      <c r="MC368" s="995"/>
      <c r="MD368" s="996"/>
      <c r="ME368" s="997" t="s">
        <v>416</v>
      </c>
      <c r="MF368" s="997"/>
      <c r="MG368" s="998"/>
      <c r="NR368" s="1000"/>
      <c r="NS368" s="1000"/>
      <c r="NT368" s="1001"/>
      <c r="NU368" s="1000"/>
      <c r="NV368" s="1001"/>
      <c r="NX368" s="1002"/>
      <c r="NZ368" s="1001"/>
      <c r="OA368" s="1001"/>
      <c r="OC368" s="1003"/>
      <c r="OD368" s="1003"/>
      <c r="OE368" s="1001"/>
      <c r="OF368" s="1003"/>
      <c r="OG368" s="1003"/>
      <c r="QX368" s="1000">
        <f>CN368-CA368</f>
        <v>22</v>
      </c>
      <c r="ASU368" s="999" t="s">
        <v>225</v>
      </c>
    </row>
    <row r="369" spans="1:466 1191:1191" ht="21" customHeight="1" x14ac:dyDescent="0.25">
      <c r="A369" s="982">
        <f t="shared" si="274"/>
        <v>1405</v>
      </c>
      <c r="B369" s="124">
        <f>SUBTOTAL(103,$J$29:J369)</f>
        <v>341</v>
      </c>
      <c r="C369" s="126">
        <v>45096</v>
      </c>
      <c r="D369" s="124" t="s">
        <v>176</v>
      </c>
      <c r="E369" s="127" t="s">
        <v>177</v>
      </c>
      <c r="F369" s="128" t="s">
        <v>177</v>
      </c>
      <c r="G369" s="127" t="s">
        <v>178</v>
      </c>
      <c r="H369" s="127" t="s">
        <v>226</v>
      </c>
      <c r="I369" s="127" t="s">
        <v>316</v>
      </c>
      <c r="J369" s="129">
        <v>1405</v>
      </c>
      <c r="K369" s="127" t="s">
        <v>182</v>
      </c>
      <c r="L369" s="130">
        <v>42475</v>
      </c>
      <c r="M369" s="127" t="s">
        <v>230</v>
      </c>
      <c r="N369" s="127" t="s">
        <v>245</v>
      </c>
      <c r="O369" s="127" t="s">
        <v>185</v>
      </c>
      <c r="P369" s="127" t="s">
        <v>208</v>
      </c>
      <c r="Q369" s="85" t="str">
        <f t="shared" si="297"/>
        <v/>
      </c>
      <c r="R369" s="130"/>
      <c r="S369" s="128" t="s">
        <v>156</v>
      </c>
      <c r="T369" s="131"/>
      <c r="U369" s="132">
        <v>203</v>
      </c>
      <c r="V369" s="121">
        <v>218.2</v>
      </c>
      <c r="W369" s="116">
        <v>0.98</v>
      </c>
      <c r="X369" s="116">
        <v>1.66</v>
      </c>
      <c r="Y369" s="116">
        <f t="shared" si="299"/>
        <v>0.9820113485452131</v>
      </c>
      <c r="Z369" s="133">
        <v>1.454</v>
      </c>
      <c r="AA369" s="133">
        <v>0.83599999999999997</v>
      </c>
      <c r="AB369" s="133">
        <v>0.72</v>
      </c>
      <c r="AC369" s="121">
        <v>34.299999999999997</v>
      </c>
      <c r="AD369" s="134">
        <v>1.17</v>
      </c>
      <c r="AE369" s="124">
        <v>177.8</v>
      </c>
      <c r="AF369" s="128">
        <v>9.19</v>
      </c>
      <c r="AG369" s="128">
        <v>1978</v>
      </c>
      <c r="AH369" s="127">
        <v>2770</v>
      </c>
      <c r="AI369" s="127">
        <v>2770</v>
      </c>
      <c r="AJ369" s="135"/>
      <c r="AK369" s="128"/>
      <c r="AL369" s="131"/>
      <c r="AM369" s="124" t="s">
        <v>232</v>
      </c>
      <c r="AN369" s="136" t="s">
        <v>1483</v>
      </c>
      <c r="AO369" s="137">
        <v>20</v>
      </c>
      <c r="AP369" s="128">
        <v>2302</v>
      </c>
      <c r="AQ369" s="128">
        <v>120.71</v>
      </c>
      <c r="AR369" s="128"/>
      <c r="AS369" s="128"/>
      <c r="AT369" s="122"/>
      <c r="AU369" s="124" t="s">
        <v>189</v>
      </c>
      <c r="AV369" s="115">
        <f>VLOOKUP(J369,'[63]ТР нефть'!$J$28:$BP$638,39,0)</f>
        <v>639.00002871100003</v>
      </c>
      <c r="AW369" s="115" t="str">
        <f>VLOOKUP(J369,'[63]ТР нефть'!$J$28:$BP$638,40,0)</f>
        <v>ГК 85 1/8</v>
      </c>
      <c r="AX369" s="115">
        <f>VLOOKUP(J369,'[63]ТР нефть'!$J$28:$BP$638,41,0)</f>
        <v>1262.9999683589999</v>
      </c>
      <c r="AY369" s="115" t="str">
        <f>VLOOKUP(J369,'[63]ТР нефть'!$J$28:$BP$638,42,0)</f>
        <v>ГК87 1/8</v>
      </c>
      <c r="AZ369" s="115">
        <f>VLOOKUP(J369,'[63]ТР нефть'!$J$28:$BP$638,43,0)</f>
        <v>1797.0000433590001</v>
      </c>
      <c r="BA369" s="115" t="str">
        <f>VLOOKUP(J369,'[63]ТР нефть'!$J$28:$BP$638,44,0)</f>
        <v>ГК89 1/8</v>
      </c>
      <c r="BB369" s="115">
        <f>VLOOKUP(J369,'[63]ТР нефть'!$J$28:$BP$638,45,0)</f>
        <v>1999.9999687500001</v>
      </c>
      <c r="BC369" s="115" t="str">
        <f>VLOOKUP(J369,'[63]ТР нефть'!$J$28:$BP$638,46,0)</f>
        <v>ЦКсОК 5/16</v>
      </c>
      <c r="BD369" s="115" t="str">
        <f>VLOOKUP(J369,'[63]ТР нефть'!$J$28:$BP$638,47,0)</f>
        <v>-</v>
      </c>
      <c r="BE369" s="115" t="str">
        <f>VLOOKUP(J369,'[63]ТР нефть'!$J$28:$BP$638,48,0)</f>
        <v>-</v>
      </c>
      <c r="BF369" s="115" t="str">
        <f>VLOOKUP(J369,'[63]ТР нефть'!$J$28:$BP$638,49,0)</f>
        <v>-</v>
      </c>
      <c r="BG369" s="115" t="str">
        <f>VLOOKUP(J369,'[63]ТР нефть'!$J$28:$BP$638,50,0)</f>
        <v>-</v>
      </c>
      <c r="BH369" s="115" t="str">
        <f>VLOOKUP(J369,'[63]ТР нефть'!$J$28:$BP$638,51,0)</f>
        <v>-</v>
      </c>
      <c r="BI369" s="115" t="str">
        <f>VLOOKUP(J369,'[63]ТР нефть'!$J$28:$BP$638,52,0)</f>
        <v>-</v>
      </c>
      <c r="BJ369" s="115" t="str">
        <f>IF(IFERROR(VLOOKUP(J369,'[63]ТР нефть'!$J$28:$BP$638,53,0),"-")=0,"-",IFERROR(VLOOKUP(J369,'[63]ТР нефть'!$J$28:$BP$638,53,0),"-"))</f>
        <v>-</v>
      </c>
      <c r="BK369" s="138" t="str">
        <f>IF(IFERROR(VLOOKUP(J369,'[63]ТР нефть'!$J$28:$BP$638,54,0),"-")=0,"-",IFERROR(VLOOKUP(J369,'[63]ТР нефть'!$J$28:$BP$638,54,0),"-"))</f>
        <v>-</v>
      </c>
      <c r="BL369" s="138" t="str">
        <f>IF(IFERROR(VLOOKUP(J369,'[63]ТР нефть'!$J$28:$BP$638,55,0),"-")=0,"-",IFERROR(VLOOKUP(J369,'[63]ТР нефть'!$J$28:$BP$638,55,0),"-"))</f>
        <v>-</v>
      </c>
      <c r="BM369" s="138" t="str">
        <f>IF(IFERROR(VLOOKUP(J369,'[63]ТР нефть'!$J$28:$BP$638,56,0),"-")=0,"-",IFERROR(VLOOKUP(J369,'[63]ТР нефть'!$J$28:$BP$638,56,0),"-"))</f>
        <v>-</v>
      </c>
      <c r="BN369" s="138" t="str">
        <f>IF(IFERROR(VLOOKUP(J369,'[63]ТР нефть'!$J$28:$BP$638,57,0),"-")=0,"-",IFERROR(VLOOKUP(J369,'[63]ТР нефть'!$J$28:$BP$638,57,0),"-"))</f>
        <v>-</v>
      </c>
      <c r="BO369" s="115" t="str">
        <f>IF(IFERROR(VLOOKUP(J369,'[63]ТР нефть'!$J$28:$BP$638,58,0),"-")=0,"-",IFERROR(VLOOKUP(J369,'[63]ТР нефть'!$J$28:$BP$638,58,0),"-"))</f>
        <v>-</v>
      </c>
      <c r="BP369" s="115" t="str">
        <f>IF(IFERROR(VLOOKUP(J369,'[63]ТР нефть'!$J$28:$BP$638,59,0),"-")=0,"-",IFERROR(VLOOKUP(J369,'[63]ТР нефть'!$J$28:$BP$638,59,0),"-"))</f>
        <v>-</v>
      </c>
      <c r="BQ369" s="138">
        <v>2310</v>
      </c>
      <c r="BR369" s="128">
        <v>1931.19</v>
      </c>
      <c r="BS369" s="115">
        <f t="shared" si="258"/>
        <v>378.80999999999995</v>
      </c>
      <c r="BT369" s="128">
        <v>73</v>
      </c>
      <c r="BU369" s="128">
        <v>5.5</v>
      </c>
      <c r="BV369" s="127">
        <v>65</v>
      </c>
      <c r="BW369" s="127" t="s">
        <v>217</v>
      </c>
      <c r="BX369" s="127" t="s">
        <v>195</v>
      </c>
      <c r="BY369" s="139">
        <v>24</v>
      </c>
      <c r="BZ369" s="139">
        <v>0</v>
      </c>
      <c r="CA369" s="138">
        <v>16</v>
      </c>
      <c r="CB369" s="138">
        <v>40</v>
      </c>
      <c r="CC369" s="138">
        <v>15</v>
      </c>
      <c r="CD369" s="135">
        <v>45017</v>
      </c>
      <c r="CE369" s="138">
        <v>65.599999999999994</v>
      </c>
      <c r="CF369" s="138">
        <v>72</v>
      </c>
      <c r="CG369" s="138" t="str">
        <f t="shared" si="265"/>
        <v>В работе</v>
      </c>
      <c r="CH369" s="138" t="s">
        <v>196</v>
      </c>
      <c r="CI369" s="138">
        <v>6</v>
      </c>
      <c r="CJ369" s="139"/>
      <c r="CK369" s="138"/>
      <c r="CL369" s="99"/>
      <c r="CM369" s="99"/>
      <c r="CN369" s="140">
        <v>37</v>
      </c>
      <c r="CO369" s="141">
        <f t="shared" si="276"/>
        <v>4.9077380000000002</v>
      </c>
      <c r="CP369" s="142">
        <v>5.9</v>
      </c>
      <c r="CQ369" s="143">
        <v>0.5</v>
      </c>
      <c r="CR369" s="138">
        <v>27.884</v>
      </c>
      <c r="CS369" s="139">
        <v>7.2</v>
      </c>
      <c r="CT369" s="138"/>
      <c r="CU369" s="138">
        <f t="shared" si="277"/>
        <v>20.684000000000001</v>
      </c>
      <c r="CV369" s="115">
        <f t="shared" si="278"/>
        <v>4214.5689113803546</v>
      </c>
      <c r="CW369" s="115">
        <f t="shared" si="279"/>
        <v>1456.9298158460952</v>
      </c>
      <c r="CX369" s="133">
        <f t="shared" si="280"/>
        <v>0.20629370629370636</v>
      </c>
      <c r="CY369" s="116"/>
      <c r="CZ369" s="131"/>
      <c r="DA369" s="145" t="str">
        <f t="shared" si="281"/>
        <v>Газлифт</v>
      </c>
      <c r="DB369" s="146">
        <f t="shared" si="282"/>
        <v>4.9077380000000002</v>
      </c>
      <c r="DC369" s="142">
        <f t="shared" ref="DC369:DC415" si="302">IFERROR(IF(AND(FZ369="Технология",FQ369&lt;$JC$24),EM369,CP369),"-")</f>
        <v>5.9</v>
      </c>
      <c r="DD369" s="119">
        <f t="shared" ref="DD369:DD432" si="303">IFERROR(IF(AND(FZ369="Технология",FQ369&lt;$JC$29),EN369,CQ369),"-")</f>
        <v>0.5</v>
      </c>
      <c r="DE369" s="115">
        <f t="shared" si="283"/>
        <v>20.684000000000001</v>
      </c>
      <c r="DF369" s="121">
        <f t="shared" si="284"/>
        <v>7.2</v>
      </c>
      <c r="DG369" s="115">
        <f t="shared" si="285"/>
        <v>4214.5689113803546</v>
      </c>
      <c r="DH369" s="115">
        <f t="shared" si="286"/>
        <v>37</v>
      </c>
      <c r="DI369" s="147"/>
      <c r="DJ369" s="111">
        <v>43208</v>
      </c>
      <c r="DK369" s="112">
        <v>44099</v>
      </c>
      <c r="DL369" s="113">
        <f t="shared" ca="1" si="266"/>
        <v>1005</v>
      </c>
      <c r="DM369" s="114"/>
      <c r="DN369" s="114"/>
      <c r="DO369" s="114"/>
      <c r="DP369" s="114"/>
      <c r="DQ369" s="112">
        <v>43217</v>
      </c>
      <c r="DR369" s="114" t="s">
        <v>198</v>
      </c>
      <c r="DS369" s="114"/>
      <c r="DT369" s="115">
        <v>42</v>
      </c>
      <c r="DU369" s="116">
        <f t="shared" si="267"/>
        <v>0.25000000000000006</v>
      </c>
      <c r="DV369" s="117">
        <f t="shared" si="268"/>
        <v>4.9077380000000002</v>
      </c>
      <c r="DW369" s="118">
        <f t="shared" si="269"/>
        <v>5.9</v>
      </c>
      <c r="DX369" s="119">
        <f t="shared" si="287"/>
        <v>0.5</v>
      </c>
      <c r="DY369" s="115">
        <f t="shared" si="270"/>
        <v>20.684000000000001</v>
      </c>
      <c r="DZ369" s="117">
        <f t="shared" si="271"/>
        <v>0</v>
      </c>
      <c r="EA369" s="120">
        <f t="shared" si="271"/>
        <v>0</v>
      </c>
      <c r="EB369" s="119">
        <f t="shared" si="264"/>
        <v>0</v>
      </c>
      <c r="EC369" s="121">
        <f t="shared" si="272"/>
        <v>0</v>
      </c>
      <c r="ED369" s="122"/>
      <c r="EE369" s="145">
        <v>65</v>
      </c>
      <c r="EF369" s="115">
        <v>16</v>
      </c>
      <c r="EG369" s="115">
        <v>40</v>
      </c>
      <c r="EH369" s="115">
        <v>15</v>
      </c>
      <c r="EI369" s="128" t="s">
        <v>195</v>
      </c>
      <c r="EJ369" s="121">
        <v>24</v>
      </c>
      <c r="EK369" s="121">
        <v>0</v>
      </c>
      <c r="EL369" s="149">
        <v>4.9077380000000002</v>
      </c>
      <c r="EM369" s="142">
        <v>5.9</v>
      </c>
      <c r="EN369" s="119">
        <v>0.5</v>
      </c>
      <c r="EO369" s="115">
        <v>27.884</v>
      </c>
      <c r="EP369" s="115">
        <v>4214.5689113803546</v>
      </c>
      <c r="EQ369" s="115">
        <v>72</v>
      </c>
      <c r="ER369" s="115">
        <v>7.2</v>
      </c>
      <c r="ES369" s="115">
        <v>37</v>
      </c>
      <c r="ET369" s="150">
        <v>0.20629370629370636</v>
      </c>
      <c r="EU369" s="145">
        <f t="shared" si="288"/>
        <v>65</v>
      </c>
      <c r="EV369" s="115">
        <f t="shared" si="289"/>
        <v>16</v>
      </c>
      <c r="EW369" s="115">
        <f t="shared" si="289"/>
        <v>40</v>
      </c>
      <c r="EX369" s="115">
        <f t="shared" si="289"/>
        <v>15</v>
      </c>
      <c r="EY369" s="115" t="str">
        <f t="shared" si="253"/>
        <v>Постоянный</v>
      </c>
      <c r="EZ369" s="115">
        <f t="shared" si="253"/>
        <v>24</v>
      </c>
      <c r="FA369" s="115">
        <f t="shared" si="253"/>
        <v>0</v>
      </c>
      <c r="FB369" s="149">
        <f t="shared" si="298"/>
        <v>4.9077380000000002</v>
      </c>
      <c r="FC369" s="142">
        <f t="shared" si="298"/>
        <v>5.9</v>
      </c>
      <c r="FD369" s="119">
        <f t="shared" si="298"/>
        <v>0.5</v>
      </c>
      <c r="FE369" s="121">
        <f t="shared" si="298"/>
        <v>27.884</v>
      </c>
      <c r="FF369" s="121">
        <f t="shared" si="300"/>
        <v>4214.5689113803546</v>
      </c>
      <c r="FG369" s="121">
        <f t="shared" si="290"/>
        <v>72</v>
      </c>
      <c r="FH369" s="121">
        <f t="shared" si="301"/>
        <v>7.2</v>
      </c>
      <c r="FI369" s="121">
        <f t="shared" si="252"/>
        <v>37</v>
      </c>
      <c r="FJ369" s="144">
        <f t="shared" si="291"/>
        <v>0.20629370629370636</v>
      </c>
      <c r="FK369" s="132">
        <f t="shared" si="292"/>
        <v>0</v>
      </c>
      <c r="FL369" s="115">
        <f t="shared" si="292"/>
        <v>0</v>
      </c>
      <c r="FM369" s="115">
        <f t="shared" si="292"/>
        <v>0</v>
      </c>
      <c r="FN369" s="115">
        <f t="shared" si="273"/>
        <v>0</v>
      </c>
      <c r="FO369" s="115">
        <f t="shared" si="257"/>
        <v>0</v>
      </c>
      <c r="FP369" s="115">
        <f t="shared" si="257"/>
        <v>0</v>
      </c>
      <c r="FQ369" s="149">
        <f t="shared" si="257"/>
        <v>0</v>
      </c>
      <c r="FR369" s="142">
        <f t="shared" si="256"/>
        <v>0</v>
      </c>
      <c r="FS369" s="119">
        <f t="shared" si="256"/>
        <v>0</v>
      </c>
      <c r="FT369" s="121">
        <f t="shared" si="256"/>
        <v>0</v>
      </c>
      <c r="FU369" s="121">
        <f t="shared" si="293"/>
        <v>0</v>
      </c>
      <c r="FV369" s="121">
        <f t="shared" si="293"/>
        <v>0</v>
      </c>
      <c r="FW369" s="121">
        <f t="shared" si="294"/>
        <v>0</v>
      </c>
      <c r="FX369" s="121">
        <f t="shared" si="295"/>
        <v>0</v>
      </c>
      <c r="FY369" s="144">
        <f t="shared" si="295"/>
        <v>0</v>
      </c>
      <c r="FZ369" s="145"/>
      <c r="GA369" s="1024" t="s">
        <v>283</v>
      </c>
      <c r="GB369" s="145"/>
      <c r="GC369" s="151" t="s">
        <v>1409</v>
      </c>
      <c r="GD369" s="997" t="s">
        <v>238</v>
      </c>
      <c r="GE369" s="1004"/>
      <c r="GF369" s="1004">
        <v>0</v>
      </c>
      <c r="GG369" s="1004" t="s">
        <v>199</v>
      </c>
      <c r="GH369" s="1004">
        <v>-1.7802619999999996</v>
      </c>
      <c r="GI369" s="145"/>
      <c r="GJ369" s="996">
        <v>0</v>
      </c>
      <c r="GK369" s="145"/>
      <c r="GL369" s="996">
        <v>0</v>
      </c>
      <c r="GM369" s="1005"/>
      <c r="GN369" s="996">
        <v>0</v>
      </c>
      <c r="GO369" s="1006"/>
      <c r="GP369" s="996">
        <v>0</v>
      </c>
      <c r="GQ369" s="1006"/>
      <c r="GR369" s="996">
        <v>1.1369600000000091E-2</v>
      </c>
      <c r="GS369" s="1006"/>
      <c r="GT369" s="996">
        <v>0</v>
      </c>
      <c r="GU369" s="1006" t="s">
        <v>203</v>
      </c>
      <c r="GV369" s="996">
        <v>-4.8911015999999998</v>
      </c>
      <c r="GW369" s="1006"/>
      <c r="GX369" s="1049">
        <v>-0.3452680000000008</v>
      </c>
      <c r="GY369" s="1006" t="s">
        <v>349</v>
      </c>
      <c r="GZ369" s="996">
        <v>2.00342384</v>
      </c>
      <c r="HA369" s="1006" t="s">
        <v>25</v>
      </c>
      <c r="HB369" s="996">
        <v>3.3988081600000006</v>
      </c>
      <c r="HC369" s="1006"/>
      <c r="HD369" s="996">
        <v>-0.81384599999999985</v>
      </c>
      <c r="HE369" s="1006" t="s">
        <v>204</v>
      </c>
      <c r="HF369" s="996">
        <v>-2.5725810000000005</v>
      </c>
      <c r="HG369" s="1006" t="s">
        <v>199</v>
      </c>
      <c r="HH369" s="996">
        <v>2.9699502756000005</v>
      </c>
      <c r="HI369" s="1006"/>
      <c r="HJ369" s="996">
        <v>0</v>
      </c>
      <c r="HK369" s="1006"/>
      <c r="HL369" s="996">
        <v>0</v>
      </c>
      <c r="HM369" s="1006"/>
      <c r="HN369" s="996">
        <v>0.85318222439999936</v>
      </c>
      <c r="HO369" s="1006"/>
      <c r="HP369" s="996">
        <v>0</v>
      </c>
      <c r="HQ369" s="1006" t="s">
        <v>199</v>
      </c>
      <c r="HR369" s="996">
        <v>1.0981905000000003</v>
      </c>
      <c r="HS369" s="1006"/>
      <c r="HT369" s="996">
        <v>0</v>
      </c>
      <c r="HU369" s="1006"/>
      <c r="HV369" s="996">
        <v>-0.68217600000000012</v>
      </c>
      <c r="HW369" s="1006"/>
      <c r="HX369" s="996">
        <v>-0.71728799999999815</v>
      </c>
      <c r="HY369" s="1006"/>
      <c r="HZ369" s="996">
        <v>0</v>
      </c>
      <c r="IA369" s="1006"/>
      <c r="IB369" s="996">
        <v>-0.17138000000000009</v>
      </c>
      <c r="IC369" s="1006"/>
      <c r="ID369" s="996">
        <v>0</v>
      </c>
      <c r="IE369" s="1006"/>
      <c r="IF369" s="996">
        <v>0</v>
      </c>
      <c r="IG369" s="1006" t="s">
        <v>199</v>
      </c>
      <c r="IH369" s="996">
        <v>1.5169219999999983</v>
      </c>
      <c r="II369" s="1006" t="s">
        <v>199</v>
      </c>
      <c r="IJ369" s="996">
        <v>-3.0626860000000002</v>
      </c>
      <c r="IK369" s="1006"/>
      <c r="IL369" s="996">
        <v>0</v>
      </c>
      <c r="IM369" s="1006"/>
      <c r="IN369" s="996">
        <v>0</v>
      </c>
      <c r="IO369" s="1006" t="s">
        <v>203</v>
      </c>
      <c r="IP369" s="996">
        <v>-1.7975200000000005</v>
      </c>
      <c r="IQ369" s="1006" t="s">
        <v>25</v>
      </c>
      <c r="IR369" s="996">
        <v>9.9</v>
      </c>
      <c r="IS369" s="1006"/>
      <c r="IT369" s="996">
        <v>0</v>
      </c>
      <c r="IU369" s="1006"/>
      <c r="IV369" s="996">
        <v>0</v>
      </c>
      <c r="IW369" s="1006"/>
      <c r="IX369" s="996">
        <v>0</v>
      </c>
      <c r="IY369" s="1006"/>
      <c r="IZ369" s="996">
        <v>-0.41800000000000015</v>
      </c>
      <c r="JA369" s="1006"/>
      <c r="JB369" s="996">
        <v>0</v>
      </c>
      <c r="JC369" s="1006"/>
      <c r="JD369" s="996">
        <v>-0.41799999999999971</v>
      </c>
      <c r="JE369" s="1006"/>
      <c r="JF369" s="996">
        <v>0</v>
      </c>
      <c r="JG369" s="1006"/>
      <c r="JH369" s="996">
        <v>0</v>
      </c>
      <c r="JI369" s="1006"/>
      <c r="JJ369" s="996">
        <v>-0.54340000000000011</v>
      </c>
      <c r="JK369" s="1007"/>
      <c r="JL369" s="1007">
        <v>0</v>
      </c>
      <c r="JM369" s="1007" t="s">
        <v>199</v>
      </c>
      <c r="JN369" s="1007">
        <v>2.64385</v>
      </c>
      <c r="JO369" s="1008" t="s">
        <v>199</v>
      </c>
      <c r="JP369" s="1007">
        <v>-3.2152058400000008</v>
      </c>
      <c r="JQ369" s="1008">
        <v>0</v>
      </c>
      <c r="JR369" s="1007">
        <v>-0.82730559999999986</v>
      </c>
      <c r="JS369" s="1008">
        <v>0</v>
      </c>
      <c r="JT369" s="1007">
        <v>0</v>
      </c>
      <c r="JU369" s="1008" t="s">
        <v>199</v>
      </c>
      <c r="JV369" s="1007">
        <v>3.0288614400000005</v>
      </c>
      <c r="JW369" s="1008" t="s">
        <v>197</v>
      </c>
      <c r="JX369" s="1007">
        <v>0</v>
      </c>
      <c r="JY369" s="1008" t="s">
        <v>199</v>
      </c>
      <c r="JZ369" s="1007">
        <v>-5.2667999999999999</v>
      </c>
      <c r="KA369" s="1008"/>
      <c r="KB369" s="1007">
        <v>0</v>
      </c>
      <c r="KC369" s="1008" t="s">
        <v>206</v>
      </c>
      <c r="KD369" s="1007">
        <v>-1.9228000000000005</v>
      </c>
      <c r="KE369" s="1008"/>
      <c r="KF369" s="1007">
        <v>0</v>
      </c>
      <c r="KG369" s="1008"/>
      <c r="KH369" s="1007">
        <v>0</v>
      </c>
      <c r="KI369" s="1008"/>
      <c r="KJ369" s="1007">
        <v>0</v>
      </c>
      <c r="KK369" s="1008"/>
      <c r="KL369" s="1007">
        <v>0</v>
      </c>
      <c r="KM369" s="1008"/>
      <c r="KN369" s="1007">
        <v>0</v>
      </c>
      <c r="KO369" s="1008"/>
      <c r="KP369" s="1007">
        <v>0</v>
      </c>
      <c r="KQ369" s="1008">
        <v>0</v>
      </c>
      <c r="KR369" s="1007">
        <v>0</v>
      </c>
      <c r="KS369" s="1008" t="s">
        <v>203</v>
      </c>
      <c r="KT369" s="1007">
        <v>-4.7652000000000001</v>
      </c>
      <c r="KU369" s="1008" t="s">
        <v>203</v>
      </c>
      <c r="KV369" s="1007">
        <v>-2.4942896000000001</v>
      </c>
      <c r="KW369" s="1008" t="s">
        <v>342</v>
      </c>
      <c r="KX369" s="1007">
        <v>7.4868816000000002</v>
      </c>
      <c r="KY369" s="1008">
        <v>0</v>
      </c>
      <c r="KZ369" s="1007">
        <v>-0.13877600000000001</v>
      </c>
      <c r="LA369" s="1008" t="s">
        <v>204</v>
      </c>
      <c r="LB369" s="1007">
        <v>2.4904440000000001</v>
      </c>
      <c r="LC369" s="1008">
        <v>0</v>
      </c>
      <c r="LD369" s="1007">
        <v>0</v>
      </c>
      <c r="LE369" s="1008" t="s">
        <v>206</v>
      </c>
      <c r="LF369" s="1007">
        <v>0.56764400000000048</v>
      </c>
      <c r="LG369" s="1008" t="s">
        <v>206</v>
      </c>
      <c r="LH369" s="1007">
        <v>1.2957999999999998</v>
      </c>
      <c r="LI369" s="1008">
        <v>0</v>
      </c>
      <c r="LJ369" s="1007">
        <v>0</v>
      </c>
      <c r="LK369" s="1008" t="s">
        <v>206</v>
      </c>
      <c r="LL369" s="1007">
        <v>0.83432799999999996</v>
      </c>
      <c r="LM369" s="1008" t="s">
        <v>555</v>
      </c>
      <c r="LN369" s="1007">
        <v>-2.50298</v>
      </c>
      <c r="LO369" s="1008">
        <v>0</v>
      </c>
      <c r="LP369" s="1007">
        <v>-1.6686560000000004</v>
      </c>
      <c r="LQ369" s="1008">
        <v>0</v>
      </c>
      <c r="LR369" s="1007">
        <v>0</v>
      </c>
      <c r="LS369" s="1008">
        <v>0</v>
      </c>
      <c r="LT369" s="1007">
        <v>-0.83432799999999896</v>
      </c>
      <c r="LU369" s="1008">
        <v>0</v>
      </c>
      <c r="LV369" s="1007">
        <v>0</v>
      </c>
      <c r="LW369" s="1008">
        <v>0</v>
      </c>
      <c r="LX369" s="1007">
        <v>0</v>
      </c>
      <c r="LY369" s="1009" t="s">
        <v>206</v>
      </c>
      <c r="LZ369" s="1010">
        <v>-4.1716400000000018</v>
      </c>
      <c r="MA369" s="1011">
        <v>0</v>
      </c>
      <c r="MB369" s="1012">
        <v>0.83432824000000005</v>
      </c>
      <c r="MC369" s="995"/>
      <c r="MD369" s="996"/>
      <c r="ME369" s="997" t="s">
        <v>238</v>
      </c>
      <c r="MF369" s="997"/>
      <c r="MG369" s="998"/>
      <c r="NR369" s="1000"/>
      <c r="NS369" s="1000"/>
      <c r="NT369" s="1001"/>
      <c r="NU369" s="1000"/>
      <c r="NV369" s="1001"/>
      <c r="NX369" s="1002"/>
      <c r="NZ369" s="1001"/>
      <c r="OA369" s="1001"/>
      <c r="OC369" s="1003"/>
      <c r="OD369" s="1003"/>
      <c r="OE369" s="1001"/>
      <c r="OF369" s="1003"/>
      <c r="OG369" s="1003"/>
      <c r="QX369" s="1000">
        <f>CN369-CA369</f>
        <v>21</v>
      </c>
      <c r="ASU369" s="999" t="s">
        <v>208</v>
      </c>
    </row>
    <row r="370" spans="1:466 1191:1191" ht="21" customHeight="1" x14ac:dyDescent="0.25">
      <c r="A370" s="982">
        <f t="shared" si="274"/>
        <v>1407</v>
      </c>
      <c r="B370" s="124">
        <f>SUBTOTAL(103,$J$29:J370)</f>
        <v>342</v>
      </c>
      <c r="C370" s="126">
        <v>45068</v>
      </c>
      <c r="D370" s="124" t="s">
        <v>176</v>
      </c>
      <c r="E370" s="127" t="s">
        <v>177</v>
      </c>
      <c r="F370" s="128" t="s">
        <v>177</v>
      </c>
      <c r="G370" s="127" t="s">
        <v>178</v>
      </c>
      <c r="H370" s="127" t="s">
        <v>408</v>
      </c>
      <c r="I370" s="127" t="s">
        <v>409</v>
      </c>
      <c r="J370" s="152">
        <v>1407</v>
      </c>
      <c r="K370" s="127" t="s">
        <v>409</v>
      </c>
      <c r="L370" s="130">
        <v>42405</v>
      </c>
      <c r="M370" s="127" t="s">
        <v>230</v>
      </c>
      <c r="N370" s="127" t="s">
        <v>465</v>
      </c>
      <c r="O370" s="127" t="s">
        <v>185</v>
      </c>
      <c r="P370" s="127" t="s">
        <v>186</v>
      </c>
      <c r="Q370" s="85" t="str">
        <f t="shared" si="297"/>
        <v/>
      </c>
      <c r="R370" s="130"/>
      <c r="S370" s="128" t="s">
        <v>156</v>
      </c>
      <c r="T370" s="131"/>
      <c r="U370" s="132">
        <v>203</v>
      </c>
      <c r="V370" s="121">
        <v>218.2</v>
      </c>
      <c r="W370" s="116">
        <v>0.98</v>
      </c>
      <c r="X370" s="116">
        <v>1.66</v>
      </c>
      <c r="Y370" s="116">
        <f t="shared" si="299"/>
        <v>0.98</v>
      </c>
      <c r="Z370" s="133">
        <v>1.454</v>
      </c>
      <c r="AA370" s="133">
        <v>0.83599999999999997</v>
      </c>
      <c r="AB370" s="133">
        <v>0.72</v>
      </c>
      <c r="AC370" s="121">
        <v>34.299999999999997</v>
      </c>
      <c r="AD370" s="134">
        <v>1.17</v>
      </c>
      <c r="AE370" s="124">
        <v>139.69999999999999</v>
      </c>
      <c r="AF370" s="128">
        <v>7.72</v>
      </c>
      <c r="AG370" s="128">
        <v>2393</v>
      </c>
      <c r="AH370" s="127">
        <v>3002</v>
      </c>
      <c r="AI370" s="127">
        <v>3002</v>
      </c>
      <c r="AJ370" s="135"/>
      <c r="AK370" s="128"/>
      <c r="AL370" s="131"/>
      <c r="AM370" s="124" t="s">
        <v>232</v>
      </c>
      <c r="AN370" s="136" t="s">
        <v>1484</v>
      </c>
      <c r="AO370" s="137">
        <v>25</v>
      </c>
      <c r="AP370" s="128">
        <v>2393</v>
      </c>
      <c r="AQ370" s="128">
        <v>1.4</v>
      </c>
      <c r="AR370" s="128"/>
      <c r="AS370" s="128"/>
      <c r="AT370" s="122"/>
      <c r="AU370" s="124" t="s">
        <v>189</v>
      </c>
      <c r="AV370" s="115">
        <f>VLOOKUP(J370,'[63]ТР нефть'!$J$28:$BP$638,39,0)</f>
        <v>534</v>
      </c>
      <c r="AW370" s="115" t="str">
        <f>VLOOKUP(J370,'[63]ТР нефть'!$J$28:$BP$638,40,0)</f>
        <v>ГК82 1/8</v>
      </c>
      <c r="AX370" s="115">
        <f>VLOOKUP(J370,'[63]ТР нефть'!$J$28:$BP$638,41,0)</f>
        <v>1020</v>
      </c>
      <c r="AY370" s="115" t="str">
        <f>VLOOKUP(J370,'[63]ТР нефть'!$J$28:$BP$638,42,0)</f>
        <v>ГК83 5/32</v>
      </c>
      <c r="AZ370" s="115">
        <f>VLOOKUP(J370,'[63]ТР нефть'!$J$28:$BP$638,43,0)</f>
        <v>1435</v>
      </c>
      <c r="BA370" s="115" t="str">
        <f>VLOOKUP(J370,'[63]ТР нефть'!$J$28:$BP$638,44,0)</f>
        <v>ГК84 5/32</v>
      </c>
      <c r="BB370" s="115">
        <f>VLOOKUP(J370,'[63]ТР нефть'!$J$28:$BP$638,45,0)</f>
        <v>1763</v>
      </c>
      <c r="BC370" s="115" t="str">
        <f>VLOOKUP(J370,'[63]ТР нефть'!$J$28:$BP$638,46,0)</f>
        <v>ГК84 5/32</v>
      </c>
      <c r="BD370" s="115">
        <f>VLOOKUP(J370,'[63]ТР нефть'!$J$28:$BP$638,47,0)</f>
        <v>1995</v>
      </c>
      <c r="BE370" s="115" t="str">
        <f>VLOOKUP(J370,'[63]ТР нефть'!$J$28:$BP$638,48,0)</f>
        <v>ЦКсОК 5/16</v>
      </c>
      <c r="BF370" s="115" t="str">
        <f>VLOOKUP(J370,'[63]ТР нефть'!$J$28:$BP$638,49,0)</f>
        <v>-</v>
      </c>
      <c r="BG370" s="115" t="str">
        <f>VLOOKUP(J370,'[63]ТР нефть'!$J$28:$BP$638,50,0)</f>
        <v>-</v>
      </c>
      <c r="BH370" s="115" t="str">
        <f>VLOOKUP(J370,'[63]ТР нефть'!$J$28:$BP$638,51,0)</f>
        <v>-</v>
      </c>
      <c r="BI370" s="115" t="str">
        <f>VLOOKUP(J370,'[63]ТР нефть'!$J$28:$BP$638,52,0)</f>
        <v>-</v>
      </c>
      <c r="BJ370" s="115" t="str">
        <f>IF(IFERROR(VLOOKUP(J370,'[63]ТР нефть'!$J$28:$BP$638,53,0),"-")=0,"-",IFERROR(VLOOKUP(J370,'[63]ТР нефть'!$J$28:$BP$638,53,0),"-"))</f>
        <v>-</v>
      </c>
      <c r="BK370" s="138" t="str">
        <f>IF(IFERROR(VLOOKUP(J370,'[63]ТР нефть'!$J$28:$BP$638,54,0),"-")=0,"-",IFERROR(VLOOKUP(J370,'[63]ТР нефть'!$J$28:$BP$638,54,0),"-"))</f>
        <v>-</v>
      </c>
      <c r="BL370" s="138" t="str">
        <f>IF(IFERROR(VLOOKUP(J370,'[63]ТР нефть'!$J$28:$BP$638,55,0),"-")=0,"-",IFERROR(VLOOKUP(J370,'[63]ТР нефть'!$J$28:$BP$638,55,0),"-"))</f>
        <v>-</v>
      </c>
      <c r="BM370" s="138" t="str">
        <f>IF(IFERROR(VLOOKUP(J370,'[63]ТР нефть'!$J$28:$BP$638,56,0),"-")=0,"-",IFERROR(VLOOKUP(J370,'[63]ТР нефть'!$J$28:$BP$638,56,0),"-"))</f>
        <v>-</v>
      </c>
      <c r="BN370" s="138" t="str">
        <f>IF(IFERROR(VLOOKUP(J370,'[63]ТР нефть'!$J$28:$BP$638,57,0),"-")=0,"-",IFERROR(VLOOKUP(J370,'[63]ТР нефть'!$J$28:$BP$638,57,0),"-"))</f>
        <v>-</v>
      </c>
      <c r="BO370" s="115" t="str">
        <f>IF(IFERROR(VLOOKUP(J370,'[63]ТР нефть'!$J$28:$BP$638,58,0),"-")=0,"-",IFERROR(VLOOKUP(J370,'[63]ТР нефть'!$J$28:$BP$638,58,0),"-"))</f>
        <v>-</v>
      </c>
      <c r="BP370" s="115" t="str">
        <f>IF(IFERROR(VLOOKUP(J370,'[63]ТР нефть'!$J$28:$BP$638,59,0),"-")=0,"-",IFERROR(VLOOKUP(J370,'[63]ТР нефть'!$J$28:$BP$638,59,0),"-"))</f>
        <v>-</v>
      </c>
      <c r="BQ370" s="138">
        <v>2420</v>
      </c>
      <c r="BR370" s="128">
        <v>1888.41</v>
      </c>
      <c r="BS370" s="115">
        <f t="shared" si="258"/>
        <v>531.58999999999992</v>
      </c>
      <c r="BT370" s="128">
        <v>73</v>
      </c>
      <c r="BU370" s="128">
        <v>5.5</v>
      </c>
      <c r="BV370" s="127">
        <v>18</v>
      </c>
      <c r="BW370" s="127" t="s">
        <v>217</v>
      </c>
      <c r="BX370" s="127" t="s">
        <v>195</v>
      </c>
      <c r="BY370" s="139">
        <v>24</v>
      </c>
      <c r="BZ370" s="139">
        <v>0</v>
      </c>
      <c r="CA370" s="138">
        <v>22</v>
      </c>
      <c r="CB370" s="138">
        <v>31</v>
      </c>
      <c r="CC370" s="138">
        <v>21</v>
      </c>
      <c r="CD370" s="135">
        <v>45017</v>
      </c>
      <c r="CE370" s="138">
        <v>132</v>
      </c>
      <c r="CF370" s="138">
        <v>57</v>
      </c>
      <c r="CG370" s="138" t="str">
        <f t="shared" si="265"/>
        <v>В работе</v>
      </c>
      <c r="CH370" s="138" t="s">
        <v>196</v>
      </c>
      <c r="CI370" s="127">
        <v>6</v>
      </c>
      <c r="CJ370" s="138"/>
      <c r="CK370" s="138"/>
      <c r="CL370" s="99"/>
      <c r="CM370" s="99"/>
      <c r="CN370" s="140">
        <v>39</v>
      </c>
      <c r="CO370" s="159">
        <f t="shared" si="276"/>
        <v>28.841999999999999</v>
      </c>
      <c r="CP370" s="1059">
        <v>34.5</v>
      </c>
      <c r="CQ370" s="161">
        <v>0</v>
      </c>
      <c r="CR370" s="1018">
        <v>38</v>
      </c>
      <c r="CS370" s="139">
        <v>10</v>
      </c>
      <c r="CT370" s="138"/>
      <c r="CU370" s="138">
        <f t="shared" si="277"/>
        <v>28</v>
      </c>
      <c r="CV370" s="115">
        <f t="shared" si="278"/>
        <v>970.80646279730956</v>
      </c>
      <c r="CW370" s="115">
        <f t="shared" si="279"/>
        <v>346.71659385618199</v>
      </c>
      <c r="CX370" s="133">
        <f t="shared" si="280"/>
        <v>0.37096774193548387</v>
      </c>
      <c r="CY370" s="116"/>
      <c r="CZ370" s="131"/>
      <c r="DA370" s="145" t="str">
        <f t="shared" si="281"/>
        <v>Газлифт</v>
      </c>
      <c r="DB370" s="146">
        <f t="shared" si="282"/>
        <v>28.841999999999999</v>
      </c>
      <c r="DC370" s="142">
        <f t="shared" si="302"/>
        <v>34.5</v>
      </c>
      <c r="DD370" s="119">
        <f t="shared" si="303"/>
        <v>0</v>
      </c>
      <c r="DE370" s="115">
        <f t="shared" si="283"/>
        <v>28</v>
      </c>
      <c r="DF370" s="121">
        <f t="shared" si="284"/>
        <v>10</v>
      </c>
      <c r="DG370" s="115">
        <f t="shared" si="285"/>
        <v>970.80646279730956</v>
      </c>
      <c r="DH370" s="115">
        <f t="shared" si="286"/>
        <v>39</v>
      </c>
      <c r="DI370" s="147"/>
      <c r="DJ370" s="111">
        <v>43393</v>
      </c>
      <c r="DK370" s="112">
        <v>43993.083333333336</v>
      </c>
      <c r="DL370" s="113">
        <f t="shared" ca="1" si="266"/>
        <v>1110.9166666666642</v>
      </c>
      <c r="DM370" s="114"/>
      <c r="DN370" s="114"/>
      <c r="DO370" s="114"/>
      <c r="DP370" s="114"/>
      <c r="DQ370" s="112">
        <v>43402</v>
      </c>
      <c r="DR370" s="114" t="s">
        <v>198</v>
      </c>
      <c r="DS370" s="114"/>
      <c r="DT370" s="115">
        <v>41</v>
      </c>
      <c r="DU370" s="116">
        <f t="shared" si="267"/>
        <v>0.37912087912087911</v>
      </c>
      <c r="DV370" s="117">
        <f t="shared" si="268"/>
        <v>28.841999999999999</v>
      </c>
      <c r="DW370" s="118">
        <f t="shared" si="269"/>
        <v>34.5</v>
      </c>
      <c r="DX370" s="119">
        <f t="shared" si="287"/>
        <v>0</v>
      </c>
      <c r="DY370" s="115">
        <f t="shared" si="270"/>
        <v>28</v>
      </c>
      <c r="DZ370" s="117">
        <f t="shared" si="271"/>
        <v>0</v>
      </c>
      <c r="EA370" s="120">
        <f t="shared" si="271"/>
        <v>0</v>
      </c>
      <c r="EB370" s="119">
        <f t="shared" si="264"/>
        <v>0</v>
      </c>
      <c r="EC370" s="121">
        <f t="shared" si="272"/>
        <v>0</v>
      </c>
      <c r="ED370" s="122"/>
      <c r="EE370" s="145">
        <v>18</v>
      </c>
      <c r="EF370" s="115">
        <v>21</v>
      </c>
      <c r="EG370" s="115">
        <v>31</v>
      </c>
      <c r="EH370" s="115">
        <v>21</v>
      </c>
      <c r="EI370" s="128" t="s">
        <v>195</v>
      </c>
      <c r="EJ370" s="121">
        <v>24</v>
      </c>
      <c r="EK370" s="121">
        <v>0</v>
      </c>
      <c r="EL370" s="162">
        <v>28.072879999999998</v>
      </c>
      <c r="EM370" s="142">
        <v>33.58</v>
      </c>
      <c r="EN370" s="119">
        <v>0</v>
      </c>
      <c r="EO370" s="115">
        <v>38.5</v>
      </c>
      <c r="EP370" s="115">
        <v>1029.463311209965</v>
      </c>
      <c r="EQ370" s="115">
        <v>57</v>
      </c>
      <c r="ER370" s="115">
        <v>9.6</v>
      </c>
      <c r="ES370" s="115">
        <v>40</v>
      </c>
      <c r="ET370" s="150">
        <v>0.36499999999999999</v>
      </c>
      <c r="EU370" s="145">
        <f t="shared" si="288"/>
        <v>18</v>
      </c>
      <c r="EV370" s="115">
        <f t="shared" si="289"/>
        <v>22</v>
      </c>
      <c r="EW370" s="115">
        <f t="shared" si="289"/>
        <v>31</v>
      </c>
      <c r="EX370" s="115">
        <f t="shared" si="289"/>
        <v>21</v>
      </c>
      <c r="EY370" s="115" t="str">
        <f t="shared" si="253"/>
        <v>Постоянный</v>
      </c>
      <c r="EZ370" s="115">
        <f t="shared" si="253"/>
        <v>24</v>
      </c>
      <c r="FA370" s="115">
        <f t="shared" si="253"/>
        <v>0</v>
      </c>
      <c r="FB370" s="149">
        <f t="shared" si="298"/>
        <v>28.841999999999999</v>
      </c>
      <c r="FC370" s="142">
        <f t="shared" si="298"/>
        <v>34.5</v>
      </c>
      <c r="FD370" s="119">
        <f t="shared" si="298"/>
        <v>0</v>
      </c>
      <c r="FE370" s="121">
        <f t="shared" si="298"/>
        <v>38</v>
      </c>
      <c r="FF370" s="121">
        <f t="shared" si="300"/>
        <v>970.80646279730956</v>
      </c>
      <c r="FG370" s="121">
        <f t="shared" si="290"/>
        <v>57</v>
      </c>
      <c r="FH370" s="121">
        <f t="shared" si="301"/>
        <v>10</v>
      </c>
      <c r="FI370" s="121">
        <f t="shared" si="252"/>
        <v>39</v>
      </c>
      <c r="FJ370" s="144">
        <f t="shared" si="291"/>
        <v>0.37096774193548387</v>
      </c>
      <c r="FK370" s="132">
        <f t="shared" si="292"/>
        <v>0</v>
      </c>
      <c r="FL370" s="115">
        <f t="shared" si="292"/>
        <v>1</v>
      </c>
      <c r="FM370" s="115">
        <f t="shared" si="292"/>
        <v>0</v>
      </c>
      <c r="FN370" s="115">
        <f t="shared" si="273"/>
        <v>0</v>
      </c>
      <c r="FO370" s="115">
        <f t="shared" si="257"/>
        <v>0</v>
      </c>
      <c r="FP370" s="115">
        <f t="shared" si="257"/>
        <v>0</v>
      </c>
      <c r="FQ370" s="149">
        <f t="shared" si="257"/>
        <v>0.76912000000000091</v>
      </c>
      <c r="FR370" s="142">
        <f t="shared" si="256"/>
        <v>0.92000000000000171</v>
      </c>
      <c r="FS370" s="119">
        <f t="shared" si="256"/>
        <v>0</v>
      </c>
      <c r="FT370" s="121">
        <f t="shared" si="256"/>
        <v>-0.5</v>
      </c>
      <c r="FU370" s="121">
        <f t="shared" si="293"/>
        <v>0</v>
      </c>
      <c r="FV370" s="121">
        <f t="shared" si="293"/>
        <v>0.40000000000000036</v>
      </c>
      <c r="FW370" s="121">
        <f t="shared" si="294"/>
        <v>-58.656848412655449</v>
      </c>
      <c r="FX370" s="121">
        <f>CN370-ES370</f>
        <v>-1</v>
      </c>
      <c r="FY370" s="144">
        <f t="shared" si="295"/>
        <v>5.9677419354838834E-3</v>
      </c>
      <c r="FZ370" s="145"/>
      <c r="GA370" s="131"/>
      <c r="GB370" s="145"/>
      <c r="GC370" s="131"/>
      <c r="GD370" s="997" t="s">
        <v>416</v>
      </c>
      <c r="GE370" s="1004"/>
      <c r="GF370" s="1004">
        <v>0</v>
      </c>
      <c r="GG370" s="1004"/>
      <c r="GH370" s="1004">
        <v>-0.79420000000000357</v>
      </c>
      <c r="GI370" s="145"/>
      <c r="GJ370" s="996">
        <v>0</v>
      </c>
      <c r="GK370" s="145"/>
      <c r="GL370" s="996">
        <v>-1.2289199999999987</v>
      </c>
      <c r="GM370" s="1005" t="s">
        <v>199</v>
      </c>
      <c r="GN370" s="996">
        <v>3.3440000000000012</v>
      </c>
      <c r="GO370" s="1006"/>
      <c r="GP370" s="996">
        <v>0</v>
      </c>
      <c r="GQ370" s="1006"/>
      <c r="GR370" s="996">
        <v>0</v>
      </c>
      <c r="GS370" s="1006" t="s">
        <v>199</v>
      </c>
      <c r="GT370" s="996">
        <v>2.8925599999999996</v>
      </c>
      <c r="GU370" s="1006" t="s">
        <v>199</v>
      </c>
      <c r="GV370" s="996">
        <v>1.4880800000000001</v>
      </c>
      <c r="GW370" s="1006"/>
      <c r="GX370" s="1035">
        <v>0</v>
      </c>
      <c r="GY370" s="1006"/>
      <c r="GZ370" s="996">
        <v>0.30096000000000345</v>
      </c>
      <c r="HA370" s="1006"/>
      <c r="HB370" s="996">
        <v>0.89451999999999643</v>
      </c>
      <c r="HC370" s="1006" t="s">
        <v>199</v>
      </c>
      <c r="HD370" s="996">
        <v>1.1118799999999993</v>
      </c>
      <c r="HE370" s="1006"/>
      <c r="HF370" s="996">
        <v>0</v>
      </c>
      <c r="HG370" s="1006"/>
      <c r="HH370" s="996">
        <v>0</v>
      </c>
      <c r="HI370" s="1006" t="s">
        <v>199</v>
      </c>
      <c r="HJ370" s="996">
        <v>2.5079999999999991</v>
      </c>
      <c r="HK370" s="1006" t="s">
        <v>204</v>
      </c>
      <c r="HL370" s="996">
        <v>-2.240479999999998</v>
      </c>
      <c r="HM370" s="1006"/>
      <c r="HN370" s="996">
        <v>-0.66880000000000095</v>
      </c>
      <c r="HO370" s="1006"/>
      <c r="HP370" s="996">
        <v>-5.0159999999998206E-2</v>
      </c>
      <c r="HQ370" s="1006" t="s">
        <v>199</v>
      </c>
      <c r="HR370" s="996">
        <v>-2.5330800000000018</v>
      </c>
      <c r="HS370" s="1006" t="s">
        <v>199</v>
      </c>
      <c r="HT370" s="996">
        <v>2.8423999999999978</v>
      </c>
      <c r="HU370" s="1006"/>
      <c r="HV370" s="996">
        <v>-2.507999999999555E-2</v>
      </c>
      <c r="HW370" s="1006"/>
      <c r="HX370" s="996">
        <v>0.16719999999999757</v>
      </c>
      <c r="HY370" s="1006" t="s">
        <v>223</v>
      </c>
      <c r="HZ370" s="996">
        <v>-3.0764800000000001</v>
      </c>
      <c r="IA370" s="1006"/>
      <c r="IB370" s="996">
        <v>0</v>
      </c>
      <c r="IC370" s="1006" t="s">
        <v>199</v>
      </c>
      <c r="ID370" s="996">
        <v>2.3157200000000024</v>
      </c>
      <c r="IE370" s="1006" t="s">
        <v>221</v>
      </c>
      <c r="IF370" s="996">
        <v>-5.634640000000001</v>
      </c>
      <c r="IG370" s="1006" t="s">
        <v>199</v>
      </c>
      <c r="IH370" s="996">
        <v>5.8352799999999974</v>
      </c>
      <c r="II370" s="1006" t="s">
        <v>204</v>
      </c>
      <c r="IJ370" s="996">
        <v>3.4610400000000006</v>
      </c>
      <c r="IK370" s="1006" t="s">
        <v>204</v>
      </c>
      <c r="IL370" s="996">
        <v>-1.7305199999999985</v>
      </c>
      <c r="IM370" s="1006" t="s">
        <v>199</v>
      </c>
      <c r="IN370" s="996">
        <v>-3.8455999999999975</v>
      </c>
      <c r="IO370" s="1006"/>
      <c r="IP370" s="996">
        <v>0</v>
      </c>
      <c r="IQ370" s="1006"/>
      <c r="IR370" s="996">
        <v>0.16719999999999757</v>
      </c>
      <c r="IS370" s="1006" t="s">
        <v>203</v>
      </c>
      <c r="IT370" s="996">
        <v>-2.5079999999999991</v>
      </c>
      <c r="IU370" s="1006"/>
      <c r="IV370" s="996">
        <v>0.28591199999999972</v>
      </c>
      <c r="IW370" s="1006" t="s">
        <v>25</v>
      </c>
      <c r="IX370" s="996">
        <v>21.082248</v>
      </c>
      <c r="IY370" s="1006"/>
      <c r="IZ370" s="996">
        <v>0</v>
      </c>
      <c r="JA370" s="1006"/>
      <c r="JB370" s="996">
        <v>0</v>
      </c>
      <c r="JC370" s="1006"/>
      <c r="JD370" s="996">
        <v>0</v>
      </c>
      <c r="JE370" s="1006"/>
      <c r="JF370" s="996">
        <v>0</v>
      </c>
      <c r="JG370" s="1006"/>
      <c r="JH370" s="996">
        <v>0</v>
      </c>
      <c r="JI370" s="1006"/>
      <c r="JJ370" s="996">
        <v>0</v>
      </c>
      <c r="JK370" s="1007" t="s">
        <v>199</v>
      </c>
      <c r="JL370" s="1007">
        <v>2.45784</v>
      </c>
      <c r="JM370" s="1007"/>
      <c r="JN370" s="1007">
        <v>0.66880000000000006</v>
      </c>
      <c r="JO370" s="1008" t="s">
        <v>199</v>
      </c>
      <c r="JP370" s="1007">
        <v>-2.14852</v>
      </c>
      <c r="JQ370" s="1008">
        <v>0</v>
      </c>
      <c r="JR370" s="1007">
        <v>-0.61027999999999993</v>
      </c>
      <c r="JS370" s="1008">
        <v>0</v>
      </c>
      <c r="JT370" s="1007">
        <v>0</v>
      </c>
      <c r="JU370" s="1008" t="s">
        <v>204</v>
      </c>
      <c r="JV370" s="1007">
        <v>-7.8583999999999996</v>
      </c>
      <c r="JW370" s="1008" t="s">
        <v>197</v>
      </c>
      <c r="JX370" s="1007">
        <v>0</v>
      </c>
      <c r="JY370" s="1008"/>
      <c r="JZ370" s="1007">
        <v>0</v>
      </c>
      <c r="KA370" s="1008" t="s">
        <v>199</v>
      </c>
      <c r="KB370" s="1007">
        <v>5.4013123999999992</v>
      </c>
      <c r="KC370" s="1008"/>
      <c r="KD370" s="1007">
        <v>0</v>
      </c>
      <c r="KE370" s="1008"/>
      <c r="KF370" s="1007">
        <v>0</v>
      </c>
      <c r="KG370" s="1008"/>
      <c r="KH370" s="1007">
        <v>0</v>
      </c>
      <c r="KI370" s="1008" t="s">
        <v>544</v>
      </c>
      <c r="KJ370" s="1007">
        <v>-14.038631992000003</v>
      </c>
      <c r="KK370" s="1008"/>
      <c r="KL370" s="1007">
        <v>4.6549499920000024</v>
      </c>
      <c r="KM370" s="1008"/>
      <c r="KN370" s="1007">
        <v>0</v>
      </c>
      <c r="KO370" s="1008"/>
      <c r="KP370" s="1007">
        <v>0</v>
      </c>
      <c r="KQ370" s="1008" t="s">
        <v>206</v>
      </c>
      <c r="KR370" s="1007">
        <v>-5.6734304000000009</v>
      </c>
      <c r="KS370" s="1008" t="s">
        <v>204</v>
      </c>
      <c r="KT370" s="1007">
        <v>-4.17164</v>
      </c>
      <c r="KU370" s="1008">
        <v>0</v>
      </c>
      <c r="KV370" s="1007">
        <v>0</v>
      </c>
      <c r="KW370" s="1008">
        <v>0</v>
      </c>
      <c r="KX370" s="1007">
        <v>0</v>
      </c>
      <c r="KY370" s="1008">
        <v>0</v>
      </c>
      <c r="KZ370" s="1007">
        <v>0</v>
      </c>
      <c r="LA370" s="1008">
        <v>0</v>
      </c>
      <c r="LB370" s="1007">
        <v>0</v>
      </c>
      <c r="LC370" s="1008">
        <v>0</v>
      </c>
      <c r="LD370" s="1007">
        <v>0</v>
      </c>
      <c r="LE370" s="1008" t="s">
        <v>206</v>
      </c>
      <c r="LF370" s="1007">
        <v>2.2026259200000027</v>
      </c>
      <c r="LG370" s="1008">
        <v>0</v>
      </c>
      <c r="LH370" s="1007">
        <v>0</v>
      </c>
      <c r="LI370" s="1008" t="s">
        <v>204</v>
      </c>
      <c r="LJ370" s="1007">
        <v>2.2026259199999991</v>
      </c>
      <c r="LK370" s="1008" t="s">
        <v>206</v>
      </c>
      <c r="LL370" s="1007">
        <v>-0.48391240000000002</v>
      </c>
      <c r="LM370" s="1008" t="s">
        <v>555</v>
      </c>
      <c r="LN370" s="1007">
        <v>-1.40167</v>
      </c>
      <c r="LO370" s="1008" t="s">
        <v>206</v>
      </c>
      <c r="LP370" s="1007">
        <v>1.6519694399999985</v>
      </c>
      <c r="LQ370" s="1008">
        <v>0</v>
      </c>
      <c r="LR370" s="1007">
        <v>0</v>
      </c>
      <c r="LS370" s="1008">
        <v>0</v>
      </c>
      <c r="LT370" s="1007">
        <v>1.6686559999999986</v>
      </c>
      <c r="LU370" s="1008">
        <v>0</v>
      </c>
      <c r="LV370" s="1007">
        <v>0</v>
      </c>
      <c r="LW370" s="1008">
        <v>0</v>
      </c>
      <c r="LX370" s="1007">
        <v>0</v>
      </c>
      <c r="LY370" s="1009">
        <v>0</v>
      </c>
      <c r="LZ370" s="1010">
        <v>-0.14559999999977999</v>
      </c>
      <c r="MA370" s="1011">
        <v>0</v>
      </c>
      <c r="MB370" s="1012">
        <v>0</v>
      </c>
      <c r="MC370" s="995"/>
      <c r="MD370" s="996"/>
      <c r="ME370" s="997" t="s">
        <v>416</v>
      </c>
      <c r="MF370" s="997"/>
      <c r="MG370" s="998"/>
      <c r="NR370" s="1000"/>
      <c r="NS370" s="1000"/>
      <c r="NT370" s="1001"/>
      <c r="NU370" s="1000"/>
      <c r="NV370" s="1001"/>
      <c r="NX370" s="1002"/>
      <c r="NZ370" s="1001"/>
      <c r="OA370" s="1001"/>
      <c r="OC370" s="1003"/>
      <c r="OD370" s="1003"/>
      <c r="OE370" s="1001"/>
      <c r="OF370" s="1003"/>
      <c r="OG370" s="1003"/>
      <c r="QX370" s="1000">
        <f>CN370-CA370</f>
        <v>17</v>
      </c>
      <c r="ASU370" s="999" t="s">
        <v>208</v>
      </c>
    </row>
    <row r="371" spans="1:466 1191:1191" ht="21" customHeight="1" x14ac:dyDescent="0.25">
      <c r="A371" s="982">
        <f t="shared" si="274"/>
        <v>1408</v>
      </c>
      <c r="B371" s="124">
        <f>SUBTOTAL(103,$J$29:J371)</f>
        <v>343</v>
      </c>
      <c r="C371" s="126">
        <v>45068</v>
      </c>
      <c r="D371" s="124" t="s">
        <v>176</v>
      </c>
      <c r="E371" s="127" t="s">
        <v>177</v>
      </c>
      <c r="F371" s="128" t="s">
        <v>177</v>
      </c>
      <c r="G371" s="127" t="s">
        <v>178</v>
      </c>
      <c r="H371" s="127" t="s">
        <v>179</v>
      </c>
      <c r="I371" s="127" t="s">
        <v>1456</v>
      </c>
      <c r="J371" s="152">
        <v>1408</v>
      </c>
      <c r="K371" s="127" t="s">
        <v>1456</v>
      </c>
      <c r="L371" s="130">
        <v>44263</v>
      </c>
      <c r="M371" s="127" t="s">
        <v>230</v>
      </c>
      <c r="N371" s="127" t="s">
        <v>245</v>
      </c>
      <c r="O371" s="127" t="s">
        <v>185</v>
      </c>
      <c r="P371" s="127" t="s">
        <v>292</v>
      </c>
      <c r="Q371" s="85" t="str">
        <f t="shared" si="297"/>
        <v/>
      </c>
      <c r="R371" s="130"/>
      <c r="S371" s="128"/>
      <c r="T371" s="131"/>
      <c r="U371" s="132">
        <v>203</v>
      </c>
      <c r="V371" s="121">
        <v>218.2</v>
      </c>
      <c r="W371" s="116">
        <v>0.98</v>
      </c>
      <c r="X371" s="116">
        <v>1.66</v>
      </c>
      <c r="Y371" s="116">
        <f t="shared" si="299"/>
        <v>1.0089307864053585</v>
      </c>
      <c r="Z371" s="133">
        <v>1.454</v>
      </c>
      <c r="AA371" s="133">
        <v>0.83599999999999997</v>
      </c>
      <c r="AB371" s="133">
        <v>0.72</v>
      </c>
      <c r="AC371" s="121">
        <v>34.299999999999997</v>
      </c>
      <c r="AD371" s="134">
        <v>1.17</v>
      </c>
      <c r="AE371" s="124">
        <v>177.8</v>
      </c>
      <c r="AF371" s="128">
        <v>9.19</v>
      </c>
      <c r="AG371" s="128">
        <v>2441</v>
      </c>
      <c r="AH371" s="127">
        <v>3218</v>
      </c>
      <c r="AI371" s="127">
        <v>3155</v>
      </c>
      <c r="AJ371" s="135"/>
      <c r="AK371" s="128"/>
      <c r="AL371" s="131"/>
      <c r="AM371" s="124" t="s">
        <v>1485</v>
      </c>
      <c r="AN371" s="136" t="s">
        <v>1486</v>
      </c>
      <c r="AO371" s="137"/>
      <c r="AP371" s="128"/>
      <c r="AQ371" s="128"/>
      <c r="AR371" s="128"/>
      <c r="AS371" s="128"/>
      <c r="AT371" s="122"/>
      <c r="AU371" s="124" t="s">
        <v>189</v>
      </c>
      <c r="AV371" s="115">
        <f>VLOOKUP(J371,'[63]ТР нефть'!$J$28:$BP$638,39,0)</f>
        <v>599.99999062500001</v>
      </c>
      <c r="AW371" s="115" t="str">
        <f>VLOOKUP(J371,'[63]ТР нефть'!$J$28:$BP$638,40,0)</f>
        <v>ГП</v>
      </c>
      <c r="AX371" s="115">
        <f>VLOOKUP(J371,'[63]ТР нефть'!$J$28:$BP$638,41,0)</f>
        <v>1209.9999662109999</v>
      </c>
      <c r="AY371" s="115" t="str">
        <f>VLOOKUP(J371,'[63]ТР нефть'!$J$28:$BP$638,42,0)</f>
        <v>ГП</v>
      </c>
      <c r="AZ371" s="115">
        <f>VLOOKUP(J371,'[63]ТР нефть'!$J$28:$BP$638,43,0)</f>
        <v>1740.0000621090001</v>
      </c>
      <c r="BA371" s="115" t="str">
        <f>VLOOKUP(J371,'[63]ТР нефть'!$J$28:$BP$638,44,0)</f>
        <v>ГК89 1/8</v>
      </c>
      <c r="BB371" s="115">
        <f>VLOOKUP(J371,'[63]ТР нефть'!$J$28:$BP$638,45,0)</f>
        <v>2190.0000550780001</v>
      </c>
      <c r="BC371" s="115" t="str">
        <f>VLOOKUP(J371,'[63]ТР нефть'!$J$28:$BP$638,46,0)</f>
        <v>ЦКсОК 5/16</v>
      </c>
      <c r="BD371" s="115" t="str">
        <f>VLOOKUP(J371,'[63]ТР нефть'!$J$28:$BP$638,47,0)</f>
        <v>-</v>
      </c>
      <c r="BE371" s="115" t="str">
        <f>VLOOKUP(J371,'[63]ТР нефть'!$J$28:$BP$638,48,0)</f>
        <v>-</v>
      </c>
      <c r="BF371" s="115" t="str">
        <f>VLOOKUP(J371,'[63]ТР нефть'!$J$28:$BP$638,49,0)</f>
        <v>-</v>
      </c>
      <c r="BG371" s="115" t="str">
        <f>VLOOKUP(J371,'[63]ТР нефть'!$J$28:$BP$638,50,0)</f>
        <v>-</v>
      </c>
      <c r="BH371" s="115" t="str">
        <f>VLOOKUP(J371,'[63]ТР нефть'!$J$28:$BP$638,51,0)</f>
        <v>-</v>
      </c>
      <c r="BI371" s="115" t="str">
        <f>VLOOKUP(J371,'[63]ТР нефть'!$J$28:$BP$638,52,0)</f>
        <v>-</v>
      </c>
      <c r="BJ371" s="115" t="str">
        <f>IF(IFERROR(VLOOKUP(J371,'[63]ТР нефть'!$J$28:$BP$638,53,0),"-")=0,"-",IFERROR(VLOOKUP(J371,'[63]ТР нефть'!$J$28:$BP$638,53,0),"-"))</f>
        <v>-</v>
      </c>
      <c r="BK371" s="138" t="str">
        <f>IF(IFERROR(VLOOKUP(J371,'[63]ТР нефть'!$J$28:$BP$638,54,0),"-")=0,"-",IFERROR(VLOOKUP(J371,'[63]ТР нефть'!$J$28:$BP$638,54,0),"-"))</f>
        <v>-</v>
      </c>
      <c r="BL371" s="138" t="str">
        <f>IF(IFERROR(VLOOKUP(J371,'[63]ТР нефть'!$J$28:$BP$638,55,0),"-")=0,"-",IFERROR(VLOOKUP(J371,'[63]ТР нефть'!$J$28:$BP$638,55,0),"-"))</f>
        <v>-</v>
      </c>
      <c r="BM371" s="138" t="str">
        <f>IF(IFERROR(VLOOKUP(J371,'[63]ТР нефть'!$J$28:$BP$638,56,0),"-")=0,"-",IFERROR(VLOOKUP(J371,'[63]ТР нефть'!$J$28:$BP$638,56,0),"-"))</f>
        <v>-</v>
      </c>
      <c r="BN371" s="138" t="str">
        <f>IF(IFERROR(VLOOKUP(J371,'[63]ТР нефть'!$J$28:$BP$638,57,0),"-")=0,"-",IFERROR(VLOOKUP(J371,'[63]ТР нефть'!$J$28:$BP$638,57,0),"-"))</f>
        <v>-</v>
      </c>
      <c r="BO371" s="115" t="str">
        <f>IF(IFERROR(VLOOKUP(J371,'[63]ТР нефть'!$J$28:$BP$638,58,0),"-")=0,"-",IFERROR(VLOOKUP(J371,'[63]ТР нефть'!$J$28:$BP$638,58,0),"-"))</f>
        <v>-</v>
      </c>
      <c r="BP371" s="115" t="str">
        <f>IF(IFERROR(VLOOKUP(J371,'[63]ТР нефть'!$J$28:$BP$638,59,0),"-")=0,"-",IFERROR(VLOOKUP(J371,'[63]ТР нефть'!$J$28:$BP$638,59,0),"-"))</f>
        <v>-</v>
      </c>
      <c r="BQ371" s="138">
        <v>2196</v>
      </c>
      <c r="BR371" s="128"/>
      <c r="BS371" s="115"/>
      <c r="BT371" s="128">
        <v>73</v>
      </c>
      <c r="BU371" s="128">
        <v>5.5</v>
      </c>
      <c r="BV371" s="127">
        <v>12</v>
      </c>
      <c r="BW371" s="127" t="s">
        <v>217</v>
      </c>
      <c r="BX371" s="127" t="s">
        <v>195</v>
      </c>
      <c r="BY371" s="139">
        <v>24</v>
      </c>
      <c r="BZ371" s="139">
        <v>0</v>
      </c>
      <c r="CA371" s="138">
        <v>18</v>
      </c>
      <c r="CB371" s="138">
        <v>32</v>
      </c>
      <c r="CC371" s="138">
        <v>17</v>
      </c>
      <c r="CD371" s="135">
        <v>45017</v>
      </c>
      <c r="CE371" s="138">
        <v>77</v>
      </c>
      <c r="CF371" s="138">
        <v>82</v>
      </c>
      <c r="CG371" s="138" t="str">
        <f t="shared" si="265"/>
        <v>В работе</v>
      </c>
      <c r="CH371" s="138" t="s">
        <v>235</v>
      </c>
      <c r="CI371" s="127">
        <v>6</v>
      </c>
      <c r="CJ371" s="138"/>
      <c r="CK371" s="138">
        <f t="shared" si="255"/>
        <v>30</v>
      </c>
      <c r="CL371" s="99"/>
      <c r="CM371" s="99"/>
      <c r="CN371" s="140">
        <v>48</v>
      </c>
      <c r="CO371" s="141">
        <f t="shared" si="276"/>
        <v>4.6648800000000001</v>
      </c>
      <c r="CP371" s="1060">
        <v>6</v>
      </c>
      <c r="CQ371" s="143">
        <v>7</v>
      </c>
      <c r="CR371" s="1018">
        <v>27</v>
      </c>
      <c r="CS371" s="139">
        <v>9.1999999999999993</v>
      </c>
      <c r="CT371" s="138"/>
      <c r="CU371" s="138">
        <f t="shared" si="277"/>
        <v>17.8</v>
      </c>
      <c r="CV371" s="115">
        <f t="shared" si="278"/>
        <v>3815.7466001269058</v>
      </c>
      <c r="CW371" s="115">
        <f t="shared" si="279"/>
        <v>1785.977745164271</v>
      </c>
      <c r="CX371" s="133">
        <f t="shared" si="280"/>
        <v>0.20689655172413793</v>
      </c>
      <c r="CY371" s="116"/>
      <c r="CZ371" s="131"/>
      <c r="DA371" s="145" t="str">
        <f t="shared" si="281"/>
        <v>Газлифт</v>
      </c>
      <c r="DB371" s="146">
        <f t="shared" si="282"/>
        <v>7.6970519999999985</v>
      </c>
      <c r="DC371" s="142">
        <f t="shared" si="302"/>
        <v>9.9</v>
      </c>
      <c r="DD371" s="119">
        <f t="shared" si="303"/>
        <v>7</v>
      </c>
      <c r="DE371" s="115">
        <f t="shared" si="283"/>
        <v>17.8</v>
      </c>
      <c r="DF371" s="121">
        <f t="shared" si="284"/>
        <v>9.1999999999999993</v>
      </c>
      <c r="DG371" s="115">
        <f t="shared" si="285"/>
        <v>3815.7466001269058</v>
      </c>
      <c r="DH371" s="115">
        <f t="shared" si="286"/>
        <v>48</v>
      </c>
      <c r="DI371" s="147"/>
      <c r="DJ371" s="111"/>
      <c r="DK371" s="112">
        <v>44263</v>
      </c>
      <c r="DL371" s="113">
        <f t="shared" ca="1" si="266"/>
        <v>841</v>
      </c>
      <c r="DM371" s="114"/>
      <c r="DN371" s="114"/>
      <c r="DO371" s="114"/>
      <c r="DP371" s="114"/>
      <c r="DQ371" s="112"/>
      <c r="DR371" s="114"/>
      <c r="DS371" s="114"/>
      <c r="DT371" s="115">
        <v>45</v>
      </c>
      <c r="DU371" s="116">
        <f t="shared" si="267"/>
        <v>0.2025936771648838</v>
      </c>
      <c r="DV371" s="117">
        <f t="shared" si="268"/>
        <v>5.0404010279089233</v>
      </c>
      <c r="DW371" s="118">
        <f t="shared" si="269"/>
        <v>6.4829976692762816</v>
      </c>
      <c r="DX371" s="119">
        <f t="shared" si="287"/>
        <v>7</v>
      </c>
      <c r="DY371" s="115">
        <f t="shared" si="270"/>
        <v>19.232893085519635</v>
      </c>
      <c r="DZ371" s="117">
        <f t="shared" si="271"/>
        <v>0.37552102790892317</v>
      </c>
      <c r="EA371" s="120">
        <f t="shared" si="271"/>
        <v>0.48299766927628163</v>
      </c>
      <c r="EB371" s="119">
        <f t="shared" si="264"/>
        <v>0</v>
      </c>
      <c r="EC371" s="121">
        <f t="shared" si="272"/>
        <v>1.432893085519634</v>
      </c>
      <c r="ED371" s="122"/>
      <c r="EE371" s="145">
        <v>12</v>
      </c>
      <c r="EF371" s="115">
        <v>20</v>
      </c>
      <c r="EG371" s="115">
        <v>38</v>
      </c>
      <c r="EH371" s="115">
        <v>18</v>
      </c>
      <c r="EI371" s="128" t="s">
        <v>195</v>
      </c>
      <c r="EJ371" s="121">
        <v>24</v>
      </c>
      <c r="EK371" s="121">
        <v>0</v>
      </c>
      <c r="EL371" s="149">
        <v>7.6970519999999985</v>
      </c>
      <c r="EM371" s="142">
        <v>9.9</v>
      </c>
      <c r="EN371" s="119">
        <v>7</v>
      </c>
      <c r="EO371" s="115">
        <v>27</v>
      </c>
      <c r="EP371" s="115">
        <v>2312.5736970466101</v>
      </c>
      <c r="EQ371" s="115">
        <v>84</v>
      </c>
      <c r="ER371" s="115">
        <v>9.1999999999999993</v>
      </c>
      <c r="ES371" s="115">
        <v>48</v>
      </c>
      <c r="ET371" s="150">
        <v>0.3413793103448276</v>
      </c>
      <c r="EU371" s="145">
        <f t="shared" si="288"/>
        <v>12</v>
      </c>
      <c r="EV371" s="115">
        <f t="shared" si="289"/>
        <v>18</v>
      </c>
      <c r="EW371" s="115">
        <f t="shared" si="289"/>
        <v>32</v>
      </c>
      <c r="EX371" s="115">
        <f t="shared" si="289"/>
        <v>17</v>
      </c>
      <c r="EY371" s="115" t="str">
        <f t="shared" si="253"/>
        <v>Постоянный</v>
      </c>
      <c r="EZ371" s="115">
        <f t="shared" si="253"/>
        <v>24</v>
      </c>
      <c r="FA371" s="115">
        <f t="shared" si="253"/>
        <v>0</v>
      </c>
      <c r="FB371" s="149">
        <f t="shared" si="298"/>
        <v>4.6648800000000001</v>
      </c>
      <c r="FC371" s="142">
        <f t="shared" si="298"/>
        <v>6</v>
      </c>
      <c r="FD371" s="119">
        <f t="shared" si="298"/>
        <v>7</v>
      </c>
      <c r="FE371" s="121">
        <f t="shared" si="298"/>
        <v>27</v>
      </c>
      <c r="FF371" s="121">
        <f t="shared" si="300"/>
        <v>3815.7466001269058</v>
      </c>
      <c r="FG371" s="121">
        <f t="shared" si="290"/>
        <v>82</v>
      </c>
      <c r="FH371" s="121">
        <f t="shared" si="301"/>
        <v>9.1999999999999993</v>
      </c>
      <c r="FI371" s="121">
        <f t="shared" si="252"/>
        <v>48</v>
      </c>
      <c r="FJ371" s="144">
        <f t="shared" si="291"/>
        <v>0.20689655172413793</v>
      </c>
      <c r="FK371" s="132">
        <f t="shared" si="292"/>
        <v>0</v>
      </c>
      <c r="FL371" s="115">
        <f t="shared" si="292"/>
        <v>-2</v>
      </c>
      <c r="FM371" s="115">
        <f t="shared" si="292"/>
        <v>-6</v>
      </c>
      <c r="FN371" s="115">
        <f t="shared" si="273"/>
        <v>-1</v>
      </c>
      <c r="FO371" s="115">
        <f t="shared" si="257"/>
        <v>0</v>
      </c>
      <c r="FP371" s="115">
        <f t="shared" si="257"/>
        <v>0</v>
      </c>
      <c r="FQ371" s="149">
        <f t="shared" si="257"/>
        <v>-3.0321719999999983</v>
      </c>
      <c r="FR371" s="142">
        <f t="shared" si="256"/>
        <v>-3.9000000000000004</v>
      </c>
      <c r="FS371" s="119">
        <f t="shared" si="256"/>
        <v>0</v>
      </c>
      <c r="FT371" s="121">
        <f t="shared" si="256"/>
        <v>0</v>
      </c>
      <c r="FU371" s="121">
        <f t="shared" si="293"/>
        <v>-2</v>
      </c>
      <c r="FV371" s="121">
        <f t="shared" si="293"/>
        <v>0</v>
      </c>
      <c r="FW371" s="121">
        <f t="shared" si="294"/>
        <v>1503.1729030802958</v>
      </c>
      <c r="FX371" s="121">
        <f t="shared" si="295"/>
        <v>0</v>
      </c>
      <c r="FY371" s="144">
        <f t="shared" si="295"/>
        <v>-0.13448275862068967</v>
      </c>
      <c r="FZ371" s="145" t="s">
        <v>199</v>
      </c>
      <c r="GA371" s="151" t="s">
        <v>1487</v>
      </c>
      <c r="GB371" s="145" t="s">
        <v>199</v>
      </c>
      <c r="GC371" s="151" t="s">
        <v>1112</v>
      </c>
      <c r="GD371" s="997" t="s">
        <v>220</v>
      </c>
      <c r="GE371" s="1004" t="s">
        <v>199</v>
      </c>
      <c r="GF371" s="1004">
        <v>2.6274643999999983</v>
      </c>
      <c r="GG371" s="1004"/>
      <c r="GH371" s="1004">
        <v>0</v>
      </c>
      <c r="GI371" s="145"/>
      <c r="GJ371" s="996">
        <v>0</v>
      </c>
      <c r="GK371" s="145"/>
      <c r="GL371" s="996">
        <v>0</v>
      </c>
      <c r="GM371" s="1005"/>
      <c r="GN371" s="996">
        <v>0</v>
      </c>
      <c r="GO371" s="1006"/>
      <c r="GP371" s="996">
        <v>0</v>
      </c>
      <c r="GQ371" s="1006"/>
      <c r="GR371" s="996">
        <v>-0.13869240000000005</v>
      </c>
      <c r="GS371" s="1006" t="s">
        <v>199</v>
      </c>
      <c r="GT371" s="996">
        <v>1.6960757967999998</v>
      </c>
      <c r="GU371" s="1006" t="s">
        <v>308</v>
      </c>
      <c r="GV371" s="996">
        <v>-0.33339579679999964</v>
      </c>
      <c r="GW371" s="1006"/>
      <c r="GX371" s="1036">
        <v>0.22680679999999986</v>
      </c>
      <c r="GY371" s="1006"/>
      <c r="GZ371" s="996">
        <v>0</v>
      </c>
      <c r="HA371" s="1006" t="s">
        <v>199</v>
      </c>
      <c r="HB371" s="996">
        <v>-2.6930067999999996</v>
      </c>
      <c r="HC371" s="1006"/>
      <c r="HD371" s="996">
        <v>0</v>
      </c>
      <c r="HE371" s="1006"/>
      <c r="HF371" s="996">
        <v>0</v>
      </c>
      <c r="HG371" s="1006" t="s">
        <v>204</v>
      </c>
      <c r="HH371" s="996">
        <v>-1.2289200000000013</v>
      </c>
      <c r="HI371" s="1006"/>
      <c r="HJ371" s="996"/>
      <c r="HK371" s="1006"/>
      <c r="HL371" s="996"/>
      <c r="HM371" s="1006"/>
      <c r="HN371" s="996"/>
      <c r="HO371" s="1006"/>
      <c r="HP371" s="996">
        <v>2.5414400000000015</v>
      </c>
      <c r="HQ371" s="1006" t="s">
        <v>199</v>
      </c>
      <c r="HR371" s="996">
        <v>-1.3003524380000009</v>
      </c>
      <c r="HS371" s="1006" t="s">
        <v>223</v>
      </c>
      <c r="HT371" s="996">
        <v>-3.8611115619999996</v>
      </c>
      <c r="HU371" s="1006"/>
      <c r="HV371" s="996">
        <v>0</v>
      </c>
      <c r="HW371" s="1006" t="s">
        <v>203</v>
      </c>
      <c r="HX371" s="996">
        <v>-7.7162799999999976</v>
      </c>
      <c r="HY371" s="1006" t="s">
        <v>203</v>
      </c>
      <c r="HZ371" s="996">
        <v>-4.4075110129600006</v>
      </c>
      <c r="IA371" s="1006"/>
      <c r="IB371" s="996">
        <v>0</v>
      </c>
      <c r="IC371" s="1006"/>
      <c r="ID371" s="996">
        <v>0</v>
      </c>
      <c r="IE371" s="1006"/>
      <c r="IF371" s="996"/>
      <c r="IG371" s="1006" t="s">
        <v>25</v>
      </c>
      <c r="IH371" s="996">
        <v>23</v>
      </c>
      <c r="II371" s="1006"/>
      <c r="IJ371" s="996"/>
      <c r="IK371" s="1006"/>
      <c r="IL371" s="996"/>
      <c r="IM371" s="1006"/>
      <c r="IN371" s="996"/>
      <c r="IO371" s="1006"/>
      <c r="IP371" s="996"/>
      <c r="IQ371" s="1006"/>
      <c r="IR371" s="996"/>
      <c r="IS371" s="1006"/>
      <c r="IT371" s="996"/>
      <c r="IU371" s="1006"/>
      <c r="IV371" s="996"/>
      <c r="IW371" s="1006"/>
      <c r="IX371" s="996"/>
      <c r="IY371" s="1006"/>
      <c r="IZ371" s="996"/>
      <c r="JA371" s="1006"/>
      <c r="JB371" s="996"/>
      <c r="JC371" s="1006"/>
      <c r="JD371" s="996"/>
      <c r="JE371" s="1006"/>
      <c r="JF371" s="996"/>
      <c r="JG371" s="1006"/>
      <c r="JH371" s="996"/>
      <c r="JI371" s="1006"/>
      <c r="JJ371" s="996"/>
      <c r="JK371" s="1007"/>
      <c r="JL371" s="1007"/>
      <c r="JM371" s="1007"/>
      <c r="JN371" s="1007"/>
      <c r="JO371" s="1008"/>
      <c r="JP371" s="1007"/>
      <c r="JQ371" s="1008"/>
      <c r="JR371" s="1007"/>
      <c r="JS371" s="1008"/>
      <c r="JT371" s="1007"/>
      <c r="JU371" s="1008"/>
      <c r="JV371" s="1007"/>
      <c r="JW371" s="1008"/>
      <c r="JX371" s="1007"/>
      <c r="JY371" s="1008"/>
      <c r="JZ371" s="1007"/>
      <c r="KA371" s="1008"/>
      <c r="KB371" s="1007"/>
      <c r="KC371" s="1008"/>
      <c r="KD371" s="1007"/>
      <c r="KE371" s="1008"/>
      <c r="KF371" s="1007"/>
      <c r="KG371" s="1008"/>
      <c r="KH371" s="1007"/>
      <c r="KI371" s="1008"/>
      <c r="KJ371" s="1007"/>
      <c r="KK371" s="1008"/>
      <c r="KL371" s="1007"/>
      <c r="KM371" s="1008"/>
      <c r="KN371" s="1007"/>
      <c r="KO371" s="1008"/>
      <c r="KP371" s="1007"/>
      <c r="KQ371" s="1008"/>
      <c r="KR371" s="1007"/>
      <c r="KS371" s="1008"/>
      <c r="KT371" s="1007"/>
      <c r="KU371" s="1008"/>
      <c r="KV371" s="1007"/>
      <c r="KW371" s="1008"/>
      <c r="KX371" s="1007"/>
      <c r="KY371" s="1008"/>
      <c r="KZ371" s="1007"/>
      <c r="LA371" s="1008"/>
      <c r="LB371" s="1007"/>
      <c r="LC371" s="1008"/>
      <c r="LD371" s="1007"/>
      <c r="LE371" s="1008"/>
      <c r="LF371" s="1007"/>
      <c r="LG371" s="1008"/>
      <c r="LH371" s="1007"/>
      <c r="LI371" s="1008"/>
      <c r="LJ371" s="1007"/>
      <c r="LK371" s="1008"/>
      <c r="LL371" s="1007"/>
      <c r="LM371" s="1008"/>
      <c r="LN371" s="1007"/>
      <c r="LO371" s="1008"/>
      <c r="LP371" s="1007"/>
      <c r="LQ371" s="1008"/>
      <c r="LR371" s="1007"/>
      <c r="LS371" s="1008"/>
      <c r="LT371" s="1007"/>
      <c r="LU371" s="1008"/>
      <c r="LV371" s="1007"/>
      <c r="LW371" s="1008"/>
      <c r="LX371" s="1007"/>
      <c r="LY371" s="1009"/>
      <c r="LZ371" s="1010"/>
      <c r="MA371" s="1011"/>
      <c r="MB371" s="1012"/>
      <c r="MC371" s="995"/>
      <c r="MD371" s="996"/>
      <c r="ME371" s="997" t="s">
        <v>220</v>
      </c>
      <c r="MF371" s="997"/>
      <c r="MG371" s="998"/>
      <c r="NR371" s="1000"/>
      <c r="NS371" s="1000"/>
      <c r="NT371" s="1001"/>
      <c r="NU371" s="1000"/>
      <c r="NV371" s="1001"/>
      <c r="NX371" s="1002"/>
      <c r="NZ371" s="1001"/>
      <c r="OA371" s="1001"/>
      <c r="OC371" s="1003"/>
      <c r="OD371" s="1003"/>
      <c r="OE371" s="1001"/>
      <c r="OF371" s="1003"/>
      <c r="OG371" s="1003"/>
      <c r="QX371" s="1000">
        <f>CN371-CA371</f>
        <v>30</v>
      </c>
      <c r="ASU371" s="999" t="s">
        <v>208</v>
      </c>
    </row>
    <row r="372" spans="1:466 1191:1191" ht="21" customHeight="1" x14ac:dyDescent="0.25">
      <c r="A372" s="982">
        <f t="shared" si="274"/>
        <v>1409</v>
      </c>
      <c r="B372" s="124">
        <f>SUBTOTAL(103,$J$29:J372)</f>
        <v>344</v>
      </c>
      <c r="C372" s="126">
        <v>45068</v>
      </c>
      <c r="D372" s="124" t="s">
        <v>176</v>
      </c>
      <c r="E372" s="127" t="s">
        <v>177</v>
      </c>
      <c r="F372" s="128" t="s">
        <v>177</v>
      </c>
      <c r="G372" s="127" t="s">
        <v>178</v>
      </c>
      <c r="H372" s="127" t="s">
        <v>408</v>
      </c>
      <c r="I372" s="127" t="s">
        <v>1276</v>
      </c>
      <c r="J372" s="152">
        <v>1409</v>
      </c>
      <c r="K372" s="127" t="s">
        <v>1276</v>
      </c>
      <c r="L372" s="130">
        <v>43703</v>
      </c>
      <c r="M372" s="127" t="s">
        <v>230</v>
      </c>
      <c r="N372" s="127" t="s">
        <v>231</v>
      </c>
      <c r="O372" s="127" t="s">
        <v>185</v>
      </c>
      <c r="P372" s="127" t="s">
        <v>186</v>
      </c>
      <c r="Q372" s="85" t="str">
        <f t="shared" si="297"/>
        <v/>
      </c>
      <c r="R372" s="130"/>
      <c r="S372" s="128" t="s">
        <v>156</v>
      </c>
      <c r="T372" s="131"/>
      <c r="U372" s="132">
        <v>203</v>
      </c>
      <c r="V372" s="121">
        <v>218.2</v>
      </c>
      <c r="W372" s="116">
        <v>0.98</v>
      </c>
      <c r="X372" s="116">
        <v>1.66</v>
      </c>
      <c r="Y372" s="116">
        <f t="shared" si="299"/>
        <v>0.98</v>
      </c>
      <c r="Z372" s="133">
        <v>1.454</v>
      </c>
      <c r="AA372" s="133">
        <v>0.83599999999999997</v>
      </c>
      <c r="AB372" s="133">
        <v>0.72</v>
      </c>
      <c r="AC372" s="121">
        <v>34.299999999999997</v>
      </c>
      <c r="AD372" s="134">
        <v>1.17</v>
      </c>
      <c r="AE372" s="124">
        <v>177.8</v>
      </c>
      <c r="AF372" s="128">
        <v>9.19</v>
      </c>
      <c r="AG372" s="128">
        <v>2218.1</v>
      </c>
      <c r="AH372" s="127">
        <v>2925</v>
      </c>
      <c r="AI372" s="127">
        <v>2925</v>
      </c>
      <c r="AJ372" s="135"/>
      <c r="AK372" s="128"/>
      <c r="AL372" s="131"/>
      <c r="AM372" s="124" t="s">
        <v>232</v>
      </c>
      <c r="AN372" s="136" t="s">
        <v>1488</v>
      </c>
      <c r="AO372" s="137">
        <v>52</v>
      </c>
      <c r="AP372" s="128">
        <v>2340</v>
      </c>
      <c r="AQ372" s="128">
        <v>456</v>
      </c>
      <c r="AR372" s="128"/>
      <c r="AS372" s="128"/>
      <c r="AT372" s="122"/>
      <c r="AU372" s="124" t="s">
        <v>189</v>
      </c>
      <c r="AV372" s="115">
        <f>VLOOKUP(J372,'[63]ТР нефть'!$J$28:$BP$638,39,0)</f>
        <v>479.99998505899998</v>
      </c>
      <c r="AW372" s="115" t="str">
        <f>VLOOKUP(J372,'[63]ТР нефть'!$J$28:$BP$638,40,0)</f>
        <v>ГП</v>
      </c>
      <c r="AX372" s="115">
        <f>VLOOKUP(J372,'[63]ТР нефть'!$J$28:$BP$638,41,0)</f>
        <v>915.00000058600006</v>
      </c>
      <c r="AY372" s="115" t="str">
        <f>VLOOKUP(J372,'[63]ТР нефть'!$J$28:$BP$638,42,0)</f>
        <v>ГП</v>
      </c>
      <c r="AZ372" s="115">
        <f>VLOOKUP(J372,'[63]ТР нефть'!$J$28:$BP$638,43,0)</f>
        <v>1299.9999796879999</v>
      </c>
      <c r="BA372" s="115" t="str">
        <f>VLOOKUP(J372,'[63]ТР нефть'!$J$28:$BP$638,44,0)</f>
        <v>ГК 84 1/8</v>
      </c>
      <c r="BB372" s="115">
        <f>VLOOKUP(J372,'[63]ТР нефть'!$J$28:$BP$638,45,0)</f>
        <v>1599.9999749999999</v>
      </c>
      <c r="BC372" s="115" t="str">
        <f>VLOOKUP(J372,'[63]ТР нефть'!$J$28:$BP$638,46,0)</f>
        <v>ГК 83 1/8</v>
      </c>
      <c r="BD372" s="115">
        <f>VLOOKUP(J372,'[63]ТР нефть'!$J$28:$BP$638,47,0)</f>
        <v>1824.9999714840001</v>
      </c>
      <c r="BE372" s="115" t="str">
        <f>VLOOKUP(J372,'[63]ТР нефть'!$J$28:$BP$638,48,0)</f>
        <v>ГК 82 5/32</v>
      </c>
      <c r="BF372" s="115">
        <f>VLOOKUP(J372,'[63]ТР нефть'!$J$28:$BP$638,49,0)</f>
        <v>2030</v>
      </c>
      <c r="BG372" s="115" t="str">
        <f>VLOOKUP(J372,'[63]ТР нефть'!$J$28:$BP$638,50,0)</f>
        <v>ЦКсОК 5/16</v>
      </c>
      <c r="BH372" s="115">
        <f>VLOOKUP(J372,'[63]ТР нефть'!$J$28:$BP$638,51,0)</f>
        <v>2040</v>
      </c>
      <c r="BI372" s="115" t="str">
        <f>VLOOKUP(J372,'[63]ТР нефть'!$J$28:$BP$638,52,0)</f>
        <v>закрыт</v>
      </c>
      <c r="BJ372" s="115" t="str">
        <f>IF(IFERROR(VLOOKUP(J372,'[63]ТР нефть'!$J$28:$BP$638,53,0),"-")=0,"-",IFERROR(VLOOKUP(J372,'[63]ТР нефть'!$J$28:$BP$638,53,0),"-"))</f>
        <v>-</v>
      </c>
      <c r="BK372" s="138" t="str">
        <f>IF(IFERROR(VLOOKUP(J372,'[63]ТР нефть'!$J$28:$BP$638,54,0),"-")=0,"-",IFERROR(VLOOKUP(J372,'[63]ТР нефть'!$J$28:$BP$638,54,0),"-"))</f>
        <v>-</v>
      </c>
      <c r="BL372" s="138" t="str">
        <f>IF(IFERROR(VLOOKUP(J372,'[63]ТР нефть'!$J$28:$BP$638,55,0),"-")=0,"-",IFERROR(VLOOKUP(J372,'[63]ТР нефть'!$J$28:$BP$638,55,0),"-"))</f>
        <v>-</v>
      </c>
      <c r="BM372" s="138" t="str">
        <f>IF(IFERROR(VLOOKUP(J372,'[63]ТР нефть'!$J$28:$BP$638,56,0),"-")=0,"-",IFERROR(VLOOKUP(J372,'[63]ТР нефть'!$J$28:$BP$638,56,0),"-"))</f>
        <v>-</v>
      </c>
      <c r="BN372" s="138" t="str">
        <f>IF(IFERROR(VLOOKUP(J372,'[63]ТР нефть'!$J$28:$BP$638,57,0),"-")=0,"-",IFERROR(VLOOKUP(J372,'[63]ТР нефть'!$J$28:$BP$638,57,0),"-"))</f>
        <v>-</v>
      </c>
      <c r="BO372" s="115" t="str">
        <f>IF(IFERROR(VLOOKUP(J372,'[63]ТР нефть'!$J$28:$BP$638,58,0),"-")=0,"-",IFERROR(VLOOKUP(J372,'[63]ТР нефть'!$J$28:$BP$638,58,0),"-"))</f>
        <v>-</v>
      </c>
      <c r="BP372" s="115" t="str">
        <f>IF(IFERROR(VLOOKUP(J372,'[63]ТР нефть'!$J$28:$BP$638,59,0),"-")=0,"-",IFERROR(VLOOKUP(J372,'[63]ТР нефть'!$J$28:$BP$638,59,0),"-"))</f>
        <v>-</v>
      </c>
      <c r="BQ372" s="138">
        <v>2390</v>
      </c>
      <c r="BR372" s="128">
        <v>1890</v>
      </c>
      <c r="BS372" s="115">
        <f t="shared" ref="BS372:BS378" si="304">BQ372-BR372</f>
        <v>500</v>
      </c>
      <c r="BT372" s="128">
        <v>73</v>
      </c>
      <c r="BU372" s="128">
        <v>5.5</v>
      </c>
      <c r="BV372" s="127">
        <v>18</v>
      </c>
      <c r="BW372" s="127" t="s">
        <v>217</v>
      </c>
      <c r="BX372" s="127" t="s">
        <v>195</v>
      </c>
      <c r="BY372" s="139">
        <v>24</v>
      </c>
      <c r="BZ372" s="139">
        <v>0</v>
      </c>
      <c r="CA372" s="138">
        <v>21</v>
      </c>
      <c r="CB372" s="138">
        <v>38</v>
      </c>
      <c r="CC372" s="138">
        <v>20</v>
      </c>
      <c r="CD372" s="135">
        <v>45017</v>
      </c>
      <c r="CE372" s="138">
        <v>90</v>
      </c>
      <c r="CF372" s="138">
        <v>68</v>
      </c>
      <c r="CG372" s="138" t="str">
        <f t="shared" si="265"/>
        <v>В работе</v>
      </c>
      <c r="CH372" s="138" t="s">
        <v>235</v>
      </c>
      <c r="CI372" s="127">
        <v>6</v>
      </c>
      <c r="CJ372" s="138"/>
      <c r="CK372" s="138"/>
      <c r="CL372" s="99"/>
      <c r="CM372" s="99"/>
      <c r="CN372" s="140">
        <v>47</v>
      </c>
      <c r="CO372" s="159">
        <f t="shared" si="276"/>
        <v>4.0127999999999995</v>
      </c>
      <c r="CP372" s="1059">
        <v>4.8</v>
      </c>
      <c r="CQ372" s="161">
        <v>0</v>
      </c>
      <c r="CR372" s="1018">
        <v>12.3</v>
      </c>
      <c r="CS372" s="139">
        <v>8.4</v>
      </c>
      <c r="CT372" s="138"/>
      <c r="CU372" s="138">
        <f t="shared" si="277"/>
        <v>3.9000000000000004</v>
      </c>
      <c r="CV372" s="115">
        <f t="shared" si="278"/>
        <v>971.88995215311024</v>
      </c>
      <c r="CW372" s="115">
        <f t="shared" si="279"/>
        <v>2093.3014354066991</v>
      </c>
      <c r="CX372" s="133">
        <f t="shared" si="280"/>
        <v>0.11162790697674418</v>
      </c>
      <c r="CY372" s="116"/>
      <c r="CZ372" s="131"/>
      <c r="DA372" s="145" t="str">
        <f t="shared" si="281"/>
        <v>Газлифт</v>
      </c>
      <c r="DB372" s="146">
        <f t="shared" si="282"/>
        <v>4.0127999999999995</v>
      </c>
      <c r="DC372" s="142">
        <f t="shared" si="302"/>
        <v>4.8</v>
      </c>
      <c r="DD372" s="119">
        <f t="shared" si="303"/>
        <v>0</v>
      </c>
      <c r="DE372" s="115">
        <f t="shared" si="283"/>
        <v>3.9000000000000004</v>
      </c>
      <c r="DF372" s="121">
        <f t="shared" si="284"/>
        <v>8.4</v>
      </c>
      <c r="DG372" s="115">
        <f t="shared" si="285"/>
        <v>971.88995215311024</v>
      </c>
      <c r="DH372" s="115">
        <f t="shared" si="286"/>
        <v>47</v>
      </c>
      <c r="DI372" s="147"/>
      <c r="DJ372" s="111" t="s">
        <v>197</v>
      </c>
      <c r="DK372" s="112">
        <v>43703.083333333336</v>
      </c>
      <c r="DL372" s="113">
        <f t="shared" ca="1" si="266"/>
        <v>1400.9166666666642</v>
      </c>
      <c r="DM372" s="114"/>
      <c r="DN372" s="114"/>
      <c r="DO372" s="114"/>
      <c r="DP372" s="114"/>
      <c r="DQ372" s="112">
        <v>43910</v>
      </c>
      <c r="DR372" s="114" t="s">
        <v>198</v>
      </c>
      <c r="DS372" s="114"/>
      <c r="DT372" s="115">
        <v>51</v>
      </c>
      <c r="DU372" s="116">
        <f t="shared" si="267"/>
        <v>0.12307692307692307</v>
      </c>
      <c r="DV372" s="117">
        <f t="shared" si="268"/>
        <v>4.0127999999999995</v>
      </c>
      <c r="DW372" s="118">
        <f t="shared" si="269"/>
        <v>4.8</v>
      </c>
      <c r="DX372" s="119">
        <f t="shared" si="287"/>
        <v>0</v>
      </c>
      <c r="DY372" s="115">
        <f t="shared" si="270"/>
        <v>3.9000000000000004</v>
      </c>
      <c r="DZ372" s="117">
        <f t="shared" ref="DZ372:EA397" si="305">DV372-CO372</f>
        <v>0</v>
      </c>
      <c r="EA372" s="120">
        <f t="shared" si="305"/>
        <v>0</v>
      </c>
      <c r="EB372" s="119">
        <f t="shared" si="264"/>
        <v>0</v>
      </c>
      <c r="EC372" s="121">
        <f t="shared" si="272"/>
        <v>0</v>
      </c>
      <c r="ED372" s="122"/>
      <c r="EE372" s="145">
        <v>18</v>
      </c>
      <c r="EF372" s="115">
        <v>20</v>
      </c>
      <c r="EG372" s="115">
        <v>38</v>
      </c>
      <c r="EH372" s="115">
        <v>20</v>
      </c>
      <c r="EI372" s="128" t="s">
        <v>195</v>
      </c>
      <c r="EJ372" s="121">
        <v>24</v>
      </c>
      <c r="EK372" s="121">
        <v>48</v>
      </c>
      <c r="EL372" s="162">
        <v>4.18</v>
      </c>
      <c r="EM372" s="142">
        <v>5</v>
      </c>
      <c r="EN372" s="119">
        <v>0</v>
      </c>
      <c r="EO372" s="115">
        <v>9.3000000000000007</v>
      </c>
      <c r="EP372" s="115">
        <v>837.32057416267969</v>
      </c>
      <c r="EQ372" s="115">
        <v>69</v>
      </c>
      <c r="ER372" s="115">
        <v>5.8</v>
      </c>
      <c r="ES372" s="115">
        <v>48</v>
      </c>
      <c r="ET372" s="150">
        <v>0.11904761904761904</v>
      </c>
      <c r="EU372" s="145">
        <f t="shared" si="288"/>
        <v>18</v>
      </c>
      <c r="EV372" s="115">
        <f t="shared" si="289"/>
        <v>21</v>
      </c>
      <c r="EW372" s="115">
        <f t="shared" si="289"/>
        <v>38</v>
      </c>
      <c r="EX372" s="115">
        <f t="shared" si="289"/>
        <v>20</v>
      </c>
      <c r="EY372" s="115" t="str">
        <f t="shared" si="253"/>
        <v>Постоянный</v>
      </c>
      <c r="EZ372" s="115">
        <f t="shared" si="253"/>
        <v>24</v>
      </c>
      <c r="FA372" s="115">
        <v>48</v>
      </c>
      <c r="FB372" s="149">
        <f t="shared" si="298"/>
        <v>4.0127999999999995</v>
      </c>
      <c r="FC372" s="142">
        <f t="shared" si="298"/>
        <v>4.8</v>
      </c>
      <c r="FD372" s="119">
        <f t="shared" si="298"/>
        <v>0</v>
      </c>
      <c r="FE372" s="121">
        <f t="shared" si="298"/>
        <v>12.3</v>
      </c>
      <c r="FF372" s="121">
        <f t="shared" si="300"/>
        <v>971.88995215311024</v>
      </c>
      <c r="FG372" s="121">
        <f t="shared" si="290"/>
        <v>68</v>
      </c>
      <c r="FH372" s="121">
        <f t="shared" si="301"/>
        <v>8.4</v>
      </c>
      <c r="FI372" s="121">
        <f t="shared" si="252"/>
        <v>47</v>
      </c>
      <c r="FJ372" s="144">
        <f t="shared" si="291"/>
        <v>0.11162790697674418</v>
      </c>
      <c r="FK372" s="132">
        <f t="shared" si="292"/>
        <v>0</v>
      </c>
      <c r="FL372" s="115">
        <f t="shared" si="292"/>
        <v>1</v>
      </c>
      <c r="FM372" s="115">
        <f t="shared" si="292"/>
        <v>0</v>
      </c>
      <c r="FN372" s="115">
        <f t="shared" si="273"/>
        <v>0</v>
      </c>
      <c r="FO372" s="115">
        <f t="shared" si="257"/>
        <v>0</v>
      </c>
      <c r="FP372" s="115">
        <f t="shared" si="257"/>
        <v>0</v>
      </c>
      <c r="FQ372" s="149">
        <f t="shared" si="257"/>
        <v>-0.16720000000000024</v>
      </c>
      <c r="FR372" s="142">
        <f t="shared" si="256"/>
        <v>-0.20000000000000018</v>
      </c>
      <c r="FS372" s="119">
        <f t="shared" si="256"/>
        <v>0</v>
      </c>
      <c r="FT372" s="121">
        <f t="shared" si="256"/>
        <v>3</v>
      </c>
      <c r="FU372" s="121">
        <f t="shared" si="293"/>
        <v>-1</v>
      </c>
      <c r="FV372" s="121">
        <f t="shared" si="293"/>
        <v>2.6000000000000005</v>
      </c>
      <c r="FW372" s="121">
        <f t="shared" si="294"/>
        <v>134.56937799043055</v>
      </c>
      <c r="FX372" s="121">
        <f>CN372-ES372</f>
        <v>-1</v>
      </c>
      <c r="FY372" s="144">
        <f t="shared" si="295"/>
        <v>-7.4197120708748565E-3</v>
      </c>
      <c r="FZ372" s="145"/>
      <c r="GA372" s="1024"/>
      <c r="GB372" s="145"/>
      <c r="GC372" s="1024"/>
      <c r="GD372" s="997" t="s">
        <v>416</v>
      </c>
      <c r="GE372" s="1004"/>
      <c r="GF372" s="1004">
        <v>0.88248159999999976</v>
      </c>
      <c r="GG372" s="1004"/>
      <c r="GH372" s="1004">
        <v>0</v>
      </c>
      <c r="GI372" s="145"/>
      <c r="GJ372" s="996">
        <v>0</v>
      </c>
      <c r="GK372" s="145"/>
      <c r="GL372" s="996">
        <v>0</v>
      </c>
      <c r="GM372" s="1005"/>
      <c r="GN372" s="996">
        <v>0</v>
      </c>
      <c r="GO372" s="1006"/>
      <c r="GP372" s="996">
        <v>0</v>
      </c>
      <c r="GQ372" s="1006"/>
      <c r="GR372" s="996">
        <v>0</v>
      </c>
      <c r="GS372" s="1006"/>
      <c r="GT372" s="996">
        <v>-4.6481599999999901E-2</v>
      </c>
      <c r="GU372" s="1006"/>
      <c r="GV372" s="996">
        <v>0</v>
      </c>
      <c r="GW372" s="1006" t="s">
        <v>199</v>
      </c>
      <c r="GX372" s="1035">
        <v>1.5326666666666666</v>
      </c>
      <c r="GY372" s="1006"/>
      <c r="GZ372" s="996">
        <v>0</v>
      </c>
      <c r="HA372" s="1006"/>
      <c r="HB372" s="996">
        <v>0.18113333333333337</v>
      </c>
      <c r="HC372" s="1006"/>
      <c r="HD372" s="996">
        <v>-0.37619999999999987</v>
      </c>
      <c r="HE372" s="1006" t="s">
        <v>204</v>
      </c>
      <c r="HF372" s="996">
        <v>-1.66364</v>
      </c>
      <c r="HG372" s="1006"/>
      <c r="HH372" s="996">
        <v>0</v>
      </c>
      <c r="HI372" s="1006"/>
      <c r="HJ372" s="996">
        <v>0</v>
      </c>
      <c r="HK372" s="1006"/>
      <c r="HL372" s="996">
        <v>0</v>
      </c>
      <c r="HM372" s="1006" t="s">
        <v>199</v>
      </c>
      <c r="HN372" s="996">
        <v>1.5800399999999999</v>
      </c>
      <c r="HO372" s="1006"/>
      <c r="HP372" s="996">
        <v>0</v>
      </c>
      <c r="HQ372" s="1006"/>
      <c r="HR372" s="996">
        <v>0</v>
      </c>
      <c r="HS372" s="1006"/>
      <c r="HT372" s="996">
        <v>0</v>
      </c>
      <c r="HU372" s="1006" t="s">
        <v>223</v>
      </c>
      <c r="HV372" s="996">
        <v>-2.09</v>
      </c>
      <c r="HW372" s="1006"/>
      <c r="HX372" s="996">
        <v>0</v>
      </c>
      <c r="HY372" s="1006"/>
      <c r="HZ372" s="996">
        <v>0</v>
      </c>
      <c r="IA372" s="1006"/>
      <c r="IB372" s="996">
        <v>0</v>
      </c>
      <c r="IC372" s="1006"/>
      <c r="ID372" s="996">
        <v>0</v>
      </c>
      <c r="IE372" s="1006" t="s">
        <v>221</v>
      </c>
      <c r="IF372" s="996">
        <v>-1.2540000000000004</v>
      </c>
      <c r="IG372" s="1006" t="s">
        <v>199</v>
      </c>
      <c r="IH372" s="996">
        <v>1.8392000000000004</v>
      </c>
      <c r="II372" s="1006"/>
      <c r="IJ372" s="996">
        <v>-0.58519999999999994</v>
      </c>
      <c r="IK372" s="1006"/>
      <c r="IL372" s="996">
        <v>0.33440000000000003</v>
      </c>
      <c r="IM372" s="1006"/>
      <c r="IN372" s="996">
        <v>0.91959999999999997</v>
      </c>
      <c r="IO372" s="1006" t="s">
        <v>204</v>
      </c>
      <c r="IP372" s="996">
        <v>-1.6720000000000002</v>
      </c>
      <c r="IQ372" s="1006"/>
      <c r="IR372" s="996">
        <v>0</v>
      </c>
      <c r="IS372" s="1006" t="s">
        <v>199</v>
      </c>
      <c r="IT372" s="996">
        <v>1.6720000000000002</v>
      </c>
      <c r="IU372" s="1006" t="s">
        <v>204</v>
      </c>
      <c r="IV372" s="996">
        <v>-5.684800000000001</v>
      </c>
      <c r="IW372" s="1006"/>
      <c r="IX372" s="996">
        <v>0</v>
      </c>
      <c r="IY372" s="1006"/>
      <c r="IZ372" s="996">
        <v>0</v>
      </c>
      <c r="JA372" s="1006" t="s">
        <v>203</v>
      </c>
      <c r="JB372" s="996">
        <v>-5.2989497175999958</v>
      </c>
      <c r="JC372" s="1006" t="s">
        <v>25</v>
      </c>
      <c r="JD372" s="996">
        <v>7.4</v>
      </c>
      <c r="JE372" s="1006"/>
      <c r="JF372" s="996">
        <v>0</v>
      </c>
      <c r="JG372" s="1006"/>
      <c r="JH372" s="996">
        <v>0</v>
      </c>
      <c r="JI372" s="1006"/>
      <c r="JJ372" s="996">
        <v>0</v>
      </c>
      <c r="JK372" s="1007"/>
      <c r="JL372" s="1007">
        <v>0</v>
      </c>
      <c r="JM372" s="1007" t="s">
        <v>203</v>
      </c>
      <c r="JN372" s="1007">
        <v>-14.014508375999997</v>
      </c>
      <c r="JO372" s="1008"/>
      <c r="JP372" s="1007">
        <v>21.874580375999997</v>
      </c>
      <c r="JQ372" s="1008"/>
      <c r="JR372" s="1007"/>
      <c r="JS372" s="1008"/>
      <c r="JT372" s="1007"/>
      <c r="JU372" s="1008"/>
      <c r="JV372" s="1007"/>
      <c r="JW372" s="1008"/>
      <c r="JX372" s="1007"/>
      <c r="JY372" s="1008"/>
      <c r="JZ372" s="1007"/>
      <c r="KA372" s="1008"/>
      <c r="KB372" s="1007"/>
      <c r="KC372" s="1008"/>
      <c r="KD372" s="1007"/>
      <c r="KE372" s="1008"/>
      <c r="KF372" s="1007"/>
      <c r="KG372" s="1008"/>
      <c r="KH372" s="1007"/>
      <c r="KI372" s="1008"/>
      <c r="KJ372" s="1007"/>
      <c r="KK372" s="1008"/>
      <c r="KL372" s="1007"/>
      <c r="KM372" s="1008"/>
      <c r="KN372" s="1007"/>
      <c r="KO372" s="1008"/>
      <c r="KP372" s="1007"/>
      <c r="KQ372" s="1008"/>
      <c r="KR372" s="1007"/>
      <c r="KS372" s="1008"/>
      <c r="KT372" s="1007"/>
      <c r="KU372" s="1008"/>
      <c r="KV372" s="1007"/>
      <c r="KW372" s="1008"/>
      <c r="KX372" s="1007"/>
      <c r="KY372" s="1008"/>
      <c r="KZ372" s="1007"/>
      <c r="LA372" s="1008"/>
      <c r="LB372" s="1007"/>
      <c r="LC372" s="1008"/>
      <c r="LD372" s="1007"/>
      <c r="LE372" s="1008"/>
      <c r="LF372" s="1007"/>
      <c r="LG372" s="1008"/>
      <c r="LH372" s="1007"/>
      <c r="LI372" s="1008"/>
      <c r="LJ372" s="1007"/>
      <c r="LK372" s="1008"/>
      <c r="LL372" s="1007"/>
      <c r="LM372" s="1008"/>
      <c r="LN372" s="1007"/>
      <c r="LO372" s="1008"/>
      <c r="LP372" s="1007"/>
      <c r="LQ372" s="1008"/>
      <c r="LR372" s="1007"/>
      <c r="LS372" s="1008"/>
      <c r="LT372" s="1007"/>
      <c r="LU372" s="1008"/>
      <c r="LV372" s="1007"/>
      <c r="LW372" s="1008"/>
      <c r="LX372" s="1007"/>
      <c r="LY372" s="1009"/>
      <c r="LZ372" s="1010"/>
      <c r="MA372" s="1011"/>
      <c r="MB372" s="1012"/>
      <c r="MC372" s="995"/>
      <c r="MD372" s="996"/>
      <c r="ME372" s="997" t="s">
        <v>416</v>
      </c>
      <c r="MF372" s="997"/>
      <c r="MG372" s="998"/>
      <c r="NR372" s="1000"/>
      <c r="NS372" s="1000"/>
      <c r="NT372" s="1001"/>
      <c r="NU372" s="1000"/>
      <c r="NV372" s="1001"/>
      <c r="NX372" s="1002"/>
      <c r="NZ372" s="1001"/>
      <c r="OA372" s="1001"/>
      <c r="OC372" s="1003"/>
      <c r="OD372" s="1003"/>
      <c r="OE372" s="1001"/>
      <c r="OF372" s="1003"/>
      <c r="OG372" s="1003"/>
      <c r="QX372" s="1000">
        <f>CN372-CA372</f>
        <v>26</v>
      </c>
      <c r="ASU372" s="999" t="s">
        <v>225</v>
      </c>
    </row>
    <row r="373" spans="1:466 1191:1191" ht="21" customHeight="1" x14ac:dyDescent="0.25">
      <c r="A373" s="982">
        <f t="shared" si="274"/>
        <v>1412</v>
      </c>
      <c r="B373" s="124">
        <f>SUBTOTAL(103,$J$29:J373)</f>
        <v>345</v>
      </c>
      <c r="C373" s="126">
        <v>45096</v>
      </c>
      <c r="D373" s="124" t="s">
        <v>176</v>
      </c>
      <c r="E373" s="127" t="s">
        <v>177</v>
      </c>
      <c r="F373" s="128" t="s">
        <v>177</v>
      </c>
      <c r="G373" s="127" t="s">
        <v>178</v>
      </c>
      <c r="H373" s="127" t="s">
        <v>226</v>
      </c>
      <c r="I373" s="127" t="s">
        <v>227</v>
      </c>
      <c r="J373" s="152">
        <v>1412</v>
      </c>
      <c r="K373" s="127" t="s">
        <v>1489</v>
      </c>
      <c r="L373" s="130">
        <v>44062</v>
      </c>
      <c r="M373" s="127" t="s">
        <v>230</v>
      </c>
      <c r="N373" s="127" t="s">
        <v>245</v>
      </c>
      <c r="O373" s="127" t="s">
        <v>185</v>
      </c>
      <c r="P373" s="127" t="s">
        <v>208</v>
      </c>
      <c r="Q373" s="85" t="str">
        <f t="shared" si="297"/>
        <v/>
      </c>
      <c r="R373" s="130"/>
      <c r="S373" s="128" t="s">
        <v>156</v>
      </c>
      <c r="T373" s="131"/>
      <c r="U373" s="132">
        <v>203</v>
      </c>
      <c r="V373" s="121">
        <v>218.2</v>
      </c>
      <c r="W373" s="116">
        <v>0.98</v>
      </c>
      <c r="X373" s="116">
        <v>1.66</v>
      </c>
      <c r="Y373" s="116">
        <f t="shared" si="299"/>
        <v>0.98</v>
      </c>
      <c r="Z373" s="133">
        <v>1.454</v>
      </c>
      <c r="AA373" s="133">
        <v>0.83599999999999997</v>
      </c>
      <c r="AB373" s="133">
        <v>0.72</v>
      </c>
      <c r="AC373" s="121">
        <v>34.299999999999997</v>
      </c>
      <c r="AD373" s="134">
        <v>1.17</v>
      </c>
      <c r="AE373" s="124">
        <v>177.8</v>
      </c>
      <c r="AF373" s="128">
        <v>9.19</v>
      </c>
      <c r="AG373" s="128">
        <v>2252</v>
      </c>
      <c r="AH373" s="127">
        <v>2969</v>
      </c>
      <c r="AI373" s="127">
        <v>2969</v>
      </c>
      <c r="AJ373" s="135"/>
      <c r="AK373" s="128"/>
      <c r="AL373" s="131"/>
      <c r="AM373" s="124" t="s">
        <v>232</v>
      </c>
      <c r="AN373" s="136" t="s">
        <v>1490</v>
      </c>
      <c r="AO373" s="137">
        <v>58</v>
      </c>
      <c r="AP373" s="128">
        <v>2252</v>
      </c>
      <c r="AQ373" s="128">
        <v>355</v>
      </c>
      <c r="AR373" s="128"/>
      <c r="AS373" s="128"/>
      <c r="AT373" s="122"/>
      <c r="AU373" s="124" t="s">
        <v>189</v>
      </c>
      <c r="AV373" s="115">
        <f>VLOOKUP(J373,'[63]ТР нефть'!$J$28:$BP$638,39,0)</f>
        <v>583.99999980500002</v>
      </c>
      <c r="AW373" s="115" t="str">
        <f>VLOOKUP(J373,'[63]ТР нефть'!$J$28:$BP$638,40,0)</f>
        <v>ГК83 1/8</v>
      </c>
      <c r="AX373" s="115">
        <f>VLOOKUP(J373,'[63]ТР нефть'!$J$28:$BP$638,41,0)</f>
        <v>1153.0000593750001</v>
      </c>
      <c r="AY373" s="115" t="str">
        <f>VLOOKUP(J373,'[63]ТР нефть'!$J$28:$BP$638,42,0)</f>
        <v>ГК83 1/8</v>
      </c>
      <c r="AZ373" s="115">
        <f>VLOOKUP(J373,'[63]ТР нефть'!$J$28:$BP$638,43,0)</f>
        <v>1605.9999808590001</v>
      </c>
      <c r="BA373" s="115" t="str">
        <f>VLOOKUP(J373,'[63]ТР нефть'!$J$28:$BP$638,44,0)</f>
        <v>ГК83 1/8</v>
      </c>
      <c r="BB373" s="115">
        <f>VLOOKUP(J373,'[63]ТР нефть'!$J$28:$BP$638,45,0)</f>
        <v>1923.0000175780001</v>
      </c>
      <c r="BC373" s="115" t="str">
        <f>VLOOKUP(J373,'[63]ТР нефть'!$J$28:$BP$638,46,0)</f>
        <v>ГК83 1/8</v>
      </c>
      <c r="BD373" s="115">
        <f>VLOOKUP(J373,'[63]ТР нефть'!$J$28:$BP$638,47,0)</f>
        <v>2079.9999972659998</v>
      </c>
      <c r="BE373" s="115" t="str">
        <f>VLOOKUP(J373,'[63]ТР нефть'!$J$28:$BP$638,48,0)</f>
        <v>ЦКсОК 5/16</v>
      </c>
      <c r="BF373" s="115" t="str">
        <f>VLOOKUP(J373,'[63]ТР нефть'!$J$28:$BP$638,49,0)</f>
        <v>-</v>
      </c>
      <c r="BG373" s="115" t="str">
        <f>VLOOKUP(J373,'[63]ТР нефть'!$J$28:$BP$638,50,0)</f>
        <v>-</v>
      </c>
      <c r="BH373" s="115" t="str">
        <f>VLOOKUP(J373,'[63]ТР нефть'!$J$28:$BP$638,51,0)</f>
        <v>-</v>
      </c>
      <c r="BI373" s="115" t="str">
        <f>VLOOKUP(J373,'[63]ТР нефть'!$J$28:$BP$638,52,0)</f>
        <v>-</v>
      </c>
      <c r="BJ373" s="115" t="str">
        <f>IF(IFERROR(VLOOKUP(J373,'[63]ТР нефть'!$J$28:$BP$638,53,0),"-")=0,"-",IFERROR(VLOOKUP(J373,'[63]ТР нефть'!$J$28:$BP$638,53,0),"-"))</f>
        <v>-</v>
      </c>
      <c r="BK373" s="138" t="str">
        <f>IF(IFERROR(VLOOKUP(J373,'[63]ТР нефть'!$J$28:$BP$638,54,0),"-")=0,"-",IFERROR(VLOOKUP(J373,'[63]ТР нефть'!$J$28:$BP$638,54,0),"-"))</f>
        <v>-</v>
      </c>
      <c r="BL373" s="138" t="str">
        <f>IF(IFERROR(VLOOKUP(J373,'[63]ТР нефть'!$J$28:$BP$638,55,0),"-")=0,"-",IFERROR(VLOOKUP(J373,'[63]ТР нефть'!$J$28:$BP$638,55,0),"-"))</f>
        <v>-</v>
      </c>
      <c r="BM373" s="138" t="str">
        <f>IF(IFERROR(VLOOKUP(J373,'[63]ТР нефть'!$J$28:$BP$638,56,0),"-")=0,"-",IFERROR(VLOOKUP(J373,'[63]ТР нефть'!$J$28:$BP$638,56,0),"-"))</f>
        <v>-</v>
      </c>
      <c r="BN373" s="138" t="str">
        <f>IF(IFERROR(VLOOKUP(J373,'[63]ТР нефть'!$J$28:$BP$638,57,0),"-")=0,"-",IFERROR(VLOOKUP(J373,'[63]ТР нефть'!$J$28:$BP$638,57,0),"-"))</f>
        <v>-</v>
      </c>
      <c r="BO373" s="115" t="str">
        <f>IF(IFERROR(VLOOKUP(J373,'[63]ТР нефть'!$J$28:$BP$638,58,0),"-")=0,"-",IFERROR(VLOOKUP(J373,'[63]ТР нефть'!$J$28:$BP$638,58,0),"-"))</f>
        <v>-</v>
      </c>
      <c r="BP373" s="115" t="str">
        <f>IF(IFERROR(VLOOKUP(J373,'[63]ТР нефть'!$J$28:$BP$638,59,0),"-")=0,"-",IFERROR(VLOOKUP(J373,'[63]ТР нефть'!$J$28:$BP$638,59,0),"-"))</f>
        <v>-</v>
      </c>
      <c r="BQ373" s="138">
        <v>2280</v>
      </c>
      <c r="BR373" s="128">
        <f>1736.63+170</f>
        <v>1906.63</v>
      </c>
      <c r="BS373" s="115">
        <f t="shared" si="304"/>
        <v>373.36999999999989</v>
      </c>
      <c r="BT373" s="128">
        <v>73</v>
      </c>
      <c r="BU373" s="128">
        <v>5.5</v>
      </c>
      <c r="BV373" s="127">
        <v>18</v>
      </c>
      <c r="BW373" s="127" t="s">
        <v>234</v>
      </c>
      <c r="BX373" s="127" t="s">
        <v>195</v>
      </c>
      <c r="BY373" s="139">
        <v>24</v>
      </c>
      <c r="BZ373" s="139">
        <v>0</v>
      </c>
      <c r="CA373" s="115">
        <v>16</v>
      </c>
      <c r="CB373" s="115">
        <v>45</v>
      </c>
      <c r="CC373" s="115">
        <v>15</v>
      </c>
      <c r="CD373" s="135">
        <v>45017</v>
      </c>
      <c r="CE373" s="138">
        <v>81</v>
      </c>
      <c r="CF373" s="138">
        <v>85</v>
      </c>
      <c r="CG373" s="138" t="str">
        <f t="shared" si="265"/>
        <v>В работе</v>
      </c>
      <c r="CH373" s="138" t="s">
        <v>235</v>
      </c>
      <c r="CI373" s="127">
        <v>6</v>
      </c>
      <c r="CJ373" s="138"/>
      <c r="CK373" s="138"/>
      <c r="CL373" s="99"/>
      <c r="CM373" s="99"/>
      <c r="CN373" s="140">
        <v>42</v>
      </c>
      <c r="CO373" s="141">
        <f t="shared" si="276"/>
        <v>3.6784000000000003</v>
      </c>
      <c r="CP373" s="142">
        <v>4.4000000000000004</v>
      </c>
      <c r="CQ373" s="119">
        <v>0</v>
      </c>
      <c r="CR373" s="115">
        <v>14</v>
      </c>
      <c r="CS373" s="139">
        <v>6</v>
      </c>
      <c r="CT373" s="138"/>
      <c r="CU373" s="138">
        <f t="shared" si="277"/>
        <v>8</v>
      </c>
      <c r="CV373" s="115">
        <f t="shared" si="278"/>
        <v>2174.8586341887776</v>
      </c>
      <c r="CW373" s="115">
        <f t="shared" si="279"/>
        <v>1631.143975641583</v>
      </c>
      <c r="CX373" s="133">
        <f t="shared" si="280"/>
        <v>0.11282051282051284</v>
      </c>
      <c r="CY373" s="116"/>
      <c r="CZ373" s="131"/>
      <c r="DA373" s="145" t="str">
        <f t="shared" si="281"/>
        <v>Газлифт</v>
      </c>
      <c r="DB373" s="146">
        <f t="shared" si="282"/>
        <v>3.6784000000000003</v>
      </c>
      <c r="DC373" s="142">
        <f t="shared" si="302"/>
        <v>4.4000000000000004</v>
      </c>
      <c r="DD373" s="119">
        <f t="shared" si="303"/>
        <v>0</v>
      </c>
      <c r="DE373" s="115">
        <f t="shared" si="283"/>
        <v>8</v>
      </c>
      <c r="DF373" s="121">
        <f t="shared" si="284"/>
        <v>6</v>
      </c>
      <c r="DG373" s="115">
        <f t="shared" si="285"/>
        <v>2174.8586341887776</v>
      </c>
      <c r="DH373" s="115">
        <f t="shared" si="286"/>
        <v>42</v>
      </c>
      <c r="DI373" s="147"/>
      <c r="DJ373" s="111"/>
      <c r="DK373" s="112">
        <v>44062</v>
      </c>
      <c r="DL373" s="113">
        <f t="shared" ca="1" si="266"/>
        <v>1042</v>
      </c>
      <c r="DM373" s="114"/>
      <c r="DN373" s="114"/>
      <c r="DO373" s="114"/>
      <c r="DP373" s="114"/>
      <c r="DQ373" s="112"/>
      <c r="DR373" s="114"/>
      <c r="DS373" s="114"/>
      <c r="DT373" s="115">
        <v>48</v>
      </c>
      <c r="DU373" s="116">
        <f t="shared" si="267"/>
        <v>0.13333333333333333</v>
      </c>
      <c r="DV373" s="117">
        <f t="shared" si="268"/>
        <v>3.6784000000000003</v>
      </c>
      <c r="DW373" s="118">
        <f t="shared" si="269"/>
        <v>4.4000000000000004</v>
      </c>
      <c r="DX373" s="119">
        <f t="shared" si="287"/>
        <v>0</v>
      </c>
      <c r="DY373" s="115">
        <f t="shared" si="270"/>
        <v>8</v>
      </c>
      <c r="DZ373" s="117">
        <f t="shared" si="305"/>
        <v>0</v>
      </c>
      <c r="EA373" s="120">
        <f t="shared" si="305"/>
        <v>0</v>
      </c>
      <c r="EB373" s="119">
        <f t="shared" si="264"/>
        <v>0</v>
      </c>
      <c r="EC373" s="121">
        <f t="shared" si="272"/>
        <v>0</v>
      </c>
      <c r="ED373" s="122"/>
      <c r="EE373" s="145">
        <v>18</v>
      </c>
      <c r="EF373" s="115">
        <v>18</v>
      </c>
      <c r="EG373" s="115">
        <v>44</v>
      </c>
      <c r="EH373" s="115">
        <v>16</v>
      </c>
      <c r="EI373" s="128" t="s">
        <v>195</v>
      </c>
      <c r="EJ373" s="121">
        <v>24</v>
      </c>
      <c r="EK373" s="121">
        <v>0</v>
      </c>
      <c r="EL373" s="149">
        <v>4.18</v>
      </c>
      <c r="EM373" s="142">
        <v>5</v>
      </c>
      <c r="EN373" s="119">
        <v>0</v>
      </c>
      <c r="EO373" s="115">
        <v>14.8</v>
      </c>
      <c r="EP373" s="115">
        <v>2105.2631578947371</v>
      </c>
      <c r="EQ373" s="115">
        <v>85</v>
      </c>
      <c r="ER373" s="115">
        <v>6</v>
      </c>
      <c r="ES373" s="115">
        <v>43</v>
      </c>
      <c r="ET373" s="150">
        <v>0.13157894736842105</v>
      </c>
      <c r="EU373" s="145">
        <f t="shared" si="288"/>
        <v>18</v>
      </c>
      <c r="EV373" s="115">
        <f t="shared" si="289"/>
        <v>16</v>
      </c>
      <c r="EW373" s="115">
        <f t="shared" si="289"/>
        <v>45</v>
      </c>
      <c r="EX373" s="115">
        <f t="shared" si="289"/>
        <v>15</v>
      </c>
      <c r="EY373" s="115" t="str">
        <f t="shared" si="253"/>
        <v>Постоянный</v>
      </c>
      <c r="EZ373" s="115">
        <f t="shared" si="253"/>
        <v>24</v>
      </c>
      <c r="FA373" s="115">
        <f t="shared" si="253"/>
        <v>0</v>
      </c>
      <c r="FB373" s="149">
        <f t="shared" si="298"/>
        <v>3.6784000000000003</v>
      </c>
      <c r="FC373" s="142">
        <f t="shared" si="298"/>
        <v>4.4000000000000004</v>
      </c>
      <c r="FD373" s="119">
        <f t="shared" si="298"/>
        <v>0</v>
      </c>
      <c r="FE373" s="121">
        <f t="shared" si="298"/>
        <v>14</v>
      </c>
      <c r="FF373" s="121">
        <f t="shared" si="300"/>
        <v>2174.8586341887776</v>
      </c>
      <c r="FG373" s="121">
        <f t="shared" si="290"/>
        <v>85</v>
      </c>
      <c r="FH373" s="121">
        <f t="shared" si="301"/>
        <v>6</v>
      </c>
      <c r="FI373" s="121">
        <f t="shared" si="252"/>
        <v>42</v>
      </c>
      <c r="FJ373" s="144">
        <f t="shared" si="291"/>
        <v>0.11282051282051284</v>
      </c>
      <c r="FK373" s="132">
        <f t="shared" si="292"/>
        <v>0</v>
      </c>
      <c r="FL373" s="115">
        <f t="shared" si="292"/>
        <v>-2</v>
      </c>
      <c r="FM373" s="115">
        <f t="shared" si="292"/>
        <v>1</v>
      </c>
      <c r="FN373" s="115">
        <f t="shared" si="273"/>
        <v>-1</v>
      </c>
      <c r="FO373" s="115">
        <f t="shared" si="257"/>
        <v>0</v>
      </c>
      <c r="FP373" s="115">
        <f t="shared" si="257"/>
        <v>0</v>
      </c>
      <c r="FQ373" s="149">
        <f t="shared" si="257"/>
        <v>-0.50159999999999938</v>
      </c>
      <c r="FR373" s="142">
        <f t="shared" si="256"/>
        <v>-0.59999999999999964</v>
      </c>
      <c r="FS373" s="119">
        <f t="shared" si="256"/>
        <v>0</v>
      </c>
      <c r="FT373" s="121">
        <f t="shared" si="256"/>
        <v>-0.80000000000000071</v>
      </c>
      <c r="FU373" s="121">
        <f t="shared" si="293"/>
        <v>0</v>
      </c>
      <c r="FV373" s="121">
        <f t="shared" si="293"/>
        <v>0</v>
      </c>
      <c r="FW373" s="121">
        <f t="shared" si="294"/>
        <v>69.595476294040509</v>
      </c>
      <c r="FX373" s="121">
        <f t="shared" si="295"/>
        <v>-1</v>
      </c>
      <c r="FY373" s="144">
        <f t="shared" si="295"/>
        <v>-1.8758434547908209E-2</v>
      </c>
      <c r="FZ373" s="145"/>
      <c r="GA373" s="151" t="s">
        <v>1491</v>
      </c>
      <c r="GB373" s="145"/>
      <c r="GC373" s="151" t="s">
        <v>1492</v>
      </c>
      <c r="GD373" s="997" t="s">
        <v>238</v>
      </c>
      <c r="GE373" s="1004"/>
      <c r="GF373" s="1004">
        <v>1.0032000000000001</v>
      </c>
      <c r="GG373" s="1004" t="s">
        <v>203</v>
      </c>
      <c r="GH373" s="1004">
        <v>-4.1719075200000013</v>
      </c>
      <c r="GI373" s="145"/>
      <c r="GJ373" s="996">
        <v>0</v>
      </c>
      <c r="GK373" s="145"/>
      <c r="GL373" s="996">
        <v>0</v>
      </c>
      <c r="GM373" s="1005"/>
      <c r="GN373" s="996">
        <v>0</v>
      </c>
      <c r="GO373" s="1006" t="s">
        <v>240</v>
      </c>
      <c r="GP373" s="996">
        <v>-1.6356105919999999</v>
      </c>
      <c r="GQ373" s="1006"/>
      <c r="GR373" s="996">
        <v>0</v>
      </c>
      <c r="GS373" s="1006"/>
      <c r="GT373" s="996">
        <v>-3.9038692000000097E-2</v>
      </c>
      <c r="GU373" s="1006"/>
      <c r="GV373" s="996">
        <v>-0.77707788399999966</v>
      </c>
      <c r="GW373" s="1006"/>
      <c r="GX373" s="1049">
        <v>-0.62746314400000003</v>
      </c>
      <c r="GY373" s="1006"/>
      <c r="GZ373" s="996">
        <v>0.86739514399999962</v>
      </c>
      <c r="HA373" s="1006"/>
      <c r="HB373" s="996">
        <v>0.40989079999999944</v>
      </c>
      <c r="HC373" s="1006"/>
      <c r="HD373" s="996">
        <v>0</v>
      </c>
      <c r="HE373" s="1006"/>
      <c r="HF373" s="996">
        <v>0</v>
      </c>
      <c r="HG373" s="1006"/>
      <c r="HH373" s="996">
        <v>-0.63561079999999937</v>
      </c>
      <c r="HI373" s="1006"/>
      <c r="HJ373" s="996">
        <v>0</v>
      </c>
      <c r="HK373" s="1006"/>
      <c r="HL373" s="996">
        <v>0</v>
      </c>
      <c r="HM373" s="1006" t="s">
        <v>203</v>
      </c>
      <c r="HN373" s="996">
        <v>-1.4044800000000004</v>
      </c>
      <c r="HO373" s="1006"/>
      <c r="HP373" s="996">
        <v>0</v>
      </c>
      <c r="HQ373" s="1006" t="s">
        <v>25</v>
      </c>
      <c r="HR373" s="996">
        <v>3.1350000000000002</v>
      </c>
      <c r="HS373" s="1006"/>
      <c r="HT373" s="996">
        <v>0</v>
      </c>
      <c r="HU373" s="1006"/>
      <c r="HV373" s="996">
        <v>0</v>
      </c>
      <c r="HW373" s="1006"/>
      <c r="HX373" s="996">
        <v>0</v>
      </c>
      <c r="HY373" s="1006"/>
      <c r="HZ373" s="996">
        <v>-0.9022446400000006</v>
      </c>
      <c r="IA373" s="1006"/>
      <c r="IB373" s="996">
        <v>0.14984464000000042</v>
      </c>
      <c r="IC373" s="1006"/>
      <c r="ID373" s="996">
        <v>-0.33439999999999959</v>
      </c>
      <c r="IE373" s="1006"/>
      <c r="IF373" s="996">
        <v>-0.8360000000000003</v>
      </c>
      <c r="IG373" s="1006"/>
      <c r="IH373" s="996">
        <v>0</v>
      </c>
      <c r="II373" s="1006" t="s">
        <v>223</v>
      </c>
      <c r="IJ373" s="996">
        <v>-2.7211799999999995</v>
      </c>
      <c r="IK373" s="1006" t="s">
        <v>199</v>
      </c>
      <c r="IL373" s="996">
        <v>3.3063799999999999</v>
      </c>
      <c r="IM373" s="1006" t="s">
        <v>199</v>
      </c>
      <c r="IN373" s="996">
        <v>-2.8424000000000005</v>
      </c>
      <c r="IO373" s="1006" t="s">
        <v>204</v>
      </c>
      <c r="IP373" s="996">
        <v>-15.141172342119997</v>
      </c>
      <c r="IQ373" s="1006" t="s">
        <v>25</v>
      </c>
      <c r="IR373" s="996"/>
      <c r="IS373" s="1006"/>
      <c r="IT373" s="996"/>
      <c r="IU373" s="1006"/>
      <c r="IV373" s="996"/>
      <c r="IW373" s="1006"/>
      <c r="IX373" s="996"/>
      <c r="IY373" s="1006"/>
      <c r="IZ373" s="996"/>
      <c r="JA373" s="1006"/>
      <c r="JB373" s="996"/>
      <c r="JC373" s="1006"/>
      <c r="JD373" s="996"/>
      <c r="JE373" s="1006"/>
      <c r="JF373" s="996"/>
      <c r="JG373" s="1006"/>
      <c r="JH373" s="996"/>
      <c r="JI373" s="1006"/>
      <c r="JJ373" s="996"/>
      <c r="JK373" s="1007"/>
      <c r="JL373" s="1007"/>
      <c r="JM373" s="1007"/>
      <c r="JN373" s="1007"/>
      <c r="JO373" s="1008"/>
      <c r="JP373" s="1007"/>
      <c r="JQ373" s="1008"/>
      <c r="JR373" s="1007"/>
      <c r="JS373" s="1008"/>
      <c r="JT373" s="1007"/>
      <c r="JU373" s="1008"/>
      <c r="JV373" s="1007"/>
      <c r="JW373" s="1008"/>
      <c r="JX373" s="1007"/>
      <c r="JY373" s="1008"/>
      <c r="JZ373" s="1007"/>
      <c r="KA373" s="1008"/>
      <c r="KB373" s="1007"/>
      <c r="KC373" s="1008"/>
      <c r="KD373" s="1007"/>
      <c r="KE373" s="1008"/>
      <c r="KF373" s="1007"/>
      <c r="KG373" s="1008"/>
      <c r="KH373" s="1007"/>
      <c r="KI373" s="1008"/>
      <c r="KJ373" s="1007"/>
      <c r="KK373" s="1008"/>
      <c r="KL373" s="1007"/>
      <c r="KM373" s="1008"/>
      <c r="KN373" s="1007"/>
      <c r="KO373" s="1008"/>
      <c r="KP373" s="1007"/>
      <c r="KQ373" s="1008"/>
      <c r="KR373" s="1007"/>
      <c r="KS373" s="1008"/>
      <c r="KT373" s="1007"/>
      <c r="KU373" s="1008"/>
      <c r="KV373" s="1007"/>
      <c r="KW373" s="1008"/>
      <c r="KX373" s="1007"/>
      <c r="KY373" s="1008"/>
      <c r="KZ373" s="1007"/>
      <c r="LA373" s="1008"/>
      <c r="LB373" s="1007"/>
      <c r="LC373" s="1008"/>
      <c r="LD373" s="1007"/>
      <c r="LE373" s="1008"/>
      <c r="LF373" s="1007"/>
      <c r="LG373" s="1008"/>
      <c r="LH373" s="1007"/>
      <c r="LI373" s="1008"/>
      <c r="LJ373" s="1007"/>
      <c r="LK373" s="1008"/>
      <c r="LL373" s="1007"/>
      <c r="LM373" s="1008"/>
      <c r="LN373" s="1007"/>
      <c r="LO373" s="1008"/>
      <c r="LP373" s="1007"/>
      <c r="LQ373" s="1008"/>
      <c r="LR373" s="1007"/>
      <c r="LS373" s="1008"/>
      <c r="LT373" s="1007"/>
      <c r="LU373" s="1008"/>
      <c r="LV373" s="1007"/>
      <c r="LW373" s="1008"/>
      <c r="LX373" s="1007"/>
      <c r="LY373" s="1009"/>
      <c r="LZ373" s="1010"/>
      <c r="MA373" s="1011"/>
      <c r="MB373" s="1012"/>
      <c r="MC373" s="995"/>
      <c r="MD373" s="996"/>
      <c r="ME373" s="997" t="s">
        <v>238</v>
      </c>
      <c r="MF373" s="997"/>
      <c r="MG373" s="998"/>
      <c r="NR373" s="1000"/>
      <c r="NS373" s="1000"/>
      <c r="NT373" s="1001"/>
      <c r="NU373" s="1000"/>
      <c r="NV373" s="1001"/>
      <c r="NX373" s="1002"/>
      <c r="NZ373" s="1001"/>
      <c r="OA373" s="1001"/>
      <c r="OC373" s="1003"/>
      <c r="OD373" s="1003"/>
      <c r="OE373" s="1001"/>
      <c r="OF373" s="1003"/>
      <c r="OG373" s="1003"/>
      <c r="QX373" s="1000">
        <f>CN373-CA373</f>
        <v>26</v>
      </c>
      <c r="ASU373" s="999" t="s">
        <v>208</v>
      </c>
    </row>
    <row r="374" spans="1:466 1191:1191" ht="21" customHeight="1" x14ac:dyDescent="0.25">
      <c r="A374" s="982">
        <f t="shared" si="274"/>
        <v>1413</v>
      </c>
      <c r="B374" s="124">
        <f>SUBTOTAL(103,$J$29:J374)</f>
        <v>346</v>
      </c>
      <c r="C374" s="126">
        <v>45068</v>
      </c>
      <c r="D374" s="124" t="s">
        <v>176</v>
      </c>
      <c r="E374" s="127" t="s">
        <v>177</v>
      </c>
      <c r="F374" s="128" t="s">
        <v>177</v>
      </c>
      <c r="G374" s="127" t="s">
        <v>178</v>
      </c>
      <c r="H374" s="127" t="s">
        <v>179</v>
      </c>
      <c r="I374" s="127" t="s">
        <v>1289</v>
      </c>
      <c r="J374" s="152">
        <v>1413</v>
      </c>
      <c r="K374" s="127" t="s">
        <v>1289</v>
      </c>
      <c r="L374" s="130">
        <v>43621</v>
      </c>
      <c r="M374" s="127" t="s">
        <v>230</v>
      </c>
      <c r="N374" s="127" t="s">
        <v>184</v>
      </c>
      <c r="O374" s="127" t="s">
        <v>185</v>
      </c>
      <c r="P374" s="127" t="s">
        <v>186</v>
      </c>
      <c r="Q374" s="85" t="str">
        <f t="shared" si="297"/>
        <v/>
      </c>
      <c r="R374" s="130"/>
      <c r="S374" s="128"/>
      <c r="T374" s="131"/>
      <c r="U374" s="132">
        <v>203</v>
      </c>
      <c r="V374" s="121">
        <v>218.2</v>
      </c>
      <c r="W374" s="116">
        <v>0.98</v>
      </c>
      <c r="X374" s="116">
        <v>1.66</v>
      </c>
      <c r="Y374" s="116">
        <f t="shared" si="299"/>
        <v>0.98</v>
      </c>
      <c r="Z374" s="133">
        <v>1.454</v>
      </c>
      <c r="AA374" s="133">
        <v>0.83599999999999997</v>
      </c>
      <c r="AB374" s="133">
        <v>0.72</v>
      </c>
      <c r="AC374" s="121">
        <v>34.299999999999997</v>
      </c>
      <c r="AD374" s="134">
        <v>1.17</v>
      </c>
      <c r="AE374" s="124">
        <v>177.8</v>
      </c>
      <c r="AF374" s="128">
        <v>9.19</v>
      </c>
      <c r="AG374" s="128">
        <v>1970</v>
      </c>
      <c r="AH374" s="127">
        <v>3650</v>
      </c>
      <c r="AI374" s="127">
        <v>3650</v>
      </c>
      <c r="AJ374" s="135"/>
      <c r="AK374" s="128"/>
      <c r="AL374" s="131"/>
      <c r="AM374" s="124" t="s">
        <v>187</v>
      </c>
      <c r="AN374" s="136" t="s">
        <v>1493</v>
      </c>
      <c r="AO374" s="137">
        <v>317</v>
      </c>
      <c r="AP374" s="128">
        <v>2986.28</v>
      </c>
      <c r="AQ374" s="128">
        <f>AP374-1742.05771611526</f>
        <v>1244.2222838847401</v>
      </c>
      <c r="AR374" s="128" t="s">
        <v>1494</v>
      </c>
      <c r="AS374" s="128">
        <v>114</v>
      </c>
      <c r="AT374" s="122">
        <v>7.37</v>
      </c>
      <c r="AU374" s="124" t="s">
        <v>189</v>
      </c>
      <c r="AV374" s="115">
        <f>VLOOKUP(J374,'[63]ТР нефть'!$J$28:$BP$638,39,0)</f>
        <v>529.99998427699995</v>
      </c>
      <c r="AW374" s="115" t="str">
        <f>VLOOKUP(J374,'[63]ТР нефть'!$J$28:$BP$638,40,0)</f>
        <v>ГП</v>
      </c>
      <c r="AX374" s="115">
        <f>VLOOKUP(J374,'[63]ТР нефть'!$J$28:$BP$638,41,0)</f>
        <v>999.99998437500005</v>
      </c>
      <c r="AY374" s="115" t="str">
        <f>VLOOKUP(J374,'[63]ТР нефть'!$J$28:$BP$638,42,0)</f>
        <v>ГК76 1/8</v>
      </c>
      <c r="AZ374" s="115">
        <f>VLOOKUP(J374,'[63]ТР нефть'!$J$28:$BP$638,43,0)</f>
        <v>1399.9999781250001</v>
      </c>
      <c r="BA374" s="115" t="str">
        <f>VLOOKUP(J374,'[63]ТР нефть'!$J$28:$BP$638,44,0)</f>
        <v>ГК75 1/8</v>
      </c>
      <c r="BB374" s="115">
        <f>VLOOKUP(J374,'[63]ТР нефть'!$J$28:$BP$638,45,0)</f>
        <v>1730.000002734</v>
      </c>
      <c r="BC374" s="115" t="str">
        <f>VLOOKUP(J374,'[63]ТР нефть'!$J$28:$BP$638,46,0)</f>
        <v>ГК74 5/32</v>
      </c>
      <c r="BD374" s="115">
        <f>VLOOKUP(J374,'[63]ТР нефть'!$J$28:$BP$638,47,0)</f>
        <v>2029.999998047</v>
      </c>
      <c r="BE374" s="115" t="str">
        <f>VLOOKUP(J374,'[63]ТР нефть'!$J$28:$BP$638,48,0)</f>
        <v>ЦКсОК 5/16</v>
      </c>
      <c r="BF374" s="115" t="str">
        <f>VLOOKUP(J374,'[63]ТР нефть'!$J$28:$BP$638,49,0)</f>
        <v>-</v>
      </c>
      <c r="BG374" s="115" t="str">
        <f>VLOOKUP(J374,'[63]ТР нефть'!$J$28:$BP$638,50,0)</f>
        <v>-</v>
      </c>
      <c r="BH374" s="115" t="str">
        <f>VLOOKUP(J374,'[63]ТР нефть'!$J$28:$BP$638,51,0)</f>
        <v>-</v>
      </c>
      <c r="BI374" s="115" t="str">
        <f>VLOOKUP(J374,'[63]ТР нефть'!$J$28:$BP$638,52,0)</f>
        <v>-</v>
      </c>
      <c r="BJ374" s="115" t="str">
        <f>IF(IFERROR(VLOOKUP(J374,'[63]ТР нефть'!$J$28:$BP$638,53,0),"-")=0,"-",IFERROR(VLOOKUP(J374,'[63]ТР нефть'!$J$28:$BP$638,53,0),"-"))</f>
        <v>-</v>
      </c>
      <c r="BK374" s="138" t="str">
        <f>IF(IFERROR(VLOOKUP(J374,'[63]ТР нефть'!$J$28:$BP$638,54,0),"-")=0,"-",IFERROR(VLOOKUP(J374,'[63]ТР нефть'!$J$28:$BP$638,54,0),"-"))</f>
        <v>-</v>
      </c>
      <c r="BL374" s="138" t="str">
        <f>IF(IFERROR(VLOOKUP(J374,'[63]ТР нефть'!$J$28:$BP$638,55,0),"-")=0,"-",IFERROR(VLOOKUP(J374,'[63]ТР нефть'!$J$28:$BP$638,55,0),"-"))</f>
        <v>-</v>
      </c>
      <c r="BM374" s="138" t="str">
        <f>IF(IFERROR(VLOOKUP(J374,'[63]ТР нефть'!$J$28:$BP$638,56,0),"-")=0,"-",IFERROR(VLOOKUP(J374,'[63]ТР нефть'!$J$28:$BP$638,56,0),"-"))</f>
        <v>-</v>
      </c>
      <c r="BN374" s="138" t="str">
        <f>IF(IFERROR(VLOOKUP(J374,'[63]ТР нефть'!$J$28:$BP$638,57,0),"-")=0,"-",IFERROR(VLOOKUP(J374,'[63]ТР нефть'!$J$28:$BP$638,57,0),"-"))</f>
        <v>-</v>
      </c>
      <c r="BO374" s="115" t="str">
        <f>IF(IFERROR(VLOOKUP(J374,'[63]ТР нефть'!$J$28:$BP$638,58,0),"-")=0,"-",IFERROR(VLOOKUP(J374,'[63]ТР нефть'!$J$28:$BP$638,58,0),"-"))</f>
        <v>-</v>
      </c>
      <c r="BP374" s="115" t="str">
        <f>IF(IFERROR(VLOOKUP(J374,'[63]ТР нефть'!$J$28:$BP$638,59,0),"-")=0,"-",IFERROR(VLOOKUP(J374,'[63]ТР нефть'!$J$28:$BP$638,59,0),"-"))</f>
        <v>-</v>
      </c>
      <c r="BQ374" s="138">
        <v>2777</v>
      </c>
      <c r="BR374" s="128">
        <v>1826</v>
      </c>
      <c r="BS374" s="115">
        <f t="shared" si="304"/>
        <v>951</v>
      </c>
      <c r="BT374" s="128">
        <v>73</v>
      </c>
      <c r="BU374" s="128">
        <v>5.5</v>
      </c>
      <c r="BV374" s="127">
        <v>65</v>
      </c>
      <c r="BW374" s="127" t="s">
        <v>217</v>
      </c>
      <c r="BX374" s="127" t="s">
        <v>195</v>
      </c>
      <c r="BY374" s="139">
        <v>24</v>
      </c>
      <c r="BZ374" s="139">
        <v>0</v>
      </c>
      <c r="CA374" s="138">
        <v>25</v>
      </c>
      <c r="CB374" s="138">
        <v>40</v>
      </c>
      <c r="CC374" s="138">
        <v>24</v>
      </c>
      <c r="CD374" s="135">
        <v>45017</v>
      </c>
      <c r="CE374" s="138">
        <v>87</v>
      </c>
      <c r="CF374" s="138">
        <v>72</v>
      </c>
      <c r="CG374" s="138" t="str">
        <f t="shared" si="265"/>
        <v>В работе</v>
      </c>
      <c r="CH374" s="138" t="s">
        <v>272</v>
      </c>
      <c r="CI374" s="127"/>
      <c r="CJ374" s="138"/>
      <c r="CK374" s="138">
        <f t="shared" si="255"/>
        <v>22</v>
      </c>
      <c r="CL374" s="99"/>
      <c r="CM374" s="99"/>
      <c r="CN374" s="140">
        <v>47</v>
      </c>
      <c r="CO374" s="141">
        <f t="shared" si="276"/>
        <v>7.1645199999999996</v>
      </c>
      <c r="CP374" s="142">
        <v>8.57</v>
      </c>
      <c r="CQ374" s="143">
        <v>0</v>
      </c>
      <c r="CR374" s="138">
        <v>16</v>
      </c>
      <c r="CS374" s="139">
        <v>6</v>
      </c>
      <c r="CT374" s="138"/>
      <c r="CU374" s="138">
        <f t="shared" si="277"/>
        <v>10</v>
      </c>
      <c r="CV374" s="115">
        <f t="shared" si="278"/>
        <v>1395.7669180908142</v>
      </c>
      <c r="CW374" s="115">
        <f t="shared" si="279"/>
        <v>837.46015085448857</v>
      </c>
      <c r="CX374" s="133">
        <f t="shared" si="280"/>
        <v>0.21425</v>
      </c>
      <c r="CY374" s="116"/>
      <c r="CZ374" s="131"/>
      <c r="DA374" s="145" t="str">
        <f t="shared" si="281"/>
        <v>Газлифт</v>
      </c>
      <c r="DB374" s="146">
        <f t="shared" si="282"/>
        <v>7.1645199999999996</v>
      </c>
      <c r="DC374" s="142">
        <f t="shared" si="302"/>
        <v>8.57</v>
      </c>
      <c r="DD374" s="119">
        <f t="shared" si="303"/>
        <v>0</v>
      </c>
      <c r="DE374" s="115">
        <f t="shared" si="283"/>
        <v>10</v>
      </c>
      <c r="DF374" s="121">
        <f t="shared" si="284"/>
        <v>6</v>
      </c>
      <c r="DG374" s="115">
        <f t="shared" si="285"/>
        <v>1395.7669180908142</v>
      </c>
      <c r="DH374" s="115">
        <f t="shared" si="286"/>
        <v>47</v>
      </c>
      <c r="DI374" s="147"/>
      <c r="DJ374" s="111" t="s">
        <v>197</v>
      </c>
      <c r="DK374" s="112">
        <v>43621</v>
      </c>
      <c r="DL374" s="113">
        <f t="shared" ca="1" si="266"/>
        <v>1483</v>
      </c>
      <c r="DM374" s="114"/>
      <c r="DN374" s="114"/>
      <c r="DO374" s="114"/>
      <c r="DP374" s="114"/>
      <c r="DQ374" s="112">
        <v>43621</v>
      </c>
      <c r="DR374" s="114" t="s">
        <v>324</v>
      </c>
      <c r="DS374" s="114"/>
      <c r="DT374" s="115">
        <v>51</v>
      </c>
      <c r="DU374" s="116">
        <f t="shared" si="267"/>
        <v>0.23805555555555558</v>
      </c>
      <c r="DV374" s="117">
        <f t="shared" si="268"/>
        <v>7.1645199999999996</v>
      </c>
      <c r="DW374" s="118">
        <f t="shared" si="269"/>
        <v>8.57</v>
      </c>
      <c r="DX374" s="119">
        <f t="shared" si="287"/>
        <v>0</v>
      </c>
      <c r="DY374" s="115">
        <f t="shared" si="270"/>
        <v>10</v>
      </c>
      <c r="DZ374" s="117">
        <f t="shared" si="305"/>
        <v>0</v>
      </c>
      <c r="EA374" s="120">
        <f t="shared" si="305"/>
        <v>0</v>
      </c>
      <c r="EB374" s="119">
        <f t="shared" si="264"/>
        <v>0</v>
      </c>
      <c r="EC374" s="121">
        <f t="shared" si="272"/>
        <v>0</v>
      </c>
      <c r="ED374" s="122"/>
      <c r="EE374" s="145">
        <v>65</v>
      </c>
      <c r="EF374" s="115">
        <v>27</v>
      </c>
      <c r="EG374" s="115">
        <v>40</v>
      </c>
      <c r="EH374" s="115">
        <v>26</v>
      </c>
      <c r="EI374" s="128" t="s">
        <v>195</v>
      </c>
      <c r="EJ374" s="121">
        <v>24</v>
      </c>
      <c r="EK374" s="121">
        <v>0</v>
      </c>
      <c r="EL374" s="149">
        <v>5.5510399999999995</v>
      </c>
      <c r="EM374" s="142">
        <v>6.64</v>
      </c>
      <c r="EN374" s="119">
        <v>0</v>
      </c>
      <c r="EO374" s="115">
        <v>15.2</v>
      </c>
      <c r="EP374" s="115">
        <v>1700.582233239177</v>
      </c>
      <c r="EQ374" s="115">
        <v>71</v>
      </c>
      <c r="ER374" s="115">
        <v>5.76</v>
      </c>
      <c r="ES374" s="115">
        <v>51</v>
      </c>
      <c r="ET374" s="150">
        <v>0.18444444444444444</v>
      </c>
      <c r="EU374" s="145">
        <f t="shared" si="288"/>
        <v>65</v>
      </c>
      <c r="EV374" s="115">
        <f t="shared" si="289"/>
        <v>25</v>
      </c>
      <c r="EW374" s="115">
        <f t="shared" si="289"/>
        <v>40</v>
      </c>
      <c r="EX374" s="115">
        <f t="shared" si="289"/>
        <v>24</v>
      </c>
      <c r="EY374" s="115" t="str">
        <f t="shared" si="253"/>
        <v>Постоянный</v>
      </c>
      <c r="EZ374" s="115">
        <f t="shared" si="253"/>
        <v>24</v>
      </c>
      <c r="FA374" s="115">
        <f t="shared" si="253"/>
        <v>0</v>
      </c>
      <c r="FB374" s="149">
        <f t="shared" si="298"/>
        <v>7.1645199999999996</v>
      </c>
      <c r="FC374" s="142">
        <f t="shared" si="298"/>
        <v>8.57</v>
      </c>
      <c r="FD374" s="119">
        <f t="shared" si="298"/>
        <v>0</v>
      </c>
      <c r="FE374" s="121">
        <f t="shared" si="298"/>
        <v>16</v>
      </c>
      <c r="FF374" s="121">
        <f t="shared" si="300"/>
        <v>1395.7669180908142</v>
      </c>
      <c r="FG374" s="121">
        <f t="shared" si="290"/>
        <v>72</v>
      </c>
      <c r="FH374" s="121">
        <f t="shared" si="301"/>
        <v>6</v>
      </c>
      <c r="FI374" s="121">
        <f t="shared" si="252"/>
        <v>47</v>
      </c>
      <c r="FJ374" s="144">
        <f t="shared" si="291"/>
        <v>0.21425</v>
      </c>
      <c r="FK374" s="132">
        <f t="shared" si="292"/>
        <v>0</v>
      </c>
      <c r="FL374" s="115">
        <f t="shared" si="292"/>
        <v>-2</v>
      </c>
      <c r="FM374" s="115">
        <f t="shared" si="292"/>
        <v>0</v>
      </c>
      <c r="FN374" s="115">
        <f t="shared" si="273"/>
        <v>-2</v>
      </c>
      <c r="FO374" s="115">
        <f t="shared" si="257"/>
        <v>0</v>
      </c>
      <c r="FP374" s="115">
        <f t="shared" si="257"/>
        <v>0</v>
      </c>
      <c r="FQ374" s="149">
        <f t="shared" si="257"/>
        <v>1.61348</v>
      </c>
      <c r="FR374" s="142">
        <f t="shared" si="256"/>
        <v>1.9300000000000006</v>
      </c>
      <c r="FS374" s="119">
        <f t="shared" si="256"/>
        <v>0</v>
      </c>
      <c r="FT374" s="121">
        <f t="shared" si="256"/>
        <v>0.80000000000000071</v>
      </c>
      <c r="FU374" s="121">
        <f t="shared" si="293"/>
        <v>1</v>
      </c>
      <c r="FV374" s="121">
        <f t="shared" si="293"/>
        <v>0.24000000000000021</v>
      </c>
      <c r="FW374" s="121">
        <f t="shared" si="294"/>
        <v>-304.81531514836274</v>
      </c>
      <c r="FX374" s="121">
        <f t="shared" si="295"/>
        <v>-4</v>
      </c>
      <c r="FY374" s="144">
        <f t="shared" si="295"/>
        <v>2.9805555555555557E-2</v>
      </c>
      <c r="FZ374" s="145" t="s">
        <v>199</v>
      </c>
      <c r="GA374" s="151" t="s">
        <v>200</v>
      </c>
      <c r="GB374" s="145" t="s">
        <v>199</v>
      </c>
      <c r="GC374" s="125" t="s">
        <v>415</v>
      </c>
      <c r="GD374" s="997" t="s">
        <v>202</v>
      </c>
      <c r="GE374" s="1004" t="s">
        <v>199</v>
      </c>
      <c r="GF374" s="1004">
        <v>-1.387760000000001</v>
      </c>
      <c r="GG374" s="1004"/>
      <c r="GH374" s="1004">
        <v>0</v>
      </c>
      <c r="GI374" s="145"/>
      <c r="GJ374" s="996">
        <v>0.83600000000000119</v>
      </c>
      <c r="GK374" s="145"/>
      <c r="GL374" s="996">
        <v>0.83599999999999941</v>
      </c>
      <c r="GM374" s="1005" t="s">
        <v>240</v>
      </c>
      <c r="GN374" s="996">
        <v>-2.8362886728000003</v>
      </c>
      <c r="GO374" s="1006"/>
      <c r="GP374" s="996">
        <v>0.8382486728000007</v>
      </c>
      <c r="GQ374" s="1006"/>
      <c r="GR374" s="996">
        <v>-0.2591600000000005</v>
      </c>
      <c r="GS374" s="1006"/>
      <c r="GT374" s="996">
        <v>0</v>
      </c>
      <c r="GU374" s="1006"/>
      <c r="GV374" s="996">
        <v>0</v>
      </c>
      <c r="GW374" s="1006"/>
      <c r="GX374" s="1035">
        <v>0</v>
      </c>
      <c r="GY374" s="1006"/>
      <c r="GZ374" s="996">
        <v>0.5851999999999995</v>
      </c>
      <c r="HA374" s="1006"/>
      <c r="HB374" s="996">
        <v>-8.359999999999701E-3</v>
      </c>
      <c r="HC374" s="1006" t="s">
        <v>223</v>
      </c>
      <c r="HD374" s="996">
        <v>-3.4702359999999999</v>
      </c>
      <c r="HE374" s="1006" t="s">
        <v>241</v>
      </c>
      <c r="HF374" s="996">
        <v>0</v>
      </c>
      <c r="HG374" s="1006" t="s">
        <v>199</v>
      </c>
      <c r="HH374" s="996">
        <v>2.4022292800000002</v>
      </c>
      <c r="HI374" s="1006"/>
      <c r="HJ374" s="996">
        <v>-0.16698264000000052</v>
      </c>
      <c r="HK374" s="1006"/>
      <c r="HL374" s="996">
        <v>0</v>
      </c>
      <c r="HM374" s="1006"/>
      <c r="HN374" s="996">
        <v>-0.12773243999999906</v>
      </c>
      <c r="HO374" s="1006"/>
      <c r="HP374" s="996">
        <v>0</v>
      </c>
      <c r="HQ374" s="1006"/>
      <c r="HR374" s="996">
        <v>-0.47604347999999952</v>
      </c>
      <c r="HS374" s="1006" t="s">
        <v>643</v>
      </c>
      <c r="HT374" s="996">
        <v>0</v>
      </c>
      <c r="HU374" s="1006" t="s">
        <v>223</v>
      </c>
      <c r="HV374" s="996">
        <v>-2.6057116800000006</v>
      </c>
      <c r="HW374" s="1006" t="s">
        <v>199</v>
      </c>
      <c r="HX374" s="996">
        <v>0.97714187999999957</v>
      </c>
      <c r="HY374" s="1006" t="s">
        <v>199</v>
      </c>
      <c r="HZ374" s="996">
        <v>1.3707841839999997</v>
      </c>
      <c r="IA374" s="1006"/>
      <c r="IB374" s="996">
        <v>-0.57383792399999933</v>
      </c>
      <c r="IC374" s="1006"/>
      <c r="ID374" s="996">
        <v>0.84393782000000073</v>
      </c>
      <c r="IE374" s="1006"/>
      <c r="IF374" s="996">
        <v>-0.41779100000000113</v>
      </c>
      <c r="IG374" s="1006"/>
      <c r="IH374" s="996">
        <v>0</v>
      </c>
      <c r="II374" s="1006"/>
      <c r="IJ374" s="996">
        <v>-0.83558199999999871</v>
      </c>
      <c r="IK374" s="1006"/>
      <c r="IL374" s="996">
        <v>-0.83558200000000227</v>
      </c>
      <c r="IM374" s="1006"/>
      <c r="IN374" s="996">
        <v>0</v>
      </c>
      <c r="IO374" s="1006"/>
      <c r="IP374" s="996">
        <v>0</v>
      </c>
      <c r="IQ374" s="1006" t="s">
        <v>199</v>
      </c>
      <c r="IR374" s="996">
        <v>-2.6738623999999991</v>
      </c>
      <c r="IS374" s="1006"/>
      <c r="IT374" s="996">
        <v>0</v>
      </c>
      <c r="IU374" s="1006"/>
      <c r="IV374" s="996">
        <v>0</v>
      </c>
      <c r="IW374" s="1006"/>
      <c r="IX374" s="996">
        <v>0</v>
      </c>
      <c r="IY374" s="1006"/>
      <c r="IZ374" s="996">
        <v>0</v>
      </c>
      <c r="JA374" s="1006"/>
      <c r="JB374" s="996">
        <v>-0.6684656000000011</v>
      </c>
      <c r="JC374" s="1006" t="s">
        <v>223</v>
      </c>
      <c r="JD374" s="996">
        <v>-7.0690237199999988</v>
      </c>
      <c r="JE374" s="1006"/>
      <c r="JF374" s="996">
        <v>0</v>
      </c>
      <c r="JG374" s="1006"/>
      <c r="JH374" s="996">
        <v>0</v>
      </c>
      <c r="JI374" s="1006"/>
      <c r="JJ374" s="996">
        <v>0</v>
      </c>
      <c r="JK374" s="1007"/>
      <c r="JL374" s="1007">
        <v>0</v>
      </c>
      <c r="JM374" s="1007"/>
      <c r="JN374" s="1007">
        <v>0</v>
      </c>
      <c r="JO374" s="1008" t="s">
        <v>203</v>
      </c>
      <c r="JP374" s="1007">
        <v>-3.7935422800000005</v>
      </c>
      <c r="JQ374" s="1008" t="s">
        <v>435</v>
      </c>
      <c r="JR374" s="1007">
        <v>-9.4593399999999939</v>
      </c>
      <c r="JS374" s="1008">
        <v>0</v>
      </c>
      <c r="JT374" s="1007">
        <v>0</v>
      </c>
      <c r="JU374" s="1008" t="s">
        <v>25</v>
      </c>
      <c r="JV374" s="1007">
        <v>34.526799999999994</v>
      </c>
      <c r="JW374" s="1008"/>
      <c r="JX374" s="1007"/>
      <c r="JY374" s="1008"/>
      <c r="JZ374" s="1007"/>
      <c r="KA374" s="1008"/>
      <c r="KB374" s="1007"/>
      <c r="KC374" s="1008"/>
      <c r="KD374" s="1007"/>
      <c r="KE374" s="1008"/>
      <c r="KF374" s="1007"/>
      <c r="KG374" s="1008"/>
      <c r="KH374" s="1007"/>
      <c r="KI374" s="1008"/>
      <c r="KJ374" s="1007"/>
      <c r="KK374" s="1008"/>
      <c r="KL374" s="1007"/>
      <c r="KM374" s="1008"/>
      <c r="KN374" s="1007"/>
      <c r="KO374" s="1008"/>
      <c r="KP374" s="1007"/>
      <c r="KQ374" s="1008"/>
      <c r="KR374" s="1007"/>
      <c r="KS374" s="1008"/>
      <c r="KT374" s="1007"/>
      <c r="KU374" s="1008"/>
      <c r="KV374" s="1007"/>
      <c r="KW374" s="1008"/>
      <c r="KX374" s="1007"/>
      <c r="KY374" s="1008"/>
      <c r="KZ374" s="1007"/>
      <c r="LA374" s="1008"/>
      <c r="LB374" s="1007"/>
      <c r="LC374" s="1008"/>
      <c r="LD374" s="1007"/>
      <c r="LE374" s="1008"/>
      <c r="LF374" s="1007"/>
      <c r="LG374" s="1008"/>
      <c r="LH374" s="1007"/>
      <c r="LI374" s="1008"/>
      <c r="LJ374" s="1007"/>
      <c r="LK374" s="1008"/>
      <c r="LL374" s="1007"/>
      <c r="LM374" s="1008"/>
      <c r="LN374" s="1007"/>
      <c r="LO374" s="1008"/>
      <c r="LP374" s="1007"/>
      <c r="LQ374" s="1008"/>
      <c r="LR374" s="1007"/>
      <c r="LS374" s="1008"/>
      <c r="LT374" s="1007"/>
      <c r="LU374" s="1008"/>
      <c r="LV374" s="1007"/>
      <c r="LW374" s="1008"/>
      <c r="LX374" s="1007"/>
      <c r="LY374" s="1009"/>
      <c r="LZ374" s="1010"/>
      <c r="MA374" s="1011"/>
      <c r="MB374" s="1012"/>
      <c r="MC374" s="995"/>
      <c r="MD374" s="996"/>
      <c r="ME374" s="997" t="s">
        <v>202</v>
      </c>
      <c r="MF374" s="997"/>
      <c r="MG374" s="998"/>
      <c r="NR374" s="1000"/>
      <c r="NS374" s="1000"/>
      <c r="NT374" s="1001"/>
      <c r="NU374" s="1000"/>
      <c r="NV374" s="1001"/>
      <c r="NX374" s="1002"/>
      <c r="NZ374" s="1001"/>
      <c r="OA374" s="1001"/>
      <c r="OC374" s="1003"/>
      <c r="OD374" s="1003"/>
      <c r="OE374" s="1001"/>
      <c r="OF374" s="1003"/>
      <c r="OG374" s="1003"/>
      <c r="QX374" s="1000">
        <f>CN374-CA374</f>
        <v>22</v>
      </c>
      <c r="ASU374" s="999" t="s">
        <v>208</v>
      </c>
    </row>
    <row r="375" spans="1:466 1191:1191" ht="21" customHeight="1" x14ac:dyDescent="0.25">
      <c r="A375" s="982">
        <f t="shared" si="274"/>
        <v>1415</v>
      </c>
      <c r="B375" s="124">
        <f>SUBTOTAL(103,$J$29:J375)</f>
        <v>347</v>
      </c>
      <c r="C375" s="126">
        <v>45096</v>
      </c>
      <c r="D375" s="124" t="s">
        <v>176</v>
      </c>
      <c r="E375" s="127" t="s">
        <v>177</v>
      </c>
      <c r="F375" s="128" t="s">
        <v>177</v>
      </c>
      <c r="G375" s="127" t="s">
        <v>178</v>
      </c>
      <c r="H375" s="127" t="s">
        <v>421</v>
      </c>
      <c r="I375" s="127" t="s">
        <v>1410</v>
      </c>
      <c r="J375" s="152">
        <v>1415</v>
      </c>
      <c r="K375" s="127" t="s">
        <v>1495</v>
      </c>
      <c r="L375" s="130">
        <v>42260</v>
      </c>
      <c r="M375" s="127" t="s">
        <v>230</v>
      </c>
      <c r="N375" s="127" t="s">
        <v>465</v>
      </c>
      <c r="O375" s="127" t="s">
        <v>608</v>
      </c>
      <c r="P375" s="127" t="s">
        <v>702</v>
      </c>
      <c r="Q375" s="85" t="str">
        <f t="shared" si="297"/>
        <v/>
      </c>
      <c r="R375" s="130"/>
      <c r="S375" s="128"/>
      <c r="T375" s="131"/>
      <c r="U375" s="132">
        <v>203</v>
      </c>
      <c r="V375" s="121">
        <v>218.2</v>
      </c>
      <c r="W375" s="116">
        <v>0.98</v>
      </c>
      <c r="X375" s="116">
        <v>1.66</v>
      </c>
      <c r="Y375" s="116">
        <f t="shared" si="299"/>
        <v>0.98</v>
      </c>
      <c r="Z375" s="133">
        <v>1.454</v>
      </c>
      <c r="AA375" s="133">
        <v>0.83599999999999997</v>
      </c>
      <c r="AB375" s="133">
        <v>0.72</v>
      </c>
      <c r="AC375" s="121">
        <v>34.299999999999997</v>
      </c>
      <c r="AD375" s="134">
        <v>1.17</v>
      </c>
      <c r="AE375" s="124" t="s">
        <v>1496</v>
      </c>
      <c r="AF375" s="128">
        <v>9.19</v>
      </c>
      <c r="AG375" s="128">
        <v>2239</v>
      </c>
      <c r="AH375" s="127">
        <v>2785</v>
      </c>
      <c r="AI375" s="127">
        <v>2785</v>
      </c>
      <c r="AJ375" s="135">
        <v>43058</v>
      </c>
      <c r="AK375" s="128" t="s">
        <v>1018</v>
      </c>
      <c r="AL375" s="131"/>
      <c r="AM375" s="124" t="s">
        <v>232</v>
      </c>
      <c r="AN375" s="136" t="s">
        <v>1497</v>
      </c>
      <c r="AO375" s="137">
        <v>72.16</v>
      </c>
      <c r="AP375" s="128">
        <v>2094.23</v>
      </c>
      <c r="AQ375" s="128">
        <v>192.23</v>
      </c>
      <c r="AR375" s="128" t="s">
        <v>1498</v>
      </c>
      <c r="AS375" s="128">
        <v>114</v>
      </c>
      <c r="AT375" s="122">
        <v>7.37</v>
      </c>
      <c r="AU375" s="124" t="s">
        <v>250</v>
      </c>
      <c r="AV375" s="115">
        <f>VLOOKUP(J375,'[63]ТР нефть'!$J$28:$BP$638,39,0)</f>
        <v>560</v>
      </c>
      <c r="AW375" s="115" t="str">
        <f>VLOOKUP(J375,'[63]ТР нефть'!$J$28:$BP$638,40,0)</f>
        <v>ГП</v>
      </c>
      <c r="AX375" s="115">
        <f>VLOOKUP(J375,'[63]ТР нефть'!$J$28:$BP$638,41,0)</f>
        <v>1020</v>
      </c>
      <c r="AY375" s="115" t="str">
        <f>VLOOKUP(J375,'[63]ТР нефть'!$J$28:$BP$638,42,0)</f>
        <v>ГК 87 1/8</v>
      </c>
      <c r="AZ375" s="115">
        <f>VLOOKUP(J375,'[63]ТР нефть'!$J$28:$BP$638,43,0)</f>
        <v>1390</v>
      </c>
      <c r="BA375" s="115" t="str">
        <f>VLOOKUP(J375,'[63]ТР нефть'!$J$28:$BP$638,44,0)</f>
        <v>ГК 70 1/8</v>
      </c>
      <c r="BB375" s="115">
        <f>VLOOKUP(J375,'[63]ТР нефть'!$J$28:$BP$638,45,0)</f>
        <v>1700</v>
      </c>
      <c r="BC375" s="115" t="str">
        <f>VLOOKUP(J375,'[63]ТР нефть'!$J$28:$BP$638,46,0)</f>
        <v>ЦКсОК 5/16</v>
      </c>
      <c r="BD375" s="115" t="str">
        <f>VLOOKUP(J375,'[63]ТР нефть'!$J$28:$BP$638,47,0)</f>
        <v>-</v>
      </c>
      <c r="BE375" s="115" t="str">
        <f>VLOOKUP(J375,'[63]ТР нефть'!$J$28:$BP$638,48,0)</f>
        <v>-</v>
      </c>
      <c r="BF375" s="115" t="str">
        <f>VLOOKUP(J375,'[63]ТР нефть'!$J$28:$BP$638,49,0)</f>
        <v>-</v>
      </c>
      <c r="BG375" s="115" t="str">
        <f>VLOOKUP(J375,'[63]ТР нефть'!$J$28:$BP$638,50,0)</f>
        <v>-</v>
      </c>
      <c r="BH375" s="115">
        <f>VLOOKUP(J375,'[63]ТР нефть'!$J$28:$BP$638,51,0)</f>
        <v>1760</v>
      </c>
      <c r="BI375" s="115" t="str">
        <f>VLOOKUP(J375,'[63]ТР нефть'!$J$28:$BP$638,52,0)</f>
        <v>открыт</v>
      </c>
      <c r="BJ375" s="115" t="str">
        <f>IF(IFERROR(VLOOKUP(J375,'[63]ТР нефть'!$J$28:$BP$638,53,0),"-")=0,"-",IFERROR(VLOOKUP(J375,'[63]ТР нефть'!$J$28:$BP$638,53,0),"-"))</f>
        <v>-</v>
      </c>
      <c r="BK375" s="138" t="str">
        <f>IF(IFERROR(VLOOKUP(J375,'[63]ТР нефть'!$J$28:$BP$638,54,0),"-")=0,"-",IFERROR(VLOOKUP(J375,'[63]ТР нефть'!$J$28:$BP$638,54,0),"-"))</f>
        <v>-</v>
      </c>
      <c r="BL375" s="138" t="str">
        <f>IF(IFERROR(VLOOKUP(J375,'[63]ТР нефть'!$J$28:$BP$638,55,0),"-")=0,"-",IFERROR(VLOOKUP(J375,'[63]ТР нефть'!$J$28:$BP$638,55,0),"-"))</f>
        <v>-</v>
      </c>
      <c r="BM375" s="138" t="str">
        <f>IF(IFERROR(VLOOKUP(J375,'[63]ТР нефть'!$J$28:$BP$638,56,0),"-")=0,"-",IFERROR(VLOOKUP(J375,'[63]ТР нефть'!$J$28:$BP$638,56,0),"-"))</f>
        <v>-</v>
      </c>
      <c r="BN375" s="138" t="str">
        <f>IF(IFERROR(VLOOKUP(J375,'[63]ТР нефть'!$J$28:$BP$638,57,0),"-")=0,"-",IFERROR(VLOOKUP(J375,'[63]ТР нефть'!$J$28:$BP$638,57,0),"-"))</f>
        <v>-</v>
      </c>
      <c r="BO375" s="115" t="str">
        <f>IF(IFERROR(VLOOKUP(J375,'[63]ТР нефть'!$J$28:$BP$638,58,0),"-")=0,"-",IFERROR(VLOOKUP(J375,'[63]ТР нефть'!$J$28:$BP$638,58,0),"-"))</f>
        <v>-</v>
      </c>
      <c r="BP375" s="115" t="str">
        <f>IF(IFERROR(VLOOKUP(J375,'[63]ТР нефть'!$J$28:$BP$638,59,0),"-")=0,"-",IFERROR(VLOOKUP(J375,'[63]ТР нефть'!$J$28:$BP$638,59,0),"-"))</f>
        <v>-</v>
      </c>
      <c r="BQ375" s="138">
        <v>1790</v>
      </c>
      <c r="BR375" s="128">
        <v>1666.07</v>
      </c>
      <c r="BS375" s="115">
        <f t="shared" si="304"/>
        <v>123.93000000000006</v>
      </c>
      <c r="BT375" s="128">
        <v>73</v>
      </c>
      <c r="BU375" s="128">
        <v>5.5</v>
      </c>
      <c r="BV375" s="127">
        <v>18</v>
      </c>
      <c r="BW375" s="127" t="s">
        <v>234</v>
      </c>
      <c r="BX375" s="127" t="s">
        <v>218</v>
      </c>
      <c r="BY375" s="139">
        <v>24</v>
      </c>
      <c r="BZ375" s="139">
        <v>720</v>
      </c>
      <c r="CA375" s="138">
        <v>20</v>
      </c>
      <c r="CB375" s="138">
        <v>38</v>
      </c>
      <c r="CC375" s="138">
        <v>19</v>
      </c>
      <c r="CD375" s="135">
        <v>45017</v>
      </c>
      <c r="CE375" s="138">
        <v>115</v>
      </c>
      <c r="CF375" s="138"/>
      <c r="CG375" s="138" t="str">
        <f t="shared" si="265"/>
        <v/>
      </c>
      <c r="CH375" s="138" t="s">
        <v>197</v>
      </c>
      <c r="CI375" s="127"/>
      <c r="CJ375" s="138"/>
      <c r="CK375" s="138"/>
      <c r="CL375" s="99"/>
      <c r="CM375" s="127"/>
      <c r="CN375" s="154">
        <v>45</v>
      </c>
      <c r="CO375" s="141">
        <f t="shared" si="276"/>
        <v>4.18</v>
      </c>
      <c r="CP375" s="142">
        <v>5</v>
      </c>
      <c r="CQ375" s="143">
        <v>0</v>
      </c>
      <c r="CR375" s="138">
        <v>90</v>
      </c>
      <c r="CS375" s="139"/>
      <c r="CT375" s="138"/>
      <c r="CU375" s="138">
        <f t="shared" si="277"/>
        <v>90</v>
      </c>
      <c r="CV375" s="115">
        <f t="shared" si="278"/>
        <v>21531.100478468899</v>
      </c>
      <c r="CW375" s="115" t="str">
        <f t="shared" si="279"/>
        <v/>
      </c>
      <c r="CX375" s="133">
        <f t="shared" si="280"/>
        <v>7.1428571428571425E-2</v>
      </c>
      <c r="CY375" s="116"/>
      <c r="CZ375" s="131"/>
      <c r="DA375" s="145" t="str">
        <f t="shared" si="281"/>
        <v>Фон.</v>
      </c>
      <c r="DB375" s="146">
        <f t="shared" si="282"/>
        <v>4.18</v>
      </c>
      <c r="DC375" s="142">
        <f t="shared" si="302"/>
        <v>5</v>
      </c>
      <c r="DD375" s="119">
        <f t="shared" si="303"/>
        <v>0</v>
      </c>
      <c r="DE375" s="115">
        <f t="shared" si="283"/>
        <v>90</v>
      </c>
      <c r="DF375" s="121">
        <f t="shared" si="284"/>
        <v>0</v>
      </c>
      <c r="DG375" s="115">
        <f t="shared" si="285"/>
        <v>21531.100478468899</v>
      </c>
      <c r="DH375" s="115">
        <f t="shared" si="286"/>
        <v>45</v>
      </c>
      <c r="DI375" s="147"/>
      <c r="DJ375" s="111">
        <v>43158</v>
      </c>
      <c r="DK375" s="112">
        <v>43199</v>
      </c>
      <c r="DL375" s="113">
        <f t="shared" ca="1" si="266"/>
        <v>1905</v>
      </c>
      <c r="DM375" s="114"/>
      <c r="DN375" s="114"/>
      <c r="DO375" s="114"/>
      <c r="DP375" s="114"/>
      <c r="DQ375" s="112">
        <v>43097</v>
      </c>
      <c r="DR375" s="114" t="s">
        <v>282</v>
      </c>
      <c r="DS375" s="114"/>
      <c r="DT375" s="115">
        <v>45</v>
      </c>
      <c r="DU375" s="116">
        <f t="shared" si="267"/>
        <v>7.1428571428571425E-2</v>
      </c>
      <c r="DV375" s="117">
        <f t="shared" si="268"/>
        <v>4.18</v>
      </c>
      <c r="DW375" s="118">
        <f t="shared" si="269"/>
        <v>5</v>
      </c>
      <c r="DX375" s="119">
        <f t="shared" si="287"/>
        <v>0</v>
      </c>
      <c r="DY375" s="115">
        <f t="shared" si="270"/>
        <v>90</v>
      </c>
      <c r="DZ375" s="117">
        <f t="shared" si="305"/>
        <v>0</v>
      </c>
      <c r="EA375" s="120">
        <f t="shared" si="305"/>
        <v>0</v>
      </c>
      <c r="EB375" s="119">
        <f t="shared" si="264"/>
        <v>0</v>
      </c>
      <c r="EC375" s="121">
        <f t="shared" si="272"/>
        <v>0</v>
      </c>
      <c r="ED375" s="122"/>
      <c r="EE375" s="145">
        <v>18</v>
      </c>
      <c r="EF375" s="115">
        <v>20</v>
      </c>
      <c r="EG375" s="115">
        <v>38</v>
      </c>
      <c r="EH375" s="115">
        <v>19</v>
      </c>
      <c r="EI375" s="128" t="s">
        <v>218</v>
      </c>
      <c r="EJ375" s="121">
        <v>24</v>
      </c>
      <c r="EK375" s="121">
        <v>720</v>
      </c>
      <c r="EL375" s="149">
        <v>4.18</v>
      </c>
      <c r="EM375" s="142">
        <v>5</v>
      </c>
      <c r="EN375" s="119">
        <v>0</v>
      </c>
      <c r="EO375" s="115">
        <v>90</v>
      </c>
      <c r="EP375" s="115">
        <v>21531.100478468899</v>
      </c>
      <c r="EQ375" s="115">
        <v>0</v>
      </c>
      <c r="ER375" s="115">
        <v>0</v>
      </c>
      <c r="ES375" s="115">
        <v>45</v>
      </c>
      <c r="ET375" s="150">
        <v>7.1428571428571425E-2</v>
      </c>
      <c r="EU375" s="145">
        <f t="shared" si="288"/>
        <v>18</v>
      </c>
      <c r="EV375" s="115">
        <f t="shared" si="289"/>
        <v>20</v>
      </c>
      <c r="EW375" s="115">
        <f t="shared" si="289"/>
        <v>38</v>
      </c>
      <c r="EX375" s="115">
        <f t="shared" si="289"/>
        <v>19</v>
      </c>
      <c r="EY375" s="115" t="str">
        <f t="shared" si="253"/>
        <v>Периодический</v>
      </c>
      <c r="EZ375" s="115">
        <f t="shared" si="253"/>
        <v>24</v>
      </c>
      <c r="FA375" s="115">
        <f t="shared" si="253"/>
        <v>720</v>
      </c>
      <c r="FB375" s="149">
        <f t="shared" si="298"/>
        <v>4.18</v>
      </c>
      <c r="FC375" s="142">
        <f t="shared" si="298"/>
        <v>5</v>
      </c>
      <c r="FD375" s="119">
        <f t="shared" si="298"/>
        <v>0</v>
      </c>
      <c r="FE375" s="121">
        <f t="shared" si="298"/>
        <v>90</v>
      </c>
      <c r="FF375" s="121">
        <f t="shared" si="300"/>
        <v>21531.100478468899</v>
      </c>
      <c r="FG375" s="121">
        <f t="shared" si="290"/>
        <v>0</v>
      </c>
      <c r="FH375" s="121">
        <f t="shared" si="301"/>
        <v>0</v>
      </c>
      <c r="FI375" s="121">
        <f t="shared" si="252"/>
        <v>45</v>
      </c>
      <c r="FJ375" s="144">
        <f t="shared" si="291"/>
        <v>7.1428571428571425E-2</v>
      </c>
      <c r="FK375" s="132">
        <f t="shared" si="292"/>
        <v>0</v>
      </c>
      <c r="FL375" s="115">
        <f t="shared" si="292"/>
        <v>0</v>
      </c>
      <c r="FM375" s="115">
        <f t="shared" si="292"/>
        <v>0</v>
      </c>
      <c r="FN375" s="115">
        <f t="shared" si="273"/>
        <v>0</v>
      </c>
      <c r="FO375" s="115">
        <f t="shared" si="257"/>
        <v>0</v>
      </c>
      <c r="FP375" s="115">
        <f t="shared" si="257"/>
        <v>0</v>
      </c>
      <c r="FQ375" s="149">
        <f t="shared" si="257"/>
        <v>0</v>
      </c>
      <c r="FR375" s="142">
        <f t="shared" si="256"/>
        <v>0</v>
      </c>
      <c r="FS375" s="119">
        <f t="shared" si="256"/>
        <v>0</v>
      </c>
      <c r="FT375" s="121">
        <f t="shared" si="256"/>
        <v>0</v>
      </c>
      <c r="FU375" s="121">
        <f t="shared" si="293"/>
        <v>0</v>
      </c>
      <c r="FV375" s="121">
        <f t="shared" si="293"/>
        <v>0</v>
      </c>
      <c r="FW375" s="121">
        <f t="shared" si="294"/>
        <v>0</v>
      </c>
      <c r="FX375" s="121">
        <f t="shared" si="295"/>
        <v>0</v>
      </c>
      <c r="FY375" s="144">
        <f t="shared" si="295"/>
        <v>0</v>
      </c>
      <c r="FZ375" s="145"/>
      <c r="GA375" s="151"/>
      <c r="GB375" s="145"/>
      <c r="GC375" s="151" t="s">
        <v>704</v>
      </c>
      <c r="GD375" s="997" t="s">
        <v>238</v>
      </c>
      <c r="GE375" s="1004"/>
      <c r="GF375" s="1004">
        <v>0</v>
      </c>
      <c r="GG375" s="1004"/>
      <c r="GH375" s="1004">
        <v>0</v>
      </c>
      <c r="GI375" s="145"/>
      <c r="GJ375" s="996">
        <v>0</v>
      </c>
      <c r="GK375" s="145"/>
      <c r="GL375" s="996">
        <v>0</v>
      </c>
      <c r="GM375" s="1005"/>
      <c r="GN375" s="996">
        <v>0</v>
      </c>
      <c r="GO375" s="1006"/>
      <c r="GP375" s="996">
        <v>0</v>
      </c>
      <c r="GQ375" s="1006"/>
      <c r="GR375" s="996">
        <v>0</v>
      </c>
      <c r="GS375" s="1006" t="s">
        <v>199</v>
      </c>
      <c r="GT375" s="996">
        <v>-4.854193548387097</v>
      </c>
      <c r="GU375" s="1006"/>
      <c r="GV375" s="996">
        <v>0</v>
      </c>
      <c r="GW375" s="1006"/>
      <c r="GX375" s="997">
        <v>0</v>
      </c>
      <c r="GY375" s="1006"/>
      <c r="GZ375" s="996">
        <v>0</v>
      </c>
      <c r="HA375" s="1006"/>
      <c r="HB375" s="996">
        <v>0</v>
      </c>
      <c r="HC375" s="1006"/>
      <c r="HD375" s="996">
        <v>0</v>
      </c>
      <c r="HE375" s="1006" t="s">
        <v>1499</v>
      </c>
      <c r="HF375" s="996">
        <v>0</v>
      </c>
      <c r="HG375" s="1006"/>
      <c r="HH375" s="996">
        <v>0</v>
      </c>
      <c r="HI375" s="1006"/>
      <c r="HJ375" s="996">
        <v>0</v>
      </c>
      <c r="HK375" s="1006"/>
      <c r="HL375" s="996">
        <v>0</v>
      </c>
      <c r="HM375" s="1006"/>
      <c r="HN375" s="996">
        <v>0</v>
      </c>
      <c r="HO375" s="1006"/>
      <c r="HP375" s="996">
        <v>0</v>
      </c>
      <c r="HQ375" s="1006"/>
      <c r="HR375" s="996">
        <v>-0.19871719999999993</v>
      </c>
      <c r="HS375" s="1006"/>
      <c r="HT375" s="996">
        <v>0</v>
      </c>
      <c r="HU375" s="1006"/>
      <c r="HV375" s="996">
        <v>0</v>
      </c>
      <c r="HW375" s="1006"/>
      <c r="HX375" s="996">
        <v>-0.68175800000000031</v>
      </c>
      <c r="HY375" s="1006" t="s">
        <v>241</v>
      </c>
      <c r="HZ375" s="996">
        <v>1.9672752000000004</v>
      </c>
      <c r="IA375" s="1006" t="s">
        <v>241</v>
      </c>
      <c r="IB375" s="996">
        <v>-1.9157776000000002</v>
      </c>
      <c r="IC375" s="1006"/>
      <c r="ID375" s="996">
        <v>0</v>
      </c>
      <c r="IE375" s="1006" t="s">
        <v>204</v>
      </c>
      <c r="IF375" s="996">
        <v>-2.75360008</v>
      </c>
      <c r="IG375" s="1006" t="s">
        <v>204</v>
      </c>
      <c r="IH375" s="996">
        <v>5.2545776800000006</v>
      </c>
      <c r="II375" s="1006"/>
      <c r="IJ375" s="996">
        <v>0</v>
      </c>
      <c r="IK375" s="1006"/>
      <c r="IL375" s="996">
        <v>-0.83599999999999985</v>
      </c>
      <c r="IM375" s="1006"/>
      <c r="IN375" s="996">
        <v>0</v>
      </c>
      <c r="IO375" s="1006"/>
      <c r="IP375" s="996">
        <v>0</v>
      </c>
      <c r="IQ375" s="1006"/>
      <c r="IR375" s="996">
        <v>0</v>
      </c>
      <c r="IS375" s="1006"/>
      <c r="IT375" s="996">
        <v>0</v>
      </c>
      <c r="IU375" s="1006"/>
      <c r="IV375" s="996">
        <v>0</v>
      </c>
      <c r="IW375" s="1006"/>
      <c r="IX375" s="996">
        <v>0</v>
      </c>
      <c r="IY375" s="1006"/>
      <c r="IZ375" s="996">
        <v>0</v>
      </c>
      <c r="JA375" s="1006" t="s">
        <v>223</v>
      </c>
      <c r="JB375" s="996">
        <v>-2.3407999999999998</v>
      </c>
      <c r="JC375" s="1006"/>
      <c r="JD375" s="996">
        <v>0</v>
      </c>
      <c r="JE375" s="1006"/>
      <c r="JF375" s="996">
        <v>0</v>
      </c>
      <c r="JG375" s="1006"/>
      <c r="JH375" s="996">
        <v>0</v>
      </c>
      <c r="JI375" s="1006"/>
      <c r="JJ375" s="996">
        <v>0</v>
      </c>
      <c r="JK375" s="1007" t="s">
        <v>25</v>
      </c>
      <c r="JL375" s="1007">
        <v>1.4211999999999998</v>
      </c>
      <c r="JM375" s="1007"/>
      <c r="JN375" s="1007">
        <v>0</v>
      </c>
      <c r="JO375" s="1008"/>
      <c r="JP375" s="1007">
        <v>0.91959999999999997</v>
      </c>
      <c r="JQ375" s="1008">
        <v>0</v>
      </c>
      <c r="JR375" s="1007">
        <v>0</v>
      </c>
      <c r="JS375" s="1008" t="s">
        <v>275</v>
      </c>
      <c r="JT375" s="1007">
        <v>-17.020959999999999</v>
      </c>
      <c r="JU375" s="1008"/>
      <c r="JV375" s="1007">
        <v>0</v>
      </c>
      <c r="JW375" s="1008" t="s">
        <v>197</v>
      </c>
      <c r="JX375" s="1007">
        <v>0</v>
      </c>
      <c r="JY375" s="1008"/>
      <c r="JZ375" s="1007">
        <v>0</v>
      </c>
      <c r="KA375" s="1008" t="s">
        <v>204</v>
      </c>
      <c r="KB375" s="1007">
        <v>1.1369599999999984</v>
      </c>
      <c r="KC375" s="1008"/>
      <c r="KD375" s="1007">
        <v>0</v>
      </c>
      <c r="KE375" s="1008"/>
      <c r="KF375" s="1007">
        <v>0</v>
      </c>
      <c r="KG375" s="1008" t="s">
        <v>204</v>
      </c>
      <c r="KH375" s="1007">
        <v>3.3440000000000012</v>
      </c>
      <c r="KI375" s="1008"/>
      <c r="KJ375" s="1007">
        <v>0</v>
      </c>
      <c r="KK375" s="1008" t="s">
        <v>206</v>
      </c>
      <c r="KL375" s="1007">
        <v>-1.8726400000000005</v>
      </c>
      <c r="KM375" s="1008" t="s">
        <v>206</v>
      </c>
      <c r="KN375" s="1007">
        <v>2.7086400000000008</v>
      </c>
      <c r="KO375" s="1008"/>
      <c r="KP375" s="1007">
        <v>0</v>
      </c>
      <c r="KQ375" s="1008" t="s">
        <v>203</v>
      </c>
      <c r="KR375" s="1007">
        <v>7.5239999999999991</v>
      </c>
      <c r="KS375" s="1008">
        <v>0</v>
      </c>
      <c r="KT375" s="1007">
        <v>9.1959999999998487E-2</v>
      </c>
      <c r="KU375" s="1008" t="s">
        <v>555</v>
      </c>
      <c r="KV375" s="1007">
        <v>7.4412360000000008</v>
      </c>
      <c r="KW375" s="1008" t="s">
        <v>342</v>
      </c>
      <c r="KX375" s="1007">
        <v>-4.1731959999999999</v>
      </c>
      <c r="KY375" s="1008">
        <v>0</v>
      </c>
      <c r="KZ375" s="1007">
        <v>-5.4340000000000002</v>
      </c>
      <c r="LA375" s="1008">
        <v>0</v>
      </c>
      <c r="LB375" s="1007">
        <v>0</v>
      </c>
      <c r="LC375" s="1008">
        <v>0</v>
      </c>
      <c r="LD375" s="1007">
        <v>0</v>
      </c>
      <c r="LE375" s="1008" t="s">
        <v>25</v>
      </c>
      <c r="LF375" s="1007">
        <v>17.472399999999997</v>
      </c>
      <c r="LG375" s="1008">
        <v>0</v>
      </c>
      <c r="LH375" s="1007">
        <v>0</v>
      </c>
      <c r="LI375" s="1008">
        <v>0</v>
      </c>
      <c r="LJ375" s="1007">
        <v>0</v>
      </c>
      <c r="LK375" s="1008">
        <v>0</v>
      </c>
      <c r="LL375" s="1007">
        <v>0</v>
      </c>
      <c r="LM375" s="1008">
        <v>0</v>
      </c>
      <c r="LN375" s="1007">
        <v>0</v>
      </c>
      <c r="LO375" s="1008">
        <v>0</v>
      </c>
      <c r="LP375" s="1007">
        <v>0</v>
      </c>
      <c r="LQ375" s="1008">
        <v>0</v>
      </c>
      <c r="LR375" s="1007">
        <v>0</v>
      </c>
      <c r="LS375" s="1008">
        <v>0</v>
      </c>
      <c r="LT375" s="1007">
        <v>0</v>
      </c>
      <c r="LU375" s="1008">
        <v>0</v>
      </c>
      <c r="LV375" s="1007">
        <v>0</v>
      </c>
      <c r="LW375" s="1008">
        <v>0</v>
      </c>
      <c r="LX375" s="1007">
        <v>0</v>
      </c>
      <c r="LY375" s="1009">
        <v>0</v>
      </c>
      <c r="LZ375" s="1010">
        <v>0</v>
      </c>
      <c r="MA375" s="1011">
        <v>0</v>
      </c>
      <c r="MB375" s="1012">
        <v>0</v>
      </c>
      <c r="MC375" s="995"/>
      <c r="MD375" s="996"/>
      <c r="ME375" s="997" t="s">
        <v>238</v>
      </c>
      <c r="MF375" s="997"/>
      <c r="MG375" s="998"/>
      <c r="NR375" s="1000"/>
      <c r="NS375" s="1000"/>
      <c r="NT375" s="1001"/>
      <c r="NU375" s="1000"/>
      <c r="NV375" s="1001"/>
      <c r="NX375" s="1002"/>
      <c r="NZ375" s="1001"/>
      <c r="OA375" s="1001"/>
      <c r="OC375" s="1003"/>
      <c r="OD375" s="1003"/>
      <c r="OE375" s="1001"/>
      <c r="OF375" s="1003"/>
      <c r="OG375" s="1003"/>
      <c r="QX375" s="1000">
        <f>CN375-CA375</f>
        <v>25</v>
      </c>
      <c r="ASU375" s="999" t="s">
        <v>292</v>
      </c>
    </row>
    <row r="376" spans="1:466 1191:1191" ht="21" customHeight="1" x14ac:dyDescent="0.25">
      <c r="A376" s="982">
        <f t="shared" si="274"/>
        <v>1416</v>
      </c>
      <c r="B376" s="124">
        <f>SUBTOTAL(103,$J$29:J376)</f>
        <v>348</v>
      </c>
      <c r="C376" s="126">
        <v>45068</v>
      </c>
      <c r="D376" s="124" t="s">
        <v>176</v>
      </c>
      <c r="E376" s="127" t="s">
        <v>177</v>
      </c>
      <c r="F376" s="128" t="s">
        <v>177</v>
      </c>
      <c r="G376" s="127" t="s">
        <v>178</v>
      </c>
      <c r="H376" s="127" t="s">
        <v>421</v>
      </c>
      <c r="I376" s="127" t="s">
        <v>422</v>
      </c>
      <c r="J376" s="129">
        <v>1416</v>
      </c>
      <c r="K376" s="127" t="s">
        <v>1399</v>
      </c>
      <c r="L376" s="130">
        <v>43496</v>
      </c>
      <c r="M376" s="127" t="s">
        <v>230</v>
      </c>
      <c r="N376" s="127" t="s">
        <v>465</v>
      </c>
      <c r="O376" s="127" t="s">
        <v>185</v>
      </c>
      <c r="P376" s="127" t="s">
        <v>186</v>
      </c>
      <c r="Q376" s="85" t="str">
        <f t="shared" si="297"/>
        <v/>
      </c>
      <c r="R376" s="130"/>
      <c r="S376" s="128"/>
      <c r="T376" s="131"/>
      <c r="U376" s="132">
        <v>203</v>
      </c>
      <c r="V376" s="121">
        <v>218.2</v>
      </c>
      <c r="W376" s="116">
        <v>0.98</v>
      </c>
      <c r="X376" s="116">
        <v>1.66</v>
      </c>
      <c r="Y376" s="116">
        <f t="shared" si="299"/>
        <v>0.99632533072023521</v>
      </c>
      <c r="Z376" s="133">
        <v>1.454</v>
      </c>
      <c r="AA376" s="133">
        <v>0.83599999999999997</v>
      </c>
      <c r="AB376" s="133">
        <v>0.72</v>
      </c>
      <c r="AC376" s="121">
        <v>34.299999999999997</v>
      </c>
      <c r="AD376" s="134">
        <v>1.17</v>
      </c>
      <c r="AE376" s="124">
        <v>177.8</v>
      </c>
      <c r="AF376" s="128">
        <v>9.19</v>
      </c>
      <c r="AG376" s="128">
        <v>2209.34</v>
      </c>
      <c r="AH376" s="127">
        <v>2951</v>
      </c>
      <c r="AI376" s="127">
        <v>2951</v>
      </c>
      <c r="AJ376" s="135"/>
      <c r="AK376" s="128"/>
      <c r="AL376" s="131"/>
      <c r="AM376" s="124" t="s">
        <v>232</v>
      </c>
      <c r="AN376" s="136" t="s">
        <v>1500</v>
      </c>
      <c r="AO376" s="137">
        <v>37.159999999999997</v>
      </c>
      <c r="AP376" s="128">
        <v>2209</v>
      </c>
      <c r="AQ376" s="128">
        <v>331.51707774798933</v>
      </c>
      <c r="AR376" s="128"/>
      <c r="AS376" s="128"/>
      <c r="AT376" s="122"/>
      <c r="AU376" s="124" t="s">
        <v>189</v>
      </c>
      <c r="AV376" s="115">
        <f>VLOOKUP(J376,'[63]ТР нефть'!$J$28:$BP$638,39,0)</f>
        <v>549.99999140600005</v>
      </c>
      <c r="AW376" s="115" t="str">
        <f>VLOOKUP(J376,'[63]ТР нефть'!$J$28:$BP$638,40,0)</f>
        <v>ГП</v>
      </c>
      <c r="AX376" s="115">
        <f>VLOOKUP(J376,'[63]ТР нефть'!$J$28:$BP$638,41,0)</f>
        <v>980.00001445299995</v>
      </c>
      <c r="AY376" s="115" t="str">
        <f>VLOOKUP(J376,'[63]ТР нефть'!$J$28:$BP$638,42,0)</f>
        <v>ГК 89 1/8</v>
      </c>
      <c r="AZ376" s="115">
        <f>VLOOKUP(J376,'[63]ТР нефть'!$J$28:$BP$638,43,0)</f>
        <v>1310.000039063</v>
      </c>
      <c r="BA376" s="115" t="str">
        <f>VLOOKUP(J376,'[63]ТР нефть'!$J$28:$BP$638,44,0)</f>
        <v>ГК 90 1/8</v>
      </c>
      <c r="BB376" s="115">
        <f>VLOOKUP(J376,'[63]ТР нефть'!$J$28:$BP$638,45,0)</f>
        <v>1574.9999753909999</v>
      </c>
      <c r="BC376" s="115" t="str">
        <f>VLOOKUP(J376,'[63]ТР нефть'!$J$28:$BP$638,46,0)</f>
        <v>ГК 90 1/8</v>
      </c>
      <c r="BD376" s="115">
        <f>VLOOKUP(J376,'[63]ТР нефть'!$J$28:$BP$638,47,0)</f>
        <v>1910.000029688</v>
      </c>
      <c r="BE376" s="115" t="str">
        <f>VLOOKUP(J376,'[63]ТР нефть'!$J$28:$BP$638,48,0)</f>
        <v>ЦКсОК 5/16</v>
      </c>
      <c r="BF376" s="115" t="str">
        <f>VLOOKUP(J376,'[63]ТР нефть'!$J$28:$BP$638,49,0)</f>
        <v>-</v>
      </c>
      <c r="BG376" s="115" t="str">
        <f>VLOOKUP(J376,'[63]ТР нефть'!$J$28:$BP$638,50,0)</f>
        <v>-</v>
      </c>
      <c r="BH376" s="115">
        <f>VLOOKUP(J376,'[63]ТР нефть'!$J$28:$BP$638,51,0)</f>
        <v>1920</v>
      </c>
      <c r="BI376" s="115" t="str">
        <f>VLOOKUP(J376,'[63]ТР нефть'!$J$28:$BP$638,52,0)</f>
        <v>закрыт</v>
      </c>
      <c r="BJ376" s="115" t="str">
        <f>IF(IFERROR(VLOOKUP(J376,'[63]ТР нефть'!$J$28:$BP$638,53,0),"-")=0,"-",IFERROR(VLOOKUP(J376,'[63]ТР нефть'!$J$28:$BP$638,53,0),"-"))</f>
        <v>-</v>
      </c>
      <c r="BK376" s="138" t="str">
        <f>IF(IFERROR(VLOOKUP(J376,'[63]ТР нефть'!$J$28:$BP$638,54,0),"-")=0,"-",IFERROR(VLOOKUP(J376,'[63]ТР нефть'!$J$28:$BP$638,54,0),"-"))</f>
        <v>-</v>
      </c>
      <c r="BL376" s="138" t="str">
        <f>IF(IFERROR(VLOOKUP(J376,'[63]ТР нефть'!$J$28:$BP$638,55,0),"-")=0,"-",IFERROR(VLOOKUP(J376,'[63]ТР нефть'!$J$28:$BP$638,55,0),"-"))</f>
        <v>-</v>
      </c>
      <c r="BM376" s="138" t="str">
        <f>IF(IFERROR(VLOOKUP(J376,'[63]ТР нефть'!$J$28:$BP$638,56,0),"-")=0,"-",IFERROR(VLOOKUP(J376,'[63]ТР нефть'!$J$28:$BP$638,56,0),"-"))</f>
        <v>-</v>
      </c>
      <c r="BN376" s="138" t="str">
        <f>IF(IFERROR(VLOOKUP(J376,'[63]ТР нефть'!$J$28:$BP$638,57,0),"-")=0,"-",IFERROR(VLOOKUP(J376,'[63]ТР нефть'!$J$28:$BP$638,57,0),"-"))</f>
        <v>-</v>
      </c>
      <c r="BO376" s="115" t="str">
        <f>IF(IFERROR(VLOOKUP(J376,'[63]ТР нефть'!$J$28:$BP$638,58,0),"-")=0,"-",IFERROR(VLOOKUP(J376,'[63]ТР нефть'!$J$28:$BP$638,58,0),"-"))</f>
        <v>-</v>
      </c>
      <c r="BP376" s="115" t="str">
        <f>IF(IFERROR(VLOOKUP(J376,'[63]ТР нефть'!$J$28:$BP$638,59,0),"-")=0,"-",IFERROR(VLOOKUP(J376,'[63]ТР нефть'!$J$28:$BP$638,59,0),"-"))</f>
        <v>-</v>
      </c>
      <c r="BQ376" s="138">
        <v>2260</v>
      </c>
      <c r="BR376" s="128">
        <v>1893.35</v>
      </c>
      <c r="BS376" s="115">
        <f t="shared" si="304"/>
        <v>366.65000000000009</v>
      </c>
      <c r="BT376" s="128">
        <v>73</v>
      </c>
      <c r="BU376" s="128">
        <v>5.5</v>
      </c>
      <c r="BV376" s="127">
        <v>18</v>
      </c>
      <c r="BW376" s="127" t="s">
        <v>217</v>
      </c>
      <c r="BX376" s="127" t="s">
        <v>218</v>
      </c>
      <c r="BY376" s="139">
        <v>24</v>
      </c>
      <c r="BZ376" s="139">
        <v>24</v>
      </c>
      <c r="CA376" s="138">
        <v>18</v>
      </c>
      <c r="CB376" s="138">
        <v>48</v>
      </c>
      <c r="CC376" s="138">
        <v>17</v>
      </c>
      <c r="CD376" s="135">
        <v>45017</v>
      </c>
      <c r="CE376" s="138">
        <v>110</v>
      </c>
      <c r="CF376" s="138">
        <v>70</v>
      </c>
      <c r="CG376" s="138" t="str">
        <f t="shared" si="265"/>
        <v/>
      </c>
      <c r="CH376" s="138" t="s">
        <v>197</v>
      </c>
      <c r="CI376" s="127">
        <v>6</v>
      </c>
      <c r="CJ376" s="138"/>
      <c r="CK376" s="138"/>
      <c r="CL376" s="99"/>
      <c r="CM376" s="99"/>
      <c r="CN376" s="140">
        <v>48</v>
      </c>
      <c r="CO376" s="159">
        <f t="shared" si="276"/>
        <v>1.9261439999999999</v>
      </c>
      <c r="CP376" s="160">
        <v>2.4</v>
      </c>
      <c r="CQ376" s="161">
        <v>4</v>
      </c>
      <c r="CR376" s="115">
        <v>6.2</v>
      </c>
      <c r="CS376" s="139">
        <v>3.8</v>
      </c>
      <c r="CT376" s="138"/>
      <c r="CU376" s="138">
        <f t="shared" si="277"/>
        <v>2.4000000000000004</v>
      </c>
      <c r="CV376" s="115">
        <f t="shared" si="278"/>
        <v>1246.0127591706541</v>
      </c>
      <c r="CW376" s="115">
        <f t="shared" si="279"/>
        <v>1865.2027769924291</v>
      </c>
      <c r="CX376" s="133">
        <f t="shared" si="280"/>
        <v>3.870967741935484E-2</v>
      </c>
      <c r="CY376" s="116"/>
      <c r="CZ376" s="131"/>
      <c r="DA376" s="145" t="str">
        <f t="shared" si="281"/>
        <v>Газлифт</v>
      </c>
      <c r="DB376" s="146">
        <f t="shared" si="282"/>
        <v>1.9261439999999999</v>
      </c>
      <c r="DC376" s="142">
        <f t="shared" si="302"/>
        <v>2.4</v>
      </c>
      <c r="DD376" s="119">
        <f t="shared" si="303"/>
        <v>4</v>
      </c>
      <c r="DE376" s="115">
        <f t="shared" si="283"/>
        <v>2.4000000000000004</v>
      </c>
      <c r="DF376" s="121">
        <f t="shared" si="284"/>
        <v>3.8</v>
      </c>
      <c r="DG376" s="115">
        <f t="shared" si="285"/>
        <v>1246.0127591706541</v>
      </c>
      <c r="DH376" s="115">
        <f t="shared" si="286"/>
        <v>48</v>
      </c>
      <c r="DI376" s="147"/>
      <c r="DJ376" s="111" t="s">
        <v>197</v>
      </c>
      <c r="DK376" s="112">
        <v>43496.083333333336</v>
      </c>
      <c r="DL376" s="113">
        <f t="shared" ca="1" si="266"/>
        <v>1607.9166666666642</v>
      </c>
      <c r="DM376" s="114"/>
      <c r="DN376" s="114"/>
      <c r="DO376" s="114"/>
      <c r="DP376" s="114"/>
      <c r="DQ376" s="112">
        <v>43496</v>
      </c>
      <c r="DR376" s="114" t="s">
        <v>324</v>
      </c>
      <c r="DS376" s="114"/>
      <c r="DT376" s="115">
        <v>60</v>
      </c>
      <c r="DU376" s="116">
        <f t="shared" si="267"/>
        <v>4.8000000000000001E-2</v>
      </c>
      <c r="DV376" s="117">
        <f t="shared" si="268"/>
        <v>1.9261439999999999</v>
      </c>
      <c r="DW376" s="118">
        <f t="shared" si="269"/>
        <v>2.4</v>
      </c>
      <c r="DX376" s="119">
        <f t="shared" si="287"/>
        <v>4</v>
      </c>
      <c r="DY376" s="115">
        <f t="shared" si="270"/>
        <v>2.4000000000000004</v>
      </c>
      <c r="DZ376" s="117">
        <f t="shared" si="305"/>
        <v>0</v>
      </c>
      <c r="EA376" s="120">
        <f t="shared" si="305"/>
        <v>0</v>
      </c>
      <c r="EB376" s="119">
        <f t="shared" si="264"/>
        <v>0</v>
      </c>
      <c r="EC376" s="121">
        <f t="shared" si="272"/>
        <v>0</v>
      </c>
      <c r="ED376" s="122"/>
      <c r="EE376" s="145">
        <v>18</v>
      </c>
      <c r="EF376" s="115">
        <v>29</v>
      </c>
      <c r="EG376" s="115">
        <v>48</v>
      </c>
      <c r="EH376" s="115">
        <v>29</v>
      </c>
      <c r="EI376" s="128" t="s">
        <v>218</v>
      </c>
      <c r="EJ376" s="121">
        <v>24</v>
      </c>
      <c r="EK376" s="121">
        <v>24</v>
      </c>
      <c r="EL376" s="162">
        <v>3.1654304</v>
      </c>
      <c r="EM376" s="142">
        <v>4</v>
      </c>
      <c r="EN376" s="119">
        <v>5.34</v>
      </c>
      <c r="EO376" s="115">
        <v>7</v>
      </c>
      <c r="EP376" s="115">
        <v>1453.198907800974</v>
      </c>
      <c r="EQ376" s="115">
        <v>70</v>
      </c>
      <c r="ER376" s="115">
        <v>2.4</v>
      </c>
      <c r="ES376" s="115">
        <v>54</v>
      </c>
      <c r="ET376" s="150">
        <v>7.1428571428571425E-2</v>
      </c>
      <c r="EU376" s="145">
        <f t="shared" si="288"/>
        <v>18</v>
      </c>
      <c r="EV376" s="115">
        <f t="shared" si="289"/>
        <v>18</v>
      </c>
      <c r="EW376" s="115">
        <f t="shared" si="289"/>
        <v>48</v>
      </c>
      <c r="EX376" s="115">
        <f t="shared" si="289"/>
        <v>17</v>
      </c>
      <c r="EY376" s="115" t="str">
        <f t="shared" si="253"/>
        <v>Периодический</v>
      </c>
      <c r="EZ376" s="115">
        <f t="shared" si="253"/>
        <v>24</v>
      </c>
      <c r="FA376" s="115">
        <f t="shared" si="253"/>
        <v>24</v>
      </c>
      <c r="FB376" s="149">
        <f t="shared" si="298"/>
        <v>1.9261439999999999</v>
      </c>
      <c r="FC376" s="142">
        <f t="shared" si="298"/>
        <v>2.4</v>
      </c>
      <c r="FD376" s="119">
        <f t="shared" si="298"/>
        <v>4</v>
      </c>
      <c r="FE376" s="121">
        <f t="shared" si="298"/>
        <v>6.2</v>
      </c>
      <c r="FF376" s="121">
        <f t="shared" si="300"/>
        <v>1246.0127591706541</v>
      </c>
      <c r="FG376" s="121">
        <f t="shared" si="290"/>
        <v>70</v>
      </c>
      <c r="FH376" s="121">
        <f t="shared" si="301"/>
        <v>3.8</v>
      </c>
      <c r="FI376" s="121">
        <f t="shared" si="252"/>
        <v>48</v>
      </c>
      <c r="FJ376" s="144">
        <f t="shared" si="291"/>
        <v>3.870967741935484E-2</v>
      </c>
      <c r="FK376" s="132">
        <f t="shared" si="292"/>
        <v>0</v>
      </c>
      <c r="FL376" s="115">
        <f t="shared" si="292"/>
        <v>-11</v>
      </c>
      <c r="FM376" s="115">
        <f t="shared" si="292"/>
        <v>0</v>
      </c>
      <c r="FN376" s="115">
        <f t="shared" si="273"/>
        <v>-12</v>
      </c>
      <c r="FO376" s="115">
        <f t="shared" si="257"/>
        <v>0</v>
      </c>
      <c r="FP376" s="115">
        <f t="shared" si="257"/>
        <v>0</v>
      </c>
      <c r="FQ376" s="149">
        <f t="shared" si="257"/>
        <v>-1.2392864000000001</v>
      </c>
      <c r="FR376" s="142">
        <f t="shared" si="256"/>
        <v>-1.6</v>
      </c>
      <c r="FS376" s="119">
        <f t="shared" si="256"/>
        <v>-1.3399999999999999</v>
      </c>
      <c r="FT376" s="121">
        <f t="shared" si="256"/>
        <v>-0.79999999999999982</v>
      </c>
      <c r="FU376" s="121">
        <f t="shared" si="293"/>
        <v>0</v>
      </c>
      <c r="FV376" s="121">
        <f t="shared" si="293"/>
        <v>1.4</v>
      </c>
      <c r="FW376" s="121">
        <f t="shared" si="294"/>
        <v>-207.18614863031985</v>
      </c>
      <c r="FX376" s="121">
        <f>CN376-ES376</f>
        <v>-6</v>
      </c>
      <c r="FY376" s="144">
        <f t="shared" si="295"/>
        <v>-3.2718894009216584E-2</v>
      </c>
      <c r="FZ376" s="145" t="s">
        <v>204</v>
      </c>
      <c r="GA376" s="151" t="s">
        <v>1501</v>
      </c>
      <c r="GB376" s="145"/>
      <c r="GC376" s="151" t="s">
        <v>1502</v>
      </c>
      <c r="GD376" s="997" t="s">
        <v>416</v>
      </c>
      <c r="GE376" s="1004"/>
      <c r="GF376" s="1004">
        <v>0</v>
      </c>
      <c r="GG376" s="1004"/>
      <c r="GH376" s="1004">
        <v>0.74562840000000019</v>
      </c>
      <c r="GI376" s="145"/>
      <c r="GJ376" s="996">
        <v>0</v>
      </c>
      <c r="GK376" s="145"/>
      <c r="GL376" s="996">
        <v>0</v>
      </c>
      <c r="GM376" s="1005"/>
      <c r="GN376" s="996">
        <v>-0.19403559999999986</v>
      </c>
      <c r="GO376" s="1006"/>
      <c r="GP376" s="996">
        <v>-0.55376639999999977</v>
      </c>
      <c r="GQ376" s="1006" t="s">
        <v>241</v>
      </c>
      <c r="GR376" s="996">
        <v>-2.2095480000000003</v>
      </c>
      <c r="GS376" s="1006"/>
      <c r="GT376" s="996">
        <v>0</v>
      </c>
      <c r="GU376" s="1006"/>
      <c r="GV376" s="996">
        <v>0.70474799999999949</v>
      </c>
      <c r="GW376" s="1006" t="s">
        <v>199</v>
      </c>
      <c r="GX376" s="996">
        <v>2.4246090000000007</v>
      </c>
      <c r="GY376" s="1006"/>
      <c r="GZ376" s="996">
        <v>-8.4645000000000525E-2</v>
      </c>
      <c r="HA376" s="1006"/>
      <c r="HB376" s="996">
        <v>0</v>
      </c>
      <c r="HC376" s="1006" t="s">
        <v>241</v>
      </c>
      <c r="HD376" s="996">
        <v>0</v>
      </c>
      <c r="HE376" s="1006" t="s">
        <v>204</v>
      </c>
      <c r="HF376" s="996">
        <v>-5.4800000639999986</v>
      </c>
      <c r="HG376" s="1006" t="s">
        <v>199</v>
      </c>
      <c r="HH376" s="996">
        <v>0</v>
      </c>
      <c r="HI376" s="1006"/>
      <c r="HJ376" s="996">
        <v>0</v>
      </c>
      <c r="HK376" s="1006"/>
      <c r="HL376" s="996">
        <v>0</v>
      </c>
      <c r="HM376" s="1006" t="s">
        <v>199</v>
      </c>
      <c r="HN376" s="996">
        <v>5.4753853439999993</v>
      </c>
      <c r="HO376" s="1006"/>
      <c r="HP376" s="996">
        <v>0</v>
      </c>
      <c r="HQ376" s="1006"/>
      <c r="HR376" s="996">
        <v>0</v>
      </c>
      <c r="HS376" s="1006"/>
      <c r="HT376" s="996">
        <v>0</v>
      </c>
      <c r="HU376" s="1006"/>
      <c r="HV376" s="996">
        <v>0</v>
      </c>
      <c r="HW376" s="1006"/>
      <c r="HX376" s="996">
        <v>-0.3338649600000001</v>
      </c>
      <c r="HY376" s="1006"/>
      <c r="HZ376" s="996">
        <v>0.60181967999999975</v>
      </c>
      <c r="IA376" s="1006"/>
      <c r="IB376" s="996">
        <v>0</v>
      </c>
      <c r="IC376" s="1006"/>
      <c r="ID376" s="996">
        <v>0</v>
      </c>
      <c r="IE376" s="1006" t="s">
        <v>204</v>
      </c>
      <c r="IF376" s="996">
        <v>-1.8734759999999997</v>
      </c>
      <c r="IG376" s="1006"/>
      <c r="IH376" s="996">
        <v>0</v>
      </c>
      <c r="II376" s="1006"/>
      <c r="IJ376" s="996">
        <v>0.24641099999999971</v>
      </c>
      <c r="IK376" s="1006" t="s">
        <v>199</v>
      </c>
      <c r="IL376" s="996">
        <v>2.1161250000000003</v>
      </c>
      <c r="IM376" s="1006"/>
      <c r="IN376" s="996">
        <v>0</v>
      </c>
      <c r="IO376" s="1006" t="s">
        <v>204</v>
      </c>
      <c r="IP376" s="996">
        <v>-1.9311600000000002</v>
      </c>
      <c r="IQ376" s="1006"/>
      <c r="IR376" s="996">
        <v>0.94810760000000016</v>
      </c>
      <c r="IS376" s="1006"/>
      <c r="IT376" s="996">
        <v>0</v>
      </c>
      <c r="IU376" s="1006"/>
      <c r="IV376" s="996">
        <v>0</v>
      </c>
      <c r="IW376" s="1006"/>
      <c r="IX376" s="996">
        <v>0</v>
      </c>
      <c r="IY376" s="1006"/>
      <c r="IZ376" s="996">
        <v>0</v>
      </c>
      <c r="JA376" s="1006"/>
      <c r="JB376" s="996">
        <v>0</v>
      </c>
      <c r="JC376" s="1006"/>
      <c r="JD376" s="996">
        <v>-0.95981159999999965</v>
      </c>
      <c r="JE376" s="1006"/>
      <c r="JF376" s="996">
        <v>0</v>
      </c>
      <c r="JG376" s="1006" t="s">
        <v>223</v>
      </c>
      <c r="JH376" s="996">
        <v>-2.722016</v>
      </c>
      <c r="JI376" s="1006"/>
      <c r="JJ376" s="996">
        <v>0</v>
      </c>
      <c r="JK376" s="1007"/>
      <c r="JL376" s="1007">
        <v>0</v>
      </c>
      <c r="JM376" s="1007"/>
      <c r="JN376" s="1007">
        <v>0</v>
      </c>
      <c r="JO376" s="1008" t="s">
        <v>199</v>
      </c>
      <c r="JP376" s="1007">
        <v>1.8189353599999993</v>
      </c>
      <c r="JQ376" s="1008">
        <v>0</v>
      </c>
      <c r="JR376" s="1007">
        <v>0</v>
      </c>
      <c r="JS376" s="1008">
        <v>0</v>
      </c>
      <c r="JT376" s="1007">
        <v>0</v>
      </c>
      <c r="JU376" s="1008"/>
      <c r="JV376" s="1007">
        <v>0</v>
      </c>
      <c r="JW376" s="1008" t="s">
        <v>204</v>
      </c>
      <c r="JX376" s="1007">
        <v>-3.7010388799999996</v>
      </c>
      <c r="JY376" s="1008"/>
      <c r="JZ376" s="1007">
        <v>0</v>
      </c>
      <c r="KA376" s="1008"/>
      <c r="KB376" s="1007">
        <v>0</v>
      </c>
      <c r="KC376" s="1008" t="s">
        <v>203</v>
      </c>
      <c r="KD376" s="1007">
        <v>-10.8077966304</v>
      </c>
      <c r="KE376" s="1008"/>
      <c r="KF376" s="1007">
        <v>18.9348201504</v>
      </c>
      <c r="KG376" s="1008"/>
      <c r="KH376" s="1007"/>
      <c r="KI376" s="1008"/>
      <c r="KJ376" s="1007"/>
      <c r="KK376" s="1008"/>
      <c r="KL376" s="1007"/>
      <c r="KM376" s="1008"/>
      <c r="KN376" s="1007"/>
      <c r="KO376" s="1008"/>
      <c r="KP376" s="1007"/>
      <c r="KQ376" s="1008"/>
      <c r="KR376" s="1007"/>
      <c r="KS376" s="1008"/>
      <c r="KT376" s="1007"/>
      <c r="KU376" s="1008"/>
      <c r="KV376" s="1007"/>
      <c r="KW376" s="1008"/>
      <c r="KX376" s="1007"/>
      <c r="KY376" s="1008"/>
      <c r="KZ376" s="1007"/>
      <c r="LA376" s="1008"/>
      <c r="LB376" s="1007"/>
      <c r="LC376" s="1008"/>
      <c r="LD376" s="1007"/>
      <c r="LE376" s="1008"/>
      <c r="LF376" s="1007"/>
      <c r="LG376" s="1008"/>
      <c r="LH376" s="1007"/>
      <c r="LI376" s="1008"/>
      <c r="LJ376" s="1007"/>
      <c r="LK376" s="1008"/>
      <c r="LL376" s="1007"/>
      <c r="LM376" s="1008"/>
      <c r="LN376" s="1007"/>
      <c r="LO376" s="1008"/>
      <c r="LP376" s="1007"/>
      <c r="LQ376" s="1008"/>
      <c r="LR376" s="1007"/>
      <c r="LS376" s="1008"/>
      <c r="LT376" s="1007"/>
      <c r="LU376" s="1008"/>
      <c r="LV376" s="1007"/>
      <c r="LW376" s="1008"/>
      <c r="LX376" s="1007"/>
      <c r="LY376" s="1009"/>
      <c r="LZ376" s="1010"/>
      <c r="MA376" s="1011"/>
      <c r="MB376" s="1012"/>
      <c r="MC376" s="995"/>
      <c r="MD376" s="996"/>
      <c r="ME376" s="997" t="s">
        <v>416</v>
      </c>
      <c r="MF376" s="997"/>
      <c r="MG376" s="998"/>
      <c r="NR376" s="1000"/>
      <c r="NS376" s="1000"/>
      <c r="NT376" s="1001"/>
      <c r="NU376" s="1000"/>
      <c r="NV376" s="1001"/>
      <c r="NX376" s="1002"/>
      <c r="NZ376" s="1001"/>
      <c r="OA376" s="1001"/>
      <c r="OC376" s="1003"/>
      <c r="OD376" s="1003"/>
      <c r="OE376" s="1001"/>
      <c r="OF376" s="1003"/>
      <c r="OG376" s="1003"/>
      <c r="QX376" s="1000">
        <f>CN376-CA376</f>
        <v>30</v>
      </c>
      <c r="ASU376" s="999" t="s">
        <v>225</v>
      </c>
    </row>
    <row r="377" spans="1:466 1191:1191" ht="21" customHeight="1" x14ac:dyDescent="0.25">
      <c r="A377" s="982">
        <f t="shared" si="274"/>
        <v>1418</v>
      </c>
      <c r="B377" s="124">
        <f>SUBTOTAL(103,$J$29:J377)</f>
        <v>349</v>
      </c>
      <c r="C377" s="126">
        <v>45096</v>
      </c>
      <c r="D377" s="124" t="s">
        <v>176</v>
      </c>
      <c r="E377" s="127" t="s">
        <v>177</v>
      </c>
      <c r="F377" s="128" t="s">
        <v>177</v>
      </c>
      <c r="G377" s="127" t="s">
        <v>178</v>
      </c>
      <c r="H377" s="127" t="s">
        <v>226</v>
      </c>
      <c r="I377" s="127" t="s">
        <v>227</v>
      </c>
      <c r="J377" s="152">
        <v>1418</v>
      </c>
      <c r="K377" s="127" t="s">
        <v>1489</v>
      </c>
      <c r="L377" s="130">
        <v>44076</v>
      </c>
      <c r="M377" s="127" t="s">
        <v>230</v>
      </c>
      <c r="N377" s="127" t="s">
        <v>231</v>
      </c>
      <c r="O377" s="127" t="s">
        <v>185</v>
      </c>
      <c r="P377" s="127" t="s">
        <v>208</v>
      </c>
      <c r="Q377" s="85" t="str">
        <f t="shared" si="297"/>
        <v/>
      </c>
      <c r="R377" s="130"/>
      <c r="S377" s="128"/>
      <c r="T377" s="131"/>
      <c r="U377" s="132">
        <v>203</v>
      </c>
      <c r="V377" s="121">
        <v>218.2</v>
      </c>
      <c r="W377" s="116">
        <v>0.98</v>
      </c>
      <c r="X377" s="116">
        <v>1.66</v>
      </c>
      <c r="Y377" s="116">
        <f t="shared" si="299"/>
        <v>0.98176955090138351</v>
      </c>
      <c r="Z377" s="133">
        <v>1.454</v>
      </c>
      <c r="AA377" s="133">
        <v>0.83599999999999997</v>
      </c>
      <c r="AB377" s="133">
        <v>0.72</v>
      </c>
      <c r="AC377" s="121">
        <v>34.299999999999997</v>
      </c>
      <c r="AD377" s="134">
        <v>1.17</v>
      </c>
      <c r="AE377" s="124">
        <v>177.8</v>
      </c>
      <c r="AF377" s="128">
        <v>9.19</v>
      </c>
      <c r="AG377" s="128">
        <v>2498</v>
      </c>
      <c r="AH377" s="127">
        <v>3513</v>
      </c>
      <c r="AI377" s="127">
        <v>3513</v>
      </c>
      <c r="AJ377" s="135"/>
      <c r="AK377" s="128"/>
      <c r="AL377" s="131"/>
      <c r="AM377" s="124" t="s">
        <v>232</v>
      </c>
      <c r="AN377" s="136" t="s">
        <v>1503</v>
      </c>
      <c r="AO377" s="137">
        <v>43.86</v>
      </c>
      <c r="AP377" s="128">
        <v>2498</v>
      </c>
      <c r="AQ377" s="128">
        <f>AP377-1713.65-170.2</f>
        <v>614.14999999999986</v>
      </c>
      <c r="AR377" s="128"/>
      <c r="AS377" s="128"/>
      <c r="AT377" s="122"/>
      <c r="AU377" s="124" t="s">
        <v>189</v>
      </c>
      <c r="AV377" s="115">
        <f>VLOOKUP(J377,'[63]ТР нефть'!$J$28:$BP$638,39,0)</f>
        <v>607.99998603500001</v>
      </c>
      <c r="AW377" s="115" t="str">
        <f>VLOOKUP(J377,'[63]ТР нефть'!$J$28:$BP$638,40,0)</f>
        <v>ГП</v>
      </c>
      <c r="AX377" s="115">
        <f>VLOOKUP(J377,'[63]ТР нефть'!$J$28:$BP$638,41,0)</f>
        <v>1195.000025977</v>
      </c>
      <c r="AY377" s="115" t="str">
        <f>VLOOKUP(J377,'[63]ТР нефть'!$J$28:$BP$638,42,0)</f>
        <v>ГК80 1/8</v>
      </c>
      <c r="AZ377" s="115">
        <f>VLOOKUP(J377,'[63]ТР нефть'!$J$28:$BP$638,43,0)</f>
        <v>1648.0000218749999</v>
      </c>
      <c r="BA377" s="115" t="str">
        <f>VLOOKUP(J377,'[63]ТР нефть'!$J$28:$BP$638,44,0)</f>
        <v>ГК80 1/8</v>
      </c>
      <c r="BB377" s="115">
        <f>VLOOKUP(J377,'[63]ТР нефть'!$J$28:$BP$638,45,0)</f>
        <v>2004.9999984379999</v>
      </c>
      <c r="BC377" s="115" t="str">
        <f>VLOOKUP(J377,'[63]ТР нефть'!$J$28:$BP$638,46,0)</f>
        <v>ГК79 1/8</v>
      </c>
      <c r="BD377" s="115">
        <f>VLOOKUP(J377,'[63]ТР нефть'!$J$28:$BP$638,47,0)</f>
        <v>2130.999972656</v>
      </c>
      <c r="BE377" s="115" t="str">
        <f>VLOOKUP(J377,'[63]ТР нефть'!$J$28:$BP$638,48,0)</f>
        <v>ЦКсОК 5/16</v>
      </c>
      <c r="BF377" s="115" t="str">
        <f>VLOOKUP(J377,'[63]ТР нефть'!$J$28:$BP$638,49,0)</f>
        <v>-</v>
      </c>
      <c r="BG377" s="115" t="str">
        <f>VLOOKUP(J377,'[63]ТР нефть'!$J$28:$BP$638,50,0)</f>
        <v>-</v>
      </c>
      <c r="BH377" s="115" t="str">
        <f>VLOOKUP(J377,'[63]ТР нефть'!$J$28:$BP$638,51,0)</f>
        <v>-</v>
      </c>
      <c r="BI377" s="115" t="str">
        <f>VLOOKUP(J377,'[63]ТР нефть'!$J$28:$BP$638,52,0)</f>
        <v>-</v>
      </c>
      <c r="BJ377" s="115" t="str">
        <f>IF(IFERROR(VLOOKUP(J377,'[63]ТР нефть'!$J$28:$BP$638,53,0),"-")=0,"-",IFERROR(VLOOKUP(J377,'[63]ТР нефть'!$J$28:$BP$638,53,0),"-"))</f>
        <v>-</v>
      </c>
      <c r="BK377" s="138" t="str">
        <f>IF(IFERROR(VLOOKUP(J377,'[63]ТР нефть'!$J$28:$BP$638,54,0),"-")=0,"-",IFERROR(VLOOKUP(J377,'[63]ТР нефть'!$J$28:$BP$638,54,0),"-"))</f>
        <v>-</v>
      </c>
      <c r="BL377" s="138" t="str">
        <f>IF(IFERROR(VLOOKUP(J377,'[63]ТР нефть'!$J$28:$BP$638,55,0),"-")=0,"-",IFERROR(VLOOKUP(J377,'[63]ТР нефть'!$J$28:$BP$638,55,0),"-"))</f>
        <v>-</v>
      </c>
      <c r="BM377" s="138" t="str">
        <f>IF(IFERROR(VLOOKUP(J377,'[63]ТР нефть'!$J$28:$BP$638,56,0),"-")=0,"-",IFERROR(VLOOKUP(J377,'[63]ТР нефть'!$J$28:$BP$638,56,0),"-"))</f>
        <v>-</v>
      </c>
      <c r="BN377" s="138" t="str">
        <f>IF(IFERROR(VLOOKUP(J377,'[63]ТР нефть'!$J$28:$BP$638,57,0),"-")=0,"-",IFERROR(VLOOKUP(J377,'[63]ТР нефть'!$J$28:$BP$638,57,0),"-"))</f>
        <v>-</v>
      </c>
      <c r="BO377" s="115" t="str">
        <f>IF(IFERROR(VLOOKUP(J377,'[63]ТР нефть'!$J$28:$BP$638,58,0),"-")=0,"-",IFERROR(VLOOKUP(J377,'[63]ТР нефть'!$J$28:$BP$638,58,0),"-"))</f>
        <v>-</v>
      </c>
      <c r="BP377" s="115" t="str">
        <f>IF(IFERROR(VLOOKUP(J377,'[63]ТР нефть'!$J$28:$BP$638,59,0),"-")=0,"-",IFERROR(VLOOKUP(J377,'[63]ТР нефть'!$J$28:$BP$638,59,0),"-"))</f>
        <v>-</v>
      </c>
      <c r="BQ377" s="138">
        <v>2498</v>
      </c>
      <c r="BR377" s="128">
        <f>1713.65+170.2</f>
        <v>1883.8500000000001</v>
      </c>
      <c r="BS377" s="115">
        <f t="shared" si="304"/>
        <v>614.14999999999986</v>
      </c>
      <c r="BT377" s="128">
        <v>73</v>
      </c>
      <c r="BU377" s="128">
        <v>5.5</v>
      </c>
      <c r="BV377" s="127">
        <v>18</v>
      </c>
      <c r="BW377" s="127" t="s">
        <v>234</v>
      </c>
      <c r="BX377" s="127" t="s">
        <v>195</v>
      </c>
      <c r="BY377" s="139">
        <v>24</v>
      </c>
      <c r="BZ377" s="139">
        <v>0</v>
      </c>
      <c r="CA377" s="138">
        <v>16</v>
      </c>
      <c r="CB377" s="138">
        <v>35</v>
      </c>
      <c r="CC377" s="138">
        <v>15</v>
      </c>
      <c r="CD377" s="135">
        <v>45017</v>
      </c>
      <c r="CE377" s="138">
        <v>105</v>
      </c>
      <c r="CF377" s="138">
        <v>85</v>
      </c>
      <c r="CG377" s="138" t="str">
        <f t="shared" si="265"/>
        <v>В работе</v>
      </c>
      <c r="CH377" s="138" t="s">
        <v>235</v>
      </c>
      <c r="CI377" s="127">
        <v>6</v>
      </c>
      <c r="CJ377" s="138"/>
      <c r="CK377" s="138"/>
      <c r="CL377" s="99"/>
      <c r="CM377" s="99"/>
      <c r="CN377" s="173">
        <v>42</v>
      </c>
      <c r="CO377" s="141">
        <f t="shared" si="276"/>
        <v>5.4933225600000002</v>
      </c>
      <c r="CP377" s="142">
        <v>6.6</v>
      </c>
      <c r="CQ377" s="119">
        <v>0.44</v>
      </c>
      <c r="CR377" s="138">
        <v>19.3</v>
      </c>
      <c r="CS377" s="139">
        <v>7.8</v>
      </c>
      <c r="CT377" s="138"/>
      <c r="CU377" s="138">
        <f t="shared" si="277"/>
        <v>11.5</v>
      </c>
      <c r="CV377" s="115">
        <f t="shared" si="278"/>
        <v>2093.4507075441061</v>
      </c>
      <c r="CW377" s="115">
        <f t="shared" si="279"/>
        <v>1411.2663870824922</v>
      </c>
      <c r="CX377" s="133">
        <f t="shared" si="280"/>
        <v>0.10476190476190475</v>
      </c>
      <c r="CY377" s="116"/>
      <c r="CZ377" s="131"/>
      <c r="DA377" s="145" t="str">
        <f t="shared" si="281"/>
        <v>Газлифт</v>
      </c>
      <c r="DB377" s="146">
        <f t="shared" si="282"/>
        <v>5.4933225600000002</v>
      </c>
      <c r="DC377" s="142">
        <f t="shared" si="302"/>
        <v>6.6</v>
      </c>
      <c r="DD377" s="119">
        <f t="shared" si="303"/>
        <v>0.44</v>
      </c>
      <c r="DE377" s="115">
        <f t="shared" si="283"/>
        <v>11.5</v>
      </c>
      <c r="DF377" s="121">
        <f t="shared" si="284"/>
        <v>7.8</v>
      </c>
      <c r="DG377" s="115">
        <f t="shared" si="285"/>
        <v>2093.4507075441061</v>
      </c>
      <c r="DH377" s="115">
        <f t="shared" si="286"/>
        <v>42</v>
      </c>
      <c r="DI377" s="147"/>
      <c r="DJ377" s="111"/>
      <c r="DK377" s="112">
        <v>44076</v>
      </c>
      <c r="DL377" s="113">
        <f t="shared" ca="1" si="266"/>
        <v>1028</v>
      </c>
      <c r="DM377" s="114"/>
      <c r="DN377" s="114"/>
      <c r="DO377" s="114"/>
      <c r="DP377" s="114"/>
      <c r="DQ377" s="112"/>
      <c r="DR377" s="114"/>
      <c r="DS377" s="114"/>
      <c r="DT377" s="115">
        <v>43</v>
      </c>
      <c r="DU377" s="116">
        <f t="shared" si="267"/>
        <v>0.1064516129032258</v>
      </c>
      <c r="DV377" s="117">
        <f t="shared" si="268"/>
        <v>5.4933225600000002</v>
      </c>
      <c r="DW377" s="118">
        <f t="shared" si="269"/>
        <v>6.6</v>
      </c>
      <c r="DX377" s="119">
        <f t="shared" si="287"/>
        <v>0.44</v>
      </c>
      <c r="DY377" s="115">
        <f t="shared" si="270"/>
        <v>11.5</v>
      </c>
      <c r="DZ377" s="117">
        <f t="shared" si="305"/>
        <v>0</v>
      </c>
      <c r="EA377" s="120">
        <f t="shared" si="305"/>
        <v>0</v>
      </c>
      <c r="EB377" s="119">
        <f t="shared" si="264"/>
        <v>0</v>
      </c>
      <c r="EC377" s="121">
        <f t="shared" si="272"/>
        <v>0</v>
      </c>
      <c r="ED377" s="122"/>
      <c r="EE377" s="145">
        <v>18</v>
      </c>
      <c r="EF377" s="115">
        <v>16</v>
      </c>
      <c r="EG377" s="115">
        <v>35</v>
      </c>
      <c r="EH377" s="115">
        <v>15</v>
      </c>
      <c r="EI377" s="128" t="s">
        <v>195</v>
      </c>
      <c r="EJ377" s="121">
        <v>24</v>
      </c>
      <c r="EK377" s="121">
        <v>0</v>
      </c>
      <c r="EL377" s="149">
        <v>5.4933225600000002</v>
      </c>
      <c r="EM377" s="142">
        <v>6.6</v>
      </c>
      <c r="EN377" s="119">
        <v>0.44</v>
      </c>
      <c r="EO377" s="115">
        <v>19.3</v>
      </c>
      <c r="EP377" s="115">
        <v>2093.4507075441061</v>
      </c>
      <c r="EQ377" s="115">
        <v>85</v>
      </c>
      <c r="ER377" s="115">
        <v>7.8</v>
      </c>
      <c r="ES377" s="115">
        <v>42</v>
      </c>
      <c r="ET377" s="150">
        <v>0.10476190476190475</v>
      </c>
      <c r="EU377" s="145">
        <f t="shared" si="288"/>
        <v>18</v>
      </c>
      <c r="EV377" s="115">
        <f t="shared" si="289"/>
        <v>16</v>
      </c>
      <c r="EW377" s="115">
        <f t="shared" si="289"/>
        <v>35</v>
      </c>
      <c r="EX377" s="115">
        <f t="shared" si="289"/>
        <v>15</v>
      </c>
      <c r="EY377" s="115" t="str">
        <f t="shared" si="253"/>
        <v>Постоянный</v>
      </c>
      <c r="EZ377" s="115">
        <f t="shared" si="253"/>
        <v>24</v>
      </c>
      <c r="FA377" s="115">
        <f t="shared" si="253"/>
        <v>0</v>
      </c>
      <c r="FB377" s="149">
        <f t="shared" si="298"/>
        <v>5.4933225600000002</v>
      </c>
      <c r="FC377" s="142">
        <f t="shared" si="298"/>
        <v>6.6</v>
      </c>
      <c r="FD377" s="119">
        <f t="shared" si="298"/>
        <v>0.44</v>
      </c>
      <c r="FE377" s="121">
        <f t="shared" si="298"/>
        <v>19.3</v>
      </c>
      <c r="FF377" s="121">
        <f t="shared" si="300"/>
        <v>2093.4507075441061</v>
      </c>
      <c r="FG377" s="121">
        <f t="shared" si="290"/>
        <v>85</v>
      </c>
      <c r="FH377" s="121">
        <f t="shared" si="301"/>
        <v>7.8</v>
      </c>
      <c r="FI377" s="121">
        <f t="shared" si="252"/>
        <v>42</v>
      </c>
      <c r="FJ377" s="144">
        <f t="shared" si="291"/>
        <v>0.10476190476190475</v>
      </c>
      <c r="FK377" s="132">
        <f t="shared" si="292"/>
        <v>0</v>
      </c>
      <c r="FL377" s="115">
        <f t="shared" si="292"/>
        <v>0</v>
      </c>
      <c r="FM377" s="115">
        <f t="shared" si="292"/>
        <v>0</v>
      </c>
      <c r="FN377" s="115">
        <f t="shared" si="273"/>
        <v>0</v>
      </c>
      <c r="FO377" s="115">
        <f t="shared" si="257"/>
        <v>0</v>
      </c>
      <c r="FP377" s="115">
        <f t="shared" si="257"/>
        <v>0</v>
      </c>
      <c r="FQ377" s="149">
        <f t="shared" si="257"/>
        <v>0</v>
      </c>
      <c r="FR377" s="142">
        <f t="shared" si="256"/>
        <v>0</v>
      </c>
      <c r="FS377" s="119">
        <f t="shared" si="256"/>
        <v>0</v>
      </c>
      <c r="FT377" s="121">
        <f t="shared" si="256"/>
        <v>0</v>
      </c>
      <c r="FU377" s="121">
        <f t="shared" si="293"/>
        <v>0</v>
      </c>
      <c r="FV377" s="121">
        <f t="shared" si="293"/>
        <v>0</v>
      </c>
      <c r="FW377" s="121">
        <f t="shared" si="294"/>
        <v>0</v>
      </c>
      <c r="FX377" s="121">
        <f t="shared" si="295"/>
        <v>0</v>
      </c>
      <c r="FY377" s="144">
        <f t="shared" si="295"/>
        <v>0</v>
      </c>
      <c r="FZ377" s="145"/>
      <c r="GA377" s="151" t="s">
        <v>1504</v>
      </c>
      <c r="GB377" s="145"/>
      <c r="GC377" s="151" t="s">
        <v>1505</v>
      </c>
      <c r="GD377" s="997" t="s">
        <v>238</v>
      </c>
      <c r="GE377" s="1004"/>
      <c r="GF377" s="1004">
        <v>0</v>
      </c>
      <c r="GG377" s="1004"/>
      <c r="GH377" s="1004">
        <v>0</v>
      </c>
      <c r="GI377" s="145"/>
      <c r="GJ377" s="996">
        <v>0</v>
      </c>
      <c r="GK377" s="145"/>
      <c r="GL377" s="996">
        <v>-0.46610009599999991</v>
      </c>
      <c r="GM377" s="1005"/>
      <c r="GN377" s="996">
        <v>0.11737105600000053</v>
      </c>
      <c r="GO377" s="1006"/>
      <c r="GP377" s="996">
        <v>0.13353260800000033</v>
      </c>
      <c r="GQ377" s="1006"/>
      <c r="GR377" s="996">
        <v>0</v>
      </c>
      <c r="GS377" s="1006" t="s">
        <v>203</v>
      </c>
      <c r="GT377" s="996">
        <v>-1.9644261120000008</v>
      </c>
      <c r="GU377" s="1006"/>
      <c r="GV377" s="996">
        <v>0</v>
      </c>
      <c r="GW377" s="1006"/>
      <c r="GX377" s="997">
        <v>-0.33015395599999842</v>
      </c>
      <c r="GY377" s="1006" t="s">
        <v>203</v>
      </c>
      <c r="GZ377" s="996">
        <v>-3.1045821400000015</v>
      </c>
      <c r="HA377" s="1006" t="s">
        <v>349</v>
      </c>
      <c r="HB377" s="996">
        <v>1.3029795680000014</v>
      </c>
      <c r="HC377" s="1006" t="s">
        <v>25</v>
      </c>
      <c r="HD377" s="996">
        <v>4.5880616319999987</v>
      </c>
      <c r="HE377" s="1006" t="s">
        <v>1499</v>
      </c>
      <c r="HF377" s="996">
        <v>0</v>
      </c>
      <c r="HG377" s="1006"/>
      <c r="HH377" s="996">
        <v>0</v>
      </c>
      <c r="HI377" s="1006"/>
      <c r="HJ377" s="996">
        <v>0</v>
      </c>
      <c r="HK377" s="1006"/>
      <c r="HL377" s="996">
        <v>0</v>
      </c>
      <c r="HM377" s="1006"/>
      <c r="HN377" s="996">
        <v>-0.19311599999999984</v>
      </c>
      <c r="HO377" s="1006" t="s">
        <v>204</v>
      </c>
      <c r="HP377" s="996">
        <v>-2.5322439999999995</v>
      </c>
      <c r="HQ377" s="1006" t="s">
        <v>204</v>
      </c>
      <c r="HR377" s="996">
        <v>-10.491800000000001</v>
      </c>
      <c r="HS377" s="1006"/>
      <c r="HT377" s="996">
        <v>0</v>
      </c>
      <c r="HU377" s="1006"/>
      <c r="HV377" s="996">
        <v>0</v>
      </c>
      <c r="HW377" s="1006" t="s">
        <v>241</v>
      </c>
      <c r="HX377" s="996">
        <v>13.919400000000001</v>
      </c>
      <c r="HY377" s="1006" t="s">
        <v>241</v>
      </c>
      <c r="HZ377" s="996">
        <v>-19.729599999999998</v>
      </c>
      <c r="IA377" s="1006"/>
      <c r="IB377" s="996">
        <v>0</v>
      </c>
      <c r="IC377" s="1006" t="s">
        <v>204</v>
      </c>
      <c r="ID377" s="996">
        <v>4.5143999999999984</v>
      </c>
      <c r="IE377" s="1006" t="s">
        <v>204</v>
      </c>
      <c r="IF377" s="996">
        <v>3.4025200000000027</v>
      </c>
      <c r="IG377" s="1006"/>
      <c r="IH377" s="996">
        <v>0</v>
      </c>
      <c r="II377" s="1006"/>
      <c r="IJ377" s="996">
        <v>0</v>
      </c>
      <c r="IK377" s="1006" t="s">
        <v>199</v>
      </c>
      <c r="IL377" s="996">
        <v>12.648679999999999</v>
      </c>
      <c r="IM377" s="1006" t="s">
        <v>199</v>
      </c>
      <c r="IN377" s="996">
        <v>-4.2635999999999985</v>
      </c>
      <c r="IO377" s="1006" t="s">
        <v>203</v>
      </c>
      <c r="IP377" s="996">
        <v>-14.34489056</v>
      </c>
      <c r="IQ377" s="1006" t="s">
        <v>25</v>
      </c>
      <c r="IR377" s="996">
        <v>22.28689056</v>
      </c>
      <c r="IS377" s="1006"/>
      <c r="IT377" s="996"/>
      <c r="IU377" s="1006"/>
      <c r="IV377" s="996"/>
      <c r="IW377" s="1006"/>
      <c r="IX377" s="996"/>
      <c r="IY377" s="1006"/>
      <c r="IZ377" s="996"/>
      <c r="JA377" s="1006"/>
      <c r="JB377" s="996"/>
      <c r="JC377" s="1006"/>
      <c r="JD377" s="996"/>
      <c r="JE377" s="1006"/>
      <c r="JF377" s="996"/>
      <c r="JG377" s="1006"/>
      <c r="JH377" s="996"/>
      <c r="JI377" s="1006"/>
      <c r="JJ377" s="996"/>
      <c r="JK377" s="1007"/>
      <c r="JL377" s="1007"/>
      <c r="JM377" s="1007"/>
      <c r="JN377" s="1007"/>
      <c r="JO377" s="1008"/>
      <c r="JP377" s="1007"/>
      <c r="JQ377" s="1008"/>
      <c r="JR377" s="1007"/>
      <c r="JS377" s="1008"/>
      <c r="JT377" s="1007"/>
      <c r="JU377" s="1008"/>
      <c r="JV377" s="1007"/>
      <c r="JW377" s="1008"/>
      <c r="JX377" s="1007"/>
      <c r="JY377" s="1008"/>
      <c r="JZ377" s="1007"/>
      <c r="KA377" s="1008"/>
      <c r="KB377" s="1007"/>
      <c r="KC377" s="1008"/>
      <c r="KD377" s="1007"/>
      <c r="KE377" s="1008"/>
      <c r="KF377" s="1007"/>
      <c r="KG377" s="1008"/>
      <c r="KH377" s="1007"/>
      <c r="KI377" s="1008"/>
      <c r="KJ377" s="1007"/>
      <c r="KK377" s="1008"/>
      <c r="KL377" s="1007"/>
      <c r="KM377" s="1008"/>
      <c r="KN377" s="1007"/>
      <c r="KO377" s="1008"/>
      <c r="KP377" s="1007"/>
      <c r="KQ377" s="1008"/>
      <c r="KR377" s="1007"/>
      <c r="KS377" s="1008"/>
      <c r="KT377" s="1007"/>
      <c r="KU377" s="1008"/>
      <c r="KV377" s="1007"/>
      <c r="KW377" s="1008"/>
      <c r="KX377" s="1007"/>
      <c r="KY377" s="1008"/>
      <c r="KZ377" s="1007"/>
      <c r="LA377" s="1008"/>
      <c r="LB377" s="1007"/>
      <c r="LC377" s="1008"/>
      <c r="LD377" s="1007"/>
      <c r="LE377" s="1008"/>
      <c r="LF377" s="1007"/>
      <c r="LG377" s="1008"/>
      <c r="LH377" s="1007"/>
      <c r="LI377" s="1008"/>
      <c r="LJ377" s="1007"/>
      <c r="LK377" s="1008"/>
      <c r="LL377" s="1007"/>
      <c r="LM377" s="1008"/>
      <c r="LN377" s="1007"/>
      <c r="LO377" s="1008"/>
      <c r="LP377" s="1007"/>
      <c r="LQ377" s="1008"/>
      <c r="LR377" s="1007"/>
      <c r="LS377" s="1008"/>
      <c r="LT377" s="1007"/>
      <c r="LU377" s="1008"/>
      <c r="LV377" s="1007"/>
      <c r="LW377" s="1008"/>
      <c r="LX377" s="1007"/>
      <c r="LY377" s="1009"/>
      <c r="LZ377" s="1010"/>
      <c r="MA377" s="1011"/>
      <c r="MB377" s="1012"/>
      <c r="MC377" s="995"/>
      <c r="MD377" s="996"/>
      <c r="ME377" s="997" t="s">
        <v>238</v>
      </c>
      <c r="MF377" s="997"/>
      <c r="MG377" s="998"/>
      <c r="NR377" s="1000"/>
      <c r="NS377" s="1000"/>
      <c r="NT377" s="1001"/>
      <c r="NU377" s="1000"/>
      <c r="NV377" s="1001"/>
      <c r="NX377" s="1002"/>
      <c r="NZ377" s="1001"/>
      <c r="OA377" s="1001"/>
      <c r="OC377" s="1003"/>
      <c r="OD377" s="1003"/>
      <c r="OE377" s="1001"/>
      <c r="OF377" s="1003"/>
      <c r="OG377" s="1003"/>
      <c r="OH377" s="1003"/>
      <c r="OI377" s="1016"/>
      <c r="QX377" s="1000">
        <f>CN377-CA377</f>
        <v>26</v>
      </c>
      <c r="ASU377" s="999" t="s">
        <v>208</v>
      </c>
    </row>
    <row r="378" spans="1:466 1191:1191" ht="21" customHeight="1" x14ac:dyDescent="0.25">
      <c r="A378" s="982">
        <f t="shared" si="274"/>
        <v>1419</v>
      </c>
      <c r="B378" s="124">
        <f>SUBTOTAL(103,$J$29:J378)</f>
        <v>350</v>
      </c>
      <c r="C378" s="126">
        <v>45096</v>
      </c>
      <c r="D378" s="124" t="s">
        <v>176</v>
      </c>
      <c r="E378" s="127" t="s">
        <v>177</v>
      </c>
      <c r="F378" s="128" t="s">
        <v>177</v>
      </c>
      <c r="G378" s="127" t="s">
        <v>178</v>
      </c>
      <c r="H378" s="127" t="s">
        <v>1506</v>
      </c>
      <c r="I378" s="127" t="s">
        <v>1410</v>
      </c>
      <c r="J378" s="152">
        <v>1419</v>
      </c>
      <c r="K378" s="127" t="s">
        <v>1495</v>
      </c>
      <c r="L378" s="130">
        <v>42262</v>
      </c>
      <c r="M378" s="127" t="s">
        <v>230</v>
      </c>
      <c r="N378" s="127" t="s">
        <v>465</v>
      </c>
      <c r="O378" s="127" t="s">
        <v>185</v>
      </c>
      <c r="P378" s="127" t="s">
        <v>208</v>
      </c>
      <c r="Q378" s="85" t="str">
        <f t="shared" si="297"/>
        <v/>
      </c>
      <c r="R378" s="130"/>
      <c r="S378" s="128"/>
      <c r="T378" s="131"/>
      <c r="U378" s="132">
        <v>203</v>
      </c>
      <c r="V378" s="121">
        <v>218.2</v>
      </c>
      <c r="W378" s="116">
        <v>0.98</v>
      </c>
      <c r="X378" s="116">
        <v>1.66</v>
      </c>
      <c r="Y378" s="116">
        <f t="shared" si="299"/>
        <v>0.99219321785801406</v>
      </c>
      <c r="Z378" s="133">
        <v>1.454</v>
      </c>
      <c r="AA378" s="133">
        <v>0.83599999999999997</v>
      </c>
      <c r="AB378" s="133">
        <v>0.72</v>
      </c>
      <c r="AC378" s="121">
        <v>34.299999999999997</v>
      </c>
      <c r="AD378" s="134">
        <v>1.17</v>
      </c>
      <c r="AE378" s="124">
        <v>177.8</v>
      </c>
      <c r="AF378" s="128">
        <v>9.19</v>
      </c>
      <c r="AG378" s="128">
        <v>2238</v>
      </c>
      <c r="AH378" s="127">
        <v>3086</v>
      </c>
      <c r="AI378" s="127">
        <v>3086</v>
      </c>
      <c r="AJ378" s="135"/>
      <c r="AK378" s="128"/>
      <c r="AL378" s="131"/>
      <c r="AM378" s="124" t="s">
        <v>232</v>
      </c>
      <c r="AN378" s="136" t="s">
        <v>1507</v>
      </c>
      <c r="AO378" s="137">
        <v>56.78</v>
      </c>
      <c r="AP378" s="128">
        <v>2380</v>
      </c>
      <c r="AQ378" s="128">
        <v>486.4</v>
      </c>
      <c r="AR378" s="128" t="s">
        <v>1508</v>
      </c>
      <c r="AS378" s="128">
        <v>114</v>
      </c>
      <c r="AT378" s="122">
        <v>7.37</v>
      </c>
      <c r="AU378" s="124" t="s">
        <v>250</v>
      </c>
      <c r="AV378" s="115">
        <f>VLOOKUP(J378,'[63]ТР нефть'!$J$28:$BP$638,39,0)</f>
        <v>440</v>
      </c>
      <c r="AW378" s="115" t="str">
        <f>VLOOKUP(J378,'[63]ТР нефть'!$J$28:$BP$638,40,0)</f>
        <v>ГП</v>
      </c>
      <c r="AX378" s="115">
        <f>VLOOKUP(J378,'[63]ТР нефть'!$J$28:$BP$638,41,0)</f>
        <v>815</v>
      </c>
      <c r="AY378" s="115" t="str">
        <f>VLOOKUP(J378,'[63]ТР нефть'!$J$28:$BP$638,42,0)</f>
        <v>ГП</v>
      </c>
      <c r="AZ378" s="115">
        <f>VLOOKUP(J378,'[63]ТР нефть'!$J$28:$BP$638,43,0)</f>
        <v>1175</v>
      </c>
      <c r="BA378" s="115" t="str">
        <f>VLOOKUP(J378,'[63]ТР нефть'!$J$28:$BP$638,44,0)</f>
        <v>ГК 50/1,5</v>
      </c>
      <c r="BB378" s="115">
        <f>VLOOKUP(J378,'[63]ТР нефть'!$J$28:$BP$638,45,0)</f>
        <v>1510</v>
      </c>
      <c r="BC378" s="115" t="str">
        <f>VLOOKUP(J378,'[63]ТР нефть'!$J$28:$BP$638,46,0)</f>
        <v>ЦКсОК 5/16</v>
      </c>
      <c r="BD378" s="115" t="str">
        <f>VLOOKUP(J378,'[63]ТР нефть'!$J$28:$BP$638,47,0)</f>
        <v>-</v>
      </c>
      <c r="BE378" s="115" t="str">
        <f>VLOOKUP(J378,'[63]ТР нефть'!$J$28:$BP$638,48,0)</f>
        <v>-</v>
      </c>
      <c r="BF378" s="115" t="str">
        <f>VLOOKUP(J378,'[63]ТР нефть'!$J$28:$BP$638,49,0)</f>
        <v>-</v>
      </c>
      <c r="BG378" s="115" t="str">
        <f>VLOOKUP(J378,'[63]ТР нефть'!$J$28:$BP$638,50,0)</f>
        <v>-</v>
      </c>
      <c r="BH378" s="115" t="str">
        <f>VLOOKUP(J378,'[63]ТР нефть'!$J$28:$BP$638,51,0)</f>
        <v>-</v>
      </c>
      <c r="BI378" s="115" t="str">
        <f>VLOOKUP(J378,'[63]ТР нефть'!$J$28:$BP$638,52,0)</f>
        <v>-</v>
      </c>
      <c r="BJ378" s="115" t="str">
        <f>IF(IFERROR(VLOOKUP(J378,'[63]ТР нефть'!$J$28:$BP$638,53,0),"-")=0,"-",IFERROR(VLOOKUP(J378,'[63]ТР нефть'!$J$28:$BP$638,53,0),"-"))</f>
        <v>-</v>
      </c>
      <c r="BK378" s="138" t="str">
        <f>IF(IFERROR(VLOOKUP(J378,'[63]ТР нефть'!$J$28:$BP$638,54,0),"-")=0,"-",IFERROR(VLOOKUP(J378,'[63]ТР нефть'!$J$28:$BP$638,54,0),"-"))</f>
        <v>-</v>
      </c>
      <c r="BL378" s="138" t="str">
        <f>IF(IFERROR(VLOOKUP(J378,'[63]ТР нефть'!$J$28:$BP$638,55,0),"-")=0,"-",IFERROR(VLOOKUP(J378,'[63]ТР нефть'!$J$28:$BP$638,55,0),"-"))</f>
        <v>-</v>
      </c>
      <c r="BM378" s="138" t="str">
        <f>IF(IFERROR(VLOOKUP(J378,'[63]ТР нефть'!$J$28:$BP$638,56,0),"-")=0,"-",IFERROR(VLOOKUP(J378,'[63]ТР нефть'!$J$28:$BP$638,56,0),"-"))</f>
        <v>-</v>
      </c>
      <c r="BN378" s="138" t="str">
        <f>IF(IFERROR(VLOOKUP(J378,'[63]ТР нефть'!$J$28:$BP$638,57,0),"-")=0,"-",IFERROR(VLOOKUP(J378,'[63]ТР нефть'!$J$28:$BP$638,57,0),"-"))</f>
        <v>-</v>
      </c>
      <c r="BO378" s="115" t="str">
        <f>IF(IFERROR(VLOOKUP(J378,'[63]ТР нефть'!$J$28:$BP$638,58,0),"-")=0,"-",IFERROR(VLOOKUP(J378,'[63]ТР нефть'!$J$28:$BP$638,58,0),"-"))</f>
        <v>-</v>
      </c>
      <c r="BP378" s="115" t="str">
        <f>IF(IFERROR(VLOOKUP(J378,'[63]ТР нефть'!$J$28:$BP$638,59,0),"-")=0,"-",IFERROR(VLOOKUP(J378,'[63]ТР нефть'!$J$28:$BP$638,59,0),"-"))</f>
        <v>-</v>
      </c>
      <c r="BQ378" s="138">
        <v>2087</v>
      </c>
      <c r="BR378" s="128">
        <v>1853.95</v>
      </c>
      <c r="BS378" s="115">
        <f t="shared" si="304"/>
        <v>233.04999999999995</v>
      </c>
      <c r="BT378" s="128">
        <v>73</v>
      </c>
      <c r="BU378" s="128">
        <v>5.5</v>
      </c>
      <c r="BV378" s="127">
        <v>65</v>
      </c>
      <c r="BW378" s="127" t="s">
        <v>217</v>
      </c>
      <c r="BX378" s="127" t="s">
        <v>195</v>
      </c>
      <c r="BY378" s="139">
        <v>24</v>
      </c>
      <c r="BZ378" s="139">
        <v>0</v>
      </c>
      <c r="CA378" s="138">
        <v>79</v>
      </c>
      <c r="CB378" s="138">
        <v>84</v>
      </c>
      <c r="CC378" s="138">
        <v>78</v>
      </c>
      <c r="CD378" s="135">
        <v>45017</v>
      </c>
      <c r="CE378" s="138">
        <v>111.9</v>
      </c>
      <c r="CF378" s="138"/>
      <c r="CG378" s="138" t="str">
        <f t="shared" si="265"/>
        <v/>
      </c>
      <c r="CH378" s="138" t="s">
        <v>197</v>
      </c>
      <c r="CI378" s="127"/>
      <c r="CJ378" s="138"/>
      <c r="CK378" s="138"/>
      <c r="CL378" s="99"/>
      <c r="CM378" s="127"/>
      <c r="CN378" s="154">
        <v>96</v>
      </c>
      <c r="CO378" s="141">
        <f t="shared" si="276"/>
        <v>1.2544932399999997</v>
      </c>
      <c r="CP378" s="142">
        <v>1.5469999999999999</v>
      </c>
      <c r="CQ378" s="143">
        <v>3</v>
      </c>
      <c r="CR378" s="1018">
        <v>51.7</v>
      </c>
      <c r="CS378" s="139"/>
      <c r="CT378" s="138"/>
      <c r="CU378" s="138">
        <f t="shared" si="277"/>
        <v>51.7</v>
      </c>
      <c r="CV378" s="115">
        <f t="shared" si="278"/>
        <v>41211.86017710228</v>
      </c>
      <c r="CW378" s="115" t="str">
        <f t="shared" si="279"/>
        <v/>
      </c>
      <c r="CX378" s="133">
        <f t="shared" si="280"/>
        <v>9.7295597484276686E-2</v>
      </c>
      <c r="CY378" s="116"/>
      <c r="CZ378" s="131"/>
      <c r="DA378" s="145" t="str">
        <f t="shared" si="281"/>
        <v>Фон.</v>
      </c>
      <c r="DB378" s="146">
        <f t="shared" si="282"/>
        <v>1.2544932399999997</v>
      </c>
      <c r="DC378" s="142">
        <f t="shared" si="302"/>
        <v>1.5469999999999999</v>
      </c>
      <c r="DD378" s="119">
        <f t="shared" si="303"/>
        <v>3</v>
      </c>
      <c r="DE378" s="115">
        <f t="shared" si="283"/>
        <v>51.7</v>
      </c>
      <c r="DF378" s="121">
        <f t="shared" si="284"/>
        <v>0</v>
      </c>
      <c r="DG378" s="115">
        <f t="shared" si="285"/>
        <v>41211.86017710228</v>
      </c>
      <c r="DH378" s="115">
        <f t="shared" si="286"/>
        <v>96</v>
      </c>
      <c r="DI378" s="147"/>
      <c r="DJ378" s="111">
        <v>42758</v>
      </c>
      <c r="DK378" s="112">
        <v>42216</v>
      </c>
      <c r="DL378" s="113">
        <f t="shared" ca="1" si="266"/>
        <v>2888</v>
      </c>
      <c r="DM378" s="114"/>
      <c r="DN378" s="114"/>
      <c r="DO378" s="114"/>
      <c r="DP378" s="114"/>
      <c r="DQ378" s="112">
        <v>42262</v>
      </c>
      <c r="DR378" s="114" t="s">
        <v>324</v>
      </c>
      <c r="DS378" s="114"/>
      <c r="DT378" s="115">
        <v>68</v>
      </c>
      <c r="DU378" s="116">
        <f t="shared" si="267"/>
        <v>8.5745934613859084E-2</v>
      </c>
      <c r="DV378" s="117">
        <f t="shared" si="268"/>
        <v>3.0525027957413999</v>
      </c>
      <c r="DW378" s="118">
        <f t="shared" si="269"/>
        <v>3.7642465295484144</v>
      </c>
      <c r="DX378" s="119">
        <f t="shared" si="287"/>
        <v>3</v>
      </c>
      <c r="DY378" s="115">
        <f t="shared" si="270"/>
        <v>125.79931840830838</v>
      </c>
      <c r="DZ378" s="117">
        <f t="shared" si="305"/>
        <v>1.7980095557414002</v>
      </c>
      <c r="EA378" s="120">
        <f t="shared" si="305"/>
        <v>2.2172465295484143</v>
      </c>
      <c r="EB378" s="119">
        <f t="shared" si="264"/>
        <v>0</v>
      </c>
      <c r="EC378" s="121">
        <f t="shared" si="272"/>
        <v>74.099318408308378</v>
      </c>
      <c r="ED378" s="122"/>
      <c r="EE378" s="145">
        <v>65</v>
      </c>
      <c r="EF378" s="115">
        <v>79</v>
      </c>
      <c r="EG378" s="115">
        <v>84</v>
      </c>
      <c r="EH378" s="115">
        <v>78</v>
      </c>
      <c r="EI378" s="128" t="s">
        <v>195</v>
      </c>
      <c r="EJ378" s="121">
        <v>24</v>
      </c>
      <c r="EK378" s="121">
        <v>0</v>
      </c>
      <c r="EL378" s="149">
        <v>1.2544932399999997</v>
      </c>
      <c r="EM378" s="142">
        <v>1.5469999999999999</v>
      </c>
      <c r="EN378" s="119">
        <v>3</v>
      </c>
      <c r="EO378" s="115">
        <v>51.7</v>
      </c>
      <c r="EP378" s="115">
        <v>41211.86017710228</v>
      </c>
      <c r="EQ378" s="115">
        <v>0</v>
      </c>
      <c r="ER378" s="115">
        <v>0</v>
      </c>
      <c r="ES378" s="115">
        <v>96</v>
      </c>
      <c r="ET378" s="150">
        <v>9.7295597484276686E-2</v>
      </c>
      <c r="EU378" s="145">
        <f t="shared" si="288"/>
        <v>65</v>
      </c>
      <c r="EV378" s="115">
        <f t="shared" si="289"/>
        <v>79</v>
      </c>
      <c r="EW378" s="115">
        <f t="shared" si="289"/>
        <v>84</v>
      </c>
      <c r="EX378" s="115">
        <f t="shared" si="289"/>
        <v>78</v>
      </c>
      <c r="EY378" s="115" t="str">
        <f t="shared" si="253"/>
        <v>Постоянный</v>
      </c>
      <c r="EZ378" s="115">
        <f t="shared" si="253"/>
        <v>24</v>
      </c>
      <c r="FA378" s="115">
        <f t="shared" si="253"/>
        <v>0</v>
      </c>
      <c r="FB378" s="149">
        <f t="shared" si="298"/>
        <v>1.2544932399999997</v>
      </c>
      <c r="FC378" s="142">
        <f t="shared" si="298"/>
        <v>1.5469999999999999</v>
      </c>
      <c r="FD378" s="119">
        <f t="shared" si="298"/>
        <v>3</v>
      </c>
      <c r="FE378" s="121">
        <f t="shared" si="298"/>
        <v>51.7</v>
      </c>
      <c r="FF378" s="121">
        <f t="shared" si="300"/>
        <v>41211.86017710228</v>
      </c>
      <c r="FG378" s="121">
        <f t="shared" si="290"/>
        <v>0</v>
      </c>
      <c r="FH378" s="121">
        <f t="shared" si="301"/>
        <v>0</v>
      </c>
      <c r="FI378" s="121">
        <f t="shared" si="252"/>
        <v>96</v>
      </c>
      <c r="FJ378" s="144">
        <f t="shared" si="291"/>
        <v>9.7295597484276686E-2</v>
      </c>
      <c r="FK378" s="132">
        <f t="shared" si="292"/>
        <v>0</v>
      </c>
      <c r="FL378" s="115">
        <f t="shared" si="292"/>
        <v>0</v>
      </c>
      <c r="FM378" s="115">
        <f t="shared" si="292"/>
        <v>0</v>
      </c>
      <c r="FN378" s="115">
        <f t="shared" si="273"/>
        <v>0</v>
      </c>
      <c r="FO378" s="115">
        <f t="shared" si="257"/>
        <v>0</v>
      </c>
      <c r="FP378" s="115">
        <f t="shared" si="257"/>
        <v>0</v>
      </c>
      <c r="FQ378" s="149">
        <f t="shared" si="257"/>
        <v>0</v>
      </c>
      <c r="FR378" s="142">
        <f t="shared" si="256"/>
        <v>0</v>
      </c>
      <c r="FS378" s="119">
        <f t="shared" si="256"/>
        <v>0</v>
      </c>
      <c r="FT378" s="121">
        <f t="shared" si="256"/>
        <v>0</v>
      </c>
      <c r="FU378" s="121">
        <f t="shared" si="293"/>
        <v>0</v>
      </c>
      <c r="FV378" s="121">
        <f t="shared" si="293"/>
        <v>0</v>
      </c>
      <c r="FW378" s="121">
        <f t="shared" si="294"/>
        <v>0</v>
      </c>
      <c r="FX378" s="121">
        <f t="shared" si="295"/>
        <v>0</v>
      </c>
      <c r="FY378" s="144">
        <f t="shared" si="295"/>
        <v>0</v>
      </c>
      <c r="FZ378" s="145"/>
      <c r="GA378" s="151" t="s">
        <v>283</v>
      </c>
      <c r="GB378" s="145"/>
      <c r="GC378" s="151" t="s">
        <v>1509</v>
      </c>
      <c r="GD378" s="997" t="s">
        <v>238</v>
      </c>
      <c r="GE378" s="1004"/>
      <c r="GF378" s="1004">
        <v>0</v>
      </c>
      <c r="GG378" s="1004"/>
      <c r="GH378" s="1004">
        <v>0</v>
      </c>
      <c r="GI378" s="145"/>
      <c r="GJ378" s="996">
        <v>0</v>
      </c>
      <c r="GK378" s="145"/>
      <c r="GL378" s="996">
        <v>0</v>
      </c>
      <c r="GM378" s="1005"/>
      <c r="GN378" s="996">
        <v>0</v>
      </c>
      <c r="GO378" s="1006"/>
      <c r="GP378" s="996">
        <v>0</v>
      </c>
      <c r="GQ378" s="1006" t="s">
        <v>308</v>
      </c>
      <c r="GR378" s="996">
        <v>-15.612642759999998</v>
      </c>
      <c r="GS378" s="1006"/>
      <c r="GT378" s="996">
        <v>0</v>
      </c>
      <c r="GU378" s="1006"/>
      <c r="GV378" s="996">
        <v>0</v>
      </c>
      <c r="GW378" s="1006"/>
      <c r="GX378" s="997">
        <v>0</v>
      </c>
      <c r="GY378" s="1006"/>
      <c r="GZ378" s="996">
        <v>0</v>
      </c>
      <c r="HA378" s="1006"/>
      <c r="HB378" s="996">
        <v>0</v>
      </c>
      <c r="HC378" s="1006"/>
      <c r="HD378" s="996">
        <v>-0.90873200000000054</v>
      </c>
      <c r="HE378" s="1006"/>
      <c r="HF378" s="996">
        <v>0</v>
      </c>
      <c r="HG378" s="1006"/>
      <c r="HH378" s="996">
        <v>0</v>
      </c>
      <c r="HI378" s="1006"/>
      <c r="HJ378" s="996">
        <v>0</v>
      </c>
      <c r="HK378" s="1006" t="s">
        <v>221</v>
      </c>
      <c r="HL378" s="996">
        <v>15.267868</v>
      </c>
      <c r="HM378" s="1006"/>
      <c r="HN378" s="996">
        <v>0</v>
      </c>
      <c r="HO378" s="1006"/>
      <c r="HP378" s="996">
        <v>0</v>
      </c>
      <c r="HQ378" s="1006"/>
      <c r="HR378" s="996">
        <v>0</v>
      </c>
      <c r="HS378" s="1006"/>
      <c r="HT378" s="996">
        <v>0</v>
      </c>
      <c r="HU378" s="1006"/>
      <c r="HV378" s="996">
        <v>0</v>
      </c>
      <c r="HW378" s="1006"/>
      <c r="HX378" s="996">
        <v>0</v>
      </c>
      <c r="HY378" s="1006" t="s">
        <v>241</v>
      </c>
      <c r="HZ378" s="996">
        <v>-3.9291999999999998</v>
      </c>
      <c r="IA378" s="1006"/>
      <c r="IB378" s="996">
        <v>-0.25079999999999991</v>
      </c>
      <c r="IC378" s="1006"/>
      <c r="ID378" s="996">
        <v>0</v>
      </c>
      <c r="IE378" s="1006" t="s">
        <v>204</v>
      </c>
      <c r="IF378" s="996">
        <v>-1.9228000000000014</v>
      </c>
      <c r="IG378" s="1006"/>
      <c r="IH378" s="996">
        <v>0</v>
      </c>
      <c r="II378" s="1006"/>
      <c r="IJ378" s="996">
        <v>0</v>
      </c>
      <c r="IK378" s="1006"/>
      <c r="IL378" s="996">
        <v>0</v>
      </c>
      <c r="IM378" s="1006" t="s">
        <v>204</v>
      </c>
      <c r="IN378" s="996">
        <v>1.5633200000000018</v>
      </c>
      <c r="IO378" s="1006"/>
      <c r="IP378" s="996">
        <v>0</v>
      </c>
      <c r="IQ378" s="1006"/>
      <c r="IR378" s="996">
        <v>0</v>
      </c>
      <c r="IS378" s="1006"/>
      <c r="IT378" s="996">
        <v>0</v>
      </c>
      <c r="IU378" s="1006"/>
      <c r="IV378" s="996">
        <v>0</v>
      </c>
      <c r="IW378" s="1006"/>
      <c r="IX378" s="996">
        <v>0</v>
      </c>
      <c r="IY378" s="1006"/>
      <c r="IZ378" s="996">
        <v>0</v>
      </c>
      <c r="JA378" s="1006"/>
      <c r="JB378" s="996">
        <v>0</v>
      </c>
      <c r="JC378" s="1006"/>
      <c r="JD378" s="996">
        <v>0</v>
      </c>
      <c r="JE378" s="1006"/>
      <c r="JF378" s="996">
        <v>0</v>
      </c>
      <c r="JG378" s="1006"/>
      <c r="JH378" s="996">
        <v>0</v>
      </c>
      <c r="JI378" s="1006"/>
      <c r="JJ378" s="996">
        <v>0</v>
      </c>
      <c r="JK378" s="1007"/>
      <c r="JL378" s="1007">
        <v>0</v>
      </c>
      <c r="JM378" s="1007"/>
      <c r="JN378" s="1007">
        <v>0</v>
      </c>
      <c r="JO378" s="1008"/>
      <c r="JP378" s="1007">
        <v>0</v>
      </c>
      <c r="JQ378" s="1008">
        <v>0</v>
      </c>
      <c r="JR378" s="1007">
        <v>0</v>
      </c>
      <c r="JS378" s="1008">
        <v>0</v>
      </c>
      <c r="JT378" s="1007">
        <v>0</v>
      </c>
      <c r="JU378" s="1008"/>
      <c r="JV378" s="1007">
        <v>0</v>
      </c>
      <c r="JW378" s="1008" t="s">
        <v>197</v>
      </c>
      <c r="JX378" s="1007">
        <v>0</v>
      </c>
      <c r="JY378" s="1008"/>
      <c r="JZ378" s="1007">
        <v>0</v>
      </c>
      <c r="KA378" s="1008"/>
      <c r="KB378" s="1007">
        <v>0</v>
      </c>
      <c r="KC378" s="1008"/>
      <c r="KD378" s="1007">
        <v>0</v>
      </c>
      <c r="KE378" s="1008"/>
      <c r="KF378" s="1007">
        <v>0</v>
      </c>
      <c r="KG378" s="1008"/>
      <c r="KH378" s="1007">
        <v>0</v>
      </c>
      <c r="KI378" s="1008"/>
      <c r="KJ378" s="1007">
        <v>0</v>
      </c>
      <c r="KK378" s="1008"/>
      <c r="KL378" s="1007">
        <v>0</v>
      </c>
      <c r="KM378" s="1008"/>
      <c r="KN378" s="1007">
        <v>0</v>
      </c>
      <c r="KO378" s="1008"/>
      <c r="KP378" s="1007">
        <v>0</v>
      </c>
      <c r="KQ378" s="1008">
        <v>0</v>
      </c>
      <c r="KR378" s="1007">
        <v>0</v>
      </c>
      <c r="KS378" s="1008">
        <v>0</v>
      </c>
      <c r="KT378" s="1007">
        <v>0</v>
      </c>
      <c r="KU378" s="1008">
        <v>0</v>
      </c>
      <c r="KV378" s="1007">
        <v>0</v>
      </c>
      <c r="KW378" s="1008">
        <v>0</v>
      </c>
      <c r="KX378" s="1007">
        <v>0</v>
      </c>
      <c r="KY378" s="1008">
        <v>0</v>
      </c>
      <c r="KZ378" s="1007">
        <v>7.0474799999999993</v>
      </c>
      <c r="LA378" s="1008">
        <v>0</v>
      </c>
      <c r="LB378" s="1007">
        <v>0</v>
      </c>
      <c r="LC378" s="1008">
        <v>0</v>
      </c>
      <c r="LD378" s="1007">
        <v>0</v>
      </c>
      <c r="LE378" s="1008">
        <v>0</v>
      </c>
      <c r="LF378" s="1007">
        <v>0</v>
      </c>
      <c r="LG378" s="1008">
        <v>0</v>
      </c>
      <c r="LH378" s="1007">
        <v>0</v>
      </c>
      <c r="LI378" s="1008">
        <v>0</v>
      </c>
      <c r="LJ378" s="1007">
        <v>0</v>
      </c>
      <c r="LK378" s="1008">
        <v>0</v>
      </c>
      <c r="LL378" s="1007">
        <v>0</v>
      </c>
      <c r="LM378" s="1008">
        <v>0</v>
      </c>
      <c r="LN378" s="1007">
        <v>0</v>
      </c>
      <c r="LO378" s="1008">
        <v>0</v>
      </c>
      <c r="LP378" s="1007">
        <v>0</v>
      </c>
      <c r="LQ378" s="1008">
        <v>0</v>
      </c>
      <c r="LR378" s="1007">
        <v>0</v>
      </c>
      <c r="LS378" s="1008">
        <v>0</v>
      </c>
      <c r="LT378" s="1007">
        <v>0</v>
      </c>
      <c r="LU378" s="1008">
        <v>0</v>
      </c>
      <c r="LV378" s="1007">
        <v>0</v>
      </c>
      <c r="LW378" s="1008">
        <v>0</v>
      </c>
      <c r="LX378" s="1007">
        <v>0</v>
      </c>
      <c r="LY378" s="1009">
        <v>0</v>
      </c>
      <c r="LZ378" s="1010">
        <v>0</v>
      </c>
      <c r="MA378" s="1011">
        <v>0</v>
      </c>
      <c r="MB378" s="1012">
        <v>0</v>
      </c>
      <c r="MC378" s="995"/>
      <c r="MD378" s="996"/>
      <c r="ME378" s="997" t="s">
        <v>238</v>
      </c>
      <c r="MF378" s="997"/>
      <c r="MG378" s="998"/>
      <c r="NR378" s="1000"/>
      <c r="NS378" s="1000"/>
      <c r="NT378" s="1001"/>
      <c r="NU378" s="1000"/>
      <c r="NV378" s="1001"/>
      <c r="NX378" s="1002"/>
      <c r="NZ378" s="1001"/>
      <c r="OA378" s="1001"/>
      <c r="OC378" s="1003"/>
      <c r="OD378" s="1003"/>
      <c r="OE378" s="1001"/>
      <c r="OF378" s="1003"/>
      <c r="OG378" s="1003"/>
      <c r="QX378" s="1000">
        <f>CN378-CA378</f>
        <v>17</v>
      </c>
      <c r="ASU378" s="999" t="s">
        <v>292</v>
      </c>
    </row>
    <row r="379" spans="1:466 1191:1191" ht="21" customHeight="1" x14ac:dyDescent="0.25">
      <c r="A379" s="982">
        <f t="shared" si="274"/>
        <v>1420</v>
      </c>
      <c r="B379" s="124">
        <f>SUBTOTAL(103,$J$29:J379)</f>
        <v>351</v>
      </c>
      <c r="C379" s="126">
        <v>45068</v>
      </c>
      <c r="D379" s="124" t="s">
        <v>176</v>
      </c>
      <c r="E379" s="127" t="s">
        <v>177</v>
      </c>
      <c r="F379" s="128" t="s">
        <v>177</v>
      </c>
      <c r="G379" s="127" t="s">
        <v>178</v>
      </c>
      <c r="H379" s="127" t="s">
        <v>408</v>
      </c>
      <c r="I379" s="127" t="s">
        <v>1377</v>
      </c>
      <c r="J379" s="152">
        <v>1420</v>
      </c>
      <c r="K379" s="127" t="s">
        <v>1510</v>
      </c>
      <c r="L379" s="130">
        <v>44118</v>
      </c>
      <c r="M379" s="127" t="s">
        <v>230</v>
      </c>
      <c r="N379" s="127" t="s">
        <v>231</v>
      </c>
      <c r="O379" s="127" t="s">
        <v>185</v>
      </c>
      <c r="P379" s="127" t="s">
        <v>186</v>
      </c>
      <c r="Q379" s="85" t="str">
        <f t="shared" si="297"/>
        <v/>
      </c>
      <c r="R379" s="130"/>
      <c r="S379" s="128"/>
      <c r="T379" s="131"/>
      <c r="U379" s="132">
        <v>203</v>
      </c>
      <c r="V379" s="121">
        <v>218.2</v>
      </c>
      <c r="W379" s="116">
        <v>0.98</v>
      </c>
      <c r="X379" s="116">
        <v>1.66</v>
      </c>
      <c r="Y379" s="116">
        <f t="shared" si="299"/>
        <v>0.98</v>
      </c>
      <c r="Z379" s="133">
        <v>1.454</v>
      </c>
      <c r="AA379" s="133">
        <v>0.83599999999999997</v>
      </c>
      <c r="AB379" s="133">
        <v>0.72</v>
      </c>
      <c r="AC379" s="121">
        <v>34.299999999999997</v>
      </c>
      <c r="AD379" s="134">
        <v>1.17</v>
      </c>
      <c r="AE379" s="124">
        <v>177.8</v>
      </c>
      <c r="AF379" s="128">
        <v>9.19</v>
      </c>
      <c r="AG379" s="128">
        <v>2197.5</v>
      </c>
      <c r="AH379" s="127">
        <v>3020</v>
      </c>
      <c r="AI379" s="127">
        <v>3020</v>
      </c>
      <c r="AJ379" s="135"/>
      <c r="AK379" s="128"/>
      <c r="AL379" s="131"/>
      <c r="AM379" s="124" t="s">
        <v>232</v>
      </c>
      <c r="AN379" s="136" t="s">
        <v>1511</v>
      </c>
      <c r="AO379" s="137">
        <v>14</v>
      </c>
      <c r="AP379" s="128">
        <v>2347</v>
      </c>
      <c r="AQ379" s="128">
        <v>321</v>
      </c>
      <c r="AR379" s="128"/>
      <c r="AS379" s="128"/>
      <c r="AT379" s="122"/>
      <c r="AU379" s="124" t="s">
        <v>189</v>
      </c>
      <c r="AV379" s="115">
        <f>VLOOKUP(J379,'[63]ТР нефть'!$J$28:$BP$638,39,0)</f>
        <v>460.00001513699999</v>
      </c>
      <c r="AW379" s="115" t="str">
        <f>VLOOKUP(J379,'[63]ТР нефть'!$J$28:$BP$638,40,0)</f>
        <v>ГП</v>
      </c>
      <c r="AX379" s="115">
        <f>VLOOKUP(J379,'[63]ТР нефть'!$J$28:$BP$638,41,0)</f>
        <v>899.99998593800001</v>
      </c>
      <c r="AY379" s="115" t="str">
        <f>VLOOKUP(J379,'[63]ТР нефть'!$J$28:$BP$638,42,0)</f>
        <v>ГП</v>
      </c>
      <c r="AZ379" s="115">
        <f>VLOOKUP(J379,'[63]ТР нефть'!$J$28:$BP$638,43,0)</f>
        <v>1220.000025586</v>
      </c>
      <c r="BA379" s="115" t="str">
        <f>VLOOKUP(J379,'[63]ТР нефть'!$J$28:$BP$638,44,0)</f>
        <v>ГП</v>
      </c>
      <c r="BB379" s="115">
        <f>VLOOKUP(J379,'[63]ТР нефть'!$J$28:$BP$638,45,0)</f>
        <v>1469.9999472659999</v>
      </c>
      <c r="BC379" s="115" t="str">
        <f>VLOOKUP(J379,'[63]ТР нефть'!$J$28:$BP$638,46,0)</f>
        <v>ГК86 1/8</v>
      </c>
      <c r="BD379" s="115">
        <f>VLOOKUP(J379,'[63]ТР нефть'!$J$28:$BP$638,47,0)</f>
        <v>1649.999974219</v>
      </c>
      <c r="BE379" s="115" t="str">
        <f>VLOOKUP(J379,'[63]ТР нефть'!$J$28:$BP$638,48,0)</f>
        <v>ГК85 5/32</v>
      </c>
      <c r="BF379" s="115">
        <f>VLOOKUP(J379,'[63]ТР нефть'!$J$28:$BP$638,49,0)</f>
        <v>1890</v>
      </c>
      <c r="BG379" s="115" t="str">
        <f>VLOOKUP(J379,'[63]ТР нефть'!$J$28:$BP$638,50,0)</f>
        <v>ЦКсОК 5/16</v>
      </c>
      <c r="BH379" s="115" t="str">
        <f>VLOOKUP(J379,'[63]ТР нефть'!$J$28:$BP$638,51,0)</f>
        <v>-</v>
      </c>
      <c r="BI379" s="115" t="str">
        <f>VLOOKUP(J379,'[63]ТР нефть'!$J$28:$BP$638,52,0)</f>
        <v>-</v>
      </c>
      <c r="BJ379" s="115" t="str">
        <f>IF(IFERROR(VLOOKUP(J379,'[63]ТР нефть'!$J$28:$BP$638,53,0),"-")=0,"-",IFERROR(VLOOKUP(J379,'[63]ТР нефть'!$J$28:$BP$638,53,0),"-"))</f>
        <v>-</v>
      </c>
      <c r="BK379" s="138" t="str">
        <f>IF(IFERROR(VLOOKUP(J379,'[63]ТР нефть'!$J$28:$BP$638,54,0),"-")=0,"-",IFERROR(VLOOKUP(J379,'[63]ТР нефть'!$J$28:$BP$638,54,0),"-"))</f>
        <v>-</v>
      </c>
      <c r="BL379" s="138" t="str">
        <f>IF(IFERROR(VLOOKUP(J379,'[63]ТР нефть'!$J$28:$BP$638,55,0),"-")=0,"-",IFERROR(VLOOKUP(J379,'[63]ТР нефть'!$J$28:$BP$638,55,0),"-"))</f>
        <v>-</v>
      </c>
      <c r="BM379" s="138" t="str">
        <f>IF(IFERROR(VLOOKUP(J379,'[63]ТР нефть'!$J$28:$BP$638,56,0),"-")=0,"-",IFERROR(VLOOKUP(J379,'[63]ТР нефть'!$J$28:$BP$638,56,0),"-"))</f>
        <v>-</v>
      </c>
      <c r="BN379" s="138" t="str">
        <f>IF(IFERROR(VLOOKUP(J379,'[63]ТР нефть'!$J$28:$BP$638,57,0),"-")=0,"-",IFERROR(VLOOKUP(J379,'[63]ТР нефть'!$J$28:$BP$638,57,0),"-"))</f>
        <v>-</v>
      </c>
      <c r="BO379" s="115" t="str">
        <f>IF(IFERROR(VLOOKUP(J379,'[63]ТР нефть'!$J$28:$BP$638,58,0),"-")=0,"-",IFERROR(VLOOKUP(J379,'[63]ТР нефть'!$J$28:$BP$638,58,0),"-"))</f>
        <v>-</v>
      </c>
      <c r="BP379" s="115" t="str">
        <f>IF(IFERROR(VLOOKUP(J379,'[63]ТР нефть'!$J$28:$BP$638,59,0),"-")=0,"-",IFERROR(VLOOKUP(J379,'[63]ТР нефть'!$J$28:$BP$638,59,0),"-"))</f>
        <v>-</v>
      </c>
      <c r="BQ379" s="138">
        <v>2197.5</v>
      </c>
      <c r="BR379" s="128"/>
      <c r="BS379" s="115"/>
      <c r="BT379" s="128"/>
      <c r="BU379" s="128"/>
      <c r="BV379" s="127">
        <v>12</v>
      </c>
      <c r="BW379" s="127" t="s">
        <v>217</v>
      </c>
      <c r="BX379" s="127" t="s">
        <v>218</v>
      </c>
      <c r="BY379" s="139">
        <v>24</v>
      </c>
      <c r="BZ379" s="139">
        <v>24</v>
      </c>
      <c r="CA379" s="138">
        <v>24</v>
      </c>
      <c r="CB379" s="138">
        <v>61</v>
      </c>
      <c r="CC379" s="138">
        <v>23</v>
      </c>
      <c r="CD379" s="135">
        <v>45017</v>
      </c>
      <c r="CE379" s="138">
        <v>152</v>
      </c>
      <c r="CF379" s="138">
        <v>71</v>
      </c>
      <c r="CG379" s="138" t="str">
        <f t="shared" si="265"/>
        <v>В работе</v>
      </c>
      <c r="CH379" s="138" t="s">
        <v>235</v>
      </c>
      <c r="CI379" s="127">
        <v>6</v>
      </c>
      <c r="CJ379" s="138"/>
      <c r="CK379" s="138"/>
      <c r="CL379" s="99"/>
      <c r="CM379" s="99"/>
      <c r="CN379" s="140">
        <v>50</v>
      </c>
      <c r="CO379" s="159">
        <f t="shared" si="276"/>
        <v>0.25079999999999997</v>
      </c>
      <c r="CP379" s="160">
        <v>0.3</v>
      </c>
      <c r="CQ379" s="161">
        <v>0</v>
      </c>
      <c r="CR379" s="138">
        <v>6</v>
      </c>
      <c r="CS379" s="139">
        <v>5</v>
      </c>
      <c r="CT379" s="138"/>
      <c r="CU379" s="138">
        <f t="shared" si="277"/>
        <v>1</v>
      </c>
      <c r="CV379" s="115">
        <f t="shared" si="278"/>
        <v>3987.2408293460931</v>
      </c>
      <c r="CW379" s="115">
        <f t="shared" si="279"/>
        <v>19936.204146730463</v>
      </c>
      <c r="CX379" s="133">
        <f t="shared" si="280"/>
        <v>2.9411764705882353E-3</v>
      </c>
      <c r="CY379" s="116"/>
      <c r="CZ379" s="131"/>
      <c r="DA379" s="145" t="str">
        <f t="shared" si="281"/>
        <v>Газлифт</v>
      </c>
      <c r="DB379" s="146">
        <f t="shared" si="282"/>
        <v>7.3399546000000013</v>
      </c>
      <c r="DC379" s="142">
        <f t="shared" si="302"/>
        <v>8.9</v>
      </c>
      <c r="DD379" s="119">
        <f t="shared" si="303"/>
        <v>1.35</v>
      </c>
      <c r="DE379" s="115">
        <f t="shared" si="283"/>
        <v>1</v>
      </c>
      <c r="DF379" s="121">
        <f t="shared" si="284"/>
        <v>5</v>
      </c>
      <c r="DG379" s="115">
        <f t="shared" si="285"/>
        <v>3987.2408293460931</v>
      </c>
      <c r="DH379" s="115">
        <f t="shared" si="286"/>
        <v>50</v>
      </c>
      <c r="DI379" s="147"/>
      <c r="DJ379" s="111"/>
      <c r="DK379" s="112">
        <v>44118.083333333336</v>
      </c>
      <c r="DL379" s="113">
        <f t="shared" ca="1" si="266"/>
        <v>985.91666666666424</v>
      </c>
      <c r="DM379" s="114"/>
      <c r="DN379" s="114"/>
      <c r="DO379" s="114"/>
      <c r="DP379" s="114"/>
      <c r="DQ379" s="112"/>
      <c r="DR379" s="114"/>
      <c r="DS379" s="114"/>
      <c r="DT379" s="115">
        <v>60</v>
      </c>
      <c r="DU379" s="116">
        <f t="shared" si="267"/>
        <v>3.2608695652173911E-3</v>
      </c>
      <c r="DV379" s="117">
        <f t="shared" si="268"/>
        <v>0.25079999999999997</v>
      </c>
      <c r="DW379" s="118">
        <f t="shared" si="269"/>
        <v>0.3</v>
      </c>
      <c r="DX379" s="119">
        <f t="shared" si="287"/>
        <v>0</v>
      </c>
      <c r="DY379" s="115">
        <f t="shared" si="270"/>
        <v>1</v>
      </c>
      <c r="DZ379" s="117">
        <f t="shared" si="305"/>
        <v>0</v>
      </c>
      <c r="EA379" s="120">
        <f t="shared" si="305"/>
        <v>0</v>
      </c>
      <c r="EB379" s="119">
        <f t="shared" si="264"/>
        <v>0</v>
      </c>
      <c r="EC379" s="121">
        <f t="shared" si="272"/>
        <v>0</v>
      </c>
      <c r="ED379" s="122"/>
      <c r="EE379" s="145">
        <v>12</v>
      </c>
      <c r="EF379" s="115">
        <v>22</v>
      </c>
      <c r="EG379" s="115">
        <v>38</v>
      </c>
      <c r="EH379" s="115">
        <v>21</v>
      </c>
      <c r="EI379" s="128" t="s">
        <v>218</v>
      </c>
      <c r="EJ379" s="121">
        <v>24</v>
      </c>
      <c r="EK379" s="121">
        <v>24</v>
      </c>
      <c r="EL379" s="162">
        <v>7.3399546000000013</v>
      </c>
      <c r="EM379" s="142">
        <v>8.9</v>
      </c>
      <c r="EN379" s="119">
        <v>1.35</v>
      </c>
      <c r="EO379" s="115">
        <v>8.3000000000000007</v>
      </c>
      <c r="EP379" s="115">
        <v>177.112812114669</v>
      </c>
      <c r="EQ379" s="115">
        <v>78</v>
      </c>
      <c r="ER379" s="115">
        <v>7</v>
      </c>
      <c r="ES379" s="115">
        <v>50</v>
      </c>
      <c r="ET379" s="150">
        <v>8.7254901960784323E-2</v>
      </c>
      <c r="EU379" s="145">
        <f t="shared" si="288"/>
        <v>12</v>
      </c>
      <c r="EV379" s="115">
        <f t="shared" si="289"/>
        <v>24</v>
      </c>
      <c r="EW379" s="115">
        <f t="shared" si="289"/>
        <v>61</v>
      </c>
      <c r="EX379" s="115">
        <f t="shared" si="289"/>
        <v>23</v>
      </c>
      <c r="EY379" s="115" t="str">
        <f t="shared" si="253"/>
        <v>Периодический</v>
      </c>
      <c r="EZ379" s="115">
        <f t="shared" si="253"/>
        <v>24</v>
      </c>
      <c r="FA379" s="115">
        <f t="shared" si="253"/>
        <v>24</v>
      </c>
      <c r="FB379" s="149">
        <f t="shared" si="298"/>
        <v>0.25079999999999997</v>
      </c>
      <c r="FC379" s="142">
        <f t="shared" si="298"/>
        <v>0.3</v>
      </c>
      <c r="FD379" s="119">
        <f t="shared" si="298"/>
        <v>0</v>
      </c>
      <c r="FE379" s="121">
        <f t="shared" si="298"/>
        <v>6</v>
      </c>
      <c r="FF379" s="121">
        <f t="shared" si="300"/>
        <v>3987.2408293460931</v>
      </c>
      <c r="FG379" s="121">
        <f t="shared" si="290"/>
        <v>71</v>
      </c>
      <c r="FH379" s="121">
        <f t="shared" si="301"/>
        <v>5</v>
      </c>
      <c r="FI379" s="121">
        <f t="shared" ref="FI379:FI442" si="306">CN379</f>
        <v>50</v>
      </c>
      <c r="FJ379" s="144">
        <f t="shared" si="291"/>
        <v>2.9411764705882353E-3</v>
      </c>
      <c r="FK379" s="132">
        <f t="shared" si="292"/>
        <v>0</v>
      </c>
      <c r="FL379" s="115">
        <f t="shared" si="292"/>
        <v>2</v>
      </c>
      <c r="FM379" s="115">
        <f t="shared" si="292"/>
        <v>23</v>
      </c>
      <c r="FN379" s="115">
        <f t="shared" si="273"/>
        <v>2</v>
      </c>
      <c r="FO379" s="115">
        <f t="shared" si="257"/>
        <v>0</v>
      </c>
      <c r="FP379" s="115">
        <f t="shared" si="257"/>
        <v>0</v>
      </c>
      <c r="FQ379" s="149">
        <f t="shared" si="257"/>
        <v>-7.0891546000000014</v>
      </c>
      <c r="FR379" s="142">
        <f t="shared" si="256"/>
        <v>-8.6</v>
      </c>
      <c r="FS379" s="119">
        <f t="shared" si="256"/>
        <v>-1.35</v>
      </c>
      <c r="FT379" s="121">
        <f t="shared" si="256"/>
        <v>-2.3000000000000007</v>
      </c>
      <c r="FU379" s="121">
        <f t="shared" si="293"/>
        <v>-7</v>
      </c>
      <c r="FV379" s="121">
        <f t="shared" si="293"/>
        <v>-2</v>
      </c>
      <c r="FW379" s="121">
        <f t="shared" si="294"/>
        <v>3810.1280172314241</v>
      </c>
      <c r="FX379" s="121">
        <f>CN379-ES379</f>
        <v>0</v>
      </c>
      <c r="FY379" s="144">
        <f t="shared" si="295"/>
        <v>-8.4313725490196084E-2</v>
      </c>
      <c r="FZ379" s="145" t="s">
        <v>199</v>
      </c>
      <c r="GA379" s="151" t="s">
        <v>1512</v>
      </c>
      <c r="GB379" s="145"/>
      <c r="GC379" s="151" t="s">
        <v>1502</v>
      </c>
      <c r="GD379" s="997" t="s">
        <v>416</v>
      </c>
      <c r="GE379" s="1004"/>
      <c r="GF379" s="1004">
        <v>0</v>
      </c>
      <c r="GG379" s="1004"/>
      <c r="GH379" s="1004">
        <v>0</v>
      </c>
      <c r="GI379" s="145" t="s">
        <v>204</v>
      </c>
      <c r="GJ379" s="996">
        <v>2.9524761200000009</v>
      </c>
      <c r="GK379" s="145" t="s">
        <v>206</v>
      </c>
      <c r="GL379" s="996">
        <v>0</v>
      </c>
      <c r="GM379" s="1005"/>
      <c r="GN379" s="996">
        <v>0.47499848000000089</v>
      </c>
      <c r="GO379" s="1006"/>
      <c r="GP379" s="996">
        <v>0</v>
      </c>
      <c r="GQ379" s="1006" t="s">
        <v>199</v>
      </c>
      <c r="GR379" s="996">
        <v>2.5414399999999997</v>
      </c>
      <c r="GS379" s="1006"/>
      <c r="GT379" s="996">
        <v>0.11704000000000003</v>
      </c>
      <c r="GU379" s="1006"/>
      <c r="GV379" s="996">
        <v>0.21944999999999992</v>
      </c>
      <c r="GW379" s="1006" t="s">
        <v>199</v>
      </c>
      <c r="GX379" s="996">
        <v>-2.2207587599999981</v>
      </c>
      <c r="GY379" s="1006" t="s">
        <v>199</v>
      </c>
      <c r="GZ379" s="996">
        <v>-4.9208785824000021</v>
      </c>
      <c r="HA379" s="1006" t="s">
        <v>199</v>
      </c>
      <c r="HB379" s="996">
        <v>4.9408673424000007</v>
      </c>
      <c r="HC379" s="1006" t="s">
        <v>241</v>
      </c>
      <c r="HD379" s="996">
        <v>0</v>
      </c>
      <c r="HE379" s="1006" t="s">
        <v>204</v>
      </c>
      <c r="HF379" s="996">
        <v>-3.9039185239999998</v>
      </c>
      <c r="HG379" s="1006"/>
      <c r="HH379" s="996">
        <v>0</v>
      </c>
      <c r="HI379" s="1006"/>
      <c r="HJ379" s="996">
        <v>0</v>
      </c>
      <c r="HK379" s="1006"/>
      <c r="HL379" s="996">
        <v>0</v>
      </c>
      <c r="HM379" s="1006" t="s">
        <v>204</v>
      </c>
      <c r="HN379" s="996">
        <v>-14.881001475999998</v>
      </c>
      <c r="HO379" s="1006"/>
      <c r="HP379" s="996">
        <v>0</v>
      </c>
      <c r="HQ379" s="1006" t="s">
        <v>204</v>
      </c>
      <c r="HR379" s="996">
        <v>11.559789999999998</v>
      </c>
      <c r="HS379" s="1006"/>
      <c r="HT379" s="996">
        <v>0</v>
      </c>
      <c r="HU379" s="1006"/>
      <c r="HV379" s="996">
        <v>0</v>
      </c>
      <c r="HW379" s="1006"/>
      <c r="HX379" s="996">
        <v>0</v>
      </c>
      <c r="HY379" s="1006" t="s">
        <v>199</v>
      </c>
      <c r="HZ379" s="996">
        <v>7.9003212200000004</v>
      </c>
      <c r="IA379" s="1006" t="s">
        <v>199</v>
      </c>
      <c r="IB379" s="996">
        <v>-2.4799078919999999</v>
      </c>
      <c r="IC379" s="1006"/>
      <c r="ID379" s="996">
        <v>0</v>
      </c>
      <c r="IE379" s="1006"/>
      <c r="IF379" s="996">
        <v>-0.8845047199999998</v>
      </c>
      <c r="IG379" s="1006" t="s">
        <v>199</v>
      </c>
      <c r="IH379" s="996">
        <v>-2.7700676080000006</v>
      </c>
      <c r="II379" s="1006"/>
      <c r="IJ379" s="996">
        <v>0</v>
      </c>
      <c r="IK379" s="1006" t="s">
        <v>204</v>
      </c>
      <c r="IL379" s="996">
        <v>7.398809</v>
      </c>
      <c r="IM379" s="1006" t="s">
        <v>203</v>
      </c>
      <c r="IN379" s="996">
        <v>-20.022199999999998</v>
      </c>
      <c r="IO379" s="1006" t="s">
        <v>25</v>
      </c>
      <c r="IP379" s="996">
        <v>21.317999999999998</v>
      </c>
      <c r="IQ379" s="1006"/>
      <c r="IR379" s="996"/>
      <c r="IS379" s="1006"/>
      <c r="IT379" s="996"/>
      <c r="IU379" s="1006"/>
      <c r="IV379" s="996"/>
      <c r="IW379" s="1006"/>
      <c r="IX379" s="996"/>
      <c r="IY379" s="1006"/>
      <c r="IZ379" s="996"/>
      <c r="JA379" s="1006"/>
      <c r="JB379" s="996"/>
      <c r="JC379" s="1006"/>
      <c r="JD379" s="996"/>
      <c r="JE379" s="1006"/>
      <c r="JF379" s="996"/>
      <c r="JG379" s="1006"/>
      <c r="JH379" s="996"/>
      <c r="JI379" s="1006"/>
      <c r="JJ379" s="996"/>
      <c r="JK379" s="1007"/>
      <c r="JL379" s="1007"/>
      <c r="JM379" s="1007"/>
      <c r="JN379" s="1007"/>
      <c r="JO379" s="1008"/>
      <c r="JP379" s="1007"/>
      <c r="JQ379" s="1008"/>
      <c r="JR379" s="1007"/>
      <c r="JS379" s="1008"/>
      <c r="JT379" s="1007"/>
      <c r="JU379" s="1008"/>
      <c r="JV379" s="1007"/>
      <c r="JW379" s="1008"/>
      <c r="JX379" s="1007"/>
      <c r="JY379" s="1008"/>
      <c r="JZ379" s="1007"/>
      <c r="KA379" s="1008"/>
      <c r="KB379" s="1007"/>
      <c r="KC379" s="1008"/>
      <c r="KD379" s="1007"/>
      <c r="KE379" s="1008"/>
      <c r="KF379" s="1007"/>
      <c r="KG379" s="1008"/>
      <c r="KH379" s="1007"/>
      <c r="KI379" s="1008"/>
      <c r="KJ379" s="1007"/>
      <c r="KK379" s="1008"/>
      <c r="KL379" s="1007"/>
      <c r="KM379" s="1008"/>
      <c r="KN379" s="1007"/>
      <c r="KO379" s="1008"/>
      <c r="KP379" s="1007"/>
      <c r="KQ379" s="1008"/>
      <c r="KR379" s="1007"/>
      <c r="KS379" s="1008"/>
      <c r="KT379" s="1007"/>
      <c r="KU379" s="1008"/>
      <c r="KV379" s="1007"/>
      <c r="KW379" s="1008"/>
      <c r="KX379" s="1007"/>
      <c r="KY379" s="1008"/>
      <c r="KZ379" s="1007"/>
      <c r="LA379" s="1008"/>
      <c r="LB379" s="1007"/>
      <c r="LC379" s="1008"/>
      <c r="LD379" s="1007"/>
      <c r="LE379" s="1008"/>
      <c r="LF379" s="1007"/>
      <c r="LG379" s="1008"/>
      <c r="LH379" s="1007"/>
      <c r="LI379" s="1008"/>
      <c r="LJ379" s="1007"/>
      <c r="LK379" s="1008"/>
      <c r="LL379" s="1007"/>
      <c r="LM379" s="1008"/>
      <c r="LN379" s="1007"/>
      <c r="LO379" s="1008"/>
      <c r="LP379" s="1007"/>
      <c r="LQ379" s="1008"/>
      <c r="LR379" s="1007"/>
      <c r="LS379" s="1008"/>
      <c r="LT379" s="1007"/>
      <c r="LU379" s="1008"/>
      <c r="LV379" s="1007"/>
      <c r="LW379" s="1008"/>
      <c r="LX379" s="1007"/>
      <c r="LY379" s="1009"/>
      <c r="LZ379" s="1010"/>
      <c r="MA379" s="1011"/>
      <c r="MB379" s="1012"/>
      <c r="MC379" s="995"/>
      <c r="MD379" s="996"/>
      <c r="ME379" s="997" t="s">
        <v>416</v>
      </c>
      <c r="MF379" s="997"/>
      <c r="MG379" s="998"/>
      <c r="NR379" s="1000"/>
      <c r="NS379" s="1000"/>
      <c r="NT379" s="1001"/>
      <c r="NU379" s="1000"/>
      <c r="NV379" s="1001"/>
      <c r="NX379" s="1002"/>
      <c r="NZ379" s="1001"/>
      <c r="OA379" s="1001"/>
      <c r="OC379" s="1003"/>
      <c r="OD379" s="1003"/>
      <c r="OE379" s="1001"/>
      <c r="OF379" s="1003"/>
      <c r="OG379" s="1003"/>
      <c r="OH379" s="1003"/>
      <c r="OI379" s="1016"/>
      <c r="QX379" s="1000">
        <f>CN379-CA379</f>
        <v>26</v>
      </c>
      <c r="ASU379" s="999" t="s">
        <v>225</v>
      </c>
    </row>
    <row r="380" spans="1:466 1191:1191" ht="21" customHeight="1" x14ac:dyDescent="0.25">
      <c r="A380" s="982">
        <f t="shared" si="274"/>
        <v>1421</v>
      </c>
      <c r="B380" s="124">
        <f>SUBTOTAL(103,$J$29:J380)</f>
        <v>352</v>
      </c>
      <c r="C380" s="126">
        <v>45068</v>
      </c>
      <c r="D380" s="124" t="s">
        <v>176</v>
      </c>
      <c r="E380" s="127" t="s">
        <v>177</v>
      </c>
      <c r="F380" s="128" t="s">
        <v>177</v>
      </c>
      <c r="G380" s="127" t="s">
        <v>178</v>
      </c>
      <c r="H380" s="127" t="s">
        <v>179</v>
      </c>
      <c r="I380" s="127" t="s">
        <v>1137</v>
      </c>
      <c r="J380" s="152">
        <v>1421</v>
      </c>
      <c r="K380" s="127" t="s">
        <v>481</v>
      </c>
      <c r="L380" s="130">
        <v>43635</v>
      </c>
      <c r="M380" s="127" t="s">
        <v>230</v>
      </c>
      <c r="N380" s="127" t="s">
        <v>184</v>
      </c>
      <c r="O380" s="127" t="s">
        <v>185</v>
      </c>
      <c r="P380" s="127" t="s">
        <v>186</v>
      </c>
      <c r="Q380" s="85" t="str">
        <f t="shared" si="297"/>
        <v/>
      </c>
      <c r="R380" s="130"/>
      <c r="S380" s="128"/>
      <c r="T380" s="131"/>
      <c r="U380" s="132">
        <v>203</v>
      </c>
      <c r="V380" s="121">
        <v>218.2</v>
      </c>
      <c r="W380" s="116">
        <v>0.98</v>
      </c>
      <c r="X380" s="116">
        <v>1.66</v>
      </c>
      <c r="Y380" s="116">
        <f t="shared" si="299"/>
        <v>0.98</v>
      </c>
      <c r="Z380" s="133">
        <v>1.454</v>
      </c>
      <c r="AA380" s="133">
        <v>0.83599999999999997</v>
      </c>
      <c r="AB380" s="133">
        <v>0.72</v>
      </c>
      <c r="AC380" s="121">
        <v>34.299999999999997</v>
      </c>
      <c r="AD380" s="134">
        <v>1.17</v>
      </c>
      <c r="AE380" s="124">
        <v>177.8</v>
      </c>
      <c r="AF380" s="128">
        <v>9.19</v>
      </c>
      <c r="AG380" s="128">
        <v>2311.5700000000002</v>
      </c>
      <c r="AH380" s="127">
        <v>2940</v>
      </c>
      <c r="AI380" s="127">
        <v>2940</v>
      </c>
      <c r="AJ380" s="135"/>
      <c r="AK380" s="128"/>
      <c r="AL380" s="131"/>
      <c r="AM380" s="124" t="s">
        <v>187</v>
      </c>
      <c r="AN380" s="136" t="s">
        <v>1513</v>
      </c>
      <c r="AO380" s="137">
        <v>192.58</v>
      </c>
      <c r="AP380" s="128">
        <v>2381.81</v>
      </c>
      <c r="AQ380" s="128">
        <f>AP380-1867.81</f>
        <v>514</v>
      </c>
      <c r="AR380" s="128" t="s">
        <v>1514</v>
      </c>
      <c r="AS380" s="128">
        <v>114</v>
      </c>
      <c r="AT380" s="122">
        <v>7.37</v>
      </c>
      <c r="AU380" s="124" t="s">
        <v>189</v>
      </c>
      <c r="AV380" s="115">
        <f>VLOOKUP(J380,'[63]ТР нефть'!$J$28:$BP$638,39,0)</f>
        <v>429.99998584000002</v>
      </c>
      <c r="AW380" s="115" t="str">
        <f>VLOOKUP(J380,'[63]ТР нефть'!$J$28:$BP$638,40,0)</f>
        <v>ГП</v>
      </c>
      <c r="AX380" s="115">
        <f>VLOOKUP(J380,'[63]ТР нефть'!$J$28:$BP$638,41,0)</f>
        <v>870.00003105500002</v>
      </c>
      <c r="AY380" s="115" t="str">
        <f>VLOOKUP(J380,'[63]ТР нефть'!$J$28:$BP$638,42,0)</f>
        <v>ГП</v>
      </c>
      <c r="AZ380" s="115">
        <f>VLOOKUP(J380,'[63]ТР нефть'!$J$28:$BP$638,43,0)</f>
        <v>1319.9999496089999</v>
      </c>
      <c r="BA380" s="115" t="str">
        <f>VLOOKUP(J380,'[63]ТР нефть'!$J$28:$BP$638,44,0)</f>
        <v>ГК80 1/8</v>
      </c>
      <c r="BB380" s="115">
        <f>VLOOKUP(J380,'[63]ТР нефть'!$J$28:$BP$638,45,0)</f>
        <v>1619.9999449219999</v>
      </c>
      <c r="BC380" s="115" t="str">
        <f>VLOOKUP(J380,'[63]ТР нефть'!$J$28:$BP$638,46,0)</f>
        <v>ГК79 5/32</v>
      </c>
      <c r="BD380" s="115">
        <f>VLOOKUP(J380,'[63]ТР нефть'!$J$28:$BP$638,47,0)</f>
        <v>1830.0000011720001</v>
      </c>
      <c r="BE380" s="115" t="str">
        <f>VLOOKUP(J380,'[63]ТР нефть'!$J$28:$BP$638,48,0)</f>
        <v>ЦКсОК 5/16</v>
      </c>
      <c r="BF380" s="115" t="str">
        <f>VLOOKUP(J380,'[63]ТР нефть'!$J$28:$BP$638,49,0)</f>
        <v>-</v>
      </c>
      <c r="BG380" s="115" t="str">
        <f>VLOOKUP(J380,'[63]ТР нефть'!$J$28:$BP$638,50,0)</f>
        <v>-</v>
      </c>
      <c r="BH380" s="115" t="str">
        <f>VLOOKUP(J380,'[63]ТР нефть'!$J$28:$BP$638,51,0)</f>
        <v>-</v>
      </c>
      <c r="BI380" s="115" t="str">
        <f>VLOOKUP(J380,'[63]ТР нефть'!$J$28:$BP$638,52,0)</f>
        <v>-</v>
      </c>
      <c r="BJ380" s="115" t="str">
        <f>IF(IFERROR(VLOOKUP(J380,'[63]ТР нефть'!$J$28:$BP$638,53,0),"-")=0,"-",IFERROR(VLOOKUP(J380,'[63]ТР нефть'!$J$28:$BP$638,53,0),"-"))</f>
        <v>-</v>
      </c>
      <c r="BK380" s="138" t="str">
        <f>IF(IFERROR(VLOOKUP(J380,'[63]ТР нефть'!$J$28:$BP$638,54,0),"-")=0,"-",IFERROR(VLOOKUP(J380,'[63]ТР нефть'!$J$28:$BP$638,54,0),"-"))</f>
        <v>-</v>
      </c>
      <c r="BL380" s="138" t="str">
        <f>IF(IFERROR(VLOOKUP(J380,'[63]ТР нефть'!$J$28:$BP$638,55,0),"-")=0,"-",IFERROR(VLOOKUP(J380,'[63]ТР нефть'!$J$28:$BP$638,55,0),"-"))</f>
        <v>-</v>
      </c>
      <c r="BM380" s="138" t="str">
        <f>IF(IFERROR(VLOOKUP(J380,'[63]ТР нефть'!$J$28:$BP$638,56,0),"-")=0,"-",IFERROR(VLOOKUP(J380,'[63]ТР нефть'!$J$28:$BP$638,56,0),"-"))</f>
        <v>-</v>
      </c>
      <c r="BN380" s="138" t="str">
        <f>IF(IFERROR(VLOOKUP(J380,'[63]ТР нефть'!$J$28:$BP$638,57,0),"-")=0,"-",IFERROR(VLOOKUP(J380,'[63]ТР нефть'!$J$28:$BP$638,57,0),"-"))</f>
        <v>-</v>
      </c>
      <c r="BO380" s="115" t="str">
        <f>IF(IFERROR(VLOOKUP(J380,'[63]ТР нефть'!$J$28:$BP$638,58,0),"-")=0,"-",IFERROR(VLOOKUP(J380,'[63]ТР нефть'!$J$28:$BP$638,58,0),"-"))</f>
        <v>-</v>
      </c>
      <c r="BP380" s="115" t="str">
        <f>IF(IFERROR(VLOOKUP(J380,'[63]ТР нефть'!$J$28:$BP$638,59,0),"-")=0,"-",IFERROR(VLOOKUP(J380,'[63]ТР нефть'!$J$28:$BP$638,59,0),"-"))</f>
        <v>-</v>
      </c>
      <c r="BQ380" s="138">
        <v>2228</v>
      </c>
      <c r="BR380" s="128">
        <v>1823</v>
      </c>
      <c r="BS380" s="115">
        <f t="shared" ref="BS380:BS413" si="307">BQ380-BR380</f>
        <v>405</v>
      </c>
      <c r="BT380" s="128">
        <v>73</v>
      </c>
      <c r="BU380" s="128">
        <v>5.5</v>
      </c>
      <c r="BV380" s="127">
        <v>65</v>
      </c>
      <c r="BW380" s="127" t="s">
        <v>217</v>
      </c>
      <c r="BX380" s="127" t="s">
        <v>195</v>
      </c>
      <c r="BY380" s="139">
        <v>24</v>
      </c>
      <c r="BZ380" s="139">
        <v>0</v>
      </c>
      <c r="CA380" s="138">
        <v>24</v>
      </c>
      <c r="CB380" s="138">
        <v>43</v>
      </c>
      <c r="CC380" s="138">
        <v>23</v>
      </c>
      <c r="CD380" s="135">
        <v>45017</v>
      </c>
      <c r="CE380" s="138">
        <v>106</v>
      </c>
      <c r="CF380" s="138">
        <v>74</v>
      </c>
      <c r="CG380" s="138" t="str">
        <f t="shared" si="265"/>
        <v>В работе</v>
      </c>
      <c r="CH380" s="138" t="s">
        <v>272</v>
      </c>
      <c r="CI380" s="127"/>
      <c r="CJ380" s="138"/>
      <c r="CK380" s="138">
        <f t="shared" ref="CK380:CK443" si="308">CN380-CA380</f>
        <v>29</v>
      </c>
      <c r="CL380" s="99"/>
      <c r="CM380" s="99"/>
      <c r="CN380" s="140">
        <v>53</v>
      </c>
      <c r="CO380" s="141">
        <f t="shared" si="276"/>
        <v>5.016</v>
      </c>
      <c r="CP380" s="142">
        <v>6</v>
      </c>
      <c r="CQ380" s="143">
        <v>0</v>
      </c>
      <c r="CR380" s="138">
        <v>9.5</v>
      </c>
      <c r="CS380" s="139">
        <v>8.6</v>
      </c>
      <c r="CT380" s="138"/>
      <c r="CU380" s="138">
        <f t="shared" si="277"/>
        <v>0.90000000000000036</v>
      </c>
      <c r="CV380" s="115">
        <f t="shared" si="278"/>
        <v>179.42583732057423</v>
      </c>
      <c r="CW380" s="115">
        <f t="shared" si="279"/>
        <v>1714.5135566188196</v>
      </c>
      <c r="CX380" s="133">
        <f t="shared" si="280"/>
        <v>0.11320754716981132</v>
      </c>
      <c r="CY380" s="116"/>
      <c r="CZ380" s="131"/>
      <c r="DA380" s="145" t="str">
        <f t="shared" si="281"/>
        <v>Газлифт</v>
      </c>
      <c r="DB380" s="146">
        <f t="shared" si="282"/>
        <v>5.016</v>
      </c>
      <c r="DC380" s="142">
        <f t="shared" si="302"/>
        <v>6</v>
      </c>
      <c r="DD380" s="119">
        <f t="shared" si="303"/>
        <v>0</v>
      </c>
      <c r="DE380" s="115">
        <f t="shared" si="283"/>
        <v>0.90000000000000036</v>
      </c>
      <c r="DF380" s="121">
        <f t="shared" si="284"/>
        <v>8.6</v>
      </c>
      <c r="DG380" s="115">
        <f t="shared" si="285"/>
        <v>179.42583732057423</v>
      </c>
      <c r="DH380" s="115">
        <f t="shared" si="286"/>
        <v>53</v>
      </c>
      <c r="DI380" s="147"/>
      <c r="DJ380" s="111" t="s">
        <v>197</v>
      </c>
      <c r="DK380" s="112">
        <v>44250</v>
      </c>
      <c r="DL380" s="113">
        <f t="shared" ca="1" si="266"/>
        <v>854</v>
      </c>
      <c r="DM380" s="114"/>
      <c r="DN380" s="114"/>
      <c r="DO380" s="114"/>
      <c r="DP380" s="114"/>
      <c r="DQ380" s="112">
        <v>43635</v>
      </c>
      <c r="DR380" s="114" t="s">
        <v>324</v>
      </c>
      <c r="DS380" s="114"/>
      <c r="DT380" s="115">
        <v>60</v>
      </c>
      <c r="DU380" s="116">
        <f t="shared" si="267"/>
        <v>0.13043478260869565</v>
      </c>
      <c r="DV380" s="117">
        <f t="shared" si="268"/>
        <v>5.016</v>
      </c>
      <c r="DW380" s="118">
        <f t="shared" si="269"/>
        <v>6</v>
      </c>
      <c r="DX380" s="119">
        <f t="shared" si="287"/>
        <v>0</v>
      </c>
      <c r="DY380" s="115">
        <f t="shared" si="270"/>
        <v>0.90000000000000036</v>
      </c>
      <c r="DZ380" s="117">
        <f t="shared" si="305"/>
        <v>0</v>
      </c>
      <c r="EA380" s="120">
        <f t="shared" si="305"/>
        <v>0</v>
      </c>
      <c r="EB380" s="119">
        <f t="shared" si="264"/>
        <v>0</v>
      </c>
      <c r="EC380" s="121">
        <f t="shared" si="272"/>
        <v>0</v>
      </c>
      <c r="ED380" s="122"/>
      <c r="EE380" s="145">
        <v>65</v>
      </c>
      <c r="EF380" s="115">
        <v>26</v>
      </c>
      <c r="EG380" s="115">
        <v>44</v>
      </c>
      <c r="EH380" s="115">
        <v>25</v>
      </c>
      <c r="EI380" s="128" t="s">
        <v>195</v>
      </c>
      <c r="EJ380" s="121">
        <v>24</v>
      </c>
      <c r="EK380" s="121">
        <v>0</v>
      </c>
      <c r="EL380" s="149">
        <v>5.016</v>
      </c>
      <c r="EM380" s="142">
        <v>6</v>
      </c>
      <c r="EN380" s="119">
        <v>0</v>
      </c>
      <c r="EO380" s="115">
        <v>9.5</v>
      </c>
      <c r="EP380" s="115">
        <v>179.42583732057423</v>
      </c>
      <c r="EQ380" s="115">
        <v>71</v>
      </c>
      <c r="ER380" s="115">
        <v>8.6</v>
      </c>
      <c r="ES380" s="115">
        <v>53</v>
      </c>
      <c r="ET380" s="150">
        <v>0.11320754716981132</v>
      </c>
      <c r="EU380" s="145">
        <f t="shared" si="288"/>
        <v>65</v>
      </c>
      <c r="EV380" s="115">
        <f t="shared" si="289"/>
        <v>24</v>
      </c>
      <c r="EW380" s="115">
        <f t="shared" si="289"/>
        <v>43</v>
      </c>
      <c r="EX380" s="115">
        <f t="shared" si="289"/>
        <v>23</v>
      </c>
      <c r="EY380" s="115" t="str">
        <f t="shared" si="253"/>
        <v>Постоянный</v>
      </c>
      <c r="EZ380" s="115">
        <f t="shared" si="253"/>
        <v>24</v>
      </c>
      <c r="FA380" s="115">
        <f t="shared" si="253"/>
        <v>0</v>
      </c>
      <c r="FB380" s="149">
        <f t="shared" si="298"/>
        <v>5.016</v>
      </c>
      <c r="FC380" s="142">
        <f t="shared" si="298"/>
        <v>6</v>
      </c>
      <c r="FD380" s="119">
        <f t="shared" si="298"/>
        <v>0</v>
      </c>
      <c r="FE380" s="121">
        <f t="shared" si="298"/>
        <v>9.5</v>
      </c>
      <c r="FF380" s="121">
        <f t="shared" si="300"/>
        <v>179.42583732057423</v>
      </c>
      <c r="FG380" s="121">
        <f t="shared" si="290"/>
        <v>74</v>
      </c>
      <c r="FH380" s="121">
        <f t="shared" si="301"/>
        <v>8.6</v>
      </c>
      <c r="FI380" s="121">
        <f t="shared" si="306"/>
        <v>53</v>
      </c>
      <c r="FJ380" s="144">
        <f t="shared" si="291"/>
        <v>0.11320754716981132</v>
      </c>
      <c r="FK380" s="132">
        <f t="shared" si="292"/>
        <v>0</v>
      </c>
      <c r="FL380" s="115">
        <f t="shared" si="292"/>
        <v>-2</v>
      </c>
      <c r="FM380" s="115">
        <f t="shared" si="292"/>
        <v>-1</v>
      </c>
      <c r="FN380" s="115">
        <f t="shared" si="273"/>
        <v>-2</v>
      </c>
      <c r="FO380" s="115">
        <f t="shared" si="257"/>
        <v>0</v>
      </c>
      <c r="FP380" s="115">
        <f t="shared" si="257"/>
        <v>0</v>
      </c>
      <c r="FQ380" s="149">
        <f t="shared" si="257"/>
        <v>0</v>
      </c>
      <c r="FR380" s="142">
        <f t="shared" si="256"/>
        <v>0</v>
      </c>
      <c r="FS380" s="119">
        <f t="shared" si="256"/>
        <v>0</v>
      </c>
      <c r="FT380" s="121">
        <f t="shared" si="256"/>
        <v>0</v>
      </c>
      <c r="FU380" s="121">
        <f t="shared" si="293"/>
        <v>3</v>
      </c>
      <c r="FV380" s="121">
        <f t="shared" si="293"/>
        <v>0</v>
      </c>
      <c r="FW380" s="121">
        <f t="shared" si="294"/>
        <v>0</v>
      </c>
      <c r="FX380" s="121">
        <f t="shared" si="295"/>
        <v>0</v>
      </c>
      <c r="FY380" s="144">
        <f t="shared" si="295"/>
        <v>0</v>
      </c>
      <c r="FZ380" s="145"/>
      <c r="GA380" s="151"/>
      <c r="GB380" s="145" t="s">
        <v>199</v>
      </c>
      <c r="GC380" s="151" t="s">
        <v>201</v>
      </c>
      <c r="GD380" s="997" t="s">
        <v>202</v>
      </c>
      <c r="GE380" s="1004" t="s">
        <v>199</v>
      </c>
      <c r="GF380" s="1004">
        <v>1.6720000000000002</v>
      </c>
      <c r="GG380" s="1004"/>
      <c r="GH380" s="1004">
        <v>0</v>
      </c>
      <c r="GI380" s="145" t="s">
        <v>199</v>
      </c>
      <c r="GJ380" s="996">
        <v>-3.0095999999999994</v>
      </c>
      <c r="GK380" s="145"/>
      <c r="GL380" s="996">
        <v>0</v>
      </c>
      <c r="GM380" s="1005"/>
      <c r="GN380" s="996">
        <v>0.50159999999999982</v>
      </c>
      <c r="GO380" s="1006"/>
      <c r="GP380" s="996">
        <v>-0.91959999999999997</v>
      </c>
      <c r="GQ380" s="1006"/>
      <c r="GR380" s="996">
        <v>2.5079999999999103E-2</v>
      </c>
      <c r="GS380" s="1006" t="s">
        <v>199</v>
      </c>
      <c r="GT380" s="996">
        <v>1.2289200000000005</v>
      </c>
      <c r="GU380" s="1006"/>
      <c r="GV380" s="996">
        <v>0</v>
      </c>
      <c r="GW380" s="1006"/>
      <c r="GX380" s="996">
        <v>0</v>
      </c>
      <c r="GY380" s="1006"/>
      <c r="GZ380" s="996">
        <v>0</v>
      </c>
      <c r="HA380" s="1006" t="s">
        <v>199</v>
      </c>
      <c r="HB380" s="996">
        <v>-1.8809999999999993</v>
      </c>
      <c r="HC380" s="1006" t="s">
        <v>241</v>
      </c>
      <c r="HD380" s="996">
        <v>0</v>
      </c>
      <c r="HE380" s="1006"/>
      <c r="HF380" s="996">
        <v>-0.32604000000000077</v>
      </c>
      <c r="HG380" s="1006" t="s">
        <v>199</v>
      </c>
      <c r="HH380" s="996">
        <v>3.5446400000000002</v>
      </c>
      <c r="HI380" s="1006"/>
      <c r="HJ380" s="996">
        <v>-0.32603999999999989</v>
      </c>
      <c r="HK380" s="1006" t="s">
        <v>199</v>
      </c>
      <c r="HL380" s="996">
        <v>-0.72731999999999974</v>
      </c>
      <c r="HM380" s="1006"/>
      <c r="HN380" s="996">
        <v>0.13375999999999966</v>
      </c>
      <c r="HO380" s="1006" t="s">
        <v>199</v>
      </c>
      <c r="HP380" s="996">
        <v>-1.8392000000000008</v>
      </c>
      <c r="HQ380" s="1006" t="s">
        <v>199</v>
      </c>
      <c r="HR380" s="996">
        <v>1.7138000000000009</v>
      </c>
      <c r="HS380" s="1006"/>
      <c r="HT380" s="996">
        <v>0</v>
      </c>
      <c r="HU380" s="1006"/>
      <c r="HV380" s="996">
        <v>0</v>
      </c>
      <c r="HW380" s="1006" t="s">
        <v>241</v>
      </c>
      <c r="HX380" s="996">
        <v>1.0729859359999994</v>
      </c>
      <c r="HY380" s="1006" t="s">
        <v>221</v>
      </c>
      <c r="HZ380" s="996">
        <v>-3.1611534239999983</v>
      </c>
      <c r="IA380" s="1006"/>
      <c r="IB380" s="996">
        <v>0.72906556799999844</v>
      </c>
      <c r="IC380" s="1006" t="s">
        <v>221</v>
      </c>
      <c r="ID380" s="996">
        <v>4.5442619200000003</v>
      </c>
      <c r="IE380" s="1006"/>
      <c r="IF380" s="996">
        <v>-0.54005599999999987</v>
      </c>
      <c r="IG380" s="1006"/>
      <c r="IH380" s="996">
        <v>0</v>
      </c>
      <c r="II380" s="1006"/>
      <c r="IJ380" s="996">
        <v>0</v>
      </c>
      <c r="IK380" s="1006"/>
      <c r="IL380" s="996">
        <v>0</v>
      </c>
      <c r="IM380" s="1006"/>
      <c r="IN380" s="996">
        <v>0.21284560000000008</v>
      </c>
      <c r="IO380" s="1006" t="s">
        <v>199</v>
      </c>
      <c r="IP380" s="996">
        <v>-1.2611896000000002</v>
      </c>
      <c r="IQ380" s="1006" t="s">
        <v>199</v>
      </c>
      <c r="IR380" s="996">
        <v>-4.7317599999999995</v>
      </c>
      <c r="IS380" s="1006"/>
      <c r="IT380" s="996">
        <v>8.3599999999998786E-2</v>
      </c>
      <c r="IU380" s="1006"/>
      <c r="IV380" s="996">
        <v>0</v>
      </c>
      <c r="IW380" s="1006"/>
      <c r="IX380" s="996">
        <v>0.94133600000000062</v>
      </c>
      <c r="IY380" s="1006" t="s">
        <v>199</v>
      </c>
      <c r="IZ380" s="996">
        <v>-4.9541359999999992</v>
      </c>
      <c r="JA380" s="1006"/>
      <c r="JB380" s="996">
        <v>0</v>
      </c>
      <c r="JC380" s="1006" t="s">
        <v>204</v>
      </c>
      <c r="JD380" s="996">
        <v>2.8423999999999996</v>
      </c>
      <c r="JE380" s="1006" t="s">
        <v>199</v>
      </c>
      <c r="JF380" s="996">
        <v>-2.2571999999999992</v>
      </c>
      <c r="JG380" s="1006" t="s">
        <v>199</v>
      </c>
      <c r="JH380" s="996">
        <v>-16.772835200000003</v>
      </c>
      <c r="JI380" s="1006"/>
      <c r="JJ380" s="996">
        <v>0</v>
      </c>
      <c r="JK380" s="1007"/>
      <c r="JL380" s="1007">
        <v>0</v>
      </c>
      <c r="JM380" s="1007"/>
      <c r="JN380" s="1007">
        <v>0</v>
      </c>
      <c r="JO380" s="1008"/>
      <c r="JP380" s="1007">
        <v>0</v>
      </c>
      <c r="JQ380" s="1008" t="s">
        <v>203</v>
      </c>
      <c r="JR380" s="1007">
        <v>4.9568352000000004</v>
      </c>
      <c r="JS380" s="1008">
        <v>0</v>
      </c>
      <c r="JT380" s="1007">
        <v>0</v>
      </c>
      <c r="JU380" s="1008" t="s">
        <v>25</v>
      </c>
      <c r="JV380" s="1007">
        <v>19.296886399999998</v>
      </c>
      <c r="JW380" s="1008"/>
      <c r="JX380" s="1007"/>
      <c r="JY380" s="1008"/>
      <c r="JZ380" s="1007"/>
      <c r="KA380" s="1008"/>
      <c r="KB380" s="1007"/>
      <c r="KC380" s="1008"/>
      <c r="KD380" s="1007"/>
      <c r="KE380" s="1008"/>
      <c r="KF380" s="1007"/>
      <c r="KG380" s="1008"/>
      <c r="KH380" s="1007"/>
      <c r="KI380" s="1008"/>
      <c r="KJ380" s="1007"/>
      <c r="KK380" s="1008"/>
      <c r="KL380" s="1007"/>
      <c r="KM380" s="1008"/>
      <c r="KN380" s="1007"/>
      <c r="KO380" s="1008"/>
      <c r="KP380" s="1007"/>
      <c r="KQ380" s="1008"/>
      <c r="KR380" s="1007"/>
      <c r="KS380" s="1008"/>
      <c r="KT380" s="1007"/>
      <c r="KU380" s="1008"/>
      <c r="KV380" s="1007"/>
      <c r="KW380" s="1008"/>
      <c r="KX380" s="1007"/>
      <c r="KY380" s="1008"/>
      <c r="KZ380" s="1007"/>
      <c r="LA380" s="1008"/>
      <c r="LB380" s="1007"/>
      <c r="LC380" s="1008"/>
      <c r="LD380" s="1007"/>
      <c r="LE380" s="1008"/>
      <c r="LF380" s="1007"/>
      <c r="LG380" s="1008"/>
      <c r="LH380" s="1007"/>
      <c r="LI380" s="1008"/>
      <c r="LJ380" s="1007"/>
      <c r="LK380" s="1008"/>
      <c r="LL380" s="1007"/>
      <c r="LM380" s="1008"/>
      <c r="LN380" s="1007"/>
      <c r="LO380" s="1008"/>
      <c r="LP380" s="1007"/>
      <c r="LQ380" s="1008"/>
      <c r="LR380" s="1007"/>
      <c r="LS380" s="1008"/>
      <c r="LT380" s="1007"/>
      <c r="LU380" s="1008"/>
      <c r="LV380" s="1007"/>
      <c r="LW380" s="1008"/>
      <c r="LX380" s="1007"/>
      <c r="LY380" s="1009"/>
      <c r="LZ380" s="1010"/>
      <c r="MA380" s="1011"/>
      <c r="MB380" s="1012"/>
      <c r="MC380" s="995"/>
      <c r="MD380" s="996"/>
      <c r="ME380" s="997" t="s">
        <v>202</v>
      </c>
      <c r="MF380" s="997"/>
      <c r="MG380" s="998"/>
      <c r="NR380" s="1000"/>
      <c r="NS380" s="1000"/>
      <c r="NT380" s="1001"/>
      <c r="NU380" s="1000"/>
      <c r="NV380" s="1001"/>
      <c r="NX380" s="1002"/>
      <c r="NZ380" s="1001"/>
      <c r="OA380" s="1001"/>
      <c r="OC380" s="1003"/>
      <c r="OD380" s="1003"/>
      <c r="OE380" s="1001"/>
      <c r="OF380" s="1003"/>
      <c r="OG380" s="1003"/>
      <c r="QX380" s="1000">
        <f>CN380-CA380</f>
        <v>29</v>
      </c>
      <c r="ASU380" s="999" t="s">
        <v>208</v>
      </c>
    </row>
    <row r="381" spans="1:466 1191:1191" ht="21" customHeight="1" x14ac:dyDescent="0.25">
      <c r="A381" s="982">
        <f t="shared" si="274"/>
        <v>1423</v>
      </c>
      <c r="B381" s="124">
        <f>SUBTOTAL(103,$J$29:J381)</f>
        <v>353</v>
      </c>
      <c r="C381" s="126">
        <v>45068</v>
      </c>
      <c r="D381" s="124" t="s">
        <v>176</v>
      </c>
      <c r="E381" s="127" t="s">
        <v>177</v>
      </c>
      <c r="F381" s="128" t="s">
        <v>177</v>
      </c>
      <c r="G381" s="127" t="s">
        <v>178</v>
      </c>
      <c r="H381" s="127" t="s">
        <v>179</v>
      </c>
      <c r="I381" s="127" t="s">
        <v>1515</v>
      </c>
      <c r="J381" s="152">
        <v>1423</v>
      </c>
      <c r="K381" s="127" t="s">
        <v>1515</v>
      </c>
      <c r="L381" s="130">
        <v>44074</v>
      </c>
      <c r="M381" s="127" t="s">
        <v>230</v>
      </c>
      <c r="N381" s="127" t="s">
        <v>184</v>
      </c>
      <c r="O381" s="127" t="s">
        <v>185</v>
      </c>
      <c r="P381" s="127" t="s">
        <v>186</v>
      </c>
      <c r="Q381" s="85" t="str">
        <f t="shared" si="297"/>
        <v/>
      </c>
      <c r="R381" s="130"/>
      <c r="S381" s="128"/>
      <c r="T381" s="131"/>
      <c r="U381" s="132">
        <v>203</v>
      </c>
      <c r="V381" s="121">
        <v>218.2</v>
      </c>
      <c r="W381" s="116">
        <v>0.98</v>
      </c>
      <c r="X381" s="116">
        <v>1.66</v>
      </c>
      <c r="Y381" s="116">
        <f t="shared" si="299"/>
        <v>0.98</v>
      </c>
      <c r="Z381" s="133">
        <v>1.454</v>
      </c>
      <c r="AA381" s="133">
        <v>0.83599999999999997</v>
      </c>
      <c r="AB381" s="133">
        <v>0.72</v>
      </c>
      <c r="AC381" s="121">
        <v>34.299999999999997</v>
      </c>
      <c r="AD381" s="134">
        <v>1.17</v>
      </c>
      <c r="AE381" s="124">
        <v>177.8</v>
      </c>
      <c r="AF381" s="128">
        <v>9.19</v>
      </c>
      <c r="AG381" s="128">
        <v>2300</v>
      </c>
      <c r="AH381" s="127">
        <v>2883</v>
      </c>
      <c r="AI381" s="127">
        <v>2883</v>
      </c>
      <c r="AJ381" s="135"/>
      <c r="AK381" s="128"/>
      <c r="AL381" s="131"/>
      <c r="AM381" s="124" t="s">
        <v>187</v>
      </c>
      <c r="AN381" s="136" t="s">
        <v>1516</v>
      </c>
      <c r="AO381" s="137"/>
      <c r="AP381" s="128">
        <v>2329</v>
      </c>
      <c r="AQ381" s="128">
        <f>AP381-1680.32-132</f>
        <v>516.68000000000006</v>
      </c>
      <c r="AR381" s="128" t="s">
        <v>1517</v>
      </c>
      <c r="AS381" s="128">
        <v>114</v>
      </c>
      <c r="AT381" s="122">
        <v>7.37</v>
      </c>
      <c r="AU381" s="124" t="s">
        <v>189</v>
      </c>
      <c r="AV381" s="115">
        <f>VLOOKUP(J381,'[63]ТР нефть'!$J$28:$BP$638,39,0)</f>
        <v>585.99998935500003</v>
      </c>
      <c r="AW381" s="115" t="str">
        <f>VLOOKUP(J381,'[63]ТР нефть'!$J$28:$BP$638,40,0)</f>
        <v>ГП</v>
      </c>
      <c r="AX381" s="115">
        <f>VLOOKUP(J381,'[63]ТР нефть'!$J$28:$BP$638,41,0)</f>
        <v>1126.0000330079999</v>
      </c>
      <c r="AY381" s="115" t="str">
        <f>VLOOKUP(J381,'[63]ТР нефть'!$J$28:$BP$638,42,0)</f>
        <v>ГК83 1/8</v>
      </c>
      <c r="AZ381" s="115">
        <f>VLOOKUP(J381,'[63]ТР нефть'!$J$28:$BP$638,43,0)</f>
        <v>1532.9999343750001</v>
      </c>
      <c r="BA381" s="115" t="str">
        <f>VLOOKUP(J381,'[63]ТР нефть'!$J$28:$BP$638,44,0)</f>
        <v>ГК82 1/8</v>
      </c>
      <c r="BB381" s="115">
        <f>VLOOKUP(J381,'[63]ТР нефть'!$J$28:$BP$638,45,0)</f>
        <v>1830.0000011720001</v>
      </c>
      <c r="BC381" s="115" t="str">
        <f>VLOOKUP(J381,'[63]ТР нефть'!$J$28:$BP$638,46,0)</f>
        <v>ЦКсОК 5/16</v>
      </c>
      <c r="BD381" s="115" t="str">
        <f>VLOOKUP(J381,'[63]ТР нефть'!$J$28:$BP$638,47,0)</f>
        <v>-</v>
      </c>
      <c r="BE381" s="115" t="str">
        <f>VLOOKUP(J381,'[63]ТР нефть'!$J$28:$BP$638,48,0)</f>
        <v>-</v>
      </c>
      <c r="BF381" s="115" t="str">
        <f>VLOOKUP(J381,'[63]ТР нефть'!$J$28:$BP$638,49,0)</f>
        <v>-</v>
      </c>
      <c r="BG381" s="115" t="str">
        <f>VLOOKUP(J381,'[63]ТР нефть'!$J$28:$BP$638,50,0)</f>
        <v>-</v>
      </c>
      <c r="BH381" s="115" t="str">
        <f>VLOOKUP(J381,'[63]ТР нефть'!$J$28:$BP$638,51,0)</f>
        <v>-</v>
      </c>
      <c r="BI381" s="115" t="str">
        <f>VLOOKUP(J381,'[63]ТР нефть'!$J$28:$BP$638,52,0)</f>
        <v>-</v>
      </c>
      <c r="BJ381" s="115" t="str">
        <f>IF(IFERROR(VLOOKUP(J381,'[63]ТР нефть'!$J$28:$BP$638,53,0),"-")=0,"-",IFERROR(VLOOKUP(J381,'[63]ТР нефть'!$J$28:$BP$638,53,0),"-"))</f>
        <v>-</v>
      </c>
      <c r="BK381" s="138" t="str">
        <f>IF(IFERROR(VLOOKUP(J381,'[63]ТР нефть'!$J$28:$BP$638,54,0),"-")=0,"-",IFERROR(VLOOKUP(J381,'[63]ТР нефть'!$J$28:$BP$638,54,0),"-"))</f>
        <v>-</v>
      </c>
      <c r="BL381" s="138" t="str">
        <f>IF(IFERROR(VLOOKUP(J381,'[63]ТР нефть'!$J$28:$BP$638,55,0),"-")=0,"-",IFERROR(VLOOKUP(J381,'[63]ТР нефть'!$J$28:$BP$638,55,0),"-"))</f>
        <v>-</v>
      </c>
      <c r="BM381" s="138" t="str">
        <f>IF(IFERROR(VLOOKUP(J381,'[63]ТР нефть'!$J$28:$BP$638,56,0),"-")=0,"-",IFERROR(VLOOKUP(J381,'[63]ТР нефть'!$J$28:$BP$638,56,0),"-"))</f>
        <v>-</v>
      </c>
      <c r="BN381" s="138" t="str">
        <f>IF(IFERROR(VLOOKUP(J381,'[63]ТР нефть'!$J$28:$BP$638,57,0),"-")=0,"-",IFERROR(VLOOKUP(J381,'[63]ТР нефть'!$J$28:$BP$638,57,0),"-"))</f>
        <v>-</v>
      </c>
      <c r="BO381" s="115" t="str">
        <f>IF(IFERROR(VLOOKUP(J381,'[63]ТР нефть'!$J$28:$BP$638,58,0),"-")=0,"-",IFERROR(VLOOKUP(J381,'[63]ТР нефть'!$J$28:$BP$638,58,0),"-"))</f>
        <v>-</v>
      </c>
      <c r="BP381" s="115" t="str">
        <f>IF(IFERROR(VLOOKUP(J381,'[63]ТР нефть'!$J$28:$BP$638,59,0),"-")=0,"-",IFERROR(VLOOKUP(J381,'[63]ТР нефть'!$J$28:$BP$638,59,0),"-"))</f>
        <v>-</v>
      </c>
      <c r="BQ381" s="138">
        <v>2200</v>
      </c>
      <c r="BR381" s="128">
        <f>1786.29+132</f>
        <v>1918.29</v>
      </c>
      <c r="BS381" s="115">
        <f t="shared" si="307"/>
        <v>281.71000000000004</v>
      </c>
      <c r="BT381" s="128">
        <v>73</v>
      </c>
      <c r="BU381" s="128">
        <v>5.5</v>
      </c>
      <c r="BV381" s="127">
        <v>18</v>
      </c>
      <c r="BW381" s="127" t="s">
        <v>217</v>
      </c>
      <c r="BX381" s="127" t="s">
        <v>195</v>
      </c>
      <c r="BY381" s="139">
        <v>24</v>
      </c>
      <c r="BZ381" s="139">
        <v>0</v>
      </c>
      <c r="CA381" s="138">
        <v>22</v>
      </c>
      <c r="CB381" s="138">
        <v>40</v>
      </c>
      <c r="CC381" s="138">
        <v>21</v>
      </c>
      <c r="CD381" s="135">
        <v>45017</v>
      </c>
      <c r="CE381" s="138">
        <v>136</v>
      </c>
      <c r="CF381" s="138">
        <v>76</v>
      </c>
      <c r="CG381" s="138" t="str">
        <f t="shared" si="265"/>
        <v>В работе</v>
      </c>
      <c r="CH381" s="138" t="s">
        <v>235</v>
      </c>
      <c r="CI381" s="127">
        <v>5</v>
      </c>
      <c r="CJ381" s="138"/>
      <c r="CK381" s="138">
        <f t="shared" si="308"/>
        <v>29</v>
      </c>
      <c r="CL381" s="99"/>
      <c r="CM381" s="99"/>
      <c r="CN381" s="140">
        <v>51</v>
      </c>
      <c r="CO381" s="141">
        <f t="shared" si="276"/>
        <v>4.18</v>
      </c>
      <c r="CP381" s="142">
        <v>5</v>
      </c>
      <c r="CQ381" s="143">
        <v>0</v>
      </c>
      <c r="CR381" s="138">
        <v>12</v>
      </c>
      <c r="CS381" s="139">
        <v>7.2</v>
      </c>
      <c r="CT381" s="138"/>
      <c r="CU381" s="138">
        <f t="shared" si="277"/>
        <v>4.8</v>
      </c>
      <c r="CV381" s="115">
        <f t="shared" si="278"/>
        <v>1148.3253588516748</v>
      </c>
      <c r="CW381" s="115">
        <f t="shared" si="279"/>
        <v>1722.488038277512</v>
      </c>
      <c r="CX381" s="133">
        <f t="shared" si="280"/>
        <v>5.8823529411764705E-2</v>
      </c>
      <c r="CY381" s="116"/>
      <c r="CZ381" s="131"/>
      <c r="DA381" s="145" t="str">
        <f t="shared" si="281"/>
        <v>Газлифт</v>
      </c>
      <c r="DB381" s="146">
        <f t="shared" si="282"/>
        <v>4.18</v>
      </c>
      <c r="DC381" s="142">
        <f t="shared" si="302"/>
        <v>5</v>
      </c>
      <c r="DD381" s="119">
        <f t="shared" si="303"/>
        <v>0</v>
      </c>
      <c r="DE381" s="115">
        <f t="shared" si="283"/>
        <v>4.8</v>
      </c>
      <c r="DF381" s="121">
        <f t="shared" si="284"/>
        <v>7.2</v>
      </c>
      <c r="DG381" s="115">
        <f t="shared" si="285"/>
        <v>1148.3253588516748</v>
      </c>
      <c r="DH381" s="115">
        <f t="shared" si="286"/>
        <v>51</v>
      </c>
      <c r="DI381" s="147"/>
      <c r="DJ381" s="111"/>
      <c r="DK381" s="112">
        <v>44160</v>
      </c>
      <c r="DL381" s="113">
        <f t="shared" ca="1" si="266"/>
        <v>944</v>
      </c>
      <c r="DM381" s="114"/>
      <c r="DN381" s="114"/>
      <c r="DO381" s="114"/>
      <c r="DP381" s="114"/>
      <c r="DQ381" s="112"/>
      <c r="DR381" s="114"/>
      <c r="DS381" s="114"/>
      <c r="DT381" s="115">
        <v>58</v>
      </c>
      <c r="DU381" s="116">
        <f t="shared" si="267"/>
        <v>6.4102564102564097E-2</v>
      </c>
      <c r="DV381" s="117">
        <f t="shared" si="268"/>
        <v>4.18</v>
      </c>
      <c r="DW381" s="118">
        <f t="shared" si="269"/>
        <v>5</v>
      </c>
      <c r="DX381" s="119">
        <f t="shared" si="287"/>
        <v>0</v>
      </c>
      <c r="DY381" s="115">
        <f t="shared" si="270"/>
        <v>4.8</v>
      </c>
      <c r="DZ381" s="117">
        <f t="shared" si="305"/>
        <v>0</v>
      </c>
      <c r="EA381" s="120">
        <f t="shared" si="305"/>
        <v>0</v>
      </c>
      <c r="EB381" s="119">
        <f t="shared" si="264"/>
        <v>0</v>
      </c>
      <c r="EC381" s="121">
        <f t="shared" si="272"/>
        <v>0</v>
      </c>
      <c r="ED381" s="122"/>
      <c r="EE381" s="145">
        <v>18</v>
      </c>
      <c r="EF381" s="115">
        <v>24</v>
      </c>
      <c r="EG381" s="115">
        <v>42</v>
      </c>
      <c r="EH381" s="115">
        <v>23</v>
      </c>
      <c r="EI381" s="128" t="s">
        <v>195</v>
      </c>
      <c r="EJ381" s="121">
        <v>24</v>
      </c>
      <c r="EK381" s="121">
        <v>0</v>
      </c>
      <c r="EL381" s="149">
        <v>4.18</v>
      </c>
      <c r="EM381" s="142">
        <v>5</v>
      </c>
      <c r="EN381" s="119">
        <v>0</v>
      </c>
      <c r="EO381" s="115">
        <v>12</v>
      </c>
      <c r="EP381" s="115">
        <v>1148.3253588516748</v>
      </c>
      <c r="EQ381" s="115">
        <v>78</v>
      </c>
      <c r="ER381" s="115">
        <v>7.2</v>
      </c>
      <c r="ES381" s="115">
        <v>54</v>
      </c>
      <c r="ET381" s="150">
        <v>6.097560975609756E-2</v>
      </c>
      <c r="EU381" s="145">
        <f t="shared" si="288"/>
        <v>18</v>
      </c>
      <c r="EV381" s="115">
        <f t="shared" si="289"/>
        <v>22</v>
      </c>
      <c r="EW381" s="115">
        <f t="shared" si="289"/>
        <v>40</v>
      </c>
      <c r="EX381" s="115">
        <f t="shared" si="289"/>
        <v>21</v>
      </c>
      <c r="EY381" s="115" t="str">
        <f t="shared" si="253"/>
        <v>Постоянный</v>
      </c>
      <c r="EZ381" s="115">
        <f t="shared" si="253"/>
        <v>24</v>
      </c>
      <c r="FA381" s="115">
        <f t="shared" si="253"/>
        <v>0</v>
      </c>
      <c r="FB381" s="149">
        <f t="shared" si="298"/>
        <v>4.18</v>
      </c>
      <c r="FC381" s="142">
        <f t="shared" si="298"/>
        <v>5</v>
      </c>
      <c r="FD381" s="119">
        <f t="shared" si="298"/>
        <v>0</v>
      </c>
      <c r="FE381" s="121">
        <f t="shared" si="298"/>
        <v>12</v>
      </c>
      <c r="FF381" s="121">
        <f t="shared" si="300"/>
        <v>1148.3253588516748</v>
      </c>
      <c r="FG381" s="121">
        <f t="shared" si="290"/>
        <v>76</v>
      </c>
      <c r="FH381" s="121">
        <f t="shared" si="301"/>
        <v>7.2</v>
      </c>
      <c r="FI381" s="121">
        <f t="shared" si="306"/>
        <v>51</v>
      </c>
      <c r="FJ381" s="144">
        <f t="shared" si="291"/>
        <v>5.8823529411764705E-2</v>
      </c>
      <c r="FK381" s="132">
        <f t="shared" si="292"/>
        <v>0</v>
      </c>
      <c r="FL381" s="115">
        <f t="shared" si="292"/>
        <v>-2</v>
      </c>
      <c r="FM381" s="115">
        <f t="shared" si="292"/>
        <v>-2</v>
      </c>
      <c r="FN381" s="115">
        <f t="shared" si="273"/>
        <v>-2</v>
      </c>
      <c r="FO381" s="115">
        <f t="shared" si="257"/>
        <v>0</v>
      </c>
      <c r="FP381" s="115">
        <f t="shared" si="257"/>
        <v>0</v>
      </c>
      <c r="FQ381" s="149">
        <f t="shared" si="257"/>
        <v>0</v>
      </c>
      <c r="FR381" s="142">
        <f t="shared" si="256"/>
        <v>0</v>
      </c>
      <c r="FS381" s="119">
        <f t="shared" si="256"/>
        <v>0</v>
      </c>
      <c r="FT381" s="121">
        <f t="shared" si="256"/>
        <v>0</v>
      </c>
      <c r="FU381" s="121">
        <f t="shared" si="293"/>
        <v>-2</v>
      </c>
      <c r="FV381" s="121">
        <f t="shared" si="293"/>
        <v>0</v>
      </c>
      <c r="FW381" s="121">
        <f t="shared" si="294"/>
        <v>0</v>
      </c>
      <c r="FX381" s="121">
        <f t="shared" si="295"/>
        <v>-3</v>
      </c>
      <c r="FY381" s="144">
        <f t="shared" si="295"/>
        <v>-2.1520803443328546E-3</v>
      </c>
      <c r="FZ381" s="145"/>
      <c r="GA381" s="151"/>
      <c r="GB381" s="145"/>
      <c r="GC381" s="151"/>
      <c r="GD381" s="997" t="s">
        <v>220</v>
      </c>
      <c r="GE381" s="1004"/>
      <c r="GF381" s="1004">
        <v>-0.76076000000000032</v>
      </c>
      <c r="GG381" s="1004"/>
      <c r="GH381" s="1004">
        <v>0</v>
      </c>
      <c r="GI381" s="145"/>
      <c r="GJ381" s="996">
        <v>0</v>
      </c>
      <c r="GK381" s="145"/>
      <c r="GL381" s="996">
        <v>0</v>
      </c>
      <c r="GM381" s="1005"/>
      <c r="GN381" s="996">
        <v>-0.33728420000000003</v>
      </c>
      <c r="GO381" s="1006" t="s">
        <v>203</v>
      </c>
      <c r="GP381" s="996">
        <v>-2.4660558736000002</v>
      </c>
      <c r="GQ381" s="1006" t="s">
        <v>25</v>
      </c>
      <c r="GR381" s="996">
        <v>2.5358200736000001</v>
      </c>
      <c r="GS381" s="1006"/>
      <c r="GT381" s="996">
        <v>-0.91123999999999938</v>
      </c>
      <c r="GU381" s="1006"/>
      <c r="GV381" s="996">
        <v>0</v>
      </c>
      <c r="GW381" s="1006" t="s">
        <v>223</v>
      </c>
      <c r="GX381" s="996">
        <v>-1.0154891999999993</v>
      </c>
      <c r="GY381" s="1006"/>
      <c r="GZ381" s="996">
        <v>0</v>
      </c>
      <c r="HA381" s="1006"/>
      <c r="HB381" s="996">
        <v>0</v>
      </c>
      <c r="HC381" s="1006"/>
      <c r="HD381" s="996">
        <v>-8.0005200000000443E-2</v>
      </c>
      <c r="HE381" s="1006"/>
      <c r="HF381" s="996">
        <v>0</v>
      </c>
      <c r="HG381" s="1006"/>
      <c r="HH381" s="996">
        <v>0</v>
      </c>
      <c r="HI381" s="1006" t="s">
        <v>223</v>
      </c>
      <c r="HJ381" s="996">
        <v>-2.1562111999999996</v>
      </c>
      <c r="HK381" s="1006" t="s">
        <v>223</v>
      </c>
      <c r="HL381" s="996">
        <v>-1.2794144000000003</v>
      </c>
      <c r="HM381" s="1006"/>
      <c r="HN381" s="996">
        <v>-0.81927999999999912</v>
      </c>
      <c r="HO381" s="1006"/>
      <c r="HP381" s="996">
        <v>0</v>
      </c>
      <c r="HQ381" s="1006"/>
      <c r="HR381" s="996">
        <v>0</v>
      </c>
      <c r="HS381" s="1006"/>
      <c r="HT381" s="996">
        <v>0</v>
      </c>
      <c r="HU381" s="1006"/>
      <c r="HV381" s="996">
        <v>0</v>
      </c>
      <c r="HW381" s="1006"/>
      <c r="HX381" s="996">
        <v>0</v>
      </c>
      <c r="HY381" s="1006"/>
      <c r="HZ381" s="996">
        <v>0</v>
      </c>
      <c r="IA381" s="1006"/>
      <c r="IB381" s="996">
        <v>0</v>
      </c>
      <c r="IC381" s="1006" t="s">
        <v>199</v>
      </c>
      <c r="ID381" s="996">
        <v>-2.2901384</v>
      </c>
      <c r="IE381" s="1006" t="s">
        <v>199</v>
      </c>
      <c r="IF381" s="996">
        <v>4.3968583999999993</v>
      </c>
      <c r="IG381" s="1006"/>
      <c r="IH381" s="996">
        <v>0</v>
      </c>
      <c r="II381" s="1006" t="s">
        <v>199</v>
      </c>
      <c r="IJ381" s="996">
        <v>-5.6003640000000008</v>
      </c>
      <c r="IK381" s="1006" t="s">
        <v>239</v>
      </c>
      <c r="IL381" s="996">
        <v>-3.2812999999999999</v>
      </c>
      <c r="IM381" s="1006"/>
      <c r="IN381" s="996">
        <v>0</v>
      </c>
      <c r="IO381" s="1006"/>
      <c r="IP381" s="996">
        <v>0</v>
      </c>
      <c r="IQ381" s="1006"/>
      <c r="IR381" s="996">
        <v>18.244864</v>
      </c>
      <c r="IS381" s="1006"/>
      <c r="IT381" s="996"/>
      <c r="IU381" s="1006"/>
      <c r="IV381" s="996"/>
      <c r="IW381" s="1006"/>
      <c r="IX381" s="996"/>
      <c r="IY381" s="1006"/>
      <c r="IZ381" s="996"/>
      <c r="JA381" s="1006"/>
      <c r="JB381" s="996"/>
      <c r="JC381" s="1006"/>
      <c r="JD381" s="996"/>
      <c r="JE381" s="1006"/>
      <c r="JF381" s="996"/>
      <c r="JG381" s="1006"/>
      <c r="JH381" s="996"/>
      <c r="JI381" s="1006"/>
      <c r="JJ381" s="996"/>
      <c r="JK381" s="1007"/>
      <c r="JL381" s="1007"/>
      <c r="JM381" s="1007"/>
      <c r="JN381" s="1007"/>
      <c r="JO381" s="1008"/>
      <c r="JP381" s="1007"/>
      <c r="JQ381" s="1008"/>
      <c r="JR381" s="1007"/>
      <c r="JS381" s="1008"/>
      <c r="JT381" s="1007"/>
      <c r="JU381" s="1008"/>
      <c r="JV381" s="1007"/>
      <c r="JW381" s="1008"/>
      <c r="JX381" s="1007"/>
      <c r="JY381" s="1008"/>
      <c r="JZ381" s="1007"/>
      <c r="KA381" s="1008"/>
      <c r="KB381" s="1007"/>
      <c r="KC381" s="1008"/>
      <c r="KD381" s="1007"/>
      <c r="KE381" s="1008"/>
      <c r="KF381" s="1007"/>
      <c r="KG381" s="1008"/>
      <c r="KH381" s="1007"/>
      <c r="KI381" s="1008"/>
      <c r="KJ381" s="1007"/>
      <c r="KK381" s="1008"/>
      <c r="KL381" s="1007"/>
      <c r="KM381" s="1008"/>
      <c r="KN381" s="1007"/>
      <c r="KO381" s="1008"/>
      <c r="KP381" s="1007"/>
      <c r="KQ381" s="1008"/>
      <c r="KR381" s="1007"/>
      <c r="KS381" s="1008"/>
      <c r="KT381" s="1007"/>
      <c r="KU381" s="1008"/>
      <c r="KV381" s="1007"/>
      <c r="KW381" s="1008"/>
      <c r="KX381" s="1007"/>
      <c r="KY381" s="1008"/>
      <c r="KZ381" s="1007"/>
      <c r="LA381" s="1008"/>
      <c r="LB381" s="1007"/>
      <c r="LC381" s="1008"/>
      <c r="LD381" s="1007"/>
      <c r="LE381" s="1008"/>
      <c r="LF381" s="1007"/>
      <c r="LG381" s="1008"/>
      <c r="LH381" s="1007"/>
      <c r="LI381" s="1008"/>
      <c r="LJ381" s="1007"/>
      <c r="LK381" s="1008"/>
      <c r="LL381" s="1007"/>
      <c r="LM381" s="1008"/>
      <c r="LN381" s="1007"/>
      <c r="LO381" s="1008"/>
      <c r="LP381" s="1007"/>
      <c r="LQ381" s="1008"/>
      <c r="LR381" s="1007"/>
      <c r="LS381" s="1008"/>
      <c r="LT381" s="1007"/>
      <c r="LU381" s="1008"/>
      <c r="LV381" s="1007"/>
      <c r="LW381" s="1008"/>
      <c r="LX381" s="1007"/>
      <c r="LY381" s="1009"/>
      <c r="LZ381" s="1010"/>
      <c r="MA381" s="1011"/>
      <c r="MB381" s="1012"/>
      <c r="MC381" s="995"/>
      <c r="MD381" s="996"/>
      <c r="ME381" s="997" t="s">
        <v>220</v>
      </c>
      <c r="MF381" s="997"/>
      <c r="MG381" s="998"/>
      <c r="NR381" s="1000"/>
      <c r="NS381" s="1000"/>
      <c r="NT381" s="1001"/>
      <c r="NU381" s="1000"/>
      <c r="NV381" s="1001"/>
      <c r="NX381" s="1002"/>
      <c r="NZ381" s="1001"/>
      <c r="OA381" s="1001"/>
      <c r="OC381" s="1003"/>
      <c r="OD381" s="1003"/>
      <c r="OE381" s="1001"/>
      <c r="OF381" s="1003"/>
      <c r="OG381" s="1003"/>
      <c r="QX381" s="1000">
        <f>CN381-CA381</f>
        <v>29</v>
      </c>
      <c r="ASU381" s="999" t="s">
        <v>208</v>
      </c>
    </row>
    <row r="382" spans="1:466 1191:1191" ht="21" customHeight="1" x14ac:dyDescent="0.25">
      <c r="A382" s="982">
        <f t="shared" si="274"/>
        <v>1424</v>
      </c>
      <c r="B382" s="124">
        <f>SUBTOTAL(103,$J$29:J382)</f>
        <v>354</v>
      </c>
      <c r="C382" s="126">
        <v>45068</v>
      </c>
      <c r="D382" s="124" t="s">
        <v>176</v>
      </c>
      <c r="E382" s="127" t="s">
        <v>177</v>
      </c>
      <c r="F382" s="128" t="s">
        <v>177</v>
      </c>
      <c r="G382" s="127" t="s">
        <v>178</v>
      </c>
      <c r="H382" s="127" t="s">
        <v>179</v>
      </c>
      <c r="I382" s="127" t="s">
        <v>1518</v>
      </c>
      <c r="J382" s="152">
        <v>1424</v>
      </c>
      <c r="K382" s="127" t="s">
        <v>1518</v>
      </c>
      <c r="L382" s="130">
        <v>43932</v>
      </c>
      <c r="M382" s="127" t="s">
        <v>230</v>
      </c>
      <c r="N382" s="127" t="s">
        <v>184</v>
      </c>
      <c r="O382" s="127" t="s">
        <v>185</v>
      </c>
      <c r="P382" s="127" t="s">
        <v>186</v>
      </c>
      <c r="Q382" s="85" t="str">
        <f t="shared" si="297"/>
        <v/>
      </c>
      <c r="R382" s="130"/>
      <c r="S382" s="128"/>
      <c r="T382" s="131"/>
      <c r="U382" s="132">
        <v>203</v>
      </c>
      <c r="V382" s="121">
        <v>218.2</v>
      </c>
      <c r="W382" s="116">
        <v>0.98</v>
      </c>
      <c r="X382" s="116">
        <v>1.66</v>
      </c>
      <c r="Y382" s="116">
        <f t="shared" si="299"/>
        <v>0.98</v>
      </c>
      <c r="Z382" s="133">
        <v>1.454</v>
      </c>
      <c r="AA382" s="133">
        <v>0.83599999999999997</v>
      </c>
      <c r="AB382" s="133">
        <v>0.72</v>
      </c>
      <c r="AC382" s="121">
        <v>34.299999999999997</v>
      </c>
      <c r="AD382" s="134">
        <v>1.17</v>
      </c>
      <c r="AE382" s="124">
        <v>177.8</v>
      </c>
      <c r="AF382" s="128">
        <v>9.19</v>
      </c>
      <c r="AG382" s="128">
        <v>2356.5</v>
      </c>
      <c r="AH382" s="138">
        <v>3054.45</v>
      </c>
      <c r="AI382" s="138">
        <v>3054.45</v>
      </c>
      <c r="AJ382" s="135"/>
      <c r="AK382" s="128"/>
      <c r="AL382" s="131"/>
      <c r="AM382" s="124" t="s">
        <v>187</v>
      </c>
      <c r="AN382" s="136" t="s">
        <v>1519</v>
      </c>
      <c r="AO382" s="137">
        <v>76.31</v>
      </c>
      <c r="AP382" s="128">
        <v>2419.0300000000002</v>
      </c>
      <c r="AQ382" s="128">
        <f>1686.09+124.1</f>
        <v>1810.1899999999998</v>
      </c>
      <c r="AR382" s="128" t="s">
        <v>1520</v>
      </c>
      <c r="AS382" s="128">
        <v>114</v>
      </c>
      <c r="AT382" s="122">
        <v>7.37</v>
      </c>
      <c r="AU382" s="124" t="s">
        <v>189</v>
      </c>
      <c r="AV382" s="115">
        <f>VLOOKUP(J382,'[63]ТР нефть'!$J$28:$BP$638,39,0)</f>
        <v>530.00002148399994</v>
      </c>
      <c r="AW382" s="115" t="str">
        <f>VLOOKUP(J382,'[63]ТР нефть'!$J$28:$BP$638,40,0)</f>
        <v>ГП</v>
      </c>
      <c r="AX382" s="115">
        <f>VLOOKUP(J382,'[63]ТР нефть'!$J$28:$BP$638,41,0)</f>
        <v>1030.000013672</v>
      </c>
      <c r="AY382" s="115" t="str">
        <f>VLOOKUP(J382,'[63]ТР нефть'!$J$28:$BP$638,42,0)</f>
        <v>ГК79 1/8</v>
      </c>
      <c r="AZ382" s="115">
        <f>VLOOKUP(J382,'[63]ТР нефть'!$J$28:$BP$638,43,0)</f>
        <v>1440.000066797</v>
      </c>
      <c r="BA382" s="115" t="str">
        <f>VLOOKUP(J382,'[63]ТР нефть'!$J$28:$BP$638,44,0)</f>
        <v>ГК79 1/8</v>
      </c>
      <c r="BB382" s="115">
        <f>VLOOKUP(J382,'[63]ТР нефть'!$J$28:$BP$638,45,0)</f>
        <v>1780.000001953</v>
      </c>
      <c r="BC382" s="115" t="str">
        <f>VLOOKUP(J382,'[63]ТР нефть'!$J$28:$BP$638,46,0)</f>
        <v>ГК79 1/8</v>
      </c>
      <c r="BD382" s="115">
        <f>VLOOKUP(J382,'[63]ТР нефть'!$J$28:$BP$638,47,0)</f>
        <v>2090.0000566409999</v>
      </c>
      <c r="BE382" s="115" t="str">
        <f>VLOOKUP(J382,'[63]ТР нефть'!$J$28:$BP$638,48,0)</f>
        <v>ЦКсОК 5/16</v>
      </c>
      <c r="BF382" s="115" t="str">
        <f>VLOOKUP(J382,'[63]ТР нефть'!$J$28:$BP$638,49,0)</f>
        <v>-</v>
      </c>
      <c r="BG382" s="115" t="str">
        <f>VLOOKUP(J382,'[63]ТР нефть'!$J$28:$BP$638,50,0)</f>
        <v>-</v>
      </c>
      <c r="BH382" s="115" t="str">
        <f>VLOOKUP(J382,'[63]ТР нефть'!$J$28:$BP$638,51,0)</f>
        <v>-</v>
      </c>
      <c r="BI382" s="115" t="str">
        <f>VLOOKUP(J382,'[63]ТР нефть'!$J$28:$BP$638,52,0)</f>
        <v>-</v>
      </c>
      <c r="BJ382" s="115" t="str">
        <f>IF(IFERROR(VLOOKUP(J382,'[63]ТР нефть'!$J$28:$BP$638,53,0),"-")=0,"-",IFERROR(VLOOKUP(J382,'[63]ТР нефть'!$J$28:$BP$638,53,0),"-"))</f>
        <v>-</v>
      </c>
      <c r="BK382" s="138" t="str">
        <f>IF(IFERROR(VLOOKUP(J382,'[63]ТР нефть'!$J$28:$BP$638,54,0),"-")=0,"-",IFERROR(VLOOKUP(J382,'[63]ТР нефть'!$J$28:$BP$638,54,0),"-"))</f>
        <v>-</v>
      </c>
      <c r="BL382" s="138" t="str">
        <f>IF(IFERROR(VLOOKUP(J382,'[63]ТР нефть'!$J$28:$BP$638,55,0),"-")=0,"-",IFERROR(VLOOKUP(J382,'[63]ТР нефть'!$J$28:$BP$638,55,0),"-"))</f>
        <v>-</v>
      </c>
      <c r="BM382" s="138" t="str">
        <f>IF(IFERROR(VLOOKUP(J382,'[63]ТР нефть'!$J$28:$BP$638,56,0),"-")=0,"-",IFERROR(VLOOKUP(J382,'[63]ТР нефть'!$J$28:$BP$638,56,0),"-"))</f>
        <v>-</v>
      </c>
      <c r="BN382" s="138" t="str">
        <f>IF(IFERROR(VLOOKUP(J382,'[63]ТР нефть'!$J$28:$BP$638,57,0),"-")=0,"-",IFERROR(VLOOKUP(J382,'[63]ТР нефть'!$J$28:$BP$638,57,0),"-"))</f>
        <v>-</v>
      </c>
      <c r="BO382" s="115" t="str">
        <f>IF(IFERROR(VLOOKUP(J382,'[63]ТР нефть'!$J$28:$BP$638,58,0),"-")=0,"-",IFERROR(VLOOKUP(J382,'[63]ТР нефть'!$J$28:$BP$638,58,0),"-"))</f>
        <v>-</v>
      </c>
      <c r="BP382" s="115" t="str">
        <f>IF(IFERROR(VLOOKUP(J382,'[63]ТР нефть'!$J$28:$BP$638,59,0),"-")=0,"-",IFERROR(VLOOKUP(J382,'[63]ТР нефть'!$J$28:$BP$638,59,0),"-"))</f>
        <v>-</v>
      </c>
      <c r="BQ382" s="138">
        <v>2294</v>
      </c>
      <c r="BR382" s="128">
        <f>1660.11+124.1</f>
        <v>1784.2099999999998</v>
      </c>
      <c r="BS382" s="115">
        <f t="shared" si="307"/>
        <v>509.79000000000019</v>
      </c>
      <c r="BT382" s="128">
        <v>73</v>
      </c>
      <c r="BU382" s="128">
        <v>5.5</v>
      </c>
      <c r="BV382" s="127">
        <v>18</v>
      </c>
      <c r="BW382" s="127" t="s">
        <v>217</v>
      </c>
      <c r="BX382" s="127" t="s">
        <v>195</v>
      </c>
      <c r="BY382" s="139">
        <v>24</v>
      </c>
      <c r="BZ382" s="139">
        <v>0</v>
      </c>
      <c r="CA382" s="138">
        <v>23</v>
      </c>
      <c r="CB382" s="138">
        <v>42</v>
      </c>
      <c r="CC382" s="138">
        <v>22</v>
      </c>
      <c r="CD382" s="135">
        <v>45017</v>
      </c>
      <c r="CE382" s="138">
        <v>101</v>
      </c>
      <c r="CF382" s="138">
        <v>75</v>
      </c>
      <c r="CG382" s="138" t="str">
        <f t="shared" si="265"/>
        <v>В работе</v>
      </c>
      <c r="CH382" s="138" t="s">
        <v>235</v>
      </c>
      <c r="CI382" s="127">
        <v>5</v>
      </c>
      <c r="CJ382" s="138"/>
      <c r="CK382" s="138">
        <f t="shared" si="308"/>
        <v>28</v>
      </c>
      <c r="CL382" s="99"/>
      <c r="CM382" s="99"/>
      <c r="CN382" s="140">
        <v>51</v>
      </c>
      <c r="CO382" s="141">
        <f t="shared" si="276"/>
        <v>9.1959999999999997</v>
      </c>
      <c r="CP382" s="142">
        <v>11</v>
      </c>
      <c r="CQ382" s="143">
        <v>0</v>
      </c>
      <c r="CR382" s="138">
        <v>18</v>
      </c>
      <c r="CS382" s="139">
        <v>8</v>
      </c>
      <c r="CT382" s="138"/>
      <c r="CU382" s="138">
        <f t="shared" si="277"/>
        <v>10</v>
      </c>
      <c r="CV382" s="115">
        <f t="shared" si="278"/>
        <v>1087.4293170943888</v>
      </c>
      <c r="CW382" s="115">
        <f t="shared" si="279"/>
        <v>869.94345367551102</v>
      </c>
      <c r="CX382" s="133">
        <f t="shared" si="280"/>
        <v>0.22</v>
      </c>
      <c r="CY382" s="116"/>
      <c r="CZ382" s="131"/>
      <c r="DA382" s="145" t="str">
        <f t="shared" si="281"/>
        <v>Газлифт</v>
      </c>
      <c r="DB382" s="146">
        <f t="shared" si="282"/>
        <v>9.1959999999999997</v>
      </c>
      <c r="DC382" s="142">
        <f t="shared" si="302"/>
        <v>11</v>
      </c>
      <c r="DD382" s="119">
        <f t="shared" si="303"/>
        <v>0</v>
      </c>
      <c r="DE382" s="115">
        <f t="shared" si="283"/>
        <v>10</v>
      </c>
      <c r="DF382" s="121">
        <f t="shared" si="284"/>
        <v>8</v>
      </c>
      <c r="DG382" s="115">
        <f t="shared" si="285"/>
        <v>1087.4293170943888</v>
      </c>
      <c r="DH382" s="115">
        <f t="shared" si="286"/>
        <v>51</v>
      </c>
      <c r="DI382" s="147"/>
      <c r="DJ382" s="111"/>
      <c r="DK382" s="112">
        <v>43932</v>
      </c>
      <c r="DL382" s="113">
        <f t="shared" ca="1" si="266"/>
        <v>1172</v>
      </c>
      <c r="DM382" s="114"/>
      <c r="DN382" s="114"/>
      <c r="DO382" s="114"/>
      <c r="DP382" s="114"/>
      <c r="DQ382" s="112"/>
      <c r="DR382" s="114"/>
      <c r="DS382" s="114"/>
      <c r="DT382" s="115">
        <v>54</v>
      </c>
      <c r="DU382" s="116">
        <f t="shared" si="267"/>
        <v>0.23404255319148937</v>
      </c>
      <c r="DV382" s="117">
        <f t="shared" si="268"/>
        <v>9.1959999999999997</v>
      </c>
      <c r="DW382" s="118">
        <f t="shared" si="269"/>
        <v>11</v>
      </c>
      <c r="DX382" s="119">
        <f t="shared" si="287"/>
        <v>0</v>
      </c>
      <c r="DY382" s="115">
        <f t="shared" si="270"/>
        <v>10</v>
      </c>
      <c r="DZ382" s="117">
        <f t="shared" si="305"/>
        <v>0</v>
      </c>
      <c r="EA382" s="120">
        <f t="shared" si="305"/>
        <v>0</v>
      </c>
      <c r="EB382" s="119">
        <f t="shared" si="264"/>
        <v>0</v>
      </c>
      <c r="EC382" s="121">
        <f t="shared" si="272"/>
        <v>0</v>
      </c>
      <c r="ED382" s="122"/>
      <c r="EE382" s="145">
        <v>18</v>
      </c>
      <c r="EF382" s="115">
        <v>25</v>
      </c>
      <c r="EG382" s="115">
        <v>45</v>
      </c>
      <c r="EH382" s="115">
        <v>24</v>
      </c>
      <c r="EI382" s="128" t="s">
        <v>195</v>
      </c>
      <c r="EJ382" s="121">
        <v>24</v>
      </c>
      <c r="EK382" s="121">
        <v>0</v>
      </c>
      <c r="EL382" s="149">
        <v>9.1959999999999997</v>
      </c>
      <c r="EM382" s="142">
        <v>11</v>
      </c>
      <c r="EN382" s="119">
        <v>0</v>
      </c>
      <c r="EO382" s="115">
        <v>18</v>
      </c>
      <c r="EP382" s="115">
        <v>1087.4293170943888</v>
      </c>
      <c r="EQ382" s="115">
        <v>76</v>
      </c>
      <c r="ER382" s="115">
        <v>8</v>
      </c>
      <c r="ES382" s="115">
        <v>51</v>
      </c>
      <c r="ET382" s="150">
        <v>0.22</v>
      </c>
      <c r="EU382" s="145">
        <f t="shared" si="288"/>
        <v>18</v>
      </c>
      <c r="EV382" s="115">
        <f t="shared" si="289"/>
        <v>23</v>
      </c>
      <c r="EW382" s="115">
        <f t="shared" si="289"/>
        <v>42</v>
      </c>
      <c r="EX382" s="115">
        <f t="shared" si="289"/>
        <v>22</v>
      </c>
      <c r="EY382" s="115" t="str">
        <f t="shared" si="253"/>
        <v>Постоянный</v>
      </c>
      <c r="EZ382" s="115">
        <f t="shared" si="253"/>
        <v>24</v>
      </c>
      <c r="FA382" s="115">
        <f t="shared" si="253"/>
        <v>0</v>
      </c>
      <c r="FB382" s="149">
        <f t="shared" si="298"/>
        <v>9.1959999999999997</v>
      </c>
      <c r="FC382" s="142">
        <f t="shared" si="298"/>
        <v>11</v>
      </c>
      <c r="FD382" s="119">
        <f t="shared" si="298"/>
        <v>0</v>
      </c>
      <c r="FE382" s="121">
        <f t="shared" si="298"/>
        <v>18</v>
      </c>
      <c r="FF382" s="121">
        <f t="shared" si="300"/>
        <v>1087.4293170943888</v>
      </c>
      <c r="FG382" s="121">
        <f t="shared" si="290"/>
        <v>75</v>
      </c>
      <c r="FH382" s="121">
        <f t="shared" si="301"/>
        <v>8</v>
      </c>
      <c r="FI382" s="121">
        <f t="shared" si="306"/>
        <v>51</v>
      </c>
      <c r="FJ382" s="144">
        <f t="shared" si="291"/>
        <v>0.22</v>
      </c>
      <c r="FK382" s="132">
        <f t="shared" si="292"/>
        <v>0</v>
      </c>
      <c r="FL382" s="115">
        <f t="shared" si="292"/>
        <v>-2</v>
      </c>
      <c r="FM382" s="115">
        <f t="shared" si="292"/>
        <v>-3</v>
      </c>
      <c r="FN382" s="115">
        <f t="shared" si="273"/>
        <v>-2</v>
      </c>
      <c r="FO382" s="115">
        <f t="shared" si="257"/>
        <v>0</v>
      </c>
      <c r="FP382" s="115">
        <f t="shared" si="257"/>
        <v>0</v>
      </c>
      <c r="FQ382" s="149">
        <f t="shared" si="257"/>
        <v>0</v>
      </c>
      <c r="FR382" s="142">
        <f t="shared" si="256"/>
        <v>0</v>
      </c>
      <c r="FS382" s="119">
        <f t="shared" si="256"/>
        <v>0</v>
      </c>
      <c r="FT382" s="121">
        <f t="shared" si="256"/>
        <v>0</v>
      </c>
      <c r="FU382" s="121">
        <f t="shared" si="293"/>
        <v>-1</v>
      </c>
      <c r="FV382" s="121">
        <f t="shared" si="293"/>
        <v>0</v>
      </c>
      <c r="FW382" s="121">
        <f t="shared" si="294"/>
        <v>0</v>
      </c>
      <c r="FX382" s="121">
        <f t="shared" si="295"/>
        <v>0</v>
      </c>
      <c r="FY382" s="144">
        <f t="shared" si="295"/>
        <v>0</v>
      </c>
      <c r="FZ382" s="145"/>
      <c r="GA382" s="151"/>
      <c r="GB382" s="145"/>
      <c r="GC382" s="151"/>
      <c r="GD382" s="997" t="s">
        <v>220</v>
      </c>
      <c r="GE382" s="1004"/>
      <c r="GF382" s="1004">
        <v>-0.68552000000000035</v>
      </c>
      <c r="GG382" s="1004"/>
      <c r="GH382" s="1004">
        <v>0</v>
      </c>
      <c r="GI382" s="145"/>
      <c r="GJ382" s="996">
        <v>0</v>
      </c>
      <c r="GK382" s="145"/>
      <c r="GL382" s="996">
        <v>0</v>
      </c>
      <c r="GM382" s="1005"/>
      <c r="GN382" s="996">
        <v>-0.65207999999999977</v>
      </c>
      <c r="GO382" s="1006"/>
      <c r="GP382" s="996">
        <v>0</v>
      </c>
      <c r="GQ382" s="1006"/>
      <c r="GR382" s="996">
        <v>0</v>
      </c>
      <c r="GS382" s="1006"/>
      <c r="GT382" s="996">
        <v>0.91960000000000086</v>
      </c>
      <c r="GU382" s="1006"/>
      <c r="GV382" s="996">
        <v>0.41799999999999926</v>
      </c>
      <c r="GW382" s="1006" t="s">
        <v>199</v>
      </c>
      <c r="GX382" s="996">
        <v>-4.5143999999999984</v>
      </c>
      <c r="GY382" s="1006"/>
      <c r="GZ382" s="996">
        <v>0</v>
      </c>
      <c r="HA382" s="1006" t="s">
        <v>199</v>
      </c>
      <c r="HB382" s="996">
        <v>2.0063999999999993</v>
      </c>
      <c r="HC382" s="1006" t="s">
        <v>204</v>
      </c>
      <c r="HD382" s="996">
        <v>1.8391999999999982</v>
      </c>
      <c r="HE382" s="1006" t="s">
        <v>204</v>
      </c>
      <c r="HF382" s="996">
        <v>-2.8049555599999998</v>
      </c>
      <c r="HG382" s="1006" t="s">
        <v>199</v>
      </c>
      <c r="HH382" s="996">
        <v>1.4176135600000013</v>
      </c>
      <c r="HI382" s="1006"/>
      <c r="HJ382" s="996">
        <v>0</v>
      </c>
      <c r="HK382" s="1006"/>
      <c r="HL382" s="996">
        <v>0</v>
      </c>
      <c r="HM382" s="1006" t="s">
        <v>199</v>
      </c>
      <c r="HN382" s="996">
        <v>-1.6669840000000011</v>
      </c>
      <c r="HO382" s="1006"/>
      <c r="HP382" s="996">
        <v>-0.41674599999999984</v>
      </c>
      <c r="HQ382" s="1006"/>
      <c r="HR382" s="996">
        <v>0.33587200000000017</v>
      </c>
      <c r="HS382" s="1006"/>
      <c r="HT382" s="996">
        <v>0</v>
      </c>
      <c r="HU382" s="1006" t="s">
        <v>199</v>
      </c>
      <c r="HV382" s="996">
        <v>-6.6679360000000001</v>
      </c>
      <c r="HW382" s="1006" t="s">
        <v>223</v>
      </c>
      <c r="HX382" s="996">
        <v>-2.1670791999999999</v>
      </c>
      <c r="HY382" s="1006"/>
      <c r="HZ382" s="996">
        <v>0</v>
      </c>
      <c r="IA382" s="1006" t="s">
        <v>205</v>
      </c>
      <c r="IB382" s="996">
        <v>-2.8338728</v>
      </c>
      <c r="IC382" s="1006"/>
      <c r="ID382" s="996">
        <v>0</v>
      </c>
      <c r="IE382" s="1006"/>
      <c r="IF382" s="996">
        <v>0</v>
      </c>
      <c r="IG382" s="1006"/>
      <c r="IH382" s="996">
        <v>0</v>
      </c>
      <c r="II382" s="1006"/>
      <c r="IJ382" s="996">
        <v>0</v>
      </c>
      <c r="IK382" s="1006"/>
      <c r="IL382" s="996">
        <v>0</v>
      </c>
      <c r="IM382" s="1006"/>
      <c r="IN382" s="996">
        <v>-0.83349199999999968</v>
      </c>
      <c r="IO382" s="1006" t="s">
        <v>204</v>
      </c>
      <c r="IP382" s="996">
        <v>-6.9546840000000003</v>
      </c>
      <c r="IQ382" s="1006" t="s">
        <v>199</v>
      </c>
      <c r="IR382" s="996">
        <v>-1.2127015999999955</v>
      </c>
      <c r="IS382" s="1006"/>
      <c r="IT382" s="996">
        <v>0</v>
      </c>
      <c r="IU382" s="1006"/>
      <c r="IV382" s="996">
        <v>0.8961083999999957</v>
      </c>
      <c r="IW382" s="1006"/>
      <c r="IX382" s="996">
        <v>3.2353199999999305E-2</v>
      </c>
      <c r="IY382" s="1006"/>
      <c r="IZ382" s="996">
        <v>0</v>
      </c>
      <c r="JA382" s="1006" t="s">
        <v>25</v>
      </c>
      <c r="JB382" s="996">
        <v>26.40924</v>
      </c>
      <c r="JC382" s="1006"/>
      <c r="JD382" s="996"/>
      <c r="JE382" s="1006"/>
      <c r="JF382" s="996"/>
      <c r="JG382" s="1006"/>
      <c r="JH382" s="996"/>
      <c r="JI382" s="1006"/>
      <c r="JJ382" s="996"/>
      <c r="JK382" s="1007"/>
      <c r="JL382" s="1007"/>
      <c r="JM382" s="1007"/>
      <c r="JN382" s="1007"/>
      <c r="JO382" s="1008"/>
      <c r="JP382" s="1007"/>
      <c r="JQ382" s="1008"/>
      <c r="JR382" s="1007"/>
      <c r="JS382" s="1008"/>
      <c r="JT382" s="1007"/>
      <c r="JU382" s="1008"/>
      <c r="JV382" s="1007"/>
      <c r="JW382" s="1008"/>
      <c r="JX382" s="1007"/>
      <c r="JY382" s="1008"/>
      <c r="JZ382" s="1007"/>
      <c r="KA382" s="1008"/>
      <c r="KB382" s="1007"/>
      <c r="KC382" s="1008"/>
      <c r="KD382" s="1007"/>
      <c r="KE382" s="1008"/>
      <c r="KF382" s="1007"/>
      <c r="KG382" s="1008"/>
      <c r="KH382" s="1007"/>
      <c r="KI382" s="1008"/>
      <c r="KJ382" s="1007"/>
      <c r="KK382" s="1008"/>
      <c r="KL382" s="1007"/>
      <c r="KM382" s="1008"/>
      <c r="KN382" s="1007"/>
      <c r="KO382" s="1008"/>
      <c r="KP382" s="1007"/>
      <c r="KQ382" s="1008"/>
      <c r="KR382" s="1007"/>
      <c r="KS382" s="1008"/>
      <c r="KT382" s="1007"/>
      <c r="KU382" s="1008"/>
      <c r="KV382" s="1007"/>
      <c r="KW382" s="1008"/>
      <c r="KX382" s="1007"/>
      <c r="KY382" s="1008"/>
      <c r="KZ382" s="1007"/>
      <c r="LA382" s="1008"/>
      <c r="LB382" s="1007"/>
      <c r="LC382" s="1008"/>
      <c r="LD382" s="1007"/>
      <c r="LE382" s="1008"/>
      <c r="LF382" s="1007"/>
      <c r="LG382" s="1008"/>
      <c r="LH382" s="1007"/>
      <c r="LI382" s="1008"/>
      <c r="LJ382" s="1007"/>
      <c r="LK382" s="1008"/>
      <c r="LL382" s="1007"/>
      <c r="LM382" s="1008"/>
      <c r="LN382" s="1007"/>
      <c r="LO382" s="1008"/>
      <c r="LP382" s="1007"/>
      <c r="LQ382" s="1008"/>
      <c r="LR382" s="1007"/>
      <c r="LS382" s="1008"/>
      <c r="LT382" s="1007"/>
      <c r="LU382" s="1008"/>
      <c r="LV382" s="1007"/>
      <c r="LW382" s="1008"/>
      <c r="LX382" s="1007"/>
      <c r="LY382" s="1009"/>
      <c r="LZ382" s="1010"/>
      <c r="MA382" s="1011"/>
      <c r="MB382" s="1012"/>
      <c r="MC382" s="995"/>
      <c r="MD382" s="996"/>
      <c r="ME382" s="997" t="s">
        <v>220</v>
      </c>
      <c r="MF382" s="997"/>
      <c r="MG382" s="998"/>
      <c r="NR382" s="1000"/>
      <c r="NS382" s="1000"/>
      <c r="NT382" s="1001"/>
      <c r="NU382" s="1000"/>
      <c r="NV382" s="1001"/>
      <c r="NX382" s="1002"/>
      <c r="NZ382" s="1001"/>
      <c r="OA382" s="1001"/>
      <c r="OC382" s="1003"/>
      <c r="OD382" s="1003"/>
      <c r="OE382" s="1001"/>
      <c r="OF382" s="1003"/>
      <c r="OG382" s="1003"/>
      <c r="QX382" s="1000">
        <f>CN382-CA382</f>
        <v>28</v>
      </c>
      <c r="ASU382" s="999" t="s">
        <v>208</v>
      </c>
    </row>
    <row r="383" spans="1:466 1191:1191" ht="21" customHeight="1" x14ac:dyDescent="0.25">
      <c r="A383" s="982">
        <f t="shared" si="274"/>
        <v>1425</v>
      </c>
      <c r="B383" s="124">
        <f>SUBTOTAL(103,$J$29:J383)</f>
        <v>355</v>
      </c>
      <c r="C383" s="126">
        <v>45068</v>
      </c>
      <c r="D383" s="124" t="s">
        <v>176</v>
      </c>
      <c r="E383" s="127" t="s">
        <v>177</v>
      </c>
      <c r="F383" s="128" t="s">
        <v>177</v>
      </c>
      <c r="G383" s="127" t="s">
        <v>178</v>
      </c>
      <c r="H383" s="127" t="s">
        <v>179</v>
      </c>
      <c r="I383" s="127" t="s">
        <v>1521</v>
      </c>
      <c r="J383" s="152">
        <v>1425</v>
      </c>
      <c r="K383" s="127" t="s">
        <v>1522</v>
      </c>
      <c r="L383" s="130">
        <v>43656</v>
      </c>
      <c r="M383" s="127" t="s">
        <v>230</v>
      </c>
      <c r="N383" s="127" t="s">
        <v>184</v>
      </c>
      <c r="O383" s="127" t="s">
        <v>185</v>
      </c>
      <c r="P383" s="127" t="s">
        <v>186</v>
      </c>
      <c r="Q383" s="85" t="str">
        <f t="shared" si="297"/>
        <v/>
      </c>
      <c r="R383" s="130"/>
      <c r="S383" s="128"/>
      <c r="T383" s="131"/>
      <c r="U383" s="132">
        <v>203</v>
      </c>
      <c r="V383" s="121">
        <v>218.2</v>
      </c>
      <c r="W383" s="116">
        <v>0.98</v>
      </c>
      <c r="X383" s="116">
        <v>1.66</v>
      </c>
      <c r="Y383" s="116">
        <f t="shared" si="299"/>
        <v>0.98403097023953534</v>
      </c>
      <c r="Z383" s="133">
        <v>1.454</v>
      </c>
      <c r="AA383" s="133">
        <v>0.83599999999999997</v>
      </c>
      <c r="AB383" s="133">
        <v>0.72</v>
      </c>
      <c r="AC383" s="121">
        <v>34.299999999999997</v>
      </c>
      <c r="AD383" s="134">
        <v>1.17</v>
      </c>
      <c r="AE383" s="124">
        <v>177.8</v>
      </c>
      <c r="AF383" s="128">
        <v>9.19</v>
      </c>
      <c r="AG383" s="128">
        <v>2179</v>
      </c>
      <c r="AH383" s="127">
        <v>2960</v>
      </c>
      <c r="AI383" s="127">
        <v>2960</v>
      </c>
      <c r="AJ383" s="135"/>
      <c r="AK383" s="128"/>
      <c r="AL383" s="131"/>
      <c r="AM383" s="124" t="s">
        <v>187</v>
      </c>
      <c r="AN383" s="136" t="s">
        <v>1523</v>
      </c>
      <c r="AO383" s="137">
        <v>53.73</v>
      </c>
      <c r="AP383" s="128">
        <v>2347.1799999999998</v>
      </c>
      <c r="AQ383" s="128">
        <v>548.01</v>
      </c>
      <c r="AR383" s="128" t="s">
        <v>1524</v>
      </c>
      <c r="AS383" s="128">
        <v>114</v>
      </c>
      <c r="AT383" s="122">
        <v>7.37</v>
      </c>
      <c r="AU383" s="124" t="s">
        <v>189</v>
      </c>
      <c r="AV383" s="115">
        <f>VLOOKUP(J383,'[63]ТР нефть'!$J$28:$BP$638,39,0)</f>
        <v>519.99999931599996</v>
      </c>
      <c r="AW383" s="115" t="str">
        <f>VLOOKUP(J383,'[63]ТР нефть'!$J$28:$BP$638,40,0)</f>
        <v>ГП</v>
      </c>
      <c r="AX383" s="115">
        <f>VLOOKUP(J383,'[63]ТР нефть'!$J$28:$BP$638,41,0)</f>
        <v>930.00001523399999</v>
      </c>
      <c r="AY383" s="115" t="str">
        <f>VLOOKUP(J383,'[63]ТР нефть'!$J$28:$BP$638,42,0)</f>
        <v>ГП</v>
      </c>
      <c r="AZ383" s="115">
        <f>VLOOKUP(J383,'[63]ТР нефть'!$J$28:$BP$638,43,0)</f>
        <v>1399.9999781250001</v>
      </c>
      <c r="BA383" s="115" t="str">
        <f>VLOOKUP(J383,'[63]ТР нефть'!$J$28:$BP$638,44,0)</f>
        <v>ГК86 1/8</v>
      </c>
      <c r="BB383" s="115">
        <f>VLOOKUP(J383,'[63]ТР нефть'!$J$28:$BP$638,45,0)</f>
        <v>1649.999974219</v>
      </c>
      <c r="BC383" s="115" t="str">
        <f>VLOOKUP(J383,'[63]ТР нефть'!$J$28:$BP$638,46,0)</f>
        <v>ГК85 1/8</v>
      </c>
      <c r="BD383" s="115">
        <f>VLOOKUP(J383,'[63]ТР нефть'!$J$28:$BP$638,47,0)</f>
        <v>1969.999939453</v>
      </c>
      <c r="BE383" s="115" t="str">
        <f>VLOOKUP(J383,'[63]ТР нефть'!$J$28:$BP$638,48,0)</f>
        <v>ЦКсОК 5/16</v>
      </c>
      <c r="BF383" s="115" t="str">
        <f>VLOOKUP(J383,'[63]ТР нефть'!$J$28:$BP$638,49,0)</f>
        <v>-</v>
      </c>
      <c r="BG383" s="115" t="str">
        <f>VLOOKUP(J383,'[63]ТР нефть'!$J$28:$BP$638,50,0)</f>
        <v>-</v>
      </c>
      <c r="BH383" s="115" t="str">
        <f>VLOOKUP(J383,'[63]ТР нефть'!$J$28:$BP$638,51,0)</f>
        <v>-</v>
      </c>
      <c r="BI383" s="115" t="str">
        <f>VLOOKUP(J383,'[63]ТР нефть'!$J$28:$BP$638,52,0)</f>
        <v>-</v>
      </c>
      <c r="BJ383" s="115" t="str">
        <f>IF(IFERROR(VLOOKUP(J383,'[63]ТР нефть'!$J$28:$BP$638,53,0),"-")=0,"-",IFERROR(VLOOKUP(J383,'[63]ТР нефть'!$J$28:$BP$638,53,0),"-"))</f>
        <v>-</v>
      </c>
      <c r="BK383" s="138" t="str">
        <f>IF(IFERROR(VLOOKUP(J383,'[63]ТР нефть'!$J$28:$BP$638,54,0),"-")=0,"-",IFERROR(VLOOKUP(J383,'[63]ТР нефть'!$J$28:$BP$638,54,0),"-"))</f>
        <v>-</v>
      </c>
      <c r="BL383" s="138" t="str">
        <f>IF(IFERROR(VLOOKUP(J383,'[63]ТР нефть'!$J$28:$BP$638,55,0),"-")=0,"-",IFERROR(VLOOKUP(J383,'[63]ТР нефть'!$J$28:$BP$638,55,0),"-"))</f>
        <v>-</v>
      </c>
      <c r="BM383" s="138" t="str">
        <f>IF(IFERROR(VLOOKUP(J383,'[63]ТР нефть'!$J$28:$BP$638,56,0),"-")=0,"-",IFERROR(VLOOKUP(J383,'[63]ТР нефть'!$J$28:$BP$638,56,0),"-"))</f>
        <v>-</v>
      </c>
      <c r="BN383" s="138" t="str">
        <f>IF(IFERROR(VLOOKUP(J383,'[63]ТР нефть'!$J$28:$BP$638,57,0),"-")=0,"-",IFERROR(VLOOKUP(J383,'[63]ТР нефть'!$J$28:$BP$638,57,0),"-"))</f>
        <v>-</v>
      </c>
      <c r="BO383" s="115" t="str">
        <f>IF(IFERROR(VLOOKUP(J383,'[63]ТР нефть'!$J$28:$BP$638,58,0),"-")=0,"-",IFERROR(VLOOKUP(J383,'[63]ТР нефть'!$J$28:$BP$638,58,0),"-"))</f>
        <v>-</v>
      </c>
      <c r="BP383" s="115" t="str">
        <f>IF(IFERROR(VLOOKUP(J383,'[63]ТР нефть'!$J$28:$BP$638,59,0),"-")=0,"-",IFERROR(VLOOKUP(J383,'[63]ТР нефть'!$J$28:$BP$638,59,0),"-"))</f>
        <v>-</v>
      </c>
      <c r="BQ383" s="138">
        <v>2071.6999999999998</v>
      </c>
      <c r="BR383" s="128">
        <v>1732</v>
      </c>
      <c r="BS383" s="115">
        <f t="shared" si="307"/>
        <v>339.69999999999982</v>
      </c>
      <c r="BT383" s="128">
        <v>73</v>
      </c>
      <c r="BU383" s="128">
        <v>5.5</v>
      </c>
      <c r="BV383" s="127">
        <v>18</v>
      </c>
      <c r="BW383" s="127" t="s">
        <v>217</v>
      </c>
      <c r="BX383" s="127" t="s">
        <v>195</v>
      </c>
      <c r="BY383" s="139">
        <v>24</v>
      </c>
      <c r="BZ383" s="139">
        <v>0</v>
      </c>
      <c r="CA383" s="138">
        <v>24</v>
      </c>
      <c r="CB383" s="138">
        <v>38</v>
      </c>
      <c r="CC383" s="138">
        <v>23</v>
      </c>
      <c r="CD383" s="135">
        <v>45017</v>
      </c>
      <c r="CE383" s="138">
        <v>66</v>
      </c>
      <c r="CF383" s="138">
        <v>78</v>
      </c>
      <c r="CG383" s="138" t="str">
        <f t="shared" si="265"/>
        <v>В работе</v>
      </c>
      <c r="CH383" s="138" t="s">
        <v>272</v>
      </c>
      <c r="CI383" s="127">
        <v>5</v>
      </c>
      <c r="CJ383" s="138"/>
      <c r="CK383" s="138">
        <f t="shared" si="308"/>
        <v>26</v>
      </c>
      <c r="CL383" s="99"/>
      <c r="CM383" s="99"/>
      <c r="CN383" s="140">
        <v>50</v>
      </c>
      <c r="CO383" s="141">
        <f t="shared" si="276"/>
        <v>4.1382000000000003</v>
      </c>
      <c r="CP383" s="142">
        <v>5</v>
      </c>
      <c r="CQ383" s="143">
        <v>1</v>
      </c>
      <c r="CR383" s="138">
        <v>15</v>
      </c>
      <c r="CS383" s="139">
        <v>5</v>
      </c>
      <c r="CT383" s="138"/>
      <c r="CU383" s="138">
        <f t="shared" si="277"/>
        <v>10</v>
      </c>
      <c r="CV383" s="115">
        <f t="shared" si="278"/>
        <v>2416.5095935430863</v>
      </c>
      <c r="CW383" s="115">
        <f t="shared" si="279"/>
        <v>1191.5826600891301</v>
      </c>
      <c r="CX383" s="133">
        <f t="shared" si="280"/>
        <v>0.3125</v>
      </c>
      <c r="CY383" s="116"/>
      <c r="CZ383" s="131"/>
      <c r="DA383" s="145" t="str">
        <f t="shared" si="281"/>
        <v>Газлифт</v>
      </c>
      <c r="DB383" s="146">
        <f t="shared" si="282"/>
        <v>4.1382000000000003</v>
      </c>
      <c r="DC383" s="142">
        <f t="shared" si="302"/>
        <v>5</v>
      </c>
      <c r="DD383" s="119">
        <f t="shared" si="303"/>
        <v>1</v>
      </c>
      <c r="DE383" s="115">
        <f t="shared" si="283"/>
        <v>10</v>
      </c>
      <c r="DF383" s="121">
        <f t="shared" si="284"/>
        <v>5</v>
      </c>
      <c r="DG383" s="115">
        <f t="shared" si="285"/>
        <v>2416.5095935430863</v>
      </c>
      <c r="DH383" s="115">
        <f t="shared" si="286"/>
        <v>50</v>
      </c>
      <c r="DI383" s="147"/>
      <c r="DJ383" s="111" t="s">
        <v>197</v>
      </c>
      <c r="DK383" s="112">
        <v>43656</v>
      </c>
      <c r="DL383" s="113">
        <f t="shared" ca="1" si="266"/>
        <v>1448</v>
      </c>
      <c r="DM383" s="114"/>
      <c r="DN383" s="114"/>
      <c r="DO383" s="114"/>
      <c r="DP383" s="114"/>
      <c r="DQ383" s="112">
        <v>43656</v>
      </c>
      <c r="DR383" s="114" t="s">
        <v>324</v>
      </c>
      <c r="DS383" s="114"/>
      <c r="DT383" s="115">
        <v>49</v>
      </c>
      <c r="DU383" s="116">
        <f t="shared" si="267"/>
        <v>0.31014150943396229</v>
      </c>
      <c r="DV383" s="117">
        <f t="shared" si="268"/>
        <v>4.3636538207547169</v>
      </c>
      <c r="DW383" s="118">
        <f t="shared" si="269"/>
        <v>5.272405660377359</v>
      </c>
      <c r="DX383" s="119">
        <f t="shared" si="287"/>
        <v>1</v>
      </c>
      <c r="DY383" s="115">
        <f t="shared" si="270"/>
        <v>10.544811320754716</v>
      </c>
      <c r="DZ383" s="117">
        <f t="shared" si="305"/>
        <v>0.22545382075471654</v>
      </c>
      <c r="EA383" s="120">
        <f t="shared" si="305"/>
        <v>0.27240566037735903</v>
      </c>
      <c r="EB383" s="119">
        <f t="shared" si="264"/>
        <v>0</v>
      </c>
      <c r="EC383" s="121">
        <f t="shared" si="272"/>
        <v>0.54481132075471628</v>
      </c>
      <c r="ED383" s="122"/>
      <c r="EE383" s="145">
        <v>18</v>
      </c>
      <c r="EF383" s="115">
        <v>26</v>
      </c>
      <c r="EG383" s="115">
        <v>44</v>
      </c>
      <c r="EH383" s="115">
        <v>25</v>
      </c>
      <c r="EI383" s="128" t="s">
        <v>195</v>
      </c>
      <c r="EJ383" s="121">
        <v>24</v>
      </c>
      <c r="EK383" s="121">
        <v>0</v>
      </c>
      <c r="EL383" s="149">
        <v>6.2072999999999992</v>
      </c>
      <c r="EM383" s="142">
        <v>7.5</v>
      </c>
      <c r="EN383" s="119">
        <v>1</v>
      </c>
      <c r="EO383" s="115">
        <v>15</v>
      </c>
      <c r="EP383" s="115">
        <v>1611.0063956953911</v>
      </c>
      <c r="EQ383" s="115">
        <v>78</v>
      </c>
      <c r="ER383" s="115">
        <v>5</v>
      </c>
      <c r="ES383" s="115">
        <v>50</v>
      </c>
      <c r="ET383" s="150">
        <v>0.46875</v>
      </c>
      <c r="EU383" s="145">
        <f t="shared" si="288"/>
        <v>18</v>
      </c>
      <c r="EV383" s="115">
        <f t="shared" si="289"/>
        <v>24</v>
      </c>
      <c r="EW383" s="115">
        <f t="shared" si="289"/>
        <v>38</v>
      </c>
      <c r="EX383" s="115">
        <f t="shared" si="289"/>
        <v>23</v>
      </c>
      <c r="EY383" s="115" t="str">
        <f t="shared" si="253"/>
        <v>Постоянный</v>
      </c>
      <c r="EZ383" s="115">
        <f t="shared" si="253"/>
        <v>24</v>
      </c>
      <c r="FA383" s="115">
        <f t="shared" si="253"/>
        <v>0</v>
      </c>
      <c r="FB383" s="149">
        <f t="shared" si="298"/>
        <v>4.1382000000000003</v>
      </c>
      <c r="FC383" s="142">
        <f t="shared" si="298"/>
        <v>5</v>
      </c>
      <c r="FD383" s="119">
        <f t="shared" si="298"/>
        <v>1</v>
      </c>
      <c r="FE383" s="121">
        <f t="shared" si="298"/>
        <v>15</v>
      </c>
      <c r="FF383" s="121">
        <f t="shared" si="300"/>
        <v>2416.5095935430863</v>
      </c>
      <c r="FG383" s="121">
        <f t="shared" si="290"/>
        <v>78</v>
      </c>
      <c r="FH383" s="121">
        <f t="shared" si="301"/>
        <v>5</v>
      </c>
      <c r="FI383" s="121">
        <f t="shared" si="306"/>
        <v>50</v>
      </c>
      <c r="FJ383" s="144">
        <f t="shared" si="291"/>
        <v>0.3125</v>
      </c>
      <c r="FK383" s="132">
        <f t="shared" si="292"/>
        <v>0</v>
      </c>
      <c r="FL383" s="115">
        <f t="shared" si="292"/>
        <v>-2</v>
      </c>
      <c r="FM383" s="115">
        <f t="shared" si="292"/>
        <v>-6</v>
      </c>
      <c r="FN383" s="115">
        <f t="shared" si="273"/>
        <v>-2</v>
      </c>
      <c r="FO383" s="115">
        <f t="shared" si="257"/>
        <v>0</v>
      </c>
      <c r="FP383" s="115">
        <f t="shared" si="257"/>
        <v>0</v>
      </c>
      <c r="FQ383" s="149">
        <f t="shared" si="257"/>
        <v>-2.0690999999999988</v>
      </c>
      <c r="FR383" s="142">
        <f t="shared" si="256"/>
        <v>-2.5</v>
      </c>
      <c r="FS383" s="119">
        <f t="shared" si="256"/>
        <v>0</v>
      </c>
      <c r="FT383" s="121">
        <f t="shared" si="256"/>
        <v>0</v>
      </c>
      <c r="FU383" s="121">
        <f t="shared" si="293"/>
        <v>0</v>
      </c>
      <c r="FV383" s="121">
        <f t="shared" si="293"/>
        <v>0</v>
      </c>
      <c r="FW383" s="121">
        <f t="shared" si="294"/>
        <v>805.50319784769522</v>
      </c>
      <c r="FX383" s="121">
        <f t="shared" si="295"/>
        <v>0</v>
      </c>
      <c r="FY383" s="144">
        <f t="shared" si="295"/>
        <v>-0.15625</v>
      </c>
      <c r="FZ383" s="145" t="s">
        <v>204</v>
      </c>
      <c r="GA383" s="151" t="s">
        <v>219</v>
      </c>
      <c r="GB383" s="145" t="s">
        <v>204</v>
      </c>
      <c r="GC383" s="151" t="s">
        <v>219</v>
      </c>
      <c r="GD383" s="997" t="s">
        <v>220</v>
      </c>
      <c r="GE383" s="1004" t="s">
        <v>204</v>
      </c>
      <c r="GF383" s="1004">
        <v>2.0272999999999994</v>
      </c>
      <c r="GG383" s="1004" t="s">
        <v>223</v>
      </c>
      <c r="GH383" s="1004">
        <v>-1.4211999999999998</v>
      </c>
      <c r="GI383" s="145"/>
      <c r="GJ383" s="996">
        <v>0</v>
      </c>
      <c r="GK383" s="145"/>
      <c r="GL383" s="996">
        <v>0.24243999999999932</v>
      </c>
      <c r="GM383" s="1005" t="s">
        <v>1298</v>
      </c>
      <c r="GN383" s="996">
        <v>-2.4160399999999997</v>
      </c>
      <c r="GO383" s="1006" t="s">
        <v>199</v>
      </c>
      <c r="GP383" s="996">
        <v>0.7841680000000002</v>
      </c>
      <c r="GQ383" s="1006" t="s">
        <v>199</v>
      </c>
      <c r="GR383" s="996">
        <v>-1.3442880000000006</v>
      </c>
      <c r="GS383" s="1006"/>
      <c r="GT383" s="996">
        <v>0</v>
      </c>
      <c r="GU383" s="1006"/>
      <c r="GV383" s="996">
        <v>-0.44308000000000014</v>
      </c>
      <c r="GW383" s="1006" t="s">
        <v>199</v>
      </c>
      <c r="GX383" s="996">
        <v>1.2818388000000009</v>
      </c>
      <c r="GY383" s="1006"/>
      <c r="GZ383" s="996">
        <v>0</v>
      </c>
      <c r="HA383" s="1006"/>
      <c r="HB383" s="996">
        <v>0</v>
      </c>
      <c r="HC383" s="1006"/>
      <c r="HD383" s="996">
        <v>0</v>
      </c>
      <c r="HE383" s="1006"/>
      <c r="HF383" s="996">
        <v>0</v>
      </c>
      <c r="HG383" s="1006"/>
      <c r="HH383" s="996">
        <v>-0.16658135999999857</v>
      </c>
      <c r="HI383" s="1006"/>
      <c r="HJ383" s="996">
        <v>0</v>
      </c>
      <c r="HK383" s="1006"/>
      <c r="HL383" s="996">
        <v>0</v>
      </c>
      <c r="HM383" s="1006"/>
      <c r="HN383" s="996">
        <v>0</v>
      </c>
      <c r="HO383" s="1006"/>
      <c r="HP383" s="996">
        <v>0</v>
      </c>
      <c r="HQ383" s="1006"/>
      <c r="HR383" s="996">
        <v>0</v>
      </c>
      <c r="HS383" s="1006"/>
      <c r="HT383" s="996">
        <v>0</v>
      </c>
      <c r="HU383" s="1006"/>
      <c r="HV383" s="996">
        <v>-0.76627425600000088</v>
      </c>
      <c r="HW383" s="1006"/>
      <c r="HX383" s="996">
        <v>0</v>
      </c>
      <c r="HY383" s="1006"/>
      <c r="HZ383" s="996">
        <v>-0.73295798400000045</v>
      </c>
      <c r="IA383" s="1006"/>
      <c r="IB383" s="996">
        <v>-0.74961611999999889</v>
      </c>
      <c r="IC383" s="1006"/>
      <c r="ID383" s="996">
        <v>0</v>
      </c>
      <c r="IE383" s="1006"/>
      <c r="IF383" s="996">
        <v>0</v>
      </c>
      <c r="IG383" s="1006"/>
      <c r="IH383" s="996">
        <v>0</v>
      </c>
      <c r="II383" s="1006"/>
      <c r="IJ383" s="996">
        <v>0</v>
      </c>
      <c r="IK383" s="1006" t="s">
        <v>199</v>
      </c>
      <c r="IL383" s="996">
        <v>2.5903401480000001</v>
      </c>
      <c r="IM383" s="1006" t="s">
        <v>199</v>
      </c>
      <c r="IN383" s="996">
        <v>-5.0933492280000001</v>
      </c>
      <c r="IO383" s="1006"/>
      <c r="IP383" s="996">
        <v>0.8690219999999993</v>
      </c>
      <c r="IQ383" s="1006"/>
      <c r="IR383" s="996">
        <v>0</v>
      </c>
      <c r="IS383" s="1006"/>
      <c r="IT383" s="996">
        <v>0</v>
      </c>
      <c r="IU383" s="1006" t="s">
        <v>199</v>
      </c>
      <c r="IV383" s="996">
        <v>-1.7635420000000011</v>
      </c>
      <c r="IW383" s="1006"/>
      <c r="IX383" s="996">
        <v>0</v>
      </c>
      <c r="IY383" s="1006"/>
      <c r="IZ383" s="996">
        <v>0</v>
      </c>
      <c r="JA383" s="1006"/>
      <c r="JB383" s="996">
        <v>-0.48487999999999865</v>
      </c>
      <c r="JC383" s="1006"/>
      <c r="JD383" s="996">
        <v>0</v>
      </c>
      <c r="JE383" s="1006" t="s">
        <v>223</v>
      </c>
      <c r="JF383" s="996">
        <v>-8.1928000000000001</v>
      </c>
      <c r="JG383" s="1006" t="s">
        <v>223</v>
      </c>
      <c r="JH383" s="996">
        <v>-3.6867599999999996</v>
      </c>
      <c r="JI383" s="1006"/>
      <c r="JJ383" s="996">
        <v>0</v>
      </c>
      <c r="JK383" s="1007"/>
      <c r="JL383" s="1007">
        <v>0</v>
      </c>
      <c r="JM383" s="1007"/>
      <c r="JN383" s="1007">
        <v>0</v>
      </c>
      <c r="JO383" s="1008"/>
      <c r="JP383" s="1007">
        <v>0</v>
      </c>
      <c r="JQ383" s="1008" t="s">
        <v>203</v>
      </c>
      <c r="JR383" s="1007">
        <v>-2.7264400000000002</v>
      </c>
      <c r="JS383" s="1008" t="s">
        <v>25</v>
      </c>
      <c r="JT383" s="1007">
        <v>34.273000000000003</v>
      </c>
      <c r="JU383" s="1008"/>
      <c r="JV383" s="1007"/>
      <c r="JW383" s="1008"/>
      <c r="JX383" s="1007"/>
      <c r="JY383" s="1008"/>
      <c r="JZ383" s="1007"/>
      <c r="KA383" s="1008"/>
      <c r="KB383" s="1007"/>
      <c r="KC383" s="1008"/>
      <c r="KD383" s="1007"/>
      <c r="KE383" s="1008"/>
      <c r="KF383" s="1007"/>
      <c r="KG383" s="1008"/>
      <c r="KH383" s="1007"/>
      <c r="KI383" s="1008"/>
      <c r="KJ383" s="1007"/>
      <c r="KK383" s="1008"/>
      <c r="KL383" s="1007"/>
      <c r="KM383" s="1008"/>
      <c r="KN383" s="1007"/>
      <c r="KO383" s="1008"/>
      <c r="KP383" s="1007"/>
      <c r="KQ383" s="1008"/>
      <c r="KR383" s="1007"/>
      <c r="KS383" s="1008"/>
      <c r="KT383" s="1007"/>
      <c r="KU383" s="1008"/>
      <c r="KV383" s="1007"/>
      <c r="KW383" s="1008"/>
      <c r="KX383" s="1007"/>
      <c r="KY383" s="1008"/>
      <c r="KZ383" s="1007"/>
      <c r="LA383" s="1008"/>
      <c r="LB383" s="1007"/>
      <c r="LC383" s="1008"/>
      <c r="LD383" s="1007"/>
      <c r="LE383" s="1008"/>
      <c r="LF383" s="1007"/>
      <c r="LG383" s="1008"/>
      <c r="LH383" s="1007"/>
      <c r="LI383" s="1008"/>
      <c r="LJ383" s="1007"/>
      <c r="LK383" s="1008"/>
      <c r="LL383" s="1007"/>
      <c r="LM383" s="1008"/>
      <c r="LN383" s="1007"/>
      <c r="LO383" s="1008"/>
      <c r="LP383" s="1007"/>
      <c r="LQ383" s="1008"/>
      <c r="LR383" s="1007"/>
      <c r="LS383" s="1008"/>
      <c r="LT383" s="1007"/>
      <c r="LU383" s="1008"/>
      <c r="LV383" s="1007"/>
      <c r="LW383" s="1008"/>
      <c r="LX383" s="1007"/>
      <c r="LY383" s="1009"/>
      <c r="LZ383" s="1010"/>
      <c r="MA383" s="1011"/>
      <c r="MB383" s="1012"/>
      <c r="MC383" s="995"/>
      <c r="MD383" s="996"/>
      <c r="ME383" s="997" t="s">
        <v>220</v>
      </c>
      <c r="MF383" s="997"/>
      <c r="MG383" s="998"/>
      <c r="NR383" s="1000"/>
      <c r="NS383" s="1000"/>
      <c r="NT383" s="1001"/>
      <c r="NU383" s="1000"/>
      <c r="NV383" s="1001"/>
      <c r="NX383" s="1002"/>
      <c r="NZ383" s="1001"/>
      <c r="OA383" s="1001"/>
      <c r="OC383" s="1003"/>
      <c r="OD383" s="1003"/>
      <c r="OE383" s="1001"/>
      <c r="OF383" s="1003"/>
      <c r="OG383" s="1003"/>
      <c r="OH383" s="1003"/>
      <c r="OI383" s="1016"/>
      <c r="QX383" s="1000">
        <f>CN383-CA383</f>
        <v>26</v>
      </c>
      <c r="ASU383" s="999" t="s">
        <v>208</v>
      </c>
    </row>
    <row r="384" spans="1:466 1191:1191" ht="21" customHeight="1" x14ac:dyDescent="0.25">
      <c r="A384" s="982">
        <f t="shared" si="274"/>
        <v>1426</v>
      </c>
      <c r="B384" s="124">
        <f>SUBTOTAL(103,$J$29:J384)</f>
        <v>356</v>
      </c>
      <c r="C384" s="126">
        <v>45068</v>
      </c>
      <c r="D384" s="124" t="s">
        <v>176</v>
      </c>
      <c r="E384" s="127" t="s">
        <v>177</v>
      </c>
      <c r="F384" s="128" t="s">
        <v>177</v>
      </c>
      <c r="G384" s="127" t="s">
        <v>178</v>
      </c>
      <c r="H384" s="127" t="s">
        <v>179</v>
      </c>
      <c r="I384" s="127" t="s">
        <v>1521</v>
      </c>
      <c r="J384" s="152">
        <v>1426</v>
      </c>
      <c r="K384" s="127" t="s">
        <v>182</v>
      </c>
      <c r="L384" s="130">
        <v>42759</v>
      </c>
      <c r="M384" s="127" t="s">
        <v>230</v>
      </c>
      <c r="N384" s="127" t="s">
        <v>184</v>
      </c>
      <c r="O384" s="127" t="s">
        <v>185</v>
      </c>
      <c r="P384" s="127" t="s">
        <v>186</v>
      </c>
      <c r="Q384" s="85" t="str">
        <f t="shared" si="297"/>
        <v/>
      </c>
      <c r="R384" s="130"/>
      <c r="S384" s="128"/>
      <c r="T384" s="131"/>
      <c r="U384" s="132">
        <v>203</v>
      </c>
      <c r="V384" s="121">
        <v>218.2</v>
      </c>
      <c r="W384" s="116">
        <v>0.98</v>
      </c>
      <c r="X384" s="116">
        <v>1.66</v>
      </c>
      <c r="Y384" s="116">
        <f t="shared" si="299"/>
        <v>0.98</v>
      </c>
      <c r="Z384" s="133">
        <v>1.454</v>
      </c>
      <c r="AA384" s="133">
        <v>0.83599999999999997</v>
      </c>
      <c r="AB384" s="133">
        <v>0.72</v>
      </c>
      <c r="AC384" s="121">
        <v>34.299999999999997</v>
      </c>
      <c r="AD384" s="134">
        <v>1.17</v>
      </c>
      <c r="AE384" s="124">
        <v>177.8</v>
      </c>
      <c r="AF384" s="128">
        <v>9.19</v>
      </c>
      <c r="AG384" s="128">
        <v>2120</v>
      </c>
      <c r="AH384" s="127">
        <v>2770</v>
      </c>
      <c r="AI384" s="127">
        <v>2770</v>
      </c>
      <c r="AJ384" s="135"/>
      <c r="AK384" s="128"/>
      <c r="AL384" s="131"/>
      <c r="AM384" s="124" t="s">
        <v>232</v>
      </c>
      <c r="AN384" s="136" t="s">
        <v>1525</v>
      </c>
      <c r="AO384" s="137">
        <v>51.4</v>
      </c>
      <c r="AP384" s="128">
        <v>1988</v>
      </c>
      <c r="AQ384" s="128">
        <v>214.3</v>
      </c>
      <c r="AR384" s="128"/>
      <c r="AS384" s="128"/>
      <c r="AT384" s="122"/>
      <c r="AU384" s="124" t="s">
        <v>189</v>
      </c>
      <c r="AV384" s="115">
        <f>VLOOKUP(J384,'[63]ТР нефть'!$J$28:$BP$638,39,0)</f>
        <v>600.15120000000002</v>
      </c>
      <c r="AW384" s="115" t="str">
        <f>VLOOKUP(J384,'[63]ТР нефть'!$J$28:$BP$638,40,0)</f>
        <v>ГП</v>
      </c>
      <c r="AX384" s="115">
        <f>VLOOKUP(J384,'[63]ТР нефть'!$J$28:$BP$638,41,0)</f>
        <v>1050.0360000000001</v>
      </c>
      <c r="AY384" s="115" t="str">
        <f>VLOOKUP(J384,'[63]ТР нефть'!$J$28:$BP$638,42,0)</f>
        <v>ГК82 1/8</v>
      </c>
      <c r="AZ384" s="115">
        <f>VLOOKUP(J384,'[63]ТР нефть'!$J$28:$BP$638,43,0)</f>
        <v>1470.0504000000001</v>
      </c>
      <c r="BA384" s="115" t="str">
        <f>VLOOKUP(J384,'[63]ТР нефть'!$J$28:$BP$638,44,0)</f>
        <v>ГК 83 5/32</v>
      </c>
      <c r="BB384" s="115">
        <f>VLOOKUP(J384,'[63]ТР нефть'!$J$28:$BP$638,45,0)</f>
        <v>1770</v>
      </c>
      <c r="BC384" s="115" t="str">
        <f>VLOOKUP(J384,'[63]ТР нефть'!$J$28:$BP$638,46,0)</f>
        <v>ЦКсОК 5/16</v>
      </c>
      <c r="BD384" s="115" t="str">
        <f>VLOOKUP(J384,'[63]ТР нефть'!$J$28:$BP$638,47,0)</f>
        <v>-</v>
      </c>
      <c r="BE384" s="115" t="str">
        <f>VLOOKUP(J384,'[63]ТР нефть'!$J$28:$BP$638,48,0)</f>
        <v>-</v>
      </c>
      <c r="BF384" s="115" t="str">
        <f>VLOOKUP(J384,'[63]ТР нефть'!$J$28:$BP$638,49,0)</f>
        <v>-</v>
      </c>
      <c r="BG384" s="115" t="str">
        <f>VLOOKUP(J384,'[63]ТР нефть'!$J$28:$BP$638,50,0)</f>
        <v>-</v>
      </c>
      <c r="BH384" s="115">
        <f>VLOOKUP(J384,'[63]ТР нефть'!$J$28:$BP$638,51,0)</f>
        <v>1780</v>
      </c>
      <c r="BI384" s="115" t="str">
        <f>VLOOKUP(J384,'[63]ТР нефть'!$J$28:$BP$638,52,0)</f>
        <v>закрыт</v>
      </c>
      <c r="BJ384" s="115" t="str">
        <f>IF(IFERROR(VLOOKUP(J384,'[63]ТР нефть'!$J$28:$BP$638,53,0),"-")=0,"-",IFERROR(VLOOKUP(J384,'[63]ТР нефть'!$J$28:$BP$638,53,0),"-"))</f>
        <v>-</v>
      </c>
      <c r="BK384" s="138" t="str">
        <f>IF(IFERROR(VLOOKUP(J384,'[63]ТР нефть'!$J$28:$BP$638,54,0),"-")=0,"-",IFERROR(VLOOKUP(J384,'[63]ТР нефть'!$J$28:$BP$638,54,0),"-"))</f>
        <v>-</v>
      </c>
      <c r="BL384" s="138" t="str">
        <f>IF(IFERROR(VLOOKUP(J384,'[63]ТР нефть'!$J$28:$BP$638,55,0),"-")=0,"-",IFERROR(VLOOKUP(J384,'[63]ТР нефть'!$J$28:$BP$638,55,0),"-"))</f>
        <v>-</v>
      </c>
      <c r="BM384" s="138" t="str">
        <f>IF(IFERROR(VLOOKUP(J384,'[63]ТР нефть'!$J$28:$BP$638,56,0),"-")=0,"-",IFERROR(VLOOKUP(J384,'[63]ТР нефть'!$J$28:$BP$638,56,0),"-"))</f>
        <v>-</v>
      </c>
      <c r="BN384" s="138" t="str">
        <f>IF(IFERROR(VLOOKUP(J384,'[63]ТР нефть'!$J$28:$BP$638,57,0),"-")=0,"-",IFERROR(VLOOKUP(J384,'[63]ТР нефть'!$J$28:$BP$638,57,0),"-"))</f>
        <v>-</v>
      </c>
      <c r="BO384" s="115" t="str">
        <f>IF(IFERROR(VLOOKUP(J384,'[63]ТР нефть'!$J$28:$BP$638,58,0),"-")=0,"-",IFERROR(VLOOKUP(J384,'[63]ТР нефть'!$J$28:$BP$638,58,0),"-"))</f>
        <v>-</v>
      </c>
      <c r="BP384" s="115" t="str">
        <f>IF(IFERROR(VLOOKUP(J384,'[63]ТР нефть'!$J$28:$BP$638,59,0),"-")=0,"-",IFERROR(VLOOKUP(J384,'[63]ТР нефть'!$J$28:$BP$638,59,0),"-"))</f>
        <v>-</v>
      </c>
      <c r="BQ384" s="138">
        <v>2131.5100000000002</v>
      </c>
      <c r="BR384" s="128">
        <v>1815</v>
      </c>
      <c r="BS384" s="115">
        <f t="shared" si="307"/>
        <v>316.51000000000022</v>
      </c>
      <c r="BT384" s="128">
        <v>73</v>
      </c>
      <c r="BU384" s="128">
        <v>5.5</v>
      </c>
      <c r="BV384" s="127">
        <v>18</v>
      </c>
      <c r="BW384" s="127" t="s">
        <v>217</v>
      </c>
      <c r="BX384" s="127" t="s">
        <v>195</v>
      </c>
      <c r="BY384" s="139">
        <v>24</v>
      </c>
      <c r="BZ384" s="139">
        <v>0</v>
      </c>
      <c r="CA384" s="80">
        <v>25</v>
      </c>
      <c r="CB384" s="138">
        <v>40</v>
      </c>
      <c r="CC384" s="138">
        <v>24</v>
      </c>
      <c r="CD384" s="135">
        <v>45017</v>
      </c>
      <c r="CE384" s="138">
        <v>89</v>
      </c>
      <c r="CF384" s="138">
        <v>78</v>
      </c>
      <c r="CG384" s="138" t="str">
        <f t="shared" si="265"/>
        <v>В работе</v>
      </c>
      <c r="CH384" s="138" t="s">
        <v>235</v>
      </c>
      <c r="CI384" s="127">
        <v>5</v>
      </c>
      <c r="CJ384" s="138"/>
      <c r="CK384" s="138">
        <f t="shared" si="308"/>
        <v>21</v>
      </c>
      <c r="CL384" s="99"/>
      <c r="CM384" s="99"/>
      <c r="CN384" s="140">
        <v>46</v>
      </c>
      <c r="CO384" s="141">
        <f t="shared" si="276"/>
        <v>6.6879999999999997</v>
      </c>
      <c r="CP384" s="142">
        <v>8</v>
      </c>
      <c r="CQ384" s="143">
        <v>0</v>
      </c>
      <c r="CR384" s="138">
        <v>18</v>
      </c>
      <c r="CS384" s="139">
        <v>10</v>
      </c>
      <c r="CT384" s="138"/>
      <c r="CU384" s="138">
        <f t="shared" si="277"/>
        <v>8</v>
      </c>
      <c r="CV384" s="115">
        <f t="shared" si="278"/>
        <v>1196.1722488038279</v>
      </c>
      <c r="CW384" s="115">
        <f t="shared" si="279"/>
        <v>1495.2153110047848</v>
      </c>
      <c r="CX384" s="133">
        <f t="shared" si="280"/>
        <v>0.18604651162790697</v>
      </c>
      <c r="CY384" s="116"/>
      <c r="CZ384" s="131"/>
      <c r="DA384" s="145" t="str">
        <f t="shared" si="281"/>
        <v>Газлифт</v>
      </c>
      <c r="DB384" s="146">
        <f t="shared" si="282"/>
        <v>6.6879999999999997</v>
      </c>
      <c r="DC384" s="142">
        <f t="shared" si="302"/>
        <v>8</v>
      </c>
      <c r="DD384" s="119">
        <f t="shared" si="303"/>
        <v>0</v>
      </c>
      <c r="DE384" s="115">
        <f t="shared" si="283"/>
        <v>8</v>
      </c>
      <c r="DF384" s="121">
        <f t="shared" si="284"/>
        <v>10</v>
      </c>
      <c r="DG384" s="115">
        <f t="shared" si="285"/>
        <v>1196.1722488038279</v>
      </c>
      <c r="DH384" s="115">
        <f t="shared" si="286"/>
        <v>46</v>
      </c>
      <c r="DI384" s="147"/>
      <c r="DJ384" s="111">
        <v>43747</v>
      </c>
      <c r="DK384" s="112">
        <v>43711</v>
      </c>
      <c r="DL384" s="113">
        <f t="shared" ca="1" si="266"/>
        <v>1393</v>
      </c>
      <c r="DM384" s="114"/>
      <c r="DN384" s="114"/>
      <c r="DO384" s="114"/>
      <c r="DP384" s="114"/>
      <c r="DQ384" s="112">
        <v>43621</v>
      </c>
      <c r="DR384" s="114" t="s">
        <v>198</v>
      </c>
      <c r="DS384" s="114"/>
      <c r="DT384" s="128">
        <v>52</v>
      </c>
      <c r="DU384" s="116">
        <f t="shared" si="267"/>
        <v>0.21621621621621623</v>
      </c>
      <c r="DV384" s="117">
        <f t="shared" si="268"/>
        <v>6.6879999999999997</v>
      </c>
      <c r="DW384" s="118">
        <f t="shared" si="269"/>
        <v>8</v>
      </c>
      <c r="DX384" s="119">
        <f t="shared" si="287"/>
        <v>0</v>
      </c>
      <c r="DY384" s="121">
        <f t="shared" si="270"/>
        <v>8.0000000000000018</v>
      </c>
      <c r="DZ384" s="117">
        <f t="shared" si="305"/>
        <v>0</v>
      </c>
      <c r="EA384" s="120">
        <f t="shared" si="305"/>
        <v>0</v>
      </c>
      <c r="EB384" s="119">
        <f t="shared" si="264"/>
        <v>0</v>
      </c>
      <c r="EC384" s="121">
        <f t="shared" si="272"/>
        <v>0</v>
      </c>
      <c r="ED384" s="122"/>
      <c r="EE384" s="145">
        <v>18</v>
      </c>
      <c r="EF384" s="148">
        <v>26</v>
      </c>
      <c r="EG384" s="115">
        <v>38</v>
      </c>
      <c r="EH384" s="115">
        <v>25</v>
      </c>
      <c r="EI384" s="128" t="s">
        <v>195</v>
      </c>
      <c r="EJ384" s="121">
        <v>24</v>
      </c>
      <c r="EK384" s="121">
        <v>0</v>
      </c>
      <c r="EL384" s="149">
        <v>11.48</v>
      </c>
      <c r="EM384" s="142">
        <v>13.7</v>
      </c>
      <c r="EN384" s="119">
        <v>0</v>
      </c>
      <c r="EO384" s="115">
        <v>23.4</v>
      </c>
      <c r="EP384" s="115">
        <v>2269.9070851366487</v>
      </c>
      <c r="EQ384" s="115">
        <v>78</v>
      </c>
      <c r="ER384" s="115">
        <v>12</v>
      </c>
      <c r="ES384" s="115">
        <v>50</v>
      </c>
      <c r="ET384" s="150">
        <v>0.16444444444444445</v>
      </c>
      <c r="EU384" s="145">
        <f t="shared" si="288"/>
        <v>18</v>
      </c>
      <c r="EV384" s="115">
        <f t="shared" si="289"/>
        <v>25</v>
      </c>
      <c r="EW384" s="115">
        <f t="shared" si="289"/>
        <v>40</v>
      </c>
      <c r="EX384" s="115">
        <f t="shared" si="289"/>
        <v>24</v>
      </c>
      <c r="EY384" s="115" t="str">
        <f t="shared" ref="EY384:FA447" si="309">BX384</f>
        <v>Постоянный</v>
      </c>
      <c r="EZ384" s="115">
        <f t="shared" si="309"/>
        <v>24</v>
      </c>
      <c r="FA384" s="115">
        <f t="shared" si="309"/>
        <v>0</v>
      </c>
      <c r="FB384" s="149">
        <f t="shared" si="298"/>
        <v>6.6879999999999997</v>
      </c>
      <c r="FC384" s="142">
        <f t="shared" si="298"/>
        <v>8</v>
      </c>
      <c r="FD384" s="119">
        <f t="shared" si="298"/>
        <v>0</v>
      </c>
      <c r="FE384" s="121">
        <f t="shared" si="298"/>
        <v>18</v>
      </c>
      <c r="FF384" s="121">
        <f t="shared" si="300"/>
        <v>1196.1722488038279</v>
      </c>
      <c r="FG384" s="121">
        <f t="shared" si="290"/>
        <v>78</v>
      </c>
      <c r="FH384" s="121">
        <f t="shared" si="301"/>
        <v>10</v>
      </c>
      <c r="FI384" s="121">
        <f t="shared" si="306"/>
        <v>46</v>
      </c>
      <c r="FJ384" s="144">
        <f t="shared" si="291"/>
        <v>0.18604651162790697</v>
      </c>
      <c r="FK384" s="132">
        <f t="shared" si="292"/>
        <v>0</v>
      </c>
      <c r="FL384" s="115">
        <f t="shared" si="292"/>
        <v>-1</v>
      </c>
      <c r="FM384" s="115">
        <f t="shared" si="292"/>
        <v>2</v>
      </c>
      <c r="FN384" s="115">
        <f t="shared" si="273"/>
        <v>-1</v>
      </c>
      <c r="FO384" s="115">
        <f t="shared" si="257"/>
        <v>0</v>
      </c>
      <c r="FP384" s="115">
        <f t="shared" si="257"/>
        <v>0</v>
      </c>
      <c r="FQ384" s="149">
        <f t="shared" si="257"/>
        <v>-4.7920000000000007</v>
      </c>
      <c r="FR384" s="142">
        <f t="shared" si="256"/>
        <v>-5.6999999999999993</v>
      </c>
      <c r="FS384" s="119">
        <f t="shared" si="256"/>
        <v>0</v>
      </c>
      <c r="FT384" s="121">
        <f t="shared" si="256"/>
        <v>-5.3999999999999986</v>
      </c>
      <c r="FU384" s="121">
        <f t="shared" si="293"/>
        <v>0</v>
      </c>
      <c r="FV384" s="121">
        <f t="shared" si="293"/>
        <v>-2</v>
      </c>
      <c r="FW384" s="121">
        <f t="shared" si="294"/>
        <v>-1073.7348363328208</v>
      </c>
      <c r="FX384" s="121">
        <f t="shared" si="295"/>
        <v>-4</v>
      </c>
      <c r="FY384" s="144">
        <f t="shared" si="295"/>
        <v>2.1602067183462526E-2</v>
      </c>
      <c r="FZ384" s="145" t="s">
        <v>222</v>
      </c>
      <c r="GA384" s="151" t="s">
        <v>1526</v>
      </c>
      <c r="GB384" s="145"/>
      <c r="GC384" s="151" t="s">
        <v>1251</v>
      </c>
      <c r="GD384" s="997" t="s">
        <v>220</v>
      </c>
      <c r="GE384" s="1004"/>
      <c r="GF384" s="1004">
        <v>-0.3711840000000004</v>
      </c>
      <c r="GG384" s="1004"/>
      <c r="GH384" s="1004">
        <v>-0.61696799999999996</v>
      </c>
      <c r="GI384" s="145"/>
      <c r="GJ384" s="996">
        <v>0</v>
      </c>
      <c r="GK384" s="145"/>
      <c r="GL384" s="996">
        <v>-0.54344405719999944</v>
      </c>
      <c r="GM384" s="1005"/>
      <c r="GN384" s="996">
        <v>0</v>
      </c>
      <c r="GO384" s="1006"/>
      <c r="GP384" s="996">
        <v>0</v>
      </c>
      <c r="GQ384" s="1006"/>
      <c r="GR384" s="996">
        <v>-0.17718794280000072</v>
      </c>
      <c r="GS384" s="1006"/>
      <c r="GT384" s="996">
        <v>-3.3439999999998804E-2</v>
      </c>
      <c r="GU384" s="1006"/>
      <c r="GV384" s="996">
        <v>0.8694399999999991</v>
      </c>
      <c r="GW384" s="1006" t="s">
        <v>199</v>
      </c>
      <c r="GX384" s="996">
        <v>2.7823751999999997</v>
      </c>
      <c r="GY384" s="1006" t="s">
        <v>199</v>
      </c>
      <c r="GZ384" s="996">
        <v>-2.5345011999999993</v>
      </c>
      <c r="HA384" s="1006"/>
      <c r="HB384" s="996">
        <v>0</v>
      </c>
      <c r="HC384" s="1006" t="s">
        <v>223</v>
      </c>
      <c r="HD384" s="996">
        <v>-1.2049268</v>
      </c>
      <c r="HE384" s="1006" t="s">
        <v>204</v>
      </c>
      <c r="HF384" s="996">
        <v>-1.3670271999999999</v>
      </c>
      <c r="HG384" s="1006"/>
      <c r="HH384" s="996">
        <v>0</v>
      </c>
      <c r="HI384" s="1006"/>
      <c r="HJ384" s="996">
        <v>0</v>
      </c>
      <c r="HK384" s="1006"/>
      <c r="HL384" s="996">
        <v>0</v>
      </c>
      <c r="HM384" s="1006"/>
      <c r="HN384" s="996">
        <v>-0.14713599999999971</v>
      </c>
      <c r="HO384" s="1006" t="s">
        <v>199</v>
      </c>
      <c r="HP384" s="996">
        <v>1.2422959999999987</v>
      </c>
      <c r="HQ384" s="1006"/>
      <c r="HR384" s="996">
        <v>0</v>
      </c>
      <c r="HS384" s="1006" t="s">
        <v>203</v>
      </c>
      <c r="HT384" s="996">
        <v>-1.6134799999999982</v>
      </c>
      <c r="HU384" s="1006" t="s">
        <v>203</v>
      </c>
      <c r="HV384" s="996">
        <v>-3.1714914000000007</v>
      </c>
      <c r="HW384" s="1006" t="s">
        <v>25</v>
      </c>
      <c r="HX384" s="996">
        <v>4.4355233999999992</v>
      </c>
      <c r="HY384" s="1006"/>
      <c r="HZ384" s="996">
        <v>0</v>
      </c>
      <c r="IA384" s="1006"/>
      <c r="IB384" s="996">
        <v>0</v>
      </c>
      <c r="IC384" s="1006"/>
      <c r="ID384" s="996">
        <v>0</v>
      </c>
      <c r="IE384" s="1006"/>
      <c r="IF384" s="996">
        <v>0</v>
      </c>
      <c r="IG384" s="1006" t="s">
        <v>199</v>
      </c>
      <c r="IH384" s="996">
        <v>-1.3643519999999985</v>
      </c>
      <c r="II384" s="1006"/>
      <c r="IJ384" s="996">
        <v>0</v>
      </c>
      <c r="IK384" s="1006"/>
      <c r="IL384" s="996">
        <v>0</v>
      </c>
      <c r="IM384" s="1006"/>
      <c r="IN384" s="996">
        <v>0</v>
      </c>
      <c r="IO384" s="1006"/>
      <c r="IP384" s="996">
        <v>-0.85690000000000133</v>
      </c>
      <c r="IQ384" s="1006"/>
      <c r="IR384" s="996">
        <v>0</v>
      </c>
      <c r="IS384" s="1006"/>
      <c r="IT384" s="996">
        <v>0.75657999999999959</v>
      </c>
      <c r="IU384" s="1006"/>
      <c r="IV384" s="996">
        <v>0</v>
      </c>
      <c r="IW384" s="1006"/>
      <c r="IX384" s="996">
        <v>0</v>
      </c>
      <c r="IY384" s="1006"/>
      <c r="IZ384" s="996">
        <v>0</v>
      </c>
      <c r="JA384" s="1006" t="s">
        <v>223</v>
      </c>
      <c r="JB384" s="996">
        <v>-6.5726319999999987</v>
      </c>
      <c r="JC384" s="1006"/>
      <c r="JD384" s="996">
        <v>1.769757659999998</v>
      </c>
      <c r="JE384" s="1006"/>
      <c r="JF384" s="996">
        <v>0</v>
      </c>
      <c r="JG384" s="1006"/>
      <c r="JH384" s="996">
        <v>0</v>
      </c>
      <c r="JI384" s="1006"/>
      <c r="JJ384" s="996">
        <v>0</v>
      </c>
      <c r="JK384" s="1007"/>
      <c r="JL384" s="1007">
        <v>0</v>
      </c>
      <c r="JM384" s="1007"/>
      <c r="JN384" s="1007">
        <v>0</v>
      </c>
      <c r="JO384" s="1008"/>
      <c r="JP384" s="1007">
        <v>-1.1964413999999977</v>
      </c>
      <c r="JQ384" s="1008">
        <v>0</v>
      </c>
      <c r="JR384" s="1007">
        <v>0</v>
      </c>
      <c r="JS384" s="1008">
        <v>0</v>
      </c>
      <c r="JT384" s="1007">
        <v>-1.6943630000003651E-3</v>
      </c>
      <c r="JU384" s="1008" t="s">
        <v>25</v>
      </c>
      <c r="JV384" s="1007">
        <v>15.732050102999999</v>
      </c>
      <c r="JW384" s="1008" t="s">
        <v>197</v>
      </c>
      <c r="JX384" s="1007">
        <v>0</v>
      </c>
      <c r="JY384" s="1008"/>
      <c r="JZ384" s="1007">
        <v>0</v>
      </c>
      <c r="KA384" s="1008"/>
      <c r="KB384" s="1007">
        <v>0</v>
      </c>
      <c r="KC384" s="1008"/>
      <c r="KD384" s="1007">
        <v>0</v>
      </c>
      <c r="KE384" s="1008"/>
      <c r="KF384" s="1007">
        <v>0</v>
      </c>
      <c r="KG384" s="1008"/>
      <c r="KH384" s="1007">
        <v>-14.212</v>
      </c>
      <c r="KI384" s="1008"/>
      <c r="KJ384" s="1007">
        <v>0</v>
      </c>
      <c r="KK384" s="1008" t="s">
        <v>435</v>
      </c>
      <c r="KL384" s="1007">
        <v>4.18</v>
      </c>
      <c r="KM384" s="1008" t="s">
        <v>1527</v>
      </c>
      <c r="KN384" s="1007">
        <v>-7.6080000000000005</v>
      </c>
      <c r="KO384" s="1008" t="s">
        <v>206</v>
      </c>
      <c r="KP384" s="1007">
        <v>1.9573268000000006</v>
      </c>
      <c r="KQ384" s="1008">
        <v>0</v>
      </c>
      <c r="KR384" s="1007">
        <v>0</v>
      </c>
      <c r="KS384" s="1008" t="s">
        <v>206</v>
      </c>
      <c r="KT384" s="1007">
        <v>-2.868336900000001</v>
      </c>
      <c r="KU384" s="1008">
        <v>0</v>
      </c>
      <c r="KV384" s="1007">
        <v>0</v>
      </c>
      <c r="KW384" s="1008">
        <v>0</v>
      </c>
      <c r="KX384" s="1007">
        <v>0</v>
      </c>
      <c r="KY384" s="1008" t="s">
        <v>206</v>
      </c>
      <c r="KZ384" s="1007">
        <v>-2.0714575199999992</v>
      </c>
      <c r="LA384" s="1008" t="s">
        <v>206</v>
      </c>
      <c r="LB384" s="1007">
        <v>-1.1545828799999995</v>
      </c>
      <c r="LC384" s="1008">
        <v>0</v>
      </c>
      <c r="LD384" s="1007">
        <v>0</v>
      </c>
      <c r="LE384" s="1008">
        <v>0</v>
      </c>
      <c r="LF384" s="1007">
        <v>0</v>
      </c>
      <c r="LG384" s="1008" t="s">
        <v>204</v>
      </c>
      <c r="LH384" s="1007">
        <v>0.83774724199999995</v>
      </c>
      <c r="LI384" s="1008">
        <v>0</v>
      </c>
      <c r="LJ384" s="1007">
        <v>0</v>
      </c>
      <c r="LK384" s="1008">
        <v>0</v>
      </c>
      <c r="LL384" s="1007">
        <v>0</v>
      </c>
      <c r="LM384" s="1008" t="s">
        <v>203</v>
      </c>
      <c r="LN384" s="1007">
        <v>-2.8424</v>
      </c>
      <c r="LO384" s="1008">
        <v>0</v>
      </c>
      <c r="LP384" s="1007">
        <v>0</v>
      </c>
      <c r="LQ384" s="1008" t="s">
        <v>204</v>
      </c>
      <c r="LR384" s="1007">
        <v>2.11816</v>
      </c>
      <c r="LS384" s="1008">
        <v>0</v>
      </c>
      <c r="LT384" s="1007">
        <v>-0.22241610000000001</v>
      </c>
      <c r="LU384" s="1008" t="s">
        <v>349</v>
      </c>
      <c r="LV384" s="1007">
        <v>-2.7989199999999999</v>
      </c>
      <c r="LW384" s="1008">
        <v>0</v>
      </c>
      <c r="LX384" s="1007">
        <v>0</v>
      </c>
      <c r="LY384" s="1009">
        <v>0</v>
      </c>
      <c r="LZ384" s="1010">
        <v>0</v>
      </c>
      <c r="MA384" s="1011" t="s">
        <v>25</v>
      </c>
      <c r="MB384" s="1012">
        <v>25.225200000000001</v>
      </c>
      <c r="MC384" s="995"/>
      <c r="MD384" s="996"/>
      <c r="ME384" s="997" t="s">
        <v>220</v>
      </c>
      <c r="MF384" s="997"/>
      <c r="MG384" s="998"/>
      <c r="NR384" s="1000"/>
      <c r="NS384" s="1000"/>
      <c r="NT384" s="1001"/>
      <c r="NU384" s="1000"/>
      <c r="NV384" s="1001"/>
      <c r="NX384" s="1002"/>
      <c r="NZ384" s="1001"/>
      <c r="OA384" s="1001"/>
      <c r="OC384" s="1003"/>
      <c r="OD384" s="1003"/>
      <c r="OE384" s="1001"/>
      <c r="OF384" s="1003"/>
      <c r="OG384" s="1003"/>
      <c r="QX384" s="1000">
        <f>CN384-CA384</f>
        <v>21</v>
      </c>
      <c r="ASU384" s="999" t="s">
        <v>208</v>
      </c>
    </row>
    <row r="385" spans="1:466 1191:1191" ht="21" customHeight="1" x14ac:dyDescent="0.25">
      <c r="A385" s="982">
        <f t="shared" si="274"/>
        <v>1427</v>
      </c>
      <c r="B385" s="124">
        <f>SUBTOTAL(103,$J$29:J385)</f>
        <v>357</v>
      </c>
      <c r="C385" s="126">
        <v>45068</v>
      </c>
      <c r="D385" s="124" t="s">
        <v>176</v>
      </c>
      <c r="E385" s="127" t="s">
        <v>177</v>
      </c>
      <c r="F385" s="128" t="s">
        <v>177</v>
      </c>
      <c r="G385" s="127" t="s">
        <v>178</v>
      </c>
      <c r="H385" s="127" t="s">
        <v>179</v>
      </c>
      <c r="I385" s="127" t="s">
        <v>1521</v>
      </c>
      <c r="J385" s="152">
        <v>1427</v>
      </c>
      <c r="K385" s="127" t="s">
        <v>1521</v>
      </c>
      <c r="L385" s="130">
        <v>42734</v>
      </c>
      <c r="M385" s="127" t="s">
        <v>230</v>
      </c>
      <c r="N385" s="127" t="s">
        <v>184</v>
      </c>
      <c r="O385" s="127" t="s">
        <v>185</v>
      </c>
      <c r="P385" s="127" t="s">
        <v>186</v>
      </c>
      <c r="Q385" s="85" t="str">
        <f t="shared" si="297"/>
        <v/>
      </c>
      <c r="R385" s="130"/>
      <c r="S385" s="128"/>
      <c r="T385" s="131"/>
      <c r="U385" s="132">
        <v>203</v>
      </c>
      <c r="V385" s="121">
        <v>218.2</v>
      </c>
      <c r="W385" s="116">
        <v>0.98</v>
      </c>
      <c r="X385" s="116">
        <v>1.66</v>
      </c>
      <c r="Y385" s="116">
        <f t="shared" si="299"/>
        <v>0.98</v>
      </c>
      <c r="Z385" s="133">
        <v>1.454</v>
      </c>
      <c r="AA385" s="133">
        <v>0.83599999999999997</v>
      </c>
      <c r="AB385" s="133">
        <v>0.72</v>
      </c>
      <c r="AC385" s="121">
        <v>34.299999999999997</v>
      </c>
      <c r="AD385" s="134">
        <v>1.17</v>
      </c>
      <c r="AE385" s="124">
        <v>177.8</v>
      </c>
      <c r="AF385" s="128">
        <v>9.19</v>
      </c>
      <c r="AG385" s="128">
        <v>2106</v>
      </c>
      <c r="AH385" s="127">
        <v>2706</v>
      </c>
      <c r="AI385" s="127">
        <v>2706</v>
      </c>
      <c r="AJ385" s="135"/>
      <c r="AK385" s="128"/>
      <c r="AL385" s="131"/>
      <c r="AM385" s="124" t="s">
        <v>232</v>
      </c>
      <c r="AN385" s="136" t="s">
        <v>1528</v>
      </c>
      <c r="AO385" s="137">
        <v>22.98</v>
      </c>
      <c r="AP385" s="128">
        <v>2106</v>
      </c>
      <c r="AQ385" s="128">
        <v>416.6</v>
      </c>
      <c r="AR385" s="128"/>
      <c r="AS385" s="128"/>
      <c r="AT385" s="122"/>
      <c r="AU385" s="124" t="s">
        <v>189</v>
      </c>
      <c r="AV385" s="115">
        <f>VLOOKUP(J385,'[63]ТР нефть'!$J$28:$BP$638,39,0)</f>
        <v>499.99999218800002</v>
      </c>
      <c r="AW385" s="115" t="str">
        <f>VLOOKUP(J385,'[63]ТР нефть'!$J$28:$BP$638,40,0)</f>
        <v>ГП</v>
      </c>
      <c r="AX385" s="115">
        <f>VLOOKUP(J385,'[63]ТР нефть'!$J$28:$BP$638,41,0)</f>
        <v>899.99998593800001</v>
      </c>
      <c r="AY385" s="115" t="str">
        <f>VLOOKUP(J385,'[63]ТР нефть'!$J$28:$BP$638,42,0)</f>
        <v>ГП</v>
      </c>
      <c r="AZ385" s="115">
        <f>VLOOKUP(J385,'[63]ТР нефть'!$J$28:$BP$638,43,0)</f>
        <v>1220.000025586</v>
      </c>
      <c r="BA385" s="115" t="str">
        <f>VLOOKUP(J385,'[63]ТР нефть'!$J$28:$BP$638,44,0)</f>
        <v>ГП</v>
      </c>
      <c r="BB385" s="115">
        <f>VLOOKUP(J385,'[63]ТР нефть'!$J$28:$BP$638,45,0)</f>
        <v>1480.000006641</v>
      </c>
      <c r="BC385" s="115" t="str">
        <f>VLOOKUP(J385,'[63]ТР нефть'!$J$28:$BP$638,46,0)</f>
        <v>ГП</v>
      </c>
      <c r="BD385" s="115">
        <f>VLOOKUP(J385,'[63]ТР нефть'!$J$28:$BP$638,47,0)</f>
        <v>1749.999972656</v>
      </c>
      <c r="BE385" s="115" t="str">
        <f>VLOOKUP(J385,'[63]ТР нефть'!$J$28:$BP$638,48,0)</f>
        <v>ЦКсОК 5/16</v>
      </c>
      <c r="BF385" s="115" t="str">
        <f>VLOOKUP(J385,'[63]ТР нефть'!$J$28:$BP$638,49,0)</f>
        <v>-</v>
      </c>
      <c r="BG385" s="115" t="str">
        <f>VLOOKUP(J385,'[63]ТР нефть'!$J$28:$BP$638,50,0)</f>
        <v>-</v>
      </c>
      <c r="BH385" s="115">
        <f>VLOOKUP(J385,'[63]ТР нефть'!$J$28:$BP$638,51,0)</f>
        <v>1820</v>
      </c>
      <c r="BI385" s="115" t="str">
        <f>VLOOKUP(J385,'[63]ТР нефть'!$J$28:$BP$638,52,0)</f>
        <v>закрыт</v>
      </c>
      <c r="BJ385" s="115" t="str">
        <f>IF(IFERROR(VLOOKUP(J385,'[63]ТР нефть'!$J$28:$BP$638,53,0),"-")=0,"-",IFERROR(VLOOKUP(J385,'[63]ТР нефть'!$J$28:$BP$638,53,0),"-"))</f>
        <v>-</v>
      </c>
      <c r="BK385" s="138" t="str">
        <f>IF(IFERROR(VLOOKUP(J385,'[63]ТР нефть'!$J$28:$BP$638,54,0),"-")=0,"-",IFERROR(VLOOKUP(J385,'[63]ТР нефть'!$J$28:$BP$638,54,0),"-"))</f>
        <v>-</v>
      </c>
      <c r="BL385" s="138" t="str">
        <f>IF(IFERROR(VLOOKUP(J385,'[63]ТР нефть'!$J$28:$BP$638,55,0),"-")=0,"-",IFERROR(VLOOKUP(J385,'[63]ТР нефть'!$J$28:$BP$638,55,0),"-"))</f>
        <v>-</v>
      </c>
      <c r="BM385" s="138" t="str">
        <f>IF(IFERROR(VLOOKUP(J385,'[63]ТР нефть'!$J$28:$BP$638,56,0),"-")=0,"-",IFERROR(VLOOKUP(J385,'[63]ТР нефть'!$J$28:$BP$638,56,0),"-"))</f>
        <v>-</v>
      </c>
      <c r="BN385" s="138" t="str">
        <f>IF(IFERROR(VLOOKUP(J385,'[63]ТР нефть'!$J$28:$BP$638,57,0),"-")=0,"-",IFERROR(VLOOKUP(J385,'[63]ТР нефть'!$J$28:$BP$638,57,0),"-"))</f>
        <v>-</v>
      </c>
      <c r="BO385" s="115" t="str">
        <f>IF(IFERROR(VLOOKUP(J385,'[63]ТР нефть'!$J$28:$BP$638,58,0),"-")=0,"-",IFERROR(VLOOKUP(J385,'[63]ТР нефть'!$J$28:$BP$638,58,0),"-"))</f>
        <v>-</v>
      </c>
      <c r="BP385" s="115" t="str">
        <f>IF(IFERROR(VLOOKUP(J385,'[63]ТР нефть'!$J$28:$BP$638,59,0),"-")=0,"-",IFERROR(VLOOKUP(J385,'[63]ТР нефть'!$J$28:$BP$638,59,0),"-"))</f>
        <v>-</v>
      </c>
      <c r="BQ385" s="138">
        <v>2280</v>
      </c>
      <c r="BR385" s="128">
        <v>1833.87</v>
      </c>
      <c r="BS385" s="115">
        <f t="shared" si="307"/>
        <v>446.13000000000011</v>
      </c>
      <c r="BT385" s="128">
        <v>73</v>
      </c>
      <c r="BU385" s="128">
        <v>5.5</v>
      </c>
      <c r="BV385" s="127">
        <v>18</v>
      </c>
      <c r="BW385" s="127" t="s">
        <v>217</v>
      </c>
      <c r="BX385" s="127" t="s">
        <v>195</v>
      </c>
      <c r="BY385" s="139">
        <v>24</v>
      </c>
      <c r="BZ385" s="139">
        <v>0</v>
      </c>
      <c r="CA385" s="80">
        <v>24</v>
      </c>
      <c r="CB385" s="138">
        <v>37</v>
      </c>
      <c r="CC385" s="138">
        <v>23</v>
      </c>
      <c r="CD385" s="135">
        <v>45017</v>
      </c>
      <c r="CE385" s="138">
        <v>91</v>
      </c>
      <c r="CF385" s="138">
        <v>76</v>
      </c>
      <c r="CG385" s="138" t="str">
        <f t="shared" si="265"/>
        <v>В работе</v>
      </c>
      <c r="CH385" s="138" t="s">
        <v>196</v>
      </c>
      <c r="CI385" s="127">
        <v>5</v>
      </c>
      <c r="CJ385" s="138"/>
      <c r="CK385" s="138">
        <f t="shared" si="308"/>
        <v>20</v>
      </c>
      <c r="CL385" s="99"/>
      <c r="CM385" s="99"/>
      <c r="CN385" s="140">
        <v>44</v>
      </c>
      <c r="CO385" s="141">
        <f t="shared" si="276"/>
        <v>4.18</v>
      </c>
      <c r="CP385" s="142">
        <v>5</v>
      </c>
      <c r="CQ385" s="143">
        <v>0</v>
      </c>
      <c r="CR385" s="138">
        <v>19.32</v>
      </c>
      <c r="CS385" s="139">
        <v>7.2</v>
      </c>
      <c r="CT385" s="138"/>
      <c r="CU385" s="138">
        <f t="shared" si="277"/>
        <v>12.120000000000001</v>
      </c>
      <c r="CV385" s="115">
        <f t="shared" si="278"/>
        <v>2899.521531100479</v>
      </c>
      <c r="CW385" s="115">
        <f t="shared" si="279"/>
        <v>1722.488038277512</v>
      </c>
      <c r="CX385" s="133">
        <f t="shared" si="280"/>
        <v>0.10638297872340426</v>
      </c>
      <c r="CY385" s="116"/>
      <c r="CZ385" s="131"/>
      <c r="DA385" s="145" t="str">
        <f t="shared" si="281"/>
        <v>Газлифт</v>
      </c>
      <c r="DB385" s="146">
        <f t="shared" si="282"/>
        <v>4.18</v>
      </c>
      <c r="DC385" s="142">
        <f t="shared" si="302"/>
        <v>5</v>
      </c>
      <c r="DD385" s="119">
        <f t="shared" si="303"/>
        <v>0</v>
      </c>
      <c r="DE385" s="115">
        <f t="shared" si="283"/>
        <v>12.120000000000001</v>
      </c>
      <c r="DF385" s="121">
        <f t="shared" si="284"/>
        <v>7.2</v>
      </c>
      <c r="DG385" s="115">
        <f t="shared" si="285"/>
        <v>2899.521531100479</v>
      </c>
      <c r="DH385" s="115">
        <f t="shared" si="286"/>
        <v>44</v>
      </c>
      <c r="DI385" s="147"/>
      <c r="DJ385" s="111">
        <v>43506</v>
      </c>
      <c r="DK385" s="112">
        <v>42734</v>
      </c>
      <c r="DL385" s="113">
        <f t="shared" ca="1" si="266"/>
        <v>2370</v>
      </c>
      <c r="DM385" s="114"/>
      <c r="DN385" s="114"/>
      <c r="DO385" s="114"/>
      <c r="DP385" s="114"/>
      <c r="DQ385" s="112">
        <v>43274</v>
      </c>
      <c r="DR385" s="114" t="s">
        <v>198</v>
      </c>
      <c r="DS385" s="114"/>
      <c r="DT385" s="115">
        <v>55</v>
      </c>
      <c r="DU385" s="116">
        <f t="shared" si="267"/>
        <v>0.1388888888888889</v>
      </c>
      <c r="DV385" s="117">
        <f t="shared" si="268"/>
        <v>4.18</v>
      </c>
      <c r="DW385" s="118">
        <f t="shared" si="269"/>
        <v>5</v>
      </c>
      <c r="DX385" s="119">
        <f t="shared" si="287"/>
        <v>0</v>
      </c>
      <c r="DY385" s="115">
        <f t="shared" si="270"/>
        <v>12.120000000000001</v>
      </c>
      <c r="DZ385" s="117">
        <f t="shared" si="305"/>
        <v>0</v>
      </c>
      <c r="EA385" s="120">
        <f t="shared" si="305"/>
        <v>0</v>
      </c>
      <c r="EB385" s="119">
        <f t="shared" si="264"/>
        <v>0</v>
      </c>
      <c r="EC385" s="121">
        <f t="shared" si="272"/>
        <v>0</v>
      </c>
      <c r="ED385" s="122"/>
      <c r="EE385" s="145">
        <v>18</v>
      </c>
      <c r="EF385" s="148">
        <v>24</v>
      </c>
      <c r="EG385" s="115">
        <v>40</v>
      </c>
      <c r="EH385" s="115">
        <v>23</v>
      </c>
      <c r="EI385" s="128" t="s">
        <v>195</v>
      </c>
      <c r="EJ385" s="121">
        <v>24</v>
      </c>
      <c r="EK385" s="121">
        <v>0</v>
      </c>
      <c r="EL385" s="149">
        <v>4.18</v>
      </c>
      <c r="EM385" s="142">
        <v>5</v>
      </c>
      <c r="EN385" s="119">
        <v>0</v>
      </c>
      <c r="EO385" s="115">
        <v>19.32</v>
      </c>
      <c r="EP385" s="115">
        <v>2899.521531100479</v>
      </c>
      <c r="EQ385" s="115">
        <v>76</v>
      </c>
      <c r="ER385" s="115">
        <v>7.2</v>
      </c>
      <c r="ES385" s="115">
        <v>44</v>
      </c>
      <c r="ET385" s="150">
        <v>0.10638297872340426</v>
      </c>
      <c r="EU385" s="145">
        <f t="shared" si="288"/>
        <v>18</v>
      </c>
      <c r="EV385" s="115">
        <f t="shared" si="289"/>
        <v>24</v>
      </c>
      <c r="EW385" s="115">
        <f t="shared" si="289"/>
        <v>37</v>
      </c>
      <c r="EX385" s="115">
        <f t="shared" si="289"/>
        <v>23</v>
      </c>
      <c r="EY385" s="115" t="str">
        <f t="shared" si="309"/>
        <v>Постоянный</v>
      </c>
      <c r="EZ385" s="115">
        <f t="shared" si="309"/>
        <v>24</v>
      </c>
      <c r="FA385" s="115">
        <f t="shared" si="309"/>
        <v>0</v>
      </c>
      <c r="FB385" s="149">
        <f t="shared" si="298"/>
        <v>4.18</v>
      </c>
      <c r="FC385" s="142">
        <f t="shared" si="298"/>
        <v>5</v>
      </c>
      <c r="FD385" s="119">
        <f t="shared" si="298"/>
        <v>0</v>
      </c>
      <c r="FE385" s="121">
        <f t="shared" si="298"/>
        <v>19.32</v>
      </c>
      <c r="FF385" s="121">
        <f t="shared" si="300"/>
        <v>2899.521531100479</v>
      </c>
      <c r="FG385" s="121">
        <f t="shared" si="290"/>
        <v>76</v>
      </c>
      <c r="FH385" s="121">
        <f t="shared" si="301"/>
        <v>7.2</v>
      </c>
      <c r="FI385" s="121">
        <f t="shared" si="306"/>
        <v>44</v>
      </c>
      <c r="FJ385" s="144">
        <f t="shared" si="291"/>
        <v>0.10638297872340426</v>
      </c>
      <c r="FK385" s="132">
        <f t="shared" si="292"/>
        <v>0</v>
      </c>
      <c r="FL385" s="115">
        <f t="shared" si="292"/>
        <v>0</v>
      </c>
      <c r="FM385" s="115">
        <f t="shared" si="292"/>
        <v>-3</v>
      </c>
      <c r="FN385" s="115">
        <f t="shared" si="273"/>
        <v>0</v>
      </c>
      <c r="FO385" s="115">
        <f t="shared" si="257"/>
        <v>0</v>
      </c>
      <c r="FP385" s="115">
        <f t="shared" si="257"/>
        <v>0</v>
      </c>
      <c r="FQ385" s="149">
        <f t="shared" si="257"/>
        <v>0</v>
      </c>
      <c r="FR385" s="142">
        <f t="shared" si="256"/>
        <v>0</v>
      </c>
      <c r="FS385" s="119">
        <f t="shared" si="256"/>
        <v>0</v>
      </c>
      <c r="FT385" s="121">
        <f t="shared" si="256"/>
        <v>0</v>
      </c>
      <c r="FU385" s="121">
        <f t="shared" si="293"/>
        <v>0</v>
      </c>
      <c r="FV385" s="121">
        <f t="shared" si="293"/>
        <v>0</v>
      </c>
      <c r="FW385" s="121">
        <f t="shared" si="294"/>
        <v>0</v>
      </c>
      <c r="FX385" s="121">
        <f t="shared" si="295"/>
        <v>0</v>
      </c>
      <c r="FY385" s="144">
        <f t="shared" si="295"/>
        <v>0</v>
      </c>
      <c r="FZ385" s="145"/>
      <c r="GA385" s="151" t="s">
        <v>1529</v>
      </c>
      <c r="GB385" s="145"/>
      <c r="GC385" s="151"/>
      <c r="GD385" s="997" t="s">
        <v>220</v>
      </c>
      <c r="GE385" s="1004"/>
      <c r="GF385" s="1004">
        <v>-0.50159999999999982</v>
      </c>
      <c r="GG385" s="1004"/>
      <c r="GH385" s="1004">
        <v>0</v>
      </c>
      <c r="GI385" s="145"/>
      <c r="GJ385" s="996">
        <v>0</v>
      </c>
      <c r="GK385" s="145" t="s">
        <v>204</v>
      </c>
      <c r="GL385" s="996">
        <v>-0.99483999999999995</v>
      </c>
      <c r="GM385" s="1005" t="s">
        <v>221</v>
      </c>
      <c r="GN385" s="996">
        <v>-2.3933208640000014</v>
      </c>
      <c r="GO385" s="1006"/>
      <c r="GP385" s="996">
        <v>0</v>
      </c>
      <c r="GQ385" s="1006" t="s">
        <v>314</v>
      </c>
      <c r="GR385" s="996">
        <v>5.3987408640000005</v>
      </c>
      <c r="GS385" s="1006"/>
      <c r="GT385" s="996">
        <v>0</v>
      </c>
      <c r="GU385" s="1006"/>
      <c r="GV385" s="996">
        <v>-0.16719999999999979</v>
      </c>
      <c r="GW385" s="1006"/>
      <c r="GX385" s="996">
        <v>0.29259999999999975</v>
      </c>
      <c r="GY385" s="1006" t="s">
        <v>199</v>
      </c>
      <c r="GZ385" s="996">
        <v>-2.5882559999999999</v>
      </c>
      <c r="HA385" s="1006"/>
      <c r="HB385" s="996">
        <v>0</v>
      </c>
      <c r="HC385" s="1006" t="s">
        <v>223</v>
      </c>
      <c r="HD385" s="996">
        <v>-2.1644040000000002</v>
      </c>
      <c r="HE385" s="1006"/>
      <c r="HF385" s="996">
        <v>0</v>
      </c>
      <c r="HG385" s="1006" t="s">
        <v>223</v>
      </c>
      <c r="HH385" s="996">
        <v>-1.6301999999999985</v>
      </c>
      <c r="HI385" s="1006" t="s">
        <v>221</v>
      </c>
      <c r="HJ385" s="996">
        <v>-5.325453760000002</v>
      </c>
      <c r="HK385" s="1006" t="s">
        <v>221</v>
      </c>
      <c r="HL385" s="996">
        <v>8.8851417600000016</v>
      </c>
      <c r="HM385" s="1006" t="s">
        <v>308</v>
      </c>
      <c r="HN385" s="996">
        <v>2.0247919999999993</v>
      </c>
      <c r="HO385" s="1006"/>
      <c r="HP385" s="996">
        <v>0</v>
      </c>
      <c r="HQ385" s="1006"/>
      <c r="HR385" s="996">
        <v>0</v>
      </c>
      <c r="HS385" s="1006" t="s">
        <v>223</v>
      </c>
      <c r="HT385" s="996">
        <v>-1.6720000000000002</v>
      </c>
      <c r="HU385" s="1006"/>
      <c r="HV385" s="996">
        <v>0</v>
      </c>
      <c r="HW385" s="1006"/>
      <c r="HX385" s="996">
        <v>0</v>
      </c>
      <c r="HY385" s="1006"/>
      <c r="HZ385" s="996">
        <v>0</v>
      </c>
      <c r="IA385" s="1006"/>
      <c r="IB385" s="996">
        <v>0</v>
      </c>
      <c r="IC385" s="1006"/>
      <c r="ID385" s="996">
        <v>0</v>
      </c>
      <c r="IE385" s="1006"/>
      <c r="IF385" s="996">
        <v>0</v>
      </c>
      <c r="IG385" s="1006"/>
      <c r="IH385" s="996">
        <v>0</v>
      </c>
      <c r="II385" s="1006"/>
      <c r="IJ385" s="996">
        <v>0</v>
      </c>
      <c r="IK385" s="1006" t="s">
        <v>199</v>
      </c>
      <c r="IL385" s="996">
        <v>1.4212000000000002</v>
      </c>
      <c r="IM385" s="1006" t="s">
        <v>199</v>
      </c>
      <c r="IN385" s="996">
        <v>-1.3710399999999994</v>
      </c>
      <c r="IO385" s="1006"/>
      <c r="IP385" s="996">
        <v>-5.0160000000000871E-2</v>
      </c>
      <c r="IQ385" s="1006"/>
      <c r="IR385" s="996">
        <v>-0.66879999999999917</v>
      </c>
      <c r="IS385" s="1006"/>
      <c r="IT385" s="996">
        <v>0.83599999999999941</v>
      </c>
      <c r="IU385" s="1006" t="s">
        <v>199</v>
      </c>
      <c r="IV385" s="996">
        <v>-1.0031999999999996</v>
      </c>
      <c r="IW385" s="1006"/>
      <c r="IX385" s="996">
        <v>0</v>
      </c>
      <c r="IY385" s="1006"/>
      <c r="IZ385" s="996">
        <v>0.41799999999999926</v>
      </c>
      <c r="JA385" s="1006"/>
      <c r="JB385" s="996">
        <v>0</v>
      </c>
      <c r="JC385" s="1006"/>
      <c r="JD385" s="996">
        <v>0</v>
      </c>
      <c r="JE385" s="1006"/>
      <c r="JF385" s="996">
        <v>0</v>
      </c>
      <c r="JG385" s="1006"/>
      <c r="JH385" s="996">
        <v>0</v>
      </c>
      <c r="JI385" s="1006"/>
      <c r="JJ385" s="996">
        <v>0</v>
      </c>
      <c r="JK385" s="1007"/>
      <c r="JL385" s="1007">
        <v>0</v>
      </c>
      <c r="JM385" s="1007"/>
      <c r="JN385" s="1007">
        <v>0</v>
      </c>
      <c r="JO385" s="1008"/>
      <c r="JP385" s="1007">
        <v>0</v>
      </c>
      <c r="JQ385" s="1008">
        <v>0</v>
      </c>
      <c r="JR385" s="1007">
        <v>0</v>
      </c>
      <c r="JS385" s="1008">
        <v>0</v>
      </c>
      <c r="JT385" s="1007">
        <v>0</v>
      </c>
      <c r="JU385" s="1008"/>
      <c r="JV385" s="1007">
        <v>0</v>
      </c>
      <c r="JW385" s="1008" t="s">
        <v>197</v>
      </c>
      <c r="JX385" s="1007">
        <v>0</v>
      </c>
      <c r="JY385" s="1008"/>
      <c r="JZ385" s="1007">
        <v>0</v>
      </c>
      <c r="KA385" s="1008"/>
      <c r="KB385" s="1007">
        <v>0</v>
      </c>
      <c r="KC385" s="1008"/>
      <c r="KD385" s="1007">
        <v>0</v>
      </c>
      <c r="KE385" s="1008" t="s">
        <v>204</v>
      </c>
      <c r="KF385" s="1007">
        <v>-0.41799999999999926</v>
      </c>
      <c r="KG385" s="1008" t="s">
        <v>207</v>
      </c>
      <c r="KH385" s="1007">
        <v>0.83599999999999941</v>
      </c>
      <c r="KI385" s="1008" t="s">
        <v>207</v>
      </c>
      <c r="KJ385" s="1007">
        <v>-1.6352159999999998</v>
      </c>
      <c r="KK385" s="1008"/>
      <c r="KL385" s="1007">
        <v>0</v>
      </c>
      <c r="KM385" s="1008" t="s">
        <v>207</v>
      </c>
      <c r="KN385" s="1007">
        <v>-5.8198140000000009</v>
      </c>
      <c r="KO385" s="1008" t="s">
        <v>203</v>
      </c>
      <c r="KP385" s="1007">
        <v>-4.9884120000000021</v>
      </c>
      <c r="KQ385" s="1008" t="s">
        <v>25</v>
      </c>
      <c r="KR385" s="1007">
        <v>3.2424678000000018</v>
      </c>
      <c r="KS385" s="1008">
        <v>0</v>
      </c>
      <c r="KT385" s="1007">
        <v>0</v>
      </c>
      <c r="KU385" s="1008">
        <v>0</v>
      </c>
      <c r="KV385" s="1007">
        <v>0</v>
      </c>
      <c r="KW385" s="1008">
        <v>0</v>
      </c>
      <c r="KX385" s="1007">
        <v>0</v>
      </c>
      <c r="KY385" s="1008">
        <v>0</v>
      </c>
      <c r="KZ385" s="1007">
        <v>-6.1471079999998679E-2</v>
      </c>
      <c r="LA385" s="1008" t="s">
        <v>206</v>
      </c>
      <c r="LB385" s="1007">
        <v>-0.61907472000000041</v>
      </c>
      <c r="LC385" s="1008">
        <v>0</v>
      </c>
      <c r="LD385" s="1007">
        <v>0</v>
      </c>
      <c r="LE385" s="1008">
        <v>0</v>
      </c>
      <c r="LF385" s="1007">
        <v>-2.2346279999999972</v>
      </c>
      <c r="LG385" s="1008">
        <v>0</v>
      </c>
      <c r="LH385" s="1007">
        <v>0</v>
      </c>
      <c r="LI385" s="1008">
        <v>0</v>
      </c>
      <c r="LJ385" s="1007">
        <v>0</v>
      </c>
      <c r="LK385" s="1008">
        <v>0</v>
      </c>
      <c r="LL385" s="1007">
        <v>-0.38899860000000003</v>
      </c>
      <c r="LM385" s="1008" t="s">
        <v>240</v>
      </c>
      <c r="LN385" s="1007">
        <v>-2.3422200000000002</v>
      </c>
      <c r="LO385" s="1008">
        <v>0</v>
      </c>
      <c r="LP385" s="1007">
        <v>0</v>
      </c>
      <c r="LQ385" s="1008">
        <v>0</v>
      </c>
      <c r="LR385" s="1007">
        <v>-0.41382099999999999</v>
      </c>
      <c r="LS385" s="1008" t="s">
        <v>206</v>
      </c>
      <c r="LT385" s="1007">
        <v>-2.4156</v>
      </c>
      <c r="LU385" s="1008">
        <v>0</v>
      </c>
      <c r="LV385" s="1007">
        <v>0</v>
      </c>
      <c r="LW385" s="1008">
        <v>0</v>
      </c>
      <c r="LX385" s="1007">
        <v>0</v>
      </c>
      <c r="LY385" s="1009" t="s">
        <v>206</v>
      </c>
      <c r="LZ385" s="1010">
        <v>-1.3242240000000045</v>
      </c>
      <c r="MA385" s="1011">
        <v>0</v>
      </c>
      <c r="MB385" s="1012">
        <v>0</v>
      </c>
      <c r="MC385" s="995"/>
      <c r="MD385" s="996"/>
      <c r="ME385" s="997" t="s">
        <v>220</v>
      </c>
      <c r="MF385" s="997"/>
      <c r="MG385" s="998"/>
      <c r="NR385" s="1000"/>
      <c r="NS385" s="1000"/>
      <c r="NT385" s="1001"/>
      <c r="NU385" s="1000"/>
      <c r="NV385" s="1001"/>
      <c r="NX385" s="1002"/>
      <c r="NZ385" s="1001"/>
      <c r="OA385" s="1001"/>
      <c r="OC385" s="1003"/>
      <c r="OD385" s="1003"/>
      <c r="OE385" s="1001"/>
      <c r="OF385" s="1003"/>
      <c r="OG385" s="1003"/>
      <c r="QX385" s="1000">
        <f>CN385-CA385</f>
        <v>20</v>
      </c>
      <c r="ASU385" s="999" t="s">
        <v>208</v>
      </c>
    </row>
    <row r="386" spans="1:466 1191:1191" ht="21" customHeight="1" x14ac:dyDescent="0.25">
      <c r="A386" s="982">
        <f t="shared" si="274"/>
        <v>1428</v>
      </c>
      <c r="B386" s="124">
        <f>SUBTOTAL(103,$J$29:J386)</f>
        <v>358</v>
      </c>
      <c r="C386" s="126">
        <v>45068</v>
      </c>
      <c r="D386" s="124" t="s">
        <v>176</v>
      </c>
      <c r="E386" s="127" t="s">
        <v>177</v>
      </c>
      <c r="F386" s="128" t="s">
        <v>177</v>
      </c>
      <c r="G386" s="127" t="s">
        <v>178</v>
      </c>
      <c r="H386" s="127" t="s">
        <v>179</v>
      </c>
      <c r="I386" s="127" t="s">
        <v>1417</v>
      </c>
      <c r="J386" s="152">
        <v>1428</v>
      </c>
      <c r="K386" s="127" t="s">
        <v>1417</v>
      </c>
      <c r="L386" s="130">
        <v>44079</v>
      </c>
      <c r="M386" s="127" t="s">
        <v>230</v>
      </c>
      <c r="N386" s="127" t="s">
        <v>184</v>
      </c>
      <c r="O386" s="127" t="s">
        <v>185</v>
      </c>
      <c r="P386" s="127" t="s">
        <v>186</v>
      </c>
      <c r="Q386" s="85" t="str">
        <f t="shared" si="297"/>
        <v/>
      </c>
      <c r="R386" s="130"/>
      <c r="S386" s="128"/>
      <c r="T386" s="131"/>
      <c r="U386" s="132">
        <v>203</v>
      </c>
      <c r="V386" s="121">
        <v>218.2</v>
      </c>
      <c r="W386" s="116">
        <v>0.98</v>
      </c>
      <c r="X386" s="116">
        <v>1.66</v>
      </c>
      <c r="Y386" s="116">
        <f t="shared" si="299"/>
        <v>0.98403097023953534</v>
      </c>
      <c r="Z386" s="133">
        <v>1.454</v>
      </c>
      <c r="AA386" s="133">
        <v>0.83599999999999997</v>
      </c>
      <c r="AB386" s="133">
        <v>0.72</v>
      </c>
      <c r="AC386" s="121">
        <v>34.299999999999997</v>
      </c>
      <c r="AD386" s="134">
        <v>1.17</v>
      </c>
      <c r="AE386" s="124">
        <v>177.8</v>
      </c>
      <c r="AF386" s="128">
        <v>9.19</v>
      </c>
      <c r="AG386" s="128">
        <v>2209</v>
      </c>
      <c r="AH386" s="127">
        <v>2834</v>
      </c>
      <c r="AI386" s="127">
        <v>2834</v>
      </c>
      <c r="AJ386" s="135"/>
      <c r="AK386" s="128"/>
      <c r="AL386" s="131"/>
      <c r="AM386" s="124" t="s">
        <v>232</v>
      </c>
      <c r="AN386" s="136" t="s">
        <v>1530</v>
      </c>
      <c r="AO386" s="137">
        <v>30.54</v>
      </c>
      <c r="AP386" s="128">
        <v>2209</v>
      </c>
      <c r="AQ386" s="128">
        <f>AP386-1807.83</f>
        <v>401.17000000000007</v>
      </c>
      <c r="AR386" s="128"/>
      <c r="AS386" s="128"/>
      <c r="AT386" s="122"/>
      <c r="AU386" s="124" t="s">
        <v>189</v>
      </c>
      <c r="AV386" s="115">
        <f>VLOOKUP(J386,'[63]ТР нефть'!$J$28:$BP$638,39,0)</f>
        <v>554.00000771500004</v>
      </c>
      <c r="AW386" s="115" t="str">
        <f>VLOOKUP(J386,'[63]ТР нефть'!$J$28:$BP$638,40,0)</f>
        <v>ГП</v>
      </c>
      <c r="AX386" s="115">
        <f>VLOOKUP(J386,'[63]ТР нефть'!$J$28:$BP$638,41,0)</f>
        <v>1090.999974023</v>
      </c>
      <c r="AY386" s="115" t="str">
        <f>VLOOKUP(J386,'[63]ТР нефть'!$J$28:$BP$638,42,0)</f>
        <v>ГП</v>
      </c>
      <c r="AZ386" s="115">
        <f>VLOOKUP(J386,'[63]ТР нефть'!$J$28:$BP$638,43,0)</f>
        <v>1391.00004375</v>
      </c>
      <c r="BA386" s="115" t="str">
        <f>VLOOKUP(J386,'[63]ТР нефть'!$J$28:$BP$638,44,0)</f>
        <v>ГК77 1/8</v>
      </c>
      <c r="BB386" s="115">
        <f>VLOOKUP(J386,'[63]ТР нефть'!$J$28:$BP$638,45,0)</f>
        <v>1730.000002734</v>
      </c>
      <c r="BC386" s="115" t="str">
        <f>VLOOKUP(J386,'[63]ТР нефть'!$J$28:$BP$638,46,0)</f>
        <v>ЦКсОК 5/16</v>
      </c>
      <c r="BD386" s="115" t="str">
        <f>VLOOKUP(J386,'[63]ТР нефть'!$J$28:$BP$638,47,0)</f>
        <v>-</v>
      </c>
      <c r="BE386" s="115" t="str">
        <f>VLOOKUP(J386,'[63]ТР нефть'!$J$28:$BP$638,48,0)</f>
        <v>-</v>
      </c>
      <c r="BF386" s="115" t="str">
        <f>VLOOKUP(J386,'[63]ТР нефть'!$J$28:$BP$638,49,0)</f>
        <v>-</v>
      </c>
      <c r="BG386" s="115" t="str">
        <f>VLOOKUP(J386,'[63]ТР нефть'!$J$28:$BP$638,50,0)</f>
        <v>-</v>
      </c>
      <c r="BH386" s="115" t="str">
        <f>VLOOKUP(J386,'[63]ТР нефть'!$J$28:$BP$638,51,0)</f>
        <v>-</v>
      </c>
      <c r="BI386" s="115" t="str">
        <f>VLOOKUP(J386,'[63]ТР нефть'!$J$28:$BP$638,52,0)</f>
        <v>-</v>
      </c>
      <c r="BJ386" s="115" t="str">
        <f>IF(IFERROR(VLOOKUP(J386,'[63]ТР нефть'!$J$28:$BP$638,53,0),"-")=0,"-",IFERROR(VLOOKUP(J386,'[63]ТР нефть'!$J$28:$BP$638,53,0),"-"))</f>
        <v>-</v>
      </c>
      <c r="BK386" s="138" t="str">
        <f>IF(IFERROR(VLOOKUP(J386,'[63]ТР нефть'!$J$28:$BP$638,54,0),"-")=0,"-",IFERROR(VLOOKUP(J386,'[63]ТР нефть'!$J$28:$BP$638,54,0),"-"))</f>
        <v>-</v>
      </c>
      <c r="BL386" s="138" t="str">
        <f>IF(IFERROR(VLOOKUP(J386,'[63]ТР нефть'!$J$28:$BP$638,55,0),"-")=0,"-",IFERROR(VLOOKUP(J386,'[63]ТР нефть'!$J$28:$BP$638,55,0),"-"))</f>
        <v>-</v>
      </c>
      <c r="BM386" s="138" t="str">
        <f>IF(IFERROR(VLOOKUP(J386,'[63]ТР нефть'!$J$28:$BP$638,56,0),"-")=0,"-",IFERROR(VLOOKUP(J386,'[63]ТР нефть'!$J$28:$BP$638,56,0),"-"))</f>
        <v>-</v>
      </c>
      <c r="BN386" s="138" t="str">
        <f>IF(IFERROR(VLOOKUP(J386,'[63]ТР нефть'!$J$28:$BP$638,57,0),"-")=0,"-",IFERROR(VLOOKUP(J386,'[63]ТР нефть'!$J$28:$BP$638,57,0),"-"))</f>
        <v>-</v>
      </c>
      <c r="BO386" s="115" t="str">
        <f>IF(IFERROR(VLOOKUP(J386,'[63]ТР нефть'!$J$28:$BP$638,58,0),"-")=0,"-",IFERROR(VLOOKUP(J386,'[63]ТР нефть'!$J$28:$BP$638,58,0),"-"))</f>
        <v>-</v>
      </c>
      <c r="BP386" s="115" t="str">
        <f>IF(IFERROR(VLOOKUP(J386,'[63]ТР нефть'!$J$28:$BP$638,59,0),"-")=0,"-",IFERROR(VLOOKUP(J386,'[63]ТР нефть'!$J$28:$BP$638,59,0),"-"))</f>
        <v>-</v>
      </c>
      <c r="BQ386" s="138">
        <v>2250</v>
      </c>
      <c r="BR386" s="128">
        <v>1814.14</v>
      </c>
      <c r="BS386" s="115">
        <f t="shared" si="307"/>
        <v>435.8599999999999</v>
      </c>
      <c r="BT386" s="128">
        <v>73</v>
      </c>
      <c r="BU386" s="128">
        <v>5.5</v>
      </c>
      <c r="BV386" s="127">
        <v>18</v>
      </c>
      <c r="BW386" s="127" t="s">
        <v>217</v>
      </c>
      <c r="BX386" s="127" t="s">
        <v>218</v>
      </c>
      <c r="BY386" s="139">
        <v>24</v>
      </c>
      <c r="BZ386" s="139">
        <v>24</v>
      </c>
      <c r="CA386" s="80">
        <v>28</v>
      </c>
      <c r="CB386" s="138">
        <v>46</v>
      </c>
      <c r="CC386" s="138">
        <v>27</v>
      </c>
      <c r="CD386" s="135">
        <v>45017</v>
      </c>
      <c r="CE386" s="138">
        <v>107</v>
      </c>
      <c r="CF386" s="138">
        <v>66</v>
      </c>
      <c r="CG386" s="138" t="s">
        <v>1131</v>
      </c>
      <c r="CH386" s="138" t="s">
        <v>235</v>
      </c>
      <c r="CI386" s="127">
        <v>5</v>
      </c>
      <c r="CJ386" s="138"/>
      <c r="CK386" s="138">
        <f t="shared" si="308"/>
        <v>23</v>
      </c>
      <c r="CL386" s="99"/>
      <c r="CM386" s="99"/>
      <c r="CN386" s="140">
        <v>51</v>
      </c>
      <c r="CO386" s="141">
        <f t="shared" si="276"/>
        <v>4.5520199999999997</v>
      </c>
      <c r="CP386" s="142">
        <v>5.5</v>
      </c>
      <c r="CQ386" s="143">
        <v>1</v>
      </c>
      <c r="CR386" s="138">
        <v>8.15</v>
      </c>
      <c r="CS386" s="139">
        <v>4</v>
      </c>
      <c r="CT386" s="138"/>
      <c r="CU386" s="138">
        <f t="shared" si="277"/>
        <v>4.1500000000000004</v>
      </c>
      <c r="CV386" s="115">
        <f t="shared" si="278"/>
        <v>911.68316483670992</v>
      </c>
      <c r="CW386" s="115">
        <f t="shared" si="279"/>
        <v>866.60557097391325</v>
      </c>
      <c r="CX386" s="133">
        <f t="shared" si="280"/>
        <v>9.8214285714285712E-2</v>
      </c>
      <c r="CY386" s="116"/>
      <c r="CZ386" s="131"/>
      <c r="DA386" s="145" t="str">
        <f t="shared" si="281"/>
        <v>Газлифт</v>
      </c>
      <c r="DB386" s="146">
        <f t="shared" si="282"/>
        <v>4.5520199999999997</v>
      </c>
      <c r="DC386" s="142">
        <f t="shared" si="302"/>
        <v>5.5</v>
      </c>
      <c r="DD386" s="119">
        <f t="shared" si="303"/>
        <v>1</v>
      </c>
      <c r="DE386" s="115">
        <f t="shared" si="283"/>
        <v>4.1500000000000004</v>
      </c>
      <c r="DF386" s="121">
        <f t="shared" si="284"/>
        <v>4</v>
      </c>
      <c r="DG386" s="115">
        <f t="shared" si="285"/>
        <v>911.68316483670992</v>
      </c>
      <c r="DH386" s="115">
        <f t="shared" si="286"/>
        <v>51</v>
      </c>
      <c r="DI386" s="147"/>
      <c r="DJ386" s="111"/>
      <c r="DK386" s="112">
        <v>44079</v>
      </c>
      <c r="DL386" s="113">
        <f t="shared" ca="1" si="266"/>
        <v>1025</v>
      </c>
      <c r="DM386" s="114"/>
      <c r="DN386" s="114"/>
      <c r="DO386" s="114"/>
      <c r="DP386" s="114"/>
      <c r="DQ386" s="112"/>
      <c r="DR386" s="114"/>
      <c r="DS386" s="114"/>
      <c r="DT386" s="115">
        <v>60</v>
      </c>
      <c r="DU386" s="116">
        <f t="shared" si="267"/>
        <v>0.11702127659574468</v>
      </c>
      <c r="DV386" s="117">
        <f t="shared" si="268"/>
        <v>4.5520199999999997</v>
      </c>
      <c r="DW386" s="118">
        <f t="shared" si="269"/>
        <v>5.5</v>
      </c>
      <c r="DX386" s="119">
        <f t="shared" si="287"/>
        <v>1</v>
      </c>
      <c r="DY386" s="115">
        <f t="shared" si="270"/>
        <v>4.1500000000000004</v>
      </c>
      <c r="DZ386" s="117">
        <f t="shared" si="305"/>
        <v>0</v>
      </c>
      <c r="EA386" s="120">
        <f t="shared" si="305"/>
        <v>0</v>
      </c>
      <c r="EB386" s="119">
        <f t="shared" si="264"/>
        <v>0</v>
      </c>
      <c r="EC386" s="121">
        <f t="shared" si="272"/>
        <v>0</v>
      </c>
      <c r="ED386" s="122"/>
      <c r="EE386" s="145">
        <v>18</v>
      </c>
      <c r="EF386" s="148">
        <v>28</v>
      </c>
      <c r="EG386" s="115">
        <v>46</v>
      </c>
      <c r="EH386" s="115">
        <v>27</v>
      </c>
      <c r="EI386" s="128" t="s">
        <v>218</v>
      </c>
      <c r="EJ386" s="121">
        <v>24</v>
      </c>
      <c r="EK386" s="121">
        <v>24</v>
      </c>
      <c r="EL386" s="149">
        <v>4.5520199999999997</v>
      </c>
      <c r="EM386" s="142">
        <v>5.5</v>
      </c>
      <c r="EN386" s="119">
        <v>1</v>
      </c>
      <c r="EO386" s="115">
        <v>8.15</v>
      </c>
      <c r="EP386" s="115">
        <v>911.68316483670992</v>
      </c>
      <c r="EQ386" s="115">
        <v>66</v>
      </c>
      <c r="ER386" s="115">
        <v>4</v>
      </c>
      <c r="ES386" s="115">
        <v>51</v>
      </c>
      <c r="ET386" s="150">
        <v>9.8214285714285712E-2</v>
      </c>
      <c r="EU386" s="145">
        <f t="shared" si="288"/>
        <v>18</v>
      </c>
      <c r="EV386" s="115">
        <f t="shared" si="289"/>
        <v>28</v>
      </c>
      <c r="EW386" s="115">
        <f t="shared" si="289"/>
        <v>46</v>
      </c>
      <c r="EX386" s="115">
        <f t="shared" si="289"/>
        <v>27</v>
      </c>
      <c r="EY386" s="115" t="str">
        <f t="shared" si="309"/>
        <v>Периодический</v>
      </c>
      <c r="EZ386" s="115">
        <f t="shared" si="309"/>
        <v>24</v>
      </c>
      <c r="FA386" s="115">
        <f t="shared" si="309"/>
        <v>24</v>
      </c>
      <c r="FB386" s="149">
        <f t="shared" si="298"/>
        <v>4.5520199999999997</v>
      </c>
      <c r="FC386" s="142">
        <f t="shared" si="298"/>
        <v>5.5</v>
      </c>
      <c r="FD386" s="119">
        <f t="shared" si="298"/>
        <v>1</v>
      </c>
      <c r="FE386" s="121">
        <f t="shared" si="298"/>
        <v>8.15</v>
      </c>
      <c r="FF386" s="121">
        <f t="shared" si="300"/>
        <v>911.68316483670992</v>
      </c>
      <c r="FG386" s="121">
        <f t="shared" si="290"/>
        <v>66</v>
      </c>
      <c r="FH386" s="121">
        <f t="shared" si="301"/>
        <v>4</v>
      </c>
      <c r="FI386" s="121">
        <f t="shared" si="306"/>
        <v>51</v>
      </c>
      <c r="FJ386" s="144">
        <f t="shared" si="291"/>
        <v>9.8214285714285712E-2</v>
      </c>
      <c r="FK386" s="132">
        <f t="shared" si="292"/>
        <v>0</v>
      </c>
      <c r="FL386" s="115">
        <f t="shared" si="292"/>
        <v>0</v>
      </c>
      <c r="FM386" s="115">
        <f t="shared" si="292"/>
        <v>0</v>
      </c>
      <c r="FN386" s="115">
        <f t="shared" si="273"/>
        <v>0</v>
      </c>
      <c r="FO386" s="115">
        <f t="shared" si="257"/>
        <v>0</v>
      </c>
      <c r="FP386" s="115">
        <f t="shared" si="257"/>
        <v>0</v>
      </c>
      <c r="FQ386" s="149">
        <f t="shared" si="257"/>
        <v>0</v>
      </c>
      <c r="FR386" s="142">
        <f t="shared" si="256"/>
        <v>0</v>
      </c>
      <c r="FS386" s="119">
        <f t="shared" si="256"/>
        <v>0</v>
      </c>
      <c r="FT386" s="121">
        <f t="shared" si="256"/>
        <v>0</v>
      </c>
      <c r="FU386" s="121">
        <f t="shared" si="293"/>
        <v>0</v>
      </c>
      <c r="FV386" s="121">
        <f t="shared" si="293"/>
        <v>0</v>
      </c>
      <c r="FW386" s="121">
        <f t="shared" si="294"/>
        <v>0</v>
      </c>
      <c r="FX386" s="121">
        <f t="shared" si="295"/>
        <v>0</v>
      </c>
      <c r="FY386" s="144">
        <f t="shared" si="295"/>
        <v>0</v>
      </c>
      <c r="FZ386" s="145"/>
      <c r="GA386" s="151" t="s">
        <v>1531</v>
      </c>
      <c r="GB386" s="145"/>
      <c r="GC386" s="151"/>
      <c r="GD386" s="997" t="s">
        <v>220</v>
      </c>
      <c r="GE386" s="1004"/>
      <c r="GF386" s="1004">
        <v>0.37202000000000002</v>
      </c>
      <c r="GG386" s="1004"/>
      <c r="GH386" s="1004">
        <v>0</v>
      </c>
      <c r="GI386" s="145"/>
      <c r="GJ386" s="996">
        <v>0.83599999999999985</v>
      </c>
      <c r="GK386" s="145"/>
      <c r="GL386" s="996">
        <v>0</v>
      </c>
      <c r="GM386" s="1005"/>
      <c r="GN386" s="996">
        <v>0</v>
      </c>
      <c r="GO386" s="1006"/>
      <c r="GP386" s="996">
        <v>0</v>
      </c>
      <c r="GQ386" s="1006"/>
      <c r="GR386" s="996">
        <v>0</v>
      </c>
      <c r="GS386" s="1006"/>
      <c r="GT386" s="996">
        <v>0.20900000000000007</v>
      </c>
      <c r="GU386" s="1006"/>
      <c r="GV386" s="996">
        <v>0</v>
      </c>
      <c r="GW386" s="1006"/>
      <c r="GX386" s="996">
        <v>0.62699999999999978</v>
      </c>
      <c r="GY386" s="1006" t="s">
        <v>199</v>
      </c>
      <c r="GZ386" s="996">
        <v>-3.1266400000000001</v>
      </c>
      <c r="HA386" s="1006"/>
      <c r="HB386" s="996">
        <v>0</v>
      </c>
      <c r="HC386" s="1006" t="s">
        <v>223</v>
      </c>
      <c r="HD386" s="996">
        <v>-4.3973599999999999</v>
      </c>
      <c r="HE386" s="1006"/>
      <c r="HF386" s="996">
        <v>0</v>
      </c>
      <c r="HG386" s="1006" t="s">
        <v>199</v>
      </c>
      <c r="HH386" s="996">
        <v>3.9292000000000007</v>
      </c>
      <c r="HI386" s="1006" t="s">
        <v>223</v>
      </c>
      <c r="HJ386" s="996">
        <v>-5.2193151999999996</v>
      </c>
      <c r="HK386" s="1006"/>
      <c r="HL386" s="996">
        <v>0</v>
      </c>
      <c r="HM386" s="1006" t="s">
        <v>308</v>
      </c>
      <c r="HN386" s="996">
        <v>5.9717151999999984</v>
      </c>
      <c r="HO386" s="1006"/>
      <c r="HP386" s="996">
        <v>-0.13982166879999891</v>
      </c>
      <c r="HQ386" s="1006" t="s">
        <v>199</v>
      </c>
      <c r="HR386" s="996">
        <v>-1.9209183312000002</v>
      </c>
      <c r="HS386" s="1006"/>
      <c r="HT386" s="996">
        <v>0</v>
      </c>
      <c r="HU386" s="1006"/>
      <c r="HV386" s="996">
        <v>0.57516800000000057</v>
      </c>
      <c r="HW386" s="1006" t="s">
        <v>199</v>
      </c>
      <c r="HX386" s="996">
        <v>-2.1092280000000008</v>
      </c>
      <c r="HY386" s="1006"/>
      <c r="HZ386" s="996">
        <v>0</v>
      </c>
      <c r="IA386" s="1006"/>
      <c r="IB386" s="996">
        <v>0</v>
      </c>
      <c r="IC386" s="1006"/>
      <c r="ID386" s="996">
        <v>0</v>
      </c>
      <c r="IE386" s="1006" t="s">
        <v>199</v>
      </c>
      <c r="IF386" s="996">
        <v>-5.4339999999999993</v>
      </c>
      <c r="IG386" s="1006"/>
      <c r="IH386" s="996">
        <v>0</v>
      </c>
      <c r="II386" s="1006"/>
      <c r="IJ386" s="996">
        <v>0</v>
      </c>
      <c r="IK386" s="1006"/>
      <c r="IL386" s="996">
        <v>0.14379200000000125</v>
      </c>
      <c r="IM386" s="1006"/>
      <c r="IN386" s="996">
        <v>0</v>
      </c>
      <c r="IO386" s="1006" t="s">
        <v>203</v>
      </c>
      <c r="IP386" s="996">
        <v>-16.72505111200001</v>
      </c>
      <c r="IQ386" s="1006" t="s">
        <v>25</v>
      </c>
      <c r="IR386" s="996">
        <v>30.960459112000006</v>
      </c>
      <c r="IS386" s="1006"/>
      <c r="IT386" s="996"/>
      <c r="IU386" s="1006"/>
      <c r="IV386" s="996"/>
      <c r="IW386" s="1006"/>
      <c r="IX386" s="996"/>
      <c r="IY386" s="1006"/>
      <c r="IZ386" s="996"/>
      <c r="JA386" s="1006"/>
      <c r="JB386" s="996"/>
      <c r="JC386" s="1006"/>
      <c r="JD386" s="996"/>
      <c r="JE386" s="1006"/>
      <c r="JF386" s="996"/>
      <c r="JG386" s="1006"/>
      <c r="JH386" s="996"/>
      <c r="JI386" s="1006"/>
      <c r="JJ386" s="996"/>
      <c r="JK386" s="1007"/>
      <c r="JL386" s="1007"/>
      <c r="JM386" s="1007"/>
      <c r="JN386" s="1007"/>
      <c r="JO386" s="1008"/>
      <c r="JP386" s="1007"/>
      <c r="JQ386" s="1008"/>
      <c r="JR386" s="1007"/>
      <c r="JS386" s="1008"/>
      <c r="JT386" s="1007"/>
      <c r="JU386" s="1008"/>
      <c r="JV386" s="1007"/>
      <c r="JW386" s="1008"/>
      <c r="JX386" s="1007"/>
      <c r="JY386" s="1008"/>
      <c r="JZ386" s="1007"/>
      <c r="KA386" s="1008"/>
      <c r="KB386" s="1007"/>
      <c r="KC386" s="1008"/>
      <c r="KD386" s="1007"/>
      <c r="KE386" s="1008"/>
      <c r="KF386" s="1007"/>
      <c r="KG386" s="1008"/>
      <c r="KH386" s="1007"/>
      <c r="KI386" s="1008"/>
      <c r="KJ386" s="1007"/>
      <c r="KK386" s="1008"/>
      <c r="KL386" s="1007"/>
      <c r="KM386" s="1008"/>
      <c r="KN386" s="1007"/>
      <c r="KO386" s="1008"/>
      <c r="KP386" s="1007"/>
      <c r="KQ386" s="1008"/>
      <c r="KR386" s="1007"/>
      <c r="KS386" s="1008"/>
      <c r="KT386" s="1007"/>
      <c r="KU386" s="1008"/>
      <c r="KV386" s="1007"/>
      <c r="KW386" s="1008"/>
      <c r="KX386" s="1007"/>
      <c r="KY386" s="1008"/>
      <c r="KZ386" s="1007"/>
      <c r="LA386" s="1008"/>
      <c r="LB386" s="1007"/>
      <c r="LC386" s="1008"/>
      <c r="LD386" s="1007"/>
      <c r="LE386" s="1008"/>
      <c r="LF386" s="1007"/>
      <c r="LG386" s="1008"/>
      <c r="LH386" s="1007"/>
      <c r="LI386" s="1008"/>
      <c r="LJ386" s="1007"/>
      <c r="LK386" s="1008"/>
      <c r="LL386" s="1007"/>
      <c r="LM386" s="1008"/>
      <c r="LN386" s="1007"/>
      <c r="LO386" s="1008"/>
      <c r="LP386" s="1007"/>
      <c r="LQ386" s="1008"/>
      <c r="LR386" s="1007"/>
      <c r="LS386" s="1008"/>
      <c r="LT386" s="1007"/>
      <c r="LU386" s="1008"/>
      <c r="LV386" s="1007"/>
      <c r="LW386" s="1008"/>
      <c r="LX386" s="1007"/>
      <c r="LY386" s="1009"/>
      <c r="LZ386" s="1010"/>
      <c r="MA386" s="1011"/>
      <c r="MB386" s="1012"/>
      <c r="MC386" s="995"/>
      <c r="MD386" s="996"/>
      <c r="ME386" s="997" t="s">
        <v>220</v>
      </c>
      <c r="MF386" s="997"/>
      <c r="MG386" s="998"/>
      <c r="NR386" s="1000"/>
      <c r="NS386" s="1000"/>
      <c r="NT386" s="1001"/>
      <c r="NU386" s="1000"/>
      <c r="NV386" s="1001"/>
      <c r="NX386" s="1002"/>
      <c r="NZ386" s="1001"/>
      <c r="OA386" s="1001"/>
      <c r="OC386" s="1003"/>
      <c r="OD386" s="1003"/>
      <c r="OE386" s="1001"/>
      <c r="OF386" s="1003"/>
      <c r="OG386" s="1003"/>
      <c r="QX386" s="1000">
        <f>CN386-CA386</f>
        <v>23</v>
      </c>
      <c r="ASU386" s="999" t="s">
        <v>208</v>
      </c>
    </row>
    <row r="387" spans="1:466 1191:1191" ht="21" customHeight="1" x14ac:dyDescent="0.25">
      <c r="A387" s="982">
        <f t="shared" si="274"/>
        <v>1429</v>
      </c>
      <c r="B387" s="124">
        <f>SUBTOTAL(103,$J$29:J387)</f>
        <v>359</v>
      </c>
      <c r="C387" s="126">
        <v>45068</v>
      </c>
      <c r="D387" s="124" t="s">
        <v>176</v>
      </c>
      <c r="E387" s="127" t="s">
        <v>177</v>
      </c>
      <c r="F387" s="128" t="s">
        <v>177</v>
      </c>
      <c r="G387" s="127" t="s">
        <v>178</v>
      </c>
      <c r="H387" s="127" t="s">
        <v>179</v>
      </c>
      <c r="I387" s="127" t="s">
        <v>1417</v>
      </c>
      <c r="J387" s="152">
        <v>1429</v>
      </c>
      <c r="K387" s="127" t="s">
        <v>1532</v>
      </c>
      <c r="L387" s="130">
        <v>43589</v>
      </c>
      <c r="M387" s="127" t="s">
        <v>230</v>
      </c>
      <c r="N387" s="127" t="s">
        <v>184</v>
      </c>
      <c r="O387" s="127" t="s">
        <v>185</v>
      </c>
      <c r="P387" s="127" t="s">
        <v>186</v>
      </c>
      <c r="Q387" s="85" t="str">
        <f t="shared" si="297"/>
        <v/>
      </c>
      <c r="R387" s="130"/>
      <c r="S387" s="128"/>
      <c r="T387" s="131"/>
      <c r="U387" s="132">
        <v>203</v>
      </c>
      <c r="V387" s="121">
        <v>218.2</v>
      </c>
      <c r="W387" s="116">
        <v>0.98</v>
      </c>
      <c r="X387" s="116">
        <v>1.66</v>
      </c>
      <c r="Y387" s="116">
        <f t="shared" si="299"/>
        <v>0.98</v>
      </c>
      <c r="Z387" s="133">
        <v>1.454</v>
      </c>
      <c r="AA387" s="133">
        <v>0.83599999999999997</v>
      </c>
      <c r="AB387" s="133">
        <v>0.72</v>
      </c>
      <c r="AC387" s="121">
        <v>34.299999999999997</v>
      </c>
      <c r="AD387" s="134">
        <v>1.17</v>
      </c>
      <c r="AE387" s="124">
        <v>177.8</v>
      </c>
      <c r="AF387" s="128">
        <v>9.19</v>
      </c>
      <c r="AG387" s="128">
        <v>2049.3000000000002</v>
      </c>
      <c r="AH387" s="127">
        <v>2755</v>
      </c>
      <c r="AI387" s="127">
        <v>2755</v>
      </c>
      <c r="AJ387" s="135"/>
      <c r="AK387" s="128"/>
      <c r="AL387" s="131"/>
      <c r="AM387" s="124" t="s">
        <v>232</v>
      </c>
      <c r="AN387" s="136" t="s">
        <v>1533</v>
      </c>
      <c r="AO387" s="137">
        <v>98.28</v>
      </c>
      <c r="AP387" s="128">
        <v>2019</v>
      </c>
      <c r="AQ387" s="128">
        <v>178.5</v>
      </c>
      <c r="AR387" s="128"/>
      <c r="AS387" s="128"/>
      <c r="AT387" s="122"/>
      <c r="AU387" s="124" t="s">
        <v>189</v>
      </c>
      <c r="AV387" s="115">
        <f>VLOOKUP(J387,'[63]ТР нефть'!$J$28:$BP$638,39,0)</f>
        <v>519.99999931599996</v>
      </c>
      <c r="AW387" s="115" t="str">
        <f>VLOOKUP(J387,'[63]ТР нефть'!$J$28:$BP$638,40,0)</f>
        <v>ГП</v>
      </c>
      <c r="AX387" s="115">
        <f>VLOOKUP(J387,'[63]ТР нефть'!$J$28:$BP$638,41,0)</f>
        <v>949.99998515599998</v>
      </c>
      <c r="AY387" s="115" t="str">
        <f>VLOOKUP(J387,'[63]ТР нефть'!$J$28:$BP$638,42,0)</f>
        <v>ГП</v>
      </c>
      <c r="AZ387" s="115">
        <f>VLOOKUP(J387,'[63]ТР нефть'!$J$28:$BP$638,43,0)</f>
        <v>1299.9999796879999</v>
      </c>
      <c r="BA387" s="115" t="str">
        <f>VLOOKUP(J387,'[63]ТР нефть'!$J$28:$BP$638,44,0)</f>
        <v>ГК74 1/8</v>
      </c>
      <c r="BB387" s="115">
        <f>VLOOKUP(J387,'[63]ТР нефть'!$J$28:$BP$638,45,0)</f>
        <v>1590.000064453</v>
      </c>
      <c r="BC387" s="115" t="str">
        <f>VLOOKUP(J387,'[63]ТР нефть'!$J$28:$BP$638,46,0)</f>
        <v>ГК 81 5/32</v>
      </c>
      <c r="BD387" s="115">
        <f>VLOOKUP(J387,'[63]ТР нефть'!$J$28:$BP$638,47,0)</f>
        <v>1760.000032031</v>
      </c>
      <c r="BE387" s="115" t="str">
        <f>VLOOKUP(J387,'[63]ТР нефть'!$J$28:$BP$638,48,0)</f>
        <v>ЦКсОК 5/16</v>
      </c>
      <c r="BF387" s="115" t="str">
        <f>VLOOKUP(J387,'[63]ТР нефть'!$J$28:$BP$638,49,0)</f>
        <v>-</v>
      </c>
      <c r="BG387" s="115" t="str">
        <f>VLOOKUP(J387,'[63]ТР нефть'!$J$28:$BP$638,50,0)</f>
        <v>-</v>
      </c>
      <c r="BH387" s="115">
        <f>VLOOKUP(J387,'[63]ТР нефть'!$J$28:$BP$638,51,0)</f>
        <v>1770</v>
      </c>
      <c r="BI387" s="115" t="str">
        <f>VLOOKUP(J387,'[63]ТР нефть'!$J$28:$BP$638,52,0)</f>
        <v>закрыт</v>
      </c>
      <c r="BJ387" s="115" t="str">
        <f>IF(IFERROR(VLOOKUP(J387,'[63]ТР нефть'!$J$28:$BP$638,53,0),"-")=0,"-",IFERROR(VLOOKUP(J387,'[63]ТР нефть'!$J$28:$BP$638,53,0),"-"))</f>
        <v>-</v>
      </c>
      <c r="BK387" s="138" t="str">
        <f>IF(IFERROR(VLOOKUP(J387,'[63]ТР нефть'!$J$28:$BP$638,54,0),"-")=0,"-",IFERROR(VLOOKUP(J387,'[63]ТР нефть'!$J$28:$BP$638,54,0),"-"))</f>
        <v>-</v>
      </c>
      <c r="BL387" s="138" t="str">
        <f>IF(IFERROR(VLOOKUP(J387,'[63]ТР нефть'!$J$28:$BP$638,55,0),"-")=0,"-",IFERROR(VLOOKUP(J387,'[63]ТР нефть'!$J$28:$BP$638,55,0),"-"))</f>
        <v>-</v>
      </c>
      <c r="BM387" s="138" t="str">
        <f>IF(IFERROR(VLOOKUP(J387,'[63]ТР нефть'!$J$28:$BP$638,56,0),"-")=0,"-",IFERROR(VLOOKUP(J387,'[63]ТР нефть'!$J$28:$BP$638,56,0),"-"))</f>
        <v>-</v>
      </c>
      <c r="BN387" s="138" t="str">
        <f>IF(IFERROR(VLOOKUP(J387,'[63]ТР нефть'!$J$28:$BP$638,57,0),"-")=0,"-",IFERROR(VLOOKUP(J387,'[63]ТР нефть'!$J$28:$BP$638,57,0),"-"))</f>
        <v>-</v>
      </c>
      <c r="BO387" s="115" t="str">
        <f>IF(IFERROR(VLOOKUP(J387,'[63]ТР нефть'!$J$28:$BP$638,58,0),"-")=0,"-",IFERROR(VLOOKUP(J387,'[63]ТР нефть'!$J$28:$BP$638,58,0),"-"))</f>
        <v>-</v>
      </c>
      <c r="BP387" s="115" t="str">
        <f>IF(IFERROR(VLOOKUP(J387,'[63]ТР нефть'!$J$28:$BP$638,59,0),"-")=0,"-",IFERROR(VLOOKUP(J387,'[63]ТР нефть'!$J$28:$BP$638,59,0),"-"))</f>
        <v>-</v>
      </c>
      <c r="BQ387" s="138">
        <v>2076</v>
      </c>
      <c r="BR387" s="128">
        <v>1812.08</v>
      </c>
      <c r="BS387" s="115">
        <f t="shared" si="307"/>
        <v>263.92000000000007</v>
      </c>
      <c r="BT387" s="128">
        <v>73</v>
      </c>
      <c r="BU387" s="128">
        <v>5.5</v>
      </c>
      <c r="BV387" s="127">
        <v>65</v>
      </c>
      <c r="BW387" s="127" t="s">
        <v>217</v>
      </c>
      <c r="BX387" s="127" t="s">
        <v>195</v>
      </c>
      <c r="BY387" s="139">
        <v>24</v>
      </c>
      <c r="BZ387" s="139">
        <v>0</v>
      </c>
      <c r="CA387" s="138">
        <v>29</v>
      </c>
      <c r="CB387" s="138">
        <v>47</v>
      </c>
      <c r="CC387" s="138">
        <v>28</v>
      </c>
      <c r="CD387" s="135">
        <v>45017</v>
      </c>
      <c r="CE387" s="138">
        <v>104</v>
      </c>
      <c r="CF387" s="138">
        <v>67</v>
      </c>
      <c r="CG387" s="138" t="str">
        <f t="shared" si="265"/>
        <v>В работе</v>
      </c>
      <c r="CH387" s="138" t="s">
        <v>272</v>
      </c>
      <c r="CI387" s="127">
        <v>5</v>
      </c>
      <c r="CJ387" s="138"/>
      <c r="CK387" s="138">
        <f t="shared" si="308"/>
        <v>32</v>
      </c>
      <c r="CL387" s="99"/>
      <c r="CM387" s="99"/>
      <c r="CN387" s="140">
        <v>61</v>
      </c>
      <c r="CO387" s="141">
        <f t="shared" si="276"/>
        <v>10.868</v>
      </c>
      <c r="CP387" s="142">
        <v>13</v>
      </c>
      <c r="CQ387" s="143">
        <v>0</v>
      </c>
      <c r="CR387" s="138">
        <v>8</v>
      </c>
      <c r="CS387" s="139">
        <v>2</v>
      </c>
      <c r="CT387" s="138"/>
      <c r="CU387" s="138">
        <f t="shared" si="277"/>
        <v>6</v>
      </c>
      <c r="CV387" s="115">
        <f t="shared" si="278"/>
        <v>552.07949944792051</v>
      </c>
      <c r="CW387" s="115">
        <f t="shared" si="279"/>
        <v>184.02649981597352</v>
      </c>
      <c r="CX387" s="133">
        <f t="shared" si="280"/>
        <v>0.30232558139534882</v>
      </c>
      <c r="CY387" s="116"/>
      <c r="CZ387" s="131"/>
      <c r="DA387" s="145" t="str">
        <f t="shared" si="281"/>
        <v>Газлифт</v>
      </c>
      <c r="DB387" s="146">
        <f t="shared" si="282"/>
        <v>10.868</v>
      </c>
      <c r="DC387" s="142">
        <f t="shared" si="302"/>
        <v>13</v>
      </c>
      <c r="DD387" s="119">
        <f t="shared" si="303"/>
        <v>0</v>
      </c>
      <c r="DE387" s="115">
        <f t="shared" si="283"/>
        <v>6</v>
      </c>
      <c r="DF387" s="121">
        <f t="shared" si="284"/>
        <v>2</v>
      </c>
      <c r="DG387" s="115">
        <f t="shared" si="285"/>
        <v>552.07949944792051</v>
      </c>
      <c r="DH387" s="115">
        <f t="shared" si="286"/>
        <v>61</v>
      </c>
      <c r="DI387" s="147"/>
      <c r="DJ387" s="111" t="s">
        <v>197</v>
      </c>
      <c r="DK387" s="112">
        <v>43589</v>
      </c>
      <c r="DL387" s="113">
        <f t="shared" ca="1" si="266"/>
        <v>1515</v>
      </c>
      <c r="DM387" s="114"/>
      <c r="DN387" s="114"/>
      <c r="DO387" s="114"/>
      <c r="DP387" s="114"/>
      <c r="DQ387" s="112">
        <v>43589</v>
      </c>
      <c r="DR387" s="114" t="s">
        <v>324</v>
      </c>
      <c r="DS387" s="114"/>
      <c r="DT387" s="115">
        <v>45</v>
      </c>
      <c r="DU387" s="116">
        <f t="shared" si="267"/>
        <v>0.27699987824181183</v>
      </c>
      <c r="DV387" s="117">
        <f t="shared" si="268"/>
        <v>13.662741994399125</v>
      </c>
      <c r="DW387" s="118">
        <f t="shared" si="269"/>
        <v>16.342992816266896</v>
      </c>
      <c r="DX387" s="119">
        <f t="shared" si="287"/>
        <v>0</v>
      </c>
      <c r="DY387" s="115">
        <f t="shared" si="270"/>
        <v>7.5429197613539527</v>
      </c>
      <c r="DZ387" s="117">
        <f t="shared" si="305"/>
        <v>2.794741994399125</v>
      </c>
      <c r="EA387" s="120">
        <f t="shared" si="305"/>
        <v>3.3429928162668965</v>
      </c>
      <c r="EB387" s="119">
        <f t="shared" si="264"/>
        <v>0</v>
      </c>
      <c r="EC387" s="121">
        <f t="shared" si="272"/>
        <v>1.5429197613539527</v>
      </c>
      <c r="ED387" s="122"/>
      <c r="EE387" s="145">
        <v>65</v>
      </c>
      <c r="EF387" s="115">
        <v>29</v>
      </c>
      <c r="EG387" s="115">
        <v>48</v>
      </c>
      <c r="EH387" s="115">
        <v>28</v>
      </c>
      <c r="EI387" s="128" t="s">
        <v>195</v>
      </c>
      <c r="EJ387" s="121">
        <v>24</v>
      </c>
      <c r="EK387" s="121">
        <v>0</v>
      </c>
      <c r="EL387" s="149">
        <v>10.868</v>
      </c>
      <c r="EM387" s="142">
        <v>13</v>
      </c>
      <c r="EN387" s="119">
        <v>0</v>
      </c>
      <c r="EO387" s="115">
        <v>8</v>
      </c>
      <c r="EP387" s="115">
        <v>552.07949944792051</v>
      </c>
      <c r="EQ387" s="115">
        <v>66</v>
      </c>
      <c r="ER387" s="115">
        <v>2</v>
      </c>
      <c r="ES387" s="115">
        <v>61</v>
      </c>
      <c r="ET387" s="150">
        <v>0.30232558139534882</v>
      </c>
      <c r="EU387" s="145">
        <f t="shared" si="288"/>
        <v>65</v>
      </c>
      <c r="EV387" s="115">
        <f t="shared" si="289"/>
        <v>29</v>
      </c>
      <c r="EW387" s="115">
        <f t="shared" si="289"/>
        <v>47</v>
      </c>
      <c r="EX387" s="115">
        <f t="shared" si="289"/>
        <v>28</v>
      </c>
      <c r="EY387" s="115" t="str">
        <f t="shared" si="309"/>
        <v>Постоянный</v>
      </c>
      <c r="EZ387" s="115">
        <f t="shared" si="309"/>
        <v>24</v>
      </c>
      <c r="FA387" s="115">
        <f t="shared" si="309"/>
        <v>0</v>
      </c>
      <c r="FB387" s="149">
        <f t="shared" si="298"/>
        <v>10.868</v>
      </c>
      <c r="FC387" s="142">
        <f t="shared" si="298"/>
        <v>13</v>
      </c>
      <c r="FD387" s="119">
        <f t="shared" si="298"/>
        <v>0</v>
      </c>
      <c r="FE387" s="121">
        <f t="shared" si="298"/>
        <v>8</v>
      </c>
      <c r="FF387" s="121">
        <f t="shared" si="300"/>
        <v>552.07949944792051</v>
      </c>
      <c r="FG387" s="121">
        <f t="shared" si="290"/>
        <v>67</v>
      </c>
      <c r="FH387" s="121">
        <f t="shared" si="301"/>
        <v>2</v>
      </c>
      <c r="FI387" s="121">
        <f t="shared" si="306"/>
        <v>61</v>
      </c>
      <c r="FJ387" s="144">
        <f t="shared" si="291"/>
        <v>0.30232558139534882</v>
      </c>
      <c r="FK387" s="132">
        <f t="shared" si="292"/>
        <v>0</v>
      </c>
      <c r="FL387" s="115">
        <f t="shared" si="292"/>
        <v>0</v>
      </c>
      <c r="FM387" s="115">
        <f t="shared" si="292"/>
        <v>-1</v>
      </c>
      <c r="FN387" s="115">
        <f t="shared" si="273"/>
        <v>0</v>
      </c>
      <c r="FO387" s="115">
        <f t="shared" si="257"/>
        <v>0</v>
      </c>
      <c r="FP387" s="115">
        <f t="shared" si="257"/>
        <v>0</v>
      </c>
      <c r="FQ387" s="149">
        <f t="shared" si="257"/>
        <v>0</v>
      </c>
      <c r="FR387" s="142">
        <f t="shared" si="256"/>
        <v>0</v>
      </c>
      <c r="FS387" s="119">
        <f t="shared" si="256"/>
        <v>0</v>
      </c>
      <c r="FT387" s="121">
        <f t="shared" si="256"/>
        <v>0</v>
      </c>
      <c r="FU387" s="121">
        <f t="shared" si="293"/>
        <v>1</v>
      </c>
      <c r="FV387" s="121">
        <f t="shared" si="293"/>
        <v>0</v>
      </c>
      <c r="FW387" s="121">
        <f t="shared" si="294"/>
        <v>0</v>
      </c>
      <c r="FX387" s="121">
        <f t="shared" si="295"/>
        <v>0</v>
      </c>
      <c r="FY387" s="144">
        <f t="shared" si="295"/>
        <v>0</v>
      </c>
      <c r="FZ387" s="145"/>
      <c r="GA387" s="151"/>
      <c r="GB387" s="145"/>
      <c r="GC387" s="151"/>
      <c r="GD387" s="997" t="s">
        <v>220</v>
      </c>
      <c r="GE387" s="1004"/>
      <c r="GF387" s="1004">
        <v>-0.83599999999999852</v>
      </c>
      <c r="GG387" s="1004" t="s">
        <v>199</v>
      </c>
      <c r="GH387" s="1004">
        <v>1.63856</v>
      </c>
      <c r="GI387" s="145"/>
      <c r="GJ387" s="996">
        <v>0</v>
      </c>
      <c r="GK387" s="145"/>
      <c r="GL387" s="996">
        <v>0</v>
      </c>
      <c r="GM387" s="1005"/>
      <c r="GN387" s="996">
        <v>-0.71896000000000093</v>
      </c>
      <c r="GO387" s="1006"/>
      <c r="GP387" s="996">
        <v>-8.3600000000000563E-2</v>
      </c>
      <c r="GQ387" s="1006"/>
      <c r="GR387" s="996">
        <v>-0.66879999999999917</v>
      </c>
      <c r="GS387" s="1006"/>
      <c r="GT387" s="996">
        <v>0.72932639999999971</v>
      </c>
      <c r="GU387" s="1006"/>
      <c r="GV387" s="996">
        <v>-0.4785263999999998</v>
      </c>
      <c r="GW387" s="1006" t="s">
        <v>199</v>
      </c>
      <c r="GX387" s="996">
        <v>3.2604000000000006</v>
      </c>
      <c r="GY387" s="1006"/>
      <c r="GZ387" s="996">
        <v>0</v>
      </c>
      <c r="HA387" s="1006" t="s">
        <v>199</v>
      </c>
      <c r="HB387" s="996">
        <v>-1.6720000000000006</v>
      </c>
      <c r="HC387" s="1006"/>
      <c r="HD387" s="996">
        <v>-0.33440000000000047</v>
      </c>
      <c r="HE387" s="1006"/>
      <c r="HF387" s="996">
        <v>0</v>
      </c>
      <c r="HG387" s="1006"/>
      <c r="HH387" s="996">
        <v>0</v>
      </c>
      <c r="HI387" s="1006" t="s">
        <v>223</v>
      </c>
      <c r="HJ387" s="996">
        <v>-2.5079999999999991</v>
      </c>
      <c r="HK387" s="1006" t="s">
        <v>223</v>
      </c>
      <c r="HL387" s="996">
        <v>-1.5592511880000011</v>
      </c>
      <c r="HM387" s="1006"/>
      <c r="HN387" s="996">
        <v>0</v>
      </c>
      <c r="HO387" s="1006"/>
      <c r="HP387" s="996">
        <v>0</v>
      </c>
      <c r="HQ387" s="1006"/>
      <c r="HR387" s="996">
        <v>0</v>
      </c>
      <c r="HS387" s="1006"/>
      <c r="HT387" s="996">
        <v>0</v>
      </c>
      <c r="HU387" s="1006"/>
      <c r="HV387" s="996">
        <v>0</v>
      </c>
      <c r="HW387" s="1006"/>
      <c r="HX387" s="996">
        <v>0</v>
      </c>
      <c r="HY387" s="1006"/>
      <c r="HZ387" s="996">
        <v>0</v>
      </c>
      <c r="IA387" s="1006" t="s">
        <v>204</v>
      </c>
      <c r="IB387" s="996">
        <v>4.6265351880000019</v>
      </c>
      <c r="IC387" s="1006"/>
      <c r="ID387" s="996">
        <v>0</v>
      </c>
      <c r="IE387" s="1006"/>
      <c r="IF387" s="996">
        <v>0</v>
      </c>
      <c r="IG387" s="1006" t="s">
        <v>199</v>
      </c>
      <c r="IH387" s="996">
        <v>-2.891724</v>
      </c>
      <c r="II387" s="1006"/>
      <c r="IJ387" s="996">
        <v>0.4848465599999976</v>
      </c>
      <c r="IK387" s="1006" t="s">
        <v>203</v>
      </c>
      <c r="IL387" s="996">
        <v>-3.5557186719999976</v>
      </c>
      <c r="IM387" s="1006"/>
      <c r="IN387" s="996">
        <v>0</v>
      </c>
      <c r="IO387" s="1006"/>
      <c r="IP387" s="996">
        <v>0</v>
      </c>
      <c r="IQ387" s="1006" t="s">
        <v>199</v>
      </c>
      <c r="IR387" s="996">
        <v>-2.3073834080000033</v>
      </c>
      <c r="IS387" s="1006" t="s">
        <v>199</v>
      </c>
      <c r="IT387" s="996">
        <v>6.080495520000003</v>
      </c>
      <c r="IU387" s="1006" t="s">
        <v>199</v>
      </c>
      <c r="IV387" s="996">
        <v>-2.9042640000000013</v>
      </c>
      <c r="IW387" s="1006"/>
      <c r="IX387" s="996">
        <v>0</v>
      </c>
      <c r="IY387" s="1006"/>
      <c r="IZ387" s="996">
        <v>0</v>
      </c>
      <c r="JA387" s="1006"/>
      <c r="JB387" s="996">
        <v>0</v>
      </c>
      <c r="JC387" s="1006"/>
      <c r="JD387" s="996">
        <v>0</v>
      </c>
      <c r="JE387" s="1006" t="s">
        <v>223</v>
      </c>
      <c r="JF387" s="996">
        <v>-2.0699359999999984</v>
      </c>
      <c r="JG387" s="1006" t="s">
        <v>199</v>
      </c>
      <c r="JH387" s="996">
        <v>1.5883999999999983</v>
      </c>
      <c r="JI387" s="1006"/>
      <c r="JJ387" s="996">
        <v>9.9316800000000427E-2</v>
      </c>
      <c r="JK387" s="1007" t="s">
        <v>199</v>
      </c>
      <c r="JL387" s="1007">
        <v>-2.6073168000000013</v>
      </c>
      <c r="JM387" s="1007"/>
      <c r="JN387" s="1007">
        <v>0</v>
      </c>
      <c r="JO387" s="1008"/>
      <c r="JP387" s="1007">
        <v>0</v>
      </c>
      <c r="JQ387" s="1008" t="s">
        <v>203</v>
      </c>
      <c r="JR387" s="1007">
        <v>-0.97164935999999713</v>
      </c>
      <c r="JS387" s="1008" t="s">
        <v>199</v>
      </c>
      <c r="JT387" s="1007">
        <v>-5.0325101640000014</v>
      </c>
      <c r="JU387" s="1008"/>
      <c r="JV387" s="1007">
        <v>0.94015952399999847</v>
      </c>
      <c r="JW387" s="1008" t="s">
        <v>197</v>
      </c>
      <c r="JX387" s="1007">
        <v>0</v>
      </c>
      <c r="JY387" s="1008"/>
      <c r="JZ387" s="1007"/>
      <c r="KA387" s="1008"/>
      <c r="KB387" s="1007"/>
      <c r="KC387" s="1008"/>
      <c r="KD387" s="1007"/>
      <c r="KE387" s="1008"/>
      <c r="KF387" s="1007"/>
      <c r="KG387" s="1008"/>
      <c r="KH387" s="1007"/>
      <c r="KI387" s="1008"/>
      <c r="KJ387" s="1007"/>
      <c r="KK387" s="1008"/>
      <c r="KL387" s="1007"/>
      <c r="KM387" s="1008"/>
      <c r="KN387" s="1007"/>
      <c r="KO387" s="1008"/>
      <c r="KP387" s="1007"/>
      <c r="KQ387" s="1008"/>
      <c r="KR387" s="1007"/>
      <c r="KS387" s="1008"/>
      <c r="KT387" s="1007"/>
      <c r="KU387" s="1008"/>
      <c r="KV387" s="1007"/>
      <c r="KW387" s="1008"/>
      <c r="KX387" s="1007"/>
      <c r="KY387" s="1008"/>
      <c r="KZ387" s="1007"/>
      <c r="LA387" s="1008"/>
      <c r="LB387" s="1007"/>
      <c r="LC387" s="1008"/>
      <c r="LD387" s="1007"/>
      <c r="LE387" s="1008"/>
      <c r="LF387" s="1007"/>
      <c r="LG387" s="1008"/>
      <c r="LH387" s="1007"/>
      <c r="LI387" s="1008"/>
      <c r="LJ387" s="1007"/>
      <c r="LK387" s="1008"/>
      <c r="LL387" s="1007"/>
      <c r="LM387" s="1008"/>
      <c r="LN387" s="1007"/>
      <c r="LO387" s="1008"/>
      <c r="LP387" s="1007"/>
      <c r="LQ387" s="1008"/>
      <c r="LR387" s="1007"/>
      <c r="LS387" s="1008"/>
      <c r="LT387" s="1007"/>
      <c r="LU387" s="1008"/>
      <c r="LV387" s="1007"/>
      <c r="LW387" s="1008"/>
      <c r="LX387" s="1007"/>
      <c r="LY387" s="1009"/>
      <c r="LZ387" s="1010"/>
      <c r="MA387" s="1011"/>
      <c r="MB387" s="1012"/>
      <c r="MC387" s="995"/>
      <c r="MD387" s="996"/>
      <c r="ME387" s="997" t="s">
        <v>220</v>
      </c>
      <c r="MF387" s="997"/>
      <c r="MG387" s="998"/>
      <c r="NR387" s="1000"/>
      <c r="NS387" s="1000"/>
      <c r="NT387" s="1001"/>
      <c r="NU387" s="1000"/>
      <c r="NV387" s="1001"/>
      <c r="NX387" s="1002"/>
      <c r="NZ387" s="1001"/>
      <c r="OA387" s="1001"/>
      <c r="OC387" s="1003"/>
      <c r="OD387" s="1003"/>
      <c r="OE387" s="1001"/>
      <c r="OF387" s="1003"/>
      <c r="OG387" s="1003"/>
      <c r="OH387" s="1003"/>
      <c r="OI387" s="1016"/>
      <c r="QX387" s="1000">
        <f>CN387-CA387</f>
        <v>32</v>
      </c>
      <c r="ASU387" s="999" t="s">
        <v>208</v>
      </c>
    </row>
    <row r="388" spans="1:466 1191:1191" ht="21" customHeight="1" x14ac:dyDescent="0.25">
      <c r="A388" s="982">
        <f t="shared" si="274"/>
        <v>1432</v>
      </c>
      <c r="B388" s="124">
        <f>SUBTOTAL(103,$J$29:J388)</f>
        <v>360</v>
      </c>
      <c r="C388" s="126">
        <v>45068</v>
      </c>
      <c r="D388" s="124" t="s">
        <v>176</v>
      </c>
      <c r="E388" s="127" t="s">
        <v>177</v>
      </c>
      <c r="F388" s="128" t="s">
        <v>177</v>
      </c>
      <c r="G388" s="127" t="s">
        <v>178</v>
      </c>
      <c r="H388" s="127" t="s">
        <v>179</v>
      </c>
      <c r="I388" s="127" t="s">
        <v>1515</v>
      </c>
      <c r="J388" s="152">
        <v>1432</v>
      </c>
      <c r="K388" s="127" t="s">
        <v>1515</v>
      </c>
      <c r="L388" s="130">
        <v>43896</v>
      </c>
      <c r="M388" s="127" t="s">
        <v>230</v>
      </c>
      <c r="N388" s="127" t="s">
        <v>184</v>
      </c>
      <c r="O388" s="127" t="s">
        <v>185</v>
      </c>
      <c r="P388" s="127" t="s">
        <v>186</v>
      </c>
      <c r="Q388" s="85" t="str">
        <f t="shared" si="297"/>
        <v/>
      </c>
      <c r="R388" s="130"/>
      <c r="S388" s="128"/>
      <c r="T388" s="131"/>
      <c r="U388" s="132">
        <v>203</v>
      </c>
      <c r="V388" s="121">
        <v>218.2</v>
      </c>
      <c r="W388" s="116">
        <v>0.98</v>
      </c>
      <c r="X388" s="116">
        <v>1.66</v>
      </c>
      <c r="Y388" s="116">
        <f t="shared" si="299"/>
        <v>0.98</v>
      </c>
      <c r="Z388" s="133">
        <v>1.454</v>
      </c>
      <c r="AA388" s="133">
        <v>0.83599999999999997</v>
      </c>
      <c r="AB388" s="133">
        <v>0.72</v>
      </c>
      <c r="AC388" s="121">
        <v>34.299999999999997</v>
      </c>
      <c r="AD388" s="134">
        <v>1.17</v>
      </c>
      <c r="AE388" s="124">
        <v>177.8</v>
      </c>
      <c r="AF388" s="128">
        <v>9.19</v>
      </c>
      <c r="AG388" s="128">
        <v>2192</v>
      </c>
      <c r="AH388" s="127">
        <v>2821</v>
      </c>
      <c r="AI388" s="127">
        <v>2821</v>
      </c>
      <c r="AJ388" s="135"/>
      <c r="AK388" s="128"/>
      <c r="AL388" s="131"/>
      <c r="AM388" s="124" t="s">
        <v>232</v>
      </c>
      <c r="AN388" s="136" t="s">
        <v>1534</v>
      </c>
      <c r="AO388" s="137">
        <v>105.23</v>
      </c>
      <c r="AP388" s="128">
        <v>2192</v>
      </c>
      <c r="AQ388" s="128">
        <v>356.89</v>
      </c>
      <c r="AR388" s="128"/>
      <c r="AS388" s="128"/>
      <c r="AT388" s="122"/>
      <c r="AU388" s="124" t="s">
        <v>189</v>
      </c>
      <c r="AV388" s="115">
        <f>VLOOKUP(J388,'[63]ТР нефть'!$J$28:$BP$638,39,0)</f>
        <v>463.000018066</v>
      </c>
      <c r="AW388" s="115" t="str">
        <f>VLOOKUP(J388,'[63]ТР нефть'!$J$28:$BP$638,40,0)</f>
        <v>ГП</v>
      </c>
      <c r="AX388" s="115">
        <f>VLOOKUP(J388,'[63]ТР нефть'!$J$28:$BP$638,41,0)</f>
        <v>839.00002558599999</v>
      </c>
      <c r="AY388" s="115" t="str">
        <f>VLOOKUP(J388,'[63]ТР нефть'!$J$28:$BP$638,42,0)</f>
        <v>ГП</v>
      </c>
      <c r="AZ388" s="115">
        <f>VLOOKUP(J388,'[63]ТР нефть'!$J$28:$BP$638,43,0)</f>
        <v>1108.0000154300001</v>
      </c>
      <c r="BA388" s="115" t="str">
        <f>VLOOKUP(J388,'[63]ТР нефть'!$J$28:$BP$638,44,0)</f>
        <v>ГП</v>
      </c>
      <c r="BB388" s="115">
        <f>VLOOKUP(J388,'[63]ТР нефть'!$J$28:$BP$638,45,0)</f>
        <v>1340.0000683589999</v>
      </c>
      <c r="BC388" s="115" t="str">
        <f>VLOOKUP(J388,'[63]ТР нефть'!$J$28:$BP$638,46,0)</f>
        <v>ГК83 1/8</v>
      </c>
      <c r="BD388" s="115">
        <f>VLOOKUP(J388,'[63]ТР нефть'!$J$28:$BP$638,47,0)</f>
        <v>1600.0001238279999</v>
      </c>
      <c r="BE388" s="115" t="str">
        <f>VLOOKUP(J388,'[63]ТР нефть'!$J$28:$BP$638,48,0)</f>
        <v>ГК82 1/8</v>
      </c>
      <c r="BF388" s="115">
        <f>VLOOKUP(J388,'[63]ТР нефть'!$J$28:$BP$638,49,0)</f>
        <v>1740</v>
      </c>
      <c r="BG388" s="115" t="str">
        <f>VLOOKUP(J388,'[63]ТР нефть'!$J$28:$BP$638,50,0)</f>
        <v>ЦКсОК 5/16</v>
      </c>
      <c r="BH388" s="115">
        <f>VLOOKUP(J388,'[63]ТР нефть'!$J$28:$BP$638,51,0)</f>
        <v>1750</v>
      </c>
      <c r="BI388" s="115" t="str">
        <f>VLOOKUP(J388,'[63]ТР нефть'!$J$28:$BP$638,52,0)</f>
        <v xml:space="preserve">закрыт </v>
      </c>
      <c r="BJ388" s="115" t="str">
        <f>IF(IFERROR(VLOOKUP(J388,'[63]ТР нефть'!$J$28:$BP$638,53,0),"-")=0,"-",IFERROR(VLOOKUP(J388,'[63]ТР нефть'!$J$28:$BP$638,53,0),"-"))</f>
        <v>-</v>
      </c>
      <c r="BK388" s="138" t="str">
        <f>IF(IFERROR(VLOOKUP(J388,'[63]ТР нефть'!$J$28:$BP$638,54,0),"-")=0,"-",IFERROR(VLOOKUP(J388,'[63]ТР нефть'!$J$28:$BP$638,54,0),"-"))</f>
        <v>-</v>
      </c>
      <c r="BL388" s="138" t="str">
        <f>IF(IFERROR(VLOOKUP(J388,'[63]ТР нефть'!$J$28:$BP$638,55,0),"-")=0,"-",IFERROR(VLOOKUP(J388,'[63]ТР нефть'!$J$28:$BP$638,55,0),"-"))</f>
        <v>-</v>
      </c>
      <c r="BM388" s="138" t="str">
        <f>IF(IFERROR(VLOOKUP(J388,'[63]ТР нефть'!$J$28:$BP$638,56,0),"-")=0,"-",IFERROR(VLOOKUP(J388,'[63]ТР нефть'!$J$28:$BP$638,56,0),"-"))</f>
        <v>-</v>
      </c>
      <c r="BN388" s="138" t="str">
        <f>IF(IFERROR(VLOOKUP(J388,'[63]ТР нефть'!$J$28:$BP$638,57,0),"-")=0,"-",IFERROR(VLOOKUP(J388,'[63]ТР нефть'!$J$28:$BP$638,57,0),"-"))</f>
        <v>-</v>
      </c>
      <c r="BO388" s="115" t="str">
        <f>IF(IFERROR(VLOOKUP(J388,'[63]ТР нефть'!$J$28:$BP$638,58,0),"-")=0,"-",IFERROR(VLOOKUP(J388,'[63]ТР нефть'!$J$28:$BP$638,58,0),"-"))</f>
        <v>-</v>
      </c>
      <c r="BP388" s="115" t="str">
        <f>IF(IFERROR(VLOOKUP(J388,'[63]ТР нефть'!$J$28:$BP$638,59,0),"-")=0,"-",IFERROR(VLOOKUP(J388,'[63]ТР нефть'!$J$28:$BP$638,59,0),"-"))</f>
        <v>-</v>
      </c>
      <c r="BQ388" s="138">
        <v>2241</v>
      </c>
      <c r="BR388" s="128">
        <v>1839</v>
      </c>
      <c r="BS388" s="115">
        <f t="shared" si="307"/>
        <v>402</v>
      </c>
      <c r="BT388" s="128">
        <v>73</v>
      </c>
      <c r="BU388" s="128">
        <v>5.5</v>
      </c>
      <c r="BV388" s="127">
        <v>8</v>
      </c>
      <c r="BW388" s="127" t="s">
        <v>217</v>
      </c>
      <c r="BX388" s="127" t="s">
        <v>195</v>
      </c>
      <c r="BY388" s="139">
        <v>24</v>
      </c>
      <c r="BZ388" s="139">
        <v>0</v>
      </c>
      <c r="CA388" s="138">
        <v>22</v>
      </c>
      <c r="CB388" s="138">
        <v>42</v>
      </c>
      <c r="CC388" s="138">
        <v>21</v>
      </c>
      <c r="CD388" s="135">
        <v>45017</v>
      </c>
      <c r="CE388" s="138">
        <v>129</v>
      </c>
      <c r="CF388" s="138">
        <v>76</v>
      </c>
      <c r="CG388" s="138" t="str">
        <f t="shared" si="265"/>
        <v>В работе</v>
      </c>
      <c r="CH388" s="138" t="s">
        <v>235</v>
      </c>
      <c r="CI388" s="127">
        <v>5</v>
      </c>
      <c r="CJ388" s="138"/>
      <c r="CK388" s="138">
        <f t="shared" si="308"/>
        <v>41</v>
      </c>
      <c r="CL388" s="99"/>
      <c r="CM388" s="99"/>
      <c r="CN388" s="140">
        <v>63</v>
      </c>
      <c r="CO388" s="141">
        <f t="shared" si="276"/>
        <v>3.6784000000000003</v>
      </c>
      <c r="CP388" s="142">
        <v>4.4000000000000004</v>
      </c>
      <c r="CQ388" s="143">
        <v>0</v>
      </c>
      <c r="CR388" s="115">
        <v>9</v>
      </c>
      <c r="CS388" s="139">
        <v>3.6</v>
      </c>
      <c r="CT388" s="138"/>
      <c r="CU388" s="138">
        <f t="shared" si="277"/>
        <v>5.4</v>
      </c>
      <c r="CV388" s="115">
        <f>(CR388-CS388)*1000/CO388</f>
        <v>1468.0295780774247</v>
      </c>
      <c r="CW388" s="115">
        <f t="shared" si="279"/>
        <v>978.68638538494986</v>
      </c>
      <c r="CX388" s="133">
        <f t="shared" si="280"/>
        <v>6.6666666666666666E-2</v>
      </c>
      <c r="CY388" s="116"/>
      <c r="CZ388" s="131"/>
      <c r="DA388" s="145" t="str">
        <f t="shared" si="281"/>
        <v>Газлифт</v>
      </c>
      <c r="DB388" s="146">
        <f t="shared" si="282"/>
        <v>3.6784000000000003</v>
      </c>
      <c r="DC388" s="142">
        <f t="shared" si="302"/>
        <v>4.4000000000000004</v>
      </c>
      <c r="DD388" s="119">
        <f t="shared" si="303"/>
        <v>0</v>
      </c>
      <c r="DE388" s="115">
        <f t="shared" si="283"/>
        <v>5.4</v>
      </c>
      <c r="DF388" s="121">
        <f t="shared" si="284"/>
        <v>3.6</v>
      </c>
      <c r="DG388" s="115">
        <f t="shared" si="285"/>
        <v>1468.0295780774247</v>
      </c>
      <c r="DH388" s="115">
        <f t="shared" si="286"/>
        <v>63</v>
      </c>
      <c r="DI388" s="1038"/>
      <c r="DJ388" s="111"/>
      <c r="DK388" s="112">
        <v>43896</v>
      </c>
      <c r="DL388" s="113">
        <f t="shared" ca="1" si="266"/>
        <v>1208</v>
      </c>
      <c r="DM388" s="114"/>
      <c r="DN388" s="114"/>
      <c r="DO388" s="114"/>
      <c r="DP388" s="114"/>
      <c r="DQ388" s="112"/>
      <c r="DR388" s="114"/>
      <c r="DS388" s="114"/>
      <c r="DT388" s="115">
        <v>59</v>
      </c>
      <c r="DU388" s="116">
        <f t="shared" si="267"/>
        <v>6.5477517651430714E-2</v>
      </c>
      <c r="DV388" s="117">
        <f t="shared" si="268"/>
        <v>3.8317443329617253</v>
      </c>
      <c r="DW388" s="118">
        <f t="shared" si="269"/>
        <v>4.5834262356001503</v>
      </c>
      <c r="DX388" s="119">
        <f t="shared" si="287"/>
        <v>0</v>
      </c>
      <c r="DY388" s="115">
        <f t="shared" si="270"/>
        <v>5.6251140164183653</v>
      </c>
      <c r="DZ388" s="117">
        <f t="shared" si="305"/>
        <v>0.15334433296172501</v>
      </c>
      <c r="EA388" s="120">
        <f t="shared" si="305"/>
        <v>0.18342623560014992</v>
      </c>
      <c r="EB388" s="119">
        <f t="shared" si="264"/>
        <v>0</v>
      </c>
      <c r="EC388" s="121">
        <f t="shared" si="272"/>
        <v>0.22511401641836493</v>
      </c>
      <c r="ED388" s="122"/>
      <c r="EE388" s="145">
        <v>8</v>
      </c>
      <c r="EF388" s="115">
        <v>24</v>
      </c>
      <c r="EG388" s="115">
        <v>42</v>
      </c>
      <c r="EH388" s="115">
        <v>23</v>
      </c>
      <c r="EI388" s="128" t="s">
        <v>195</v>
      </c>
      <c r="EJ388" s="121">
        <v>24</v>
      </c>
      <c r="EK388" s="121">
        <v>0</v>
      </c>
      <c r="EL388" s="149">
        <v>3.6784000000000003</v>
      </c>
      <c r="EM388" s="142">
        <v>4.4000000000000004</v>
      </c>
      <c r="EN388" s="119">
        <v>0</v>
      </c>
      <c r="EO388" s="115">
        <v>9</v>
      </c>
      <c r="EP388" s="115">
        <v>1468</v>
      </c>
      <c r="EQ388" s="115">
        <v>78</v>
      </c>
      <c r="ER388" s="115">
        <v>3.6</v>
      </c>
      <c r="ES388" s="115">
        <v>63</v>
      </c>
      <c r="ET388" s="150">
        <v>6.6666666666666666E-2</v>
      </c>
      <c r="EU388" s="145">
        <f t="shared" si="288"/>
        <v>8</v>
      </c>
      <c r="EV388" s="115">
        <f t="shared" si="289"/>
        <v>22</v>
      </c>
      <c r="EW388" s="115">
        <f t="shared" si="289"/>
        <v>42</v>
      </c>
      <c r="EX388" s="115">
        <f t="shared" si="289"/>
        <v>21</v>
      </c>
      <c r="EY388" s="115" t="str">
        <f t="shared" si="309"/>
        <v>Постоянный</v>
      </c>
      <c r="EZ388" s="115">
        <f t="shared" si="309"/>
        <v>24</v>
      </c>
      <c r="FA388" s="115">
        <f t="shared" si="309"/>
        <v>0</v>
      </c>
      <c r="FB388" s="149">
        <f t="shared" si="298"/>
        <v>3.6784000000000003</v>
      </c>
      <c r="FC388" s="142">
        <f t="shared" si="298"/>
        <v>4.4000000000000004</v>
      </c>
      <c r="FD388" s="119">
        <f t="shared" si="298"/>
        <v>0</v>
      </c>
      <c r="FE388" s="121">
        <f t="shared" si="298"/>
        <v>9</v>
      </c>
      <c r="FF388" s="121">
        <f t="shared" si="300"/>
        <v>1468.0295780774247</v>
      </c>
      <c r="FG388" s="121">
        <f t="shared" si="290"/>
        <v>76</v>
      </c>
      <c r="FH388" s="121">
        <f t="shared" si="301"/>
        <v>3.6</v>
      </c>
      <c r="FI388" s="121">
        <f t="shared" si="306"/>
        <v>63</v>
      </c>
      <c r="FJ388" s="144">
        <f t="shared" si="291"/>
        <v>6.6666666666666666E-2</v>
      </c>
      <c r="FK388" s="132">
        <f t="shared" si="292"/>
        <v>0</v>
      </c>
      <c r="FL388" s="115">
        <f t="shared" si="292"/>
        <v>-2</v>
      </c>
      <c r="FM388" s="115">
        <f t="shared" si="292"/>
        <v>0</v>
      </c>
      <c r="FN388" s="115">
        <f t="shared" si="273"/>
        <v>-2</v>
      </c>
      <c r="FO388" s="115">
        <f t="shared" si="257"/>
        <v>0</v>
      </c>
      <c r="FP388" s="115">
        <f t="shared" si="257"/>
        <v>0</v>
      </c>
      <c r="FQ388" s="149">
        <f t="shared" si="257"/>
        <v>0</v>
      </c>
      <c r="FR388" s="142">
        <f t="shared" si="256"/>
        <v>0</v>
      </c>
      <c r="FS388" s="119">
        <f t="shared" si="256"/>
        <v>0</v>
      </c>
      <c r="FT388" s="121">
        <f t="shared" si="256"/>
        <v>0</v>
      </c>
      <c r="FU388" s="121">
        <f t="shared" si="293"/>
        <v>-2</v>
      </c>
      <c r="FV388" s="121">
        <f t="shared" si="293"/>
        <v>0</v>
      </c>
      <c r="FW388" s="121">
        <f t="shared" si="294"/>
        <v>2.9578077424730509E-2</v>
      </c>
      <c r="FX388" s="121">
        <f t="shared" si="295"/>
        <v>0</v>
      </c>
      <c r="FY388" s="144">
        <f t="shared" si="295"/>
        <v>0</v>
      </c>
      <c r="FZ388" s="145"/>
      <c r="GA388" s="151"/>
      <c r="GB388" s="145" t="s">
        <v>199</v>
      </c>
      <c r="GC388" s="151" t="s">
        <v>1093</v>
      </c>
      <c r="GD388" s="997" t="s">
        <v>220</v>
      </c>
      <c r="GE388" s="1004" t="s">
        <v>199</v>
      </c>
      <c r="GF388" s="1004">
        <v>-1.3365374439999997</v>
      </c>
      <c r="GG388" s="1004"/>
      <c r="GH388" s="1004">
        <v>0</v>
      </c>
      <c r="GI388" s="145"/>
      <c r="GJ388" s="996">
        <v>0</v>
      </c>
      <c r="GK388" s="145"/>
      <c r="GL388" s="996">
        <v>0</v>
      </c>
      <c r="GM388" s="1005"/>
      <c r="GN388" s="996">
        <v>0</v>
      </c>
      <c r="GO388" s="1006" t="s">
        <v>203</v>
      </c>
      <c r="GP388" s="996">
        <v>-0.94118209240000006</v>
      </c>
      <c r="GQ388" s="1006"/>
      <c r="GR388" s="996">
        <v>1.195363999997312E-4</v>
      </c>
      <c r="GS388" s="1006" t="s">
        <v>25</v>
      </c>
      <c r="GT388" s="996">
        <v>1.4799580928</v>
      </c>
      <c r="GU388" s="1006"/>
      <c r="GV388" s="996">
        <v>0.16720000000000024</v>
      </c>
      <c r="GW388" s="1006"/>
      <c r="GX388" s="996">
        <v>0</v>
      </c>
      <c r="GY388" s="1006" t="s">
        <v>199</v>
      </c>
      <c r="GZ388" s="996">
        <v>-1.3777279999999998</v>
      </c>
      <c r="HA388" s="1006"/>
      <c r="HB388" s="996">
        <v>0</v>
      </c>
      <c r="HC388" s="1006" t="s">
        <v>199</v>
      </c>
      <c r="HD388" s="996">
        <v>1.461328</v>
      </c>
      <c r="HE388" s="1006"/>
      <c r="HF388" s="996">
        <v>0</v>
      </c>
      <c r="HG388" s="1006"/>
      <c r="HH388" s="996">
        <v>0</v>
      </c>
      <c r="HI388" s="1006"/>
      <c r="HJ388" s="996">
        <v>-0.83600000000000074</v>
      </c>
      <c r="HK388" s="1006"/>
      <c r="HL388" s="996">
        <v>0</v>
      </c>
      <c r="HM388" s="1006"/>
      <c r="HN388" s="996">
        <v>-0.91959999999999953</v>
      </c>
      <c r="HO388" s="1006"/>
      <c r="HP388" s="996">
        <v>0</v>
      </c>
      <c r="HQ388" s="1006"/>
      <c r="HR388" s="996">
        <v>0</v>
      </c>
      <c r="HS388" s="1006"/>
      <c r="HT388" s="996">
        <v>0</v>
      </c>
      <c r="HU388" s="1006"/>
      <c r="HV388" s="996">
        <v>0</v>
      </c>
      <c r="HW388" s="1006"/>
      <c r="HX388" s="996">
        <v>0</v>
      </c>
      <c r="HY388" s="1006"/>
      <c r="HZ388" s="996">
        <v>0</v>
      </c>
      <c r="IA388" s="1006"/>
      <c r="IB388" s="996">
        <v>0</v>
      </c>
      <c r="IC388" s="1006"/>
      <c r="ID388" s="996">
        <v>0</v>
      </c>
      <c r="IE388" s="1006"/>
      <c r="IF388" s="996">
        <v>0</v>
      </c>
      <c r="IG388" s="1006"/>
      <c r="IH388" s="996">
        <v>0</v>
      </c>
      <c r="II388" s="1006"/>
      <c r="IJ388" s="996">
        <v>0</v>
      </c>
      <c r="IK388" s="1006"/>
      <c r="IL388" s="996">
        <v>0</v>
      </c>
      <c r="IM388" s="1006"/>
      <c r="IN388" s="996">
        <v>0</v>
      </c>
      <c r="IO388" s="1006"/>
      <c r="IP388" s="996">
        <v>0</v>
      </c>
      <c r="IQ388" s="1006" t="s">
        <v>199</v>
      </c>
      <c r="IR388" s="996">
        <v>-1.7555999999999994</v>
      </c>
      <c r="IS388" s="1006"/>
      <c r="IT388" s="996">
        <v>0</v>
      </c>
      <c r="IU388" s="1006" t="s">
        <v>199</v>
      </c>
      <c r="IV388" s="996">
        <v>-5.1163199999999991</v>
      </c>
      <c r="IW388" s="1006"/>
      <c r="IX388" s="996">
        <v>0</v>
      </c>
      <c r="IY388" s="1006" t="s">
        <v>203</v>
      </c>
      <c r="IZ388" s="996">
        <v>-4.6287230000000008</v>
      </c>
      <c r="JA388" s="1006" t="s">
        <v>203</v>
      </c>
      <c r="JB388" s="996">
        <v>-5.6373570000000015</v>
      </c>
      <c r="JC388" s="1006" t="s">
        <v>25</v>
      </c>
      <c r="JD388" s="996">
        <v>21.736000000000001</v>
      </c>
      <c r="JE388" s="1006"/>
      <c r="JF388" s="996"/>
      <c r="JG388" s="1006"/>
      <c r="JH388" s="996"/>
      <c r="JI388" s="1006"/>
      <c r="JJ388" s="996"/>
      <c r="JK388" s="1007"/>
      <c r="JL388" s="1007"/>
      <c r="JM388" s="1007"/>
      <c r="JN388" s="1007"/>
      <c r="JO388" s="1008"/>
      <c r="JP388" s="1007"/>
      <c r="JQ388" s="1008"/>
      <c r="JR388" s="1007"/>
      <c r="JS388" s="1008"/>
      <c r="JT388" s="1007"/>
      <c r="JU388" s="1008"/>
      <c r="JV388" s="1007"/>
      <c r="JW388" s="1008"/>
      <c r="JX388" s="1007"/>
      <c r="JY388" s="1008"/>
      <c r="JZ388" s="1007"/>
      <c r="KA388" s="1008"/>
      <c r="KB388" s="1007"/>
      <c r="KC388" s="1008"/>
      <c r="KD388" s="1007"/>
      <c r="KE388" s="1008"/>
      <c r="KF388" s="1007"/>
      <c r="KG388" s="1008"/>
      <c r="KH388" s="1007"/>
      <c r="KI388" s="1008"/>
      <c r="KJ388" s="1007"/>
      <c r="KK388" s="1008"/>
      <c r="KL388" s="1007"/>
      <c r="KM388" s="1008"/>
      <c r="KN388" s="1007"/>
      <c r="KO388" s="1008"/>
      <c r="KP388" s="1007"/>
      <c r="KQ388" s="1008"/>
      <c r="KR388" s="1007"/>
      <c r="KS388" s="1008"/>
      <c r="KT388" s="1007"/>
      <c r="KU388" s="1008"/>
      <c r="KV388" s="1007"/>
      <c r="KW388" s="1008"/>
      <c r="KX388" s="1007"/>
      <c r="KY388" s="1008"/>
      <c r="KZ388" s="1007"/>
      <c r="LA388" s="1008"/>
      <c r="LB388" s="1007"/>
      <c r="LC388" s="1008"/>
      <c r="LD388" s="1007"/>
      <c r="LE388" s="1008"/>
      <c r="LF388" s="1007"/>
      <c r="LG388" s="1008"/>
      <c r="LH388" s="1007"/>
      <c r="LI388" s="1008"/>
      <c r="LJ388" s="1007"/>
      <c r="LK388" s="1008"/>
      <c r="LL388" s="1007"/>
      <c r="LM388" s="1008"/>
      <c r="LN388" s="1007"/>
      <c r="LO388" s="1008"/>
      <c r="LP388" s="1007"/>
      <c r="LQ388" s="1008"/>
      <c r="LR388" s="1007"/>
      <c r="LS388" s="1008"/>
      <c r="LT388" s="1007"/>
      <c r="LU388" s="1008"/>
      <c r="LV388" s="1007"/>
      <c r="LW388" s="1008"/>
      <c r="LX388" s="1007"/>
      <c r="LY388" s="1009"/>
      <c r="LZ388" s="1010"/>
      <c r="MA388" s="1011"/>
      <c r="MB388" s="1012"/>
      <c r="MC388" s="995"/>
      <c r="MD388" s="996"/>
      <c r="ME388" s="997" t="s">
        <v>220</v>
      </c>
      <c r="MF388" s="997"/>
      <c r="MG388" s="998"/>
      <c r="NR388" s="1000"/>
      <c r="NS388" s="1000"/>
      <c r="NT388" s="1001"/>
      <c r="NU388" s="1000"/>
      <c r="NV388" s="1001"/>
      <c r="NX388" s="1002"/>
      <c r="NZ388" s="1001"/>
      <c r="OA388" s="1001"/>
      <c r="OC388" s="1003"/>
      <c r="OD388" s="1003"/>
      <c r="OE388" s="1001"/>
      <c r="OF388" s="1003"/>
      <c r="OG388" s="1003"/>
      <c r="QX388" s="1000">
        <f>CN388-CA388</f>
        <v>41</v>
      </c>
      <c r="ASU388" s="999" t="s">
        <v>315</v>
      </c>
    </row>
    <row r="389" spans="1:466 1191:1191" ht="21" customHeight="1" x14ac:dyDescent="0.25">
      <c r="A389" s="982">
        <f t="shared" si="274"/>
        <v>1434</v>
      </c>
      <c r="B389" s="124">
        <f>SUBTOTAL(103,$J$29:J389)</f>
        <v>361</v>
      </c>
      <c r="C389" s="126">
        <v>45068</v>
      </c>
      <c r="D389" s="124" t="s">
        <v>176</v>
      </c>
      <c r="E389" s="127" t="s">
        <v>177</v>
      </c>
      <c r="F389" s="128" t="s">
        <v>177</v>
      </c>
      <c r="G389" s="127" t="s">
        <v>178</v>
      </c>
      <c r="H389" s="127" t="s">
        <v>179</v>
      </c>
      <c r="I389" s="127" t="s">
        <v>1521</v>
      </c>
      <c r="J389" s="152">
        <v>1434</v>
      </c>
      <c r="K389" s="127" t="s">
        <v>1521</v>
      </c>
      <c r="L389" s="130">
        <v>42686</v>
      </c>
      <c r="M389" s="127" t="s">
        <v>230</v>
      </c>
      <c r="N389" s="127" t="s">
        <v>184</v>
      </c>
      <c r="O389" s="127" t="s">
        <v>185</v>
      </c>
      <c r="P389" s="127" t="s">
        <v>186</v>
      </c>
      <c r="Q389" s="85" t="str">
        <f t="shared" si="297"/>
        <v/>
      </c>
      <c r="R389" s="130"/>
      <c r="S389" s="128"/>
      <c r="T389" s="131"/>
      <c r="U389" s="132">
        <v>203</v>
      </c>
      <c r="V389" s="121">
        <v>218.2</v>
      </c>
      <c r="W389" s="116">
        <v>0.98</v>
      </c>
      <c r="X389" s="116">
        <v>1.66</v>
      </c>
      <c r="Y389" s="116">
        <f t="shared" si="299"/>
        <v>1.1550695825049699</v>
      </c>
      <c r="Z389" s="133">
        <v>1.454</v>
      </c>
      <c r="AA389" s="133">
        <v>0.83599999999999997</v>
      </c>
      <c r="AB389" s="133">
        <v>0.72</v>
      </c>
      <c r="AC389" s="121">
        <v>34.299999999999997</v>
      </c>
      <c r="AD389" s="134">
        <v>1.17</v>
      </c>
      <c r="AE389" s="124">
        <v>177.8</v>
      </c>
      <c r="AF389" s="128">
        <v>9.19</v>
      </c>
      <c r="AG389" s="128">
        <v>2101</v>
      </c>
      <c r="AH389" s="127">
        <v>2720</v>
      </c>
      <c r="AI389" s="127">
        <v>2720</v>
      </c>
      <c r="AJ389" s="135"/>
      <c r="AK389" s="128"/>
      <c r="AL389" s="131"/>
      <c r="AM389" s="124" t="s">
        <v>232</v>
      </c>
      <c r="AN389" s="136" t="s">
        <v>1535</v>
      </c>
      <c r="AO389" s="137">
        <v>7.34</v>
      </c>
      <c r="AP389" s="128">
        <v>2110</v>
      </c>
      <c r="AQ389" s="128">
        <v>270</v>
      </c>
      <c r="AR389" s="128"/>
      <c r="AS389" s="128"/>
      <c r="AT389" s="122"/>
      <c r="AU389" s="124" t="s">
        <v>189</v>
      </c>
      <c r="AV389" s="115">
        <f>VLOOKUP(J389,'[63]ТР нефть'!$J$28:$BP$638,39,0)</f>
        <v>462.000004687</v>
      </c>
      <c r="AW389" s="115" t="str">
        <f>VLOOKUP(J389,'[63]ТР нефть'!$J$28:$BP$638,40,0)</f>
        <v>ГП</v>
      </c>
      <c r="AX389" s="115">
        <f>VLOOKUP(J389,'[63]ТР нефть'!$J$28:$BP$638,41,0)</f>
        <v>881.99996835900004</v>
      </c>
      <c r="AY389" s="115" t="str">
        <f>VLOOKUP(J389,'[63]ТР нефть'!$J$28:$BP$638,42,0)</f>
        <v>ГП</v>
      </c>
      <c r="AZ389" s="115">
        <f>VLOOKUP(J389,'[63]ТР нефть'!$J$28:$BP$638,43,0)</f>
        <v>1239.999995508</v>
      </c>
      <c r="BA389" s="115" t="str">
        <f>VLOOKUP(J389,'[63]ТР нефть'!$J$28:$BP$638,44,0)</f>
        <v>ГК84 1/8</v>
      </c>
      <c r="BB389" s="115">
        <f>VLOOKUP(J389,'[63]ТР нефть'!$J$28:$BP$638,45,0)</f>
        <v>1534.0000593750001</v>
      </c>
      <c r="BC389" s="115" t="str">
        <f>VLOOKUP(J389,'[63]ТР нефть'!$J$28:$BP$638,46,0)</f>
        <v>ГК84 1/8</v>
      </c>
      <c r="BD389" s="115">
        <f>VLOOKUP(J389,'[63]ТР нефть'!$J$28:$BP$638,47,0)</f>
        <v>1743.9999667970001</v>
      </c>
      <c r="BE389" s="115" t="str">
        <f>VLOOKUP(J389,'[63]ТР нефть'!$J$28:$BP$638,48,0)</f>
        <v>ЦКсОК 5/16</v>
      </c>
      <c r="BF389" s="115" t="str">
        <f>VLOOKUP(J389,'[63]ТР нефть'!$J$28:$BP$638,49,0)</f>
        <v>-</v>
      </c>
      <c r="BG389" s="115" t="str">
        <f>VLOOKUP(J389,'[63]ТР нефть'!$J$28:$BP$638,50,0)</f>
        <v>-</v>
      </c>
      <c r="BH389" s="115">
        <f>VLOOKUP(J389,'[63]ТР нефть'!$J$28:$BP$638,51,0)</f>
        <v>1780</v>
      </c>
      <c r="BI389" s="115" t="str">
        <f>VLOOKUP(J389,'[63]ТР нефть'!$J$28:$BP$638,52,0)</f>
        <v xml:space="preserve">закрыт </v>
      </c>
      <c r="BJ389" s="115" t="str">
        <f>IF(IFERROR(VLOOKUP(J389,'[63]ТР нефть'!$J$28:$BP$638,53,0),"-")=0,"-",IFERROR(VLOOKUP(J389,'[63]ТР нефть'!$J$28:$BP$638,53,0),"-"))</f>
        <v>-</v>
      </c>
      <c r="BK389" s="138" t="str">
        <f>IF(IFERROR(VLOOKUP(J389,'[63]ТР нефть'!$J$28:$BP$638,54,0),"-")=0,"-",IFERROR(VLOOKUP(J389,'[63]ТР нефть'!$J$28:$BP$638,54,0),"-"))</f>
        <v>-</v>
      </c>
      <c r="BL389" s="138" t="str">
        <f>IF(IFERROR(VLOOKUP(J389,'[63]ТР нефть'!$J$28:$BP$638,55,0),"-")=0,"-",IFERROR(VLOOKUP(J389,'[63]ТР нефть'!$J$28:$BP$638,55,0),"-"))</f>
        <v>-</v>
      </c>
      <c r="BM389" s="138" t="str">
        <f>IF(IFERROR(VLOOKUP(J389,'[63]ТР нефть'!$J$28:$BP$638,56,0),"-")=0,"-",IFERROR(VLOOKUP(J389,'[63]ТР нефть'!$J$28:$BP$638,56,0),"-"))</f>
        <v>-</v>
      </c>
      <c r="BN389" s="138" t="str">
        <f>IF(IFERROR(VLOOKUP(J389,'[63]ТР нефть'!$J$28:$BP$638,57,0),"-")=0,"-",IFERROR(VLOOKUP(J389,'[63]ТР нефть'!$J$28:$BP$638,57,0),"-"))</f>
        <v>-</v>
      </c>
      <c r="BO389" s="115" t="str">
        <f>IF(IFERROR(VLOOKUP(J389,'[63]ТР нефть'!$J$28:$BP$638,58,0),"-")=0,"-",IFERROR(VLOOKUP(J389,'[63]ТР нефть'!$J$28:$BP$638,58,0),"-"))</f>
        <v>-</v>
      </c>
      <c r="BP389" s="115" t="str">
        <f>IF(IFERROR(VLOOKUP(J389,'[63]ТР нефть'!$J$28:$BP$638,59,0),"-")=0,"-",IFERROR(VLOOKUP(J389,'[63]ТР нефть'!$J$28:$BP$638,59,0),"-"))</f>
        <v>-</v>
      </c>
      <c r="BQ389" s="138">
        <v>2110</v>
      </c>
      <c r="BR389" s="128">
        <v>1840.55</v>
      </c>
      <c r="BS389" s="115">
        <f t="shared" si="307"/>
        <v>269.45000000000005</v>
      </c>
      <c r="BT389" s="128">
        <v>73</v>
      </c>
      <c r="BU389" s="128">
        <v>5.5</v>
      </c>
      <c r="BV389" s="127">
        <v>65</v>
      </c>
      <c r="BW389" s="127" t="s">
        <v>217</v>
      </c>
      <c r="BX389" s="127" t="s">
        <v>195</v>
      </c>
      <c r="BY389" s="139">
        <v>24</v>
      </c>
      <c r="BZ389" s="139">
        <v>0</v>
      </c>
      <c r="CA389" s="80">
        <v>24</v>
      </c>
      <c r="CB389" s="138">
        <v>50</v>
      </c>
      <c r="CC389" s="138">
        <v>23</v>
      </c>
      <c r="CD389" s="135">
        <v>45017</v>
      </c>
      <c r="CE389" s="138">
        <v>87</v>
      </c>
      <c r="CF389" s="138">
        <v>77</v>
      </c>
      <c r="CG389" s="138" t="str">
        <f t="shared" si="265"/>
        <v>В работе</v>
      </c>
      <c r="CH389" s="138" t="s">
        <v>196</v>
      </c>
      <c r="CI389" s="127">
        <v>5</v>
      </c>
      <c r="CJ389" s="138"/>
      <c r="CK389" s="138">
        <f t="shared" si="308"/>
        <v>33</v>
      </c>
      <c r="CL389" s="99"/>
      <c r="CM389" s="99"/>
      <c r="CN389" s="140">
        <v>57</v>
      </c>
      <c r="CO389" s="141">
        <f t="shared" si="276"/>
        <v>13.167</v>
      </c>
      <c r="CP389" s="142">
        <v>25</v>
      </c>
      <c r="CQ389" s="143">
        <v>37</v>
      </c>
      <c r="CR389" s="115">
        <v>29</v>
      </c>
      <c r="CS389" s="139">
        <v>16</v>
      </c>
      <c r="CT389" s="138"/>
      <c r="CU389" s="138">
        <f t="shared" si="277"/>
        <v>13</v>
      </c>
      <c r="CV389" s="115">
        <f t="shared" si="278"/>
        <v>987.31677679046106</v>
      </c>
      <c r="CW389" s="115">
        <f t="shared" si="279"/>
        <v>670.05883954184731</v>
      </c>
      <c r="CX389" s="133">
        <f t="shared" si="280"/>
        <v>0.83333333333333337</v>
      </c>
      <c r="CY389" s="116"/>
      <c r="CZ389" s="131"/>
      <c r="DA389" s="145" t="str">
        <f t="shared" si="281"/>
        <v>Газлифт</v>
      </c>
      <c r="DB389" s="146">
        <f t="shared" si="282"/>
        <v>15.674999999999999</v>
      </c>
      <c r="DC389" s="142">
        <f t="shared" si="302"/>
        <v>25</v>
      </c>
      <c r="DD389" s="119">
        <f t="shared" si="303"/>
        <v>25</v>
      </c>
      <c r="DE389" s="115">
        <f t="shared" si="283"/>
        <v>13</v>
      </c>
      <c r="DF389" s="121">
        <f t="shared" si="284"/>
        <v>16</v>
      </c>
      <c r="DG389" s="115">
        <f t="shared" si="285"/>
        <v>987.31677679046106</v>
      </c>
      <c r="DH389" s="115">
        <f t="shared" si="286"/>
        <v>57</v>
      </c>
      <c r="DI389" s="147"/>
      <c r="DJ389" s="111" t="s">
        <v>197</v>
      </c>
      <c r="DK389" s="112">
        <v>42686</v>
      </c>
      <c r="DL389" s="113">
        <f t="shared" ca="1" si="266"/>
        <v>2418</v>
      </c>
      <c r="DM389" s="114"/>
      <c r="DN389" s="114"/>
      <c r="DO389" s="114"/>
      <c r="DP389" s="114"/>
      <c r="DQ389" s="112">
        <v>42686</v>
      </c>
      <c r="DR389" s="114" t="s">
        <v>324</v>
      </c>
      <c r="DS389" s="114"/>
      <c r="DT389" s="115">
        <v>60</v>
      </c>
      <c r="DU389" s="116">
        <f t="shared" si="267"/>
        <v>0.92592592592592593</v>
      </c>
      <c r="DV389" s="117">
        <f t="shared" si="268"/>
        <v>13.167</v>
      </c>
      <c r="DW389" s="118">
        <f t="shared" si="269"/>
        <v>25</v>
      </c>
      <c r="DX389" s="119">
        <f t="shared" si="287"/>
        <v>37</v>
      </c>
      <c r="DY389" s="115">
        <f t="shared" si="270"/>
        <v>13</v>
      </c>
      <c r="DZ389" s="117">
        <f t="shared" si="305"/>
        <v>0</v>
      </c>
      <c r="EA389" s="120">
        <f t="shared" si="305"/>
        <v>0</v>
      </c>
      <c r="EB389" s="119">
        <f t="shared" si="264"/>
        <v>0</v>
      </c>
      <c r="EC389" s="121">
        <f t="shared" si="272"/>
        <v>0</v>
      </c>
      <c r="ED389" s="122"/>
      <c r="EE389" s="145">
        <v>65</v>
      </c>
      <c r="EF389" s="148">
        <v>25</v>
      </c>
      <c r="EG389" s="115">
        <v>50</v>
      </c>
      <c r="EH389" s="115">
        <v>24</v>
      </c>
      <c r="EI389" s="128" t="s">
        <v>195</v>
      </c>
      <c r="EJ389" s="121">
        <v>24</v>
      </c>
      <c r="EK389" s="121">
        <v>0</v>
      </c>
      <c r="EL389" s="149">
        <v>10.032</v>
      </c>
      <c r="EM389" s="142">
        <v>16</v>
      </c>
      <c r="EN389" s="119">
        <v>25</v>
      </c>
      <c r="EO389" s="115">
        <v>29</v>
      </c>
      <c r="EP389" s="115">
        <v>1295.8532695374802</v>
      </c>
      <c r="EQ389" s="115">
        <v>78</v>
      </c>
      <c r="ER389" s="115">
        <v>16</v>
      </c>
      <c r="ES389" s="115">
        <v>57</v>
      </c>
      <c r="ET389" s="150">
        <v>0.53333333333333333</v>
      </c>
      <c r="EU389" s="145">
        <f t="shared" si="288"/>
        <v>65</v>
      </c>
      <c r="EV389" s="115">
        <f t="shared" si="289"/>
        <v>24</v>
      </c>
      <c r="EW389" s="115">
        <f t="shared" si="289"/>
        <v>50</v>
      </c>
      <c r="EX389" s="115">
        <f t="shared" si="289"/>
        <v>23</v>
      </c>
      <c r="EY389" s="115" t="str">
        <f t="shared" si="309"/>
        <v>Постоянный</v>
      </c>
      <c r="EZ389" s="115">
        <f t="shared" si="309"/>
        <v>24</v>
      </c>
      <c r="FA389" s="115">
        <f t="shared" si="309"/>
        <v>0</v>
      </c>
      <c r="FB389" s="149">
        <f t="shared" si="298"/>
        <v>13.167</v>
      </c>
      <c r="FC389" s="142">
        <f t="shared" si="298"/>
        <v>25</v>
      </c>
      <c r="FD389" s="119">
        <f t="shared" si="298"/>
        <v>37</v>
      </c>
      <c r="FE389" s="121">
        <f t="shared" si="298"/>
        <v>29</v>
      </c>
      <c r="FF389" s="121">
        <f t="shared" si="300"/>
        <v>987.31677679046106</v>
      </c>
      <c r="FG389" s="121">
        <f t="shared" si="290"/>
        <v>77</v>
      </c>
      <c r="FH389" s="121">
        <f t="shared" si="301"/>
        <v>16</v>
      </c>
      <c r="FI389" s="121">
        <f t="shared" si="306"/>
        <v>57</v>
      </c>
      <c r="FJ389" s="144">
        <f t="shared" si="291"/>
        <v>0.83333333333333337</v>
      </c>
      <c r="FK389" s="132">
        <f t="shared" si="292"/>
        <v>0</v>
      </c>
      <c r="FL389" s="115">
        <f t="shared" si="292"/>
        <v>-1</v>
      </c>
      <c r="FM389" s="115">
        <f t="shared" si="292"/>
        <v>0</v>
      </c>
      <c r="FN389" s="115">
        <f t="shared" si="273"/>
        <v>-1</v>
      </c>
      <c r="FO389" s="115">
        <f t="shared" si="257"/>
        <v>0</v>
      </c>
      <c r="FP389" s="115">
        <f t="shared" si="257"/>
        <v>0</v>
      </c>
      <c r="FQ389" s="149">
        <f t="shared" si="257"/>
        <v>3.1349999999999998</v>
      </c>
      <c r="FR389" s="142">
        <f t="shared" si="256"/>
        <v>9</v>
      </c>
      <c r="FS389" s="119">
        <f t="shared" si="256"/>
        <v>12</v>
      </c>
      <c r="FT389" s="121">
        <f t="shared" si="256"/>
        <v>0</v>
      </c>
      <c r="FU389" s="121">
        <f t="shared" si="293"/>
        <v>-1</v>
      </c>
      <c r="FV389" s="121">
        <f t="shared" si="293"/>
        <v>0</v>
      </c>
      <c r="FW389" s="121">
        <f t="shared" si="294"/>
        <v>-308.53649274701911</v>
      </c>
      <c r="FX389" s="121">
        <f t="shared" si="295"/>
        <v>0</v>
      </c>
      <c r="FY389" s="144">
        <f t="shared" si="295"/>
        <v>0.30000000000000004</v>
      </c>
      <c r="FZ389" s="145" t="s">
        <v>199</v>
      </c>
      <c r="GA389" s="151" t="s">
        <v>1536</v>
      </c>
      <c r="GB389" s="145" t="s">
        <v>199</v>
      </c>
      <c r="GC389" s="151" t="s">
        <v>1093</v>
      </c>
      <c r="GD389" s="997" t="s">
        <v>220</v>
      </c>
      <c r="GE389" s="1004" t="s">
        <v>199</v>
      </c>
      <c r="GF389" s="1004">
        <v>-3.2102399999999989</v>
      </c>
      <c r="GG389" s="1004"/>
      <c r="GH389" s="1004">
        <v>0</v>
      </c>
      <c r="GI389" s="145"/>
      <c r="GJ389" s="996">
        <v>0</v>
      </c>
      <c r="GK389" s="145"/>
      <c r="GL389" s="996">
        <v>4.605523999999761E-2</v>
      </c>
      <c r="GM389" s="1005"/>
      <c r="GN389" s="996">
        <v>0</v>
      </c>
      <c r="GO389" s="1006" t="s">
        <v>240</v>
      </c>
      <c r="GP389" s="996">
        <v>2.7970286080000015</v>
      </c>
      <c r="GQ389" s="1006" t="s">
        <v>240</v>
      </c>
      <c r="GR389" s="996">
        <v>-2.8246742920000028</v>
      </c>
      <c r="GS389" s="1006"/>
      <c r="GT389" s="996">
        <v>-0.76077755599999719</v>
      </c>
      <c r="GU389" s="1006"/>
      <c r="GV389" s="996">
        <v>3.5111999999983823E-3</v>
      </c>
      <c r="GW389" s="1006"/>
      <c r="GX389" s="996">
        <v>0</v>
      </c>
      <c r="GY389" s="1006" t="s">
        <v>223</v>
      </c>
      <c r="GZ389" s="996">
        <v>-1.9434491999999999</v>
      </c>
      <c r="HA389" s="1006"/>
      <c r="HB389" s="996">
        <v>0</v>
      </c>
      <c r="HC389" s="1006"/>
      <c r="HD389" s="996">
        <v>0</v>
      </c>
      <c r="HE389" s="1006"/>
      <c r="HF389" s="996">
        <v>0</v>
      </c>
      <c r="HG389" s="1006"/>
      <c r="HH389" s="996">
        <v>-0.7666621599999992</v>
      </c>
      <c r="HI389" s="1006"/>
      <c r="HJ389" s="996">
        <v>0</v>
      </c>
      <c r="HK389" s="1006"/>
      <c r="HL389" s="996">
        <v>2.4193839999995248E-2</v>
      </c>
      <c r="HM389" s="1006" t="s">
        <v>308</v>
      </c>
      <c r="HN389" s="996">
        <v>1.293760160000005</v>
      </c>
      <c r="HO389" s="1006" t="s">
        <v>223</v>
      </c>
      <c r="HP389" s="996">
        <v>-1.9060800000000029</v>
      </c>
      <c r="HQ389" s="1006"/>
      <c r="HR389" s="996">
        <v>-3.9519999999999555E-2</v>
      </c>
      <c r="HS389" s="1006"/>
      <c r="HT389" s="996">
        <v>0</v>
      </c>
      <c r="HU389" s="1006"/>
      <c r="HV389" s="996">
        <v>0</v>
      </c>
      <c r="HW389" s="1006"/>
      <c r="HX389" s="996">
        <v>0</v>
      </c>
      <c r="HY389" s="1006" t="s">
        <v>199</v>
      </c>
      <c r="HZ389" s="996">
        <v>7.2899200000000004</v>
      </c>
      <c r="IA389" s="1006" t="s">
        <v>199</v>
      </c>
      <c r="IB389" s="996">
        <v>-4.4814515679999989</v>
      </c>
      <c r="IC389" s="1006"/>
      <c r="ID389" s="996">
        <v>0</v>
      </c>
      <c r="IE389" s="1006"/>
      <c r="IF389" s="996">
        <v>-0.50361643200000117</v>
      </c>
      <c r="IG389" s="1006"/>
      <c r="IH389" s="996">
        <v>0</v>
      </c>
      <c r="II389" s="1006"/>
      <c r="IJ389" s="996">
        <v>0</v>
      </c>
      <c r="IK389" s="1006" t="s">
        <v>199</v>
      </c>
      <c r="IL389" s="996">
        <v>6.0033352279999974</v>
      </c>
      <c r="IM389" s="1006" t="s">
        <v>199</v>
      </c>
      <c r="IN389" s="996">
        <v>-3.8991232280000006</v>
      </c>
      <c r="IO389" s="1006" t="s">
        <v>204</v>
      </c>
      <c r="IP389" s="996">
        <v>-1.7769263599999938</v>
      </c>
      <c r="IQ389" s="1006"/>
      <c r="IR389" s="996">
        <v>0.12666235999999742</v>
      </c>
      <c r="IS389" s="1006" t="s">
        <v>223</v>
      </c>
      <c r="IT389" s="996">
        <v>-4.1264960000000031</v>
      </c>
      <c r="IU389" s="1006"/>
      <c r="IV389" s="996">
        <v>0</v>
      </c>
      <c r="IW389" s="1006"/>
      <c r="IX389" s="996">
        <v>0.85882280000000577</v>
      </c>
      <c r="IY389" s="1006"/>
      <c r="IZ389" s="996">
        <v>0</v>
      </c>
      <c r="JA389" s="1006" t="s">
        <v>223</v>
      </c>
      <c r="JB389" s="996">
        <v>-3.0023268000000023</v>
      </c>
      <c r="JC389" s="1006" t="s">
        <v>199</v>
      </c>
      <c r="JD389" s="996">
        <v>6.6221232000000008</v>
      </c>
      <c r="JE389" s="1006"/>
      <c r="JF389" s="996">
        <v>0</v>
      </c>
      <c r="JG389" s="1006"/>
      <c r="JH389" s="996">
        <v>0</v>
      </c>
      <c r="JI389" s="1006"/>
      <c r="JJ389" s="996">
        <v>0</v>
      </c>
      <c r="JK389" s="1007"/>
      <c r="JL389" s="1007">
        <v>0</v>
      </c>
      <c r="JM389" s="1007" t="s">
        <v>204</v>
      </c>
      <c r="JN389" s="1007">
        <v>-3.3450032000000007</v>
      </c>
      <c r="JO389" s="1008" t="s">
        <v>199</v>
      </c>
      <c r="JP389" s="1007">
        <v>-3.1360901440000006</v>
      </c>
      <c r="JQ389" s="1008" t="s">
        <v>199</v>
      </c>
      <c r="JR389" s="1007">
        <v>9.4060901440000002</v>
      </c>
      <c r="JS389" s="1008" t="s">
        <v>199</v>
      </c>
      <c r="JT389" s="1007">
        <v>-11.6204</v>
      </c>
      <c r="JU389" s="1008"/>
      <c r="JV389" s="1007">
        <v>0</v>
      </c>
      <c r="JW389" s="1008" t="s">
        <v>206</v>
      </c>
      <c r="JX389" s="1007">
        <v>-5.8185600000000015</v>
      </c>
      <c r="JY389" s="1008"/>
      <c r="JZ389" s="1007">
        <v>0</v>
      </c>
      <c r="KA389" s="1008"/>
      <c r="KB389" s="1007">
        <v>-3.3439999999998804E-2</v>
      </c>
      <c r="KC389" s="1008"/>
      <c r="KD389" s="1007">
        <v>0</v>
      </c>
      <c r="KE389" s="1008"/>
      <c r="KF389" s="1007">
        <v>3.3439999999998804E-2</v>
      </c>
      <c r="KG389" s="1008" t="s">
        <v>204</v>
      </c>
      <c r="KH389" s="1007">
        <v>0.3427599999999984</v>
      </c>
      <c r="KI389" s="1008"/>
      <c r="KJ389" s="1007">
        <v>0</v>
      </c>
      <c r="KK389" s="1008"/>
      <c r="KL389" s="1007">
        <v>0</v>
      </c>
      <c r="KM389" s="1008" t="s">
        <v>206</v>
      </c>
      <c r="KN389" s="1007">
        <v>-1.914439999999999</v>
      </c>
      <c r="KO389" s="1008" t="s">
        <v>259</v>
      </c>
      <c r="KP389" s="1007">
        <v>1.6796912000000077</v>
      </c>
      <c r="KQ389" s="1008">
        <v>0</v>
      </c>
      <c r="KR389" s="1007">
        <v>0</v>
      </c>
      <c r="KS389" s="1008" t="s">
        <v>146</v>
      </c>
      <c r="KT389" s="1007">
        <v>-4.561466799999998</v>
      </c>
      <c r="KU389" s="1008">
        <v>0</v>
      </c>
      <c r="KV389" s="1007">
        <v>0</v>
      </c>
      <c r="KW389" s="1008">
        <v>0</v>
      </c>
      <c r="KX389" s="1007">
        <v>0</v>
      </c>
      <c r="KY389" s="1008">
        <v>0</v>
      </c>
      <c r="KZ389" s="1007">
        <v>0</v>
      </c>
      <c r="LA389" s="1008">
        <v>0</v>
      </c>
      <c r="LB389" s="1007">
        <v>0</v>
      </c>
      <c r="LC389" s="1008" t="s">
        <v>206</v>
      </c>
      <c r="LD389" s="1007">
        <v>3.7093319999999963</v>
      </c>
      <c r="LE389" s="1008">
        <v>0</v>
      </c>
      <c r="LF389" s="1007">
        <v>0</v>
      </c>
      <c r="LG389" s="1008">
        <v>0</v>
      </c>
      <c r="LH389" s="1007">
        <v>0</v>
      </c>
      <c r="LI389" s="1008">
        <v>0</v>
      </c>
      <c r="LJ389" s="1007">
        <v>0</v>
      </c>
      <c r="LK389" s="1008" t="s">
        <v>146</v>
      </c>
      <c r="LL389" s="1007">
        <v>5.8825139999999996</v>
      </c>
      <c r="LM389" s="1008" t="s">
        <v>259</v>
      </c>
      <c r="LN389" s="1007">
        <v>8.3637619999999995</v>
      </c>
      <c r="LO389" s="1008" t="s">
        <v>206</v>
      </c>
      <c r="LP389" s="1007">
        <v>-2.7544</v>
      </c>
      <c r="LQ389" s="1008" t="s">
        <v>204</v>
      </c>
      <c r="LR389" s="1007">
        <v>2.2287759999999999</v>
      </c>
      <c r="LS389" s="1008" t="s">
        <v>206</v>
      </c>
      <c r="LT389" s="1007">
        <v>-4.1983919999999983</v>
      </c>
      <c r="LU389" s="1008">
        <v>0</v>
      </c>
      <c r="LV389" s="1007">
        <v>0</v>
      </c>
      <c r="LW389" s="1008">
        <v>0</v>
      </c>
      <c r="LX389" s="1007">
        <v>0</v>
      </c>
      <c r="LY389" s="1009" t="s">
        <v>206</v>
      </c>
      <c r="LZ389" s="1010">
        <v>-1.917784000000001</v>
      </c>
      <c r="MA389" s="1011">
        <v>0</v>
      </c>
      <c r="MB389" s="1012">
        <v>0</v>
      </c>
      <c r="MC389" s="995"/>
      <c r="MD389" s="996"/>
      <c r="ME389" s="997" t="s">
        <v>220</v>
      </c>
      <c r="MF389" s="997"/>
      <c r="MG389" s="998"/>
      <c r="NR389" s="1000"/>
      <c r="NS389" s="1000"/>
      <c r="NT389" s="1001"/>
      <c r="NU389" s="1000"/>
      <c r="NV389" s="1001"/>
      <c r="NX389" s="1002"/>
      <c r="NZ389" s="1001"/>
      <c r="OA389" s="1001"/>
      <c r="OC389" s="1003"/>
      <c r="OD389" s="1003"/>
      <c r="OE389" s="1001"/>
      <c r="OF389" s="1003"/>
      <c r="OG389" s="1003"/>
      <c r="OH389" s="1003"/>
      <c r="OI389" s="1016"/>
      <c r="QX389" s="1000">
        <f>CN389-CA389</f>
        <v>33</v>
      </c>
      <c r="ASU389" s="999" t="s">
        <v>208</v>
      </c>
    </row>
    <row r="390" spans="1:466 1191:1191" ht="21" customHeight="1" x14ac:dyDescent="0.25">
      <c r="A390" s="982">
        <f t="shared" si="274"/>
        <v>1435</v>
      </c>
      <c r="B390" s="124">
        <f>SUBTOTAL(103,$J$29:J390)</f>
        <v>362</v>
      </c>
      <c r="C390" s="126">
        <v>45068</v>
      </c>
      <c r="D390" s="124" t="s">
        <v>176</v>
      </c>
      <c r="E390" s="127" t="s">
        <v>177</v>
      </c>
      <c r="F390" s="128" t="s">
        <v>177</v>
      </c>
      <c r="G390" s="127" t="s">
        <v>178</v>
      </c>
      <c r="H390" s="127" t="s">
        <v>179</v>
      </c>
      <c r="I390" s="127" t="s">
        <v>881</v>
      </c>
      <c r="J390" s="129">
        <v>1435</v>
      </c>
      <c r="K390" s="127" t="s">
        <v>182</v>
      </c>
      <c r="L390" s="130">
        <v>42900</v>
      </c>
      <c r="M390" s="127" t="s">
        <v>230</v>
      </c>
      <c r="N390" s="127" t="s">
        <v>184</v>
      </c>
      <c r="O390" s="127" t="s">
        <v>185</v>
      </c>
      <c r="P390" s="127" t="s">
        <v>292</v>
      </c>
      <c r="Q390" s="85" t="str">
        <f t="shared" si="297"/>
        <v/>
      </c>
      <c r="R390" s="130"/>
      <c r="S390" s="128"/>
      <c r="T390" s="131"/>
      <c r="U390" s="132">
        <v>203</v>
      </c>
      <c r="V390" s="121">
        <v>218.2</v>
      </c>
      <c r="W390" s="116">
        <v>0.98</v>
      </c>
      <c r="X390" s="116">
        <v>1.66</v>
      </c>
      <c r="Y390" s="116">
        <f t="shared" si="299"/>
        <v>1.4577060931899641</v>
      </c>
      <c r="Z390" s="133">
        <v>1.454</v>
      </c>
      <c r="AA390" s="133">
        <v>0.83599999999999997</v>
      </c>
      <c r="AB390" s="133">
        <v>0.72</v>
      </c>
      <c r="AC390" s="121">
        <v>34.299999999999997</v>
      </c>
      <c r="AD390" s="134">
        <v>1.17</v>
      </c>
      <c r="AE390" s="124">
        <v>177.8</v>
      </c>
      <c r="AF390" s="128">
        <v>9.19</v>
      </c>
      <c r="AG390" s="128">
        <v>2082</v>
      </c>
      <c r="AH390" s="127" t="s">
        <v>1537</v>
      </c>
      <c r="AI390" s="127" t="s">
        <v>1537</v>
      </c>
      <c r="AJ390" s="135"/>
      <c r="AK390" s="128"/>
      <c r="AL390" s="131"/>
      <c r="AM390" s="124" t="s">
        <v>232</v>
      </c>
      <c r="AN390" s="136" t="s">
        <v>1538</v>
      </c>
      <c r="AO390" s="137">
        <v>29.35</v>
      </c>
      <c r="AP390" s="128">
        <v>2022</v>
      </c>
      <c r="AQ390" s="128">
        <v>211.6</v>
      </c>
      <c r="AR390" s="128"/>
      <c r="AS390" s="128"/>
      <c r="AT390" s="122"/>
      <c r="AU390" s="124" t="s">
        <v>883</v>
      </c>
      <c r="AV390" s="115">
        <f>VLOOKUP(J390,'[63]ТР нефть'!$J$28:$BP$638,39,0)</f>
        <v>300</v>
      </c>
      <c r="AW390" s="115" t="str">
        <f>VLOOKUP(J390,'[63]ТР нефть'!$J$28:$BP$638,40,0)</f>
        <v>ГП</v>
      </c>
      <c r="AX390" s="115" t="str">
        <f>VLOOKUP(J390,'[63]ТР нефть'!$J$28:$BP$638,41,0)</f>
        <v>-</v>
      </c>
      <c r="AY390" s="115" t="str">
        <f>VLOOKUP(J390,'[63]ТР нефть'!$J$28:$BP$638,42,0)</f>
        <v>-</v>
      </c>
      <c r="AZ390" s="115" t="str">
        <f>VLOOKUP(J390,'[63]ТР нефть'!$J$28:$BP$638,43,0)</f>
        <v>-</v>
      </c>
      <c r="BA390" s="115" t="str">
        <f>VLOOKUP(J390,'[63]ТР нефть'!$J$28:$BP$638,44,0)</f>
        <v>-</v>
      </c>
      <c r="BB390" s="115" t="str">
        <f>VLOOKUP(J390,'[63]ТР нефть'!$J$28:$BP$638,45,0)</f>
        <v>-</v>
      </c>
      <c r="BC390" s="115" t="str">
        <f>VLOOKUP(J390,'[63]ТР нефть'!$J$28:$BP$638,46,0)</f>
        <v>-</v>
      </c>
      <c r="BD390" s="115" t="str">
        <f>VLOOKUP(J390,'[63]ТР нефть'!$J$28:$BP$638,47,0)</f>
        <v>-</v>
      </c>
      <c r="BE390" s="115" t="str">
        <f>VLOOKUP(J390,'[63]ТР нефть'!$J$28:$BP$638,48,0)</f>
        <v>-</v>
      </c>
      <c r="BF390" s="115" t="str">
        <f>VLOOKUP(J390,'[63]ТР нефть'!$J$28:$BP$638,49,0)</f>
        <v>-</v>
      </c>
      <c r="BG390" s="115" t="str">
        <f>VLOOKUP(J390,'[63]ТР нефть'!$J$28:$BP$638,50,0)</f>
        <v>-</v>
      </c>
      <c r="BH390" s="115">
        <f>VLOOKUP(J390,'[63]ТР нефть'!$J$28:$BP$638,51,0)</f>
        <v>1810</v>
      </c>
      <c r="BI390" s="115" t="str">
        <f>VLOOKUP(J390,'[63]ТР нефть'!$J$28:$BP$638,52,0)</f>
        <v>закрыт</v>
      </c>
      <c r="BJ390" s="115" t="str">
        <f>IF(IFERROR(VLOOKUP(J390,'[63]ТР нефть'!$J$28:$BP$638,53,0),"-")=0,"-",IFERROR(VLOOKUP(J390,'[63]ТР нефть'!$J$28:$BP$638,53,0),"-"))</f>
        <v>-</v>
      </c>
      <c r="BK390" s="138" t="str">
        <f>IF(IFERROR(VLOOKUP(J390,'[63]ТР нефть'!$J$28:$BP$638,54,0),"-")=0,"-",IFERROR(VLOOKUP(J390,'[63]ТР нефть'!$J$28:$BP$638,54,0),"-"))</f>
        <v>D1050N</v>
      </c>
      <c r="BL390" s="138" t="str">
        <f>IF(IFERROR(VLOOKUP(J390,'[63]ТР нефть'!$J$28:$BP$638,55,0),"-")=0,"-",IFERROR(VLOOKUP(J390,'[63]ТР нефть'!$J$28:$BP$638,55,0),"-"))</f>
        <v>-</v>
      </c>
      <c r="BM390" s="138">
        <f>IF(IFERROR(VLOOKUP(J390,'[63]ТР нефть'!$J$28:$BP$638,56,0),"-")=0,"-",IFERROR(VLOOKUP(J390,'[63]ТР нефть'!$J$28:$BP$638,56,0),"-"))</f>
        <v>1338</v>
      </c>
      <c r="BN390" s="138">
        <f>IF(IFERROR(VLOOKUP(J390,'[63]ТР нефть'!$J$28:$BP$638,57,0),"-")=0,"-",IFERROR(VLOOKUP(J390,'[63]ТР нефть'!$J$28:$BP$638,57,0),"-"))</f>
        <v>57</v>
      </c>
      <c r="BO390" s="115">
        <f>IF(IFERROR(VLOOKUP(J390,'[63]ТР нефть'!$J$28:$BP$638,58,0),"-")=0,"-",IFERROR(VLOOKUP(J390,'[63]ТР нефть'!$J$28:$BP$638,58,0),"-"))</f>
        <v>80</v>
      </c>
      <c r="BP390" s="115" t="str">
        <f>IF(IFERROR(VLOOKUP(J390,'[63]ТР нефть'!$J$28:$BP$638,59,0),"-")=0,"-",IFERROR(VLOOKUP(J390,'[63]ТР нефть'!$J$28:$BP$638,59,0),"-"))</f>
        <v>-</v>
      </c>
      <c r="BQ390" s="138">
        <v>1825</v>
      </c>
      <c r="BR390" s="128">
        <v>1692.5</v>
      </c>
      <c r="BS390" s="115">
        <f t="shared" si="307"/>
        <v>132.5</v>
      </c>
      <c r="BT390" s="128">
        <v>73</v>
      </c>
      <c r="BU390" s="128">
        <v>5.5</v>
      </c>
      <c r="BV390" s="127">
        <v>18</v>
      </c>
      <c r="BW390" s="127" t="s">
        <v>217</v>
      </c>
      <c r="BX390" s="127" t="s">
        <v>218</v>
      </c>
      <c r="BY390" s="139">
        <v>5</v>
      </c>
      <c r="BZ390" s="139">
        <v>19</v>
      </c>
      <c r="CA390" s="80">
        <v>29</v>
      </c>
      <c r="CB390" s="138">
        <v>29</v>
      </c>
      <c r="CC390" s="138">
        <v>28</v>
      </c>
      <c r="CD390" s="135">
        <v>45017</v>
      </c>
      <c r="CE390" s="138">
        <v>133</v>
      </c>
      <c r="CF390" s="138"/>
      <c r="CG390" s="138"/>
      <c r="CH390" s="138"/>
      <c r="CI390" s="127"/>
      <c r="CJ390" s="138">
        <f>IF((BR390-(100*(CM390-CB390))/(9.8*(AB390+AA390)/2))&gt;0,BR390-(100*(CM390-CB390))/(9.8*(AB390+AA390)/2),0)</f>
        <v>1010.479119668433</v>
      </c>
      <c r="CK390" s="138">
        <f t="shared" si="308"/>
        <v>64.491269200000005</v>
      </c>
      <c r="CL390" s="99"/>
      <c r="CM390" s="138">
        <v>81</v>
      </c>
      <c r="CN390" s="154">
        <f>IF(CM390=0,0,(((AP390-AQ390-BR390)*((AD390*(CQ390/100))+(AB390*((100-CQ390)/100)))*9.81/100+CM390)))</f>
        <v>93.491269200000005</v>
      </c>
      <c r="CO390" s="141">
        <f t="shared" si="276"/>
        <v>6.0191999999999988</v>
      </c>
      <c r="CP390" s="142">
        <v>36</v>
      </c>
      <c r="CQ390" s="143">
        <v>80</v>
      </c>
      <c r="CR390" s="138">
        <v>37</v>
      </c>
      <c r="CS390" s="139"/>
      <c r="CT390" s="138"/>
      <c r="CU390" s="138">
        <f t="shared" si="277"/>
        <v>37</v>
      </c>
      <c r="CV390" s="115">
        <f t="shared" si="278"/>
        <v>6146.9962785752268</v>
      </c>
      <c r="CW390" s="115" t="str">
        <f t="shared" si="279"/>
        <v/>
      </c>
      <c r="CX390" s="133">
        <f t="shared" si="280"/>
        <v>0.91119100186331481</v>
      </c>
      <c r="CY390" s="116"/>
      <c r="CZ390" s="131"/>
      <c r="DA390" s="145" t="str">
        <f t="shared" si="281"/>
        <v>ЭЦН</v>
      </c>
      <c r="DB390" s="146">
        <f t="shared" si="282"/>
        <v>6.0191999999999988</v>
      </c>
      <c r="DC390" s="142">
        <f t="shared" si="302"/>
        <v>36</v>
      </c>
      <c r="DD390" s="119">
        <f t="shared" si="303"/>
        <v>80</v>
      </c>
      <c r="DE390" s="115">
        <f t="shared" si="283"/>
        <v>37</v>
      </c>
      <c r="DF390" s="121">
        <f t="shared" si="284"/>
        <v>0</v>
      </c>
      <c r="DG390" s="115">
        <f t="shared" si="285"/>
        <v>6146.9962785752268</v>
      </c>
      <c r="DH390" s="115">
        <f t="shared" si="286"/>
        <v>93.491269200000005</v>
      </c>
      <c r="DI390" s="147"/>
      <c r="DJ390" s="111">
        <v>44225</v>
      </c>
      <c r="DK390" s="112">
        <v>43948</v>
      </c>
      <c r="DL390" s="113">
        <f t="shared" ca="1" si="266"/>
        <v>1156</v>
      </c>
      <c r="DM390" s="114">
        <v>19</v>
      </c>
      <c r="DN390" s="114">
        <v>57</v>
      </c>
      <c r="DO390" s="114">
        <v>35</v>
      </c>
      <c r="DP390" s="114"/>
      <c r="DQ390" s="112" t="s">
        <v>1539</v>
      </c>
      <c r="DR390" s="114" t="s">
        <v>198</v>
      </c>
      <c r="DS390" s="114"/>
      <c r="DT390" s="115">
        <v>43</v>
      </c>
      <c r="DU390" s="116">
        <f t="shared" si="267"/>
        <v>0.73406400810756745</v>
      </c>
      <c r="DV390" s="117">
        <f t="shared" si="268"/>
        <v>11.046195194002673</v>
      </c>
      <c r="DW390" s="118">
        <f t="shared" si="269"/>
        <v>66.065760729681074</v>
      </c>
      <c r="DX390" s="119">
        <f t="shared" si="287"/>
        <v>80</v>
      </c>
      <c r="DY390" s="115">
        <f t="shared" si="270"/>
        <v>67.900920749949989</v>
      </c>
      <c r="DZ390" s="117">
        <f t="shared" si="305"/>
        <v>5.0269951940026738</v>
      </c>
      <c r="EA390" s="120">
        <f t="shared" si="305"/>
        <v>30.065760729681074</v>
      </c>
      <c r="EB390" s="119">
        <f t="shared" si="264"/>
        <v>0</v>
      </c>
      <c r="EC390" s="121">
        <f t="shared" si="272"/>
        <v>30.900920749949989</v>
      </c>
      <c r="ED390" s="122"/>
      <c r="EE390" s="145">
        <v>18</v>
      </c>
      <c r="EF390" s="148">
        <v>29</v>
      </c>
      <c r="EG390" s="115">
        <v>29</v>
      </c>
      <c r="EH390" s="115">
        <v>28</v>
      </c>
      <c r="EI390" s="128" t="s">
        <v>218</v>
      </c>
      <c r="EJ390" s="121">
        <v>5</v>
      </c>
      <c r="EK390" s="121">
        <v>19</v>
      </c>
      <c r="EL390" s="149">
        <v>6.0191999999999988</v>
      </c>
      <c r="EM390" s="142">
        <v>36</v>
      </c>
      <c r="EN390" s="119">
        <v>80</v>
      </c>
      <c r="EO390" s="115">
        <v>37</v>
      </c>
      <c r="EP390" s="115">
        <v>6146.9962785752268</v>
      </c>
      <c r="EQ390" s="115">
        <v>0</v>
      </c>
      <c r="ER390" s="115">
        <v>0</v>
      </c>
      <c r="ES390" s="115">
        <v>93.491269200000005</v>
      </c>
      <c r="ET390" s="150">
        <v>0.91119100186331481</v>
      </c>
      <c r="EU390" s="145">
        <f t="shared" si="288"/>
        <v>18</v>
      </c>
      <c r="EV390" s="115">
        <f t="shared" si="289"/>
        <v>29</v>
      </c>
      <c r="EW390" s="115">
        <f t="shared" si="289"/>
        <v>29</v>
      </c>
      <c r="EX390" s="115">
        <f t="shared" si="289"/>
        <v>28</v>
      </c>
      <c r="EY390" s="115" t="str">
        <f t="shared" si="309"/>
        <v>Периодический</v>
      </c>
      <c r="EZ390" s="115">
        <f t="shared" si="309"/>
        <v>5</v>
      </c>
      <c r="FA390" s="115">
        <f t="shared" si="309"/>
        <v>19</v>
      </c>
      <c r="FB390" s="149">
        <f t="shared" si="298"/>
        <v>6.0191999999999988</v>
      </c>
      <c r="FC390" s="142">
        <f t="shared" si="298"/>
        <v>36</v>
      </c>
      <c r="FD390" s="119">
        <f t="shared" si="298"/>
        <v>80</v>
      </c>
      <c r="FE390" s="121">
        <f t="shared" si="298"/>
        <v>37</v>
      </c>
      <c r="FF390" s="121">
        <f t="shared" si="300"/>
        <v>6146.9962785752268</v>
      </c>
      <c r="FG390" s="121">
        <f t="shared" si="290"/>
        <v>0</v>
      </c>
      <c r="FH390" s="121">
        <f t="shared" si="301"/>
        <v>0</v>
      </c>
      <c r="FI390" s="121">
        <f t="shared" si="306"/>
        <v>93.491269200000005</v>
      </c>
      <c r="FJ390" s="144">
        <f t="shared" si="291"/>
        <v>0.91119100186331481</v>
      </c>
      <c r="FK390" s="132">
        <f t="shared" si="292"/>
        <v>0</v>
      </c>
      <c r="FL390" s="115">
        <f t="shared" si="292"/>
        <v>0</v>
      </c>
      <c r="FM390" s="115">
        <f t="shared" si="292"/>
        <v>0</v>
      </c>
      <c r="FN390" s="115">
        <f t="shared" si="273"/>
        <v>0</v>
      </c>
      <c r="FO390" s="115">
        <f t="shared" si="257"/>
        <v>0</v>
      </c>
      <c r="FP390" s="115">
        <f t="shared" si="257"/>
        <v>0</v>
      </c>
      <c r="FQ390" s="149">
        <f t="shared" si="257"/>
        <v>0</v>
      </c>
      <c r="FR390" s="142">
        <f t="shared" si="256"/>
        <v>0</v>
      </c>
      <c r="FS390" s="119">
        <f t="shared" si="256"/>
        <v>0</v>
      </c>
      <c r="FT390" s="121">
        <f t="shared" si="256"/>
        <v>0</v>
      </c>
      <c r="FU390" s="121">
        <f t="shared" si="293"/>
        <v>0</v>
      </c>
      <c r="FV390" s="121">
        <f t="shared" si="293"/>
        <v>0</v>
      </c>
      <c r="FW390" s="121">
        <f t="shared" si="294"/>
        <v>0</v>
      </c>
      <c r="FX390" s="121">
        <f t="shared" si="295"/>
        <v>0</v>
      </c>
      <c r="FY390" s="144">
        <f t="shared" si="295"/>
        <v>0</v>
      </c>
      <c r="FZ390" s="145"/>
      <c r="GA390" s="151"/>
      <c r="GB390" s="145" t="s">
        <v>199</v>
      </c>
      <c r="GC390" s="151" t="s">
        <v>1540</v>
      </c>
      <c r="GD390" s="997" t="s">
        <v>220</v>
      </c>
      <c r="GE390" s="1004" t="s">
        <v>199</v>
      </c>
      <c r="GF390" s="1004">
        <v>5.6429999999999989</v>
      </c>
      <c r="GG390" s="1004" t="s">
        <v>199</v>
      </c>
      <c r="GH390" s="1004">
        <v>-8.4018000000000015</v>
      </c>
      <c r="GI390" s="145"/>
      <c r="GJ390" s="996">
        <v>0</v>
      </c>
      <c r="GK390" s="145"/>
      <c r="GL390" s="996">
        <v>0</v>
      </c>
      <c r="GM390" s="1005"/>
      <c r="GN390" s="996">
        <v>0</v>
      </c>
      <c r="GO390" s="1006"/>
      <c r="GP390" s="996">
        <v>0</v>
      </c>
      <c r="GQ390" s="1006"/>
      <c r="GR390" s="996">
        <v>0</v>
      </c>
      <c r="GS390" s="1006"/>
      <c r="GT390" s="996">
        <v>0</v>
      </c>
      <c r="GU390" s="1006"/>
      <c r="GV390" s="996">
        <v>0.11704000000000114</v>
      </c>
      <c r="GW390" s="1006" t="s">
        <v>204</v>
      </c>
      <c r="GX390" s="996">
        <v>5.5677599999999998</v>
      </c>
      <c r="GY390" s="1006"/>
      <c r="GZ390" s="996">
        <v>0</v>
      </c>
      <c r="HA390" s="1006" t="s">
        <v>199</v>
      </c>
      <c r="HB390" s="996">
        <v>-3.1768000000000463E-2</v>
      </c>
      <c r="HC390" s="1006"/>
      <c r="HD390" s="996">
        <v>0.77430320000000075</v>
      </c>
      <c r="HE390" s="1006"/>
      <c r="HF390" s="996">
        <v>-0.23368373600000014</v>
      </c>
      <c r="HG390" s="1006"/>
      <c r="HH390" s="996">
        <v>0</v>
      </c>
      <c r="HI390" s="1006" t="s">
        <v>204</v>
      </c>
      <c r="HJ390" s="996">
        <v>-5.0898806640000007</v>
      </c>
      <c r="HK390" s="1006"/>
      <c r="HL390" s="996">
        <v>0</v>
      </c>
      <c r="HM390" s="1006" t="s">
        <v>886</v>
      </c>
      <c r="HN390" s="996">
        <v>0.98539320000000696</v>
      </c>
      <c r="HO390" s="1006" t="s">
        <v>886</v>
      </c>
      <c r="HP390" s="996">
        <v>-8.526364000000008</v>
      </c>
      <c r="HQ390" s="1006" t="s">
        <v>886</v>
      </c>
      <c r="HR390" s="996">
        <v>14.370840000000001</v>
      </c>
      <c r="HS390" s="1006" t="s">
        <v>886</v>
      </c>
      <c r="HT390" s="996">
        <v>-6.0451160000000046</v>
      </c>
      <c r="HU390" s="1006" t="s">
        <v>886</v>
      </c>
      <c r="HV390" s="996">
        <v>-13.00732399999999</v>
      </c>
      <c r="HW390" s="1006" t="s">
        <v>146</v>
      </c>
      <c r="HX390" s="996">
        <v>-3.4138310800000085</v>
      </c>
      <c r="HY390" s="1006"/>
      <c r="HZ390" s="996">
        <v>0</v>
      </c>
      <c r="IA390" s="1006"/>
      <c r="IB390" s="996">
        <v>0</v>
      </c>
      <c r="IC390" s="1006"/>
      <c r="ID390" s="996">
        <v>0</v>
      </c>
      <c r="IE390" s="1006"/>
      <c r="IF390" s="996">
        <v>0</v>
      </c>
      <c r="IG390" s="1006"/>
      <c r="IH390" s="996">
        <v>0</v>
      </c>
      <c r="II390" s="1006"/>
      <c r="IJ390" s="996">
        <v>0</v>
      </c>
      <c r="IK390" s="1006" t="s">
        <v>199</v>
      </c>
      <c r="IL390" s="996">
        <v>2.6626498008000041</v>
      </c>
      <c r="IM390" s="1006" t="s">
        <v>199</v>
      </c>
      <c r="IN390" s="996">
        <v>5.1987012792000034</v>
      </c>
      <c r="IO390" s="1006" t="s">
        <v>146</v>
      </c>
      <c r="IP390" s="996">
        <v>6.1195199999999943</v>
      </c>
      <c r="IQ390" s="1006" t="s">
        <v>146</v>
      </c>
      <c r="IR390" s="996">
        <v>-12.660383999999995</v>
      </c>
      <c r="IS390" s="1006" t="s">
        <v>203</v>
      </c>
      <c r="IT390" s="996">
        <v>-8.3232159999999986</v>
      </c>
      <c r="IU390" s="1006"/>
      <c r="IV390" s="996">
        <v>0</v>
      </c>
      <c r="IW390" s="1006"/>
      <c r="IX390" s="996">
        <v>-0.48610892000000305</v>
      </c>
      <c r="IY390" s="1006"/>
      <c r="IZ390" s="996">
        <v>0</v>
      </c>
      <c r="JA390" s="1006" t="s">
        <v>25</v>
      </c>
      <c r="JB390" s="996">
        <v>30.8</v>
      </c>
      <c r="JC390" s="1006"/>
      <c r="JD390" s="996"/>
      <c r="JE390" s="1006"/>
      <c r="JF390" s="996"/>
      <c r="JG390" s="1006"/>
      <c r="JH390" s="996"/>
      <c r="JI390" s="1006"/>
      <c r="JJ390" s="996"/>
      <c r="JK390" s="1007"/>
      <c r="JL390" s="1007"/>
      <c r="JM390" s="1007"/>
      <c r="JN390" s="1007"/>
      <c r="JO390" s="1008"/>
      <c r="JP390" s="1007"/>
      <c r="JQ390" s="1008"/>
      <c r="JR390" s="1007"/>
      <c r="JS390" s="1008"/>
      <c r="JT390" s="1007"/>
      <c r="JU390" s="1008"/>
      <c r="JV390" s="1007"/>
      <c r="JW390" s="1008"/>
      <c r="JX390" s="1007"/>
      <c r="JY390" s="1008"/>
      <c r="JZ390" s="1007"/>
      <c r="KA390" s="1008"/>
      <c r="KB390" s="1007"/>
      <c r="KC390" s="1008"/>
      <c r="KD390" s="1007"/>
      <c r="KE390" s="1008"/>
      <c r="KF390" s="1007"/>
      <c r="KG390" s="1008"/>
      <c r="KH390" s="1007"/>
      <c r="KI390" s="1008"/>
      <c r="KJ390" s="1007"/>
      <c r="KK390" s="1008"/>
      <c r="KL390" s="1007"/>
      <c r="KM390" s="1008"/>
      <c r="KN390" s="1007"/>
      <c r="KO390" s="1008"/>
      <c r="KP390" s="1007"/>
      <c r="KQ390" s="1008"/>
      <c r="KR390" s="1007"/>
      <c r="KS390" s="1008"/>
      <c r="KT390" s="1007"/>
      <c r="KU390" s="1008"/>
      <c r="KV390" s="1007"/>
      <c r="KW390" s="1008"/>
      <c r="KX390" s="1007"/>
      <c r="KY390" s="1008"/>
      <c r="KZ390" s="1007"/>
      <c r="LA390" s="1008"/>
      <c r="LB390" s="1007"/>
      <c r="LC390" s="1008"/>
      <c r="LD390" s="1007"/>
      <c r="LE390" s="1008"/>
      <c r="LF390" s="1007"/>
      <c r="LG390" s="1008"/>
      <c r="LH390" s="1007"/>
      <c r="LI390" s="1008"/>
      <c r="LJ390" s="1007"/>
      <c r="LK390" s="1008"/>
      <c r="LL390" s="1007"/>
      <c r="LM390" s="1008"/>
      <c r="LN390" s="1007"/>
      <c r="LO390" s="1008"/>
      <c r="LP390" s="1007"/>
      <c r="LQ390" s="1008"/>
      <c r="LR390" s="1007"/>
      <c r="LS390" s="1008"/>
      <c r="LT390" s="1007"/>
      <c r="LU390" s="1008"/>
      <c r="LV390" s="1007"/>
      <c r="LW390" s="1008"/>
      <c r="LX390" s="1007"/>
      <c r="LY390" s="1009"/>
      <c r="LZ390" s="1010"/>
      <c r="MA390" s="1011"/>
      <c r="MB390" s="1012"/>
      <c r="MC390" s="995"/>
      <c r="MD390" s="996"/>
      <c r="ME390" s="997" t="s">
        <v>220</v>
      </c>
      <c r="MF390" s="997"/>
      <c r="MG390" s="998"/>
      <c r="NR390" s="1000"/>
      <c r="NS390" s="1000"/>
      <c r="NT390" s="1001"/>
      <c r="NU390" s="1000"/>
      <c r="NV390" s="1001"/>
      <c r="NX390" s="1002"/>
      <c r="NZ390" s="1001"/>
      <c r="OA390" s="1001"/>
      <c r="OC390" s="1003"/>
      <c r="OD390" s="1003"/>
      <c r="OE390" s="1001"/>
      <c r="OF390" s="1003"/>
      <c r="OG390" s="1003"/>
      <c r="QX390" s="1000">
        <f>CN390-CA390</f>
        <v>64.491269200000005</v>
      </c>
      <c r="ASU390" s="999" t="s">
        <v>225</v>
      </c>
    </row>
    <row r="391" spans="1:466 1191:1191" ht="21" customHeight="1" x14ac:dyDescent="0.25">
      <c r="A391" s="982">
        <f t="shared" si="274"/>
        <v>1436</v>
      </c>
      <c r="B391" s="124">
        <f>SUBTOTAL(103,$J$29:J391)</f>
        <v>363</v>
      </c>
      <c r="C391" s="126">
        <v>45068</v>
      </c>
      <c r="D391" s="124" t="s">
        <v>176</v>
      </c>
      <c r="E391" s="127" t="s">
        <v>177</v>
      </c>
      <c r="F391" s="128" t="s">
        <v>177</v>
      </c>
      <c r="G391" s="127" t="s">
        <v>178</v>
      </c>
      <c r="H391" s="127" t="s">
        <v>179</v>
      </c>
      <c r="I391" s="127" t="s">
        <v>1417</v>
      </c>
      <c r="J391" s="152">
        <v>1436</v>
      </c>
      <c r="K391" s="127" t="s">
        <v>1532</v>
      </c>
      <c r="L391" s="130">
        <v>43557</v>
      </c>
      <c r="M391" s="127" t="s">
        <v>230</v>
      </c>
      <c r="N391" s="127" t="s">
        <v>184</v>
      </c>
      <c r="O391" s="127" t="s">
        <v>185</v>
      </c>
      <c r="P391" s="127" t="s">
        <v>186</v>
      </c>
      <c r="Q391" s="85" t="str">
        <f t="shared" si="297"/>
        <v/>
      </c>
      <c r="R391" s="130"/>
      <c r="S391" s="128"/>
      <c r="T391" s="131"/>
      <c r="U391" s="132">
        <v>203</v>
      </c>
      <c r="V391" s="121">
        <v>218.2</v>
      </c>
      <c r="W391" s="116">
        <v>0.98</v>
      </c>
      <c r="X391" s="116">
        <v>1.66</v>
      </c>
      <c r="Y391" s="116">
        <f t="shared" si="299"/>
        <v>1.5522900763358776</v>
      </c>
      <c r="Z391" s="133">
        <v>1.454</v>
      </c>
      <c r="AA391" s="133">
        <v>0.83599999999999997</v>
      </c>
      <c r="AB391" s="133">
        <v>0.72</v>
      </c>
      <c r="AC391" s="121">
        <v>34.299999999999997</v>
      </c>
      <c r="AD391" s="134">
        <v>1.17</v>
      </c>
      <c r="AE391" s="124">
        <v>177.8</v>
      </c>
      <c r="AF391" s="128">
        <v>9.19</v>
      </c>
      <c r="AG391" s="128">
        <v>2139.5</v>
      </c>
      <c r="AH391" s="127">
        <v>2945</v>
      </c>
      <c r="AI391" s="127">
        <v>2945</v>
      </c>
      <c r="AJ391" s="135"/>
      <c r="AK391" s="128"/>
      <c r="AL391" s="131"/>
      <c r="AM391" s="124" t="s">
        <v>232</v>
      </c>
      <c r="AN391" s="136" t="s">
        <v>1541</v>
      </c>
      <c r="AO391" s="137">
        <v>19.75</v>
      </c>
      <c r="AP391" s="128">
        <v>2139</v>
      </c>
      <c r="AQ391" s="128">
        <v>305.89999999999998</v>
      </c>
      <c r="AR391" s="128"/>
      <c r="AS391" s="128"/>
      <c r="AT391" s="122"/>
      <c r="AU391" s="124" t="s">
        <v>883</v>
      </c>
      <c r="AV391" s="115">
        <f>VLOOKUP(J391,'[63]ТР нефть'!$J$28:$BP$638,39,0)</f>
        <v>300</v>
      </c>
      <c r="AW391" s="115" t="str">
        <f>VLOOKUP(J391,'[63]ТР нефть'!$J$28:$BP$638,40,0)</f>
        <v>ГК42 5/16</v>
      </c>
      <c r="AX391" s="115" t="str">
        <f>VLOOKUP(J391,'[63]ТР нефть'!$J$28:$BP$638,41,0)</f>
        <v>-</v>
      </c>
      <c r="AY391" s="115" t="str">
        <f>VLOOKUP(J391,'[63]ТР нефть'!$J$28:$BP$638,42,0)</f>
        <v>-</v>
      </c>
      <c r="AZ391" s="115" t="str">
        <f>VLOOKUP(J391,'[63]ТР нефть'!$J$28:$BP$638,43,0)</f>
        <v>-</v>
      </c>
      <c r="BA391" s="115" t="str">
        <f>VLOOKUP(J391,'[63]ТР нефть'!$J$28:$BP$638,44,0)</f>
        <v>-</v>
      </c>
      <c r="BB391" s="115" t="str">
        <f>VLOOKUP(J391,'[63]ТР нефть'!$J$28:$BP$638,45,0)</f>
        <v>-</v>
      </c>
      <c r="BC391" s="115" t="str">
        <f>VLOOKUP(J391,'[63]ТР нефть'!$J$28:$BP$638,46,0)</f>
        <v>-</v>
      </c>
      <c r="BD391" s="115" t="str">
        <f>VLOOKUP(J391,'[63]ТР нефть'!$J$28:$BP$638,47,0)</f>
        <v>-</v>
      </c>
      <c r="BE391" s="115" t="str">
        <f>VLOOKUP(J391,'[63]ТР нефть'!$J$28:$BP$638,48,0)</f>
        <v>-</v>
      </c>
      <c r="BF391" s="115" t="str">
        <f>VLOOKUP(J391,'[63]ТР нефть'!$J$28:$BP$638,49,0)</f>
        <v>-</v>
      </c>
      <c r="BG391" s="115" t="str">
        <f>VLOOKUP(J391,'[63]ТР нефть'!$J$28:$BP$638,50,0)</f>
        <v>-</v>
      </c>
      <c r="BH391" s="115">
        <f>VLOOKUP(J391,'[63]ТР нефть'!$J$28:$BP$638,51,0)</f>
        <v>1811</v>
      </c>
      <c r="BI391" s="115" t="str">
        <f>VLOOKUP(J391,'[63]ТР нефть'!$J$28:$BP$638,52,0)</f>
        <v>закрыт</v>
      </c>
      <c r="BJ391" s="115" t="str">
        <f>IF(IFERROR(VLOOKUP(J391,'[63]ТР нефть'!$J$28:$BP$638,53,0),"-")=0,"-",IFERROR(VLOOKUP(J391,'[63]ТР нефть'!$J$28:$BP$638,53,0),"-"))</f>
        <v>-</v>
      </c>
      <c r="BK391" s="138" t="str">
        <f>IF(IFERROR(VLOOKUP(J391,'[63]ТР нефть'!$J$28:$BP$638,54,0),"-")=0,"-",IFERROR(VLOOKUP(J391,'[63]ТР нефть'!$J$28:$BP$638,54,0),"-"))</f>
        <v>D1050N</v>
      </c>
      <c r="BL391" s="138" t="str">
        <f>IF(IFERROR(VLOOKUP(J391,'[63]ТР нефть'!$J$28:$BP$638,55,0),"-")=0,"-",IFERROR(VLOOKUP(J391,'[63]ТР нефть'!$J$28:$BP$638,55,0),"-"))</f>
        <v>-</v>
      </c>
      <c r="BM391" s="138">
        <f>IF(IFERROR(VLOOKUP(J391,'[63]ТР нефть'!$J$28:$BP$638,56,0),"-")=0,"-",IFERROR(VLOOKUP(J391,'[63]ТР нефть'!$J$28:$BP$638,56,0),"-"))</f>
        <v>1340</v>
      </c>
      <c r="BN391" s="138">
        <f>IF(IFERROR(VLOOKUP(J391,'[63]ТР нефть'!$J$28:$BP$638,57,0),"-")=0,"-",IFERROR(VLOOKUP(J391,'[63]ТР нефть'!$J$28:$BP$638,57,0),"-"))</f>
        <v>50</v>
      </c>
      <c r="BO391" s="115">
        <f>IF(IFERROR(VLOOKUP(J391,'[63]ТР нефть'!$J$28:$BP$638,58,0),"-")=0,"-",IFERROR(VLOOKUP(J391,'[63]ТР нефть'!$J$28:$BP$638,58,0),"-"))</f>
        <v>73.5</v>
      </c>
      <c r="BP391" s="115" t="str">
        <f>IF(IFERROR(VLOOKUP(J391,'[63]ТР нефть'!$J$28:$BP$638,59,0),"-")=0,"-",IFERROR(VLOOKUP(J391,'[63]ТР нефть'!$J$28:$BP$638,59,0),"-"))</f>
        <v>-</v>
      </c>
      <c r="BQ391" s="138">
        <v>1975</v>
      </c>
      <c r="BR391" s="128">
        <v>1768</v>
      </c>
      <c r="BS391" s="115">
        <f t="shared" si="307"/>
        <v>207</v>
      </c>
      <c r="BT391" s="128">
        <v>73</v>
      </c>
      <c r="BU391" s="128">
        <v>5.5</v>
      </c>
      <c r="BV391" s="127">
        <v>18</v>
      </c>
      <c r="BW391" s="127" t="s">
        <v>217</v>
      </c>
      <c r="BX391" s="127" t="s">
        <v>195</v>
      </c>
      <c r="BY391" s="139">
        <v>24</v>
      </c>
      <c r="BZ391" s="139">
        <v>0</v>
      </c>
      <c r="CA391" s="138">
        <v>34</v>
      </c>
      <c r="CB391" s="138">
        <v>34</v>
      </c>
      <c r="CC391" s="138">
        <v>33</v>
      </c>
      <c r="CD391" s="135">
        <v>45017</v>
      </c>
      <c r="CE391" s="138">
        <v>131</v>
      </c>
      <c r="CF391" s="138"/>
      <c r="CG391" s="138"/>
      <c r="CH391" s="138"/>
      <c r="CI391" s="127"/>
      <c r="CJ391" s="138">
        <f>IF((BR391-(100*(CM391-CB391))/(9.8*(AB391+AA391)/2))&gt;0,BR391-(100*(CM391-CB391))/(9.8*(AB391+AA391)/2),0)</f>
        <v>1295.831698231992</v>
      </c>
      <c r="CK391" s="138">
        <f t="shared" si="308"/>
        <v>43.184598749999992</v>
      </c>
      <c r="CL391" s="99"/>
      <c r="CM391" s="138">
        <v>70</v>
      </c>
      <c r="CN391" s="154">
        <f>IF(CM391=0,0,(((AP391-AQ391-BR391)*((AD391*(CQ391/100))+(AB391*((100-CQ391)/100)))*9.81/100+CM391)))</f>
        <v>77.184598749999992</v>
      </c>
      <c r="CO391" s="141">
        <f t="shared" si="276"/>
        <v>10.115599999999997</v>
      </c>
      <c r="CP391" s="142">
        <v>121</v>
      </c>
      <c r="CQ391" s="143">
        <v>90</v>
      </c>
      <c r="CR391" s="138">
        <v>9.4</v>
      </c>
      <c r="CS391" s="139"/>
      <c r="CT391" s="138"/>
      <c r="CU391" s="138">
        <f t="shared" si="277"/>
        <v>9.4</v>
      </c>
      <c r="CV391" s="115">
        <f t="shared" si="278"/>
        <v>929.25778006247799</v>
      </c>
      <c r="CW391" s="115" t="str">
        <f t="shared" si="279"/>
        <v/>
      </c>
      <c r="CX391" s="133">
        <f t="shared" si="280"/>
        <v>2.2484269779554973</v>
      </c>
      <c r="CY391" s="116"/>
      <c r="CZ391" s="131"/>
      <c r="DA391" s="145" t="str">
        <f t="shared" si="281"/>
        <v>ЭЦН</v>
      </c>
      <c r="DB391" s="146">
        <f t="shared" si="282"/>
        <v>10.115599999999997</v>
      </c>
      <c r="DC391" s="142">
        <f t="shared" si="302"/>
        <v>121</v>
      </c>
      <c r="DD391" s="119">
        <f t="shared" si="303"/>
        <v>90</v>
      </c>
      <c r="DE391" s="115">
        <f t="shared" si="283"/>
        <v>9.4</v>
      </c>
      <c r="DF391" s="121">
        <f t="shared" si="284"/>
        <v>0</v>
      </c>
      <c r="DG391" s="115">
        <f t="shared" si="285"/>
        <v>929.25778006247799</v>
      </c>
      <c r="DH391" s="115">
        <f t="shared" si="286"/>
        <v>77.184598749999992</v>
      </c>
      <c r="DI391" s="147"/>
      <c r="DJ391" s="111">
        <v>44202</v>
      </c>
      <c r="DK391" s="112">
        <v>44247</v>
      </c>
      <c r="DL391" s="113">
        <f t="shared" ca="1" si="266"/>
        <v>857</v>
      </c>
      <c r="DM391" s="114">
        <v>20.399999999999999</v>
      </c>
      <c r="DN391" s="114">
        <v>34</v>
      </c>
      <c r="DO391" s="114">
        <v>38</v>
      </c>
      <c r="DP391" s="114"/>
      <c r="DQ391" s="112" t="s">
        <v>1542</v>
      </c>
      <c r="DR391" s="114" t="s">
        <v>198</v>
      </c>
      <c r="DS391" s="114"/>
      <c r="DT391" s="115">
        <v>47</v>
      </c>
      <c r="DU391" s="116">
        <f t="shared" si="267"/>
        <v>1.9667411325004696</v>
      </c>
      <c r="DV391" s="117">
        <f t="shared" si="268"/>
        <v>13.811242928871293</v>
      </c>
      <c r="DW391" s="118">
        <f t="shared" si="269"/>
        <v>165.20625513003944</v>
      </c>
      <c r="DX391" s="119">
        <f t="shared" si="287"/>
        <v>90</v>
      </c>
      <c r="DY391" s="115">
        <f t="shared" si="270"/>
        <v>12.834204943986535</v>
      </c>
      <c r="DZ391" s="117">
        <f t="shared" si="305"/>
        <v>3.6956429288712958</v>
      </c>
      <c r="EA391" s="120">
        <f t="shared" si="305"/>
        <v>44.206255130039438</v>
      </c>
      <c r="EB391" s="119">
        <f t="shared" si="264"/>
        <v>0</v>
      </c>
      <c r="EC391" s="121">
        <f t="shared" si="272"/>
        <v>3.4342049439865345</v>
      </c>
      <c r="ED391" s="122"/>
      <c r="EE391" s="145">
        <v>18</v>
      </c>
      <c r="EF391" s="115">
        <v>34</v>
      </c>
      <c r="EG391" s="115">
        <v>34</v>
      </c>
      <c r="EH391" s="115">
        <v>33</v>
      </c>
      <c r="EI391" s="128" t="s">
        <v>195</v>
      </c>
      <c r="EJ391" s="121">
        <v>24</v>
      </c>
      <c r="EK391" s="121">
        <v>0</v>
      </c>
      <c r="EL391" s="149">
        <v>10.115599999999997</v>
      </c>
      <c r="EM391" s="142">
        <v>121</v>
      </c>
      <c r="EN391" s="119">
        <v>90</v>
      </c>
      <c r="EO391" s="115">
        <v>9.4</v>
      </c>
      <c r="EP391" s="115">
        <v>929.25778006247799</v>
      </c>
      <c r="EQ391" s="115">
        <v>0</v>
      </c>
      <c r="ER391" s="115">
        <v>0</v>
      </c>
      <c r="ES391" s="115">
        <v>77.184598749999992</v>
      </c>
      <c r="ET391" s="150">
        <v>2.2484269779554973</v>
      </c>
      <c r="EU391" s="145">
        <f t="shared" si="288"/>
        <v>18</v>
      </c>
      <c r="EV391" s="115">
        <f t="shared" si="289"/>
        <v>34</v>
      </c>
      <c r="EW391" s="115">
        <f t="shared" si="289"/>
        <v>34</v>
      </c>
      <c r="EX391" s="115">
        <f t="shared" si="289"/>
        <v>33</v>
      </c>
      <c r="EY391" s="115" t="str">
        <f t="shared" si="309"/>
        <v>Постоянный</v>
      </c>
      <c r="EZ391" s="115">
        <f t="shared" si="309"/>
        <v>24</v>
      </c>
      <c r="FA391" s="115">
        <f t="shared" si="309"/>
        <v>0</v>
      </c>
      <c r="FB391" s="149">
        <f t="shared" si="298"/>
        <v>10.115599999999997</v>
      </c>
      <c r="FC391" s="142">
        <f t="shared" si="298"/>
        <v>121</v>
      </c>
      <c r="FD391" s="119">
        <f t="shared" si="298"/>
        <v>90</v>
      </c>
      <c r="FE391" s="121">
        <f t="shared" si="298"/>
        <v>9.4</v>
      </c>
      <c r="FF391" s="121">
        <f t="shared" si="300"/>
        <v>929.25778006247799</v>
      </c>
      <c r="FG391" s="121">
        <f t="shared" si="290"/>
        <v>0</v>
      </c>
      <c r="FH391" s="121">
        <f t="shared" si="301"/>
        <v>0</v>
      </c>
      <c r="FI391" s="121">
        <f t="shared" si="306"/>
        <v>77.184598749999992</v>
      </c>
      <c r="FJ391" s="144">
        <f t="shared" si="291"/>
        <v>2.2484269779554973</v>
      </c>
      <c r="FK391" s="132">
        <f t="shared" si="292"/>
        <v>0</v>
      </c>
      <c r="FL391" s="115">
        <f t="shared" si="292"/>
        <v>0</v>
      </c>
      <c r="FM391" s="115">
        <f t="shared" si="292"/>
        <v>0</v>
      </c>
      <c r="FN391" s="115">
        <f t="shared" si="273"/>
        <v>0</v>
      </c>
      <c r="FO391" s="115">
        <f t="shared" si="257"/>
        <v>0</v>
      </c>
      <c r="FP391" s="115">
        <f t="shared" si="257"/>
        <v>0</v>
      </c>
      <c r="FQ391" s="149">
        <f t="shared" si="257"/>
        <v>0</v>
      </c>
      <c r="FR391" s="142">
        <f t="shared" si="256"/>
        <v>0</v>
      </c>
      <c r="FS391" s="119">
        <f t="shared" si="256"/>
        <v>0</v>
      </c>
      <c r="FT391" s="121">
        <f t="shared" si="256"/>
        <v>0</v>
      </c>
      <c r="FU391" s="121">
        <f t="shared" si="293"/>
        <v>0</v>
      </c>
      <c r="FV391" s="121">
        <f t="shared" si="293"/>
        <v>0</v>
      </c>
      <c r="FW391" s="121">
        <f t="shared" si="294"/>
        <v>0</v>
      </c>
      <c r="FX391" s="121">
        <f t="shared" si="295"/>
        <v>0</v>
      </c>
      <c r="FY391" s="144">
        <f t="shared" si="295"/>
        <v>0</v>
      </c>
      <c r="FZ391" s="145"/>
      <c r="GA391" s="151"/>
      <c r="GB391" s="145"/>
      <c r="GC391" s="151"/>
      <c r="GD391" s="997" t="s">
        <v>220</v>
      </c>
      <c r="GE391" s="1004"/>
      <c r="GF391" s="1004">
        <v>-0.27588000000000079</v>
      </c>
      <c r="GG391" s="1004"/>
      <c r="GH391" s="1004">
        <v>0</v>
      </c>
      <c r="GI391" s="145"/>
      <c r="GJ391" s="996">
        <v>-4.1800000000002058E-2</v>
      </c>
      <c r="GK391" s="145" t="s">
        <v>223</v>
      </c>
      <c r="GL391" s="996">
        <v>-3.4108799999999988</v>
      </c>
      <c r="GM391" s="1005"/>
      <c r="GN391" s="996">
        <v>0</v>
      </c>
      <c r="GO391" s="1006"/>
      <c r="GP391" s="996">
        <v>-0.60049880000000222</v>
      </c>
      <c r="GQ391" s="1006"/>
      <c r="GR391" s="996">
        <v>-0.34342879999999809</v>
      </c>
      <c r="GS391" s="1006"/>
      <c r="GT391" s="996">
        <v>-0.71135240000000621</v>
      </c>
      <c r="GU391" s="1006" t="s">
        <v>146</v>
      </c>
      <c r="GV391" s="996">
        <v>1.9144400000000061</v>
      </c>
      <c r="GW391" s="1006" t="s">
        <v>146</v>
      </c>
      <c r="GX391" s="996">
        <v>1.1704000000000008</v>
      </c>
      <c r="GY391" s="1006"/>
      <c r="GZ391" s="996">
        <v>0</v>
      </c>
      <c r="HA391" s="1006" t="s">
        <v>146</v>
      </c>
      <c r="HB391" s="996">
        <v>-3.3787776000000012</v>
      </c>
      <c r="HC391" s="1006"/>
      <c r="HD391" s="996">
        <v>0</v>
      </c>
      <c r="HE391" s="1006"/>
      <c r="HF391" s="996">
        <v>0</v>
      </c>
      <c r="HG391" s="1006"/>
      <c r="HH391" s="996">
        <v>0</v>
      </c>
      <c r="HI391" s="1006"/>
      <c r="HJ391" s="996">
        <v>0</v>
      </c>
      <c r="HK391" s="1006" t="s">
        <v>223</v>
      </c>
      <c r="HL391" s="996">
        <v>-1.3016520000000007</v>
      </c>
      <c r="HM391" s="1006" t="s">
        <v>886</v>
      </c>
      <c r="HN391" s="996">
        <v>-25.608661320000007</v>
      </c>
      <c r="HO391" s="1006" t="s">
        <v>886</v>
      </c>
      <c r="HP391" s="996">
        <v>31.467850920000004</v>
      </c>
      <c r="HQ391" s="1006"/>
      <c r="HR391" s="996">
        <v>0</v>
      </c>
      <c r="HS391" s="1006" t="s">
        <v>886</v>
      </c>
      <c r="HT391" s="996">
        <v>-2.1401600000000016</v>
      </c>
      <c r="HU391" s="1006" t="s">
        <v>1002</v>
      </c>
      <c r="HV391" s="996">
        <v>-77.168334319999971</v>
      </c>
      <c r="HW391" s="1006"/>
      <c r="HX391" s="996">
        <v>0</v>
      </c>
      <c r="HY391" s="1006"/>
      <c r="HZ391" s="996">
        <v>0</v>
      </c>
      <c r="IA391" s="1006" t="s">
        <v>199</v>
      </c>
      <c r="IB391" s="996">
        <v>51.921134319999972</v>
      </c>
      <c r="IC391" s="1006"/>
      <c r="ID391" s="996">
        <v>0</v>
      </c>
      <c r="IE391" s="1006" t="s">
        <v>314</v>
      </c>
      <c r="IF391" s="996">
        <v>26.252540160000002</v>
      </c>
      <c r="IG391" s="1006"/>
      <c r="IH391" s="996">
        <v>0</v>
      </c>
      <c r="II391" s="1006"/>
      <c r="IJ391" s="996">
        <v>0</v>
      </c>
      <c r="IK391" s="1006"/>
      <c r="IL391" s="996">
        <v>0</v>
      </c>
      <c r="IM391" s="1006"/>
      <c r="IN391" s="996">
        <v>-7.5015951999999331E-2</v>
      </c>
      <c r="IO391" s="1006" t="s">
        <v>199</v>
      </c>
      <c r="IP391" s="996">
        <v>1.465651792000001</v>
      </c>
      <c r="IQ391" s="1006" t="s">
        <v>199</v>
      </c>
      <c r="IR391" s="996">
        <v>6.5100072399999993</v>
      </c>
      <c r="IS391" s="1006"/>
      <c r="IT391" s="996">
        <v>0</v>
      </c>
      <c r="IU391" s="1006"/>
      <c r="IV391" s="996">
        <v>-0.88038324000000134</v>
      </c>
      <c r="IW391" s="1006"/>
      <c r="IX391" s="996">
        <v>0</v>
      </c>
      <c r="IY391" s="1006"/>
      <c r="IZ391" s="996">
        <v>0</v>
      </c>
      <c r="JA391" s="1006" t="s">
        <v>204</v>
      </c>
      <c r="JB391" s="996">
        <v>-3.0513999999999974</v>
      </c>
      <c r="JC391" s="1006" t="s">
        <v>199</v>
      </c>
      <c r="JD391" s="996">
        <v>3.9483443999999981</v>
      </c>
      <c r="JE391" s="1006" t="s">
        <v>199</v>
      </c>
      <c r="JF391" s="996">
        <v>-20.2879644</v>
      </c>
      <c r="JG391" s="1006"/>
      <c r="JH391" s="996">
        <v>0</v>
      </c>
      <c r="JI391" s="1006" t="s">
        <v>203</v>
      </c>
      <c r="JJ391" s="996">
        <v>-1.9910175999999993</v>
      </c>
      <c r="JK391" s="1007"/>
      <c r="JL391" s="1007">
        <v>-0.14617460000000548</v>
      </c>
      <c r="JM391" s="1007"/>
      <c r="JN391" s="1007">
        <v>0</v>
      </c>
      <c r="JO391" s="1008" t="s">
        <v>203</v>
      </c>
      <c r="JP391" s="1007">
        <v>-1.5940379840000034</v>
      </c>
      <c r="JQ391" s="1008" t="s">
        <v>203</v>
      </c>
      <c r="JR391" s="1007">
        <v>4.7469701840000127</v>
      </c>
      <c r="JS391" s="1008" t="s">
        <v>203</v>
      </c>
      <c r="JT391" s="1007">
        <v>-4.2035752000000066</v>
      </c>
      <c r="JU391" s="1008" t="s">
        <v>199</v>
      </c>
      <c r="JV391" s="1007">
        <v>-6.7877347999999955</v>
      </c>
      <c r="JW391" s="1008" t="s">
        <v>197</v>
      </c>
      <c r="JX391" s="1007">
        <v>-3.0100000000032878E-3</v>
      </c>
      <c r="JY391" s="1008" t="s">
        <v>324</v>
      </c>
      <c r="JZ391" s="1007">
        <v>43.069783679999993</v>
      </c>
      <c r="KA391" s="1008"/>
      <c r="KB391" s="1007"/>
      <c r="KC391" s="1008"/>
      <c r="KD391" s="1007"/>
      <c r="KE391" s="1008"/>
      <c r="KF391" s="1007"/>
      <c r="KG391" s="1008"/>
      <c r="KH391" s="1007"/>
      <c r="KI391" s="1008"/>
      <c r="KJ391" s="1007"/>
      <c r="KK391" s="1008"/>
      <c r="KL391" s="1007"/>
      <c r="KM391" s="1008"/>
      <c r="KN391" s="1007"/>
      <c r="KO391" s="1008"/>
      <c r="KP391" s="1007"/>
      <c r="KQ391" s="1008"/>
      <c r="KR391" s="1007"/>
      <c r="KS391" s="1008"/>
      <c r="KT391" s="1007"/>
      <c r="KU391" s="1008"/>
      <c r="KV391" s="1007"/>
      <c r="KW391" s="1008"/>
      <c r="KX391" s="1007"/>
      <c r="KY391" s="1008"/>
      <c r="KZ391" s="1007"/>
      <c r="LA391" s="1008"/>
      <c r="LB391" s="1007"/>
      <c r="LC391" s="1008"/>
      <c r="LD391" s="1007"/>
      <c r="LE391" s="1008"/>
      <c r="LF391" s="1007"/>
      <c r="LG391" s="1008"/>
      <c r="LH391" s="1007"/>
      <c r="LI391" s="1008"/>
      <c r="LJ391" s="1007"/>
      <c r="LK391" s="1008"/>
      <c r="LL391" s="1007"/>
      <c r="LM391" s="1008"/>
      <c r="LN391" s="1007"/>
      <c r="LO391" s="1008"/>
      <c r="LP391" s="1007"/>
      <c r="LQ391" s="1008"/>
      <c r="LR391" s="1007"/>
      <c r="LS391" s="1008"/>
      <c r="LT391" s="1007"/>
      <c r="LU391" s="1008"/>
      <c r="LV391" s="1007"/>
      <c r="LW391" s="1008"/>
      <c r="LX391" s="1007"/>
      <c r="LY391" s="1009"/>
      <c r="LZ391" s="1010"/>
      <c r="MA391" s="1011"/>
      <c r="MB391" s="1012"/>
      <c r="MC391" s="995"/>
      <c r="MD391" s="996"/>
      <c r="ME391" s="997" t="s">
        <v>220</v>
      </c>
      <c r="MF391" s="997"/>
      <c r="MG391" s="998"/>
      <c r="NR391" s="1000"/>
      <c r="NS391" s="1000"/>
      <c r="NT391" s="1001"/>
      <c r="NU391" s="1000"/>
      <c r="NV391" s="1001"/>
      <c r="NX391" s="1002"/>
      <c r="NZ391" s="1001"/>
      <c r="OA391" s="1001"/>
      <c r="OC391" s="1003"/>
      <c r="OD391" s="1003"/>
      <c r="OE391" s="1001"/>
      <c r="OF391" s="1003"/>
      <c r="OG391" s="1003"/>
      <c r="OH391" s="1003"/>
      <c r="OI391" s="1016"/>
      <c r="QX391" s="1000">
        <f>CN391-CA391</f>
        <v>43.184598749999992</v>
      </c>
      <c r="ASU391" s="999" t="s">
        <v>208</v>
      </c>
    </row>
    <row r="392" spans="1:466 1191:1191" ht="21" customHeight="1" x14ac:dyDescent="0.25">
      <c r="A392" s="982">
        <f t="shared" si="274"/>
        <v>1439</v>
      </c>
      <c r="B392" s="124">
        <f>SUBTOTAL(103,$J$29:J392)</f>
        <v>364</v>
      </c>
      <c r="C392" s="126">
        <v>45068</v>
      </c>
      <c r="D392" s="124" t="s">
        <v>176</v>
      </c>
      <c r="E392" s="127" t="s">
        <v>177</v>
      </c>
      <c r="F392" s="128" t="s">
        <v>177</v>
      </c>
      <c r="G392" s="127" t="s">
        <v>178</v>
      </c>
      <c r="H392" s="127" t="s">
        <v>179</v>
      </c>
      <c r="I392" s="127" t="s">
        <v>1515</v>
      </c>
      <c r="J392" s="152">
        <v>1439</v>
      </c>
      <c r="K392" s="127" t="s">
        <v>1515</v>
      </c>
      <c r="L392" s="130">
        <v>44028</v>
      </c>
      <c r="M392" s="127" t="s">
        <v>230</v>
      </c>
      <c r="N392" s="127" t="s">
        <v>184</v>
      </c>
      <c r="O392" s="127" t="s">
        <v>185</v>
      </c>
      <c r="P392" s="127" t="s">
        <v>186</v>
      </c>
      <c r="Q392" s="85" t="str">
        <f t="shared" si="297"/>
        <v/>
      </c>
      <c r="R392" s="130"/>
      <c r="S392" s="128"/>
      <c r="T392" s="131"/>
      <c r="U392" s="132">
        <v>203</v>
      </c>
      <c r="V392" s="121">
        <v>218.2</v>
      </c>
      <c r="W392" s="116">
        <v>0.98</v>
      </c>
      <c r="X392" s="116">
        <v>1.66</v>
      </c>
      <c r="Y392" s="116">
        <f t="shared" si="299"/>
        <v>0.98</v>
      </c>
      <c r="Z392" s="133">
        <v>1.454</v>
      </c>
      <c r="AA392" s="133">
        <v>0.83599999999999997</v>
      </c>
      <c r="AB392" s="133">
        <v>0.72</v>
      </c>
      <c r="AC392" s="121">
        <v>34.299999999999997</v>
      </c>
      <c r="AD392" s="134">
        <v>1.17</v>
      </c>
      <c r="AE392" s="124">
        <v>177.8</v>
      </c>
      <c r="AF392" s="128">
        <v>9.19</v>
      </c>
      <c r="AG392" s="128">
        <v>2253.7199999999998</v>
      </c>
      <c r="AH392" s="138">
        <v>2820.45</v>
      </c>
      <c r="AI392" s="138">
        <v>2820.45</v>
      </c>
      <c r="AJ392" s="135"/>
      <c r="AK392" s="128"/>
      <c r="AL392" s="131"/>
      <c r="AM392" s="124" t="s">
        <v>985</v>
      </c>
      <c r="AN392" s="136" t="s">
        <v>1543</v>
      </c>
      <c r="AO392" s="137">
        <v>51.06</v>
      </c>
      <c r="AP392" s="128">
        <v>2290.11</v>
      </c>
      <c r="AQ392" s="128">
        <v>434.48</v>
      </c>
      <c r="AR392" s="128"/>
      <c r="AS392" s="128"/>
      <c r="AT392" s="122"/>
      <c r="AU392" s="124" t="s">
        <v>189</v>
      </c>
      <c r="AV392" s="115">
        <f>VLOOKUP(J392,'[63]ТР нефть'!$J$28:$BP$638,39,0)</f>
        <v>457.000012207</v>
      </c>
      <c r="AW392" s="115" t="str">
        <f>VLOOKUP(J392,'[63]ТР нефть'!$J$28:$BP$638,40,0)</f>
        <v>ГП</v>
      </c>
      <c r="AX392" s="115">
        <f>VLOOKUP(J392,'[63]ТР нефть'!$J$28:$BP$638,41,0)</f>
        <v>867.00002812499997</v>
      </c>
      <c r="AY392" s="115" t="str">
        <f>VLOOKUP(J392,'[63]ТР нефть'!$J$28:$BP$638,42,0)</f>
        <v>ГП</v>
      </c>
      <c r="AZ392" s="115">
        <f>VLOOKUP(J392,'[63]ТР нефть'!$J$28:$BP$638,43,0)</f>
        <v>1211.0000167969999</v>
      </c>
      <c r="BA392" s="115" t="str">
        <f>VLOOKUP(J392,'[63]ТР нефть'!$J$28:$BP$638,44,0)</f>
        <v>ГК82 1/8</v>
      </c>
      <c r="BB392" s="115">
        <f>VLOOKUP(J392,'[63]ТР нефть'!$J$28:$BP$638,45,0)</f>
        <v>1484.000060156</v>
      </c>
      <c r="BC392" s="115" t="str">
        <f>VLOOKUP(J392,'[63]ТР нефть'!$J$28:$BP$638,46,0)</f>
        <v>ГК82 1/8</v>
      </c>
      <c r="BD392" s="115">
        <f>VLOOKUP(J392,'[63]ТР нефть'!$J$28:$BP$638,47,0)</f>
        <v>1701.999925781</v>
      </c>
      <c r="BE392" s="115" t="str">
        <f>VLOOKUP(J392,'[63]ТР нефть'!$J$28:$BP$638,48,0)</f>
        <v>ГК81 5/32</v>
      </c>
      <c r="BF392" s="115">
        <f>VLOOKUP(J392,'[63]ТР нефть'!$J$28:$BP$638,49,0)</f>
        <v>1780</v>
      </c>
      <c r="BG392" s="115" t="str">
        <f>VLOOKUP(J392,'[63]ТР нефть'!$J$28:$BP$638,50,0)</f>
        <v>ЦКсОК 5/16</v>
      </c>
      <c r="BH392" s="115" t="str">
        <f>VLOOKUP(J392,'[63]ТР нефть'!$J$28:$BP$638,51,0)</f>
        <v>-</v>
      </c>
      <c r="BI392" s="115" t="str">
        <f>VLOOKUP(J392,'[63]ТР нефть'!$J$28:$BP$638,52,0)</f>
        <v>-</v>
      </c>
      <c r="BJ392" s="115" t="str">
        <f>IF(IFERROR(VLOOKUP(J392,'[63]ТР нефть'!$J$28:$BP$638,53,0),"-")=0,"-",IFERROR(VLOOKUP(J392,'[63]ТР нефть'!$J$28:$BP$638,53,0),"-"))</f>
        <v>-</v>
      </c>
      <c r="BK392" s="138" t="str">
        <f>IF(IFERROR(VLOOKUP(J392,'[63]ТР нефть'!$J$28:$BP$638,54,0),"-")=0,"-",IFERROR(VLOOKUP(J392,'[63]ТР нефть'!$J$28:$BP$638,54,0),"-"))</f>
        <v>-</v>
      </c>
      <c r="BL392" s="138" t="str">
        <f>IF(IFERROR(VLOOKUP(J392,'[63]ТР нефть'!$J$28:$BP$638,55,0),"-")=0,"-",IFERROR(VLOOKUP(J392,'[63]ТР нефть'!$J$28:$BP$638,55,0),"-"))</f>
        <v>-</v>
      </c>
      <c r="BM392" s="138" t="str">
        <f>IF(IFERROR(VLOOKUP(J392,'[63]ТР нефть'!$J$28:$BP$638,56,0),"-")=0,"-",IFERROR(VLOOKUP(J392,'[63]ТР нефть'!$J$28:$BP$638,56,0),"-"))</f>
        <v>-</v>
      </c>
      <c r="BN392" s="138" t="str">
        <f>IF(IFERROR(VLOOKUP(J392,'[63]ТР нефть'!$J$28:$BP$638,57,0),"-")=0,"-",IFERROR(VLOOKUP(J392,'[63]ТР нефть'!$J$28:$BP$638,57,0),"-"))</f>
        <v>-</v>
      </c>
      <c r="BO392" s="115" t="str">
        <f>IF(IFERROR(VLOOKUP(J392,'[63]ТР нефть'!$J$28:$BP$638,58,0),"-")=0,"-",IFERROR(VLOOKUP(J392,'[63]ТР нефть'!$J$28:$BP$638,58,0),"-"))</f>
        <v>-</v>
      </c>
      <c r="BP392" s="115" t="str">
        <f>IF(IFERROR(VLOOKUP(J392,'[63]ТР нефть'!$J$28:$BP$638,59,0),"-")=0,"-",IFERROR(VLOOKUP(J392,'[63]ТР нефть'!$J$28:$BP$638,59,0),"-"))</f>
        <v>-</v>
      </c>
      <c r="BQ392" s="138">
        <v>2204</v>
      </c>
      <c r="BR392" s="128">
        <v>1709.03</v>
      </c>
      <c r="BS392" s="115">
        <f t="shared" si="307"/>
        <v>494.97</v>
      </c>
      <c r="BT392" s="128">
        <v>73</v>
      </c>
      <c r="BU392" s="128">
        <v>5.5</v>
      </c>
      <c r="BV392" s="127">
        <v>10</v>
      </c>
      <c r="BW392" s="127" t="s">
        <v>217</v>
      </c>
      <c r="BX392" s="127" t="s">
        <v>218</v>
      </c>
      <c r="BY392" s="139">
        <v>24</v>
      </c>
      <c r="BZ392" s="139">
        <v>24</v>
      </c>
      <c r="CA392" s="138">
        <v>24</v>
      </c>
      <c r="CB392" s="138">
        <v>41</v>
      </c>
      <c r="CC392" s="138">
        <v>23</v>
      </c>
      <c r="CD392" s="135">
        <v>45017</v>
      </c>
      <c r="CE392" s="138">
        <v>149</v>
      </c>
      <c r="CF392" s="138">
        <v>79</v>
      </c>
      <c r="CG392" s="138" t="str">
        <f t="shared" ref="CG392:CG433" si="310">IF(CH392&lt;&gt;"","В работе","")</f>
        <v>В работе</v>
      </c>
      <c r="CH392" s="138" t="s">
        <v>235</v>
      </c>
      <c r="CI392" s="127">
        <v>5</v>
      </c>
      <c r="CJ392" s="138"/>
      <c r="CK392" s="138">
        <f t="shared" si="308"/>
        <v>47</v>
      </c>
      <c r="CL392" s="99"/>
      <c r="CM392" s="99"/>
      <c r="CN392" s="140">
        <v>71</v>
      </c>
      <c r="CO392" s="141">
        <f t="shared" si="276"/>
        <v>1.6719999999999999</v>
      </c>
      <c r="CP392" s="142">
        <v>2</v>
      </c>
      <c r="CQ392" s="143">
        <v>0</v>
      </c>
      <c r="CR392" s="138">
        <v>4</v>
      </c>
      <c r="CS392" s="139">
        <v>2.4</v>
      </c>
      <c r="CT392" s="138"/>
      <c r="CU392" s="138">
        <f t="shared" si="277"/>
        <v>1.6</v>
      </c>
      <c r="CV392" s="115">
        <f t="shared" si="278"/>
        <v>956.93779904306223</v>
      </c>
      <c r="CW392" s="115">
        <f t="shared" si="279"/>
        <v>1435.4066985645932</v>
      </c>
      <c r="CX392" s="133">
        <f t="shared" si="280"/>
        <v>2.564102564102564E-2</v>
      </c>
      <c r="CY392" s="116"/>
      <c r="CZ392" s="131"/>
      <c r="DA392" s="145" t="str">
        <f t="shared" si="281"/>
        <v>Газлифт</v>
      </c>
      <c r="DB392" s="146">
        <f t="shared" si="282"/>
        <v>1.6719999999999999</v>
      </c>
      <c r="DC392" s="142">
        <f t="shared" si="302"/>
        <v>2</v>
      </c>
      <c r="DD392" s="119">
        <f t="shared" si="303"/>
        <v>0</v>
      </c>
      <c r="DE392" s="115">
        <f t="shared" si="283"/>
        <v>1.6</v>
      </c>
      <c r="DF392" s="121">
        <f t="shared" si="284"/>
        <v>2.4</v>
      </c>
      <c r="DG392" s="115">
        <f t="shared" si="285"/>
        <v>956.93779904306223</v>
      </c>
      <c r="DH392" s="115">
        <f t="shared" si="286"/>
        <v>71</v>
      </c>
      <c r="DI392" s="147"/>
      <c r="DJ392" s="111"/>
      <c r="DK392" s="112">
        <v>44028</v>
      </c>
      <c r="DL392" s="113">
        <f t="shared" ca="1" si="266"/>
        <v>1076</v>
      </c>
      <c r="DM392" s="114"/>
      <c r="DN392" s="114"/>
      <c r="DO392" s="114"/>
      <c r="DP392" s="114"/>
      <c r="DQ392" s="112"/>
      <c r="DR392" s="114"/>
      <c r="DS392" s="114"/>
      <c r="DT392" s="115">
        <v>60</v>
      </c>
      <c r="DU392" s="116">
        <f t="shared" si="267"/>
        <v>2.4544616381351081E-2</v>
      </c>
      <c r="DV392" s="117">
        <f t="shared" si="268"/>
        <v>1.8262176372380456</v>
      </c>
      <c r="DW392" s="118">
        <f t="shared" si="269"/>
        <v>2.1844708579402461</v>
      </c>
      <c r="DX392" s="119">
        <f t="shared" si="287"/>
        <v>0</v>
      </c>
      <c r="DY392" s="115">
        <f t="shared" si="270"/>
        <v>1.7475766863521969</v>
      </c>
      <c r="DZ392" s="117">
        <f t="shared" si="305"/>
        <v>0.15421763723804571</v>
      </c>
      <c r="EA392" s="120">
        <f t="shared" si="305"/>
        <v>0.18447085794024609</v>
      </c>
      <c r="EB392" s="119">
        <f t="shared" si="264"/>
        <v>0</v>
      </c>
      <c r="EC392" s="121">
        <f t="shared" si="272"/>
        <v>0.14757668635219678</v>
      </c>
      <c r="ED392" s="122"/>
      <c r="EE392" s="145">
        <v>10</v>
      </c>
      <c r="EF392" s="115">
        <v>24</v>
      </c>
      <c r="EG392" s="115">
        <v>48</v>
      </c>
      <c r="EH392" s="115">
        <v>23</v>
      </c>
      <c r="EI392" s="128" t="s">
        <v>218</v>
      </c>
      <c r="EJ392" s="121">
        <v>24</v>
      </c>
      <c r="EK392" s="121">
        <v>24</v>
      </c>
      <c r="EL392" s="149">
        <v>2.09</v>
      </c>
      <c r="EM392" s="142">
        <v>2.5</v>
      </c>
      <c r="EN392" s="119">
        <v>0</v>
      </c>
      <c r="EO392" s="115">
        <v>4</v>
      </c>
      <c r="EP392" s="115">
        <v>765.5502392344498</v>
      </c>
      <c r="EQ392" s="115">
        <v>78</v>
      </c>
      <c r="ER392" s="115">
        <v>2.4</v>
      </c>
      <c r="ES392" s="115">
        <v>73</v>
      </c>
      <c r="ET392" s="150">
        <v>3.2894736842105261E-2</v>
      </c>
      <c r="EU392" s="145">
        <f t="shared" si="288"/>
        <v>10</v>
      </c>
      <c r="EV392" s="115">
        <f t="shared" si="289"/>
        <v>24</v>
      </c>
      <c r="EW392" s="115">
        <f t="shared" si="289"/>
        <v>41</v>
      </c>
      <c r="EX392" s="115">
        <f t="shared" si="289"/>
        <v>23</v>
      </c>
      <c r="EY392" s="115" t="str">
        <f t="shared" si="309"/>
        <v>Периодический</v>
      </c>
      <c r="EZ392" s="115">
        <f t="shared" si="309"/>
        <v>24</v>
      </c>
      <c r="FA392" s="115">
        <f t="shared" si="309"/>
        <v>24</v>
      </c>
      <c r="FB392" s="149">
        <f t="shared" si="298"/>
        <v>1.6719999999999999</v>
      </c>
      <c r="FC392" s="142">
        <f t="shared" si="298"/>
        <v>2</v>
      </c>
      <c r="FD392" s="119">
        <f t="shared" si="298"/>
        <v>0</v>
      </c>
      <c r="FE392" s="121">
        <f t="shared" si="298"/>
        <v>4</v>
      </c>
      <c r="FF392" s="121">
        <f t="shared" si="300"/>
        <v>956.93779904306223</v>
      </c>
      <c r="FG392" s="121">
        <f t="shared" si="290"/>
        <v>79</v>
      </c>
      <c r="FH392" s="121">
        <f t="shared" si="301"/>
        <v>2.4</v>
      </c>
      <c r="FI392" s="121">
        <f t="shared" si="306"/>
        <v>71</v>
      </c>
      <c r="FJ392" s="144">
        <f t="shared" si="291"/>
        <v>2.564102564102564E-2</v>
      </c>
      <c r="FK392" s="132">
        <f t="shared" si="292"/>
        <v>0</v>
      </c>
      <c r="FL392" s="115">
        <f t="shared" si="292"/>
        <v>0</v>
      </c>
      <c r="FM392" s="115">
        <f t="shared" si="292"/>
        <v>-7</v>
      </c>
      <c r="FN392" s="115">
        <f t="shared" si="273"/>
        <v>0</v>
      </c>
      <c r="FO392" s="115">
        <f t="shared" si="257"/>
        <v>0</v>
      </c>
      <c r="FP392" s="115">
        <f t="shared" si="257"/>
        <v>0</v>
      </c>
      <c r="FQ392" s="149">
        <f t="shared" si="257"/>
        <v>-0.41799999999999993</v>
      </c>
      <c r="FR392" s="142">
        <f t="shared" si="256"/>
        <v>-0.5</v>
      </c>
      <c r="FS392" s="119">
        <f t="shared" si="256"/>
        <v>0</v>
      </c>
      <c r="FT392" s="121">
        <f t="shared" si="256"/>
        <v>0</v>
      </c>
      <c r="FU392" s="121">
        <f t="shared" si="293"/>
        <v>1</v>
      </c>
      <c r="FV392" s="121">
        <f t="shared" si="293"/>
        <v>0</v>
      </c>
      <c r="FW392" s="121">
        <f t="shared" si="294"/>
        <v>191.38755980861242</v>
      </c>
      <c r="FX392" s="121">
        <f t="shared" si="295"/>
        <v>-2</v>
      </c>
      <c r="FY392" s="144">
        <f t="shared" si="295"/>
        <v>-7.2537112010796212E-3</v>
      </c>
      <c r="FZ392" s="145"/>
      <c r="GA392" s="151"/>
      <c r="GB392" s="145"/>
      <c r="GC392" s="151"/>
      <c r="GD392" s="997" t="s">
        <v>220</v>
      </c>
      <c r="GE392" s="1004"/>
      <c r="GF392" s="1004">
        <v>0.41799999999999993</v>
      </c>
      <c r="GG392" s="1004"/>
      <c r="GH392" s="1004">
        <v>0</v>
      </c>
      <c r="GI392" s="145"/>
      <c r="GJ392" s="996">
        <v>-0.93757399999999991</v>
      </c>
      <c r="GK392" s="145"/>
      <c r="GL392" s="996">
        <v>0</v>
      </c>
      <c r="GM392" s="1005"/>
      <c r="GN392" s="996">
        <v>0</v>
      </c>
      <c r="GO392" s="1006"/>
      <c r="GP392" s="996">
        <v>0.10157399999999983</v>
      </c>
      <c r="GQ392" s="1006"/>
      <c r="GR392" s="996">
        <v>0</v>
      </c>
      <c r="GS392" s="1006"/>
      <c r="GT392" s="996">
        <v>0</v>
      </c>
      <c r="GU392" s="1006"/>
      <c r="GV392" s="996">
        <v>0</v>
      </c>
      <c r="GW392" s="1006" t="s">
        <v>204</v>
      </c>
      <c r="GX392" s="996">
        <v>-1.3375999999999997</v>
      </c>
      <c r="GY392" s="1006"/>
      <c r="GZ392" s="996">
        <v>0</v>
      </c>
      <c r="HA392" s="1006" t="s">
        <v>204</v>
      </c>
      <c r="HB392" s="996">
        <v>-1.1704000000000003</v>
      </c>
      <c r="HC392" s="1006"/>
      <c r="HD392" s="996">
        <v>-0.54316591999999897</v>
      </c>
      <c r="HE392" s="1006"/>
      <c r="HF392" s="996">
        <v>0</v>
      </c>
      <c r="HG392" s="1006"/>
      <c r="HH392" s="996">
        <v>0</v>
      </c>
      <c r="HI392" s="1006"/>
      <c r="HJ392" s="996">
        <v>0</v>
      </c>
      <c r="HK392" s="1006"/>
      <c r="HL392" s="996">
        <v>0</v>
      </c>
      <c r="HM392" s="1006" t="s">
        <v>221</v>
      </c>
      <c r="HN392" s="996">
        <v>3.4691659199999991</v>
      </c>
      <c r="HO392" s="1006"/>
      <c r="HP392" s="996">
        <v>0</v>
      </c>
      <c r="HQ392" s="1006"/>
      <c r="HR392" s="996">
        <v>0</v>
      </c>
      <c r="HS392" s="1006"/>
      <c r="HT392" s="996">
        <v>0</v>
      </c>
      <c r="HU392" s="1006"/>
      <c r="HV392" s="996">
        <v>-8.3600000000000119E-2</v>
      </c>
      <c r="HW392" s="1006" t="s">
        <v>199</v>
      </c>
      <c r="HX392" s="996">
        <v>-1.9228000000000001</v>
      </c>
      <c r="HY392" s="1006"/>
      <c r="HZ392" s="996">
        <v>0</v>
      </c>
      <c r="IA392" s="1006"/>
      <c r="IB392" s="996">
        <v>0</v>
      </c>
      <c r="IC392" s="1006"/>
      <c r="ID392" s="996">
        <v>0</v>
      </c>
      <c r="IE392" s="1006"/>
      <c r="IF392" s="996">
        <v>0</v>
      </c>
      <c r="IG392" s="1006"/>
      <c r="IH392" s="996">
        <v>0</v>
      </c>
      <c r="II392" s="1006"/>
      <c r="IJ392" s="996">
        <v>0</v>
      </c>
      <c r="IK392" s="1006"/>
      <c r="IL392" s="996">
        <v>0</v>
      </c>
      <c r="IM392" s="1006" t="s">
        <v>204</v>
      </c>
      <c r="IN392" s="996">
        <v>-2.1735999999999995</v>
      </c>
      <c r="IO392" s="1006"/>
      <c r="IP392" s="996">
        <v>0</v>
      </c>
      <c r="IQ392" s="1006" t="s">
        <v>199</v>
      </c>
      <c r="IR392" s="996">
        <v>-5.6430000000000007</v>
      </c>
      <c r="IS392" s="1006"/>
      <c r="IT392" s="996">
        <v>0</v>
      </c>
      <c r="IU392" s="1006" t="s">
        <v>25</v>
      </c>
      <c r="IV392" s="996">
        <v>11.913</v>
      </c>
      <c r="IW392" s="1006"/>
      <c r="IX392" s="996"/>
      <c r="IY392" s="1006"/>
      <c r="IZ392" s="996"/>
      <c r="JA392" s="1006"/>
      <c r="JB392" s="996"/>
      <c r="JC392" s="1006"/>
      <c r="JD392" s="996"/>
      <c r="JE392" s="1006"/>
      <c r="JF392" s="996"/>
      <c r="JG392" s="1006"/>
      <c r="JH392" s="996"/>
      <c r="JI392" s="1006"/>
      <c r="JJ392" s="996"/>
      <c r="JK392" s="1007"/>
      <c r="JL392" s="1007"/>
      <c r="JM392" s="1007"/>
      <c r="JN392" s="1007"/>
      <c r="JO392" s="1008"/>
      <c r="JP392" s="1007"/>
      <c r="JQ392" s="1008"/>
      <c r="JR392" s="1007"/>
      <c r="JS392" s="1008"/>
      <c r="JT392" s="1007"/>
      <c r="JU392" s="1008"/>
      <c r="JV392" s="1007"/>
      <c r="JW392" s="1008"/>
      <c r="JX392" s="1007"/>
      <c r="JY392" s="1008"/>
      <c r="JZ392" s="1007"/>
      <c r="KA392" s="1008"/>
      <c r="KB392" s="1007"/>
      <c r="KC392" s="1008"/>
      <c r="KD392" s="1007"/>
      <c r="KE392" s="1008"/>
      <c r="KF392" s="1007"/>
      <c r="KG392" s="1008"/>
      <c r="KH392" s="1007"/>
      <c r="KI392" s="1008"/>
      <c r="KJ392" s="1007"/>
      <c r="KK392" s="1008"/>
      <c r="KL392" s="1007"/>
      <c r="KM392" s="1008"/>
      <c r="KN392" s="1007"/>
      <c r="KO392" s="1008"/>
      <c r="KP392" s="1007"/>
      <c r="KQ392" s="1008"/>
      <c r="KR392" s="1007"/>
      <c r="KS392" s="1008"/>
      <c r="KT392" s="1007"/>
      <c r="KU392" s="1008"/>
      <c r="KV392" s="1007"/>
      <c r="KW392" s="1008"/>
      <c r="KX392" s="1007"/>
      <c r="KY392" s="1008"/>
      <c r="KZ392" s="1007"/>
      <c r="LA392" s="1008"/>
      <c r="LB392" s="1007"/>
      <c r="LC392" s="1008"/>
      <c r="LD392" s="1007"/>
      <c r="LE392" s="1008"/>
      <c r="LF392" s="1007"/>
      <c r="LG392" s="1008"/>
      <c r="LH392" s="1007"/>
      <c r="LI392" s="1008"/>
      <c r="LJ392" s="1007"/>
      <c r="LK392" s="1008"/>
      <c r="LL392" s="1007"/>
      <c r="LM392" s="1008"/>
      <c r="LN392" s="1007"/>
      <c r="LO392" s="1008"/>
      <c r="LP392" s="1007"/>
      <c r="LQ392" s="1008"/>
      <c r="LR392" s="1007"/>
      <c r="LS392" s="1008"/>
      <c r="LT392" s="1007"/>
      <c r="LU392" s="1008"/>
      <c r="LV392" s="1007"/>
      <c r="LW392" s="1008"/>
      <c r="LX392" s="1007"/>
      <c r="LY392" s="1009"/>
      <c r="LZ392" s="1010"/>
      <c r="MA392" s="1011"/>
      <c r="MB392" s="1012"/>
      <c r="MC392" s="995"/>
      <c r="MD392" s="996"/>
      <c r="ME392" s="997" t="s">
        <v>220</v>
      </c>
      <c r="MF392" s="997"/>
      <c r="MG392" s="998"/>
      <c r="NR392" s="1000"/>
      <c r="NS392" s="1000"/>
      <c r="NT392" s="1001"/>
      <c r="NU392" s="1000"/>
      <c r="NV392" s="1001"/>
      <c r="NX392" s="1002"/>
      <c r="NZ392" s="1001"/>
      <c r="OA392" s="1001"/>
      <c r="OC392" s="1003"/>
      <c r="OD392" s="1003"/>
      <c r="OE392" s="1001"/>
      <c r="OF392" s="1003"/>
      <c r="OG392" s="1003"/>
      <c r="OH392" s="1003"/>
      <c r="OI392" s="1016"/>
      <c r="QX392" s="1000">
        <f>CN392-CA392</f>
        <v>47</v>
      </c>
      <c r="ASU392" s="999" t="s">
        <v>225</v>
      </c>
    </row>
    <row r="393" spans="1:466 1191:1191" ht="21" customHeight="1" x14ac:dyDescent="0.25">
      <c r="A393" s="982">
        <f t="shared" si="274"/>
        <v>1440</v>
      </c>
      <c r="B393" s="124">
        <f>SUBTOTAL(103,$J$29:J393)</f>
        <v>365</v>
      </c>
      <c r="C393" s="126">
        <v>45068</v>
      </c>
      <c r="D393" s="124" t="s">
        <v>176</v>
      </c>
      <c r="E393" s="127" t="s">
        <v>177</v>
      </c>
      <c r="F393" s="128" t="s">
        <v>177</v>
      </c>
      <c r="G393" s="127" t="s">
        <v>178</v>
      </c>
      <c r="H393" s="127" t="s">
        <v>179</v>
      </c>
      <c r="I393" s="127" t="s">
        <v>1544</v>
      </c>
      <c r="J393" s="152">
        <v>1440</v>
      </c>
      <c r="K393" s="127" t="s">
        <v>1544</v>
      </c>
      <c r="L393" s="130">
        <v>43829</v>
      </c>
      <c r="M393" s="127" t="s">
        <v>230</v>
      </c>
      <c r="N393" s="127" t="s">
        <v>184</v>
      </c>
      <c r="O393" s="127" t="s">
        <v>185</v>
      </c>
      <c r="P393" s="127" t="s">
        <v>186</v>
      </c>
      <c r="Q393" s="85" t="str">
        <f t="shared" si="297"/>
        <v/>
      </c>
      <c r="R393" s="130"/>
      <c r="S393" s="128"/>
      <c r="T393" s="131"/>
      <c r="U393" s="132">
        <v>203</v>
      </c>
      <c r="V393" s="121">
        <v>218.2</v>
      </c>
      <c r="W393" s="116">
        <v>0.98</v>
      </c>
      <c r="X393" s="116">
        <v>1.66</v>
      </c>
      <c r="Y393" s="116">
        <f t="shared" si="299"/>
        <v>0.98</v>
      </c>
      <c r="Z393" s="133">
        <v>1.454</v>
      </c>
      <c r="AA393" s="133">
        <v>0.83599999999999997</v>
      </c>
      <c r="AB393" s="133">
        <v>0.72</v>
      </c>
      <c r="AC393" s="121">
        <v>34.299999999999997</v>
      </c>
      <c r="AD393" s="134">
        <v>1.17</v>
      </c>
      <c r="AE393" s="124">
        <v>177.8</v>
      </c>
      <c r="AF393" s="128">
        <v>9.19</v>
      </c>
      <c r="AG393" s="128">
        <v>2139.5</v>
      </c>
      <c r="AH393" s="127">
        <v>2958</v>
      </c>
      <c r="AI393" s="127">
        <v>2958</v>
      </c>
      <c r="AJ393" s="135"/>
      <c r="AK393" s="128"/>
      <c r="AL393" s="131"/>
      <c r="AM393" s="124" t="s">
        <v>232</v>
      </c>
      <c r="AN393" s="136" t="s">
        <v>1545</v>
      </c>
      <c r="AO393" s="137">
        <v>39</v>
      </c>
      <c r="AP393" s="128">
        <v>2262.2800000000002</v>
      </c>
      <c r="AQ393" s="128">
        <v>446.6</v>
      </c>
      <c r="AR393" s="128"/>
      <c r="AS393" s="128"/>
      <c r="AT393" s="122"/>
      <c r="AU393" s="124" t="s">
        <v>189</v>
      </c>
      <c r="AV393" s="115">
        <f>VLOOKUP(J393,'[63]ТР нефть'!$J$28:$BP$638,39,0)</f>
        <v>550.00002861300004</v>
      </c>
      <c r="AW393" s="115" t="str">
        <f>VLOOKUP(J393,'[63]ТР нефть'!$J$28:$BP$638,40,0)</f>
        <v>ГК82 1/8</v>
      </c>
      <c r="AX393" s="115">
        <f>VLOOKUP(J393,'[63]ТР нефть'!$J$28:$BP$638,41,0)</f>
        <v>980.00001445299995</v>
      </c>
      <c r="AY393" s="115" t="str">
        <f>VLOOKUP(J393,'[63]ТР нефть'!$J$28:$BP$638,42,0)</f>
        <v>ГК83 1/8</v>
      </c>
      <c r="AZ393" s="115">
        <f>VLOOKUP(J393,'[63]ТР нефть'!$J$28:$BP$638,43,0)</f>
        <v>1349.999978906</v>
      </c>
      <c r="BA393" s="115" t="str">
        <f>VLOOKUP(J393,'[63]ТР нефть'!$J$28:$BP$638,44,0)</f>
        <v>ГК81 1/8</v>
      </c>
      <c r="BB393" s="115">
        <f>VLOOKUP(J393,'[63]ТР нефть'!$J$28:$BP$638,45,0)</f>
        <v>1580.000005078</v>
      </c>
      <c r="BC393" s="115" t="str">
        <f>VLOOKUP(J393,'[63]ТР нефть'!$J$28:$BP$638,46,0)</f>
        <v>ГК81 1/8</v>
      </c>
      <c r="BD393" s="115">
        <f>VLOOKUP(J393,'[63]ТР нефть'!$J$28:$BP$638,47,0)</f>
        <v>1820.000090625</v>
      </c>
      <c r="BE393" s="115" t="str">
        <f>VLOOKUP(J393,'[63]ТР нефть'!$J$28:$BP$638,48,0)</f>
        <v>ЦКсОК 5/16</v>
      </c>
      <c r="BF393" s="115" t="str">
        <f>VLOOKUP(J393,'[63]ТР нефть'!$J$28:$BP$638,49,0)</f>
        <v>-</v>
      </c>
      <c r="BG393" s="115" t="str">
        <f>VLOOKUP(J393,'[63]ТР нефть'!$J$28:$BP$638,50,0)</f>
        <v>-</v>
      </c>
      <c r="BH393" s="115" t="str">
        <f>VLOOKUP(J393,'[63]ТР нефть'!$J$28:$BP$638,51,0)</f>
        <v>-</v>
      </c>
      <c r="BI393" s="115" t="str">
        <f>VLOOKUP(J393,'[63]ТР нефть'!$J$28:$BP$638,52,0)</f>
        <v>-</v>
      </c>
      <c r="BJ393" s="115" t="str">
        <f>IF(IFERROR(VLOOKUP(J393,'[63]ТР нефть'!$J$28:$BP$638,53,0),"-")=0,"-",IFERROR(VLOOKUP(J393,'[63]ТР нефть'!$J$28:$BP$638,53,0),"-"))</f>
        <v>-</v>
      </c>
      <c r="BK393" s="138" t="str">
        <f>IF(IFERROR(VLOOKUP(J393,'[63]ТР нефть'!$J$28:$BP$638,54,0),"-")=0,"-",IFERROR(VLOOKUP(J393,'[63]ТР нефть'!$J$28:$BP$638,54,0),"-"))</f>
        <v>-</v>
      </c>
      <c r="BL393" s="138" t="str">
        <f>IF(IFERROR(VLOOKUP(J393,'[63]ТР нефть'!$J$28:$BP$638,55,0),"-")=0,"-",IFERROR(VLOOKUP(J393,'[63]ТР нефть'!$J$28:$BP$638,55,0),"-"))</f>
        <v>-</v>
      </c>
      <c r="BM393" s="138" t="str">
        <f>IF(IFERROR(VLOOKUP(J393,'[63]ТР нефть'!$J$28:$BP$638,56,0),"-")=0,"-",IFERROR(VLOOKUP(J393,'[63]ТР нефть'!$J$28:$BP$638,56,0),"-"))</f>
        <v>-</v>
      </c>
      <c r="BN393" s="138" t="str">
        <f>IF(IFERROR(VLOOKUP(J393,'[63]ТР нефть'!$J$28:$BP$638,57,0),"-")=0,"-",IFERROR(VLOOKUP(J393,'[63]ТР нефть'!$J$28:$BP$638,57,0),"-"))</f>
        <v>-</v>
      </c>
      <c r="BO393" s="115" t="str">
        <f>IF(IFERROR(VLOOKUP(J393,'[63]ТР нефть'!$J$28:$BP$638,58,0),"-")=0,"-",IFERROR(VLOOKUP(J393,'[63]ТР нефть'!$J$28:$BP$638,58,0),"-"))</f>
        <v>-</v>
      </c>
      <c r="BP393" s="115" t="str">
        <f>IF(IFERROR(VLOOKUP(J393,'[63]ТР нефть'!$J$28:$BP$638,59,0),"-")=0,"-",IFERROR(VLOOKUP(J393,'[63]ТР нефть'!$J$28:$BP$638,59,0),"-"))</f>
        <v>-</v>
      </c>
      <c r="BQ393" s="138">
        <v>1850</v>
      </c>
      <c r="BR393" s="128">
        <v>1755.61</v>
      </c>
      <c r="BS393" s="115">
        <f t="shared" si="307"/>
        <v>94.3900000000001</v>
      </c>
      <c r="BT393" s="128">
        <v>73</v>
      </c>
      <c r="BU393" s="128">
        <v>5.5</v>
      </c>
      <c r="BV393" s="127">
        <v>65</v>
      </c>
      <c r="BW393" s="127" t="s">
        <v>217</v>
      </c>
      <c r="BX393" s="127" t="s">
        <v>218</v>
      </c>
      <c r="BY393" s="139">
        <v>24</v>
      </c>
      <c r="BZ393" s="139">
        <v>24</v>
      </c>
      <c r="CA393" s="138">
        <v>25</v>
      </c>
      <c r="CB393" s="138">
        <v>78</v>
      </c>
      <c r="CC393" s="138">
        <v>24</v>
      </c>
      <c r="CD393" s="135">
        <v>45017</v>
      </c>
      <c r="CE393" s="138">
        <v>93.1</v>
      </c>
      <c r="CF393" s="138">
        <v>78</v>
      </c>
      <c r="CG393" s="138" t="s">
        <v>1131</v>
      </c>
      <c r="CH393" s="138" t="s">
        <v>197</v>
      </c>
      <c r="CI393" s="127">
        <v>6</v>
      </c>
      <c r="CJ393" s="138"/>
      <c r="CK393" s="138">
        <f t="shared" si="308"/>
        <v>18</v>
      </c>
      <c r="CL393" s="99"/>
      <c r="CM393" s="99"/>
      <c r="CN393" s="140">
        <v>43</v>
      </c>
      <c r="CO393" s="141">
        <f t="shared" si="276"/>
        <v>2.0063999999999997</v>
      </c>
      <c r="CP393" s="142">
        <v>2.4</v>
      </c>
      <c r="CQ393" s="143">
        <v>0</v>
      </c>
      <c r="CR393" s="138">
        <v>14</v>
      </c>
      <c r="CS393" s="139">
        <v>6</v>
      </c>
      <c r="CT393" s="138"/>
      <c r="CU393" s="138">
        <f t="shared" si="277"/>
        <v>8</v>
      </c>
      <c r="CV393" s="115">
        <f t="shared" si="278"/>
        <v>3987.2408293460931</v>
      </c>
      <c r="CW393" s="115">
        <f t="shared" si="279"/>
        <v>2990.4306220095696</v>
      </c>
      <c r="CX393" s="133">
        <f t="shared" si="280"/>
        <v>4.790419161676647E-2</v>
      </c>
      <c r="CY393" s="116"/>
      <c r="CZ393" s="131"/>
      <c r="DA393" s="145" t="str">
        <f t="shared" si="281"/>
        <v>Газлифт</v>
      </c>
      <c r="DB393" s="146">
        <f t="shared" si="282"/>
        <v>2.0063999999999997</v>
      </c>
      <c r="DC393" s="142">
        <f t="shared" si="302"/>
        <v>2.4</v>
      </c>
      <c r="DD393" s="119">
        <f t="shared" si="303"/>
        <v>0</v>
      </c>
      <c r="DE393" s="115">
        <f t="shared" si="283"/>
        <v>8</v>
      </c>
      <c r="DF393" s="121">
        <f t="shared" si="284"/>
        <v>6</v>
      </c>
      <c r="DG393" s="115">
        <f t="shared" si="285"/>
        <v>3987.2408293460931</v>
      </c>
      <c r="DH393" s="115">
        <f t="shared" si="286"/>
        <v>43</v>
      </c>
      <c r="DI393" s="147"/>
      <c r="DJ393" s="111"/>
      <c r="DK393" s="112">
        <v>44167</v>
      </c>
      <c r="DL393" s="113">
        <f t="shared" ca="1" si="266"/>
        <v>937</v>
      </c>
      <c r="DM393" s="114"/>
      <c r="DN393" s="114"/>
      <c r="DO393" s="114"/>
      <c r="DP393" s="114"/>
      <c r="DQ393" s="112"/>
      <c r="DR393" s="114"/>
      <c r="DS393" s="114"/>
      <c r="DT393" s="115">
        <v>57</v>
      </c>
      <c r="DU393" s="116">
        <f t="shared" si="267"/>
        <v>6.6481994459833799E-2</v>
      </c>
      <c r="DV393" s="117">
        <f t="shared" si="268"/>
        <v>2.0063999999999997</v>
      </c>
      <c r="DW393" s="118">
        <f t="shared" si="269"/>
        <v>2.4</v>
      </c>
      <c r="DX393" s="119">
        <f t="shared" si="287"/>
        <v>0</v>
      </c>
      <c r="DY393" s="115">
        <f t="shared" si="270"/>
        <v>8</v>
      </c>
      <c r="DZ393" s="117">
        <f t="shared" si="305"/>
        <v>0</v>
      </c>
      <c r="EA393" s="120">
        <f t="shared" si="305"/>
        <v>0</v>
      </c>
      <c r="EB393" s="119">
        <f t="shared" si="264"/>
        <v>0</v>
      </c>
      <c r="EC393" s="121">
        <f t="shared" si="272"/>
        <v>0</v>
      </c>
      <c r="ED393" s="122"/>
      <c r="EE393" s="145">
        <v>65</v>
      </c>
      <c r="EF393" s="115">
        <v>25</v>
      </c>
      <c r="EG393" s="115">
        <v>78</v>
      </c>
      <c r="EH393" s="115">
        <v>24</v>
      </c>
      <c r="EI393" s="128" t="s">
        <v>218</v>
      </c>
      <c r="EJ393" s="121">
        <v>24</v>
      </c>
      <c r="EK393" s="121">
        <v>24</v>
      </c>
      <c r="EL393" s="149">
        <v>2.0063999999999997</v>
      </c>
      <c r="EM393" s="142">
        <v>2.4</v>
      </c>
      <c r="EN393" s="119">
        <v>0</v>
      </c>
      <c r="EO393" s="115">
        <v>14</v>
      </c>
      <c r="EP393" s="115">
        <v>3987.2408293460931</v>
      </c>
      <c r="EQ393" s="115">
        <v>78</v>
      </c>
      <c r="ER393" s="115">
        <v>6</v>
      </c>
      <c r="ES393" s="115">
        <v>43</v>
      </c>
      <c r="ET393" s="150">
        <v>4.790419161676647E-2</v>
      </c>
      <c r="EU393" s="145">
        <f t="shared" si="288"/>
        <v>65</v>
      </c>
      <c r="EV393" s="115">
        <f t="shared" si="289"/>
        <v>25</v>
      </c>
      <c r="EW393" s="115">
        <f t="shared" si="289"/>
        <v>78</v>
      </c>
      <c r="EX393" s="115">
        <f t="shared" si="289"/>
        <v>24</v>
      </c>
      <c r="EY393" s="115" t="str">
        <f t="shared" si="309"/>
        <v>Периодический</v>
      </c>
      <c r="EZ393" s="115">
        <f t="shared" si="309"/>
        <v>24</v>
      </c>
      <c r="FA393" s="115">
        <f t="shared" si="309"/>
        <v>24</v>
      </c>
      <c r="FB393" s="149">
        <f t="shared" si="298"/>
        <v>2.0063999999999997</v>
      </c>
      <c r="FC393" s="142">
        <f t="shared" si="298"/>
        <v>2.4</v>
      </c>
      <c r="FD393" s="119">
        <f t="shared" si="298"/>
        <v>0</v>
      </c>
      <c r="FE393" s="121">
        <f t="shared" si="298"/>
        <v>14</v>
      </c>
      <c r="FF393" s="121">
        <f t="shared" si="300"/>
        <v>3987.2408293460931</v>
      </c>
      <c r="FG393" s="121">
        <f t="shared" si="290"/>
        <v>78</v>
      </c>
      <c r="FH393" s="121">
        <f t="shared" si="301"/>
        <v>6</v>
      </c>
      <c r="FI393" s="121">
        <f t="shared" si="306"/>
        <v>43</v>
      </c>
      <c r="FJ393" s="144">
        <f t="shared" si="291"/>
        <v>4.790419161676647E-2</v>
      </c>
      <c r="FK393" s="132">
        <f t="shared" si="292"/>
        <v>0</v>
      </c>
      <c r="FL393" s="115">
        <f t="shared" si="292"/>
        <v>0</v>
      </c>
      <c r="FM393" s="115">
        <f t="shared" si="292"/>
        <v>0</v>
      </c>
      <c r="FN393" s="115">
        <f t="shared" si="273"/>
        <v>0</v>
      </c>
      <c r="FO393" s="115">
        <f t="shared" si="257"/>
        <v>0</v>
      </c>
      <c r="FP393" s="115">
        <f t="shared" si="257"/>
        <v>0</v>
      </c>
      <c r="FQ393" s="149">
        <f t="shared" si="257"/>
        <v>0</v>
      </c>
      <c r="FR393" s="142">
        <f t="shared" si="257"/>
        <v>0</v>
      </c>
      <c r="FS393" s="119">
        <f t="shared" si="257"/>
        <v>0</v>
      </c>
      <c r="FT393" s="121">
        <f t="shared" si="257"/>
        <v>0</v>
      </c>
      <c r="FU393" s="121">
        <f t="shared" si="293"/>
        <v>0</v>
      </c>
      <c r="FV393" s="121">
        <f t="shared" si="293"/>
        <v>0</v>
      </c>
      <c r="FW393" s="121">
        <f t="shared" si="294"/>
        <v>0</v>
      </c>
      <c r="FX393" s="121">
        <f t="shared" si="295"/>
        <v>0</v>
      </c>
      <c r="FY393" s="144">
        <f t="shared" si="295"/>
        <v>0</v>
      </c>
      <c r="FZ393" s="999"/>
      <c r="GA393" s="151"/>
      <c r="GB393" s="999"/>
      <c r="GC393" s="151"/>
      <c r="GD393" s="997" t="s">
        <v>220</v>
      </c>
      <c r="GE393" s="1061"/>
      <c r="GF393" s="1061">
        <v>-8.3600000000000119E-2</v>
      </c>
      <c r="GG393" s="1061"/>
      <c r="GH393" s="1061">
        <v>-0.41800000000000015</v>
      </c>
      <c r="GI393" s="999"/>
      <c r="GJ393" s="996">
        <v>0</v>
      </c>
      <c r="GK393" s="999"/>
      <c r="GL393" s="996">
        <v>0</v>
      </c>
      <c r="GM393" s="1005"/>
      <c r="GN393" s="996">
        <v>0</v>
      </c>
      <c r="GO393" s="1006"/>
      <c r="GP393" s="996">
        <v>0</v>
      </c>
      <c r="GQ393" s="1006"/>
      <c r="GR393" s="996">
        <v>0</v>
      </c>
      <c r="GS393" s="1006"/>
      <c r="GT393" s="996">
        <v>0</v>
      </c>
      <c r="GU393" s="1006"/>
      <c r="GV393" s="996">
        <v>-0.25079999999999991</v>
      </c>
      <c r="GW393" s="1006"/>
      <c r="GX393" s="996">
        <v>0</v>
      </c>
      <c r="GY393" s="1006"/>
      <c r="GZ393" s="996">
        <v>-0.83599999999999985</v>
      </c>
      <c r="HA393" s="1006"/>
      <c r="HB393" s="996">
        <v>0.91959999999999953</v>
      </c>
      <c r="HC393" s="1006"/>
      <c r="HD393" s="996">
        <v>0</v>
      </c>
      <c r="HE393" s="1006"/>
      <c r="HF393" s="996">
        <v>0</v>
      </c>
      <c r="HG393" s="1006"/>
      <c r="HH393" s="996">
        <v>0</v>
      </c>
      <c r="HI393" s="1006" t="s">
        <v>223</v>
      </c>
      <c r="HJ393" s="996">
        <v>-1.0867999999999998</v>
      </c>
      <c r="HK393" s="1006"/>
      <c r="HL393" s="996">
        <v>0</v>
      </c>
      <c r="HM393" s="1006"/>
      <c r="HN393" s="996">
        <v>-0.41799999999999971</v>
      </c>
      <c r="HO393" s="1006"/>
      <c r="HP393" s="996">
        <v>0</v>
      </c>
      <c r="HQ393" s="1006"/>
      <c r="HR393" s="996">
        <v>0</v>
      </c>
      <c r="HS393" s="1006"/>
      <c r="HT393" s="996">
        <v>0</v>
      </c>
      <c r="HU393" s="1006"/>
      <c r="HV393" s="996">
        <v>0.83599999999999985</v>
      </c>
      <c r="HW393" s="1006"/>
      <c r="HX393" s="996">
        <v>0</v>
      </c>
      <c r="HY393" s="1006" t="s">
        <v>199</v>
      </c>
      <c r="HZ393" s="996">
        <v>-1.4546399999999999</v>
      </c>
      <c r="IA393" s="1006"/>
      <c r="IB393" s="996">
        <v>0</v>
      </c>
      <c r="IC393" s="1006"/>
      <c r="ID393" s="996">
        <v>0</v>
      </c>
      <c r="IE393" s="1006"/>
      <c r="IF393" s="996">
        <v>0</v>
      </c>
      <c r="IG393" s="1006" t="s">
        <v>223</v>
      </c>
      <c r="IH393" s="996">
        <v>-1.5215199999999998</v>
      </c>
      <c r="II393" s="1006" t="s">
        <v>204</v>
      </c>
      <c r="IJ393" s="996">
        <v>-4.0345359999999992</v>
      </c>
      <c r="IK393" s="1006" t="s">
        <v>239</v>
      </c>
      <c r="IL393" s="996">
        <v>-0.34610400000000219</v>
      </c>
      <c r="IM393" s="1006"/>
      <c r="IN393" s="996">
        <v>0</v>
      </c>
      <c r="IO393" s="1006"/>
      <c r="IP393" s="996">
        <v>0</v>
      </c>
      <c r="IQ393" s="1006"/>
      <c r="IR393" s="996">
        <v>0</v>
      </c>
      <c r="IS393" s="1006" t="s">
        <v>223</v>
      </c>
      <c r="IT393" s="996">
        <v>-1.7137999999999973</v>
      </c>
      <c r="IU393" s="1006"/>
      <c r="IV393" s="996">
        <v>0</v>
      </c>
      <c r="IW393" s="1006"/>
      <c r="IX393" s="996">
        <v>0</v>
      </c>
      <c r="IY393" s="1006"/>
      <c r="IZ393" s="996">
        <v>0</v>
      </c>
      <c r="JA393" s="1006"/>
      <c r="JB393" s="996">
        <v>0.40613298000000064</v>
      </c>
      <c r="JC393" s="1006" t="s">
        <v>223</v>
      </c>
      <c r="JD393" s="996">
        <v>-8.9428633799999986</v>
      </c>
      <c r="JE393" s="1006"/>
      <c r="JF393" s="996">
        <v>0</v>
      </c>
      <c r="JG393" s="1006" t="s">
        <v>25</v>
      </c>
      <c r="JH393" s="996">
        <v>20.951330399999996</v>
      </c>
      <c r="JI393" s="1006"/>
      <c r="JJ393" s="996"/>
      <c r="JK393" s="1007"/>
      <c r="JL393" s="1007"/>
      <c r="JM393" s="1007"/>
      <c r="JN393" s="1007"/>
      <c r="JO393" s="1008"/>
      <c r="JP393" s="1007"/>
      <c r="JQ393" s="1008"/>
      <c r="JR393" s="1007"/>
      <c r="JS393" s="1008"/>
      <c r="JT393" s="1007"/>
      <c r="JU393" s="1008"/>
      <c r="JV393" s="1007"/>
      <c r="JW393" s="1008"/>
      <c r="JX393" s="1007"/>
      <c r="JY393" s="1008"/>
      <c r="JZ393" s="1007"/>
      <c r="KA393" s="1008"/>
      <c r="KB393" s="1007"/>
      <c r="KC393" s="1008"/>
      <c r="KD393" s="1007"/>
      <c r="KE393" s="1008"/>
      <c r="KF393" s="1007"/>
      <c r="KG393" s="1008"/>
      <c r="KH393" s="1007"/>
      <c r="KI393" s="1008"/>
      <c r="KJ393" s="1007"/>
      <c r="KK393" s="1008"/>
      <c r="KL393" s="1007"/>
      <c r="KM393" s="1008"/>
      <c r="KN393" s="1007"/>
      <c r="KO393" s="1008"/>
      <c r="KP393" s="1007"/>
      <c r="KQ393" s="1008"/>
      <c r="KR393" s="1007"/>
      <c r="KS393" s="1008"/>
      <c r="KT393" s="1007"/>
      <c r="KU393" s="1008"/>
      <c r="KV393" s="1007"/>
      <c r="KW393" s="1008"/>
      <c r="KX393" s="1007"/>
      <c r="KY393" s="1008"/>
      <c r="KZ393" s="1007"/>
      <c r="LA393" s="1008"/>
      <c r="LB393" s="1007"/>
      <c r="LC393" s="1008"/>
      <c r="LD393" s="1007"/>
      <c r="LE393" s="1008"/>
      <c r="LF393" s="1007"/>
      <c r="LG393" s="1008"/>
      <c r="LH393" s="1007"/>
      <c r="LI393" s="1008"/>
      <c r="LJ393" s="1007"/>
      <c r="LK393" s="1008"/>
      <c r="LL393" s="1007"/>
      <c r="LM393" s="1008"/>
      <c r="LN393" s="1007"/>
      <c r="LO393" s="1008"/>
      <c r="LP393" s="1007"/>
      <c r="LQ393" s="1008"/>
      <c r="LR393" s="1007"/>
      <c r="LS393" s="1008"/>
      <c r="LT393" s="1007"/>
      <c r="LU393" s="1008"/>
      <c r="LV393" s="1007"/>
      <c r="LW393" s="1008"/>
      <c r="LX393" s="1007"/>
      <c r="LY393" s="1009"/>
      <c r="LZ393" s="1010"/>
      <c r="MA393" s="1011"/>
      <c r="MB393" s="1012"/>
      <c r="MC393" s="995"/>
      <c r="MD393" s="996"/>
      <c r="ME393" s="997" t="s">
        <v>220</v>
      </c>
      <c r="MF393" s="997"/>
      <c r="MG393" s="998"/>
      <c r="NR393" s="1000"/>
      <c r="NS393" s="1000"/>
      <c r="NT393" s="1001"/>
      <c r="NU393" s="1000"/>
      <c r="NV393" s="1001"/>
      <c r="NX393" s="1002"/>
      <c r="NZ393" s="1001"/>
      <c r="OA393" s="1001"/>
      <c r="OC393" s="1003"/>
      <c r="OD393" s="1003"/>
      <c r="OE393" s="1001"/>
      <c r="OF393" s="1003"/>
      <c r="OG393" s="1003"/>
      <c r="QX393" s="1000">
        <f>CN393-CA393</f>
        <v>18</v>
      </c>
      <c r="ASU393" s="999" t="s">
        <v>225</v>
      </c>
    </row>
    <row r="394" spans="1:466 1191:1191" ht="21" customHeight="1" x14ac:dyDescent="0.25">
      <c r="A394" s="982">
        <f t="shared" si="274"/>
        <v>1441</v>
      </c>
      <c r="B394" s="124">
        <f>SUBTOTAL(103,$J$29:J394)</f>
        <v>366</v>
      </c>
      <c r="C394" s="126">
        <v>45068</v>
      </c>
      <c r="D394" s="124" t="s">
        <v>176</v>
      </c>
      <c r="E394" s="127" t="s">
        <v>177</v>
      </c>
      <c r="F394" s="128" t="s">
        <v>177</v>
      </c>
      <c r="G394" s="127" t="s">
        <v>178</v>
      </c>
      <c r="H394" s="127" t="s">
        <v>179</v>
      </c>
      <c r="I394" s="127" t="s">
        <v>1035</v>
      </c>
      <c r="J394" s="152">
        <v>1441</v>
      </c>
      <c r="K394" s="127" t="s">
        <v>1546</v>
      </c>
      <c r="L394" s="130">
        <v>42881</v>
      </c>
      <c r="M394" s="127" t="s">
        <v>230</v>
      </c>
      <c r="N394" s="127" t="s">
        <v>184</v>
      </c>
      <c r="O394" s="127" t="s">
        <v>185</v>
      </c>
      <c r="P394" s="127" t="s">
        <v>186</v>
      </c>
      <c r="Q394" s="85" t="str">
        <f t="shared" si="297"/>
        <v/>
      </c>
      <c r="R394" s="130"/>
      <c r="S394" s="128"/>
      <c r="T394" s="131"/>
      <c r="U394" s="132">
        <v>203</v>
      </c>
      <c r="V394" s="121">
        <v>218.2</v>
      </c>
      <c r="W394" s="116">
        <v>0.98</v>
      </c>
      <c r="X394" s="116">
        <v>1.66</v>
      </c>
      <c r="Y394" s="116">
        <f t="shared" si="299"/>
        <v>0.98403097023953534</v>
      </c>
      <c r="Z394" s="133">
        <v>1.454</v>
      </c>
      <c r="AA394" s="133">
        <v>0.83599999999999997</v>
      </c>
      <c r="AB394" s="133">
        <v>0.72</v>
      </c>
      <c r="AC394" s="121">
        <v>34.299999999999997</v>
      </c>
      <c r="AD394" s="134">
        <v>1.17</v>
      </c>
      <c r="AE394" s="124">
        <v>177.8</v>
      </c>
      <c r="AF394" s="128">
        <v>9.19</v>
      </c>
      <c r="AG394" s="128">
        <v>2304</v>
      </c>
      <c r="AH394" s="127">
        <v>2965</v>
      </c>
      <c r="AI394" s="127">
        <v>2965</v>
      </c>
      <c r="AJ394" s="135"/>
      <c r="AK394" s="128"/>
      <c r="AL394" s="131"/>
      <c r="AM394" s="124" t="s">
        <v>232</v>
      </c>
      <c r="AN394" s="136" t="s">
        <v>1547</v>
      </c>
      <c r="AO394" s="137" t="s">
        <v>1548</v>
      </c>
      <c r="AP394" s="128">
        <v>2304</v>
      </c>
      <c r="AQ394" s="128">
        <v>466.55</v>
      </c>
      <c r="AR394" s="128"/>
      <c r="AS394" s="128"/>
      <c r="AT394" s="122"/>
      <c r="AU394" s="124" t="s">
        <v>189</v>
      </c>
      <c r="AV394" s="115">
        <f>VLOOKUP(J394,'[63]ТР нефть'!$J$28:$BP$638,39,0)</f>
        <v>549.99999140600005</v>
      </c>
      <c r="AW394" s="115" t="str">
        <f>VLOOKUP(J394,'[63]ТР нефть'!$J$28:$BP$638,40,0)</f>
        <v>ГП</v>
      </c>
      <c r="AX394" s="115">
        <f>VLOOKUP(J394,'[63]ТР нефть'!$J$28:$BP$638,41,0)</f>
        <v>989.99999941399994</v>
      </c>
      <c r="AY394" s="115" t="str">
        <f>VLOOKUP(J394,'[63]ТР нефть'!$J$28:$BP$638,42,0)</f>
        <v>ГК 83 1/8</v>
      </c>
      <c r="AZ394" s="115">
        <f>VLOOKUP(J394,'[63]ТР нефть'!$J$28:$BP$638,43,0)</f>
        <v>1340.0000683589999</v>
      </c>
      <c r="BA394" s="115" t="str">
        <f>VLOOKUP(J394,'[63]ТР нефть'!$J$28:$BP$638,44,0)</f>
        <v>ГК 82 1/8</v>
      </c>
      <c r="BB394" s="115">
        <f>VLOOKUP(J394,'[63]ТР нефть'!$J$28:$BP$638,45,0)</f>
        <v>1630.000004297</v>
      </c>
      <c r="BC394" s="115" t="str">
        <f>VLOOKUP(J394,'[63]ТР нефть'!$J$28:$BP$638,46,0)</f>
        <v>ГК 79 1/8</v>
      </c>
      <c r="BD394" s="115">
        <f>VLOOKUP(J394,'[63]ТР нефть'!$J$28:$BP$638,47,0)</f>
        <v>1860.000030469</v>
      </c>
      <c r="BE394" s="115" t="str">
        <f>VLOOKUP(J394,'[63]ТР нефть'!$J$28:$BP$638,48,0)</f>
        <v>ЦКсОК 5/16</v>
      </c>
      <c r="BF394" s="115" t="str">
        <f>VLOOKUP(J394,'[63]ТР нефть'!$J$28:$BP$638,49,0)</f>
        <v>-</v>
      </c>
      <c r="BG394" s="115" t="str">
        <f>VLOOKUP(J394,'[63]ТР нефть'!$J$28:$BP$638,50,0)</f>
        <v>-</v>
      </c>
      <c r="BH394" s="115">
        <f>VLOOKUP(J394,'[63]ТР нефть'!$J$28:$BP$638,51,0)</f>
        <v>1870</v>
      </c>
      <c r="BI394" s="115" t="str">
        <f>VLOOKUP(J394,'[63]ТР нефть'!$J$28:$BP$638,52,0)</f>
        <v>закрыт</v>
      </c>
      <c r="BJ394" s="115" t="str">
        <f>IF(IFERROR(VLOOKUP(J394,'[63]ТР нефть'!$J$28:$BP$638,53,0),"-")=0,"-",IFERROR(VLOOKUP(J394,'[63]ТР нефть'!$J$28:$BP$638,53,0),"-"))</f>
        <v>-</v>
      </c>
      <c r="BK394" s="138" t="str">
        <f>IF(IFERROR(VLOOKUP(J394,'[63]ТР нефть'!$J$28:$BP$638,54,0),"-")=0,"-",IFERROR(VLOOKUP(J394,'[63]ТР нефть'!$J$28:$BP$638,54,0),"-"))</f>
        <v>-</v>
      </c>
      <c r="BL394" s="138" t="str">
        <f>IF(IFERROR(VLOOKUP(J394,'[63]ТР нефть'!$J$28:$BP$638,55,0),"-")=0,"-",IFERROR(VLOOKUP(J394,'[63]ТР нефть'!$J$28:$BP$638,55,0),"-"))</f>
        <v>-</v>
      </c>
      <c r="BM394" s="138" t="str">
        <f>IF(IFERROR(VLOOKUP(J394,'[63]ТР нефть'!$J$28:$BP$638,56,0),"-")=0,"-",IFERROR(VLOOKUP(J394,'[63]ТР нефть'!$J$28:$BP$638,56,0),"-"))</f>
        <v>-</v>
      </c>
      <c r="BN394" s="138" t="str">
        <f>IF(IFERROR(VLOOKUP(J394,'[63]ТР нефть'!$J$28:$BP$638,57,0),"-")=0,"-",IFERROR(VLOOKUP(J394,'[63]ТР нефть'!$J$28:$BP$638,57,0),"-"))</f>
        <v>-</v>
      </c>
      <c r="BO394" s="115" t="str">
        <f>IF(IFERROR(VLOOKUP(J394,'[63]ТР нефть'!$J$28:$BP$638,58,0),"-")=0,"-",IFERROR(VLOOKUP(J394,'[63]ТР нефть'!$J$28:$BP$638,58,0),"-"))</f>
        <v>-</v>
      </c>
      <c r="BP394" s="115" t="str">
        <f>IF(IFERROR(VLOOKUP(J394,'[63]ТР нефть'!$J$28:$BP$638,59,0),"-")=0,"-",IFERROR(VLOOKUP(J394,'[63]ТР нефть'!$J$28:$BP$638,59,0),"-"))</f>
        <v>-</v>
      </c>
      <c r="BQ394" s="138">
        <v>2340</v>
      </c>
      <c r="BR394" s="128">
        <v>1840</v>
      </c>
      <c r="BS394" s="115">
        <f t="shared" si="307"/>
        <v>500</v>
      </c>
      <c r="BT394" s="128">
        <v>73</v>
      </c>
      <c r="BU394" s="128">
        <v>5.5</v>
      </c>
      <c r="BV394" s="127">
        <v>18</v>
      </c>
      <c r="BW394" s="127" t="s">
        <v>217</v>
      </c>
      <c r="BX394" s="127" t="s">
        <v>218</v>
      </c>
      <c r="BY394" s="139">
        <v>24</v>
      </c>
      <c r="BZ394" s="139">
        <v>24</v>
      </c>
      <c r="CA394" s="80">
        <v>19</v>
      </c>
      <c r="CB394" s="138">
        <v>40</v>
      </c>
      <c r="CC394" s="138">
        <v>18</v>
      </c>
      <c r="CD394" s="135">
        <v>45017</v>
      </c>
      <c r="CE394" s="138">
        <v>86</v>
      </c>
      <c r="CF394" s="138">
        <v>78</v>
      </c>
      <c r="CG394" s="138" t="s">
        <v>1131</v>
      </c>
      <c r="CH394" s="138" t="s">
        <v>272</v>
      </c>
      <c r="CI394" s="127">
        <v>5</v>
      </c>
      <c r="CJ394" s="138"/>
      <c r="CK394" s="138">
        <f t="shared" si="308"/>
        <v>28</v>
      </c>
      <c r="CL394" s="99"/>
      <c r="CM394" s="99"/>
      <c r="CN394" s="140">
        <v>47</v>
      </c>
      <c r="CO394" s="141">
        <f t="shared" si="276"/>
        <v>3.145032</v>
      </c>
      <c r="CP394" s="142">
        <v>3.8</v>
      </c>
      <c r="CQ394" s="143">
        <v>1</v>
      </c>
      <c r="CR394" s="138">
        <v>9</v>
      </c>
      <c r="CS394" s="139">
        <v>4.4000000000000004</v>
      </c>
      <c r="CT394" s="138"/>
      <c r="CU394" s="138">
        <f t="shared" si="277"/>
        <v>4.5999999999999996</v>
      </c>
      <c r="CV394" s="115">
        <f t="shared" si="278"/>
        <v>1462.6242276708153</v>
      </c>
      <c r="CW394" s="115">
        <f t="shared" si="279"/>
        <v>1379.7272906295198</v>
      </c>
      <c r="CX394" s="133">
        <f t="shared" si="280"/>
        <v>9.7435897435897437E-2</v>
      </c>
      <c r="CY394" s="116"/>
      <c r="CZ394" s="131"/>
      <c r="DA394" s="145" t="str">
        <f t="shared" si="281"/>
        <v>Газлифт</v>
      </c>
      <c r="DB394" s="146">
        <f t="shared" si="282"/>
        <v>3.145032</v>
      </c>
      <c r="DC394" s="142">
        <f t="shared" si="302"/>
        <v>3.8</v>
      </c>
      <c r="DD394" s="119">
        <f t="shared" si="303"/>
        <v>1</v>
      </c>
      <c r="DE394" s="115">
        <f t="shared" si="283"/>
        <v>4.5999999999999996</v>
      </c>
      <c r="DF394" s="121">
        <f t="shared" si="284"/>
        <v>4.4000000000000004</v>
      </c>
      <c r="DG394" s="115">
        <f t="shared" si="285"/>
        <v>1462.6242276708153</v>
      </c>
      <c r="DH394" s="115">
        <f t="shared" si="286"/>
        <v>47</v>
      </c>
      <c r="DI394" s="147"/>
      <c r="DJ394" s="111">
        <v>42921</v>
      </c>
      <c r="DK394" s="112">
        <v>42925</v>
      </c>
      <c r="DL394" s="113">
        <f t="shared" ca="1" si="266"/>
        <v>2179</v>
      </c>
      <c r="DM394" s="114"/>
      <c r="DN394" s="114"/>
      <c r="DO394" s="114"/>
      <c r="DP394" s="114"/>
      <c r="DQ394" s="112">
        <v>42881</v>
      </c>
      <c r="DR394" s="114" t="s">
        <v>324</v>
      </c>
      <c r="DS394" s="114"/>
      <c r="DT394" s="115">
        <v>47</v>
      </c>
      <c r="DU394" s="116">
        <f t="shared" si="267"/>
        <v>9.7435897435897437E-2</v>
      </c>
      <c r="DV394" s="117">
        <f t="shared" si="268"/>
        <v>3.145032</v>
      </c>
      <c r="DW394" s="118">
        <f t="shared" si="269"/>
        <v>3.8</v>
      </c>
      <c r="DX394" s="119">
        <f t="shared" si="287"/>
        <v>1</v>
      </c>
      <c r="DY394" s="115">
        <f t="shared" si="270"/>
        <v>4.5999999999999996</v>
      </c>
      <c r="DZ394" s="117">
        <f t="shared" si="305"/>
        <v>0</v>
      </c>
      <c r="EA394" s="120">
        <f t="shared" si="305"/>
        <v>0</v>
      </c>
      <c r="EB394" s="119">
        <f t="shared" si="264"/>
        <v>0</v>
      </c>
      <c r="EC394" s="121">
        <f t="shared" si="272"/>
        <v>0</v>
      </c>
      <c r="ED394" s="122"/>
      <c r="EE394" s="145">
        <v>18</v>
      </c>
      <c r="EF394" s="148">
        <v>21</v>
      </c>
      <c r="EG394" s="115">
        <v>42</v>
      </c>
      <c r="EH394" s="115">
        <v>20</v>
      </c>
      <c r="EI394" s="128" t="s">
        <v>218</v>
      </c>
      <c r="EJ394" s="121">
        <v>24</v>
      </c>
      <c r="EK394" s="121">
        <v>24</v>
      </c>
      <c r="EL394" s="149">
        <v>2.9259999999999997</v>
      </c>
      <c r="EM394" s="142">
        <v>3.5</v>
      </c>
      <c r="EN394" s="119">
        <v>0</v>
      </c>
      <c r="EO394" s="115">
        <v>9</v>
      </c>
      <c r="EP394" s="115">
        <v>1572.112098427888</v>
      </c>
      <c r="EQ394" s="115">
        <v>80</v>
      </c>
      <c r="ER394" s="115">
        <v>4.4000000000000004</v>
      </c>
      <c r="ES394" s="115">
        <v>47</v>
      </c>
      <c r="ET394" s="150">
        <v>8.9743589743589744E-2</v>
      </c>
      <c r="EU394" s="145">
        <f t="shared" si="288"/>
        <v>18</v>
      </c>
      <c r="EV394" s="115">
        <f t="shared" si="289"/>
        <v>19</v>
      </c>
      <c r="EW394" s="115">
        <f t="shared" si="289"/>
        <v>40</v>
      </c>
      <c r="EX394" s="115">
        <f t="shared" si="289"/>
        <v>18</v>
      </c>
      <c r="EY394" s="115" t="str">
        <f t="shared" si="309"/>
        <v>Периодический</v>
      </c>
      <c r="EZ394" s="115">
        <f t="shared" si="309"/>
        <v>24</v>
      </c>
      <c r="FA394" s="115">
        <f t="shared" si="309"/>
        <v>24</v>
      </c>
      <c r="FB394" s="149">
        <f t="shared" si="298"/>
        <v>3.145032</v>
      </c>
      <c r="FC394" s="142">
        <f t="shared" si="298"/>
        <v>3.8</v>
      </c>
      <c r="FD394" s="119">
        <f t="shared" si="298"/>
        <v>1</v>
      </c>
      <c r="FE394" s="121">
        <f t="shared" si="298"/>
        <v>9</v>
      </c>
      <c r="FF394" s="121">
        <f t="shared" si="300"/>
        <v>1462.6242276708153</v>
      </c>
      <c r="FG394" s="121">
        <f t="shared" si="290"/>
        <v>78</v>
      </c>
      <c r="FH394" s="121">
        <f t="shared" si="301"/>
        <v>4.4000000000000004</v>
      </c>
      <c r="FI394" s="121">
        <f t="shared" si="306"/>
        <v>47</v>
      </c>
      <c r="FJ394" s="144">
        <f t="shared" si="291"/>
        <v>9.7435897435897437E-2</v>
      </c>
      <c r="FK394" s="132">
        <f t="shared" si="292"/>
        <v>0</v>
      </c>
      <c r="FL394" s="115">
        <f t="shared" si="292"/>
        <v>-2</v>
      </c>
      <c r="FM394" s="115">
        <f t="shared" si="292"/>
        <v>-2</v>
      </c>
      <c r="FN394" s="115">
        <f t="shared" si="273"/>
        <v>-2</v>
      </c>
      <c r="FO394" s="115">
        <f t="shared" ref="FO394:FT457" si="311">EZ394-EJ394</f>
        <v>0</v>
      </c>
      <c r="FP394" s="115">
        <f t="shared" si="311"/>
        <v>0</v>
      </c>
      <c r="FQ394" s="149">
        <f t="shared" si="311"/>
        <v>0.21903200000000034</v>
      </c>
      <c r="FR394" s="142">
        <f t="shared" si="311"/>
        <v>0.29999999999999982</v>
      </c>
      <c r="FS394" s="119">
        <f t="shared" si="311"/>
        <v>1</v>
      </c>
      <c r="FT394" s="121">
        <f t="shared" si="311"/>
        <v>0</v>
      </c>
      <c r="FU394" s="121">
        <f t="shared" si="293"/>
        <v>-2</v>
      </c>
      <c r="FV394" s="121">
        <f t="shared" si="293"/>
        <v>0</v>
      </c>
      <c r="FW394" s="121">
        <f t="shared" si="294"/>
        <v>-109.48787075707264</v>
      </c>
      <c r="FX394" s="121">
        <f t="shared" si="295"/>
        <v>0</v>
      </c>
      <c r="FY394" s="144">
        <f t="shared" si="295"/>
        <v>7.6923076923076927E-3</v>
      </c>
      <c r="FZ394" s="145"/>
      <c r="GA394" s="151"/>
      <c r="GB394" s="145"/>
      <c r="GC394" s="151"/>
      <c r="GD394" s="997" t="s">
        <v>220</v>
      </c>
      <c r="GE394" s="1004"/>
      <c r="GF394" s="1004">
        <v>-0.8360000000000003</v>
      </c>
      <c r="GG394" s="1004"/>
      <c r="GH394" s="1004">
        <v>-0.41799999999999971</v>
      </c>
      <c r="GI394" s="145"/>
      <c r="GJ394" s="996">
        <v>0</v>
      </c>
      <c r="GK394" s="145"/>
      <c r="GL394" s="996">
        <v>0</v>
      </c>
      <c r="GM394" s="1005"/>
      <c r="GN394" s="996">
        <v>-0.41800000000000015</v>
      </c>
      <c r="GO394" s="1006"/>
      <c r="GP394" s="996">
        <v>0</v>
      </c>
      <c r="GQ394" s="1006"/>
      <c r="GR394" s="996">
        <v>0</v>
      </c>
      <c r="GS394" s="1006"/>
      <c r="GT394" s="996">
        <v>0</v>
      </c>
      <c r="GU394" s="1006"/>
      <c r="GV394" s="996">
        <v>0</v>
      </c>
      <c r="GW394" s="1006" t="s">
        <v>223</v>
      </c>
      <c r="GX394" s="996">
        <v>-1.2540000000000004</v>
      </c>
      <c r="GY394" s="1006" t="s">
        <v>199</v>
      </c>
      <c r="GZ394" s="996">
        <v>1.5465999999999998</v>
      </c>
      <c r="HA394" s="1006"/>
      <c r="HB394" s="996">
        <v>0</v>
      </c>
      <c r="HC394" s="1006"/>
      <c r="HD394" s="996">
        <v>0</v>
      </c>
      <c r="HE394" s="1006"/>
      <c r="HF394" s="996">
        <v>0</v>
      </c>
      <c r="HG394" s="1006"/>
      <c r="HH394" s="996">
        <v>0</v>
      </c>
      <c r="HI394" s="1006"/>
      <c r="HJ394" s="996">
        <v>0</v>
      </c>
      <c r="HK394" s="1006"/>
      <c r="HL394" s="996">
        <v>0</v>
      </c>
      <c r="HM394" s="1006" t="s">
        <v>199</v>
      </c>
      <c r="HN394" s="996">
        <v>-1.3794000000000004</v>
      </c>
      <c r="HO394" s="1006"/>
      <c r="HP394" s="996">
        <v>0</v>
      </c>
      <c r="HQ394" s="1006" t="s">
        <v>203</v>
      </c>
      <c r="HR394" s="996">
        <v>-1.0031999999999988</v>
      </c>
      <c r="HS394" s="1006"/>
      <c r="HT394" s="996">
        <v>0</v>
      </c>
      <c r="HU394" s="1006" t="s">
        <v>199</v>
      </c>
      <c r="HV394" s="996">
        <v>-5.8520000000000003</v>
      </c>
      <c r="HW394" s="1006" t="s">
        <v>199</v>
      </c>
      <c r="HX394" s="996">
        <v>2.7838799999999999</v>
      </c>
      <c r="HY394" s="1006"/>
      <c r="HZ394" s="996">
        <v>0</v>
      </c>
      <c r="IA394" s="1006" t="s">
        <v>433</v>
      </c>
      <c r="IB394" s="996">
        <v>-1.7007199439999994</v>
      </c>
      <c r="IC394" s="1006" t="s">
        <v>25</v>
      </c>
      <c r="ID394" s="996">
        <v>5.7218799440000003</v>
      </c>
      <c r="IE394" s="1006" t="s">
        <v>199</v>
      </c>
      <c r="IF394" s="996">
        <v>-2.7671600000000014</v>
      </c>
      <c r="IG394" s="1006" t="s">
        <v>204</v>
      </c>
      <c r="IH394" s="996">
        <v>-2.7002799999999993</v>
      </c>
      <c r="II394" s="1006"/>
      <c r="IJ394" s="996">
        <v>0</v>
      </c>
      <c r="IK394" s="1006" t="s">
        <v>199</v>
      </c>
      <c r="IL394" s="996">
        <v>3.6783999999999999</v>
      </c>
      <c r="IM394" s="1006" t="s">
        <v>204</v>
      </c>
      <c r="IN394" s="996">
        <v>-5.0996000000000006</v>
      </c>
      <c r="IO394" s="1006"/>
      <c r="IP394" s="996">
        <v>0</v>
      </c>
      <c r="IQ394" s="1006"/>
      <c r="IR394" s="996">
        <v>0</v>
      </c>
      <c r="IS394" s="1006"/>
      <c r="IT394" s="996">
        <v>0.25079999999999991</v>
      </c>
      <c r="IU394" s="1006"/>
      <c r="IV394" s="996">
        <v>-0.89034000000000013</v>
      </c>
      <c r="IW394" s="1006"/>
      <c r="IX394" s="996">
        <v>0</v>
      </c>
      <c r="IY394" s="1006" t="s">
        <v>204</v>
      </c>
      <c r="IZ394" s="996">
        <v>-6.8008600000000001</v>
      </c>
      <c r="JA394" s="1006" t="s">
        <v>204</v>
      </c>
      <c r="JB394" s="996">
        <v>8.3600000000000012</v>
      </c>
      <c r="JC394" s="1006" t="s">
        <v>204</v>
      </c>
      <c r="JD394" s="996">
        <v>-14.211999999999998</v>
      </c>
      <c r="JE394" s="1006" t="s">
        <v>204</v>
      </c>
      <c r="JF394" s="996">
        <v>15.683359999999997</v>
      </c>
      <c r="JG394" s="1006"/>
      <c r="JH394" s="996">
        <v>0</v>
      </c>
      <c r="JI394" s="1006"/>
      <c r="JJ394" s="996">
        <v>0</v>
      </c>
      <c r="JK394" s="1007"/>
      <c r="JL394" s="1007">
        <v>0</v>
      </c>
      <c r="JM394" s="1007" t="s">
        <v>204</v>
      </c>
      <c r="JN394" s="1007">
        <v>-1.4713599999999989</v>
      </c>
      <c r="JO394" s="1008"/>
      <c r="JP394" s="1007">
        <v>0</v>
      </c>
      <c r="JQ394" s="1008">
        <v>0</v>
      </c>
      <c r="JR394" s="1007">
        <v>0</v>
      </c>
      <c r="JS394" s="1008">
        <v>0</v>
      </c>
      <c r="JT394" s="1007">
        <v>-0.8360000000000003</v>
      </c>
      <c r="JU394" s="1008" t="s">
        <v>207</v>
      </c>
      <c r="JV394" s="1007">
        <v>5.016</v>
      </c>
      <c r="JW394" s="1008" t="s">
        <v>207</v>
      </c>
      <c r="JX394" s="1007">
        <v>-7.5239999999999991</v>
      </c>
      <c r="JY394" s="1008"/>
      <c r="JZ394" s="1007">
        <v>0</v>
      </c>
      <c r="KA394" s="1008" t="s">
        <v>199</v>
      </c>
      <c r="KB394" s="1007">
        <v>-2.5079999999999991</v>
      </c>
      <c r="KC394" s="1008" t="s">
        <v>204</v>
      </c>
      <c r="KD394" s="1007">
        <v>-0.83600000000000207</v>
      </c>
      <c r="KE394" s="1008"/>
      <c r="KF394" s="1007">
        <v>0</v>
      </c>
      <c r="KG394" s="1008"/>
      <c r="KH394" s="1007">
        <v>0</v>
      </c>
      <c r="KI394" s="1008"/>
      <c r="KJ394" s="1007">
        <v>0</v>
      </c>
      <c r="KK394" s="1008"/>
      <c r="KL394" s="1007">
        <v>0</v>
      </c>
      <c r="KM394" s="1008" t="s">
        <v>206</v>
      </c>
      <c r="KN394" s="1007">
        <v>0.83600000000000207</v>
      </c>
      <c r="KO394" s="1008"/>
      <c r="KP394" s="1007">
        <v>0</v>
      </c>
      <c r="KQ394" s="1008" t="s">
        <v>206</v>
      </c>
      <c r="KR394" s="1007">
        <v>-4.18</v>
      </c>
      <c r="KS394" s="1008" t="s">
        <v>207</v>
      </c>
      <c r="KT394" s="1007">
        <v>3.3439999999999976</v>
      </c>
      <c r="KU394" s="1008" t="s">
        <v>204</v>
      </c>
      <c r="KV394" s="1007">
        <v>2.5079999999999991</v>
      </c>
      <c r="KW394" s="1008">
        <v>0</v>
      </c>
      <c r="KX394" s="1007">
        <v>0</v>
      </c>
      <c r="KY394" s="1008" t="s">
        <v>223</v>
      </c>
      <c r="KZ394" s="1007">
        <v>-2.5064951999999998</v>
      </c>
      <c r="LA394" s="1008">
        <v>0</v>
      </c>
      <c r="LB394" s="1007">
        <v>0</v>
      </c>
      <c r="LC394" s="1008" t="s">
        <v>199</v>
      </c>
      <c r="LD394" s="1007">
        <v>-2.5079999999999991</v>
      </c>
      <c r="LE394" s="1008" t="s">
        <v>204</v>
      </c>
      <c r="LF394" s="1007">
        <v>3.3440000000000012</v>
      </c>
      <c r="LG394" s="1008">
        <v>0</v>
      </c>
      <c r="LH394" s="1007">
        <v>0</v>
      </c>
      <c r="LI394" s="1008" t="s">
        <v>203</v>
      </c>
      <c r="LJ394" s="1007">
        <v>-4.18</v>
      </c>
      <c r="LK394" s="1008">
        <v>0</v>
      </c>
      <c r="LL394" s="1007">
        <v>0</v>
      </c>
      <c r="LM394" s="1008" t="s">
        <v>203</v>
      </c>
      <c r="LN394" s="1007">
        <v>0.75239999999999996</v>
      </c>
      <c r="LO394" s="1008">
        <v>0</v>
      </c>
      <c r="LP394" s="1007">
        <v>-0.34443210000000002</v>
      </c>
      <c r="LQ394" s="1008">
        <v>0</v>
      </c>
      <c r="LR394" s="1007">
        <v>0</v>
      </c>
      <c r="LS394" s="1008">
        <v>0</v>
      </c>
      <c r="LT394" s="1007">
        <v>0</v>
      </c>
      <c r="LU394" s="1008">
        <v>0</v>
      </c>
      <c r="LV394" s="1007">
        <v>0</v>
      </c>
      <c r="LW394" s="1008">
        <v>0</v>
      </c>
      <c r="LX394" s="1007">
        <v>0</v>
      </c>
      <c r="LY394" s="1009">
        <v>0</v>
      </c>
      <c r="LZ394" s="1010">
        <v>0</v>
      </c>
      <c r="MA394" s="1011">
        <v>0</v>
      </c>
      <c r="MB394" s="1012">
        <v>0</v>
      </c>
      <c r="MC394" s="995"/>
      <c r="MD394" s="996"/>
      <c r="ME394" s="997" t="s">
        <v>220</v>
      </c>
      <c r="MF394" s="997"/>
      <c r="MG394" s="998"/>
      <c r="NR394" s="1000"/>
      <c r="NS394" s="1000"/>
      <c r="NT394" s="1001"/>
      <c r="NU394" s="1000"/>
      <c r="NV394" s="1001"/>
      <c r="NX394" s="1002"/>
      <c r="NZ394" s="1001"/>
      <c r="OA394" s="1001"/>
      <c r="OC394" s="1003"/>
      <c r="OD394" s="1003"/>
      <c r="OE394" s="1001"/>
      <c r="OF394" s="1003"/>
      <c r="OG394" s="1003"/>
      <c r="OH394" s="1003"/>
      <c r="OI394" s="1016"/>
      <c r="QX394" s="1000">
        <f>CN394-CA394</f>
        <v>28</v>
      </c>
      <c r="ASU394" s="999" t="s">
        <v>208</v>
      </c>
    </row>
    <row r="395" spans="1:466 1191:1191" ht="21" customHeight="1" x14ac:dyDescent="0.25">
      <c r="A395" s="982">
        <f t="shared" si="274"/>
        <v>1442</v>
      </c>
      <c r="B395" s="124">
        <f>SUBTOTAL(103,$J$29:J395)</f>
        <v>367</v>
      </c>
      <c r="C395" s="126">
        <v>45068</v>
      </c>
      <c r="D395" s="124" t="s">
        <v>176</v>
      </c>
      <c r="E395" s="127" t="s">
        <v>177</v>
      </c>
      <c r="F395" s="128" t="s">
        <v>177</v>
      </c>
      <c r="G395" s="127" t="s">
        <v>178</v>
      </c>
      <c r="H395" s="127" t="s">
        <v>179</v>
      </c>
      <c r="I395" s="127" t="s">
        <v>1521</v>
      </c>
      <c r="J395" s="152">
        <v>1442</v>
      </c>
      <c r="K395" s="127" t="s">
        <v>1521</v>
      </c>
      <c r="L395" s="130">
        <v>42637</v>
      </c>
      <c r="M395" s="127" t="s">
        <v>230</v>
      </c>
      <c r="N395" s="127" t="s">
        <v>184</v>
      </c>
      <c r="O395" s="127" t="s">
        <v>185</v>
      </c>
      <c r="P395" s="127" t="s">
        <v>186</v>
      </c>
      <c r="Q395" s="85" t="str">
        <f t="shared" si="297"/>
        <v/>
      </c>
      <c r="R395" s="130"/>
      <c r="S395" s="128"/>
      <c r="T395" s="131"/>
      <c r="U395" s="132">
        <v>203</v>
      </c>
      <c r="V395" s="121">
        <v>218.2</v>
      </c>
      <c r="W395" s="116">
        <v>0.98</v>
      </c>
      <c r="X395" s="116">
        <v>1.66</v>
      </c>
      <c r="Y395" s="116">
        <f t="shared" si="299"/>
        <v>1.5488730967560116</v>
      </c>
      <c r="Z395" s="133">
        <v>1.454</v>
      </c>
      <c r="AA395" s="133">
        <v>0.83599999999999997</v>
      </c>
      <c r="AB395" s="133">
        <v>0.72</v>
      </c>
      <c r="AC395" s="121">
        <v>34.299999999999997</v>
      </c>
      <c r="AD395" s="134">
        <v>1.17</v>
      </c>
      <c r="AE395" s="124">
        <v>177.8</v>
      </c>
      <c r="AF395" s="128">
        <v>9.19</v>
      </c>
      <c r="AG395" s="128">
        <v>2119</v>
      </c>
      <c r="AH395" s="127">
        <v>2662</v>
      </c>
      <c r="AI395" s="127">
        <v>2662</v>
      </c>
      <c r="AJ395" s="135"/>
      <c r="AK395" s="128"/>
      <c r="AL395" s="131"/>
      <c r="AM395" s="124" t="s">
        <v>232</v>
      </c>
      <c r="AN395" s="136" t="s">
        <v>1549</v>
      </c>
      <c r="AO395" s="137">
        <v>77.61</v>
      </c>
      <c r="AP395" s="128">
        <v>2119</v>
      </c>
      <c r="AQ395" s="128">
        <v>291.89999999999998</v>
      </c>
      <c r="AR395" s="128"/>
      <c r="AS395" s="128"/>
      <c r="AT395" s="122"/>
      <c r="AU395" s="124" t="s">
        <v>883</v>
      </c>
      <c r="AV395" s="115">
        <f>VLOOKUP(J395,'[63]ТР нефть'!$J$28:$BP$638,39,0)</f>
        <v>300</v>
      </c>
      <c r="AW395" s="115" t="str">
        <f>VLOOKUP(J395,'[63]ТР нефть'!$J$28:$BP$638,40,0)</f>
        <v>ГП</v>
      </c>
      <c r="AX395" s="115" t="str">
        <f>VLOOKUP(J395,'[63]ТР нефть'!$J$28:$BP$638,41,0)</f>
        <v>-</v>
      </c>
      <c r="AY395" s="115" t="str">
        <f>VLOOKUP(J395,'[63]ТР нефть'!$J$28:$BP$638,42,0)</f>
        <v>-</v>
      </c>
      <c r="AZ395" s="115" t="str">
        <f>VLOOKUP(J395,'[63]ТР нефть'!$J$28:$BP$638,43,0)</f>
        <v>-</v>
      </c>
      <c r="BA395" s="115" t="str">
        <f>VLOOKUP(J395,'[63]ТР нефть'!$J$28:$BP$638,44,0)</f>
        <v>-</v>
      </c>
      <c r="BB395" s="115" t="str">
        <f>VLOOKUP(J395,'[63]ТР нефть'!$J$28:$BP$638,45,0)</f>
        <v>-</v>
      </c>
      <c r="BC395" s="115" t="str">
        <f>VLOOKUP(J395,'[63]ТР нефть'!$J$28:$BP$638,46,0)</f>
        <v>-</v>
      </c>
      <c r="BD395" s="115" t="str">
        <f>VLOOKUP(J395,'[63]ТР нефть'!$J$28:$BP$638,47,0)</f>
        <v>-</v>
      </c>
      <c r="BE395" s="115" t="str">
        <f>VLOOKUP(J395,'[63]ТР нефть'!$J$28:$BP$638,48,0)</f>
        <v>-</v>
      </c>
      <c r="BF395" s="115" t="str">
        <f>VLOOKUP(J395,'[63]ТР нефть'!$J$28:$BP$638,49,0)</f>
        <v>-</v>
      </c>
      <c r="BG395" s="115" t="str">
        <f>VLOOKUP(J395,'[63]ТР нефть'!$J$28:$BP$638,50,0)</f>
        <v>-</v>
      </c>
      <c r="BH395" s="115">
        <f>VLOOKUP(J395,'[63]ТР нефть'!$J$28:$BP$638,51,0)</f>
        <v>1770</v>
      </c>
      <c r="BI395" s="115" t="str">
        <f>VLOOKUP(J395,'[63]ТР нефть'!$J$28:$BP$638,52,0)</f>
        <v xml:space="preserve">закрыт </v>
      </c>
      <c r="BJ395" s="115" t="str">
        <f>IF(IFERROR(VLOOKUP(J395,'[63]ТР нефть'!$J$28:$BP$638,53,0),"-")=0,"-",IFERROR(VLOOKUP(J395,'[63]ТР нефть'!$J$28:$BP$638,53,0),"-"))</f>
        <v>-</v>
      </c>
      <c r="BK395" s="138" t="s">
        <v>1550</v>
      </c>
      <c r="BL395" s="138" t="str">
        <f>IF(IFERROR(VLOOKUP(J395,'[63]ТР нефть'!$J$28:$BP$638,55,0),"-")=0,"-",IFERROR(VLOOKUP(J395,'[63]ТР нефть'!$J$28:$BP$638,55,0),"-"))</f>
        <v>-</v>
      </c>
      <c r="BM395" s="218">
        <f>IF(IFERROR(VLOOKUP(J395,'[63]ТР нефть'!$J$28:$BP$638,56,0),"-")=0,"-",IFERROR(VLOOKUP(J395,'[63]ТР нефть'!$J$28:$BP$638,56,0),"-"))</f>
        <v>1028</v>
      </c>
      <c r="BN395" s="138">
        <f>IF(IFERROR(VLOOKUP(J395,'[63]ТР нефть'!$J$28:$BP$638,57,0),"-")=0,"-",IFERROR(VLOOKUP(J395,'[63]ТР нефть'!$J$28:$BP$638,57,0),"-"))</f>
        <v>47</v>
      </c>
      <c r="BO395" s="115">
        <f>IF(IFERROR(VLOOKUP(J395,'[63]ТР нефть'!$J$28:$BP$638,58,0),"-")=0,"-",IFERROR(VLOOKUP(J395,'[63]ТР нефть'!$J$28:$BP$638,58,0),"-"))</f>
        <v>145</v>
      </c>
      <c r="BP395" s="115" t="str">
        <f>IF(IFERROR(VLOOKUP(J395,'[63]ТР нефть'!$J$28:$BP$638,59,0),"-")=0,"-",IFERROR(VLOOKUP(J395,'[63]ТР нефть'!$J$28:$BP$638,59,0),"-"))</f>
        <v>-</v>
      </c>
      <c r="BQ395" s="138">
        <v>1760</v>
      </c>
      <c r="BR395" s="128">
        <v>1641.6</v>
      </c>
      <c r="BS395" s="115">
        <f t="shared" si="307"/>
        <v>118.40000000000009</v>
      </c>
      <c r="BT395" s="128">
        <v>73</v>
      </c>
      <c r="BU395" s="128">
        <v>5.5</v>
      </c>
      <c r="BV395" s="127">
        <v>18</v>
      </c>
      <c r="BW395" s="127" t="s">
        <v>217</v>
      </c>
      <c r="BX395" s="127" t="s">
        <v>195</v>
      </c>
      <c r="BY395" s="139">
        <v>24</v>
      </c>
      <c r="BZ395" s="139">
        <v>0</v>
      </c>
      <c r="CA395" s="80">
        <v>25</v>
      </c>
      <c r="CB395" s="138">
        <v>23</v>
      </c>
      <c r="CC395" s="138">
        <v>22</v>
      </c>
      <c r="CD395" s="135">
        <v>45017</v>
      </c>
      <c r="CE395" s="138">
        <v>115</v>
      </c>
      <c r="CF395" s="138"/>
      <c r="CG395" s="138" t="str">
        <f t="shared" si="310"/>
        <v/>
      </c>
      <c r="CH395" s="138" t="s">
        <v>197</v>
      </c>
      <c r="CI395" s="127"/>
      <c r="CJ395" s="138">
        <f>IF((BR395-(100*(CM395-CB395))/(9.8*(AB395+AA395)/2))&gt;0,BR395-(100*(CM395-CB395))/(9.8*(AB395+AA395)/2),0)</f>
        <v>1077.6211951104349</v>
      </c>
      <c r="CK395" s="138">
        <f t="shared" si="308"/>
        <v>61.4444014985</v>
      </c>
      <c r="CL395" s="99"/>
      <c r="CM395" s="138">
        <v>66</v>
      </c>
      <c r="CN395" s="154">
        <f>IF(CM395=0,0,(((AP395-AQ395-BR395)*((AD395*(CQ395/100))+(AB395*((100-CQ395)/100)))*9.81/100+CM395)))</f>
        <v>86.4444014985</v>
      </c>
      <c r="CO395" s="141">
        <f t="shared" si="276"/>
        <v>9.9927414400000032</v>
      </c>
      <c r="CP395" s="142">
        <v>115.6</v>
      </c>
      <c r="CQ395" s="143">
        <v>89.66</v>
      </c>
      <c r="CR395" s="138">
        <v>8</v>
      </c>
      <c r="CS395" s="139"/>
      <c r="CT395" s="138"/>
      <c r="CU395" s="138">
        <f t="shared" si="277"/>
        <v>8</v>
      </c>
      <c r="CV395" s="115">
        <f t="shared" si="278"/>
        <v>800.5811065997118</v>
      </c>
      <c r="CW395" s="115" t="str">
        <f t="shared" si="279"/>
        <v/>
      </c>
      <c r="CX395" s="133">
        <f t="shared" si="280"/>
        <v>4.0482429389083769</v>
      </c>
      <c r="CY395" s="116"/>
      <c r="CZ395" s="131"/>
      <c r="DA395" s="145" t="str">
        <f t="shared" si="281"/>
        <v>ЭЦН</v>
      </c>
      <c r="DB395" s="146">
        <f t="shared" si="282"/>
        <v>9.9927414400000032</v>
      </c>
      <c r="DC395" s="142">
        <f t="shared" si="302"/>
        <v>115.6</v>
      </c>
      <c r="DD395" s="119">
        <f t="shared" si="303"/>
        <v>89.66</v>
      </c>
      <c r="DE395" s="115">
        <f t="shared" si="283"/>
        <v>8</v>
      </c>
      <c r="DF395" s="121">
        <f t="shared" si="284"/>
        <v>0</v>
      </c>
      <c r="DG395" s="115">
        <f t="shared" si="285"/>
        <v>800.5811065997118</v>
      </c>
      <c r="DH395" s="115">
        <f t="shared" si="286"/>
        <v>86.4444014985</v>
      </c>
      <c r="DI395" s="147"/>
      <c r="DJ395" s="111">
        <v>43690</v>
      </c>
      <c r="DK395" s="112">
        <v>43712</v>
      </c>
      <c r="DL395" s="113">
        <f t="shared" ca="1" si="266"/>
        <v>1392</v>
      </c>
      <c r="DM395" s="114">
        <v>28</v>
      </c>
      <c r="DN395" s="114">
        <v>47</v>
      </c>
      <c r="DO395" s="114"/>
      <c r="DP395" s="114" t="s">
        <v>884</v>
      </c>
      <c r="DQ395" s="112">
        <v>42637</v>
      </c>
      <c r="DR395" s="114" t="s">
        <v>324</v>
      </c>
      <c r="DS395" s="114"/>
      <c r="DT395" s="115">
        <v>60</v>
      </c>
      <c r="DU395" s="116">
        <f t="shared" si="267"/>
        <v>3.5831866171947566</v>
      </c>
      <c r="DV395" s="117">
        <f t="shared" si="268"/>
        <v>17.03565879610079</v>
      </c>
      <c r="DW395" s="118">
        <f t="shared" si="269"/>
        <v>197.07526394571161</v>
      </c>
      <c r="DX395" s="119">
        <f t="shared" si="287"/>
        <v>89.66</v>
      </c>
      <c r="DY395" s="115">
        <f t="shared" si="270"/>
        <v>13.638426570637485</v>
      </c>
      <c r="DZ395" s="117">
        <f t="shared" si="305"/>
        <v>7.0429173561007872</v>
      </c>
      <c r="EA395" s="120">
        <f t="shared" si="305"/>
        <v>81.475263945711617</v>
      </c>
      <c r="EB395" s="119">
        <f t="shared" si="264"/>
        <v>0</v>
      </c>
      <c r="EC395" s="121">
        <f t="shared" si="272"/>
        <v>5.6384265706374848</v>
      </c>
      <c r="ED395" s="122"/>
      <c r="EE395" s="145">
        <v>18</v>
      </c>
      <c r="EF395" s="148">
        <v>26</v>
      </c>
      <c r="EG395" s="115">
        <v>26</v>
      </c>
      <c r="EH395" s="115">
        <v>25</v>
      </c>
      <c r="EI395" s="128" t="s">
        <v>195</v>
      </c>
      <c r="EJ395" s="121">
        <v>24</v>
      </c>
      <c r="EK395" s="121">
        <v>0</v>
      </c>
      <c r="EL395" s="149">
        <v>9.9927414400000032</v>
      </c>
      <c r="EM395" s="142">
        <v>115.6</v>
      </c>
      <c r="EN395" s="119">
        <v>89.66</v>
      </c>
      <c r="EO395" s="115">
        <v>8</v>
      </c>
      <c r="EP395" s="115">
        <v>800.5811065997118</v>
      </c>
      <c r="EQ395" s="115">
        <v>0</v>
      </c>
      <c r="ER395" s="115">
        <v>0</v>
      </c>
      <c r="ES395" s="115">
        <v>86.4444014985</v>
      </c>
      <c r="ET395" s="150">
        <v>4.0482429389083769</v>
      </c>
      <c r="EU395" s="145">
        <f t="shared" si="288"/>
        <v>18</v>
      </c>
      <c r="EV395" s="115">
        <f t="shared" si="289"/>
        <v>25</v>
      </c>
      <c r="EW395" s="115">
        <f t="shared" si="289"/>
        <v>23</v>
      </c>
      <c r="EX395" s="115">
        <f t="shared" si="289"/>
        <v>22</v>
      </c>
      <c r="EY395" s="115" t="str">
        <f t="shared" si="309"/>
        <v>Постоянный</v>
      </c>
      <c r="EZ395" s="115">
        <f t="shared" si="309"/>
        <v>24</v>
      </c>
      <c r="FA395" s="115">
        <f t="shared" si="309"/>
        <v>0</v>
      </c>
      <c r="FB395" s="149">
        <f t="shared" si="298"/>
        <v>9.9927414400000032</v>
      </c>
      <c r="FC395" s="142">
        <f t="shared" si="298"/>
        <v>115.6</v>
      </c>
      <c r="FD395" s="119">
        <f t="shared" si="298"/>
        <v>89.66</v>
      </c>
      <c r="FE395" s="121">
        <f t="shared" si="298"/>
        <v>8</v>
      </c>
      <c r="FF395" s="121">
        <f t="shared" si="300"/>
        <v>800.5811065997118</v>
      </c>
      <c r="FG395" s="121">
        <f t="shared" si="290"/>
        <v>0</v>
      </c>
      <c r="FH395" s="121">
        <f t="shared" si="301"/>
        <v>0</v>
      </c>
      <c r="FI395" s="121">
        <f t="shared" si="306"/>
        <v>86.4444014985</v>
      </c>
      <c r="FJ395" s="144">
        <f t="shared" si="291"/>
        <v>4.0482429389083769</v>
      </c>
      <c r="FK395" s="132">
        <f t="shared" si="292"/>
        <v>0</v>
      </c>
      <c r="FL395" s="115">
        <f t="shared" si="292"/>
        <v>-1</v>
      </c>
      <c r="FM395" s="115">
        <f t="shared" si="292"/>
        <v>-3</v>
      </c>
      <c r="FN395" s="115">
        <f t="shared" si="273"/>
        <v>-3</v>
      </c>
      <c r="FO395" s="115">
        <f t="shared" si="311"/>
        <v>0</v>
      </c>
      <c r="FP395" s="115">
        <f t="shared" si="311"/>
        <v>0</v>
      </c>
      <c r="FQ395" s="149">
        <f t="shared" si="311"/>
        <v>0</v>
      </c>
      <c r="FR395" s="117">
        <f t="shared" si="311"/>
        <v>0</v>
      </c>
      <c r="FS395" s="119">
        <f t="shared" si="311"/>
        <v>0</v>
      </c>
      <c r="FT395" s="121">
        <f t="shared" si="311"/>
        <v>0</v>
      </c>
      <c r="FU395" s="121">
        <f t="shared" si="293"/>
        <v>0</v>
      </c>
      <c r="FV395" s="121">
        <f t="shared" si="293"/>
        <v>0</v>
      </c>
      <c r="FW395" s="121">
        <f t="shared" si="294"/>
        <v>0</v>
      </c>
      <c r="FX395" s="121">
        <f t="shared" si="295"/>
        <v>0</v>
      </c>
      <c r="FY395" s="144">
        <f t="shared" si="295"/>
        <v>0</v>
      </c>
      <c r="FZ395" s="145"/>
      <c r="GA395" s="151"/>
      <c r="GB395" s="145"/>
      <c r="GC395" s="151"/>
      <c r="GD395" s="997" t="s">
        <v>220</v>
      </c>
      <c r="GE395" s="1004"/>
      <c r="GF395" s="1004">
        <v>0</v>
      </c>
      <c r="GG395" s="1004"/>
      <c r="GH395" s="1004">
        <v>0</v>
      </c>
      <c r="GI395" s="145" t="s">
        <v>146</v>
      </c>
      <c r="GJ395" s="996">
        <v>-5.6591849599999957</v>
      </c>
      <c r="GK395" s="145"/>
      <c r="GL395" s="996">
        <v>0.13493040000000001</v>
      </c>
      <c r="GM395" s="1005"/>
      <c r="GN395" s="996">
        <v>0.81699599999999961</v>
      </c>
      <c r="GO395" s="1006" t="s">
        <v>259</v>
      </c>
      <c r="GP395" s="996">
        <v>7.1658348607999969</v>
      </c>
      <c r="GQ395" s="1006"/>
      <c r="GR395" s="996">
        <v>0.10767679999999924</v>
      </c>
      <c r="GS395" s="1006"/>
      <c r="GT395" s="996">
        <v>0</v>
      </c>
      <c r="GU395" s="1006"/>
      <c r="GV395" s="996">
        <v>-0.11704000000000025</v>
      </c>
      <c r="GW395" s="1006"/>
      <c r="GX395" s="996">
        <v>-0.17555999999999905</v>
      </c>
      <c r="GY395" s="1006"/>
      <c r="GZ395" s="996">
        <v>-2.0400000000053709E-3</v>
      </c>
      <c r="HA395" s="1006" t="s">
        <v>204</v>
      </c>
      <c r="HB395" s="996">
        <v>17.851024400000011</v>
      </c>
      <c r="HC395" s="1006"/>
      <c r="HD395" s="996">
        <v>-5.3503999999999774E-2</v>
      </c>
      <c r="HE395" s="1006" t="s">
        <v>886</v>
      </c>
      <c r="HF395" s="996">
        <v>-2.907608000000014</v>
      </c>
      <c r="HG395" s="1006" t="s">
        <v>308</v>
      </c>
      <c r="HH395" s="996">
        <v>4.4726000000000043</v>
      </c>
      <c r="HI395" s="1006"/>
      <c r="HJ395" s="996">
        <v>0</v>
      </c>
      <c r="HK395" s="1006" t="s">
        <v>197</v>
      </c>
      <c r="HL395" s="996">
        <v>0</v>
      </c>
      <c r="HM395" s="1006"/>
      <c r="HN395" s="996">
        <v>0</v>
      </c>
      <c r="HO395" s="1006"/>
      <c r="HP395" s="996">
        <v>0</v>
      </c>
      <c r="HQ395" s="1006" t="s">
        <v>886</v>
      </c>
      <c r="HR395" s="996">
        <v>-29.895359999999997</v>
      </c>
      <c r="HS395" s="1006" t="s">
        <v>643</v>
      </c>
      <c r="HT395" s="996">
        <v>0</v>
      </c>
      <c r="HU395" s="1006" t="s">
        <v>146</v>
      </c>
      <c r="HV395" s="996">
        <v>-1.1158092000000011</v>
      </c>
      <c r="HW395" s="1006" t="s">
        <v>146</v>
      </c>
      <c r="HX395" s="996">
        <v>11.348449199999994</v>
      </c>
      <c r="HY395" s="1006" t="s">
        <v>146</v>
      </c>
      <c r="HZ395" s="996">
        <v>5.2166400000000017</v>
      </c>
      <c r="IA395" s="1006" t="s">
        <v>146</v>
      </c>
      <c r="IB395" s="996">
        <v>-5.2333599999999976</v>
      </c>
      <c r="IC395" s="1006" t="s">
        <v>199</v>
      </c>
      <c r="ID395" s="996">
        <v>-13.175360000000005</v>
      </c>
      <c r="IE395" s="1006" t="s">
        <v>199</v>
      </c>
      <c r="IF395" s="996">
        <v>-8.1434759999999926</v>
      </c>
      <c r="IG395" s="1006" t="s">
        <v>199</v>
      </c>
      <c r="IH395" s="996">
        <v>-11.686444000000002</v>
      </c>
      <c r="II395" s="1006"/>
      <c r="IJ395" s="996">
        <v>0</v>
      </c>
      <c r="IK395" s="1006" t="s">
        <v>204</v>
      </c>
      <c r="IL395" s="996">
        <v>8.6490888000000012</v>
      </c>
      <c r="IM395" s="1006" t="s">
        <v>204</v>
      </c>
      <c r="IN395" s="996">
        <v>-5.9974640000000008</v>
      </c>
      <c r="IO395" s="1006" t="s">
        <v>204</v>
      </c>
      <c r="IP395" s="996">
        <v>-44.348860335999987</v>
      </c>
      <c r="IQ395" s="1006" t="s">
        <v>204</v>
      </c>
      <c r="IR395" s="996">
        <v>50.558835535999989</v>
      </c>
      <c r="IS395" s="1006"/>
      <c r="IT395" s="996">
        <v>-0.41799999999999926</v>
      </c>
      <c r="IU395" s="1006"/>
      <c r="IV395" s="996">
        <v>0</v>
      </c>
      <c r="IW395" s="1006"/>
      <c r="IX395" s="996">
        <v>0</v>
      </c>
      <c r="IY395" s="1006" t="s">
        <v>223</v>
      </c>
      <c r="IZ395" s="996">
        <v>-5.4674400000000176</v>
      </c>
      <c r="JA395" s="1006" t="s">
        <v>204</v>
      </c>
      <c r="JB395" s="996">
        <v>-4.6327775999999758</v>
      </c>
      <c r="JC395" s="1006"/>
      <c r="JD395" s="996">
        <v>0</v>
      </c>
      <c r="JE395" s="1006"/>
      <c r="JF395" s="996">
        <v>0.71041607999999457</v>
      </c>
      <c r="JG395" s="1006"/>
      <c r="JH395" s="996">
        <v>0</v>
      </c>
      <c r="JI395" s="1006"/>
      <c r="JJ395" s="996">
        <v>0</v>
      </c>
      <c r="JK395" s="1007"/>
      <c r="JL395" s="1007">
        <v>0</v>
      </c>
      <c r="JM395" s="1007"/>
      <c r="JN395" s="1007">
        <v>0</v>
      </c>
      <c r="JO395" s="1008" t="s">
        <v>239</v>
      </c>
      <c r="JP395" s="1007">
        <v>-18.958958480000021</v>
      </c>
      <c r="JQ395" s="1008">
        <v>0</v>
      </c>
      <c r="JR395" s="1007">
        <v>0</v>
      </c>
      <c r="JS395" s="1008" t="s">
        <v>146</v>
      </c>
      <c r="JT395" s="1007">
        <v>-4.5223419999999805</v>
      </c>
      <c r="JU395" s="1008"/>
      <c r="JV395" s="1007">
        <v>1.5298800000010715E-2</v>
      </c>
      <c r="JW395" s="1008" t="s">
        <v>223</v>
      </c>
      <c r="JX395" s="1007">
        <v>-4.5635568000000291</v>
      </c>
      <c r="JY395" s="1008" t="s">
        <v>240</v>
      </c>
      <c r="JZ395" s="1007">
        <v>-10.951599999999985</v>
      </c>
      <c r="KA395" s="1008"/>
      <c r="KB395" s="1007">
        <v>0</v>
      </c>
      <c r="KC395" s="1008" t="s">
        <v>240</v>
      </c>
      <c r="KD395" s="1007">
        <v>-7.8834800000000058</v>
      </c>
      <c r="KE395" s="1008" t="s">
        <v>204</v>
      </c>
      <c r="KF395" s="1007">
        <v>-13.367639999999994</v>
      </c>
      <c r="KG395" s="1008" t="s">
        <v>204</v>
      </c>
      <c r="KH395" s="1007">
        <v>14.152175840000012</v>
      </c>
      <c r="KI395" s="1008" t="s">
        <v>224</v>
      </c>
      <c r="KJ395" s="1007">
        <v>80.852282851999988</v>
      </c>
      <c r="KK395" s="1008" t="s">
        <v>199</v>
      </c>
      <c r="KL395" s="1007">
        <v>-79.304378692</v>
      </c>
      <c r="KM395" s="1008" t="s">
        <v>207</v>
      </c>
      <c r="KN395" s="1007">
        <v>22.822799999999987</v>
      </c>
      <c r="KO395" s="1008" t="s">
        <v>207</v>
      </c>
      <c r="KP395" s="1007">
        <v>54.846281600000012</v>
      </c>
      <c r="KQ395" s="1008">
        <v>0</v>
      </c>
      <c r="KR395" s="1007">
        <v>0</v>
      </c>
      <c r="KS395" s="1008" t="s">
        <v>206</v>
      </c>
      <c r="KT395" s="1007">
        <v>4.7605184000000023</v>
      </c>
      <c r="KU395" s="1008">
        <v>0</v>
      </c>
      <c r="KV395" s="1007">
        <v>0</v>
      </c>
      <c r="KW395" s="1008">
        <v>0</v>
      </c>
      <c r="KX395" s="1007">
        <v>0</v>
      </c>
      <c r="KY395" s="1008">
        <v>0</v>
      </c>
      <c r="KZ395" s="1007">
        <v>0</v>
      </c>
      <c r="LA395" s="1008" t="s">
        <v>206</v>
      </c>
      <c r="LB395" s="1007">
        <v>0.38652459999999778</v>
      </c>
      <c r="LC395" s="1008" t="s">
        <v>204</v>
      </c>
      <c r="LD395" s="1007">
        <v>-5.0210159999999995</v>
      </c>
      <c r="LE395" s="1008">
        <v>0</v>
      </c>
      <c r="LF395" s="1007">
        <v>0</v>
      </c>
      <c r="LG395" s="1008">
        <v>0</v>
      </c>
      <c r="LH395" s="1007">
        <v>0</v>
      </c>
      <c r="LI395" s="1008">
        <v>0</v>
      </c>
      <c r="LJ395" s="1007">
        <v>0</v>
      </c>
      <c r="LK395" s="1008" t="s">
        <v>206</v>
      </c>
      <c r="LL395" s="1007">
        <v>2.3484912000000016</v>
      </c>
      <c r="LM395" s="1008">
        <v>0</v>
      </c>
      <c r="LN395" s="1007">
        <v>0</v>
      </c>
      <c r="LO395" s="1008" t="s">
        <v>146</v>
      </c>
      <c r="LP395" s="1007">
        <v>1.7154720000000019</v>
      </c>
      <c r="LQ395" s="1008">
        <v>0</v>
      </c>
      <c r="LR395" s="1007">
        <v>0</v>
      </c>
      <c r="LS395" s="1008">
        <v>0</v>
      </c>
      <c r="LT395" s="1007">
        <v>-2.1158000000000001</v>
      </c>
      <c r="LU395" s="1008">
        <v>0</v>
      </c>
      <c r="LV395" s="1007">
        <v>0</v>
      </c>
      <c r="LW395" s="1008">
        <v>0</v>
      </c>
      <c r="LX395" s="1007">
        <v>0</v>
      </c>
      <c r="LY395" s="1009" t="s">
        <v>206</v>
      </c>
      <c r="LZ395" s="1010">
        <v>-3.1532200000000001</v>
      </c>
      <c r="MA395" s="1011">
        <v>0</v>
      </c>
      <c r="MB395" s="1012">
        <v>0</v>
      </c>
      <c r="MC395" s="995"/>
      <c r="MD395" s="996"/>
      <c r="ME395" s="997" t="s">
        <v>220</v>
      </c>
      <c r="MF395" s="997"/>
      <c r="MG395" s="998"/>
      <c r="NR395" s="1000"/>
      <c r="NS395" s="1000"/>
      <c r="NT395" s="1001"/>
      <c r="NU395" s="1000"/>
      <c r="NV395" s="1001"/>
      <c r="NX395" s="1002"/>
      <c r="NZ395" s="1001"/>
      <c r="OA395" s="1001"/>
      <c r="OC395" s="1003"/>
      <c r="OD395" s="1003"/>
      <c r="OE395" s="1001"/>
      <c r="OF395" s="1003"/>
      <c r="OG395" s="1003"/>
      <c r="OH395" s="1003"/>
      <c r="OI395" s="1016"/>
      <c r="QX395" s="1000">
        <f>CN395-CA395</f>
        <v>61.4444014985</v>
      </c>
      <c r="ASU395" s="999" t="s">
        <v>208</v>
      </c>
    </row>
    <row r="396" spans="1:466 1191:1191" ht="21" customHeight="1" x14ac:dyDescent="0.25">
      <c r="A396" s="982">
        <f t="shared" si="274"/>
        <v>1444</v>
      </c>
      <c r="B396" s="124">
        <f>SUBTOTAL(103,$J$29:J396)</f>
        <v>368</v>
      </c>
      <c r="C396" s="126">
        <v>45068</v>
      </c>
      <c r="D396" s="124" t="s">
        <v>176</v>
      </c>
      <c r="E396" s="127" t="s">
        <v>177</v>
      </c>
      <c r="F396" s="128" t="s">
        <v>177</v>
      </c>
      <c r="G396" s="127" t="s">
        <v>178</v>
      </c>
      <c r="H396" s="127" t="s">
        <v>179</v>
      </c>
      <c r="I396" s="127" t="s">
        <v>881</v>
      </c>
      <c r="J396" s="152">
        <v>1444</v>
      </c>
      <c r="K396" s="127" t="s">
        <v>182</v>
      </c>
      <c r="L396" s="130">
        <v>43403</v>
      </c>
      <c r="M396" s="127" t="s">
        <v>230</v>
      </c>
      <c r="N396" s="127" t="s">
        <v>184</v>
      </c>
      <c r="O396" s="127" t="s">
        <v>185</v>
      </c>
      <c r="P396" s="127" t="s">
        <v>186</v>
      </c>
      <c r="Q396" s="85" t="str">
        <f t="shared" si="297"/>
        <v/>
      </c>
      <c r="R396" s="130"/>
      <c r="S396" s="128"/>
      <c r="T396" s="131"/>
      <c r="U396" s="132">
        <v>203</v>
      </c>
      <c r="V396" s="121">
        <v>218.2</v>
      </c>
      <c r="W396" s="116">
        <v>0.98</v>
      </c>
      <c r="X396" s="116">
        <v>1.66</v>
      </c>
      <c r="Y396" s="116">
        <f t="shared" si="299"/>
        <v>0.98403097023953534</v>
      </c>
      <c r="Z396" s="133">
        <v>1.454</v>
      </c>
      <c r="AA396" s="133">
        <v>0.83599999999999997</v>
      </c>
      <c r="AB396" s="133">
        <v>0.72</v>
      </c>
      <c r="AC396" s="121">
        <v>34.299999999999997</v>
      </c>
      <c r="AD396" s="134">
        <v>1.17</v>
      </c>
      <c r="AE396" s="124">
        <v>177.8</v>
      </c>
      <c r="AF396" s="128">
        <v>9.19</v>
      </c>
      <c r="AG396" s="128">
        <v>2075</v>
      </c>
      <c r="AH396" s="138">
        <v>2669.5</v>
      </c>
      <c r="AI396" s="138">
        <v>2669.5</v>
      </c>
      <c r="AJ396" s="135"/>
      <c r="AK396" s="128"/>
      <c r="AL396" s="131"/>
      <c r="AM396" s="124" t="s">
        <v>232</v>
      </c>
      <c r="AN396" s="136" t="s">
        <v>1551</v>
      </c>
      <c r="AO396" s="137">
        <v>102.1</v>
      </c>
      <c r="AP396" s="128">
        <v>2075</v>
      </c>
      <c r="AQ396" s="128">
        <v>271.12788045782122</v>
      </c>
      <c r="AR396" s="128"/>
      <c r="AS396" s="128"/>
      <c r="AT396" s="122"/>
      <c r="AU396" s="124" t="s">
        <v>189</v>
      </c>
      <c r="AV396" s="115">
        <f>VLOOKUP(J396,'[63]ТР нефть'!$J$28:$BP$638,39,0)</f>
        <v>519.99999931599996</v>
      </c>
      <c r="AW396" s="115" t="str">
        <f>VLOOKUP(J396,'[63]ТР нефть'!$J$28:$BP$638,40,0)</f>
        <v>ГП</v>
      </c>
      <c r="AX396" s="115">
        <f>VLOOKUP(J396,'[63]ТР нефть'!$J$28:$BP$638,41,0)</f>
        <v>924.99998554700005</v>
      </c>
      <c r="AY396" s="115" t="str">
        <f>VLOOKUP(J396,'[63]ТР нефть'!$J$28:$BP$638,42,0)</f>
        <v>ГК79 1/8</v>
      </c>
      <c r="AZ396" s="115">
        <f>VLOOKUP(J396,'[63]ТР нефть'!$J$28:$BP$638,43,0)</f>
        <v>1260.000039844</v>
      </c>
      <c r="BA396" s="115" t="str">
        <f>VLOOKUP(J396,'[63]ТР нефть'!$J$28:$BP$638,44,0)</f>
        <v>ГК80 1/8</v>
      </c>
      <c r="BB396" s="115">
        <f>VLOOKUP(J396,'[63]ТР нефть'!$J$28:$BP$638,45,0)</f>
        <v>1590.000064453</v>
      </c>
      <c r="BC396" s="115" t="str">
        <f>VLOOKUP(J396,'[63]ТР нефть'!$J$28:$BP$638,46,0)</f>
        <v>ГК80 1/8</v>
      </c>
      <c r="BD396" s="115">
        <f>VLOOKUP(J396,'[63]ТР нефть'!$J$28:$BP$638,47,0)</f>
        <v>1780.000001953</v>
      </c>
      <c r="BE396" s="115" t="str">
        <f>VLOOKUP(J396,'[63]ТР нефть'!$J$28:$BP$638,48,0)</f>
        <v>ЦКсОК 5/16</v>
      </c>
      <c r="BF396" s="115" t="str">
        <f>VLOOKUP(J396,'[63]ТР нефть'!$J$28:$BP$638,49,0)</f>
        <v>-</v>
      </c>
      <c r="BG396" s="115" t="str">
        <f>VLOOKUP(J396,'[63]ТР нефть'!$J$28:$BP$638,50,0)</f>
        <v>-</v>
      </c>
      <c r="BH396" s="115">
        <f>VLOOKUP(J396,'[63]ТР нефть'!$J$28:$BP$638,51,0)</f>
        <v>1790</v>
      </c>
      <c r="BI396" s="115" t="str">
        <f>VLOOKUP(J396,'[63]ТР нефть'!$J$28:$BP$638,52,0)</f>
        <v xml:space="preserve">закрыт </v>
      </c>
      <c r="BJ396" s="115" t="str">
        <f>IF(IFERROR(VLOOKUP(J396,'[63]ТР нефть'!$J$28:$BP$638,53,0),"-")=0,"-",IFERROR(VLOOKUP(J396,'[63]ТР нефть'!$J$28:$BP$638,53,0),"-"))</f>
        <v>-</v>
      </c>
      <c r="BK396" s="138" t="str">
        <f>IF(IFERROR(VLOOKUP(J396,'[63]ТР нефть'!$J$28:$BP$638,54,0),"-")=0,"-",IFERROR(VLOOKUP(J396,'[63]ТР нефть'!$J$28:$BP$638,54,0),"-"))</f>
        <v>-</v>
      </c>
      <c r="BL396" s="138" t="str">
        <f>IF(IFERROR(VLOOKUP(J396,'[63]ТР нефть'!$J$28:$BP$638,55,0),"-")=0,"-",IFERROR(VLOOKUP(J396,'[63]ТР нефть'!$J$28:$BP$638,55,0),"-"))</f>
        <v>-</v>
      </c>
      <c r="BM396" s="138" t="str">
        <f>IF(IFERROR(VLOOKUP(J396,'[63]ТР нефть'!$J$28:$BP$638,56,0),"-")=0,"-",IFERROR(VLOOKUP(J396,'[63]ТР нефть'!$J$28:$BP$638,56,0),"-"))</f>
        <v>-</v>
      </c>
      <c r="BN396" s="138" t="str">
        <f>IF(IFERROR(VLOOKUP(J396,'[63]ТР нефть'!$J$28:$BP$638,57,0),"-")=0,"-",IFERROR(VLOOKUP(J396,'[63]ТР нефть'!$J$28:$BP$638,57,0),"-"))</f>
        <v>-</v>
      </c>
      <c r="BO396" s="115" t="str">
        <f>IF(IFERROR(VLOOKUP(J396,'[63]ТР нефть'!$J$28:$BP$638,58,0),"-")=0,"-",IFERROR(VLOOKUP(J396,'[63]ТР нефть'!$J$28:$BP$638,58,0),"-"))</f>
        <v>-</v>
      </c>
      <c r="BP396" s="115" t="str">
        <f>IF(IFERROR(VLOOKUP(J396,'[63]ТР нефть'!$J$28:$BP$638,59,0),"-")=0,"-",IFERROR(VLOOKUP(J396,'[63]ТР нефть'!$J$28:$BP$638,59,0),"-"))</f>
        <v>-</v>
      </c>
      <c r="BQ396" s="138">
        <v>2090</v>
      </c>
      <c r="BR396" s="128">
        <v>1808.31</v>
      </c>
      <c r="BS396" s="115">
        <f t="shared" si="307"/>
        <v>281.69000000000005</v>
      </c>
      <c r="BT396" s="128">
        <v>73</v>
      </c>
      <c r="BU396" s="128">
        <v>5.5</v>
      </c>
      <c r="BV396" s="127">
        <v>18</v>
      </c>
      <c r="BW396" s="127" t="s">
        <v>217</v>
      </c>
      <c r="BX396" s="127" t="s">
        <v>195</v>
      </c>
      <c r="BY396" s="139">
        <v>24</v>
      </c>
      <c r="BZ396" s="139">
        <v>0</v>
      </c>
      <c r="CA396" s="138">
        <v>27</v>
      </c>
      <c r="CB396" s="138">
        <v>47</v>
      </c>
      <c r="CC396" s="138">
        <v>27</v>
      </c>
      <c r="CD396" s="135">
        <v>45017</v>
      </c>
      <c r="CE396" s="138">
        <v>121</v>
      </c>
      <c r="CF396" s="138">
        <v>72</v>
      </c>
      <c r="CG396" s="138" t="str">
        <f t="shared" si="310"/>
        <v>В работе</v>
      </c>
      <c r="CH396" s="138" t="s">
        <v>272</v>
      </c>
      <c r="CI396" s="127"/>
      <c r="CJ396" s="138"/>
      <c r="CK396" s="138">
        <f t="shared" si="308"/>
        <v>30</v>
      </c>
      <c r="CL396" s="99"/>
      <c r="CM396" s="99"/>
      <c r="CN396" s="140">
        <v>57</v>
      </c>
      <c r="CO396" s="141">
        <f t="shared" si="276"/>
        <v>8.2764000000000006</v>
      </c>
      <c r="CP396" s="142">
        <v>10</v>
      </c>
      <c r="CQ396" s="143">
        <v>1</v>
      </c>
      <c r="CR396" s="138">
        <v>38</v>
      </c>
      <c r="CS396" s="139">
        <v>9.6</v>
      </c>
      <c r="CT396" s="138"/>
      <c r="CU396" s="138">
        <f t="shared" si="277"/>
        <v>28.4</v>
      </c>
      <c r="CV396" s="115">
        <f t="shared" si="278"/>
        <v>3431.4436228311824</v>
      </c>
      <c r="CW396" s="115">
        <f t="shared" si="279"/>
        <v>1143.9193536855651</v>
      </c>
      <c r="CX396" s="133">
        <f t="shared" si="280"/>
        <v>0.15625</v>
      </c>
      <c r="CY396" s="116"/>
      <c r="CZ396" s="131"/>
      <c r="DA396" s="145" t="str">
        <f t="shared" si="281"/>
        <v>Газлифт</v>
      </c>
      <c r="DB396" s="146">
        <f t="shared" si="282"/>
        <v>8.2764000000000006</v>
      </c>
      <c r="DC396" s="142">
        <f t="shared" si="302"/>
        <v>10</v>
      </c>
      <c r="DD396" s="119">
        <f t="shared" si="303"/>
        <v>1</v>
      </c>
      <c r="DE396" s="115">
        <f t="shared" si="283"/>
        <v>28.4</v>
      </c>
      <c r="DF396" s="121">
        <f t="shared" si="284"/>
        <v>9.6</v>
      </c>
      <c r="DG396" s="115">
        <f t="shared" si="285"/>
        <v>3431.4436228311824</v>
      </c>
      <c r="DH396" s="115">
        <f t="shared" si="286"/>
        <v>57</v>
      </c>
      <c r="DI396" s="147"/>
      <c r="DJ396" s="111">
        <v>43557</v>
      </c>
      <c r="DK396" s="112">
        <v>43403</v>
      </c>
      <c r="DL396" s="113">
        <f t="shared" ca="1" si="266"/>
        <v>1701</v>
      </c>
      <c r="DM396" s="114"/>
      <c r="DN396" s="114"/>
      <c r="DO396" s="114"/>
      <c r="DP396" s="114"/>
      <c r="DQ396" s="112">
        <v>43560</v>
      </c>
      <c r="DR396" s="114" t="s">
        <v>198</v>
      </c>
      <c r="DS396" s="114"/>
      <c r="DT396" s="115">
        <v>52</v>
      </c>
      <c r="DU396" s="116">
        <f t="shared" si="267"/>
        <v>0.1524984993997599</v>
      </c>
      <c r="DV396" s="117">
        <f t="shared" si="268"/>
        <v>8.7087562049819933</v>
      </c>
      <c r="DW396" s="118">
        <f t="shared" si="269"/>
        <v>10.522396458583433</v>
      </c>
      <c r="DX396" s="119">
        <f t="shared" si="287"/>
        <v>1</v>
      </c>
      <c r="DY396" s="115">
        <f t="shared" si="270"/>
        <v>29.883605942376953</v>
      </c>
      <c r="DZ396" s="117">
        <f t="shared" si="305"/>
        <v>0.43235620498199268</v>
      </c>
      <c r="EA396" s="120">
        <f t="shared" si="305"/>
        <v>0.52239645858343309</v>
      </c>
      <c r="EB396" s="119">
        <f t="shared" si="264"/>
        <v>0</v>
      </c>
      <c r="EC396" s="121">
        <f t="shared" si="272"/>
        <v>1.4836059423769541</v>
      </c>
      <c r="ED396" s="122"/>
      <c r="EE396" s="145">
        <v>18</v>
      </c>
      <c r="EF396" s="115">
        <v>28</v>
      </c>
      <c r="EG396" s="115">
        <v>50</v>
      </c>
      <c r="EH396" s="115">
        <v>27</v>
      </c>
      <c r="EI396" s="128" t="s">
        <v>195</v>
      </c>
      <c r="EJ396" s="121">
        <v>24</v>
      </c>
      <c r="EK396" s="121">
        <v>0</v>
      </c>
      <c r="EL396" s="149">
        <v>8.2764000000000006</v>
      </c>
      <c r="EM396" s="142">
        <v>10</v>
      </c>
      <c r="EN396" s="119">
        <v>1</v>
      </c>
      <c r="EO396" s="115">
        <v>38</v>
      </c>
      <c r="EP396" s="115">
        <v>3431.4436228311824</v>
      </c>
      <c r="EQ396" s="115">
        <v>75</v>
      </c>
      <c r="ER396" s="115">
        <v>9.6</v>
      </c>
      <c r="ES396" s="115">
        <v>57</v>
      </c>
      <c r="ET396" s="150">
        <v>0.15625</v>
      </c>
      <c r="EU396" s="145">
        <f t="shared" si="288"/>
        <v>18</v>
      </c>
      <c r="EV396" s="115">
        <f t="shared" si="289"/>
        <v>27</v>
      </c>
      <c r="EW396" s="115">
        <f t="shared" si="289"/>
        <v>47</v>
      </c>
      <c r="EX396" s="115">
        <f t="shared" si="289"/>
        <v>27</v>
      </c>
      <c r="EY396" s="115" t="str">
        <f t="shared" si="309"/>
        <v>Постоянный</v>
      </c>
      <c r="EZ396" s="115">
        <f t="shared" si="309"/>
        <v>24</v>
      </c>
      <c r="FA396" s="115">
        <f t="shared" si="309"/>
        <v>0</v>
      </c>
      <c r="FB396" s="149">
        <f t="shared" si="298"/>
        <v>8.2764000000000006</v>
      </c>
      <c r="FC396" s="142">
        <f t="shared" si="298"/>
        <v>10</v>
      </c>
      <c r="FD396" s="119">
        <f t="shared" si="298"/>
        <v>1</v>
      </c>
      <c r="FE396" s="121">
        <f t="shared" si="298"/>
        <v>38</v>
      </c>
      <c r="FF396" s="121">
        <f t="shared" si="300"/>
        <v>3431.4436228311824</v>
      </c>
      <c r="FG396" s="121">
        <f t="shared" si="290"/>
        <v>72</v>
      </c>
      <c r="FH396" s="121">
        <f t="shared" si="301"/>
        <v>9.6</v>
      </c>
      <c r="FI396" s="121">
        <f t="shared" si="306"/>
        <v>57</v>
      </c>
      <c r="FJ396" s="144">
        <f t="shared" si="291"/>
        <v>0.15625</v>
      </c>
      <c r="FK396" s="132">
        <f t="shared" si="292"/>
        <v>0</v>
      </c>
      <c r="FL396" s="115">
        <f t="shared" si="292"/>
        <v>-1</v>
      </c>
      <c r="FM396" s="115">
        <f t="shared" si="292"/>
        <v>-3</v>
      </c>
      <c r="FN396" s="115">
        <f t="shared" si="273"/>
        <v>0</v>
      </c>
      <c r="FO396" s="115">
        <f t="shared" si="311"/>
        <v>0</v>
      </c>
      <c r="FP396" s="115">
        <f t="shared" si="311"/>
        <v>0</v>
      </c>
      <c r="FQ396" s="149">
        <f t="shared" si="311"/>
        <v>0</v>
      </c>
      <c r="FR396" s="142">
        <f t="shared" si="311"/>
        <v>0</v>
      </c>
      <c r="FS396" s="119">
        <f t="shared" si="311"/>
        <v>0</v>
      </c>
      <c r="FT396" s="121">
        <f t="shared" si="311"/>
        <v>0</v>
      </c>
      <c r="FU396" s="121">
        <f t="shared" si="293"/>
        <v>-3</v>
      </c>
      <c r="FV396" s="121">
        <f t="shared" si="293"/>
        <v>0</v>
      </c>
      <c r="FW396" s="121">
        <f t="shared" si="294"/>
        <v>0</v>
      </c>
      <c r="FX396" s="121">
        <f t="shared" si="295"/>
        <v>0</v>
      </c>
      <c r="FY396" s="144">
        <f t="shared" si="295"/>
        <v>0</v>
      </c>
      <c r="FZ396" s="145"/>
      <c r="GA396" s="151"/>
      <c r="GB396" s="145" t="s">
        <v>199</v>
      </c>
      <c r="GC396" s="151" t="s">
        <v>1093</v>
      </c>
      <c r="GD396" s="997" t="s">
        <v>220</v>
      </c>
      <c r="GE396" s="1004" t="s">
        <v>199</v>
      </c>
      <c r="GF396" s="1004">
        <v>-2.1518639999999998</v>
      </c>
      <c r="GG396" s="1004" t="s">
        <v>199</v>
      </c>
      <c r="GH396" s="1004">
        <v>5.4122640000000004</v>
      </c>
      <c r="GI396" s="145"/>
      <c r="GJ396" s="996">
        <v>0</v>
      </c>
      <c r="GK396" s="145"/>
      <c r="GL396" s="996">
        <v>0</v>
      </c>
      <c r="GM396" s="1005"/>
      <c r="GN396" s="996">
        <v>0</v>
      </c>
      <c r="GO396" s="1006"/>
      <c r="GP396" s="996">
        <v>0</v>
      </c>
      <c r="GQ396" s="1006" t="s">
        <v>203</v>
      </c>
      <c r="GR396" s="996">
        <v>-3.254547999999998</v>
      </c>
      <c r="GS396" s="1006" t="s">
        <v>203</v>
      </c>
      <c r="GT396" s="996">
        <v>-1.9704520000000016</v>
      </c>
      <c r="GU396" s="1006" t="s">
        <v>203</v>
      </c>
      <c r="GV396" s="996">
        <v>-3.0590000000000011</v>
      </c>
      <c r="GW396" s="1006"/>
      <c r="GX396" s="996">
        <v>0</v>
      </c>
      <c r="GY396" s="1006" t="s">
        <v>199</v>
      </c>
      <c r="GZ396" s="996">
        <v>-7.9419999999999993</v>
      </c>
      <c r="HA396" s="1006"/>
      <c r="HB396" s="996">
        <v>0</v>
      </c>
      <c r="HC396" s="1006"/>
      <c r="HD396" s="996">
        <v>0</v>
      </c>
      <c r="HE396" s="1006"/>
      <c r="HF396" s="996">
        <v>0</v>
      </c>
      <c r="HG396" s="1006" t="s">
        <v>223</v>
      </c>
      <c r="HH396" s="996">
        <v>-3.2603999999999989</v>
      </c>
      <c r="HI396" s="1006" t="s">
        <v>308</v>
      </c>
      <c r="HJ396" s="996">
        <v>8.6509279999999986</v>
      </c>
      <c r="HK396" s="1006"/>
      <c r="HL396" s="996">
        <v>0</v>
      </c>
      <c r="HM396" s="1006"/>
      <c r="HN396" s="996">
        <v>0</v>
      </c>
      <c r="HO396" s="1006" t="s">
        <v>199</v>
      </c>
      <c r="HP396" s="996">
        <v>-7.5975680000000008</v>
      </c>
      <c r="HQ396" s="1006" t="s">
        <v>199</v>
      </c>
      <c r="HR396" s="996">
        <v>-3.3315435999999998</v>
      </c>
      <c r="HS396" s="1006"/>
      <c r="HT396" s="996">
        <v>0</v>
      </c>
      <c r="HU396" s="1006" t="s">
        <v>204</v>
      </c>
      <c r="HV396" s="996">
        <v>-18.543650399999997</v>
      </c>
      <c r="HW396" s="1006" t="s">
        <v>199</v>
      </c>
      <c r="HX396" s="996">
        <v>-2.686485999999995</v>
      </c>
      <c r="HY396" s="1006"/>
      <c r="HZ396" s="996">
        <v>0</v>
      </c>
      <c r="IA396" s="1006"/>
      <c r="IB396" s="996">
        <v>0</v>
      </c>
      <c r="IC396" s="1006" t="s">
        <v>199</v>
      </c>
      <c r="ID396" s="996">
        <v>1.0924011999999905</v>
      </c>
      <c r="IE396" s="1006" t="s">
        <v>204</v>
      </c>
      <c r="IF396" s="996">
        <v>7.5656996800000087</v>
      </c>
      <c r="IG396" s="1006"/>
      <c r="IH396" s="996">
        <v>0</v>
      </c>
      <c r="II396" s="1006"/>
      <c r="IJ396" s="996">
        <v>0</v>
      </c>
      <c r="IK396" s="1006" t="s">
        <v>199</v>
      </c>
      <c r="IL396" s="996">
        <v>15.010145919999996</v>
      </c>
      <c r="IM396" s="1006" t="s">
        <v>199</v>
      </c>
      <c r="IN396" s="996">
        <v>6.130805999999998</v>
      </c>
      <c r="IO396" s="1006" t="s">
        <v>204</v>
      </c>
      <c r="IP396" s="996">
        <v>3.3316271999999989</v>
      </c>
      <c r="IQ396" s="1006"/>
      <c r="IR396" s="996">
        <v>0</v>
      </c>
      <c r="IS396" s="1006"/>
      <c r="IT396" s="996">
        <v>0</v>
      </c>
      <c r="IU396" s="1006"/>
      <c r="IV396" s="996">
        <v>0</v>
      </c>
      <c r="IW396" s="1006" t="s">
        <v>204</v>
      </c>
      <c r="IX396" s="996">
        <v>-5.5259599999999987</v>
      </c>
      <c r="IY396" s="1006"/>
      <c r="IZ396" s="996">
        <v>0</v>
      </c>
      <c r="JA396" s="1006" t="s">
        <v>199</v>
      </c>
      <c r="JB396" s="996">
        <v>1.3376000000000001</v>
      </c>
      <c r="JC396" s="1006"/>
      <c r="JD396" s="996">
        <v>0</v>
      </c>
      <c r="JE396" s="1006" t="s">
        <v>199</v>
      </c>
      <c r="JF396" s="996">
        <v>3.678399999999999</v>
      </c>
      <c r="JG396" s="1006"/>
      <c r="JH396" s="996">
        <v>0</v>
      </c>
      <c r="JI396" s="1006"/>
      <c r="JJ396" s="996">
        <v>0</v>
      </c>
      <c r="JK396" s="1007"/>
      <c r="JL396" s="1007">
        <v>0</v>
      </c>
      <c r="JM396" s="1007" t="s">
        <v>199</v>
      </c>
      <c r="JN396" s="1007">
        <v>-5.1497599999999997</v>
      </c>
      <c r="JO396" s="1008"/>
      <c r="JP396" s="1007">
        <v>0</v>
      </c>
      <c r="JQ396" s="1008">
        <v>0</v>
      </c>
      <c r="JR396" s="1007">
        <v>-0.89451999999999998</v>
      </c>
      <c r="JS396" s="1008">
        <v>0</v>
      </c>
      <c r="JT396" s="1007">
        <v>0</v>
      </c>
      <c r="JU396" s="1008" t="s">
        <v>199</v>
      </c>
      <c r="JV396" s="1007">
        <v>3.0346799999999998</v>
      </c>
      <c r="JW396" s="1008" t="s">
        <v>199</v>
      </c>
      <c r="JX396" s="1007">
        <v>-2.1964000000000006</v>
      </c>
      <c r="JY396" s="1008" t="s">
        <v>25</v>
      </c>
      <c r="JZ396" s="1007">
        <v>3.1622870399999989</v>
      </c>
      <c r="KA396" s="1008" t="s">
        <v>240</v>
      </c>
      <c r="KB396" s="1007">
        <v>-9.1959999999999997</v>
      </c>
      <c r="KC396" s="1008"/>
      <c r="KD396" s="1007">
        <v>0</v>
      </c>
      <c r="KE396" s="1008"/>
      <c r="KF396" s="1007">
        <v>0</v>
      </c>
      <c r="KG396" s="1008" t="s">
        <v>971</v>
      </c>
      <c r="KH396" s="1007">
        <v>-11.075754360000001</v>
      </c>
      <c r="KI396" s="1008"/>
      <c r="KJ396" s="1007">
        <v>0</v>
      </c>
      <c r="KK396" s="1008"/>
      <c r="KL396" s="1007">
        <v>31.139754360000001</v>
      </c>
      <c r="KM396" s="1008"/>
      <c r="KN396" s="1007"/>
      <c r="KO396" s="1008"/>
      <c r="KP396" s="1007"/>
      <c r="KQ396" s="1008"/>
      <c r="KR396" s="1007"/>
      <c r="KS396" s="1008"/>
      <c r="KT396" s="1007"/>
      <c r="KU396" s="1008"/>
      <c r="KV396" s="1007"/>
      <c r="KW396" s="1008"/>
      <c r="KX396" s="1007"/>
      <c r="KY396" s="1008"/>
      <c r="KZ396" s="1007"/>
      <c r="LA396" s="1008"/>
      <c r="LB396" s="1007"/>
      <c r="LC396" s="1008"/>
      <c r="LD396" s="1007"/>
      <c r="LE396" s="1008"/>
      <c r="LF396" s="1007"/>
      <c r="LG396" s="1008"/>
      <c r="LH396" s="1007"/>
      <c r="LI396" s="1008"/>
      <c r="LJ396" s="1007"/>
      <c r="LK396" s="1008"/>
      <c r="LL396" s="1007"/>
      <c r="LM396" s="1008"/>
      <c r="LN396" s="1007"/>
      <c r="LO396" s="1008"/>
      <c r="LP396" s="1007"/>
      <c r="LQ396" s="1008"/>
      <c r="LR396" s="1007"/>
      <c r="LS396" s="1008"/>
      <c r="LT396" s="1007"/>
      <c r="LU396" s="1008"/>
      <c r="LV396" s="1007"/>
      <c r="LW396" s="1008"/>
      <c r="LX396" s="1007"/>
      <c r="LY396" s="1009"/>
      <c r="LZ396" s="1010"/>
      <c r="MA396" s="1011"/>
      <c r="MB396" s="1012"/>
      <c r="MC396" s="995"/>
      <c r="MD396" s="996"/>
      <c r="ME396" s="997" t="s">
        <v>220</v>
      </c>
      <c r="MF396" s="997"/>
      <c r="MG396" s="998"/>
      <c r="NR396" s="1000"/>
      <c r="NS396" s="1000"/>
      <c r="NT396" s="1001"/>
      <c r="NU396" s="1000"/>
      <c r="NV396" s="1001"/>
      <c r="NX396" s="1002"/>
      <c r="NZ396" s="1001"/>
      <c r="OA396" s="1001"/>
      <c r="OC396" s="1003"/>
      <c r="OD396" s="1003"/>
      <c r="OE396" s="1001"/>
      <c r="OF396" s="1003"/>
      <c r="OG396" s="1003"/>
      <c r="OH396" s="1003"/>
      <c r="OI396" s="1016"/>
      <c r="QX396" s="1000">
        <f>CN396-CA396</f>
        <v>30</v>
      </c>
      <c r="ASU396" s="999" t="s">
        <v>292</v>
      </c>
    </row>
    <row r="397" spans="1:466 1191:1191" ht="21" customHeight="1" x14ac:dyDescent="0.25">
      <c r="A397" s="982">
        <f t="shared" si="274"/>
        <v>1449</v>
      </c>
      <c r="B397" s="124">
        <f>SUBTOTAL(103,$J$29:J397)</f>
        <v>369</v>
      </c>
      <c r="C397" s="126">
        <v>45068</v>
      </c>
      <c r="D397" s="124" t="s">
        <v>176</v>
      </c>
      <c r="E397" s="127" t="s">
        <v>177</v>
      </c>
      <c r="F397" s="128" t="s">
        <v>177</v>
      </c>
      <c r="G397" s="127" t="s">
        <v>178</v>
      </c>
      <c r="H397" s="127" t="s">
        <v>179</v>
      </c>
      <c r="I397" s="127" t="s">
        <v>1035</v>
      </c>
      <c r="J397" s="152">
        <v>1449</v>
      </c>
      <c r="K397" s="127" t="s">
        <v>1546</v>
      </c>
      <c r="L397" s="130">
        <v>43000</v>
      </c>
      <c r="M397" s="127" t="s">
        <v>230</v>
      </c>
      <c r="N397" s="127" t="s">
        <v>184</v>
      </c>
      <c r="O397" s="127" t="s">
        <v>185</v>
      </c>
      <c r="P397" s="127" t="s">
        <v>186</v>
      </c>
      <c r="Q397" s="85" t="str">
        <f t="shared" si="297"/>
        <v/>
      </c>
      <c r="R397" s="130"/>
      <c r="S397" s="128"/>
      <c r="T397" s="131"/>
      <c r="U397" s="132">
        <v>203</v>
      </c>
      <c r="V397" s="121">
        <v>218.2</v>
      </c>
      <c r="W397" s="116">
        <v>0.98</v>
      </c>
      <c r="X397" s="116">
        <v>1.66</v>
      </c>
      <c r="Y397" s="116">
        <f t="shared" si="299"/>
        <v>1.1495195025438099</v>
      </c>
      <c r="Z397" s="133">
        <v>1.454</v>
      </c>
      <c r="AA397" s="133">
        <v>0.83599999999999997</v>
      </c>
      <c r="AB397" s="133">
        <v>0.72</v>
      </c>
      <c r="AC397" s="121">
        <v>34.299999999999997</v>
      </c>
      <c r="AD397" s="134">
        <v>1.17</v>
      </c>
      <c r="AE397" s="124">
        <v>177.8</v>
      </c>
      <c r="AF397" s="128">
        <v>9.19</v>
      </c>
      <c r="AG397" s="128">
        <v>2066</v>
      </c>
      <c r="AH397" s="127">
        <v>2815</v>
      </c>
      <c r="AI397" s="127">
        <v>2815</v>
      </c>
      <c r="AJ397" s="135">
        <v>42856</v>
      </c>
      <c r="AK397" s="128" t="s">
        <v>1018</v>
      </c>
      <c r="AL397" s="131"/>
      <c r="AM397" s="124" t="s">
        <v>232</v>
      </c>
      <c r="AN397" s="136" t="s">
        <v>1552</v>
      </c>
      <c r="AO397" s="137">
        <v>88.34</v>
      </c>
      <c r="AP397" s="128">
        <v>2066</v>
      </c>
      <c r="AQ397" s="128">
        <v>185.6</v>
      </c>
      <c r="AR397" s="128"/>
      <c r="AS397" s="128"/>
      <c r="AT397" s="122"/>
      <c r="AU397" s="124" t="s">
        <v>189</v>
      </c>
      <c r="AV397" s="115">
        <f>VLOOKUP(J397,'[63]ТР нефть'!$J$28:$BP$638,39,0)</f>
        <v>560.00001357400004</v>
      </c>
      <c r="AW397" s="115" t="str">
        <f>VLOOKUP(J397,'[63]ТР нефть'!$J$28:$BP$638,40,0)</f>
        <v>ГК77 1/8</v>
      </c>
      <c r="AX397" s="115">
        <f>VLOOKUP(J397,'[63]ТР нефть'!$J$28:$BP$638,41,0)</f>
        <v>880.00001601600002</v>
      </c>
      <c r="AY397" s="115" t="str">
        <f>VLOOKUP(J397,'[63]ТР нефть'!$J$28:$BP$638,42,0)</f>
        <v>ГК77 1/8</v>
      </c>
      <c r="AZ397" s="115">
        <f>VLOOKUP(J397,'[63]ТР нефть'!$J$28:$BP$638,43,0)</f>
        <v>1209.9999662109999</v>
      </c>
      <c r="BA397" s="115" t="str">
        <f>VLOOKUP(J397,'[63]ТР нефть'!$J$28:$BP$638,44,0)</f>
        <v>ГК76 1/8</v>
      </c>
      <c r="BB397" s="115">
        <f>VLOOKUP(J397,'[63]ТР нефть'!$J$28:$BP$638,45,0)</f>
        <v>1510.0000359380001</v>
      </c>
      <c r="BC397" s="115" t="str">
        <f>VLOOKUP(J397,'[63]ТР нефть'!$J$28:$BP$638,46,0)</f>
        <v>ГК79 1/8</v>
      </c>
      <c r="BD397" s="115">
        <f>VLOOKUP(J397,'[63]ТР нефть'!$J$28:$BP$638,47,0)</f>
        <v>1790.0000613279999</v>
      </c>
      <c r="BE397" s="115" t="str">
        <f>VLOOKUP(J397,'[63]ТР нефть'!$J$28:$BP$638,48,0)</f>
        <v>ЦКсОК 5/16</v>
      </c>
      <c r="BF397" s="115" t="str">
        <f>VLOOKUP(J397,'[63]ТР нефть'!$J$28:$BP$638,49,0)</f>
        <v>-</v>
      </c>
      <c r="BG397" s="115" t="str">
        <f>VLOOKUP(J397,'[63]ТР нефть'!$J$28:$BP$638,50,0)</f>
        <v>-</v>
      </c>
      <c r="BH397" s="115" t="str">
        <f>VLOOKUP(J397,'[63]ТР нефть'!$J$28:$BP$638,51,0)</f>
        <v>-</v>
      </c>
      <c r="BI397" s="115" t="str">
        <f>VLOOKUP(J397,'[63]ТР нефть'!$J$28:$BP$638,52,0)</f>
        <v>-</v>
      </c>
      <c r="BJ397" s="115" t="str">
        <f>IF(IFERROR(VLOOKUP(J397,'[63]ТР нефть'!$J$28:$BP$638,53,0),"-")=0,"-",IFERROR(VLOOKUP(J397,'[63]ТР нефть'!$J$28:$BP$638,53,0),"-"))</f>
        <v>-</v>
      </c>
      <c r="BK397" s="138" t="str">
        <f>IF(IFERROR(VLOOKUP(J397,'[63]ТР нефть'!$J$28:$BP$638,54,0),"-")=0,"-",IFERROR(VLOOKUP(J397,'[63]ТР нефть'!$J$28:$BP$638,54,0),"-"))</f>
        <v>-</v>
      </c>
      <c r="BL397" s="138" t="str">
        <f>IF(IFERROR(VLOOKUP(J397,'[63]ТР нефть'!$J$28:$BP$638,55,0),"-")=0,"-",IFERROR(VLOOKUP(J397,'[63]ТР нефть'!$J$28:$BP$638,55,0),"-"))</f>
        <v>-</v>
      </c>
      <c r="BM397" s="138" t="str">
        <f>IF(IFERROR(VLOOKUP(J397,'[63]ТР нефть'!$J$28:$BP$638,56,0),"-")=0,"-",IFERROR(VLOOKUP(J397,'[63]ТР нефть'!$J$28:$BP$638,56,0),"-"))</f>
        <v>-</v>
      </c>
      <c r="BN397" s="138" t="str">
        <f>IF(IFERROR(VLOOKUP(J397,'[63]ТР нефть'!$J$28:$BP$638,57,0),"-")=0,"-",IFERROR(VLOOKUP(J397,'[63]ТР нефть'!$J$28:$BP$638,57,0),"-"))</f>
        <v>-</v>
      </c>
      <c r="BO397" s="115">
        <f>IF(IFERROR(VLOOKUP(J397,'[63]ТР нефть'!$J$28:$BP$638,58,0),"-")=0,"-",IFERROR(VLOOKUP(J397,'[63]ТР нефть'!$J$28:$BP$638,58,0),"-"))</f>
        <v>90</v>
      </c>
      <c r="BP397" s="115" t="str">
        <f>IF(IFERROR(VLOOKUP(J397,'[63]ТР нефть'!$J$28:$BP$638,59,0),"-")=0,"-",IFERROR(VLOOKUP(J397,'[63]ТР нефть'!$J$28:$BP$638,59,0),"-"))</f>
        <v>-</v>
      </c>
      <c r="BQ397" s="138">
        <v>1720</v>
      </c>
      <c r="BR397" s="128">
        <v>1676.19</v>
      </c>
      <c r="BS397" s="115">
        <f t="shared" si="307"/>
        <v>43.809999999999945</v>
      </c>
      <c r="BT397" s="128">
        <v>73</v>
      </c>
      <c r="BU397" s="128">
        <v>5.5</v>
      </c>
      <c r="BV397" s="127">
        <v>65</v>
      </c>
      <c r="BW397" s="127" t="s">
        <v>217</v>
      </c>
      <c r="BX397" s="127" t="s">
        <v>195</v>
      </c>
      <c r="BY397" s="139">
        <v>24</v>
      </c>
      <c r="BZ397" s="139">
        <v>0</v>
      </c>
      <c r="CA397" s="80">
        <v>20</v>
      </c>
      <c r="CB397" s="138">
        <v>48</v>
      </c>
      <c r="CC397" s="138">
        <v>19</v>
      </c>
      <c r="CD397" s="135">
        <v>45017</v>
      </c>
      <c r="CE397" s="138">
        <v>166</v>
      </c>
      <c r="CF397" s="138">
        <v>80</v>
      </c>
      <c r="CG397" s="138" t="str">
        <f t="shared" si="310"/>
        <v/>
      </c>
      <c r="CH397" s="138" t="s">
        <v>197</v>
      </c>
      <c r="CI397" s="127"/>
      <c r="CJ397" s="138"/>
      <c r="CK397" s="138">
        <f t="shared" si="308"/>
        <v>40</v>
      </c>
      <c r="CL397" s="99"/>
      <c r="CM397" s="99"/>
      <c r="CN397" s="140">
        <v>60</v>
      </c>
      <c r="CO397" s="141">
        <f t="shared" si="276"/>
        <v>5.88544</v>
      </c>
      <c r="CP397" s="142">
        <v>11</v>
      </c>
      <c r="CQ397" s="143">
        <v>36</v>
      </c>
      <c r="CR397" s="138">
        <v>28</v>
      </c>
      <c r="CS397" s="139">
        <v>12</v>
      </c>
      <c r="CT397" s="138"/>
      <c r="CU397" s="138">
        <f t="shared" si="277"/>
        <v>16</v>
      </c>
      <c r="CV397" s="115">
        <f t="shared" si="278"/>
        <v>2718.5732927359722</v>
      </c>
      <c r="CW397" s="115">
        <f t="shared" si="279"/>
        <v>1146.00921391408</v>
      </c>
      <c r="CX397" s="133">
        <f t="shared" si="280"/>
        <v>0.10377358490566038</v>
      </c>
      <c r="CY397" s="116"/>
      <c r="CZ397" s="131"/>
      <c r="DA397" s="145" t="str">
        <f t="shared" si="281"/>
        <v>Газлифт</v>
      </c>
      <c r="DB397" s="146">
        <f t="shared" si="282"/>
        <v>5.88544</v>
      </c>
      <c r="DC397" s="142">
        <f t="shared" si="302"/>
        <v>11</v>
      </c>
      <c r="DD397" s="119">
        <f t="shared" si="303"/>
        <v>36</v>
      </c>
      <c r="DE397" s="115">
        <f t="shared" si="283"/>
        <v>16</v>
      </c>
      <c r="DF397" s="121">
        <f t="shared" si="284"/>
        <v>12</v>
      </c>
      <c r="DG397" s="115">
        <f t="shared" si="285"/>
        <v>2718.5732927359722</v>
      </c>
      <c r="DH397" s="115">
        <f t="shared" si="286"/>
        <v>60</v>
      </c>
      <c r="DI397" s="147"/>
      <c r="DJ397" s="111">
        <v>43696</v>
      </c>
      <c r="DK397" s="112">
        <v>43830</v>
      </c>
      <c r="DL397" s="113">
        <f t="shared" ca="1" si="266"/>
        <v>1274</v>
      </c>
      <c r="DM397" s="114">
        <v>27.1</v>
      </c>
      <c r="DN397" s="114">
        <v>92</v>
      </c>
      <c r="DO397" s="114">
        <v>33</v>
      </c>
      <c r="DP397" s="114"/>
      <c r="DQ397" s="112">
        <v>43000</v>
      </c>
      <c r="DR397" s="114" t="s">
        <v>324</v>
      </c>
      <c r="DS397" s="114"/>
      <c r="DT397" s="115">
        <v>107</v>
      </c>
      <c r="DU397" s="116">
        <f t="shared" si="267"/>
        <v>0.1864406779661017</v>
      </c>
      <c r="DV397" s="117">
        <f t="shared" si="268"/>
        <v>5.88544</v>
      </c>
      <c r="DW397" s="118">
        <f t="shared" si="269"/>
        <v>11</v>
      </c>
      <c r="DX397" s="119">
        <f t="shared" si="287"/>
        <v>36</v>
      </c>
      <c r="DY397" s="115">
        <f t="shared" si="270"/>
        <v>16</v>
      </c>
      <c r="DZ397" s="117">
        <f t="shared" si="305"/>
        <v>0</v>
      </c>
      <c r="EA397" s="120">
        <f t="shared" si="305"/>
        <v>0</v>
      </c>
      <c r="EB397" s="119">
        <f t="shared" si="264"/>
        <v>0</v>
      </c>
      <c r="EC397" s="121">
        <f t="shared" si="272"/>
        <v>0</v>
      </c>
      <c r="ED397" s="122"/>
      <c r="EE397" s="145">
        <v>65</v>
      </c>
      <c r="EF397" s="148">
        <v>24</v>
      </c>
      <c r="EG397" s="115">
        <v>48</v>
      </c>
      <c r="EH397" s="115">
        <v>23</v>
      </c>
      <c r="EI397" s="128" t="s">
        <v>195</v>
      </c>
      <c r="EJ397" s="121">
        <v>24</v>
      </c>
      <c r="EK397" s="121">
        <v>0</v>
      </c>
      <c r="EL397" s="149">
        <v>10.052064</v>
      </c>
      <c r="EM397" s="142">
        <v>16.7</v>
      </c>
      <c r="EN397" s="119">
        <v>28</v>
      </c>
      <c r="EO397" s="115">
        <v>28</v>
      </c>
      <c r="EP397" s="115">
        <v>1711.0913738710776</v>
      </c>
      <c r="EQ397" s="115">
        <v>76</v>
      </c>
      <c r="ER397" s="115">
        <v>10.8</v>
      </c>
      <c r="ES397" s="115">
        <v>60</v>
      </c>
      <c r="ET397" s="150">
        <v>0.15754716981132075</v>
      </c>
      <c r="EU397" s="145">
        <f t="shared" si="288"/>
        <v>65</v>
      </c>
      <c r="EV397" s="115">
        <f t="shared" si="289"/>
        <v>20</v>
      </c>
      <c r="EW397" s="115">
        <f t="shared" si="289"/>
        <v>48</v>
      </c>
      <c r="EX397" s="115">
        <f t="shared" si="289"/>
        <v>19</v>
      </c>
      <c r="EY397" s="115" t="str">
        <f t="shared" si="309"/>
        <v>Постоянный</v>
      </c>
      <c r="EZ397" s="115">
        <f t="shared" si="309"/>
        <v>24</v>
      </c>
      <c r="FA397" s="115">
        <f t="shared" si="309"/>
        <v>0</v>
      </c>
      <c r="FB397" s="149">
        <f t="shared" si="298"/>
        <v>5.88544</v>
      </c>
      <c r="FC397" s="142">
        <f t="shared" si="298"/>
        <v>11</v>
      </c>
      <c r="FD397" s="119">
        <f t="shared" si="298"/>
        <v>36</v>
      </c>
      <c r="FE397" s="121">
        <f t="shared" si="298"/>
        <v>28</v>
      </c>
      <c r="FF397" s="121">
        <f t="shared" si="300"/>
        <v>2718.5732927359722</v>
      </c>
      <c r="FG397" s="121">
        <f t="shared" si="290"/>
        <v>80</v>
      </c>
      <c r="FH397" s="121">
        <f t="shared" si="301"/>
        <v>12</v>
      </c>
      <c r="FI397" s="121">
        <f t="shared" si="306"/>
        <v>60</v>
      </c>
      <c r="FJ397" s="144">
        <f t="shared" si="291"/>
        <v>0.10377358490566038</v>
      </c>
      <c r="FK397" s="132">
        <f t="shared" si="292"/>
        <v>0</v>
      </c>
      <c r="FL397" s="115">
        <f t="shared" si="292"/>
        <v>-4</v>
      </c>
      <c r="FM397" s="115">
        <f t="shared" si="292"/>
        <v>0</v>
      </c>
      <c r="FN397" s="115">
        <f t="shared" si="273"/>
        <v>-4</v>
      </c>
      <c r="FO397" s="115">
        <f t="shared" si="311"/>
        <v>0</v>
      </c>
      <c r="FP397" s="115">
        <f t="shared" si="311"/>
        <v>0</v>
      </c>
      <c r="FQ397" s="149">
        <f t="shared" si="311"/>
        <v>-4.1666239999999997</v>
      </c>
      <c r="FR397" s="142">
        <f t="shared" si="311"/>
        <v>-5.6999999999999993</v>
      </c>
      <c r="FS397" s="119">
        <f t="shared" si="311"/>
        <v>8</v>
      </c>
      <c r="FT397" s="121">
        <f t="shared" si="311"/>
        <v>0</v>
      </c>
      <c r="FU397" s="121">
        <f t="shared" si="293"/>
        <v>4</v>
      </c>
      <c r="FV397" s="121">
        <f t="shared" si="293"/>
        <v>1.1999999999999993</v>
      </c>
      <c r="FW397" s="121">
        <f t="shared" si="294"/>
        <v>1007.4819188648946</v>
      </c>
      <c r="FX397" s="121">
        <f t="shared" si="295"/>
        <v>0</v>
      </c>
      <c r="FY397" s="144">
        <f t="shared" si="295"/>
        <v>-5.3773584905660365E-2</v>
      </c>
      <c r="FZ397" s="145" t="s">
        <v>1553</v>
      </c>
      <c r="GA397" s="151" t="s">
        <v>1554</v>
      </c>
      <c r="GB397" s="145" t="s">
        <v>199</v>
      </c>
      <c r="GC397" s="151"/>
      <c r="GD397" s="997" t="s">
        <v>220</v>
      </c>
      <c r="GE397" s="1004"/>
      <c r="GF397" s="1004">
        <v>1.0031999999998931E-2</v>
      </c>
      <c r="GG397" s="1004"/>
      <c r="GH397" s="1004">
        <v>0</v>
      </c>
      <c r="GI397" s="145" t="s">
        <v>146</v>
      </c>
      <c r="GJ397" s="996">
        <v>-2.7779443999999991</v>
      </c>
      <c r="GK397" s="145"/>
      <c r="GL397" s="996">
        <v>0</v>
      </c>
      <c r="GM397" s="1005" t="s">
        <v>199</v>
      </c>
      <c r="GN397" s="996">
        <v>1.152161489600001</v>
      </c>
      <c r="GO397" s="1006"/>
      <c r="GP397" s="996">
        <v>0</v>
      </c>
      <c r="GQ397" s="1006" t="s">
        <v>199</v>
      </c>
      <c r="GR397" s="996">
        <v>-1.3019459376000011</v>
      </c>
      <c r="GS397" s="1006"/>
      <c r="GT397" s="996">
        <v>-0.27247915199999895</v>
      </c>
      <c r="GU397" s="1006"/>
      <c r="GV397" s="996">
        <v>4</v>
      </c>
      <c r="GW397" s="1006" t="s">
        <v>25</v>
      </c>
      <c r="GX397" s="996">
        <v>9.1999999999999993</v>
      </c>
      <c r="GY397" s="1006"/>
      <c r="GZ397" s="996">
        <v>0</v>
      </c>
      <c r="HA397" s="1006"/>
      <c r="HB397" s="996">
        <v>0</v>
      </c>
      <c r="HC397" s="1006"/>
      <c r="HD397" s="996">
        <v>0</v>
      </c>
      <c r="HE397" s="1006"/>
      <c r="HF397" s="996">
        <v>0</v>
      </c>
      <c r="HG397" s="1006"/>
      <c r="HH397" s="996">
        <v>0</v>
      </c>
      <c r="HI397" s="1006"/>
      <c r="HJ397" s="996">
        <v>0</v>
      </c>
      <c r="HK397" s="1006"/>
      <c r="HL397" s="996">
        <v>-0.1203840000000001</v>
      </c>
      <c r="HM397" s="1006"/>
      <c r="HN397" s="996">
        <v>0</v>
      </c>
      <c r="HO397" s="1006"/>
      <c r="HP397" s="996">
        <v>0</v>
      </c>
      <c r="HQ397" s="1006"/>
      <c r="HR397" s="996">
        <v>-3.4760880000000466E-2</v>
      </c>
      <c r="HS397" s="1006" t="s">
        <v>886</v>
      </c>
      <c r="HT397" s="996">
        <v>-4.7416415200000159</v>
      </c>
      <c r="HU397" s="1006" t="s">
        <v>886</v>
      </c>
      <c r="HV397" s="996">
        <v>-14.155653599999976</v>
      </c>
      <c r="HW397" s="1006"/>
      <c r="HX397" s="996">
        <v>0</v>
      </c>
      <c r="HY397" s="1006"/>
      <c r="HZ397" s="996">
        <v>0</v>
      </c>
      <c r="IA397" s="1006"/>
      <c r="IB397" s="996">
        <v>0</v>
      </c>
      <c r="IC397" s="1006" t="s">
        <v>204</v>
      </c>
      <c r="ID397" s="996">
        <v>5.8352800000000027</v>
      </c>
      <c r="IE397" s="1006"/>
      <c r="IF397" s="996">
        <v>0</v>
      </c>
      <c r="IG397" s="1006" t="s">
        <v>199</v>
      </c>
      <c r="IH397" s="996">
        <v>6.6044000000000054</v>
      </c>
      <c r="II397" s="1006" t="s">
        <v>204</v>
      </c>
      <c r="IJ397" s="996">
        <v>-4.3714105600000082</v>
      </c>
      <c r="IK397" s="1006"/>
      <c r="IL397" s="996">
        <v>0</v>
      </c>
      <c r="IM397" s="1006"/>
      <c r="IN397" s="996">
        <v>0</v>
      </c>
      <c r="IO397" s="1006"/>
      <c r="IP397" s="996">
        <v>0</v>
      </c>
      <c r="IQ397" s="1006" t="s">
        <v>223</v>
      </c>
      <c r="IR397" s="996">
        <v>-1.8818694400000027</v>
      </c>
      <c r="IS397" s="1006" t="s">
        <v>146</v>
      </c>
      <c r="IT397" s="996">
        <v>-4.4935000000000063</v>
      </c>
      <c r="IU397" s="1006" t="s">
        <v>146</v>
      </c>
      <c r="IV397" s="996">
        <v>-10.894584799999993</v>
      </c>
      <c r="IW397" s="1006" t="s">
        <v>199</v>
      </c>
      <c r="IX397" s="996">
        <v>3.2159247999999927</v>
      </c>
      <c r="IY397" s="1006" t="s">
        <v>1007</v>
      </c>
      <c r="IZ397" s="996">
        <v>-14.178559999999994</v>
      </c>
      <c r="JA397" s="1006"/>
      <c r="JB397" s="996">
        <v>0.35111999999999455</v>
      </c>
      <c r="JC397" s="1006"/>
      <c r="JD397" s="996">
        <v>0</v>
      </c>
      <c r="JE397" s="1006" t="s">
        <v>146</v>
      </c>
      <c r="JF397" s="996">
        <v>7.3654693200000096</v>
      </c>
      <c r="JG397" s="1006" t="s">
        <v>146</v>
      </c>
      <c r="JH397" s="996">
        <v>-10.151469320000004</v>
      </c>
      <c r="JI397" s="1006"/>
      <c r="JJ397" s="996">
        <v>0</v>
      </c>
      <c r="JK397" s="1007"/>
      <c r="JL397" s="1007">
        <v>0</v>
      </c>
      <c r="JM397" s="1007" t="s">
        <v>239</v>
      </c>
      <c r="JN397" s="1007">
        <v>6.8449848000000202</v>
      </c>
      <c r="JO397" s="1008"/>
      <c r="JP397" s="1007">
        <v>0</v>
      </c>
      <c r="JQ397" s="1008" t="s">
        <v>146</v>
      </c>
      <c r="JR397" s="1007">
        <v>3.0244373280000048</v>
      </c>
      <c r="JS397" s="1008" t="s">
        <v>1555</v>
      </c>
      <c r="JT397" s="1007">
        <v>12.983080000000001</v>
      </c>
      <c r="JU397" s="1008" t="s">
        <v>1555</v>
      </c>
      <c r="JV397" s="1007">
        <v>-25.598320000000015</v>
      </c>
      <c r="JW397" s="1008" t="s">
        <v>197</v>
      </c>
      <c r="JX397" s="1007">
        <v>0</v>
      </c>
      <c r="JY397" s="1008"/>
      <c r="JZ397" s="1007">
        <v>0</v>
      </c>
      <c r="KA397" s="1008" t="s">
        <v>204</v>
      </c>
      <c r="KB397" s="1007">
        <v>-9.0087359999999848</v>
      </c>
      <c r="KC397" s="1008" t="s">
        <v>259</v>
      </c>
      <c r="KD397" s="1007">
        <v>30.577536000000009</v>
      </c>
      <c r="KE397" s="1008"/>
      <c r="KF397" s="1007">
        <v>0</v>
      </c>
      <c r="KG397" s="1008" t="s">
        <v>204</v>
      </c>
      <c r="KH397" s="1007">
        <v>-0.16720000000000113</v>
      </c>
      <c r="KI397" s="1008" t="s">
        <v>1048</v>
      </c>
      <c r="KJ397" s="1007">
        <v>-6.5632687999999959</v>
      </c>
      <c r="KK397" s="1008" t="s">
        <v>207</v>
      </c>
      <c r="KL397" s="1007">
        <v>-11.14321120000001</v>
      </c>
      <c r="KM397" s="1008"/>
      <c r="KN397" s="1007">
        <v>0</v>
      </c>
      <c r="KO397" s="1008" t="s">
        <v>204</v>
      </c>
      <c r="KP397" s="1007">
        <v>-3.0430400000000049</v>
      </c>
      <c r="KQ397" s="1008" t="s">
        <v>259</v>
      </c>
      <c r="KR397" s="1007">
        <v>-3.6100486400000023</v>
      </c>
      <c r="KS397" s="1008">
        <v>0</v>
      </c>
      <c r="KT397" s="1007">
        <v>0</v>
      </c>
      <c r="KU397" s="1008" t="s">
        <v>199</v>
      </c>
      <c r="KV397" s="1007">
        <v>-6.5991833599999978</v>
      </c>
      <c r="KW397" s="1008">
        <v>0</v>
      </c>
      <c r="KX397" s="1007">
        <v>0</v>
      </c>
      <c r="KY397" s="1008" t="s">
        <v>146</v>
      </c>
      <c r="KZ397" s="1007">
        <v>-4.3538879999999835</v>
      </c>
      <c r="LA397" s="1008" t="s">
        <v>199</v>
      </c>
      <c r="LB397" s="1007">
        <v>32.721039999999981</v>
      </c>
      <c r="LC397" s="1008">
        <v>0</v>
      </c>
      <c r="LD397" s="1007">
        <v>0</v>
      </c>
      <c r="LE397" s="1008" t="s">
        <v>206</v>
      </c>
      <c r="LF397" s="1007">
        <v>-1.2539999999999978</v>
      </c>
      <c r="LG397" s="1008" t="s">
        <v>206</v>
      </c>
      <c r="LH397" s="1007">
        <v>8.9870000000000019</v>
      </c>
      <c r="LI397" s="1008" t="s">
        <v>349</v>
      </c>
      <c r="LJ397" s="1007">
        <v>-3.2792100000000062</v>
      </c>
      <c r="LK397" s="1008" t="s">
        <v>25</v>
      </c>
      <c r="LL397" s="1007">
        <v>41.944210000000005</v>
      </c>
      <c r="LM397" s="1008">
        <v>0</v>
      </c>
      <c r="LN397" s="1007">
        <v>0</v>
      </c>
      <c r="LO397" s="1008">
        <v>0</v>
      </c>
      <c r="LP397" s="1007">
        <v>0</v>
      </c>
      <c r="LQ397" s="1008">
        <v>0</v>
      </c>
      <c r="LR397" s="1007">
        <v>0</v>
      </c>
      <c r="LS397" s="1008">
        <v>0</v>
      </c>
      <c r="LT397" s="1007">
        <v>0</v>
      </c>
      <c r="LU397" s="1008">
        <v>0</v>
      </c>
      <c r="LV397" s="1007">
        <v>0</v>
      </c>
      <c r="LW397" s="1008">
        <v>0</v>
      </c>
      <c r="LX397" s="1007">
        <v>0</v>
      </c>
      <c r="LY397" s="1009">
        <v>0</v>
      </c>
      <c r="LZ397" s="1010">
        <v>0</v>
      </c>
      <c r="MA397" s="1011">
        <v>0</v>
      </c>
      <c r="MB397" s="1012">
        <v>0</v>
      </c>
      <c r="MC397" s="995"/>
      <c r="MD397" s="996"/>
      <c r="ME397" s="997" t="s">
        <v>220</v>
      </c>
      <c r="MF397" s="997"/>
      <c r="MG397" s="998"/>
      <c r="NR397" s="1000"/>
      <c r="NS397" s="1000"/>
      <c r="NT397" s="1001"/>
      <c r="NU397" s="1000"/>
      <c r="NV397" s="1001"/>
      <c r="NX397" s="1002"/>
      <c r="NZ397" s="1001"/>
      <c r="OA397" s="1001"/>
      <c r="OC397" s="1003"/>
      <c r="OD397" s="1003"/>
      <c r="OE397" s="1001"/>
      <c r="OF397" s="1003"/>
      <c r="OG397" s="1003"/>
      <c r="QX397" s="1000">
        <f>CN397-CA397</f>
        <v>40</v>
      </c>
      <c r="ASU397" s="999" t="s">
        <v>292</v>
      </c>
    </row>
    <row r="398" spans="1:466 1191:1191" ht="21" customHeight="1" x14ac:dyDescent="0.25">
      <c r="A398" s="982">
        <f t="shared" si="274"/>
        <v>1452</v>
      </c>
      <c r="B398" s="124">
        <f>SUBTOTAL(103,$J$29:J398)</f>
        <v>370</v>
      </c>
      <c r="C398" s="126">
        <v>45068</v>
      </c>
      <c r="D398" s="124" t="s">
        <v>176</v>
      </c>
      <c r="E398" s="127" t="s">
        <v>177</v>
      </c>
      <c r="F398" s="128" t="s">
        <v>177</v>
      </c>
      <c r="G398" s="127" t="s">
        <v>178</v>
      </c>
      <c r="H398" s="127" t="s">
        <v>179</v>
      </c>
      <c r="I398" s="127" t="s">
        <v>601</v>
      </c>
      <c r="J398" s="152">
        <v>1452</v>
      </c>
      <c r="K398" s="127" t="s">
        <v>1556</v>
      </c>
      <c r="L398" s="130">
        <v>43905</v>
      </c>
      <c r="M398" s="127" t="s">
        <v>230</v>
      </c>
      <c r="N398" s="127" t="s">
        <v>184</v>
      </c>
      <c r="O398" s="127" t="s">
        <v>185</v>
      </c>
      <c r="P398" s="127" t="s">
        <v>186</v>
      </c>
      <c r="Q398" s="85" t="str">
        <f t="shared" si="297"/>
        <v/>
      </c>
      <c r="R398" s="130"/>
      <c r="S398" s="128"/>
      <c r="T398" s="131"/>
      <c r="U398" s="132">
        <v>203</v>
      </c>
      <c r="V398" s="121">
        <v>218.2</v>
      </c>
      <c r="W398" s="116">
        <v>0.98</v>
      </c>
      <c r="X398" s="116">
        <v>1.66</v>
      </c>
      <c r="Y398" s="116">
        <f t="shared" si="299"/>
        <v>0.98</v>
      </c>
      <c r="Z398" s="133">
        <v>1.454</v>
      </c>
      <c r="AA398" s="133">
        <v>0.83599999999999997</v>
      </c>
      <c r="AB398" s="133">
        <v>0.72</v>
      </c>
      <c r="AC398" s="121">
        <v>34.299999999999997</v>
      </c>
      <c r="AD398" s="134">
        <v>1.17</v>
      </c>
      <c r="AE398" s="124">
        <v>177.8</v>
      </c>
      <c r="AF398" s="128">
        <v>9.19</v>
      </c>
      <c r="AG398" s="128">
        <v>2306</v>
      </c>
      <c r="AH398" s="127">
        <v>2404</v>
      </c>
      <c r="AI398" s="127">
        <v>2404</v>
      </c>
      <c r="AJ398" s="135">
        <v>44866</v>
      </c>
      <c r="AK398" s="128" t="s">
        <v>1018</v>
      </c>
      <c r="AL398" s="131" t="s">
        <v>1557</v>
      </c>
      <c r="AM398" s="124" t="s">
        <v>232</v>
      </c>
      <c r="AN398" s="136" t="s">
        <v>1558</v>
      </c>
      <c r="AO398" s="137">
        <v>369</v>
      </c>
      <c r="AP398" s="128">
        <v>2035</v>
      </c>
      <c r="AQ398" s="128">
        <v>339</v>
      </c>
      <c r="AR398" s="128"/>
      <c r="AS398" s="128"/>
      <c r="AT398" s="122"/>
      <c r="AU398" s="124" t="s">
        <v>189</v>
      </c>
      <c r="AV398" s="115">
        <f>VLOOKUP(J398,'[63]ТР нефть'!$J$28:$BP$638,39,0)</f>
        <v>446.00001386700001</v>
      </c>
      <c r="AW398" s="115" t="str">
        <f>VLOOKUP(J398,'[63]ТР нефть'!$J$28:$BP$638,40,0)</f>
        <v>ГП</v>
      </c>
      <c r="AX398" s="115">
        <f>VLOOKUP(J398,'[63]ТР нефть'!$J$28:$BP$638,41,0)</f>
        <v>880.00001601600002</v>
      </c>
      <c r="AY398" s="115" t="str">
        <f>VLOOKUP(J398,'[63]ТР нефть'!$J$28:$BP$638,42,0)</f>
        <v>ГП</v>
      </c>
      <c r="AZ398" s="115">
        <f>VLOOKUP(J398,'[63]ТР нефть'!$J$28:$BP$638,43,0)</f>
        <v>1324.999979297</v>
      </c>
      <c r="BA398" s="115" t="str">
        <f>VLOOKUP(J398,'[63]ТР нефть'!$J$28:$BP$638,44,0)</f>
        <v>ГП</v>
      </c>
      <c r="BB398" s="115">
        <f>VLOOKUP(J398,'[63]ТР нефть'!$J$28:$BP$638,45,0)</f>
        <v>1711.9999851560001</v>
      </c>
      <c r="BC398" s="115" t="str">
        <f>VLOOKUP(J398,'[63]ТР нефть'!$J$28:$BP$638,46,0)</f>
        <v>ГК90 5/32</v>
      </c>
      <c r="BD398" s="115">
        <f>VLOOKUP(J398,'[63]ТР нефть'!$J$28:$BP$638,47,0)</f>
        <v>2015.000057813</v>
      </c>
      <c r="BE398" s="115" t="str">
        <f>VLOOKUP(J398,'[63]ТР нефть'!$J$28:$BP$638,48,0)</f>
        <v>ЦКсОК 5/16</v>
      </c>
      <c r="BF398" s="115" t="str">
        <f>VLOOKUP(J398,'[63]ТР нефть'!$J$28:$BP$638,49,0)</f>
        <v>-</v>
      </c>
      <c r="BG398" s="115" t="str">
        <f>VLOOKUP(J398,'[63]ТР нефть'!$J$28:$BP$638,50,0)</f>
        <v>-</v>
      </c>
      <c r="BH398" s="115" t="str">
        <f>VLOOKUP(J398,'[63]ТР нефть'!$J$28:$BP$638,51,0)</f>
        <v>-</v>
      </c>
      <c r="BI398" s="115" t="str">
        <f>VLOOKUP(J398,'[63]ТР нефть'!$J$28:$BP$638,52,0)</f>
        <v>-</v>
      </c>
      <c r="BJ398" s="115" t="str">
        <f>IF(IFERROR(VLOOKUP(J398,'[63]ТР нефть'!$J$28:$BP$638,53,0),"-")=0,"-",IFERROR(VLOOKUP(J398,'[63]ТР нефть'!$J$28:$BP$638,53,0),"-"))</f>
        <v>-</v>
      </c>
      <c r="BK398" s="138" t="str">
        <f>IF(IFERROR(VLOOKUP(J398,'[63]ТР нефть'!$J$28:$BP$638,54,0),"-")=0,"-",IFERROR(VLOOKUP(J398,'[63]ТР нефть'!$J$28:$BP$638,54,0),"-"))</f>
        <v>-</v>
      </c>
      <c r="BL398" s="138" t="str">
        <f>IF(IFERROR(VLOOKUP(J398,'[63]ТР нефть'!$J$28:$BP$638,55,0),"-")=0,"-",IFERROR(VLOOKUP(J398,'[63]ТР нефть'!$J$28:$BP$638,55,0),"-"))</f>
        <v>-</v>
      </c>
      <c r="BM398" s="138" t="str">
        <f>IF(IFERROR(VLOOKUP(J398,'[63]ТР нефть'!$J$28:$BP$638,56,0),"-")=0,"-",IFERROR(VLOOKUP(J398,'[63]ТР нефть'!$J$28:$BP$638,56,0),"-"))</f>
        <v>-</v>
      </c>
      <c r="BN398" s="138" t="str">
        <f>IF(IFERROR(VLOOKUP(J398,'[63]ТР нефть'!$J$28:$BP$638,57,0),"-")=0,"-",IFERROR(VLOOKUP(J398,'[63]ТР нефть'!$J$28:$BP$638,57,0),"-"))</f>
        <v>-</v>
      </c>
      <c r="BO398" s="115" t="str">
        <f>IF(IFERROR(VLOOKUP(J398,'[63]ТР нефть'!$J$28:$BP$638,58,0),"-")=0,"-",IFERROR(VLOOKUP(J398,'[63]ТР нефть'!$J$28:$BP$638,58,0),"-"))</f>
        <v>-</v>
      </c>
      <c r="BP398" s="115" t="str">
        <f>IF(IFERROR(VLOOKUP(J398,'[63]ТР нефть'!$J$28:$BP$638,59,0),"-")=0,"-",IFERROR(VLOOKUP(J398,'[63]ТР нефть'!$J$28:$BP$638,59,0),"-"))</f>
        <v>-</v>
      </c>
      <c r="BQ398" s="138">
        <v>2260</v>
      </c>
      <c r="BR398" s="128">
        <v>2260</v>
      </c>
      <c r="BS398" s="115">
        <f t="shared" si="307"/>
        <v>0</v>
      </c>
      <c r="BT398" s="128">
        <v>73</v>
      </c>
      <c r="BU398" s="128">
        <v>5.5</v>
      </c>
      <c r="BV398" s="127">
        <v>65</v>
      </c>
      <c r="BW398" s="127"/>
      <c r="BX398" s="127" t="s">
        <v>195</v>
      </c>
      <c r="BY398" s="139">
        <v>24</v>
      </c>
      <c r="BZ398" s="139">
        <v>0</v>
      </c>
      <c r="CA398" s="80">
        <v>25</v>
      </c>
      <c r="CB398" s="138">
        <v>36</v>
      </c>
      <c r="CC398" s="138">
        <v>24</v>
      </c>
      <c r="CD398" s="135">
        <v>45017</v>
      </c>
      <c r="CE398" s="138">
        <v>168.4</v>
      </c>
      <c r="CF398" s="138">
        <v>76</v>
      </c>
      <c r="CG398" s="138" t="str">
        <f t="shared" si="310"/>
        <v>В работе</v>
      </c>
      <c r="CH398" s="138" t="s">
        <v>235</v>
      </c>
      <c r="CI398" s="127"/>
      <c r="CJ398" s="138"/>
      <c r="CK398" s="138">
        <f t="shared" si="308"/>
        <v>15</v>
      </c>
      <c r="CL398" s="99"/>
      <c r="CM398" s="99"/>
      <c r="CN398" s="140">
        <v>40</v>
      </c>
      <c r="CO398" s="141">
        <f t="shared" si="276"/>
        <v>1.6719999999999999</v>
      </c>
      <c r="CP398" s="142">
        <v>2</v>
      </c>
      <c r="CQ398" s="143">
        <v>0</v>
      </c>
      <c r="CR398" s="138">
        <v>14</v>
      </c>
      <c r="CS398" s="139">
        <v>9.6</v>
      </c>
      <c r="CT398" s="138"/>
      <c r="CU398" s="138">
        <f t="shared" si="277"/>
        <v>4.4000000000000004</v>
      </c>
      <c r="CV398" s="115">
        <f t="shared" si="278"/>
        <v>2631.5789473684213</v>
      </c>
      <c r="CW398" s="115">
        <f t="shared" si="279"/>
        <v>5741.6267942583727</v>
      </c>
      <c r="CX398" s="133">
        <f t="shared" si="280"/>
        <v>1.5576323987538941E-2</v>
      </c>
      <c r="CY398" s="116"/>
      <c r="CZ398" s="131"/>
      <c r="DA398" s="145" t="str">
        <f t="shared" si="281"/>
        <v>Газлифт</v>
      </c>
      <c r="DB398" s="146">
        <f t="shared" si="282"/>
        <v>1.6719999999999999</v>
      </c>
      <c r="DC398" s="142">
        <f t="shared" si="302"/>
        <v>2</v>
      </c>
      <c r="DD398" s="119">
        <f t="shared" si="303"/>
        <v>0</v>
      </c>
      <c r="DE398" s="115">
        <f t="shared" si="283"/>
        <v>4.4000000000000004</v>
      </c>
      <c r="DF398" s="121">
        <f t="shared" si="284"/>
        <v>9.6</v>
      </c>
      <c r="DG398" s="115">
        <f t="shared" si="285"/>
        <v>2631.5789473684213</v>
      </c>
      <c r="DH398" s="115">
        <f t="shared" si="286"/>
        <v>40</v>
      </c>
      <c r="DI398" s="147"/>
      <c r="DJ398" s="111"/>
      <c r="DK398" s="112"/>
      <c r="DL398" s="113"/>
      <c r="DM398" s="114"/>
      <c r="DN398" s="114"/>
      <c r="DO398" s="114"/>
      <c r="DP398" s="114"/>
      <c r="DQ398" s="112"/>
      <c r="DR398" s="114"/>
      <c r="DS398" s="114"/>
      <c r="DT398" s="115"/>
      <c r="DU398" s="116"/>
      <c r="DV398" s="117"/>
      <c r="DW398" s="118"/>
      <c r="DX398" s="119">
        <f t="shared" si="287"/>
        <v>0</v>
      </c>
      <c r="DY398" s="115"/>
      <c r="DZ398" s="117"/>
      <c r="EA398" s="120"/>
      <c r="EB398" s="119">
        <f t="shared" si="264"/>
        <v>0</v>
      </c>
      <c r="EC398" s="121"/>
      <c r="ED398" s="122"/>
      <c r="EE398" s="145">
        <v>65</v>
      </c>
      <c r="EF398" s="148">
        <v>25</v>
      </c>
      <c r="EG398" s="115">
        <v>36</v>
      </c>
      <c r="EH398" s="115">
        <v>24</v>
      </c>
      <c r="EI398" s="128" t="s">
        <v>195</v>
      </c>
      <c r="EJ398" s="121">
        <v>24</v>
      </c>
      <c r="EK398" s="121">
        <v>0</v>
      </c>
      <c r="EL398" s="149">
        <v>1.6719999999999999</v>
      </c>
      <c r="EM398" s="142">
        <v>2</v>
      </c>
      <c r="EN398" s="119">
        <v>0</v>
      </c>
      <c r="EO398" s="115">
        <v>14</v>
      </c>
      <c r="EP398" s="115">
        <v>2631.5789473684213</v>
      </c>
      <c r="EQ398" s="115">
        <v>76</v>
      </c>
      <c r="ER398" s="115">
        <v>9.6</v>
      </c>
      <c r="ES398" s="115">
        <v>40</v>
      </c>
      <c r="ET398" s="150">
        <v>1.5576323987538941E-2</v>
      </c>
      <c r="EU398" s="145">
        <f t="shared" si="288"/>
        <v>65</v>
      </c>
      <c r="EV398" s="115">
        <f t="shared" si="289"/>
        <v>25</v>
      </c>
      <c r="EW398" s="115">
        <f t="shared" si="289"/>
        <v>36</v>
      </c>
      <c r="EX398" s="115">
        <f t="shared" si="289"/>
        <v>24</v>
      </c>
      <c r="EY398" s="115" t="str">
        <f t="shared" si="309"/>
        <v>Постоянный</v>
      </c>
      <c r="EZ398" s="115">
        <f t="shared" si="309"/>
        <v>24</v>
      </c>
      <c r="FA398" s="115">
        <f t="shared" si="309"/>
        <v>0</v>
      </c>
      <c r="FB398" s="149">
        <f t="shared" si="298"/>
        <v>1.6719999999999999</v>
      </c>
      <c r="FC398" s="142">
        <f t="shared" si="298"/>
        <v>2</v>
      </c>
      <c r="FD398" s="119">
        <f t="shared" si="298"/>
        <v>0</v>
      </c>
      <c r="FE398" s="121">
        <f t="shared" si="298"/>
        <v>14</v>
      </c>
      <c r="FF398" s="121">
        <f t="shared" si="300"/>
        <v>2631.5789473684213</v>
      </c>
      <c r="FG398" s="121">
        <f t="shared" si="290"/>
        <v>76</v>
      </c>
      <c r="FH398" s="121">
        <f t="shared" si="301"/>
        <v>9.6</v>
      </c>
      <c r="FI398" s="121">
        <f t="shared" si="306"/>
        <v>40</v>
      </c>
      <c r="FJ398" s="144">
        <f t="shared" si="291"/>
        <v>1.5576323987538941E-2</v>
      </c>
      <c r="FK398" s="132">
        <f t="shared" si="292"/>
        <v>0</v>
      </c>
      <c r="FL398" s="115">
        <f t="shared" si="292"/>
        <v>0</v>
      </c>
      <c r="FM398" s="115">
        <f t="shared" si="292"/>
        <v>0</v>
      </c>
      <c r="FN398" s="115">
        <f t="shared" si="273"/>
        <v>0</v>
      </c>
      <c r="FO398" s="115">
        <f t="shared" si="311"/>
        <v>0</v>
      </c>
      <c r="FP398" s="115">
        <f t="shared" si="311"/>
        <v>0</v>
      </c>
      <c r="FQ398" s="149">
        <f t="shared" si="311"/>
        <v>0</v>
      </c>
      <c r="FR398" s="142">
        <f t="shared" si="311"/>
        <v>0</v>
      </c>
      <c r="FS398" s="119">
        <f t="shared" si="311"/>
        <v>0</v>
      </c>
      <c r="FT398" s="121">
        <f t="shared" si="311"/>
        <v>0</v>
      </c>
      <c r="FU398" s="121">
        <f t="shared" si="293"/>
        <v>0</v>
      </c>
      <c r="FV398" s="121">
        <f t="shared" si="293"/>
        <v>0</v>
      </c>
      <c r="FW398" s="121">
        <f t="shared" si="294"/>
        <v>0</v>
      </c>
      <c r="FX398" s="121">
        <f t="shared" si="295"/>
        <v>0</v>
      </c>
      <c r="FY398" s="144">
        <f t="shared" si="295"/>
        <v>0</v>
      </c>
      <c r="FZ398" s="145"/>
      <c r="GA398" s="151"/>
      <c r="GB398" s="145" t="s">
        <v>203</v>
      </c>
      <c r="GC398" s="151" t="s">
        <v>1559</v>
      </c>
      <c r="GD398" s="997" t="s">
        <v>220</v>
      </c>
      <c r="GE398" s="1004" t="s">
        <v>203</v>
      </c>
      <c r="GF398" s="1004">
        <v>-4.7652000000000001</v>
      </c>
      <c r="GG398" s="1004"/>
      <c r="GH398" s="1004">
        <v>0</v>
      </c>
      <c r="GI398" s="145" t="s">
        <v>203</v>
      </c>
      <c r="GJ398" s="996">
        <v>-4.6319833999999984</v>
      </c>
      <c r="GK398" s="145"/>
      <c r="GL398" s="996">
        <v>0</v>
      </c>
      <c r="GM398" s="1005"/>
      <c r="GN398" s="996"/>
      <c r="GO398" s="1006"/>
      <c r="GP398" s="996"/>
      <c r="GQ398" s="1006"/>
      <c r="GR398" s="996"/>
      <c r="GS398" s="1006"/>
      <c r="GT398" s="996"/>
      <c r="GU398" s="1006"/>
      <c r="GV398" s="996"/>
      <c r="GW398" s="1006"/>
      <c r="GX398" s="996"/>
      <c r="GY398" s="1006"/>
      <c r="GZ398" s="996"/>
      <c r="HA398" s="1006"/>
      <c r="HB398" s="996"/>
      <c r="HC398" s="1006"/>
      <c r="HD398" s="996"/>
      <c r="HE398" s="1006"/>
      <c r="HF398" s="996"/>
      <c r="HG398" s="1006"/>
      <c r="HH398" s="996"/>
      <c r="HI398" s="1006"/>
      <c r="HJ398" s="996"/>
      <c r="HK398" s="1006"/>
      <c r="HL398" s="996"/>
      <c r="HM398" s="1006"/>
      <c r="HN398" s="996"/>
      <c r="HO398" s="1006"/>
      <c r="HP398" s="996"/>
      <c r="HQ398" s="1006"/>
      <c r="HR398" s="996"/>
      <c r="HS398" s="1006"/>
      <c r="HT398" s="996"/>
      <c r="HU398" s="1006"/>
      <c r="HV398" s="996"/>
      <c r="HW398" s="1006"/>
      <c r="HX398" s="996"/>
      <c r="HY398" s="1006"/>
      <c r="HZ398" s="996"/>
      <c r="IA398" s="1006"/>
      <c r="IB398" s="996"/>
      <c r="IC398" s="1006"/>
      <c r="ID398" s="996"/>
      <c r="IE398" s="1006"/>
      <c r="IF398" s="996"/>
      <c r="IG398" s="1006"/>
      <c r="IH398" s="996"/>
      <c r="II398" s="1006"/>
      <c r="IJ398" s="996"/>
      <c r="IK398" s="1006"/>
      <c r="IL398" s="996"/>
      <c r="IM398" s="1006"/>
      <c r="IN398" s="996"/>
      <c r="IO398" s="1006"/>
      <c r="IP398" s="996"/>
      <c r="IQ398" s="1006"/>
      <c r="IR398" s="996"/>
      <c r="IS398" s="1006"/>
      <c r="IT398" s="996"/>
      <c r="IU398" s="1006"/>
      <c r="IV398" s="996"/>
      <c r="IW398" s="1006"/>
      <c r="IX398" s="996"/>
      <c r="IY398" s="1006"/>
      <c r="IZ398" s="996"/>
      <c r="JA398" s="1006"/>
      <c r="JB398" s="996"/>
      <c r="JC398" s="1006"/>
      <c r="JD398" s="996"/>
      <c r="JE398" s="1006"/>
      <c r="JF398" s="996"/>
      <c r="JG398" s="1006"/>
      <c r="JH398" s="996"/>
      <c r="JI398" s="1006"/>
      <c r="JJ398" s="996"/>
      <c r="JK398" s="1007"/>
      <c r="JL398" s="1007"/>
      <c r="JM398" s="1007"/>
      <c r="JN398" s="1007"/>
      <c r="JO398" s="1008"/>
      <c r="JP398" s="1007"/>
      <c r="JQ398" s="1008"/>
      <c r="JR398" s="1007"/>
      <c r="JS398" s="1008"/>
      <c r="JT398" s="1007"/>
      <c r="JU398" s="1008"/>
      <c r="JV398" s="1007"/>
      <c r="JW398" s="1008"/>
      <c r="JX398" s="1007"/>
      <c r="JY398" s="1008"/>
      <c r="JZ398" s="1007"/>
      <c r="KA398" s="1008"/>
      <c r="KB398" s="1007"/>
      <c r="KC398" s="1008"/>
      <c r="KD398" s="1007"/>
      <c r="KE398" s="1008"/>
      <c r="KF398" s="1007"/>
      <c r="KG398" s="1008"/>
      <c r="KH398" s="1007"/>
      <c r="KI398" s="1008"/>
      <c r="KJ398" s="1007"/>
      <c r="KK398" s="1008"/>
      <c r="KL398" s="1007"/>
      <c r="KM398" s="1008"/>
      <c r="KN398" s="1007"/>
      <c r="KO398" s="1008"/>
      <c r="KP398" s="1007"/>
      <c r="KQ398" s="1008"/>
      <c r="KR398" s="1007"/>
      <c r="KS398" s="1008"/>
      <c r="KT398" s="1007"/>
      <c r="KU398" s="1008"/>
      <c r="KV398" s="1007"/>
      <c r="KW398" s="1008"/>
      <c r="KX398" s="1007"/>
      <c r="KY398" s="1008"/>
      <c r="KZ398" s="1007"/>
      <c r="LA398" s="1008"/>
      <c r="LB398" s="1007"/>
      <c r="LC398" s="1008"/>
      <c r="LD398" s="1007"/>
      <c r="LE398" s="1008"/>
      <c r="LF398" s="1007"/>
      <c r="LG398" s="1008"/>
      <c r="LH398" s="1007"/>
      <c r="LI398" s="1008"/>
      <c r="LJ398" s="1007"/>
      <c r="LK398" s="1008"/>
      <c r="LL398" s="1007"/>
      <c r="LM398" s="1008"/>
      <c r="LN398" s="1007"/>
      <c r="LO398" s="1008"/>
      <c r="LP398" s="1007"/>
      <c r="LQ398" s="1008"/>
      <c r="LR398" s="1007"/>
      <c r="LS398" s="1008"/>
      <c r="LT398" s="1007"/>
      <c r="LU398" s="1008"/>
      <c r="LV398" s="1007"/>
      <c r="LW398" s="1008"/>
      <c r="LX398" s="1007"/>
      <c r="LY398" s="1009"/>
      <c r="LZ398" s="1010"/>
      <c r="MA398" s="1011"/>
      <c r="MB398" s="1012"/>
      <c r="MC398" s="995"/>
      <c r="MD398" s="996"/>
      <c r="ME398" s="997" t="s">
        <v>220</v>
      </c>
      <c r="MF398" s="997"/>
      <c r="MG398" s="998"/>
      <c r="NR398" s="1000"/>
      <c r="NS398" s="1000"/>
      <c r="NT398" s="1001"/>
      <c r="NU398" s="1000"/>
      <c r="NV398" s="1001"/>
      <c r="NX398" s="1002"/>
      <c r="NZ398" s="1001"/>
      <c r="OA398" s="1001"/>
      <c r="OC398" s="1003"/>
      <c r="OD398" s="1003"/>
      <c r="OE398" s="1001"/>
      <c r="OF398" s="1003"/>
      <c r="OG398" s="1003"/>
      <c r="QX398" s="1000">
        <f>CN398-CA398</f>
        <v>15</v>
      </c>
    </row>
    <row r="399" spans="1:466 1191:1191" ht="21" customHeight="1" x14ac:dyDescent="0.25">
      <c r="A399" s="982">
        <f t="shared" si="274"/>
        <v>1459</v>
      </c>
      <c r="B399" s="124">
        <f>SUBTOTAL(103,$J$29:J399)</f>
        <v>371</v>
      </c>
      <c r="C399" s="126">
        <v>45068</v>
      </c>
      <c r="D399" s="124" t="s">
        <v>176</v>
      </c>
      <c r="E399" s="127" t="s">
        <v>177</v>
      </c>
      <c r="F399" s="128" t="s">
        <v>177</v>
      </c>
      <c r="G399" s="127" t="s">
        <v>178</v>
      </c>
      <c r="H399" s="127" t="s">
        <v>179</v>
      </c>
      <c r="I399" s="127" t="s">
        <v>1249</v>
      </c>
      <c r="J399" s="152">
        <v>1459</v>
      </c>
      <c r="K399" s="127" t="s">
        <v>1403</v>
      </c>
      <c r="L399" s="130">
        <v>43875</v>
      </c>
      <c r="M399" s="127" t="s">
        <v>230</v>
      </c>
      <c r="N399" s="127" t="s">
        <v>245</v>
      </c>
      <c r="O399" s="127" t="s">
        <v>185</v>
      </c>
      <c r="P399" s="127" t="s">
        <v>186</v>
      </c>
      <c r="Q399" s="85" t="str">
        <f t="shared" si="297"/>
        <v/>
      </c>
      <c r="R399" s="130"/>
      <c r="S399" s="128"/>
      <c r="T399" s="131"/>
      <c r="U399" s="132">
        <v>203</v>
      </c>
      <c r="V399" s="121">
        <v>218.2</v>
      </c>
      <c r="W399" s="116">
        <v>0.98</v>
      </c>
      <c r="X399" s="116">
        <v>1.66</v>
      </c>
      <c r="Y399" s="116">
        <f t="shared" si="299"/>
        <v>0.98</v>
      </c>
      <c r="Z399" s="133">
        <v>1.454</v>
      </c>
      <c r="AA399" s="133">
        <v>0.83599999999999997</v>
      </c>
      <c r="AB399" s="133">
        <v>0.72</v>
      </c>
      <c r="AC399" s="121">
        <v>34.299999999999997</v>
      </c>
      <c r="AD399" s="134">
        <v>1.17</v>
      </c>
      <c r="AE399" s="124">
        <v>177.8</v>
      </c>
      <c r="AF399" s="128">
        <v>9.19</v>
      </c>
      <c r="AG399" s="128">
        <v>2140.3000000000002</v>
      </c>
      <c r="AH399" s="127">
        <v>2748</v>
      </c>
      <c r="AI399" s="127">
        <v>2748</v>
      </c>
      <c r="AJ399" s="135"/>
      <c r="AK399" s="128"/>
      <c r="AL399" s="131"/>
      <c r="AM399" s="124" t="s">
        <v>232</v>
      </c>
      <c r="AN399" s="136" t="s">
        <v>1560</v>
      </c>
      <c r="AO399" s="137">
        <v>70</v>
      </c>
      <c r="AP399" s="128">
        <v>2140.3000000000002</v>
      </c>
      <c r="AQ399" s="128">
        <v>297.60000000000002</v>
      </c>
      <c r="AR399" s="128"/>
      <c r="AS399" s="128"/>
      <c r="AT399" s="122"/>
      <c r="AU399" s="124" t="s">
        <v>189</v>
      </c>
      <c r="AV399" s="115">
        <f>VLOOKUP(J399,'[63]ТР нефть'!$J$28:$BP$638,39,0)</f>
        <v>470.00000009799999</v>
      </c>
      <c r="AW399" s="115" t="str">
        <f>VLOOKUP(J399,'[63]ТР нефть'!$J$28:$BP$638,40,0)</f>
        <v>ГП</v>
      </c>
      <c r="AX399" s="115">
        <f>VLOOKUP(J399,'[63]ТР нефть'!$J$28:$BP$638,41,0)</f>
        <v>903.99996503900002</v>
      </c>
      <c r="AY399" s="115" t="str">
        <f>VLOOKUP(J399,'[63]ТР нефть'!$J$28:$BP$638,42,0)</f>
        <v>ГП</v>
      </c>
      <c r="AZ399" s="115">
        <f>VLOOKUP(J399,'[63]ТР нефть'!$J$28:$BP$638,43,0)</f>
        <v>1250.9999566409999</v>
      </c>
      <c r="BA399" s="115" t="str">
        <f>VLOOKUP(J399,'[63]ТР нефть'!$J$28:$BP$638,44,0)</f>
        <v>ГП</v>
      </c>
      <c r="BB399" s="115">
        <f>VLOOKUP(J399,'[63]ТР нефть'!$J$28:$BP$638,45,0)</f>
        <v>1526.999928516</v>
      </c>
      <c r="BC399" s="115" t="str">
        <f>VLOOKUP(J399,'[63]ТР нефть'!$J$28:$BP$638,46,0)</f>
        <v>ГП</v>
      </c>
      <c r="BD399" s="115">
        <f>VLOOKUP(J399,'[63]ТР нефть'!$J$28:$BP$638,47,0)</f>
        <v>1812.9999597660001</v>
      </c>
      <c r="BE399" s="115" t="str">
        <f>VLOOKUP(J399,'[63]ТР нефть'!$J$28:$BP$638,48,0)</f>
        <v>ЦКсОК 5/16</v>
      </c>
      <c r="BF399" s="115" t="str">
        <f>VLOOKUP(J399,'[63]ТР нефть'!$J$28:$BP$638,49,0)</f>
        <v>-</v>
      </c>
      <c r="BG399" s="115" t="str">
        <f>VLOOKUP(J399,'[63]ТР нефть'!$J$28:$BP$638,50,0)</f>
        <v>-</v>
      </c>
      <c r="BH399" s="115" t="str">
        <f>VLOOKUP(J399,'[63]ТР нефть'!$J$28:$BP$638,51,0)</f>
        <v>-</v>
      </c>
      <c r="BI399" s="115" t="str">
        <f>VLOOKUP(J399,'[63]ТР нефть'!$J$28:$BP$638,52,0)</f>
        <v>-</v>
      </c>
      <c r="BJ399" s="115" t="str">
        <f>IF(IFERROR(VLOOKUP(J399,'[63]ТР нефть'!$J$28:$BP$638,53,0),"-")=0,"-",IFERROR(VLOOKUP(J399,'[63]ТР нефть'!$J$28:$BP$638,53,0),"-"))</f>
        <v>-</v>
      </c>
      <c r="BK399" s="138" t="str">
        <f>IF(IFERROR(VLOOKUP(J399,'[63]ТР нефть'!$J$28:$BP$638,54,0),"-")=0,"-",IFERROR(VLOOKUP(J399,'[63]ТР нефть'!$J$28:$BP$638,54,0),"-"))</f>
        <v>-</v>
      </c>
      <c r="BL399" s="138" t="str">
        <f>IF(IFERROR(VLOOKUP(J399,'[63]ТР нефть'!$J$28:$BP$638,55,0),"-")=0,"-",IFERROR(VLOOKUP(J399,'[63]ТР нефть'!$J$28:$BP$638,55,0),"-"))</f>
        <v>-</v>
      </c>
      <c r="BM399" s="138" t="str">
        <f>IF(IFERROR(VLOOKUP(J399,'[63]ТР нефть'!$J$28:$BP$638,56,0),"-")=0,"-",IFERROR(VLOOKUP(J399,'[63]ТР нефть'!$J$28:$BP$638,56,0),"-"))</f>
        <v>-</v>
      </c>
      <c r="BN399" s="138" t="str">
        <f>IF(IFERROR(VLOOKUP(J399,'[63]ТР нефть'!$J$28:$BP$638,57,0),"-")=0,"-",IFERROR(VLOOKUP(J399,'[63]ТР нефть'!$J$28:$BP$638,57,0),"-"))</f>
        <v>-</v>
      </c>
      <c r="BO399" s="115" t="str">
        <f>IF(IFERROR(VLOOKUP(J399,'[63]ТР нефть'!$J$28:$BP$638,58,0),"-")=0,"-",IFERROR(VLOOKUP(J399,'[63]ТР нефть'!$J$28:$BP$638,58,0),"-"))</f>
        <v>-</v>
      </c>
      <c r="BP399" s="115" t="str">
        <f>IF(IFERROR(VLOOKUP(J399,'[63]ТР нефть'!$J$28:$BP$638,59,0),"-")=0,"-",IFERROR(VLOOKUP(J399,'[63]ТР нефть'!$J$28:$BP$638,59,0),"-"))</f>
        <v>-</v>
      </c>
      <c r="BQ399" s="138">
        <v>2000</v>
      </c>
      <c r="BR399" s="128">
        <v>1799</v>
      </c>
      <c r="BS399" s="115">
        <f t="shared" si="307"/>
        <v>201</v>
      </c>
      <c r="BT399" s="128">
        <v>73</v>
      </c>
      <c r="BU399" s="128">
        <v>5.5</v>
      </c>
      <c r="BV399" s="127">
        <v>18</v>
      </c>
      <c r="BW399" s="127" t="s">
        <v>217</v>
      </c>
      <c r="BX399" s="127" t="s">
        <v>195</v>
      </c>
      <c r="BY399" s="139">
        <v>24</v>
      </c>
      <c r="BZ399" s="139">
        <v>0</v>
      </c>
      <c r="CA399" s="80">
        <v>25</v>
      </c>
      <c r="CB399" s="138">
        <v>40</v>
      </c>
      <c r="CC399" s="138">
        <v>24</v>
      </c>
      <c r="CD399" s="135">
        <v>45017</v>
      </c>
      <c r="CE399" s="138">
        <v>77</v>
      </c>
      <c r="CF399" s="138">
        <v>74</v>
      </c>
      <c r="CG399" s="138" t="s">
        <v>186</v>
      </c>
      <c r="CH399" s="138" t="s">
        <v>235</v>
      </c>
      <c r="CI399" s="127"/>
      <c r="CJ399" s="138"/>
      <c r="CK399" s="138">
        <f t="shared" si="308"/>
        <v>17</v>
      </c>
      <c r="CL399" s="99"/>
      <c r="CM399" s="99"/>
      <c r="CN399" s="140">
        <v>42</v>
      </c>
      <c r="CO399" s="141">
        <f t="shared" si="276"/>
        <v>15.048</v>
      </c>
      <c r="CP399" s="142">
        <v>18</v>
      </c>
      <c r="CQ399" s="143">
        <v>0</v>
      </c>
      <c r="CR399" s="138">
        <v>17</v>
      </c>
      <c r="CS399" s="139">
        <v>11</v>
      </c>
      <c r="CT399" s="138"/>
      <c r="CU399" s="138">
        <f t="shared" si="277"/>
        <v>6</v>
      </c>
      <c r="CV399" s="115">
        <f t="shared" si="278"/>
        <v>398.72408293460927</v>
      </c>
      <c r="CW399" s="115">
        <f t="shared" si="279"/>
        <v>730.9941520467836</v>
      </c>
      <c r="CX399" s="133">
        <f t="shared" si="280"/>
        <v>0.51428571428571423</v>
      </c>
      <c r="CY399" s="116"/>
      <c r="CZ399" s="131"/>
      <c r="DA399" s="145" t="str">
        <f t="shared" si="281"/>
        <v>Газлифт</v>
      </c>
      <c r="DB399" s="146">
        <f t="shared" si="282"/>
        <v>15.048</v>
      </c>
      <c r="DC399" s="142">
        <f t="shared" si="302"/>
        <v>18</v>
      </c>
      <c r="DD399" s="119">
        <f t="shared" si="303"/>
        <v>0</v>
      </c>
      <c r="DE399" s="115">
        <f t="shared" si="283"/>
        <v>6</v>
      </c>
      <c r="DF399" s="121">
        <f t="shared" si="284"/>
        <v>11</v>
      </c>
      <c r="DG399" s="115">
        <f t="shared" si="285"/>
        <v>398.72408293460927</v>
      </c>
      <c r="DH399" s="115">
        <f t="shared" si="286"/>
        <v>42</v>
      </c>
      <c r="DI399" s="147"/>
      <c r="DJ399" s="111">
        <v>44058</v>
      </c>
      <c r="DK399" s="112">
        <v>43875</v>
      </c>
      <c r="DL399" s="113">
        <f t="shared" ref="DL399:DL462" ca="1" si="312">TODAY()-DK399</f>
        <v>1229</v>
      </c>
      <c r="DM399" s="114"/>
      <c r="DN399" s="114"/>
      <c r="DO399" s="114"/>
      <c r="DP399" s="114"/>
      <c r="DQ399" s="112"/>
      <c r="DR399" s="114"/>
      <c r="DS399" s="114"/>
      <c r="DT399" s="115">
        <v>60</v>
      </c>
      <c r="DU399" s="116">
        <f t="shared" ref="DU399:DU462" si="313">DW399/(CE399-DT399)</f>
        <v>1.0588235294117647</v>
      </c>
      <c r="DV399" s="117">
        <f t="shared" ref="DV399:DV462" si="314">DW399*(1-DX399/100)*$AA399</f>
        <v>15.048</v>
      </c>
      <c r="DW399" s="118">
        <f t="shared" ref="DW399:DW462" si="315">IF(DT399&lt;CN399,IF(MQ399=1,CP399,(1-0.2*(DT399/CE399)-0.8*(DT399/CE399)^2)*(CP399/(1-0.2*(CN399/CE399)-0.8*(CN399/CE399)^2))),CP399)</f>
        <v>18</v>
      </c>
      <c r="DX399" s="119">
        <f t="shared" si="287"/>
        <v>0</v>
      </c>
      <c r="DY399" s="115">
        <f t="shared" ref="DY399:DY462" si="316">(CV399*DV399)/1000</f>
        <v>6</v>
      </c>
      <c r="DZ399" s="117">
        <f t="shared" ref="DZ399:EB430" si="317">DV399-CO399</f>
        <v>0</v>
      </c>
      <c r="EA399" s="120">
        <f t="shared" si="317"/>
        <v>0</v>
      </c>
      <c r="EB399" s="119">
        <f t="shared" si="264"/>
        <v>0</v>
      </c>
      <c r="EC399" s="121">
        <f t="shared" ref="EC399:EC462" si="318">DY399-CU399</f>
        <v>0</v>
      </c>
      <c r="ED399" s="122"/>
      <c r="EE399" s="145">
        <v>18</v>
      </c>
      <c r="EF399" s="148">
        <v>25</v>
      </c>
      <c r="EG399" s="115">
        <v>42</v>
      </c>
      <c r="EH399" s="115">
        <v>24</v>
      </c>
      <c r="EI399" s="128" t="s">
        <v>195</v>
      </c>
      <c r="EJ399" s="121">
        <v>24</v>
      </c>
      <c r="EK399" s="121">
        <v>0</v>
      </c>
      <c r="EL399" s="149">
        <v>14.212</v>
      </c>
      <c r="EM399" s="142">
        <v>17</v>
      </c>
      <c r="EN399" s="119">
        <v>0</v>
      </c>
      <c r="EO399" s="115">
        <v>19</v>
      </c>
      <c r="EP399" s="115">
        <v>914.71995496763304</v>
      </c>
      <c r="EQ399" s="115">
        <v>74</v>
      </c>
      <c r="ER399" s="115">
        <v>6</v>
      </c>
      <c r="ES399" s="115">
        <v>42</v>
      </c>
      <c r="ET399" s="150">
        <v>0.48571428571428571</v>
      </c>
      <c r="EU399" s="145">
        <f t="shared" si="288"/>
        <v>18</v>
      </c>
      <c r="EV399" s="115">
        <f t="shared" si="289"/>
        <v>25</v>
      </c>
      <c r="EW399" s="115">
        <f t="shared" si="289"/>
        <v>40</v>
      </c>
      <c r="EX399" s="115">
        <f t="shared" si="289"/>
        <v>24</v>
      </c>
      <c r="EY399" s="115" t="str">
        <f t="shared" si="309"/>
        <v>Постоянный</v>
      </c>
      <c r="EZ399" s="115">
        <f t="shared" si="309"/>
        <v>24</v>
      </c>
      <c r="FA399" s="115">
        <f t="shared" si="309"/>
        <v>0</v>
      </c>
      <c r="FB399" s="149">
        <f t="shared" si="298"/>
        <v>15.048</v>
      </c>
      <c r="FC399" s="142">
        <f t="shared" si="298"/>
        <v>18</v>
      </c>
      <c r="FD399" s="119">
        <f t="shared" si="298"/>
        <v>0</v>
      </c>
      <c r="FE399" s="121">
        <f t="shared" si="298"/>
        <v>17</v>
      </c>
      <c r="FF399" s="121">
        <f t="shared" si="300"/>
        <v>398.72408293460927</v>
      </c>
      <c r="FG399" s="121">
        <f t="shared" si="290"/>
        <v>74</v>
      </c>
      <c r="FH399" s="121">
        <f t="shared" si="301"/>
        <v>11</v>
      </c>
      <c r="FI399" s="121">
        <f t="shared" si="306"/>
        <v>42</v>
      </c>
      <c r="FJ399" s="144">
        <f t="shared" si="291"/>
        <v>0.51428571428571423</v>
      </c>
      <c r="FK399" s="132">
        <f t="shared" si="292"/>
        <v>0</v>
      </c>
      <c r="FL399" s="115">
        <f t="shared" si="292"/>
        <v>0</v>
      </c>
      <c r="FM399" s="115">
        <f t="shared" si="292"/>
        <v>-2</v>
      </c>
      <c r="FN399" s="115">
        <f t="shared" si="273"/>
        <v>0</v>
      </c>
      <c r="FO399" s="115">
        <f t="shared" si="311"/>
        <v>0</v>
      </c>
      <c r="FP399" s="115">
        <f t="shared" si="311"/>
        <v>0</v>
      </c>
      <c r="FQ399" s="149">
        <f t="shared" si="311"/>
        <v>0.8360000000000003</v>
      </c>
      <c r="FR399" s="142">
        <f t="shared" si="311"/>
        <v>1</v>
      </c>
      <c r="FS399" s="119">
        <f t="shared" si="311"/>
        <v>0</v>
      </c>
      <c r="FT399" s="121">
        <f t="shared" si="311"/>
        <v>-2</v>
      </c>
      <c r="FU399" s="121">
        <f t="shared" si="293"/>
        <v>0</v>
      </c>
      <c r="FV399" s="121">
        <f t="shared" si="293"/>
        <v>5</v>
      </c>
      <c r="FW399" s="121">
        <f t="shared" si="294"/>
        <v>-515.99587203302372</v>
      </c>
      <c r="FX399" s="121">
        <f t="shared" si="295"/>
        <v>0</v>
      </c>
      <c r="FY399" s="144">
        <f t="shared" si="295"/>
        <v>2.8571428571428525E-2</v>
      </c>
      <c r="FZ399" s="145"/>
      <c r="GA399" s="151"/>
      <c r="GB399" s="145" t="s">
        <v>204</v>
      </c>
      <c r="GC399" s="151" t="s">
        <v>219</v>
      </c>
      <c r="GD399" s="997" t="s">
        <v>220</v>
      </c>
      <c r="GE399" s="1004" t="s">
        <v>204</v>
      </c>
      <c r="GF399" s="1004">
        <v>1.6720000000000006</v>
      </c>
      <c r="GG399" s="1004"/>
      <c r="GH399" s="1004">
        <v>0</v>
      </c>
      <c r="GI399" s="145"/>
      <c r="GJ399" s="996">
        <v>0</v>
      </c>
      <c r="GK399" s="145"/>
      <c r="GL399" s="996">
        <v>0</v>
      </c>
      <c r="GM399" s="1005"/>
      <c r="GN399" s="996">
        <v>-0.8360000000000003</v>
      </c>
      <c r="GO399" s="1006"/>
      <c r="GP399" s="996">
        <v>0</v>
      </c>
      <c r="GQ399" s="1006"/>
      <c r="GR399" s="996">
        <v>0</v>
      </c>
      <c r="GS399" s="1006"/>
      <c r="GT399" s="996">
        <v>0</v>
      </c>
      <c r="GU399" s="1006"/>
      <c r="GV399" s="996">
        <v>0</v>
      </c>
      <c r="GW399" s="1006"/>
      <c r="GX399" s="996">
        <v>0</v>
      </c>
      <c r="GY399" s="1006" t="s">
        <v>223</v>
      </c>
      <c r="GZ399" s="996">
        <v>-0.8360000000000003</v>
      </c>
      <c r="HA399" s="1006"/>
      <c r="HB399" s="996">
        <v>0</v>
      </c>
      <c r="HC399" s="1006"/>
      <c r="HD399" s="996">
        <v>0.8360000000000003</v>
      </c>
      <c r="HE399" s="1006"/>
      <c r="HF399" s="996">
        <v>0</v>
      </c>
      <c r="HG399" s="1006"/>
      <c r="HH399" s="996">
        <v>-0.91960000000000086</v>
      </c>
      <c r="HI399" s="1006" t="s">
        <v>223</v>
      </c>
      <c r="HJ399" s="996">
        <v>-5.7683999999999997</v>
      </c>
      <c r="HK399" s="1006"/>
      <c r="HL399" s="996">
        <v>0.56400000000000006</v>
      </c>
      <c r="HM399" s="1006" t="s">
        <v>308</v>
      </c>
      <c r="HN399" s="996">
        <v>19.484000000000002</v>
      </c>
      <c r="HO399" s="1006"/>
      <c r="HP399" s="996">
        <v>0</v>
      </c>
      <c r="HQ399" s="1006"/>
      <c r="HR399" s="996">
        <v>0</v>
      </c>
      <c r="HS399" s="1006"/>
      <c r="HT399" s="996">
        <v>0</v>
      </c>
      <c r="HU399" s="1006"/>
      <c r="HV399" s="996">
        <v>0</v>
      </c>
      <c r="HW399" s="1006"/>
      <c r="HX399" s="996">
        <v>0</v>
      </c>
      <c r="HY399" s="1006"/>
      <c r="HZ399" s="996">
        <v>0</v>
      </c>
      <c r="IA399" s="1006"/>
      <c r="IB399" s="996">
        <v>0</v>
      </c>
      <c r="IC399" s="1006"/>
      <c r="ID399" s="996">
        <v>0</v>
      </c>
      <c r="IE399" s="1006"/>
      <c r="IF399" s="996">
        <v>0</v>
      </c>
      <c r="IG399" s="1006"/>
      <c r="IH399" s="996">
        <v>0</v>
      </c>
      <c r="II399" s="1006"/>
      <c r="IJ399" s="996">
        <v>0</v>
      </c>
      <c r="IK399" s="1006"/>
      <c r="IL399" s="996">
        <v>0</v>
      </c>
      <c r="IM399" s="1006"/>
      <c r="IN399" s="996">
        <v>0</v>
      </c>
      <c r="IO399" s="1006"/>
      <c r="IP399" s="996">
        <v>0</v>
      </c>
      <c r="IQ399" s="1006"/>
      <c r="IR399" s="996">
        <v>0</v>
      </c>
      <c r="IS399" s="1006"/>
      <c r="IT399" s="996">
        <v>0</v>
      </c>
      <c r="IU399" s="1006" t="s">
        <v>146</v>
      </c>
      <c r="IV399" s="996">
        <v>-2.3112055999999965</v>
      </c>
      <c r="IW399" s="1006"/>
      <c r="IX399" s="996">
        <v>0</v>
      </c>
      <c r="IY399" s="1006" t="s">
        <v>349</v>
      </c>
      <c r="IZ399" s="996">
        <v>-6.2817040000000217</v>
      </c>
      <c r="JA399" s="1006" t="s">
        <v>349</v>
      </c>
      <c r="JB399" s="996">
        <v>-2.3441088879999832</v>
      </c>
      <c r="JC399" s="1006" t="s">
        <v>349</v>
      </c>
      <c r="JD399" s="996">
        <v>-8.2369424720000026</v>
      </c>
      <c r="JE399" s="1006" t="s">
        <v>25</v>
      </c>
      <c r="JF399" s="996">
        <v>23.297447359999996</v>
      </c>
      <c r="JG399" s="1006"/>
      <c r="JH399" s="996">
        <v>0</v>
      </c>
      <c r="JI399" s="1006"/>
      <c r="JJ399" s="996"/>
      <c r="JK399" s="1007"/>
      <c r="JL399" s="1007"/>
      <c r="JM399" s="1007"/>
      <c r="JN399" s="1007"/>
      <c r="JO399" s="1008"/>
      <c r="JP399" s="1007"/>
      <c r="JQ399" s="1008"/>
      <c r="JR399" s="1007"/>
      <c r="JS399" s="1008"/>
      <c r="JT399" s="1007"/>
      <c r="JU399" s="1008"/>
      <c r="JV399" s="1007"/>
      <c r="JW399" s="1008"/>
      <c r="JX399" s="1007"/>
      <c r="JY399" s="1008"/>
      <c r="JZ399" s="1007"/>
      <c r="KA399" s="1008"/>
      <c r="KB399" s="1007"/>
      <c r="KC399" s="1008"/>
      <c r="KD399" s="1007"/>
      <c r="KE399" s="1008"/>
      <c r="KF399" s="1007"/>
      <c r="KG399" s="1008"/>
      <c r="KH399" s="1007"/>
      <c r="KI399" s="1008"/>
      <c r="KJ399" s="1007"/>
      <c r="KK399" s="1008"/>
      <c r="KL399" s="1007"/>
      <c r="KM399" s="1008"/>
      <c r="KN399" s="1007"/>
      <c r="KO399" s="1008"/>
      <c r="KP399" s="1007"/>
      <c r="KQ399" s="1008"/>
      <c r="KR399" s="1007"/>
      <c r="KS399" s="1008"/>
      <c r="KT399" s="1007"/>
      <c r="KU399" s="1008"/>
      <c r="KV399" s="1007"/>
      <c r="KW399" s="1008"/>
      <c r="KX399" s="1007"/>
      <c r="KY399" s="1008"/>
      <c r="KZ399" s="1007"/>
      <c r="LA399" s="1008"/>
      <c r="LB399" s="1007"/>
      <c r="LC399" s="1008"/>
      <c r="LD399" s="1007"/>
      <c r="LE399" s="1008"/>
      <c r="LF399" s="1007"/>
      <c r="LG399" s="1008"/>
      <c r="LH399" s="1007"/>
      <c r="LI399" s="1008"/>
      <c r="LJ399" s="1007"/>
      <c r="LK399" s="1008"/>
      <c r="LL399" s="1007"/>
      <c r="LM399" s="1008"/>
      <c r="LN399" s="1007"/>
      <c r="LO399" s="1008"/>
      <c r="LP399" s="1007"/>
      <c r="LQ399" s="1008"/>
      <c r="LR399" s="1007"/>
      <c r="LS399" s="1008"/>
      <c r="LT399" s="1007"/>
      <c r="LU399" s="1008"/>
      <c r="LV399" s="1007"/>
      <c r="LW399" s="1008"/>
      <c r="LX399" s="1007"/>
      <c r="LY399" s="1009"/>
      <c r="LZ399" s="1010"/>
      <c r="MA399" s="1011"/>
      <c r="MB399" s="1012"/>
      <c r="MC399" s="995"/>
      <c r="MD399" s="996"/>
      <c r="ME399" s="997" t="s">
        <v>220</v>
      </c>
      <c r="MF399" s="997"/>
      <c r="MG399" s="998"/>
      <c r="NR399" s="1000"/>
      <c r="NS399" s="1000"/>
      <c r="NT399" s="1001"/>
      <c r="NU399" s="1000"/>
      <c r="NV399" s="1001"/>
      <c r="NX399" s="1002"/>
      <c r="NZ399" s="1001"/>
      <c r="OA399" s="1001"/>
      <c r="OC399" s="1003"/>
      <c r="OD399" s="1003"/>
      <c r="OE399" s="1001"/>
      <c r="OF399" s="1003"/>
      <c r="OG399" s="1003"/>
      <c r="OH399" s="1003"/>
      <c r="OI399" s="1016"/>
      <c r="QX399" s="1000">
        <f>CN399-CA399</f>
        <v>17</v>
      </c>
      <c r="ASU399" s="999" t="s">
        <v>208</v>
      </c>
    </row>
    <row r="400" spans="1:466 1191:1191" ht="21" customHeight="1" x14ac:dyDescent="0.25">
      <c r="A400" s="982">
        <f t="shared" si="274"/>
        <v>1460</v>
      </c>
      <c r="B400" s="124">
        <f>SUBTOTAL(103,$J$29:J400)</f>
        <v>372</v>
      </c>
      <c r="C400" s="126">
        <v>45068</v>
      </c>
      <c r="D400" s="124" t="s">
        <v>176</v>
      </c>
      <c r="E400" s="127" t="s">
        <v>177</v>
      </c>
      <c r="F400" s="128" t="s">
        <v>177</v>
      </c>
      <c r="G400" s="127" t="s">
        <v>178</v>
      </c>
      <c r="H400" s="127" t="s">
        <v>179</v>
      </c>
      <c r="I400" s="127" t="s">
        <v>1286</v>
      </c>
      <c r="J400" s="152">
        <v>1460</v>
      </c>
      <c r="K400" s="127" t="s">
        <v>1286</v>
      </c>
      <c r="L400" s="130">
        <v>43878</v>
      </c>
      <c r="M400" s="127" t="s">
        <v>230</v>
      </c>
      <c r="N400" s="127" t="s">
        <v>245</v>
      </c>
      <c r="O400" s="127" t="s">
        <v>1077</v>
      </c>
      <c r="P400" s="127" t="s">
        <v>292</v>
      </c>
      <c r="Q400" s="127">
        <v>-4</v>
      </c>
      <c r="R400" s="130"/>
      <c r="S400" s="128"/>
      <c r="T400" s="131"/>
      <c r="U400" s="132">
        <v>203</v>
      </c>
      <c r="V400" s="121">
        <v>218.2</v>
      </c>
      <c r="W400" s="116">
        <v>0.98</v>
      </c>
      <c r="X400" s="116">
        <v>1.66</v>
      </c>
      <c r="Y400" s="116">
        <f t="shared" si="299"/>
        <v>0.98</v>
      </c>
      <c r="Z400" s="133">
        <v>1.454</v>
      </c>
      <c r="AA400" s="133">
        <v>0.83599999999999997</v>
      </c>
      <c r="AB400" s="133">
        <v>0.72</v>
      </c>
      <c r="AC400" s="121">
        <v>34.299999999999997</v>
      </c>
      <c r="AD400" s="134">
        <v>1.17</v>
      </c>
      <c r="AE400" s="124">
        <v>177.8</v>
      </c>
      <c r="AF400" s="128">
        <v>9.19</v>
      </c>
      <c r="AG400" s="128">
        <v>2313</v>
      </c>
      <c r="AH400" s="127">
        <v>2700</v>
      </c>
      <c r="AI400" s="127">
        <v>2700</v>
      </c>
      <c r="AJ400" s="135"/>
      <c r="AK400" s="128"/>
      <c r="AL400" s="131"/>
      <c r="AM400" s="124" t="s">
        <v>232</v>
      </c>
      <c r="AN400" s="136" t="s">
        <v>1561</v>
      </c>
      <c r="AO400" s="137">
        <v>67</v>
      </c>
      <c r="AP400" s="128">
        <v>2313</v>
      </c>
      <c r="AQ400" s="128">
        <v>473.7</v>
      </c>
      <c r="AR400" s="128"/>
      <c r="AS400" s="128"/>
      <c r="AT400" s="122"/>
      <c r="AU400" s="124" t="s">
        <v>192</v>
      </c>
      <c r="AV400" s="128">
        <f>VLOOKUP(J400,'[63]ТР нефть'!$J$28:$BP$638,39,0)</f>
        <v>300</v>
      </c>
      <c r="AW400" s="128" t="str">
        <f>VLOOKUP(J400,'[63]ТР нефть'!$J$28:$BP$638,40,0)</f>
        <v>-</v>
      </c>
      <c r="AX400" s="128" t="str">
        <f>VLOOKUP(J400,'[63]ТР нефть'!$J$28:$BP$638,41,0)</f>
        <v>-</v>
      </c>
      <c r="AY400" s="128" t="str">
        <f>VLOOKUP(J400,'[63]ТР нефть'!$J$28:$BP$638,42,0)</f>
        <v>-</v>
      </c>
      <c r="AZ400" s="128" t="str">
        <f>VLOOKUP(J400,'[63]ТР нефть'!$J$28:$BP$638,43,0)</f>
        <v>-</v>
      </c>
      <c r="BA400" s="128" t="str">
        <f>VLOOKUP(J400,'[63]ТР нефть'!$J$28:$BP$638,44,0)</f>
        <v>-</v>
      </c>
      <c r="BB400" s="128" t="str">
        <f>VLOOKUP(J400,'[63]ТР нефть'!$J$28:$BP$638,45,0)</f>
        <v>-</v>
      </c>
      <c r="BC400" s="128" t="str">
        <f>VLOOKUP(J400,'[63]ТР нефть'!$J$28:$BP$638,46,0)</f>
        <v>-</v>
      </c>
      <c r="BD400" s="128" t="str">
        <f>VLOOKUP(J400,'[63]ТР нефть'!$J$28:$BP$638,47,0)</f>
        <v>-</v>
      </c>
      <c r="BE400" s="128" t="str">
        <f>VLOOKUP(J400,'[63]ТР нефть'!$J$28:$BP$638,48,0)</f>
        <v>-</v>
      </c>
      <c r="BF400" s="128" t="str">
        <f>VLOOKUP(J400,'[63]ТР нефть'!$J$28:$BP$638,49,0)</f>
        <v>-</v>
      </c>
      <c r="BG400" s="128" t="str">
        <f>VLOOKUP(J400,'[63]ТР нефть'!$J$28:$BP$638,50,0)</f>
        <v>-</v>
      </c>
      <c r="BH400" s="128">
        <f>VLOOKUP(J400,'[63]ТР нефть'!$J$28:$BP$638,51,0)</f>
        <v>1995</v>
      </c>
      <c r="BI400" s="128" t="str">
        <f>VLOOKUP(J400,'[63]ТР нефть'!$J$28:$BP$638,52,0)</f>
        <v>закрыт</v>
      </c>
      <c r="BJ400" s="128" t="str">
        <f>IF(IFERROR(VLOOKUP(J400,'[63]ТР нефть'!$J$28:$BP$638,53,0),"-")=0,"-",IFERROR(VLOOKUP(J400,'[63]ТР нефть'!$J$28:$BP$638,53,0),"-"))</f>
        <v>-</v>
      </c>
      <c r="BK400" s="127"/>
      <c r="BL400" s="127" t="str">
        <f>IF(IFERROR(VLOOKUP(J400,'[63]ТР нефть'!$J$28:$BP$638,55,0),"-")=0,"-",IFERROR(VLOOKUP(J400,'[63]ТР нефть'!$J$28:$BP$638,55,0),"-"))</f>
        <v>-</v>
      </c>
      <c r="BM400" s="127"/>
      <c r="BN400" s="127"/>
      <c r="BO400" s="128">
        <f>IF(IFERROR(VLOOKUP(J400,'[63]ТР нефть'!$J$28:$BP$638,58,0),"-")=0,"-",IFERROR(VLOOKUP(J400,'[63]ТР нефть'!$J$28:$BP$638,58,0),"-"))</f>
        <v>165.5</v>
      </c>
      <c r="BP400" s="128" t="str">
        <f>IF(IFERROR(VLOOKUP(J400,'[63]ТР нефть'!$J$28:$BP$638,59,0),"-")=0,"-",IFERROR(VLOOKUP(J400,'[63]ТР нефть'!$J$28:$BP$638,59,0),"-"))</f>
        <v>-</v>
      </c>
      <c r="BQ400" s="138">
        <v>1502</v>
      </c>
      <c r="BR400" s="128">
        <v>1708.3</v>
      </c>
      <c r="BS400" s="115">
        <f t="shared" si="307"/>
        <v>-206.29999999999995</v>
      </c>
      <c r="BT400" s="128">
        <v>73</v>
      </c>
      <c r="BU400" s="128">
        <v>5.5</v>
      </c>
      <c r="BV400" s="127">
        <v>65</v>
      </c>
      <c r="BW400" s="127" t="s">
        <v>217</v>
      </c>
      <c r="BX400" s="127" t="s">
        <v>192</v>
      </c>
      <c r="BY400" s="139" t="s">
        <v>192</v>
      </c>
      <c r="BZ400" s="139" t="s">
        <v>192</v>
      </c>
      <c r="CA400" s="80" t="s">
        <v>192</v>
      </c>
      <c r="CB400" s="138" t="s">
        <v>192</v>
      </c>
      <c r="CC400" s="138" t="s">
        <v>192</v>
      </c>
      <c r="CD400" s="135">
        <v>45017</v>
      </c>
      <c r="CE400" s="138">
        <v>173</v>
      </c>
      <c r="CF400" s="138"/>
      <c r="CG400" s="138" t="str">
        <f t="shared" si="310"/>
        <v/>
      </c>
      <c r="CH400" s="138" t="s">
        <v>197</v>
      </c>
      <c r="CI400" s="127"/>
      <c r="CJ400" s="138" t="e">
        <f>IF((BR400-(100*(CM400-CB400))/(9.8*(AB400+AA400)/2))&gt;0,BR400-(100*(CM400-CB400))/(9.8*(AB400+AA400)/2),0)</f>
        <v>#VALUE!</v>
      </c>
      <c r="CK400" s="138" t="e">
        <f t="shared" si="308"/>
        <v>#VALUE!</v>
      </c>
      <c r="CL400" s="138"/>
      <c r="CM400" s="127"/>
      <c r="CN400" s="154"/>
      <c r="CO400" s="141"/>
      <c r="CP400" s="142"/>
      <c r="CQ400" s="119"/>
      <c r="CR400" s="1018"/>
      <c r="CS400" s="139"/>
      <c r="CT400" s="138"/>
      <c r="CU400" s="138"/>
      <c r="CV400" s="115"/>
      <c r="CW400" s="115"/>
      <c r="CX400" s="133"/>
      <c r="CY400" s="116"/>
      <c r="CZ400" s="131"/>
      <c r="DA400" s="145" t="str">
        <f t="shared" si="281"/>
        <v>-</v>
      </c>
      <c r="DB400" s="146">
        <f t="shared" si="282"/>
        <v>0</v>
      </c>
      <c r="DC400" s="142">
        <f t="shared" si="302"/>
        <v>0</v>
      </c>
      <c r="DD400" s="119">
        <f t="shared" si="303"/>
        <v>0</v>
      </c>
      <c r="DE400" s="115">
        <f t="shared" si="283"/>
        <v>0</v>
      </c>
      <c r="DF400" s="121">
        <f t="shared" si="284"/>
        <v>0</v>
      </c>
      <c r="DG400" s="115">
        <f t="shared" si="285"/>
        <v>0</v>
      </c>
      <c r="DH400" s="115">
        <f t="shared" si="286"/>
        <v>0</v>
      </c>
      <c r="DI400" s="150"/>
      <c r="DJ400" s="111">
        <v>44023</v>
      </c>
      <c r="DK400" s="112">
        <v>43788</v>
      </c>
      <c r="DL400" s="113">
        <f t="shared" ca="1" si="312"/>
        <v>1316</v>
      </c>
      <c r="DM400" s="114">
        <v>38.799999999999997</v>
      </c>
      <c r="DN400" s="114">
        <v>54</v>
      </c>
      <c r="DO400" s="114" t="s">
        <v>192</v>
      </c>
      <c r="DP400" s="114"/>
      <c r="DQ400" s="112"/>
      <c r="DR400" s="114"/>
      <c r="DS400" s="114"/>
      <c r="DT400" s="115">
        <v>60</v>
      </c>
      <c r="DU400" s="116">
        <f t="shared" si="313"/>
        <v>0</v>
      </c>
      <c r="DV400" s="117">
        <f t="shared" si="314"/>
        <v>0</v>
      </c>
      <c r="DW400" s="118">
        <f t="shared" si="315"/>
        <v>0</v>
      </c>
      <c r="DX400" s="119">
        <f t="shared" si="287"/>
        <v>0</v>
      </c>
      <c r="DY400" s="115">
        <f t="shared" si="316"/>
        <v>0</v>
      </c>
      <c r="DZ400" s="117">
        <f t="shared" si="317"/>
        <v>0</v>
      </c>
      <c r="EA400" s="120">
        <f t="shared" si="317"/>
        <v>0</v>
      </c>
      <c r="EB400" s="119">
        <f t="shared" si="264"/>
        <v>0</v>
      </c>
      <c r="EC400" s="121">
        <f t="shared" si="318"/>
        <v>0</v>
      </c>
      <c r="ED400" s="122"/>
      <c r="EE400" s="145">
        <v>65</v>
      </c>
      <c r="EF400" s="148">
        <v>24</v>
      </c>
      <c r="EG400" s="115">
        <v>23</v>
      </c>
      <c r="EH400" s="115">
        <v>23</v>
      </c>
      <c r="EI400" s="128" t="s">
        <v>218</v>
      </c>
      <c r="EJ400" s="121">
        <v>24</v>
      </c>
      <c r="EK400" s="121">
        <v>720</v>
      </c>
      <c r="EL400" s="149">
        <v>0</v>
      </c>
      <c r="EM400" s="142">
        <v>0</v>
      </c>
      <c r="EN400" s="119">
        <v>0</v>
      </c>
      <c r="EO400" s="115">
        <v>0</v>
      </c>
      <c r="EP400" s="115">
        <v>0</v>
      </c>
      <c r="EQ400" s="115">
        <v>0</v>
      </c>
      <c r="ER400" s="115">
        <v>0</v>
      </c>
      <c r="ES400" s="115">
        <v>0</v>
      </c>
      <c r="ET400" s="150">
        <v>0</v>
      </c>
      <c r="EU400" s="145">
        <f t="shared" si="288"/>
        <v>65</v>
      </c>
      <c r="EV400" s="115" t="str">
        <f t="shared" si="289"/>
        <v>-</v>
      </c>
      <c r="EW400" s="115" t="str">
        <f t="shared" si="289"/>
        <v>-</v>
      </c>
      <c r="EX400" s="115" t="str">
        <f t="shared" si="289"/>
        <v>-</v>
      </c>
      <c r="EY400" s="115" t="str">
        <f t="shared" si="309"/>
        <v>-</v>
      </c>
      <c r="EZ400" s="115" t="str">
        <f t="shared" si="309"/>
        <v>-</v>
      </c>
      <c r="FA400" s="115" t="str">
        <f t="shared" si="309"/>
        <v>-</v>
      </c>
      <c r="FB400" s="149">
        <f t="shared" si="298"/>
        <v>0</v>
      </c>
      <c r="FC400" s="142">
        <f t="shared" si="298"/>
        <v>0</v>
      </c>
      <c r="FD400" s="119">
        <f t="shared" si="298"/>
        <v>0</v>
      </c>
      <c r="FE400" s="121">
        <f t="shared" si="298"/>
        <v>0</v>
      </c>
      <c r="FF400" s="121">
        <f t="shared" si="300"/>
        <v>0</v>
      </c>
      <c r="FG400" s="121">
        <f t="shared" si="290"/>
        <v>0</v>
      </c>
      <c r="FH400" s="121">
        <f t="shared" si="301"/>
        <v>0</v>
      </c>
      <c r="FI400" s="121">
        <f t="shared" si="306"/>
        <v>0</v>
      </c>
      <c r="FJ400" s="144">
        <f t="shared" si="291"/>
        <v>0</v>
      </c>
      <c r="FK400" s="132">
        <f t="shared" si="292"/>
        <v>0</v>
      </c>
      <c r="FL400" s="115">
        <v>0</v>
      </c>
      <c r="FM400" s="115">
        <v>0</v>
      </c>
      <c r="FN400" s="115">
        <v>0</v>
      </c>
      <c r="FO400" s="115">
        <v>0</v>
      </c>
      <c r="FP400" s="115">
        <v>0</v>
      </c>
      <c r="FQ400" s="149">
        <f t="shared" si="311"/>
        <v>0</v>
      </c>
      <c r="FR400" s="142">
        <f t="shared" si="311"/>
        <v>0</v>
      </c>
      <c r="FS400" s="119">
        <f t="shared" si="311"/>
        <v>0</v>
      </c>
      <c r="FT400" s="121">
        <f t="shared" si="311"/>
        <v>0</v>
      </c>
      <c r="FU400" s="121">
        <f t="shared" si="293"/>
        <v>0</v>
      </c>
      <c r="FV400" s="121">
        <f t="shared" si="293"/>
        <v>0</v>
      </c>
      <c r="FW400" s="121">
        <f t="shared" si="294"/>
        <v>0</v>
      </c>
      <c r="FX400" s="121">
        <f t="shared" si="295"/>
        <v>0</v>
      </c>
      <c r="FY400" s="144">
        <f t="shared" si="295"/>
        <v>0</v>
      </c>
      <c r="FZ400" s="145"/>
      <c r="GA400" s="151"/>
      <c r="GB400" s="145"/>
      <c r="GC400" s="151"/>
      <c r="GD400" s="997" t="s">
        <v>220</v>
      </c>
      <c r="GE400" s="1004"/>
      <c r="GF400" s="1004">
        <v>0</v>
      </c>
      <c r="GG400" s="1004"/>
      <c r="GH400" s="1004">
        <v>0</v>
      </c>
      <c r="GI400" s="145"/>
      <c r="GJ400" s="996">
        <v>0</v>
      </c>
      <c r="GK400" s="145"/>
      <c r="GL400" s="996">
        <v>0</v>
      </c>
      <c r="GM400" s="1005"/>
      <c r="GN400" s="996">
        <v>0</v>
      </c>
      <c r="GO400" s="1006"/>
      <c r="GP400" s="996">
        <v>0</v>
      </c>
      <c r="GQ400" s="1006"/>
      <c r="GR400" s="996">
        <v>-2.2572000000000019E-2</v>
      </c>
      <c r="GS400" s="1006"/>
      <c r="GT400" s="996">
        <v>0</v>
      </c>
      <c r="GU400" s="1006"/>
      <c r="GV400" s="996">
        <v>0</v>
      </c>
      <c r="GW400" s="1006"/>
      <c r="GX400" s="996">
        <v>0</v>
      </c>
      <c r="GY400" s="1006"/>
      <c r="GZ400" s="996">
        <v>0</v>
      </c>
      <c r="HA400" s="1006"/>
      <c r="HB400" s="996">
        <v>0</v>
      </c>
      <c r="HC400" s="1006"/>
      <c r="HD400" s="996">
        <v>0</v>
      </c>
      <c r="HE400" s="1006"/>
      <c r="HF400" s="996">
        <v>0</v>
      </c>
      <c r="HG400" s="1006"/>
      <c r="HH400" s="996">
        <v>0</v>
      </c>
      <c r="HI400" s="1006"/>
      <c r="HJ400" s="996">
        <v>0</v>
      </c>
      <c r="HK400" s="1006"/>
      <c r="HL400" s="996">
        <v>0</v>
      </c>
      <c r="HM400" s="1006"/>
      <c r="HN400" s="996">
        <v>0</v>
      </c>
      <c r="HO400" s="1006"/>
      <c r="HP400" s="996">
        <v>0</v>
      </c>
      <c r="HQ400" s="1006"/>
      <c r="HR400" s="996">
        <v>-0.47863926000000068</v>
      </c>
      <c r="HS400" s="1006" t="s">
        <v>886</v>
      </c>
      <c r="HT400" s="996">
        <v>-22.45656929999998</v>
      </c>
      <c r="HU400" s="1006" t="s">
        <v>1002</v>
      </c>
      <c r="HV400" s="996">
        <v>-34.965315440000055</v>
      </c>
      <c r="HW400" s="1006"/>
      <c r="HX400" s="996">
        <v>0</v>
      </c>
      <c r="HY400" s="1006" t="s">
        <v>241</v>
      </c>
      <c r="HZ400" s="996">
        <v>25.009107200000074</v>
      </c>
      <c r="IA400" s="1006" t="s">
        <v>146</v>
      </c>
      <c r="IB400" s="996">
        <v>-22.877976000000004</v>
      </c>
      <c r="IC400" s="1006" t="s">
        <v>146</v>
      </c>
      <c r="ID400" s="996">
        <v>-6.8077152000000254</v>
      </c>
      <c r="IE400" s="1006" t="s">
        <v>204</v>
      </c>
      <c r="IF400" s="996">
        <v>13.033239999999999</v>
      </c>
      <c r="IG400" s="1006"/>
      <c r="IH400" s="996">
        <v>0</v>
      </c>
      <c r="II400" s="1006" t="s">
        <v>221</v>
      </c>
      <c r="IJ400" s="996">
        <v>-20.532160000000012</v>
      </c>
      <c r="IK400" s="1006" t="s">
        <v>221</v>
      </c>
      <c r="IL400" s="996">
        <v>56.997058097759982</v>
      </c>
      <c r="IM400" s="1006" t="s">
        <v>239</v>
      </c>
      <c r="IN400" s="996">
        <v>-29.174978097759976</v>
      </c>
      <c r="IO400" s="1006"/>
      <c r="IP400" s="996">
        <v>0</v>
      </c>
      <c r="IQ400" s="1006"/>
      <c r="IR400" s="996">
        <v>0</v>
      </c>
      <c r="IS400" s="1006"/>
      <c r="IT400" s="996">
        <v>0</v>
      </c>
      <c r="IU400" s="1006"/>
      <c r="IV400" s="996">
        <v>0</v>
      </c>
      <c r="IW400" s="1006"/>
      <c r="IX400" s="996">
        <v>0</v>
      </c>
      <c r="IY400" s="1006" t="s">
        <v>204</v>
      </c>
      <c r="IZ400" s="996">
        <v>3.7912599999999941</v>
      </c>
      <c r="JA400" s="1006" t="s">
        <v>204</v>
      </c>
      <c r="JB400" s="996">
        <v>11.586960000000008</v>
      </c>
      <c r="JC400" s="1006"/>
      <c r="JD400" s="996">
        <v>0</v>
      </c>
      <c r="JE400" s="1006" t="s">
        <v>25</v>
      </c>
      <c r="JF400" s="996">
        <v>26.898299999999995</v>
      </c>
      <c r="JG400" s="1006"/>
      <c r="JH400" s="996">
        <v>0</v>
      </c>
      <c r="JI400" s="1006"/>
      <c r="JJ400" s="996"/>
      <c r="JK400" s="1007"/>
      <c r="JL400" s="1007"/>
      <c r="JM400" s="1007"/>
      <c r="JN400" s="1007"/>
      <c r="JO400" s="1008"/>
      <c r="JP400" s="1007"/>
      <c r="JQ400" s="1008"/>
      <c r="JR400" s="1007"/>
      <c r="JS400" s="1008"/>
      <c r="JT400" s="1007"/>
      <c r="JU400" s="1008"/>
      <c r="JV400" s="1007"/>
      <c r="JW400" s="1008"/>
      <c r="JX400" s="1007"/>
      <c r="JY400" s="1008"/>
      <c r="JZ400" s="1007"/>
      <c r="KA400" s="1008"/>
      <c r="KB400" s="1007"/>
      <c r="KC400" s="1008"/>
      <c r="KD400" s="1007"/>
      <c r="KE400" s="1008"/>
      <c r="KF400" s="1007"/>
      <c r="KG400" s="1008"/>
      <c r="KH400" s="1007"/>
      <c r="KI400" s="1008"/>
      <c r="KJ400" s="1007"/>
      <c r="KK400" s="1008"/>
      <c r="KL400" s="1007"/>
      <c r="KM400" s="1008"/>
      <c r="KN400" s="1007"/>
      <c r="KO400" s="1008"/>
      <c r="KP400" s="1007"/>
      <c r="KQ400" s="1008"/>
      <c r="KR400" s="1007"/>
      <c r="KS400" s="1008"/>
      <c r="KT400" s="1007"/>
      <c r="KU400" s="1008"/>
      <c r="KV400" s="1007"/>
      <c r="KW400" s="1008"/>
      <c r="KX400" s="1007"/>
      <c r="KY400" s="1008"/>
      <c r="KZ400" s="1007"/>
      <c r="LA400" s="1008"/>
      <c r="LB400" s="1007"/>
      <c r="LC400" s="1008"/>
      <c r="LD400" s="1007"/>
      <c r="LE400" s="1008"/>
      <c r="LF400" s="1007"/>
      <c r="LG400" s="1008"/>
      <c r="LH400" s="1007"/>
      <c r="LI400" s="1008"/>
      <c r="LJ400" s="1007"/>
      <c r="LK400" s="1008"/>
      <c r="LL400" s="1007"/>
      <c r="LM400" s="1008"/>
      <c r="LN400" s="1007"/>
      <c r="LO400" s="1008"/>
      <c r="LP400" s="1007"/>
      <c r="LQ400" s="1008"/>
      <c r="LR400" s="1007"/>
      <c r="LS400" s="1008"/>
      <c r="LT400" s="1007"/>
      <c r="LU400" s="1008"/>
      <c r="LV400" s="1007"/>
      <c r="LW400" s="1008"/>
      <c r="LX400" s="1007"/>
      <c r="LY400" s="1009"/>
      <c r="LZ400" s="1010"/>
      <c r="MA400" s="1011"/>
      <c r="MB400" s="1012"/>
      <c r="MC400" s="995"/>
      <c r="MD400" s="996"/>
      <c r="ME400" s="997" t="s">
        <v>220</v>
      </c>
      <c r="MF400" s="997" t="e">
        <f>CN400-CA400</f>
        <v>#VALUE!</v>
      </c>
      <c r="MG400" s="998"/>
      <c r="NR400" s="1000"/>
      <c r="NS400" s="1000"/>
      <c r="NT400" s="1001"/>
      <c r="NU400" s="1000"/>
      <c r="NV400" s="1001"/>
      <c r="NX400" s="1002"/>
      <c r="NZ400" s="1001"/>
      <c r="OA400" s="1001"/>
      <c r="OC400" s="1003"/>
      <c r="OD400" s="1003"/>
      <c r="OE400" s="1001"/>
      <c r="OF400" s="1003"/>
      <c r="OG400" s="1003"/>
      <c r="ASU400" s="999" t="s">
        <v>292</v>
      </c>
    </row>
    <row r="401" spans="1:466 1191:1191" ht="21" customHeight="1" x14ac:dyDescent="0.25">
      <c r="A401" s="982">
        <f t="shared" si="274"/>
        <v>1465</v>
      </c>
      <c r="B401" s="124">
        <f>SUBTOTAL(103,$J$29:J401)</f>
        <v>373</v>
      </c>
      <c r="C401" s="126">
        <v>45068</v>
      </c>
      <c r="D401" s="124" t="s">
        <v>176</v>
      </c>
      <c r="E401" s="127" t="s">
        <v>177</v>
      </c>
      <c r="F401" s="128" t="s">
        <v>177</v>
      </c>
      <c r="G401" s="127" t="s">
        <v>178</v>
      </c>
      <c r="H401" s="127" t="s">
        <v>179</v>
      </c>
      <c r="I401" s="127" t="s">
        <v>1249</v>
      </c>
      <c r="J401" s="152">
        <v>1465</v>
      </c>
      <c r="K401" s="127" t="s">
        <v>1403</v>
      </c>
      <c r="L401" s="130">
        <v>43788</v>
      </c>
      <c r="M401" s="127" t="s">
        <v>230</v>
      </c>
      <c r="N401" s="127" t="s">
        <v>184</v>
      </c>
      <c r="O401" s="127" t="s">
        <v>185</v>
      </c>
      <c r="P401" s="127" t="s">
        <v>292</v>
      </c>
      <c r="Q401" s="85" t="str">
        <f t="shared" ref="Q401:Q464" si="319">IF(R401="","",-4)</f>
        <v/>
      </c>
      <c r="R401" s="130"/>
      <c r="S401" s="128" t="s">
        <v>156</v>
      </c>
      <c r="T401" s="131"/>
      <c r="U401" s="132">
        <v>203</v>
      </c>
      <c r="V401" s="121">
        <v>218.2</v>
      </c>
      <c r="W401" s="116">
        <v>0.98</v>
      </c>
      <c r="X401" s="116">
        <v>1.66</v>
      </c>
      <c r="Y401" s="116">
        <f t="shared" si="299"/>
        <v>0.98108510376536939</v>
      </c>
      <c r="Z401" s="133">
        <v>1.454</v>
      </c>
      <c r="AA401" s="133">
        <v>0.83599999999999997</v>
      </c>
      <c r="AB401" s="133">
        <v>0.72</v>
      </c>
      <c r="AC401" s="121">
        <v>34.299999999999997</v>
      </c>
      <c r="AD401" s="134">
        <v>1.17</v>
      </c>
      <c r="AE401" s="124">
        <v>177.8</v>
      </c>
      <c r="AF401" s="128">
        <v>9.19</v>
      </c>
      <c r="AG401" s="128">
        <v>2103.21</v>
      </c>
      <c r="AH401" s="127">
        <v>2870</v>
      </c>
      <c r="AI401" s="127">
        <v>2870</v>
      </c>
      <c r="AJ401" s="135"/>
      <c r="AK401" s="128"/>
      <c r="AL401" s="131"/>
      <c r="AM401" s="124" t="s">
        <v>232</v>
      </c>
      <c r="AN401" s="136" t="s">
        <v>1562</v>
      </c>
      <c r="AO401" s="137">
        <v>82.23</v>
      </c>
      <c r="AP401" s="128">
        <v>2103.21</v>
      </c>
      <c r="AQ401" s="128">
        <v>249.8</v>
      </c>
      <c r="AR401" s="128"/>
      <c r="AS401" s="128"/>
      <c r="AT401" s="122"/>
      <c r="AU401" s="124" t="s">
        <v>189</v>
      </c>
      <c r="AV401" s="115">
        <f>VLOOKUP(J401,'[63]ТР нефть'!$J$28:$BP$638,39,0)</f>
        <v>480.29001386700003</v>
      </c>
      <c r="AW401" s="115" t="str">
        <f>VLOOKUP(J401,'[63]ТР нефть'!$J$28:$BP$638,40,0)</f>
        <v>ГП</v>
      </c>
      <c r="AX401" s="115">
        <f>VLOOKUP(J401,'[63]ТР нефть'!$J$28:$BP$638,41,0)</f>
        <v>894.64001542999995</v>
      </c>
      <c r="AY401" s="115" t="str">
        <f>VLOOKUP(J401,'[63]ТР нефть'!$J$28:$BP$638,42,0)</f>
        <v>ГК 72 1/8</v>
      </c>
      <c r="AZ401" s="115">
        <f>VLOOKUP(J401,'[63]ТР нефть'!$J$28:$BP$638,43,0)</f>
        <v>1229.840020312</v>
      </c>
      <c r="BA401" s="115" t="str">
        <f>VLOOKUP(J401,'[63]ТР нефть'!$J$28:$BP$638,44,0)</f>
        <v>ГК 72 1/8</v>
      </c>
      <c r="BB401" s="115">
        <f>VLOOKUP(J401,'[63]ТР нефть'!$J$28:$BP$638,45,0)</f>
        <v>1500.849933984</v>
      </c>
      <c r="BC401" s="115" t="str">
        <f>VLOOKUP(J401,'[63]ТР нефть'!$J$28:$BP$638,46,0)</f>
        <v>ГК 74 1/8</v>
      </c>
      <c r="BD401" s="115">
        <f>VLOOKUP(J401,'[63]ТР нефть'!$J$28:$BP$638,47,0)</f>
        <v>1782.1599445310001</v>
      </c>
      <c r="BE401" s="115" t="str">
        <f>VLOOKUP(J401,'[63]ТР нефть'!$J$28:$BP$638,48,0)</f>
        <v>ЦКсОК 5/16</v>
      </c>
      <c r="BF401" s="115" t="str">
        <f>VLOOKUP(J401,'[63]ТР нефть'!$J$28:$BP$638,49,0)</f>
        <v>-</v>
      </c>
      <c r="BG401" s="115" t="str">
        <f>VLOOKUP(J401,'[63]ТР нефть'!$J$28:$BP$638,50,0)</f>
        <v>-</v>
      </c>
      <c r="BH401" s="115" t="str">
        <f>VLOOKUP(J401,'[63]ТР нефть'!$J$28:$BP$638,51,0)</f>
        <v>-</v>
      </c>
      <c r="BI401" s="115" t="str">
        <f>VLOOKUP(J401,'[63]ТР нефть'!$J$28:$BP$638,52,0)</f>
        <v>-</v>
      </c>
      <c r="BJ401" s="115" t="str">
        <f>IF(IFERROR(VLOOKUP(J401,'[63]ТР нефть'!$J$28:$BP$638,53,0),"-")=0,"-",IFERROR(VLOOKUP(J401,'[63]ТР нефть'!$J$28:$BP$638,53,0),"-"))</f>
        <v>-</v>
      </c>
      <c r="BK401" s="138" t="str">
        <f>IF(IFERROR(VLOOKUP(J401,'[63]ТР нефть'!$J$28:$BP$638,54,0),"-")=0,"-",IFERROR(VLOOKUP(J401,'[63]ТР нефть'!$J$28:$BP$638,54,0),"-"))</f>
        <v>-</v>
      </c>
      <c r="BL401" s="138" t="str">
        <f>IF(IFERROR(VLOOKUP(J401,'[63]ТР нефть'!$J$28:$BP$638,55,0),"-")=0,"-",IFERROR(VLOOKUP(J401,'[63]ТР нефть'!$J$28:$BP$638,55,0),"-"))</f>
        <v>-</v>
      </c>
      <c r="BM401" s="138" t="str">
        <f>IF(IFERROR(VLOOKUP(J401,'[63]ТР нефть'!$J$28:$BP$638,56,0),"-")=0,"-",IFERROR(VLOOKUP(J401,'[63]ТР нефть'!$J$28:$BP$638,56,0),"-"))</f>
        <v>-</v>
      </c>
      <c r="BN401" s="138" t="str">
        <f>IF(IFERROR(VLOOKUP(J401,'[63]ТР нефть'!$J$28:$BP$638,57,0),"-")=0,"-",IFERROR(VLOOKUP(J401,'[63]ТР нефть'!$J$28:$BP$638,57,0),"-"))</f>
        <v>-</v>
      </c>
      <c r="BO401" s="115" t="str">
        <f>IF(IFERROR(VLOOKUP(J401,'[63]ТР нефть'!$J$28:$BP$638,58,0),"-")=0,"-",IFERROR(VLOOKUP(J401,'[63]ТР нефть'!$J$28:$BP$638,58,0),"-"))</f>
        <v>-</v>
      </c>
      <c r="BP401" s="115" t="str">
        <f>IF(IFERROR(VLOOKUP(J401,'[63]ТР нефть'!$J$28:$BP$638,59,0),"-")=0,"-",IFERROR(VLOOKUP(J401,'[63]ТР нефть'!$J$28:$BP$638,59,0),"-"))</f>
        <v>-</v>
      </c>
      <c r="BQ401" s="138">
        <v>2158.27</v>
      </c>
      <c r="BR401" s="128">
        <v>1864</v>
      </c>
      <c r="BS401" s="115">
        <f t="shared" si="307"/>
        <v>294.27</v>
      </c>
      <c r="BT401" s="128">
        <v>73</v>
      </c>
      <c r="BU401" s="128">
        <v>5.5</v>
      </c>
      <c r="BV401" s="127">
        <v>18</v>
      </c>
      <c r="BW401" s="127" t="s">
        <v>217</v>
      </c>
      <c r="BX401" s="127" t="s">
        <v>195</v>
      </c>
      <c r="BY401" s="139">
        <v>24</v>
      </c>
      <c r="BZ401" s="139">
        <v>0</v>
      </c>
      <c r="CA401" s="80">
        <v>24</v>
      </c>
      <c r="CB401" s="138">
        <v>28</v>
      </c>
      <c r="CC401" s="138">
        <v>23</v>
      </c>
      <c r="CD401" s="135">
        <v>45017</v>
      </c>
      <c r="CE401" s="138">
        <v>113</v>
      </c>
      <c r="CF401" s="138">
        <v>75</v>
      </c>
      <c r="CG401" s="138" t="str">
        <f t="shared" si="310"/>
        <v>В работе</v>
      </c>
      <c r="CH401" s="138" t="s">
        <v>235</v>
      </c>
      <c r="CI401" s="127">
        <v>5</v>
      </c>
      <c r="CJ401" s="138"/>
      <c r="CK401" s="138">
        <f t="shared" si="308"/>
        <v>23</v>
      </c>
      <c r="CL401" s="99"/>
      <c r="CM401" s="99"/>
      <c r="CN401" s="140">
        <v>47</v>
      </c>
      <c r="CO401" s="141">
        <f t="shared" si="276"/>
        <v>14.590498999999998</v>
      </c>
      <c r="CP401" s="142">
        <v>17.5</v>
      </c>
      <c r="CQ401" s="143">
        <v>0.27</v>
      </c>
      <c r="CR401" s="138">
        <v>18</v>
      </c>
      <c r="CS401" s="139">
        <v>11.8</v>
      </c>
      <c r="CT401" s="138"/>
      <c r="CU401" s="138">
        <f t="shared" ref="CU401:CU464" si="320">IF(CR401&lt;&gt;"0",CR401-CS401,"0")</f>
        <v>6.1999999999999993</v>
      </c>
      <c r="CV401" s="115">
        <f t="shared" ref="CV401:CV464" si="321">(CR401-CS401)*1000/CO401</f>
        <v>424.93406154237766</v>
      </c>
      <c r="CW401" s="115">
        <f t="shared" si="279"/>
        <v>805.72394484218728</v>
      </c>
      <c r="CX401" s="133">
        <f t="shared" ref="CX401:CX464" si="322">IF(CP401&lt;&gt;0,CP401/(CE401-CN401),0)</f>
        <v>0.26515151515151514</v>
      </c>
      <c r="CY401" s="116"/>
      <c r="CZ401" s="131"/>
      <c r="DA401" s="145" t="str">
        <f t="shared" si="281"/>
        <v>Газлифт</v>
      </c>
      <c r="DB401" s="146">
        <f t="shared" si="282"/>
        <v>14.590498999999998</v>
      </c>
      <c r="DC401" s="142">
        <f t="shared" si="302"/>
        <v>17.5</v>
      </c>
      <c r="DD401" s="119">
        <f t="shared" si="303"/>
        <v>0.27</v>
      </c>
      <c r="DE401" s="115">
        <f t="shared" si="283"/>
        <v>6.1999999999999993</v>
      </c>
      <c r="DF401" s="121">
        <f t="shared" si="284"/>
        <v>11.8</v>
      </c>
      <c r="DG401" s="115">
        <f t="shared" si="285"/>
        <v>424.93406154237766</v>
      </c>
      <c r="DH401" s="115">
        <f t="shared" si="286"/>
        <v>47</v>
      </c>
      <c r="DI401" s="147"/>
      <c r="DJ401" s="111"/>
      <c r="DK401" s="112">
        <v>43788</v>
      </c>
      <c r="DL401" s="113">
        <f t="shared" ca="1" si="312"/>
        <v>1316</v>
      </c>
      <c r="DM401" s="114"/>
      <c r="DN401" s="114"/>
      <c r="DO401" s="114"/>
      <c r="DP401" s="114"/>
      <c r="DQ401" s="112"/>
      <c r="DR401" s="114"/>
      <c r="DS401" s="114"/>
      <c r="DT401" s="115">
        <v>55</v>
      </c>
      <c r="DU401" s="116">
        <f t="shared" si="313"/>
        <v>0.30172413793103448</v>
      </c>
      <c r="DV401" s="117">
        <f t="shared" si="314"/>
        <v>14.590498999999998</v>
      </c>
      <c r="DW401" s="118">
        <f t="shared" si="315"/>
        <v>17.5</v>
      </c>
      <c r="DX401" s="119">
        <f t="shared" si="287"/>
        <v>0.27</v>
      </c>
      <c r="DY401" s="115">
        <f t="shared" si="316"/>
        <v>6.1999999999999993</v>
      </c>
      <c r="DZ401" s="117">
        <f t="shared" si="317"/>
        <v>0</v>
      </c>
      <c r="EA401" s="120">
        <f t="shared" si="317"/>
        <v>0</v>
      </c>
      <c r="EB401" s="119">
        <f t="shared" si="264"/>
        <v>0</v>
      </c>
      <c r="EC401" s="121">
        <f t="shared" si="318"/>
        <v>0</v>
      </c>
      <c r="ED401" s="122"/>
      <c r="EE401" s="145">
        <v>18</v>
      </c>
      <c r="EF401" s="148">
        <v>25</v>
      </c>
      <c r="EG401" s="115">
        <v>38</v>
      </c>
      <c r="EH401" s="115">
        <v>24</v>
      </c>
      <c r="EI401" s="128" t="s">
        <v>195</v>
      </c>
      <c r="EJ401" s="121">
        <v>24</v>
      </c>
      <c r="EK401" s="121">
        <v>0</v>
      </c>
      <c r="EL401" s="149">
        <v>14.590498999999998</v>
      </c>
      <c r="EM401" s="142">
        <v>17.5</v>
      </c>
      <c r="EN401" s="119">
        <v>0.27</v>
      </c>
      <c r="EO401" s="115">
        <v>18</v>
      </c>
      <c r="EP401" s="115">
        <v>424.93406154237766</v>
      </c>
      <c r="EQ401" s="115">
        <v>75</v>
      </c>
      <c r="ER401" s="115">
        <v>11.8</v>
      </c>
      <c r="ES401" s="115">
        <v>47</v>
      </c>
      <c r="ET401" s="150">
        <v>0.26119402985074625</v>
      </c>
      <c r="EU401" s="145">
        <f t="shared" si="288"/>
        <v>18</v>
      </c>
      <c r="EV401" s="115">
        <f t="shared" si="289"/>
        <v>24</v>
      </c>
      <c r="EW401" s="115">
        <f t="shared" si="289"/>
        <v>28</v>
      </c>
      <c r="EX401" s="115">
        <f t="shared" si="289"/>
        <v>23</v>
      </c>
      <c r="EY401" s="115" t="str">
        <f t="shared" si="309"/>
        <v>Постоянный</v>
      </c>
      <c r="EZ401" s="115">
        <f t="shared" si="309"/>
        <v>24</v>
      </c>
      <c r="FA401" s="115">
        <f t="shared" si="309"/>
        <v>0</v>
      </c>
      <c r="FB401" s="149">
        <f t="shared" si="298"/>
        <v>14.590498999999998</v>
      </c>
      <c r="FC401" s="142">
        <f t="shared" si="298"/>
        <v>17.5</v>
      </c>
      <c r="FD401" s="119">
        <f t="shared" si="298"/>
        <v>0.27</v>
      </c>
      <c r="FE401" s="121">
        <f t="shared" si="298"/>
        <v>18</v>
      </c>
      <c r="FF401" s="121">
        <f t="shared" si="300"/>
        <v>424.93406154237766</v>
      </c>
      <c r="FG401" s="121">
        <f t="shared" si="290"/>
        <v>75</v>
      </c>
      <c r="FH401" s="121">
        <f t="shared" si="301"/>
        <v>11.8</v>
      </c>
      <c r="FI401" s="121">
        <f t="shared" si="306"/>
        <v>47</v>
      </c>
      <c r="FJ401" s="144">
        <f t="shared" si="291"/>
        <v>0.26515151515151514</v>
      </c>
      <c r="FK401" s="132">
        <f t="shared" si="292"/>
        <v>0</v>
      </c>
      <c r="FL401" s="115">
        <f t="shared" si="292"/>
        <v>-1</v>
      </c>
      <c r="FM401" s="115">
        <f t="shared" si="292"/>
        <v>-10</v>
      </c>
      <c r="FN401" s="115">
        <f t="shared" si="273"/>
        <v>-1</v>
      </c>
      <c r="FO401" s="115">
        <f t="shared" si="311"/>
        <v>0</v>
      </c>
      <c r="FP401" s="115">
        <f t="shared" si="311"/>
        <v>0</v>
      </c>
      <c r="FQ401" s="149">
        <f t="shared" si="311"/>
        <v>0</v>
      </c>
      <c r="FR401" s="142">
        <f t="shared" si="311"/>
        <v>0</v>
      </c>
      <c r="FS401" s="119">
        <f t="shared" si="311"/>
        <v>0</v>
      </c>
      <c r="FT401" s="121">
        <f t="shared" si="311"/>
        <v>0</v>
      </c>
      <c r="FU401" s="121">
        <f t="shared" si="293"/>
        <v>0</v>
      </c>
      <c r="FV401" s="121">
        <f t="shared" si="293"/>
        <v>0</v>
      </c>
      <c r="FW401" s="121">
        <f t="shared" si="294"/>
        <v>0</v>
      </c>
      <c r="FX401" s="121">
        <f t="shared" si="295"/>
        <v>0</v>
      </c>
      <c r="FY401" s="144">
        <f t="shared" si="295"/>
        <v>3.9574853007688926E-3</v>
      </c>
      <c r="FZ401" s="145"/>
      <c r="GA401" s="151"/>
      <c r="GB401" s="145"/>
      <c r="GC401" s="151"/>
      <c r="GD401" s="997" t="s">
        <v>220</v>
      </c>
      <c r="GE401" s="1004"/>
      <c r="GF401" s="1004">
        <v>0.66699424000000107</v>
      </c>
      <c r="GG401" s="1004"/>
      <c r="GH401" s="1004">
        <v>0</v>
      </c>
      <c r="GI401" s="145"/>
      <c r="GJ401" s="996">
        <v>0</v>
      </c>
      <c r="GK401" s="145"/>
      <c r="GL401" s="996">
        <v>0.16674855999999849</v>
      </c>
      <c r="GM401" s="1005"/>
      <c r="GN401" s="996">
        <v>-0.67533166800000011</v>
      </c>
      <c r="GO401" s="1006" t="s">
        <v>314</v>
      </c>
      <c r="GP401" s="996">
        <v>-4.1687139999999996</v>
      </c>
      <c r="GQ401" s="1006"/>
      <c r="GR401" s="996">
        <v>-5.03581319999995E-2</v>
      </c>
      <c r="GS401" s="1006" t="s">
        <v>221</v>
      </c>
      <c r="GT401" s="996">
        <v>5.2751599999999979</v>
      </c>
      <c r="GU401" s="1006"/>
      <c r="GV401" s="996">
        <v>0</v>
      </c>
      <c r="GW401" s="1006"/>
      <c r="GX401" s="996">
        <v>0</v>
      </c>
      <c r="GY401" s="1006" t="s">
        <v>223</v>
      </c>
      <c r="GZ401" s="996">
        <v>-1.170399999999999</v>
      </c>
      <c r="HA401" s="1006" t="s">
        <v>204</v>
      </c>
      <c r="HB401" s="996">
        <v>2.09</v>
      </c>
      <c r="HC401" s="1006" t="s">
        <v>223</v>
      </c>
      <c r="HD401" s="996">
        <v>-1.9478800000000014</v>
      </c>
      <c r="HE401" s="1006"/>
      <c r="HF401" s="996">
        <v>0</v>
      </c>
      <c r="HG401" s="1006" t="s">
        <v>221</v>
      </c>
      <c r="HH401" s="996">
        <v>-2.0649200000000008</v>
      </c>
      <c r="HI401" s="1006"/>
      <c r="HJ401" s="996">
        <v>0</v>
      </c>
      <c r="HK401" s="1006" t="s">
        <v>221</v>
      </c>
      <c r="HL401" s="996">
        <v>-3.5947999999999993</v>
      </c>
      <c r="HM401" s="1006" t="s">
        <v>221</v>
      </c>
      <c r="HN401" s="996">
        <v>4.2636000000000003</v>
      </c>
      <c r="HO401" s="1006"/>
      <c r="HP401" s="996">
        <v>0</v>
      </c>
      <c r="HQ401" s="1006"/>
      <c r="HR401" s="996">
        <v>0</v>
      </c>
      <c r="HS401" s="1006"/>
      <c r="HT401" s="996">
        <v>0</v>
      </c>
      <c r="HU401" s="1006" t="s">
        <v>199</v>
      </c>
      <c r="HV401" s="996">
        <v>3.3815363999999999</v>
      </c>
      <c r="HW401" s="1006"/>
      <c r="HX401" s="996">
        <v>0</v>
      </c>
      <c r="HY401" s="1006"/>
      <c r="HZ401" s="996">
        <v>0</v>
      </c>
      <c r="IA401" s="1006"/>
      <c r="IB401" s="996">
        <v>0</v>
      </c>
      <c r="IC401" s="1006" t="s">
        <v>199</v>
      </c>
      <c r="ID401" s="996">
        <v>-2.3448963999999997</v>
      </c>
      <c r="IE401" s="1006"/>
      <c r="IF401" s="996">
        <v>0.57684000000000069</v>
      </c>
      <c r="IG401" s="1006" t="s">
        <v>204</v>
      </c>
      <c r="IH401" s="996">
        <v>-12.141228</v>
      </c>
      <c r="II401" s="1006"/>
      <c r="IJ401" s="996">
        <v>0</v>
      </c>
      <c r="IK401" s="1006"/>
      <c r="IL401" s="996">
        <v>7.5794267999999221E-2</v>
      </c>
      <c r="IM401" s="1006"/>
      <c r="IN401" s="996">
        <v>0</v>
      </c>
      <c r="IO401" s="1006" t="s">
        <v>199</v>
      </c>
      <c r="IP401" s="996">
        <v>3.9842397320000025</v>
      </c>
      <c r="IQ401" s="1006"/>
      <c r="IR401" s="996">
        <v>0</v>
      </c>
      <c r="IS401" s="1006"/>
      <c r="IT401" s="996">
        <v>0</v>
      </c>
      <c r="IU401" s="1006"/>
      <c r="IV401" s="996">
        <v>0.1852826799999967</v>
      </c>
      <c r="IW401" s="1006"/>
      <c r="IX401" s="996">
        <v>0</v>
      </c>
      <c r="IY401" s="1006"/>
      <c r="IZ401" s="996">
        <v>0</v>
      </c>
      <c r="JA401" s="1006" t="s">
        <v>223</v>
      </c>
      <c r="JB401" s="996">
        <v>2.1573948255200008</v>
      </c>
      <c r="JC401" s="1006"/>
      <c r="JD401" s="996">
        <v>0</v>
      </c>
      <c r="JE401" s="1006"/>
      <c r="JF401" s="996">
        <v>0</v>
      </c>
      <c r="JG401" s="1006"/>
      <c r="JH401" s="996">
        <v>0</v>
      </c>
      <c r="JI401" s="1006"/>
      <c r="JJ401" s="996">
        <v>0</v>
      </c>
      <c r="JK401" s="1007" t="s">
        <v>25</v>
      </c>
      <c r="JL401" s="1007">
        <v>21.01223649448</v>
      </c>
      <c r="JM401" s="1007"/>
      <c r="JN401" s="1007"/>
      <c r="JO401" s="1008"/>
      <c r="JP401" s="1007"/>
      <c r="JQ401" s="1008"/>
      <c r="JR401" s="1007"/>
      <c r="JS401" s="1008"/>
      <c r="JT401" s="1007"/>
      <c r="JU401" s="1008"/>
      <c r="JV401" s="1007"/>
      <c r="JW401" s="1008"/>
      <c r="JX401" s="1007"/>
      <c r="JY401" s="1008"/>
      <c r="JZ401" s="1007"/>
      <c r="KA401" s="1008"/>
      <c r="KB401" s="1007"/>
      <c r="KC401" s="1008"/>
      <c r="KD401" s="1007"/>
      <c r="KE401" s="1008"/>
      <c r="KF401" s="1007"/>
      <c r="KG401" s="1008"/>
      <c r="KH401" s="1007"/>
      <c r="KI401" s="1008"/>
      <c r="KJ401" s="1007"/>
      <c r="KK401" s="1008"/>
      <c r="KL401" s="1007"/>
      <c r="KM401" s="1008"/>
      <c r="KN401" s="1007"/>
      <c r="KO401" s="1008"/>
      <c r="KP401" s="1007"/>
      <c r="KQ401" s="1008"/>
      <c r="KR401" s="1007"/>
      <c r="KS401" s="1008"/>
      <c r="KT401" s="1007"/>
      <c r="KU401" s="1008"/>
      <c r="KV401" s="1007"/>
      <c r="KW401" s="1008"/>
      <c r="KX401" s="1007"/>
      <c r="KY401" s="1008"/>
      <c r="KZ401" s="1007"/>
      <c r="LA401" s="1008"/>
      <c r="LB401" s="1007"/>
      <c r="LC401" s="1008"/>
      <c r="LD401" s="1007"/>
      <c r="LE401" s="1008"/>
      <c r="LF401" s="1007"/>
      <c r="LG401" s="1008"/>
      <c r="LH401" s="1007"/>
      <c r="LI401" s="1008"/>
      <c r="LJ401" s="1007"/>
      <c r="LK401" s="1008"/>
      <c r="LL401" s="1007"/>
      <c r="LM401" s="1008"/>
      <c r="LN401" s="1007"/>
      <c r="LO401" s="1008"/>
      <c r="LP401" s="1007"/>
      <c r="LQ401" s="1008"/>
      <c r="LR401" s="1007"/>
      <c r="LS401" s="1008"/>
      <c r="LT401" s="1007"/>
      <c r="LU401" s="1008"/>
      <c r="LV401" s="1007"/>
      <c r="LW401" s="1008"/>
      <c r="LX401" s="1007"/>
      <c r="LY401" s="1009"/>
      <c r="LZ401" s="1010"/>
      <c r="MA401" s="1011"/>
      <c r="MB401" s="1012"/>
      <c r="MC401" s="995"/>
      <c r="MD401" s="996"/>
      <c r="ME401" s="997" t="s">
        <v>220</v>
      </c>
      <c r="MF401" s="997"/>
      <c r="MG401" s="998"/>
      <c r="NR401" s="1000"/>
      <c r="NS401" s="1000"/>
      <c r="NT401" s="1001"/>
      <c r="NU401" s="1000"/>
      <c r="NV401" s="1001"/>
      <c r="NX401" s="1002"/>
      <c r="NZ401" s="1001"/>
      <c r="OA401" s="1001"/>
      <c r="OC401" s="1003"/>
      <c r="OD401" s="1003"/>
      <c r="OE401" s="1001"/>
      <c r="OF401" s="1003"/>
      <c r="OG401" s="1003"/>
      <c r="QX401" s="1000">
        <f>CN401-CA401</f>
        <v>23</v>
      </c>
      <c r="ASU401" s="999" t="s">
        <v>208</v>
      </c>
    </row>
    <row r="402" spans="1:466 1191:1191" s="1026" customFormat="1" ht="21" customHeight="1" x14ac:dyDescent="0.25">
      <c r="A402" s="982">
        <f t="shared" si="274"/>
        <v>1467</v>
      </c>
      <c r="B402" s="124">
        <f>SUBTOTAL(103,$J$29:J402)</f>
        <v>374</v>
      </c>
      <c r="C402" s="126">
        <v>45068</v>
      </c>
      <c r="D402" s="124" t="s">
        <v>176</v>
      </c>
      <c r="E402" s="127" t="s">
        <v>177</v>
      </c>
      <c r="F402" s="128" t="s">
        <v>177</v>
      </c>
      <c r="G402" s="127" t="s">
        <v>178</v>
      </c>
      <c r="H402" s="127" t="s">
        <v>179</v>
      </c>
      <c r="I402" s="127" t="s">
        <v>1293</v>
      </c>
      <c r="J402" s="152">
        <v>1467</v>
      </c>
      <c r="K402" s="127" t="s">
        <v>1293</v>
      </c>
      <c r="L402" s="130">
        <v>43079</v>
      </c>
      <c r="M402" s="127" t="s">
        <v>230</v>
      </c>
      <c r="N402" s="127" t="s">
        <v>184</v>
      </c>
      <c r="O402" s="127" t="s">
        <v>185</v>
      </c>
      <c r="P402" s="127" t="s">
        <v>186</v>
      </c>
      <c r="Q402" s="85">
        <f t="shared" si="319"/>
        <v>-4</v>
      </c>
      <c r="R402" s="130">
        <v>43067</v>
      </c>
      <c r="S402" s="128" t="s">
        <v>747</v>
      </c>
      <c r="T402" s="131" t="s">
        <v>1294</v>
      </c>
      <c r="U402" s="132">
        <v>203</v>
      </c>
      <c r="V402" s="121">
        <v>218.2</v>
      </c>
      <c r="W402" s="116">
        <v>0.98</v>
      </c>
      <c r="X402" s="116">
        <v>1.66</v>
      </c>
      <c r="Y402" s="116">
        <f t="shared" si="299"/>
        <v>0.98</v>
      </c>
      <c r="Z402" s="133">
        <v>1.454</v>
      </c>
      <c r="AA402" s="133">
        <v>0.83599999999999997</v>
      </c>
      <c r="AB402" s="133">
        <v>0.72</v>
      </c>
      <c r="AC402" s="121">
        <v>34.299999999999997</v>
      </c>
      <c r="AD402" s="134">
        <v>1.17</v>
      </c>
      <c r="AE402" s="124">
        <v>177.8</v>
      </c>
      <c r="AF402" s="128">
        <v>9.19</v>
      </c>
      <c r="AG402" s="128">
        <v>2235</v>
      </c>
      <c r="AH402" s="138">
        <v>3190.41</v>
      </c>
      <c r="AI402" s="138">
        <v>3190.41</v>
      </c>
      <c r="AJ402" s="135">
        <v>43060</v>
      </c>
      <c r="AK402" s="128" t="s">
        <v>1018</v>
      </c>
      <c r="AL402" s="131"/>
      <c r="AM402" s="124" t="s">
        <v>985</v>
      </c>
      <c r="AN402" s="136" t="s">
        <v>1563</v>
      </c>
      <c r="AO402" s="137">
        <v>9.6199999999999992</v>
      </c>
      <c r="AP402" s="128">
        <v>2295.54</v>
      </c>
      <c r="AQ402" s="128">
        <v>371.03</v>
      </c>
      <c r="AR402" s="128" t="s">
        <v>1564</v>
      </c>
      <c r="AS402" s="128">
        <v>114</v>
      </c>
      <c r="AT402" s="122">
        <v>7.37</v>
      </c>
      <c r="AU402" s="124" t="s">
        <v>189</v>
      </c>
      <c r="AV402" s="115">
        <f>VLOOKUP(J402,'[63]ТР нефть'!$J$28:$BP$638,39,0)</f>
        <v>549.99999140600005</v>
      </c>
      <c r="AW402" s="115" t="str">
        <f>VLOOKUP(J402,'[63]ТР нефть'!$J$28:$BP$638,40,0)</f>
        <v>ГП</v>
      </c>
      <c r="AX402" s="115">
        <f>VLOOKUP(J402,'[63]ТР нефть'!$J$28:$BP$638,41,0)</f>
        <v>959.99997011699998</v>
      </c>
      <c r="AY402" s="115" t="str">
        <f>VLOOKUP(J402,'[63]ТР нефть'!$J$28:$BP$638,42,0)</f>
        <v>ГП</v>
      </c>
      <c r="AZ402" s="115">
        <f>VLOOKUP(J402,'[63]ТР нефть'!$J$28:$BP$638,43,0)</f>
        <v>1255.0000101559999</v>
      </c>
      <c r="BA402" s="115" t="str">
        <f>VLOOKUP(J402,'[63]ТР нефть'!$J$28:$BP$638,44,0)</f>
        <v>ГП</v>
      </c>
      <c r="BB402" s="115">
        <f>VLOOKUP(J402,'[63]ТР нефть'!$J$28:$BP$638,45,0)</f>
        <v>1480.000006641</v>
      </c>
      <c r="BC402" s="115" t="str">
        <f>VLOOKUP(J402,'[63]ТР нефть'!$J$28:$BP$638,46,0)</f>
        <v>ГК 78 1/8</v>
      </c>
      <c r="BD402" s="115">
        <f>VLOOKUP(J402,'[63]ТР нефть'!$J$28:$BP$638,47,0)</f>
        <v>1640.0000636719999</v>
      </c>
      <c r="BE402" s="115" t="str">
        <f>VLOOKUP(J402,'[63]ТР нефть'!$J$28:$BP$638,48,0)</f>
        <v>ГК 77 5/32</v>
      </c>
      <c r="BF402" s="115">
        <f>VLOOKUP(J402,'[63]ТР нефть'!$J$28:$BP$638,49,0)</f>
        <v>1770</v>
      </c>
      <c r="BG402" s="115" t="str">
        <f>VLOOKUP(J402,'[63]ТР нефть'!$J$28:$BP$638,50,0)</f>
        <v>ЦКсОК 5/16</v>
      </c>
      <c r="BH402" s="115">
        <f>VLOOKUP(J402,'[63]ТР нефть'!$J$28:$BP$638,51,0)</f>
        <v>1920</v>
      </c>
      <c r="BI402" s="115" t="str">
        <f>VLOOKUP(J402,'[63]ТР нефть'!$J$28:$BP$638,52,0)</f>
        <v xml:space="preserve">закрыт </v>
      </c>
      <c r="BJ402" s="115" t="str">
        <f>IF(IFERROR(VLOOKUP(J402,'[63]ТР нефть'!$J$28:$BP$638,53,0),"-")=0,"-",IFERROR(VLOOKUP(J402,'[63]ТР нефть'!$J$28:$BP$638,53,0),"-"))</f>
        <v>-</v>
      </c>
      <c r="BK402" s="138" t="str">
        <f>IF(IFERROR(VLOOKUP(J402,'[63]ТР нефть'!$J$28:$BP$638,54,0),"-")=0,"-",IFERROR(VLOOKUP(J402,'[63]ТР нефть'!$J$28:$BP$638,54,0),"-"))</f>
        <v>-</v>
      </c>
      <c r="BL402" s="138" t="str">
        <f>IF(IFERROR(VLOOKUP(J402,'[63]ТР нефть'!$J$28:$BP$638,55,0),"-")=0,"-",IFERROR(VLOOKUP(J402,'[63]ТР нефть'!$J$28:$BP$638,55,0),"-"))</f>
        <v>-</v>
      </c>
      <c r="BM402" s="138" t="str">
        <f>IF(IFERROR(VLOOKUP(J402,'[63]ТР нефть'!$J$28:$BP$638,56,0),"-")=0,"-",IFERROR(VLOOKUP(J402,'[63]ТР нефть'!$J$28:$BP$638,56,0),"-"))</f>
        <v>-</v>
      </c>
      <c r="BN402" s="138" t="str">
        <f>IF(IFERROR(VLOOKUP(J402,'[63]ТР нефть'!$J$28:$BP$638,57,0),"-")=0,"-",IFERROR(VLOOKUP(J402,'[63]ТР нефть'!$J$28:$BP$638,57,0),"-"))</f>
        <v>-</v>
      </c>
      <c r="BO402" s="115" t="str">
        <f>IF(IFERROR(VLOOKUP(J402,'[63]ТР нефть'!$J$28:$BP$638,58,0),"-")=0,"-",IFERROR(VLOOKUP(J402,'[63]ТР нефть'!$J$28:$BP$638,58,0),"-"))</f>
        <v>-</v>
      </c>
      <c r="BP402" s="115" t="str">
        <f>IF(IFERROR(VLOOKUP(J402,'[63]ТР нефть'!$J$28:$BP$638,59,0),"-")=0,"-",IFERROR(VLOOKUP(J402,'[63]ТР нефть'!$J$28:$BP$638,59,0),"-"))</f>
        <v>-</v>
      </c>
      <c r="BQ402" s="138">
        <v>2115</v>
      </c>
      <c r="BR402" s="128">
        <f>1674.3+196.9</f>
        <v>1871.2</v>
      </c>
      <c r="BS402" s="115">
        <f t="shared" si="307"/>
        <v>243.79999999999995</v>
      </c>
      <c r="BT402" s="128">
        <v>73</v>
      </c>
      <c r="BU402" s="128">
        <v>5.5</v>
      </c>
      <c r="BV402" s="127">
        <v>65</v>
      </c>
      <c r="BW402" s="127" t="s">
        <v>217</v>
      </c>
      <c r="BX402" s="127" t="s">
        <v>195</v>
      </c>
      <c r="BY402" s="139">
        <v>24</v>
      </c>
      <c r="BZ402" s="139">
        <v>0</v>
      </c>
      <c r="CA402" s="138">
        <v>26</v>
      </c>
      <c r="CB402" s="138">
        <v>42</v>
      </c>
      <c r="CC402" s="138">
        <v>25</v>
      </c>
      <c r="CD402" s="135">
        <v>45017</v>
      </c>
      <c r="CE402" s="138">
        <v>146</v>
      </c>
      <c r="CF402" s="138">
        <v>67</v>
      </c>
      <c r="CG402" s="138" t="str">
        <f t="shared" si="310"/>
        <v>В работе</v>
      </c>
      <c r="CH402" s="138" t="s">
        <v>196</v>
      </c>
      <c r="CI402" s="127"/>
      <c r="CJ402" s="138"/>
      <c r="CK402" s="138">
        <f t="shared" si="308"/>
        <v>24</v>
      </c>
      <c r="CL402" s="99"/>
      <c r="CM402" s="99"/>
      <c r="CN402" s="140">
        <v>50</v>
      </c>
      <c r="CO402" s="141">
        <f t="shared" si="276"/>
        <v>11.703999999999999</v>
      </c>
      <c r="CP402" s="142">
        <v>14</v>
      </c>
      <c r="CQ402" s="143">
        <v>0</v>
      </c>
      <c r="CR402" s="115">
        <v>14</v>
      </c>
      <c r="CS402" s="139">
        <v>8.2799999999999994</v>
      </c>
      <c r="CT402" s="138"/>
      <c r="CU402" s="138">
        <f t="shared" si="320"/>
        <v>5.7200000000000006</v>
      </c>
      <c r="CV402" s="115">
        <f t="shared" si="321"/>
        <v>488.72180451127832</v>
      </c>
      <c r="CW402" s="115">
        <f t="shared" si="279"/>
        <v>707.45044429254961</v>
      </c>
      <c r="CX402" s="133">
        <f t="shared" si="322"/>
        <v>0.14583333333333334</v>
      </c>
      <c r="CY402" s="116"/>
      <c r="CZ402" s="131"/>
      <c r="DA402" s="145" t="str">
        <f t="shared" si="281"/>
        <v>Газлифт</v>
      </c>
      <c r="DB402" s="146">
        <f t="shared" si="282"/>
        <v>11.703999999999999</v>
      </c>
      <c r="DC402" s="142">
        <f t="shared" si="302"/>
        <v>14</v>
      </c>
      <c r="DD402" s="119">
        <f t="shared" si="303"/>
        <v>0</v>
      </c>
      <c r="DE402" s="115">
        <f t="shared" si="283"/>
        <v>5.7200000000000006</v>
      </c>
      <c r="DF402" s="121">
        <f t="shared" si="284"/>
        <v>8.2799999999999994</v>
      </c>
      <c r="DG402" s="115">
        <f t="shared" si="285"/>
        <v>488.72180451127832</v>
      </c>
      <c r="DH402" s="115">
        <f t="shared" si="286"/>
        <v>50</v>
      </c>
      <c r="DI402" s="147"/>
      <c r="DJ402" s="111">
        <v>43088</v>
      </c>
      <c r="DK402" s="112">
        <v>43173</v>
      </c>
      <c r="DL402" s="113">
        <f t="shared" ca="1" si="312"/>
        <v>1931</v>
      </c>
      <c r="DM402" s="114"/>
      <c r="DN402" s="114"/>
      <c r="DO402" s="114"/>
      <c r="DP402" s="114"/>
      <c r="DQ402" s="112">
        <v>43079</v>
      </c>
      <c r="DR402" s="114" t="s">
        <v>324</v>
      </c>
      <c r="DS402" s="114"/>
      <c r="DT402" s="115">
        <v>60</v>
      </c>
      <c r="DU402" s="116">
        <f t="shared" si="313"/>
        <v>0.16279069767441862</v>
      </c>
      <c r="DV402" s="117">
        <f t="shared" si="314"/>
        <v>11.703999999999999</v>
      </c>
      <c r="DW402" s="118">
        <f t="shared" si="315"/>
        <v>14</v>
      </c>
      <c r="DX402" s="119">
        <f t="shared" si="287"/>
        <v>0</v>
      </c>
      <c r="DY402" s="115">
        <f t="shared" si="316"/>
        <v>5.7200000000000006</v>
      </c>
      <c r="DZ402" s="117">
        <f t="shared" si="317"/>
        <v>0</v>
      </c>
      <c r="EA402" s="120">
        <f t="shared" si="317"/>
        <v>0</v>
      </c>
      <c r="EB402" s="119">
        <f t="shared" si="264"/>
        <v>0</v>
      </c>
      <c r="EC402" s="121">
        <f t="shared" si="318"/>
        <v>0</v>
      </c>
      <c r="ED402" s="122"/>
      <c r="EE402" s="145">
        <v>65</v>
      </c>
      <c r="EF402" s="115">
        <v>27</v>
      </c>
      <c r="EG402" s="115">
        <v>40</v>
      </c>
      <c r="EH402" s="115">
        <v>26</v>
      </c>
      <c r="EI402" s="128" t="s">
        <v>195</v>
      </c>
      <c r="EJ402" s="121">
        <v>24</v>
      </c>
      <c r="EK402" s="121">
        <v>0</v>
      </c>
      <c r="EL402" s="149">
        <v>9.3631999999999991</v>
      </c>
      <c r="EM402" s="142">
        <v>11.2</v>
      </c>
      <c r="EN402" s="119">
        <v>0</v>
      </c>
      <c r="EO402" s="115">
        <v>24</v>
      </c>
      <c r="EP402" s="115">
        <v>1589.2002734107998</v>
      </c>
      <c r="EQ402" s="115">
        <v>74</v>
      </c>
      <c r="ER402" s="115">
        <v>9.1199999999999992</v>
      </c>
      <c r="ES402" s="115">
        <v>51</v>
      </c>
      <c r="ET402" s="150">
        <v>0.11789473684210526</v>
      </c>
      <c r="EU402" s="145">
        <f t="shared" si="288"/>
        <v>65</v>
      </c>
      <c r="EV402" s="115">
        <f t="shared" si="289"/>
        <v>26</v>
      </c>
      <c r="EW402" s="115">
        <f t="shared" si="289"/>
        <v>42</v>
      </c>
      <c r="EX402" s="115">
        <f t="shared" si="289"/>
        <v>25</v>
      </c>
      <c r="EY402" s="115" t="str">
        <f t="shared" si="309"/>
        <v>Постоянный</v>
      </c>
      <c r="EZ402" s="115">
        <f t="shared" si="309"/>
        <v>24</v>
      </c>
      <c r="FA402" s="115">
        <f t="shared" si="309"/>
        <v>0</v>
      </c>
      <c r="FB402" s="149">
        <f t="shared" si="298"/>
        <v>11.703999999999999</v>
      </c>
      <c r="FC402" s="142">
        <f t="shared" si="298"/>
        <v>14</v>
      </c>
      <c r="FD402" s="119">
        <f t="shared" si="298"/>
        <v>0</v>
      </c>
      <c r="FE402" s="121">
        <f t="shared" si="298"/>
        <v>14</v>
      </c>
      <c r="FF402" s="121">
        <f t="shared" si="300"/>
        <v>488.72180451127832</v>
      </c>
      <c r="FG402" s="121">
        <f t="shared" si="290"/>
        <v>67</v>
      </c>
      <c r="FH402" s="121">
        <f t="shared" si="301"/>
        <v>8.2799999999999994</v>
      </c>
      <c r="FI402" s="121">
        <f t="shared" si="306"/>
        <v>50</v>
      </c>
      <c r="FJ402" s="144">
        <f t="shared" si="291"/>
        <v>0.14583333333333334</v>
      </c>
      <c r="FK402" s="132">
        <f t="shared" si="292"/>
        <v>0</v>
      </c>
      <c r="FL402" s="115">
        <f t="shared" si="292"/>
        <v>-1</v>
      </c>
      <c r="FM402" s="115">
        <f t="shared" si="292"/>
        <v>2</v>
      </c>
      <c r="FN402" s="115">
        <f t="shared" si="273"/>
        <v>-1</v>
      </c>
      <c r="FO402" s="115">
        <f t="shared" si="311"/>
        <v>0</v>
      </c>
      <c r="FP402" s="115">
        <f t="shared" si="311"/>
        <v>0</v>
      </c>
      <c r="FQ402" s="149">
        <f t="shared" si="311"/>
        <v>2.3407999999999998</v>
      </c>
      <c r="FR402" s="142">
        <f t="shared" si="311"/>
        <v>2.8000000000000007</v>
      </c>
      <c r="FS402" s="119">
        <f t="shared" si="311"/>
        <v>0</v>
      </c>
      <c r="FT402" s="121">
        <f t="shared" si="311"/>
        <v>-10</v>
      </c>
      <c r="FU402" s="121">
        <f t="shared" si="293"/>
        <v>-7</v>
      </c>
      <c r="FV402" s="121">
        <f t="shared" si="293"/>
        <v>-0.83999999999999986</v>
      </c>
      <c r="FW402" s="121">
        <f t="shared" si="294"/>
        <v>-1100.4784688995214</v>
      </c>
      <c r="FX402" s="121">
        <f t="shared" si="295"/>
        <v>-1</v>
      </c>
      <c r="FY402" s="144">
        <f t="shared" si="295"/>
        <v>2.7938596491228082E-2</v>
      </c>
      <c r="FZ402" s="145" t="s">
        <v>199</v>
      </c>
      <c r="GA402" s="125" t="s">
        <v>200</v>
      </c>
      <c r="GB402" s="145" t="s">
        <v>199</v>
      </c>
      <c r="GC402" s="125" t="s">
        <v>415</v>
      </c>
      <c r="GD402" s="997" t="s">
        <v>202</v>
      </c>
      <c r="GE402" s="1004" t="s">
        <v>199</v>
      </c>
      <c r="GF402" s="1004">
        <v>-3.1768000000000001</v>
      </c>
      <c r="GG402" s="1004"/>
      <c r="GH402" s="1004">
        <v>0</v>
      </c>
      <c r="GI402" s="145"/>
      <c r="GJ402" s="996">
        <v>0</v>
      </c>
      <c r="GK402" s="145"/>
      <c r="GL402" s="996">
        <v>-0.8360000000000003</v>
      </c>
      <c r="GM402" s="1005"/>
      <c r="GN402" s="996">
        <v>0.8360000000000003</v>
      </c>
      <c r="GO402" s="1006"/>
      <c r="GP402" s="996">
        <v>0</v>
      </c>
      <c r="GQ402" s="1006" t="s">
        <v>240</v>
      </c>
      <c r="GR402" s="996">
        <v>-1.6720000000000006</v>
      </c>
      <c r="GS402" s="1006"/>
      <c r="GT402" s="996">
        <v>0.79419999999999824</v>
      </c>
      <c r="GU402" s="1006"/>
      <c r="GV402" s="996">
        <v>0</v>
      </c>
      <c r="GW402" s="1006"/>
      <c r="GX402" s="996">
        <v>0</v>
      </c>
      <c r="GY402" s="1006"/>
      <c r="GZ402" s="996">
        <v>0</v>
      </c>
      <c r="HA402" s="1006"/>
      <c r="HB402" s="996">
        <v>-0.11703999999999759</v>
      </c>
      <c r="HC402" s="1006" t="s">
        <v>199</v>
      </c>
      <c r="HD402" s="996">
        <v>1.7907119999999992</v>
      </c>
      <c r="HE402" s="1006"/>
      <c r="HF402" s="996">
        <v>0</v>
      </c>
      <c r="HG402" s="1006" t="s">
        <v>199</v>
      </c>
      <c r="HH402" s="996">
        <v>-3.3363422400000005</v>
      </c>
      <c r="HI402" s="1006" t="s">
        <v>199</v>
      </c>
      <c r="HJ402" s="996">
        <v>2.9325993840000013</v>
      </c>
      <c r="HK402" s="1006"/>
      <c r="HL402" s="996">
        <v>-7.5691440000014154E-3</v>
      </c>
      <c r="HM402" s="1006"/>
      <c r="HN402" s="996">
        <v>0</v>
      </c>
      <c r="HO402" s="1006"/>
      <c r="HP402" s="996">
        <v>0</v>
      </c>
      <c r="HQ402" s="1006"/>
      <c r="HR402" s="996">
        <v>0</v>
      </c>
      <c r="HS402" s="1006" t="s">
        <v>643</v>
      </c>
      <c r="HT402" s="996">
        <v>0</v>
      </c>
      <c r="HU402" s="1006"/>
      <c r="HV402" s="996">
        <v>-0.42635999999999896</v>
      </c>
      <c r="HW402" s="1006" t="s">
        <v>241</v>
      </c>
      <c r="HX402" s="996">
        <v>-2.7420799999999996</v>
      </c>
      <c r="HY402" s="1006"/>
      <c r="HZ402" s="996">
        <v>-0.56223508000000244</v>
      </c>
      <c r="IA402" s="1006"/>
      <c r="IB402" s="996">
        <v>-0.59121083999999868</v>
      </c>
      <c r="IC402" s="1006"/>
      <c r="ID402" s="996">
        <v>0.23384592000000026</v>
      </c>
      <c r="IE402" s="1006"/>
      <c r="IF402" s="996">
        <v>0</v>
      </c>
      <c r="IG402" s="1006"/>
      <c r="IH402" s="996">
        <v>-0.6681311999999977</v>
      </c>
      <c r="II402" s="1006"/>
      <c r="IJ402" s="996">
        <v>0.83516399999999891</v>
      </c>
      <c r="IK402" s="1006"/>
      <c r="IL402" s="996">
        <v>0</v>
      </c>
      <c r="IM402" s="1006"/>
      <c r="IN402" s="996">
        <v>0</v>
      </c>
      <c r="IO402" s="1006"/>
      <c r="IP402" s="996">
        <v>0</v>
      </c>
      <c r="IQ402" s="1006" t="s">
        <v>199</v>
      </c>
      <c r="IR402" s="996">
        <v>-1.2360427200000004</v>
      </c>
      <c r="IS402" s="1006" t="s">
        <v>223</v>
      </c>
      <c r="IT402" s="996">
        <v>-3.1068100800000025</v>
      </c>
      <c r="IU402" s="1006"/>
      <c r="IV402" s="996">
        <v>0</v>
      </c>
      <c r="IW402" s="1006"/>
      <c r="IX402" s="996">
        <v>0</v>
      </c>
      <c r="IY402" s="1006"/>
      <c r="IZ402" s="996">
        <v>0</v>
      </c>
      <c r="JA402" s="1006" t="s">
        <v>199</v>
      </c>
      <c r="JB402" s="996">
        <v>17.120862000000002</v>
      </c>
      <c r="JC402" s="1006"/>
      <c r="JD402" s="996">
        <v>0</v>
      </c>
      <c r="JE402" s="1006" t="s">
        <v>199</v>
      </c>
      <c r="JF402" s="996">
        <v>-19.459321200000002</v>
      </c>
      <c r="JG402" s="1006"/>
      <c r="JH402" s="996">
        <v>0</v>
      </c>
      <c r="JI402" s="1006"/>
      <c r="JJ402" s="996">
        <v>0</v>
      </c>
      <c r="JK402" s="1007"/>
      <c r="JL402" s="1007">
        <v>0</v>
      </c>
      <c r="JM402" s="1007" t="s">
        <v>199</v>
      </c>
      <c r="JN402" s="1007">
        <v>4.0087872000000004</v>
      </c>
      <c r="JO402" s="1008"/>
      <c r="JP402" s="1007">
        <v>0</v>
      </c>
      <c r="JQ402" s="1008">
        <v>0</v>
      </c>
      <c r="JR402" s="1007">
        <v>0</v>
      </c>
      <c r="JS402" s="1008">
        <v>0</v>
      </c>
      <c r="JT402" s="1007">
        <v>-1.9227999999998246E-2</v>
      </c>
      <c r="JU402" s="1008"/>
      <c r="JV402" s="1007">
        <v>0</v>
      </c>
      <c r="JW402" s="1008" t="s">
        <v>197</v>
      </c>
      <c r="JX402" s="1007">
        <v>0</v>
      </c>
      <c r="JY402" s="1008" t="s">
        <v>199</v>
      </c>
      <c r="JZ402" s="1007">
        <v>-10.868000000000002</v>
      </c>
      <c r="KA402" s="1008"/>
      <c r="KB402" s="1007">
        <v>0</v>
      </c>
      <c r="KC402" s="1008" t="s">
        <v>199</v>
      </c>
      <c r="KD402" s="1007">
        <v>4.18</v>
      </c>
      <c r="KE402" s="1008" t="s">
        <v>199</v>
      </c>
      <c r="KF402" s="1007">
        <v>-8.3599999999999959</v>
      </c>
      <c r="KG402" s="1008" t="s">
        <v>207</v>
      </c>
      <c r="KH402" s="1007">
        <v>-5.8520000000000039</v>
      </c>
      <c r="KI402" s="1008" t="s">
        <v>207</v>
      </c>
      <c r="KJ402" s="1007">
        <v>-3.3440000000000012</v>
      </c>
      <c r="KK402" s="1008"/>
      <c r="KL402" s="1007">
        <v>0</v>
      </c>
      <c r="KM402" s="1008" t="s">
        <v>240</v>
      </c>
      <c r="KN402" s="1007">
        <v>7.5240000000000009</v>
      </c>
      <c r="KO402" s="1008" t="s">
        <v>204</v>
      </c>
      <c r="KP402" s="1007">
        <v>1.6720000000000041</v>
      </c>
      <c r="KQ402" s="1008">
        <v>0</v>
      </c>
      <c r="KR402" s="1007">
        <v>0</v>
      </c>
      <c r="KS402" s="1008">
        <v>0</v>
      </c>
      <c r="KT402" s="1007">
        <v>-6.6879999999999988</v>
      </c>
      <c r="KU402" s="1008">
        <v>0</v>
      </c>
      <c r="KV402" s="1007">
        <v>0</v>
      </c>
      <c r="KW402" s="1008" t="s">
        <v>240</v>
      </c>
      <c r="KX402" s="1007">
        <v>-6.6880000000000024</v>
      </c>
      <c r="KY402" s="1008" t="s">
        <v>224</v>
      </c>
      <c r="KZ402" s="1007">
        <v>40.963999999999999</v>
      </c>
      <c r="LA402" s="1008">
        <v>0</v>
      </c>
      <c r="LB402" s="1007">
        <v>0</v>
      </c>
      <c r="LC402" s="1008">
        <v>0</v>
      </c>
      <c r="LD402" s="1007">
        <v>0</v>
      </c>
      <c r="LE402" s="1008" t="s">
        <v>25</v>
      </c>
      <c r="LF402" s="1007">
        <v>43.99868</v>
      </c>
      <c r="LG402" s="1008">
        <v>0</v>
      </c>
      <c r="LH402" s="1007">
        <v>0</v>
      </c>
      <c r="LI402" s="1008">
        <v>0</v>
      </c>
      <c r="LJ402" s="1007">
        <v>0</v>
      </c>
      <c r="LK402" s="1008">
        <v>0</v>
      </c>
      <c r="LL402" s="1007">
        <v>0</v>
      </c>
      <c r="LM402" s="1008">
        <v>0</v>
      </c>
      <c r="LN402" s="1007">
        <v>0</v>
      </c>
      <c r="LO402" s="1008">
        <v>0</v>
      </c>
      <c r="LP402" s="1007">
        <v>0</v>
      </c>
      <c r="LQ402" s="1008">
        <v>0</v>
      </c>
      <c r="LR402" s="1007">
        <v>0</v>
      </c>
      <c r="LS402" s="1008">
        <v>0</v>
      </c>
      <c r="LT402" s="1007">
        <v>0</v>
      </c>
      <c r="LU402" s="1008">
        <v>0</v>
      </c>
      <c r="LV402" s="1007">
        <v>0</v>
      </c>
      <c r="LW402" s="1008">
        <v>0</v>
      </c>
      <c r="LX402" s="1007">
        <v>0</v>
      </c>
      <c r="LY402" s="1009">
        <v>0</v>
      </c>
      <c r="LZ402" s="1010">
        <v>0</v>
      </c>
      <c r="MA402" s="1011">
        <v>0</v>
      </c>
      <c r="MB402" s="1012">
        <v>0</v>
      </c>
      <c r="MC402" s="995"/>
      <c r="MD402" s="996"/>
      <c r="ME402" s="997" t="s">
        <v>202</v>
      </c>
      <c r="MF402" s="997"/>
      <c r="MG402" s="998"/>
      <c r="MH402" s="878"/>
      <c r="MI402" s="878"/>
      <c r="MJ402" s="878"/>
      <c r="MK402" s="878"/>
      <c r="ML402" s="878"/>
      <c r="MM402" s="878"/>
      <c r="MN402" s="878"/>
      <c r="MO402" s="878"/>
      <c r="MP402" s="878"/>
      <c r="MQ402" s="878"/>
      <c r="MR402" s="878"/>
      <c r="MS402" s="878"/>
      <c r="MT402" s="878"/>
      <c r="MU402" s="878"/>
      <c r="MV402" s="878"/>
      <c r="MW402" s="878"/>
      <c r="MX402" s="878"/>
      <c r="MY402" s="878"/>
      <c r="MZ402" s="878"/>
      <c r="NA402" s="878"/>
      <c r="NB402" s="878"/>
      <c r="NC402" s="878"/>
      <c r="ND402" s="878"/>
      <c r="NE402" s="878"/>
      <c r="NF402" s="878"/>
      <c r="NG402" s="878"/>
      <c r="NH402" s="878"/>
      <c r="NI402" s="878"/>
      <c r="NJ402" s="878"/>
      <c r="NK402" s="878"/>
      <c r="NL402" s="878"/>
      <c r="NM402" s="878"/>
      <c r="NR402" s="1027"/>
      <c r="NS402" s="1027"/>
      <c r="NT402" s="1028"/>
      <c r="NU402" s="1027"/>
      <c r="NV402" s="1028"/>
      <c r="NW402" s="1029"/>
      <c r="NX402" s="1030"/>
      <c r="NY402" s="1029"/>
      <c r="NZ402" s="1028"/>
      <c r="OA402" s="1028"/>
      <c r="OB402" s="1029"/>
      <c r="OC402" s="1031"/>
      <c r="OD402" s="1031"/>
      <c r="OE402" s="1028"/>
      <c r="OF402" s="1031"/>
      <c r="OG402" s="1031"/>
      <c r="QX402" s="1000">
        <f>CN402-CA402</f>
        <v>24</v>
      </c>
      <c r="ASU402" s="1026" t="s">
        <v>208</v>
      </c>
    </row>
    <row r="403" spans="1:466 1191:1191" s="1029" customFormat="1" ht="21" customHeight="1" x14ac:dyDescent="0.25">
      <c r="A403" s="982">
        <f t="shared" si="274"/>
        <v>1469</v>
      </c>
      <c r="B403" s="124">
        <f>SUBTOTAL(103,$J$29:J403)</f>
        <v>375</v>
      </c>
      <c r="C403" s="126">
        <v>45068</v>
      </c>
      <c r="D403" s="124" t="s">
        <v>176</v>
      </c>
      <c r="E403" s="127" t="s">
        <v>177</v>
      </c>
      <c r="F403" s="128" t="s">
        <v>177</v>
      </c>
      <c r="G403" s="127" t="s">
        <v>178</v>
      </c>
      <c r="H403" s="127" t="s">
        <v>179</v>
      </c>
      <c r="I403" s="127" t="s">
        <v>1339</v>
      </c>
      <c r="J403" s="152">
        <v>1469</v>
      </c>
      <c r="K403" s="127" t="s">
        <v>1330</v>
      </c>
      <c r="L403" s="130">
        <v>44118</v>
      </c>
      <c r="M403" s="127" t="s">
        <v>230</v>
      </c>
      <c r="N403" s="127" t="s">
        <v>184</v>
      </c>
      <c r="O403" s="127" t="s">
        <v>185</v>
      </c>
      <c r="P403" s="127" t="s">
        <v>186</v>
      </c>
      <c r="Q403" s="85" t="str">
        <f t="shared" si="319"/>
        <v/>
      </c>
      <c r="R403" s="130"/>
      <c r="S403" s="128"/>
      <c r="T403" s="131"/>
      <c r="U403" s="132">
        <v>203</v>
      </c>
      <c r="V403" s="121">
        <v>218.2</v>
      </c>
      <c r="W403" s="116">
        <v>0.98</v>
      </c>
      <c r="X403" s="116">
        <v>1.66</v>
      </c>
      <c r="Y403" s="116">
        <f t="shared" si="299"/>
        <v>0.99537190001737674</v>
      </c>
      <c r="Z403" s="133">
        <v>1.454</v>
      </c>
      <c r="AA403" s="133">
        <v>0.83599999999999997</v>
      </c>
      <c r="AB403" s="133">
        <v>0.72</v>
      </c>
      <c r="AC403" s="121">
        <v>34.299999999999997</v>
      </c>
      <c r="AD403" s="134">
        <v>1.17</v>
      </c>
      <c r="AE403" s="124">
        <v>177.8</v>
      </c>
      <c r="AF403" s="128">
        <v>9.19</v>
      </c>
      <c r="AG403" s="128">
        <v>2583</v>
      </c>
      <c r="AH403" s="127">
        <v>3536.66</v>
      </c>
      <c r="AI403" s="127">
        <v>3536.66</v>
      </c>
      <c r="AJ403" s="135"/>
      <c r="AK403" s="128"/>
      <c r="AL403" s="131"/>
      <c r="AM403" s="124" t="s">
        <v>985</v>
      </c>
      <c r="AN403" s="136" t="s">
        <v>1565</v>
      </c>
      <c r="AO403" s="137">
        <v>112.78</v>
      </c>
      <c r="AP403" s="128">
        <v>2672.04</v>
      </c>
      <c r="AQ403" s="128">
        <f>AP403-1667.55-159.9</f>
        <v>844.59</v>
      </c>
      <c r="AR403" s="128"/>
      <c r="AS403" s="128"/>
      <c r="AT403" s="122"/>
      <c r="AU403" s="124" t="s">
        <v>189</v>
      </c>
      <c r="AV403" s="115">
        <f>VLOOKUP(J403,'[63]ТР нефть'!$J$28:$BP$638,39,0)</f>
        <v>584.99997597699996</v>
      </c>
      <c r="AW403" s="115" t="str">
        <f>VLOOKUP(J403,'[63]ТР нефть'!$J$28:$BP$638,40,0)</f>
        <v>ГП</v>
      </c>
      <c r="AX403" s="115">
        <f>VLOOKUP(J403,'[63]ТР нефть'!$J$28:$BP$638,41,0)</f>
        <v>1060.0000429690001</v>
      </c>
      <c r="AY403" s="115" t="str">
        <f>VLOOKUP(J403,'[63]ТР нефть'!$J$28:$BP$638,42,0)</f>
        <v>ГП</v>
      </c>
      <c r="AZ403" s="115">
        <f>VLOOKUP(J403,'[63]ТР нефть'!$J$28:$BP$638,43,0)</f>
        <v>1390.000067578</v>
      </c>
      <c r="BA403" s="115" t="str">
        <f>VLOOKUP(J403,'[63]ТР нефть'!$J$28:$BP$638,44,0)</f>
        <v>ГК70 1/8</v>
      </c>
      <c r="BB403" s="115">
        <f>VLOOKUP(J403,'[63]ТР нефть'!$J$28:$BP$638,45,0)</f>
        <v>1690.000062891</v>
      </c>
      <c r="BC403" s="115" t="str">
        <f>VLOOKUP(J403,'[63]ТР нефть'!$J$28:$BP$638,46,0)</f>
        <v>ГК70 1/8</v>
      </c>
      <c r="BD403" s="115">
        <f>VLOOKUP(J403,'[63]ТР нефть'!$J$28:$BP$638,47,0)</f>
        <v>1920.0000890629999</v>
      </c>
      <c r="BE403" s="115" t="str">
        <f>VLOOKUP(J403,'[63]ТР нефть'!$J$28:$BP$638,48,0)</f>
        <v>ГК69 5/32</v>
      </c>
      <c r="BF403" s="115">
        <f>VLOOKUP(J403,'[63]ТР нефть'!$J$28:$BP$638,49,0)</f>
        <v>2230</v>
      </c>
      <c r="BG403" s="115" t="str">
        <f>VLOOKUP(J403,'[63]ТР нефть'!$J$28:$BP$638,50,0)</f>
        <v>ЦКсОК 5/16</v>
      </c>
      <c r="BH403" s="115">
        <f>VLOOKUP(J403,'[63]ТР нефть'!$J$28:$BP$638,51,0)</f>
        <v>2240</v>
      </c>
      <c r="BI403" s="115" t="str">
        <f>VLOOKUP(J403,'[63]ТР нефть'!$J$28:$BP$638,52,0)</f>
        <v xml:space="preserve">закрыт </v>
      </c>
      <c r="BJ403" s="115" t="str">
        <f>IF(IFERROR(VLOOKUP(J403,'[63]ТР нефть'!$J$28:$BP$638,53,0),"-")=0,"-",IFERROR(VLOOKUP(J403,'[63]ТР нефть'!$J$28:$BP$638,53,0),"-"))</f>
        <v>-</v>
      </c>
      <c r="BK403" s="138" t="str">
        <f>IF(IFERROR(VLOOKUP(J403,'[63]ТР нефть'!$J$28:$BP$638,54,0),"-")=0,"-",IFERROR(VLOOKUP(J403,'[63]ТР нефть'!$J$28:$BP$638,54,0),"-"))</f>
        <v>-</v>
      </c>
      <c r="BL403" s="138" t="str">
        <f>IF(IFERROR(VLOOKUP(J403,'[63]ТР нефть'!$J$28:$BP$638,55,0),"-")=0,"-",IFERROR(VLOOKUP(J403,'[63]ТР нефть'!$J$28:$BP$638,55,0),"-"))</f>
        <v>-</v>
      </c>
      <c r="BM403" s="138" t="str">
        <f>IF(IFERROR(VLOOKUP(J403,'[63]ТР нефть'!$J$28:$BP$638,56,0),"-")=0,"-",IFERROR(VLOOKUP(J403,'[63]ТР нефть'!$J$28:$BP$638,56,0),"-"))</f>
        <v>-</v>
      </c>
      <c r="BN403" s="138" t="str">
        <f>IF(IFERROR(VLOOKUP(J403,'[63]ТР нефть'!$J$28:$BP$638,57,0),"-")=0,"-",IFERROR(VLOOKUP(J403,'[63]ТР нефть'!$J$28:$BP$638,57,0),"-"))</f>
        <v>-</v>
      </c>
      <c r="BO403" s="115" t="str">
        <f>IF(IFERROR(VLOOKUP(J403,'[63]ТР нефть'!$J$28:$BP$638,58,0),"-")=0,"-",IFERROR(VLOOKUP(J403,'[63]ТР нефть'!$J$28:$BP$638,58,0),"-"))</f>
        <v>-</v>
      </c>
      <c r="BP403" s="115" t="str">
        <f>IF(IFERROR(VLOOKUP(J403,'[63]ТР нефть'!$J$28:$BP$638,59,0),"-")=0,"-",IFERROR(VLOOKUP(J403,'[63]ТР нефть'!$J$28:$BP$638,59,0),"-"))</f>
        <v>-</v>
      </c>
      <c r="BQ403" s="138">
        <v>2509</v>
      </c>
      <c r="BR403" s="128">
        <f>1655.49+159.9</f>
        <v>1815.39</v>
      </c>
      <c r="BS403" s="115">
        <f t="shared" si="307"/>
        <v>693.6099999999999</v>
      </c>
      <c r="BT403" s="128">
        <v>73</v>
      </c>
      <c r="BU403" s="128">
        <v>5.5</v>
      </c>
      <c r="BV403" s="127">
        <v>18</v>
      </c>
      <c r="BW403" s="127" t="s">
        <v>217</v>
      </c>
      <c r="BX403" s="127" t="s">
        <v>195</v>
      </c>
      <c r="BY403" s="139">
        <v>24</v>
      </c>
      <c r="BZ403" s="139">
        <v>0</v>
      </c>
      <c r="CA403" s="138">
        <v>15</v>
      </c>
      <c r="CB403" s="138">
        <v>48</v>
      </c>
      <c r="CC403" s="138">
        <v>14</v>
      </c>
      <c r="CD403" s="135">
        <v>45017</v>
      </c>
      <c r="CE403" s="138">
        <v>111</v>
      </c>
      <c r="CF403" s="138">
        <v>71</v>
      </c>
      <c r="CG403" s="138" t="s">
        <v>186</v>
      </c>
      <c r="CH403" s="138" t="s">
        <v>1566</v>
      </c>
      <c r="CI403" s="127">
        <v>5</v>
      </c>
      <c r="CJ403" s="138"/>
      <c r="CK403" s="138">
        <f t="shared" si="308"/>
        <v>30</v>
      </c>
      <c r="CL403" s="99"/>
      <c r="CM403" s="99"/>
      <c r="CN403" s="140">
        <v>45</v>
      </c>
      <c r="CO403" s="141">
        <f t="shared" si="276"/>
        <v>7.2403452000000001</v>
      </c>
      <c r="CP403" s="142">
        <v>9</v>
      </c>
      <c r="CQ403" s="143">
        <v>3.77</v>
      </c>
      <c r="CR403" s="138">
        <v>12.8</v>
      </c>
      <c r="CS403" s="139">
        <v>7.4</v>
      </c>
      <c r="CT403" s="138"/>
      <c r="CU403" s="138">
        <f t="shared" si="320"/>
        <v>5.4</v>
      </c>
      <c r="CV403" s="115">
        <f t="shared" si="321"/>
        <v>745.8207931853857</v>
      </c>
      <c r="CW403" s="115">
        <f t="shared" si="279"/>
        <v>969.4423136364403</v>
      </c>
      <c r="CX403" s="133">
        <f t="shared" si="322"/>
        <v>0.13636363636363635</v>
      </c>
      <c r="CY403" s="116"/>
      <c r="CZ403" s="131"/>
      <c r="DA403" s="145" t="str">
        <f t="shared" si="281"/>
        <v>Газлифт</v>
      </c>
      <c r="DB403" s="146">
        <f t="shared" si="282"/>
        <v>7.2403452000000001</v>
      </c>
      <c r="DC403" s="142">
        <f t="shared" si="302"/>
        <v>9</v>
      </c>
      <c r="DD403" s="119">
        <f t="shared" si="303"/>
        <v>3.77</v>
      </c>
      <c r="DE403" s="115">
        <f t="shared" si="283"/>
        <v>5.4</v>
      </c>
      <c r="DF403" s="121">
        <f t="shared" si="284"/>
        <v>7.4</v>
      </c>
      <c r="DG403" s="115">
        <f t="shared" si="285"/>
        <v>745.8207931853857</v>
      </c>
      <c r="DH403" s="115">
        <f t="shared" si="286"/>
        <v>45</v>
      </c>
      <c r="DI403" s="147"/>
      <c r="DJ403" s="111"/>
      <c r="DK403" s="112">
        <v>44118</v>
      </c>
      <c r="DL403" s="113">
        <f t="shared" ca="1" si="312"/>
        <v>986</v>
      </c>
      <c r="DM403" s="114"/>
      <c r="DN403" s="114"/>
      <c r="DO403" s="114"/>
      <c r="DP403" s="114"/>
      <c r="DQ403" s="112"/>
      <c r="DR403" s="114"/>
      <c r="DS403" s="114"/>
      <c r="DT403" s="115">
        <v>53</v>
      </c>
      <c r="DU403" s="116">
        <f t="shared" si="313"/>
        <v>0.15517241379310345</v>
      </c>
      <c r="DV403" s="117">
        <f t="shared" si="314"/>
        <v>7.2403452000000001</v>
      </c>
      <c r="DW403" s="118">
        <f t="shared" si="315"/>
        <v>9</v>
      </c>
      <c r="DX403" s="119">
        <f t="shared" si="287"/>
        <v>3.77</v>
      </c>
      <c r="DY403" s="115">
        <f t="shared" si="316"/>
        <v>5.4</v>
      </c>
      <c r="DZ403" s="117">
        <f t="shared" si="317"/>
        <v>0</v>
      </c>
      <c r="EA403" s="120">
        <f t="shared" si="317"/>
        <v>0</v>
      </c>
      <c r="EB403" s="119">
        <f t="shared" si="317"/>
        <v>0</v>
      </c>
      <c r="EC403" s="121">
        <f t="shared" si="318"/>
        <v>0</v>
      </c>
      <c r="ED403" s="122"/>
      <c r="EE403" s="145">
        <v>18</v>
      </c>
      <c r="EF403" s="115">
        <v>15</v>
      </c>
      <c r="EG403" s="115">
        <v>43</v>
      </c>
      <c r="EH403" s="115">
        <v>14</v>
      </c>
      <c r="EI403" s="128" t="s">
        <v>195</v>
      </c>
      <c r="EJ403" s="121">
        <v>24</v>
      </c>
      <c r="EK403" s="121">
        <v>0</v>
      </c>
      <c r="EL403" s="149">
        <v>7.2403452000000001</v>
      </c>
      <c r="EM403" s="142">
        <v>9</v>
      </c>
      <c r="EN403" s="119">
        <v>3.77</v>
      </c>
      <c r="EO403" s="115">
        <v>12.8</v>
      </c>
      <c r="EP403" s="115">
        <v>607.70583148438834</v>
      </c>
      <c r="EQ403" s="115">
        <v>69</v>
      </c>
      <c r="ER403" s="115">
        <v>8.4</v>
      </c>
      <c r="ES403" s="115">
        <v>42</v>
      </c>
      <c r="ET403" s="150">
        <v>0.13043478260869565</v>
      </c>
      <c r="EU403" s="145">
        <f t="shared" si="288"/>
        <v>18</v>
      </c>
      <c r="EV403" s="115">
        <f t="shared" si="289"/>
        <v>15</v>
      </c>
      <c r="EW403" s="115">
        <f t="shared" si="289"/>
        <v>48</v>
      </c>
      <c r="EX403" s="115">
        <f t="shared" si="289"/>
        <v>14</v>
      </c>
      <c r="EY403" s="115" t="str">
        <f t="shared" si="309"/>
        <v>Постоянный</v>
      </c>
      <c r="EZ403" s="115">
        <f t="shared" si="309"/>
        <v>24</v>
      </c>
      <c r="FA403" s="115">
        <f t="shared" si="309"/>
        <v>0</v>
      </c>
      <c r="FB403" s="149">
        <f t="shared" si="298"/>
        <v>7.2403452000000001</v>
      </c>
      <c r="FC403" s="142">
        <f t="shared" si="298"/>
        <v>9</v>
      </c>
      <c r="FD403" s="119">
        <f t="shared" si="298"/>
        <v>3.77</v>
      </c>
      <c r="FE403" s="121">
        <f t="shared" si="298"/>
        <v>12.8</v>
      </c>
      <c r="FF403" s="121">
        <f t="shared" si="300"/>
        <v>745.8207931853857</v>
      </c>
      <c r="FG403" s="121">
        <f t="shared" si="290"/>
        <v>71</v>
      </c>
      <c r="FH403" s="121">
        <f t="shared" si="301"/>
        <v>7.4</v>
      </c>
      <c r="FI403" s="121">
        <f t="shared" si="306"/>
        <v>45</v>
      </c>
      <c r="FJ403" s="144">
        <f t="shared" si="291"/>
        <v>0.13636363636363635</v>
      </c>
      <c r="FK403" s="132">
        <f t="shared" si="292"/>
        <v>0</v>
      </c>
      <c r="FL403" s="115">
        <f t="shared" si="292"/>
        <v>0</v>
      </c>
      <c r="FM403" s="115">
        <f t="shared" si="292"/>
        <v>5</v>
      </c>
      <c r="FN403" s="115">
        <f t="shared" si="273"/>
        <v>0</v>
      </c>
      <c r="FO403" s="115">
        <f t="shared" si="311"/>
        <v>0</v>
      </c>
      <c r="FP403" s="115">
        <f t="shared" si="311"/>
        <v>0</v>
      </c>
      <c r="FQ403" s="149">
        <f t="shared" si="311"/>
        <v>0</v>
      </c>
      <c r="FR403" s="142">
        <f t="shared" si="311"/>
        <v>0</v>
      </c>
      <c r="FS403" s="119">
        <f t="shared" si="311"/>
        <v>0</v>
      </c>
      <c r="FT403" s="121">
        <f t="shared" si="311"/>
        <v>0</v>
      </c>
      <c r="FU403" s="121">
        <f t="shared" si="293"/>
        <v>2</v>
      </c>
      <c r="FV403" s="121">
        <f t="shared" si="293"/>
        <v>-1</v>
      </c>
      <c r="FW403" s="121">
        <f t="shared" si="294"/>
        <v>138.11496170099736</v>
      </c>
      <c r="FX403" s="121">
        <f t="shared" si="295"/>
        <v>3</v>
      </c>
      <c r="FY403" s="144">
        <f t="shared" si="295"/>
        <v>5.928853754940705E-3</v>
      </c>
      <c r="FZ403" s="145"/>
      <c r="GA403" s="131"/>
      <c r="GB403" s="145"/>
      <c r="GC403" s="131"/>
      <c r="GD403" s="997" t="s">
        <v>202</v>
      </c>
      <c r="GE403" s="1004"/>
      <c r="GF403" s="1004">
        <v>-5.7934799999999953E-2</v>
      </c>
      <c r="GG403" s="1004"/>
      <c r="GH403" s="1004">
        <v>0</v>
      </c>
      <c r="GI403" s="145"/>
      <c r="GJ403" s="996">
        <v>0</v>
      </c>
      <c r="GK403" s="145" t="s">
        <v>240</v>
      </c>
      <c r="GL403" s="996">
        <v>-2.0013421999999998</v>
      </c>
      <c r="GM403" s="1005" t="s">
        <v>204</v>
      </c>
      <c r="GN403" s="996">
        <v>-1.8373691599999997</v>
      </c>
      <c r="GO403" s="1006" t="s">
        <v>241</v>
      </c>
      <c r="GP403" s="996">
        <v>-4.1116486399999985</v>
      </c>
      <c r="GQ403" s="1006"/>
      <c r="GR403" s="996">
        <v>0</v>
      </c>
      <c r="GS403" s="1006" t="s">
        <v>204</v>
      </c>
      <c r="GT403" s="996">
        <v>-1.5524519999999988</v>
      </c>
      <c r="GU403" s="1006"/>
      <c r="GV403" s="996">
        <v>0</v>
      </c>
      <c r="GW403" s="1006" t="s">
        <v>223</v>
      </c>
      <c r="GX403" s="996">
        <v>-0.80005200000000087</v>
      </c>
      <c r="GY403" s="1006" t="s">
        <v>199</v>
      </c>
      <c r="GZ403" s="996">
        <v>1.9193815960000009</v>
      </c>
      <c r="HA403" s="1006" t="s">
        <v>199</v>
      </c>
      <c r="HB403" s="996">
        <v>1.3244656039999985</v>
      </c>
      <c r="HC403" s="1006"/>
      <c r="HD403" s="996">
        <v>-0.40876638000000121</v>
      </c>
      <c r="HE403" s="1006"/>
      <c r="HF403" s="996">
        <v>-0.17683908000000059</v>
      </c>
      <c r="HG403" s="1006" t="s">
        <v>223</v>
      </c>
      <c r="HH403" s="996">
        <v>-3.1765282999999975</v>
      </c>
      <c r="HI403" s="1006" t="s">
        <v>199</v>
      </c>
      <c r="HJ403" s="996">
        <v>3.0140809599999994</v>
      </c>
      <c r="HK403" s="1006" t="s">
        <v>223</v>
      </c>
      <c r="HL403" s="996">
        <v>-1.7343656000000021</v>
      </c>
      <c r="HM403" s="1006" t="s">
        <v>276</v>
      </c>
      <c r="HN403" s="996">
        <v>4.2931442400000002</v>
      </c>
      <c r="HO403" s="1006"/>
      <c r="HP403" s="996">
        <v>0</v>
      </c>
      <c r="HQ403" s="1006"/>
      <c r="HR403" s="996">
        <v>0</v>
      </c>
      <c r="HS403" s="1006" t="s">
        <v>643</v>
      </c>
      <c r="HT403" s="996">
        <v>0</v>
      </c>
      <c r="HU403" s="1006" t="s">
        <v>204</v>
      </c>
      <c r="HV403" s="996">
        <v>-1.7883608335999988</v>
      </c>
      <c r="HW403" s="1006" t="s">
        <v>199</v>
      </c>
      <c r="HX403" s="996">
        <v>3.5643659216000003</v>
      </c>
      <c r="HY403" s="1006" t="s">
        <v>199</v>
      </c>
      <c r="HZ403" s="996">
        <v>-2.9268961919999992</v>
      </c>
      <c r="IA403" s="1006" t="s">
        <v>1382</v>
      </c>
      <c r="IB403" s="996">
        <v>-6.9130311360000025</v>
      </c>
      <c r="IC403" s="1006" t="s">
        <v>223</v>
      </c>
      <c r="ID403" s="996">
        <v>-1.1255068000000001</v>
      </c>
      <c r="IE403" s="1006" t="s">
        <v>223</v>
      </c>
      <c r="IF403" s="996">
        <v>-9.4551599999999993</v>
      </c>
      <c r="IG403" s="1006" t="s">
        <v>1382</v>
      </c>
      <c r="IH403" s="996">
        <v>9.8898800000000016</v>
      </c>
      <c r="II403" s="1006"/>
      <c r="IJ403" s="996">
        <v>4.6815999999999747E-2</v>
      </c>
      <c r="IK403" s="1006"/>
      <c r="IL403" s="996">
        <v>0</v>
      </c>
      <c r="IM403" s="1006" t="s">
        <v>203</v>
      </c>
      <c r="IN403" s="996">
        <v>-13.857536000000003</v>
      </c>
      <c r="IO403" s="1006" t="s">
        <v>25</v>
      </c>
      <c r="IP403" s="996">
        <v>35.112000000000002</v>
      </c>
      <c r="IQ403" s="1006"/>
      <c r="IR403" s="996"/>
      <c r="IS403" s="1006"/>
      <c r="IT403" s="996"/>
      <c r="IU403" s="1006"/>
      <c r="IV403" s="996"/>
      <c r="IW403" s="1006"/>
      <c r="IX403" s="996"/>
      <c r="IY403" s="1006"/>
      <c r="IZ403" s="996"/>
      <c r="JA403" s="1006"/>
      <c r="JB403" s="996"/>
      <c r="JC403" s="1006"/>
      <c r="JD403" s="996"/>
      <c r="JE403" s="1006"/>
      <c r="JF403" s="996"/>
      <c r="JG403" s="1006"/>
      <c r="JH403" s="996"/>
      <c r="JI403" s="1006"/>
      <c r="JJ403" s="996"/>
      <c r="JK403" s="1007"/>
      <c r="JL403" s="1007"/>
      <c r="JM403" s="1007"/>
      <c r="JN403" s="1007"/>
      <c r="JO403" s="1008"/>
      <c r="JP403" s="1007"/>
      <c r="JQ403" s="1008"/>
      <c r="JR403" s="1007"/>
      <c r="JS403" s="1008"/>
      <c r="JT403" s="1007"/>
      <c r="JU403" s="1008"/>
      <c r="JV403" s="1007"/>
      <c r="JW403" s="1008"/>
      <c r="JX403" s="1007"/>
      <c r="JY403" s="1008"/>
      <c r="JZ403" s="1007"/>
      <c r="KA403" s="1008"/>
      <c r="KB403" s="1007"/>
      <c r="KC403" s="1008"/>
      <c r="KD403" s="1007"/>
      <c r="KE403" s="1008"/>
      <c r="KF403" s="1007"/>
      <c r="KG403" s="1008"/>
      <c r="KH403" s="1007"/>
      <c r="KI403" s="1008"/>
      <c r="KJ403" s="1007"/>
      <c r="KK403" s="1008"/>
      <c r="KL403" s="1007"/>
      <c r="KM403" s="1008"/>
      <c r="KN403" s="1007"/>
      <c r="KO403" s="1008"/>
      <c r="KP403" s="1007"/>
      <c r="KQ403" s="1008"/>
      <c r="KR403" s="1007"/>
      <c r="KS403" s="1008"/>
      <c r="KT403" s="1007"/>
      <c r="KU403" s="1008"/>
      <c r="KV403" s="1007"/>
      <c r="KW403" s="1008"/>
      <c r="KX403" s="1007"/>
      <c r="KY403" s="1008"/>
      <c r="KZ403" s="1007"/>
      <c r="LA403" s="1008"/>
      <c r="LB403" s="1007"/>
      <c r="LC403" s="1008"/>
      <c r="LD403" s="1007"/>
      <c r="LE403" s="1008"/>
      <c r="LF403" s="1007"/>
      <c r="LG403" s="1008"/>
      <c r="LH403" s="1007"/>
      <c r="LI403" s="1008"/>
      <c r="LJ403" s="1007"/>
      <c r="LK403" s="1008"/>
      <c r="LL403" s="1007"/>
      <c r="LM403" s="1008"/>
      <c r="LN403" s="1007"/>
      <c r="LO403" s="1008"/>
      <c r="LP403" s="1007"/>
      <c r="LQ403" s="1008"/>
      <c r="LR403" s="1007"/>
      <c r="LS403" s="1008"/>
      <c r="LT403" s="1007"/>
      <c r="LU403" s="1008"/>
      <c r="LV403" s="1007"/>
      <c r="LW403" s="1008"/>
      <c r="LX403" s="1007"/>
      <c r="LY403" s="1009"/>
      <c r="LZ403" s="1010"/>
      <c r="MA403" s="1011"/>
      <c r="MB403" s="1012"/>
      <c r="MC403" s="995"/>
      <c r="MD403" s="996"/>
      <c r="ME403" s="997" t="s">
        <v>202</v>
      </c>
      <c r="MF403" s="997"/>
      <c r="MG403" s="998"/>
      <c r="MH403" s="878"/>
      <c r="MI403" s="878"/>
      <c r="MJ403" s="878"/>
      <c r="MK403" s="878"/>
      <c r="ML403" s="878"/>
      <c r="MM403" s="878"/>
      <c r="MN403" s="878"/>
      <c r="MO403" s="878"/>
      <c r="MP403" s="878"/>
      <c r="MQ403" s="878"/>
      <c r="MR403" s="878"/>
      <c r="MS403" s="878"/>
      <c r="MT403" s="878"/>
      <c r="MU403" s="878"/>
      <c r="MV403" s="878"/>
      <c r="MW403" s="878"/>
      <c r="MX403" s="878"/>
      <c r="MY403" s="878"/>
      <c r="MZ403" s="878"/>
      <c r="NA403" s="878"/>
      <c r="NB403" s="878"/>
      <c r="NC403" s="878"/>
      <c r="ND403" s="878"/>
      <c r="NE403" s="878"/>
      <c r="NF403" s="878"/>
      <c r="NG403" s="878"/>
      <c r="NH403" s="878"/>
      <c r="NI403" s="878"/>
      <c r="NJ403" s="878"/>
      <c r="NK403" s="878"/>
      <c r="NL403" s="878"/>
      <c r="NM403" s="878"/>
      <c r="NR403" s="1027"/>
      <c r="NS403" s="1027"/>
      <c r="NT403" s="1028"/>
      <c r="NU403" s="1027"/>
      <c r="NV403" s="1028"/>
      <c r="NX403" s="1030"/>
      <c r="NZ403" s="1028"/>
      <c r="OA403" s="1028"/>
      <c r="OC403" s="1031"/>
      <c r="OD403" s="1031"/>
      <c r="OE403" s="1028"/>
      <c r="OF403" s="1031"/>
      <c r="OG403" s="1031"/>
      <c r="QX403" s="1000">
        <f>CN403-CA403</f>
        <v>30</v>
      </c>
      <c r="ASU403" s="1029" t="s">
        <v>208</v>
      </c>
    </row>
    <row r="404" spans="1:466 1191:1191" s="1032" customFormat="1" ht="21" customHeight="1" x14ac:dyDescent="0.25">
      <c r="A404" s="982">
        <f t="shared" si="274"/>
        <v>1471</v>
      </c>
      <c r="B404" s="124">
        <f>SUBTOTAL(103,$J$29:J404)</f>
        <v>376</v>
      </c>
      <c r="C404" s="126">
        <v>45068</v>
      </c>
      <c r="D404" s="124" t="s">
        <v>176</v>
      </c>
      <c r="E404" s="127" t="s">
        <v>177</v>
      </c>
      <c r="F404" s="128" t="s">
        <v>177</v>
      </c>
      <c r="G404" s="127" t="s">
        <v>178</v>
      </c>
      <c r="H404" s="127" t="s">
        <v>179</v>
      </c>
      <c r="I404" s="127" t="s">
        <v>1299</v>
      </c>
      <c r="J404" s="152">
        <v>1471</v>
      </c>
      <c r="K404" s="127" t="s">
        <v>1299</v>
      </c>
      <c r="L404" s="130">
        <v>43387</v>
      </c>
      <c r="M404" s="127" t="s">
        <v>230</v>
      </c>
      <c r="N404" s="127" t="s">
        <v>184</v>
      </c>
      <c r="O404" s="127" t="s">
        <v>185</v>
      </c>
      <c r="P404" s="127" t="s">
        <v>186</v>
      </c>
      <c r="Q404" s="85" t="str">
        <f t="shared" si="319"/>
        <v/>
      </c>
      <c r="R404" s="130"/>
      <c r="S404" s="128"/>
      <c r="T404" s="131"/>
      <c r="U404" s="132">
        <v>203</v>
      </c>
      <c r="V404" s="121">
        <v>218.2</v>
      </c>
      <c r="W404" s="116">
        <v>0.98</v>
      </c>
      <c r="X404" s="116">
        <v>1.66</v>
      </c>
      <c r="Y404" s="116">
        <f t="shared" si="299"/>
        <v>0.98740194566982853</v>
      </c>
      <c r="Z404" s="133">
        <v>1.454</v>
      </c>
      <c r="AA404" s="133">
        <v>0.83599999999999997</v>
      </c>
      <c r="AB404" s="133">
        <v>0.72</v>
      </c>
      <c r="AC404" s="121">
        <v>34.299999999999997</v>
      </c>
      <c r="AD404" s="134">
        <v>1.17</v>
      </c>
      <c r="AE404" s="124">
        <v>177.8</v>
      </c>
      <c r="AF404" s="128">
        <v>9.19</v>
      </c>
      <c r="AG404" s="128">
        <v>2250</v>
      </c>
      <c r="AH404" s="138">
        <v>3121.21</v>
      </c>
      <c r="AI404" s="138">
        <v>3121.21</v>
      </c>
      <c r="AJ404" s="135"/>
      <c r="AK404" s="128"/>
      <c r="AL404" s="131"/>
      <c r="AM404" s="124" t="s">
        <v>985</v>
      </c>
      <c r="AN404" s="136" t="s">
        <v>1567</v>
      </c>
      <c r="AO404" s="137">
        <v>12.7</v>
      </c>
      <c r="AP404" s="128">
        <v>2352.6999999999998</v>
      </c>
      <c r="AQ404" s="128">
        <v>429.69999999999982</v>
      </c>
      <c r="AR404" s="128" t="s">
        <v>1568</v>
      </c>
      <c r="AS404" s="128">
        <v>114</v>
      </c>
      <c r="AT404" s="122">
        <v>7.37</v>
      </c>
      <c r="AU404" s="124" t="s">
        <v>189</v>
      </c>
      <c r="AV404" s="115">
        <f>VLOOKUP(J404,'[63]ТР нефть'!$J$28:$BP$638,39,0)</f>
        <v>488.00001767600003</v>
      </c>
      <c r="AW404" s="115" t="str">
        <f>VLOOKUP(J404,'[63]ТР нефть'!$J$28:$BP$638,40,0)</f>
        <v>ГП</v>
      </c>
      <c r="AX404" s="115">
        <f>VLOOKUP(J404,'[63]ТР нефть'!$J$28:$BP$638,41,0)</f>
        <v>931.999967578</v>
      </c>
      <c r="AY404" s="115" t="str">
        <f>VLOOKUP(J404,'[63]ТР нефть'!$J$28:$BP$638,42,0)</f>
        <v>ГК73 1/8</v>
      </c>
      <c r="AZ404" s="115">
        <f>VLOOKUP(J404,'[63]ТР нефть'!$J$28:$BP$638,43,0)</f>
        <v>1305.9999855470001</v>
      </c>
      <c r="BA404" s="115" t="str">
        <f>VLOOKUP(J404,'[63]ТР нефть'!$J$28:$BP$638,44,0)</f>
        <v>ГК73 1/8</v>
      </c>
      <c r="BB404" s="115">
        <f>VLOOKUP(J404,'[63]ТР нефть'!$J$28:$BP$638,45,0)</f>
        <v>1586.9999871089999</v>
      </c>
      <c r="BC404" s="115" t="str">
        <f>VLOOKUP(J404,'[63]ТР нефть'!$J$28:$BP$638,46,0)</f>
        <v>ГК73 1/8</v>
      </c>
      <c r="BD404" s="115">
        <f>VLOOKUP(J404,'[63]ТР нефть'!$J$28:$BP$638,47,0)</f>
        <v>1825.9999476559999</v>
      </c>
      <c r="BE404" s="115" t="str">
        <f>VLOOKUP(J404,'[63]ТР нефть'!$J$28:$BP$638,48,0)</f>
        <v>ЦКсОК 5/16</v>
      </c>
      <c r="BF404" s="115" t="str">
        <f>VLOOKUP(J404,'[63]ТР нефть'!$J$28:$BP$638,49,0)</f>
        <v>-</v>
      </c>
      <c r="BG404" s="115" t="str">
        <f>VLOOKUP(J404,'[63]ТР нефть'!$J$28:$BP$638,50,0)</f>
        <v>-</v>
      </c>
      <c r="BH404" s="115">
        <f>VLOOKUP(J404,'[63]ТР нефть'!$J$28:$BP$638,51,0)</f>
        <v>1837</v>
      </c>
      <c r="BI404" s="115" t="str">
        <f>VLOOKUP(J404,'[63]ТР нефть'!$J$28:$BP$638,52,0)</f>
        <v>закрыт</v>
      </c>
      <c r="BJ404" s="115" t="str">
        <f>IF(IFERROR(VLOOKUP(J404,'[63]ТР нефть'!$J$28:$BP$638,53,0),"-")=0,"-",IFERROR(VLOOKUP(J404,'[63]ТР нефть'!$J$28:$BP$638,53,0),"-"))</f>
        <v>-</v>
      </c>
      <c r="BK404" s="138" t="str">
        <f>IF(IFERROR(VLOOKUP(J404,'[63]ТР нефть'!$J$28:$BP$638,54,0),"-")=0,"-",IFERROR(VLOOKUP(J404,'[63]ТР нефть'!$J$28:$BP$638,54,0),"-"))</f>
        <v>-</v>
      </c>
      <c r="BL404" s="138" t="str">
        <f>IF(IFERROR(VLOOKUP(J404,'[63]ТР нефть'!$J$28:$BP$638,55,0),"-")=0,"-",IFERROR(VLOOKUP(J404,'[63]ТР нефть'!$J$28:$BP$638,55,0),"-"))</f>
        <v>-</v>
      </c>
      <c r="BM404" s="138" t="str">
        <f>IF(IFERROR(VLOOKUP(J404,'[63]ТР нефть'!$J$28:$BP$638,56,0),"-")=0,"-",IFERROR(VLOOKUP(J404,'[63]ТР нефть'!$J$28:$BP$638,56,0),"-"))</f>
        <v>-</v>
      </c>
      <c r="BN404" s="138" t="str">
        <f>IF(IFERROR(VLOOKUP(J404,'[63]ТР нефть'!$J$28:$BP$638,57,0),"-")=0,"-",IFERROR(VLOOKUP(J404,'[63]ТР нефть'!$J$28:$BP$638,57,0),"-"))</f>
        <v>-</v>
      </c>
      <c r="BO404" s="115" t="str">
        <f>IF(IFERROR(VLOOKUP(J404,'[63]ТР нефть'!$J$28:$BP$638,58,0),"-")=0,"-",IFERROR(VLOOKUP(J404,'[63]ТР нефть'!$J$28:$BP$638,58,0),"-"))</f>
        <v>-</v>
      </c>
      <c r="BP404" s="115" t="str">
        <f>IF(IFERROR(VLOOKUP(J404,'[63]ТР нефть'!$J$28:$BP$638,59,0),"-")=0,"-",IFERROR(VLOOKUP(J404,'[63]ТР нефть'!$J$28:$BP$638,59,0),"-"))</f>
        <v>-</v>
      </c>
      <c r="BQ404" s="138">
        <v>1860</v>
      </c>
      <c r="BR404" s="128">
        <v>1710</v>
      </c>
      <c r="BS404" s="115">
        <f t="shared" si="307"/>
        <v>150</v>
      </c>
      <c r="BT404" s="128">
        <v>73</v>
      </c>
      <c r="BU404" s="128">
        <v>5.5</v>
      </c>
      <c r="BV404" s="127">
        <v>18</v>
      </c>
      <c r="BW404" s="127" t="s">
        <v>194</v>
      </c>
      <c r="BX404" s="127" t="s">
        <v>195</v>
      </c>
      <c r="BY404" s="139">
        <v>24</v>
      </c>
      <c r="BZ404" s="139">
        <v>0</v>
      </c>
      <c r="CA404" s="138">
        <v>26</v>
      </c>
      <c r="CB404" s="138">
        <v>46</v>
      </c>
      <c r="CC404" s="138">
        <v>25</v>
      </c>
      <c r="CD404" s="135">
        <v>45017</v>
      </c>
      <c r="CE404" s="138">
        <v>112</v>
      </c>
      <c r="CF404" s="138">
        <v>67</v>
      </c>
      <c r="CG404" s="138" t="str">
        <f t="shared" si="310"/>
        <v>В работе</v>
      </c>
      <c r="CH404" s="138" t="s">
        <v>235</v>
      </c>
      <c r="CI404" s="127"/>
      <c r="CJ404" s="138"/>
      <c r="CK404" s="138">
        <f t="shared" si="308"/>
        <v>31</v>
      </c>
      <c r="CL404" s="99"/>
      <c r="CM404" s="99"/>
      <c r="CN404" s="140">
        <v>57</v>
      </c>
      <c r="CO404" s="141">
        <f t="shared" si="276"/>
        <v>6.2537431440000004</v>
      </c>
      <c r="CP404" s="142">
        <v>7.62</v>
      </c>
      <c r="CQ404" s="143">
        <v>1.83</v>
      </c>
      <c r="CR404" s="115">
        <v>11</v>
      </c>
      <c r="CS404" s="139">
        <v>9.6</v>
      </c>
      <c r="CT404" s="138"/>
      <c r="CU404" s="138">
        <f t="shared" si="320"/>
        <v>1.4000000000000004</v>
      </c>
      <c r="CV404" s="115">
        <f t="shared" si="321"/>
        <v>223.86592601635644</v>
      </c>
      <c r="CW404" s="115">
        <f t="shared" si="279"/>
        <v>1496.4408995696592</v>
      </c>
      <c r="CX404" s="133">
        <f t="shared" si="322"/>
        <v>0.13854545454545455</v>
      </c>
      <c r="CY404" s="116"/>
      <c r="CZ404" s="131"/>
      <c r="DA404" s="145" t="str">
        <f t="shared" si="281"/>
        <v>Газлифт</v>
      </c>
      <c r="DB404" s="146">
        <f t="shared" si="282"/>
        <v>6.2537431440000004</v>
      </c>
      <c r="DC404" s="142">
        <f t="shared" si="302"/>
        <v>7.62</v>
      </c>
      <c r="DD404" s="119">
        <f t="shared" si="303"/>
        <v>1.83</v>
      </c>
      <c r="DE404" s="115">
        <f t="shared" si="283"/>
        <v>1.4000000000000004</v>
      </c>
      <c r="DF404" s="121">
        <f t="shared" si="284"/>
        <v>9.6</v>
      </c>
      <c r="DG404" s="115">
        <f t="shared" si="285"/>
        <v>223.86592601635644</v>
      </c>
      <c r="DH404" s="115">
        <f t="shared" si="286"/>
        <v>57</v>
      </c>
      <c r="DI404" s="147"/>
      <c r="DJ404" s="111" t="s">
        <v>197</v>
      </c>
      <c r="DK404" s="112">
        <v>43984</v>
      </c>
      <c r="DL404" s="113">
        <f t="shared" ca="1" si="312"/>
        <v>1120</v>
      </c>
      <c r="DM404" s="114"/>
      <c r="DN404" s="114"/>
      <c r="DO404" s="114"/>
      <c r="DP404" s="114"/>
      <c r="DQ404" s="112">
        <v>43387</v>
      </c>
      <c r="DR404" s="114" t="s">
        <v>324</v>
      </c>
      <c r="DS404" s="114"/>
      <c r="DT404" s="115">
        <v>50</v>
      </c>
      <c r="DU404" s="116">
        <f t="shared" si="313"/>
        <v>0.13362251961236729</v>
      </c>
      <c r="DV404" s="117">
        <f t="shared" si="314"/>
        <v>6.7991780559593895</v>
      </c>
      <c r="DW404" s="118">
        <f t="shared" si="315"/>
        <v>8.2845962159667721</v>
      </c>
      <c r="DX404" s="119">
        <f t="shared" si="287"/>
        <v>1.83</v>
      </c>
      <c r="DY404" s="115">
        <f t="shared" si="316"/>
        <v>1.522104291647439</v>
      </c>
      <c r="DZ404" s="117">
        <f t="shared" si="317"/>
        <v>0.54543491195938909</v>
      </c>
      <c r="EA404" s="120">
        <f t="shared" si="317"/>
        <v>0.66459621596677199</v>
      </c>
      <c r="EB404" s="119">
        <f t="shared" si="317"/>
        <v>0</v>
      </c>
      <c r="EC404" s="121">
        <f t="shared" si="318"/>
        <v>0.12210429164743863</v>
      </c>
      <c r="ED404" s="122"/>
      <c r="EE404" s="145">
        <v>18</v>
      </c>
      <c r="EF404" s="115">
        <v>27</v>
      </c>
      <c r="EG404" s="115">
        <v>46</v>
      </c>
      <c r="EH404" s="115">
        <v>26</v>
      </c>
      <c r="EI404" s="128" t="s">
        <v>195</v>
      </c>
      <c r="EJ404" s="121">
        <v>24</v>
      </c>
      <c r="EK404" s="121">
        <v>0</v>
      </c>
      <c r="EL404" s="149">
        <v>6.8118199600000002</v>
      </c>
      <c r="EM404" s="142">
        <v>8.3000000000000007</v>
      </c>
      <c r="EN404" s="119">
        <v>1.83</v>
      </c>
      <c r="EO404" s="115">
        <v>10</v>
      </c>
      <c r="EP404" s="115">
        <v>234.88583218514771</v>
      </c>
      <c r="EQ404" s="115">
        <v>70</v>
      </c>
      <c r="ER404" s="115">
        <v>8.4</v>
      </c>
      <c r="ES404" s="115">
        <v>62</v>
      </c>
      <c r="ET404" s="150">
        <v>0.16600000000000001</v>
      </c>
      <c r="EU404" s="145">
        <f t="shared" si="288"/>
        <v>18</v>
      </c>
      <c r="EV404" s="115">
        <f t="shared" si="289"/>
        <v>26</v>
      </c>
      <c r="EW404" s="115">
        <f t="shared" si="289"/>
        <v>46</v>
      </c>
      <c r="EX404" s="115">
        <f t="shared" si="289"/>
        <v>25</v>
      </c>
      <c r="EY404" s="115" t="str">
        <f t="shared" si="309"/>
        <v>Постоянный</v>
      </c>
      <c r="EZ404" s="115">
        <f t="shared" si="309"/>
        <v>24</v>
      </c>
      <c r="FA404" s="115">
        <f t="shared" si="309"/>
        <v>0</v>
      </c>
      <c r="FB404" s="149">
        <f t="shared" si="298"/>
        <v>6.2537431440000004</v>
      </c>
      <c r="FC404" s="142">
        <f t="shared" si="298"/>
        <v>7.62</v>
      </c>
      <c r="FD404" s="119">
        <f t="shared" si="298"/>
        <v>1.83</v>
      </c>
      <c r="FE404" s="121">
        <f t="shared" si="298"/>
        <v>11</v>
      </c>
      <c r="FF404" s="121">
        <f t="shared" si="300"/>
        <v>223.86592601635644</v>
      </c>
      <c r="FG404" s="121">
        <f t="shared" si="290"/>
        <v>67</v>
      </c>
      <c r="FH404" s="121">
        <f t="shared" si="301"/>
        <v>9.6</v>
      </c>
      <c r="FI404" s="121">
        <f t="shared" si="306"/>
        <v>57</v>
      </c>
      <c r="FJ404" s="144">
        <f t="shared" si="291"/>
        <v>0.13854545454545455</v>
      </c>
      <c r="FK404" s="132">
        <f t="shared" si="292"/>
        <v>0</v>
      </c>
      <c r="FL404" s="115">
        <f t="shared" si="292"/>
        <v>-1</v>
      </c>
      <c r="FM404" s="115">
        <f t="shared" si="292"/>
        <v>0</v>
      </c>
      <c r="FN404" s="115">
        <f t="shared" si="273"/>
        <v>-1</v>
      </c>
      <c r="FO404" s="115">
        <f t="shared" si="311"/>
        <v>0</v>
      </c>
      <c r="FP404" s="115">
        <f t="shared" si="311"/>
        <v>0</v>
      </c>
      <c r="FQ404" s="149">
        <f t="shared" si="311"/>
        <v>-0.55807681599999981</v>
      </c>
      <c r="FR404" s="142">
        <f t="shared" si="311"/>
        <v>-0.6800000000000006</v>
      </c>
      <c r="FS404" s="119">
        <f t="shared" si="311"/>
        <v>0</v>
      </c>
      <c r="FT404" s="121">
        <f t="shared" si="311"/>
        <v>1</v>
      </c>
      <c r="FU404" s="121">
        <f t="shared" si="293"/>
        <v>-3</v>
      </c>
      <c r="FV404" s="121">
        <f t="shared" si="293"/>
        <v>1.1999999999999993</v>
      </c>
      <c r="FW404" s="121">
        <f t="shared" si="294"/>
        <v>-11.019906168791266</v>
      </c>
      <c r="FX404" s="121">
        <f t="shared" si="295"/>
        <v>-5</v>
      </c>
      <c r="FY404" s="144">
        <f t="shared" si="295"/>
        <v>-2.7454545454545454E-2</v>
      </c>
      <c r="FZ404" s="145"/>
      <c r="GA404" s="151"/>
      <c r="GB404" s="145"/>
      <c r="GC404" s="151"/>
      <c r="GD404" s="997" t="s">
        <v>202</v>
      </c>
      <c r="GE404" s="1004"/>
      <c r="GF404" s="1004">
        <v>0.87287596000000001</v>
      </c>
      <c r="GG404" s="1004"/>
      <c r="GH404" s="1004">
        <v>-0.1546599999999998</v>
      </c>
      <c r="GI404" s="145"/>
      <c r="GJ404" s="996">
        <v>6.1864000000000807E-2</v>
      </c>
      <c r="GK404" s="145"/>
      <c r="GL404" s="996">
        <v>-0.9827180000000002</v>
      </c>
      <c r="GM404" s="1005"/>
      <c r="GN404" s="996">
        <v>0.14018883999999865</v>
      </c>
      <c r="GO404" s="1006"/>
      <c r="GP404" s="996">
        <v>0</v>
      </c>
      <c r="GQ404" s="1006"/>
      <c r="GR404" s="996">
        <v>0.25314916000000132</v>
      </c>
      <c r="GS404" s="1006"/>
      <c r="GT404" s="996">
        <v>0</v>
      </c>
      <c r="GU404" s="1006"/>
      <c r="GV404" s="996">
        <v>0</v>
      </c>
      <c r="GW404" s="1006"/>
      <c r="GX404" s="996">
        <v>-0.66211200000000048</v>
      </c>
      <c r="GY404" s="1006"/>
      <c r="GZ404" s="996">
        <v>-0.8694399999999991</v>
      </c>
      <c r="HA404" s="1006"/>
      <c r="HB404" s="996">
        <v>-8.0256000000002103E-2</v>
      </c>
      <c r="HC404" s="1006"/>
      <c r="HD404" s="996">
        <v>-4.3471999999999511E-2</v>
      </c>
      <c r="HE404" s="1006"/>
      <c r="HF404" s="996">
        <v>-5.1727499999998372E-2</v>
      </c>
      <c r="HG404" s="1006" t="s">
        <v>199</v>
      </c>
      <c r="HH404" s="996">
        <v>-1.3601982504000016</v>
      </c>
      <c r="HI404" s="1006"/>
      <c r="HJ404" s="996">
        <v>0</v>
      </c>
      <c r="HK404" s="1006"/>
      <c r="HL404" s="996">
        <v>-0.11267908959999851</v>
      </c>
      <c r="HM404" s="1006"/>
      <c r="HN404" s="996">
        <v>0.10006083999999937</v>
      </c>
      <c r="HO404" s="1006"/>
      <c r="HP404" s="996">
        <v>0.38497800000000026</v>
      </c>
      <c r="HQ404" s="1006" t="s">
        <v>204</v>
      </c>
      <c r="HR404" s="996">
        <v>-3.1156783679999993</v>
      </c>
      <c r="HS404" s="1006"/>
      <c r="HT404" s="996">
        <v>1.6296984000000236E-2</v>
      </c>
      <c r="HU404" s="1006" t="s">
        <v>199</v>
      </c>
      <c r="HV404" s="996">
        <v>1.2547473839999999</v>
      </c>
      <c r="HW404" s="1006" t="s">
        <v>199</v>
      </c>
      <c r="HX404" s="996">
        <v>-4.4360383759999991</v>
      </c>
      <c r="HY404" s="1006" t="s">
        <v>221</v>
      </c>
      <c r="HZ404" s="996">
        <v>7.6325930559999993</v>
      </c>
      <c r="IA404" s="1006"/>
      <c r="IB404" s="996">
        <v>0</v>
      </c>
      <c r="IC404" s="1006"/>
      <c r="ID404" s="996">
        <v>9.8121319999999734E-2</v>
      </c>
      <c r="IE404" s="1006" t="s">
        <v>223</v>
      </c>
      <c r="IF404" s="996">
        <v>-2.7571280000000007</v>
      </c>
      <c r="IG404" s="1006" t="s">
        <v>199</v>
      </c>
      <c r="IH404" s="996">
        <v>1.5649920000000002</v>
      </c>
      <c r="II404" s="1006" t="s">
        <v>223</v>
      </c>
      <c r="IJ404" s="996">
        <v>-1.6469199999999997</v>
      </c>
      <c r="IK404" s="1006"/>
      <c r="IL404" s="996">
        <v>0</v>
      </c>
      <c r="IM404" s="1006"/>
      <c r="IN404" s="996">
        <v>-0.41173000000000037</v>
      </c>
      <c r="IO404" s="1006"/>
      <c r="IP404" s="996">
        <v>0</v>
      </c>
      <c r="IQ404" s="1006"/>
      <c r="IR404" s="996">
        <v>-0.19938600000000051</v>
      </c>
      <c r="IS404" s="1006"/>
      <c r="IT404" s="996">
        <v>0</v>
      </c>
      <c r="IU404" s="1006"/>
      <c r="IV404" s="996">
        <v>-0.35538359999999969</v>
      </c>
      <c r="IW404" s="1006"/>
      <c r="IX404" s="996">
        <v>5.4423600000001571E-2</v>
      </c>
      <c r="IY404" s="1006"/>
      <c r="IZ404" s="996">
        <v>0</v>
      </c>
      <c r="JA404" s="1006"/>
      <c r="JB404" s="996">
        <v>0</v>
      </c>
      <c r="JC404" s="1006"/>
      <c r="JD404" s="996">
        <v>-0.86149800000000099</v>
      </c>
      <c r="JE404" s="1006"/>
      <c r="JF404" s="996">
        <v>0</v>
      </c>
      <c r="JG404" s="1006" t="s">
        <v>223</v>
      </c>
      <c r="JH404" s="996">
        <v>-5.24036568</v>
      </c>
      <c r="JI404" s="1006"/>
      <c r="JJ404" s="996">
        <v>0</v>
      </c>
      <c r="JK404" s="1007"/>
      <c r="JL404" s="1007">
        <v>0</v>
      </c>
      <c r="JM404" s="1007"/>
      <c r="JN404" s="1007">
        <v>0</v>
      </c>
      <c r="JO404" s="1008"/>
      <c r="JP404" s="1007">
        <v>0</v>
      </c>
      <c r="JQ404" s="1008">
        <v>0</v>
      </c>
      <c r="JR404" s="1007">
        <v>-0.75668032000000096</v>
      </c>
      <c r="JS404" s="1008">
        <v>0</v>
      </c>
      <c r="JT404" s="1007">
        <v>0</v>
      </c>
      <c r="JU404" s="1008"/>
      <c r="JV404" s="1007">
        <v>0</v>
      </c>
      <c r="JW404" s="1008" t="s">
        <v>197</v>
      </c>
      <c r="JX404" s="1007">
        <v>0</v>
      </c>
      <c r="JY404" s="1008"/>
      <c r="JZ404" s="1007">
        <v>0</v>
      </c>
      <c r="KA404" s="1008"/>
      <c r="KB404" s="1007">
        <v>0</v>
      </c>
      <c r="KC404" s="1008"/>
      <c r="KD404" s="1007">
        <v>0</v>
      </c>
      <c r="KE404" s="1008" t="s">
        <v>240</v>
      </c>
      <c r="KF404" s="1007">
        <v>-11.6204</v>
      </c>
      <c r="KG404" s="1008" t="s">
        <v>203</v>
      </c>
      <c r="KH404" s="1007">
        <v>-2.5079999999999991</v>
      </c>
      <c r="KI404" s="1008" t="s">
        <v>203</v>
      </c>
      <c r="KJ404" s="1007">
        <v>-21.150799999999997</v>
      </c>
      <c r="KK404" s="1008"/>
      <c r="KL404" s="1007">
        <v>53.754799999999996</v>
      </c>
      <c r="KM404" s="1008"/>
      <c r="KN404" s="1007"/>
      <c r="KO404" s="1008"/>
      <c r="KP404" s="1007"/>
      <c r="KQ404" s="1008"/>
      <c r="KR404" s="1007"/>
      <c r="KS404" s="1008"/>
      <c r="KT404" s="1007"/>
      <c r="KU404" s="1008"/>
      <c r="KV404" s="1007"/>
      <c r="KW404" s="1008"/>
      <c r="KX404" s="1007"/>
      <c r="KY404" s="1008"/>
      <c r="KZ404" s="1007"/>
      <c r="LA404" s="1008"/>
      <c r="LB404" s="1007"/>
      <c r="LC404" s="1008"/>
      <c r="LD404" s="1007"/>
      <c r="LE404" s="1008"/>
      <c r="LF404" s="1007"/>
      <c r="LG404" s="1008"/>
      <c r="LH404" s="1007"/>
      <c r="LI404" s="1008"/>
      <c r="LJ404" s="1007"/>
      <c r="LK404" s="1008"/>
      <c r="LL404" s="1007"/>
      <c r="LM404" s="1008"/>
      <c r="LN404" s="1007"/>
      <c r="LO404" s="1008"/>
      <c r="LP404" s="1007"/>
      <c r="LQ404" s="1008"/>
      <c r="LR404" s="1007"/>
      <c r="LS404" s="1008"/>
      <c r="LT404" s="1007"/>
      <c r="LU404" s="1008"/>
      <c r="LV404" s="1007"/>
      <c r="LW404" s="1008"/>
      <c r="LX404" s="1007"/>
      <c r="LY404" s="1009"/>
      <c r="LZ404" s="1010"/>
      <c r="MA404" s="1011"/>
      <c r="MB404" s="1012"/>
      <c r="MC404" s="995"/>
      <c r="MD404" s="996"/>
      <c r="ME404" s="997" t="s">
        <v>202</v>
      </c>
      <c r="MF404" s="997"/>
      <c r="MG404" s="998"/>
      <c r="MH404" s="878"/>
      <c r="MI404" s="878"/>
      <c r="MJ404" s="878"/>
      <c r="MK404" s="878"/>
      <c r="ML404" s="878"/>
      <c r="MM404" s="878"/>
      <c r="MN404" s="878"/>
      <c r="MO404" s="878"/>
      <c r="MP404" s="878"/>
      <c r="MQ404" s="878"/>
      <c r="MR404" s="878"/>
      <c r="MS404" s="878"/>
      <c r="MT404" s="878"/>
      <c r="MU404" s="878"/>
      <c r="MV404" s="878"/>
      <c r="MW404" s="878"/>
      <c r="MX404" s="878"/>
      <c r="MY404" s="878"/>
      <c r="MZ404" s="878"/>
      <c r="NA404" s="878"/>
      <c r="NB404" s="878"/>
      <c r="NC404" s="878"/>
      <c r="ND404" s="878"/>
      <c r="NE404" s="878"/>
      <c r="NF404" s="878"/>
      <c r="NG404" s="878"/>
      <c r="NH404" s="878"/>
      <c r="NI404" s="878"/>
      <c r="NJ404" s="878"/>
      <c r="NK404" s="878"/>
      <c r="NL404" s="878"/>
      <c r="NM404" s="878"/>
      <c r="NR404" s="1027"/>
      <c r="NS404" s="1027"/>
      <c r="NT404" s="1028"/>
      <c r="NU404" s="1027"/>
      <c r="NV404" s="1028"/>
      <c r="NW404" s="1029"/>
      <c r="NX404" s="1030"/>
      <c r="NY404" s="1029"/>
      <c r="NZ404" s="1028"/>
      <c r="OA404" s="1028"/>
      <c r="OB404" s="1029"/>
      <c r="OC404" s="1031"/>
      <c r="OD404" s="1031"/>
      <c r="OE404" s="1028"/>
      <c r="OF404" s="1031"/>
      <c r="OG404" s="1031"/>
      <c r="QX404" s="1000">
        <f>CN404-CA404</f>
        <v>31</v>
      </c>
      <c r="ASU404" s="1032" t="s">
        <v>208</v>
      </c>
    </row>
    <row r="405" spans="1:466 1191:1191" ht="21" customHeight="1" x14ac:dyDescent="0.25">
      <c r="A405" s="982">
        <f t="shared" si="274"/>
        <v>1472</v>
      </c>
      <c r="B405" s="124">
        <f>SUBTOTAL(103,$J$29:J405)</f>
        <v>377</v>
      </c>
      <c r="C405" s="126">
        <v>45068</v>
      </c>
      <c r="D405" s="124" t="s">
        <v>176</v>
      </c>
      <c r="E405" s="127" t="s">
        <v>177</v>
      </c>
      <c r="F405" s="128" t="s">
        <v>177</v>
      </c>
      <c r="G405" s="127" t="s">
        <v>178</v>
      </c>
      <c r="H405" s="127" t="s">
        <v>179</v>
      </c>
      <c r="I405" s="127" t="s">
        <v>1289</v>
      </c>
      <c r="J405" s="152">
        <v>1472</v>
      </c>
      <c r="K405" s="127" t="s">
        <v>1289</v>
      </c>
      <c r="L405" s="130">
        <v>43372</v>
      </c>
      <c r="M405" s="127" t="s">
        <v>230</v>
      </c>
      <c r="N405" s="127" t="s">
        <v>184</v>
      </c>
      <c r="O405" s="127" t="s">
        <v>185</v>
      </c>
      <c r="P405" s="127" t="s">
        <v>186</v>
      </c>
      <c r="Q405" s="85" t="str">
        <f t="shared" si="319"/>
        <v/>
      </c>
      <c r="R405" s="130"/>
      <c r="S405" s="128"/>
      <c r="T405" s="131"/>
      <c r="U405" s="132">
        <v>203</v>
      </c>
      <c r="V405" s="121">
        <v>218.2</v>
      </c>
      <c r="W405" s="116">
        <v>0.98</v>
      </c>
      <c r="X405" s="116">
        <v>1.66</v>
      </c>
      <c r="Y405" s="116">
        <f t="shared" si="299"/>
        <v>0.98060253890945015</v>
      </c>
      <c r="Z405" s="133">
        <v>1.454</v>
      </c>
      <c r="AA405" s="133">
        <v>0.83599999999999997</v>
      </c>
      <c r="AB405" s="133">
        <v>0.72</v>
      </c>
      <c r="AC405" s="121">
        <v>34.299999999999997</v>
      </c>
      <c r="AD405" s="134">
        <v>1.17</v>
      </c>
      <c r="AE405" s="124">
        <v>177.8</v>
      </c>
      <c r="AF405" s="128">
        <v>9.19</v>
      </c>
      <c r="AG405" s="128">
        <v>2074.75</v>
      </c>
      <c r="AH405" s="127">
        <v>2928.21</v>
      </c>
      <c r="AI405" s="127">
        <v>2928.21</v>
      </c>
      <c r="AJ405" s="135">
        <v>43319</v>
      </c>
      <c r="AK405" s="128" t="s">
        <v>1018</v>
      </c>
      <c r="AL405" s="131"/>
      <c r="AM405" s="124" t="s">
        <v>985</v>
      </c>
      <c r="AN405" s="136" t="s">
        <v>1569</v>
      </c>
      <c r="AO405" s="137">
        <v>64.19</v>
      </c>
      <c r="AP405" s="128">
        <v>2352.85</v>
      </c>
      <c r="AQ405" s="128">
        <v>490.43</v>
      </c>
      <c r="AR405" s="128" t="s">
        <v>1570</v>
      </c>
      <c r="AS405" s="128">
        <v>114</v>
      </c>
      <c r="AT405" s="122">
        <v>7.37</v>
      </c>
      <c r="AU405" s="124" t="s">
        <v>189</v>
      </c>
      <c r="AV405" s="115">
        <f>VLOOKUP(J405,'[63]ТР нефть'!$J$28:$BP$638,39,0)</f>
        <v>400.00003095699998</v>
      </c>
      <c r="AW405" s="115" t="str">
        <f>VLOOKUP(J405,'[63]ТР нефть'!$J$28:$BP$638,40,0)</f>
        <v>ГП</v>
      </c>
      <c r="AX405" s="115">
        <f>VLOOKUP(J405,'[63]ТР нефть'!$J$28:$BP$638,41,0)</f>
        <v>810.00004687499995</v>
      </c>
      <c r="AY405" s="115" t="str">
        <f>VLOOKUP(J405,'[63]ТР нефть'!$J$28:$BP$638,42,0)</f>
        <v>ГП</v>
      </c>
      <c r="AZ405" s="115">
        <f>VLOOKUP(J405,'[63]ТР нефть'!$J$28:$BP$638,43,0)</f>
        <v>1120.0000271480001</v>
      </c>
      <c r="BA405" s="115" t="str">
        <f>VLOOKUP(J405,'[63]ТР нефть'!$J$28:$BP$638,44,0)</f>
        <v>ГП</v>
      </c>
      <c r="BB405" s="115">
        <f>VLOOKUP(J405,'[63]ТР нефть'!$J$28:$BP$638,45,0)</f>
        <v>1380.0000082030001</v>
      </c>
      <c r="BC405" s="115" t="str">
        <f>VLOOKUP(J405,'[63]ТР нефть'!$J$28:$BP$638,46,0)</f>
        <v>ГК83 1/8</v>
      </c>
      <c r="BD405" s="115">
        <f>VLOOKUP(J405,'[63]ТР нефть'!$J$28:$BP$638,47,0)</f>
        <v>1610.000034375</v>
      </c>
      <c r="BE405" s="115" t="str">
        <f>VLOOKUP(J405,'[63]ТР нефть'!$J$28:$BP$638,48,0)</f>
        <v>ГК83 1/8</v>
      </c>
      <c r="BF405" s="115">
        <f>VLOOKUP(J405,'[63]ТР нефть'!$J$28:$BP$638,49,0)</f>
        <v>1810</v>
      </c>
      <c r="BG405" s="115" t="str">
        <f>VLOOKUP(J405,'[63]ТР нефть'!$J$28:$BP$638,50,0)</f>
        <v>ЦКсОК 5/16</v>
      </c>
      <c r="BH405" s="115" t="str">
        <f>VLOOKUP(J405,'[63]ТР нефть'!$J$28:$BP$638,51,0)</f>
        <v>-</v>
      </c>
      <c r="BI405" s="115" t="str">
        <f>VLOOKUP(J405,'[63]ТР нефть'!$J$28:$BP$638,52,0)</f>
        <v>-</v>
      </c>
      <c r="BJ405" s="115" t="str">
        <f>IF(IFERROR(VLOOKUP(J405,'[63]ТР нефть'!$J$28:$BP$638,53,0),"-")=0,"-",IFERROR(VLOOKUP(J405,'[63]ТР нефть'!$J$28:$BP$638,53,0),"-"))</f>
        <v>-</v>
      </c>
      <c r="BK405" s="138" t="str">
        <f>IF(IFERROR(VLOOKUP(J405,'[63]ТР нефть'!$J$28:$BP$638,54,0),"-")=0,"-",IFERROR(VLOOKUP(J405,'[63]ТР нефть'!$J$28:$BP$638,54,0),"-"))</f>
        <v>-</v>
      </c>
      <c r="BL405" s="138" t="str">
        <f>IF(IFERROR(VLOOKUP(J405,'[63]ТР нефть'!$J$28:$BP$638,55,0),"-")=0,"-",IFERROR(VLOOKUP(J405,'[63]ТР нефть'!$J$28:$BP$638,55,0),"-"))</f>
        <v>-</v>
      </c>
      <c r="BM405" s="138" t="str">
        <f>IF(IFERROR(VLOOKUP(J405,'[63]ТР нефть'!$J$28:$BP$638,56,0),"-")=0,"-",IFERROR(VLOOKUP(J405,'[63]ТР нефть'!$J$28:$BP$638,56,0),"-"))</f>
        <v>-</v>
      </c>
      <c r="BN405" s="138" t="str">
        <f>IF(IFERROR(VLOOKUP(J405,'[63]ТР нефть'!$J$28:$BP$638,57,0),"-")=0,"-",IFERROR(VLOOKUP(J405,'[63]ТР нефть'!$J$28:$BP$638,57,0),"-"))</f>
        <v>-</v>
      </c>
      <c r="BO405" s="115" t="str">
        <f>IF(IFERROR(VLOOKUP(J405,'[63]ТР нефть'!$J$28:$BP$638,58,0),"-")=0,"-",IFERROR(VLOOKUP(J405,'[63]ТР нефть'!$J$28:$BP$638,58,0),"-"))</f>
        <v>-</v>
      </c>
      <c r="BP405" s="115" t="str">
        <f>IF(IFERROR(VLOOKUP(J405,'[63]ТР нефть'!$J$28:$BP$638,59,0),"-")=0,"-",IFERROR(VLOOKUP(J405,'[63]ТР нефть'!$J$28:$BP$638,59,0),"-"))</f>
        <v>-</v>
      </c>
      <c r="BQ405" s="138">
        <v>2075</v>
      </c>
      <c r="BR405" s="128">
        <v>1623.57</v>
      </c>
      <c r="BS405" s="115">
        <f t="shared" si="307"/>
        <v>451.43000000000006</v>
      </c>
      <c r="BT405" s="128">
        <v>73</v>
      </c>
      <c r="BU405" s="128">
        <v>5.5</v>
      </c>
      <c r="BV405" s="127">
        <v>18</v>
      </c>
      <c r="BW405" s="127" t="s">
        <v>194</v>
      </c>
      <c r="BX405" s="127" t="s">
        <v>195</v>
      </c>
      <c r="BY405" s="139">
        <v>24</v>
      </c>
      <c r="BZ405" s="139">
        <v>0</v>
      </c>
      <c r="CA405" s="138">
        <v>25</v>
      </c>
      <c r="CB405" s="138">
        <v>43</v>
      </c>
      <c r="CC405" s="138">
        <v>24</v>
      </c>
      <c r="CD405" s="135">
        <v>45017</v>
      </c>
      <c r="CE405" s="138">
        <v>128</v>
      </c>
      <c r="CF405" s="138">
        <v>72</v>
      </c>
      <c r="CG405" s="138" t="str">
        <f t="shared" si="310"/>
        <v/>
      </c>
      <c r="CH405" s="138" t="s">
        <v>197</v>
      </c>
      <c r="CI405" s="127"/>
      <c r="CJ405" s="138"/>
      <c r="CK405" s="138">
        <f t="shared" si="308"/>
        <v>26</v>
      </c>
      <c r="CL405" s="99"/>
      <c r="CM405" s="99"/>
      <c r="CN405" s="140">
        <v>51</v>
      </c>
      <c r="CO405" s="141">
        <f t="shared" si="276"/>
        <v>10.016952</v>
      </c>
      <c r="CP405" s="142">
        <v>12</v>
      </c>
      <c r="CQ405" s="143">
        <v>0.15</v>
      </c>
      <c r="CR405" s="138">
        <v>16</v>
      </c>
      <c r="CS405" s="139">
        <v>8.4</v>
      </c>
      <c r="CT405" s="138"/>
      <c r="CU405" s="138">
        <f t="shared" si="320"/>
        <v>7.6</v>
      </c>
      <c r="CV405" s="115">
        <f t="shared" si="321"/>
        <v>758.71382831823496</v>
      </c>
      <c r="CW405" s="115">
        <f t="shared" si="279"/>
        <v>836.83709053262317</v>
      </c>
      <c r="CX405" s="133">
        <f t="shared" si="322"/>
        <v>0.15584415584415584</v>
      </c>
      <c r="CY405" s="116"/>
      <c r="CZ405" s="131"/>
      <c r="DA405" s="145" t="str">
        <f t="shared" si="281"/>
        <v>Газлифт</v>
      </c>
      <c r="DB405" s="146">
        <f t="shared" si="282"/>
        <v>10.032</v>
      </c>
      <c r="DC405" s="142">
        <f t="shared" si="302"/>
        <v>12</v>
      </c>
      <c r="DD405" s="119">
        <f t="shared" si="303"/>
        <v>0</v>
      </c>
      <c r="DE405" s="115">
        <f t="shared" si="283"/>
        <v>7.6</v>
      </c>
      <c r="DF405" s="121">
        <f t="shared" si="284"/>
        <v>8.4</v>
      </c>
      <c r="DG405" s="115">
        <f t="shared" si="285"/>
        <v>758.71382831823496</v>
      </c>
      <c r="DH405" s="115">
        <f t="shared" si="286"/>
        <v>51</v>
      </c>
      <c r="DI405" s="147"/>
      <c r="DJ405" s="111">
        <v>44262</v>
      </c>
      <c r="DK405" s="112">
        <v>44307</v>
      </c>
      <c r="DL405" s="113">
        <f t="shared" ca="1" si="312"/>
        <v>797</v>
      </c>
      <c r="DM405" s="114" t="s">
        <v>192</v>
      </c>
      <c r="DN405" s="114" t="s">
        <v>192</v>
      </c>
      <c r="DO405" s="114" t="s">
        <v>192</v>
      </c>
      <c r="DP405" s="114"/>
      <c r="DQ405" s="112">
        <v>43372</v>
      </c>
      <c r="DR405" s="114" t="s">
        <v>324</v>
      </c>
      <c r="DS405" s="114"/>
      <c r="DT405" s="115">
        <v>58</v>
      </c>
      <c r="DU405" s="116">
        <f t="shared" si="313"/>
        <v>0.17142857142857143</v>
      </c>
      <c r="DV405" s="117">
        <f t="shared" si="314"/>
        <v>10.016952</v>
      </c>
      <c r="DW405" s="118">
        <f t="shared" si="315"/>
        <v>12</v>
      </c>
      <c r="DX405" s="119">
        <f t="shared" si="287"/>
        <v>0.15</v>
      </c>
      <c r="DY405" s="115">
        <f t="shared" si="316"/>
        <v>7.6</v>
      </c>
      <c r="DZ405" s="117">
        <f t="shared" si="317"/>
        <v>0</v>
      </c>
      <c r="EA405" s="120">
        <f t="shared" si="317"/>
        <v>0</v>
      </c>
      <c r="EB405" s="119">
        <f t="shared" si="317"/>
        <v>0</v>
      </c>
      <c r="EC405" s="121">
        <f t="shared" si="318"/>
        <v>0</v>
      </c>
      <c r="ED405" s="122"/>
      <c r="EE405" s="145">
        <v>18</v>
      </c>
      <c r="EF405" s="115">
        <v>27</v>
      </c>
      <c r="EG405" s="115">
        <v>46</v>
      </c>
      <c r="EH405" s="115">
        <v>26</v>
      </c>
      <c r="EI405" s="128" t="s">
        <v>195</v>
      </c>
      <c r="EJ405" s="121">
        <v>24</v>
      </c>
      <c r="EK405" s="121">
        <v>0</v>
      </c>
      <c r="EL405" s="149">
        <v>8.36</v>
      </c>
      <c r="EM405" s="142">
        <v>10</v>
      </c>
      <c r="EN405" s="119">
        <v>0</v>
      </c>
      <c r="EO405" s="115">
        <v>10</v>
      </c>
      <c r="EP405" s="115">
        <v>191.38755980861239</v>
      </c>
      <c r="EQ405" s="115">
        <v>71</v>
      </c>
      <c r="ER405" s="115">
        <v>8.4</v>
      </c>
      <c r="ES405" s="115">
        <v>58</v>
      </c>
      <c r="ET405" s="150">
        <v>0.14285714285714285</v>
      </c>
      <c r="EU405" s="145">
        <f t="shared" si="288"/>
        <v>18</v>
      </c>
      <c r="EV405" s="115">
        <f t="shared" si="289"/>
        <v>25</v>
      </c>
      <c r="EW405" s="115">
        <f t="shared" si="289"/>
        <v>43</v>
      </c>
      <c r="EX405" s="115">
        <f t="shared" si="289"/>
        <v>24</v>
      </c>
      <c r="EY405" s="115" t="str">
        <f t="shared" si="309"/>
        <v>Постоянный</v>
      </c>
      <c r="EZ405" s="115">
        <f t="shared" si="309"/>
        <v>24</v>
      </c>
      <c r="FA405" s="115">
        <f t="shared" si="309"/>
        <v>0</v>
      </c>
      <c r="FB405" s="149">
        <f t="shared" si="298"/>
        <v>10.016952</v>
      </c>
      <c r="FC405" s="142">
        <f t="shared" si="298"/>
        <v>12</v>
      </c>
      <c r="FD405" s="119">
        <f t="shared" si="298"/>
        <v>0.15</v>
      </c>
      <c r="FE405" s="121">
        <f t="shared" si="298"/>
        <v>16</v>
      </c>
      <c r="FF405" s="121">
        <f t="shared" si="300"/>
        <v>758.71382831823496</v>
      </c>
      <c r="FG405" s="121">
        <f t="shared" si="290"/>
        <v>72</v>
      </c>
      <c r="FH405" s="121">
        <f t="shared" si="301"/>
        <v>8.4</v>
      </c>
      <c r="FI405" s="121">
        <f t="shared" si="306"/>
        <v>51</v>
      </c>
      <c r="FJ405" s="144">
        <f t="shared" si="291"/>
        <v>0.15584415584415584</v>
      </c>
      <c r="FK405" s="132">
        <f t="shared" si="292"/>
        <v>0</v>
      </c>
      <c r="FL405" s="115">
        <f t="shared" si="292"/>
        <v>-2</v>
      </c>
      <c r="FM405" s="115">
        <f t="shared" si="292"/>
        <v>-3</v>
      </c>
      <c r="FN405" s="115">
        <f t="shared" si="273"/>
        <v>-2</v>
      </c>
      <c r="FO405" s="115">
        <f t="shared" si="311"/>
        <v>0</v>
      </c>
      <c r="FP405" s="115">
        <f t="shared" si="311"/>
        <v>0</v>
      </c>
      <c r="FQ405" s="149">
        <f t="shared" si="311"/>
        <v>1.6569520000000004</v>
      </c>
      <c r="FR405" s="142">
        <f t="shared" si="311"/>
        <v>2</v>
      </c>
      <c r="FS405" s="119">
        <f t="shared" si="311"/>
        <v>0.15</v>
      </c>
      <c r="FT405" s="121">
        <f t="shared" si="311"/>
        <v>6</v>
      </c>
      <c r="FU405" s="121">
        <f t="shared" si="293"/>
        <v>1</v>
      </c>
      <c r="FV405" s="121">
        <f t="shared" si="293"/>
        <v>0</v>
      </c>
      <c r="FW405" s="121">
        <f t="shared" si="294"/>
        <v>567.32626850962254</v>
      </c>
      <c r="FX405" s="121">
        <f t="shared" si="295"/>
        <v>-7</v>
      </c>
      <c r="FY405" s="144">
        <f t="shared" si="295"/>
        <v>1.2987012987012991E-2</v>
      </c>
      <c r="FZ405" s="145" t="s">
        <v>199</v>
      </c>
      <c r="GA405" s="125" t="s">
        <v>200</v>
      </c>
      <c r="GB405" s="145" t="s">
        <v>199</v>
      </c>
      <c r="GC405" s="125" t="s">
        <v>415</v>
      </c>
      <c r="GD405" s="997" t="s">
        <v>202</v>
      </c>
      <c r="GE405" s="1004" t="s">
        <v>199</v>
      </c>
      <c r="GF405" s="1004">
        <v>-4.857996</v>
      </c>
      <c r="GG405" s="1004"/>
      <c r="GH405" s="1004">
        <v>0</v>
      </c>
      <c r="GI405" s="145"/>
      <c r="GJ405" s="996">
        <v>0.19729599999999969</v>
      </c>
      <c r="GK405" s="145" t="s">
        <v>204</v>
      </c>
      <c r="GL405" s="996">
        <v>3.2396086799999999</v>
      </c>
      <c r="GM405" s="1005"/>
      <c r="GN405" s="996">
        <v>0</v>
      </c>
      <c r="GO405" s="1006"/>
      <c r="GP405" s="996">
        <v>0</v>
      </c>
      <c r="GQ405" s="1006"/>
      <c r="GR405" s="996">
        <v>0</v>
      </c>
      <c r="GS405" s="1006"/>
      <c r="GT405" s="996">
        <v>0</v>
      </c>
      <c r="GU405" s="1006"/>
      <c r="GV405" s="996">
        <v>-5.0268680000000288E-2</v>
      </c>
      <c r="GW405" s="1006"/>
      <c r="GX405" s="996">
        <v>0</v>
      </c>
      <c r="GY405" s="1006" t="s">
        <v>199</v>
      </c>
      <c r="GZ405" s="996">
        <v>-2.4358933280000006</v>
      </c>
      <c r="HA405" s="1006" t="s">
        <v>199</v>
      </c>
      <c r="HB405" s="996">
        <v>3.2635333280000012</v>
      </c>
      <c r="HC405" s="1006" t="s">
        <v>199</v>
      </c>
      <c r="HD405" s="996">
        <v>-1.362680000000001</v>
      </c>
      <c r="HE405" s="1006"/>
      <c r="HF405" s="996">
        <v>0.59314032800000049</v>
      </c>
      <c r="HG405" s="1006" t="s">
        <v>199</v>
      </c>
      <c r="HH405" s="996">
        <v>-1.802347447999999</v>
      </c>
      <c r="HI405" s="1006"/>
      <c r="HJ405" s="996">
        <v>0</v>
      </c>
      <c r="HK405" s="1006"/>
      <c r="HL405" s="996">
        <v>1.3058320000000734E-2</v>
      </c>
      <c r="HM405" s="1006"/>
      <c r="HN405" s="996">
        <v>0</v>
      </c>
      <c r="HO405" s="1006"/>
      <c r="HP405" s="996">
        <v>9.6156719999999751E-2</v>
      </c>
      <c r="HQ405" s="1006" t="s">
        <v>199</v>
      </c>
      <c r="HR405" s="996">
        <v>1.4477212640000001</v>
      </c>
      <c r="HS405" s="1006" t="s">
        <v>643</v>
      </c>
      <c r="HT405" s="996">
        <v>0</v>
      </c>
      <c r="HU405" s="1006" t="s">
        <v>221</v>
      </c>
      <c r="HV405" s="996">
        <v>3.9400462639999985</v>
      </c>
      <c r="HW405" s="1006"/>
      <c r="HX405" s="996">
        <v>0</v>
      </c>
      <c r="HY405" s="1006" t="s">
        <v>199</v>
      </c>
      <c r="HZ405" s="996">
        <v>2.6817291600000006</v>
      </c>
      <c r="IA405" s="1006" t="s">
        <v>239</v>
      </c>
      <c r="IB405" s="996">
        <v>-7.662172408</v>
      </c>
      <c r="IC405" s="1006"/>
      <c r="ID405" s="996">
        <v>0</v>
      </c>
      <c r="IE405" s="1006" t="s">
        <v>239</v>
      </c>
      <c r="IF405" s="996">
        <v>0</v>
      </c>
      <c r="IG405" s="1006"/>
      <c r="IH405" s="996">
        <v>-8.9819839999998763E-2</v>
      </c>
      <c r="II405" s="1006"/>
      <c r="IJ405" s="996">
        <v>-0.14112516000000142</v>
      </c>
      <c r="IK405" s="1006"/>
      <c r="IL405" s="996">
        <v>0.3384128000000004</v>
      </c>
      <c r="IM405" s="1006"/>
      <c r="IN405" s="996">
        <v>0</v>
      </c>
      <c r="IO405" s="1006"/>
      <c r="IP405" s="996">
        <v>0</v>
      </c>
      <c r="IQ405" s="1006"/>
      <c r="IR405" s="996">
        <v>0</v>
      </c>
      <c r="IS405" s="1006"/>
      <c r="IT405" s="996">
        <v>0</v>
      </c>
      <c r="IU405" s="1006"/>
      <c r="IV405" s="996">
        <v>-0.93744860000000152</v>
      </c>
      <c r="IW405" s="1006"/>
      <c r="IX405" s="996">
        <v>0</v>
      </c>
      <c r="IY405" s="1006"/>
      <c r="IZ405" s="996">
        <v>0</v>
      </c>
      <c r="JA405" s="1006"/>
      <c r="JB405" s="996">
        <v>0</v>
      </c>
      <c r="JC405" s="1006"/>
      <c r="JD405" s="996">
        <v>0</v>
      </c>
      <c r="JE405" s="1006"/>
      <c r="JF405" s="996">
        <v>0</v>
      </c>
      <c r="JG405" s="1006" t="s">
        <v>199</v>
      </c>
      <c r="JH405" s="996">
        <v>8.2246265200000011</v>
      </c>
      <c r="JI405" s="1006" t="s">
        <v>199</v>
      </c>
      <c r="JJ405" s="996">
        <v>-10.196541519999998</v>
      </c>
      <c r="JK405" s="1007"/>
      <c r="JL405" s="1007">
        <v>0</v>
      </c>
      <c r="JM405" s="1007"/>
      <c r="JN405" s="1007">
        <v>0</v>
      </c>
      <c r="JO405" s="1008"/>
      <c r="JP405" s="1007">
        <v>0</v>
      </c>
      <c r="JQ405" s="1008">
        <v>0</v>
      </c>
      <c r="JR405" s="1007">
        <v>0</v>
      </c>
      <c r="JS405" s="1008" t="s">
        <v>199</v>
      </c>
      <c r="JT405" s="1007">
        <v>3.828963599999998</v>
      </c>
      <c r="JU405" s="1008"/>
      <c r="JV405" s="1007">
        <v>0</v>
      </c>
      <c r="JW405" s="1008" t="s">
        <v>197</v>
      </c>
      <c r="JX405" s="1007">
        <v>0</v>
      </c>
      <c r="JY405" s="1008" t="s">
        <v>240</v>
      </c>
      <c r="JZ405" s="1007">
        <v>4.1800000000000006</v>
      </c>
      <c r="KA405" s="1008" t="s">
        <v>240</v>
      </c>
      <c r="KB405" s="1007">
        <v>-2.926000000000001</v>
      </c>
      <c r="KC405" s="1008"/>
      <c r="KD405" s="1007">
        <v>0</v>
      </c>
      <c r="KE405" s="1008"/>
      <c r="KF405" s="1007">
        <v>0</v>
      </c>
      <c r="KG405" s="1008" t="s">
        <v>203</v>
      </c>
      <c r="KH405" s="1007">
        <v>-11.336159999999998</v>
      </c>
      <c r="KI405" s="1008"/>
      <c r="KJ405" s="1007">
        <v>0</v>
      </c>
      <c r="KK405" s="1008" t="s">
        <v>203</v>
      </c>
      <c r="KL405" s="1007">
        <v>-25.698639999999997</v>
      </c>
      <c r="KM405" s="1008"/>
      <c r="KN405" s="1007"/>
      <c r="KO405" s="1008"/>
      <c r="KP405" s="1007"/>
      <c r="KQ405" s="1008"/>
      <c r="KR405" s="1007"/>
      <c r="KS405" s="1008"/>
      <c r="KT405" s="1007"/>
      <c r="KU405" s="1008"/>
      <c r="KV405" s="1007"/>
      <c r="KW405" s="1008"/>
      <c r="KX405" s="1007"/>
      <c r="KY405" s="1008"/>
      <c r="KZ405" s="1007"/>
      <c r="LA405" s="1008"/>
      <c r="LB405" s="1007"/>
      <c r="LC405" s="1008"/>
      <c r="LD405" s="1007"/>
      <c r="LE405" s="1008"/>
      <c r="LF405" s="1007"/>
      <c r="LG405" s="1008"/>
      <c r="LH405" s="1007"/>
      <c r="LI405" s="1008"/>
      <c r="LJ405" s="1007"/>
      <c r="LK405" s="1008"/>
      <c r="LL405" s="1007"/>
      <c r="LM405" s="1008"/>
      <c r="LN405" s="1007"/>
      <c r="LO405" s="1008"/>
      <c r="LP405" s="1007"/>
      <c r="LQ405" s="1008"/>
      <c r="LR405" s="1007"/>
      <c r="LS405" s="1008"/>
      <c r="LT405" s="1007"/>
      <c r="LU405" s="1008"/>
      <c r="LV405" s="1007"/>
      <c r="LW405" s="1008"/>
      <c r="LX405" s="1007"/>
      <c r="LY405" s="1009"/>
      <c r="LZ405" s="1010"/>
      <c r="MA405" s="1011"/>
      <c r="MB405" s="1012"/>
      <c r="MC405" s="995"/>
      <c r="MD405" s="996"/>
      <c r="ME405" s="997" t="s">
        <v>202</v>
      </c>
      <c r="MF405" s="997"/>
      <c r="MG405" s="998"/>
      <c r="NR405" s="1000"/>
      <c r="NS405" s="1000"/>
      <c r="NT405" s="1001"/>
      <c r="NU405" s="1000"/>
      <c r="NV405" s="1001"/>
      <c r="NX405" s="1002"/>
      <c r="NZ405" s="1001"/>
      <c r="OA405" s="1001"/>
      <c r="OC405" s="1003"/>
      <c r="OD405" s="1003"/>
      <c r="OE405" s="1001"/>
      <c r="OF405" s="1003"/>
      <c r="OG405" s="1003"/>
      <c r="QX405" s="1000">
        <f>CN405-CA405</f>
        <v>26</v>
      </c>
      <c r="ASU405" s="999" t="s">
        <v>208</v>
      </c>
    </row>
    <row r="406" spans="1:466 1191:1191" ht="21" customHeight="1" x14ac:dyDescent="0.25">
      <c r="A406" s="982">
        <f t="shared" si="274"/>
        <v>1474</v>
      </c>
      <c r="B406" s="124">
        <f>SUBTOTAL(103,$J$29:J406)</f>
        <v>378</v>
      </c>
      <c r="C406" s="126">
        <v>45068</v>
      </c>
      <c r="D406" s="124" t="s">
        <v>176</v>
      </c>
      <c r="E406" s="127" t="s">
        <v>177</v>
      </c>
      <c r="F406" s="128" t="s">
        <v>177</v>
      </c>
      <c r="G406" s="127" t="s">
        <v>178</v>
      </c>
      <c r="H406" s="127" t="s">
        <v>179</v>
      </c>
      <c r="I406" s="127" t="s">
        <v>1289</v>
      </c>
      <c r="J406" s="152">
        <v>1474</v>
      </c>
      <c r="K406" s="127" t="s">
        <v>1289</v>
      </c>
      <c r="L406" s="130">
        <v>43489</v>
      </c>
      <c r="M406" s="127" t="s">
        <v>230</v>
      </c>
      <c r="N406" s="127" t="s">
        <v>184</v>
      </c>
      <c r="O406" s="127" t="s">
        <v>185</v>
      </c>
      <c r="P406" s="127" t="s">
        <v>186</v>
      </c>
      <c r="Q406" s="85" t="str">
        <f t="shared" si="319"/>
        <v/>
      </c>
      <c r="R406" s="130"/>
      <c r="S406" s="128"/>
      <c r="T406" s="131"/>
      <c r="U406" s="132">
        <v>203</v>
      </c>
      <c r="V406" s="121">
        <v>218.2</v>
      </c>
      <c r="W406" s="116">
        <v>0.98</v>
      </c>
      <c r="X406" s="116">
        <v>1.66</v>
      </c>
      <c r="Y406" s="116">
        <f t="shared" si="299"/>
        <v>0.98</v>
      </c>
      <c r="Z406" s="133">
        <v>1.454</v>
      </c>
      <c r="AA406" s="133">
        <v>0.83599999999999997</v>
      </c>
      <c r="AB406" s="133">
        <v>0.72</v>
      </c>
      <c r="AC406" s="121">
        <v>34.299999999999997</v>
      </c>
      <c r="AD406" s="134">
        <v>1.17</v>
      </c>
      <c r="AE406" s="124">
        <v>177.8</v>
      </c>
      <c r="AF406" s="128">
        <v>9.19</v>
      </c>
      <c r="AG406" s="128">
        <v>2150</v>
      </c>
      <c r="AH406" s="127">
        <v>3000</v>
      </c>
      <c r="AI406" s="127">
        <v>3000</v>
      </c>
      <c r="AJ406" s="135"/>
      <c r="AK406" s="128"/>
      <c r="AL406" s="131"/>
      <c r="AM406" s="124" t="s">
        <v>187</v>
      </c>
      <c r="AN406" s="136" t="s">
        <v>1571</v>
      </c>
      <c r="AO406" s="137">
        <v>15.09</v>
      </c>
      <c r="AP406" s="128">
        <v>2238.79</v>
      </c>
      <c r="AQ406" s="128">
        <v>389.5</v>
      </c>
      <c r="AR406" s="128" t="s">
        <v>1572</v>
      </c>
      <c r="AS406" s="128">
        <v>114</v>
      </c>
      <c r="AT406" s="122">
        <v>7.37</v>
      </c>
      <c r="AU406" s="124" t="s">
        <v>189</v>
      </c>
      <c r="AV406" s="115">
        <f>VLOOKUP(J406,'[63]ТР нефть'!$J$28:$BP$638,39,0)</f>
        <v>549.99999140600005</v>
      </c>
      <c r="AW406" s="115" t="str">
        <f>VLOOKUP(J406,'[63]ТР нефть'!$J$28:$BP$638,40,0)</f>
        <v>ГП</v>
      </c>
      <c r="AX406" s="115">
        <f>VLOOKUP(J406,'[63]ТР нефть'!$J$28:$BP$638,41,0)</f>
        <v>1024.999983984</v>
      </c>
      <c r="AY406" s="115" t="str">
        <f>VLOOKUP(J406,'[63]ТР нефть'!$J$28:$BP$638,42,0)</f>
        <v>ГП</v>
      </c>
      <c r="AZ406" s="115">
        <f>VLOOKUP(J406,'[63]ТР нефть'!$J$28:$BP$638,43,0)</f>
        <v>1380.0000082030001</v>
      </c>
      <c r="BA406" s="115" t="str">
        <f>VLOOKUP(J406,'[63]ТР нефть'!$J$28:$BP$638,44,0)</f>
        <v>ГК76 1/8</v>
      </c>
      <c r="BB406" s="115">
        <f>VLOOKUP(J406,'[63]ТР нефть'!$J$28:$BP$638,45,0)</f>
        <v>1680.0000035160001</v>
      </c>
      <c r="BC406" s="115" t="str">
        <f>VLOOKUP(J406,'[63]ТР нефть'!$J$28:$BP$638,46,0)</f>
        <v>ГК76 5/32</v>
      </c>
      <c r="BD406" s="115">
        <f>VLOOKUP(J406,'[63]ТР нефть'!$J$28:$BP$638,47,0)</f>
        <v>1899.9999703129999</v>
      </c>
      <c r="BE406" s="115" t="str">
        <f>VLOOKUP(J406,'[63]ТР нефть'!$J$28:$BP$638,48,0)</f>
        <v>ЦКсОК 5/16</v>
      </c>
      <c r="BF406" s="115" t="str">
        <f>VLOOKUP(J406,'[63]ТР нефть'!$J$28:$BP$638,49,0)</f>
        <v>-</v>
      </c>
      <c r="BG406" s="115" t="str">
        <f>VLOOKUP(J406,'[63]ТР нефть'!$J$28:$BP$638,50,0)</f>
        <v>-</v>
      </c>
      <c r="BH406" s="115" t="str">
        <f>VLOOKUP(J406,'[63]ТР нефть'!$J$28:$BP$638,51,0)</f>
        <v>-</v>
      </c>
      <c r="BI406" s="115" t="str">
        <f>VLOOKUP(J406,'[63]ТР нефть'!$J$28:$BP$638,52,0)</f>
        <v>-</v>
      </c>
      <c r="BJ406" s="115" t="str">
        <f>IF(IFERROR(VLOOKUP(J406,'[63]ТР нефть'!$J$28:$BP$638,53,0),"-")=0,"-",IFERROR(VLOOKUP(J406,'[63]ТР нефть'!$J$28:$BP$638,53,0),"-"))</f>
        <v>-</v>
      </c>
      <c r="BK406" s="138" t="str">
        <f>IF(IFERROR(VLOOKUP(J406,'[63]ТР нефть'!$J$28:$BP$638,54,0),"-")=0,"-",IFERROR(VLOOKUP(J406,'[63]ТР нефть'!$J$28:$BP$638,54,0),"-"))</f>
        <v>-</v>
      </c>
      <c r="BL406" s="138" t="str">
        <f>IF(IFERROR(VLOOKUP(J406,'[63]ТР нефть'!$J$28:$BP$638,55,0),"-")=0,"-",IFERROR(VLOOKUP(J406,'[63]ТР нефть'!$J$28:$BP$638,55,0),"-"))</f>
        <v>-</v>
      </c>
      <c r="BM406" s="138" t="str">
        <f>IF(IFERROR(VLOOKUP(J406,'[63]ТР нефть'!$J$28:$BP$638,56,0),"-")=0,"-",IFERROR(VLOOKUP(J406,'[63]ТР нефть'!$J$28:$BP$638,56,0),"-"))</f>
        <v>-</v>
      </c>
      <c r="BN406" s="138" t="str">
        <f>IF(IFERROR(VLOOKUP(J406,'[63]ТР нефть'!$J$28:$BP$638,57,0),"-")=0,"-",IFERROR(VLOOKUP(J406,'[63]ТР нефть'!$J$28:$BP$638,57,0),"-"))</f>
        <v>-</v>
      </c>
      <c r="BO406" s="115" t="str">
        <f>IF(IFERROR(VLOOKUP(J406,'[63]ТР нефть'!$J$28:$BP$638,58,0),"-")=0,"-",IFERROR(VLOOKUP(J406,'[63]ТР нефть'!$J$28:$BP$638,58,0),"-"))</f>
        <v>-</v>
      </c>
      <c r="BP406" s="115" t="str">
        <f>IF(IFERROR(VLOOKUP(J406,'[63]ТР нефть'!$J$28:$BP$638,59,0),"-")=0,"-",IFERROR(VLOOKUP(J406,'[63]ТР нефть'!$J$28:$BP$638,59,0),"-"))</f>
        <v>-</v>
      </c>
      <c r="BQ406" s="138">
        <v>2070</v>
      </c>
      <c r="BR406" s="128">
        <v>1794.32</v>
      </c>
      <c r="BS406" s="115">
        <f t="shared" si="307"/>
        <v>275.68000000000006</v>
      </c>
      <c r="BT406" s="128">
        <v>73</v>
      </c>
      <c r="BU406" s="128">
        <v>5.5</v>
      </c>
      <c r="BV406" s="127">
        <v>65</v>
      </c>
      <c r="BW406" s="127" t="s">
        <v>217</v>
      </c>
      <c r="BX406" s="127" t="s">
        <v>195</v>
      </c>
      <c r="BY406" s="139">
        <v>24</v>
      </c>
      <c r="BZ406" s="139">
        <v>0</v>
      </c>
      <c r="CA406" s="138">
        <v>25</v>
      </c>
      <c r="CB406" s="138">
        <v>38</v>
      </c>
      <c r="CC406" s="138">
        <v>24</v>
      </c>
      <c r="CD406" s="135">
        <v>45017</v>
      </c>
      <c r="CE406" s="138">
        <v>116</v>
      </c>
      <c r="CF406" s="138">
        <v>72</v>
      </c>
      <c r="CG406" s="138" t="str">
        <f t="shared" si="310"/>
        <v>В работе</v>
      </c>
      <c r="CH406" s="138" t="s">
        <v>272</v>
      </c>
      <c r="CI406" s="138"/>
      <c r="CJ406" s="139"/>
      <c r="CK406" s="139">
        <f t="shared" si="308"/>
        <v>21</v>
      </c>
      <c r="CL406" s="99"/>
      <c r="CM406" s="99"/>
      <c r="CN406" s="140">
        <v>46</v>
      </c>
      <c r="CO406" s="141">
        <f t="shared" si="276"/>
        <v>7.524</v>
      </c>
      <c r="CP406" s="142">
        <v>9</v>
      </c>
      <c r="CQ406" s="143">
        <v>0</v>
      </c>
      <c r="CR406" s="115">
        <v>22</v>
      </c>
      <c r="CS406" s="139">
        <v>7.92</v>
      </c>
      <c r="CT406" s="138"/>
      <c r="CU406" s="138">
        <f t="shared" si="320"/>
        <v>14.08</v>
      </c>
      <c r="CV406" s="115">
        <f t="shared" si="321"/>
        <v>1871.3450292397661</v>
      </c>
      <c r="CW406" s="115">
        <f t="shared" si="279"/>
        <v>1052.6315789473683</v>
      </c>
      <c r="CX406" s="133">
        <f t="shared" si="322"/>
        <v>0.12857142857142856</v>
      </c>
      <c r="CY406" s="116"/>
      <c r="CZ406" s="131"/>
      <c r="DA406" s="145" t="str">
        <f t="shared" si="281"/>
        <v>Газлифт</v>
      </c>
      <c r="DB406" s="146">
        <f t="shared" si="282"/>
        <v>7.524</v>
      </c>
      <c r="DC406" s="142">
        <f t="shared" si="302"/>
        <v>9</v>
      </c>
      <c r="DD406" s="119">
        <f t="shared" si="303"/>
        <v>0</v>
      </c>
      <c r="DE406" s="115">
        <f t="shared" si="283"/>
        <v>14.08</v>
      </c>
      <c r="DF406" s="121">
        <f t="shared" si="284"/>
        <v>7.92</v>
      </c>
      <c r="DG406" s="115">
        <f t="shared" si="285"/>
        <v>1871.3450292397661</v>
      </c>
      <c r="DH406" s="115">
        <f t="shared" si="286"/>
        <v>46</v>
      </c>
      <c r="DI406" s="147"/>
      <c r="DJ406" s="111" t="s">
        <v>197</v>
      </c>
      <c r="DK406" s="112">
        <v>43489</v>
      </c>
      <c r="DL406" s="113">
        <f t="shared" ca="1" si="312"/>
        <v>1615</v>
      </c>
      <c r="DM406" s="114"/>
      <c r="DN406" s="114"/>
      <c r="DO406" s="114"/>
      <c r="DP406" s="114"/>
      <c r="DQ406" s="112">
        <v>43489</v>
      </c>
      <c r="DR406" s="114" t="s">
        <v>324</v>
      </c>
      <c r="DS406" s="114"/>
      <c r="DT406" s="115">
        <v>55</v>
      </c>
      <c r="DU406" s="116">
        <f t="shared" si="313"/>
        <v>0.14754098360655737</v>
      </c>
      <c r="DV406" s="117">
        <f t="shared" si="314"/>
        <v>7.524</v>
      </c>
      <c r="DW406" s="118">
        <f t="shared" si="315"/>
        <v>9</v>
      </c>
      <c r="DX406" s="119">
        <f t="shared" si="287"/>
        <v>0</v>
      </c>
      <c r="DY406" s="115">
        <f t="shared" si="316"/>
        <v>14.08</v>
      </c>
      <c r="DZ406" s="117">
        <f t="shared" si="317"/>
        <v>0</v>
      </c>
      <c r="EA406" s="120">
        <f t="shared" si="317"/>
        <v>0</v>
      </c>
      <c r="EB406" s="119">
        <f t="shared" si="317"/>
        <v>0</v>
      </c>
      <c r="EC406" s="121">
        <f t="shared" si="318"/>
        <v>0</v>
      </c>
      <c r="ED406" s="122"/>
      <c r="EE406" s="145">
        <v>65</v>
      </c>
      <c r="EF406" s="115">
        <v>27</v>
      </c>
      <c r="EG406" s="115">
        <v>38</v>
      </c>
      <c r="EH406" s="115">
        <v>26</v>
      </c>
      <c r="EI406" s="128" t="s">
        <v>195</v>
      </c>
      <c r="EJ406" s="121">
        <v>24</v>
      </c>
      <c r="EK406" s="121">
        <v>0</v>
      </c>
      <c r="EL406" s="149">
        <v>7.524</v>
      </c>
      <c r="EM406" s="142">
        <v>9</v>
      </c>
      <c r="EN406" s="119">
        <v>0</v>
      </c>
      <c r="EO406" s="115">
        <v>22</v>
      </c>
      <c r="EP406" s="115">
        <v>1871.3450292397661</v>
      </c>
      <c r="EQ406" s="115">
        <v>71</v>
      </c>
      <c r="ER406" s="115">
        <v>7.92</v>
      </c>
      <c r="ES406" s="115">
        <v>46</v>
      </c>
      <c r="ET406" s="150">
        <v>0.12857142857142856</v>
      </c>
      <c r="EU406" s="145">
        <f t="shared" si="288"/>
        <v>65</v>
      </c>
      <c r="EV406" s="115">
        <f t="shared" si="289"/>
        <v>25</v>
      </c>
      <c r="EW406" s="115">
        <f t="shared" si="289"/>
        <v>38</v>
      </c>
      <c r="EX406" s="115">
        <f t="shared" si="289"/>
        <v>24</v>
      </c>
      <c r="EY406" s="115" t="str">
        <f t="shared" si="309"/>
        <v>Постоянный</v>
      </c>
      <c r="EZ406" s="115">
        <f t="shared" si="309"/>
        <v>24</v>
      </c>
      <c r="FA406" s="115">
        <f t="shared" si="309"/>
        <v>0</v>
      </c>
      <c r="FB406" s="149">
        <f t="shared" si="298"/>
        <v>7.524</v>
      </c>
      <c r="FC406" s="142">
        <f t="shared" si="298"/>
        <v>9</v>
      </c>
      <c r="FD406" s="119">
        <f t="shared" si="298"/>
        <v>0</v>
      </c>
      <c r="FE406" s="121">
        <f t="shared" si="298"/>
        <v>22</v>
      </c>
      <c r="FF406" s="121">
        <f t="shared" si="300"/>
        <v>1871.3450292397661</v>
      </c>
      <c r="FG406" s="121">
        <f t="shared" si="290"/>
        <v>72</v>
      </c>
      <c r="FH406" s="121">
        <f t="shared" si="301"/>
        <v>7.92</v>
      </c>
      <c r="FI406" s="121">
        <f t="shared" si="306"/>
        <v>46</v>
      </c>
      <c r="FJ406" s="144">
        <f t="shared" si="291"/>
        <v>0.12857142857142856</v>
      </c>
      <c r="FK406" s="132">
        <f t="shared" si="292"/>
        <v>0</v>
      </c>
      <c r="FL406" s="115">
        <f t="shared" si="292"/>
        <v>-2</v>
      </c>
      <c r="FM406" s="115">
        <f t="shared" si="292"/>
        <v>0</v>
      </c>
      <c r="FN406" s="115">
        <f t="shared" si="273"/>
        <v>-2</v>
      </c>
      <c r="FO406" s="115">
        <f t="shared" si="311"/>
        <v>0</v>
      </c>
      <c r="FP406" s="115">
        <f t="shared" si="311"/>
        <v>0</v>
      </c>
      <c r="FQ406" s="149">
        <f t="shared" si="311"/>
        <v>0</v>
      </c>
      <c r="FR406" s="142">
        <f t="shared" si="311"/>
        <v>0</v>
      </c>
      <c r="FS406" s="119">
        <f t="shared" si="311"/>
        <v>0</v>
      </c>
      <c r="FT406" s="121">
        <f t="shared" si="311"/>
        <v>0</v>
      </c>
      <c r="FU406" s="121">
        <f t="shared" si="293"/>
        <v>1</v>
      </c>
      <c r="FV406" s="121">
        <f t="shared" si="293"/>
        <v>0</v>
      </c>
      <c r="FW406" s="121">
        <f t="shared" si="294"/>
        <v>0</v>
      </c>
      <c r="FX406" s="121">
        <f t="shared" si="295"/>
        <v>0</v>
      </c>
      <c r="FY406" s="144">
        <f t="shared" si="295"/>
        <v>0</v>
      </c>
      <c r="FZ406" s="145"/>
      <c r="GA406" s="125"/>
      <c r="GB406" s="145"/>
      <c r="GC406" s="125"/>
      <c r="GD406" s="997" t="s">
        <v>202</v>
      </c>
      <c r="GE406" s="1004"/>
      <c r="GF406" s="1004">
        <v>-0.83599999999999941</v>
      </c>
      <c r="GG406" s="1004" t="s">
        <v>223</v>
      </c>
      <c r="GH406" s="1004">
        <v>-1.6720000000000006</v>
      </c>
      <c r="GI406" s="145"/>
      <c r="GJ406" s="996">
        <v>-0.41799999999999926</v>
      </c>
      <c r="GK406" s="145"/>
      <c r="GL406" s="996">
        <v>-0.29260000000000019</v>
      </c>
      <c r="GM406" s="1005" t="s">
        <v>199</v>
      </c>
      <c r="GN406" s="996">
        <v>2.3834359999999997</v>
      </c>
      <c r="GO406" s="1006"/>
      <c r="GP406" s="996">
        <v>0</v>
      </c>
      <c r="GQ406" s="1006"/>
      <c r="GR406" s="996">
        <v>0</v>
      </c>
      <c r="GS406" s="1006"/>
      <c r="GT406" s="996">
        <v>0</v>
      </c>
      <c r="GU406" s="1006"/>
      <c r="GV406" s="996">
        <v>0</v>
      </c>
      <c r="GW406" s="1006"/>
      <c r="GX406" s="996">
        <v>0</v>
      </c>
      <c r="GY406" s="1006" t="s">
        <v>199</v>
      </c>
      <c r="GZ406" s="996">
        <v>-2.2987701000000005</v>
      </c>
      <c r="HA406" s="1006" t="s">
        <v>199</v>
      </c>
      <c r="HB406" s="996">
        <v>1.7052694559999999</v>
      </c>
      <c r="HC406" s="1006" t="s">
        <v>199</v>
      </c>
      <c r="HD406" s="996">
        <v>-1.0783321559999983</v>
      </c>
      <c r="HE406" s="1006"/>
      <c r="HF406" s="996">
        <v>-0.44303569200000048</v>
      </c>
      <c r="HG406" s="1006" t="s">
        <v>199</v>
      </c>
      <c r="HH406" s="996">
        <v>0.60923249199999852</v>
      </c>
      <c r="HI406" s="1006"/>
      <c r="HJ406" s="996">
        <v>-0.51831999999999923</v>
      </c>
      <c r="HK406" s="1006"/>
      <c r="HL406" s="996">
        <v>0</v>
      </c>
      <c r="HM406" s="1006"/>
      <c r="HN406" s="996">
        <v>-0.23407999999999873</v>
      </c>
      <c r="HO406" s="1006"/>
      <c r="HP406" s="996">
        <v>-7.7179520000001389E-2</v>
      </c>
      <c r="HQ406" s="1006"/>
      <c r="HR406" s="996">
        <v>-0.16709967999999797</v>
      </c>
      <c r="HS406" s="1006" t="s">
        <v>199</v>
      </c>
      <c r="HT406" s="996">
        <v>-2.4229453599999999</v>
      </c>
      <c r="HU406" s="1006" t="s">
        <v>199</v>
      </c>
      <c r="HV406" s="996">
        <v>1.091030159999999</v>
      </c>
      <c r="HW406" s="1006"/>
      <c r="HX406" s="996">
        <v>0.35912051999999939</v>
      </c>
      <c r="HY406" s="1006"/>
      <c r="HZ406" s="996">
        <v>0</v>
      </c>
      <c r="IA406" s="1006"/>
      <c r="IB406" s="996">
        <v>-0.55524611999999962</v>
      </c>
      <c r="IC406" s="1006"/>
      <c r="ID406" s="996">
        <v>-0.3176799999999993</v>
      </c>
      <c r="IE406" s="1006"/>
      <c r="IF406" s="996">
        <v>-0.66880000000000095</v>
      </c>
      <c r="IG406" s="1006"/>
      <c r="IH406" s="996">
        <v>0</v>
      </c>
      <c r="II406" s="1006"/>
      <c r="IJ406" s="996">
        <v>-0.8360000000000003</v>
      </c>
      <c r="IK406" s="1006"/>
      <c r="IL406" s="996">
        <v>0</v>
      </c>
      <c r="IM406" s="1006"/>
      <c r="IN406" s="996">
        <v>0</v>
      </c>
      <c r="IO406" s="1006"/>
      <c r="IP406" s="996">
        <v>-0.8360000000000003</v>
      </c>
      <c r="IQ406" s="1006"/>
      <c r="IR406" s="996">
        <v>0</v>
      </c>
      <c r="IS406" s="1006"/>
      <c r="IT406" s="996">
        <v>0</v>
      </c>
      <c r="IU406" s="1006"/>
      <c r="IV406" s="996">
        <v>0</v>
      </c>
      <c r="IW406" s="1006"/>
      <c r="IX406" s="996">
        <v>0</v>
      </c>
      <c r="IY406" s="1006"/>
      <c r="IZ406" s="996">
        <v>0</v>
      </c>
      <c r="JA406" s="1006" t="s">
        <v>199</v>
      </c>
      <c r="JB406" s="996">
        <v>-3.3439999999999994</v>
      </c>
      <c r="JC406" s="1006" t="s">
        <v>199</v>
      </c>
      <c r="JD406" s="996">
        <v>4.5980000000000008</v>
      </c>
      <c r="JE406" s="1006" t="s">
        <v>199</v>
      </c>
      <c r="JF406" s="996">
        <v>-3.7620000000000022</v>
      </c>
      <c r="JG406" s="1006" t="s">
        <v>1573</v>
      </c>
      <c r="JH406" s="996">
        <v>-2.5079999999999991</v>
      </c>
      <c r="JI406" s="1006"/>
      <c r="JJ406" s="996">
        <v>0</v>
      </c>
      <c r="JK406" s="1007"/>
      <c r="JL406" s="1007">
        <v>0</v>
      </c>
      <c r="JM406" s="1007" t="s">
        <v>203</v>
      </c>
      <c r="JN406" s="1007">
        <v>-1.6720000000000006</v>
      </c>
      <c r="JO406" s="1008"/>
      <c r="JP406" s="1007">
        <v>3.6000000000001364E-2</v>
      </c>
      <c r="JQ406" s="1008">
        <v>0</v>
      </c>
      <c r="JR406" s="1007">
        <v>0</v>
      </c>
      <c r="JS406" s="1008" t="s">
        <v>199</v>
      </c>
      <c r="JT406" s="1007">
        <v>-4.18</v>
      </c>
      <c r="JU406" s="1008"/>
      <c r="JV406" s="1007">
        <v>0</v>
      </c>
      <c r="JW406" s="1008" t="s">
        <v>197</v>
      </c>
      <c r="JX406" s="1007">
        <v>0</v>
      </c>
      <c r="JY406" s="1008" t="s">
        <v>199</v>
      </c>
      <c r="JZ406" s="1007">
        <v>-6.3536000000000001</v>
      </c>
      <c r="KA406" s="1008" t="s">
        <v>203</v>
      </c>
      <c r="KB406" s="1007">
        <v>-7.6075999999999979</v>
      </c>
      <c r="KC406" s="1008"/>
      <c r="KD406" s="1007">
        <v>-19.723095288800039</v>
      </c>
      <c r="KE406" s="1008" t="s">
        <v>25</v>
      </c>
      <c r="KF406" s="1007">
        <v>42.4</v>
      </c>
      <c r="KG406" s="1008"/>
      <c r="KH406" s="1007"/>
      <c r="KI406" s="1008"/>
      <c r="KJ406" s="1007"/>
      <c r="KK406" s="1008"/>
      <c r="KL406" s="1007"/>
      <c r="KM406" s="1008"/>
      <c r="KN406" s="1007"/>
      <c r="KO406" s="1008"/>
      <c r="KP406" s="1007"/>
      <c r="KQ406" s="1008"/>
      <c r="KR406" s="1007"/>
      <c r="KS406" s="1008"/>
      <c r="KT406" s="1007"/>
      <c r="KU406" s="1008"/>
      <c r="KV406" s="1007"/>
      <c r="KW406" s="1008"/>
      <c r="KX406" s="1007"/>
      <c r="KY406" s="1008"/>
      <c r="KZ406" s="1007"/>
      <c r="LA406" s="1008"/>
      <c r="LB406" s="1007"/>
      <c r="LC406" s="1008"/>
      <c r="LD406" s="1007"/>
      <c r="LE406" s="1008"/>
      <c r="LF406" s="1007"/>
      <c r="LG406" s="1008"/>
      <c r="LH406" s="1007"/>
      <c r="LI406" s="1008"/>
      <c r="LJ406" s="1007"/>
      <c r="LK406" s="1008"/>
      <c r="LL406" s="1007"/>
      <c r="LM406" s="1008"/>
      <c r="LN406" s="1007"/>
      <c r="LO406" s="1008"/>
      <c r="LP406" s="1007"/>
      <c r="LQ406" s="1008"/>
      <c r="LR406" s="1007"/>
      <c r="LS406" s="1008"/>
      <c r="LT406" s="1007"/>
      <c r="LU406" s="1008"/>
      <c r="LV406" s="1007"/>
      <c r="LW406" s="1008"/>
      <c r="LX406" s="1007"/>
      <c r="LY406" s="1009"/>
      <c r="LZ406" s="1010"/>
      <c r="MA406" s="1011"/>
      <c r="MB406" s="1012"/>
      <c r="MC406" s="995"/>
      <c r="MD406" s="996"/>
      <c r="ME406" s="997" t="s">
        <v>202</v>
      </c>
      <c r="MF406" s="997"/>
      <c r="MG406" s="998"/>
      <c r="NR406" s="1000"/>
      <c r="NS406" s="1000"/>
      <c r="NT406" s="1001"/>
      <c r="NU406" s="1000"/>
      <c r="NV406" s="1001"/>
      <c r="NX406" s="1002"/>
      <c r="NZ406" s="1001"/>
      <c r="OA406" s="1001"/>
      <c r="OC406" s="1003"/>
      <c r="OD406" s="1003"/>
      <c r="OE406" s="1001"/>
      <c r="OF406" s="1003"/>
      <c r="OG406" s="1003"/>
      <c r="QX406" s="1000">
        <f>CN406-CA406</f>
        <v>21</v>
      </c>
      <c r="ASU406" s="999" t="s">
        <v>208</v>
      </c>
    </row>
    <row r="407" spans="1:466 1191:1191" ht="21" customHeight="1" x14ac:dyDescent="0.25">
      <c r="A407" s="982">
        <f t="shared" si="274"/>
        <v>1475</v>
      </c>
      <c r="B407" s="124">
        <f>SUBTOTAL(103,$J$29:J407)</f>
        <v>379</v>
      </c>
      <c r="C407" s="126">
        <v>45068</v>
      </c>
      <c r="D407" s="124" t="s">
        <v>176</v>
      </c>
      <c r="E407" s="127" t="s">
        <v>177</v>
      </c>
      <c r="F407" s="128" t="s">
        <v>177</v>
      </c>
      <c r="G407" s="127" t="s">
        <v>178</v>
      </c>
      <c r="H407" s="127" t="s">
        <v>179</v>
      </c>
      <c r="I407" s="127" t="s">
        <v>1293</v>
      </c>
      <c r="J407" s="152">
        <v>1475</v>
      </c>
      <c r="K407" s="127" t="s">
        <v>1293</v>
      </c>
      <c r="L407" s="130">
        <v>43284</v>
      </c>
      <c r="M407" s="127" t="s">
        <v>230</v>
      </c>
      <c r="N407" s="127" t="s">
        <v>184</v>
      </c>
      <c r="O407" s="127" t="s">
        <v>185</v>
      </c>
      <c r="P407" s="127" t="s">
        <v>186</v>
      </c>
      <c r="Q407" s="85" t="str">
        <f t="shared" si="319"/>
        <v/>
      </c>
      <c r="R407" s="130"/>
      <c r="S407" s="128"/>
      <c r="T407" s="131"/>
      <c r="U407" s="132">
        <v>203</v>
      </c>
      <c r="V407" s="121">
        <v>218.2</v>
      </c>
      <c r="W407" s="116">
        <v>0.98</v>
      </c>
      <c r="X407" s="116">
        <v>1.66</v>
      </c>
      <c r="Y407" s="116">
        <f t="shared" si="299"/>
        <v>0.98</v>
      </c>
      <c r="Z407" s="133">
        <v>1.454</v>
      </c>
      <c r="AA407" s="133">
        <v>0.83599999999999997</v>
      </c>
      <c r="AB407" s="133">
        <v>0.72</v>
      </c>
      <c r="AC407" s="121">
        <v>34.299999999999997</v>
      </c>
      <c r="AD407" s="134">
        <v>1.17</v>
      </c>
      <c r="AE407" s="124">
        <v>177.8</v>
      </c>
      <c r="AF407" s="128">
        <v>9.19</v>
      </c>
      <c r="AG407" s="128">
        <v>2869.69</v>
      </c>
      <c r="AH407" s="138">
        <v>3496.64</v>
      </c>
      <c r="AI407" s="138">
        <v>3496.64</v>
      </c>
      <c r="AJ407" s="135">
        <v>43106</v>
      </c>
      <c r="AK407" s="128" t="s">
        <v>1018</v>
      </c>
      <c r="AL407" s="131"/>
      <c r="AM407" s="124" t="s">
        <v>985</v>
      </c>
      <c r="AN407" s="136" t="s">
        <v>1574</v>
      </c>
      <c r="AO407" s="137">
        <v>9.6300000000000008</v>
      </c>
      <c r="AP407" s="128">
        <v>2821</v>
      </c>
      <c r="AQ407" s="128">
        <v>863</v>
      </c>
      <c r="AR407" s="128" t="s">
        <v>1575</v>
      </c>
      <c r="AS407" s="128">
        <v>114</v>
      </c>
      <c r="AT407" s="122">
        <v>7.37</v>
      </c>
      <c r="AU407" s="124" t="s">
        <v>189</v>
      </c>
      <c r="AV407" s="115">
        <f>VLOOKUP(J407,'[63]ТР нефть'!$J$28:$BP$638,39,0)</f>
        <v>554.00000771500004</v>
      </c>
      <c r="AW407" s="115" t="str">
        <f>VLOOKUP(J407,'[63]ТР нефть'!$J$28:$BP$638,40,0)</f>
        <v>ГП</v>
      </c>
      <c r="AX407" s="115">
        <f>VLOOKUP(J407,'[63]ТР нефть'!$J$28:$BP$638,41,0)</f>
        <v>1192.9999992190001</v>
      </c>
      <c r="AY407" s="115" t="str">
        <f>VLOOKUP(J407,'[63]ТР нефть'!$J$28:$BP$638,42,0)</f>
        <v>ГП</v>
      </c>
      <c r="AZ407" s="115">
        <f>VLOOKUP(J407,'[63]ТР нефть'!$J$28:$BP$638,43,0)</f>
        <v>1746.0000679689999</v>
      </c>
      <c r="BA407" s="115" t="str">
        <f>VLOOKUP(J407,'[63]ТР нефть'!$J$28:$BP$638,44,0)</f>
        <v>ГК 75 1/8</v>
      </c>
      <c r="BB407" s="115">
        <f>VLOOKUP(J407,'[63]ТР нефть'!$J$28:$BP$638,45,0)</f>
        <v>2190.0000550780001</v>
      </c>
      <c r="BC407" s="115" t="str">
        <f>VLOOKUP(J407,'[63]ТР нефть'!$J$28:$BP$638,46,0)</f>
        <v>ГК 74 1/8</v>
      </c>
      <c r="BD407" s="115">
        <f>VLOOKUP(J407,'[63]ТР нефть'!$J$28:$BP$638,47,0)</f>
        <v>2419.9999324219998</v>
      </c>
      <c r="BE407" s="115" t="str">
        <f>VLOOKUP(J407,'[63]ТР нефть'!$J$28:$BP$638,48,0)</f>
        <v>ЦКсОК 5/16</v>
      </c>
      <c r="BF407" s="115" t="str">
        <f>VLOOKUP(J407,'[63]ТР нефть'!$J$28:$BP$638,49,0)</f>
        <v>-</v>
      </c>
      <c r="BG407" s="115" t="str">
        <f>VLOOKUP(J407,'[63]ТР нефть'!$J$28:$BP$638,50,0)</f>
        <v>-</v>
      </c>
      <c r="BH407" s="115">
        <f>VLOOKUP(J407,'[63]ТР нефть'!$J$28:$BP$638,51,0)</f>
        <v>2430</v>
      </c>
      <c r="BI407" s="115" t="str">
        <f>VLOOKUP(J407,'[63]ТР нефть'!$J$28:$BP$638,52,0)</f>
        <v xml:space="preserve">закрыт </v>
      </c>
      <c r="BJ407" s="115" t="str">
        <f>IF(IFERROR(VLOOKUP(J407,'[63]ТР нефть'!$J$28:$BP$638,53,0),"-")=0,"-",IFERROR(VLOOKUP(J407,'[63]ТР нефть'!$J$28:$BP$638,53,0),"-"))</f>
        <v>-</v>
      </c>
      <c r="BK407" s="138" t="str">
        <f>IF(IFERROR(VLOOKUP(J407,'[63]ТР нефть'!$J$28:$BP$638,54,0),"-")=0,"-",IFERROR(VLOOKUP(J407,'[63]ТР нефть'!$J$28:$BP$638,54,0),"-"))</f>
        <v>-</v>
      </c>
      <c r="BL407" s="138" t="str">
        <f>IF(IFERROR(VLOOKUP(J407,'[63]ТР нефть'!$J$28:$BP$638,55,0),"-")=0,"-",IFERROR(VLOOKUP(J407,'[63]ТР нефть'!$J$28:$BP$638,55,0),"-"))</f>
        <v>-</v>
      </c>
      <c r="BM407" s="138" t="str">
        <f>IF(IFERROR(VLOOKUP(J407,'[63]ТР нефть'!$J$28:$BP$638,56,0),"-")=0,"-",IFERROR(VLOOKUP(J407,'[63]ТР нефть'!$J$28:$BP$638,56,0),"-"))</f>
        <v>-</v>
      </c>
      <c r="BN407" s="138" t="str">
        <f>IF(IFERROR(VLOOKUP(J407,'[63]ТР нефть'!$J$28:$BP$638,57,0),"-")=0,"-",IFERROR(VLOOKUP(J407,'[63]ТР нефть'!$J$28:$BP$638,57,0),"-"))</f>
        <v>-</v>
      </c>
      <c r="BO407" s="115" t="str">
        <f>IF(IFERROR(VLOOKUP(J407,'[63]ТР нефть'!$J$28:$BP$638,58,0),"-")=0,"-",IFERROR(VLOOKUP(J407,'[63]ТР нефть'!$J$28:$BP$638,58,0),"-"))</f>
        <v>-</v>
      </c>
      <c r="BP407" s="115" t="str">
        <f>IF(IFERROR(VLOOKUP(J407,'[63]ТР нефть'!$J$28:$BP$638,59,0),"-")=0,"-",IFERROR(VLOOKUP(J407,'[63]ТР нефть'!$J$28:$BP$638,59,0),"-"))</f>
        <v>-</v>
      </c>
      <c r="BQ407" s="138">
        <v>2162</v>
      </c>
      <c r="BR407" s="128">
        <v>2162</v>
      </c>
      <c r="BS407" s="115">
        <f t="shared" si="307"/>
        <v>0</v>
      </c>
      <c r="BT407" s="128">
        <v>73</v>
      </c>
      <c r="BU407" s="128">
        <v>5.5</v>
      </c>
      <c r="BV407" s="127">
        <v>65</v>
      </c>
      <c r="BW407" s="127" t="s">
        <v>217</v>
      </c>
      <c r="BX407" s="127" t="s">
        <v>195</v>
      </c>
      <c r="BY407" s="139">
        <v>24</v>
      </c>
      <c r="BZ407" s="139">
        <v>0</v>
      </c>
      <c r="CA407" s="138">
        <v>25</v>
      </c>
      <c r="CB407" s="138">
        <v>45</v>
      </c>
      <c r="CC407" s="138">
        <v>24</v>
      </c>
      <c r="CD407" s="135">
        <v>45017</v>
      </c>
      <c r="CE407" s="138">
        <v>160</v>
      </c>
      <c r="CF407" s="138">
        <v>67</v>
      </c>
      <c r="CG407" s="138" t="str">
        <f t="shared" si="310"/>
        <v>В работе</v>
      </c>
      <c r="CH407" s="138" t="s">
        <v>196</v>
      </c>
      <c r="CI407" s="127"/>
      <c r="CJ407" s="138"/>
      <c r="CK407" s="138">
        <f t="shared" si="308"/>
        <v>36</v>
      </c>
      <c r="CL407" s="99"/>
      <c r="CM407" s="99"/>
      <c r="CN407" s="140">
        <v>61</v>
      </c>
      <c r="CO407" s="141">
        <f t="shared" si="276"/>
        <v>12.54</v>
      </c>
      <c r="CP407" s="142">
        <v>15</v>
      </c>
      <c r="CQ407" s="143">
        <v>0</v>
      </c>
      <c r="CR407" s="138">
        <v>16</v>
      </c>
      <c r="CS407" s="139">
        <v>12.4</v>
      </c>
      <c r="CT407" s="138"/>
      <c r="CU407" s="138">
        <f t="shared" si="320"/>
        <v>3.5999999999999996</v>
      </c>
      <c r="CV407" s="115">
        <f t="shared" si="321"/>
        <v>287.08133971291863</v>
      </c>
      <c r="CW407" s="115">
        <f t="shared" si="279"/>
        <v>988.83572567783108</v>
      </c>
      <c r="CX407" s="133">
        <f t="shared" si="322"/>
        <v>0.15151515151515152</v>
      </c>
      <c r="CY407" s="116"/>
      <c r="CZ407" s="174"/>
      <c r="DA407" s="145" t="str">
        <f t="shared" si="281"/>
        <v>Газлифт</v>
      </c>
      <c r="DB407" s="146">
        <f t="shared" si="282"/>
        <v>12.54</v>
      </c>
      <c r="DC407" s="142">
        <f t="shared" si="302"/>
        <v>15</v>
      </c>
      <c r="DD407" s="119">
        <f t="shared" si="303"/>
        <v>0</v>
      </c>
      <c r="DE407" s="115">
        <f t="shared" si="283"/>
        <v>3.5999999999999996</v>
      </c>
      <c r="DF407" s="121">
        <f t="shared" si="284"/>
        <v>12.4</v>
      </c>
      <c r="DG407" s="115">
        <f t="shared" si="285"/>
        <v>287.08133971291863</v>
      </c>
      <c r="DH407" s="115">
        <f t="shared" si="286"/>
        <v>61</v>
      </c>
      <c r="DI407" s="147"/>
      <c r="DJ407" s="111">
        <v>43702</v>
      </c>
      <c r="DK407" s="112">
        <v>43284</v>
      </c>
      <c r="DL407" s="113">
        <f t="shared" ca="1" si="312"/>
        <v>1820</v>
      </c>
      <c r="DM407" s="114"/>
      <c r="DN407" s="114"/>
      <c r="DO407" s="114"/>
      <c r="DP407" s="114"/>
      <c r="DQ407" s="112">
        <v>43284</v>
      </c>
      <c r="DR407" s="114" t="s">
        <v>324</v>
      </c>
      <c r="DS407" s="114"/>
      <c r="DT407" s="115">
        <v>60</v>
      </c>
      <c r="DU407" s="116">
        <f t="shared" si="313"/>
        <v>0.15093463369325438</v>
      </c>
      <c r="DV407" s="117">
        <f t="shared" si="314"/>
        <v>12.618135376756067</v>
      </c>
      <c r="DW407" s="118">
        <f t="shared" si="315"/>
        <v>15.093463369325439</v>
      </c>
      <c r="DX407" s="119">
        <f t="shared" si="287"/>
        <v>0</v>
      </c>
      <c r="DY407" s="115">
        <f t="shared" si="316"/>
        <v>3.6224312086381052</v>
      </c>
      <c r="DZ407" s="117">
        <f t="shared" si="317"/>
        <v>7.8135376756067743E-2</v>
      </c>
      <c r="EA407" s="120">
        <f t="shared" si="317"/>
        <v>9.3463369325439416E-2</v>
      </c>
      <c r="EB407" s="119">
        <f t="shared" si="317"/>
        <v>0</v>
      </c>
      <c r="EC407" s="121">
        <f t="shared" si="318"/>
        <v>2.2431208638105549E-2</v>
      </c>
      <c r="ED407" s="122"/>
      <c r="EE407" s="145">
        <v>65</v>
      </c>
      <c r="EF407" s="115">
        <v>27</v>
      </c>
      <c r="EG407" s="115">
        <v>46</v>
      </c>
      <c r="EH407" s="115">
        <v>26</v>
      </c>
      <c r="EI407" s="128" t="s">
        <v>195</v>
      </c>
      <c r="EJ407" s="121">
        <v>24</v>
      </c>
      <c r="EK407" s="121">
        <v>0</v>
      </c>
      <c r="EL407" s="149">
        <v>16.72</v>
      </c>
      <c r="EM407" s="142">
        <v>20</v>
      </c>
      <c r="EN407" s="119">
        <v>0</v>
      </c>
      <c r="EO407" s="115">
        <v>16</v>
      </c>
      <c r="EP407" s="115">
        <v>119.61722488038278</v>
      </c>
      <c r="EQ407" s="115">
        <v>68</v>
      </c>
      <c r="ER407" s="115">
        <v>14</v>
      </c>
      <c r="ES407" s="115">
        <v>64</v>
      </c>
      <c r="ET407" s="150">
        <v>0.20833333333333334</v>
      </c>
      <c r="EU407" s="145">
        <f t="shared" si="288"/>
        <v>65</v>
      </c>
      <c r="EV407" s="115">
        <f t="shared" si="289"/>
        <v>25</v>
      </c>
      <c r="EW407" s="115">
        <f t="shared" si="289"/>
        <v>45</v>
      </c>
      <c r="EX407" s="115">
        <f t="shared" si="289"/>
        <v>24</v>
      </c>
      <c r="EY407" s="115" t="str">
        <f t="shared" si="309"/>
        <v>Постоянный</v>
      </c>
      <c r="EZ407" s="115">
        <f t="shared" si="309"/>
        <v>24</v>
      </c>
      <c r="FA407" s="115">
        <f t="shared" si="309"/>
        <v>0</v>
      </c>
      <c r="FB407" s="149">
        <f t="shared" si="298"/>
        <v>12.54</v>
      </c>
      <c r="FC407" s="142">
        <f t="shared" si="298"/>
        <v>15</v>
      </c>
      <c r="FD407" s="119">
        <f t="shared" si="298"/>
        <v>0</v>
      </c>
      <c r="FE407" s="121">
        <f t="shared" si="298"/>
        <v>16</v>
      </c>
      <c r="FF407" s="121">
        <f t="shared" si="300"/>
        <v>287.08133971291863</v>
      </c>
      <c r="FG407" s="121">
        <f t="shared" si="290"/>
        <v>67</v>
      </c>
      <c r="FH407" s="121">
        <f t="shared" si="301"/>
        <v>12.4</v>
      </c>
      <c r="FI407" s="121">
        <f t="shared" si="306"/>
        <v>61</v>
      </c>
      <c r="FJ407" s="144">
        <f t="shared" si="291"/>
        <v>0.15151515151515152</v>
      </c>
      <c r="FK407" s="132">
        <f t="shared" si="292"/>
        <v>0</v>
      </c>
      <c r="FL407" s="115">
        <f t="shared" si="292"/>
        <v>-2</v>
      </c>
      <c r="FM407" s="115">
        <f t="shared" si="292"/>
        <v>-1</v>
      </c>
      <c r="FN407" s="115">
        <f t="shared" si="273"/>
        <v>-2</v>
      </c>
      <c r="FO407" s="115">
        <f t="shared" si="311"/>
        <v>0</v>
      </c>
      <c r="FP407" s="115">
        <f t="shared" si="311"/>
        <v>0</v>
      </c>
      <c r="FQ407" s="149">
        <f t="shared" si="311"/>
        <v>-4.18</v>
      </c>
      <c r="FR407" s="142">
        <f t="shared" si="311"/>
        <v>-5</v>
      </c>
      <c r="FS407" s="119">
        <f t="shared" si="311"/>
        <v>0</v>
      </c>
      <c r="FT407" s="121">
        <f t="shared" si="311"/>
        <v>0</v>
      </c>
      <c r="FU407" s="121">
        <f t="shared" si="293"/>
        <v>-1</v>
      </c>
      <c r="FV407" s="121">
        <f t="shared" si="293"/>
        <v>-1.5999999999999996</v>
      </c>
      <c r="FW407" s="121">
        <f t="shared" si="294"/>
        <v>167.46411483253587</v>
      </c>
      <c r="FX407" s="121">
        <f t="shared" si="295"/>
        <v>-3</v>
      </c>
      <c r="FY407" s="144">
        <f t="shared" si="295"/>
        <v>-5.6818181818181823E-2</v>
      </c>
      <c r="FZ407" s="145" t="s">
        <v>203</v>
      </c>
      <c r="GA407" s="136" t="s">
        <v>1576</v>
      </c>
      <c r="GB407" s="145" t="s">
        <v>203</v>
      </c>
      <c r="GC407" s="125" t="s">
        <v>1577</v>
      </c>
      <c r="GD407" s="997" t="s">
        <v>202</v>
      </c>
      <c r="GE407" s="1004" t="s">
        <v>203</v>
      </c>
      <c r="GF407" s="1004">
        <v>-3.4119667999999983</v>
      </c>
      <c r="GG407" s="1004" t="s">
        <v>203</v>
      </c>
      <c r="GH407" s="1004">
        <v>-1.6038133320000014</v>
      </c>
      <c r="GI407" s="145"/>
      <c r="GJ407" s="996">
        <v>0</v>
      </c>
      <c r="GK407" s="145" t="s">
        <v>25</v>
      </c>
      <c r="GL407" s="996">
        <v>19.229034131999999</v>
      </c>
      <c r="GM407" s="1005"/>
      <c r="GN407" s="996">
        <v>0</v>
      </c>
      <c r="GO407" s="1006"/>
      <c r="GP407" s="996">
        <v>0</v>
      </c>
      <c r="GQ407" s="1006"/>
      <c r="GR407" s="996">
        <v>0</v>
      </c>
      <c r="GS407" s="1006"/>
      <c r="GT407" s="996">
        <v>1.5876057999999997</v>
      </c>
      <c r="GU407" s="1006" t="s">
        <v>204</v>
      </c>
      <c r="GV407" s="996">
        <v>-2.3579797999999998</v>
      </c>
      <c r="GW407" s="1006" t="s">
        <v>199</v>
      </c>
      <c r="GX407" s="996">
        <v>1.4379199999999994</v>
      </c>
      <c r="GY407" s="1006" t="s">
        <v>199</v>
      </c>
      <c r="GZ407" s="996">
        <v>-2.3742400000000004</v>
      </c>
      <c r="HA407" s="1006" t="s">
        <v>199</v>
      </c>
      <c r="HB407" s="996">
        <v>1.7388800000000004</v>
      </c>
      <c r="HC407" s="1006" t="s">
        <v>199</v>
      </c>
      <c r="HD407" s="996">
        <v>1.5357319999999999</v>
      </c>
      <c r="HE407" s="1006"/>
      <c r="HF407" s="996">
        <v>0</v>
      </c>
      <c r="HG407" s="1006" t="s">
        <v>199</v>
      </c>
      <c r="HH407" s="996">
        <v>-3.5272679199999999</v>
      </c>
      <c r="HI407" s="1006" t="s">
        <v>199</v>
      </c>
      <c r="HJ407" s="996">
        <v>0.9593835679999998</v>
      </c>
      <c r="HK407" s="1006"/>
      <c r="HL407" s="996">
        <v>0</v>
      </c>
      <c r="HM407" s="1006"/>
      <c r="HN407" s="996">
        <v>-0.75615196800000017</v>
      </c>
      <c r="HO407" s="1006"/>
      <c r="HP407" s="996">
        <v>0</v>
      </c>
      <c r="HQ407" s="1006"/>
      <c r="HR407" s="996">
        <v>0</v>
      </c>
      <c r="HS407" s="1006"/>
      <c r="HT407" s="996">
        <v>0</v>
      </c>
      <c r="HU407" s="1006"/>
      <c r="HV407" s="996">
        <v>0.25006432000000078</v>
      </c>
      <c r="HW407" s="1006" t="s">
        <v>199</v>
      </c>
      <c r="HX407" s="996">
        <v>2.1401599999999994</v>
      </c>
      <c r="HY407" s="1006" t="s">
        <v>199</v>
      </c>
      <c r="HZ407" s="996">
        <v>-3.9659839999999993</v>
      </c>
      <c r="IA407" s="1006" t="s">
        <v>199</v>
      </c>
      <c r="IB407" s="996">
        <v>2.9818238999999993</v>
      </c>
      <c r="IC407" s="1006"/>
      <c r="ID407" s="996">
        <v>-0.7283858999999997</v>
      </c>
      <c r="IE407" s="1006" t="s">
        <v>199</v>
      </c>
      <c r="IF407" s="996">
        <v>1.4115859999999998</v>
      </c>
      <c r="IG407" s="1006"/>
      <c r="IH407" s="996">
        <v>0</v>
      </c>
      <c r="II407" s="1006"/>
      <c r="IJ407" s="996">
        <v>-0.75239999999999974</v>
      </c>
      <c r="IK407" s="1006"/>
      <c r="IL407" s="996">
        <v>0</v>
      </c>
      <c r="IM407" s="1006" t="s">
        <v>199</v>
      </c>
      <c r="IN407" s="996">
        <v>1.6719999999999997</v>
      </c>
      <c r="IO407" s="1006"/>
      <c r="IP407" s="996">
        <v>0</v>
      </c>
      <c r="IQ407" s="1006" t="s">
        <v>199</v>
      </c>
      <c r="IR407" s="996">
        <v>-1.32924</v>
      </c>
      <c r="IS407" s="1006" t="s">
        <v>199</v>
      </c>
      <c r="IT407" s="996">
        <v>-1.5549600000000003</v>
      </c>
      <c r="IU407" s="1006" t="s">
        <v>199</v>
      </c>
      <c r="IV407" s="996">
        <v>-1.1503025599999992</v>
      </c>
      <c r="IW407" s="1006"/>
      <c r="IX407" s="996">
        <v>0</v>
      </c>
      <c r="IY407" s="1006"/>
      <c r="IZ407" s="996">
        <v>0</v>
      </c>
      <c r="JA407" s="1006"/>
      <c r="JB407" s="996">
        <v>0</v>
      </c>
      <c r="JC407" s="1006"/>
      <c r="JD407" s="996">
        <v>0</v>
      </c>
      <c r="JE407" s="1006" t="s">
        <v>223</v>
      </c>
      <c r="JF407" s="996">
        <v>-1.6753774400000001</v>
      </c>
      <c r="JG407" s="1006"/>
      <c r="JH407" s="996">
        <v>8.6943999999999022E-2</v>
      </c>
      <c r="JI407" s="1006"/>
      <c r="JJ407" s="996">
        <v>0</v>
      </c>
      <c r="JK407" s="1007"/>
      <c r="JL407" s="1007">
        <v>-0.83245535999999909</v>
      </c>
      <c r="JM407" s="1007"/>
      <c r="JN407" s="1007">
        <v>0</v>
      </c>
      <c r="JO407" s="1008"/>
      <c r="JP407" s="1007">
        <v>0</v>
      </c>
      <c r="JQ407" s="1008" t="s">
        <v>199</v>
      </c>
      <c r="JR407" s="1007">
        <v>-2.5734086400000002</v>
      </c>
      <c r="JS407" s="1008">
        <v>0</v>
      </c>
      <c r="JT407" s="1007">
        <v>0</v>
      </c>
      <c r="JU407" s="1008"/>
      <c r="JV407" s="1007">
        <v>0</v>
      </c>
      <c r="JW407" s="1008" t="s">
        <v>197</v>
      </c>
      <c r="JX407" s="1007">
        <v>0</v>
      </c>
      <c r="JY407" s="1008" t="s">
        <v>199</v>
      </c>
      <c r="JZ407" s="1007">
        <v>-2.2571999999999992</v>
      </c>
      <c r="KA407" s="1008" t="s">
        <v>199</v>
      </c>
      <c r="KB407" s="1007">
        <v>-2.9468999999999994</v>
      </c>
      <c r="KC407" s="1008"/>
      <c r="KD407" s="1007">
        <v>0</v>
      </c>
      <c r="KE407" s="1008" t="s">
        <v>199</v>
      </c>
      <c r="KF407" s="1007">
        <v>1.2748999999999988</v>
      </c>
      <c r="KG407" s="1008" t="s">
        <v>207</v>
      </c>
      <c r="KH407" s="1007">
        <v>1.6720000000000006</v>
      </c>
      <c r="KI407" s="1008" t="s">
        <v>544</v>
      </c>
      <c r="KJ407" s="1007">
        <v>-15.884</v>
      </c>
      <c r="KK407" s="1008"/>
      <c r="KL407" s="1007">
        <v>0</v>
      </c>
      <c r="KM407" s="1008" t="s">
        <v>203</v>
      </c>
      <c r="KN407" s="1007">
        <v>-6.6880000000000024</v>
      </c>
      <c r="KO407" s="1008" t="s">
        <v>203</v>
      </c>
      <c r="KP407" s="1007">
        <v>-1.9979999999999976</v>
      </c>
      <c r="KQ407" s="1008" t="s">
        <v>324</v>
      </c>
      <c r="KR407" s="1007">
        <v>25.08</v>
      </c>
      <c r="KS407" s="1008">
        <v>0</v>
      </c>
      <c r="KT407" s="1007">
        <v>0</v>
      </c>
      <c r="KU407" s="1008">
        <v>0</v>
      </c>
      <c r="KV407" s="1007">
        <v>0</v>
      </c>
      <c r="KW407" s="1008">
        <v>0</v>
      </c>
      <c r="KX407" s="1007">
        <v>0</v>
      </c>
      <c r="KY407" s="1008">
        <v>0</v>
      </c>
      <c r="KZ407" s="1007">
        <v>0</v>
      </c>
      <c r="LA407" s="1008">
        <v>0</v>
      </c>
      <c r="LB407" s="1007">
        <v>0</v>
      </c>
      <c r="LC407" s="1008">
        <v>0</v>
      </c>
      <c r="LD407" s="1007">
        <v>0</v>
      </c>
      <c r="LE407" s="1008">
        <v>0</v>
      </c>
      <c r="LF407" s="1007">
        <v>0</v>
      </c>
      <c r="LG407" s="1008">
        <v>0</v>
      </c>
      <c r="LH407" s="1007">
        <v>0</v>
      </c>
      <c r="LI407" s="1008">
        <v>0</v>
      </c>
      <c r="LJ407" s="1007">
        <v>0</v>
      </c>
      <c r="LK407" s="1008">
        <v>0</v>
      </c>
      <c r="LL407" s="1007">
        <v>0</v>
      </c>
      <c r="LM407" s="1008">
        <v>0</v>
      </c>
      <c r="LN407" s="1007">
        <v>0</v>
      </c>
      <c r="LO407" s="1008">
        <v>0</v>
      </c>
      <c r="LP407" s="1007">
        <v>0</v>
      </c>
      <c r="LQ407" s="1008">
        <v>0</v>
      </c>
      <c r="LR407" s="1007">
        <v>0</v>
      </c>
      <c r="LS407" s="1008">
        <v>0</v>
      </c>
      <c r="LT407" s="1007">
        <v>0</v>
      </c>
      <c r="LU407" s="1008">
        <v>0</v>
      </c>
      <c r="LV407" s="1007">
        <v>0</v>
      </c>
      <c r="LW407" s="1008">
        <v>0</v>
      </c>
      <c r="LX407" s="1007">
        <v>0</v>
      </c>
      <c r="LY407" s="1009">
        <v>0</v>
      </c>
      <c r="LZ407" s="1010">
        <v>0</v>
      </c>
      <c r="MA407" s="1011">
        <v>0</v>
      </c>
      <c r="MB407" s="1012">
        <v>0</v>
      </c>
      <c r="MC407" s="995"/>
      <c r="MD407" s="996"/>
      <c r="ME407" s="997" t="s">
        <v>202</v>
      </c>
      <c r="MF407" s="997"/>
      <c r="MG407" s="998"/>
      <c r="NR407" s="1000"/>
      <c r="NS407" s="1000"/>
      <c r="NT407" s="1001"/>
      <c r="NU407" s="1000"/>
      <c r="NV407" s="1001"/>
      <c r="NX407" s="1002"/>
      <c r="NZ407" s="1001"/>
      <c r="OA407" s="1001"/>
      <c r="OC407" s="1003"/>
      <c r="OD407" s="1003"/>
      <c r="OE407" s="1001"/>
      <c r="OF407" s="1003"/>
      <c r="OG407" s="1003"/>
      <c r="QX407" s="1000">
        <f>CN407-CA407</f>
        <v>36</v>
      </c>
      <c r="ASU407" s="999" t="s">
        <v>225</v>
      </c>
    </row>
    <row r="408" spans="1:466 1191:1191" ht="21" customHeight="1" x14ac:dyDescent="0.25">
      <c r="A408" s="982">
        <f t="shared" si="274"/>
        <v>3316</v>
      </c>
      <c r="B408" s="124">
        <f>SUBTOTAL(103,$J$29:J408)</f>
        <v>380</v>
      </c>
      <c r="C408" s="126">
        <v>45068</v>
      </c>
      <c r="D408" s="124" t="s">
        <v>176</v>
      </c>
      <c r="E408" s="127" t="s">
        <v>177</v>
      </c>
      <c r="F408" s="128" t="s">
        <v>177</v>
      </c>
      <c r="G408" s="127" t="s">
        <v>178</v>
      </c>
      <c r="H408" s="127" t="s">
        <v>179</v>
      </c>
      <c r="I408" s="127" t="s">
        <v>1334</v>
      </c>
      <c r="J408" s="152">
        <v>3316</v>
      </c>
      <c r="K408" s="127" t="s">
        <v>1334</v>
      </c>
      <c r="L408" s="130">
        <v>42338</v>
      </c>
      <c r="M408" s="127" t="s">
        <v>230</v>
      </c>
      <c r="N408" s="127" t="s">
        <v>184</v>
      </c>
      <c r="O408" s="127" t="s">
        <v>185</v>
      </c>
      <c r="P408" s="127" t="s">
        <v>186</v>
      </c>
      <c r="Q408" s="85" t="str">
        <f t="shared" si="319"/>
        <v/>
      </c>
      <c r="R408" s="130"/>
      <c r="S408" s="128"/>
      <c r="T408" s="131"/>
      <c r="U408" s="132">
        <v>203</v>
      </c>
      <c r="V408" s="121">
        <v>218.2</v>
      </c>
      <c r="W408" s="116">
        <v>0.98</v>
      </c>
      <c r="X408" s="116">
        <v>1.66</v>
      </c>
      <c r="Y408" s="116">
        <f t="shared" si="299"/>
        <v>0.98</v>
      </c>
      <c r="Z408" s="133">
        <v>1.454</v>
      </c>
      <c r="AA408" s="133">
        <v>0.83599999999999997</v>
      </c>
      <c r="AB408" s="133">
        <v>0.72</v>
      </c>
      <c r="AC408" s="121">
        <v>34.299999999999997</v>
      </c>
      <c r="AD408" s="134">
        <v>1.17</v>
      </c>
      <c r="AE408" s="124">
        <v>177.8</v>
      </c>
      <c r="AF408" s="128">
        <v>9.19</v>
      </c>
      <c r="AG408" s="128">
        <v>2162</v>
      </c>
      <c r="AH408" s="127">
        <v>2762</v>
      </c>
      <c r="AI408" s="127">
        <v>2762</v>
      </c>
      <c r="AJ408" s="135"/>
      <c r="AK408" s="128"/>
      <c r="AL408" s="131"/>
      <c r="AM408" s="124" t="s">
        <v>232</v>
      </c>
      <c r="AN408" s="206" t="s">
        <v>1578</v>
      </c>
      <c r="AO408" s="137">
        <v>20.819999999999936</v>
      </c>
      <c r="AP408" s="128">
        <v>2212</v>
      </c>
      <c r="AQ408" s="128">
        <v>248.57</v>
      </c>
      <c r="AR408" s="128" t="s">
        <v>1579</v>
      </c>
      <c r="AS408" s="128">
        <v>114</v>
      </c>
      <c r="AT408" s="122">
        <v>7.37</v>
      </c>
      <c r="AU408" s="124" t="s">
        <v>189</v>
      </c>
      <c r="AV408" s="115">
        <f>VLOOKUP(J408,'[63]ТР нефть'!$J$28:$BP$638,39,0)</f>
        <v>410.00001591799997</v>
      </c>
      <c r="AW408" s="115" t="str">
        <f>VLOOKUP(J408,'[63]ТР нефть'!$J$28:$BP$638,40,0)</f>
        <v>ГП</v>
      </c>
      <c r="AX408" s="115">
        <f>VLOOKUP(J408,'[63]ТР нефть'!$J$28:$BP$638,41,0)</f>
        <v>809.99997246099997</v>
      </c>
      <c r="AY408" s="115" t="str">
        <f>VLOOKUP(J408,'[63]ТР нефть'!$J$28:$BP$638,42,0)</f>
        <v>ГП</v>
      </c>
      <c r="AZ408" s="115">
        <f>VLOOKUP(J408,'[63]ТР нефть'!$J$28:$BP$638,43,0)</f>
        <v>1139.9999970700001</v>
      </c>
      <c r="BA408" s="115" t="str">
        <f>VLOOKUP(J408,'[63]ТР нефть'!$J$28:$BP$638,44,0)</f>
        <v>ГК73 1/8</v>
      </c>
      <c r="BB408" s="115">
        <f>VLOOKUP(J408,'[63]ТР нефть'!$J$28:$BP$638,45,0)</f>
        <v>1499.999976563</v>
      </c>
      <c r="BC408" s="115" t="str">
        <f>VLOOKUP(J408,'[63]ТР нефть'!$J$28:$BP$638,46,0)</f>
        <v>ГК72 5/32</v>
      </c>
      <c r="BD408" s="115">
        <f>VLOOKUP(J408,'[63]ТР нефть'!$J$28:$BP$638,47,0)</f>
        <v>1828.000048828</v>
      </c>
      <c r="BE408" s="115" t="str">
        <f>VLOOKUP(J408,'[63]ТР нефть'!$J$28:$BP$638,48,0)</f>
        <v>ЦКсОК 5/16</v>
      </c>
      <c r="BF408" s="115" t="str">
        <f>VLOOKUP(J408,'[63]ТР нефть'!$J$28:$BP$638,49,0)</f>
        <v>-</v>
      </c>
      <c r="BG408" s="115" t="str">
        <f>VLOOKUP(J408,'[63]ТР нефть'!$J$28:$BP$638,50,0)</f>
        <v>-</v>
      </c>
      <c r="BH408" s="115">
        <f>VLOOKUP(J408,'[63]ТР нефть'!$J$28:$BP$638,51,0)</f>
        <v>1838</v>
      </c>
      <c r="BI408" s="115" t="str">
        <f>VLOOKUP(J408,'[63]ТР нефть'!$J$28:$BP$638,52,0)</f>
        <v>закрыт</v>
      </c>
      <c r="BJ408" s="115" t="str">
        <f>IF(IFERROR(VLOOKUP(J408,'[63]ТР нефть'!$J$28:$BP$638,53,0),"-")=0,"-",IFERROR(VLOOKUP(J408,'[63]ТР нефть'!$J$28:$BP$638,53,0),"-"))</f>
        <v>-</v>
      </c>
      <c r="BK408" s="138" t="str">
        <f>IF(IFERROR(VLOOKUP(J408,'[63]ТР нефть'!$J$28:$BP$638,54,0),"-")=0,"-",IFERROR(VLOOKUP(J408,'[63]ТР нефть'!$J$28:$BP$638,54,0),"-"))</f>
        <v>-</v>
      </c>
      <c r="BL408" s="138" t="str">
        <f>IF(IFERROR(VLOOKUP(J408,'[63]ТР нефть'!$J$28:$BP$638,55,0),"-")=0,"-",IFERROR(VLOOKUP(J408,'[63]ТР нефть'!$J$28:$BP$638,55,0),"-"))</f>
        <v>-</v>
      </c>
      <c r="BM408" s="138" t="str">
        <f>IF(IFERROR(VLOOKUP(J408,'[63]ТР нефть'!$J$28:$BP$638,56,0),"-")=0,"-",IFERROR(VLOOKUP(J408,'[63]ТР нефть'!$J$28:$BP$638,56,0),"-"))</f>
        <v>-</v>
      </c>
      <c r="BN408" s="138" t="str">
        <f>IF(IFERROR(VLOOKUP(J408,'[63]ТР нефть'!$J$28:$BP$638,57,0),"-")=0,"-",IFERROR(VLOOKUP(J408,'[63]ТР нефть'!$J$28:$BP$638,57,0),"-"))</f>
        <v>-</v>
      </c>
      <c r="BO408" s="115" t="str">
        <f>IF(IFERROR(VLOOKUP(J408,'[63]ТР нефть'!$J$28:$BP$638,58,0),"-")=0,"-",IFERROR(VLOOKUP(J408,'[63]ТР нефть'!$J$28:$BP$638,58,0),"-"))</f>
        <v>-</v>
      </c>
      <c r="BP408" s="115" t="str">
        <f>IF(IFERROR(VLOOKUP(J408,'[63]ТР нефть'!$J$28:$BP$638,59,0),"-")=0,"-",IFERROR(VLOOKUP(J408,'[63]ТР нефть'!$J$28:$BP$638,59,0),"-"))</f>
        <v>-</v>
      </c>
      <c r="BQ408" s="138">
        <v>1912</v>
      </c>
      <c r="BR408" s="128">
        <v>1757.26</v>
      </c>
      <c r="BS408" s="115">
        <f t="shared" si="307"/>
        <v>154.74</v>
      </c>
      <c r="BT408" s="128">
        <v>73</v>
      </c>
      <c r="BU408" s="128">
        <v>5.5</v>
      </c>
      <c r="BV408" s="127">
        <v>65</v>
      </c>
      <c r="BW408" s="127" t="s">
        <v>217</v>
      </c>
      <c r="BX408" s="127" t="s">
        <v>218</v>
      </c>
      <c r="BY408" s="139">
        <v>24</v>
      </c>
      <c r="BZ408" s="139">
        <v>24</v>
      </c>
      <c r="CA408" s="138">
        <v>10</v>
      </c>
      <c r="CB408" s="138">
        <v>27</v>
      </c>
      <c r="CC408" s="138">
        <v>9</v>
      </c>
      <c r="CD408" s="135">
        <v>45017</v>
      </c>
      <c r="CE408" s="138">
        <v>108</v>
      </c>
      <c r="CF408" s="138">
        <v>70</v>
      </c>
      <c r="CG408" s="138" t="str">
        <f t="shared" si="310"/>
        <v>В работе</v>
      </c>
      <c r="CH408" s="138" t="s">
        <v>272</v>
      </c>
      <c r="CI408" s="127">
        <v>5</v>
      </c>
      <c r="CJ408" s="138"/>
      <c r="CK408" s="138">
        <f t="shared" si="308"/>
        <v>22</v>
      </c>
      <c r="CL408" s="99"/>
      <c r="CM408" s="99"/>
      <c r="CN408" s="140">
        <v>32</v>
      </c>
      <c r="CO408" s="141">
        <f t="shared" si="276"/>
        <v>3.5947999999999998</v>
      </c>
      <c r="CP408" s="142">
        <v>4.3</v>
      </c>
      <c r="CQ408" s="143">
        <v>0</v>
      </c>
      <c r="CR408" s="138">
        <v>7.5</v>
      </c>
      <c r="CS408" s="139">
        <v>6</v>
      </c>
      <c r="CT408" s="138"/>
      <c r="CU408" s="138">
        <f t="shared" si="320"/>
        <v>1.5</v>
      </c>
      <c r="CV408" s="115">
        <f t="shared" si="321"/>
        <v>417.26938911761437</v>
      </c>
      <c r="CW408" s="115">
        <f t="shared" si="279"/>
        <v>1669.0775564704575</v>
      </c>
      <c r="CX408" s="133">
        <f t="shared" si="322"/>
        <v>5.6578947368421048E-2</v>
      </c>
      <c r="CY408" s="116"/>
      <c r="CZ408" s="131"/>
      <c r="DA408" s="145" t="str">
        <f t="shared" si="281"/>
        <v>Газлифт</v>
      </c>
      <c r="DB408" s="146">
        <f t="shared" si="282"/>
        <v>3.5947999999999998</v>
      </c>
      <c r="DC408" s="142">
        <f t="shared" si="302"/>
        <v>4.3</v>
      </c>
      <c r="DD408" s="119">
        <f t="shared" si="303"/>
        <v>0</v>
      </c>
      <c r="DE408" s="115">
        <f t="shared" si="283"/>
        <v>1.5</v>
      </c>
      <c r="DF408" s="121">
        <f t="shared" si="284"/>
        <v>6</v>
      </c>
      <c r="DG408" s="115">
        <f t="shared" si="285"/>
        <v>417.26938911761437</v>
      </c>
      <c r="DH408" s="115">
        <f t="shared" si="286"/>
        <v>32</v>
      </c>
      <c r="DI408" s="147"/>
      <c r="DJ408" s="111">
        <v>43540</v>
      </c>
      <c r="DK408" s="112">
        <v>43350</v>
      </c>
      <c r="DL408" s="113">
        <f t="shared" ca="1" si="312"/>
        <v>1754</v>
      </c>
      <c r="DM408" s="114"/>
      <c r="DN408" s="114"/>
      <c r="DO408" s="114"/>
      <c r="DP408" s="114"/>
      <c r="DQ408" s="112">
        <v>42338</v>
      </c>
      <c r="DR408" s="114" t="s">
        <v>1580</v>
      </c>
      <c r="DS408" s="114"/>
      <c r="DT408" s="115">
        <v>50</v>
      </c>
      <c r="DU408" s="116">
        <f t="shared" si="313"/>
        <v>7.4137931034482754E-2</v>
      </c>
      <c r="DV408" s="117">
        <f t="shared" si="314"/>
        <v>3.5947999999999998</v>
      </c>
      <c r="DW408" s="118">
        <f t="shared" si="315"/>
        <v>4.3</v>
      </c>
      <c r="DX408" s="119">
        <f t="shared" si="287"/>
        <v>0</v>
      </c>
      <c r="DY408" s="115">
        <f t="shared" si="316"/>
        <v>1.5</v>
      </c>
      <c r="DZ408" s="117">
        <f t="shared" si="317"/>
        <v>0</v>
      </c>
      <c r="EA408" s="120">
        <f t="shared" si="317"/>
        <v>0</v>
      </c>
      <c r="EB408" s="119">
        <f t="shared" si="317"/>
        <v>0</v>
      </c>
      <c r="EC408" s="121">
        <f t="shared" si="318"/>
        <v>0</v>
      </c>
      <c r="ED408" s="122"/>
      <c r="EE408" s="145">
        <v>65</v>
      </c>
      <c r="EF408" s="115">
        <v>7</v>
      </c>
      <c r="EG408" s="115">
        <v>30</v>
      </c>
      <c r="EH408" s="115">
        <v>6</v>
      </c>
      <c r="EI408" s="128" t="s">
        <v>195</v>
      </c>
      <c r="EJ408" s="121">
        <v>24</v>
      </c>
      <c r="EK408" s="121">
        <v>0</v>
      </c>
      <c r="EL408" s="149">
        <v>3.5947999999999998</v>
      </c>
      <c r="EM408" s="142">
        <v>4.3</v>
      </c>
      <c r="EN408" s="119">
        <v>0</v>
      </c>
      <c r="EO408" s="115">
        <v>7.5</v>
      </c>
      <c r="EP408" s="115">
        <v>417.26938911761437</v>
      </c>
      <c r="EQ408" s="115">
        <v>7</v>
      </c>
      <c r="ER408" s="115">
        <v>6</v>
      </c>
      <c r="ES408" s="115">
        <v>30</v>
      </c>
      <c r="ET408" s="150">
        <v>5.5128205128205127E-2</v>
      </c>
      <c r="EU408" s="145">
        <f t="shared" si="288"/>
        <v>65</v>
      </c>
      <c r="EV408" s="115">
        <f t="shared" si="289"/>
        <v>10</v>
      </c>
      <c r="EW408" s="115">
        <f t="shared" si="289"/>
        <v>27</v>
      </c>
      <c r="EX408" s="115">
        <f t="shared" si="289"/>
        <v>9</v>
      </c>
      <c r="EY408" s="115" t="str">
        <f t="shared" si="309"/>
        <v>Периодический</v>
      </c>
      <c r="EZ408" s="115">
        <f t="shared" si="309"/>
        <v>24</v>
      </c>
      <c r="FA408" s="115">
        <f t="shared" si="309"/>
        <v>24</v>
      </c>
      <c r="FB408" s="149">
        <f t="shared" si="298"/>
        <v>3.5947999999999998</v>
      </c>
      <c r="FC408" s="142">
        <f t="shared" si="298"/>
        <v>4.3</v>
      </c>
      <c r="FD408" s="119">
        <f t="shared" si="298"/>
        <v>0</v>
      </c>
      <c r="FE408" s="121">
        <f t="shared" si="298"/>
        <v>7.5</v>
      </c>
      <c r="FF408" s="121">
        <f t="shared" si="300"/>
        <v>417.26938911761437</v>
      </c>
      <c r="FG408" s="121">
        <f t="shared" si="290"/>
        <v>70</v>
      </c>
      <c r="FH408" s="121">
        <f t="shared" si="301"/>
        <v>6</v>
      </c>
      <c r="FI408" s="121">
        <f t="shared" si="306"/>
        <v>32</v>
      </c>
      <c r="FJ408" s="144">
        <f t="shared" si="291"/>
        <v>5.6578947368421048E-2</v>
      </c>
      <c r="FK408" s="132">
        <f t="shared" si="292"/>
        <v>0</v>
      </c>
      <c r="FL408" s="115">
        <f t="shared" si="292"/>
        <v>3</v>
      </c>
      <c r="FM408" s="115">
        <f t="shared" si="292"/>
        <v>-3</v>
      </c>
      <c r="FN408" s="115">
        <f t="shared" si="273"/>
        <v>3</v>
      </c>
      <c r="FO408" s="115">
        <f t="shared" si="311"/>
        <v>0</v>
      </c>
      <c r="FP408" s="115">
        <f t="shared" si="311"/>
        <v>24</v>
      </c>
      <c r="FQ408" s="149">
        <f t="shared" si="311"/>
        <v>0</v>
      </c>
      <c r="FR408" s="142">
        <f t="shared" si="311"/>
        <v>0</v>
      </c>
      <c r="FS408" s="119">
        <f t="shared" si="311"/>
        <v>0</v>
      </c>
      <c r="FT408" s="121">
        <f t="shared" si="311"/>
        <v>0</v>
      </c>
      <c r="FU408" s="121">
        <f t="shared" si="293"/>
        <v>63</v>
      </c>
      <c r="FV408" s="121">
        <f t="shared" si="293"/>
        <v>0</v>
      </c>
      <c r="FW408" s="121">
        <f t="shared" si="294"/>
        <v>0</v>
      </c>
      <c r="FX408" s="121">
        <f t="shared" si="295"/>
        <v>2</v>
      </c>
      <c r="FY408" s="144">
        <f t="shared" si="295"/>
        <v>1.4507422402159215E-3</v>
      </c>
      <c r="FZ408" s="145"/>
      <c r="GA408" s="125"/>
      <c r="GB408" s="145"/>
      <c r="GC408" s="125"/>
      <c r="GD408" s="997" t="s">
        <v>202</v>
      </c>
      <c r="GE408" s="1004"/>
      <c r="GF408" s="1004">
        <v>0</v>
      </c>
      <c r="GG408" s="1004"/>
      <c r="GH408" s="1004">
        <v>-0.92796000000000012</v>
      </c>
      <c r="GI408" s="145"/>
      <c r="GJ408" s="996">
        <v>0</v>
      </c>
      <c r="GK408" s="145"/>
      <c r="GL408" s="996">
        <v>0</v>
      </c>
      <c r="GM408" s="1005"/>
      <c r="GN408" s="996">
        <v>0.22613799999999973</v>
      </c>
      <c r="GO408" s="1006"/>
      <c r="GP408" s="996">
        <v>0</v>
      </c>
      <c r="GQ408" s="1006"/>
      <c r="GR408" s="996">
        <v>0</v>
      </c>
      <c r="GS408" s="1006" t="s">
        <v>223</v>
      </c>
      <c r="GT408" s="996">
        <v>-4.4395779999999982</v>
      </c>
      <c r="GU408" s="1006" t="s">
        <v>555</v>
      </c>
      <c r="GV408" s="996">
        <v>0.21610599999999813</v>
      </c>
      <c r="GW408" s="1006"/>
      <c r="GX408" s="996">
        <v>0</v>
      </c>
      <c r="GY408" s="1006" t="s">
        <v>204</v>
      </c>
      <c r="GZ408" s="996">
        <v>3.2532940000000004</v>
      </c>
      <c r="HA408" s="1006"/>
      <c r="HB408" s="996">
        <v>0</v>
      </c>
      <c r="HC408" s="1006" t="s">
        <v>204</v>
      </c>
      <c r="HD408" s="996">
        <v>0</v>
      </c>
      <c r="HE408" s="1006" t="s">
        <v>223</v>
      </c>
      <c r="HF408" s="996">
        <v>-0.66879999999999917</v>
      </c>
      <c r="HG408" s="1006" t="s">
        <v>223</v>
      </c>
      <c r="HH408" s="996">
        <v>-6.5822894720000011</v>
      </c>
      <c r="HI408" s="1006"/>
      <c r="HJ408" s="996">
        <v>0</v>
      </c>
      <c r="HK408" s="1006" t="s">
        <v>223</v>
      </c>
      <c r="HL408" s="996">
        <v>-1.4990190599999984</v>
      </c>
      <c r="HM408" s="1006" t="s">
        <v>203</v>
      </c>
      <c r="HN408" s="996">
        <v>-9.2730914680000005</v>
      </c>
      <c r="HO408" s="1006" t="s">
        <v>25</v>
      </c>
      <c r="HP408" s="996">
        <v>17.455680000000001</v>
      </c>
      <c r="HQ408" s="1006"/>
      <c r="HR408" s="996">
        <v>0</v>
      </c>
      <c r="HS408" s="1006"/>
      <c r="HT408" s="996">
        <v>0</v>
      </c>
      <c r="HU408" s="1006"/>
      <c r="HV408" s="996">
        <v>-0.44308000000000014</v>
      </c>
      <c r="HW408" s="1006" t="s">
        <v>199</v>
      </c>
      <c r="HX408" s="996">
        <v>1.1035199999999996</v>
      </c>
      <c r="HY408" s="1006"/>
      <c r="HZ408" s="996">
        <v>0</v>
      </c>
      <c r="IA408" s="1006"/>
      <c r="IB408" s="996">
        <v>0</v>
      </c>
      <c r="IC408" s="1006"/>
      <c r="ID408" s="996">
        <v>-0.43471999999999955</v>
      </c>
      <c r="IE408" s="1006"/>
      <c r="IF408" s="996">
        <v>8.3599999999999675E-2</v>
      </c>
      <c r="IG408" s="1006" t="s">
        <v>199</v>
      </c>
      <c r="IH408" s="996">
        <v>2.3408000000000002</v>
      </c>
      <c r="II408" s="1006"/>
      <c r="IJ408" s="996">
        <v>-7.1060000000000123E-2</v>
      </c>
      <c r="IK408" s="1006"/>
      <c r="IL408" s="996">
        <v>0</v>
      </c>
      <c r="IM408" s="1006"/>
      <c r="IN408" s="996">
        <v>0</v>
      </c>
      <c r="IO408" s="1006"/>
      <c r="IP408" s="996">
        <v>7.1101800000000104E-2</v>
      </c>
      <c r="IQ408" s="1006"/>
      <c r="IR408" s="996">
        <v>0</v>
      </c>
      <c r="IS408" s="1006"/>
      <c r="IT408" s="996">
        <v>0</v>
      </c>
      <c r="IU408" s="1006"/>
      <c r="IV408" s="996">
        <v>0</v>
      </c>
      <c r="IW408" s="1006"/>
      <c r="IX408" s="996">
        <v>0</v>
      </c>
      <c r="IY408" s="1006"/>
      <c r="IZ408" s="996">
        <v>0</v>
      </c>
      <c r="JA408" s="1006"/>
      <c r="JB408" s="996">
        <v>0</v>
      </c>
      <c r="JC408" s="1006"/>
      <c r="JD408" s="996">
        <v>0</v>
      </c>
      <c r="JE408" s="1006"/>
      <c r="JF408" s="996">
        <v>0</v>
      </c>
      <c r="JG408" s="1006"/>
      <c r="JH408" s="996">
        <v>0</v>
      </c>
      <c r="JI408" s="1006"/>
      <c r="JJ408" s="996">
        <v>0</v>
      </c>
      <c r="JK408" s="1007"/>
      <c r="JL408" s="1007">
        <v>0</v>
      </c>
      <c r="JM408" s="1007"/>
      <c r="JN408" s="1007">
        <v>0</v>
      </c>
      <c r="JO408" s="1008"/>
      <c r="JP408" s="1007">
        <v>0</v>
      </c>
      <c r="JQ408" s="1008" t="s">
        <v>199</v>
      </c>
      <c r="JR408" s="1007">
        <v>-2.6588561999999993</v>
      </c>
      <c r="JS408" s="1008">
        <v>0</v>
      </c>
      <c r="JT408" s="1007">
        <v>0</v>
      </c>
      <c r="JU408" s="1008"/>
      <c r="JV408" s="1007">
        <v>0</v>
      </c>
      <c r="JW408" s="1008" t="s">
        <v>197</v>
      </c>
      <c r="JX408" s="1007">
        <v>0</v>
      </c>
      <c r="JY408" s="1008"/>
      <c r="JZ408" s="1007">
        <v>0</v>
      </c>
      <c r="KA408" s="1008"/>
      <c r="KB408" s="1007">
        <v>0</v>
      </c>
      <c r="KC408" s="1008"/>
      <c r="KD408" s="1007">
        <v>0</v>
      </c>
      <c r="KE408" s="1008"/>
      <c r="KF408" s="1007">
        <v>0</v>
      </c>
      <c r="KG408" s="1008"/>
      <c r="KH408" s="1007">
        <v>0</v>
      </c>
      <c r="KI408" s="1008"/>
      <c r="KJ408" s="1007">
        <v>0</v>
      </c>
      <c r="KK408" s="1008"/>
      <c r="KL408" s="1007">
        <v>0</v>
      </c>
      <c r="KM408" s="1008"/>
      <c r="KN408" s="1007">
        <v>5.835614399999999</v>
      </c>
      <c r="KO408" s="1008"/>
      <c r="KP408" s="1007">
        <v>0</v>
      </c>
      <c r="KQ408" s="1008">
        <v>0</v>
      </c>
      <c r="KR408" s="1007">
        <v>-8.3365919999999996</v>
      </c>
      <c r="KS408" s="1008">
        <v>0</v>
      </c>
      <c r="KT408" s="1007">
        <v>0</v>
      </c>
      <c r="KU408" s="1008" t="s">
        <v>206</v>
      </c>
      <c r="KV408" s="1007">
        <v>1.0420739999999995</v>
      </c>
      <c r="KW408" s="1008">
        <v>0</v>
      </c>
      <c r="KX408" s="1007">
        <v>0</v>
      </c>
      <c r="KY408" s="1008" t="s">
        <v>223</v>
      </c>
      <c r="KZ408" s="1007">
        <v>-2.8837819999999983</v>
      </c>
      <c r="LA408" s="1008">
        <v>0</v>
      </c>
      <c r="LB408" s="1007">
        <v>0</v>
      </c>
      <c r="LC408" s="1008">
        <v>0</v>
      </c>
      <c r="LD408" s="1007">
        <v>0</v>
      </c>
      <c r="LE408" s="1008">
        <v>0</v>
      </c>
      <c r="LF408" s="1007">
        <v>0</v>
      </c>
      <c r="LG408" s="1008" t="s">
        <v>206</v>
      </c>
      <c r="LH408" s="1007">
        <v>0.89569399999998001</v>
      </c>
      <c r="LI408" s="1008">
        <v>0</v>
      </c>
      <c r="LJ408" s="1007">
        <v>0</v>
      </c>
      <c r="LK408" s="1008" t="s">
        <v>206</v>
      </c>
      <c r="LL408" s="1007">
        <v>1.1399695999999988</v>
      </c>
      <c r="LM408" s="1008">
        <v>0</v>
      </c>
      <c r="LN408" s="1007">
        <v>0</v>
      </c>
      <c r="LO408" s="1008">
        <v>0</v>
      </c>
      <c r="LP408" s="1007">
        <v>0</v>
      </c>
      <c r="LQ408" s="1008" t="s">
        <v>204</v>
      </c>
      <c r="LR408" s="1007">
        <v>-1.6285279999999993</v>
      </c>
      <c r="LS408" s="1008">
        <v>0</v>
      </c>
      <c r="LT408" s="1007">
        <v>0</v>
      </c>
      <c r="LU408" s="1008">
        <v>0</v>
      </c>
      <c r="LV408" s="1007">
        <v>0</v>
      </c>
      <c r="LW408" s="1008" t="s">
        <v>206</v>
      </c>
      <c r="LX408" s="1007">
        <v>-4.7797296800000009</v>
      </c>
      <c r="LY408" s="1009">
        <v>0</v>
      </c>
      <c r="LZ408" s="1010">
        <v>0</v>
      </c>
      <c r="MA408" s="1011">
        <v>0</v>
      </c>
      <c r="MB408" s="1012">
        <v>-1.1542231999999999</v>
      </c>
      <c r="MC408" s="995"/>
      <c r="MD408" s="996"/>
      <c r="ME408" s="997" t="s">
        <v>202</v>
      </c>
      <c r="MF408" s="997"/>
      <c r="MG408" s="998"/>
      <c r="NR408" s="1000"/>
      <c r="NS408" s="1000"/>
      <c r="NT408" s="1001"/>
      <c r="NU408" s="1000"/>
      <c r="NV408" s="1001"/>
      <c r="NX408" s="1002"/>
      <c r="NZ408" s="1001"/>
      <c r="OA408" s="1001"/>
      <c r="OC408" s="1003"/>
      <c r="OD408" s="1003"/>
      <c r="OE408" s="1001"/>
      <c r="OF408" s="1003"/>
      <c r="OG408" s="1003"/>
      <c r="QX408" s="1000">
        <f>CN408-CA408</f>
        <v>22</v>
      </c>
      <c r="ASU408" s="999" t="s">
        <v>225</v>
      </c>
    </row>
    <row r="409" spans="1:466 1191:1191" ht="21" customHeight="1" x14ac:dyDescent="0.25">
      <c r="A409" s="982" t="str">
        <f t="shared" si="274"/>
        <v>1476-1</v>
      </c>
      <c r="B409" s="124">
        <f>SUBTOTAL(103,$J$29:J409)</f>
        <v>381</v>
      </c>
      <c r="C409" s="126">
        <v>45068</v>
      </c>
      <c r="D409" s="124" t="s">
        <v>176</v>
      </c>
      <c r="E409" s="127" t="s">
        <v>177</v>
      </c>
      <c r="F409" s="128" t="s">
        <v>177</v>
      </c>
      <c r="G409" s="127" t="s">
        <v>178</v>
      </c>
      <c r="H409" s="127" t="s">
        <v>179</v>
      </c>
      <c r="I409" s="127" t="s">
        <v>1581</v>
      </c>
      <c r="J409" s="152" t="s">
        <v>1582</v>
      </c>
      <c r="K409" s="127" t="s">
        <v>1581</v>
      </c>
      <c r="L409" s="130">
        <v>43451</v>
      </c>
      <c r="M409" s="127" t="s">
        <v>230</v>
      </c>
      <c r="N409" s="127" t="s">
        <v>184</v>
      </c>
      <c r="O409" s="127" t="s">
        <v>185</v>
      </c>
      <c r="P409" s="127" t="s">
        <v>186</v>
      </c>
      <c r="Q409" s="85" t="str">
        <f t="shared" si="319"/>
        <v/>
      </c>
      <c r="R409" s="130"/>
      <c r="S409" s="128"/>
      <c r="T409" s="131"/>
      <c r="U409" s="132">
        <v>203</v>
      </c>
      <c r="V409" s="121">
        <v>218.2</v>
      </c>
      <c r="W409" s="116">
        <v>0.98</v>
      </c>
      <c r="X409" s="116">
        <v>1.66</v>
      </c>
      <c r="Y409" s="116">
        <f t="shared" si="299"/>
        <v>0.98160841861363191</v>
      </c>
      <c r="Z409" s="133">
        <v>1.454</v>
      </c>
      <c r="AA409" s="133">
        <v>0.83599999999999997</v>
      </c>
      <c r="AB409" s="133">
        <v>0.72</v>
      </c>
      <c r="AC409" s="121">
        <v>34.299999999999997</v>
      </c>
      <c r="AD409" s="134">
        <v>1.17</v>
      </c>
      <c r="AE409" s="124">
        <v>177.8</v>
      </c>
      <c r="AF409" s="128">
        <v>9.19</v>
      </c>
      <c r="AG409" s="128">
        <v>2322</v>
      </c>
      <c r="AH409" s="127">
        <v>3135</v>
      </c>
      <c r="AI409" s="127">
        <v>3135</v>
      </c>
      <c r="AJ409" s="135"/>
      <c r="AK409" s="128"/>
      <c r="AL409" s="131"/>
      <c r="AM409" s="124" t="s">
        <v>985</v>
      </c>
      <c r="AN409" s="136" t="s">
        <v>1583</v>
      </c>
      <c r="AO409" s="137">
        <v>26.789999999999964</v>
      </c>
      <c r="AP409" s="128">
        <v>2378.0700000000002</v>
      </c>
      <c r="AQ409" s="128">
        <v>491.4</v>
      </c>
      <c r="AR409" s="128" t="s">
        <v>1584</v>
      </c>
      <c r="AS409" s="128">
        <v>114</v>
      </c>
      <c r="AT409" s="122">
        <v>7.37</v>
      </c>
      <c r="AU409" s="124" t="s">
        <v>189</v>
      </c>
      <c r="AV409" s="115">
        <f>VLOOKUP(J409,'[63]ТР нефть'!$J$28:$BP$638,39,0)</f>
        <v>449.999992969</v>
      </c>
      <c r="AW409" s="115" t="str">
        <f>VLOOKUP(J409,'[63]ТР нефть'!$J$28:$BP$638,40,0)</f>
        <v>ГП</v>
      </c>
      <c r="AX409" s="115">
        <f>VLOOKUP(J409,'[63]ТР нефть'!$J$28:$BP$638,41,0)</f>
        <v>859.99997168000004</v>
      </c>
      <c r="AY409" s="115" t="str">
        <f>VLOOKUP(J409,'[63]ТР нефть'!$J$28:$BP$638,42,0)</f>
        <v>ГП</v>
      </c>
      <c r="AZ409" s="115">
        <f>VLOOKUP(J409,'[63]ТР нефть'!$J$28:$BP$638,43,0)</f>
        <v>1230.0000105470001</v>
      </c>
      <c r="BA409" s="115" t="str">
        <f>VLOOKUP(J409,'[63]ТР нефть'!$J$28:$BP$638,44,0)</f>
        <v>ГК74 1/8</v>
      </c>
      <c r="BB409" s="115">
        <f>VLOOKUP(J409,'[63]ТР нефть'!$J$28:$BP$638,45,0)</f>
        <v>1530.0000058590001</v>
      </c>
      <c r="BC409" s="115" t="str">
        <f>VLOOKUP(J409,'[63]ТР нефть'!$J$28:$BP$638,46,0)</f>
        <v>ГК73 5/32</v>
      </c>
      <c r="BD409" s="115">
        <f>VLOOKUP(J409,'[63]ТР нефть'!$J$28:$BP$638,47,0)</f>
        <v>1769.9999425779999</v>
      </c>
      <c r="BE409" s="115" t="str">
        <f>VLOOKUP(J409,'[63]ТР нефть'!$J$28:$BP$638,48,0)</f>
        <v>ГК73 5/32</v>
      </c>
      <c r="BF409" s="115">
        <f>VLOOKUP(J409,'[63]ТР нефть'!$J$28:$BP$638,49,0)</f>
        <v>2000</v>
      </c>
      <c r="BG409" s="115" t="str">
        <f>VLOOKUP(J409,'[63]ТР нефть'!$J$28:$BP$638,50,0)</f>
        <v>ЦКсОК 5/16</v>
      </c>
      <c r="BH409" s="115">
        <f>VLOOKUP(J409,'[63]ТР нефть'!$J$28:$BP$638,51,0)</f>
        <v>2010</v>
      </c>
      <c r="BI409" s="115" t="str">
        <f>VLOOKUP(J409,'[63]ТР нефть'!$J$28:$BP$638,52,0)</f>
        <v xml:space="preserve">закрыт </v>
      </c>
      <c r="BJ409" s="115" t="str">
        <f>IF(IFERROR(VLOOKUP(J409,'[63]ТР нефть'!$J$28:$BP$638,53,0),"-")=0,"-",IFERROR(VLOOKUP(J409,'[63]ТР нефть'!$J$28:$BP$638,53,0),"-"))</f>
        <v>-</v>
      </c>
      <c r="BK409" s="138" t="str">
        <f>IF(IFERROR(VLOOKUP(J409,'[63]ТР нефть'!$J$28:$BP$638,54,0),"-")=0,"-",IFERROR(VLOOKUP(J409,'[63]ТР нефть'!$J$28:$BP$638,54,0),"-"))</f>
        <v>-</v>
      </c>
      <c r="BL409" s="138" t="str">
        <f>IF(IFERROR(VLOOKUP(J409,'[63]ТР нефть'!$J$28:$BP$638,55,0),"-")=0,"-",IFERROR(VLOOKUP(J409,'[63]ТР нефть'!$J$28:$BP$638,55,0),"-"))</f>
        <v>-</v>
      </c>
      <c r="BM409" s="138" t="str">
        <f>IF(IFERROR(VLOOKUP(J409,'[63]ТР нефть'!$J$28:$BP$638,56,0),"-")=0,"-",IFERROR(VLOOKUP(J409,'[63]ТР нефть'!$J$28:$BP$638,56,0),"-"))</f>
        <v>-</v>
      </c>
      <c r="BN409" s="138" t="str">
        <f>IF(IFERROR(VLOOKUP(J409,'[63]ТР нефть'!$J$28:$BP$638,57,0),"-")=0,"-",IFERROR(VLOOKUP(J409,'[63]ТР нефть'!$J$28:$BP$638,57,0),"-"))</f>
        <v>-</v>
      </c>
      <c r="BO409" s="115" t="str">
        <f>IF(IFERROR(VLOOKUP(J409,'[63]ТР нефть'!$J$28:$BP$638,58,0),"-")=0,"-",IFERROR(VLOOKUP(J409,'[63]ТР нефть'!$J$28:$BP$638,58,0),"-"))</f>
        <v>-</v>
      </c>
      <c r="BP409" s="115" t="str">
        <f>IF(IFERROR(VLOOKUP(J409,'[63]ТР нефть'!$J$28:$BP$638,59,0),"-")=0,"-",IFERROR(VLOOKUP(J409,'[63]ТР нефть'!$J$28:$BP$638,59,0),"-"))</f>
        <v>-</v>
      </c>
      <c r="BQ409" s="138">
        <v>2266</v>
      </c>
      <c r="BR409" s="128">
        <v>1847.63</v>
      </c>
      <c r="BS409" s="115">
        <f t="shared" si="307"/>
        <v>418.36999999999989</v>
      </c>
      <c r="BT409" s="128">
        <v>73</v>
      </c>
      <c r="BU409" s="128">
        <v>5.5</v>
      </c>
      <c r="BV409" s="127">
        <v>65</v>
      </c>
      <c r="BW409" s="127" t="s">
        <v>217</v>
      </c>
      <c r="BX409" s="127" t="s">
        <v>195</v>
      </c>
      <c r="BY409" s="139">
        <v>24</v>
      </c>
      <c r="BZ409" s="139">
        <v>0</v>
      </c>
      <c r="CA409" s="138">
        <v>25</v>
      </c>
      <c r="CB409" s="138">
        <v>54</v>
      </c>
      <c r="CC409" s="138">
        <v>24</v>
      </c>
      <c r="CD409" s="135">
        <v>45017</v>
      </c>
      <c r="CE409" s="138">
        <v>165</v>
      </c>
      <c r="CF409" s="138">
        <v>70</v>
      </c>
      <c r="CG409" s="138" t="str">
        <f t="shared" si="310"/>
        <v>В работе</v>
      </c>
      <c r="CH409" s="138" t="s">
        <v>196</v>
      </c>
      <c r="CI409" s="138"/>
      <c r="CJ409" s="139"/>
      <c r="CK409" s="139">
        <f t="shared" si="308"/>
        <v>33</v>
      </c>
      <c r="CL409" s="99"/>
      <c r="CM409" s="99"/>
      <c r="CN409" s="140">
        <v>58</v>
      </c>
      <c r="CO409" s="141">
        <f t="shared" si="276"/>
        <v>9.1592159999999989</v>
      </c>
      <c r="CP409" s="142">
        <v>11</v>
      </c>
      <c r="CQ409" s="143">
        <v>0.4</v>
      </c>
      <c r="CR409" s="138">
        <v>12</v>
      </c>
      <c r="CS409" s="139">
        <v>9.6</v>
      </c>
      <c r="CT409" s="138"/>
      <c r="CU409" s="138">
        <f t="shared" si="320"/>
        <v>2.4000000000000004</v>
      </c>
      <c r="CV409" s="115">
        <f t="shared" si="321"/>
        <v>262.03116074563593</v>
      </c>
      <c r="CW409" s="115">
        <f t="shared" si="279"/>
        <v>1042.3262637554494</v>
      </c>
      <c r="CX409" s="133">
        <f t="shared" si="322"/>
        <v>0.10280373831775701</v>
      </c>
      <c r="CY409" s="116"/>
      <c r="CZ409" s="131"/>
      <c r="DA409" s="145" t="str">
        <f t="shared" si="281"/>
        <v>Газлифт</v>
      </c>
      <c r="DB409" s="146">
        <f t="shared" si="282"/>
        <v>9.1592159999999989</v>
      </c>
      <c r="DC409" s="142">
        <f t="shared" si="302"/>
        <v>11</v>
      </c>
      <c r="DD409" s="119">
        <f t="shared" si="303"/>
        <v>0.4</v>
      </c>
      <c r="DE409" s="115">
        <f t="shared" si="283"/>
        <v>2.4000000000000004</v>
      </c>
      <c r="DF409" s="121">
        <f t="shared" si="284"/>
        <v>9.6</v>
      </c>
      <c r="DG409" s="115">
        <f t="shared" si="285"/>
        <v>262.03116074563593</v>
      </c>
      <c r="DH409" s="115">
        <f t="shared" si="286"/>
        <v>58</v>
      </c>
      <c r="DI409" s="147"/>
      <c r="DJ409" s="111" t="s">
        <v>197</v>
      </c>
      <c r="DK409" s="112">
        <v>44020</v>
      </c>
      <c r="DL409" s="113">
        <f t="shared" ca="1" si="312"/>
        <v>1084</v>
      </c>
      <c r="DM409" s="114"/>
      <c r="DN409" s="114"/>
      <c r="DO409" s="114"/>
      <c r="DP409" s="114"/>
      <c r="DQ409" s="112">
        <v>43451</v>
      </c>
      <c r="DR409" s="114" t="s">
        <v>324</v>
      </c>
      <c r="DS409" s="114">
        <v>0</v>
      </c>
      <c r="DT409" s="115">
        <v>59</v>
      </c>
      <c r="DU409" s="116">
        <f t="shared" si="313"/>
        <v>0.10377358490566038</v>
      </c>
      <c r="DV409" s="117">
        <f t="shared" si="314"/>
        <v>9.1592159999999989</v>
      </c>
      <c r="DW409" s="118">
        <f t="shared" si="315"/>
        <v>11</v>
      </c>
      <c r="DX409" s="119">
        <f t="shared" si="287"/>
        <v>0.4</v>
      </c>
      <c r="DY409" s="115">
        <f t="shared" si="316"/>
        <v>2.4000000000000004</v>
      </c>
      <c r="DZ409" s="117">
        <f t="shared" si="317"/>
        <v>0</v>
      </c>
      <c r="EA409" s="120">
        <f t="shared" si="317"/>
        <v>0</v>
      </c>
      <c r="EB409" s="119">
        <f t="shared" si="317"/>
        <v>0</v>
      </c>
      <c r="EC409" s="121">
        <f t="shared" si="318"/>
        <v>0</v>
      </c>
      <c r="ED409" s="122"/>
      <c r="EE409" s="145">
        <v>65</v>
      </c>
      <c r="EF409" s="115">
        <v>26</v>
      </c>
      <c r="EG409" s="115">
        <v>50</v>
      </c>
      <c r="EH409" s="115">
        <v>25</v>
      </c>
      <c r="EI409" s="128" t="s">
        <v>195</v>
      </c>
      <c r="EJ409" s="121">
        <v>24</v>
      </c>
      <c r="EK409" s="121">
        <v>0</v>
      </c>
      <c r="EL409" s="149">
        <v>8.6596223999999999</v>
      </c>
      <c r="EM409" s="142">
        <v>10.4</v>
      </c>
      <c r="EN409" s="119">
        <v>0.4</v>
      </c>
      <c r="EO409" s="115">
        <v>13</v>
      </c>
      <c r="EP409" s="115">
        <v>392.62681938648973</v>
      </c>
      <c r="EQ409" s="115">
        <v>70</v>
      </c>
      <c r="ER409" s="115">
        <v>9.6</v>
      </c>
      <c r="ES409" s="115">
        <v>54</v>
      </c>
      <c r="ET409" s="150">
        <v>9.3693693693693694E-2</v>
      </c>
      <c r="EU409" s="145">
        <f t="shared" si="288"/>
        <v>65</v>
      </c>
      <c r="EV409" s="115">
        <f t="shared" si="289"/>
        <v>25</v>
      </c>
      <c r="EW409" s="115">
        <f t="shared" si="289"/>
        <v>54</v>
      </c>
      <c r="EX409" s="115">
        <f t="shared" si="289"/>
        <v>24</v>
      </c>
      <c r="EY409" s="115" t="str">
        <f t="shared" si="309"/>
        <v>Постоянный</v>
      </c>
      <c r="EZ409" s="115">
        <f t="shared" si="309"/>
        <v>24</v>
      </c>
      <c r="FA409" s="115">
        <f t="shared" si="309"/>
        <v>0</v>
      </c>
      <c r="FB409" s="149">
        <f t="shared" si="298"/>
        <v>9.1592159999999989</v>
      </c>
      <c r="FC409" s="142">
        <f t="shared" si="298"/>
        <v>11</v>
      </c>
      <c r="FD409" s="119">
        <f t="shared" si="298"/>
        <v>0.4</v>
      </c>
      <c r="FE409" s="121">
        <f t="shared" si="298"/>
        <v>12</v>
      </c>
      <c r="FF409" s="121">
        <f t="shared" si="300"/>
        <v>262.03116074563593</v>
      </c>
      <c r="FG409" s="121">
        <f t="shared" si="290"/>
        <v>70</v>
      </c>
      <c r="FH409" s="121">
        <f t="shared" si="301"/>
        <v>9.6</v>
      </c>
      <c r="FI409" s="121">
        <f t="shared" si="306"/>
        <v>58</v>
      </c>
      <c r="FJ409" s="144">
        <f t="shared" si="291"/>
        <v>0.10280373831775701</v>
      </c>
      <c r="FK409" s="132">
        <f t="shared" si="292"/>
        <v>0</v>
      </c>
      <c r="FL409" s="115">
        <f t="shared" si="292"/>
        <v>-1</v>
      </c>
      <c r="FM409" s="115">
        <f t="shared" si="292"/>
        <v>4</v>
      </c>
      <c r="FN409" s="115">
        <f t="shared" si="273"/>
        <v>-1</v>
      </c>
      <c r="FO409" s="115">
        <f t="shared" si="311"/>
        <v>0</v>
      </c>
      <c r="FP409" s="115">
        <f t="shared" si="311"/>
        <v>0</v>
      </c>
      <c r="FQ409" s="149">
        <f t="shared" si="311"/>
        <v>0.49959359999999897</v>
      </c>
      <c r="FR409" s="142">
        <f t="shared" si="311"/>
        <v>0.59999999999999964</v>
      </c>
      <c r="FS409" s="119">
        <f t="shared" si="311"/>
        <v>0</v>
      </c>
      <c r="FT409" s="121">
        <f t="shared" si="311"/>
        <v>-1</v>
      </c>
      <c r="FU409" s="121">
        <f t="shared" si="293"/>
        <v>0</v>
      </c>
      <c r="FV409" s="121">
        <f t="shared" si="293"/>
        <v>0</v>
      </c>
      <c r="FW409" s="121">
        <f t="shared" si="294"/>
        <v>-130.5956586408538</v>
      </c>
      <c r="FX409" s="121">
        <f t="shared" si="295"/>
        <v>4</v>
      </c>
      <c r="FY409" s="144">
        <f t="shared" si="295"/>
        <v>9.1100446240633126E-3</v>
      </c>
      <c r="FZ409" s="145"/>
      <c r="GA409" s="151"/>
      <c r="GB409" s="145" t="s">
        <v>199</v>
      </c>
      <c r="GC409" s="125" t="s">
        <v>415</v>
      </c>
      <c r="GD409" s="997" t="s">
        <v>202</v>
      </c>
      <c r="GE409" s="1004" t="s">
        <v>199</v>
      </c>
      <c r="GF409" s="1004">
        <v>-1.332249599999999</v>
      </c>
      <c r="GG409" s="1004"/>
      <c r="GH409" s="1004">
        <v>0</v>
      </c>
      <c r="GI409" s="145" t="s">
        <v>199</v>
      </c>
      <c r="GJ409" s="996">
        <v>-1.9151088000000005</v>
      </c>
      <c r="GK409" s="145"/>
      <c r="GL409" s="996">
        <v>-0.26644991999999945</v>
      </c>
      <c r="GM409" s="1005"/>
      <c r="GN409" s="996">
        <v>0</v>
      </c>
      <c r="GO409" s="1006"/>
      <c r="GP409" s="996">
        <v>5.1430719999999042E-2</v>
      </c>
      <c r="GQ409" s="1006" t="s">
        <v>240</v>
      </c>
      <c r="GR409" s="996">
        <v>-0.50159999999999982</v>
      </c>
      <c r="GS409" s="1006"/>
      <c r="GT409" s="996">
        <v>0.91960000000000086</v>
      </c>
      <c r="GU409" s="1006"/>
      <c r="GV409" s="996">
        <v>-0.16719999999999935</v>
      </c>
      <c r="GW409" s="1006"/>
      <c r="GX409" s="996">
        <v>0</v>
      </c>
      <c r="GY409" s="1006"/>
      <c r="GZ409" s="996">
        <v>-0.16720000000000113</v>
      </c>
      <c r="HA409" s="1006"/>
      <c r="HB409" s="996">
        <v>0.33440000000000047</v>
      </c>
      <c r="HC409" s="1006" t="s">
        <v>199</v>
      </c>
      <c r="HD409" s="996">
        <v>-1.8513637999999997</v>
      </c>
      <c r="HE409" s="1006"/>
      <c r="HF409" s="996">
        <v>0</v>
      </c>
      <c r="HG409" s="1006"/>
      <c r="HH409" s="996">
        <v>-2.7830440000000678E-2</v>
      </c>
      <c r="HI409" s="1006" t="s">
        <v>199</v>
      </c>
      <c r="HJ409" s="996">
        <v>2.1999774719999987</v>
      </c>
      <c r="HK409" s="1006"/>
      <c r="HL409" s="996">
        <v>9.0216104000001351E-2</v>
      </c>
      <c r="HM409" s="1006" t="s">
        <v>199</v>
      </c>
      <c r="HN409" s="996">
        <v>1.4282006639999985</v>
      </c>
      <c r="HO409" s="1006" t="s">
        <v>199</v>
      </c>
      <c r="HP409" s="996">
        <v>-1.4874111999999986</v>
      </c>
      <c r="HQ409" s="1006"/>
      <c r="HR409" s="996">
        <v>-0.66728851200000072</v>
      </c>
      <c r="HS409" s="1006"/>
      <c r="HT409" s="996">
        <v>0</v>
      </c>
      <c r="HU409" s="1006" t="s">
        <v>223</v>
      </c>
      <c r="HV409" s="996">
        <v>-3.0462744839999978</v>
      </c>
      <c r="HW409" s="1006"/>
      <c r="HX409" s="996">
        <v>0</v>
      </c>
      <c r="HY409" s="1006"/>
      <c r="HZ409" s="996">
        <v>0</v>
      </c>
      <c r="IA409" s="1006"/>
      <c r="IB409" s="996">
        <v>-0.57996580400000219</v>
      </c>
      <c r="IC409" s="1006"/>
      <c r="ID409" s="996">
        <v>0</v>
      </c>
      <c r="IE409" s="1006" t="s">
        <v>199</v>
      </c>
      <c r="IF409" s="996">
        <v>3.2729400000000002</v>
      </c>
      <c r="IG409" s="1006"/>
      <c r="IH409" s="996">
        <v>0</v>
      </c>
      <c r="II409" s="1006" t="s">
        <v>199</v>
      </c>
      <c r="IJ409" s="996">
        <v>-2.6752000000000002</v>
      </c>
      <c r="IK409" s="1006"/>
      <c r="IL409" s="996">
        <v>0</v>
      </c>
      <c r="IM409" s="1006"/>
      <c r="IN409" s="996">
        <v>0</v>
      </c>
      <c r="IO409" s="1006" t="s">
        <v>199</v>
      </c>
      <c r="IP409" s="996">
        <v>-1.6719999999999988</v>
      </c>
      <c r="IQ409" s="1006" t="s">
        <v>199</v>
      </c>
      <c r="IR409" s="996">
        <v>-9.9483999999999995</v>
      </c>
      <c r="IS409" s="1006"/>
      <c r="IT409" s="996">
        <v>0</v>
      </c>
      <c r="IU409" s="1006" t="s">
        <v>239</v>
      </c>
      <c r="IV409" s="996">
        <v>-5.0995999999999988</v>
      </c>
      <c r="IW409" s="1006"/>
      <c r="IX409" s="996">
        <v>0</v>
      </c>
      <c r="IY409" s="1006"/>
      <c r="IZ409" s="996">
        <v>0</v>
      </c>
      <c r="JA409" s="1006"/>
      <c r="JB409" s="996">
        <v>0</v>
      </c>
      <c r="JC409" s="1006"/>
      <c r="JD409" s="996">
        <v>0</v>
      </c>
      <c r="JE409" s="1006"/>
      <c r="JF409" s="996">
        <v>0</v>
      </c>
      <c r="JG409" s="1006"/>
      <c r="JH409" s="996">
        <v>0</v>
      </c>
      <c r="JI409" s="1006"/>
      <c r="JJ409" s="996">
        <v>0</v>
      </c>
      <c r="JK409" s="1007"/>
      <c r="JL409" s="1007">
        <v>0</v>
      </c>
      <c r="JM409" s="1007"/>
      <c r="JN409" s="1007">
        <v>0</v>
      </c>
      <c r="JO409" s="1008"/>
      <c r="JP409" s="1007">
        <v>0</v>
      </c>
      <c r="JQ409" s="1008">
        <v>0</v>
      </c>
      <c r="JR409" s="1007">
        <v>0</v>
      </c>
      <c r="JS409" s="1008">
        <v>0</v>
      </c>
      <c r="JT409" s="1007">
        <v>0</v>
      </c>
      <c r="JU409" s="1008"/>
      <c r="JV409" s="1007">
        <v>0</v>
      </c>
      <c r="JW409" s="1008" t="s">
        <v>197</v>
      </c>
      <c r="JX409" s="1007">
        <v>0</v>
      </c>
      <c r="JY409" s="1008" t="s">
        <v>199</v>
      </c>
      <c r="JZ409" s="1007">
        <v>18.391999999999996</v>
      </c>
      <c r="KA409" s="1008"/>
      <c r="KB409" s="1007">
        <v>0</v>
      </c>
      <c r="KC409" s="1008" t="s">
        <v>199</v>
      </c>
      <c r="KD409" s="1007">
        <v>-28.758400000000002</v>
      </c>
      <c r="KE409" s="1008"/>
      <c r="KF409" s="1007">
        <v>0</v>
      </c>
      <c r="KG409" s="1008"/>
      <c r="KH409" s="1007"/>
      <c r="KI409" s="1008"/>
      <c r="KJ409" s="1007"/>
      <c r="KK409" s="1008"/>
      <c r="KL409" s="1007"/>
      <c r="KM409" s="1008"/>
      <c r="KN409" s="1007"/>
      <c r="KO409" s="1008"/>
      <c r="KP409" s="1007"/>
      <c r="KQ409" s="1008"/>
      <c r="KR409" s="1007"/>
      <c r="KS409" s="1008"/>
      <c r="KT409" s="1007"/>
      <c r="KU409" s="1008"/>
      <c r="KV409" s="1007"/>
      <c r="KW409" s="1008"/>
      <c r="KX409" s="1007"/>
      <c r="KY409" s="1008"/>
      <c r="KZ409" s="1007"/>
      <c r="LA409" s="1008"/>
      <c r="LB409" s="1007"/>
      <c r="LC409" s="1008"/>
      <c r="LD409" s="1007"/>
      <c r="LE409" s="1008"/>
      <c r="LF409" s="1007"/>
      <c r="LG409" s="1008"/>
      <c r="LH409" s="1007"/>
      <c r="LI409" s="1008"/>
      <c r="LJ409" s="1007"/>
      <c r="LK409" s="1008"/>
      <c r="LL409" s="1007"/>
      <c r="LM409" s="1008"/>
      <c r="LN409" s="1007"/>
      <c r="LO409" s="1008"/>
      <c r="LP409" s="1007"/>
      <c r="LQ409" s="1008"/>
      <c r="LR409" s="1007"/>
      <c r="LS409" s="1008"/>
      <c r="LT409" s="1007"/>
      <c r="LU409" s="1008"/>
      <c r="LV409" s="1007"/>
      <c r="LW409" s="1008"/>
      <c r="LX409" s="1007"/>
      <c r="LY409" s="1009"/>
      <c r="LZ409" s="1010"/>
      <c r="MA409" s="1011"/>
      <c r="MB409" s="1012"/>
      <c r="MC409" s="995"/>
      <c r="MD409" s="996"/>
      <c r="ME409" s="997" t="s">
        <v>202</v>
      </c>
      <c r="MF409" s="997"/>
      <c r="MG409" s="998"/>
      <c r="NR409" s="1000"/>
      <c r="NS409" s="1000"/>
      <c r="NT409" s="1001"/>
      <c r="NU409" s="1000"/>
      <c r="NV409" s="1001"/>
      <c r="NX409" s="1002"/>
      <c r="NZ409" s="1001"/>
      <c r="OA409" s="1001"/>
      <c r="OC409" s="1003"/>
      <c r="OD409" s="1003"/>
      <c r="OE409" s="1001"/>
      <c r="OF409" s="1003"/>
      <c r="OG409" s="1003"/>
      <c r="QX409" s="1000">
        <f>CN409-CA409</f>
        <v>33</v>
      </c>
      <c r="ASU409" s="999" t="s">
        <v>208</v>
      </c>
    </row>
    <row r="410" spans="1:466 1191:1191" ht="21" customHeight="1" x14ac:dyDescent="0.25">
      <c r="A410" s="982">
        <f t="shared" si="274"/>
        <v>1477</v>
      </c>
      <c r="B410" s="124">
        <f>SUBTOTAL(103,$J$29:J410)</f>
        <v>382</v>
      </c>
      <c r="C410" s="126">
        <v>45068</v>
      </c>
      <c r="D410" s="124" t="s">
        <v>176</v>
      </c>
      <c r="E410" s="127" t="s">
        <v>177</v>
      </c>
      <c r="F410" s="128" t="s">
        <v>177</v>
      </c>
      <c r="G410" s="127" t="s">
        <v>178</v>
      </c>
      <c r="H410" s="127" t="s">
        <v>179</v>
      </c>
      <c r="I410" s="127" t="s">
        <v>1581</v>
      </c>
      <c r="J410" s="152">
        <v>1477</v>
      </c>
      <c r="K410" s="127" t="s">
        <v>1581</v>
      </c>
      <c r="L410" s="130">
        <v>43521</v>
      </c>
      <c r="M410" s="127" t="s">
        <v>230</v>
      </c>
      <c r="N410" s="127" t="s">
        <v>184</v>
      </c>
      <c r="O410" s="127" t="s">
        <v>185</v>
      </c>
      <c r="P410" s="127" t="s">
        <v>186</v>
      </c>
      <c r="Q410" s="85" t="str">
        <f t="shared" si="319"/>
        <v/>
      </c>
      <c r="R410" s="130"/>
      <c r="S410" s="128"/>
      <c r="T410" s="131"/>
      <c r="U410" s="132">
        <v>203</v>
      </c>
      <c r="V410" s="121">
        <v>218.2</v>
      </c>
      <c r="W410" s="116">
        <v>0.98</v>
      </c>
      <c r="X410" s="116">
        <v>1.66</v>
      </c>
      <c r="Y410" s="116">
        <f t="shared" si="299"/>
        <v>0.99882116017486111</v>
      </c>
      <c r="Z410" s="133">
        <v>1.454</v>
      </c>
      <c r="AA410" s="133">
        <v>0.83599999999999997</v>
      </c>
      <c r="AB410" s="133">
        <v>0.72</v>
      </c>
      <c r="AC410" s="121">
        <v>34.299999999999997</v>
      </c>
      <c r="AD410" s="134">
        <v>1.17</v>
      </c>
      <c r="AE410" s="124">
        <v>177.8</v>
      </c>
      <c r="AF410" s="128">
        <v>9.19</v>
      </c>
      <c r="AG410" s="128">
        <v>2316</v>
      </c>
      <c r="AH410" s="127">
        <v>3337</v>
      </c>
      <c r="AI410" s="127">
        <v>3337</v>
      </c>
      <c r="AJ410" s="135"/>
      <c r="AK410" s="128"/>
      <c r="AL410" s="131"/>
      <c r="AM410" s="124" t="s">
        <v>985</v>
      </c>
      <c r="AN410" s="136" t="s">
        <v>1585</v>
      </c>
      <c r="AO410" s="137">
        <v>26.619999999999891</v>
      </c>
      <c r="AP410" s="128">
        <v>2406.36</v>
      </c>
      <c r="AQ410" s="128">
        <v>486.5</v>
      </c>
      <c r="AR410" s="128" t="s">
        <v>1586</v>
      </c>
      <c r="AS410" s="128">
        <v>114</v>
      </c>
      <c r="AT410" s="122">
        <v>7.37</v>
      </c>
      <c r="AU410" s="124" t="s">
        <v>189</v>
      </c>
      <c r="AV410" s="115">
        <f>VLOOKUP(J410,'[63]ТР нефть'!$J$28:$BP$638,39,0)</f>
        <v>549.99999140600005</v>
      </c>
      <c r="AW410" s="115" t="str">
        <f>VLOOKUP(J410,'[63]ТР нефть'!$J$28:$BP$638,40,0)</f>
        <v>ГП</v>
      </c>
      <c r="AX410" s="115">
        <f>VLOOKUP(J410,'[63]ТР нефть'!$J$28:$BP$638,41,0)</f>
        <v>1049.999983594</v>
      </c>
      <c r="AY410" s="115" t="str">
        <f>VLOOKUP(J410,'[63]ТР нефть'!$J$28:$BP$638,42,0)</f>
        <v>ГП</v>
      </c>
      <c r="AZ410" s="115">
        <f>VLOOKUP(J410,'[63]ТР нефть'!$J$28:$BP$638,43,0)</f>
        <v>1430.000007422</v>
      </c>
      <c r="BA410" s="115" t="str">
        <f>VLOOKUP(J410,'[63]ТР нефть'!$J$28:$BP$638,44,0)</f>
        <v>ГК75 1/8</v>
      </c>
      <c r="BB410" s="115">
        <f>VLOOKUP(J410,'[63]ТР нефть'!$J$28:$BP$638,45,0)</f>
        <v>1730.000002734</v>
      </c>
      <c r="BC410" s="115" t="str">
        <f>VLOOKUP(J410,'[63]ТР нефть'!$J$28:$BP$638,46,0)</f>
        <v>ГК74 5/32</v>
      </c>
      <c r="BD410" s="115">
        <f>VLOOKUP(J410,'[63]ТР нефть'!$J$28:$BP$638,47,0)</f>
        <v>2019.9999386720001</v>
      </c>
      <c r="BE410" s="115" t="str">
        <f>VLOOKUP(J410,'[63]ТР нефть'!$J$28:$BP$638,48,0)</f>
        <v>ЦКсОК 5/16</v>
      </c>
      <c r="BF410" s="115" t="str">
        <f>VLOOKUP(J410,'[63]ТР нефть'!$J$28:$BP$638,49,0)</f>
        <v>-</v>
      </c>
      <c r="BG410" s="115" t="str">
        <f>VLOOKUP(J410,'[63]ТР нефть'!$J$28:$BP$638,50,0)</f>
        <v>-</v>
      </c>
      <c r="BH410" s="115" t="str">
        <f>VLOOKUP(J410,'[63]ТР нефть'!$J$28:$BP$638,51,0)</f>
        <v>-</v>
      </c>
      <c r="BI410" s="115" t="str">
        <f>VLOOKUP(J410,'[63]ТР нефть'!$J$28:$BP$638,52,0)</f>
        <v>-</v>
      </c>
      <c r="BJ410" s="115" t="str">
        <f>IF(IFERROR(VLOOKUP(J410,'[63]ТР нефть'!$J$28:$BP$638,53,0),"-")=0,"-",IFERROR(VLOOKUP(J410,'[63]ТР нефть'!$J$28:$BP$638,53,0),"-"))</f>
        <v>-</v>
      </c>
      <c r="BK410" s="138" t="str">
        <f>IF(IFERROR(VLOOKUP(J410,'[63]ТР нефть'!$J$28:$BP$638,54,0),"-")=0,"-",IFERROR(VLOOKUP(J410,'[63]ТР нефть'!$J$28:$BP$638,54,0),"-"))</f>
        <v>-</v>
      </c>
      <c r="BL410" s="138" t="str">
        <f>IF(IFERROR(VLOOKUP(J410,'[63]ТР нефть'!$J$28:$BP$638,55,0),"-")=0,"-",IFERROR(VLOOKUP(J410,'[63]ТР нефть'!$J$28:$BP$638,55,0),"-"))</f>
        <v>-</v>
      </c>
      <c r="BM410" s="138" t="str">
        <f>IF(IFERROR(VLOOKUP(J410,'[63]ТР нефть'!$J$28:$BP$638,56,0),"-")=0,"-",IFERROR(VLOOKUP(J410,'[63]ТР нефть'!$J$28:$BP$638,56,0),"-"))</f>
        <v>-</v>
      </c>
      <c r="BN410" s="138" t="str">
        <f>IF(IFERROR(VLOOKUP(J410,'[63]ТР нефть'!$J$28:$BP$638,57,0),"-")=0,"-",IFERROR(VLOOKUP(J410,'[63]ТР нефть'!$J$28:$BP$638,57,0),"-"))</f>
        <v>-</v>
      </c>
      <c r="BO410" s="115" t="str">
        <f>IF(IFERROR(VLOOKUP(J410,'[63]ТР нефть'!$J$28:$BP$638,58,0),"-")=0,"-",IFERROR(VLOOKUP(J410,'[63]ТР нефть'!$J$28:$BP$638,58,0),"-"))</f>
        <v>-</v>
      </c>
      <c r="BP410" s="115" t="str">
        <f>IF(IFERROR(VLOOKUP(J410,'[63]ТР нефть'!$J$28:$BP$638,59,0),"-")=0,"-",IFERROR(VLOOKUP(J410,'[63]ТР нефть'!$J$28:$BP$638,59,0),"-"))</f>
        <v>-</v>
      </c>
      <c r="BQ410" s="138">
        <v>2290</v>
      </c>
      <c r="BR410" s="128">
        <v>1896.86</v>
      </c>
      <c r="BS410" s="115">
        <f t="shared" si="307"/>
        <v>393.1400000000001</v>
      </c>
      <c r="BT410" s="128">
        <v>73</v>
      </c>
      <c r="BU410" s="128">
        <v>5.5</v>
      </c>
      <c r="BV410" s="127">
        <v>65</v>
      </c>
      <c r="BW410" s="127" t="s">
        <v>217</v>
      </c>
      <c r="BX410" s="127" t="s">
        <v>195</v>
      </c>
      <c r="BY410" s="139">
        <v>24</v>
      </c>
      <c r="BZ410" s="139">
        <v>0</v>
      </c>
      <c r="CA410" s="138">
        <v>24</v>
      </c>
      <c r="CB410" s="138">
        <v>47</v>
      </c>
      <c r="CC410" s="138">
        <v>23</v>
      </c>
      <c r="CD410" s="135">
        <v>45017</v>
      </c>
      <c r="CE410" s="138">
        <v>99</v>
      </c>
      <c r="CF410" s="138">
        <v>73</v>
      </c>
      <c r="CG410" s="138" t="str">
        <f t="shared" si="310"/>
        <v>В работе</v>
      </c>
      <c r="CH410" s="138" t="s">
        <v>235</v>
      </c>
      <c r="CI410" s="127"/>
      <c r="CJ410" s="138"/>
      <c r="CK410" s="138">
        <f t="shared" si="308"/>
        <v>39</v>
      </c>
      <c r="CL410" s="99"/>
      <c r="CM410" s="99"/>
      <c r="CN410" s="140">
        <v>63</v>
      </c>
      <c r="CO410" s="141">
        <f t="shared" si="276"/>
        <v>8.8527383999999998</v>
      </c>
      <c r="CP410" s="142">
        <v>11.1</v>
      </c>
      <c r="CQ410" s="143">
        <v>4.5999999999999996</v>
      </c>
      <c r="CR410" s="138">
        <v>12</v>
      </c>
      <c r="CS410" s="139">
        <v>10</v>
      </c>
      <c r="CT410" s="138"/>
      <c r="CU410" s="138">
        <f t="shared" si="320"/>
        <v>2</v>
      </c>
      <c r="CV410" s="115">
        <f t="shared" si="321"/>
        <v>225.91879592872641</v>
      </c>
      <c r="CW410" s="115">
        <f t="shared" si="279"/>
        <v>1058.8718787474797</v>
      </c>
      <c r="CX410" s="133">
        <f t="shared" si="322"/>
        <v>0.30833333333333335</v>
      </c>
      <c r="CY410" s="116"/>
      <c r="CZ410" s="131"/>
      <c r="DA410" s="145" t="str">
        <f t="shared" si="281"/>
        <v>Газлифт</v>
      </c>
      <c r="DB410" s="146">
        <f t="shared" si="282"/>
        <v>8.0732520000000001</v>
      </c>
      <c r="DC410" s="142">
        <f t="shared" si="302"/>
        <v>11.1</v>
      </c>
      <c r="DD410" s="119">
        <f t="shared" si="303"/>
        <v>13</v>
      </c>
      <c r="DE410" s="115">
        <f t="shared" si="283"/>
        <v>2</v>
      </c>
      <c r="DF410" s="121">
        <f t="shared" si="284"/>
        <v>10</v>
      </c>
      <c r="DG410" s="115">
        <f t="shared" si="285"/>
        <v>225.91879592872641</v>
      </c>
      <c r="DH410" s="115">
        <f t="shared" si="286"/>
        <v>63</v>
      </c>
      <c r="DI410" s="147"/>
      <c r="DJ410" s="111" t="s">
        <v>197</v>
      </c>
      <c r="DK410" s="112">
        <v>43521</v>
      </c>
      <c r="DL410" s="113">
        <f t="shared" ca="1" si="312"/>
        <v>1583</v>
      </c>
      <c r="DM410" s="114"/>
      <c r="DN410" s="114"/>
      <c r="DO410" s="114"/>
      <c r="DP410" s="114"/>
      <c r="DQ410" s="112">
        <v>43521</v>
      </c>
      <c r="DR410" s="114" t="s">
        <v>324</v>
      </c>
      <c r="DS410" s="114"/>
      <c r="DT410" s="115">
        <v>56</v>
      </c>
      <c r="DU410" s="116">
        <f t="shared" si="313"/>
        <v>0.29677599286033018</v>
      </c>
      <c r="DV410" s="117">
        <f t="shared" si="314"/>
        <v>10.177752235341362</v>
      </c>
      <c r="DW410" s="118">
        <f t="shared" si="315"/>
        <v>12.761367692994197</v>
      </c>
      <c r="DX410" s="119">
        <f t="shared" si="287"/>
        <v>4.5999999999999996</v>
      </c>
      <c r="DY410" s="115">
        <f t="shared" si="316"/>
        <v>2.2993455302692243</v>
      </c>
      <c r="DZ410" s="117">
        <f t="shared" si="317"/>
        <v>1.3250138353413625</v>
      </c>
      <c r="EA410" s="120">
        <f t="shared" si="317"/>
        <v>1.6613676929941974</v>
      </c>
      <c r="EB410" s="119">
        <f t="shared" si="317"/>
        <v>0</v>
      </c>
      <c r="EC410" s="121">
        <f t="shared" si="318"/>
        <v>0.29934553026922428</v>
      </c>
      <c r="ED410" s="122"/>
      <c r="EE410" s="145">
        <v>65</v>
      </c>
      <c r="EF410" s="115">
        <v>26</v>
      </c>
      <c r="EG410" s="115">
        <v>58</v>
      </c>
      <c r="EH410" s="115">
        <v>25</v>
      </c>
      <c r="EI410" s="128" t="s">
        <v>195</v>
      </c>
      <c r="EJ410" s="121">
        <v>24</v>
      </c>
      <c r="EK410" s="121">
        <v>0</v>
      </c>
      <c r="EL410" s="149">
        <v>4.5821160000000001</v>
      </c>
      <c r="EM410" s="142">
        <v>6.3</v>
      </c>
      <c r="EN410" s="119">
        <v>13</v>
      </c>
      <c r="EO410" s="115">
        <v>6.5</v>
      </c>
      <c r="EP410" s="115">
        <v>327.35967400214224</v>
      </c>
      <c r="EQ410" s="115">
        <v>71</v>
      </c>
      <c r="ER410" s="115">
        <v>5</v>
      </c>
      <c r="ES410" s="115">
        <v>78</v>
      </c>
      <c r="ET410" s="150">
        <v>0.3</v>
      </c>
      <c r="EU410" s="145">
        <f t="shared" si="288"/>
        <v>65</v>
      </c>
      <c r="EV410" s="115">
        <f t="shared" si="289"/>
        <v>24</v>
      </c>
      <c r="EW410" s="115">
        <f t="shared" si="289"/>
        <v>47</v>
      </c>
      <c r="EX410" s="115">
        <f t="shared" si="289"/>
        <v>23</v>
      </c>
      <c r="EY410" s="115" t="str">
        <f t="shared" si="309"/>
        <v>Постоянный</v>
      </c>
      <c r="EZ410" s="115">
        <f>CJ408:FN408</f>
        <v>24</v>
      </c>
      <c r="FA410" s="115">
        <f t="shared" si="309"/>
        <v>0</v>
      </c>
      <c r="FB410" s="149">
        <f t="shared" si="298"/>
        <v>8.8527383999999998</v>
      </c>
      <c r="FC410" s="142">
        <f t="shared" si="298"/>
        <v>11.1</v>
      </c>
      <c r="FD410" s="119">
        <f t="shared" si="298"/>
        <v>4.5999999999999996</v>
      </c>
      <c r="FE410" s="121">
        <f t="shared" si="298"/>
        <v>12</v>
      </c>
      <c r="FF410" s="121">
        <f t="shared" si="300"/>
        <v>225.91879592872641</v>
      </c>
      <c r="FG410" s="121">
        <f t="shared" si="290"/>
        <v>73</v>
      </c>
      <c r="FH410" s="121">
        <f t="shared" si="301"/>
        <v>10</v>
      </c>
      <c r="FI410" s="121">
        <f t="shared" si="306"/>
        <v>63</v>
      </c>
      <c r="FJ410" s="144">
        <f t="shared" si="291"/>
        <v>0.30833333333333335</v>
      </c>
      <c r="FK410" s="132">
        <f t="shared" si="292"/>
        <v>0</v>
      </c>
      <c r="FL410" s="115">
        <f t="shared" si="292"/>
        <v>-2</v>
      </c>
      <c r="FM410" s="115">
        <f t="shared" si="292"/>
        <v>-11</v>
      </c>
      <c r="FN410" s="115">
        <f t="shared" si="273"/>
        <v>-2</v>
      </c>
      <c r="FO410" s="115">
        <f t="shared" si="311"/>
        <v>0</v>
      </c>
      <c r="FP410" s="115">
        <f t="shared" si="311"/>
        <v>0</v>
      </c>
      <c r="FQ410" s="149">
        <f t="shared" si="311"/>
        <v>4.2706223999999997</v>
      </c>
      <c r="FR410" s="142">
        <f t="shared" si="311"/>
        <v>4.8</v>
      </c>
      <c r="FS410" s="119">
        <f t="shared" si="311"/>
        <v>-8.4</v>
      </c>
      <c r="FT410" s="121">
        <f t="shared" si="311"/>
        <v>5.5</v>
      </c>
      <c r="FU410" s="121">
        <f t="shared" si="293"/>
        <v>2</v>
      </c>
      <c r="FV410" s="121">
        <f t="shared" si="293"/>
        <v>5</v>
      </c>
      <c r="FW410" s="121">
        <f t="shared" si="294"/>
        <v>-101.44087807341583</v>
      </c>
      <c r="FX410" s="121">
        <f t="shared" si="295"/>
        <v>-15</v>
      </c>
      <c r="FY410" s="144">
        <f t="shared" si="295"/>
        <v>8.3333333333333592E-3</v>
      </c>
      <c r="FZ410" s="145" t="s">
        <v>199</v>
      </c>
      <c r="GA410" s="151" t="s">
        <v>1189</v>
      </c>
      <c r="GB410" s="145" t="s">
        <v>199</v>
      </c>
      <c r="GC410" s="1033" t="s">
        <v>415</v>
      </c>
      <c r="GD410" s="997" t="s">
        <v>202</v>
      </c>
      <c r="GE410" s="1004" t="s">
        <v>199</v>
      </c>
      <c r="GF410" s="1004">
        <v>-2.0390039999999994</v>
      </c>
      <c r="GG410" s="1004" t="s">
        <v>223</v>
      </c>
      <c r="GH410" s="1004">
        <v>-2.48292</v>
      </c>
      <c r="GI410" s="145" t="s">
        <v>199</v>
      </c>
      <c r="GJ410" s="996">
        <v>3.4837791999999999</v>
      </c>
      <c r="GK410" s="145"/>
      <c r="GL410" s="996">
        <v>0</v>
      </c>
      <c r="GM410" s="1005"/>
      <c r="GN410" s="996">
        <v>0.11938080000000006</v>
      </c>
      <c r="GO410" s="1006"/>
      <c r="GP410" s="996">
        <v>0</v>
      </c>
      <c r="GQ410" s="1006"/>
      <c r="GR410" s="996">
        <v>0</v>
      </c>
      <c r="GS410" s="1006"/>
      <c r="GT410" s="996">
        <v>0</v>
      </c>
      <c r="GU410" s="1006" t="s">
        <v>207</v>
      </c>
      <c r="GV410" s="996">
        <v>-1.8726400000000005</v>
      </c>
      <c r="GW410" s="1006" t="s">
        <v>199</v>
      </c>
      <c r="GX410" s="996">
        <v>1.6368880000000008</v>
      </c>
      <c r="GY410" s="1006"/>
      <c r="GZ410" s="996">
        <v>-0.2278936000000007</v>
      </c>
      <c r="HA410" s="1006" t="s">
        <v>199</v>
      </c>
      <c r="HB410" s="996">
        <v>2.9519160000000002</v>
      </c>
      <c r="HC410" s="1006" t="s">
        <v>199</v>
      </c>
      <c r="HD410" s="996">
        <v>-0.71511440000000048</v>
      </c>
      <c r="HE410" s="1006" t="s">
        <v>199</v>
      </c>
      <c r="HF410" s="996">
        <v>-1.4490287679999998</v>
      </c>
      <c r="HG410" s="1006" t="s">
        <v>199</v>
      </c>
      <c r="HH410" s="996">
        <v>0.69328476799999983</v>
      </c>
      <c r="HI410" s="1006" t="s">
        <v>204</v>
      </c>
      <c r="HJ410" s="996">
        <v>-1.0385761759999985</v>
      </c>
      <c r="HK410" s="1006"/>
      <c r="HL410" s="996">
        <v>-6.1934224000001592E-2</v>
      </c>
      <c r="HM410" s="1006"/>
      <c r="HN410" s="996">
        <v>-0.69273300799999937</v>
      </c>
      <c r="HO410" s="1006"/>
      <c r="HP410" s="996">
        <v>0</v>
      </c>
      <c r="HQ410" s="1006"/>
      <c r="HR410" s="996">
        <v>0</v>
      </c>
      <c r="HS410" s="1006"/>
      <c r="HT410" s="996">
        <v>0</v>
      </c>
      <c r="HU410" s="1006"/>
      <c r="HV410" s="996">
        <v>-0.55854999199999966</v>
      </c>
      <c r="HW410" s="1006" t="s">
        <v>199</v>
      </c>
      <c r="HX410" s="996">
        <v>-1.3832038000000013</v>
      </c>
      <c r="HY410" s="1006"/>
      <c r="HZ410" s="996">
        <v>0.58762440000000016</v>
      </c>
      <c r="IA410" s="1006"/>
      <c r="IB410" s="996">
        <v>0</v>
      </c>
      <c r="IC410" s="1006"/>
      <c r="ID410" s="996">
        <v>0</v>
      </c>
      <c r="IE410" s="1006" t="s">
        <v>199</v>
      </c>
      <c r="IF410" s="996">
        <v>1.6485920000000007</v>
      </c>
      <c r="IG410" s="1006"/>
      <c r="IH410" s="996">
        <v>0</v>
      </c>
      <c r="II410" s="1006"/>
      <c r="IJ410" s="996">
        <v>-0.48504719999999946</v>
      </c>
      <c r="IK410" s="1006"/>
      <c r="IL410" s="996">
        <v>0</v>
      </c>
      <c r="IM410" s="1006"/>
      <c r="IN410" s="996">
        <v>0</v>
      </c>
      <c r="IO410" s="1006" t="s">
        <v>199</v>
      </c>
      <c r="IP410" s="996">
        <v>-2.6919199999999996</v>
      </c>
      <c r="IQ410" s="1006" t="s">
        <v>199</v>
      </c>
      <c r="IR410" s="996">
        <v>-2.6644991999999998</v>
      </c>
      <c r="IS410" s="1006"/>
      <c r="IT410" s="996">
        <v>0</v>
      </c>
      <c r="IU410" s="1006"/>
      <c r="IV410" s="996">
        <v>0</v>
      </c>
      <c r="IW410" s="1006"/>
      <c r="IX410" s="996">
        <v>0.18993919999999953</v>
      </c>
      <c r="IY410" s="1006" t="s">
        <v>199</v>
      </c>
      <c r="IZ410" s="996">
        <v>-1.8567560000000007</v>
      </c>
      <c r="JA410" s="1006"/>
      <c r="JB410" s="996">
        <v>0</v>
      </c>
      <c r="JC410" s="1006"/>
      <c r="JD410" s="996">
        <v>0</v>
      </c>
      <c r="JE410" s="1006" t="s">
        <v>199</v>
      </c>
      <c r="JF410" s="996">
        <v>-1.3151951999999998</v>
      </c>
      <c r="JG410" s="1006"/>
      <c r="JH410" s="996">
        <v>0</v>
      </c>
      <c r="JI410" s="1006" t="s">
        <v>199</v>
      </c>
      <c r="JJ410" s="996">
        <v>7.4028635999999999</v>
      </c>
      <c r="JK410" s="1007"/>
      <c r="JL410" s="1007">
        <v>0</v>
      </c>
      <c r="JM410" s="1007"/>
      <c r="JN410" s="1007">
        <v>0</v>
      </c>
      <c r="JO410" s="1008" t="s">
        <v>199</v>
      </c>
      <c r="JP410" s="1007">
        <v>-8.3139363999999976</v>
      </c>
      <c r="JQ410" s="1008">
        <v>0</v>
      </c>
      <c r="JR410" s="1007">
        <v>0</v>
      </c>
      <c r="JS410" s="1008">
        <v>0</v>
      </c>
      <c r="JT410" s="1007">
        <v>-0.46280960000000171</v>
      </c>
      <c r="JU410" s="1008" t="s">
        <v>199</v>
      </c>
      <c r="JV410" s="1007">
        <v>-5.5563904000000015</v>
      </c>
      <c r="JW410" s="1008" t="s">
        <v>197</v>
      </c>
      <c r="JX410" s="1007">
        <v>0</v>
      </c>
      <c r="JY410" s="1008"/>
      <c r="JZ410" s="1007">
        <v>0</v>
      </c>
      <c r="KA410" s="1008" t="s">
        <v>203</v>
      </c>
      <c r="KB410" s="1007">
        <v>-5.5761199999999995</v>
      </c>
      <c r="KC410" s="1008"/>
      <c r="KD410" s="1007"/>
      <c r="KE410" s="1008"/>
      <c r="KF410" s="1007"/>
      <c r="KG410" s="1008"/>
      <c r="KH410" s="1007"/>
      <c r="KI410" s="1008"/>
      <c r="KJ410" s="1007"/>
      <c r="KK410" s="1008"/>
      <c r="KL410" s="1007"/>
      <c r="KM410" s="1008"/>
      <c r="KN410" s="1007"/>
      <c r="KO410" s="1008"/>
      <c r="KP410" s="1007"/>
      <c r="KQ410" s="1008"/>
      <c r="KR410" s="1007"/>
      <c r="KS410" s="1008"/>
      <c r="KT410" s="1007"/>
      <c r="KU410" s="1008"/>
      <c r="KV410" s="1007"/>
      <c r="KW410" s="1008"/>
      <c r="KX410" s="1007"/>
      <c r="KY410" s="1008"/>
      <c r="KZ410" s="1007"/>
      <c r="LA410" s="1008"/>
      <c r="LB410" s="1007"/>
      <c r="LC410" s="1008"/>
      <c r="LD410" s="1007"/>
      <c r="LE410" s="1008"/>
      <c r="LF410" s="1007"/>
      <c r="LG410" s="1008"/>
      <c r="LH410" s="1007"/>
      <c r="LI410" s="1008"/>
      <c r="LJ410" s="1007"/>
      <c r="LK410" s="1008"/>
      <c r="LL410" s="1007"/>
      <c r="LM410" s="1008"/>
      <c r="LN410" s="1007"/>
      <c r="LO410" s="1008"/>
      <c r="LP410" s="1007"/>
      <c r="LQ410" s="1008"/>
      <c r="LR410" s="1007"/>
      <c r="LS410" s="1008"/>
      <c r="LT410" s="1007"/>
      <c r="LU410" s="1008"/>
      <c r="LV410" s="1007"/>
      <c r="LW410" s="1008"/>
      <c r="LX410" s="1007"/>
      <c r="LY410" s="1009"/>
      <c r="LZ410" s="1010"/>
      <c r="MA410" s="1011"/>
      <c r="MB410" s="1012"/>
      <c r="MC410" s="995"/>
      <c r="MD410" s="996"/>
      <c r="ME410" s="997" t="s">
        <v>202</v>
      </c>
      <c r="MF410" s="997"/>
      <c r="MG410" s="998"/>
      <c r="NR410" s="1000"/>
      <c r="NS410" s="1000"/>
      <c r="NT410" s="1001"/>
      <c r="NU410" s="1000"/>
      <c r="NV410" s="1001"/>
      <c r="NX410" s="1002"/>
      <c r="NZ410" s="1001"/>
      <c r="OA410" s="1001"/>
      <c r="OC410" s="1003"/>
      <c r="OD410" s="1003"/>
      <c r="OE410" s="1001"/>
      <c r="OF410" s="1003"/>
      <c r="OG410" s="1003"/>
      <c r="QX410" s="1000">
        <f>CN410-CA410</f>
        <v>39</v>
      </c>
      <c r="ASU410" s="999" t="s">
        <v>208</v>
      </c>
    </row>
    <row r="411" spans="1:466 1191:1191" ht="21" customHeight="1" x14ac:dyDescent="0.25">
      <c r="A411" s="982">
        <f t="shared" si="274"/>
        <v>1478</v>
      </c>
      <c r="B411" s="124">
        <f>SUBTOTAL(103,$J$29:J411)</f>
        <v>383</v>
      </c>
      <c r="C411" s="126">
        <v>45068</v>
      </c>
      <c r="D411" s="124" t="s">
        <v>176</v>
      </c>
      <c r="E411" s="127" t="s">
        <v>177</v>
      </c>
      <c r="F411" s="128" t="s">
        <v>177</v>
      </c>
      <c r="G411" s="127" t="s">
        <v>178</v>
      </c>
      <c r="H411" s="127" t="s">
        <v>179</v>
      </c>
      <c r="I411" s="127" t="s">
        <v>1587</v>
      </c>
      <c r="J411" s="152">
        <v>1478</v>
      </c>
      <c r="K411" s="127" t="s">
        <v>1588</v>
      </c>
      <c r="L411" s="130">
        <v>43856</v>
      </c>
      <c r="M411" s="127" t="s">
        <v>230</v>
      </c>
      <c r="N411" s="127" t="s">
        <v>184</v>
      </c>
      <c r="O411" s="127" t="s">
        <v>185</v>
      </c>
      <c r="P411" s="127" t="s">
        <v>186</v>
      </c>
      <c r="Q411" s="85" t="str">
        <f t="shared" si="319"/>
        <v/>
      </c>
      <c r="R411" s="130"/>
      <c r="S411" s="128"/>
      <c r="T411" s="131"/>
      <c r="U411" s="132">
        <v>203</v>
      </c>
      <c r="V411" s="121">
        <v>218.2</v>
      </c>
      <c r="W411" s="116">
        <v>0.98</v>
      </c>
      <c r="X411" s="116">
        <v>1.66</v>
      </c>
      <c r="Y411" s="116">
        <f t="shared" si="299"/>
        <v>0.98</v>
      </c>
      <c r="Z411" s="133">
        <v>1.454</v>
      </c>
      <c r="AA411" s="133">
        <v>0.83599999999999997</v>
      </c>
      <c r="AB411" s="133">
        <v>0.72</v>
      </c>
      <c r="AC411" s="121">
        <v>34.299999999999997</v>
      </c>
      <c r="AD411" s="134">
        <v>1.17</v>
      </c>
      <c r="AE411" s="124">
        <v>177.8</v>
      </c>
      <c r="AF411" s="128">
        <v>9.19</v>
      </c>
      <c r="AG411" s="128">
        <v>2248</v>
      </c>
      <c r="AH411" s="127">
        <v>3039</v>
      </c>
      <c r="AI411" s="127">
        <v>3039</v>
      </c>
      <c r="AJ411" s="135"/>
      <c r="AK411" s="128"/>
      <c r="AL411" s="131"/>
      <c r="AM411" s="124" t="s">
        <v>985</v>
      </c>
      <c r="AN411" s="136" t="s">
        <v>1589</v>
      </c>
      <c r="AO411" s="137">
        <v>3.22</v>
      </c>
      <c r="AP411" s="128">
        <v>2323.96</v>
      </c>
      <c r="AQ411" s="128">
        <v>497.96000000000004</v>
      </c>
      <c r="AR411" s="128"/>
      <c r="AS411" s="128"/>
      <c r="AT411" s="122"/>
      <c r="AU411" s="124" t="s">
        <v>189</v>
      </c>
      <c r="AV411" s="115">
        <f>VLOOKUP(J411,'[63]ТР нефть'!$J$28:$BP$638,39,0)</f>
        <v>420.00000087900003</v>
      </c>
      <c r="AW411" s="115" t="str">
        <f>VLOOKUP(J411,'[63]ТР нефть'!$J$28:$BP$638,40,0)</f>
        <v>ГП</v>
      </c>
      <c r="AX411" s="115">
        <f>VLOOKUP(J411,'[63]ТР нефть'!$J$28:$BP$638,41,0)</f>
        <v>840.00000175800005</v>
      </c>
      <c r="AY411" s="115" t="str">
        <f>VLOOKUP(J411,'[63]ТР нефть'!$J$28:$BP$638,42,0)</f>
        <v>ГП</v>
      </c>
      <c r="AZ411" s="115">
        <f>VLOOKUP(J411,'[63]ТР нефть'!$J$28:$BP$638,43,0)</f>
        <v>1239.999995508</v>
      </c>
      <c r="BA411" s="115" t="str">
        <f>VLOOKUP(J411,'[63]ТР нефть'!$J$28:$BP$638,44,0)</f>
        <v>ГК78 5/32</v>
      </c>
      <c r="BB411" s="115">
        <f>VLOOKUP(J411,'[63]ТР нефть'!$J$28:$BP$638,45,0)</f>
        <v>1570.0000945310001</v>
      </c>
      <c r="BC411" s="115" t="str">
        <f>VLOOKUP(J411,'[63]ТР нефть'!$J$28:$BP$638,46,0)</f>
        <v>ГК78 5/32</v>
      </c>
      <c r="BD411" s="115">
        <f>VLOOKUP(J411,'[63]ТР нефть'!$J$28:$BP$638,47,0)</f>
        <v>1780.000001953</v>
      </c>
      <c r="BE411" s="115" t="str">
        <f>VLOOKUP(J411,'[63]ТР нефть'!$J$28:$BP$638,48,0)</f>
        <v>ГК77 5/32</v>
      </c>
      <c r="BF411" s="115">
        <f>VLOOKUP(J411,'[63]ТР нефть'!$J$28:$BP$638,49,0)</f>
        <v>2000</v>
      </c>
      <c r="BG411" s="115" t="str">
        <f>VLOOKUP(J411,'[63]ТР нефть'!$J$28:$BP$638,50,0)</f>
        <v>ЦКсОК 5/16</v>
      </c>
      <c r="BH411" s="115" t="str">
        <f>VLOOKUP(J411,'[63]ТР нефть'!$J$28:$BP$638,51,0)</f>
        <v>-</v>
      </c>
      <c r="BI411" s="115" t="str">
        <f>VLOOKUP(J411,'[63]ТР нефть'!$J$28:$BP$638,52,0)</f>
        <v>-</v>
      </c>
      <c r="BJ411" s="115" t="str">
        <f>IF(IFERROR(VLOOKUP(J411,'[63]ТР нефть'!$J$28:$BP$638,53,0),"-")=0,"-",IFERROR(VLOOKUP(J411,'[63]ТР нефть'!$J$28:$BP$638,53,0),"-"))</f>
        <v>-</v>
      </c>
      <c r="BK411" s="138" t="str">
        <f>IF(IFERROR(VLOOKUP(J411,'[63]ТР нефть'!$J$28:$BP$638,54,0),"-")=0,"-",IFERROR(VLOOKUP(J411,'[63]ТР нефть'!$J$28:$BP$638,54,0),"-"))</f>
        <v>-</v>
      </c>
      <c r="BL411" s="138" t="str">
        <f>IF(IFERROR(VLOOKUP(J411,'[63]ТР нефть'!$J$28:$BP$638,55,0),"-")=0,"-",IFERROR(VLOOKUP(J411,'[63]ТР нефть'!$J$28:$BP$638,55,0),"-"))</f>
        <v>-</v>
      </c>
      <c r="BM411" s="138" t="str">
        <f>IF(IFERROR(VLOOKUP(J411,'[63]ТР нефть'!$J$28:$BP$638,56,0),"-")=0,"-",IFERROR(VLOOKUP(J411,'[63]ТР нефть'!$J$28:$BP$638,56,0),"-"))</f>
        <v>-</v>
      </c>
      <c r="BN411" s="138" t="str">
        <f>IF(IFERROR(VLOOKUP(J411,'[63]ТР нефть'!$J$28:$BP$638,57,0),"-")=0,"-",IFERROR(VLOOKUP(J411,'[63]ТР нефть'!$J$28:$BP$638,57,0),"-"))</f>
        <v>-</v>
      </c>
      <c r="BO411" s="115" t="str">
        <f>IF(IFERROR(VLOOKUP(J411,'[63]ТР нефть'!$J$28:$BP$638,58,0),"-")=0,"-",IFERROR(VLOOKUP(J411,'[63]ТР нефть'!$J$28:$BP$638,58,0),"-"))</f>
        <v>-</v>
      </c>
      <c r="BP411" s="115" t="str">
        <f>IF(IFERROR(VLOOKUP(J411,'[63]ТР нефть'!$J$28:$BP$638,59,0),"-")=0,"-",IFERROR(VLOOKUP(J411,'[63]ТР нефть'!$J$28:$BP$638,59,0),"-"))</f>
        <v>-</v>
      </c>
      <c r="BQ411" s="138">
        <v>3027</v>
      </c>
      <c r="BR411" s="128">
        <v>1683</v>
      </c>
      <c r="BS411" s="115">
        <f t="shared" si="307"/>
        <v>1344</v>
      </c>
      <c r="BT411" s="128">
        <v>73</v>
      </c>
      <c r="BU411" s="128">
        <v>5.5</v>
      </c>
      <c r="BV411" s="127">
        <v>18</v>
      </c>
      <c r="BW411" s="127" t="s">
        <v>194</v>
      </c>
      <c r="BX411" s="127" t="s">
        <v>195</v>
      </c>
      <c r="BY411" s="139">
        <v>24</v>
      </c>
      <c r="BZ411" s="139">
        <v>0</v>
      </c>
      <c r="CA411" s="138">
        <v>27</v>
      </c>
      <c r="CB411" s="138">
        <v>52</v>
      </c>
      <c r="CC411" s="138">
        <v>24</v>
      </c>
      <c r="CD411" s="135">
        <v>45017</v>
      </c>
      <c r="CE411" s="138">
        <v>96</v>
      </c>
      <c r="CF411" s="138">
        <v>74</v>
      </c>
      <c r="CG411" s="173" t="s">
        <v>186</v>
      </c>
      <c r="CH411" s="173" t="s">
        <v>196</v>
      </c>
      <c r="CI411" s="127"/>
      <c r="CJ411" s="138"/>
      <c r="CK411" s="138">
        <f t="shared" si="308"/>
        <v>20</v>
      </c>
      <c r="CL411" s="99"/>
      <c r="CM411" s="99"/>
      <c r="CN411" s="140">
        <v>47</v>
      </c>
      <c r="CO411" s="141">
        <f t="shared" si="276"/>
        <v>15.465999999999999</v>
      </c>
      <c r="CP411" s="142">
        <v>18.5</v>
      </c>
      <c r="CQ411" s="143">
        <v>0</v>
      </c>
      <c r="CR411" s="138">
        <v>23</v>
      </c>
      <c r="CS411" s="139">
        <v>12</v>
      </c>
      <c r="CT411" s="138"/>
      <c r="CU411" s="138">
        <f t="shared" si="320"/>
        <v>11</v>
      </c>
      <c r="CV411" s="115">
        <f t="shared" si="321"/>
        <v>711.23755334281657</v>
      </c>
      <c r="CW411" s="115">
        <f t="shared" si="279"/>
        <v>775.89551273761799</v>
      </c>
      <c r="CX411" s="133">
        <f t="shared" si="322"/>
        <v>0.37755102040816324</v>
      </c>
      <c r="CY411" s="116"/>
      <c r="CZ411" s="131"/>
      <c r="DA411" s="145" t="str">
        <f t="shared" si="281"/>
        <v>Газлифт</v>
      </c>
      <c r="DB411" s="146">
        <f t="shared" si="282"/>
        <v>15.465999999999999</v>
      </c>
      <c r="DC411" s="142">
        <f t="shared" si="302"/>
        <v>18.5</v>
      </c>
      <c r="DD411" s="119">
        <f t="shared" si="303"/>
        <v>0</v>
      </c>
      <c r="DE411" s="115">
        <f t="shared" si="283"/>
        <v>11</v>
      </c>
      <c r="DF411" s="121">
        <f t="shared" si="284"/>
        <v>12</v>
      </c>
      <c r="DG411" s="115">
        <f t="shared" si="285"/>
        <v>711.23755334281657</v>
      </c>
      <c r="DH411" s="115">
        <f t="shared" si="286"/>
        <v>47</v>
      </c>
      <c r="DI411" s="147"/>
      <c r="DJ411" s="111"/>
      <c r="DK411" s="112">
        <v>44089</v>
      </c>
      <c r="DL411" s="113">
        <f t="shared" ca="1" si="312"/>
        <v>1015</v>
      </c>
      <c r="DM411" s="114"/>
      <c r="DN411" s="114"/>
      <c r="DO411" s="114"/>
      <c r="DP411" s="114"/>
      <c r="DQ411" s="112"/>
      <c r="DR411" s="114"/>
      <c r="DS411" s="114"/>
      <c r="DT411" s="115">
        <v>54</v>
      </c>
      <c r="DU411" s="116">
        <f t="shared" si="313"/>
        <v>0.44047619047619047</v>
      </c>
      <c r="DV411" s="117">
        <f t="shared" si="314"/>
        <v>15.465999999999999</v>
      </c>
      <c r="DW411" s="118">
        <f t="shared" si="315"/>
        <v>18.5</v>
      </c>
      <c r="DX411" s="119">
        <f t="shared" si="287"/>
        <v>0</v>
      </c>
      <c r="DY411" s="115">
        <f t="shared" si="316"/>
        <v>11</v>
      </c>
      <c r="DZ411" s="117">
        <f t="shared" si="317"/>
        <v>0</v>
      </c>
      <c r="EA411" s="120">
        <f t="shared" si="317"/>
        <v>0</v>
      </c>
      <c r="EB411" s="119">
        <f t="shared" si="317"/>
        <v>0</v>
      </c>
      <c r="EC411" s="121">
        <f t="shared" si="318"/>
        <v>0</v>
      </c>
      <c r="ED411" s="122"/>
      <c r="EE411" s="145">
        <v>18</v>
      </c>
      <c r="EF411" s="115">
        <v>26</v>
      </c>
      <c r="EG411" s="115">
        <v>51</v>
      </c>
      <c r="EH411" s="115">
        <v>25</v>
      </c>
      <c r="EI411" s="128" t="s">
        <v>195</v>
      </c>
      <c r="EJ411" s="121">
        <v>24</v>
      </c>
      <c r="EK411" s="121">
        <v>0</v>
      </c>
      <c r="EL411" s="149">
        <v>15.465999999999999</v>
      </c>
      <c r="EM411" s="142">
        <v>18.5</v>
      </c>
      <c r="EN411" s="119">
        <v>0</v>
      </c>
      <c r="EO411" s="115">
        <v>23</v>
      </c>
      <c r="EP411" s="115">
        <v>920.7293417819734</v>
      </c>
      <c r="EQ411" s="115">
        <v>72</v>
      </c>
      <c r="ER411" s="115">
        <v>8.76</v>
      </c>
      <c r="ES411" s="115">
        <v>53</v>
      </c>
      <c r="ET411" s="150">
        <v>0.43023255813953487</v>
      </c>
      <c r="EU411" s="145">
        <f t="shared" si="288"/>
        <v>18</v>
      </c>
      <c r="EV411" s="115">
        <f t="shared" si="289"/>
        <v>27</v>
      </c>
      <c r="EW411" s="115">
        <f t="shared" si="289"/>
        <v>52</v>
      </c>
      <c r="EX411" s="115">
        <f t="shared" si="289"/>
        <v>24</v>
      </c>
      <c r="EY411" s="115" t="str">
        <f t="shared" si="309"/>
        <v>Постоянный</v>
      </c>
      <c r="EZ411" s="115">
        <f t="shared" si="309"/>
        <v>24</v>
      </c>
      <c r="FA411" s="115">
        <f t="shared" si="309"/>
        <v>0</v>
      </c>
      <c r="FB411" s="149">
        <f t="shared" si="298"/>
        <v>15.465999999999999</v>
      </c>
      <c r="FC411" s="142">
        <f t="shared" si="298"/>
        <v>18.5</v>
      </c>
      <c r="FD411" s="119">
        <f t="shared" si="298"/>
        <v>0</v>
      </c>
      <c r="FE411" s="121">
        <f t="shared" si="298"/>
        <v>23</v>
      </c>
      <c r="FF411" s="121">
        <f t="shared" si="300"/>
        <v>711.23755334281657</v>
      </c>
      <c r="FG411" s="121">
        <f t="shared" si="290"/>
        <v>74</v>
      </c>
      <c r="FH411" s="121">
        <f t="shared" si="301"/>
        <v>12</v>
      </c>
      <c r="FI411" s="121">
        <f t="shared" si="306"/>
        <v>47</v>
      </c>
      <c r="FJ411" s="144">
        <f t="shared" si="291"/>
        <v>0.37755102040816324</v>
      </c>
      <c r="FK411" s="132">
        <f t="shared" si="292"/>
        <v>0</v>
      </c>
      <c r="FL411" s="115">
        <f t="shared" si="292"/>
        <v>1</v>
      </c>
      <c r="FM411" s="115">
        <f t="shared" si="292"/>
        <v>1</v>
      </c>
      <c r="FN411" s="115">
        <f t="shared" si="273"/>
        <v>-1</v>
      </c>
      <c r="FO411" s="115">
        <f t="shared" si="311"/>
        <v>0</v>
      </c>
      <c r="FP411" s="115">
        <f t="shared" si="311"/>
        <v>0</v>
      </c>
      <c r="FQ411" s="149">
        <f t="shared" si="311"/>
        <v>0</v>
      </c>
      <c r="FR411" s="142">
        <f t="shared" si="311"/>
        <v>0</v>
      </c>
      <c r="FS411" s="119">
        <f t="shared" si="311"/>
        <v>0</v>
      </c>
      <c r="FT411" s="121">
        <f t="shared" si="311"/>
        <v>0</v>
      </c>
      <c r="FU411" s="121">
        <f t="shared" si="293"/>
        <v>2</v>
      </c>
      <c r="FV411" s="121">
        <f t="shared" si="293"/>
        <v>3.24</v>
      </c>
      <c r="FW411" s="121">
        <f t="shared" si="294"/>
        <v>-209.49178843915684</v>
      </c>
      <c r="FX411" s="121">
        <f t="shared" si="295"/>
        <v>-6</v>
      </c>
      <c r="FY411" s="144">
        <f t="shared" si="295"/>
        <v>-5.268153773137163E-2</v>
      </c>
      <c r="FZ411" s="145"/>
      <c r="GA411" s="151"/>
      <c r="GB411" s="145" t="s">
        <v>199</v>
      </c>
      <c r="GC411" s="131" t="s">
        <v>415</v>
      </c>
      <c r="GD411" s="997" t="s">
        <v>202</v>
      </c>
      <c r="GE411" s="1004" t="s">
        <v>199</v>
      </c>
      <c r="GF411" s="1004">
        <v>-1.2539999999999996</v>
      </c>
      <c r="GG411" s="1004"/>
      <c r="GH411" s="1004">
        <v>-0.83600000000000207</v>
      </c>
      <c r="GI411" s="145"/>
      <c r="GJ411" s="996">
        <v>-0.41440519999999736</v>
      </c>
      <c r="GK411" s="145"/>
      <c r="GL411" s="996">
        <v>-0.4179163999999993</v>
      </c>
      <c r="GM411" s="1005"/>
      <c r="GN411" s="996">
        <v>0.83232159999999666</v>
      </c>
      <c r="GO411" s="1006" t="s">
        <v>240</v>
      </c>
      <c r="GP411" s="996">
        <v>-1.2539999999999978</v>
      </c>
      <c r="GQ411" s="1006"/>
      <c r="GR411" s="996">
        <v>-0.54339999999999833</v>
      </c>
      <c r="GS411" s="1006"/>
      <c r="GT411" s="996">
        <v>0.45979999999999777</v>
      </c>
      <c r="GU411" s="1006"/>
      <c r="GV411" s="996">
        <v>0</v>
      </c>
      <c r="GW411" s="1006" t="s">
        <v>223</v>
      </c>
      <c r="GX411" s="996">
        <v>-1.1704000000000008</v>
      </c>
      <c r="GY411" s="1006" t="s">
        <v>223</v>
      </c>
      <c r="GZ411" s="996">
        <v>-1.1369599999999984</v>
      </c>
      <c r="HA411" s="1006"/>
      <c r="HB411" s="996">
        <v>0.63947311999999812</v>
      </c>
      <c r="HC411" s="1006"/>
      <c r="HD411" s="996">
        <v>-0.33433312000000015</v>
      </c>
      <c r="HE411" s="1006"/>
      <c r="HF411" s="996">
        <v>0.22567485600000126</v>
      </c>
      <c r="HG411" s="1006" t="s">
        <v>199</v>
      </c>
      <c r="HH411" s="996">
        <v>-0.77985485600000004</v>
      </c>
      <c r="HI411" s="1006"/>
      <c r="HJ411" s="996">
        <v>0.23408000000000229</v>
      </c>
      <c r="HK411" s="1006" t="s">
        <v>223</v>
      </c>
      <c r="HL411" s="996">
        <v>-1.7723200000000006</v>
      </c>
      <c r="HM411" s="1006"/>
      <c r="HN411" s="996">
        <v>-0.71895999999999916</v>
      </c>
      <c r="HO411" s="1006" t="s">
        <v>223</v>
      </c>
      <c r="HP411" s="996">
        <v>-1.504800000000003</v>
      </c>
      <c r="HQ411" s="1006" t="s">
        <v>223</v>
      </c>
      <c r="HR411" s="996">
        <v>-3.7202000000000019</v>
      </c>
      <c r="HS411" s="1006"/>
      <c r="HT411" s="996">
        <v>0</v>
      </c>
      <c r="HU411" s="1006"/>
      <c r="HV411" s="996">
        <v>-0.54339999999999833</v>
      </c>
      <c r="HW411" s="1006" t="s">
        <v>223</v>
      </c>
      <c r="HX411" s="996">
        <v>-2.8131400000000006</v>
      </c>
      <c r="HY411" s="1006" t="s">
        <v>221</v>
      </c>
      <c r="HZ411" s="996">
        <v>14.712269088000003</v>
      </c>
      <c r="IA411" s="1006" t="s">
        <v>239</v>
      </c>
      <c r="IB411" s="996">
        <v>-24.213409087999995</v>
      </c>
      <c r="IC411" s="1006"/>
      <c r="ID411" s="996">
        <v>0</v>
      </c>
      <c r="IE411" s="1006"/>
      <c r="IF411" s="996">
        <v>0</v>
      </c>
      <c r="IG411" s="1006"/>
      <c r="IH411" s="996">
        <v>0</v>
      </c>
      <c r="II411" s="1006"/>
      <c r="IJ411" s="996">
        <v>0</v>
      </c>
      <c r="IK411" s="1006" t="s">
        <v>204</v>
      </c>
      <c r="IL411" s="996">
        <v>5.8710842079999921</v>
      </c>
      <c r="IM411" s="1006"/>
      <c r="IN411" s="996">
        <v>0</v>
      </c>
      <c r="IO411" s="1006"/>
      <c r="IP411" s="996">
        <v>-0.66698420799999525</v>
      </c>
      <c r="IQ411" s="1006"/>
      <c r="IR411" s="996">
        <v>0</v>
      </c>
      <c r="IS411" s="1006"/>
      <c r="IT411" s="996">
        <v>0</v>
      </c>
      <c r="IU411" s="1006"/>
      <c r="IV411" s="996">
        <v>0</v>
      </c>
      <c r="IW411" s="1006"/>
      <c r="IX411" s="996">
        <v>0</v>
      </c>
      <c r="IY411" s="1006"/>
      <c r="IZ411" s="996">
        <v>0</v>
      </c>
      <c r="JA411" s="1006"/>
      <c r="JB411" s="996">
        <v>-0.66461999999999932</v>
      </c>
      <c r="JC411" s="1006"/>
      <c r="JD411" s="996">
        <v>0</v>
      </c>
      <c r="JE411" s="1006"/>
      <c r="JF411" s="996">
        <v>0</v>
      </c>
      <c r="JG411" s="1006" t="s">
        <v>25</v>
      </c>
      <c r="JH411" s="996">
        <v>35.9</v>
      </c>
      <c r="JI411" s="1006"/>
      <c r="JJ411" s="996"/>
      <c r="JK411" s="1007"/>
      <c r="JL411" s="1007"/>
      <c r="JM411" s="1007"/>
      <c r="JN411" s="1007"/>
      <c r="JO411" s="1008"/>
      <c r="JP411" s="1007"/>
      <c r="JQ411" s="1008"/>
      <c r="JR411" s="1007"/>
      <c r="JS411" s="1008"/>
      <c r="JT411" s="1007"/>
      <c r="JU411" s="1008"/>
      <c r="JV411" s="1007"/>
      <c r="JW411" s="1008"/>
      <c r="JX411" s="1007"/>
      <c r="JY411" s="1008"/>
      <c r="JZ411" s="1007"/>
      <c r="KA411" s="1008"/>
      <c r="KB411" s="1007"/>
      <c r="KC411" s="1008"/>
      <c r="KD411" s="1007"/>
      <c r="KE411" s="1008"/>
      <c r="KF411" s="1007"/>
      <c r="KG411" s="1008"/>
      <c r="KH411" s="1007"/>
      <c r="KI411" s="1008"/>
      <c r="KJ411" s="1007"/>
      <c r="KK411" s="1008"/>
      <c r="KL411" s="1007"/>
      <c r="KM411" s="1008"/>
      <c r="KN411" s="1007"/>
      <c r="KO411" s="1008"/>
      <c r="KP411" s="1007"/>
      <c r="KQ411" s="1008"/>
      <c r="KR411" s="1007"/>
      <c r="KS411" s="1008"/>
      <c r="KT411" s="1007"/>
      <c r="KU411" s="1008"/>
      <c r="KV411" s="1007"/>
      <c r="KW411" s="1008"/>
      <c r="KX411" s="1007"/>
      <c r="KY411" s="1008"/>
      <c r="KZ411" s="1007"/>
      <c r="LA411" s="1008"/>
      <c r="LB411" s="1007"/>
      <c r="LC411" s="1008"/>
      <c r="LD411" s="1007"/>
      <c r="LE411" s="1008"/>
      <c r="LF411" s="1007"/>
      <c r="LG411" s="1008"/>
      <c r="LH411" s="1007"/>
      <c r="LI411" s="1008"/>
      <c r="LJ411" s="1007"/>
      <c r="LK411" s="1008"/>
      <c r="LL411" s="1007"/>
      <c r="LM411" s="1008"/>
      <c r="LN411" s="1007"/>
      <c r="LO411" s="1008"/>
      <c r="LP411" s="1007"/>
      <c r="LQ411" s="1008"/>
      <c r="LR411" s="1007"/>
      <c r="LS411" s="1008"/>
      <c r="LT411" s="1007"/>
      <c r="LU411" s="1008"/>
      <c r="LV411" s="1007"/>
      <c r="LW411" s="1008"/>
      <c r="LX411" s="1007"/>
      <c r="LY411" s="1009"/>
      <c r="LZ411" s="1010"/>
      <c r="MA411" s="1011"/>
      <c r="MB411" s="1012"/>
      <c r="MC411" s="995"/>
      <c r="MD411" s="996"/>
      <c r="ME411" s="997" t="s">
        <v>202</v>
      </c>
      <c r="MF411" s="997"/>
      <c r="MG411" s="998"/>
      <c r="NR411" s="1000"/>
      <c r="NS411" s="1000"/>
      <c r="NT411" s="1001"/>
      <c r="NU411" s="1000"/>
      <c r="NV411" s="1001"/>
      <c r="NX411" s="1002"/>
      <c r="NZ411" s="1001"/>
      <c r="OA411" s="1001"/>
      <c r="OC411" s="1003"/>
      <c r="OD411" s="1003"/>
      <c r="OE411" s="1001"/>
      <c r="OF411" s="1003"/>
      <c r="OG411" s="1003"/>
      <c r="QX411" s="1000">
        <f>CN411-CA411</f>
        <v>20</v>
      </c>
      <c r="ASU411" s="999" t="s">
        <v>208</v>
      </c>
    </row>
    <row r="412" spans="1:466 1191:1191" ht="21" customHeight="1" x14ac:dyDescent="0.25">
      <c r="A412" s="982">
        <f t="shared" si="274"/>
        <v>1479</v>
      </c>
      <c r="B412" s="145">
        <f>SUBTOTAL(103,$J$29:J412)</f>
        <v>384</v>
      </c>
      <c r="C412" s="126">
        <v>45068</v>
      </c>
      <c r="D412" s="145" t="s">
        <v>176</v>
      </c>
      <c r="E412" s="128" t="s">
        <v>177</v>
      </c>
      <c r="F412" s="128" t="s">
        <v>177</v>
      </c>
      <c r="G412" s="128" t="s">
        <v>178</v>
      </c>
      <c r="H412" s="128" t="s">
        <v>179</v>
      </c>
      <c r="I412" s="128" t="s">
        <v>1581</v>
      </c>
      <c r="J412" s="152">
        <v>1479</v>
      </c>
      <c r="K412" s="127" t="s">
        <v>1581</v>
      </c>
      <c r="L412" s="135">
        <v>43948</v>
      </c>
      <c r="M412" s="128" t="s">
        <v>230</v>
      </c>
      <c r="N412" s="128" t="s">
        <v>184</v>
      </c>
      <c r="O412" s="127" t="s">
        <v>185</v>
      </c>
      <c r="P412" s="127" t="s">
        <v>292</v>
      </c>
      <c r="Q412" s="85" t="str">
        <f t="shared" si="319"/>
        <v/>
      </c>
      <c r="R412" s="130"/>
      <c r="S412" s="128"/>
      <c r="T412" s="131"/>
      <c r="U412" s="132">
        <v>203</v>
      </c>
      <c r="V412" s="121">
        <v>218.2</v>
      </c>
      <c r="W412" s="116">
        <v>0.98</v>
      </c>
      <c r="X412" s="116">
        <v>1.66</v>
      </c>
      <c r="Y412" s="116">
        <f t="shared" si="299"/>
        <v>0.98</v>
      </c>
      <c r="Z412" s="133">
        <v>1.454</v>
      </c>
      <c r="AA412" s="133">
        <v>0.83599999999999997</v>
      </c>
      <c r="AB412" s="133">
        <v>0.72</v>
      </c>
      <c r="AC412" s="121">
        <v>34.299999999999997</v>
      </c>
      <c r="AD412" s="134">
        <v>1.17</v>
      </c>
      <c r="AE412" s="145">
        <v>177.8</v>
      </c>
      <c r="AF412" s="128">
        <v>9.19</v>
      </c>
      <c r="AG412" s="128">
        <v>2387.6999999999998</v>
      </c>
      <c r="AH412" s="128">
        <v>2990</v>
      </c>
      <c r="AI412" s="128">
        <v>2985</v>
      </c>
      <c r="AJ412" s="135"/>
      <c r="AK412" s="128"/>
      <c r="AL412" s="131"/>
      <c r="AM412" s="145" t="s">
        <v>985</v>
      </c>
      <c r="AN412" s="131" t="s">
        <v>1590</v>
      </c>
      <c r="AO412" s="137">
        <v>17.45</v>
      </c>
      <c r="AP412" s="128">
        <v>2493.71</v>
      </c>
      <c r="AQ412" s="128">
        <v>570.82000000000005</v>
      </c>
      <c r="AR412" s="128" t="s">
        <v>1591</v>
      </c>
      <c r="AS412" s="128">
        <v>114</v>
      </c>
      <c r="AT412" s="122">
        <v>7.37</v>
      </c>
      <c r="AU412" s="145" t="s">
        <v>189</v>
      </c>
      <c r="AV412" s="115">
        <f>VLOOKUP(J412,'[63]ТР нефть'!$J$28:$BP$638,39,0)</f>
        <v>496.00001308600002</v>
      </c>
      <c r="AW412" s="115" t="str">
        <f>VLOOKUP(J412,'[63]ТР нефть'!$J$28:$BP$638,40,0)</f>
        <v>ГП</v>
      </c>
      <c r="AX412" s="115">
        <f>VLOOKUP(J412,'[63]ТР нефть'!$J$28:$BP$638,41,0)</f>
        <v>1005.9999902340001</v>
      </c>
      <c r="AY412" s="115" t="str">
        <f>VLOOKUP(J412,'[63]ТР нефть'!$J$28:$BP$638,42,0)</f>
        <v>ГП</v>
      </c>
      <c r="AZ412" s="115">
        <f>VLOOKUP(J412,'[63]ТР нефть'!$J$28:$BP$638,43,0)</f>
        <v>1461.9999890629999</v>
      </c>
      <c r="BA412" s="115" t="str">
        <f>VLOOKUP(J412,'[63]ТР нефть'!$J$28:$BP$638,44,0)</f>
        <v>ГК74 1/8</v>
      </c>
      <c r="BB412" s="115">
        <f>VLOOKUP(J412,'[63]ТР нефть'!$J$28:$BP$638,45,0)</f>
        <v>1731.9999550780001</v>
      </c>
      <c r="BC412" s="115" t="str">
        <f>VLOOKUP(J412,'[63]ТР нефть'!$J$28:$BP$638,46,0)</f>
        <v>ГК73 5/32</v>
      </c>
      <c r="BD412" s="115">
        <f>VLOOKUP(J412,'[63]ТР нефть'!$J$28:$BP$638,47,0)</f>
        <v>2010.000028125</v>
      </c>
      <c r="BE412" s="115" t="str">
        <f>VLOOKUP(J412,'[63]ТР нефть'!$J$28:$BP$638,48,0)</f>
        <v>ЦКсОК 5/16</v>
      </c>
      <c r="BF412" s="115" t="str">
        <f>VLOOKUP(J412,'[63]ТР нефть'!$J$28:$BP$638,49,0)</f>
        <v>-</v>
      </c>
      <c r="BG412" s="115" t="str">
        <f>VLOOKUP(J412,'[63]ТР нефть'!$J$28:$BP$638,50,0)</f>
        <v>-</v>
      </c>
      <c r="BH412" s="115" t="str">
        <f>VLOOKUP(J412,'[63]ТР нефть'!$J$28:$BP$638,51,0)</f>
        <v>-</v>
      </c>
      <c r="BI412" s="115" t="str">
        <f>VLOOKUP(J412,'[63]ТР нефть'!$J$28:$BP$638,52,0)</f>
        <v>-</v>
      </c>
      <c r="BJ412" s="115" t="str">
        <f>IF(IFERROR(VLOOKUP(J412,'[63]ТР нефть'!$J$28:$BP$638,53,0),"-")=0,"-",IFERROR(VLOOKUP(J412,'[63]ТР нефть'!$J$28:$BP$638,53,0),"-"))</f>
        <v>-</v>
      </c>
      <c r="BK412" s="115" t="str">
        <f>IF(IFERROR(VLOOKUP(J412,'[63]ТР нефть'!$J$28:$BP$638,54,0),"-")=0,"-",IFERROR(VLOOKUP(J412,'[63]ТР нефть'!$J$28:$BP$638,54,0),"-"))</f>
        <v>-</v>
      </c>
      <c r="BL412" s="115" t="str">
        <f>IF(IFERROR(VLOOKUP(J412,'[63]ТР нефть'!$J$28:$BP$638,55,0),"-")=0,"-",IFERROR(VLOOKUP(J412,'[63]ТР нефть'!$J$28:$BP$638,55,0),"-"))</f>
        <v>-</v>
      </c>
      <c r="BM412" s="115" t="str">
        <f>IF(IFERROR(VLOOKUP(J412,'[63]ТР нефть'!$J$28:$BP$638,56,0),"-")=0,"-",IFERROR(VLOOKUP(J412,'[63]ТР нефть'!$J$28:$BP$638,56,0),"-"))</f>
        <v>-</v>
      </c>
      <c r="BN412" s="115" t="str">
        <f>IF(IFERROR(VLOOKUP(J412,'[63]ТР нефть'!$J$28:$BP$638,57,0),"-")=0,"-",IFERROR(VLOOKUP(J412,'[63]ТР нефть'!$J$28:$BP$638,57,0),"-"))</f>
        <v>-</v>
      </c>
      <c r="BO412" s="115" t="str">
        <f>IF(IFERROR(VLOOKUP(J412,'[63]ТР нефть'!$J$28:$BP$638,58,0),"-")=0,"-",IFERROR(VLOOKUP(J412,'[63]ТР нефть'!$J$28:$BP$638,58,0),"-"))</f>
        <v>-</v>
      </c>
      <c r="BP412" s="115" t="str">
        <f>IF(IFERROR(VLOOKUP(J412,'[63]ТР нефть'!$J$28:$BP$638,59,0),"-")=0,"-",IFERROR(VLOOKUP(J412,'[63]ТР нефть'!$J$28:$BP$638,59,0),"-"))</f>
        <v>-</v>
      </c>
      <c r="BQ412" s="115">
        <v>2297</v>
      </c>
      <c r="BR412" s="128">
        <v>1816.41</v>
      </c>
      <c r="BS412" s="115">
        <f t="shared" si="307"/>
        <v>480.58999999999992</v>
      </c>
      <c r="BT412" s="128">
        <v>73</v>
      </c>
      <c r="BU412" s="128">
        <v>5.5</v>
      </c>
      <c r="BV412" s="128">
        <v>18</v>
      </c>
      <c r="BW412" s="127" t="s">
        <v>217</v>
      </c>
      <c r="BX412" s="127" t="s">
        <v>195</v>
      </c>
      <c r="BY412" s="139">
        <v>24</v>
      </c>
      <c r="BZ412" s="139">
        <v>0</v>
      </c>
      <c r="CA412" s="115">
        <v>25</v>
      </c>
      <c r="CB412" s="115">
        <v>55</v>
      </c>
      <c r="CC412" s="115">
        <v>24</v>
      </c>
      <c r="CD412" s="135">
        <v>45017</v>
      </c>
      <c r="CE412" s="115">
        <v>133</v>
      </c>
      <c r="CF412" s="115">
        <v>73</v>
      </c>
      <c r="CG412" s="115" t="str">
        <f t="shared" si="310"/>
        <v/>
      </c>
      <c r="CH412" s="115" t="s">
        <v>197</v>
      </c>
      <c r="CI412" s="128"/>
      <c r="CJ412" s="115"/>
      <c r="CK412" s="115">
        <f t="shared" si="308"/>
        <v>37</v>
      </c>
      <c r="CL412" s="99"/>
      <c r="CM412" s="99"/>
      <c r="CN412" s="156">
        <v>62</v>
      </c>
      <c r="CO412" s="141">
        <f t="shared" si="276"/>
        <v>11.46992</v>
      </c>
      <c r="CP412" s="142">
        <v>13.72</v>
      </c>
      <c r="CQ412" s="143">
        <v>0</v>
      </c>
      <c r="CR412" s="138">
        <v>13</v>
      </c>
      <c r="CS412" s="139">
        <v>10.5</v>
      </c>
      <c r="CT412" s="138"/>
      <c r="CU412" s="138">
        <f t="shared" si="320"/>
        <v>2.5</v>
      </c>
      <c r="CV412" s="115">
        <f t="shared" si="321"/>
        <v>217.96141559836511</v>
      </c>
      <c r="CW412" s="115">
        <f t="shared" si="279"/>
        <v>915.43794551313351</v>
      </c>
      <c r="CX412" s="133">
        <f t="shared" si="322"/>
        <v>0.19323943661971832</v>
      </c>
      <c r="CY412" s="116"/>
      <c r="CZ412" s="131"/>
      <c r="DA412" s="145" t="str">
        <f t="shared" si="281"/>
        <v>Газлифт</v>
      </c>
      <c r="DB412" s="146">
        <f t="shared" si="282"/>
        <v>11.46992</v>
      </c>
      <c r="DC412" s="142">
        <f t="shared" si="302"/>
        <v>13.72</v>
      </c>
      <c r="DD412" s="119">
        <f t="shared" si="303"/>
        <v>0</v>
      </c>
      <c r="DE412" s="115">
        <f t="shared" si="283"/>
        <v>2.5</v>
      </c>
      <c r="DF412" s="121">
        <f t="shared" si="284"/>
        <v>10.5</v>
      </c>
      <c r="DG412" s="115">
        <f t="shared" si="285"/>
        <v>217.96141559836511</v>
      </c>
      <c r="DH412" s="115">
        <f t="shared" si="286"/>
        <v>62</v>
      </c>
      <c r="DI412" s="147"/>
      <c r="DJ412" s="111"/>
      <c r="DK412" s="112">
        <v>43948</v>
      </c>
      <c r="DL412" s="113">
        <f t="shared" ca="1" si="312"/>
        <v>1156</v>
      </c>
      <c r="DM412" s="114"/>
      <c r="DN412" s="114"/>
      <c r="DO412" s="114"/>
      <c r="DP412" s="114"/>
      <c r="DQ412" s="112"/>
      <c r="DR412" s="114"/>
      <c r="DS412" s="114"/>
      <c r="DT412" s="115">
        <v>60</v>
      </c>
      <c r="DU412" s="116">
        <f t="shared" si="313"/>
        <v>0.19154621044999462</v>
      </c>
      <c r="DV412" s="117">
        <f t="shared" si="314"/>
        <v>11.689682131342272</v>
      </c>
      <c r="DW412" s="118">
        <f t="shared" si="315"/>
        <v>13.982873362849608</v>
      </c>
      <c r="DX412" s="119">
        <f t="shared" si="287"/>
        <v>0</v>
      </c>
      <c r="DY412" s="115">
        <f t="shared" si="316"/>
        <v>2.5478996652422752</v>
      </c>
      <c r="DZ412" s="117">
        <f t="shared" si="317"/>
        <v>0.21976213134227152</v>
      </c>
      <c r="EA412" s="120">
        <f t="shared" si="317"/>
        <v>0.26287336284960716</v>
      </c>
      <c r="EB412" s="119">
        <f t="shared" si="317"/>
        <v>0</v>
      </c>
      <c r="EC412" s="121">
        <f t="shared" si="318"/>
        <v>4.789966524227518E-2</v>
      </c>
      <c r="ED412" s="122"/>
      <c r="EE412" s="145">
        <v>18</v>
      </c>
      <c r="EF412" s="115">
        <v>26</v>
      </c>
      <c r="EG412" s="115">
        <v>52</v>
      </c>
      <c r="EH412" s="115">
        <v>25</v>
      </c>
      <c r="EI412" s="128" t="s">
        <v>195</v>
      </c>
      <c r="EJ412" s="121">
        <v>24</v>
      </c>
      <c r="EK412" s="121">
        <v>0</v>
      </c>
      <c r="EL412" s="149">
        <v>9.9300079999999991</v>
      </c>
      <c r="EM412" s="142">
        <v>11.878</v>
      </c>
      <c r="EN412" s="119">
        <v>0</v>
      </c>
      <c r="EO412" s="115">
        <v>13</v>
      </c>
      <c r="EP412" s="115">
        <v>100.70485340998719</v>
      </c>
      <c r="EQ412" s="115">
        <v>72</v>
      </c>
      <c r="ER412" s="115">
        <v>12</v>
      </c>
      <c r="ES412" s="115">
        <v>62</v>
      </c>
      <c r="ET412" s="150">
        <v>0.16729577464788734</v>
      </c>
      <c r="EU412" s="145">
        <f t="shared" si="288"/>
        <v>18</v>
      </c>
      <c r="EV412" s="115">
        <f t="shared" si="289"/>
        <v>25</v>
      </c>
      <c r="EW412" s="115">
        <f t="shared" si="289"/>
        <v>55</v>
      </c>
      <c r="EX412" s="115">
        <f t="shared" si="289"/>
        <v>24</v>
      </c>
      <c r="EY412" s="115" t="str">
        <f t="shared" si="309"/>
        <v>Постоянный</v>
      </c>
      <c r="EZ412" s="115">
        <f t="shared" si="309"/>
        <v>24</v>
      </c>
      <c r="FA412" s="115">
        <f t="shared" si="309"/>
        <v>0</v>
      </c>
      <c r="FB412" s="149">
        <f t="shared" si="298"/>
        <v>11.46992</v>
      </c>
      <c r="FC412" s="142">
        <f t="shared" si="298"/>
        <v>13.72</v>
      </c>
      <c r="FD412" s="119">
        <f t="shared" si="298"/>
        <v>0</v>
      </c>
      <c r="FE412" s="121">
        <f t="shared" si="298"/>
        <v>13</v>
      </c>
      <c r="FF412" s="121">
        <f t="shared" si="300"/>
        <v>217.96141559836511</v>
      </c>
      <c r="FG412" s="121">
        <f t="shared" si="290"/>
        <v>73</v>
      </c>
      <c r="FH412" s="121">
        <f t="shared" si="301"/>
        <v>10.5</v>
      </c>
      <c r="FI412" s="121">
        <f t="shared" si="306"/>
        <v>62</v>
      </c>
      <c r="FJ412" s="144">
        <f t="shared" si="291"/>
        <v>0.19323943661971832</v>
      </c>
      <c r="FK412" s="132">
        <f t="shared" si="292"/>
        <v>0</v>
      </c>
      <c r="FL412" s="115">
        <f t="shared" si="292"/>
        <v>-1</v>
      </c>
      <c r="FM412" s="115">
        <f t="shared" si="292"/>
        <v>3</v>
      </c>
      <c r="FN412" s="115">
        <f t="shared" si="292"/>
        <v>-1</v>
      </c>
      <c r="FO412" s="115">
        <f t="shared" si="311"/>
        <v>0</v>
      </c>
      <c r="FP412" s="115">
        <f t="shared" si="311"/>
        <v>0</v>
      </c>
      <c r="FQ412" s="149">
        <f t="shared" si="311"/>
        <v>1.5399120000000011</v>
      </c>
      <c r="FR412" s="142">
        <f t="shared" si="311"/>
        <v>1.8420000000000005</v>
      </c>
      <c r="FS412" s="119">
        <f t="shared" si="311"/>
        <v>0</v>
      </c>
      <c r="FT412" s="121">
        <f t="shared" si="311"/>
        <v>0</v>
      </c>
      <c r="FU412" s="121">
        <f t="shared" si="293"/>
        <v>1</v>
      </c>
      <c r="FV412" s="121">
        <f t="shared" si="293"/>
        <v>-1.5</v>
      </c>
      <c r="FW412" s="121">
        <f t="shared" si="294"/>
        <v>117.25656218837791</v>
      </c>
      <c r="FX412" s="121">
        <f t="shared" si="295"/>
        <v>0</v>
      </c>
      <c r="FY412" s="144">
        <f t="shared" si="295"/>
        <v>2.5943661971830984E-2</v>
      </c>
      <c r="FZ412" s="145" t="s">
        <v>199</v>
      </c>
      <c r="GA412" s="151" t="s">
        <v>200</v>
      </c>
      <c r="GB412" s="145" t="s">
        <v>199</v>
      </c>
      <c r="GC412" s="151" t="s">
        <v>415</v>
      </c>
      <c r="GD412" s="997" t="s">
        <v>202</v>
      </c>
      <c r="GE412" s="1004" t="s">
        <v>199</v>
      </c>
      <c r="GF412" s="1004">
        <v>-3.278792000000001</v>
      </c>
      <c r="GG412" s="1004"/>
      <c r="GH412" s="1004">
        <v>0</v>
      </c>
      <c r="GI412" s="145" t="s">
        <v>199</v>
      </c>
      <c r="GJ412" s="996">
        <v>-1.4769110399999992</v>
      </c>
      <c r="GK412" s="145" t="s">
        <v>199</v>
      </c>
      <c r="GL412" s="996">
        <v>1.168928639999999</v>
      </c>
      <c r="GM412" s="1005" t="s">
        <v>221</v>
      </c>
      <c r="GN412" s="996">
        <v>9.3066178480000019</v>
      </c>
      <c r="GO412" s="1006"/>
      <c r="GP412" s="996">
        <v>0</v>
      </c>
      <c r="GQ412" s="1006"/>
      <c r="GR412" s="996">
        <v>0</v>
      </c>
      <c r="GS412" s="1006"/>
      <c r="GT412" s="996">
        <v>-1.0248824960000009</v>
      </c>
      <c r="GU412" s="1006" t="s">
        <v>308</v>
      </c>
      <c r="GV412" s="996">
        <v>5.2350470480000002</v>
      </c>
      <c r="GW412" s="1006"/>
      <c r="GX412" s="996">
        <v>-4.7392839999999996</v>
      </c>
      <c r="GY412" s="1006"/>
      <c r="GZ412" s="996">
        <v>0</v>
      </c>
      <c r="HA412" s="1006"/>
      <c r="HB412" s="996">
        <v>0</v>
      </c>
      <c r="HC412" s="1006"/>
      <c r="HD412" s="996">
        <v>0</v>
      </c>
      <c r="HE412" s="1006"/>
      <c r="HF412" s="996">
        <v>0</v>
      </c>
      <c r="HG412" s="1006"/>
      <c r="HH412" s="996">
        <v>0</v>
      </c>
      <c r="HI412" s="1006"/>
      <c r="HJ412" s="996">
        <v>0</v>
      </c>
      <c r="HK412" s="1006" t="s">
        <v>199</v>
      </c>
      <c r="HL412" s="996">
        <v>-3.6039960000000004</v>
      </c>
      <c r="HM412" s="1006" t="s">
        <v>199</v>
      </c>
      <c r="HN412" s="996">
        <v>-4.9491199999999989</v>
      </c>
      <c r="HO412" s="1006" t="s">
        <v>199</v>
      </c>
      <c r="HP412" s="996">
        <v>1.5895703999999995</v>
      </c>
      <c r="HQ412" s="1006" t="s">
        <v>199</v>
      </c>
      <c r="HR412" s="996">
        <v>-1.6049594880000004</v>
      </c>
      <c r="HS412" s="1006"/>
      <c r="HT412" s="996">
        <v>0</v>
      </c>
      <c r="HU412" s="1006"/>
      <c r="HV412" s="996">
        <v>0.1839016080000011</v>
      </c>
      <c r="HW412" s="1006"/>
      <c r="HX412" s="996">
        <v>0</v>
      </c>
      <c r="HY412" s="1006" t="s">
        <v>199</v>
      </c>
      <c r="HZ412" s="996">
        <v>9.4015517507999995</v>
      </c>
      <c r="IA412" s="1006" t="s">
        <v>199</v>
      </c>
      <c r="IB412" s="996">
        <v>-9.6536642708000002</v>
      </c>
      <c r="IC412" s="1006"/>
      <c r="ID412" s="996">
        <v>0</v>
      </c>
      <c r="IE412" s="1006"/>
      <c r="IF412" s="996">
        <v>0</v>
      </c>
      <c r="IG412" s="1006"/>
      <c r="IH412" s="996">
        <v>0</v>
      </c>
      <c r="II412" s="1006" t="s">
        <v>199</v>
      </c>
      <c r="IJ412" s="996">
        <v>-4.1800000000000015</v>
      </c>
      <c r="IK412" s="1006"/>
      <c r="IL412" s="996">
        <v>0</v>
      </c>
      <c r="IM412" s="1006" t="s">
        <v>199</v>
      </c>
      <c r="IN412" s="996">
        <v>-2.9259999999999984</v>
      </c>
      <c r="IO412" s="1006" t="s">
        <v>199</v>
      </c>
      <c r="IP412" s="996">
        <v>-2.9259999999999984</v>
      </c>
      <c r="IQ412" s="1006" t="s">
        <v>203</v>
      </c>
      <c r="IR412" s="996">
        <v>-6.5626000000000033</v>
      </c>
      <c r="IS412" s="1006" t="s">
        <v>203</v>
      </c>
      <c r="IT412" s="996">
        <v>-4.3053999999999952</v>
      </c>
      <c r="IU412" s="1006" t="s">
        <v>203</v>
      </c>
      <c r="IV412" s="996">
        <v>-9.1960000000000051</v>
      </c>
      <c r="IW412" s="1006" t="s">
        <v>199</v>
      </c>
      <c r="IX412" s="996">
        <v>21.577160000000003</v>
      </c>
      <c r="IY412" s="1006"/>
      <c r="IZ412" s="996">
        <v>0</v>
      </c>
      <c r="JA412" s="1006"/>
      <c r="JB412" s="996">
        <v>0</v>
      </c>
      <c r="JC412" s="1006"/>
      <c r="JD412" s="996"/>
      <c r="JE412" s="1006"/>
      <c r="JF412" s="996"/>
      <c r="JG412" s="1006"/>
      <c r="JH412" s="996"/>
      <c r="JI412" s="1006"/>
      <c r="JJ412" s="996"/>
      <c r="JK412" s="1007"/>
      <c r="JL412" s="1007"/>
      <c r="JM412" s="1007"/>
      <c r="JN412" s="1007"/>
      <c r="JO412" s="1008"/>
      <c r="JP412" s="1007"/>
      <c r="JQ412" s="1008"/>
      <c r="JR412" s="1007"/>
      <c r="JS412" s="1008"/>
      <c r="JT412" s="1007"/>
      <c r="JU412" s="1008"/>
      <c r="JV412" s="1007"/>
      <c r="JW412" s="1008"/>
      <c r="JX412" s="1007"/>
      <c r="JY412" s="1008"/>
      <c r="JZ412" s="1007"/>
      <c r="KA412" s="1008"/>
      <c r="KB412" s="1007"/>
      <c r="KC412" s="1008"/>
      <c r="KD412" s="1007"/>
      <c r="KE412" s="1008"/>
      <c r="KF412" s="1007"/>
      <c r="KG412" s="1008"/>
      <c r="KH412" s="1007"/>
      <c r="KI412" s="1008"/>
      <c r="KJ412" s="1007"/>
      <c r="KK412" s="1008"/>
      <c r="KL412" s="1007"/>
      <c r="KM412" s="1008"/>
      <c r="KN412" s="1007"/>
      <c r="KO412" s="1008"/>
      <c r="KP412" s="1007"/>
      <c r="KQ412" s="1008"/>
      <c r="KR412" s="1007"/>
      <c r="KS412" s="1008"/>
      <c r="KT412" s="1007"/>
      <c r="KU412" s="1008"/>
      <c r="KV412" s="1007"/>
      <c r="KW412" s="1008"/>
      <c r="KX412" s="1007"/>
      <c r="KY412" s="1008"/>
      <c r="KZ412" s="1007"/>
      <c r="LA412" s="1008"/>
      <c r="LB412" s="1007"/>
      <c r="LC412" s="1008"/>
      <c r="LD412" s="1007"/>
      <c r="LE412" s="1008"/>
      <c r="LF412" s="1007"/>
      <c r="LG412" s="1008"/>
      <c r="LH412" s="1007"/>
      <c r="LI412" s="1008"/>
      <c r="LJ412" s="1007"/>
      <c r="LK412" s="1008"/>
      <c r="LL412" s="1007"/>
      <c r="LM412" s="1008"/>
      <c r="LN412" s="1007"/>
      <c r="LO412" s="1008"/>
      <c r="LP412" s="1007"/>
      <c r="LQ412" s="1008"/>
      <c r="LR412" s="1007"/>
      <c r="LS412" s="1008"/>
      <c r="LT412" s="1007"/>
      <c r="LU412" s="1008"/>
      <c r="LV412" s="1007"/>
      <c r="LW412" s="1008"/>
      <c r="LX412" s="1007"/>
      <c r="LY412" s="1009"/>
      <c r="LZ412" s="1010"/>
      <c r="MA412" s="1011"/>
      <c r="MB412" s="1012"/>
      <c r="MC412" s="995"/>
      <c r="MD412" s="996"/>
      <c r="ME412" s="997" t="s">
        <v>202</v>
      </c>
      <c r="MF412" s="997"/>
      <c r="MG412" s="998"/>
      <c r="NR412" s="1000"/>
      <c r="NS412" s="1000"/>
      <c r="NT412" s="1001"/>
      <c r="NU412" s="1000"/>
      <c r="NV412" s="1001"/>
      <c r="NX412" s="1002"/>
      <c r="NZ412" s="1001"/>
      <c r="OA412" s="1001"/>
      <c r="OC412" s="1003"/>
      <c r="OD412" s="1003"/>
      <c r="OE412" s="1001"/>
      <c r="OF412" s="1003"/>
      <c r="OG412" s="1003"/>
      <c r="QX412" s="1000">
        <f>CN412-CA412</f>
        <v>37</v>
      </c>
      <c r="ASU412" s="999" t="s">
        <v>455</v>
      </c>
    </row>
    <row r="413" spans="1:466 1191:1191" ht="21" customHeight="1" x14ac:dyDescent="0.25">
      <c r="A413" s="982" t="str">
        <f t="shared" ref="A413:A476" si="323">$J413</f>
        <v>1480-1</v>
      </c>
      <c r="B413" s="124">
        <f>SUBTOTAL(103,$J$29:J413)</f>
        <v>385</v>
      </c>
      <c r="C413" s="126">
        <v>45068</v>
      </c>
      <c r="D413" s="124" t="s">
        <v>176</v>
      </c>
      <c r="E413" s="127" t="s">
        <v>177</v>
      </c>
      <c r="F413" s="128" t="s">
        <v>177</v>
      </c>
      <c r="G413" s="127" t="s">
        <v>178</v>
      </c>
      <c r="H413" s="127" t="s">
        <v>408</v>
      </c>
      <c r="I413" s="127" t="s">
        <v>1410</v>
      </c>
      <c r="J413" s="152" t="s">
        <v>1592</v>
      </c>
      <c r="K413" s="127" t="s">
        <v>1510</v>
      </c>
      <c r="L413" s="130">
        <v>44122</v>
      </c>
      <c r="M413" s="127" t="s">
        <v>230</v>
      </c>
      <c r="N413" s="127" t="s">
        <v>231</v>
      </c>
      <c r="O413" s="127" t="s">
        <v>608</v>
      </c>
      <c r="P413" s="127" t="s">
        <v>292</v>
      </c>
      <c r="Q413" s="85" t="str">
        <f t="shared" si="319"/>
        <v/>
      </c>
      <c r="R413" s="130"/>
      <c r="S413" s="128"/>
      <c r="T413" s="131"/>
      <c r="U413" s="132">
        <v>203</v>
      </c>
      <c r="V413" s="121">
        <v>218.2</v>
      </c>
      <c r="W413" s="116">
        <v>0.98</v>
      </c>
      <c r="X413" s="116">
        <v>1.66</v>
      </c>
      <c r="Y413" s="116">
        <f t="shared" si="299"/>
        <v>1.3952211873273985</v>
      </c>
      <c r="Z413" s="133">
        <v>1.454</v>
      </c>
      <c r="AA413" s="133">
        <v>0.83599999999999997</v>
      </c>
      <c r="AB413" s="133">
        <v>0.72</v>
      </c>
      <c r="AC413" s="121">
        <v>34.299999999999997</v>
      </c>
      <c r="AD413" s="134">
        <v>1.17</v>
      </c>
      <c r="AE413" s="124">
        <v>177.8</v>
      </c>
      <c r="AF413" s="128">
        <v>9.19</v>
      </c>
      <c r="AG413" s="128">
        <v>2320</v>
      </c>
      <c r="AH413" s="127">
        <v>3005</v>
      </c>
      <c r="AI413" s="127">
        <v>3005</v>
      </c>
      <c r="AJ413" s="135"/>
      <c r="AK413" s="128"/>
      <c r="AL413" s="131"/>
      <c r="AM413" s="124" t="s">
        <v>232</v>
      </c>
      <c r="AN413" s="136" t="s">
        <v>1593</v>
      </c>
      <c r="AO413" s="137">
        <v>123.8</v>
      </c>
      <c r="AP413" s="128">
        <v>1788.2</v>
      </c>
      <c r="AQ413" s="128">
        <v>554.79999999999995</v>
      </c>
      <c r="AR413" s="128"/>
      <c r="AS413" s="128"/>
      <c r="AT413" s="122"/>
      <c r="AU413" s="124" t="s">
        <v>189</v>
      </c>
      <c r="AV413" s="115">
        <f>VLOOKUP(J413,'[63]ТР нефть'!$J$28:$BP$638,39,0)</f>
        <v>519.99999931599996</v>
      </c>
      <c r="AW413" s="115" t="str">
        <f>VLOOKUP(J413,'[63]ТР нефть'!$J$28:$BP$638,40,0)</f>
        <v>ГП</v>
      </c>
      <c r="AX413" s="115">
        <f>VLOOKUP(J413,'[63]ТР нефть'!$J$28:$BP$638,41,0)</f>
        <v>1039.9999986329999</v>
      </c>
      <c r="AY413" s="115" t="str">
        <f>VLOOKUP(J413,'[63]ТР нефть'!$J$28:$BP$638,42,0)</f>
        <v>ГК83 1/8</v>
      </c>
      <c r="AZ413" s="115">
        <f>VLOOKUP(J413,'[63]ТР нефть'!$J$28:$BP$638,43,0)</f>
        <v>1480.000006641</v>
      </c>
      <c r="BA413" s="115" t="str">
        <f>VLOOKUP(J413,'[63]ТР нефть'!$J$28:$BP$638,44,0)</f>
        <v>ГК82 1/8</v>
      </c>
      <c r="BB413" s="115">
        <f>VLOOKUP(J413,'[63]ТР нефть'!$J$28:$BP$638,45,0)</f>
        <v>1770.0000914059999</v>
      </c>
      <c r="BC413" s="115" t="str">
        <f>VLOOKUP(J413,'[63]ТР нефть'!$J$28:$BP$638,46,0)</f>
        <v>ГК 82 5/32</v>
      </c>
      <c r="BD413" s="115">
        <f>VLOOKUP(J413,'[63]ТР нефть'!$J$28:$BP$638,47,0)</f>
        <v>2050.0001167969999</v>
      </c>
      <c r="BE413" s="115" t="str">
        <f>VLOOKUP(J413,'[63]ТР нефть'!$J$28:$BP$638,48,0)</f>
        <v>ГК 81 5/32</v>
      </c>
      <c r="BF413" s="115" t="str">
        <f>VLOOKUP(J413,'[63]ТР нефть'!$J$28:$BP$638,49,0)</f>
        <v>-</v>
      </c>
      <c r="BG413" s="115" t="str">
        <f>VLOOKUP(J413,'[63]ТР нефть'!$J$28:$BP$638,50,0)</f>
        <v>-</v>
      </c>
      <c r="BH413" s="115" t="str">
        <f>VLOOKUP(J413,'[63]ТР нефть'!$J$28:$BP$638,51,0)</f>
        <v>-</v>
      </c>
      <c r="BI413" s="115" t="str">
        <f>VLOOKUP(J413,'[63]ТР нефть'!$J$28:$BP$638,52,0)</f>
        <v>-</v>
      </c>
      <c r="BJ413" s="115" t="str">
        <f>IF(IFERROR(VLOOKUP(J413,'[63]ТР нефть'!$J$28:$BP$638,53,0),"-")=0,"-",IFERROR(VLOOKUP(J413,'[63]ТР нефть'!$J$28:$BP$638,53,0),"-"))</f>
        <v>-</v>
      </c>
      <c r="BK413" s="138" t="str">
        <f>IF(IFERROR(VLOOKUP(J413,'[63]ТР нефть'!$J$28:$BP$638,54,0),"-")=0,"-",IFERROR(VLOOKUP(J413,'[63]ТР нефть'!$J$28:$BP$638,54,0),"-"))</f>
        <v>-</v>
      </c>
      <c r="BL413" s="138" t="str">
        <f>IF(IFERROR(VLOOKUP(J413,'[63]ТР нефть'!$J$28:$BP$638,55,0),"-")=0,"-",IFERROR(VLOOKUP(J413,'[63]ТР нефть'!$J$28:$BP$638,55,0),"-"))</f>
        <v>-</v>
      </c>
      <c r="BM413" s="138" t="str">
        <f>IF(IFERROR(VLOOKUP(J413,'[63]ТР нефть'!$J$28:$BP$638,56,0),"-")=0,"-",IFERROR(VLOOKUP(J413,'[63]ТР нефть'!$J$28:$BP$638,56,0),"-"))</f>
        <v>-</v>
      </c>
      <c r="BN413" s="138" t="str">
        <f>IF(IFERROR(VLOOKUP(J413,'[63]ТР нефть'!$J$28:$BP$638,57,0),"-")=0,"-",IFERROR(VLOOKUP(J413,'[63]ТР нефть'!$J$28:$BP$638,57,0),"-"))</f>
        <v>-</v>
      </c>
      <c r="BO413" s="115" t="str">
        <f>IF(IFERROR(VLOOKUP(J413,'[63]ТР нефть'!$J$28:$BP$638,58,0),"-")=0,"-",IFERROR(VLOOKUP(J413,'[63]ТР нефть'!$J$28:$BP$638,58,0),"-"))</f>
        <v>-</v>
      </c>
      <c r="BP413" s="115" t="str">
        <f>IF(IFERROR(VLOOKUP(J413,'[63]ТР нефть'!$J$28:$BP$638,59,0),"-")=0,"-",IFERROR(VLOOKUP(J413,'[63]ТР нефть'!$J$28:$BP$638,59,0),"-"))</f>
        <v>-</v>
      </c>
      <c r="BQ413" s="138">
        <v>2020</v>
      </c>
      <c r="BR413" s="128">
        <v>1902.49</v>
      </c>
      <c r="BS413" s="115">
        <f t="shared" si="307"/>
        <v>117.50999999999999</v>
      </c>
      <c r="BT413" s="128">
        <v>73</v>
      </c>
      <c r="BU413" s="128">
        <v>5.5</v>
      </c>
      <c r="BV413" s="127">
        <v>12</v>
      </c>
      <c r="BW413" s="127" t="s">
        <v>217</v>
      </c>
      <c r="BX413" s="127" t="s">
        <v>218</v>
      </c>
      <c r="BY413" s="139">
        <v>24</v>
      </c>
      <c r="BZ413" s="139">
        <v>24</v>
      </c>
      <c r="CA413" s="138">
        <v>24</v>
      </c>
      <c r="CB413" s="138">
        <v>67</v>
      </c>
      <c r="CC413" s="138">
        <v>21</v>
      </c>
      <c r="CD413" s="135">
        <v>45017</v>
      </c>
      <c r="CE413" s="138">
        <v>144.4</v>
      </c>
      <c r="CF413" s="138">
        <v>78</v>
      </c>
      <c r="CG413" s="138" t="str">
        <f t="shared" si="310"/>
        <v>В работе</v>
      </c>
      <c r="CH413" s="138" t="s">
        <v>235</v>
      </c>
      <c r="CI413" s="127">
        <v>6</v>
      </c>
      <c r="CJ413" s="138"/>
      <c r="CK413" s="138"/>
      <c r="CL413" s="99"/>
      <c r="CM413" s="99"/>
      <c r="CN413" s="140">
        <v>128</v>
      </c>
      <c r="CO413" s="141">
        <f t="shared" ref="CO413:CO476" si="324">CP413*(1-CQ413/100)*0.836</f>
        <v>1.3718759999999999</v>
      </c>
      <c r="CP413" s="142">
        <v>6</v>
      </c>
      <c r="CQ413" s="143">
        <v>72.650000000000006</v>
      </c>
      <c r="CR413" s="138">
        <v>13.6</v>
      </c>
      <c r="CS413" s="139">
        <v>10</v>
      </c>
      <c r="CT413" s="138"/>
      <c r="CU413" s="138">
        <f t="shared" si="320"/>
        <v>3.5999999999999996</v>
      </c>
      <c r="CV413" s="115">
        <f t="shared" si="321"/>
        <v>2624.1438730614136</v>
      </c>
      <c r="CW413" s="115">
        <f t="shared" ref="CW413:CW476" si="325">IF(CP413&lt;&gt;0,IF(AU413=$AU$29,CS413/(CO413+(CP413-CO413/0.836)*1.158)*1000,""),"")</f>
        <v>1557.7299388528693</v>
      </c>
      <c r="CX413" s="133">
        <f t="shared" si="322"/>
        <v>0.36585365853658525</v>
      </c>
      <c r="CY413" s="116"/>
      <c r="CZ413" s="131"/>
      <c r="DA413" s="145" t="str">
        <f t="shared" ref="DA413:DA476" si="326">AU413</f>
        <v>Газлифт</v>
      </c>
      <c r="DB413" s="146">
        <f t="shared" ref="DB413:DB415" si="327">IFERROR(DC413*(1-DD413/100)*$AA413,"-")</f>
        <v>1.3718759999999999</v>
      </c>
      <c r="DC413" s="142">
        <f t="shared" si="302"/>
        <v>6</v>
      </c>
      <c r="DD413" s="119">
        <f t="shared" si="303"/>
        <v>72.650000000000006</v>
      </c>
      <c r="DE413" s="115">
        <f t="shared" si="283"/>
        <v>3.5999999999999996</v>
      </c>
      <c r="DF413" s="121">
        <f t="shared" ref="DF413:DF476" si="328">CS413</f>
        <v>10</v>
      </c>
      <c r="DG413" s="115">
        <f t="shared" ref="DG413:DG476" si="329">CV413</f>
        <v>2624.1438730614136</v>
      </c>
      <c r="DH413" s="115">
        <f t="shared" ref="DH413:DH476" si="330">CN413</f>
        <v>128</v>
      </c>
      <c r="DI413" s="147"/>
      <c r="DJ413" s="111"/>
      <c r="DK413" s="112">
        <v>44122</v>
      </c>
      <c r="DL413" s="113">
        <f t="shared" ca="1" si="312"/>
        <v>982</v>
      </c>
      <c r="DM413" s="114"/>
      <c r="DN413" s="114"/>
      <c r="DO413" s="114"/>
      <c r="DP413" s="114"/>
      <c r="DQ413" s="112"/>
      <c r="DR413" s="114"/>
      <c r="DS413" s="114"/>
      <c r="DT413" s="115">
        <v>60</v>
      </c>
      <c r="DU413" s="116">
        <f t="shared" si="313"/>
        <v>0.28521168518006079</v>
      </c>
      <c r="DV413" s="117">
        <f t="shared" si="314"/>
        <v>5.5039359258410059</v>
      </c>
      <c r="DW413" s="118">
        <f t="shared" si="315"/>
        <v>24.071866229197131</v>
      </c>
      <c r="DX413" s="119">
        <f t="shared" ref="DX413:DX476" si="331">CQ413</f>
        <v>72.650000000000006</v>
      </c>
      <c r="DY413" s="115">
        <f t="shared" si="316"/>
        <v>14.443119737518275</v>
      </c>
      <c r="DZ413" s="117">
        <f t="shared" si="317"/>
        <v>4.1320599258410056</v>
      </c>
      <c r="EA413" s="120">
        <f t="shared" si="317"/>
        <v>18.071866229197131</v>
      </c>
      <c r="EB413" s="119">
        <f t="shared" si="317"/>
        <v>0</v>
      </c>
      <c r="EC413" s="121">
        <f t="shared" si="318"/>
        <v>10.843119737518276</v>
      </c>
      <c r="ED413" s="122"/>
      <c r="EE413" s="145">
        <v>12</v>
      </c>
      <c r="EF413" s="115">
        <v>24</v>
      </c>
      <c r="EG413" s="115">
        <v>67</v>
      </c>
      <c r="EH413" s="115">
        <v>21</v>
      </c>
      <c r="EI413" s="128" t="s">
        <v>218</v>
      </c>
      <c r="EJ413" s="121">
        <v>24</v>
      </c>
      <c r="EK413" s="121">
        <v>24</v>
      </c>
      <c r="EL413" s="149">
        <v>1.3718759999999999</v>
      </c>
      <c r="EM413" s="142">
        <v>6</v>
      </c>
      <c r="EN413" s="119">
        <v>72.650000000000006</v>
      </c>
      <c r="EO413" s="115">
        <v>13.6</v>
      </c>
      <c r="EP413" s="115">
        <v>2624.1438730614136</v>
      </c>
      <c r="EQ413" s="115">
        <v>78</v>
      </c>
      <c r="ER413" s="115">
        <v>10</v>
      </c>
      <c r="ES413" s="115">
        <v>128</v>
      </c>
      <c r="ET413" s="150">
        <v>0.36585365853658525</v>
      </c>
      <c r="EU413" s="145">
        <f t="shared" ref="EU413:EU479" si="332">BV413</f>
        <v>12</v>
      </c>
      <c r="EV413" s="115">
        <f t="shared" ref="EV413:EX476" si="333">CA413</f>
        <v>24</v>
      </c>
      <c r="EW413" s="115">
        <f t="shared" si="333"/>
        <v>67</v>
      </c>
      <c r="EX413" s="115">
        <f t="shared" si="333"/>
        <v>21</v>
      </c>
      <c r="EY413" s="115" t="str">
        <f t="shared" si="309"/>
        <v>Периодический</v>
      </c>
      <c r="EZ413" s="115">
        <f t="shared" si="309"/>
        <v>24</v>
      </c>
      <c r="FA413" s="115">
        <f t="shared" si="309"/>
        <v>24</v>
      </c>
      <c r="FB413" s="149">
        <f t="shared" si="298"/>
        <v>1.3718759999999999</v>
      </c>
      <c r="FC413" s="142">
        <f t="shared" si="298"/>
        <v>6</v>
      </c>
      <c r="FD413" s="119">
        <f t="shared" si="298"/>
        <v>72.650000000000006</v>
      </c>
      <c r="FE413" s="121">
        <f t="shared" si="298"/>
        <v>13.6</v>
      </c>
      <c r="FF413" s="121">
        <f t="shared" si="300"/>
        <v>2624.1438730614136</v>
      </c>
      <c r="FG413" s="121">
        <f t="shared" ref="FG413:FG476" si="334">CF413</f>
        <v>78</v>
      </c>
      <c r="FH413" s="121">
        <f t="shared" si="301"/>
        <v>10</v>
      </c>
      <c r="FI413" s="121">
        <f t="shared" si="306"/>
        <v>128</v>
      </c>
      <c r="FJ413" s="144">
        <f t="shared" ref="FJ413:FJ476" si="335">CX413</f>
        <v>0.36585365853658525</v>
      </c>
      <c r="FK413" s="132">
        <f t="shared" ref="FK413:FN476" si="336">EU413-EE413</f>
        <v>0</v>
      </c>
      <c r="FL413" s="115">
        <f t="shared" si="336"/>
        <v>0</v>
      </c>
      <c r="FM413" s="115">
        <f t="shared" si="336"/>
        <v>0</v>
      </c>
      <c r="FN413" s="115">
        <f t="shared" si="336"/>
        <v>0</v>
      </c>
      <c r="FO413" s="115">
        <f t="shared" si="311"/>
        <v>0</v>
      </c>
      <c r="FP413" s="115">
        <f t="shared" si="311"/>
        <v>0</v>
      </c>
      <c r="FQ413" s="149">
        <f t="shared" si="311"/>
        <v>0</v>
      </c>
      <c r="FR413" s="142">
        <f t="shared" si="311"/>
        <v>0</v>
      </c>
      <c r="FS413" s="119">
        <f t="shared" si="311"/>
        <v>0</v>
      </c>
      <c r="FT413" s="121">
        <f t="shared" si="311"/>
        <v>0</v>
      </c>
      <c r="FU413" s="121">
        <f t="shared" ref="FU413:FV476" si="337">FG413-EQ413</f>
        <v>0</v>
      </c>
      <c r="FV413" s="121">
        <f t="shared" si="337"/>
        <v>0</v>
      </c>
      <c r="FW413" s="121">
        <f t="shared" ref="FW413:FW476" si="338">FF413-EP413</f>
        <v>0</v>
      </c>
      <c r="FX413" s="121">
        <f t="shared" ref="FX413:FY476" si="339">FI413-ES413</f>
        <v>0</v>
      </c>
      <c r="FY413" s="144">
        <f t="shared" si="339"/>
        <v>0</v>
      </c>
      <c r="FZ413" s="145"/>
      <c r="GA413" s="151"/>
      <c r="GB413" s="145"/>
      <c r="GC413" s="151" t="s">
        <v>1594</v>
      </c>
      <c r="GD413" s="997" t="s">
        <v>416</v>
      </c>
      <c r="GE413" s="1004"/>
      <c r="GF413" s="1004">
        <v>0</v>
      </c>
      <c r="GG413" s="1004"/>
      <c r="GH413" s="1004">
        <v>0</v>
      </c>
      <c r="GI413" s="145"/>
      <c r="GJ413" s="996">
        <v>0</v>
      </c>
      <c r="GK413" s="145"/>
      <c r="GL413" s="996">
        <v>0</v>
      </c>
      <c r="GM413" s="1005"/>
      <c r="GN413" s="996">
        <v>0</v>
      </c>
      <c r="GO413" s="1006"/>
      <c r="GP413" s="996">
        <v>-0.36658599999999997</v>
      </c>
      <c r="GQ413" s="1006"/>
      <c r="GR413" s="996">
        <v>0</v>
      </c>
      <c r="GS413" s="1006"/>
      <c r="GT413" s="996">
        <v>0</v>
      </c>
      <c r="GU413" s="1006"/>
      <c r="GV413" s="996">
        <v>0</v>
      </c>
      <c r="GW413" s="1006"/>
      <c r="GX413" s="996">
        <v>0</v>
      </c>
      <c r="GY413" s="1006"/>
      <c r="GZ413" s="996">
        <v>0</v>
      </c>
      <c r="HA413" s="1006"/>
      <c r="HB413" s="996">
        <v>0</v>
      </c>
      <c r="HC413" s="1006"/>
      <c r="HD413" s="996">
        <v>0</v>
      </c>
      <c r="HE413" s="1006"/>
      <c r="HF413" s="996">
        <v>0</v>
      </c>
      <c r="HG413" s="1006"/>
      <c r="HH413" s="996">
        <v>0</v>
      </c>
      <c r="HI413" s="1006"/>
      <c r="HJ413" s="996">
        <v>-0.59384490880000007</v>
      </c>
      <c r="HK413" s="1006"/>
      <c r="HL413" s="996">
        <v>0</v>
      </c>
      <c r="HM413" s="1006"/>
      <c r="HN413" s="996">
        <v>0.36618772960000012</v>
      </c>
      <c r="HO413" s="1006"/>
      <c r="HP413" s="996">
        <v>0</v>
      </c>
      <c r="HQ413" s="1006" t="s">
        <v>146</v>
      </c>
      <c r="HR413" s="996">
        <v>-2.6856356208000003</v>
      </c>
      <c r="HS413" s="1006"/>
      <c r="HT413" s="996">
        <v>0</v>
      </c>
      <c r="HU413" s="1006"/>
      <c r="HV413" s="996">
        <v>0.2911540544000002</v>
      </c>
      <c r="HW413" s="1006" t="s">
        <v>25</v>
      </c>
      <c r="HX413" s="996">
        <v>1.1573664256000002</v>
      </c>
      <c r="HY413" s="1006"/>
      <c r="HZ413" s="996">
        <v>0</v>
      </c>
      <c r="IA413" s="1006"/>
      <c r="IB413" s="996">
        <v>0</v>
      </c>
      <c r="IC413" s="1006"/>
      <c r="ID413" s="996">
        <v>0</v>
      </c>
      <c r="IE413" s="1006"/>
      <c r="IF413" s="996">
        <v>0</v>
      </c>
      <c r="IG413" s="1006"/>
      <c r="IH413" s="996">
        <v>4.4416679999999875E-2</v>
      </c>
      <c r="II413" s="1006"/>
      <c r="IJ413" s="996">
        <v>0</v>
      </c>
      <c r="IK413" s="1006" t="s">
        <v>204</v>
      </c>
      <c r="IL413" s="996">
        <v>1.11371084</v>
      </c>
      <c r="IM413" s="1006" t="s">
        <v>203</v>
      </c>
      <c r="IN413" s="996">
        <v>-36.280727999999996</v>
      </c>
      <c r="IO413" s="1006" t="s">
        <v>25</v>
      </c>
      <c r="IP413" s="996">
        <v>36.999687999999999</v>
      </c>
      <c r="IQ413" s="1006"/>
      <c r="IR413" s="996">
        <v>0</v>
      </c>
      <c r="IS413" s="1006"/>
      <c r="IT413" s="996"/>
      <c r="IU413" s="1006"/>
      <c r="IV413" s="996"/>
      <c r="IW413" s="1006"/>
      <c r="IX413" s="996"/>
      <c r="IY413" s="1006"/>
      <c r="IZ413" s="996"/>
      <c r="JA413" s="1006"/>
      <c r="JB413" s="996"/>
      <c r="JC413" s="1006"/>
      <c r="JD413" s="996"/>
      <c r="JE413" s="1006"/>
      <c r="JF413" s="996"/>
      <c r="JG413" s="1006"/>
      <c r="JH413" s="996"/>
      <c r="JI413" s="1006"/>
      <c r="JJ413" s="996"/>
      <c r="JK413" s="1007"/>
      <c r="JL413" s="1007"/>
      <c r="JM413" s="1007"/>
      <c r="JN413" s="1007"/>
      <c r="JO413" s="1008"/>
      <c r="JP413" s="1007"/>
      <c r="JQ413" s="1008"/>
      <c r="JR413" s="1007"/>
      <c r="JS413" s="1008"/>
      <c r="JT413" s="1007"/>
      <c r="JU413" s="1008"/>
      <c r="JV413" s="1007"/>
      <c r="JW413" s="1008"/>
      <c r="JX413" s="1007"/>
      <c r="JY413" s="1008"/>
      <c r="JZ413" s="1007"/>
      <c r="KA413" s="1008"/>
      <c r="KB413" s="1007"/>
      <c r="KC413" s="1008"/>
      <c r="KD413" s="1007"/>
      <c r="KE413" s="1008"/>
      <c r="KF413" s="1007"/>
      <c r="KG413" s="1008"/>
      <c r="KH413" s="1007"/>
      <c r="KI413" s="1008"/>
      <c r="KJ413" s="1007"/>
      <c r="KK413" s="1008"/>
      <c r="KL413" s="1007"/>
      <c r="KM413" s="1008"/>
      <c r="KN413" s="1007"/>
      <c r="KO413" s="1008"/>
      <c r="KP413" s="1007"/>
      <c r="KQ413" s="1008"/>
      <c r="KR413" s="1007"/>
      <c r="KS413" s="1008"/>
      <c r="KT413" s="1007"/>
      <c r="KU413" s="1008"/>
      <c r="KV413" s="1007"/>
      <c r="KW413" s="1008"/>
      <c r="KX413" s="1007"/>
      <c r="KY413" s="1008"/>
      <c r="KZ413" s="1007"/>
      <c r="LA413" s="1008"/>
      <c r="LB413" s="1007"/>
      <c r="LC413" s="1008"/>
      <c r="LD413" s="1007"/>
      <c r="LE413" s="1008"/>
      <c r="LF413" s="1007"/>
      <c r="LG413" s="1008"/>
      <c r="LH413" s="1007"/>
      <c r="LI413" s="1008"/>
      <c r="LJ413" s="1007"/>
      <c r="LK413" s="1008"/>
      <c r="LL413" s="1007"/>
      <c r="LM413" s="1008"/>
      <c r="LN413" s="1007"/>
      <c r="LO413" s="1008"/>
      <c r="LP413" s="1007"/>
      <c r="LQ413" s="1008"/>
      <c r="LR413" s="1007"/>
      <c r="LS413" s="1008"/>
      <c r="LT413" s="1007"/>
      <c r="LU413" s="1008"/>
      <c r="LV413" s="1007"/>
      <c r="LW413" s="1008"/>
      <c r="LX413" s="1007"/>
      <c r="LY413" s="1009"/>
      <c r="LZ413" s="1010"/>
      <c r="MA413" s="1011"/>
      <c r="MB413" s="1012"/>
      <c r="MC413" s="995"/>
      <c r="MD413" s="996"/>
      <c r="ME413" s="997" t="s">
        <v>416</v>
      </c>
      <c r="MF413" s="997"/>
      <c r="MG413" s="998"/>
      <c r="NR413" s="1000"/>
      <c r="NS413" s="1000"/>
      <c r="NT413" s="1001"/>
      <c r="NU413" s="1000"/>
      <c r="NV413" s="1001"/>
      <c r="NX413" s="1002"/>
      <c r="NZ413" s="1001"/>
      <c r="OA413" s="1001"/>
      <c r="OC413" s="1003"/>
      <c r="OD413" s="1003"/>
      <c r="OE413" s="1001"/>
      <c r="OF413" s="1003"/>
      <c r="OG413" s="1003"/>
      <c r="QX413" s="1000">
        <f>CN413-CA413</f>
        <v>104</v>
      </c>
      <c r="ASU413" s="999" t="s">
        <v>225</v>
      </c>
    </row>
    <row r="414" spans="1:466 1191:1191" ht="21" customHeight="1" x14ac:dyDescent="0.25">
      <c r="A414" s="982">
        <f t="shared" si="323"/>
        <v>1517</v>
      </c>
      <c r="B414" s="124">
        <f>SUBTOTAL(103,$J$29:J414)</f>
        <v>386</v>
      </c>
      <c r="C414" s="126">
        <v>45068</v>
      </c>
      <c r="D414" s="124" t="s">
        <v>176</v>
      </c>
      <c r="E414" s="127" t="s">
        <v>177</v>
      </c>
      <c r="F414" s="128" t="s">
        <v>177</v>
      </c>
      <c r="G414" s="127" t="s">
        <v>178</v>
      </c>
      <c r="H414" s="127" t="s">
        <v>179</v>
      </c>
      <c r="I414" s="127" t="s">
        <v>1330</v>
      </c>
      <c r="J414" s="152">
        <v>1517</v>
      </c>
      <c r="K414" s="127" t="s">
        <v>1330</v>
      </c>
      <c r="L414" s="130">
        <v>43842</v>
      </c>
      <c r="M414" s="127" t="s">
        <v>230</v>
      </c>
      <c r="N414" s="127" t="s">
        <v>184</v>
      </c>
      <c r="O414" s="127" t="s">
        <v>185</v>
      </c>
      <c r="P414" s="127" t="s">
        <v>186</v>
      </c>
      <c r="Q414" s="85" t="str">
        <f t="shared" si="319"/>
        <v/>
      </c>
      <c r="R414" s="130"/>
      <c r="S414" s="128"/>
      <c r="T414" s="131"/>
      <c r="U414" s="132">
        <v>203</v>
      </c>
      <c r="V414" s="121">
        <v>218.2</v>
      </c>
      <c r="W414" s="116">
        <v>0.98</v>
      </c>
      <c r="X414" s="116">
        <v>1.66</v>
      </c>
      <c r="Y414" s="116">
        <f t="shared" si="299"/>
        <v>0.98809523809523803</v>
      </c>
      <c r="Z414" s="133">
        <v>1.454</v>
      </c>
      <c r="AA414" s="133">
        <v>0.83599999999999997</v>
      </c>
      <c r="AB414" s="133">
        <v>0.72</v>
      </c>
      <c r="AC414" s="121">
        <v>34.299999999999997</v>
      </c>
      <c r="AD414" s="134">
        <v>1.17</v>
      </c>
      <c r="AE414" s="124">
        <v>177.8</v>
      </c>
      <c r="AF414" s="128">
        <v>9.19</v>
      </c>
      <c r="AG414" s="128">
        <v>2408</v>
      </c>
      <c r="AH414" s="127">
        <v>3288.45</v>
      </c>
      <c r="AI414" s="127">
        <v>3288.45</v>
      </c>
      <c r="AJ414" s="135"/>
      <c r="AK414" s="128"/>
      <c r="AL414" s="131"/>
      <c r="AM414" s="124" t="s">
        <v>1485</v>
      </c>
      <c r="AN414" s="136" t="s">
        <v>1595</v>
      </c>
      <c r="AO414" s="137">
        <v>55.78</v>
      </c>
      <c r="AP414" s="128">
        <v>2495.31</v>
      </c>
      <c r="AQ414" s="128">
        <v>632.30999999999995</v>
      </c>
      <c r="AR414" s="128" t="s">
        <v>1596</v>
      </c>
      <c r="AS414" s="128">
        <v>114</v>
      </c>
      <c r="AT414" s="122">
        <v>7.37</v>
      </c>
      <c r="AU414" s="124" t="s">
        <v>189</v>
      </c>
      <c r="AV414" s="115">
        <f>VLOOKUP(J414,'[63]ТР нефть'!$J$28:$BP$638,39,0)</f>
        <v>390.00000878899999</v>
      </c>
      <c r="AW414" s="115" t="str">
        <f>VLOOKUP(J414,'[63]ТР нефть'!$J$28:$BP$638,40,0)</f>
        <v>ГП</v>
      </c>
      <c r="AX414" s="115">
        <f>VLOOKUP(J414,'[63]ТР нефть'!$J$28:$BP$638,41,0)</f>
        <v>699.99998906300004</v>
      </c>
      <c r="AY414" s="115" t="str">
        <f>VLOOKUP(J414,'[63]ТР нефть'!$J$28:$BP$638,42,0)</f>
        <v>ГП</v>
      </c>
      <c r="AZ414" s="115">
        <f>VLOOKUP(J414,'[63]ТР нефть'!$J$28:$BP$638,43,0)</f>
        <v>1099.9999828130001</v>
      </c>
      <c r="BA414" s="115" t="str">
        <f>VLOOKUP(J414,'[63]ТР нефть'!$J$28:$BP$638,44,0)</f>
        <v>ГП</v>
      </c>
      <c r="BB414" s="115">
        <f>VLOOKUP(J414,'[63]ТР нефть'!$J$28:$BP$638,45,0)</f>
        <v>1449.9999773439999</v>
      </c>
      <c r="BC414" s="115" t="str">
        <f>VLOOKUP(J414,'[63]ТР нефть'!$J$28:$BP$638,46,0)</f>
        <v>ГК70 1/8</v>
      </c>
      <c r="BD414" s="115">
        <f>VLOOKUP(J414,'[63]ТР нефть'!$J$28:$BP$638,47,0)</f>
        <v>1810.0000312499999</v>
      </c>
      <c r="BE414" s="115" t="str">
        <f>VLOOKUP(J414,'[63]ТР нефть'!$J$28:$BP$638,48,0)</f>
        <v>ГК69 5/32</v>
      </c>
      <c r="BF414" s="115">
        <f>VLOOKUP(J414,'[63]ТР нефть'!$J$28:$BP$638,49,0)</f>
        <v>2100</v>
      </c>
      <c r="BG414" s="115" t="str">
        <f>VLOOKUP(J414,'[63]ТР нефть'!$J$28:$BP$638,50,0)</f>
        <v>ЦКсОК 5/16</v>
      </c>
      <c r="BH414" s="115" t="str">
        <f>VLOOKUP(J414,'[63]ТР нефть'!$J$28:$BP$638,51,0)</f>
        <v>-</v>
      </c>
      <c r="BI414" s="115" t="str">
        <f>VLOOKUP(J414,'[63]ТР нефть'!$J$28:$BP$638,52,0)</f>
        <v>-</v>
      </c>
      <c r="BJ414" s="115" t="str">
        <f>IF(IFERROR(VLOOKUP(J414,'[63]ТР нефть'!$J$28:$BP$638,53,0),"-")=0,"-",IFERROR(VLOOKUP(J414,'[63]ТР нефть'!$J$28:$BP$638,53,0),"-"))</f>
        <v>-</v>
      </c>
      <c r="BK414" s="138" t="str">
        <f>IF(IFERROR(VLOOKUP(J414,'[63]ТР нефть'!$J$28:$BP$638,54,0),"-")=0,"-",IFERROR(VLOOKUP(J414,'[63]ТР нефть'!$J$28:$BP$638,54,0),"-"))</f>
        <v>-</v>
      </c>
      <c r="BL414" s="138" t="str">
        <f>IF(IFERROR(VLOOKUP(J414,'[63]ТР нефть'!$J$28:$BP$638,55,0),"-")=0,"-",IFERROR(VLOOKUP(J414,'[63]ТР нефть'!$J$28:$BP$638,55,0),"-"))</f>
        <v>-</v>
      </c>
      <c r="BM414" s="138" t="str">
        <f>IF(IFERROR(VLOOKUP(J414,'[63]ТР нефть'!$J$28:$BP$638,56,0),"-")=0,"-",IFERROR(VLOOKUP(J414,'[63]ТР нефть'!$J$28:$BP$638,56,0),"-"))</f>
        <v>-</v>
      </c>
      <c r="BN414" s="138" t="str">
        <f>IF(IFERROR(VLOOKUP(J414,'[63]ТР нефть'!$J$28:$BP$638,57,0),"-")=0,"-",IFERROR(VLOOKUP(J414,'[63]ТР нефть'!$J$28:$BP$638,57,0),"-"))</f>
        <v>-</v>
      </c>
      <c r="BO414" s="115" t="str">
        <f>IF(IFERROR(VLOOKUP(J414,'[63]ТР нефть'!$J$28:$BP$638,58,0),"-")=0,"-",IFERROR(VLOOKUP(J414,'[63]ТР нефть'!$J$28:$BP$638,58,0),"-"))</f>
        <v>-</v>
      </c>
      <c r="BP414" s="115" t="str">
        <f>IF(IFERROR(VLOOKUP(J414,'[63]ТР нефть'!$J$28:$BP$638,59,0),"-")=0,"-",IFERROR(VLOOKUP(J414,'[63]ТР нефть'!$J$28:$BP$638,59,0),"-"))</f>
        <v>-</v>
      </c>
      <c r="BQ414" s="138">
        <v>2350</v>
      </c>
      <c r="BR414" s="128">
        <v>1823</v>
      </c>
      <c r="BS414" s="115">
        <v>525</v>
      </c>
      <c r="BT414" s="128">
        <v>73</v>
      </c>
      <c r="BU414" s="128">
        <v>5.5</v>
      </c>
      <c r="BV414" s="127">
        <v>65</v>
      </c>
      <c r="BW414" s="127" t="s">
        <v>217</v>
      </c>
      <c r="BX414" s="127" t="s">
        <v>195</v>
      </c>
      <c r="BY414" s="139">
        <v>24</v>
      </c>
      <c r="BZ414" s="139">
        <v>0</v>
      </c>
      <c r="CA414" s="138">
        <v>15</v>
      </c>
      <c r="CB414" s="138">
        <v>65</v>
      </c>
      <c r="CC414" s="138">
        <v>14</v>
      </c>
      <c r="CD414" s="135">
        <v>45017</v>
      </c>
      <c r="CE414" s="138">
        <v>138</v>
      </c>
      <c r="CF414" s="138">
        <v>70</v>
      </c>
      <c r="CG414" s="138" t="str">
        <f t="shared" si="310"/>
        <v/>
      </c>
      <c r="CH414" s="138" t="s">
        <v>197</v>
      </c>
      <c r="CI414" s="127"/>
      <c r="CJ414" s="138"/>
      <c r="CK414" s="138">
        <f t="shared" si="308"/>
        <v>36</v>
      </c>
      <c r="CL414" s="99"/>
      <c r="CM414" s="99"/>
      <c r="CN414" s="140">
        <v>51</v>
      </c>
      <c r="CO414" s="141">
        <f t="shared" si="324"/>
        <v>12.698839999999999</v>
      </c>
      <c r="CP414" s="142">
        <v>15.5</v>
      </c>
      <c r="CQ414" s="143">
        <v>2</v>
      </c>
      <c r="CR414" s="138">
        <v>22.4</v>
      </c>
      <c r="CS414" s="139">
        <v>14</v>
      </c>
      <c r="CT414" s="138"/>
      <c r="CU414" s="138">
        <f t="shared" si="320"/>
        <v>8.3999999999999986</v>
      </c>
      <c r="CV414" s="115">
        <f t="shared" si="321"/>
        <v>661.47774127400601</v>
      </c>
      <c r="CW414" s="115">
        <f t="shared" si="325"/>
        <v>1072.154463761945</v>
      </c>
      <c r="CX414" s="133">
        <f t="shared" si="322"/>
        <v>0.17816091954022989</v>
      </c>
      <c r="CY414" s="116"/>
      <c r="CZ414" s="131"/>
      <c r="DA414" s="145" t="str">
        <f t="shared" si="326"/>
        <v>Газлифт</v>
      </c>
      <c r="DB414" s="146">
        <f t="shared" si="327"/>
        <v>12.698839999999999</v>
      </c>
      <c r="DC414" s="142">
        <f t="shared" si="302"/>
        <v>15.5</v>
      </c>
      <c r="DD414" s="119">
        <f t="shared" si="303"/>
        <v>2</v>
      </c>
      <c r="DE414" s="115">
        <f t="shared" si="283"/>
        <v>8.3999999999999986</v>
      </c>
      <c r="DF414" s="121">
        <f t="shared" si="328"/>
        <v>14</v>
      </c>
      <c r="DG414" s="115">
        <f t="shared" si="329"/>
        <v>661.47774127400601</v>
      </c>
      <c r="DH414" s="115">
        <f t="shared" si="330"/>
        <v>51</v>
      </c>
      <c r="DI414" s="147"/>
      <c r="DJ414" s="111" t="s">
        <v>197</v>
      </c>
      <c r="DK414" s="112">
        <v>43842</v>
      </c>
      <c r="DL414" s="113">
        <f t="shared" ca="1" si="312"/>
        <v>1262</v>
      </c>
      <c r="DM414" s="114">
        <v>15.5</v>
      </c>
      <c r="DN414" s="114">
        <v>50</v>
      </c>
      <c r="DO414" s="114">
        <v>39</v>
      </c>
      <c r="DP414" s="114"/>
      <c r="DQ414" s="112"/>
      <c r="DR414" s="114"/>
      <c r="DS414" s="114"/>
      <c r="DT414" s="115">
        <v>60</v>
      </c>
      <c r="DU414" s="116">
        <f t="shared" si="313"/>
        <v>0.19871794871794871</v>
      </c>
      <c r="DV414" s="117">
        <f t="shared" si="314"/>
        <v>12.698839999999999</v>
      </c>
      <c r="DW414" s="118">
        <f t="shared" si="315"/>
        <v>15.5</v>
      </c>
      <c r="DX414" s="119">
        <f t="shared" si="331"/>
        <v>2</v>
      </c>
      <c r="DY414" s="115">
        <f t="shared" si="316"/>
        <v>8.3999999999999986</v>
      </c>
      <c r="DZ414" s="117">
        <f t="shared" si="317"/>
        <v>0</v>
      </c>
      <c r="EA414" s="120">
        <f t="shared" si="317"/>
        <v>0</v>
      </c>
      <c r="EB414" s="119">
        <f t="shared" si="317"/>
        <v>0</v>
      </c>
      <c r="EC414" s="121">
        <f t="shared" si="318"/>
        <v>0</v>
      </c>
      <c r="ED414" s="122"/>
      <c r="EE414" s="145">
        <v>65</v>
      </c>
      <c r="EF414" s="115">
        <v>15</v>
      </c>
      <c r="EG414" s="115">
        <v>63</v>
      </c>
      <c r="EH414" s="115">
        <v>14</v>
      </c>
      <c r="EI414" s="128" t="s">
        <v>195</v>
      </c>
      <c r="EJ414" s="121">
        <v>24</v>
      </c>
      <c r="EK414" s="121">
        <v>0</v>
      </c>
      <c r="EL414" s="149">
        <v>12.367115200000001</v>
      </c>
      <c r="EM414" s="142">
        <v>15.5</v>
      </c>
      <c r="EN414" s="119">
        <v>4.5599999999999996</v>
      </c>
      <c r="EO414" s="115">
        <v>22.4</v>
      </c>
      <c r="EP414" s="115">
        <v>679.22064799719806</v>
      </c>
      <c r="EQ414" s="115">
        <v>70</v>
      </c>
      <c r="ER414" s="115">
        <v>14</v>
      </c>
      <c r="ES414" s="115">
        <v>58</v>
      </c>
      <c r="ET414" s="150">
        <v>0.19375000000000001</v>
      </c>
      <c r="EU414" s="145">
        <f t="shared" si="332"/>
        <v>65</v>
      </c>
      <c r="EV414" s="115">
        <f t="shared" si="333"/>
        <v>15</v>
      </c>
      <c r="EW414" s="115">
        <f t="shared" si="333"/>
        <v>65</v>
      </c>
      <c r="EX414" s="115">
        <f t="shared" si="333"/>
        <v>14</v>
      </c>
      <c r="EY414" s="115" t="str">
        <f t="shared" si="309"/>
        <v>Постоянный</v>
      </c>
      <c r="EZ414" s="115">
        <f t="shared" si="309"/>
        <v>24</v>
      </c>
      <c r="FA414" s="115">
        <f t="shared" si="309"/>
        <v>0</v>
      </c>
      <c r="FB414" s="149">
        <f t="shared" si="298"/>
        <v>12.698839999999999</v>
      </c>
      <c r="FC414" s="142">
        <f t="shared" si="298"/>
        <v>15.5</v>
      </c>
      <c r="FD414" s="119">
        <f t="shared" si="298"/>
        <v>2</v>
      </c>
      <c r="FE414" s="121">
        <f t="shared" si="298"/>
        <v>22.4</v>
      </c>
      <c r="FF414" s="121">
        <f t="shared" si="300"/>
        <v>661.47774127400601</v>
      </c>
      <c r="FG414" s="121">
        <f t="shared" si="334"/>
        <v>70</v>
      </c>
      <c r="FH414" s="121">
        <f t="shared" si="301"/>
        <v>14</v>
      </c>
      <c r="FI414" s="121">
        <f t="shared" si="306"/>
        <v>51</v>
      </c>
      <c r="FJ414" s="144">
        <f t="shared" si="335"/>
        <v>0.17816091954022989</v>
      </c>
      <c r="FK414" s="132">
        <f t="shared" si="336"/>
        <v>0</v>
      </c>
      <c r="FL414" s="115">
        <f t="shared" si="336"/>
        <v>0</v>
      </c>
      <c r="FM414" s="115">
        <f t="shared" si="336"/>
        <v>2</v>
      </c>
      <c r="FN414" s="115">
        <f t="shared" si="336"/>
        <v>0</v>
      </c>
      <c r="FO414" s="121">
        <f t="shared" si="311"/>
        <v>0</v>
      </c>
      <c r="FP414" s="121">
        <f t="shared" si="311"/>
        <v>0</v>
      </c>
      <c r="FQ414" s="149">
        <f t="shared" si="311"/>
        <v>0.33172479999999815</v>
      </c>
      <c r="FR414" s="142">
        <f t="shared" si="311"/>
        <v>0</v>
      </c>
      <c r="FS414" s="119">
        <f t="shared" si="311"/>
        <v>-2.5599999999999996</v>
      </c>
      <c r="FT414" s="121">
        <f t="shared" si="311"/>
        <v>0</v>
      </c>
      <c r="FU414" s="121">
        <f t="shared" si="337"/>
        <v>0</v>
      </c>
      <c r="FV414" s="121">
        <f t="shared" si="337"/>
        <v>0</v>
      </c>
      <c r="FW414" s="121">
        <f t="shared" si="338"/>
        <v>-17.74290672319205</v>
      </c>
      <c r="FX414" s="121">
        <f t="shared" si="339"/>
        <v>-7</v>
      </c>
      <c r="FY414" s="144">
        <f t="shared" si="339"/>
        <v>-1.5589080459770116E-2</v>
      </c>
      <c r="FZ414" s="145"/>
      <c r="GA414" s="151"/>
      <c r="GB414" s="145"/>
      <c r="GC414" s="151"/>
      <c r="GD414" s="997" t="s">
        <v>202</v>
      </c>
      <c r="GE414" s="1004"/>
      <c r="GF414" s="1004">
        <v>-0.74136479999999771</v>
      </c>
      <c r="GG414" s="1004" t="s">
        <v>199</v>
      </c>
      <c r="GH414" s="1004">
        <v>6.7180959999999983</v>
      </c>
      <c r="GI414" s="145"/>
      <c r="GJ414" s="996">
        <v>0</v>
      </c>
      <c r="GK414" s="145"/>
      <c r="GL414" s="996">
        <v>0.47253395200000003</v>
      </c>
      <c r="GM414" s="1005" t="s">
        <v>199</v>
      </c>
      <c r="GN414" s="996">
        <v>-6.2221239519999987</v>
      </c>
      <c r="GO414" s="1006" t="s">
        <v>204</v>
      </c>
      <c r="GP414" s="996">
        <v>3.2499968159999995</v>
      </c>
      <c r="GQ414" s="1006"/>
      <c r="GR414" s="996">
        <v>0</v>
      </c>
      <c r="GS414" s="1006" t="s">
        <v>223</v>
      </c>
      <c r="GT414" s="996">
        <v>-1.6776563759999998</v>
      </c>
      <c r="GU414" s="1006"/>
      <c r="GV414" s="996">
        <v>0.56763355999999909</v>
      </c>
      <c r="GW414" s="1006"/>
      <c r="GX414" s="996">
        <v>0.57600400000000018</v>
      </c>
      <c r="GY414" s="1006"/>
      <c r="GZ414" s="996">
        <v>-0.74788727199999894</v>
      </c>
      <c r="HA414" s="1006" t="s">
        <v>25</v>
      </c>
      <c r="HB414" s="996">
        <v>3.4431512719999988</v>
      </c>
      <c r="HC414" s="1006"/>
      <c r="HD414" s="996">
        <v>0</v>
      </c>
      <c r="HE414" s="1006"/>
      <c r="HF414" s="996">
        <v>0</v>
      </c>
      <c r="HG414" s="1006"/>
      <c r="HH414" s="996">
        <v>0</v>
      </c>
      <c r="HI414" s="1006"/>
      <c r="HJ414" s="996">
        <v>0</v>
      </c>
      <c r="HK414" s="1006"/>
      <c r="HL414" s="996">
        <v>0</v>
      </c>
      <c r="HM414" s="1006"/>
      <c r="HN414" s="996">
        <v>0</v>
      </c>
      <c r="HO414" s="1006" t="s">
        <v>199</v>
      </c>
      <c r="HP414" s="996">
        <v>-12.694325599999999</v>
      </c>
      <c r="HQ414" s="1006" t="s">
        <v>223</v>
      </c>
      <c r="HR414" s="996">
        <v>-1.6408406080000013</v>
      </c>
      <c r="HS414" s="1006"/>
      <c r="HT414" s="996">
        <v>0</v>
      </c>
      <c r="HU414" s="1006"/>
      <c r="HV414" s="996">
        <v>-0.3589583360000006</v>
      </c>
      <c r="HW414" s="1006"/>
      <c r="HX414" s="996">
        <v>0</v>
      </c>
      <c r="HY414" s="1006"/>
      <c r="HZ414" s="996">
        <v>0</v>
      </c>
      <c r="IA414" s="1006"/>
      <c r="IB414" s="996">
        <v>-0.42940805599999976</v>
      </c>
      <c r="IC414" s="1006"/>
      <c r="ID414" s="996">
        <v>-0.69776740000000004</v>
      </c>
      <c r="IE414" s="1006"/>
      <c r="IF414" s="996">
        <v>0.16720000000000113</v>
      </c>
      <c r="IG414" s="1006" t="s">
        <v>223</v>
      </c>
      <c r="IH414" s="996">
        <v>-1.7054399999999994</v>
      </c>
      <c r="II414" s="1006"/>
      <c r="IJ414" s="996">
        <v>0</v>
      </c>
      <c r="IK414" s="1006"/>
      <c r="IL414" s="996">
        <v>0</v>
      </c>
      <c r="IM414" s="1006" t="s">
        <v>199</v>
      </c>
      <c r="IN414" s="996">
        <v>-1.7957280000000004</v>
      </c>
      <c r="IO414" s="1006"/>
      <c r="IP414" s="996">
        <v>0</v>
      </c>
      <c r="IQ414" s="1006"/>
      <c r="IR414" s="996">
        <v>0</v>
      </c>
      <c r="IS414" s="1006" t="s">
        <v>203</v>
      </c>
      <c r="IT414" s="996">
        <v>-4.8294047999999989</v>
      </c>
      <c r="IU414" s="1006"/>
      <c r="IV414" s="996">
        <v>0</v>
      </c>
      <c r="IW414" s="1006" t="s">
        <v>203</v>
      </c>
      <c r="IX414" s="996">
        <v>-2.8935631999999991</v>
      </c>
      <c r="IY414" s="1006" t="s">
        <v>203</v>
      </c>
      <c r="IZ414" s="996">
        <v>5.6229359999999993</v>
      </c>
      <c r="JA414" s="1006"/>
      <c r="JB414" s="996">
        <v>0</v>
      </c>
      <c r="JC414" s="1006"/>
      <c r="JD414" s="996">
        <v>0</v>
      </c>
      <c r="JE414" s="1006" t="s">
        <v>203</v>
      </c>
      <c r="JF414" s="996">
        <v>-14.985156207999996</v>
      </c>
      <c r="JG414" s="1006" t="s">
        <v>25</v>
      </c>
      <c r="JH414" s="996">
        <v>40.399556207999993</v>
      </c>
      <c r="JI414" s="1006"/>
      <c r="JJ414" s="996">
        <v>0</v>
      </c>
      <c r="JK414" s="1007"/>
      <c r="JL414" s="1007">
        <v>0</v>
      </c>
      <c r="JM414" s="1007"/>
      <c r="JN414" s="1007">
        <v>0</v>
      </c>
      <c r="JO414" s="1008"/>
      <c r="JP414" s="1007"/>
      <c r="JQ414" s="1008"/>
      <c r="JR414" s="1007"/>
      <c r="JS414" s="1008"/>
      <c r="JT414" s="1007"/>
      <c r="JU414" s="1008"/>
      <c r="JV414" s="1007"/>
      <c r="JW414" s="1008"/>
      <c r="JX414" s="1007"/>
      <c r="JY414" s="1008"/>
      <c r="JZ414" s="1007"/>
      <c r="KA414" s="1008"/>
      <c r="KB414" s="1007"/>
      <c r="KC414" s="1008"/>
      <c r="KD414" s="1007"/>
      <c r="KE414" s="1008"/>
      <c r="KF414" s="1007"/>
      <c r="KG414" s="1008"/>
      <c r="KH414" s="1007"/>
      <c r="KI414" s="1008"/>
      <c r="KJ414" s="1007"/>
      <c r="KK414" s="1008"/>
      <c r="KL414" s="1007"/>
      <c r="KM414" s="1008"/>
      <c r="KN414" s="1007"/>
      <c r="KO414" s="1008"/>
      <c r="KP414" s="1007"/>
      <c r="KQ414" s="1008"/>
      <c r="KR414" s="1007"/>
      <c r="KS414" s="1008"/>
      <c r="KT414" s="1007"/>
      <c r="KU414" s="1008"/>
      <c r="KV414" s="1007"/>
      <c r="KW414" s="1008"/>
      <c r="KX414" s="1007"/>
      <c r="KY414" s="1008"/>
      <c r="KZ414" s="1007"/>
      <c r="LA414" s="1008"/>
      <c r="LB414" s="1007"/>
      <c r="LC414" s="1008"/>
      <c r="LD414" s="1007"/>
      <c r="LE414" s="1008"/>
      <c r="LF414" s="1007"/>
      <c r="LG414" s="1008"/>
      <c r="LH414" s="1007"/>
      <c r="LI414" s="1008"/>
      <c r="LJ414" s="1007"/>
      <c r="LK414" s="1008"/>
      <c r="LL414" s="1007"/>
      <c r="LM414" s="1008"/>
      <c r="LN414" s="1007"/>
      <c r="LO414" s="1008"/>
      <c r="LP414" s="1007"/>
      <c r="LQ414" s="1008"/>
      <c r="LR414" s="1007"/>
      <c r="LS414" s="1008"/>
      <c r="LT414" s="1007"/>
      <c r="LU414" s="1008"/>
      <c r="LV414" s="1007"/>
      <c r="LW414" s="1008"/>
      <c r="LX414" s="1007"/>
      <c r="LY414" s="1009"/>
      <c r="LZ414" s="1010"/>
      <c r="MA414" s="1011"/>
      <c r="MB414" s="1012"/>
      <c r="MC414" s="995"/>
      <c r="MD414" s="996"/>
      <c r="ME414" s="997" t="s">
        <v>202</v>
      </c>
      <c r="MF414" s="997"/>
      <c r="MG414" s="998"/>
      <c r="NR414" s="1000"/>
      <c r="NS414" s="1000"/>
      <c r="NT414" s="1001"/>
      <c r="NU414" s="1000"/>
      <c r="NV414" s="1001"/>
      <c r="NX414" s="1002"/>
      <c r="NZ414" s="1001"/>
      <c r="OA414" s="1001"/>
      <c r="OC414" s="1003"/>
      <c r="OD414" s="1003"/>
      <c r="OE414" s="1001"/>
      <c r="OF414" s="1003"/>
      <c r="OG414" s="1003"/>
      <c r="QX414" s="1000">
        <f>CN414-CA414</f>
        <v>36</v>
      </c>
      <c r="ASU414" s="999" t="s">
        <v>208</v>
      </c>
    </row>
    <row r="415" spans="1:466 1191:1191" ht="21" customHeight="1" x14ac:dyDescent="0.25">
      <c r="A415" s="982">
        <f t="shared" si="323"/>
        <v>1482</v>
      </c>
      <c r="B415" s="124">
        <f>SUBTOTAL(103,$J$29:J415)</f>
        <v>387</v>
      </c>
      <c r="C415" s="126">
        <v>45068</v>
      </c>
      <c r="D415" s="124" t="s">
        <v>176</v>
      </c>
      <c r="E415" s="127" t="s">
        <v>177</v>
      </c>
      <c r="F415" s="128" t="s">
        <v>177</v>
      </c>
      <c r="G415" s="127" t="s">
        <v>178</v>
      </c>
      <c r="H415" s="127" t="s">
        <v>179</v>
      </c>
      <c r="I415" s="127" t="s">
        <v>1587</v>
      </c>
      <c r="J415" s="152">
        <v>1482</v>
      </c>
      <c r="K415" s="127" t="s">
        <v>1588</v>
      </c>
      <c r="L415" s="130">
        <v>43878</v>
      </c>
      <c r="M415" s="127" t="s">
        <v>230</v>
      </c>
      <c r="N415" s="127" t="s">
        <v>184</v>
      </c>
      <c r="O415" s="127" t="s">
        <v>185</v>
      </c>
      <c r="P415" s="127" t="s">
        <v>186</v>
      </c>
      <c r="Q415" s="85" t="str">
        <f t="shared" si="319"/>
        <v/>
      </c>
      <c r="R415" s="130"/>
      <c r="S415" s="128"/>
      <c r="T415" s="131"/>
      <c r="U415" s="132">
        <v>203</v>
      </c>
      <c r="V415" s="121">
        <v>218.2</v>
      </c>
      <c r="W415" s="116">
        <v>0.98</v>
      </c>
      <c r="X415" s="116">
        <v>1.66</v>
      </c>
      <c r="Y415" s="116">
        <f t="shared" si="299"/>
        <v>0.98</v>
      </c>
      <c r="Z415" s="133">
        <v>1.454</v>
      </c>
      <c r="AA415" s="133">
        <v>0.83599999999999997</v>
      </c>
      <c r="AB415" s="133">
        <v>0.72</v>
      </c>
      <c r="AC415" s="121">
        <v>34.299999999999997</v>
      </c>
      <c r="AD415" s="134">
        <v>1.17</v>
      </c>
      <c r="AE415" s="124">
        <v>177.8</v>
      </c>
      <c r="AF415" s="128">
        <v>9.19</v>
      </c>
      <c r="AG415" s="128">
        <v>2218</v>
      </c>
      <c r="AH415" s="127">
        <v>3018</v>
      </c>
      <c r="AI415" s="127">
        <v>3018</v>
      </c>
      <c r="AJ415" s="135"/>
      <c r="AK415" s="128"/>
      <c r="AL415" s="131"/>
      <c r="AM415" s="124" t="s">
        <v>232</v>
      </c>
      <c r="AN415" s="206" t="s">
        <v>1597</v>
      </c>
      <c r="AO415" s="137">
        <v>12.053599999999999</v>
      </c>
      <c r="AP415" s="128">
        <v>2289.81</v>
      </c>
      <c r="AQ415" s="128">
        <v>383.03640000000001</v>
      </c>
      <c r="AR415" s="128"/>
      <c r="AS415" s="128"/>
      <c r="AT415" s="122"/>
      <c r="AU415" s="124" t="s">
        <v>189</v>
      </c>
      <c r="AV415" s="115">
        <f>VLOOKUP(J415,'[63]ТР нефть'!$J$28:$BP$638,39,0)</f>
        <v>430.00002304700001</v>
      </c>
      <c r="AW415" s="115" t="str">
        <f>VLOOKUP(J415,'[63]ТР нефть'!$J$28:$BP$638,40,0)</f>
        <v>ГП</v>
      </c>
      <c r="AX415" s="115">
        <f>VLOOKUP(J415,'[63]ТР нефть'!$J$28:$BP$638,41,0)</f>
        <v>860.00004609400003</v>
      </c>
      <c r="AY415" s="115" t="str">
        <f>VLOOKUP(J415,'[63]ТР нефть'!$J$28:$BP$638,42,0)</f>
        <v>ГП</v>
      </c>
      <c r="AZ415" s="115">
        <f>VLOOKUP(J415,'[63]ТР нефть'!$J$28:$BP$638,43,0)</f>
        <v>1239.999995508</v>
      </c>
      <c r="BA415" s="115" t="str">
        <f>VLOOKUP(J415,'[63]ТР нефть'!$J$28:$BP$638,44,0)</f>
        <v>ГК81 1/8</v>
      </c>
      <c r="BB415" s="115">
        <f>VLOOKUP(J415,'[63]ТР нефть'!$J$28:$BP$638,45,0)</f>
        <v>1549.9999757810001</v>
      </c>
      <c r="BC415" s="115" t="str">
        <f>VLOOKUP(J415,'[63]ТР нефть'!$J$28:$BP$638,46,0)</f>
        <v>ГК80 1/8</v>
      </c>
      <c r="BD415" s="115">
        <f>VLOOKUP(J415,'[63]ТР нефть'!$J$28:$BP$638,47,0)</f>
        <v>1860.000030469</v>
      </c>
      <c r="BE415" s="115" t="str">
        <f>VLOOKUP(J415,'[63]ТР нефть'!$J$28:$BP$638,48,0)</f>
        <v>ЦКсОК 5/16</v>
      </c>
      <c r="BF415" s="115" t="str">
        <f>VLOOKUP(J415,'[63]ТР нефть'!$J$28:$BP$638,49,0)</f>
        <v>-</v>
      </c>
      <c r="BG415" s="115" t="str">
        <f>VLOOKUP(J415,'[63]ТР нефть'!$J$28:$BP$638,50,0)</f>
        <v>-</v>
      </c>
      <c r="BH415" s="115" t="str">
        <f>VLOOKUP(J415,'[63]ТР нефть'!$J$28:$BP$638,51,0)</f>
        <v>-</v>
      </c>
      <c r="BI415" s="115" t="str">
        <f>VLOOKUP(J415,'[63]ТР нефть'!$J$28:$BP$638,52,0)</f>
        <v>-</v>
      </c>
      <c r="BJ415" s="115" t="str">
        <f>IF(IFERROR(VLOOKUP(J415,'[63]ТР нефть'!$J$28:$BP$638,53,0),"-")=0,"-",IFERROR(VLOOKUP(J415,'[63]ТР нефть'!$J$28:$BP$638,53,0),"-"))</f>
        <v>-</v>
      </c>
      <c r="BK415" s="138" t="str">
        <f>IF(IFERROR(VLOOKUP(J415,'[63]ТР нефть'!$J$28:$BP$638,54,0),"-")=0,"-",IFERROR(VLOOKUP(J415,'[63]ТР нефть'!$J$28:$BP$638,54,0),"-"))</f>
        <v>-</v>
      </c>
      <c r="BL415" s="138" t="str">
        <f>IF(IFERROR(VLOOKUP(J415,'[63]ТР нефть'!$J$28:$BP$638,55,0),"-")=0,"-",IFERROR(VLOOKUP(J415,'[63]ТР нефть'!$J$28:$BP$638,55,0),"-"))</f>
        <v>-</v>
      </c>
      <c r="BM415" s="138" t="str">
        <f>IF(IFERROR(VLOOKUP(J415,'[63]ТР нефть'!$J$28:$BP$638,56,0),"-")=0,"-",IFERROR(VLOOKUP(J415,'[63]ТР нефть'!$J$28:$BP$638,56,0),"-"))</f>
        <v>-</v>
      </c>
      <c r="BN415" s="138" t="str">
        <f>IF(IFERROR(VLOOKUP(J415,'[63]ТР нефть'!$J$28:$BP$638,57,0),"-")=0,"-",IFERROR(VLOOKUP(J415,'[63]ТР нефть'!$J$28:$BP$638,57,0),"-"))</f>
        <v>-</v>
      </c>
      <c r="BO415" s="115" t="str">
        <f>IF(IFERROR(VLOOKUP(J415,'[63]ТР нефть'!$J$28:$BP$638,58,0),"-")=0,"-",IFERROR(VLOOKUP(J415,'[63]ТР нефть'!$J$28:$BP$638,58,0),"-"))</f>
        <v>-</v>
      </c>
      <c r="BP415" s="115" t="str">
        <f>IF(IFERROR(VLOOKUP(J415,'[63]ТР нефть'!$J$28:$BP$638,59,0),"-")=0,"-",IFERROR(VLOOKUP(J415,'[63]ТР нефть'!$J$28:$BP$638,59,0),"-"))</f>
        <v>-</v>
      </c>
      <c r="BQ415" s="138">
        <v>1835</v>
      </c>
      <c r="BR415" s="128">
        <v>1748</v>
      </c>
      <c r="BS415" s="115">
        <f t="shared" ref="BS415:BS434" si="340">BQ415-BR415</f>
        <v>87</v>
      </c>
      <c r="BT415" s="128">
        <v>73</v>
      </c>
      <c r="BU415" s="128">
        <v>5.5</v>
      </c>
      <c r="BV415" s="127">
        <v>65</v>
      </c>
      <c r="BW415" s="127" t="s">
        <v>217</v>
      </c>
      <c r="BX415" s="127" t="s">
        <v>195</v>
      </c>
      <c r="BY415" s="139">
        <v>24</v>
      </c>
      <c r="BZ415" s="139">
        <v>0</v>
      </c>
      <c r="CA415" s="138">
        <v>24</v>
      </c>
      <c r="CB415" s="138">
        <v>50</v>
      </c>
      <c r="CC415" s="138">
        <v>23</v>
      </c>
      <c r="CD415" s="135">
        <v>45017</v>
      </c>
      <c r="CE415" s="138">
        <v>131</v>
      </c>
      <c r="CF415" s="138">
        <v>74</v>
      </c>
      <c r="CG415" s="138" t="str">
        <f t="shared" si="310"/>
        <v/>
      </c>
      <c r="CH415" s="138" t="s">
        <v>197</v>
      </c>
      <c r="CI415" s="127"/>
      <c r="CJ415" s="138"/>
      <c r="CK415" s="138">
        <f t="shared" si="308"/>
        <v>26</v>
      </c>
      <c r="CL415" s="99"/>
      <c r="CM415" s="99"/>
      <c r="CN415" s="140">
        <v>50</v>
      </c>
      <c r="CO415" s="141">
        <f t="shared" si="324"/>
        <v>15.048</v>
      </c>
      <c r="CP415" s="142">
        <v>18</v>
      </c>
      <c r="CQ415" s="143">
        <v>0</v>
      </c>
      <c r="CR415" s="138">
        <v>18</v>
      </c>
      <c r="CS415" s="139">
        <v>12</v>
      </c>
      <c r="CT415" s="138"/>
      <c r="CU415" s="138">
        <f t="shared" si="320"/>
        <v>6</v>
      </c>
      <c r="CV415" s="115">
        <f t="shared" si="321"/>
        <v>398.72408293460927</v>
      </c>
      <c r="CW415" s="115">
        <f t="shared" si="325"/>
        <v>797.44816586921854</v>
      </c>
      <c r="CX415" s="133">
        <f t="shared" si="322"/>
        <v>0.22222222222222221</v>
      </c>
      <c r="CY415" s="116"/>
      <c r="CZ415" s="131"/>
      <c r="DA415" s="145" t="str">
        <f t="shared" si="326"/>
        <v>Газлифт</v>
      </c>
      <c r="DB415" s="146">
        <f t="shared" si="327"/>
        <v>15.048</v>
      </c>
      <c r="DC415" s="142">
        <f t="shared" si="302"/>
        <v>18</v>
      </c>
      <c r="DD415" s="119">
        <f t="shared" si="303"/>
        <v>0</v>
      </c>
      <c r="DE415" s="115">
        <f t="shared" si="283"/>
        <v>6</v>
      </c>
      <c r="DF415" s="121">
        <f t="shared" si="328"/>
        <v>12</v>
      </c>
      <c r="DG415" s="115">
        <f t="shared" si="329"/>
        <v>398.72408293460927</v>
      </c>
      <c r="DH415" s="115">
        <f t="shared" si="330"/>
        <v>50</v>
      </c>
      <c r="DI415" s="147"/>
      <c r="DJ415" s="111"/>
      <c r="DK415" s="112">
        <v>44271</v>
      </c>
      <c r="DL415" s="113">
        <f t="shared" ca="1" si="312"/>
        <v>833</v>
      </c>
      <c r="DM415" s="114"/>
      <c r="DN415" s="114"/>
      <c r="DO415" s="114"/>
      <c r="DP415" s="114"/>
      <c r="DQ415" s="112"/>
      <c r="DR415" s="114"/>
      <c r="DS415" s="114"/>
      <c r="DT415" s="115">
        <v>60</v>
      </c>
      <c r="DU415" s="116">
        <f t="shared" si="313"/>
        <v>0.25352112676056338</v>
      </c>
      <c r="DV415" s="117">
        <f t="shared" si="314"/>
        <v>15.048</v>
      </c>
      <c r="DW415" s="118">
        <f t="shared" si="315"/>
        <v>18</v>
      </c>
      <c r="DX415" s="119">
        <f t="shared" si="331"/>
        <v>0</v>
      </c>
      <c r="DY415" s="115">
        <f t="shared" si="316"/>
        <v>6</v>
      </c>
      <c r="DZ415" s="117">
        <f t="shared" si="317"/>
        <v>0</v>
      </c>
      <c r="EA415" s="120">
        <f t="shared" si="317"/>
        <v>0</v>
      </c>
      <c r="EB415" s="119">
        <f t="shared" si="317"/>
        <v>0</v>
      </c>
      <c r="EC415" s="121">
        <f t="shared" si="318"/>
        <v>0</v>
      </c>
      <c r="ED415" s="122"/>
      <c r="EE415" s="145">
        <v>65</v>
      </c>
      <c r="EF415" s="115">
        <v>26</v>
      </c>
      <c r="EG415" s="115">
        <v>47</v>
      </c>
      <c r="EH415" s="115">
        <v>25</v>
      </c>
      <c r="EI415" s="128" t="s">
        <v>195</v>
      </c>
      <c r="EJ415" s="121">
        <v>24</v>
      </c>
      <c r="EK415" s="121">
        <v>0</v>
      </c>
      <c r="EL415" s="149">
        <v>14.2956</v>
      </c>
      <c r="EM415" s="142">
        <v>17.100000000000001</v>
      </c>
      <c r="EN415" s="119">
        <v>0</v>
      </c>
      <c r="EO415" s="115">
        <v>23.7</v>
      </c>
      <c r="EP415" s="115">
        <v>650.54981952488868</v>
      </c>
      <c r="EQ415" s="115">
        <v>72</v>
      </c>
      <c r="ER415" s="115">
        <v>14.4</v>
      </c>
      <c r="ES415" s="115">
        <v>56</v>
      </c>
      <c r="ET415" s="150">
        <v>0.22800000000000001</v>
      </c>
      <c r="EU415" s="145">
        <f t="shared" si="332"/>
        <v>65</v>
      </c>
      <c r="EV415" s="115">
        <f t="shared" si="333"/>
        <v>24</v>
      </c>
      <c r="EW415" s="115">
        <f t="shared" si="333"/>
        <v>50</v>
      </c>
      <c r="EX415" s="115">
        <f t="shared" si="333"/>
        <v>23</v>
      </c>
      <c r="EY415" s="115" t="str">
        <f t="shared" si="309"/>
        <v>Постоянный</v>
      </c>
      <c r="EZ415" s="115">
        <f t="shared" si="309"/>
        <v>24</v>
      </c>
      <c r="FA415" s="115">
        <f t="shared" si="309"/>
        <v>0</v>
      </c>
      <c r="FB415" s="149">
        <f t="shared" si="298"/>
        <v>15.048</v>
      </c>
      <c r="FC415" s="142">
        <f t="shared" si="298"/>
        <v>18</v>
      </c>
      <c r="FD415" s="119">
        <f t="shared" si="298"/>
        <v>0</v>
      </c>
      <c r="FE415" s="121">
        <f t="shared" si="298"/>
        <v>18</v>
      </c>
      <c r="FF415" s="121">
        <f t="shared" si="300"/>
        <v>398.72408293460927</v>
      </c>
      <c r="FG415" s="121">
        <f t="shared" si="334"/>
        <v>74</v>
      </c>
      <c r="FH415" s="121">
        <f t="shared" si="301"/>
        <v>12</v>
      </c>
      <c r="FI415" s="121">
        <f t="shared" si="306"/>
        <v>50</v>
      </c>
      <c r="FJ415" s="144">
        <f t="shared" si="335"/>
        <v>0.22222222222222221</v>
      </c>
      <c r="FK415" s="132">
        <f t="shared" si="336"/>
        <v>0</v>
      </c>
      <c r="FL415" s="115">
        <f t="shared" si="336"/>
        <v>-2</v>
      </c>
      <c r="FM415" s="115">
        <f t="shared" si="336"/>
        <v>3</v>
      </c>
      <c r="FN415" s="115">
        <f t="shared" si="336"/>
        <v>-2</v>
      </c>
      <c r="FO415" s="115">
        <f t="shared" si="311"/>
        <v>0</v>
      </c>
      <c r="FP415" s="115">
        <f t="shared" si="311"/>
        <v>0</v>
      </c>
      <c r="FQ415" s="149">
        <f t="shared" si="311"/>
        <v>0.75239999999999974</v>
      </c>
      <c r="FR415" s="142">
        <f t="shared" si="311"/>
        <v>0.89999999999999858</v>
      </c>
      <c r="FS415" s="119">
        <f t="shared" si="311"/>
        <v>0</v>
      </c>
      <c r="FT415" s="121">
        <f t="shared" si="311"/>
        <v>-5.6999999999999993</v>
      </c>
      <c r="FU415" s="121">
        <f t="shared" si="337"/>
        <v>2</v>
      </c>
      <c r="FV415" s="121">
        <f t="shared" si="337"/>
        <v>-2.4000000000000004</v>
      </c>
      <c r="FW415" s="121">
        <f t="shared" si="338"/>
        <v>-251.8257365902794</v>
      </c>
      <c r="FX415" s="121">
        <f t="shared" si="339"/>
        <v>-6</v>
      </c>
      <c r="FY415" s="144">
        <f t="shared" si="339"/>
        <v>-5.7777777777777983E-3</v>
      </c>
      <c r="FZ415" s="145"/>
      <c r="GA415" s="151"/>
      <c r="GB415" s="145" t="s">
        <v>199</v>
      </c>
      <c r="GC415" s="151" t="s">
        <v>415</v>
      </c>
      <c r="GD415" s="997" t="s">
        <v>202</v>
      </c>
      <c r="GE415" s="1004" t="s">
        <v>199</v>
      </c>
      <c r="GF415" s="1004">
        <v>-2.4243999999999986</v>
      </c>
      <c r="GG415" s="1004"/>
      <c r="GH415" s="1004">
        <v>0</v>
      </c>
      <c r="GI415" s="145"/>
      <c r="GJ415" s="996">
        <v>-0.58000844000000029</v>
      </c>
      <c r="GK415" s="145"/>
      <c r="GL415" s="996">
        <v>0</v>
      </c>
      <c r="GM415" s="1005"/>
      <c r="GN415" s="996">
        <v>0</v>
      </c>
      <c r="GO415" s="1006"/>
      <c r="GP415" s="996">
        <v>0.58502444000000153</v>
      </c>
      <c r="GQ415" s="1006" t="s">
        <v>241</v>
      </c>
      <c r="GR415" s="996">
        <v>-3.5352191160000004</v>
      </c>
      <c r="GS415" s="1006" t="s">
        <v>199</v>
      </c>
      <c r="GT415" s="996">
        <v>1.5294210359999987</v>
      </c>
      <c r="GU415" s="1006"/>
      <c r="GV415" s="996">
        <v>0</v>
      </c>
      <c r="GW415" s="1006" t="s">
        <v>223</v>
      </c>
      <c r="GX415" s="996">
        <v>-1.0864739599999993</v>
      </c>
      <c r="GY415" s="1006" t="s">
        <v>223</v>
      </c>
      <c r="GZ415" s="996">
        <v>-2.0893729999999984</v>
      </c>
      <c r="HA415" s="1006"/>
      <c r="HB415" s="996">
        <v>-0.66634216000000279</v>
      </c>
      <c r="HC415" s="1006" t="s">
        <v>199</v>
      </c>
      <c r="HD415" s="996">
        <v>1.4122748640000005</v>
      </c>
      <c r="HE415" s="1006"/>
      <c r="HF415" s="996">
        <v>-0.7855256639999979</v>
      </c>
      <c r="HG415" s="1006" t="s">
        <v>199</v>
      </c>
      <c r="HH415" s="996">
        <v>-0.71031576000000385</v>
      </c>
      <c r="HI415" s="1006"/>
      <c r="HJ415" s="996">
        <v>0.17548977599999915</v>
      </c>
      <c r="HK415" s="1006" t="s">
        <v>221</v>
      </c>
      <c r="HL415" s="996">
        <v>-2.8890891704399948</v>
      </c>
      <c r="HM415" s="1006" t="s">
        <v>308</v>
      </c>
      <c r="HN415" s="996">
        <v>5.6305371544399954</v>
      </c>
      <c r="HO415" s="1006"/>
      <c r="HP415" s="996">
        <v>0</v>
      </c>
      <c r="HQ415" s="1006" t="s">
        <v>199</v>
      </c>
      <c r="HR415" s="996">
        <v>2.2404800000000016</v>
      </c>
      <c r="HS415" s="1006" t="s">
        <v>643</v>
      </c>
      <c r="HT415" s="996">
        <v>0</v>
      </c>
      <c r="HU415" s="1006" t="s">
        <v>204</v>
      </c>
      <c r="HV415" s="996">
        <v>1.689656320000001</v>
      </c>
      <c r="HW415" s="1006"/>
      <c r="HX415" s="996">
        <v>0</v>
      </c>
      <c r="HY415" s="1006" t="s">
        <v>239</v>
      </c>
      <c r="HZ415" s="996">
        <v>-8.3289409280000015</v>
      </c>
      <c r="IA415" s="1006"/>
      <c r="IB415" s="996">
        <v>0</v>
      </c>
      <c r="IC415" s="1006"/>
      <c r="ID415" s="996">
        <v>-0.57539539200000078</v>
      </c>
      <c r="IE415" s="1006"/>
      <c r="IF415" s="996">
        <v>0.45980000000000132</v>
      </c>
      <c r="IG415" s="1006"/>
      <c r="IH415" s="996">
        <v>0</v>
      </c>
      <c r="II415" s="1006"/>
      <c r="IJ415" s="996">
        <v>0</v>
      </c>
      <c r="IK415" s="1006"/>
      <c r="IL415" s="996">
        <v>0</v>
      </c>
      <c r="IM415" s="1006"/>
      <c r="IN415" s="996">
        <v>0</v>
      </c>
      <c r="IO415" s="1006" t="s">
        <v>203</v>
      </c>
      <c r="IP415" s="996">
        <v>5.9356000000000009</v>
      </c>
      <c r="IQ415" s="1006" t="s">
        <v>203</v>
      </c>
      <c r="IR415" s="996">
        <v>-11.787600000000001</v>
      </c>
      <c r="IS415" s="1006"/>
      <c r="IT415" s="996">
        <v>0</v>
      </c>
      <c r="IU415" s="1006" t="s">
        <v>203</v>
      </c>
      <c r="IV415" s="996">
        <v>-3.1767999999999965</v>
      </c>
      <c r="IW415" s="1006" t="s">
        <v>203</v>
      </c>
      <c r="IX415" s="996">
        <v>-2.6752000000000038</v>
      </c>
      <c r="IY415" s="1006"/>
      <c r="IZ415" s="996">
        <v>0</v>
      </c>
      <c r="JA415" s="1006" t="s">
        <v>203</v>
      </c>
      <c r="JB415" s="996">
        <v>-4.5143999999999949</v>
      </c>
      <c r="JC415" s="1006" t="s">
        <v>203</v>
      </c>
      <c r="JD415" s="996">
        <v>-16.876298560000009</v>
      </c>
      <c r="JE415" s="1006" t="s">
        <v>25</v>
      </c>
      <c r="JF415" s="996">
        <v>57.338698560000005</v>
      </c>
      <c r="JG415" s="1006"/>
      <c r="JH415" s="996"/>
      <c r="JI415" s="1006"/>
      <c r="JJ415" s="996"/>
      <c r="JK415" s="1007"/>
      <c r="JL415" s="1007"/>
      <c r="JM415" s="1007"/>
      <c r="JN415" s="1007"/>
      <c r="JO415" s="1008"/>
      <c r="JP415" s="1007"/>
      <c r="JQ415" s="1008"/>
      <c r="JR415" s="1007"/>
      <c r="JS415" s="1008"/>
      <c r="JT415" s="1007"/>
      <c r="JU415" s="1008"/>
      <c r="JV415" s="1007"/>
      <c r="JW415" s="1008"/>
      <c r="JX415" s="1007"/>
      <c r="JY415" s="1008"/>
      <c r="JZ415" s="1007"/>
      <c r="KA415" s="1008"/>
      <c r="KB415" s="1007"/>
      <c r="KC415" s="1008"/>
      <c r="KD415" s="1007"/>
      <c r="KE415" s="1008"/>
      <c r="KF415" s="1007"/>
      <c r="KG415" s="1008"/>
      <c r="KH415" s="1007"/>
      <c r="KI415" s="1008"/>
      <c r="KJ415" s="1007"/>
      <c r="KK415" s="1008"/>
      <c r="KL415" s="1007"/>
      <c r="KM415" s="1008"/>
      <c r="KN415" s="1007"/>
      <c r="KO415" s="1008"/>
      <c r="KP415" s="1007"/>
      <c r="KQ415" s="1008"/>
      <c r="KR415" s="1007"/>
      <c r="KS415" s="1008"/>
      <c r="KT415" s="1007"/>
      <c r="KU415" s="1008"/>
      <c r="KV415" s="1007"/>
      <c r="KW415" s="1008"/>
      <c r="KX415" s="1007"/>
      <c r="KY415" s="1008"/>
      <c r="KZ415" s="1007"/>
      <c r="LA415" s="1008"/>
      <c r="LB415" s="1007"/>
      <c r="LC415" s="1008"/>
      <c r="LD415" s="1007"/>
      <c r="LE415" s="1008"/>
      <c r="LF415" s="1007"/>
      <c r="LG415" s="1008"/>
      <c r="LH415" s="1007"/>
      <c r="LI415" s="1008"/>
      <c r="LJ415" s="1007"/>
      <c r="LK415" s="1008"/>
      <c r="LL415" s="1007"/>
      <c r="LM415" s="1008"/>
      <c r="LN415" s="1007"/>
      <c r="LO415" s="1008"/>
      <c r="LP415" s="1007"/>
      <c r="LQ415" s="1008"/>
      <c r="LR415" s="1007"/>
      <c r="LS415" s="1008"/>
      <c r="LT415" s="1007"/>
      <c r="LU415" s="1008"/>
      <c r="LV415" s="1007"/>
      <c r="LW415" s="1008"/>
      <c r="LX415" s="1007"/>
      <c r="LY415" s="1009"/>
      <c r="LZ415" s="1010"/>
      <c r="MA415" s="1011"/>
      <c r="MB415" s="1012"/>
      <c r="MC415" s="995"/>
      <c r="MD415" s="996"/>
      <c r="ME415" s="997" t="s">
        <v>202</v>
      </c>
      <c r="MF415" s="997"/>
      <c r="MG415" s="998"/>
      <c r="NR415" s="1000"/>
      <c r="NS415" s="1000"/>
      <c r="NT415" s="1001"/>
      <c r="NU415" s="1000"/>
      <c r="NV415" s="1001"/>
      <c r="NX415" s="1002"/>
      <c r="NZ415" s="1001"/>
      <c r="OA415" s="1001"/>
      <c r="OC415" s="1003"/>
      <c r="OD415" s="1003"/>
      <c r="OE415" s="1001"/>
      <c r="OF415" s="1003"/>
      <c r="OG415" s="1003"/>
      <c r="QX415" s="1000">
        <f>CN415-CA415</f>
        <v>26</v>
      </c>
      <c r="ASU415" s="999" t="s">
        <v>208</v>
      </c>
    </row>
    <row r="416" spans="1:466 1191:1191" ht="21" customHeight="1" x14ac:dyDescent="0.25">
      <c r="A416" s="982">
        <f t="shared" si="323"/>
        <v>1485</v>
      </c>
      <c r="B416" s="124">
        <f>SUBTOTAL(103,$J$29:J416)</f>
        <v>388</v>
      </c>
      <c r="C416" s="126">
        <v>45068</v>
      </c>
      <c r="D416" s="124" t="s">
        <v>176</v>
      </c>
      <c r="E416" s="127" t="s">
        <v>177</v>
      </c>
      <c r="F416" s="128" t="s">
        <v>177</v>
      </c>
      <c r="G416" s="127" t="s">
        <v>178</v>
      </c>
      <c r="H416" s="127" t="s">
        <v>179</v>
      </c>
      <c r="I416" s="127" t="s">
        <v>1581</v>
      </c>
      <c r="J416" s="152">
        <v>1485</v>
      </c>
      <c r="K416" s="127" t="s">
        <v>1581</v>
      </c>
      <c r="L416" s="130">
        <v>43353</v>
      </c>
      <c r="M416" s="127" t="s">
        <v>230</v>
      </c>
      <c r="N416" s="127" t="s">
        <v>184</v>
      </c>
      <c r="O416" s="127" t="s">
        <v>185</v>
      </c>
      <c r="P416" s="127" t="s">
        <v>292</v>
      </c>
      <c r="Q416" s="85" t="str">
        <f t="shared" si="319"/>
        <v/>
      </c>
      <c r="R416" s="130"/>
      <c r="S416" s="128"/>
      <c r="T416" s="144"/>
      <c r="U416" s="132">
        <v>203</v>
      </c>
      <c r="V416" s="121">
        <v>218.2</v>
      </c>
      <c r="W416" s="116">
        <v>0.98</v>
      </c>
      <c r="X416" s="116">
        <v>1.66</v>
      </c>
      <c r="Y416" s="116">
        <f t="shared" si="299"/>
        <v>0.98</v>
      </c>
      <c r="Z416" s="133">
        <v>1.454</v>
      </c>
      <c r="AA416" s="133">
        <v>0.83599999999999997</v>
      </c>
      <c r="AB416" s="133">
        <v>0.72</v>
      </c>
      <c r="AC416" s="121">
        <v>34.299999999999997</v>
      </c>
      <c r="AD416" s="134">
        <v>1.17</v>
      </c>
      <c r="AE416" s="124">
        <v>177.8</v>
      </c>
      <c r="AF416" s="128">
        <v>9.19</v>
      </c>
      <c r="AG416" s="128">
        <v>2093</v>
      </c>
      <c r="AH416" s="127" t="s">
        <v>1598</v>
      </c>
      <c r="AI416" s="127" t="s">
        <v>1598</v>
      </c>
      <c r="AJ416" s="135">
        <v>44961</v>
      </c>
      <c r="AK416" s="128"/>
      <c r="AL416" s="131" t="s">
        <v>1599</v>
      </c>
      <c r="AM416" s="124" t="s">
        <v>1485</v>
      </c>
      <c r="AN416" s="136" t="s">
        <v>1600</v>
      </c>
      <c r="AO416" s="137">
        <v>470</v>
      </c>
      <c r="AP416" s="128">
        <v>2165</v>
      </c>
      <c r="AQ416" s="128">
        <v>50</v>
      </c>
      <c r="AR416" s="128" t="s">
        <v>1601</v>
      </c>
      <c r="AS416" s="128">
        <v>114</v>
      </c>
      <c r="AT416" s="122">
        <v>7.37</v>
      </c>
      <c r="AU416" s="124" t="s">
        <v>189</v>
      </c>
      <c r="AV416" s="115">
        <f>VLOOKUP(J416,'[63]ТР нефть'!$J$28:$BP$638,39,0)</f>
        <v>549.99999140600005</v>
      </c>
      <c r="AW416" s="115" t="str">
        <f>VLOOKUP(J416,'[63]ТР нефть'!$J$28:$BP$638,40,0)</f>
        <v>ГП</v>
      </c>
      <c r="AX416" s="115">
        <f>VLOOKUP(J416,'[63]ТР нефть'!$J$28:$BP$638,41,0)</f>
        <v>1020.000028711</v>
      </c>
      <c r="AY416" s="115" t="str">
        <f>VLOOKUP(J416,'[63]ТР нефть'!$J$28:$BP$638,42,0)</f>
        <v>ГК76 1/8</v>
      </c>
      <c r="AZ416" s="115">
        <f>VLOOKUP(J416,'[63]ТР нефть'!$J$28:$BP$638,43,0)</f>
        <v>1440.000066797</v>
      </c>
      <c r="BA416" s="115" t="str">
        <f>VLOOKUP(J416,'[63]ТР нефть'!$J$28:$BP$638,44,0)</f>
        <v>ГК77 1/8</v>
      </c>
      <c r="BB416" s="115">
        <f>VLOOKUP(J416,'[63]ТР нефть'!$J$28:$BP$638,45,0)</f>
        <v>1860.000030469</v>
      </c>
      <c r="BC416" s="115" t="str">
        <f>VLOOKUP(J416,'[63]ТР нефть'!$J$28:$BP$638,46,0)</f>
        <v>ЦКсОК 5/16</v>
      </c>
      <c r="BD416" s="115" t="str">
        <f>VLOOKUP(J416,'[63]ТР нефть'!$J$28:$BP$638,47,0)</f>
        <v>-</v>
      </c>
      <c r="BE416" s="115" t="str">
        <f>VLOOKUP(J416,'[63]ТР нефть'!$J$28:$BP$638,48,0)</f>
        <v>-</v>
      </c>
      <c r="BF416" s="115" t="str">
        <f>VLOOKUP(J416,'[63]ТР нефть'!$J$28:$BP$638,49,0)</f>
        <v>-</v>
      </c>
      <c r="BG416" s="115" t="str">
        <f>VLOOKUP(J416,'[63]ТР нефть'!$J$28:$BP$638,50,0)</f>
        <v>-</v>
      </c>
      <c r="BH416" s="115">
        <f>VLOOKUP(J416,'[63]ТР нефть'!$J$28:$BP$638,51,0)</f>
        <v>1870</v>
      </c>
      <c r="BI416" s="115" t="str">
        <f>VLOOKUP(J416,'[63]ТР нефть'!$J$28:$BP$638,52,0)</f>
        <v xml:space="preserve">закрыт </v>
      </c>
      <c r="BJ416" s="115" t="str">
        <f>IF(IFERROR(VLOOKUP(J416,'[63]ТР нефть'!$J$28:$BP$638,53,0),"-")=0,"-",IFERROR(VLOOKUP(J416,'[63]ТР нефть'!$J$28:$BP$638,53,0),"-"))</f>
        <v>-</v>
      </c>
      <c r="BK416" s="138" t="str">
        <f>IF(IFERROR(VLOOKUP(J416,'[63]ТР нефть'!$J$28:$BP$638,54,0),"-")=0,"-",IFERROR(VLOOKUP(J416,'[63]ТР нефть'!$J$28:$BP$638,54,0),"-"))</f>
        <v>-</v>
      </c>
      <c r="BL416" s="138" t="str">
        <f>IF(IFERROR(VLOOKUP(J416,'[63]ТР нефть'!$J$28:$BP$638,55,0),"-")=0,"-",IFERROR(VLOOKUP(J416,'[63]ТР нефть'!$J$28:$BP$638,55,0),"-"))</f>
        <v>-</v>
      </c>
      <c r="BM416" s="138" t="str">
        <f>IF(IFERROR(VLOOKUP(J416,'[63]ТР нефть'!$J$28:$BP$638,56,0),"-")=0,"-",IFERROR(VLOOKUP(J416,'[63]ТР нефть'!$J$28:$BP$638,56,0),"-"))</f>
        <v>-</v>
      </c>
      <c r="BN416" s="138" t="str">
        <f>IF(IFERROR(VLOOKUP(J416,'[63]ТР нефть'!$J$28:$BP$638,57,0),"-")=0,"-",IFERROR(VLOOKUP(J416,'[63]ТР нефть'!$J$28:$BP$638,57,0),"-"))</f>
        <v>-</v>
      </c>
      <c r="BO416" s="115" t="str">
        <f>IF(IFERROR(VLOOKUP(J416,'[63]ТР нефть'!$J$28:$BP$638,58,0),"-")=0,"-",IFERROR(VLOOKUP(J416,'[63]ТР нефть'!$J$28:$BP$638,58,0),"-"))</f>
        <v>-</v>
      </c>
      <c r="BP416" s="115" t="str">
        <f>IF(IFERROR(VLOOKUP(J416,'[63]ТР нефть'!$J$28:$BP$638,59,0),"-")=0,"-",IFERROR(VLOOKUP(J416,'[63]ТР нефть'!$J$28:$BP$638,59,0),"-"))</f>
        <v>-</v>
      </c>
      <c r="BQ416" s="138">
        <v>1894</v>
      </c>
      <c r="BR416" s="128">
        <v>1891</v>
      </c>
      <c r="BS416" s="115">
        <f t="shared" si="340"/>
        <v>3</v>
      </c>
      <c r="BT416" s="128">
        <v>73</v>
      </c>
      <c r="BU416" s="128">
        <v>5.5</v>
      </c>
      <c r="BV416" s="127">
        <v>65</v>
      </c>
      <c r="BW416" s="127" t="s">
        <v>217</v>
      </c>
      <c r="BX416" s="127" t="s">
        <v>195</v>
      </c>
      <c r="BY416" s="139">
        <v>24</v>
      </c>
      <c r="BZ416" s="139">
        <v>0</v>
      </c>
      <c r="CA416" s="138">
        <v>25</v>
      </c>
      <c r="CB416" s="138">
        <v>54</v>
      </c>
      <c r="CC416" s="138">
        <v>24</v>
      </c>
      <c r="CD416" s="135">
        <v>45017</v>
      </c>
      <c r="CE416" s="138">
        <v>128</v>
      </c>
      <c r="CF416" s="138">
        <v>70</v>
      </c>
      <c r="CG416" s="138" t="str">
        <f t="shared" si="310"/>
        <v>В работе</v>
      </c>
      <c r="CH416" s="138" t="s">
        <v>196</v>
      </c>
      <c r="CI416" s="127"/>
      <c r="CJ416" s="138"/>
      <c r="CK416" s="138">
        <f t="shared" si="308"/>
        <v>37</v>
      </c>
      <c r="CL416" s="99"/>
      <c r="CM416" s="99"/>
      <c r="CN416" s="140">
        <v>62</v>
      </c>
      <c r="CO416" s="141">
        <f t="shared" si="324"/>
        <v>20.064</v>
      </c>
      <c r="CP416" s="142">
        <v>24</v>
      </c>
      <c r="CQ416" s="143">
        <v>0</v>
      </c>
      <c r="CR416" s="138">
        <v>16</v>
      </c>
      <c r="CS416" s="139">
        <v>11.8</v>
      </c>
      <c r="CT416" s="138"/>
      <c r="CU416" s="138">
        <f t="shared" si="320"/>
        <v>4.1999999999999993</v>
      </c>
      <c r="CV416" s="115">
        <f t="shared" si="321"/>
        <v>209.33014354066981</v>
      </c>
      <c r="CW416" s="115">
        <f t="shared" si="325"/>
        <v>588.1180223285487</v>
      </c>
      <c r="CX416" s="133">
        <f t="shared" si="322"/>
        <v>0.36363636363636365</v>
      </c>
      <c r="CY416" s="133"/>
      <c r="CZ416" s="131"/>
      <c r="DA416" s="145" t="str">
        <f t="shared" si="326"/>
        <v>Газлифт</v>
      </c>
      <c r="DB416" s="146">
        <v>17.5</v>
      </c>
      <c r="DC416" s="142">
        <v>21</v>
      </c>
      <c r="DD416" s="119">
        <f t="shared" si="303"/>
        <v>0</v>
      </c>
      <c r="DE416" s="115">
        <v>26</v>
      </c>
      <c r="DF416" s="121">
        <f t="shared" si="328"/>
        <v>11.8</v>
      </c>
      <c r="DG416" s="115">
        <f t="shared" si="329"/>
        <v>209.33014354066981</v>
      </c>
      <c r="DH416" s="115">
        <f t="shared" si="330"/>
        <v>62</v>
      </c>
      <c r="DI416" s="147"/>
      <c r="DJ416" s="111" t="s">
        <v>197</v>
      </c>
      <c r="DK416" s="112">
        <v>43353</v>
      </c>
      <c r="DL416" s="113">
        <f t="shared" ca="1" si="312"/>
        <v>1751</v>
      </c>
      <c r="DM416" s="114"/>
      <c r="DN416" s="114"/>
      <c r="DO416" s="114"/>
      <c r="DP416" s="114"/>
      <c r="DQ416" s="112">
        <v>43353</v>
      </c>
      <c r="DR416" s="114" t="s">
        <v>324</v>
      </c>
      <c r="DS416" s="114"/>
      <c r="DT416" s="115">
        <v>39</v>
      </c>
      <c r="DU416" s="116">
        <f t="shared" si="313"/>
        <v>0.32596232596232605</v>
      </c>
      <c r="DV416" s="117">
        <f t="shared" si="314"/>
        <v>24.252900900900908</v>
      </c>
      <c r="DW416" s="118">
        <f t="shared" si="315"/>
        <v>29.01064701064702</v>
      </c>
      <c r="DX416" s="119">
        <f t="shared" si="331"/>
        <v>0</v>
      </c>
      <c r="DY416" s="115">
        <f t="shared" si="316"/>
        <v>5.0768632268632272</v>
      </c>
      <c r="DZ416" s="117">
        <f t="shared" si="317"/>
        <v>4.1889009009009079</v>
      </c>
      <c r="EA416" s="120">
        <f t="shared" si="317"/>
        <v>5.0106470106470198</v>
      </c>
      <c r="EB416" s="119">
        <f t="shared" si="317"/>
        <v>0</v>
      </c>
      <c r="EC416" s="121">
        <f t="shared" si="318"/>
        <v>0.87686322686322793</v>
      </c>
      <c r="ED416" s="122"/>
      <c r="EE416" s="145">
        <v>65</v>
      </c>
      <c r="EF416" s="115">
        <v>26</v>
      </c>
      <c r="EG416" s="115">
        <v>53</v>
      </c>
      <c r="EH416" s="115">
        <v>25</v>
      </c>
      <c r="EI416" s="128" t="s">
        <v>195</v>
      </c>
      <c r="EJ416" s="121">
        <v>24</v>
      </c>
      <c r="EK416" s="121">
        <v>0</v>
      </c>
      <c r="EL416" s="149">
        <v>21.736000000000001</v>
      </c>
      <c r="EM416" s="117">
        <v>26</v>
      </c>
      <c r="EN416" s="119">
        <v>0</v>
      </c>
      <c r="EO416" s="115">
        <v>17.5</v>
      </c>
      <c r="EP416" s="115">
        <v>253.03643724696354</v>
      </c>
      <c r="EQ416" s="115">
        <v>71</v>
      </c>
      <c r="ER416" s="115">
        <v>12</v>
      </c>
      <c r="ES416" s="115">
        <v>63</v>
      </c>
      <c r="ET416" s="150">
        <v>0.4</v>
      </c>
      <c r="EU416" s="145">
        <f t="shared" si="332"/>
        <v>65</v>
      </c>
      <c r="EV416" s="115">
        <f t="shared" si="333"/>
        <v>25</v>
      </c>
      <c r="EW416" s="115">
        <f t="shared" si="333"/>
        <v>54</v>
      </c>
      <c r="EX416" s="115">
        <f t="shared" si="333"/>
        <v>24</v>
      </c>
      <c r="EY416" s="115" t="str">
        <f t="shared" si="309"/>
        <v>Постоянный</v>
      </c>
      <c r="EZ416" s="115">
        <f t="shared" si="309"/>
        <v>24</v>
      </c>
      <c r="FA416" s="115">
        <f t="shared" si="309"/>
        <v>0</v>
      </c>
      <c r="FB416" s="149">
        <f t="shared" si="298"/>
        <v>20.064</v>
      </c>
      <c r="FC416" s="142">
        <f t="shared" si="298"/>
        <v>24</v>
      </c>
      <c r="FD416" s="119">
        <f t="shared" si="298"/>
        <v>0</v>
      </c>
      <c r="FE416" s="121">
        <f t="shared" si="298"/>
        <v>16</v>
      </c>
      <c r="FF416" s="121">
        <f t="shared" si="300"/>
        <v>209.33014354066981</v>
      </c>
      <c r="FG416" s="121">
        <f t="shared" si="334"/>
        <v>70</v>
      </c>
      <c r="FH416" s="121">
        <f t="shared" si="301"/>
        <v>11.8</v>
      </c>
      <c r="FI416" s="121">
        <f t="shared" si="306"/>
        <v>62</v>
      </c>
      <c r="FJ416" s="144">
        <f t="shared" si="335"/>
        <v>0.36363636363636365</v>
      </c>
      <c r="FK416" s="132">
        <f t="shared" si="336"/>
        <v>0</v>
      </c>
      <c r="FL416" s="115">
        <f t="shared" si="336"/>
        <v>-1</v>
      </c>
      <c r="FM416" s="115">
        <f t="shared" si="336"/>
        <v>1</v>
      </c>
      <c r="FN416" s="115">
        <f t="shared" si="336"/>
        <v>-1</v>
      </c>
      <c r="FO416" s="115">
        <f t="shared" si="311"/>
        <v>0</v>
      </c>
      <c r="FP416" s="115">
        <f t="shared" si="311"/>
        <v>0</v>
      </c>
      <c r="FQ416" s="149">
        <f t="shared" si="311"/>
        <v>-1.6720000000000006</v>
      </c>
      <c r="FR416" s="142">
        <f t="shared" si="311"/>
        <v>-2</v>
      </c>
      <c r="FS416" s="119">
        <f t="shared" si="311"/>
        <v>0</v>
      </c>
      <c r="FT416" s="121">
        <f t="shared" si="311"/>
        <v>-1.5</v>
      </c>
      <c r="FU416" s="121">
        <f t="shared" si="337"/>
        <v>-1</v>
      </c>
      <c r="FV416" s="121">
        <f t="shared" si="337"/>
        <v>-0.19999999999999929</v>
      </c>
      <c r="FW416" s="121">
        <f t="shared" si="338"/>
        <v>-43.706293706293735</v>
      </c>
      <c r="FX416" s="121">
        <f t="shared" si="339"/>
        <v>-1</v>
      </c>
      <c r="FY416" s="144">
        <f t="shared" si="339"/>
        <v>-3.6363636363636376E-2</v>
      </c>
      <c r="FZ416" s="145" t="s">
        <v>203</v>
      </c>
      <c r="GA416" s="136" t="s">
        <v>1602</v>
      </c>
      <c r="GB416" s="145" t="s">
        <v>203</v>
      </c>
      <c r="GC416" s="136" t="s">
        <v>1603</v>
      </c>
      <c r="GD416" s="997" t="s">
        <v>202</v>
      </c>
      <c r="GE416" s="1004" t="s">
        <v>203</v>
      </c>
      <c r="GF416" s="1004">
        <v>-6.2332160000000023</v>
      </c>
      <c r="GG416" s="1004" t="s">
        <v>25</v>
      </c>
      <c r="GH416" s="1004">
        <v>27.969216000000003</v>
      </c>
      <c r="GI416" s="145"/>
      <c r="GJ416" s="996">
        <v>0</v>
      </c>
      <c r="GK416" s="145"/>
      <c r="GL416" s="996">
        <v>0</v>
      </c>
      <c r="GM416" s="1005"/>
      <c r="GN416" s="996">
        <v>0</v>
      </c>
      <c r="GO416" s="1006"/>
      <c r="GP416" s="996">
        <v>0</v>
      </c>
      <c r="GQ416" s="1006"/>
      <c r="GR416" s="996">
        <v>-5.0159999999999996E-2</v>
      </c>
      <c r="GS416" s="1006"/>
      <c r="GT416" s="996">
        <v>0</v>
      </c>
      <c r="GU416" s="1006"/>
      <c r="GV416" s="996">
        <v>0</v>
      </c>
      <c r="GW416" s="1006"/>
      <c r="GX416" s="996">
        <v>0</v>
      </c>
      <c r="GY416" s="1006"/>
      <c r="GZ416" s="996">
        <v>1.2001723927599996E-2</v>
      </c>
      <c r="HA416" s="1006"/>
      <c r="HB416" s="996">
        <v>-2.2312390594266665E-2</v>
      </c>
      <c r="HC416" s="1006"/>
      <c r="HD416" s="996">
        <v>0</v>
      </c>
      <c r="HE416" s="1006"/>
      <c r="HF416" s="996">
        <v>0</v>
      </c>
      <c r="HG416" s="1006"/>
      <c r="HH416" s="996">
        <v>-0.10671261333333334</v>
      </c>
      <c r="HI416" s="1006"/>
      <c r="HJ416" s="996">
        <v>-0.86768122320000007</v>
      </c>
      <c r="HK416" s="1006" t="s">
        <v>199</v>
      </c>
      <c r="HL416" s="996">
        <v>1.0319297656516131</v>
      </c>
      <c r="HM416" s="1006"/>
      <c r="HN416" s="996">
        <v>0</v>
      </c>
      <c r="HO416" s="1006"/>
      <c r="HP416" s="996">
        <v>0</v>
      </c>
      <c r="HQ416" s="1006"/>
      <c r="HR416" s="996">
        <v>-0.28130526245161291</v>
      </c>
      <c r="HS416" s="1006"/>
      <c r="HT416" s="996">
        <v>0</v>
      </c>
      <c r="HU416" s="1006"/>
      <c r="HV416" s="996">
        <v>-0.10589333333333328</v>
      </c>
      <c r="HW416" s="1006" t="s">
        <v>223</v>
      </c>
      <c r="HX416" s="996">
        <v>-3.1712266666666662</v>
      </c>
      <c r="HY416" s="1006"/>
      <c r="HZ416" s="996">
        <v>0</v>
      </c>
      <c r="IA416" s="1006"/>
      <c r="IB416" s="996">
        <v>0</v>
      </c>
      <c r="IC416" s="1006"/>
      <c r="ID416" s="996">
        <v>-0.95304000000000055</v>
      </c>
      <c r="IE416" s="1006" t="s">
        <v>199</v>
      </c>
      <c r="IF416" s="996">
        <v>3.6784000000000003</v>
      </c>
      <c r="IG416" s="1006"/>
      <c r="IH416" s="996">
        <v>0</v>
      </c>
      <c r="II416" s="1006" t="s">
        <v>199</v>
      </c>
      <c r="IJ416" s="996">
        <v>-7.5239999999999991</v>
      </c>
      <c r="IK416" s="1006" t="s">
        <v>223</v>
      </c>
      <c r="IL416" s="996">
        <v>-3.3439999999999994</v>
      </c>
      <c r="IM416" s="1006"/>
      <c r="IN416" s="996">
        <v>0</v>
      </c>
      <c r="IO416" s="1006" t="s">
        <v>204</v>
      </c>
      <c r="IP416" s="996">
        <v>-9.1959999999999997</v>
      </c>
      <c r="IQ416" s="1006"/>
      <c r="IR416" s="996">
        <v>0</v>
      </c>
      <c r="IS416" s="1006" t="s">
        <v>199</v>
      </c>
      <c r="IT416" s="996">
        <v>16.72</v>
      </c>
      <c r="IU416" s="1006" t="s">
        <v>199</v>
      </c>
      <c r="IV416" s="996">
        <v>-17.556000000000001</v>
      </c>
      <c r="IW416" s="1006" t="s">
        <v>199</v>
      </c>
      <c r="IX416" s="996">
        <v>15.902726400000002</v>
      </c>
      <c r="IY416" s="1006" t="s">
        <v>223</v>
      </c>
      <c r="IZ416" s="996">
        <v>-2.4999744000000002</v>
      </c>
      <c r="JA416" s="1006" t="s">
        <v>199</v>
      </c>
      <c r="JB416" s="996">
        <v>-18.333145600000002</v>
      </c>
      <c r="JC416" s="1006"/>
      <c r="JD416" s="996">
        <v>0</v>
      </c>
      <c r="JE416" s="1006" t="s">
        <v>199</v>
      </c>
      <c r="JF416" s="996">
        <v>23.499759359999999</v>
      </c>
      <c r="JG416" s="1006" t="s">
        <v>199</v>
      </c>
      <c r="JH416" s="996">
        <v>-20.99978496</v>
      </c>
      <c r="JI416" s="1006"/>
      <c r="JJ416" s="996">
        <v>0</v>
      </c>
      <c r="JK416" s="1007"/>
      <c r="JL416" s="1007">
        <v>0</v>
      </c>
      <c r="JM416" s="1007"/>
      <c r="JN416" s="1007">
        <v>0</v>
      </c>
      <c r="JO416" s="1008"/>
      <c r="JP416" s="1007">
        <v>0</v>
      </c>
      <c r="JQ416" s="1008" t="s">
        <v>199</v>
      </c>
      <c r="JR416" s="1007">
        <v>6.6104191999999991</v>
      </c>
      <c r="JS416" s="1008" t="s">
        <v>199</v>
      </c>
      <c r="JT416" s="1007">
        <v>-4.1239545599999978</v>
      </c>
      <c r="JU416" s="1008" t="s">
        <v>199</v>
      </c>
      <c r="JV416" s="1007">
        <v>-4.2360454400000016</v>
      </c>
      <c r="JW416" s="1008" t="s">
        <v>203</v>
      </c>
      <c r="JX416" s="1007">
        <v>2.4912800000000033</v>
      </c>
      <c r="JY416" s="1008"/>
      <c r="JZ416" s="1007">
        <v>0</v>
      </c>
      <c r="KA416" s="1008"/>
      <c r="KB416" s="1007">
        <v>0</v>
      </c>
      <c r="KC416" s="1008"/>
      <c r="KD416" s="1007">
        <v>0</v>
      </c>
      <c r="KE416" s="1008" t="s">
        <v>240</v>
      </c>
      <c r="KF416" s="1007">
        <v>-20.465280000000003</v>
      </c>
      <c r="KG416" s="1008"/>
      <c r="KH416" s="1007">
        <v>0</v>
      </c>
      <c r="KI416" s="1008" t="s">
        <v>203</v>
      </c>
      <c r="KJ416" s="1007">
        <v>1.3376000000000019</v>
      </c>
      <c r="KK416" s="1008"/>
      <c r="KL416" s="1007">
        <v>0</v>
      </c>
      <c r="KM416" s="1008" t="s">
        <v>324</v>
      </c>
      <c r="KN416" s="1007">
        <v>42.552</v>
      </c>
      <c r="KO416" s="1008"/>
      <c r="KP416" s="1007"/>
      <c r="KQ416" s="1008">
        <v>0</v>
      </c>
      <c r="KR416" s="1007">
        <v>0</v>
      </c>
      <c r="KS416" s="1008">
        <v>0</v>
      </c>
      <c r="KT416" s="1007">
        <v>0</v>
      </c>
      <c r="KU416" s="1008">
        <v>0</v>
      </c>
      <c r="KV416" s="1007">
        <v>0</v>
      </c>
      <c r="KW416" s="1008">
        <v>0</v>
      </c>
      <c r="KX416" s="1007">
        <v>0</v>
      </c>
      <c r="KY416" s="1008">
        <v>0</v>
      </c>
      <c r="KZ416" s="1007">
        <v>0</v>
      </c>
      <c r="LA416" s="1008">
        <v>0</v>
      </c>
      <c r="LB416" s="1007">
        <v>0</v>
      </c>
      <c r="LC416" s="1008">
        <v>0</v>
      </c>
      <c r="LD416" s="1007">
        <v>0</v>
      </c>
      <c r="LE416" s="1008">
        <v>0</v>
      </c>
      <c r="LF416" s="1007">
        <v>0</v>
      </c>
      <c r="LG416" s="1008">
        <v>0</v>
      </c>
      <c r="LH416" s="1007">
        <v>0</v>
      </c>
      <c r="LI416" s="1008">
        <v>0</v>
      </c>
      <c r="LJ416" s="1007">
        <v>0</v>
      </c>
      <c r="LK416" s="1008">
        <v>0</v>
      </c>
      <c r="LL416" s="1007">
        <v>0</v>
      </c>
      <c r="LM416" s="1008">
        <v>0</v>
      </c>
      <c r="LN416" s="1007">
        <v>0</v>
      </c>
      <c r="LO416" s="1008">
        <v>0</v>
      </c>
      <c r="LP416" s="1007">
        <v>0</v>
      </c>
      <c r="LQ416" s="1008">
        <v>0</v>
      </c>
      <c r="LR416" s="1007">
        <v>0</v>
      </c>
      <c r="LS416" s="1008">
        <v>0</v>
      </c>
      <c r="LT416" s="1007">
        <v>0</v>
      </c>
      <c r="LU416" s="1008">
        <v>0</v>
      </c>
      <c r="LV416" s="1007">
        <v>0</v>
      </c>
      <c r="LW416" s="1008">
        <v>0</v>
      </c>
      <c r="LX416" s="1007">
        <v>0</v>
      </c>
      <c r="LY416" s="1009">
        <v>0</v>
      </c>
      <c r="LZ416" s="1010">
        <v>0</v>
      </c>
      <c r="MA416" s="1011">
        <v>0</v>
      </c>
      <c r="MB416" s="1012">
        <v>0</v>
      </c>
      <c r="MC416" s="995"/>
      <c r="MD416" s="996"/>
      <c r="ME416" s="997" t="s">
        <v>202</v>
      </c>
      <c r="MF416" s="997"/>
      <c r="MG416" s="998"/>
      <c r="NR416" s="1000"/>
      <c r="NS416" s="1000"/>
      <c r="NT416" s="1001"/>
      <c r="NU416" s="1000"/>
      <c r="NV416" s="1001"/>
      <c r="NX416" s="1002"/>
      <c r="NZ416" s="1001"/>
      <c r="OA416" s="1001"/>
      <c r="OC416" s="1003"/>
      <c r="OD416" s="1003"/>
      <c r="OE416" s="1001"/>
      <c r="OF416" s="1003"/>
      <c r="OG416" s="1003"/>
      <c r="QX416" s="1000">
        <f>CN416-CA416</f>
        <v>37</v>
      </c>
      <c r="ASU416" s="999" t="s">
        <v>225</v>
      </c>
    </row>
    <row r="417" spans="1:466 1191:1191" ht="21" customHeight="1" x14ac:dyDescent="0.25">
      <c r="A417" s="982">
        <f t="shared" si="323"/>
        <v>1486</v>
      </c>
      <c r="B417" s="124">
        <f>SUBTOTAL(103,$J$29:J417)</f>
        <v>389</v>
      </c>
      <c r="C417" s="126">
        <v>45068</v>
      </c>
      <c r="D417" s="124" t="s">
        <v>176</v>
      </c>
      <c r="E417" s="127" t="s">
        <v>177</v>
      </c>
      <c r="F417" s="128" t="s">
        <v>177</v>
      </c>
      <c r="G417" s="127" t="s">
        <v>178</v>
      </c>
      <c r="H417" s="127" t="s">
        <v>179</v>
      </c>
      <c r="I417" s="127" t="s">
        <v>1581</v>
      </c>
      <c r="J417" s="152">
        <v>1486</v>
      </c>
      <c r="K417" s="127" t="s">
        <v>1581</v>
      </c>
      <c r="L417" s="130">
        <v>43386</v>
      </c>
      <c r="M417" s="127" t="s">
        <v>230</v>
      </c>
      <c r="N417" s="127" t="s">
        <v>184</v>
      </c>
      <c r="O417" s="127" t="s">
        <v>185</v>
      </c>
      <c r="P417" s="127" t="s">
        <v>186</v>
      </c>
      <c r="Q417" s="85" t="str">
        <f t="shared" si="319"/>
        <v/>
      </c>
      <c r="R417" s="130"/>
      <c r="S417" s="128"/>
      <c r="T417" s="144"/>
      <c r="U417" s="132">
        <v>203</v>
      </c>
      <c r="V417" s="121">
        <v>218.2</v>
      </c>
      <c r="W417" s="116">
        <v>0.98</v>
      </c>
      <c r="X417" s="116">
        <v>1.66</v>
      </c>
      <c r="Y417" s="116">
        <f t="shared" si="299"/>
        <v>0.98</v>
      </c>
      <c r="Z417" s="133">
        <v>1.454</v>
      </c>
      <c r="AA417" s="133">
        <v>0.83599999999999997</v>
      </c>
      <c r="AB417" s="133">
        <v>0.72</v>
      </c>
      <c r="AC417" s="121">
        <v>34.299999999999997</v>
      </c>
      <c r="AD417" s="134">
        <v>1.17</v>
      </c>
      <c r="AE417" s="124">
        <v>177.8</v>
      </c>
      <c r="AF417" s="128">
        <v>9.19</v>
      </c>
      <c r="AG417" s="128">
        <v>2455.2199999999998</v>
      </c>
      <c r="AH417" s="127">
        <v>3347</v>
      </c>
      <c r="AI417" s="127">
        <v>3347</v>
      </c>
      <c r="AJ417" s="135"/>
      <c r="AK417" s="128"/>
      <c r="AL417" s="131"/>
      <c r="AM417" s="124" t="s">
        <v>985</v>
      </c>
      <c r="AN417" s="136" t="s">
        <v>1604</v>
      </c>
      <c r="AO417" s="137">
        <v>39.839999999999918</v>
      </c>
      <c r="AP417" s="128">
        <v>2499.0500000000002</v>
      </c>
      <c r="AQ417" s="128">
        <v>683.34</v>
      </c>
      <c r="AR417" s="128" t="s">
        <v>1605</v>
      </c>
      <c r="AS417" s="128">
        <v>114.3</v>
      </c>
      <c r="AT417" s="122">
        <v>7.37</v>
      </c>
      <c r="AU417" s="124" t="s">
        <v>189</v>
      </c>
      <c r="AV417" s="115">
        <f>VLOOKUP(J417,'[63]ТР нефть'!$J$28:$BP$638,39,0)</f>
        <v>524.99999179700001</v>
      </c>
      <c r="AW417" s="115" t="str">
        <f>VLOOKUP(J417,'[63]ТР нефть'!$J$28:$BP$638,40,0)</f>
        <v>ГП</v>
      </c>
      <c r="AX417" s="115">
        <f>VLOOKUP(J417,'[63]ТР нефть'!$J$28:$BP$638,41,0)</f>
        <v>1070.00002793</v>
      </c>
      <c r="AY417" s="115" t="str">
        <f>VLOOKUP(J417,'[63]ТР нефть'!$J$28:$BP$638,42,0)</f>
        <v>ГП</v>
      </c>
      <c r="AZ417" s="115">
        <f>VLOOKUP(J417,'[63]ТР нефть'!$J$28:$BP$638,43,0)</f>
        <v>1515.0000656249999</v>
      </c>
      <c r="BA417" s="115" t="str">
        <f>VLOOKUP(J417,'[63]ТР нефть'!$J$28:$BP$638,44,0)</f>
        <v>ГК77 1/8</v>
      </c>
      <c r="BB417" s="115">
        <f>VLOOKUP(J417,'[63]ТР нефть'!$J$28:$BP$638,45,0)</f>
        <v>1880.000000391</v>
      </c>
      <c r="BC417" s="115" t="str">
        <f>VLOOKUP(J417,'[63]ТР нефть'!$J$28:$BP$638,46,0)</f>
        <v>ГК76 1/8</v>
      </c>
      <c r="BD417" s="115">
        <f>VLOOKUP(J417,'[63]ТР нефть'!$J$28:$BP$638,47,0)</f>
        <v>2190.0000550780001</v>
      </c>
      <c r="BE417" s="115" t="str">
        <f>VLOOKUP(J417,'[63]ТР нефть'!$J$28:$BP$638,48,0)</f>
        <v>ЦКсОК 5/16</v>
      </c>
      <c r="BF417" s="115" t="str">
        <f>VLOOKUP(J417,'[63]ТР нефть'!$J$28:$BP$638,49,0)</f>
        <v>-</v>
      </c>
      <c r="BG417" s="115" t="str">
        <f>VLOOKUP(J417,'[63]ТР нефть'!$J$28:$BP$638,50,0)</f>
        <v>-</v>
      </c>
      <c r="BH417" s="115">
        <f>VLOOKUP(J417,'[63]ТР нефть'!$J$28:$BP$638,51,0)</f>
        <v>2020</v>
      </c>
      <c r="BI417" s="115" t="str">
        <f>VLOOKUP(J417,'[63]ТР нефть'!$J$28:$BP$638,52,0)</f>
        <v>закрыт</v>
      </c>
      <c r="BJ417" s="115" t="str">
        <f>IF(IFERROR(VLOOKUP(J417,'[63]ТР нефть'!$J$28:$BP$638,53,0),"-")=0,"-",IFERROR(VLOOKUP(J417,'[63]ТР нефть'!$J$28:$BP$638,53,0),"-"))</f>
        <v>-</v>
      </c>
      <c r="BK417" s="138" t="str">
        <f>IF(IFERROR(VLOOKUP(J417,'[63]ТР нефть'!$J$28:$BP$638,54,0),"-")=0,"-",IFERROR(VLOOKUP(J417,'[63]ТР нефть'!$J$28:$BP$638,54,0),"-"))</f>
        <v>-</v>
      </c>
      <c r="BL417" s="138" t="str">
        <f>IF(IFERROR(VLOOKUP(J417,'[63]ТР нефть'!$J$28:$BP$638,55,0),"-")=0,"-",IFERROR(VLOOKUP(J417,'[63]ТР нефть'!$J$28:$BP$638,55,0),"-"))</f>
        <v>-</v>
      </c>
      <c r="BM417" s="138" t="str">
        <f>IF(IFERROR(VLOOKUP(J417,'[63]ТР нефть'!$J$28:$BP$638,56,0),"-")=0,"-",IFERROR(VLOOKUP(J417,'[63]ТР нефть'!$J$28:$BP$638,56,0),"-"))</f>
        <v>-</v>
      </c>
      <c r="BN417" s="138" t="str">
        <f>IF(IFERROR(VLOOKUP(J417,'[63]ТР нефть'!$J$28:$BP$638,57,0),"-")=0,"-",IFERROR(VLOOKUP(J417,'[63]ТР нефть'!$J$28:$BP$638,57,0),"-"))</f>
        <v>-</v>
      </c>
      <c r="BO417" s="115" t="str">
        <f>IF(IFERROR(VLOOKUP(J417,'[63]ТР нефть'!$J$28:$BP$638,58,0),"-")=0,"-",IFERROR(VLOOKUP(J417,'[63]ТР нефть'!$J$28:$BP$638,58,0),"-"))</f>
        <v>-</v>
      </c>
      <c r="BP417" s="115" t="str">
        <f>IF(IFERROR(VLOOKUP(J417,'[63]ТР нефть'!$J$28:$BP$638,59,0),"-")=0,"-",IFERROR(VLOOKUP(J417,'[63]ТР нефть'!$J$28:$BP$638,59,0),"-"))</f>
        <v>-</v>
      </c>
      <c r="BQ417" s="138">
        <v>2405</v>
      </c>
      <c r="BR417" s="128">
        <v>1781.84</v>
      </c>
      <c r="BS417" s="115">
        <f t="shared" si="340"/>
        <v>623.16000000000008</v>
      </c>
      <c r="BT417" s="128">
        <v>73</v>
      </c>
      <c r="BU417" s="128">
        <v>5.5</v>
      </c>
      <c r="BV417" s="127">
        <v>18</v>
      </c>
      <c r="BW417" s="127" t="s">
        <v>194</v>
      </c>
      <c r="BX417" s="127" t="s">
        <v>195</v>
      </c>
      <c r="BY417" s="139">
        <v>24</v>
      </c>
      <c r="BZ417" s="139">
        <v>0</v>
      </c>
      <c r="CA417" s="138">
        <v>25</v>
      </c>
      <c r="CB417" s="138">
        <v>50</v>
      </c>
      <c r="CC417" s="138">
        <v>24</v>
      </c>
      <c r="CD417" s="135">
        <v>45017</v>
      </c>
      <c r="CE417" s="138">
        <v>98</v>
      </c>
      <c r="CF417" s="138">
        <v>71</v>
      </c>
      <c r="CG417" s="138" t="str">
        <f t="shared" si="310"/>
        <v>В работе</v>
      </c>
      <c r="CH417" s="138" t="s">
        <v>235</v>
      </c>
      <c r="CI417" s="127"/>
      <c r="CJ417" s="138"/>
      <c r="CK417" s="138">
        <f t="shared" si="308"/>
        <v>30</v>
      </c>
      <c r="CL417" s="99"/>
      <c r="CM417" s="99"/>
      <c r="CN417" s="140">
        <v>55</v>
      </c>
      <c r="CO417" s="141">
        <f t="shared" si="324"/>
        <v>10.2828</v>
      </c>
      <c r="CP417" s="142">
        <v>12.3</v>
      </c>
      <c r="CQ417" s="143">
        <v>0</v>
      </c>
      <c r="CR417" s="115">
        <v>14.2</v>
      </c>
      <c r="CS417" s="139">
        <v>5.2</v>
      </c>
      <c r="CT417" s="138"/>
      <c r="CU417" s="138">
        <f t="shared" si="320"/>
        <v>9</v>
      </c>
      <c r="CV417" s="115">
        <f t="shared" si="321"/>
        <v>875.24798692963009</v>
      </c>
      <c r="CW417" s="115">
        <f t="shared" si="325"/>
        <v>505.69883689267516</v>
      </c>
      <c r="CX417" s="133">
        <f t="shared" si="322"/>
        <v>0.28604651162790701</v>
      </c>
      <c r="CY417" s="116"/>
      <c r="CZ417" s="131"/>
      <c r="DA417" s="145" t="str">
        <f t="shared" si="326"/>
        <v>Газлифт</v>
      </c>
      <c r="DB417" s="146">
        <f t="shared" ref="DB417:DB480" si="341">IFERROR(DC417*(1-DD417/100)*$AA417,"-")</f>
        <v>10.2828</v>
      </c>
      <c r="DC417" s="142">
        <f t="shared" ref="DC417:DC480" si="342">IFERROR(IF(AND(FZ417="Технология",FQ417&lt;$JC$24),EM417,CP417),"-")</f>
        <v>12.3</v>
      </c>
      <c r="DD417" s="119">
        <f t="shared" si="303"/>
        <v>0</v>
      </c>
      <c r="DE417" s="115">
        <f t="shared" ref="DE417:DE480" si="343">CU417</f>
        <v>9</v>
      </c>
      <c r="DF417" s="121">
        <f t="shared" si="328"/>
        <v>5.2</v>
      </c>
      <c r="DG417" s="115">
        <f t="shared" si="329"/>
        <v>875.24798692963009</v>
      </c>
      <c r="DH417" s="115">
        <f t="shared" si="330"/>
        <v>55</v>
      </c>
      <c r="DI417" s="147"/>
      <c r="DJ417" s="111">
        <v>43730</v>
      </c>
      <c r="DK417" s="112">
        <v>43386</v>
      </c>
      <c r="DL417" s="113">
        <f t="shared" ca="1" si="312"/>
        <v>1718</v>
      </c>
      <c r="DM417" s="114"/>
      <c r="DN417" s="114"/>
      <c r="DO417" s="114"/>
      <c r="DP417" s="114"/>
      <c r="DQ417" s="112">
        <v>43386</v>
      </c>
      <c r="DR417" s="114" t="s">
        <v>324</v>
      </c>
      <c r="DS417" s="114"/>
      <c r="DT417" s="115">
        <v>55</v>
      </c>
      <c r="DU417" s="116">
        <f t="shared" si="313"/>
        <v>0.28604651162790701</v>
      </c>
      <c r="DV417" s="117">
        <f t="shared" si="314"/>
        <v>10.2828</v>
      </c>
      <c r="DW417" s="118">
        <f t="shared" si="315"/>
        <v>12.3</v>
      </c>
      <c r="DX417" s="119">
        <f t="shared" si="331"/>
        <v>0</v>
      </c>
      <c r="DY417" s="115">
        <f t="shared" si="316"/>
        <v>9</v>
      </c>
      <c r="DZ417" s="117">
        <f t="shared" si="317"/>
        <v>0</v>
      </c>
      <c r="EA417" s="120">
        <f t="shared" si="317"/>
        <v>0</v>
      </c>
      <c r="EB417" s="119">
        <f t="shared" si="317"/>
        <v>0</v>
      </c>
      <c r="EC417" s="121">
        <f t="shared" si="318"/>
        <v>0</v>
      </c>
      <c r="ED417" s="122"/>
      <c r="EE417" s="145">
        <v>18</v>
      </c>
      <c r="EF417" s="115">
        <v>26</v>
      </c>
      <c r="EG417" s="115">
        <v>50</v>
      </c>
      <c r="EH417" s="115">
        <v>25</v>
      </c>
      <c r="EI417" s="128" t="s">
        <v>195</v>
      </c>
      <c r="EJ417" s="121">
        <v>24</v>
      </c>
      <c r="EK417" s="121">
        <v>0</v>
      </c>
      <c r="EL417" s="149">
        <v>8.6108000000000011</v>
      </c>
      <c r="EM417" s="142">
        <v>10.3</v>
      </c>
      <c r="EN417" s="119">
        <v>0</v>
      </c>
      <c r="EO417" s="115">
        <v>17.899999999999999</v>
      </c>
      <c r="EP417" s="115">
        <v>963.90579272541424</v>
      </c>
      <c r="EQ417" s="115">
        <v>71</v>
      </c>
      <c r="ER417" s="115">
        <v>9.6</v>
      </c>
      <c r="ES417" s="115">
        <v>55</v>
      </c>
      <c r="ET417" s="150">
        <v>0.23953488372093024</v>
      </c>
      <c r="EU417" s="145">
        <f t="shared" si="332"/>
        <v>18</v>
      </c>
      <c r="EV417" s="115">
        <f t="shared" si="333"/>
        <v>25</v>
      </c>
      <c r="EW417" s="115">
        <f t="shared" si="333"/>
        <v>50</v>
      </c>
      <c r="EX417" s="115">
        <f t="shared" si="333"/>
        <v>24</v>
      </c>
      <c r="EY417" s="115" t="str">
        <f t="shared" si="309"/>
        <v>Постоянный</v>
      </c>
      <c r="EZ417" s="115">
        <f t="shared" si="309"/>
        <v>24</v>
      </c>
      <c r="FA417" s="115">
        <f t="shared" si="309"/>
        <v>0</v>
      </c>
      <c r="FB417" s="149">
        <f t="shared" si="298"/>
        <v>10.2828</v>
      </c>
      <c r="FC417" s="142">
        <f t="shared" si="298"/>
        <v>12.3</v>
      </c>
      <c r="FD417" s="119">
        <f t="shared" si="298"/>
        <v>0</v>
      </c>
      <c r="FE417" s="121">
        <f t="shared" si="298"/>
        <v>14.2</v>
      </c>
      <c r="FF417" s="121">
        <f t="shared" si="300"/>
        <v>875.24798692963009</v>
      </c>
      <c r="FG417" s="121">
        <f t="shared" si="334"/>
        <v>71</v>
      </c>
      <c r="FH417" s="121">
        <f t="shared" si="301"/>
        <v>5.2</v>
      </c>
      <c r="FI417" s="121">
        <f t="shared" si="306"/>
        <v>55</v>
      </c>
      <c r="FJ417" s="144">
        <f t="shared" si="335"/>
        <v>0.28604651162790701</v>
      </c>
      <c r="FK417" s="132">
        <f t="shared" si="336"/>
        <v>0</v>
      </c>
      <c r="FL417" s="115">
        <f t="shared" si="336"/>
        <v>-1</v>
      </c>
      <c r="FM417" s="115">
        <f t="shared" si="336"/>
        <v>0</v>
      </c>
      <c r="FN417" s="115">
        <f t="shared" si="336"/>
        <v>-1</v>
      </c>
      <c r="FO417" s="115">
        <f t="shared" si="311"/>
        <v>0</v>
      </c>
      <c r="FP417" s="115">
        <f t="shared" si="311"/>
        <v>0</v>
      </c>
      <c r="FQ417" s="149">
        <f t="shared" si="311"/>
        <v>1.6719999999999988</v>
      </c>
      <c r="FR417" s="142">
        <f t="shared" si="311"/>
        <v>2</v>
      </c>
      <c r="FS417" s="119">
        <f t="shared" si="311"/>
        <v>0</v>
      </c>
      <c r="FT417" s="121">
        <f t="shared" si="311"/>
        <v>-3.6999999999999993</v>
      </c>
      <c r="FU417" s="121">
        <f t="shared" si="337"/>
        <v>0</v>
      </c>
      <c r="FV417" s="121">
        <f t="shared" si="337"/>
        <v>-4.3999999999999995</v>
      </c>
      <c r="FW417" s="121">
        <f t="shared" si="338"/>
        <v>-88.657805795784157</v>
      </c>
      <c r="FX417" s="121">
        <f t="shared" si="339"/>
        <v>0</v>
      </c>
      <c r="FY417" s="144">
        <f t="shared" si="339"/>
        <v>4.6511627906976771E-2</v>
      </c>
      <c r="FZ417" s="145" t="s">
        <v>199</v>
      </c>
      <c r="GA417" s="125" t="s">
        <v>200</v>
      </c>
      <c r="GB417" s="145"/>
      <c r="GC417" s="125"/>
      <c r="GD417" s="997" t="s">
        <v>202</v>
      </c>
      <c r="GE417" s="1004"/>
      <c r="GF417" s="1004">
        <v>0.25080000000000169</v>
      </c>
      <c r="GG417" s="1004" t="s">
        <v>199</v>
      </c>
      <c r="GH417" s="1004">
        <v>-2.3311692799999992</v>
      </c>
      <c r="GI417" s="145"/>
      <c r="GJ417" s="996">
        <v>-0.16704952000000084</v>
      </c>
      <c r="GK417" s="145"/>
      <c r="GL417" s="996">
        <v>-0.9187723599999984</v>
      </c>
      <c r="GM417" s="1005"/>
      <c r="GN417" s="996">
        <v>0.65819115999999767</v>
      </c>
      <c r="GO417" s="1006"/>
      <c r="GP417" s="996">
        <v>0</v>
      </c>
      <c r="GQ417" s="1006"/>
      <c r="GR417" s="996">
        <v>0</v>
      </c>
      <c r="GS417" s="1006"/>
      <c r="GT417" s="996">
        <v>0</v>
      </c>
      <c r="GU417" s="1006"/>
      <c r="GV417" s="996">
        <v>0</v>
      </c>
      <c r="GW417" s="1006" t="s">
        <v>223</v>
      </c>
      <c r="GX417" s="996">
        <v>-0.8360000000000003</v>
      </c>
      <c r="GY417" s="1006" t="s">
        <v>223</v>
      </c>
      <c r="GZ417" s="996">
        <v>-1.3961199999999998</v>
      </c>
      <c r="HA417" s="1006"/>
      <c r="HB417" s="996">
        <v>0.42803200000000174</v>
      </c>
      <c r="HC417" s="1006"/>
      <c r="HD417" s="996">
        <v>0</v>
      </c>
      <c r="HE417" s="1006"/>
      <c r="HF417" s="996">
        <v>0.27420799999999801</v>
      </c>
      <c r="HG417" s="1006"/>
      <c r="HH417" s="996">
        <v>0.27700860000000205</v>
      </c>
      <c r="HI417" s="1006"/>
      <c r="HJ417" s="996">
        <v>0</v>
      </c>
      <c r="HK417" s="1006"/>
      <c r="HL417" s="996">
        <v>1.0157399999998873E-2</v>
      </c>
      <c r="HM417" s="1006" t="s">
        <v>223</v>
      </c>
      <c r="HN417" s="996">
        <v>-1.5868116000000008</v>
      </c>
      <c r="HO417" s="1006"/>
      <c r="HP417" s="996">
        <v>0</v>
      </c>
      <c r="HQ417" s="1006" t="s">
        <v>199</v>
      </c>
      <c r="HR417" s="996">
        <v>0.91868040000000128</v>
      </c>
      <c r="HS417" s="1006"/>
      <c r="HT417" s="996">
        <v>0</v>
      </c>
      <c r="HU417" s="1006" t="s">
        <v>199</v>
      </c>
      <c r="HV417" s="996">
        <v>-3.3339746880000032</v>
      </c>
      <c r="HW417" s="1006"/>
      <c r="HX417" s="996">
        <v>0</v>
      </c>
      <c r="HY417" s="1006" t="s">
        <v>204</v>
      </c>
      <c r="HZ417" s="996">
        <v>-1.6770093119999991</v>
      </c>
      <c r="IA417" s="1006"/>
      <c r="IB417" s="996">
        <v>0</v>
      </c>
      <c r="IC417" s="1006"/>
      <c r="ID417" s="996">
        <v>0</v>
      </c>
      <c r="IE417" s="1006"/>
      <c r="IF417" s="996">
        <v>0</v>
      </c>
      <c r="IG417" s="1006"/>
      <c r="IH417" s="996">
        <v>0</v>
      </c>
      <c r="II417" s="1006"/>
      <c r="IJ417" s="996">
        <v>0</v>
      </c>
      <c r="IK417" s="1006" t="s">
        <v>199</v>
      </c>
      <c r="IL417" s="996">
        <v>2.0879100000000026</v>
      </c>
      <c r="IM417" s="1006" t="s">
        <v>199</v>
      </c>
      <c r="IN417" s="996">
        <v>-2.6725247999999997</v>
      </c>
      <c r="IO417" s="1006"/>
      <c r="IP417" s="996">
        <v>0</v>
      </c>
      <c r="IQ417" s="1006" t="s">
        <v>199</v>
      </c>
      <c r="IR417" s="996">
        <v>-12.752954280000001</v>
      </c>
      <c r="IS417" s="1006" t="s">
        <v>199</v>
      </c>
      <c r="IT417" s="996">
        <v>9.4122982799999981</v>
      </c>
      <c r="IU417" s="1006"/>
      <c r="IV417" s="996">
        <v>0</v>
      </c>
      <c r="IW417" s="1006"/>
      <c r="IX417" s="996">
        <v>0</v>
      </c>
      <c r="IY417" s="1006"/>
      <c r="IZ417" s="996">
        <v>0</v>
      </c>
      <c r="JA417" s="1006" t="s">
        <v>204</v>
      </c>
      <c r="JB417" s="996">
        <v>-7.9591129200000026</v>
      </c>
      <c r="JC417" s="1006"/>
      <c r="JD417" s="996">
        <v>0</v>
      </c>
      <c r="JE417" s="1006"/>
      <c r="JF417" s="996">
        <v>-0.80634707999999478</v>
      </c>
      <c r="JG417" s="1006" t="s">
        <v>204</v>
      </c>
      <c r="JH417" s="996">
        <v>8.4645662112000011</v>
      </c>
      <c r="JI417" s="1006" t="s">
        <v>239</v>
      </c>
      <c r="JJ417" s="996">
        <v>-6.3776594112000033</v>
      </c>
      <c r="JK417" s="1007"/>
      <c r="JL417" s="1007">
        <v>0</v>
      </c>
      <c r="JM417" s="1007"/>
      <c r="JN417" s="1007">
        <v>0</v>
      </c>
      <c r="JO417" s="1008"/>
      <c r="JP417" s="1007">
        <v>0</v>
      </c>
      <c r="JQ417" s="1008" t="s">
        <v>199</v>
      </c>
      <c r="JR417" s="1007">
        <v>3.8775853600000012</v>
      </c>
      <c r="JS417" s="1008" t="s">
        <v>199</v>
      </c>
      <c r="JT417" s="1007">
        <v>-6.4159321600000006</v>
      </c>
      <c r="JU417" s="1008"/>
      <c r="JV417" s="1007">
        <v>0</v>
      </c>
      <c r="JW417" s="1008" t="s">
        <v>197</v>
      </c>
      <c r="JX417" s="1007">
        <v>0</v>
      </c>
      <c r="JY417" s="1008"/>
      <c r="JZ417" s="1007">
        <v>0</v>
      </c>
      <c r="KA417" s="1008" t="s">
        <v>199</v>
      </c>
      <c r="KB417" s="1007">
        <v>11.704000000000001</v>
      </c>
      <c r="KC417" s="1008" t="s">
        <v>207</v>
      </c>
      <c r="KD417" s="1007">
        <v>-7.7246399999999973</v>
      </c>
      <c r="KE417" s="1008" t="s">
        <v>199</v>
      </c>
      <c r="KF417" s="1007">
        <v>6.0526399999999967</v>
      </c>
      <c r="KG417" s="1008" t="s">
        <v>207</v>
      </c>
      <c r="KH417" s="1007">
        <v>-11.871200000000002</v>
      </c>
      <c r="KI417" s="1008" t="s">
        <v>203</v>
      </c>
      <c r="KJ417" s="1007">
        <v>-19.478799999999993</v>
      </c>
      <c r="KK417" s="1008"/>
      <c r="KL417" s="1007">
        <v>51.413999999999994</v>
      </c>
      <c r="KM417" s="1008"/>
      <c r="KN417" s="1007">
        <v>0</v>
      </c>
      <c r="KO417" s="1008"/>
      <c r="KP417" s="1007"/>
      <c r="KQ417" s="1008">
        <v>0</v>
      </c>
      <c r="KR417" s="1007">
        <v>0</v>
      </c>
      <c r="KS417" s="1008">
        <v>0</v>
      </c>
      <c r="KT417" s="1007">
        <v>0</v>
      </c>
      <c r="KU417" s="1008">
        <v>0</v>
      </c>
      <c r="KV417" s="1007">
        <v>0</v>
      </c>
      <c r="KW417" s="1008">
        <v>0</v>
      </c>
      <c r="KX417" s="1007">
        <v>0</v>
      </c>
      <c r="KY417" s="1008">
        <v>0</v>
      </c>
      <c r="KZ417" s="1007">
        <v>0</v>
      </c>
      <c r="LA417" s="1008">
        <v>0</v>
      </c>
      <c r="LB417" s="1007">
        <v>0</v>
      </c>
      <c r="LC417" s="1008">
        <v>0</v>
      </c>
      <c r="LD417" s="1007">
        <v>0</v>
      </c>
      <c r="LE417" s="1008">
        <v>0</v>
      </c>
      <c r="LF417" s="1007">
        <v>0</v>
      </c>
      <c r="LG417" s="1008">
        <v>0</v>
      </c>
      <c r="LH417" s="1007">
        <v>0</v>
      </c>
      <c r="LI417" s="1008">
        <v>0</v>
      </c>
      <c r="LJ417" s="1007">
        <v>0</v>
      </c>
      <c r="LK417" s="1008">
        <v>0</v>
      </c>
      <c r="LL417" s="1007">
        <v>0</v>
      </c>
      <c r="LM417" s="1008">
        <v>0</v>
      </c>
      <c r="LN417" s="1007">
        <v>0</v>
      </c>
      <c r="LO417" s="1008">
        <v>0</v>
      </c>
      <c r="LP417" s="1007">
        <v>0</v>
      </c>
      <c r="LQ417" s="1008">
        <v>0</v>
      </c>
      <c r="LR417" s="1007">
        <v>0</v>
      </c>
      <c r="LS417" s="1008">
        <v>0</v>
      </c>
      <c r="LT417" s="1007">
        <v>0</v>
      </c>
      <c r="LU417" s="1008">
        <v>0</v>
      </c>
      <c r="LV417" s="1007">
        <v>0</v>
      </c>
      <c r="LW417" s="1008">
        <v>0</v>
      </c>
      <c r="LX417" s="1007">
        <v>0</v>
      </c>
      <c r="LY417" s="1009">
        <v>0</v>
      </c>
      <c r="LZ417" s="1010">
        <v>0</v>
      </c>
      <c r="MA417" s="1011">
        <v>0</v>
      </c>
      <c r="MB417" s="1012">
        <v>0</v>
      </c>
      <c r="MC417" s="995"/>
      <c r="MD417" s="996"/>
      <c r="ME417" s="997" t="s">
        <v>202</v>
      </c>
      <c r="MF417" s="997"/>
      <c r="MG417" s="998"/>
      <c r="NR417" s="1000"/>
      <c r="NS417" s="1000"/>
      <c r="NT417" s="1001"/>
      <c r="NU417" s="1000"/>
      <c r="NV417" s="1001"/>
      <c r="NX417" s="1002"/>
      <c r="NZ417" s="1001"/>
      <c r="OA417" s="1001"/>
      <c r="OC417" s="1003"/>
      <c r="OD417" s="1003"/>
      <c r="OE417" s="1001"/>
      <c r="OF417" s="1003"/>
      <c r="OG417" s="1003"/>
      <c r="QX417" s="1000">
        <f>CN417-CA417</f>
        <v>30</v>
      </c>
      <c r="ASU417" s="999" t="s">
        <v>208</v>
      </c>
    </row>
    <row r="418" spans="1:466 1191:1191" ht="21" customHeight="1" x14ac:dyDescent="0.25">
      <c r="A418" s="982">
        <f t="shared" si="323"/>
        <v>1489</v>
      </c>
      <c r="B418" s="124">
        <f>SUBTOTAL(103,$J$29:J418)</f>
        <v>390</v>
      </c>
      <c r="C418" s="126">
        <v>45068</v>
      </c>
      <c r="D418" s="124" t="s">
        <v>176</v>
      </c>
      <c r="E418" s="127" t="s">
        <v>177</v>
      </c>
      <c r="F418" s="128" t="s">
        <v>177</v>
      </c>
      <c r="G418" s="127" t="s">
        <v>178</v>
      </c>
      <c r="H418" s="127" t="s">
        <v>179</v>
      </c>
      <c r="I418" s="127" t="s">
        <v>1587</v>
      </c>
      <c r="J418" s="152">
        <v>1489</v>
      </c>
      <c r="K418" s="127" t="s">
        <v>1606</v>
      </c>
      <c r="L418" s="130">
        <v>43517</v>
      </c>
      <c r="M418" s="127" t="s">
        <v>230</v>
      </c>
      <c r="N418" s="127" t="s">
        <v>184</v>
      </c>
      <c r="O418" s="127" t="s">
        <v>185</v>
      </c>
      <c r="P418" s="127" t="s">
        <v>186</v>
      </c>
      <c r="Q418" s="85" t="str">
        <f t="shared" si="319"/>
        <v/>
      </c>
      <c r="R418" s="130"/>
      <c r="S418" s="128"/>
      <c r="T418" s="144"/>
      <c r="U418" s="132">
        <v>203</v>
      </c>
      <c r="V418" s="121">
        <v>218.2</v>
      </c>
      <c r="W418" s="116">
        <v>0.98</v>
      </c>
      <c r="X418" s="116">
        <v>1.66</v>
      </c>
      <c r="Y418" s="116">
        <f t="shared" si="299"/>
        <v>0.98014052617182457</v>
      </c>
      <c r="Z418" s="133">
        <v>1.454</v>
      </c>
      <c r="AA418" s="133">
        <v>0.83599999999999997</v>
      </c>
      <c r="AB418" s="133">
        <v>0.72</v>
      </c>
      <c r="AC418" s="121">
        <v>34.299999999999997</v>
      </c>
      <c r="AD418" s="134">
        <v>1.17</v>
      </c>
      <c r="AE418" s="124">
        <v>177.8</v>
      </c>
      <c r="AF418" s="128">
        <v>9.19</v>
      </c>
      <c r="AG418" s="128">
        <v>2254</v>
      </c>
      <c r="AH418" s="127">
        <v>3108</v>
      </c>
      <c r="AI418" s="127">
        <v>3108</v>
      </c>
      <c r="AJ418" s="135"/>
      <c r="AK418" s="128"/>
      <c r="AL418" s="131"/>
      <c r="AM418" s="124" t="s">
        <v>985</v>
      </c>
      <c r="AN418" s="136" t="s">
        <v>1607</v>
      </c>
      <c r="AO418" s="137">
        <v>63.210000000000036</v>
      </c>
      <c r="AP418" s="128">
        <v>2313</v>
      </c>
      <c r="AQ418" s="128">
        <v>486.87</v>
      </c>
      <c r="AR418" s="128" t="s">
        <v>1608</v>
      </c>
      <c r="AS418" s="128">
        <v>114</v>
      </c>
      <c r="AT418" s="122">
        <v>7.37</v>
      </c>
      <c r="AU418" s="124" t="s">
        <v>189</v>
      </c>
      <c r="AV418" s="115">
        <f>VLOOKUP(J418,'[63]ТР нефть'!$J$28:$BP$638,39,0)</f>
        <v>550.00002861300004</v>
      </c>
      <c r="AW418" s="115" t="str">
        <f>VLOOKUP(J418,'[63]ТР нефть'!$J$28:$BP$638,40,0)</f>
        <v>ГП</v>
      </c>
      <c r="AX418" s="115">
        <f>VLOOKUP(J418,'[63]ТР нефть'!$J$28:$BP$638,41,0)</f>
        <v>1050.000058008</v>
      </c>
      <c r="AY418" s="115" t="str">
        <f>VLOOKUP(J418,'[63]ТР нефть'!$J$28:$BP$638,42,0)</f>
        <v>ГК81 1/8</v>
      </c>
      <c r="AZ418" s="115">
        <f>VLOOKUP(J418,'[63]ТР нефть'!$J$28:$BP$638,43,0)</f>
        <v>1424.9999777339999</v>
      </c>
      <c r="BA418" s="115" t="str">
        <f>VLOOKUP(J418,'[63]ТР нефть'!$J$28:$BP$638,44,0)</f>
        <v>ГК80 1/8</v>
      </c>
      <c r="BB418" s="115">
        <f>VLOOKUP(J418,'[63]ТР нефть'!$J$28:$BP$638,45,0)</f>
        <v>1730.000002734</v>
      </c>
      <c r="BC418" s="115" t="str">
        <f>VLOOKUP(J418,'[63]ТР нефть'!$J$28:$BP$638,46,0)</f>
        <v>ГК 79 5/32</v>
      </c>
      <c r="BD418" s="115">
        <f>VLOOKUP(J418,'[63]ТР нефть'!$J$28:$BP$638,47,0)</f>
        <v>1935.0000292970001</v>
      </c>
      <c r="BE418" s="115" t="str">
        <f>VLOOKUP(J418,'[63]ТР нефть'!$J$28:$BP$638,48,0)</f>
        <v>ЦКсОК 5/16</v>
      </c>
      <c r="BF418" s="115" t="str">
        <f>VLOOKUP(J418,'[63]ТР нефть'!$J$28:$BP$638,49,0)</f>
        <v>-</v>
      </c>
      <c r="BG418" s="115" t="str">
        <f>VLOOKUP(J418,'[63]ТР нефть'!$J$28:$BP$638,50,0)</f>
        <v>-</v>
      </c>
      <c r="BH418" s="115" t="str">
        <f>VLOOKUP(J418,'[63]ТР нефть'!$J$28:$BP$638,51,0)</f>
        <v>-</v>
      </c>
      <c r="BI418" s="115" t="str">
        <f>VLOOKUP(J418,'[63]ТР нефть'!$J$28:$BP$638,52,0)</f>
        <v>-</v>
      </c>
      <c r="BJ418" s="115" t="str">
        <f>IF(IFERROR(VLOOKUP(J418,'[63]ТР нефть'!$J$28:$BP$638,53,0),"-")=0,"-",IFERROR(VLOOKUP(J418,'[63]ТР нефть'!$J$28:$BP$638,53,0),"-"))</f>
        <v>-</v>
      </c>
      <c r="BK418" s="138" t="str">
        <f>IF(IFERROR(VLOOKUP(J418,'[63]ТР нефть'!$J$28:$BP$638,54,0),"-")=0,"-",IFERROR(VLOOKUP(J418,'[63]ТР нефть'!$J$28:$BP$638,54,0),"-"))</f>
        <v>-</v>
      </c>
      <c r="BL418" s="138" t="str">
        <f>IF(IFERROR(VLOOKUP(J418,'[63]ТР нефть'!$J$28:$BP$638,55,0),"-")=0,"-",IFERROR(VLOOKUP(J418,'[63]ТР нефть'!$J$28:$BP$638,55,0),"-"))</f>
        <v>-</v>
      </c>
      <c r="BM418" s="138" t="str">
        <f>IF(IFERROR(VLOOKUP(J418,'[63]ТР нефть'!$J$28:$BP$638,56,0),"-")=0,"-",IFERROR(VLOOKUP(J418,'[63]ТР нефть'!$J$28:$BP$638,56,0),"-"))</f>
        <v>-</v>
      </c>
      <c r="BN418" s="138" t="str">
        <f>IF(IFERROR(VLOOKUP(J418,'[63]ТР нефть'!$J$28:$BP$638,57,0),"-")=0,"-",IFERROR(VLOOKUP(J418,'[63]ТР нефть'!$J$28:$BP$638,57,0),"-"))</f>
        <v>-</v>
      </c>
      <c r="BO418" s="115" t="str">
        <f>IF(IFERROR(VLOOKUP(J418,'[63]ТР нефть'!$J$28:$BP$638,58,0),"-")=0,"-",IFERROR(VLOOKUP(J418,'[63]ТР нефть'!$J$28:$BP$638,58,0),"-"))</f>
        <v>-</v>
      </c>
      <c r="BP418" s="115" t="str">
        <f>IF(IFERROR(VLOOKUP(J418,'[63]ТР нефть'!$J$28:$BP$638,59,0),"-")=0,"-",IFERROR(VLOOKUP(J418,'[63]ТР нефть'!$J$28:$BP$638,59,0),"-"))</f>
        <v>-</v>
      </c>
      <c r="BQ418" s="138">
        <v>2200</v>
      </c>
      <c r="BR418" s="128">
        <v>1805.4</v>
      </c>
      <c r="BS418" s="115">
        <f t="shared" si="340"/>
        <v>394.59999999999991</v>
      </c>
      <c r="BT418" s="128">
        <v>73</v>
      </c>
      <c r="BU418" s="128">
        <v>5.5</v>
      </c>
      <c r="BV418" s="127">
        <v>65</v>
      </c>
      <c r="BW418" s="127" t="s">
        <v>217</v>
      </c>
      <c r="BX418" s="127" t="s">
        <v>195</v>
      </c>
      <c r="BY418" s="139">
        <v>24</v>
      </c>
      <c r="BZ418" s="139">
        <v>0</v>
      </c>
      <c r="CA418" s="80">
        <v>26</v>
      </c>
      <c r="CB418" s="138">
        <v>70</v>
      </c>
      <c r="CC418" s="138">
        <v>25</v>
      </c>
      <c r="CD418" s="135">
        <v>45017</v>
      </c>
      <c r="CE418" s="138">
        <v>83.6</v>
      </c>
      <c r="CF418" s="138">
        <v>71</v>
      </c>
      <c r="CG418" s="138" t="str">
        <f t="shared" si="310"/>
        <v>В работе</v>
      </c>
      <c r="CH418" s="138" t="s">
        <v>272</v>
      </c>
      <c r="CI418" s="127"/>
      <c r="CJ418" s="138"/>
      <c r="CK418" s="138">
        <f t="shared" si="308"/>
        <v>46</v>
      </c>
      <c r="CL418" s="99"/>
      <c r="CM418" s="99"/>
      <c r="CN418" s="140">
        <v>72</v>
      </c>
      <c r="CO418" s="141">
        <f t="shared" si="324"/>
        <v>6.4349469799999994</v>
      </c>
      <c r="CP418" s="142">
        <v>7.7</v>
      </c>
      <c r="CQ418" s="143">
        <v>3.5000000000000003E-2</v>
      </c>
      <c r="CR418" s="173">
        <v>12</v>
      </c>
      <c r="CS418" s="176">
        <v>4</v>
      </c>
      <c r="CT418" s="138"/>
      <c r="CU418" s="138">
        <f t="shared" si="320"/>
        <v>8</v>
      </c>
      <c r="CV418" s="115">
        <f t="shared" si="321"/>
        <v>1243.2114864138323</v>
      </c>
      <c r="CW418" s="115">
        <f t="shared" si="325"/>
        <v>621.30442400948994</v>
      </c>
      <c r="CX418" s="133">
        <f t="shared" si="322"/>
        <v>0.66379310344827624</v>
      </c>
      <c r="CY418" s="116"/>
      <c r="CZ418" s="131"/>
      <c r="DA418" s="145" t="str">
        <f t="shared" si="326"/>
        <v>Газлифт</v>
      </c>
      <c r="DB418" s="146">
        <f t="shared" si="341"/>
        <v>6.4349469799999994</v>
      </c>
      <c r="DC418" s="142">
        <f t="shared" si="342"/>
        <v>7.7</v>
      </c>
      <c r="DD418" s="119">
        <f t="shared" si="303"/>
        <v>3.5000000000000003E-2</v>
      </c>
      <c r="DE418" s="115">
        <f t="shared" si="343"/>
        <v>8</v>
      </c>
      <c r="DF418" s="121">
        <f t="shared" si="328"/>
        <v>4</v>
      </c>
      <c r="DG418" s="115">
        <f t="shared" si="329"/>
        <v>1243.2114864138323</v>
      </c>
      <c r="DH418" s="115">
        <f t="shared" si="330"/>
        <v>72</v>
      </c>
      <c r="DI418" s="147"/>
      <c r="DJ418" s="111" t="s">
        <v>197</v>
      </c>
      <c r="DK418" s="112">
        <v>43517</v>
      </c>
      <c r="DL418" s="113">
        <f t="shared" ca="1" si="312"/>
        <v>1587</v>
      </c>
      <c r="DM418" s="114"/>
      <c r="DN418" s="114"/>
      <c r="DO418" s="114"/>
      <c r="DP418" s="114"/>
      <c r="DQ418" s="112">
        <v>43517</v>
      </c>
      <c r="DR418" s="114" t="s">
        <v>324</v>
      </c>
      <c r="DS418" s="114"/>
      <c r="DT418" s="115">
        <v>55</v>
      </c>
      <c r="DU418" s="116">
        <f t="shared" si="313"/>
        <v>0.59985835694051037</v>
      </c>
      <c r="DV418" s="117">
        <f t="shared" si="314"/>
        <v>14.337353540424935</v>
      </c>
      <c r="DW418" s="118">
        <f t="shared" si="315"/>
        <v>17.155949008498592</v>
      </c>
      <c r="DX418" s="119">
        <f t="shared" si="331"/>
        <v>3.5000000000000003E-2</v>
      </c>
      <c r="DY418" s="115">
        <f t="shared" si="316"/>
        <v>17.824362606232306</v>
      </c>
      <c r="DZ418" s="117">
        <f t="shared" si="317"/>
        <v>7.9024065604249358</v>
      </c>
      <c r="EA418" s="120">
        <f t="shared" si="317"/>
        <v>9.4559490084985924</v>
      </c>
      <c r="EB418" s="119">
        <f t="shared" si="317"/>
        <v>0</v>
      </c>
      <c r="EC418" s="121">
        <f t="shared" si="318"/>
        <v>9.824362606232306</v>
      </c>
      <c r="ED418" s="122"/>
      <c r="EE418" s="145">
        <v>65</v>
      </c>
      <c r="EF418" s="148">
        <v>26</v>
      </c>
      <c r="EG418" s="115">
        <v>70</v>
      </c>
      <c r="EH418" s="115">
        <v>25</v>
      </c>
      <c r="EI418" s="128" t="s">
        <v>195</v>
      </c>
      <c r="EJ418" s="121">
        <v>24</v>
      </c>
      <c r="EK418" s="121">
        <v>0</v>
      </c>
      <c r="EL418" s="219">
        <v>0.83574919999999997</v>
      </c>
      <c r="EM418" s="142">
        <v>1</v>
      </c>
      <c r="EN418" s="119">
        <v>0.03</v>
      </c>
      <c r="EO418" s="115">
        <v>15</v>
      </c>
      <c r="EP418" s="115">
        <v>1196.5312081662776</v>
      </c>
      <c r="EQ418" s="115">
        <v>71</v>
      </c>
      <c r="ER418" s="115">
        <v>14</v>
      </c>
      <c r="ES418" s="115">
        <v>72</v>
      </c>
      <c r="ET418" s="150">
        <v>8.6206896551724185E-2</v>
      </c>
      <c r="EU418" s="145">
        <f t="shared" si="332"/>
        <v>65</v>
      </c>
      <c r="EV418" s="115">
        <f t="shared" si="333"/>
        <v>26</v>
      </c>
      <c r="EW418" s="115">
        <f t="shared" si="333"/>
        <v>70</v>
      </c>
      <c r="EX418" s="115">
        <f t="shared" si="333"/>
        <v>25</v>
      </c>
      <c r="EY418" s="115" t="str">
        <f t="shared" si="309"/>
        <v>Постоянный</v>
      </c>
      <c r="EZ418" s="115">
        <f t="shared" si="309"/>
        <v>24</v>
      </c>
      <c r="FA418" s="115">
        <f t="shared" si="309"/>
        <v>0</v>
      </c>
      <c r="FB418" s="219">
        <f t="shared" si="298"/>
        <v>6.4349469799999994</v>
      </c>
      <c r="FC418" s="142">
        <f t="shared" si="298"/>
        <v>7.7</v>
      </c>
      <c r="FD418" s="119">
        <f t="shared" si="298"/>
        <v>3.5000000000000003E-2</v>
      </c>
      <c r="FE418" s="121">
        <f t="shared" si="298"/>
        <v>12</v>
      </c>
      <c r="FF418" s="121">
        <f t="shared" si="300"/>
        <v>1243.2114864138323</v>
      </c>
      <c r="FG418" s="121">
        <f t="shared" si="334"/>
        <v>71</v>
      </c>
      <c r="FH418" s="121">
        <f t="shared" si="301"/>
        <v>4</v>
      </c>
      <c r="FI418" s="121">
        <f t="shared" si="306"/>
        <v>72</v>
      </c>
      <c r="FJ418" s="144">
        <f t="shared" si="335"/>
        <v>0.66379310344827624</v>
      </c>
      <c r="FK418" s="132">
        <f t="shared" si="336"/>
        <v>0</v>
      </c>
      <c r="FL418" s="115">
        <f t="shared" si="336"/>
        <v>0</v>
      </c>
      <c r="FM418" s="115">
        <f t="shared" si="336"/>
        <v>0</v>
      </c>
      <c r="FN418" s="115">
        <f t="shared" si="336"/>
        <v>0</v>
      </c>
      <c r="FO418" s="115">
        <f t="shared" si="311"/>
        <v>0</v>
      </c>
      <c r="FP418" s="115">
        <f t="shared" si="311"/>
        <v>0</v>
      </c>
      <c r="FQ418" s="149">
        <f t="shared" si="311"/>
        <v>5.599197779999999</v>
      </c>
      <c r="FR418" s="142">
        <f t="shared" si="311"/>
        <v>6.7</v>
      </c>
      <c r="FS418" s="119">
        <f t="shared" si="311"/>
        <v>5.0000000000000044E-3</v>
      </c>
      <c r="FT418" s="121">
        <f t="shared" si="311"/>
        <v>-3</v>
      </c>
      <c r="FU418" s="121">
        <f t="shared" si="337"/>
        <v>0</v>
      </c>
      <c r="FV418" s="121">
        <f t="shared" si="337"/>
        <v>-10</v>
      </c>
      <c r="FW418" s="121">
        <f t="shared" si="338"/>
        <v>46.680278247554725</v>
      </c>
      <c r="FX418" s="121">
        <f t="shared" si="339"/>
        <v>0</v>
      </c>
      <c r="FY418" s="144">
        <f t="shared" si="339"/>
        <v>0.57758620689655205</v>
      </c>
      <c r="FZ418" s="145" t="s">
        <v>308</v>
      </c>
      <c r="GA418" s="125" t="s">
        <v>1609</v>
      </c>
      <c r="GB418" s="145" t="s">
        <v>199</v>
      </c>
      <c r="GC418" s="125" t="s">
        <v>1610</v>
      </c>
      <c r="GD418" s="997" t="s">
        <v>202</v>
      </c>
      <c r="GE418" s="1004" t="s">
        <v>199</v>
      </c>
      <c r="GF418" s="1004">
        <v>-8.3574919999999988</v>
      </c>
      <c r="GG418" s="1004"/>
      <c r="GH418" s="1004">
        <v>-0.83574920000000219</v>
      </c>
      <c r="GI418" s="145" t="s">
        <v>199</v>
      </c>
      <c r="GJ418" s="996">
        <v>2.5072476000000012</v>
      </c>
      <c r="GK418" s="145" t="s">
        <v>199</v>
      </c>
      <c r="GL418" s="996">
        <v>-1.3288412279999999</v>
      </c>
      <c r="GM418" s="1005"/>
      <c r="GN418" s="996">
        <v>0</v>
      </c>
      <c r="GO418" s="1006"/>
      <c r="GP418" s="996">
        <v>0</v>
      </c>
      <c r="GQ418" s="1006"/>
      <c r="GR418" s="996">
        <v>0</v>
      </c>
      <c r="GS418" s="1006"/>
      <c r="GT418" s="996">
        <v>0</v>
      </c>
      <c r="GU418" s="1006"/>
      <c r="GV418" s="996">
        <v>0.24236726800000064</v>
      </c>
      <c r="GW418" s="1006"/>
      <c r="GX418" s="996">
        <v>0</v>
      </c>
      <c r="GY418" s="1006" t="s">
        <v>199</v>
      </c>
      <c r="GZ418" s="996">
        <v>-1.1115464360000011</v>
      </c>
      <c r="HA418" s="1006"/>
      <c r="HB418" s="996">
        <v>0.20893730000000055</v>
      </c>
      <c r="HC418" s="1006"/>
      <c r="HD418" s="996">
        <v>0</v>
      </c>
      <c r="HE418" s="1006"/>
      <c r="HF418" s="996">
        <v>-0.40115961599999928</v>
      </c>
      <c r="HG418" s="1006" t="s">
        <v>223</v>
      </c>
      <c r="HH418" s="996">
        <v>-1.2904144879999997</v>
      </c>
      <c r="HI418" s="1006"/>
      <c r="HJ418" s="996">
        <v>-0.69388000000000005</v>
      </c>
      <c r="HK418" s="1006" t="s">
        <v>199</v>
      </c>
      <c r="HL418" s="996">
        <v>-3.151720000000001</v>
      </c>
      <c r="HM418" s="1006" t="s">
        <v>308</v>
      </c>
      <c r="HN418" s="996">
        <v>6.01084</v>
      </c>
      <c r="HO418" s="1006"/>
      <c r="HP418" s="996">
        <v>0</v>
      </c>
      <c r="HQ418" s="1006"/>
      <c r="HR418" s="996">
        <v>0</v>
      </c>
      <c r="HS418" s="1006"/>
      <c r="HT418" s="996">
        <v>0</v>
      </c>
      <c r="HU418" s="1006"/>
      <c r="HV418" s="996">
        <v>-0.53503999999999863</v>
      </c>
      <c r="HW418" s="1006" t="s">
        <v>223</v>
      </c>
      <c r="HX418" s="996">
        <v>-1.0550161160000009</v>
      </c>
      <c r="HY418" s="1006"/>
      <c r="HZ418" s="996">
        <v>0</v>
      </c>
      <c r="IA418" s="1006"/>
      <c r="IB418" s="996">
        <v>-0.74238388399999877</v>
      </c>
      <c r="IC418" s="1006"/>
      <c r="ID418" s="996">
        <v>0</v>
      </c>
      <c r="IE418" s="1006" t="s">
        <v>199</v>
      </c>
      <c r="IF418" s="996">
        <v>1.170399999999999</v>
      </c>
      <c r="IG418" s="1006"/>
      <c r="IH418" s="996">
        <v>0</v>
      </c>
      <c r="II418" s="1006"/>
      <c r="IJ418" s="996">
        <v>0</v>
      </c>
      <c r="IK418" s="1006"/>
      <c r="IL418" s="996">
        <v>0</v>
      </c>
      <c r="IM418" s="1006"/>
      <c r="IN418" s="996">
        <v>8.3600000000000563E-2</v>
      </c>
      <c r="IO418" s="1006" t="s">
        <v>204</v>
      </c>
      <c r="IP418" s="996">
        <v>-3.0346800000000016</v>
      </c>
      <c r="IQ418" s="1006"/>
      <c r="IR418" s="996">
        <v>0.61028000000000127</v>
      </c>
      <c r="IS418" s="1006"/>
      <c r="IT418" s="996">
        <v>0</v>
      </c>
      <c r="IU418" s="1006"/>
      <c r="IV418" s="996">
        <v>0</v>
      </c>
      <c r="IW418" s="1006"/>
      <c r="IX418" s="996">
        <v>0</v>
      </c>
      <c r="IY418" s="1006" t="s">
        <v>199</v>
      </c>
      <c r="IZ418" s="996">
        <v>2.5079999999999991</v>
      </c>
      <c r="JA418" s="1006" t="s">
        <v>199</v>
      </c>
      <c r="JB418" s="996">
        <v>-2.5079999999999991</v>
      </c>
      <c r="JC418" s="1006"/>
      <c r="JD418" s="996">
        <v>0</v>
      </c>
      <c r="JE418" s="1006"/>
      <c r="JF418" s="996">
        <v>0</v>
      </c>
      <c r="JG418" s="1006"/>
      <c r="JH418" s="996">
        <v>0</v>
      </c>
      <c r="JI418" s="1006"/>
      <c r="JJ418" s="996">
        <v>0</v>
      </c>
      <c r="JK418" s="1007"/>
      <c r="JL418" s="1007">
        <v>0</v>
      </c>
      <c r="JM418" s="1007"/>
      <c r="JN418" s="1007">
        <v>0</v>
      </c>
      <c r="JO418" s="1008" t="s">
        <v>203</v>
      </c>
      <c r="JP418" s="1007">
        <v>-4.18</v>
      </c>
      <c r="JQ418" s="1008" t="s">
        <v>199</v>
      </c>
      <c r="JR418" s="1007">
        <v>-5.0160000000000018</v>
      </c>
      <c r="JS418" s="1008" t="s">
        <v>199</v>
      </c>
      <c r="JT418" s="1007">
        <v>3.3440000000000012</v>
      </c>
      <c r="JU418" s="1008" t="s">
        <v>199</v>
      </c>
      <c r="JV418" s="1007">
        <v>-2.5079999999999991</v>
      </c>
      <c r="JW418" s="1008" t="s">
        <v>203</v>
      </c>
      <c r="JX418" s="1007">
        <v>-23.408000000000001</v>
      </c>
      <c r="JY418" s="1008"/>
      <c r="JZ418" s="1007">
        <v>-8.3599999999961483E-3</v>
      </c>
      <c r="KA418" s="1008" t="s">
        <v>324</v>
      </c>
      <c r="KB418" s="1007">
        <v>0</v>
      </c>
      <c r="KC418" s="1008"/>
      <c r="KD418" s="1007"/>
      <c r="KE418" s="1008"/>
      <c r="KF418" s="1007"/>
      <c r="KG418" s="1008"/>
      <c r="KH418" s="1007"/>
      <c r="KI418" s="1008"/>
      <c r="KJ418" s="1007"/>
      <c r="KK418" s="1008"/>
      <c r="KL418" s="1007"/>
      <c r="KM418" s="1008"/>
      <c r="KN418" s="1007"/>
      <c r="KO418" s="1008"/>
      <c r="KP418" s="1007"/>
      <c r="KQ418" s="1008"/>
      <c r="KR418" s="1007"/>
      <c r="KS418" s="1008"/>
      <c r="KT418" s="1007"/>
      <c r="KU418" s="1008"/>
      <c r="KV418" s="1007"/>
      <c r="KW418" s="1008"/>
      <c r="KX418" s="1007"/>
      <c r="KY418" s="1008"/>
      <c r="KZ418" s="1007"/>
      <c r="LA418" s="1008"/>
      <c r="LB418" s="1007"/>
      <c r="LC418" s="1008"/>
      <c r="LD418" s="1007"/>
      <c r="LE418" s="1008"/>
      <c r="LF418" s="1007"/>
      <c r="LG418" s="1008"/>
      <c r="LH418" s="1007"/>
      <c r="LI418" s="1008"/>
      <c r="LJ418" s="1007"/>
      <c r="LK418" s="1008"/>
      <c r="LL418" s="1007"/>
      <c r="LM418" s="1008"/>
      <c r="LN418" s="1007"/>
      <c r="LO418" s="1008"/>
      <c r="LP418" s="1007"/>
      <c r="LQ418" s="1008"/>
      <c r="LR418" s="1007"/>
      <c r="LS418" s="1008"/>
      <c r="LT418" s="1007"/>
      <c r="LU418" s="1008"/>
      <c r="LV418" s="1007"/>
      <c r="LW418" s="1008"/>
      <c r="LX418" s="1007"/>
      <c r="LY418" s="1009"/>
      <c r="LZ418" s="1010"/>
      <c r="MA418" s="1011"/>
      <c r="MB418" s="1012"/>
      <c r="MC418" s="995"/>
      <c r="MD418" s="996"/>
      <c r="ME418" s="997" t="s">
        <v>202</v>
      </c>
      <c r="MF418" s="997"/>
      <c r="MG418" s="998"/>
      <c r="NR418" s="1000"/>
      <c r="NS418" s="1000"/>
      <c r="NT418" s="1001"/>
      <c r="NU418" s="1000"/>
      <c r="NV418" s="1001"/>
      <c r="NX418" s="1002"/>
      <c r="NZ418" s="1001"/>
      <c r="OA418" s="1001"/>
      <c r="OC418" s="1003"/>
      <c r="OD418" s="1003"/>
      <c r="OE418" s="1001"/>
      <c r="OF418" s="1003"/>
      <c r="OG418" s="1003"/>
      <c r="QX418" s="1000">
        <f>CN418-CA418</f>
        <v>46</v>
      </c>
      <c r="ASU418" s="999" t="s">
        <v>208</v>
      </c>
    </row>
    <row r="419" spans="1:466 1191:1191" ht="21" customHeight="1" x14ac:dyDescent="0.25">
      <c r="A419" s="982">
        <f t="shared" si="323"/>
        <v>1490</v>
      </c>
      <c r="B419" s="124">
        <f>SUBTOTAL(103,$J$29:J419)</f>
        <v>391</v>
      </c>
      <c r="C419" s="126">
        <v>45068</v>
      </c>
      <c r="D419" s="124" t="s">
        <v>176</v>
      </c>
      <c r="E419" s="127" t="s">
        <v>177</v>
      </c>
      <c r="F419" s="128" t="s">
        <v>177</v>
      </c>
      <c r="G419" s="127" t="s">
        <v>178</v>
      </c>
      <c r="H419" s="127" t="s">
        <v>179</v>
      </c>
      <c r="I419" s="127" t="s">
        <v>1311</v>
      </c>
      <c r="J419" s="152">
        <v>1490</v>
      </c>
      <c r="K419" s="127" t="s">
        <v>1311</v>
      </c>
      <c r="L419" s="130">
        <v>43434</v>
      </c>
      <c r="M419" s="127" t="s">
        <v>230</v>
      </c>
      <c r="N419" s="127" t="s">
        <v>184</v>
      </c>
      <c r="O419" s="127" t="s">
        <v>185</v>
      </c>
      <c r="P419" s="127" t="s">
        <v>186</v>
      </c>
      <c r="Q419" s="85" t="str">
        <f t="shared" si="319"/>
        <v/>
      </c>
      <c r="R419" s="130"/>
      <c r="S419" s="128"/>
      <c r="T419" s="144"/>
      <c r="U419" s="132">
        <v>203</v>
      </c>
      <c r="V419" s="121">
        <v>218.2</v>
      </c>
      <c r="W419" s="116">
        <v>0.98</v>
      </c>
      <c r="X419" s="116">
        <v>1.66</v>
      </c>
      <c r="Y419" s="116">
        <f t="shared" si="299"/>
        <v>0.98140707761730661</v>
      </c>
      <c r="Z419" s="133">
        <v>1.454</v>
      </c>
      <c r="AA419" s="133">
        <v>0.83599999999999997</v>
      </c>
      <c r="AB419" s="133">
        <v>0.72</v>
      </c>
      <c r="AC419" s="121">
        <v>34.299999999999997</v>
      </c>
      <c r="AD419" s="134">
        <v>1.17</v>
      </c>
      <c r="AE419" s="124">
        <v>177.8</v>
      </c>
      <c r="AF419" s="128">
        <v>9.19</v>
      </c>
      <c r="AG419" s="128">
        <v>2364</v>
      </c>
      <c r="AH419" s="127">
        <v>2902</v>
      </c>
      <c r="AI419" s="127">
        <v>2902</v>
      </c>
      <c r="AJ419" s="135"/>
      <c r="AK419" s="128"/>
      <c r="AL419" s="131"/>
      <c r="AM419" s="124" t="s">
        <v>985</v>
      </c>
      <c r="AN419" s="136" t="s">
        <v>1611</v>
      </c>
      <c r="AO419" s="137">
        <v>73.759999999999991</v>
      </c>
      <c r="AP419" s="128">
        <v>2474</v>
      </c>
      <c r="AQ419" s="128">
        <v>612</v>
      </c>
      <c r="AR419" s="128" t="s">
        <v>1612</v>
      </c>
      <c r="AS419" s="128">
        <v>114</v>
      </c>
      <c r="AT419" s="122">
        <v>7.37</v>
      </c>
      <c r="AU419" s="124" t="s">
        <v>189</v>
      </c>
      <c r="AV419" s="115">
        <f>VLOOKUP(J419,'[63]ТР нефть'!$J$28:$BP$638,39,0)</f>
        <v>420.00000087900003</v>
      </c>
      <c r="AW419" s="115" t="str">
        <f>VLOOKUP(J419,'[63]ТР нефть'!$J$28:$BP$638,40,0)</f>
        <v>ГП</v>
      </c>
      <c r="AX419" s="115">
        <f>VLOOKUP(J419,'[63]ТР нефть'!$J$28:$BP$638,41,0)</f>
        <v>810.00004687499995</v>
      </c>
      <c r="AY419" s="115" t="str">
        <f>VLOOKUP(J419,'[63]ТР нефть'!$J$28:$BP$638,42,0)</f>
        <v>ГП</v>
      </c>
      <c r="AZ419" s="115">
        <f>VLOOKUP(J419,'[63]ТР нефть'!$J$28:$BP$638,43,0)</f>
        <v>1186.999993359</v>
      </c>
      <c r="BA419" s="115" t="str">
        <f>VLOOKUP(J419,'[63]ТР нефть'!$J$28:$BP$638,44,0)</f>
        <v>ГК76 1/8</v>
      </c>
      <c r="BB419" s="115">
        <f>VLOOKUP(J419,'[63]ТР нефть'!$J$28:$BP$638,45,0)</f>
        <v>1495.0000957029999</v>
      </c>
      <c r="BC419" s="115" t="str">
        <f>VLOOKUP(J419,'[63]ТР нефть'!$J$28:$BP$638,46,0)</f>
        <v>ГК75 1/8</v>
      </c>
      <c r="BD419" s="115">
        <f>VLOOKUP(J419,'[63]ТР нефть'!$J$28:$BP$638,47,0)</f>
        <v>1738.0001097659999</v>
      </c>
      <c r="BE419" s="115" t="str">
        <f>VLOOKUP(J419,'[63]ТР нефть'!$J$28:$BP$638,48,0)</f>
        <v>ГК75 5/32</v>
      </c>
      <c r="BF419" s="115">
        <f>VLOOKUP(J419,'[63]ТР нефть'!$J$28:$BP$638,49,0)</f>
        <v>1910</v>
      </c>
      <c r="BG419" s="115" t="str">
        <f>VLOOKUP(J419,'[63]ТР нефть'!$J$28:$BP$638,50,0)</f>
        <v>ЦКсОК 5/16</v>
      </c>
      <c r="BH419" s="115">
        <f>VLOOKUP(J419,'[63]ТР нефть'!$J$28:$BP$638,51,0)</f>
        <v>1990</v>
      </c>
      <c r="BI419" s="115" t="str">
        <f>VLOOKUP(J419,'[63]ТР нефть'!$J$28:$BP$638,52,0)</f>
        <v>закрыт</v>
      </c>
      <c r="BJ419" s="115" t="str">
        <f>IF(IFERROR(VLOOKUP(J419,'[63]ТР нефть'!$J$28:$BP$638,53,0),"-")=0,"-",IFERROR(VLOOKUP(J419,'[63]ТР нефть'!$J$28:$BP$638,53,0),"-"))</f>
        <v>-</v>
      </c>
      <c r="BK419" s="138" t="str">
        <f>IF(IFERROR(VLOOKUP(J419,'[63]ТР нефть'!$J$28:$BP$638,54,0),"-")=0,"-",IFERROR(VLOOKUP(J419,'[63]ТР нефть'!$J$28:$BP$638,54,0),"-"))</f>
        <v>-</v>
      </c>
      <c r="BL419" s="138" t="str">
        <f>IF(IFERROR(VLOOKUP(J419,'[63]ТР нефть'!$J$28:$BP$638,55,0),"-")=0,"-",IFERROR(VLOOKUP(J419,'[63]ТР нефть'!$J$28:$BP$638,55,0),"-"))</f>
        <v>-</v>
      </c>
      <c r="BM419" s="138" t="str">
        <f>IF(IFERROR(VLOOKUP(J419,'[63]ТР нефть'!$J$28:$BP$638,56,0),"-")=0,"-",IFERROR(VLOOKUP(J419,'[63]ТР нефть'!$J$28:$BP$638,56,0),"-"))</f>
        <v>-</v>
      </c>
      <c r="BN419" s="138" t="str">
        <f>IF(IFERROR(VLOOKUP(J419,'[63]ТР нефть'!$J$28:$BP$638,57,0),"-")=0,"-",IFERROR(VLOOKUP(J419,'[63]ТР нефть'!$J$28:$BP$638,57,0),"-"))</f>
        <v>-</v>
      </c>
      <c r="BO419" s="115" t="str">
        <f>IF(IFERROR(VLOOKUP(J419,'[63]ТР нефть'!$J$28:$BP$638,58,0),"-")=0,"-",IFERROR(VLOOKUP(J419,'[63]ТР нефть'!$J$28:$BP$638,58,0),"-"))</f>
        <v>-</v>
      </c>
      <c r="BP419" s="115" t="str">
        <f>IF(IFERROR(VLOOKUP(J419,'[63]ТР нефть'!$J$28:$BP$638,59,0),"-")=0,"-",IFERROR(VLOOKUP(J419,'[63]ТР нефть'!$J$28:$BP$638,59,0),"-"))</f>
        <v>-</v>
      </c>
      <c r="BQ419" s="138">
        <v>1990</v>
      </c>
      <c r="BR419" s="128">
        <v>1664.96</v>
      </c>
      <c r="BS419" s="115">
        <f t="shared" si="340"/>
        <v>325.03999999999996</v>
      </c>
      <c r="BT419" s="128">
        <v>73</v>
      </c>
      <c r="BU419" s="128">
        <v>5.5</v>
      </c>
      <c r="BV419" s="127">
        <v>65</v>
      </c>
      <c r="BW419" s="127" t="s">
        <v>217</v>
      </c>
      <c r="BX419" s="127" t="s">
        <v>195</v>
      </c>
      <c r="BY419" s="139">
        <v>24</v>
      </c>
      <c r="BZ419" s="139">
        <v>0</v>
      </c>
      <c r="CA419" s="80">
        <v>25</v>
      </c>
      <c r="CB419" s="138">
        <v>48</v>
      </c>
      <c r="CC419" s="138">
        <v>24</v>
      </c>
      <c r="CD419" s="135">
        <v>45017</v>
      </c>
      <c r="CE419" s="138">
        <v>119.7</v>
      </c>
      <c r="CF419" s="138">
        <v>74</v>
      </c>
      <c r="CG419" s="138" t="str">
        <f t="shared" si="310"/>
        <v>В работе</v>
      </c>
      <c r="CH419" s="138" t="s">
        <v>235</v>
      </c>
      <c r="CI419" s="127"/>
      <c r="CJ419" s="138"/>
      <c r="CK419" s="138">
        <f t="shared" si="308"/>
        <v>34</v>
      </c>
      <c r="CL419" s="99"/>
      <c r="CM419" s="99"/>
      <c r="CN419" s="140">
        <v>59</v>
      </c>
      <c r="CO419" s="141">
        <f t="shared" si="324"/>
        <v>9.9968880000000002</v>
      </c>
      <c r="CP419" s="142">
        <v>12</v>
      </c>
      <c r="CQ419" s="143">
        <v>0.35</v>
      </c>
      <c r="CR419" s="138">
        <v>15</v>
      </c>
      <c r="CS419" s="139">
        <v>8.4</v>
      </c>
      <c r="CT419" s="138"/>
      <c r="CU419" s="138">
        <f t="shared" si="320"/>
        <v>6.6</v>
      </c>
      <c r="CV419" s="115">
        <f t="shared" si="321"/>
        <v>660.2054559378879</v>
      </c>
      <c r="CW419" s="115">
        <f t="shared" si="325"/>
        <v>836.19331355935242</v>
      </c>
      <c r="CX419" s="133">
        <f t="shared" si="322"/>
        <v>0.19769357495881382</v>
      </c>
      <c r="CY419" s="116"/>
      <c r="CZ419" s="131"/>
      <c r="DA419" s="145" t="str">
        <f t="shared" si="326"/>
        <v>Газлифт</v>
      </c>
      <c r="DB419" s="146">
        <f t="shared" si="341"/>
        <v>9.9968880000000002</v>
      </c>
      <c r="DC419" s="142">
        <f t="shared" si="342"/>
        <v>12</v>
      </c>
      <c r="DD419" s="119">
        <f t="shared" si="303"/>
        <v>0.35</v>
      </c>
      <c r="DE419" s="115">
        <f t="shared" si="343"/>
        <v>6.6</v>
      </c>
      <c r="DF419" s="121">
        <f t="shared" si="328"/>
        <v>8.4</v>
      </c>
      <c r="DG419" s="115">
        <f t="shared" si="329"/>
        <v>660.2054559378879</v>
      </c>
      <c r="DH419" s="115">
        <f t="shared" si="330"/>
        <v>59</v>
      </c>
      <c r="DI419" s="147"/>
      <c r="DJ419" s="111">
        <v>43572</v>
      </c>
      <c r="DK419" s="112">
        <v>44115</v>
      </c>
      <c r="DL419" s="113">
        <f t="shared" ca="1" si="312"/>
        <v>989</v>
      </c>
      <c r="DM419" s="114"/>
      <c r="DN419" s="114"/>
      <c r="DO419" s="114"/>
      <c r="DP419" s="114"/>
      <c r="DQ419" s="112">
        <v>43434</v>
      </c>
      <c r="DR419" s="114" t="s">
        <v>324</v>
      </c>
      <c r="DS419" s="114"/>
      <c r="DT419" s="115">
        <v>60</v>
      </c>
      <c r="DU419" s="116">
        <f t="shared" si="313"/>
        <v>0.20100502512562812</v>
      </c>
      <c r="DV419" s="117">
        <f t="shared" si="314"/>
        <v>9.9968880000000002</v>
      </c>
      <c r="DW419" s="118">
        <f t="shared" si="315"/>
        <v>12</v>
      </c>
      <c r="DX419" s="119">
        <f t="shared" si="331"/>
        <v>0.35</v>
      </c>
      <c r="DY419" s="115">
        <f t="shared" si="316"/>
        <v>6.6000000000000005</v>
      </c>
      <c r="DZ419" s="117">
        <f t="shared" si="317"/>
        <v>0</v>
      </c>
      <c r="EA419" s="120">
        <f t="shared" si="317"/>
        <v>0</v>
      </c>
      <c r="EB419" s="119">
        <f t="shared" si="317"/>
        <v>0</v>
      </c>
      <c r="EC419" s="121">
        <f t="shared" si="318"/>
        <v>0</v>
      </c>
      <c r="ED419" s="122"/>
      <c r="EE419" s="145">
        <v>65</v>
      </c>
      <c r="EF419" s="148">
        <v>27</v>
      </c>
      <c r="EG419" s="115">
        <v>50</v>
      </c>
      <c r="EH419" s="115">
        <v>26</v>
      </c>
      <c r="EI419" s="128" t="s">
        <v>195</v>
      </c>
      <c r="EJ419" s="121">
        <v>24</v>
      </c>
      <c r="EK419" s="121">
        <v>0</v>
      </c>
      <c r="EL419" s="149">
        <v>8.4973547999999983</v>
      </c>
      <c r="EM419" s="142">
        <v>10.199999999999999</v>
      </c>
      <c r="EN419" s="119">
        <v>0.35</v>
      </c>
      <c r="EO419" s="115">
        <v>15</v>
      </c>
      <c r="EP419" s="115">
        <v>776.71230110339764</v>
      </c>
      <c r="EQ419" s="115">
        <v>72</v>
      </c>
      <c r="ER419" s="115">
        <v>8.4</v>
      </c>
      <c r="ES419" s="115">
        <v>54</v>
      </c>
      <c r="ET419" s="150">
        <v>0.15525114155251141</v>
      </c>
      <c r="EU419" s="145">
        <f t="shared" si="332"/>
        <v>65</v>
      </c>
      <c r="EV419" s="115">
        <f t="shared" si="333"/>
        <v>25</v>
      </c>
      <c r="EW419" s="115">
        <f t="shared" si="333"/>
        <v>48</v>
      </c>
      <c r="EX419" s="115">
        <f t="shared" si="333"/>
        <v>24</v>
      </c>
      <c r="EY419" s="115" t="str">
        <f t="shared" si="309"/>
        <v>Постоянный</v>
      </c>
      <c r="EZ419" s="115">
        <f t="shared" si="309"/>
        <v>24</v>
      </c>
      <c r="FA419" s="115">
        <f t="shared" si="309"/>
        <v>0</v>
      </c>
      <c r="FB419" s="149">
        <f t="shared" si="298"/>
        <v>9.9968880000000002</v>
      </c>
      <c r="FC419" s="142">
        <f t="shared" si="298"/>
        <v>12</v>
      </c>
      <c r="FD419" s="119">
        <f t="shared" si="298"/>
        <v>0.35</v>
      </c>
      <c r="FE419" s="121">
        <f t="shared" si="298"/>
        <v>15</v>
      </c>
      <c r="FF419" s="121">
        <f t="shared" si="300"/>
        <v>660.2054559378879</v>
      </c>
      <c r="FG419" s="121">
        <f t="shared" si="334"/>
        <v>74</v>
      </c>
      <c r="FH419" s="121">
        <f t="shared" si="301"/>
        <v>8.4</v>
      </c>
      <c r="FI419" s="121">
        <f t="shared" si="306"/>
        <v>59</v>
      </c>
      <c r="FJ419" s="144">
        <f t="shared" si="335"/>
        <v>0.19769357495881382</v>
      </c>
      <c r="FK419" s="132">
        <f t="shared" si="336"/>
        <v>0</v>
      </c>
      <c r="FL419" s="115">
        <f t="shared" si="336"/>
        <v>-2</v>
      </c>
      <c r="FM419" s="115">
        <f t="shared" si="336"/>
        <v>-2</v>
      </c>
      <c r="FN419" s="115">
        <f t="shared" si="336"/>
        <v>-2</v>
      </c>
      <c r="FO419" s="115">
        <f t="shared" si="311"/>
        <v>0</v>
      </c>
      <c r="FP419" s="115">
        <f t="shared" si="311"/>
        <v>0</v>
      </c>
      <c r="FQ419" s="149">
        <f t="shared" si="311"/>
        <v>1.4995332000000019</v>
      </c>
      <c r="FR419" s="142">
        <f t="shared" si="311"/>
        <v>1.8000000000000007</v>
      </c>
      <c r="FS419" s="119">
        <f t="shared" si="311"/>
        <v>0</v>
      </c>
      <c r="FT419" s="121">
        <f t="shared" si="311"/>
        <v>0</v>
      </c>
      <c r="FU419" s="121">
        <f t="shared" si="337"/>
        <v>2</v>
      </c>
      <c r="FV419" s="121">
        <f t="shared" si="337"/>
        <v>0</v>
      </c>
      <c r="FW419" s="121">
        <f t="shared" si="338"/>
        <v>-116.50684516550973</v>
      </c>
      <c r="FX419" s="121">
        <f t="shared" si="339"/>
        <v>5</v>
      </c>
      <c r="FY419" s="144">
        <f t="shared" si="339"/>
        <v>4.244243340630241E-2</v>
      </c>
      <c r="FZ419" s="145" t="s">
        <v>199</v>
      </c>
      <c r="GA419" s="125" t="s">
        <v>200</v>
      </c>
      <c r="GB419" s="145"/>
      <c r="GC419" s="136"/>
      <c r="GD419" s="997" t="s">
        <v>202</v>
      </c>
      <c r="GE419" s="1004"/>
      <c r="GF419" s="1004">
        <v>0.30455479999999824</v>
      </c>
      <c r="GG419" s="1004"/>
      <c r="GH419" s="1004">
        <v>-4.1799999999998505E-2</v>
      </c>
      <c r="GI419" s="145" t="s">
        <v>199</v>
      </c>
      <c r="GJ419" s="996">
        <v>-1.8074320000000021</v>
      </c>
      <c r="GK419" s="145"/>
      <c r="GL419" s="996">
        <v>-0.38181791999999781</v>
      </c>
      <c r="GM419" s="1005"/>
      <c r="GN419" s="996">
        <v>-0.84840791200000254</v>
      </c>
      <c r="GO419" s="1006"/>
      <c r="GP419" s="996">
        <v>6.9857832000002063E-2</v>
      </c>
      <c r="GQ419" s="1006"/>
      <c r="GR419" s="996">
        <v>0</v>
      </c>
      <c r="GS419" s="1006"/>
      <c r="GT419" s="996">
        <v>0</v>
      </c>
      <c r="GU419" s="1006"/>
      <c r="GV419" s="996">
        <v>0</v>
      </c>
      <c r="GW419" s="1006"/>
      <c r="GX419" s="996">
        <v>0</v>
      </c>
      <c r="GY419" s="1006"/>
      <c r="GZ419" s="996">
        <v>-0.89760000000000062</v>
      </c>
      <c r="HA419" s="1006" t="s">
        <v>199</v>
      </c>
      <c r="HB419" s="996">
        <v>4.3048398800000003</v>
      </c>
      <c r="HC419" s="1006" t="s">
        <v>241</v>
      </c>
      <c r="HD419" s="996">
        <v>-1.7992099399999999</v>
      </c>
      <c r="HE419" s="1006"/>
      <c r="HF419" s="996">
        <v>-0.60982103600000137</v>
      </c>
      <c r="HG419" s="1006"/>
      <c r="HH419" s="996">
        <v>7.0989776000001115E-2</v>
      </c>
      <c r="HI419" s="1006"/>
      <c r="HJ419" s="996">
        <v>-0.73952120000000043</v>
      </c>
      <c r="HK419" s="1006" t="s">
        <v>199</v>
      </c>
      <c r="HL419" s="996">
        <v>-0.8619086431999996</v>
      </c>
      <c r="HM419" s="1006"/>
      <c r="HN419" s="996">
        <v>-0.50916579999999989</v>
      </c>
      <c r="HO419" s="1006"/>
      <c r="HP419" s="996">
        <v>-0.17957280000000075</v>
      </c>
      <c r="HQ419" s="1006" t="s">
        <v>199</v>
      </c>
      <c r="HR419" s="996">
        <v>1.876559168</v>
      </c>
      <c r="HS419" s="1006"/>
      <c r="HT419" s="996">
        <v>0</v>
      </c>
      <c r="HU419" s="1006" t="s">
        <v>199</v>
      </c>
      <c r="HV419" s="996">
        <v>-2.5729471679999971</v>
      </c>
      <c r="HW419" s="1006"/>
      <c r="HX419" s="996">
        <v>-0.46534602400000225</v>
      </c>
      <c r="HY419" s="1006" t="s">
        <v>199</v>
      </c>
      <c r="HZ419" s="996">
        <v>11.740391079999998</v>
      </c>
      <c r="IA419" s="1006" t="s">
        <v>199</v>
      </c>
      <c r="IB419" s="996">
        <v>-9.2743524279999985</v>
      </c>
      <c r="IC419" s="1006" t="s">
        <v>221</v>
      </c>
      <c r="ID419" s="996">
        <v>1.4125950519999986</v>
      </c>
      <c r="IE419" s="1006" t="s">
        <v>221</v>
      </c>
      <c r="IF419" s="996">
        <v>4.5568019199999998</v>
      </c>
      <c r="IG419" s="1006"/>
      <c r="IH419" s="996">
        <v>0</v>
      </c>
      <c r="II419" s="1006"/>
      <c r="IJ419" s="996">
        <v>-0.75490800000000036</v>
      </c>
      <c r="IK419" s="1006"/>
      <c r="IL419" s="996">
        <v>0</v>
      </c>
      <c r="IM419" s="1006"/>
      <c r="IN419" s="996">
        <v>0.84653360000000077</v>
      </c>
      <c r="IO419" s="1006" t="s">
        <v>239</v>
      </c>
      <c r="IP419" s="996">
        <v>2.246164799999999</v>
      </c>
      <c r="IQ419" s="1006"/>
      <c r="IR419" s="996">
        <v>0</v>
      </c>
      <c r="IS419" s="1006"/>
      <c r="IT419" s="996">
        <v>0</v>
      </c>
      <c r="IU419" s="1006"/>
      <c r="IV419" s="996">
        <v>0</v>
      </c>
      <c r="IW419" s="1006"/>
      <c r="IX419" s="996">
        <v>0</v>
      </c>
      <c r="IY419" s="1006"/>
      <c r="IZ419" s="996">
        <v>-0.29259999999999931</v>
      </c>
      <c r="JA419" s="1006"/>
      <c r="JB419" s="996">
        <v>0</v>
      </c>
      <c r="JC419" s="1006" t="s">
        <v>204</v>
      </c>
      <c r="JD419" s="996">
        <v>-4.0964</v>
      </c>
      <c r="JE419" s="1006"/>
      <c r="JF419" s="996">
        <v>0</v>
      </c>
      <c r="JG419" s="1006"/>
      <c r="JH419" s="996">
        <v>0</v>
      </c>
      <c r="JI419" s="1006"/>
      <c r="JJ419" s="996">
        <v>0</v>
      </c>
      <c r="JK419" s="1007"/>
      <c r="JL419" s="1007">
        <v>0</v>
      </c>
      <c r="JM419" s="1007"/>
      <c r="JN419" s="1007">
        <v>0</v>
      </c>
      <c r="JO419" s="1008"/>
      <c r="JP419" s="1007">
        <v>0</v>
      </c>
      <c r="JQ419" s="1008" t="s">
        <v>204</v>
      </c>
      <c r="JR419" s="1007">
        <v>-1.3376000000000001</v>
      </c>
      <c r="JS419" s="1008">
        <v>0</v>
      </c>
      <c r="JT419" s="1007">
        <v>-0.8360000000000003</v>
      </c>
      <c r="JU419" s="1008"/>
      <c r="JV419" s="1007">
        <v>0</v>
      </c>
      <c r="JW419" s="1008" t="s">
        <v>197</v>
      </c>
      <c r="JX419" s="1007">
        <v>0</v>
      </c>
      <c r="JY419" s="1008"/>
      <c r="JZ419" s="1007">
        <v>0</v>
      </c>
      <c r="KA419" s="1008" t="s">
        <v>240</v>
      </c>
      <c r="KB419" s="1007">
        <v>-2.5079999999999991</v>
      </c>
      <c r="KC419" s="1008"/>
      <c r="KD419" s="1007">
        <v>0</v>
      </c>
      <c r="KE419" s="1008" t="s">
        <v>240</v>
      </c>
      <c r="KF419" s="1007">
        <v>-31.724360799999999</v>
      </c>
      <c r="KG419" s="1008"/>
      <c r="KH419" s="1007">
        <v>0</v>
      </c>
      <c r="KI419" s="1008"/>
      <c r="KJ419" s="1007">
        <v>0</v>
      </c>
      <c r="KK419" s="1008"/>
      <c r="KL419" s="1007"/>
      <c r="KM419" s="1008"/>
      <c r="KN419" s="1007"/>
      <c r="KO419" s="1008"/>
      <c r="KP419" s="1007"/>
      <c r="KQ419" s="1008"/>
      <c r="KR419" s="1007"/>
      <c r="KS419" s="1008"/>
      <c r="KT419" s="1007"/>
      <c r="KU419" s="1008"/>
      <c r="KV419" s="1007"/>
      <c r="KW419" s="1008"/>
      <c r="KX419" s="1007"/>
      <c r="KY419" s="1008"/>
      <c r="KZ419" s="1007"/>
      <c r="LA419" s="1008"/>
      <c r="LB419" s="1007"/>
      <c r="LC419" s="1008"/>
      <c r="LD419" s="1007"/>
      <c r="LE419" s="1008"/>
      <c r="LF419" s="1007"/>
      <c r="LG419" s="1008"/>
      <c r="LH419" s="1007"/>
      <c r="LI419" s="1008"/>
      <c r="LJ419" s="1007"/>
      <c r="LK419" s="1008"/>
      <c r="LL419" s="1007"/>
      <c r="LM419" s="1008"/>
      <c r="LN419" s="1007"/>
      <c r="LO419" s="1008"/>
      <c r="LP419" s="1007"/>
      <c r="LQ419" s="1008"/>
      <c r="LR419" s="1007"/>
      <c r="LS419" s="1008"/>
      <c r="LT419" s="1007"/>
      <c r="LU419" s="1008"/>
      <c r="LV419" s="1007"/>
      <c r="LW419" s="1008"/>
      <c r="LX419" s="1007"/>
      <c r="LY419" s="1009"/>
      <c r="LZ419" s="1010"/>
      <c r="MA419" s="1011"/>
      <c r="MB419" s="1012"/>
      <c r="MC419" s="995"/>
      <c r="MD419" s="996"/>
      <c r="ME419" s="997" t="s">
        <v>202</v>
      </c>
      <c r="MF419" s="997"/>
      <c r="MG419" s="998"/>
      <c r="NR419" s="1000"/>
      <c r="NS419" s="1000"/>
      <c r="NT419" s="1001"/>
      <c r="NU419" s="1000"/>
      <c r="NV419" s="1001"/>
      <c r="NX419" s="1002"/>
      <c r="NZ419" s="1001"/>
      <c r="OA419" s="1001"/>
      <c r="OC419" s="1003"/>
      <c r="OD419" s="1003"/>
      <c r="OE419" s="1001"/>
      <c r="OF419" s="1003"/>
      <c r="OG419" s="1003"/>
      <c r="QX419" s="1000">
        <f>CN419-CA419</f>
        <v>34</v>
      </c>
      <c r="ASU419" s="999" t="s">
        <v>208</v>
      </c>
    </row>
    <row r="420" spans="1:466 1191:1191" ht="21" customHeight="1" x14ac:dyDescent="0.25">
      <c r="A420" s="982">
        <f t="shared" si="323"/>
        <v>1494</v>
      </c>
      <c r="B420" s="124">
        <f>SUBTOTAL(103,$J$29:J420)</f>
        <v>392</v>
      </c>
      <c r="C420" s="126">
        <v>45068</v>
      </c>
      <c r="D420" s="124" t="s">
        <v>176</v>
      </c>
      <c r="E420" s="127" t="s">
        <v>177</v>
      </c>
      <c r="F420" s="128" t="s">
        <v>177</v>
      </c>
      <c r="G420" s="127" t="s">
        <v>178</v>
      </c>
      <c r="H420" s="127" t="s">
        <v>179</v>
      </c>
      <c r="I420" s="127" t="s">
        <v>1137</v>
      </c>
      <c r="J420" s="152">
        <v>1494</v>
      </c>
      <c r="K420" s="127" t="s">
        <v>1438</v>
      </c>
      <c r="L420" s="130">
        <v>43100</v>
      </c>
      <c r="M420" s="127" t="s">
        <v>230</v>
      </c>
      <c r="N420" s="127" t="s">
        <v>184</v>
      </c>
      <c r="O420" s="127" t="s">
        <v>185</v>
      </c>
      <c r="P420" s="127" t="s">
        <v>186</v>
      </c>
      <c r="Q420" s="85">
        <f t="shared" si="319"/>
        <v>-4</v>
      </c>
      <c r="R420" s="130">
        <v>43061</v>
      </c>
      <c r="S420" s="128" t="s">
        <v>747</v>
      </c>
      <c r="T420" s="131" t="s">
        <v>1613</v>
      </c>
      <c r="U420" s="132">
        <v>203</v>
      </c>
      <c r="V420" s="121">
        <v>218.2</v>
      </c>
      <c r="W420" s="116">
        <v>0.98</v>
      </c>
      <c r="X420" s="116">
        <v>1.66</v>
      </c>
      <c r="Y420" s="116">
        <f t="shared" si="299"/>
        <v>0.98</v>
      </c>
      <c r="Z420" s="133">
        <v>1.454</v>
      </c>
      <c r="AA420" s="133">
        <v>0.83599999999999997</v>
      </c>
      <c r="AB420" s="133">
        <v>0.72</v>
      </c>
      <c r="AC420" s="121">
        <v>34.299999999999997</v>
      </c>
      <c r="AD420" s="134">
        <v>1.17</v>
      </c>
      <c r="AE420" s="124">
        <v>177.8</v>
      </c>
      <c r="AF420" s="128">
        <v>9.19</v>
      </c>
      <c r="AG420" s="128">
        <v>2120.6</v>
      </c>
      <c r="AH420" s="138">
        <v>2708.8</v>
      </c>
      <c r="AI420" s="138">
        <v>2708.8</v>
      </c>
      <c r="AJ420" s="135">
        <v>43012</v>
      </c>
      <c r="AK420" s="128" t="s">
        <v>1018</v>
      </c>
      <c r="AL420" s="131"/>
      <c r="AM420" s="124" t="s">
        <v>985</v>
      </c>
      <c r="AN420" s="136" t="s">
        <v>1614</v>
      </c>
      <c r="AO420" s="137">
        <v>8.61</v>
      </c>
      <c r="AP420" s="128">
        <v>2155.1999999999998</v>
      </c>
      <c r="AQ420" s="128">
        <v>323.77999999999997</v>
      </c>
      <c r="AR420" s="128" t="s">
        <v>1615</v>
      </c>
      <c r="AS420" s="128">
        <v>114</v>
      </c>
      <c r="AT420" s="122">
        <v>7.37</v>
      </c>
      <c r="AU420" s="124" t="s">
        <v>189</v>
      </c>
      <c r="AV420" s="115">
        <f>VLOOKUP(J420,'[63]ТР нефть'!$J$28:$BP$638,39,0)</f>
        <v>449.999992969</v>
      </c>
      <c r="AW420" s="115" t="str">
        <f>VLOOKUP(J420,'[63]ТР нефть'!$J$28:$BP$638,40,0)</f>
        <v>ГП</v>
      </c>
      <c r="AX420" s="115">
        <f>VLOOKUP(J420,'[63]ТР нефть'!$J$28:$BP$638,41,0)</f>
        <v>865</v>
      </c>
      <c r="AY420" s="115" t="str">
        <f>VLOOKUP(J420,'[63]ТР нефть'!$J$28:$BP$638,42,0)</f>
        <v>ГК87 1/8</v>
      </c>
      <c r="AZ420" s="115">
        <f>VLOOKUP(J420,'[63]ТР нефть'!$J$28:$BP$638,43,0)</f>
        <v>1197</v>
      </c>
      <c r="BA420" s="115" t="str">
        <f>VLOOKUP(J420,'[63]ТР нефть'!$J$28:$BP$638,44,0)</f>
        <v>ГК86 1/8</v>
      </c>
      <c r="BB420" s="115">
        <f>VLOOKUP(J420,'[63]ТР нефть'!$J$28:$BP$638,45,0)</f>
        <v>1472</v>
      </c>
      <c r="BC420" s="115" t="str">
        <f>VLOOKUP(J420,'[63]ТР нефть'!$J$28:$BP$638,46,0)</f>
        <v>ГК86 1/8</v>
      </c>
      <c r="BD420" s="115">
        <f>VLOOKUP(J420,'[63]ТР нефть'!$J$28:$BP$638,47,0)</f>
        <v>1713</v>
      </c>
      <c r="BE420" s="115" t="str">
        <f>VLOOKUP(J420,'[63]ТР нефть'!$J$28:$BP$638,48,0)</f>
        <v>ЦКсОК 5/16</v>
      </c>
      <c r="BF420" s="115" t="str">
        <f>VLOOKUP(J420,'[63]ТР нефть'!$J$28:$BP$638,49,0)</f>
        <v>-</v>
      </c>
      <c r="BG420" s="115" t="str">
        <f>VLOOKUP(J420,'[63]ТР нефть'!$J$28:$BP$638,50,0)</f>
        <v>-</v>
      </c>
      <c r="BH420" s="115">
        <f>VLOOKUP(J420,'[63]ТР нефть'!$J$28:$BP$638,51,0)</f>
        <v>1723</v>
      </c>
      <c r="BI420" s="115" t="str">
        <f>VLOOKUP(J420,'[63]ТР нефть'!$J$28:$BP$638,52,0)</f>
        <v>закрыт</v>
      </c>
      <c r="BJ420" s="115" t="str">
        <f>IF(IFERROR(VLOOKUP(J420,'[63]ТР нефть'!$J$28:$BP$638,53,0),"-")=0,"-",IFERROR(VLOOKUP(J420,'[63]ТР нефть'!$J$28:$BP$638,53,0),"-"))</f>
        <v>-</v>
      </c>
      <c r="BK420" s="138" t="str">
        <f>IF(IFERROR(VLOOKUP(J420,'[63]ТР нефть'!$J$28:$BP$638,54,0),"-")=0,"-",IFERROR(VLOOKUP(J420,'[63]ТР нефть'!$J$28:$BP$638,54,0),"-"))</f>
        <v>-</v>
      </c>
      <c r="BL420" s="138" t="str">
        <f>IF(IFERROR(VLOOKUP(J420,'[63]ТР нефть'!$J$28:$BP$638,55,0),"-")=0,"-",IFERROR(VLOOKUP(J420,'[63]ТР нефть'!$J$28:$BP$638,55,0),"-"))</f>
        <v>-</v>
      </c>
      <c r="BM420" s="138" t="str">
        <f>IF(IFERROR(VLOOKUP(J420,'[63]ТР нефть'!$J$28:$BP$638,56,0),"-")=0,"-",IFERROR(VLOOKUP(J420,'[63]ТР нефть'!$J$28:$BP$638,56,0),"-"))</f>
        <v>-</v>
      </c>
      <c r="BN420" s="138" t="str">
        <f>IF(IFERROR(VLOOKUP(J420,'[63]ТР нефть'!$J$28:$BP$638,57,0),"-")=0,"-",IFERROR(VLOOKUP(J420,'[63]ТР нефть'!$J$28:$BP$638,57,0),"-"))</f>
        <v>-</v>
      </c>
      <c r="BO420" s="115" t="str">
        <f>IF(IFERROR(VLOOKUP(J420,'[63]ТР нефть'!$J$28:$BP$638,58,0),"-")=0,"-",IFERROR(VLOOKUP(J420,'[63]ТР нефть'!$J$28:$BP$638,58,0),"-"))</f>
        <v>-</v>
      </c>
      <c r="BP420" s="115" t="str">
        <f>IF(IFERROR(VLOOKUP(J420,'[63]ТР нефть'!$J$28:$BP$638,59,0),"-")=0,"-",IFERROR(VLOOKUP(J420,'[63]ТР нефть'!$J$28:$BP$638,59,0),"-"))</f>
        <v>-</v>
      </c>
      <c r="BQ420" s="138">
        <v>2720</v>
      </c>
      <c r="BR420" s="128">
        <v>1840.26</v>
      </c>
      <c r="BS420" s="115">
        <f t="shared" si="340"/>
        <v>879.74</v>
      </c>
      <c r="BT420" s="128">
        <v>73</v>
      </c>
      <c r="BU420" s="128">
        <v>5.5</v>
      </c>
      <c r="BV420" s="127">
        <v>65</v>
      </c>
      <c r="BW420" s="127" t="s">
        <v>217</v>
      </c>
      <c r="BX420" s="127" t="s">
        <v>195</v>
      </c>
      <c r="BY420" s="139">
        <v>24</v>
      </c>
      <c r="BZ420" s="139">
        <v>0</v>
      </c>
      <c r="CA420" s="80">
        <v>25</v>
      </c>
      <c r="CB420" s="138">
        <v>38</v>
      </c>
      <c r="CC420" s="138">
        <v>24</v>
      </c>
      <c r="CD420" s="135">
        <v>45017</v>
      </c>
      <c r="CE420" s="138">
        <v>111</v>
      </c>
      <c r="CF420" s="138">
        <v>74</v>
      </c>
      <c r="CG420" s="138" t="str">
        <f t="shared" si="310"/>
        <v>В работе</v>
      </c>
      <c r="CH420" s="138" t="s">
        <v>272</v>
      </c>
      <c r="CI420" s="127"/>
      <c r="CJ420" s="138"/>
      <c r="CK420" s="138">
        <f t="shared" si="308"/>
        <v>22</v>
      </c>
      <c r="CL420" s="99"/>
      <c r="CM420" s="99"/>
      <c r="CN420" s="140">
        <v>47</v>
      </c>
      <c r="CO420" s="141">
        <f t="shared" si="324"/>
        <v>12.8744</v>
      </c>
      <c r="CP420" s="142">
        <v>15.4</v>
      </c>
      <c r="CQ420" s="143">
        <v>0</v>
      </c>
      <c r="CR420" s="138">
        <v>12.4</v>
      </c>
      <c r="CS420" s="139">
        <v>8.3000000000000007</v>
      </c>
      <c r="CT420" s="138"/>
      <c r="CU420" s="138">
        <f t="shared" si="320"/>
        <v>4.0999999999999996</v>
      </c>
      <c r="CV420" s="115">
        <f t="shared" si="321"/>
        <v>318.46144286335675</v>
      </c>
      <c r="CW420" s="115">
        <f t="shared" si="325"/>
        <v>644.69023799167348</v>
      </c>
      <c r="CX420" s="133">
        <f t="shared" si="322"/>
        <v>0.24062500000000001</v>
      </c>
      <c r="CY420" s="116"/>
      <c r="CZ420" s="131"/>
      <c r="DA420" s="145" t="str">
        <f t="shared" si="326"/>
        <v>Газлифт</v>
      </c>
      <c r="DB420" s="146">
        <f t="shared" si="341"/>
        <v>12.8744</v>
      </c>
      <c r="DC420" s="142">
        <f t="shared" si="342"/>
        <v>15.4</v>
      </c>
      <c r="DD420" s="119">
        <f t="shared" si="303"/>
        <v>0</v>
      </c>
      <c r="DE420" s="115">
        <f t="shared" si="343"/>
        <v>4.0999999999999996</v>
      </c>
      <c r="DF420" s="121">
        <f t="shared" si="328"/>
        <v>8.3000000000000007</v>
      </c>
      <c r="DG420" s="115">
        <f t="shared" si="329"/>
        <v>318.46144286335675</v>
      </c>
      <c r="DH420" s="115">
        <f t="shared" si="330"/>
        <v>47</v>
      </c>
      <c r="DI420" s="147"/>
      <c r="DJ420" s="111" t="s">
        <v>197</v>
      </c>
      <c r="DK420" s="112">
        <v>43100</v>
      </c>
      <c r="DL420" s="113">
        <f t="shared" ca="1" si="312"/>
        <v>2004</v>
      </c>
      <c r="DM420" s="114"/>
      <c r="DN420" s="114"/>
      <c r="DO420" s="114"/>
      <c r="DP420" s="114"/>
      <c r="DQ420" s="112">
        <v>43100</v>
      </c>
      <c r="DR420" s="114" t="s">
        <v>324</v>
      </c>
      <c r="DS420" s="114"/>
      <c r="DT420" s="115">
        <v>45</v>
      </c>
      <c r="DU420" s="116">
        <f t="shared" si="313"/>
        <v>0.23803415208613724</v>
      </c>
      <c r="DV420" s="117">
        <f t="shared" si="314"/>
        <v>13.133772375504707</v>
      </c>
      <c r="DW420" s="118">
        <f t="shared" si="315"/>
        <v>15.710254037685058</v>
      </c>
      <c r="DX420" s="119">
        <f t="shared" si="331"/>
        <v>0</v>
      </c>
      <c r="DY420" s="115">
        <f t="shared" si="316"/>
        <v>4.1826001009421256</v>
      </c>
      <c r="DZ420" s="117">
        <f t="shared" si="317"/>
        <v>0.25937237550470726</v>
      </c>
      <c r="EA420" s="120">
        <f t="shared" si="317"/>
        <v>0.31025403768505733</v>
      </c>
      <c r="EB420" s="119">
        <f t="shared" si="317"/>
        <v>0</v>
      </c>
      <c r="EC420" s="121">
        <f t="shared" si="318"/>
        <v>8.2600100942125998E-2</v>
      </c>
      <c r="ED420" s="122"/>
      <c r="EE420" s="145">
        <v>65</v>
      </c>
      <c r="EF420" s="148">
        <v>28</v>
      </c>
      <c r="EG420" s="115">
        <v>40</v>
      </c>
      <c r="EH420" s="115">
        <v>27</v>
      </c>
      <c r="EI420" s="128" t="s">
        <v>195</v>
      </c>
      <c r="EJ420" s="121">
        <v>24</v>
      </c>
      <c r="EK420" s="121">
        <v>0</v>
      </c>
      <c r="EL420" s="149">
        <v>12.8744</v>
      </c>
      <c r="EM420" s="142">
        <v>15.4</v>
      </c>
      <c r="EN420" s="119">
        <v>0</v>
      </c>
      <c r="EO420" s="115">
        <v>14.9</v>
      </c>
      <c r="EP420" s="115">
        <v>504.87789722239484</v>
      </c>
      <c r="EQ420" s="115">
        <v>72</v>
      </c>
      <c r="ER420" s="115">
        <v>8.4</v>
      </c>
      <c r="ES420" s="115">
        <v>47</v>
      </c>
      <c r="ET420" s="150">
        <v>0.24062500000000001</v>
      </c>
      <c r="EU420" s="145">
        <f t="shared" si="332"/>
        <v>65</v>
      </c>
      <c r="EV420" s="115">
        <f t="shared" si="333"/>
        <v>25</v>
      </c>
      <c r="EW420" s="115">
        <f t="shared" si="333"/>
        <v>38</v>
      </c>
      <c r="EX420" s="115">
        <f t="shared" si="333"/>
        <v>24</v>
      </c>
      <c r="EY420" s="115" t="str">
        <f t="shared" si="309"/>
        <v>Постоянный</v>
      </c>
      <c r="EZ420" s="115">
        <f t="shared" si="309"/>
        <v>24</v>
      </c>
      <c r="FA420" s="115">
        <f t="shared" si="309"/>
        <v>0</v>
      </c>
      <c r="FB420" s="149">
        <f t="shared" si="298"/>
        <v>12.8744</v>
      </c>
      <c r="FC420" s="142">
        <f t="shared" si="298"/>
        <v>15.4</v>
      </c>
      <c r="FD420" s="119">
        <f t="shared" si="298"/>
        <v>0</v>
      </c>
      <c r="FE420" s="121">
        <f t="shared" si="298"/>
        <v>12.4</v>
      </c>
      <c r="FF420" s="121">
        <f t="shared" si="300"/>
        <v>318.46144286335675</v>
      </c>
      <c r="FG420" s="121">
        <f t="shared" si="334"/>
        <v>74</v>
      </c>
      <c r="FH420" s="121">
        <f t="shared" si="301"/>
        <v>8.3000000000000007</v>
      </c>
      <c r="FI420" s="121">
        <f t="shared" si="306"/>
        <v>47</v>
      </c>
      <c r="FJ420" s="144">
        <f t="shared" si="335"/>
        <v>0.24062500000000001</v>
      </c>
      <c r="FK420" s="132">
        <f t="shared" si="336"/>
        <v>0</v>
      </c>
      <c r="FL420" s="115">
        <f t="shared" si="336"/>
        <v>-3</v>
      </c>
      <c r="FM420" s="115">
        <f t="shared" si="336"/>
        <v>-2</v>
      </c>
      <c r="FN420" s="115">
        <f t="shared" si="336"/>
        <v>-3</v>
      </c>
      <c r="FO420" s="115">
        <f t="shared" si="311"/>
        <v>0</v>
      </c>
      <c r="FP420" s="115">
        <f t="shared" si="311"/>
        <v>0</v>
      </c>
      <c r="FQ420" s="149">
        <f t="shared" si="311"/>
        <v>0</v>
      </c>
      <c r="FR420" s="142">
        <f t="shared" si="311"/>
        <v>0</v>
      </c>
      <c r="FS420" s="119">
        <f t="shared" si="311"/>
        <v>0</v>
      </c>
      <c r="FT420" s="121">
        <f t="shared" si="311"/>
        <v>-2.5</v>
      </c>
      <c r="FU420" s="121">
        <f t="shared" si="337"/>
        <v>2</v>
      </c>
      <c r="FV420" s="121">
        <f t="shared" si="337"/>
        <v>-9.9999999999999645E-2</v>
      </c>
      <c r="FW420" s="121">
        <f t="shared" si="338"/>
        <v>-186.41645435903808</v>
      </c>
      <c r="FX420" s="121">
        <f t="shared" si="339"/>
        <v>0</v>
      </c>
      <c r="FY420" s="144">
        <f t="shared" si="339"/>
        <v>0</v>
      </c>
      <c r="FZ420" s="145"/>
      <c r="GA420" s="151"/>
      <c r="GB420" s="145" t="s">
        <v>199</v>
      </c>
      <c r="GC420" s="151" t="s">
        <v>1189</v>
      </c>
      <c r="GD420" s="997" t="s">
        <v>202</v>
      </c>
      <c r="GE420" s="1004" t="s">
        <v>199</v>
      </c>
      <c r="GF420" s="1004">
        <v>2.8423999999999996</v>
      </c>
      <c r="GG420" s="1004"/>
      <c r="GH420" s="1004">
        <v>0</v>
      </c>
      <c r="GI420" s="145"/>
      <c r="GJ420" s="996">
        <v>1.6719999999999402E-2</v>
      </c>
      <c r="GK420" s="145"/>
      <c r="GL420" s="996">
        <v>0</v>
      </c>
      <c r="GM420" s="1005"/>
      <c r="GN420" s="996">
        <v>0</v>
      </c>
      <c r="GO420" s="1006"/>
      <c r="GP420" s="996">
        <v>0</v>
      </c>
      <c r="GQ420" s="1006"/>
      <c r="GR420" s="996">
        <v>0</v>
      </c>
      <c r="GS420" s="1006"/>
      <c r="GT420" s="996">
        <v>-0.8527199999999997</v>
      </c>
      <c r="GU420" s="1006"/>
      <c r="GV420" s="996">
        <v>0</v>
      </c>
      <c r="GW420" s="1006"/>
      <c r="GX420" s="996">
        <v>-0.58519999999999861</v>
      </c>
      <c r="GY420" s="1006" t="s">
        <v>204</v>
      </c>
      <c r="GZ420" s="996">
        <v>-1.1954800000000017</v>
      </c>
      <c r="HA420" s="1006"/>
      <c r="HB420" s="996">
        <v>-0.13375999999999877</v>
      </c>
      <c r="HC420" s="1006" t="s">
        <v>199</v>
      </c>
      <c r="HD420" s="996">
        <v>8.6312025800000001</v>
      </c>
      <c r="HE420" s="1006" t="s">
        <v>199</v>
      </c>
      <c r="HF420" s="996">
        <v>-5.4087625800000003</v>
      </c>
      <c r="HG420" s="1006" t="s">
        <v>221</v>
      </c>
      <c r="HH420" s="996">
        <v>8.4173913163999998</v>
      </c>
      <c r="HI420" s="1006"/>
      <c r="HJ420" s="996">
        <v>0</v>
      </c>
      <c r="HK420" s="1006" t="s">
        <v>223</v>
      </c>
      <c r="HL420" s="996">
        <v>-1.3670180040000002</v>
      </c>
      <c r="HM420" s="1006"/>
      <c r="HN420" s="996">
        <v>-0.25003171600000051</v>
      </c>
      <c r="HO420" s="1006"/>
      <c r="HP420" s="996">
        <v>0.16432416000000138</v>
      </c>
      <c r="HQ420" s="1006"/>
      <c r="HR420" s="996">
        <v>-0.25260575999999979</v>
      </c>
      <c r="HS420" s="1006" t="s">
        <v>223</v>
      </c>
      <c r="HT420" s="996">
        <v>-1.7335296000000007</v>
      </c>
      <c r="HU420" s="1006" t="s">
        <v>241</v>
      </c>
      <c r="HV420" s="996">
        <v>1.725503999999999</v>
      </c>
      <c r="HW420" s="1006" t="s">
        <v>241</v>
      </c>
      <c r="HX420" s="996">
        <v>1.4847359999999998</v>
      </c>
      <c r="HY420" s="1006"/>
      <c r="HZ420" s="996">
        <v>0</v>
      </c>
      <c r="IA420" s="1006"/>
      <c r="IB420" s="996">
        <v>0</v>
      </c>
      <c r="IC420" s="1006"/>
      <c r="ID420" s="996">
        <v>-0.46732399999999785</v>
      </c>
      <c r="IE420" s="1006" t="s">
        <v>199</v>
      </c>
      <c r="IF420" s="996">
        <v>3.6608439999999982</v>
      </c>
      <c r="IG420" s="1006" t="s">
        <v>199</v>
      </c>
      <c r="IH420" s="996">
        <v>-3.176800000000001</v>
      </c>
      <c r="II420" s="1006"/>
      <c r="IJ420" s="996">
        <v>0.83600000000000119</v>
      </c>
      <c r="IK420" s="1006"/>
      <c r="IL420" s="996">
        <v>0</v>
      </c>
      <c r="IM420" s="1006"/>
      <c r="IN420" s="996">
        <v>-0.41800000000000015</v>
      </c>
      <c r="IO420" s="1006"/>
      <c r="IP420" s="996">
        <v>-0.16719999999999935</v>
      </c>
      <c r="IQ420" s="1006" t="s">
        <v>199</v>
      </c>
      <c r="IR420" s="996">
        <v>-1.6720000000000006</v>
      </c>
      <c r="IS420" s="1006"/>
      <c r="IT420" s="996">
        <v>0</v>
      </c>
      <c r="IU420" s="1006"/>
      <c r="IV420" s="996">
        <v>0</v>
      </c>
      <c r="IW420" s="1006"/>
      <c r="IX420" s="996">
        <v>0</v>
      </c>
      <c r="IY420" s="1006"/>
      <c r="IZ420" s="996">
        <v>0</v>
      </c>
      <c r="JA420" s="1006"/>
      <c r="JB420" s="996">
        <v>0</v>
      </c>
      <c r="JC420" s="1006"/>
      <c r="JD420" s="996">
        <v>0</v>
      </c>
      <c r="JE420" s="1006" t="s">
        <v>223</v>
      </c>
      <c r="JF420" s="996">
        <v>-6.6879999999999988</v>
      </c>
      <c r="JG420" s="1006" t="s">
        <v>199</v>
      </c>
      <c r="JH420" s="996">
        <v>-8.36</v>
      </c>
      <c r="JI420" s="1006"/>
      <c r="JJ420" s="996">
        <v>0</v>
      </c>
      <c r="JK420" s="1007"/>
      <c r="JL420" s="1007">
        <v>0</v>
      </c>
      <c r="JM420" s="1007"/>
      <c r="JN420" s="1007">
        <v>0</v>
      </c>
      <c r="JO420" s="1008" t="s">
        <v>199</v>
      </c>
      <c r="JP420" s="1007">
        <v>3.3439999999999976</v>
      </c>
      <c r="JQ420" s="1008">
        <v>0</v>
      </c>
      <c r="JR420" s="1007">
        <v>0</v>
      </c>
      <c r="JS420" s="1008" t="s">
        <v>199</v>
      </c>
      <c r="JT420" s="1007">
        <v>8.3600000000000012</v>
      </c>
      <c r="JU420" s="1008"/>
      <c r="JV420" s="1007">
        <v>0</v>
      </c>
      <c r="JW420" s="1008" t="s">
        <v>197</v>
      </c>
      <c r="JX420" s="1007">
        <v>0</v>
      </c>
      <c r="JY420" s="1008"/>
      <c r="JZ420" s="1007">
        <v>0</v>
      </c>
      <c r="KA420" s="1008"/>
      <c r="KB420" s="1007">
        <v>0</v>
      </c>
      <c r="KC420" s="1008"/>
      <c r="KD420" s="1007">
        <v>0</v>
      </c>
      <c r="KE420" s="1008"/>
      <c r="KF420" s="1007">
        <v>0</v>
      </c>
      <c r="KG420" s="1008"/>
      <c r="KH420" s="1007">
        <v>0</v>
      </c>
      <c r="KI420" s="1008"/>
      <c r="KJ420" s="1007">
        <v>0</v>
      </c>
      <c r="KK420" s="1008"/>
      <c r="KL420" s="1007">
        <v>0</v>
      </c>
      <c r="KM420" s="1008" t="s">
        <v>240</v>
      </c>
      <c r="KN420" s="1007">
        <v>-2.5079999999999991</v>
      </c>
      <c r="KO420" s="1008" t="s">
        <v>240</v>
      </c>
      <c r="KP420" s="1007">
        <v>1.2539999999999996</v>
      </c>
      <c r="KQ420" s="1008" t="s">
        <v>240</v>
      </c>
      <c r="KR420" s="1007">
        <v>-2.09</v>
      </c>
      <c r="KS420" s="1008">
        <v>0</v>
      </c>
      <c r="KT420" s="1007">
        <v>0</v>
      </c>
      <c r="KU420" s="1008" t="s">
        <v>223</v>
      </c>
      <c r="KV420" s="1007">
        <v>-7.5240000000000009</v>
      </c>
      <c r="KW420" s="1008" t="s">
        <v>240</v>
      </c>
      <c r="KX420" s="1007">
        <v>-8.7512480000000039</v>
      </c>
      <c r="KY420" s="1008">
        <v>0</v>
      </c>
      <c r="KZ420" s="1007">
        <v>0</v>
      </c>
      <c r="LA420" s="1008" t="s">
        <v>223</v>
      </c>
      <c r="LB420" s="1007">
        <v>-5.2057719999999961</v>
      </c>
      <c r="LC420" s="1008">
        <v>0</v>
      </c>
      <c r="LD420" s="1007">
        <v>0</v>
      </c>
      <c r="LE420" s="1008" t="s">
        <v>25</v>
      </c>
      <c r="LF420" s="1007">
        <v>38.037999999999997</v>
      </c>
      <c r="LG420" s="1008">
        <v>0</v>
      </c>
      <c r="LH420" s="1007">
        <v>0</v>
      </c>
      <c r="LI420" s="1008">
        <v>0</v>
      </c>
      <c r="LJ420" s="1007">
        <v>0</v>
      </c>
      <c r="LK420" s="1008">
        <v>0</v>
      </c>
      <c r="LL420" s="1007">
        <v>0</v>
      </c>
      <c r="LM420" s="1008">
        <v>0</v>
      </c>
      <c r="LN420" s="1007">
        <v>0</v>
      </c>
      <c r="LO420" s="1008">
        <v>0</v>
      </c>
      <c r="LP420" s="1007">
        <v>0</v>
      </c>
      <c r="LQ420" s="1008">
        <v>0</v>
      </c>
      <c r="LR420" s="1007">
        <v>0</v>
      </c>
      <c r="LS420" s="1008">
        <v>0</v>
      </c>
      <c r="LT420" s="1007">
        <v>0</v>
      </c>
      <c r="LU420" s="1008">
        <v>0</v>
      </c>
      <c r="LV420" s="1007">
        <v>0</v>
      </c>
      <c r="LW420" s="1008">
        <v>0</v>
      </c>
      <c r="LX420" s="1007">
        <v>0</v>
      </c>
      <c r="LY420" s="1009">
        <v>0</v>
      </c>
      <c r="LZ420" s="1010">
        <v>0</v>
      </c>
      <c r="MA420" s="1011">
        <v>0</v>
      </c>
      <c r="MB420" s="1012">
        <v>0</v>
      </c>
      <c r="MC420" s="995"/>
      <c r="MD420" s="996"/>
      <c r="ME420" s="997" t="s">
        <v>202</v>
      </c>
      <c r="MF420" s="997"/>
      <c r="MG420" s="998"/>
      <c r="NR420" s="1000"/>
      <c r="NS420" s="1000"/>
      <c r="NT420" s="1001"/>
      <c r="NU420" s="1000"/>
      <c r="NV420" s="1001"/>
      <c r="NX420" s="1002"/>
      <c r="NZ420" s="1001"/>
      <c r="OA420" s="1001"/>
      <c r="OC420" s="1003"/>
      <c r="OD420" s="1003"/>
      <c r="OE420" s="1001"/>
      <c r="OF420" s="1003"/>
      <c r="OG420" s="1003"/>
      <c r="QX420" s="1000">
        <f>CN420-CA420</f>
        <v>22</v>
      </c>
      <c r="ASU420" s="999" t="s">
        <v>208</v>
      </c>
    </row>
    <row r="421" spans="1:466 1191:1191" ht="21" customHeight="1" x14ac:dyDescent="0.25">
      <c r="A421" s="982">
        <f t="shared" si="323"/>
        <v>1495</v>
      </c>
      <c r="B421" s="124">
        <f>SUBTOTAL(103,$J$29:J421)</f>
        <v>393</v>
      </c>
      <c r="C421" s="126">
        <v>45068</v>
      </c>
      <c r="D421" s="124" t="s">
        <v>176</v>
      </c>
      <c r="E421" s="127" t="s">
        <v>177</v>
      </c>
      <c r="F421" s="128" t="s">
        <v>177</v>
      </c>
      <c r="G421" s="127" t="s">
        <v>178</v>
      </c>
      <c r="H421" s="127" t="s">
        <v>179</v>
      </c>
      <c r="I421" s="127" t="s">
        <v>1616</v>
      </c>
      <c r="J421" s="152">
        <v>1495</v>
      </c>
      <c r="K421" s="127" t="s">
        <v>1014</v>
      </c>
      <c r="L421" s="130">
        <v>43478</v>
      </c>
      <c r="M421" s="127" t="s">
        <v>230</v>
      </c>
      <c r="N421" s="127" t="s">
        <v>184</v>
      </c>
      <c r="O421" s="127" t="s">
        <v>185</v>
      </c>
      <c r="P421" s="127" t="s">
        <v>186</v>
      </c>
      <c r="Q421" s="85" t="str">
        <f t="shared" si="319"/>
        <v/>
      </c>
      <c r="R421" s="130"/>
      <c r="S421" s="128"/>
      <c r="T421" s="131"/>
      <c r="U421" s="132">
        <v>203</v>
      </c>
      <c r="V421" s="121">
        <v>218.2</v>
      </c>
      <c r="W421" s="116">
        <v>0.98</v>
      </c>
      <c r="X421" s="116">
        <v>1.66</v>
      </c>
      <c r="Y421" s="116">
        <f t="shared" si="299"/>
        <v>0.98</v>
      </c>
      <c r="Z421" s="133">
        <v>1.454</v>
      </c>
      <c r="AA421" s="133">
        <v>0.83599999999999997</v>
      </c>
      <c r="AB421" s="133">
        <v>0.72</v>
      </c>
      <c r="AC421" s="121">
        <v>34.299999999999997</v>
      </c>
      <c r="AD421" s="134">
        <v>1.17</v>
      </c>
      <c r="AE421" s="124">
        <v>177.8</v>
      </c>
      <c r="AF421" s="128">
        <v>9.19</v>
      </c>
      <c r="AG421" s="128">
        <v>2049.9</v>
      </c>
      <c r="AH421" s="138">
        <v>2846</v>
      </c>
      <c r="AI421" s="138">
        <v>2846</v>
      </c>
      <c r="AJ421" s="135"/>
      <c r="AK421" s="128"/>
      <c r="AL421" s="131"/>
      <c r="AM421" s="124" t="s">
        <v>985</v>
      </c>
      <c r="AN421" s="136" t="s">
        <v>1617</v>
      </c>
      <c r="AO421" s="137">
        <v>31.240000000000009</v>
      </c>
      <c r="AP421" s="128">
        <v>2091</v>
      </c>
      <c r="AQ421" s="128">
        <v>146</v>
      </c>
      <c r="AR421" s="128" t="s">
        <v>1618</v>
      </c>
      <c r="AS421" s="128">
        <v>114</v>
      </c>
      <c r="AT421" s="122">
        <v>99.2</v>
      </c>
      <c r="AU421" s="124" t="s">
        <v>189</v>
      </c>
      <c r="AV421" s="115">
        <f>VLOOKUP(J421,'[63]ТР нефть'!$J$28:$BP$638,39,0)</f>
        <v>496.00001308600002</v>
      </c>
      <c r="AW421" s="115" t="str">
        <f>VLOOKUP(J421,'[63]ТР нефть'!$J$28:$BP$638,40,0)</f>
        <v>ГП</v>
      </c>
      <c r="AX421" s="115">
        <f>VLOOKUP(J421,'[63]ТР нефть'!$J$28:$BP$638,41,0)</f>
        <v>933.00001816400004</v>
      </c>
      <c r="AY421" s="115" t="str">
        <f>VLOOKUP(J421,'[63]ТР нефть'!$J$28:$BP$638,42,0)</f>
        <v>ГК79 1/8</v>
      </c>
      <c r="AZ421" s="115">
        <f>VLOOKUP(J421,'[63]ТР нефть'!$J$28:$BP$638,43,0)</f>
        <v>1331.9999613279999</v>
      </c>
      <c r="BA421" s="115" t="str">
        <f>VLOOKUP(J421,'[63]ТР нефть'!$J$28:$BP$638,44,0)</f>
        <v>ГК80 1/8</v>
      </c>
      <c r="BB421" s="115">
        <f>VLOOKUP(J421,'[63]ТР нефть'!$J$28:$BP$638,45,0)</f>
        <v>1630.000004297</v>
      </c>
      <c r="BC421" s="115" t="str">
        <f>VLOOKUP(J421,'[63]ТР нефть'!$J$28:$BP$638,46,0)</f>
        <v>ЦКсОК 5/16</v>
      </c>
      <c r="BD421" s="115" t="str">
        <f>VLOOKUP(J421,'[63]ТР нефть'!$J$28:$BP$638,47,0)</f>
        <v>-</v>
      </c>
      <c r="BE421" s="115" t="str">
        <f>VLOOKUP(J421,'[63]ТР нефть'!$J$28:$BP$638,48,0)</f>
        <v>-</v>
      </c>
      <c r="BF421" s="115" t="str">
        <f>VLOOKUP(J421,'[63]ТР нефть'!$J$28:$BP$638,49,0)</f>
        <v>-</v>
      </c>
      <c r="BG421" s="115" t="str">
        <f>VLOOKUP(J421,'[63]ТР нефть'!$J$28:$BP$638,50,0)</f>
        <v>-</v>
      </c>
      <c r="BH421" s="115" t="str">
        <f>VLOOKUP(J421,'[63]ТР нефть'!$J$28:$BP$638,51,0)</f>
        <v>-</v>
      </c>
      <c r="BI421" s="115" t="str">
        <f>VLOOKUP(J421,'[63]ТР нефть'!$J$28:$BP$638,52,0)</f>
        <v>-</v>
      </c>
      <c r="BJ421" s="115" t="str">
        <f>IF(IFERROR(VLOOKUP(J421,'[63]ТР нефть'!$J$28:$BP$638,53,0),"-")=0,"-",IFERROR(VLOOKUP(J421,'[63]ТР нефть'!$J$28:$BP$638,53,0),"-"))</f>
        <v>-</v>
      </c>
      <c r="BK421" s="138" t="str">
        <f>IF(IFERROR(VLOOKUP(J421,'[63]ТР нефть'!$J$28:$BP$638,54,0),"-")=0,"-",IFERROR(VLOOKUP(J421,'[63]ТР нефть'!$J$28:$BP$638,54,0),"-"))</f>
        <v>-</v>
      </c>
      <c r="BL421" s="138" t="str">
        <f>IF(IFERROR(VLOOKUP(J421,'[63]ТР нефть'!$J$28:$BP$638,55,0),"-")=0,"-",IFERROR(VLOOKUP(J421,'[63]ТР нефть'!$J$28:$BP$638,55,0),"-"))</f>
        <v>-</v>
      </c>
      <c r="BM421" s="138" t="str">
        <f>IF(IFERROR(VLOOKUP(J421,'[63]ТР нефть'!$J$28:$BP$638,56,0),"-")=0,"-",IFERROR(VLOOKUP(J421,'[63]ТР нефть'!$J$28:$BP$638,56,0),"-"))</f>
        <v>-</v>
      </c>
      <c r="BN421" s="138" t="str">
        <f>IF(IFERROR(VLOOKUP(J421,'[63]ТР нефть'!$J$28:$BP$638,57,0),"-")=0,"-",IFERROR(VLOOKUP(J421,'[63]ТР нефть'!$J$28:$BP$638,57,0),"-"))</f>
        <v>-</v>
      </c>
      <c r="BO421" s="115" t="str">
        <f>IF(IFERROR(VLOOKUP(J421,'[63]ТР нефть'!$J$28:$BP$638,58,0),"-")=0,"-",IFERROR(VLOOKUP(J421,'[63]ТР нефть'!$J$28:$BP$638,58,0),"-"))</f>
        <v>-</v>
      </c>
      <c r="BP421" s="115" t="str">
        <f>IF(IFERROR(VLOOKUP(J421,'[63]ТР нефть'!$J$28:$BP$638,59,0),"-")=0,"-",IFERROR(VLOOKUP(J421,'[63]ТР нефть'!$J$28:$BP$638,59,0),"-"))</f>
        <v>-</v>
      </c>
      <c r="BQ421" s="138">
        <v>1980</v>
      </c>
      <c r="BR421" s="128">
        <v>1657.26</v>
      </c>
      <c r="BS421" s="115">
        <f t="shared" si="340"/>
        <v>322.74</v>
      </c>
      <c r="BT421" s="128">
        <v>73</v>
      </c>
      <c r="BU421" s="128">
        <v>5.5</v>
      </c>
      <c r="BV421" s="127">
        <v>65</v>
      </c>
      <c r="BW421" s="127" t="s">
        <v>217</v>
      </c>
      <c r="BX421" s="127" t="s">
        <v>195</v>
      </c>
      <c r="BY421" s="139">
        <v>24</v>
      </c>
      <c r="BZ421" s="139">
        <v>0</v>
      </c>
      <c r="CA421" s="80">
        <v>24</v>
      </c>
      <c r="CB421" s="138">
        <v>53</v>
      </c>
      <c r="CC421" s="138">
        <v>23</v>
      </c>
      <c r="CD421" s="135">
        <v>45017</v>
      </c>
      <c r="CE421" s="138">
        <v>93</v>
      </c>
      <c r="CF421" s="138">
        <v>74</v>
      </c>
      <c r="CG421" s="138" t="str">
        <f t="shared" si="310"/>
        <v>В работе</v>
      </c>
      <c r="CH421" s="138" t="s">
        <v>235</v>
      </c>
      <c r="CI421" s="127"/>
      <c r="CJ421" s="138"/>
      <c r="CK421" s="138">
        <f t="shared" si="308"/>
        <v>34</v>
      </c>
      <c r="CL421" s="99"/>
      <c r="CM421" s="99"/>
      <c r="CN421" s="140">
        <v>58</v>
      </c>
      <c r="CO421" s="141">
        <f t="shared" si="324"/>
        <v>5.7683999999999997</v>
      </c>
      <c r="CP421" s="142">
        <v>6.9</v>
      </c>
      <c r="CQ421" s="143">
        <v>0</v>
      </c>
      <c r="CR421" s="138">
        <v>9.1999999999999993</v>
      </c>
      <c r="CS421" s="139">
        <v>6.72</v>
      </c>
      <c r="CT421" s="138"/>
      <c r="CU421" s="138">
        <f t="shared" si="320"/>
        <v>2.4799999999999995</v>
      </c>
      <c r="CV421" s="115">
        <f t="shared" si="321"/>
        <v>429.92857638166555</v>
      </c>
      <c r="CW421" s="115">
        <f t="shared" si="325"/>
        <v>1164.9677553567715</v>
      </c>
      <c r="CX421" s="133">
        <f t="shared" si="322"/>
        <v>0.19714285714285715</v>
      </c>
      <c r="CY421" s="116"/>
      <c r="CZ421" s="131"/>
      <c r="DA421" s="145" t="str">
        <f t="shared" si="326"/>
        <v>Газлифт</v>
      </c>
      <c r="DB421" s="146">
        <f t="shared" si="341"/>
        <v>5.7683999999999997</v>
      </c>
      <c r="DC421" s="142">
        <f t="shared" si="342"/>
        <v>6.9</v>
      </c>
      <c r="DD421" s="119">
        <f t="shared" si="303"/>
        <v>0</v>
      </c>
      <c r="DE421" s="115">
        <f t="shared" si="343"/>
        <v>2.4799999999999995</v>
      </c>
      <c r="DF421" s="121">
        <f t="shared" si="328"/>
        <v>6.72</v>
      </c>
      <c r="DG421" s="115">
        <f t="shared" si="329"/>
        <v>429.92857638166555</v>
      </c>
      <c r="DH421" s="115">
        <f t="shared" si="330"/>
        <v>58</v>
      </c>
      <c r="DI421" s="147"/>
      <c r="DJ421" s="111">
        <v>43613</v>
      </c>
      <c r="DK421" s="112">
        <v>44084</v>
      </c>
      <c r="DL421" s="113">
        <f t="shared" ca="1" si="312"/>
        <v>1020</v>
      </c>
      <c r="DM421" s="114"/>
      <c r="DN421" s="114"/>
      <c r="DO421" s="114"/>
      <c r="DP421" s="114"/>
      <c r="DQ421" s="112">
        <v>43478</v>
      </c>
      <c r="DR421" s="114" t="s">
        <v>324</v>
      </c>
      <c r="DS421" s="114"/>
      <c r="DT421" s="115">
        <v>54</v>
      </c>
      <c r="DU421" s="116">
        <f t="shared" si="313"/>
        <v>0.19261733961877431</v>
      </c>
      <c r="DV421" s="117">
        <f t="shared" si="314"/>
        <v>6.280095740930518</v>
      </c>
      <c r="DW421" s="118">
        <f t="shared" si="315"/>
        <v>7.5120762451321985</v>
      </c>
      <c r="DX421" s="119">
        <f t="shared" si="331"/>
        <v>0</v>
      </c>
      <c r="DY421" s="115">
        <f t="shared" si="316"/>
        <v>2.6999926214388186</v>
      </c>
      <c r="DZ421" s="117">
        <f t="shared" si="317"/>
        <v>0.51169574093051828</v>
      </c>
      <c r="EA421" s="120">
        <f t="shared" si="317"/>
        <v>0.61207624513219816</v>
      </c>
      <c r="EB421" s="119">
        <f t="shared" si="317"/>
        <v>0</v>
      </c>
      <c r="EC421" s="121">
        <f t="shared" si="318"/>
        <v>0.21999262143881904</v>
      </c>
      <c r="ED421" s="122"/>
      <c r="EE421" s="145">
        <v>65</v>
      </c>
      <c r="EF421" s="148">
        <v>26</v>
      </c>
      <c r="EG421" s="115">
        <v>41</v>
      </c>
      <c r="EH421" s="115">
        <v>25</v>
      </c>
      <c r="EI421" s="128" t="s">
        <v>195</v>
      </c>
      <c r="EJ421" s="121">
        <v>24</v>
      </c>
      <c r="EK421" s="121">
        <v>0</v>
      </c>
      <c r="EL421" s="149">
        <v>5.7683999999999997</v>
      </c>
      <c r="EM421" s="142">
        <v>6.9</v>
      </c>
      <c r="EN421" s="119">
        <v>0</v>
      </c>
      <c r="EO421" s="115">
        <v>9.1999999999999993</v>
      </c>
      <c r="EP421" s="115">
        <v>762.7765064836002</v>
      </c>
      <c r="EQ421" s="115">
        <v>73</v>
      </c>
      <c r="ER421" s="115">
        <v>4.8</v>
      </c>
      <c r="ES421" s="115">
        <v>58</v>
      </c>
      <c r="ET421" s="150">
        <v>0.19714285714285715</v>
      </c>
      <c r="EU421" s="145">
        <f t="shared" si="332"/>
        <v>65</v>
      </c>
      <c r="EV421" s="115">
        <f t="shared" si="333"/>
        <v>24</v>
      </c>
      <c r="EW421" s="115">
        <f t="shared" si="333"/>
        <v>53</v>
      </c>
      <c r="EX421" s="115">
        <f t="shared" si="333"/>
        <v>23</v>
      </c>
      <c r="EY421" s="115" t="str">
        <f t="shared" si="309"/>
        <v>Постоянный</v>
      </c>
      <c r="EZ421" s="115">
        <f t="shared" si="309"/>
        <v>24</v>
      </c>
      <c r="FA421" s="115">
        <f t="shared" si="309"/>
        <v>0</v>
      </c>
      <c r="FB421" s="149">
        <f t="shared" si="298"/>
        <v>5.7683999999999997</v>
      </c>
      <c r="FC421" s="142">
        <f t="shared" si="298"/>
        <v>6.9</v>
      </c>
      <c r="FD421" s="119">
        <f t="shared" si="298"/>
        <v>0</v>
      </c>
      <c r="FE421" s="121">
        <f t="shared" si="298"/>
        <v>9.1999999999999993</v>
      </c>
      <c r="FF421" s="121">
        <f t="shared" si="300"/>
        <v>429.92857638166555</v>
      </c>
      <c r="FG421" s="121">
        <f t="shared" si="334"/>
        <v>74</v>
      </c>
      <c r="FH421" s="121">
        <f t="shared" si="301"/>
        <v>6.72</v>
      </c>
      <c r="FI421" s="121">
        <f t="shared" si="306"/>
        <v>58</v>
      </c>
      <c r="FJ421" s="144">
        <f t="shared" si="335"/>
        <v>0.19714285714285715</v>
      </c>
      <c r="FK421" s="132">
        <f t="shared" si="336"/>
        <v>0</v>
      </c>
      <c r="FL421" s="115">
        <f t="shared" si="336"/>
        <v>-2</v>
      </c>
      <c r="FM421" s="115">
        <f t="shared" si="336"/>
        <v>12</v>
      </c>
      <c r="FN421" s="115">
        <f t="shared" si="336"/>
        <v>-2</v>
      </c>
      <c r="FO421" s="115">
        <f t="shared" si="311"/>
        <v>0</v>
      </c>
      <c r="FP421" s="115">
        <f t="shared" si="311"/>
        <v>0</v>
      </c>
      <c r="FQ421" s="149">
        <f t="shared" si="311"/>
        <v>0</v>
      </c>
      <c r="FR421" s="142">
        <f t="shared" si="311"/>
        <v>0</v>
      </c>
      <c r="FS421" s="119">
        <f t="shared" si="311"/>
        <v>0</v>
      </c>
      <c r="FT421" s="121">
        <f t="shared" si="311"/>
        <v>0</v>
      </c>
      <c r="FU421" s="121">
        <f t="shared" si="337"/>
        <v>1</v>
      </c>
      <c r="FV421" s="121">
        <f t="shared" si="337"/>
        <v>1.92</v>
      </c>
      <c r="FW421" s="121">
        <f t="shared" si="338"/>
        <v>-332.84793010193465</v>
      </c>
      <c r="FX421" s="121">
        <f t="shared" si="339"/>
        <v>0</v>
      </c>
      <c r="FY421" s="144">
        <f t="shared" si="339"/>
        <v>0</v>
      </c>
      <c r="FZ421" s="145"/>
      <c r="GA421" s="125"/>
      <c r="GB421" s="145"/>
      <c r="GC421" s="125"/>
      <c r="GD421" s="997" t="s">
        <v>202</v>
      </c>
      <c r="GE421" s="1004"/>
      <c r="GF421" s="1004">
        <v>0.79975103999999941</v>
      </c>
      <c r="GG421" s="1004"/>
      <c r="GH421" s="1004">
        <v>0</v>
      </c>
      <c r="GI421" s="145"/>
      <c r="GJ421" s="996">
        <v>-0.31740127760000014</v>
      </c>
      <c r="GK421" s="145"/>
      <c r="GL421" s="996">
        <v>0</v>
      </c>
      <c r="GM421" s="1005"/>
      <c r="GN421" s="996">
        <v>0</v>
      </c>
      <c r="GO421" s="1006"/>
      <c r="GP421" s="996">
        <v>0.61112151760000089</v>
      </c>
      <c r="GQ421" s="1006" t="s">
        <v>241</v>
      </c>
      <c r="GR421" s="996">
        <v>-1.7168187960000001</v>
      </c>
      <c r="GS421" s="1006"/>
      <c r="GT421" s="996">
        <v>0.7069475160000005</v>
      </c>
      <c r="GU421" s="1006"/>
      <c r="GV421" s="996">
        <v>0</v>
      </c>
      <c r="GW421" s="1006"/>
      <c r="GX421" s="996">
        <v>-0.16720000000000024</v>
      </c>
      <c r="GY421" s="1006" t="s">
        <v>199</v>
      </c>
      <c r="GZ421" s="996">
        <v>2.7313031240000001</v>
      </c>
      <c r="HA421" s="1006" t="s">
        <v>204</v>
      </c>
      <c r="HB421" s="996">
        <v>-2.2001822920000009</v>
      </c>
      <c r="HC421" s="1006"/>
      <c r="HD421" s="996">
        <v>0</v>
      </c>
      <c r="HE421" s="1006"/>
      <c r="HF421" s="996">
        <v>0</v>
      </c>
      <c r="HG421" s="1006" t="s">
        <v>223</v>
      </c>
      <c r="HH421" s="996">
        <v>-0.59097843199999911</v>
      </c>
      <c r="HI421" s="1006" t="s">
        <v>223</v>
      </c>
      <c r="HJ421" s="996">
        <v>-1.2906168000000013</v>
      </c>
      <c r="HK421" s="1006"/>
      <c r="HL421" s="996">
        <v>0</v>
      </c>
      <c r="HM421" s="1006"/>
      <c r="HN421" s="996">
        <v>-0.62449200000000005</v>
      </c>
      <c r="HO421" s="1006" t="s">
        <v>199</v>
      </c>
      <c r="HP421" s="996">
        <v>3.3539066000000011</v>
      </c>
      <c r="HQ421" s="1006" t="s">
        <v>199</v>
      </c>
      <c r="HR421" s="996">
        <v>-2.5792790320000005</v>
      </c>
      <c r="HS421" s="1006"/>
      <c r="HT421" s="996">
        <v>0</v>
      </c>
      <c r="HU421" s="1006"/>
      <c r="HV421" s="996">
        <v>-0.6210777760000008</v>
      </c>
      <c r="HW421" s="1006"/>
      <c r="HX421" s="996">
        <v>0</v>
      </c>
      <c r="HY421" s="1006"/>
      <c r="HZ421" s="996">
        <v>0.24356274800000133</v>
      </c>
      <c r="IA421" s="1006" t="s">
        <v>241</v>
      </c>
      <c r="IB421" s="996">
        <v>-1.667845916000001</v>
      </c>
      <c r="IC421" s="1006" t="s">
        <v>223</v>
      </c>
      <c r="ID421" s="996">
        <v>-6.069012223999998</v>
      </c>
      <c r="IE421" s="1006"/>
      <c r="IF421" s="996">
        <v>0</v>
      </c>
      <c r="IG421" s="1006" t="s">
        <v>221</v>
      </c>
      <c r="IH421" s="996">
        <v>6.8011609599999989</v>
      </c>
      <c r="II421" s="1006"/>
      <c r="IJ421" s="996">
        <v>0</v>
      </c>
      <c r="IK421" s="1006"/>
      <c r="IL421" s="996">
        <v>0.59493103999999875</v>
      </c>
      <c r="IM421" s="1006"/>
      <c r="IN421" s="996">
        <v>-5.8300132000000282E-2</v>
      </c>
      <c r="IO421" s="1006"/>
      <c r="IP421" s="996">
        <v>0</v>
      </c>
      <c r="IQ421" s="1006" t="s">
        <v>199</v>
      </c>
      <c r="IR421" s="996">
        <v>-2.197060667999998</v>
      </c>
      <c r="IS421" s="1006"/>
      <c r="IT421" s="996">
        <v>0</v>
      </c>
      <c r="IU421" s="1006"/>
      <c r="IV421" s="996">
        <v>0.83549840000000053</v>
      </c>
      <c r="IW421" s="1006" t="s">
        <v>223</v>
      </c>
      <c r="IX421" s="996">
        <v>-1.7202912055999988</v>
      </c>
      <c r="IY421" s="1006"/>
      <c r="IZ421" s="996">
        <v>0</v>
      </c>
      <c r="JA421" s="1006" t="s">
        <v>199</v>
      </c>
      <c r="JB421" s="996">
        <v>1.7147736055999978</v>
      </c>
      <c r="JC421" s="1006"/>
      <c r="JD421" s="996">
        <v>0</v>
      </c>
      <c r="JE421" s="1006" t="s">
        <v>199</v>
      </c>
      <c r="JF421" s="996">
        <v>-1.8233159999999984</v>
      </c>
      <c r="JG421" s="1006"/>
      <c r="JH421" s="996">
        <v>-0.76193040000000245</v>
      </c>
      <c r="JI421" s="1006" t="s">
        <v>203</v>
      </c>
      <c r="JJ421" s="996">
        <v>-2.1465135999999987</v>
      </c>
      <c r="JK421" s="1007"/>
      <c r="JL421" s="1007">
        <v>0</v>
      </c>
      <c r="JM421" s="1007"/>
      <c r="JN421" s="1007">
        <v>0</v>
      </c>
      <c r="JO421" s="1008"/>
      <c r="JP421" s="1007">
        <v>0</v>
      </c>
      <c r="JQ421" s="1008">
        <v>0</v>
      </c>
      <c r="JR421" s="1007">
        <v>-0.96976000000000084</v>
      </c>
      <c r="JS421" s="1008" t="s">
        <v>203</v>
      </c>
      <c r="JT421" s="1007">
        <v>-4.9290559999999957</v>
      </c>
      <c r="JU421" s="1008"/>
      <c r="JV421" s="1007">
        <v>-2.8424000000004668E-2</v>
      </c>
      <c r="JW421" s="1008" t="s">
        <v>203</v>
      </c>
      <c r="JX421" s="1007">
        <v>5.6430000000000007</v>
      </c>
      <c r="JY421" s="1008"/>
      <c r="JZ421" s="1007">
        <v>0</v>
      </c>
      <c r="KA421" s="1008" t="s">
        <v>203</v>
      </c>
      <c r="KB421" s="1007">
        <v>-38.315551999999997</v>
      </c>
      <c r="KC421" s="1008"/>
      <c r="KD421" s="1007">
        <v>0</v>
      </c>
      <c r="KE421" s="1008" t="s">
        <v>324</v>
      </c>
      <c r="KF421" s="1007">
        <v>52.527552</v>
      </c>
      <c r="KG421" s="1008"/>
      <c r="KH421" s="1007"/>
      <c r="KI421" s="1008"/>
      <c r="KJ421" s="1007"/>
      <c r="KK421" s="1008"/>
      <c r="KL421" s="1007"/>
      <c r="KM421" s="1008"/>
      <c r="KN421" s="1007"/>
      <c r="KO421" s="1008"/>
      <c r="KP421" s="1007"/>
      <c r="KQ421" s="1008"/>
      <c r="KR421" s="1007"/>
      <c r="KS421" s="1008"/>
      <c r="KT421" s="1007"/>
      <c r="KU421" s="1008"/>
      <c r="KV421" s="1007"/>
      <c r="KW421" s="1008"/>
      <c r="KX421" s="1007"/>
      <c r="KY421" s="1008"/>
      <c r="KZ421" s="1007"/>
      <c r="LA421" s="1008"/>
      <c r="LB421" s="1007"/>
      <c r="LC421" s="1008"/>
      <c r="LD421" s="1007"/>
      <c r="LE421" s="1008"/>
      <c r="LF421" s="1007"/>
      <c r="LG421" s="1008"/>
      <c r="LH421" s="1007"/>
      <c r="LI421" s="1008"/>
      <c r="LJ421" s="1007"/>
      <c r="LK421" s="1008"/>
      <c r="LL421" s="1007"/>
      <c r="LM421" s="1008"/>
      <c r="LN421" s="1007"/>
      <c r="LO421" s="1008"/>
      <c r="LP421" s="1007"/>
      <c r="LQ421" s="1008"/>
      <c r="LR421" s="1007"/>
      <c r="LS421" s="1008"/>
      <c r="LT421" s="1007"/>
      <c r="LU421" s="1008"/>
      <c r="LV421" s="1007"/>
      <c r="LW421" s="1008"/>
      <c r="LX421" s="1007"/>
      <c r="LY421" s="1009"/>
      <c r="LZ421" s="1010"/>
      <c r="MA421" s="1011"/>
      <c r="MB421" s="1012"/>
      <c r="MC421" s="995"/>
      <c r="MD421" s="996"/>
      <c r="ME421" s="997" t="s">
        <v>202</v>
      </c>
      <c r="MF421" s="997"/>
      <c r="MG421" s="998"/>
      <c r="NR421" s="1000"/>
      <c r="NS421" s="1000"/>
      <c r="NT421" s="1001"/>
      <c r="NU421" s="1000"/>
      <c r="NV421" s="1001"/>
      <c r="NX421" s="1002"/>
      <c r="NZ421" s="1001"/>
      <c r="OA421" s="1001"/>
      <c r="OC421" s="1003"/>
      <c r="OD421" s="1003"/>
      <c r="OE421" s="1001"/>
      <c r="OF421" s="1003"/>
      <c r="OG421" s="1003"/>
      <c r="QX421" s="1000">
        <f>CN421-CA421</f>
        <v>34</v>
      </c>
      <c r="ASU421" s="999" t="s">
        <v>208</v>
      </c>
    </row>
    <row r="422" spans="1:466 1191:1191" ht="21" customHeight="1" x14ac:dyDescent="0.25">
      <c r="A422" s="982">
        <f t="shared" si="323"/>
        <v>1496</v>
      </c>
      <c r="B422" s="124">
        <f>SUBTOTAL(103,$J$29:J422)</f>
        <v>394</v>
      </c>
      <c r="C422" s="126">
        <v>45068</v>
      </c>
      <c r="D422" s="124" t="s">
        <v>176</v>
      </c>
      <c r="E422" s="127" t="s">
        <v>177</v>
      </c>
      <c r="F422" s="128" t="s">
        <v>177</v>
      </c>
      <c r="G422" s="127" t="s">
        <v>178</v>
      </c>
      <c r="H422" s="127" t="s">
        <v>179</v>
      </c>
      <c r="I422" s="127" t="s">
        <v>663</v>
      </c>
      <c r="J422" s="152">
        <v>1496</v>
      </c>
      <c r="K422" s="127" t="s">
        <v>182</v>
      </c>
      <c r="L422" s="130">
        <v>43648</v>
      </c>
      <c r="M422" s="127" t="s">
        <v>230</v>
      </c>
      <c r="N422" s="127" t="s">
        <v>184</v>
      </c>
      <c r="O422" s="127" t="s">
        <v>185</v>
      </c>
      <c r="P422" s="127" t="s">
        <v>292</v>
      </c>
      <c r="Q422" s="85" t="str">
        <f t="shared" si="319"/>
        <v/>
      </c>
      <c r="R422" s="130"/>
      <c r="S422" s="128"/>
      <c r="T422" s="131"/>
      <c r="U422" s="132">
        <v>203</v>
      </c>
      <c r="V422" s="121">
        <v>218.2</v>
      </c>
      <c r="W422" s="116">
        <v>0.98</v>
      </c>
      <c r="X422" s="116">
        <v>1.66</v>
      </c>
      <c r="Y422" s="116">
        <f t="shared" si="299"/>
        <v>0.989361986800398</v>
      </c>
      <c r="Z422" s="133">
        <v>1.454</v>
      </c>
      <c r="AA422" s="133">
        <v>0.83599999999999997</v>
      </c>
      <c r="AB422" s="133">
        <v>0.72</v>
      </c>
      <c r="AC422" s="121">
        <v>34.299999999999997</v>
      </c>
      <c r="AD422" s="134">
        <v>1.17</v>
      </c>
      <c r="AE422" s="124">
        <v>177.8</v>
      </c>
      <c r="AF422" s="128">
        <v>9.19</v>
      </c>
      <c r="AG422" s="128">
        <v>2267</v>
      </c>
      <c r="AH422" s="138">
        <v>3060</v>
      </c>
      <c r="AI422" s="138">
        <v>3060</v>
      </c>
      <c r="AJ422" s="135"/>
      <c r="AK422" s="128"/>
      <c r="AL422" s="131"/>
      <c r="AM422" s="124" t="s">
        <v>985</v>
      </c>
      <c r="AN422" s="136" t="s">
        <v>1619</v>
      </c>
      <c r="AO422" s="137">
        <v>38</v>
      </c>
      <c r="AP422" s="128">
        <v>2361.42</v>
      </c>
      <c r="AQ422" s="128">
        <v>492.84999999999991</v>
      </c>
      <c r="AR422" s="128" t="s">
        <v>1620</v>
      </c>
      <c r="AS422" s="128">
        <v>114</v>
      </c>
      <c r="AT422" s="122">
        <v>9.1999999999999993</v>
      </c>
      <c r="AU422" s="124" t="s">
        <v>189</v>
      </c>
      <c r="AV422" s="115">
        <f>VLOOKUP(J422,'[63]ТР нефть'!$J$28:$BP$638,39,0)</f>
        <v>519.99999931599996</v>
      </c>
      <c r="AW422" s="115" t="str">
        <f>VLOOKUP(J422,'[63]ТР нефть'!$J$28:$BP$638,40,0)</f>
        <v>ГП</v>
      </c>
      <c r="AX422" s="115">
        <f>VLOOKUP(J422,'[63]ТР нефть'!$J$28:$BP$638,41,0)</f>
        <v>959.99997011699998</v>
      </c>
      <c r="AY422" s="115" t="str">
        <f>VLOOKUP(J422,'[63]ТР нефть'!$J$28:$BP$638,42,0)</f>
        <v>ГП</v>
      </c>
      <c r="AZ422" s="115">
        <f>VLOOKUP(J422,'[63]ТР нефть'!$J$28:$BP$638,43,0)</f>
        <v>1299.9999796879999</v>
      </c>
      <c r="BA422" s="115" t="str">
        <f>VLOOKUP(J422,'[63]ТР нефть'!$J$28:$BP$638,44,0)</f>
        <v>ГП</v>
      </c>
      <c r="BB422" s="115">
        <f>VLOOKUP(J422,'[63]ТР нефть'!$J$28:$BP$638,45,0)</f>
        <v>1580.000005078</v>
      </c>
      <c r="BC422" s="115" t="str">
        <f>VLOOKUP(J422,'[63]ТР нефть'!$J$28:$BP$638,46,0)</f>
        <v>ГК84 1/8</v>
      </c>
      <c r="BD422" s="115">
        <f>VLOOKUP(J422,'[63]ТР нефть'!$J$28:$BP$638,47,0)</f>
        <v>1760.000032031</v>
      </c>
      <c r="BE422" s="115" t="str">
        <f>VLOOKUP(J422,'[63]ТР нефть'!$J$28:$BP$638,48,0)</f>
        <v>ГК85 5/32</v>
      </c>
      <c r="BF422" s="115">
        <f>VLOOKUP(J422,'[63]ТР нефть'!$J$28:$BP$638,49,0)</f>
        <v>1960</v>
      </c>
      <c r="BG422" s="115" t="str">
        <f>VLOOKUP(J422,'[63]ТР нефть'!$J$28:$BP$638,50,0)</f>
        <v>ЦКсОК 5/16</v>
      </c>
      <c r="BH422" s="115" t="str">
        <f>VLOOKUP(J422,'[63]ТР нефть'!$J$28:$BP$638,51,0)</f>
        <v>-</v>
      </c>
      <c r="BI422" s="115" t="str">
        <f>VLOOKUP(J422,'[63]ТР нефть'!$J$28:$BP$638,52,0)</f>
        <v>-</v>
      </c>
      <c r="BJ422" s="115" t="str">
        <f>IF(IFERROR(VLOOKUP(J422,'[63]ТР нефть'!$J$28:$BP$638,53,0),"-")=0,"-",IFERROR(VLOOKUP(J422,'[63]ТР нефть'!$J$28:$BP$638,53,0),"-"))</f>
        <v>-</v>
      </c>
      <c r="BK422" s="138" t="str">
        <f>IF(IFERROR(VLOOKUP(J422,'[63]ТР нефть'!$J$28:$BP$638,54,0),"-")=0,"-",IFERROR(VLOOKUP(J422,'[63]ТР нефть'!$J$28:$BP$638,54,0),"-"))</f>
        <v>-</v>
      </c>
      <c r="BL422" s="138" t="str">
        <f>IF(IFERROR(VLOOKUP(J422,'[63]ТР нефть'!$J$28:$BP$638,55,0),"-")=0,"-",IFERROR(VLOOKUP(J422,'[63]ТР нефть'!$J$28:$BP$638,55,0),"-"))</f>
        <v>-</v>
      </c>
      <c r="BM422" s="138" t="str">
        <f>IF(IFERROR(VLOOKUP(J422,'[63]ТР нефть'!$J$28:$BP$638,56,0),"-")=0,"-",IFERROR(VLOOKUP(J422,'[63]ТР нефть'!$J$28:$BP$638,56,0),"-"))</f>
        <v>-</v>
      </c>
      <c r="BN422" s="138" t="str">
        <f>IF(IFERROR(VLOOKUP(J422,'[63]ТР нефть'!$J$28:$BP$638,57,0),"-")=0,"-",IFERROR(VLOOKUP(J422,'[63]ТР нефть'!$J$28:$BP$638,57,0),"-"))</f>
        <v>-</v>
      </c>
      <c r="BO422" s="115" t="str">
        <f>IF(IFERROR(VLOOKUP(J422,'[63]ТР нефть'!$J$28:$BP$638,58,0),"-")=0,"-",IFERROR(VLOOKUP(J422,'[63]ТР нефть'!$J$28:$BP$638,58,0),"-"))</f>
        <v>-</v>
      </c>
      <c r="BP422" s="115" t="str">
        <f>IF(IFERROR(VLOOKUP(J422,'[63]ТР нефть'!$J$28:$BP$638,59,0),"-")=0,"-",IFERROR(VLOOKUP(J422,'[63]ТР нефть'!$J$28:$BP$638,59,0),"-"))</f>
        <v>-</v>
      </c>
      <c r="BQ422" s="138">
        <v>2200</v>
      </c>
      <c r="BR422" s="128">
        <v>1916</v>
      </c>
      <c r="BS422" s="115">
        <f t="shared" si="340"/>
        <v>284</v>
      </c>
      <c r="BT422" s="128">
        <v>73</v>
      </c>
      <c r="BU422" s="128">
        <v>5.5</v>
      </c>
      <c r="BV422" s="127">
        <v>65</v>
      </c>
      <c r="BW422" s="127" t="s">
        <v>217</v>
      </c>
      <c r="BX422" s="127" t="s">
        <v>218</v>
      </c>
      <c r="BY422" s="139">
        <v>24</v>
      </c>
      <c r="BZ422" s="139">
        <v>24</v>
      </c>
      <c r="CA422" s="138">
        <v>26</v>
      </c>
      <c r="CB422" s="138">
        <v>44</v>
      </c>
      <c r="CC422" s="138">
        <v>25</v>
      </c>
      <c r="CD422" s="135">
        <v>45017</v>
      </c>
      <c r="CE422" s="138">
        <v>167</v>
      </c>
      <c r="CF422" s="138">
        <v>75</v>
      </c>
      <c r="CG422" s="138" t="str">
        <f t="shared" si="310"/>
        <v>В работе</v>
      </c>
      <c r="CH422" s="138" t="s">
        <v>235</v>
      </c>
      <c r="CI422" s="138">
        <v>5</v>
      </c>
      <c r="CJ422" s="139"/>
      <c r="CK422" s="139">
        <f t="shared" si="308"/>
        <v>28</v>
      </c>
      <c r="CL422" s="99"/>
      <c r="CM422" s="99"/>
      <c r="CN422" s="140">
        <v>54</v>
      </c>
      <c r="CO422" s="141">
        <f t="shared" si="324"/>
        <v>2.8216584219999996</v>
      </c>
      <c r="CP422" s="142">
        <v>3.4550000000000001</v>
      </c>
      <c r="CQ422" s="143">
        <v>2.31</v>
      </c>
      <c r="CR422" s="138">
        <v>8.9499999999999993</v>
      </c>
      <c r="CS422" s="139">
        <v>7</v>
      </c>
      <c r="CT422" s="138"/>
      <c r="CU422" s="138">
        <f t="shared" si="320"/>
        <v>1.9499999999999993</v>
      </c>
      <c r="CV422" s="115">
        <f t="shared" si="321"/>
        <v>691.08294072598403</v>
      </c>
      <c r="CW422" s="115">
        <f t="shared" si="325"/>
        <v>2402.1311864367758</v>
      </c>
      <c r="CX422" s="133">
        <f t="shared" si="322"/>
        <v>3.0575221238938053E-2</v>
      </c>
      <c r="CY422" s="116"/>
      <c r="CZ422" s="131"/>
      <c r="DA422" s="145" t="str">
        <f t="shared" si="326"/>
        <v>Газлифт</v>
      </c>
      <c r="DB422" s="146">
        <f t="shared" si="341"/>
        <v>2.8216584219999996</v>
      </c>
      <c r="DC422" s="142">
        <f t="shared" si="342"/>
        <v>3.4550000000000001</v>
      </c>
      <c r="DD422" s="119">
        <f t="shared" si="303"/>
        <v>2.31</v>
      </c>
      <c r="DE422" s="115">
        <f t="shared" si="343"/>
        <v>1.9499999999999993</v>
      </c>
      <c r="DF422" s="121">
        <f t="shared" si="328"/>
        <v>7</v>
      </c>
      <c r="DG422" s="115">
        <f t="shared" si="329"/>
        <v>691.08294072598403</v>
      </c>
      <c r="DH422" s="115">
        <f t="shared" si="330"/>
        <v>54</v>
      </c>
      <c r="DI422" s="147"/>
      <c r="DJ422" s="111">
        <v>43712</v>
      </c>
      <c r="DK422" s="112">
        <v>44170</v>
      </c>
      <c r="DL422" s="113">
        <f t="shared" ca="1" si="312"/>
        <v>934</v>
      </c>
      <c r="DM422" s="114"/>
      <c r="DN422" s="114"/>
      <c r="DO422" s="114"/>
      <c r="DP422" s="114"/>
      <c r="DQ422" s="112">
        <v>43648</v>
      </c>
      <c r="DR422" s="114" t="s">
        <v>324</v>
      </c>
      <c r="DS422" s="114">
        <v>0</v>
      </c>
      <c r="DT422" s="115">
        <v>59</v>
      </c>
      <c r="DU422" s="116">
        <f t="shared" si="313"/>
        <v>3.1990740740740743E-2</v>
      </c>
      <c r="DV422" s="117">
        <f t="shared" si="314"/>
        <v>2.8216584219999996</v>
      </c>
      <c r="DW422" s="118">
        <f t="shared" si="315"/>
        <v>3.4550000000000001</v>
      </c>
      <c r="DX422" s="119">
        <f t="shared" si="331"/>
        <v>2.31</v>
      </c>
      <c r="DY422" s="115">
        <f t="shared" si="316"/>
        <v>1.9499999999999993</v>
      </c>
      <c r="DZ422" s="117">
        <f t="shared" si="317"/>
        <v>0</v>
      </c>
      <c r="EA422" s="120">
        <f t="shared" si="317"/>
        <v>0</v>
      </c>
      <c r="EB422" s="119">
        <f t="shared" si="317"/>
        <v>0</v>
      </c>
      <c r="EC422" s="121">
        <f t="shared" si="318"/>
        <v>0</v>
      </c>
      <c r="ED422" s="122"/>
      <c r="EE422" s="145">
        <v>65</v>
      </c>
      <c r="EF422" s="115">
        <v>26</v>
      </c>
      <c r="EG422" s="115">
        <v>51</v>
      </c>
      <c r="EH422" s="115">
        <v>25</v>
      </c>
      <c r="EI422" s="128" t="s">
        <v>218</v>
      </c>
      <c r="EJ422" s="121">
        <v>24</v>
      </c>
      <c r="EK422" s="121">
        <v>24</v>
      </c>
      <c r="EL422" s="149">
        <v>2.8216584219999996</v>
      </c>
      <c r="EM422" s="142">
        <v>3.4550000000000001</v>
      </c>
      <c r="EN422" s="119">
        <v>2.31</v>
      </c>
      <c r="EO422" s="115">
        <v>8.9499999999999993</v>
      </c>
      <c r="EP422" s="115">
        <v>691.08294072598403</v>
      </c>
      <c r="EQ422" s="115">
        <v>72</v>
      </c>
      <c r="ER422" s="115">
        <v>7</v>
      </c>
      <c r="ES422" s="115">
        <v>55.12</v>
      </c>
      <c r="ET422" s="150">
        <v>3.0881301394351093E-2</v>
      </c>
      <c r="EU422" s="145">
        <f t="shared" si="332"/>
        <v>65</v>
      </c>
      <c r="EV422" s="115">
        <f t="shared" si="333"/>
        <v>26</v>
      </c>
      <c r="EW422" s="115">
        <f t="shared" si="333"/>
        <v>44</v>
      </c>
      <c r="EX422" s="115">
        <f t="shared" si="333"/>
        <v>25</v>
      </c>
      <c r="EY422" s="115" t="str">
        <f t="shared" si="309"/>
        <v>Периодический</v>
      </c>
      <c r="EZ422" s="115">
        <f t="shared" si="309"/>
        <v>24</v>
      </c>
      <c r="FA422" s="115">
        <f t="shared" si="309"/>
        <v>24</v>
      </c>
      <c r="FB422" s="149">
        <f t="shared" si="298"/>
        <v>2.8216584219999996</v>
      </c>
      <c r="FC422" s="142">
        <f t="shared" si="298"/>
        <v>3.4550000000000001</v>
      </c>
      <c r="FD422" s="119">
        <f t="shared" si="298"/>
        <v>2.31</v>
      </c>
      <c r="FE422" s="121">
        <f t="shared" si="298"/>
        <v>8.9499999999999993</v>
      </c>
      <c r="FF422" s="121">
        <f t="shared" si="300"/>
        <v>691.08294072598403</v>
      </c>
      <c r="FG422" s="121">
        <f t="shared" si="334"/>
        <v>75</v>
      </c>
      <c r="FH422" s="121">
        <f t="shared" si="301"/>
        <v>7</v>
      </c>
      <c r="FI422" s="121">
        <f t="shared" si="306"/>
        <v>54</v>
      </c>
      <c r="FJ422" s="144">
        <f t="shared" si="335"/>
        <v>3.0575221238938053E-2</v>
      </c>
      <c r="FK422" s="132">
        <f t="shared" si="336"/>
        <v>0</v>
      </c>
      <c r="FL422" s="115">
        <f t="shared" si="336"/>
        <v>0</v>
      </c>
      <c r="FM422" s="115">
        <f t="shared" si="336"/>
        <v>-7</v>
      </c>
      <c r="FN422" s="115">
        <f t="shared" si="336"/>
        <v>0</v>
      </c>
      <c r="FO422" s="115">
        <f t="shared" si="311"/>
        <v>0</v>
      </c>
      <c r="FP422" s="115">
        <f t="shared" si="311"/>
        <v>0</v>
      </c>
      <c r="FQ422" s="219">
        <f t="shared" si="311"/>
        <v>0</v>
      </c>
      <c r="FR422" s="142">
        <f t="shared" si="311"/>
        <v>0</v>
      </c>
      <c r="FS422" s="119">
        <f t="shared" si="311"/>
        <v>0</v>
      </c>
      <c r="FT422" s="121">
        <f t="shared" si="311"/>
        <v>0</v>
      </c>
      <c r="FU422" s="121">
        <f t="shared" si="337"/>
        <v>3</v>
      </c>
      <c r="FV422" s="121">
        <f t="shared" si="337"/>
        <v>0</v>
      </c>
      <c r="FW422" s="121">
        <f t="shared" si="338"/>
        <v>0</v>
      </c>
      <c r="FX422" s="121">
        <f t="shared" si="339"/>
        <v>-1.1199999999999974</v>
      </c>
      <c r="FY422" s="144">
        <f t="shared" si="339"/>
        <v>-3.0608015541304032E-4</v>
      </c>
      <c r="FZ422" s="145"/>
      <c r="GA422" s="125"/>
      <c r="GB422" s="145"/>
      <c r="GC422" s="125"/>
      <c r="GD422" s="997" t="s">
        <v>202</v>
      </c>
      <c r="GE422" s="1004"/>
      <c r="GF422" s="1004">
        <v>0</v>
      </c>
      <c r="GG422" s="1004"/>
      <c r="GH422" s="1004">
        <v>0</v>
      </c>
      <c r="GI422" s="145"/>
      <c r="GJ422" s="996">
        <v>0</v>
      </c>
      <c r="GK422" s="145"/>
      <c r="GL422" s="996">
        <v>0</v>
      </c>
      <c r="GM422" s="1005"/>
      <c r="GN422" s="996">
        <v>0</v>
      </c>
      <c r="GO422" s="1006"/>
      <c r="GP422" s="996">
        <v>1.3896740219999997</v>
      </c>
      <c r="GQ422" s="1006"/>
      <c r="GR422" s="996">
        <v>0.28417312000000017</v>
      </c>
      <c r="GS422" s="1006"/>
      <c r="GT422" s="996">
        <v>-0.23239211599999998</v>
      </c>
      <c r="GU422" s="1006"/>
      <c r="GV422" s="996">
        <v>-0.42555660400000028</v>
      </c>
      <c r="GW422" s="1006"/>
      <c r="GX422" s="996">
        <v>0.33105600000000002</v>
      </c>
      <c r="GY422" s="1006" t="s">
        <v>199</v>
      </c>
      <c r="GZ422" s="996">
        <v>-2.2172224799999998</v>
      </c>
      <c r="HA422" s="1006" t="s">
        <v>199</v>
      </c>
      <c r="HB422" s="996">
        <v>2.2559710799999997</v>
      </c>
      <c r="HC422" s="1006" t="s">
        <v>203</v>
      </c>
      <c r="HD422" s="996">
        <v>-1.4773373999999997</v>
      </c>
      <c r="HE422" s="1006" t="s">
        <v>203</v>
      </c>
      <c r="HF422" s="996">
        <v>-2.6238438512000002</v>
      </c>
      <c r="HG422" s="1006" t="s">
        <v>25</v>
      </c>
      <c r="HH422" s="996">
        <v>2.7866130512000002</v>
      </c>
      <c r="HI422" s="1006"/>
      <c r="HJ422" s="996">
        <v>0</v>
      </c>
      <c r="HK422" s="1006"/>
      <c r="HL422" s="996">
        <v>0</v>
      </c>
      <c r="HM422" s="1006"/>
      <c r="HN422" s="996">
        <v>0</v>
      </c>
      <c r="HO422" s="1006" t="s">
        <v>199</v>
      </c>
      <c r="HP422" s="996">
        <v>-0.90948440000000019</v>
      </c>
      <c r="HQ422" s="1006"/>
      <c r="HR422" s="996">
        <v>0</v>
      </c>
      <c r="HS422" s="1006"/>
      <c r="HT422" s="996">
        <v>0.79971258399999989</v>
      </c>
      <c r="HU422" s="1006" t="s">
        <v>199</v>
      </c>
      <c r="HV422" s="996">
        <v>-1.0179336639999996</v>
      </c>
      <c r="HW422" s="1006"/>
      <c r="HX422" s="996">
        <v>0</v>
      </c>
      <c r="HY422" s="1006"/>
      <c r="HZ422" s="996">
        <v>0</v>
      </c>
      <c r="IA422" s="1006"/>
      <c r="IB422" s="996">
        <v>-8.7821800000000394E-2</v>
      </c>
      <c r="IC422" s="1006"/>
      <c r="ID422" s="996">
        <v>-0.53330111999999996</v>
      </c>
      <c r="IE422" s="1006"/>
      <c r="IF422" s="996">
        <v>-0.20746201079999871</v>
      </c>
      <c r="IG422" s="1006"/>
      <c r="IH422" s="996">
        <v>0</v>
      </c>
      <c r="II422" s="1006"/>
      <c r="IJ422" s="996">
        <v>0</v>
      </c>
      <c r="IK422" s="1006" t="s">
        <v>239</v>
      </c>
      <c r="IL422" s="996">
        <v>-1.357804197200001</v>
      </c>
      <c r="IM422" s="1006"/>
      <c r="IN422" s="996">
        <v>0</v>
      </c>
      <c r="IO422" s="1006"/>
      <c r="IP422" s="996">
        <v>0</v>
      </c>
      <c r="IQ422" s="1006"/>
      <c r="IR422" s="996">
        <v>0</v>
      </c>
      <c r="IS422" s="1006"/>
      <c r="IT422" s="996">
        <v>0</v>
      </c>
      <c r="IU422" s="1006"/>
      <c r="IV422" s="996">
        <v>0</v>
      </c>
      <c r="IW422" s="1006"/>
      <c r="IX422" s="996">
        <v>0</v>
      </c>
      <c r="IY422" s="1006"/>
      <c r="IZ422" s="996">
        <v>0</v>
      </c>
      <c r="JA422" s="1006"/>
      <c r="JB422" s="996">
        <v>0</v>
      </c>
      <c r="JC422" s="1006"/>
      <c r="JD422" s="996">
        <v>0</v>
      </c>
      <c r="JE422" s="1006"/>
      <c r="JF422" s="996">
        <v>0</v>
      </c>
      <c r="JG422" s="1006"/>
      <c r="JH422" s="996">
        <v>0</v>
      </c>
      <c r="JI422" s="1006"/>
      <c r="JJ422" s="996">
        <v>0</v>
      </c>
      <c r="JK422" s="1007"/>
      <c r="JL422" s="1007">
        <v>0</v>
      </c>
      <c r="JM422" s="1007"/>
      <c r="JN422" s="1007">
        <v>0</v>
      </c>
      <c r="JO422" s="1008"/>
      <c r="JP422" s="1007">
        <v>0</v>
      </c>
      <c r="JQ422" s="1008" t="s">
        <v>203</v>
      </c>
      <c r="JR422" s="1007">
        <v>-3.1353817919999996</v>
      </c>
      <c r="JS422" s="1008" t="s">
        <v>25</v>
      </c>
      <c r="JT422" s="1007">
        <v>15.500511793799999</v>
      </c>
      <c r="JU422" s="1008"/>
      <c r="JV422" s="1007">
        <v>0</v>
      </c>
      <c r="JW422" s="1008"/>
      <c r="JX422" s="1007"/>
      <c r="JY422" s="1008"/>
      <c r="JZ422" s="1007"/>
      <c r="KA422" s="1008"/>
      <c r="KB422" s="1007"/>
      <c r="KC422" s="1008"/>
      <c r="KD422" s="1007"/>
      <c r="KE422" s="1008"/>
      <c r="KF422" s="1007"/>
      <c r="KG422" s="1008"/>
      <c r="KH422" s="1007"/>
      <c r="KI422" s="1008"/>
      <c r="KJ422" s="1007"/>
      <c r="KK422" s="1008"/>
      <c r="KL422" s="1007"/>
      <c r="KM422" s="1008"/>
      <c r="KN422" s="1007"/>
      <c r="KO422" s="1008"/>
      <c r="KP422" s="1007"/>
      <c r="KQ422" s="1008"/>
      <c r="KR422" s="1007"/>
      <c r="KS422" s="1008"/>
      <c r="KT422" s="1007"/>
      <c r="KU422" s="1008"/>
      <c r="KV422" s="1007"/>
      <c r="KW422" s="1008"/>
      <c r="KX422" s="1007"/>
      <c r="KY422" s="1008"/>
      <c r="KZ422" s="1007"/>
      <c r="LA422" s="1008"/>
      <c r="LB422" s="1007"/>
      <c r="LC422" s="1008"/>
      <c r="LD422" s="1007"/>
      <c r="LE422" s="1008"/>
      <c r="LF422" s="1007"/>
      <c r="LG422" s="1008"/>
      <c r="LH422" s="1007"/>
      <c r="LI422" s="1008"/>
      <c r="LJ422" s="1007"/>
      <c r="LK422" s="1008"/>
      <c r="LL422" s="1007"/>
      <c r="LM422" s="1008"/>
      <c r="LN422" s="1007"/>
      <c r="LO422" s="1008"/>
      <c r="LP422" s="1007"/>
      <c r="LQ422" s="1008"/>
      <c r="LR422" s="1007"/>
      <c r="LS422" s="1008"/>
      <c r="LT422" s="1007"/>
      <c r="LU422" s="1008"/>
      <c r="LV422" s="1007"/>
      <c r="LW422" s="1008"/>
      <c r="LX422" s="1007"/>
      <c r="LY422" s="1009"/>
      <c r="LZ422" s="1010"/>
      <c r="MA422" s="1011"/>
      <c r="MB422" s="1012"/>
      <c r="MC422" s="995"/>
      <c r="MD422" s="996"/>
      <c r="ME422" s="997" t="s">
        <v>202</v>
      </c>
      <c r="MF422" s="997"/>
      <c r="MG422" s="998"/>
      <c r="NR422" s="1000"/>
      <c r="NS422" s="1000"/>
      <c r="NT422" s="1001"/>
      <c r="NU422" s="1000"/>
      <c r="NV422" s="1001"/>
      <c r="NX422" s="1002"/>
      <c r="NZ422" s="1001"/>
      <c r="OA422" s="1001"/>
      <c r="OC422" s="1003"/>
      <c r="OD422" s="1003"/>
      <c r="OE422" s="1001"/>
      <c r="OF422" s="1003"/>
      <c r="OG422" s="1003"/>
      <c r="QX422" s="1000">
        <f>CN422-CA422</f>
        <v>28</v>
      </c>
      <c r="ASU422" s="999" t="s">
        <v>225</v>
      </c>
    </row>
    <row r="423" spans="1:466 1191:1191" ht="21" customHeight="1" x14ac:dyDescent="0.25">
      <c r="A423" s="982">
        <f t="shared" si="323"/>
        <v>1497</v>
      </c>
      <c r="B423" s="124">
        <f>SUBTOTAL(103,$J$29:J423)</f>
        <v>395</v>
      </c>
      <c r="C423" s="126">
        <v>45068</v>
      </c>
      <c r="D423" s="124" t="s">
        <v>176</v>
      </c>
      <c r="E423" s="127" t="s">
        <v>177</v>
      </c>
      <c r="F423" s="128" t="s">
        <v>177</v>
      </c>
      <c r="G423" s="127" t="s">
        <v>178</v>
      </c>
      <c r="H423" s="127" t="s">
        <v>179</v>
      </c>
      <c r="I423" s="127" t="s">
        <v>481</v>
      </c>
      <c r="J423" s="152">
        <v>1497</v>
      </c>
      <c r="K423" s="127" t="s">
        <v>1438</v>
      </c>
      <c r="L423" s="130">
        <v>43032</v>
      </c>
      <c r="M423" s="127" t="s">
        <v>230</v>
      </c>
      <c r="N423" s="127" t="s">
        <v>184</v>
      </c>
      <c r="O423" s="127" t="s">
        <v>185</v>
      </c>
      <c r="P423" s="127" t="s">
        <v>186</v>
      </c>
      <c r="Q423" s="85">
        <f t="shared" si="319"/>
        <v>-4</v>
      </c>
      <c r="R423" s="130">
        <v>43005</v>
      </c>
      <c r="S423" s="128" t="s">
        <v>747</v>
      </c>
      <c r="T423" s="131" t="s">
        <v>1294</v>
      </c>
      <c r="U423" s="132">
        <v>203</v>
      </c>
      <c r="V423" s="121">
        <v>218.2</v>
      </c>
      <c r="W423" s="116">
        <v>0.98</v>
      </c>
      <c r="X423" s="116">
        <v>1.66</v>
      </c>
      <c r="Y423" s="116">
        <f t="shared" si="299"/>
        <v>0.98008029573507216</v>
      </c>
      <c r="Z423" s="133">
        <v>1.454</v>
      </c>
      <c r="AA423" s="133">
        <v>0.83599999999999997</v>
      </c>
      <c r="AB423" s="133">
        <v>0.72</v>
      </c>
      <c r="AC423" s="121">
        <v>34.299999999999997</v>
      </c>
      <c r="AD423" s="134">
        <v>1.17</v>
      </c>
      <c r="AE423" s="124">
        <v>177.8</v>
      </c>
      <c r="AF423" s="128">
        <v>9.19</v>
      </c>
      <c r="AG423" s="128">
        <v>2208.6999999999998</v>
      </c>
      <c r="AH423" s="138">
        <v>3063.87</v>
      </c>
      <c r="AI423" s="138">
        <v>3063.87</v>
      </c>
      <c r="AJ423" s="135">
        <v>42936</v>
      </c>
      <c r="AK423" s="128" t="s">
        <v>1018</v>
      </c>
      <c r="AL423" s="131"/>
      <c r="AM423" s="124" t="s">
        <v>985</v>
      </c>
      <c r="AN423" s="136" t="s">
        <v>1621</v>
      </c>
      <c r="AO423" s="137">
        <v>9.81</v>
      </c>
      <c r="AP423" s="128">
        <v>2261.8200000000002</v>
      </c>
      <c r="AQ423" s="128">
        <v>411.62</v>
      </c>
      <c r="AR423" s="128" t="s">
        <v>1622</v>
      </c>
      <c r="AS423" s="128">
        <v>114</v>
      </c>
      <c r="AT423" s="122">
        <v>7.37</v>
      </c>
      <c r="AU423" s="124" t="s">
        <v>189</v>
      </c>
      <c r="AV423" s="115">
        <f>VLOOKUP(J423,'[63]ТР нефть'!$J$28:$BP$638,39,0)</f>
        <v>510.00001435500002</v>
      </c>
      <c r="AW423" s="115" t="str">
        <f>VLOOKUP(J423,'[63]ТР нефть'!$J$28:$BP$638,40,0)</f>
        <v>ГП</v>
      </c>
      <c r="AX423" s="115">
        <f>VLOOKUP(J423,'[63]ТР нефть'!$J$28:$BP$638,41,0)</f>
        <v>900.00006035199999</v>
      </c>
      <c r="AY423" s="115" t="str">
        <f>VLOOKUP(J423,'[63]ТР нефть'!$J$28:$BP$638,42,0)</f>
        <v>ГП</v>
      </c>
      <c r="AZ423" s="115">
        <f>VLOOKUP(J423,'[63]ТР нефть'!$J$28:$BP$638,43,0)</f>
        <v>1209.9999662109999</v>
      </c>
      <c r="BA423" s="115" t="str">
        <f>VLOOKUP(J423,'[63]ТР нефть'!$J$28:$BP$638,44,0)</f>
        <v>ГП</v>
      </c>
      <c r="BB423" s="115">
        <f>VLOOKUP(J423,'[63]ТР нефть'!$J$28:$BP$638,45,0)</f>
        <v>1460.000036719</v>
      </c>
      <c r="BC423" s="115" t="str">
        <f>VLOOKUP(J423,'[63]ТР нефть'!$J$28:$BP$638,46,0)</f>
        <v>ГК82 5/32</v>
      </c>
      <c r="BD423" s="115">
        <f>VLOOKUP(J423,'[63]ТР нефть'!$J$28:$BP$638,47,0)</f>
        <v>1660.0000335939999</v>
      </c>
      <c r="BE423" s="115" t="str">
        <f>VLOOKUP(J423,'[63]ТР нефть'!$J$28:$BP$638,48,0)</f>
        <v>ГК82 5/32</v>
      </c>
      <c r="BF423" s="115">
        <f>VLOOKUP(J423,'[63]ТР нефть'!$J$28:$BP$638,49,0)</f>
        <v>1800</v>
      </c>
      <c r="BG423" s="115" t="str">
        <f>VLOOKUP(J423,'[63]ТР нефть'!$J$28:$BP$638,50,0)</f>
        <v>ЦКсОК 5/16</v>
      </c>
      <c r="BH423" s="115">
        <f>VLOOKUP(J423,'[63]ТР нефть'!$J$28:$BP$638,51,0)</f>
        <v>1890</v>
      </c>
      <c r="BI423" s="115" t="str">
        <f>VLOOKUP(J423,'[63]ТР нефть'!$J$28:$BP$638,52,0)</f>
        <v xml:space="preserve">закрыт </v>
      </c>
      <c r="BJ423" s="115" t="str">
        <f>IF(IFERROR(VLOOKUP(J423,'[63]ТР нефть'!$J$28:$BP$638,53,0),"-")=0,"-",IFERROR(VLOOKUP(J423,'[63]ТР нефть'!$J$28:$BP$638,53,0),"-"))</f>
        <v>-</v>
      </c>
      <c r="BK423" s="138" t="str">
        <f>IF(IFERROR(VLOOKUP(J423,'[63]ТР нефть'!$J$28:$BP$638,54,0),"-")=0,"-",IFERROR(VLOOKUP(J423,'[63]ТР нефть'!$J$28:$BP$638,54,0),"-"))</f>
        <v>-</v>
      </c>
      <c r="BL423" s="138" t="str">
        <f>IF(IFERROR(VLOOKUP(J423,'[63]ТР нефть'!$J$28:$BP$638,55,0),"-")=0,"-",IFERROR(VLOOKUP(J423,'[63]ТР нефть'!$J$28:$BP$638,55,0),"-"))</f>
        <v>-</v>
      </c>
      <c r="BM423" s="138" t="str">
        <f>IF(IFERROR(VLOOKUP(J423,'[63]ТР нефть'!$J$28:$BP$638,56,0),"-")=0,"-",IFERROR(VLOOKUP(J423,'[63]ТР нефть'!$J$28:$BP$638,56,0),"-"))</f>
        <v>-</v>
      </c>
      <c r="BN423" s="138" t="str">
        <f>IF(IFERROR(VLOOKUP(J423,'[63]ТР нефть'!$J$28:$BP$638,57,0),"-")=0,"-",IFERROR(VLOOKUP(J423,'[63]ТР нефть'!$J$28:$BP$638,57,0),"-"))</f>
        <v>-</v>
      </c>
      <c r="BO423" s="115" t="str">
        <f>IF(IFERROR(VLOOKUP(J423,'[63]ТР нефть'!$J$28:$BP$638,58,0),"-")=0,"-",IFERROR(VLOOKUP(J423,'[63]ТР нефть'!$J$28:$BP$638,58,0),"-"))</f>
        <v>-</v>
      </c>
      <c r="BP423" s="115" t="str">
        <f>IF(IFERROR(VLOOKUP(J423,'[63]ТР нефть'!$J$28:$BP$638,59,0),"-")=0,"-",IFERROR(VLOOKUP(J423,'[63]ТР нефть'!$J$28:$BP$638,59,0),"-"))</f>
        <v>-</v>
      </c>
      <c r="BQ423" s="138">
        <v>2053</v>
      </c>
      <c r="BR423" s="128">
        <v>1798.3</v>
      </c>
      <c r="BS423" s="115">
        <f t="shared" si="340"/>
        <v>254.70000000000005</v>
      </c>
      <c r="BT423" s="128">
        <v>73</v>
      </c>
      <c r="BU423" s="128">
        <v>5.5</v>
      </c>
      <c r="BV423" s="127">
        <v>65</v>
      </c>
      <c r="BW423" s="127" t="s">
        <v>217</v>
      </c>
      <c r="BX423" s="127" t="s">
        <v>195</v>
      </c>
      <c r="BY423" s="139">
        <v>24</v>
      </c>
      <c r="BZ423" s="139">
        <v>0</v>
      </c>
      <c r="CA423" s="80">
        <v>24</v>
      </c>
      <c r="CB423" s="138">
        <v>43</v>
      </c>
      <c r="CC423" s="138">
        <v>23</v>
      </c>
      <c r="CD423" s="135">
        <v>45017</v>
      </c>
      <c r="CE423" s="138">
        <v>142</v>
      </c>
      <c r="CF423" s="138">
        <v>75</v>
      </c>
      <c r="CG423" s="138" t="str">
        <f t="shared" si="310"/>
        <v>В работе</v>
      </c>
      <c r="CH423" s="138" t="s">
        <v>272</v>
      </c>
      <c r="CI423" s="127"/>
      <c r="CJ423" s="138"/>
      <c r="CK423" s="138">
        <f t="shared" si="308"/>
        <v>23</v>
      </c>
      <c r="CL423" s="99"/>
      <c r="CM423" s="99"/>
      <c r="CN423" s="140">
        <v>47</v>
      </c>
      <c r="CO423" s="141">
        <f t="shared" si="324"/>
        <v>7.4389119199999998</v>
      </c>
      <c r="CP423" s="142">
        <v>8.9</v>
      </c>
      <c r="CQ423" s="143">
        <v>0.02</v>
      </c>
      <c r="CR423" s="138">
        <v>11</v>
      </c>
      <c r="CS423" s="139">
        <v>8.6</v>
      </c>
      <c r="CT423" s="138"/>
      <c r="CU423" s="138">
        <f t="shared" si="320"/>
        <v>2.4000000000000004</v>
      </c>
      <c r="CV423" s="115">
        <f t="shared" si="321"/>
        <v>322.62782861394606</v>
      </c>
      <c r="CW423" s="115">
        <f t="shared" si="325"/>
        <v>1155.7628034771733</v>
      </c>
      <c r="CX423" s="133">
        <f t="shared" si="322"/>
        <v>9.3684210526315786E-2</v>
      </c>
      <c r="CY423" s="116"/>
      <c r="CZ423" s="131"/>
      <c r="DA423" s="145" t="str">
        <f t="shared" si="326"/>
        <v>Газлифт</v>
      </c>
      <c r="DB423" s="146">
        <f t="shared" si="341"/>
        <v>7.4389119199999998</v>
      </c>
      <c r="DC423" s="142">
        <f t="shared" si="342"/>
        <v>8.9</v>
      </c>
      <c r="DD423" s="119">
        <f t="shared" si="303"/>
        <v>0.02</v>
      </c>
      <c r="DE423" s="115">
        <f t="shared" si="343"/>
        <v>2.4000000000000004</v>
      </c>
      <c r="DF423" s="121">
        <f t="shared" si="328"/>
        <v>8.6</v>
      </c>
      <c r="DG423" s="115">
        <f t="shared" si="329"/>
        <v>322.62782861394606</v>
      </c>
      <c r="DH423" s="115">
        <f t="shared" si="330"/>
        <v>47</v>
      </c>
      <c r="DI423" s="147"/>
      <c r="DJ423" s="111">
        <v>43506</v>
      </c>
      <c r="DK423" s="112">
        <v>43091</v>
      </c>
      <c r="DL423" s="113">
        <f t="shared" ca="1" si="312"/>
        <v>2013</v>
      </c>
      <c r="DM423" s="114"/>
      <c r="DN423" s="114"/>
      <c r="DO423" s="114"/>
      <c r="DP423" s="114"/>
      <c r="DQ423" s="112">
        <v>43032</v>
      </c>
      <c r="DR423" s="114" t="s">
        <v>324</v>
      </c>
      <c r="DS423" s="114"/>
      <c r="DT423" s="115">
        <v>60</v>
      </c>
      <c r="DU423" s="116">
        <f t="shared" si="313"/>
        <v>0.10853658536585366</v>
      </c>
      <c r="DV423" s="117">
        <f t="shared" si="314"/>
        <v>7.4389119199999998</v>
      </c>
      <c r="DW423" s="118">
        <f t="shared" si="315"/>
        <v>8.9</v>
      </c>
      <c r="DX423" s="119">
        <f t="shared" si="331"/>
        <v>0.02</v>
      </c>
      <c r="DY423" s="115">
        <f t="shared" si="316"/>
        <v>2.4000000000000004</v>
      </c>
      <c r="DZ423" s="117">
        <f t="shared" si="317"/>
        <v>0</v>
      </c>
      <c r="EA423" s="120">
        <f t="shared" si="317"/>
        <v>0</v>
      </c>
      <c r="EB423" s="119">
        <f t="shared" si="317"/>
        <v>0</v>
      </c>
      <c r="EC423" s="121">
        <f t="shared" si="318"/>
        <v>0</v>
      </c>
      <c r="ED423" s="122"/>
      <c r="EE423" s="145">
        <v>65</v>
      </c>
      <c r="EF423" s="148">
        <v>24</v>
      </c>
      <c r="EG423" s="115">
        <v>43</v>
      </c>
      <c r="EH423" s="115">
        <v>23</v>
      </c>
      <c r="EI423" s="128" t="s">
        <v>195</v>
      </c>
      <c r="EJ423" s="121">
        <v>24</v>
      </c>
      <c r="EK423" s="121">
        <v>0</v>
      </c>
      <c r="EL423" s="149">
        <v>7.4389119199999998</v>
      </c>
      <c r="EM423" s="142">
        <v>8.9</v>
      </c>
      <c r="EN423" s="119">
        <v>0.02</v>
      </c>
      <c r="EO423" s="115">
        <v>11</v>
      </c>
      <c r="EP423" s="115">
        <v>322.62782861394606</v>
      </c>
      <c r="EQ423" s="115">
        <v>75</v>
      </c>
      <c r="ER423" s="115">
        <v>8.6</v>
      </c>
      <c r="ES423" s="115">
        <v>52</v>
      </c>
      <c r="ET423" s="150">
        <v>9.8888888888888887E-2</v>
      </c>
      <c r="EU423" s="145">
        <f t="shared" si="332"/>
        <v>65</v>
      </c>
      <c r="EV423" s="115">
        <f t="shared" si="333"/>
        <v>24</v>
      </c>
      <c r="EW423" s="115">
        <f t="shared" si="333"/>
        <v>43</v>
      </c>
      <c r="EX423" s="115">
        <f t="shared" si="333"/>
        <v>23</v>
      </c>
      <c r="EY423" s="115" t="str">
        <f t="shared" si="309"/>
        <v>Постоянный</v>
      </c>
      <c r="EZ423" s="115">
        <f t="shared" si="309"/>
        <v>24</v>
      </c>
      <c r="FA423" s="115">
        <f t="shared" si="309"/>
        <v>0</v>
      </c>
      <c r="FB423" s="149">
        <f t="shared" si="298"/>
        <v>7.4389119199999998</v>
      </c>
      <c r="FC423" s="142">
        <f t="shared" si="298"/>
        <v>8.9</v>
      </c>
      <c r="FD423" s="119">
        <f t="shared" si="298"/>
        <v>0.02</v>
      </c>
      <c r="FE423" s="121">
        <f t="shared" si="298"/>
        <v>11</v>
      </c>
      <c r="FF423" s="121">
        <f t="shared" si="300"/>
        <v>322.62782861394606</v>
      </c>
      <c r="FG423" s="121">
        <f t="shared" si="334"/>
        <v>75</v>
      </c>
      <c r="FH423" s="121">
        <f t="shared" si="301"/>
        <v>8.6</v>
      </c>
      <c r="FI423" s="121">
        <f t="shared" si="306"/>
        <v>47</v>
      </c>
      <c r="FJ423" s="144">
        <f t="shared" si="335"/>
        <v>9.3684210526315786E-2</v>
      </c>
      <c r="FK423" s="132">
        <f t="shared" si="336"/>
        <v>0</v>
      </c>
      <c r="FL423" s="115">
        <f t="shared" si="336"/>
        <v>0</v>
      </c>
      <c r="FM423" s="115">
        <f t="shared" si="336"/>
        <v>0</v>
      </c>
      <c r="FN423" s="115">
        <f t="shared" si="336"/>
        <v>0</v>
      </c>
      <c r="FO423" s="115">
        <f t="shared" si="311"/>
        <v>0</v>
      </c>
      <c r="FP423" s="115">
        <f t="shared" si="311"/>
        <v>0</v>
      </c>
      <c r="FQ423" s="149">
        <f t="shared" si="311"/>
        <v>0</v>
      </c>
      <c r="FR423" s="142">
        <f t="shared" si="311"/>
        <v>0</v>
      </c>
      <c r="FS423" s="119">
        <f t="shared" si="311"/>
        <v>0</v>
      </c>
      <c r="FT423" s="121">
        <f t="shared" si="311"/>
        <v>0</v>
      </c>
      <c r="FU423" s="121">
        <f t="shared" si="337"/>
        <v>0</v>
      </c>
      <c r="FV423" s="121">
        <f t="shared" si="337"/>
        <v>0</v>
      </c>
      <c r="FW423" s="121">
        <f t="shared" si="338"/>
        <v>0</v>
      </c>
      <c r="FX423" s="121">
        <f t="shared" si="339"/>
        <v>-5</v>
      </c>
      <c r="FY423" s="144">
        <f t="shared" si="339"/>
        <v>-5.2046783625731008E-3</v>
      </c>
      <c r="FZ423" s="145"/>
      <c r="GA423" s="151"/>
      <c r="GB423" s="145"/>
      <c r="GC423" s="151"/>
      <c r="GD423" s="997" t="s">
        <v>202</v>
      </c>
      <c r="GE423" s="1004"/>
      <c r="GF423" s="1004">
        <v>0</v>
      </c>
      <c r="GG423" s="1004"/>
      <c r="GH423" s="1004">
        <v>0</v>
      </c>
      <c r="GI423" s="145"/>
      <c r="GJ423" s="996">
        <v>0</v>
      </c>
      <c r="GK423" s="145"/>
      <c r="GL423" s="996">
        <v>-0.58508296000000026</v>
      </c>
      <c r="GM423" s="1005"/>
      <c r="GN423" s="996">
        <v>0</v>
      </c>
      <c r="GO423" s="1006"/>
      <c r="GP423" s="996">
        <v>0.5046597600000009</v>
      </c>
      <c r="GQ423" s="1006"/>
      <c r="GR423" s="996">
        <v>0</v>
      </c>
      <c r="GS423" s="1006"/>
      <c r="GT423" s="996">
        <v>0.17064431999999918</v>
      </c>
      <c r="GU423" s="1006"/>
      <c r="GV423" s="996">
        <v>-0.10006920000000008</v>
      </c>
      <c r="GW423" s="1006"/>
      <c r="GX423" s="996">
        <v>0</v>
      </c>
      <c r="GY423" s="1006"/>
      <c r="GZ423" s="996">
        <v>-0.79750913880000063</v>
      </c>
      <c r="HA423" s="1006"/>
      <c r="HB423" s="996">
        <v>-0.11373086119999876</v>
      </c>
      <c r="HC423" s="1006" t="s">
        <v>363</v>
      </c>
      <c r="HD423" s="996">
        <v>2.5794362</v>
      </c>
      <c r="HE423" s="1006" t="s">
        <v>199</v>
      </c>
      <c r="HF423" s="996">
        <v>-1.8964208559999998</v>
      </c>
      <c r="HG423" s="1006" t="s">
        <v>199</v>
      </c>
      <c r="HH423" s="996">
        <v>1.093993779999999</v>
      </c>
      <c r="HI423" s="1006"/>
      <c r="HJ423" s="996">
        <v>0</v>
      </c>
      <c r="HK423" s="1006" t="s">
        <v>199</v>
      </c>
      <c r="HL423" s="996">
        <v>-0.42079976399999897</v>
      </c>
      <c r="HM423" s="1006"/>
      <c r="HN423" s="996">
        <v>-0.18580936000000037</v>
      </c>
      <c r="HO423" s="1006"/>
      <c r="HP423" s="996">
        <v>-0.16720000000000113</v>
      </c>
      <c r="HQ423" s="1006" t="s">
        <v>199</v>
      </c>
      <c r="HR423" s="996">
        <v>-2.0591549439999985</v>
      </c>
      <c r="HS423" s="1006"/>
      <c r="HT423" s="996">
        <v>0</v>
      </c>
      <c r="HU423" s="1006" t="s">
        <v>241</v>
      </c>
      <c r="HV423" s="996">
        <v>2.3158069439999993</v>
      </c>
      <c r="HW423" s="1006"/>
      <c r="HX423" s="996">
        <v>0</v>
      </c>
      <c r="HY423" s="1006" t="s">
        <v>204</v>
      </c>
      <c r="HZ423" s="996">
        <v>-3.2662520000000006</v>
      </c>
      <c r="IA423" s="1006"/>
      <c r="IB423" s="996">
        <v>0</v>
      </c>
      <c r="IC423" s="1006"/>
      <c r="ID423" s="996">
        <v>0</v>
      </c>
      <c r="IE423" s="1006"/>
      <c r="IF423" s="996">
        <v>0</v>
      </c>
      <c r="IG423" s="1006"/>
      <c r="IH423" s="996">
        <v>0</v>
      </c>
      <c r="II423" s="1006" t="s">
        <v>199</v>
      </c>
      <c r="IJ423" s="996">
        <v>-3.0095999999999989</v>
      </c>
      <c r="IK423" s="1006"/>
      <c r="IL423" s="996">
        <v>0</v>
      </c>
      <c r="IM423" s="1006" t="s">
        <v>199</v>
      </c>
      <c r="IN423" s="996">
        <v>2.0732800000000005</v>
      </c>
      <c r="IO423" s="1006"/>
      <c r="IP423" s="996">
        <v>0</v>
      </c>
      <c r="IQ423" s="1006"/>
      <c r="IR423" s="996">
        <v>0.43471999999999866</v>
      </c>
      <c r="IS423" s="1006"/>
      <c r="IT423" s="996">
        <v>0</v>
      </c>
      <c r="IU423" s="1006"/>
      <c r="IV423" s="996">
        <v>0</v>
      </c>
      <c r="IW423" s="1006"/>
      <c r="IX423" s="996">
        <v>0</v>
      </c>
      <c r="IY423" s="1006"/>
      <c r="IZ423" s="996">
        <v>0</v>
      </c>
      <c r="JA423" s="1006"/>
      <c r="JB423" s="996">
        <v>0</v>
      </c>
      <c r="JC423" s="1006" t="s">
        <v>199</v>
      </c>
      <c r="JD423" s="996">
        <v>-5.8519999999999985</v>
      </c>
      <c r="JE423" s="1006" t="s">
        <v>204</v>
      </c>
      <c r="JF423" s="996">
        <v>-7.8583999999999996</v>
      </c>
      <c r="JG423" s="1006" t="s">
        <v>204</v>
      </c>
      <c r="JH423" s="996">
        <v>3.6867599999999996</v>
      </c>
      <c r="JI423" s="1006"/>
      <c r="JJ423" s="996">
        <v>0</v>
      </c>
      <c r="JK423" s="1007"/>
      <c r="JL423" s="1007">
        <v>0</v>
      </c>
      <c r="JM423" s="1007"/>
      <c r="JN423" s="1007">
        <v>0</v>
      </c>
      <c r="JO423" s="1008"/>
      <c r="JP423" s="1007">
        <v>0</v>
      </c>
      <c r="JQ423" s="1008">
        <v>0</v>
      </c>
      <c r="JR423" s="1007">
        <v>0</v>
      </c>
      <c r="JS423" s="1008">
        <v>0</v>
      </c>
      <c r="JT423" s="1007">
        <v>1.0271095999999993</v>
      </c>
      <c r="JU423" s="1008" t="s">
        <v>204</v>
      </c>
      <c r="JV423" s="1007">
        <v>5.2491603999999992</v>
      </c>
      <c r="JW423" s="1008" t="s">
        <v>197</v>
      </c>
      <c r="JX423" s="1007">
        <v>0</v>
      </c>
      <c r="JY423" s="1008"/>
      <c r="JZ423" s="1007">
        <v>0</v>
      </c>
      <c r="KA423" s="1008"/>
      <c r="KB423" s="1007">
        <v>0</v>
      </c>
      <c r="KC423" s="1008"/>
      <c r="KD423" s="1007">
        <v>0</v>
      </c>
      <c r="KE423" s="1008"/>
      <c r="KF423" s="1007">
        <v>0</v>
      </c>
      <c r="KG423" s="1008"/>
      <c r="KH423" s="1007">
        <v>0</v>
      </c>
      <c r="KI423" s="1008" t="s">
        <v>207</v>
      </c>
      <c r="KJ423" s="1007">
        <v>-2.923073999999998</v>
      </c>
      <c r="KK423" s="1008"/>
      <c r="KL423" s="1007">
        <v>0</v>
      </c>
      <c r="KM423" s="1008"/>
      <c r="KN423" s="1007">
        <v>0</v>
      </c>
      <c r="KO423" s="1008" t="s">
        <v>240</v>
      </c>
      <c r="KP423" s="1007">
        <v>3.3406559999999992</v>
      </c>
      <c r="KQ423" s="1008" t="s">
        <v>240</v>
      </c>
      <c r="KR423" s="1007">
        <v>-5.5287856799999986</v>
      </c>
      <c r="KS423" s="1008" t="s">
        <v>206</v>
      </c>
      <c r="KT423" s="1007">
        <v>0.9353836799999975</v>
      </c>
      <c r="KU423" s="1008">
        <v>0</v>
      </c>
      <c r="KV423" s="1007">
        <v>0</v>
      </c>
      <c r="KW423" s="1008" t="s">
        <v>204</v>
      </c>
      <c r="KX423" s="1007">
        <v>-2.1860012239999982</v>
      </c>
      <c r="KY423" s="1008" t="s">
        <v>223</v>
      </c>
      <c r="KZ423" s="1007">
        <v>-8.7844087760000029</v>
      </c>
      <c r="LA423" s="1008" t="s">
        <v>223</v>
      </c>
      <c r="LB423" s="1007">
        <v>-20.231199999999994</v>
      </c>
      <c r="LC423" s="1008">
        <v>0</v>
      </c>
      <c r="LD423" s="1007">
        <v>0</v>
      </c>
      <c r="LE423" s="1008">
        <v>0</v>
      </c>
      <c r="LF423" s="1007">
        <v>0</v>
      </c>
      <c r="LG423" s="1008">
        <v>0</v>
      </c>
      <c r="LH423" s="1007">
        <v>0</v>
      </c>
      <c r="LI423" s="1008" t="s">
        <v>25</v>
      </c>
      <c r="LJ423" s="1007">
        <v>49.992799999999995</v>
      </c>
      <c r="LK423" s="1008">
        <v>0</v>
      </c>
      <c r="LL423" s="1007">
        <v>0</v>
      </c>
      <c r="LM423" s="1008">
        <v>0</v>
      </c>
      <c r="LN423" s="1007">
        <v>0</v>
      </c>
      <c r="LO423" s="1008">
        <v>0</v>
      </c>
      <c r="LP423" s="1007">
        <v>0</v>
      </c>
      <c r="LQ423" s="1008">
        <v>0</v>
      </c>
      <c r="LR423" s="1007">
        <v>0</v>
      </c>
      <c r="LS423" s="1008">
        <v>0</v>
      </c>
      <c r="LT423" s="1007">
        <v>0</v>
      </c>
      <c r="LU423" s="1008">
        <v>0</v>
      </c>
      <c r="LV423" s="1007">
        <v>0</v>
      </c>
      <c r="LW423" s="1008">
        <v>0</v>
      </c>
      <c r="LX423" s="1007">
        <v>0</v>
      </c>
      <c r="LY423" s="1009">
        <v>0</v>
      </c>
      <c r="LZ423" s="1010">
        <v>0</v>
      </c>
      <c r="MA423" s="1011">
        <v>0</v>
      </c>
      <c r="MB423" s="1012">
        <v>0</v>
      </c>
      <c r="MC423" s="995"/>
      <c r="MD423" s="996"/>
      <c r="ME423" s="997" t="s">
        <v>202</v>
      </c>
      <c r="MF423" s="997"/>
      <c r="MG423" s="998"/>
      <c r="NR423" s="1000"/>
      <c r="NS423" s="1000"/>
      <c r="NT423" s="1001"/>
      <c r="NU423" s="1000"/>
      <c r="NV423" s="1001"/>
      <c r="NX423" s="1002"/>
      <c r="NZ423" s="1001"/>
      <c r="OA423" s="1001"/>
      <c r="OC423" s="1003"/>
      <c r="OD423" s="1003"/>
      <c r="OE423" s="1001"/>
      <c r="OF423" s="1003"/>
      <c r="OG423" s="1003"/>
      <c r="QX423" s="1000">
        <f>CN423-CA423</f>
        <v>23</v>
      </c>
      <c r="ASU423" s="999" t="s">
        <v>208</v>
      </c>
    </row>
    <row r="424" spans="1:466 1191:1191" ht="21" customHeight="1" x14ac:dyDescent="0.25">
      <c r="A424" s="982">
        <f t="shared" si="323"/>
        <v>1498</v>
      </c>
      <c r="B424" s="124">
        <f>SUBTOTAL(103,$J$29:J424)</f>
        <v>396</v>
      </c>
      <c r="C424" s="126">
        <v>45068</v>
      </c>
      <c r="D424" s="124" t="s">
        <v>176</v>
      </c>
      <c r="E424" s="127" t="s">
        <v>177</v>
      </c>
      <c r="F424" s="128" t="s">
        <v>177</v>
      </c>
      <c r="G424" s="127" t="s">
        <v>178</v>
      </c>
      <c r="H424" s="127" t="s">
        <v>179</v>
      </c>
      <c r="I424" s="127" t="s">
        <v>1616</v>
      </c>
      <c r="J424" s="152">
        <v>1498</v>
      </c>
      <c r="K424" s="127" t="s">
        <v>1616</v>
      </c>
      <c r="L424" s="130">
        <v>43258</v>
      </c>
      <c r="M424" s="127" t="s">
        <v>230</v>
      </c>
      <c r="N424" s="127" t="s">
        <v>184</v>
      </c>
      <c r="O424" s="127" t="s">
        <v>185</v>
      </c>
      <c r="P424" s="127" t="s">
        <v>292</v>
      </c>
      <c r="Q424" s="85">
        <f t="shared" si="319"/>
        <v>-4</v>
      </c>
      <c r="R424" s="130">
        <v>43005</v>
      </c>
      <c r="S424" s="128" t="s">
        <v>747</v>
      </c>
      <c r="T424" s="131" t="s">
        <v>1294</v>
      </c>
      <c r="U424" s="132">
        <v>203</v>
      </c>
      <c r="V424" s="121">
        <v>218.2</v>
      </c>
      <c r="W424" s="116">
        <v>0.98</v>
      </c>
      <c r="X424" s="116">
        <v>1.66</v>
      </c>
      <c r="Y424" s="116">
        <f t="shared" si="299"/>
        <v>0.98</v>
      </c>
      <c r="Z424" s="133">
        <v>1.454</v>
      </c>
      <c r="AA424" s="133">
        <v>0.83599999999999997</v>
      </c>
      <c r="AB424" s="133">
        <v>0.72</v>
      </c>
      <c r="AC424" s="121">
        <v>34.299999999999997</v>
      </c>
      <c r="AD424" s="134">
        <v>1.17</v>
      </c>
      <c r="AE424" s="124">
        <v>177.8</v>
      </c>
      <c r="AF424" s="128">
        <v>9.19</v>
      </c>
      <c r="AG424" s="128">
        <v>2970</v>
      </c>
      <c r="AH424" s="127">
        <v>2967</v>
      </c>
      <c r="AI424" s="127">
        <v>2967</v>
      </c>
      <c r="AJ424" s="135"/>
      <c r="AK424" s="128"/>
      <c r="AL424" s="131"/>
      <c r="AM424" s="124" t="s">
        <v>985</v>
      </c>
      <c r="AN424" s="136" t="s">
        <v>1623</v>
      </c>
      <c r="AO424" s="137">
        <v>52.6400000000001</v>
      </c>
      <c r="AP424" s="128">
        <v>2146.23</v>
      </c>
      <c r="AQ424" s="128">
        <v>326</v>
      </c>
      <c r="AR424" s="128" t="s">
        <v>1624</v>
      </c>
      <c r="AS424" s="128">
        <v>114</v>
      </c>
      <c r="AT424" s="122">
        <v>7.37</v>
      </c>
      <c r="AU424" s="124" t="s">
        <v>189</v>
      </c>
      <c r="AV424" s="115">
        <f>VLOOKUP(J424,'[63]ТР нефть'!$J$28:$BP$638,39,0)</f>
        <v>440.00000800800001</v>
      </c>
      <c r="AW424" s="115" t="str">
        <f>VLOOKUP(J424,'[63]ТР нефть'!$J$28:$BP$638,40,0)</f>
        <v>ГП</v>
      </c>
      <c r="AX424" s="115">
        <f>VLOOKUP(J424,'[63]ТР нефть'!$J$28:$BP$638,41,0)</f>
        <v>790.00000253899998</v>
      </c>
      <c r="AY424" s="115" t="str">
        <f>VLOOKUP(J424,'[63]ТР нефть'!$J$28:$BP$638,42,0)</f>
        <v>ГП</v>
      </c>
      <c r="AZ424" s="115">
        <f>VLOOKUP(J424,'[63]ТР нефть'!$J$28:$BP$638,43,0)</f>
        <v>1084.9999681639999</v>
      </c>
      <c r="BA424" s="115" t="str">
        <f>VLOOKUP(J424,'[63]ТР нефть'!$J$28:$BP$638,44,0)</f>
        <v>ГП</v>
      </c>
      <c r="BB424" s="115">
        <f>VLOOKUP(J424,'[63]ТР нефть'!$J$28:$BP$638,45,0)</f>
        <v>1324.999979297</v>
      </c>
      <c r="BC424" s="115" t="str">
        <f>VLOOKUP(J424,'[63]ТР нефть'!$J$28:$BP$638,46,0)</f>
        <v>ГП</v>
      </c>
      <c r="BD424" s="115">
        <f>VLOOKUP(J424,'[63]ТР нефть'!$J$28:$BP$638,47,0)</f>
        <v>1530.0000058590001</v>
      </c>
      <c r="BE424" s="115" t="str">
        <f>VLOOKUP(J424,'[63]ТР нефть'!$J$28:$BP$638,48,0)</f>
        <v>ГК84 1/8</v>
      </c>
      <c r="BF424" s="115">
        <f>VLOOKUP(J424,'[63]ТР нефть'!$J$28:$BP$638,49,0)</f>
        <v>1730</v>
      </c>
      <c r="BG424" s="115" t="str">
        <f>VLOOKUP(J424,'[63]ТР нефть'!$J$28:$BP$638,50,0)</f>
        <v>ЦКсОК 5/16</v>
      </c>
      <c r="BH424" s="115">
        <f>VLOOKUP(J424,'[63]ТР нефть'!$J$28:$BP$638,51,0)</f>
        <v>1760</v>
      </c>
      <c r="BI424" s="115" t="str">
        <f>VLOOKUP(J424,'[63]ТР нефть'!$J$28:$BP$638,52,0)</f>
        <v>закрыт</v>
      </c>
      <c r="BJ424" s="115" t="str">
        <f>IF(IFERROR(VLOOKUP(J424,'[63]ТР нефть'!$J$28:$BP$638,53,0),"-")=0,"-",IFERROR(VLOOKUP(J424,'[63]ТР нефть'!$J$28:$BP$638,53,0),"-"))</f>
        <v>-</v>
      </c>
      <c r="BK424" s="138" t="str">
        <f>IF(IFERROR(VLOOKUP(J424,'[63]ТР нефть'!$J$28:$BP$638,54,0),"-")=0,"-",IFERROR(VLOOKUP(J424,'[63]ТР нефть'!$J$28:$BP$638,54,0),"-"))</f>
        <v>-</v>
      </c>
      <c r="BL424" s="138" t="str">
        <f>IF(IFERROR(VLOOKUP(J424,'[63]ТР нефть'!$J$28:$BP$638,55,0),"-")=0,"-",IFERROR(VLOOKUP(J424,'[63]ТР нефть'!$J$28:$BP$638,55,0),"-"))</f>
        <v>-</v>
      </c>
      <c r="BM424" s="138" t="str">
        <f>IF(IFERROR(VLOOKUP(J424,'[63]ТР нефть'!$J$28:$BP$638,56,0),"-")=0,"-",IFERROR(VLOOKUP(J424,'[63]ТР нефть'!$J$28:$BP$638,56,0),"-"))</f>
        <v>-</v>
      </c>
      <c r="BN424" s="138" t="str">
        <f>IF(IFERROR(VLOOKUP(J424,'[63]ТР нефть'!$J$28:$BP$638,57,0),"-")=0,"-",IFERROR(VLOOKUP(J424,'[63]ТР нефть'!$J$28:$BP$638,57,0),"-"))</f>
        <v>-</v>
      </c>
      <c r="BO424" s="115" t="str">
        <f>IF(IFERROR(VLOOKUP(J424,'[63]ТР нефть'!$J$28:$BP$638,58,0),"-")=0,"-",IFERROR(VLOOKUP(J424,'[63]ТР нефть'!$J$28:$BP$638,58,0),"-"))</f>
        <v>-</v>
      </c>
      <c r="BP424" s="115" t="str">
        <f>IF(IFERROR(VLOOKUP(J424,'[63]ТР нефть'!$J$28:$BP$638,59,0),"-")=0,"-",IFERROR(VLOOKUP(J424,'[63]ТР нефть'!$J$28:$BP$638,59,0),"-"))</f>
        <v>-</v>
      </c>
      <c r="BQ424" s="138">
        <v>1782</v>
      </c>
      <c r="BR424" s="128">
        <v>1602.1</v>
      </c>
      <c r="BS424" s="115">
        <f t="shared" si="340"/>
        <v>179.90000000000009</v>
      </c>
      <c r="BT424" s="128">
        <v>73</v>
      </c>
      <c r="BU424" s="128">
        <v>5.5</v>
      </c>
      <c r="BV424" s="127">
        <v>65</v>
      </c>
      <c r="BW424" s="127" t="s">
        <v>217</v>
      </c>
      <c r="BX424" s="127" t="s">
        <v>195</v>
      </c>
      <c r="BY424" s="139">
        <v>24</v>
      </c>
      <c r="BZ424" s="139">
        <v>0</v>
      </c>
      <c r="CA424" s="80">
        <v>26</v>
      </c>
      <c r="CB424" s="138">
        <v>38</v>
      </c>
      <c r="CC424" s="138">
        <v>25</v>
      </c>
      <c r="CD424" s="135">
        <v>45017</v>
      </c>
      <c r="CE424" s="138">
        <v>83.7</v>
      </c>
      <c r="CF424" s="138">
        <v>73</v>
      </c>
      <c r="CG424" s="138" t="str">
        <f t="shared" si="310"/>
        <v>В работе</v>
      </c>
      <c r="CH424" s="138" t="s">
        <v>196</v>
      </c>
      <c r="CI424" s="127"/>
      <c r="CJ424" s="138"/>
      <c r="CK424" s="138">
        <f t="shared" si="308"/>
        <v>34</v>
      </c>
      <c r="CL424" s="99"/>
      <c r="CM424" s="99"/>
      <c r="CN424" s="140">
        <v>60</v>
      </c>
      <c r="CO424" s="141">
        <f t="shared" si="324"/>
        <v>5.96068</v>
      </c>
      <c r="CP424" s="142">
        <v>7.13</v>
      </c>
      <c r="CQ424" s="143">
        <v>0</v>
      </c>
      <c r="CR424" s="138">
        <v>9.6999999999999993</v>
      </c>
      <c r="CS424" s="139">
        <v>7.2</v>
      </c>
      <c r="CT424" s="138"/>
      <c r="CU424" s="138">
        <f t="shared" si="320"/>
        <v>2.4999999999999991</v>
      </c>
      <c r="CV424" s="115">
        <f t="shared" si="321"/>
        <v>419.41523450344579</v>
      </c>
      <c r="CW424" s="115">
        <f t="shared" si="325"/>
        <v>1207.9158753699242</v>
      </c>
      <c r="CX424" s="133">
        <f t="shared" si="322"/>
        <v>0.30084388185654004</v>
      </c>
      <c r="CY424" s="116"/>
      <c r="CZ424" s="131"/>
      <c r="DA424" s="145" t="str">
        <f t="shared" si="326"/>
        <v>Газлифт</v>
      </c>
      <c r="DB424" s="146">
        <f t="shared" si="341"/>
        <v>5.96068</v>
      </c>
      <c r="DC424" s="142">
        <f t="shared" si="342"/>
        <v>7.13</v>
      </c>
      <c r="DD424" s="119">
        <f t="shared" si="303"/>
        <v>0</v>
      </c>
      <c r="DE424" s="115">
        <f t="shared" si="343"/>
        <v>2.4999999999999991</v>
      </c>
      <c r="DF424" s="121">
        <f t="shared" si="328"/>
        <v>7.2</v>
      </c>
      <c r="DG424" s="115">
        <f t="shared" si="329"/>
        <v>419.41523450344579</v>
      </c>
      <c r="DH424" s="115">
        <f t="shared" si="330"/>
        <v>60</v>
      </c>
      <c r="DI424" s="147"/>
      <c r="DJ424" s="111" t="s">
        <v>197</v>
      </c>
      <c r="DK424" s="112">
        <v>43258</v>
      </c>
      <c r="DL424" s="113">
        <f t="shared" ca="1" si="312"/>
        <v>1846</v>
      </c>
      <c r="DM424" s="114"/>
      <c r="DN424" s="114"/>
      <c r="DO424" s="114"/>
      <c r="DP424" s="114"/>
      <c r="DQ424" s="112">
        <v>43258</v>
      </c>
      <c r="DR424" s="114" t="s">
        <v>324</v>
      </c>
      <c r="DS424" s="114"/>
      <c r="DT424" s="115">
        <v>47</v>
      </c>
      <c r="DU424" s="116">
        <f t="shared" si="313"/>
        <v>0.27708703773119453</v>
      </c>
      <c r="DV424" s="117">
        <f t="shared" si="314"/>
        <v>8.5013628220383257</v>
      </c>
      <c r="DW424" s="118">
        <f t="shared" si="315"/>
        <v>10.16909428473484</v>
      </c>
      <c r="DX424" s="119">
        <f t="shared" si="331"/>
        <v>0</v>
      </c>
      <c r="DY424" s="115">
        <f t="shared" si="316"/>
        <v>3.5656010816040804</v>
      </c>
      <c r="DZ424" s="117">
        <f t="shared" si="317"/>
        <v>2.5406828220383257</v>
      </c>
      <c r="EA424" s="120">
        <f t="shared" si="317"/>
        <v>3.0390942847348397</v>
      </c>
      <c r="EB424" s="119">
        <f t="shared" si="317"/>
        <v>0</v>
      </c>
      <c r="EC424" s="121">
        <f t="shared" si="318"/>
        <v>1.0656010816040813</v>
      </c>
      <c r="ED424" s="122"/>
      <c r="EE424" s="145">
        <v>65</v>
      </c>
      <c r="EF424" s="148">
        <v>26</v>
      </c>
      <c r="EG424" s="115">
        <v>38</v>
      </c>
      <c r="EH424" s="115">
        <v>25</v>
      </c>
      <c r="EI424" s="128" t="s">
        <v>195</v>
      </c>
      <c r="EJ424" s="121">
        <v>24</v>
      </c>
      <c r="EK424" s="121">
        <v>0</v>
      </c>
      <c r="EL424" s="149">
        <v>5.96068</v>
      </c>
      <c r="EM424" s="142">
        <v>7.13</v>
      </c>
      <c r="EN424" s="119">
        <v>0</v>
      </c>
      <c r="EO424" s="115">
        <v>9.6999999999999993</v>
      </c>
      <c r="EP424" s="115">
        <v>419.41523450344579</v>
      </c>
      <c r="EQ424" s="115">
        <v>73</v>
      </c>
      <c r="ER424" s="115">
        <v>7.2</v>
      </c>
      <c r="ES424" s="115">
        <v>60</v>
      </c>
      <c r="ET424" s="150">
        <v>0.30084388185654004</v>
      </c>
      <c r="EU424" s="145">
        <f t="shared" si="332"/>
        <v>65</v>
      </c>
      <c r="EV424" s="115">
        <f t="shared" si="333"/>
        <v>26</v>
      </c>
      <c r="EW424" s="115">
        <f t="shared" si="333"/>
        <v>38</v>
      </c>
      <c r="EX424" s="115">
        <f t="shared" si="333"/>
        <v>25</v>
      </c>
      <c r="EY424" s="115" t="str">
        <f t="shared" si="309"/>
        <v>Постоянный</v>
      </c>
      <c r="EZ424" s="115">
        <f t="shared" si="309"/>
        <v>24</v>
      </c>
      <c r="FA424" s="115">
        <f t="shared" si="309"/>
        <v>0</v>
      </c>
      <c r="FB424" s="149">
        <f t="shared" si="298"/>
        <v>5.96068</v>
      </c>
      <c r="FC424" s="142">
        <f t="shared" si="298"/>
        <v>7.13</v>
      </c>
      <c r="FD424" s="119">
        <f t="shared" si="298"/>
        <v>0</v>
      </c>
      <c r="FE424" s="121">
        <f t="shared" si="298"/>
        <v>9.6999999999999993</v>
      </c>
      <c r="FF424" s="121">
        <f t="shared" si="300"/>
        <v>419.41523450344579</v>
      </c>
      <c r="FG424" s="121">
        <f t="shared" si="334"/>
        <v>73</v>
      </c>
      <c r="FH424" s="121">
        <f t="shared" si="301"/>
        <v>7.2</v>
      </c>
      <c r="FI424" s="121">
        <f t="shared" si="306"/>
        <v>60</v>
      </c>
      <c r="FJ424" s="144">
        <f t="shared" si="335"/>
        <v>0.30084388185654004</v>
      </c>
      <c r="FK424" s="132">
        <f t="shared" si="336"/>
        <v>0</v>
      </c>
      <c r="FL424" s="115">
        <f t="shared" si="336"/>
        <v>0</v>
      </c>
      <c r="FM424" s="115">
        <f t="shared" si="336"/>
        <v>0</v>
      </c>
      <c r="FN424" s="115">
        <f t="shared" si="336"/>
        <v>0</v>
      </c>
      <c r="FO424" s="115">
        <f t="shared" si="311"/>
        <v>0</v>
      </c>
      <c r="FP424" s="115">
        <f t="shared" si="311"/>
        <v>0</v>
      </c>
      <c r="FQ424" s="149">
        <f t="shared" si="311"/>
        <v>0</v>
      </c>
      <c r="FR424" s="142">
        <f t="shared" si="311"/>
        <v>0</v>
      </c>
      <c r="FS424" s="119">
        <f t="shared" si="311"/>
        <v>0</v>
      </c>
      <c r="FT424" s="121">
        <f t="shared" si="311"/>
        <v>0</v>
      </c>
      <c r="FU424" s="121">
        <f t="shared" si="337"/>
        <v>0</v>
      </c>
      <c r="FV424" s="121">
        <f t="shared" si="337"/>
        <v>0</v>
      </c>
      <c r="FW424" s="121">
        <f t="shared" si="338"/>
        <v>0</v>
      </c>
      <c r="FX424" s="121">
        <f t="shared" si="339"/>
        <v>0</v>
      </c>
      <c r="FY424" s="144">
        <f t="shared" si="339"/>
        <v>0</v>
      </c>
      <c r="FZ424" s="145"/>
      <c r="GA424" s="125"/>
      <c r="GB424" s="145" t="s">
        <v>221</v>
      </c>
      <c r="GC424" s="125" t="s">
        <v>780</v>
      </c>
      <c r="GD424" s="997" t="s">
        <v>202</v>
      </c>
      <c r="GE424" s="1004" t="s">
        <v>221</v>
      </c>
      <c r="GF424" s="1004">
        <v>1.5274973999999997</v>
      </c>
      <c r="GG424" s="1004"/>
      <c r="GH424" s="1004">
        <v>0</v>
      </c>
      <c r="GI424" s="145"/>
      <c r="GJ424" s="996">
        <v>0</v>
      </c>
      <c r="GK424" s="145"/>
      <c r="GL424" s="996">
        <v>0</v>
      </c>
      <c r="GM424" s="1005"/>
      <c r="GN424" s="996">
        <v>0</v>
      </c>
      <c r="GO424" s="1006"/>
      <c r="GP424" s="996">
        <v>0</v>
      </c>
      <c r="GQ424" s="1006"/>
      <c r="GR424" s="996">
        <v>0.70462260000000043</v>
      </c>
      <c r="GS424" s="1006"/>
      <c r="GT424" s="996">
        <v>0</v>
      </c>
      <c r="GU424" s="1006"/>
      <c r="GV424" s="996">
        <v>-0.78584000000000032</v>
      </c>
      <c r="GW424" s="1006"/>
      <c r="GX424" s="996">
        <v>0</v>
      </c>
      <c r="GY424" s="1006" t="s">
        <v>204</v>
      </c>
      <c r="GZ424" s="996">
        <v>-3.9445823999999998</v>
      </c>
      <c r="HA424" s="1006" t="s">
        <v>199</v>
      </c>
      <c r="HB424" s="996">
        <v>2.6069824000000006</v>
      </c>
      <c r="HC424" s="1006"/>
      <c r="HD424" s="996">
        <v>0</v>
      </c>
      <c r="HE424" s="1006"/>
      <c r="HF424" s="996">
        <v>0.35111999999999988</v>
      </c>
      <c r="HG424" s="1006" t="s">
        <v>199</v>
      </c>
      <c r="HH424" s="996">
        <v>0.98647999999999936</v>
      </c>
      <c r="HI424" s="1006" t="s">
        <v>199</v>
      </c>
      <c r="HJ424" s="996">
        <v>-1.0031999999999996</v>
      </c>
      <c r="HK424" s="1006"/>
      <c r="HL424" s="996">
        <v>3.3105600000009616E-3</v>
      </c>
      <c r="HM424" s="1006"/>
      <c r="HN424" s="996">
        <v>3.3419935999999595E-2</v>
      </c>
      <c r="HO424" s="1006"/>
      <c r="HP424" s="996">
        <v>0</v>
      </c>
      <c r="HQ424" s="1006"/>
      <c r="HR424" s="996">
        <v>0</v>
      </c>
      <c r="HS424" s="1006"/>
      <c r="HT424" s="996">
        <v>0</v>
      </c>
      <c r="HU424" s="1006" t="s">
        <v>199</v>
      </c>
      <c r="HV424" s="996">
        <v>-1.8715164160000004</v>
      </c>
      <c r="HW424" s="1006"/>
      <c r="HX424" s="996">
        <v>-0.24229453599999928</v>
      </c>
      <c r="HY424" s="1006"/>
      <c r="HZ424" s="996">
        <v>0</v>
      </c>
      <c r="IA424" s="1006"/>
      <c r="IB424" s="996">
        <v>-3.2843096000000571E-2</v>
      </c>
      <c r="IC424" s="1006"/>
      <c r="ID424" s="996">
        <v>-0.73247644799999989</v>
      </c>
      <c r="IE424" s="1006"/>
      <c r="IF424" s="996">
        <v>0</v>
      </c>
      <c r="IG424" s="1006"/>
      <c r="IH424" s="996">
        <v>-0.40127999999999986</v>
      </c>
      <c r="II424" s="1006"/>
      <c r="IJ424" s="996">
        <v>-0.8360000000000003</v>
      </c>
      <c r="IK424" s="1006"/>
      <c r="IL424" s="996">
        <v>0</v>
      </c>
      <c r="IM424" s="1006"/>
      <c r="IN424" s="996">
        <v>0.19886349999999986</v>
      </c>
      <c r="IO424" s="1006"/>
      <c r="IP424" s="996">
        <v>-0.17543710800000056</v>
      </c>
      <c r="IQ424" s="1006"/>
      <c r="IR424" s="996">
        <v>-0.45112399199999942</v>
      </c>
      <c r="IS424" s="1006"/>
      <c r="IT424" s="996">
        <v>0.82897759999999998</v>
      </c>
      <c r="IU424" s="1006" t="s">
        <v>199</v>
      </c>
      <c r="IV424" s="996">
        <v>-1.6720000000000006</v>
      </c>
      <c r="IW424" s="1006"/>
      <c r="IX424" s="996">
        <v>0</v>
      </c>
      <c r="IY424" s="1006"/>
      <c r="IZ424" s="996">
        <v>0</v>
      </c>
      <c r="JA424" s="1006" t="s">
        <v>223</v>
      </c>
      <c r="JB424" s="996">
        <v>-5.3296671999999976</v>
      </c>
      <c r="JC424" s="1006"/>
      <c r="JD424" s="996">
        <v>0</v>
      </c>
      <c r="JE424" s="1006"/>
      <c r="JF424" s="996">
        <v>0</v>
      </c>
      <c r="JG424" s="1006"/>
      <c r="JH424" s="996">
        <v>0</v>
      </c>
      <c r="JI424" s="1006"/>
      <c r="JJ424" s="996">
        <v>0</v>
      </c>
      <c r="JK424" s="1007" t="s">
        <v>199</v>
      </c>
      <c r="JL424" s="1007">
        <v>-2.1943328000000015</v>
      </c>
      <c r="JM424" s="1007"/>
      <c r="JN424" s="1007">
        <v>0</v>
      </c>
      <c r="JO424" s="1008"/>
      <c r="JP424" s="1007">
        <v>0</v>
      </c>
      <c r="JQ424" s="1008" t="s">
        <v>199</v>
      </c>
      <c r="JR424" s="1007">
        <v>3.3439999999999994</v>
      </c>
      <c r="JS424" s="1008">
        <v>0</v>
      </c>
      <c r="JT424" s="1007">
        <v>0</v>
      </c>
      <c r="JU424" s="1008" t="s">
        <v>199</v>
      </c>
      <c r="JV424" s="1007">
        <v>-5.8519999999999985</v>
      </c>
      <c r="JW424" s="1008" t="s">
        <v>197</v>
      </c>
      <c r="JX424" s="1007">
        <v>0</v>
      </c>
      <c r="JY424" s="1008"/>
      <c r="JZ424" s="1007">
        <v>0</v>
      </c>
      <c r="KA424" s="1008" t="s">
        <v>240</v>
      </c>
      <c r="KB424" s="1007">
        <v>-1.6720000000000006</v>
      </c>
      <c r="KC424" s="1008" t="s">
        <v>240</v>
      </c>
      <c r="KD424" s="1007">
        <v>-2.5079999999999991</v>
      </c>
      <c r="KE424" s="1008"/>
      <c r="KF424" s="1007">
        <v>0</v>
      </c>
      <c r="KG424" s="1008"/>
      <c r="KH424" s="1007">
        <v>0</v>
      </c>
      <c r="KI424" s="1008"/>
      <c r="KJ424" s="1007">
        <v>0</v>
      </c>
      <c r="KK424" s="1008" t="s">
        <v>203</v>
      </c>
      <c r="KL424" s="1007">
        <v>-22.572000000000003</v>
      </c>
      <c r="KM424" s="1008"/>
      <c r="KN424" s="1007">
        <v>0</v>
      </c>
      <c r="KO424" s="1008" t="s">
        <v>204</v>
      </c>
      <c r="KP424" s="1007">
        <v>0.6520800000000051</v>
      </c>
      <c r="KQ424" s="1008">
        <v>0</v>
      </c>
      <c r="KR424" s="1007">
        <v>0</v>
      </c>
      <c r="KS424" s="1008">
        <v>0</v>
      </c>
      <c r="KT424" s="1007">
        <v>0</v>
      </c>
      <c r="KU424" s="1008">
        <v>0</v>
      </c>
      <c r="KV424" s="1007">
        <v>0</v>
      </c>
      <c r="KW424" s="1008">
        <v>0</v>
      </c>
      <c r="KX424" s="1007">
        <v>0</v>
      </c>
      <c r="KY424" s="1008">
        <v>0</v>
      </c>
      <c r="KZ424" s="1007">
        <v>0</v>
      </c>
      <c r="LA424" s="1008">
        <v>0</v>
      </c>
      <c r="LB424" s="1007">
        <v>0</v>
      </c>
      <c r="LC424" s="1008">
        <v>0</v>
      </c>
      <c r="LD424" s="1007">
        <v>0</v>
      </c>
      <c r="LE424" s="1008">
        <v>0</v>
      </c>
      <c r="LF424" s="1007">
        <v>0</v>
      </c>
      <c r="LG424" s="1008">
        <v>0</v>
      </c>
      <c r="LH424" s="1007">
        <v>0</v>
      </c>
      <c r="LI424" s="1008">
        <v>0</v>
      </c>
      <c r="LJ424" s="1007">
        <v>0</v>
      </c>
      <c r="LK424" s="1008">
        <v>0</v>
      </c>
      <c r="LL424" s="1007">
        <v>0</v>
      </c>
      <c r="LM424" s="1008">
        <v>0</v>
      </c>
      <c r="LN424" s="1007">
        <v>0</v>
      </c>
      <c r="LO424" s="1008">
        <v>0</v>
      </c>
      <c r="LP424" s="1007">
        <v>0</v>
      </c>
      <c r="LQ424" s="1008">
        <v>0</v>
      </c>
      <c r="LR424" s="1007">
        <v>0</v>
      </c>
      <c r="LS424" s="1008">
        <v>0</v>
      </c>
      <c r="LT424" s="1007">
        <v>0</v>
      </c>
      <c r="LU424" s="1008">
        <v>0</v>
      </c>
      <c r="LV424" s="1007">
        <v>0</v>
      </c>
      <c r="LW424" s="1008">
        <v>0</v>
      </c>
      <c r="LX424" s="1007">
        <v>0</v>
      </c>
      <c r="LY424" s="1009">
        <v>0</v>
      </c>
      <c r="LZ424" s="1010">
        <v>0</v>
      </c>
      <c r="MA424" s="1011">
        <v>0</v>
      </c>
      <c r="MB424" s="1012">
        <v>0</v>
      </c>
      <c r="MC424" s="995"/>
      <c r="MD424" s="996"/>
      <c r="ME424" s="997" t="s">
        <v>202</v>
      </c>
      <c r="MF424" s="997"/>
      <c r="MG424" s="998"/>
      <c r="NR424" s="1000"/>
      <c r="NS424" s="1000"/>
      <c r="NT424" s="1001"/>
      <c r="NU424" s="1000"/>
      <c r="NV424" s="1001"/>
      <c r="NX424" s="1002"/>
      <c r="NZ424" s="1001"/>
      <c r="OA424" s="1001"/>
      <c r="OC424" s="1003"/>
      <c r="OD424" s="1003"/>
      <c r="OE424" s="1001"/>
      <c r="OF424" s="1003"/>
      <c r="OG424" s="1003"/>
      <c r="QX424" s="1000">
        <f>CN424-CA424</f>
        <v>34</v>
      </c>
      <c r="ASU424" s="999" t="s">
        <v>208</v>
      </c>
    </row>
    <row r="425" spans="1:466 1191:1191" ht="21" customHeight="1" x14ac:dyDescent="0.25">
      <c r="A425" s="982">
        <f t="shared" si="323"/>
        <v>1499</v>
      </c>
      <c r="B425" s="124">
        <f>SUBTOTAL(103,$J$29:J425)</f>
        <v>397</v>
      </c>
      <c r="C425" s="126">
        <v>45068</v>
      </c>
      <c r="D425" s="124" t="s">
        <v>176</v>
      </c>
      <c r="E425" s="127" t="s">
        <v>177</v>
      </c>
      <c r="F425" s="128" t="s">
        <v>177</v>
      </c>
      <c r="G425" s="127" t="s">
        <v>178</v>
      </c>
      <c r="H425" s="127" t="s">
        <v>179</v>
      </c>
      <c r="I425" s="127" t="s">
        <v>1518</v>
      </c>
      <c r="J425" s="152">
        <v>1499</v>
      </c>
      <c r="K425" s="127" t="s">
        <v>1518</v>
      </c>
      <c r="L425" s="130">
        <v>44055</v>
      </c>
      <c r="M425" s="127" t="s">
        <v>230</v>
      </c>
      <c r="N425" s="127" t="s">
        <v>184</v>
      </c>
      <c r="O425" s="127" t="s">
        <v>185</v>
      </c>
      <c r="P425" s="127" t="s">
        <v>186</v>
      </c>
      <c r="Q425" s="85" t="str">
        <f t="shared" si="319"/>
        <v/>
      </c>
      <c r="R425" s="130"/>
      <c r="S425" s="128"/>
      <c r="T425" s="131"/>
      <c r="U425" s="132">
        <v>203</v>
      </c>
      <c r="V425" s="121">
        <v>218.2</v>
      </c>
      <c r="W425" s="116">
        <v>0.98</v>
      </c>
      <c r="X425" s="116">
        <v>1.66</v>
      </c>
      <c r="Y425" s="116">
        <f t="shared" si="299"/>
        <v>0.98096441803025625</v>
      </c>
      <c r="Z425" s="133">
        <v>1.454</v>
      </c>
      <c r="AA425" s="133">
        <v>0.83599999999999997</v>
      </c>
      <c r="AB425" s="133">
        <v>0.72</v>
      </c>
      <c r="AC425" s="121">
        <v>34.299999999999997</v>
      </c>
      <c r="AD425" s="134">
        <v>1.17</v>
      </c>
      <c r="AE425" s="124">
        <v>177.8</v>
      </c>
      <c r="AF425" s="128">
        <v>9.19</v>
      </c>
      <c r="AG425" s="128">
        <v>2310.8000000000002</v>
      </c>
      <c r="AH425" s="138">
        <v>2838.5</v>
      </c>
      <c r="AI425" s="138">
        <v>2838.5</v>
      </c>
      <c r="AJ425" s="135"/>
      <c r="AK425" s="128"/>
      <c r="AL425" s="131"/>
      <c r="AM425" s="124" t="s">
        <v>187</v>
      </c>
      <c r="AN425" s="136" t="s">
        <v>1625</v>
      </c>
      <c r="AO425" s="137">
        <v>44.12</v>
      </c>
      <c r="AP425" s="128">
        <v>2358.94</v>
      </c>
      <c r="AQ425" s="128">
        <f>2358.94-1684.2-124.2</f>
        <v>550.54</v>
      </c>
      <c r="AR425" s="128"/>
      <c r="AS425" s="128"/>
      <c r="AT425" s="122"/>
      <c r="AU425" s="124" t="s">
        <v>189</v>
      </c>
      <c r="AV425" s="115">
        <f>VLOOKUP(J425,'[63]ТР нефть'!$J$28:$BP$638,39,0)</f>
        <v>515.99998300799996</v>
      </c>
      <c r="AW425" s="115" t="str">
        <f>VLOOKUP(J425,'[63]ТР нефть'!$J$28:$BP$638,40,0)</f>
        <v>ГК75 1/8</v>
      </c>
      <c r="AX425" s="115">
        <f>VLOOKUP(J425,'[63]ТР нефть'!$J$28:$BP$638,41,0)</f>
        <v>998.00003203100005</v>
      </c>
      <c r="AY425" s="115" t="str">
        <f>VLOOKUP(J425,'[63]ТР нефть'!$J$28:$BP$638,42,0)</f>
        <v>ГК76 1/8</v>
      </c>
      <c r="AZ425" s="115">
        <f>VLOOKUP(J425,'[63]ТР нефть'!$J$28:$BP$638,43,0)</f>
        <v>1372.0000500000001</v>
      </c>
      <c r="BA425" s="115" t="str">
        <f>VLOOKUP(J425,'[63]ТР нефть'!$J$28:$BP$638,44,0)</f>
        <v>ГК77 1/8</v>
      </c>
      <c r="BB425" s="115">
        <f>VLOOKUP(J425,'[63]ТР нефть'!$J$28:$BP$638,45,0)</f>
        <v>1648.999998047</v>
      </c>
      <c r="BC425" s="115" t="str">
        <f>VLOOKUP(J425,'[63]ТР нефть'!$J$28:$BP$638,46,0)</f>
        <v>ГК77 5/32</v>
      </c>
      <c r="BD425" s="115">
        <f>VLOOKUP(J425,'[63]ТР нефть'!$J$28:$BP$638,47,0)</f>
        <v>1849.9999710940001</v>
      </c>
      <c r="BE425" s="115" t="str">
        <f>VLOOKUP(J425,'[63]ТР нефть'!$J$28:$BP$638,48,0)</f>
        <v>ЦКсОК 5/16</v>
      </c>
      <c r="BF425" s="115" t="str">
        <f>VLOOKUP(J425,'[63]ТР нефть'!$J$28:$BP$638,49,0)</f>
        <v>-</v>
      </c>
      <c r="BG425" s="115" t="str">
        <f>VLOOKUP(J425,'[63]ТР нефть'!$J$28:$BP$638,50,0)</f>
        <v>-</v>
      </c>
      <c r="BH425" s="115">
        <f>VLOOKUP(J425,'[63]ТР нефть'!$J$28:$BP$638,51,0)</f>
        <v>1870</v>
      </c>
      <c r="BI425" s="115" t="str">
        <f>VLOOKUP(J425,'[63]ТР нефть'!$J$28:$BP$638,52,0)</f>
        <v>закрыт</v>
      </c>
      <c r="BJ425" s="115" t="str">
        <f>IF(IFERROR(VLOOKUP(J425,'[63]ТР нефть'!$J$28:$BP$638,53,0),"-")=0,"-",IFERROR(VLOOKUP(J425,'[63]ТР нефть'!$J$28:$BP$638,53,0),"-"))</f>
        <v>-</v>
      </c>
      <c r="BK425" s="138" t="str">
        <f>IF(IFERROR(VLOOKUP(J425,'[63]ТР нефть'!$J$28:$BP$638,54,0),"-")=0,"-",IFERROR(VLOOKUP(J425,'[63]ТР нефть'!$J$28:$BP$638,54,0),"-"))</f>
        <v>-</v>
      </c>
      <c r="BL425" s="138" t="str">
        <f>IF(IFERROR(VLOOKUP(J425,'[63]ТР нефть'!$J$28:$BP$638,55,0),"-")=0,"-",IFERROR(VLOOKUP(J425,'[63]ТР нефть'!$J$28:$BP$638,55,0),"-"))</f>
        <v>-</v>
      </c>
      <c r="BM425" s="138" t="str">
        <f>IF(IFERROR(VLOOKUP(J425,'[63]ТР нефть'!$J$28:$BP$638,56,0),"-")=0,"-",IFERROR(VLOOKUP(J425,'[63]ТР нефть'!$J$28:$BP$638,56,0),"-"))</f>
        <v>-</v>
      </c>
      <c r="BN425" s="138" t="str">
        <f>IF(IFERROR(VLOOKUP(J425,'[63]ТР нефть'!$J$28:$BP$638,57,0),"-")=0,"-",IFERROR(VLOOKUP(J425,'[63]ТР нефть'!$J$28:$BP$638,57,0),"-"))</f>
        <v>-</v>
      </c>
      <c r="BO425" s="115" t="str">
        <f>IF(IFERROR(VLOOKUP(J425,'[63]ТР нефть'!$J$28:$BP$638,58,0),"-")=0,"-",IFERROR(VLOOKUP(J425,'[63]ТР нефть'!$J$28:$BP$638,58,0),"-"))</f>
        <v>-</v>
      </c>
      <c r="BP425" s="115" t="str">
        <f>IF(IFERROR(VLOOKUP(J425,'[63]ТР нефть'!$J$28:$BP$638,59,0),"-")=0,"-",IFERROR(VLOOKUP(J425,'[63]ТР нефть'!$J$28:$BP$638,59,0),"-"))</f>
        <v>-</v>
      </c>
      <c r="BQ425" s="138">
        <v>2260</v>
      </c>
      <c r="BR425" s="128">
        <f>1667.43+124.2</f>
        <v>1791.63</v>
      </c>
      <c r="BS425" s="115">
        <f t="shared" si="340"/>
        <v>468.36999999999989</v>
      </c>
      <c r="BT425" s="128">
        <v>73</v>
      </c>
      <c r="BU425" s="128">
        <v>5.5</v>
      </c>
      <c r="BV425" s="127">
        <v>65</v>
      </c>
      <c r="BW425" s="127" t="s">
        <v>217</v>
      </c>
      <c r="BX425" s="127" t="s">
        <v>195</v>
      </c>
      <c r="BY425" s="139">
        <v>24</v>
      </c>
      <c r="BZ425" s="139">
        <v>0</v>
      </c>
      <c r="CA425" s="138">
        <v>23</v>
      </c>
      <c r="CB425" s="138">
        <v>39</v>
      </c>
      <c r="CC425" s="138">
        <v>22</v>
      </c>
      <c r="CD425" s="135">
        <v>45017</v>
      </c>
      <c r="CE425" s="138">
        <v>102</v>
      </c>
      <c r="CF425" s="138">
        <v>74</v>
      </c>
      <c r="CG425" s="138" t="str">
        <f t="shared" si="310"/>
        <v>В работе</v>
      </c>
      <c r="CH425" s="138" t="s">
        <v>235</v>
      </c>
      <c r="CI425" s="138">
        <v>5</v>
      </c>
      <c r="CJ425" s="138"/>
      <c r="CK425" s="138">
        <f t="shared" si="308"/>
        <v>35</v>
      </c>
      <c r="CL425" s="99"/>
      <c r="CM425" s="99"/>
      <c r="CN425" s="140">
        <v>58</v>
      </c>
      <c r="CO425" s="141">
        <f t="shared" si="324"/>
        <v>5.6711564800000005</v>
      </c>
      <c r="CP425" s="142">
        <v>6.8</v>
      </c>
      <c r="CQ425" s="143">
        <v>0.24</v>
      </c>
      <c r="CR425" s="138">
        <v>14.5</v>
      </c>
      <c r="CS425" s="139">
        <v>9.6</v>
      </c>
      <c r="CT425" s="138"/>
      <c r="CU425" s="138">
        <f t="shared" si="320"/>
        <v>4.9000000000000004</v>
      </c>
      <c r="CV425" s="115">
        <f t="shared" si="321"/>
        <v>864.02130099573617</v>
      </c>
      <c r="CW425" s="115">
        <f t="shared" si="325"/>
        <v>1687.1541544877573</v>
      </c>
      <c r="CX425" s="133">
        <f t="shared" si="322"/>
        <v>0.15454545454545454</v>
      </c>
      <c r="CY425" s="116"/>
      <c r="CZ425" s="131"/>
      <c r="DA425" s="145" t="str">
        <f t="shared" si="326"/>
        <v>Газлифт</v>
      </c>
      <c r="DB425" s="146">
        <f t="shared" si="341"/>
        <v>5.6711564800000005</v>
      </c>
      <c r="DC425" s="142">
        <f t="shared" si="342"/>
        <v>6.8</v>
      </c>
      <c r="DD425" s="119">
        <f t="shared" si="303"/>
        <v>0.24</v>
      </c>
      <c r="DE425" s="115">
        <f t="shared" si="343"/>
        <v>4.9000000000000004</v>
      </c>
      <c r="DF425" s="121">
        <f t="shared" si="328"/>
        <v>9.6</v>
      </c>
      <c r="DG425" s="115">
        <f t="shared" si="329"/>
        <v>864.02130099573617</v>
      </c>
      <c r="DH425" s="115">
        <f t="shared" si="330"/>
        <v>58</v>
      </c>
      <c r="DI425" s="147"/>
      <c r="DJ425" s="111"/>
      <c r="DK425" s="112">
        <v>44055</v>
      </c>
      <c r="DL425" s="113">
        <f t="shared" ca="1" si="312"/>
        <v>1049</v>
      </c>
      <c r="DM425" s="114"/>
      <c r="DN425" s="114"/>
      <c r="DO425" s="114"/>
      <c r="DP425" s="114"/>
      <c r="DQ425" s="112"/>
      <c r="DR425" s="114"/>
      <c r="DS425" s="114"/>
      <c r="DT425" s="115">
        <v>60</v>
      </c>
      <c r="DU425" s="116">
        <f t="shared" si="313"/>
        <v>0.16190476190476191</v>
      </c>
      <c r="DV425" s="117">
        <f t="shared" si="314"/>
        <v>5.6711564800000005</v>
      </c>
      <c r="DW425" s="118">
        <f t="shared" si="315"/>
        <v>6.8</v>
      </c>
      <c r="DX425" s="119">
        <f t="shared" si="331"/>
        <v>0.24</v>
      </c>
      <c r="DY425" s="115">
        <f t="shared" si="316"/>
        <v>4.9000000000000004</v>
      </c>
      <c r="DZ425" s="117">
        <f t="shared" si="317"/>
        <v>0</v>
      </c>
      <c r="EA425" s="120">
        <f t="shared" si="317"/>
        <v>0</v>
      </c>
      <c r="EB425" s="119">
        <f t="shared" si="317"/>
        <v>0</v>
      </c>
      <c r="EC425" s="121">
        <f t="shared" si="318"/>
        <v>0</v>
      </c>
      <c r="ED425" s="122"/>
      <c r="EE425" s="145">
        <v>65</v>
      </c>
      <c r="EF425" s="148">
        <v>25</v>
      </c>
      <c r="EG425" s="115">
        <v>42</v>
      </c>
      <c r="EH425" s="115">
        <v>24</v>
      </c>
      <c r="EI425" s="128" t="s">
        <v>195</v>
      </c>
      <c r="EJ425" s="121">
        <v>24</v>
      </c>
      <c r="EK425" s="121">
        <v>0</v>
      </c>
      <c r="EL425" s="149">
        <v>5.6711564800000005</v>
      </c>
      <c r="EM425" s="142">
        <v>6.8</v>
      </c>
      <c r="EN425" s="119">
        <v>0.24</v>
      </c>
      <c r="EO425" s="115">
        <v>14.5</v>
      </c>
      <c r="EP425" s="115">
        <v>864.02130099573617</v>
      </c>
      <c r="EQ425" s="115">
        <v>76</v>
      </c>
      <c r="ER425" s="115">
        <v>9.6</v>
      </c>
      <c r="ES425" s="115">
        <v>59</v>
      </c>
      <c r="ET425" s="150">
        <v>0.15813953488372093</v>
      </c>
      <c r="EU425" s="145">
        <f t="shared" si="332"/>
        <v>65</v>
      </c>
      <c r="EV425" s="115">
        <f t="shared" si="333"/>
        <v>23</v>
      </c>
      <c r="EW425" s="115">
        <f t="shared" si="333"/>
        <v>39</v>
      </c>
      <c r="EX425" s="115">
        <f t="shared" si="333"/>
        <v>22</v>
      </c>
      <c r="EY425" s="115" t="str">
        <f t="shared" si="309"/>
        <v>Постоянный</v>
      </c>
      <c r="EZ425" s="115">
        <f t="shared" si="309"/>
        <v>24</v>
      </c>
      <c r="FA425" s="115">
        <f t="shared" si="309"/>
        <v>0</v>
      </c>
      <c r="FB425" s="149">
        <f t="shared" si="298"/>
        <v>5.6711564800000005</v>
      </c>
      <c r="FC425" s="142">
        <f t="shared" si="298"/>
        <v>6.8</v>
      </c>
      <c r="FD425" s="119">
        <f t="shared" si="298"/>
        <v>0.24</v>
      </c>
      <c r="FE425" s="121">
        <f t="shared" ref="FE425:FE488" si="344">CR425</f>
        <v>14.5</v>
      </c>
      <c r="FF425" s="121">
        <f t="shared" si="300"/>
        <v>864.02130099573617</v>
      </c>
      <c r="FG425" s="121">
        <f t="shared" si="334"/>
        <v>74</v>
      </c>
      <c r="FH425" s="121">
        <f t="shared" si="301"/>
        <v>9.6</v>
      </c>
      <c r="FI425" s="121">
        <f t="shared" si="306"/>
        <v>58</v>
      </c>
      <c r="FJ425" s="144">
        <f t="shared" si="335"/>
        <v>0.15454545454545454</v>
      </c>
      <c r="FK425" s="132">
        <f t="shared" si="336"/>
        <v>0</v>
      </c>
      <c r="FL425" s="115">
        <f t="shared" si="336"/>
        <v>-2</v>
      </c>
      <c r="FM425" s="115">
        <f t="shared" si="336"/>
        <v>-3</v>
      </c>
      <c r="FN425" s="115">
        <f t="shared" si="336"/>
        <v>-2</v>
      </c>
      <c r="FO425" s="115">
        <f t="shared" si="311"/>
        <v>0</v>
      </c>
      <c r="FP425" s="115">
        <f t="shared" si="311"/>
        <v>0</v>
      </c>
      <c r="FQ425" s="149">
        <f t="shared" si="311"/>
        <v>0</v>
      </c>
      <c r="FR425" s="142">
        <f t="shared" si="311"/>
        <v>0</v>
      </c>
      <c r="FS425" s="119">
        <f t="shared" si="311"/>
        <v>0</v>
      </c>
      <c r="FT425" s="121">
        <f t="shared" si="311"/>
        <v>0</v>
      </c>
      <c r="FU425" s="121">
        <f t="shared" si="337"/>
        <v>-2</v>
      </c>
      <c r="FV425" s="121">
        <f t="shared" si="337"/>
        <v>0</v>
      </c>
      <c r="FW425" s="121">
        <f t="shared" si="338"/>
        <v>0</v>
      </c>
      <c r="FX425" s="121">
        <f t="shared" si="339"/>
        <v>-1</v>
      </c>
      <c r="FY425" s="144">
        <f t="shared" si="339"/>
        <v>-3.5940803382663866E-3</v>
      </c>
      <c r="FZ425" s="145"/>
      <c r="GA425" s="151"/>
      <c r="GB425" s="145"/>
      <c r="GC425" s="151"/>
      <c r="GD425" s="997" t="s">
        <v>220</v>
      </c>
      <c r="GE425" s="1004"/>
      <c r="GF425" s="1004">
        <v>-0.41699679999999972</v>
      </c>
      <c r="GG425" s="1004"/>
      <c r="GH425" s="1004">
        <v>-0.16679872000000007</v>
      </c>
      <c r="GI425" s="145"/>
      <c r="GJ425" s="996">
        <v>0</v>
      </c>
      <c r="GK425" s="145" t="s">
        <v>223</v>
      </c>
      <c r="GL425" s="996">
        <v>2.0849840000000004</v>
      </c>
      <c r="GM425" s="1005" t="s">
        <v>240</v>
      </c>
      <c r="GN425" s="996">
        <v>-2.8193315831999994</v>
      </c>
      <c r="GO425" s="1006"/>
      <c r="GP425" s="996">
        <v>0</v>
      </c>
      <c r="GQ425" s="1006"/>
      <c r="GR425" s="996">
        <v>0.56429991640000043</v>
      </c>
      <c r="GS425" s="1006"/>
      <c r="GT425" s="996">
        <v>-0.64547033320000047</v>
      </c>
      <c r="GU425" s="1006" t="s">
        <v>221</v>
      </c>
      <c r="GV425" s="996">
        <v>-2.1255300000000004</v>
      </c>
      <c r="GW425" s="1006"/>
      <c r="GX425" s="996">
        <v>0</v>
      </c>
      <c r="GY425" s="1006"/>
      <c r="GZ425" s="996">
        <v>0</v>
      </c>
      <c r="HA425" s="1006"/>
      <c r="HB425" s="996">
        <v>0</v>
      </c>
      <c r="HC425" s="1006"/>
      <c r="HD425" s="996">
        <v>0</v>
      </c>
      <c r="HE425" s="1006"/>
      <c r="HF425" s="996">
        <v>0</v>
      </c>
      <c r="HG425" s="1006"/>
      <c r="HH425" s="996">
        <v>0</v>
      </c>
      <c r="HI425" s="1006"/>
      <c r="HJ425" s="996">
        <v>-0.61666703999999939</v>
      </c>
      <c r="HK425" s="1006"/>
      <c r="HL425" s="996">
        <v>-0.41800000000000015</v>
      </c>
      <c r="HM425" s="1006"/>
      <c r="HN425" s="996">
        <v>0</v>
      </c>
      <c r="HO425" s="1006"/>
      <c r="HP425" s="996">
        <v>-0.34276000000000018</v>
      </c>
      <c r="HQ425" s="1006" t="s">
        <v>204</v>
      </c>
      <c r="HR425" s="996">
        <v>-2.5574075999999994</v>
      </c>
      <c r="HS425" s="1006"/>
      <c r="HT425" s="996">
        <v>0</v>
      </c>
      <c r="HU425" s="1006"/>
      <c r="HV425" s="996">
        <v>-0.75315239999999939</v>
      </c>
      <c r="HW425" s="1006"/>
      <c r="HX425" s="996">
        <v>0</v>
      </c>
      <c r="HY425" s="1006" t="s">
        <v>241</v>
      </c>
      <c r="HZ425" s="996">
        <v>2.4829199999999982</v>
      </c>
      <c r="IA425" s="1006"/>
      <c r="IB425" s="996">
        <v>0</v>
      </c>
      <c r="IC425" s="1006"/>
      <c r="ID425" s="996">
        <v>0</v>
      </c>
      <c r="IE425" s="1006"/>
      <c r="IF425" s="996">
        <v>0</v>
      </c>
      <c r="IG425" s="1006"/>
      <c r="IH425" s="996">
        <v>0</v>
      </c>
      <c r="II425" s="1006"/>
      <c r="IJ425" s="996">
        <v>0</v>
      </c>
      <c r="IK425" s="1006" t="s">
        <v>203</v>
      </c>
      <c r="IL425" s="996">
        <v>-2.0181039999999975</v>
      </c>
      <c r="IM425" s="1006" t="s">
        <v>204</v>
      </c>
      <c r="IN425" s="996">
        <v>-2.9076080000000015</v>
      </c>
      <c r="IO425" s="1006" t="s">
        <v>204</v>
      </c>
      <c r="IP425" s="996">
        <v>-8.6442399999999964</v>
      </c>
      <c r="IQ425" s="1006"/>
      <c r="IR425" s="996">
        <v>0</v>
      </c>
      <c r="IS425" s="1006" t="s">
        <v>25</v>
      </c>
      <c r="IT425" s="996">
        <v>21.846351999999996</v>
      </c>
      <c r="IU425" s="1006"/>
      <c r="IV425" s="996">
        <v>0</v>
      </c>
      <c r="IW425" s="1006"/>
      <c r="IX425" s="996"/>
      <c r="IY425" s="1006"/>
      <c r="IZ425" s="996"/>
      <c r="JA425" s="1006"/>
      <c r="JB425" s="996"/>
      <c r="JC425" s="1006"/>
      <c r="JD425" s="996"/>
      <c r="JE425" s="1006"/>
      <c r="JF425" s="996"/>
      <c r="JG425" s="1006"/>
      <c r="JH425" s="996"/>
      <c r="JI425" s="1006"/>
      <c r="JJ425" s="996"/>
      <c r="JK425" s="1007"/>
      <c r="JL425" s="1007"/>
      <c r="JM425" s="1007"/>
      <c r="JN425" s="1007"/>
      <c r="JO425" s="1008"/>
      <c r="JP425" s="1007"/>
      <c r="JQ425" s="1008"/>
      <c r="JR425" s="1007"/>
      <c r="JS425" s="1008"/>
      <c r="JT425" s="1007"/>
      <c r="JU425" s="1008"/>
      <c r="JV425" s="1007"/>
      <c r="JW425" s="1008"/>
      <c r="JX425" s="1007"/>
      <c r="JY425" s="1008"/>
      <c r="JZ425" s="1007"/>
      <c r="KA425" s="1008"/>
      <c r="KB425" s="1007"/>
      <c r="KC425" s="1008"/>
      <c r="KD425" s="1007"/>
      <c r="KE425" s="1008"/>
      <c r="KF425" s="1007"/>
      <c r="KG425" s="1008"/>
      <c r="KH425" s="1007"/>
      <c r="KI425" s="1008"/>
      <c r="KJ425" s="1007"/>
      <c r="KK425" s="1008"/>
      <c r="KL425" s="1007"/>
      <c r="KM425" s="1008"/>
      <c r="KN425" s="1007"/>
      <c r="KO425" s="1008"/>
      <c r="KP425" s="1007"/>
      <c r="KQ425" s="1008"/>
      <c r="KR425" s="1007"/>
      <c r="KS425" s="1008"/>
      <c r="KT425" s="1007"/>
      <c r="KU425" s="1008"/>
      <c r="KV425" s="1007"/>
      <c r="KW425" s="1008"/>
      <c r="KX425" s="1007"/>
      <c r="KY425" s="1008"/>
      <c r="KZ425" s="1007"/>
      <c r="LA425" s="1008"/>
      <c r="LB425" s="1007"/>
      <c r="LC425" s="1008"/>
      <c r="LD425" s="1007"/>
      <c r="LE425" s="1008"/>
      <c r="LF425" s="1007"/>
      <c r="LG425" s="1008"/>
      <c r="LH425" s="1007"/>
      <c r="LI425" s="1008"/>
      <c r="LJ425" s="1007"/>
      <c r="LK425" s="1008"/>
      <c r="LL425" s="1007"/>
      <c r="LM425" s="1008"/>
      <c r="LN425" s="1007"/>
      <c r="LO425" s="1008"/>
      <c r="LP425" s="1007"/>
      <c r="LQ425" s="1008"/>
      <c r="LR425" s="1007"/>
      <c r="LS425" s="1008"/>
      <c r="LT425" s="1007"/>
      <c r="LU425" s="1008"/>
      <c r="LV425" s="1007"/>
      <c r="LW425" s="1008"/>
      <c r="LX425" s="1007"/>
      <c r="LY425" s="1009"/>
      <c r="LZ425" s="1010"/>
      <c r="MA425" s="1011"/>
      <c r="MB425" s="1012"/>
      <c r="MC425" s="995"/>
      <c r="MD425" s="996"/>
      <c r="ME425" s="997" t="s">
        <v>220</v>
      </c>
      <c r="MF425" s="997"/>
      <c r="MG425" s="998"/>
      <c r="NR425" s="1000"/>
      <c r="NS425" s="1000"/>
      <c r="NT425" s="1001"/>
      <c r="NU425" s="1000"/>
      <c r="NV425" s="1001"/>
      <c r="NX425" s="1002"/>
      <c r="NZ425" s="1001"/>
      <c r="OA425" s="1001"/>
      <c r="OC425" s="1003"/>
      <c r="OD425" s="1003"/>
      <c r="OE425" s="1001"/>
      <c r="OF425" s="1003"/>
      <c r="OG425" s="1003"/>
      <c r="QX425" s="1000">
        <f>CN425-CA425</f>
        <v>35</v>
      </c>
      <c r="ASU425" s="999" t="s">
        <v>208</v>
      </c>
    </row>
    <row r="426" spans="1:466 1191:1191" ht="21" customHeight="1" x14ac:dyDescent="0.25">
      <c r="A426" s="982">
        <f t="shared" si="323"/>
        <v>1500</v>
      </c>
      <c r="B426" s="124">
        <f>SUBTOTAL(103,$J$29:J426)</f>
        <v>398</v>
      </c>
      <c r="C426" s="126">
        <v>45096</v>
      </c>
      <c r="D426" s="124" t="s">
        <v>176</v>
      </c>
      <c r="E426" s="127" t="s">
        <v>177</v>
      </c>
      <c r="F426" s="128" t="s">
        <v>177</v>
      </c>
      <c r="G426" s="127" t="s">
        <v>178</v>
      </c>
      <c r="H426" s="127" t="s">
        <v>226</v>
      </c>
      <c r="I426" s="127" t="s">
        <v>227</v>
      </c>
      <c r="J426" s="152">
        <v>1500</v>
      </c>
      <c r="K426" s="127" t="s">
        <v>1489</v>
      </c>
      <c r="L426" s="130">
        <v>44077</v>
      </c>
      <c r="M426" s="127" t="s">
        <v>230</v>
      </c>
      <c r="N426" s="127" t="s">
        <v>245</v>
      </c>
      <c r="O426" s="127" t="s">
        <v>185</v>
      </c>
      <c r="P426" s="127" t="s">
        <v>225</v>
      </c>
      <c r="Q426" s="85" t="str">
        <f t="shared" si="319"/>
        <v/>
      </c>
      <c r="R426" s="130"/>
      <c r="S426" s="128"/>
      <c r="T426" s="131"/>
      <c r="U426" s="132">
        <v>203</v>
      </c>
      <c r="V426" s="121">
        <v>218.2</v>
      </c>
      <c r="W426" s="116">
        <v>0.98</v>
      </c>
      <c r="X426" s="116">
        <v>1.66</v>
      </c>
      <c r="Y426" s="116">
        <f t="shared" si="299"/>
        <v>0.98</v>
      </c>
      <c r="Z426" s="133">
        <v>1.454</v>
      </c>
      <c r="AA426" s="133">
        <v>0.83599999999999997</v>
      </c>
      <c r="AB426" s="133">
        <v>0.72</v>
      </c>
      <c r="AC426" s="121">
        <v>34.299999999999997</v>
      </c>
      <c r="AD426" s="134">
        <v>1.17</v>
      </c>
      <c r="AE426" s="124">
        <v>177.8</v>
      </c>
      <c r="AF426" s="128">
        <v>9.19</v>
      </c>
      <c r="AG426" s="128">
        <v>2077</v>
      </c>
      <c r="AH426" s="127">
        <v>2572</v>
      </c>
      <c r="AI426" s="127">
        <v>2572</v>
      </c>
      <c r="AJ426" s="135"/>
      <c r="AK426" s="128"/>
      <c r="AL426" s="131"/>
      <c r="AM426" s="124" t="s">
        <v>232</v>
      </c>
      <c r="AN426" s="136" t="s">
        <v>1626</v>
      </c>
      <c r="AO426" s="137">
        <v>67.010000000000005</v>
      </c>
      <c r="AP426" s="128">
        <v>2077</v>
      </c>
      <c r="AQ426" s="128">
        <f>AP426-1732.97-170.2</f>
        <v>173.82999999999998</v>
      </c>
      <c r="AR426" s="128"/>
      <c r="AS426" s="128"/>
      <c r="AT426" s="122"/>
      <c r="AU426" s="124" t="s">
        <v>189</v>
      </c>
      <c r="AV426" s="115">
        <f>VLOOKUP(J426,'[63]ТР нефть'!$J$28:$BP$638,39,0)</f>
        <v>585.99998935500003</v>
      </c>
      <c r="AW426" s="115" t="str">
        <f>VLOOKUP(J426,'[63]ТР нефть'!$J$28:$BP$638,40,0)</f>
        <v>ГП</v>
      </c>
      <c r="AX426" s="115">
        <f>VLOOKUP(J426,'[63]ТР нефть'!$J$28:$BP$638,41,0)</f>
        <v>1073.0000308589999</v>
      </c>
      <c r="AY426" s="115" t="str">
        <f>VLOOKUP(J426,'[63]ТР нефть'!$J$28:$BP$638,42,0)</f>
        <v>ГК86 1/8</v>
      </c>
      <c r="AZ426" s="115">
        <f>VLOOKUP(J426,'[63]ТР нефть'!$J$28:$BP$638,43,0)</f>
        <v>1443.9999714840001</v>
      </c>
      <c r="BA426" s="115" t="str">
        <f>VLOOKUP(J426,'[63]ТР нефть'!$J$28:$BP$638,44,0)</f>
        <v>ГК86 1/8</v>
      </c>
      <c r="BB426" s="115">
        <f>VLOOKUP(J426,'[63]ТР нефть'!$J$28:$BP$638,45,0)</f>
        <v>1754.0000261719999</v>
      </c>
      <c r="BC426" s="115" t="str">
        <f>VLOOKUP(J426,'[63]ТР нефть'!$J$28:$BP$638,46,0)</f>
        <v>ГК86 5/32</v>
      </c>
      <c r="BD426" s="115">
        <f>VLOOKUP(J426,'[63]ТР нефть'!$J$28:$BP$638,47,0)</f>
        <v>1898.0000179690001</v>
      </c>
      <c r="BE426" s="115" t="str">
        <f>VLOOKUP(J426,'[63]ТР нефть'!$J$28:$BP$638,48,0)</f>
        <v>ЦКсОК 5/16</v>
      </c>
      <c r="BF426" s="115" t="str">
        <f>VLOOKUP(J426,'[63]ТР нефть'!$J$28:$BP$638,49,0)</f>
        <v>-</v>
      </c>
      <c r="BG426" s="115" t="str">
        <f>VLOOKUP(J426,'[63]ТР нефть'!$J$28:$BP$638,50,0)</f>
        <v>-</v>
      </c>
      <c r="BH426" s="115" t="str">
        <f>VLOOKUP(J426,'[63]ТР нефть'!$J$28:$BP$638,51,0)</f>
        <v>-</v>
      </c>
      <c r="BI426" s="115" t="str">
        <f>VLOOKUP(J426,'[63]ТР нефть'!$J$28:$BP$638,52,0)</f>
        <v>-</v>
      </c>
      <c r="BJ426" s="115" t="str">
        <f>IF(IFERROR(VLOOKUP(J426,'[63]ТР нефть'!$J$28:$BP$638,53,0),"-")=0,"-",IFERROR(VLOOKUP(J426,'[63]ТР нефть'!$J$28:$BP$638,53,0),"-"))</f>
        <v>-</v>
      </c>
      <c r="BK426" s="138" t="str">
        <f>IF(IFERROR(VLOOKUP(J426,'[63]ТР нефть'!$J$28:$BP$638,54,0),"-")=0,"-",IFERROR(VLOOKUP(J426,'[63]ТР нефть'!$J$28:$BP$638,54,0),"-"))</f>
        <v>-</v>
      </c>
      <c r="BL426" s="138" t="str">
        <f>IF(IFERROR(VLOOKUP(J426,'[63]ТР нефть'!$J$28:$BP$638,55,0),"-")=0,"-",IFERROR(VLOOKUP(J426,'[63]ТР нефть'!$J$28:$BP$638,55,0),"-"))</f>
        <v>-</v>
      </c>
      <c r="BM426" s="138" t="str">
        <f>IF(IFERROR(VLOOKUP(J426,'[63]ТР нефть'!$J$28:$BP$638,56,0),"-")=0,"-",IFERROR(VLOOKUP(J426,'[63]ТР нефть'!$J$28:$BP$638,56,0),"-"))</f>
        <v>-</v>
      </c>
      <c r="BN426" s="138" t="str">
        <f>IF(IFERROR(VLOOKUP(J426,'[63]ТР нефть'!$J$28:$BP$638,57,0),"-")=0,"-",IFERROR(VLOOKUP(J426,'[63]ТР нефть'!$J$28:$BP$638,57,0),"-"))</f>
        <v>-</v>
      </c>
      <c r="BO426" s="115" t="str">
        <f>IF(IFERROR(VLOOKUP(J426,'[63]ТР нефть'!$J$28:$BP$638,58,0),"-")=0,"-",IFERROR(VLOOKUP(J426,'[63]ТР нефть'!$J$28:$BP$638,58,0),"-"))</f>
        <v>-</v>
      </c>
      <c r="BP426" s="115" t="str">
        <f>IF(IFERROR(VLOOKUP(J426,'[63]ТР нефть'!$J$28:$BP$638,59,0),"-")=0,"-",IFERROR(VLOOKUP(J426,'[63]ТР нефть'!$J$28:$BP$638,59,0),"-"))</f>
        <v>-</v>
      </c>
      <c r="BQ426" s="138">
        <v>2097</v>
      </c>
      <c r="BR426" s="128">
        <f>1740.69+170.2</f>
        <v>1910.89</v>
      </c>
      <c r="BS426" s="115">
        <f t="shared" si="340"/>
        <v>186.1099999999999</v>
      </c>
      <c r="BT426" s="128">
        <v>73</v>
      </c>
      <c r="BU426" s="128">
        <v>5.5</v>
      </c>
      <c r="BV426" s="127">
        <v>18</v>
      </c>
      <c r="BW426" s="127" t="s">
        <v>234</v>
      </c>
      <c r="BX426" s="127" t="s">
        <v>218</v>
      </c>
      <c r="BY426" s="139">
        <v>24</v>
      </c>
      <c r="BZ426" s="139">
        <v>24</v>
      </c>
      <c r="CA426" s="138">
        <v>16</v>
      </c>
      <c r="CB426" s="138">
        <v>31</v>
      </c>
      <c r="CC426" s="138">
        <v>15</v>
      </c>
      <c r="CD426" s="135">
        <v>45017</v>
      </c>
      <c r="CE426" s="138">
        <v>87</v>
      </c>
      <c r="CF426" s="138">
        <v>85</v>
      </c>
      <c r="CG426" s="138" t="str">
        <f t="shared" si="310"/>
        <v>В работе</v>
      </c>
      <c r="CH426" s="138" t="s">
        <v>235</v>
      </c>
      <c r="CI426" s="138">
        <v>6</v>
      </c>
      <c r="CJ426" s="138"/>
      <c r="CK426" s="138"/>
      <c r="CL426" s="99"/>
      <c r="CM426" s="99"/>
      <c r="CN426" s="140">
        <v>33</v>
      </c>
      <c r="CO426" s="141">
        <f t="shared" si="324"/>
        <v>2.89256</v>
      </c>
      <c r="CP426" s="142">
        <f>6.92/2</f>
        <v>3.46</v>
      </c>
      <c r="CQ426" s="143">
        <v>0</v>
      </c>
      <c r="CR426" s="138">
        <f>18.7/2</f>
        <v>9.35</v>
      </c>
      <c r="CS426" s="139">
        <f>9.6/2</f>
        <v>4.8</v>
      </c>
      <c r="CT426" s="138"/>
      <c r="CU426" s="138">
        <f t="shared" si="320"/>
        <v>4.55</v>
      </c>
      <c r="CV426" s="115">
        <f t="shared" si="321"/>
        <v>1573.001078629311</v>
      </c>
      <c r="CW426" s="115">
        <f t="shared" si="325"/>
        <v>1659.4297093232292</v>
      </c>
      <c r="CX426" s="133">
        <f t="shared" si="322"/>
        <v>6.4074074074074075E-2</v>
      </c>
      <c r="CY426" s="116"/>
      <c r="CZ426" s="131"/>
      <c r="DA426" s="145" t="str">
        <f t="shared" si="326"/>
        <v>Газлифт</v>
      </c>
      <c r="DB426" s="146">
        <f t="shared" si="341"/>
        <v>2.89256</v>
      </c>
      <c r="DC426" s="142">
        <f t="shared" si="342"/>
        <v>3.46</v>
      </c>
      <c r="DD426" s="119">
        <f t="shared" si="303"/>
        <v>0</v>
      </c>
      <c r="DE426" s="115">
        <f t="shared" si="343"/>
        <v>4.55</v>
      </c>
      <c r="DF426" s="121">
        <f t="shared" si="328"/>
        <v>4.8</v>
      </c>
      <c r="DG426" s="115">
        <f t="shared" si="329"/>
        <v>1573.001078629311</v>
      </c>
      <c r="DH426" s="115">
        <f t="shared" si="330"/>
        <v>33</v>
      </c>
      <c r="DI426" s="147"/>
      <c r="DJ426" s="111"/>
      <c r="DK426" s="112">
        <v>44077</v>
      </c>
      <c r="DL426" s="113">
        <f t="shared" ca="1" si="312"/>
        <v>1027</v>
      </c>
      <c r="DM426" s="114"/>
      <c r="DN426" s="114"/>
      <c r="DO426" s="114"/>
      <c r="DP426" s="114"/>
      <c r="DQ426" s="112"/>
      <c r="DR426" s="114"/>
      <c r="DS426" s="114"/>
      <c r="DT426" s="115">
        <v>44</v>
      </c>
      <c r="DU426" s="116">
        <f t="shared" si="313"/>
        <v>8.046511627906977E-2</v>
      </c>
      <c r="DV426" s="117">
        <f t="shared" si="314"/>
        <v>2.89256</v>
      </c>
      <c r="DW426" s="118">
        <f t="shared" si="315"/>
        <v>3.46</v>
      </c>
      <c r="DX426" s="119">
        <f t="shared" si="331"/>
        <v>0</v>
      </c>
      <c r="DY426" s="115">
        <f t="shared" si="316"/>
        <v>4.55</v>
      </c>
      <c r="DZ426" s="117">
        <f t="shared" si="317"/>
        <v>0</v>
      </c>
      <c r="EA426" s="120">
        <f t="shared" si="317"/>
        <v>0</v>
      </c>
      <c r="EB426" s="119">
        <f t="shared" si="317"/>
        <v>0</v>
      </c>
      <c r="EC426" s="121">
        <f t="shared" si="318"/>
        <v>0</v>
      </c>
      <c r="ED426" s="122"/>
      <c r="EE426" s="145">
        <v>18</v>
      </c>
      <c r="EF426" s="148">
        <v>17</v>
      </c>
      <c r="EG426" s="115">
        <v>33</v>
      </c>
      <c r="EH426" s="115">
        <v>16</v>
      </c>
      <c r="EI426" s="128" t="s">
        <v>218</v>
      </c>
      <c r="EJ426" s="121">
        <v>24</v>
      </c>
      <c r="EK426" s="121">
        <v>24</v>
      </c>
      <c r="EL426" s="149">
        <v>2.3407999999999998</v>
      </c>
      <c r="EM426" s="142">
        <v>2.8</v>
      </c>
      <c r="EN426" s="119">
        <v>0</v>
      </c>
      <c r="EO426" s="115">
        <v>9</v>
      </c>
      <c r="EP426" s="115">
        <v>2178.7423103212577</v>
      </c>
      <c r="EQ426" s="115">
        <v>85</v>
      </c>
      <c r="ER426" s="115">
        <v>3.9</v>
      </c>
      <c r="ES426" s="115">
        <v>36</v>
      </c>
      <c r="ET426" s="150">
        <v>5.4901960784313725E-2</v>
      </c>
      <c r="EU426" s="145">
        <f t="shared" si="332"/>
        <v>18</v>
      </c>
      <c r="EV426" s="115">
        <f t="shared" si="333"/>
        <v>16</v>
      </c>
      <c r="EW426" s="115">
        <f t="shared" si="333"/>
        <v>31</v>
      </c>
      <c r="EX426" s="115">
        <f t="shared" si="333"/>
        <v>15</v>
      </c>
      <c r="EY426" s="115" t="str">
        <f t="shared" si="309"/>
        <v>Периодический</v>
      </c>
      <c r="EZ426" s="115">
        <f t="shared" si="309"/>
        <v>24</v>
      </c>
      <c r="FA426" s="115">
        <f t="shared" si="309"/>
        <v>24</v>
      </c>
      <c r="FB426" s="149">
        <f t="shared" ref="FB426:FE489" si="345">CO426</f>
        <v>2.89256</v>
      </c>
      <c r="FC426" s="142">
        <f t="shared" si="345"/>
        <v>3.46</v>
      </c>
      <c r="FD426" s="119">
        <f t="shared" si="345"/>
        <v>0</v>
      </c>
      <c r="FE426" s="121">
        <f t="shared" si="344"/>
        <v>9.35</v>
      </c>
      <c r="FF426" s="121">
        <f t="shared" si="300"/>
        <v>1573.001078629311</v>
      </c>
      <c r="FG426" s="121">
        <f t="shared" si="334"/>
        <v>85</v>
      </c>
      <c r="FH426" s="121">
        <f t="shared" si="301"/>
        <v>4.8</v>
      </c>
      <c r="FI426" s="121">
        <f t="shared" si="306"/>
        <v>33</v>
      </c>
      <c r="FJ426" s="144">
        <f t="shared" si="335"/>
        <v>6.4074074074074075E-2</v>
      </c>
      <c r="FK426" s="132">
        <f t="shared" si="336"/>
        <v>0</v>
      </c>
      <c r="FL426" s="115">
        <f t="shared" si="336"/>
        <v>-1</v>
      </c>
      <c r="FM426" s="115">
        <f t="shared" si="336"/>
        <v>-2</v>
      </c>
      <c r="FN426" s="115">
        <f t="shared" si="336"/>
        <v>-1</v>
      </c>
      <c r="FO426" s="115">
        <f t="shared" si="311"/>
        <v>0</v>
      </c>
      <c r="FP426" s="115">
        <f t="shared" si="311"/>
        <v>0</v>
      </c>
      <c r="FQ426" s="149">
        <f t="shared" si="311"/>
        <v>0.55176000000000025</v>
      </c>
      <c r="FR426" s="142">
        <f t="shared" si="311"/>
        <v>0.66000000000000014</v>
      </c>
      <c r="FS426" s="119">
        <f t="shared" si="311"/>
        <v>0</v>
      </c>
      <c r="FT426" s="121">
        <f t="shared" si="311"/>
        <v>0.34999999999999964</v>
      </c>
      <c r="FU426" s="121">
        <f t="shared" si="337"/>
        <v>0</v>
      </c>
      <c r="FV426" s="121">
        <f t="shared" si="337"/>
        <v>0.89999999999999991</v>
      </c>
      <c r="FW426" s="121">
        <f t="shared" si="338"/>
        <v>-605.74123169194672</v>
      </c>
      <c r="FX426" s="121">
        <f t="shared" si="339"/>
        <v>-3</v>
      </c>
      <c r="FY426" s="144">
        <f t="shared" si="339"/>
        <v>9.1721132897603502E-3</v>
      </c>
      <c r="FZ426" s="145"/>
      <c r="GA426" s="163" t="s">
        <v>251</v>
      </c>
      <c r="GB426" s="145"/>
      <c r="GC426" s="151" t="s">
        <v>237</v>
      </c>
      <c r="GD426" s="997" t="s">
        <v>238</v>
      </c>
      <c r="GE426" s="1004"/>
      <c r="GF426" s="1004">
        <v>-0.58519999999999994</v>
      </c>
      <c r="GG426" s="1004"/>
      <c r="GH426" s="1004">
        <v>0</v>
      </c>
      <c r="GI426" s="145"/>
      <c r="GJ426" s="996">
        <v>0</v>
      </c>
      <c r="GK426" s="145"/>
      <c r="GL426" s="996">
        <v>0.41799999999999971</v>
      </c>
      <c r="GM426" s="1005"/>
      <c r="GN426" s="996">
        <v>0</v>
      </c>
      <c r="GO426" s="1006"/>
      <c r="GP426" s="996">
        <v>0</v>
      </c>
      <c r="GQ426" s="1006"/>
      <c r="GR426" s="996">
        <v>7.5239999999965335E-4</v>
      </c>
      <c r="GS426" s="1006"/>
      <c r="GT426" s="996">
        <v>7.6920360000000354E-2</v>
      </c>
      <c r="GU426" s="1006"/>
      <c r="GV426" s="996">
        <v>-0.4522258400000001</v>
      </c>
      <c r="GW426" s="1006"/>
      <c r="GX426" s="997">
        <v>0</v>
      </c>
      <c r="GY426" s="1006"/>
      <c r="GZ426" s="996">
        <v>0</v>
      </c>
      <c r="HA426" s="1006"/>
      <c r="HB426" s="996">
        <v>0</v>
      </c>
      <c r="HC426" s="1006"/>
      <c r="HD426" s="996">
        <v>0</v>
      </c>
      <c r="HE426" s="1006"/>
      <c r="HF426" s="996">
        <v>0</v>
      </c>
      <c r="HG426" s="1006" t="s">
        <v>223</v>
      </c>
      <c r="HH426" s="996">
        <v>-1.0299269199999994</v>
      </c>
      <c r="HI426" s="1006"/>
      <c r="HJ426" s="996">
        <v>0</v>
      </c>
      <c r="HK426" s="1006"/>
      <c r="HL426" s="996">
        <v>0</v>
      </c>
      <c r="HM426" s="1006"/>
      <c r="HN426" s="996">
        <v>0</v>
      </c>
      <c r="HO426" s="1006" t="s">
        <v>349</v>
      </c>
      <c r="HP426" s="996">
        <v>-10.625016599999999</v>
      </c>
      <c r="HQ426" s="1006" t="s">
        <v>25</v>
      </c>
      <c r="HR426" s="996">
        <v>11.2770966</v>
      </c>
      <c r="HS426" s="1006"/>
      <c r="HT426" s="996">
        <v>0</v>
      </c>
      <c r="HU426" s="1006" t="s">
        <v>241</v>
      </c>
      <c r="HV426" s="996">
        <v>-10.667359999999999</v>
      </c>
      <c r="HW426" s="1006" t="s">
        <v>241</v>
      </c>
      <c r="HX426" s="996">
        <v>11.586959999999999</v>
      </c>
      <c r="HY426" s="1006"/>
      <c r="HZ426" s="996">
        <v>0.18079999999999963</v>
      </c>
      <c r="IA426" s="1006"/>
      <c r="IB426" s="996">
        <v>0</v>
      </c>
      <c r="IC426" s="1006"/>
      <c r="ID426" s="996">
        <v>-0.83466240000000003</v>
      </c>
      <c r="IE426" s="1006" t="s">
        <v>204</v>
      </c>
      <c r="IF426" s="996">
        <v>-3.3453375999999997</v>
      </c>
      <c r="IG426" s="1006"/>
      <c r="IH426" s="996">
        <v>0</v>
      </c>
      <c r="II426" s="1006"/>
      <c r="IJ426" s="996">
        <v>-0.41883600000000065</v>
      </c>
      <c r="IK426" s="1006" t="s">
        <v>199</v>
      </c>
      <c r="IL426" s="996">
        <v>6.3708216000000002</v>
      </c>
      <c r="IM426" s="1006" t="s">
        <v>199</v>
      </c>
      <c r="IN426" s="996">
        <v>-7.7911855999999995</v>
      </c>
      <c r="IO426" s="1006" t="s">
        <v>203</v>
      </c>
      <c r="IP426" s="996">
        <v>-8.4603199999999994</v>
      </c>
      <c r="IQ426" s="1006" t="s">
        <v>25</v>
      </c>
      <c r="IR426" s="996">
        <v>20.498719999999999</v>
      </c>
      <c r="IS426" s="1006"/>
      <c r="IT426" s="996"/>
      <c r="IU426" s="1006"/>
      <c r="IV426" s="996"/>
      <c r="IW426" s="1006"/>
      <c r="IX426" s="996"/>
      <c r="IY426" s="1006"/>
      <c r="IZ426" s="996"/>
      <c r="JA426" s="1006"/>
      <c r="JB426" s="996"/>
      <c r="JC426" s="1006"/>
      <c r="JD426" s="996"/>
      <c r="JE426" s="1006"/>
      <c r="JF426" s="996"/>
      <c r="JG426" s="1006"/>
      <c r="JH426" s="996"/>
      <c r="JI426" s="1006"/>
      <c r="JJ426" s="996"/>
      <c r="JK426" s="1007"/>
      <c r="JL426" s="1007"/>
      <c r="JM426" s="1007"/>
      <c r="JN426" s="1007"/>
      <c r="JO426" s="1008"/>
      <c r="JP426" s="1007"/>
      <c r="JQ426" s="1008"/>
      <c r="JR426" s="1007"/>
      <c r="JS426" s="1008"/>
      <c r="JT426" s="1007"/>
      <c r="JU426" s="1008"/>
      <c r="JV426" s="1007"/>
      <c r="JW426" s="1008"/>
      <c r="JX426" s="1007"/>
      <c r="JY426" s="1008"/>
      <c r="JZ426" s="1007"/>
      <c r="KA426" s="1008"/>
      <c r="KB426" s="1007"/>
      <c r="KC426" s="1008"/>
      <c r="KD426" s="1007"/>
      <c r="KE426" s="1008"/>
      <c r="KF426" s="1007"/>
      <c r="KG426" s="1008"/>
      <c r="KH426" s="1007"/>
      <c r="KI426" s="1008"/>
      <c r="KJ426" s="1007"/>
      <c r="KK426" s="1008"/>
      <c r="KL426" s="1007"/>
      <c r="KM426" s="1008"/>
      <c r="KN426" s="1007"/>
      <c r="KO426" s="1008"/>
      <c r="KP426" s="1007"/>
      <c r="KQ426" s="1008"/>
      <c r="KR426" s="1007"/>
      <c r="KS426" s="1008"/>
      <c r="KT426" s="1007"/>
      <c r="KU426" s="1008"/>
      <c r="KV426" s="1007"/>
      <c r="KW426" s="1008"/>
      <c r="KX426" s="1007"/>
      <c r="KY426" s="1008"/>
      <c r="KZ426" s="1007"/>
      <c r="LA426" s="1008"/>
      <c r="LB426" s="1007"/>
      <c r="LC426" s="1008"/>
      <c r="LD426" s="1007"/>
      <c r="LE426" s="1008"/>
      <c r="LF426" s="1007"/>
      <c r="LG426" s="1008"/>
      <c r="LH426" s="1007"/>
      <c r="LI426" s="1008"/>
      <c r="LJ426" s="1007"/>
      <c r="LK426" s="1008"/>
      <c r="LL426" s="1007"/>
      <c r="LM426" s="1008"/>
      <c r="LN426" s="1007"/>
      <c r="LO426" s="1008"/>
      <c r="LP426" s="1007"/>
      <c r="LQ426" s="1008"/>
      <c r="LR426" s="1007"/>
      <c r="LS426" s="1008"/>
      <c r="LT426" s="1007"/>
      <c r="LU426" s="1008"/>
      <c r="LV426" s="1007"/>
      <c r="LW426" s="1008"/>
      <c r="LX426" s="1007"/>
      <c r="LY426" s="1009"/>
      <c r="LZ426" s="1010"/>
      <c r="MA426" s="1011"/>
      <c r="MB426" s="1012"/>
      <c r="MC426" s="995"/>
      <c r="MD426" s="996"/>
      <c r="ME426" s="997" t="s">
        <v>238</v>
      </c>
      <c r="MF426" s="997"/>
      <c r="MG426" s="998"/>
      <c r="NR426" s="1000"/>
      <c r="NS426" s="1000"/>
      <c r="NT426" s="1001"/>
      <c r="NU426" s="1000"/>
      <c r="NV426" s="1001"/>
      <c r="NX426" s="1002"/>
      <c r="NZ426" s="1001"/>
      <c r="OA426" s="1001"/>
      <c r="OC426" s="1003"/>
      <c r="OD426" s="1003"/>
      <c r="OE426" s="1001"/>
      <c r="OF426" s="1003"/>
      <c r="OG426" s="1003"/>
      <c r="QX426" s="1000">
        <f>CN426-CA426</f>
        <v>17</v>
      </c>
      <c r="ASU426" s="999" t="s">
        <v>225</v>
      </c>
    </row>
    <row r="427" spans="1:466 1191:1191" ht="21" customHeight="1" x14ac:dyDescent="0.25">
      <c r="A427" s="982">
        <f t="shared" si="323"/>
        <v>1502</v>
      </c>
      <c r="B427" s="124">
        <f>SUBTOTAL(103,$J$29:J427)</f>
        <v>399</v>
      </c>
      <c r="C427" s="126">
        <v>45068</v>
      </c>
      <c r="D427" s="124" t="s">
        <v>176</v>
      </c>
      <c r="E427" s="127" t="s">
        <v>177</v>
      </c>
      <c r="F427" s="128" t="s">
        <v>177</v>
      </c>
      <c r="G427" s="127" t="s">
        <v>178</v>
      </c>
      <c r="H427" s="127" t="s">
        <v>179</v>
      </c>
      <c r="I427" s="127" t="s">
        <v>1137</v>
      </c>
      <c r="J427" s="152">
        <v>1502</v>
      </c>
      <c r="K427" s="127" t="s">
        <v>1438</v>
      </c>
      <c r="L427" s="130">
        <v>43087</v>
      </c>
      <c r="M427" s="127" t="s">
        <v>230</v>
      </c>
      <c r="N427" s="127" t="s">
        <v>184</v>
      </c>
      <c r="O427" s="127" t="s">
        <v>185</v>
      </c>
      <c r="P427" s="127" t="s">
        <v>186</v>
      </c>
      <c r="Q427" s="85">
        <f t="shared" si="319"/>
        <v>-4</v>
      </c>
      <c r="R427" s="130">
        <v>43044</v>
      </c>
      <c r="S427" s="128" t="s">
        <v>747</v>
      </c>
      <c r="T427" s="131" t="s">
        <v>1294</v>
      </c>
      <c r="U427" s="132">
        <v>203</v>
      </c>
      <c r="V427" s="121">
        <v>218.2</v>
      </c>
      <c r="W427" s="116">
        <v>0.98</v>
      </c>
      <c r="X427" s="116">
        <v>1.66</v>
      </c>
      <c r="Y427" s="116">
        <f t="shared" si="299"/>
        <v>0.98</v>
      </c>
      <c r="Z427" s="133">
        <v>1.454</v>
      </c>
      <c r="AA427" s="133">
        <v>0.83599999999999997</v>
      </c>
      <c r="AB427" s="133">
        <v>0.72</v>
      </c>
      <c r="AC427" s="121">
        <v>34.299999999999997</v>
      </c>
      <c r="AD427" s="134">
        <v>1.17</v>
      </c>
      <c r="AE427" s="124">
        <v>177.8</v>
      </c>
      <c r="AF427" s="128">
        <v>9.19</v>
      </c>
      <c r="AG427" s="128">
        <v>2051.5</v>
      </c>
      <c r="AH427" s="138">
        <v>2839.95</v>
      </c>
      <c r="AI427" s="138">
        <v>2839.95</v>
      </c>
      <c r="AJ427" s="135">
        <v>42984</v>
      </c>
      <c r="AK427" s="128" t="s">
        <v>1018</v>
      </c>
      <c r="AL427" s="131"/>
      <c r="AM427" s="124" t="s">
        <v>985</v>
      </c>
      <c r="AN427" s="136" t="s">
        <v>1627</v>
      </c>
      <c r="AO427" s="137">
        <v>9.11</v>
      </c>
      <c r="AP427" s="128">
        <v>2318.35</v>
      </c>
      <c r="AQ427" s="128">
        <v>509.35</v>
      </c>
      <c r="AR427" s="128" t="s">
        <v>1628</v>
      </c>
      <c r="AS427" s="128">
        <v>114</v>
      </c>
      <c r="AT427" s="122">
        <v>7.37</v>
      </c>
      <c r="AU427" s="124" t="s">
        <v>189</v>
      </c>
      <c r="AV427" s="115">
        <f>VLOOKUP(J427,'[63]ТР нефть'!$J$28:$BP$638,39,0)</f>
        <v>499.99999218800002</v>
      </c>
      <c r="AW427" s="115" t="str">
        <f>VLOOKUP(J427,'[63]ТР нефть'!$J$28:$BP$638,40,0)</f>
        <v>ГП</v>
      </c>
      <c r="AX427" s="115">
        <f>VLOOKUP(J427,'[63]ТР нефть'!$J$28:$BP$638,41,0)</f>
        <v>899.99998593800001</v>
      </c>
      <c r="AY427" s="115" t="str">
        <f>VLOOKUP(J427,'[63]ТР нефть'!$J$28:$BP$638,42,0)</f>
        <v>ГК 75 1/8</v>
      </c>
      <c r="AZ427" s="115">
        <f>VLOOKUP(J427,'[63]ТР нефть'!$J$28:$BP$638,43,0)</f>
        <v>1220.000025586</v>
      </c>
      <c r="BA427" s="115" t="str">
        <f>VLOOKUP(J427,'[63]ТР нефть'!$J$28:$BP$638,44,0)</f>
        <v>ГК 75 1/8</v>
      </c>
      <c r="BB427" s="115">
        <f>VLOOKUP(J427,'[63]ТР нефть'!$J$28:$BP$638,45,0)</f>
        <v>1490.0000660159999</v>
      </c>
      <c r="BC427" s="115" t="str">
        <f>VLOOKUP(J427,'[63]ТР нефть'!$J$28:$BP$638,46,0)</f>
        <v>ГК 81 1/8</v>
      </c>
      <c r="BD427" s="115">
        <f>VLOOKUP(J427,'[63]ТР нефть'!$J$28:$BP$638,47,0)</f>
        <v>1719.9999433590001</v>
      </c>
      <c r="BE427" s="115" t="str">
        <f>VLOOKUP(J427,'[63]ТР нефть'!$J$28:$BP$638,48,0)</f>
        <v>ЦКсОК 5/16</v>
      </c>
      <c r="BF427" s="115" t="str">
        <f>VLOOKUP(J427,'[63]ТР нефть'!$J$28:$BP$638,49,0)</f>
        <v>-</v>
      </c>
      <c r="BG427" s="115" t="str">
        <f>VLOOKUP(J427,'[63]ТР нефть'!$J$28:$BP$638,50,0)</f>
        <v>-</v>
      </c>
      <c r="BH427" s="115">
        <f>VLOOKUP(J427,'[63]ТР нефть'!$J$28:$BP$638,51,0)</f>
        <v>1760</v>
      </c>
      <c r="BI427" s="115" t="str">
        <f>VLOOKUP(J427,'[63]ТР нефть'!$J$28:$BP$638,52,0)</f>
        <v>открыт</v>
      </c>
      <c r="BJ427" s="115" t="str">
        <f>IF(IFERROR(VLOOKUP(J427,'[63]ТР нефть'!$J$28:$BP$638,53,0),"-")=0,"-",IFERROR(VLOOKUP(J427,'[63]ТР нефть'!$J$28:$BP$638,53,0),"-"))</f>
        <v>-</v>
      </c>
      <c r="BK427" s="138" t="str">
        <f>IF(IFERROR(VLOOKUP(J427,'[63]ТР нефть'!$J$28:$BP$638,54,0),"-")=0,"-",IFERROR(VLOOKUP(J427,'[63]ТР нефть'!$J$28:$BP$638,54,0),"-"))</f>
        <v>-</v>
      </c>
      <c r="BL427" s="138" t="str">
        <f>IF(IFERROR(VLOOKUP(J427,'[63]ТР нефть'!$J$28:$BP$638,55,0),"-")=0,"-",IFERROR(VLOOKUP(J427,'[63]ТР нефть'!$J$28:$BP$638,55,0),"-"))</f>
        <v>-</v>
      </c>
      <c r="BM427" s="138" t="str">
        <f>IF(IFERROR(VLOOKUP(J427,'[63]ТР нефть'!$J$28:$BP$638,56,0),"-")=0,"-",IFERROR(VLOOKUP(J427,'[63]ТР нефть'!$J$28:$BP$638,56,0),"-"))</f>
        <v>-</v>
      </c>
      <c r="BN427" s="138" t="str">
        <f>IF(IFERROR(VLOOKUP(J427,'[63]ТР нефть'!$J$28:$BP$638,57,0),"-")=0,"-",IFERROR(VLOOKUP(J427,'[63]ТР нефть'!$J$28:$BP$638,57,0),"-"))</f>
        <v>-</v>
      </c>
      <c r="BO427" s="115" t="str">
        <f>IF(IFERROR(VLOOKUP(J427,'[63]ТР нефть'!$J$28:$BP$638,58,0),"-")=0,"-",IFERROR(VLOOKUP(J427,'[63]ТР нефть'!$J$28:$BP$638,58,0),"-"))</f>
        <v>-</v>
      </c>
      <c r="BP427" s="115" t="str">
        <f>IF(IFERROR(VLOOKUP(J427,'[63]ТР нефть'!$J$28:$BP$638,59,0),"-")=0,"-",IFERROR(VLOOKUP(J427,'[63]ТР нефть'!$J$28:$BP$638,59,0),"-"))</f>
        <v>-</v>
      </c>
      <c r="BQ427" s="138">
        <v>2051.5</v>
      </c>
      <c r="BR427" s="128">
        <v>1812.3</v>
      </c>
      <c r="BS427" s="115">
        <f t="shared" si="340"/>
        <v>239.20000000000005</v>
      </c>
      <c r="BT427" s="128">
        <v>73</v>
      </c>
      <c r="BU427" s="128">
        <v>5.5</v>
      </c>
      <c r="BV427" s="127">
        <v>65</v>
      </c>
      <c r="BW427" s="127" t="s">
        <v>217</v>
      </c>
      <c r="BX427" s="127" t="s">
        <v>218</v>
      </c>
      <c r="BY427" s="139">
        <v>24</v>
      </c>
      <c r="BZ427" s="139">
        <v>24</v>
      </c>
      <c r="CA427" s="80">
        <v>24</v>
      </c>
      <c r="CB427" s="138">
        <v>38</v>
      </c>
      <c r="CC427" s="138">
        <v>23</v>
      </c>
      <c r="CD427" s="135">
        <v>45017</v>
      </c>
      <c r="CE427" s="138">
        <v>116</v>
      </c>
      <c r="CF427" s="138">
        <v>72</v>
      </c>
      <c r="CG427" s="138" t="str">
        <f t="shared" si="310"/>
        <v>В работе</v>
      </c>
      <c r="CH427" s="138" t="s">
        <v>272</v>
      </c>
      <c r="CI427" s="127"/>
      <c r="CJ427" s="138"/>
      <c r="CK427" s="138">
        <f t="shared" si="308"/>
        <v>24</v>
      </c>
      <c r="CL427" s="99"/>
      <c r="CM427" s="99"/>
      <c r="CN427" s="140">
        <v>48</v>
      </c>
      <c r="CO427" s="141">
        <f t="shared" si="324"/>
        <v>3.762</v>
      </c>
      <c r="CP427" s="142">
        <v>4.5</v>
      </c>
      <c r="CQ427" s="143">
        <v>0</v>
      </c>
      <c r="CR427" s="138">
        <v>5</v>
      </c>
      <c r="CS427" s="139">
        <v>3.2</v>
      </c>
      <c r="CT427" s="138"/>
      <c r="CU427" s="138">
        <f t="shared" si="320"/>
        <v>1.7999999999999998</v>
      </c>
      <c r="CV427" s="115">
        <f t="shared" si="321"/>
        <v>478.46889952153106</v>
      </c>
      <c r="CW427" s="115">
        <f t="shared" si="325"/>
        <v>850.61137692716648</v>
      </c>
      <c r="CX427" s="133">
        <f t="shared" si="322"/>
        <v>6.6176470588235295E-2</v>
      </c>
      <c r="CY427" s="116"/>
      <c r="CZ427" s="131"/>
      <c r="DA427" s="145" t="str">
        <f t="shared" si="326"/>
        <v>Газлифт</v>
      </c>
      <c r="DB427" s="146">
        <f t="shared" si="341"/>
        <v>3.762</v>
      </c>
      <c r="DC427" s="142">
        <f t="shared" si="342"/>
        <v>4.5</v>
      </c>
      <c r="DD427" s="119">
        <f t="shared" si="303"/>
        <v>0</v>
      </c>
      <c r="DE427" s="115">
        <f t="shared" si="343"/>
        <v>1.7999999999999998</v>
      </c>
      <c r="DF427" s="121">
        <f t="shared" si="328"/>
        <v>3.2</v>
      </c>
      <c r="DG427" s="115">
        <f t="shared" si="329"/>
        <v>478.46889952153106</v>
      </c>
      <c r="DH427" s="115">
        <f t="shared" si="330"/>
        <v>48</v>
      </c>
      <c r="DI427" s="147"/>
      <c r="DJ427" s="111">
        <v>43520</v>
      </c>
      <c r="DK427" s="112">
        <v>43087</v>
      </c>
      <c r="DL427" s="113">
        <f t="shared" ca="1" si="312"/>
        <v>2017</v>
      </c>
      <c r="DM427" s="114"/>
      <c r="DN427" s="114"/>
      <c r="DO427" s="114"/>
      <c r="DP427" s="114"/>
      <c r="DQ427" s="112">
        <v>43087</v>
      </c>
      <c r="DR427" s="114" t="s">
        <v>324</v>
      </c>
      <c r="DS427" s="114"/>
      <c r="DT427" s="115">
        <v>45</v>
      </c>
      <c r="DU427" s="116">
        <f t="shared" si="313"/>
        <v>6.5147820786345623E-2</v>
      </c>
      <c r="DV427" s="117">
        <f t="shared" si="314"/>
        <v>3.8669140505943309</v>
      </c>
      <c r="DW427" s="118">
        <f t="shared" si="315"/>
        <v>4.6254952758305397</v>
      </c>
      <c r="DX427" s="119">
        <f t="shared" si="331"/>
        <v>0</v>
      </c>
      <c r="DY427" s="115">
        <f t="shared" si="316"/>
        <v>1.8501981103322156</v>
      </c>
      <c r="DZ427" s="117">
        <f t="shared" si="317"/>
        <v>0.1049140505943309</v>
      </c>
      <c r="EA427" s="120">
        <f t="shared" si="317"/>
        <v>0.12549527583053965</v>
      </c>
      <c r="EB427" s="119">
        <f t="shared" si="317"/>
        <v>0</v>
      </c>
      <c r="EC427" s="121">
        <f t="shared" si="318"/>
        <v>5.0198110332215773E-2</v>
      </c>
      <c r="ED427" s="122"/>
      <c r="EE427" s="145">
        <v>65</v>
      </c>
      <c r="EF427" s="148">
        <v>26</v>
      </c>
      <c r="EG427" s="115">
        <v>38</v>
      </c>
      <c r="EH427" s="115">
        <v>25</v>
      </c>
      <c r="EI427" s="128" t="s">
        <v>218</v>
      </c>
      <c r="EJ427" s="121">
        <v>24</v>
      </c>
      <c r="EK427" s="121">
        <v>24</v>
      </c>
      <c r="EL427" s="149">
        <v>3.762</v>
      </c>
      <c r="EM427" s="142">
        <v>4.5</v>
      </c>
      <c r="EN427" s="119">
        <v>0</v>
      </c>
      <c r="EO427" s="115">
        <v>5</v>
      </c>
      <c r="EP427" s="115">
        <v>478.46889952153106</v>
      </c>
      <c r="EQ427" s="115">
        <v>72</v>
      </c>
      <c r="ER427" s="115">
        <v>3.2</v>
      </c>
      <c r="ES427" s="115">
        <v>46</v>
      </c>
      <c r="ET427" s="150">
        <v>6.4285714285714279E-2</v>
      </c>
      <c r="EU427" s="145">
        <f t="shared" si="332"/>
        <v>65</v>
      </c>
      <c r="EV427" s="115">
        <f t="shared" si="333"/>
        <v>24</v>
      </c>
      <c r="EW427" s="115">
        <f t="shared" si="333"/>
        <v>38</v>
      </c>
      <c r="EX427" s="115">
        <f t="shared" si="333"/>
        <v>23</v>
      </c>
      <c r="EY427" s="115" t="str">
        <f t="shared" si="309"/>
        <v>Периодический</v>
      </c>
      <c r="EZ427" s="115">
        <f t="shared" si="309"/>
        <v>24</v>
      </c>
      <c r="FA427" s="115">
        <f t="shared" si="309"/>
        <v>24</v>
      </c>
      <c r="FB427" s="149">
        <f t="shared" si="345"/>
        <v>3.762</v>
      </c>
      <c r="FC427" s="142">
        <f t="shared" si="345"/>
        <v>4.5</v>
      </c>
      <c r="FD427" s="119">
        <f t="shared" si="345"/>
        <v>0</v>
      </c>
      <c r="FE427" s="121">
        <f t="shared" si="344"/>
        <v>5</v>
      </c>
      <c r="FF427" s="121">
        <f t="shared" si="300"/>
        <v>478.46889952153106</v>
      </c>
      <c r="FG427" s="121">
        <f t="shared" si="334"/>
        <v>72</v>
      </c>
      <c r="FH427" s="121">
        <f t="shared" si="301"/>
        <v>3.2</v>
      </c>
      <c r="FI427" s="121">
        <f t="shared" si="306"/>
        <v>48</v>
      </c>
      <c r="FJ427" s="144">
        <f t="shared" si="335"/>
        <v>6.6176470588235295E-2</v>
      </c>
      <c r="FK427" s="132">
        <f t="shared" si="336"/>
        <v>0</v>
      </c>
      <c r="FL427" s="115">
        <f t="shared" si="336"/>
        <v>-2</v>
      </c>
      <c r="FM427" s="115">
        <f t="shared" si="336"/>
        <v>0</v>
      </c>
      <c r="FN427" s="115">
        <f t="shared" si="336"/>
        <v>-2</v>
      </c>
      <c r="FO427" s="115">
        <f t="shared" si="311"/>
        <v>0</v>
      </c>
      <c r="FP427" s="115">
        <f t="shared" si="311"/>
        <v>0</v>
      </c>
      <c r="FQ427" s="149">
        <f t="shared" si="311"/>
        <v>0</v>
      </c>
      <c r="FR427" s="142">
        <f t="shared" si="311"/>
        <v>0</v>
      </c>
      <c r="FS427" s="119">
        <f t="shared" si="311"/>
        <v>0</v>
      </c>
      <c r="FT427" s="121">
        <f t="shared" si="311"/>
        <v>0</v>
      </c>
      <c r="FU427" s="121">
        <f t="shared" si="337"/>
        <v>0</v>
      </c>
      <c r="FV427" s="121">
        <f t="shared" si="337"/>
        <v>0</v>
      </c>
      <c r="FW427" s="121">
        <f t="shared" si="338"/>
        <v>0</v>
      </c>
      <c r="FX427" s="121">
        <f t="shared" si="339"/>
        <v>2</v>
      </c>
      <c r="FY427" s="144">
        <f t="shared" si="339"/>
        <v>1.8907563025210156E-3</v>
      </c>
      <c r="FZ427" s="145"/>
      <c r="GA427" s="136"/>
      <c r="GB427" s="145"/>
      <c r="GC427" s="136" t="s">
        <v>1629</v>
      </c>
      <c r="GD427" s="997" t="s">
        <v>202</v>
      </c>
      <c r="GE427" s="1004"/>
      <c r="GF427" s="1004">
        <v>0</v>
      </c>
      <c r="GG427" s="1004"/>
      <c r="GH427" s="1004">
        <v>0</v>
      </c>
      <c r="GI427" s="145"/>
      <c r="GJ427" s="996">
        <v>0</v>
      </c>
      <c r="GK427" s="145"/>
      <c r="GL427" s="996">
        <v>0</v>
      </c>
      <c r="GM427" s="1005"/>
      <c r="GN427" s="996">
        <v>0</v>
      </c>
      <c r="GO427" s="1006"/>
      <c r="GP427" s="996">
        <v>0</v>
      </c>
      <c r="GQ427" s="1006" t="s">
        <v>207</v>
      </c>
      <c r="GR427" s="996">
        <v>2.7587999999999999</v>
      </c>
      <c r="GS427" s="1006"/>
      <c r="GT427" s="996">
        <v>0</v>
      </c>
      <c r="GU427" s="1006"/>
      <c r="GV427" s="996">
        <v>0</v>
      </c>
      <c r="GW427" s="1006"/>
      <c r="GX427" s="996">
        <v>-0.25080000000000013</v>
      </c>
      <c r="GY427" s="1006" t="s">
        <v>199</v>
      </c>
      <c r="GZ427" s="996">
        <v>-4.1883599999999994</v>
      </c>
      <c r="HA427" s="1006"/>
      <c r="HB427" s="996">
        <v>0.92503400000000013</v>
      </c>
      <c r="HC427" s="1006"/>
      <c r="HD427" s="996">
        <v>0</v>
      </c>
      <c r="HE427" s="1006" t="s">
        <v>241</v>
      </c>
      <c r="HF427" s="996">
        <v>6.8663355199999998E-2</v>
      </c>
      <c r="HG427" s="1006" t="s">
        <v>199</v>
      </c>
      <c r="HH427" s="996">
        <v>-2.4121803551999994</v>
      </c>
      <c r="HI427" s="1006" t="s">
        <v>199</v>
      </c>
      <c r="HJ427" s="996">
        <v>4.3021521399999987</v>
      </c>
      <c r="HK427" s="1006"/>
      <c r="HL427" s="996">
        <v>0.32112014000000055</v>
      </c>
      <c r="HM427" s="1006" t="s">
        <v>199</v>
      </c>
      <c r="HN427" s="996">
        <v>-4.7722892800000007</v>
      </c>
      <c r="HO427" s="1006"/>
      <c r="HP427" s="996">
        <v>0.75933880000000009</v>
      </c>
      <c r="HQ427" s="1006"/>
      <c r="HR427" s="996">
        <v>-0.78859879999999993</v>
      </c>
      <c r="HS427" s="1006" t="s">
        <v>204</v>
      </c>
      <c r="HT427" s="996">
        <v>-1.61348</v>
      </c>
      <c r="HU427" s="1006" t="s">
        <v>199</v>
      </c>
      <c r="HV427" s="996">
        <v>1.6958259999999994</v>
      </c>
      <c r="HW427" s="1006" t="s">
        <v>241</v>
      </c>
      <c r="HX427" s="996">
        <v>-1.9875314799999986</v>
      </c>
      <c r="HY427" s="1006"/>
      <c r="HZ427" s="996">
        <v>-8.9452000000100895E-4</v>
      </c>
      <c r="IA427" s="1006"/>
      <c r="IB427" s="996">
        <v>0</v>
      </c>
      <c r="IC427" s="1006"/>
      <c r="ID427" s="996">
        <v>0</v>
      </c>
      <c r="IE427" s="1006" t="s">
        <v>199</v>
      </c>
      <c r="IF427" s="996">
        <v>-1.2539999999999996</v>
      </c>
      <c r="IG427" s="1006" t="s">
        <v>204</v>
      </c>
      <c r="IH427" s="996">
        <v>-3.6784000000000017</v>
      </c>
      <c r="II427" s="1006" t="s">
        <v>204</v>
      </c>
      <c r="IJ427" s="996">
        <v>3.845600000000001</v>
      </c>
      <c r="IK427" s="1006"/>
      <c r="IL427" s="996">
        <v>-0.58519999999999861</v>
      </c>
      <c r="IM427" s="1006"/>
      <c r="IN427" s="996">
        <v>0</v>
      </c>
      <c r="IO427" s="1006"/>
      <c r="IP427" s="996">
        <v>0</v>
      </c>
      <c r="IQ427" s="1006" t="s">
        <v>199</v>
      </c>
      <c r="IR427" s="996">
        <v>1.3376000000000001</v>
      </c>
      <c r="IS427" s="1006"/>
      <c r="IT427" s="996">
        <v>0.91959999999999908</v>
      </c>
      <c r="IU427" s="1006"/>
      <c r="IV427" s="996">
        <v>0</v>
      </c>
      <c r="IW427" s="1006"/>
      <c r="IX427" s="996">
        <v>0</v>
      </c>
      <c r="IY427" s="1006" t="s">
        <v>223</v>
      </c>
      <c r="IZ427" s="996">
        <v>-3.8455999999999992</v>
      </c>
      <c r="JA427" s="1006"/>
      <c r="JB427" s="996">
        <v>0</v>
      </c>
      <c r="JC427" s="1006"/>
      <c r="JD427" s="996">
        <v>0</v>
      </c>
      <c r="JE427" s="1006" t="s">
        <v>199</v>
      </c>
      <c r="JF427" s="996">
        <v>5.5175999999999989</v>
      </c>
      <c r="JG427" s="1006" t="s">
        <v>199</v>
      </c>
      <c r="JH427" s="996">
        <v>-8.4660884000000003</v>
      </c>
      <c r="JI427" s="1006"/>
      <c r="JJ427" s="996">
        <v>0</v>
      </c>
      <c r="JK427" s="1007" t="s">
        <v>204</v>
      </c>
      <c r="JL427" s="1007">
        <v>-7.3908252000000019</v>
      </c>
      <c r="JM427" s="1007"/>
      <c r="JN427" s="1007">
        <v>0</v>
      </c>
      <c r="JO427" s="1008"/>
      <c r="JP427" s="1007">
        <v>0</v>
      </c>
      <c r="JQ427" s="1008">
        <v>0</v>
      </c>
      <c r="JR427" s="1007">
        <v>0</v>
      </c>
      <c r="JS427" s="1008">
        <v>0</v>
      </c>
      <c r="JT427" s="1007">
        <v>0</v>
      </c>
      <c r="JU427" s="1008"/>
      <c r="JV427" s="1007">
        <v>0</v>
      </c>
      <c r="JW427" s="1008" t="s">
        <v>197</v>
      </c>
      <c r="JX427" s="1007">
        <v>0</v>
      </c>
      <c r="JY427" s="1008"/>
      <c r="JZ427" s="1007">
        <v>0</v>
      </c>
      <c r="KA427" s="1008"/>
      <c r="KB427" s="1007">
        <v>0</v>
      </c>
      <c r="KC427" s="1008"/>
      <c r="KD427" s="1007">
        <v>0</v>
      </c>
      <c r="KE427" s="1008"/>
      <c r="KF427" s="1007">
        <v>0</v>
      </c>
      <c r="KG427" s="1008"/>
      <c r="KH427" s="1007">
        <v>0</v>
      </c>
      <c r="KI427" s="1008"/>
      <c r="KJ427" s="1007">
        <v>0</v>
      </c>
      <c r="KK427" s="1008"/>
      <c r="KL427" s="1007">
        <v>0</v>
      </c>
      <c r="KM427" s="1008" t="s">
        <v>240</v>
      </c>
      <c r="KN427" s="1007">
        <v>-2.5049904000000005</v>
      </c>
      <c r="KO427" s="1008"/>
      <c r="KP427" s="1007">
        <v>0</v>
      </c>
      <c r="KQ427" s="1008">
        <v>0</v>
      </c>
      <c r="KR427" s="1007">
        <v>0</v>
      </c>
      <c r="KS427" s="1008">
        <v>0</v>
      </c>
      <c r="KT427" s="1007">
        <v>0</v>
      </c>
      <c r="KU427" s="1008">
        <v>0</v>
      </c>
      <c r="KV427" s="1007">
        <v>0</v>
      </c>
      <c r="KW427" s="1008" t="s">
        <v>240</v>
      </c>
      <c r="KX427" s="1007">
        <v>-9.602463199999999</v>
      </c>
      <c r="KY427" s="1008" t="s">
        <v>223</v>
      </c>
      <c r="KZ427" s="1007">
        <v>-14.326364799999993</v>
      </c>
      <c r="LA427" s="1008">
        <v>0</v>
      </c>
      <c r="LB427" s="1007">
        <v>0</v>
      </c>
      <c r="LC427" s="1008">
        <v>0</v>
      </c>
      <c r="LD427" s="1007">
        <v>0</v>
      </c>
      <c r="LE427" s="1008" t="s">
        <v>25</v>
      </c>
      <c r="LF427" s="1007">
        <v>49.323999999999998</v>
      </c>
      <c r="LG427" s="1008">
        <v>0</v>
      </c>
      <c r="LH427" s="1007">
        <v>0</v>
      </c>
      <c r="LI427" s="1008">
        <v>0</v>
      </c>
      <c r="LJ427" s="1007">
        <v>0</v>
      </c>
      <c r="LK427" s="1008">
        <v>0</v>
      </c>
      <c r="LL427" s="1007">
        <v>0</v>
      </c>
      <c r="LM427" s="1008">
        <v>0</v>
      </c>
      <c r="LN427" s="1007">
        <v>0</v>
      </c>
      <c r="LO427" s="1008">
        <v>0</v>
      </c>
      <c r="LP427" s="1007">
        <v>0</v>
      </c>
      <c r="LQ427" s="1008">
        <v>0</v>
      </c>
      <c r="LR427" s="1007">
        <v>0</v>
      </c>
      <c r="LS427" s="1008">
        <v>0</v>
      </c>
      <c r="LT427" s="1007">
        <v>0</v>
      </c>
      <c r="LU427" s="1008">
        <v>0</v>
      </c>
      <c r="LV427" s="1007">
        <v>0</v>
      </c>
      <c r="LW427" s="1008">
        <v>0</v>
      </c>
      <c r="LX427" s="1007">
        <v>0</v>
      </c>
      <c r="LY427" s="1009">
        <v>0</v>
      </c>
      <c r="LZ427" s="1010">
        <v>0</v>
      </c>
      <c r="MA427" s="1011">
        <v>0</v>
      </c>
      <c r="MB427" s="1012">
        <v>0</v>
      </c>
      <c r="MC427" s="995"/>
      <c r="MD427" s="996"/>
      <c r="ME427" s="997" t="s">
        <v>202</v>
      </c>
      <c r="MF427" s="997"/>
      <c r="MG427" s="998"/>
      <c r="NR427" s="1000"/>
      <c r="NS427" s="1000"/>
      <c r="NT427" s="1001"/>
      <c r="NU427" s="1000"/>
      <c r="NV427" s="1001"/>
      <c r="NX427" s="1002"/>
      <c r="NZ427" s="1001"/>
      <c r="OA427" s="1001"/>
      <c r="OC427" s="1003"/>
      <c r="OD427" s="1003"/>
      <c r="OE427" s="1001"/>
      <c r="OF427" s="1003"/>
      <c r="OG427" s="1003"/>
      <c r="QX427" s="1000">
        <f>CN427-CA427</f>
        <v>24</v>
      </c>
      <c r="ASU427" s="999" t="s">
        <v>225</v>
      </c>
    </row>
    <row r="428" spans="1:466 1191:1191" s="1026" customFormat="1" ht="21" customHeight="1" x14ac:dyDescent="0.25">
      <c r="A428" s="982">
        <f t="shared" si="323"/>
        <v>1503</v>
      </c>
      <c r="B428" s="124">
        <f>SUBTOTAL(103,$J$29:J428)</f>
        <v>400</v>
      </c>
      <c r="C428" s="126">
        <v>45068</v>
      </c>
      <c r="D428" s="124" t="s">
        <v>176</v>
      </c>
      <c r="E428" s="127" t="s">
        <v>177</v>
      </c>
      <c r="F428" s="128" t="s">
        <v>177</v>
      </c>
      <c r="G428" s="127" t="s">
        <v>178</v>
      </c>
      <c r="H428" s="127" t="s">
        <v>179</v>
      </c>
      <c r="I428" s="127" t="s">
        <v>1616</v>
      </c>
      <c r="J428" s="152">
        <v>1503</v>
      </c>
      <c r="K428" s="127" t="s">
        <v>1616</v>
      </c>
      <c r="L428" s="130">
        <v>43196</v>
      </c>
      <c r="M428" s="127" t="s">
        <v>230</v>
      </c>
      <c r="N428" s="127" t="s">
        <v>184</v>
      </c>
      <c r="O428" s="127" t="s">
        <v>185</v>
      </c>
      <c r="P428" s="127" t="s">
        <v>186</v>
      </c>
      <c r="Q428" s="85">
        <f t="shared" si="319"/>
        <v>-4</v>
      </c>
      <c r="R428" s="130">
        <v>43146</v>
      </c>
      <c r="S428" s="128" t="s">
        <v>747</v>
      </c>
      <c r="T428" s="131" t="s">
        <v>1294</v>
      </c>
      <c r="U428" s="132">
        <v>203</v>
      </c>
      <c r="V428" s="121">
        <v>218.2</v>
      </c>
      <c r="W428" s="116">
        <v>0.98</v>
      </c>
      <c r="X428" s="116">
        <v>1.66</v>
      </c>
      <c r="Y428" s="116">
        <f t="shared" si="299"/>
        <v>0.98</v>
      </c>
      <c r="Z428" s="133">
        <v>1.454</v>
      </c>
      <c r="AA428" s="133">
        <v>0.83599999999999997</v>
      </c>
      <c r="AB428" s="133">
        <v>0.72</v>
      </c>
      <c r="AC428" s="121">
        <v>34.299999999999997</v>
      </c>
      <c r="AD428" s="134">
        <v>1.17</v>
      </c>
      <c r="AE428" s="124">
        <v>177.8</v>
      </c>
      <c r="AF428" s="128">
        <v>9.19</v>
      </c>
      <c r="AG428" s="128">
        <v>2211.6999999999998</v>
      </c>
      <c r="AH428" s="138">
        <v>3072.92</v>
      </c>
      <c r="AI428" s="138">
        <v>3072.92</v>
      </c>
      <c r="AJ428" s="135">
        <v>43134</v>
      </c>
      <c r="AK428" s="128" t="s">
        <v>1018</v>
      </c>
      <c r="AL428" s="131"/>
      <c r="AM428" s="124" t="s">
        <v>985</v>
      </c>
      <c r="AN428" s="136" t="s">
        <v>1630</v>
      </c>
      <c r="AO428" s="137">
        <v>9.6300000000000008</v>
      </c>
      <c r="AP428" s="128">
        <v>2219.87</v>
      </c>
      <c r="AQ428" s="128">
        <v>436</v>
      </c>
      <c r="AR428" s="128" t="s">
        <v>1631</v>
      </c>
      <c r="AS428" s="128">
        <v>114</v>
      </c>
      <c r="AT428" s="122">
        <v>7.37</v>
      </c>
      <c r="AU428" s="124" t="s">
        <v>189</v>
      </c>
      <c r="AV428" s="115">
        <f>VLOOKUP(J428,'[63]ТР нефть'!$J$28:$BP$638,39,0)</f>
        <v>470.00000009799999</v>
      </c>
      <c r="AW428" s="115" t="str">
        <f>VLOOKUP(J428,'[63]ТР нефть'!$J$28:$BP$638,40,0)</f>
        <v>ГК 78 1/8</v>
      </c>
      <c r="AX428" s="115">
        <f>VLOOKUP(J428,'[63]ТР нефть'!$J$28:$BP$638,41,0)</f>
        <v>870.00003105500002</v>
      </c>
      <c r="AY428" s="115" t="str">
        <f>VLOOKUP(J428,'[63]ТР нефть'!$J$28:$BP$638,42,0)</f>
        <v>ГК 80 1/8</v>
      </c>
      <c r="AZ428" s="115">
        <f>VLOOKUP(J428,'[63]ТР нефть'!$J$28:$BP$638,43,0)</f>
        <v>1260.000039844</v>
      </c>
      <c r="BA428" s="115" t="str">
        <f>VLOOKUP(J428,'[63]ТР нефть'!$J$28:$BP$638,44,0)</f>
        <v>ГК 80 1/8</v>
      </c>
      <c r="BB428" s="115">
        <f>VLOOKUP(J428,'[63]ТР нефть'!$J$28:$BP$638,45,0)</f>
        <v>1569.9999457030001</v>
      </c>
      <c r="BC428" s="115" t="str">
        <f>VLOOKUP(J428,'[63]ТР нефть'!$J$28:$BP$638,46,0)</f>
        <v>ГК 80 5/32</v>
      </c>
      <c r="BD428" s="115">
        <f>VLOOKUP(J428,'[63]ТР нефть'!$J$28:$BP$638,47,0)</f>
        <v>1819.999941797</v>
      </c>
      <c r="BE428" s="115" t="str">
        <f>VLOOKUP(J428,'[63]ТР нефть'!$J$28:$BP$638,48,0)</f>
        <v>ГК 80 5/32</v>
      </c>
      <c r="BF428" s="115">
        <f>VLOOKUP(J428,'[63]ТР нефть'!$J$28:$BP$638,49,0)</f>
        <v>1960</v>
      </c>
      <c r="BG428" s="115" t="str">
        <f>VLOOKUP(J428,'[63]ТР нефть'!$J$28:$BP$638,50,0)</f>
        <v>ЦКсОК 5/16</v>
      </c>
      <c r="BH428" s="115">
        <f>VLOOKUP(J428,'[63]ТР нефть'!$J$28:$BP$638,51,0)</f>
        <v>1970</v>
      </c>
      <c r="BI428" s="115" t="str">
        <f>VLOOKUP(J428,'[63]ТР нефть'!$J$28:$BP$638,52,0)</f>
        <v>открыт</v>
      </c>
      <c r="BJ428" s="115" t="str">
        <f>IF(IFERROR(VLOOKUP(J428,'[63]ТР нефть'!$J$28:$BP$638,53,0),"-")=0,"-",IFERROR(VLOOKUP(J428,'[63]ТР нефть'!$J$28:$BP$638,53,0),"-"))</f>
        <v>-</v>
      </c>
      <c r="BK428" s="138" t="str">
        <f>IF(IFERROR(VLOOKUP(J428,'[63]ТР нефть'!$J$28:$BP$638,54,0),"-")=0,"-",IFERROR(VLOOKUP(J428,'[63]ТР нефть'!$J$28:$BP$638,54,0),"-"))</f>
        <v>-</v>
      </c>
      <c r="BL428" s="138" t="str">
        <f>IF(IFERROR(VLOOKUP(J428,'[63]ТР нефть'!$J$28:$BP$638,55,0),"-")=0,"-",IFERROR(VLOOKUP(J428,'[63]ТР нефть'!$J$28:$BP$638,55,0),"-"))</f>
        <v>-</v>
      </c>
      <c r="BM428" s="138" t="str">
        <f>IF(IFERROR(VLOOKUP(J428,'[63]ТР нефть'!$J$28:$BP$638,56,0),"-")=0,"-",IFERROR(VLOOKUP(J428,'[63]ТР нефть'!$J$28:$BP$638,56,0),"-"))</f>
        <v>-</v>
      </c>
      <c r="BN428" s="138" t="str">
        <f>IF(IFERROR(VLOOKUP(J428,'[63]ТР нефть'!$J$28:$BP$638,57,0),"-")=0,"-",IFERROR(VLOOKUP(J428,'[63]ТР нефть'!$J$28:$BP$638,57,0),"-"))</f>
        <v>-</v>
      </c>
      <c r="BO428" s="115" t="str">
        <f>IF(IFERROR(VLOOKUP(J428,'[63]ТР нефть'!$J$28:$BP$638,58,0),"-")=0,"-",IFERROR(VLOOKUP(J428,'[63]ТР нефть'!$J$28:$BP$638,58,0),"-"))</f>
        <v>-</v>
      </c>
      <c r="BP428" s="115" t="str">
        <f>IF(IFERROR(VLOOKUP(J428,'[63]ТР нефть'!$J$28:$BP$638,59,0),"-")=0,"-",IFERROR(VLOOKUP(J428,'[63]ТР нефть'!$J$28:$BP$638,59,0),"-"))</f>
        <v>-</v>
      </c>
      <c r="BQ428" s="138">
        <v>2160</v>
      </c>
      <c r="BR428" s="128">
        <v>1758.3</v>
      </c>
      <c r="BS428" s="115">
        <f t="shared" si="340"/>
        <v>401.70000000000005</v>
      </c>
      <c r="BT428" s="128">
        <v>73</v>
      </c>
      <c r="BU428" s="128">
        <v>5.5</v>
      </c>
      <c r="BV428" s="127">
        <v>65</v>
      </c>
      <c r="BW428" s="127" t="s">
        <v>217</v>
      </c>
      <c r="BX428" s="127" t="s">
        <v>195</v>
      </c>
      <c r="BY428" s="139">
        <v>24</v>
      </c>
      <c r="BZ428" s="139">
        <v>0</v>
      </c>
      <c r="CA428" s="80">
        <v>23</v>
      </c>
      <c r="CB428" s="138">
        <v>37</v>
      </c>
      <c r="CC428" s="138">
        <v>22</v>
      </c>
      <c r="CD428" s="135">
        <v>45017</v>
      </c>
      <c r="CE428" s="138">
        <v>87</v>
      </c>
      <c r="CF428" s="138">
        <v>74</v>
      </c>
      <c r="CG428" s="138" t="str">
        <f t="shared" si="310"/>
        <v>В работе</v>
      </c>
      <c r="CH428" s="138" t="s">
        <v>196</v>
      </c>
      <c r="CI428" s="127"/>
      <c r="CJ428" s="138"/>
      <c r="CK428" s="138">
        <f t="shared" si="308"/>
        <v>23</v>
      </c>
      <c r="CL428" s="99"/>
      <c r="CM428" s="99"/>
      <c r="CN428" s="140">
        <v>46</v>
      </c>
      <c r="CO428" s="141">
        <f t="shared" si="324"/>
        <v>4.9324000000000003</v>
      </c>
      <c r="CP428" s="142">
        <v>5.9</v>
      </c>
      <c r="CQ428" s="143">
        <v>0</v>
      </c>
      <c r="CR428" s="138">
        <v>14.5</v>
      </c>
      <c r="CS428" s="139">
        <v>7.2</v>
      </c>
      <c r="CT428" s="138"/>
      <c r="CU428" s="138">
        <f t="shared" si="320"/>
        <v>7.3</v>
      </c>
      <c r="CV428" s="115">
        <f t="shared" si="321"/>
        <v>1480.0097315708376</v>
      </c>
      <c r="CW428" s="115">
        <f t="shared" si="325"/>
        <v>1459.7356256589085</v>
      </c>
      <c r="CX428" s="133">
        <f t="shared" si="322"/>
        <v>0.14390243902439026</v>
      </c>
      <c r="CY428" s="116"/>
      <c r="CZ428" s="131"/>
      <c r="DA428" s="145" t="str">
        <f t="shared" si="326"/>
        <v>Газлифт</v>
      </c>
      <c r="DB428" s="146">
        <f t="shared" si="341"/>
        <v>4.9324000000000003</v>
      </c>
      <c r="DC428" s="142">
        <f t="shared" si="342"/>
        <v>5.9</v>
      </c>
      <c r="DD428" s="119">
        <f t="shared" si="303"/>
        <v>0</v>
      </c>
      <c r="DE428" s="115">
        <f t="shared" si="343"/>
        <v>7.3</v>
      </c>
      <c r="DF428" s="121">
        <f t="shared" si="328"/>
        <v>7.2</v>
      </c>
      <c r="DG428" s="115">
        <f t="shared" si="329"/>
        <v>1480.0097315708376</v>
      </c>
      <c r="DH428" s="115">
        <f t="shared" si="330"/>
        <v>46</v>
      </c>
      <c r="DI428" s="147"/>
      <c r="DJ428" s="111" t="s">
        <v>197</v>
      </c>
      <c r="DK428" s="112">
        <v>43196</v>
      </c>
      <c r="DL428" s="113">
        <f t="shared" ca="1" si="312"/>
        <v>1908</v>
      </c>
      <c r="DM428" s="114"/>
      <c r="DN428" s="114"/>
      <c r="DO428" s="114"/>
      <c r="DP428" s="114"/>
      <c r="DQ428" s="112">
        <v>43196</v>
      </c>
      <c r="DR428" s="114"/>
      <c r="DS428" s="114"/>
      <c r="DT428" s="115">
        <v>48</v>
      </c>
      <c r="DU428" s="116">
        <f t="shared" si="313"/>
        <v>0.1512820512820513</v>
      </c>
      <c r="DV428" s="117">
        <f t="shared" si="314"/>
        <v>4.9324000000000003</v>
      </c>
      <c r="DW428" s="118">
        <f t="shared" si="315"/>
        <v>5.9</v>
      </c>
      <c r="DX428" s="119">
        <f t="shared" si="331"/>
        <v>0</v>
      </c>
      <c r="DY428" s="115">
        <f t="shared" si="316"/>
        <v>7.3</v>
      </c>
      <c r="DZ428" s="117">
        <f t="shared" si="317"/>
        <v>0</v>
      </c>
      <c r="EA428" s="120">
        <f t="shared" si="317"/>
        <v>0</v>
      </c>
      <c r="EB428" s="119">
        <f t="shared" si="317"/>
        <v>0</v>
      </c>
      <c r="EC428" s="121">
        <f t="shared" si="318"/>
        <v>0</v>
      </c>
      <c r="ED428" s="122"/>
      <c r="EE428" s="145">
        <v>65</v>
      </c>
      <c r="EF428" s="148">
        <v>26</v>
      </c>
      <c r="EG428" s="115">
        <v>37</v>
      </c>
      <c r="EH428" s="115">
        <v>25</v>
      </c>
      <c r="EI428" s="128" t="s">
        <v>195</v>
      </c>
      <c r="EJ428" s="121">
        <v>24</v>
      </c>
      <c r="EK428" s="121">
        <v>0</v>
      </c>
      <c r="EL428" s="149">
        <v>4.9324000000000003</v>
      </c>
      <c r="EM428" s="142">
        <v>5.9</v>
      </c>
      <c r="EN428" s="119">
        <v>0</v>
      </c>
      <c r="EO428" s="115">
        <v>16.8</v>
      </c>
      <c r="EP428" s="115">
        <v>1459.7356256589085</v>
      </c>
      <c r="EQ428" s="115">
        <v>73</v>
      </c>
      <c r="ER428" s="115">
        <v>9.6</v>
      </c>
      <c r="ES428" s="115">
        <v>46</v>
      </c>
      <c r="ET428" s="150">
        <v>0.14390243902439026</v>
      </c>
      <c r="EU428" s="145">
        <f t="shared" si="332"/>
        <v>65</v>
      </c>
      <c r="EV428" s="115">
        <f t="shared" si="333"/>
        <v>23</v>
      </c>
      <c r="EW428" s="115">
        <f t="shared" si="333"/>
        <v>37</v>
      </c>
      <c r="EX428" s="115">
        <f t="shared" si="333"/>
        <v>22</v>
      </c>
      <c r="EY428" s="115" t="str">
        <f t="shared" si="309"/>
        <v>Постоянный</v>
      </c>
      <c r="EZ428" s="115">
        <f t="shared" si="309"/>
        <v>24</v>
      </c>
      <c r="FA428" s="115">
        <f t="shared" si="309"/>
        <v>0</v>
      </c>
      <c r="FB428" s="149">
        <f t="shared" si="345"/>
        <v>4.9324000000000003</v>
      </c>
      <c r="FC428" s="142">
        <f t="shared" si="345"/>
        <v>5.9</v>
      </c>
      <c r="FD428" s="119">
        <f t="shared" si="345"/>
        <v>0</v>
      </c>
      <c r="FE428" s="121">
        <f t="shared" si="344"/>
        <v>14.5</v>
      </c>
      <c r="FF428" s="121">
        <f t="shared" si="300"/>
        <v>1480.0097315708376</v>
      </c>
      <c r="FG428" s="121">
        <f t="shared" si="334"/>
        <v>74</v>
      </c>
      <c r="FH428" s="121">
        <f t="shared" si="301"/>
        <v>7.2</v>
      </c>
      <c r="FI428" s="121">
        <f t="shared" si="306"/>
        <v>46</v>
      </c>
      <c r="FJ428" s="144">
        <f t="shared" si="335"/>
        <v>0.14390243902439026</v>
      </c>
      <c r="FK428" s="132">
        <f t="shared" si="336"/>
        <v>0</v>
      </c>
      <c r="FL428" s="115">
        <f t="shared" si="336"/>
        <v>-3</v>
      </c>
      <c r="FM428" s="115">
        <f t="shared" si="336"/>
        <v>0</v>
      </c>
      <c r="FN428" s="115">
        <f t="shared" si="336"/>
        <v>-3</v>
      </c>
      <c r="FO428" s="115">
        <f t="shared" si="311"/>
        <v>0</v>
      </c>
      <c r="FP428" s="115">
        <f t="shared" si="311"/>
        <v>0</v>
      </c>
      <c r="FQ428" s="149">
        <f t="shared" si="311"/>
        <v>0</v>
      </c>
      <c r="FR428" s="142">
        <f t="shared" si="311"/>
        <v>0</v>
      </c>
      <c r="FS428" s="119">
        <f t="shared" si="311"/>
        <v>0</v>
      </c>
      <c r="FT428" s="121">
        <f t="shared" si="311"/>
        <v>-2.3000000000000007</v>
      </c>
      <c r="FU428" s="121">
        <f t="shared" si="337"/>
        <v>1</v>
      </c>
      <c r="FV428" s="121">
        <f t="shared" si="337"/>
        <v>-2.3999999999999995</v>
      </c>
      <c r="FW428" s="121">
        <f t="shared" si="338"/>
        <v>20.274105911929155</v>
      </c>
      <c r="FX428" s="121">
        <f t="shared" si="339"/>
        <v>0</v>
      </c>
      <c r="FY428" s="144">
        <f t="shared" si="339"/>
        <v>0</v>
      </c>
      <c r="FZ428" s="145"/>
      <c r="GA428" s="125"/>
      <c r="GB428" s="145"/>
      <c r="GC428" s="125"/>
      <c r="GD428" s="997" t="s">
        <v>202</v>
      </c>
      <c r="GE428" s="1004"/>
      <c r="GF428" s="1004">
        <v>-8.3599999999999675E-2</v>
      </c>
      <c r="GG428" s="1004"/>
      <c r="GH428" s="1004">
        <v>0</v>
      </c>
      <c r="GI428" s="145"/>
      <c r="GJ428" s="996">
        <v>0</v>
      </c>
      <c r="GK428" s="145" t="s">
        <v>240</v>
      </c>
      <c r="GL428" s="996">
        <v>-1.3794000000000004</v>
      </c>
      <c r="GM428" s="1005"/>
      <c r="GN428" s="996">
        <v>0</v>
      </c>
      <c r="GO428" s="1006" t="s">
        <v>199</v>
      </c>
      <c r="GP428" s="996">
        <v>2.2990000000000004</v>
      </c>
      <c r="GQ428" s="1006"/>
      <c r="GR428" s="996">
        <v>0</v>
      </c>
      <c r="GS428" s="1006"/>
      <c r="GT428" s="996">
        <v>0</v>
      </c>
      <c r="GU428" s="1006"/>
      <c r="GV428" s="996">
        <v>0</v>
      </c>
      <c r="GW428" s="1006"/>
      <c r="GX428" s="996">
        <v>-0.50159999999999982</v>
      </c>
      <c r="GY428" s="1006" t="s">
        <v>199</v>
      </c>
      <c r="GZ428" s="996">
        <v>1.9645999999999999</v>
      </c>
      <c r="HA428" s="1006" t="s">
        <v>199</v>
      </c>
      <c r="HB428" s="996">
        <v>-1.9645999999999999</v>
      </c>
      <c r="HC428" s="1006" t="s">
        <v>199</v>
      </c>
      <c r="HD428" s="996">
        <v>-0.50199999999999978</v>
      </c>
      <c r="HE428" s="1006"/>
      <c r="HF428" s="996">
        <v>0.39292000000000016</v>
      </c>
      <c r="HG428" s="1006" t="s">
        <v>199</v>
      </c>
      <c r="HH428" s="996">
        <v>-1.1620400000000002</v>
      </c>
      <c r="HI428" s="1006"/>
      <c r="HJ428" s="996">
        <v>0.14212000000000025</v>
      </c>
      <c r="HK428" s="1006"/>
      <c r="HL428" s="996">
        <v>0</v>
      </c>
      <c r="HM428" s="1006"/>
      <c r="HN428" s="996">
        <v>0.30096000000000078</v>
      </c>
      <c r="HO428" s="1006"/>
      <c r="HP428" s="996">
        <v>0.3451007999999991</v>
      </c>
      <c r="HQ428" s="1006" t="s">
        <v>199</v>
      </c>
      <c r="HR428" s="996">
        <v>-0.81764144000000005</v>
      </c>
      <c r="HS428" s="1006"/>
      <c r="HT428" s="996">
        <v>0</v>
      </c>
      <c r="HU428" s="1006"/>
      <c r="HV428" s="996">
        <v>0</v>
      </c>
      <c r="HW428" s="1006"/>
      <c r="HX428" s="996">
        <v>-0.25864167999999932</v>
      </c>
      <c r="HY428" s="1006"/>
      <c r="HZ428" s="996">
        <v>0</v>
      </c>
      <c r="IA428" s="1006"/>
      <c r="IB428" s="996">
        <v>0.27138231999999984</v>
      </c>
      <c r="IC428" s="1006" t="s">
        <v>204</v>
      </c>
      <c r="ID428" s="996">
        <v>-3.0514000000000001</v>
      </c>
      <c r="IE428" s="1006"/>
      <c r="IF428" s="996">
        <v>0</v>
      </c>
      <c r="IG428" s="1006"/>
      <c r="IH428" s="996">
        <v>0.8360000000000003</v>
      </c>
      <c r="II428" s="1006" t="s">
        <v>223</v>
      </c>
      <c r="IJ428" s="996">
        <v>-1.6720000000000006</v>
      </c>
      <c r="IK428" s="1006" t="s">
        <v>199</v>
      </c>
      <c r="IL428" s="996">
        <v>1.0449999999999999</v>
      </c>
      <c r="IM428" s="1006"/>
      <c r="IN428" s="996">
        <v>0.34276000000000018</v>
      </c>
      <c r="IO428" s="1006" t="s">
        <v>223</v>
      </c>
      <c r="IP428" s="996">
        <v>-1.1285999999999987</v>
      </c>
      <c r="IQ428" s="1006"/>
      <c r="IR428" s="996">
        <v>-0.25916000000000139</v>
      </c>
      <c r="IS428" s="1006"/>
      <c r="IT428" s="996">
        <v>0</v>
      </c>
      <c r="IU428" s="1006" t="s">
        <v>223</v>
      </c>
      <c r="IV428" s="996">
        <v>-2.5079999999999991</v>
      </c>
      <c r="IW428" s="1006"/>
      <c r="IX428" s="996">
        <v>0</v>
      </c>
      <c r="IY428" s="1006"/>
      <c r="IZ428" s="996">
        <v>-0.8360000000000003</v>
      </c>
      <c r="JA428" s="1006"/>
      <c r="JB428" s="996">
        <v>0</v>
      </c>
      <c r="JC428" s="1006"/>
      <c r="JD428" s="996">
        <v>0</v>
      </c>
      <c r="JE428" s="1006"/>
      <c r="JF428" s="996">
        <v>0</v>
      </c>
      <c r="JG428" s="1006"/>
      <c r="JH428" s="996">
        <v>0</v>
      </c>
      <c r="JI428" s="1006"/>
      <c r="JJ428" s="996">
        <v>0</v>
      </c>
      <c r="JK428" s="1007"/>
      <c r="JL428" s="1007">
        <v>0</v>
      </c>
      <c r="JM428" s="1007" t="s">
        <v>199</v>
      </c>
      <c r="JN428" s="1007">
        <v>2.5079999999999991</v>
      </c>
      <c r="JO428" s="1008" t="s">
        <v>199</v>
      </c>
      <c r="JP428" s="1007">
        <v>-2.5079999999999991</v>
      </c>
      <c r="JQ428" s="1008">
        <v>0</v>
      </c>
      <c r="JR428" s="1007">
        <v>0</v>
      </c>
      <c r="JS428" s="1008">
        <v>0</v>
      </c>
      <c r="JT428" s="1007">
        <v>0</v>
      </c>
      <c r="JU428" s="1008" t="s">
        <v>204</v>
      </c>
      <c r="JV428" s="1007">
        <v>-2.5079999999999991</v>
      </c>
      <c r="JW428" s="1008" t="s">
        <v>197</v>
      </c>
      <c r="JX428" s="1007">
        <v>0</v>
      </c>
      <c r="JY428" s="1008" t="s">
        <v>240</v>
      </c>
      <c r="JZ428" s="1007">
        <v>-11.703999999999999</v>
      </c>
      <c r="KA428" s="1008"/>
      <c r="KB428" s="1007">
        <v>0</v>
      </c>
      <c r="KC428" s="1008"/>
      <c r="KD428" s="1007">
        <v>0</v>
      </c>
      <c r="KE428" s="1008"/>
      <c r="KF428" s="1007">
        <v>0</v>
      </c>
      <c r="KG428" s="1008"/>
      <c r="KH428" s="1007">
        <v>0</v>
      </c>
      <c r="KI428" s="1008" t="s">
        <v>203</v>
      </c>
      <c r="KJ428" s="1007">
        <v>8.0256000000000007</v>
      </c>
      <c r="KK428" s="1008"/>
      <c r="KL428" s="1007">
        <v>0</v>
      </c>
      <c r="KM428" s="1008" t="s">
        <v>203</v>
      </c>
      <c r="KN428" s="1007">
        <v>-6.1864000000000026</v>
      </c>
      <c r="KO428" s="1008" t="s">
        <v>203</v>
      </c>
      <c r="KP428" s="1007">
        <v>-3.5111999999999988</v>
      </c>
      <c r="KQ428" s="1008">
        <v>0</v>
      </c>
      <c r="KR428" s="1007">
        <v>0</v>
      </c>
      <c r="KS428" s="1008">
        <v>0</v>
      </c>
      <c r="KT428" s="1007">
        <v>0</v>
      </c>
      <c r="KU428" s="1008" t="s">
        <v>203</v>
      </c>
      <c r="KV428" s="1007">
        <v>-22.572000000000003</v>
      </c>
      <c r="KW428" s="1008" t="s">
        <v>342</v>
      </c>
      <c r="KX428" s="1007">
        <v>51.832000000000001</v>
      </c>
      <c r="KY428" s="1008">
        <v>0</v>
      </c>
      <c r="KZ428" s="1007">
        <v>0</v>
      </c>
      <c r="LA428" s="1008">
        <v>0</v>
      </c>
      <c r="LB428" s="1007">
        <v>0</v>
      </c>
      <c r="LC428" s="1008">
        <v>0</v>
      </c>
      <c r="LD428" s="1007">
        <v>0</v>
      </c>
      <c r="LE428" s="1008">
        <v>0</v>
      </c>
      <c r="LF428" s="1007">
        <v>0</v>
      </c>
      <c r="LG428" s="1008">
        <v>0</v>
      </c>
      <c r="LH428" s="1007">
        <v>0</v>
      </c>
      <c r="LI428" s="1008">
        <v>0</v>
      </c>
      <c r="LJ428" s="1007">
        <v>0</v>
      </c>
      <c r="LK428" s="1008">
        <v>0</v>
      </c>
      <c r="LL428" s="1007">
        <v>0</v>
      </c>
      <c r="LM428" s="1008">
        <v>0</v>
      </c>
      <c r="LN428" s="1007">
        <v>0</v>
      </c>
      <c r="LO428" s="1008">
        <v>0</v>
      </c>
      <c r="LP428" s="1007">
        <v>0</v>
      </c>
      <c r="LQ428" s="1008">
        <v>0</v>
      </c>
      <c r="LR428" s="1007">
        <v>0</v>
      </c>
      <c r="LS428" s="1008">
        <v>0</v>
      </c>
      <c r="LT428" s="1007">
        <v>0</v>
      </c>
      <c r="LU428" s="1008">
        <v>0</v>
      </c>
      <c r="LV428" s="1007">
        <v>0</v>
      </c>
      <c r="LW428" s="1008">
        <v>0</v>
      </c>
      <c r="LX428" s="1007">
        <v>0</v>
      </c>
      <c r="LY428" s="1009">
        <v>0</v>
      </c>
      <c r="LZ428" s="1010">
        <v>0</v>
      </c>
      <c r="MA428" s="1011">
        <v>0</v>
      </c>
      <c r="MB428" s="1012">
        <v>0</v>
      </c>
      <c r="MC428" s="995"/>
      <c r="MD428" s="996"/>
      <c r="ME428" s="997" t="s">
        <v>202</v>
      </c>
      <c r="MF428" s="997"/>
      <c r="MG428" s="998"/>
      <c r="MH428" s="878"/>
      <c r="MI428" s="878"/>
      <c r="MJ428" s="878"/>
      <c r="MK428" s="878"/>
      <c r="ML428" s="878"/>
      <c r="MM428" s="878"/>
      <c r="MN428" s="878"/>
      <c r="MO428" s="878"/>
      <c r="MP428" s="878"/>
      <c r="MQ428" s="878"/>
      <c r="MR428" s="878"/>
      <c r="MS428" s="878"/>
      <c r="MT428" s="878"/>
      <c r="MU428" s="878"/>
      <c r="MV428" s="878"/>
      <c r="MW428" s="878"/>
      <c r="MX428" s="878"/>
      <c r="MY428" s="878"/>
      <c r="MZ428" s="878"/>
      <c r="NA428" s="878"/>
      <c r="NB428" s="878"/>
      <c r="NC428" s="878"/>
      <c r="ND428" s="878"/>
      <c r="NE428" s="878"/>
      <c r="NF428" s="878"/>
      <c r="NG428" s="878"/>
      <c r="NH428" s="878"/>
      <c r="NI428" s="878"/>
      <c r="NJ428" s="878"/>
      <c r="NK428" s="878"/>
      <c r="NL428" s="878"/>
      <c r="NM428" s="878"/>
      <c r="NR428" s="1027"/>
      <c r="NS428" s="1027"/>
      <c r="NT428" s="1028"/>
      <c r="NU428" s="1027"/>
      <c r="NV428" s="1028"/>
      <c r="NW428" s="1029"/>
      <c r="NX428" s="1030"/>
      <c r="NY428" s="1029"/>
      <c r="NZ428" s="1028"/>
      <c r="OA428" s="1028"/>
      <c r="OB428" s="1029"/>
      <c r="OC428" s="1031"/>
      <c r="OD428" s="1031"/>
      <c r="OE428" s="1028"/>
      <c r="OF428" s="1031"/>
      <c r="OG428" s="1031"/>
      <c r="QX428" s="1000">
        <f>CN428-CA428</f>
        <v>23</v>
      </c>
      <c r="ASU428" s="1026" t="s">
        <v>225</v>
      </c>
    </row>
    <row r="429" spans="1:466 1191:1191" s="1032" customFormat="1" ht="21" customHeight="1" x14ac:dyDescent="0.25">
      <c r="A429" s="982">
        <f t="shared" si="323"/>
        <v>1504</v>
      </c>
      <c r="B429" s="124">
        <f>SUBTOTAL(103,$J$29:J429)</f>
        <v>401</v>
      </c>
      <c r="C429" s="126">
        <v>45068</v>
      </c>
      <c r="D429" s="124" t="s">
        <v>176</v>
      </c>
      <c r="E429" s="127" t="s">
        <v>177</v>
      </c>
      <c r="F429" s="128" t="s">
        <v>177</v>
      </c>
      <c r="G429" s="127" t="s">
        <v>178</v>
      </c>
      <c r="H429" s="127" t="s">
        <v>179</v>
      </c>
      <c r="I429" s="127" t="s">
        <v>1616</v>
      </c>
      <c r="J429" s="152">
        <v>1504</v>
      </c>
      <c r="K429" s="127" t="s">
        <v>1616</v>
      </c>
      <c r="L429" s="130">
        <v>43333</v>
      </c>
      <c r="M429" s="127" t="s">
        <v>230</v>
      </c>
      <c r="N429" s="127" t="s">
        <v>184</v>
      </c>
      <c r="O429" s="127" t="s">
        <v>185</v>
      </c>
      <c r="P429" s="127" t="s">
        <v>186</v>
      </c>
      <c r="Q429" s="85" t="str">
        <f t="shared" si="319"/>
        <v/>
      </c>
      <c r="R429" s="130"/>
      <c r="S429" s="128"/>
      <c r="T429" s="131"/>
      <c r="U429" s="132">
        <v>203</v>
      </c>
      <c r="V429" s="121">
        <v>218.2</v>
      </c>
      <c r="W429" s="116">
        <v>0.98</v>
      </c>
      <c r="X429" s="116">
        <v>1.66</v>
      </c>
      <c r="Y429" s="116">
        <f t="shared" ref="Y429:Y492" si="346">(W429*X429)/((CQ429/100)*W429+(1-CQ429/100)*X429)</f>
        <v>0.98</v>
      </c>
      <c r="Z429" s="133">
        <v>1.454</v>
      </c>
      <c r="AA429" s="133">
        <v>0.83599999999999997</v>
      </c>
      <c r="AB429" s="133">
        <v>0.72</v>
      </c>
      <c r="AC429" s="121">
        <v>34.299999999999997</v>
      </c>
      <c r="AD429" s="134">
        <v>1.17</v>
      </c>
      <c r="AE429" s="124">
        <v>177.8</v>
      </c>
      <c r="AF429" s="128">
        <v>9.19</v>
      </c>
      <c r="AG429" s="128">
        <v>1909.7</v>
      </c>
      <c r="AH429" s="127">
        <v>3115</v>
      </c>
      <c r="AI429" s="127">
        <v>3115</v>
      </c>
      <c r="AJ429" s="135"/>
      <c r="AK429" s="128"/>
      <c r="AL429" s="131"/>
      <c r="AM429" s="124" t="s">
        <v>985</v>
      </c>
      <c r="AN429" s="136" t="s">
        <v>1632</v>
      </c>
      <c r="AO429" s="137">
        <v>45.620000000000118</v>
      </c>
      <c r="AP429" s="128">
        <v>2241.48</v>
      </c>
      <c r="AQ429" s="128">
        <v>391.7</v>
      </c>
      <c r="AR429" s="128" t="s">
        <v>1633</v>
      </c>
      <c r="AS429" s="128">
        <v>114.3</v>
      </c>
      <c r="AT429" s="122">
        <v>7.37</v>
      </c>
      <c r="AU429" s="124" t="s">
        <v>189</v>
      </c>
      <c r="AV429" s="115">
        <f>VLOOKUP(J429,'[63]ТР нефть'!$J$28:$BP$638,39,0)</f>
        <v>420.00000087900003</v>
      </c>
      <c r="AW429" s="115" t="str">
        <f>VLOOKUP(J429,'[63]ТР нефть'!$J$28:$BP$638,40,0)</f>
        <v>ГП</v>
      </c>
      <c r="AX429" s="115">
        <f>VLOOKUP(J429,'[63]ТР нефть'!$J$28:$BP$638,41,0)</f>
        <v>820.00003183599995</v>
      </c>
      <c r="AY429" s="115" t="str">
        <f>VLOOKUP(J429,'[63]ТР нефть'!$J$28:$BP$638,42,0)</f>
        <v>ГП</v>
      </c>
      <c r="AZ429" s="115">
        <f>VLOOKUP(J429,'[63]ТР нефть'!$J$28:$BP$638,43,0)</f>
        <v>1199.99998125</v>
      </c>
      <c r="BA429" s="115" t="str">
        <f>VLOOKUP(J429,'[63]ТР нефть'!$J$28:$BP$638,44,0)</f>
        <v>ГК 80 1/8</v>
      </c>
      <c r="BB429" s="115">
        <f>VLOOKUP(J429,'[63]ТР нефть'!$J$28:$BP$638,45,0)</f>
        <v>1560.000035156</v>
      </c>
      <c r="BC429" s="115" t="str">
        <f>VLOOKUP(J429,'[63]ТР нефть'!$J$28:$BP$638,46,0)</f>
        <v>ГК 81 1/8</v>
      </c>
      <c r="BD429" s="115">
        <f>VLOOKUP(J429,'[63]ТР нефть'!$J$28:$BP$638,47,0)</f>
        <v>1890.000059766</v>
      </c>
      <c r="BE429" s="115" t="str">
        <f>VLOOKUP(J429,'[63]ТР нефть'!$J$28:$BP$638,48,0)</f>
        <v>ЦКсОК 5/16</v>
      </c>
      <c r="BF429" s="115" t="str">
        <f>VLOOKUP(J429,'[63]ТР нефть'!$J$28:$BP$638,49,0)</f>
        <v>-</v>
      </c>
      <c r="BG429" s="115" t="str">
        <f>VLOOKUP(J429,'[63]ТР нефть'!$J$28:$BP$638,50,0)</f>
        <v>-</v>
      </c>
      <c r="BH429" s="115">
        <f>VLOOKUP(J429,'[63]ТР нефть'!$J$28:$BP$638,51,0)</f>
        <v>1900</v>
      </c>
      <c r="BI429" s="115" t="str">
        <f>VLOOKUP(J429,'[63]ТР нефть'!$J$28:$BP$638,52,0)</f>
        <v>закрыт</v>
      </c>
      <c r="BJ429" s="115" t="str">
        <f>IF(IFERROR(VLOOKUP(J429,'[63]ТР нефть'!$J$28:$BP$638,53,0),"-")=0,"-",IFERROR(VLOOKUP(J429,'[63]ТР нефть'!$J$28:$BP$638,53,0),"-"))</f>
        <v>-</v>
      </c>
      <c r="BK429" s="138" t="str">
        <f>IF(IFERROR(VLOOKUP(J429,'[63]ТР нефть'!$J$28:$BP$638,54,0),"-")=0,"-",IFERROR(VLOOKUP(J429,'[63]ТР нефть'!$J$28:$BP$638,54,0),"-"))</f>
        <v>-</v>
      </c>
      <c r="BL429" s="138" t="str">
        <f>IF(IFERROR(VLOOKUP(J429,'[63]ТР нефть'!$J$28:$BP$638,55,0),"-")=0,"-",IFERROR(VLOOKUP(J429,'[63]ТР нефть'!$J$28:$BP$638,55,0),"-"))</f>
        <v>-</v>
      </c>
      <c r="BM429" s="138" t="str">
        <f>IF(IFERROR(VLOOKUP(J429,'[63]ТР нефть'!$J$28:$BP$638,56,0),"-")=0,"-",IFERROR(VLOOKUP(J429,'[63]ТР нефть'!$J$28:$BP$638,56,0),"-"))</f>
        <v>-</v>
      </c>
      <c r="BN429" s="138" t="str">
        <f>IF(IFERROR(VLOOKUP(J429,'[63]ТР нефть'!$J$28:$BP$638,57,0),"-")=0,"-",IFERROR(VLOOKUP(J429,'[63]ТР нефть'!$J$28:$BP$638,57,0),"-"))</f>
        <v>-</v>
      </c>
      <c r="BO429" s="115" t="str">
        <f>IF(IFERROR(VLOOKUP(J429,'[63]ТР нефть'!$J$28:$BP$638,58,0),"-")=0,"-",IFERROR(VLOOKUP(J429,'[63]ТР нефть'!$J$28:$BP$638,58,0),"-"))</f>
        <v>-</v>
      </c>
      <c r="BP429" s="115" t="str">
        <f>IF(IFERROR(VLOOKUP(J429,'[63]ТР нефть'!$J$28:$BP$638,59,0),"-")=0,"-",IFERROR(VLOOKUP(J429,'[63]ТР нефть'!$J$28:$BP$638,59,0),"-"))</f>
        <v>-</v>
      </c>
      <c r="BQ429" s="138">
        <v>1922</v>
      </c>
      <c r="BR429" s="128">
        <v>1707.1</v>
      </c>
      <c r="BS429" s="115">
        <f t="shared" si="340"/>
        <v>214.90000000000009</v>
      </c>
      <c r="BT429" s="128">
        <v>73</v>
      </c>
      <c r="BU429" s="128">
        <v>5.5</v>
      </c>
      <c r="BV429" s="127">
        <v>65</v>
      </c>
      <c r="BW429" s="127" t="s">
        <v>217</v>
      </c>
      <c r="BX429" s="127" t="s">
        <v>195</v>
      </c>
      <c r="BY429" s="139">
        <v>24</v>
      </c>
      <c r="BZ429" s="139">
        <v>0</v>
      </c>
      <c r="CA429" s="80">
        <v>23</v>
      </c>
      <c r="CB429" s="138">
        <v>36</v>
      </c>
      <c r="CC429" s="138">
        <v>22</v>
      </c>
      <c r="CD429" s="135">
        <v>45017</v>
      </c>
      <c r="CE429" s="138">
        <v>79</v>
      </c>
      <c r="CF429" s="138">
        <v>72</v>
      </c>
      <c r="CG429" s="138" t="str">
        <f t="shared" si="310"/>
        <v>В работе</v>
      </c>
      <c r="CH429" s="138" t="s">
        <v>196</v>
      </c>
      <c r="CI429" s="127"/>
      <c r="CJ429" s="138"/>
      <c r="CK429" s="138">
        <f t="shared" si="308"/>
        <v>27</v>
      </c>
      <c r="CL429" s="99"/>
      <c r="CM429" s="99"/>
      <c r="CN429" s="140">
        <v>50</v>
      </c>
      <c r="CO429" s="141">
        <f t="shared" si="324"/>
        <v>4.18</v>
      </c>
      <c r="CP429" s="142">
        <v>5</v>
      </c>
      <c r="CQ429" s="143">
        <v>0</v>
      </c>
      <c r="CR429" s="138">
        <v>15</v>
      </c>
      <c r="CS429" s="139">
        <v>9.6</v>
      </c>
      <c r="CT429" s="138"/>
      <c r="CU429" s="138">
        <f t="shared" si="320"/>
        <v>5.4</v>
      </c>
      <c r="CV429" s="115">
        <f t="shared" si="321"/>
        <v>1291.8660287081341</v>
      </c>
      <c r="CW429" s="115">
        <f t="shared" si="325"/>
        <v>2296.6507177033491</v>
      </c>
      <c r="CX429" s="133">
        <f t="shared" si="322"/>
        <v>0.17241379310344829</v>
      </c>
      <c r="CY429" s="116"/>
      <c r="CZ429" s="131"/>
      <c r="DA429" s="145" t="str">
        <f t="shared" si="326"/>
        <v>Газлифт</v>
      </c>
      <c r="DB429" s="146">
        <f t="shared" si="341"/>
        <v>4.18</v>
      </c>
      <c r="DC429" s="142">
        <f t="shared" si="342"/>
        <v>5</v>
      </c>
      <c r="DD429" s="119">
        <f t="shared" si="303"/>
        <v>0</v>
      </c>
      <c r="DE429" s="115">
        <f t="shared" si="343"/>
        <v>5.4</v>
      </c>
      <c r="DF429" s="121">
        <f t="shared" si="328"/>
        <v>9.6</v>
      </c>
      <c r="DG429" s="115">
        <f t="shared" si="329"/>
        <v>1291.8660287081341</v>
      </c>
      <c r="DH429" s="115">
        <f t="shared" si="330"/>
        <v>50</v>
      </c>
      <c r="DI429" s="147"/>
      <c r="DJ429" s="111">
        <v>43579</v>
      </c>
      <c r="DK429" s="112">
        <v>43333</v>
      </c>
      <c r="DL429" s="113">
        <f t="shared" ca="1" si="312"/>
        <v>1771</v>
      </c>
      <c r="DM429" s="114"/>
      <c r="DN429" s="114"/>
      <c r="DO429" s="114"/>
      <c r="DP429" s="114"/>
      <c r="DQ429" s="112">
        <v>43333</v>
      </c>
      <c r="DR429" s="114"/>
      <c r="DS429" s="114"/>
      <c r="DT429" s="115">
        <v>51</v>
      </c>
      <c r="DU429" s="116">
        <f t="shared" si="313"/>
        <v>0.17857142857142858</v>
      </c>
      <c r="DV429" s="117">
        <f t="shared" si="314"/>
        <v>4.18</v>
      </c>
      <c r="DW429" s="118">
        <f t="shared" si="315"/>
        <v>5</v>
      </c>
      <c r="DX429" s="119">
        <f t="shared" si="331"/>
        <v>0</v>
      </c>
      <c r="DY429" s="115">
        <f t="shared" si="316"/>
        <v>5.4</v>
      </c>
      <c r="DZ429" s="117">
        <f t="shared" si="317"/>
        <v>0</v>
      </c>
      <c r="EA429" s="120">
        <f t="shared" si="317"/>
        <v>0</v>
      </c>
      <c r="EB429" s="119">
        <f t="shared" si="317"/>
        <v>0</v>
      </c>
      <c r="EC429" s="121">
        <f t="shared" si="318"/>
        <v>0</v>
      </c>
      <c r="ED429" s="122"/>
      <c r="EE429" s="145">
        <v>65</v>
      </c>
      <c r="EF429" s="148">
        <v>26</v>
      </c>
      <c r="EG429" s="115">
        <v>38</v>
      </c>
      <c r="EH429" s="115">
        <v>25</v>
      </c>
      <c r="EI429" s="128" t="s">
        <v>195</v>
      </c>
      <c r="EJ429" s="121">
        <v>24</v>
      </c>
      <c r="EK429" s="121">
        <v>0</v>
      </c>
      <c r="EL429" s="149">
        <v>4.18</v>
      </c>
      <c r="EM429" s="142">
        <v>5</v>
      </c>
      <c r="EN429" s="119">
        <v>0</v>
      </c>
      <c r="EO429" s="115">
        <v>14.5</v>
      </c>
      <c r="EP429" s="115">
        <v>1746.4114832535886</v>
      </c>
      <c r="EQ429" s="115">
        <v>73</v>
      </c>
      <c r="ER429" s="115">
        <v>7.2</v>
      </c>
      <c r="ES429" s="115">
        <v>49</v>
      </c>
      <c r="ET429" s="150">
        <v>0.16666666666666666</v>
      </c>
      <c r="EU429" s="145">
        <f t="shared" si="332"/>
        <v>65</v>
      </c>
      <c r="EV429" s="115">
        <f t="shared" si="333"/>
        <v>23</v>
      </c>
      <c r="EW429" s="115">
        <f t="shared" si="333"/>
        <v>36</v>
      </c>
      <c r="EX429" s="115">
        <f t="shared" si="333"/>
        <v>22</v>
      </c>
      <c r="EY429" s="115" t="str">
        <f t="shared" si="309"/>
        <v>Постоянный</v>
      </c>
      <c r="EZ429" s="115">
        <f t="shared" si="309"/>
        <v>24</v>
      </c>
      <c r="FA429" s="115">
        <f t="shared" si="309"/>
        <v>0</v>
      </c>
      <c r="FB429" s="149">
        <f t="shared" si="345"/>
        <v>4.18</v>
      </c>
      <c r="FC429" s="142">
        <f t="shared" si="345"/>
        <v>5</v>
      </c>
      <c r="FD429" s="119">
        <f t="shared" si="345"/>
        <v>0</v>
      </c>
      <c r="FE429" s="121">
        <f t="shared" si="344"/>
        <v>15</v>
      </c>
      <c r="FF429" s="121">
        <f t="shared" ref="FF429:FF492" si="347">CV429</f>
        <v>1291.8660287081341</v>
      </c>
      <c r="FG429" s="121">
        <f t="shared" si="334"/>
        <v>72</v>
      </c>
      <c r="FH429" s="121">
        <f t="shared" ref="FH429:FH453" si="348">CS429</f>
        <v>9.6</v>
      </c>
      <c r="FI429" s="121">
        <f t="shared" si="306"/>
        <v>50</v>
      </c>
      <c r="FJ429" s="144">
        <f t="shared" si="335"/>
        <v>0.17241379310344829</v>
      </c>
      <c r="FK429" s="132">
        <f t="shared" si="336"/>
        <v>0</v>
      </c>
      <c r="FL429" s="115">
        <f t="shared" si="336"/>
        <v>-3</v>
      </c>
      <c r="FM429" s="115">
        <f t="shared" si="336"/>
        <v>-2</v>
      </c>
      <c r="FN429" s="115">
        <f t="shared" si="336"/>
        <v>-3</v>
      </c>
      <c r="FO429" s="115">
        <f t="shared" si="311"/>
        <v>0</v>
      </c>
      <c r="FP429" s="115">
        <f t="shared" si="311"/>
        <v>0</v>
      </c>
      <c r="FQ429" s="149">
        <f t="shared" si="311"/>
        <v>0</v>
      </c>
      <c r="FR429" s="142">
        <f t="shared" si="311"/>
        <v>0</v>
      </c>
      <c r="FS429" s="119">
        <f t="shared" si="311"/>
        <v>0</v>
      </c>
      <c r="FT429" s="121">
        <f t="shared" si="311"/>
        <v>0.5</v>
      </c>
      <c r="FU429" s="121">
        <f t="shared" si="337"/>
        <v>-1</v>
      </c>
      <c r="FV429" s="121">
        <f t="shared" si="337"/>
        <v>2.3999999999999995</v>
      </c>
      <c r="FW429" s="121">
        <f t="shared" si="338"/>
        <v>-454.5454545454545</v>
      </c>
      <c r="FX429" s="121">
        <f t="shared" si="339"/>
        <v>1</v>
      </c>
      <c r="FY429" s="144">
        <f t="shared" si="339"/>
        <v>5.7471264367816299E-3</v>
      </c>
      <c r="FZ429" s="145"/>
      <c r="GA429" s="125"/>
      <c r="GB429" s="145" t="s">
        <v>199</v>
      </c>
      <c r="GC429" s="125" t="s">
        <v>1634</v>
      </c>
      <c r="GD429" s="997" t="s">
        <v>202</v>
      </c>
      <c r="GE429" s="1004" t="s">
        <v>199</v>
      </c>
      <c r="GF429" s="1004">
        <v>-1.1704000000000008</v>
      </c>
      <c r="GG429" s="1004"/>
      <c r="GH429" s="1004">
        <v>0</v>
      </c>
      <c r="GI429" s="145"/>
      <c r="GJ429" s="996">
        <v>0</v>
      </c>
      <c r="GK429" s="145"/>
      <c r="GL429" s="996">
        <v>-0.73061383999999929</v>
      </c>
      <c r="GM429" s="1005"/>
      <c r="GN429" s="996">
        <v>0.12867544799999919</v>
      </c>
      <c r="GO429" s="1006"/>
      <c r="GP429" s="996">
        <v>-3.3408231999999316E-2</v>
      </c>
      <c r="GQ429" s="1006" t="s">
        <v>241</v>
      </c>
      <c r="GR429" s="996">
        <v>-4.0037703640000002</v>
      </c>
      <c r="GS429" s="1006" t="s">
        <v>199</v>
      </c>
      <c r="GT429" s="996">
        <v>5.4751169879999999</v>
      </c>
      <c r="GU429" s="1006"/>
      <c r="GV429" s="996">
        <v>0</v>
      </c>
      <c r="GW429" s="1006"/>
      <c r="GX429" s="996">
        <v>-8.3599999999999675E-2</v>
      </c>
      <c r="GY429" s="1006"/>
      <c r="GZ429" s="996">
        <v>7.2638367999999787E-2</v>
      </c>
      <c r="HA429" s="1006"/>
      <c r="HB429" s="996">
        <v>-0.18967836799999915</v>
      </c>
      <c r="HC429" s="1006"/>
      <c r="HD429" s="996">
        <v>0</v>
      </c>
      <c r="HE429" s="1006"/>
      <c r="HF429" s="996">
        <v>-0.40128000000000075</v>
      </c>
      <c r="HG429" s="1006" t="s">
        <v>644</v>
      </c>
      <c r="HH429" s="996">
        <v>3.1937122800000006</v>
      </c>
      <c r="HI429" s="1006" t="s">
        <v>204</v>
      </c>
      <c r="HJ429" s="996">
        <v>-4.1795819999999999</v>
      </c>
      <c r="HK429" s="1006"/>
      <c r="HL429" s="996">
        <v>0</v>
      </c>
      <c r="HM429" s="1006"/>
      <c r="HN429" s="996">
        <v>0.1253874599999989</v>
      </c>
      <c r="HO429" s="1006"/>
      <c r="HP429" s="996">
        <v>0</v>
      </c>
      <c r="HQ429" s="1006" t="s">
        <v>199</v>
      </c>
      <c r="HR429" s="996">
        <v>-1.2956704199999995</v>
      </c>
      <c r="HS429" s="1006"/>
      <c r="HT429" s="996">
        <v>0</v>
      </c>
      <c r="HU429" s="1006"/>
      <c r="HV429" s="996">
        <v>-0.16718327999999971</v>
      </c>
      <c r="HW429" s="1006" t="s">
        <v>199</v>
      </c>
      <c r="HX429" s="996">
        <v>1.3374662400000004</v>
      </c>
      <c r="HY429" s="1006"/>
      <c r="HZ429" s="996">
        <v>-0.6411478788000009</v>
      </c>
      <c r="IA429" s="1006"/>
      <c r="IB429" s="996">
        <v>-0.68355264120000037</v>
      </c>
      <c r="IC429" s="1006"/>
      <c r="ID429" s="996">
        <v>0.33510224000000033</v>
      </c>
      <c r="IE429" s="1006"/>
      <c r="IF429" s="996">
        <v>-0.41716399999999876</v>
      </c>
      <c r="IG429" s="1006"/>
      <c r="IH429" s="996">
        <v>-0.75089520000000043</v>
      </c>
      <c r="II429" s="1006"/>
      <c r="IJ429" s="996">
        <v>0.83432799999999929</v>
      </c>
      <c r="IK429" s="1006"/>
      <c r="IL429" s="996">
        <v>0.82947920000000064</v>
      </c>
      <c r="IM429" s="1006"/>
      <c r="IN429" s="996">
        <v>-0.71571213999999994</v>
      </c>
      <c r="IO429" s="1006" t="s">
        <v>223</v>
      </c>
      <c r="IP429" s="996">
        <v>-2.1281090599999999</v>
      </c>
      <c r="IQ429" s="1006"/>
      <c r="IR429" s="996">
        <v>-0.67573879999999953</v>
      </c>
      <c r="IS429" s="1006"/>
      <c r="IT429" s="996">
        <v>-0.64372000000000007</v>
      </c>
      <c r="IU429" s="1006"/>
      <c r="IV429" s="996">
        <v>0</v>
      </c>
      <c r="IW429" s="1006"/>
      <c r="IX429" s="996">
        <v>0</v>
      </c>
      <c r="IY429" s="1006"/>
      <c r="IZ429" s="996">
        <v>0</v>
      </c>
      <c r="JA429" s="1006"/>
      <c r="JB429" s="996">
        <v>-0.10868000000000144</v>
      </c>
      <c r="JC429" s="1006" t="s">
        <v>204</v>
      </c>
      <c r="JD429" s="996">
        <v>-3.3439999999999994</v>
      </c>
      <c r="JE429" s="1006"/>
      <c r="JF429" s="996">
        <v>0</v>
      </c>
      <c r="JG429" s="1006"/>
      <c r="JH429" s="996">
        <v>0</v>
      </c>
      <c r="JI429" s="1006"/>
      <c r="JJ429" s="996">
        <v>0</v>
      </c>
      <c r="JK429" s="1007"/>
      <c r="JL429" s="1007">
        <v>6.5375200000001854E-2</v>
      </c>
      <c r="JM429" s="1007"/>
      <c r="JN429" s="1007">
        <v>0</v>
      </c>
      <c r="JO429" s="1008" t="s">
        <v>199</v>
      </c>
      <c r="JP429" s="1007">
        <v>-5.8250807999999985</v>
      </c>
      <c r="JQ429" s="1008">
        <v>0</v>
      </c>
      <c r="JR429" s="1007">
        <v>-9.2294400000003662E-2</v>
      </c>
      <c r="JS429" s="1008" t="s">
        <v>199</v>
      </c>
      <c r="JT429" s="1007">
        <v>-2.5079999999999991</v>
      </c>
      <c r="JU429" s="1008"/>
      <c r="JV429" s="1007">
        <v>0</v>
      </c>
      <c r="JW429" s="1008" t="s">
        <v>197</v>
      </c>
      <c r="JX429" s="1007">
        <v>0</v>
      </c>
      <c r="JY429" s="1008"/>
      <c r="JZ429" s="1007">
        <v>0</v>
      </c>
      <c r="KA429" s="1008" t="s">
        <v>240</v>
      </c>
      <c r="KB429" s="1007">
        <v>-10.867999999999999</v>
      </c>
      <c r="KC429" s="1008"/>
      <c r="KD429" s="1007">
        <v>0</v>
      </c>
      <c r="KE429" s="1008"/>
      <c r="KF429" s="1007">
        <v>-3.3439999999998804E-2</v>
      </c>
      <c r="KG429" s="1008"/>
      <c r="KH429" s="1007">
        <v>0</v>
      </c>
      <c r="KI429" s="1008" t="s">
        <v>203</v>
      </c>
      <c r="KJ429" s="1007">
        <v>-7.7162800000000047</v>
      </c>
      <c r="KK429" s="1008"/>
      <c r="KL429" s="1007">
        <v>0</v>
      </c>
      <c r="KM429" s="1008" t="s">
        <v>324</v>
      </c>
      <c r="KN429" s="1007">
        <v>41.189720000000001</v>
      </c>
      <c r="KO429" s="1008"/>
      <c r="KP429" s="1007"/>
      <c r="KQ429" s="1008">
        <v>0</v>
      </c>
      <c r="KR429" s="1007">
        <v>0</v>
      </c>
      <c r="KS429" s="1008">
        <v>0</v>
      </c>
      <c r="KT429" s="1007">
        <v>0</v>
      </c>
      <c r="KU429" s="1008">
        <v>0</v>
      </c>
      <c r="KV429" s="1007">
        <v>0</v>
      </c>
      <c r="KW429" s="1008">
        <v>0</v>
      </c>
      <c r="KX429" s="1007">
        <v>0</v>
      </c>
      <c r="KY429" s="1008">
        <v>0</v>
      </c>
      <c r="KZ429" s="1007">
        <v>0</v>
      </c>
      <c r="LA429" s="1008">
        <v>0</v>
      </c>
      <c r="LB429" s="1007">
        <v>0</v>
      </c>
      <c r="LC429" s="1008">
        <v>0</v>
      </c>
      <c r="LD429" s="1007">
        <v>0</v>
      </c>
      <c r="LE429" s="1008">
        <v>0</v>
      </c>
      <c r="LF429" s="1007">
        <v>0</v>
      </c>
      <c r="LG429" s="1008">
        <v>0</v>
      </c>
      <c r="LH429" s="1007">
        <v>0</v>
      </c>
      <c r="LI429" s="1008">
        <v>0</v>
      </c>
      <c r="LJ429" s="1007">
        <v>0</v>
      </c>
      <c r="LK429" s="1008">
        <v>0</v>
      </c>
      <c r="LL429" s="1007">
        <v>0</v>
      </c>
      <c r="LM429" s="1008">
        <v>0</v>
      </c>
      <c r="LN429" s="1007">
        <v>0</v>
      </c>
      <c r="LO429" s="1008">
        <v>0</v>
      </c>
      <c r="LP429" s="1007">
        <v>0</v>
      </c>
      <c r="LQ429" s="1008">
        <v>0</v>
      </c>
      <c r="LR429" s="1007">
        <v>0</v>
      </c>
      <c r="LS429" s="1008">
        <v>0</v>
      </c>
      <c r="LT429" s="1007">
        <v>0</v>
      </c>
      <c r="LU429" s="1008">
        <v>0</v>
      </c>
      <c r="LV429" s="1007">
        <v>0</v>
      </c>
      <c r="LW429" s="1008">
        <v>0</v>
      </c>
      <c r="LX429" s="1007">
        <v>0</v>
      </c>
      <c r="LY429" s="1009">
        <v>0</v>
      </c>
      <c r="LZ429" s="1010">
        <v>0</v>
      </c>
      <c r="MA429" s="1011">
        <v>0</v>
      </c>
      <c r="MB429" s="1012">
        <v>0</v>
      </c>
      <c r="MC429" s="995"/>
      <c r="MD429" s="996"/>
      <c r="ME429" s="997" t="s">
        <v>202</v>
      </c>
      <c r="MF429" s="997"/>
      <c r="MG429" s="998"/>
      <c r="MH429" s="878"/>
      <c r="MI429" s="878"/>
      <c r="MJ429" s="878"/>
      <c r="MK429" s="878"/>
      <c r="ML429" s="878"/>
      <c r="MM429" s="878"/>
      <c r="MN429" s="878"/>
      <c r="MO429" s="878"/>
      <c r="MP429" s="878"/>
      <c r="MQ429" s="878"/>
      <c r="MR429" s="878"/>
      <c r="MS429" s="878"/>
      <c r="MT429" s="878"/>
      <c r="MU429" s="878"/>
      <c r="MV429" s="878"/>
      <c r="MW429" s="878"/>
      <c r="MX429" s="878"/>
      <c r="MY429" s="878"/>
      <c r="MZ429" s="878"/>
      <c r="NA429" s="878"/>
      <c r="NB429" s="878"/>
      <c r="NC429" s="878"/>
      <c r="ND429" s="878"/>
      <c r="NE429" s="878"/>
      <c r="NF429" s="878"/>
      <c r="NG429" s="878"/>
      <c r="NH429" s="878"/>
      <c r="NI429" s="878"/>
      <c r="NJ429" s="878"/>
      <c r="NK429" s="878"/>
      <c r="NL429" s="878"/>
      <c r="NM429" s="878"/>
      <c r="NR429" s="1027"/>
      <c r="NS429" s="1027"/>
      <c r="NT429" s="1028"/>
      <c r="NU429" s="1027"/>
      <c r="NV429" s="1028"/>
      <c r="NW429" s="1029"/>
      <c r="NX429" s="1030"/>
      <c r="NY429" s="1029"/>
      <c r="NZ429" s="1028"/>
      <c r="OA429" s="1028"/>
      <c r="OB429" s="1029"/>
      <c r="OC429" s="1031"/>
      <c r="OD429" s="1031"/>
      <c r="OE429" s="1028"/>
      <c r="OF429" s="1031"/>
      <c r="OG429" s="1031"/>
      <c r="QX429" s="1000">
        <f>CN429-CA429</f>
        <v>27</v>
      </c>
      <c r="ASU429" s="1032" t="s">
        <v>225</v>
      </c>
    </row>
    <row r="430" spans="1:466 1191:1191" ht="21" customHeight="1" x14ac:dyDescent="0.25">
      <c r="A430" s="982">
        <f t="shared" si="323"/>
        <v>1505</v>
      </c>
      <c r="B430" s="124">
        <f>SUBTOTAL(103,$J$29:J430)</f>
        <v>402</v>
      </c>
      <c r="C430" s="126">
        <v>45068</v>
      </c>
      <c r="D430" s="124" t="s">
        <v>176</v>
      </c>
      <c r="E430" s="127" t="s">
        <v>177</v>
      </c>
      <c r="F430" s="128" t="s">
        <v>177</v>
      </c>
      <c r="G430" s="127" t="s">
        <v>178</v>
      </c>
      <c r="H430" s="127" t="s">
        <v>179</v>
      </c>
      <c r="I430" s="127" t="s">
        <v>1518</v>
      </c>
      <c r="J430" s="152">
        <v>1505</v>
      </c>
      <c r="K430" s="127" t="s">
        <v>1518</v>
      </c>
      <c r="L430" s="130">
        <v>43830</v>
      </c>
      <c r="M430" s="127" t="s">
        <v>230</v>
      </c>
      <c r="N430" s="127" t="s">
        <v>184</v>
      </c>
      <c r="O430" s="127" t="s">
        <v>185</v>
      </c>
      <c r="P430" s="127" t="s">
        <v>186</v>
      </c>
      <c r="Q430" s="85" t="str">
        <f t="shared" si="319"/>
        <v/>
      </c>
      <c r="R430" s="130"/>
      <c r="S430" s="128"/>
      <c r="T430" s="131"/>
      <c r="U430" s="132">
        <v>203</v>
      </c>
      <c r="V430" s="121">
        <v>218.2</v>
      </c>
      <c r="W430" s="116">
        <v>0.98</v>
      </c>
      <c r="X430" s="116">
        <v>1.66</v>
      </c>
      <c r="Y430" s="116">
        <f t="shared" si="346"/>
        <v>0.98</v>
      </c>
      <c r="Z430" s="133">
        <v>1.454</v>
      </c>
      <c r="AA430" s="133">
        <v>0.83599999999999997</v>
      </c>
      <c r="AB430" s="133">
        <v>0.72</v>
      </c>
      <c r="AC430" s="121">
        <v>34.299999999999997</v>
      </c>
      <c r="AD430" s="134">
        <v>1.17</v>
      </c>
      <c r="AE430" s="124">
        <v>177.8</v>
      </c>
      <c r="AF430" s="128">
        <v>9.19</v>
      </c>
      <c r="AG430" s="128">
        <v>1909.7</v>
      </c>
      <c r="AH430" s="127">
        <v>3115</v>
      </c>
      <c r="AI430" s="127">
        <v>3033</v>
      </c>
      <c r="AJ430" s="135">
        <v>43779</v>
      </c>
      <c r="AK430" s="128" t="s">
        <v>1635</v>
      </c>
      <c r="AL430" s="131"/>
      <c r="AM430" s="124" t="s">
        <v>232</v>
      </c>
      <c r="AN430" s="136" t="s">
        <v>1636</v>
      </c>
      <c r="AO430" s="137">
        <v>65.7</v>
      </c>
      <c r="AP430" s="128">
        <v>2194</v>
      </c>
      <c r="AQ430" s="128">
        <v>396.7</v>
      </c>
      <c r="AR430" s="128" t="s">
        <v>1637</v>
      </c>
      <c r="AS430" s="128">
        <v>114</v>
      </c>
      <c r="AT430" s="122">
        <v>7.37</v>
      </c>
      <c r="AU430" s="124" t="s">
        <v>189</v>
      </c>
      <c r="AV430" s="115">
        <f>VLOOKUP(J430,'[63]ТР нефть'!$J$28:$BP$638,39,0)</f>
        <v>476.99998212899999</v>
      </c>
      <c r="AW430" s="115" t="str">
        <f>VLOOKUP(J430,'[63]ТР нефть'!$J$28:$BP$638,40,0)</f>
        <v>ГП</v>
      </c>
      <c r="AX430" s="115">
        <f>VLOOKUP(J430,'[63]ТР нефть'!$J$28:$BP$638,41,0)</f>
        <v>918.00000351599999</v>
      </c>
      <c r="AY430" s="115" t="str">
        <f>VLOOKUP(J430,'[63]ТР нефть'!$J$28:$BP$638,42,0)</f>
        <v>ГП</v>
      </c>
      <c r="AZ430" s="115">
        <f>VLOOKUP(J430,'[63]ТР нефть'!$J$28:$BP$638,43,0)</f>
        <v>1266.0000457030001</v>
      </c>
      <c r="BA430" s="115" t="str">
        <f>VLOOKUP(J430,'[63]ТР нефть'!$J$28:$BP$638,44,0)</f>
        <v>ГП</v>
      </c>
      <c r="BB430" s="115">
        <f>VLOOKUP(J430,'[63]ТР нефть'!$J$28:$BP$638,45,0)</f>
        <v>1553.000053125</v>
      </c>
      <c r="BC430" s="115" t="str">
        <f>VLOOKUP(J430,'[63]ТР нефть'!$J$28:$BP$638,46,0)</f>
        <v>ГК84 1/8</v>
      </c>
      <c r="BD430" s="115">
        <f>VLOOKUP(J430,'[63]ТР нефть'!$J$28:$BP$638,47,0)</f>
        <v>1786.999983984</v>
      </c>
      <c r="BE430" s="115" t="str">
        <f>VLOOKUP(J430,'[63]ТР нефть'!$J$28:$BP$638,48,0)</f>
        <v>ГК83 1/8</v>
      </c>
      <c r="BF430" s="115">
        <f>VLOOKUP(J430,'[63]ТР нефть'!$J$28:$BP$638,49,0)</f>
        <v>1970</v>
      </c>
      <c r="BG430" s="115" t="str">
        <f>VLOOKUP(J430,'[63]ТР нефть'!$J$28:$BP$638,50,0)</f>
        <v>ЦКсОК 5/16</v>
      </c>
      <c r="BH430" s="115" t="str">
        <f>VLOOKUP(J430,'[63]ТР нефть'!$J$28:$BP$638,51,0)</f>
        <v>-</v>
      </c>
      <c r="BI430" s="115" t="str">
        <f>VLOOKUP(J430,'[63]ТР нефть'!$J$28:$BP$638,52,0)</f>
        <v>-</v>
      </c>
      <c r="BJ430" s="115" t="str">
        <f>IF(IFERROR(VLOOKUP(J430,'[63]ТР нефть'!$J$28:$BP$638,53,0),"-")=0,"-",IFERROR(VLOOKUP(J430,'[63]ТР нефть'!$J$28:$BP$638,53,0),"-"))</f>
        <v>-</v>
      </c>
      <c r="BK430" s="138" t="str">
        <f>IF(IFERROR(VLOOKUP(J430,'[63]ТР нефть'!$J$28:$BP$638,54,0),"-")=0,"-",IFERROR(VLOOKUP(J430,'[63]ТР нефть'!$J$28:$BP$638,54,0),"-"))</f>
        <v>-</v>
      </c>
      <c r="BL430" s="138" t="str">
        <f>IF(IFERROR(VLOOKUP(J430,'[63]ТР нефть'!$J$28:$BP$638,55,0),"-")=0,"-",IFERROR(VLOOKUP(J430,'[63]ТР нефть'!$J$28:$BP$638,55,0),"-"))</f>
        <v>-</v>
      </c>
      <c r="BM430" s="138" t="str">
        <f>IF(IFERROR(VLOOKUP(J430,'[63]ТР нефть'!$J$28:$BP$638,56,0),"-")=0,"-",IFERROR(VLOOKUP(J430,'[63]ТР нефть'!$J$28:$BP$638,56,0),"-"))</f>
        <v>-</v>
      </c>
      <c r="BN430" s="138" t="str">
        <f>IF(IFERROR(VLOOKUP(J430,'[63]ТР нефть'!$J$28:$BP$638,57,0),"-")=0,"-",IFERROR(VLOOKUP(J430,'[63]ТР нефть'!$J$28:$BP$638,57,0),"-"))</f>
        <v>-</v>
      </c>
      <c r="BO430" s="115" t="str">
        <f>IF(IFERROR(VLOOKUP(J430,'[63]ТР нефть'!$J$28:$BP$638,58,0),"-")=0,"-",IFERROR(VLOOKUP(J430,'[63]ТР нефть'!$J$28:$BP$638,58,0),"-"))</f>
        <v>-</v>
      </c>
      <c r="BP430" s="115" t="str">
        <f>IF(IFERROR(VLOOKUP(J430,'[63]ТР нефть'!$J$28:$BP$638,59,0),"-")=0,"-",IFERROR(VLOOKUP(J430,'[63]ТР нефть'!$J$28:$BP$638,59,0),"-"))</f>
        <v>-</v>
      </c>
      <c r="BQ430" s="138">
        <v>2120</v>
      </c>
      <c r="BR430" s="128">
        <v>1968.7</v>
      </c>
      <c r="BS430" s="115">
        <f t="shared" si="340"/>
        <v>151.29999999999995</v>
      </c>
      <c r="BT430" s="128">
        <v>73</v>
      </c>
      <c r="BU430" s="128">
        <v>5.5</v>
      </c>
      <c r="BV430" s="127">
        <v>65</v>
      </c>
      <c r="BW430" s="127" t="s">
        <v>217</v>
      </c>
      <c r="BX430" s="127" t="s">
        <v>218</v>
      </c>
      <c r="BY430" s="139">
        <v>24</v>
      </c>
      <c r="BZ430" s="139">
        <v>24</v>
      </c>
      <c r="CA430" s="138">
        <v>23</v>
      </c>
      <c r="CB430" s="138">
        <v>45</v>
      </c>
      <c r="CC430" s="138">
        <v>22</v>
      </c>
      <c r="CD430" s="135">
        <v>45017</v>
      </c>
      <c r="CE430" s="138">
        <v>75</v>
      </c>
      <c r="CF430" s="138">
        <v>75</v>
      </c>
      <c r="CG430" s="138" t="str">
        <f t="shared" si="310"/>
        <v>В работе</v>
      </c>
      <c r="CH430" s="138" t="s">
        <v>235</v>
      </c>
      <c r="CI430" s="127">
        <v>5</v>
      </c>
      <c r="CJ430" s="138"/>
      <c r="CK430" s="138">
        <f t="shared" si="308"/>
        <v>30</v>
      </c>
      <c r="CL430" s="99"/>
      <c r="CM430" s="99"/>
      <c r="CN430" s="140">
        <v>53</v>
      </c>
      <c r="CO430" s="141">
        <f t="shared" si="324"/>
        <v>3.5112000000000001</v>
      </c>
      <c r="CP430" s="142">
        <v>4.2</v>
      </c>
      <c r="CQ430" s="143">
        <v>0</v>
      </c>
      <c r="CR430" s="138">
        <v>10</v>
      </c>
      <c r="CS430" s="139">
        <v>3.7</v>
      </c>
      <c r="CT430" s="138"/>
      <c r="CU430" s="138">
        <f t="shared" si="320"/>
        <v>6.3</v>
      </c>
      <c r="CV430" s="115">
        <f t="shared" si="321"/>
        <v>1794.2583732057415</v>
      </c>
      <c r="CW430" s="115">
        <f t="shared" si="325"/>
        <v>1053.770790612896</v>
      </c>
      <c r="CX430" s="133">
        <f t="shared" si="322"/>
        <v>0.19090909090909092</v>
      </c>
      <c r="CY430" s="116"/>
      <c r="CZ430" s="131"/>
      <c r="DA430" s="145" t="str">
        <f t="shared" si="326"/>
        <v>Газлифт</v>
      </c>
      <c r="DB430" s="146">
        <f t="shared" si="341"/>
        <v>3.5112000000000001</v>
      </c>
      <c r="DC430" s="142">
        <f t="shared" si="342"/>
        <v>4.2</v>
      </c>
      <c r="DD430" s="119">
        <f t="shared" si="303"/>
        <v>0</v>
      </c>
      <c r="DE430" s="115">
        <f t="shared" si="343"/>
        <v>6.3</v>
      </c>
      <c r="DF430" s="121">
        <f t="shared" si="328"/>
        <v>3.7</v>
      </c>
      <c r="DG430" s="115">
        <f t="shared" si="329"/>
        <v>1794.2583732057415</v>
      </c>
      <c r="DH430" s="115">
        <f t="shared" si="330"/>
        <v>53</v>
      </c>
      <c r="DI430" s="147"/>
      <c r="DJ430" s="111"/>
      <c r="DK430" s="112">
        <v>43830</v>
      </c>
      <c r="DL430" s="113">
        <f t="shared" ca="1" si="312"/>
        <v>1274</v>
      </c>
      <c r="DM430" s="114"/>
      <c r="DN430" s="114"/>
      <c r="DO430" s="114"/>
      <c r="DP430" s="114"/>
      <c r="DQ430" s="112"/>
      <c r="DR430" s="114"/>
      <c r="DS430" s="114"/>
      <c r="DT430" s="115">
        <v>47</v>
      </c>
      <c r="DU430" s="116">
        <f t="shared" si="313"/>
        <v>0.1831036084869134</v>
      </c>
      <c r="DV430" s="117">
        <f t="shared" si="314"/>
        <v>4.2860892674616693</v>
      </c>
      <c r="DW430" s="118">
        <f t="shared" si="315"/>
        <v>5.1269010376335755</v>
      </c>
      <c r="DX430" s="119">
        <f t="shared" si="331"/>
        <v>0</v>
      </c>
      <c r="DY430" s="115">
        <f t="shared" si="316"/>
        <v>7.6903515564503628</v>
      </c>
      <c r="DZ430" s="117">
        <f t="shared" si="317"/>
        <v>0.7748892674616692</v>
      </c>
      <c r="EA430" s="120">
        <f t="shared" si="317"/>
        <v>0.92690103763357534</v>
      </c>
      <c r="EB430" s="119">
        <f t="shared" si="317"/>
        <v>0</v>
      </c>
      <c r="EC430" s="121">
        <f t="shared" si="318"/>
        <v>1.390351556450363</v>
      </c>
      <c r="ED430" s="122"/>
      <c r="EE430" s="145">
        <v>65</v>
      </c>
      <c r="EF430" s="148">
        <v>25</v>
      </c>
      <c r="EG430" s="115">
        <v>42</v>
      </c>
      <c r="EH430" s="115">
        <v>24</v>
      </c>
      <c r="EI430" s="128" t="s">
        <v>218</v>
      </c>
      <c r="EJ430" s="121">
        <v>24</v>
      </c>
      <c r="EK430" s="121">
        <v>24</v>
      </c>
      <c r="EL430" s="149">
        <v>3.5112000000000001</v>
      </c>
      <c r="EM430" s="142">
        <v>4.2</v>
      </c>
      <c r="EN430" s="119">
        <v>0</v>
      </c>
      <c r="EO430" s="115">
        <v>8.5</v>
      </c>
      <c r="EP430" s="115">
        <v>1424.0145819093186</v>
      </c>
      <c r="EQ430" s="115">
        <v>76</v>
      </c>
      <c r="ER430" s="115">
        <v>3.5</v>
      </c>
      <c r="ES430" s="115">
        <v>53</v>
      </c>
      <c r="ET430" s="150">
        <v>0.19090909090909092</v>
      </c>
      <c r="EU430" s="145">
        <f t="shared" si="332"/>
        <v>65</v>
      </c>
      <c r="EV430" s="115">
        <f t="shared" si="333"/>
        <v>23</v>
      </c>
      <c r="EW430" s="115">
        <f t="shared" si="333"/>
        <v>45</v>
      </c>
      <c r="EX430" s="115">
        <f t="shared" si="333"/>
        <v>22</v>
      </c>
      <c r="EY430" s="115" t="str">
        <f t="shared" si="309"/>
        <v>Периодический</v>
      </c>
      <c r="EZ430" s="115">
        <f t="shared" si="309"/>
        <v>24</v>
      </c>
      <c r="FA430" s="115">
        <f t="shared" si="309"/>
        <v>24</v>
      </c>
      <c r="FB430" s="149">
        <f t="shared" si="345"/>
        <v>3.5112000000000001</v>
      </c>
      <c r="FC430" s="142">
        <f t="shared" si="345"/>
        <v>4.2</v>
      </c>
      <c r="FD430" s="119">
        <f t="shared" si="345"/>
        <v>0</v>
      </c>
      <c r="FE430" s="121">
        <f t="shared" si="344"/>
        <v>10</v>
      </c>
      <c r="FF430" s="121">
        <f t="shared" si="347"/>
        <v>1794.2583732057415</v>
      </c>
      <c r="FG430" s="121">
        <f t="shared" si="334"/>
        <v>75</v>
      </c>
      <c r="FH430" s="121">
        <f t="shared" si="348"/>
        <v>3.7</v>
      </c>
      <c r="FI430" s="121">
        <f t="shared" si="306"/>
        <v>53</v>
      </c>
      <c r="FJ430" s="144">
        <f t="shared" si="335"/>
        <v>0.19090909090909092</v>
      </c>
      <c r="FK430" s="132">
        <f t="shared" si="336"/>
        <v>0</v>
      </c>
      <c r="FL430" s="115">
        <f t="shared" si="336"/>
        <v>-2</v>
      </c>
      <c r="FM430" s="115">
        <f t="shared" si="336"/>
        <v>3</v>
      </c>
      <c r="FN430" s="115">
        <f t="shared" si="336"/>
        <v>-2</v>
      </c>
      <c r="FO430" s="115">
        <f t="shared" si="311"/>
        <v>0</v>
      </c>
      <c r="FP430" s="115">
        <f t="shared" si="311"/>
        <v>0</v>
      </c>
      <c r="FQ430" s="149">
        <f t="shared" si="311"/>
        <v>0</v>
      </c>
      <c r="FR430" s="142">
        <f t="shared" si="311"/>
        <v>0</v>
      </c>
      <c r="FS430" s="119">
        <f t="shared" si="311"/>
        <v>0</v>
      </c>
      <c r="FT430" s="121">
        <f t="shared" si="311"/>
        <v>1.5</v>
      </c>
      <c r="FU430" s="121">
        <f t="shared" si="337"/>
        <v>-1</v>
      </c>
      <c r="FV430" s="121">
        <f t="shared" si="337"/>
        <v>0.20000000000000018</v>
      </c>
      <c r="FW430" s="121">
        <f t="shared" si="338"/>
        <v>370.24379129642284</v>
      </c>
      <c r="FX430" s="121">
        <f t="shared" si="339"/>
        <v>0</v>
      </c>
      <c r="FY430" s="144">
        <f t="shared" si="339"/>
        <v>0</v>
      </c>
      <c r="FZ430" s="145"/>
      <c r="GA430" s="151"/>
      <c r="GB430" s="145"/>
      <c r="GC430" s="151"/>
      <c r="GD430" s="997" t="s">
        <v>220</v>
      </c>
      <c r="GE430" s="1004"/>
      <c r="GF430" s="1004">
        <v>0.58520000000000039</v>
      </c>
      <c r="GG430" s="1004"/>
      <c r="GH430" s="1004">
        <v>-0.62817875999999995</v>
      </c>
      <c r="GI430" s="145"/>
      <c r="GJ430" s="996">
        <v>0</v>
      </c>
      <c r="GK430" s="145"/>
      <c r="GL430" s="996">
        <v>0</v>
      </c>
      <c r="GM430" s="1005"/>
      <c r="GN430" s="996">
        <v>0</v>
      </c>
      <c r="GO430" s="1006"/>
      <c r="GP430" s="996">
        <v>0</v>
      </c>
      <c r="GQ430" s="1006"/>
      <c r="GR430" s="996">
        <v>-7.9085599999997314E-3</v>
      </c>
      <c r="GS430" s="1006" t="s">
        <v>204</v>
      </c>
      <c r="GT430" s="996">
        <v>1.0540873199999994</v>
      </c>
      <c r="GU430" s="1006"/>
      <c r="GV430" s="996">
        <v>0.41800000000000015</v>
      </c>
      <c r="GW430" s="1006"/>
      <c r="GX430" s="996">
        <v>8.3600000000000119E-2</v>
      </c>
      <c r="GY430" s="1006"/>
      <c r="GZ430" s="996">
        <v>0</v>
      </c>
      <c r="HA430" s="1006"/>
      <c r="HB430" s="996">
        <v>-0.91959999999999997</v>
      </c>
      <c r="HC430" s="1006"/>
      <c r="HD430" s="996">
        <v>0</v>
      </c>
      <c r="HE430" s="1006"/>
      <c r="HF430" s="996">
        <v>0.83599999999999985</v>
      </c>
      <c r="HG430" s="1006"/>
      <c r="HH430" s="996">
        <v>0</v>
      </c>
      <c r="HI430" s="1006" t="s">
        <v>223</v>
      </c>
      <c r="HJ430" s="996">
        <v>-2.09</v>
      </c>
      <c r="HK430" s="1006" t="s">
        <v>223</v>
      </c>
      <c r="HL430" s="996">
        <v>-1.6719999999999997</v>
      </c>
      <c r="HM430" s="1006"/>
      <c r="HN430" s="996">
        <v>0</v>
      </c>
      <c r="HO430" s="1006"/>
      <c r="HP430" s="996">
        <v>0</v>
      </c>
      <c r="HQ430" s="1006" t="s">
        <v>204</v>
      </c>
      <c r="HR430" s="996">
        <v>-2.9599917600000003</v>
      </c>
      <c r="HS430" s="1006"/>
      <c r="HT430" s="996">
        <v>0</v>
      </c>
      <c r="HU430" s="1006" t="s">
        <v>241</v>
      </c>
      <c r="HV430" s="996">
        <v>-1.6371722399999999</v>
      </c>
      <c r="HW430" s="1006"/>
      <c r="HX430" s="996">
        <v>-0.94083600000000089</v>
      </c>
      <c r="HY430" s="1006" t="s">
        <v>241</v>
      </c>
      <c r="HZ430" s="996">
        <v>3.8455999999999992</v>
      </c>
      <c r="IA430" s="1006"/>
      <c r="IB430" s="996">
        <v>0</v>
      </c>
      <c r="IC430" s="1006"/>
      <c r="ID430" s="996">
        <v>0</v>
      </c>
      <c r="IE430" s="1006"/>
      <c r="IF430" s="996">
        <v>0</v>
      </c>
      <c r="IG430" s="1006"/>
      <c r="IH430" s="996">
        <v>0</v>
      </c>
      <c r="II430" s="1006"/>
      <c r="IJ430" s="996">
        <v>-0.50159999999999982</v>
      </c>
      <c r="IK430" s="1006"/>
      <c r="IL430" s="996">
        <v>0</v>
      </c>
      <c r="IM430" s="1006" t="s">
        <v>223</v>
      </c>
      <c r="IN430" s="996">
        <v>-2.5080000000000009</v>
      </c>
      <c r="IO430" s="1006" t="s">
        <v>204</v>
      </c>
      <c r="IP430" s="996">
        <v>-8.4352399999999985</v>
      </c>
      <c r="IQ430" s="1006"/>
      <c r="IR430" s="996">
        <v>-0.17556000000000083</v>
      </c>
      <c r="IS430" s="1006"/>
      <c r="IT430" s="996">
        <v>-0.22404799999999625</v>
      </c>
      <c r="IU430" s="1006"/>
      <c r="IV430" s="996">
        <v>0</v>
      </c>
      <c r="IW430" s="1006" t="s">
        <v>223</v>
      </c>
      <c r="IX430" s="996">
        <v>-10.393152000000004</v>
      </c>
      <c r="IY430" s="1006" t="s">
        <v>223</v>
      </c>
      <c r="IZ430" s="996">
        <v>-3.4276000000000018</v>
      </c>
      <c r="JA430" s="1006"/>
      <c r="JB430" s="996">
        <v>0</v>
      </c>
      <c r="JC430" s="1006"/>
      <c r="JD430" s="996">
        <v>0</v>
      </c>
      <c r="JE430" s="1006"/>
      <c r="JF430" s="996">
        <v>0</v>
      </c>
      <c r="JG430" s="1006" t="s">
        <v>25</v>
      </c>
      <c r="JH430" s="996">
        <v>33.523600000000002</v>
      </c>
      <c r="JI430" s="1006"/>
      <c r="JJ430" s="996"/>
      <c r="JK430" s="1007"/>
      <c r="JL430" s="1007"/>
      <c r="JM430" s="1007"/>
      <c r="JN430" s="1007"/>
      <c r="JO430" s="1008"/>
      <c r="JP430" s="1007"/>
      <c r="JQ430" s="1008"/>
      <c r="JR430" s="1007"/>
      <c r="JS430" s="1008"/>
      <c r="JT430" s="1007"/>
      <c r="JU430" s="1008"/>
      <c r="JV430" s="1007"/>
      <c r="JW430" s="1008"/>
      <c r="JX430" s="1007"/>
      <c r="JY430" s="1008"/>
      <c r="JZ430" s="1007"/>
      <c r="KA430" s="1008"/>
      <c r="KB430" s="1007"/>
      <c r="KC430" s="1008"/>
      <c r="KD430" s="1007"/>
      <c r="KE430" s="1008"/>
      <c r="KF430" s="1007"/>
      <c r="KG430" s="1008"/>
      <c r="KH430" s="1007"/>
      <c r="KI430" s="1008"/>
      <c r="KJ430" s="1007"/>
      <c r="KK430" s="1008"/>
      <c r="KL430" s="1007"/>
      <c r="KM430" s="1008"/>
      <c r="KN430" s="1007"/>
      <c r="KO430" s="1008"/>
      <c r="KP430" s="1007"/>
      <c r="KQ430" s="1008"/>
      <c r="KR430" s="1007"/>
      <c r="KS430" s="1008"/>
      <c r="KT430" s="1007"/>
      <c r="KU430" s="1008"/>
      <c r="KV430" s="1007"/>
      <c r="KW430" s="1008"/>
      <c r="KX430" s="1007"/>
      <c r="KY430" s="1008"/>
      <c r="KZ430" s="1007"/>
      <c r="LA430" s="1008"/>
      <c r="LB430" s="1007"/>
      <c r="LC430" s="1008"/>
      <c r="LD430" s="1007"/>
      <c r="LE430" s="1008"/>
      <c r="LF430" s="1007"/>
      <c r="LG430" s="1008"/>
      <c r="LH430" s="1007"/>
      <c r="LI430" s="1008"/>
      <c r="LJ430" s="1007"/>
      <c r="LK430" s="1008"/>
      <c r="LL430" s="1007"/>
      <c r="LM430" s="1008"/>
      <c r="LN430" s="1007"/>
      <c r="LO430" s="1008"/>
      <c r="LP430" s="1007"/>
      <c r="LQ430" s="1008"/>
      <c r="LR430" s="1007"/>
      <c r="LS430" s="1008"/>
      <c r="LT430" s="1007"/>
      <c r="LU430" s="1008"/>
      <c r="LV430" s="1007"/>
      <c r="LW430" s="1008"/>
      <c r="LX430" s="1007"/>
      <c r="LY430" s="1009"/>
      <c r="LZ430" s="1010"/>
      <c r="MA430" s="1011"/>
      <c r="MB430" s="1012"/>
      <c r="MC430" s="995"/>
      <c r="MD430" s="996"/>
      <c r="ME430" s="997" t="s">
        <v>220</v>
      </c>
      <c r="MF430" s="997"/>
      <c r="MG430" s="998"/>
      <c r="NR430" s="1000"/>
      <c r="NS430" s="1000"/>
      <c r="NT430" s="1001"/>
      <c r="NU430" s="1000"/>
      <c r="NV430" s="1001"/>
      <c r="NX430" s="1002"/>
      <c r="NZ430" s="1001"/>
      <c r="OA430" s="1001"/>
      <c r="OC430" s="1003"/>
      <c r="OD430" s="1003"/>
      <c r="OE430" s="1001"/>
      <c r="OF430" s="1003"/>
      <c r="OG430" s="1003"/>
      <c r="OH430" s="1003"/>
      <c r="OI430" s="1016"/>
      <c r="QX430" s="1000">
        <f>CN430-CA430</f>
        <v>30</v>
      </c>
      <c r="ASU430" s="999" t="s">
        <v>225</v>
      </c>
    </row>
    <row r="431" spans="1:466 1191:1191" ht="21" customHeight="1" x14ac:dyDescent="0.25">
      <c r="A431" s="982">
        <f t="shared" si="323"/>
        <v>1506</v>
      </c>
      <c r="B431" s="124">
        <f>SUBTOTAL(103,$J$29:J431)</f>
        <v>403</v>
      </c>
      <c r="C431" s="126">
        <v>45068</v>
      </c>
      <c r="D431" s="124" t="s">
        <v>176</v>
      </c>
      <c r="E431" s="127" t="s">
        <v>177</v>
      </c>
      <c r="F431" s="128" t="s">
        <v>177</v>
      </c>
      <c r="G431" s="127" t="s">
        <v>178</v>
      </c>
      <c r="H431" s="127" t="s">
        <v>179</v>
      </c>
      <c r="I431" s="127" t="s">
        <v>1518</v>
      </c>
      <c r="J431" s="152">
        <v>1506</v>
      </c>
      <c r="K431" s="127" t="s">
        <v>1518</v>
      </c>
      <c r="L431" s="130">
        <v>44072</v>
      </c>
      <c r="M431" s="127" t="s">
        <v>230</v>
      </c>
      <c r="N431" s="127" t="s">
        <v>184</v>
      </c>
      <c r="O431" s="127" t="s">
        <v>185</v>
      </c>
      <c r="P431" s="127" t="s">
        <v>186</v>
      </c>
      <c r="Q431" s="85" t="str">
        <f t="shared" si="319"/>
        <v/>
      </c>
      <c r="R431" s="130"/>
      <c r="S431" s="128"/>
      <c r="T431" s="131"/>
      <c r="U431" s="132">
        <v>203</v>
      </c>
      <c r="V431" s="121">
        <v>218.2</v>
      </c>
      <c r="W431" s="116">
        <v>0.98</v>
      </c>
      <c r="X431" s="116">
        <v>1.66</v>
      </c>
      <c r="Y431" s="116">
        <f t="shared" si="346"/>
        <v>0.98</v>
      </c>
      <c r="Z431" s="133">
        <v>1.454</v>
      </c>
      <c r="AA431" s="133">
        <v>0.83599999999999997</v>
      </c>
      <c r="AB431" s="133">
        <v>0.72</v>
      </c>
      <c r="AC431" s="121">
        <v>34.299999999999997</v>
      </c>
      <c r="AD431" s="134">
        <v>1.17</v>
      </c>
      <c r="AE431" s="124">
        <v>177.8</v>
      </c>
      <c r="AF431" s="128">
        <v>9.19</v>
      </c>
      <c r="AG431" s="128">
        <v>2131</v>
      </c>
      <c r="AH431" s="127">
        <v>2629</v>
      </c>
      <c r="AI431" s="127">
        <v>2629</v>
      </c>
      <c r="AJ431" s="135"/>
      <c r="AK431" s="128"/>
      <c r="AL431" s="131"/>
      <c r="AM431" s="124" t="s">
        <v>187</v>
      </c>
      <c r="AN431" s="136" t="s">
        <v>1638</v>
      </c>
      <c r="AO431" s="137">
        <v>78.7</v>
      </c>
      <c r="AP431" s="128">
        <v>2169.29</v>
      </c>
      <c r="AQ431" s="128">
        <f>2169-1684-124</f>
        <v>361</v>
      </c>
      <c r="AR431" s="128"/>
      <c r="AS431" s="128"/>
      <c r="AT431" s="122"/>
      <c r="AU431" s="124" t="s">
        <v>189</v>
      </c>
      <c r="AV431" s="115">
        <f>VLOOKUP(J431,'[63]ТР нефть'!$J$28:$BP$638,39,0)</f>
        <v>507.00001142600001</v>
      </c>
      <c r="AW431" s="115" t="str">
        <f>VLOOKUP(J431,'[63]ТР нефть'!$J$28:$BP$638,40,0)</f>
        <v>ГП</v>
      </c>
      <c r="AX431" s="115">
        <f>VLOOKUP(J431,'[63]ТР нефть'!$J$28:$BP$638,41,0)</f>
        <v>949.99998515599998</v>
      </c>
      <c r="AY431" s="115" t="str">
        <f>VLOOKUP(J431,'[63]ТР нефть'!$J$28:$BP$638,42,0)</f>
        <v>ГК79 1/8</v>
      </c>
      <c r="AZ431" s="115">
        <f>VLOOKUP(J431,'[63]ТР нефть'!$J$28:$BP$638,43,0)</f>
        <v>1292.0000214839999</v>
      </c>
      <c r="BA431" s="115" t="str">
        <f>VLOOKUP(J431,'[63]ТР нефть'!$J$28:$BP$638,44,0)</f>
        <v>ГК79 1/8</v>
      </c>
      <c r="BB431" s="115">
        <f>VLOOKUP(J431,'[63]ТР нефть'!$J$28:$BP$638,45,0)</f>
        <v>1542.0000175780001</v>
      </c>
      <c r="BC431" s="115" t="str">
        <f>VLOOKUP(J431,'[63]ТР нефть'!$J$28:$BP$638,46,0)</f>
        <v>ГК78 1/8</v>
      </c>
      <c r="BD431" s="115">
        <f>VLOOKUP(J431,'[63]ТР нефть'!$J$28:$BP$638,47,0)</f>
        <v>1740.0000621090001</v>
      </c>
      <c r="BE431" s="115" t="str">
        <f>VLOOKUP(J431,'[63]ТР нефть'!$J$28:$BP$638,48,0)</f>
        <v>ГК76 5/32</v>
      </c>
      <c r="BF431" s="115">
        <f>VLOOKUP(J431,'[63]ТР нефть'!$J$28:$BP$638,49,0)</f>
        <v>1897</v>
      </c>
      <c r="BG431" s="115" t="str">
        <f>VLOOKUP(J431,'[63]ТР нефть'!$J$28:$BP$638,50,0)</f>
        <v>ЦКсОК 5/16</v>
      </c>
      <c r="BH431" s="115" t="str">
        <f>VLOOKUP(J431,'[63]ТР нефть'!$J$28:$BP$638,51,0)</f>
        <v>-</v>
      </c>
      <c r="BI431" s="115" t="str">
        <f>VLOOKUP(J431,'[63]ТР нефть'!$J$28:$BP$638,52,0)</f>
        <v>-</v>
      </c>
      <c r="BJ431" s="115" t="str">
        <f>IF(IFERROR(VLOOKUP(J431,'[63]ТР нефть'!$J$28:$BP$638,53,0),"-")=0,"-",IFERROR(VLOOKUP(J431,'[63]ТР нефть'!$J$28:$BP$638,53,0),"-"))</f>
        <v>-</v>
      </c>
      <c r="BK431" s="138" t="str">
        <f>IF(IFERROR(VLOOKUP(J431,'[63]ТР нефть'!$J$28:$BP$638,54,0),"-")=0,"-",IFERROR(VLOOKUP(J431,'[63]ТР нефть'!$J$28:$BP$638,54,0),"-"))</f>
        <v>-</v>
      </c>
      <c r="BL431" s="138" t="str">
        <f>IF(IFERROR(VLOOKUP(J431,'[63]ТР нефть'!$J$28:$BP$638,55,0),"-")=0,"-",IFERROR(VLOOKUP(J431,'[63]ТР нефть'!$J$28:$BP$638,55,0),"-"))</f>
        <v>-</v>
      </c>
      <c r="BM431" s="138" t="str">
        <f>IF(IFERROR(VLOOKUP(J431,'[63]ТР нефть'!$J$28:$BP$638,56,0),"-")=0,"-",IFERROR(VLOOKUP(J431,'[63]ТР нефть'!$J$28:$BP$638,56,0),"-"))</f>
        <v>-</v>
      </c>
      <c r="BN431" s="138" t="str">
        <f>IF(IFERROR(VLOOKUP(J431,'[63]ТР нефть'!$J$28:$BP$638,57,0),"-")=0,"-",IFERROR(VLOOKUP(J431,'[63]ТР нефть'!$J$28:$BP$638,57,0),"-"))</f>
        <v>-</v>
      </c>
      <c r="BO431" s="115" t="str">
        <f>IF(IFERROR(VLOOKUP(J431,'[63]ТР нефть'!$J$28:$BP$638,58,0),"-")=0,"-",IFERROR(VLOOKUP(J431,'[63]ТР нефть'!$J$28:$BP$638,58,0),"-"))</f>
        <v>-</v>
      </c>
      <c r="BP431" s="115" t="str">
        <f>IF(IFERROR(VLOOKUP(J431,'[63]ТР нефть'!$J$28:$BP$638,59,0),"-")=0,"-",IFERROR(VLOOKUP(J431,'[63]ТР нефть'!$J$28:$BP$638,59,0),"-"))</f>
        <v>-</v>
      </c>
      <c r="BQ431" s="138">
        <v>2069</v>
      </c>
      <c r="BR431" s="128">
        <f>1644.88+124</f>
        <v>1768.88</v>
      </c>
      <c r="BS431" s="115">
        <f t="shared" si="340"/>
        <v>300.11999999999989</v>
      </c>
      <c r="BT431" s="128">
        <v>73</v>
      </c>
      <c r="BU431" s="128">
        <v>5.5</v>
      </c>
      <c r="BV431" s="127">
        <v>18</v>
      </c>
      <c r="BW431" s="127" t="s">
        <v>217</v>
      </c>
      <c r="BX431" s="127" t="s">
        <v>195</v>
      </c>
      <c r="BY431" s="139">
        <v>24</v>
      </c>
      <c r="BZ431" s="139">
        <v>0</v>
      </c>
      <c r="CA431" s="138">
        <v>22</v>
      </c>
      <c r="CB431" s="138">
        <v>42</v>
      </c>
      <c r="CC431" s="138">
        <v>21</v>
      </c>
      <c r="CD431" s="135">
        <v>45017</v>
      </c>
      <c r="CE431" s="138">
        <v>102</v>
      </c>
      <c r="CF431" s="138">
        <v>76</v>
      </c>
      <c r="CG431" s="138" t="str">
        <f t="shared" si="310"/>
        <v>В работе</v>
      </c>
      <c r="CH431" s="138" t="s">
        <v>235</v>
      </c>
      <c r="CI431" s="138">
        <v>5</v>
      </c>
      <c r="CJ431" s="138"/>
      <c r="CK431" s="138">
        <f t="shared" si="308"/>
        <v>31</v>
      </c>
      <c r="CL431" s="99"/>
      <c r="CM431" s="99"/>
      <c r="CN431" s="140">
        <v>53</v>
      </c>
      <c r="CO431" s="141">
        <f t="shared" si="324"/>
        <v>5.8519999999999994</v>
      </c>
      <c r="CP431" s="142">
        <v>7</v>
      </c>
      <c r="CQ431" s="143">
        <v>0</v>
      </c>
      <c r="CR431" s="138">
        <v>14</v>
      </c>
      <c r="CS431" s="139">
        <v>10.8</v>
      </c>
      <c r="CT431" s="138"/>
      <c r="CU431" s="138">
        <f t="shared" si="320"/>
        <v>3.1999999999999993</v>
      </c>
      <c r="CV431" s="115">
        <f t="shared" si="321"/>
        <v>546.82159945317835</v>
      </c>
      <c r="CW431" s="115">
        <f t="shared" si="325"/>
        <v>1845.5228981544774</v>
      </c>
      <c r="CX431" s="133">
        <f t="shared" si="322"/>
        <v>0.14285714285714285</v>
      </c>
      <c r="CY431" s="116"/>
      <c r="CZ431" s="131"/>
      <c r="DA431" s="145" t="str">
        <f t="shared" si="326"/>
        <v>Газлифт</v>
      </c>
      <c r="DB431" s="146">
        <f t="shared" si="341"/>
        <v>5.8519999999999994</v>
      </c>
      <c r="DC431" s="142">
        <f t="shared" si="342"/>
        <v>7</v>
      </c>
      <c r="DD431" s="119">
        <f t="shared" si="303"/>
        <v>0</v>
      </c>
      <c r="DE431" s="115">
        <f t="shared" si="343"/>
        <v>3.1999999999999993</v>
      </c>
      <c r="DF431" s="121">
        <f t="shared" si="328"/>
        <v>10.8</v>
      </c>
      <c r="DG431" s="115">
        <f t="shared" si="329"/>
        <v>546.82159945317835</v>
      </c>
      <c r="DH431" s="115">
        <f t="shared" si="330"/>
        <v>53</v>
      </c>
      <c r="DI431" s="147"/>
      <c r="DJ431" s="111"/>
      <c r="DK431" s="112">
        <v>44072</v>
      </c>
      <c r="DL431" s="113">
        <f t="shared" ca="1" si="312"/>
        <v>1032</v>
      </c>
      <c r="DM431" s="114"/>
      <c r="DN431" s="114"/>
      <c r="DO431" s="114"/>
      <c r="DP431" s="114"/>
      <c r="DQ431" s="112"/>
      <c r="DR431" s="114"/>
      <c r="DS431" s="114"/>
      <c r="DT431" s="115">
        <v>60</v>
      </c>
      <c r="DU431" s="116">
        <f t="shared" si="313"/>
        <v>0.16666666666666666</v>
      </c>
      <c r="DV431" s="117">
        <f t="shared" si="314"/>
        <v>5.8519999999999994</v>
      </c>
      <c r="DW431" s="118">
        <f t="shared" si="315"/>
        <v>7</v>
      </c>
      <c r="DX431" s="119">
        <f t="shared" si="331"/>
        <v>0</v>
      </c>
      <c r="DY431" s="115">
        <f t="shared" si="316"/>
        <v>3.1999999999999997</v>
      </c>
      <c r="DZ431" s="117">
        <f t="shared" ref="DZ431:EB462" si="349">DV431-CO431</f>
        <v>0</v>
      </c>
      <c r="EA431" s="120">
        <f t="shared" si="349"/>
        <v>0</v>
      </c>
      <c r="EB431" s="119">
        <f t="shared" si="349"/>
        <v>0</v>
      </c>
      <c r="EC431" s="121">
        <f t="shared" si="318"/>
        <v>0</v>
      </c>
      <c r="ED431" s="122"/>
      <c r="EE431" s="145">
        <v>18</v>
      </c>
      <c r="EF431" s="148">
        <v>25</v>
      </c>
      <c r="EG431" s="115">
        <v>46</v>
      </c>
      <c r="EH431" s="115">
        <v>24</v>
      </c>
      <c r="EI431" s="128" t="s">
        <v>195</v>
      </c>
      <c r="EJ431" s="121">
        <v>24</v>
      </c>
      <c r="EK431" s="121">
        <v>0</v>
      </c>
      <c r="EL431" s="149">
        <v>4.18</v>
      </c>
      <c r="EM431" s="142">
        <v>5</v>
      </c>
      <c r="EN431" s="119">
        <v>0</v>
      </c>
      <c r="EO431" s="115">
        <v>12</v>
      </c>
      <c r="EP431" s="115">
        <v>1148.3253588516748</v>
      </c>
      <c r="EQ431" s="115">
        <v>76</v>
      </c>
      <c r="ER431" s="115">
        <v>7.2</v>
      </c>
      <c r="ES431" s="115">
        <v>57</v>
      </c>
      <c r="ET431" s="150">
        <v>0.1111111111111111</v>
      </c>
      <c r="EU431" s="145">
        <f t="shared" si="332"/>
        <v>18</v>
      </c>
      <c r="EV431" s="115">
        <f t="shared" si="333"/>
        <v>22</v>
      </c>
      <c r="EW431" s="115">
        <f t="shared" si="333"/>
        <v>42</v>
      </c>
      <c r="EX431" s="115">
        <f t="shared" si="333"/>
        <v>21</v>
      </c>
      <c r="EY431" s="115" t="str">
        <f t="shared" si="309"/>
        <v>Постоянный</v>
      </c>
      <c r="EZ431" s="115">
        <f t="shared" si="309"/>
        <v>24</v>
      </c>
      <c r="FA431" s="115">
        <f t="shared" si="309"/>
        <v>0</v>
      </c>
      <c r="FB431" s="149">
        <f t="shared" si="345"/>
        <v>5.8519999999999994</v>
      </c>
      <c r="FC431" s="142">
        <f t="shared" si="345"/>
        <v>7</v>
      </c>
      <c r="FD431" s="119">
        <f t="shared" si="345"/>
        <v>0</v>
      </c>
      <c r="FE431" s="121">
        <f t="shared" si="344"/>
        <v>14</v>
      </c>
      <c r="FF431" s="121">
        <f t="shared" si="347"/>
        <v>546.82159945317835</v>
      </c>
      <c r="FG431" s="121">
        <f t="shared" si="334"/>
        <v>76</v>
      </c>
      <c r="FH431" s="121">
        <f t="shared" si="348"/>
        <v>10.8</v>
      </c>
      <c r="FI431" s="121">
        <f t="shared" si="306"/>
        <v>53</v>
      </c>
      <c r="FJ431" s="144">
        <f t="shared" si="335"/>
        <v>0.14285714285714285</v>
      </c>
      <c r="FK431" s="132">
        <f t="shared" si="336"/>
        <v>0</v>
      </c>
      <c r="FL431" s="115">
        <f t="shared" si="336"/>
        <v>-3</v>
      </c>
      <c r="FM431" s="115">
        <f t="shared" si="336"/>
        <v>-4</v>
      </c>
      <c r="FN431" s="115">
        <f t="shared" si="336"/>
        <v>-3</v>
      </c>
      <c r="FO431" s="115">
        <f t="shared" si="311"/>
        <v>0</v>
      </c>
      <c r="FP431" s="115">
        <f t="shared" si="311"/>
        <v>0</v>
      </c>
      <c r="FQ431" s="149">
        <f t="shared" si="311"/>
        <v>1.6719999999999997</v>
      </c>
      <c r="FR431" s="142">
        <f t="shared" si="311"/>
        <v>2</v>
      </c>
      <c r="FS431" s="119">
        <f t="shared" si="311"/>
        <v>0</v>
      </c>
      <c r="FT431" s="121">
        <f t="shared" si="311"/>
        <v>2</v>
      </c>
      <c r="FU431" s="121">
        <f t="shared" si="337"/>
        <v>0</v>
      </c>
      <c r="FV431" s="121">
        <f t="shared" si="337"/>
        <v>3.6000000000000005</v>
      </c>
      <c r="FW431" s="121">
        <f t="shared" si="338"/>
        <v>-601.50375939849641</v>
      </c>
      <c r="FX431" s="121">
        <f t="shared" si="339"/>
        <v>-4</v>
      </c>
      <c r="FY431" s="144">
        <f t="shared" si="339"/>
        <v>3.1746031746031744E-2</v>
      </c>
      <c r="FZ431" s="145" t="s">
        <v>199</v>
      </c>
      <c r="GA431" s="151" t="s">
        <v>1639</v>
      </c>
      <c r="GB431" s="145" t="s">
        <v>199</v>
      </c>
      <c r="GC431" s="151" t="s">
        <v>1093</v>
      </c>
      <c r="GD431" s="997" t="s">
        <v>220</v>
      </c>
      <c r="GE431" s="1004" t="s">
        <v>199</v>
      </c>
      <c r="GF431" s="1004">
        <v>-2.3187296000000002</v>
      </c>
      <c r="GG431" s="1004"/>
      <c r="GH431" s="1004">
        <v>0.49357440000000086</v>
      </c>
      <c r="GI431" s="145"/>
      <c r="GJ431" s="996">
        <v>0</v>
      </c>
      <c r="GK431" s="145"/>
      <c r="GL431" s="996">
        <v>-0.38971210080000063</v>
      </c>
      <c r="GM431" s="1005"/>
      <c r="GN431" s="996">
        <v>-0.18575685919999962</v>
      </c>
      <c r="GO431" s="1006"/>
      <c r="GP431" s="996">
        <v>0.89899761599999994</v>
      </c>
      <c r="GQ431" s="1006"/>
      <c r="GR431" s="996">
        <v>-0.75222945600000024</v>
      </c>
      <c r="GS431" s="1006"/>
      <c r="GT431" s="996">
        <v>0</v>
      </c>
      <c r="GU431" s="1006"/>
      <c r="GV431" s="996">
        <v>0</v>
      </c>
      <c r="GW431" s="1006" t="s">
        <v>199</v>
      </c>
      <c r="GX431" s="996">
        <v>3.7432735999999993</v>
      </c>
      <c r="GY431" s="1006" t="s">
        <v>199</v>
      </c>
      <c r="GZ431" s="996">
        <v>-1.4797199999999995</v>
      </c>
      <c r="HA431" s="1006"/>
      <c r="HB431" s="996">
        <v>0</v>
      </c>
      <c r="HC431" s="1006"/>
      <c r="HD431" s="996">
        <v>0</v>
      </c>
      <c r="HE431" s="1006"/>
      <c r="HF431" s="996">
        <v>0</v>
      </c>
      <c r="HG431" s="1006"/>
      <c r="HH431" s="996">
        <v>0</v>
      </c>
      <c r="HI431" s="1006" t="s">
        <v>221</v>
      </c>
      <c r="HJ431" s="996">
        <v>-1.6051200000000003</v>
      </c>
      <c r="HK431" s="1006" t="s">
        <v>199</v>
      </c>
      <c r="HL431" s="996">
        <v>5.1330400000000003</v>
      </c>
      <c r="HM431" s="1006" t="s">
        <v>199</v>
      </c>
      <c r="HN431" s="996">
        <v>-3.7034799999999999</v>
      </c>
      <c r="HO431" s="1006" t="s">
        <v>199</v>
      </c>
      <c r="HP431" s="996">
        <v>-2.2321199999999992</v>
      </c>
      <c r="HQ431" s="1006" t="s">
        <v>204</v>
      </c>
      <c r="HR431" s="996">
        <v>-9.6307199999999984</v>
      </c>
      <c r="HS431" s="1006" t="s">
        <v>199</v>
      </c>
      <c r="HT431" s="996">
        <v>-3.4769240000000003</v>
      </c>
      <c r="HU431" s="1006"/>
      <c r="HV431" s="996">
        <v>0</v>
      </c>
      <c r="HW431" s="1006" t="s">
        <v>199</v>
      </c>
      <c r="HX431" s="996">
        <v>6.1218297008000011</v>
      </c>
      <c r="HY431" s="1006" t="s">
        <v>241</v>
      </c>
      <c r="HZ431" s="996">
        <v>4.1652506191999983</v>
      </c>
      <c r="IA431" s="1006"/>
      <c r="IB431" s="996">
        <v>0</v>
      </c>
      <c r="IC431" s="1006"/>
      <c r="ID431" s="996">
        <v>0</v>
      </c>
      <c r="IE431" s="1006"/>
      <c r="IF431" s="996">
        <v>0</v>
      </c>
      <c r="IG431" s="1006" t="s">
        <v>199</v>
      </c>
      <c r="IH431" s="996">
        <v>-4.4760660559999987</v>
      </c>
      <c r="II431" s="1006"/>
      <c r="IJ431" s="996">
        <v>0</v>
      </c>
      <c r="IK431" s="1006"/>
      <c r="IL431" s="996">
        <v>0</v>
      </c>
      <c r="IM431" s="1006"/>
      <c r="IN431" s="996">
        <v>0</v>
      </c>
      <c r="IO431" s="1006" t="s">
        <v>199</v>
      </c>
      <c r="IP431" s="996">
        <v>-13.377775663999998</v>
      </c>
      <c r="IQ431" s="1006" t="s">
        <v>25</v>
      </c>
      <c r="IR431" s="996">
        <v>28.700005399999995</v>
      </c>
      <c r="IS431" s="1006"/>
      <c r="IT431" s="996">
        <v>0</v>
      </c>
      <c r="IU431" s="1006"/>
      <c r="IV431" s="996">
        <v>0</v>
      </c>
      <c r="IW431" s="1006"/>
      <c r="IX431" s="996"/>
      <c r="IY431" s="1006"/>
      <c r="IZ431" s="996"/>
      <c r="JA431" s="1006"/>
      <c r="JB431" s="996"/>
      <c r="JC431" s="1006"/>
      <c r="JD431" s="996"/>
      <c r="JE431" s="1006"/>
      <c r="JF431" s="996"/>
      <c r="JG431" s="1006"/>
      <c r="JH431" s="996"/>
      <c r="JI431" s="1006"/>
      <c r="JJ431" s="996"/>
      <c r="JK431" s="1007"/>
      <c r="JL431" s="1007"/>
      <c r="JM431" s="1007"/>
      <c r="JN431" s="1007"/>
      <c r="JO431" s="1008"/>
      <c r="JP431" s="1007"/>
      <c r="JQ431" s="1008"/>
      <c r="JR431" s="1007"/>
      <c r="JS431" s="1008"/>
      <c r="JT431" s="1007"/>
      <c r="JU431" s="1008"/>
      <c r="JV431" s="1007"/>
      <c r="JW431" s="1008"/>
      <c r="JX431" s="1007"/>
      <c r="JY431" s="1008"/>
      <c r="JZ431" s="1007"/>
      <c r="KA431" s="1008"/>
      <c r="KB431" s="1007"/>
      <c r="KC431" s="1008"/>
      <c r="KD431" s="1007"/>
      <c r="KE431" s="1008"/>
      <c r="KF431" s="1007"/>
      <c r="KG431" s="1008"/>
      <c r="KH431" s="1007"/>
      <c r="KI431" s="1008"/>
      <c r="KJ431" s="1007"/>
      <c r="KK431" s="1008"/>
      <c r="KL431" s="1007"/>
      <c r="KM431" s="1008"/>
      <c r="KN431" s="1007"/>
      <c r="KO431" s="1008"/>
      <c r="KP431" s="1007"/>
      <c r="KQ431" s="1008"/>
      <c r="KR431" s="1007"/>
      <c r="KS431" s="1008"/>
      <c r="KT431" s="1007"/>
      <c r="KU431" s="1008"/>
      <c r="KV431" s="1007"/>
      <c r="KW431" s="1008"/>
      <c r="KX431" s="1007"/>
      <c r="KY431" s="1008"/>
      <c r="KZ431" s="1007"/>
      <c r="LA431" s="1008"/>
      <c r="LB431" s="1007"/>
      <c r="LC431" s="1008"/>
      <c r="LD431" s="1007"/>
      <c r="LE431" s="1008"/>
      <c r="LF431" s="1007"/>
      <c r="LG431" s="1008"/>
      <c r="LH431" s="1007"/>
      <c r="LI431" s="1008"/>
      <c r="LJ431" s="1007"/>
      <c r="LK431" s="1008"/>
      <c r="LL431" s="1007"/>
      <c r="LM431" s="1008"/>
      <c r="LN431" s="1007"/>
      <c r="LO431" s="1008"/>
      <c r="LP431" s="1007"/>
      <c r="LQ431" s="1008"/>
      <c r="LR431" s="1007"/>
      <c r="LS431" s="1008"/>
      <c r="LT431" s="1007"/>
      <c r="LU431" s="1008"/>
      <c r="LV431" s="1007"/>
      <c r="LW431" s="1008"/>
      <c r="LX431" s="1007"/>
      <c r="LY431" s="1009"/>
      <c r="LZ431" s="1010"/>
      <c r="MA431" s="1011"/>
      <c r="MB431" s="1012"/>
      <c r="MC431" s="995"/>
      <c r="MD431" s="996"/>
      <c r="ME431" s="997" t="s">
        <v>220</v>
      </c>
      <c r="MF431" s="997"/>
      <c r="MG431" s="998"/>
      <c r="NR431" s="1000"/>
      <c r="NS431" s="1000"/>
      <c r="NT431" s="1001"/>
      <c r="NU431" s="1000"/>
      <c r="NV431" s="1001"/>
      <c r="NX431" s="1002"/>
      <c r="NZ431" s="1001"/>
      <c r="OA431" s="1001"/>
      <c r="OC431" s="1003"/>
      <c r="OD431" s="1003"/>
      <c r="OE431" s="1001"/>
      <c r="OF431" s="1003"/>
      <c r="OG431" s="1003"/>
      <c r="QX431" s="1000">
        <f>CN431-CA431</f>
        <v>31</v>
      </c>
      <c r="ASU431" s="999" t="s">
        <v>208</v>
      </c>
    </row>
    <row r="432" spans="1:466 1191:1191" ht="21" customHeight="1" x14ac:dyDescent="0.25">
      <c r="A432" s="982">
        <f t="shared" si="323"/>
        <v>1507</v>
      </c>
      <c r="B432" s="124">
        <f>SUBTOTAL(103,$J$29:J432)</f>
        <v>404</v>
      </c>
      <c r="C432" s="126">
        <v>45068</v>
      </c>
      <c r="D432" s="124" t="s">
        <v>176</v>
      </c>
      <c r="E432" s="127" t="s">
        <v>177</v>
      </c>
      <c r="F432" s="128" t="s">
        <v>177</v>
      </c>
      <c r="G432" s="127" t="s">
        <v>178</v>
      </c>
      <c r="H432" s="127" t="s">
        <v>179</v>
      </c>
      <c r="I432" s="127" t="s">
        <v>1616</v>
      </c>
      <c r="J432" s="152">
        <v>1507</v>
      </c>
      <c r="K432" s="127" t="s">
        <v>1616</v>
      </c>
      <c r="L432" s="130">
        <v>43258</v>
      </c>
      <c r="M432" s="127" t="s">
        <v>230</v>
      </c>
      <c r="N432" s="127" t="s">
        <v>184</v>
      </c>
      <c r="O432" s="127" t="s">
        <v>185</v>
      </c>
      <c r="P432" s="127" t="s">
        <v>186</v>
      </c>
      <c r="Q432" s="85">
        <f t="shared" si="319"/>
        <v>-4</v>
      </c>
      <c r="R432" s="130">
        <v>43228</v>
      </c>
      <c r="S432" s="128" t="s">
        <v>747</v>
      </c>
      <c r="T432" s="131" t="s">
        <v>1294</v>
      </c>
      <c r="U432" s="132">
        <v>203</v>
      </c>
      <c r="V432" s="121">
        <v>218.2</v>
      </c>
      <c r="W432" s="116">
        <v>0.98</v>
      </c>
      <c r="X432" s="116">
        <v>1.66</v>
      </c>
      <c r="Y432" s="116">
        <f t="shared" si="346"/>
        <v>0.98</v>
      </c>
      <c r="Z432" s="133">
        <v>1.454</v>
      </c>
      <c r="AA432" s="133">
        <v>0.83599999999999997</v>
      </c>
      <c r="AB432" s="133">
        <v>0.72</v>
      </c>
      <c r="AC432" s="121">
        <v>34.299999999999997</v>
      </c>
      <c r="AD432" s="134">
        <v>1.17</v>
      </c>
      <c r="AE432" s="124">
        <v>177.8</v>
      </c>
      <c r="AF432" s="128">
        <v>9.19</v>
      </c>
      <c r="AG432" s="128">
        <v>2620.1999999999998</v>
      </c>
      <c r="AH432" s="138">
        <v>3404.57</v>
      </c>
      <c r="AI432" s="138">
        <v>3404.57</v>
      </c>
      <c r="AJ432" s="135">
        <v>43245</v>
      </c>
      <c r="AK432" s="128" t="s">
        <v>1018</v>
      </c>
      <c r="AL432" s="131"/>
      <c r="AM432" s="124" t="s">
        <v>985</v>
      </c>
      <c r="AN432" s="136" t="s">
        <v>1640</v>
      </c>
      <c r="AO432" s="137">
        <v>8.4</v>
      </c>
      <c r="AP432" s="128">
        <v>2916.44</v>
      </c>
      <c r="AQ432" s="128">
        <v>845.28</v>
      </c>
      <c r="AR432" s="128" t="s">
        <v>1641</v>
      </c>
      <c r="AS432" s="128">
        <v>114</v>
      </c>
      <c r="AT432" s="122">
        <v>7.37</v>
      </c>
      <c r="AU432" s="124" t="s">
        <v>189</v>
      </c>
      <c r="AV432" s="115">
        <f>VLOOKUP(J432,'[63]ТР нефть'!$J$28:$BP$638,39,0)</f>
        <v>474.99999257799999</v>
      </c>
      <c r="AW432" s="115" t="str">
        <f>VLOOKUP(J432,'[63]ТР нефть'!$J$28:$BP$638,40,0)</f>
        <v>ГП</v>
      </c>
      <c r="AX432" s="115">
        <f>VLOOKUP(J432,'[63]ТР нефть'!$J$28:$BP$638,41,0)</f>
        <v>899.99998593800001</v>
      </c>
      <c r="AY432" s="115" t="str">
        <f>VLOOKUP(J432,'[63]ТР нефть'!$J$28:$BP$638,42,0)</f>
        <v>ГП</v>
      </c>
      <c r="AZ432" s="115">
        <f>VLOOKUP(J432,'[63]ТР нефть'!$J$28:$BP$638,43,0)</f>
        <v>1145.0000267580001</v>
      </c>
      <c r="BA432" s="115" t="str">
        <f>VLOOKUP(J432,'[63]ТР нефть'!$J$28:$BP$638,44,0)</f>
        <v>ГК 79 1/8</v>
      </c>
      <c r="BB432" s="115">
        <f>VLOOKUP(J432,'[63]ТР нефть'!$J$28:$BP$638,45,0)</f>
        <v>1565.000064844</v>
      </c>
      <c r="BC432" s="115" t="str">
        <f>VLOOKUP(J432,'[63]ТР нефть'!$J$28:$BP$638,46,0)</f>
        <v>ГК 81 1/8</v>
      </c>
      <c r="BD432" s="115">
        <f>VLOOKUP(J432,'[63]ТР нефть'!$J$28:$BP$638,47,0)</f>
        <v>1860.000030469</v>
      </c>
      <c r="BE432" s="115" t="str">
        <f>VLOOKUP(J432,'[63]ТР нефть'!$J$28:$BP$638,48,0)</f>
        <v>ЦКсОК 5/16</v>
      </c>
      <c r="BF432" s="115" t="str">
        <f>VLOOKUP(J432,'[63]ТР нефть'!$J$28:$BP$638,49,0)</f>
        <v>-</v>
      </c>
      <c r="BG432" s="115" t="str">
        <f>VLOOKUP(J432,'[63]ТР нефть'!$J$28:$BP$638,50,0)</f>
        <v>-</v>
      </c>
      <c r="BH432" s="115">
        <f>VLOOKUP(J432,'[63]ТР нефть'!$J$28:$BP$638,51,0)</f>
        <v>1870</v>
      </c>
      <c r="BI432" s="115" t="str">
        <f>VLOOKUP(J432,'[63]ТР нефть'!$J$28:$BP$638,52,0)</f>
        <v>закрыт</v>
      </c>
      <c r="BJ432" s="115" t="str">
        <f>IF(IFERROR(VLOOKUP(J432,'[63]ТР нефть'!$J$28:$BP$638,53,0),"-")=0,"-",IFERROR(VLOOKUP(J432,'[63]ТР нефть'!$J$28:$BP$638,53,0),"-"))</f>
        <v>-</v>
      </c>
      <c r="BK432" s="138" t="str">
        <f>IF(IFERROR(VLOOKUP(J432,'[63]ТР нефть'!$J$28:$BP$638,54,0),"-")=0,"-",IFERROR(VLOOKUP(J432,'[63]ТР нефть'!$J$28:$BP$638,54,0),"-"))</f>
        <v>-</v>
      </c>
      <c r="BL432" s="138" t="str">
        <f>IF(IFERROR(VLOOKUP(J432,'[63]ТР нефть'!$J$28:$BP$638,55,0),"-")=0,"-",IFERROR(VLOOKUP(J432,'[63]ТР нефть'!$J$28:$BP$638,55,0),"-"))</f>
        <v>-</v>
      </c>
      <c r="BM432" s="138" t="str">
        <f>IF(IFERROR(VLOOKUP(J432,'[63]ТР нефть'!$J$28:$BP$638,56,0),"-")=0,"-",IFERROR(VLOOKUP(J432,'[63]ТР нефть'!$J$28:$BP$638,56,0),"-"))</f>
        <v>-</v>
      </c>
      <c r="BN432" s="138" t="str">
        <f>IF(IFERROR(VLOOKUP(J432,'[63]ТР нефть'!$J$28:$BP$638,57,0),"-")=0,"-",IFERROR(VLOOKUP(J432,'[63]ТР нефть'!$J$28:$BP$638,57,0),"-"))</f>
        <v>-</v>
      </c>
      <c r="BO432" s="115" t="str">
        <f>IF(IFERROR(VLOOKUP(J432,'[63]ТР нефть'!$J$28:$BP$638,58,0),"-")=0,"-",IFERROR(VLOOKUP(J432,'[63]ТР нефть'!$J$28:$BP$638,58,0),"-"))</f>
        <v>-</v>
      </c>
      <c r="BP432" s="115" t="str">
        <f>IF(IFERROR(VLOOKUP(J432,'[63]ТР нефть'!$J$28:$BP$638,59,0),"-")=0,"-",IFERROR(VLOOKUP(J432,'[63]ТР нефть'!$J$28:$BP$638,59,0),"-"))</f>
        <v>-</v>
      </c>
      <c r="BQ432" s="138">
        <v>1992</v>
      </c>
      <c r="BR432" s="128">
        <v>1637</v>
      </c>
      <c r="BS432" s="115">
        <f t="shared" si="340"/>
        <v>355</v>
      </c>
      <c r="BT432" s="128">
        <v>73</v>
      </c>
      <c r="BU432" s="128">
        <v>5.5</v>
      </c>
      <c r="BV432" s="127">
        <v>65</v>
      </c>
      <c r="BW432" s="127" t="s">
        <v>217</v>
      </c>
      <c r="BX432" s="127" t="s">
        <v>195</v>
      </c>
      <c r="BY432" s="139">
        <v>24</v>
      </c>
      <c r="BZ432" s="139">
        <v>0</v>
      </c>
      <c r="CA432" s="80">
        <v>23</v>
      </c>
      <c r="CB432" s="138">
        <v>43</v>
      </c>
      <c r="CC432" s="138">
        <v>23</v>
      </c>
      <c r="CD432" s="135">
        <v>45017</v>
      </c>
      <c r="CE432" s="138">
        <v>86</v>
      </c>
      <c r="CF432" s="138">
        <v>75</v>
      </c>
      <c r="CG432" s="138" t="str">
        <f t="shared" si="310"/>
        <v>В работе</v>
      </c>
      <c r="CH432" s="138" t="s">
        <v>196</v>
      </c>
      <c r="CI432" s="127"/>
      <c r="CJ432" s="138"/>
      <c r="CK432" s="138">
        <f t="shared" si="308"/>
        <v>26</v>
      </c>
      <c r="CL432" s="99"/>
      <c r="CM432" s="99"/>
      <c r="CN432" s="140">
        <v>49</v>
      </c>
      <c r="CO432" s="141">
        <f t="shared" si="324"/>
        <v>8.5271999999999988</v>
      </c>
      <c r="CP432" s="142">
        <v>10.199999999999999</v>
      </c>
      <c r="CQ432" s="143">
        <v>0</v>
      </c>
      <c r="CR432" s="138">
        <v>18</v>
      </c>
      <c r="CS432" s="139">
        <v>9.6</v>
      </c>
      <c r="CT432" s="138"/>
      <c r="CU432" s="138">
        <f t="shared" si="320"/>
        <v>8.4</v>
      </c>
      <c r="CV432" s="115">
        <f t="shared" si="321"/>
        <v>985.08302842668184</v>
      </c>
      <c r="CW432" s="115">
        <f t="shared" si="325"/>
        <v>1125.8091753447793</v>
      </c>
      <c r="CX432" s="133">
        <f t="shared" si="322"/>
        <v>0.27567567567567564</v>
      </c>
      <c r="CY432" s="116"/>
      <c r="CZ432" s="131"/>
      <c r="DA432" s="145" t="str">
        <f t="shared" si="326"/>
        <v>Газлифт</v>
      </c>
      <c r="DB432" s="146">
        <f t="shared" si="341"/>
        <v>8.5271999999999988</v>
      </c>
      <c r="DC432" s="142">
        <f t="shared" si="342"/>
        <v>10.199999999999999</v>
      </c>
      <c r="DD432" s="119">
        <f t="shared" si="303"/>
        <v>0</v>
      </c>
      <c r="DE432" s="115">
        <f t="shared" si="343"/>
        <v>8.4</v>
      </c>
      <c r="DF432" s="121">
        <f t="shared" si="328"/>
        <v>9.6</v>
      </c>
      <c r="DG432" s="115">
        <f t="shared" si="329"/>
        <v>985.08302842668184</v>
      </c>
      <c r="DH432" s="115">
        <f t="shared" si="330"/>
        <v>49</v>
      </c>
      <c r="DI432" s="147"/>
      <c r="DJ432" s="111" t="s">
        <v>197</v>
      </c>
      <c r="DK432" s="112">
        <v>43258</v>
      </c>
      <c r="DL432" s="113">
        <f t="shared" ca="1" si="312"/>
        <v>1846</v>
      </c>
      <c r="DM432" s="114"/>
      <c r="DN432" s="114"/>
      <c r="DO432" s="114"/>
      <c r="DP432" s="114"/>
      <c r="DQ432" s="112">
        <v>43258</v>
      </c>
      <c r="DR432" s="114" t="s">
        <v>324</v>
      </c>
      <c r="DS432" s="114"/>
      <c r="DT432" s="115">
        <v>47</v>
      </c>
      <c r="DU432" s="116">
        <f t="shared" si="313"/>
        <v>0.27215266384595466</v>
      </c>
      <c r="DV432" s="117">
        <f t="shared" si="314"/>
        <v>8.8732654520335057</v>
      </c>
      <c r="DW432" s="118">
        <f t="shared" si="315"/>
        <v>10.613953889992231</v>
      </c>
      <c r="DX432" s="119">
        <f t="shared" si="331"/>
        <v>0</v>
      </c>
      <c r="DY432" s="115">
        <f t="shared" si="316"/>
        <v>8.7409032035230165</v>
      </c>
      <c r="DZ432" s="117">
        <f t="shared" si="349"/>
        <v>0.34606545203350692</v>
      </c>
      <c r="EA432" s="120">
        <f t="shared" si="349"/>
        <v>0.41395388999223215</v>
      </c>
      <c r="EB432" s="119">
        <f t="shared" si="349"/>
        <v>0</v>
      </c>
      <c r="EC432" s="121">
        <f t="shared" si="318"/>
        <v>0.34090320352301617</v>
      </c>
      <c r="ED432" s="122"/>
      <c r="EE432" s="145">
        <v>65</v>
      </c>
      <c r="EF432" s="148">
        <v>26</v>
      </c>
      <c r="EG432" s="115">
        <v>40</v>
      </c>
      <c r="EH432" s="115">
        <v>25</v>
      </c>
      <c r="EI432" s="128" t="s">
        <v>195</v>
      </c>
      <c r="EJ432" s="121">
        <v>24</v>
      </c>
      <c r="EK432" s="121">
        <v>0</v>
      </c>
      <c r="EL432" s="149">
        <v>6.9388000000000005</v>
      </c>
      <c r="EM432" s="142">
        <v>8.3000000000000007</v>
      </c>
      <c r="EN432" s="119">
        <v>0</v>
      </c>
      <c r="EO432" s="115">
        <v>18</v>
      </c>
      <c r="EP432" s="115">
        <v>1210.5839626448376</v>
      </c>
      <c r="EQ432" s="115">
        <v>73</v>
      </c>
      <c r="ER432" s="115">
        <v>9.6</v>
      </c>
      <c r="ES432" s="115">
        <v>45</v>
      </c>
      <c r="ET432" s="150">
        <v>0.20243902439024392</v>
      </c>
      <c r="EU432" s="145">
        <f t="shared" si="332"/>
        <v>65</v>
      </c>
      <c r="EV432" s="115">
        <f t="shared" si="333"/>
        <v>23</v>
      </c>
      <c r="EW432" s="115">
        <f t="shared" si="333"/>
        <v>43</v>
      </c>
      <c r="EX432" s="115">
        <f t="shared" si="333"/>
        <v>23</v>
      </c>
      <c r="EY432" s="115" t="str">
        <f t="shared" si="309"/>
        <v>Постоянный</v>
      </c>
      <c r="EZ432" s="115">
        <f t="shared" si="309"/>
        <v>24</v>
      </c>
      <c r="FA432" s="115">
        <f t="shared" si="309"/>
        <v>0</v>
      </c>
      <c r="FB432" s="149">
        <f t="shared" si="345"/>
        <v>8.5271999999999988</v>
      </c>
      <c r="FC432" s="142">
        <f t="shared" si="345"/>
        <v>10.199999999999999</v>
      </c>
      <c r="FD432" s="119">
        <f t="shared" si="345"/>
        <v>0</v>
      </c>
      <c r="FE432" s="121">
        <f t="shared" si="344"/>
        <v>18</v>
      </c>
      <c r="FF432" s="121">
        <f t="shared" si="347"/>
        <v>985.08302842668184</v>
      </c>
      <c r="FG432" s="121">
        <f t="shared" si="334"/>
        <v>75</v>
      </c>
      <c r="FH432" s="121">
        <f t="shared" si="348"/>
        <v>9.6</v>
      </c>
      <c r="FI432" s="121">
        <f t="shared" si="306"/>
        <v>49</v>
      </c>
      <c r="FJ432" s="144">
        <f t="shared" si="335"/>
        <v>0.27567567567567564</v>
      </c>
      <c r="FK432" s="132">
        <f t="shared" si="336"/>
        <v>0</v>
      </c>
      <c r="FL432" s="115">
        <f t="shared" si="336"/>
        <v>-3</v>
      </c>
      <c r="FM432" s="115">
        <f t="shared" si="336"/>
        <v>3</v>
      </c>
      <c r="FN432" s="115">
        <f t="shared" si="336"/>
        <v>-2</v>
      </c>
      <c r="FO432" s="115">
        <f t="shared" si="311"/>
        <v>0</v>
      </c>
      <c r="FP432" s="115">
        <f t="shared" si="311"/>
        <v>0</v>
      </c>
      <c r="FQ432" s="149">
        <f t="shared" si="311"/>
        <v>1.5883999999999983</v>
      </c>
      <c r="FR432" s="142">
        <f t="shared" si="311"/>
        <v>1.8999999999999986</v>
      </c>
      <c r="FS432" s="119">
        <f t="shared" si="311"/>
        <v>0</v>
      </c>
      <c r="FT432" s="121">
        <f t="shared" si="311"/>
        <v>0</v>
      </c>
      <c r="FU432" s="121">
        <f t="shared" si="337"/>
        <v>2</v>
      </c>
      <c r="FV432" s="121">
        <f t="shared" si="337"/>
        <v>0</v>
      </c>
      <c r="FW432" s="121">
        <f t="shared" si="338"/>
        <v>-225.50093421815575</v>
      </c>
      <c r="FX432" s="121">
        <f t="shared" si="339"/>
        <v>4</v>
      </c>
      <c r="FY432" s="144">
        <f t="shared" si="339"/>
        <v>7.323665128543172E-2</v>
      </c>
      <c r="FZ432" s="145" t="s">
        <v>199</v>
      </c>
      <c r="GA432" s="151" t="s">
        <v>200</v>
      </c>
      <c r="GB432" s="145"/>
      <c r="GC432" s="125"/>
      <c r="GD432" s="997" t="s">
        <v>202</v>
      </c>
      <c r="GE432" s="1004"/>
      <c r="GF432" s="1004">
        <v>-0.91959999999999908</v>
      </c>
      <c r="GG432" s="1004"/>
      <c r="GH432" s="1004">
        <v>0</v>
      </c>
      <c r="GI432" s="145"/>
      <c r="GJ432" s="996">
        <v>0.13375999999999966</v>
      </c>
      <c r="GK432" s="145" t="s">
        <v>204</v>
      </c>
      <c r="GL432" s="996">
        <v>2.2013760999999992</v>
      </c>
      <c r="GM432" s="1005"/>
      <c r="GN432" s="996">
        <v>0</v>
      </c>
      <c r="GO432" s="1006"/>
      <c r="GP432" s="996">
        <v>0</v>
      </c>
      <c r="GQ432" s="1006"/>
      <c r="GR432" s="996">
        <v>-7.7936099999998731E-2</v>
      </c>
      <c r="GS432" s="1006"/>
      <c r="GT432" s="996">
        <v>0</v>
      </c>
      <c r="GU432" s="1006"/>
      <c r="GV432" s="996">
        <v>0</v>
      </c>
      <c r="GW432" s="1006"/>
      <c r="GX432" s="996">
        <v>0</v>
      </c>
      <c r="GY432" s="1006" t="s">
        <v>223</v>
      </c>
      <c r="GZ432" s="996">
        <v>-1.0366400000000002</v>
      </c>
      <c r="HA432" s="1006" t="s">
        <v>199</v>
      </c>
      <c r="HB432" s="996">
        <v>-2.181960000000001</v>
      </c>
      <c r="HC432" s="1006" t="s">
        <v>241</v>
      </c>
      <c r="HD432" s="996">
        <v>0</v>
      </c>
      <c r="HE432" s="1006"/>
      <c r="HF432" s="996">
        <v>-0.40127999999999808</v>
      </c>
      <c r="HG432" s="1006"/>
      <c r="HH432" s="996">
        <v>2.5079999999999103E-2</v>
      </c>
      <c r="HI432" s="1006"/>
      <c r="HJ432" s="996">
        <v>-0.41799999999999926</v>
      </c>
      <c r="HK432" s="1006"/>
      <c r="HL432" s="996">
        <v>0</v>
      </c>
      <c r="HM432" s="1006" t="s">
        <v>199</v>
      </c>
      <c r="HN432" s="996">
        <v>2.2153999999999998</v>
      </c>
      <c r="HO432" s="1006"/>
      <c r="HP432" s="996">
        <v>0</v>
      </c>
      <c r="HQ432" s="1006"/>
      <c r="HR432" s="996">
        <v>-0.27170000000000094</v>
      </c>
      <c r="HS432" s="1006" t="s">
        <v>643</v>
      </c>
      <c r="HT432" s="996">
        <v>0</v>
      </c>
      <c r="HU432" s="1006" t="s">
        <v>199</v>
      </c>
      <c r="HV432" s="996">
        <v>-1.8601000000000001</v>
      </c>
      <c r="HW432" s="1006"/>
      <c r="HX432" s="996">
        <v>0</v>
      </c>
      <c r="HY432" s="1006"/>
      <c r="HZ432" s="996">
        <v>0</v>
      </c>
      <c r="IA432" s="1006"/>
      <c r="IB432" s="996">
        <v>0</v>
      </c>
      <c r="IC432" s="1006"/>
      <c r="ID432" s="996">
        <v>-0.16719999999999935</v>
      </c>
      <c r="IE432" s="1006" t="s">
        <v>223</v>
      </c>
      <c r="IF432" s="996">
        <v>-3.6783999999999999</v>
      </c>
      <c r="IG432" s="1006"/>
      <c r="IH432" s="996">
        <v>0</v>
      </c>
      <c r="II432" s="1006"/>
      <c r="IJ432" s="996">
        <v>0</v>
      </c>
      <c r="IK432" s="1006" t="s">
        <v>199</v>
      </c>
      <c r="IL432" s="996">
        <v>-2.3407999999999998</v>
      </c>
      <c r="IM432" s="1006" t="s">
        <v>199</v>
      </c>
      <c r="IN432" s="996">
        <v>6.3201599999999996</v>
      </c>
      <c r="IO432" s="1006"/>
      <c r="IP432" s="996">
        <v>0.39492640000000101</v>
      </c>
      <c r="IQ432" s="1006"/>
      <c r="IR432" s="996">
        <v>0.66679359999999832</v>
      </c>
      <c r="IS432" s="1006"/>
      <c r="IT432" s="996">
        <v>-0.52579383999999862</v>
      </c>
      <c r="IU432" s="1006" t="s">
        <v>199</v>
      </c>
      <c r="IV432" s="996">
        <v>-3.6780321600000008</v>
      </c>
      <c r="IW432" s="1006"/>
      <c r="IX432" s="996">
        <v>0</v>
      </c>
      <c r="IY432" s="1006"/>
      <c r="IZ432" s="996">
        <v>0</v>
      </c>
      <c r="JA432" s="1006"/>
      <c r="JB432" s="996">
        <v>0.83591640000000034</v>
      </c>
      <c r="JC432" s="1006"/>
      <c r="JD432" s="996">
        <v>0</v>
      </c>
      <c r="JE432" s="1006"/>
      <c r="JF432" s="996">
        <v>0</v>
      </c>
      <c r="JG432" s="1006"/>
      <c r="JH432" s="996">
        <v>0</v>
      </c>
      <c r="JI432" s="1006"/>
      <c r="JJ432" s="996">
        <v>0</v>
      </c>
      <c r="JK432" s="1007"/>
      <c r="JL432" s="1007">
        <v>0</v>
      </c>
      <c r="JM432" s="1007" t="s">
        <v>204</v>
      </c>
      <c r="JN432" s="1007">
        <v>-4.1795819999999999</v>
      </c>
      <c r="JO432" s="1008"/>
      <c r="JP432" s="1007">
        <v>0</v>
      </c>
      <c r="JQ432" s="1008" t="s">
        <v>199</v>
      </c>
      <c r="JR432" s="1007">
        <v>4.1784116000000004</v>
      </c>
      <c r="JS432" s="1008" t="s">
        <v>199</v>
      </c>
      <c r="JT432" s="1007">
        <v>-4.18</v>
      </c>
      <c r="JU432" s="1008"/>
      <c r="JV432" s="1007">
        <v>0</v>
      </c>
      <c r="JW432" s="1008" t="s">
        <v>223</v>
      </c>
      <c r="JX432" s="1007">
        <v>-7.5239999999999991</v>
      </c>
      <c r="JY432" s="1008"/>
      <c r="JZ432" s="1007">
        <v>0</v>
      </c>
      <c r="KA432" s="1008"/>
      <c r="KB432" s="1007">
        <v>0</v>
      </c>
      <c r="KC432" s="1008"/>
      <c r="KD432" s="1007">
        <v>0</v>
      </c>
      <c r="KE432" s="1008"/>
      <c r="KF432" s="1007">
        <v>0</v>
      </c>
      <c r="KG432" s="1008"/>
      <c r="KH432" s="1007">
        <v>0</v>
      </c>
      <c r="KI432" s="1008" t="s">
        <v>203</v>
      </c>
      <c r="KJ432" s="1007">
        <v>4.18</v>
      </c>
      <c r="KK432" s="1008"/>
      <c r="KL432" s="1007">
        <v>0</v>
      </c>
      <c r="KM432" s="1008" t="s">
        <v>203</v>
      </c>
      <c r="KN432" s="1007">
        <v>-13.376000000000001</v>
      </c>
      <c r="KO432" s="1008" t="s">
        <v>203</v>
      </c>
      <c r="KP432" s="1007">
        <v>-20.6492</v>
      </c>
      <c r="KQ432" s="1008">
        <v>0</v>
      </c>
      <c r="KR432" s="1007">
        <v>0</v>
      </c>
      <c r="KS432" s="1008">
        <v>0</v>
      </c>
      <c r="KT432" s="1007">
        <v>0</v>
      </c>
      <c r="KU432" s="1008">
        <v>0</v>
      </c>
      <c r="KV432" s="1007">
        <v>0</v>
      </c>
      <c r="KW432" s="1008">
        <v>0</v>
      </c>
      <c r="KX432" s="1007">
        <v>0</v>
      </c>
      <c r="KY432" s="1008">
        <v>0</v>
      </c>
      <c r="KZ432" s="1007">
        <v>0</v>
      </c>
      <c r="LA432" s="1008">
        <v>0</v>
      </c>
      <c r="LB432" s="1007">
        <v>0</v>
      </c>
      <c r="LC432" s="1008">
        <v>0</v>
      </c>
      <c r="LD432" s="1007">
        <v>0</v>
      </c>
      <c r="LE432" s="1008">
        <v>0</v>
      </c>
      <c r="LF432" s="1007">
        <v>0</v>
      </c>
      <c r="LG432" s="1008">
        <v>0</v>
      </c>
      <c r="LH432" s="1007">
        <v>0</v>
      </c>
      <c r="LI432" s="1008">
        <v>0</v>
      </c>
      <c r="LJ432" s="1007">
        <v>0</v>
      </c>
      <c r="LK432" s="1008">
        <v>0</v>
      </c>
      <c r="LL432" s="1007">
        <v>0</v>
      </c>
      <c r="LM432" s="1008">
        <v>0</v>
      </c>
      <c r="LN432" s="1007">
        <v>0</v>
      </c>
      <c r="LO432" s="1008">
        <v>0</v>
      </c>
      <c r="LP432" s="1007">
        <v>0</v>
      </c>
      <c r="LQ432" s="1008">
        <v>0</v>
      </c>
      <c r="LR432" s="1007">
        <v>0</v>
      </c>
      <c r="LS432" s="1008">
        <v>0</v>
      </c>
      <c r="LT432" s="1007">
        <v>0</v>
      </c>
      <c r="LU432" s="1008">
        <v>0</v>
      </c>
      <c r="LV432" s="1007">
        <v>0</v>
      </c>
      <c r="LW432" s="1008">
        <v>0</v>
      </c>
      <c r="LX432" s="1007">
        <v>0</v>
      </c>
      <c r="LY432" s="1009">
        <v>0</v>
      </c>
      <c r="LZ432" s="1010">
        <v>0</v>
      </c>
      <c r="MA432" s="1011">
        <v>0</v>
      </c>
      <c r="MB432" s="1012">
        <v>0</v>
      </c>
      <c r="MC432" s="995"/>
      <c r="MD432" s="996"/>
      <c r="ME432" s="997" t="s">
        <v>202</v>
      </c>
      <c r="MF432" s="997"/>
      <c r="MG432" s="998"/>
      <c r="NR432" s="1000"/>
      <c r="NS432" s="1000"/>
      <c r="NT432" s="1001"/>
      <c r="NU432" s="1000"/>
      <c r="NV432" s="1001"/>
      <c r="NX432" s="1002"/>
      <c r="NZ432" s="1001"/>
      <c r="OA432" s="1001"/>
      <c r="OC432" s="1003"/>
      <c r="OD432" s="1003"/>
      <c r="OE432" s="1001"/>
      <c r="OF432" s="1003"/>
      <c r="OG432" s="1003"/>
      <c r="QX432" s="1000">
        <f>CN432-CA432</f>
        <v>26</v>
      </c>
      <c r="ASU432" s="999" t="s">
        <v>208</v>
      </c>
    </row>
    <row r="433" spans="1:466 1191:1191" ht="21" customHeight="1" x14ac:dyDescent="0.25">
      <c r="A433" s="982">
        <f t="shared" si="323"/>
        <v>1508</v>
      </c>
      <c r="B433" s="124">
        <f>SUBTOTAL(103,$J$29:J433)</f>
        <v>405</v>
      </c>
      <c r="C433" s="126">
        <v>45068</v>
      </c>
      <c r="D433" s="124" t="s">
        <v>176</v>
      </c>
      <c r="E433" s="127" t="s">
        <v>177</v>
      </c>
      <c r="F433" s="128" t="s">
        <v>177</v>
      </c>
      <c r="G433" s="127" t="s">
        <v>178</v>
      </c>
      <c r="H433" s="127" t="s">
        <v>179</v>
      </c>
      <c r="I433" s="127" t="s">
        <v>1518</v>
      </c>
      <c r="J433" s="152">
        <v>1508</v>
      </c>
      <c r="K433" s="127" t="s">
        <v>1518</v>
      </c>
      <c r="L433" s="130">
        <v>43931</v>
      </c>
      <c r="M433" s="127" t="s">
        <v>230</v>
      </c>
      <c r="N433" s="127" t="s">
        <v>184</v>
      </c>
      <c r="O433" s="127" t="s">
        <v>185</v>
      </c>
      <c r="P433" s="127" t="s">
        <v>186</v>
      </c>
      <c r="Q433" s="85" t="str">
        <f t="shared" si="319"/>
        <v/>
      </c>
      <c r="R433" s="130"/>
      <c r="S433" s="128"/>
      <c r="T433" s="131"/>
      <c r="U433" s="132">
        <v>203</v>
      </c>
      <c r="V433" s="121">
        <v>218.2</v>
      </c>
      <c r="W433" s="116">
        <v>0.98</v>
      </c>
      <c r="X433" s="116">
        <v>1.66</v>
      </c>
      <c r="Y433" s="116">
        <f t="shared" si="346"/>
        <v>0.98</v>
      </c>
      <c r="Z433" s="133">
        <v>1.454</v>
      </c>
      <c r="AA433" s="133">
        <v>0.83599999999999997</v>
      </c>
      <c r="AB433" s="133">
        <v>0.72</v>
      </c>
      <c r="AC433" s="121">
        <v>34.299999999999997</v>
      </c>
      <c r="AD433" s="134">
        <v>1.17</v>
      </c>
      <c r="AE433" s="124">
        <v>177.8</v>
      </c>
      <c r="AF433" s="128">
        <v>9.19</v>
      </c>
      <c r="AG433" s="128">
        <v>2390.8000000000002</v>
      </c>
      <c r="AH433" s="138">
        <v>3055.35</v>
      </c>
      <c r="AI433" s="138">
        <v>3055.35</v>
      </c>
      <c r="AJ433" s="135"/>
      <c r="AK433" s="128"/>
      <c r="AL433" s="131"/>
      <c r="AM433" s="124" t="s">
        <v>187</v>
      </c>
      <c r="AN433" s="136" t="s">
        <v>1642</v>
      </c>
      <c r="AO433" s="137">
        <v>150.12999999999988</v>
      </c>
      <c r="AP433" s="128">
        <v>2427.4299999999998</v>
      </c>
      <c r="AQ433" s="128">
        <f>1661.37+124</f>
        <v>1785.37</v>
      </c>
      <c r="AR433" s="128" t="s">
        <v>1643</v>
      </c>
      <c r="AS433" s="128">
        <v>114</v>
      </c>
      <c r="AT433" s="122">
        <v>7.37</v>
      </c>
      <c r="AU433" s="124" t="s">
        <v>189</v>
      </c>
      <c r="AV433" s="115">
        <f>VLOOKUP(J433,'[63]ТР нефть'!$J$28:$BP$638,39,0)</f>
        <v>440.99998418000001</v>
      </c>
      <c r="AW433" s="115" t="str">
        <f>VLOOKUP(J433,'[63]ТР нефть'!$J$28:$BP$638,40,0)</f>
        <v>ГП</v>
      </c>
      <c r="AX433" s="115">
        <f>VLOOKUP(J433,'[63]ТР нефть'!$J$28:$BP$638,41,0)</f>
        <v>905.00001562499995</v>
      </c>
      <c r="AY433" s="115" t="str">
        <f>VLOOKUP(J433,'[63]ТР нефть'!$J$28:$BP$638,42,0)</f>
        <v>ГП</v>
      </c>
      <c r="AZ433" s="115">
        <f>VLOOKUP(J433,'[63]ТР нефть'!$J$28:$BP$638,43,0)</f>
        <v>1313.9999437500001</v>
      </c>
      <c r="BA433" s="115" t="str">
        <f>VLOOKUP(J433,'[63]ТР нефть'!$J$28:$BP$638,44,0)</f>
        <v>ГК 76 1/8</v>
      </c>
      <c r="BB433" s="115">
        <f>VLOOKUP(J433,'[63]ТР нефть'!$J$28:$BP$638,45,0)</f>
        <v>1654.000027734</v>
      </c>
      <c r="BC433" s="115" t="str">
        <f>VLOOKUP(J433,'[63]ТР нефть'!$J$28:$BP$638,46,0)</f>
        <v>ГК 76 5/32</v>
      </c>
      <c r="BD433" s="115">
        <f>VLOOKUP(J433,'[63]ТР нефть'!$J$28:$BP$638,47,0)</f>
        <v>1935.0000292970001</v>
      </c>
      <c r="BE433" s="115" t="str">
        <f>VLOOKUP(J433,'[63]ТР нефть'!$J$28:$BP$638,48,0)</f>
        <v>ГК 75 5/32</v>
      </c>
      <c r="BF433" s="115">
        <f>VLOOKUP(J433,'[63]ТР нефть'!$J$28:$BP$638,49,0)</f>
        <v>2135</v>
      </c>
      <c r="BG433" s="115" t="str">
        <f>VLOOKUP(J433,'[63]ТР нефть'!$J$28:$BP$638,50,0)</f>
        <v>ЦКсОК 5/16</v>
      </c>
      <c r="BH433" s="115" t="str">
        <f>VLOOKUP(J433,'[63]ТР нефть'!$J$28:$BP$638,51,0)</f>
        <v>-</v>
      </c>
      <c r="BI433" s="115" t="str">
        <f>VLOOKUP(J433,'[63]ТР нефть'!$J$28:$BP$638,52,0)</f>
        <v>-</v>
      </c>
      <c r="BJ433" s="115" t="str">
        <f>IF(IFERROR(VLOOKUP(J433,'[63]ТР нефть'!$J$28:$BP$638,53,0),"-")=0,"-",IFERROR(VLOOKUP(J433,'[63]ТР нефть'!$J$28:$BP$638,53,0),"-"))</f>
        <v>-</v>
      </c>
      <c r="BK433" s="138" t="str">
        <f>IF(IFERROR(VLOOKUP(J433,'[63]ТР нефть'!$J$28:$BP$638,54,0),"-")=0,"-",IFERROR(VLOOKUP(J433,'[63]ТР нефть'!$J$28:$BP$638,54,0),"-"))</f>
        <v>-</v>
      </c>
      <c r="BL433" s="138" t="str">
        <f>IF(IFERROR(VLOOKUP(J433,'[63]ТР нефть'!$J$28:$BP$638,55,0),"-")=0,"-",IFERROR(VLOOKUP(J433,'[63]ТР нефть'!$J$28:$BP$638,55,0),"-"))</f>
        <v>-</v>
      </c>
      <c r="BM433" s="138" t="str">
        <f>IF(IFERROR(VLOOKUP(J433,'[63]ТР нефть'!$J$28:$BP$638,56,0),"-")=0,"-",IFERROR(VLOOKUP(J433,'[63]ТР нефть'!$J$28:$BP$638,56,0),"-"))</f>
        <v>-</v>
      </c>
      <c r="BN433" s="138" t="str">
        <f>IF(IFERROR(VLOOKUP(J433,'[63]ТР нефть'!$J$28:$BP$638,57,0),"-")=0,"-",IFERROR(VLOOKUP(J433,'[63]ТР нефть'!$J$28:$BP$638,57,0),"-"))</f>
        <v>-</v>
      </c>
      <c r="BO433" s="115" t="str">
        <f>IF(IFERROR(VLOOKUP(J433,'[63]ТР нефть'!$J$28:$BP$638,58,0),"-")=0,"-",IFERROR(VLOOKUP(J433,'[63]ТР нефть'!$J$28:$BP$638,58,0),"-"))</f>
        <v>-</v>
      </c>
      <c r="BP433" s="115" t="str">
        <f>IF(IFERROR(VLOOKUP(J433,'[63]ТР нефть'!$J$28:$BP$638,59,0),"-")=0,"-",IFERROR(VLOOKUP(J433,'[63]ТР нефть'!$J$28:$BP$638,59,0),"-"))</f>
        <v>-</v>
      </c>
      <c r="BQ433" s="138">
        <v>2000</v>
      </c>
      <c r="BR433" s="128">
        <f>1429.6+124</f>
        <v>1553.6</v>
      </c>
      <c r="BS433" s="115">
        <f t="shared" si="340"/>
        <v>446.40000000000009</v>
      </c>
      <c r="BT433" s="128">
        <v>73</v>
      </c>
      <c r="BU433" s="128">
        <v>5.5</v>
      </c>
      <c r="BV433" s="127">
        <v>18</v>
      </c>
      <c r="BW433" s="127" t="s">
        <v>217</v>
      </c>
      <c r="BX433" s="127" t="s">
        <v>195</v>
      </c>
      <c r="BY433" s="139">
        <v>24</v>
      </c>
      <c r="BZ433" s="139">
        <v>0</v>
      </c>
      <c r="CA433" s="80">
        <v>23</v>
      </c>
      <c r="CB433" s="138">
        <v>40</v>
      </c>
      <c r="CC433" s="138">
        <v>22</v>
      </c>
      <c r="CD433" s="135">
        <v>45017</v>
      </c>
      <c r="CE433" s="138">
        <v>121</v>
      </c>
      <c r="CF433" s="138">
        <v>76</v>
      </c>
      <c r="CG433" s="138" t="str">
        <f t="shared" si="310"/>
        <v>В работе</v>
      </c>
      <c r="CH433" s="138" t="s">
        <v>235</v>
      </c>
      <c r="CI433" s="127">
        <v>5</v>
      </c>
      <c r="CJ433" s="138"/>
      <c r="CK433" s="138">
        <f t="shared" si="308"/>
        <v>35</v>
      </c>
      <c r="CL433" s="99"/>
      <c r="CM433" s="99"/>
      <c r="CN433" s="140">
        <v>58</v>
      </c>
      <c r="CO433" s="141">
        <f t="shared" si="324"/>
        <v>5.4340000000000002</v>
      </c>
      <c r="CP433" s="142">
        <v>6.5</v>
      </c>
      <c r="CQ433" s="143">
        <v>0</v>
      </c>
      <c r="CR433" s="138">
        <v>25.5</v>
      </c>
      <c r="CS433" s="139">
        <v>11</v>
      </c>
      <c r="CT433" s="138"/>
      <c r="CU433" s="138">
        <f t="shared" si="320"/>
        <v>14.5</v>
      </c>
      <c r="CV433" s="115">
        <f t="shared" si="321"/>
        <v>2668.3842473316158</v>
      </c>
      <c r="CW433" s="115">
        <f t="shared" si="325"/>
        <v>2024.291497975709</v>
      </c>
      <c r="CX433" s="133">
        <f t="shared" si="322"/>
        <v>0.10317460317460317</v>
      </c>
      <c r="CY433" s="116"/>
      <c r="CZ433" s="131"/>
      <c r="DA433" s="145" t="str">
        <f t="shared" si="326"/>
        <v>Газлифт</v>
      </c>
      <c r="DB433" s="146">
        <f t="shared" si="341"/>
        <v>5.4340000000000002</v>
      </c>
      <c r="DC433" s="142">
        <f t="shared" si="342"/>
        <v>6.5</v>
      </c>
      <c r="DD433" s="119">
        <f t="shared" ref="DD433:DD496" si="350">IFERROR(IF(AND(FZ433="Технология",FQ433&lt;$JC$29),EN433,CQ433),"-")</f>
        <v>0</v>
      </c>
      <c r="DE433" s="115">
        <f t="shared" si="343"/>
        <v>14.5</v>
      </c>
      <c r="DF433" s="121">
        <f t="shared" si="328"/>
        <v>11</v>
      </c>
      <c r="DG433" s="115">
        <f t="shared" si="329"/>
        <v>2668.3842473316158</v>
      </c>
      <c r="DH433" s="115">
        <f t="shared" si="330"/>
        <v>58</v>
      </c>
      <c r="DI433" s="147"/>
      <c r="DJ433" s="111"/>
      <c r="DK433" s="112">
        <v>43931</v>
      </c>
      <c r="DL433" s="113">
        <f t="shared" ca="1" si="312"/>
        <v>1173</v>
      </c>
      <c r="DM433" s="114"/>
      <c r="DN433" s="114"/>
      <c r="DO433" s="114"/>
      <c r="DP433" s="114"/>
      <c r="DQ433" s="112"/>
      <c r="DR433" s="114"/>
      <c r="DS433" s="114"/>
      <c r="DT433" s="115">
        <v>56</v>
      </c>
      <c r="DU433" s="116">
        <f t="shared" si="313"/>
        <v>0.10218846598774915</v>
      </c>
      <c r="DV433" s="117">
        <f t="shared" si="314"/>
        <v>5.5529212417742881</v>
      </c>
      <c r="DW433" s="118">
        <f t="shared" si="315"/>
        <v>6.6422502892036945</v>
      </c>
      <c r="DX433" s="119">
        <f t="shared" si="331"/>
        <v>0</v>
      </c>
      <c r="DY433" s="115">
        <f t="shared" si="316"/>
        <v>14.817327568223625</v>
      </c>
      <c r="DZ433" s="117">
        <f t="shared" si="349"/>
        <v>0.11892124177428798</v>
      </c>
      <c r="EA433" s="120">
        <f t="shared" si="349"/>
        <v>0.14225028920369454</v>
      </c>
      <c r="EB433" s="119">
        <f t="shared" si="349"/>
        <v>0</v>
      </c>
      <c r="EC433" s="121">
        <f t="shared" si="318"/>
        <v>0.31732756822362518</v>
      </c>
      <c r="ED433" s="122"/>
      <c r="EE433" s="145">
        <v>18</v>
      </c>
      <c r="EF433" s="148">
        <v>25</v>
      </c>
      <c r="EG433" s="115">
        <v>46</v>
      </c>
      <c r="EH433" s="115">
        <v>24</v>
      </c>
      <c r="EI433" s="128" t="s">
        <v>195</v>
      </c>
      <c r="EJ433" s="121">
        <v>24</v>
      </c>
      <c r="EK433" s="121">
        <v>0</v>
      </c>
      <c r="EL433" s="149">
        <v>5.4340000000000002</v>
      </c>
      <c r="EM433" s="142">
        <v>6.5</v>
      </c>
      <c r="EN433" s="119">
        <v>0</v>
      </c>
      <c r="EO433" s="115">
        <v>25.5</v>
      </c>
      <c r="EP433" s="115">
        <v>2668.3842473316158</v>
      </c>
      <c r="EQ433" s="115">
        <v>76</v>
      </c>
      <c r="ER433" s="115">
        <v>11</v>
      </c>
      <c r="ES433" s="115">
        <v>58</v>
      </c>
      <c r="ET433" s="150">
        <v>9.420289855072464E-2</v>
      </c>
      <c r="EU433" s="145">
        <f t="shared" si="332"/>
        <v>18</v>
      </c>
      <c r="EV433" s="115">
        <f t="shared" si="333"/>
        <v>23</v>
      </c>
      <c r="EW433" s="115">
        <f t="shared" si="333"/>
        <v>40</v>
      </c>
      <c r="EX433" s="115">
        <f t="shared" si="333"/>
        <v>22</v>
      </c>
      <c r="EY433" s="115" t="str">
        <f t="shared" si="309"/>
        <v>Постоянный</v>
      </c>
      <c r="EZ433" s="115">
        <f t="shared" si="309"/>
        <v>24</v>
      </c>
      <c r="FA433" s="115">
        <f t="shared" si="309"/>
        <v>0</v>
      </c>
      <c r="FB433" s="149">
        <f t="shared" si="345"/>
        <v>5.4340000000000002</v>
      </c>
      <c r="FC433" s="142">
        <f t="shared" si="345"/>
        <v>6.5</v>
      </c>
      <c r="FD433" s="119">
        <f t="shared" si="345"/>
        <v>0</v>
      </c>
      <c r="FE433" s="121">
        <f t="shared" si="344"/>
        <v>25.5</v>
      </c>
      <c r="FF433" s="121">
        <f t="shared" si="347"/>
        <v>2668.3842473316158</v>
      </c>
      <c r="FG433" s="121">
        <f t="shared" si="334"/>
        <v>76</v>
      </c>
      <c r="FH433" s="121">
        <f t="shared" si="348"/>
        <v>11</v>
      </c>
      <c r="FI433" s="121">
        <f t="shared" si="306"/>
        <v>58</v>
      </c>
      <c r="FJ433" s="144">
        <f t="shared" si="335"/>
        <v>0.10317460317460317</v>
      </c>
      <c r="FK433" s="132">
        <f t="shared" si="336"/>
        <v>0</v>
      </c>
      <c r="FL433" s="115">
        <f t="shared" si="336"/>
        <v>-2</v>
      </c>
      <c r="FM433" s="115">
        <f t="shared" si="336"/>
        <v>-6</v>
      </c>
      <c r="FN433" s="115">
        <f t="shared" si="336"/>
        <v>-2</v>
      </c>
      <c r="FO433" s="115">
        <f t="shared" si="311"/>
        <v>0</v>
      </c>
      <c r="FP433" s="115">
        <f t="shared" si="311"/>
        <v>0</v>
      </c>
      <c r="FQ433" s="149">
        <f t="shared" si="311"/>
        <v>0</v>
      </c>
      <c r="FR433" s="142">
        <f t="shared" si="311"/>
        <v>0</v>
      </c>
      <c r="FS433" s="119">
        <f t="shared" si="311"/>
        <v>0</v>
      </c>
      <c r="FT433" s="121">
        <f t="shared" si="311"/>
        <v>0</v>
      </c>
      <c r="FU433" s="121">
        <f t="shared" si="337"/>
        <v>0</v>
      </c>
      <c r="FV433" s="121">
        <f t="shared" si="337"/>
        <v>0</v>
      </c>
      <c r="FW433" s="121">
        <f t="shared" si="338"/>
        <v>0</v>
      </c>
      <c r="FX433" s="121">
        <f t="shared" si="339"/>
        <v>0</v>
      </c>
      <c r="FY433" s="144">
        <f t="shared" si="339"/>
        <v>8.9717046238785292E-3</v>
      </c>
      <c r="FZ433" s="145"/>
      <c r="GA433" s="151"/>
      <c r="GB433" s="145" t="s">
        <v>199</v>
      </c>
      <c r="GC433" s="151" t="s">
        <v>1093</v>
      </c>
      <c r="GD433" s="997" t="s">
        <v>220</v>
      </c>
      <c r="GE433" s="1004" t="s">
        <v>199</v>
      </c>
      <c r="GF433" s="1004">
        <v>-2.0147599999999999</v>
      </c>
      <c r="GG433" s="1004" t="s">
        <v>199</v>
      </c>
      <c r="GH433" s="1004">
        <v>2.0983599999999996</v>
      </c>
      <c r="GI433" s="145"/>
      <c r="GJ433" s="996">
        <v>0</v>
      </c>
      <c r="GK433" s="145"/>
      <c r="GL433" s="996">
        <v>-0.51664799999999911</v>
      </c>
      <c r="GM433" s="1005"/>
      <c r="GN433" s="996">
        <v>-0.29249967999999971</v>
      </c>
      <c r="GO433" s="1006"/>
      <c r="GP433" s="996">
        <v>4.1423214799999997E-2</v>
      </c>
      <c r="GQ433" s="1006"/>
      <c r="GR433" s="996">
        <v>0.38316446520000014</v>
      </c>
      <c r="GS433" s="1006"/>
      <c r="GT433" s="996">
        <v>0</v>
      </c>
      <c r="GU433" s="1006"/>
      <c r="GV433" s="996">
        <v>-0.11704000000000025</v>
      </c>
      <c r="GW433" s="1006"/>
      <c r="GX433" s="996">
        <v>0</v>
      </c>
      <c r="GY433" s="1006"/>
      <c r="GZ433" s="996">
        <v>-0.76912000000000003</v>
      </c>
      <c r="HA433" s="1006"/>
      <c r="HB433" s="996">
        <v>-0.65207999999999977</v>
      </c>
      <c r="HC433" s="1006"/>
      <c r="HD433" s="996">
        <v>7.2899199999999276E-2</v>
      </c>
      <c r="HE433" s="1006"/>
      <c r="HF433" s="996">
        <v>0</v>
      </c>
      <c r="HG433" s="1006" t="s">
        <v>25</v>
      </c>
      <c r="HH433" s="996">
        <v>2.0171007999999997</v>
      </c>
      <c r="HI433" s="1006"/>
      <c r="HJ433" s="996">
        <v>-0.66879999999999917</v>
      </c>
      <c r="HK433" s="1006"/>
      <c r="HL433" s="996">
        <v>0</v>
      </c>
      <c r="HM433" s="1006"/>
      <c r="HN433" s="996">
        <v>0</v>
      </c>
      <c r="HO433" s="1006"/>
      <c r="HP433" s="996">
        <v>0</v>
      </c>
      <c r="HQ433" s="1006" t="s">
        <v>204</v>
      </c>
      <c r="HR433" s="996">
        <v>-3.1310039200000004</v>
      </c>
      <c r="HS433" s="1006"/>
      <c r="HT433" s="996">
        <v>0</v>
      </c>
      <c r="HU433" s="1006"/>
      <c r="HV433" s="996">
        <v>3.7803919999999991E-2</v>
      </c>
      <c r="HW433" s="1006" t="s">
        <v>241</v>
      </c>
      <c r="HX433" s="996">
        <v>-2.758799999999999</v>
      </c>
      <c r="HY433" s="1006" t="s">
        <v>241</v>
      </c>
      <c r="HZ433" s="996">
        <v>4.8487999999999998</v>
      </c>
      <c r="IA433" s="1006"/>
      <c r="IB433" s="996">
        <v>0</v>
      </c>
      <c r="IC433" s="1006"/>
      <c r="ID433" s="996">
        <v>0</v>
      </c>
      <c r="IE433" s="1006"/>
      <c r="IF433" s="996">
        <v>0</v>
      </c>
      <c r="IG433" s="1006"/>
      <c r="IH433" s="996">
        <v>0</v>
      </c>
      <c r="II433" s="1006"/>
      <c r="IJ433" s="996">
        <v>0</v>
      </c>
      <c r="IK433" s="1006"/>
      <c r="IL433" s="996">
        <v>0</v>
      </c>
      <c r="IM433" s="1006"/>
      <c r="IN433" s="996">
        <v>-0.56848000000000098</v>
      </c>
      <c r="IO433" s="1006"/>
      <c r="IP433" s="996">
        <v>-0.39291999999999927</v>
      </c>
      <c r="IQ433" s="1006"/>
      <c r="IR433" s="996">
        <v>-0.12539999999999996</v>
      </c>
      <c r="IS433" s="1006" t="s">
        <v>204</v>
      </c>
      <c r="IT433" s="996">
        <v>-5.3503999999999996</v>
      </c>
      <c r="IU433" s="1006"/>
      <c r="IV433" s="996">
        <v>0</v>
      </c>
      <c r="IW433" s="1006" t="s">
        <v>203</v>
      </c>
      <c r="IX433" s="996">
        <v>-4.2636000000000021</v>
      </c>
      <c r="IY433" s="1006" t="s">
        <v>203</v>
      </c>
      <c r="IZ433" s="996">
        <v>-7.6436132079999979</v>
      </c>
      <c r="JA433" s="1006" t="s">
        <v>25</v>
      </c>
      <c r="JB433" s="996">
        <v>25.199613207999999</v>
      </c>
      <c r="JC433" s="1006"/>
      <c r="JD433" s="996"/>
      <c r="JE433" s="1006"/>
      <c r="JF433" s="996"/>
      <c r="JG433" s="1006"/>
      <c r="JH433" s="996"/>
      <c r="JI433" s="1006"/>
      <c r="JJ433" s="996"/>
      <c r="JK433" s="1007"/>
      <c r="JL433" s="1007"/>
      <c r="JM433" s="1007"/>
      <c r="JN433" s="1007"/>
      <c r="JO433" s="1008"/>
      <c r="JP433" s="1007"/>
      <c r="JQ433" s="1008"/>
      <c r="JR433" s="1007"/>
      <c r="JS433" s="1008"/>
      <c r="JT433" s="1007"/>
      <c r="JU433" s="1008"/>
      <c r="JV433" s="1007"/>
      <c r="JW433" s="1008"/>
      <c r="JX433" s="1007"/>
      <c r="JY433" s="1008"/>
      <c r="JZ433" s="1007"/>
      <c r="KA433" s="1008"/>
      <c r="KB433" s="1007"/>
      <c r="KC433" s="1008"/>
      <c r="KD433" s="1007"/>
      <c r="KE433" s="1008"/>
      <c r="KF433" s="1007"/>
      <c r="KG433" s="1008"/>
      <c r="KH433" s="1007"/>
      <c r="KI433" s="1008"/>
      <c r="KJ433" s="1007"/>
      <c r="KK433" s="1008"/>
      <c r="KL433" s="1007"/>
      <c r="KM433" s="1008"/>
      <c r="KN433" s="1007"/>
      <c r="KO433" s="1008"/>
      <c r="KP433" s="1007"/>
      <c r="KQ433" s="1008"/>
      <c r="KR433" s="1007"/>
      <c r="KS433" s="1008"/>
      <c r="KT433" s="1007"/>
      <c r="KU433" s="1008"/>
      <c r="KV433" s="1007"/>
      <c r="KW433" s="1008"/>
      <c r="KX433" s="1007"/>
      <c r="KY433" s="1008"/>
      <c r="KZ433" s="1007"/>
      <c r="LA433" s="1008"/>
      <c r="LB433" s="1007"/>
      <c r="LC433" s="1008"/>
      <c r="LD433" s="1007"/>
      <c r="LE433" s="1008"/>
      <c r="LF433" s="1007"/>
      <c r="LG433" s="1008"/>
      <c r="LH433" s="1007"/>
      <c r="LI433" s="1008"/>
      <c r="LJ433" s="1007"/>
      <c r="LK433" s="1008"/>
      <c r="LL433" s="1007"/>
      <c r="LM433" s="1008"/>
      <c r="LN433" s="1007"/>
      <c r="LO433" s="1008"/>
      <c r="LP433" s="1007"/>
      <c r="LQ433" s="1008"/>
      <c r="LR433" s="1007"/>
      <c r="LS433" s="1008"/>
      <c r="LT433" s="1007"/>
      <c r="LU433" s="1008"/>
      <c r="LV433" s="1007"/>
      <c r="LW433" s="1008"/>
      <c r="LX433" s="1007"/>
      <c r="LY433" s="1009"/>
      <c r="LZ433" s="1010"/>
      <c r="MA433" s="1011"/>
      <c r="MB433" s="1012"/>
      <c r="MC433" s="995"/>
      <c r="MD433" s="996"/>
      <c r="ME433" s="997" t="s">
        <v>220</v>
      </c>
      <c r="MF433" s="997"/>
      <c r="MG433" s="998"/>
      <c r="NR433" s="1000"/>
      <c r="NS433" s="1000"/>
      <c r="NT433" s="1001"/>
      <c r="NU433" s="1000"/>
      <c r="NV433" s="1001"/>
      <c r="NX433" s="1002"/>
      <c r="NZ433" s="1001"/>
      <c r="OA433" s="1001"/>
      <c r="OC433" s="1003"/>
      <c r="OD433" s="1003"/>
      <c r="OE433" s="1001"/>
      <c r="OF433" s="1003"/>
      <c r="OG433" s="1003"/>
      <c r="QX433" s="1000">
        <f>CN433-CA433</f>
        <v>35</v>
      </c>
      <c r="ASU433" s="999" t="s">
        <v>208</v>
      </c>
    </row>
    <row r="434" spans="1:466 1191:1191" ht="21" customHeight="1" x14ac:dyDescent="0.25">
      <c r="A434" s="982">
        <f t="shared" si="323"/>
        <v>1509</v>
      </c>
      <c r="B434" s="124">
        <f>SUBTOTAL(103,$J$29:J434)</f>
        <v>406</v>
      </c>
      <c r="C434" s="126">
        <v>45068</v>
      </c>
      <c r="D434" s="124" t="s">
        <v>176</v>
      </c>
      <c r="E434" s="127" t="s">
        <v>177</v>
      </c>
      <c r="F434" s="128" t="s">
        <v>177</v>
      </c>
      <c r="G434" s="127" t="s">
        <v>178</v>
      </c>
      <c r="H434" s="127" t="s">
        <v>179</v>
      </c>
      <c r="I434" s="127" t="s">
        <v>1521</v>
      </c>
      <c r="J434" s="152">
        <v>1509</v>
      </c>
      <c r="K434" s="127" t="s">
        <v>1522</v>
      </c>
      <c r="L434" s="130">
        <v>43603</v>
      </c>
      <c r="M434" s="127" t="s">
        <v>230</v>
      </c>
      <c r="N434" s="127" t="s">
        <v>184</v>
      </c>
      <c r="O434" s="127" t="s">
        <v>185</v>
      </c>
      <c r="P434" s="127" t="s">
        <v>186</v>
      </c>
      <c r="Q434" s="85" t="str">
        <f t="shared" si="319"/>
        <v/>
      </c>
      <c r="R434" s="130"/>
      <c r="S434" s="128"/>
      <c r="T434" s="131"/>
      <c r="U434" s="132">
        <v>203</v>
      </c>
      <c r="V434" s="121">
        <v>218.2</v>
      </c>
      <c r="W434" s="116">
        <v>0.98</v>
      </c>
      <c r="X434" s="116">
        <v>1.66</v>
      </c>
      <c r="Y434" s="116">
        <f t="shared" si="346"/>
        <v>0.98403097023953534</v>
      </c>
      <c r="Z434" s="133">
        <v>1.454</v>
      </c>
      <c r="AA434" s="133">
        <v>0.83599999999999997</v>
      </c>
      <c r="AB434" s="133">
        <v>0.72</v>
      </c>
      <c r="AC434" s="121">
        <v>34.299999999999997</v>
      </c>
      <c r="AD434" s="134">
        <v>1.17</v>
      </c>
      <c r="AE434" s="124">
        <v>177.8</v>
      </c>
      <c r="AF434" s="128">
        <v>9.19</v>
      </c>
      <c r="AG434" s="128">
        <v>2051</v>
      </c>
      <c r="AH434" s="127">
        <v>2713</v>
      </c>
      <c r="AI434" s="127">
        <v>2713</v>
      </c>
      <c r="AJ434" s="135"/>
      <c r="AK434" s="128"/>
      <c r="AL434" s="131"/>
      <c r="AM434" s="124" t="s">
        <v>985</v>
      </c>
      <c r="AN434" s="136" t="s">
        <v>1644</v>
      </c>
      <c r="AO434" s="137">
        <v>26.659999999999854</v>
      </c>
      <c r="AP434" s="128">
        <v>2153.16</v>
      </c>
      <c r="AQ434" s="128">
        <v>246.31</v>
      </c>
      <c r="AR434" s="128" t="s">
        <v>1645</v>
      </c>
      <c r="AS434" s="128">
        <v>114</v>
      </c>
      <c r="AT434" s="122">
        <v>7.37</v>
      </c>
      <c r="AU434" s="124" t="s">
        <v>250</v>
      </c>
      <c r="AV434" s="115">
        <f>VLOOKUP(J434,'[63]ТР нефть'!$J$28:$BP$638,39,0)</f>
        <v>373.30000488299999</v>
      </c>
      <c r="AW434" s="115" t="str">
        <f>VLOOKUP(J434,'[63]ТР нефть'!$J$28:$BP$638,40,0)</f>
        <v>ГК78 1/8</v>
      </c>
      <c r="AX434" s="115">
        <f>VLOOKUP(J434,'[63]ТР нефть'!$J$28:$BP$638,41,0)</f>
        <v>787.49998769499996</v>
      </c>
      <c r="AY434" s="115" t="str">
        <f>VLOOKUP(J434,'[63]ТР нефть'!$J$28:$BP$638,42,0)</f>
        <v>ГК79 1/8</v>
      </c>
      <c r="AZ434" s="115">
        <f>VLOOKUP(J434,'[63]ТР нефть'!$J$28:$BP$638,43,0)</f>
        <v>1168.399975195</v>
      </c>
      <c r="BA434" s="115" t="str">
        <f>VLOOKUP(J434,'[63]ТР нефть'!$J$28:$BP$638,44,0)</f>
        <v>ГК78 5/32</v>
      </c>
      <c r="BB434" s="115">
        <f>VLOOKUP(J434,'[63]ТР нефть'!$J$28:$BP$638,45,0)</f>
        <v>1517.2000429689999</v>
      </c>
      <c r="BC434" s="115" t="str">
        <f>VLOOKUP(J434,'[63]ТР нефть'!$J$28:$BP$638,46,0)</f>
        <v>ГК 85 5/32</v>
      </c>
      <c r="BD434" s="115">
        <f>VLOOKUP(J434,'[63]ТР нефть'!$J$28:$BP$638,47,0)</f>
        <v>1765.9000253910001</v>
      </c>
      <c r="BE434" s="115" t="str">
        <f>VLOOKUP(J434,'[63]ТР нефть'!$J$28:$BP$638,48,0)</f>
        <v>ЦКсОК 5/16</v>
      </c>
      <c r="BF434" s="115" t="str">
        <f>VLOOKUP(J434,'[63]ТР нефть'!$J$28:$BP$638,49,0)</f>
        <v>-</v>
      </c>
      <c r="BG434" s="115" t="str">
        <f>VLOOKUP(J434,'[63]ТР нефть'!$J$28:$BP$638,50,0)</f>
        <v>-</v>
      </c>
      <c r="BH434" s="115" t="str">
        <f>VLOOKUP(J434,'[63]ТР нефть'!$J$28:$BP$638,51,0)</f>
        <v>-</v>
      </c>
      <c r="BI434" s="115" t="str">
        <f>VLOOKUP(J434,'[63]ТР нефть'!$J$28:$BP$638,52,0)</f>
        <v>-</v>
      </c>
      <c r="BJ434" s="115" t="str">
        <f>IF(IFERROR(VLOOKUP(J434,'[63]ТР нефть'!$J$28:$BP$638,53,0),"-")=0,"-",IFERROR(VLOOKUP(J434,'[63]ТР нефть'!$J$28:$BP$638,53,0),"-"))</f>
        <v>-</v>
      </c>
      <c r="BK434" s="138" t="str">
        <f>IF(IFERROR(VLOOKUP(J434,'[63]ТР нефть'!$J$28:$BP$638,54,0),"-")=0,"-",IFERROR(VLOOKUP(J434,'[63]ТР нефть'!$J$28:$BP$638,54,0),"-"))</f>
        <v>-</v>
      </c>
      <c r="BL434" s="138" t="str">
        <f>IF(IFERROR(VLOOKUP(J434,'[63]ТР нефть'!$J$28:$BP$638,55,0),"-")=0,"-",IFERROR(VLOOKUP(J434,'[63]ТР нефть'!$J$28:$BP$638,55,0),"-"))</f>
        <v>-</v>
      </c>
      <c r="BM434" s="138" t="str">
        <f>IF(IFERROR(VLOOKUP(J434,'[63]ТР нефть'!$J$28:$BP$638,56,0),"-")=0,"-",IFERROR(VLOOKUP(J434,'[63]ТР нефть'!$J$28:$BP$638,56,0),"-"))</f>
        <v>-</v>
      </c>
      <c r="BN434" s="138" t="str">
        <f>IF(IFERROR(VLOOKUP(J434,'[63]ТР нефть'!$J$28:$BP$638,57,0),"-")=0,"-",IFERROR(VLOOKUP(J434,'[63]ТР нефть'!$J$28:$BP$638,57,0),"-"))</f>
        <v>-</v>
      </c>
      <c r="BO434" s="115" t="str">
        <f>IF(IFERROR(VLOOKUP(J434,'[63]ТР нефть'!$J$28:$BP$638,58,0),"-")=0,"-",IFERROR(VLOOKUP(J434,'[63]ТР нефть'!$J$28:$BP$638,58,0),"-"))</f>
        <v>-</v>
      </c>
      <c r="BP434" s="115" t="str">
        <f>IF(IFERROR(VLOOKUP(J434,'[63]ТР нефть'!$J$28:$BP$638,59,0),"-")=0,"-",IFERROR(VLOOKUP(J434,'[63]ТР нефть'!$J$28:$BP$638,59,0),"-"))</f>
        <v>-</v>
      </c>
      <c r="BQ434" s="138">
        <v>1993</v>
      </c>
      <c r="BR434" s="128">
        <v>1752.19</v>
      </c>
      <c r="BS434" s="115">
        <f t="shared" si="340"/>
        <v>240.80999999999995</v>
      </c>
      <c r="BT434" s="128">
        <v>73</v>
      </c>
      <c r="BU434" s="128">
        <v>5.5</v>
      </c>
      <c r="BV434" s="127">
        <v>65</v>
      </c>
      <c r="BW434" s="127" t="s">
        <v>217</v>
      </c>
      <c r="BX434" s="127" t="s">
        <v>195</v>
      </c>
      <c r="BY434" s="139">
        <v>24</v>
      </c>
      <c r="BZ434" s="139">
        <v>0</v>
      </c>
      <c r="CA434" s="138">
        <v>24</v>
      </c>
      <c r="CB434" s="138">
        <v>58</v>
      </c>
      <c r="CC434" s="138">
        <v>23</v>
      </c>
      <c r="CD434" s="135">
        <v>45017</v>
      </c>
      <c r="CE434" s="138">
        <v>71</v>
      </c>
      <c r="CF434" s="138">
        <v>76</v>
      </c>
      <c r="CG434" s="138"/>
      <c r="CH434" s="138"/>
      <c r="CI434" s="127">
        <v>5</v>
      </c>
      <c r="CJ434" s="138"/>
      <c r="CK434" s="138">
        <f t="shared" si="308"/>
        <v>18</v>
      </c>
      <c r="CL434" s="99"/>
      <c r="CM434" s="99"/>
      <c r="CN434" s="140">
        <v>42</v>
      </c>
      <c r="CO434" s="141">
        <f t="shared" si="324"/>
        <v>6.6211199999999995</v>
      </c>
      <c r="CP434" s="142">
        <v>8</v>
      </c>
      <c r="CQ434" s="143">
        <v>1</v>
      </c>
      <c r="CR434" s="138">
        <v>23</v>
      </c>
      <c r="CS434" s="139"/>
      <c r="CT434" s="138"/>
      <c r="CU434" s="138">
        <f t="shared" si="320"/>
        <v>23</v>
      </c>
      <c r="CV434" s="115">
        <f t="shared" si="321"/>
        <v>3473.732540718187</v>
      </c>
      <c r="CW434" s="115" t="str">
        <f t="shared" si="325"/>
        <v/>
      </c>
      <c r="CX434" s="133">
        <f t="shared" si="322"/>
        <v>0.27586206896551724</v>
      </c>
      <c r="CY434" s="116"/>
      <c r="CZ434" s="131"/>
      <c r="DA434" s="145" t="str">
        <f t="shared" si="326"/>
        <v>Фон.</v>
      </c>
      <c r="DB434" s="146">
        <f t="shared" si="341"/>
        <v>6.6211199999999995</v>
      </c>
      <c r="DC434" s="142">
        <f t="shared" si="342"/>
        <v>8</v>
      </c>
      <c r="DD434" s="119">
        <f t="shared" si="350"/>
        <v>1</v>
      </c>
      <c r="DE434" s="115">
        <f t="shared" si="343"/>
        <v>23</v>
      </c>
      <c r="DF434" s="121">
        <f t="shared" si="328"/>
        <v>0</v>
      </c>
      <c r="DG434" s="115">
        <f t="shared" si="329"/>
        <v>3473.732540718187</v>
      </c>
      <c r="DH434" s="115">
        <f t="shared" si="330"/>
        <v>42</v>
      </c>
      <c r="DI434" s="147"/>
      <c r="DJ434" s="111" t="s">
        <v>197</v>
      </c>
      <c r="DK434" s="112">
        <v>43603</v>
      </c>
      <c r="DL434" s="113">
        <f t="shared" ca="1" si="312"/>
        <v>1501</v>
      </c>
      <c r="DM434" s="114"/>
      <c r="DN434" s="114"/>
      <c r="DO434" s="114"/>
      <c r="DP434" s="114"/>
      <c r="DQ434" s="112" t="s">
        <v>1646</v>
      </c>
      <c r="DR434" s="114" t="s">
        <v>198</v>
      </c>
      <c r="DS434" s="114"/>
      <c r="DT434" s="115">
        <v>45</v>
      </c>
      <c r="DU434" s="116">
        <f t="shared" si="313"/>
        <v>0.30769230769230771</v>
      </c>
      <c r="DV434" s="117">
        <f t="shared" si="314"/>
        <v>6.6211199999999995</v>
      </c>
      <c r="DW434" s="118">
        <f t="shared" si="315"/>
        <v>8</v>
      </c>
      <c r="DX434" s="119">
        <f t="shared" si="331"/>
        <v>1</v>
      </c>
      <c r="DY434" s="115">
        <f t="shared" si="316"/>
        <v>23</v>
      </c>
      <c r="DZ434" s="117">
        <f t="shared" si="349"/>
        <v>0</v>
      </c>
      <c r="EA434" s="120">
        <f t="shared" si="349"/>
        <v>0</v>
      </c>
      <c r="EB434" s="119">
        <f t="shared" si="349"/>
        <v>0</v>
      </c>
      <c r="EC434" s="121">
        <f t="shared" si="318"/>
        <v>0</v>
      </c>
      <c r="ED434" s="122"/>
      <c r="EE434" s="145">
        <v>65</v>
      </c>
      <c r="EF434" s="115">
        <v>26</v>
      </c>
      <c r="EG434" s="115">
        <v>45</v>
      </c>
      <c r="EH434" s="115">
        <v>25</v>
      </c>
      <c r="EI434" s="128" t="s">
        <v>195</v>
      </c>
      <c r="EJ434" s="121">
        <v>24</v>
      </c>
      <c r="EK434" s="121">
        <v>0</v>
      </c>
      <c r="EL434" s="149">
        <v>6.6211199999999995</v>
      </c>
      <c r="EM434" s="142">
        <v>8</v>
      </c>
      <c r="EN434" s="119">
        <v>1</v>
      </c>
      <c r="EO434" s="115">
        <v>23</v>
      </c>
      <c r="EP434" s="115">
        <v>3473.732540718187</v>
      </c>
      <c r="EQ434" s="115">
        <v>76</v>
      </c>
      <c r="ER434" s="115">
        <v>0</v>
      </c>
      <c r="ES434" s="115">
        <v>42</v>
      </c>
      <c r="ET434" s="150">
        <v>0.27586206896551724</v>
      </c>
      <c r="EU434" s="145">
        <f t="shared" si="332"/>
        <v>65</v>
      </c>
      <c r="EV434" s="115">
        <f t="shared" si="333"/>
        <v>24</v>
      </c>
      <c r="EW434" s="115">
        <f t="shared" si="333"/>
        <v>58</v>
      </c>
      <c r="EX434" s="115">
        <f t="shared" si="333"/>
        <v>23</v>
      </c>
      <c r="EY434" s="115" t="str">
        <f t="shared" si="309"/>
        <v>Постоянный</v>
      </c>
      <c r="EZ434" s="115">
        <f t="shared" si="309"/>
        <v>24</v>
      </c>
      <c r="FA434" s="115">
        <f t="shared" si="309"/>
        <v>0</v>
      </c>
      <c r="FB434" s="149">
        <f t="shared" si="345"/>
        <v>6.6211199999999995</v>
      </c>
      <c r="FC434" s="142">
        <f t="shared" si="345"/>
        <v>8</v>
      </c>
      <c r="FD434" s="119">
        <f t="shared" si="345"/>
        <v>1</v>
      </c>
      <c r="FE434" s="121">
        <f t="shared" si="344"/>
        <v>23</v>
      </c>
      <c r="FF434" s="121">
        <f t="shared" si="347"/>
        <v>3473.732540718187</v>
      </c>
      <c r="FG434" s="121">
        <f t="shared" si="334"/>
        <v>76</v>
      </c>
      <c r="FH434" s="121">
        <f t="shared" si="348"/>
        <v>0</v>
      </c>
      <c r="FI434" s="121">
        <f t="shared" si="306"/>
        <v>42</v>
      </c>
      <c r="FJ434" s="144">
        <f t="shared" si="335"/>
        <v>0.27586206896551724</v>
      </c>
      <c r="FK434" s="132">
        <f t="shared" si="336"/>
        <v>0</v>
      </c>
      <c r="FL434" s="115">
        <f t="shared" si="336"/>
        <v>-2</v>
      </c>
      <c r="FM434" s="115">
        <f t="shared" si="336"/>
        <v>13</v>
      </c>
      <c r="FN434" s="115">
        <f t="shared" si="336"/>
        <v>-2</v>
      </c>
      <c r="FO434" s="115">
        <f t="shared" si="311"/>
        <v>0</v>
      </c>
      <c r="FP434" s="115">
        <f t="shared" si="311"/>
        <v>0</v>
      </c>
      <c r="FQ434" s="149">
        <f t="shared" si="311"/>
        <v>0</v>
      </c>
      <c r="FR434" s="142">
        <f t="shared" si="311"/>
        <v>0</v>
      </c>
      <c r="FS434" s="119">
        <f t="shared" si="311"/>
        <v>0</v>
      </c>
      <c r="FT434" s="121">
        <f t="shared" si="311"/>
        <v>0</v>
      </c>
      <c r="FU434" s="121">
        <f t="shared" si="337"/>
        <v>0</v>
      </c>
      <c r="FV434" s="121">
        <f t="shared" si="337"/>
        <v>0</v>
      </c>
      <c r="FW434" s="121">
        <f t="shared" si="338"/>
        <v>0</v>
      </c>
      <c r="FX434" s="121">
        <f t="shared" si="339"/>
        <v>0</v>
      </c>
      <c r="FY434" s="144">
        <f t="shared" si="339"/>
        <v>0</v>
      </c>
      <c r="FZ434" s="145"/>
      <c r="GA434" s="151"/>
      <c r="GB434" s="145"/>
      <c r="GC434" s="151"/>
      <c r="GD434" s="997" t="s">
        <v>220</v>
      </c>
      <c r="GE434" s="1004"/>
      <c r="GF434" s="1004">
        <v>-0.8276400000000006</v>
      </c>
      <c r="GG434" s="1004"/>
      <c r="GH434" s="1004">
        <v>0</v>
      </c>
      <c r="GI434" s="145"/>
      <c r="GJ434" s="996">
        <v>0</v>
      </c>
      <c r="GK434" s="145"/>
      <c r="GL434" s="996">
        <v>-4.6648799999999824E-2</v>
      </c>
      <c r="GM434" s="1005" t="s">
        <v>240</v>
      </c>
      <c r="GN434" s="996">
        <v>-1.1045911999999998</v>
      </c>
      <c r="GO434" s="1006"/>
      <c r="GP434" s="996">
        <v>0</v>
      </c>
      <c r="GQ434" s="1006" t="s">
        <v>221</v>
      </c>
      <c r="GR434" s="996">
        <v>-4.5980000000000008</v>
      </c>
      <c r="GS434" s="1006" t="s">
        <v>199</v>
      </c>
      <c r="GT434" s="996">
        <v>4.5980000000000008</v>
      </c>
      <c r="GU434" s="1006"/>
      <c r="GV434" s="996">
        <v>0</v>
      </c>
      <c r="GW434" s="1006"/>
      <c r="GX434" s="996">
        <v>-0.8360000000000003</v>
      </c>
      <c r="GY434" s="1006"/>
      <c r="GZ434" s="996">
        <v>-0.8360000000000003</v>
      </c>
      <c r="HA434" s="1006"/>
      <c r="HB434" s="996">
        <v>0</v>
      </c>
      <c r="HC434" s="1006"/>
      <c r="HD434" s="996">
        <v>0</v>
      </c>
      <c r="HE434" s="1006" t="s">
        <v>223</v>
      </c>
      <c r="HF434" s="996">
        <v>-2.5481280000000002</v>
      </c>
      <c r="HG434" s="1006"/>
      <c r="HH434" s="996">
        <v>0</v>
      </c>
      <c r="HI434" s="1006" t="s">
        <v>223</v>
      </c>
      <c r="HJ434" s="996">
        <v>-3.6382719999999988</v>
      </c>
      <c r="HK434" s="1006" t="s">
        <v>223</v>
      </c>
      <c r="HL434" s="996">
        <v>-1.3100086560000008</v>
      </c>
      <c r="HM434" s="1006" t="s">
        <v>203</v>
      </c>
      <c r="HN434" s="996">
        <v>-10.991591344</v>
      </c>
      <c r="HO434" s="1006"/>
      <c r="HP434" s="996">
        <v>0</v>
      </c>
      <c r="HQ434" s="1006"/>
      <c r="HR434" s="996">
        <v>0</v>
      </c>
      <c r="HS434" s="1006" t="s">
        <v>643</v>
      </c>
      <c r="HT434" s="996">
        <v>-0.24593447999999984</v>
      </c>
      <c r="HU434" s="1006" t="s">
        <v>241</v>
      </c>
      <c r="HV434" s="996">
        <v>-1.6084807200000002</v>
      </c>
      <c r="HW434" s="1006"/>
      <c r="HX434" s="996">
        <v>0</v>
      </c>
      <c r="HY434" s="1006"/>
      <c r="HZ434" s="996">
        <v>0</v>
      </c>
      <c r="IA434" s="1006"/>
      <c r="IB434" s="996">
        <v>0</v>
      </c>
      <c r="IC434" s="1006"/>
      <c r="ID434" s="996">
        <v>0.60392640000000064</v>
      </c>
      <c r="IE434" s="1006" t="s">
        <v>199</v>
      </c>
      <c r="IF434" s="996">
        <v>-2.5313076799999994</v>
      </c>
      <c r="IG434" s="1006"/>
      <c r="IH434" s="996">
        <v>0</v>
      </c>
      <c r="II434" s="1006"/>
      <c r="IJ434" s="996">
        <v>0</v>
      </c>
      <c r="IK434" s="1006" t="s">
        <v>203</v>
      </c>
      <c r="IL434" s="996">
        <v>-1.2235921720000009</v>
      </c>
      <c r="IM434" s="1006" t="s">
        <v>204</v>
      </c>
      <c r="IN434" s="996">
        <v>2.5804034519999997</v>
      </c>
      <c r="IO434" s="1006"/>
      <c r="IP434" s="996">
        <v>0</v>
      </c>
      <c r="IQ434" s="1006" t="s">
        <v>199</v>
      </c>
      <c r="IR434" s="996">
        <v>1.0387300000000006</v>
      </c>
      <c r="IS434" s="1006"/>
      <c r="IT434" s="996">
        <v>0</v>
      </c>
      <c r="IU434" s="1006" t="s">
        <v>199</v>
      </c>
      <c r="IV434" s="996">
        <v>-1.8391999999999995</v>
      </c>
      <c r="IW434" s="1006"/>
      <c r="IX434" s="996">
        <v>0</v>
      </c>
      <c r="IY434" s="1006" t="s">
        <v>203</v>
      </c>
      <c r="IZ434" s="996">
        <v>-3.4223666399999999</v>
      </c>
      <c r="JA434" s="1006" t="s">
        <v>25</v>
      </c>
      <c r="JB434" s="996">
        <v>5.5</v>
      </c>
      <c r="JC434" s="1006" t="s">
        <v>199</v>
      </c>
      <c r="JD434" s="996">
        <v>-3.3972699200000003</v>
      </c>
      <c r="JE434" s="1006"/>
      <c r="JF434" s="996">
        <v>0</v>
      </c>
      <c r="JG434" s="1006"/>
      <c r="JH434" s="996">
        <v>0</v>
      </c>
      <c r="JI434" s="1006"/>
      <c r="JJ434" s="996">
        <v>0</v>
      </c>
      <c r="JK434" s="1007"/>
      <c r="JL434" s="1007">
        <v>0</v>
      </c>
      <c r="JM434" s="1007"/>
      <c r="JN434" s="1007">
        <v>0</v>
      </c>
      <c r="JO434" s="1008"/>
      <c r="JP434" s="1007">
        <v>0</v>
      </c>
      <c r="JQ434" s="1008">
        <v>0</v>
      </c>
      <c r="JR434" s="1007">
        <v>-0.80130599999999852</v>
      </c>
      <c r="JS434" s="1008" t="s">
        <v>203</v>
      </c>
      <c r="JT434" s="1007">
        <v>-2.1635261999999997</v>
      </c>
      <c r="JU434" s="1008" t="s">
        <v>203</v>
      </c>
      <c r="JV434" s="1007">
        <v>-5.2121078000000018</v>
      </c>
      <c r="JW434" s="1008" t="s">
        <v>197</v>
      </c>
      <c r="JX434" s="1007">
        <v>0</v>
      </c>
      <c r="JY434" s="1008"/>
      <c r="JZ434" s="1007"/>
      <c r="KA434" s="1008"/>
      <c r="KB434" s="1007"/>
      <c r="KC434" s="1008"/>
      <c r="KD434" s="1007"/>
      <c r="KE434" s="1008"/>
      <c r="KF434" s="1007"/>
      <c r="KG434" s="1008"/>
      <c r="KH434" s="1007"/>
      <c r="KI434" s="1008"/>
      <c r="KJ434" s="1007"/>
      <c r="KK434" s="1008"/>
      <c r="KL434" s="1007"/>
      <c r="KM434" s="1008"/>
      <c r="KN434" s="1007"/>
      <c r="KO434" s="1008"/>
      <c r="KP434" s="1007"/>
      <c r="KQ434" s="1008"/>
      <c r="KR434" s="1007"/>
      <c r="KS434" s="1008"/>
      <c r="KT434" s="1007"/>
      <c r="KU434" s="1008"/>
      <c r="KV434" s="1007"/>
      <c r="KW434" s="1008"/>
      <c r="KX434" s="1007"/>
      <c r="KY434" s="1008"/>
      <c r="KZ434" s="1007"/>
      <c r="LA434" s="1008"/>
      <c r="LB434" s="1007"/>
      <c r="LC434" s="1008"/>
      <c r="LD434" s="1007"/>
      <c r="LE434" s="1008"/>
      <c r="LF434" s="1007"/>
      <c r="LG434" s="1008"/>
      <c r="LH434" s="1007"/>
      <c r="LI434" s="1008"/>
      <c r="LJ434" s="1007"/>
      <c r="LK434" s="1008"/>
      <c r="LL434" s="1007"/>
      <c r="LM434" s="1008"/>
      <c r="LN434" s="1007"/>
      <c r="LO434" s="1008"/>
      <c r="LP434" s="1007"/>
      <c r="LQ434" s="1008"/>
      <c r="LR434" s="1007"/>
      <c r="LS434" s="1008"/>
      <c r="LT434" s="1007"/>
      <c r="LU434" s="1008"/>
      <c r="LV434" s="1007"/>
      <c r="LW434" s="1008"/>
      <c r="LX434" s="1007"/>
      <c r="LY434" s="1009"/>
      <c r="LZ434" s="1010"/>
      <c r="MA434" s="1011"/>
      <c r="MB434" s="1012"/>
      <c r="MC434" s="995"/>
      <c r="MD434" s="996"/>
      <c r="ME434" s="997" t="s">
        <v>220</v>
      </c>
      <c r="MF434" s="997"/>
      <c r="MG434" s="998"/>
      <c r="NR434" s="1000"/>
      <c r="NS434" s="1000"/>
      <c r="NT434" s="1001"/>
      <c r="NU434" s="1000"/>
      <c r="NV434" s="1001"/>
      <c r="NX434" s="1002"/>
      <c r="NZ434" s="1001"/>
      <c r="OA434" s="1001"/>
      <c r="OC434" s="1003"/>
      <c r="OD434" s="1003"/>
      <c r="OE434" s="1001"/>
      <c r="OF434" s="1003"/>
      <c r="OG434" s="1003"/>
      <c r="OH434" s="1003"/>
      <c r="OI434" s="1016"/>
      <c r="QX434" s="1000">
        <f>CN434-CA434</f>
        <v>18</v>
      </c>
      <c r="ASU434" s="999" t="s">
        <v>208</v>
      </c>
    </row>
    <row r="435" spans="1:466 1191:1191" ht="21" customHeight="1" x14ac:dyDescent="0.25">
      <c r="A435" s="982">
        <f t="shared" si="323"/>
        <v>1510</v>
      </c>
      <c r="B435" s="124">
        <f>SUBTOTAL(103,$J$29:J435)</f>
        <v>407</v>
      </c>
      <c r="C435" s="126">
        <v>45068</v>
      </c>
      <c r="D435" s="124" t="s">
        <v>176</v>
      </c>
      <c r="E435" s="127" t="s">
        <v>177</v>
      </c>
      <c r="F435" s="128" t="s">
        <v>177</v>
      </c>
      <c r="G435" s="127" t="s">
        <v>178</v>
      </c>
      <c r="H435" s="127" t="s">
        <v>179</v>
      </c>
      <c r="I435" s="127" t="s">
        <v>1417</v>
      </c>
      <c r="J435" s="152">
        <v>1510</v>
      </c>
      <c r="K435" s="127" t="s">
        <v>1417</v>
      </c>
      <c r="L435" s="130">
        <v>44149</v>
      </c>
      <c r="M435" s="127" t="s">
        <v>230</v>
      </c>
      <c r="N435" s="127" t="s">
        <v>184</v>
      </c>
      <c r="O435" s="127" t="s">
        <v>185</v>
      </c>
      <c r="P435" s="127" t="s">
        <v>186</v>
      </c>
      <c r="Q435" s="85" t="str">
        <f t="shared" si="319"/>
        <v/>
      </c>
      <c r="R435" s="130"/>
      <c r="S435" s="128"/>
      <c r="T435" s="131"/>
      <c r="U435" s="132">
        <v>203</v>
      </c>
      <c r="V435" s="121">
        <v>218.2</v>
      </c>
      <c r="W435" s="116">
        <v>0.98</v>
      </c>
      <c r="X435" s="116">
        <v>1.66</v>
      </c>
      <c r="Y435" s="116">
        <f t="shared" si="346"/>
        <v>1.4941219691403378</v>
      </c>
      <c r="Z435" s="133">
        <v>1.454</v>
      </c>
      <c r="AA435" s="133">
        <v>0.83599999999999997</v>
      </c>
      <c r="AB435" s="133">
        <v>0.72</v>
      </c>
      <c r="AC435" s="121">
        <v>34.299999999999997</v>
      </c>
      <c r="AD435" s="134">
        <v>1.17</v>
      </c>
      <c r="AE435" s="124">
        <v>177.8</v>
      </c>
      <c r="AF435" s="128">
        <v>9.19</v>
      </c>
      <c r="AG435" s="128">
        <v>2009</v>
      </c>
      <c r="AH435" s="127">
        <v>2423</v>
      </c>
      <c r="AI435" s="127">
        <v>2009</v>
      </c>
      <c r="AJ435" s="135"/>
      <c r="AK435" s="128"/>
      <c r="AL435" s="131"/>
      <c r="AM435" s="124" t="s">
        <v>232</v>
      </c>
      <c r="AN435" s="136" t="s">
        <v>1647</v>
      </c>
      <c r="AO435" s="137">
        <v>608</v>
      </c>
      <c r="AP435" s="128">
        <v>2423</v>
      </c>
      <c r="AQ435" s="128">
        <v>1103</v>
      </c>
      <c r="AR435" s="128" t="s">
        <v>1648</v>
      </c>
      <c r="AS435" s="128">
        <v>114</v>
      </c>
      <c r="AT435" s="122">
        <v>7.37</v>
      </c>
      <c r="AU435" s="124" t="s">
        <v>250</v>
      </c>
      <c r="AV435" s="115">
        <f>VLOOKUP(J435,'[63]ТР нефть'!$J$28:$BP$638,39,0)</f>
        <v>453</v>
      </c>
      <c r="AW435" s="115" t="str">
        <f>VLOOKUP(J435,'[63]ТР нефть'!$J$28:$BP$638,40,0)</f>
        <v>ГП</v>
      </c>
      <c r="AX435" s="115">
        <f>VLOOKUP(J435,'[63]ТР нефть'!$J$28:$BP$638,41,0)</f>
        <v>868</v>
      </c>
      <c r="AY435" s="115" t="str">
        <f>VLOOKUP(J435,'[63]ТР нефть'!$J$28:$BP$638,42,0)</f>
        <v>ГК80 5/32</v>
      </c>
      <c r="AZ435" s="115">
        <f>VLOOKUP(J435,'[63]ТР нефть'!$J$28:$BP$638,43,0)</f>
        <v>1166</v>
      </c>
      <c r="BA435" s="115" t="str">
        <f>VLOOKUP(J435,'[63]ТР нефть'!$J$28:$BP$638,44,0)</f>
        <v>ГК 80 5/32</v>
      </c>
      <c r="BB435" s="115">
        <f>VLOOKUP(J435,'[63]ТР нефть'!$J$28:$BP$638,45,0)</f>
        <v>1405</v>
      </c>
      <c r="BC435" s="115" t="str">
        <f>VLOOKUP(J435,'[63]ТР нефть'!$J$28:$BP$638,46,0)</f>
        <v>ГК 80 5/32</v>
      </c>
      <c r="BD435" s="115">
        <f>VLOOKUP(J435,'[63]ТР нефть'!$J$28:$BP$638,47,0)</f>
        <v>1660</v>
      </c>
      <c r="BE435" s="115" t="str">
        <f>VLOOKUP(J435,'[63]ТР нефть'!$J$28:$BP$638,48,0)</f>
        <v>ЦКсОК 5/16</v>
      </c>
      <c r="BF435" s="115" t="str">
        <f>VLOOKUP(J435,'[63]ТР нефть'!$J$28:$BP$638,49,0)</f>
        <v>-</v>
      </c>
      <c r="BG435" s="115" t="str">
        <f>VLOOKUP(J435,'[63]ТР нефть'!$J$28:$BP$638,50,0)</f>
        <v>-</v>
      </c>
      <c r="BH435" s="115" t="str">
        <f>VLOOKUP(J435,'[63]ТР нефть'!$J$28:$BP$638,51,0)</f>
        <v>-</v>
      </c>
      <c r="BI435" s="115" t="str">
        <f>VLOOKUP(J435,'[63]ТР нефть'!$J$28:$BP$638,52,0)</f>
        <v>-</v>
      </c>
      <c r="BJ435" s="115" t="str">
        <f>IF(IFERROR(VLOOKUP(J435,'[63]ТР нефть'!$J$28:$BP$638,53,0),"-")=0,"-",IFERROR(VLOOKUP(J435,'[63]ТР нефть'!$J$28:$BP$638,53,0),"-"))</f>
        <v>-</v>
      </c>
      <c r="BK435" s="138" t="str">
        <f>IF(IFERROR(VLOOKUP(J435,'[63]ТР нефть'!$J$28:$BP$638,54,0),"-")=0,"-",IFERROR(VLOOKUP(J435,'[63]ТР нефть'!$J$28:$BP$638,54,0),"-"))</f>
        <v>-</v>
      </c>
      <c r="BL435" s="138" t="str">
        <f>IF(IFERROR(VLOOKUP(J435,'[63]ТР нефть'!$J$28:$BP$638,55,0),"-")=0,"-",IFERROR(VLOOKUP(J435,'[63]ТР нефть'!$J$28:$BP$638,55,0),"-"))</f>
        <v>-</v>
      </c>
      <c r="BM435" s="138" t="str">
        <f>IF(IFERROR(VLOOKUP(J435,'[63]ТР нефть'!$J$28:$BP$638,56,0),"-")=0,"-",IFERROR(VLOOKUP(J435,'[63]ТР нефть'!$J$28:$BP$638,56,0),"-"))</f>
        <v>-</v>
      </c>
      <c r="BN435" s="138" t="str">
        <f>IF(IFERROR(VLOOKUP(J435,'[63]ТР нефть'!$J$28:$BP$638,57,0),"-")=0,"-",IFERROR(VLOOKUP(J435,'[63]ТР нефть'!$J$28:$BP$638,57,0),"-"))</f>
        <v>-</v>
      </c>
      <c r="BO435" s="115" t="str">
        <f>IF(IFERROR(VLOOKUP(J435,'[63]ТР нефть'!$J$28:$BP$638,58,0),"-")=0,"-",IFERROR(VLOOKUP(J435,'[63]ТР нефть'!$J$28:$BP$638,58,0),"-"))</f>
        <v>-</v>
      </c>
      <c r="BP435" s="115" t="str">
        <f>IF(IFERROR(VLOOKUP(J435,'[63]ТР нефть'!$J$28:$BP$638,59,0),"-")=0,"-",IFERROR(VLOOKUP(J435,'[63]ТР нефть'!$J$28:$BP$638,59,0),"-"))</f>
        <v>-</v>
      </c>
      <c r="BQ435" s="138">
        <v>1919.76</v>
      </c>
      <c r="BR435" s="128"/>
      <c r="BS435" s="115"/>
      <c r="BT435" s="128"/>
      <c r="BU435" s="128"/>
      <c r="BV435" s="127">
        <v>18</v>
      </c>
      <c r="BW435" s="127" t="s">
        <v>217</v>
      </c>
      <c r="BX435" s="127" t="s">
        <v>195</v>
      </c>
      <c r="BY435" s="139">
        <v>24</v>
      </c>
      <c r="BZ435" s="139">
        <v>0</v>
      </c>
      <c r="CA435" s="138">
        <v>30</v>
      </c>
      <c r="CB435" s="138">
        <v>58</v>
      </c>
      <c r="CC435" s="138">
        <v>28</v>
      </c>
      <c r="CD435" s="135">
        <v>45017</v>
      </c>
      <c r="CE435" s="138">
        <v>141</v>
      </c>
      <c r="CF435" s="138"/>
      <c r="CG435" s="138"/>
      <c r="CH435" s="138"/>
      <c r="CI435" s="127"/>
      <c r="CJ435" s="138"/>
      <c r="CK435" s="138">
        <f t="shared" si="308"/>
        <v>74</v>
      </c>
      <c r="CL435" s="99"/>
      <c r="CM435" s="127"/>
      <c r="CN435" s="154">
        <v>104</v>
      </c>
      <c r="CO435" s="141">
        <f t="shared" si="324"/>
        <v>4.5478400000000008</v>
      </c>
      <c r="CP435" s="142">
        <v>34</v>
      </c>
      <c r="CQ435" s="143">
        <v>84</v>
      </c>
      <c r="CR435" s="138">
        <v>28</v>
      </c>
      <c r="CS435" s="139"/>
      <c r="CT435" s="138"/>
      <c r="CU435" s="138">
        <f t="shared" si="320"/>
        <v>28</v>
      </c>
      <c r="CV435" s="115">
        <f t="shared" si="321"/>
        <v>6156.7689276667597</v>
      </c>
      <c r="CW435" s="115" t="str">
        <f t="shared" si="325"/>
        <v/>
      </c>
      <c r="CX435" s="133">
        <f t="shared" si="322"/>
        <v>0.91891891891891897</v>
      </c>
      <c r="CY435" s="116"/>
      <c r="CZ435" s="131"/>
      <c r="DA435" s="145" t="str">
        <f t="shared" si="326"/>
        <v>Фон.</v>
      </c>
      <c r="DB435" s="146">
        <f t="shared" si="341"/>
        <v>4.5478400000000008</v>
      </c>
      <c r="DC435" s="142">
        <f t="shared" si="342"/>
        <v>34</v>
      </c>
      <c r="DD435" s="119">
        <f t="shared" si="350"/>
        <v>84</v>
      </c>
      <c r="DE435" s="115">
        <f t="shared" si="343"/>
        <v>28</v>
      </c>
      <c r="DF435" s="121">
        <f t="shared" si="328"/>
        <v>0</v>
      </c>
      <c r="DG435" s="115">
        <f t="shared" si="329"/>
        <v>6156.7689276667597</v>
      </c>
      <c r="DH435" s="115">
        <f t="shared" si="330"/>
        <v>104</v>
      </c>
      <c r="DI435" s="147"/>
      <c r="DJ435" s="111"/>
      <c r="DK435" s="112">
        <v>44149</v>
      </c>
      <c r="DL435" s="113">
        <f t="shared" ca="1" si="312"/>
        <v>955</v>
      </c>
      <c r="DM435" s="114"/>
      <c r="DN435" s="114"/>
      <c r="DO435" s="114"/>
      <c r="DP435" s="114"/>
      <c r="DQ435" s="112"/>
      <c r="DR435" s="114"/>
      <c r="DS435" s="114"/>
      <c r="DT435" s="115">
        <v>60</v>
      </c>
      <c r="DU435" s="116">
        <f t="shared" si="313"/>
        <v>0.77464618945439645</v>
      </c>
      <c r="DV435" s="117">
        <f t="shared" si="314"/>
        <v>8.3929506184150267</v>
      </c>
      <c r="DW435" s="118">
        <f t="shared" si="315"/>
        <v>62.746341345806108</v>
      </c>
      <c r="DX435" s="119">
        <f t="shared" si="331"/>
        <v>84</v>
      </c>
      <c r="DY435" s="115">
        <f t="shared" si="316"/>
        <v>51.673457578899146</v>
      </c>
      <c r="DZ435" s="117">
        <f t="shared" si="349"/>
        <v>3.8451106184150259</v>
      </c>
      <c r="EA435" s="120">
        <f t="shared" si="349"/>
        <v>28.746341345806108</v>
      </c>
      <c r="EB435" s="119">
        <f t="shared" si="349"/>
        <v>0</v>
      </c>
      <c r="EC435" s="121">
        <f t="shared" si="318"/>
        <v>23.673457578899146</v>
      </c>
      <c r="ED435" s="122"/>
      <c r="EE435" s="145">
        <v>18</v>
      </c>
      <c r="EF435" s="115">
        <v>30</v>
      </c>
      <c r="EG435" s="115">
        <v>58</v>
      </c>
      <c r="EH435" s="115">
        <v>28</v>
      </c>
      <c r="EI435" s="128" t="s">
        <v>195</v>
      </c>
      <c r="EJ435" s="121">
        <v>24</v>
      </c>
      <c r="EK435" s="121">
        <v>0</v>
      </c>
      <c r="EL435" s="149">
        <v>4.5478400000000008</v>
      </c>
      <c r="EM435" s="142">
        <v>34</v>
      </c>
      <c r="EN435" s="119">
        <v>84</v>
      </c>
      <c r="EO435" s="115">
        <v>28</v>
      </c>
      <c r="EP435" s="115">
        <v>6156.7689276667597</v>
      </c>
      <c r="EQ435" s="115">
        <v>0</v>
      </c>
      <c r="ER435" s="115">
        <v>0</v>
      </c>
      <c r="ES435" s="115">
        <v>104</v>
      </c>
      <c r="ET435" s="150">
        <v>0.91891891891891897</v>
      </c>
      <c r="EU435" s="145">
        <f t="shared" si="332"/>
        <v>18</v>
      </c>
      <c r="EV435" s="115">
        <f t="shared" si="333"/>
        <v>30</v>
      </c>
      <c r="EW435" s="115">
        <f t="shared" si="333"/>
        <v>58</v>
      </c>
      <c r="EX435" s="115">
        <f t="shared" si="333"/>
        <v>28</v>
      </c>
      <c r="EY435" s="115" t="str">
        <f t="shared" si="309"/>
        <v>Постоянный</v>
      </c>
      <c r="EZ435" s="115">
        <f t="shared" si="309"/>
        <v>24</v>
      </c>
      <c r="FA435" s="115">
        <f t="shared" si="309"/>
        <v>0</v>
      </c>
      <c r="FB435" s="149">
        <f t="shared" si="345"/>
        <v>4.5478400000000008</v>
      </c>
      <c r="FC435" s="142">
        <f t="shared" si="345"/>
        <v>34</v>
      </c>
      <c r="FD435" s="119">
        <f t="shared" si="345"/>
        <v>84</v>
      </c>
      <c r="FE435" s="121">
        <f t="shared" si="344"/>
        <v>28</v>
      </c>
      <c r="FF435" s="121">
        <f t="shared" si="347"/>
        <v>6156.7689276667597</v>
      </c>
      <c r="FG435" s="121">
        <f t="shared" si="334"/>
        <v>0</v>
      </c>
      <c r="FH435" s="121">
        <f t="shared" si="348"/>
        <v>0</v>
      </c>
      <c r="FI435" s="121">
        <f t="shared" si="306"/>
        <v>104</v>
      </c>
      <c r="FJ435" s="144">
        <f t="shared" si="335"/>
        <v>0.91891891891891897</v>
      </c>
      <c r="FK435" s="132">
        <f t="shared" si="336"/>
        <v>0</v>
      </c>
      <c r="FL435" s="115">
        <f t="shared" si="336"/>
        <v>0</v>
      </c>
      <c r="FM435" s="115">
        <f t="shared" si="336"/>
        <v>0</v>
      </c>
      <c r="FN435" s="115">
        <f t="shared" si="336"/>
        <v>0</v>
      </c>
      <c r="FO435" s="115">
        <f t="shared" si="311"/>
        <v>0</v>
      </c>
      <c r="FP435" s="115">
        <f t="shared" si="311"/>
        <v>0</v>
      </c>
      <c r="FQ435" s="149">
        <f t="shared" si="311"/>
        <v>0</v>
      </c>
      <c r="FR435" s="142">
        <f t="shared" si="311"/>
        <v>0</v>
      </c>
      <c r="FS435" s="119">
        <f t="shared" si="311"/>
        <v>0</v>
      </c>
      <c r="FT435" s="121">
        <f t="shared" si="311"/>
        <v>0</v>
      </c>
      <c r="FU435" s="121">
        <f t="shared" si="337"/>
        <v>0</v>
      </c>
      <c r="FV435" s="121">
        <f t="shared" si="337"/>
        <v>0</v>
      </c>
      <c r="FW435" s="121">
        <f t="shared" si="338"/>
        <v>0</v>
      </c>
      <c r="FX435" s="121">
        <f t="shared" si="339"/>
        <v>0</v>
      </c>
      <c r="FY435" s="144">
        <f t="shared" si="339"/>
        <v>0</v>
      </c>
      <c r="FZ435" s="145"/>
      <c r="GA435" s="151"/>
      <c r="GB435" s="145" t="s">
        <v>223</v>
      </c>
      <c r="GC435" s="151" t="s">
        <v>1649</v>
      </c>
      <c r="GD435" s="997" t="s">
        <v>220</v>
      </c>
      <c r="GE435" s="1004" t="s">
        <v>223</v>
      </c>
      <c r="GF435" s="1004">
        <v>-24.704970400000004</v>
      </c>
      <c r="GG435" s="1004"/>
      <c r="GH435" s="1004">
        <v>0</v>
      </c>
      <c r="GI435" s="145"/>
      <c r="GJ435" s="996">
        <v>-0.13091760000000363</v>
      </c>
      <c r="GK435" s="145"/>
      <c r="GL435" s="996">
        <v>-3.6783999999997263E-2</v>
      </c>
      <c r="GM435" s="1005" t="s">
        <v>240</v>
      </c>
      <c r="GN435" s="996">
        <v>2.6685119999999998</v>
      </c>
      <c r="GO435" s="1006" t="s">
        <v>240</v>
      </c>
      <c r="GP435" s="996">
        <v>-8.1484919999999939</v>
      </c>
      <c r="GQ435" s="1006" t="s">
        <v>259</v>
      </c>
      <c r="GR435" s="996">
        <v>8.5333395839999824</v>
      </c>
      <c r="GS435" s="1006"/>
      <c r="GT435" s="996">
        <v>0</v>
      </c>
      <c r="GU435" s="1006"/>
      <c r="GV435" s="996">
        <v>2.0900000000001029E-2</v>
      </c>
      <c r="GW435" s="1006" t="s">
        <v>146</v>
      </c>
      <c r="GX435" s="996">
        <v>-5.3590944</v>
      </c>
      <c r="GY435" s="1006"/>
      <c r="GZ435" s="996">
        <v>0</v>
      </c>
      <c r="HA435" s="1006" t="s">
        <v>223</v>
      </c>
      <c r="HB435" s="996">
        <v>-4.3336066400000064</v>
      </c>
      <c r="HC435" s="1006"/>
      <c r="HD435" s="996">
        <v>0</v>
      </c>
      <c r="HE435" s="1006" t="s">
        <v>221</v>
      </c>
      <c r="HF435" s="996">
        <v>9.5843554399999888</v>
      </c>
      <c r="HG435" s="1006" t="s">
        <v>199</v>
      </c>
      <c r="HH435" s="996">
        <v>1.2390356000000153</v>
      </c>
      <c r="HI435" s="1006"/>
      <c r="HJ435" s="996">
        <v>-0.7210500000000053</v>
      </c>
      <c r="HK435" s="1006" t="s">
        <v>199</v>
      </c>
      <c r="HL435" s="996">
        <v>-3.0012399999999992</v>
      </c>
      <c r="HM435" s="1006" t="s">
        <v>199</v>
      </c>
      <c r="HN435" s="996">
        <v>10.750959999999996</v>
      </c>
      <c r="HO435" s="1006"/>
      <c r="HP435" s="996">
        <v>0.44140799999999913</v>
      </c>
      <c r="HQ435" s="1006" t="s">
        <v>146</v>
      </c>
      <c r="HR435" s="996">
        <v>6.0285632000000096</v>
      </c>
      <c r="HS435" s="1006" t="s">
        <v>146</v>
      </c>
      <c r="HT435" s="996">
        <v>-3.6350952000000056</v>
      </c>
      <c r="HU435" s="1006" t="s">
        <v>199</v>
      </c>
      <c r="HV435" s="996">
        <v>0.351694332000001</v>
      </c>
      <c r="HW435" s="1006" t="s">
        <v>199</v>
      </c>
      <c r="HX435" s="996">
        <v>-14.188330331999998</v>
      </c>
      <c r="HY435" s="1006"/>
      <c r="HZ435" s="996">
        <v>0</v>
      </c>
      <c r="IA435" s="1006" t="s">
        <v>146</v>
      </c>
      <c r="IB435" s="996">
        <v>10.031999999999996</v>
      </c>
      <c r="IC435" s="1006" t="s">
        <v>146</v>
      </c>
      <c r="ID435" s="996">
        <v>-10.5336</v>
      </c>
      <c r="IE435" s="1006"/>
      <c r="IF435" s="996">
        <v>0.60486272000000341</v>
      </c>
      <c r="IG435" s="1006" t="s">
        <v>146</v>
      </c>
      <c r="IH435" s="996">
        <v>-11.640062720000003</v>
      </c>
      <c r="II435" s="1006" t="s">
        <v>223</v>
      </c>
      <c r="IJ435" s="996">
        <v>-8.6275200000000041</v>
      </c>
      <c r="IK435" s="1006" t="s">
        <v>204</v>
      </c>
      <c r="IL435" s="996">
        <v>27.676783200000003</v>
      </c>
      <c r="IM435" s="1006" t="s">
        <v>25</v>
      </c>
      <c r="IN435" s="996">
        <v>22</v>
      </c>
      <c r="IO435" s="1006"/>
      <c r="IP435" s="996"/>
      <c r="IQ435" s="1006"/>
      <c r="IR435" s="996"/>
      <c r="IS435" s="1006"/>
      <c r="IT435" s="996"/>
      <c r="IU435" s="1006"/>
      <c r="IV435" s="996"/>
      <c r="IW435" s="1006"/>
      <c r="IX435" s="996"/>
      <c r="IY435" s="1006"/>
      <c r="IZ435" s="996"/>
      <c r="JA435" s="1006"/>
      <c r="JB435" s="996"/>
      <c r="JC435" s="1006"/>
      <c r="JD435" s="996"/>
      <c r="JE435" s="1006"/>
      <c r="JF435" s="996"/>
      <c r="JG435" s="1006"/>
      <c r="JH435" s="996"/>
      <c r="JI435" s="1006"/>
      <c r="JJ435" s="996"/>
      <c r="JK435" s="1007"/>
      <c r="JL435" s="1007"/>
      <c r="JM435" s="1007"/>
      <c r="JN435" s="1007"/>
      <c r="JO435" s="1008"/>
      <c r="JP435" s="1007"/>
      <c r="JQ435" s="1008"/>
      <c r="JR435" s="1007"/>
      <c r="JS435" s="1008"/>
      <c r="JT435" s="1007"/>
      <c r="JU435" s="1008"/>
      <c r="JV435" s="1007"/>
      <c r="JW435" s="1008"/>
      <c r="JX435" s="1007"/>
      <c r="JY435" s="1008"/>
      <c r="JZ435" s="1007"/>
      <c r="KA435" s="1008"/>
      <c r="KB435" s="1007"/>
      <c r="KC435" s="1008"/>
      <c r="KD435" s="1007"/>
      <c r="KE435" s="1008"/>
      <c r="KF435" s="1007"/>
      <c r="KG435" s="1008"/>
      <c r="KH435" s="1007"/>
      <c r="KI435" s="1008"/>
      <c r="KJ435" s="1007"/>
      <c r="KK435" s="1008"/>
      <c r="KL435" s="1007"/>
      <c r="KM435" s="1008"/>
      <c r="KN435" s="1007"/>
      <c r="KO435" s="1008"/>
      <c r="KP435" s="1007"/>
      <c r="KQ435" s="1008"/>
      <c r="KR435" s="1007"/>
      <c r="KS435" s="1008"/>
      <c r="KT435" s="1007"/>
      <c r="KU435" s="1008"/>
      <c r="KV435" s="1007"/>
      <c r="KW435" s="1008"/>
      <c r="KX435" s="1007"/>
      <c r="KY435" s="1008"/>
      <c r="KZ435" s="1007"/>
      <c r="LA435" s="1008"/>
      <c r="LB435" s="1007"/>
      <c r="LC435" s="1008"/>
      <c r="LD435" s="1007"/>
      <c r="LE435" s="1008"/>
      <c r="LF435" s="1007"/>
      <c r="LG435" s="1008"/>
      <c r="LH435" s="1007"/>
      <c r="LI435" s="1008"/>
      <c r="LJ435" s="1007"/>
      <c r="LK435" s="1008"/>
      <c r="LL435" s="1007"/>
      <c r="LM435" s="1008"/>
      <c r="LN435" s="1007"/>
      <c r="LO435" s="1008"/>
      <c r="LP435" s="1007"/>
      <c r="LQ435" s="1008"/>
      <c r="LR435" s="1007"/>
      <c r="LS435" s="1008"/>
      <c r="LT435" s="1007"/>
      <c r="LU435" s="1008"/>
      <c r="LV435" s="1007"/>
      <c r="LW435" s="1008"/>
      <c r="LX435" s="1007"/>
      <c r="LY435" s="1009"/>
      <c r="LZ435" s="1010"/>
      <c r="MA435" s="1011"/>
      <c r="MB435" s="1012"/>
      <c r="MC435" s="995"/>
      <c r="MD435" s="996"/>
      <c r="ME435" s="997" t="s">
        <v>220</v>
      </c>
      <c r="MF435" s="997"/>
      <c r="MG435" s="998"/>
      <c r="NR435" s="1000"/>
      <c r="NS435" s="1000"/>
      <c r="NT435" s="1001"/>
      <c r="NU435" s="1000"/>
      <c r="NV435" s="1001"/>
      <c r="NX435" s="1002"/>
      <c r="NZ435" s="1001"/>
      <c r="OA435" s="1001"/>
      <c r="OC435" s="1003"/>
      <c r="OD435" s="1003"/>
      <c r="OE435" s="1001"/>
      <c r="OF435" s="1003"/>
      <c r="OG435" s="1003"/>
      <c r="OH435" s="1003"/>
      <c r="OI435" s="1016"/>
      <c r="QX435" s="1000">
        <f>CN435-CA435</f>
        <v>74</v>
      </c>
      <c r="ASU435" s="999" t="s">
        <v>208</v>
      </c>
    </row>
    <row r="436" spans="1:466 1191:1191" ht="21" customHeight="1" x14ac:dyDescent="0.25">
      <c r="A436" s="982">
        <f t="shared" si="323"/>
        <v>1511</v>
      </c>
      <c r="B436" s="124">
        <f>SUBTOTAL(103,$J$29:J436)</f>
        <v>408</v>
      </c>
      <c r="C436" s="126">
        <v>45068</v>
      </c>
      <c r="D436" s="124" t="s">
        <v>176</v>
      </c>
      <c r="E436" s="127" t="s">
        <v>177</v>
      </c>
      <c r="F436" s="128" t="s">
        <v>177</v>
      </c>
      <c r="G436" s="127" t="s">
        <v>178</v>
      </c>
      <c r="H436" s="127" t="s">
        <v>421</v>
      </c>
      <c r="I436" s="127" t="s">
        <v>567</v>
      </c>
      <c r="J436" s="152">
        <v>1511</v>
      </c>
      <c r="K436" s="127" t="s">
        <v>592</v>
      </c>
      <c r="L436" s="130">
        <v>43982</v>
      </c>
      <c r="M436" s="127" t="s">
        <v>230</v>
      </c>
      <c r="N436" s="127" t="s">
        <v>465</v>
      </c>
      <c r="O436" s="127" t="s">
        <v>185</v>
      </c>
      <c r="P436" s="127" t="s">
        <v>186</v>
      </c>
      <c r="Q436" s="85" t="str">
        <f t="shared" si="319"/>
        <v/>
      </c>
      <c r="R436" s="130"/>
      <c r="S436" s="128"/>
      <c r="T436" s="131"/>
      <c r="U436" s="132">
        <v>203</v>
      </c>
      <c r="V436" s="121">
        <v>218.2</v>
      </c>
      <c r="W436" s="116">
        <v>0.98</v>
      </c>
      <c r="X436" s="116">
        <v>1.66</v>
      </c>
      <c r="Y436" s="116">
        <f t="shared" si="346"/>
        <v>0.98817686592186904</v>
      </c>
      <c r="Z436" s="133">
        <v>1.454</v>
      </c>
      <c r="AA436" s="133">
        <v>0.83599999999999997</v>
      </c>
      <c r="AB436" s="133">
        <v>0.72</v>
      </c>
      <c r="AC436" s="121">
        <v>34.299999999999997</v>
      </c>
      <c r="AD436" s="134">
        <v>1.17</v>
      </c>
      <c r="AE436" s="124">
        <v>177.8</v>
      </c>
      <c r="AF436" s="128">
        <v>9.19</v>
      </c>
      <c r="AG436" s="128">
        <v>2488.25</v>
      </c>
      <c r="AH436" s="127">
        <v>3160</v>
      </c>
      <c r="AI436" s="127">
        <v>3160</v>
      </c>
      <c r="AJ436" s="135"/>
      <c r="AK436" s="128"/>
      <c r="AL436" s="131"/>
      <c r="AM436" s="124" t="s">
        <v>232</v>
      </c>
      <c r="AN436" s="136" t="s">
        <v>1650</v>
      </c>
      <c r="AO436" s="137">
        <v>76.31</v>
      </c>
      <c r="AP436" s="128">
        <v>2488.25</v>
      </c>
      <c r="AQ436" s="128">
        <f>AP436-1877.86</f>
        <v>610.3900000000001</v>
      </c>
      <c r="AR436" s="128"/>
      <c r="AS436" s="128"/>
      <c r="AT436" s="122"/>
      <c r="AU436" s="124" t="s">
        <v>189</v>
      </c>
      <c r="AV436" s="115">
        <f>VLOOKUP(J436,'[63]ТР нефть'!$J$28:$BP$638,39,0)</f>
        <v>429.99998584000002</v>
      </c>
      <c r="AW436" s="115" t="str">
        <f>VLOOKUP(J436,'[63]ТР нефть'!$J$28:$BP$638,40,0)</f>
        <v>ГП</v>
      </c>
      <c r="AX436" s="115">
        <f>VLOOKUP(J436,'[63]ТР нефть'!$J$28:$BP$638,41,0)</f>
        <v>823.000034766</v>
      </c>
      <c r="AY436" s="115" t="str">
        <f>VLOOKUP(J436,'[63]ТР нефть'!$J$28:$BP$638,42,0)</f>
        <v>ГП</v>
      </c>
      <c r="AZ436" s="115">
        <f>VLOOKUP(J436,'[63]ТР нефть'!$J$28:$BP$638,43,0)</f>
        <v>1139.9999970700001</v>
      </c>
      <c r="BA436" s="115" t="str">
        <f>VLOOKUP(J436,'[63]ТР нефть'!$J$28:$BP$638,44,0)</f>
        <v>ГК81 1/8</v>
      </c>
      <c r="BB436" s="115">
        <f>VLOOKUP(J436,'[63]ТР нефть'!$J$28:$BP$638,45,0)</f>
        <v>1456.9999593749999</v>
      </c>
      <c r="BC436" s="115" t="str">
        <f>VLOOKUP(J436,'[63]ТР нефть'!$J$28:$BP$638,46,0)</f>
        <v>ГК81 1/8</v>
      </c>
      <c r="BD436" s="115">
        <f>VLOOKUP(J436,'[63]ТР нефть'!$J$28:$BP$638,47,0)</f>
        <v>1760.000032031</v>
      </c>
      <c r="BE436" s="115" t="str">
        <f>VLOOKUP(J436,'[63]ТР нефть'!$J$28:$BP$638,48,0)</f>
        <v>ЦКсОК 5/16</v>
      </c>
      <c r="BF436" s="115" t="str">
        <f>VLOOKUP(J436,'[63]ТР нефть'!$J$28:$BP$638,49,0)</f>
        <v>-</v>
      </c>
      <c r="BG436" s="115" t="str">
        <f>VLOOKUP(J436,'[63]ТР нефть'!$J$28:$BP$638,50,0)</f>
        <v>-</v>
      </c>
      <c r="BH436" s="115">
        <f>VLOOKUP(J436,'[63]ТР нефть'!$J$28:$BP$638,51,0)</f>
        <v>1770</v>
      </c>
      <c r="BI436" s="115" t="str">
        <f>VLOOKUP(J436,'[63]ТР нефть'!$J$28:$BP$638,52,0)</f>
        <v>закрыт</v>
      </c>
      <c r="BJ436" s="115" t="str">
        <f>IF(IFERROR(VLOOKUP(J436,'[63]ТР нефть'!$J$28:$BP$638,53,0),"-")=0,"-",IFERROR(VLOOKUP(J436,'[63]ТР нефть'!$J$28:$BP$638,53,0),"-"))</f>
        <v>-</v>
      </c>
      <c r="BK436" s="138" t="str">
        <f>IF(IFERROR(VLOOKUP(J436,'[63]ТР нефть'!$J$28:$BP$638,54,0),"-")=0,"-",IFERROR(VLOOKUP(J436,'[63]ТР нефть'!$J$28:$BP$638,54,0),"-"))</f>
        <v>-</v>
      </c>
      <c r="BL436" s="138" t="str">
        <f>IF(IFERROR(VLOOKUP(J436,'[63]ТР нефть'!$J$28:$BP$638,55,0),"-")=0,"-",IFERROR(VLOOKUP(J436,'[63]ТР нефть'!$J$28:$BP$638,55,0),"-"))</f>
        <v>-</v>
      </c>
      <c r="BM436" s="138" t="str">
        <f>IF(IFERROR(VLOOKUP(J436,'[63]ТР нефть'!$J$28:$BP$638,56,0),"-")=0,"-",IFERROR(VLOOKUP(J436,'[63]ТР нефть'!$J$28:$BP$638,56,0),"-"))</f>
        <v>-</v>
      </c>
      <c r="BN436" s="138" t="str">
        <f>IF(IFERROR(VLOOKUP(J436,'[63]ТР нефть'!$J$28:$BP$638,57,0),"-")=0,"-",IFERROR(VLOOKUP(J436,'[63]ТР нефть'!$J$28:$BP$638,57,0),"-"))</f>
        <v>-</v>
      </c>
      <c r="BO436" s="115" t="str">
        <f>IF(IFERROR(VLOOKUP(J436,'[63]ТР нефть'!$J$28:$BP$638,58,0),"-")=0,"-",IFERROR(VLOOKUP(J436,'[63]ТР нефть'!$J$28:$BP$638,58,0),"-"))</f>
        <v>-</v>
      </c>
      <c r="BP436" s="115" t="str">
        <f>IF(IFERROR(VLOOKUP(J436,'[63]ТР нефть'!$J$28:$BP$638,59,0),"-")=0,"-",IFERROR(VLOOKUP(J436,'[63]ТР нефть'!$J$28:$BP$638,59,0),"-"))</f>
        <v>-</v>
      </c>
      <c r="BQ436" s="138">
        <v>2494</v>
      </c>
      <c r="BR436" s="128">
        <v>1877</v>
      </c>
      <c r="BS436" s="115">
        <f t="shared" ref="BS436:BS478" si="351">BQ436-BR436</f>
        <v>617</v>
      </c>
      <c r="BT436" s="128">
        <v>73</v>
      </c>
      <c r="BU436" s="128">
        <v>5.5</v>
      </c>
      <c r="BV436" s="127">
        <v>10</v>
      </c>
      <c r="BW436" s="127" t="s">
        <v>217</v>
      </c>
      <c r="BX436" s="127" t="s">
        <v>218</v>
      </c>
      <c r="BY436" s="139">
        <v>24</v>
      </c>
      <c r="BZ436" s="139">
        <v>48</v>
      </c>
      <c r="CA436" s="127">
        <v>19</v>
      </c>
      <c r="CB436" s="127">
        <v>63</v>
      </c>
      <c r="CC436" s="127">
        <v>18</v>
      </c>
      <c r="CD436" s="135">
        <v>45017</v>
      </c>
      <c r="CE436" s="138">
        <v>81</v>
      </c>
      <c r="CF436" s="138">
        <v>78</v>
      </c>
      <c r="CG436" s="138" t="str">
        <f t="shared" ref="CG436:CG462" si="352">IF(CH436&lt;&gt;"","В работе","")</f>
        <v>В работе</v>
      </c>
      <c r="CH436" s="138" t="s">
        <v>235</v>
      </c>
      <c r="CI436" s="127">
        <v>6</v>
      </c>
      <c r="CJ436" s="138"/>
      <c r="CK436" s="138"/>
      <c r="CL436" s="99"/>
      <c r="CM436" s="99"/>
      <c r="CN436" s="140">
        <v>59</v>
      </c>
      <c r="CO436" s="159">
        <f t="shared" si="324"/>
        <v>0.24573383999999998</v>
      </c>
      <c r="CP436" s="160">
        <v>0.3</v>
      </c>
      <c r="CQ436" s="161">
        <v>2.02</v>
      </c>
      <c r="CR436" s="138">
        <v>20</v>
      </c>
      <c r="CS436" s="139">
        <v>19</v>
      </c>
      <c r="CT436" s="138"/>
      <c r="CU436" s="138">
        <f t="shared" si="320"/>
        <v>1</v>
      </c>
      <c r="CV436" s="115">
        <f t="shared" si="321"/>
        <v>4069.443589861291</v>
      </c>
      <c r="CW436" s="115">
        <f t="shared" si="325"/>
        <v>75172.703351262418</v>
      </c>
      <c r="CX436" s="133">
        <f t="shared" si="322"/>
        <v>1.3636363636363636E-2</v>
      </c>
      <c r="CY436" s="116"/>
      <c r="CZ436" s="131"/>
      <c r="DA436" s="145" t="str">
        <f t="shared" si="326"/>
        <v>Газлифт</v>
      </c>
      <c r="DB436" s="146">
        <f t="shared" si="341"/>
        <v>3.2764511999999999</v>
      </c>
      <c r="DC436" s="142">
        <f t="shared" si="342"/>
        <v>4</v>
      </c>
      <c r="DD436" s="119">
        <f t="shared" si="350"/>
        <v>2.02</v>
      </c>
      <c r="DE436" s="115">
        <f t="shared" si="343"/>
        <v>1</v>
      </c>
      <c r="DF436" s="121">
        <f t="shared" si="328"/>
        <v>19</v>
      </c>
      <c r="DG436" s="115">
        <f t="shared" si="329"/>
        <v>4069.443589861291</v>
      </c>
      <c r="DH436" s="115">
        <f t="shared" si="330"/>
        <v>59</v>
      </c>
      <c r="DI436" s="147"/>
      <c r="DJ436" s="111"/>
      <c r="DK436" s="112">
        <v>43982.083333333336</v>
      </c>
      <c r="DL436" s="113">
        <f t="shared" ca="1" si="312"/>
        <v>1121.9166666666642</v>
      </c>
      <c r="DM436" s="114"/>
      <c r="DN436" s="114"/>
      <c r="DO436" s="114"/>
      <c r="DP436" s="114"/>
      <c r="DQ436" s="112"/>
      <c r="DR436" s="114"/>
      <c r="DS436" s="114"/>
      <c r="DT436" s="115">
        <v>60</v>
      </c>
      <c r="DU436" s="116">
        <f t="shared" si="313"/>
        <v>1.4285714285714285E-2</v>
      </c>
      <c r="DV436" s="117">
        <f t="shared" si="314"/>
        <v>0.24573383999999998</v>
      </c>
      <c r="DW436" s="118">
        <f t="shared" si="315"/>
        <v>0.3</v>
      </c>
      <c r="DX436" s="119">
        <f t="shared" si="331"/>
        <v>2.02</v>
      </c>
      <c r="DY436" s="115">
        <f t="shared" si="316"/>
        <v>1</v>
      </c>
      <c r="DZ436" s="117">
        <f t="shared" si="349"/>
        <v>0</v>
      </c>
      <c r="EA436" s="120">
        <f t="shared" si="349"/>
        <v>0</v>
      </c>
      <c r="EB436" s="119">
        <f t="shared" si="349"/>
        <v>0</v>
      </c>
      <c r="EC436" s="121">
        <f t="shared" si="318"/>
        <v>0</v>
      </c>
      <c r="ED436" s="122"/>
      <c r="EE436" s="145">
        <v>10</v>
      </c>
      <c r="EF436" s="115">
        <v>19</v>
      </c>
      <c r="EG436" s="115">
        <v>63</v>
      </c>
      <c r="EH436" s="115">
        <v>18</v>
      </c>
      <c r="EI436" s="128" t="s">
        <v>218</v>
      </c>
      <c r="EJ436" s="121">
        <v>24</v>
      </c>
      <c r="EK436" s="121">
        <v>48</v>
      </c>
      <c r="EL436" s="162">
        <v>3.2764511999999999</v>
      </c>
      <c r="EM436" s="117">
        <v>4</v>
      </c>
      <c r="EN436" s="119">
        <v>2.02</v>
      </c>
      <c r="EO436" s="121">
        <v>5.7</v>
      </c>
      <c r="EP436" s="115">
        <v>763.02067309899201</v>
      </c>
      <c r="EQ436" s="115">
        <v>78</v>
      </c>
      <c r="ER436" s="115">
        <v>3.2</v>
      </c>
      <c r="ES436" s="115">
        <v>59</v>
      </c>
      <c r="ET436" s="150">
        <v>0.18181818181818182</v>
      </c>
      <c r="EU436" s="145">
        <f t="shared" si="332"/>
        <v>10</v>
      </c>
      <c r="EV436" s="115">
        <f t="shared" si="333"/>
        <v>19</v>
      </c>
      <c r="EW436" s="115">
        <f t="shared" si="333"/>
        <v>63</v>
      </c>
      <c r="EX436" s="115">
        <f t="shared" si="333"/>
        <v>18</v>
      </c>
      <c r="EY436" s="115" t="str">
        <f t="shared" si="309"/>
        <v>Периодический</v>
      </c>
      <c r="EZ436" s="115">
        <f t="shared" si="309"/>
        <v>24</v>
      </c>
      <c r="FA436" s="115">
        <f t="shared" si="309"/>
        <v>48</v>
      </c>
      <c r="FB436" s="149">
        <f t="shared" si="345"/>
        <v>0.24573383999999998</v>
      </c>
      <c r="FC436" s="142">
        <f t="shared" si="345"/>
        <v>0.3</v>
      </c>
      <c r="FD436" s="119">
        <f t="shared" si="345"/>
        <v>2.02</v>
      </c>
      <c r="FE436" s="121">
        <f t="shared" si="344"/>
        <v>20</v>
      </c>
      <c r="FF436" s="121">
        <f t="shared" si="347"/>
        <v>4069.443589861291</v>
      </c>
      <c r="FG436" s="121">
        <f t="shared" si="334"/>
        <v>78</v>
      </c>
      <c r="FH436" s="121">
        <f t="shared" si="348"/>
        <v>19</v>
      </c>
      <c r="FI436" s="121">
        <f t="shared" si="306"/>
        <v>59</v>
      </c>
      <c r="FJ436" s="144">
        <f t="shared" si="335"/>
        <v>1.3636363636363636E-2</v>
      </c>
      <c r="FK436" s="132">
        <f t="shared" si="336"/>
        <v>0</v>
      </c>
      <c r="FL436" s="115">
        <f t="shared" si="336"/>
        <v>0</v>
      </c>
      <c r="FM436" s="115">
        <f t="shared" si="336"/>
        <v>0</v>
      </c>
      <c r="FN436" s="115">
        <f t="shared" si="336"/>
        <v>0</v>
      </c>
      <c r="FO436" s="115">
        <f t="shared" si="311"/>
        <v>0</v>
      </c>
      <c r="FP436" s="115">
        <f t="shared" si="311"/>
        <v>0</v>
      </c>
      <c r="FQ436" s="149">
        <f t="shared" si="311"/>
        <v>-3.0307173599999997</v>
      </c>
      <c r="FR436" s="142">
        <f t="shared" si="311"/>
        <v>-3.7</v>
      </c>
      <c r="FS436" s="119">
        <f t="shared" si="311"/>
        <v>0</v>
      </c>
      <c r="FT436" s="121">
        <f t="shared" ref="FT436:FT499" si="353">FE436-EO436</f>
        <v>14.3</v>
      </c>
      <c r="FU436" s="121">
        <f t="shared" si="337"/>
        <v>0</v>
      </c>
      <c r="FV436" s="121">
        <f t="shared" si="337"/>
        <v>15.8</v>
      </c>
      <c r="FW436" s="121">
        <f t="shared" si="338"/>
        <v>3306.4229167622989</v>
      </c>
      <c r="FX436" s="121">
        <f>CN436-ES436</f>
        <v>0</v>
      </c>
      <c r="FY436" s="144">
        <f t="shared" si="339"/>
        <v>-0.16818181818181818</v>
      </c>
      <c r="FZ436" s="145" t="s">
        <v>199</v>
      </c>
      <c r="GA436" s="1024" t="s">
        <v>1651</v>
      </c>
      <c r="GB436" s="145"/>
      <c r="GC436" s="1024"/>
      <c r="GD436" s="997" t="s">
        <v>416</v>
      </c>
      <c r="GE436" s="1004"/>
      <c r="GF436" s="1004">
        <v>0</v>
      </c>
      <c r="GG436" s="1004"/>
      <c r="GH436" s="1004">
        <v>0</v>
      </c>
      <c r="GI436" s="145"/>
      <c r="GJ436" s="996">
        <v>0</v>
      </c>
      <c r="GK436" s="145"/>
      <c r="GL436" s="996">
        <v>-2.3548799999999925E-2</v>
      </c>
      <c r="GM436" s="1005"/>
      <c r="GN436" s="996">
        <v>0</v>
      </c>
      <c r="GO436" s="1006" t="s">
        <v>199</v>
      </c>
      <c r="GP436" s="996">
        <v>1.5486298079999998</v>
      </c>
      <c r="GQ436" s="1006" t="s">
        <v>241</v>
      </c>
      <c r="GR436" s="996">
        <v>-4.6580415199999994</v>
      </c>
      <c r="GS436" s="1006"/>
      <c r="GT436" s="996">
        <v>0</v>
      </c>
      <c r="GU436" s="1006"/>
      <c r="GV436" s="996">
        <v>0</v>
      </c>
      <c r="GW436" s="1006" t="s">
        <v>199</v>
      </c>
      <c r="GX436" s="996">
        <v>6.5175017013333321</v>
      </c>
      <c r="GY436" s="1006"/>
      <c r="GZ436" s="996">
        <v>0</v>
      </c>
      <c r="HA436" s="1006"/>
      <c r="HB436" s="996">
        <v>6.6590186666667661E-3</v>
      </c>
      <c r="HC436" s="1006"/>
      <c r="HD436" s="996">
        <v>0</v>
      </c>
      <c r="HE436" s="1006"/>
      <c r="HF436" s="996">
        <v>0</v>
      </c>
      <c r="HG436" s="1006"/>
      <c r="HH436" s="996">
        <v>0</v>
      </c>
      <c r="HI436" s="1006"/>
      <c r="HJ436" s="996">
        <v>0</v>
      </c>
      <c r="HK436" s="1006"/>
      <c r="HL436" s="996">
        <v>0</v>
      </c>
      <c r="HM436" s="1006"/>
      <c r="HN436" s="996">
        <v>0</v>
      </c>
      <c r="HO436" s="1006"/>
      <c r="HP436" s="996">
        <v>-0.84496191999999981</v>
      </c>
      <c r="HQ436" s="1006"/>
      <c r="HR436" s="996">
        <v>0</v>
      </c>
      <c r="HS436" s="1006"/>
      <c r="HT436" s="996">
        <v>0</v>
      </c>
      <c r="HU436" s="1006"/>
      <c r="HV436" s="996">
        <v>0</v>
      </c>
      <c r="HW436" s="1006"/>
      <c r="HX436" s="996">
        <v>0</v>
      </c>
      <c r="HY436" s="1006"/>
      <c r="HZ436" s="996">
        <v>0</v>
      </c>
      <c r="IA436" s="1006"/>
      <c r="IB436" s="996">
        <v>0</v>
      </c>
      <c r="IC436" s="1006"/>
      <c r="ID436" s="996">
        <v>-0.48404400000000014</v>
      </c>
      <c r="IE436" s="1006"/>
      <c r="IF436" s="996">
        <v>0</v>
      </c>
      <c r="IG436" s="1006"/>
      <c r="IH436" s="996">
        <v>0</v>
      </c>
      <c r="II436" s="1006"/>
      <c r="IJ436" s="996">
        <v>0</v>
      </c>
      <c r="IK436" s="1006"/>
      <c r="IL436" s="996">
        <v>0</v>
      </c>
      <c r="IM436" s="1006" t="s">
        <v>204</v>
      </c>
      <c r="IN436" s="996">
        <v>-1.4420999999999995</v>
      </c>
      <c r="IO436" s="1006"/>
      <c r="IP436" s="996">
        <v>-0.7997510400000003</v>
      </c>
      <c r="IQ436" s="1006" t="s">
        <v>199</v>
      </c>
      <c r="IR436" s="996">
        <v>-6.2908665599999996</v>
      </c>
      <c r="IS436" s="1006"/>
      <c r="IT436" s="996">
        <v>0</v>
      </c>
      <c r="IU436" s="1006"/>
      <c r="IV436" s="996">
        <v>0</v>
      </c>
      <c r="IW436" s="1006"/>
      <c r="IX436" s="996">
        <v>10.100217599999999</v>
      </c>
      <c r="IY436" s="1006"/>
      <c r="IZ436" s="996">
        <v>0</v>
      </c>
      <c r="JA436" s="1006"/>
      <c r="JB436" s="996">
        <v>0</v>
      </c>
      <c r="JC436" s="1006"/>
      <c r="JD436" s="996"/>
      <c r="JE436" s="1006"/>
      <c r="JF436" s="996"/>
      <c r="JG436" s="1006"/>
      <c r="JH436" s="996"/>
      <c r="JI436" s="1006"/>
      <c r="JJ436" s="996"/>
      <c r="JK436" s="1007"/>
      <c r="JL436" s="1007"/>
      <c r="JM436" s="1007"/>
      <c r="JN436" s="1007"/>
      <c r="JO436" s="1008"/>
      <c r="JP436" s="1007"/>
      <c r="JQ436" s="1008"/>
      <c r="JR436" s="1007"/>
      <c r="JS436" s="1008"/>
      <c r="JT436" s="1007"/>
      <c r="JU436" s="1008"/>
      <c r="JV436" s="1007"/>
      <c r="JW436" s="1008"/>
      <c r="JX436" s="1007"/>
      <c r="JY436" s="1008"/>
      <c r="JZ436" s="1007"/>
      <c r="KA436" s="1008"/>
      <c r="KB436" s="1007"/>
      <c r="KC436" s="1008"/>
      <c r="KD436" s="1007"/>
      <c r="KE436" s="1008"/>
      <c r="KF436" s="1007"/>
      <c r="KG436" s="1008"/>
      <c r="KH436" s="1007"/>
      <c r="KI436" s="1008"/>
      <c r="KJ436" s="1007"/>
      <c r="KK436" s="1008"/>
      <c r="KL436" s="1007"/>
      <c r="KM436" s="1008"/>
      <c r="KN436" s="1007"/>
      <c r="KO436" s="1008"/>
      <c r="KP436" s="1007"/>
      <c r="KQ436" s="1008"/>
      <c r="KR436" s="1007"/>
      <c r="KS436" s="1008"/>
      <c r="KT436" s="1007"/>
      <c r="KU436" s="1008"/>
      <c r="KV436" s="1007"/>
      <c r="KW436" s="1008"/>
      <c r="KX436" s="1007"/>
      <c r="KY436" s="1008"/>
      <c r="KZ436" s="1007"/>
      <c r="LA436" s="1008"/>
      <c r="LB436" s="1007"/>
      <c r="LC436" s="1008"/>
      <c r="LD436" s="1007"/>
      <c r="LE436" s="1008"/>
      <c r="LF436" s="1007"/>
      <c r="LG436" s="1008"/>
      <c r="LH436" s="1007"/>
      <c r="LI436" s="1008"/>
      <c r="LJ436" s="1007"/>
      <c r="LK436" s="1008"/>
      <c r="LL436" s="1007"/>
      <c r="LM436" s="1008"/>
      <c r="LN436" s="1007"/>
      <c r="LO436" s="1008"/>
      <c r="LP436" s="1007"/>
      <c r="LQ436" s="1008"/>
      <c r="LR436" s="1007"/>
      <c r="LS436" s="1008"/>
      <c r="LT436" s="1007"/>
      <c r="LU436" s="1008"/>
      <c r="LV436" s="1007"/>
      <c r="LW436" s="1008"/>
      <c r="LX436" s="1007"/>
      <c r="LY436" s="1009"/>
      <c r="LZ436" s="1010"/>
      <c r="MA436" s="1011"/>
      <c r="MB436" s="1012"/>
      <c r="MC436" s="995"/>
      <c r="MD436" s="996"/>
      <c r="ME436" s="997" t="s">
        <v>416</v>
      </c>
      <c r="MF436" s="997"/>
      <c r="MG436" s="998"/>
      <c r="NR436" s="1000"/>
      <c r="NS436" s="1000"/>
      <c r="NT436" s="1001"/>
      <c r="NU436" s="1000"/>
      <c r="NV436" s="1001"/>
      <c r="NX436" s="1002"/>
      <c r="NZ436" s="1001"/>
      <c r="OA436" s="1001"/>
      <c r="OC436" s="1003"/>
      <c r="OD436" s="1003"/>
      <c r="OE436" s="1001"/>
      <c r="OF436" s="1003"/>
      <c r="OG436" s="1003"/>
      <c r="QX436" s="1000">
        <f>CN436-CA436</f>
        <v>40</v>
      </c>
      <c r="ASU436" s="999" t="s">
        <v>225</v>
      </c>
    </row>
    <row r="437" spans="1:466 1191:1191" ht="21" customHeight="1" x14ac:dyDescent="0.25">
      <c r="A437" s="982">
        <f t="shared" si="323"/>
        <v>1512</v>
      </c>
      <c r="B437" s="124">
        <f>SUBTOTAL(103,$J$29:J437)</f>
        <v>409</v>
      </c>
      <c r="C437" s="126">
        <v>45068</v>
      </c>
      <c r="D437" s="124" t="s">
        <v>176</v>
      </c>
      <c r="E437" s="127" t="s">
        <v>177</v>
      </c>
      <c r="F437" s="128" t="s">
        <v>177</v>
      </c>
      <c r="G437" s="127" t="s">
        <v>178</v>
      </c>
      <c r="H437" s="127" t="s">
        <v>179</v>
      </c>
      <c r="I437" s="127" t="s">
        <v>1393</v>
      </c>
      <c r="J437" s="152">
        <v>1512</v>
      </c>
      <c r="K437" s="127" t="s">
        <v>1394</v>
      </c>
      <c r="L437" s="130">
        <v>43759</v>
      </c>
      <c r="M437" s="127" t="s">
        <v>230</v>
      </c>
      <c r="N437" s="127" t="s">
        <v>184</v>
      </c>
      <c r="O437" s="127" t="s">
        <v>185</v>
      </c>
      <c r="P437" s="127" t="s">
        <v>186</v>
      </c>
      <c r="Q437" s="85" t="str">
        <f t="shared" si="319"/>
        <v/>
      </c>
      <c r="R437" s="130"/>
      <c r="S437" s="128"/>
      <c r="T437" s="131"/>
      <c r="U437" s="132">
        <v>203</v>
      </c>
      <c r="V437" s="121">
        <v>218.2</v>
      </c>
      <c r="W437" s="116">
        <v>0.98</v>
      </c>
      <c r="X437" s="116">
        <v>1.66</v>
      </c>
      <c r="Y437" s="116">
        <f t="shared" si="346"/>
        <v>0.98374772325413196</v>
      </c>
      <c r="Z437" s="133">
        <v>1.454</v>
      </c>
      <c r="AA437" s="133">
        <v>0.83599999999999997</v>
      </c>
      <c r="AB437" s="133">
        <v>0.72</v>
      </c>
      <c r="AC437" s="121">
        <v>34.299999999999997</v>
      </c>
      <c r="AD437" s="134">
        <v>1.17</v>
      </c>
      <c r="AE437" s="124">
        <v>177.8</v>
      </c>
      <c r="AF437" s="128">
        <v>9.19</v>
      </c>
      <c r="AG437" s="128">
        <v>2302.66</v>
      </c>
      <c r="AH437" s="127">
        <v>3096</v>
      </c>
      <c r="AI437" s="127">
        <v>3096</v>
      </c>
      <c r="AJ437" s="135"/>
      <c r="AK437" s="128"/>
      <c r="AL437" s="131"/>
      <c r="AM437" s="124" t="s">
        <v>985</v>
      </c>
      <c r="AN437" s="136" t="s">
        <v>1652</v>
      </c>
      <c r="AO437" s="137">
        <v>91</v>
      </c>
      <c r="AP437" s="128">
        <v>2395.5500000000002</v>
      </c>
      <c r="AQ437" s="128">
        <v>482.55</v>
      </c>
      <c r="AR437" s="128" t="s">
        <v>1653</v>
      </c>
      <c r="AS437" s="128">
        <v>114</v>
      </c>
      <c r="AT437" s="122">
        <v>7.37</v>
      </c>
      <c r="AU437" s="124" t="s">
        <v>189</v>
      </c>
      <c r="AV437" s="115">
        <f>VLOOKUP(J437,'[63]ТР нефть'!$J$28:$BP$638,39,0)</f>
        <v>500.00002939500001</v>
      </c>
      <c r="AW437" s="115" t="str">
        <f>VLOOKUP(J437,'[63]ТР нефть'!$J$28:$BP$638,40,0)</f>
        <v>ГП</v>
      </c>
      <c r="AX437" s="115">
        <f>VLOOKUP(J437,'[63]ТР нефть'!$J$28:$BP$638,41,0)</f>
        <v>890.00000097700001</v>
      </c>
      <c r="AY437" s="115" t="str">
        <f>VLOOKUP(J437,'[63]ТР нефть'!$J$28:$BP$638,42,0)</f>
        <v>ГП</v>
      </c>
      <c r="AZ437" s="115">
        <f>VLOOKUP(J437,'[63]ТР нефть'!$J$28:$BP$638,43,0)</f>
        <v>1209.9999662109999</v>
      </c>
      <c r="BA437" s="115" t="str">
        <f>VLOOKUP(J437,'[63]ТР нефть'!$J$28:$BP$638,44,0)</f>
        <v>ГК78 1/8</v>
      </c>
      <c r="BB437" s="115">
        <f>VLOOKUP(J437,'[63]ТР нефть'!$J$28:$BP$638,45,0)</f>
        <v>1449.9999773439999</v>
      </c>
      <c r="BC437" s="115" t="str">
        <f>VLOOKUP(J437,'[63]ТР нефть'!$J$28:$BP$638,46,0)</f>
        <v>ГК77 1/8</v>
      </c>
      <c r="BD437" s="115">
        <f>VLOOKUP(J437,'[63]ТР нефть'!$J$28:$BP$638,47,0)</f>
        <v>1720.0000921880001</v>
      </c>
      <c r="BE437" s="115" t="str">
        <f>VLOOKUP(J437,'[63]ТР нефть'!$J$28:$BP$638,48,0)</f>
        <v>ГК77 1/8</v>
      </c>
      <c r="BF437" s="115">
        <f>VLOOKUP(J437,'[63]ТР нефть'!$J$28:$BP$638,49,0)</f>
        <v>1940</v>
      </c>
      <c r="BG437" s="115" t="str">
        <f>VLOOKUP(J437,'[63]ТР нефть'!$J$28:$BP$638,50,0)</f>
        <v>ЦКсОК 5/16</v>
      </c>
      <c r="BH437" s="115" t="str">
        <f>VLOOKUP(J437,'[63]ТР нефть'!$J$28:$BP$638,51,0)</f>
        <v>-</v>
      </c>
      <c r="BI437" s="115" t="str">
        <f>VLOOKUP(J437,'[63]ТР нефть'!$J$28:$BP$638,52,0)</f>
        <v>-</v>
      </c>
      <c r="BJ437" s="115" t="str">
        <f>IF(IFERROR(VLOOKUP(J437,'[63]ТР нефть'!$J$28:$BP$638,53,0),"-")=0,"-",IFERROR(VLOOKUP(J437,'[63]ТР нефть'!$J$28:$BP$638,53,0),"-"))</f>
        <v>-</v>
      </c>
      <c r="BK437" s="138" t="str">
        <f>IF(IFERROR(VLOOKUP(J437,'[63]ТР нефть'!$J$28:$BP$638,54,0),"-")=0,"-",IFERROR(VLOOKUP(J437,'[63]ТР нефть'!$J$28:$BP$638,54,0),"-"))</f>
        <v>-</v>
      </c>
      <c r="BL437" s="138" t="str">
        <f>IF(IFERROR(VLOOKUP(J437,'[63]ТР нефть'!$J$28:$BP$638,55,0),"-")=0,"-",IFERROR(VLOOKUP(J437,'[63]ТР нефть'!$J$28:$BP$638,55,0),"-"))</f>
        <v>-</v>
      </c>
      <c r="BM437" s="138" t="str">
        <f>IF(IFERROR(VLOOKUP(J437,'[63]ТР нефть'!$J$28:$BP$638,56,0),"-")=0,"-",IFERROR(VLOOKUP(J437,'[63]ТР нефть'!$J$28:$BP$638,56,0),"-"))</f>
        <v>-</v>
      </c>
      <c r="BN437" s="138" t="str">
        <f>IF(IFERROR(VLOOKUP(J437,'[63]ТР нефть'!$J$28:$BP$638,57,0),"-")=0,"-",IFERROR(VLOOKUP(J437,'[63]ТР нефть'!$J$28:$BP$638,57,0),"-"))</f>
        <v>-</v>
      </c>
      <c r="BO437" s="115" t="str">
        <f>IF(IFERROR(VLOOKUP(J437,'[63]ТР нефть'!$J$28:$BP$638,58,0),"-")=0,"-",IFERROR(VLOOKUP(J437,'[63]ТР нефть'!$J$28:$BP$638,58,0),"-"))</f>
        <v>-</v>
      </c>
      <c r="BP437" s="115" t="str">
        <f>IF(IFERROR(VLOOKUP(J437,'[63]ТР нефть'!$J$28:$BP$638,59,0),"-")=0,"-",IFERROR(VLOOKUP(J437,'[63]ТР нефть'!$J$28:$BP$638,59,0),"-"))</f>
        <v>-</v>
      </c>
      <c r="BQ437" s="138">
        <v>2087</v>
      </c>
      <c r="BR437" s="128">
        <v>1841</v>
      </c>
      <c r="BS437" s="115">
        <f t="shared" si="351"/>
        <v>246</v>
      </c>
      <c r="BT437" s="128">
        <v>73</v>
      </c>
      <c r="BU437" s="128">
        <v>5.5</v>
      </c>
      <c r="BV437" s="127">
        <v>65</v>
      </c>
      <c r="BW437" s="127" t="s">
        <v>217</v>
      </c>
      <c r="BX437" s="127" t="s">
        <v>195</v>
      </c>
      <c r="BY437" s="139">
        <v>24</v>
      </c>
      <c r="BZ437" s="139">
        <v>0</v>
      </c>
      <c r="CA437" s="138">
        <v>31</v>
      </c>
      <c r="CB437" s="138">
        <v>61</v>
      </c>
      <c r="CC437" s="138">
        <v>30</v>
      </c>
      <c r="CD437" s="135">
        <v>45017</v>
      </c>
      <c r="CE437" s="138">
        <v>97</v>
      </c>
      <c r="CF437" s="138">
        <v>64</v>
      </c>
      <c r="CG437" s="138" t="str">
        <f t="shared" si="352"/>
        <v/>
      </c>
      <c r="CH437" s="138" t="s">
        <v>197</v>
      </c>
      <c r="CI437" s="127"/>
      <c r="CJ437" s="138"/>
      <c r="CK437" s="138">
        <f t="shared" si="308"/>
        <v>35</v>
      </c>
      <c r="CL437" s="99"/>
      <c r="CM437" s="99"/>
      <c r="CN437" s="140">
        <v>66</v>
      </c>
      <c r="CO437" s="141">
        <f t="shared" si="324"/>
        <v>3.4785458399999998</v>
      </c>
      <c r="CP437" s="142">
        <v>4.2</v>
      </c>
      <c r="CQ437" s="143">
        <v>0.93</v>
      </c>
      <c r="CR437" s="138">
        <v>11.6</v>
      </c>
      <c r="CS437" s="139">
        <v>8.4</v>
      </c>
      <c r="CT437" s="138"/>
      <c r="CU437" s="138">
        <f t="shared" si="320"/>
        <v>3.1999999999999993</v>
      </c>
      <c r="CV437" s="115">
        <f t="shared" si="321"/>
        <v>919.92463149486605</v>
      </c>
      <c r="CW437" s="115">
        <f t="shared" si="325"/>
        <v>2383.8055691895993</v>
      </c>
      <c r="CX437" s="133">
        <f t="shared" si="322"/>
        <v>0.13548387096774195</v>
      </c>
      <c r="CY437" s="116"/>
      <c r="CZ437" s="131"/>
      <c r="DA437" s="145" t="str">
        <f t="shared" si="326"/>
        <v>Газлифт</v>
      </c>
      <c r="DB437" s="146">
        <f t="shared" si="341"/>
        <v>3.4785458399999998</v>
      </c>
      <c r="DC437" s="142">
        <f t="shared" si="342"/>
        <v>4.2</v>
      </c>
      <c r="DD437" s="119">
        <f t="shared" si="350"/>
        <v>0.93</v>
      </c>
      <c r="DE437" s="115">
        <f t="shared" si="343"/>
        <v>3.1999999999999993</v>
      </c>
      <c r="DF437" s="121">
        <f t="shared" si="328"/>
        <v>8.4</v>
      </c>
      <c r="DG437" s="115">
        <f t="shared" si="329"/>
        <v>919.92463149486605</v>
      </c>
      <c r="DH437" s="115">
        <f t="shared" si="330"/>
        <v>66</v>
      </c>
      <c r="DI437" s="147"/>
      <c r="DJ437" s="111" t="s">
        <v>197</v>
      </c>
      <c r="DK437" s="112">
        <v>44140</v>
      </c>
      <c r="DL437" s="113">
        <f t="shared" ca="1" si="312"/>
        <v>964</v>
      </c>
      <c r="DM437" s="114"/>
      <c r="DN437" s="114"/>
      <c r="DO437" s="114"/>
      <c r="DP437" s="114"/>
      <c r="DQ437" s="112"/>
      <c r="DR437" s="114"/>
      <c r="DS437" s="114"/>
      <c r="DT437" s="115">
        <v>60</v>
      </c>
      <c r="DU437" s="116">
        <f t="shared" si="313"/>
        <v>0.13114259873379561</v>
      </c>
      <c r="DV437" s="117">
        <f t="shared" si="314"/>
        <v>4.0187773873982522</v>
      </c>
      <c r="DW437" s="118">
        <f t="shared" si="315"/>
        <v>4.8522761531504379</v>
      </c>
      <c r="DX437" s="119">
        <f t="shared" si="331"/>
        <v>0.93</v>
      </c>
      <c r="DY437" s="115">
        <f t="shared" si="316"/>
        <v>3.6969723071622376</v>
      </c>
      <c r="DZ437" s="117">
        <f t="shared" si="349"/>
        <v>0.54023154739825241</v>
      </c>
      <c r="EA437" s="120">
        <f t="shared" si="349"/>
        <v>0.65227615315043774</v>
      </c>
      <c r="EB437" s="119">
        <f t="shared" si="349"/>
        <v>0</v>
      </c>
      <c r="EC437" s="121">
        <f t="shared" si="318"/>
        <v>0.49697230716223828</v>
      </c>
      <c r="ED437" s="122"/>
      <c r="EE437" s="145">
        <v>65</v>
      </c>
      <c r="EF437" s="115">
        <v>31</v>
      </c>
      <c r="EG437" s="115">
        <v>61</v>
      </c>
      <c r="EH437" s="115">
        <v>30</v>
      </c>
      <c r="EI437" s="128" t="s">
        <v>195</v>
      </c>
      <c r="EJ437" s="121">
        <v>24</v>
      </c>
      <c r="EK437" s="121">
        <v>0</v>
      </c>
      <c r="EL437" s="149">
        <v>3.1472557600000002</v>
      </c>
      <c r="EM437" s="142">
        <v>3.8</v>
      </c>
      <c r="EN437" s="119">
        <v>0.93</v>
      </c>
      <c r="EO437" s="115">
        <v>11.6</v>
      </c>
      <c r="EP437" s="115">
        <v>1016.7588032311676</v>
      </c>
      <c r="EQ437" s="115">
        <v>64</v>
      </c>
      <c r="ER437" s="115">
        <v>8.4</v>
      </c>
      <c r="ES437" s="115">
        <v>66</v>
      </c>
      <c r="ET437" s="150">
        <v>0.12258064516129032</v>
      </c>
      <c r="EU437" s="145">
        <f t="shared" si="332"/>
        <v>65</v>
      </c>
      <c r="EV437" s="115">
        <f t="shared" si="333"/>
        <v>31</v>
      </c>
      <c r="EW437" s="115">
        <f t="shared" si="333"/>
        <v>61</v>
      </c>
      <c r="EX437" s="115">
        <f t="shared" si="333"/>
        <v>30</v>
      </c>
      <c r="EY437" s="115" t="str">
        <f t="shared" si="309"/>
        <v>Постоянный</v>
      </c>
      <c r="EZ437" s="115">
        <f t="shared" si="309"/>
        <v>24</v>
      </c>
      <c r="FA437" s="115">
        <f t="shared" si="309"/>
        <v>0</v>
      </c>
      <c r="FB437" s="149">
        <f t="shared" si="345"/>
        <v>3.4785458399999998</v>
      </c>
      <c r="FC437" s="142">
        <f t="shared" si="345"/>
        <v>4.2</v>
      </c>
      <c r="FD437" s="119">
        <f t="shared" si="345"/>
        <v>0.93</v>
      </c>
      <c r="FE437" s="121">
        <f t="shared" si="344"/>
        <v>11.6</v>
      </c>
      <c r="FF437" s="121">
        <f t="shared" si="347"/>
        <v>919.92463149486605</v>
      </c>
      <c r="FG437" s="121">
        <f t="shared" si="334"/>
        <v>64</v>
      </c>
      <c r="FH437" s="121">
        <f t="shared" si="348"/>
        <v>8.4</v>
      </c>
      <c r="FI437" s="121">
        <f t="shared" si="306"/>
        <v>66</v>
      </c>
      <c r="FJ437" s="144">
        <f t="shared" si="335"/>
        <v>0.13548387096774195</v>
      </c>
      <c r="FK437" s="132">
        <f t="shared" si="336"/>
        <v>0</v>
      </c>
      <c r="FL437" s="115">
        <f t="shared" si="336"/>
        <v>0</v>
      </c>
      <c r="FM437" s="115">
        <f t="shared" si="336"/>
        <v>0</v>
      </c>
      <c r="FN437" s="115">
        <f t="shared" si="336"/>
        <v>0</v>
      </c>
      <c r="FO437" s="115">
        <f t="shared" ref="FO437:FS500" si="354">EZ437-EJ437</f>
        <v>0</v>
      </c>
      <c r="FP437" s="115">
        <f t="shared" si="354"/>
        <v>0</v>
      </c>
      <c r="FQ437" s="149">
        <f t="shared" si="354"/>
        <v>0.3312900799999996</v>
      </c>
      <c r="FR437" s="142">
        <f t="shared" si="354"/>
        <v>0.40000000000000036</v>
      </c>
      <c r="FS437" s="119">
        <f t="shared" si="354"/>
        <v>0</v>
      </c>
      <c r="FT437" s="121">
        <f t="shared" si="353"/>
        <v>0</v>
      </c>
      <c r="FU437" s="121">
        <f t="shared" si="337"/>
        <v>0</v>
      </c>
      <c r="FV437" s="121">
        <f t="shared" si="337"/>
        <v>0</v>
      </c>
      <c r="FW437" s="121">
        <f t="shared" si="338"/>
        <v>-96.834171736301528</v>
      </c>
      <c r="FX437" s="121">
        <f t="shared" si="339"/>
        <v>0</v>
      </c>
      <c r="FY437" s="144">
        <f t="shared" si="339"/>
        <v>1.2903225806451632E-2</v>
      </c>
      <c r="FZ437" s="145"/>
      <c r="GA437" s="125"/>
      <c r="GB437" s="145" t="s">
        <v>199</v>
      </c>
      <c r="GC437" s="125" t="s">
        <v>1634</v>
      </c>
      <c r="GD437" s="997" t="s">
        <v>202</v>
      </c>
      <c r="GE437" s="1004" t="s">
        <v>199</v>
      </c>
      <c r="GF437" s="1004">
        <v>-3.079272239999999</v>
      </c>
      <c r="GG437" s="1004"/>
      <c r="GH437" s="1004">
        <v>0.89903439999999879</v>
      </c>
      <c r="GI437" s="145"/>
      <c r="GJ437" s="996">
        <v>0</v>
      </c>
      <c r="GK437" s="145"/>
      <c r="GL437" s="996">
        <v>-0.79345094399999994</v>
      </c>
      <c r="GM437" s="1005"/>
      <c r="GN437" s="996">
        <v>-0.37109705599999909</v>
      </c>
      <c r="GO437" s="1006"/>
      <c r="GP437" s="996">
        <v>7.1561599999999892E-2</v>
      </c>
      <c r="GQ437" s="1006" t="s">
        <v>199</v>
      </c>
      <c r="GR437" s="996">
        <v>0.41959676000000012</v>
      </c>
      <c r="GS437" s="1006"/>
      <c r="GT437" s="996">
        <v>0.86951524000000013</v>
      </c>
      <c r="GU437" s="1006"/>
      <c r="GV437" s="996">
        <v>0</v>
      </c>
      <c r="GW437" s="1006"/>
      <c r="GX437" s="996">
        <v>0</v>
      </c>
      <c r="GY437" s="1006"/>
      <c r="GZ437" s="996">
        <v>-0.40619568000000061</v>
      </c>
      <c r="HA437" s="1006" t="s">
        <v>199</v>
      </c>
      <c r="HB437" s="996">
        <v>-3.4175011200000007</v>
      </c>
      <c r="HC437" s="1006"/>
      <c r="HD437" s="996">
        <v>-0.22493519999999911</v>
      </c>
      <c r="HE437" s="1006"/>
      <c r="HF437" s="996">
        <v>0.29599999999999937</v>
      </c>
      <c r="HG437" s="1006" t="s">
        <v>199</v>
      </c>
      <c r="HH437" s="996">
        <v>-0.39914401999999871</v>
      </c>
      <c r="HI437" s="1006"/>
      <c r="HJ437" s="996">
        <v>-0.20818490000000089</v>
      </c>
      <c r="HK437" s="1006"/>
      <c r="HL437" s="996">
        <v>0</v>
      </c>
      <c r="HM437" s="1006" t="s">
        <v>199</v>
      </c>
      <c r="HN437" s="996">
        <v>2.1264412400000001</v>
      </c>
      <c r="HO437" s="1006"/>
      <c r="HP437" s="996">
        <v>0</v>
      </c>
      <c r="HQ437" s="1006"/>
      <c r="HR437" s="996">
        <v>0</v>
      </c>
      <c r="HS437" s="1006"/>
      <c r="HT437" s="996">
        <v>0</v>
      </c>
      <c r="HU437" s="1006" t="s">
        <v>199</v>
      </c>
      <c r="HV437" s="996">
        <v>-2.6755762000000001</v>
      </c>
      <c r="HW437" s="1006" t="s">
        <v>199</v>
      </c>
      <c r="HX437" s="996">
        <v>1.5766759359999991</v>
      </c>
      <c r="HY437" s="1006"/>
      <c r="HZ437" s="996">
        <v>0.75497153600000111</v>
      </c>
      <c r="IA437" s="1006" t="s">
        <v>199</v>
      </c>
      <c r="IB437" s="996">
        <v>-1.2789311919999999</v>
      </c>
      <c r="IC437" s="1006"/>
      <c r="ID437" s="996">
        <v>0.46799279999999932</v>
      </c>
      <c r="IE437" s="1006"/>
      <c r="IF437" s="996">
        <v>0</v>
      </c>
      <c r="IG437" s="1006" t="s">
        <v>221</v>
      </c>
      <c r="IH437" s="996">
        <v>-1.5884</v>
      </c>
      <c r="II437" s="1006"/>
      <c r="IJ437" s="996">
        <v>0</v>
      </c>
      <c r="IK437" s="1006"/>
      <c r="IL437" s="996">
        <v>0</v>
      </c>
      <c r="IM437" s="1006" t="s">
        <v>239</v>
      </c>
      <c r="IN437" s="996">
        <v>-1.6720000000000006</v>
      </c>
      <c r="IO437" s="1006"/>
      <c r="IP437" s="996">
        <v>0</v>
      </c>
      <c r="IQ437" s="1006"/>
      <c r="IR437" s="996">
        <v>0</v>
      </c>
      <c r="IS437" s="1006"/>
      <c r="IT437" s="996">
        <v>0</v>
      </c>
      <c r="IU437" s="1006" t="s">
        <v>223</v>
      </c>
      <c r="IV437" s="996">
        <v>-2.1735999999999986</v>
      </c>
      <c r="IW437" s="1006"/>
      <c r="IX437" s="996">
        <v>0</v>
      </c>
      <c r="IY437" s="1006" t="s">
        <v>223</v>
      </c>
      <c r="IZ437" s="996">
        <v>2.0063999999999993</v>
      </c>
      <c r="JA437" s="1006"/>
      <c r="JB437" s="996">
        <v>0</v>
      </c>
      <c r="JC437" s="1006"/>
      <c r="JD437" s="996">
        <v>0</v>
      </c>
      <c r="JE437" s="1006" t="s">
        <v>223</v>
      </c>
      <c r="JF437" s="996">
        <v>-7.6911999999999985</v>
      </c>
      <c r="JG437" s="1006" t="s">
        <v>223</v>
      </c>
      <c r="JH437" s="996">
        <v>-7.8583999999999996</v>
      </c>
      <c r="JI437" s="1006" t="s">
        <v>203</v>
      </c>
      <c r="JJ437" s="996">
        <v>-6.6880000000000024</v>
      </c>
      <c r="JK437" s="1007" t="s">
        <v>203</v>
      </c>
      <c r="JL437" s="1007">
        <v>-1.5047999999999959</v>
      </c>
      <c r="JM437" s="1007"/>
      <c r="JN437" s="1007">
        <v>34.275999999999996</v>
      </c>
      <c r="JO437" s="1008"/>
      <c r="JP437" s="1007"/>
      <c r="JQ437" s="1008"/>
      <c r="JR437" s="1007"/>
      <c r="JS437" s="1008"/>
      <c r="JT437" s="1007"/>
      <c r="JU437" s="1008"/>
      <c r="JV437" s="1007"/>
      <c r="JW437" s="1008"/>
      <c r="JX437" s="1007"/>
      <c r="JY437" s="1008"/>
      <c r="JZ437" s="1007"/>
      <c r="KA437" s="1008"/>
      <c r="KB437" s="1007"/>
      <c r="KC437" s="1008"/>
      <c r="KD437" s="1007"/>
      <c r="KE437" s="1008"/>
      <c r="KF437" s="1007"/>
      <c r="KG437" s="1008"/>
      <c r="KH437" s="1007"/>
      <c r="KI437" s="1008"/>
      <c r="KJ437" s="1007"/>
      <c r="KK437" s="1008"/>
      <c r="KL437" s="1007"/>
      <c r="KM437" s="1008"/>
      <c r="KN437" s="1007"/>
      <c r="KO437" s="1008"/>
      <c r="KP437" s="1007"/>
      <c r="KQ437" s="1008"/>
      <c r="KR437" s="1007"/>
      <c r="KS437" s="1008"/>
      <c r="KT437" s="1007"/>
      <c r="KU437" s="1008"/>
      <c r="KV437" s="1007"/>
      <c r="KW437" s="1008"/>
      <c r="KX437" s="1007"/>
      <c r="KY437" s="1008"/>
      <c r="KZ437" s="1007"/>
      <c r="LA437" s="1008"/>
      <c r="LB437" s="1007"/>
      <c r="LC437" s="1008"/>
      <c r="LD437" s="1007"/>
      <c r="LE437" s="1008"/>
      <c r="LF437" s="1007"/>
      <c r="LG437" s="1008"/>
      <c r="LH437" s="1007"/>
      <c r="LI437" s="1008"/>
      <c r="LJ437" s="1007"/>
      <c r="LK437" s="1008"/>
      <c r="LL437" s="1007"/>
      <c r="LM437" s="1008"/>
      <c r="LN437" s="1007"/>
      <c r="LO437" s="1008"/>
      <c r="LP437" s="1007"/>
      <c r="LQ437" s="1008"/>
      <c r="LR437" s="1007"/>
      <c r="LS437" s="1008"/>
      <c r="LT437" s="1007"/>
      <c r="LU437" s="1008"/>
      <c r="LV437" s="1007"/>
      <c r="LW437" s="1008"/>
      <c r="LX437" s="1007"/>
      <c r="LY437" s="1009"/>
      <c r="LZ437" s="1010"/>
      <c r="MA437" s="1011"/>
      <c r="MB437" s="1012"/>
      <c r="MC437" s="995"/>
      <c r="MD437" s="996"/>
      <c r="ME437" s="997" t="s">
        <v>202</v>
      </c>
      <c r="MF437" s="997"/>
      <c r="MG437" s="998"/>
      <c r="NR437" s="1000"/>
      <c r="NS437" s="1000"/>
      <c r="NT437" s="1001"/>
      <c r="NU437" s="1000"/>
      <c r="NV437" s="1001"/>
      <c r="NX437" s="1002"/>
      <c r="NZ437" s="1001"/>
      <c r="OA437" s="1001"/>
      <c r="OC437" s="1003"/>
      <c r="OD437" s="1003"/>
      <c r="OE437" s="1001"/>
      <c r="OF437" s="1003"/>
      <c r="OG437" s="1003"/>
      <c r="QX437" s="1000">
        <f>CN437-CA437</f>
        <v>35</v>
      </c>
      <c r="ASU437" s="999" t="s">
        <v>208</v>
      </c>
    </row>
    <row r="438" spans="1:466 1191:1191" ht="21" customHeight="1" x14ac:dyDescent="0.25">
      <c r="A438" s="982" t="str">
        <f t="shared" si="323"/>
        <v>1512-1</v>
      </c>
      <c r="B438" s="124">
        <f>SUBTOTAL(103,$J$29:J438)</f>
        <v>410</v>
      </c>
      <c r="C438" s="126">
        <v>45068</v>
      </c>
      <c r="D438" s="124" t="s">
        <v>176</v>
      </c>
      <c r="E438" s="127" t="s">
        <v>177</v>
      </c>
      <c r="F438" s="128" t="s">
        <v>177</v>
      </c>
      <c r="G438" s="127" t="s">
        <v>178</v>
      </c>
      <c r="H438" s="127" t="s">
        <v>179</v>
      </c>
      <c r="I438" s="127" t="s">
        <v>1393</v>
      </c>
      <c r="J438" s="152" t="s">
        <v>1654</v>
      </c>
      <c r="K438" s="127" t="s">
        <v>1393</v>
      </c>
      <c r="L438" s="130">
        <v>43920</v>
      </c>
      <c r="M438" s="127" t="s">
        <v>230</v>
      </c>
      <c r="N438" s="127" t="s">
        <v>184</v>
      </c>
      <c r="O438" s="127" t="s">
        <v>185</v>
      </c>
      <c r="P438" s="127" t="s">
        <v>186</v>
      </c>
      <c r="Q438" s="85" t="str">
        <f t="shared" si="319"/>
        <v/>
      </c>
      <c r="R438" s="130"/>
      <c r="S438" s="128"/>
      <c r="T438" s="131"/>
      <c r="U438" s="132">
        <v>203</v>
      </c>
      <c r="V438" s="121">
        <v>218.2</v>
      </c>
      <c r="W438" s="116">
        <v>0.98</v>
      </c>
      <c r="X438" s="116">
        <v>1.66</v>
      </c>
      <c r="Y438" s="116">
        <f t="shared" si="346"/>
        <v>0.98004014622285718</v>
      </c>
      <c r="Z438" s="133">
        <v>1.454</v>
      </c>
      <c r="AA438" s="133">
        <v>0.83599999999999997</v>
      </c>
      <c r="AB438" s="133">
        <v>0.72</v>
      </c>
      <c r="AC438" s="121">
        <v>34.299999999999997</v>
      </c>
      <c r="AD438" s="134">
        <v>1.17</v>
      </c>
      <c r="AE438" s="124">
        <v>177.8</v>
      </c>
      <c r="AF438" s="128">
        <v>9.19</v>
      </c>
      <c r="AG438" s="128">
        <v>2514.1</v>
      </c>
      <c r="AH438" s="127">
        <v>3161</v>
      </c>
      <c r="AI438" s="127">
        <v>3161</v>
      </c>
      <c r="AJ438" s="135"/>
      <c r="AK438" s="128"/>
      <c r="AL438" s="131"/>
      <c r="AM438" s="124" t="s">
        <v>985</v>
      </c>
      <c r="AN438" s="136" t="s">
        <v>1655</v>
      </c>
      <c r="AO438" s="137">
        <v>25.8</v>
      </c>
      <c r="AP438" s="128">
        <v>2601.9</v>
      </c>
      <c r="AQ438" s="128">
        <v>701.90000000000009</v>
      </c>
      <c r="AR438" s="128" t="s">
        <v>1656</v>
      </c>
      <c r="AS438" s="128">
        <v>114</v>
      </c>
      <c r="AT438" s="122">
        <v>7.37</v>
      </c>
      <c r="AU438" s="124" t="s">
        <v>189</v>
      </c>
      <c r="AV438" s="115">
        <f>VLOOKUP(J438,'[63]ТР нефть'!$J$28:$BP$638,39,0)</f>
        <v>533.00002441399999</v>
      </c>
      <c r="AW438" s="115" t="str">
        <f>VLOOKUP(J438,'[63]ТР нефть'!$J$28:$BP$638,40,0)</f>
        <v>ГП</v>
      </c>
      <c r="AX438" s="115">
        <f>VLOOKUP(J438,'[63]ТР нефть'!$J$28:$BP$638,41,0)</f>
        <v>941.00005078100003</v>
      </c>
      <c r="AY438" s="115" t="str">
        <f>VLOOKUP(J438,'[63]ТР нефть'!$J$28:$BP$638,42,0)</f>
        <v>ГП</v>
      </c>
      <c r="AZ438" s="115">
        <f>VLOOKUP(J438,'[63]ТР нефть'!$J$28:$BP$638,43,0)</f>
        <v>1258.0000875000001</v>
      </c>
      <c r="BA438" s="115" t="str">
        <f>VLOOKUP(J438,'[63]ТР нефть'!$J$28:$BP$638,44,0)</f>
        <v>ГК78 1/8</v>
      </c>
      <c r="BB438" s="115">
        <f>VLOOKUP(J438,'[63]ТР нефть'!$J$28:$BP$638,45,0)</f>
        <v>1499.999976563</v>
      </c>
      <c r="BC438" s="115" t="str">
        <f>VLOOKUP(J438,'[63]ТР нефть'!$J$28:$BP$638,46,0)</f>
        <v>ГК77 1/8</v>
      </c>
      <c r="BD438" s="115">
        <f>VLOOKUP(J438,'[63]ТР нефть'!$J$28:$BP$638,47,0)</f>
        <v>1685.0000332029999</v>
      </c>
      <c r="BE438" s="115" t="str">
        <f>VLOOKUP(J438,'[63]ТР нефть'!$J$28:$BP$638,48,0)</f>
        <v>ГК75 1/4</v>
      </c>
      <c r="BF438" s="115">
        <f>VLOOKUP(J438,'[63]ТР нефть'!$J$28:$BP$638,49,0)</f>
        <v>1944</v>
      </c>
      <c r="BG438" s="115" t="str">
        <f>VLOOKUP(J438,'[63]ТР нефть'!$J$28:$BP$638,50,0)</f>
        <v>ЦКсОК 5/16</v>
      </c>
      <c r="BH438" s="115" t="str">
        <f>VLOOKUP(J438,'[63]ТР нефть'!$J$28:$BP$638,51,0)</f>
        <v>-</v>
      </c>
      <c r="BI438" s="115" t="str">
        <f>VLOOKUP(J438,'[63]ТР нефть'!$J$28:$BP$638,52,0)</f>
        <v>-</v>
      </c>
      <c r="BJ438" s="115" t="str">
        <f>IF(IFERROR(VLOOKUP(J438,'[63]ТР нефть'!$J$28:$BP$638,53,0),"-")=0,"-",IFERROR(VLOOKUP(J438,'[63]ТР нефть'!$J$28:$BP$638,53,0),"-"))</f>
        <v>-</v>
      </c>
      <c r="BK438" s="138" t="str">
        <f>IF(IFERROR(VLOOKUP(J438,'[63]ТР нефть'!$J$28:$BP$638,54,0),"-")=0,"-",IFERROR(VLOOKUP(J438,'[63]ТР нефть'!$J$28:$BP$638,54,0),"-"))</f>
        <v>-</v>
      </c>
      <c r="BL438" s="138" t="str">
        <f>IF(IFERROR(VLOOKUP(J438,'[63]ТР нефть'!$J$28:$BP$638,55,0),"-")=0,"-",IFERROR(VLOOKUP(J438,'[63]ТР нефть'!$J$28:$BP$638,55,0),"-"))</f>
        <v>-</v>
      </c>
      <c r="BM438" s="138" t="str">
        <f>IF(IFERROR(VLOOKUP(J438,'[63]ТР нефть'!$J$28:$BP$638,56,0),"-")=0,"-",IFERROR(VLOOKUP(J438,'[63]ТР нефть'!$J$28:$BP$638,56,0),"-"))</f>
        <v>-</v>
      </c>
      <c r="BN438" s="138" t="str">
        <f>IF(IFERROR(VLOOKUP(J438,'[63]ТР нефть'!$J$28:$BP$638,57,0),"-")=0,"-",IFERROR(VLOOKUP(J438,'[63]ТР нефть'!$J$28:$BP$638,57,0),"-"))</f>
        <v>-</v>
      </c>
      <c r="BO438" s="115" t="str">
        <f>IF(IFERROR(VLOOKUP(J438,'[63]ТР нефть'!$J$28:$BP$638,58,0),"-")=0,"-",IFERROR(VLOOKUP(J438,'[63]ТР нефть'!$J$28:$BP$638,58,0),"-"))</f>
        <v>-</v>
      </c>
      <c r="BP438" s="115" t="str">
        <f>IF(IFERROR(VLOOKUP(J438,'[63]ТР нефть'!$J$28:$BP$638,59,0),"-")=0,"-",IFERROR(VLOOKUP(J438,'[63]ТР нефть'!$J$28:$BP$638,59,0),"-"))</f>
        <v>-</v>
      </c>
      <c r="BQ438" s="138">
        <v>2285</v>
      </c>
      <c r="BR438" s="128">
        <v>1795</v>
      </c>
      <c r="BS438" s="115">
        <f t="shared" si="351"/>
        <v>490</v>
      </c>
      <c r="BT438" s="128">
        <v>73</v>
      </c>
      <c r="BU438" s="128">
        <v>5.5</v>
      </c>
      <c r="BV438" s="127">
        <v>18</v>
      </c>
      <c r="BW438" s="127" t="s">
        <v>164</v>
      </c>
      <c r="BX438" s="127" t="s">
        <v>195</v>
      </c>
      <c r="BY438" s="139">
        <v>24</v>
      </c>
      <c r="BZ438" s="139">
        <v>0</v>
      </c>
      <c r="CA438" s="138">
        <v>30</v>
      </c>
      <c r="CB438" s="138">
        <v>48</v>
      </c>
      <c r="CC438" s="138">
        <v>29</v>
      </c>
      <c r="CD438" s="135">
        <v>45017</v>
      </c>
      <c r="CE438" s="138">
        <v>95.7</v>
      </c>
      <c r="CF438" s="138">
        <v>64</v>
      </c>
      <c r="CG438" s="138" t="str">
        <f t="shared" si="352"/>
        <v>В работе</v>
      </c>
      <c r="CH438" s="138" t="s">
        <v>235</v>
      </c>
      <c r="CI438" s="127"/>
      <c r="CJ438" s="138"/>
      <c r="CK438" s="138">
        <f t="shared" si="308"/>
        <v>54</v>
      </c>
      <c r="CL438" s="99"/>
      <c r="CM438" s="99"/>
      <c r="CN438" s="140">
        <v>84</v>
      </c>
      <c r="CO438" s="141">
        <f t="shared" si="324"/>
        <v>8.3591639999999998</v>
      </c>
      <c r="CP438" s="142">
        <v>10</v>
      </c>
      <c r="CQ438" s="143">
        <v>0.01</v>
      </c>
      <c r="CR438" s="138">
        <v>12.2</v>
      </c>
      <c r="CS438" s="139">
        <v>9.6</v>
      </c>
      <c r="CT438" s="138"/>
      <c r="CU438" s="138">
        <f t="shared" si="320"/>
        <v>2.5999999999999996</v>
      </c>
      <c r="CV438" s="115">
        <f t="shared" si="321"/>
        <v>311.03588827782295</v>
      </c>
      <c r="CW438" s="115">
        <f t="shared" si="325"/>
        <v>1148.2811307985505</v>
      </c>
      <c r="CX438" s="133">
        <f t="shared" si="322"/>
        <v>0.85470085470085444</v>
      </c>
      <c r="CY438" s="116"/>
      <c r="CZ438" s="131"/>
      <c r="DA438" s="145" t="str">
        <f t="shared" si="326"/>
        <v>Газлифт</v>
      </c>
      <c r="DB438" s="146">
        <f t="shared" si="341"/>
        <v>8.3591639999999998</v>
      </c>
      <c r="DC438" s="142">
        <f t="shared" si="342"/>
        <v>10</v>
      </c>
      <c r="DD438" s="119">
        <f t="shared" si="350"/>
        <v>0.01</v>
      </c>
      <c r="DE438" s="115">
        <f t="shared" si="343"/>
        <v>2.5999999999999996</v>
      </c>
      <c r="DF438" s="121">
        <f t="shared" si="328"/>
        <v>9.6</v>
      </c>
      <c r="DG438" s="115">
        <f t="shared" si="329"/>
        <v>311.03588827782295</v>
      </c>
      <c r="DH438" s="115">
        <f t="shared" si="330"/>
        <v>84</v>
      </c>
      <c r="DI438" s="147"/>
      <c r="DJ438" s="111"/>
      <c r="DK438" s="112">
        <v>44165</v>
      </c>
      <c r="DL438" s="113">
        <f t="shared" ca="1" si="312"/>
        <v>939</v>
      </c>
      <c r="DM438" s="114"/>
      <c r="DN438" s="114"/>
      <c r="DO438" s="114"/>
      <c r="DP438" s="114"/>
      <c r="DQ438" s="112"/>
      <c r="DR438" s="114"/>
      <c r="DS438" s="114"/>
      <c r="DT438" s="115">
        <v>60</v>
      </c>
      <c r="DU438" s="116">
        <f t="shared" si="313"/>
        <v>0.75396263241567119</v>
      </c>
      <c r="DV438" s="117">
        <f t="shared" si="314"/>
        <v>22.499915340416493</v>
      </c>
      <c r="DW438" s="118">
        <f t="shared" si="315"/>
        <v>26.916465977239465</v>
      </c>
      <c r="DX438" s="119">
        <f t="shared" si="331"/>
        <v>0.01</v>
      </c>
      <c r="DY438" s="115">
        <f t="shared" si="316"/>
        <v>6.9982811540822585</v>
      </c>
      <c r="DZ438" s="117">
        <f t="shared" si="349"/>
        <v>14.140751340416493</v>
      </c>
      <c r="EA438" s="120">
        <f t="shared" si="349"/>
        <v>16.916465977239465</v>
      </c>
      <c r="EB438" s="119">
        <f t="shared" si="349"/>
        <v>0</v>
      </c>
      <c r="EC438" s="121">
        <f t="shared" si="318"/>
        <v>4.3982811540822588</v>
      </c>
      <c r="ED438" s="122"/>
      <c r="EE438" s="145">
        <v>18</v>
      </c>
      <c r="EF438" s="115">
        <v>31</v>
      </c>
      <c r="EG438" s="115">
        <v>49</v>
      </c>
      <c r="EH438" s="115">
        <v>30</v>
      </c>
      <c r="EI438" s="128" t="s">
        <v>195</v>
      </c>
      <c r="EJ438" s="121">
        <v>24</v>
      </c>
      <c r="EK438" s="121">
        <v>0</v>
      </c>
      <c r="EL438" s="149">
        <v>8.3591639999999998</v>
      </c>
      <c r="EM438" s="142">
        <v>10</v>
      </c>
      <c r="EN438" s="119">
        <v>0.01</v>
      </c>
      <c r="EO438" s="115">
        <v>12.2</v>
      </c>
      <c r="EP438" s="115">
        <v>311.03588827782295</v>
      </c>
      <c r="EQ438" s="115">
        <v>64</v>
      </c>
      <c r="ER438" s="115">
        <v>9.6</v>
      </c>
      <c r="ES438" s="115">
        <v>73</v>
      </c>
      <c r="ET438" s="150">
        <v>0.44052863436123341</v>
      </c>
      <c r="EU438" s="145">
        <f t="shared" si="332"/>
        <v>18</v>
      </c>
      <c r="EV438" s="115">
        <f t="shared" si="333"/>
        <v>30</v>
      </c>
      <c r="EW438" s="115">
        <f t="shared" si="333"/>
        <v>48</v>
      </c>
      <c r="EX438" s="115">
        <f t="shared" si="333"/>
        <v>29</v>
      </c>
      <c r="EY438" s="115" t="str">
        <f t="shared" si="309"/>
        <v>Постоянный</v>
      </c>
      <c r="EZ438" s="115">
        <f t="shared" si="309"/>
        <v>24</v>
      </c>
      <c r="FA438" s="115">
        <f t="shared" si="309"/>
        <v>0</v>
      </c>
      <c r="FB438" s="149">
        <f t="shared" si="345"/>
        <v>8.3591639999999998</v>
      </c>
      <c r="FC438" s="142">
        <f t="shared" si="345"/>
        <v>10</v>
      </c>
      <c r="FD438" s="119">
        <f t="shared" si="345"/>
        <v>0.01</v>
      </c>
      <c r="FE438" s="121">
        <f t="shared" si="344"/>
        <v>12.2</v>
      </c>
      <c r="FF438" s="121">
        <f t="shared" si="347"/>
        <v>311.03588827782295</v>
      </c>
      <c r="FG438" s="121">
        <f t="shared" si="334"/>
        <v>64</v>
      </c>
      <c r="FH438" s="121">
        <f t="shared" si="348"/>
        <v>9.6</v>
      </c>
      <c r="FI438" s="121">
        <f t="shared" si="306"/>
        <v>84</v>
      </c>
      <c r="FJ438" s="144">
        <f t="shared" si="335"/>
        <v>0.85470085470085444</v>
      </c>
      <c r="FK438" s="132">
        <f t="shared" si="336"/>
        <v>0</v>
      </c>
      <c r="FL438" s="115">
        <f t="shared" si="336"/>
        <v>-1</v>
      </c>
      <c r="FM438" s="115">
        <f t="shared" si="336"/>
        <v>-1</v>
      </c>
      <c r="FN438" s="115">
        <f t="shared" si="336"/>
        <v>-1</v>
      </c>
      <c r="FO438" s="115">
        <f t="shared" si="354"/>
        <v>0</v>
      </c>
      <c r="FP438" s="115">
        <f t="shared" si="354"/>
        <v>0</v>
      </c>
      <c r="FQ438" s="149">
        <f t="shared" si="354"/>
        <v>0</v>
      </c>
      <c r="FR438" s="142">
        <f t="shared" si="354"/>
        <v>0</v>
      </c>
      <c r="FS438" s="119">
        <f t="shared" si="354"/>
        <v>0</v>
      </c>
      <c r="FT438" s="121">
        <f t="shared" si="353"/>
        <v>0</v>
      </c>
      <c r="FU438" s="121">
        <f t="shared" si="337"/>
        <v>0</v>
      </c>
      <c r="FV438" s="121">
        <f t="shared" si="337"/>
        <v>0</v>
      </c>
      <c r="FW438" s="121">
        <f t="shared" si="338"/>
        <v>0</v>
      </c>
      <c r="FX438" s="121">
        <f t="shared" si="339"/>
        <v>11</v>
      </c>
      <c r="FY438" s="144">
        <f t="shared" si="339"/>
        <v>0.41417222033962103</v>
      </c>
      <c r="FZ438" s="1052"/>
      <c r="GA438" s="125"/>
      <c r="GB438" s="1052"/>
      <c r="GC438" s="125"/>
      <c r="GD438" s="997" t="s">
        <v>202</v>
      </c>
      <c r="GE438" s="1004"/>
      <c r="GF438" s="1004">
        <v>0.91950804000000019</v>
      </c>
      <c r="GG438" s="1004"/>
      <c r="GH438" s="1004">
        <v>0</v>
      </c>
      <c r="GI438" s="1052"/>
      <c r="GJ438" s="996">
        <v>0</v>
      </c>
      <c r="GK438" s="1052"/>
      <c r="GL438" s="996">
        <v>-0.50154984000000002</v>
      </c>
      <c r="GM438" s="1005"/>
      <c r="GN438" s="996">
        <v>0.88423720000000028</v>
      </c>
      <c r="GO438" s="1006"/>
      <c r="GP438" s="996">
        <v>0.74733718399999916</v>
      </c>
      <c r="GQ438" s="1006" t="s">
        <v>240</v>
      </c>
      <c r="GR438" s="996">
        <v>-2.1809016239999988</v>
      </c>
      <c r="GS438" s="1006"/>
      <c r="GT438" s="996">
        <v>0.21413303999999833</v>
      </c>
      <c r="GU438" s="1006"/>
      <c r="GV438" s="996">
        <v>0</v>
      </c>
      <c r="GW438" s="1006"/>
      <c r="GX438" s="996">
        <v>0</v>
      </c>
      <c r="GY438" s="1006" t="s">
        <v>199</v>
      </c>
      <c r="GZ438" s="996">
        <v>-2.297859695999998</v>
      </c>
      <c r="HA438" s="1006"/>
      <c r="HB438" s="996">
        <v>0.79797345319999913</v>
      </c>
      <c r="HC438" s="1006"/>
      <c r="HD438" s="996">
        <v>-0.24467855720000031</v>
      </c>
      <c r="HE438" s="1006"/>
      <c r="HF438" s="996">
        <v>-0.70480785759999875</v>
      </c>
      <c r="HG438" s="1006" t="s">
        <v>223</v>
      </c>
      <c r="HH438" s="996">
        <v>-2.6488897424000015</v>
      </c>
      <c r="HI438" s="1006" t="s">
        <v>199</v>
      </c>
      <c r="HJ438" s="996">
        <v>1.7136286200000015</v>
      </c>
      <c r="HK438" s="1006" t="s">
        <v>199</v>
      </c>
      <c r="HL438" s="996">
        <v>-2.3265629200000006</v>
      </c>
      <c r="HM438" s="1006" t="s">
        <v>199</v>
      </c>
      <c r="HN438" s="996">
        <v>-3.5108864999999998</v>
      </c>
      <c r="HO438" s="1006"/>
      <c r="HP438" s="996">
        <v>0</v>
      </c>
      <c r="HQ438" s="1006" t="s">
        <v>199</v>
      </c>
      <c r="HR438" s="996">
        <v>3.9051231999999985</v>
      </c>
      <c r="HS438" s="1006"/>
      <c r="HT438" s="996">
        <v>0</v>
      </c>
      <c r="HU438" s="1006" t="s">
        <v>204</v>
      </c>
      <c r="HV438" s="996">
        <v>-3.0096642048</v>
      </c>
      <c r="HW438" s="1006"/>
      <c r="HX438" s="996">
        <v>0</v>
      </c>
      <c r="HY438" s="1006" t="s">
        <v>221</v>
      </c>
      <c r="HZ438" s="996">
        <v>5.3367747048000016</v>
      </c>
      <c r="IA438" s="1006"/>
      <c r="IB438" s="996">
        <v>-0.10575399999999924</v>
      </c>
      <c r="IC438" s="1006" t="s">
        <v>221</v>
      </c>
      <c r="ID438" s="996">
        <v>6.753103499999999</v>
      </c>
      <c r="IE438" s="1006"/>
      <c r="IF438" s="996">
        <v>0.92411439999999923</v>
      </c>
      <c r="IG438" s="1006" t="s">
        <v>221</v>
      </c>
      <c r="IH438" s="996">
        <v>-13.025214399999999</v>
      </c>
      <c r="II438" s="1006" t="s">
        <v>204</v>
      </c>
      <c r="IJ438" s="996">
        <v>-10.032</v>
      </c>
      <c r="IK438" s="1006" t="s">
        <v>239</v>
      </c>
      <c r="IL438" s="996">
        <v>0</v>
      </c>
      <c r="IM438" s="1006"/>
      <c r="IN438" s="996">
        <v>0</v>
      </c>
      <c r="IO438" s="1006"/>
      <c r="IP438" s="996">
        <v>0</v>
      </c>
      <c r="IQ438" s="1006" t="s">
        <v>203</v>
      </c>
      <c r="IR438" s="996">
        <v>-5.0159999999999982</v>
      </c>
      <c r="IS438" s="1006" t="s">
        <v>203</v>
      </c>
      <c r="IT438" s="996">
        <v>-2.5079999999999991</v>
      </c>
      <c r="IU438" s="1006"/>
      <c r="IV438" s="996">
        <v>0</v>
      </c>
      <c r="IW438" s="1006" t="s">
        <v>199</v>
      </c>
      <c r="IX438" s="996">
        <v>4.2636000000000003</v>
      </c>
      <c r="IY438" s="1006"/>
      <c r="IZ438" s="996">
        <v>0</v>
      </c>
      <c r="JA438" s="1006"/>
      <c r="JB438" s="996">
        <v>0</v>
      </c>
      <c r="JC438" s="1006" t="s">
        <v>25</v>
      </c>
      <c r="JD438" s="996">
        <v>30</v>
      </c>
      <c r="JE438" s="1006"/>
      <c r="JF438" s="996"/>
      <c r="JG438" s="1006"/>
      <c r="JH438" s="996"/>
      <c r="JI438" s="1006"/>
      <c r="JJ438" s="996"/>
      <c r="JK438" s="1007"/>
      <c r="JL438" s="1007"/>
      <c r="JM438" s="1007"/>
      <c r="JN438" s="1007"/>
      <c r="JO438" s="1008"/>
      <c r="JP438" s="1007"/>
      <c r="JQ438" s="1008"/>
      <c r="JR438" s="1007"/>
      <c r="JS438" s="1008"/>
      <c r="JT438" s="1007"/>
      <c r="JU438" s="1008"/>
      <c r="JV438" s="1007"/>
      <c r="JW438" s="1008"/>
      <c r="JX438" s="1007"/>
      <c r="JY438" s="1008"/>
      <c r="JZ438" s="1007"/>
      <c r="KA438" s="1008"/>
      <c r="KB438" s="1007"/>
      <c r="KC438" s="1008"/>
      <c r="KD438" s="1007"/>
      <c r="KE438" s="1008"/>
      <c r="KF438" s="1007"/>
      <c r="KG438" s="1008"/>
      <c r="KH438" s="1007"/>
      <c r="KI438" s="1008"/>
      <c r="KJ438" s="1007"/>
      <c r="KK438" s="1008"/>
      <c r="KL438" s="1007"/>
      <c r="KM438" s="1008"/>
      <c r="KN438" s="1007"/>
      <c r="KO438" s="1008"/>
      <c r="KP438" s="1007"/>
      <c r="KQ438" s="1008"/>
      <c r="KR438" s="1007"/>
      <c r="KS438" s="1008"/>
      <c r="KT438" s="1007"/>
      <c r="KU438" s="1008"/>
      <c r="KV438" s="1007"/>
      <c r="KW438" s="1008"/>
      <c r="KX438" s="1007"/>
      <c r="KY438" s="1008"/>
      <c r="KZ438" s="1007"/>
      <c r="LA438" s="1008"/>
      <c r="LB438" s="1007"/>
      <c r="LC438" s="1008"/>
      <c r="LD438" s="1007"/>
      <c r="LE438" s="1008"/>
      <c r="LF438" s="1007"/>
      <c r="LG438" s="1008"/>
      <c r="LH438" s="1007"/>
      <c r="LI438" s="1008"/>
      <c r="LJ438" s="1007"/>
      <c r="LK438" s="1008"/>
      <c r="LL438" s="1007"/>
      <c r="LM438" s="1008"/>
      <c r="LN438" s="1007"/>
      <c r="LO438" s="1008"/>
      <c r="LP438" s="1007"/>
      <c r="LQ438" s="1008"/>
      <c r="LR438" s="1007"/>
      <c r="LS438" s="1008"/>
      <c r="LT438" s="1007"/>
      <c r="LU438" s="1008"/>
      <c r="LV438" s="1007"/>
      <c r="LW438" s="1008"/>
      <c r="LX438" s="1007"/>
      <c r="LY438" s="1009"/>
      <c r="LZ438" s="1010"/>
      <c r="MA438" s="1011"/>
      <c r="MB438" s="1012"/>
      <c r="MC438" s="995"/>
      <c r="MD438" s="996"/>
      <c r="ME438" s="997" t="s">
        <v>202</v>
      </c>
      <c r="MF438" s="997"/>
      <c r="MG438" s="998"/>
      <c r="NR438" s="1000"/>
      <c r="NS438" s="1000"/>
      <c r="NT438" s="1001"/>
      <c r="NU438" s="1000"/>
      <c r="NV438" s="1001"/>
      <c r="NX438" s="1002"/>
      <c r="NZ438" s="1001"/>
      <c r="OA438" s="1001"/>
      <c r="OC438" s="1003"/>
      <c r="OD438" s="1003"/>
      <c r="OE438" s="1001"/>
      <c r="OF438" s="1003"/>
      <c r="OG438" s="1003"/>
      <c r="QX438" s="1000">
        <f>CN438-CA438</f>
        <v>54</v>
      </c>
      <c r="ASU438" s="999" t="s">
        <v>208</v>
      </c>
    </row>
    <row r="439" spans="1:466 1191:1191" ht="21" customHeight="1" x14ac:dyDescent="0.25">
      <c r="A439" s="982">
        <f t="shared" si="323"/>
        <v>1513</v>
      </c>
      <c r="B439" s="124">
        <f>SUBTOTAL(103,$J$29:J439)</f>
        <v>411</v>
      </c>
      <c r="C439" s="126">
        <v>45068</v>
      </c>
      <c r="D439" s="124" t="s">
        <v>176</v>
      </c>
      <c r="E439" s="127" t="s">
        <v>177</v>
      </c>
      <c r="F439" s="128" t="s">
        <v>177</v>
      </c>
      <c r="G439" s="127" t="s">
        <v>178</v>
      </c>
      <c r="H439" s="127" t="s">
        <v>179</v>
      </c>
      <c r="I439" s="127" t="s">
        <v>1393</v>
      </c>
      <c r="J439" s="152">
        <v>1513</v>
      </c>
      <c r="K439" s="127" t="s">
        <v>1393</v>
      </c>
      <c r="L439" s="130">
        <v>43726</v>
      </c>
      <c r="M439" s="127" t="s">
        <v>230</v>
      </c>
      <c r="N439" s="127" t="s">
        <v>184</v>
      </c>
      <c r="O439" s="127" t="s">
        <v>185</v>
      </c>
      <c r="P439" s="127" t="s">
        <v>186</v>
      </c>
      <c r="Q439" s="85" t="str">
        <f t="shared" si="319"/>
        <v/>
      </c>
      <c r="R439" s="130"/>
      <c r="S439" s="128"/>
      <c r="T439" s="131"/>
      <c r="U439" s="132">
        <v>203</v>
      </c>
      <c r="V439" s="121">
        <v>218.2</v>
      </c>
      <c r="W439" s="116">
        <v>0.98</v>
      </c>
      <c r="X439" s="116">
        <v>1.66</v>
      </c>
      <c r="Y439" s="116">
        <f t="shared" si="346"/>
        <v>0.98140707761730661</v>
      </c>
      <c r="Z439" s="133">
        <v>1.454</v>
      </c>
      <c r="AA439" s="133">
        <v>0.83599999999999997</v>
      </c>
      <c r="AB439" s="133">
        <v>0.72</v>
      </c>
      <c r="AC439" s="121">
        <v>34.299999999999997</v>
      </c>
      <c r="AD439" s="134">
        <v>1.17</v>
      </c>
      <c r="AE439" s="124">
        <v>177.8</v>
      </c>
      <c r="AF439" s="128">
        <v>9.19</v>
      </c>
      <c r="AG439" s="128">
        <v>2389</v>
      </c>
      <c r="AH439" s="127">
        <v>3130</v>
      </c>
      <c r="AI439" s="127">
        <v>3104</v>
      </c>
      <c r="AJ439" s="135"/>
      <c r="AK439" s="128"/>
      <c r="AL439" s="131"/>
      <c r="AM439" s="124" t="s">
        <v>187</v>
      </c>
      <c r="AN439" s="136" t="s">
        <v>1657</v>
      </c>
      <c r="AO439" s="137">
        <v>44</v>
      </c>
      <c r="AP439" s="128">
        <v>2431.85</v>
      </c>
      <c r="AQ439" s="128">
        <v>552</v>
      </c>
      <c r="AR439" s="128" t="s">
        <v>1658</v>
      </c>
      <c r="AS439" s="128">
        <v>114</v>
      </c>
      <c r="AT439" s="122">
        <v>7.37</v>
      </c>
      <c r="AU439" s="124" t="s">
        <v>883</v>
      </c>
      <c r="AV439" s="115">
        <f>VLOOKUP(J439,'[63]ТР нефть'!$J$28:$BP$638,39,0)</f>
        <v>300</v>
      </c>
      <c r="AW439" s="115" t="str">
        <f>VLOOKUP(J439,'[63]ТР нефть'!$J$28:$BP$638,40,0)</f>
        <v>ГП</v>
      </c>
      <c r="AX439" s="115" t="str">
        <f>VLOOKUP(J439,'[63]ТР нефть'!$J$28:$BP$638,41,0)</f>
        <v>-</v>
      </c>
      <c r="AY439" s="115" t="str">
        <f>VLOOKUP(J439,'[63]ТР нефть'!$J$28:$BP$638,42,0)</f>
        <v>-</v>
      </c>
      <c r="AZ439" s="115" t="str">
        <f>VLOOKUP(J439,'[63]ТР нефть'!$J$28:$BP$638,43,0)</f>
        <v>-</v>
      </c>
      <c r="BA439" s="115" t="str">
        <f>VLOOKUP(J439,'[63]ТР нефть'!$J$28:$BP$638,44,0)</f>
        <v>-</v>
      </c>
      <c r="BB439" s="115" t="str">
        <f>VLOOKUP(J439,'[63]ТР нефть'!$J$28:$BP$638,45,0)</f>
        <v>-</v>
      </c>
      <c r="BC439" s="115" t="str">
        <f>VLOOKUP(J439,'[63]ТР нефть'!$J$28:$BP$638,46,0)</f>
        <v>-</v>
      </c>
      <c r="BD439" s="115" t="str">
        <f>VLOOKUP(J439,'[63]ТР нефть'!$J$28:$BP$638,47,0)</f>
        <v>-</v>
      </c>
      <c r="BE439" s="115" t="str">
        <f>VLOOKUP(J439,'[63]ТР нефть'!$J$28:$BP$638,48,0)</f>
        <v>-</v>
      </c>
      <c r="BF439" s="115" t="str">
        <f>VLOOKUP(J439,'[63]ТР нефть'!$J$28:$BP$638,49,0)</f>
        <v>-</v>
      </c>
      <c r="BG439" s="115" t="str">
        <f>VLOOKUP(J439,'[63]ТР нефть'!$J$28:$BP$638,50,0)</f>
        <v>-</v>
      </c>
      <c r="BH439" s="115">
        <f>VLOOKUP(J439,'[63]ТР нефть'!$J$28:$BP$638,51,0)</f>
        <v>1900</v>
      </c>
      <c r="BI439" s="115" t="str">
        <f>VLOOKUP(J439,'[63]ТР нефть'!$J$28:$BP$638,52,0)</f>
        <v>закрыт</v>
      </c>
      <c r="BJ439" s="115" t="str">
        <f>IF(IFERROR(VLOOKUP(J439,'[63]ТР нефть'!$J$28:$BP$638,53,0),"-")=0,"-",IFERROR(VLOOKUP(J439,'[63]ТР нефть'!$J$28:$BP$638,53,0),"-"))</f>
        <v>-</v>
      </c>
      <c r="BK439" s="138" t="str">
        <f>IF(IFERROR(VLOOKUP(J439,'[63]ТР нефть'!$J$28:$BP$638,54,0),"-")=0,"-",IFERROR(VLOOKUP(J439,'[63]ТР нефть'!$J$28:$BP$638,54,0),"-"))</f>
        <v>D460N</v>
      </c>
      <c r="BL439" s="138" t="str">
        <f>IF(IFERROR(VLOOKUP(J439,'[63]ТР нефть'!$J$28:$BP$638,55,0),"-")=0,"-",IFERROR(VLOOKUP(J439,'[63]ТР нефть'!$J$28:$BP$638,55,0),"-"))</f>
        <v>-</v>
      </c>
      <c r="BM439" s="138">
        <f>IF(IFERROR(VLOOKUP(J439,'[63]ТР нефть'!$J$28:$BP$638,56,0),"-")=0,"-",IFERROR(VLOOKUP(J439,'[63]ТР нефть'!$J$28:$BP$638,56,0),"-"))</f>
        <v>1848</v>
      </c>
      <c r="BN439" s="138">
        <f>IF(IFERROR(VLOOKUP(J439,'[63]ТР нефть'!$J$28:$BP$638,57,0),"-")=0,"-",IFERROR(VLOOKUP(J439,'[63]ТР нефть'!$J$28:$BP$638,57,0),"-"))</f>
        <v>52</v>
      </c>
      <c r="BO439" s="115">
        <f>IF(IFERROR(VLOOKUP(J439,'[63]ТР нефть'!$J$28:$BP$638,58,0),"-")=0,"-",IFERROR(VLOOKUP(J439,'[63]ТР нефть'!$J$28:$BP$638,58,0),"-"))</f>
        <v>63</v>
      </c>
      <c r="BP439" s="115" t="str">
        <f>IF(IFERROR(VLOOKUP(J439,'[63]ТР нефть'!$J$28:$BP$638,59,0),"-")=0,"-",IFERROR(VLOOKUP(J439,'[63]ТР нефть'!$J$28:$BP$638,59,0),"-"))</f>
        <v>-</v>
      </c>
      <c r="BQ439" s="138">
        <v>2000</v>
      </c>
      <c r="BR439" s="128">
        <v>1689</v>
      </c>
      <c r="BS439" s="115">
        <f t="shared" si="351"/>
        <v>311</v>
      </c>
      <c r="BT439" s="128">
        <v>73</v>
      </c>
      <c r="BU439" s="128">
        <v>5.5</v>
      </c>
      <c r="BV439" s="127">
        <v>65</v>
      </c>
      <c r="BW439" s="127" t="s">
        <v>217</v>
      </c>
      <c r="BX439" s="127" t="s">
        <v>218</v>
      </c>
      <c r="BY439" s="139">
        <v>7</v>
      </c>
      <c r="BZ439" s="139">
        <v>17</v>
      </c>
      <c r="CA439" s="138">
        <v>29</v>
      </c>
      <c r="CB439" s="138">
        <v>29</v>
      </c>
      <c r="CC439" s="138">
        <v>29</v>
      </c>
      <c r="CD439" s="135">
        <v>45017</v>
      </c>
      <c r="CE439" s="138">
        <v>126</v>
      </c>
      <c r="CF439" s="138"/>
      <c r="CG439" s="138" t="str">
        <f t="shared" si="352"/>
        <v/>
      </c>
      <c r="CH439" s="138" t="s">
        <v>197</v>
      </c>
      <c r="CI439" s="127"/>
      <c r="CJ439" s="138">
        <f>IF((BR439-(100*(CM439-CB439))/(9.8*(AB439+AA439)/2))&gt;0,BR439-(100*(CM439-CB439))/(9.8*(AB439+AA439)/2),0)</f>
        <v>1479.1474214364409</v>
      </c>
      <c r="CK439" s="138">
        <f t="shared" si="308"/>
        <v>29.509604956374993</v>
      </c>
      <c r="CL439" s="99"/>
      <c r="CM439" s="138">
        <v>45</v>
      </c>
      <c r="CN439" s="154">
        <f>IF(CM439=0,0,(((AP439-AQ439-BR439)*((AD439*(CQ439/100))+(AB439*((100-CQ439)/100)))*9.81/100+CM439)))</f>
        <v>58.509604956374993</v>
      </c>
      <c r="CO439" s="141">
        <f t="shared" si="324"/>
        <v>5.3316736000000002</v>
      </c>
      <c r="CP439" s="142">
        <v>6.4</v>
      </c>
      <c r="CQ439" s="143">
        <v>0.35</v>
      </c>
      <c r="CR439" s="115">
        <v>1.9339999999999999</v>
      </c>
      <c r="CS439" s="139"/>
      <c r="CT439" s="138"/>
      <c r="CU439" s="138">
        <f t="shared" si="320"/>
        <v>1.9339999999999999</v>
      </c>
      <c r="CV439" s="115">
        <f t="shared" si="321"/>
        <v>362.73788402950998</v>
      </c>
      <c r="CW439" s="115" t="str">
        <f t="shared" si="325"/>
        <v/>
      </c>
      <c r="CX439" s="133">
        <f t="shared" si="322"/>
        <v>9.4828308470607039E-2</v>
      </c>
      <c r="CY439" s="116"/>
      <c r="CZ439" s="131"/>
      <c r="DA439" s="145" t="str">
        <f t="shared" si="326"/>
        <v>ЭЦН</v>
      </c>
      <c r="DB439" s="146">
        <f t="shared" si="341"/>
        <v>5.3316736000000002</v>
      </c>
      <c r="DC439" s="142">
        <f t="shared" si="342"/>
        <v>6.4</v>
      </c>
      <c r="DD439" s="119">
        <f t="shared" si="350"/>
        <v>0.35</v>
      </c>
      <c r="DE439" s="115">
        <f t="shared" si="343"/>
        <v>1.9339999999999999</v>
      </c>
      <c r="DF439" s="121">
        <f t="shared" si="328"/>
        <v>0</v>
      </c>
      <c r="DG439" s="115">
        <f t="shared" si="329"/>
        <v>362.73788402950998</v>
      </c>
      <c r="DH439" s="115">
        <f t="shared" si="330"/>
        <v>58.509604956374993</v>
      </c>
      <c r="DI439" s="147"/>
      <c r="DJ439" s="111">
        <v>43914</v>
      </c>
      <c r="DK439" s="112">
        <v>44102</v>
      </c>
      <c r="DL439" s="113">
        <f t="shared" ca="1" si="312"/>
        <v>1002</v>
      </c>
      <c r="DM439" s="114">
        <v>17.100000000000001</v>
      </c>
      <c r="DN439" s="114">
        <v>43</v>
      </c>
      <c r="DO439" s="114">
        <v>43</v>
      </c>
      <c r="DP439" s="114"/>
      <c r="DQ439" s="112"/>
      <c r="DR439" s="114"/>
      <c r="DS439" s="114"/>
      <c r="DT439" s="115">
        <v>59.797742461524997</v>
      </c>
      <c r="DU439" s="116">
        <f t="shared" si="313"/>
        <v>9.6673440422790552E-2</v>
      </c>
      <c r="DV439" s="117">
        <f t="shared" si="314"/>
        <v>5.3316736000000002</v>
      </c>
      <c r="DW439" s="118">
        <f t="shared" si="315"/>
        <v>6.4</v>
      </c>
      <c r="DX439" s="119">
        <f t="shared" si="331"/>
        <v>0.35</v>
      </c>
      <c r="DY439" s="115">
        <f t="shared" si="316"/>
        <v>1.9339999999999999</v>
      </c>
      <c r="DZ439" s="117">
        <f t="shared" si="349"/>
        <v>0</v>
      </c>
      <c r="EA439" s="120">
        <f t="shared" si="349"/>
        <v>0</v>
      </c>
      <c r="EB439" s="119">
        <f t="shared" si="349"/>
        <v>0</v>
      </c>
      <c r="EC439" s="121">
        <f t="shared" si="318"/>
        <v>0</v>
      </c>
      <c r="ED439" s="122"/>
      <c r="EE439" s="145">
        <v>65</v>
      </c>
      <c r="EF439" s="115">
        <v>30</v>
      </c>
      <c r="EG439" s="115">
        <v>29</v>
      </c>
      <c r="EH439" s="115">
        <v>29</v>
      </c>
      <c r="EI439" s="128" t="s">
        <v>218</v>
      </c>
      <c r="EJ439" s="121">
        <v>8</v>
      </c>
      <c r="EK439" s="121">
        <v>16</v>
      </c>
      <c r="EL439" s="149">
        <v>5.3316736000000002</v>
      </c>
      <c r="EM439" s="142">
        <v>6.4</v>
      </c>
      <c r="EN439" s="119">
        <v>0.35</v>
      </c>
      <c r="EO439" s="115">
        <v>1.9339999999999999</v>
      </c>
      <c r="EP439" s="115">
        <v>362.73788402950998</v>
      </c>
      <c r="EQ439" s="115">
        <v>0</v>
      </c>
      <c r="ER439" s="115">
        <v>0</v>
      </c>
      <c r="ES439" s="115">
        <v>58.509604956374993</v>
      </c>
      <c r="ET439" s="150">
        <v>9.4828308470607039E-2</v>
      </c>
      <c r="EU439" s="145">
        <f t="shared" si="332"/>
        <v>65</v>
      </c>
      <c r="EV439" s="115">
        <f t="shared" si="333"/>
        <v>29</v>
      </c>
      <c r="EW439" s="115">
        <f t="shared" si="333"/>
        <v>29</v>
      </c>
      <c r="EX439" s="115">
        <f t="shared" si="333"/>
        <v>29</v>
      </c>
      <c r="EY439" s="115" t="str">
        <f t="shared" si="309"/>
        <v>Периодический</v>
      </c>
      <c r="EZ439" s="115">
        <f t="shared" si="309"/>
        <v>7</v>
      </c>
      <c r="FA439" s="115">
        <f t="shared" si="309"/>
        <v>17</v>
      </c>
      <c r="FB439" s="149">
        <f t="shared" si="345"/>
        <v>5.3316736000000002</v>
      </c>
      <c r="FC439" s="142">
        <f t="shared" si="345"/>
        <v>6.4</v>
      </c>
      <c r="FD439" s="119">
        <f t="shared" si="345"/>
        <v>0.35</v>
      </c>
      <c r="FE439" s="121">
        <f t="shared" si="344"/>
        <v>1.9339999999999999</v>
      </c>
      <c r="FF439" s="121">
        <f t="shared" si="347"/>
        <v>362.73788402950998</v>
      </c>
      <c r="FG439" s="121">
        <f t="shared" si="334"/>
        <v>0</v>
      </c>
      <c r="FH439" s="121">
        <f t="shared" si="348"/>
        <v>0</v>
      </c>
      <c r="FI439" s="121">
        <f t="shared" si="306"/>
        <v>58.509604956374993</v>
      </c>
      <c r="FJ439" s="144">
        <f t="shared" si="335"/>
        <v>9.4828308470607039E-2</v>
      </c>
      <c r="FK439" s="132">
        <f t="shared" si="336"/>
        <v>0</v>
      </c>
      <c r="FL439" s="115">
        <f t="shared" si="336"/>
        <v>-1</v>
      </c>
      <c r="FM439" s="115">
        <f t="shared" si="336"/>
        <v>0</v>
      </c>
      <c r="FN439" s="115">
        <f t="shared" si="336"/>
        <v>0</v>
      </c>
      <c r="FO439" s="115">
        <f t="shared" si="354"/>
        <v>-1</v>
      </c>
      <c r="FP439" s="115">
        <f t="shared" si="354"/>
        <v>1</v>
      </c>
      <c r="FQ439" s="149">
        <f t="shared" si="354"/>
        <v>0</v>
      </c>
      <c r="FR439" s="117">
        <f t="shared" si="354"/>
        <v>0</v>
      </c>
      <c r="FS439" s="119">
        <f t="shared" si="354"/>
        <v>0</v>
      </c>
      <c r="FT439" s="121">
        <f t="shared" si="353"/>
        <v>0</v>
      </c>
      <c r="FU439" s="121">
        <f t="shared" si="337"/>
        <v>0</v>
      </c>
      <c r="FV439" s="121">
        <f t="shared" si="337"/>
        <v>0</v>
      </c>
      <c r="FW439" s="121">
        <f t="shared" si="338"/>
        <v>0</v>
      </c>
      <c r="FX439" s="121">
        <f t="shared" si="339"/>
        <v>0</v>
      </c>
      <c r="FY439" s="144">
        <f t="shared" si="339"/>
        <v>0</v>
      </c>
      <c r="FZ439" s="145"/>
      <c r="GA439" s="125"/>
      <c r="GB439" s="145" t="s">
        <v>199</v>
      </c>
      <c r="GC439" s="125" t="s">
        <v>415</v>
      </c>
      <c r="GD439" s="997" t="s">
        <v>202</v>
      </c>
      <c r="GE439" s="1004" t="s">
        <v>199</v>
      </c>
      <c r="GF439" s="1004">
        <v>-1.8913663999999999</v>
      </c>
      <c r="GG439" s="1004"/>
      <c r="GH439" s="1004">
        <v>0.80256000000000061</v>
      </c>
      <c r="GI439" s="145"/>
      <c r="GJ439" s="996">
        <v>-0.49650040000000129</v>
      </c>
      <c r="GK439" s="145"/>
      <c r="GL439" s="996">
        <v>-0.12451383999999965</v>
      </c>
      <c r="GM439" s="1005"/>
      <c r="GN439" s="996">
        <v>-0.98744976000000051</v>
      </c>
      <c r="GO439" s="1006"/>
      <c r="GP439" s="996">
        <v>0</v>
      </c>
      <c r="GQ439" s="1006"/>
      <c r="GR439" s="996">
        <v>0</v>
      </c>
      <c r="GS439" s="1006" t="s">
        <v>199</v>
      </c>
      <c r="GT439" s="996">
        <v>1.1398600840000004</v>
      </c>
      <c r="GU439" s="1006"/>
      <c r="GV439" s="996">
        <v>0</v>
      </c>
      <c r="GW439" s="1006"/>
      <c r="GX439" s="996">
        <v>0</v>
      </c>
      <c r="GY439" s="1006"/>
      <c r="GZ439" s="996">
        <v>0</v>
      </c>
      <c r="HA439" s="1006"/>
      <c r="HB439" s="996">
        <v>-0.21691608399999929</v>
      </c>
      <c r="HC439" s="1006" t="s">
        <v>199</v>
      </c>
      <c r="HD439" s="996">
        <v>-0.91959999999999908</v>
      </c>
      <c r="HE439" s="1006" t="s">
        <v>199</v>
      </c>
      <c r="HF439" s="996">
        <v>1.8556190399999997</v>
      </c>
      <c r="HG439" s="1006"/>
      <c r="HH439" s="996">
        <v>9.6135819999999761E-2</v>
      </c>
      <c r="HI439" s="1006"/>
      <c r="HJ439" s="996">
        <v>0</v>
      </c>
      <c r="HK439" s="1006" t="s">
        <v>223</v>
      </c>
      <c r="HL439" s="996">
        <v>-2.6199947399999992</v>
      </c>
      <c r="HM439" s="1006" t="s">
        <v>199</v>
      </c>
      <c r="HN439" s="996">
        <v>-0.89616012000000111</v>
      </c>
      <c r="HO439" s="1006" t="s">
        <v>199</v>
      </c>
      <c r="HP439" s="996">
        <v>1.8945432000000011</v>
      </c>
      <c r="HQ439" s="1006"/>
      <c r="HR439" s="996">
        <v>-0.1867222720000008</v>
      </c>
      <c r="HS439" s="1006"/>
      <c r="HT439" s="996">
        <v>-0.37789122800000108</v>
      </c>
      <c r="HU439" s="1006"/>
      <c r="HV439" s="996">
        <v>0.15158017600000129</v>
      </c>
      <c r="HW439" s="1006"/>
      <c r="HX439" s="996">
        <v>-0.85111571600000069</v>
      </c>
      <c r="HY439" s="1006"/>
      <c r="HZ439" s="996">
        <v>-0.58299630399999991</v>
      </c>
      <c r="IA439" s="1006" t="s">
        <v>199</v>
      </c>
      <c r="IB439" s="996">
        <v>-1.7095790359999992</v>
      </c>
      <c r="IC439" s="1006"/>
      <c r="ID439" s="996">
        <v>-0.87464410000000115</v>
      </c>
      <c r="IE439" s="1006"/>
      <c r="IF439" s="996">
        <v>-0.9181955199999976</v>
      </c>
      <c r="IG439" s="1006"/>
      <c r="IH439" s="996">
        <v>-0.71394400000000324</v>
      </c>
      <c r="II439" s="1006"/>
      <c r="IJ439" s="996">
        <v>0</v>
      </c>
      <c r="IK439" s="1006" t="s">
        <v>199</v>
      </c>
      <c r="IL439" s="996">
        <v>-12.630889919999996</v>
      </c>
      <c r="IM439" s="1006"/>
      <c r="IN439" s="996">
        <v>0</v>
      </c>
      <c r="IO439" s="1006" t="s">
        <v>239</v>
      </c>
      <c r="IP439" s="996">
        <v>-1.6697260800000002</v>
      </c>
      <c r="IQ439" s="1006"/>
      <c r="IR439" s="996">
        <v>0</v>
      </c>
      <c r="IS439" s="1006"/>
      <c r="IT439" s="996">
        <v>0</v>
      </c>
      <c r="IU439" s="1006"/>
      <c r="IV439" s="996">
        <v>0</v>
      </c>
      <c r="IW439" s="1006"/>
      <c r="IX439" s="996">
        <v>0</v>
      </c>
      <c r="IY439" s="1006"/>
      <c r="IZ439" s="996">
        <v>0</v>
      </c>
      <c r="JA439" s="1006"/>
      <c r="JB439" s="996">
        <v>0</v>
      </c>
      <c r="JC439" s="1006"/>
      <c r="JD439" s="996">
        <v>0</v>
      </c>
      <c r="JE439" s="1006" t="s">
        <v>199</v>
      </c>
      <c r="JF439" s="996">
        <v>-2.3224079999999958</v>
      </c>
      <c r="JG439" s="1006"/>
      <c r="JH439" s="996">
        <v>0</v>
      </c>
      <c r="JI439" s="1006" t="s">
        <v>239</v>
      </c>
      <c r="JJ439" s="996">
        <v>8.045663999999995</v>
      </c>
      <c r="JK439" s="1007" t="s">
        <v>239</v>
      </c>
      <c r="JL439" s="1007">
        <v>-10.037016000000001</v>
      </c>
      <c r="JM439" s="1007" t="s">
        <v>203</v>
      </c>
      <c r="JN439" s="1007">
        <v>-7.1330328960000031</v>
      </c>
      <c r="JO439" s="1008" t="s">
        <v>25</v>
      </c>
      <c r="JP439" s="1007">
        <v>40.740232896000002</v>
      </c>
      <c r="JQ439" s="1008">
        <v>0</v>
      </c>
      <c r="JR439" s="1007">
        <v>0</v>
      </c>
      <c r="JS439" s="1008"/>
      <c r="JT439" s="1007"/>
      <c r="JU439" s="1008"/>
      <c r="JV439" s="1007"/>
      <c r="JW439" s="1008"/>
      <c r="JX439" s="1007"/>
      <c r="JY439" s="1008"/>
      <c r="JZ439" s="1007"/>
      <c r="KA439" s="1008"/>
      <c r="KB439" s="1007"/>
      <c r="KC439" s="1008"/>
      <c r="KD439" s="1007"/>
      <c r="KE439" s="1008"/>
      <c r="KF439" s="1007"/>
      <c r="KG439" s="1008"/>
      <c r="KH439" s="1007"/>
      <c r="KI439" s="1008"/>
      <c r="KJ439" s="1007"/>
      <c r="KK439" s="1008"/>
      <c r="KL439" s="1007"/>
      <c r="KM439" s="1008"/>
      <c r="KN439" s="1007"/>
      <c r="KO439" s="1008"/>
      <c r="KP439" s="1007"/>
      <c r="KQ439" s="1008"/>
      <c r="KR439" s="1007"/>
      <c r="KS439" s="1008"/>
      <c r="KT439" s="1007"/>
      <c r="KU439" s="1008"/>
      <c r="KV439" s="1007"/>
      <c r="KW439" s="1008"/>
      <c r="KX439" s="1007"/>
      <c r="KY439" s="1008"/>
      <c r="KZ439" s="1007"/>
      <c r="LA439" s="1008"/>
      <c r="LB439" s="1007"/>
      <c r="LC439" s="1008"/>
      <c r="LD439" s="1007"/>
      <c r="LE439" s="1008"/>
      <c r="LF439" s="1007"/>
      <c r="LG439" s="1008"/>
      <c r="LH439" s="1007"/>
      <c r="LI439" s="1008"/>
      <c r="LJ439" s="1007"/>
      <c r="LK439" s="1008"/>
      <c r="LL439" s="1007"/>
      <c r="LM439" s="1008"/>
      <c r="LN439" s="1007"/>
      <c r="LO439" s="1008"/>
      <c r="LP439" s="1007"/>
      <c r="LQ439" s="1008"/>
      <c r="LR439" s="1007"/>
      <c r="LS439" s="1008"/>
      <c r="LT439" s="1007"/>
      <c r="LU439" s="1008"/>
      <c r="LV439" s="1007"/>
      <c r="LW439" s="1008"/>
      <c r="LX439" s="1007"/>
      <c r="LY439" s="1009"/>
      <c r="LZ439" s="1010"/>
      <c r="MA439" s="1011"/>
      <c r="MB439" s="1012"/>
      <c r="MC439" s="995"/>
      <c r="MD439" s="996"/>
      <c r="ME439" s="997" t="s">
        <v>202</v>
      </c>
      <c r="MF439" s="997"/>
      <c r="MG439" s="998"/>
      <c r="NR439" s="1000"/>
      <c r="NS439" s="1000"/>
      <c r="NT439" s="1001"/>
      <c r="NU439" s="1000"/>
      <c r="NV439" s="1001"/>
      <c r="NX439" s="1002"/>
      <c r="NZ439" s="1001"/>
      <c r="OA439" s="1001"/>
      <c r="OC439" s="1003"/>
      <c r="OD439" s="1003"/>
      <c r="OE439" s="1001"/>
      <c r="OF439" s="1003"/>
      <c r="OG439" s="1003"/>
      <c r="QX439" s="1000">
        <f>CN439-CA439</f>
        <v>29.509604956374993</v>
      </c>
      <c r="ASU439" s="999" t="s">
        <v>225</v>
      </c>
    </row>
    <row r="440" spans="1:466 1191:1191" ht="21" customHeight="1" x14ac:dyDescent="0.25">
      <c r="A440" s="982">
        <f t="shared" si="323"/>
        <v>1514</v>
      </c>
      <c r="B440" s="124">
        <f>SUBTOTAL(103,$J$29:J440)</f>
        <v>412</v>
      </c>
      <c r="C440" s="126">
        <v>45068</v>
      </c>
      <c r="D440" s="124" t="s">
        <v>176</v>
      </c>
      <c r="E440" s="127" t="s">
        <v>177</v>
      </c>
      <c r="F440" s="128" t="s">
        <v>177</v>
      </c>
      <c r="G440" s="127" t="s">
        <v>178</v>
      </c>
      <c r="H440" s="127" t="s">
        <v>179</v>
      </c>
      <c r="I440" s="127" t="s">
        <v>1393</v>
      </c>
      <c r="J440" s="152">
        <v>1514</v>
      </c>
      <c r="K440" s="127" t="s">
        <v>1393</v>
      </c>
      <c r="L440" s="130">
        <v>43708</v>
      </c>
      <c r="M440" s="127" t="s">
        <v>230</v>
      </c>
      <c r="N440" s="127" t="s">
        <v>184</v>
      </c>
      <c r="O440" s="127" t="s">
        <v>185</v>
      </c>
      <c r="P440" s="127" t="s">
        <v>186</v>
      </c>
      <c r="Q440" s="85" t="str">
        <f t="shared" si="319"/>
        <v/>
      </c>
      <c r="R440" s="130"/>
      <c r="S440" s="128"/>
      <c r="T440" s="131"/>
      <c r="U440" s="132">
        <v>203</v>
      </c>
      <c r="V440" s="121">
        <v>218.2</v>
      </c>
      <c r="W440" s="116">
        <v>0.98</v>
      </c>
      <c r="X440" s="116">
        <v>1.66</v>
      </c>
      <c r="Y440" s="116">
        <f t="shared" si="346"/>
        <v>0.99632533072023521</v>
      </c>
      <c r="Z440" s="133">
        <v>1.454</v>
      </c>
      <c r="AA440" s="133">
        <v>0.83599999999999997</v>
      </c>
      <c r="AB440" s="133">
        <v>0.72</v>
      </c>
      <c r="AC440" s="121">
        <v>34.299999999999997</v>
      </c>
      <c r="AD440" s="134">
        <v>1.17</v>
      </c>
      <c r="AE440" s="124">
        <v>177.8</v>
      </c>
      <c r="AF440" s="128">
        <v>9.19</v>
      </c>
      <c r="AG440" s="128">
        <v>2195</v>
      </c>
      <c r="AH440" s="127">
        <v>3050</v>
      </c>
      <c r="AI440" s="127">
        <v>3050</v>
      </c>
      <c r="AJ440" s="135"/>
      <c r="AK440" s="128"/>
      <c r="AL440" s="131"/>
      <c r="AM440" s="124" t="s">
        <v>985</v>
      </c>
      <c r="AN440" s="136" t="s">
        <v>1659</v>
      </c>
      <c r="AO440" s="137">
        <v>9</v>
      </c>
      <c r="AP440" s="128">
        <v>2195</v>
      </c>
      <c r="AQ440" s="128">
        <v>424</v>
      </c>
      <c r="AR440" s="128" t="s">
        <v>1660</v>
      </c>
      <c r="AS440" s="128">
        <v>114</v>
      </c>
      <c r="AT440" s="122">
        <v>7.37</v>
      </c>
      <c r="AU440" s="124" t="s">
        <v>189</v>
      </c>
      <c r="AV440" s="115">
        <f>VLOOKUP(J440,'[63]ТР нефть'!$J$28:$BP$638,39,0)</f>
        <v>529.99998427699995</v>
      </c>
      <c r="AW440" s="115" t="str">
        <f>VLOOKUP(J440,'[63]ТР нефть'!$J$28:$BP$638,40,0)</f>
        <v>ГП</v>
      </c>
      <c r="AX440" s="115">
        <f>VLOOKUP(J440,'[63]ТР нефть'!$J$28:$BP$638,41,0)</f>
        <v>980.00001445299995</v>
      </c>
      <c r="AY440" s="115" t="str">
        <f>VLOOKUP(J440,'[63]ТР нефть'!$J$28:$BP$638,42,0)</f>
        <v>ГП</v>
      </c>
      <c r="AZ440" s="115">
        <f>VLOOKUP(J440,'[63]ТР нефть'!$J$28:$BP$638,43,0)</f>
        <v>1319.9999496089999</v>
      </c>
      <c r="BA440" s="115" t="str">
        <f>VLOOKUP(J440,'[63]ТР нефть'!$J$28:$BP$638,44,0)</f>
        <v>ГК76 5/32</v>
      </c>
      <c r="BB440" s="115">
        <f>VLOOKUP(J440,'[63]ТР нефть'!$J$28:$BP$638,45,0)</f>
        <v>1540.000065234</v>
      </c>
      <c r="BC440" s="115" t="str">
        <f>VLOOKUP(J440,'[63]ТР нефть'!$J$28:$BP$638,46,0)</f>
        <v>ГК76 5/32</v>
      </c>
      <c r="BD440" s="115">
        <f>VLOOKUP(J440,'[63]ТР нефть'!$J$28:$BP$638,47,0)</f>
        <v>1710.000032813</v>
      </c>
      <c r="BE440" s="115" t="str">
        <f>VLOOKUP(J440,'[63]ТР нефть'!$J$28:$BP$638,48,0)</f>
        <v>ГК70 5/32</v>
      </c>
      <c r="BF440" s="115">
        <f>VLOOKUP(J440,'[63]ТР нефть'!$J$28:$BP$638,49,0)</f>
        <v>1960</v>
      </c>
      <c r="BG440" s="115" t="str">
        <f>VLOOKUP(J440,'[63]ТР нефть'!$J$28:$BP$638,50,0)</f>
        <v>ЦКсОК 5/16</v>
      </c>
      <c r="BH440" s="115" t="str">
        <f>VLOOKUP(J440,'[63]ТР нефть'!$J$28:$BP$638,51,0)</f>
        <v>-</v>
      </c>
      <c r="BI440" s="115" t="str">
        <f>VLOOKUP(J440,'[63]ТР нефть'!$J$28:$BP$638,52,0)</f>
        <v>-</v>
      </c>
      <c r="BJ440" s="115" t="str">
        <f>IF(IFERROR(VLOOKUP(J440,'[63]ТР нефть'!$J$28:$BP$638,53,0),"-")=0,"-",IFERROR(VLOOKUP(J440,'[63]ТР нефть'!$J$28:$BP$638,53,0),"-"))</f>
        <v>-</v>
      </c>
      <c r="BK440" s="138" t="str">
        <f>IF(IFERROR(VLOOKUP(J440,'[63]ТР нефть'!$J$28:$BP$638,54,0),"-")=0,"-",IFERROR(VLOOKUP(J440,'[63]ТР нефть'!$J$28:$BP$638,54,0),"-"))</f>
        <v>-</v>
      </c>
      <c r="BL440" s="138" t="str">
        <f>IF(IFERROR(VLOOKUP(J440,'[63]ТР нефть'!$J$28:$BP$638,55,0),"-")=0,"-",IFERROR(VLOOKUP(J440,'[63]ТР нефть'!$J$28:$BP$638,55,0),"-"))</f>
        <v>-</v>
      </c>
      <c r="BM440" s="138" t="str">
        <f>IF(IFERROR(VLOOKUP(J440,'[63]ТР нефть'!$J$28:$BP$638,56,0),"-")=0,"-",IFERROR(VLOOKUP(J440,'[63]ТР нефть'!$J$28:$BP$638,56,0),"-"))</f>
        <v>-</v>
      </c>
      <c r="BN440" s="138" t="str">
        <f>IF(IFERROR(VLOOKUP(J440,'[63]ТР нефть'!$J$28:$BP$638,57,0),"-")=0,"-",IFERROR(VLOOKUP(J440,'[63]ТР нефть'!$J$28:$BP$638,57,0),"-"))</f>
        <v>-</v>
      </c>
      <c r="BO440" s="115" t="str">
        <f>IF(IFERROR(VLOOKUP(J440,'[63]ТР нефть'!$J$28:$BP$638,58,0),"-")=0,"-",IFERROR(VLOOKUP(J440,'[63]ТР нефть'!$J$28:$BP$638,58,0),"-"))</f>
        <v>-</v>
      </c>
      <c r="BP440" s="115" t="str">
        <f>IF(IFERROR(VLOOKUP(J440,'[63]ТР нефть'!$J$28:$BP$638,59,0),"-")=0,"-",IFERROR(VLOOKUP(J440,'[63]ТР нефть'!$J$28:$BP$638,59,0),"-"))</f>
        <v>-</v>
      </c>
      <c r="BQ440" s="138">
        <v>2137</v>
      </c>
      <c r="BR440" s="128">
        <v>1901</v>
      </c>
      <c r="BS440" s="115">
        <f t="shared" si="351"/>
        <v>236</v>
      </c>
      <c r="BT440" s="128">
        <v>73</v>
      </c>
      <c r="BU440" s="128">
        <v>5.5</v>
      </c>
      <c r="BV440" s="127">
        <v>65</v>
      </c>
      <c r="BW440" s="127" t="s">
        <v>217</v>
      </c>
      <c r="BX440" s="127" t="s">
        <v>195</v>
      </c>
      <c r="BY440" s="139">
        <v>24</v>
      </c>
      <c r="BZ440" s="139">
        <v>0</v>
      </c>
      <c r="CA440" s="138">
        <v>31</v>
      </c>
      <c r="CB440" s="138">
        <v>52</v>
      </c>
      <c r="CC440" s="138">
        <v>30</v>
      </c>
      <c r="CD440" s="135">
        <v>45017</v>
      </c>
      <c r="CE440" s="138">
        <v>126</v>
      </c>
      <c r="CF440" s="138">
        <v>64</v>
      </c>
      <c r="CG440" s="138" t="str">
        <f t="shared" si="352"/>
        <v>В работе</v>
      </c>
      <c r="CH440" s="138" t="s">
        <v>272</v>
      </c>
      <c r="CI440" s="127"/>
      <c r="CJ440" s="138"/>
      <c r="CK440" s="138">
        <f t="shared" si="308"/>
        <v>34</v>
      </c>
      <c r="CL440" s="99"/>
      <c r="CM440" s="99"/>
      <c r="CN440" s="140">
        <v>65</v>
      </c>
      <c r="CO440" s="141">
        <f t="shared" si="324"/>
        <v>16.853760000000001</v>
      </c>
      <c r="CP440" s="142">
        <v>21</v>
      </c>
      <c r="CQ440" s="143">
        <v>4</v>
      </c>
      <c r="CR440" s="138">
        <v>16</v>
      </c>
      <c r="CS440" s="139">
        <v>9.6</v>
      </c>
      <c r="CT440" s="138"/>
      <c r="CU440" s="138">
        <f t="shared" si="320"/>
        <v>6.4</v>
      </c>
      <c r="CV440" s="115">
        <f t="shared" si="321"/>
        <v>379.73722184248498</v>
      </c>
      <c r="CW440" s="115">
        <f t="shared" si="325"/>
        <v>538.52471155270143</v>
      </c>
      <c r="CX440" s="133">
        <f t="shared" si="322"/>
        <v>0.34426229508196721</v>
      </c>
      <c r="CY440" s="116"/>
      <c r="CZ440" s="131"/>
      <c r="DA440" s="145" t="str">
        <f t="shared" si="326"/>
        <v>Газлифт</v>
      </c>
      <c r="DB440" s="146">
        <f t="shared" si="341"/>
        <v>16.853760000000001</v>
      </c>
      <c r="DC440" s="142">
        <f t="shared" si="342"/>
        <v>21</v>
      </c>
      <c r="DD440" s="119">
        <f t="shared" si="350"/>
        <v>4</v>
      </c>
      <c r="DE440" s="115">
        <f t="shared" si="343"/>
        <v>6.4</v>
      </c>
      <c r="DF440" s="121">
        <f t="shared" si="328"/>
        <v>9.6</v>
      </c>
      <c r="DG440" s="115">
        <f t="shared" si="329"/>
        <v>379.73722184248498</v>
      </c>
      <c r="DH440" s="115">
        <f t="shared" si="330"/>
        <v>65</v>
      </c>
      <c r="DI440" s="147"/>
      <c r="DJ440" s="111" t="s">
        <v>197</v>
      </c>
      <c r="DK440" s="112">
        <v>43708</v>
      </c>
      <c r="DL440" s="113">
        <f t="shared" ca="1" si="312"/>
        <v>1396</v>
      </c>
      <c r="DM440" s="114"/>
      <c r="DN440" s="114"/>
      <c r="DO440" s="114"/>
      <c r="DP440" s="114"/>
      <c r="DQ440" s="112">
        <v>43708</v>
      </c>
      <c r="DR440" s="114" t="s">
        <v>324</v>
      </c>
      <c r="DS440" s="114"/>
      <c r="DT440" s="115">
        <v>60</v>
      </c>
      <c r="DU440" s="116">
        <f t="shared" si="313"/>
        <v>0.33652606373181077</v>
      </c>
      <c r="DV440" s="117">
        <f t="shared" si="314"/>
        <v>17.825435608767734</v>
      </c>
      <c r="DW440" s="118">
        <f t="shared" si="315"/>
        <v>22.210720206299509</v>
      </c>
      <c r="DX440" s="119">
        <f t="shared" si="331"/>
        <v>4</v>
      </c>
      <c r="DY440" s="115">
        <f t="shared" si="316"/>
        <v>6.7689813962055645</v>
      </c>
      <c r="DZ440" s="117">
        <f t="shared" si="349"/>
        <v>0.97167560876773251</v>
      </c>
      <c r="EA440" s="120">
        <f t="shared" si="349"/>
        <v>1.2107202062995093</v>
      </c>
      <c r="EB440" s="119">
        <f t="shared" si="349"/>
        <v>0</v>
      </c>
      <c r="EC440" s="121">
        <f t="shared" si="318"/>
        <v>0.36898139620556414</v>
      </c>
      <c r="ED440" s="122" t="s">
        <v>1354</v>
      </c>
      <c r="EE440" s="145">
        <v>65</v>
      </c>
      <c r="EF440" s="115">
        <v>31</v>
      </c>
      <c r="EG440" s="115">
        <v>52</v>
      </c>
      <c r="EH440" s="115">
        <v>30</v>
      </c>
      <c r="EI440" s="128" t="s">
        <v>195</v>
      </c>
      <c r="EJ440" s="121">
        <v>24</v>
      </c>
      <c r="EK440" s="121">
        <v>0</v>
      </c>
      <c r="EL440" s="149">
        <v>16.853760000000001</v>
      </c>
      <c r="EM440" s="142">
        <v>21</v>
      </c>
      <c r="EN440" s="119">
        <v>4</v>
      </c>
      <c r="EO440" s="115">
        <v>16</v>
      </c>
      <c r="EP440" s="115">
        <v>379.73722184248498</v>
      </c>
      <c r="EQ440" s="115">
        <v>64</v>
      </c>
      <c r="ER440" s="115">
        <v>9.6</v>
      </c>
      <c r="ES440" s="115">
        <v>65</v>
      </c>
      <c r="ET440" s="150">
        <v>0.34426229508196721</v>
      </c>
      <c r="EU440" s="145">
        <f t="shared" si="332"/>
        <v>65</v>
      </c>
      <c r="EV440" s="115">
        <f t="shared" si="333"/>
        <v>31</v>
      </c>
      <c r="EW440" s="115">
        <f t="shared" si="333"/>
        <v>52</v>
      </c>
      <c r="EX440" s="115">
        <f t="shared" si="333"/>
        <v>30</v>
      </c>
      <c r="EY440" s="115" t="str">
        <f t="shared" si="309"/>
        <v>Постоянный</v>
      </c>
      <c r="EZ440" s="115">
        <f t="shared" si="309"/>
        <v>24</v>
      </c>
      <c r="FA440" s="115">
        <f t="shared" si="309"/>
        <v>0</v>
      </c>
      <c r="FB440" s="149">
        <f t="shared" si="345"/>
        <v>16.853760000000001</v>
      </c>
      <c r="FC440" s="142">
        <f t="shared" si="345"/>
        <v>21</v>
      </c>
      <c r="FD440" s="119">
        <f t="shared" si="345"/>
        <v>4</v>
      </c>
      <c r="FE440" s="121">
        <f t="shared" si="344"/>
        <v>16</v>
      </c>
      <c r="FF440" s="121">
        <f t="shared" si="347"/>
        <v>379.73722184248498</v>
      </c>
      <c r="FG440" s="121">
        <f t="shared" si="334"/>
        <v>64</v>
      </c>
      <c r="FH440" s="121">
        <f t="shared" si="348"/>
        <v>9.6</v>
      </c>
      <c r="FI440" s="121">
        <f t="shared" si="306"/>
        <v>65</v>
      </c>
      <c r="FJ440" s="144">
        <f t="shared" si="335"/>
        <v>0.34426229508196721</v>
      </c>
      <c r="FK440" s="132">
        <f t="shared" si="336"/>
        <v>0</v>
      </c>
      <c r="FL440" s="115">
        <f t="shared" si="336"/>
        <v>0</v>
      </c>
      <c r="FM440" s="115">
        <f t="shared" si="336"/>
        <v>0</v>
      </c>
      <c r="FN440" s="115">
        <f t="shared" si="336"/>
        <v>0</v>
      </c>
      <c r="FO440" s="115">
        <f t="shared" si="354"/>
        <v>0</v>
      </c>
      <c r="FP440" s="115">
        <f t="shared" si="354"/>
        <v>0</v>
      </c>
      <c r="FQ440" s="149">
        <f t="shared" si="354"/>
        <v>0</v>
      </c>
      <c r="FR440" s="142">
        <f t="shared" si="354"/>
        <v>0</v>
      </c>
      <c r="FS440" s="119">
        <f t="shared" si="354"/>
        <v>0</v>
      </c>
      <c r="FT440" s="121">
        <f t="shared" si="353"/>
        <v>0</v>
      </c>
      <c r="FU440" s="121">
        <f t="shared" si="337"/>
        <v>0</v>
      </c>
      <c r="FV440" s="121">
        <f t="shared" si="337"/>
        <v>0</v>
      </c>
      <c r="FW440" s="121">
        <f t="shared" si="338"/>
        <v>0</v>
      </c>
      <c r="FX440" s="121">
        <f t="shared" si="339"/>
        <v>0</v>
      </c>
      <c r="FY440" s="144">
        <f t="shared" si="339"/>
        <v>0</v>
      </c>
      <c r="FZ440" s="145"/>
      <c r="GA440" s="151"/>
      <c r="GB440" s="145"/>
      <c r="GC440" s="151"/>
      <c r="GD440" s="997" t="s">
        <v>202</v>
      </c>
      <c r="GE440" s="1004"/>
      <c r="GF440" s="1004">
        <v>0</v>
      </c>
      <c r="GG440" s="1004"/>
      <c r="GH440" s="1004">
        <v>0</v>
      </c>
      <c r="GI440" s="145"/>
      <c r="GJ440" s="996">
        <v>-0.80255999999999617</v>
      </c>
      <c r="GK440" s="145"/>
      <c r="GL440" s="996">
        <v>0</v>
      </c>
      <c r="GM440" s="1005" t="s">
        <v>221</v>
      </c>
      <c r="GN440" s="996">
        <v>-1.6051199999999994</v>
      </c>
      <c r="GO440" s="1006" t="s">
        <v>199</v>
      </c>
      <c r="GP440" s="996">
        <v>4.4702291039999977</v>
      </c>
      <c r="GQ440" s="1006" t="s">
        <v>241</v>
      </c>
      <c r="GR440" s="996">
        <v>-3.6802091039999993</v>
      </c>
      <c r="GS440" s="1006" t="s">
        <v>199</v>
      </c>
      <c r="GT440" s="996">
        <v>4.4015400000000007</v>
      </c>
      <c r="GU440" s="1006"/>
      <c r="GV440" s="996">
        <v>0</v>
      </c>
      <c r="GW440" s="1006"/>
      <c r="GX440" s="996">
        <v>0</v>
      </c>
      <c r="GY440" s="1006" t="s">
        <v>199</v>
      </c>
      <c r="GZ440" s="996">
        <v>-2.2690143520000028</v>
      </c>
      <c r="HA440" s="1006"/>
      <c r="HB440" s="996">
        <v>-0.23201842399999606</v>
      </c>
      <c r="HC440" s="1006" t="s">
        <v>199</v>
      </c>
      <c r="HD440" s="996">
        <v>-1.1145618880000008</v>
      </c>
      <c r="HE440" s="1006"/>
      <c r="HF440" s="996">
        <v>-1.6390616000002467E-2</v>
      </c>
      <c r="HG440" s="1006" t="s">
        <v>199</v>
      </c>
      <c r="HH440" s="996">
        <v>1.8893432800000003</v>
      </c>
      <c r="HI440" s="1006"/>
      <c r="HJ440" s="996">
        <v>0</v>
      </c>
      <c r="HK440" s="1006" t="s">
        <v>199</v>
      </c>
      <c r="HL440" s="996">
        <v>-18.931091674000001</v>
      </c>
      <c r="HM440" s="1006"/>
      <c r="HN440" s="996">
        <v>0</v>
      </c>
      <c r="HO440" s="1006"/>
      <c r="HP440" s="996">
        <v>0</v>
      </c>
      <c r="HQ440" s="1006" t="s">
        <v>199</v>
      </c>
      <c r="HR440" s="996">
        <v>5.4928962000000023</v>
      </c>
      <c r="HS440" s="1006" t="s">
        <v>199</v>
      </c>
      <c r="HT440" s="996">
        <v>-5.9887177680000026</v>
      </c>
      <c r="HU440" s="1006"/>
      <c r="HV440" s="996">
        <v>-0.79164351200000027</v>
      </c>
      <c r="HW440" s="1006"/>
      <c r="HX440" s="996">
        <v>0</v>
      </c>
      <c r="HY440" s="1006"/>
      <c r="HZ440" s="996">
        <v>-0.94619817599999934</v>
      </c>
      <c r="IA440" s="1006"/>
      <c r="IB440" s="996">
        <v>7.7991275999998777E-2</v>
      </c>
      <c r="IC440" s="1006"/>
      <c r="ID440" s="996">
        <v>-0.48607129999999898</v>
      </c>
      <c r="IE440" s="1006" t="s">
        <v>204</v>
      </c>
      <c r="IF440" s="996">
        <v>-1.8129663199999975</v>
      </c>
      <c r="IG440" s="1006"/>
      <c r="IH440" s="996">
        <v>-0.73166720000000041</v>
      </c>
      <c r="II440" s="1006" t="s">
        <v>223</v>
      </c>
      <c r="IJ440" s="996">
        <v>-4.9397568000000049</v>
      </c>
      <c r="IK440" s="1006" t="s">
        <v>199</v>
      </c>
      <c r="IL440" s="996">
        <v>-5.2480735999999979</v>
      </c>
      <c r="IM440" s="1006"/>
      <c r="IN440" s="996">
        <v>0</v>
      </c>
      <c r="IO440" s="1006"/>
      <c r="IP440" s="996">
        <v>0</v>
      </c>
      <c r="IQ440" s="1006" t="s">
        <v>223</v>
      </c>
      <c r="IR440" s="996">
        <v>-2.4243999999999986</v>
      </c>
      <c r="IS440" s="1006"/>
      <c r="IT440" s="996">
        <v>0</v>
      </c>
      <c r="IU440" s="1006"/>
      <c r="IV440" s="996">
        <v>0</v>
      </c>
      <c r="IW440" s="1006"/>
      <c r="IX440" s="996">
        <v>0</v>
      </c>
      <c r="IY440" s="1006"/>
      <c r="IZ440" s="996">
        <v>0</v>
      </c>
      <c r="JA440" s="1006"/>
      <c r="JB440" s="996">
        <v>0</v>
      </c>
      <c r="JC440" s="1006"/>
      <c r="JD440" s="996">
        <v>0</v>
      </c>
      <c r="JE440" s="1006"/>
      <c r="JF440" s="996">
        <v>0</v>
      </c>
      <c r="JG440" s="1006"/>
      <c r="JH440" s="996">
        <v>0</v>
      </c>
      <c r="JI440" s="1006"/>
      <c r="JJ440" s="996">
        <v>0</v>
      </c>
      <c r="JK440" s="1007" t="s">
        <v>203</v>
      </c>
      <c r="JL440" s="1007">
        <v>-3.2603999999999971</v>
      </c>
      <c r="JM440" s="1007" t="s">
        <v>199</v>
      </c>
      <c r="JN440" s="1007">
        <v>-7.2732000000000028</v>
      </c>
      <c r="JO440" s="1008"/>
      <c r="JP440" s="1007">
        <v>49.491199999999999</v>
      </c>
      <c r="JQ440" s="1008">
        <v>0</v>
      </c>
      <c r="JR440" s="1007">
        <v>0</v>
      </c>
      <c r="JS440" s="1008"/>
      <c r="JT440" s="1007"/>
      <c r="JU440" s="1008"/>
      <c r="JV440" s="1007"/>
      <c r="JW440" s="1008"/>
      <c r="JX440" s="1007"/>
      <c r="JY440" s="1008"/>
      <c r="JZ440" s="1007"/>
      <c r="KA440" s="1008"/>
      <c r="KB440" s="1007"/>
      <c r="KC440" s="1008"/>
      <c r="KD440" s="1007"/>
      <c r="KE440" s="1008"/>
      <c r="KF440" s="1007"/>
      <c r="KG440" s="1008"/>
      <c r="KH440" s="1007"/>
      <c r="KI440" s="1008"/>
      <c r="KJ440" s="1007"/>
      <c r="KK440" s="1008"/>
      <c r="KL440" s="1007"/>
      <c r="KM440" s="1008"/>
      <c r="KN440" s="1007"/>
      <c r="KO440" s="1008"/>
      <c r="KP440" s="1007"/>
      <c r="KQ440" s="1008"/>
      <c r="KR440" s="1007"/>
      <c r="KS440" s="1008"/>
      <c r="KT440" s="1007"/>
      <c r="KU440" s="1008"/>
      <c r="KV440" s="1007"/>
      <c r="KW440" s="1008"/>
      <c r="KX440" s="1007"/>
      <c r="KY440" s="1008"/>
      <c r="KZ440" s="1007"/>
      <c r="LA440" s="1008"/>
      <c r="LB440" s="1007"/>
      <c r="LC440" s="1008"/>
      <c r="LD440" s="1007"/>
      <c r="LE440" s="1008"/>
      <c r="LF440" s="1007"/>
      <c r="LG440" s="1008"/>
      <c r="LH440" s="1007"/>
      <c r="LI440" s="1008"/>
      <c r="LJ440" s="1007"/>
      <c r="LK440" s="1008"/>
      <c r="LL440" s="1007"/>
      <c r="LM440" s="1008"/>
      <c r="LN440" s="1007"/>
      <c r="LO440" s="1008"/>
      <c r="LP440" s="1007"/>
      <c r="LQ440" s="1008"/>
      <c r="LR440" s="1007"/>
      <c r="LS440" s="1008"/>
      <c r="LT440" s="1007"/>
      <c r="LU440" s="1008"/>
      <c r="LV440" s="1007"/>
      <c r="LW440" s="1008"/>
      <c r="LX440" s="1007"/>
      <c r="LY440" s="1009"/>
      <c r="LZ440" s="1010"/>
      <c r="MA440" s="1011"/>
      <c r="MB440" s="1012"/>
      <c r="MC440" s="995"/>
      <c r="MD440" s="996"/>
      <c r="ME440" s="997" t="s">
        <v>202</v>
      </c>
      <c r="MF440" s="997"/>
      <c r="MG440" s="998"/>
      <c r="NR440" s="1000"/>
      <c r="NS440" s="1000"/>
      <c r="NT440" s="1001"/>
      <c r="NU440" s="1000"/>
      <c r="NV440" s="1001"/>
      <c r="NX440" s="1002"/>
      <c r="NZ440" s="1001"/>
      <c r="OA440" s="1001"/>
      <c r="OC440" s="1003"/>
      <c r="OD440" s="1003"/>
      <c r="OE440" s="1001"/>
      <c r="OF440" s="1003"/>
      <c r="OG440" s="1003"/>
      <c r="QX440" s="1000">
        <f>CN440-CA440</f>
        <v>34</v>
      </c>
      <c r="ASU440" s="999" t="s">
        <v>208</v>
      </c>
    </row>
    <row r="441" spans="1:466 1191:1191" ht="21" customHeight="1" x14ac:dyDescent="0.25">
      <c r="A441" s="982">
        <f t="shared" si="323"/>
        <v>1515</v>
      </c>
      <c r="B441" s="124">
        <f>SUBTOTAL(103,$J$29:J441)</f>
        <v>413</v>
      </c>
      <c r="C441" s="126">
        <v>45068</v>
      </c>
      <c r="D441" s="124" t="s">
        <v>176</v>
      </c>
      <c r="E441" s="127" t="s">
        <v>177</v>
      </c>
      <c r="F441" s="128" t="s">
        <v>177</v>
      </c>
      <c r="G441" s="127" t="s">
        <v>178</v>
      </c>
      <c r="H441" s="127" t="s">
        <v>179</v>
      </c>
      <c r="I441" s="127" t="s">
        <v>1393</v>
      </c>
      <c r="J441" s="152">
        <v>1515</v>
      </c>
      <c r="K441" s="127" t="s">
        <v>1393</v>
      </c>
      <c r="L441" s="130">
        <v>43785</v>
      </c>
      <c r="M441" s="127" t="s">
        <v>230</v>
      </c>
      <c r="N441" s="127" t="s">
        <v>184</v>
      </c>
      <c r="O441" s="127" t="s">
        <v>185</v>
      </c>
      <c r="P441" s="127" t="s">
        <v>186</v>
      </c>
      <c r="Q441" s="85">
        <f t="shared" si="319"/>
        <v>-4</v>
      </c>
      <c r="R441" s="130">
        <v>43745</v>
      </c>
      <c r="S441" s="128" t="s">
        <v>747</v>
      </c>
      <c r="T441" s="131" t="s">
        <v>1661</v>
      </c>
      <c r="U441" s="132">
        <v>203</v>
      </c>
      <c r="V441" s="121">
        <v>218.2</v>
      </c>
      <c r="W441" s="116">
        <v>0.98</v>
      </c>
      <c r="X441" s="116">
        <v>1.66</v>
      </c>
      <c r="Y441" s="116">
        <f t="shared" si="346"/>
        <v>0.98</v>
      </c>
      <c r="Z441" s="133">
        <v>1.454</v>
      </c>
      <c r="AA441" s="133">
        <v>0.83599999999999997</v>
      </c>
      <c r="AB441" s="133">
        <v>0.72</v>
      </c>
      <c r="AC441" s="121">
        <v>34.299999999999997</v>
      </c>
      <c r="AD441" s="134">
        <v>1.17</v>
      </c>
      <c r="AE441" s="124">
        <v>177.8</v>
      </c>
      <c r="AF441" s="128">
        <v>9.19</v>
      </c>
      <c r="AG441" s="128">
        <v>2166.59</v>
      </c>
      <c r="AH441" s="127">
        <v>3009.6</v>
      </c>
      <c r="AI441" s="127">
        <v>3009.6</v>
      </c>
      <c r="AJ441" s="135"/>
      <c r="AK441" s="128"/>
      <c r="AL441" s="131"/>
      <c r="AM441" s="124" t="s">
        <v>187</v>
      </c>
      <c r="AN441" s="136" t="s">
        <v>1662</v>
      </c>
      <c r="AO441" s="137">
        <v>3.87</v>
      </c>
      <c r="AP441" s="128">
        <v>2222.04</v>
      </c>
      <c r="AQ441" s="128">
        <v>346.99</v>
      </c>
      <c r="AR441" s="128">
        <v>2111</v>
      </c>
      <c r="AS441" s="128">
        <v>3010</v>
      </c>
      <c r="AT441" s="122">
        <v>7.3</v>
      </c>
      <c r="AU441" s="124" t="s">
        <v>883</v>
      </c>
      <c r="AV441" s="115">
        <f>VLOOKUP(J441,'[63]ТР нефть'!$J$28:$BP$638,39,0)</f>
        <v>300</v>
      </c>
      <c r="AW441" s="115" t="str">
        <f>VLOOKUP(J441,'[63]ТР нефть'!$J$28:$BP$638,40,0)</f>
        <v>ГП</v>
      </c>
      <c r="AX441" s="115" t="str">
        <f>VLOOKUP(J441,'[63]ТР нефть'!$J$28:$BP$638,41,0)</f>
        <v>-</v>
      </c>
      <c r="AY441" s="115" t="str">
        <f>VLOOKUP(J441,'[63]ТР нефть'!$J$28:$BP$638,42,0)</f>
        <v>-</v>
      </c>
      <c r="AZ441" s="115" t="str">
        <f>VLOOKUP(J441,'[63]ТР нефть'!$J$28:$BP$638,43,0)</f>
        <v>-</v>
      </c>
      <c r="BA441" s="115" t="str">
        <f>VLOOKUP(J441,'[63]ТР нефть'!$J$28:$BP$638,44,0)</f>
        <v>-</v>
      </c>
      <c r="BB441" s="115" t="str">
        <f>VLOOKUP(J441,'[63]ТР нефть'!$J$28:$BP$638,45,0)</f>
        <v>-</v>
      </c>
      <c r="BC441" s="115" t="str">
        <f>VLOOKUP(J441,'[63]ТР нефть'!$J$28:$BP$638,46,0)</f>
        <v>-</v>
      </c>
      <c r="BD441" s="115" t="str">
        <f>VLOOKUP(J441,'[63]ТР нефть'!$J$28:$BP$638,47,0)</f>
        <v>-</v>
      </c>
      <c r="BE441" s="115" t="str">
        <f>VLOOKUP(J441,'[63]ТР нефть'!$J$28:$BP$638,48,0)</f>
        <v>-</v>
      </c>
      <c r="BF441" s="115" t="str">
        <f>VLOOKUP(J441,'[63]ТР нефть'!$J$28:$BP$638,49,0)</f>
        <v>-</v>
      </c>
      <c r="BG441" s="115" t="str">
        <f>VLOOKUP(J441,'[63]ТР нефть'!$J$28:$BP$638,50,0)</f>
        <v>-</v>
      </c>
      <c r="BH441" s="115">
        <f>VLOOKUP(J441,'[63]ТР нефть'!$J$28:$BP$638,51,0)</f>
        <v>1835</v>
      </c>
      <c r="BI441" s="115" t="str">
        <f>VLOOKUP(J441,'[63]ТР нефть'!$J$28:$BP$638,52,0)</f>
        <v>закрыт</v>
      </c>
      <c r="BJ441" s="115" t="str">
        <f>IF(IFERROR(VLOOKUP(J441,'[63]ТР нефть'!$J$28:$BP$638,53,0),"-")=0,"-",IFERROR(VLOOKUP(J441,'[63]ТР нефть'!$J$28:$BP$638,53,0),"-"))</f>
        <v>-</v>
      </c>
      <c r="BK441" s="138" t="str">
        <f>IF(IFERROR(VLOOKUP(J441,'[63]ТР нефть'!$J$28:$BP$638,54,0),"-")=0,"-",IFERROR(VLOOKUP(J441,'[63]ТР нефть'!$J$28:$BP$638,54,0),"-"))</f>
        <v>D460N</v>
      </c>
      <c r="BL441" s="138" t="str">
        <f>IF(IFERROR(VLOOKUP(J441,'[63]ТР нефть'!$J$28:$BP$638,55,0),"-")=0,"-",IFERROR(VLOOKUP(J441,'[63]ТР нефть'!$J$28:$BP$638,55,0),"-"))</f>
        <v>-</v>
      </c>
      <c r="BM441" s="138">
        <f>IF(IFERROR(VLOOKUP(J441,'[63]ТР нефть'!$J$28:$BP$638,56,0),"-")=0,"-",IFERROR(VLOOKUP(J441,'[63]ТР нефть'!$J$28:$BP$638,56,0),"-"))</f>
        <v>1321</v>
      </c>
      <c r="BN441" s="138">
        <f>IF(IFERROR(VLOOKUP(J441,'[63]ТР нефть'!$J$28:$BP$638,57,0),"-")=0,"-",IFERROR(VLOOKUP(J441,'[63]ТР нефть'!$J$28:$BP$638,57,0),"-"))</f>
        <v>46</v>
      </c>
      <c r="BO441" s="115">
        <f>IF(IFERROR(VLOOKUP(J441,'[63]ТР нефть'!$J$28:$BP$638,58,0),"-")=0,"-",IFERROR(VLOOKUP(J441,'[63]ТР нефть'!$J$28:$BP$638,58,0),"-"))</f>
        <v>56</v>
      </c>
      <c r="BP441" s="115" t="str">
        <f>IF(IFERROR(VLOOKUP(J441,'[63]ТР нефть'!$J$28:$BP$638,59,0),"-")=0,"-",IFERROR(VLOOKUP(J441,'[63]ТР нефть'!$J$28:$BP$638,59,0),"-"))</f>
        <v>-</v>
      </c>
      <c r="BQ441" s="138">
        <v>1878</v>
      </c>
      <c r="BR441" s="128">
        <v>1740.1279999999999</v>
      </c>
      <c r="BS441" s="115">
        <f t="shared" si="351"/>
        <v>137.87200000000007</v>
      </c>
      <c r="BT441" s="128">
        <v>88.9</v>
      </c>
      <c r="BU441" s="128">
        <v>7.34</v>
      </c>
      <c r="BV441" s="127">
        <v>65</v>
      </c>
      <c r="BW441" s="127" t="s">
        <v>217</v>
      </c>
      <c r="BX441" s="127" t="s">
        <v>218</v>
      </c>
      <c r="BY441" s="139">
        <v>15</v>
      </c>
      <c r="BZ441" s="139">
        <v>9</v>
      </c>
      <c r="CA441" s="138">
        <v>30</v>
      </c>
      <c r="CB441" s="138">
        <v>29</v>
      </c>
      <c r="CC441" s="138">
        <v>29</v>
      </c>
      <c r="CD441" s="135">
        <v>45017</v>
      </c>
      <c r="CE441" s="138">
        <v>114</v>
      </c>
      <c r="CF441" s="138"/>
      <c r="CG441" s="138" t="str">
        <f t="shared" si="352"/>
        <v/>
      </c>
      <c r="CH441" s="138" t="s">
        <v>197</v>
      </c>
      <c r="CI441" s="127"/>
      <c r="CJ441" s="138">
        <f>IF((BR441-(100*(CM441-CB441))/(9.8*(AB441+AA441)/2))&gt;0,BR441-(100*(CM441-CB441))/(9.8*(AB441+AA441)/2),0)</f>
        <v>1517.1596352762185</v>
      </c>
      <c r="CK441" s="138">
        <f t="shared" si="308"/>
        <v>25.529810703999999</v>
      </c>
      <c r="CL441" s="99"/>
      <c r="CM441" s="127">
        <v>46</v>
      </c>
      <c r="CN441" s="154">
        <f>IF(CM441=0,0,(((AP441-AQ441-BR441)*((AD441*(CQ441/100))+(AB441*((100-CQ441)/100)))*9.81/100+CM441)))</f>
        <v>55.529810703999999</v>
      </c>
      <c r="CO441" s="141">
        <f t="shared" si="324"/>
        <v>20.827268</v>
      </c>
      <c r="CP441" s="142">
        <v>24.913</v>
      </c>
      <c r="CQ441" s="143">
        <v>0</v>
      </c>
      <c r="CR441" s="138">
        <v>8.4</v>
      </c>
      <c r="CS441" s="139"/>
      <c r="CT441" s="138"/>
      <c r="CU441" s="138">
        <f t="shared" si="320"/>
        <v>8.4</v>
      </c>
      <c r="CV441" s="115">
        <f t="shared" si="321"/>
        <v>403.3174202204533</v>
      </c>
      <c r="CW441" s="115" t="str">
        <f t="shared" si="325"/>
        <v/>
      </c>
      <c r="CX441" s="133">
        <f t="shared" si="322"/>
        <v>0.42608037189481651</v>
      </c>
      <c r="CY441" s="116"/>
      <c r="CZ441" s="131"/>
      <c r="DA441" s="145" t="str">
        <f t="shared" si="326"/>
        <v>ЭЦН</v>
      </c>
      <c r="DB441" s="146">
        <f t="shared" si="341"/>
        <v>20.827268</v>
      </c>
      <c r="DC441" s="142">
        <f t="shared" si="342"/>
        <v>24.913</v>
      </c>
      <c r="DD441" s="119">
        <f t="shared" si="350"/>
        <v>0</v>
      </c>
      <c r="DE441" s="115">
        <f t="shared" si="343"/>
        <v>8.4</v>
      </c>
      <c r="DF441" s="121">
        <f t="shared" si="328"/>
        <v>0</v>
      </c>
      <c r="DG441" s="115">
        <f t="shared" si="329"/>
        <v>403.3174202204533</v>
      </c>
      <c r="DH441" s="115">
        <f t="shared" si="330"/>
        <v>55.529810703999999</v>
      </c>
      <c r="DI441" s="147"/>
      <c r="DJ441" s="111">
        <v>44188</v>
      </c>
      <c r="DK441" s="112">
        <v>44202</v>
      </c>
      <c r="DL441" s="113">
        <f t="shared" ca="1" si="312"/>
        <v>902</v>
      </c>
      <c r="DM441" s="114">
        <v>19.100000000000001</v>
      </c>
      <c r="DN441" s="114">
        <v>64</v>
      </c>
      <c r="DO441" s="114" t="s">
        <v>192</v>
      </c>
      <c r="DP441" s="114"/>
      <c r="DQ441" s="112"/>
      <c r="DR441" s="114"/>
      <c r="DS441" s="114"/>
      <c r="DT441" s="115">
        <v>58.531001930338</v>
      </c>
      <c r="DU441" s="116">
        <f t="shared" si="313"/>
        <v>0.44913376601308796</v>
      </c>
      <c r="DV441" s="117">
        <f t="shared" si="314"/>
        <v>20.827268</v>
      </c>
      <c r="DW441" s="118">
        <f t="shared" si="315"/>
        <v>24.913</v>
      </c>
      <c r="DX441" s="119">
        <f t="shared" si="331"/>
        <v>0</v>
      </c>
      <c r="DY441" s="115">
        <f t="shared" si="316"/>
        <v>8.4</v>
      </c>
      <c r="DZ441" s="117">
        <f t="shared" si="349"/>
        <v>0</v>
      </c>
      <c r="EA441" s="120">
        <f t="shared" si="349"/>
        <v>0</v>
      </c>
      <c r="EB441" s="119">
        <f t="shared" si="349"/>
        <v>0</v>
      </c>
      <c r="EC441" s="121">
        <f t="shared" si="318"/>
        <v>0</v>
      </c>
      <c r="ED441" s="122"/>
      <c r="EE441" s="145">
        <v>65</v>
      </c>
      <c r="EF441" s="115">
        <v>32</v>
      </c>
      <c r="EG441" s="115">
        <v>31</v>
      </c>
      <c r="EH441" s="115">
        <v>31</v>
      </c>
      <c r="EI441" s="128" t="s">
        <v>218</v>
      </c>
      <c r="EJ441" s="121">
        <v>15</v>
      </c>
      <c r="EK441" s="121">
        <v>9</v>
      </c>
      <c r="EL441" s="149">
        <v>20.827268</v>
      </c>
      <c r="EM441" s="142">
        <v>24.913</v>
      </c>
      <c r="EN441" s="119">
        <v>0</v>
      </c>
      <c r="EO441" s="115">
        <v>8.4</v>
      </c>
      <c r="EP441" s="115">
        <v>403.3174202204533</v>
      </c>
      <c r="EQ441" s="115">
        <v>0</v>
      </c>
      <c r="ER441" s="115">
        <v>0</v>
      </c>
      <c r="ES441" s="115">
        <v>55.529810703999999</v>
      </c>
      <c r="ET441" s="150">
        <v>0.42608037189481651</v>
      </c>
      <c r="EU441" s="145">
        <f t="shared" si="332"/>
        <v>65</v>
      </c>
      <c r="EV441" s="115">
        <f t="shared" si="333"/>
        <v>30</v>
      </c>
      <c r="EW441" s="115">
        <f t="shared" si="333"/>
        <v>29</v>
      </c>
      <c r="EX441" s="115">
        <f t="shared" si="333"/>
        <v>29</v>
      </c>
      <c r="EY441" s="115" t="str">
        <f t="shared" si="309"/>
        <v>Периодический</v>
      </c>
      <c r="EZ441" s="115">
        <f t="shared" si="309"/>
        <v>15</v>
      </c>
      <c r="FA441" s="115">
        <f t="shared" si="309"/>
        <v>9</v>
      </c>
      <c r="FB441" s="149">
        <f t="shared" si="345"/>
        <v>20.827268</v>
      </c>
      <c r="FC441" s="142">
        <f t="shared" si="345"/>
        <v>24.913</v>
      </c>
      <c r="FD441" s="119">
        <f t="shared" si="345"/>
        <v>0</v>
      </c>
      <c r="FE441" s="121">
        <f t="shared" si="344"/>
        <v>8.4</v>
      </c>
      <c r="FF441" s="121">
        <f t="shared" si="347"/>
        <v>403.3174202204533</v>
      </c>
      <c r="FG441" s="121">
        <f t="shared" si="334"/>
        <v>0</v>
      </c>
      <c r="FH441" s="121">
        <f t="shared" si="348"/>
        <v>0</v>
      </c>
      <c r="FI441" s="121">
        <f t="shared" si="306"/>
        <v>55.529810703999999</v>
      </c>
      <c r="FJ441" s="144">
        <f t="shared" si="335"/>
        <v>0.42608037189481651</v>
      </c>
      <c r="FK441" s="132">
        <f t="shared" si="336"/>
        <v>0</v>
      </c>
      <c r="FL441" s="115">
        <f t="shared" si="336"/>
        <v>-2</v>
      </c>
      <c r="FM441" s="115">
        <f t="shared" si="336"/>
        <v>-2</v>
      </c>
      <c r="FN441" s="115">
        <f t="shared" si="336"/>
        <v>-2</v>
      </c>
      <c r="FO441" s="115">
        <f t="shared" si="354"/>
        <v>0</v>
      </c>
      <c r="FP441" s="115">
        <f t="shared" si="354"/>
        <v>0</v>
      </c>
      <c r="FQ441" s="149">
        <f t="shared" si="354"/>
        <v>0</v>
      </c>
      <c r="FR441" s="142">
        <f t="shared" si="354"/>
        <v>0</v>
      </c>
      <c r="FS441" s="119">
        <f t="shared" si="354"/>
        <v>0</v>
      </c>
      <c r="FT441" s="121">
        <f t="shared" si="353"/>
        <v>0</v>
      </c>
      <c r="FU441" s="121">
        <f t="shared" si="337"/>
        <v>0</v>
      </c>
      <c r="FV441" s="121">
        <f t="shared" si="337"/>
        <v>0</v>
      </c>
      <c r="FW441" s="121">
        <f t="shared" si="338"/>
        <v>0</v>
      </c>
      <c r="FX441" s="121">
        <f t="shared" si="339"/>
        <v>0</v>
      </c>
      <c r="FY441" s="144">
        <f t="shared" si="339"/>
        <v>0</v>
      </c>
      <c r="FZ441" s="145"/>
      <c r="GA441" s="151"/>
      <c r="GB441" s="145"/>
      <c r="GC441" s="151"/>
      <c r="GD441" s="997" t="s">
        <v>202</v>
      </c>
      <c r="GE441" s="1004"/>
      <c r="GF441" s="1004">
        <v>0.76326800000000006</v>
      </c>
      <c r="GG441" s="1004"/>
      <c r="GH441" s="1004">
        <v>0</v>
      </c>
      <c r="GI441" s="145"/>
      <c r="GJ441" s="996">
        <v>0</v>
      </c>
      <c r="GK441" s="145" t="s">
        <v>223</v>
      </c>
      <c r="GL441" s="996">
        <v>-2.5079999999999991</v>
      </c>
      <c r="GM441" s="1005"/>
      <c r="GN441" s="996">
        <v>7.1059999999999235E-2</v>
      </c>
      <c r="GO441" s="1006"/>
      <c r="GP441" s="996">
        <v>-0.69905999999999935</v>
      </c>
      <c r="GQ441" s="1006" t="s">
        <v>240</v>
      </c>
      <c r="GR441" s="996">
        <v>-2.5330800000000018</v>
      </c>
      <c r="GS441" s="1006" t="s">
        <v>199</v>
      </c>
      <c r="GT441" s="996">
        <v>1.7221600000000024</v>
      </c>
      <c r="GU441" s="1006"/>
      <c r="GV441" s="996">
        <v>0</v>
      </c>
      <c r="GW441" s="1006" t="s">
        <v>223</v>
      </c>
      <c r="GX441" s="996">
        <v>3.3406559999999992</v>
      </c>
      <c r="GY441" s="1006" t="s">
        <v>223</v>
      </c>
      <c r="GZ441" s="996">
        <v>-5.0109840000000005</v>
      </c>
      <c r="HA441" s="1006"/>
      <c r="HB441" s="996">
        <v>0.1230592000000037</v>
      </c>
      <c r="HC441" s="1006"/>
      <c r="HD441" s="996">
        <v>0.60218879999999686</v>
      </c>
      <c r="HE441" s="1006"/>
      <c r="HF441" s="996">
        <v>0</v>
      </c>
      <c r="HG441" s="1006" t="s">
        <v>223</v>
      </c>
      <c r="HH441" s="996">
        <v>-2.998029760000005</v>
      </c>
      <c r="HI441" s="1006" t="s">
        <v>223</v>
      </c>
      <c r="HJ441" s="996">
        <v>-2.6997399439999974</v>
      </c>
      <c r="HK441" s="1006" t="s">
        <v>199</v>
      </c>
      <c r="HL441" s="996">
        <v>13.812186344000001</v>
      </c>
      <c r="HM441" s="1006" t="s">
        <v>199</v>
      </c>
      <c r="HN441" s="996">
        <v>-8.2764000000000024</v>
      </c>
      <c r="HO441" s="1006"/>
      <c r="HP441" s="996">
        <v>-0.50160000000000338</v>
      </c>
      <c r="HQ441" s="1006" t="s">
        <v>199</v>
      </c>
      <c r="HR441" s="996">
        <v>-3.1684400000000004</v>
      </c>
      <c r="HS441" s="1006"/>
      <c r="HT441" s="996">
        <v>0</v>
      </c>
      <c r="HU441" s="1006" t="s">
        <v>199</v>
      </c>
      <c r="HV441" s="996">
        <v>1.7138000000000062</v>
      </c>
      <c r="HW441" s="1006" t="s">
        <v>199</v>
      </c>
      <c r="HX441" s="996">
        <v>8.953559999999996</v>
      </c>
      <c r="HY441" s="1006" t="s">
        <v>199</v>
      </c>
      <c r="HZ441" s="996">
        <v>-6.8134000000000015</v>
      </c>
      <c r="IA441" s="1006" t="s">
        <v>241</v>
      </c>
      <c r="IB441" s="996">
        <v>-3.0681199999999933</v>
      </c>
      <c r="IC441" s="1006" t="s">
        <v>199</v>
      </c>
      <c r="ID441" s="996">
        <v>3.3965007999999948</v>
      </c>
      <c r="IE441" s="1006" t="s">
        <v>199</v>
      </c>
      <c r="IF441" s="996">
        <v>-6.5373527999999972</v>
      </c>
      <c r="IG441" s="1006" t="s">
        <v>221</v>
      </c>
      <c r="IH441" s="996">
        <v>-2.6693479999999994</v>
      </c>
      <c r="II441" s="1006" t="s">
        <v>199</v>
      </c>
      <c r="IJ441" s="996">
        <v>5.0159999999999982</v>
      </c>
      <c r="IK441" s="1006" t="s">
        <v>223</v>
      </c>
      <c r="IL441" s="996">
        <v>-11.369599999999998</v>
      </c>
      <c r="IM441" s="1006"/>
      <c r="IN441" s="996">
        <v>0</v>
      </c>
      <c r="IO441" s="1006"/>
      <c r="IP441" s="996">
        <v>0</v>
      </c>
      <c r="IQ441" s="1006"/>
      <c r="IR441" s="996">
        <v>0</v>
      </c>
      <c r="IS441" s="1006" t="s">
        <v>223</v>
      </c>
      <c r="IT441" s="996">
        <v>-13.626800000000003</v>
      </c>
      <c r="IU441" s="1006"/>
      <c r="IV441" s="996">
        <v>0</v>
      </c>
      <c r="IW441" s="1006"/>
      <c r="IX441" s="996">
        <v>-8.359999999999701E-2</v>
      </c>
      <c r="IY441" s="1006"/>
      <c r="IZ441" s="996">
        <v>0</v>
      </c>
      <c r="JA441" s="1006" t="s">
        <v>204</v>
      </c>
      <c r="JB441" s="996">
        <v>25.007267999999996</v>
      </c>
      <c r="JC441" s="1006" t="s">
        <v>239</v>
      </c>
      <c r="JD441" s="996">
        <v>-2.5188679999999977</v>
      </c>
      <c r="JE441" s="1006"/>
      <c r="JF441" s="996">
        <v>0</v>
      </c>
      <c r="JG441" s="1006" t="s">
        <v>223</v>
      </c>
      <c r="JH441" s="996">
        <v>-4.4642399999999967</v>
      </c>
      <c r="JI441" s="1006" t="s">
        <v>239</v>
      </c>
      <c r="JJ441" s="996">
        <v>0.53503999999999508</v>
      </c>
      <c r="JK441" s="1007" t="s">
        <v>25</v>
      </c>
      <c r="JL441" s="1007">
        <v>39.1248</v>
      </c>
      <c r="JM441" s="1007"/>
      <c r="JN441" s="1007">
        <v>0</v>
      </c>
      <c r="JO441" s="1008"/>
      <c r="JP441" s="1007"/>
      <c r="JQ441" s="1008"/>
      <c r="JR441" s="1007"/>
      <c r="JS441" s="1008"/>
      <c r="JT441" s="1007"/>
      <c r="JU441" s="1008"/>
      <c r="JV441" s="1007"/>
      <c r="JW441" s="1008"/>
      <c r="JX441" s="1007"/>
      <c r="JY441" s="1008"/>
      <c r="JZ441" s="1007"/>
      <c r="KA441" s="1008"/>
      <c r="KB441" s="1007"/>
      <c r="KC441" s="1008"/>
      <c r="KD441" s="1007"/>
      <c r="KE441" s="1008"/>
      <c r="KF441" s="1007"/>
      <c r="KG441" s="1008"/>
      <c r="KH441" s="1007"/>
      <c r="KI441" s="1008"/>
      <c r="KJ441" s="1007"/>
      <c r="KK441" s="1008"/>
      <c r="KL441" s="1007"/>
      <c r="KM441" s="1008"/>
      <c r="KN441" s="1007"/>
      <c r="KO441" s="1008"/>
      <c r="KP441" s="1007"/>
      <c r="KQ441" s="1008"/>
      <c r="KR441" s="1007"/>
      <c r="KS441" s="1008"/>
      <c r="KT441" s="1007"/>
      <c r="KU441" s="1008"/>
      <c r="KV441" s="1007"/>
      <c r="KW441" s="1008"/>
      <c r="KX441" s="1007"/>
      <c r="KY441" s="1008"/>
      <c r="KZ441" s="1007"/>
      <c r="LA441" s="1008"/>
      <c r="LB441" s="1007"/>
      <c r="LC441" s="1008"/>
      <c r="LD441" s="1007"/>
      <c r="LE441" s="1008"/>
      <c r="LF441" s="1007"/>
      <c r="LG441" s="1008"/>
      <c r="LH441" s="1007"/>
      <c r="LI441" s="1008"/>
      <c r="LJ441" s="1007"/>
      <c r="LK441" s="1008"/>
      <c r="LL441" s="1007"/>
      <c r="LM441" s="1008"/>
      <c r="LN441" s="1007"/>
      <c r="LO441" s="1008"/>
      <c r="LP441" s="1007"/>
      <c r="LQ441" s="1008"/>
      <c r="LR441" s="1007"/>
      <c r="LS441" s="1008"/>
      <c r="LT441" s="1007"/>
      <c r="LU441" s="1008"/>
      <c r="LV441" s="1007"/>
      <c r="LW441" s="1008"/>
      <c r="LX441" s="1007"/>
      <c r="LY441" s="1009"/>
      <c r="LZ441" s="1010"/>
      <c r="MA441" s="1011"/>
      <c r="MB441" s="1012"/>
      <c r="MC441" s="995"/>
      <c r="MD441" s="996"/>
      <c r="ME441" s="997" t="s">
        <v>202</v>
      </c>
      <c r="MF441" s="997"/>
      <c r="MG441" s="998"/>
      <c r="NR441" s="1000"/>
      <c r="NS441" s="1000"/>
      <c r="NT441" s="1001"/>
      <c r="NU441" s="1000"/>
      <c r="NV441" s="1001"/>
      <c r="NX441" s="1002"/>
      <c r="NZ441" s="1001"/>
      <c r="OA441" s="1001"/>
      <c r="OC441" s="1003"/>
      <c r="OD441" s="1003"/>
      <c r="OE441" s="1001"/>
      <c r="OF441" s="1003"/>
      <c r="OG441" s="1003"/>
      <c r="QX441" s="1000">
        <f>CN441-CA441</f>
        <v>25.529810703999999</v>
      </c>
      <c r="ASU441" s="999" t="s">
        <v>225</v>
      </c>
    </row>
    <row r="442" spans="1:466 1191:1191" ht="21" customHeight="1" x14ac:dyDescent="0.25">
      <c r="A442" s="982">
        <f t="shared" si="323"/>
        <v>3286</v>
      </c>
      <c r="B442" s="124">
        <f>SUBTOTAL(103,$J$29:J442)</f>
        <v>414</v>
      </c>
      <c r="C442" s="126">
        <v>45068</v>
      </c>
      <c r="D442" s="124" t="s">
        <v>176</v>
      </c>
      <c r="E442" s="127" t="s">
        <v>177</v>
      </c>
      <c r="F442" s="128" t="s">
        <v>177</v>
      </c>
      <c r="G442" s="127" t="s">
        <v>178</v>
      </c>
      <c r="H442" s="127" t="s">
        <v>179</v>
      </c>
      <c r="I442" s="127" t="s">
        <v>1362</v>
      </c>
      <c r="J442" s="152">
        <v>3286</v>
      </c>
      <c r="K442" s="127" t="s">
        <v>1362</v>
      </c>
      <c r="L442" s="130">
        <v>43645</v>
      </c>
      <c r="M442" s="127" t="s">
        <v>230</v>
      </c>
      <c r="N442" s="127" t="s">
        <v>184</v>
      </c>
      <c r="O442" s="127" t="s">
        <v>185</v>
      </c>
      <c r="P442" s="127" t="s">
        <v>186</v>
      </c>
      <c r="Q442" s="85" t="str">
        <f t="shared" si="319"/>
        <v/>
      </c>
      <c r="R442" s="130"/>
      <c r="S442" s="128"/>
      <c r="T442" s="131"/>
      <c r="U442" s="132">
        <v>203</v>
      </c>
      <c r="V442" s="121">
        <v>218.2</v>
      </c>
      <c r="W442" s="116">
        <v>0.98</v>
      </c>
      <c r="X442" s="116">
        <v>1.66</v>
      </c>
      <c r="Y442" s="116">
        <f t="shared" si="346"/>
        <v>0.98</v>
      </c>
      <c r="Z442" s="133">
        <v>1.454</v>
      </c>
      <c r="AA442" s="133">
        <v>0.83599999999999997</v>
      </c>
      <c r="AB442" s="133">
        <v>0.72</v>
      </c>
      <c r="AC442" s="121">
        <v>34.299999999999997</v>
      </c>
      <c r="AD442" s="134">
        <v>1.17</v>
      </c>
      <c r="AE442" s="124">
        <v>177.8</v>
      </c>
      <c r="AF442" s="128">
        <v>9.19</v>
      </c>
      <c r="AG442" s="128">
        <v>2492.41</v>
      </c>
      <c r="AH442" s="127">
        <v>3462.69</v>
      </c>
      <c r="AI442" s="127">
        <v>3462.69</v>
      </c>
      <c r="AJ442" s="135"/>
      <c r="AK442" s="128"/>
      <c r="AL442" s="131"/>
      <c r="AM442" s="124" t="s">
        <v>985</v>
      </c>
      <c r="AN442" s="136" t="s">
        <v>1663</v>
      </c>
      <c r="AO442" s="137">
        <v>20.89</v>
      </c>
      <c r="AP442" s="128">
        <v>2656.53</v>
      </c>
      <c r="AQ442" s="128">
        <v>787.69</v>
      </c>
      <c r="AR442" s="128" t="s">
        <v>1664</v>
      </c>
      <c r="AS442" s="128">
        <v>114</v>
      </c>
      <c r="AT442" s="122">
        <v>7.37</v>
      </c>
      <c r="AU442" s="124" t="s">
        <v>189</v>
      </c>
      <c r="AV442" s="115">
        <f>VLOOKUP(J442,'[63]ТР нефть'!$J$28:$BP$638,39,0)</f>
        <v>519.99999931599996</v>
      </c>
      <c r="AW442" s="115" t="str">
        <f>VLOOKUP(J442,'[63]ТР нефть'!$J$28:$BP$638,40,0)</f>
        <v>ГП</v>
      </c>
      <c r="AX442" s="115">
        <f>VLOOKUP(J442,'[63]ТР нефть'!$J$28:$BP$638,41,0)</f>
        <v>999.99998437500005</v>
      </c>
      <c r="AY442" s="115" t="str">
        <f>VLOOKUP(J442,'[63]ТР нефть'!$J$28:$BP$638,42,0)</f>
        <v>ГП</v>
      </c>
      <c r="AZ442" s="115">
        <f>VLOOKUP(J442,'[63]ТР нефть'!$J$28:$BP$638,43,0)</f>
        <v>1394.999948438</v>
      </c>
      <c r="BA442" s="115" t="str">
        <f>VLOOKUP(J442,'[63]ТР нефть'!$J$28:$BP$638,44,0)</f>
        <v>ГП</v>
      </c>
      <c r="BB442" s="115">
        <f>VLOOKUP(J442,'[63]ТР нефть'!$J$28:$BP$638,45,0)</f>
        <v>1705.0000031249999</v>
      </c>
      <c r="BC442" s="115" t="str">
        <f>VLOOKUP(J442,'[63]ТР нефть'!$J$28:$BP$638,46,0)</f>
        <v>ГК75 1/8</v>
      </c>
      <c r="BD442" s="115">
        <f>VLOOKUP(J442,'[63]ТР нефть'!$J$28:$BP$638,47,0)</f>
        <v>2019.9999386720001</v>
      </c>
      <c r="BE442" s="115" t="str">
        <f>VLOOKUP(J442,'[63]ТР нефть'!$J$28:$BP$638,48,0)</f>
        <v>ЦКсОК 5/16</v>
      </c>
      <c r="BF442" s="115" t="str">
        <f>VLOOKUP(J442,'[63]ТР нефть'!$J$28:$BP$638,49,0)</f>
        <v>-</v>
      </c>
      <c r="BG442" s="115" t="str">
        <f>VLOOKUP(J442,'[63]ТР нефть'!$J$28:$BP$638,50,0)</f>
        <v>-</v>
      </c>
      <c r="BH442" s="115" t="str">
        <f>VLOOKUP(J442,'[63]ТР нефть'!$J$28:$BP$638,51,0)</f>
        <v>-</v>
      </c>
      <c r="BI442" s="115" t="str">
        <f>VLOOKUP(J442,'[63]ТР нефть'!$J$28:$BP$638,52,0)</f>
        <v>-</v>
      </c>
      <c r="BJ442" s="115" t="str">
        <f>IF(IFERROR(VLOOKUP(J442,'[63]ТР нефть'!$J$28:$BP$638,53,0),"-")=0,"-",IFERROR(VLOOKUP(J442,'[63]ТР нефть'!$J$28:$BP$638,53,0),"-"))</f>
        <v>-</v>
      </c>
      <c r="BK442" s="138" t="str">
        <f>IF(IFERROR(VLOOKUP(J442,'[63]ТР нефть'!$J$28:$BP$638,54,0),"-")=0,"-",IFERROR(VLOOKUP(J442,'[63]ТР нефть'!$J$28:$BP$638,54,0),"-"))</f>
        <v>-</v>
      </c>
      <c r="BL442" s="138" t="str">
        <f>IF(IFERROR(VLOOKUP(J442,'[63]ТР нефть'!$J$28:$BP$638,55,0),"-")=0,"-",IFERROR(VLOOKUP(J442,'[63]ТР нефть'!$J$28:$BP$638,55,0),"-"))</f>
        <v>-</v>
      </c>
      <c r="BM442" s="138" t="str">
        <f>IF(IFERROR(VLOOKUP(J442,'[63]ТР нефть'!$J$28:$BP$638,56,0),"-")=0,"-",IFERROR(VLOOKUP(J442,'[63]ТР нефть'!$J$28:$BP$638,56,0),"-"))</f>
        <v>-</v>
      </c>
      <c r="BN442" s="138" t="str">
        <f>IF(IFERROR(VLOOKUP(J442,'[63]ТР нефть'!$J$28:$BP$638,57,0),"-")=0,"-",IFERROR(VLOOKUP(J442,'[63]ТР нефть'!$J$28:$BP$638,57,0),"-"))</f>
        <v>-</v>
      </c>
      <c r="BO442" s="115" t="str">
        <f>IF(IFERROR(VLOOKUP(J442,'[63]ТР нефть'!$J$28:$BP$638,58,0),"-")=0,"-",IFERROR(VLOOKUP(J442,'[63]ТР нефть'!$J$28:$BP$638,58,0),"-"))</f>
        <v>-</v>
      </c>
      <c r="BP442" s="115" t="str">
        <f>IF(IFERROR(VLOOKUP(J442,'[63]ТР нефть'!$J$28:$BP$638,59,0),"-")=0,"-",IFERROR(VLOOKUP(J442,'[63]ТР нефть'!$J$28:$BP$638,59,0),"-"))</f>
        <v>-</v>
      </c>
      <c r="BQ442" s="138">
        <v>2440</v>
      </c>
      <c r="BR442" s="128">
        <v>1857</v>
      </c>
      <c r="BS442" s="115">
        <f t="shared" si="351"/>
        <v>583</v>
      </c>
      <c r="BT442" s="128">
        <v>73</v>
      </c>
      <c r="BU442" s="128">
        <v>5.5</v>
      </c>
      <c r="BV442" s="127">
        <v>18</v>
      </c>
      <c r="BW442" s="127" t="s">
        <v>164</v>
      </c>
      <c r="BX442" s="127" t="s">
        <v>195</v>
      </c>
      <c r="BY442" s="139">
        <v>24</v>
      </c>
      <c r="BZ442" s="139">
        <v>0</v>
      </c>
      <c r="CA442" s="138">
        <v>26</v>
      </c>
      <c r="CB442" s="138">
        <v>72</v>
      </c>
      <c r="CC442" s="138">
        <v>24</v>
      </c>
      <c r="CD442" s="135">
        <v>45017</v>
      </c>
      <c r="CE442" s="138">
        <v>113</v>
      </c>
      <c r="CF442" s="138">
        <v>72</v>
      </c>
      <c r="CG442" s="138" t="str">
        <f t="shared" si="352"/>
        <v/>
      </c>
      <c r="CH442" s="138" t="s">
        <v>197</v>
      </c>
      <c r="CI442" s="127"/>
      <c r="CJ442" s="138"/>
      <c r="CK442" s="138">
        <f t="shared" si="308"/>
        <v>38</v>
      </c>
      <c r="CL442" s="99"/>
      <c r="CM442" s="99"/>
      <c r="CN442" s="140">
        <v>64</v>
      </c>
      <c r="CO442" s="141">
        <f t="shared" si="324"/>
        <v>15.048</v>
      </c>
      <c r="CP442" s="142">
        <v>18</v>
      </c>
      <c r="CQ442" s="143">
        <v>0</v>
      </c>
      <c r="CR442" s="115">
        <v>9</v>
      </c>
      <c r="CS442" s="139">
        <v>4.8</v>
      </c>
      <c r="CT442" s="138"/>
      <c r="CU442" s="138">
        <f t="shared" si="320"/>
        <v>4.2</v>
      </c>
      <c r="CV442" s="115">
        <f t="shared" si="321"/>
        <v>279.10685805422645</v>
      </c>
      <c r="CW442" s="115">
        <f t="shared" si="325"/>
        <v>318.97926634768737</v>
      </c>
      <c r="CX442" s="133">
        <f t="shared" si="322"/>
        <v>0.36734693877551022</v>
      </c>
      <c r="CY442" s="116"/>
      <c r="CZ442" s="131"/>
      <c r="DA442" s="145" t="str">
        <f t="shared" si="326"/>
        <v>Газлифт</v>
      </c>
      <c r="DB442" s="146">
        <f t="shared" si="341"/>
        <v>15.048</v>
      </c>
      <c r="DC442" s="142">
        <f t="shared" si="342"/>
        <v>18</v>
      </c>
      <c r="DD442" s="119">
        <f t="shared" si="350"/>
        <v>0</v>
      </c>
      <c r="DE442" s="115">
        <f t="shared" si="343"/>
        <v>4.2</v>
      </c>
      <c r="DF442" s="121">
        <f t="shared" si="328"/>
        <v>4.8</v>
      </c>
      <c r="DG442" s="115">
        <f t="shared" si="329"/>
        <v>279.10685805422645</v>
      </c>
      <c r="DH442" s="115">
        <f t="shared" si="330"/>
        <v>64</v>
      </c>
      <c r="DI442" s="147"/>
      <c r="DJ442" s="111" t="s">
        <v>197</v>
      </c>
      <c r="DK442" s="112">
        <v>43645</v>
      </c>
      <c r="DL442" s="113">
        <f t="shared" ca="1" si="312"/>
        <v>1459</v>
      </c>
      <c r="DM442" s="114"/>
      <c r="DN442" s="114"/>
      <c r="DO442" s="114"/>
      <c r="DP442" s="114"/>
      <c r="DQ442" s="112">
        <v>43645</v>
      </c>
      <c r="DR442" s="114" t="s">
        <v>324</v>
      </c>
      <c r="DS442" s="114"/>
      <c r="DT442" s="115">
        <v>57</v>
      </c>
      <c r="DU442" s="116">
        <f t="shared" si="313"/>
        <v>0.35481866315344651</v>
      </c>
      <c r="DV442" s="117">
        <f t="shared" si="314"/>
        <v>16.611190534191749</v>
      </c>
      <c r="DW442" s="118">
        <f t="shared" si="315"/>
        <v>19.869845136593003</v>
      </c>
      <c r="DX442" s="119">
        <f t="shared" si="331"/>
        <v>0</v>
      </c>
      <c r="DY442" s="115">
        <f t="shared" si="316"/>
        <v>4.6362971985383661</v>
      </c>
      <c r="DZ442" s="117">
        <f t="shared" si="349"/>
        <v>1.5631905341917491</v>
      </c>
      <c r="EA442" s="120">
        <f t="shared" si="349"/>
        <v>1.8698451365930033</v>
      </c>
      <c r="EB442" s="119">
        <f t="shared" si="349"/>
        <v>0</v>
      </c>
      <c r="EC442" s="121">
        <f t="shared" si="318"/>
        <v>0.4362971985383659</v>
      </c>
      <c r="ED442" s="122"/>
      <c r="EE442" s="145">
        <v>18</v>
      </c>
      <c r="EF442" s="115">
        <v>26</v>
      </c>
      <c r="EG442" s="115">
        <v>70</v>
      </c>
      <c r="EH442" s="115">
        <v>25</v>
      </c>
      <c r="EI442" s="128" t="s">
        <v>195</v>
      </c>
      <c r="EJ442" s="121">
        <v>24</v>
      </c>
      <c r="EK442" s="121">
        <v>0</v>
      </c>
      <c r="EL442" s="149">
        <v>13.961199999999998</v>
      </c>
      <c r="EM442" s="142">
        <v>16.7</v>
      </c>
      <c r="EN442" s="119">
        <v>0</v>
      </c>
      <c r="EO442" s="115">
        <v>7.4</v>
      </c>
      <c r="EP442" s="115">
        <v>186.23040999341038</v>
      </c>
      <c r="EQ442" s="115">
        <v>72</v>
      </c>
      <c r="ER442" s="115">
        <v>4.8</v>
      </c>
      <c r="ES442" s="115">
        <v>64</v>
      </c>
      <c r="ET442" s="150">
        <v>0.34081632653061222</v>
      </c>
      <c r="EU442" s="145">
        <f t="shared" si="332"/>
        <v>18</v>
      </c>
      <c r="EV442" s="115">
        <f t="shared" si="333"/>
        <v>26</v>
      </c>
      <c r="EW442" s="115">
        <f t="shared" si="333"/>
        <v>72</v>
      </c>
      <c r="EX442" s="115">
        <f t="shared" si="333"/>
        <v>24</v>
      </c>
      <c r="EY442" s="115" t="str">
        <f t="shared" si="309"/>
        <v>Постоянный</v>
      </c>
      <c r="EZ442" s="115">
        <f t="shared" si="309"/>
        <v>24</v>
      </c>
      <c r="FA442" s="115">
        <f t="shared" si="309"/>
        <v>0</v>
      </c>
      <c r="FB442" s="149">
        <f t="shared" si="345"/>
        <v>15.048</v>
      </c>
      <c r="FC442" s="142">
        <f t="shared" si="345"/>
        <v>18</v>
      </c>
      <c r="FD442" s="119">
        <f t="shared" si="345"/>
        <v>0</v>
      </c>
      <c r="FE442" s="121">
        <f t="shared" si="344"/>
        <v>9</v>
      </c>
      <c r="FF442" s="121">
        <f t="shared" si="347"/>
        <v>279.10685805422645</v>
      </c>
      <c r="FG442" s="121">
        <f t="shared" si="334"/>
        <v>72</v>
      </c>
      <c r="FH442" s="121">
        <f t="shared" si="348"/>
        <v>4.8</v>
      </c>
      <c r="FI442" s="121">
        <f t="shared" si="306"/>
        <v>64</v>
      </c>
      <c r="FJ442" s="144">
        <f t="shared" si="335"/>
        <v>0.36734693877551022</v>
      </c>
      <c r="FK442" s="132">
        <f t="shared" si="336"/>
        <v>0</v>
      </c>
      <c r="FL442" s="115">
        <f t="shared" si="336"/>
        <v>0</v>
      </c>
      <c r="FM442" s="115">
        <f t="shared" si="336"/>
        <v>2</v>
      </c>
      <c r="FN442" s="115">
        <f t="shared" si="336"/>
        <v>-1</v>
      </c>
      <c r="FO442" s="115">
        <f t="shared" si="354"/>
        <v>0</v>
      </c>
      <c r="FP442" s="115">
        <f t="shared" si="354"/>
        <v>0</v>
      </c>
      <c r="FQ442" s="149">
        <f t="shared" si="354"/>
        <v>1.086800000000002</v>
      </c>
      <c r="FR442" s="142">
        <f t="shared" si="354"/>
        <v>1.3000000000000007</v>
      </c>
      <c r="FS442" s="119">
        <f t="shared" si="354"/>
        <v>0</v>
      </c>
      <c r="FT442" s="121">
        <f t="shared" si="353"/>
        <v>1.5999999999999996</v>
      </c>
      <c r="FU442" s="121">
        <f t="shared" si="337"/>
        <v>0</v>
      </c>
      <c r="FV442" s="121">
        <f t="shared" si="337"/>
        <v>0</v>
      </c>
      <c r="FW442" s="121">
        <f t="shared" si="338"/>
        <v>92.876448060816074</v>
      </c>
      <c r="FX442" s="121">
        <f t="shared" si="339"/>
        <v>0</v>
      </c>
      <c r="FY442" s="144">
        <f t="shared" si="339"/>
        <v>2.6530612244898E-2</v>
      </c>
      <c r="FZ442" s="145" t="s">
        <v>199</v>
      </c>
      <c r="GA442" s="125" t="s">
        <v>200</v>
      </c>
      <c r="GB442" s="145" t="s">
        <v>199</v>
      </c>
      <c r="GC442" s="151" t="s">
        <v>415</v>
      </c>
      <c r="GD442" s="997" t="s">
        <v>202</v>
      </c>
      <c r="GE442" s="1004" t="s">
        <v>199</v>
      </c>
      <c r="GF442" s="1004">
        <v>-2.1401600000000016</v>
      </c>
      <c r="GG442" s="1004"/>
      <c r="GH442" s="1004">
        <v>0</v>
      </c>
      <c r="GI442" s="145"/>
      <c r="GJ442" s="996">
        <v>0</v>
      </c>
      <c r="GK442" s="145"/>
      <c r="GL442" s="996">
        <v>0</v>
      </c>
      <c r="GM442" s="1005"/>
      <c r="GN442" s="996">
        <v>0</v>
      </c>
      <c r="GO442" s="1006" t="s">
        <v>241</v>
      </c>
      <c r="GP442" s="996">
        <v>0</v>
      </c>
      <c r="GQ442" s="1006"/>
      <c r="GR442" s="996">
        <v>0</v>
      </c>
      <c r="GS442" s="1006"/>
      <c r="GT442" s="996">
        <v>0</v>
      </c>
      <c r="GU442" s="1006" t="s">
        <v>199</v>
      </c>
      <c r="GV442" s="996">
        <v>1.8893599999999999</v>
      </c>
      <c r="GW442" s="1006"/>
      <c r="GX442" s="996">
        <v>-0.8360000000000003</v>
      </c>
      <c r="GY442" s="1006" t="s">
        <v>199</v>
      </c>
      <c r="GZ442" s="996">
        <v>-2.5080000000000009</v>
      </c>
      <c r="HA442" s="1006"/>
      <c r="HB442" s="996">
        <v>0</v>
      </c>
      <c r="HC442" s="1006"/>
      <c r="HD442" s="996">
        <v>0.46816000000000102</v>
      </c>
      <c r="HE442" s="1006" t="s">
        <v>199</v>
      </c>
      <c r="HF442" s="996">
        <v>-1.9395200000000017</v>
      </c>
      <c r="HG442" s="1006" t="s">
        <v>199</v>
      </c>
      <c r="HH442" s="996">
        <v>0.63536000000000215</v>
      </c>
      <c r="HI442" s="1006" t="s">
        <v>199</v>
      </c>
      <c r="HJ442" s="996">
        <v>2.48292</v>
      </c>
      <c r="HK442" s="1006"/>
      <c r="HL442" s="996">
        <v>-0.73389263199999988</v>
      </c>
      <c r="HM442" s="1006" t="s">
        <v>1044</v>
      </c>
      <c r="HN442" s="996">
        <v>-11.09336888</v>
      </c>
      <c r="HO442" s="1006" t="s">
        <v>221</v>
      </c>
      <c r="HP442" s="996">
        <v>3.8016615120000026</v>
      </c>
      <c r="HQ442" s="1006"/>
      <c r="HR442" s="996">
        <v>0</v>
      </c>
      <c r="HS442" s="1006"/>
      <c r="HT442" s="996">
        <v>0</v>
      </c>
      <c r="HU442" s="1006"/>
      <c r="HV442" s="996">
        <v>2.507999999999555E-2</v>
      </c>
      <c r="HW442" s="1006" t="s">
        <v>204</v>
      </c>
      <c r="HX442" s="996">
        <v>4.8133510920000049</v>
      </c>
      <c r="HY442" s="1006"/>
      <c r="HZ442" s="996">
        <v>0</v>
      </c>
      <c r="IA442" s="1006"/>
      <c r="IB442" s="996">
        <v>0</v>
      </c>
      <c r="IC442" s="1006" t="s">
        <v>204</v>
      </c>
      <c r="ID442" s="996">
        <v>-31.481751092</v>
      </c>
      <c r="IE442" s="1006"/>
      <c r="IF442" s="996">
        <v>0</v>
      </c>
      <c r="IG442" s="1006"/>
      <c r="IH442" s="996">
        <v>0</v>
      </c>
      <c r="II442" s="1006"/>
      <c r="IJ442" s="996">
        <v>0</v>
      </c>
      <c r="IK442" s="1006" t="s">
        <v>204</v>
      </c>
      <c r="IL442" s="996">
        <v>24.661999999999995</v>
      </c>
      <c r="IM442" s="1006"/>
      <c r="IN442" s="996">
        <v>0</v>
      </c>
      <c r="IO442" s="1006"/>
      <c r="IP442" s="996">
        <v>0</v>
      </c>
      <c r="IQ442" s="1006"/>
      <c r="IR442" s="996">
        <v>0</v>
      </c>
      <c r="IS442" s="1006"/>
      <c r="IT442" s="996">
        <v>0</v>
      </c>
      <c r="IU442" s="1006"/>
      <c r="IV442" s="996">
        <v>0</v>
      </c>
      <c r="IW442" s="1006"/>
      <c r="IX442" s="996">
        <v>0</v>
      </c>
      <c r="IY442" s="1006"/>
      <c r="IZ442" s="996">
        <v>0</v>
      </c>
      <c r="JA442" s="1006"/>
      <c r="JB442" s="996">
        <v>0</v>
      </c>
      <c r="JC442" s="1006"/>
      <c r="JD442" s="996">
        <v>0</v>
      </c>
      <c r="JE442" s="1006"/>
      <c r="JF442" s="996">
        <v>0</v>
      </c>
      <c r="JG442" s="1006"/>
      <c r="JH442" s="996">
        <v>0</v>
      </c>
      <c r="JI442" s="1006" t="s">
        <v>203</v>
      </c>
      <c r="JJ442" s="996">
        <v>-11.545159999999999</v>
      </c>
      <c r="JK442" s="1007"/>
      <c r="JL442" s="1007">
        <v>0</v>
      </c>
      <c r="JM442" s="1007"/>
      <c r="JN442" s="1007">
        <v>0</v>
      </c>
      <c r="JO442" s="1008"/>
      <c r="JP442" s="1007">
        <v>0</v>
      </c>
      <c r="JQ442" s="1008" t="s">
        <v>199</v>
      </c>
      <c r="JR442" s="1007">
        <v>-2.8674800000000005</v>
      </c>
      <c r="JS442" s="1008" t="s">
        <v>435</v>
      </c>
      <c r="JT442" s="1007">
        <v>-8.2362719999999925</v>
      </c>
      <c r="JU442" s="1008"/>
      <c r="JV442" s="1007"/>
      <c r="JW442" s="1008"/>
      <c r="JX442" s="1007"/>
      <c r="JY442" s="1008"/>
      <c r="JZ442" s="1007"/>
      <c r="KA442" s="1008"/>
      <c r="KB442" s="1007"/>
      <c r="KC442" s="1008"/>
      <c r="KD442" s="1007"/>
      <c r="KE442" s="1008"/>
      <c r="KF442" s="1007"/>
      <c r="KG442" s="1008"/>
      <c r="KH442" s="1007"/>
      <c r="KI442" s="1008"/>
      <c r="KJ442" s="1007"/>
      <c r="KK442" s="1008"/>
      <c r="KL442" s="1007"/>
      <c r="KM442" s="1008"/>
      <c r="KN442" s="1007"/>
      <c r="KO442" s="1008"/>
      <c r="KP442" s="1007"/>
      <c r="KQ442" s="1008"/>
      <c r="KR442" s="1007"/>
      <c r="KS442" s="1008"/>
      <c r="KT442" s="1007"/>
      <c r="KU442" s="1008"/>
      <c r="KV442" s="1007"/>
      <c r="KW442" s="1008"/>
      <c r="KX442" s="1007"/>
      <c r="KY442" s="1008"/>
      <c r="KZ442" s="1007"/>
      <c r="LA442" s="1008"/>
      <c r="LB442" s="1007"/>
      <c r="LC442" s="1008"/>
      <c r="LD442" s="1007"/>
      <c r="LE442" s="1008"/>
      <c r="LF442" s="1007"/>
      <c r="LG442" s="1008"/>
      <c r="LH442" s="1007"/>
      <c r="LI442" s="1008"/>
      <c r="LJ442" s="1007"/>
      <c r="LK442" s="1008"/>
      <c r="LL442" s="1007"/>
      <c r="LM442" s="1008"/>
      <c r="LN442" s="1007"/>
      <c r="LO442" s="1008"/>
      <c r="LP442" s="1007"/>
      <c r="LQ442" s="1008"/>
      <c r="LR442" s="1007"/>
      <c r="LS442" s="1008"/>
      <c r="LT442" s="1007"/>
      <c r="LU442" s="1008"/>
      <c r="LV442" s="1007"/>
      <c r="LW442" s="1008"/>
      <c r="LX442" s="1007"/>
      <c r="LY442" s="1009"/>
      <c r="LZ442" s="1010"/>
      <c r="MA442" s="1011"/>
      <c r="MB442" s="1012"/>
      <c r="MC442" s="995"/>
      <c r="MD442" s="996"/>
      <c r="ME442" s="997" t="s">
        <v>202</v>
      </c>
      <c r="MF442" s="997"/>
      <c r="MG442" s="998"/>
      <c r="NR442" s="1000"/>
      <c r="NS442" s="1000"/>
      <c r="NT442" s="1001"/>
      <c r="NU442" s="1000"/>
      <c r="NV442" s="1001"/>
      <c r="NX442" s="1002"/>
      <c r="NZ442" s="1001"/>
      <c r="OA442" s="1001"/>
      <c r="OC442" s="1003"/>
      <c r="OD442" s="1003"/>
      <c r="OE442" s="1001"/>
      <c r="OF442" s="1003"/>
      <c r="OG442" s="1003"/>
      <c r="QX442" s="1000">
        <f>CN442-CA442</f>
        <v>38</v>
      </c>
      <c r="ASU442" s="999" t="s">
        <v>208</v>
      </c>
    </row>
    <row r="443" spans="1:466 1191:1191" ht="21" customHeight="1" x14ac:dyDescent="0.25">
      <c r="A443" s="982" t="str">
        <f t="shared" si="323"/>
        <v>1136-1</v>
      </c>
      <c r="B443" s="124">
        <f>SUBTOTAL(103,$J$29:J443)</f>
        <v>415</v>
      </c>
      <c r="C443" s="126">
        <v>45068</v>
      </c>
      <c r="D443" s="124" t="s">
        <v>176</v>
      </c>
      <c r="E443" s="127" t="s">
        <v>177</v>
      </c>
      <c r="F443" s="128" t="s">
        <v>177</v>
      </c>
      <c r="G443" s="127" t="s">
        <v>178</v>
      </c>
      <c r="H443" s="127" t="s">
        <v>179</v>
      </c>
      <c r="I443" s="127" t="s">
        <v>481</v>
      </c>
      <c r="J443" s="152" t="s">
        <v>1665</v>
      </c>
      <c r="K443" s="127" t="s">
        <v>481</v>
      </c>
      <c r="L443" s="130">
        <v>41860</v>
      </c>
      <c r="M443" s="127" t="s">
        <v>230</v>
      </c>
      <c r="N443" s="127" t="s">
        <v>184</v>
      </c>
      <c r="O443" s="127" t="s">
        <v>185</v>
      </c>
      <c r="P443" s="127" t="s">
        <v>186</v>
      </c>
      <c r="Q443" s="85">
        <f t="shared" si="319"/>
        <v>-4</v>
      </c>
      <c r="R443" s="130">
        <v>41815</v>
      </c>
      <c r="S443" s="128" t="s">
        <v>211</v>
      </c>
      <c r="T443" s="131" t="s">
        <v>1666</v>
      </c>
      <c r="U443" s="132">
        <v>203</v>
      </c>
      <c r="V443" s="121">
        <v>218.2</v>
      </c>
      <c r="W443" s="116">
        <v>0.98</v>
      </c>
      <c r="X443" s="116">
        <v>1.66</v>
      </c>
      <c r="Y443" s="116">
        <f t="shared" si="346"/>
        <v>0.98012044853704894</v>
      </c>
      <c r="Z443" s="133">
        <v>1.454</v>
      </c>
      <c r="AA443" s="133">
        <v>0.83599999999999997</v>
      </c>
      <c r="AB443" s="133">
        <v>0.72</v>
      </c>
      <c r="AC443" s="121">
        <v>34.299999999999997</v>
      </c>
      <c r="AD443" s="134">
        <v>1.17</v>
      </c>
      <c r="AE443" s="124" t="s">
        <v>518</v>
      </c>
      <c r="AF443" s="128">
        <v>9.19</v>
      </c>
      <c r="AG443" s="128" t="s">
        <v>1667</v>
      </c>
      <c r="AH443" s="127">
        <v>2770</v>
      </c>
      <c r="AI443" s="127">
        <v>2770</v>
      </c>
      <c r="AJ443" s="135"/>
      <c r="AK443" s="128"/>
      <c r="AL443" s="131"/>
      <c r="AM443" s="124" t="s">
        <v>985</v>
      </c>
      <c r="AN443" s="136" t="s">
        <v>1668</v>
      </c>
      <c r="AO443" s="137">
        <v>12.7</v>
      </c>
      <c r="AP443" s="128">
        <v>2158</v>
      </c>
      <c r="AQ443" s="128">
        <v>318.89999999999998</v>
      </c>
      <c r="AR443" s="128"/>
      <c r="AS443" s="128"/>
      <c r="AT443" s="122"/>
      <c r="AU443" s="124" t="s">
        <v>189</v>
      </c>
      <c r="AV443" s="115">
        <f>VLOOKUP(J443,'[63]ТР нефть'!$J$28:$BP$638,39,0)</f>
        <v>445</v>
      </c>
      <c r="AW443" s="115" t="str">
        <f>VLOOKUP(J443,'[63]ТР нефть'!$J$28:$BP$638,40,0)</f>
        <v>ГК73 1/8</v>
      </c>
      <c r="AX443" s="115">
        <f>VLOOKUP(J443,'[63]ТР нефть'!$J$28:$BP$638,41,0)</f>
        <v>851</v>
      </c>
      <c r="AY443" s="115" t="str">
        <f>VLOOKUP(J443,'[63]ТР нефть'!$J$28:$BP$638,42,0)</f>
        <v>ГК74 1/8</v>
      </c>
      <c r="AZ443" s="115">
        <f>VLOOKUP(J443,'[63]ТР нефть'!$J$28:$BP$638,43,0)</f>
        <v>1208</v>
      </c>
      <c r="BA443" s="115" t="str">
        <f>VLOOKUP(J443,'[63]ТР нефть'!$J$28:$BP$638,44,0)</f>
        <v>ГК75 1/8</v>
      </c>
      <c r="BB443" s="115">
        <f>VLOOKUP(J443,'[63]ТР нефть'!$J$28:$BP$638,45,0)</f>
        <v>1521</v>
      </c>
      <c r="BC443" s="115" t="str">
        <f>VLOOKUP(J443,'[63]ТР нефть'!$J$28:$BP$638,46,0)</f>
        <v>ГК 75 1/8</v>
      </c>
      <c r="BD443" s="115">
        <f>VLOOKUP(J443,'[63]ТР нефть'!$J$28:$BP$638,47,0)</f>
        <v>1773</v>
      </c>
      <c r="BE443" s="115" t="str">
        <f>VLOOKUP(J443,'[63]ТР нефть'!$J$28:$BP$638,48,0)</f>
        <v>ЦКсОК 5/16</v>
      </c>
      <c r="BF443" s="115" t="str">
        <f>VLOOKUP(J443,'[63]ТР нефть'!$J$28:$BP$638,49,0)</f>
        <v>-</v>
      </c>
      <c r="BG443" s="115" t="str">
        <f>VLOOKUP(J443,'[63]ТР нефть'!$J$28:$BP$638,50,0)</f>
        <v>-</v>
      </c>
      <c r="BH443" s="115" t="str">
        <f>VLOOKUP(J443,'[63]ТР нефть'!$J$28:$BP$638,51,0)</f>
        <v>-</v>
      </c>
      <c r="BI443" s="115" t="str">
        <f>VLOOKUP(J443,'[63]ТР нефть'!$J$28:$BP$638,52,0)</f>
        <v>-</v>
      </c>
      <c r="BJ443" s="115" t="str">
        <f>IF(IFERROR(VLOOKUP(J443,'[63]ТР нефть'!$J$28:$BP$638,53,0),"-")=0,"-",IFERROR(VLOOKUP(J443,'[63]ТР нефть'!$J$28:$BP$638,53,0),"-"))</f>
        <v>-</v>
      </c>
      <c r="BK443" s="138" t="str">
        <f>IF(IFERROR(VLOOKUP(J443,'[63]ТР нефть'!$J$28:$BP$638,54,0),"-")=0,"-",IFERROR(VLOOKUP(J443,'[63]ТР нефть'!$J$28:$BP$638,54,0),"-"))</f>
        <v>-</v>
      </c>
      <c r="BL443" s="138" t="str">
        <f>IF(IFERROR(VLOOKUP(J443,'[63]ТР нефть'!$J$28:$BP$638,55,0),"-")=0,"-",IFERROR(VLOOKUP(J443,'[63]ТР нефть'!$J$28:$BP$638,55,0),"-"))</f>
        <v>-</v>
      </c>
      <c r="BM443" s="138" t="str">
        <f>IF(IFERROR(VLOOKUP(J443,'[63]ТР нефть'!$J$28:$BP$638,56,0),"-")=0,"-",IFERROR(VLOOKUP(J443,'[63]ТР нефть'!$J$28:$BP$638,56,0),"-"))</f>
        <v>-</v>
      </c>
      <c r="BN443" s="138" t="str">
        <f>IF(IFERROR(VLOOKUP(J443,'[63]ТР нефть'!$J$28:$BP$638,57,0),"-")=0,"-",IFERROR(VLOOKUP(J443,'[63]ТР нефть'!$J$28:$BP$638,57,0),"-"))</f>
        <v>-</v>
      </c>
      <c r="BO443" s="115" t="str">
        <f>IF(IFERROR(VLOOKUP(J443,'[63]ТР нефть'!$J$28:$BP$638,58,0),"-")=0,"-",IFERROR(VLOOKUP(J443,'[63]ТР нефть'!$J$28:$BP$638,58,0),"-"))</f>
        <v>-</v>
      </c>
      <c r="BP443" s="115" t="str">
        <f>IF(IFERROR(VLOOKUP(J443,'[63]ТР нефть'!$J$28:$BP$638,59,0),"-")=0,"-",IFERROR(VLOOKUP(J443,'[63]ТР нефть'!$J$28:$BP$638,59,0),"-"))</f>
        <v>-</v>
      </c>
      <c r="BQ443" s="138">
        <v>1989</v>
      </c>
      <c r="BR443" s="128">
        <v>1799.01</v>
      </c>
      <c r="BS443" s="115">
        <f t="shared" si="351"/>
        <v>189.99</v>
      </c>
      <c r="BT443" s="128">
        <v>73</v>
      </c>
      <c r="BU443" s="128">
        <v>5.5</v>
      </c>
      <c r="BV443" s="127">
        <v>18</v>
      </c>
      <c r="BW443" s="127" t="s">
        <v>164</v>
      </c>
      <c r="BX443" s="127" t="s">
        <v>218</v>
      </c>
      <c r="BY443" s="139">
        <v>24</v>
      </c>
      <c r="BZ443" s="139">
        <v>24</v>
      </c>
      <c r="CA443" s="80">
        <v>25</v>
      </c>
      <c r="CB443" s="138">
        <v>48</v>
      </c>
      <c r="CC443" s="138">
        <v>24</v>
      </c>
      <c r="CD443" s="135">
        <v>45017</v>
      </c>
      <c r="CE443" s="138">
        <v>118</v>
      </c>
      <c r="CF443" s="138">
        <v>72</v>
      </c>
      <c r="CG443" s="138" t="str">
        <f t="shared" si="352"/>
        <v>В работе</v>
      </c>
      <c r="CH443" s="138" t="s">
        <v>196</v>
      </c>
      <c r="CI443" s="127"/>
      <c r="CJ443" s="138"/>
      <c r="CK443" s="138">
        <f t="shared" si="308"/>
        <v>22</v>
      </c>
      <c r="CL443" s="99"/>
      <c r="CM443" s="99"/>
      <c r="CN443" s="140">
        <v>47</v>
      </c>
      <c r="CO443" s="141">
        <f t="shared" si="324"/>
        <v>4.1787459999999994</v>
      </c>
      <c r="CP443" s="142">
        <f>10/2</f>
        <v>5</v>
      </c>
      <c r="CQ443" s="143">
        <v>0.03</v>
      </c>
      <c r="CR443" s="138">
        <v>8</v>
      </c>
      <c r="CS443" s="139">
        <v>4</v>
      </c>
      <c r="CT443" s="138"/>
      <c r="CU443" s="138">
        <f t="shared" si="320"/>
        <v>4</v>
      </c>
      <c r="CV443" s="115">
        <f t="shared" si="321"/>
        <v>957.22496653302221</v>
      </c>
      <c r="CW443" s="115">
        <f t="shared" si="325"/>
        <v>956.82723742687142</v>
      </c>
      <c r="CX443" s="133">
        <f t="shared" si="322"/>
        <v>7.0422535211267609E-2</v>
      </c>
      <c r="CY443" s="116"/>
      <c r="CZ443" s="131"/>
      <c r="DA443" s="145" t="str">
        <f t="shared" si="326"/>
        <v>Газлифт</v>
      </c>
      <c r="DB443" s="146">
        <f t="shared" si="341"/>
        <v>4.1787459999999994</v>
      </c>
      <c r="DC443" s="142">
        <f t="shared" si="342"/>
        <v>5</v>
      </c>
      <c r="DD443" s="119">
        <f t="shared" si="350"/>
        <v>0.03</v>
      </c>
      <c r="DE443" s="115">
        <f t="shared" si="343"/>
        <v>4</v>
      </c>
      <c r="DF443" s="121">
        <f t="shared" si="328"/>
        <v>4</v>
      </c>
      <c r="DG443" s="115">
        <f t="shared" si="329"/>
        <v>957.22496653302221</v>
      </c>
      <c r="DH443" s="115">
        <f t="shared" si="330"/>
        <v>47</v>
      </c>
      <c r="DI443" s="1038"/>
      <c r="DJ443" s="111" t="s">
        <v>197</v>
      </c>
      <c r="DK443" s="112">
        <v>44055</v>
      </c>
      <c r="DL443" s="113">
        <f t="shared" ca="1" si="312"/>
        <v>1049</v>
      </c>
      <c r="DM443" s="114"/>
      <c r="DN443" s="114"/>
      <c r="DO443" s="114"/>
      <c r="DP443" s="114"/>
      <c r="DQ443" s="112">
        <v>41860</v>
      </c>
      <c r="DR443" s="114" t="s">
        <v>324</v>
      </c>
      <c r="DS443" s="114"/>
      <c r="DT443" s="115">
        <v>51</v>
      </c>
      <c r="DU443" s="116">
        <f t="shared" si="313"/>
        <v>7.4626865671641784E-2</v>
      </c>
      <c r="DV443" s="117">
        <f t="shared" si="314"/>
        <v>4.1787459999999994</v>
      </c>
      <c r="DW443" s="118">
        <f t="shared" si="315"/>
        <v>5</v>
      </c>
      <c r="DX443" s="119">
        <f t="shared" si="331"/>
        <v>0.03</v>
      </c>
      <c r="DY443" s="115">
        <f t="shared" si="316"/>
        <v>4</v>
      </c>
      <c r="DZ443" s="117">
        <f t="shared" si="349"/>
        <v>0</v>
      </c>
      <c r="EA443" s="120">
        <f t="shared" si="349"/>
        <v>0</v>
      </c>
      <c r="EB443" s="119">
        <f t="shared" si="349"/>
        <v>0</v>
      </c>
      <c r="EC443" s="121">
        <f t="shared" si="318"/>
        <v>0</v>
      </c>
      <c r="ED443" s="122"/>
      <c r="EE443" s="145">
        <v>18</v>
      </c>
      <c r="EF443" s="148">
        <v>27</v>
      </c>
      <c r="EG443" s="115">
        <v>48</v>
      </c>
      <c r="EH443" s="115">
        <v>26</v>
      </c>
      <c r="EI443" s="128" t="s">
        <v>218</v>
      </c>
      <c r="EJ443" s="121">
        <v>24</v>
      </c>
      <c r="EK443" s="121">
        <v>24</v>
      </c>
      <c r="EL443" s="149">
        <v>2.5072476000000004</v>
      </c>
      <c r="EM443" s="142">
        <v>3</v>
      </c>
      <c r="EN443" s="119">
        <v>0.03</v>
      </c>
      <c r="EO443" s="115">
        <v>5</v>
      </c>
      <c r="EP443" s="115">
        <v>598.26560408313878</v>
      </c>
      <c r="EQ443" s="115">
        <v>72</v>
      </c>
      <c r="ER443" s="115">
        <v>3.5</v>
      </c>
      <c r="ES443" s="115">
        <v>49</v>
      </c>
      <c r="ET443" s="150">
        <v>4.3478260869565216E-2</v>
      </c>
      <c r="EU443" s="145">
        <f t="shared" si="332"/>
        <v>18</v>
      </c>
      <c r="EV443" s="115">
        <f t="shared" si="333"/>
        <v>25</v>
      </c>
      <c r="EW443" s="115">
        <f t="shared" si="333"/>
        <v>48</v>
      </c>
      <c r="EX443" s="115">
        <f t="shared" si="333"/>
        <v>24</v>
      </c>
      <c r="EY443" s="115" t="str">
        <f t="shared" si="309"/>
        <v>Периодический</v>
      </c>
      <c r="EZ443" s="115">
        <f t="shared" si="309"/>
        <v>24</v>
      </c>
      <c r="FA443" s="115">
        <f t="shared" si="309"/>
        <v>24</v>
      </c>
      <c r="FB443" s="149">
        <f t="shared" si="345"/>
        <v>4.1787459999999994</v>
      </c>
      <c r="FC443" s="142">
        <f t="shared" si="345"/>
        <v>5</v>
      </c>
      <c r="FD443" s="119">
        <f t="shared" si="345"/>
        <v>0.03</v>
      </c>
      <c r="FE443" s="121">
        <f t="shared" si="344"/>
        <v>8</v>
      </c>
      <c r="FF443" s="121">
        <f t="shared" si="347"/>
        <v>957.22496653302221</v>
      </c>
      <c r="FG443" s="121">
        <f t="shared" si="334"/>
        <v>72</v>
      </c>
      <c r="FH443" s="121">
        <f t="shared" si="348"/>
        <v>4</v>
      </c>
      <c r="FI443" s="121">
        <f t="shared" ref="FI443:FI506" si="355">CN443</f>
        <v>47</v>
      </c>
      <c r="FJ443" s="144">
        <f t="shared" si="335"/>
        <v>7.0422535211267609E-2</v>
      </c>
      <c r="FK443" s="132">
        <f t="shared" si="336"/>
        <v>0</v>
      </c>
      <c r="FL443" s="115">
        <f t="shared" si="336"/>
        <v>-2</v>
      </c>
      <c r="FM443" s="115">
        <f t="shared" si="336"/>
        <v>0</v>
      </c>
      <c r="FN443" s="115">
        <f t="shared" si="336"/>
        <v>-2</v>
      </c>
      <c r="FO443" s="115">
        <f t="shared" si="354"/>
        <v>0</v>
      </c>
      <c r="FP443" s="115">
        <f t="shared" si="354"/>
        <v>0</v>
      </c>
      <c r="FQ443" s="149">
        <f t="shared" si="354"/>
        <v>1.6714983999999991</v>
      </c>
      <c r="FR443" s="142">
        <f t="shared" si="354"/>
        <v>2</v>
      </c>
      <c r="FS443" s="119">
        <f t="shared" si="354"/>
        <v>0</v>
      </c>
      <c r="FT443" s="121">
        <f t="shared" si="353"/>
        <v>3</v>
      </c>
      <c r="FU443" s="121">
        <f t="shared" si="337"/>
        <v>0</v>
      </c>
      <c r="FV443" s="121">
        <f t="shared" si="337"/>
        <v>0.5</v>
      </c>
      <c r="FW443" s="121">
        <f t="shared" si="338"/>
        <v>358.95936244988343</v>
      </c>
      <c r="FX443" s="121">
        <f t="shared" si="339"/>
        <v>-2</v>
      </c>
      <c r="FY443" s="144">
        <f t="shared" si="339"/>
        <v>2.6944274341702393E-2</v>
      </c>
      <c r="FZ443" s="145" t="s">
        <v>199</v>
      </c>
      <c r="GA443" s="125" t="s">
        <v>200</v>
      </c>
      <c r="GB443" s="145" t="s">
        <v>199</v>
      </c>
      <c r="GC443" s="151" t="s">
        <v>1669</v>
      </c>
      <c r="GD443" s="997" t="s">
        <v>202</v>
      </c>
      <c r="GE443" s="1004" t="s">
        <v>199</v>
      </c>
      <c r="GF443" s="1004">
        <v>-2.8248322959999994</v>
      </c>
      <c r="GG443" s="1004" t="s">
        <v>223</v>
      </c>
      <c r="GH443" s="1004">
        <v>-3.376426768</v>
      </c>
      <c r="GI443" s="145"/>
      <c r="GJ443" s="996">
        <v>0</v>
      </c>
      <c r="GK443" s="145"/>
      <c r="GL443" s="996">
        <v>0</v>
      </c>
      <c r="GM443" s="1005"/>
      <c r="GN443" s="996">
        <v>0.53875125480000108</v>
      </c>
      <c r="GO443" s="1006"/>
      <c r="GP443" s="996">
        <v>-0.19024459080000078</v>
      </c>
      <c r="GQ443" s="1006" t="s">
        <v>203</v>
      </c>
      <c r="GR443" s="996">
        <v>-1.9537320000000005</v>
      </c>
      <c r="GS443" s="1006" t="s">
        <v>25</v>
      </c>
      <c r="GT443" s="996">
        <v>5.1305319999999996</v>
      </c>
      <c r="GU443" s="1006" t="s">
        <v>199</v>
      </c>
      <c r="GV443" s="996">
        <v>1.8392000000000004</v>
      </c>
      <c r="GW443" s="1006"/>
      <c r="GX443" s="1035">
        <v>0</v>
      </c>
      <c r="GY443" s="1006" t="s">
        <v>204</v>
      </c>
      <c r="GZ443" s="996">
        <v>-3.6533199999999995</v>
      </c>
      <c r="HA443" s="1006"/>
      <c r="HB443" s="996">
        <v>0</v>
      </c>
      <c r="HC443" s="1006" t="s">
        <v>199</v>
      </c>
      <c r="HD443" s="996">
        <v>2.6200239999999999</v>
      </c>
      <c r="HE443" s="1006" t="s">
        <v>199</v>
      </c>
      <c r="HF443" s="996">
        <v>-2.3367454000000007</v>
      </c>
      <c r="HG443" s="1006"/>
      <c r="HH443" s="996">
        <v>0.38096352800000055</v>
      </c>
      <c r="HI443" s="1006"/>
      <c r="HJ443" s="996">
        <v>0</v>
      </c>
      <c r="HK443" s="1006"/>
      <c r="HL443" s="996">
        <v>0</v>
      </c>
      <c r="HM443" s="1006"/>
      <c r="HN443" s="996">
        <v>-7.1936127999999933E-2</v>
      </c>
      <c r="HO443" s="1006"/>
      <c r="HP443" s="996">
        <v>5.1414000000000293E-2</v>
      </c>
      <c r="HQ443" s="1006" t="s">
        <v>199</v>
      </c>
      <c r="HR443" s="996">
        <v>1.3334167395999996</v>
      </c>
      <c r="HS443" s="1006" t="s">
        <v>643</v>
      </c>
      <c r="HT443" s="996">
        <v>0</v>
      </c>
      <c r="HU443" s="1006"/>
      <c r="HV443" s="996">
        <v>-0.87253328359999927</v>
      </c>
      <c r="HW443" s="1006" t="s">
        <v>223</v>
      </c>
      <c r="HX443" s="996">
        <v>-3.7437718560000022</v>
      </c>
      <c r="HY443" s="1006" t="s">
        <v>204</v>
      </c>
      <c r="HZ443" s="996">
        <v>2.4278944800000009</v>
      </c>
      <c r="IA443" s="1006"/>
      <c r="IB443" s="996">
        <v>0</v>
      </c>
      <c r="IC443" s="1006"/>
      <c r="ID443" s="996">
        <v>-0.13349248000000014</v>
      </c>
      <c r="IE443" s="1006"/>
      <c r="IF443" s="996">
        <v>-0.16686559999999862</v>
      </c>
      <c r="IG443" s="1006"/>
      <c r="IH443" s="996">
        <v>-0.41716400000000053</v>
      </c>
      <c r="II443" s="1006" t="s">
        <v>199</v>
      </c>
      <c r="IJ443" s="996">
        <v>1.4759262319999999</v>
      </c>
      <c r="IK443" s="1006"/>
      <c r="IL443" s="996">
        <v>-2.5466232000000311E-2</v>
      </c>
      <c r="IM443" s="1006" t="s">
        <v>199</v>
      </c>
      <c r="IN443" s="996">
        <v>1.5098160000000007</v>
      </c>
      <c r="IO443" s="1006" t="s">
        <v>203</v>
      </c>
      <c r="IP443" s="996">
        <v>-1.4897520000000002</v>
      </c>
      <c r="IQ443" s="1006"/>
      <c r="IR443" s="996">
        <v>0</v>
      </c>
      <c r="IS443" s="1006" t="s">
        <v>25</v>
      </c>
      <c r="IT443" s="996">
        <v>4.3864919999999987</v>
      </c>
      <c r="IU443" s="1006"/>
      <c r="IV443" s="996">
        <v>0</v>
      </c>
      <c r="IW443" s="1006"/>
      <c r="IX443" s="996">
        <v>0</v>
      </c>
      <c r="IY443" s="1006"/>
      <c r="IZ443" s="996">
        <v>0</v>
      </c>
      <c r="JA443" s="1006"/>
      <c r="JB443" s="996">
        <v>0</v>
      </c>
      <c r="JC443" s="1006"/>
      <c r="JD443" s="996">
        <v>0</v>
      </c>
      <c r="JE443" s="1006"/>
      <c r="JF443" s="996">
        <v>0</v>
      </c>
      <c r="JG443" s="1006"/>
      <c r="JH443" s="996">
        <v>0</v>
      </c>
      <c r="JI443" s="1006"/>
      <c r="JJ443" s="996">
        <v>0.94300800000000029</v>
      </c>
      <c r="JK443" s="1007"/>
      <c r="JL443" s="1007">
        <v>0</v>
      </c>
      <c r="JM443" s="1007"/>
      <c r="JN443" s="1007">
        <v>0</v>
      </c>
      <c r="JO443" s="1008"/>
      <c r="JP443" s="1007">
        <v>0</v>
      </c>
      <c r="JQ443" s="1008">
        <v>0</v>
      </c>
      <c r="JR443" s="1007">
        <v>0</v>
      </c>
      <c r="JS443" s="1008">
        <v>0</v>
      </c>
      <c r="JT443" s="1007">
        <v>0</v>
      </c>
      <c r="JU443" s="1008"/>
      <c r="JV443" s="1007">
        <v>0</v>
      </c>
      <c r="JW443" s="1008" t="s">
        <v>221</v>
      </c>
      <c r="JX443" s="1007">
        <v>1.1260919999999999</v>
      </c>
      <c r="JY443" s="1008"/>
      <c r="JZ443" s="1007">
        <v>0</v>
      </c>
      <c r="KA443" s="1008"/>
      <c r="KB443" s="1007">
        <v>-1.250238</v>
      </c>
      <c r="KC443" s="1008"/>
      <c r="KD443" s="1007">
        <v>0</v>
      </c>
      <c r="KE443" s="1008" t="s">
        <v>204</v>
      </c>
      <c r="KF443" s="1007">
        <v>-0.41674600000000006</v>
      </c>
      <c r="KG443" s="1008"/>
      <c r="KH443" s="1007">
        <v>0</v>
      </c>
      <c r="KI443" s="1008"/>
      <c r="KJ443" s="1007">
        <v>0</v>
      </c>
      <c r="KK443" s="1008"/>
      <c r="KL443" s="1007">
        <v>0</v>
      </c>
      <c r="KM443" s="1008"/>
      <c r="KN443" s="1007">
        <v>0</v>
      </c>
      <c r="KO443" s="1008"/>
      <c r="KP443" s="1007">
        <v>0</v>
      </c>
      <c r="KQ443" s="1008">
        <v>0</v>
      </c>
      <c r="KR443" s="1007">
        <v>0</v>
      </c>
      <c r="KS443" s="1008">
        <v>0</v>
      </c>
      <c r="KT443" s="1007">
        <v>0</v>
      </c>
      <c r="KU443" s="1008">
        <v>0</v>
      </c>
      <c r="KV443" s="1007">
        <v>0</v>
      </c>
      <c r="KW443" s="1008">
        <v>0</v>
      </c>
      <c r="KX443" s="1007">
        <v>0</v>
      </c>
      <c r="KY443" s="1008">
        <v>0</v>
      </c>
      <c r="KZ443" s="1007">
        <v>0</v>
      </c>
      <c r="LA443" s="1008">
        <v>0</v>
      </c>
      <c r="LB443" s="1007">
        <v>0</v>
      </c>
      <c r="LC443" s="1008">
        <v>0</v>
      </c>
      <c r="LD443" s="1007">
        <v>0</v>
      </c>
      <c r="LE443" s="1008">
        <v>0</v>
      </c>
      <c r="LF443" s="1007">
        <v>0</v>
      </c>
      <c r="LG443" s="1008">
        <v>0</v>
      </c>
      <c r="LH443" s="1007">
        <v>0</v>
      </c>
      <c r="LI443" s="1008" t="s">
        <v>204</v>
      </c>
      <c r="LJ443" s="1007">
        <v>-0.82764000000000015</v>
      </c>
      <c r="LK443" s="1008" t="s">
        <v>206</v>
      </c>
      <c r="LL443" s="1007">
        <v>0.82764000000000004</v>
      </c>
      <c r="LM443" s="1008">
        <v>0</v>
      </c>
      <c r="LN443" s="1007">
        <v>0</v>
      </c>
      <c r="LO443" s="1008">
        <v>0</v>
      </c>
      <c r="LP443" s="1007">
        <v>0</v>
      </c>
      <c r="LQ443" s="1008">
        <v>0</v>
      </c>
      <c r="LR443" s="1007">
        <v>-0.82764000000000004</v>
      </c>
      <c r="LS443" s="1008">
        <v>0</v>
      </c>
      <c r="LT443" s="1007">
        <v>0.82764000000000004</v>
      </c>
      <c r="LU443" s="1008" t="s">
        <v>223</v>
      </c>
      <c r="LV443" s="1007">
        <v>-1.3242240000000001</v>
      </c>
      <c r="LW443" s="1008">
        <v>0</v>
      </c>
      <c r="LX443" s="1007">
        <v>-0.41381999999999902</v>
      </c>
      <c r="LY443" s="1009">
        <v>0</v>
      </c>
      <c r="LZ443" s="1010">
        <v>0.74487599999999898</v>
      </c>
      <c r="MA443" s="1011">
        <v>0</v>
      </c>
      <c r="MB443" s="1012">
        <v>0.41382000000000002</v>
      </c>
      <c r="MC443" s="995"/>
      <c r="MD443" s="996"/>
      <c r="ME443" s="997" t="s">
        <v>202</v>
      </c>
      <c r="MF443" s="997"/>
      <c r="MG443" s="998"/>
      <c r="NR443" s="1000"/>
      <c r="NS443" s="1000"/>
      <c r="NT443" s="1001"/>
      <c r="NU443" s="1000"/>
      <c r="NV443" s="1001"/>
      <c r="NX443" s="1002"/>
      <c r="NZ443" s="1001"/>
      <c r="OA443" s="1001"/>
      <c r="OC443" s="1003"/>
      <c r="OD443" s="1003"/>
      <c r="OE443" s="1001"/>
      <c r="OF443" s="1003"/>
      <c r="OG443" s="1003"/>
      <c r="QX443" s="1000">
        <f>CN443-CA443</f>
        <v>22</v>
      </c>
      <c r="ASU443" s="999" t="s">
        <v>225</v>
      </c>
    </row>
    <row r="444" spans="1:466 1191:1191" ht="21" customHeight="1" x14ac:dyDescent="0.25">
      <c r="A444" s="982">
        <f t="shared" si="323"/>
        <v>1519</v>
      </c>
      <c r="B444" s="124">
        <f>SUBTOTAL(103,$J$29:J444)</f>
        <v>416</v>
      </c>
      <c r="C444" s="126">
        <v>45068</v>
      </c>
      <c r="D444" s="124" t="s">
        <v>176</v>
      </c>
      <c r="E444" s="127" t="s">
        <v>177</v>
      </c>
      <c r="F444" s="128" t="s">
        <v>177</v>
      </c>
      <c r="G444" s="127" t="s">
        <v>178</v>
      </c>
      <c r="H444" s="127" t="s">
        <v>179</v>
      </c>
      <c r="I444" s="127" t="s">
        <v>1326</v>
      </c>
      <c r="J444" s="152">
        <v>1519</v>
      </c>
      <c r="K444" s="127" t="s">
        <v>1326</v>
      </c>
      <c r="L444" s="130">
        <v>43798</v>
      </c>
      <c r="M444" s="127" t="s">
        <v>230</v>
      </c>
      <c r="N444" s="127" t="s">
        <v>184</v>
      </c>
      <c r="O444" s="127" t="s">
        <v>185</v>
      </c>
      <c r="P444" s="127" t="s">
        <v>186</v>
      </c>
      <c r="Q444" s="85" t="str">
        <f t="shared" si="319"/>
        <v/>
      </c>
      <c r="R444" s="130"/>
      <c r="S444" s="128" t="s">
        <v>156</v>
      </c>
      <c r="T444" s="131"/>
      <c r="U444" s="132">
        <v>203</v>
      </c>
      <c r="V444" s="121">
        <v>218.2</v>
      </c>
      <c r="W444" s="116">
        <v>0.98</v>
      </c>
      <c r="X444" s="116">
        <v>1.66</v>
      </c>
      <c r="Y444" s="116">
        <f t="shared" si="346"/>
        <v>0.98213229203644525</v>
      </c>
      <c r="Z444" s="133">
        <v>1.454</v>
      </c>
      <c r="AA444" s="133">
        <v>0.83599999999999997</v>
      </c>
      <c r="AB444" s="133">
        <v>0.72</v>
      </c>
      <c r="AC444" s="121">
        <v>34.299999999999997</v>
      </c>
      <c r="AD444" s="134">
        <v>1.17</v>
      </c>
      <c r="AE444" s="124">
        <v>177.8</v>
      </c>
      <c r="AF444" s="128">
        <v>9.19</v>
      </c>
      <c r="AG444" s="128">
        <v>2271</v>
      </c>
      <c r="AH444" s="127">
        <v>3128</v>
      </c>
      <c r="AI444" s="127">
        <v>3128</v>
      </c>
      <c r="AJ444" s="135"/>
      <c r="AK444" s="128"/>
      <c r="AL444" s="131"/>
      <c r="AM444" s="124" t="s">
        <v>187</v>
      </c>
      <c r="AN444" s="136" t="s">
        <v>1670</v>
      </c>
      <c r="AO444" s="137">
        <v>14.7</v>
      </c>
      <c r="AP444" s="128">
        <v>2377.31</v>
      </c>
      <c r="AQ444" s="128">
        <v>455.01</v>
      </c>
      <c r="AR444" s="128" t="s">
        <v>1671</v>
      </c>
      <c r="AS444" s="128">
        <v>114</v>
      </c>
      <c r="AT444" s="122">
        <v>7.37</v>
      </c>
      <c r="AU444" s="124" t="s">
        <v>883</v>
      </c>
      <c r="AV444" s="115">
        <f>VLOOKUP(J444,'[63]ТР нефть'!$J$28:$BP$638,39,0)</f>
        <v>300</v>
      </c>
      <c r="AW444" s="115" t="str">
        <f>VLOOKUP(J444,'[63]ТР нефть'!$J$28:$BP$638,40,0)</f>
        <v>ГП</v>
      </c>
      <c r="AX444" s="115" t="str">
        <f>VLOOKUP(J444,'[63]ТР нефть'!$J$28:$BP$638,41,0)</f>
        <v>-</v>
      </c>
      <c r="AY444" s="115" t="str">
        <f>VLOOKUP(J444,'[63]ТР нефть'!$J$28:$BP$638,42,0)</f>
        <v>-</v>
      </c>
      <c r="AZ444" s="115" t="str">
        <f>VLOOKUP(J444,'[63]ТР нефть'!$J$28:$BP$638,43,0)</f>
        <v>-</v>
      </c>
      <c r="BA444" s="115" t="str">
        <f>VLOOKUP(J444,'[63]ТР нефть'!$J$28:$BP$638,44,0)</f>
        <v>-</v>
      </c>
      <c r="BB444" s="115" t="str">
        <f>VLOOKUP(J444,'[63]ТР нефть'!$J$28:$BP$638,45,0)</f>
        <v>-</v>
      </c>
      <c r="BC444" s="115" t="str">
        <f>VLOOKUP(J444,'[63]ТР нефть'!$J$28:$BP$638,46,0)</f>
        <v>-</v>
      </c>
      <c r="BD444" s="115" t="str">
        <f>VLOOKUP(J444,'[63]ТР нефть'!$J$28:$BP$638,47,0)</f>
        <v>-</v>
      </c>
      <c r="BE444" s="115" t="str">
        <f>VLOOKUP(J444,'[63]ТР нефть'!$J$28:$BP$638,48,0)</f>
        <v>-</v>
      </c>
      <c r="BF444" s="115" t="str">
        <f>VLOOKUP(J444,'[63]ТР нефть'!$J$28:$BP$638,49,0)</f>
        <v>-</v>
      </c>
      <c r="BG444" s="115" t="str">
        <f>VLOOKUP(J444,'[63]ТР нефть'!$J$28:$BP$638,50,0)</f>
        <v>-</v>
      </c>
      <c r="BH444" s="115">
        <f>VLOOKUP(J444,'[63]ТР нефть'!$J$28:$BP$638,51,0)</f>
        <v>1900</v>
      </c>
      <c r="BI444" s="115" t="str">
        <f>VLOOKUP(J444,'[63]ТР нефть'!$J$28:$BP$638,52,0)</f>
        <v>закрыт</v>
      </c>
      <c r="BJ444" s="115" t="str">
        <f>IF(IFERROR(VLOOKUP(J444,'[63]ТР нефть'!$J$28:$BP$638,53,0),"-")=0,"-",IFERROR(VLOOKUP(J444,'[63]ТР нефть'!$J$28:$BP$638,53,0),"-"))</f>
        <v>-</v>
      </c>
      <c r="BK444" s="138" t="str">
        <f>IF(IFERROR(VLOOKUP(J444,'[63]ТР нефть'!$J$28:$BP$638,54,0),"-")=0,"-",IFERROR(VLOOKUP(J444,'[63]ТР нефть'!$J$28:$BP$638,54,0),"-"))</f>
        <v>D460N</v>
      </c>
      <c r="BL444" s="138" t="str">
        <f>IF(IFERROR(VLOOKUP(J444,'[63]ТР нефть'!$J$28:$BP$638,55,0),"-")=0,"-",IFERROR(VLOOKUP(J444,'[63]ТР нефть'!$J$28:$BP$638,55,0),"-"))</f>
        <v>-</v>
      </c>
      <c r="BM444" s="138">
        <f>IF(IFERROR(VLOOKUP(J444,'[63]ТР нефть'!$J$28:$BP$638,56,0),"-")=0,"-",IFERROR(VLOOKUP(J444,'[63]ТР нефть'!$J$28:$BP$638,56,0),"-"))</f>
        <v>1849</v>
      </c>
      <c r="BN444" s="138">
        <f>IF(IFERROR(VLOOKUP(J444,'[63]ТР нефть'!$J$28:$BP$638,57,0),"-")=0,"-",IFERROR(VLOOKUP(J444,'[63]ТР нефть'!$J$28:$BP$638,57,0),"-"))</f>
        <v>46</v>
      </c>
      <c r="BO444" s="115">
        <f>IF(IFERROR(VLOOKUP(J444,'[63]ТР нефть'!$J$28:$BP$638,58,0),"-")=0,"-",IFERROR(VLOOKUP(J444,'[63]ТР нефть'!$J$28:$BP$638,58,0),"-"))</f>
        <v>56</v>
      </c>
      <c r="BP444" s="115" t="str">
        <f>IF(IFERROR(VLOOKUP(J444,'[63]ТР нефть'!$J$28:$BP$638,59,0),"-")=0,"-",IFERROR(VLOOKUP(J444,'[63]ТР нефть'!$J$28:$BP$638,59,0),"-"))</f>
        <v>-</v>
      </c>
      <c r="BQ444" s="138">
        <v>1950</v>
      </c>
      <c r="BR444" s="128">
        <v>1731</v>
      </c>
      <c r="BS444" s="115">
        <f t="shared" si="351"/>
        <v>219</v>
      </c>
      <c r="BT444" s="128">
        <v>73</v>
      </c>
      <c r="BU444" s="128">
        <v>5.5</v>
      </c>
      <c r="BV444" s="127">
        <v>65</v>
      </c>
      <c r="BW444" s="127" t="s">
        <v>217</v>
      </c>
      <c r="BX444" s="127" t="s">
        <v>218</v>
      </c>
      <c r="BY444" s="139">
        <v>7</v>
      </c>
      <c r="BZ444" s="139">
        <v>17</v>
      </c>
      <c r="CA444" s="138">
        <v>30</v>
      </c>
      <c r="CB444" s="138">
        <v>29</v>
      </c>
      <c r="CC444" s="138">
        <v>29</v>
      </c>
      <c r="CD444" s="135">
        <v>45017</v>
      </c>
      <c r="CE444" s="138">
        <v>108</v>
      </c>
      <c r="CF444" s="138"/>
      <c r="CG444" s="138" t="str">
        <f t="shared" si="352"/>
        <v/>
      </c>
      <c r="CH444" s="138" t="s">
        <v>197</v>
      </c>
      <c r="CI444" s="127"/>
      <c r="CJ444" s="138">
        <f>IF((BR444-(100*(CM444-CB444))/(9.8*(AB444+AA444)/2))&gt;0,BR444-(100*(CM444-CB444))/(9.8*(AB444+AA444)/2),0)</f>
        <v>1534.2632075966633</v>
      </c>
      <c r="CK444" s="138">
        <f t="shared" ref="CK444:CK507" si="356">CN444-CA444</f>
        <v>27.556659774049997</v>
      </c>
      <c r="CL444" s="99"/>
      <c r="CM444" s="127">
        <v>44</v>
      </c>
      <c r="CN444" s="154">
        <f>IF(CM444=0,0,(((AP444-AQ444-BR444)*((AD444*(CQ444/100))+(AB444*((100-CQ444)/100)))*9.81/100+CM444)))</f>
        <v>57.556659774049997</v>
      </c>
      <c r="CO444" s="141">
        <f t="shared" si="324"/>
        <v>8.3156920000000003</v>
      </c>
      <c r="CP444" s="142">
        <v>10</v>
      </c>
      <c r="CQ444" s="143">
        <v>0.53</v>
      </c>
      <c r="CR444" s="115">
        <v>4.78</v>
      </c>
      <c r="CS444" s="139"/>
      <c r="CT444" s="138"/>
      <c r="CU444" s="138">
        <f t="shared" si="320"/>
        <v>4.78</v>
      </c>
      <c r="CV444" s="115">
        <f t="shared" si="321"/>
        <v>574.81686430906768</v>
      </c>
      <c r="CW444" s="115" t="str">
        <f t="shared" si="325"/>
        <v/>
      </c>
      <c r="CX444" s="133">
        <f t="shared" si="322"/>
        <v>0.19824222494400984</v>
      </c>
      <c r="CY444" s="116"/>
      <c r="CZ444" s="131"/>
      <c r="DA444" s="145" t="str">
        <f t="shared" si="326"/>
        <v>ЭЦН</v>
      </c>
      <c r="DB444" s="146">
        <f t="shared" si="341"/>
        <v>8.3156920000000003</v>
      </c>
      <c r="DC444" s="142">
        <f t="shared" si="342"/>
        <v>10</v>
      </c>
      <c r="DD444" s="119">
        <f t="shared" si="350"/>
        <v>0.53</v>
      </c>
      <c r="DE444" s="115">
        <f t="shared" si="343"/>
        <v>4.78</v>
      </c>
      <c r="DF444" s="121">
        <f t="shared" si="328"/>
        <v>0</v>
      </c>
      <c r="DG444" s="115">
        <f t="shared" si="329"/>
        <v>574.81686430906768</v>
      </c>
      <c r="DH444" s="115">
        <f t="shared" si="330"/>
        <v>57.556659774049997</v>
      </c>
      <c r="DI444" s="147"/>
      <c r="DJ444" s="111">
        <v>44036</v>
      </c>
      <c r="DK444" s="112">
        <v>44134</v>
      </c>
      <c r="DL444" s="113">
        <f t="shared" ca="1" si="312"/>
        <v>970</v>
      </c>
      <c r="DM444" s="114">
        <v>23.6</v>
      </c>
      <c r="DN444" s="114">
        <v>45</v>
      </c>
      <c r="DO444" s="114">
        <v>42</v>
      </c>
      <c r="DP444" s="114"/>
      <c r="DQ444" s="112"/>
      <c r="DR444" s="114"/>
      <c r="DS444" s="114"/>
      <c r="DT444" s="115">
        <v>60</v>
      </c>
      <c r="DU444" s="116">
        <f t="shared" si="313"/>
        <v>0.20833333333333334</v>
      </c>
      <c r="DV444" s="117">
        <f t="shared" si="314"/>
        <v>8.3156920000000003</v>
      </c>
      <c r="DW444" s="118">
        <f t="shared" si="315"/>
        <v>10</v>
      </c>
      <c r="DX444" s="119">
        <f t="shared" si="331"/>
        <v>0.53</v>
      </c>
      <c r="DY444" s="115">
        <f t="shared" si="316"/>
        <v>4.78</v>
      </c>
      <c r="DZ444" s="117">
        <f t="shared" si="349"/>
        <v>0</v>
      </c>
      <c r="EA444" s="120">
        <f t="shared" si="349"/>
        <v>0</v>
      </c>
      <c r="EB444" s="119">
        <f t="shared" si="349"/>
        <v>0</v>
      </c>
      <c r="EC444" s="121">
        <f t="shared" si="318"/>
        <v>0</v>
      </c>
      <c r="ED444" s="122"/>
      <c r="EE444" s="145">
        <v>65</v>
      </c>
      <c r="EF444" s="115">
        <v>31</v>
      </c>
      <c r="EG444" s="115">
        <v>30</v>
      </c>
      <c r="EH444" s="115">
        <v>30</v>
      </c>
      <c r="EI444" s="128" t="s">
        <v>218</v>
      </c>
      <c r="EJ444" s="121">
        <v>7</v>
      </c>
      <c r="EK444" s="121">
        <v>17</v>
      </c>
      <c r="EL444" s="149">
        <v>8.3156920000000003</v>
      </c>
      <c r="EM444" s="142">
        <v>10</v>
      </c>
      <c r="EN444" s="119">
        <v>0.53</v>
      </c>
      <c r="EO444" s="115">
        <v>4.78</v>
      </c>
      <c r="EP444" s="115">
        <v>574.81686430906768</v>
      </c>
      <c r="EQ444" s="115">
        <v>0</v>
      </c>
      <c r="ER444" s="115">
        <v>0</v>
      </c>
      <c r="ES444" s="115">
        <v>57.556659774049997</v>
      </c>
      <c r="ET444" s="150">
        <v>0.19824222494400984</v>
      </c>
      <c r="EU444" s="145">
        <f t="shared" si="332"/>
        <v>65</v>
      </c>
      <c r="EV444" s="115">
        <f t="shared" si="333"/>
        <v>30</v>
      </c>
      <c r="EW444" s="115">
        <f t="shared" si="333"/>
        <v>29</v>
      </c>
      <c r="EX444" s="115">
        <f t="shared" si="333"/>
        <v>29</v>
      </c>
      <c r="EY444" s="115" t="str">
        <f t="shared" si="309"/>
        <v>Периодический</v>
      </c>
      <c r="EZ444" s="115">
        <f t="shared" si="309"/>
        <v>7</v>
      </c>
      <c r="FA444" s="115">
        <f t="shared" si="309"/>
        <v>17</v>
      </c>
      <c r="FB444" s="149">
        <f t="shared" si="345"/>
        <v>8.3156920000000003</v>
      </c>
      <c r="FC444" s="142">
        <f t="shared" si="345"/>
        <v>10</v>
      </c>
      <c r="FD444" s="119">
        <f t="shared" si="345"/>
        <v>0.53</v>
      </c>
      <c r="FE444" s="121">
        <f t="shared" si="344"/>
        <v>4.78</v>
      </c>
      <c r="FF444" s="121">
        <f t="shared" si="347"/>
        <v>574.81686430906768</v>
      </c>
      <c r="FG444" s="121">
        <f t="shared" si="334"/>
        <v>0</v>
      </c>
      <c r="FH444" s="121">
        <f t="shared" si="348"/>
        <v>0</v>
      </c>
      <c r="FI444" s="121">
        <f t="shared" si="355"/>
        <v>57.556659774049997</v>
      </c>
      <c r="FJ444" s="144">
        <f t="shared" si="335"/>
        <v>0.19824222494400984</v>
      </c>
      <c r="FK444" s="132">
        <f t="shared" si="336"/>
        <v>0</v>
      </c>
      <c r="FL444" s="115">
        <f t="shared" si="336"/>
        <v>-1</v>
      </c>
      <c r="FM444" s="115">
        <f t="shared" si="336"/>
        <v>-1</v>
      </c>
      <c r="FN444" s="115">
        <f t="shared" si="336"/>
        <v>-1</v>
      </c>
      <c r="FO444" s="121">
        <f t="shared" si="354"/>
        <v>0</v>
      </c>
      <c r="FP444" s="121">
        <f t="shared" si="354"/>
        <v>0</v>
      </c>
      <c r="FQ444" s="149">
        <f t="shared" si="354"/>
        <v>0</v>
      </c>
      <c r="FR444" s="142">
        <f t="shared" si="354"/>
        <v>0</v>
      </c>
      <c r="FS444" s="119">
        <f t="shared" si="354"/>
        <v>0</v>
      </c>
      <c r="FT444" s="121">
        <f t="shared" si="353"/>
        <v>0</v>
      </c>
      <c r="FU444" s="121">
        <f t="shared" si="337"/>
        <v>0</v>
      </c>
      <c r="FV444" s="121">
        <f t="shared" si="337"/>
        <v>0</v>
      </c>
      <c r="FW444" s="121">
        <f t="shared" si="338"/>
        <v>0</v>
      </c>
      <c r="FX444" s="121">
        <f t="shared" si="339"/>
        <v>0</v>
      </c>
      <c r="FY444" s="144">
        <f t="shared" si="339"/>
        <v>0</v>
      </c>
      <c r="FZ444" s="145"/>
      <c r="GA444" s="125"/>
      <c r="GB444" s="145" t="s">
        <v>199</v>
      </c>
      <c r="GC444" s="151" t="s">
        <v>415</v>
      </c>
      <c r="GD444" s="997" t="s">
        <v>202</v>
      </c>
      <c r="GE444" s="1004" t="s">
        <v>199</v>
      </c>
      <c r="GF444" s="1004">
        <v>-1.1700614199999997</v>
      </c>
      <c r="GG444" s="1004" t="s">
        <v>223</v>
      </c>
      <c r="GH444" s="1004">
        <v>-2.5557210535999992</v>
      </c>
      <c r="GI444" s="145"/>
      <c r="GJ444" s="996">
        <v>0</v>
      </c>
      <c r="GK444" s="145"/>
      <c r="GL444" s="996">
        <v>0</v>
      </c>
      <c r="GM444" s="1005"/>
      <c r="GN444" s="996">
        <v>0</v>
      </c>
      <c r="GO444" s="1006"/>
      <c r="GP444" s="996">
        <v>0</v>
      </c>
      <c r="GQ444" s="1006"/>
      <c r="GR444" s="996">
        <v>0</v>
      </c>
      <c r="GS444" s="1006"/>
      <c r="GT444" s="996">
        <v>-1.0129280303999995</v>
      </c>
      <c r="GU444" s="1006"/>
      <c r="GV444" s="996">
        <v>0</v>
      </c>
      <c r="GW444" s="1006"/>
      <c r="GX444" s="996">
        <v>0</v>
      </c>
      <c r="GY444" s="1006"/>
      <c r="GZ444" s="996">
        <v>0</v>
      </c>
      <c r="HA444" s="1006" t="s">
        <v>223</v>
      </c>
      <c r="HB444" s="996">
        <v>-1.9222231600000033</v>
      </c>
      <c r="HC444" s="1006"/>
      <c r="HD444" s="996">
        <v>0</v>
      </c>
      <c r="HE444" s="1006" t="s">
        <v>204</v>
      </c>
      <c r="HF444" s="996">
        <v>0</v>
      </c>
      <c r="HG444" s="1006"/>
      <c r="HH444" s="996">
        <v>-6.9869535999998789E-2</v>
      </c>
      <c r="HI444" s="1006"/>
      <c r="HJ444" s="996">
        <v>0</v>
      </c>
      <c r="HK444" s="1006"/>
      <c r="HL444" s="996">
        <v>0</v>
      </c>
      <c r="HM444" s="1006"/>
      <c r="HN444" s="996">
        <v>0</v>
      </c>
      <c r="HO444" s="1006"/>
      <c r="HP444" s="996">
        <v>0.41795820000000283</v>
      </c>
      <c r="HQ444" s="1006" t="s">
        <v>223</v>
      </c>
      <c r="HR444" s="996">
        <v>-1.0616138280000005</v>
      </c>
      <c r="HS444" s="1006"/>
      <c r="HT444" s="996">
        <v>0</v>
      </c>
      <c r="HU444" s="1006"/>
      <c r="HV444" s="996">
        <v>-0.27585241200000254</v>
      </c>
      <c r="HW444" s="1006"/>
      <c r="HX444" s="996">
        <v>0</v>
      </c>
      <c r="HY444" s="1006"/>
      <c r="HZ444" s="996">
        <v>0</v>
      </c>
      <c r="IA444" s="1006"/>
      <c r="IB444" s="996">
        <v>0.13129379999999991</v>
      </c>
      <c r="IC444" s="1006"/>
      <c r="ID444" s="996">
        <v>0.88527384000000353</v>
      </c>
      <c r="IE444" s="1006" t="s">
        <v>223</v>
      </c>
      <c r="IF444" s="996">
        <v>-1.420949199999999</v>
      </c>
      <c r="IG444" s="1006"/>
      <c r="IH444" s="996">
        <v>0.80406479999999547</v>
      </c>
      <c r="II444" s="1006" t="s">
        <v>199</v>
      </c>
      <c r="IJ444" s="996">
        <v>1.2732280000000031</v>
      </c>
      <c r="IK444" s="1006" t="s">
        <v>199</v>
      </c>
      <c r="IL444" s="996">
        <v>2.579728799999998</v>
      </c>
      <c r="IM444" s="1006" t="s">
        <v>239</v>
      </c>
      <c r="IN444" s="996">
        <v>-21.726636799999998</v>
      </c>
      <c r="IO444" s="1006"/>
      <c r="IP444" s="996">
        <v>0</v>
      </c>
      <c r="IQ444" s="1006"/>
      <c r="IR444" s="996">
        <v>0</v>
      </c>
      <c r="IS444" s="1006"/>
      <c r="IT444" s="996">
        <v>0</v>
      </c>
      <c r="IU444" s="1006"/>
      <c r="IV444" s="996">
        <v>0</v>
      </c>
      <c r="IW444" s="1006" t="s">
        <v>223</v>
      </c>
      <c r="IX444" s="996">
        <v>-2.3408000000000015</v>
      </c>
      <c r="IY444" s="1006"/>
      <c r="IZ444" s="996">
        <v>0</v>
      </c>
      <c r="JA444" s="1006"/>
      <c r="JB444" s="996">
        <v>0</v>
      </c>
      <c r="JC444" s="1006"/>
      <c r="JD444" s="996">
        <v>0.16720000000000113</v>
      </c>
      <c r="JE444" s="1006"/>
      <c r="JF444" s="996">
        <v>0</v>
      </c>
      <c r="JG444" s="1006" t="s">
        <v>223</v>
      </c>
      <c r="JH444" s="996">
        <v>-9.1862906960000004</v>
      </c>
      <c r="JI444" s="1006"/>
      <c r="JJ444" s="996">
        <v>44.799890695999999</v>
      </c>
      <c r="JK444" s="1007"/>
      <c r="JL444" s="1007"/>
      <c r="JM444" s="1007"/>
      <c r="JN444" s="1007"/>
      <c r="JO444" s="1008"/>
      <c r="JP444" s="1007"/>
      <c r="JQ444" s="1008"/>
      <c r="JR444" s="1007"/>
      <c r="JS444" s="1008"/>
      <c r="JT444" s="1007"/>
      <c r="JU444" s="1008"/>
      <c r="JV444" s="1007"/>
      <c r="JW444" s="1008"/>
      <c r="JX444" s="1007"/>
      <c r="JY444" s="1008"/>
      <c r="JZ444" s="1007"/>
      <c r="KA444" s="1008"/>
      <c r="KB444" s="1007"/>
      <c r="KC444" s="1008"/>
      <c r="KD444" s="1007"/>
      <c r="KE444" s="1008"/>
      <c r="KF444" s="1007"/>
      <c r="KG444" s="1008"/>
      <c r="KH444" s="1007"/>
      <c r="KI444" s="1008"/>
      <c r="KJ444" s="1007"/>
      <c r="KK444" s="1008"/>
      <c r="KL444" s="1007"/>
      <c r="KM444" s="1008"/>
      <c r="KN444" s="1007"/>
      <c r="KO444" s="1008"/>
      <c r="KP444" s="1007"/>
      <c r="KQ444" s="1008"/>
      <c r="KR444" s="1007"/>
      <c r="KS444" s="1008"/>
      <c r="KT444" s="1007"/>
      <c r="KU444" s="1008"/>
      <c r="KV444" s="1007"/>
      <c r="KW444" s="1008"/>
      <c r="KX444" s="1007"/>
      <c r="KY444" s="1008"/>
      <c r="KZ444" s="1007"/>
      <c r="LA444" s="1008"/>
      <c r="LB444" s="1007"/>
      <c r="LC444" s="1008"/>
      <c r="LD444" s="1007"/>
      <c r="LE444" s="1008"/>
      <c r="LF444" s="1007"/>
      <c r="LG444" s="1008"/>
      <c r="LH444" s="1007"/>
      <c r="LI444" s="1008"/>
      <c r="LJ444" s="1007"/>
      <c r="LK444" s="1008"/>
      <c r="LL444" s="1007"/>
      <c r="LM444" s="1008"/>
      <c r="LN444" s="1007"/>
      <c r="LO444" s="1008"/>
      <c r="LP444" s="1007"/>
      <c r="LQ444" s="1008"/>
      <c r="LR444" s="1007"/>
      <c r="LS444" s="1008"/>
      <c r="LT444" s="1007"/>
      <c r="LU444" s="1008"/>
      <c r="LV444" s="1007"/>
      <c r="LW444" s="1008"/>
      <c r="LX444" s="1007"/>
      <c r="LY444" s="1009"/>
      <c r="LZ444" s="1010"/>
      <c r="MA444" s="1011"/>
      <c r="MB444" s="1012"/>
      <c r="MC444" s="995"/>
      <c r="MD444" s="996"/>
      <c r="ME444" s="997" t="s">
        <v>202</v>
      </c>
      <c r="MF444" s="997"/>
      <c r="MG444" s="998"/>
      <c r="NR444" s="1000"/>
      <c r="NS444" s="1000"/>
      <c r="NT444" s="1001"/>
      <c r="NU444" s="1000"/>
      <c r="NV444" s="1001"/>
      <c r="NX444" s="1002"/>
      <c r="NZ444" s="1001"/>
      <c r="OA444" s="1001"/>
      <c r="OC444" s="1003"/>
      <c r="OD444" s="1003"/>
      <c r="OE444" s="1001"/>
      <c r="OF444" s="1003"/>
      <c r="OG444" s="1003"/>
      <c r="QX444" s="1000">
        <f>CN444-CA444</f>
        <v>27.556659774049997</v>
      </c>
      <c r="ASU444" s="999" t="s">
        <v>225</v>
      </c>
    </row>
    <row r="445" spans="1:466 1191:1191" ht="21" customHeight="1" x14ac:dyDescent="0.25">
      <c r="A445" s="982">
        <f t="shared" si="323"/>
        <v>1520</v>
      </c>
      <c r="B445" s="124">
        <f>SUBTOTAL(103,$J$29:J445)</f>
        <v>417</v>
      </c>
      <c r="C445" s="126">
        <v>45068</v>
      </c>
      <c r="D445" s="124" t="s">
        <v>176</v>
      </c>
      <c r="E445" s="127" t="s">
        <v>177</v>
      </c>
      <c r="F445" s="128" t="s">
        <v>177</v>
      </c>
      <c r="G445" s="127" t="s">
        <v>178</v>
      </c>
      <c r="H445" s="127" t="s">
        <v>179</v>
      </c>
      <c r="I445" s="127" t="s">
        <v>1326</v>
      </c>
      <c r="J445" s="152">
        <v>1520</v>
      </c>
      <c r="K445" s="127" t="s">
        <v>1326</v>
      </c>
      <c r="L445" s="130">
        <v>44037</v>
      </c>
      <c r="M445" s="127" t="s">
        <v>230</v>
      </c>
      <c r="N445" s="127" t="s">
        <v>184</v>
      </c>
      <c r="O445" s="127" t="s">
        <v>185</v>
      </c>
      <c r="P445" s="127" t="s">
        <v>186</v>
      </c>
      <c r="Q445" s="85" t="str">
        <f t="shared" si="319"/>
        <v/>
      </c>
      <c r="R445" s="130"/>
      <c r="S445" s="128"/>
      <c r="T445" s="131"/>
      <c r="U445" s="132">
        <v>203</v>
      </c>
      <c r="V445" s="121">
        <v>218.2</v>
      </c>
      <c r="W445" s="116">
        <v>0.98</v>
      </c>
      <c r="X445" s="116">
        <v>1.66</v>
      </c>
      <c r="Y445" s="116">
        <f t="shared" si="346"/>
        <v>0.98</v>
      </c>
      <c r="Z445" s="133">
        <v>1.454</v>
      </c>
      <c r="AA445" s="133">
        <v>0.83599999999999997</v>
      </c>
      <c r="AB445" s="133">
        <v>0.72</v>
      </c>
      <c r="AC445" s="121">
        <v>34.299999999999997</v>
      </c>
      <c r="AD445" s="134">
        <v>1.17</v>
      </c>
      <c r="AE445" s="124">
        <v>177.8</v>
      </c>
      <c r="AF445" s="128">
        <v>9.19</v>
      </c>
      <c r="AG445" s="128">
        <v>2395.5</v>
      </c>
      <c r="AH445" s="127">
        <v>3587</v>
      </c>
      <c r="AI445" s="127">
        <f>AH445</f>
        <v>3587</v>
      </c>
      <c r="AJ445" s="135"/>
      <c r="AK445" s="128"/>
      <c r="AL445" s="131"/>
      <c r="AM445" s="124" t="s">
        <v>187</v>
      </c>
      <c r="AN445" s="136" t="s">
        <v>1672</v>
      </c>
      <c r="AO445" s="137">
        <v>48.85</v>
      </c>
      <c r="AP445" s="128">
        <v>2607.9699999999998</v>
      </c>
      <c r="AQ445" s="128">
        <f>2607.97-1671.15-176.2</f>
        <v>760.61999999999966</v>
      </c>
      <c r="AR445" s="128" t="s">
        <v>1673</v>
      </c>
      <c r="AS445" s="128">
        <v>114</v>
      </c>
      <c r="AT445" s="122">
        <v>7.4</v>
      </c>
      <c r="AU445" s="124" t="s">
        <v>189</v>
      </c>
      <c r="AV445" s="115">
        <f>VLOOKUP(J445,'[63]ТР нефть'!$J$28:$BP$638,39,0)</f>
        <v>423.00000380900002</v>
      </c>
      <c r="AW445" s="115" t="str">
        <f>VLOOKUP(J445,'[63]ТР нефть'!$J$28:$BP$638,40,0)</f>
        <v>ГП</v>
      </c>
      <c r="AX445" s="115">
        <f>VLOOKUP(J445,'[63]ТР нефть'!$J$28:$BP$638,41,0)</f>
        <v>805.99999335899997</v>
      </c>
      <c r="AY445" s="115" t="str">
        <f>VLOOKUP(J445,'[63]ТР нефть'!$J$28:$BP$638,42,0)</f>
        <v>ГП</v>
      </c>
      <c r="AZ445" s="115">
        <f>VLOOKUP(J445,'[63]ТР нефть'!$J$28:$BP$638,43,0)</f>
        <v>1133.0000150389999</v>
      </c>
      <c r="BA445" s="115" t="str">
        <f>VLOOKUP(J445,'[63]ТР нефть'!$J$28:$BP$638,44,0)</f>
        <v>ГК75 1/8</v>
      </c>
      <c r="BB445" s="115">
        <f>VLOOKUP(J445,'[63]ТР нефть'!$J$28:$BP$638,45,0)</f>
        <v>1380.0000082030001</v>
      </c>
      <c r="BC445" s="115" t="str">
        <f>VLOOKUP(J445,'[63]ТР нефть'!$J$28:$BP$638,46,0)</f>
        <v>ГК 75 5/32</v>
      </c>
      <c r="BD445" s="115">
        <f>VLOOKUP(J445,'[63]ТР нефть'!$J$28:$BP$638,47,0)</f>
        <v>1561.9999875000001</v>
      </c>
      <c r="BE445" s="115" t="str">
        <f>VLOOKUP(J445,'[63]ТР нефть'!$J$28:$BP$638,48,0)</f>
        <v>ГП</v>
      </c>
      <c r="BF445" s="115">
        <f>VLOOKUP(J445,'[63]ТР нефть'!$J$28:$BP$638,49,0)</f>
        <v>1650</v>
      </c>
      <c r="BG445" s="115" t="str">
        <f>VLOOKUP(J445,'[63]ТР нефть'!$J$28:$BP$638,50,0)</f>
        <v>ЦКсОК 5/16</v>
      </c>
      <c r="BH445" s="115">
        <f>VLOOKUP(J445,'[63]ТР нефть'!$J$28:$BP$638,51,0)</f>
        <v>1660</v>
      </c>
      <c r="BI445" s="115" t="str">
        <f>VLOOKUP(J445,'[63]ТР нефть'!$J$28:$BP$638,52,0)</f>
        <v>закрыт</v>
      </c>
      <c r="BJ445" s="115" t="str">
        <f>IF(IFERROR(VLOOKUP(J445,'[63]ТР нефть'!$J$28:$BP$638,53,0),"-")=0,"-",IFERROR(VLOOKUP(J445,'[63]ТР нефть'!$J$28:$BP$638,53,0),"-"))</f>
        <v>-</v>
      </c>
      <c r="BK445" s="138" t="str">
        <f>IF(IFERROR(VLOOKUP(J445,'[63]ТР нефть'!$J$28:$BP$638,54,0),"-")=0,"-",IFERROR(VLOOKUP(J445,'[63]ТР нефть'!$J$28:$BP$638,54,0),"-"))</f>
        <v>-</v>
      </c>
      <c r="BL445" s="138" t="str">
        <f>IF(IFERROR(VLOOKUP(J445,'[63]ТР нефть'!$J$28:$BP$638,55,0),"-")=0,"-",IFERROR(VLOOKUP(J445,'[63]ТР нефть'!$J$28:$BP$638,55,0),"-"))</f>
        <v>-</v>
      </c>
      <c r="BM445" s="138" t="str">
        <f>IF(IFERROR(VLOOKUP(J445,'[63]ТР нефть'!$J$28:$BP$638,56,0),"-")=0,"-",IFERROR(VLOOKUP(J445,'[63]ТР нефть'!$J$28:$BP$638,56,0),"-"))</f>
        <v>-</v>
      </c>
      <c r="BN445" s="138" t="str">
        <f>IF(IFERROR(VLOOKUP(J445,'[63]ТР нефть'!$J$28:$BP$638,57,0),"-")=0,"-",IFERROR(VLOOKUP(J445,'[63]ТР нефть'!$J$28:$BP$638,57,0),"-"))</f>
        <v>-</v>
      </c>
      <c r="BO445" s="115" t="str">
        <f>IF(IFERROR(VLOOKUP(J445,'[63]ТР нефть'!$J$28:$BP$638,58,0),"-")=0,"-",IFERROR(VLOOKUP(J445,'[63]ТР нефть'!$J$28:$BP$638,58,0),"-"))</f>
        <v>-</v>
      </c>
      <c r="BP445" s="115" t="str">
        <f>IF(IFERROR(VLOOKUP(J445,'[63]ТР нефть'!$J$28:$BP$638,59,0),"-")=0,"-",IFERROR(VLOOKUP(J445,'[63]ТР нефть'!$J$28:$BP$638,59,0),"-"))</f>
        <v>-</v>
      </c>
      <c r="BQ445" s="138">
        <v>2334</v>
      </c>
      <c r="BR445" s="128">
        <v>1817</v>
      </c>
      <c r="BS445" s="115">
        <f t="shared" si="351"/>
        <v>517</v>
      </c>
      <c r="BT445" s="128">
        <v>73</v>
      </c>
      <c r="BU445" s="128">
        <v>5.5</v>
      </c>
      <c r="BV445" s="127">
        <v>18</v>
      </c>
      <c r="BW445" s="127" t="s">
        <v>194</v>
      </c>
      <c r="BX445" s="127" t="s">
        <v>195</v>
      </c>
      <c r="BY445" s="139">
        <v>24</v>
      </c>
      <c r="BZ445" s="139">
        <v>0</v>
      </c>
      <c r="CA445" s="138">
        <v>32</v>
      </c>
      <c r="CB445" s="138">
        <v>57</v>
      </c>
      <c r="CC445" s="138">
        <v>30</v>
      </c>
      <c r="CD445" s="135">
        <v>45017</v>
      </c>
      <c r="CE445" s="138">
        <v>116</v>
      </c>
      <c r="CF445" s="138">
        <v>67</v>
      </c>
      <c r="CG445" s="138" t="str">
        <f t="shared" si="352"/>
        <v>В работе</v>
      </c>
      <c r="CH445" s="138" t="s">
        <v>235</v>
      </c>
      <c r="CI445" s="138"/>
      <c r="CJ445" s="138"/>
      <c r="CK445" s="138">
        <f t="shared" si="356"/>
        <v>43</v>
      </c>
      <c r="CL445" s="99"/>
      <c r="CM445" s="99"/>
      <c r="CN445" s="140">
        <v>75</v>
      </c>
      <c r="CO445" s="141">
        <f t="shared" si="324"/>
        <v>40.963999999999999</v>
      </c>
      <c r="CP445" s="142">
        <v>49</v>
      </c>
      <c r="CQ445" s="143">
        <v>0</v>
      </c>
      <c r="CR445" s="138">
        <v>26</v>
      </c>
      <c r="CS445" s="139">
        <v>7.2</v>
      </c>
      <c r="CT445" s="138"/>
      <c r="CU445" s="138">
        <f t="shared" si="320"/>
        <v>18.8</v>
      </c>
      <c r="CV445" s="115">
        <f t="shared" si="321"/>
        <v>458.9395566839176</v>
      </c>
      <c r="CW445" s="115">
        <f t="shared" si="325"/>
        <v>175.76408553852164</v>
      </c>
      <c r="CX445" s="133">
        <f t="shared" si="322"/>
        <v>1.1951219512195121</v>
      </c>
      <c r="CY445" s="116"/>
      <c r="CZ445" s="131"/>
      <c r="DA445" s="145" t="str">
        <f t="shared" si="326"/>
        <v>Газлифт</v>
      </c>
      <c r="DB445" s="146">
        <f t="shared" si="341"/>
        <v>40.963999999999999</v>
      </c>
      <c r="DC445" s="142">
        <f t="shared" si="342"/>
        <v>49</v>
      </c>
      <c r="DD445" s="119">
        <f t="shared" si="350"/>
        <v>0</v>
      </c>
      <c r="DE445" s="115">
        <f t="shared" si="343"/>
        <v>18.8</v>
      </c>
      <c r="DF445" s="121">
        <f t="shared" si="328"/>
        <v>7.2</v>
      </c>
      <c r="DG445" s="115">
        <f t="shared" si="329"/>
        <v>458.9395566839176</v>
      </c>
      <c r="DH445" s="115">
        <f t="shared" si="330"/>
        <v>75</v>
      </c>
      <c r="DI445" s="147"/>
      <c r="DJ445" s="111"/>
      <c r="DK445" s="112">
        <v>44037</v>
      </c>
      <c r="DL445" s="113">
        <f t="shared" ca="1" si="312"/>
        <v>1067</v>
      </c>
      <c r="DM445" s="114"/>
      <c r="DN445" s="114"/>
      <c r="DO445" s="114"/>
      <c r="DP445" s="114"/>
      <c r="DQ445" s="112"/>
      <c r="DR445" s="114"/>
      <c r="DS445" s="114"/>
      <c r="DT445" s="115">
        <v>60</v>
      </c>
      <c r="DU445" s="116">
        <f t="shared" si="313"/>
        <v>1.1136363636363638</v>
      </c>
      <c r="DV445" s="117">
        <f t="shared" si="314"/>
        <v>52.136000000000003</v>
      </c>
      <c r="DW445" s="118">
        <f t="shared" si="315"/>
        <v>62.363636363636367</v>
      </c>
      <c r="DX445" s="119">
        <f t="shared" si="331"/>
        <v>0</v>
      </c>
      <c r="DY445" s="115">
        <f t="shared" si="316"/>
        <v>23.927272727272729</v>
      </c>
      <c r="DZ445" s="117">
        <f t="shared" si="349"/>
        <v>11.172000000000004</v>
      </c>
      <c r="EA445" s="120">
        <f t="shared" si="349"/>
        <v>13.363636363636367</v>
      </c>
      <c r="EB445" s="119">
        <f t="shared" si="349"/>
        <v>0</v>
      </c>
      <c r="EC445" s="121">
        <f t="shared" si="318"/>
        <v>5.1272727272727288</v>
      </c>
      <c r="ED445" s="122"/>
      <c r="EE445" s="145">
        <v>18</v>
      </c>
      <c r="EF445" s="115">
        <v>35</v>
      </c>
      <c r="EG445" s="115">
        <v>63</v>
      </c>
      <c r="EH445" s="115">
        <v>34</v>
      </c>
      <c r="EI445" s="128" t="s">
        <v>195</v>
      </c>
      <c r="EJ445" s="121">
        <v>24</v>
      </c>
      <c r="EK445" s="121">
        <v>0</v>
      </c>
      <c r="EL445" s="149">
        <v>30.229759999999995</v>
      </c>
      <c r="EM445" s="142">
        <v>36.159999999999997</v>
      </c>
      <c r="EN445" s="119">
        <v>0</v>
      </c>
      <c r="EO445" s="115">
        <v>14.3</v>
      </c>
      <c r="EP445" s="115">
        <v>155.47592835669226</v>
      </c>
      <c r="EQ445" s="115">
        <v>66</v>
      </c>
      <c r="ER445" s="115">
        <v>9.6</v>
      </c>
      <c r="ES445" s="115">
        <v>96</v>
      </c>
      <c r="ET445" s="150">
        <v>1.8079999999999998</v>
      </c>
      <c r="EU445" s="145">
        <f t="shared" si="332"/>
        <v>18</v>
      </c>
      <c r="EV445" s="115">
        <f t="shared" si="333"/>
        <v>32</v>
      </c>
      <c r="EW445" s="115">
        <f t="shared" si="333"/>
        <v>57</v>
      </c>
      <c r="EX445" s="115">
        <f t="shared" si="333"/>
        <v>30</v>
      </c>
      <c r="EY445" s="115" t="str">
        <f t="shared" si="309"/>
        <v>Постоянный</v>
      </c>
      <c r="EZ445" s="115">
        <f t="shared" si="309"/>
        <v>24</v>
      </c>
      <c r="FA445" s="115">
        <f t="shared" si="309"/>
        <v>0</v>
      </c>
      <c r="FB445" s="149">
        <f t="shared" si="345"/>
        <v>40.963999999999999</v>
      </c>
      <c r="FC445" s="142">
        <f t="shared" si="345"/>
        <v>49</v>
      </c>
      <c r="FD445" s="119">
        <f t="shared" si="345"/>
        <v>0</v>
      </c>
      <c r="FE445" s="121">
        <f t="shared" si="344"/>
        <v>26</v>
      </c>
      <c r="FF445" s="121">
        <f t="shared" si="347"/>
        <v>458.9395566839176</v>
      </c>
      <c r="FG445" s="121">
        <f t="shared" si="334"/>
        <v>67</v>
      </c>
      <c r="FH445" s="121">
        <f t="shared" si="348"/>
        <v>7.2</v>
      </c>
      <c r="FI445" s="121">
        <f t="shared" si="355"/>
        <v>75</v>
      </c>
      <c r="FJ445" s="144">
        <f t="shared" si="335"/>
        <v>1.1951219512195121</v>
      </c>
      <c r="FK445" s="132">
        <f t="shared" si="336"/>
        <v>0</v>
      </c>
      <c r="FL445" s="115">
        <f t="shared" si="336"/>
        <v>-3</v>
      </c>
      <c r="FM445" s="115">
        <f t="shared" si="336"/>
        <v>-6</v>
      </c>
      <c r="FN445" s="115">
        <f t="shared" si="336"/>
        <v>-4</v>
      </c>
      <c r="FO445" s="115">
        <f t="shared" si="354"/>
        <v>0</v>
      </c>
      <c r="FP445" s="115">
        <f t="shared" si="354"/>
        <v>0</v>
      </c>
      <c r="FQ445" s="149">
        <f t="shared" si="354"/>
        <v>10.734240000000003</v>
      </c>
      <c r="FR445" s="142">
        <f t="shared" si="354"/>
        <v>12.840000000000003</v>
      </c>
      <c r="FS445" s="119">
        <f t="shared" si="354"/>
        <v>0</v>
      </c>
      <c r="FT445" s="121">
        <f t="shared" si="353"/>
        <v>11.7</v>
      </c>
      <c r="FU445" s="121">
        <f t="shared" si="337"/>
        <v>1</v>
      </c>
      <c r="FV445" s="121">
        <f t="shared" si="337"/>
        <v>-2.3999999999999995</v>
      </c>
      <c r="FW445" s="121">
        <f t="shared" si="338"/>
        <v>303.46362832722536</v>
      </c>
      <c r="FX445" s="121">
        <f t="shared" si="339"/>
        <v>-21</v>
      </c>
      <c r="FY445" s="144">
        <f t="shared" si="339"/>
        <v>-0.61287804878048768</v>
      </c>
      <c r="FZ445" s="145" t="s">
        <v>221</v>
      </c>
      <c r="GA445" s="151" t="s">
        <v>1674</v>
      </c>
      <c r="GB445" s="145" t="s">
        <v>308</v>
      </c>
      <c r="GC445" s="151" t="s">
        <v>1675</v>
      </c>
      <c r="GD445" s="997" t="s">
        <v>202</v>
      </c>
      <c r="GE445" s="1004" t="s">
        <v>308</v>
      </c>
      <c r="GF445" s="1004">
        <v>-2.3742400000000039</v>
      </c>
      <c r="GG445" s="1004"/>
      <c r="GH445" s="1004">
        <v>0</v>
      </c>
      <c r="GI445" s="145" t="s">
        <v>1676</v>
      </c>
      <c r="GJ445" s="996">
        <v>-22.990000000000002</v>
      </c>
      <c r="GK445" s="145" t="s">
        <v>221</v>
      </c>
      <c r="GL445" s="996">
        <v>35.786712192000003</v>
      </c>
      <c r="GM445" s="1005" t="s">
        <v>25</v>
      </c>
      <c r="GN445" s="996">
        <v>11.448959807999998</v>
      </c>
      <c r="GO445" s="1006" t="s">
        <v>203</v>
      </c>
      <c r="GP445" s="996">
        <v>-12.537492</v>
      </c>
      <c r="GQ445" s="1006" t="s">
        <v>433</v>
      </c>
      <c r="GR445" s="996">
        <v>-5.0149967999999987</v>
      </c>
      <c r="GS445" s="1006"/>
      <c r="GT445" s="996">
        <v>0</v>
      </c>
      <c r="GU445" s="1006" t="s">
        <v>203</v>
      </c>
      <c r="GV445" s="996">
        <v>-7.5224952000000016</v>
      </c>
      <c r="GW445" s="1006"/>
      <c r="GX445" s="996">
        <v>0</v>
      </c>
      <c r="GY445" s="1006" t="s">
        <v>203</v>
      </c>
      <c r="GZ445" s="996">
        <v>-16.166688000000001</v>
      </c>
      <c r="HA445" s="1006" t="s">
        <v>25</v>
      </c>
      <c r="HB445" s="996">
        <v>41.741490031999994</v>
      </c>
      <c r="HC445" s="1006" t="s">
        <v>1103</v>
      </c>
      <c r="HD445" s="996">
        <v>-31.995679583999994</v>
      </c>
      <c r="HE445" s="1006" t="s">
        <v>204</v>
      </c>
      <c r="HF445" s="996">
        <v>0</v>
      </c>
      <c r="HG445" s="1006" t="s">
        <v>221</v>
      </c>
      <c r="HH445" s="996">
        <v>39.308093</v>
      </c>
      <c r="HI445" s="1006"/>
      <c r="HJ445" s="996">
        <v>0</v>
      </c>
      <c r="HK445" s="1006" t="s">
        <v>1065</v>
      </c>
      <c r="HL445" s="996">
        <v>-43.691282800000003</v>
      </c>
      <c r="HM445" s="1006" t="s">
        <v>221</v>
      </c>
      <c r="HN445" s="996">
        <v>5.6830945600000007</v>
      </c>
      <c r="HO445" s="1006"/>
      <c r="HP445" s="996">
        <v>0</v>
      </c>
      <c r="HQ445" s="1006" t="s">
        <v>221</v>
      </c>
      <c r="HR445" s="996">
        <v>26.041680896000003</v>
      </c>
      <c r="HS445" s="1006" t="s">
        <v>25</v>
      </c>
      <c r="HT445" s="996">
        <v>16.081583583999997</v>
      </c>
      <c r="HU445" s="1006"/>
      <c r="HV445" s="996">
        <v>0</v>
      </c>
      <c r="HW445" s="1006"/>
      <c r="HX445" s="996">
        <v>-0.6645909071999998</v>
      </c>
      <c r="HY445" s="1006" t="s">
        <v>204</v>
      </c>
      <c r="HZ445" s="996">
        <v>-1.7619107967999996</v>
      </c>
      <c r="IA445" s="1006"/>
      <c r="IB445" s="996">
        <v>-0.46854957600000047</v>
      </c>
      <c r="IC445" s="1006"/>
      <c r="ID445" s="996">
        <v>-0.76198056000000047</v>
      </c>
      <c r="IE445" s="1006" t="s">
        <v>204</v>
      </c>
      <c r="IF445" s="996">
        <v>-2.2470426000000003</v>
      </c>
      <c r="IG445" s="1006" t="s">
        <v>199</v>
      </c>
      <c r="IH445" s="996">
        <v>-5.0766517999999996</v>
      </c>
      <c r="II445" s="1006" t="s">
        <v>199</v>
      </c>
      <c r="IJ445" s="996">
        <v>-29.128330000000005</v>
      </c>
      <c r="IK445" s="1006"/>
      <c r="IL445" s="996">
        <v>0</v>
      </c>
      <c r="IM445" s="1006" t="s">
        <v>204</v>
      </c>
      <c r="IN445" s="996">
        <v>-24.800692399999988</v>
      </c>
      <c r="IO445" s="1006"/>
      <c r="IP445" s="996">
        <v>0</v>
      </c>
      <c r="IQ445" s="1006" t="s">
        <v>204</v>
      </c>
      <c r="IR445" s="996">
        <v>34.93050439999999</v>
      </c>
      <c r="IS445" s="1006" t="s">
        <v>203</v>
      </c>
      <c r="IT445" s="996">
        <v>-4.1181443599999987</v>
      </c>
      <c r="IU445" s="1006"/>
      <c r="IV445" s="996">
        <v>0</v>
      </c>
      <c r="IW445" s="1006"/>
      <c r="IX445" s="996"/>
      <c r="IY445" s="1006"/>
      <c r="IZ445" s="996"/>
      <c r="JA445" s="1006"/>
      <c r="JB445" s="996"/>
      <c r="JC445" s="1006"/>
      <c r="JD445" s="996"/>
      <c r="JE445" s="1006"/>
      <c r="JF445" s="996"/>
      <c r="JG445" s="1006"/>
      <c r="JH445" s="996"/>
      <c r="JI445" s="1006"/>
      <c r="JJ445" s="996"/>
      <c r="JK445" s="1007"/>
      <c r="JL445" s="1007"/>
      <c r="JM445" s="1007"/>
      <c r="JN445" s="1007"/>
      <c r="JO445" s="1008"/>
      <c r="JP445" s="1007"/>
      <c r="JQ445" s="1008"/>
      <c r="JR445" s="1007"/>
      <c r="JS445" s="1008"/>
      <c r="JT445" s="1007"/>
      <c r="JU445" s="1008"/>
      <c r="JV445" s="1007"/>
      <c r="JW445" s="1008"/>
      <c r="JX445" s="1007"/>
      <c r="JY445" s="1008"/>
      <c r="JZ445" s="1007"/>
      <c r="KA445" s="1008"/>
      <c r="KB445" s="1007"/>
      <c r="KC445" s="1008"/>
      <c r="KD445" s="1007"/>
      <c r="KE445" s="1008"/>
      <c r="KF445" s="1007"/>
      <c r="KG445" s="1008"/>
      <c r="KH445" s="1007"/>
      <c r="KI445" s="1008"/>
      <c r="KJ445" s="1007"/>
      <c r="KK445" s="1008"/>
      <c r="KL445" s="1007"/>
      <c r="KM445" s="1008"/>
      <c r="KN445" s="1007"/>
      <c r="KO445" s="1008"/>
      <c r="KP445" s="1007"/>
      <c r="KQ445" s="1008"/>
      <c r="KR445" s="1007"/>
      <c r="KS445" s="1008"/>
      <c r="KT445" s="1007"/>
      <c r="KU445" s="1008"/>
      <c r="KV445" s="1007"/>
      <c r="KW445" s="1008"/>
      <c r="KX445" s="1007"/>
      <c r="KY445" s="1008"/>
      <c r="KZ445" s="1007"/>
      <c r="LA445" s="1008"/>
      <c r="LB445" s="1007"/>
      <c r="LC445" s="1008"/>
      <c r="LD445" s="1007"/>
      <c r="LE445" s="1008"/>
      <c r="LF445" s="1007"/>
      <c r="LG445" s="1008"/>
      <c r="LH445" s="1007"/>
      <c r="LI445" s="1008"/>
      <c r="LJ445" s="1007"/>
      <c r="LK445" s="1008"/>
      <c r="LL445" s="1007"/>
      <c r="LM445" s="1008"/>
      <c r="LN445" s="1007"/>
      <c r="LO445" s="1008"/>
      <c r="LP445" s="1007"/>
      <c r="LQ445" s="1008"/>
      <c r="LR445" s="1007"/>
      <c r="LS445" s="1008"/>
      <c r="LT445" s="1007"/>
      <c r="LU445" s="1008"/>
      <c r="LV445" s="1007"/>
      <c r="LW445" s="1008"/>
      <c r="LX445" s="1007"/>
      <c r="LY445" s="1009"/>
      <c r="LZ445" s="1010"/>
      <c r="MA445" s="1011"/>
      <c r="MB445" s="1012"/>
      <c r="MC445" s="995"/>
      <c r="MD445" s="996"/>
      <c r="ME445" s="997" t="s">
        <v>202</v>
      </c>
      <c r="MF445" s="997"/>
      <c r="MG445" s="998"/>
      <c r="NR445" s="1000"/>
      <c r="NS445" s="1000"/>
      <c r="NT445" s="1001"/>
      <c r="NU445" s="1000"/>
      <c r="NV445" s="1001"/>
      <c r="NX445" s="1002"/>
      <c r="NZ445" s="1001"/>
      <c r="OA445" s="1001"/>
      <c r="OC445" s="1003"/>
      <c r="OD445" s="1003"/>
      <c r="OE445" s="1001"/>
      <c r="OF445" s="1003"/>
      <c r="OG445" s="1003"/>
      <c r="QX445" s="1000">
        <f>CN445-CA445</f>
        <v>43</v>
      </c>
      <c r="ASU445" s="999" t="s">
        <v>208</v>
      </c>
    </row>
    <row r="446" spans="1:466 1191:1191" ht="21" customHeight="1" x14ac:dyDescent="0.25">
      <c r="A446" s="982">
        <f t="shared" si="323"/>
        <v>1521</v>
      </c>
      <c r="B446" s="124">
        <f>SUBTOTAL(103,$J$29:J446)</f>
        <v>418</v>
      </c>
      <c r="C446" s="126">
        <v>45068</v>
      </c>
      <c r="D446" s="124" t="s">
        <v>176</v>
      </c>
      <c r="E446" s="127" t="s">
        <v>177</v>
      </c>
      <c r="F446" s="128" t="s">
        <v>177</v>
      </c>
      <c r="G446" s="127" t="s">
        <v>178</v>
      </c>
      <c r="H446" s="127" t="s">
        <v>179</v>
      </c>
      <c r="I446" s="127" t="s">
        <v>1330</v>
      </c>
      <c r="J446" s="215">
        <v>1521</v>
      </c>
      <c r="K446" s="127" t="s">
        <v>1330</v>
      </c>
      <c r="L446" s="130">
        <v>43720</v>
      </c>
      <c r="M446" s="127" t="s">
        <v>230</v>
      </c>
      <c r="N446" s="127" t="s">
        <v>184</v>
      </c>
      <c r="O446" s="127" t="s">
        <v>185</v>
      </c>
      <c r="P446" s="127" t="s">
        <v>186</v>
      </c>
      <c r="Q446" s="85" t="str">
        <f t="shared" si="319"/>
        <v/>
      </c>
      <c r="R446" s="130"/>
      <c r="S446" s="128"/>
      <c r="T446" s="131"/>
      <c r="U446" s="132">
        <v>203</v>
      </c>
      <c r="V446" s="121">
        <v>218.2</v>
      </c>
      <c r="W446" s="116">
        <v>0.98</v>
      </c>
      <c r="X446" s="116">
        <v>1.66</v>
      </c>
      <c r="Y446" s="116">
        <f t="shared" si="346"/>
        <v>0.99586911434497183</v>
      </c>
      <c r="Z446" s="133">
        <v>1.454</v>
      </c>
      <c r="AA446" s="133">
        <v>0.83599999999999997</v>
      </c>
      <c r="AB446" s="133">
        <v>0.72</v>
      </c>
      <c r="AC446" s="121">
        <v>34.299999999999997</v>
      </c>
      <c r="AD446" s="134">
        <v>1.17</v>
      </c>
      <c r="AE446" s="124">
        <v>177.8</v>
      </c>
      <c r="AF446" s="128">
        <v>9.19</v>
      </c>
      <c r="AG446" s="128">
        <v>2218</v>
      </c>
      <c r="AH446" s="127">
        <v>3166</v>
      </c>
      <c r="AI446" s="127">
        <v>3166</v>
      </c>
      <c r="AJ446" s="135"/>
      <c r="AK446" s="128"/>
      <c r="AL446" s="131"/>
      <c r="AM446" s="124" t="s">
        <v>187</v>
      </c>
      <c r="AN446" s="136" t="s">
        <v>1677</v>
      </c>
      <c r="AO446" s="137">
        <v>51</v>
      </c>
      <c r="AP446" s="128">
        <v>2317.4899999999998</v>
      </c>
      <c r="AQ446" s="128">
        <v>1149</v>
      </c>
      <c r="AR446" s="128" t="s">
        <v>1678</v>
      </c>
      <c r="AS446" s="128">
        <v>114</v>
      </c>
      <c r="AT446" s="122">
        <v>7.37</v>
      </c>
      <c r="AU446" s="124" t="s">
        <v>189</v>
      </c>
      <c r="AV446" s="115">
        <f>VLOOKUP(J446,'[63]ТР нефть'!$J$28:$BP$638,39,0)</f>
        <v>449.999992969</v>
      </c>
      <c r="AW446" s="115" t="str">
        <f>VLOOKUP(J446,'[63]ТР нефть'!$J$28:$BP$638,40,0)</f>
        <v>ГП</v>
      </c>
      <c r="AX446" s="115">
        <f>VLOOKUP(J446,'[63]ТР нефть'!$J$28:$BP$638,41,0)</f>
        <v>799.99998749999997</v>
      </c>
      <c r="AY446" s="115" t="str">
        <f>VLOOKUP(J446,'[63]ТР нефть'!$J$28:$BP$638,42,0)</f>
        <v>ГК 74 1/8</v>
      </c>
      <c r="AZ446" s="115">
        <f>VLOOKUP(J446,'[63]ТР нефть'!$J$28:$BP$638,43,0)</f>
        <v>1109.999967773</v>
      </c>
      <c r="BA446" s="115" t="str">
        <f>VLOOKUP(J446,'[63]ТР нефть'!$J$28:$BP$638,44,0)</f>
        <v>ГК 74 1/8</v>
      </c>
      <c r="BB446" s="115">
        <f>VLOOKUP(J446,'[63]ТР нефть'!$J$28:$BP$638,45,0)</f>
        <v>1360.0000382809999</v>
      </c>
      <c r="BC446" s="115" t="str">
        <f>VLOOKUP(J446,'[63]ТР нефть'!$J$28:$BP$638,46,0)</f>
        <v>ГК 73 1/8</v>
      </c>
      <c r="BD446" s="115">
        <f>VLOOKUP(J446,'[63]ТР нефть'!$J$28:$BP$638,47,0)</f>
        <v>1560.000035156</v>
      </c>
      <c r="BE446" s="115" t="str">
        <f>VLOOKUP(J446,'[63]ТР нефть'!$J$28:$BP$638,48,0)</f>
        <v>ГК 74 5/32</v>
      </c>
      <c r="BF446" s="115">
        <f>VLOOKUP(J446,'[63]ТР нефть'!$J$28:$BP$638,49,0)</f>
        <v>1800</v>
      </c>
      <c r="BG446" s="115" t="str">
        <f>VLOOKUP(J446,'[63]ТР нефть'!$J$28:$BP$638,50,0)</f>
        <v>ЦКсОК 5/16</v>
      </c>
      <c r="BH446" s="115" t="str">
        <f>VLOOKUP(J446,'[63]ТР нефть'!$J$28:$BP$638,51,0)</f>
        <v>-</v>
      </c>
      <c r="BI446" s="115" t="str">
        <f>VLOOKUP(J446,'[63]ТР нефть'!$J$28:$BP$638,52,0)</f>
        <v>-</v>
      </c>
      <c r="BJ446" s="115" t="str">
        <f>IF(IFERROR(VLOOKUP(J446,'[63]ТР нефть'!$J$28:$BP$638,53,0),"-")=0,"-",IFERROR(VLOOKUP(J446,'[63]ТР нефть'!$J$28:$BP$638,53,0),"-"))</f>
        <v>-</v>
      </c>
      <c r="BK446" s="138" t="str">
        <f>IF(IFERROR(VLOOKUP(J446,'[63]ТР нефть'!$J$28:$BP$638,54,0),"-")=0,"-",IFERROR(VLOOKUP(J446,'[63]ТР нефть'!$J$28:$BP$638,54,0),"-"))</f>
        <v>-</v>
      </c>
      <c r="BL446" s="138" t="str">
        <f>IF(IFERROR(VLOOKUP(J446,'[63]ТР нефть'!$J$28:$BP$638,55,0),"-")=0,"-",IFERROR(VLOOKUP(J446,'[63]ТР нефть'!$J$28:$BP$638,55,0),"-"))</f>
        <v>-</v>
      </c>
      <c r="BM446" s="138" t="str">
        <f>IF(IFERROR(VLOOKUP(J446,'[63]ТР нефть'!$J$28:$BP$638,56,0),"-")=0,"-",IFERROR(VLOOKUP(J446,'[63]ТР нефть'!$J$28:$BP$638,56,0),"-"))</f>
        <v>-</v>
      </c>
      <c r="BN446" s="138" t="str">
        <f>IF(IFERROR(VLOOKUP(J446,'[63]ТР нефть'!$J$28:$BP$638,57,0),"-")=0,"-",IFERROR(VLOOKUP(J446,'[63]ТР нефть'!$J$28:$BP$638,57,0),"-"))</f>
        <v>-</v>
      </c>
      <c r="BO446" s="115" t="str">
        <f>IF(IFERROR(VLOOKUP(J446,'[63]ТР нефть'!$J$28:$BP$638,58,0),"-")=0,"-",IFERROR(VLOOKUP(J446,'[63]ТР нефть'!$J$28:$BP$638,58,0),"-"))</f>
        <v>-</v>
      </c>
      <c r="BP446" s="115" t="str">
        <f>IF(IFERROR(VLOOKUP(J446,'[63]ТР нефть'!$J$28:$BP$638,59,0),"-")=0,"-",IFERROR(VLOOKUP(J446,'[63]ТР нефть'!$J$28:$BP$638,59,0),"-"))</f>
        <v>-</v>
      </c>
      <c r="BQ446" s="138">
        <v>2143</v>
      </c>
      <c r="BR446" s="128">
        <v>1837</v>
      </c>
      <c r="BS446" s="115">
        <f t="shared" si="351"/>
        <v>306</v>
      </c>
      <c r="BT446" s="128">
        <v>73</v>
      </c>
      <c r="BU446" s="128">
        <v>5.5</v>
      </c>
      <c r="BV446" s="127">
        <v>65</v>
      </c>
      <c r="BW446" s="127" t="s">
        <v>217</v>
      </c>
      <c r="BX446" s="127" t="s">
        <v>195</v>
      </c>
      <c r="BY446" s="139">
        <v>24</v>
      </c>
      <c r="BZ446" s="139">
        <v>0</v>
      </c>
      <c r="CA446" s="138">
        <v>14</v>
      </c>
      <c r="CB446" s="138">
        <v>36</v>
      </c>
      <c r="CC446" s="138">
        <v>13</v>
      </c>
      <c r="CD446" s="135">
        <v>45017</v>
      </c>
      <c r="CE446" s="138">
        <v>85</v>
      </c>
      <c r="CF446" s="138">
        <v>70</v>
      </c>
      <c r="CG446" s="138" t="str">
        <f t="shared" si="352"/>
        <v>В работе</v>
      </c>
      <c r="CH446" s="138" t="s">
        <v>272</v>
      </c>
      <c r="CI446" s="127">
        <v>5</v>
      </c>
      <c r="CJ446" s="138"/>
      <c r="CK446" s="138">
        <f t="shared" si="356"/>
        <v>32</v>
      </c>
      <c r="CL446" s="99"/>
      <c r="CM446" s="99"/>
      <c r="CN446" s="140">
        <v>46</v>
      </c>
      <c r="CO446" s="141">
        <f t="shared" si="324"/>
        <v>13.659153199999999</v>
      </c>
      <c r="CP446" s="142">
        <v>17</v>
      </c>
      <c r="CQ446" s="143">
        <v>3.89</v>
      </c>
      <c r="CR446" s="138">
        <v>14</v>
      </c>
      <c r="CS446" s="139">
        <v>8.4</v>
      </c>
      <c r="CT446" s="138"/>
      <c r="CU446" s="138">
        <f t="shared" si="320"/>
        <v>5.6</v>
      </c>
      <c r="CV446" s="115">
        <f t="shared" si="321"/>
        <v>409.98149138557142</v>
      </c>
      <c r="CW446" s="115">
        <f t="shared" si="325"/>
        <v>582.32483568422265</v>
      </c>
      <c r="CX446" s="133">
        <f t="shared" si="322"/>
        <v>0.4358974358974359</v>
      </c>
      <c r="CY446" s="116"/>
      <c r="CZ446" s="131"/>
      <c r="DA446" s="145" t="str">
        <f t="shared" si="326"/>
        <v>Газлифт</v>
      </c>
      <c r="DB446" s="146">
        <f t="shared" si="341"/>
        <v>13.659153199999999</v>
      </c>
      <c r="DC446" s="142">
        <f t="shared" si="342"/>
        <v>17</v>
      </c>
      <c r="DD446" s="119">
        <f t="shared" si="350"/>
        <v>3.89</v>
      </c>
      <c r="DE446" s="115">
        <f t="shared" si="343"/>
        <v>5.6</v>
      </c>
      <c r="DF446" s="121">
        <f t="shared" si="328"/>
        <v>8.4</v>
      </c>
      <c r="DG446" s="115">
        <f t="shared" si="329"/>
        <v>409.98149138557142</v>
      </c>
      <c r="DH446" s="115">
        <f t="shared" si="330"/>
        <v>46</v>
      </c>
      <c r="DI446" s="147"/>
      <c r="DJ446" s="111" t="s">
        <v>197</v>
      </c>
      <c r="DK446" s="112">
        <v>43720</v>
      </c>
      <c r="DL446" s="113">
        <f t="shared" ca="1" si="312"/>
        <v>1384</v>
      </c>
      <c r="DM446" s="114"/>
      <c r="DN446" s="114"/>
      <c r="DO446" s="114"/>
      <c r="DP446" s="114"/>
      <c r="DQ446" s="112"/>
      <c r="DR446" s="114"/>
      <c r="DS446" s="114"/>
      <c r="DT446" s="115">
        <v>49</v>
      </c>
      <c r="DU446" s="116">
        <f t="shared" si="313"/>
        <v>0.47222222222222221</v>
      </c>
      <c r="DV446" s="117">
        <f t="shared" si="314"/>
        <v>13.659153199999999</v>
      </c>
      <c r="DW446" s="118">
        <f t="shared" si="315"/>
        <v>17</v>
      </c>
      <c r="DX446" s="119">
        <f t="shared" si="331"/>
        <v>3.89</v>
      </c>
      <c r="DY446" s="115">
        <f t="shared" si="316"/>
        <v>5.6</v>
      </c>
      <c r="DZ446" s="117">
        <f t="shared" si="349"/>
        <v>0</v>
      </c>
      <c r="EA446" s="120">
        <f t="shared" si="349"/>
        <v>0</v>
      </c>
      <c r="EB446" s="119">
        <f t="shared" si="349"/>
        <v>0</v>
      </c>
      <c r="EC446" s="121">
        <f t="shared" si="318"/>
        <v>0</v>
      </c>
      <c r="ED446" s="122"/>
      <c r="EE446" s="145">
        <v>65</v>
      </c>
      <c r="EF446" s="115">
        <v>14</v>
      </c>
      <c r="EG446" s="115">
        <v>37</v>
      </c>
      <c r="EH446" s="115">
        <v>13</v>
      </c>
      <c r="EI446" s="128" t="s">
        <v>195</v>
      </c>
      <c r="EJ446" s="121">
        <v>24</v>
      </c>
      <c r="EK446" s="121">
        <v>0</v>
      </c>
      <c r="EL446" s="149">
        <v>13.659153199999999</v>
      </c>
      <c r="EM446" s="142">
        <v>17</v>
      </c>
      <c r="EN446" s="119">
        <v>3.89</v>
      </c>
      <c r="EO446" s="115">
        <v>16</v>
      </c>
      <c r="EP446" s="115">
        <v>527.11906035287745</v>
      </c>
      <c r="EQ446" s="115">
        <v>70</v>
      </c>
      <c r="ER446" s="115">
        <v>8.8000000000000007</v>
      </c>
      <c r="ES446" s="115">
        <v>42</v>
      </c>
      <c r="ET446" s="150">
        <v>0.39534883720930231</v>
      </c>
      <c r="EU446" s="145">
        <f t="shared" si="332"/>
        <v>65</v>
      </c>
      <c r="EV446" s="115">
        <f t="shared" si="333"/>
        <v>14</v>
      </c>
      <c r="EW446" s="115">
        <f t="shared" si="333"/>
        <v>36</v>
      </c>
      <c r="EX446" s="115">
        <f t="shared" si="333"/>
        <v>13</v>
      </c>
      <c r="EY446" s="115" t="str">
        <f t="shared" si="309"/>
        <v>Постоянный</v>
      </c>
      <c r="EZ446" s="115">
        <f t="shared" si="309"/>
        <v>24</v>
      </c>
      <c r="FA446" s="115">
        <f t="shared" si="309"/>
        <v>0</v>
      </c>
      <c r="FB446" s="149">
        <f t="shared" si="345"/>
        <v>13.659153199999999</v>
      </c>
      <c r="FC446" s="142">
        <f t="shared" si="345"/>
        <v>17</v>
      </c>
      <c r="FD446" s="119">
        <f t="shared" si="345"/>
        <v>3.89</v>
      </c>
      <c r="FE446" s="121">
        <f t="shared" si="344"/>
        <v>14</v>
      </c>
      <c r="FF446" s="121">
        <f t="shared" si="347"/>
        <v>409.98149138557142</v>
      </c>
      <c r="FG446" s="121">
        <f t="shared" si="334"/>
        <v>70</v>
      </c>
      <c r="FH446" s="121">
        <f t="shared" si="348"/>
        <v>8.4</v>
      </c>
      <c r="FI446" s="121">
        <f t="shared" si="355"/>
        <v>46</v>
      </c>
      <c r="FJ446" s="144">
        <f t="shared" si="335"/>
        <v>0.4358974358974359</v>
      </c>
      <c r="FK446" s="132">
        <f t="shared" si="336"/>
        <v>0</v>
      </c>
      <c r="FL446" s="115">
        <f t="shared" si="336"/>
        <v>0</v>
      </c>
      <c r="FM446" s="115">
        <f t="shared" si="336"/>
        <v>-1</v>
      </c>
      <c r="FN446" s="115">
        <f t="shared" si="336"/>
        <v>0</v>
      </c>
      <c r="FO446" s="115">
        <f t="shared" si="354"/>
        <v>0</v>
      </c>
      <c r="FP446" s="115">
        <f t="shared" si="354"/>
        <v>0</v>
      </c>
      <c r="FQ446" s="149">
        <f t="shared" si="354"/>
        <v>0</v>
      </c>
      <c r="FR446" s="142">
        <f t="shared" si="354"/>
        <v>0</v>
      </c>
      <c r="FS446" s="119">
        <f t="shared" si="354"/>
        <v>0</v>
      </c>
      <c r="FT446" s="121">
        <f t="shared" si="353"/>
        <v>-2</v>
      </c>
      <c r="FU446" s="121">
        <f t="shared" si="337"/>
        <v>0</v>
      </c>
      <c r="FV446" s="121">
        <f t="shared" si="337"/>
        <v>-0.40000000000000036</v>
      </c>
      <c r="FW446" s="121">
        <f t="shared" si="338"/>
        <v>-117.13756896730604</v>
      </c>
      <c r="FX446" s="121">
        <f t="shared" si="339"/>
        <v>4</v>
      </c>
      <c r="FY446" s="144">
        <f t="shared" si="339"/>
        <v>4.0548598688133597E-2</v>
      </c>
      <c r="FZ446" s="145"/>
      <c r="GA446" s="151"/>
      <c r="GB446" s="145" t="s">
        <v>199</v>
      </c>
      <c r="GC446" s="151" t="s">
        <v>415</v>
      </c>
      <c r="GD446" s="997" t="s">
        <v>202</v>
      </c>
      <c r="GE446" s="1004" t="s">
        <v>199</v>
      </c>
      <c r="GF446" s="1004">
        <v>-2.4921139936000003</v>
      </c>
      <c r="GG446" s="1004"/>
      <c r="GH446" s="1004">
        <v>0</v>
      </c>
      <c r="GI446" s="145"/>
      <c r="GJ446" s="996">
        <v>0</v>
      </c>
      <c r="GK446" s="145"/>
      <c r="GL446" s="996">
        <v>0</v>
      </c>
      <c r="GM446" s="1005"/>
      <c r="GN446" s="996">
        <v>0</v>
      </c>
      <c r="GO446" s="1006" t="s">
        <v>204</v>
      </c>
      <c r="GP446" s="996">
        <v>-2.708892806399998</v>
      </c>
      <c r="GQ446" s="1006"/>
      <c r="GR446" s="996">
        <v>-0.75757835120000294</v>
      </c>
      <c r="GS446" s="1006"/>
      <c r="GT446" s="996">
        <v>1.521035120000036E-2</v>
      </c>
      <c r="GU446" s="1006"/>
      <c r="GV446" s="996">
        <v>0</v>
      </c>
      <c r="GW446" s="1006"/>
      <c r="GX446" s="996">
        <v>0</v>
      </c>
      <c r="GY446" s="1006"/>
      <c r="GZ446" s="996">
        <v>0.81677200000000028</v>
      </c>
      <c r="HA446" s="1006"/>
      <c r="HB446" s="996">
        <v>0</v>
      </c>
      <c r="HC446" s="1006"/>
      <c r="HD446" s="996">
        <v>0.857610600000001</v>
      </c>
      <c r="HE446" s="1006"/>
      <c r="HF446" s="996">
        <v>0.52114568000000006</v>
      </c>
      <c r="HG446" s="1006"/>
      <c r="HH446" s="996">
        <v>-0.24932028000000273</v>
      </c>
      <c r="HI446" s="1006"/>
      <c r="HJ446" s="996">
        <v>0</v>
      </c>
      <c r="HK446" s="1006" t="s">
        <v>276</v>
      </c>
      <c r="HL446" s="996">
        <v>-4.7181148079999993</v>
      </c>
      <c r="HM446" s="1006" t="s">
        <v>276</v>
      </c>
      <c r="HN446" s="996">
        <v>4.5800995680000014</v>
      </c>
      <c r="HO446" s="1006"/>
      <c r="HP446" s="996">
        <v>0</v>
      </c>
      <c r="HQ446" s="1006"/>
      <c r="HR446" s="996">
        <v>-0.60149865600000041</v>
      </c>
      <c r="HS446" s="1006" t="s">
        <v>643</v>
      </c>
      <c r="HT446" s="996">
        <v>0</v>
      </c>
      <c r="HU446" s="1006"/>
      <c r="HV446" s="996">
        <v>-0.15037466399999744</v>
      </c>
      <c r="HW446" s="1006" t="s">
        <v>204</v>
      </c>
      <c r="HX446" s="996">
        <v>-1.6708296000000011</v>
      </c>
      <c r="HY446" s="1006" t="s">
        <v>199</v>
      </c>
      <c r="HZ446" s="996">
        <v>1.2865387920000018</v>
      </c>
      <c r="IA446" s="1006"/>
      <c r="IB446" s="996">
        <v>-0.2204916560000072</v>
      </c>
      <c r="IC446" s="1006" t="s">
        <v>199</v>
      </c>
      <c r="ID446" s="996">
        <v>-3.1702089759999943</v>
      </c>
      <c r="IE446" s="1006"/>
      <c r="IF446" s="996">
        <v>0</v>
      </c>
      <c r="IG446" s="1006" t="s">
        <v>199</v>
      </c>
      <c r="IH446" s="996">
        <v>2.2571999999999974</v>
      </c>
      <c r="II446" s="1006"/>
      <c r="IJ446" s="996">
        <v>0.83600000000000207</v>
      </c>
      <c r="IK446" s="1006" t="s">
        <v>199</v>
      </c>
      <c r="IL446" s="996">
        <v>-3.2537120000000002</v>
      </c>
      <c r="IM446" s="1006"/>
      <c r="IN446" s="996">
        <v>0</v>
      </c>
      <c r="IO446" s="1006" t="s">
        <v>199</v>
      </c>
      <c r="IP446" s="996">
        <v>-7.4939040000000006</v>
      </c>
      <c r="IQ446" s="1006"/>
      <c r="IR446" s="996">
        <v>0</v>
      </c>
      <c r="IS446" s="1006"/>
      <c r="IT446" s="996">
        <v>0</v>
      </c>
      <c r="IU446" s="1006" t="s">
        <v>199</v>
      </c>
      <c r="IV446" s="996">
        <v>4.1632800000000003</v>
      </c>
      <c r="IW446" s="1006"/>
      <c r="IX446" s="996">
        <v>0</v>
      </c>
      <c r="IY446" s="1006" t="s">
        <v>199</v>
      </c>
      <c r="IZ446" s="996">
        <v>25.394335999999999</v>
      </c>
      <c r="JA446" s="1006" t="s">
        <v>199</v>
      </c>
      <c r="JB446" s="996">
        <v>-18.642800000000001</v>
      </c>
      <c r="JC446" s="1006"/>
      <c r="JD446" s="996">
        <v>0</v>
      </c>
      <c r="JE446" s="1006" t="s">
        <v>199</v>
      </c>
      <c r="JF446" s="996">
        <v>-1.0868000000000002</v>
      </c>
      <c r="JG446" s="1006"/>
      <c r="JH446" s="996">
        <v>0</v>
      </c>
      <c r="JI446" s="1006" t="s">
        <v>203</v>
      </c>
      <c r="JJ446" s="996">
        <v>-7.1059999999999981</v>
      </c>
      <c r="JK446" s="1007"/>
      <c r="JL446" s="1007">
        <v>0</v>
      </c>
      <c r="JM446" s="1007" t="s">
        <v>203</v>
      </c>
      <c r="JN446" s="1007">
        <v>-22.990000000000002</v>
      </c>
      <c r="JO446" s="1008" t="s">
        <v>25</v>
      </c>
      <c r="JP446" s="1007">
        <v>50.243600000000001</v>
      </c>
      <c r="JQ446" s="1008"/>
      <c r="JR446" s="1007"/>
      <c r="JS446" s="1008"/>
      <c r="JT446" s="1007"/>
      <c r="JU446" s="1008"/>
      <c r="JV446" s="1007"/>
      <c r="JW446" s="1008"/>
      <c r="JX446" s="1007"/>
      <c r="JY446" s="1008"/>
      <c r="JZ446" s="1007"/>
      <c r="KA446" s="1008"/>
      <c r="KB446" s="1007"/>
      <c r="KC446" s="1008"/>
      <c r="KD446" s="1007"/>
      <c r="KE446" s="1008"/>
      <c r="KF446" s="1007"/>
      <c r="KG446" s="1008"/>
      <c r="KH446" s="1007"/>
      <c r="KI446" s="1008"/>
      <c r="KJ446" s="1007"/>
      <c r="KK446" s="1008"/>
      <c r="KL446" s="1007"/>
      <c r="KM446" s="1008"/>
      <c r="KN446" s="1007"/>
      <c r="KO446" s="1008"/>
      <c r="KP446" s="1007"/>
      <c r="KQ446" s="1008"/>
      <c r="KR446" s="1007"/>
      <c r="KS446" s="1008"/>
      <c r="KT446" s="1007"/>
      <c r="KU446" s="1008"/>
      <c r="KV446" s="1007"/>
      <c r="KW446" s="1008"/>
      <c r="KX446" s="1007"/>
      <c r="KY446" s="1008"/>
      <c r="KZ446" s="1007"/>
      <c r="LA446" s="1008"/>
      <c r="LB446" s="1007"/>
      <c r="LC446" s="1008"/>
      <c r="LD446" s="1007"/>
      <c r="LE446" s="1008"/>
      <c r="LF446" s="1007"/>
      <c r="LG446" s="1008"/>
      <c r="LH446" s="1007"/>
      <c r="LI446" s="1008"/>
      <c r="LJ446" s="1007"/>
      <c r="LK446" s="1008"/>
      <c r="LL446" s="1007"/>
      <c r="LM446" s="1008"/>
      <c r="LN446" s="1007"/>
      <c r="LO446" s="1008"/>
      <c r="LP446" s="1007"/>
      <c r="LQ446" s="1008"/>
      <c r="LR446" s="1007"/>
      <c r="LS446" s="1008"/>
      <c r="LT446" s="1007"/>
      <c r="LU446" s="1008"/>
      <c r="LV446" s="1007"/>
      <c r="LW446" s="1008"/>
      <c r="LX446" s="1007"/>
      <c r="LY446" s="1009"/>
      <c r="LZ446" s="1010"/>
      <c r="MA446" s="1011"/>
      <c r="MB446" s="1012"/>
      <c r="MC446" s="995"/>
      <c r="MD446" s="996"/>
      <c r="ME446" s="997" t="s">
        <v>202</v>
      </c>
      <c r="MF446" s="997"/>
      <c r="MG446" s="998"/>
      <c r="NR446" s="1000"/>
      <c r="NS446" s="1000"/>
      <c r="NT446" s="1001"/>
      <c r="NU446" s="1000"/>
      <c r="NV446" s="1001"/>
      <c r="NX446" s="1002"/>
      <c r="NZ446" s="1001"/>
      <c r="OA446" s="1001"/>
      <c r="OC446" s="1003"/>
      <c r="OD446" s="1003"/>
      <c r="OE446" s="1001"/>
      <c r="OF446" s="1003"/>
      <c r="OG446" s="1003"/>
      <c r="QX446" s="1000">
        <f>CN446-CA446</f>
        <v>32</v>
      </c>
      <c r="ASU446" s="999" t="s">
        <v>208</v>
      </c>
    </row>
    <row r="447" spans="1:466 1191:1191" ht="21" customHeight="1" x14ac:dyDescent="0.25">
      <c r="A447" s="982">
        <f t="shared" si="323"/>
        <v>1522</v>
      </c>
      <c r="B447" s="124">
        <f>SUBTOTAL(103,$J$29:J447)</f>
        <v>419</v>
      </c>
      <c r="C447" s="126">
        <v>45068</v>
      </c>
      <c r="D447" s="124" t="s">
        <v>176</v>
      </c>
      <c r="E447" s="127" t="s">
        <v>177</v>
      </c>
      <c r="F447" s="128" t="s">
        <v>177</v>
      </c>
      <c r="G447" s="127" t="s">
        <v>178</v>
      </c>
      <c r="H447" s="127" t="s">
        <v>179</v>
      </c>
      <c r="I447" s="127" t="s">
        <v>1132</v>
      </c>
      <c r="J447" s="152">
        <v>1522</v>
      </c>
      <c r="K447" s="127" t="s">
        <v>1133</v>
      </c>
      <c r="L447" s="130">
        <v>43037</v>
      </c>
      <c r="M447" s="127" t="s">
        <v>230</v>
      </c>
      <c r="N447" s="127" t="s">
        <v>184</v>
      </c>
      <c r="O447" s="127" t="s">
        <v>185</v>
      </c>
      <c r="P447" s="127" t="s">
        <v>186</v>
      </c>
      <c r="Q447" s="85">
        <f t="shared" si="319"/>
        <v>-4</v>
      </c>
      <c r="R447" s="130">
        <v>42987</v>
      </c>
      <c r="S447" s="128" t="s">
        <v>747</v>
      </c>
      <c r="T447" s="131" t="s">
        <v>1679</v>
      </c>
      <c r="U447" s="132">
        <v>203</v>
      </c>
      <c r="V447" s="121">
        <v>218.2</v>
      </c>
      <c r="W447" s="116">
        <v>0.98</v>
      </c>
      <c r="X447" s="116">
        <v>1.66</v>
      </c>
      <c r="Y447" s="116">
        <f t="shared" si="346"/>
        <v>0.98</v>
      </c>
      <c r="Z447" s="133">
        <v>1.454</v>
      </c>
      <c r="AA447" s="133">
        <v>0.83599999999999997</v>
      </c>
      <c r="AB447" s="133">
        <v>0.72</v>
      </c>
      <c r="AC447" s="121">
        <v>34.299999999999997</v>
      </c>
      <c r="AD447" s="134">
        <v>1.17</v>
      </c>
      <c r="AE447" s="124">
        <v>177.8</v>
      </c>
      <c r="AF447" s="128">
        <v>9.19</v>
      </c>
      <c r="AG447" s="128">
        <v>2172.6</v>
      </c>
      <c r="AH447" s="127">
        <v>2975</v>
      </c>
      <c r="AI447" s="127">
        <v>2975</v>
      </c>
      <c r="AJ447" s="135">
        <v>42926</v>
      </c>
      <c r="AK447" s="128" t="s">
        <v>1018</v>
      </c>
      <c r="AL447" s="131"/>
      <c r="AM447" s="124" t="s">
        <v>985</v>
      </c>
      <c r="AN447" s="136" t="s">
        <v>1680</v>
      </c>
      <c r="AO447" s="137">
        <v>8.8800000000000008</v>
      </c>
      <c r="AP447" s="128">
        <v>2218.67</v>
      </c>
      <c r="AQ447" s="128">
        <v>342.13</v>
      </c>
      <c r="AR447" s="128" t="s">
        <v>1681</v>
      </c>
      <c r="AS447" s="128">
        <v>114</v>
      </c>
      <c r="AT447" s="122">
        <v>7.37</v>
      </c>
      <c r="AU447" s="124" t="s">
        <v>189</v>
      </c>
      <c r="AV447" s="115">
        <f>VLOOKUP(J447,'[63]ТР нефть'!$J$28:$BP$638,39,0)</f>
        <v>510.00001435500002</v>
      </c>
      <c r="AW447" s="115" t="str">
        <f>VLOOKUP(J447,'[63]ТР нефть'!$J$28:$BP$638,40,0)</f>
        <v>ГП</v>
      </c>
      <c r="AX447" s="115">
        <f>VLOOKUP(J447,'[63]ТР нефть'!$J$28:$BP$638,41,0)</f>
        <v>849.99998671900005</v>
      </c>
      <c r="AY447" s="115" t="str">
        <f>VLOOKUP(J447,'[63]ТР нефть'!$J$28:$BP$638,42,0)</f>
        <v>ГП</v>
      </c>
      <c r="AZ447" s="115">
        <f>VLOOKUP(J447,'[63]ТР нефть'!$J$28:$BP$638,43,0)</f>
        <v>1130.000012109</v>
      </c>
      <c r="BA447" s="115" t="str">
        <f>VLOOKUP(J447,'[63]ТР нефть'!$J$28:$BP$638,44,0)</f>
        <v>ГП</v>
      </c>
      <c r="BB447" s="115">
        <f>VLOOKUP(J447,'[63]ТР нефть'!$J$28:$BP$638,45,0)</f>
        <v>1340.0000683589999</v>
      </c>
      <c r="BC447" s="115" t="str">
        <f>VLOOKUP(J447,'[63]ТР нефть'!$J$28:$BP$638,46,0)</f>
        <v>ГК73 1/8</v>
      </c>
      <c r="BD447" s="115">
        <f>VLOOKUP(J447,'[63]ТР нефть'!$J$28:$BP$638,47,0)</f>
        <v>1499.999976563</v>
      </c>
      <c r="BE447" s="115" t="str">
        <f>VLOOKUP(J447,'[63]ТР нефть'!$J$28:$BP$638,48,0)</f>
        <v>ГК72 1/8</v>
      </c>
      <c r="BF447" s="115">
        <f>VLOOKUP(J447,'[63]ТР нефть'!$J$28:$BP$638,49,0)</f>
        <v>1650</v>
      </c>
      <c r="BG447" s="115" t="str">
        <f>VLOOKUP(J447,'[63]ТР нефть'!$J$28:$BP$638,50,0)</f>
        <v>ГК71 5/32</v>
      </c>
      <c r="BH447" s="115">
        <f>VLOOKUP(J447,'[63]ТР нефть'!$J$28:$BP$638,51,0)</f>
        <v>1870</v>
      </c>
      <c r="BI447" s="115" t="str">
        <f>VLOOKUP(J447,'[63]ТР нефть'!$J$28:$BP$638,52,0)</f>
        <v>открыт</v>
      </c>
      <c r="BJ447" s="115" t="str">
        <f>IF(IFERROR(VLOOKUP(J447,'[63]ТР нефть'!$J$28:$BP$638,53,0),"-")=0,"-",IFERROR(VLOOKUP(J447,'[63]ТР нефть'!$J$28:$BP$638,53,0),"-"))</f>
        <v>-</v>
      </c>
      <c r="BK447" s="138" t="str">
        <f>IF(IFERROR(VLOOKUP(J447,'[63]ТР нефть'!$J$28:$BP$638,54,0),"-")=0,"-",IFERROR(VLOOKUP(J447,'[63]ТР нефть'!$J$28:$BP$638,54,0),"-"))</f>
        <v>-</v>
      </c>
      <c r="BL447" s="138" t="str">
        <f>IF(IFERROR(VLOOKUP(J447,'[63]ТР нефть'!$J$28:$BP$638,55,0),"-")=0,"-",IFERROR(VLOOKUP(J447,'[63]ТР нефть'!$J$28:$BP$638,55,0),"-"))</f>
        <v>-</v>
      </c>
      <c r="BM447" s="138" t="str">
        <f>IF(IFERROR(VLOOKUP(J447,'[63]ТР нефть'!$J$28:$BP$638,56,0),"-")=0,"-",IFERROR(VLOOKUP(J447,'[63]ТР нефть'!$J$28:$BP$638,56,0),"-"))</f>
        <v>-</v>
      </c>
      <c r="BN447" s="138" t="str">
        <f>IF(IFERROR(VLOOKUP(J447,'[63]ТР нефть'!$J$28:$BP$638,57,0),"-")=0,"-",IFERROR(VLOOKUP(J447,'[63]ТР нефть'!$J$28:$BP$638,57,0),"-"))</f>
        <v>-</v>
      </c>
      <c r="BO447" s="115" t="str">
        <f>IF(IFERROR(VLOOKUP(J447,'[63]ТР нефть'!$J$28:$BP$638,58,0),"-")=0,"-",IFERROR(VLOOKUP(J447,'[63]ТР нефть'!$J$28:$BP$638,58,0),"-"))</f>
        <v>-</v>
      </c>
      <c r="BP447" s="115" t="str">
        <f>IF(IFERROR(VLOOKUP(J447,'[63]ТР нефть'!$J$28:$BP$638,59,0),"-")=0,"-",IFERROR(VLOOKUP(J447,'[63]ТР нефть'!$J$28:$BP$638,59,0),"-"))</f>
        <v>-</v>
      </c>
      <c r="BQ447" s="138">
        <v>1925</v>
      </c>
      <c r="BR447" s="128">
        <v>1580.99</v>
      </c>
      <c r="BS447" s="115">
        <f t="shared" si="351"/>
        <v>344.01</v>
      </c>
      <c r="BT447" s="128">
        <v>73</v>
      </c>
      <c r="BU447" s="128">
        <v>5.5</v>
      </c>
      <c r="BV447" s="127">
        <v>65</v>
      </c>
      <c r="BW447" s="127" t="s">
        <v>217</v>
      </c>
      <c r="BX447" s="127" t="s">
        <v>195</v>
      </c>
      <c r="BY447" s="139">
        <v>24</v>
      </c>
      <c r="BZ447" s="139">
        <v>0</v>
      </c>
      <c r="CA447" s="138">
        <v>28</v>
      </c>
      <c r="CB447" s="138">
        <v>46</v>
      </c>
      <c r="CC447" s="138">
        <v>27</v>
      </c>
      <c r="CD447" s="135">
        <v>45017</v>
      </c>
      <c r="CE447" s="138">
        <v>91</v>
      </c>
      <c r="CF447" s="138">
        <v>69</v>
      </c>
      <c r="CG447" s="138" t="str">
        <f t="shared" si="352"/>
        <v>В работе</v>
      </c>
      <c r="CH447" s="138" t="s">
        <v>272</v>
      </c>
      <c r="CI447" s="127"/>
      <c r="CJ447" s="138"/>
      <c r="CK447" s="138">
        <f t="shared" si="356"/>
        <v>26</v>
      </c>
      <c r="CL447" s="99"/>
      <c r="CM447" s="99"/>
      <c r="CN447" s="140">
        <v>54</v>
      </c>
      <c r="CO447" s="141">
        <f t="shared" si="324"/>
        <v>1.9227999999999998</v>
      </c>
      <c r="CP447" s="142">
        <v>2.2999999999999998</v>
      </c>
      <c r="CQ447" s="143">
        <v>0</v>
      </c>
      <c r="CR447" s="138">
        <v>10</v>
      </c>
      <c r="CS447" s="139">
        <v>7.2</v>
      </c>
      <c r="CT447" s="138"/>
      <c r="CU447" s="138">
        <f t="shared" si="320"/>
        <v>2.8</v>
      </c>
      <c r="CV447" s="115">
        <f t="shared" si="321"/>
        <v>1456.2096941959644</v>
      </c>
      <c r="CW447" s="115">
        <f t="shared" si="325"/>
        <v>3744.5392136467658</v>
      </c>
      <c r="CX447" s="133">
        <f t="shared" si="322"/>
        <v>6.2162162162162159E-2</v>
      </c>
      <c r="CY447" s="116"/>
      <c r="CZ447" s="131"/>
      <c r="DA447" s="145" t="str">
        <f t="shared" si="326"/>
        <v>Газлифт</v>
      </c>
      <c r="DB447" s="146">
        <f t="shared" si="341"/>
        <v>1.9227999999999998</v>
      </c>
      <c r="DC447" s="142">
        <f t="shared" si="342"/>
        <v>2.2999999999999998</v>
      </c>
      <c r="DD447" s="119">
        <f t="shared" si="350"/>
        <v>0</v>
      </c>
      <c r="DE447" s="115">
        <f t="shared" si="343"/>
        <v>2.8</v>
      </c>
      <c r="DF447" s="121">
        <f t="shared" si="328"/>
        <v>7.2</v>
      </c>
      <c r="DG447" s="115">
        <f t="shared" si="329"/>
        <v>1456.2096941959644</v>
      </c>
      <c r="DH447" s="115">
        <f t="shared" si="330"/>
        <v>54</v>
      </c>
      <c r="DI447" s="147"/>
      <c r="DJ447" s="111" t="s">
        <v>197</v>
      </c>
      <c r="DK447" s="112">
        <v>43037</v>
      </c>
      <c r="DL447" s="113">
        <f t="shared" ca="1" si="312"/>
        <v>2067</v>
      </c>
      <c r="DM447" s="114"/>
      <c r="DN447" s="114"/>
      <c r="DO447" s="114"/>
      <c r="DP447" s="114"/>
      <c r="DQ447" s="112">
        <v>43037</v>
      </c>
      <c r="DR447" s="114" t="s">
        <v>324</v>
      </c>
      <c r="DS447" s="114"/>
      <c r="DT447" s="115">
        <v>56</v>
      </c>
      <c r="DU447" s="116">
        <f t="shared" si="313"/>
        <v>6.5714285714285711E-2</v>
      </c>
      <c r="DV447" s="117">
        <f t="shared" si="314"/>
        <v>1.9227999999999998</v>
      </c>
      <c r="DW447" s="118">
        <f t="shared" si="315"/>
        <v>2.2999999999999998</v>
      </c>
      <c r="DX447" s="119">
        <f t="shared" si="331"/>
        <v>0</v>
      </c>
      <c r="DY447" s="115">
        <f t="shared" si="316"/>
        <v>2.8</v>
      </c>
      <c r="DZ447" s="117">
        <f t="shared" si="349"/>
        <v>0</v>
      </c>
      <c r="EA447" s="120">
        <f t="shared" si="349"/>
        <v>0</v>
      </c>
      <c r="EB447" s="119">
        <f t="shared" si="349"/>
        <v>0</v>
      </c>
      <c r="EC447" s="121">
        <f t="shared" si="318"/>
        <v>0</v>
      </c>
      <c r="ED447" s="122"/>
      <c r="EE447" s="145">
        <v>65</v>
      </c>
      <c r="EF447" s="115">
        <v>30</v>
      </c>
      <c r="EG447" s="115">
        <v>47</v>
      </c>
      <c r="EH447" s="115">
        <v>29</v>
      </c>
      <c r="EI447" s="128" t="s">
        <v>195</v>
      </c>
      <c r="EJ447" s="121">
        <v>24</v>
      </c>
      <c r="EK447" s="121">
        <v>0</v>
      </c>
      <c r="EL447" s="149">
        <v>1.9227999999999998</v>
      </c>
      <c r="EM447" s="142">
        <v>2.2999999999999998</v>
      </c>
      <c r="EN447" s="119">
        <v>0</v>
      </c>
      <c r="EO447" s="115">
        <v>10</v>
      </c>
      <c r="EP447" s="115">
        <v>1456.2096941959644</v>
      </c>
      <c r="EQ447" s="115">
        <v>71</v>
      </c>
      <c r="ER447" s="115">
        <v>7.2</v>
      </c>
      <c r="ES447" s="115">
        <v>55</v>
      </c>
      <c r="ET447" s="150">
        <v>6.3888888888888884E-2</v>
      </c>
      <c r="EU447" s="145">
        <f t="shared" si="332"/>
        <v>65</v>
      </c>
      <c r="EV447" s="115">
        <f t="shared" si="333"/>
        <v>28</v>
      </c>
      <c r="EW447" s="115">
        <f t="shared" si="333"/>
        <v>46</v>
      </c>
      <c r="EX447" s="115">
        <f t="shared" si="333"/>
        <v>27</v>
      </c>
      <c r="EY447" s="115" t="str">
        <f t="shared" si="309"/>
        <v>Постоянный</v>
      </c>
      <c r="EZ447" s="115">
        <f t="shared" si="309"/>
        <v>24</v>
      </c>
      <c r="FA447" s="115">
        <f t="shared" si="309"/>
        <v>0</v>
      </c>
      <c r="FB447" s="149">
        <f t="shared" si="345"/>
        <v>1.9227999999999998</v>
      </c>
      <c r="FC447" s="142">
        <f t="shared" si="345"/>
        <v>2.2999999999999998</v>
      </c>
      <c r="FD447" s="119">
        <f t="shared" si="345"/>
        <v>0</v>
      </c>
      <c r="FE447" s="121">
        <f t="shared" si="344"/>
        <v>10</v>
      </c>
      <c r="FF447" s="121">
        <f t="shared" si="347"/>
        <v>1456.2096941959644</v>
      </c>
      <c r="FG447" s="121">
        <f t="shared" si="334"/>
        <v>69</v>
      </c>
      <c r="FH447" s="121">
        <f t="shared" si="348"/>
        <v>7.2</v>
      </c>
      <c r="FI447" s="121">
        <f t="shared" si="355"/>
        <v>54</v>
      </c>
      <c r="FJ447" s="144">
        <f t="shared" si="335"/>
        <v>6.2162162162162159E-2</v>
      </c>
      <c r="FK447" s="132">
        <f t="shared" si="336"/>
        <v>0</v>
      </c>
      <c r="FL447" s="115">
        <f t="shared" si="336"/>
        <v>-2</v>
      </c>
      <c r="FM447" s="115">
        <f t="shared" si="336"/>
        <v>-1</v>
      </c>
      <c r="FN447" s="115">
        <f t="shared" si="336"/>
        <v>-2</v>
      </c>
      <c r="FO447" s="115">
        <f t="shared" si="354"/>
        <v>0</v>
      </c>
      <c r="FP447" s="115">
        <f t="shared" si="354"/>
        <v>0</v>
      </c>
      <c r="FQ447" s="149">
        <f t="shared" si="354"/>
        <v>0</v>
      </c>
      <c r="FR447" s="142">
        <f t="shared" si="354"/>
        <v>0</v>
      </c>
      <c r="FS447" s="119">
        <f t="shared" si="354"/>
        <v>0</v>
      </c>
      <c r="FT447" s="121">
        <f t="shared" si="353"/>
        <v>0</v>
      </c>
      <c r="FU447" s="121">
        <f t="shared" si="337"/>
        <v>-2</v>
      </c>
      <c r="FV447" s="121">
        <f t="shared" si="337"/>
        <v>0</v>
      </c>
      <c r="FW447" s="121">
        <f t="shared" si="338"/>
        <v>0</v>
      </c>
      <c r="FX447" s="121">
        <f t="shared" si="339"/>
        <v>-1</v>
      </c>
      <c r="FY447" s="144">
        <f t="shared" si="339"/>
        <v>-1.7267267267267253E-3</v>
      </c>
      <c r="FZ447" s="145"/>
      <c r="GA447" s="151"/>
      <c r="GB447" s="145" t="s">
        <v>199</v>
      </c>
      <c r="GC447" s="151" t="s">
        <v>930</v>
      </c>
      <c r="GD447" s="997" t="s">
        <v>202</v>
      </c>
      <c r="GE447" s="1004" t="s">
        <v>199</v>
      </c>
      <c r="GF447" s="1004">
        <v>-8.5271999999999988</v>
      </c>
      <c r="GG447" s="1004"/>
      <c r="GH447" s="1004">
        <v>0</v>
      </c>
      <c r="GI447" s="145"/>
      <c r="GJ447" s="996">
        <v>0</v>
      </c>
      <c r="GK447" s="145"/>
      <c r="GL447" s="996">
        <v>0</v>
      </c>
      <c r="GM447" s="1005" t="s">
        <v>221</v>
      </c>
      <c r="GN447" s="996">
        <v>2.9259999999999993</v>
      </c>
      <c r="GO447" s="1006"/>
      <c r="GP447" s="996">
        <v>0</v>
      </c>
      <c r="GQ447" s="1006" t="s">
        <v>241</v>
      </c>
      <c r="GR447" s="996">
        <v>-3.7619999999999996</v>
      </c>
      <c r="GS447" s="1006"/>
      <c r="GT447" s="996">
        <v>0</v>
      </c>
      <c r="GU447" s="1006"/>
      <c r="GV447" s="996">
        <v>0</v>
      </c>
      <c r="GW447" s="1006" t="s">
        <v>204</v>
      </c>
      <c r="GX447" s="996">
        <v>3.3440000000000003</v>
      </c>
      <c r="GY447" s="1006" t="s">
        <v>204</v>
      </c>
      <c r="GZ447" s="996">
        <v>-2.8571520559999994</v>
      </c>
      <c r="HA447" s="1006" t="s">
        <v>199</v>
      </c>
      <c r="HB447" s="996">
        <v>1.0051512240000005</v>
      </c>
      <c r="HC447" s="1006"/>
      <c r="HD447" s="996">
        <v>0</v>
      </c>
      <c r="HE447" s="1006"/>
      <c r="HF447" s="996">
        <v>0</v>
      </c>
      <c r="HG447" s="1006"/>
      <c r="HH447" s="996">
        <v>-0.21291916800000266</v>
      </c>
      <c r="HI447" s="1006"/>
      <c r="HJ447" s="996">
        <v>-0.65878889999999934</v>
      </c>
      <c r="HK447" s="1006" t="s">
        <v>199</v>
      </c>
      <c r="HL447" s="996">
        <v>1.4297564600000001</v>
      </c>
      <c r="HM447" s="1006" t="s">
        <v>199</v>
      </c>
      <c r="HN447" s="996">
        <v>-0.74990035999999805</v>
      </c>
      <c r="HO447" s="1006"/>
      <c r="HP447" s="996">
        <v>0</v>
      </c>
      <c r="HQ447" s="1006" t="s">
        <v>223</v>
      </c>
      <c r="HR447" s="996">
        <v>-2.3633184959999998</v>
      </c>
      <c r="HS447" s="1006"/>
      <c r="HT447" s="996">
        <v>0</v>
      </c>
      <c r="HU447" s="1006"/>
      <c r="HV447" s="996">
        <v>0.72136099199999926</v>
      </c>
      <c r="HW447" s="1006"/>
      <c r="HX447" s="996">
        <v>0</v>
      </c>
      <c r="HY447" s="1006"/>
      <c r="HZ447" s="996">
        <v>0.77653030399999956</v>
      </c>
      <c r="IA447" s="1006" t="s">
        <v>199</v>
      </c>
      <c r="IB447" s="996">
        <v>-2.1316227679999997</v>
      </c>
      <c r="IC447" s="1006" t="s">
        <v>204</v>
      </c>
      <c r="ID447" s="996">
        <v>-3.5649313920000019</v>
      </c>
      <c r="IE447" s="1006" t="s">
        <v>199</v>
      </c>
      <c r="IF447" s="996">
        <v>2.3400977600000008</v>
      </c>
      <c r="IG447" s="1006"/>
      <c r="IH447" s="996">
        <v>0</v>
      </c>
      <c r="II447" s="1006"/>
      <c r="IJ447" s="996">
        <v>0.83574920000000041</v>
      </c>
      <c r="IK447" s="1006"/>
      <c r="IL447" s="996">
        <v>0</v>
      </c>
      <c r="IM447" s="1006"/>
      <c r="IN447" s="996">
        <v>0</v>
      </c>
      <c r="IO447" s="1006"/>
      <c r="IP447" s="996">
        <v>0</v>
      </c>
      <c r="IQ447" s="1006"/>
      <c r="IR447" s="996">
        <v>0</v>
      </c>
      <c r="IS447" s="1006"/>
      <c r="IT447" s="996">
        <v>0</v>
      </c>
      <c r="IU447" s="1006"/>
      <c r="IV447" s="996">
        <v>0</v>
      </c>
      <c r="IW447" s="1006" t="s">
        <v>199</v>
      </c>
      <c r="IX447" s="996">
        <v>-3.3429967999999981</v>
      </c>
      <c r="IY447" s="1006" t="s">
        <v>199</v>
      </c>
      <c r="IZ447" s="996">
        <v>-2.1729479200000021</v>
      </c>
      <c r="JA447" s="1006"/>
      <c r="JB447" s="996">
        <v>0</v>
      </c>
      <c r="JC447" s="1006"/>
      <c r="JD447" s="996">
        <v>0</v>
      </c>
      <c r="JE447" s="1006"/>
      <c r="JF447" s="996">
        <v>0</v>
      </c>
      <c r="JG447" s="1006" t="s">
        <v>204</v>
      </c>
      <c r="JH447" s="996">
        <v>-4.3458958400000007</v>
      </c>
      <c r="JI447" s="1006" t="s">
        <v>204</v>
      </c>
      <c r="JJ447" s="996">
        <v>9.0260913600000006</v>
      </c>
      <c r="JK447" s="1007"/>
      <c r="JL447" s="1007">
        <v>0</v>
      </c>
      <c r="JM447" s="1007"/>
      <c r="JN447" s="1007">
        <v>0</v>
      </c>
      <c r="JO447" s="1008"/>
      <c r="JP447" s="1007">
        <v>0</v>
      </c>
      <c r="JQ447" s="1008" t="s">
        <v>199</v>
      </c>
      <c r="JR447" s="1007">
        <v>-4.1805851999999977</v>
      </c>
      <c r="JS447" s="1008">
        <v>0</v>
      </c>
      <c r="JT447" s="1007">
        <v>0</v>
      </c>
      <c r="JU447" s="1008" t="s">
        <v>204</v>
      </c>
      <c r="JV447" s="1007">
        <v>-4.8909344000000026</v>
      </c>
      <c r="JW447" s="1008" t="s">
        <v>199</v>
      </c>
      <c r="JX447" s="1007">
        <v>5.7583680000000008</v>
      </c>
      <c r="JY447" s="1008" t="s">
        <v>199</v>
      </c>
      <c r="JZ447" s="1007">
        <v>-5.8402959999999986</v>
      </c>
      <c r="KA447" s="1008"/>
      <c r="KB447" s="1007">
        <v>0</v>
      </c>
      <c r="KC447" s="1008"/>
      <c r="KD447" s="1007">
        <v>0</v>
      </c>
      <c r="KE447" s="1008"/>
      <c r="KF447" s="1007">
        <v>0</v>
      </c>
      <c r="KG447" s="1008"/>
      <c r="KH447" s="1007">
        <v>0</v>
      </c>
      <c r="KI447" s="1008" t="s">
        <v>207</v>
      </c>
      <c r="KJ447" s="1007">
        <v>-2.5029840000000014</v>
      </c>
      <c r="KK447" s="1008"/>
      <c r="KL447" s="1007">
        <v>0</v>
      </c>
      <c r="KM447" s="1008" t="s">
        <v>207</v>
      </c>
      <c r="KN447" s="1007">
        <v>-5.0059679999999993</v>
      </c>
      <c r="KO447" s="1008" t="s">
        <v>240</v>
      </c>
      <c r="KP447" s="1007">
        <v>-1.668655999999995</v>
      </c>
      <c r="KQ447" s="1008">
        <v>0</v>
      </c>
      <c r="KR447" s="1007">
        <v>0</v>
      </c>
      <c r="KS447" s="1008" t="s">
        <v>223</v>
      </c>
      <c r="KT447" s="1007">
        <v>-8.3432800000000071</v>
      </c>
      <c r="KU447" s="1008" t="s">
        <v>206</v>
      </c>
      <c r="KV447" s="1007">
        <v>-4.5888039999999961</v>
      </c>
      <c r="KW447" s="1008">
        <v>0</v>
      </c>
      <c r="KX447" s="1007">
        <v>-0.10450000000000159</v>
      </c>
      <c r="KY447" s="1008" t="s">
        <v>206</v>
      </c>
      <c r="KZ447" s="1007">
        <v>4.1432160000000025</v>
      </c>
      <c r="LA447" s="1008">
        <v>0</v>
      </c>
      <c r="LB447" s="1007">
        <v>0</v>
      </c>
      <c r="LC447" s="1008">
        <v>0</v>
      </c>
      <c r="LD447" s="1007">
        <v>0</v>
      </c>
      <c r="LE447" s="1008">
        <v>0</v>
      </c>
      <c r="LF447" s="1007">
        <v>0</v>
      </c>
      <c r="LG447" s="1008">
        <v>0</v>
      </c>
      <c r="LH447" s="1007">
        <v>0</v>
      </c>
      <c r="LI447" s="1008" t="s">
        <v>25</v>
      </c>
      <c r="LJ447" s="1007">
        <v>41.967199999999998</v>
      </c>
      <c r="LK447" s="1008">
        <v>0</v>
      </c>
      <c r="LL447" s="1007">
        <v>0</v>
      </c>
      <c r="LM447" s="1008">
        <v>0</v>
      </c>
      <c r="LN447" s="1007">
        <v>0</v>
      </c>
      <c r="LO447" s="1008">
        <v>0</v>
      </c>
      <c r="LP447" s="1007">
        <v>0</v>
      </c>
      <c r="LQ447" s="1008">
        <v>0</v>
      </c>
      <c r="LR447" s="1007">
        <v>0</v>
      </c>
      <c r="LS447" s="1008">
        <v>0</v>
      </c>
      <c r="LT447" s="1007">
        <v>0</v>
      </c>
      <c r="LU447" s="1008">
        <v>0</v>
      </c>
      <c r="LV447" s="1007">
        <v>0</v>
      </c>
      <c r="LW447" s="1008">
        <v>0</v>
      </c>
      <c r="LX447" s="1007">
        <v>0</v>
      </c>
      <c r="LY447" s="1009">
        <v>0</v>
      </c>
      <c r="LZ447" s="1010">
        <v>0</v>
      </c>
      <c r="MA447" s="1011">
        <v>0</v>
      </c>
      <c r="MB447" s="1012">
        <v>0</v>
      </c>
      <c r="MC447" s="995"/>
      <c r="MD447" s="996"/>
      <c r="ME447" s="997" t="s">
        <v>202</v>
      </c>
      <c r="MF447" s="997"/>
      <c r="MG447" s="998"/>
      <c r="NR447" s="1000"/>
      <c r="NS447" s="1000"/>
      <c r="NT447" s="1001"/>
      <c r="NU447" s="1000"/>
      <c r="NV447" s="1001"/>
      <c r="NX447" s="1002"/>
      <c r="NZ447" s="1001"/>
      <c r="OA447" s="1001"/>
      <c r="OC447" s="1003"/>
      <c r="OD447" s="1003"/>
      <c r="OE447" s="1001"/>
      <c r="OF447" s="1003"/>
      <c r="OG447" s="1003"/>
      <c r="QX447" s="1000">
        <f>CN447-CA447</f>
        <v>26</v>
      </c>
      <c r="ASU447" s="999" t="s">
        <v>208</v>
      </c>
    </row>
    <row r="448" spans="1:466 1191:1191" ht="21" customHeight="1" x14ac:dyDescent="0.25">
      <c r="A448" s="982">
        <f t="shared" si="323"/>
        <v>1481</v>
      </c>
      <c r="B448" s="124">
        <f>SUBTOTAL(103,$J$29:J448)</f>
        <v>420</v>
      </c>
      <c r="C448" s="126">
        <v>45068</v>
      </c>
      <c r="D448" s="124" t="s">
        <v>176</v>
      </c>
      <c r="E448" s="127" t="s">
        <v>177</v>
      </c>
      <c r="F448" s="128" t="s">
        <v>177</v>
      </c>
      <c r="G448" s="127" t="s">
        <v>178</v>
      </c>
      <c r="H448" s="127" t="s">
        <v>179</v>
      </c>
      <c r="I448" s="127" t="s">
        <v>1581</v>
      </c>
      <c r="J448" s="152">
        <v>1481</v>
      </c>
      <c r="K448" s="127" t="s">
        <v>1581</v>
      </c>
      <c r="L448" s="130">
        <v>43384</v>
      </c>
      <c r="M448" s="127" t="s">
        <v>230</v>
      </c>
      <c r="N448" s="127" t="s">
        <v>184</v>
      </c>
      <c r="O448" s="127" t="s">
        <v>185</v>
      </c>
      <c r="P448" s="127" t="s">
        <v>186</v>
      </c>
      <c r="Q448" s="85" t="str">
        <f t="shared" si="319"/>
        <v/>
      </c>
      <c r="R448" s="130"/>
      <c r="S448" s="128"/>
      <c r="T448" s="131"/>
      <c r="U448" s="132">
        <v>203</v>
      </c>
      <c r="V448" s="121">
        <v>218.2</v>
      </c>
      <c r="W448" s="116">
        <v>0.98</v>
      </c>
      <c r="X448" s="116">
        <v>1.66</v>
      </c>
      <c r="Y448" s="116">
        <f t="shared" si="346"/>
        <v>0.98004014622285718</v>
      </c>
      <c r="Z448" s="133">
        <v>1.454</v>
      </c>
      <c r="AA448" s="133">
        <v>0.83599999999999997</v>
      </c>
      <c r="AB448" s="133">
        <v>0.72</v>
      </c>
      <c r="AC448" s="121">
        <v>34.299999999999997</v>
      </c>
      <c r="AD448" s="134">
        <v>1.17</v>
      </c>
      <c r="AE448" s="124">
        <v>177.8</v>
      </c>
      <c r="AF448" s="128">
        <v>9.19</v>
      </c>
      <c r="AG448" s="128">
        <v>2078</v>
      </c>
      <c r="AH448" s="127">
        <v>2900</v>
      </c>
      <c r="AI448" s="127">
        <v>2900</v>
      </c>
      <c r="AJ448" s="135"/>
      <c r="AK448" s="128"/>
      <c r="AL448" s="131"/>
      <c r="AM448" s="124" t="s">
        <v>985</v>
      </c>
      <c r="AN448" s="136" t="s">
        <v>1682</v>
      </c>
      <c r="AO448" s="137">
        <v>5.19</v>
      </c>
      <c r="AP448" s="128">
        <v>2068.33</v>
      </c>
      <c r="AQ448" s="128">
        <v>389.87</v>
      </c>
      <c r="AR448" s="128" t="s">
        <v>1683</v>
      </c>
      <c r="AS448" s="128">
        <v>114</v>
      </c>
      <c r="AT448" s="122">
        <v>7.37</v>
      </c>
      <c r="AU448" s="124" t="s">
        <v>189</v>
      </c>
      <c r="AV448" s="115">
        <f>VLOOKUP(J448,'[63]ТР нефть'!$J$28:$BP$638,39,0)</f>
        <v>529.99998427699995</v>
      </c>
      <c r="AW448" s="115" t="str">
        <f>VLOOKUP(J448,'[63]ТР нефть'!$J$28:$BP$638,40,0)</f>
        <v>ГП</v>
      </c>
      <c r="AX448" s="115">
        <f>VLOOKUP(J448,'[63]ТР нефть'!$J$28:$BP$638,41,0)</f>
        <v>959.99997011699998</v>
      </c>
      <c r="AY448" s="115" t="str">
        <f>VLOOKUP(J448,'[63]ТР нефть'!$J$28:$BP$638,42,0)</f>
        <v>ГП</v>
      </c>
      <c r="AZ448" s="115">
        <f>VLOOKUP(J448,'[63]ТР нефть'!$J$28:$BP$638,43,0)</f>
        <v>1294.9999499999999</v>
      </c>
      <c r="BA448" s="115" t="str">
        <f>VLOOKUP(J448,'[63]ТР нефть'!$J$28:$BP$638,44,0)</f>
        <v>ГК75 1/8</v>
      </c>
      <c r="BB448" s="115">
        <f>VLOOKUP(J448,'[63]ТР нефть'!$J$28:$BP$638,45,0)</f>
        <v>1555.0000054689999</v>
      </c>
      <c r="BC448" s="115" t="str">
        <f>VLOOKUP(J448,'[63]ТР нефть'!$J$28:$BP$638,46,0)</f>
        <v>ГК75 1/8</v>
      </c>
      <c r="BD448" s="115">
        <f>VLOOKUP(J448,'[63]ТР нефть'!$J$28:$BP$638,47,0)</f>
        <v>1840.000060547</v>
      </c>
      <c r="BE448" s="115" t="str">
        <f>VLOOKUP(J448,'[63]ТР нефть'!$J$28:$BP$638,48,0)</f>
        <v>ЦКсОК 5/16</v>
      </c>
      <c r="BF448" s="115" t="str">
        <f>VLOOKUP(J448,'[63]ТР нефть'!$J$28:$BP$638,49,0)</f>
        <v>-</v>
      </c>
      <c r="BG448" s="115" t="str">
        <f>VLOOKUP(J448,'[63]ТР нефть'!$J$28:$BP$638,50,0)</f>
        <v>-</v>
      </c>
      <c r="BH448" s="115" t="str">
        <f>VLOOKUP(J448,'[63]ТР нефть'!$J$28:$BP$638,51,0)</f>
        <v>-</v>
      </c>
      <c r="BI448" s="115" t="str">
        <f>VLOOKUP(J448,'[63]ТР нефть'!$J$28:$BP$638,52,0)</f>
        <v>-</v>
      </c>
      <c r="BJ448" s="115" t="str">
        <f>IF(IFERROR(VLOOKUP(J448,'[63]ТР нефть'!$J$28:$BP$638,53,0),"-")=0,"-",IFERROR(VLOOKUP(J448,'[63]ТР нефть'!$J$28:$BP$638,53,0),"-"))</f>
        <v>-</v>
      </c>
      <c r="BK448" s="138" t="str">
        <f>IF(IFERROR(VLOOKUP(J448,'[63]ТР нефть'!$J$28:$BP$638,54,0),"-")=0,"-",IFERROR(VLOOKUP(J448,'[63]ТР нефть'!$J$28:$BP$638,54,0),"-"))</f>
        <v>-</v>
      </c>
      <c r="BL448" s="138" t="str">
        <f>IF(IFERROR(VLOOKUP(J448,'[63]ТР нефть'!$J$28:$BP$638,55,0),"-")=0,"-",IFERROR(VLOOKUP(J448,'[63]ТР нефть'!$J$28:$BP$638,55,0),"-"))</f>
        <v>-</v>
      </c>
      <c r="BM448" s="138" t="str">
        <f>IF(IFERROR(VLOOKUP(J448,'[63]ТР нефть'!$J$28:$BP$638,56,0),"-")=0,"-",IFERROR(VLOOKUP(J448,'[63]ТР нефть'!$J$28:$BP$638,56,0),"-"))</f>
        <v>-</v>
      </c>
      <c r="BN448" s="138" t="str">
        <f>IF(IFERROR(VLOOKUP(J448,'[63]ТР нефть'!$J$28:$BP$638,57,0),"-")=0,"-",IFERROR(VLOOKUP(J448,'[63]ТР нефть'!$J$28:$BP$638,57,0),"-"))</f>
        <v>-</v>
      </c>
      <c r="BO448" s="115" t="str">
        <f>IF(IFERROR(VLOOKUP(J448,'[63]ТР нефть'!$J$28:$BP$638,58,0),"-")=0,"-",IFERROR(VLOOKUP(J448,'[63]ТР нефть'!$J$28:$BP$638,58,0),"-"))</f>
        <v>-</v>
      </c>
      <c r="BP448" s="115" t="str">
        <f>IF(IFERROR(VLOOKUP(J448,'[63]ТР нефть'!$J$28:$BP$638,59,0),"-")=0,"-",IFERROR(VLOOKUP(J448,'[63]ТР нефть'!$J$28:$BP$638,59,0),"-"))</f>
        <v>-</v>
      </c>
      <c r="BQ448" s="138">
        <v>2014</v>
      </c>
      <c r="BR448" s="128">
        <v>1824.06</v>
      </c>
      <c r="BS448" s="115">
        <f t="shared" si="351"/>
        <v>189.94000000000005</v>
      </c>
      <c r="BT448" s="128">
        <v>73</v>
      </c>
      <c r="BU448" s="128">
        <v>5.5</v>
      </c>
      <c r="BV448" s="127">
        <v>65</v>
      </c>
      <c r="BW448" s="127" t="s">
        <v>217</v>
      </c>
      <c r="BX448" s="127" t="s">
        <v>195</v>
      </c>
      <c r="BY448" s="139">
        <v>24</v>
      </c>
      <c r="BZ448" s="139">
        <v>0</v>
      </c>
      <c r="CA448" s="138">
        <v>25</v>
      </c>
      <c r="CB448" s="138">
        <v>54</v>
      </c>
      <c r="CC448" s="138">
        <v>24</v>
      </c>
      <c r="CD448" s="135">
        <v>45017</v>
      </c>
      <c r="CE448" s="138">
        <v>83.9</v>
      </c>
      <c r="CF448" s="138">
        <v>70</v>
      </c>
      <c r="CG448" s="138" t="str">
        <f t="shared" si="352"/>
        <v>В работе</v>
      </c>
      <c r="CH448" s="138" t="s">
        <v>196</v>
      </c>
      <c r="CI448" s="127"/>
      <c r="CJ448" s="138"/>
      <c r="CK448" s="138">
        <f t="shared" si="356"/>
        <v>23</v>
      </c>
      <c r="CL448" s="99"/>
      <c r="CM448" s="99"/>
      <c r="CN448" s="140">
        <v>48</v>
      </c>
      <c r="CO448" s="141">
        <f t="shared" si="324"/>
        <v>12.275432334</v>
      </c>
      <c r="CP448" s="142">
        <v>14.685</v>
      </c>
      <c r="CQ448" s="143">
        <v>0.01</v>
      </c>
      <c r="CR448" s="115">
        <v>26</v>
      </c>
      <c r="CS448" s="139">
        <v>9.6</v>
      </c>
      <c r="CT448" s="138"/>
      <c r="CU448" s="138">
        <f t="shared" si="320"/>
        <v>16.399999999999999</v>
      </c>
      <c r="CV448" s="115">
        <f t="shared" si="321"/>
        <v>1336.0018249276598</v>
      </c>
      <c r="CW448" s="115">
        <f t="shared" si="325"/>
        <v>781.94152590980627</v>
      </c>
      <c r="CX448" s="133">
        <f t="shared" si="322"/>
        <v>0.40905292479108629</v>
      </c>
      <c r="CY448" s="116"/>
      <c r="CZ448" s="131"/>
      <c r="DA448" s="145" t="str">
        <f t="shared" si="326"/>
        <v>Газлифт</v>
      </c>
      <c r="DB448" s="146">
        <f t="shared" si="341"/>
        <v>12.275432334</v>
      </c>
      <c r="DC448" s="142">
        <f t="shared" si="342"/>
        <v>14.685</v>
      </c>
      <c r="DD448" s="119">
        <f t="shared" si="350"/>
        <v>0.01</v>
      </c>
      <c r="DE448" s="115">
        <f t="shared" si="343"/>
        <v>16.399999999999999</v>
      </c>
      <c r="DF448" s="121">
        <f t="shared" si="328"/>
        <v>9.6</v>
      </c>
      <c r="DG448" s="115">
        <f t="shared" si="329"/>
        <v>1336.0018249276598</v>
      </c>
      <c r="DH448" s="115">
        <f t="shared" si="330"/>
        <v>48</v>
      </c>
      <c r="DI448" s="147"/>
      <c r="DJ448" s="111" t="s">
        <v>197</v>
      </c>
      <c r="DK448" s="112">
        <v>43384</v>
      </c>
      <c r="DL448" s="113">
        <f t="shared" ca="1" si="312"/>
        <v>1720</v>
      </c>
      <c r="DM448" s="114"/>
      <c r="DN448" s="114"/>
      <c r="DO448" s="114"/>
      <c r="DP448" s="114"/>
      <c r="DQ448" s="112">
        <v>43384</v>
      </c>
      <c r="DR448" s="114" t="s">
        <v>324</v>
      </c>
      <c r="DS448" s="114"/>
      <c r="DT448" s="115">
        <v>50</v>
      </c>
      <c r="DU448" s="116">
        <f t="shared" si="313"/>
        <v>0.43318584070796456</v>
      </c>
      <c r="DV448" s="117">
        <f t="shared" si="314"/>
        <v>12.275432334</v>
      </c>
      <c r="DW448" s="118">
        <f t="shared" si="315"/>
        <v>14.685</v>
      </c>
      <c r="DX448" s="119">
        <f t="shared" si="331"/>
        <v>0.01</v>
      </c>
      <c r="DY448" s="115">
        <f t="shared" si="316"/>
        <v>16.399999999999999</v>
      </c>
      <c r="DZ448" s="117">
        <f t="shared" si="349"/>
        <v>0</v>
      </c>
      <c r="EA448" s="120">
        <f t="shared" si="349"/>
        <v>0</v>
      </c>
      <c r="EB448" s="119">
        <f t="shared" si="349"/>
        <v>0</v>
      </c>
      <c r="EC448" s="121">
        <f t="shared" si="318"/>
        <v>0</v>
      </c>
      <c r="ED448" s="122"/>
      <c r="EE448" s="145">
        <v>65</v>
      </c>
      <c r="EF448" s="115">
        <v>26</v>
      </c>
      <c r="EG448" s="115">
        <v>48</v>
      </c>
      <c r="EH448" s="115">
        <v>25</v>
      </c>
      <c r="EI448" s="128" t="s">
        <v>195</v>
      </c>
      <c r="EJ448" s="121">
        <v>24</v>
      </c>
      <c r="EK448" s="121">
        <v>0</v>
      </c>
      <c r="EL448" s="149">
        <v>12.275432334</v>
      </c>
      <c r="EM448" s="142">
        <v>14.685</v>
      </c>
      <c r="EN448" s="119">
        <v>0.01</v>
      </c>
      <c r="EO448" s="115">
        <v>16</v>
      </c>
      <c r="EP448" s="115">
        <v>521.36656582542821</v>
      </c>
      <c r="EQ448" s="115">
        <v>71</v>
      </c>
      <c r="ER448" s="115">
        <v>9.6</v>
      </c>
      <c r="ES448" s="115">
        <v>52</v>
      </c>
      <c r="ET448" s="150">
        <v>0.46034482758620682</v>
      </c>
      <c r="EU448" s="145">
        <f t="shared" si="332"/>
        <v>65</v>
      </c>
      <c r="EV448" s="115">
        <f t="shared" si="333"/>
        <v>25</v>
      </c>
      <c r="EW448" s="115">
        <f t="shared" si="333"/>
        <v>54</v>
      </c>
      <c r="EX448" s="115">
        <f t="shared" si="333"/>
        <v>24</v>
      </c>
      <c r="EY448" s="115" t="str">
        <f t="shared" ref="EY448:FA511" si="357">BX448</f>
        <v>Постоянный</v>
      </c>
      <c r="EZ448" s="115">
        <f t="shared" si="357"/>
        <v>24</v>
      </c>
      <c r="FA448" s="115">
        <f t="shared" si="357"/>
        <v>0</v>
      </c>
      <c r="FB448" s="149">
        <f t="shared" si="345"/>
        <v>12.275432334</v>
      </c>
      <c r="FC448" s="142">
        <f t="shared" si="345"/>
        <v>14.685</v>
      </c>
      <c r="FD448" s="119">
        <f t="shared" si="345"/>
        <v>0.01</v>
      </c>
      <c r="FE448" s="121">
        <f t="shared" si="344"/>
        <v>26</v>
      </c>
      <c r="FF448" s="121">
        <f t="shared" si="347"/>
        <v>1336.0018249276598</v>
      </c>
      <c r="FG448" s="121">
        <f t="shared" si="334"/>
        <v>70</v>
      </c>
      <c r="FH448" s="121">
        <f t="shared" si="348"/>
        <v>9.6</v>
      </c>
      <c r="FI448" s="121">
        <f t="shared" si="355"/>
        <v>48</v>
      </c>
      <c r="FJ448" s="144">
        <f t="shared" si="335"/>
        <v>0.40905292479108629</v>
      </c>
      <c r="FK448" s="132">
        <f t="shared" si="336"/>
        <v>0</v>
      </c>
      <c r="FL448" s="115">
        <f t="shared" si="336"/>
        <v>-1</v>
      </c>
      <c r="FM448" s="115">
        <f t="shared" si="336"/>
        <v>6</v>
      </c>
      <c r="FN448" s="115">
        <f t="shared" si="336"/>
        <v>-1</v>
      </c>
      <c r="FO448" s="115">
        <f t="shared" si="354"/>
        <v>0</v>
      </c>
      <c r="FP448" s="115">
        <f t="shared" si="354"/>
        <v>0</v>
      </c>
      <c r="FQ448" s="149">
        <f t="shared" si="354"/>
        <v>0</v>
      </c>
      <c r="FR448" s="142">
        <f t="shared" si="354"/>
        <v>0</v>
      </c>
      <c r="FS448" s="119">
        <f t="shared" si="354"/>
        <v>0</v>
      </c>
      <c r="FT448" s="121">
        <f t="shared" si="353"/>
        <v>10</v>
      </c>
      <c r="FU448" s="121">
        <f t="shared" si="337"/>
        <v>-1</v>
      </c>
      <c r="FV448" s="121">
        <f t="shared" si="337"/>
        <v>0</v>
      </c>
      <c r="FW448" s="121">
        <f t="shared" si="338"/>
        <v>814.63525910223154</v>
      </c>
      <c r="FX448" s="121">
        <f t="shared" si="339"/>
        <v>-4</v>
      </c>
      <c r="FY448" s="144">
        <f t="shared" si="339"/>
        <v>-5.1291902795120525E-2</v>
      </c>
      <c r="FZ448" s="145"/>
      <c r="GA448" s="151"/>
      <c r="GB448" s="145"/>
      <c r="GC448" s="151"/>
      <c r="GD448" s="997" t="s">
        <v>202</v>
      </c>
      <c r="GE448" s="1004"/>
      <c r="GF448" s="1004">
        <v>-0.26331366600000017</v>
      </c>
      <c r="GG448" s="1004" t="s">
        <v>223</v>
      </c>
      <c r="GH448" s="1004">
        <v>-2.6749324800000007</v>
      </c>
      <c r="GI448" s="145"/>
      <c r="GJ448" s="996">
        <v>-0.91950803999999842</v>
      </c>
      <c r="GK448" s="145"/>
      <c r="GL448" s="996">
        <v>-0.58514148000000077</v>
      </c>
      <c r="GM448" s="1005" t="s">
        <v>204</v>
      </c>
      <c r="GN448" s="996">
        <v>4.5999999999999996</v>
      </c>
      <c r="GO448" s="1006"/>
      <c r="GP448" s="996">
        <v>0</v>
      </c>
      <c r="GQ448" s="1006"/>
      <c r="GR448" s="996">
        <v>0</v>
      </c>
      <c r="GS448" s="1006"/>
      <c r="GT448" s="996">
        <v>-0.6244295508000004</v>
      </c>
      <c r="GU448" s="1006" t="s">
        <v>199</v>
      </c>
      <c r="GV448" s="996">
        <v>1.5548045039999998</v>
      </c>
      <c r="GW448" s="1006"/>
      <c r="GX448" s="996">
        <v>0</v>
      </c>
      <c r="GY448" s="1006" t="s">
        <v>199</v>
      </c>
      <c r="GZ448" s="996">
        <v>-2.3572842480000009</v>
      </c>
      <c r="HA448" s="1006"/>
      <c r="HB448" s="996">
        <v>0.77740225200000168</v>
      </c>
      <c r="HC448" s="1006"/>
      <c r="HD448" s="996">
        <v>-0.309289068</v>
      </c>
      <c r="HE448" s="1006"/>
      <c r="HF448" s="996">
        <v>0</v>
      </c>
      <c r="HG448" s="1006"/>
      <c r="HH448" s="996">
        <v>0</v>
      </c>
      <c r="HI448" s="1006"/>
      <c r="HJ448" s="996">
        <v>0</v>
      </c>
      <c r="HK448" s="1006" t="s">
        <v>199</v>
      </c>
      <c r="HL448" s="996">
        <v>2.506695839999999</v>
      </c>
      <c r="HM448" s="1006" t="s">
        <v>199</v>
      </c>
      <c r="HN448" s="996">
        <v>-1.5047999999999995</v>
      </c>
      <c r="HO448" s="1006"/>
      <c r="HP448" s="996">
        <v>0</v>
      </c>
      <c r="HQ448" s="1006"/>
      <c r="HR448" s="996">
        <v>-0.45979999999999954</v>
      </c>
      <c r="HS448" s="1006" t="s">
        <v>199</v>
      </c>
      <c r="HT448" s="996">
        <v>-4.4307999999999996</v>
      </c>
      <c r="HU448" s="1006"/>
      <c r="HV448" s="996">
        <v>-0.48488000000000042</v>
      </c>
      <c r="HW448" s="1006"/>
      <c r="HX448" s="996">
        <v>0</v>
      </c>
      <c r="HY448" s="1006"/>
      <c r="HZ448" s="996">
        <v>0</v>
      </c>
      <c r="IA448" s="1006" t="s">
        <v>199</v>
      </c>
      <c r="IB448" s="996">
        <v>-2.7337200000000017</v>
      </c>
      <c r="IC448" s="1006"/>
      <c r="ID448" s="996">
        <v>0</v>
      </c>
      <c r="IE448" s="1006" t="s">
        <v>199</v>
      </c>
      <c r="IF448" s="996">
        <v>2.9259999999999984</v>
      </c>
      <c r="IG448" s="1006"/>
      <c r="IH448" s="996">
        <v>0</v>
      </c>
      <c r="II448" s="1006" t="s">
        <v>199</v>
      </c>
      <c r="IJ448" s="996">
        <v>4.6816000000000031</v>
      </c>
      <c r="IK448" s="1006" t="s">
        <v>223</v>
      </c>
      <c r="IL448" s="996">
        <v>-4.4308000000000014</v>
      </c>
      <c r="IM448" s="1006"/>
      <c r="IN448" s="996">
        <v>0</v>
      </c>
      <c r="IO448" s="1006"/>
      <c r="IP448" s="996">
        <v>0</v>
      </c>
      <c r="IQ448" s="1006"/>
      <c r="IR448" s="996">
        <v>-0.23407999999999873</v>
      </c>
      <c r="IS448" s="1006"/>
      <c r="IT448" s="996">
        <v>0</v>
      </c>
      <c r="IU448" s="1006"/>
      <c r="IV448" s="996">
        <v>0</v>
      </c>
      <c r="IW448" s="1006" t="s">
        <v>199</v>
      </c>
      <c r="IX448" s="996">
        <v>-7.8675959999999989</v>
      </c>
      <c r="IY448" s="1006"/>
      <c r="IZ448" s="996">
        <v>0</v>
      </c>
      <c r="JA448" s="1006"/>
      <c r="JB448" s="996">
        <v>0</v>
      </c>
      <c r="JC448" s="1006" t="s">
        <v>204</v>
      </c>
      <c r="JD448" s="996">
        <v>-6.6859935999999998</v>
      </c>
      <c r="JE448" s="1006" t="s">
        <v>204</v>
      </c>
      <c r="JF448" s="996">
        <v>8.357491999999997</v>
      </c>
      <c r="JG448" s="1006" t="s">
        <v>204</v>
      </c>
      <c r="JH448" s="996">
        <v>-7.5217427999999984</v>
      </c>
      <c r="JI448" s="1006" t="s">
        <v>199</v>
      </c>
      <c r="JJ448" s="996">
        <v>8.6082167600000012</v>
      </c>
      <c r="JK448" s="1007"/>
      <c r="JL448" s="1007">
        <v>0</v>
      </c>
      <c r="JM448" s="1007"/>
      <c r="JN448" s="1007">
        <v>0</v>
      </c>
      <c r="JO448" s="1008"/>
      <c r="JP448" s="1007">
        <v>0</v>
      </c>
      <c r="JQ448" s="1008">
        <v>0</v>
      </c>
      <c r="JR448" s="1007">
        <v>0</v>
      </c>
      <c r="JS448" s="1008" t="s">
        <v>223</v>
      </c>
      <c r="JT448" s="1007">
        <v>-1.9294963600000017</v>
      </c>
      <c r="JU448" s="1008"/>
      <c r="JV448" s="1007">
        <v>0</v>
      </c>
      <c r="JW448" s="1008" t="s">
        <v>197</v>
      </c>
      <c r="JX448" s="1007">
        <v>0</v>
      </c>
      <c r="JY448" s="1008" t="s">
        <v>240</v>
      </c>
      <c r="JZ448" s="1007">
        <v>-5.8520000000000003</v>
      </c>
      <c r="KA448" s="1008" t="s">
        <v>240</v>
      </c>
      <c r="KB448" s="1007">
        <v>13.376000000000001</v>
      </c>
      <c r="KC448" s="1008" t="s">
        <v>240</v>
      </c>
      <c r="KD448" s="1007">
        <v>-16.636400000000002</v>
      </c>
      <c r="KE448" s="1008"/>
      <c r="KF448" s="1007">
        <v>0</v>
      </c>
      <c r="KG448" s="1008" t="s">
        <v>203</v>
      </c>
      <c r="KH448" s="1007">
        <v>-13.459599999999995</v>
      </c>
      <c r="KI448" s="1008" t="s">
        <v>203</v>
      </c>
      <c r="KJ448" s="1007">
        <v>-1.7806800000000038</v>
      </c>
      <c r="KK448" s="1008"/>
      <c r="KL448" s="1007">
        <v>48.596679999999999</v>
      </c>
      <c r="KM448" s="1008"/>
      <c r="KN448" s="1007"/>
      <c r="KO448" s="1008"/>
      <c r="KP448" s="1007"/>
      <c r="KQ448" s="1008"/>
      <c r="KR448" s="1007"/>
      <c r="KS448" s="1008"/>
      <c r="KT448" s="1007"/>
      <c r="KU448" s="1008"/>
      <c r="KV448" s="1007"/>
      <c r="KW448" s="1008"/>
      <c r="KX448" s="1007"/>
      <c r="KY448" s="1008"/>
      <c r="KZ448" s="1007"/>
      <c r="LA448" s="1008"/>
      <c r="LB448" s="1007"/>
      <c r="LC448" s="1008"/>
      <c r="LD448" s="1007"/>
      <c r="LE448" s="1008"/>
      <c r="LF448" s="1007"/>
      <c r="LG448" s="1008"/>
      <c r="LH448" s="1007"/>
      <c r="LI448" s="1008"/>
      <c r="LJ448" s="1007"/>
      <c r="LK448" s="1008"/>
      <c r="LL448" s="1007"/>
      <c r="LM448" s="1008"/>
      <c r="LN448" s="1007"/>
      <c r="LO448" s="1008"/>
      <c r="LP448" s="1007"/>
      <c r="LQ448" s="1008"/>
      <c r="LR448" s="1007"/>
      <c r="LS448" s="1008"/>
      <c r="LT448" s="1007"/>
      <c r="LU448" s="1008"/>
      <c r="LV448" s="1007"/>
      <c r="LW448" s="1008"/>
      <c r="LX448" s="1007"/>
      <c r="LY448" s="1009"/>
      <c r="LZ448" s="1010"/>
      <c r="MA448" s="1011"/>
      <c r="MB448" s="1012"/>
      <c r="MC448" s="995"/>
      <c r="MD448" s="996"/>
      <c r="ME448" s="997" t="s">
        <v>202</v>
      </c>
      <c r="MF448" s="997"/>
      <c r="MG448" s="998"/>
      <c r="NR448" s="1000"/>
      <c r="NS448" s="1000"/>
      <c r="NT448" s="1001"/>
      <c r="NU448" s="1000"/>
      <c r="NV448" s="1001"/>
      <c r="NX448" s="1002"/>
      <c r="NZ448" s="1001"/>
      <c r="OA448" s="1001"/>
      <c r="OC448" s="1003"/>
      <c r="OD448" s="1003"/>
      <c r="OE448" s="1001"/>
      <c r="OF448" s="1003"/>
      <c r="OG448" s="1003"/>
      <c r="QX448" s="1000">
        <f>CN448-CA448</f>
        <v>23</v>
      </c>
      <c r="ASU448" s="999" t="s">
        <v>208</v>
      </c>
    </row>
    <row r="449" spans="1:466 1191:1191" ht="21" customHeight="1" x14ac:dyDescent="0.25">
      <c r="A449" s="982">
        <f t="shared" si="323"/>
        <v>1525</v>
      </c>
      <c r="B449" s="124">
        <f>SUBTOTAL(103,$J$29:J449)</f>
        <v>421</v>
      </c>
      <c r="C449" s="126">
        <v>45068</v>
      </c>
      <c r="D449" s="124" t="s">
        <v>176</v>
      </c>
      <c r="E449" s="127" t="s">
        <v>177</v>
      </c>
      <c r="F449" s="128" t="s">
        <v>177</v>
      </c>
      <c r="G449" s="127" t="s">
        <v>178</v>
      </c>
      <c r="H449" s="127" t="s">
        <v>179</v>
      </c>
      <c r="I449" s="127" t="s">
        <v>1304</v>
      </c>
      <c r="J449" s="152">
        <v>1525</v>
      </c>
      <c r="K449" s="127" t="s">
        <v>1334</v>
      </c>
      <c r="L449" s="130">
        <v>43270</v>
      </c>
      <c r="M449" s="127" t="s">
        <v>230</v>
      </c>
      <c r="N449" s="127" t="s">
        <v>184</v>
      </c>
      <c r="O449" s="127" t="s">
        <v>185</v>
      </c>
      <c r="P449" s="127" t="s">
        <v>186</v>
      </c>
      <c r="Q449" s="85">
        <f t="shared" si="319"/>
        <v>-4</v>
      </c>
      <c r="R449" s="130">
        <v>43221</v>
      </c>
      <c r="S449" s="128" t="s">
        <v>747</v>
      </c>
      <c r="T449" s="131" t="s">
        <v>1294</v>
      </c>
      <c r="U449" s="132">
        <v>203</v>
      </c>
      <c r="V449" s="121">
        <v>218.2</v>
      </c>
      <c r="W449" s="116">
        <v>0.98</v>
      </c>
      <c r="X449" s="116">
        <v>1.66</v>
      </c>
      <c r="Y449" s="116">
        <f t="shared" si="346"/>
        <v>0.98</v>
      </c>
      <c r="Z449" s="133">
        <v>1.454</v>
      </c>
      <c r="AA449" s="133">
        <v>0.83599999999999997</v>
      </c>
      <c r="AB449" s="133">
        <v>0.72</v>
      </c>
      <c r="AC449" s="121">
        <v>34.299999999999997</v>
      </c>
      <c r="AD449" s="134">
        <v>1.17</v>
      </c>
      <c r="AE449" s="124">
        <v>177.8</v>
      </c>
      <c r="AF449" s="128">
        <v>9.19</v>
      </c>
      <c r="AG449" s="128">
        <v>2393.1</v>
      </c>
      <c r="AH449" s="138">
        <v>3342.54</v>
      </c>
      <c r="AI449" s="138">
        <v>3342.54</v>
      </c>
      <c r="AJ449" s="135">
        <v>43241</v>
      </c>
      <c r="AK449" s="128" t="s">
        <v>1018</v>
      </c>
      <c r="AL449" s="131"/>
      <c r="AM449" s="124" t="s">
        <v>985</v>
      </c>
      <c r="AN449" s="136" t="s">
        <v>1684</v>
      </c>
      <c r="AO449" s="137">
        <v>9.6300000000000008</v>
      </c>
      <c r="AP449" s="128">
        <v>2511.94</v>
      </c>
      <c r="AQ449" s="128">
        <v>636.41999999999996</v>
      </c>
      <c r="AR449" s="128" t="s">
        <v>1685</v>
      </c>
      <c r="AS449" s="128">
        <v>114</v>
      </c>
      <c r="AT449" s="122">
        <v>7.37</v>
      </c>
      <c r="AU449" s="124" t="s">
        <v>189</v>
      </c>
      <c r="AV449" s="115">
        <f>VLOOKUP(J449,'[63]ТР нефть'!$J$28:$BP$638,39,0)</f>
        <v>449.999992969</v>
      </c>
      <c r="AW449" s="115" t="str">
        <f>VLOOKUP(J449,'[63]ТР нефть'!$J$28:$BP$638,40,0)</f>
        <v>ГП</v>
      </c>
      <c r="AX449" s="115">
        <f>VLOOKUP(J449,'[63]ТР нефть'!$J$28:$BP$638,41,0)</f>
        <v>855.00001640599999</v>
      </c>
      <c r="AY449" s="115" t="str">
        <f>VLOOKUP(J449,'[63]ТР нефть'!$J$28:$BP$638,42,0)</f>
        <v>ГП</v>
      </c>
      <c r="AZ449" s="115">
        <f>VLOOKUP(J449,'[63]ТР нефть'!$J$28:$BP$638,43,0)</f>
        <v>1184.9999666020001</v>
      </c>
      <c r="BA449" s="115" t="str">
        <f>VLOOKUP(J449,'[63]ТР нефть'!$J$28:$BP$638,44,0)</f>
        <v>ГК73 1/8</v>
      </c>
      <c r="BB449" s="115">
        <f>VLOOKUP(J449,'[63]ТР нефть'!$J$28:$BP$638,45,0)</f>
        <v>1449.9999773439999</v>
      </c>
      <c r="BC449" s="115" t="str">
        <f>VLOOKUP(J449,'[63]ТР нефть'!$J$28:$BP$638,46,0)</f>
        <v>ГК73 1/8</v>
      </c>
      <c r="BD449" s="115">
        <f>VLOOKUP(J449,'[63]ТР нефть'!$J$28:$BP$638,47,0)</f>
        <v>1665.0000632809999</v>
      </c>
      <c r="BE449" s="115" t="str">
        <f>VLOOKUP(J449,'[63]ТР нефть'!$J$28:$BP$638,48,0)</f>
        <v>ГК72 5/32</v>
      </c>
      <c r="BF449" s="115">
        <f>VLOOKUP(J449,'[63]ТР нефть'!$J$28:$BP$638,49,0)</f>
        <v>1850</v>
      </c>
      <c r="BG449" s="115" t="str">
        <f>VLOOKUP(J449,'[63]ТР нефть'!$J$28:$BP$638,50,0)</f>
        <v>ЦКсОК 5/16</v>
      </c>
      <c r="BH449" s="115">
        <f>VLOOKUP(J449,'[63]ТР нефть'!$J$28:$BP$638,51,0)</f>
        <v>1970</v>
      </c>
      <c r="BI449" s="115" t="str">
        <f>VLOOKUP(J449,'[63]ТР нефть'!$J$28:$BP$638,52,0)</f>
        <v>закрыт</v>
      </c>
      <c r="BJ449" s="115" t="str">
        <f>IF(IFERROR(VLOOKUP(J449,'[63]ТР нефть'!$J$28:$BP$638,53,0),"-")=0,"-",IFERROR(VLOOKUP(J449,'[63]ТР нефть'!$J$28:$BP$638,53,0),"-"))</f>
        <v>-</v>
      </c>
      <c r="BK449" s="138" t="str">
        <f>IF(IFERROR(VLOOKUP(J449,'[63]ТР нефть'!$J$28:$BP$638,54,0),"-")=0,"-",IFERROR(VLOOKUP(J449,'[63]ТР нефть'!$J$28:$BP$638,54,0),"-"))</f>
        <v>-</v>
      </c>
      <c r="BL449" s="138" t="str">
        <f>IF(IFERROR(VLOOKUP(J449,'[63]ТР нефть'!$J$28:$BP$638,55,0),"-")=0,"-",IFERROR(VLOOKUP(J449,'[63]ТР нефть'!$J$28:$BP$638,55,0),"-"))</f>
        <v>-</v>
      </c>
      <c r="BM449" s="138" t="str">
        <f>IF(IFERROR(VLOOKUP(J449,'[63]ТР нефть'!$J$28:$BP$638,56,0),"-")=0,"-",IFERROR(VLOOKUP(J449,'[63]ТР нефть'!$J$28:$BP$638,56,0),"-"))</f>
        <v>-</v>
      </c>
      <c r="BN449" s="138" t="str">
        <f>IF(IFERROR(VLOOKUP(J449,'[63]ТР нефть'!$J$28:$BP$638,57,0),"-")=0,"-",IFERROR(VLOOKUP(J449,'[63]ТР нефть'!$J$28:$BP$638,57,0),"-"))</f>
        <v>-</v>
      </c>
      <c r="BO449" s="115" t="str">
        <f>IF(IFERROR(VLOOKUP(J449,'[63]ТР нефть'!$J$28:$BP$638,58,0),"-")=0,"-",IFERROR(VLOOKUP(J449,'[63]ТР нефть'!$J$28:$BP$638,58,0),"-"))</f>
        <v>-</v>
      </c>
      <c r="BP449" s="115" t="str">
        <f>IF(IFERROR(VLOOKUP(J449,'[63]ТР нефть'!$J$28:$BP$638,59,0),"-")=0,"-",IFERROR(VLOOKUP(J449,'[63]ТР нефть'!$J$28:$BP$638,59,0),"-"))</f>
        <v>-</v>
      </c>
      <c r="BQ449" s="138">
        <v>1992</v>
      </c>
      <c r="BR449" s="128">
        <v>1471.2</v>
      </c>
      <c r="BS449" s="115">
        <f t="shared" si="351"/>
        <v>520.79999999999995</v>
      </c>
      <c r="BT449" s="128">
        <v>73</v>
      </c>
      <c r="BU449" s="128">
        <v>5.5</v>
      </c>
      <c r="BV449" s="127">
        <v>65</v>
      </c>
      <c r="BW449" s="127" t="s">
        <v>217</v>
      </c>
      <c r="BX449" s="127" t="s">
        <v>218</v>
      </c>
      <c r="BY449" s="139">
        <v>24</v>
      </c>
      <c r="BZ449" s="139">
        <v>72</v>
      </c>
      <c r="CA449" s="138">
        <v>10</v>
      </c>
      <c r="CB449" s="138">
        <v>21</v>
      </c>
      <c r="CC449" s="138">
        <v>9</v>
      </c>
      <c r="CD449" s="135">
        <v>45017</v>
      </c>
      <c r="CE449" s="138">
        <v>111</v>
      </c>
      <c r="CF449" s="138">
        <v>70</v>
      </c>
      <c r="CG449" s="138" t="str">
        <f t="shared" si="352"/>
        <v>В работе</v>
      </c>
      <c r="CH449" s="138" t="s">
        <v>272</v>
      </c>
      <c r="CI449" s="127">
        <v>5</v>
      </c>
      <c r="CJ449" s="138"/>
      <c r="CK449" s="138">
        <f t="shared" si="356"/>
        <v>47</v>
      </c>
      <c r="CL449" s="99"/>
      <c r="CM449" s="99"/>
      <c r="CN449" s="140">
        <v>57</v>
      </c>
      <c r="CO449" s="141">
        <f t="shared" si="324"/>
        <v>1.6719999999999999</v>
      </c>
      <c r="CP449" s="142">
        <v>2</v>
      </c>
      <c r="CQ449" s="143">
        <v>0</v>
      </c>
      <c r="CR449" s="138">
        <v>12.7</v>
      </c>
      <c r="CS449" s="139">
        <v>11</v>
      </c>
      <c r="CT449" s="138"/>
      <c r="CU449" s="138">
        <f t="shared" si="320"/>
        <v>1.6999999999999993</v>
      </c>
      <c r="CV449" s="115">
        <f t="shared" si="321"/>
        <v>1016.7464114832533</v>
      </c>
      <c r="CW449" s="115">
        <f t="shared" si="325"/>
        <v>6578.9473684210534</v>
      </c>
      <c r="CX449" s="133">
        <f t="shared" si="322"/>
        <v>3.7037037037037035E-2</v>
      </c>
      <c r="CY449" s="116"/>
      <c r="CZ449" s="1062"/>
      <c r="DA449" s="145" t="str">
        <f t="shared" si="326"/>
        <v>Газлифт</v>
      </c>
      <c r="DB449" s="146">
        <f t="shared" si="341"/>
        <v>1.6719999999999999</v>
      </c>
      <c r="DC449" s="142">
        <f t="shared" si="342"/>
        <v>2</v>
      </c>
      <c r="DD449" s="119">
        <f t="shared" si="350"/>
        <v>0</v>
      </c>
      <c r="DE449" s="115">
        <f t="shared" si="343"/>
        <v>1.6999999999999993</v>
      </c>
      <c r="DF449" s="121">
        <f t="shared" si="328"/>
        <v>11</v>
      </c>
      <c r="DG449" s="115">
        <f t="shared" si="329"/>
        <v>1016.7464114832533</v>
      </c>
      <c r="DH449" s="115">
        <f t="shared" si="330"/>
        <v>57</v>
      </c>
      <c r="DI449" s="147"/>
      <c r="DJ449" s="111">
        <v>43658</v>
      </c>
      <c r="DK449" s="112">
        <v>43270</v>
      </c>
      <c r="DL449" s="113">
        <f t="shared" ca="1" si="312"/>
        <v>1834</v>
      </c>
      <c r="DM449" s="114"/>
      <c r="DN449" s="114"/>
      <c r="DO449" s="114"/>
      <c r="DP449" s="114"/>
      <c r="DQ449" s="112">
        <v>43270</v>
      </c>
      <c r="DR449" s="114" t="s">
        <v>324</v>
      </c>
      <c r="DS449" s="114"/>
      <c r="DT449" s="115">
        <v>60</v>
      </c>
      <c r="DU449" s="116">
        <f t="shared" si="313"/>
        <v>3.9215686274509803E-2</v>
      </c>
      <c r="DV449" s="117">
        <f t="shared" si="314"/>
        <v>1.6719999999999999</v>
      </c>
      <c r="DW449" s="118">
        <f t="shared" si="315"/>
        <v>2</v>
      </c>
      <c r="DX449" s="119">
        <f t="shared" si="331"/>
        <v>0</v>
      </c>
      <c r="DY449" s="115">
        <f t="shared" si="316"/>
        <v>1.6999999999999993</v>
      </c>
      <c r="DZ449" s="117">
        <f t="shared" si="349"/>
        <v>0</v>
      </c>
      <c r="EA449" s="120">
        <f t="shared" si="349"/>
        <v>0</v>
      </c>
      <c r="EB449" s="119">
        <f t="shared" si="349"/>
        <v>0</v>
      </c>
      <c r="EC449" s="121">
        <f t="shared" si="318"/>
        <v>0</v>
      </c>
      <c r="ED449" s="122" t="s">
        <v>1297</v>
      </c>
      <c r="EE449" s="145">
        <v>65</v>
      </c>
      <c r="EF449" s="115">
        <v>6</v>
      </c>
      <c r="EG449" s="115">
        <v>23</v>
      </c>
      <c r="EH449" s="115">
        <v>6</v>
      </c>
      <c r="EI449" s="128" t="s">
        <v>195</v>
      </c>
      <c r="EJ449" s="121">
        <v>24</v>
      </c>
      <c r="EK449" s="121">
        <v>0</v>
      </c>
      <c r="EL449" s="149">
        <v>1.6719999999999999</v>
      </c>
      <c r="EM449" s="142">
        <v>2</v>
      </c>
      <c r="EN449" s="119">
        <v>0</v>
      </c>
      <c r="EO449" s="115">
        <v>12.7</v>
      </c>
      <c r="EP449" s="115">
        <v>1016.7464114832533</v>
      </c>
      <c r="EQ449" s="115">
        <v>70</v>
      </c>
      <c r="ER449" s="115">
        <v>11</v>
      </c>
      <c r="ES449" s="115">
        <v>57</v>
      </c>
      <c r="ET449" s="150">
        <v>3.7037037037037035E-2</v>
      </c>
      <c r="EU449" s="145">
        <f t="shared" si="332"/>
        <v>65</v>
      </c>
      <c r="EV449" s="115">
        <f t="shared" si="333"/>
        <v>10</v>
      </c>
      <c r="EW449" s="115">
        <f t="shared" si="333"/>
        <v>21</v>
      </c>
      <c r="EX449" s="115">
        <f t="shared" si="333"/>
        <v>9</v>
      </c>
      <c r="EY449" s="115" t="str">
        <f t="shared" si="357"/>
        <v>Периодический</v>
      </c>
      <c r="EZ449" s="115">
        <f t="shared" si="357"/>
        <v>24</v>
      </c>
      <c r="FA449" s="115">
        <f t="shared" si="357"/>
        <v>72</v>
      </c>
      <c r="FB449" s="149">
        <f t="shared" si="345"/>
        <v>1.6719999999999999</v>
      </c>
      <c r="FC449" s="142">
        <f t="shared" si="345"/>
        <v>2</v>
      </c>
      <c r="FD449" s="119">
        <f t="shared" si="345"/>
        <v>0</v>
      </c>
      <c r="FE449" s="121">
        <f t="shared" si="344"/>
        <v>12.7</v>
      </c>
      <c r="FF449" s="121">
        <f t="shared" si="347"/>
        <v>1016.7464114832533</v>
      </c>
      <c r="FG449" s="121">
        <f t="shared" si="334"/>
        <v>70</v>
      </c>
      <c r="FH449" s="121">
        <f t="shared" si="348"/>
        <v>11</v>
      </c>
      <c r="FI449" s="121">
        <f t="shared" si="355"/>
        <v>57</v>
      </c>
      <c r="FJ449" s="144">
        <f t="shared" si="335"/>
        <v>3.7037037037037035E-2</v>
      </c>
      <c r="FK449" s="132">
        <f t="shared" si="336"/>
        <v>0</v>
      </c>
      <c r="FL449" s="115">
        <f t="shared" si="336"/>
        <v>4</v>
      </c>
      <c r="FM449" s="115">
        <f t="shared" si="336"/>
        <v>-2</v>
      </c>
      <c r="FN449" s="115">
        <f t="shared" si="336"/>
        <v>3</v>
      </c>
      <c r="FO449" s="115">
        <f t="shared" si="354"/>
        <v>0</v>
      </c>
      <c r="FP449" s="115">
        <f t="shared" si="354"/>
        <v>72</v>
      </c>
      <c r="FQ449" s="149">
        <f t="shared" si="354"/>
        <v>0</v>
      </c>
      <c r="FR449" s="142">
        <f t="shared" si="354"/>
        <v>0</v>
      </c>
      <c r="FS449" s="119">
        <f t="shared" si="354"/>
        <v>0</v>
      </c>
      <c r="FT449" s="121">
        <f t="shared" si="353"/>
        <v>0</v>
      </c>
      <c r="FU449" s="121">
        <f t="shared" si="337"/>
        <v>0</v>
      </c>
      <c r="FV449" s="121">
        <f t="shared" si="337"/>
        <v>0</v>
      </c>
      <c r="FW449" s="121">
        <f t="shared" si="338"/>
        <v>0</v>
      </c>
      <c r="FX449" s="121">
        <f t="shared" si="339"/>
        <v>0</v>
      </c>
      <c r="FY449" s="144">
        <f t="shared" si="339"/>
        <v>0</v>
      </c>
      <c r="FZ449" s="145"/>
      <c r="GA449" s="1033"/>
      <c r="GB449" s="145" t="s">
        <v>240</v>
      </c>
      <c r="GC449" s="1033" t="s">
        <v>1686</v>
      </c>
      <c r="GD449" s="997" t="s">
        <v>202</v>
      </c>
      <c r="GE449" s="1004" t="s">
        <v>240</v>
      </c>
      <c r="GF449" s="1004">
        <v>-4.2368480000000002</v>
      </c>
      <c r="GG449" s="1004" t="s">
        <v>223</v>
      </c>
      <c r="GH449" s="1004">
        <v>-1.6327079999999992</v>
      </c>
      <c r="GI449" s="145"/>
      <c r="GJ449" s="996">
        <v>0</v>
      </c>
      <c r="GK449" s="145" t="s">
        <v>199</v>
      </c>
      <c r="GL449" s="996">
        <v>3.6622651999999993</v>
      </c>
      <c r="GM449" s="1005"/>
      <c r="GN449" s="996">
        <v>0.75251703999999986</v>
      </c>
      <c r="GO449" s="1006"/>
      <c r="GP449" s="996">
        <v>0.31781375999999995</v>
      </c>
      <c r="GQ449" s="1006" t="s">
        <v>241</v>
      </c>
      <c r="GR449" s="996">
        <v>-3.0461621256000004</v>
      </c>
      <c r="GS449" s="1006"/>
      <c r="GT449" s="996">
        <v>0</v>
      </c>
      <c r="GU449" s="1006" t="s">
        <v>204</v>
      </c>
      <c r="GV449" s="996">
        <v>-2.8752258744000008</v>
      </c>
      <c r="GW449" s="1006"/>
      <c r="GX449" s="996">
        <v>0</v>
      </c>
      <c r="GY449" s="1006" t="s">
        <v>204</v>
      </c>
      <c r="GZ449" s="996">
        <v>-1.7029319999999988</v>
      </c>
      <c r="HA449" s="1006" t="s">
        <v>204</v>
      </c>
      <c r="HB449" s="996">
        <v>0.43327999999999989</v>
      </c>
      <c r="HC449" s="1006" t="s">
        <v>241</v>
      </c>
      <c r="HD449" s="996">
        <v>5.6</v>
      </c>
      <c r="HE449" s="1006"/>
      <c r="HF449" s="996">
        <v>0</v>
      </c>
      <c r="HG449" s="1006" t="s">
        <v>1065</v>
      </c>
      <c r="HH449" s="996">
        <v>-5.4005599999999996</v>
      </c>
      <c r="HI449" s="1006"/>
      <c r="HJ449" s="996">
        <v>-0.35111999999999988</v>
      </c>
      <c r="HK449" s="1006" t="s">
        <v>221</v>
      </c>
      <c r="HL449" s="996">
        <v>2.9803416719999998</v>
      </c>
      <c r="HM449" s="1006" t="s">
        <v>308</v>
      </c>
      <c r="HN449" s="996">
        <v>6.8485103279999997</v>
      </c>
      <c r="HO449" s="1006"/>
      <c r="HP449" s="996">
        <v>0</v>
      </c>
      <c r="HQ449" s="1006"/>
      <c r="HR449" s="996">
        <v>0</v>
      </c>
      <c r="HS449" s="1006"/>
      <c r="HT449" s="996">
        <v>0</v>
      </c>
      <c r="HU449" s="1006"/>
      <c r="HV449" s="996">
        <v>0</v>
      </c>
      <c r="HW449" s="1006"/>
      <c r="HX449" s="996">
        <v>0</v>
      </c>
      <c r="HY449" s="1006"/>
      <c r="HZ449" s="996">
        <v>0</v>
      </c>
      <c r="IA449" s="1006"/>
      <c r="IB449" s="996">
        <v>-0.46565199999999995</v>
      </c>
      <c r="IC449" s="1006"/>
      <c r="ID449" s="996">
        <v>0</v>
      </c>
      <c r="IE449" s="1006"/>
      <c r="IF449" s="996">
        <v>0</v>
      </c>
      <c r="IG449" s="1006"/>
      <c r="IH449" s="996">
        <v>-8.3600000000000119E-2</v>
      </c>
      <c r="II449" s="1006"/>
      <c r="IJ449" s="996">
        <v>0</v>
      </c>
      <c r="IK449" s="1006"/>
      <c r="IL449" s="996">
        <v>0</v>
      </c>
      <c r="IM449" s="1006"/>
      <c r="IN449" s="996">
        <v>0</v>
      </c>
      <c r="IO449" s="1006"/>
      <c r="IP449" s="996">
        <v>0</v>
      </c>
      <c r="IQ449" s="1006"/>
      <c r="IR449" s="996">
        <v>0</v>
      </c>
      <c r="IS449" s="1006"/>
      <c r="IT449" s="996">
        <v>0</v>
      </c>
      <c r="IU449" s="1006" t="s">
        <v>199</v>
      </c>
      <c r="IV449" s="996">
        <v>-2.4243999999999999</v>
      </c>
      <c r="IW449" s="1006"/>
      <c r="IX449" s="996">
        <v>0</v>
      </c>
      <c r="IY449" s="1006"/>
      <c r="IZ449" s="996">
        <v>0</v>
      </c>
      <c r="JA449" s="1006"/>
      <c r="JB449" s="996">
        <v>0</v>
      </c>
      <c r="JC449" s="1006" t="s">
        <v>204</v>
      </c>
      <c r="JD449" s="996">
        <v>-4.4307999999999996</v>
      </c>
      <c r="JE449" s="1006"/>
      <c r="JF449" s="996">
        <v>0</v>
      </c>
      <c r="JG449" s="1006"/>
      <c r="JH449" s="996">
        <v>0</v>
      </c>
      <c r="JI449" s="1006"/>
      <c r="JJ449" s="996">
        <v>0</v>
      </c>
      <c r="JK449" s="1007"/>
      <c r="JL449" s="1007">
        <v>0</v>
      </c>
      <c r="JM449" s="1007"/>
      <c r="JN449" s="1007">
        <v>0</v>
      </c>
      <c r="JO449" s="1008"/>
      <c r="JP449" s="1007">
        <v>0</v>
      </c>
      <c r="JQ449" s="1008">
        <v>0</v>
      </c>
      <c r="JR449" s="1007">
        <v>0</v>
      </c>
      <c r="JS449" s="1008">
        <v>0</v>
      </c>
      <c r="JT449" s="1007">
        <v>0</v>
      </c>
      <c r="JU449" s="1008"/>
      <c r="JV449" s="1007">
        <v>0</v>
      </c>
      <c r="JW449" s="1008" t="s">
        <v>197</v>
      </c>
      <c r="JX449" s="1007">
        <v>0</v>
      </c>
      <c r="JY449" s="1008"/>
      <c r="JZ449" s="1007">
        <v>0</v>
      </c>
      <c r="KA449" s="1008"/>
      <c r="KB449" s="1007">
        <v>0</v>
      </c>
      <c r="KC449" s="1008"/>
      <c r="KD449" s="1007">
        <v>0</v>
      </c>
      <c r="KE449" s="1008"/>
      <c r="KF449" s="1007">
        <v>0</v>
      </c>
      <c r="KG449" s="1008" t="s">
        <v>207</v>
      </c>
      <c r="KH449" s="1007">
        <v>-7.2732000000000001</v>
      </c>
      <c r="KI449" s="1008" t="s">
        <v>207</v>
      </c>
      <c r="KJ449" s="1007">
        <v>-10.868</v>
      </c>
      <c r="KK449" s="1008"/>
      <c r="KL449" s="1007">
        <v>0</v>
      </c>
      <c r="KM449" s="1008"/>
      <c r="KN449" s="1007">
        <v>0</v>
      </c>
      <c r="KO449" s="1008" t="s">
        <v>1687</v>
      </c>
      <c r="KP449" s="1007">
        <v>-8.1091999999999977</v>
      </c>
      <c r="KQ449" s="1008" t="s">
        <v>221</v>
      </c>
      <c r="KR449" s="1007">
        <v>5.6100197999999963</v>
      </c>
      <c r="KS449" s="1008">
        <v>0</v>
      </c>
      <c r="KT449" s="1007">
        <v>0</v>
      </c>
      <c r="KU449" s="1008">
        <v>0</v>
      </c>
      <c r="KV449" s="1007">
        <v>0</v>
      </c>
      <c r="KW449" s="1008">
        <v>0</v>
      </c>
      <c r="KX449" s="1007">
        <v>0</v>
      </c>
      <c r="KY449" s="1008">
        <v>0</v>
      </c>
      <c r="KZ449" s="1007">
        <v>0</v>
      </c>
      <c r="LA449" s="1008">
        <v>0</v>
      </c>
      <c r="LB449" s="1007">
        <v>0</v>
      </c>
      <c r="LC449" s="1008">
        <v>0</v>
      </c>
      <c r="LD449" s="1007">
        <v>0</v>
      </c>
      <c r="LE449" s="1008">
        <v>0</v>
      </c>
      <c r="LF449" s="1007">
        <v>0</v>
      </c>
      <c r="LG449" s="1008">
        <v>0</v>
      </c>
      <c r="LH449" s="1007">
        <v>0</v>
      </c>
      <c r="LI449" s="1008">
        <v>0</v>
      </c>
      <c r="LJ449" s="1007">
        <v>0</v>
      </c>
      <c r="LK449" s="1008">
        <v>0</v>
      </c>
      <c r="LL449" s="1007">
        <v>0</v>
      </c>
      <c r="LM449" s="1008">
        <v>0</v>
      </c>
      <c r="LN449" s="1007">
        <v>0</v>
      </c>
      <c r="LO449" s="1008">
        <v>0</v>
      </c>
      <c r="LP449" s="1007">
        <v>0</v>
      </c>
      <c r="LQ449" s="1008">
        <v>0</v>
      </c>
      <c r="LR449" s="1007">
        <v>0</v>
      </c>
      <c r="LS449" s="1008">
        <v>0</v>
      </c>
      <c r="LT449" s="1007">
        <v>0</v>
      </c>
      <c r="LU449" s="1008">
        <v>0</v>
      </c>
      <c r="LV449" s="1007">
        <v>0</v>
      </c>
      <c r="LW449" s="1008">
        <v>0</v>
      </c>
      <c r="LX449" s="1007">
        <v>0</v>
      </c>
      <c r="LY449" s="1009">
        <v>0</v>
      </c>
      <c r="LZ449" s="1010">
        <v>0</v>
      </c>
      <c r="MA449" s="1011">
        <v>0</v>
      </c>
      <c r="MB449" s="1012">
        <v>0</v>
      </c>
      <c r="MC449" s="995"/>
      <c r="MD449" s="996"/>
      <c r="ME449" s="997" t="s">
        <v>202</v>
      </c>
      <c r="MF449" s="997"/>
      <c r="MG449" s="998"/>
      <c r="NR449" s="1000"/>
      <c r="NS449" s="1000"/>
      <c r="NT449" s="1001"/>
      <c r="NU449" s="1000"/>
      <c r="NV449" s="1001"/>
      <c r="NX449" s="1002"/>
      <c r="NZ449" s="1001"/>
      <c r="OA449" s="1001"/>
      <c r="OC449" s="1003"/>
      <c r="OD449" s="1003"/>
      <c r="OE449" s="1001"/>
      <c r="OF449" s="1003"/>
      <c r="OG449" s="1003"/>
      <c r="QX449" s="1000">
        <f>CN449-CA449</f>
        <v>47</v>
      </c>
      <c r="ASU449" s="999" t="s">
        <v>208</v>
      </c>
    </row>
    <row r="450" spans="1:466 1191:1191" ht="21" customHeight="1" x14ac:dyDescent="0.25">
      <c r="A450" s="982">
        <f t="shared" si="323"/>
        <v>1526</v>
      </c>
      <c r="B450" s="124">
        <f>SUBTOTAL(103,$J$29:J450)</f>
        <v>422</v>
      </c>
      <c r="C450" s="126">
        <v>45068</v>
      </c>
      <c r="D450" s="124" t="s">
        <v>176</v>
      </c>
      <c r="E450" s="127" t="s">
        <v>177</v>
      </c>
      <c r="F450" s="128" t="s">
        <v>177</v>
      </c>
      <c r="G450" s="127" t="s">
        <v>178</v>
      </c>
      <c r="H450" s="127" t="s">
        <v>179</v>
      </c>
      <c r="I450" s="127" t="s">
        <v>1330</v>
      </c>
      <c r="J450" s="152">
        <v>1526</v>
      </c>
      <c r="K450" s="127" t="s">
        <v>1330</v>
      </c>
      <c r="L450" s="130">
        <v>43690</v>
      </c>
      <c r="M450" s="127" t="s">
        <v>230</v>
      </c>
      <c r="N450" s="127" t="s">
        <v>184</v>
      </c>
      <c r="O450" s="127" t="s">
        <v>185</v>
      </c>
      <c r="P450" s="127" t="s">
        <v>186</v>
      </c>
      <c r="Q450" s="85" t="str">
        <f t="shared" si="319"/>
        <v/>
      </c>
      <c r="R450" s="130"/>
      <c r="S450" s="128"/>
      <c r="T450" s="131"/>
      <c r="U450" s="132">
        <v>203</v>
      </c>
      <c r="V450" s="121">
        <v>218.2</v>
      </c>
      <c r="W450" s="116">
        <v>0.98</v>
      </c>
      <c r="X450" s="116">
        <v>1.66</v>
      </c>
      <c r="Y450" s="116">
        <f t="shared" si="346"/>
        <v>0.98403097023953534</v>
      </c>
      <c r="Z450" s="133">
        <v>1.454</v>
      </c>
      <c r="AA450" s="133">
        <v>0.83599999999999997</v>
      </c>
      <c r="AB450" s="133">
        <v>0.72</v>
      </c>
      <c r="AC450" s="121">
        <v>34.299999999999997</v>
      </c>
      <c r="AD450" s="134">
        <v>1.17</v>
      </c>
      <c r="AE450" s="124">
        <v>177.8</v>
      </c>
      <c r="AF450" s="128">
        <v>9.19</v>
      </c>
      <c r="AG450" s="128">
        <v>2216</v>
      </c>
      <c r="AH450" s="127">
        <v>3100</v>
      </c>
      <c r="AI450" s="127">
        <v>3100</v>
      </c>
      <c r="AJ450" s="135"/>
      <c r="AK450" s="128"/>
      <c r="AL450" s="131"/>
      <c r="AM450" s="124" t="s">
        <v>985</v>
      </c>
      <c r="AN450" s="136" t="s">
        <v>1688</v>
      </c>
      <c r="AO450" s="137">
        <v>68</v>
      </c>
      <c r="AP450" s="128">
        <v>2271.75</v>
      </c>
      <c r="AQ450" s="128">
        <v>389</v>
      </c>
      <c r="AR450" s="128" t="s">
        <v>1689</v>
      </c>
      <c r="AS450" s="128">
        <v>114</v>
      </c>
      <c r="AT450" s="122">
        <v>7.37</v>
      </c>
      <c r="AU450" s="124" t="s">
        <v>189</v>
      </c>
      <c r="AV450" s="115">
        <f>VLOOKUP(J450,'[63]ТР нефть'!$J$28:$BP$638,39,0)</f>
        <v>490.00000722700003</v>
      </c>
      <c r="AW450" s="115" t="str">
        <f>VLOOKUP(J450,'[63]ТР нефть'!$J$28:$BP$638,40,0)</f>
        <v>ГП</v>
      </c>
      <c r="AX450" s="115">
        <f>VLOOKUP(J450,'[63]ТР нефть'!$J$28:$BP$638,41,0)</f>
        <v>860.00004609400003</v>
      </c>
      <c r="AY450" s="115" t="str">
        <f>VLOOKUP(J450,'[63]ТР нефть'!$J$28:$BP$638,42,0)</f>
        <v>ГК 73 1/8</v>
      </c>
      <c r="AZ450" s="115">
        <f>VLOOKUP(J450,'[63]ТР нефть'!$J$28:$BP$638,43,0)</f>
        <v>1160.000041406</v>
      </c>
      <c r="BA450" s="115" t="str">
        <f>VLOOKUP(J450,'[63]ТР нефть'!$J$28:$BP$638,44,0)</f>
        <v>ГК 73 1/8</v>
      </c>
      <c r="BB450" s="115">
        <f>VLOOKUP(J450,'[63]ТР нефть'!$J$28:$BP$638,45,0)</f>
        <v>1420.0000968750001</v>
      </c>
      <c r="BC450" s="115" t="str">
        <f>VLOOKUP(J450,'[63]ТР нефть'!$J$28:$BP$638,46,0)</f>
        <v>ГК 74 1/8</v>
      </c>
      <c r="BD450" s="115">
        <f>VLOOKUP(J450,'[63]ТР нефть'!$J$28:$BP$638,47,0)</f>
        <v>1660.0000335939999</v>
      </c>
      <c r="BE450" s="115" t="str">
        <f>VLOOKUP(J450,'[63]ТР нефть'!$J$28:$BP$638,48,0)</f>
        <v>ГК 70 5/32</v>
      </c>
      <c r="BF450" s="115">
        <f>VLOOKUP(J450,'[63]ТР нефть'!$J$28:$BP$638,49,0)</f>
        <v>1900</v>
      </c>
      <c r="BG450" s="115" t="str">
        <f>VLOOKUP(J450,'[63]ТР нефть'!$J$28:$BP$638,50,0)</f>
        <v>ЦКсОК 5/16</v>
      </c>
      <c r="BH450" s="115" t="str">
        <f>VLOOKUP(J450,'[63]ТР нефть'!$J$28:$BP$638,51,0)</f>
        <v>-</v>
      </c>
      <c r="BI450" s="115" t="str">
        <f>VLOOKUP(J450,'[63]ТР нефть'!$J$28:$BP$638,52,0)</f>
        <v>-</v>
      </c>
      <c r="BJ450" s="115" t="str">
        <f>IF(IFERROR(VLOOKUP(J450,'[63]ТР нефть'!$J$28:$BP$638,53,0),"-")=0,"-",IFERROR(VLOOKUP(J450,'[63]ТР нефть'!$J$28:$BP$638,53,0),"-"))</f>
        <v>-</v>
      </c>
      <c r="BK450" s="138" t="str">
        <f>IF(IFERROR(VLOOKUP(J450,'[63]ТР нефть'!$J$28:$BP$638,54,0),"-")=0,"-",IFERROR(VLOOKUP(J450,'[63]ТР нефть'!$J$28:$BP$638,54,0),"-"))</f>
        <v>-</v>
      </c>
      <c r="BL450" s="138" t="str">
        <f>IF(IFERROR(VLOOKUP(J450,'[63]ТР нефть'!$J$28:$BP$638,55,0),"-")=0,"-",IFERROR(VLOOKUP(J450,'[63]ТР нефть'!$J$28:$BP$638,55,0),"-"))</f>
        <v>-</v>
      </c>
      <c r="BM450" s="138" t="str">
        <f>IF(IFERROR(VLOOKUP(J450,'[63]ТР нефть'!$J$28:$BP$638,56,0),"-")=0,"-",IFERROR(VLOOKUP(J450,'[63]ТР нефть'!$J$28:$BP$638,56,0),"-"))</f>
        <v>-</v>
      </c>
      <c r="BN450" s="138" t="str">
        <f>IF(IFERROR(VLOOKUP(J450,'[63]ТР нефть'!$J$28:$BP$638,57,0),"-")=0,"-",IFERROR(VLOOKUP(J450,'[63]ТР нефть'!$J$28:$BP$638,57,0),"-"))</f>
        <v>-</v>
      </c>
      <c r="BO450" s="115" t="str">
        <f>IF(IFERROR(VLOOKUP(J450,'[63]ТР нефть'!$J$28:$BP$638,58,0),"-")=0,"-",IFERROR(VLOOKUP(J450,'[63]ТР нефть'!$J$28:$BP$638,58,0),"-"))</f>
        <v>-</v>
      </c>
      <c r="BP450" s="115" t="str">
        <f>IF(IFERROR(VLOOKUP(J450,'[63]ТР нефть'!$J$28:$BP$638,59,0),"-")=0,"-",IFERROR(VLOOKUP(J450,'[63]ТР нефть'!$J$28:$BP$638,59,0),"-"))</f>
        <v>-</v>
      </c>
      <c r="BQ450" s="138">
        <v>2136</v>
      </c>
      <c r="BR450" s="128">
        <v>1858</v>
      </c>
      <c r="BS450" s="115">
        <f t="shared" si="351"/>
        <v>278</v>
      </c>
      <c r="BT450" s="128">
        <v>73</v>
      </c>
      <c r="BU450" s="128">
        <v>5.5</v>
      </c>
      <c r="BV450" s="127">
        <v>65</v>
      </c>
      <c r="BW450" s="127" t="s">
        <v>217</v>
      </c>
      <c r="BX450" s="127" t="s">
        <v>195</v>
      </c>
      <c r="BY450" s="139">
        <v>24</v>
      </c>
      <c r="BZ450" s="139">
        <v>0</v>
      </c>
      <c r="CA450" s="138">
        <v>14</v>
      </c>
      <c r="CB450" s="138">
        <v>60</v>
      </c>
      <c r="CC450" s="138">
        <v>13</v>
      </c>
      <c r="CD450" s="135">
        <v>45017</v>
      </c>
      <c r="CE450" s="138">
        <v>121</v>
      </c>
      <c r="CF450" s="138">
        <v>69</v>
      </c>
      <c r="CG450" s="138" t="str">
        <f t="shared" si="352"/>
        <v>В работе</v>
      </c>
      <c r="CH450" s="138" t="s">
        <v>272</v>
      </c>
      <c r="CI450" s="127">
        <v>5</v>
      </c>
      <c r="CJ450" s="138"/>
      <c r="CK450" s="138">
        <f t="shared" si="356"/>
        <v>34</v>
      </c>
      <c r="CL450" s="99"/>
      <c r="CM450" s="99"/>
      <c r="CN450" s="140">
        <v>48</v>
      </c>
      <c r="CO450" s="141">
        <f t="shared" si="324"/>
        <v>12.249072</v>
      </c>
      <c r="CP450" s="142">
        <v>14.8</v>
      </c>
      <c r="CQ450" s="143">
        <v>1</v>
      </c>
      <c r="CR450" s="115">
        <v>7.9</v>
      </c>
      <c r="CS450" s="139">
        <v>2.4</v>
      </c>
      <c r="CT450" s="138"/>
      <c r="CU450" s="138">
        <f t="shared" si="320"/>
        <v>5.5</v>
      </c>
      <c r="CV450" s="115">
        <f t="shared" si="321"/>
        <v>449.01360690834377</v>
      </c>
      <c r="CW450" s="115">
        <f t="shared" si="325"/>
        <v>193.22962055499411</v>
      </c>
      <c r="CX450" s="133">
        <f t="shared" si="322"/>
        <v>0.20273972602739726</v>
      </c>
      <c r="CY450" s="116"/>
      <c r="CZ450" s="131"/>
      <c r="DA450" s="145" t="str">
        <f t="shared" si="326"/>
        <v>Газлифт</v>
      </c>
      <c r="DB450" s="146">
        <f t="shared" si="341"/>
        <v>15.315352799999999</v>
      </c>
      <c r="DC450" s="142">
        <f t="shared" si="342"/>
        <v>19</v>
      </c>
      <c r="DD450" s="119">
        <f t="shared" si="350"/>
        <v>3.58</v>
      </c>
      <c r="DE450" s="115">
        <f t="shared" si="343"/>
        <v>5.5</v>
      </c>
      <c r="DF450" s="121">
        <f t="shared" si="328"/>
        <v>2.4</v>
      </c>
      <c r="DG450" s="115">
        <f t="shared" si="329"/>
        <v>449.01360690834377</v>
      </c>
      <c r="DH450" s="115">
        <f t="shared" si="330"/>
        <v>48</v>
      </c>
      <c r="DI450" s="147"/>
      <c r="DJ450" s="111" t="s">
        <v>197</v>
      </c>
      <c r="DK450" s="112">
        <v>43690</v>
      </c>
      <c r="DL450" s="113">
        <f t="shared" ca="1" si="312"/>
        <v>1414</v>
      </c>
      <c r="DM450" s="114"/>
      <c r="DN450" s="114"/>
      <c r="DO450" s="114"/>
      <c r="DP450" s="114"/>
      <c r="DQ450" s="112">
        <v>43690</v>
      </c>
      <c r="DR450" s="114" t="s">
        <v>324</v>
      </c>
      <c r="DS450" s="114"/>
      <c r="DT450" s="115">
        <v>47</v>
      </c>
      <c r="DU450" s="116">
        <f t="shared" si="313"/>
        <v>0.20172221171860233</v>
      </c>
      <c r="DV450" s="117">
        <f t="shared" si="314"/>
        <v>12.354549476702017</v>
      </c>
      <c r="DW450" s="118">
        <f t="shared" si="315"/>
        <v>14.927443667176572</v>
      </c>
      <c r="DX450" s="119">
        <f t="shared" si="331"/>
        <v>1</v>
      </c>
      <c r="DY450" s="115">
        <f t="shared" si="316"/>
        <v>5.547360822261564</v>
      </c>
      <c r="DZ450" s="117">
        <f t="shared" si="349"/>
        <v>0.10547747670201701</v>
      </c>
      <c r="EA450" s="120">
        <f t="shared" si="349"/>
        <v>0.1274436671765713</v>
      </c>
      <c r="EB450" s="119">
        <f t="shared" si="349"/>
        <v>0</v>
      </c>
      <c r="EC450" s="121">
        <f t="shared" si="318"/>
        <v>4.7360822261564017E-2</v>
      </c>
      <c r="ED450" s="122" t="s">
        <v>1690</v>
      </c>
      <c r="EE450" s="145">
        <v>65</v>
      </c>
      <c r="EF450" s="115">
        <v>14</v>
      </c>
      <c r="EG450" s="115">
        <v>59</v>
      </c>
      <c r="EH450" s="115">
        <v>13</v>
      </c>
      <c r="EI450" s="128" t="s">
        <v>195</v>
      </c>
      <c r="EJ450" s="121">
        <v>24</v>
      </c>
      <c r="EK450" s="121">
        <v>0</v>
      </c>
      <c r="EL450" s="149">
        <v>15.315352799999999</v>
      </c>
      <c r="EM450" s="142">
        <v>19</v>
      </c>
      <c r="EN450" s="119">
        <v>3.58</v>
      </c>
      <c r="EO450" s="115">
        <v>12</v>
      </c>
      <c r="EP450" s="115">
        <v>391.76374702905963</v>
      </c>
      <c r="EQ450" s="115">
        <v>70</v>
      </c>
      <c r="ER450" s="115">
        <v>6</v>
      </c>
      <c r="ES450" s="115">
        <v>48</v>
      </c>
      <c r="ET450" s="150">
        <v>0.26027397260273971</v>
      </c>
      <c r="EU450" s="145">
        <f t="shared" si="332"/>
        <v>65</v>
      </c>
      <c r="EV450" s="115">
        <f t="shared" si="333"/>
        <v>14</v>
      </c>
      <c r="EW450" s="115">
        <f t="shared" si="333"/>
        <v>60</v>
      </c>
      <c r="EX450" s="115">
        <f t="shared" si="333"/>
        <v>13</v>
      </c>
      <c r="EY450" s="115" t="str">
        <f t="shared" si="357"/>
        <v>Постоянный</v>
      </c>
      <c r="EZ450" s="115">
        <f t="shared" si="357"/>
        <v>24</v>
      </c>
      <c r="FA450" s="115">
        <f t="shared" si="357"/>
        <v>0</v>
      </c>
      <c r="FB450" s="149">
        <f t="shared" si="345"/>
        <v>12.249072</v>
      </c>
      <c r="FC450" s="142">
        <f t="shared" si="345"/>
        <v>14.8</v>
      </c>
      <c r="FD450" s="119">
        <f t="shared" si="345"/>
        <v>1</v>
      </c>
      <c r="FE450" s="121">
        <f t="shared" si="344"/>
        <v>7.9</v>
      </c>
      <c r="FF450" s="121">
        <f t="shared" si="347"/>
        <v>449.01360690834377</v>
      </c>
      <c r="FG450" s="121">
        <f t="shared" si="334"/>
        <v>69</v>
      </c>
      <c r="FH450" s="121">
        <f t="shared" si="348"/>
        <v>2.4</v>
      </c>
      <c r="FI450" s="121">
        <f t="shared" si="355"/>
        <v>48</v>
      </c>
      <c r="FJ450" s="144">
        <f t="shared" si="335"/>
        <v>0.20273972602739726</v>
      </c>
      <c r="FK450" s="132">
        <f t="shared" si="336"/>
        <v>0</v>
      </c>
      <c r="FL450" s="115">
        <f t="shared" si="336"/>
        <v>0</v>
      </c>
      <c r="FM450" s="115">
        <f t="shared" si="336"/>
        <v>1</v>
      </c>
      <c r="FN450" s="115">
        <f t="shared" si="336"/>
        <v>0</v>
      </c>
      <c r="FO450" s="115">
        <f t="shared" si="354"/>
        <v>0</v>
      </c>
      <c r="FP450" s="115">
        <f t="shared" si="354"/>
        <v>0</v>
      </c>
      <c r="FQ450" s="149">
        <f t="shared" si="354"/>
        <v>-3.0662807999999995</v>
      </c>
      <c r="FR450" s="142">
        <f t="shared" si="354"/>
        <v>-4.1999999999999993</v>
      </c>
      <c r="FS450" s="119">
        <f t="shared" si="354"/>
        <v>-2.58</v>
      </c>
      <c r="FT450" s="121">
        <f t="shared" si="353"/>
        <v>-4.0999999999999996</v>
      </c>
      <c r="FU450" s="121">
        <f t="shared" si="337"/>
        <v>-1</v>
      </c>
      <c r="FV450" s="121">
        <f t="shared" si="337"/>
        <v>-3.6</v>
      </c>
      <c r="FW450" s="121">
        <f t="shared" si="338"/>
        <v>57.249859879284145</v>
      </c>
      <c r="FX450" s="121">
        <f t="shared" si="339"/>
        <v>0</v>
      </c>
      <c r="FY450" s="144">
        <f t="shared" si="339"/>
        <v>-5.7534246575342451E-2</v>
      </c>
      <c r="FZ450" s="145" t="s">
        <v>199</v>
      </c>
      <c r="GA450" s="125" t="s">
        <v>1691</v>
      </c>
      <c r="GB450" s="145" t="s">
        <v>223</v>
      </c>
      <c r="GC450" s="125" t="s">
        <v>1329</v>
      </c>
      <c r="GD450" s="997" t="s">
        <v>202</v>
      </c>
      <c r="GE450" s="1004" t="s">
        <v>223</v>
      </c>
      <c r="GF450" s="1004">
        <v>-1.713967199999999</v>
      </c>
      <c r="GG450" s="1004" t="s">
        <v>199</v>
      </c>
      <c r="GH450" s="1004">
        <v>2.4327599999999983</v>
      </c>
      <c r="GI450" s="145"/>
      <c r="GJ450" s="996">
        <v>0</v>
      </c>
      <c r="GK450" s="145"/>
      <c r="GL450" s="996">
        <v>-0.40542823200000022</v>
      </c>
      <c r="GM450" s="1005"/>
      <c r="GN450" s="996">
        <v>-0.72317176799999849</v>
      </c>
      <c r="GO450" s="1006"/>
      <c r="GP450" s="996">
        <v>0</v>
      </c>
      <c r="GQ450" s="1006" t="s">
        <v>240</v>
      </c>
      <c r="GR450" s="996">
        <v>-6.1587584960000008</v>
      </c>
      <c r="GS450" s="1006" t="s">
        <v>199</v>
      </c>
      <c r="GT450" s="996">
        <v>1.4520784960000022</v>
      </c>
      <c r="GU450" s="1006"/>
      <c r="GV450" s="996">
        <v>0</v>
      </c>
      <c r="GW450" s="1006"/>
      <c r="GX450" s="996">
        <v>0</v>
      </c>
      <c r="GY450" s="1006" t="s">
        <v>199</v>
      </c>
      <c r="GZ450" s="996">
        <v>-2.3575200000000009</v>
      </c>
      <c r="HA450" s="1006"/>
      <c r="HB450" s="996">
        <v>0.45586912799999979</v>
      </c>
      <c r="HC450" s="1006"/>
      <c r="HD450" s="996">
        <v>0</v>
      </c>
      <c r="HE450" s="1006"/>
      <c r="HF450" s="996">
        <v>0</v>
      </c>
      <c r="HG450" s="1006" t="s">
        <v>223</v>
      </c>
      <c r="HH450" s="996">
        <v>-0.64147617600000117</v>
      </c>
      <c r="HI450" s="1006"/>
      <c r="HJ450" s="996">
        <v>0</v>
      </c>
      <c r="HK450" s="1006" t="s">
        <v>1065</v>
      </c>
      <c r="HL450" s="996">
        <v>-8.0414689519999989</v>
      </c>
      <c r="HM450" s="1006" t="s">
        <v>276</v>
      </c>
      <c r="HN450" s="996">
        <v>7.2024743999999998</v>
      </c>
      <c r="HO450" s="1006"/>
      <c r="HP450" s="996">
        <v>0</v>
      </c>
      <c r="HQ450" s="1006"/>
      <c r="HR450" s="996">
        <v>-0.48294047999999989</v>
      </c>
      <c r="HS450" s="1006" t="s">
        <v>643</v>
      </c>
      <c r="HT450" s="996">
        <v>0</v>
      </c>
      <c r="HU450" s="1006" t="s">
        <v>199</v>
      </c>
      <c r="HV450" s="996">
        <v>3.2884718767999992</v>
      </c>
      <c r="HW450" s="1006"/>
      <c r="HX450" s="996">
        <v>0</v>
      </c>
      <c r="HY450" s="1006"/>
      <c r="HZ450" s="996">
        <v>0</v>
      </c>
      <c r="IA450" s="1006"/>
      <c r="IB450" s="996">
        <v>0.76575894560000179</v>
      </c>
      <c r="IC450" s="1006"/>
      <c r="ID450" s="996">
        <v>-0.74092874240000128</v>
      </c>
      <c r="IE450" s="1006" t="s">
        <v>199</v>
      </c>
      <c r="IF450" s="996">
        <v>0</v>
      </c>
      <c r="IG450" s="1006" t="s">
        <v>223</v>
      </c>
      <c r="IH450" s="996">
        <v>-1.5884</v>
      </c>
      <c r="II450" s="1006"/>
      <c r="IJ450" s="996">
        <v>-0.83599999999999852</v>
      </c>
      <c r="IK450" s="1006"/>
      <c r="IL450" s="996">
        <v>0</v>
      </c>
      <c r="IM450" s="1006"/>
      <c r="IN450" s="996">
        <v>0</v>
      </c>
      <c r="IO450" s="1006" t="s">
        <v>199</v>
      </c>
      <c r="IP450" s="996">
        <v>-5.4340000000000011</v>
      </c>
      <c r="IQ450" s="1006" t="s">
        <v>223</v>
      </c>
      <c r="IR450" s="996">
        <v>-1.2540000000000013</v>
      </c>
      <c r="IS450" s="1006"/>
      <c r="IT450" s="996">
        <v>0</v>
      </c>
      <c r="IU450" s="1006"/>
      <c r="IV450" s="996">
        <v>0</v>
      </c>
      <c r="IW450" s="1006"/>
      <c r="IX450" s="996">
        <v>0</v>
      </c>
      <c r="IY450" s="1006" t="s">
        <v>199</v>
      </c>
      <c r="IZ450" s="996">
        <v>2.5080000000000027</v>
      </c>
      <c r="JA450" s="1006" t="s">
        <v>199</v>
      </c>
      <c r="JB450" s="996">
        <v>9.195999999999998</v>
      </c>
      <c r="JC450" s="1006"/>
      <c r="JD450" s="996">
        <v>0</v>
      </c>
      <c r="JE450" s="1006"/>
      <c r="JF450" s="996">
        <v>0</v>
      </c>
      <c r="JG450" s="1006"/>
      <c r="JH450" s="996">
        <v>0</v>
      </c>
      <c r="JI450" s="1006" t="s">
        <v>435</v>
      </c>
      <c r="JJ450" s="996">
        <v>-22.822799999999997</v>
      </c>
      <c r="JK450" s="1007"/>
      <c r="JL450" s="1007">
        <v>0</v>
      </c>
      <c r="JM450" s="1007"/>
      <c r="JN450" s="1007">
        <v>0</v>
      </c>
      <c r="JO450" s="1008"/>
      <c r="JP450" s="1007">
        <v>6.3117999999999981</v>
      </c>
      <c r="JQ450" s="1008" t="s">
        <v>25</v>
      </c>
      <c r="JR450" s="1007">
        <v>34.902999999999999</v>
      </c>
      <c r="JS450" s="1008"/>
      <c r="JT450" s="1007"/>
      <c r="JU450" s="1008"/>
      <c r="JV450" s="1007"/>
      <c r="JW450" s="1008"/>
      <c r="JX450" s="1007"/>
      <c r="JY450" s="1008"/>
      <c r="JZ450" s="1007"/>
      <c r="KA450" s="1008"/>
      <c r="KB450" s="1007"/>
      <c r="KC450" s="1008"/>
      <c r="KD450" s="1007"/>
      <c r="KE450" s="1008"/>
      <c r="KF450" s="1007"/>
      <c r="KG450" s="1008"/>
      <c r="KH450" s="1007"/>
      <c r="KI450" s="1008"/>
      <c r="KJ450" s="1007"/>
      <c r="KK450" s="1008"/>
      <c r="KL450" s="1007"/>
      <c r="KM450" s="1008"/>
      <c r="KN450" s="1007"/>
      <c r="KO450" s="1008"/>
      <c r="KP450" s="1007"/>
      <c r="KQ450" s="1008"/>
      <c r="KR450" s="1007"/>
      <c r="KS450" s="1008"/>
      <c r="KT450" s="1007"/>
      <c r="KU450" s="1008"/>
      <c r="KV450" s="1007"/>
      <c r="KW450" s="1008"/>
      <c r="KX450" s="1007"/>
      <c r="KY450" s="1008"/>
      <c r="KZ450" s="1007"/>
      <c r="LA450" s="1008"/>
      <c r="LB450" s="1007"/>
      <c r="LC450" s="1008"/>
      <c r="LD450" s="1007"/>
      <c r="LE450" s="1008"/>
      <c r="LF450" s="1007"/>
      <c r="LG450" s="1008"/>
      <c r="LH450" s="1007"/>
      <c r="LI450" s="1008"/>
      <c r="LJ450" s="1007"/>
      <c r="LK450" s="1008"/>
      <c r="LL450" s="1007"/>
      <c r="LM450" s="1008"/>
      <c r="LN450" s="1007"/>
      <c r="LO450" s="1008"/>
      <c r="LP450" s="1007"/>
      <c r="LQ450" s="1008"/>
      <c r="LR450" s="1007"/>
      <c r="LS450" s="1008"/>
      <c r="LT450" s="1007"/>
      <c r="LU450" s="1008"/>
      <c r="LV450" s="1007"/>
      <c r="LW450" s="1008"/>
      <c r="LX450" s="1007"/>
      <c r="LY450" s="1009"/>
      <c r="LZ450" s="1010"/>
      <c r="MA450" s="1011"/>
      <c r="MB450" s="1012"/>
      <c r="MC450" s="995"/>
      <c r="MD450" s="996"/>
      <c r="ME450" s="997" t="s">
        <v>202</v>
      </c>
      <c r="MF450" s="997"/>
      <c r="MG450" s="998"/>
      <c r="NR450" s="1000"/>
      <c r="NS450" s="1000"/>
      <c r="NT450" s="1001"/>
      <c r="NU450" s="1000"/>
      <c r="NV450" s="1001"/>
      <c r="NX450" s="1002"/>
      <c r="NZ450" s="1001"/>
      <c r="OA450" s="1001"/>
      <c r="OC450" s="1003"/>
      <c r="OD450" s="1003"/>
      <c r="OE450" s="1001"/>
      <c r="OF450" s="1003"/>
      <c r="OG450" s="1003"/>
      <c r="QX450" s="1000">
        <f>CN450-CA450</f>
        <v>34</v>
      </c>
      <c r="ASU450" s="999" t="s">
        <v>208</v>
      </c>
    </row>
    <row r="451" spans="1:466 1191:1191" ht="21" customHeight="1" x14ac:dyDescent="0.25">
      <c r="A451" s="982">
        <f t="shared" si="323"/>
        <v>1527</v>
      </c>
      <c r="B451" s="124">
        <f>SUBTOTAL(103,$J$29:J451)</f>
        <v>423</v>
      </c>
      <c r="C451" s="126">
        <v>45068</v>
      </c>
      <c r="D451" s="124" t="s">
        <v>176</v>
      </c>
      <c r="E451" s="127" t="s">
        <v>177</v>
      </c>
      <c r="F451" s="128" t="s">
        <v>177</v>
      </c>
      <c r="G451" s="127" t="s">
        <v>178</v>
      </c>
      <c r="H451" s="127" t="s">
        <v>179</v>
      </c>
      <c r="I451" s="127" t="s">
        <v>1339</v>
      </c>
      <c r="J451" s="152">
        <v>1527</v>
      </c>
      <c r="K451" s="127" t="s">
        <v>1330</v>
      </c>
      <c r="L451" s="130">
        <v>44033</v>
      </c>
      <c r="M451" s="127" t="s">
        <v>230</v>
      </c>
      <c r="N451" s="127" t="s">
        <v>184</v>
      </c>
      <c r="O451" s="127" t="s">
        <v>185</v>
      </c>
      <c r="P451" s="127" t="s">
        <v>186</v>
      </c>
      <c r="Q451" s="85" t="str">
        <f t="shared" si="319"/>
        <v/>
      </c>
      <c r="R451" s="130"/>
      <c r="S451" s="128"/>
      <c r="T451" s="131"/>
      <c r="U451" s="132">
        <v>203</v>
      </c>
      <c r="V451" s="121">
        <v>218.2</v>
      </c>
      <c r="W451" s="116">
        <v>0.98</v>
      </c>
      <c r="X451" s="116">
        <v>1.66</v>
      </c>
      <c r="Y451" s="116">
        <f t="shared" si="346"/>
        <v>0.98</v>
      </c>
      <c r="Z451" s="133">
        <v>1.454</v>
      </c>
      <c r="AA451" s="133">
        <v>0.83599999999999997</v>
      </c>
      <c r="AB451" s="133">
        <v>0.72</v>
      </c>
      <c r="AC451" s="121">
        <v>34.299999999999997</v>
      </c>
      <c r="AD451" s="134">
        <v>1.17</v>
      </c>
      <c r="AE451" s="124">
        <v>177.8</v>
      </c>
      <c r="AF451" s="128">
        <v>9.19</v>
      </c>
      <c r="AG451" s="128">
        <v>2063.1</v>
      </c>
      <c r="AH451" s="127">
        <v>2788</v>
      </c>
      <c r="AI451" s="127">
        <f>AH451</f>
        <v>2788</v>
      </c>
      <c r="AJ451" s="135"/>
      <c r="AK451" s="128"/>
      <c r="AL451" s="131"/>
      <c r="AM451" s="124" t="s">
        <v>985</v>
      </c>
      <c r="AN451" s="136" t="s">
        <v>1692</v>
      </c>
      <c r="AO451" s="137">
        <v>25.38</v>
      </c>
      <c r="AP451" s="128">
        <v>2185.4899999999998</v>
      </c>
      <c r="AQ451" s="128">
        <f>2185.49-1689.24-160.4</f>
        <v>335.8499999999998</v>
      </c>
      <c r="AR451" s="128" t="s">
        <v>1693</v>
      </c>
      <c r="AS451" s="128">
        <v>114</v>
      </c>
      <c r="AT451" s="122">
        <v>7.4</v>
      </c>
      <c r="AU451" s="124" t="s">
        <v>189</v>
      </c>
      <c r="AV451" s="115">
        <f>VLOOKUP(J451,'[63]ТР нефть'!$J$28:$BP$638,39,0)</f>
        <v>515.00000683600001</v>
      </c>
      <c r="AW451" s="115" t="str">
        <f>VLOOKUP(J451,'[63]ТР нефть'!$J$28:$BP$638,40,0)</f>
        <v>ГП</v>
      </c>
      <c r="AX451" s="115">
        <f>VLOOKUP(J451,'[63]ТР нефть'!$J$28:$BP$638,41,0)</f>
        <v>934.99997050800005</v>
      </c>
      <c r="AY451" s="115" t="str">
        <f>VLOOKUP(J451,'[63]ТР нефть'!$J$28:$BP$638,42,0)</f>
        <v>ГП</v>
      </c>
      <c r="AZ451" s="115">
        <f>VLOOKUP(J451,'[63]ТР нефть'!$J$28:$BP$638,43,0)</f>
        <v>1267.0000218749999</v>
      </c>
      <c r="BA451" s="115" t="str">
        <f>VLOOKUP(J451,'[63]ТР нефть'!$J$28:$BP$638,44,0)</f>
        <v>ГК77 1/8</v>
      </c>
      <c r="BB451" s="115">
        <f>VLOOKUP(J451,'[63]ТР нефть'!$J$28:$BP$638,45,0)</f>
        <v>1528.000053516</v>
      </c>
      <c r="BC451" s="115" t="str">
        <f>VLOOKUP(J451,'[63]ТР нефть'!$J$28:$BP$638,46,0)</f>
        <v>ГК76 1/8</v>
      </c>
      <c r="BD451" s="115">
        <f>VLOOKUP(J451,'[63]ТР нефть'!$J$28:$BP$638,47,0)</f>
        <v>1780.000001953</v>
      </c>
      <c r="BE451" s="115" t="str">
        <f>VLOOKUP(J451,'[63]ТР нефть'!$J$28:$BP$638,48,0)</f>
        <v>ЦКсОК 5/16</v>
      </c>
      <c r="BF451" s="115" t="str">
        <f>VLOOKUP(J451,'[63]ТР нефть'!$J$28:$BP$638,49,0)</f>
        <v>-</v>
      </c>
      <c r="BG451" s="115" t="str">
        <f>VLOOKUP(J451,'[63]ТР нефть'!$J$28:$BP$638,50,0)</f>
        <v>-</v>
      </c>
      <c r="BH451" s="115" t="str">
        <f>VLOOKUP(J451,'[63]ТР нефть'!$J$28:$BP$638,51,0)</f>
        <v>-</v>
      </c>
      <c r="BI451" s="115" t="str">
        <f>VLOOKUP(J451,'[63]ТР нефть'!$J$28:$BP$638,52,0)</f>
        <v>-</v>
      </c>
      <c r="BJ451" s="115" t="str">
        <f>IF(IFERROR(VLOOKUP(J451,'[63]ТР нефть'!$J$28:$BP$638,53,0),"-")=0,"-",IFERROR(VLOOKUP(J451,'[63]ТР нефть'!$J$28:$BP$638,53,0),"-"))</f>
        <v>-</v>
      </c>
      <c r="BK451" s="138" t="str">
        <f>IF(IFERROR(VLOOKUP(J451,'[63]ТР нефть'!$J$28:$BP$638,54,0),"-")=0,"-",IFERROR(VLOOKUP(J451,'[63]ТР нефть'!$J$28:$BP$638,54,0),"-"))</f>
        <v>-</v>
      </c>
      <c r="BL451" s="138" t="str">
        <f>IF(IFERROR(VLOOKUP(J451,'[63]ТР нефть'!$J$28:$BP$638,55,0),"-")=0,"-",IFERROR(VLOOKUP(J451,'[63]ТР нефть'!$J$28:$BP$638,55,0),"-"))</f>
        <v>-</v>
      </c>
      <c r="BM451" s="138" t="str">
        <f>IF(IFERROR(VLOOKUP(J451,'[63]ТР нефть'!$J$28:$BP$638,56,0),"-")=0,"-",IFERROR(VLOOKUP(J451,'[63]ТР нефть'!$J$28:$BP$638,56,0),"-"))</f>
        <v>-</v>
      </c>
      <c r="BN451" s="138" t="str">
        <f>IF(IFERROR(VLOOKUP(J451,'[63]ТР нефть'!$J$28:$BP$638,57,0),"-")=0,"-",IFERROR(VLOOKUP(J451,'[63]ТР нефть'!$J$28:$BP$638,57,0),"-"))</f>
        <v>-</v>
      </c>
      <c r="BO451" s="115" t="str">
        <f>IF(IFERROR(VLOOKUP(J451,'[63]ТР нефть'!$J$28:$BP$638,58,0),"-")=0,"-",IFERROR(VLOOKUP(J451,'[63]ТР нефть'!$J$28:$BP$638,58,0),"-"))</f>
        <v>-</v>
      </c>
      <c r="BP451" s="115" t="str">
        <f>IF(IFERROR(VLOOKUP(J451,'[63]ТР нефть'!$J$28:$BP$638,59,0),"-")=0,"-",IFERROR(VLOOKUP(J451,'[63]ТР нефть'!$J$28:$BP$638,59,0),"-"))</f>
        <v>-</v>
      </c>
      <c r="BQ451" s="138">
        <v>1998</v>
      </c>
      <c r="BR451" s="128">
        <f>1653.14+160.4</f>
        <v>1813.5400000000002</v>
      </c>
      <c r="BS451" s="115">
        <f t="shared" si="351"/>
        <v>184.45999999999981</v>
      </c>
      <c r="BT451" s="128">
        <v>73</v>
      </c>
      <c r="BU451" s="128">
        <v>5.5</v>
      </c>
      <c r="BV451" s="127">
        <v>65</v>
      </c>
      <c r="BW451" s="127" t="s">
        <v>217</v>
      </c>
      <c r="BX451" s="127" t="s">
        <v>195</v>
      </c>
      <c r="BY451" s="139">
        <v>24</v>
      </c>
      <c r="BZ451" s="139">
        <v>0</v>
      </c>
      <c r="CA451" s="138">
        <v>15</v>
      </c>
      <c r="CB451" s="138">
        <v>34</v>
      </c>
      <c r="CC451" s="138">
        <v>14</v>
      </c>
      <c r="CD451" s="135">
        <v>45017</v>
      </c>
      <c r="CE451" s="138">
        <v>76.900000000000006</v>
      </c>
      <c r="CF451" s="138">
        <v>70</v>
      </c>
      <c r="CG451" s="138" t="str">
        <f t="shared" si="352"/>
        <v>В работе</v>
      </c>
      <c r="CH451" s="138" t="s">
        <v>235</v>
      </c>
      <c r="CI451" s="138">
        <v>5</v>
      </c>
      <c r="CJ451" s="138"/>
      <c r="CK451" s="138">
        <f t="shared" si="356"/>
        <v>26</v>
      </c>
      <c r="CL451" s="99"/>
      <c r="CM451" s="99"/>
      <c r="CN451" s="140">
        <v>41</v>
      </c>
      <c r="CO451" s="141">
        <f t="shared" si="324"/>
        <v>19.227999999999998</v>
      </c>
      <c r="CP451" s="142">
        <v>23</v>
      </c>
      <c r="CQ451" s="143">
        <v>0</v>
      </c>
      <c r="CR451" s="115">
        <v>20</v>
      </c>
      <c r="CS451" s="139">
        <v>4.8</v>
      </c>
      <c r="CT451" s="138"/>
      <c r="CU451" s="138">
        <f t="shared" si="320"/>
        <v>15.2</v>
      </c>
      <c r="CV451" s="115">
        <f t="shared" si="321"/>
        <v>790.51383399209499</v>
      </c>
      <c r="CW451" s="115">
        <f t="shared" si="325"/>
        <v>249.63594757645103</v>
      </c>
      <c r="CX451" s="133">
        <f t="shared" si="322"/>
        <v>0.6406685236768801</v>
      </c>
      <c r="CY451" s="116"/>
      <c r="CZ451" s="131"/>
      <c r="DA451" s="145" t="str">
        <f t="shared" si="326"/>
        <v>Газлифт</v>
      </c>
      <c r="DB451" s="146">
        <f t="shared" si="341"/>
        <v>19.227999999999998</v>
      </c>
      <c r="DC451" s="142">
        <f t="shared" si="342"/>
        <v>23</v>
      </c>
      <c r="DD451" s="119">
        <f t="shared" si="350"/>
        <v>0</v>
      </c>
      <c r="DE451" s="115">
        <f t="shared" si="343"/>
        <v>15.2</v>
      </c>
      <c r="DF451" s="121">
        <f t="shared" si="328"/>
        <v>4.8</v>
      </c>
      <c r="DG451" s="115">
        <f t="shared" si="329"/>
        <v>790.51383399209499</v>
      </c>
      <c r="DH451" s="115">
        <f t="shared" si="330"/>
        <v>41</v>
      </c>
      <c r="DI451" s="147"/>
      <c r="DJ451" s="111"/>
      <c r="DK451" s="112">
        <v>44033</v>
      </c>
      <c r="DL451" s="113">
        <f t="shared" ca="1" si="312"/>
        <v>1071</v>
      </c>
      <c r="DM451" s="114"/>
      <c r="DN451" s="114"/>
      <c r="DO451" s="114"/>
      <c r="DP451" s="114"/>
      <c r="DQ451" s="112"/>
      <c r="DR451" s="114"/>
      <c r="DS451" s="114"/>
      <c r="DT451" s="115">
        <v>47</v>
      </c>
      <c r="DU451" s="116">
        <f t="shared" si="313"/>
        <v>0.76923076923076905</v>
      </c>
      <c r="DV451" s="117">
        <f t="shared" si="314"/>
        <v>19.227999999999998</v>
      </c>
      <c r="DW451" s="118">
        <f t="shared" si="315"/>
        <v>23</v>
      </c>
      <c r="DX451" s="119">
        <f t="shared" si="331"/>
        <v>0</v>
      </c>
      <c r="DY451" s="115">
        <f t="shared" si="316"/>
        <v>15.2</v>
      </c>
      <c r="DZ451" s="117">
        <f t="shared" si="349"/>
        <v>0</v>
      </c>
      <c r="EA451" s="120">
        <f t="shared" si="349"/>
        <v>0</v>
      </c>
      <c r="EB451" s="119">
        <f t="shared" si="349"/>
        <v>0</v>
      </c>
      <c r="EC451" s="121">
        <f t="shared" si="318"/>
        <v>0</v>
      </c>
      <c r="ED451" s="122"/>
      <c r="EE451" s="145">
        <v>65</v>
      </c>
      <c r="EF451" s="115">
        <v>15</v>
      </c>
      <c r="EG451" s="115">
        <v>33</v>
      </c>
      <c r="EH451" s="115">
        <v>14</v>
      </c>
      <c r="EI451" s="128" t="s">
        <v>195</v>
      </c>
      <c r="EJ451" s="121">
        <v>24</v>
      </c>
      <c r="EK451" s="121">
        <v>0</v>
      </c>
      <c r="EL451" s="149">
        <v>19.646000000000001</v>
      </c>
      <c r="EM451" s="142">
        <v>23.5</v>
      </c>
      <c r="EN451" s="119">
        <v>0</v>
      </c>
      <c r="EO451" s="115">
        <v>20</v>
      </c>
      <c r="EP451" s="115">
        <v>773.69439071566728</v>
      </c>
      <c r="EQ451" s="115">
        <v>70</v>
      </c>
      <c r="ER451" s="115">
        <v>4.8</v>
      </c>
      <c r="ES451" s="115">
        <v>39</v>
      </c>
      <c r="ET451" s="150">
        <v>0.62005277044854867</v>
      </c>
      <c r="EU451" s="145">
        <f t="shared" si="332"/>
        <v>65</v>
      </c>
      <c r="EV451" s="115">
        <f t="shared" si="333"/>
        <v>15</v>
      </c>
      <c r="EW451" s="115">
        <f t="shared" si="333"/>
        <v>34</v>
      </c>
      <c r="EX451" s="115">
        <f t="shared" si="333"/>
        <v>14</v>
      </c>
      <c r="EY451" s="115" t="str">
        <f t="shared" si="357"/>
        <v>Постоянный</v>
      </c>
      <c r="EZ451" s="115">
        <f t="shared" si="357"/>
        <v>24</v>
      </c>
      <c r="FA451" s="115">
        <f t="shared" si="357"/>
        <v>0</v>
      </c>
      <c r="FB451" s="149">
        <f t="shared" si="345"/>
        <v>19.227999999999998</v>
      </c>
      <c r="FC451" s="142">
        <f t="shared" si="345"/>
        <v>23</v>
      </c>
      <c r="FD451" s="119">
        <f t="shared" si="345"/>
        <v>0</v>
      </c>
      <c r="FE451" s="121">
        <f t="shared" si="344"/>
        <v>20</v>
      </c>
      <c r="FF451" s="121">
        <f t="shared" si="347"/>
        <v>790.51383399209499</v>
      </c>
      <c r="FG451" s="121">
        <f t="shared" si="334"/>
        <v>70</v>
      </c>
      <c r="FH451" s="121">
        <f t="shared" si="348"/>
        <v>4.8</v>
      </c>
      <c r="FI451" s="121">
        <f t="shared" si="355"/>
        <v>41</v>
      </c>
      <c r="FJ451" s="144">
        <f t="shared" si="335"/>
        <v>0.6406685236768801</v>
      </c>
      <c r="FK451" s="132">
        <f t="shared" si="336"/>
        <v>0</v>
      </c>
      <c r="FL451" s="115">
        <f t="shared" si="336"/>
        <v>0</v>
      </c>
      <c r="FM451" s="115">
        <f t="shared" si="336"/>
        <v>1</v>
      </c>
      <c r="FN451" s="115">
        <f t="shared" si="336"/>
        <v>0</v>
      </c>
      <c r="FO451" s="115">
        <f t="shared" si="354"/>
        <v>0</v>
      </c>
      <c r="FP451" s="115">
        <f t="shared" si="354"/>
        <v>0</v>
      </c>
      <c r="FQ451" s="149">
        <f t="shared" si="354"/>
        <v>-0.41800000000000281</v>
      </c>
      <c r="FR451" s="142">
        <f t="shared" si="354"/>
        <v>-0.5</v>
      </c>
      <c r="FS451" s="119">
        <f t="shared" si="354"/>
        <v>0</v>
      </c>
      <c r="FT451" s="121">
        <f t="shared" si="353"/>
        <v>0</v>
      </c>
      <c r="FU451" s="121">
        <f t="shared" si="337"/>
        <v>0</v>
      </c>
      <c r="FV451" s="121">
        <f t="shared" si="337"/>
        <v>0</v>
      </c>
      <c r="FW451" s="121">
        <f t="shared" si="338"/>
        <v>16.819443276427705</v>
      </c>
      <c r="FX451" s="121">
        <f t="shared" si="339"/>
        <v>2</v>
      </c>
      <c r="FY451" s="144">
        <f t="shared" si="339"/>
        <v>2.0615753228331424E-2</v>
      </c>
      <c r="FZ451" s="145"/>
      <c r="GA451" s="151"/>
      <c r="GB451" s="145"/>
      <c r="GC451" s="151"/>
      <c r="GD451" s="997" t="s">
        <v>202</v>
      </c>
      <c r="GE451" s="1004"/>
      <c r="GF451" s="1004">
        <v>0</v>
      </c>
      <c r="GG451" s="1004"/>
      <c r="GH451" s="1004">
        <v>0</v>
      </c>
      <c r="GI451" s="145"/>
      <c r="GJ451" s="996">
        <v>0</v>
      </c>
      <c r="GK451" s="145" t="s">
        <v>204</v>
      </c>
      <c r="GL451" s="996">
        <v>-1.9227999999999987</v>
      </c>
      <c r="GM451" s="1005" t="s">
        <v>204</v>
      </c>
      <c r="GN451" s="996">
        <v>4.0127999999999986</v>
      </c>
      <c r="GO451" s="1006"/>
      <c r="GP451" s="996">
        <v>0</v>
      </c>
      <c r="GQ451" s="1006" t="s">
        <v>240</v>
      </c>
      <c r="GR451" s="996">
        <v>-2.5802303999999978</v>
      </c>
      <c r="GS451" s="1006" t="s">
        <v>204</v>
      </c>
      <c r="GT451" s="996">
        <v>1.862072959999999</v>
      </c>
      <c r="GU451" s="1006"/>
      <c r="GV451" s="996">
        <v>-1.9403225599999985</v>
      </c>
      <c r="GW451" s="1006" t="s">
        <v>223</v>
      </c>
      <c r="GX451" s="996">
        <v>-2.8900520000000007</v>
      </c>
      <c r="GY451" s="1006" t="s">
        <v>199</v>
      </c>
      <c r="GZ451" s="996">
        <v>1.3681474400000013</v>
      </c>
      <c r="HA451" s="1006"/>
      <c r="HB451" s="996">
        <v>-0.55358582400000245</v>
      </c>
      <c r="HC451" s="1006" t="s">
        <v>199</v>
      </c>
      <c r="HD451" s="996">
        <v>-1.4100296159999992</v>
      </c>
      <c r="HE451" s="1006" t="s">
        <v>204</v>
      </c>
      <c r="HF451" s="996">
        <v>0</v>
      </c>
      <c r="HG451" s="1006" t="s">
        <v>199</v>
      </c>
      <c r="HH451" s="996">
        <v>2.6813780399999949</v>
      </c>
      <c r="HI451" s="1006" t="s">
        <v>223</v>
      </c>
      <c r="HJ451" s="996">
        <v>-1.6018813359999982</v>
      </c>
      <c r="HK451" s="1006"/>
      <c r="HL451" s="996">
        <v>-8.3004768000002116E-2</v>
      </c>
      <c r="HM451" s="1006" t="s">
        <v>276</v>
      </c>
      <c r="HN451" s="996">
        <v>1.854976992000001</v>
      </c>
      <c r="HO451" s="1006"/>
      <c r="HP451" s="996">
        <v>0</v>
      </c>
      <c r="HQ451" s="1006" t="s">
        <v>199</v>
      </c>
      <c r="HR451" s="996">
        <v>1.671999999999997</v>
      </c>
      <c r="HS451" s="1006" t="s">
        <v>643</v>
      </c>
      <c r="HT451" s="996">
        <v>0</v>
      </c>
      <c r="HU451" s="1006" t="s">
        <v>199</v>
      </c>
      <c r="HV451" s="996">
        <v>-3.0931999999999995</v>
      </c>
      <c r="HW451" s="1006" t="s">
        <v>241</v>
      </c>
      <c r="HX451" s="996">
        <v>-2.4996399999999959</v>
      </c>
      <c r="HY451" s="1006" t="s">
        <v>199</v>
      </c>
      <c r="HZ451" s="996">
        <v>0</v>
      </c>
      <c r="IA451" s="1006" t="s">
        <v>221</v>
      </c>
      <c r="IB451" s="996">
        <v>-4.9240400000000015</v>
      </c>
      <c r="IC451" s="1006"/>
      <c r="ID451" s="996">
        <v>0.81927999999999912</v>
      </c>
      <c r="IE451" s="1006"/>
      <c r="IF451" s="996">
        <v>-0.75240000000000151</v>
      </c>
      <c r="IG451" s="1006" t="s">
        <v>223</v>
      </c>
      <c r="IH451" s="996">
        <v>-6.269999999999996</v>
      </c>
      <c r="II451" s="1006"/>
      <c r="IJ451" s="996">
        <v>0</v>
      </c>
      <c r="IK451" s="1006" t="s">
        <v>199</v>
      </c>
      <c r="IL451" s="996">
        <v>-3.3440000000000012</v>
      </c>
      <c r="IM451" s="1006" t="s">
        <v>204</v>
      </c>
      <c r="IN451" s="996">
        <v>-8.36</v>
      </c>
      <c r="IO451" s="1006" t="s">
        <v>204</v>
      </c>
      <c r="IP451" s="996">
        <v>-9.195999999999998</v>
      </c>
      <c r="IQ451" s="1006" t="s">
        <v>204</v>
      </c>
      <c r="IR451" s="996">
        <v>27.337199999999996</v>
      </c>
      <c r="IS451" s="1006"/>
      <c r="IT451" s="996">
        <v>0</v>
      </c>
      <c r="IU451" s="1006" t="s">
        <v>25</v>
      </c>
      <c r="IV451" s="996">
        <v>36.199635999999998</v>
      </c>
      <c r="IW451" s="1006"/>
      <c r="IX451" s="996"/>
      <c r="IY451" s="1006"/>
      <c r="IZ451" s="996"/>
      <c r="JA451" s="1006"/>
      <c r="JB451" s="996"/>
      <c r="JC451" s="1006"/>
      <c r="JD451" s="996"/>
      <c r="JE451" s="1006"/>
      <c r="JF451" s="996"/>
      <c r="JG451" s="1006"/>
      <c r="JH451" s="996"/>
      <c r="JI451" s="1006"/>
      <c r="JJ451" s="996"/>
      <c r="JK451" s="1007"/>
      <c r="JL451" s="1007"/>
      <c r="JM451" s="1007"/>
      <c r="JN451" s="1007"/>
      <c r="JO451" s="1008"/>
      <c r="JP451" s="1007"/>
      <c r="JQ451" s="1008"/>
      <c r="JR451" s="1007"/>
      <c r="JS451" s="1008"/>
      <c r="JT451" s="1007"/>
      <c r="JU451" s="1008"/>
      <c r="JV451" s="1007"/>
      <c r="JW451" s="1008"/>
      <c r="JX451" s="1007"/>
      <c r="JY451" s="1008"/>
      <c r="JZ451" s="1007"/>
      <c r="KA451" s="1008"/>
      <c r="KB451" s="1007"/>
      <c r="KC451" s="1008"/>
      <c r="KD451" s="1007"/>
      <c r="KE451" s="1008"/>
      <c r="KF451" s="1007"/>
      <c r="KG451" s="1008"/>
      <c r="KH451" s="1007"/>
      <c r="KI451" s="1008"/>
      <c r="KJ451" s="1007"/>
      <c r="KK451" s="1008"/>
      <c r="KL451" s="1007"/>
      <c r="KM451" s="1008"/>
      <c r="KN451" s="1007"/>
      <c r="KO451" s="1008"/>
      <c r="KP451" s="1007"/>
      <c r="KQ451" s="1008"/>
      <c r="KR451" s="1007"/>
      <c r="KS451" s="1008"/>
      <c r="KT451" s="1007"/>
      <c r="KU451" s="1008"/>
      <c r="KV451" s="1007"/>
      <c r="KW451" s="1008"/>
      <c r="KX451" s="1007"/>
      <c r="KY451" s="1008"/>
      <c r="KZ451" s="1007"/>
      <c r="LA451" s="1008"/>
      <c r="LB451" s="1007"/>
      <c r="LC451" s="1008"/>
      <c r="LD451" s="1007"/>
      <c r="LE451" s="1008"/>
      <c r="LF451" s="1007"/>
      <c r="LG451" s="1008"/>
      <c r="LH451" s="1007"/>
      <c r="LI451" s="1008"/>
      <c r="LJ451" s="1007"/>
      <c r="LK451" s="1008"/>
      <c r="LL451" s="1007"/>
      <c r="LM451" s="1008"/>
      <c r="LN451" s="1007"/>
      <c r="LO451" s="1008"/>
      <c r="LP451" s="1007"/>
      <c r="LQ451" s="1008"/>
      <c r="LR451" s="1007"/>
      <c r="LS451" s="1008"/>
      <c r="LT451" s="1007"/>
      <c r="LU451" s="1008"/>
      <c r="LV451" s="1007"/>
      <c r="LW451" s="1008"/>
      <c r="LX451" s="1007"/>
      <c r="LY451" s="1009"/>
      <c r="LZ451" s="1010"/>
      <c r="MA451" s="1011"/>
      <c r="MB451" s="1012"/>
      <c r="MC451" s="995"/>
      <c r="MD451" s="996"/>
      <c r="ME451" s="997" t="s">
        <v>202</v>
      </c>
      <c r="MF451" s="997"/>
      <c r="MG451" s="998"/>
      <c r="NR451" s="1000"/>
      <c r="NS451" s="1000"/>
      <c r="NT451" s="1001"/>
      <c r="NU451" s="1000"/>
      <c r="NV451" s="1001"/>
      <c r="NX451" s="1002"/>
      <c r="NZ451" s="1001"/>
      <c r="OA451" s="1001"/>
      <c r="OC451" s="1003"/>
      <c r="OD451" s="1003"/>
      <c r="OE451" s="1001"/>
      <c r="OF451" s="1003"/>
      <c r="OG451" s="1003"/>
      <c r="QX451" s="1000">
        <f>CN451-CA451</f>
        <v>26</v>
      </c>
      <c r="ASU451" s="999" t="s">
        <v>208</v>
      </c>
    </row>
    <row r="452" spans="1:466 1191:1191" ht="21" customHeight="1" x14ac:dyDescent="0.25">
      <c r="A452" s="982">
        <f t="shared" si="323"/>
        <v>1529</v>
      </c>
      <c r="B452" s="124">
        <f>SUBTOTAL(103,$J$29:J452)</f>
        <v>424</v>
      </c>
      <c r="C452" s="126">
        <v>45068</v>
      </c>
      <c r="D452" s="124" t="s">
        <v>176</v>
      </c>
      <c r="E452" s="127" t="s">
        <v>177</v>
      </c>
      <c r="F452" s="128" t="s">
        <v>177</v>
      </c>
      <c r="G452" s="127" t="s">
        <v>178</v>
      </c>
      <c r="H452" s="127" t="s">
        <v>179</v>
      </c>
      <c r="I452" s="127" t="s">
        <v>1334</v>
      </c>
      <c r="J452" s="152">
        <v>1529</v>
      </c>
      <c r="K452" s="127" t="s">
        <v>1334</v>
      </c>
      <c r="L452" s="130">
        <v>43369</v>
      </c>
      <c r="M452" s="127" t="s">
        <v>230</v>
      </c>
      <c r="N452" s="127" t="s">
        <v>184</v>
      </c>
      <c r="O452" s="127" t="s">
        <v>185</v>
      </c>
      <c r="P452" s="127" t="s">
        <v>186</v>
      </c>
      <c r="Q452" s="85" t="str">
        <f t="shared" si="319"/>
        <v/>
      </c>
      <c r="R452" s="130"/>
      <c r="S452" s="128"/>
      <c r="T452" s="131"/>
      <c r="U452" s="132">
        <v>203</v>
      </c>
      <c r="V452" s="121">
        <v>218.2</v>
      </c>
      <c r="W452" s="116">
        <v>0.98</v>
      </c>
      <c r="X452" s="116">
        <v>1.66</v>
      </c>
      <c r="Y452" s="116">
        <f t="shared" si="346"/>
        <v>0.98</v>
      </c>
      <c r="Z452" s="133">
        <v>1.454</v>
      </c>
      <c r="AA452" s="133">
        <v>0.83599999999999997</v>
      </c>
      <c r="AB452" s="133">
        <v>0.72</v>
      </c>
      <c r="AC452" s="121">
        <v>34.299999999999997</v>
      </c>
      <c r="AD452" s="134">
        <v>1.17</v>
      </c>
      <c r="AE452" s="124">
        <v>177.8</v>
      </c>
      <c r="AF452" s="128">
        <v>9.19</v>
      </c>
      <c r="AG452" s="128">
        <v>2420.6999999999998</v>
      </c>
      <c r="AH452" s="127">
        <v>3093</v>
      </c>
      <c r="AI452" s="127">
        <v>3093</v>
      </c>
      <c r="AJ452" s="135"/>
      <c r="AK452" s="128"/>
      <c r="AL452" s="131"/>
      <c r="AM452" s="124" t="s">
        <v>985</v>
      </c>
      <c r="AN452" s="136" t="s">
        <v>1694</v>
      </c>
      <c r="AO452" s="137">
        <v>32.3599999999999</v>
      </c>
      <c r="AP452" s="128">
        <v>2469</v>
      </c>
      <c r="AQ452" s="128">
        <v>535</v>
      </c>
      <c r="AR452" s="128" t="s">
        <v>1695</v>
      </c>
      <c r="AS452" s="128">
        <v>114.3</v>
      </c>
      <c r="AT452" s="122">
        <v>7.37</v>
      </c>
      <c r="AU452" s="124" t="s">
        <v>189</v>
      </c>
      <c r="AV452" s="115">
        <f>VLOOKUP(J452,'[63]ТР нефть'!$J$28:$BP$638,39,0)</f>
        <v>349.99999453100003</v>
      </c>
      <c r="AW452" s="115" t="str">
        <f>VLOOKUP(J452,'[63]ТР нефть'!$J$28:$BP$638,40,0)</f>
        <v>ГК75 1/8</v>
      </c>
      <c r="AX452" s="115">
        <f>VLOOKUP(J452,'[63]ТР нефть'!$J$28:$BP$638,41,0)</f>
        <v>780.00001757799998</v>
      </c>
      <c r="AY452" s="115" t="str">
        <f>VLOOKUP(J452,'[63]ТР нефть'!$J$28:$BP$638,42,0)</f>
        <v>ГК75 1/8</v>
      </c>
      <c r="AZ452" s="115">
        <f>VLOOKUP(J452,'[63]ТР нефть'!$J$28:$BP$638,43,0)</f>
        <v>1180.000011328</v>
      </c>
      <c r="BA452" s="115" t="str">
        <f>VLOOKUP(J452,'[63]ТР нефть'!$J$28:$BP$638,44,0)</f>
        <v>ГК75 1/8</v>
      </c>
      <c r="BB452" s="115">
        <f>VLOOKUP(J452,'[63]ТР нефть'!$J$28:$BP$638,45,0)</f>
        <v>1560.000035156</v>
      </c>
      <c r="BC452" s="115" t="str">
        <f>VLOOKUP(J452,'[63]ТР нефть'!$J$28:$BP$638,46,0)</f>
        <v>ГК76 5/32</v>
      </c>
      <c r="BD452" s="115">
        <f>VLOOKUP(J452,'[63]ТР нефть'!$J$28:$BP$638,47,0)</f>
        <v>1919.999940234</v>
      </c>
      <c r="BE452" s="115" t="str">
        <f>VLOOKUP(J452,'[63]ТР нефть'!$J$28:$BP$638,48,0)</f>
        <v>ГК76 3/16</v>
      </c>
      <c r="BF452" s="115">
        <f>VLOOKUP(J452,'[63]ТР нефть'!$J$28:$BP$638,49,0)</f>
        <v>2181</v>
      </c>
      <c r="BG452" s="115" t="str">
        <f>VLOOKUP(J452,'[63]ТР нефть'!$J$28:$BP$638,50,0)</f>
        <v>ЦКсОК 5/16</v>
      </c>
      <c r="BH452" s="115">
        <f>VLOOKUP(J452,'[63]ТР нефть'!$J$28:$BP$638,51,0)</f>
        <v>2191</v>
      </c>
      <c r="BI452" s="115" t="str">
        <f>VLOOKUP(J452,'[63]ТР нефть'!$J$28:$BP$638,52,0)</f>
        <v>закрыт</v>
      </c>
      <c r="BJ452" s="115" t="str">
        <f>IF(IFERROR(VLOOKUP(J452,'[63]ТР нефть'!$J$28:$BP$638,53,0),"-")=0,"-",IFERROR(VLOOKUP(J452,'[63]ТР нефть'!$J$28:$BP$638,53,0),"-"))</f>
        <v>-</v>
      </c>
      <c r="BK452" s="138" t="str">
        <f>IF(IFERROR(VLOOKUP(J452,'[63]ТР нефть'!$J$28:$BP$638,54,0),"-")=0,"-",IFERROR(VLOOKUP(J452,'[63]ТР нефть'!$J$28:$BP$638,54,0),"-"))</f>
        <v>-</v>
      </c>
      <c r="BL452" s="138" t="str">
        <f>IF(IFERROR(VLOOKUP(J452,'[63]ТР нефть'!$J$28:$BP$638,55,0),"-")=0,"-",IFERROR(VLOOKUP(J452,'[63]ТР нефть'!$J$28:$BP$638,55,0),"-"))</f>
        <v>-</v>
      </c>
      <c r="BM452" s="138" t="str">
        <f>IF(IFERROR(VLOOKUP(J452,'[63]ТР нефть'!$J$28:$BP$638,56,0),"-")=0,"-",IFERROR(VLOOKUP(J452,'[63]ТР нефть'!$J$28:$BP$638,56,0),"-"))</f>
        <v>-</v>
      </c>
      <c r="BN452" s="138" t="str">
        <f>IF(IFERROR(VLOOKUP(J452,'[63]ТР нефть'!$J$28:$BP$638,57,0),"-")=0,"-",IFERROR(VLOOKUP(J452,'[63]ТР нефть'!$J$28:$BP$638,57,0),"-"))</f>
        <v>-</v>
      </c>
      <c r="BO452" s="115" t="str">
        <f>IF(IFERROR(VLOOKUP(J452,'[63]ТР нефть'!$J$28:$BP$638,58,0),"-")=0,"-",IFERROR(VLOOKUP(J452,'[63]ТР нефть'!$J$28:$BP$638,58,0),"-"))</f>
        <v>-</v>
      </c>
      <c r="BP452" s="115" t="str">
        <f>IF(IFERROR(VLOOKUP(J452,'[63]ТР нефть'!$J$28:$BP$638,59,0),"-")=0,"-",IFERROR(VLOOKUP(J452,'[63]ТР нефть'!$J$28:$BP$638,59,0),"-"))</f>
        <v>-</v>
      </c>
      <c r="BQ452" s="138">
        <v>2200</v>
      </c>
      <c r="BR452" s="128">
        <v>1788.25</v>
      </c>
      <c r="BS452" s="115">
        <f t="shared" si="351"/>
        <v>411.75</v>
      </c>
      <c r="BT452" s="128">
        <v>73</v>
      </c>
      <c r="BU452" s="128">
        <v>5.5</v>
      </c>
      <c r="BV452" s="127">
        <v>65</v>
      </c>
      <c r="BW452" s="127" t="s">
        <v>217</v>
      </c>
      <c r="BX452" s="127" t="s">
        <v>195</v>
      </c>
      <c r="BY452" s="139">
        <v>24</v>
      </c>
      <c r="BZ452" s="139">
        <v>0</v>
      </c>
      <c r="CA452" s="138">
        <v>12</v>
      </c>
      <c r="CB452" s="138">
        <v>67</v>
      </c>
      <c r="CC452" s="138">
        <v>11</v>
      </c>
      <c r="CD452" s="135">
        <v>45017</v>
      </c>
      <c r="CE452" s="138">
        <v>108</v>
      </c>
      <c r="CF452" s="138">
        <v>72</v>
      </c>
      <c r="CG452" s="138" t="str">
        <f t="shared" si="352"/>
        <v>В работе</v>
      </c>
      <c r="CH452" s="138" t="s">
        <v>235</v>
      </c>
      <c r="CI452" s="127">
        <v>5</v>
      </c>
      <c r="CJ452" s="138"/>
      <c r="CK452" s="138">
        <f t="shared" si="356"/>
        <v>88</v>
      </c>
      <c r="CL452" s="99"/>
      <c r="CM452" s="99"/>
      <c r="CN452" s="140">
        <v>100</v>
      </c>
      <c r="CO452" s="141">
        <f t="shared" si="324"/>
        <v>2.09</v>
      </c>
      <c r="CP452" s="142">
        <v>2.5</v>
      </c>
      <c r="CQ452" s="143">
        <v>0</v>
      </c>
      <c r="CR452" s="138">
        <v>6</v>
      </c>
      <c r="CS452" s="139">
        <v>2.5</v>
      </c>
      <c r="CT452" s="138"/>
      <c r="CU452" s="138">
        <f t="shared" si="320"/>
        <v>3.5</v>
      </c>
      <c r="CV452" s="115">
        <f t="shared" si="321"/>
        <v>1674.6411483253589</v>
      </c>
      <c r="CW452" s="115">
        <f t="shared" si="325"/>
        <v>1196.1722488038279</v>
      </c>
      <c r="CX452" s="133">
        <f t="shared" si="322"/>
        <v>0.3125</v>
      </c>
      <c r="CY452" s="116"/>
      <c r="CZ452" s="131"/>
      <c r="DA452" s="145" t="str">
        <f t="shared" si="326"/>
        <v>Газлифт</v>
      </c>
      <c r="DB452" s="146">
        <f t="shared" si="341"/>
        <v>2.09</v>
      </c>
      <c r="DC452" s="142">
        <f t="shared" si="342"/>
        <v>2.5</v>
      </c>
      <c r="DD452" s="119">
        <f t="shared" si="350"/>
        <v>0</v>
      </c>
      <c r="DE452" s="115">
        <f t="shared" si="343"/>
        <v>3.5</v>
      </c>
      <c r="DF452" s="121">
        <f t="shared" si="328"/>
        <v>2.5</v>
      </c>
      <c r="DG452" s="115">
        <f t="shared" si="329"/>
        <v>1674.6411483253589</v>
      </c>
      <c r="DH452" s="115">
        <f t="shared" si="330"/>
        <v>100</v>
      </c>
      <c r="DI452" s="147"/>
      <c r="DJ452" s="111">
        <v>43560</v>
      </c>
      <c r="DK452" s="112">
        <v>44167</v>
      </c>
      <c r="DL452" s="113">
        <f t="shared" ca="1" si="312"/>
        <v>937</v>
      </c>
      <c r="DM452" s="114"/>
      <c r="DN452" s="114"/>
      <c r="DO452" s="114"/>
      <c r="DP452" s="114"/>
      <c r="DQ452" s="112">
        <v>43369</v>
      </c>
      <c r="DR452" s="114" t="s">
        <v>324</v>
      </c>
      <c r="DS452" s="114"/>
      <c r="DT452" s="115">
        <v>54</v>
      </c>
      <c r="DU452" s="116">
        <f t="shared" si="313"/>
        <v>0.25132978723404292</v>
      </c>
      <c r="DV452" s="117">
        <f t="shared" si="314"/>
        <v>11.346031914893633</v>
      </c>
      <c r="DW452" s="118">
        <f t="shared" si="315"/>
        <v>13.571808510638316</v>
      </c>
      <c r="DX452" s="119">
        <f t="shared" si="331"/>
        <v>0</v>
      </c>
      <c r="DY452" s="115">
        <f t="shared" si="316"/>
        <v>19.000531914893642</v>
      </c>
      <c r="DZ452" s="117">
        <f t="shared" si="349"/>
        <v>9.256031914893633</v>
      </c>
      <c r="EA452" s="120">
        <f t="shared" si="349"/>
        <v>11.071808510638316</v>
      </c>
      <c r="EB452" s="119">
        <f t="shared" si="349"/>
        <v>0</v>
      </c>
      <c r="EC452" s="121">
        <f t="shared" si="318"/>
        <v>15.500531914893642</v>
      </c>
      <c r="ED452" s="122"/>
      <c r="EE452" s="145">
        <v>65</v>
      </c>
      <c r="EF452" s="115">
        <v>12</v>
      </c>
      <c r="EG452" s="115">
        <v>67</v>
      </c>
      <c r="EH452" s="115">
        <v>11</v>
      </c>
      <c r="EI452" s="128" t="s">
        <v>218</v>
      </c>
      <c r="EJ452" s="121">
        <v>24</v>
      </c>
      <c r="EK452" s="121">
        <v>24</v>
      </c>
      <c r="EL452" s="149">
        <v>2.09</v>
      </c>
      <c r="EM452" s="142">
        <v>2.5</v>
      </c>
      <c r="EN452" s="119">
        <v>0</v>
      </c>
      <c r="EO452" s="115">
        <v>6</v>
      </c>
      <c r="EP452" s="115">
        <v>1674.6411483253589</v>
      </c>
      <c r="EQ452" s="115">
        <v>72</v>
      </c>
      <c r="ER452" s="115">
        <v>2.5</v>
      </c>
      <c r="ES452" s="115">
        <v>100</v>
      </c>
      <c r="ET452" s="150">
        <v>0.3125</v>
      </c>
      <c r="EU452" s="145">
        <f t="shared" si="332"/>
        <v>65</v>
      </c>
      <c r="EV452" s="115">
        <f t="shared" si="333"/>
        <v>12</v>
      </c>
      <c r="EW452" s="115">
        <f t="shared" si="333"/>
        <v>67</v>
      </c>
      <c r="EX452" s="115">
        <f t="shared" si="333"/>
        <v>11</v>
      </c>
      <c r="EY452" s="115" t="str">
        <f t="shared" si="357"/>
        <v>Постоянный</v>
      </c>
      <c r="EZ452" s="115">
        <f t="shared" si="357"/>
        <v>24</v>
      </c>
      <c r="FA452" s="115">
        <f t="shared" si="357"/>
        <v>0</v>
      </c>
      <c r="FB452" s="149">
        <f t="shared" si="345"/>
        <v>2.09</v>
      </c>
      <c r="FC452" s="142">
        <f t="shared" si="345"/>
        <v>2.5</v>
      </c>
      <c r="FD452" s="119">
        <f t="shared" si="345"/>
        <v>0</v>
      </c>
      <c r="FE452" s="121">
        <f t="shared" si="344"/>
        <v>6</v>
      </c>
      <c r="FF452" s="121">
        <f t="shared" si="347"/>
        <v>1674.6411483253589</v>
      </c>
      <c r="FG452" s="121">
        <f t="shared" si="334"/>
        <v>72</v>
      </c>
      <c r="FH452" s="121">
        <f t="shared" si="348"/>
        <v>2.5</v>
      </c>
      <c r="FI452" s="121">
        <f t="shared" si="355"/>
        <v>100</v>
      </c>
      <c r="FJ452" s="144">
        <f t="shared" si="335"/>
        <v>0.3125</v>
      </c>
      <c r="FK452" s="132">
        <f t="shared" si="336"/>
        <v>0</v>
      </c>
      <c r="FL452" s="115">
        <f t="shared" si="336"/>
        <v>0</v>
      </c>
      <c r="FM452" s="115">
        <f t="shared" si="336"/>
        <v>0</v>
      </c>
      <c r="FN452" s="115">
        <f t="shared" si="336"/>
        <v>0</v>
      </c>
      <c r="FO452" s="115">
        <f t="shared" si="354"/>
        <v>0</v>
      </c>
      <c r="FP452" s="115">
        <f t="shared" si="354"/>
        <v>-24</v>
      </c>
      <c r="FQ452" s="149">
        <f t="shared" si="354"/>
        <v>0</v>
      </c>
      <c r="FR452" s="142">
        <f t="shared" si="354"/>
        <v>0</v>
      </c>
      <c r="FS452" s="119">
        <f t="shared" si="354"/>
        <v>0</v>
      </c>
      <c r="FT452" s="121">
        <f t="shared" si="353"/>
        <v>0</v>
      </c>
      <c r="FU452" s="121">
        <f t="shared" si="337"/>
        <v>0</v>
      </c>
      <c r="FV452" s="121">
        <f t="shared" si="337"/>
        <v>0</v>
      </c>
      <c r="FW452" s="121">
        <f t="shared" si="338"/>
        <v>0</v>
      </c>
      <c r="FX452" s="121">
        <f t="shared" si="339"/>
        <v>0</v>
      </c>
      <c r="FY452" s="144">
        <f t="shared" si="339"/>
        <v>0</v>
      </c>
      <c r="FZ452" s="145"/>
      <c r="GA452" s="151"/>
      <c r="GB452" s="145"/>
      <c r="GC452" s="151"/>
      <c r="GD452" s="997" t="s">
        <v>202</v>
      </c>
      <c r="GE452" s="1004"/>
      <c r="GF452" s="1004">
        <v>0</v>
      </c>
      <c r="GG452" s="1004"/>
      <c r="GH452" s="1004">
        <v>0</v>
      </c>
      <c r="GI452" s="145"/>
      <c r="GJ452" s="996">
        <v>0</v>
      </c>
      <c r="GK452" s="145"/>
      <c r="GL452" s="996">
        <v>0</v>
      </c>
      <c r="GM452" s="1005" t="s">
        <v>199</v>
      </c>
      <c r="GN452" s="996">
        <v>-3.0994699999999993</v>
      </c>
      <c r="GO452" s="1006" t="s">
        <v>199</v>
      </c>
      <c r="GP452" s="996">
        <v>-7.0078502560000002</v>
      </c>
      <c r="GQ452" s="1006"/>
      <c r="GR452" s="996">
        <v>0</v>
      </c>
      <c r="GS452" s="1006"/>
      <c r="GT452" s="996">
        <v>-2.6797439999999284E-3</v>
      </c>
      <c r="GU452" s="1006" t="s">
        <v>204</v>
      </c>
      <c r="GV452" s="996">
        <v>2.2598754795030285</v>
      </c>
      <c r="GW452" s="1006" t="s">
        <v>204</v>
      </c>
      <c r="GX452" s="996">
        <v>-4.6899600000000028</v>
      </c>
      <c r="GY452" s="1006"/>
      <c r="GZ452" s="996">
        <v>0</v>
      </c>
      <c r="HA452" s="1006"/>
      <c r="HB452" s="996">
        <v>0.55376000000000047</v>
      </c>
      <c r="HC452" s="1006" t="s">
        <v>204</v>
      </c>
      <c r="HD452" s="996">
        <v>0</v>
      </c>
      <c r="HE452" s="1006" t="s">
        <v>204</v>
      </c>
      <c r="HF452" s="996">
        <v>0</v>
      </c>
      <c r="HG452" s="1006" t="s">
        <v>223</v>
      </c>
      <c r="HH452" s="996">
        <v>-1.0831216000000001</v>
      </c>
      <c r="HI452" s="1006"/>
      <c r="HJ452" s="996">
        <v>0.4273331039999988</v>
      </c>
      <c r="HK452" s="1006" t="s">
        <v>1065</v>
      </c>
      <c r="HL452" s="996">
        <v>-3.0145023039999987</v>
      </c>
      <c r="HM452" s="1006" t="s">
        <v>276</v>
      </c>
      <c r="HN452" s="996">
        <v>8.1010908000000015</v>
      </c>
      <c r="HO452" s="1006"/>
      <c r="HP452" s="996">
        <v>0</v>
      </c>
      <c r="HQ452" s="1006"/>
      <c r="HR452" s="996">
        <v>0</v>
      </c>
      <c r="HS452" s="1006" t="s">
        <v>199</v>
      </c>
      <c r="HT452" s="996">
        <v>-3.2186000000000021</v>
      </c>
      <c r="HU452" s="1006" t="s">
        <v>199</v>
      </c>
      <c r="HV452" s="996">
        <v>3.1099200000000007</v>
      </c>
      <c r="HW452" s="1006" t="s">
        <v>199</v>
      </c>
      <c r="HX452" s="996">
        <v>2.1315324799999997</v>
      </c>
      <c r="HY452" s="1006"/>
      <c r="HZ452" s="996">
        <v>0</v>
      </c>
      <c r="IA452" s="1006"/>
      <c r="IB452" s="996">
        <v>0.53154551999999988</v>
      </c>
      <c r="IC452" s="1006"/>
      <c r="ID452" s="996">
        <v>-0.41758199999999945</v>
      </c>
      <c r="IE452" s="1006"/>
      <c r="IF452" s="996">
        <v>0</v>
      </c>
      <c r="IG452" s="1006"/>
      <c r="IH452" s="996">
        <v>0</v>
      </c>
      <c r="II452" s="1006" t="s">
        <v>199</v>
      </c>
      <c r="IJ452" s="996">
        <v>-3.3565241160000001</v>
      </c>
      <c r="IK452" s="1006" t="s">
        <v>239</v>
      </c>
      <c r="IL452" s="996">
        <v>-0.81929588400000064</v>
      </c>
      <c r="IM452" s="1006"/>
      <c r="IN452" s="996">
        <v>0</v>
      </c>
      <c r="IO452" s="1006"/>
      <c r="IP452" s="996">
        <v>0</v>
      </c>
      <c r="IQ452" s="1006"/>
      <c r="IR452" s="996">
        <v>0</v>
      </c>
      <c r="IS452" s="1006"/>
      <c r="IT452" s="996">
        <v>0</v>
      </c>
      <c r="IU452" s="1006"/>
      <c r="IV452" s="996">
        <v>-0.83516399999999891</v>
      </c>
      <c r="IW452" s="1006"/>
      <c r="IX452" s="996">
        <v>0</v>
      </c>
      <c r="IY452" s="1006"/>
      <c r="IZ452" s="996">
        <v>0</v>
      </c>
      <c r="JA452" s="1006" t="s">
        <v>199</v>
      </c>
      <c r="JB452" s="996">
        <v>7.265926799999999</v>
      </c>
      <c r="JC452" s="1006"/>
      <c r="JD452" s="996">
        <v>0</v>
      </c>
      <c r="JE452" s="1006"/>
      <c r="JF452" s="996">
        <v>0</v>
      </c>
      <c r="JG452" s="1006" t="s">
        <v>199</v>
      </c>
      <c r="JH452" s="996">
        <v>-7.265926799999999</v>
      </c>
      <c r="JI452" s="1006"/>
      <c r="JJ452" s="996">
        <v>0</v>
      </c>
      <c r="JK452" s="1007"/>
      <c r="JL452" s="1007">
        <v>0</v>
      </c>
      <c r="JM452" s="1007" t="s">
        <v>199</v>
      </c>
      <c r="JN452" s="1007">
        <v>-2.4252360000000017</v>
      </c>
      <c r="JO452" s="1008"/>
      <c r="JP452" s="1007">
        <v>0</v>
      </c>
      <c r="JQ452" s="1008">
        <v>0</v>
      </c>
      <c r="JR452" s="1007">
        <v>0</v>
      </c>
      <c r="JS452" s="1008" t="s">
        <v>223</v>
      </c>
      <c r="JT452" s="1007">
        <v>-2.600795999999999</v>
      </c>
      <c r="JU452" s="1008"/>
      <c r="JV452" s="1007">
        <v>0</v>
      </c>
      <c r="JW452" s="1008" t="s">
        <v>197</v>
      </c>
      <c r="JX452" s="1007">
        <v>0</v>
      </c>
      <c r="JY452" s="1008"/>
      <c r="JZ452" s="1007">
        <v>0</v>
      </c>
      <c r="KA452" s="1008"/>
      <c r="KB452" s="1007">
        <v>0</v>
      </c>
      <c r="KC452" s="1008" t="s">
        <v>240</v>
      </c>
      <c r="KD452" s="1007">
        <v>-2.5916000000000015</v>
      </c>
      <c r="KE452" s="1008"/>
      <c r="KF452" s="1007">
        <v>0</v>
      </c>
      <c r="KG452" s="1008" t="s">
        <v>203</v>
      </c>
      <c r="KH452" s="1007">
        <v>-3.2603999999999971</v>
      </c>
      <c r="KI452" s="1008" t="s">
        <v>203</v>
      </c>
      <c r="KJ452" s="1007">
        <v>-20.231200000000001</v>
      </c>
      <c r="KK452" s="1008" t="s">
        <v>203</v>
      </c>
      <c r="KL452" s="1007">
        <v>3.0312900200000001</v>
      </c>
      <c r="KM452" s="1008"/>
      <c r="KN452" s="1007">
        <v>0</v>
      </c>
      <c r="KO452" s="1008"/>
      <c r="KP452" s="1007"/>
      <c r="KQ452" s="1008"/>
      <c r="KR452" s="1007"/>
      <c r="KS452" s="1008"/>
      <c r="KT452" s="1007"/>
      <c r="KU452" s="1008"/>
      <c r="KV452" s="1007"/>
      <c r="KW452" s="1008"/>
      <c r="KX452" s="1007"/>
      <c r="KY452" s="1008"/>
      <c r="KZ452" s="1007"/>
      <c r="LA452" s="1008"/>
      <c r="LB452" s="1007"/>
      <c r="LC452" s="1008"/>
      <c r="LD452" s="1007"/>
      <c r="LE452" s="1008"/>
      <c r="LF452" s="1007"/>
      <c r="LG452" s="1008"/>
      <c r="LH452" s="1007"/>
      <c r="LI452" s="1008"/>
      <c r="LJ452" s="1007"/>
      <c r="LK452" s="1008"/>
      <c r="LL452" s="1007"/>
      <c r="LM452" s="1008"/>
      <c r="LN452" s="1007"/>
      <c r="LO452" s="1008"/>
      <c r="LP452" s="1007"/>
      <c r="LQ452" s="1008"/>
      <c r="LR452" s="1007"/>
      <c r="LS452" s="1008"/>
      <c r="LT452" s="1007"/>
      <c r="LU452" s="1008"/>
      <c r="LV452" s="1007"/>
      <c r="LW452" s="1008"/>
      <c r="LX452" s="1007"/>
      <c r="LY452" s="1009"/>
      <c r="LZ452" s="1010"/>
      <c r="MA452" s="1011"/>
      <c r="MB452" s="1012"/>
      <c r="MC452" s="995"/>
      <c r="MD452" s="996"/>
      <c r="ME452" s="997" t="s">
        <v>202</v>
      </c>
      <c r="MF452" s="997"/>
      <c r="MG452" s="998"/>
      <c r="NR452" s="1000"/>
      <c r="NS452" s="1000"/>
      <c r="NT452" s="1001"/>
      <c r="NU452" s="1000"/>
      <c r="NV452" s="1001"/>
      <c r="NX452" s="1002"/>
      <c r="NZ452" s="1001"/>
      <c r="OA452" s="1001"/>
      <c r="OC452" s="1003"/>
      <c r="OD452" s="1003"/>
      <c r="OE452" s="1001"/>
      <c r="OF452" s="1003"/>
      <c r="OG452" s="1003"/>
      <c r="QX452" s="1000">
        <f>CN452-CA452</f>
        <v>88</v>
      </c>
      <c r="ASU452" s="999" t="s">
        <v>208</v>
      </c>
    </row>
    <row r="453" spans="1:466 1191:1191" ht="21" customHeight="1" x14ac:dyDescent="0.25">
      <c r="A453" s="982">
        <f t="shared" si="323"/>
        <v>1530</v>
      </c>
      <c r="B453" s="124">
        <f>SUBTOTAL(103,$J$29:J453)</f>
        <v>425</v>
      </c>
      <c r="C453" s="126">
        <v>45068</v>
      </c>
      <c r="D453" s="124" t="s">
        <v>176</v>
      </c>
      <c r="E453" s="127" t="s">
        <v>177</v>
      </c>
      <c r="F453" s="128" t="s">
        <v>177</v>
      </c>
      <c r="G453" s="127" t="s">
        <v>178</v>
      </c>
      <c r="H453" s="127" t="s">
        <v>179</v>
      </c>
      <c r="I453" s="127" t="s">
        <v>1330</v>
      </c>
      <c r="J453" s="152">
        <v>1530</v>
      </c>
      <c r="K453" s="127" t="s">
        <v>1330</v>
      </c>
      <c r="L453" s="130">
        <v>43827</v>
      </c>
      <c r="M453" s="127" t="s">
        <v>230</v>
      </c>
      <c r="N453" s="127" t="s">
        <v>184</v>
      </c>
      <c r="O453" s="127" t="s">
        <v>185</v>
      </c>
      <c r="P453" s="127" t="s">
        <v>186</v>
      </c>
      <c r="Q453" s="85" t="str">
        <f t="shared" si="319"/>
        <v/>
      </c>
      <c r="R453" s="130"/>
      <c r="S453" s="128"/>
      <c r="T453" s="131"/>
      <c r="U453" s="132">
        <v>203</v>
      </c>
      <c r="V453" s="121">
        <v>218.2</v>
      </c>
      <c r="W453" s="116">
        <v>0.98</v>
      </c>
      <c r="X453" s="116">
        <v>1.66</v>
      </c>
      <c r="Y453" s="116">
        <f t="shared" si="346"/>
        <v>1.0004920049200492</v>
      </c>
      <c r="Z453" s="133">
        <v>1.454</v>
      </c>
      <c r="AA453" s="133">
        <v>0.83599999999999997</v>
      </c>
      <c r="AB453" s="133">
        <v>0.72</v>
      </c>
      <c r="AC453" s="121">
        <v>34.299999999999997</v>
      </c>
      <c r="AD453" s="134">
        <v>1.17</v>
      </c>
      <c r="AE453" s="124">
        <v>177.8</v>
      </c>
      <c r="AF453" s="128">
        <v>9.19</v>
      </c>
      <c r="AG453" s="128">
        <v>2402.6999999999998</v>
      </c>
      <c r="AH453" s="127">
        <v>3069.75</v>
      </c>
      <c r="AI453" s="127">
        <v>3069.75</v>
      </c>
      <c r="AJ453" s="135"/>
      <c r="AK453" s="128"/>
      <c r="AL453" s="131"/>
      <c r="AM453" s="124" t="s">
        <v>187</v>
      </c>
      <c r="AN453" s="136" t="s">
        <v>1696</v>
      </c>
      <c r="AO453" s="137">
        <v>28.76</v>
      </c>
      <c r="AP453" s="128">
        <v>2454.15</v>
      </c>
      <c r="AQ453" s="128">
        <v>557.9</v>
      </c>
      <c r="AR453" s="128" t="s">
        <v>1697</v>
      </c>
      <c r="AS453" s="128">
        <v>114</v>
      </c>
      <c r="AT453" s="122">
        <v>7.4</v>
      </c>
      <c r="AU453" s="124" t="s">
        <v>189</v>
      </c>
      <c r="AV453" s="115">
        <f>VLOOKUP(J453,'[63]ТР нефть'!$J$28:$BP$638,39,0)</f>
        <v>440.00000800800001</v>
      </c>
      <c r="AW453" s="115" t="str">
        <f>VLOOKUP(J453,'[63]ТР нефть'!$J$28:$BP$638,40,0)</f>
        <v>ГП</v>
      </c>
      <c r="AX453" s="115">
        <f>VLOOKUP(J453,'[63]ТР нефть'!$J$28:$BP$638,41,0)</f>
        <v>860.00004609400003</v>
      </c>
      <c r="AY453" s="115" t="str">
        <f>VLOOKUP(J453,'[63]ТР нефть'!$J$28:$BP$638,42,0)</f>
        <v>ГК72 1/8</v>
      </c>
      <c r="AZ453" s="115">
        <f>VLOOKUP(J453,'[63]ТР нефть'!$J$28:$BP$638,43,0)</f>
        <v>1260.000039844</v>
      </c>
      <c r="BA453" s="115" t="str">
        <f>VLOOKUP(J453,'[63]ТР нефть'!$J$28:$BP$638,44,0)</f>
        <v>ГК72 1/8</v>
      </c>
      <c r="BB453" s="115">
        <f>VLOOKUP(J453,'[63]ТР нефть'!$J$28:$BP$638,45,0)</f>
        <v>1600.0001238279999</v>
      </c>
      <c r="BC453" s="115" t="str">
        <f>VLOOKUP(J453,'[63]ТР нефть'!$J$28:$BP$638,46,0)</f>
        <v>ГК71 1/8</v>
      </c>
      <c r="BD453" s="115">
        <f>VLOOKUP(J453,'[63]ТР нефть'!$J$28:$BP$638,47,0)</f>
        <v>1750.0001214839999</v>
      </c>
      <c r="BE453" s="115" t="str">
        <f>VLOOKUP(J453,'[63]ТР нефть'!$J$28:$BP$638,48,0)</f>
        <v>ГК70 5/32</v>
      </c>
      <c r="BF453" s="115">
        <f>VLOOKUP(J453,'[63]ТР нефть'!$J$28:$BP$638,49,0)</f>
        <v>2050</v>
      </c>
      <c r="BG453" s="115" t="str">
        <f>VLOOKUP(J453,'[63]ТР нефть'!$J$28:$BP$638,50,0)</f>
        <v>ЦКсОК 5/16</v>
      </c>
      <c r="BH453" s="115" t="str">
        <f>VLOOKUP(J453,'[63]ТР нефть'!$J$28:$BP$638,51,0)</f>
        <v>-</v>
      </c>
      <c r="BI453" s="115" t="str">
        <f>VLOOKUP(J453,'[63]ТР нефть'!$J$28:$BP$638,52,0)</f>
        <v>-</v>
      </c>
      <c r="BJ453" s="115" t="str">
        <f>IF(IFERROR(VLOOKUP(J453,'[63]ТР нефть'!$J$28:$BP$638,53,0),"-")=0,"-",IFERROR(VLOOKUP(J453,'[63]ТР нефть'!$J$28:$BP$638,53,0),"-"))</f>
        <v>-</v>
      </c>
      <c r="BK453" s="138" t="str">
        <f>IF(IFERROR(VLOOKUP(J453,'[63]ТР нефть'!$J$28:$BP$638,54,0),"-")=0,"-",IFERROR(VLOOKUP(J453,'[63]ТР нефть'!$J$28:$BP$638,54,0),"-"))</f>
        <v>-</v>
      </c>
      <c r="BL453" s="138" t="str">
        <f>IF(IFERROR(VLOOKUP(J453,'[63]ТР нефть'!$J$28:$BP$638,55,0),"-")=0,"-",IFERROR(VLOOKUP(J453,'[63]ТР нефть'!$J$28:$BP$638,55,0),"-"))</f>
        <v>-</v>
      </c>
      <c r="BM453" s="138" t="str">
        <f>IF(IFERROR(VLOOKUP(J453,'[63]ТР нефть'!$J$28:$BP$638,56,0),"-")=0,"-",IFERROR(VLOOKUP(J453,'[63]ТР нефть'!$J$28:$BP$638,56,0),"-"))</f>
        <v>-</v>
      </c>
      <c r="BN453" s="138" t="str">
        <f>IF(IFERROR(VLOOKUP(J453,'[63]ТР нефть'!$J$28:$BP$638,57,0),"-")=0,"-",IFERROR(VLOOKUP(J453,'[63]ТР нефть'!$J$28:$BP$638,57,0),"-"))</f>
        <v>-</v>
      </c>
      <c r="BO453" s="115" t="str">
        <f>IF(IFERROR(VLOOKUP(J453,'[63]ТР нефть'!$J$28:$BP$638,58,0),"-")=0,"-",IFERROR(VLOOKUP(J453,'[63]ТР нефть'!$J$28:$BP$638,58,0),"-"))</f>
        <v>-</v>
      </c>
      <c r="BP453" s="115" t="str">
        <f>IF(IFERROR(VLOOKUP(J453,'[63]ТР нефть'!$J$28:$BP$638,59,0),"-")=0,"-",IFERROR(VLOOKUP(J453,'[63]ТР нефть'!$J$28:$BP$638,59,0),"-"))</f>
        <v>-</v>
      </c>
      <c r="BQ453" s="138">
        <v>2340</v>
      </c>
      <c r="BR453" s="128">
        <v>1824.98</v>
      </c>
      <c r="BS453" s="115">
        <f t="shared" si="351"/>
        <v>515.02</v>
      </c>
      <c r="BT453" s="128">
        <v>73</v>
      </c>
      <c r="BU453" s="128">
        <v>5.5</v>
      </c>
      <c r="BV453" s="127">
        <v>18</v>
      </c>
      <c r="BW453" s="127" t="s">
        <v>194</v>
      </c>
      <c r="BX453" s="127" t="s">
        <v>195</v>
      </c>
      <c r="BY453" s="139">
        <v>24</v>
      </c>
      <c r="BZ453" s="139">
        <v>0</v>
      </c>
      <c r="CA453" s="138">
        <v>14</v>
      </c>
      <c r="CB453" s="138">
        <v>37</v>
      </c>
      <c r="CC453" s="138">
        <v>13</v>
      </c>
      <c r="CD453" s="135">
        <v>45017</v>
      </c>
      <c r="CE453" s="138">
        <v>99.1</v>
      </c>
      <c r="CF453" s="138">
        <v>71</v>
      </c>
      <c r="CG453" s="138" t="str">
        <f t="shared" si="352"/>
        <v/>
      </c>
      <c r="CH453" s="138" t="s">
        <v>197</v>
      </c>
      <c r="CI453" s="127">
        <v>5</v>
      </c>
      <c r="CJ453" s="138"/>
      <c r="CK453" s="138">
        <f t="shared" si="356"/>
        <v>32</v>
      </c>
      <c r="CL453" s="99"/>
      <c r="CM453" s="99"/>
      <c r="CN453" s="140">
        <v>46</v>
      </c>
      <c r="CO453" s="141">
        <f t="shared" si="324"/>
        <v>10.324599999999998</v>
      </c>
      <c r="CP453" s="142">
        <v>13</v>
      </c>
      <c r="CQ453" s="143">
        <v>5</v>
      </c>
      <c r="CR453" s="138">
        <v>13</v>
      </c>
      <c r="CS453" s="139">
        <v>8.4</v>
      </c>
      <c r="CT453" s="138"/>
      <c r="CU453" s="138">
        <f t="shared" si="320"/>
        <v>4.5999999999999996</v>
      </c>
      <c r="CV453" s="115">
        <f t="shared" si="321"/>
        <v>445.53784165972536</v>
      </c>
      <c r="CW453" s="115">
        <f t="shared" si="325"/>
        <v>758.30752981322155</v>
      </c>
      <c r="CX453" s="133">
        <f t="shared" si="322"/>
        <v>0.24482109227871943</v>
      </c>
      <c r="CY453" s="116"/>
      <c r="CZ453" s="131"/>
      <c r="DA453" s="145" t="str">
        <f t="shared" si="326"/>
        <v>Газлифт</v>
      </c>
      <c r="DB453" s="146">
        <f t="shared" si="341"/>
        <v>10.324599999999998</v>
      </c>
      <c r="DC453" s="142">
        <f t="shared" si="342"/>
        <v>13</v>
      </c>
      <c r="DD453" s="119">
        <f t="shared" si="350"/>
        <v>5</v>
      </c>
      <c r="DE453" s="115">
        <f t="shared" si="343"/>
        <v>4.5999999999999996</v>
      </c>
      <c r="DF453" s="121">
        <f t="shared" si="328"/>
        <v>8.4</v>
      </c>
      <c r="DG453" s="115">
        <f t="shared" si="329"/>
        <v>445.53784165972536</v>
      </c>
      <c r="DH453" s="115">
        <f t="shared" si="330"/>
        <v>46</v>
      </c>
      <c r="DI453" s="147"/>
      <c r="DJ453" s="111">
        <v>43887</v>
      </c>
      <c r="DK453" s="112">
        <v>43912</v>
      </c>
      <c r="DL453" s="113">
        <f t="shared" ca="1" si="312"/>
        <v>1192</v>
      </c>
      <c r="DM453" s="114">
        <v>15.8</v>
      </c>
      <c r="DN453" s="114">
        <v>49</v>
      </c>
      <c r="DO453" s="114">
        <v>41</v>
      </c>
      <c r="DP453" s="114"/>
      <c r="DQ453" s="112"/>
      <c r="DR453" s="114"/>
      <c r="DS453" s="114"/>
      <c r="DT453" s="115">
        <v>60</v>
      </c>
      <c r="DU453" s="116">
        <f t="shared" si="313"/>
        <v>0.33248081841432231</v>
      </c>
      <c r="DV453" s="117">
        <f t="shared" si="314"/>
        <v>10.324599999999998</v>
      </c>
      <c r="DW453" s="118">
        <f t="shared" si="315"/>
        <v>13</v>
      </c>
      <c r="DX453" s="119">
        <f t="shared" si="331"/>
        <v>5</v>
      </c>
      <c r="DY453" s="115">
        <f t="shared" si="316"/>
        <v>4.5999999999999996</v>
      </c>
      <c r="DZ453" s="117">
        <f t="shared" si="349"/>
        <v>0</v>
      </c>
      <c r="EA453" s="120">
        <f t="shared" si="349"/>
        <v>0</v>
      </c>
      <c r="EB453" s="119">
        <f t="shared" si="349"/>
        <v>0</v>
      </c>
      <c r="EC453" s="121">
        <f t="shared" si="318"/>
        <v>0</v>
      </c>
      <c r="ED453" s="122"/>
      <c r="EE453" s="145">
        <v>18</v>
      </c>
      <c r="EF453" s="115">
        <v>14</v>
      </c>
      <c r="EG453" s="115">
        <v>35</v>
      </c>
      <c r="EH453" s="115">
        <v>13</v>
      </c>
      <c r="EI453" s="128" t="s">
        <v>195</v>
      </c>
      <c r="EJ453" s="121">
        <v>24</v>
      </c>
      <c r="EK453" s="121">
        <v>0</v>
      </c>
      <c r="EL453" s="149">
        <v>12.610892799999998</v>
      </c>
      <c r="EM453" s="142">
        <v>16</v>
      </c>
      <c r="EN453" s="119">
        <v>5.72</v>
      </c>
      <c r="EO453" s="115">
        <v>14.5</v>
      </c>
      <c r="EP453" s="115">
        <v>483.7088140183065</v>
      </c>
      <c r="EQ453" s="115">
        <v>70</v>
      </c>
      <c r="ER453" s="115">
        <v>8.4</v>
      </c>
      <c r="ES453" s="115">
        <v>49</v>
      </c>
      <c r="ET453" s="150">
        <v>0.31936127744510984</v>
      </c>
      <c r="EU453" s="145">
        <f t="shared" si="332"/>
        <v>18</v>
      </c>
      <c r="EV453" s="115">
        <f t="shared" si="333"/>
        <v>14</v>
      </c>
      <c r="EW453" s="115">
        <f t="shared" si="333"/>
        <v>37</v>
      </c>
      <c r="EX453" s="115">
        <f t="shared" si="333"/>
        <v>13</v>
      </c>
      <c r="EY453" s="115" t="str">
        <f t="shared" si="357"/>
        <v>Постоянный</v>
      </c>
      <c r="EZ453" s="115">
        <f t="shared" si="357"/>
        <v>24</v>
      </c>
      <c r="FA453" s="115">
        <f t="shared" si="357"/>
        <v>0</v>
      </c>
      <c r="FB453" s="149">
        <f t="shared" si="345"/>
        <v>10.324599999999998</v>
      </c>
      <c r="FC453" s="142">
        <f t="shared" si="345"/>
        <v>13</v>
      </c>
      <c r="FD453" s="119">
        <f t="shared" si="345"/>
        <v>5</v>
      </c>
      <c r="FE453" s="121">
        <f t="shared" si="344"/>
        <v>13</v>
      </c>
      <c r="FF453" s="121">
        <f t="shared" si="347"/>
        <v>445.53784165972536</v>
      </c>
      <c r="FG453" s="121">
        <f t="shared" si="334"/>
        <v>71</v>
      </c>
      <c r="FH453" s="121">
        <f t="shared" si="348"/>
        <v>8.4</v>
      </c>
      <c r="FI453" s="121">
        <f t="shared" si="355"/>
        <v>46</v>
      </c>
      <c r="FJ453" s="144">
        <f t="shared" si="335"/>
        <v>0.24482109227871943</v>
      </c>
      <c r="FK453" s="132">
        <f t="shared" si="336"/>
        <v>0</v>
      </c>
      <c r="FL453" s="115">
        <f t="shared" si="336"/>
        <v>0</v>
      </c>
      <c r="FM453" s="115">
        <f t="shared" si="336"/>
        <v>2</v>
      </c>
      <c r="FN453" s="115">
        <f t="shared" si="336"/>
        <v>0</v>
      </c>
      <c r="FO453" s="115">
        <f t="shared" si="354"/>
        <v>0</v>
      </c>
      <c r="FP453" s="115">
        <f t="shared" si="354"/>
        <v>0</v>
      </c>
      <c r="FQ453" s="149">
        <f t="shared" si="354"/>
        <v>-2.2862928</v>
      </c>
      <c r="FR453" s="142">
        <f t="shared" si="354"/>
        <v>-3</v>
      </c>
      <c r="FS453" s="119">
        <f t="shared" si="354"/>
        <v>-0.71999999999999975</v>
      </c>
      <c r="FT453" s="121">
        <f t="shared" si="353"/>
        <v>-1.5</v>
      </c>
      <c r="FU453" s="121">
        <f t="shared" si="337"/>
        <v>1</v>
      </c>
      <c r="FV453" s="121">
        <f t="shared" si="337"/>
        <v>0</v>
      </c>
      <c r="FW453" s="121">
        <f t="shared" si="338"/>
        <v>-38.170972358581139</v>
      </c>
      <c r="FX453" s="121">
        <f t="shared" si="339"/>
        <v>-3</v>
      </c>
      <c r="FY453" s="144">
        <f t="shared" si="339"/>
        <v>-7.454018516639041E-2</v>
      </c>
      <c r="FZ453" s="145" t="s">
        <v>222</v>
      </c>
      <c r="GA453" s="151" t="s">
        <v>1698</v>
      </c>
      <c r="GB453" s="145"/>
      <c r="GC453" s="151"/>
      <c r="GD453" s="997" t="s">
        <v>202</v>
      </c>
      <c r="GE453" s="1004"/>
      <c r="GF453" s="1004">
        <v>0.22304479999999849</v>
      </c>
      <c r="GG453" s="1004" t="s">
        <v>223</v>
      </c>
      <c r="GH453" s="1004">
        <v>-2.7972559999999973</v>
      </c>
      <c r="GI453" s="145"/>
      <c r="GJ453" s="996">
        <v>0</v>
      </c>
      <c r="GK453" s="145" t="s">
        <v>199</v>
      </c>
      <c r="GL453" s="996">
        <v>1.2434078799999995</v>
      </c>
      <c r="GM453" s="1005"/>
      <c r="GN453" s="996">
        <v>0.27562175959999813</v>
      </c>
      <c r="GO453" s="1006" t="s">
        <v>240</v>
      </c>
      <c r="GP453" s="996">
        <v>-4.1748344396000014</v>
      </c>
      <c r="GQ453" s="1006"/>
      <c r="GR453" s="996">
        <v>0</v>
      </c>
      <c r="GS453" s="1006"/>
      <c r="GT453" s="996">
        <v>-0.22099221099999866</v>
      </c>
      <c r="GU453" s="1006" t="s">
        <v>223</v>
      </c>
      <c r="GV453" s="996">
        <v>-0.994718988999999</v>
      </c>
      <c r="GW453" s="1006" t="s">
        <v>199</v>
      </c>
      <c r="GX453" s="996">
        <v>-5.907761200000003</v>
      </c>
      <c r="GY453" s="1006" t="s">
        <v>204</v>
      </c>
      <c r="GZ453" s="996">
        <v>7.3682749359999988</v>
      </c>
      <c r="HA453" s="1006"/>
      <c r="HB453" s="996">
        <v>0.19476626400000185</v>
      </c>
      <c r="HC453" s="1006"/>
      <c r="HD453" s="996">
        <v>0.52038074000000378</v>
      </c>
      <c r="HE453" s="1006"/>
      <c r="HF453" s="996">
        <v>0</v>
      </c>
      <c r="HG453" s="1006" t="s">
        <v>223</v>
      </c>
      <c r="HH453" s="996">
        <v>-0.96559253999999939</v>
      </c>
      <c r="HI453" s="1006"/>
      <c r="HJ453" s="996">
        <v>0</v>
      </c>
      <c r="HK453" s="1006" t="s">
        <v>204</v>
      </c>
      <c r="HL453" s="996">
        <v>6.6660483119999974</v>
      </c>
      <c r="HM453" s="1006" t="s">
        <v>276</v>
      </c>
      <c r="HN453" s="996">
        <v>2.5274704399999983</v>
      </c>
      <c r="HO453" s="1006"/>
      <c r="HP453" s="996">
        <v>0</v>
      </c>
      <c r="HQ453" s="1006"/>
      <c r="HR453" s="996">
        <v>0</v>
      </c>
      <c r="HS453" s="1006" t="s">
        <v>643</v>
      </c>
      <c r="HT453" s="996">
        <v>0</v>
      </c>
      <c r="HU453" s="1006" t="s">
        <v>199</v>
      </c>
      <c r="HV453" s="996">
        <v>-5.7581396047999949</v>
      </c>
      <c r="HW453" s="1006" t="s">
        <v>199</v>
      </c>
      <c r="HX453" s="996">
        <v>8.7812878207999958</v>
      </c>
      <c r="HY453" s="1006" t="s">
        <v>199</v>
      </c>
      <c r="HZ453" s="996">
        <v>-11.629115168000002</v>
      </c>
      <c r="IA453" s="1006"/>
      <c r="IB453" s="996">
        <v>0</v>
      </c>
      <c r="IC453" s="1006"/>
      <c r="ID453" s="996">
        <v>0</v>
      </c>
      <c r="IE453" s="1006" t="s">
        <v>199</v>
      </c>
      <c r="IF453" s="996">
        <v>-1.9222566000000008</v>
      </c>
      <c r="IG453" s="1006"/>
      <c r="IH453" s="996">
        <v>-0.83207080000000033</v>
      </c>
      <c r="II453" s="1006" t="s">
        <v>199</v>
      </c>
      <c r="IJ453" s="996">
        <v>-3.1452276240000003</v>
      </c>
      <c r="IK453" s="1006"/>
      <c r="IL453" s="996">
        <v>0</v>
      </c>
      <c r="IM453" s="1006"/>
      <c r="IN453" s="996">
        <v>-0.97352283599999723</v>
      </c>
      <c r="IO453" s="1006" t="s">
        <v>223</v>
      </c>
      <c r="IP453" s="996">
        <v>-5.0977733399999998</v>
      </c>
      <c r="IQ453" s="1006"/>
      <c r="IR453" s="996">
        <v>0</v>
      </c>
      <c r="IS453" s="1006"/>
      <c r="IT453" s="996">
        <v>0</v>
      </c>
      <c r="IU453" s="1006" t="s">
        <v>223</v>
      </c>
      <c r="IV453" s="996">
        <v>-2.1736000000000004</v>
      </c>
      <c r="IW453" s="1006" t="s">
        <v>223</v>
      </c>
      <c r="IX453" s="996">
        <v>-5.5769560000000027</v>
      </c>
      <c r="IY453" s="1006" t="s">
        <v>223</v>
      </c>
      <c r="IZ453" s="996">
        <v>-2.3650439999999975</v>
      </c>
      <c r="JA453" s="1006" t="s">
        <v>223</v>
      </c>
      <c r="JB453" s="996">
        <v>3.8869652799999983</v>
      </c>
      <c r="JC453" s="1006"/>
      <c r="JD453" s="996">
        <v>0</v>
      </c>
      <c r="JE453" s="1006" t="s">
        <v>223</v>
      </c>
      <c r="JF453" s="996">
        <v>-9.914543003199995</v>
      </c>
      <c r="JG453" s="1006"/>
      <c r="JH453" s="996">
        <v>47.409577723199995</v>
      </c>
      <c r="JI453" s="1006"/>
      <c r="JJ453" s="996">
        <v>0</v>
      </c>
      <c r="JK453" s="1007"/>
      <c r="JL453" s="1007"/>
      <c r="JM453" s="1007"/>
      <c r="JN453" s="1007"/>
      <c r="JO453" s="1008"/>
      <c r="JP453" s="1007"/>
      <c r="JQ453" s="1008"/>
      <c r="JR453" s="1007"/>
      <c r="JS453" s="1008"/>
      <c r="JT453" s="1007"/>
      <c r="JU453" s="1008"/>
      <c r="JV453" s="1007"/>
      <c r="JW453" s="1008"/>
      <c r="JX453" s="1007"/>
      <c r="JY453" s="1008"/>
      <c r="JZ453" s="1007"/>
      <c r="KA453" s="1008"/>
      <c r="KB453" s="1007"/>
      <c r="KC453" s="1008"/>
      <c r="KD453" s="1007"/>
      <c r="KE453" s="1008"/>
      <c r="KF453" s="1007"/>
      <c r="KG453" s="1008"/>
      <c r="KH453" s="1007"/>
      <c r="KI453" s="1008"/>
      <c r="KJ453" s="1007"/>
      <c r="KK453" s="1008"/>
      <c r="KL453" s="1007"/>
      <c r="KM453" s="1008"/>
      <c r="KN453" s="1007"/>
      <c r="KO453" s="1008"/>
      <c r="KP453" s="1007"/>
      <c r="KQ453" s="1008"/>
      <c r="KR453" s="1007"/>
      <c r="KS453" s="1008"/>
      <c r="KT453" s="1007"/>
      <c r="KU453" s="1008"/>
      <c r="KV453" s="1007"/>
      <c r="KW453" s="1008"/>
      <c r="KX453" s="1007"/>
      <c r="KY453" s="1008"/>
      <c r="KZ453" s="1007"/>
      <c r="LA453" s="1008"/>
      <c r="LB453" s="1007"/>
      <c r="LC453" s="1008"/>
      <c r="LD453" s="1007"/>
      <c r="LE453" s="1008"/>
      <c r="LF453" s="1007"/>
      <c r="LG453" s="1008"/>
      <c r="LH453" s="1007"/>
      <c r="LI453" s="1008"/>
      <c r="LJ453" s="1007"/>
      <c r="LK453" s="1008"/>
      <c r="LL453" s="1007"/>
      <c r="LM453" s="1008"/>
      <c r="LN453" s="1007"/>
      <c r="LO453" s="1008"/>
      <c r="LP453" s="1007"/>
      <c r="LQ453" s="1008"/>
      <c r="LR453" s="1007"/>
      <c r="LS453" s="1008"/>
      <c r="LT453" s="1007"/>
      <c r="LU453" s="1008"/>
      <c r="LV453" s="1007"/>
      <c r="LW453" s="1008"/>
      <c r="LX453" s="1007"/>
      <c r="LY453" s="1009"/>
      <c r="LZ453" s="1010"/>
      <c r="MA453" s="1011"/>
      <c r="MB453" s="1012"/>
      <c r="MC453" s="995"/>
      <c r="MD453" s="996"/>
      <c r="ME453" s="997" t="s">
        <v>202</v>
      </c>
      <c r="MF453" s="997"/>
      <c r="MG453" s="998"/>
      <c r="NR453" s="1000"/>
      <c r="NS453" s="1000"/>
      <c r="NT453" s="1001"/>
      <c r="NU453" s="1000"/>
      <c r="NV453" s="1001"/>
      <c r="NX453" s="1002"/>
      <c r="NZ453" s="1001"/>
      <c r="OA453" s="1001"/>
      <c r="OC453" s="1003"/>
      <c r="OD453" s="1003"/>
      <c r="OE453" s="1001"/>
      <c r="OF453" s="1003"/>
      <c r="OG453" s="1003"/>
      <c r="QX453" s="1000">
        <f>CN453-CA453</f>
        <v>32</v>
      </c>
      <c r="ASU453" s="999" t="s">
        <v>208</v>
      </c>
    </row>
    <row r="454" spans="1:466 1191:1191" ht="21" customHeight="1" x14ac:dyDescent="0.25">
      <c r="A454" s="982">
        <f t="shared" si="323"/>
        <v>1533</v>
      </c>
      <c r="B454" s="124">
        <f>SUBTOTAL(103,$J$29:J454)</f>
        <v>426</v>
      </c>
      <c r="C454" s="126">
        <v>45068</v>
      </c>
      <c r="D454" s="124" t="s">
        <v>176</v>
      </c>
      <c r="E454" s="127" t="s">
        <v>177</v>
      </c>
      <c r="F454" s="128" t="s">
        <v>177</v>
      </c>
      <c r="G454" s="127" t="s">
        <v>178</v>
      </c>
      <c r="H454" s="127" t="s">
        <v>179</v>
      </c>
      <c r="I454" s="127" t="s">
        <v>1362</v>
      </c>
      <c r="J454" s="152">
        <v>1533</v>
      </c>
      <c r="K454" s="127" t="s">
        <v>1362</v>
      </c>
      <c r="L454" s="130">
        <v>43454</v>
      </c>
      <c r="M454" s="127" t="s">
        <v>230</v>
      </c>
      <c r="N454" s="127" t="s">
        <v>184</v>
      </c>
      <c r="O454" s="127" t="s">
        <v>185</v>
      </c>
      <c r="P454" s="127" t="s">
        <v>292</v>
      </c>
      <c r="Q454" s="85" t="str">
        <f t="shared" si="319"/>
        <v/>
      </c>
      <c r="R454" s="130"/>
      <c r="S454" s="128"/>
      <c r="T454" s="131"/>
      <c r="U454" s="132">
        <v>203</v>
      </c>
      <c r="V454" s="121">
        <v>218.2</v>
      </c>
      <c r="W454" s="116">
        <v>0.98</v>
      </c>
      <c r="X454" s="116">
        <v>1.66</v>
      </c>
      <c r="Y454" s="116">
        <f t="shared" si="346"/>
        <v>0.98</v>
      </c>
      <c r="Z454" s="133">
        <v>1.454</v>
      </c>
      <c r="AA454" s="133">
        <v>0.83599999999999997</v>
      </c>
      <c r="AB454" s="133">
        <v>0.72</v>
      </c>
      <c r="AC454" s="121">
        <v>34.299999999999997</v>
      </c>
      <c r="AD454" s="134">
        <v>1.17</v>
      </c>
      <c r="AE454" s="124">
        <v>177.8</v>
      </c>
      <c r="AF454" s="128">
        <v>9.19</v>
      </c>
      <c r="AG454" s="128">
        <v>2313</v>
      </c>
      <c r="AH454" s="127">
        <v>3100</v>
      </c>
      <c r="AI454" s="127">
        <v>3100</v>
      </c>
      <c r="AJ454" s="135"/>
      <c r="AK454" s="128"/>
      <c r="AL454" s="131"/>
      <c r="AM454" s="124" t="s">
        <v>985</v>
      </c>
      <c r="AN454" s="136" t="s">
        <v>1699</v>
      </c>
      <c r="AO454" s="137">
        <v>33.1099999999999</v>
      </c>
      <c r="AP454" s="128">
        <v>2392.6999999999998</v>
      </c>
      <c r="AQ454" s="128">
        <v>532</v>
      </c>
      <c r="AR454" s="128" t="s">
        <v>1700</v>
      </c>
      <c r="AS454" s="128">
        <v>114</v>
      </c>
      <c r="AT454" s="122">
        <v>7.37</v>
      </c>
      <c r="AU454" s="124" t="s">
        <v>189</v>
      </c>
      <c r="AV454" s="115">
        <f>VLOOKUP(J454,'[63]ТР нефть'!$J$28:$BP$638,39,0)</f>
        <v>549.99999140600005</v>
      </c>
      <c r="AW454" s="115" t="str">
        <f>VLOOKUP(J454,'[63]ТР нефть'!$J$28:$BP$638,40,0)</f>
        <v>ГП</v>
      </c>
      <c r="AX454" s="115">
        <f>VLOOKUP(J454,'[63]ТР нефть'!$J$28:$BP$638,41,0)</f>
        <v>1070.00002793</v>
      </c>
      <c r="AY454" s="115" t="str">
        <f>VLOOKUP(J454,'[63]ТР нефть'!$J$28:$BP$638,42,0)</f>
        <v>ГП</v>
      </c>
      <c r="AZ454" s="115">
        <f>VLOOKUP(J454,'[63]ТР нефть'!$J$28:$BP$638,43,0)</f>
        <v>1480.000006641</v>
      </c>
      <c r="BA454" s="115" t="str">
        <f>VLOOKUP(J454,'[63]ТР нефть'!$J$28:$BP$638,44,0)</f>
        <v>ГК77/8</v>
      </c>
      <c r="BB454" s="115">
        <f>VLOOKUP(J454,'[63]ТР нефть'!$J$28:$BP$638,45,0)</f>
        <v>1819.999941797</v>
      </c>
      <c r="BC454" s="115" t="str">
        <f>VLOOKUP(J454,'[63]ТР нефть'!$J$28:$BP$638,46,0)</f>
        <v>ГК76 1/8</v>
      </c>
      <c r="BD454" s="115">
        <f>VLOOKUP(J454,'[63]ТР нефть'!$J$28:$BP$638,47,0)</f>
        <v>2049.999967969</v>
      </c>
      <c r="BE454" s="115" t="str">
        <f>VLOOKUP(J454,'[63]ТР нефть'!$J$28:$BP$638,48,0)</f>
        <v>ЦКсОК 5/16</v>
      </c>
      <c r="BF454" s="115" t="str">
        <f>VLOOKUP(J454,'[63]ТР нефть'!$J$28:$BP$638,49,0)</f>
        <v>-</v>
      </c>
      <c r="BG454" s="115" t="str">
        <f>VLOOKUP(J454,'[63]ТР нефть'!$J$28:$BP$638,50,0)</f>
        <v>-</v>
      </c>
      <c r="BH454" s="115" t="str">
        <f>VLOOKUP(J454,'[63]ТР нефть'!$J$28:$BP$638,51,0)</f>
        <v>-</v>
      </c>
      <c r="BI454" s="115" t="str">
        <f>VLOOKUP(J454,'[63]ТР нефть'!$J$28:$BP$638,52,0)</f>
        <v>-</v>
      </c>
      <c r="BJ454" s="115" t="str">
        <f>IF(IFERROR(VLOOKUP(J454,'[63]ТР нефть'!$J$28:$BP$638,53,0),"-")=0,"-",IFERROR(VLOOKUP(J454,'[63]ТР нефть'!$J$28:$BP$638,53,0),"-"))</f>
        <v>-</v>
      </c>
      <c r="BK454" s="138" t="str">
        <f>IF(IFERROR(VLOOKUP(J454,'[63]ТР нефть'!$J$28:$BP$638,54,0),"-")=0,"-",IFERROR(VLOOKUP(J454,'[63]ТР нефть'!$J$28:$BP$638,54,0),"-"))</f>
        <v>-</v>
      </c>
      <c r="BL454" s="138" t="str">
        <f>IF(IFERROR(VLOOKUP(J454,'[63]ТР нефть'!$J$28:$BP$638,55,0),"-")=0,"-",IFERROR(VLOOKUP(J454,'[63]ТР нефть'!$J$28:$BP$638,55,0),"-"))</f>
        <v>-</v>
      </c>
      <c r="BM454" s="138" t="str">
        <f>IF(IFERROR(VLOOKUP(J454,'[63]ТР нефть'!$J$28:$BP$638,56,0),"-")=0,"-",IFERROR(VLOOKUP(J454,'[63]ТР нефть'!$J$28:$BP$638,56,0),"-"))</f>
        <v>-</v>
      </c>
      <c r="BN454" s="138" t="str">
        <f>IF(IFERROR(VLOOKUP(J454,'[63]ТР нефть'!$J$28:$BP$638,57,0),"-")=0,"-",IFERROR(VLOOKUP(J454,'[63]ТР нефть'!$J$28:$BP$638,57,0),"-"))</f>
        <v>-</v>
      </c>
      <c r="BO454" s="115" t="str">
        <f>IF(IFERROR(VLOOKUP(J454,'[63]ТР нефть'!$J$28:$BP$638,58,0),"-")=0,"-",IFERROR(VLOOKUP(J454,'[63]ТР нефть'!$J$28:$BP$638,58,0),"-"))</f>
        <v>-</v>
      </c>
      <c r="BP454" s="115" t="str">
        <f>IF(IFERROR(VLOOKUP(J454,'[63]ТР нефть'!$J$28:$BP$638,59,0),"-")=0,"-",IFERROR(VLOOKUP(J454,'[63]ТР нефть'!$J$28:$BP$638,59,0),"-"))</f>
        <v>-</v>
      </c>
      <c r="BQ454" s="138">
        <v>2258</v>
      </c>
      <c r="BR454" s="128">
        <v>1773.93</v>
      </c>
      <c r="BS454" s="115">
        <f t="shared" si="351"/>
        <v>484.06999999999994</v>
      </c>
      <c r="BT454" s="128">
        <v>73</v>
      </c>
      <c r="BU454" s="128">
        <v>5.5</v>
      </c>
      <c r="BV454" s="127">
        <v>65</v>
      </c>
      <c r="BW454" s="127" t="s">
        <v>217</v>
      </c>
      <c r="BX454" s="127" t="s">
        <v>195</v>
      </c>
      <c r="BY454" s="139">
        <v>24</v>
      </c>
      <c r="BZ454" s="139">
        <v>0</v>
      </c>
      <c r="CA454" s="138">
        <v>26</v>
      </c>
      <c r="CB454" s="138">
        <v>61</v>
      </c>
      <c r="CC454" s="138">
        <v>25</v>
      </c>
      <c r="CD454" s="135">
        <v>45017</v>
      </c>
      <c r="CE454" s="138">
        <v>114</v>
      </c>
      <c r="CF454" s="138">
        <v>71</v>
      </c>
      <c r="CG454" s="138" t="str">
        <f t="shared" si="352"/>
        <v/>
      </c>
      <c r="CH454" s="138" t="s">
        <v>197</v>
      </c>
      <c r="CI454" s="127"/>
      <c r="CJ454" s="138"/>
      <c r="CK454" s="138">
        <f t="shared" si="356"/>
        <v>19</v>
      </c>
      <c r="CL454" s="99"/>
      <c r="CM454" s="99"/>
      <c r="CN454" s="140">
        <v>45</v>
      </c>
      <c r="CO454" s="141">
        <f t="shared" si="324"/>
        <v>10.032</v>
      </c>
      <c r="CP454" s="142">
        <v>12</v>
      </c>
      <c r="CQ454" s="143">
        <v>0</v>
      </c>
      <c r="CR454" s="138">
        <v>31</v>
      </c>
      <c r="CS454" s="139">
        <v>4.8</v>
      </c>
      <c r="CT454" s="138"/>
      <c r="CU454" s="138">
        <f t="shared" si="320"/>
        <v>26.2</v>
      </c>
      <c r="CV454" s="115">
        <f t="shared" si="321"/>
        <v>2611.6427432216906</v>
      </c>
      <c r="CW454" s="115">
        <f t="shared" si="325"/>
        <v>478.46889952153111</v>
      </c>
      <c r="CX454" s="133">
        <f t="shared" si="322"/>
        <v>0.17391304347826086</v>
      </c>
      <c r="CY454" s="116"/>
      <c r="CZ454" s="131"/>
      <c r="DA454" s="145" t="str">
        <f t="shared" si="326"/>
        <v>Газлифт</v>
      </c>
      <c r="DB454" s="146">
        <f t="shared" si="341"/>
        <v>10.032</v>
      </c>
      <c r="DC454" s="142">
        <f t="shared" si="342"/>
        <v>12</v>
      </c>
      <c r="DD454" s="119">
        <f t="shared" si="350"/>
        <v>0</v>
      </c>
      <c r="DE454" s="115">
        <f t="shared" si="343"/>
        <v>26.2</v>
      </c>
      <c r="DF454" s="121">
        <f t="shared" si="328"/>
        <v>4.8</v>
      </c>
      <c r="DG454" s="115">
        <f t="shared" si="329"/>
        <v>2611.6427432216906</v>
      </c>
      <c r="DH454" s="115">
        <f t="shared" si="330"/>
        <v>45</v>
      </c>
      <c r="DI454" s="147"/>
      <c r="DJ454" s="111" t="s">
        <v>197</v>
      </c>
      <c r="DK454" s="112">
        <v>43454</v>
      </c>
      <c r="DL454" s="113">
        <f t="shared" ca="1" si="312"/>
        <v>1650</v>
      </c>
      <c r="DM454" s="114"/>
      <c r="DN454" s="114"/>
      <c r="DO454" s="114"/>
      <c r="DP454" s="114"/>
      <c r="DQ454" s="112">
        <v>43454</v>
      </c>
      <c r="DR454" s="114" t="s">
        <v>324</v>
      </c>
      <c r="DS454" s="114"/>
      <c r="DT454" s="115">
        <v>48</v>
      </c>
      <c r="DU454" s="116">
        <f t="shared" si="313"/>
        <v>0.18181818181818182</v>
      </c>
      <c r="DV454" s="117">
        <f t="shared" si="314"/>
        <v>10.032</v>
      </c>
      <c r="DW454" s="118">
        <f t="shared" si="315"/>
        <v>12</v>
      </c>
      <c r="DX454" s="119">
        <f t="shared" si="331"/>
        <v>0</v>
      </c>
      <c r="DY454" s="115">
        <f t="shared" si="316"/>
        <v>26.2</v>
      </c>
      <c r="DZ454" s="117">
        <f t="shared" si="349"/>
        <v>0</v>
      </c>
      <c r="EA454" s="120">
        <f t="shared" si="349"/>
        <v>0</v>
      </c>
      <c r="EB454" s="119">
        <f t="shared" si="349"/>
        <v>0</v>
      </c>
      <c r="EC454" s="121">
        <f t="shared" si="318"/>
        <v>0</v>
      </c>
      <c r="ED454" s="122"/>
      <c r="EE454" s="145">
        <v>65</v>
      </c>
      <c r="EF454" s="115">
        <v>26</v>
      </c>
      <c r="EG454" s="115">
        <v>60</v>
      </c>
      <c r="EH454" s="115">
        <v>25</v>
      </c>
      <c r="EI454" s="128" t="s">
        <v>195</v>
      </c>
      <c r="EJ454" s="121">
        <v>24</v>
      </c>
      <c r="EK454" s="121">
        <v>0</v>
      </c>
      <c r="EL454" s="149">
        <v>10.032</v>
      </c>
      <c r="EM454" s="142">
        <v>12</v>
      </c>
      <c r="EN454" s="119">
        <v>0</v>
      </c>
      <c r="EO454" s="115">
        <v>27.3</v>
      </c>
      <c r="EP454" s="115">
        <v>2003.5885167464114</v>
      </c>
      <c r="EQ454" s="115">
        <v>70</v>
      </c>
      <c r="ER454" s="115">
        <v>9.6</v>
      </c>
      <c r="ES454" s="115">
        <v>52</v>
      </c>
      <c r="ET454" s="150">
        <v>0.19354838709677419</v>
      </c>
      <c r="EU454" s="145">
        <f t="shared" si="332"/>
        <v>65</v>
      </c>
      <c r="EV454" s="115">
        <f t="shared" si="333"/>
        <v>26</v>
      </c>
      <c r="EW454" s="115">
        <f t="shared" si="333"/>
        <v>61</v>
      </c>
      <c r="EX454" s="115">
        <f t="shared" si="333"/>
        <v>25</v>
      </c>
      <c r="EY454" s="115" t="str">
        <f t="shared" si="357"/>
        <v>Постоянный</v>
      </c>
      <c r="EZ454" s="115">
        <f t="shared" si="357"/>
        <v>24</v>
      </c>
      <c r="FA454" s="115">
        <f t="shared" si="357"/>
        <v>0</v>
      </c>
      <c r="FB454" s="149">
        <f t="shared" si="345"/>
        <v>10.032</v>
      </c>
      <c r="FC454" s="142">
        <f t="shared" si="345"/>
        <v>12</v>
      </c>
      <c r="FD454" s="119">
        <f t="shared" si="345"/>
        <v>0</v>
      </c>
      <c r="FE454" s="121">
        <f t="shared" si="344"/>
        <v>31</v>
      </c>
      <c r="FF454" s="121">
        <f t="shared" si="347"/>
        <v>2611.6427432216906</v>
      </c>
      <c r="FG454" s="121">
        <f t="shared" si="334"/>
        <v>71</v>
      </c>
      <c r="FH454" s="121">
        <v>9.6</v>
      </c>
      <c r="FI454" s="121">
        <f t="shared" si="355"/>
        <v>45</v>
      </c>
      <c r="FJ454" s="144">
        <f t="shared" si="335"/>
        <v>0.17391304347826086</v>
      </c>
      <c r="FK454" s="132">
        <f t="shared" si="336"/>
        <v>0</v>
      </c>
      <c r="FL454" s="115">
        <f t="shared" si="336"/>
        <v>0</v>
      </c>
      <c r="FM454" s="115">
        <f t="shared" si="336"/>
        <v>1</v>
      </c>
      <c r="FN454" s="115">
        <f t="shared" si="336"/>
        <v>0</v>
      </c>
      <c r="FO454" s="115">
        <f t="shared" si="354"/>
        <v>0</v>
      </c>
      <c r="FP454" s="115">
        <f t="shared" si="354"/>
        <v>0</v>
      </c>
      <c r="FQ454" s="149">
        <f t="shared" si="354"/>
        <v>0</v>
      </c>
      <c r="FR454" s="142">
        <f t="shared" si="354"/>
        <v>0</v>
      </c>
      <c r="FS454" s="119">
        <f t="shared" si="354"/>
        <v>0</v>
      </c>
      <c r="FT454" s="121">
        <f t="shared" si="353"/>
        <v>3.6999999999999993</v>
      </c>
      <c r="FU454" s="121">
        <f t="shared" si="337"/>
        <v>1</v>
      </c>
      <c r="FV454" s="121">
        <f t="shared" si="337"/>
        <v>0</v>
      </c>
      <c r="FW454" s="121">
        <f t="shared" si="338"/>
        <v>608.05422647527917</v>
      </c>
      <c r="FX454" s="121">
        <f t="shared" si="339"/>
        <v>-7</v>
      </c>
      <c r="FY454" s="144">
        <f t="shared" si="339"/>
        <v>-1.9635343618513323E-2</v>
      </c>
      <c r="FZ454" s="145"/>
      <c r="GA454" s="151"/>
      <c r="GB454" s="145"/>
      <c r="GC454" s="151"/>
      <c r="GD454" s="997" t="s">
        <v>202</v>
      </c>
      <c r="GE454" s="1004"/>
      <c r="GF454" s="1004">
        <v>0.33440000000000047</v>
      </c>
      <c r="GG454" s="1004"/>
      <c r="GH454" s="1004">
        <v>0</v>
      </c>
      <c r="GI454" s="145"/>
      <c r="GJ454" s="996">
        <v>0</v>
      </c>
      <c r="GK454" s="145"/>
      <c r="GL454" s="996">
        <v>0</v>
      </c>
      <c r="GM454" s="1005"/>
      <c r="GN454" s="996">
        <v>0</v>
      </c>
      <c r="GO454" s="1006"/>
      <c r="GP454" s="996">
        <v>0</v>
      </c>
      <c r="GQ454" s="1006"/>
      <c r="GR454" s="996">
        <v>-0.76911999999999914</v>
      </c>
      <c r="GS454" s="1006" t="s">
        <v>204</v>
      </c>
      <c r="GT454" s="996">
        <v>5.9893359407377966</v>
      </c>
      <c r="GU454" s="1006"/>
      <c r="GV454" s="996">
        <v>-2.2615940737797935E-2</v>
      </c>
      <c r="GW454" s="1006"/>
      <c r="GX454" s="996">
        <v>0</v>
      </c>
      <c r="GY454" s="1006"/>
      <c r="GZ454" s="996">
        <v>-0.89451999999999998</v>
      </c>
      <c r="HA454" s="1006"/>
      <c r="HB454" s="996">
        <v>8.919999999999817E-3</v>
      </c>
      <c r="HC454" s="1006"/>
      <c r="HD454" s="996">
        <v>0</v>
      </c>
      <c r="HE454" s="1006" t="s">
        <v>199</v>
      </c>
      <c r="HF454" s="996">
        <v>-2.1819599999999992</v>
      </c>
      <c r="HG454" s="1006" t="s">
        <v>199</v>
      </c>
      <c r="HH454" s="996">
        <v>9.1960000000000264E-2</v>
      </c>
      <c r="HI454" s="1006" t="s">
        <v>199</v>
      </c>
      <c r="HJ454" s="996">
        <v>1.0031999999999979</v>
      </c>
      <c r="HK454" s="1006"/>
      <c r="HL454" s="996">
        <v>0</v>
      </c>
      <c r="HM454" s="1006"/>
      <c r="HN454" s="996">
        <v>0</v>
      </c>
      <c r="HO454" s="1006" t="s">
        <v>199</v>
      </c>
      <c r="HP454" s="996">
        <v>-2.5330799999999982</v>
      </c>
      <c r="HQ454" s="1006"/>
      <c r="HR454" s="996">
        <v>0</v>
      </c>
      <c r="HS454" s="1006" t="s">
        <v>643</v>
      </c>
      <c r="HT454" s="996">
        <v>0</v>
      </c>
      <c r="HU454" s="1006"/>
      <c r="HV454" s="996">
        <v>0</v>
      </c>
      <c r="HW454" s="1006"/>
      <c r="HX454" s="996">
        <v>-0.70223999999999975</v>
      </c>
      <c r="HY454" s="1006" t="s">
        <v>223</v>
      </c>
      <c r="HZ454" s="996">
        <v>-6.3368800000000007</v>
      </c>
      <c r="IA454" s="1006"/>
      <c r="IB454" s="996">
        <v>0</v>
      </c>
      <c r="IC454" s="1006" t="s">
        <v>199</v>
      </c>
      <c r="ID454" s="996">
        <v>-4.3889999999999993</v>
      </c>
      <c r="IE454" s="1006" t="s">
        <v>204</v>
      </c>
      <c r="IF454" s="996">
        <v>-1.9227999999999987</v>
      </c>
      <c r="IG454" s="1006"/>
      <c r="IH454" s="996">
        <v>0</v>
      </c>
      <c r="II454" s="1006" t="s">
        <v>205</v>
      </c>
      <c r="IJ454" s="996">
        <v>6.1027999999999984</v>
      </c>
      <c r="IK454" s="1006"/>
      <c r="IL454" s="996">
        <v>0</v>
      </c>
      <c r="IM454" s="1006"/>
      <c r="IN454" s="996">
        <v>0</v>
      </c>
      <c r="IO454" s="1006"/>
      <c r="IP454" s="996">
        <v>0</v>
      </c>
      <c r="IQ454" s="1006"/>
      <c r="IR454" s="996">
        <v>0</v>
      </c>
      <c r="IS454" s="1006" t="s">
        <v>204</v>
      </c>
      <c r="IT454" s="996">
        <v>1.6720000000000006</v>
      </c>
      <c r="IU454" s="1006"/>
      <c r="IV454" s="996">
        <v>0</v>
      </c>
      <c r="IW454" s="1006" t="s">
        <v>204</v>
      </c>
      <c r="IX454" s="996">
        <v>4.9323999999999995</v>
      </c>
      <c r="IY454" s="1006"/>
      <c r="IZ454" s="996">
        <v>-0.66880000000000095</v>
      </c>
      <c r="JA454" s="1006"/>
      <c r="JB454" s="996">
        <v>0</v>
      </c>
      <c r="JC454" s="1006"/>
      <c r="JD454" s="996">
        <v>0</v>
      </c>
      <c r="JE454" s="1006" t="s">
        <v>223</v>
      </c>
      <c r="JF454" s="996">
        <v>-5.9355999999999991</v>
      </c>
      <c r="JG454" s="1006"/>
      <c r="JH454" s="996">
        <v>0</v>
      </c>
      <c r="JI454" s="1006"/>
      <c r="JJ454" s="996">
        <v>0</v>
      </c>
      <c r="JK454" s="1007"/>
      <c r="JL454" s="1007">
        <v>0</v>
      </c>
      <c r="JM454" s="1007"/>
      <c r="JN454" s="1007">
        <v>0</v>
      </c>
      <c r="JO454" s="1008" t="s">
        <v>223</v>
      </c>
      <c r="JP454" s="1007">
        <v>-6.6879999999999988</v>
      </c>
      <c r="JQ454" s="1008">
        <v>0</v>
      </c>
      <c r="JR454" s="1007">
        <v>0</v>
      </c>
      <c r="JS454" s="1008">
        <v>0</v>
      </c>
      <c r="JT454" s="1007">
        <v>-0.83600000000000207</v>
      </c>
      <c r="JU454" s="1008"/>
      <c r="JV454" s="1007">
        <v>-2.5079999999999103E-2</v>
      </c>
      <c r="JW454" s="1008" t="s">
        <v>206</v>
      </c>
      <c r="JX454" s="1007">
        <v>-4.1549200000000006</v>
      </c>
      <c r="JY454" s="1008"/>
      <c r="JZ454" s="1007">
        <v>0</v>
      </c>
      <c r="KA454" s="1008" t="s">
        <v>240</v>
      </c>
      <c r="KB454" s="1007">
        <v>-12.539999999999996</v>
      </c>
      <c r="KC454" s="1008"/>
      <c r="KD454" s="1007">
        <v>0</v>
      </c>
      <c r="KE454" s="1008"/>
      <c r="KF454" s="1007">
        <v>0</v>
      </c>
      <c r="KG454" s="1008"/>
      <c r="KH454" s="1007">
        <v>42.635999999999996</v>
      </c>
      <c r="KI454" s="1008"/>
      <c r="KJ454" s="1007">
        <v>0</v>
      </c>
      <c r="KK454" s="1008"/>
      <c r="KL454" s="1007"/>
      <c r="KM454" s="1008"/>
      <c r="KN454" s="1007"/>
      <c r="KO454" s="1008"/>
      <c r="KP454" s="1007"/>
      <c r="KQ454" s="1008"/>
      <c r="KR454" s="1007"/>
      <c r="KS454" s="1008"/>
      <c r="KT454" s="1007"/>
      <c r="KU454" s="1008"/>
      <c r="KV454" s="1007"/>
      <c r="KW454" s="1008"/>
      <c r="KX454" s="1007"/>
      <c r="KY454" s="1008"/>
      <c r="KZ454" s="1007"/>
      <c r="LA454" s="1008"/>
      <c r="LB454" s="1007"/>
      <c r="LC454" s="1008"/>
      <c r="LD454" s="1007"/>
      <c r="LE454" s="1008"/>
      <c r="LF454" s="1007"/>
      <c r="LG454" s="1008"/>
      <c r="LH454" s="1007"/>
      <c r="LI454" s="1008"/>
      <c r="LJ454" s="1007"/>
      <c r="LK454" s="1008"/>
      <c r="LL454" s="1007"/>
      <c r="LM454" s="1008"/>
      <c r="LN454" s="1007"/>
      <c r="LO454" s="1008"/>
      <c r="LP454" s="1007"/>
      <c r="LQ454" s="1008"/>
      <c r="LR454" s="1007"/>
      <c r="LS454" s="1008"/>
      <c r="LT454" s="1007"/>
      <c r="LU454" s="1008"/>
      <c r="LV454" s="1007"/>
      <c r="LW454" s="1008"/>
      <c r="LX454" s="1007"/>
      <c r="LY454" s="1009"/>
      <c r="LZ454" s="1010"/>
      <c r="MA454" s="1011"/>
      <c r="MB454" s="1012"/>
      <c r="MC454" s="995"/>
      <c r="MD454" s="996"/>
      <c r="ME454" s="997" t="s">
        <v>202</v>
      </c>
      <c r="MF454" s="997"/>
      <c r="MG454" s="998"/>
      <c r="NR454" s="1000"/>
      <c r="NS454" s="1000"/>
      <c r="NT454" s="1001"/>
      <c r="NU454" s="1000"/>
      <c r="NV454" s="1001"/>
      <c r="NX454" s="1002"/>
      <c r="NZ454" s="1001"/>
      <c r="OA454" s="1001"/>
      <c r="OC454" s="1003"/>
      <c r="OD454" s="1003"/>
      <c r="OE454" s="1001"/>
      <c r="OF454" s="1003"/>
      <c r="OG454" s="1003"/>
      <c r="QX454" s="1000">
        <f>CN454-CA454</f>
        <v>19</v>
      </c>
      <c r="ASU454" s="999" t="s">
        <v>208</v>
      </c>
    </row>
    <row r="455" spans="1:466 1191:1191" ht="21" customHeight="1" x14ac:dyDescent="0.25">
      <c r="A455" s="982">
        <f t="shared" si="323"/>
        <v>1534</v>
      </c>
      <c r="B455" s="124">
        <f>SUBTOTAL(103,$J$29:J455)</f>
        <v>427</v>
      </c>
      <c r="C455" s="126">
        <v>45068</v>
      </c>
      <c r="D455" s="124" t="s">
        <v>176</v>
      </c>
      <c r="E455" s="127" t="s">
        <v>177</v>
      </c>
      <c r="F455" s="128" t="s">
        <v>177</v>
      </c>
      <c r="G455" s="127" t="s">
        <v>178</v>
      </c>
      <c r="H455" s="127" t="s">
        <v>179</v>
      </c>
      <c r="I455" s="127" t="s">
        <v>1334</v>
      </c>
      <c r="J455" s="152">
        <v>1534</v>
      </c>
      <c r="K455" s="127" t="s">
        <v>1334</v>
      </c>
      <c r="L455" s="130">
        <v>43367</v>
      </c>
      <c r="M455" s="127" t="s">
        <v>230</v>
      </c>
      <c r="N455" s="127" t="s">
        <v>184</v>
      </c>
      <c r="O455" s="127" t="s">
        <v>185</v>
      </c>
      <c r="P455" s="127" t="s">
        <v>186</v>
      </c>
      <c r="Q455" s="85" t="str">
        <f t="shared" si="319"/>
        <v/>
      </c>
      <c r="R455" s="130"/>
      <c r="S455" s="128"/>
      <c r="T455" s="131"/>
      <c r="U455" s="132">
        <v>203</v>
      </c>
      <c r="V455" s="121">
        <v>218.2</v>
      </c>
      <c r="W455" s="116">
        <v>0.98</v>
      </c>
      <c r="X455" s="116">
        <v>1.66</v>
      </c>
      <c r="Y455" s="116">
        <f t="shared" si="346"/>
        <v>0.98597763792050108</v>
      </c>
      <c r="Z455" s="133">
        <v>1.454</v>
      </c>
      <c r="AA455" s="133">
        <v>0.83599999999999997</v>
      </c>
      <c r="AB455" s="133">
        <v>0.72</v>
      </c>
      <c r="AC455" s="121">
        <v>34.299999999999997</v>
      </c>
      <c r="AD455" s="134">
        <v>1.17</v>
      </c>
      <c r="AE455" s="124">
        <v>177.8</v>
      </c>
      <c r="AF455" s="128">
        <v>9.19</v>
      </c>
      <c r="AG455" s="128">
        <v>2400.1999999999998</v>
      </c>
      <c r="AH455" s="127">
        <v>3071</v>
      </c>
      <c r="AI455" s="127">
        <v>3071</v>
      </c>
      <c r="AJ455" s="135"/>
      <c r="AK455" s="128"/>
      <c r="AL455" s="131"/>
      <c r="AM455" s="124" t="s">
        <v>985</v>
      </c>
      <c r="AN455" s="136" t="s">
        <v>1701</v>
      </c>
      <c r="AO455" s="137">
        <v>20.310000000000173</v>
      </c>
      <c r="AP455" s="128">
        <v>2554.16</v>
      </c>
      <c r="AQ455" s="128">
        <v>606.84999999999991</v>
      </c>
      <c r="AR455" s="128" t="s">
        <v>1702</v>
      </c>
      <c r="AS455" s="128">
        <v>114.3</v>
      </c>
      <c r="AT455" s="122">
        <v>7.37</v>
      </c>
      <c r="AU455" s="124" t="s">
        <v>189</v>
      </c>
      <c r="AV455" s="115">
        <f>VLOOKUP(J455,'[63]ТР нефть'!$J$28:$BP$638,39,0)</f>
        <v>500.00002939500001</v>
      </c>
      <c r="AW455" s="115" t="str">
        <f>VLOOKUP(J455,'[63]ТР нефть'!$J$28:$BP$638,40,0)</f>
        <v>ГП</v>
      </c>
      <c r="AX455" s="115">
        <f>VLOOKUP(J455,'[63]ТР нефть'!$J$28:$BP$638,41,0)</f>
        <v>1360.0000382809999</v>
      </c>
      <c r="AY455" s="115" t="str">
        <f>VLOOKUP(J455,'[63]ТР нефть'!$J$28:$BP$638,42,0)</f>
        <v>ГК76 1/8</v>
      </c>
      <c r="AZ455" s="115">
        <f>VLOOKUP(J455,'[63]ТР нефть'!$J$28:$BP$638,43,0)</f>
        <v>1690.000062891</v>
      </c>
      <c r="BA455" s="115" t="str">
        <f>VLOOKUP(J455,'[63]ТР нефть'!$J$28:$BP$638,44,0)</f>
        <v>ГК76 1/8</v>
      </c>
      <c r="BB455" s="115">
        <f>VLOOKUP(J455,'[63]ТР нефть'!$J$28:$BP$638,45,0)</f>
        <v>1929.999999609</v>
      </c>
      <c r="BC455" s="115" t="str">
        <f>VLOOKUP(J455,'[63]ТР нефть'!$J$28:$BP$638,46,0)</f>
        <v>ЦКсОК 5/16</v>
      </c>
      <c r="BD455" s="115" t="str">
        <f>VLOOKUP(J455,'[63]ТР нефть'!$J$28:$BP$638,47,0)</f>
        <v>-</v>
      </c>
      <c r="BE455" s="115" t="str">
        <f>VLOOKUP(J455,'[63]ТР нефть'!$J$28:$BP$638,48,0)</f>
        <v>-</v>
      </c>
      <c r="BF455" s="115" t="str">
        <f>VLOOKUP(J455,'[63]ТР нефть'!$J$28:$BP$638,49,0)</f>
        <v>-</v>
      </c>
      <c r="BG455" s="115" t="str">
        <f>VLOOKUP(J455,'[63]ТР нефть'!$J$28:$BP$638,50,0)</f>
        <v>-</v>
      </c>
      <c r="BH455" s="115">
        <f>VLOOKUP(J455,'[63]ТР нефть'!$J$28:$BP$638,51,0)</f>
        <v>1940</v>
      </c>
      <c r="BI455" s="115" t="str">
        <f>VLOOKUP(J455,'[63]ТР нефть'!$J$28:$BP$638,52,0)</f>
        <v>закрыт</v>
      </c>
      <c r="BJ455" s="115" t="str">
        <f>IF(IFERROR(VLOOKUP(J455,'[63]ТР нефть'!$J$28:$BP$638,53,0),"-")=0,"-",IFERROR(VLOOKUP(J455,'[63]ТР нефть'!$J$28:$BP$638,53,0),"-"))</f>
        <v>-</v>
      </c>
      <c r="BK455" s="138" t="str">
        <f>IF(IFERROR(VLOOKUP(J455,'[63]ТР нефть'!$J$28:$BP$638,54,0),"-")=0,"-",IFERROR(VLOOKUP(J455,'[63]ТР нефть'!$J$28:$BP$638,54,0),"-"))</f>
        <v>-</v>
      </c>
      <c r="BL455" s="138" t="str">
        <f>IF(IFERROR(VLOOKUP(J455,'[63]ТР нефть'!$J$28:$BP$638,55,0),"-")=0,"-",IFERROR(VLOOKUP(J455,'[63]ТР нефть'!$J$28:$BP$638,55,0),"-"))</f>
        <v>-</v>
      </c>
      <c r="BM455" s="138" t="str">
        <f>IF(IFERROR(VLOOKUP(J455,'[63]ТР нефть'!$J$28:$BP$638,56,0),"-")=0,"-",IFERROR(VLOOKUP(J455,'[63]ТР нефть'!$J$28:$BP$638,56,0),"-"))</f>
        <v>-</v>
      </c>
      <c r="BN455" s="138" t="str">
        <f>IF(IFERROR(VLOOKUP(J455,'[63]ТР нефть'!$J$28:$BP$638,57,0),"-")=0,"-",IFERROR(VLOOKUP(J455,'[63]ТР нефть'!$J$28:$BP$638,57,0),"-"))</f>
        <v>-</v>
      </c>
      <c r="BO455" s="115" t="str">
        <f>IF(IFERROR(VLOOKUP(J455,'[63]ТР нефть'!$J$28:$BP$638,58,0),"-")=0,"-",IFERROR(VLOOKUP(J455,'[63]ТР нефть'!$J$28:$BP$638,58,0),"-"))</f>
        <v>-</v>
      </c>
      <c r="BP455" s="115" t="str">
        <f>IF(IFERROR(VLOOKUP(J455,'[63]ТР нефть'!$J$28:$BP$638,59,0),"-")=0,"-",IFERROR(VLOOKUP(J455,'[63]ТР нефть'!$J$28:$BP$638,59,0),"-"))</f>
        <v>-</v>
      </c>
      <c r="BQ455" s="138">
        <v>2350</v>
      </c>
      <c r="BR455" s="128">
        <v>1888.2</v>
      </c>
      <c r="BS455" s="115">
        <f t="shared" si="351"/>
        <v>461.79999999999995</v>
      </c>
      <c r="BT455" s="128">
        <v>73</v>
      </c>
      <c r="BU455" s="128">
        <v>5.5</v>
      </c>
      <c r="BV455" s="127">
        <v>65</v>
      </c>
      <c r="BW455" s="127" t="s">
        <v>217</v>
      </c>
      <c r="BX455" s="127" t="s">
        <v>195</v>
      </c>
      <c r="BY455" s="139">
        <v>24</v>
      </c>
      <c r="BZ455" s="139">
        <v>0</v>
      </c>
      <c r="CA455" s="138">
        <v>10</v>
      </c>
      <c r="CB455" s="138">
        <v>38</v>
      </c>
      <c r="CC455" s="138">
        <v>9</v>
      </c>
      <c r="CD455" s="135">
        <v>45017</v>
      </c>
      <c r="CE455" s="138">
        <v>116</v>
      </c>
      <c r="CF455" s="138">
        <v>70</v>
      </c>
      <c r="CG455" s="138" t="str">
        <f t="shared" si="352"/>
        <v>В работе</v>
      </c>
      <c r="CH455" s="138" t="s">
        <v>272</v>
      </c>
      <c r="CI455" s="127">
        <v>5</v>
      </c>
      <c r="CJ455" s="138"/>
      <c r="CK455" s="138">
        <f t="shared" si="356"/>
        <v>36</v>
      </c>
      <c r="CL455" s="99"/>
      <c r="CM455" s="99"/>
      <c r="CN455" s="140">
        <v>46</v>
      </c>
      <c r="CO455" s="141">
        <f t="shared" si="324"/>
        <v>10.707153599999998</v>
      </c>
      <c r="CP455" s="142">
        <v>13</v>
      </c>
      <c r="CQ455" s="143">
        <v>1.48</v>
      </c>
      <c r="CR455" s="138">
        <v>11</v>
      </c>
      <c r="CS455" s="139">
        <v>8.4</v>
      </c>
      <c r="CT455" s="138"/>
      <c r="CU455" s="138">
        <f t="shared" si="320"/>
        <v>2.5999999999999996</v>
      </c>
      <c r="CV455" s="115">
        <f t="shared" si="321"/>
        <v>242.82830872996908</v>
      </c>
      <c r="CW455" s="115">
        <f t="shared" si="325"/>
        <v>768.53030874936633</v>
      </c>
      <c r="CX455" s="133">
        <f t="shared" si="322"/>
        <v>0.18571428571428572</v>
      </c>
      <c r="CY455" s="116"/>
      <c r="CZ455" s="131"/>
      <c r="DA455" s="145" t="str">
        <f t="shared" si="326"/>
        <v>Газлифт</v>
      </c>
      <c r="DB455" s="146">
        <f t="shared" si="341"/>
        <v>10.707153599999998</v>
      </c>
      <c r="DC455" s="142">
        <f t="shared" si="342"/>
        <v>13</v>
      </c>
      <c r="DD455" s="119">
        <f t="shared" si="350"/>
        <v>1.48</v>
      </c>
      <c r="DE455" s="115">
        <f t="shared" si="343"/>
        <v>2.5999999999999996</v>
      </c>
      <c r="DF455" s="121">
        <f t="shared" si="328"/>
        <v>8.4</v>
      </c>
      <c r="DG455" s="115">
        <f t="shared" si="329"/>
        <v>242.82830872996908</v>
      </c>
      <c r="DH455" s="115">
        <f t="shared" si="330"/>
        <v>46</v>
      </c>
      <c r="DI455" s="147"/>
      <c r="DJ455" s="111">
        <v>43603</v>
      </c>
      <c r="DK455" s="112">
        <v>43633</v>
      </c>
      <c r="DL455" s="113">
        <f t="shared" ca="1" si="312"/>
        <v>1471</v>
      </c>
      <c r="DM455" s="114"/>
      <c r="DN455" s="114"/>
      <c r="DO455" s="114"/>
      <c r="DP455" s="114"/>
      <c r="DQ455" s="112">
        <v>43367</v>
      </c>
      <c r="DR455" s="114" t="s">
        <v>324</v>
      </c>
      <c r="DS455" s="114"/>
      <c r="DT455" s="115">
        <v>55</v>
      </c>
      <c r="DU455" s="116">
        <f t="shared" si="313"/>
        <v>0.21311475409836064</v>
      </c>
      <c r="DV455" s="117">
        <f t="shared" si="314"/>
        <v>10.707153599999998</v>
      </c>
      <c r="DW455" s="118">
        <f t="shared" si="315"/>
        <v>13</v>
      </c>
      <c r="DX455" s="119">
        <f t="shared" si="331"/>
        <v>1.48</v>
      </c>
      <c r="DY455" s="115">
        <f t="shared" si="316"/>
        <v>2.5999999999999996</v>
      </c>
      <c r="DZ455" s="117">
        <f t="shared" si="349"/>
        <v>0</v>
      </c>
      <c r="EA455" s="120">
        <f t="shared" si="349"/>
        <v>0</v>
      </c>
      <c r="EB455" s="119">
        <f t="shared" si="349"/>
        <v>0</v>
      </c>
      <c r="EC455" s="121">
        <f t="shared" si="318"/>
        <v>0</v>
      </c>
      <c r="ED455" s="122"/>
      <c r="EE455" s="145">
        <v>65</v>
      </c>
      <c r="EF455" s="115">
        <v>5</v>
      </c>
      <c r="EG455" s="115">
        <v>53</v>
      </c>
      <c r="EH455" s="115">
        <v>5</v>
      </c>
      <c r="EI455" s="128" t="s">
        <v>218</v>
      </c>
      <c r="EJ455" s="121">
        <v>24</v>
      </c>
      <c r="EK455" s="121">
        <v>24</v>
      </c>
      <c r="EL455" s="149">
        <v>0.88745203799999994</v>
      </c>
      <c r="EM455" s="142">
        <v>1.2150000000000001</v>
      </c>
      <c r="EN455" s="119">
        <v>12.63</v>
      </c>
      <c r="EO455" s="115">
        <v>2.4</v>
      </c>
      <c r="EP455" s="115">
        <v>338.04643761491911</v>
      </c>
      <c r="EQ455" s="115">
        <v>70</v>
      </c>
      <c r="ER455" s="115">
        <v>2.1</v>
      </c>
      <c r="ES455" s="115">
        <v>22</v>
      </c>
      <c r="ET455" s="150">
        <v>1.2925531914893618E-2</v>
      </c>
      <c r="EU455" s="145">
        <f t="shared" si="332"/>
        <v>65</v>
      </c>
      <c r="EV455" s="115">
        <f t="shared" si="333"/>
        <v>10</v>
      </c>
      <c r="EW455" s="115">
        <f t="shared" si="333"/>
        <v>38</v>
      </c>
      <c r="EX455" s="115">
        <f t="shared" si="333"/>
        <v>9</v>
      </c>
      <c r="EY455" s="115" t="str">
        <f t="shared" si="357"/>
        <v>Постоянный</v>
      </c>
      <c r="EZ455" s="115">
        <f t="shared" si="357"/>
        <v>24</v>
      </c>
      <c r="FA455" s="115">
        <f t="shared" si="357"/>
        <v>0</v>
      </c>
      <c r="FB455" s="149">
        <f t="shared" si="345"/>
        <v>10.707153599999998</v>
      </c>
      <c r="FC455" s="142">
        <f t="shared" si="345"/>
        <v>13</v>
      </c>
      <c r="FD455" s="119">
        <f t="shared" si="345"/>
        <v>1.48</v>
      </c>
      <c r="FE455" s="121">
        <f t="shared" si="344"/>
        <v>11</v>
      </c>
      <c r="FF455" s="121">
        <f t="shared" si="347"/>
        <v>242.82830872996908</v>
      </c>
      <c r="FG455" s="121">
        <f t="shared" si="334"/>
        <v>70</v>
      </c>
      <c r="FH455" s="121">
        <f t="shared" ref="FH455:FH518" si="358">CS455</f>
        <v>8.4</v>
      </c>
      <c r="FI455" s="121">
        <f t="shared" si="355"/>
        <v>46</v>
      </c>
      <c r="FJ455" s="144">
        <f t="shared" si="335"/>
        <v>0.18571428571428572</v>
      </c>
      <c r="FK455" s="132">
        <f t="shared" si="336"/>
        <v>0</v>
      </c>
      <c r="FL455" s="115">
        <f t="shared" si="336"/>
        <v>5</v>
      </c>
      <c r="FM455" s="115">
        <f t="shared" si="336"/>
        <v>-15</v>
      </c>
      <c r="FN455" s="115">
        <f t="shared" si="336"/>
        <v>4</v>
      </c>
      <c r="FO455" s="115">
        <f t="shared" si="354"/>
        <v>0</v>
      </c>
      <c r="FP455" s="115">
        <f t="shared" si="354"/>
        <v>-24</v>
      </c>
      <c r="FQ455" s="149">
        <f t="shared" si="354"/>
        <v>9.8197015619999988</v>
      </c>
      <c r="FR455" s="142">
        <f t="shared" si="354"/>
        <v>11.785</v>
      </c>
      <c r="FS455" s="119">
        <f t="shared" si="354"/>
        <v>-11.15</v>
      </c>
      <c r="FT455" s="121">
        <f t="shared" si="353"/>
        <v>8.6</v>
      </c>
      <c r="FU455" s="121">
        <f t="shared" si="337"/>
        <v>0</v>
      </c>
      <c r="FV455" s="121">
        <f t="shared" si="337"/>
        <v>6.3000000000000007</v>
      </c>
      <c r="FW455" s="121">
        <f t="shared" si="338"/>
        <v>-95.218128884950033</v>
      </c>
      <c r="FX455" s="121">
        <f t="shared" si="339"/>
        <v>24</v>
      </c>
      <c r="FY455" s="144">
        <f t="shared" si="339"/>
        <v>0.1727887537993921</v>
      </c>
      <c r="FZ455" s="145" t="s">
        <v>221</v>
      </c>
      <c r="GA455" s="151" t="s">
        <v>1703</v>
      </c>
      <c r="GB455" s="145"/>
      <c r="GC455" s="151" t="s">
        <v>1704</v>
      </c>
      <c r="GD455" s="997" t="s">
        <v>202</v>
      </c>
      <c r="GE455" s="1004"/>
      <c r="GF455" s="1004">
        <v>0</v>
      </c>
      <c r="GG455" s="1004"/>
      <c r="GH455" s="1004">
        <v>0</v>
      </c>
      <c r="GI455" s="145"/>
      <c r="GJ455" s="996">
        <v>0</v>
      </c>
      <c r="GK455" s="145"/>
      <c r="GL455" s="996">
        <v>0.64501203799999995</v>
      </c>
      <c r="GM455" s="1005" t="s">
        <v>240</v>
      </c>
      <c r="GN455" s="996">
        <v>-2.6542999999999997</v>
      </c>
      <c r="GO455" s="1006" t="s">
        <v>240</v>
      </c>
      <c r="GP455" s="996">
        <v>-2.7312119999999998</v>
      </c>
      <c r="GQ455" s="1006"/>
      <c r="GR455" s="996">
        <v>0</v>
      </c>
      <c r="GS455" s="1006"/>
      <c r="GT455" s="996">
        <v>0</v>
      </c>
      <c r="GU455" s="1006"/>
      <c r="GV455" s="996">
        <v>0</v>
      </c>
      <c r="GW455" s="1006" t="s">
        <v>204</v>
      </c>
      <c r="GX455" s="996">
        <v>-4.9470300000000007</v>
      </c>
      <c r="GY455" s="1006"/>
      <c r="GZ455" s="996">
        <v>1.0165760000000024</v>
      </c>
      <c r="HA455" s="1006" t="s">
        <v>199</v>
      </c>
      <c r="HB455" s="996">
        <v>-1.6415940000000013</v>
      </c>
      <c r="HC455" s="1006" t="s">
        <v>204</v>
      </c>
      <c r="HD455" s="996">
        <v>0</v>
      </c>
      <c r="HE455" s="1006" t="s">
        <v>204</v>
      </c>
      <c r="HF455" s="996">
        <v>0</v>
      </c>
      <c r="HG455" s="1006" t="s">
        <v>199</v>
      </c>
      <c r="HH455" s="996">
        <v>1.5913995679999999</v>
      </c>
      <c r="HI455" s="1006"/>
      <c r="HJ455" s="996">
        <v>0</v>
      </c>
      <c r="HK455" s="1006" t="s">
        <v>276</v>
      </c>
      <c r="HL455" s="996">
        <v>4.1196006719999989</v>
      </c>
      <c r="HM455" s="1006"/>
      <c r="HN455" s="996">
        <v>0</v>
      </c>
      <c r="HO455" s="1006"/>
      <c r="HP455" s="996">
        <v>0</v>
      </c>
      <c r="HQ455" s="1006" t="s">
        <v>199</v>
      </c>
      <c r="HR455" s="996">
        <v>2.6640477599999999</v>
      </c>
      <c r="HS455" s="1006" t="s">
        <v>199</v>
      </c>
      <c r="HT455" s="996">
        <v>2.1585520000000002</v>
      </c>
      <c r="HU455" s="1006" t="s">
        <v>199</v>
      </c>
      <c r="HV455" s="996">
        <v>-2.9152657599999996</v>
      </c>
      <c r="HW455" s="1006" t="s">
        <v>199</v>
      </c>
      <c r="HX455" s="996">
        <v>-1.9927564799999997</v>
      </c>
      <c r="HY455" s="1006"/>
      <c r="HZ455" s="996">
        <v>0.38402496000000053</v>
      </c>
      <c r="IA455" s="1006"/>
      <c r="IB455" s="996">
        <v>0.15171727999999884</v>
      </c>
      <c r="IC455" s="1006"/>
      <c r="ID455" s="996">
        <v>0</v>
      </c>
      <c r="IE455" s="1006" t="s">
        <v>199</v>
      </c>
      <c r="IF455" s="996">
        <v>2.508</v>
      </c>
      <c r="IG455" s="1006" t="s">
        <v>199</v>
      </c>
      <c r="IH455" s="996">
        <v>-2.508</v>
      </c>
      <c r="II455" s="1006"/>
      <c r="IJ455" s="996">
        <v>0</v>
      </c>
      <c r="IK455" s="1006"/>
      <c r="IL455" s="996">
        <v>0</v>
      </c>
      <c r="IM455" s="1006"/>
      <c r="IN455" s="996">
        <v>0</v>
      </c>
      <c r="IO455" s="1006"/>
      <c r="IP455" s="996">
        <v>0</v>
      </c>
      <c r="IQ455" s="1006" t="s">
        <v>199</v>
      </c>
      <c r="IR455" s="996">
        <v>-3.3440000000000003</v>
      </c>
      <c r="IS455" s="1006"/>
      <c r="IT455" s="996">
        <v>0</v>
      </c>
      <c r="IU455" s="1006"/>
      <c r="IV455" s="996">
        <v>0</v>
      </c>
      <c r="IW455" s="1006" t="s">
        <v>199</v>
      </c>
      <c r="IX455" s="996">
        <v>8.7780000000000005</v>
      </c>
      <c r="IY455" s="1006"/>
      <c r="IZ455" s="996">
        <v>0</v>
      </c>
      <c r="JA455" s="1006" t="s">
        <v>199</v>
      </c>
      <c r="JB455" s="996">
        <v>-4.4575519999999997</v>
      </c>
      <c r="JC455" s="1006" t="s">
        <v>199</v>
      </c>
      <c r="JD455" s="996">
        <v>-1.2310099999999995</v>
      </c>
      <c r="JE455" s="1006"/>
      <c r="JF455" s="996">
        <v>0</v>
      </c>
      <c r="JG455" s="1006"/>
      <c r="JH455" s="996">
        <v>-0.91583799999999993</v>
      </c>
      <c r="JI455" s="1006"/>
      <c r="JJ455" s="996">
        <v>0</v>
      </c>
      <c r="JK455" s="1007"/>
      <c r="JL455" s="1007">
        <v>0</v>
      </c>
      <c r="JM455" s="1007" t="s">
        <v>199</v>
      </c>
      <c r="JN455" s="1007">
        <v>-1.0700799999999999</v>
      </c>
      <c r="JO455" s="1008" t="s">
        <v>199</v>
      </c>
      <c r="JP455" s="1007">
        <v>2.7587999999999981</v>
      </c>
      <c r="JQ455" s="1008" t="s">
        <v>199</v>
      </c>
      <c r="JR455" s="1007">
        <v>-3.3827904000000002</v>
      </c>
      <c r="JS455" s="1008">
        <v>0</v>
      </c>
      <c r="JT455" s="1007">
        <v>0</v>
      </c>
      <c r="JU455" s="1008" t="s">
        <v>224</v>
      </c>
      <c r="JV455" s="1007">
        <v>-1.2068495999999982</v>
      </c>
      <c r="JW455" s="1008" t="s">
        <v>197</v>
      </c>
      <c r="JX455" s="1007">
        <v>0</v>
      </c>
      <c r="JY455" s="1008"/>
      <c r="JZ455" s="1007">
        <v>0</v>
      </c>
      <c r="KA455" s="1008" t="s">
        <v>240</v>
      </c>
      <c r="KB455" s="1007">
        <v>-1.1536800000000014</v>
      </c>
      <c r="KC455" s="1008"/>
      <c r="KD455" s="1007">
        <v>0</v>
      </c>
      <c r="KE455" s="1008"/>
      <c r="KF455" s="1007">
        <v>0</v>
      </c>
      <c r="KG455" s="1008" t="s">
        <v>204</v>
      </c>
      <c r="KH455" s="1007">
        <v>0.20900000000000141</v>
      </c>
      <c r="KI455" s="1008" t="s">
        <v>203</v>
      </c>
      <c r="KJ455" s="1007">
        <v>-2.2740520879999995</v>
      </c>
      <c r="KK455" s="1008" t="s">
        <v>203</v>
      </c>
      <c r="KL455" s="1007">
        <v>-22.484087912</v>
      </c>
      <c r="KM455" s="1008"/>
      <c r="KN455" s="1007">
        <v>0</v>
      </c>
      <c r="KO455" s="1008"/>
      <c r="KP455" s="1007"/>
      <c r="KQ455" s="1008">
        <v>0</v>
      </c>
      <c r="KR455" s="1007">
        <v>0</v>
      </c>
      <c r="KS455" s="1008">
        <v>0</v>
      </c>
      <c r="KT455" s="1007">
        <v>0</v>
      </c>
      <c r="KU455" s="1008">
        <v>0</v>
      </c>
      <c r="KV455" s="1007">
        <v>0</v>
      </c>
      <c r="KW455" s="1008">
        <v>0</v>
      </c>
      <c r="KX455" s="1007">
        <v>0</v>
      </c>
      <c r="KY455" s="1008">
        <v>0</v>
      </c>
      <c r="KZ455" s="1007">
        <v>0</v>
      </c>
      <c r="LA455" s="1008">
        <v>0</v>
      </c>
      <c r="LB455" s="1007">
        <v>0</v>
      </c>
      <c r="LC455" s="1008">
        <v>0</v>
      </c>
      <c r="LD455" s="1007">
        <v>0</v>
      </c>
      <c r="LE455" s="1008">
        <v>0</v>
      </c>
      <c r="LF455" s="1007">
        <v>0</v>
      </c>
      <c r="LG455" s="1008">
        <v>0</v>
      </c>
      <c r="LH455" s="1007">
        <v>0</v>
      </c>
      <c r="LI455" s="1008">
        <v>0</v>
      </c>
      <c r="LJ455" s="1007">
        <v>0</v>
      </c>
      <c r="LK455" s="1008">
        <v>0</v>
      </c>
      <c r="LL455" s="1007">
        <v>0</v>
      </c>
      <c r="LM455" s="1008">
        <v>0</v>
      </c>
      <c r="LN455" s="1007">
        <v>0</v>
      </c>
      <c r="LO455" s="1008">
        <v>0</v>
      </c>
      <c r="LP455" s="1007">
        <v>0</v>
      </c>
      <c r="LQ455" s="1008">
        <v>0</v>
      </c>
      <c r="LR455" s="1007">
        <v>0</v>
      </c>
      <c r="LS455" s="1008">
        <v>0</v>
      </c>
      <c r="LT455" s="1007">
        <v>0</v>
      </c>
      <c r="LU455" s="1008">
        <v>0</v>
      </c>
      <c r="LV455" s="1007">
        <v>0</v>
      </c>
      <c r="LW455" s="1008">
        <v>0</v>
      </c>
      <c r="LX455" s="1007">
        <v>0</v>
      </c>
      <c r="LY455" s="1009">
        <v>0</v>
      </c>
      <c r="LZ455" s="1010">
        <v>0</v>
      </c>
      <c r="MA455" s="1011">
        <v>0</v>
      </c>
      <c r="MB455" s="1012">
        <v>0</v>
      </c>
      <c r="MC455" s="995"/>
      <c r="MD455" s="996"/>
      <c r="ME455" s="997" t="s">
        <v>202</v>
      </c>
      <c r="MF455" s="997"/>
      <c r="MG455" s="998"/>
      <c r="NR455" s="1000"/>
      <c r="NS455" s="1000"/>
      <c r="NT455" s="1001"/>
      <c r="NU455" s="1000"/>
      <c r="NV455" s="1001"/>
      <c r="NX455" s="1002"/>
      <c r="NZ455" s="1001"/>
      <c r="OA455" s="1001"/>
      <c r="OC455" s="1003"/>
      <c r="OD455" s="1003"/>
      <c r="OE455" s="1001"/>
      <c r="OF455" s="1003"/>
      <c r="OG455" s="1003"/>
      <c r="QX455" s="1000">
        <f>CN455-CA455</f>
        <v>36</v>
      </c>
      <c r="ASU455" s="999" t="s">
        <v>208</v>
      </c>
    </row>
    <row r="456" spans="1:466 1191:1191" ht="21" customHeight="1" x14ac:dyDescent="0.25">
      <c r="A456" s="982">
        <f t="shared" si="323"/>
        <v>1535</v>
      </c>
      <c r="B456" s="124">
        <f>SUBTOTAL(103,$J$29:J456)</f>
        <v>428</v>
      </c>
      <c r="C456" s="126">
        <v>45068</v>
      </c>
      <c r="D456" s="124" t="s">
        <v>176</v>
      </c>
      <c r="E456" s="127" t="s">
        <v>177</v>
      </c>
      <c r="F456" s="128" t="s">
        <v>177</v>
      </c>
      <c r="G456" s="127" t="s">
        <v>178</v>
      </c>
      <c r="H456" s="127" t="s">
        <v>179</v>
      </c>
      <c r="I456" s="127" t="s">
        <v>1304</v>
      </c>
      <c r="J456" s="152">
        <v>1535</v>
      </c>
      <c r="K456" s="127" t="s">
        <v>1705</v>
      </c>
      <c r="L456" s="130">
        <v>42854</v>
      </c>
      <c r="M456" s="127" t="s">
        <v>230</v>
      </c>
      <c r="N456" s="127" t="s">
        <v>184</v>
      </c>
      <c r="O456" s="127" t="s">
        <v>185</v>
      </c>
      <c r="P456" s="127" t="s">
        <v>186</v>
      </c>
      <c r="Q456" s="85">
        <f t="shared" si="319"/>
        <v>-4</v>
      </c>
      <c r="R456" s="130">
        <v>42810</v>
      </c>
      <c r="S456" s="128" t="s">
        <v>747</v>
      </c>
      <c r="T456" s="131" t="s">
        <v>1294</v>
      </c>
      <c r="U456" s="132">
        <v>203</v>
      </c>
      <c r="V456" s="121">
        <v>218.2</v>
      </c>
      <c r="W456" s="116">
        <v>0.98</v>
      </c>
      <c r="X456" s="116">
        <v>1.66</v>
      </c>
      <c r="Y456" s="116">
        <f t="shared" si="346"/>
        <v>1.0012038078732479</v>
      </c>
      <c r="Z456" s="133">
        <v>1.454</v>
      </c>
      <c r="AA456" s="133">
        <v>0.83599999999999997</v>
      </c>
      <c r="AB456" s="133">
        <v>0.72</v>
      </c>
      <c r="AC456" s="121">
        <v>34.299999999999997</v>
      </c>
      <c r="AD456" s="134">
        <v>1.17</v>
      </c>
      <c r="AE456" s="124">
        <v>177.8</v>
      </c>
      <c r="AF456" s="128">
        <v>9.19</v>
      </c>
      <c r="AG456" s="128">
        <v>2115</v>
      </c>
      <c r="AH456" s="138">
        <v>2912.42</v>
      </c>
      <c r="AI456" s="138">
        <v>2912.42</v>
      </c>
      <c r="AJ456" s="135">
        <v>42854</v>
      </c>
      <c r="AK456" s="128" t="s">
        <v>1018</v>
      </c>
      <c r="AL456" s="131"/>
      <c r="AM456" s="124" t="s">
        <v>985</v>
      </c>
      <c r="AN456" s="136" t="s">
        <v>1706</v>
      </c>
      <c r="AO456" s="137">
        <v>8.3699999999999992</v>
      </c>
      <c r="AP456" s="128">
        <v>2158.4899999999998</v>
      </c>
      <c r="AQ456" s="128">
        <v>223.24</v>
      </c>
      <c r="AR456" s="128" t="s">
        <v>1707</v>
      </c>
      <c r="AS456" s="128">
        <v>114</v>
      </c>
      <c r="AT456" s="122">
        <v>7.37</v>
      </c>
      <c r="AU456" s="124" t="s">
        <v>189</v>
      </c>
      <c r="AV456" s="115">
        <f>VLOOKUP(J456,'[63]ТР нефть'!$J$28:$BP$638,39,0)</f>
        <v>570.00003574200002</v>
      </c>
      <c r="AW456" s="115" t="str">
        <f>VLOOKUP(J456,'[63]ТР нефть'!$J$28:$BP$638,40,0)</f>
        <v>ГП</v>
      </c>
      <c r="AX456" s="115">
        <f>VLOOKUP(J456,'[63]ТР нефть'!$J$28:$BP$638,41,0)</f>
        <v>964.99999980500002</v>
      </c>
      <c r="AY456" s="115" t="str">
        <f>VLOOKUP(J456,'[63]ТР нефть'!$J$28:$BP$638,42,0)</f>
        <v>ГП</v>
      </c>
      <c r="AZ456" s="115">
        <f>VLOOKUP(J456,'[63]ТР нефть'!$J$28:$BP$638,43,0)</f>
        <v>1270.000099219</v>
      </c>
      <c r="BA456" s="115" t="str">
        <f>VLOOKUP(J456,'[63]ТР нефть'!$J$28:$BP$638,44,0)</f>
        <v>ГК78 1/8</v>
      </c>
      <c r="BB456" s="115">
        <f>VLOOKUP(J456,'[63]ТР нефть'!$J$28:$BP$638,45,0)</f>
        <v>1515.0000656249999</v>
      </c>
      <c r="BC456" s="115" t="str">
        <f>VLOOKUP(J456,'[63]ТР нефть'!$J$28:$BP$638,46,0)</f>
        <v>ГК77 1/8</v>
      </c>
      <c r="BD456" s="115">
        <f>VLOOKUP(J456,'[63]ТР нефть'!$J$28:$BP$638,47,0)</f>
        <v>1720.0000921880001</v>
      </c>
      <c r="BE456" s="115" t="str">
        <f>VLOOKUP(J456,'[63]ТР нефть'!$J$28:$BP$638,48,0)</f>
        <v>ГК74 1/8</v>
      </c>
      <c r="BF456" s="115">
        <f>VLOOKUP(J456,'[63]ТР нефть'!$J$28:$BP$638,49,0)</f>
        <v>1900</v>
      </c>
      <c r="BG456" s="115" t="str">
        <f>VLOOKUP(J456,'[63]ТР нефть'!$J$28:$BP$638,50,0)</f>
        <v>ЦКсОК 5/16</v>
      </c>
      <c r="BH456" s="115">
        <f>VLOOKUP(J456,'[63]ТР нефть'!$J$28:$BP$638,51,0)</f>
        <v>1935</v>
      </c>
      <c r="BI456" s="115" t="str">
        <f>VLOOKUP(J456,'[63]ТР нефть'!$J$28:$BP$638,52,0)</f>
        <v>закрыт</v>
      </c>
      <c r="BJ456" s="115" t="str">
        <f>IF(IFERROR(VLOOKUP(J456,'[63]ТР нефть'!$J$28:$BP$638,53,0),"-")=0,"-",IFERROR(VLOOKUP(J456,'[63]ТР нефть'!$J$28:$BP$638,53,0),"-"))</f>
        <v>-</v>
      </c>
      <c r="BK456" s="138" t="str">
        <f>IF(IFERROR(VLOOKUP(J456,'[63]ТР нефть'!$J$28:$BP$638,54,0),"-")=0,"-",IFERROR(VLOOKUP(J456,'[63]ТР нефть'!$J$28:$BP$638,54,0),"-"))</f>
        <v>-</v>
      </c>
      <c r="BL456" s="138" t="str">
        <f>IF(IFERROR(VLOOKUP(J456,'[63]ТР нефть'!$J$28:$BP$638,55,0),"-")=0,"-",IFERROR(VLOOKUP(J456,'[63]ТР нефть'!$J$28:$BP$638,55,0),"-"))</f>
        <v>-</v>
      </c>
      <c r="BM456" s="138" t="str">
        <f>IF(IFERROR(VLOOKUP(J456,'[63]ТР нефть'!$J$28:$BP$638,56,0),"-")=0,"-",IFERROR(VLOOKUP(J456,'[63]ТР нефть'!$J$28:$BP$638,56,0),"-"))</f>
        <v>-</v>
      </c>
      <c r="BN456" s="138" t="str">
        <f>IF(IFERROR(VLOOKUP(J456,'[63]ТР нефть'!$J$28:$BP$638,57,0),"-")=0,"-",IFERROR(VLOOKUP(J456,'[63]ТР нефть'!$J$28:$BP$638,57,0),"-"))</f>
        <v>-</v>
      </c>
      <c r="BO456" s="115" t="str">
        <f>IF(IFERROR(VLOOKUP(J456,'[63]ТР нефть'!$J$28:$BP$638,58,0),"-")=0,"-",IFERROR(VLOOKUP(J456,'[63]ТР нефть'!$J$28:$BP$638,58,0),"-"))</f>
        <v>-</v>
      </c>
      <c r="BP456" s="115" t="str">
        <f>IF(IFERROR(VLOOKUP(J456,'[63]ТР нефть'!$J$28:$BP$638,59,0),"-")=0,"-",IFERROR(VLOOKUP(J456,'[63]ТР нефть'!$J$28:$BP$638,59,0),"-"))</f>
        <v>-</v>
      </c>
      <c r="BQ456" s="138">
        <v>1957</v>
      </c>
      <c r="BR456" s="128">
        <v>1737.68</v>
      </c>
      <c r="BS456" s="115">
        <f t="shared" si="351"/>
        <v>219.31999999999994</v>
      </c>
      <c r="BT456" s="128">
        <v>73</v>
      </c>
      <c r="BU456" s="128">
        <v>5.5</v>
      </c>
      <c r="BV456" s="127">
        <v>18</v>
      </c>
      <c r="BW456" s="127" t="s">
        <v>194</v>
      </c>
      <c r="BX456" s="127" t="s">
        <v>195</v>
      </c>
      <c r="BY456" s="139">
        <v>24</v>
      </c>
      <c r="BZ456" s="139">
        <v>0</v>
      </c>
      <c r="CA456" s="138">
        <v>12</v>
      </c>
      <c r="CB456" s="138">
        <v>25</v>
      </c>
      <c r="CC456" s="138">
        <v>10</v>
      </c>
      <c r="CD456" s="135">
        <v>45017</v>
      </c>
      <c r="CE456" s="138">
        <v>108</v>
      </c>
      <c r="CF456" s="138">
        <v>71</v>
      </c>
      <c r="CG456" s="138" t="str">
        <f t="shared" si="352"/>
        <v>В работе</v>
      </c>
      <c r="CH456" s="138" t="s">
        <v>272</v>
      </c>
      <c r="CI456" s="127">
        <v>5</v>
      </c>
      <c r="CJ456" s="138"/>
      <c r="CK456" s="138">
        <f t="shared" si="356"/>
        <v>25</v>
      </c>
      <c r="CL456" s="99"/>
      <c r="CM456" s="99"/>
      <c r="CN456" s="140">
        <v>37</v>
      </c>
      <c r="CO456" s="141">
        <f t="shared" si="324"/>
        <v>6.7782587400000001</v>
      </c>
      <c r="CP456" s="142">
        <v>8.5500000000000007</v>
      </c>
      <c r="CQ456" s="143">
        <v>5.17</v>
      </c>
      <c r="CR456" s="138">
        <v>13.7</v>
      </c>
      <c r="CS456" s="139">
        <v>9.6</v>
      </c>
      <c r="CT456" s="138"/>
      <c r="CU456" s="138">
        <f t="shared" si="320"/>
        <v>4.0999999999999996</v>
      </c>
      <c r="CV456" s="115">
        <f t="shared" si="321"/>
        <v>604.87510985749122</v>
      </c>
      <c r="CW456" s="115">
        <f t="shared" si="325"/>
        <v>1316.8479931374441</v>
      </c>
      <c r="CX456" s="133">
        <f t="shared" si="322"/>
        <v>0.12042253521126761</v>
      </c>
      <c r="CY456" s="116"/>
      <c r="CZ456" s="131"/>
      <c r="DA456" s="145" t="str">
        <f t="shared" si="326"/>
        <v>Газлифт</v>
      </c>
      <c r="DB456" s="146">
        <f t="shared" si="341"/>
        <v>6.7782587400000001</v>
      </c>
      <c r="DC456" s="142">
        <f t="shared" si="342"/>
        <v>8.5500000000000007</v>
      </c>
      <c r="DD456" s="119">
        <f t="shared" si="350"/>
        <v>5.17</v>
      </c>
      <c r="DE456" s="115">
        <f t="shared" si="343"/>
        <v>4.0999999999999996</v>
      </c>
      <c r="DF456" s="121">
        <f t="shared" si="328"/>
        <v>9.6</v>
      </c>
      <c r="DG456" s="115">
        <f t="shared" si="329"/>
        <v>604.87510985749122</v>
      </c>
      <c r="DH456" s="115">
        <f t="shared" si="330"/>
        <v>37</v>
      </c>
      <c r="DI456" s="147"/>
      <c r="DJ456" s="111">
        <v>43495</v>
      </c>
      <c r="DK456" s="112">
        <v>43258</v>
      </c>
      <c r="DL456" s="113">
        <f t="shared" ca="1" si="312"/>
        <v>1846</v>
      </c>
      <c r="DM456" s="114"/>
      <c r="DN456" s="114"/>
      <c r="DO456" s="114"/>
      <c r="DP456" s="114"/>
      <c r="DQ456" s="112">
        <v>42854</v>
      </c>
      <c r="DR456" s="114" t="s">
        <v>324</v>
      </c>
      <c r="DS456" s="114"/>
      <c r="DT456" s="115">
        <v>50</v>
      </c>
      <c r="DU456" s="116">
        <f t="shared" si="313"/>
        <v>0.14741379310344829</v>
      </c>
      <c r="DV456" s="117">
        <f t="shared" si="314"/>
        <v>6.7782587400000001</v>
      </c>
      <c r="DW456" s="118">
        <f t="shared" si="315"/>
        <v>8.5500000000000007</v>
      </c>
      <c r="DX456" s="119">
        <f t="shared" si="331"/>
        <v>5.17</v>
      </c>
      <c r="DY456" s="115">
        <f t="shared" si="316"/>
        <v>4.0999999999999996</v>
      </c>
      <c r="DZ456" s="117">
        <f t="shared" si="349"/>
        <v>0</v>
      </c>
      <c r="EA456" s="120">
        <f t="shared" si="349"/>
        <v>0</v>
      </c>
      <c r="EB456" s="119">
        <f t="shared" si="349"/>
        <v>0</v>
      </c>
      <c r="EC456" s="121">
        <f t="shared" si="318"/>
        <v>0</v>
      </c>
      <c r="ED456" s="122"/>
      <c r="EE456" s="145">
        <v>18</v>
      </c>
      <c r="EF456" s="115">
        <v>10</v>
      </c>
      <c r="EG456" s="115">
        <v>24</v>
      </c>
      <c r="EH456" s="115">
        <v>9</v>
      </c>
      <c r="EI456" s="128" t="s">
        <v>195</v>
      </c>
      <c r="EJ456" s="121">
        <v>24</v>
      </c>
      <c r="EK456" s="121">
        <v>0</v>
      </c>
      <c r="EL456" s="149">
        <v>6.7782587400000001</v>
      </c>
      <c r="EM456" s="142">
        <v>8.5500000000000007</v>
      </c>
      <c r="EN456" s="119">
        <v>5.17</v>
      </c>
      <c r="EO456" s="115">
        <v>13.7</v>
      </c>
      <c r="EP456" s="115">
        <v>604.87510985749122</v>
      </c>
      <c r="EQ456" s="115">
        <v>69</v>
      </c>
      <c r="ER456" s="115">
        <v>9.6</v>
      </c>
      <c r="ES456" s="115">
        <v>32</v>
      </c>
      <c r="ET456" s="150">
        <v>0.1125</v>
      </c>
      <c r="EU456" s="145">
        <f t="shared" si="332"/>
        <v>18</v>
      </c>
      <c r="EV456" s="115">
        <f t="shared" si="333"/>
        <v>12</v>
      </c>
      <c r="EW456" s="115">
        <f t="shared" si="333"/>
        <v>25</v>
      </c>
      <c r="EX456" s="115">
        <f t="shared" si="333"/>
        <v>10</v>
      </c>
      <c r="EY456" s="115" t="str">
        <f t="shared" si="357"/>
        <v>Постоянный</v>
      </c>
      <c r="EZ456" s="115">
        <f t="shared" si="357"/>
        <v>24</v>
      </c>
      <c r="FA456" s="115">
        <f t="shared" si="357"/>
        <v>0</v>
      </c>
      <c r="FB456" s="149">
        <f t="shared" si="345"/>
        <v>6.7782587400000001</v>
      </c>
      <c r="FC456" s="142">
        <f t="shared" si="345"/>
        <v>8.5500000000000007</v>
      </c>
      <c r="FD456" s="119">
        <f t="shared" si="345"/>
        <v>5.17</v>
      </c>
      <c r="FE456" s="121">
        <f t="shared" si="344"/>
        <v>13.7</v>
      </c>
      <c r="FF456" s="121">
        <f t="shared" si="347"/>
        <v>604.87510985749122</v>
      </c>
      <c r="FG456" s="121">
        <f t="shared" si="334"/>
        <v>71</v>
      </c>
      <c r="FH456" s="121">
        <f t="shared" si="358"/>
        <v>9.6</v>
      </c>
      <c r="FI456" s="121">
        <f t="shared" si="355"/>
        <v>37</v>
      </c>
      <c r="FJ456" s="144">
        <f t="shared" si="335"/>
        <v>0.12042253521126761</v>
      </c>
      <c r="FK456" s="132">
        <f t="shared" si="336"/>
        <v>0</v>
      </c>
      <c r="FL456" s="115">
        <f t="shared" si="336"/>
        <v>2</v>
      </c>
      <c r="FM456" s="115">
        <f t="shared" si="336"/>
        <v>1</v>
      </c>
      <c r="FN456" s="115">
        <f t="shared" si="336"/>
        <v>1</v>
      </c>
      <c r="FO456" s="115">
        <f t="shared" si="354"/>
        <v>0</v>
      </c>
      <c r="FP456" s="115">
        <f t="shared" si="354"/>
        <v>0</v>
      </c>
      <c r="FQ456" s="149">
        <f t="shared" si="354"/>
        <v>0</v>
      </c>
      <c r="FR456" s="142">
        <f t="shared" si="354"/>
        <v>0</v>
      </c>
      <c r="FS456" s="119">
        <f t="shared" si="354"/>
        <v>0</v>
      </c>
      <c r="FT456" s="121">
        <f t="shared" si="353"/>
        <v>0</v>
      </c>
      <c r="FU456" s="121">
        <f t="shared" si="337"/>
        <v>2</v>
      </c>
      <c r="FV456" s="121">
        <f t="shared" si="337"/>
        <v>0</v>
      </c>
      <c r="FW456" s="121">
        <f t="shared" si="338"/>
        <v>0</v>
      </c>
      <c r="FX456" s="121">
        <f t="shared" si="339"/>
        <v>5</v>
      </c>
      <c r="FY456" s="144">
        <f t="shared" si="339"/>
        <v>7.922535211267609E-3</v>
      </c>
      <c r="FZ456" s="145"/>
      <c r="GA456" s="151"/>
      <c r="GB456" s="145"/>
      <c r="GC456" s="151"/>
      <c r="GD456" s="997" t="s">
        <v>202</v>
      </c>
      <c r="GE456" s="1004"/>
      <c r="GF456" s="1004">
        <v>-0.74574125999999996</v>
      </c>
      <c r="GG456" s="1004"/>
      <c r="GH456" s="1004">
        <v>0</v>
      </c>
      <c r="GI456" s="145" t="s">
        <v>199</v>
      </c>
      <c r="GJ456" s="996">
        <v>-2.2571999999999983</v>
      </c>
      <c r="GK456" s="145"/>
      <c r="GL456" s="996">
        <v>-0.80087128000000085</v>
      </c>
      <c r="GM456" s="1005"/>
      <c r="GN456" s="996">
        <v>0</v>
      </c>
      <c r="GO456" s="1006" t="s">
        <v>241</v>
      </c>
      <c r="GP456" s="996">
        <v>5.1313512799999996</v>
      </c>
      <c r="GQ456" s="1006"/>
      <c r="GR456" s="996">
        <v>0</v>
      </c>
      <c r="GS456" s="1006"/>
      <c r="GT456" s="996">
        <v>0.61362399999999973</v>
      </c>
      <c r="GU456" s="1006" t="s">
        <v>204</v>
      </c>
      <c r="GV456" s="996">
        <v>-2.6869040000000002</v>
      </c>
      <c r="GW456" s="1006" t="s">
        <v>223</v>
      </c>
      <c r="GX456" s="996">
        <v>-0.75240000000000062</v>
      </c>
      <c r="GY456" s="1006" t="s">
        <v>204</v>
      </c>
      <c r="GZ456" s="996">
        <v>3.2766184000000012</v>
      </c>
      <c r="HA456" s="1006" t="s">
        <v>199</v>
      </c>
      <c r="HB456" s="996">
        <v>-2.9002184000000009</v>
      </c>
      <c r="HC456" s="1006"/>
      <c r="HD456" s="996">
        <v>0</v>
      </c>
      <c r="HE456" s="1006"/>
      <c r="HF456" s="996">
        <v>0</v>
      </c>
      <c r="HG456" s="1006" t="s">
        <v>199</v>
      </c>
      <c r="HH456" s="996">
        <v>0.52273407999999755</v>
      </c>
      <c r="HI456" s="1006" t="s">
        <v>241</v>
      </c>
      <c r="HJ456" s="996">
        <v>2.9173683000000015</v>
      </c>
      <c r="HK456" s="1006"/>
      <c r="HL456" s="996">
        <v>-8.6881299999999939E-2</v>
      </c>
      <c r="HM456" s="1006"/>
      <c r="HN456" s="996">
        <v>0</v>
      </c>
      <c r="HO456" s="1006"/>
      <c r="HP456" s="996">
        <v>0</v>
      </c>
      <c r="HQ456" s="1006"/>
      <c r="HR456" s="996">
        <v>0</v>
      </c>
      <c r="HS456" s="1006"/>
      <c r="HT456" s="996">
        <v>0</v>
      </c>
      <c r="HU456" s="1006"/>
      <c r="HV456" s="996">
        <v>0.61642459999999932</v>
      </c>
      <c r="HW456" s="1006"/>
      <c r="HX456" s="996">
        <v>0</v>
      </c>
      <c r="HY456" s="1006"/>
      <c r="HZ456" s="996">
        <v>0</v>
      </c>
      <c r="IA456" s="1006"/>
      <c r="IB456" s="996">
        <v>-0.94231829999999928</v>
      </c>
      <c r="IC456" s="1006"/>
      <c r="ID456" s="996">
        <v>-0.52536329999999953</v>
      </c>
      <c r="IE456" s="1006"/>
      <c r="IF456" s="996">
        <v>0</v>
      </c>
      <c r="IG456" s="1006"/>
      <c r="IH456" s="996">
        <v>0.91730099999999926</v>
      </c>
      <c r="II456" s="1006"/>
      <c r="IJ456" s="996">
        <v>-0.33356399999999997</v>
      </c>
      <c r="IK456" s="1006"/>
      <c r="IL456" s="996">
        <v>0</v>
      </c>
      <c r="IM456" s="1006"/>
      <c r="IN456" s="996">
        <v>0</v>
      </c>
      <c r="IO456" s="1006"/>
      <c r="IP456" s="996">
        <v>0</v>
      </c>
      <c r="IQ456" s="1006" t="s">
        <v>199</v>
      </c>
      <c r="IR456" s="996">
        <v>-1.6678199999999999</v>
      </c>
      <c r="IS456" s="1006"/>
      <c r="IT456" s="996">
        <v>0</v>
      </c>
      <c r="IU456" s="1006" t="s">
        <v>199</v>
      </c>
      <c r="IV456" s="996">
        <v>-1.6678200000000007</v>
      </c>
      <c r="IW456" s="1006"/>
      <c r="IX456" s="996">
        <v>0</v>
      </c>
      <c r="IY456" s="1006"/>
      <c r="IZ456" s="996">
        <v>0</v>
      </c>
      <c r="JA456" s="1006"/>
      <c r="JB456" s="996">
        <v>0</v>
      </c>
      <c r="JC456" s="1006"/>
      <c r="JD456" s="996">
        <v>-0.83390999999999948</v>
      </c>
      <c r="JE456" s="1006"/>
      <c r="JF456" s="996">
        <v>0</v>
      </c>
      <c r="JG456" s="1006"/>
      <c r="JH456" s="996">
        <v>0</v>
      </c>
      <c r="JI456" s="1006"/>
      <c r="JJ456" s="996">
        <v>0</v>
      </c>
      <c r="JK456" s="1007"/>
      <c r="JL456" s="1007">
        <v>0</v>
      </c>
      <c r="JM456" s="1007"/>
      <c r="JN456" s="1007">
        <v>0</v>
      </c>
      <c r="JO456" s="1008"/>
      <c r="JP456" s="1007">
        <v>0</v>
      </c>
      <c r="JQ456" s="1008" t="s">
        <v>199</v>
      </c>
      <c r="JR456" s="1007">
        <v>-2.2344641439999986</v>
      </c>
      <c r="JS456" s="1008">
        <v>0</v>
      </c>
      <c r="JT456" s="1007">
        <v>0.91985414400000032</v>
      </c>
      <c r="JU456" s="1008" t="s">
        <v>199</v>
      </c>
      <c r="JV456" s="1007">
        <v>-6.1446000000000005</v>
      </c>
      <c r="JW456" s="1008" t="s">
        <v>197</v>
      </c>
      <c r="JX456" s="1007">
        <v>0</v>
      </c>
      <c r="JY456" s="1008" t="s">
        <v>221</v>
      </c>
      <c r="JZ456" s="1007">
        <v>10.061039999999998</v>
      </c>
      <c r="KA456" s="1008"/>
      <c r="KB456" s="1007">
        <v>-5.7700719999999999</v>
      </c>
      <c r="KC456" s="1008"/>
      <c r="KD456" s="1007">
        <v>0</v>
      </c>
      <c r="KE456" s="1008"/>
      <c r="KF456" s="1007">
        <v>0</v>
      </c>
      <c r="KG456" s="1008"/>
      <c r="KH456" s="1007">
        <v>0</v>
      </c>
      <c r="KI456" s="1008"/>
      <c r="KJ456" s="1007">
        <v>0</v>
      </c>
      <c r="KK456" s="1008"/>
      <c r="KL456" s="1007">
        <v>0</v>
      </c>
      <c r="KM456" s="1008"/>
      <c r="KN456" s="1007">
        <v>0</v>
      </c>
      <c r="KO456" s="1008"/>
      <c r="KP456" s="1007">
        <v>0</v>
      </c>
      <c r="KQ456" s="1008">
        <v>0</v>
      </c>
      <c r="KR456" s="1007">
        <v>0</v>
      </c>
      <c r="KS456" s="1008">
        <v>0</v>
      </c>
      <c r="KT456" s="1007">
        <v>0</v>
      </c>
      <c r="KU456" s="1008">
        <v>0</v>
      </c>
      <c r="KV456" s="1007">
        <v>0</v>
      </c>
      <c r="KW456" s="1008">
        <v>0</v>
      </c>
      <c r="KX456" s="1007">
        <v>0</v>
      </c>
      <c r="KY456" s="1008">
        <v>0</v>
      </c>
      <c r="KZ456" s="1007">
        <v>0</v>
      </c>
      <c r="LA456" s="1008">
        <v>0</v>
      </c>
      <c r="LB456" s="1007">
        <v>0</v>
      </c>
      <c r="LC456" s="1008">
        <v>0</v>
      </c>
      <c r="LD456" s="1007">
        <v>0</v>
      </c>
      <c r="LE456" s="1008">
        <v>0</v>
      </c>
      <c r="LF456" s="1007">
        <v>0</v>
      </c>
      <c r="LG456" s="1008" t="s">
        <v>203</v>
      </c>
      <c r="LH456" s="1007">
        <v>-8.9848263999999958</v>
      </c>
      <c r="LI456" s="1008">
        <v>0</v>
      </c>
      <c r="LJ456" s="1007">
        <v>0</v>
      </c>
      <c r="LK456" s="1008" t="s">
        <v>203</v>
      </c>
      <c r="LL456" s="1007">
        <v>-3.79332</v>
      </c>
      <c r="LM456" s="1008" t="s">
        <v>203</v>
      </c>
      <c r="LN456" s="1007">
        <v>-14.7371</v>
      </c>
      <c r="LO456" s="1008" t="s">
        <v>349</v>
      </c>
      <c r="LP456" s="1007">
        <v>4.827852</v>
      </c>
      <c r="LQ456" s="1008" t="s">
        <v>203</v>
      </c>
      <c r="LR456" s="1007">
        <v>-8.9247999999999994</v>
      </c>
      <c r="LS456" s="1008" t="s">
        <v>203</v>
      </c>
      <c r="LT456" s="1007">
        <v>-14.797199999999997</v>
      </c>
      <c r="LU456" s="1008">
        <v>0</v>
      </c>
      <c r="LV456" s="1007">
        <v>0</v>
      </c>
      <c r="LW456" s="1008">
        <v>0</v>
      </c>
      <c r="LX456" s="1007">
        <v>0</v>
      </c>
      <c r="LY456" s="1009">
        <v>0</v>
      </c>
      <c r="LZ456" s="1010">
        <v>0</v>
      </c>
      <c r="MA456" s="1011">
        <v>0</v>
      </c>
      <c r="MB456" s="1012">
        <v>0</v>
      </c>
      <c r="MC456" s="995"/>
      <c r="MD456" s="996"/>
      <c r="ME456" s="997" t="s">
        <v>202</v>
      </c>
      <c r="MF456" s="997"/>
      <c r="MG456" s="998"/>
      <c r="NR456" s="1000"/>
      <c r="NS456" s="1000"/>
      <c r="NT456" s="1001"/>
      <c r="NU456" s="1000"/>
      <c r="NV456" s="1001"/>
      <c r="NX456" s="1002"/>
      <c r="NZ456" s="1001"/>
      <c r="OA456" s="1001"/>
      <c r="OC456" s="1003"/>
      <c r="OD456" s="1003"/>
      <c r="OE456" s="1001"/>
      <c r="OF456" s="1003"/>
      <c r="OG456" s="1003"/>
      <c r="QX456" s="1000">
        <f>CN456-CA456</f>
        <v>25</v>
      </c>
      <c r="ASU456" s="999" t="s">
        <v>208</v>
      </c>
    </row>
    <row r="457" spans="1:466 1191:1191" ht="21" customHeight="1" x14ac:dyDescent="0.25">
      <c r="A457" s="982">
        <f t="shared" si="323"/>
        <v>1536</v>
      </c>
      <c r="B457" s="124">
        <f>SUBTOTAL(103,$J$29:J457)</f>
        <v>429</v>
      </c>
      <c r="C457" s="126">
        <v>45068</v>
      </c>
      <c r="D457" s="124" t="s">
        <v>176</v>
      </c>
      <c r="E457" s="127" t="s">
        <v>177</v>
      </c>
      <c r="F457" s="128" t="s">
        <v>177</v>
      </c>
      <c r="G457" s="127" t="s">
        <v>178</v>
      </c>
      <c r="H457" s="127" t="s">
        <v>179</v>
      </c>
      <c r="I457" s="127" t="s">
        <v>1365</v>
      </c>
      <c r="J457" s="152">
        <v>1536</v>
      </c>
      <c r="K457" s="127" t="s">
        <v>1365</v>
      </c>
      <c r="L457" s="130">
        <v>43595</v>
      </c>
      <c r="M457" s="127" t="s">
        <v>230</v>
      </c>
      <c r="N457" s="127" t="s">
        <v>184</v>
      </c>
      <c r="O457" s="127" t="s">
        <v>185</v>
      </c>
      <c r="P457" s="127" t="s">
        <v>186</v>
      </c>
      <c r="Q457" s="85" t="str">
        <f t="shared" si="319"/>
        <v/>
      </c>
      <c r="R457" s="130"/>
      <c r="S457" s="128"/>
      <c r="T457" s="131"/>
      <c r="U457" s="132">
        <v>203</v>
      </c>
      <c r="V457" s="121">
        <v>218.2</v>
      </c>
      <c r="W457" s="116">
        <v>0.98</v>
      </c>
      <c r="X457" s="116">
        <v>1.66</v>
      </c>
      <c r="Y457" s="116">
        <f t="shared" si="346"/>
        <v>0.98</v>
      </c>
      <c r="Z457" s="133">
        <v>1.454</v>
      </c>
      <c r="AA457" s="133">
        <v>0.83599999999999997</v>
      </c>
      <c r="AB457" s="133">
        <v>0.72</v>
      </c>
      <c r="AC457" s="121">
        <v>34.299999999999997</v>
      </c>
      <c r="AD457" s="134">
        <v>1.17</v>
      </c>
      <c r="AE457" s="124">
        <v>177.8</v>
      </c>
      <c r="AF457" s="128">
        <v>9.19</v>
      </c>
      <c r="AG457" s="128">
        <v>2624.5</v>
      </c>
      <c r="AH457" s="127">
        <v>3413</v>
      </c>
      <c r="AI457" s="127">
        <v>3413</v>
      </c>
      <c r="AJ457" s="135"/>
      <c r="AK457" s="128"/>
      <c r="AL457" s="131"/>
      <c r="AM457" s="124" t="s">
        <v>985</v>
      </c>
      <c r="AN457" s="136" t="s">
        <v>1708</v>
      </c>
      <c r="AO457" s="137">
        <v>31.440000000000055</v>
      </c>
      <c r="AP457" s="128">
        <v>2665.5</v>
      </c>
      <c r="AQ457" s="128">
        <v>812</v>
      </c>
      <c r="AR457" s="128" t="s">
        <v>1709</v>
      </c>
      <c r="AS457" s="128">
        <v>114</v>
      </c>
      <c r="AT457" s="122">
        <v>7.37</v>
      </c>
      <c r="AU457" s="124" t="s">
        <v>189</v>
      </c>
      <c r="AV457" s="115">
        <f>VLOOKUP(J457,'[63]ТР нефть'!$J$28:$BP$638,39,0)</f>
        <v>549.99999140600005</v>
      </c>
      <c r="AW457" s="115" t="str">
        <f>VLOOKUP(J457,'[63]ТР нефть'!$J$28:$BP$638,40,0)</f>
        <v>ГП</v>
      </c>
      <c r="AX457" s="115">
        <f>VLOOKUP(J457,'[63]ТР нефть'!$J$28:$BP$638,41,0)</f>
        <v>1139.9999970700001</v>
      </c>
      <c r="AY457" s="115" t="str">
        <f>VLOOKUP(J457,'[63]ТР нефть'!$J$28:$BP$638,42,0)</f>
        <v>ГК 75 1/8</v>
      </c>
      <c r="AZ457" s="115">
        <f>VLOOKUP(J457,'[63]ТР нефть'!$J$28:$BP$638,43,0)</f>
        <v>1599.9999749999999</v>
      </c>
      <c r="BA457" s="115" t="str">
        <f>VLOOKUP(J457,'[63]ТР нефть'!$J$28:$BP$638,44,0)</f>
        <v>ГК74 1/8</v>
      </c>
      <c r="BB457" s="115">
        <f>VLOOKUP(J457,'[63]ТР нефть'!$J$28:$BP$638,45,0)</f>
        <v>1974.9999691410001</v>
      </c>
      <c r="BC457" s="115" t="str">
        <f>VLOOKUP(J457,'[63]ТР нефть'!$J$28:$BP$638,46,0)</f>
        <v>ГК73 1/8</v>
      </c>
      <c r="BD457" s="115">
        <f>VLOOKUP(J457,'[63]ТР нефть'!$J$28:$BP$638,47,0)</f>
        <v>2199.9999656250002</v>
      </c>
      <c r="BE457" s="115" t="str">
        <f>VLOOKUP(J457,'[63]ТР нефть'!$J$28:$BP$638,48,0)</f>
        <v>ЦКсОК 5/16</v>
      </c>
      <c r="BF457" s="115" t="str">
        <f>VLOOKUP(J457,'[63]ТР нефть'!$J$28:$BP$638,49,0)</f>
        <v>-</v>
      </c>
      <c r="BG457" s="115" t="str">
        <f>VLOOKUP(J457,'[63]ТР нефть'!$J$28:$BP$638,50,0)</f>
        <v>-</v>
      </c>
      <c r="BH457" s="115" t="str">
        <f>VLOOKUP(J457,'[63]ТР нефть'!$J$28:$BP$638,51,0)</f>
        <v>-</v>
      </c>
      <c r="BI457" s="115" t="str">
        <f>VLOOKUP(J457,'[63]ТР нефть'!$J$28:$BP$638,52,0)</f>
        <v>-</v>
      </c>
      <c r="BJ457" s="115" t="str">
        <f>IF(IFERROR(VLOOKUP(J457,'[63]ТР нефть'!$J$28:$BP$638,53,0),"-")=0,"-",IFERROR(VLOOKUP(J457,'[63]ТР нефть'!$J$28:$BP$638,53,0),"-"))</f>
        <v>-</v>
      </c>
      <c r="BK457" s="138" t="str">
        <f>IF(IFERROR(VLOOKUP(J457,'[63]ТР нефть'!$J$28:$BP$638,54,0),"-")=0,"-",IFERROR(VLOOKUP(J457,'[63]ТР нефть'!$J$28:$BP$638,54,0),"-"))</f>
        <v>-</v>
      </c>
      <c r="BL457" s="138" t="str">
        <f>IF(IFERROR(VLOOKUP(J457,'[63]ТР нефть'!$J$28:$BP$638,55,0),"-")=0,"-",IFERROR(VLOOKUP(J457,'[63]ТР нефть'!$J$28:$BP$638,55,0),"-"))</f>
        <v>-</v>
      </c>
      <c r="BM457" s="138" t="str">
        <f>IF(IFERROR(VLOOKUP(J457,'[63]ТР нефть'!$J$28:$BP$638,56,0),"-")=0,"-",IFERROR(VLOOKUP(J457,'[63]ТР нефть'!$J$28:$BP$638,56,0),"-"))</f>
        <v>-</v>
      </c>
      <c r="BN457" s="138" t="str">
        <f>IF(IFERROR(VLOOKUP(J457,'[63]ТР нефть'!$J$28:$BP$638,57,0),"-")=0,"-",IFERROR(VLOOKUP(J457,'[63]ТР нефть'!$J$28:$BP$638,57,0),"-"))</f>
        <v>-</v>
      </c>
      <c r="BO457" s="115" t="str">
        <f>IF(IFERROR(VLOOKUP(J457,'[63]ТР нефть'!$J$28:$BP$638,58,0),"-")=0,"-",IFERROR(VLOOKUP(J457,'[63]ТР нефть'!$J$28:$BP$638,58,0),"-"))</f>
        <v>-</v>
      </c>
      <c r="BP457" s="115" t="str">
        <f>IF(IFERROR(VLOOKUP(J457,'[63]ТР нефть'!$J$28:$BP$638,59,0),"-")=0,"-",IFERROR(VLOOKUP(J457,'[63]ТР нефть'!$J$28:$BP$638,59,0),"-"))</f>
        <v>-</v>
      </c>
      <c r="BQ457" s="138">
        <v>2834</v>
      </c>
      <c r="BR457" s="128">
        <v>1861</v>
      </c>
      <c r="BS457" s="115">
        <f t="shared" si="351"/>
        <v>973</v>
      </c>
      <c r="BT457" s="128">
        <v>73</v>
      </c>
      <c r="BU457" s="128">
        <v>5.5</v>
      </c>
      <c r="BV457" s="127">
        <v>65</v>
      </c>
      <c r="BW457" s="127" t="s">
        <v>217</v>
      </c>
      <c r="BX457" s="127" t="s">
        <v>195</v>
      </c>
      <c r="BY457" s="139">
        <v>24</v>
      </c>
      <c r="BZ457" s="139">
        <v>0</v>
      </c>
      <c r="CA457" s="80">
        <v>27</v>
      </c>
      <c r="CB457" s="138">
        <v>43</v>
      </c>
      <c r="CC457" s="138">
        <v>26</v>
      </c>
      <c r="CD457" s="135">
        <v>45017</v>
      </c>
      <c r="CE457" s="138">
        <v>98</v>
      </c>
      <c r="CF457" s="138">
        <v>70</v>
      </c>
      <c r="CG457" s="138" t="str">
        <f t="shared" si="352"/>
        <v>В работе</v>
      </c>
      <c r="CH457" s="138" t="s">
        <v>272</v>
      </c>
      <c r="CI457" s="127"/>
      <c r="CJ457" s="138"/>
      <c r="CK457" s="138">
        <f t="shared" si="356"/>
        <v>28</v>
      </c>
      <c r="CL457" s="99"/>
      <c r="CM457" s="99"/>
      <c r="CN457" s="140">
        <v>55</v>
      </c>
      <c r="CO457" s="141">
        <f t="shared" si="324"/>
        <v>13.2088</v>
      </c>
      <c r="CP457" s="142">
        <v>15.8</v>
      </c>
      <c r="CQ457" s="143">
        <v>0</v>
      </c>
      <c r="CR457" s="138">
        <v>16</v>
      </c>
      <c r="CS457" s="139">
        <v>8.4</v>
      </c>
      <c r="CT457" s="138"/>
      <c r="CU457" s="138">
        <f t="shared" si="320"/>
        <v>7.6</v>
      </c>
      <c r="CV457" s="115">
        <f t="shared" si="321"/>
        <v>575.37399309551211</v>
      </c>
      <c r="CW457" s="115">
        <f t="shared" si="325"/>
        <v>635.9396765792502</v>
      </c>
      <c r="CX457" s="133">
        <f t="shared" si="322"/>
        <v>0.36744186046511629</v>
      </c>
      <c r="CY457" s="116"/>
      <c r="CZ457" s="131"/>
      <c r="DA457" s="145" t="str">
        <f t="shared" si="326"/>
        <v>Газлифт</v>
      </c>
      <c r="DB457" s="146">
        <f t="shared" si="341"/>
        <v>13.2088</v>
      </c>
      <c r="DC457" s="142">
        <f t="shared" si="342"/>
        <v>15.8</v>
      </c>
      <c r="DD457" s="119">
        <f t="shared" si="350"/>
        <v>0</v>
      </c>
      <c r="DE457" s="115">
        <f t="shared" si="343"/>
        <v>7.6</v>
      </c>
      <c r="DF457" s="121">
        <f t="shared" si="328"/>
        <v>8.4</v>
      </c>
      <c r="DG457" s="115">
        <f t="shared" si="329"/>
        <v>575.37399309551211</v>
      </c>
      <c r="DH457" s="115">
        <f t="shared" si="330"/>
        <v>55</v>
      </c>
      <c r="DI457" s="147"/>
      <c r="DJ457" s="111" t="s">
        <v>197</v>
      </c>
      <c r="DK457" s="112">
        <v>43595</v>
      </c>
      <c r="DL457" s="113">
        <f t="shared" ca="1" si="312"/>
        <v>1509</v>
      </c>
      <c r="DM457" s="114"/>
      <c r="DN457" s="114"/>
      <c r="DO457" s="114"/>
      <c r="DP457" s="114"/>
      <c r="DQ457" s="112">
        <v>43595</v>
      </c>
      <c r="DR457" s="114" t="s">
        <v>324</v>
      </c>
      <c r="DS457" s="114"/>
      <c r="DT457" s="115">
        <v>40</v>
      </c>
      <c r="DU457" s="116">
        <f t="shared" si="313"/>
        <v>0.33639043563707832</v>
      </c>
      <c r="DV457" s="117">
        <f t="shared" si="314"/>
        <v>16.310899443170655</v>
      </c>
      <c r="DW457" s="118">
        <f t="shared" si="315"/>
        <v>19.510645266950544</v>
      </c>
      <c r="DX457" s="119">
        <f t="shared" si="331"/>
        <v>0</v>
      </c>
      <c r="DY457" s="115">
        <f t="shared" si="316"/>
        <v>9.3848673435964649</v>
      </c>
      <c r="DZ457" s="117">
        <f t="shared" si="349"/>
        <v>3.1020994431706548</v>
      </c>
      <c r="EA457" s="120">
        <f t="shared" si="349"/>
        <v>3.710645266950543</v>
      </c>
      <c r="EB457" s="119">
        <f t="shared" si="349"/>
        <v>0</v>
      </c>
      <c r="EC457" s="121">
        <f t="shared" si="318"/>
        <v>1.7848673435964653</v>
      </c>
      <c r="ED457" s="122" t="s">
        <v>1690</v>
      </c>
      <c r="EE457" s="145">
        <v>65</v>
      </c>
      <c r="EF457" s="148">
        <v>29</v>
      </c>
      <c r="EG457" s="115">
        <v>43</v>
      </c>
      <c r="EH457" s="115">
        <v>28</v>
      </c>
      <c r="EI457" s="128" t="s">
        <v>195</v>
      </c>
      <c r="EJ457" s="121">
        <v>24</v>
      </c>
      <c r="EK457" s="121">
        <v>0</v>
      </c>
      <c r="EL457" s="149">
        <v>15.048</v>
      </c>
      <c r="EM457" s="142">
        <v>18</v>
      </c>
      <c r="EN457" s="119">
        <v>0</v>
      </c>
      <c r="EO457" s="115">
        <v>20</v>
      </c>
      <c r="EP457" s="115">
        <v>691.12174375332268</v>
      </c>
      <c r="EQ457" s="115">
        <v>70</v>
      </c>
      <c r="ER457" s="115">
        <v>9.6</v>
      </c>
      <c r="ES457" s="115">
        <v>55</v>
      </c>
      <c r="ET457" s="150">
        <v>0.41860465116279072</v>
      </c>
      <c r="EU457" s="145">
        <f t="shared" si="332"/>
        <v>65</v>
      </c>
      <c r="EV457" s="115">
        <f t="shared" si="333"/>
        <v>27</v>
      </c>
      <c r="EW457" s="115">
        <f t="shared" si="333"/>
        <v>43</v>
      </c>
      <c r="EX457" s="115">
        <f t="shared" si="333"/>
        <v>26</v>
      </c>
      <c r="EY457" s="115" t="str">
        <f t="shared" si="357"/>
        <v>Постоянный</v>
      </c>
      <c r="EZ457" s="115">
        <f t="shared" si="357"/>
        <v>24</v>
      </c>
      <c r="FA457" s="115">
        <f t="shared" si="357"/>
        <v>0</v>
      </c>
      <c r="FB457" s="149">
        <f t="shared" si="345"/>
        <v>13.2088</v>
      </c>
      <c r="FC457" s="142">
        <f t="shared" si="345"/>
        <v>15.8</v>
      </c>
      <c r="FD457" s="119">
        <f t="shared" si="345"/>
        <v>0</v>
      </c>
      <c r="FE457" s="121">
        <f t="shared" si="344"/>
        <v>16</v>
      </c>
      <c r="FF457" s="121">
        <f t="shared" si="347"/>
        <v>575.37399309551211</v>
      </c>
      <c r="FG457" s="121">
        <f t="shared" si="334"/>
        <v>70</v>
      </c>
      <c r="FH457" s="121">
        <f t="shared" si="358"/>
        <v>8.4</v>
      </c>
      <c r="FI457" s="121">
        <f t="shared" si="355"/>
        <v>55</v>
      </c>
      <c r="FJ457" s="144">
        <f t="shared" si="335"/>
        <v>0.36744186046511629</v>
      </c>
      <c r="FK457" s="132">
        <f t="shared" si="336"/>
        <v>0</v>
      </c>
      <c r="FL457" s="115">
        <f t="shared" si="336"/>
        <v>-2</v>
      </c>
      <c r="FM457" s="115">
        <f t="shared" si="336"/>
        <v>0</v>
      </c>
      <c r="FN457" s="115">
        <f t="shared" si="336"/>
        <v>-2</v>
      </c>
      <c r="FO457" s="115">
        <f t="shared" si="354"/>
        <v>0</v>
      </c>
      <c r="FP457" s="115">
        <f t="shared" si="354"/>
        <v>0</v>
      </c>
      <c r="FQ457" s="149">
        <f t="shared" si="354"/>
        <v>-1.8391999999999999</v>
      </c>
      <c r="FR457" s="142">
        <f t="shared" si="354"/>
        <v>-2.1999999999999993</v>
      </c>
      <c r="FS457" s="119">
        <f t="shared" si="354"/>
        <v>0</v>
      </c>
      <c r="FT457" s="121">
        <f t="shared" si="353"/>
        <v>-4</v>
      </c>
      <c r="FU457" s="121">
        <f t="shared" si="337"/>
        <v>0</v>
      </c>
      <c r="FV457" s="121">
        <f t="shared" si="337"/>
        <v>-1.1999999999999993</v>
      </c>
      <c r="FW457" s="121">
        <f t="shared" si="338"/>
        <v>-115.74775065781057</v>
      </c>
      <c r="FX457" s="121">
        <f t="shared" si="339"/>
        <v>0</v>
      </c>
      <c r="FY457" s="144">
        <f t="shared" si="339"/>
        <v>-5.1162790697674432E-2</v>
      </c>
      <c r="FZ457" s="145" t="s">
        <v>223</v>
      </c>
      <c r="GA457" s="151" t="s">
        <v>1698</v>
      </c>
      <c r="GB457" s="145"/>
      <c r="GC457" s="125"/>
      <c r="GD457" s="997" t="s">
        <v>202</v>
      </c>
      <c r="GE457" s="1004"/>
      <c r="GF457" s="1004">
        <v>0.8360000000000003</v>
      </c>
      <c r="GG457" s="1004"/>
      <c r="GH457" s="1004">
        <v>0</v>
      </c>
      <c r="GI457" s="145"/>
      <c r="GJ457" s="996">
        <v>0</v>
      </c>
      <c r="GK457" s="145" t="s">
        <v>221</v>
      </c>
      <c r="GL457" s="996">
        <v>-6.8635599999999997</v>
      </c>
      <c r="GM457" s="1005" t="s">
        <v>221</v>
      </c>
      <c r="GN457" s="996">
        <v>8.0673999999999992</v>
      </c>
      <c r="GO457" s="1006"/>
      <c r="GP457" s="996">
        <v>0</v>
      </c>
      <c r="GQ457" s="1006"/>
      <c r="GR457" s="996">
        <v>-0.55175999999999803</v>
      </c>
      <c r="GS457" s="1006"/>
      <c r="GT457" s="996">
        <v>-0.13376000000000055</v>
      </c>
      <c r="GU457" s="1006"/>
      <c r="GV457" s="996">
        <v>-0.10031999999999996</v>
      </c>
      <c r="GW457" s="1006"/>
      <c r="GX457" s="996">
        <v>0.41799999999999926</v>
      </c>
      <c r="GY457" s="1006"/>
      <c r="GZ457" s="996">
        <v>-1.4713600000000007</v>
      </c>
      <c r="HA457" s="1006"/>
      <c r="HB457" s="996">
        <v>-0.20063999999999993</v>
      </c>
      <c r="HC457" s="1006"/>
      <c r="HD457" s="996">
        <v>0.8360000000000003</v>
      </c>
      <c r="HE457" s="1006" t="s">
        <v>199</v>
      </c>
      <c r="HF457" s="996">
        <v>-1.2790800000000004</v>
      </c>
      <c r="HG457" s="1006" t="s">
        <v>199</v>
      </c>
      <c r="HH457" s="996">
        <v>-2.0649200000000008</v>
      </c>
      <c r="HI457" s="1006"/>
      <c r="HJ457" s="996">
        <v>-0.50159999999999982</v>
      </c>
      <c r="HK457" s="1006" t="s">
        <v>199</v>
      </c>
      <c r="HL457" s="996">
        <v>1.5047999999999995</v>
      </c>
      <c r="HM457" s="1006" t="s">
        <v>199</v>
      </c>
      <c r="HN457" s="996">
        <v>-1.3375999999999983</v>
      </c>
      <c r="HO457" s="1006"/>
      <c r="HP457" s="996">
        <v>0.60191999999999979</v>
      </c>
      <c r="HQ457" s="1006"/>
      <c r="HR457" s="996">
        <v>0</v>
      </c>
      <c r="HS457" s="1006"/>
      <c r="HT457" s="996">
        <v>-0.6771599999999971</v>
      </c>
      <c r="HU457" s="1006"/>
      <c r="HV457" s="996">
        <v>-0.94468000000000174</v>
      </c>
      <c r="HW457" s="1006"/>
      <c r="HX457" s="996">
        <v>0</v>
      </c>
      <c r="HY457" s="1006"/>
      <c r="HZ457" s="996">
        <v>0</v>
      </c>
      <c r="IA457" s="1006" t="s">
        <v>204</v>
      </c>
      <c r="IB457" s="996">
        <v>-3.0848399999999998</v>
      </c>
      <c r="IC457" s="1006"/>
      <c r="ID457" s="996">
        <v>-0.11703999999999937</v>
      </c>
      <c r="IE457" s="1006"/>
      <c r="IF457" s="996">
        <v>0.54339999999999833</v>
      </c>
      <c r="IG457" s="1006"/>
      <c r="IH457" s="996">
        <v>0</v>
      </c>
      <c r="II457" s="1006"/>
      <c r="IJ457" s="996">
        <v>0.83599999999999852</v>
      </c>
      <c r="IK457" s="1006" t="s">
        <v>223</v>
      </c>
      <c r="IL457" s="996">
        <v>-6.0191999999999979</v>
      </c>
      <c r="IM457" s="1006"/>
      <c r="IN457" s="996">
        <v>0</v>
      </c>
      <c r="IO457" s="1006"/>
      <c r="IP457" s="996">
        <v>0</v>
      </c>
      <c r="IQ457" s="1006" t="s">
        <v>223</v>
      </c>
      <c r="IR457" s="996">
        <v>-2.9259999999999984</v>
      </c>
      <c r="IS457" s="1006"/>
      <c r="IT457" s="996">
        <v>0</v>
      </c>
      <c r="IU457" s="1006"/>
      <c r="IV457" s="996">
        <v>0</v>
      </c>
      <c r="IW457" s="1006"/>
      <c r="IX457" s="996">
        <v>0</v>
      </c>
      <c r="IY457" s="1006"/>
      <c r="IZ457" s="996">
        <v>0</v>
      </c>
      <c r="JA457" s="1006"/>
      <c r="JB457" s="996">
        <v>0</v>
      </c>
      <c r="JC457" s="1006"/>
      <c r="JD457" s="996">
        <v>0</v>
      </c>
      <c r="JE457" s="1006"/>
      <c r="JF457" s="996">
        <v>0</v>
      </c>
      <c r="JG457" s="1006"/>
      <c r="JH457" s="996">
        <v>0</v>
      </c>
      <c r="JI457" s="1006" t="s">
        <v>199</v>
      </c>
      <c r="JJ457" s="996">
        <v>3.5111999999999988</v>
      </c>
      <c r="JK457" s="1007"/>
      <c r="JL457" s="1007">
        <v>0</v>
      </c>
      <c r="JM457" s="1007"/>
      <c r="JN457" s="1007">
        <v>0</v>
      </c>
      <c r="JO457" s="1008"/>
      <c r="JP457" s="1007">
        <v>0</v>
      </c>
      <c r="JQ457" s="1008" t="s">
        <v>203</v>
      </c>
      <c r="JR457" s="1007">
        <v>-2.0064000000000028</v>
      </c>
      <c r="JS457" s="1008">
        <v>0</v>
      </c>
      <c r="JT457" s="1007">
        <v>0</v>
      </c>
      <c r="JU457" s="1008"/>
      <c r="JV457" s="1007">
        <v>0</v>
      </c>
      <c r="JW457" s="1008" t="s">
        <v>25</v>
      </c>
      <c r="JX457" s="1007">
        <v>28</v>
      </c>
      <c r="JY457" s="1008"/>
      <c r="JZ457" s="1007"/>
      <c r="KA457" s="1008"/>
      <c r="KB457" s="1007"/>
      <c r="KC457" s="1008"/>
      <c r="KD457" s="1007"/>
      <c r="KE457" s="1008"/>
      <c r="KF457" s="1007"/>
      <c r="KG457" s="1008"/>
      <c r="KH457" s="1007"/>
      <c r="KI457" s="1008"/>
      <c r="KJ457" s="1007"/>
      <c r="KK457" s="1008"/>
      <c r="KL457" s="1007"/>
      <c r="KM457" s="1008"/>
      <c r="KN457" s="1007"/>
      <c r="KO457" s="1008"/>
      <c r="KP457" s="1007"/>
      <c r="KQ457" s="1008"/>
      <c r="KR457" s="1007"/>
      <c r="KS457" s="1008"/>
      <c r="KT457" s="1007"/>
      <c r="KU457" s="1008"/>
      <c r="KV457" s="1007"/>
      <c r="KW457" s="1008"/>
      <c r="KX457" s="1007"/>
      <c r="KY457" s="1008"/>
      <c r="KZ457" s="1007"/>
      <c r="LA457" s="1008"/>
      <c r="LB457" s="1007"/>
      <c r="LC457" s="1008"/>
      <c r="LD457" s="1007"/>
      <c r="LE457" s="1008"/>
      <c r="LF457" s="1007"/>
      <c r="LG457" s="1008"/>
      <c r="LH457" s="1007"/>
      <c r="LI457" s="1008"/>
      <c r="LJ457" s="1007"/>
      <c r="LK457" s="1008"/>
      <c r="LL457" s="1007"/>
      <c r="LM457" s="1008"/>
      <c r="LN457" s="1007"/>
      <c r="LO457" s="1008"/>
      <c r="LP457" s="1007"/>
      <c r="LQ457" s="1008"/>
      <c r="LR457" s="1007"/>
      <c r="LS457" s="1008"/>
      <c r="LT457" s="1007"/>
      <c r="LU457" s="1008"/>
      <c r="LV457" s="1007"/>
      <c r="LW457" s="1008"/>
      <c r="LX457" s="1007"/>
      <c r="LY457" s="1009"/>
      <c r="LZ457" s="1010"/>
      <c r="MA457" s="1011"/>
      <c r="MB457" s="1012"/>
      <c r="MC457" s="995"/>
      <c r="MD457" s="996"/>
      <c r="ME457" s="997" t="s">
        <v>202</v>
      </c>
      <c r="MF457" s="997"/>
      <c r="MG457" s="998"/>
      <c r="NR457" s="1000"/>
      <c r="NS457" s="1000"/>
      <c r="NT457" s="1001"/>
      <c r="NU457" s="1000"/>
      <c r="NV457" s="1001"/>
      <c r="NX457" s="1002"/>
      <c r="NZ457" s="1001"/>
      <c r="OA457" s="1001"/>
      <c r="OC457" s="1003"/>
      <c r="OD457" s="1003"/>
      <c r="OE457" s="1001"/>
      <c r="OF457" s="1003"/>
      <c r="OG457" s="1003"/>
      <c r="QX457" s="1000">
        <f>CN457-CA457</f>
        <v>28</v>
      </c>
      <c r="ASU457" s="999" t="s">
        <v>208</v>
      </c>
    </row>
    <row r="458" spans="1:466 1191:1191" ht="21" customHeight="1" x14ac:dyDescent="0.25">
      <c r="A458" s="982">
        <f t="shared" si="323"/>
        <v>1537</v>
      </c>
      <c r="B458" s="124">
        <f>SUBTOTAL(103,$J$29:J458)</f>
        <v>430</v>
      </c>
      <c r="C458" s="126">
        <v>45068</v>
      </c>
      <c r="D458" s="124" t="s">
        <v>176</v>
      </c>
      <c r="E458" s="127" t="s">
        <v>177</v>
      </c>
      <c r="F458" s="128" t="s">
        <v>177</v>
      </c>
      <c r="G458" s="127" t="s">
        <v>178</v>
      </c>
      <c r="H458" s="127" t="s">
        <v>179</v>
      </c>
      <c r="I458" s="127" t="s">
        <v>1362</v>
      </c>
      <c r="J458" s="152">
        <v>1537</v>
      </c>
      <c r="K458" s="127" t="s">
        <v>1362</v>
      </c>
      <c r="L458" s="130">
        <v>43512</v>
      </c>
      <c r="M458" s="127" t="s">
        <v>230</v>
      </c>
      <c r="N458" s="127" t="s">
        <v>184</v>
      </c>
      <c r="O458" s="127" t="s">
        <v>185</v>
      </c>
      <c r="P458" s="127" t="s">
        <v>292</v>
      </c>
      <c r="Q458" s="85" t="str">
        <f t="shared" si="319"/>
        <v/>
      </c>
      <c r="R458" s="130"/>
      <c r="S458" s="128"/>
      <c r="T458" s="131"/>
      <c r="U458" s="132">
        <v>203</v>
      </c>
      <c r="V458" s="121">
        <v>218.2</v>
      </c>
      <c r="W458" s="116">
        <v>0.98</v>
      </c>
      <c r="X458" s="116">
        <v>1.66</v>
      </c>
      <c r="Y458" s="116">
        <f t="shared" si="346"/>
        <v>0.98</v>
      </c>
      <c r="Z458" s="133">
        <v>1.454</v>
      </c>
      <c r="AA458" s="133">
        <v>0.83599999999999997</v>
      </c>
      <c r="AB458" s="133">
        <v>0.72</v>
      </c>
      <c r="AC458" s="121">
        <v>34.299999999999997</v>
      </c>
      <c r="AD458" s="134">
        <v>1.17</v>
      </c>
      <c r="AE458" s="124">
        <v>177.8</v>
      </c>
      <c r="AF458" s="128">
        <v>9.19</v>
      </c>
      <c r="AG458" s="128">
        <v>2615</v>
      </c>
      <c r="AH458" s="127">
        <v>3445</v>
      </c>
      <c r="AI458" s="127">
        <v>3445</v>
      </c>
      <c r="AJ458" s="135"/>
      <c r="AK458" s="128"/>
      <c r="AL458" s="131"/>
      <c r="AM458" s="124" t="s">
        <v>985</v>
      </c>
      <c r="AN458" s="136" t="s">
        <v>1710</v>
      </c>
      <c r="AO458" s="137">
        <v>10.210000000000001</v>
      </c>
      <c r="AP458" s="128">
        <v>2746.31</v>
      </c>
      <c r="AQ458" s="128">
        <v>876.81</v>
      </c>
      <c r="AR458" s="128" t="s">
        <v>1711</v>
      </c>
      <c r="AS458" s="128">
        <v>114</v>
      </c>
      <c r="AT458" s="122">
        <v>7.37</v>
      </c>
      <c r="AU458" s="124" t="s">
        <v>189</v>
      </c>
      <c r="AV458" s="115">
        <f>VLOOKUP(J458,'[63]ТР нефть'!$J$28:$BP$638,39,0)</f>
        <v>549.99999140600005</v>
      </c>
      <c r="AW458" s="115" t="str">
        <f>VLOOKUP(J458,'[63]ТР нефть'!$J$28:$BP$638,40,0)</f>
        <v>ГК 72 1/8</v>
      </c>
      <c r="AX458" s="115">
        <f>VLOOKUP(J458,'[63]ТР нефть'!$J$28:$BP$638,41,0)</f>
        <v>1089.999997852</v>
      </c>
      <c r="AY458" s="115" t="str">
        <f>VLOOKUP(J458,'[63]ТР нефть'!$J$28:$BP$638,42,0)</f>
        <v>ГК 73 1/8</v>
      </c>
      <c r="AZ458" s="115">
        <f>VLOOKUP(J458,'[63]ТР нефть'!$J$28:$BP$638,43,0)</f>
        <v>1480.000006641</v>
      </c>
      <c r="BA458" s="115" t="str">
        <f>VLOOKUP(J458,'[63]ТР нефть'!$J$28:$BP$638,44,0)</f>
        <v>ГК 73/4</v>
      </c>
      <c r="BB458" s="115">
        <f>VLOOKUP(J458,'[63]ТР нефть'!$J$28:$BP$638,45,0)</f>
        <v>1749.999972656</v>
      </c>
      <c r="BC458" s="115" t="str">
        <f>VLOOKUP(J458,'[63]ТР нефть'!$J$28:$BP$638,46,0)</f>
        <v>ГК 73 5/32</v>
      </c>
      <c r="BD458" s="115">
        <f>VLOOKUP(J458,'[63]ТР нефть'!$J$28:$BP$638,47,0)</f>
        <v>1999.9999687500001</v>
      </c>
      <c r="BE458" s="115" t="str">
        <f>VLOOKUP(J458,'[63]ТР нефть'!$J$28:$BP$638,48,0)</f>
        <v>ЦКсОК 5/16</v>
      </c>
      <c r="BF458" s="115" t="str">
        <f>VLOOKUP(J458,'[63]ТР нефть'!$J$28:$BP$638,49,0)</f>
        <v>-</v>
      </c>
      <c r="BG458" s="115" t="str">
        <f>VLOOKUP(J458,'[63]ТР нефть'!$J$28:$BP$638,50,0)</f>
        <v>-</v>
      </c>
      <c r="BH458" s="115" t="str">
        <f>VLOOKUP(J458,'[63]ТР нефть'!$J$28:$BP$638,51,0)</f>
        <v>-</v>
      </c>
      <c r="BI458" s="115" t="str">
        <f>VLOOKUP(J458,'[63]ТР нефть'!$J$28:$BP$638,52,0)</f>
        <v>-</v>
      </c>
      <c r="BJ458" s="115" t="str">
        <f>IF(IFERROR(VLOOKUP(J458,'[63]ТР нефть'!$J$28:$BP$638,53,0),"-")=0,"-",IFERROR(VLOOKUP(J458,'[63]ТР нефть'!$J$28:$BP$638,53,0),"-"))</f>
        <v>-</v>
      </c>
      <c r="BK458" s="138" t="str">
        <f>IF(IFERROR(VLOOKUP(J458,'[63]ТР нефть'!$J$28:$BP$638,54,0),"-")=0,"-",IFERROR(VLOOKUP(J458,'[63]ТР нефть'!$J$28:$BP$638,54,0),"-"))</f>
        <v>-</v>
      </c>
      <c r="BL458" s="138" t="str">
        <f>IF(IFERROR(VLOOKUP(J458,'[63]ТР нефть'!$J$28:$BP$638,55,0),"-")=0,"-",IFERROR(VLOOKUP(J458,'[63]ТР нефть'!$J$28:$BP$638,55,0),"-"))</f>
        <v>-</v>
      </c>
      <c r="BM458" s="138" t="str">
        <f>IF(IFERROR(VLOOKUP(J458,'[63]ТР нефть'!$J$28:$BP$638,56,0),"-")=0,"-",IFERROR(VLOOKUP(J458,'[63]ТР нефть'!$J$28:$BP$638,56,0),"-"))</f>
        <v>-</v>
      </c>
      <c r="BN458" s="138" t="str">
        <f>IF(IFERROR(VLOOKUP(J458,'[63]ТР нефть'!$J$28:$BP$638,57,0),"-")=0,"-",IFERROR(VLOOKUP(J458,'[63]ТР нефть'!$J$28:$BP$638,57,0),"-"))</f>
        <v>-</v>
      </c>
      <c r="BO458" s="115" t="str">
        <f>IF(IFERROR(VLOOKUP(J458,'[63]ТР нефть'!$J$28:$BP$638,58,0),"-")=0,"-",IFERROR(VLOOKUP(J458,'[63]ТР нефть'!$J$28:$BP$638,58,0),"-"))</f>
        <v>-</v>
      </c>
      <c r="BP458" s="115" t="str">
        <f>IF(IFERROR(VLOOKUP(J458,'[63]ТР нефть'!$J$28:$BP$638,59,0),"-")=0,"-",IFERROR(VLOOKUP(J458,'[63]ТР нефть'!$J$28:$BP$638,59,0),"-"))</f>
        <v>-</v>
      </c>
      <c r="BQ458" s="138">
        <v>2555</v>
      </c>
      <c r="BR458" s="128">
        <v>1853</v>
      </c>
      <c r="BS458" s="115">
        <f t="shared" si="351"/>
        <v>702</v>
      </c>
      <c r="BT458" s="128">
        <v>73</v>
      </c>
      <c r="BU458" s="128">
        <v>5.5</v>
      </c>
      <c r="BV458" s="127">
        <v>65</v>
      </c>
      <c r="BW458" s="127" t="s">
        <v>217</v>
      </c>
      <c r="BX458" s="127" t="s">
        <v>195</v>
      </c>
      <c r="BY458" s="139">
        <v>24</v>
      </c>
      <c r="BZ458" s="139">
        <v>0</v>
      </c>
      <c r="CA458" s="138">
        <v>25</v>
      </c>
      <c r="CB458" s="138">
        <v>33</v>
      </c>
      <c r="CC458" s="138">
        <v>24</v>
      </c>
      <c r="CD458" s="135">
        <v>45017</v>
      </c>
      <c r="CE458" s="138">
        <v>119</v>
      </c>
      <c r="CF458" s="138">
        <v>71</v>
      </c>
      <c r="CG458" s="138" t="str">
        <f t="shared" si="352"/>
        <v/>
      </c>
      <c r="CH458" s="138" t="s">
        <v>197</v>
      </c>
      <c r="CI458" s="127"/>
      <c r="CJ458" s="138"/>
      <c r="CK458" s="138">
        <f t="shared" si="356"/>
        <v>25</v>
      </c>
      <c r="CL458" s="99"/>
      <c r="CM458" s="99"/>
      <c r="CN458" s="140">
        <v>50</v>
      </c>
      <c r="CO458" s="141">
        <f t="shared" si="324"/>
        <v>12.958</v>
      </c>
      <c r="CP458" s="142">
        <v>15.5</v>
      </c>
      <c r="CQ458" s="143">
        <v>0</v>
      </c>
      <c r="CR458" s="115">
        <v>29</v>
      </c>
      <c r="CS458" s="139">
        <v>8</v>
      </c>
      <c r="CT458" s="138"/>
      <c r="CU458" s="138">
        <f t="shared" si="320"/>
        <v>21</v>
      </c>
      <c r="CV458" s="115">
        <f t="shared" si="321"/>
        <v>1620.6204661213151</v>
      </c>
      <c r="CW458" s="115">
        <f t="shared" si="325"/>
        <v>617.37922518907237</v>
      </c>
      <c r="CX458" s="133">
        <f t="shared" si="322"/>
        <v>0.22463768115942029</v>
      </c>
      <c r="CY458" s="116"/>
      <c r="CZ458" s="131"/>
      <c r="DA458" s="145" t="str">
        <f t="shared" si="326"/>
        <v>Газлифт</v>
      </c>
      <c r="DB458" s="146">
        <f t="shared" si="341"/>
        <v>12.958</v>
      </c>
      <c r="DC458" s="142">
        <f t="shared" si="342"/>
        <v>15.5</v>
      </c>
      <c r="DD458" s="119">
        <f t="shared" si="350"/>
        <v>0</v>
      </c>
      <c r="DE458" s="115">
        <f t="shared" si="343"/>
        <v>21</v>
      </c>
      <c r="DF458" s="121">
        <f t="shared" si="328"/>
        <v>8</v>
      </c>
      <c r="DG458" s="115">
        <f t="shared" si="329"/>
        <v>1620.6204661213151</v>
      </c>
      <c r="DH458" s="115">
        <f t="shared" si="330"/>
        <v>50</v>
      </c>
      <c r="DI458" s="147"/>
      <c r="DJ458" s="111" t="s">
        <v>197</v>
      </c>
      <c r="DK458" s="112">
        <v>43512</v>
      </c>
      <c r="DL458" s="113">
        <f t="shared" ca="1" si="312"/>
        <v>1592</v>
      </c>
      <c r="DM458" s="114"/>
      <c r="DN458" s="114"/>
      <c r="DO458" s="114"/>
      <c r="DP458" s="114"/>
      <c r="DQ458" s="112">
        <v>43512</v>
      </c>
      <c r="DR458" s="114" t="s">
        <v>324</v>
      </c>
      <c r="DS458" s="114"/>
      <c r="DT458" s="115">
        <v>49</v>
      </c>
      <c r="DU458" s="116">
        <f t="shared" si="313"/>
        <v>0.22350742867559933</v>
      </c>
      <c r="DV458" s="117">
        <f t="shared" si="314"/>
        <v>13.079654726096072</v>
      </c>
      <c r="DW458" s="118">
        <f t="shared" si="315"/>
        <v>15.645520007291953</v>
      </c>
      <c r="DX458" s="119">
        <f t="shared" si="331"/>
        <v>0</v>
      </c>
      <c r="DY458" s="115">
        <f t="shared" si="316"/>
        <v>21.197156138911676</v>
      </c>
      <c r="DZ458" s="117">
        <f t="shared" si="349"/>
        <v>0.12165472609607164</v>
      </c>
      <c r="EA458" s="120">
        <f t="shared" si="349"/>
        <v>0.14552000729195314</v>
      </c>
      <c r="EB458" s="119">
        <f t="shared" si="349"/>
        <v>0</v>
      </c>
      <c r="EC458" s="121">
        <f t="shared" si="318"/>
        <v>0.19715613891167649</v>
      </c>
      <c r="ED458" s="122"/>
      <c r="EE458" s="145">
        <v>65</v>
      </c>
      <c r="EF458" s="115">
        <v>26</v>
      </c>
      <c r="EG458" s="115">
        <v>32</v>
      </c>
      <c r="EH458" s="115">
        <v>25</v>
      </c>
      <c r="EI458" s="128" t="s">
        <v>195</v>
      </c>
      <c r="EJ458" s="121">
        <v>24</v>
      </c>
      <c r="EK458" s="121">
        <v>0</v>
      </c>
      <c r="EL458" s="149">
        <v>12.958</v>
      </c>
      <c r="EM458" s="142">
        <v>15.5</v>
      </c>
      <c r="EN458" s="119">
        <v>0</v>
      </c>
      <c r="EO458" s="115">
        <v>23</v>
      </c>
      <c r="EP458" s="115">
        <v>1142.1515665997838</v>
      </c>
      <c r="EQ458" s="115">
        <v>70</v>
      </c>
      <c r="ER458" s="115">
        <v>8.1999999999999993</v>
      </c>
      <c r="ES458" s="115">
        <v>51</v>
      </c>
      <c r="ET458" s="150">
        <v>0.22794117647058823</v>
      </c>
      <c r="EU458" s="145">
        <f t="shared" si="332"/>
        <v>65</v>
      </c>
      <c r="EV458" s="115">
        <f t="shared" si="333"/>
        <v>25</v>
      </c>
      <c r="EW458" s="115">
        <f t="shared" si="333"/>
        <v>33</v>
      </c>
      <c r="EX458" s="115">
        <f t="shared" si="333"/>
        <v>24</v>
      </c>
      <c r="EY458" s="115" t="str">
        <f t="shared" si="357"/>
        <v>Постоянный</v>
      </c>
      <c r="EZ458" s="115">
        <f t="shared" si="357"/>
        <v>24</v>
      </c>
      <c r="FA458" s="115">
        <f t="shared" si="357"/>
        <v>0</v>
      </c>
      <c r="FB458" s="149">
        <f t="shared" si="345"/>
        <v>12.958</v>
      </c>
      <c r="FC458" s="142">
        <f t="shared" si="345"/>
        <v>15.5</v>
      </c>
      <c r="FD458" s="119">
        <f t="shared" si="345"/>
        <v>0</v>
      </c>
      <c r="FE458" s="121">
        <f t="shared" si="344"/>
        <v>29</v>
      </c>
      <c r="FF458" s="121">
        <f t="shared" si="347"/>
        <v>1620.6204661213151</v>
      </c>
      <c r="FG458" s="121">
        <f t="shared" si="334"/>
        <v>71</v>
      </c>
      <c r="FH458" s="121">
        <f t="shared" si="358"/>
        <v>8</v>
      </c>
      <c r="FI458" s="121">
        <f t="shared" si="355"/>
        <v>50</v>
      </c>
      <c r="FJ458" s="144">
        <f t="shared" si="335"/>
        <v>0.22463768115942029</v>
      </c>
      <c r="FK458" s="132">
        <f t="shared" si="336"/>
        <v>0</v>
      </c>
      <c r="FL458" s="115">
        <f t="shared" si="336"/>
        <v>-1</v>
      </c>
      <c r="FM458" s="115">
        <f t="shared" si="336"/>
        <v>1</v>
      </c>
      <c r="FN458" s="115">
        <f t="shared" si="336"/>
        <v>-1</v>
      </c>
      <c r="FO458" s="115">
        <f t="shared" si="354"/>
        <v>0</v>
      </c>
      <c r="FP458" s="115">
        <f t="shared" si="354"/>
        <v>0</v>
      </c>
      <c r="FQ458" s="149">
        <f t="shared" si="354"/>
        <v>0</v>
      </c>
      <c r="FR458" s="142">
        <f t="shared" si="354"/>
        <v>0</v>
      </c>
      <c r="FS458" s="119">
        <f t="shared" si="354"/>
        <v>0</v>
      </c>
      <c r="FT458" s="121">
        <f t="shared" si="353"/>
        <v>6</v>
      </c>
      <c r="FU458" s="121">
        <f t="shared" si="337"/>
        <v>1</v>
      </c>
      <c r="FV458" s="121">
        <f t="shared" si="337"/>
        <v>-0.19999999999999929</v>
      </c>
      <c r="FW458" s="121">
        <f t="shared" si="338"/>
        <v>478.46889952153128</v>
      </c>
      <c r="FX458" s="121">
        <f t="shared" si="339"/>
        <v>-1</v>
      </c>
      <c r="FY458" s="144">
        <f t="shared" si="339"/>
        <v>-3.3034953111679422E-3</v>
      </c>
      <c r="FZ458" s="145"/>
      <c r="GA458" s="151"/>
      <c r="GB458" s="145" t="s">
        <v>221</v>
      </c>
      <c r="GC458" s="151" t="s">
        <v>1712</v>
      </c>
      <c r="GD458" s="997" t="s">
        <v>202</v>
      </c>
      <c r="GE458" s="1004" t="s">
        <v>221</v>
      </c>
      <c r="GF458" s="1004">
        <v>-4.5980000000000008</v>
      </c>
      <c r="GG458" s="1004" t="s">
        <v>221</v>
      </c>
      <c r="GH458" s="1004">
        <v>5.7684000000000015</v>
      </c>
      <c r="GI458" s="145"/>
      <c r="GJ458" s="996">
        <v>0</v>
      </c>
      <c r="GK458" s="145"/>
      <c r="GL458" s="996">
        <v>0</v>
      </c>
      <c r="GM458" s="1005"/>
      <c r="GN458" s="996">
        <v>0</v>
      </c>
      <c r="GO458" s="1006"/>
      <c r="GP458" s="996">
        <v>0</v>
      </c>
      <c r="GQ458" s="1006"/>
      <c r="GR458" s="996">
        <v>0</v>
      </c>
      <c r="GS458" s="1006"/>
      <c r="GT458" s="996">
        <v>0</v>
      </c>
      <c r="GU458" s="1006"/>
      <c r="GV458" s="996">
        <v>8.3600000000000563E-2</v>
      </c>
      <c r="GW458" s="1006"/>
      <c r="GX458" s="996">
        <v>0</v>
      </c>
      <c r="GY458" s="1006" t="s">
        <v>223</v>
      </c>
      <c r="GZ458" s="996">
        <v>-1.5048000000000012</v>
      </c>
      <c r="HA458" s="1006"/>
      <c r="HB458" s="996">
        <v>-0.65207999999999799</v>
      </c>
      <c r="HC458" s="1006"/>
      <c r="HD458" s="996">
        <v>5.0159999999998206E-2</v>
      </c>
      <c r="HE458" s="1006" t="s">
        <v>199</v>
      </c>
      <c r="HF458" s="996">
        <v>-0.91960000000000086</v>
      </c>
      <c r="HG458" s="1006" t="s">
        <v>199</v>
      </c>
      <c r="HH458" s="996">
        <v>1.7556000000000012</v>
      </c>
      <c r="HI458" s="1006" t="s">
        <v>204</v>
      </c>
      <c r="HJ458" s="996">
        <v>-1.5716799999999989</v>
      </c>
      <c r="HK458" s="1006"/>
      <c r="HL458" s="996">
        <v>0</v>
      </c>
      <c r="HM458" s="1006"/>
      <c r="HN458" s="996">
        <v>0</v>
      </c>
      <c r="HO458" s="1006" t="s">
        <v>223</v>
      </c>
      <c r="HP458" s="996">
        <v>-2.1736000000000004</v>
      </c>
      <c r="HQ458" s="1006"/>
      <c r="HR458" s="996">
        <v>0</v>
      </c>
      <c r="HS458" s="1006"/>
      <c r="HT458" s="996">
        <v>0</v>
      </c>
      <c r="HU458" s="1006"/>
      <c r="HV458" s="996">
        <v>0.3761999999999972</v>
      </c>
      <c r="HW458" s="1006"/>
      <c r="HX458" s="996">
        <v>-0.83599999999999852</v>
      </c>
      <c r="HY458" s="1006" t="s">
        <v>199</v>
      </c>
      <c r="HZ458" s="996">
        <v>-3.3021999999999991</v>
      </c>
      <c r="IA458" s="1006"/>
      <c r="IB458" s="996">
        <v>-0.62699999999999889</v>
      </c>
      <c r="IC458" s="1006" t="s">
        <v>199</v>
      </c>
      <c r="ID458" s="996">
        <v>-4.8070000000000022</v>
      </c>
      <c r="IE458" s="1006"/>
      <c r="IF458" s="996">
        <v>-0.83599999999999852</v>
      </c>
      <c r="IG458" s="1006"/>
      <c r="IH458" s="996">
        <v>0</v>
      </c>
      <c r="II458" s="1006"/>
      <c r="IJ458" s="996">
        <v>0.83599999999999852</v>
      </c>
      <c r="IK458" s="1006" t="s">
        <v>199</v>
      </c>
      <c r="IL458" s="996">
        <v>1.0868000000000038</v>
      </c>
      <c r="IM458" s="1006" t="s">
        <v>199</v>
      </c>
      <c r="IN458" s="996">
        <v>-2.7588000000000008</v>
      </c>
      <c r="IO458" s="1006" t="s">
        <v>199</v>
      </c>
      <c r="IP458" s="996">
        <v>4.18</v>
      </c>
      <c r="IQ458" s="1006"/>
      <c r="IR458" s="996">
        <v>0</v>
      </c>
      <c r="IS458" s="1006"/>
      <c r="IT458" s="996">
        <v>0</v>
      </c>
      <c r="IU458" s="1006" t="s">
        <v>223</v>
      </c>
      <c r="IV458" s="996">
        <v>-2.5080000000000027</v>
      </c>
      <c r="IW458" s="1006"/>
      <c r="IX458" s="996">
        <v>0</v>
      </c>
      <c r="IY458" s="1006"/>
      <c r="IZ458" s="996">
        <v>-0.41799999999999926</v>
      </c>
      <c r="JA458" s="1006" t="s">
        <v>204</v>
      </c>
      <c r="JB458" s="996">
        <v>-13.441124399999996</v>
      </c>
      <c r="JC458" s="1006" t="s">
        <v>204</v>
      </c>
      <c r="JD458" s="996">
        <v>-4.3686852000000016</v>
      </c>
      <c r="JE458" s="1006" t="s">
        <v>204</v>
      </c>
      <c r="JF458" s="996">
        <v>27.591009599999996</v>
      </c>
      <c r="JG458" s="1006" t="s">
        <v>223</v>
      </c>
      <c r="JH458" s="996">
        <v>-4.2635999999999967</v>
      </c>
      <c r="JI458" s="1006"/>
      <c r="JJ458" s="996">
        <v>0</v>
      </c>
      <c r="JK458" s="1007"/>
      <c r="JL458" s="1007">
        <v>0</v>
      </c>
      <c r="JM458" s="1007" t="s">
        <v>203</v>
      </c>
      <c r="JN458" s="1007">
        <v>-3.4276000000000018</v>
      </c>
      <c r="JO458" s="1008"/>
      <c r="JP458" s="1007">
        <v>0</v>
      </c>
      <c r="JQ458" s="1008" t="s">
        <v>199</v>
      </c>
      <c r="JR458" s="1007">
        <v>-2.4661999999999971</v>
      </c>
      <c r="JS458" s="1008">
        <v>0</v>
      </c>
      <c r="JT458" s="1007">
        <v>0</v>
      </c>
      <c r="JU458" s="1008"/>
      <c r="JV458" s="1007">
        <v>0</v>
      </c>
      <c r="JW458" s="1008" t="s">
        <v>205</v>
      </c>
      <c r="JX458" s="1007">
        <v>-5.0578000000000003</v>
      </c>
      <c r="JY458" s="1008"/>
      <c r="JZ458" s="1007">
        <v>0</v>
      </c>
      <c r="KA458" s="1008" t="s">
        <v>199</v>
      </c>
      <c r="KB458" s="1007">
        <v>-2.340799999999998</v>
      </c>
      <c r="KC458" s="1008" t="s">
        <v>324</v>
      </c>
      <c r="KD458" s="1007">
        <v>34.109000000000002</v>
      </c>
      <c r="KE458" s="1008"/>
      <c r="KF458" s="1007"/>
      <c r="KG458" s="1008"/>
      <c r="KH458" s="1007"/>
      <c r="KI458" s="1008"/>
      <c r="KJ458" s="1007"/>
      <c r="KK458" s="1008"/>
      <c r="KL458" s="1007"/>
      <c r="KM458" s="1008"/>
      <c r="KN458" s="1007"/>
      <c r="KO458" s="1008"/>
      <c r="KP458" s="1007"/>
      <c r="KQ458" s="1008"/>
      <c r="KR458" s="1007"/>
      <c r="KS458" s="1008"/>
      <c r="KT458" s="1007"/>
      <c r="KU458" s="1008"/>
      <c r="KV458" s="1007"/>
      <c r="KW458" s="1008"/>
      <c r="KX458" s="1007"/>
      <c r="KY458" s="1008"/>
      <c r="KZ458" s="1007"/>
      <c r="LA458" s="1008"/>
      <c r="LB458" s="1007"/>
      <c r="LC458" s="1008"/>
      <c r="LD458" s="1007"/>
      <c r="LE458" s="1008"/>
      <c r="LF458" s="1007"/>
      <c r="LG458" s="1008"/>
      <c r="LH458" s="1007"/>
      <c r="LI458" s="1008"/>
      <c r="LJ458" s="1007"/>
      <c r="LK458" s="1008"/>
      <c r="LL458" s="1007"/>
      <c r="LM458" s="1008"/>
      <c r="LN458" s="1007"/>
      <c r="LO458" s="1008"/>
      <c r="LP458" s="1007"/>
      <c r="LQ458" s="1008"/>
      <c r="LR458" s="1007"/>
      <c r="LS458" s="1008"/>
      <c r="LT458" s="1007"/>
      <c r="LU458" s="1008"/>
      <c r="LV458" s="1007"/>
      <c r="LW458" s="1008"/>
      <c r="LX458" s="1007"/>
      <c r="LY458" s="1009"/>
      <c r="LZ458" s="1010"/>
      <c r="MA458" s="1011"/>
      <c r="MB458" s="1012"/>
      <c r="MC458" s="995"/>
      <c r="MD458" s="996"/>
      <c r="ME458" s="997" t="s">
        <v>202</v>
      </c>
      <c r="MF458" s="997"/>
      <c r="MG458" s="998"/>
      <c r="NR458" s="1000"/>
      <c r="NS458" s="1000"/>
      <c r="NT458" s="1001"/>
      <c r="NU458" s="1000"/>
      <c r="NV458" s="1001"/>
      <c r="NX458" s="1002"/>
      <c r="NZ458" s="1001"/>
      <c r="OA458" s="1001"/>
      <c r="OC458" s="1003"/>
      <c r="OD458" s="1003"/>
      <c r="OE458" s="1001"/>
      <c r="OF458" s="1003"/>
      <c r="OG458" s="1003"/>
      <c r="QX458" s="1000">
        <f>CN458-CA458</f>
        <v>25</v>
      </c>
      <c r="ASU458" s="999" t="s">
        <v>208</v>
      </c>
    </row>
    <row r="459" spans="1:466 1191:1191" ht="21" customHeight="1" x14ac:dyDescent="0.25">
      <c r="A459" s="982">
        <f t="shared" si="323"/>
        <v>1523</v>
      </c>
      <c r="B459" s="124">
        <f>SUBTOTAL(103,$J$29:J459)</f>
        <v>431</v>
      </c>
      <c r="C459" s="126">
        <v>45068</v>
      </c>
      <c r="D459" s="124" t="s">
        <v>176</v>
      </c>
      <c r="E459" s="127" t="s">
        <v>177</v>
      </c>
      <c r="F459" s="128" t="s">
        <v>177</v>
      </c>
      <c r="G459" s="127" t="s">
        <v>178</v>
      </c>
      <c r="H459" s="127" t="s">
        <v>179</v>
      </c>
      <c r="I459" s="127" t="s">
        <v>1362</v>
      </c>
      <c r="J459" s="152">
        <v>1523</v>
      </c>
      <c r="K459" s="127" t="s">
        <v>1362</v>
      </c>
      <c r="L459" s="130">
        <v>43562</v>
      </c>
      <c r="M459" s="127" t="s">
        <v>230</v>
      </c>
      <c r="N459" s="127" t="s">
        <v>184</v>
      </c>
      <c r="O459" s="127" t="s">
        <v>185</v>
      </c>
      <c r="P459" s="127" t="s">
        <v>292</v>
      </c>
      <c r="Q459" s="85" t="str">
        <f t="shared" si="319"/>
        <v/>
      </c>
      <c r="R459" s="130"/>
      <c r="S459" s="128"/>
      <c r="T459" s="131"/>
      <c r="U459" s="132">
        <v>203</v>
      </c>
      <c r="V459" s="121">
        <v>218.2</v>
      </c>
      <c r="W459" s="116">
        <v>0.98</v>
      </c>
      <c r="X459" s="116">
        <v>1.66</v>
      </c>
      <c r="Y459" s="116">
        <f t="shared" si="346"/>
        <v>0.98</v>
      </c>
      <c r="Z459" s="133">
        <v>1.454</v>
      </c>
      <c r="AA459" s="133">
        <v>0.83599999999999997</v>
      </c>
      <c r="AB459" s="133">
        <v>0.72</v>
      </c>
      <c r="AC459" s="121">
        <v>34.299999999999997</v>
      </c>
      <c r="AD459" s="134">
        <v>1.17</v>
      </c>
      <c r="AE459" s="124">
        <v>177.8</v>
      </c>
      <c r="AF459" s="128">
        <v>9.19</v>
      </c>
      <c r="AG459" s="128">
        <v>2409.6999999999998</v>
      </c>
      <c r="AH459" s="127">
        <v>3295</v>
      </c>
      <c r="AI459" s="127">
        <v>3295</v>
      </c>
      <c r="AJ459" s="135"/>
      <c r="AK459" s="128"/>
      <c r="AL459" s="131"/>
      <c r="AM459" s="124" t="s">
        <v>985</v>
      </c>
      <c r="AN459" s="136" t="s">
        <v>1713</v>
      </c>
      <c r="AO459" s="137">
        <v>43.470000000000027</v>
      </c>
      <c r="AP459" s="128">
        <v>2480.94</v>
      </c>
      <c r="AQ459" s="128">
        <v>364.9</v>
      </c>
      <c r="AR459" s="128" t="s">
        <v>1714</v>
      </c>
      <c r="AS459" s="128">
        <v>114</v>
      </c>
      <c r="AT459" s="122">
        <v>7.37</v>
      </c>
      <c r="AU459" s="124" t="s">
        <v>189</v>
      </c>
      <c r="AV459" s="115">
        <f>VLOOKUP(J459,'[63]ТР нефть'!$J$28:$BP$638,39,0)</f>
        <v>549.99999140600005</v>
      </c>
      <c r="AW459" s="115" t="str">
        <f>VLOOKUP(J459,'[63]ТР нефть'!$J$28:$BP$638,40,0)</f>
        <v>ГК 84 1/8</v>
      </c>
      <c r="AX459" s="115">
        <f>VLOOKUP(J459,'[63]ТР нефть'!$J$28:$BP$638,41,0)</f>
        <v>1080.0000128910001</v>
      </c>
      <c r="AY459" s="115" t="str">
        <f>VLOOKUP(J459,'[63]ТР нефть'!$J$28:$BP$638,42,0)</f>
        <v>ГК 84 5/32</v>
      </c>
      <c r="AZ459" s="115">
        <f>VLOOKUP(J459,'[63]ТР нефть'!$J$28:$BP$638,43,0)</f>
        <v>1499.999976563</v>
      </c>
      <c r="BA459" s="115" t="str">
        <f>VLOOKUP(J459,'[63]ТР нефть'!$J$28:$BP$638,44,0)</f>
        <v>ГК 84 5/32</v>
      </c>
      <c r="BB459" s="115">
        <f>VLOOKUP(J459,'[63]ТР нефть'!$J$28:$BP$638,45,0)</f>
        <v>1840.000060547</v>
      </c>
      <c r="BC459" s="115" t="str">
        <f>VLOOKUP(J459,'[63]ТР нефть'!$J$28:$BP$638,46,0)</f>
        <v>ГК 84 5/32</v>
      </c>
      <c r="BD459" s="115">
        <f>VLOOKUP(J459,'[63]ТР нефть'!$J$28:$BP$638,47,0)</f>
        <v>2069.9999378910002</v>
      </c>
      <c r="BE459" s="115" t="str">
        <f>VLOOKUP(J459,'[63]ТР нефть'!$J$28:$BP$638,48,0)</f>
        <v>ЦКсОК 5/16</v>
      </c>
      <c r="BF459" s="115" t="str">
        <f>VLOOKUP(J459,'[63]ТР нефть'!$J$28:$BP$638,49,0)</f>
        <v>-</v>
      </c>
      <c r="BG459" s="115" t="str">
        <f>VLOOKUP(J459,'[63]ТР нефть'!$J$28:$BP$638,50,0)</f>
        <v>-</v>
      </c>
      <c r="BH459" s="115" t="str">
        <f>VLOOKUP(J459,'[63]ТР нефть'!$J$28:$BP$638,51,0)</f>
        <v>-</v>
      </c>
      <c r="BI459" s="115" t="str">
        <f>VLOOKUP(J459,'[63]ТР нефть'!$J$28:$BP$638,52,0)</f>
        <v>-</v>
      </c>
      <c r="BJ459" s="115" t="str">
        <f>IF(IFERROR(VLOOKUP(J459,'[63]ТР нефть'!$J$28:$BP$638,53,0),"-")=0,"-",IFERROR(VLOOKUP(J459,'[63]ТР нефть'!$J$28:$BP$638,53,0),"-"))</f>
        <v>-</v>
      </c>
      <c r="BK459" s="138" t="str">
        <f>IF(IFERROR(VLOOKUP(J459,'[63]ТР нефть'!$J$28:$BP$638,54,0),"-")=0,"-",IFERROR(VLOOKUP(J459,'[63]ТР нефть'!$J$28:$BP$638,54,0),"-"))</f>
        <v>-</v>
      </c>
      <c r="BL459" s="138" t="str">
        <f>IF(IFERROR(VLOOKUP(J459,'[63]ТР нефть'!$J$28:$BP$638,55,0),"-")=0,"-",IFERROR(VLOOKUP(J459,'[63]ТР нефть'!$J$28:$BP$638,55,0),"-"))</f>
        <v>-</v>
      </c>
      <c r="BM459" s="138" t="str">
        <f>IF(IFERROR(VLOOKUP(J459,'[63]ТР нефть'!$J$28:$BP$638,56,0),"-")=0,"-",IFERROR(VLOOKUP(J459,'[63]ТР нефть'!$J$28:$BP$638,56,0),"-"))</f>
        <v>-</v>
      </c>
      <c r="BN459" s="138" t="str">
        <f>IF(IFERROR(VLOOKUP(J459,'[63]ТР нефть'!$J$28:$BP$638,57,0),"-")=0,"-",IFERROR(VLOOKUP(J459,'[63]ТР нефть'!$J$28:$BP$638,57,0),"-"))</f>
        <v>-</v>
      </c>
      <c r="BO459" s="115" t="str">
        <f>IF(IFERROR(VLOOKUP(J459,'[63]ТР нефть'!$J$28:$BP$638,58,0),"-")=0,"-",IFERROR(VLOOKUP(J459,'[63]ТР нефть'!$J$28:$BP$638,58,0),"-"))</f>
        <v>-</v>
      </c>
      <c r="BP459" s="115" t="str">
        <f>IF(IFERROR(VLOOKUP(J459,'[63]ТР нефть'!$J$28:$BP$638,59,0),"-")=0,"-",IFERROR(VLOOKUP(J459,'[63]ТР нефть'!$J$28:$BP$638,59,0),"-"))</f>
        <v>-</v>
      </c>
      <c r="BQ459" s="138">
        <v>2346</v>
      </c>
      <c r="BR459" s="128">
        <v>1756.43</v>
      </c>
      <c r="BS459" s="115">
        <f t="shared" si="351"/>
        <v>589.56999999999994</v>
      </c>
      <c r="BT459" s="128">
        <v>73</v>
      </c>
      <c r="BU459" s="128">
        <v>5.5</v>
      </c>
      <c r="BV459" s="127">
        <v>65</v>
      </c>
      <c r="BW459" s="127" t="s">
        <v>217</v>
      </c>
      <c r="BX459" s="127" t="s">
        <v>195</v>
      </c>
      <c r="BY459" s="139">
        <v>24</v>
      </c>
      <c r="BZ459" s="139">
        <v>0</v>
      </c>
      <c r="CA459" s="138">
        <v>25</v>
      </c>
      <c r="CB459" s="138">
        <v>39</v>
      </c>
      <c r="CC459" s="138">
        <v>24</v>
      </c>
      <c r="CD459" s="135">
        <v>45017</v>
      </c>
      <c r="CE459" s="138">
        <v>78</v>
      </c>
      <c r="CF459" s="138">
        <v>71</v>
      </c>
      <c r="CG459" s="138" t="str">
        <f t="shared" si="352"/>
        <v/>
      </c>
      <c r="CH459" s="138" t="s">
        <v>197</v>
      </c>
      <c r="CI459" s="127"/>
      <c r="CJ459" s="138"/>
      <c r="CK459" s="138">
        <f t="shared" si="356"/>
        <v>35</v>
      </c>
      <c r="CL459" s="99"/>
      <c r="CM459" s="99"/>
      <c r="CN459" s="140">
        <v>60</v>
      </c>
      <c r="CO459" s="141">
        <f t="shared" si="324"/>
        <v>5.016</v>
      </c>
      <c r="CP459" s="142">
        <v>6</v>
      </c>
      <c r="CQ459" s="143">
        <v>0</v>
      </c>
      <c r="CR459" s="138">
        <v>12</v>
      </c>
      <c r="CS459" s="139">
        <v>8</v>
      </c>
      <c r="CT459" s="138"/>
      <c r="CU459" s="138">
        <f t="shared" si="320"/>
        <v>4</v>
      </c>
      <c r="CV459" s="115">
        <f t="shared" si="321"/>
        <v>797.44816586921854</v>
      </c>
      <c r="CW459" s="115">
        <f t="shared" si="325"/>
        <v>1594.8963317384371</v>
      </c>
      <c r="CX459" s="133">
        <f t="shared" si="322"/>
        <v>0.33333333333333331</v>
      </c>
      <c r="CY459" s="116"/>
      <c r="CZ459" s="131"/>
      <c r="DA459" s="145" t="str">
        <f t="shared" si="326"/>
        <v>Газлифт</v>
      </c>
      <c r="DB459" s="146">
        <f t="shared" si="341"/>
        <v>5.016</v>
      </c>
      <c r="DC459" s="142">
        <f t="shared" si="342"/>
        <v>6</v>
      </c>
      <c r="DD459" s="119">
        <f t="shared" si="350"/>
        <v>0</v>
      </c>
      <c r="DE459" s="115">
        <f t="shared" si="343"/>
        <v>4</v>
      </c>
      <c r="DF459" s="121">
        <f t="shared" si="328"/>
        <v>8</v>
      </c>
      <c r="DG459" s="115">
        <f t="shared" si="329"/>
        <v>797.44816586921854</v>
      </c>
      <c r="DH459" s="115">
        <f t="shared" si="330"/>
        <v>60</v>
      </c>
      <c r="DI459" s="147"/>
      <c r="DJ459" s="111" t="s">
        <v>197</v>
      </c>
      <c r="DK459" s="112">
        <v>43562</v>
      </c>
      <c r="DL459" s="113">
        <f t="shared" ca="1" si="312"/>
        <v>1542</v>
      </c>
      <c r="DM459" s="114"/>
      <c r="DN459" s="114"/>
      <c r="DO459" s="114"/>
      <c r="DP459" s="114"/>
      <c r="DQ459" s="112">
        <v>43573</v>
      </c>
      <c r="DR459" s="114" t="s">
        <v>324</v>
      </c>
      <c r="DS459" s="114"/>
      <c r="DT459" s="115">
        <v>40</v>
      </c>
      <c r="DU459" s="116">
        <f t="shared" si="313"/>
        <v>0.2910052910052911</v>
      </c>
      <c r="DV459" s="117">
        <f t="shared" si="314"/>
        <v>9.2446560846560875</v>
      </c>
      <c r="DW459" s="118">
        <f t="shared" si="315"/>
        <v>11.058201058201062</v>
      </c>
      <c r="DX459" s="119">
        <f t="shared" si="331"/>
        <v>0</v>
      </c>
      <c r="DY459" s="115">
        <f t="shared" si="316"/>
        <v>7.3721340388007084</v>
      </c>
      <c r="DZ459" s="117">
        <f t="shared" si="349"/>
        <v>4.2286560846560874</v>
      </c>
      <c r="EA459" s="120">
        <f t="shared" si="349"/>
        <v>5.0582010582010621</v>
      </c>
      <c r="EB459" s="119">
        <f t="shared" si="349"/>
        <v>0</v>
      </c>
      <c r="EC459" s="121">
        <f t="shared" si="318"/>
        <v>3.3721340388007084</v>
      </c>
      <c r="ED459" s="122"/>
      <c r="EE459" s="145">
        <v>65</v>
      </c>
      <c r="EF459" s="115">
        <v>26</v>
      </c>
      <c r="EG459" s="115">
        <v>55</v>
      </c>
      <c r="EH459" s="115">
        <v>25</v>
      </c>
      <c r="EI459" s="128" t="s">
        <v>195</v>
      </c>
      <c r="EJ459" s="121">
        <v>24</v>
      </c>
      <c r="EK459" s="121">
        <v>0</v>
      </c>
      <c r="EL459" s="149">
        <v>5.8519999999999994</v>
      </c>
      <c r="EM459" s="142">
        <v>7</v>
      </c>
      <c r="EN459" s="119">
        <v>0</v>
      </c>
      <c r="EO459" s="115">
        <v>11</v>
      </c>
      <c r="EP459" s="115">
        <v>444.29254955570741</v>
      </c>
      <c r="EQ459" s="115">
        <v>70</v>
      </c>
      <c r="ER459" s="115">
        <v>8.4</v>
      </c>
      <c r="ES459" s="115">
        <v>76</v>
      </c>
      <c r="ET459" s="150">
        <v>3.5</v>
      </c>
      <c r="EU459" s="145">
        <f t="shared" si="332"/>
        <v>65</v>
      </c>
      <c r="EV459" s="115">
        <f t="shared" si="333"/>
        <v>25</v>
      </c>
      <c r="EW459" s="115">
        <f t="shared" si="333"/>
        <v>39</v>
      </c>
      <c r="EX459" s="115">
        <f t="shared" si="333"/>
        <v>24</v>
      </c>
      <c r="EY459" s="115" t="str">
        <f t="shared" si="357"/>
        <v>Постоянный</v>
      </c>
      <c r="EZ459" s="115">
        <f t="shared" si="357"/>
        <v>24</v>
      </c>
      <c r="FA459" s="115">
        <f t="shared" si="357"/>
        <v>0</v>
      </c>
      <c r="FB459" s="149">
        <f t="shared" si="345"/>
        <v>5.016</v>
      </c>
      <c r="FC459" s="142">
        <f t="shared" si="345"/>
        <v>6</v>
      </c>
      <c r="FD459" s="119">
        <f t="shared" si="345"/>
        <v>0</v>
      </c>
      <c r="FE459" s="121">
        <f t="shared" si="344"/>
        <v>12</v>
      </c>
      <c r="FF459" s="121">
        <f t="shared" si="347"/>
        <v>797.44816586921854</v>
      </c>
      <c r="FG459" s="121">
        <f t="shared" si="334"/>
        <v>71</v>
      </c>
      <c r="FH459" s="121">
        <f t="shared" si="358"/>
        <v>8</v>
      </c>
      <c r="FI459" s="121">
        <f t="shared" si="355"/>
        <v>60</v>
      </c>
      <c r="FJ459" s="144">
        <f t="shared" si="335"/>
        <v>0.33333333333333331</v>
      </c>
      <c r="FK459" s="132">
        <f t="shared" si="336"/>
        <v>0</v>
      </c>
      <c r="FL459" s="115">
        <f t="shared" si="336"/>
        <v>-1</v>
      </c>
      <c r="FM459" s="115">
        <f t="shared" si="336"/>
        <v>-16</v>
      </c>
      <c r="FN459" s="115">
        <f t="shared" si="336"/>
        <v>-1</v>
      </c>
      <c r="FO459" s="115">
        <f t="shared" si="354"/>
        <v>0</v>
      </c>
      <c r="FP459" s="115">
        <f t="shared" si="354"/>
        <v>0</v>
      </c>
      <c r="FQ459" s="149">
        <f t="shared" si="354"/>
        <v>-0.83599999999999941</v>
      </c>
      <c r="FR459" s="142">
        <f t="shared" si="354"/>
        <v>-1</v>
      </c>
      <c r="FS459" s="119">
        <f t="shared" si="354"/>
        <v>0</v>
      </c>
      <c r="FT459" s="121">
        <f t="shared" si="353"/>
        <v>1</v>
      </c>
      <c r="FU459" s="121">
        <f t="shared" si="337"/>
        <v>1</v>
      </c>
      <c r="FV459" s="121">
        <f t="shared" si="337"/>
        <v>-0.40000000000000036</v>
      </c>
      <c r="FW459" s="121">
        <f t="shared" si="338"/>
        <v>353.15561631351113</v>
      </c>
      <c r="FX459" s="121">
        <f t="shared" si="339"/>
        <v>-16</v>
      </c>
      <c r="FY459" s="144">
        <f t="shared" si="339"/>
        <v>-3.1666666666666665</v>
      </c>
      <c r="FZ459" s="145"/>
      <c r="GA459" s="151"/>
      <c r="GB459" s="145"/>
      <c r="GC459" s="151"/>
      <c r="GD459" s="997" t="s">
        <v>202</v>
      </c>
      <c r="GE459" s="1004"/>
      <c r="GF459" s="1004">
        <v>0</v>
      </c>
      <c r="GG459" s="1004" t="s">
        <v>204</v>
      </c>
      <c r="GH459" s="1004">
        <v>1.4579672800000001</v>
      </c>
      <c r="GI459" s="145"/>
      <c r="GJ459" s="996">
        <v>0</v>
      </c>
      <c r="GK459" s="145"/>
      <c r="GL459" s="996">
        <v>0</v>
      </c>
      <c r="GM459" s="1005"/>
      <c r="GN459" s="996">
        <v>0</v>
      </c>
      <c r="GO459" s="1006"/>
      <c r="GP459" s="996">
        <v>0.63203271999999933</v>
      </c>
      <c r="GQ459" s="1006" t="s">
        <v>199</v>
      </c>
      <c r="GR459" s="996">
        <v>-2.5079999999999996</v>
      </c>
      <c r="GS459" s="1006"/>
      <c r="GT459" s="996">
        <v>0.23909599999999909</v>
      </c>
      <c r="GU459" s="1006" t="s">
        <v>199</v>
      </c>
      <c r="GV459" s="996">
        <v>1.2657040000000004</v>
      </c>
      <c r="GW459" s="1006" t="s">
        <v>199</v>
      </c>
      <c r="GX459" s="996">
        <v>-1.63856</v>
      </c>
      <c r="GY459" s="1006"/>
      <c r="GZ459" s="996">
        <v>0</v>
      </c>
      <c r="HA459" s="1006" t="s">
        <v>199</v>
      </c>
      <c r="HB459" s="996">
        <v>3.3381480000000003</v>
      </c>
      <c r="HC459" s="1006" t="s">
        <v>199</v>
      </c>
      <c r="HD459" s="996">
        <v>-1.5407479999999998</v>
      </c>
      <c r="HE459" s="1006"/>
      <c r="HF459" s="996">
        <v>0</v>
      </c>
      <c r="HG459" s="1006" t="s">
        <v>199</v>
      </c>
      <c r="HH459" s="996">
        <v>0.50661600000000018</v>
      </c>
      <c r="HI459" s="1006"/>
      <c r="HJ459" s="996">
        <v>0</v>
      </c>
      <c r="HK459" s="1006" t="s">
        <v>199</v>
      </c>
      <c r="HL459" s="996">
        <v>-2.0866560000000005</v>
      </c>
      <c r="HM459" s="1006"/>
      <c r="HN459" s="996">
        <v>0.54340000000000011</v>
      </c>
      <c r="HO459" s="1006"/>
      <c r="HP459" s="996">
        <v>0</v>
      </c>
      <c r="HQ459" s="1006"/>
      <c r="HR459" s="996">
        <v>0</v>
      </c>
      <c r="HS459" s="1006"/>
      <c r="HT459" s="996">
        <v>0</v>
      </c>
      <c r="HU459" s="1006"/>
      <c r="HV459" s="996">
        <v>-0.12539999999999996</v>
      </c>
      <c r="HW459" s="1006" t="s">
        <v>204</v>
      </c>
      <c r="HX459" s="996">
        <v>-1.4128400000000001</v>
      </c>
      <c r="HY459" s="1006"/>
      <c r="HZ459" s="996">
        <v>0</v>
      </c>
      <c r="IA459" s="1006"/>
      <c r="IB459" s="996">
        <v>5.8520000000000572E-2</v>
      </c>
      <c r="IC459" s="1006"/>
      <c r="ID459" s="996">
        <v>0.18391999999999875</v>
      </c>
      <c r="IE459" s="1006"/>
      <c r="IF459" s="996">
        <v>0</v>
      </c>
      <c r="IG459" s="1006"/>
      <c r="IH459" s="996">
        <v>0</v>
      </c>
      <c r="II459" s="1006"/>
      <c r="IJ459" s="996">
        <v>0.75240000000000062</v>
      </c>
      <c r="IK459" s="1006"/>
      <c r="IL459" s="996">
        <v>0</v>
      </c>
      <c r="IM459" s="1006" t="s">
        <v>199</v>
      </c>
      <c r="IN459" s="996">
        <v>-3.0095999999999998</v>
      </c>
      <c r="IO459" s="1006" t="s">
        <v>199</v>
      </c>
      <c r="IP459" s="996">
        <v>1.6719999999999997</v>
      </c>
      <c r="IQ459" s="1006"/>
      <c r="IR459" s="996">
        <v>0</v>
      </c>
      <c r="IS459" s="1006"/>
      <c r="IT459" s="996">
        <v>0</v>
      </c>
      <c r="IU459" s="1006" t="s">
        <v>199</v>
      </c>
      <c r="IV459" s="996">
        <v>-2.508</v>
      </c>
      <c r="IW459" s="1006"/>
      <c r="IX459" s="996">
        <v>0</v>
      </c>
      <c r="IY459" s="1006"/>
      <c r="IZ459" s="996">
        <v>0</v>
      </c>
      <c r="JA459" s="1006"/>
      <c r="JB459" s="996">
        <v>0.8360000000000003</v>
      </c>
      <c r="JC459" s="1006"/>
      <c r="JD459" s="996">
        <v>0</v>
      </c>
      <c r="JE459" s="1006" t="s">
        <v>223</v>
      </c>
      <c r="JF459" s="996">
        <v>-3.4276</v>
      </c>
      <c r="JG459" s="1006" t="s">
        <v>223</v>
      </c>
      <c r="JH459" s="996">
        <v>-3.7202000000000019</v>
      </c>
      <c r="JI459" s="1006"/>
      <c r="JJ459" s="996">
        <v>0</v>
      </c>
      <c r="JK459" s="1007"/>
      <c r="JL459" s="1007">
        <v>0</v>
      </c>
      <c r="JM459" s="1007"/>
      <c r="JN459" s="1007">
        <v>0</v>
      </c>
      <c r="JO459" s="1008"/>
      <c r="JP459" s="1007">
        <v>0</v>
      </c>
      <c r="JQ459" s="1008">
        <v>0</v>
      </c>
      <c r="JR459" s="1007">
        <v>0</v>
      </c>
      <c r="JS459" s="1008" t="s">
        <v>199</v>
      </c>
      <c r="JT459" s="1007">
        <v>-3.803799999999999</v>
      </c>
      <c r="JU459" s="1008" t="s">
        <v>199</v>
      </c>
      <c r="JV459" s="1007">
        <v>-4.3053999999999988</v>
      </c>
      <c r="JW459" s="1008" t="s">
        <v>203</v>
      </c>
      <c r="JX459" s="1007">
        <v>-4.1382000000000012</v>
      </c>
      <c r="JY459" s="1008" t="s">
        <v>324</v>
      </c>
      <c r="JZ459" s="1007">
        <v>28.591200000000001</v>
      </c>
      <c r="KA459" s="1008"/>
      <c r="KB459" s="1007"/>
      <c r="KC459" s="1008"/>
      <c r="KD459" s="1007"/>
      <c r="KE459" s="1008"/>
      <c r="KF459" s="1007"/>
      <c r="KG459" s="1008"/>
      <c r="KH459" s="1007"/>
      <c r="KI459" s="1008"/>
      <c r="KJ459" s="1007"/>
      <c r="KK459" s="1008"/>
      <c r="KL459" s="1007"/>
      <c r="KM459" s="1008"/>
      <c r="KN459" s="1007"/>
      <c r="KO459" s="1008"/>
      <c r="KP459" s="1007"/>
      <c r="KQ459" s="1008"/>
      <c r="KR459" s="1007"/>
      <c r="KS459" s="1008"/>
      <c r="KT459" s="1007"/>
      <c r="KU459" s="1008"/>
      <c r="KV459" s="1007"/>
      <c r="KW459" s="1008"/>
      <c r="KX459" s="1007"/>
      <c r="KY459" s="1008"/>
      <c r="KZ459" s="1007"/>
      <c r="LA459" s="1008"/>
      <c r="LB459" s="1007"/>
      <c r="LC459" s="1008"/>
      <c r="LD459" s="1007"/>
      <c r="LE459" s="1008"/>
      <c r="LF459" s="1007"/>
      <c r="LG459" s="1008"/>
      <c r="LH459" s="1007"/>
      <c r="LI459" s="1008"/>
      <c r="LJ459" s="1007"/>
      <c r="LK459" s="1008"/>
      <c r="LL459" s="1007"/>
      <c r="LM459" s="1008"/>
      <c r="LN459" s="1007"/>
      <c r="LO459" s="1008"/>
      <c r="LP459" s="1007"/>
      <c r="LQ459" s="1008"/>
      <c r="LR459" s="1007"/>
      <c r="LS459" s="1008"/>
      <c r="LT459" s="1007"/>
      <c r="LU459" s="1008"/>
      <c r="LV459" s="1007"/>
      <c r="LW459" s="1008"/>
      <c r="LX459" s="1007"/>
      <c r="LY459" s="1009"/>
      <c r="LZ459" s="1010"/>
      <c r="MA459" s="1011"/>
      <c r="MB459" s="1012"/>
      <c r="MC459" s="995"/>
      <c r="MD459" s="996"/>
      <c r="ME459" s="997" t="s">
        <v>202</v>
      </c>
      <c r="MF459" s="997"/>
      <c r="MG459" s="998"/>
      <c r="NR459" s="1000"/>
      <c r="NS459" s="1000"/>
      <c r="NT459" s="1001"/>
      <c r="NU459" s="1000"/>
      <c r="NV459" s="1001"/>
      <c r="NX459" s="1002"/>
      <c r="NZ459" s="1001"/>
      <c r="OA459" s="1001"/>
      <c r="OC459" s="1003"/>
      <c r="OD459" s="1003"/>
      <c r="OE459" s="1001"/>
      <c r="OF459" s="1003"/>
      <c r="OG459" s="1003"/>
      <c r="QX459" s="1000">
        <f>CN459-CA459</f>
        <v>35</v>
      </c>
      <c r="ASU459" s="999" t="s">
        <v>208</v>
      </c>
    </row>
    <row r="460" spans="1:466 1191:1191" ht="21" customHeight="1" x14ac:dyDescent="0.25">
      <c r="A460" s="982">
        <f t="shared" si="323"/>
        <v>1540</v>
      </c>
      <c r="B460" s="124">
        <f>SUBTOTAL(103,$J$29:J460)</f>
        <v>432</v>
      </c>
      <c r="C460" s="126">
        <v>45068</v>
      </c>
      <c r="D460" s="124" t="s">
        <v>176</v>
      </c>
      <c r="E460" s="127" t="s">
        <v>177</v>
      </c>
      <c r="F460" s="128" t="s">
        <v>177</v>
      </c>
      <c r="G460" s="127" t="s">
        <v>178</v>
      </c>
      <c r="H460" s="127" t="s">
        <v>179</v>
      </c>
      <c r="I460" s="127" t="s">
        <v>1304</v>
      </c>
      <c r="J460" s="152">
        <v>1540</v>
      </c>
      <c r="K460" s="127" t="s">
        <v>1705</v>
      </c>
      <c r="L460" s="130">
        <v>42890</v>
      </c>
      <c r="M460" s="127" t="s">
        <v>230</v>
      </c>
      <c r="N460" s="127" t="s">
        <v>184</v>
      </c>
      <c r="O460" s="127" t="s">
        <v>185</v>
      </c>
      <c r="P460" s="127" t="s">
        <v>186</v>
      </c>
      <c r="Q460" s="85">
        <f t="shared" si="319"/>
        <v>-4</v>
      </c>
      <c r="R460" s="130">
        <v>42859</v>
      </c>
      <c r="S460" s="128" t="s">
        <v>747</v>
      </c>
      <c r="T460" s="131" t="s">
        <v>1294</v>
      </c>
      <c r="U460" s="132">
        <v>203</v>
      </c>
      <c r="V460" s="121">
        <v>218.2</v>
      </c>
      <c r="W460" s="116">
        <v>0.98</v>
      </c>
      <c r="X460" s="116">
        <v>1.66</v>
      </c>
      <c r="Y460" s="116">
        <f t="shared" si="346"/>
        <v>0.98</v>
      </c>
      <c r="Z460" s="133">
        <v>1.454</v>
      </c>
      <c r="AA460" s="133">
        <v>0.83599999999999997</v>
      </c>
      <c r="AB460" s="133">
        <v>0.72</v>
      </c>
      <c r="AC460" s="121">
        <v>34.299999999999997</v>
      </c>
      <c r="AD460" s="134">
        <v>1.17</v>
      </c>
      <c r="AE460" s="124">
        <v>177.8</v>
      </c>
      <c r="AF460" s="128">
        <v>9.19</v>
      </c>
      <c r="AG460" s="128">
        <v>3246</v>
      </c>
      <c r="AH460" s="127">
        <v>3252</v>
      </c>
      <c r="AI460" s="127">
        <v>3252</v>
      </c>
      <c r="AJ460" s="135"/>
      <c r="AK460" s="128" t="s">
        <v>1018</v>
      </c>
      <c r="AL460" s="131"/>
      <c r="AM460" s="124" t="s">
        <v>985</v>
      </c>
      <c r="AN460" s="136" t="s">
        <v>1715</v>
      </c>
      <c r="AO460" s="137">
        <v>57.46</v>
      </c>
      <c r="AP460" s="128">
        <v>2430</v>
      </c>
      <c r="AQ460" s="128">
        <v>483.58</v>
      </c>
      <c r="AR460" s="128" t="s">
        <v>1716</v>
      </c>
      <c r="AS460" s="128">
        <v>114</v>
      </c>
      <c r="AT460" s="122">
        <v>7.37</v>
      </c>
      <c r="AU460" s="124" t="s">
        <v>189</v>
      </c>
      <c r="AV460" s="115">
        <f>VLOOKUP(J460,'[63]ТР нефть'!$J$28:$BP$638,39,0)</f>
        <v>529.99998427699995</v>
      </c>
      <c r="AW460" s="115" t="str">
        <f>VLOOKUP(J460,'[63]ТР нефть'!$J$28:$BP$638,40,0)</f>
        <v>ГП</v>
      </c>
      <c r="AX460" s="115">
        <f>VLOOKUP(J460,'[63]ТР нефть'!$J$28:$BP$638,41,0)</f>
        <v>940.00000019499998</v>
      </c>
      <c r="AY460" s="115" t="str">
        <f>VLOOKUP(J460,'[63]ТР нефть'!$J$28:$BP$638,42,0)</f>
        <v>ГП</v>
      </c>
      <c r="AZ460" s="115">
        <f>VLOOKUP(J460,'[63]ТР нефть'!$J$28:$BP$638,43,0)</f>
        <v>1305.000009375</v>
      </c>
      <c r="BA460" s="115" t="str">
        <f>VLOOKUP(J460,'[63]ТР нефть'!$J$28:$BP$638,44,0)</f>
        <v>ГП</v>
      </c>
      <c r="BB460" s="115">
        <f>VLOOKUP(J460,'[63]ТР нефть'!$J$28:$BP$638,45,0)</f>
        <v>1624.999974609</v>
      </c>
      <c r="BC460" s="115" t="str">
        <f>VLOOKUP(J460,'[63]ТР нефть'!$J$28:$BP$638,46,0)</f>
        <v>ГК78 1/8</v>
      </c>
      <c r="BD460" s="115">
        <f>VLOOKUP(J460,'[63]ТР нефть'!$J$28:$BP$638,47,0)</f>
        <v>1960.0000289059999</v>
      </c>
      <c r="BE460" s="115" t="str">
        <f>VLOOKUP(J460,'[63]ТР нефть'!$J$28:$BP$638,48,0)</f>
        <v>ЦКсОК 5/16</v>
      </c>
      <c r="BF460" s="115" t="str">
        <f>VLOOKUP(J460,'[63]ТР нефть'!$J$28:$BP$638,49,0)</f>
        <v>-</v>
      </c>
      <c r="BG460" s="115" t="str">
        <f>VLOOKUP(J460,'[63]ТР нефть'!$J$28:$BP$638,50,0)</f>
        <v>-</v>
      </c>
      <c r="BH460" s="115">
        <f>VLOOKUP(J460,'[63]ТР нефть'!$J$28:$BP$638,51,0)</f>
        <v>1970</v>
      </c>
      <c r="BI460" s="115" t="str">
        <f>VLOOKUP(J460,'[63]ТР нефть'!$J$28:$BP$638,52,0)</f>
        <v>закрыт</v>
      </c>
      <c r="BJ460" s="115" t="str">
        <f>IF(IFERROR(VLOOKUP(J460,'[63]ТР нефть'!$J$28:$BP$638,53,0),"-")=0,"-",IFERROR(VLOOKUP(J460,'[63]ТР нефть'!$J$28:$BP$638,53,0),"-"))</f>
        <v>-</v>
      </c>
      <c r="BK460" s="138" t="str">
        <f>IF(IFERROR(VLOOKUP(J460,'[63]ТР нефть'!$J$28:$BP$638,54,0),"-")=0,"-",IFERROR(VLOOKUP(J460,'[63]ТР нефть'!$J$28:$BP$638,54,0),"-"))</f>
        <v>-</v>
      </c>
      <c r="BL460" s="138" t="str">
        <f>IF(IFERROR(VLOOKUP(J460,'[63]ТР нефть'!$J$28:$BP$638,55,0),"-")=0,"-",IFERROR(VLOOKUP(J460,'[63]ТР нефть'!$J$28:$BP$638,55,0),"-"))</f>
        <v>-</v>
      </c>
      <c r="BM460" s="138" t="str">
        <f>IF(IFERROR(VLOOKUP(J460,'[63]ТР нефть'!$J$28:$BP$638,56,0),"-")=0,"-",IFERROR(VLOOKUP(J460,'[63]ТР нефть'!$J$28:$BP$638,56,0),"-"))</f>
        <v>-</v>
      </c>
      <c r="BN460" s="138" t="str">
        <f>IF(IFERROR(VLOOKUP(J460,'[63]ТР нефть'!$J$28:$BP$638,57,0),"-")=0,"-",IFERROR(VLOOKUP(J460,'[63]ТР нефть'!$J$28:$BP$638,57,0),"-"))</f>
        <v>-</v>
      </c>
      <c r="BO460" s="115" t="str">
        <f>IF(IFERROR(VLOOKUP(J460,'[63]ТР нефть'!$J$28:$BP$638,58,0),"-")=0,"-",IFERROR(VLOOKUP(J460,'[63]ТР нефть'!$J$28:$BP$638,58,0),"-"))</f>
        <v>-</v>
      </c>
      <c r="BP460" s="115" t="str">
        <f>IF(IFERROR(VLOOKUP(J460,'[63]ТР нефть'!$J$28:$BP$638,59,0),"-")=0,"-",IFERROR(VLOOKUP(J460,'[63]ТР нефть'!$J$28:$BP$638,59,0),"-"))</f>
        <v>-</v>
      </c>
      <c r="BQ460" s="138">
        <v>1992</v>
      </c>
      <c r="BR460" s="128">
        <v>1541.91</v>
      </c>
      <c r="BS460" s="115">
        <f t="shared" si="351"/>
        <v>450.08999999999992</v>
      </c>
      <c r="BT460" s="128">
        <v>73</v>
      </c>
      <c r="BU460" s="128">
        <v>5.5</v>
      </c>
      <c r="BV460" s="127">
        <v>18</v>
      </c>
      <c r="BW460" s="127" t="s">
        <v>194</v>
      </c>
      <c r="BX460" s="127" t="s">
        <v>218</v>
      </c>
      <c r="BY460" s="139">
        <v>24</v>
      </c>
      <c r="BZ460" s="139">
        <v>48</v>
      </c>
      <c r="CA460" s="138">
        <v>8</v>
      </c>
      <c r="CB460" s="138">
        <v>45</v>
      </c>
      <c r="CC460" s="138">
        <v>7</v>
      </c>
      <c r="CD460" s="135">
        <v>45017</v>
      </c>
      <c r="CE460" s="138">
        <v>99</v>
      </c>
      <c r="CF460" s="138">
        <v>71</v>
      </c>
      <c r="CG460" s="138" t="str">
        <f t="shared" si="352"/>
        <v>В работе</v>
      </c>
      <c r="CH460" s="138" t="s">
        <v>272</v>
      </c>
      <c r="CI460" s="127">
        <v>5</v>
      </c>
      <c r="CJ460" s="138"/>
      <c r="CK460" s="138">
        <f t="shared" si="356"/>
        <v>56</v>
      </c>
      <c r="CL460" s="99"/>
      <c r="CM460" s="99"/>
      <c r="CN460" s="140">
        <v>64</v>
      </c>
      <c r="CO460" s="141">
        <f t="shared" si="324"/>
        <v>2.7866666666666666</v>
      </c>
      <c r="CP460" s="142">
        <f>10/3</f>
        <v>3.3333333333333335</v>
      </c>
      <c r="CQ460" s="143">
        <v>0</v>
      </c>
      <c r="CR460" s="138">
        <f>17/3</f>
        <v>5.666666666666667</v>
      </c>
      <c r="CS460" s="139">
        <f>12/3</f>
        <v>4</v>
      </c>
      <c r="CT460" s="138"/>
      <c r="CU460" s="138">
        <f t="shared" si="320"/>
        <v>1.666666666666667</v>
      </c>
      <c r="CV460" s="115">
        <f t="shared" si="321"/>
        <v>598.08612440191405</v>
      </c>
      <c r="CW460" s="115">
        <f t="shared" si="325"/>
        <v>1435.4066985645932</v>
      </c>
      <c r="CX460" s="133">
        <f t="shared" si="322"/>
        <v>9.5238095238095247E-2</v>
      </c>
      <c r="CY460" s="116"/>
      <c r="CZ460" s="131"/>
      <c r="DA460" s="145" t="str">
        <f t="shared" si="326"/>
        <v>Газлифт</v>
      </c>
      <c r="DB460" s="146">
        <f t="shared" si="341"/>
        <v>2.7866666666666666</v>
      </c>
      <c r="DC460" s="142">
        <f t="shared" si="342"/>
        <v>3.3333333333333335</v>
      </c>
      <c r="DD460" s="119">
        <f t="shared" si="350"/>
        <v>0</v>
      </c>
      <c r="DE460" s="115">
        <f t="shared" si="343"/>
        <v>1.666666666666667</v>
      </c>
      <c r="DF460" s="121">
        <f t="shared" si="328"/>
        <v>4</v>
      </c>
      <c r="DG460" s="115">
        <f t="shared" si="329"/>
        <v>598.08612440191405</v>
      </c>
      <c r="DH460" s="115">
        <f t="shared" si="330"/>
        <v>64</v>
      </c>
      <c r="DI460" s="147"/>
      <c r="DJ460" s="111">
        <v>43615</v>
      </c>
      <c r="DK460" s="112">
        <v>43345</v>
      </c>
      <c r="DL460" s="113">
        <f t="shared" ca="1" si="312"/>
        <v>1759</v>
      </c>
      <c r="DM460" s="114"/>
      <c r="DN460" s="114"/>
      <c r="DO460" s="114"/>
      <c r="DP460" s="114"/>
      <c r="DQ460" s="112">
        <v>42890</v>
      </c>
      <c r="DR460" s="114" t="s">
        <v>324</v>
      </c>
      <c r="DS460" s="114"/>
      <c r="DT460" s="115">
        <v>60</v>
      </c>
      <c r="DU460" s="116">
        <f t="shared" si="313"/>
        <v>9.3209054593874852E-2</v>
      </c>
      <c r="DV460" s="117">
        <f t="shared" si="314"/>
        <v>3.0389880159786955</v>
      </c>
      <c r="DW460" s="118">
        <f t="shared" si="315"/>
        <v>3.635153129161119</v>
      </c>
      <c r="DX460" s="119">
        <f t="shared" si="331"/>
        <v>0</v>
      </c>
      <c r="DY460" s="115">
        <f t="shared" si="316"/>
        <v>1.8175765645805599</v>
      </c>
      <c r="DZ460" s="117">
        <f t="shared" si="349"/>
        <v>0.25232134931202888</v>
      </c>
      <c r="EA460" s="120">
        <f t="shared" si="349"/>
        <v>0.30181979582778551</v>
      </c>
      <c r="EB460" s="119">
        <f t="shared" si="349"/>
        <v>0</v>
      </c>
      <c r="EC460" s="121">
        <f t="shared" si="318"/>
        <v>0.15090989791389298</v>
      </c>
      <c r="ED460" s="122"/>
      <c r="EE460" s="145">
        <v>18</v>
      </c>
      <c r="EF460" s="115">
        <v>8</v>
      </c>
      <c r="EG460" s="115">
        <v>44</v>
      </c>
      <c r="EH460" s="115">
        <v>7</v>
      </c>
      <c r="EI460" s="128" t="s">
        <v>218</v>
      </c>
      <c r="EJ460" s="121">
        <v>24</v>
      </c>
      <c r="EK460" s="121">
        <v>48</v>
      </c>
      <c r="EL460" s="149">
        <v>2.2293333333333329</v>
      </c>
      <c r="EM460" s="142">
        <v>2.6666666666666665</v>
      </c>
      <c r="EN460" s="119">
        <v>0</v>
      </c>
      <c r="EO460" s="115">
        <v>4</v>
      </c>
      <c r="EP460" s="115">
        <v>717.70334928229681</v>
      </c>
      <c r="EQ460" s="115">
        <v>69</v>
      </c>
      <c r="ER460" s="115">
        <v>2.4</v>
      </c>
      <c r="ES460" s="115">
        <v>44</v>
      </c>
      <c r="ET460" s="150">
        <v>4.8484848484848485E-2</v>
      </c>
      <c r="EU460" s="145">
        <f t="shared" si="332"/>
        <v>18</v>
      </c>
      <c r="EV460" s="115">
        <f t="shared" si="333"/>
        <v>8</v>
      </c>
      <c r="EW460" s="115">
        <f t="shared" si="333"/>
        <v>45</v>
      </c>
      <c r="EX460" s="115">
        <f t="shared" si="333"/>
        <v>7</v>
      </c>
      <c r="EY460" s="115" t="str">
        <f t="shared" si="357"/>
        <v>Периодический</v>
      </c>
      <c r="EZ460" s="115">
        <f t="shared" si="357"/>
        <v>24</v>
      </c>
      <c r="FA460" s="115">
        <f t="shared" si="357"/>
        <v>48</v>
      </c>
      <c r="FB460" s="149">
        <f t="shared" si="345"/>
        <v>2.7866666666666666</v>
      </c>
      <c r="FC460" s="142">
        <f t="shared" si="345"/>
        <v>3.3333333333333335</v>
      </c>
      <c r="FD460" s="119">
        <f t="shared" si="345"/>
        <v>0</v>
      </c>
      <c r="FE460" s="121">
        <f t="shared" si="344"/>
        <v>5.666666666666667</v>
      </c>
      <c r="FF460" s="121">
        <f t="shared" si="347"/>
        <v>598.08612440191405</v>
      </c>
      <c r="FG460" s="121">
        <f t="shared" si="334"/>
        <v>71</v>
      </c>
      <c r="FH460" s="121">
        <f t="shared" si="358"/>
        <v>4</v>
      </c>
      <c r="FI460" s="121">
        <f t="shared" si="355"/>
        <v>64</v>
      </c>
      <c r="FJ460" s="144">
        <f t="shared" si="335"/>
        <v>9.5238095238095247E-2</v>
      </c>
      <c r="FK460" s="132">
        <f t="shared" si="336"/>
        <v>0</v>
      </c>
      <c r="FL460" s="115">
        <f t="shared" si="336"/>
        <v>0</v>
      </c>
      <c r="FM460" s="115">
        <f t="shared" si="336"/>
        <v>1</v>
      </c>
      <c r="FN460" s="115">
        <f t="shared" si="336"/>
        <v>0</v>
      </c>
      <c r="FO460" s="115">
        <f t="shared" si="354"/>
        <v>0</v>
      </c>
      <c r="FP460" s="115">
        <f t="shared" si="354"/>
        <v>0</v>
      </c>
      <c r="FQ460" s="149">
        <f t="shared" si="354"/>
        <v>0.55733333333333368</v>
      </c>
      <c r="FR460" s="142">
        <f t="shared" si="354"/>
        <v>0.66666666666666696</v>
      </c>
      <c r="FS460" s="119">
        <f t="shared" si="354"/>
        <v>0</v>
      </c>
      <c r="FT460" s="121">
        <f t="shared" si="353"/>
        <v>1.666666666666667</v>
      </c>
      <c r="FU460" s="121">
        <f t="shared" si="337"/>
        <v>2</v>
      </c>
      <c r="FV460" s="121">
        <f t="shared" si="337"/>
        <v>1.6</v>
      </c>
      <c r="FW460" s="121">
        <f t="shared" si="338"/>
        <v>-119.61722488038276</v>
      </c>
      <c r="FX460" s="121">
        <f t="shared" si="339"/>
        <v>20</v>
      </c>
      <c r="FY460" s="144">
        <f t="shared" si="339"/>
        <v>4.6753246753246762E-2</v>
      </c>
      <c r="FZ460" s="145"/>
      <c r="GA460" s="136"/>
      <c r="GB460" s="145" t="s">
        <v>223</v>
      </c>
      <c r="GC460" s="151" t="s">
        <v>1176</v>
      </c>
      <c r="GD460" s="997" t="s">
        <v>202</v>
      </c>
      <c r="GE460" s="1004" t="s">
        <v>223</v>
      </c>
      <c r="GF460" s="1004">
        <v>-1.9547547066666668</v>
      </c>
      <c r="GG460" s="1004"/>
      <c r="GH460" s="1004">
        <v>0</v>
      </c>
      <c r="GI460" s="145"/>
      <c r="GJ460" s="996">
        <v>0</v>
      </c>
      <c r="GK460" s="145"/>
      <c r="GL460" s="996">
        <v>0</v>
      </c>
      <c r="GM460" s="1005"/>
      <c r="GN460" s="996">
        <v>-0.68143196000000028</v>
      </c>
      <c r="GO460" s="1006" t="s">
        <v>240</v>
      </c>
      <c r="GP460" s="996">
        <v>-2.9046870159999996</v>
      </c>
      <c r="GQ460" s="1006"/>
      <c r="GR460" s="996">
        <v>0</v>
      </c>
      <c r="GS460" s="1006"/>
      <c r="GT460" s="996">
        <v>0</v>
      </c>
      <c r="GU460" s="1006" t="s">
        <v>204</v>
      </c>
      <c r="GV460" s="996">
        <v>1.6766030159999996</v>
      </c>
      <c r="GW460" s="1006" t="s">
        <v>199</v>
      </c>
      <c r="GX460" s="996">
        <v>-3.8380759999999983</v>
      </c>
      <c r="GY460" s="1006"/>
      <c r="GZ460" s="996">
        <v>-0.10857633600000227</v>
      </c>
      <c r="HA460" s="1006"/>
      <c r="HB460" s="996">
        <v>0.63025633600000042</v>
      </c>
      <c r="HC460" s="1006" t="s">
        <v>223</v>
      </c>
      <c r="HD460" s="996">
        <v>-3.6341796128000015</v>
      </c>
      <c r="HE460" s="1006"/>
      <c r="HF460" s="996">
        <v>-0.60922664000000104</v>
      </c>
      <c r="HG460" s="1006" t="s">
        <v>199</v>
      </c>
      <c r="HH460" s="996">
        <v>0.25993330000000192</v>
      </c>
      <c r="HI460" s="1006" t="s">
        <v>204</v>
      </c>
      <c r="HJ460" s="996">
        <v>3.4940578199999983</v>
      </c>
      <c r="HK460" s="1006"/>
      <c r="HL460" s="996">
        <v>0</v>
      </c>
      <c r="HM460" s="1006"/>
      <c r="HN460" s="996">
        <v>0</v>
      </c>
      <c r="HO460" s="1006"/>
      <c r="HP460" s="996">
        <v>0</v>
      </c>
      <c r="HQ460" s="1006"/>
      <c r="HR460" s="996">
        <v>-0.14106998399999959</v>
      </c>
      <c r="HS460" s="1006"/>
      <c r="HT460" s="996">
        <v>0</v>
      </c>
      <c r="HU460" s="1006"/>
      <c r="HV460" s="996">
        <v>3.6095136000000139E-2</v>
      </c>
      <c r="HW460" s="1006"/>
      <c r="HX460" s="996">
        <v>0</v>
      </c>
      <c r="HY460" s="1006"/>
      <c r="HZ460" s="996">
        <v>0</v>
      </c>
      <c r="IA460" s="1006"/>
      <c r="IB460" s="996">
        <v>5.4264760000002354E-3</v>
      </c>
      <c r="IC460" s="1006"/>
      <c r="ID460" s="996">
        <v>-0.26768970799999892</v>
      </c>
      <c r="IE460" s="1006"/>
      <c r="IF460" s="996">
        <v>0.8843876799999979</v>
      </c>
      <c r="IG460" s="1006" t="s">
        <v>204</v>
      </c>
      <c r="IH460" s="996">
        <v>-2.0023871999999976</v>
      </c>
      <c r="II460" s="1006"/>
      <c r="IJ460" s="996">
        <v>0.58402959999999915</v>
      </c>
      <c r="IK460" s="1006" t="s">
        <v>199</v>
      </c>
      <c r="IL460" s="996">
        <v>-5.923728800000001</v>
      </c>
      <c r="IM460" s="1006"/>
      <c r="IN460" s="996">
        <v>0</v>
      </c>
      <c r="IO460" s="1006"/>
      <c r="IP460" s="996">
        <v>-0.94986319999999758</v>
      </c>
      <c r="IQ460" s="1006" t="s">
        <v>199</v>
      </c>
      <c r="IR460" s="996">
        <v>3.9629743999999985</v>
      </c>
      <c r="IS460" s="1006"/>
      <c r="IT460" s="996">
        <v>0</v>
      </c>
      <c r="IU460" s="1006"/>
      <c r="IV460" s="996">
        <v>0</v>
      </c>
      <c r="IW460" s="1006"/>
      <c r="IX460" s="996">
        <v>0</v>
      </c>
      <c r="IY460" s="1006"/>
      <c r="IZ460" s="996">
        <v>0</v>
      </c>
      <c r="JA460" s="1006"/>
      <c r="JB460" s="996">
        <v>-0.77079199999999837</v>
      </c>
      <c r="JC460" s="1006" t="s">
        <v>199</v>
      </c>
      <c r="JD460" s="996">
        <v>-10.331065624000001</v>
      </c>
      <c r="JE460" s="1006"/>
      <c r="JF460" s="996">
        <v>0</v>
      </c>
      <c r="JG460" s="1006" t="s">
        <v>199</v>
      </c>
      <c r="JH460" s="996">
        <v>7.0385632240000007</v>
      </c>
      <c r="JI460" s="1006"/>
      <c r="JJ460" s="996">
        <v>0</v>
      </c>
      <c r="JK460" s="1007"/>
      <c r="JL460" s="1007">
        <v>0</v>
      </c>
      <c r="JM460" s="1007"/>
      <c r="JN460" s="1007">
        <v>0</v>
      </c>
      <c r="JO460" s="1008" t="s">
        <v>199</v>
      </c>
      <c r="JP460" s="1007">
        <v>6.0969479999999994</v>
      </c>
      <c r="JQ460" s="1008" t="s">
        <v>199</v>
      </c>
      <c r="JR460" s="1007">
        <v>-7.8360453600000017</v>
      </c>
      <c r="JS460" s="1008" t="s">
        <v>204</v>
      </c>
      <c r="JT460" s="1007">
        <v>11.202617360000001</v>
      </c>
      <c r="JU460" s="1008"/>
      <c r="JV460" s="1007">
        <v>0</v>
      </c>
      <c r="JW460" s="1008" t="s">
        <v>197</v>
      </c>
      <c r="JX460" s="1007">
        <v>0</v>
      </c>
      <c r="JY460" s="1008"/>
      <c r="JZ460" s="1007">
        <v>0</v>
      </c>
      <c r="KA460" s="1008" t="s">
        <v>204</v>
      </c>
      <c r="KB460" s="1007">
        <v>2.9092800000000003</v>
      </c>
      <c r="KC460" s="1008"/>
      <c r="KD460" s="1007">
        <v>-5.0494400000000006</v>
      </c>
      <c r="KE460" s="1008"/>
      <c r="KF460" s="1007">
        <v>0</v>
      </c>
      <c r="KG460" s="1008"/>
      <c r="KH460" s="1007">
        <v>0</v>
      </c>
      <c r="KI460" s="1008"/>
      <c r="KJ460" s="1007">
        <v>0</v>
      </c>
      <c r="KK460" s="1008"/>
      <c r="KL460" s="1007">
        <v>0</v>
      </c>
      <c r="KM460" s="1008"/>
      <c r="KN460" s="1007">
        <v>-0.80255999999999794</v>
      </c>
      <c r="KO460" s="1008"/>
      <c r="KP460" s="1007">
        <v>0</v>
      </c>
      <c r="KQ460" s="1008">
        <v>0</v>
      </c>
      <c r="KR460" s="1007">
        <v>0</v>
      </c>
      <c r="KS460" s="1008">
        <v>0</v>
      </c>
      <c r="KT460" s="1007">
        <v>0</v>
      </c>
      <c r="KU460" s="1008">
        <v>0</v>
      </c>
      <c r="KV460" s="1007">
        <v>0</v>
      </c>
      <c r="KW460" s="1008">
        <v>0</v>
      </c>
      <c r="KX460" s="1007">
        <v>0</v>
      </c>
      <c r="KY460" s="1008">
        <v>0</v>
      </c>
      <c r="KZ460" s="1007">
        <v>0</v>
      </c>
      <c r="LA460" s="1008">
        <v>0</v>
      </c>
      <c r="LB460" s="1007">
        <v>0</v>
      </c>
      <c r="LC460" s="1008">
        <v>0</v>
      </c>
      <c r="LD460" s="1007">
        <v>0</v>
      </c>
      <c r="LE460" s="1008" t="s">
        <v>203</v>
      </c>
      <c r="LF460" s="1007">
        <v>-2.2368851999999979</v>
      </c>
      <c r="LG460" s="1008" t="s">
        <v>203</v>
      </c>
      <c r="LH460" s="1007">
        <v>-4.6394656000000012</v>
      </c>
      <c r="LI460" s="1008">
        <v>0</v>
      </c>
      <c r="LJ460" s="1007">
        <v>0</v>
      </c>
      <c r="LK460" s="1008" t="s">
        <v>203</v>
      </c>
      <c r="LL460" s="1007">
        <v>-1.8226471999999987</v>
      </c>
      <c r="LM460" s="1008" t="s">
        <v>203</v>
      </c>
      <c r="LN460" s="1007">
        <v>-14.084099999999999</v>
      </c>
      <c r="LO460" s="1008" t="s">
        <v>203</v>
      </c>
      <c r="LP460" s="1007">
        <v>-6.75556</v>
      </c>
      <c r="LQ460" s="1008" t="s">
        <v>25</v>
      </c>
      <c r="LR460" s="1007">
        <v>39.161200000000001</v>
      </c>
      <c r="LS460" s="1008">
        <v>0</v>
      </c>
      <c r="LT460" s="1007">
        <v>0</v>
      </c>
      <c r="LU460" s="1008">
        <v>0</v>
      </c>
      <c r="LV460" s="1007">
        <v>0</v>
      </c>
      <c r="LW460" s="1008">
        <v>0</v>
      </c>
      <c r="LX460" s="1007">
        <v>0</v>
      </c>
      <c r="LY460" s="1009">
        <v>0</v>
      </c>
      <c r="LZ460" s="1010">
        <v>0</v>
      </c>
      <c r="MA460" s="1011">
        <v>0</v>
      </c>
      <c r="MB460" s="1012">
        <v>0</v>
      </c>
      <c r="MC460" s="995"/>
      <c r="MD460" s="996"/>
      <c r="ME460" s="997" t="s">
        <v>202</v>
      </c>
      <c r="MF460" s="997"/>
      <c r="MG460" s="998"/>
      <c r="NR460" s="1000"/>
      <c r="NS460" s="1000"/>
      <c r="NT460" s="1001"/>
      <c r="NU460" s="1000"/>
      <c r="NV460" s="1001"/>
      <c r="NX460" s="1002"/>
      <c r="NZ460" s="1001"/>
      <c r="OA460" s="1001"/>
      <c r="OC460" s="1003"/>
      <c r="OD460" s="1003"/>
      <c r="OE460" s="1001"/>
      <c r="OF460" s="1003"/>
      <c r="OG460" s="1003"/>
      <c r="QX460" s="1000">
        <f>CN460-CA460</f>
        <v>56</v>
      </c>
      <c r="ASU460" s="999" t="s">
        <v>208</v>
      </c>
    </row>
    <row r="461" spans="1:466 1191:1191" ht="21" customHeight="1" x14ac:dyDescent="0.25">
      <c r="A461" s="982">
        <f t="shared" si="323"/>
        <v>1541</v>
      </c>
      <c r="B461" s="124">
        <f>SUBTOTAL(103,$J$29:J461)</f>
        <v>433</v>
      </c>
      <c r="C461" s="126">
        <v>45068</v>
      </c>
      <c r="D461" s="124" t="s">
        <v>176</v>
      </c>
      <c r="E461" s="127" t="s">
        <v>177</v>
      </c>
      <c r="F461" s="128" t="s">
        <v>177</v>
      </c>
      <c r="G461" s="127" t="s">
        <v>178</v>
      </c>
      <c r="H461" s="127" t="s">
        <v>179</v>
      </c>
      <c r="I461" s="127" t="s">
        <v>1304</v>
      </c>
      <c r="J461" s="152">
        <v>1541</v>
      </c>
      <c r="K461" s="127" t="s">
        <v>1717</v>
      </c>
      <c r="L461" s="130">
        <v>43284</v>
      </c>
      <c r="M461" s="127" t="s">
        <v>230</v>
      </c>
      <c r="N461" s="127" t="s">
        <v>184</v>
      </c>
      <c r="O461" s="127" t="s">
        <v>185</v>
      </c>
      <c r="P461" s="127" t="s">
        <v>186</v>
      </c>
      <c r="Q461" s="85">
        <f t="shared" si="319"/>
        <v>-4</v>
      </c>
      <c r="R461" s="130">
        <v>43215</v>
      </c>
      <c r="S461" s="128" t="s">
        <v>747</v>
      </c>
      <c r="T461" s="131" t="s">
        <v>1718</v>
      </c>
      <c r="U461" s="132">
        <v>203</v>
      </c>
      <c r="V461" s="121">
        <v>218.2</v>
      </c>
      <c r="W461" s="116">
        <v>0.98</v>
      </c>
      <c r="X461" s="116">
        <v>1.66</v>
      </c>
      <c r="Y461" s="116">
        <f t="shared" si="346"/>
        <v>0.98</v>
      </c>
      <c r="Z461" s="133">
        <v>1.454</v>
      </c>
      <c r="AA461" s="133">
        <v>0.83599999999999997</v>
      </c>
      <c r="AB461" s="133">
        <v>0.72</v>
      </c>
      <c r="AC461" s="121">
        <v>34.299999999999997</v>
      </c>
      <c r="AD461" s="134">
        <v>1.17</v>
      </c>
      <c r="AE461" s="124">
        <v>177.8</v>
      </c>
      <c r="AF461" s="128">
        <v>9.19</v>
      </c>
      <c r="AG461" s="128">
        <v>2206.5</v>
      </c>
      <c r="AH461" s="138">
        <v>2866.2</v>
      </c>
      <c r="AI461" s="138">
        <v>2866.2</v>
      </c>
      <c r="AJ461" s="135">
        <v>43146</v>
      </c>
      <c r="AK461" s="128" t="s">
        <v>1018</v>
      </c>
      <c r="AL461" s="131"/>
      <c r="AM461" s="124" t="s">
        <v>985</v>
      </c>
      <c r="AN461" s="136" t="s">
        <v>1719</v>
      </c>
      <c r="AO461" s="137">
        <v>8.23</v>
      </c>
      <c r="AP461" s="128">
        <v>2270.5300000000002</v>
      </c>
      <c r="AQ461" s="128">
        <v>362.89</v>
      </c>
      <c r="AR461" s="128" t="s">
        <v>1720</v>
      </c>
      <c r="AS461" s="128">
        <v>114</v>
      </c>
      <c r="AT461" s="122">
        <v>7.37</v>
      </c>
      <c r="AU461" s="124" t="s">
        <v>189</v>
      </c>
      <c r="AV461" s="115">
        <f>VLOOKUP(J461,'[63]ТР нефть'!$J$28:$BP$638,39,0)</f>
        <v>589.99996845700002</v>
      </c>
      <c r="AW461" s="115" t="str">
        <f>VLOOKUP(J461,'[63]ТР нефть'!$J$28:$BP$638,40,0)</f>
        <v>ГП</v>
      </c>
      <c r="AX461" s="115">
        <f>VLOOKUP(J461,'[63]ТР нефть'!$J$28:$BP$638,41,0)</f>
        <v>1102.00000957</v>
      </c>
      <c r="AY461" s="115" t="str">
        <f>VLOOKUP(J461,'[63]ТР нефть'!$J$28:$BP$638,42,0)</f>
        <v>ГК80 1/8</v>
      </c>
      <c r="AZ461" s="115">
        <f>VLOOKUP(J461,'[63]ТР нефть'!$J$28:$BP$638,43,0)</f>
        <v>1530.9999820309999</v>
      </c>
      <c r="BA461" s="115" t="str">
        <f>VLOOKUP(J461,'[63]ТР нефть'!$J$28:$BP$638,44,0)</f>
        <v>ГК79 1/8</v>
      </c>
      <c r="BB461" s="115">
        <f>VLOOKUP(J461,'[63]ТР нефть'!$J$28:$BP$638,45,0)</f>
        <v>1865.000060156</v>
      </c>
      <c r="BC461" s="115" t="str">
        <f>VLOOKUP(J461,'[63]ТР нефть'!$J$28:$BP$638,46,0)</f>
        <v>ЦКсОК 5/16</v>
      </c>
      <c r="BD461" s="115" t="str">
        <f>VLOOKUP(J461,'[63]ТР нефть'!$J$28:$BP$638,47,0)</f>
        <v>-</v>
      </c>
      <c r="BE461" s="115" t="str">
        <f>VLOOKUP(J461,'[63]ТР нефть'!$J$28:$BP$638,48,0)</f>
        <v>-</v>
      </c>
      <c r="BF461" s="115" t="str">
        <f>VLOOKUP(J461,'[63]ТР нефть'!$J$28:$BP$638,49,0)</f>
        <v>-</v>
      </c>
      <c r="BG461" s="115" t="str">
        <f>VLOOKUP(J461,'[63]ТР нефть'!$J$28:$BP$638,50,0)</f>
        <v>-</v>
      </c>
      <c r="BH461" s="115">
        <f>VLOOKUP(J461,'[63]ТР нефть'!$J$28:$BP$638,51,0)</f>
        <v>1949</v>
      </c>
      <c r="BI461" s="115" t="str">
        <f>VLOOKUP(J461,'[63]ТР нефть'!$J$28:$BP$638,52,0)</f>
        <v>закрыт</v>
      </c>
      <c r="BJ461" s="115" t="str">
        <f>IF(IFERROR(VLOOKUP(J461,'[63]ТР нефть'!$J$28:$BP$638,53,0),"-")=0,"-",IFERROR(VLOOKUP(J461,'[63]ТР нефть'!$J$28:$BP$638,53,0),"-"))</f>
        <v>-</v>
      </c>
      <c r="BK461" s="138" t="str">
        <f>IF(IFERROR(VLOOKUP(J461,'[63]ТР нефть'!$J$28:$BP$638,54,0),"-")=0,"-",IFERROR(VLOOKUP(J461,'[63]ТР нефть'!$J$28:$BP$638,54,0),"-"))</f>
        <v>-</v>
      </c>
      <c r="BL461" s="138" t="str">
        <f>IF(IFERROR(VLOOKUP(J461,'[63]ТР нефть'!$J$28:$BP$638,55,0),"-")=0,"-",IFERROR(VLOOKUP(J461,'[63]ТР нефть'!$J$28:$BP$638,55,0),"-"))</f>
        <v>-</v>
      </c>
      <c r="BM461" s="138" t="str">
        <f>IF(IFERROR(VLOOKUP(J461,'[63]ТР нефть'!$J$28:$BP$638,56,0),"-")=0,"-",IFERROR(VLOOKUP(J461,'[63]ТР нефть'!$J$28:$BP$638,56,0),"-"))</f>
        <v>-</v>
      </c>
      <c r="BN461" s="138" t="str">
        <f>IF(IFERROR(VLOOKUP(J461,'[63]ТР нефть'!$J$28:$BP$638,57,0),"-")=0,"-",IFERROR(VLOOKUP(J461,'[63]ТР нефть'!$J$28:$BP$638,57,0),"-"))</f>
        <v>-</v>
      </c>
      <c r="BO461" s="115" t="str">
        <f>IF(IFERROR(VLOOKUP(J461,'[63]ТР нефть'!$J$28:$BP$638,58,0),"-")=0,"-",IFERROR(VLOOKUP(J461,'[63]ТР нефть'!$J$28:$BP$638,58,0),"-"))</f>
        <v>-</v>
      </c>
      <c r="BP461" s="115" t="str">
        <f>IF(IFERROR(VLOOKUP(J461,'[63]ТР нефть'!$J$28:$BP$638,59,0),"-")=0,"-",IFERROR(VLOOKUP(J461,'[63]ТР нефть'!$J$28:$BP$638,59,0),"-"))</f>
        <v>-</v>
      </c>
      <c r="BQ461" s="138">
        <v>1982</v>
      </c>
      <c r="BR461" s="128">
        <v>1744.9</v>
      </c>
      <c r="BS461" s="115">
        <f t="shared" si="351"/>
        <v>237.09999999999991</v>
      </c>
      <c r="BT461" s="128">
        <v>73</v>
      </c>
      <c r="BU461" s="128">
        <v>5.5</v>
      </c>
      <c r="BV461" s="127">
        <v>18</v>
      </c>
      <c r="BW461" s="127" t="s">
        <v>217</v>
      </c>
      <c r="BX461" s="127" t="s">
        <v>218</v>
      </c>
      <c r="BY461" s="139">
        <v>24</v>
      </c>
      <c r="BZ461" s="139">
        <v>48</v>
      </c>
      <c r="CA461" s="138">
        <v>7</v>
      </c>
      <c r="CB461" s="138">
        <v>28</v>
      </c>
      <c r="CC461" s="138">
        <v>6</v>
      </c>
      <c r="CD461" s="135">
        <v>45017</v>
      </c>
      <c r="CE461" s="138">
        <v>95</v>
      </c>
      <c r="CF461" s="138">
        <v>70</v>
      </c>
      <c r="CG461" s="138" t="str">
        <f t="shared" si="352"/>
        <v>В работе</v>
      </c>
      <c r="CH461" s="138" t="s">
        <v>196</v>
      </c>
      <c r="CI461" s="127">
        <v>5</v>
      </c>
      <c r="CJ461" s="138"/>
      <c r="CK461" s="138">
        <f t="shared" si="356"/>
        <v>31</v>
      </c>
      <c r="CL461" s="99"/>
      <c r="CM461" s="99"/>
      <c r="CN461" s="140">
        <v>38</v>
      </c>
      <c r="CO461" s="141">
        <f t="shared" si="324"/>
        <v>5.7683999999999997</v>
      </c>
      <c r="CP461" s="142">
        <f>20.7/3</f>
        <v>6.8999999999999995</v>
      </c>
      <c r="CQ461" s="143">
        <v>0</v>
      </c>
      <c r="CR461" s="138">
        <v>10</v>
      </c>
      <c r="CS461" s="139">
        <v>3</v>
      </c>
      <c r="CT461" s="138"/>
      <c r="CU461" s="138">
        <f t="shared" si="320"/>
        <v>7</v>
      </c>
      <c r="CV461" s="115">
        <f t="shared" si="321"/>
        <v>1213.5080784966369</v>
      </c>
      <c r="CW461" s="115">
        <f t="shared" si="325"/>
        <v>520.07489078427307</v>
      </c>
      <c r="CX461" s="133">
        <f t="shared" si="322"/>
        <v>0.12105263157894736</v>
      </c>
      <c r="CY461" s="116"/>
      <c r="CZ461" s="201"/>
      <c r="DA461" s="145" t="str">
        <f t="shared" si="326"/>
        <v>Газлифт</v>
      </c>
      <c r="DB461" s="146">
        <f t="shared" si="341"/>
        <v>5.7683999999999997</v>
      </c>
      <c r="DC461" s="142">
        <f t="shared" si="342"/>
        <v>6.8999999999999995</v>
      </c>
      <c r="DD461" s="119">
        <f t="shared" si="350"/>
        <v>0</v>
      </c>
      <c r="DE461" s="115">
        <f t="shared" si="343"/>
        <v>7</v>
      </c>
      <c r="DF461" s="121">
        <f t="shared" si="328"/>
        <v>3</v>
      </c>
      <c r="DG461" s="115">
        <f t="shared" si="329"/>
        <v>1213.5080784966369</v>
      </c>
      <c r="DH461" s="115">
        <f t="shared" si="330"/>
        <v>38</v>
      </c>
      <c r="DI461" s="147"/>
      <c r="DJ461" s="111" t="s">
        <v>197</v>
      </c>
      <c r="DK461" s="112">
        <v>43284</v>
      </c>
      <c r="DL461" s="113">
        <f t="shared" ca="1" si="312"/>
        <v>1820</v>
      </c>
      <c r="DM461" s="114"/>
      <c r="DN461" s="114"/>
      <c r="DO461" s="114"/>
      <c r="DP461" s="114"/>
      <c r="DQ461" s="112">
        <v>43284</v>
      </c>
      <c r="DR461" s="114" t="s">
        <v>324</v>
      </c>
      <c r="DS461" s="114"/>
      <c r="DT461" s="115">
        <v>45</v>
      </c>
      <c r="DU461" s="116">
        <f t="shared" si="313"/>
        <v>0.13799999999999998</v>
      </c>
      <c r="DV461" s="117">
        <f t="shared" si="314"/>
        <v>5.7683999999999997</v>
      </c>
      <c r="DW461" s="118">
        <f t="shared" si="315"/>
        <v>6.8999999999999995</v>
      </c>
      <c r="DX461" s="119">
        <f t="shared" si="331"/>
        <v>0</v>
      </c>
      <c r="DY461" s="115">
        <f t="shared" si="316"/>
        <v>7</v>
      </c>
      <c r="DZ461" s="117">
        <f t="shared" si="349"/>
        <v>0</v>
      </c>
      <c r="EA461" s="120">
        <f t="shared" si="349"/>
        <v>0</v>
      </c>
      <c r="EB461" s="119">
        <f t="shared" si="349"/>
        <v>0</v>
      </c>
      <c r="EC461" s="121">
        <f t="shared" si="318"/>
        <v>0</v>
      </c>
      <c r="ED461" s="122"/>
      <c r="EE461" s="145">
        <v>18</v>
      </c>
      <c r="EF461" s="115">
        <v>7</v>
      </c>
      <c r="EG461" s="115">
        <v>28</v>
      </c>
      <c r="EH461" s="115">
        <v>6</v>
      </c>
      <c r="EI461" s="128" t="s">
        <v>218</v>
      </c>
      <c r="EJ461" s="121">
        <v>24</v>
      </c>
      <c r="EK461" s="121">
        <v>48</v>
      </c>
      <c r="EL461" s="149">
        <v>5.7683999999999997</v>
      </c>
      <c r="EM461" s="142">
        <v>6.8999999999999995</v>
      </c>
      <c r="EN461" s="119">
        <v>0</v>
      </c>
      <c r="EO461" s="115">
        <v>10</v>
      </c>
      <c r="EP461" s="115">
        <v>1213.5080784966369</v>
      </c>
      <c r="EQ461" s="115">
        <v>70</v>
      </c>
      <c r="ER461" s="115">
        <v>3</v>
      </c>
      <c r="ES461" s="115">
        <v>38</v>
      </c>
      <c r="ET461" s="150">
        <v>0.12105263157894736</v>
      </c>
      <c r="EU461" s="145">
        <f t="shared" si="332"/>
        <v>18</v>
      </c>
      <c r="EV461" s="115">
        <f t="shared" si="333"/>
        <v>7</v>
      </c>
      <c r="EW461" s="115">
        <f t="shared" si="333"/>
        <v>28</v>
      </c>
      <c r="EX461" s="115">
        <f t="shared" si="333"/>
        <v>6</v>
      </c>
      <c r="EY461" s="115" t="str">
        <f t="shared" si="357"/>
        <v>Периодический</v>
      </c>
      <c r="EZ461" s="115">
        <f t="shared" si="357"/>
        <v>24</v>
      </c>
      <c r="FA461" s="115">
        <f t="shared" si="357"/>
        <v>48</v>
      </c>
      <c r="FB461" s="149">
        <f t="shared" si="345"/>
        <v>5.7683999999999997</v>
      </c>
      <c r="FC461" s="142">
        <f t="shared" si="345"/>
        <v>6.8999999999999995</v>
      </c>
      <c r="FD461" s="119">
        <f t="shared" si="345"/>
        <v>0</v>
      </c>
      <c r="FE461" s="121">
        <f t="shared" si="344"/>
        <v>10</v>
      </c>
      <c r="FF461" s="121">
        <f t="shared" si="347"/>
        <v>1213.5080784966369</v>
      </c>
      <c r="FG461" s="121">
        <f t="shared" si="334"/>
        <v>70</v>
      </c>
      <c r="FH461" s="121">
        <f t="shared" si="358"/>
        <v>3</v>
      </c>
      <c r="FI461" s="121">
        <f t="shared" si="355"/>
        <v>38</v>
      </c>
      <c r="FJ461" s="144">
        <f t="shared" si="335"/>
        <v>0.12105263157894736</v>
      </c>
      <c r="FK461" s="132">
        <f t="shared" si="336"/>
        <v>0</v>
      </c>
      <c r="FL461" s="115">
        <f t="shared" si="336"/>
        <v>0</v>
      </c>
      <c r="FM461" s="115">
        <f t="shared" si="336"/>
        <v>0</v>
      </c>
      <c r="FN461" s="115">
        <f t="shared" si="336"/>
        <v>0</v>
      </c>
      <c r="FO461" s="115">
        <f t="shared" si="354"/>
        <v>0</v>
      </c>
      <c r="FP461" s="115">
        <f t="shared" si="354"/>
        <v>0</v>
      </c>
      <c r="FQ461" s="149">
        <f t="shared" si="354"/>
        <v>0</v>
      </c>
      <c r="FR461" s="142">
        <f t="shared" si="354"/>
        <v>0</v>
      </c>
      <c r="FS461" s="119">
        <f t="shared" si="354"/>
        <v>0</v>
      </c>
      <c r="FT461" s="121">
        <f t="shared" si="353"/>
        <v>0</v>
      </c>
      <c r="FU461" s="121">
        <f t="shared" si="337"/>
        <v>0</v>
      </c>
      <c r="FV461" s="121">
        <f t="shared" si="337"/>
        <v>0</v>
      </c>
      <c r="FW461" s="121">
        <f t="shared" si="338"/>
        <v>0</v>
      </c>
      <c r="FX461" s="121">
        <f t="shared" si="339"/>
        <v>0</v>
      </c>
      <c r="FY461" s="144">
        <f t="shared" si="339"/>
        <v>0</v>
      </c>
      <c r="FZ461" s="145"/>
      <c r="GA461" s="136"/>
      <c r="GB461" s="145"/>
      <c r="GC461" s="151"/>
      <c r="GD461" s="997" t="s">
        <v>202</v>
      </c>
      <c r="GE461" s="1004"/>
      <c r="GF461" s="1004">
        <v>-0.91959999999999997</v>
      </c>
      <c r="GG461" s="1004"/>
      <c r="GH461" s="1004">
        <v>0</v>
      </c>
      <c r="GI461" s="145"/>
      <c r="GJ461" s="996">
        <v>0</v>
      </c>
      <c r="GK461" s="145"/>
      <c r="GL461" s="996">
        <v>0</v>
      </c>
      <c r="GM461" s="1005"/>
      <c r="GN461" s="996">
        <v>-0.8360000000000003</v>
      </c>
      <c r="GO461" s="1006" t="s">
        <v>240</v>
      </c>
      <c r="GP461" s="996">
        <v>-0.75240000000000062</v>
      </c>
      <c r="GQ461" s="1006" t="s">
        <v>223</v>
      </c>
      <c r="GR461" s="996">
        <v>1.9228000000000014</v>
      </c>
      <c r="GS461" s="1006" t="s">
        <v>223</v>
      </c>
      <c r="GT461" s="996">
        <v>-2.7504400000000002</v>
      </c>
      <c r="GU461" s="1006"/>
      <c r="GV461" s="996">
        <v>0</v>
      </c>
      <c r="GW461" s="1006"/>
      <c r="GX461" s="996">
        <v>0</v>
      </c>
      <c r="GY461" s="1006" t="s">
        <v>223</v>
      </c>
      <c r="GZ461" s="996">
        <v>-3.3009041999999997</v>
      </c>
      <c r="HA461" s="1006" t="s">
        <v>204</v>
      </c>
      <c r="HB461" s="996">
        <v>4.944199999998844E-3</v>
      </c>
      <c r="HC461" s="1006" t="s">
        <v>204</v>
      </c>
      <c r="HD461" s="996">
        <v>0</v>
      </c>
      <c r="HE461" s="1006" t="s">
        <v>204</v>
      </c>
      <c r="HF461" s="996">
        <v>4.5382928800000002</v>
      </c>
      <c r="HG461" s="1006" t="s">
        <v>199</v>
      </c>
      <c r="HH461" s="996">
        <v>-0.14444407999999953</v>
      </c>
      <c r="HI461" s="1006"/>
      <c r="HJ461" s="996">
        <v>0</v>
      </c>
      <c r="HK461" s="1006" t="s">
        <v>276</v>
      </c>
      <c r="HL461" s="996">
        <v>2.3993199999999995</v>
      </c>
      <c r="HM461" s="1006"/>
      <c r="HN461" s="996">
        <v>0</v>
      </c>
      <c r="HO461" s="1006"/>
      <c r="HP461" s="996">
        <v>0</v>
      </c>
      <c r="HQ461" s="1006"/>
      <c r="HR461" s="996">
        <v>0</v>
      </c>
      <c r="HS461" s="1006" t="s">
        <v>204</v>
      </c>
      <c r="HT461" s="996">
        <v>-1.3208799999999989</v>
      </c>
      <c r="HU461" s="1006" t="s">
        <v>199</v>
      </c>
      <c r="HV461" s="996">
        <v>1.5842200000000002</v>
      </c>
      <c r="HW461" s="1006"/>
      <c r="HX461" s="996">
        <v>-0.75657999999999959</v>
      </c>
      <c r="HY461" s="1006"/>
      <c r="HZ461" s="996">
        <v>0</v>
      </c>
      <c r="IA461" s="1006"/>
      <c r="IB461" s="996">
        <v>-0.63363784000000223</v>
      </c>
      <c r="IC461" s="1006" t="s">
        <v>199</v>
      </c>
      <c r="ID461" s="996">
        <v>1.3028558400000012</v>
      </c>
      <c r="IE461" s="1006"/>
      <c r="IF461" s="996">
        <v>0</v>
      </c>
      <c r="IG461" s="1006"/>
      <c r="IH461" s="996">
        <v>-0.91868040000000128</v>
      </c>
      <c r="II461" s="1006"/>
      <c r="IJ461" s="996">
        <v>-0.58461480000000066</v>
      </c>
      <c r="IK461" s="1006"/>
      <c r="IL461" s="996">
        <v>0</v>
      </c>
      <c r="IM461" s="1006"/>
      <c r="IN461" s="996">
        <v>0</v>
      </c>
      <c r="IO461" s="1006"/>
      <c r="IP461" s="996">
        <v>0</v>
      </c>
      <c r="IQ461" s="1006"/>
      <c r="IR461" s="996">
        <v>-0.33406559999999708</v>
      </c>
      <c r="IS461" s="1006"/>
      <c r="IT461" s="996">
        <v>0</v>
      </c>
      <c r="IU461" s="1006"/>
      <c r="IV461" s="996">
        <v>-0.83516400000000068</v>
      </c>
      <c r="IW461" s="1006"/>
      <c r="IX461" s="996">
        <v>0</v>
      </c>
      <c r="IY461" s="1006"/>
      <c r="IZ461" s="996">
        <v>0</v>
      </c>
      <c r="JA461" s="1006"/>
      <c r="JB461" s="996">
        <v>0</v>
      </c>
      <c r="JC461" s="1006"/>
      <c r="JD461" s="996">
        <v>0</v>
      </c>
      <c r="JE461" s="1006"/>
      <c r="JF461" s="996">
        <v>0</v>
      </c>
      <c r="JG461" s="1006"/>
      <c r="JH461" s="996">
        <v>0</v>
      </c>
      <c r="JI461" s="1006"/>
      <c r="JJ461" s="996">
        <v>0</v>
      </c>
      <c r="JK461" s="1007"/>
      <c r="JL461" s="1007">
        <v>0</v>
      </c>
      <c r="JM461" s="1007" t="s">
        <v>199</v>
      </c>
      <c r="JN461" s="1007">
        <v>3.9929867999999988</v>
      </c>
      <c r="JO461" s="1008" t="s">
        <v>199</v>
      </c>
      <c r="JP461" s="1007">
        <v>-11.352879999999999</v>
      </c>
      <c r="JQ461" s="1008">
        <v>0</v>
      </c>
      <c r="JR461" s="1007">
        <v>0</v>
      </c>
      <c r="JS461" s="1008" t="s">
        <v>199</v>
      </c>
      <c r="JT461" s="1007">
        <v>5.4256399999999996</v>
      </c>
      <c r="JU461" s="1008"/>
      <c r="JV461" s="1007">
        <v>0</v>
      </c>
      <c r="JW461" s="1008" t="s">
        <v>197</v>
      </c>
      <c r="JX461" s="1007">
        <v>0</v>
      </c>
      <c r="JY461" s="1008"/>
      <c r="JZ461" s="1007">
        <v>0</v>
      </c>
      <c r="KA461" s="1008"/>
      <c r="KB461" s="1007">
        <v>0</v>
      </c>
      <c r="KC461" s="1008" t="s">
        <v>199</v>
      </c>
      <c r="KD461" s="1007">
        <v>-7.5239999999999991</v>
      </c>
      <c r="KE461" s="1008"/>
      <c r="KF461" s="1007">
        <v>0</v>
      </c>
      <c r="KG461" s="1008"/>
      <c r="KH461" s="1007">
        <v>0</v>
      </c>
      <c r="KI461" s="1008" t="s">
        <v>203</v>
      </c>
      <c r="KJ461" s="1007">
        <v>-13.961200000000005</v>
      </c>
      <c r="KK461" s="1008"/>
      <c r="KL461" s="1007">
        <v>0</v>
      </c>
      <c r="KM461" s="1008" t="s">
        <v>207</v>
      </c>
      <c r="KN461" s="1007">
        <v>-13.041599999999995</v>
      </c>
      <c r="KO461" s="1008"/>
      <c r="KP461" s="1007">
        <v>0</v>
      </c>
      <c r="KQ461" s="1008" t="s">
        <v>324</v>
      </c>
      <c r="KR461" s="1007">
        <v>77.497199999999992</v>
      </c>
      <c r="KS461" s="1008">
        <v>0</v>
      </c>
      <c r="KT461" s="1007">
        <v>0</v>
      </c>
      <c r="KU461" s="1008">
        <v>0</v>
      </c>
      <c r="KV461" s="1007">
        <v>0</v>
      </c>
      <c r="KW461" s="1008">
        <v>0</v>
      </c>
      <c r="KX461" s="1007">
        <v>0</v>
      </c>
      <c r="KY461" s="1008">
        <v>0</v>
      </c>
      <c r="KZ461" s="1007">
        <v>0</v>
      </c>
      <c r="LA461" s="1008">
        <v>0</v>
      </c>
      <c r="LB461" s="1007">
        <v>0</v>
      </c>
      <c r="LC461" s="1008">
        <v>0</v>
      </c>
      <c r="LD461" s="1007">
        <v>0</v>
      </c>
      <c r="LE461" s="1008">
        <v>0</v>
      </c>
      <c r="LF461" s="1007">
        <v>0</v>
      </c>
      <c r="LG461" s="1008">
        <v>0</v>
      </c>
      <c r="LH461" s="1007">
        <v>0</v>
      </c>
      <c r="LI461" s="1008">
        <v>0</v>
      </c>
      <c r="LJ461" s="1007">
        <v>0</v>
      </c>
      <c r="LK461" s="1008">
        <v>0</v>
      </c>
      <c r="LL461" s="1007">
        <v>0</v>
      </c>
      <c r="LM461" s="1008">
        <v>0</v>
      </c>
      <c r="LN461" s="1007">
        <v>0</v>
      </c>
      <c r="LO461" s="1008">
        <v>0</v>
      </c>
      <c r="LP461" s="1007">
        <v>0</v>
      </c>
      <c r="LQ461" s="1008">
        <v>0</v>
      </c>
      <c r="LR461" s="1007">
        <v>0</v>
      </c>
      <c r="LS461" s="1008">
        <v>0</v>
      </c>
      <c r="LT461" s="1007">
        <v>0</v>
      </c>
      <c r="LU461" s="1008">
        <v>0</v>
      </c>
      <c r="LV461" s="1007">
        <v>0</v>
      </c>
      <c r="LW461" s="1008">
        <v>0</v>
      </c>
      <c r="LX461" s="1007">
        <v>0</v>
      </c>
      <c r="LY461" s="1009">
        <v>0</v>
      </c>
      <c r="LZ461" s="1010">
        <v>0</v>
      </c>
      <c r="MA461" s="1011">
        <v>0</v>
      </c>
      <c r="MB461" s="1012">
        <v>0</v>
      </c>
      <c r="MC461" s="995"/>
      <c r="MD461" s="996"/>
      <c r="ME461" s="997" t="s">
        <v>202</v>
      </c>
      <c r="MF461" s="997"/>
      <c r="MG461" s="998"/>
      <c r="NR461" s="1000"/>
      <c r="NS461" s="1000"/>
      <c r="NT461" s="1001"/>
      <c r="NU461" s="1000"/>
      <c r="NV461" s="1001"/>
      <c r="NX461" s="1002"/>
      <c r="NZ461" s="1001"/>
      <c r="OA461" s="1001"/>
      <c r="OC461" s="1003"/>
      <c r="OD461" s="1003"/>
      <c r="OE461" s="1001"/>
      <c r="OF461" s="1003"/>
      <c r="OG461" s="1003"/>
      <c r="QX461" s="1000">
        <f>CN461-CA461</f>
        <v>31</v>
      </c>
      <c r="ASU461" s="999" t="s">
        <v>208</v>
      </c>
    </row>
    <row r="462" spans="1:466 1191:1191" ht="21" customHeight="1" x14ac:dyDescent="0.25">
      <c r="A462" s="982">
        <f t="shared" si="323"/>
        <v>1542</v>
      </c>
      <c r="B462" s="124">
        <f>SUBTOTAL(103,$J$29:J462)</f>
        <v>434</v>
      </c>
      <c r="C462" s="126">
        <v>45068</v>
      </c>
      <c r="D462" s="124" t="s">
        <v>176</v>
      </c>
      <c r="E462" s="127" t="s">
        <v>177</v>
      </c>
      <c r="F462" s="128" t="s">
        <v>177</v>
      </c>
      <c r="G462" s="127" t="s">
        <v>178</v>
      </c>
      <c r="H462" s="127" t="s">
        <v>179</v>
      </c>
      <c r="I462" s="127" t="s">
        <v>1132</v>
      </c>
      <c r="J462" s="152">
        <v>1542</v>
      </c>
      <c r="K462" s="127" t="s">
        <v>1133</v>
      </c>
      <c r="L462" s="130">
        <v>43059</v>
      </c>
      <c r="M462" s="127" t="s">
        <v>230</v>
      </c>
      <c r="N462" s="127" t="s">
        <v>184</v>
      </c>
      <c r="O462" s="127" t="s">
        <v>185</v>
      </c>
      <c r="P462" s="127" t="s">
        <v>186</v>
      </c>
      <c r="Q462" s="85">
        <f t="shared" si="319"/>
        <v>-4</v>
      </c>
      <c r="R462" s="130">
        <v>43014</v>
      </c>
      <c r="S462" s="128" t="s">
        <v>747</v>
      </c>
      <c r="T462" s="131" t="s">
        <v>1294</v>
      </c>
      <c r="U462" s="132">
        <v>203</v>
      </c>
      <c r="V462" s="121">
        <v>218.2</v>
      </c>
      <c r="W462" s="116">
        <v>0.98</v>
      </c>
      <c r="X462" s="116">
        <v>1.66</v>
      </c>
      <c r="Y462" s="116">
        <f t="shared" si="346"/>
        <v>0.98172926287026052</v>
      </c>
      <c r="Z462" s="133">
        <v>1.454</v>
      </c>
      <c r="AA462" s="133">
        <v>0.83599999999999997</v>
      </c>
      <c r="AB462" s="133">
        <v>0.72</v>
      </c>
      <c r="AC462" s="121">
        <v>34.299999999999997</v>
      </c>
      <c r="AD462" s="134">
        <v>1.17</v>
      </c>
      <c r="AE462" s="124">
        <v>177.8</v>
      </c>
      <c r="AF462" s="128">
        <v>9.19</v>
      </c>
      <c r="AG462" s="128">
        <v>3014</v>
      </c>
      <c r="AH462" s="138">
        <v>3002.77</v>
      </c>
      <c r="AI462" s="138">
        <v>3002.77</v>
      </c>
      <c r="AJ462" s="135">
        <v>42996</v>
      </c>
      <c r="AK462" s="128" t="s">
        <v>1018</v>
      </c>
      <c r="AL462" s="131"/>
      <c r="AM462" s="124" t="s">
        <v>985</v>
      </c>
      <c r="AN462" s="136" t="s">
        <v>1721</v>
      </c>
      <c r="AO462" s="137">
        <v>9.11</v>
      </c>
      <c r="AP462" s="128">
        <v>2264.89</v>
      </c>
      <c r="AQ462" s="128">
        <v>410.39</v>
      </c>
      <c r="AR462" s="128" t="s">
        <v>1722</v>
      </c>
      <c r="AS462" s="128">
        <v>114</v>
      </c>
      <c r="AT462" s="122">
        <v>7.37</v>
      </c>
      <c r="AU462" s="124" t="s">
        <v>189</v>
      </c>
      <c r="AV462" s="115">
        <f>VLOOKUP(J462,'[63]ТР нефть'!$J$28:$BP$638,39,0)</f>
        <v>479.99998505899998</v>
      </c>
      <c r="AW462" s="115" t="str">
        <f>VLOOKUP(J462,'[63]ТР нефть'!$J$28:$BP$638,40,0)</f>
        <v>ГП</v>
      </c>
      <c r="AX462" s="115">
        <f>VLOOKUP(J462,'[63]ТР нефть'!$J$28:$BP$638,41,0)</f>
        <v>840.00000175800005</v>
      </c>
      <c r="AY462" s="115" t="str">
        <f>VLOOKUP(J462,'[63]ТР нефть'!$J$28:$BP$638,42,0)</f>
        <v>ГП</v>
      </c>
      <c r="AZ462" s="115">
        <f>VLOOKUP(J462,'[63]ТР нефть'!$J$28:$BP$638,43,0)</f>
        <v>1109.999967773</v>
      </c>
      <c r="BA462" s="115" t="str">
        <f>VLOOKUP(J462,'[63]ТР нефть'!$J$28:$BP$638,44,0)</f>
        <v>ГП</v>
      </c>
      <c r="BB462" s="115">
        <f>VLOOKUP(J462,'[63]ТР нефть'!$J$28:$BP$638,45,0)</f>
        <v>1340.0000683589999</v>
      </c>
      <c r="BC462" s="115" t="str">
        <f>VLOOKUP(J462,'[63]ТР нефть'!$J$28:$BP$638,46,0)</f>
        <v>ГК76 1/8</v>
      </c>
      <c r="BD462" s="115">
        <f>VLOOKUP(J462,'[63]ТР нефть'!$J$28:$BP$638,47,0)</f>
        <v>1519.999946484</v>
      </c>
      <c r="BE462" s="115" t="str">
        <f>VLOOKUP(J462,'[63]ТР нефть'!$J$28:$BP$638,48,0)</f>
        <v>ГК75 1/8</v>
      </c>
      <c r="BF462" s="115">
        <f>VLOOKUP(J462,'[63]ТР нефть'!$J$28:$BP$638,49,0)</f>
        <v>1660</v>
      </c>
      <c r="BG462" s="115" t="str">
        <f>VLOOKUP(J462,'[63]ТР нефть'!$J$28:$BP$638,50,0)</f>
        <v>ГК74 5/32</v>
      </c>
      <c r="BH462" s="115">
        <f>VLOOKUP(J462,'[63]ТР нефть'!$J$28:$BP$638,51,0)</f>
        <v>1890</v>
      </c>
      <c r="BI462" s="115" t="str">
        <f>VLOOKUP(J462,'[63]ТР нефть'!$J$28:$BP$638,52,0)</f>
        <v>закрыт</v>
      </c>
      <c r="BJ462" s="115" t="str">
        <f>IF(IFERROR(VLOOKUP(J462,'[63]ТР нефть'!$J$28:$BP$638,53,0),"-")=0,"-",IFERROR(VLOOKUP(J462,'[63]ТР нефть'!$J$28:$BP$638,53,0),"-"))</f>
        <v>-</v>
      </c>
      <c r="BK462" s="138" t="str">
        <f>IF(IFERROR(VLOOKUP(J462,'[63]ТР нефть'!$J$28:$BP$638,54,0),"-")=0,"-",IFERROR(VLOOKUP(J462,'[63]ТР нефть'!$J$28:$BP$638,54,0),"-"))</f>
        <v>-</v>
      </c>
      <c r="BL462" s="138" t="str">
        <f>IF(IFERROR(VLOOKUP(J462,'[63]ТР нефть'!$J$28:$BP$638,55,0),"-")=0,"-",IFERROR(VLOOKUP(J462,'[63]ТР нефть'!$J$28:$BP$638,55,0),"-"))</f>
        <v>-</v>
      </c>
      <c r="BM462" s="138" t="str">
        <f>IF(IFERROR(VLOOKUP(J462,'[63]ТР нефть'!$J$28:$BP$638,56,0),"-")=0,"-",IFERROR(VLOOKUP(J462,'[63]ТР нефть'!$J$28:$BP$638,56,0),"-"))</f>
        <v>-</v>
      </c>
      <c r="BN462" s="138" t="str">
        <f>IF(IFERROR(VLOOKUP(J462,'[63]ТР нефть'!$J$28:$BP$638,57,0),"-")=0,"-",IFERROR(VLOOKUP(J462,'[63]ТР нефть'!$J$28:$BP$638,57,0),"-"))</f>
        <v>-</v>
      </c>
      <c r="BO462" s="115" t="str">
        <f>IF(IFERROR(VLOOKUP(J462,'[63]ТР нефть'!$J$28:$BP$638,58,0),"-")=0,"-",IFERROR(VLOOKUP(J462,'[63]ТР нефть'!$J$28:$BP$638,58,0),"-"))</f>
        <v>-</v>
      </c>
      <c r="BP462" s="115" t="str">
        <f>IF(IFERROR(VLOOKUP(J462,'[63]ТР нефть'!$J$28:$BP$638,59,0),"-")=0,"-",IFERROR(VLOOKUP(J462,'[63]ТР нефть'!$J$28:$BP$638,59,0),"-"))</f>
        <v>-</v>
      </c>
      <c r="BQ462" s="138">
        <v>1930</v>
      </c>
      <c r="BR462" s="128">
        <v>1543.93</v>
      </c>
      <c r="BS462" s="115">
        <f t="shared" si="351"/>
        <v>386.06999999999994</v>
      </c>
      <c r="BT462" s="128">
        <v>73</v>
      </c>
      <c r="BU462" s="128">
        <v>5.5</v>
      </c>
      <c r="BV462" s="127">
        <v>65</v>
      </c>
      <c r="BW462" s="127" t="s">
        <v>217</v>
      </c>
      <c r="BX462" s="127" t="s">
        <v>195</v>
      </c>
      <c r="BY462" s="139">
        <v>24</v>
      </c>
      <c r="BZ462" s="139">
        <v>0</v>
      </c>
      <c r="CA462" s="138">
        <v>28</v>
      </c>
      <c r="CB462" s="138">
        <v>46</v>
      </c>
      <c r="CC462" s="138">
        <v>27</v>
      </c>
      <c r="CD462" s="135">
        <v>45017</v>
      </c>
      <c r="CE462" s="138">
        <v>122</v>
      </c>
      <c r="CF462" s="138">
        <v>70</v>
      </c>
      <c r="CG462" s="138" t="str">
        <f t="shared" si="352"/>
        <v>В работе</v>
      </c>
      <c r="CH462" s="138" t="s">
        <v>272</v>
      </c>
      <c r="CI462" s="127"/>
      <c r="CJ462" s="138"/>
      <c r="CK462" s="138">
        <f t="shared" si="356"/>
        <v>26</v>
      </c>
      <c r="CL462" s="99"/>
      <c r="CM462" s="99"/>
      <c r="CN462" s="140">
        <v>54</v>
      </c>
      <c r="CO462" s="141">
        <f t="shared" si="324"/>
        <v>6.8257226399999995</v>
      </c>
      <c r="CP462" s="142">
        <v>8.1999999999999993</v>
      </c>
      <c r="CQ462" s="143">
        <v>0.43</v>
      </c>
      <c r="CR462" s="138">
        <v>14</v>
      </c>
      <c r="CS462" s="139">
        <v>10.5</v>
      </c>
      <c r="CT462" s="138"/>
      <c r="CU462" s="138">
        <f t="shared" si="320"/>
        <v>3.5</v>
      </c>
      <c r="CV462" s="115">
        <f t="shared" si="321"/>
        <v>512.76622045691568</v>
      </c>
      <c r="CW462" s="115">
        <f t="shared" si="325"/>
        <v>1529.151365905283</v>
      </c>
      <c r="CX462" s="133">
        <f t="shared" si="322"/>
        <v>0.12058823529411763</v>
      </c>
      <c r="CY462" s="116"/>
      <c r="CZ462" s="131"/>
      <c r="DA462" s="145" t="str">
        <f t="shared" si="326"/>
        <v>Газлифт</v>
      </c>
      <c r="DB462" s="146">
        <f t="shared" si="341"/>
        <v>6.8257226399999995</v>
      </c>
      <c r="DC462" s="142">
        <f t="shared" si="342"/>
        <v>8.1999999999999993</v>
      </c>
      <c r="DD462" s="119">
        <f t="shared" si="350"/>
        <v>0.43</v>
      </c>
      <c r="DE462" s="115">
        <f t="shared" si="343"/>
        <v>3.5</v>
      </c>
      <c r="DF462" s="121">
        <f t="shared" si="328"/>
        <v>10.5</v>
      </c>
      <c r="DG462" s="115">
        <f t="shared" si="329"/>
        <v>512.76622045691568</v>
      </c>
      <c r="DH462" s="115">
        <f t="shared" si="330"/>
        <v>54</v>
      </c>
      <c r="DI462" s="147"/>
      <c r="DJ462" s="111" t="s">
        <v>197</v>
      </c>
      <c r="DK462" s="112">
        <v>43059</v>
      </c>
      <c r="DL462" s="113">
        <f t="shared" ca="1" si="312"/>
        <v>2045</v>
      </c>
      <c r="DM462" s="114"/>
      <c r="DN462" s="114"/>
      <c r="DO462" s="114"/>
      <c r="DP462" s="114"/>
      <c r="DQ462" s="112">
        <v>43059</v>
      </c>
      <c r="DR462" s="114" t="s">
        <v>324</v>
      </c>
      <c r="DS462" s="114"/>
      <c r="DT462" s="115">
        <v>60</v>
      </c>
      <c r="DU462" s="116">
        <f t="shared" si="313"/>
        <v>0.13225806451612901</v>
      </c>
      <c r="DV462" s="117">
        <f t="shared" si="314"/>
        <v>6.8257226399999995</v>
      </c>
      <c r="DW462" s="118">
        <f t="shared" si="315"/>
        <v>8.1999999999999993</v>
      </c>
      <c r="DX462" s="119">
        <f t="shared" si="331"/>
        <v>0.43</v>
      </c>
      <c r="DY462" s="115">
        <f t="shared" si="316"/>
        <v>3.5</v>
      </c>
      <c r="DZ462" s="117">
        <f t="shared" si="349"/>
        <v>0</v>
      </c>
      <c r="EA462" s="120">
        <f t="shared" si="349"/>
        <v>0</v>
      </c>
      <c r="EB462" s="119">
        <f t="shared" si="349"/>
        <v>0</v>
      </c>
      <c r="EC462" s="121">
        <f t="shared" si="318"/>
        <v>0</v>
      </c>
      <c r="ED462" s="122"/>
      <c r="EE462" s="145">
        <v>65</v>
      </c>
      <c r="EF462" s="115">
        <v>30</v>
      </c>
      <c r="EG462" s="115">
        <v>46</v>
      </c>
      <c r="EH462" s="115">
        <v>30</v>
      </c>
      <c r="EI462" s="128" t="s">
        <v>195</v>
      </c>
      <c r="EJ462" s="121">
        <v>24</v>
      </c>
      <c r="EK462" s="121">
        <v>0</v>
      </c>
      <c r="EL462" s="149">
        <v>4.5782286000000001</v>
      </c>
      <c r="EM462" s="142">
        <v>5.5</v>
      </c>
      <c r="EN462" s="119">
        <v>0.43</v>
      </c>
      <c r="EO462" s="115">
        <v>13</v>
      </c>
      <c r="EP462" s="115">
        <v>323.26913514104569</v>
      </c>
      <c r="EQ462" s="115">
        <v>68</v>
      </c>
      <c r="ER462" s="115">
        <v>11.52</v>
      </c>
      <c r="ES462" s="115">
        <v>54</v>
      </c>
      <c r="ET462" s="150">
        <v>8.0882352941176475E-2</v>
      </c>
      <c r="EU462" s="145">
        <f t="shared" si="332"/>
        <v>65</v>
      </c>
      <c r="EV462" s="115">
        <f t="shared" si="333"/>
        <v>28</v>
      </c>
      <c r="EW462" s="115">
        <f t="shared" si="333"/>
        <v>46</v>
      </c>
      <c r="EX462" s="115">
        <f t="shared" si="333"/>
        <v>27</v>
      </c>
      <c r="EY462" s="115" t="str">
        <f t="shared" si="357"/>
        <v>Постоянный</v>
      </c>
      <c r="EZ462" s="115">
        <f t="shared" si="357"/>
        <v>24</v>
      </c>
      <c r="FA462" s="115">
        <f t="shared" si="357"/>
        <v>0</v>
      </c>
      <c r="FB462" s="149">
        <f t="shared" si="345"/>
        <v>6.8257226399999995</v>
      </c>
      <c r="FC462" s="142">
        <f t="shared" si="345"/>
        <v>8.1999999999999993</v>
      </c>
      <c r="FD462" s="119">
        <f t="shared" si="345"/>
        <v>0.43</v>
      </c>
      <c r="FE462" s="121">
        <f t="shared" si="344"/>
        <v>14</v>
      </c>
      <c r="FF462" s="121">
        <f t="shared" si="347"/>
        <v>512.76622045691568</v>
      </c>
      <c r="FG462" s="121">
        <f t="shared" si="334"/>
        <v>70</v>
      </c>
      <c r="FH462" s="121">
        <f t="shared" si="358"/>
        <v>10.5</v>
      </c>
      <c r="FI462" s="121">
        <f t="shared" si="355"/>
        <v>54</v>
      </c>
      <c r="FJ462" s="144">
        <f t="shared" si="335"/>
        <v>0.12058823529411763</v>
      </c>
      <c r="FK462" s="132">
        <f t="shared" si="336"/>
        <v>0</v>
      </c>
      <c r="FL462" s="115">
        <f t="shared" si="336"/>
        <v>-2</v>
      </c>
      <c r="FM462" s="115">
        <f t="shared" si="336"/>
        <v>0</v>
      </c>
      <c r="FN462" s="115">
        <f t="shared" si="336"/>
        <v>-3</v>
      </c>
      <c r="FO462" s="115">
        <f t="shared" si="354"/>
        <v>0</v>
      </c>
      <c r="FP462" s="115">
        <f t="shared" si="354"/>
        <v>0</v>
      </c>
      <c r="FQ462" s="149">
        <f t="shared" si="354"/>
        <v>2.2474940399999994</v>
      </c>
      <c r="FR462" s="142">
        <f t="shared" si="354"/>
        <v>2.6999999999999993</v>
      </c>
      <c r="FS462" s="119">
        <f t="shared" si="354"/>
        <v>0</v>
      </c>
      <c r="FT462" s="121">
        <f t="shared" si="353"/>
        <v>1</v>
      </c>
      <c r="FU462" s="121">
        <f t="shared" si="337"/>
        <v>2</v>
      </c>
      <c r="FV462" s="121">
        <f t="shared" si="337"/>
        <v>-1.0199999999999996</v>
      </c>
      <c r="FW462" s="121">
        <f t="shared" si="338"/>
        <v>189.49708531586998</v>
      </c>
      <c r="FX462" s="121">
        <f t="shared" si="339"/>
        <v>0</v>
      </c>
      <c r="FY462" s="144">
        <f t="shared" si="339"/>
        <v>3.970588235294116E-2</v>
      </c>
      <c r="FZ462" s="145" t="s">
        <v>199</v>
      </c>
      <c r="GA462" s="151" t="s">
        <v>200</v>
      </c>
      <c r="GB462" s="145" t="s">
        <v>199</v>
      </c>
      <c r="GC462" s="125" t="s">
        <v>415</v>
      </c>
      <c r="GD462" s="997" t="s">
        <v>202</v>
      </c>
      <c r="GE462" s="1004" t="s">
        <v>199</v>
      </c>
      <c r="GF462" s="1004">
        <v>-1.2486077999999994</v>
      </c>
      <c r="GG462" s="1004" t="s">
        <v>199</v>
      </c>
      <c r="GH462" s="1004">
        <v>3.4128613199999998</v>
      </c>
      <c r="GI462" s="145"/>
      <c r="GJ462" s="996">
        <v>0</v>
      </c>
      <c r="GK462" s="145" t="s">
        <v>199</v>
      </c>
      <c r="GL462" s="996">
        <v>-5.2608008640000001</v>
      </c>
      <c r="GM462" s="1005"/>
      <c r="GN462" s="996">
        <v>0.37458234000000079</v>
      </c>
      <c r="GO462" s="1006"/>
      <c r="GP462" s="996">
        <v>-0.83241439599999989</v>
      </c>
      <c r="GQ462" s="1006"/>
      <c r="GR462" s="996">
        <v>0</v>
      </c>
      <c r="GS462" s="1006"/>
      <c r="GT462" s="996">
        <v>0</v>
      </c>
      <c r="GU462" s="1006" t="s">
        <v>223</v>
      </c>
      <c r="GV462" s="996">
        <v>-2.7353920000000009</v>
      </c>
      <c r="GW462" s="1006" t="s">
        <v>199</v>
      </c>
      <c r="GX462" s="996">
        <v>-2.0063999999999993</v>
      </c>
      <c r="GY462" s="1006"/>
      <c r="GZ462" s="996">
        <v>0</v>
      </c>
      <c r="HA462" s="1006"/>
      <c r="HB462" s="996">
        <v>0.70223999999999975</v>
      </c>
      <c r="HC462" s="1006" t="s">
        <v>199</v>
      </c>
      <c r="HD462" s="996">
        <v>1.2539999999999996</v>
      </c>
      <c r="HE462" s="1006" t="s">
        <v>223</v>
      </c>
      <c r="HF462" s="996">
        <v>-1.7463647079999989</v>
      </c>
      <c r="HG462" s="1006" t="s">
        <v>199</v>
      </c>
      <c r="HH462" s="996">
        <v>0.49470550799999913</v>
      </c>
      <c r="HI462" s="1006"/>
      <c r="HJ462" s="996">
        <v>0</v>
      </c>
      <c r="HK462" s="1006"/>
      <c r="HL462" s="996">
        <v>1.6385600000000444E-2</v>
      </c>
      <c r="HM462" s="1006" t="s">
        <v>199</v>
      </c>
      <c r="HN462" s="996">
        <v>-2.0833120000000003</v>
      </c>
      <c r="HO462" s="1006"/>
      <c r="HP462" s="996">
        <v>0</v>
      </c>
      <c r="HQ462" s="1006" t="s">
        <v>199</v>
      </c>
      <c r="HR462" s="996">
        <v>2.8499708159999999</v>
      </c>
      <c r="HS462" s="1006" t="s">
        <v>643</v>
      </c>
      <c r="HT462" s="996">
        <v>0</v>
      </c>
      <c r="HU462" s="1006" t="s">
        <v>199</v>
      </c>
      <c r="HV462" s="996">
        <v>-3.6832956159999997</v>
      </c>
      <c r="HW462" s="1006" t="s">
        <v>204</v>
      </c>
      <c r="HX462" s="996">
        <v>1.8224813375999984</v>
      </c>
      <c r="HY462" s="1006"/>
      <c r="HZ462" s="996">
        <v>0</v>
      </c>
      <c r="IA462" s="1006" t="s">
        <v>199</v>
      </c>
      <c r="IB462" s="996">
        <v>-1.1923538615999982</v>
      </c>
      <c r="IC462" s="1006"/>
      <c r="ID462" s="996">
        <v>-0.6547058760000013</v>
      </c>
      <c r="IE462" s="1006" t="s">
        <v>223</v>
      </c>
      <c r="IF462" s="996">
        <v>-1.2534983999999998</v>
      </c>
      <c r="IG462" s="1006"/>
      <c r="IH462" s="996">
        <v>0.83566560000000045</v>
      </c>
      <c r="II462" s="1006"/>
      <c r="IJ462" s="996">
        <v>0.83566560000000045</v>
      </c>
      <c r="IK462" s="1006"/>
      <c r="IL462" s="996">
        <v>-0.41783280000000111</v>
      </c>
      <c r="IM462" s="1006" t="s">
        <v>199</v>
      </c>
      <c r="IN462" s="996">
        <v>1.6713312</v>
      </c>
      <c r="IO462" s="1006"/>
      <c r="IP462" s="996">
        <v>0</v>
      </c>
      <c r="IQ462" s="1006"/>
      <c r="IR462" s="996">
        <v>-0.41783280000000023</v>
      </c>
      <c r="IS462" s="1006"/>
      <c r="IT462" s="996">
        <v>0</v>
      </c>
      <c r="IU462" s="1006"/>
      <c r="IV462" s="996">
        <v>0</v>
      </c>
      <c r="IW462" s="1006" t="s">
        <v>199</v>
      </c>
      <c r="IX462" s="996">
        <v>-2.172730559999998</v>
      </c>
      <c r="IY462" s="1006"/>
      <c r="IZ462" s="996">
        <v>0</v>
      </c>
      <c r="JA462" s="1006"/>
      <c r="JB462" s="996">
        <v>0</v>
      </c>
      <c r="JC462" s="1006"/>
      <c r="JD462" s="996">
        <v>0</v>
      </c>
      <c r="JE462" s="1006"/>
      <c r="JF462" s="996">
        <v>0.83566559999999868</v>
      </c>
      <c r="JG462" s="1006"/>
      <c r="JH462" s="996">
        <v>-0.83566559999999868</v>
      </c>
      <c r="JI462" s="1006"/>
      <c r="JJ462" s="996">
        <v>0</v>
      </c>
      <c r="JK462" s="1007"/>
      <c r="JL462" s="1007">
        <v>0</v>
      </c>
      <c r="JM462" s="1007"/>
      <c r="JN462" s="1007">
        <v>0</v>
      </c>
      <c r="JO462" s="1008"/>
      <c r="JP462" s="1007">
        <v>0</v>
      </c>
      <c r="JQ462" s="1008">
        <v>0</v>
      </c>
      <c r="JR462" s="1007">
        <v>0</v>
      </c>
      <c r="JS462" s="1008" t="s">
        <v>199</v>
      </c>
      <c r="JT462" s="1007">
        <v>-2.9248296000000025</v>
      </c>
      <c r="JU462" s="1008" t="s">
        <v>199</v>
      </c>
      <c r="JV462" s="1007">
        <v>-2.4279446399999998</v>
      </c>
      <c r="JW462" s="1008" t="s">
        <v>199</v>
      </c>
      <c r="JX462" s="1007">
        <v>-3.094704799999997</v>
      </c>
      <c r="JY462" s="1008" t="s">
        <v>204</v>
      </c>
      <c r="JZ462" s="1007">
        <v>-5.3754799999999996</v>
      </c>
      <c r="KA462" s="1008"/>
      <c r="KB462" s="1007">
        <v>0</v>
      </c>
      <c r="KC462" s="1008"/>
      <c r="KD462" s="1007">
        <v>0</v>
      </c>
      <c r="KE462" s="1008"/>
      <c r="KF462" s="1007">
        <v>0</v>
      </c>
      <c r="KG462" s="1008"/>
      <c r="KH462" s="1007">
        <v>0</v>
      </c>
      <c r="KI462" s="1008" t="s">
        <v>206</v>
      </c>
      <c r="KJ462" s="1007">
        <v>0.94467999999999819</v>
      </c>
      <c r="KK462" s="1008"/>
      <c r="KL462" s="1007">
        <v>0</v>
      </c>
      <c r="KM462" s="1008" t="s">
        <v>207</v>
      </c>
      <c r="KN462" s="1007">
        <v>-4.18</v>
      </c>
      <c r="KO462" s="1008" t="s">
        <v>240</v>
      </c>
      <c r="KP462" s="1007">
        <v>-1.4212000000000025</v>
      </c>
      <c r="KQ462" s="1008">
        <v>0</v>
      </c>
      <c r="KR462" s="1007">
        <v>0.61981039999999865</v>
      </c>
      <c r="KS462" s="1008">
        <v>0</v>
      </c>
      <c r="KT462" s="1007">
        <v>0</v>
      </c>
      <c r="KU462" s="1008" t="s">
        <v>206</v>
      </c>
      <c r="KV462" s="1007">
        <v>-5.1509303999999929</v>
      </c>
      <c r="KW462" s="1008" t="s">
        <v>240</v>
      </c>
      <c r="KX462" s="1007">
        <v>-10.874186399999999</v>
      </c>
      <c r="KY462" s="1008" t="s">
        <v>206</v>
      </c>
      <c r="KZ462" s="1007">
        <v>5.1509303999999929</v>
      </c>
      <c r="LA462" s="1008">
        <v>0</v>
      </c>
      <c r="LB462" s="1007">
        <v>0</v>
      </c>
      <c r="LC462" s="1008" t="s">
        <v>204</v>
      </c>
      <c r="LD462" s="1007">
        <v>-8.3884239999999934</v>
      </c>
      <c r="LE462" s="1008" t="s">
        <v>203</v>
      </c>
      <c r="LF462" s="1007">
        <v>-9.1792800000000057</v>
      </c>
      <c r="LG462" s="1008" t="s">
        <v>25</v>
      </c>
      <c r="LH462" s="1007">
        <v>55.995280000000001</v>
      </c>
      <c r="LI462" s="1008">
        <v>0</v>
      </c>
      <c r="LJ462" s="1007">
        <v>0</v>
      </c>
      <c r="LK462" s="1008">
        <v>0</v>
      </c>
      <c r="LL462" s="1007">
        <v>0</v>
      </c>
      <c r="LM462" s="1008">
        <v>0</v>
      </c>
      <c r="LN462" s="1007">
        <v>0</v>
      </c>
      <c r="LO462" s="1008">
        <v>0</v>
      </c>
      <c r="LP462" s="1007">
        <v>0</v>
      </c>
      <c r="LQ462" s="1008">
        <v>0</v>
      </c>
      <c r="LR462" s="1007">
        <v>0</v>
      </c>
      <c r="LS462" s="1008">
        <v>0</v>
      </c>
      <c r="LT462" s="1007">
        <v>0</v>
      </c>
      <c r="LU462" s="1008">
        <v>0</v>
      </c>
      <c r="LV462" s="1007">
        <v>0</v>
      </c>
      <c r="LW462" s="1008">
        <v>0</v>
      </c>
      <c r="LX462" s="1007">
        <v>0</v>
      </c>
      <c r="LY462" s="1009">
        <v>0</v>
      </c>
      <c r="LZ462" s="1010">
        <v>0</v>
      </c>
      <c r="MA462" s="1011">
        <v>0</v>
      </c>
      <c r="MB462" s="1012">
        <v>0</v>
      </c>
      <c r="MC462" s="995"/>
      <c r="MD462" s="996"/>
      <c r="ME462" s="997" t="s">
        <v>202</v>
      </c>
      <c r="MF462" s="997"/>
      <c r="MG462" s="998"/>
      <c r="NR462" s="1000"/>
      <c r="NS462" s="1000"/>
      <c r="NT462" s="1001"/>
      <c r="NU462" s="1000"/>
      <c r="NV462" s="1001"/>
      <c r="NX462" s="1002"/>
      <c r="NZ462" s="1001"/>
      <c r="OA462" s="1001"/>
      <c r="OC462" s="1003"/>
      <c r="OD462" s="1003"/>
      <c r="OE462" s="1001"/>
      <c r="OF462" s="1003"/>
      <c r="OG462" s="1003"/>
      <c r="QX462" s="1000">
        <f>CN462-CA462</f>
        <v>26</v>
      </c>
      <c r="ASU462" s="999" t="s">
        <v>225</v>
      </c>
    </row>
    <row r="463" spans="1:466 1191:1191" ht="21" customHeight="1" x14ac:dyDescent="0.25">
      <c r="A463" s="982">
        <f t="shared" si="323"/>
        <v>1543</v>
      </c>
      <c r="B463" s="124">
        <f>SUBTOTAL(103,$J$29:J463)</f>
        <v>435</v>
      </c>
      <c r="C463" s="126">
        <v>45068</v>
      </c>
      <c r="D463" s="124" t="s">
        <v>176</v>
      </c>
      <c r="E463" s="127" t="s">
        <v>177</v>
      </c>
      <c r="F463" s="128" t="s">
        <v>177</v>
      </c>
      <c r="G463" s="127" t="s">
        <v>178</v>
      </c>
      <c r="H463" s="127" t="s">
        <v>179</v>
      </c>
      <c r="I463" s="127" t="s">
        <v>1365</v>
      </c>
      <c r="J463" s="152">
        <v>1543</v>
      </c>
      <c r="K463" s="127" t="s">
        <v>1365</v>
      </c>
      <c r="L463" s="130">
        <v>43521</v>
      </c>
      <c r="M463" s="127" t="s">
        <v>230</v>
      </c>
      <c r="N463" s="127" t="s">
        <v>184</v>
      </c>
      <c r="O463" s="127" t="s">
        <v>185</v>
      </c>
      <c r="P463" s="127" t="s">
        <v>186</v>
      </c>
      <c r="Q463" s="85" t="str">
        <f t="shared" si="319"/>
        <v/>
      </c>
      <c r="R463" s="130"/>
      <c r="S463" s="128"/>
      <c r="T463" s="131"/>
      <c r="U463" s="132">
        <v>203</v>
      </c>
      <c r="V463" s="121">
        <v>218.2</v>
      </c>
      <c r="W463" s="116">
        <v>0.98</v>
      </c>
      <c r="X463" s="116">
        <v>1.66</v>
      </c>
      <c r="Y463" s="116">
        <f t="shared" si="346"/>
        <v>0.98</v>
      </c>
      <c r="Z463" s="133">
        <v>1.454</v>
      </c>
      <c r="AA463" s="133">
        <v>0.83599999999999997</v>
      </c>
      <c r="AB463" s="133">
        <v>0.72</v>
      </c>
      <c r="AC463" s="121">
        <v>34.299999999999997</v>
      </c>
      <c r="AD463" s="134">
        <v>1.17</v>
      </c>
      <c r="AE463" s="124">
        <v>177.8</v>
      </c>
      <c r="AF463" s="128">
        <v>9.19</v>
      </c>
      <c r="AG463" s="128">
        <v>2148</v>
      </c>
      <c r="AH463" s="127">
        <v>2862</v>
      </c>
      <c r="AI463" s="127">
        <v>2862</v>
      </c>
      <c r="AJ463" s="135"/>
      <c r="AK463" s="128"/>
      <c r="AL463" s="131"/>
      <c r="AM463" s="124" t="s">
        <v>985</v>
      </c>
      <c r="AN463" s="136" t="s">
        <v>1723</v>
      </c>
      <c r="AO463" s="137">
        <v>45.309999999999945</v>
      </c>
      <c r="AP463" s="128">
        <v>2198</v>
      </c>
      <c r="AQ463" s="128">
        <v>338.86</v>
      </c>
      <c r="AR463" s="128" t="s">
        <v>1724</v>
      </c>
      <c r="AS463" s="128">
        <v>114</v>
      </c>
      <c r="AT463" s="122">
        <v>7.37</v>
      </c>
      <c r="AU463" s="124" t="s">
        <v>250</v>
      </c>
      <c r="AV463" s="115">
        <f>VLOOKUP(J463,'[63]ТР нефть'!$J$28:$BP$638,39,0)</f>
        <v>553</v>
      </c>
      <c r="AW463" s="115" t="str">
        <f>VLOOKUP(J463,'[63]ТР нефть'!$J$28:$BP$638,40,0)</f>
        <v>ГК 70 1/8</v>
      </c>
      <c r="AX463" s="115">
        <f>VLOOKUP(J463,'[63]ТР нефть'!$J$28:$BP$638,41,0)</f>
        <v>1024</v>
      </c>
      <c r="AY463" s="115" t="str">
        <f>VLOOKUP(J463,'[63]ТР нефть'!$J$28:$BP$638,42,0)</f>
        <v>ГК 73 1/8</v>
      </c>
      <c r="AZ463" s="115">
        <f>VLOOKUP(J463,'[63]ТР нефть'!$J$28:$BP$638,43,0)</f>
        <v>1377</v>
      </c>
      <c r="BA463" s="115" t="str">
        <f>VLOOKUP(J463,'[63]ТР нефть'!$J$28:$BP$638,44,0)</f>
        <v>ГК 74 5/32</v>
      </c>
      <c r="BB463" s="115">
        <f>VLOOKUP(J463,'[63]ТР нефть'!$J$28:$BP$638,45,0)</f>
        <v>1640</v>
      </c>
      <c r="BC463" s="115" t="str">
        <f>VLOOKUP(J463,'[63]ТР нефть'!$J$28:$BP$638,46,0)</f>
        <v>ГК 73 5/32</v>
      </c>
      <c r="BD463" s="115">
        <f>VLOOKUP(J463,'[63]ТР нефть'!$J$28:$BP$638,47,0)</f>
        <v>1850</v>
      </c>
      <c r="BE463" s="115" t="str">
        <f>VLOOKUP(J463,'[63]ТР нефть'!$J$28:$BP$638,48,0)</f>
        <v>ЦКсОК 5/16</v>
      </c>
      <c r="BF463" s="115" t="str">
        <f>VLOOKUP(J463,'[63]ТР нефть'!$J$28:$BP$638,49,0)</f>
        <v>-</v>
      </c>
      <c r="BG463" s="115" t="str">
        <f>VLOOKUP(J463,'[63]ТР нефть'!$J$28:$BP$638,50,0)</f>
        <v>-</v>
      </c>
      <c r="BH463" s="115">
        <f>VLOOKUP(J463,'[63]ТР нефть'!$J$28:$BP$638,51,0)</f>
        <v>1860</v>
      </c>
      <c r="BI463" s="115" t="str">
        <f>VLOOKUP(J463,'[63]ТР нефть'!$J$28:$BP$638,52,0)</f>
        <v>закрыт</v>
      </c>
      <c r="BJ463" s="115" t="str">
        <f>IF(IFERROR(VLOOKUP(J463,'[63]ТР нефть'!$J$28:$BP$638,53,0),"-")=0,"-",IFERROR(VLOOKUP(J463,'[63]ТР нефть'!$J$28:$BP$638,53,0),"-"))</f>
        <v>-</v>
      </c>
      <c r="BK463" s="138" t="str">
        <f>IF(IFERROR(VLOOKUP(J463,'[63]ТР нефть'!$J$28:$BP$638,54,0),"-")=0,"-",IFERROR(VLOOKUP(J463,'[63]ТР нефть'!$J$28:$BP$638,54,0),"-"))</f>
        <v>-</v>
      </c>
      <c r="BL463" s="138" t="str">
        <f>IF(IFERROR(VLOOKUP(J463,'[63]ТР нефть'!$J$28:$BP$638,55,0),"-")=0,"-",IFERROR(VLOOKUP(J463,'[63]ТР нефть'!$J$28:$BP$638,55,0),"-"))</f>
        <v>-</v>
      </c>
      <c r="BM463" s="138" t="str">
        <f>IF(IFERROR(VLOOKUP(J463,'[63]ТР нефть'!$J$28:$BP$638,56,0),"-")=0,"-",IFERROR(VLOOKUP(J463,'[63]ТР нефть'!$J$28:$BP$638,56,0),"-"))</f>
        <v>-</v>
      </c>
      <c r="BN463" s="138" t="str">
        <f>IF(IFERROR(VLOOKUP(J463,'[63]ТР нефть'!$J$28:$BP$638,57,0),"-")=0,"-",IFERROR(VLOOKUP(J463,'[63]ТР нефть'!$J$28:$BP$638,57,0),"-"))</f>
        <v>-</v>
      </c>
      <c r="BO463" s="115" t="str">
        <f>IF(IFERROR(VLOOKUP(J463,'[63]ТР нефть'!$J$28:$BP$638,58,0),"-")=0,"-",IFERROR(VLOOKUP(J463,'[63]ТР нефть'!$J$28:$BP$638,58,0),"-"))</f>
        <v>-</v>
      </c>
      <c r="BP463" s="115" t="str">
        <f>IF(IFERROR(VLOOKUP(J463,'[63]ТР нефть'!$J$28:$BP$638,59,0),"-")=0,"-",IFERROR(VLOOKUP(J463,'[63]ТР нефть'!$J$28:$BP$638,59,0),"-"))</f>
        <v>-</v>
      </c>
      <c r="BQ463" s="138">
        <v>2100</v>
      </c>
      <c r="BR463" s="128">
        <v>1839.34</v>
      </c>
      <c r="BS463" s="115">
        <f t="shared" si="351"/>
        <v>260.66000000000008</v>
      </c>
      <c r="BT463" s="128">
        <v>73</v>
      </c>
      <c r="BU463" s="128">
        <v>5.5</v>
      </c>
      <c r="BV463" s="127">
        <v>65</v>
      </c>
      <c r="BW463" s="127" t="s">
        <v>217</v>
      </c>
      <c r="BX463" s="127" t="s">
        <v>195</v>
      </c>
      <c r="BY463" s="139">
        <v>24</v>
      </c>
      <c r="BZ463" s="139">
        <v>0</v>
      </c>
      <c r="CA463" s="138">
        <v>28</v>
      </c>
      <c r="CB463" s="138">
        <v>69</v>
      </c>
      <c r="CC463" s="138">
        <v>26</v>
      </c>
      <c r="CD463" s="135">
        <v>45017</v>
      </c>
      <c r="CE463" s="138">
        <v>136</v>
      </c>
      <c r="CF463" s="138"/>
      <c r="CG463" s="138"/>
      <c r="CH463" s="138"/>
      <c r="CI463" s="127"/>
      <c r="CJ463" s="138"/>
      <c r="CK463" s="138">
        <f t="shared" si="356"/>
        <v>27</v>
      </c>
      <c r="CL463" s="99"/>
      <c r="CM463" s="138"/>
      <c r="CN463" s="154">
        <v>55</v>
      </c>
      <c r="CO463" s="141">
        <f t="shared" si="324"/>
        <v>17.137999999999998</v>
      </c>
      <c r="CP463" s="142">
        <v>20.5</v>
      </c>
      <c r="CQ463" s="143">
        <v>0</v>
      </c>
      <c r="CR463" s="138">
        <v>38</v>
      </c>
      <c r="CS463" s="139"/>
      <c r="CT463" s="138"/>
      <c r="CU463" s="138">
        <f t="shared" si="320"/>
        <v>38</v>
      </c>
      <c r="CV463" s="115">
        <f t="shared" si="321"/>
        <v>2217.2949002217297</v>
      </c>
      <c r="CW463" s="115" t="str">
        <f t="shared" si="325"/>
        <v/>
      </c>
      <c r="CX463" s="133">
        <f t="shared" si="322"/>
        <v>0.25308641975308643</v>
      </c>
      <c r="CY463" s="116"/>
      <c r="CZ463" s="131"/>
      <c r="DA463" s="145" t="str">
        <f t="shared" si="326"/>
        <v>Фон.</v>
      </c>
      <c r="DB463" s="146">
        <f t="shared" si="341"/>
        <v>17.137999999999998</v>
      </c>
      <c r="DC463" s="142">
        <f t="shared" si="342"/>
        <v>20.5</v>
      </c>
      <c r="DD463" s="119">
        <f t="shared" si="350"/>
        <v>0</v>
      </c>
      <c r="DE463" s="115">
        <f t="shared" si="343"/>
        <v>38</v>
      </c>
      <c r="DF463" s="121">
        <f t="shared" si="328"/>
        <v>0</v>
      </c>
      <c r="DG463" s="115">
        <f t="shared" si="329"/>
        <v>2217.2949002217297</v>
      </c>
      <c r="DH463" s="115">
        <f t="shared" si="330"/>
        <v>55</v>
      </c>
      <c r="DI463" s="147"/>
      <c r="DJ463" s="111" t="s">
        <v>197</v>
      </c>
      <c r="DK463" s="112">
        <v>43941</v>
      </c>
      <c r="DL463" s="113">
        <f t="shared" ref="DL463:DL479" ca="1" si="359">TODAY()-DK463</f>
        <v>1163</v>
      </c>
      <c r="DM463" s="114"/>
      <c r="DN463" s="114"/>
      <c r="DO463" s="114"/>
      <c r="DP463" s="114"/>
      <c r="DQ463" s="112">
        <v>43521</v>
      </c>
      <c r="DR463" s="114" t="s">
        <v>324</v>
      </c>
      <c r="DS463" s="114"/>
      <c r="DT463" s="115">
        <v>54</v>
      </c>
      <c r="DU463" s="116">
        <f t="shared" ref="DU463:DU479" si="360">DW463/(CE463-DT463)</f>
        <v>0.25196159122085054</v>
      </c>
      <c r="DV463" s="117">
        <f t="shared" ref="DV463:DV479" si="361">DW463*(1-DX463/100)*$AA463</f>
        <v>17.272471001371745</v>
      </c>
      <c r="DW463" s="118">
        <f t="shared" ref="DW463:DW479" si="362">IF(DT463&lt;CN463,IF(MQ463=1,CP463,(1-0.2*(DT463/CE463)-0.8*(DT463/CE463)^2)*(CP463/(1-0.2*(CN463/CE463)-0.8*(CN463/CE463)^2))),CP463)</f>
        <v>20.660850480109744</v>
      </c>
      <c r="DX463" s="119">
        <f t="shared" si="331"/>
        <v>0</v>
      </c>
      <c r="DY463" s="115">
        <f t="shared" ref="DY463:DY479" si="363">(CV463*DV463)/1000</f>
        <v>38.298161865569277</v>
      </c>
      <c r="DZ463" s="117">
        <f t="shared" ref="DZ463:EB479" si="364">DV463-CO463</f>
        <v>0.13447100137174672</v>
      </c>
      <c r="EA463" s="120">
        <f t="shared" si="364"/>
        <v>0.1608504801097439</v>
      </c>
      <c r="EB463" s="119">
        <f t="shared" si="364"/>
        <v>0</v>
      </c>
      <c r="EC463" s="121">
        <f t="shared" ref="EC463:EC479" si="365">DY463-CU463</f>
        <v>0.29816186556927704</v>
      </c>
      <c r="ED463" s="122"/>
      <c r="EE463" s="145">
        <v>65</v>
      </c>
      <c r="EF463" s="115">
        <v>30</v>
      </c>
      <c r="EG463" s="115">
        <v>66</v>
      </c>
      <c r="EH463" s="115">
        <v>29</v>
      </c>
      <c r="EI463" s="128" t="s">
        <v>195</v>
      </c>
      <c r="EJ463" s="121">
        <v>24</v>
      </c>
      <c r="EK463" s="121">
        <v>0</v>
      </c>
      <c r="EL463" s="149">
        <v>12.54</v>
      </c>
      <c r="EM463" s="142">
        <v>15</v>
      </c>
      <c r="EN463" s="119">
        <v>0</v>
      </c>
      <c r="EO463" s="115">
        <v>43</v>
      </c>
      <c r="EP463" s="115">
        <v>3429.0271132376397</v>
      </c>
      <c r="EQ463" s="115">
        <v>0</v>
      </c>
      <c r="ER463" s="115">
        <v>0</v>
      </c>
      <c r="ES463" s="115">
        <v>52</v>
      </c>
      <c r="ET463" s="150">
        <v>0.17857142857142858</v>
      </c>
      <c r="EU463" s="145">
        <f t="shared" si="332"/>
        <v>65</v>
      </c>
      <c r="EV463" s="115">
        <f t="shared" si="333"/>
        <v>28</v>
      </c>
      <c r="EW463" s="115">
        <f t="shared" si="333"/>
        <v>69</v>
      </c>
      <c r="EX463" s="115">
        <f t="shared" si="333"/>
        <v>26</v>
      </c>
      <c r="EY463" s="115" t="str">
        <f t="shared" si="357"/>
        <v>Постоянный</v>
      </c>
      <c r="EZ463" s="115">
        <f t="shared" si="357"/>
        <v>24</v>
      </c>
      <c r="FA463" s="115">
        <f t="shared" si="357"/>
        <v>0</v>
      </c>
      <c r="FB463" s="149">
        <f t="shared" si="345"/>
        <v>17.137999999999998</v>
      </c>
      <c r="FC463" s="142">
        <f t="shared" si="345"/>
        <v>20.5</v>
      </c>
      <c r="FD463" s="119">
        <f t="shared" si="345"/>
        <v>0</v>
      </c>
      <c r="FE463" s="121">
        <f t="shared" si="344"/>
        <v>38</v>
      </c>
      <c r="FF463" s="121">
        <f t="shared" si="347"/>
        <v>2217.2949002217297</v>
      </c>
      <c r="FG463" s="121">
        <f t="shared" si="334"/>
        <v>0</v>
      </c>
      <c r="FH463" s="121">
        <f t="shared" si="358"/>
        <v>0</v>
      </c>
      <c r="FI463" s="121">
        <f t="shared" si="355"/>
        <v>55</v>
      </c>
      <c r="FJ463" s="144">
        <f t="shared" si="335"/>
        <v>0.25308641975308643</v>
      </c>
      <c r="FK463" s="132">
        <f t="shared" si="336"/>
        <v>0</v>
      </c>
      <c r="FL463" s="115">
        <f t="shared" si="336"/>
        <v>-2</v>
      </c>
      <c r="FM463" s="115">
        <f t="shared" si="336"/>
        <v>3</v>
      </c>
      <c r="FN463" s="115">
        <f t="shared" si="336"/>
        <v>-3</v>
      </c>
      <c r="FO463" s="115">
        <f t="shared" si="354"/>
        <v>0</v>
      </c>
      <c r="FP463" s="115">
        <f t="shared" si="354"/>
        <v>0</v>
      </c>
      <c r="FQ463" s="149">
        <f t="shared" si="354"/>
        <v>4.597999999999999</v>
      </c>
      <c r="FR463" s="142">
        <f t="shared" si="354"/>
        <v>5.5</v>
      </c>
      <c r="FS463" s="119">
        <f t="shared" si="354"/>
        <v>0</v>
      </c>
      <c r="FT463" s="121">
        <f t="shared" si="353"/>
        <v>-5</v>
      </c>
      <c r="FU463" s="121">
        <f t="shared" si="337"/>
        <v>0</v>
      </c>
      <c r="FV463" s="121">
        <f t="shared" si="337"/>
        <v>0</v>
      </c>
      <c r="FW463" s="121">
        <f t="shared" si="338"/>
        <v>-1211.73221301591</v>
      </c>
      <c r="FX463" s="121">
        <f t="shared" si="339"/>
        <v>3</v>
      </c>
      <c r="FY463" s="144">
        <f t="shared" si="339"/>
        <v>7.4514991181657858E-2</v>
      </c>
      <c r="FZ463" s="145" t="s">
        <v>199</v>
      </c>
      <c r="GA463" s="151" t="s">
        <v>200</v>
      </c>
      <c r="GB463" s="145"/>
      <c r="GC463" s="151"/>
      <c r="GD463" s="997" t="s">
        <v>202</v>
      </c>
      <c r="GE463" s="1004"/>
      <c r="GF463" s="1004">
        <v>-0.8360000000000003</v>
      </c>
      <c r="GG463" s="1004"/>
      <c r="GH463" s="1004">
        <v>0</v>
      </c>
      <c r="GI463" s="145"/>
      <c r="GJ463" s="996">
        <v>0</v>
      </c>
      <c r="GK463" s="145"/>
      <c r="GL463" s="996">
        <v>0</v>
      </c>
      <c r="GM463" s="1005"/>
      <c r="GN463" s="996">
        <v>0</v>
      </c>
      <c r="GO463" s="1006"/>
      <c r="GP463" s="996">
        <v>0</v>
      </c>
      <c r="GQ463" s="1006"/>
      <c r="GR463" s="996">
        <v>0</v>
      </c>
      <c r="GS463" s="1006"/>
      <c r="GT463" s="996">
        <v>0</v>
      </c>
      <c r="GU463" s="1006"/>
      <c r="GV463" s="996">
        <v>0</v>
      </c>
      <c r="GW463" s="1006"/>
      <c r="GX463" s="996">
        <v>0</v>
      </c>
      <c r="GY463" s="1006"/>
      <c r="GZ463" s="996">
        <v>1.3877600000000001</v>
      </c>
      <c r="HA463" s="1006"/>
      <c r="HB463" s="996">
        <v>0.33690799999999932</v>
      </c>
      <c r="HC463" s="1006" t="s">
        <v>204</v>
      </c>
      <c r="HD463" s="996">
        <v>0</v>
      </c>
      <c r="HE463" s="1006" t="s">
        <v>223</v>
      </c>
      <c r="HF463" s="996">
        <v>-2.2054306999999973</v>
      </c>
      <c r="HG463" s="1006" t="s">
        <v>223</v>
      </c>
      <c r="HH463" s="996">
        <v>-1.1235213000000019</v>
      </c>
      <c r="HI463" s="1006"/>
      <c r="HJ463" s="996">
        <v>-0.74901419999999952</v>
      </c>
      <c r="HK463" s="1006"/>
      <c r="HL463" s="996">
        <v>0</v>
      </c>
      <c r="HM463" s="1006"/>
      <c r="HN463" s="996">
        <v>0</v>
      </c>
      <c r="HO463" s="1006"/>
      <c r="HP463" s="996">
        <v>0</v>
      </c>
      <c r="HQ463" s="1006"/>
      <c r="HR463" s="996">
        <v>-0.84056038000000299</v>
      </c>
      <c r="HS463" s="1006" t="s">
        <v>643</v>
      </c>
      <c r="HT463" s="996">
        <v>0</v>
      </c>
      <c r="HU463" s="1006"/>
      <c r="HV463" s="996">
        <v>-0.73236943999999937</v>
      </c>
      <c r="HW463" s="1006" t="s">
        <v>223</v>
      </c>
      <c r="HX463" s="996">
        <v>-1.115198920000001</v>
      </c>
      <c r="HY463" s="1006"/>
      <c r="HZ463" s="996">
        <v>0</v>
      </c>
      <c r="IA463" s="1006"/>
      <c r="IB463" s="996">
        <v>-0.89417305999999996</v>
      </c>
      <c r="IC463" s="1006"/>
      <c r="ID463" s="996">
        <v>-0.41799999999999926</v>
      </c>
      <c r="IE463" s="1006" t="s">
        <v>204</v>
      </c>
      <c r="IF463" s="996">
        <v>-2.1735999999999969</v>
      </c>
      <c r="IG463" s="1006"/>
      <c r="IH463" s="996">
        <v>-0.66880000000000095</v>
      </c>
      <c r="II463" s="1006"/>
      <c r="IJ463" s="996">
        <v>-0.83599999999999852</v>
      </c>
      <c r="IK463" s="1006"/>
      <c r="IL463" s="996">
        <v>0</v>
      </c>
      <c r="IM463" s="1006"/>
      <c r="IN463" s="996">
        <v>0</v>
      </c>
      <c r="IO463" s="1006"/>
      <c r="IP463" s="996">
        <v>-0.83600000000000207</v>
      </c>
      <c r="IQ463" s="1006" t="s">
        <v>223</v>
      </c>
      <c r="IR463" s="996">
        <v>-3.3439999999999976</v>
      </c>
      <c r="IS463" s="1006"/>
      <c r="IT463" s="996">
        <v>0</v>
      </c>
      <c r="IU463" s="1006" t="s">
        <v>223</v>
      </c>
      <c r="IV463" s="996">
        <v>-5.0160000000000018</v>
      </c>
      <c r="IW463" s="1006"/>
      <c r="IX463" s="996">
        <v>-0.83599999999999852</v>
      </c>
      <c r="IY463" s="1006"/>
      <c r="IZ463" s="996">
        <v>14.327368</v>
      </c>
      <c r="JA463" s="1006"/>
      <c r="JB463" s="996">
        <v>0</v>
      </c>
      <c r="JC463" s="1006"/>
      <c r="JD463" s="996">
        <v>0</v>
      </c>
      <c r="JE463" s="1006"/>
      <c r="JF463" s="996">
        <v>0</v>
      </c>
      <c r="JG463" s="1006"/>
      <c r="JH463" s="996">
        <v>0</v>
      </c>
      <c r="JI463" s="1006"/>
      <c r="JJ463" s="996">
        <v>0</v>
      </c>
      <c r="JK463" s="1007"/>
      <c r="JL463" s="1007">
        <v>0</v>
      </c>
      <c r="JM463" s="1007" t="s">
        <v>199</v>
      </c>
      <c r="JN463" s="1007">
        <v>-1.7556000000000012</v>
      </c>
      <c r="JO463" s="1008" t="s">
        <v>199</v>
      </c>
      <c r="JP463" s="1007">
        <v>-2.5079999999999991</v>
      </c>
      <c r="JQ463" s="1008" t="s">
        <v>204</v>
      </c>
      <c r="JR463" s="1007">
        <v>-3.3439999999999976</v>
      </c>
      <c r="JS463" s="1008">
        <v>0</v>
      </c>
      <c r="JT463" s="1007">
        <v>0</v>
      </c>
      <c r="JU463" s="1008"/>
      <c r="JV463" s="1007">
        <v>0</v>
      </c>
      <c r="JW463" s="1008" t="s">
        <v>197</v>
      </c>
      <c r="JX463" s="1007">
        <v>0</v>
      </c>
      <c r="JY463" s="1008" t="s">
        <v>199</v>
      </c>
      <c r="JZ463" s="1007">
        <v>-10.332960000000003</v>
      </c>
      <c r="KA463" s="1008"/>
      <c r="KB463" s="1007">
        <v>0</v>
      </c>
      <c r="KC463" s="1008"/>
      <c r="KD463" s="1007"/>
      <c r="KE463" s="1008"/>
      <c r="KF463" s="1007"/>
      <c r="KG463" s="1008"/>
      <c r="KH463" s="1007"/>
      <c r="KI463" s="1008"/>
      <c r="KJ463" s="1007"/>
      <c r="KK463" s="1008"/>
      <c r="KL463" s="1007"/>
      <c r="KM463" s="1008"/>
      <c r="KN463" s="1007"/>
      <c r="KO463" s="1008"/>
      <c r="KP463" s="1007"/>
      <c r="KQ463" s="1008"/>
      <c r="KR463" s="1007"/>
      <c r="KS463" s="1008"/>
      <c r="KT463" s="1007"/>
      <c r="KU463" s="1008"/>
      <c r="KV463" s="1007"/>
      <c r="KW463" s="1008"/>
      <c r="KX463" s="1007"/>
      <c r="KY463" s="1008"/>
      <c r="KZ463" s="1007"/>
      <c r="LA463" s="1008"/>
      <c r="LB463" s="1007"/>
      <c r="LC463" s="1008"/>
      <c r="LD463" s="1007"/>
      <c r="LE463" s="1008"/>
      <c r="LF463" s="1007"/>
      <c r="LG463" s="1008"/>
      <c r="LH463" s="1007"/>
      <c r="LI463" s="1008"/>
      <c r="LJ463" s="1007"/>
      <c r="LK463" s="1008"/>
      <c r="LL463" s="1007"/>
      <c r="LM463" s="1008"/>
      <c r="LN463" s="1007"/>
      <c r="LO463" s="1008"/>
      <c r="LP463" s="1007"/>
      <c r="LQ463" s="1008"/>
      <c r="LR463" s="1007"/>
      <c r="LS463" s="1008"/>
      <c r="LT463" s="1007"/>
      <c r="LU463" s="1008"/>
      <c r="LV463" s="1007"/>
      <c r="LW463" s="1008"/>
      <c r="LX463" s="1007"/>
      <c r="LY463" s="1009"/>
      <c r="LZ463" s="1010"/>
      <c r="MA463" s="1011"/>
      <c r="MB463" s="1012"/>
      <c r="MC463" s="995"/>
      <c r="MD463" s="996"/>
      <c r="ME463" s="997" t="s">
        <v>202</v>
      </c>
      <c r="MF463" s="997"/>
      <c r="MG463" s="998"/>
      <c r="NR463" s="1000"/>
      <c r="NS463" s="1000"/>
      <c r="NT463" s="1001"/>
      <c r="NU463" s="1000"/>
      <c r="NV463" s="1001"/>
      <c r="NX463" s="1002"/>
      <c r="NZ463" s="1001"/>
      <c r="OA463" s="1001"/>
      <c r="OC463" s="1003"/>
      <c r="OD463" s="1003"/>
      <c r="OE463" s="1001"/>
      <c r="OF463" s="1003"/>
      <c r="OG463" s="1003"/>
      <c r="QX463" s="1000">
        <f>CN463-CA463</f>
        <v>27</v>
      </c>
      <c r="ASU463" s="999" t="s">
        <v>208</v>
      </c>
    </row>
    <row r="464" spans="1:466 1191:1191" ht="21" customHeight="1" x14ac:dyDescent="0.25">
      <c r="A464" s="982">
        <f t="shared" si="323"/>
        <v>1544</v>
      </c>
      <c r="B464" s="124">
        <f>SUBTOTAL(103,$J$29:J464)</f>
        <v>436</v>
      </c>
      <c r="C464" s="126">
        <v>45068</v>
      </c>
      <c r="D464" s="124" t="s">
        <v>176</v>
      </c>
      <c r="E464" s="127" t="s">
        <v>177</v>
      </c>
      <c r="F464" s="128" t="s">
        <v>177</v>
      </c>
      <c r="G464" s="127" t="s">
        <v>178</v>
      </c>
      <c r="H464" s="127" t="s">
        <v>179</v>
      </c>
      <c r="I464" s="127" t="s">
        <v>1304</v>
      </c>
      <c r="J464" s="152">
        <v>1544</v>
      </c>
      <c r="K464" s="127" t="s">
        <v>1717</v>
      </c>
      <c r="L464" s="130">
        <v>43298</v>
      </c>
      <c r="M464" s="127" t="s">
        <v>230</v>
      </c>
      <c r="N464" s="127" t="s">
        <v>184</v>
      </c>
      <c r="O464" s="127" t="s">
        <v>185</v>
      </c>
      <c r="P464" s="127" t="s">
        <v>186</v>
      </c>
      <c r="Q464" s="85" t="str">
        <f t="shared" si="319"/>
        <v/>
      </c>
      <c r="R464" s="130"/>
      <c r="S464" s="128"/>
      <c r="T464" s="131"/>
      <c r="U464" s="132">
        <v>203</v>
      </c>
      <c r="V464" s="121">
        <v>218.2</v>
      </c>
      <c r="W464" s="116">
        <v>0.98</v>
      </c>
      <c r="X464" s="116">
        <v>1.66</v>
      </c>
      <c r="Y464" s="116">
        <f t="shared" si="346"/>
        <v>1.0943091618458225</v>
      </c>
      <c r="Z464" s="133">
        <v>1.454</v>
      </c>
      <c r="AA464" s="133">
        <v>0.83599999999999997</v>
      </c>
      <c r="AB464" s="133">
        <v>0.72</v>
      </c>
      <c r="AC464" s="121">
        <v>34.299999999999997</v>
      </c>
      <c r="AD464" s="134">
        <v>1.17</v>
      </c>
      <c r="AE464" s="124">
        <v>177.8</v>
      </c>
      <c r="AF464" s="128">
        <v>9.19</v>
      </c>
      <c r="AG464" s="128">
        <v>2204.6999999999998</v>
      </c>
      <c r="AH464" s="138">
        <v>3246.45</v>
      </c>
      <c r="AI464" s="138">
        <v>3246.45</v>
      </c>
      <c r="AJ464" s="135"/>
      <c r="AK464" s="128"/>
      <c r="AL464" s="131"/>
      <c r="AM464" s="124" t="s">
        <v>985</v>
      </c>
      <c r="AN464" s="136" t="s">
        <v>1725</v>
      </c>
      <c r="AO464" s="137">
        <v>8.4</v>
      </c>
      <c r="AP464" s="128">
        <v>2261.7600000000002</v>
      </c>
      <c r="AQ464" s="128">
        <v>313.27</v>
      </c>
      <c r="AR464" s="128" t="s">
        <v>1726</v>
      </c>
      <c r="AS464" s="128">
        <v>114</v>
      </c>
      <c r="AT464" s="122">
        <v>7.37</v>
      </c>
      <c r="AU464" s="124" t="s">
        <v>189</v>
      </c>
      <c r="AV464" s="115">
        <f>VLOOKUP(J464,'[63]ТР нефть'!$J$28:$BP$638,39,0)</f>
        <v>470.00000009799999</v>
      </c>
      <c r="AW464" s="115" t="str">
        <f>VLOOKUP(J464,'[63]ТР нефть'!$J$28:$BP$638,40,0)</f>
        <v>ГП</v>
      </c>
      <c r="AX464" s="115">
        <f>VLOOKUP(J464,'[63]ТР нефть'!$J$28:$BP$638,41,0)</f>
        <v>863.00004902299997</v>
      </c>
      <c r="AY464" s="115" t="str">
        <f>VLOOKUP(J464,'[63]ТР нефть'!$J$28:$BP$638,42,0)</f>
        <v>ГП</v>
      </c>
      <c r="AZ464" s="115">
        <f>VLOOKUP(J464,'[63]ТР нефть'!$J$28:$BP$638,43,0)</f>
        <v>1192.9999992190001</v>
      </c>
      <c r="BA464" s="115" t="str">
        <f>VLOOKUP(J464,'[63]ТР нефть'!$J$28:$BP$638,44,0)</f>
        <v>ГК81 1/8</v>
      </c>
      <c r="BB464" s="115">
        <f>VLOOKUP(J464,'[63]ТР нефть'!$J$28:$BP$638,45,0)</f>
        <v>1515.0000656249999</v>
      </c>
      <c r="BC464" s="115" t="str">
        <f>VLOOKUP(J464,'[63]ТР нефть'!$J$28:$BP$638,46,0)</f>
        <v>ГК81 1/8</v>
      </c>
      <c r="BD464" s="115">
        <f>VLOOKUP(J464,'[63]ТР нефть'!$J$28:$BP$638,47,0)</f>
        <v>1780.000001953</v>
      </c>
      <c r="BE464" s="115" t="str">
        <f>VLOOKUP(J464,'[63]ТР нефть'!$J$28:$BP$638,48,0)</f>
        <v>ГК79 1/8</v>
      </c>
      <c r="BF464" s="115">
        <f>VLOOKUP(J464,'[63]ТР нефть'!$J$28:$BP$638,49,0)</f>
        <v>1970</v>
      </c>
      <c r="BG464" s="115" t="str">
        <f>VLOOKUP(J464,'[63]ТР нефть'!$J$28:$BP$638,50,0)</f>
        <v>ЦКсОК 5/16</v>
      </c>
      <c r="BH464" s="115">
        <f>VLOOKUP(J464,'[63]ТР нефть'!$J$28:$BP$638,51,0)</f>
        <v>1990</v>
      </c>
      <c r="BI464" s="115" t="str">
        <f>VLOOKUP(J464,'[63]ТР нефть'!$J$28:$BP$638,52,0)</f>
        <v>закрыт</v>
      </c>
      <c r="BJ464" s="115" t="str">
        <f>IF(IFERROR(VLOOKUP(J464,'[63]ТР нефть'!$J$28:$BP$638,53,0),"-")=0,"-",IFERROR(VLOOKUP(J464,'[63]ТР нефть'!$J$28:$BP$638,53,0),"-"))</f>
        <v>-</v>
      </c>
      <c r="BK464" s="138" t="str">
        <f>IF(IFERROR(VLOOKUP(J464,'[63]ТР нефть'!$J$28:$BP$638,54,0),"-")=0,"-",IFERROR(VLOOKUP(J464,'[63]ТР нефть'!$J$28:$BP$638,54,0),"-"))</f>
        <v>-</v>
      </c>
      <c r="BL464" s="138" t="str">
        <f>IF(IFERROR(VLOOKUP(J464,'[63]ТР нефть'!$J$28:$BP$638,55,0),"-")=0,"-",IFERROR(VLOOKUP(J464,'[63]ТР нефть'!$J$28:$BP$638,55,0),"-"))</f>
        <v>-</v>
      </c>
      <c r="BM464" s="138" t="str">
        <f>IF(IFERROR(VLOOKUP(J464,'[63]ТР нефть'!$J$28:$BP$638,56,0),"-")=0,"-",IFERROR(VLOOKUP(J464,'[63]ТР нефть'!$J$28:$BP$638,56,0),"-"))</f>
        <v>-</v>
      </c>
      <c r="BN464" s="138" t="str">
        <f>IF(IFERROR(VLOOKUP(J464,'[63]ТР нефть'!$J$28:$BP$638,57,0),"-")=0,"-",IFERROR(VLOOKUP(J464,'[63]ТР нефть'!$J$28:$BP$638,57,0),"-"))</f>
        <v>-</v>
      </c>
      <c r="BO464" s="115" t="str">
        <f>IF(IFERROR(VLOOKUP(J464,'[63]ТР нефть'!$J$28:$BP$638,58,0),"-")=0,"-",IFERROR(VLOOKUP(J464,'[63]ТР нефть'!$J$28:$BP$638,58,0),"-"))</f>
        <v>-</v>
      </c>
      <c r="BP464" s="115" t="str">
        <f>IF(IFERROR(VLOOKUP(J464,'[63]ТР нефть'!$J$28:$BP$638,59,0),"-")=0,"-",IFERROR(VLOOKUP(J464,'[63]ТР нефть'!$J$28:$BP$638,59,0),"-"))</f>
        <v>-</v>
      </c>
      <c r="BQ464" s="138">
        <v>2012</v>
      </c>
      <c r="BR464" s="128">
        <v>1605.66</v>
      </c>
      <c r="BS464" s="115">
        <f t="shared" si="351"/>
        <v>406.33999999999992</v>
      </c>
      <c r="BT464" s="128">
        <v>73</v>
      </c>
      <c r="BU464" s="128">
        <v>5.5</v>
      </c>
      <c r="BV464" s="127">
        <v>65</v>
      </c>
      <c r="BW464" s="127" t="s">
        <v>217</v>
      </c>
      <c r="BX464" s="127" t="s">
        <v>195</v>
      </c>
      <c r="BY464" s="139">
        <v>24</v>
      </c>
      <c r="BZ464" s="139">
        <v>0</v>
      </c>
      <c r="CA464" s="138">
        <v>11</v>
      </c>
      <c r="CB464" s="138">
        <v>40</v>
      </c>
      <c r="CC464" s="138">
        <v>10</v>
      </c>
      <c r="CD464" s="135">
        <v>45017</v>
      </c>
      <c r="CE464" s="138">
        <v>132</v>
      </c>
      <c r="CF464" s="138">
        <v>70</v>
      </c>
      <c r="CG464" s="138" t="str">
        <f t="shared" ref="CG464:CG476" si="366">IF(CH464&lt;&gt;"","В работе","")</f>
        <v>В работе</v>
      </c>
      <c r="CH464" s="138" t="s">
        <v>196</v>
      </c>
      <c r="CI464" s="138">
        <v>5</v>
      </c>
      <c r="CJ464" s="139"/>
      <c r="CK464" s="139">
        <f t="shared" si="356"/>
        <v>31</v>
      </c>
      <c r="CL464" s="99"/>
      <c r="CM464" s="99"/>
      <c r="CN464" s="140">
        <v>42</v>
      </c>
      <c r="CO464" s="141">
        <f t="shared" si="324"/>
        <v>5.9167899999999998</v>
      </c>
      <c r="CP464" s="142">
        <v>9.5</v>
      </c>
      <c r="CQ464" s="143">
        <v>25.5</v>
      </c>
      <c r="CR464" s="138">
        <v>14</v>
      </c>
      <c r="CS464" s="139">
        <v>9.6</v>
      </c>
      <c r="CT464" s="138"/>
      <c r="CU464" s="138">
        <f t="shared" si="320"/>
        <v>4.4000000000000004</v>
      </c>
      <c r="CV464" s="115">
        <f t="shared" si="321"/>
        <v>743.64647046793959</v>
      </c>
      <c r="CW464" s="115">
        <f t="shared" si="325"/>
        <v>1100.6593063897285</v>
      </c>
      <c r="CX464" s="133">
        <f t="shared" si="322"/>
        <v>0.10555555555555556</v>
      </c>
      <c r="CY464" s="116"/>
      <c r="CZ464" s="131"/>
      <c r="DA464" s="145" t="str">
        <f t="shared" si="326"/>
        <v>Газлифт</v>
      </c>
      <c r="DB464" s="146">
        <f t="shared" si="341"/>
        <v>7.9419999999999993</v>
      </c>
      <c r="DC464" s="142">
        <f t="shared" si="342"/>
        <v>9.5</v>
      </c>
      <c r="DD464" s="119">
        <f t="shared" si="350"/>
        <v>0</v>
      </c>
      <c r="DE464" s="115">
        <f t="shared" si="343"/>
        <v>4.4000000000000004</v>
      </c>
      <c r="DF464" s="121">
        <f t="shared" si="328"/>
        <v>9.6</v>
      </c>
      <c r="DG464" s="115">
        <f t="shared" si="329"/>
        <v>743.64647046793959</v>
      </c>
      <c r="DH464" s="115">
        <f t="shared" si="330"/>
        <v>42</v>
      </c>
      <c r="DI464" s="147"/>
      <c r="DJ464" s="111" t="s">
        <v>197</v>
      </c>
      <c r="DK464" s="112">
        <v>43298</v>
      </c>
      <c r="DL464" s="113">
        <f t="shared" ca="1" si="359"/>
        <v>1806</v>
      </c>
      <c r="DM464" s="114"/>
      <c r="DN464" s="114"/>
      <c r="DO464" s="114"/>
      <c r="DP464" s="114"/>
      <c r="DQ464" s="112">
        <v>43298</v>
      </c>
      <c r="DR464" s="114" t="s">
        <v>324</v>
      </c>
      <c r="DS464" s="114">
        <v>0</v>
      </c>
      <c r="DT464" s="115">
        <v>60</v>
      </c>
      <c r="DU464" s="116">
        <f t="shared" si="360"/>
        <v>0.13194444444444445</v>
      </c>
      <c r="DV464" s="117">
        <f t="shared" si="361"/>
        <v>5.9167899999999998</v>
      </c>
      <c r="DW464" s="118">
        <f t="shared" si="362"/>
        <v>9.5</v>
      </c>
      <c r="DX464" s="119">
        <f t="shared" si="331"/>
        <v>25.5</v>
      </c>
      <c r="DY464" s="115">
        <f t="shared" si="363"/>
        <v>4.4000000000000004</v>
      </c>
      <c r="DZ464" s="117">
        <f t="shared" si="364"/>
        <v>0</v>
      </c>
      <c r="EA464" s="120">
        <f t="shared" si="364"/>
        <v>0</v>
      </c>
      <c r="EB464" s="119">
        <f t="shared" si="364"/>
        <v>0</v>
      </c>
      <c r="EC464" s="121">
        <f t="shared" si="365"/>
        <v>0</v>
      </c>
      <c r="ED464" s="122"/>
      <c r="EE464" s="145">
        <v>65</v>
      </c>
      <c r="EF464" s="115">
        <v>8</v>
      </c>
      <c r="EG464" s="115">
        <v>63</v>
      </c>
      <c r="EH464" s="115">
        <v>7</v>
      </c>
      <c r="EI464" s="128" t="s">
        <v>195</v>
      </c>
      <c r="EJ464" s="121">
        <v>24</v>
      </c>
      <c r="EK464" s="121">
        <v>0</v>
      </c>
      <c r="EL464" s="149">
        <v>3.3439999999999999</v>
      </c>
      <c r="EM464" s="117">
        <v>4</v>
      </c>
      <c r="EN464" s="119">
        <v>0</v>
      </c>
      <c r="EO464" s="115">
        <v>11</v>
      </c>
      <c r="EP464" s="115">
        <v>418.66028708133985</v>
      </c>
      <c r="EQ464" s="115">
        <v>70</v>
      </c>
      <c r="ER464" s="115">
        <v>9.6</v>
      </c>
      <c r="ES464" s="115">
        <v>87</v>
      </c>
      <c r="ET464" s="150">
        <v>8.8888888888888892E-2</v>
      </c>
      <c r="EU464" s="145">
        <f t="shared" si="332"/>
        <v>65</v>
      </c>
      <c r="EV464" s="115">
        <f t="shared" si="333"/>
        <v>11</v>
      </c>
      <c r="EW464" s="115">
        <f t="shared" si="333"/>
        <v>40</v>
      </c>
      <c r="EX464" s="115">
        <f t="shared" si="333"/>
        <v>10</v>
      </c>
      <c r="EY464" s="115" t="str">
        <f t="shared" si="357"/>
        <v>Постоянный</v>
      </c>
      <c r="EZ464" s="115">
        <f t="shared" si="357"/>
        <v>24</v>
      </c>
      <c r="FA464" s="115">
        <f t="shared" si="357"/>
        <v>0</v>
      </c>
      <c r="FB464" s="149">
        <f t="shared" si="345"/>
        <v>5.9167899999999998</v>
      </c>
      <c r="FC464" s="142">
        <f t="shared" si="345"/>
        <v>9.5</v>
      </c>
      <c r="FD464" s="119">
        <f t="shared" si="345"/>
        <v>25.5</v>
      </c>
      <c r="FE464" s="121">
        <f t="shared" si="344"/>
        <v>14</v>
      </c>
      <c r="FF464" s="121">
        <f t="shared" si="347"/>
        <v>743.64647046793959</v>
      </c>
      <c r="FG464" s="121">
        <f t="shared" si="334"/>
        <v>70</v>
      </c>
      <c r="FH464" s="121">
        <f t="shared" si="358"/>
        <v>9.6</v>
      </c>
      <c r="FI464" s="121">
        <f t="shared" si="355"/>
        <v>42</v>
      </c>
      <c r="FJ464" s="144">
        <f t="shared" si="335"/>
        <v>0.10555555555555556</v>
      </c>
      <c r="FK464" s="132">
        <f t="shared" si="336"/>
        <v>0</v>
      </c>
      <c r="FL464" s="115">
        <f t="shared" si="336"/>
        <v>3</v>
      </c>
      <c r="FM464" s="115">
        <f t="shared" si="336"/>
        <v>-23</v>
      </c>
      <c r="FN464" s="115">
        <f t="shared" si="336"/>
        <v>3</v>
      </c>
      <c r="FO464" s="115">
        <f t="shared" si="354"/>
        <v>0</v>
      </c>
      <c r="FP464" s="115">
        <f t="shared" si="354"/>
        <v>0</v>
      </c>
      <c r="FQ464" s="149">
        <f t="shared" si="354"/>
        <v>2.5727899999999999</v>
      </c>
      <c r="FR464" s="142">
        <f t="shared" si="354"/>
        <v>5.5</v>
      </c>
      <c r="FS464" s="119">
        <f t="shared" si="354"/>
        <v>25.5</v>
      </c>
      <c r="FT464" s="121">
        <f t="shared" si="353"/>
        <v>3</v>
      </c>
      <c r="FU464" s="121">
        <f t="shared" si="337"/>
        <v>0</v>
      </c>
      <c r="FV464" s="121">
        <f t="shared" si="337"/>
        <v>0</v>
      </c>
      <c r="FW464" s="121">
        <f t="shared" si="338"/>
        <v>324.98618338659975</v>
      </c>
      <c r="FX464" s="121">
        <f t="shared" si="339"/>
        <v>-45</v>
      </c>
      <c r="FY464" s="144">
        <f t="shared" si="339"/>
        <v>1.6666666666666663E-2</v>
      </c>
      <c r="FZ464" s="145" t="s">
        <v>199</v>
      </c>
      <c r="GA464" s="151" t="s">
        <v>200</v>
      </c>
      <c r="GB464" s="145"/>
      <c r="GC464" s="151" t="s">
        <v>1727</v>
      </c>
      <c r="GD464" s="997" t="s">
        <v>202</v>
      </c>
      <c r="GE464" s="1004"/>
      <c r="GF464" s="1004">
        <v>0</v>
      </c>
      <c r="GG464" s="1004"/>
      <c r="GH464" s="1004">
        <v>0</v>
      </c>
      <c r="GI464" s="145"/>
      <c r="GJ464" s="996">
        <v>0</v>
      </c>
      <c r="GK464" s="145"/>
      <c r="GL464" s="996">
        <v>0</v>
      </c>
      <c r="GM464" s="1005"/>
      <c r="GN464" s="996">
        <v>-0.82764000000000015</v>
      </c>
      <c r="GO464" s="1006" t="s">
        <v>241</v>
      </c>
      <c r="GP464" s="996">
        <v>-3.7544759999999995</v>
      </c>
      <c r="GQ464" s="1006" t="s">
        <v>241</v>
      </c>
      <c r="GR464" s="996">
        <v>4.0882071999999994</v>
      </c>
      <c r="GS464" s="1006" t="s">
        <v>199</v>
      </c>
      <c r="GT464" s="996">
        <v>-1.3452912000000006</v>
      </c>
      <c r="GU464" s="1006"/>
      <c r="GV464" s="996">
        <v>0</v>
      </c>
      <c r="GW464" s="1006"/>
      <c r="GX464" s="996">
        <v>0</v>
      </c>
      <c r="GY464" s="1006"/>
      <c r="GZ464" s="996">
        <v>-0.37619999999999987</v>
      </c>
      <c r="HA464" s="1006" t="s">
        <v>199</v>
      </c>
      <c r="HB464" s="996">
        <v>-6.0405999999999995</v>
      </c>
      <c r="HC464" s="1006" t="s">
        <v>204</v>
      </c>
      <c r="HD464" s="996">
        <v>0</v>
      </c>
      <c r="HE464" s="1006" t="s">
        <v>199</v>
      </c>
      <c r="HF464" s="996">
        <v>-1.1761516800000003</v>
      </c>
      <c r="HG464" s="1006"/>
      <c r="HH464" s="996">
        <v>0.74358855999999918</v>
      </c>
      <c r="HI464" s="1006" t="s">
        <v>199</v>
      </c>
      <c r="HJ464" s="996">
        <v>-4.1206272800000008</v>
      </c>
      <c r="HK464" s="1006" t="s">
        <v>276</v>
      </c>
      <c r="HL464" s="996">
        <v>16.595055215483871</v>
      </c>
      <c r="HM464" s="1006"/>
      <c r="HN464" s="996">
        <v>0</v>
      </c>
      <c r="HO464" s="1006"/>
      <c r="HP464" s="996">
        <v>0</v>
      </c>
      <c r="HQ464" s="1006" t="s">
        <v>199</v>
      </c>
      <c r="HR464" s="996">
        <v>1.1788868244361288</v>
      </c>
      <c r="HS464" s="1006"/>
      <c r="HT464" s="996">
        <v>0</v>
      </c>
      <c r="HU464" s="1006"/>
      <c r="HV464" s="996">
        <v>0</v>
      </c>
      <c r="HW464" s="1006"/>
      <c r="HX464" s="996">
        <v>0</v>
      </c>
      <c r="HY464" s="1006"/>
      <c r="HZ464" s="996">
        <v>0</v>
      </c>
      <c r="IA464" s="1006"/>
      <c r="IB464" s="996">
        <v>0</v>
      </c>
      <c r="IC464" s="1006"/>
      <c r="ID464" s="996">
        <v>1.7054399999999914E-2</v>
      </c>
      <c r="IE464" s="1006"/>
      <c r="IF464" s="996">
        <v>0</v>
      </c>
      <c r="IG464" s="1006"/>
      <c r="IH464" s="996">
        <v>0</v>
      </c>
      <c r="II464" s="1006" t="s">
        <v>199</v>
      </c>
      <c r="IJ464" s="996">
        <v>-2.1475168</v>
      </c>
      <c r="IK464" s="1006"/>
      <c r="IL464" s="996">
        <v>0</v>
      </c>
      <c r="IM464" s="1006"/>
      <c r="IN464" s="996">
        <v>0</v>
      </c>
      <c r="IO464" s="1006" t="s">
        <v>199</v>
      </c>
      <c r="IP464" s="996">
        <v>-2.3538415999999995</v>
      </c>
      <c r="IQ464" s="1006" t="s">
        <v>199</v>
      </c>
      <c r="IR464" s="996">
        <v>-12.553376</v>
      </c>
      <c r="IS464" s="1006"/>
      <c r="IT464" s="996">
        <v>0</v>
      </c>
      <c r="IU464" s="1006"/>
      <c r="IV464" s="996">
        <v>0</v>
      </c>
      <c r="IW464" s="1006"/>
      <c r="IX464" s="996">
        <v>0</v>
      </c>
      <c r="IY464" s="1006"/>
      <c r="IZ464" s="996">
        <v>0</v>
      </c>
      <c r="JA464" s="1006"/>
      <c r="JB464" s="996">
        <v>0</v>
      </c>
      <c r="JC464" s="1006"/>
      <c r="JD464" s="996">
        <v>0</v>
      </c>
      <c r="JE464" s="1006"/>
      <c r="JF464" s="996">
        <v>0</v>
      </c>
      <c r="JG464" s="1006" t="s">
        <v>199</v>
      </c>
      <c r="JH464" s="996">
        <v>12.029810936000001</v>
      </c>
      <c r="JI464" s="1006"/>
      <c r="JJ464" s="996">
        <v>0</v>
      </c>
      <c r="JK464" s="1007"/>
      <c r="JL464" s="1007">
        <v>0</v>
      </c>
      <c r="JM464" s="1007"/>
      <c r="JN464" s="1007">
        <v>0</v>
      </c>
      <c r="JO464" s="1008"/>
      <c r="JP464" s="1007">
        <v>0</v>
      </c>
      <c r="JQ464" s="1008">
        <v>0</v>
      </c>
      <c r="JR464" s="1007">
        <v>0</v>
      </c>
      <c r="JS464" s="1008" t="s">
        <v>199</v>
      </c>
      <c r="JT464" s="1007">
        <v>-2.9735901359999986</v>
      </c>
      <c r="JU464" s="1008"/>
      <c r="JV464" s="1007">
        <v>0</v>
      </c>
      <c r="JW464" s="1008" t="s">
        <v>199</v>
      </c>
      <c r="JX464" s="1007">
        <v>-1.5071408000000019</v>
      </c>
      <c r="JY464" s="1008" t="s">
        <v>204</v>
      </c>
      <c r="JZ464" s="1007">
        <v>0.39292000000000016</v>
      </c>
      <c r="KA464" s="1008" t="s">
        <v>204</v>
      </c>
      <c r="KB464" s="1007">
        <v>-1.6719999999999402E-2</v>
      </c>
      <c r="KC464" s="1008"/>
      <c r="KD464" s="1007">
        <v>0</v>
      </c>
      <c r="KE464" s="1008" t="s">
        <v>276</v>
      </c>
      <c r="KF464" s="1007">
        <v>-14.546399999999998</v>
      </c>
      <c r="KG464" s="1008"/>
      <c r="KH464" s="1007">
        <v>0</v>
      </c>
      <c r="KI464" s="1008" t="s">
        <v>207</v>
      </c>
      <c r="KJ464" s="1007">
        <v>-7.5240000000000009</v>
      </c>
      <c r="KK464" s="1008"/>
      <c r="KL464" s="1007">
        <v>0</v>
      </c>
      <c r="KM464" s="1008" t="s">
        <v>207</v>
      </c>
      <c r="KN464" s="1007">
        <v>-5.6847999999999956</v>
      </c>
      <c r="KO464" s="1008"/>
      <c r="KP464" s="1007">
        <v>0</v>
      </c>
      <c r="KQ464" s="1008">
        <v>0</v>
      </c>
      <c r="KR464" s="1007">
        <v>38.288799999999995</v>
      </c>
      <c r="KS464" s="1008">
        <v>0</v>
      </c>
      <c r="KT464" s="1007">
        <v>0</v>
      </c>
      <c r="KU464" s="1008">
        <v>0</v>
      </c>
      <c r="KV464" s="1007">
        <v>0</v>
      </c>
      <c r="KW464" s="1008">
        <v>0</v>
      </c>
      <c r="KX464" s="1007">
        <v>0</v>
      </c>
      <c r="KY464" s="1008">
        <v>0</v>
      </c>
      <c r="KZ464" s="1007">
        <v>0</v>
      </c>
      <c r="LA464" s="1008">
        <v>0</v>
      </c>
      <c r="LB464" s="1007">
        <v>0</v>
      </c>
      <c r="LC464" s="1008">
        <v>0</v>
      </c>
      <c r="LD464" s="1007">
        <v>0</v>
      </c>
      <c r="LE464" s="1008">
        <v>0</v>
      </c>
      <c r="LF464" s="1007">
        <v>0</v>
      </c>
      <c r="LG464" s="1008">
        <v>0</v>
      </c>
      <c r="LH464" s="1007">
        <v>0</v>
      </c>
      <c r="LI464" s="1008">
        <v>0</v>
      </c>
      <c r="LJ464" s="1007">
        <v>0</v>
      </c>
      <c r="LK464" s="1008">
        <v>0</v>
      </c>
      <c r="LL464" s="1007">
        <v>0</v>
      </c>
      <c r="LM464" s="1008">
        <v>0</v>
      </c>
      <c r="LN464" s="1007">
        <v>0</v>
      </c>
      <c r="LO464" s="1008">
        <v>0</v>
      </c>
      <c r="LP464" s="1007">
        <v>0</v>
      </c>
      <c r="LQ464" s="1008">
        <v>0</v>
      </c>
      <c r="LR464" s="1007">
        <v>0</v>
      </c>
      <c r="LS464" s="1008">
        <v>0</v>
      </c>
      <c r="LT464" s="1007">
        <v>0</v>
      </c>
      <c r="LU464" s="1008">
        <v>0</v>
      </c>
      <c r="LV464" s="1007">
        <v>0</v>
      </c>
      <c r="LW464" s="1008">
        <v>0</v>
      </c>
      <c r="LX464" s="1007">
        <v>0</v>
      </c>
      <c r="LY464" s="1009">
        <v>0</v>
      </c>
      <c r="LZ464" s="1010">
        <v>0</v>
      </c>
      <c r="MA464" s="1011">
        <v>0</v>
      </c>
      <c r="MB464" s="1012">
        <v>0</v>
      </c>
      <c r="MC464" s="995"/>
      <c r="MD464" s="996"/>
      <c r="ME464" s="997" t="s">
        <v>202</v>
      </c>
      <c r="MF464" s="997"/>
      <c r="MG464" s="998"/>
      <c r="NR464" s="1000"/>
      <c r="NS464" s="1000"/>
      <c r="NT464" s="1001"/>
      <c r="NU464" s="1000"/>
      <c r="NV464" s="1001"/>
      <c r="NX464" s="1002"/>
      <c r="NZ464" s="1001"/>
      <c r="OA464" s="1001"/>
      <c r="OC464" s="1003"/>
      <c r="OD464" s="1003"/>
      <c r="OE464" s="1001"/>
      <c r="OF464" s="1003"/>
      <c r="OG464" s="1003"/>
      <c r="QX464" s="1000">
        <f>CN464-CA464</f>
        <v>31</v>
      </c>
      <c r="ASU464" s="999" t="s">
        <v>208</v>
      </c>
    </row>
    <row r="465" spans="1:466 1191:1191" ht="21" customHeight="1" x14ac:dyDescent="0.25">
      <c r="A465" s="982">
        <f t="shared" si="323"/>
        <v>1545</v>
      </c>
      <c r="B465" s="124">
        <f>SUBTOTAL(103,$J$29:J465)</f>
        <v>437</v>
      </c>
      <c r="C465" s="126">
        <v>45068</v>
      </c>
      <c r="D465" s="124" t="s">
        <v>176</v>
      </c>
      <c r="E465" s="127" t="s">
        <v>177</v>
      </c>
      <c r="F465" s="128" t="s">
        <v>177</v>
      </c>
      <c r="G465" s="127" t="s">
        <v>178</v>
      </c>
      <c r="H465" s="127" t="s">
        <v>179</v>
      </c>
      <c r="I465" s="127" t="s">
        <v>1304</v>
      </c>
      <c r="J465" s="152">
        <v>1545</v>
      </c>
      <c r="K465" s="127" t="s">
        <v>1717</v>
      </c>
      <c r="L465" s="130">
        <v>43100</v>
      </c>
      <c r="M465" s="127" t="s">
        <v>230</v>
      </c>
      <c r="N465" s="127" t="s">
        <v>184</v>
      </c>
      <c r="O465" s="127" t="s">
        <v>185</v>
      </c>
      <c r="P465" s="127" t="s">
        <v>186</v>
      </c>
      <c r="Q465" s="85">
        <f t="shared" ref="Q465:Q497" si="367">IF(R465="","",-4)</f>
        <v>-4</v>
      </c>
      <c r="R465" s="130">
        <v>43093</v>
      </c>
      <c r="S465" s="128" t="s">
        <v>747</v>
      </c>
      <c r="T465" s="131" t="s">
        <v>1294</v>
      </c>
      <c r="U465" s="132">
        <v>203</v>
      </c>
      <c r="V465" s="121">
        <v>218.2</v>
      </c>
      <c r="W465" s="116">
        <v>0.98</v>
      </c>
      <c r="X465" s="116">
        <v>1.66</v>
      </c>
      <c r="Y465" s="116">
        <f t="shared" si="346"/>
        <v>0.98</v>
      </c>
      <c r="Z465" s="133">
        <v>1.454</v>
      </c>
      <c r="AA465" s="133">
        <v>0.83599999999999997</v>
      </c>
      <c r="AB465" s="133">
        <v>0.72</v>
      </c>
      <c r="AC465" s="121">
        <v>34.299999999999997</v>
      </c>
      <c r="AD465" s="134">
        <v>1.17</v>
      </c>
      <c r="AE465" s="124">
        <v>177.8</v>
      </c>
      <c r="AF465" s="128">
        <v>9.19</v>
      </c>
      <c r="AG465" s="128">
        <v>2263.6</v>
      </c>
      <c r="AH465" s="127">
        <v>3115</v>
      </c>
      <c r="AI465" s="127">
        <v>3113</v>
      </c>
      <c r="AJ465" s="135">
        <v>43072</v>
      </c>
      <c r="AK465" s="128" t="s">
        <v>1018</v>
      </c>
      <c r="AL465" s="131"/>
      <c r="AM465" s="124" t="s">
        <v>985</v>
      </c>
      <c r="AN465" s="136" t="s">
        <v>1728</v>
      </c>
      <c r="AO465" s="137">
        <v>9.81</v>
      </c>
      <c r="AP465" s="128">
        <v>2388.46</v>
      </c>
      <c r="AQ465" s="128">
        <v>481.71</v>
      </c>
      <c r="AR465" s="128" t="s">
        <v>1729</v>
      </c>
      <c r="AS465" s="128">
        <v>114</v>
      </c>
      <c r="AT465" s="122">
        <v>7.37</v>
      </c>
      <c r="AU465" s="124" t="s">
        <v>189</v>
      </c>
      <c r="AV465" s="115">
        <f>VLOOKUP(J465,'[63]ТР нефть'!$J$28:$BP$638,39,0)</f>
        <v>424.00001718800002</v>
      </c>
      <c r="AW465" s="115" t="str">
        <f>VLOOKUP(J465,'[63]ТР нефть'!$J$28:$BP$638,40,0)</f>
        <v>ГП</v>
      </c>
      <c r="AX465" s="115">
        <f>VLOOKUP(J465,'[63]ТР нефть'!$J$28:$BP$638,41,0)</f>
        <v>755.999994141</v>
      </c>
      <c r="AY465" s="115" t="str">
        <f>VLOOKUP(J465,'[63]ТР нефть'!$J$28:$BP$638,42,0)</f>
        <v>ГП</v>
      </c>
      <c r="AZ465" s="115">
        <f>VLOOKUP(J465,'[63]ТР нефть'!$J$28:$BP$638,43,0)</f>
        <v>1065.999974414</v>
      </c>
      <c r="BA465" s="115" t="str">
        <f>VLOOKUP(J465,'[63]ТР нефть'!$J$28:$BP$638,44,0)</f>
        <v>ГК 84 5/32</v>
      </c>
      <c r="BB465" s="115">
        <f>VLOOKUP(J465,'[63]ТР нефть'!$J$28:$BP$638,45,0)</f>
        <v>1410.0000375</v>
      </c>
      <c r="BC465" s="115" t="str">
        <f>VLOOKUP(J465,'[63]ТР нефть'!$J$28:$BP$638,46,0)</f>
        <v>ГК 84 5/32</v>
      </c>
      <c r="BD465" s="115">
        <f>VLOOKUP(J465,'[63]ТР нефть'!$J$28:$BP$638,47,0)</f>
        <v>1719.9999433590001</v>
      </c>
      <c r="BE465" s="115" t="str">
        <f>VLOOKUP(J465,'[63]ТР нефть'!$J$28:$BP$638,48,0)</f>
        <v>ГК 84 5/32</v>
      </c>
      <c r="BF465" s="115">
        <f>VLOOKUP(J465,'[63]ТР нефть'!$J$28:$BP$638,49,0)</f>
        <v>1830</v>
      </c>
      <c r="BG465" s="115" t="str">
        <f>VLOOKUP(J465,'[63]ТР нефть'!$J$28:$BP$638,50,0)</f>
        <v>ЦКсОК 5/16</v>
      </c>
      <c r="BH465" s="115">
        <f>VLOOKUP(J465,'[63]ТР нефть'!$J$28:$BP$638,51,0)</f>
        <v>1930</v>
      </c>
      <c r="BI465" s="115" t="str">
        <f>VLOOKUP(J465,'[63]ТР нефть'!$J$28:$BP$638,52,0)</f>
        <v xml:space="preserve">закрыт </v>
      </c>
      <c r="BJ465" s="115" t="str">
        <f>IF(IFERROR(VLOOKUP(J465,'[63]ТР нефть'!$J$28:$BP$638,53,0),"-")=0,"-",IFERROR(VLOOKUP(J465,'[63]ТР нефть'!$J$28:$BP$638,53,0),"-"))</f>
        <v>-</v>
      </c>
      <c r="BK465" s="138" t="str">
        <f>IF(IFERROR(VLOOKUP(J465,'[63]ТР нефть'!$J$28:$BP$638,54,0),"-")=0,"-",IFERROR(VLOOKUP(J465,'[63]ТР нефть'!$J$28:$BP$638,54,0),"-"))</f>
        <v>-</v>
      </c>
      <c r="BL465" s="138" t="str">
        <f>IF(IFERROR(VLOOKUP(J465,'[63]ТР нефть'!$J$28:$BP$638,55,0),"-")=0,"-",IFERROR(VLOOKUP(J465,'[63]ТР нефть'!$J$28:$BP$638,55,0),"-"))</f>
        <v>-</v>
      </c>
      <c r="BM465" s="138" t="str">
        <f>IF(IFERROR(VLOOKUP(J465,'[63]ТР нефть'!$J$28:$BP$638,56,0),"-")=0,"-",IFERROR(VLOOKUP(J465,'[63]ТР нефть'!$J$28:$BP$638,56,0),"-"))</f>
        <v>-</v>
      </c>
      <c r="BN465" s="138" t="str">
        <f>IF(IFERROR(VLOOKUP(J465,'[63]ТР нефть'!$J$28:$BP$638,57,0),"-")=0,"-",IFERROR(VLOOKUP(J465,'[63]ТР нефть'!$J$28:$BP$638,57,0),"-"))</f>
        <v>-</v>
      </c>
      <c r="BO465" s="115" t="str">
        <f>IF(IFERROR(VLOOKUP(J465,'[63]ТР нефть'!$J$28:$BP$638,58,0),"-")=0,"-",IFERROR(VLOOKUP(J465,'[63]ТР нефть'!$J$28:$BP$638,58,0),"-"))</f>
        <v>-</v>
      </c>
      <c r="BP465" s="115" t="str">
        <f>IF(IFERROR(VLOOKUP(J465,'[63]ТР нефть'!$J$28:$BP$638,59,0),"-")=0,"-",IFERROR(VLOOKUP(J465,'[63]ТР нефть'!$J$28:$BP$638,59,0),"-"))</f>
        <v>-</v>
      </c>
      <c r="BQ465" s="138">
        <v>2201</v>
      </c>
      <c r="BR465" s="128">
        <v>1812.56</v>
      </c>
      <c r="BS465" s="115">
        <f t="shared" si="351"/>
        <v>388.44000000000005</v>
      </c>
      <c r="BT465" s="128">
        <v>73</v>
      </c>
      <c r="BU465" s="128">
        <v>5.5</v>
      </c>
      <c r="BV465" s="127">
        <v>18</v>
      </c>
      <c r="BW465" s="127" t="s">
        <v>194</v>
      </c>
      <c r="BX465" s="127" t="s">
        <v>218</v>
      </c>
      <c r="BY465" s="139">
        <v>24</v>
      </c>
      <c r="BZ465" s="139">
        <v>24</v>
      </c>
      <c r="CA465" s="138">
        <v>10</v>
      </c>
      <c r="CB465" s="138">
        <v>39</v>
      </c>
      <c r="CC465" s="138">
        <v>9</v>
      </c>
      <c r="CD465" s="135">
        <v>45017</v>
      </c>
      <c r="CE465" s="138">
        <v>63.1</v>
      </c>
      <c r="CF465" s="138">
        <v>70</v>
      </c>
      <c r="CG465" s="138" t="str">
        <f t="shared" si="366"/>
        <v>В работе</v>
      </c>
      <c r="CH465" s="138" t="s">
        <v>196</v>
      </c>
      <c r="CI465" s="138">
        <v>5</v>
      </c>
      <c r="CJ465" s="138"/>
      <c r="CK465" s="138">
        <f t="shared" si="356"/>
        <v>51</v>
      </c>
      <c r="CL465" s="99"/>
      <c r="CM465" s="99"/>
      <c r="CN465" s="140">
        <v>61</v>
      </c>
      <c r="CO465" s="141">
        <f t="shared" si="324"/>
        <v>2.9259999999999997</v>
      </c>
      <c r="CP465" s="142">
        <v>3.5</v>
      </c>
      <c r="CQ465" s="143">
        <v>0</v>
      </c>
      <c r="CR465" s="138">
        <v>4</v>
      </c>
      <c r="CS465" s="139">
        <v>1</v>
      </c>
      <c r="CT465" s="138"/>
      <c r="CU465" s="138">
        <f>IF(CR465&lt;&gt;"0",CR465-CS465,"0")</f>
        <v>3</v>
      </c>
      <c r="CV465" s="115">
        <f t="shared" ref="CV465:CV497" si="368">(CR465-CS465)*1000/CO465</f>
        <v>1025.2904989747096</v>
      </c>
      <c r="CW465" s="115">
        <f t="shared" si="325"/>
        <v>341.76349965823653</v>
      </c>
      <c r="CX465" s="133">
        <f t="shared" ref="CX465:CX497" si="369">IF(CP465&lt;&gt;0,CP465/(CE465-CN465),0)</f>
        <v>1.6666666666666656</v>
      </c>
      <c r="CY465" s="116"/>
      <c r="CZ465" s="131"/>
      <c r="DA465" s="145" t="str">
        <f t="shared" si="326"/>
        <v>Газлифт</v>
      </c>
      <c r="DB465" s="146">
        <f t="shared" si="341"/>
        <v>6.4084415999999997</v>
      </c>
      <c r="DC465" s="142">
        <f t="shared" si="342"/>
        <v>8</v>
      </c>
      <c r="DD465" s="119">
        <f t="shared" si="350"/>
        <v>4.18</v>
      </c>
      <c r="DE465" s="115">
        <f t="shared" si="343"/>
        <v>3</v>
      </c>
      <c r="DF465" s="121">
        <f t="shared" si="328"/>
        <v>1</v>
      </c>
      <c r="DG465" s="115">
        <f t="shared" si="329"/>
        <v>1025.2904989747096</v>
      </c>
      <c r="DH465" s="115">
        <f t="shared" si="330"/>
        <v>61</v>
      </c>
      <c r="DI465" s="147"/>
      <c r="DJ465" s="111">
        <v>43703</v>
      </c>
      <c r="DK465" s="112">
        <v>43226</v>
      </c>
      <c r="DL465" s="113">
        <f t="shared" ca="1" si="359"/>
        <v>1878</v>
      </c>
      <c r="DM465" s="114"/>
      <c r="DN465" s="114"/>
      <c r="DO465" s="114"/>
      <c r="DP465" s="114"/>
      <c r="DQ465" s="112">
        <v>43100</v>
      </c>
      <c r="DR465" s="114" t="s">
        <v>324</v>
      </c>
      <c r="DS465" s="114"/>
      <c r="DT465" s="115">
        <v>60</v>
      </c>
      <c r="DU465" s="116">
        <f t="shared" si="360"/>
        <v>1.6547512660113171</v>
      </c>
      <c r="DV465" s="117">
        <f t="shared" si="361"/>
        <v>4.2884533809949312</v>
      </c>
      <c r="DW465" s="118">
        <f t="shared" si="362"/>
        <v>5.129728924635085</v>
      </c>
      <c r="DX465" s="119">
        <f t="shared" si="331"/>
        <v>0</v>
      </c>
      <c r="DY465" s="115">
        <f t="shared" si="363"/>
        <v>4.3969105068300731</v>
      </c>
      <c r="DZ465" s="117">
        <f t="shared" si="364"/>
        <v>1.3624533809949315</v>
      </c>
      <c r="EA465" s="120">
        <f t="shared" si="364"/>
        <v>1.629728924635085</v>
      </c>
      <c r="EB465" s="119">
        <f t="shared" si="364"/>
        <v>0</v>
      </c>
      <c r="EC465" s="121">
        <f t="shared" si="365"/>
        <v>1.3969105068300731</v>
      </c>
      <c r="ED465" s="122"/>
      <c r="EE465" s="145">
        <v>18</v>
      </c>
      <c r="EF465" s="115">
        <v>8</v>
      </c>
      <c r="EG465" s="115">
        <v>48</v>
      </c>
      <c r="EH465" s="115">
        <v>7</v>
      </c>
      <c r="EI465" s="128" t="s">
        <v>218</v>
      </c>
      <c r="EJ465" s="121">
        <v>24</v>
      </c>
      <c r="EK465" s="121">
        <v>24</v>
      </c>
      <c r="EL465" s="149">
        <v>6.4084415999999997</v>
      </c>
      <c r="EM465" s="142">
        <v>8</v>
      </c>
      <c r="EN465" s="119">
        <v>4.18</v>
      </c>
      <c r="EO465" s="115">
        <v>11</v>
      </c>
      <c r="EP465" s="115">
        <v>780.22088864787349</v>
      </c>
      <c r="EQ465" s="115">
        <v>70</v>
      </c>
      <c r="ER465" s="115">
        <v>6</v>
      </c>
      <c r="ES465" s="115">
        <v>49</v>
      </c>
      <c r="ET465" s="150">
        <v>0.56737588652482263</v>
      </c>
      <c r="EU465" s="145">
        <f t="shared" si="332"/>
        <v>18</v>
      </c>
      <c r="EV465" s="115">
        <f t="shared" si="333"/>
        <v>10</v>
      </c>
      <c r="EW465" s="115">
        <f t="shared" si="333"/>
        <v>39</v>
      </c>
      <c r="EX465" s="115">
        <f t="shared" si="333"/>
        <v>9</v>
      </c>
      <c r="EY465" s="115" t="str">
        <f t="shared" si="357"/>
        <v>Периодический</v>
      </c>
      <c r="EZ465" s="115">
        <f t="shared" si="357"/>
        <v>24</v>
      </c>
      <c r="FA465" s="115">
        <f t="shared" si="357"/>
        <v>24</v>
      </c>
      <c r="FB465" s="149">
        <f t="shared" si="345"/>
        <v>2.9259999999999997</v>
      </c>
      <c r="FC465" s="142">
        <f t="shared" si="345"/>
        <v>3.5</v>
      </c>
      <c r="FD465" s="119">
        <f t="shared" si="345"/>
        <v>0</v>
      </c>
      <c r="FE465" s="121">
        <f t="shared" si="344"/>
        <v>4</v>
      </c>
      <c r="FF465" s="121">
        <f t="shared" si="347"/>
        <v>1025.2904989747096</v>
      </c>
      <c r="FG465" s="121">
        <f t="shared" si="334"/>
        <v>70</v>
      </c>
      <c r="FH465" s="121">
        <f t="shared" si="358"/>
        <v>1</v>
      </c>
      <c r="FI465" s="121">
        <f t="shared" si="355"/>
        <v>61</v>
      </c>
      <c r="FJ465" s="144">
        <f t="shared" si="335"/>
        <v>1.6666666666666656</v>
      </c>
      <c r="FK465" s="132">
        <f t="shared" si="336"/>
        <v>0</v>
      </c>
      <c r="FL465" s="115">
        <f t="shared" si="336"/>
        <v>2</v>
      </c>
      <c r="FM465" s="115">
        <f t="shared" si="336"/>
        <v>-9</v>
      </c>
      <c r="FN465" s="115">
        <f t="shared" si="336"/>
        <v>2</v>
      </c>
      <c r="FO465" s="115">
        <f t="shared" si="354"/>
        <v>0</v>
      </c>
      <c r="FP465" s="115">
        <f t="shared" si="354"/>
        <v>0</v>
      </c>
      <c r="FQ465" s="149">
        <f t="shared" si="354"/>
        <v>-3.4824416</v>
      </c>
      <c r="FR465" s="142">
        <f t="shared" si="354"/>
        <v>-4.5</v>
      </c>
      <c r="FS465" s="138">
        <f t="shared" si="354"/>
        <v>-4.18</v>
      </c>
      <c r="FT465" s="121">
        <f t="shared" si="353"/>
        <v>-7</v>
      </c>
      <c r="FU465" s="121">
        <f t="shared" si="337"/>
        <v>0</v>
      </c>
      <c r="FV465" s="121">
        <f t="shared" si="337"/>
        <v>-5</v>
      </c>
      <c r="FW465" s="121">
        <f t="shared" si="338"/>
        <v>245.06961032683614</v>
      </c>
      <c r="FX465" s="121">
        <f t="shared" si="339"/>
        <v>12</v>
      </c>
      <c r="FY465" s="144">
        <f t="shared" si="339"/>
        <v>1.099290780141843</v>
      </c>
      <c r="FZ465" s="145" t="s">
        <v>199</v>
      </c>
      <c r="GA465" s="151" t="s">
        <v>415</v>
      </c>
      <c r="GB465" s="145"/>
      <c r="GC465" s="151"/>
      <c r="GD465" s="997" t="s">
        <v>202</v>
      </c>
      <c r="GE465" s="1004"/>
      <c r="GF465" s="1004">
        <v>0</v>
      </c>
      <c r="GG465" s="1004"/>
      <c r="GH465" s="1004">
        <v>0</v>
      </c>
      <c r="GI465" s="145"/>
      <c r="GJ465" s="996">
        <v>0</v>
      </c>
      <c r="GK465" s="145"/>
      <c r="GL465" s="996">
        <v>0</v>
      </c>
      <c r="GM465" s="1005"/>
      <c r="GN465" s="996">
        <v>0</v>
      </c>
      <c r="GO465" s="1006" t="s">
        <v>204</v>
      </c>
      <c r="GP465" s="996">
        <v>1.2787456000000006</v>
      </c>
      <c r="GQ465" s="1006"/>
      <c r="GR465" s="996">
        <v>0</v>
      </c>
      <c r="GS465" s="1006"/>
      <c r="GT465" s="996">
        <v>1.1628759999999994</v>
      </c>
      <c r="GU465" s="1006"/>
      <c r="GV465" s="996">
        <v>0</v>
      </c>
      <c r="GW465" s="1006"/>
      <c r="GX465" s="996">
        <v>0</v>
      </c>
      <c r="GY465" s="1006" t="s">
        <v>204</v>
      </c>
      <c r="GZ465" s="996">
        <v>-2.0197759999999998</v>
      </c>
      <c r="HA465" s="1006"/>
      <c r="HB465" s="996">
        <v>3.8865959999999995</v>
      </c>
      <c r="HC465" s="1006"/>
      <c r="HD465" s="996">
        <v>0</v>
      </c>
      <c r="HE465" s="1006"/>
      <c r="HF465" s="996">
        <v>-8.4436000000005507E-3</v>
      </c>
      <c r="HG465" s="1006" t="s">
        <v>308</v>
      </c>
      <c r="HH465" s="996">
        <v>2.4799104000000001</v>
      </c>
      <c r="HI465" s="1006"/>
      <c r="HJ465" s="996">
        <v>0</v>
      </c>
      <c r="HK465" s="1006"/>
      <c r="HL465" s="996">
        <v>0</v>
      </c>
      <c r="HM465" s="1006"/>
      <c r="HN465" s="996">
        <v>0</v>
      </c>
      <c r="HO465" s="1006"/>
      <c r="HP465" s="996">
        <v>0</v>
      </c>
      <c r="HQ465" s="1006"/>
      <c r="HR465" s="996">
        <v>0</v>
      </c>
      <c r="HS465" s="1006"/>
      <c r="HT465" s="996">
        <v>0</v>
      </c>
      <c r="HU465" s="1006"/>
      <c r="HV465" s="996">
        <v>0</v>
      </c>
      <c r="HW465" s="1006"/>
      <c r="HX465" s="996">
        <v>0</v>
      </c>
      <c r="HY465" s="1006"/>
      <c r="HZ465" s="996">
        <v>0</v>
      </c>
      <c r="IA465" s="1006" t="s">
        <v>241</v>
      </c>
      <c r="IB465" s="996">
        <v>-1.9758726240000009</v>
      </c>
      <c r="IC465" s="1006"/>
      <c r="ID465" s="996">
        <v>5.3072624000000346E-2</v>
      </c>
      <c r="IE465" s="1006"/>
      <c r="IF465" s="996">
        <v>0</v>
      </c>
      <c r="IG465" s="1006"/>
      <c r="IH465" s="996">
        <v>0</v>
      </c>
      <c r="II465" s="1006" t="s">
        <v>199</v>
      </c>
      <c r="IJ465" s="996">
        <v>3.3440000000000003</v>
      </c>
      <c r="IK465" s="1006"/>
      <c r="IL465" s="996">
        <v>0</v>
      </c>
      <c r="IM465" s="1006"/>
      <c r="IN465" s="996">
        <v>0</v>
      </c>
      <c r="IO465" s="1006" t="s">
        <v>199</v>
      </c>
      <c r="IP465" s="996">
        <v>-2.508</v>
      </c>
      <c r="IQ465" s="1006"/>
      <c r="IR465" s="996">
        <v>0</v>
      </c>
      <c r="IS465" s="1006"/>
      <c r="IT465" s="996">
        <v>0</v>
      </c>
      <c r="IU465" s="1006"/>
      <c r="IV465" s="996">
        <v>0</v>
      </c>
      <c r="IW465" s="1006"/>
      <c r="IX465" s="996">
        <v>0</v>
      </c>
      <c r="IY465" s="1006"/>
      <c r="IZ465" s="996">
        <v>0</v>
      </c>
      <c r="JA465" s="1006"/>
      <c r="JB465" s="996">
        <v>0</v>
      </c>
      <c r="JC465" s="1006"/>
      <c r="JD465" s="996">
        <v>0</v>
      </c>
      <c r="JE465" s="1006"/>
      <c r="JF465" s="996">
        <v>0</v>
      </c>
      <c r="JG465" s="1006"/>
      <c r="JH465" s="996">
        <v>0</v>
      </c>
      <c r="JI465" s="1006"/>
      <c r="JJ465" s="996">
        <v>0</v>
      </c>
      <c r="JK465" s="1007"/>
      <c r="JL465" s="1007">
        <v>0</v>
      </c>
      <c r="JM465" s="1007"/>
      <c r="JN465" s="1007">
        <v>0</v>
      </c>
      <c r="JO465" s="1008"/>
      <c r="JP465" s="1007">
        <v>0</v>
      </c>
      <c r="JQ465" s="1008">
        <v>0</v>
      </c>
      <c r="JR465" s="1007">
        <v>0</v>
      </c>
      <c r="JS465" s="1008">
        <v>0</v>
      </c>
      <c r="JT465" s="1007">
        <v>0</v>
      </c>
      <c r="JU465" s="1008"/>
      <c r="JV465" s="1007">
        <v>0</v>
      </c>
      <c r="JW465" s="1008" t="s">
        <v>223</v>
      </c>
      <c r="JX465" s="1007">
        <v>-1.6720000000000006</v>
      </c>
      <c r="JY465" s="1008"/>
      <c r="JZ465" s="1007">
        <v>0</v>
      </c>
      <c r="KA465" s="1008"/>
      <c r="KB465" s="1007">
        <v>0</v>
      </c>
      <c r="KC465" s="1008"/>
      <c r="KD465" s="1007">
        <v>-5.016</v>
      </c>
      <c r="KE465" s="1008"/>
      <c r="KF465" s="1007">
        <v>0</v>
      </c>
      <c r="KG465" s="1008" t="s">
        <v>240</v>
      </c>
      <c r="KH465" s="1007">
        <v>-6.6880000000000006</v>
      </c>
      <c r="KI465" s="1008" t="s">
        <v>240</v>
      </c>
      <c r="KJ465" s="1007">
        <v>-8.36</v>
      </c>
      <c r="KK465" s="1008"/>
      <c r="KL465" s="1007">
        <v>0</v>
      </c>
      <c r="KM465" s="1008" t="s">
        <v>207</v>
      </c>
      <c r="KN465" s="1007">
        <v>-11.637119999999999</v>
      </c>
      <c r="KO465" s="1008"/>
      <c r="KP465" s="1007">
        <v>0</v>
      </c>
      <c r="KQ465" s="1008">
        <v>0</v>
      </c>
      <c r="KR465" s="1007">
        <v>0</v>
      </c>
      <c r="KS465" s="1008">
        <v>0</v>
      </c>
      <c r="KT465" s="1007">
        <v>0</v>
      </c>
      <c r="KU465" s="1008">
        <v>0</v>
      </c>
      <c r="KV465" s="1007">
        <v>0</v>
      </c>
      <c r="KW465" s="1008">
        <v>0</v>
      </c>
      <c r="KX465" s="1007">
        <v>0</v>
      </c>
      <c r="KY465" s="1008">
        <v>0</v>
      </c>
      <c r="KZ465" s="1007">
        <v>-40.963999999999999</v>
      </c>
      <c r="LA465" s="1008">
        <v>0</v>
      </c>
      <c r="LB465" s="1007">
        <v>0</v>
      </c>
      <c r="LC465" s="1008">
        <v>0</v>
      </c>
      <c r="LD465" s="1007">
        <v>0</v>
      </c>
      <c r="LE465" s="1008" t="s">
        <v>25</v>
      </c>
      <c r="LF465" s="1007">
        <v>40.963999999999999</v>
      </c>
      <c r="LG465" s="1008">
        <v>0</v>
      </c>
      <c r="LH465" s="1007">
        <v>0</v>
      </c>
      <c r="LI465" s="1008">
        <v>0</v>
      </c>
      <c r="LJ465" s="1007">
        <v>0</v>
      </c>
      <c r="LK465" s="1008">
        <v>0</v>
      </c>
      <c r="LL465" s="1007">
        <v>0</v>
      </c>
      <c r="LM465" s="1008">
        <v>0</v>
      </c>
      <c r="LN465" s="1007">
        <v>0</v>
      </c>
      <c r="LO465" s="1008">
        <v>0</v>
      </c>
      <c r="LP465" s="1007">
        <v>0</v>
      </c>
      <c r="LQ465" s="1008">
        <v>0</v>
      </c>
      <c r="LR465" s="1007">
        <v>0</v>
      </c>
      <c r="LS465" s="1008">
        <v>0</v>
      </c>
      <c r="LT465" s="1007">
        <v>0</v>
      </c>
      <c r="LU465" s="1008">
        <v>0</v>
      </c>
      <c r="LV465" s="1007">
        <v>0</v>
      </c>
      <c r="LW465" s="1008">
        <v>0</v>
      </c>
      <c r="LX465" s="1007">
        <v>0</v>
      </c>
      <c r="LY465" s="1009">
        <v>0</v>
      </c>
      <c r="LZ465" s="1010">
        <v>0</v>
      </c>
      <c r="MA465" s="1011">
        <v>0</v>
      </c>
      <c r="MB465" s="1012">
        <v>0</v>
      </c>
      <c r="MC465" s="995"/>
      <c r="MD465" s="996"/>
      <c r="ME465" s="997" t="s">
        <v>202</v>
      </c>
      <c r="MF465" s="997"/>
      <c r="MG465" s="998"/>
      <c r="NR465" s="1000"/>
      <c r="NS465" s="1000"/>
      <c r="NT465" s="1001"/>
      <c r="NU465" s="1000"/>
      <c r="NV465" s="1001"/>
      <c r="NX465" s="1002"/>
      <c r="NZ465" s="1001"/>
      <c r="OA465" s="1001"/>
      <c r="OC465" s="1003"/>
      <c r="OD465" s="1003"/>
      <c r="OE465" s="1001"/>
      <c r="OF465" s="1003"/>
      <c r="OG465" s="1003"/>
      <c r="QX465" s="1000">
        <f>CN465-CA465</f>
        <v>51</v>
      </c>
      <c r="ASU465" s="999" t="s">
        <v>208</v>
      </c>
    </row>
    <row r="466" spans="1:466 1191:1191" ht="21" customHeight="1" x14ac:dyDescent="0.25">
      <c r="A466" s="982" t="str">
        <f t="shared" si="323"/>
        <v>1545-1</v>
      </c>
      <c r="B466" s="124">
        <f>SUBTOTAL(103,$J$29:J466)</f>
        <v>438</v>
      </c>
      <c r="C466" s="126">
        <v>45068</v>
      </c>
      <c r="D466" s="124" t="s">
        <v>176</v>
      </c>
      <c r="E466" s="127" t="s">
        <v>177</v>
      </c>
      <c r="F466" s="128" t="s">
        <v>177</v>
      </c>
      <c r="G466" s="127" t="s">
        <v>178</v>
      </c>
      <c r="H466" s="127" t="s">
        <v>179</v>
      </c>
      <c r="I466" s="127" t="s">
        <v>1304</v>
      </c>
      <c r="J466" s="152" t="s">
        <v>1730</v>
      </c>
      <c r="K466" s="127" t="s">
        <v>1305</v>
      </c>
      <c r="L466" s="130">
        <v>43458</v>
      </c>
      <c r="M466" s="127" t="s">
        <v>230</v>
      </c>
      <c r="N466" s="127" t="s">
        <v>184</v>
      </c>
      <c r="O466" s="127" t="s">
        <v>185</v>
      </c>
      <c r="P466" s="127" t="s">
        <v>186</v>
      </c>
      <c r="Q466" s="85" t="str">
        <f t="shared" si="367"/>
        <v/>
      </c>
      <c r="R466" s="130"/>
      <c r="S466" s="128"/>
      <c r="T466" s="131"/>
      <c r="U466" s="132">
        <v>203</v>
      </c>
      <c r="V466" s="121">
        <v>218.2</v>
      </c>
      <c r="W466" s="116">
        <v>0.98</v>
      </c>
      <c r="X466" s="116">
        <v>1.66</v>
      </c>
      <c r="Y466" s="116">
        <f t="shared" si="346"/>
        <v>1.0441591784338895</v>
      </c>
      <c r="Z466" s="133">
        <v>1.454</v>
      </c>
      <c r="AA466" s="133">
        <v>0.83599999999999997</v>
      </c>
      <c r="AB466" s="133">
        <v>0.72</v>
      </c>
      <c r="AC466" s="121">
        <v>34.299999999999997</v>
      </c>
      <c r="AD466" s="134">
        <v>1.17</v>
      </c>
      <c r="AE466" s="124">
        <v>177.8</v>
      </c>
      <c r="AF466" s="128">
        <v>9.19</v>
      </c>
      <c r="AG466" s="128">
        <v>2134.9</v>
      </c>
      <c r="AH466" s="127">
        <v>2901</v>
      </c>
      <c r="AI466" s="127">
        <v>2901</v>
      </c>
      <c r="AJ466" s="135"/>
      <c r="AK466" s="128"/>
      <c r="AL466" s="131"/>
      <c r="AM466" s="124" t="s">
        <v>985</v>
      </c>
      <c r="AN466" s="136" t="s">
        <v>1731</v>
      </c>
      <c r="AO466" s="137">
        <v>11.569999999999936</v>
      </c>
      <c r="AP466" s="128">
        <v>2239</v>
      </c>
      <c r="AQ466" s="128">
        <v>294.3</v>
      </c>
      <c r="AR466" s="128" t="s">
        <v>1732</v>
      </c>
      <c r="AS466" s="128">
        <v>117</v>
      </c>
      <c r="AT466" s="122">
        <v>7.37</v>
      </c>
      <c r="AU466" s="124" t="s">
        <v>189</v>
      </c>
      <c r="AV466" s="115">
        <f>VLOOKUP(J466,'[63]ТР нефть'!$J$28:$BP$638,39,0)</f>
        <v>465.00000761699999</v>
      </c>
      <c r="AW466" s="115" t="str">
        <f>VLOOKUP(J466,'[63]ТР нефть'!$J$28:$BP$638,40,0)</f>
        <v>ГП</v>
      </c>
      <c r="AX466" s="115">
        <f>VLOOKUP(J466,'[63]ТР нефть'!$J$28:$BP$638,41,0)</f>
        <v>880.00001601600002</v>
      </c>
      <c r="AY466" s="115" t="str">
        <f>VLOOKUP(J466,'[63]ТР нефть'!$J$28:$BP$638,42,0)</f>
        <v>ГП</v>
      </c>
      <c r="AZ466" s="115">
        <f>VLOOKUP(J466,'[63]ТР нефть'!$J$28:$BP$638,43,0)</f>
        <v>1243.999974609</v>
      </c>
      <c r="BA466" s="115" t="str">
        <f>VLOOKUP(J466,'[63]ТР нефть'!$J$28:$BP$638,44,0)</f>
        <v>ГК74 1/8</v>
      </c>
      <c r="BB466" s="115">
        <f>VLOOKUP(J466,'[63]ТР нефть'!$J$28:$BP$638,45,0)</f>
        <v>1565.000064844</v>
      </c>
      <c r="BC466" s="115" t="str">
        <f>VLOOKUP(J466,'[63]ТР нефть'!$J$28:$BP$638,46,0)</f>
        <v>ГК72 1/8</v>
      </c>
      <c r="BD466" s="115">
        <f>VLOOKUP(J466,'[63]ТР нефть'!$J$28:$BP$638,47,0)</f>
        <v>1780.000001953</v>
      </c>
      <c r="BE466" s="115" t="str">
        <f>VLOOKUP(J466,'[63]ТР нефть'!$J$28:$BP$638,48,0)</f>
        <v>ГК71 5/32</v>
      </c>
      <c r="BF466" s="115">
        <f>VLOOKUP(J466,'[63]ТР нефть'!$J$28:$BP$638,49,0)</f>
        <v>1870</v>
      </c>
      <c r="BG466" s="115" t="str">
        <f>VLOOKUP(J466,'[63]ТР нефть'!$J$28:$BP$638,50,0)</f>
        <v>ЦКсОК 5/16</v>
      </c>
      <c r="BH466" s="115" t="str">
        <f>VLOOKUP(J466,'[63]ТР нефть'!$J$28:$BP$638,51,0)</f>
        <v>-</v>
      </c>
      <c r="BI466" s="115" t="str">
        <f>VLOOKUP(J466,'[63]ТР нефть'!$J$28:$BP$638,52,0)</f>
        <v>-</v>
      </c>
      <c r="BJ466" s="115" t="str">
        <f>IF(IFERROR(VLOOKUP(J466,'[63]ТР нефть'!$J$28:$BP$638,53,0),"-")=0,"-",IFERROR(VLOOKUP(J466,'[63]ТР нефть'!$J$28:$BP$638,53,0),"-"))</f>
        <v>-</v>
      </c>
      <c r="BK466" s="138" t="str">
        <f>IF(IFERROR(VLOOKUP(J466,'[63]ТР нефть'!$J$28:$BP$638,54,0),"-")=0,"-",IFERROR(VLOOKUP(J466,'[63]ТР нефть'!$J$28:$BP$638,54,0),"-"))</f>
        <v>-</v>
      </c>
      <c r="BL466" s="138" t="str">
        <f>IF(IFERROR(VLOOKUP(J466,'[63]ТР нефть'!$J$28:$BP$638,55,0),"-")=0,"-",IFERROR(VLOOKUP(J466,'[63]ТР нефть'!$J$28:$BP$638,55,0),"-"))</f>
        <v>-</v>
      </c>
      <c r="BM466" s="138" t="str">
        <f>IF(IFERROR(VLOOKUP(J466,'[63]ТР нефть'!$J$28:$BP$638,56,0),"-")=0,"-",IFERROR(VLOOKUP(J466,'[63]ТР нефть'!$J$28:$BP$638,56,0),"-"))</f>
        <v>-</v>
      </c>
      <c r="BN466" s="138" t="str">
        <f>IF(IFERROR(VLOOKUP(J466,'[63]ТР нефть'!$J$28:$BP$638,57,0),"-")=0,"-",IFERROR(VLOOKUP(J466,'[63]ТР нефть'!$J$28:$BP$638,57,0),"-"))</f>
        <v>-</v>
      </c>
      <c r="BO466" s="115" t="str">
        <f>IF(IFERROR(VLOOKUP(J466,'[63]ТР нефть'!$J$28:$BP$638,58,0),"-")=0,"-",IFERROR(VLOOKUP(J466,'[63]ТР нефть'!$J$28:$BP$638,58,0),"-"))</f>
        <v>-</v>
      </c>
      <c r="BP466" s="115" t="str">
        <f>IF(IFERROR(VLOOKUP(J466,'[63]ТР нефть'!$J$28:$BP$638,59,0),"-")=0,"-",IFERROR(VLOOKUP(J466,'[63]ТР нефть'!$J$28:$BP$638,59,0),"-"))</f>
        <v>-</v>
      </c>
      <c r="BQ466" s="138">
        <v>2120</v>
      </c>
      <c r="BR466" s="128">
        <v>1882.5</v>
      </c>
      <c r="BS466" s="115">
        <f t="shared" si="351"/>
        <v>237.5</v>
      </c>
      <c r="BT466" s="128">
        <v>73</v>
      </c>
      <c r="BU466" s="128">
        <v>5.5</v>
      </c>
      <c r="BV466" s="127">
        <v>65</v>
      </c>
      <c r="BW466" s="127" t="s">
        <v>217</v>
      </c>
      <c r="BX466" s="127" t="s">
        <v>195</v>
      </c>
      <c r="BY466" s="139">
        <v>24</v>
      </c>
      <c r="BZ466" s="139">
        <v>0</v>
      </c>
      <c r="CA466" s="138">
        <v>11</v>
      </c>
      <c r="CB466" s="138">
        <v>31</v>
      </c>
      <c r="CC466" s="138">
        <v>10</v>
      </c>
      <c r="CD466" s="135">
        <v>45017</v>
      </c>
      <c r="CE466" s="138">
        <v>135</v>
      </c>
      <c r="CF466" s="138">
        <v>72</v>
      </c>
      <c r="CG466" s="138" t="str">
        <f t="shared" si="366"/>
        <v>В работе</v>
      </c>
      <c r="CH466" s="138" t="s">
        <v>235</v>
      </c>
      <c r="CI466" s="138">
        <v>5</v>
      </c>
      <c r="CJ466" s="139"/>
      <c r="CK466" s="139">
        <f t="shared" si="356"/>
        <v>24</v>
      </c>
      <c r="CL466" s="99"/>
      <c r="CM466" s="99"/>
      <c r="CN466" s="140">
        <v>35</v>
      </c>
      <c r="CO466" s="141">
        <f t="shared" si="324"/>
        <v>4.2635999999999994</v>
      </c>
      <c r="CP466" s="142">
        <v>6</v>
      </c>
      <c r="CQ466" s="143">
        <v>15</v>
      </c>
      <c r="CR466" s="138">
        <v>12</v>
      </c>
      <c r="CS466" s="139">
        <v>8.6</v>
      </c>
      <c r="CT466" s="138"/>
      <c r="CU466" s="138">
        <f t="shared" ref="CU466:CU497" si="370">IF(CR466&lt;&gt;"0",CR466-CS466,"0")</f>
        <v>3.4000000000000004</v>
      </c>
      <c r="CV466" s="115">
        <f t="shared" si="368"/>
        <v>797.44816586921877</v>
      </c>
      <c r="CW466" s="115">
        <f t="shared" si="325"/>
        <v>1620.8677296543406</v>
      </c>
      <c r="CX466" s="133">
        <f t="shared" si="369"/>
        <v>0.06</v>
      </c>
      <c r="CY466" s="116"/>
      <c r="CZ466" s="131"/>
      <c r="DA466" s="145" t="str">
        <f t="shared" si="326"/>
        <v>Газлифт</v>
      </c>
      <c r="DB466" s="146">
        <f t="shared" si="341"/>
        <v>4.2635999999999994</v>
      </c>
      <c r="DC466" s="142">
        <f t="shared" si="342"/>
        <v>6</v>
      </c>
      <c r="DD466" s="119">
        <f t="shared" si="350"/>
        <v>15</v>
      </c>
      <c r="DE466" s="115">
        <f t="shared" si="343"/>
        <v>3.4000000000000004</v>
      </c>
      <c r="DF466" s="121">
        <f t="shared" si="328"/>
        <v>8.6</v>
      </c>
      <c r="DG466" s="115">
        <f t="shared" si="329"/>
        <v>797.44816586921877</v>
      </c>
      <c r="DH466" s="115">
        <f t="shared" si="330"/>
        <v>35</v>
      </c>
      <c r="DI466" s="147"/>
      <c r="DJ466" s="111" t="s">
        <v>197</v>
      </c>
      <c r="DK466" s="112">
        <v>44213</v>
      </c>
      <c r="DL466" s="113">
        <f t="shared" ca="1" si="359"/>
        <v>891</v>
      </c>
      <c r="DM466" s="114"/>
      <c r="DN466" s="114"/>
      <c r="DO466" s="114"/>
      <c r="DP466" s="114"/>
      <c r="DQ466" s="112">
        <v>43458</v>
      </c>
      <c r="DR466" s="114" t="s">
        <v>324</v>
      </c>
      <c r="DS466" s="114"/>
      <c r="DT466" s="115">
        <v>60</v>
      </c>
      <c r="DU466" s="116">
        <f t="shared" si="360"/>
        <v>0.08</v>
      </c>
      <c r="DV466" s="117">
        <f t="shared" si="361"/>
        <v>4.2635999999999994</v>
      </c>
      <c r="DW466" s="118">
        <f t="shared" si="362"/>
        <v>6</v>
      </c>
      <c r="DX466" s="119">
        <f t="shared" si="331"/>
        <v>15</v>
      </c>
      <c r="DY466" s="115">
        <f t="shared" si="363"/>
        <v>3.4000000000000004</v>
      </c>
      <c r="DZ466" s="117">
        <f t="shared" si="364"/>
        <v>0</v>
      </c>
      <c r="EA466" s="120">
        <f t="shared" si="364"/>
        <v>0</v>
      </c>
      <c r="EB466" s="119">
        <f t="shared" si="364"/>
        <v>0</v>
      </c>
      <c r="EC466" s="121">
        <f t="shared" si="365"/>
        <v>0</v>
      </c>
      <c r="ED466" s="122"/>
      <c r="EE466" s="145">
        <v>65</v>
      </c>
      <c r="EF466" s="115">
        <v>8</v>
      </c>
      <c r="EG466" s="115">
        <v>30</v>
      </c>
      <c r="EH466" s="115">
        <v>7</v>
      </c>
      <c r="EI466" s="128" t="s">
        <v>195</v>
      </c>
      <c r="EJ466" s="121">
        <v>24</v>
      </c>
      <c r="EK466" s="121">
        <v>0</v>
      </c>
      <c r="EL466" s="149">
        <v>4.5425732000000005</v>
      </c>
      <c r="EM466" s="142">
        <v>6.7</v>
      </c>
      <c r="EN466" s="119">
        <v>18.899999999999999</v>
      </c>
      <c r="EO466" s="115">
        <v>20</v>
      </c>
      <c r="EP466" s="115">
        <v>2395.1182558819301</v>
      </c>
      <c r="EQ466" s="115">
        <v>72</v>
      </c>
      <c r="ER466" s="115">
        <v>9.1199999999999992</v>
      </c>
      <c r="ES466" s="115">
        <v>44</v>
      </c>
      <c r="ET466" s="150">
        <v>7.3626373626373628E-2</v>
      </c>
      <c r="EU466" s="145">
        <f t="shared" si="332"/>
        <v>65</v>
      </c>
      <c r="EV466" s="115">
        <f t="shared" si="333"/>
        <v>11</v>
      </c>
      <c r="EW466" s="115">
        <f t="shared" si="333"/>
        <v>31</v>
      </c>
      <c r="EX466" s="115">
        <f t="shared" si="333"/>
        <v>10</v>
      </c>
      <c r="EY466" s="115" t="str">
        <f t="shared" si="357"/>
        <v>Постоянный</v>
      </c>
      <c r="EZ466" s="115">
        <f t="shared" si="357"/>
        <v>24</v>
      </c>
      <c r="FA466" s="115">
        <f t="shared" si="357"/>
        <v>0</v>
      </c>
      <c r="FB466" s="149">
        <f t="shared" si="345"/>
        <v>4.2635999999999994</v>
      </c>
      <c r="FC466" s="142">
        <f t="shared" si="345"/>
        <v>6</v>
      </c>
      <c r="FD466" s="119">
        <f t="shared" si="345"/>
        <v>15</v>
      </c>
      <c r="FE466" s="121">
        <f t="shared" si="344"/>
        <v>12</v>
      </c>
      <c r="FF466" s="121">
        <f t="shared" si="347"/>
        <v>797.44816586921877</v>
      </c>
      <c r="FG466" s="121">
        <f t="shared" si="334"/>
        <v>72</v>
      </c>
      <c r="FH466" s="121">
        <f t="shared" si="358"/>
        <v>8.6</v>
      </c>
      <c r="FI466" s="121">
        <f t="shared" si="355"/>
        <v>35</v>
      </c>
      <c r="FJ466" s="144">
        <f t="shared" si="335"/>
        <v>0.06</v>
      </c>
      <c r="FK466" s="132">
        <f t="shared" si="336"/>
        <v>0</v>
      </c>
      <c r="FL466" s="115">
        <f t="shared" si="336"/>
        <v>3</v>
      </c>
      <c r="FM466" s="115">
        <f t="shared" si="336"/>
        <v>1</v>
      </c>
      <c r="FN466" s="115">
        <f t="shared" si="336"/>
        <v>3</v>
      </c>
      <c r="FO466" s="115">
        <f t="shared" si="354"/>
        <v>0</v>
      </c>
      <c r="FP466" s="115">
        <f t="shared" si="354"/>
        <v>0</v>
      </c>
      <c r="FQ466" s="149">
        <f t="shared" si="354"/>
        <v>-0.27897320000000114</v>
      </c>
      <c r="FR466" s="142">
        <f t="shared" si="354"/>
        <v>-0.70000000000000018</v>
      </c>
      <c r="FS466" s="119">
        <f t="shared" si="354"/>
        <v>-3.8999999999999986</v>
      </c>
      <c r="FT466" s="121">
        <f t="shared" si="353"/>
        <v>-8</v>
      </c>
      <c r="FU466" s="121">
        <f t="shared" si="337"/>
        <v>0</v>
      </c>
      <c r="FV466" s="121">
        <f t="shared" si="337"/>
        <v>-0.51999999999999957</v>
      </c>
      <c r="FW466" s="121">
        <f t="shared" si="338"/>
        <v>-1597.6700900127112</v>
      </c>
      <c r="FX466" s="121">
        <f t="shared" si="339"/>
        <v>-9</v>
      </c>
      <c r="FY466" s="144">
        <f t="shared" si="339"/>
        <v>-1.3626373626373631E-2</v>
      </c>
      <c r="FZ466" s="145"/>
      <c r="GA466" s="151"/>
      <c r="GB466" s="145" t="s">
        <v>223</v>
      </c>
      <c r="GC466" s="151" t="s">
        <v>1176</v>
      </c>
      <c r="GD466" s="997" t="s">
        <v>202</v>
      </c>
      <c r="GE466" s="1004" t="s">
        <v>223</v>
      </c>
      <c r="GF466" s="1004">
        <v>-1.3584999999999994</v>
      </c>
      <c r="GG466" s="1004"/>
      <c r="GH466" s="1004">
        <v>0</v>
      </c>
      <c r="GI466" s="145"/>
      <c r="GJ466" s="996">
        <v>0</v>
      </c>
      <c r="GK466" s="145"/>
      <c r="GL466" s="996">
        <v>0</v>
      </c>
      <c r="GM466" s="1005"/>
      <c r="GN466" s="996">
        <v>0.90483624000000074</v>
      </c>
      <c r="GO466" s="1006" t="s">
        <v>240</v>
      </c>
      <c r="GP466" s="996">
        <v>-2.1918164400000011</v>
      </c>
      <c r="GQ466" s="1006"/>
      <c r="GR466" s="996">
        <v>0.51877980000000168</v>
      </c>
      <c r="GS466" s="1006" t="s">
        <v>199</v>
      </c>
      <c r="GT466" s="996">
        <v>1.5111535999999992</v>
      </c>
      <c r="GU466" s="1006" t="s">
        <v>223</v>
      </c>
      <c r="GV466" s="996">
        <v>-1.3292400000000004</v>
      </c>
      <c r="GW466" s="1006" t="s">
        <v>204</v>
      </c>
      <c r="GX466" s="996">
        <v>-2.4327599999999991</v>
      </c>
      <c r="GY466" s="1006" t="s">
        <v>223</v>
      </c>
      <c r="GZ466" s="996">
        <v>-1.7772524000000001</v>
      </c>
      <c r="HA466" s="1006"/>
      <c r="HB466" s="996">
        <v>-8.2429600000001102E-2</v>
      </c>
      <c r="HC466" s="1006" t="s">
        <v>199</v>
      </c>
      <c r="HD466" s="996">
        <v>-3.8046359999999986</v>
      </c>
      <c r="HE466" s="1006"/>
      <c r="HF466" s="996">
        <v>-0.6727710000000009</v>
      </c>
      <c r="HG466" s="1006" t="s">
        <v>199</v>
      </c>
      <c r="HH466" s="996">
        <v>1.4428607599999985</v>
      </c>
      <c r="HI466" s="1006"/>
      <c r="HJ466" s="996">
        <v>-2.0750223999998596E-2</v>
      </c>
      <c r="HK466" s="1006" t="s">
        <v>1065</v>
      </c>
      <c r="HL466" s="996">
        <v>-18.283249775999998</v>
      </c>
      <c r="HM466" s="1006" t="s">
        <v>276</v>
      </c>
      <c r="HN466" s="996">
        <v>32.134730277419351</v>
      </c>
      <c r="HO466" s="1006"/>
      <c r="HP466" s="996">
        <v>0</v>
      </c>
      <c r="HQ466" s="1006"/>
      <c r="HR466" s="996">
        <v>-0.12385879354838697</v>
      </c>
      <c r="HS466" s="1006"/>
      <c r="HT466" s="996">
        <v>0.14496833290322575</v>
      </c>
      <c r="HU466" s="1006"/>
      <c r="HV466" s="996">
        <v>0</v>
      </c>
      <c r="HW466" s="1006"/>
      <c r="HX466" s="996">
        <v>-0.75744544877419351</v>
      </c>
      <c r="HY466" s="1006"/>
      <c r="HZ466" s="996">
        <v>0</v>
      </c>
      <c r="IA466" s="1006"/>
      <c r="IB466" s="996">
        <v>-2.1819600000001493E-3</v>
      </c>
      <c r="IC466" s="1006"/>
      <c r="ID466" s="996">
        <v>0.43866759200000005</v>
      </c>
      <c r="IE466" s="1006"/>
      <c r="IF466" s="996">
        <v>0</v>
      </c>
      <c r="IG466" s="1006"/>
      <c r="IH466" s="996">
        <v>-0.28424000000000005</v>
      </c>
      <c r="II466" s="1006" t="s">
        <v>199</v>
      </c>
      <c r="IJ466" s="996">
        <v>-1.3794</v>
      </c>
      <c r="IK466" s="1006"/>
      <c r="IL466" s="996">
        <v>-0.24453000000000014</v>
      </c>
      <c r="IM466" s="1006"/>
      <c r="IN466" s="996">
        <v>0</v>
      </c>
      <c r="IO466" s="1006"/>
      <c r="IP466" s="996">
        <v>0</v>
      </c>
      <c r="IQ466" s="1006" t="s">
        <v>199</v>
      </c>
      <c r="IR466" s="996">
        <v>-5.2937359199999996</v>
      </c>
      <c r="IS466" s="1006"/>
      <c r="IT466" s="996">
        <v>0</v>
      </c>
      <c r="IU466" s="1006"/>
      <c r="IV466" s="996">
        <v>0</v>
      </c>
      <c r="IW466" s="1006"/>
      <c r="IX466" s="996">
        <v>0</v>
      </c>
      <c r="IY466" s="1006"/>
      <c r="IZ466" s="996">
        <v>0</v>
      </c>
      <c r="JA466" s="1006"/>
      <c r="JB466" s="996">
        <v>0</v>
      </c>
      <c r="JC466" s="1006"/>
      <c r="JD466" s="996">
        <v>0</v>
      </c>
      <c r="JE466" s="1006"/>
      <c r="JF466" s="996">
        <v>0</v>
      </c>
      <c r="JG466" s="1006"/>
      <c r="JH466" s="996">
        <v>0</v>
      </c>
      <c r="JI466" s="1006"/>
      <c r="JJ466" s="996">
        <v>0</v>
      </c>
      <c r="JK466" s="1007"/>
      <c r="JL466" s="1007">
        <v>0</v>
      </c>
      <c r="JM466" s="1007" t="s">
        <v>933</v>
      </c>
      <c r="JN466" s="1007">
        <v>-7.8526483200000001</v>
      </c>
      <c r="JO466" s="1008">
        <v>0</v>
      </c>
      <c r="JP466" s="1007">
        <v>-1.5716799999996311E-3</v>
      </c>
      <c r="JQ466" s="1008">
        <v>0</v>
      </c>
      <c r="JR466" s="1007">
        <v>0</v>
      </c>
      <c r="JS466" s="1008"/>
      <c r="JT466" s="1007">
        <v>0</v>
      </c>
      <c r="JU466" s="1008" t="s">
        <v>223</v>
      </c>
      <c r="JV466" s="1007">
        <v>-12.740639999999999</v>
      </c>
      <c r="JW466" s="1008"/>
      <c r="JX466" s="1007">
        <v>0</v>
      </c>
      <c r="JY466" s="1008"/>
      <c r="JZ466" s="1007">
        <v>0</v>
      </c>
      <c r="KA466" s="1008"/>
      <c r="KB466" s="1007">
        <v>0</v>
      </c>
      <c r="KC466" s="1008"/>
      <c r="KD466" s="1007">
        <v>0</v>
      </c>
      <c r="KE466" s="1008"/>
      <c r="KF466" s="1007">
        <v>28.457439999999998</v>
      </c>
      <c r="KG466" s="1008"/>
      <c r="KH466" s="1007">
        <v>0</v>
      </c>
      <c r="KI466" s="1008"/>
      <c r="KJ466" s="1007"/>
      <c r="KK466" s="1008"/>
      <c r="KL466" s="1007"/>
      <c r="KM466" s="1008"/>
      <c r="KN466" s="1007"/>
      <c r="KO466" s="1008"/>
      <c r="KP466" s="1007"/>
      <c r="KQ466" s="1008"/>
      <c r="KR466" s="1007"/>
      <c r="KS466" s="1008"/>
      <c r="KT466" s="1007"/>
      <c r="KU466" s="1008"/>
      <c r="KV466" s="1007"/>
      <c r="KW466" s="1008"/>
      <c r="KX466" s="1007"/>
      <c r="KY466" s="1008"/>
      <c r="KZ466" s="1007"/>
      <c r="LA466" s="1008"/>
      <c r="LB466" s="1007"/>
      <c r="LC466" s="1008"/>
      <c r="LD466" s="1007"/>
      <c r="LE466" s="1008"/>
      <c r="LF466" s="1007"/>
      <c r="LG466" s="1008"/>
      <c r="LH466" s="1007"/>
      <c r="LI466" s="1008"/>
      <c r="LJ466" s="1007"/>
      <c r="LK466" s="1008"/>
      <c r="LL466" s="1007"/>
      <c r="LM466" s="1008"/>
      <c r="LN466" s="1007"/>
      <c r="LO466" s="1008"/>
      <c r="LP466" s="1007"/>
      <c r="LQ466" s="1008"/>
      <c r="LR466" s="1007"/>
      <c r="LS466" s="1008"/>
      <c r="LT466" s="1007"/>
      <c r="LU466" s="1008"/>
      <c r="LV466" s="1007"/>
      <c r="LW466" s="1008"/>
      <c r="LX466" s="1007"/>
      <c r="LY466" s="1009"/>
      <c r="LZ466" s="1010"/>
      <c r="MA466" s="1011"/>
      <c r="MB466" s="1012"/>
      <c r="MC466" s="995"/>
      <c r="MD466" s="996"/>
      <c r="ME466" s="997" t="s">
        <v>202</v>
      </c>
      <c r="MF466" s="997"/>
      <c r="MG466" s="998"/>
      <c r="NR466" s="1000"/>
      <c r="NS466" s="1000"/>
      <c r="NT466" s="1001"/>
      <c r="NU466" s="1000"/>
      <c r="NV466" s="1001"/>
      <c r="NX466" s="1002"/>
      <c r="NZ466" s="1001"/>
      <c r="OA466" s="1001"/>
      <c r="OC466" s="1003"/>
      <c r="OD466" s="1003"/>
      <c r="OE466" s="1001"/>
      <c r="OF466" s="1003"/>
      <c r="OG466" s="1003"/>
      <c r="QX466" s="1000">
        <f>CN466-CA466</f>
        <v>24</v>
      </c>
      <c r="ASU466" s="999" t="s">
        <v>208</v>
      </c>
    </row>
    <row r="467" spans="1:466 1191:1191" ht="21" customHeight="1" x14ac:dyDescent="0.25">
      <c r="A467" s="982">
        <f t="shared" si="323"/>
        <v>1547</v>
      </c>
      <c r="B467" s="124">
        <f>SUBTOTAL(103,$J$29:J467)</f>
        <v>439</v>
      </c>
      <c r="C467" s="126">
        <v>45068</v>
      </c>
      <c r="D467" s="124" t="s">
        <v>176</v>
      </c>
      <c r="E467" s="127" t="s">
        <v>177</v>
      </c>
      <c r="F467" s="128" t="s">
        <v>177</v>
      </c>
      <c r="G467" s="127" t="s">
        <v>178</v>
      </c>
      <c r="H467" s="127" t="s">
        <v>179</v>
      </c>
      <c r="I467" s="127" t="s">
        <v>1365</v>
      </c>
      <c r="J467" s="215">
        <v>1547</v>
      </c>
      <c r="K467" s="127" t="s">
        <v>1365</v>
      </c>
      <c r="L467" s="130">
        <v>43557</v>
      </c>
      <c r="M467" s="127" t="s">
        <v>230</v>
      </c>
      <c r="N467" s="127" t="s">
        <v>184</v>
      </c>
      <c r="O467" s="127" t="s">
        <v>185</v>
      </c>
      <c r="P467" s="127" t="s">
        <v>186</v>
      </c>
      <c r="Q467" s="85" t="str">
        <f t="shared" si="367"/>
        <v/>
      </c>
      <c r="R467" s="130"/>
      <c r="S467" s="128"/>
      <c r="T467" s="131"/>
      <c r="U467" s="132">
        <v>203</v>
      </c>
      <c r="V467" s="121">
        <v>218.2</v>
      </c>
      <c r="W467" s="116">
        <v>0.98</v>
      </c>
      <c r="X467" s="116">
        <v>1.66</v>
      </c>
      <c r="Y467" s="116">
        <f t="shared" si="346"/>
        <v>0.98</v>
      </c>
      <c r="Z467" s="133">
        <v>1.454</v>
      </c>
      <c r="AA467" s="133">
        <v>0.83599999999999997</v>
      </c>
      <c r="AB467" s="133">
        <v>0.72</v>
      </c>
      <c r="AC467" s="121">
        <v>34.299999999999997</v>
      </c>
      <c r="AD467" s="134">
        <v>1.17</v>
      </c>
      <c r="AE467" s="124">
        <v>177.8</v>
      </c>
      <c r="AF467" s="128">
        <v>9.19</v>
      </c>
      <c r="AG467" s="128">
        <v>2271</v>
      </c>
      <c r="AH467" s="127">
        <v>2960</v>
      </c>
      <c r="AI467" s="127">
        <v>2960</v>
      </c>
      <c r="AJ467" s="135"/>
      <c r="AK467" s="128"/>
      <c r="AL467" s="131"/>
      <c r="AM467" s="124" t="s">
        <v>985</v>
      </c>
      <c r="AN467" s="136" t="s">
        <v>1733</v>
      </c>
      <c r="AO467" s="137">
        <v>51.089999999999918</v>
      </c>
      <c r="AP467" s="128">
        <v>2296.9</v>
      </c>
      <c r="AQ467" s="128">
        <v>246.1</v>
      </c>
      <c r="AR467" s="128" t="s">
        <v>1734</v>
      </c>
      <c r="AS467" s="128">
        <v>114</v>
      </c>
      <c r="AT467" s="122">
        <v>7.37</v>
      </c>
      <c r="AU467" s="124" t="s">
        <v>189</v>
      </c>
      <c r="AV467" s="115">
        <f>VLOOKUP(J467,'[63]ТР нефть'!$J$28:$BP$638,39,0)</f>
        <v>549.99999140600005</v>
      </c>
      <c r="AW467" s="115" t="str">
        <f>VLOOKUP(J467,'[63]ТР нефть'!$J$28:$BP$638,40,0)</f>
        <v>ГП</v>
      </c>
      <c r="AX467" s="115">
        <f>VLOOKUP(J467,'[63]ТР нефть'!$J$28:$BP$638,41,0)</f>
        <v>1074.9999832030001</v>
      </c>
      <c r="AY467" s="115" t="str">
        <f>VLOOKUP(J467,'[63]ТР нефть'!$J$28:$BP$638,42,0)</f>
        <v>ГП</v>
      </c>
      <c r="AZ467" s="115">
        <f>VLOOKUP(J467,'[63]ТР нефть'!$J$28:$BP$638,43,0)</f>
        <v>1480.000006641</v>
      </c>
      <c r="BA467" s="115" t="str">
        <f>VLOOKUP(J467,'[63]ТР нефть'!$J$28:$BP$638,44,0)</f>
        <v>ГК82 5/32</v>
      </c>
      <c r="BB467" s="115">
        <f>VLOOKUP(J467,'[63]ТР нефть'!$J$28:$BP$638,45,0)</f>
        <v>1805.0000015630001</v>
      </c>
      <c r="BC467" s="115" t="str">
        <f>VLOOKUP(J467,'[63]ТР нефть'!$J$28:$BP$638,46,0)</f>
        <v>ГК82 5/32</v>
      </c>
      <c r="BD467" s="115">
        <f>VLOOKUP(J467,'[63]ТР нефть'!$J$28:$BP$638,47,0)</f>
        <v>2040.0000574220001</v>
      </c>
      <c r="BE467" s="115" t="str">
        <f>VLOOKUP(J467,'[63]ТР нефть'!$J$28:$BP$638,48,0)</f>
        <v>ЦКсОК 5/16</v>
      </c>
      <c r="BF467" s="115" t="str">
        <f>VLOOKUP(J467,'[63]ТР нефть'!$J$28:$BP$638,49,0)</f>
        <v>-</v>
      </c>
      <c r="BG467" s="115" t="str">
        <f>VLOOKUP(J467,'[63]ТР нефть'!$J$28:$BP$638,50,0)</f>
        <v>-</v>
      </c>
      <c r="BH467" s="115" t="str">
        <f>VLOOKUP(J467,'[63]ТР нефть'!$J$28:$BP$638,51,0)</f>
        <v>-</v>
      </c>
      <c r="BI467" s="115" t="str">
        <f>VLOOKUP(J467,'[63]ТР нефть'!$J$28:$BP$638,52,0)</f>
        <v>-</v>
      </c>
      <c r="BJ467" s="115" t="str">
        <f>IF(IFERROR(VLOOKUP(J467,'[63]ТР нефть'!$J$28:$BP$638,53,0),"-")=0,"-",IFERROR(VLOOKUP(J467,'[63]ТР нефть'!$J$28:$BP$638,53,0),"-"))</f>
        <v>-</v>
      </c>
      <c r="BK467" s="138" t="str">
        <f>IF(IFERROR(VLOOKUP(J467,'[63]ТР нефть'!$J$28:$BP$638,54,0),"-")=0,"-",IFERROR(VLOOKUP(J467,'[63]ТР нефть'!$J$28:$BP$638,54,0),"-"))</f>
        <v>-</v>
      </c>
      <c r="BL467" s="138" t="str">
        <f>IF(IFERROR(VLOOKUP(J467,'[63]ТР нефть'!$J$28:$BP$638,55,0),"-")=0,"-",IFERROR(VLOOKUP(J467,'[63]ТР нефть'!$J$28:$BP$638,55,0),"-"))</f>
        <v>-</v>
      </c>
      <c r="BM467" s="138" t="str">
        <f>IF(IFERROR(VLOOKUP(J467,'[63]ТР нефть'!$J$28:$BP$638,56,0),"-")=0,"-",IFERROR(VLOOKUP(J467,'[63]ТР нефть'!$J$28:$BP$638,56,0),"-"))</f>
        <v>-</v>
      </c>
      <c r="BN467" s="138" t="str">
        <f>IF(IFERROR(VLOOKUP(J467,'[63]ТР нефть'!$J$28:$BP$638,57,0),"-")=0,"-",IFERROR(VLOOKUP(J467,'[63]ТР нефть'!$J$28:$BP$638,57,0),"-"))</f>
        <v>-</v>
      </c>
      <c r="BO467" s="115" t="str">
        <f>IF(IFERROR(VLOOKUP(J467,'[63]ТР нефть'!$J$28:$BP$638,58,0),"-")=0,"-",IFERROR(VLOOKUP(J467,'[63]ТР нефть'!$J$28:$BP$638,58,0),"-"))</f>
        <v>-</v>
      </c>
      <c r="BP467" s="115" t="str">
        <f>IF(IFERROR(VLOOKUP(J467,'[63]ТР нефть'!$J$28:$BP$638,59,0),"-")=0,"-",IFERROR(VLOOKUP(J467,'[63]ТР нефть'!$J$28:$BP$638,59,0),"-"))</f>
        <v>-</v>
      </c>
      <c r="BQ467" s="138">
        <v>2218</v>
      </c>
      <c r="BR467" s="128">
        <v>1753.03</v>
      </c>
      <c r="BS467" s="115">
        <f t="shared" si="351"/>
        <v>464.97</v>
      </c>
      <c r="BT467" s="128">
        <v>73</v>
      </c>
      <c r="BU467" s="128">
        <v>5.5</v>
      </c>
      <c r="BV467" s="127">
        <v>65</v>
      </c>
      <c r="BW467" s="127" t="s">
        <v>217</v>
      </c>
      <c r="BX467" s="127" t="s">
        <v>195</v>
      </c>
      <c r="BY467" s="139">
        <v>24</v>
      </c>
      <c r="BZ467" s="139">
        <v>0</v>
      </c>
      <c r="CA467" s="138">
        <v>27</v>
      </c>
      <c r="CB467" s="138">
        <v>47</v>
      </c>
      <c r="CC467" s="138">
        <v>26</v>
      </c>
      <c r="CD467" s="135">
        <v>45017</v>
      </c>
      <c r="CE467" s="138">
        <v>87</v>
      </c>
      <c r="CF467" s="138">
        <v>70</v>
      </c>
      <c r="CG467" s="138" t="str">
        <f t="shared" si="366"/>
        <v>В работе</v>
      </c>
      <c r="CH467" s="138" t="s">
        <v>272</v>
      </c>
      <c r="CI467" s="127"/>
      <c r="CJ467" s="138"/>
      <c r="CK467" s="138">
        <f t="shared" si="356"/>
        <v>30</v>
      </c>
      <c r="CL467" s="99"/>
      <c r="CM467" s="99"/>
      <c r="CN467" s="140">
        <v>57</v>
      </c>
      <c r="CO467" s="141">
        <f t="shared" si="324"/>
        <v>15.048</v>
      </c>
      <c r="CP467" s="142">
        <v>18</v>
      </c>
      <c r="CQ467" s="143">
        <v>0</v>
      </c>
      <c r="CR467" s="138">
        <v>18</v>
      </c>
      <c r="CS467" s="139">
        <v>9.6</v>
      </c>
      <c r="CT467" s="138"/>
      <c r="CU467" s="138">
        <f t="shared" si="370"/>
        <v>8.4</v>
      </c>
      <c r="CV467" s="115">
        <f t="shared" si="368"/>
        <v>558.2137161084529</v>
      </c>
      <c r="CW467" s="115">
        <f t="shared" si="325"/>
        <v>637.95853269537474</v>
      </c>
      <c r="CX467" s="133">
        <f t="shared" si="369"/>
        <v>0.6</v>
      </c>
      <c r="CY467" s="116"/>
      <c r="CZ467" s="131"/>
      <c r="DA467" s="145" t="str">
        <f t="shared" si="326"/>
        <v>Газлифт</v>
      </c>
      <c r="DB467" s="146">
        <f t="shared" si="341"/>
        <v>15.048</v>
      </c>
      <c r="DC467" s="142">
        <f t="shared" si="342"/>
        <v>18</v>
      </c>
      <c r="DD467" s="119">
        <f t="shared" si="350"/>
        <v>0</v>
      </c>
      <c r="DE467" s="115">
        <f t="shared" si="343"/>
        <v>8.4</v>
      </c>
      <c r="DF467" s="121">
        <f t="shared" si="328"/>
        <v>9.6</v>
      </c>
      <c r="DG467" s="115">
        <f t="shared" si="329"/>
        <v>558.2137161084529</v>
      </c>
      <c r="DH467" s="115">
        <f t="shared" si="330"/>
        <v>57</v>
      </c>
      <c r="DI467" s="147"/>
      <c r="DJ467" s="111" t="s">
        <v>197</v>
      </c>
      <c r="DK467" s="112">
        <v>43557</v>
      </c>
      <c r="DL467" s="113">
        <f t="shared" ca="1" si="359"/>
        <v>1547</v>
      </c>
      <c r="DM467" s="114"/>
      <c r="DN467" s="114"/>
      <c r="DO467" s="114"/>
      <c r="DP467" s="114"/>
      <c r="DQ467" s="112">
        <v>43557</v>
      </c>
      <c r="DR467" s="114" t="s">
        <v>324</v>
      </c>
      <c r="DS467" s="114"/>
      <c r="DT467" s="115">
        <v>59</v>
      </c>
      <c r="DU467" s="116">
        <f t="shared" si="360"/>
        <v>0.6428571428571429</v>
      </c>
      <c r="DV467" s="117">
        <f t="shared" si="361"/>
        <v>15.048</v>
      </c>
      <c r="DW467" s="118">
        <f t="shared" si="362"/>
        <v>18</v>
      </c>
      <c r="DX467" s="119">
        <f t="shared" si="331"/>
        <v>0</v>
      </c>
      <c r="DY467" s="115">
        <f t="shared" si="363"/>
        <v>8.4</v>
      </c>
      <c r="DZ467" s="117">
        <f t="shared" si="364"/>
        <v>0</v>
      </c>
      <c r="EA467" s="120">
        <f t="shared" si="364"/>
        <v>0</v>
      </c>
      <c r="EB467" s="119">
        <f t="shared" si="364"/>
        <v>0</v>
      </c>
      <c r="EC467" s="121">
        <f t="shared" si="365"/>
        <v>0</v>
      </c>
      <c r="ED467" s="1056"/>
      <c r="EE467" s="145">
        <v>65</v>
      </c>
      <c r="EF467" s="115">
        <v>29</v>
      </c>
      <c r="EG467" s="115">
        <v>51</v>
      </c>
      <c r="EH467" s="115">
        <v>28</v>
      </c>
      <c r="EI467" s="128" t="s">
        <v>195</v>
      </c>
      <c r="EJ467" s="121">
        <v>24</v>
      </c>
      <c r="EK467" s="121">
        <v>0</v>
      </c>
      <c r="EL467" s="149">
        <v>16.72</v>
      </c>
      <c r="EM467" s="142">
        <v>20</v>
      </c>
      <c r="EN467" s="119">
        <v>0</v>
      </c>
      <c r="EO467" s="115">
        <v>17.5</v>
      </c>
      <c r="EP467" s="115">
        <v>472.48803827751198</v>
      </c>
      <c r="EQ467" s="115">
        <v>70</v>
      </c>
      <c r="ER467" s="115">
        <v>9.6</v>
      </c>
      <c r="ES467" s="115">
        <v>64</v>
      </c>
      <c r="ET467" s="150">
        <v>0.86956521739130432</v>
      </c>
      <c r="EU467" s="145">
        <f t="shared" si="332"/>
        <v>65</v>
      </c>
      <c r="EV467" s="115">
        <f t="shared" si="333"/>
        <v>27</v>
      </c>
      <c r="EW467" s="115">
        <f t="shared" si="333"/>
        <v>47</v>
      </c>
      <c r="EX467" s="115">
        <f t="shared" si="333"/>
        <v>26</v>
      </c>
      <c r="EY467" s="115" t="str">
        <f t="shared" si="357"/>
        <v>Постоянный</v>
      </c>
      <c r="EZ467" s="115">
        <f t="shared" si="357"/>
        <v>24</v>
      </c>
      <c r="FA467" s="115">
        <f t="shared" si="357"/>
        <v>0</v>
      </c>
      <c r="FB467" s="149">
        <f t="shared" si="345"/>
        <v>15.048</v>
      </c>
      <c r="FC467" s="142">
        <f t="shared" si="345"/>
        <v>18</v>
      </c>
      <c r="FD467" s="119">
        <f t="shared" si="345"/>
        <v>0</v>
      </c>
      <c r="FE467" s="121">
        <f t="shared" si="344"/>
        <v>18</v>
      </c>
      <c r="FF467" s="121">
        <f t="shared" si="347"/>
        <v>558.2137161084529</v>
      </c>
      <c r="FG467" s="121">
        <f t="shared" si="334"/>
        <v>70</v>
      </c>
      <c r="FH467" s="121">
        <f t="shared" si="358"/>
        <v>9.6</v>
      </c>
      <c r="FI467" s="121">
        <f t="shared" si="355"/>
        <v>57</v>
      </c>
      <c r="FJ467" s="144">
        <f t="shared" si="335"/>
        <v>0.6</v>
      </c>
      <c r="FK467" s="132">
        <f t="shared" si="336"/>
        <v>0</v>
      </c>
      <c r="FL467" s="115">
        <f t="shared" si="336"/>
        <v>-2</v>
      </c>
      <c r="FM467" s="115">
        <f t="shared" si="336"/>
        <v>-4</v>
      </c>
      <c r="FN467" s="115">
        <f t="shared" si="336"/>
        <v>-2</v>
      </c>
      <c r="FO467" s="115">
        <f t="shared" si="354"/>
        <v>0</v>
      </c>
      <c r="FP467" s="115">
        <f t="shared" si="354"/>
        <v>0</v>
      </c>
      <c r="FQ467" s="149">
        <f t="shared" si="354"/>
        <v>-1.6719999999999988</v>
      </c>
      <c r="FR467" s="142">
        <f t="shared" si="354"/>
        <v>-2</v>
      </c>
      <c r="FS467" s="119">
        <f t="shared" si="354"/>
        <v>0</v>
      </c>
      <c r="FT467" s="121">
        <f t="shared" si="353"/>
        <v>0.5</v>
      </c>
      <c r="FU467" s="121">
        <f t="shared" si="337"/>
        <v>0</v>
      </c>
      <c r="FV467" s="121">
        <f t="shared" si="337"/>
        <v>0</v>
      </c>
      <c r="FW467" s="121">
        <f t="shared" si="338"/>
        <v>85.725677830940924</v>
      </c>
      <c r="FX467" s="121">
        <f t="shared" si="339"/>
        <v>-7</v>
      </c>
      <c r="FY467" s="144">
        <f t="shared" si="339"/>
        <v>-0.26956521739130435</v>
      </c>
      <c r="FZ467" s="145" t="s">
        <v>223</v>
      </c>
      <c r="GA467" s="151" t="s">
        <v>361</v>
      </c>
      <c r="GB467" s="145" t="s">
        <v>221</v>
      </c>
      <c r="GC467" s="151" t="s">
        <v>780</v>
      </c>
      <c r="GD467" s="997" t="s">
        <v>202</v>
      </c>
      <c r="GE467" s="1004" t="s">
        <v>221</v>
      </c>
      <c r="GF467" s="1004">
        <v>8.36</v>
      </c>
      <c r="GG467" s="1004"/>
      <c r="GH467" s="1004">
        <v>0</v>
      </c>
      <c r="GI467" s="145"/>
      <c r="GJ467" s="996">
        <v>0</v>
      </c>
      <c r="GK467" s="145"/>
      <c r="GL467" s="996">
        <v>0</v>
      </c>
      <c r="GM467" s="1057"/>
      <c r="GN467" s="996">
        <v>0</v>
      </c>
      <c r="GO467" s="1058"/>
      <c r="GP467" s="996">
        <v>0</v>
      </c>
      <c r="GQ467" s="1058" t="s">
        <v>199</v>
      </c>
      <c r="GR467" s="996">
        <v>-2.09</v>
      </c>
      <c r="GS467" s="1058"/>
      <c r="GT467" s="996">
        <v>-0.16719999999999935</v>
      </c>
      <c r="GU467" s="1058"/>
      <c r="GV467" s="996">
        <v>0</v>
      </c>
      <c r="GW467" s="1006"/>
      <c r="GX467" s="996">
        <v>0</v>
      </c>
      <c r="GY467" s="1058" t="s">
        <v>223</v>
      </c>
      <c r="GZ467" s="1035">
        <v>-0.96140000000000114</v>
      </c>
      <c r="HA467" s="1058"/>
      <c r="HB467" s="1035">
        <v>-0.65207999999999977</v>
      </c>
      <c r="HC467" s="1058"/>
      <c r="HD467" s="1035">
        <v>0.36784000000000106</v>
      </c>
      <c r="HE467" s="1058"/>
      <c r="HF467" s="1035">
        <v>0</v>
      </c>
      <c r="HG467" s="1058"/>
      <c r="HH467" s="1035">
        <v>-7.5240000000000862E-2</v>
      </c>
      <c r="HI467" s="1058"/>
      <c r="HJ467" s="1035">
        <v>0</v>
      </c>
      <c r="HK467" s="1058"/>
      <c r="HL467" s="1035">
        <v>0</v>
      </c>
      <c r="HM467" s="1058"/>
      <c r="HN467" s="1035">
        <v>0.3176799999999993</v>
      </c>
      <c r="HO467" s="1058"/>
      <c r="HP467" s="1035">
        <v>-0.66879999999999917</v>
      </c>
      <c r="HQ467" s="1058"/>
      <c r="HR467" s="1035">
        <v>0</v>
      </c>
      <c r="HS467" s="1058" t="s">
        <v>643</v>
      </c>
      <c r="HT467" s="1035">
        <v>0</v>
      </c>
      <c r="HU467" s="1058"/>
      <c r="HV467" s="1035">
        <v>0.91123999999999938</v>
      </c>
      <c r="HW467" s="1058"/>
      <c r="HX467" s="1035">
        <v>0</v>
      </c>
      <c r="HY467" s="1058"/>
      <c r="HZ467" s="1035">
        <v>-0.66879999999999917</v>
      </c>
      <c r="IA467" s="1058" t="s">
        <v>199</v>
      </c>
      <c r="IB467" s="1035">
        <v>-1.1369600000000002</v>
      </c>
      <c r="IC467" s="1058"/>
      <c r="ID467" s="1035">
        <v>0.39291999999999838</v>
      </c>
      <c r="IE467" s="1058"/>
      <c r="IF467" s="1035">
        <v>-0.83599999999999852</v>
      </c>
      <c r="IG467" s="1058"/>
      <c r="IH467" s="1035">
        <v>0</v>
      </c>
      <c r="II467" s="1058"/>
      <c r="IJ467" s="1035">
        <v>0</v>
      </c>
      <c r="IK467" s="1058" t="s">
        <v>199</v>
      </c>
      <c r="IL467" s="1035">
        <v>5.4339999999999993</v>
      </c>
      <c r="IM467" s="1058" t="s">
        <v>199</v>
      </c>
      <c r="IN467" s="1035">
        <v>-6.8552</v>
      </c>
      <c r="IO467" s="1058" t="s">
        <v>199</v>
      </c>
      <c r="IP467" s="1035">
        <v>1.6720000000000006</v>
      </c>
      <c r="IQ467" s="1058" t="s">
        <v>199</v>
      </c>
      <c r="IR467" s="1035">
        <v>-2.1736000000000004</v>
      </c>
      <c r="IS467" s="1058"/>
      <c r="IT467" s="1035">
        <v>0</v>
      </c>
      <c r="IU467" s="1058"/>
      <c r="IV467" s="1035">
        <v>0</v>
      </c>
      <c r="IW467" s="1058"/>
      <c r="IX467" s="1035">
        <v>0</v>
      </c>
      <c r="IY467" s="1058"/>
      <c r="IZ467" s="1035">
        <v>0</v>
      </c>
      <c r="JA467" s="1058" t="s">
        <v>199</v>
      </c>
      <c r="JB467" s="1035">
        <v>-6.3535999999999984</v>
      </c>
      <c r="JC467" s="1058"/>
      <c r="JD467" s="1035">
        <v>0</v>
      </c>
      <c r="JE467" s="1058"/>
      <c r="JF467" s="1035">
        <v>0</v>
      </c>
      <c r="JG467" s="1058"/>
      <c r="JH467" s="1035">
        <v>0</v>
      </c>
      <c r="JI467" s="1058" t="s">
        <v>203</v>
      </c>
      <c r="JJ467" s="1035">
        <v>-4.2636000000000003</v>
      </c>
      <c r="JK467" s="1007"/>
      <c r="JL467" s="1007">
        <v>0</v>
      </c>
      <c r="JM467" s="1007"/>
      <c r="JN467" s="1007">
        <v>0</v>
      </c>
      <c r="JO467" s="1008"/>
      <c r="JP467" s="1007">
        <v>0</v>
      </c>
      <c r="JQ467" s="1008">
        <v>0</v>
      </c>
      <c r="JR467" s="1007">
        <v>0</v>
      </c>
      <c r="JS467" s="1008">
        <v>0</v>
      </c>
      <c r="JT467" s="1007">
        <v>0</v>
      </c>
      <c r="JU467" s="1008"/>
      <c r="JV467" s="1007">
        <v>0</v>
      </c>
      <c r="JW467" s="1008" t="s">
        <v>197</v>
      </c>
      <c r="JX467" s="1007">
        <v>6.7999999999983629E-3</v>
      </c>
      <c r="JY467" s="1008" t="s">
        <v>324</v>
      </c>
      <c r="JZ467" s="1007">
        <v>40.128</v>
      </c>
      <c r="KA467" s="1008"/>
      <c r="KB467" s="1007">
        <v>0</v>
      </c>
      <c r="KC467" s="1008"/>
      <c r="KD467" s="1007"/>
      <c r="KE467" s="1008"/>
      <c r="KF467" s="1007"/>
      <c r="KG467" s="1008"/>
      <c r="KH467" s="1007"/>
      <c r="KI467" s="1008"/>
      <c r="KJ467" s="1007"/>
      <c r="KK467" s="1008"/>
      <c r="KL467" s="1007"/>
      <c r="KM467" s="1008"/>
      <c r="KN467" s="1007"/>
      <c r="KO467" s="1008"/>
      <c r="KP467" s="1007"/>
      <c r="KQ467" s="1008"/>
      <c r="KR467" s="1007"/>
      <c r="KS467" s="1008"/>
      <c r="KT467" s="1007"/>
      <c r="KU467" s="1008"/>
      <c r="KV467" s="1007"/>
      <c r="KW467" s="1008"/>
      <c r="KX467" s="1007"/>
      <c r="KY467" s="1008"/>
      <c r="KZ467" s="1007"/>
      <c r="LA467" s="1008"/>
      <c r="LB467" s="1007"/>
      <c r="LC467" s="1008"/>
      <c r="LD467" s="1007"/>
      <c r="LE467" s="1008"/>
      <c r="LF467" s="1007"/>
      <c r="LG467" s="1008"/>
      <c r="LH467" s="1007"/>
      <c r="LI467" s="1008"/>
      <c r="LJ467" s="1007"/>
      <c r="LK467" s="1008"/>
      <c r="LL467" s="1007"/>
      <c r="LM467" s="1008"/>
      <c r="LN467" s="1007"/>
      <c r="LO467" s="1008"/>
      <c r="LP467" s="1007"/>
      <c r="LQ467" s="1008"/>
      <c r="LR467" s="1007"/>
      <c r="LS467" s="1008"/>
      <c r="LT467" s="1007"/>
      <c r="LU467" s="1008"/>
      <c r="LV467" s="1007"/>
      <c r="LW467" s="1008"/>
      <c r="LX467" s="1007"/>
      <c r="LY467" s="1009"/>
      <c r="LZ467" s="1010"/>
      <c r="MA467" s="1011"/>
      <c r="MB467" s="1012"/>
      <c r="MC467" s="995"/>
      <c r="MD467" s="996"/>
      <c r="ME467" s="997" t="s">
        <v>202</v>
      </c>
      <c r="MF467" s="997"/>
      <c r="MG467" s="998"/>
      <c r="NR467" s="1000"/>
      <c r="NS467" s="1000"/>
      <c r="NT467" s="1001"/>
      <c r="NU467" s="1000"/>
      <c r="NV467" s="1001"/>
      <c r="NX467" s="1002"/>
      <c r="NZ467" s="1001"/>
      <c r="OA467" s="1001"/>
      <c r="OC467" s="1003"/>
      <c r="OD467" s="1003"/>
      <c r="OE467" s="1001"/>
      <c r="OF467" s="1003"/>
      <c r="OG467" s="1003"/>
      <c r="QX467" s="1000">
        <f>CN467-CA467</f>
        <v>30</v>
      </c>
      <c r="ASU467" s="999" t="s">
        <v>208</v>
      </c>
    </row>
    <row r="468" spans="1:466 1191:1191" ht="21" customHeight="1" x14ac:dyDescent="0.25">
      <c r="A468" s="982">
        <f t="shared" si="323"/>
        <v>1549</v>
      </c>
      <c r="B468" s="124">
        <f>SUBTOTAL(103,$J$29:J468)</f>
        <v>440</v>
      </c>
      <c r="C468" s="126">
        <v>45068</v>
      </c>
      <c r="D468" s="124" t="s">
        <v>176</v>
      </c>
      <c r="E468" s="127" t="s">
        <v>177</v>
      </c>
      <c r="F468" s="128" t="s">
        <v>177</v>
      </c>
      <c r="G468" s="127" t="s">
        <v>178</v>
      </c>
      <c r="H468" s="127" t="s">
        <v>179</v>
      </c>
      <c r="I468" s="127" t="s">
        <v>1304</v>
      </c>
      <c r="J468" s="152">
        <v>1549</v>
      </c>
      <c r="K468" s="127" t="s">
        <v>1717</v>
      </c>
      <c r="L468" s="130">
        <v>43293</v>
      </c>
      <c r="M468" s="127" t="s">
        <v>230</v>
      </c>
      <c r="N468" s="127" t="s">
        <v>184</v>
      </c>
      <c r="O468" s="127" t="s">
        <v>185</v>
      </c>
      <c r="P468" s="127" t="s">
        <v>186</v>
      </c>
      <c r="Q468" s="85">
        <f t="shared" si="367"/>
        <v>-4</v>
      </c>
      <c r="R468" s="130">
        <v>43218</v>
      </c>
      <c r="S468" s="128" t="s">
        <v>747</v>
      </c>
      <c r="T468" s="131" t="s">
        <v>1294</v>
      </c>
      <c r="U468" s="132">
        <v>203</v>
      </c>
      <c r="V468" s="121">
        <v>218.2</v>
      </c>
      <c r="W468" s="116">
        <v>0.98</v>
      </c>
      <c r="X468" s="116">
        <v>1.66</v>
      </c>
      <c r="Y468" s="116">
        <f t="shared" si="346"/>
        <v>1.0009105899146016</v>
      </c>
      <c r="Z468" s="133">
        <v>1.454</v>
      </c>
      <c r="AA468" s="133">
        <v>0.83599999999999997</v>
      </c>
      <c r="AB468" s="133">
        <v>0.72</v>
      </c>
      <c r="AC468" s="121">
        <v>34.299999999999997</v>
      </c>
      <c r="AD468" s="134">
        <v>1.17</v>
      </c>
      <c r="AE468" s="124">
        <v>177.8</v>
      </c>
      <c r="AF468" s="128">
        <v>9.19</v>
      </c>
      <c r="AG468" s="128">
        <v>2253</v>
      </c>
      <c r="AH468" s="138">
        <v>3261.15</v>
      </c>
      <c r="AI468" s="138">
        <v>3261.15</v>
      </c>
      <c r="AJ468" s="135">
        <v>43233</v>
      </c>
      <c r="AK468" s="128" t="s">
        <v>1018</v>
      </c>
      <c r="AL468" s="131"/>
      <c r="AM468" s="124" t="s">
        <v>985</v>
      </c>
      <c r="AN468" s="136" t="s">
        <v>1735</v>
      </c>
      <c r="AO468" s="137">
        <v>8.4</v>
      </c>
      <c r="AP468" s="128">
        <v>2395.66</v>
      </c>
      <c r="AQ468" s="128">
        <v>523</v>
      </c>
      <c r="AR468" s="128" t="s">
        <v>1736</v>
      </c>
      <c r="AS468" s="128">
        <v>114</v>
      </c>
      <c r="AT468" s="122">
        <v>7.37</v>
      </c>
      <c r="AU468" s="124" t="s">
        <v>189</v>
      </c>
      <c r="AV468" s="115">
        <f>VLOOKUP(J468,'[63]ТР нефть'!$J$28:$BP$638,39,0)</f>
        <v>549.99999140600005</v>
      </c>
      <c r="AW468" s="115" t="str">
        <f>VLOOKUP(J468,'[63]ТР нефть'!$J$28:$BP$638,40,0)</f>
        <v>ГП</v>
      </c>
      <c r="AX468" s="115">
        <f>VLOOKUP(J468,'[63]ТР нефть'!$J$28:$BP$638,41,0)</f>
        <v>1049.999983594</v>
      </c>
      <c r="AY468" s="115" t="str">
        <f>VLOOKUP(J468,'[63]ТР нефть'!$J$28:$BP$638,42,0)</f>
        <v>ГП</v>
      </c>
      <c r="AZ468" s="115">
        <f>VLOOKUP(J468,'[63]ТР нефть'!$J$28:$BP$638,43,0)</f>
        <v>1480.000006641</v>
      </c>
      <c r="BA468" s="115" t="str">
        <f>VLOOKUP(J468,'[63]ТР нефть'!$J$28:$BP$638,44,0)</f>
        <v>ГП</v>
      </c>
      <c r="BB468" s="115">
        <f>VLOOKUP(J468,'[63]ТР нефть'!$J$28:$BP$638,45,0)</f>
        <v>1769.9999425779999</v>
      </c>
      <c r="BC468" s="115" t="str">
        <f>VLOOKUP(J468,'[63]ТР нефть'!$J$28:$BP$638,46,0)</f>
        <v>ГК78 5/32</v>
      </c>
      <c r="BD468" s="115">
        <f>VLOOKUP(J468,'[63]ТР нефть'!$J$28:$BP$638,47,0)</f>
        <v>2019.9999386720001</v>
      </c>
      <c r="BE468" s="115" t="str">
        <f>VLOOKUP(J468,'[63]ТР нефть'!$J$28:$BP$638,48,0)</f>
        <v>ЦКсОК 5/16</v>
      </c>
      <c r="BF468" s="115" t="str">
        <f>VLOOKUP(J468,'[63]ТР нефть'!$J$28:$BP$638,49,0)</f>
        <v>-</v>
      </c>
      <c r="BG468" s="115" t="str">
        <f>VLOOKUP(J468,'[63]ТР нефть'!$J$28:$BP$638,50,0)</f>
        <v>-</v>
      </c>
      <c r="BH468" s="115">
        <f>VLOOKUP(J468,'[63]ТР нефть'!$J$28:$BP$638,51,0)</f>
        <v>2030</v>
      </c>
      <c r="BI468" s="115" t="str">
        <f>VLOOKUP(J468,'[63]ТР нефть'!$J$28:$BP$638,52,0)</f>
        <v xml:space="preserve">закрыт </v>
      </c>
      <c r="BJ468" s="115" t="str">
        <f>IF(IFERROR(VLOOKUP(J468,'[63]ТР нефть'!$J$28:$BP$638,53,0),"-")=0,"-",IFERROR(VLOOKUP(J468,'[63]ТР нефть'!$J$28:$BP$638,53,0),"-"))</f>
        <v>-</v>
      </c>
      <c r="BK468" s="138" t="str">
        <f>IF(IFERROR(VLOOKUP(J468,'[63]ТР нефть'!$J$28:$BP$638,54,0),"-")=0,"-",IFERROR(VLOOKUP(J468,'[63]ТР нефть'!$J$28:$BP$638,54,0),"-"))</f>
        <v>-</v>
      </c>
      <c r="BL468" s="138" t="str">
        <f>IF(IFERROR(VLOOKUP(J468,'[63]ТР нефть'!$J$28:$BP$638,55,0),"-")=0,"-",IFERROR(VLOOKUP(J468,'[63]ТР нефть'!$J$28:$BP$638,55,0),"-"))</f>
        <v>-</v>
      </c>
      <c r="BM468" s="138" t="str">
        <f>IF(IFERROR(VLOOKUP(J468,'[63]ТР нефть'!$J$28:$BP$638,56,0),"-")=0,"-",IFERROR(VLOOKUP(J468,'[63]ТР нефть'!$J$28:$BP$638,56,0),"-"))</f>
        <v>-</v>
      </c>
      <c r="BN468" s="138" t="str">
        <f>IF(IFERROR(VLOOKUP(J468,'[63]ТР нефть'!$J$28:$BP$638,57,0),"-")=0,"-",IFERROR(VLOOKUP(J468,'[63]ТР нефть'!$J$28:$BP$638,57,0),"-"))</f>
        <v>-</v>
      </c>
      <c r="BO468" s="115" t="str">
        <f>IF(IFERROR(VLOOKUP(J468,'[63]ТР нефть'!$J$28:$BP$638,58,0),"-")=0,"-",IFERROR(VLOOKUP(J468,'[63]ТР нефть'!$J$28:$BP$638,58,0),"-"))</f>
        <v>-</v>
      </c>
      <c r="BP468" s="115" t="str">
        <f>IF(IFERROR(VLOOKUP(J468,'[63]ТР нефть'!$J$28:$BP$638,59,0),"-")=0,"-",IFERROR(VLOOKUP(J468,'[63]ТР нефть'!$J$28:$BP$638,59,0),"-"))</f>
        <v>-</v>
      </c>
      <c r="BQ468" s="138">
        <v>2052</v>
      </c>
      <c r="BR468" s="128">
        <v>1607.47</v>
      </c>
      <c r="BS468" s="115">
        <f t="shared" si="351"/>
        <v>444.53</v>
      </c>
      <c r="BT468" s="128">
        <v>73</v>
      </c>
      <c r="BU468" s="128">
        <v>5.5</v>
      </c>
      <c r="BV468" s="127">
        <v>18</v>
      </c>
      <c r="BW468" s="127" t="s">
        <v>194</v>
      </c>
      <c r="BX468" s="127" t="s">
        <v>218</v>
      </c>
      <c r="BY468" s="139">
        <v>24</v>
      </c>
      <c r="BZ468" s="139">
        <v>48</v>
      </c>
      <c r="CA468" s="138">
        <v>9</v>
      </c>
      <c r="CB468" s="138">
        <v>48</v>
      </c>
      <c r="CC468" s="138">
        <v>8</v>
      </c>
      <c r="CD468" s="135">
        <v>45017</v>
      </c>
      <c r="CE468" s="138">
        <v>125</v>
      </c>
      <c r="CF468" s="138">
        <v>70</v>
      </c>
      <c r="CG468" s="138" t="str">
        <f t="shared" si="366"/>
        <v>В работе</v>
      </c>
      <c r="CH468" s="138" t="s">
        <v>196</v>
      </c>
      <c r="CI468" s="138">
        <v>5</v>
      </c>
      <c r="CJ468" s="138"/>
      <c r="CK468" s="138">
        <f t="shared" si="356"/>
        <v>29</v>
      </c>
      <c r="CL468" s="99"/>
      <c r="CM468" s="99"/>
      <c r="CN468" s="140">
        <v>38</v>
      </c>
      <c r="CO468" s="141">
        <f t="shared" si="324"/>
        <v>5.6090834799999998</v>
      </c>
      <c r="CP468" s="142">
        <f>21.21/3</f>
        <v>7.07</v>
      </c>
      <c r="CQ468" s="143">
        <v>5.0999999999999996</v>
      </c>
      <c r="CR468" s="138">
        <f>17.5/3</f>
        <v>5.833333333333333</v>
      </c>
      <c r="CS468" s="139">
        <v>2</v>
      </c>
      <c r="CT468" s="138"/>
      <c r="CU468" s="138">
        <f t="shared" si="370"/>
        <v>3.833333333333333</v>
      </c>
      <c r="CV468" s="115">
        <f t="shared" si="368"/>
        <v>683.41527577573743</v>
      </c>
      <c r="CW468" s="115">
        <f t="shared" si="325"/>
        <v>331.86078186659057</v>
      </c>
      <c r="CX468" s="133">
        <f t="shared" si="369"/>
        <v>8.1264367816091962E-2</v>
      </c>
      <c r="CY468" s="116"/>
      <c r="CZ468" s="131"/>
      <c r="DA468" s="145" t="str">
        <f t="shared" si="326"/>
        <v>Газлифт</v>
      </c>
      <c r="DB468" s="146">
        <f t="shared" si="341"/>
        <v>5.6090834799999998</v>
      </c>
      <c r="DC468" s="142">
        <f t="shared" si="342"/>
        <v>7.07</v>
      </c>
      <c r="DD468" s="119">
        <f t="shared" si="350"/>
        <v>5.0999999999999996</v>
      </c>
      <c r="DE468" s="115">
        <f t="shared" si="343"/>
        <v>3.833333333333333</v>
      </c>
      <c r="DF468" s="121">
        <f t="shared" si="328"/>
        <v>2</v>
      </c>
      <c r="DG468" s="115">
        <f t="shared" si="329"/>
        <v>683.41527577573743</v>
      </c>
      <c r="DH468" s="115">
        <f t="shared" si="330"/>
        <v>38</v>
      </c>
      <c r="DI468" s="147"/>
      <c r="DJ468" s="111" t="s">
        <v>197</v>
      </c>
      <c r="DK468" s="112">
        <v>43293</v>
      </c>
      <c r="DL468" s="113">
        <f t="shared" ca="1" si="359"/>
        <v>1811</v>
      </c>
      <c r="DM468" s="114"/>
      <c r="DN468" s="114"/>
      <c r="DO468" s="114"/>
      <c r="DP468" s="114"/>
      <c r="DQ468" s="112">
        <v>43293</v>
      </c>
      <c r="DR468" s="114" t="s">
        <v>324</v>
      </c>
      <c r="DS468" s="114"/>
      <c r="DT468" s="115">
        <v>60</v>
      </c>
      <c r="DU468" s="116">
        <f t="shared" si="360"/>
        <v>0.10876923076923077</v>
      </c>
      <c r="DV468" s="117">
        <f t="shared" si="361"/>
        <v>5.6090834799999998</v>
      </c>
      <c r="DW468" s="118">
        <f t="shared" si="362"/>
        <v>7.07</v>
      </c>
      <c r="DX468" s="119">
        <f t="shared" si="331"/>
        <v>5.0999999999999996</v>
      </c>
      <c r="DY468" s="115">
        <f t="shared" si="363"/>
        <v>3.833333333333333</v>
      </c>
      <c r="DZ468" s="117">
        <f t="shared" si="364"/>
        <v>0</v>
      </c>
      <c r="EA468" s="120">
        <f t="shared" si="364"/>
        <v>0</v>
      </c>
      <c r="EB468" s="119">
        <f t="shared" si="364"/>
        <v>0</v>
      </c>
      <c r="EC468" s="121">
        <f t="shared" si="365"/>
        <v>0</v>
      </c>
      <c r="ED468" s="122"/>
      <c r="EE468" s="145">
        <v>18</v>
      </c>
      <c r="EF468" s="115">
        <v>11</v>
      </c>
      <c r="EG468" s="115">
        <v>43</v>
      </c>
      <c r="EH468" s="115">
        <v>10</v>
      </c>
      <c r="EI468" s="128" t="s">
        <v>218</v>
      </c>
      <c r="EJ468" s="121">
        <v>24</v>
      </c>
      <c r="EK468" s="121">
        <v>48</v>
      </c>
      <c r="EL468" s="149">
        <v>5.6090834799999998</v>
      </c>
      <c r="EM468" s="142">
        <v>7.07</v>
      </c>
      <c r="EN468" s="119">
        <v>5.0999999999999996</v>
      </c>
      <c r="EO468" s="115">
        <v>5.833333333333333</v>
      </c>
      <c r="EP468" s="115">
        <v>683.41527577573743</v>
      </c>
      <c r="EQ468" s="115">
        <v>72</v>
      </c>
      <c r="ER468" s="115">
        <v>2</v>
      </c>
      <c r="ES468" s="115">
        <v>43</v>
      </c>
      <c r="ET468" s="150">
        <v>8.6219512195121958E-2</v>
      </c>
      <c r="EU468" s="145">
        <f t="shared" si="332"/>
        <v>18</v>
      </c>
      <c r="EV468" s="115">
        <f t="shared" si="333"/>
        <v>9</v>
      </c>
      <c r="EW468" s="115">
        <f t="shared" si="333"/>
        <v>48</v>
      </c>
      <c r="EX468" s="115">
        <f t="shared" si="333"/>
        <v>8</v>
      </c>
      <c r="EY468" s="115" t="str">
        <f t="shared" si="357"/>
        <v>Периодический</v>
      </c>
      <c r="EZ468" s="115">
        <f t="shared" si="357"/>
        <v>24</v>
      </c>
      <c r="FA468" s="115">
        <f t="shared" si="357"/>
        <v>48</v>
      </c>
      <c r="FB468" s="149">
        <f t="shared" si="345"/>
        <v>5.6090834799999998</v>
      </c>
      <c r="FC468" s="142">
        <f t="shared" si="345"/>
        <v>7.07</v>
      </c>
      <c r="FD468" s="119">
        <f t="shared" si="345"/>
        <v>5.0999999999999996</v>
      </c>
      <c r="FE468" s="121">
        <f t="shared" si="344"/>
        <v>5.833333333333333</v>
      </c>
      <c r="FF468" s="121">
        <f t="shared" si="347"/>
        <v>683.41527577573743</v>
      </c>
      <c r="FG468" s="121">
        <f t="shared" si="334"/>
        <v>70</v>
      </c>
      <c r="FH468" s="121">
        <f t="shared" si="358"/>
        <v>2</v>
      </c>
      <c r="FI468" s="121">
        <f t="shared" si="355"/>
        <v>38</v>
      </c>
      <c r="FJ468" s="144">
        <f t="shared" si="335"/>
        <v>8.1264367816091962E-2</v>
      </c>
      <c r="FK468" s="132">
        <f t="shared" si="336"/>
        <v>0</v>
      </c>
      <c r="FL468" s="115">
        <f t="shared" si="336"/>
        <v>-2</v>
      </c>
      <c r="FM468" s="115">
        <f t="shared" si="336"/>
        <v>5</v>
      </c>
      <c r="FN468" s="115">
        <f t="shared" si="336"/>
        <v>-2</v>
      </c>
      <c r="FO468" s="115">
        <f t="shared" si="354"/>
        <v>0</v>
      </c>
      <c r="FP468" s="115">
        <f t="shared" si="354"/>
        <v>0</v>
      </c>
      <c r="FQ468" s="149">
        <f t="shared" si="354"/>
        <v>0</v>
      </c>
      <c r="FR468" s="142">
        <f t="shared" si="354"/>
        <v>0</v>
      </c>
      <c r="FS468" s="119">
        <f t="shared" si="354"/>
        <v>0</v>
      </c>
      <c r="FT468" s="121">
        <f t="shared" si="353"/>
        <v>0</v>
      </c>
      <c r="FU468" s="121">
        <f t="shared" si="337"/>
        <v>-2</v>
      </c>
      <c r="FV468" s="121">
        <f t="shared" si="337"/>
        <v>0</v>
      </c>
      <c r="FW468" s="121">
        <f t="shared" si="338"/>
        <v>0</v>
      </c>
      <c r="FX468" s="121">
        <f t="shared" si="339"/>
        <v>-5</v>
      </c>
      <c r="FY468" s="144">
        <f t="shared" si="339"/>
        <v>-4.9551443790299965E-3</v>
      </c>
      <c r="FZ468" s="145"/>
      <c r="GA468" s="151"/>
      <c r="GB468" s="145"/>
      <c r="GC468" s="151"/>
      <c r="GD468" s="997" t="s">
        <v>202</v>
      </c>
      <c r="GE468" s="1004"/>
      <c r="GF468" s="1004">
        <v>0.12826747999999988</v>
      </c>
      <c r="GG468" s="1004"/>
      <c r="GH468" s="1004">
        <v>0</v>
      </c>
      <c r="GI468" s="145"/>
      <c r="GJ468" s="996">
        <v>0</v>
      </c>
      <c r="GK468" s="145"/>
      <c r="GL468" s="996">
        <v>0</v>
      </c>
      <c r="GM468" s="1005"/>
      <c r="GN468" s="996">
        <v>0</v>
      </c>
      <c r="GO468" s="1006"/>
      <c r="GP468" s="996">
        <v>-0.43304799999999943</v>
      </c>
      <c r="GQ468" s="1006"/>
      <c r="GR468" s="996">
        <v>0</v>
      </c>
      <c r="GS468" s="1006"/>
      <c r="GT468" s="996">
        <v>0</v>
      </c>
      <c r="GU468" s="1006"/>
      <c r="GV468" s="996">
        <v>-0.29343599999999981</v>
      </c>
      <c r="GW468" s="1006"/>
      <c r="GX468" s="996">
        <v>0</v>
      </c>
      <c r="GY468" s="1006" t="s">
        <v>199</v>
      </c>
      <c r="GZ468" s="996">
        <v>-1.6709499840000017</v>
      </c>
      <c r="HA468" s="1006"/>
      <c r="HB468" s="996">
        <v>-0.35582751599999884</v>
      </c>
      <c r="HC468" s="1006"/>
      <c r="HD468" s="996">
        <v>0</v>
      </c>
      <c r="HE468" s="1006" t="s">
        <v>204</v>
      </c>
      <c r="HF468" s="996">
        <v>-1.0397540999999997</v>
      </c>
      <c r="HG468" s="1006"/>
      <c r="HH468" s="996">
        <v>-0.29000840000000139</v>
      </c>
      <c r="HI468" s="1006" t="s">
        <v>223</v>
      </c>
      <c r="HJ468" s="996">
        <v>-4.0455711999999977</v>
      </c>
      <c r="HK468" s="1006" t="s">
        <v>933</v>
      </c>
      <c r="HL468" s="996">
        <v>-15.505689935999998</v>
      </c>
      <c r="HM468" s="1006" t="s">
        <v>276</v>
      </c>
      <c r="HN468" s="996">
        <v>28.502583892129028</v>
      </c>
      <c r="HO468" s="1006"/>
      <c r="HP468" s="996">
        <v>0</v>
      </c>
      <c r="HQ468" s="1006"/>
      <c r="HR468" s="996">
        <v>0</v>
      </c>
      <c r="HS468" s="1006"/>
      <c r="HT468" s="996">
        <v>0</v>
      </c>
      <c r="HU468" s="1006"/>
      <c r="HV468" s="996">
        <v>0</v>
      </c>
      <c r="HW468" s="1006" t="s">
        <v>199</v>
      </c>
      <c r="HX468" s="996">
        <v>-1.1758539561290324</v>
      </c>
      <c r="HY468" s="1006"/>
      <c r="HZ468" s="996">
        <v>0</v>
      </c>
      <c r="IA468" s="1006"/>
      <c r="IB468" s="996">
        <v>0</v>
      </c>
      <c r="IC468" s="1006"/>
      <c r="ID468" s="996">
        <v>0.45077119999999993</v>
      </c>
      <c r="IE468" s="1006"/>
      <c r="IF468" s="996">
        <v>0</v>
      </c>
      <c r="IG468" s="1006"/>
      <c r="IH468" s="996">
        <v>0</v>
      </c>
      <c r="II468" s="1006"/>
      <c r="IJ468" s="996">
        <v>0</v>
      </c>
      <c r="IK468" s="1006"/>
      <c r="IL468" s="996">
        <v>0.58520000000000016</v>
      </c>
      <c r="IM468" s="1006" t="s">
        <v>199</v>
      </c>
      <c r="IN468" s="996">
        <v>-1.1703999999999999</v>
      </c>
      <c r="IO468" s="1006" t="s">
        <v>199</v>
      </c>
      <c r="IP468" s="996">
        <v>-3.0932000000000004</v>
      </c>
      <c r="IQ468" s="1006"/>
      <c r="IR468" s="996">
        <v>0</v>
      </c>
      <c r="IS468" s="1006"/>
      <c r="IT468" s="996">
        <v>0</v>
      </c>
      <c r="IU468" s="1006"/>
      <c r="IV468" s="996">
        <v>0</v>
      </c>
      <c r="IW468" s="1006" t="s">
        <v>199</v>
      </c>
      <c r="IX468" s="996">
        <v>2.9678</v>
      </c>
      <c r="IY468" s="1006"/>
      <c r="IZ468" s="996">
        <v>0</v>
      </c>
      <c r="JA468" s="1006"/>
      <c r="JB468" s="996">
        <v>0</v>
      </c>
      <c r="JC468" s="1006"/>
      <c r="JD468" s="996">
        <v>0</v>
      </c>
      <c r="JE468" s="1006"/>
      <c r="JF468" s="996">
        <v>0</v>
      </c>
      <c r="JG468" s="1006"/>
      <c r="JH468" s="996">
        <v>0</v>
      </c>
      <c r="JI468" s="1006"/>
      <c r="JJ468" s="996">
        <v>0</v>
      </c>
      <c r="JK468" s="1007"/>
      <c r="JL468" s="1007">
        <v>0</v>
      </c>
      <c r="JM468" s="1007"/>
      <c r="JN468" s="1007">
        <v>0</v>
      </c>
      <c r="JO468" s="1008"/>
      <c r="JP468" s="1007">
        <v>0</v>
      </c>
      <c r="JQ468" s="1008" t="s">
        <v>199</v>
      </c>
      <c r="JR468" s="1007">
        <v>-8.0362171999999994</v>
      </c>
      <c r="JS468" s="1008">
        <v>0</v>
      </c>
      <c r="JT468" s="1007">
        <v>0</v>
      </c>
      <c r="JU468" s="1008"/>
      <c r="JV468" s="1007">
        <v>-1.5582800000000674E-2</v>
      </c>
      <c r="JW468" s="1008" t="s">
        <v>197</v>
      </c>
      <c r="JX468" s="1007">
        <v>0</v>
      </c>
      <c r="JY468" s="1008"/>
      <c r="JZ468" s="1007">
        <v>0</v>
      </c>
      <c r="KA468" s="1008"/>
      <c r="KB468" s="1007">
        <v>0</v>
      </c>
      <c r="KC468" s="1008" t="s">
        <v>199</v>
      </c>
      <c r="KD468" s="1007">
        <v>-4.18</v>
      </c>
      <c r="KE468" s="1008"/>
      <c r="KF468" s="1007">
        <v>0</v>
      </c>
      <c r="KG468" s="1008"/>
      <c r="KH468" s="1007">
        <v>0</v>
      </c>
      <c r="KI468" s="1008" t="s">
        <v>207</v>
      </c>
      <c r="KJ468" s="1007">
        <v>-6.6880000000000006</v>
      </c>
      <c r="KK468" s="1008"/>
      <c r="KL468" s="1007">
        <v>0</v>
      </c>
      <c r="KM468" s="1008" t="s">
        <v>207</v>
      </c>
      <c r="KN468" s="1007">
        <v>-10.366400000000002</v>
      </c>
      <c r="KO468" s="1008"/>
      <c r="KP468" s="1007">
        <v>0</v>
      </c>
      <c r="KQ468" s="1008">
        <v>0</v>
      </c>
      <c r="KR468" s="1007">
        <v>32.102400000000003</v>
      </c>
      <c r="KS468" s="1008">
        <v>0</v>
      </c>
      <c r="KT468" s="1007">
        <v>0</v>
      </c>
      <c r="KU468" s="1008">
        <v>0</v>
      </c>
      <c r="KV468" s="1007">
        <v>0</v>
      </c>
      <c r="KW468" s="1008">
        <v>0</v>
      </c>
      <c r="KX468" s="1007">
        <v>0</v>
      </c>
      <c r="KY468" s="1008">
        <v>0</v>
      </c>
      <c r="KZ468" s="1007">
        <v>0</v>
      </c>
      <c r="LA468" s="1008">
        <v>0</v>
      </c>
      <c r="LB468" s="1007">
        <v>0</v>
      </c>
      <c r="LC468" s="1008">
        <v>0</v>
      </c>
      <c r="LD468" s="1007">
        <v>0</v>
      </c>
      <c r="LE468" s="1008">
        <v>0</v>
      </c>
      <c r="LF468" s="1007">
        <v>0</v>
      </c>
      <c r="LG468" s="1008">
        <v>0</v>
      </c>
      <c r="LH468" s="1007">
        <v>0</v>
      </c>
      <c r="LI468" s="1008">
        <v>0</v>
      </c>
      <c r="LJ468" s="1007">
        <v>0</v>
      </c>
      <c r="LK468" s="1008">
        <v>0</v>
      </c>
      <c r="LL468" s="1007">
        <v>0</v>
      </c>
      <c r="LM468" s="1008">
        <v>0</v>
      </c>
      <c r="LN468" s="1007">
        <v>0</v>
      </c>
      <c r="LO468" s="1008">
        <v>0</v>
      </c>
      <c r="LP468" s="1007">
        <v>0</v>
      </c>
      <c r="LQ468" s="1008">
        <v>0</v>
      </c>
      <c r="LR468" s="1007">
        <v>0</v>
      </c>
      <c r="LS468" s="1008">
        <v>0</v>
      </c>
      <c r="LT468" s="1007">
        <v>0</v>
      </c>
      <c r="LU468" s="1008">
        <v>0</v>
      </c>
      <c r="LV468" s="1007">
        <v>0</v>
      </c>
      <c r="LW468" s="1008">
        <v>0</v>
      </c>
      <c r="LX468" s="1007">
        <v>0</v>
      </c>
      <c r="LY468" s="1009">
        <v>0</v>
      </c>
      <c r="LZ468" s="1010">
        <v>0</v>
      </c>
      <c r="MA468" s="1011">
        <v>0</v>
      </c>
      <c r="MB468" s="1012">
        <v>0</v>
      </c>
      <c r="MC468" s="995"/>
      <c r="MD468" s="996"/>
      <c r="ME468" s="997" t="s">
        <v>202</v>
      </c>
      <c r="MF468" s="997"/>
      <c r="MG468" s="998"/>
      <c r="NR468" s="1000"/>
      <c r="NS468" s="1000"/>
      <c r="NT468" s="1001"/>
      <c r="NU468" s="1000"/>
      <c r="NV468" s="1001"/>
      <c r="NX468" s="1002"/>
      <c r="NZ468" s="1001"/>
      <c r="OA468" s="1001"/>
      <c r="OC468" s="1003"/>
      <c r="OD468" s="1003"/>
      <c r="OE468" s="1001"/>
      <c r="OF468" s="1003"/>
      <c r="OG468" s="1003"/>
      <c r="QX468" s="1000">
        <f>CN468-CA468</f>
        <v>29</v>
      </c>
      <c r="ASU468" s="999" t="s">
        <v>208</v>
      </c>
    </row>
    <row r="469" spans="1:466 1191:1191" ht="21" customHeight="1" x14ac:dyDescent="0.25">
      <c r="A469" s="982">
        <f t="shared" si="323"/>
        <v>1550</v>
      </c>
      <c r="B469" s="124">
        <f>SUBTOTAL(103,$J$29:J469)</f>
        <v>441</v>
      </c>
      <c r="C469" s="126">
        <v>45068</v>
      </c>
      <c r="D469" s="124" t="s">
        <v>176</v>
      </c>
      <c r="E469" s="127" t="s">
        <v>177</v>
      </c>
      <c r="F469" s="128" t="s">
        <v>177</v>
      </c>
      <c r="G469" s="127" t="s">
        <v>178</v>
      </c>
      <c r="H469" s="127" t="s">
        <v>179</v>
      </c>
      <c r="I469" s="127" t="s">
        <v>1362</v>
      </c>
      <c r="J469" s="152">
        <v>1550</v>
      </c>
      <c r="K469" s="127" t="s">
        <v>1362</v>
      </c>
      <c r="L469" s="130">
        <v>43311</v>
      </c>
      <c r="M469" s="127" t="s">
        <v>230</v>
      </c>
      <c r="N469" s="127" t="s">
        <v>184</v>
      </c>
      <c r="O469" s="127" t="s">
        <v>185</v>
      </c>
      <c r="P469" s="127" t="s">
        <v>292</v>
      </c>
      <c r="Q469" s="85">
        <f t="shared" si="367"/>
        <v>-4</v>
      </c>
      <c r="R469" s="130">
        <v>43224</v>
      </c>
      <c r="S469" s="128" t="s">
        <v>747</v>
      </c>
      <c r="T469" s="131" t="s">
        <v>1294</v>
      </c>
      <c r="U469" s="132">
        <v>203</v>
      </c>
      <c r="V469" s="121">
        <v>218.2</v>
      </c>
      <c r="W469" s="116">
        <v>0.98</v>
      </c>
      <c r="X469" s="116">
        <v>1.66</v>
      </c>
      <c r="Y469" s="116">
        <f t="shared" si="346"/>
        <v>0.98</v>
      </c>
      <c r="Z469" s="133">
        <v>1.454</v>
      </c>
      <c r="AA469" s="133">
        <v>0.83599999999999997</v>
      </c>
      <c r="AB469" s="133">
        <v>0.72</v>
      </c>
      <c r="AC469" s="121">
        <v>34.299999999999997</v>
      </c>
      <c r="AD469" s="134">
        <v>1.17</v>
      </c>
      <c r="AE469" s="124">
        <v>177.8</v>
      </c>
      <c r="AF469" s="128">
        <v>9.19</v>
      </c>
      <c r="AG469" s="128">
        <v>2174</v>
      </c>
      <c r="AH469" s="127">
        <v>3009.98</v>
      </c>
      <c r="AI469" s="127">
        <v>3009.98</v>
      </c>
      <c r="AJ469" s="135">
        <v>43211</v>
      </c>
      <c r="AK469" s="128" t="s">
        <v>1018</v>
      </c>
      <c r="AL469" s="131"/>
      <c r="AM469" s="124" t="s">
        <v>985</v>
      </c>
      <c r="AN469" s="136" t="s">
        <v>1737</v>
      </c>
      <c r="AO469" s="137">
        <v>8.4</v>
      </c>
      <c r="AP469" s="128">
        <v>2206.98</v>
      </c>
      <c r="AQ469" s="128">
        <v>353.47</v>
      </c>
      <c r="AR469" s="128" t="s">
        <v>1738</v>
      </c>
      <c r="AS469" s="128">
        <v>114</v>
      </c>
      <c r="AT469" s="122">
        <v>7.37</v>
      </c>
      <c r="AU469" s="124" t="s">
        <v>189</v>
      </c>
      <c r="AV469" s="115">
        <f>VLOOKUP(J469,'[63]ТР нефть'!$J$28:$BP$638,39,0)</f>
        <v>499.99999218800002</v>
      </c>
      <c r="AW469" s="115" t="str">
        <f>VLOOKUP(J469,'[63]ТР нефть'!$J$28:$BP$638,40,0)</f>
        <v>ГП</v>
      </c>
      <c r="AX469" s="115">
        <f>VLOOKUP(J469,'[63]ТР нефть'!$J$28:$BP$638,41,0)</f>
        <v>899.99998593800001</v>
      </c>
      <c r="AY469" s="115" t="str">
        <f>VLOOKUP(J469,'[63]ТР нефть'!$J$28:$BP$638,42,0)</f>
        <v>ГП</v>
      </c>
      <c r="AZ469" s="115">
        <f>VLOOKUP(J469,'[63]ТР нефть'!$J$28:$BP$638,43,0)</f>
        <v>1220.000025586</v>
      </c>
      <c r="BA469" s="115" t="str">
        <f>VLOOKUP(J469,'[63]ТР нефть'!$J$28:$BP$638,44,0)</f>
        <v>ГК 73 5/32</v>
      </c>
      <c r="BB469" s="115">
        <f>VLOOKUP(J469,'[63]ТР нефть'!$J$28:$BP$638,45,0)</f>
        <v>1490.0000660159999</v>
      </c>
      <c r="BC469" s="115" t="str">
        <f>VLOOKUP(J469,'[63]ТР нефть'!$J$28:$BP$638,46,0)</f>
        <v>ГК70 1/8</v>
      </c>
      <c r="BD469" s="115">
        <f>VLOOKUP(J469,'[63]ТР нефть'!$J$28:$BP$638,47,0)</f>
        <v>1719.9999433590001</v>
      </c>
      <c r="BE469" s="115" t="str">
        <f>VLOOKUP(J469,'[63]ТР нефть'!$J$28:$BP$638,48,0)</f>
        <v>ГК70 1/8</v>
      </c>
      <c r="BF469" s="115">
        <f>VLOOKUP(J469,'[63]ТР нефть'!$J$28:$BP$638,49,0)</f>
        <v>1880</v>
      </c>
      <c r="BG469" s="115" t="str">
        <f>VLOOKUP(J469,'[63]ТР нефть'!$J$28:$BP$638,50,0)</f>
        <v>ЦКсОК 5/16</v>
      </c>
      <c r="BH469" s="115">
        <f>VLOOKUP(J469,'[63]ТР нефть'!$J$28:$BP$638,51,0)</f>
        <v>1890</v>
      </c>
      <c r="BI469" s="115" t="str">
        <f>VLOOKUP(J469,'[63]ТР нефть'!$J$28:$BP$638,52,0)</f>
        <v>закрыт</v>
      </c>
      <c r="BJ469" s="115" t="str">
        <f>IF(IFERROR(VLOOKUP(J469,'[63]ТР нефть'!$J$28:$BP$638,53,0),"-")=0,"-",IFERROR(VLOOKUP(J469,'[63]ТР нефть'!$J$28:$BP$638,53,0),"-"))</f>
        <v>-</v>
      </c>
      <c r="BK469" s="138" t="str">
        <f>IF(IFERROR(VLOOKUP(J469,'[63]ТР нефть'!$J$28:$BP$638,54,0),"-")=0,"-",IFERROR(VLOOKUP(J469,'[63]ТР нефть'!$J$28:$BP$638,54,0),"-"))</f>
        <v>-</v>
      </c>
      <c r="BL469" s="138" t="str">
        <f>IF(IFERROR(VLOOKUP(J469,'[63]ТР нефть'!$J$28:$BP$638,55,0),"-")=0,"-",IFERROR(VLOOKUP(J469,'[63]ТР нефть'!$J$28:$BP$638,55,0),"-"))</f>
        <v>-</v>
      </c>
      <c r="BM469" s="138" t="str">
        <f>IF(IFERROR(VLOOKUP(J469,'[63]ТР нефть'!$J$28:$BP$638,56,0),"-")=0,"-",IFERROR(VLOOKUP(J469,'[63]ТР нефть'!$J$28:$BP$638,56,0),"-"))</f>
        <v>-</v>
      </c>
      <c r="BN469" s="138" t="str">
        <f>IF(IFERROR(VLOOKUP(J469,'[63]ТР нефть'!$J$28:$BP$638,57,0),"-")=0,"-",IFERROR(VLOOKUP(J469,'[63]ТР нефть'!$J$28:$BP$638,57,0),"-"))</f>
        <v>-</v>
      </c>
      <c r="BO469" s="115" t="str">
        <f>IF(IFERROR(VLOOKUP(J469,'[63]ТР нефть'!$J$28:$BP$638,58,0),"-")=0,"-",IFERROR(VLOOKUP(J469,'[63]ТР нефть'!$J$28:$BP$638,58,0),"-"))</f>
        <v>-</v>
      </c>
      <c r="BP469" s="115" t="str">
        <f>IF(IFERROR(VLOOKUP(J469,'[63]ТР нефть'!$J$28:$BP$638,59,0),"-")=0,"-",IFERROR(VLOOKUP(J469,'[63]ТР нефть'!$J$28:$BP$638,59,0),"-"))</f>
        <v>-</v>
      </c>
      <c r="BQ469" s="138">
        <v>1912</v>
      </c>
      <c r="BR469" s="128">
        <v>1579.21</v>
      </c>
      <c r="BS469" s="115">
        <f t="shared" si="351"/>
        <v>332.78999999999996</v>
      </c>
      <c r="BT469" s="128">
        <v>73</v>
      </c>
      <c r="BU469" s="128">
        <v>5.5</v>
      </c>
      <c r="BV469" s="127">
        <v>65</v>
      </c>
      <c r="BW469" s="127" t="s">
        <v>217</v>
      </c>
      <c r="BX469" s="127" t="s">
        <v>195</v>
      </c>
      <c r="BY469" s="139">
        <v>24</v>
      </c>
      <c r="BZ469" s="139">
        <v>0</v>
      </c>
      <c r="CA469" s="138">
        <v>25</v>
      </c>
      <c r="CB469" s="138">
        <v>49</v>
      </c>
      <c r="CC469" s="138">
        <v>24</v>
      </c>
      <c r="CD469" s="135">
        <v>45017</v>
      </c>
      <c r="CE469" s="138">
        <v>129</v>
      </c>
      <c r="CF469" s="138">
        <v>71</v>
      </c>
      <c r="CG469" s="138" t="str">
        <f t="shared" si="366"/>
        <v/>
      </c>
      <c r="CH469" s="138" t="s">
        <v>197</v>
      </c>
      <c r="CI469" s="138"/>
      <c r="CJ469" s="138"/>
      <c r="CK469" s="138">
        <f t="shared" si="356"/>
        <v>31</v>
      </c>
      <c r="CL469" s="99"/>
      <c r="CM469" s="99"/>
      <c r="CN469" s="140">
        <v>56</v>
      </c>
      <c r="CO469" s="141">
        <f t="shared" si="324"/>
        <v>6.1027999999999993</v>
      </c>
      <c r="CP469" s="142">
        <v>7.3</v>
      </c>
      <c r="CQ469" s="143">
        <v>0</v>
      </c>
      <c r="CR469" s="138">
        <v>8.5</v>
      </c>
      <c r="CS469" s="139">
        <v>6</v>
      </c>
      <c r="CT469" s="138"/>
      <c r="CU469" s="138">
        <f t="shared" si="370"/>
        <v>2.5</v>
      </c>
      <c r="CV469" s="115">
        <f t="shared" si="368"/>
        <v>409.6480304122698</v>
      </c>
      <c r="CW469" s="115">
        <f t="shared" si="325"/>
        <v>983.15527298944755</v>
      </c>
      <c r="CX469" s="133">
        <f t="shared" si="369"/>
        <v>9.9999999999999992E-2</v>
      </c>
      <c r="CY469" s="116"/>
      <c r="CZ469" s="131"/>
      <c r="DA469" s="145" t="str">
        <f t="shared" si="326"/>
        <v>Газлифт</v>
      </c>
      <c r="DB469" s="146">
        <f t="shared" si="341"/>
        <v>6.1027999999999993</v>
      </c>
      <c r="DC469" s="142">
        <f t="shared" si="342"/>
        <v>7.3</v>
      </c>
      <c r="DD469" s="119">
        <f t="shared" si="350"/>
        <v>0</v>
      </c>
      <c r="DE469" s="115">
        <f t="shared" si="343"/>
        <v>2.5</v>
      </c>
      <c r="DF469" s="121">
        <f t="shared" si="328"/>
        <v>6</v>
      </c>
      <c r="DG469" s="115">
        <f t="shared" si="329"/>
        <v>409.6480304122698</v>
      </c>
      <c r="DH469" s="115">
        <f t="shared" si="330"/>
        <v>56</v>
      </c>
      <c r="DI469" s="1038"/>
      <c r="DJ469" s="111" t="s">
        <v>197</v>
      </c>
      <c r="DK469" s="112">
        <v>43311</v>
      </c>
      <c r="DL469" s="113">
        <f t="shared" ca="1" si="359"/>
        <v>1793</v>
      </c>
      <c r="DM469" s="114"/>
      <c r="DN469" s="114"/>
      <c r="DO469" s="114"/>
      <c r="DP469" s="114"/>
      <c r="DQ469" s="112">
        <v>43311</v>
      </c>
      <c r="DR469" s="114" t="s">
        <v>324</v>
      </c>
      <c r="DS469" s="114"/>
      <c r="DT469" s="115">
        <v>56</v>
      </c>
      <c r="DU469" s="116">
        <f t="shared" si="360"/>
        <v>9.9999999999999992E-2</v>
      </c>
      <c r="DV469" s="117">
        <f t="shared" si="361"/>
        <v>6.1027999999999993</v>
      </c>
      <c r="DW469" s="118">
        <f t="shared" si="362"/>
        <v>7.3</v>
      </c>
      <c r="DX469" s="119">
        <f t="shared" si="331"/>
        <v>0</v>
      </c>
      <c r="DY469" s="115">
        <f t="shared" si="363"/>
        <v>2.5</v>
      </c>
      <c r="DZ469" s="117">
        <f t="shared" si="364"/>
        <v>0</v>
      </c>
      <c r="EA469" s="120">
        <f t="shared" si="364"/>
        <v>0</v>
      </c>
      <c r="EB469" s="119">
        <f t="shared" si="364"/>
        <v>0</v>
      </c>
      <c r="EC469" s="121">
        <f t="shared" si="365"/>
        <v>0</v>
      </c>
      <c r="ED469" s="122"/>
      <c r="EE469" s="145">
        <v>65</v>
      </c>
      <c r="EF469" s="115">
        <v>26</v>
      </c>
      <c r="EG469" s="115">
        <v>50</v>
      </c>
      <c r="EH469" s="115">
        <v>25</v>
      </c>
      <c r="EI469" s="128" t="s">
        <v>195</v>
      </c>
      <c r="EJ469" s="121">
        <v>24</v>
      </c>
      <c r="EK469" s="121">
        <v>0</v>
      </c>
      <c r="EL469" s="149">
        <v>6.1027999999999993</v>
      </c>
      <c r="EM469" s="142">
        <v>7.3</v>
      </c>
      <c r="EN469" s="119">
        <v>0</v>
      </c>
      <c r="EO469" s="115">
        <v>7.258</v>
      </c>
      <c r="EP469" s="115">
        <v>206.13488890345417</v>
      </c>
      <c r="EQ469" s="115">
        <v>70</v>
      </c>
      <c r="ER469" s="115">
        <v>6</v>
      </c>
      <c r="ES469" s="115">
        <v>64</v>
      </c>
      <c r="ET469" s="150">
        <v>0.1123076923076923</v>
      </c>
      <c r="EU469" s="145">
        <f t="shared" si="332"/>
        <v>65</v>
      </c>
      <c r="EV469" s="115">
        <f t="shared" si="333"/>
        <v>25</v>
      </c>
      <c r="EW469" s="115">
        <f t="shared" si="333"/>
        <v>49</v>
      </c>
      <c r="EX469" s="115">
        <f t="shared" si="333"/>
        <v>24</v>
      </c>
      <c r="EY469" s="115" t="str">
        <f t="shared" si="357"/>
        <v>Постоянный</v>
      </c>
      <c r="EZ469" s="115">
        <f t="shared" si="357"/>
        <v>24</v>
      </c>
      <c r="FA469" s="115">
        <f t="shared" si="357"/>
        <v>0</v>
      </c>
      <c r="FB469" s="149">
        <f t="shared" si="345"/>
        <v>6.1027999999999993</v>
      </c>
      <c r="FC469" s="142">
        <f t="shared" si="345"/>
        <v>7.3</v>
      </c>
      <c r="FD469" s="119">
        <f t="shared" si="345"/>
        <v>0</v>
      </c>
      <c r="FE469" s="121">
        <f t="shared" si="344"/>
        <v>8.5</v>
      </c>
      <c r="FF469" s="121">
        <f t="shared" si="347"/>
        <v>409.6480304122698</v>
      </c>
      <c r="FG469" s="121">
        <f t="shared" si="334"/>
        <v>71</v>
      </c>
      <c r="FH469" s="121">
        <f t="shared" si="358"/>
        <v>6</v>
      </c>
      <c r="FI469" s="121">
        <f t="shared" si="355"/>
        <v>56</v>
      </c>
      <c r="FJ469" s="144">
        <f t="shared" si="335"/>
        <v>9.9999999999999992E-2</v>
      </c>
      <c r="FK469" s="132">
        <f t="shared" si="336"/>
        <v>0</v>
      </c>
      <c r="FL469" s="115">
        <f t="shared" si="336"/>
        <v>-1</v>
      </c>
      <c r="FM469" s="115">
        <f t="shared" si="336"/>
        <v>-1</v>
      </c>
      <c r="FN469" s="115">
        <f t="shared" si="336"/>
        <v>-1</v>
      </c>
      <c r="FO469" s="115">
        <f t="shared" si="354"/>
        <v>0</v>
      </c>
      <c r="FP469" s="115">
        <f t="shared" si="354"/>
        <v>0</v>
      </c>
      <c r="FQ469" s="149">
        <f t="shared" si="354"/>
        <v>0</v>
      </c>
      <c r="FR469" s="142">
        <f t="shared" si="354"/>
        <v>0</v>
      </c>
      <c r="FS469" s="119">
        <f t="shared" si="354"/>
        <v>0</v>
      </c>
      <c r="FT469" s="121">
        <f t="shared" si="353"/>
        <v>1.242</v>
      </c>
      <c r="FU469" s="121">
        <f t="shared" si="337"/>
        <v>1</v>
      </c>
      <c r="FV469" s="121">
        <f t="shared" si="337"/>
        <v>0</v>
      </c>
      <c r="FW469" s="121">
        <f t="shared" si="338"/>
        <v>203.51314150881564</v>
      </c>
      <c r="FX469" s="121">
        <f t="shared" si="339"/>
        <v>-8</v>
      </c>
      <c r="FY469" s="144">
        <f t="shared" si="339"/>
        <v>-1.2307692307692311E-2</v>
      </c>
      <c r="FZ469" s="145"/>
      <c r="GA469" s="151"/>
      <c r="GB469" s="145" t="s">
        <v>199</v>
      </c>
      <c r="GC469" s="151" t="s">
        <v>1739</v>
      </c>
      <c r="GD469" s="997" t="s">
        <v>202</v>
      </c>
      <c r="GE469" s="1004" t="s">
        <v>199</v>
      </c>
      <c r="GF469" s="1004">
        <v>-1.2707200000000007</v>
      </c>
      <c r="GG469" s="1004" t="s">
        <v>221</v>
      </c>
      <c r="GH469" s="1004">
        <v>1.7319646080000002</v>
      </c>
      <c r="GI469" s="145"/>
      <c r="GJ469" s="996">
        <v>0</v>
      </c>
      <c r="GK469" s="145"/>
      <c r="GL469" s="996">
        <v>0</v>
      </c>
      <c r="GM469" s="1005"/>
      <c r="GN469" s="996">
        <v>0</v>
      </c>
      <c r="GO469" s="1006"/>
      <c r="GP469" s="996">
        <v>-0.473784607999999</v>
      </c>
      <c r="GQ469" s="1006" t="s">
        <v>203</v>
      </c>
      <c r="GR469" s="996">
        <v>-0.84742979199999979</v>
      </c>
      <c r="GS469" s="1006"/>
      <c r="GT469" s="996">
        <v>0</v>
      </c>
      <c r="GU469" s="1006"/>
      <c r="GV469" s="996">
        <v>0</v>
      </c>
      <c r="GW469" s="1006"/>
      <c r="GX469" s="996">
        <v>0</v>
      </c>
      <c r="GY469" s="1006" t="s">
        <v>199</v>
      </c>
      <c r="GZ469" s="996">
        <v>-1.5045625760000005</v>
      </c>
      <c r="HA469" s="1006"/>
      <c r="HB469" s="996">
        <v>1.2562576000000547E-2</v>
      </c>
      <c r="HC469" s="1006" t="s">
        <v>199</v>
      </c>
      <c r="HD469" s="996">
        <v>-3.5396239999999981</v>
      </c>
      <c r="HE469" s="1006" t="s">
        <v>199</v>
      </c>
      <c r="HF469" s="996">
        <v>6.5814710279999984</v>
      </c>
      <c r="HG469" s="1006" t="s">
        <v>199</v>
      </c>
      <c r="HH469" s="996">
        <v>-1.3150470280000004</v>
      </c>
      <c r="HI469" s="1006"/>
      <c r="HJ469" s="996">
        <v>0</v>
      </c>
      <c r="HK469" s="1006"/>
      <c r="HL469" s="996">
        <v>-5.1748399999999251E-2</v>
      </c>
      <c r="HM469" s="1006"/>
      <c r="HN469" s="996">
        <v>0</v>
      </c>
      <c r="HO469" s="1006"/>
      <c r="HP469" s="996">
        <v>0</v>
      </c>
      <c r="HQ469" s="1006"/>
      <c r="HR469" s="996">
        <v>0</v>
      </c>
      <c r="HS469" s="1006"/>
      <c r="HT469" s="996">
        <v>0</v>
      </c>
      <c r="HU469" s="1006" t="s">
        <v>199</v>
      </c>
      <c r="HV469" s="996">
        <v>3.4813464400000003</v>
      </c>
      <c r="HW469" s="1006"/>
      <c r="HX469" s="996">
        <v>0.48176000000000041</v>
      </c>
      <c r="HY469" s="1006" t="s">
        <v>199</v>
      </c>
      <c r="HZ469" s="996">
        <v>4.0245039999999994</v>
      </c>
      <c r="IA469" s="1006" t="s">
        <v>199</v>
      </c>
      <c r="IB469" s="996">
        <v>-4.1264960000000004</v>
      </c>
      <c r="IC469" s="1006" t="s">
        <v>199</v>
      </c>
      <c r="ID469" s="996">
        <v>-2.3993199999999995</v>
      </c>
      <c r="IE469" s="1006"/>
      <c r="IF469" s="996">
        <v>0</v>
      </c>
      <c r="IG469" s="1006"/>
      <c r="IH469" s="996">
        <v>0</v>
      </c>
      <c r="II469" s="1006"/>
      <c r="IJ469" s="996">
        <v>-0.83599999999999852</v>
      </c>
      <c r="IK469" s="1006"/>
      <c r="IL469" s="996">
        <v>0</v>
      </c>
      <c r="IM469" s="1006"/>
      <c r="IN469" s="996">
        <v>0</v>
      </c>
      <c r="IO469" s="1006"/>
      <c r="IP469" s="996">
        <v>0</v>
      </c>
      <c r="IQ469" s="1006"/>
      <c r="IR469" s="996">
        <v>0</v>
      </c>
      <c r="IS469" s="1006"/>
      <c r="IT469" s="996">
        <v>0</v>
      </c>
      <c r="IU469" s="1006"/>
      <c r="IV469" s="996">
        <v>0</v>
      </c>
      <c r="IW469" s="1006"/>
      <c r="IX469" s="996">
        <v>0</v>
      </c>
      <c r="IY469" s="1006"/>
      <c r="IZ469" s="996">
        <v>0</v>
      </c>
      <c r="JA469" s="1006"/>
      <c r="JB469" s="996">
        <v>0</v>
      </c>
      <c r="JC469" s="1006" t="s">
        <v>204</v>
      </c>
      <c r="JD469" s="996">
        <v>-5.1831999999999994</v>
      </c>
      <c r="JE469" s="1006"/>
      <c r="JF469" s="996">
        <v>-0.87780000000000058</v>
      </c>
      <c r="JG469" s="1006"/>
      <c r="JH469" s="996">
        <v>0</v>
      </c>
      <c r="JI469" s="1006"/>
      <c r="JJ469" s="996">
        <v>0</v>
      </c>
      <c r="JK469" s="1007"/>
      <c r="JL469" s="1007">
        <v>0</v>
      </c>
      <c r="JM469" s="1007"/>
      <c r="JN469" s="1007">
        <v>0</v>
      </c>
      <c r="JO469" s="1008" t="s">
        <v>199</v>
      </c>
      <c r="JP469" s="1007">
        <v>2.7588000000000008</v>
      </c>
      <c r="JQ469" s="1008" t="s">
        <v>199</v>
      </c>
      <c r="JR469" s="1007">
        <v>-5.2244875320000013</v>
      </c>
      <c r="JS469" s="1008" t="s">
        <v>199</v>
      </c>
      <c r="JT469" s="1007">
        <v>3.5898283080000013</v>
      </c>
      <c r="JU469" s="1008" t="s">
        <v>199</v>
      </c>
      <c r="JV469" s="1007">
        <v>-4.8610607759999986</v>
      </c>
      <c r="JW469" s="1008" t="s">
        <v>199</v>
      </c>
      <c r="JX469" s="1007">
        <v>4.8628715519999979</v>
      </c>
      <c r="JY469" s="1008" t="s">
        <v>199</v>
      </c>
      <c r="JZ469" s="1007">
        <v>-4.9297515520000026</v>
      </c>
      <c r="KA469" s="1008" t="s">
        <v>199</v>
      </c>
      <c r="KB469" s="1007">
        <v>5.0160000000000018</v>
      </c>
      <c r="KC469" s="1008" t="s">
        <v>199</v>
      </c>
      <c r="KD469" s="1007">
        <v>-10.032</v>
      </c>
      <c r="KE469" s="1008" t="s">
        <v>199</v>
      </c>
      <c r="KF469" s="1007">
        <v>-2.5079999999999991</v>
      </c>
      <c r="KG469" s="1008"/>
      <c r="KH469" s="1007">
        <v>0</v>
      </c>
      <c r="KI469" s="1008" t="s">
        <v>203</v>
      </c>
      <c r="KJ469" s="1007">
        <v>-3.3440000000000012</v>
      </c>
      <c r="KK469" s="1008"/>
      <c r="KL469" s="1007">
        <v>0</v>
      </c>
      <c r="KM469" s="1008" t="s">
        <v>203</v>
      </c>
      <c r="KN469" s="1007">
        <v>-28.256524120000002</v>
      </c>
      <c r="KO469" s="1008" t="s">
        <v>206</v>
      </c>
      <c r="KP469" s="1007">
        <v>0.31071611999999504</v>
      </c>
      <c r="KQ469" s="1008">
        <v>0</v>
      </c>
      <c r="KR469" s="1007">
        <v>0</v>
      </c>
      <c r="KS469" s="1008">
        <v>0</v>
      </c>
      <c r="KT469" s="1007">
        <v>0</v>
      </c>
      <c r="KU469" s="1008">
        <v>0</v>
      </c>
      <c r="KV469" s="1007">
        <v>0</v>
      </c>
      <c r="KW469" s="1008">
        <v>0</v>
      </c>
      <c r="KX469" s="1007">
        <v>0</v>
      </c>
      <c r="KY469" s="1008">
        <v>0</v>
      </c>
      <c r="KZ469" s="1007">
        <v>0</v>
      </c>
      <c r="LA469" s="1008">
        <v>0</v>
      </c>
      <c r="LB469" s="1007">
        <v>0</v>
      </c>
      <c r="LC469" s="1008">
        <v>0</v>
      </c>
      <c r="LD469" s="1007">
        <v>0</v>
      </c>
      <c r="LE469" s="1008">
        <v>0</v>
      </c>
      <c r="LF469" s="1007">
        <v>0</v>
      </c>
      <c r="LG469" s="1008">
        <v>0</v>
      </c>
      <c r="LH469" s="1007">
        <v>0</v>
      </c>
      <c r="LI469" s="1008">
        <v>0</v>
      </c>
      <c r="LJ469" s="1007">
        <v>0</v>
      </c>
      <c r="LK469" s="1008">
        <v>0</v>
      </c>
      <c r="LL469" s="1007">
        <v>0</v>
      </c>
      <c r="LM469" s="1008">
        <v>0</v>
      </c>
      <c r="LN469" s="1007">
        <v>0</v>
      </c>
      <c r="LO469" s="1008">
        <v>0</v>
      </c>
      <c r="LP469" s="1007">
        <v>0</v>
      </c>
      <c r="LQ469" s="1008">
        <v>0</v>
      </c>
      <c r="LR469" s="1007">
        <v>0</v>
      </c>
      <c r="LS469" s="1008">
        <v>0</v>
      </c>
      <c r="LT469" s="1007">
        <v>0</v>
      </c>
      <c r="LU469" s="1008">
        <v>0</v>
      </c>
      <c r="LV469" s="1007">
        <v>0</v>
      </c>
      <c r="LW469" s="1008">
        <v>0</v>
      </c>
      <c r="LX469" s="1007">
        <v>0</v>
      </c>
      <c r="LY469" s="1009">
        <v>0</v>
      </c>
      <c r="LZ469" s="1010">
        <v>0</v>
      </c>
      <c r="MA469" s="1011">
        <v>0</v>
      </c>
      <c r="MB469" s="1012">
        <v>0</v>
      </c>
      <c r="MC469" s="995"/>
      <c r="MD469" s="996"/>
      <c r="ME469" s="997" t="s">
        <v>202</v>
      </c>
      <c r="MF469" s="997"/>
      <c r="MG469" s="998"/>
      <c r="NR469" s="1000"/>
      <c r="NS469" s="1000"/>
      <c r="NT469" s="1001"/>
      <c r="NU469" s="1000"/>
      <c r="NV469" s="1001"/>
      <c r="NX469" s="1002"/>
      <c r="NZ469" s="1001"/>
      <c r="OA469" s="1001"/>
      <c r="OC469" s="1003"/>
      <c r="OD469" s="1003"/>
      <c r="OE469" s="1001"/>
      <c r="OF469" s="1003"/>
      <c r="OG469" s="1003"/>
      <c r="QX469" s="1000">
        <f>CN469-CA469</f>
        <v>31</v>
      </c>
      <c r="ASU469" s="999" t="s">
        <v>208</v>
      </c>
    </row>
    <row r="470" spans="1:466 1191:1191" ht="21" customHeight="1" x14ac:dyDescent="0.25">
      <c r="A470" s="982">
        <f t="shared" si="323"/>
        <v>1551</v>
      </c>
      <c r="B470" s="124">
        <f>SUBTOTAL(103,$J$29:J470)</f>
        <v>442</v>
      </c>
      <c r="C470" s="126">
        <v>45068</v>
      </c>
      <c r="D470" s="124" t="s">
        <v>176</v>
      </c>
      <c r="E470" s="127" t="s">
        <v>177</v>
      </c>
      <c r="F470" s="128" t="s">
        <v>177</v>
      </c>
      <c r="G470" s="127" t="s">
        <v>178</v>
      </c>
      <c r="H470" s="127" t="s">
        <v>179</v>
      </c>
      <c r="I470" s="127" t="s">
        <v>1365</v>
      </c>
      <c r="J470" s="152">
        <v>1551</v>
      </c>
      <c r="K470" s="127" t="s">
        <v>1365</v>
      </c>
      <c r="L470" s="130">
        <v>43976</v>
      </c>
      <c r="M470" s="127" t="s">
        <v>230</v>
      </c>
      <c r="N470" s="127" t="s">
        <v>184</v>
      </c>
      <c r="O470" s="127" t="s">
        <v>185</v>
      </c>
      <c r="P470" s="127" t="s">
        <v>186</v>
      </c>
      <c r="Q470" s="85" t="str">
        <f t="shared" si="367"/>
        <v/>
      </c>
      <c r="R470" s="130"/>
      <c r="S470" s="128"/>
      <c r="T470" s="131"/>
      <c r="U470" s="132">
        <v>203</v>
      </c>
      <c r="V470" s="121">
        <v>218.2</v>
      </c>
      <c r="W470" s="116">
        <v>0.98</v>
      </c>
      <c r="X470" s="116">
        <v>1.66</v>
      </c>
      <c r="Y470" s="116">
        <f t="shared" si="346"/>
        <v>0.98</v>
      </c>
      <c r="Z470" s="133">
        <v>1.454</v>
      </c>
      <c r="AA470" s="133">
        <v>0.83599999999999997</v>
      </c>
      <c r="AB470" s="133">
        <v>0.72</v>
      </c>
      <c r="AC470" s="121">
        <v>34.299999999999997</v>
      </c>
      <c r="AD470" s="134">
        <v>1.17</v>
      </c>
      <c r="AE470" s="124">
        <v>177.8</v>
      </c>
      <c r="AF470" s="128">
        <v>9.19</v>
      </c>
      <c r="AG470" s="128">
        <v>2200.0700000000002</v>
      </c>
      <c r="AH470" s="127">
        <v>2226</v>
      </c>
      <c r="AI470" s="127">
        <v>2226</v>
      </c>
      <c r="AJ470" s="135"/>
      <c r="AK470" s="128"/>
      <c r="AL470" s="131"/>
      <c r="AM470" s="124" t="s">
        <v>985</v>
      </c>
      <c r="AN470" s="136" t="s">
        <v>1740</v>
      </c>
      <c r="AO470" s="137" t="s">
        <v>192</v>
      </c>
      <c r="AP470" s="128">
        <v>2270.98</v>
      </c>
      <c r="AQ470" s="128" t="s">
        <v>192</v>
      </c>
      <c r="AR470" s="128" t="s">
        <v>1741</v>
      </c>
      <c r="AS470" s="128">
        <v>102</v>
      </c>
      <c r="AT470" s="122">
        <v>6.5</v>
      </c>
      <c r="AU470" s="124" t="s">
        <v>189</v>
      </c>
      <c r="AV470" s="115">
        <f>VLOOKUP(J470,'[63]ТР нефть'!$J$28:$BP$638,39,0)</f>
        <v>449.999992969</v>
      </c>
      <c r="AW470" s="115" t="str">
        <f>VLOOKUP(J470,'[63]ТР нефть'!$J$28:$BP$638,40,0)</f>
        <v>ГП</v>
      </c>
      <c r="AX470" s="115">
        <f>VLOOKUP(J470,'[63]ТР нефть'!$J$28:$BP$638,41,0)</f>
        <v>840.00000175800005</v>
      </c>
      <c r="AY470" s="115" t="str">
        <f>VLOOKUP(J470,'[63]ТР нефть'!$J$28:$BP$638,42,0)</f>
        <v>ГП</v>
      </c>
      <c r="AZ470" s="115">
        <f>VLOOKUP(J470,'[63]ТР нефть'!$J$28:$BP$638,43,0)</f>
        <v>1209.9999662109999</v>
      </c>
      <c r="BA470" s="115" t="str">
        <f>VLOOKUP(J470,'[63]ТР нефть'!$J$28:$BP$638,44,0)</f>
        <v>ГК72 1/8</v>
      </c>
      <c r="BB470" s="115">
        <f>VLOOKUP(J470,'[63]ТР нефть'!$J$28:$BP$638,45,0)</f>
        <v>1490.0000660159999</v>
      </c>
      <c r="BC470" s="115" t="str">
        <f>VLOOKUP(J470,'[63]ТР нефть'!$J$28:$BP$638,46,0)</f>
        <v>ГК72 1/8</v>
      </c>
      <c r="BD470" s="115">
        <f>VLOOKUP(J470,'[63]ТР нефть'!$J$28:$BP$638,47,0)</f>
        <v>1749.999972656</v>
      </c>
      <c r="BE470" s="115" t="str">
        <f>VLOOKUP(J470,'[63]ТР нефть'!$J$28:$BP$638,48,0)</f>
        <v>ГК72 1/8</v>
      </c>
      <c r="BF470" s="115">
        <f>VLOOKUP(J470,'[63]ТР нефть'!$J$28:$BP$638,49,0)</f>
        <v>2020</v>
      </c>
      <c r="BG470" s="115" t="str">
        <f>VLOOKUP(J470,'[63]ТР нефть'!$J$28:$BP$638,50,0)</f>
        <v>ЦКсОК 5/16</v>
      </c>
      <c r="BH470" s="115" t="str">
        <f>VLOOKUP(J470,'[63]ТР нефть'!$J$28:$BP$638,51,0)</f>
        <v>-</v>
      </c>
      <c r="BI470" s="115" t="str">
        <f>VLOOKUP(J470,'[63]ТР нефть'!$J$28:$BP$638,52,0)</f>
        <v>-</v>
      </c>
      <c r="BJ470" s="115" t="str">
        <f>IF(IFERROR(VLOOKUP(J470,'[63]ТР нефть'!$J$28:$BP$638,53,0),"-")=0,"-",IFERROR(VLOOKUP(J470,'[63]ТР нефть'!$J$28:$BP$638,53,0),"-"))</f>
        <v>-</v>
      </c>
      <c r="BK470" s="138" t="str">
        <f>IF(IFERROR(VLOOKUP(J470,'[63]ТР нефть'!$J$28:$BP$638,54,0),"-")=0,"-",IFERROR(VLOOKUP(J470,'[63]ТР нефть'!$J$28:$BP$638,54,0),"-"))</f>
        <v>-</v>
      </c>
      <c r="BL470" s="138" t="str">
        <f>IF(IFERROR(VLOOKUP(J470,'[63]ТР нефть'!$J$28:$BP$638,55,0),"-")=0,"-",IFERROR(VLOOKUP(J470,'[63]ТР нефть'!$J$28:$BP$638,55,0),"-"))</f>
        <v>-</v>
      </c>
      <c r="BM470" s="138" t="str">
        <f>IF(IFERROR(VLOOKUP(J470,'[63]ТР нефть'!$J$28:$BP$638,56,0),"-")=0,"-",IFERROR(VLOOKUP(J470,'[63]ТР нефть'!$J$28:$BP$638,56,0),"-"))</f>
        <v>-</v>
      </c>
      <c r="BN470" s="138" t="str">
        <f>IF(IFERROR(VLOOKUP(J470,'[63]ТР нефть'!$J$28:$BP$638,57,0),"-")=0,"-",IFERROR(VLOOKUP(J470,'[63]ТР нефть'!$J$28:$BP$638,57,0),"-"))</f>
        <v>-</v>
      </c>
      <c r="BO470" s="115" t="str">
        <f>IF(IFERROR(VLOOKUP(J470,'[63]ТР нефть'!$J$28:$BP$638,58,0),"-")=0,"-",IFERROR(VLOOKUP(J470,'[63]ТР нефть'!$J$28:$BP$638,58,0),"-"))</f>
        <v>-</v>
      </c>
      <c r="BP470" s="115" t="str">
        <f>IF(IFERROR(VLOOKUP(J470,'[63]ТР нефть'!$J$28:$BP$638,59,0),"-")=0,"-",IFERROR(VLOOKUP(J470,'[63]ТР нефть'!$J$28:$BP$638,59,0),"-"))</f>
        <v>-</v>
      </c>
      <c r="BQ470" s="138">
        <v>2115</v>
      </c>
      <c r="BR470" s="128">
        <v>56</v>
      </c>
      <c r="BS470" s="115">
        <f t="shared" si="351"/>
        <v>2059</v>
      </c>
      <c r="BT470" s="128">
        <v>73</v>
      </c>
      <c r="BU470" s="128">
        <v>5.5</v>
      </c>
      <c r="BV470" s="127">
        <v>65</v>
      </c>
      <c r="BW470" s="127" t="s">
        <v>217</v>
      </c>
      <c r="BX470" s="127" t="s">
        <v>195</v>
      </c>
      <c r="BY470" s="139">
        <v>24</v>
      </c>
      <c r="BZ470" s="139">
        <v>0</v>
      </c>
      <c r="CA470" s="138">
        <v>27</v>
      </c>
      <c r="CB470" s="138">
        <v>47</v>
      </c>
      <c r="CC470" s="138">
        <v>26</v>
      </c>
      <c r="CD470" s="135">
        <v>45017</v>
      </c>
      <c r="CE470" s="138">
        <v>108</v>
      </c>
      <c r="CF470" s="138">
        <v>71</v>
      </c>
      <c r="CG470" s="138" t="str">
        <f t="shared" si="366"/>
        <v/>
      </c>
      <c r="CH470" s="138" t="s">
        <v>197</v>
      </c>
      <c r="CI470" s="138"/>
      <c r="CJ470" s="138"/>
      <c r="CK470" s="138">
        <f t="shared" si="356"/>
        <v>29</v>
      </c>
      <c r="CL470" s="99"/>
      <c r="CM470" s="99"/>
      <c r="CN470" s="140">
        <v>56</v>
      </c>
      <c r="CO470" s="141">
        <f t="shared" si="324"/>
        <v>10.032</v>
      </c>
      <c r="CP470" s="142">
        <v>12</v>
      </c>
      <c r="CQ470" s="143">
        <v>0</v>
      </c>
      <c r="CR470" s="138">
        <v>11</v>
      </c>
      <c r="CS470" s="139">
        <v>7.2</v>
      </c>
      <c r="CT470" s="138"/>
      <c r="CU470" s="138">
        <f t="shared" si="370"/>
        <v>3.8</v>
      </c>
      <c r="CV470" s="115">
        <f t="shared" si="368"/>
        <v>378.78787878787881</v>
      </c>
      <c r="CW470" s="115">
        <f t="shared" si="325"/>
        <v>717.70334928229659</v>
      </c>
      <c r="CX470" s="133">
        <f t="shared" si="369"/>
        <v>0.23076923076923078</v>
      </c>
      <c r="CY470" s="116"/>
      <c r="CZ470" s="131"/>
      <c r="DA470" s="145" t="str">
        <f t="shared" si="326"/>
        <v>Газлифт</v>
      </c>
      <c r="DB470" s="146">
        <f t="shared" si="341"/>
        <v>10.032</v>
      </c>
      <c r="DC470" s="142">
        <f t="shared" si="342"/>
        <v>12</v>
      </c>
      <c r="DD470" s="119">
        <f t="shared" si="350"/>
        <v>0</v>
      </c>
      <c r="DE470" s="115">
        <f t="shared" si="343"/>
        <v>3.8</v>
      </c>
      <c r="DF470" s="121">
        <f t="shared" si="328"/>
        <v>7.2</v>
      </c>
      <c r="DG470" s="115">
        <f t="shared" si="329"/>
        <v>378.78787878787881</v>
      </c>
      <c r="DH470" s="115">
        <f t="shared" si="330"/>
        <v>56</v>
      </c>
      <c r="DI470" s="147"/>
      <c r="DJ470" s="111" t="s">
        <v>197</v>
      </c>
      <c r="DK470" s="112">
        <v>43976</v>
      </c>
      <c r="DL470" s="113">
        <f t="shared" ca="1" si="359"/>
        <v>1128</v>
      </c>
      <c r="DM470" s="114"/>
      <c r="DN470" s="114"/>
      <c r="DO470" s="114"/>
      <c r="DP470" s="114"/>
      <c r="DQ470" s="112"/>
      <c r="DR470" s="114"/>
      <c r="DS470" s="114"/>
      <c r="DT470" s="115">
        <v>54</v>
      </c>
      <c r="DU470" s="116">
        <f t="shared" si="360"/>
        <v>0.22835279903342734</v>
      </c>
      <c r="DV470" s="117">
        <f t="shared" si="361"/>
        <v>10.308758759565045</v>
      </c>
      <c r="DW470" s="118">
        <f t="shared" si="362"/>
        <v>12.331051147805077</v>
      </c>
      <c r="DX470" s="119">
        <f t="shared" si="331"/>
        <v>0</v>
      </c>
      <c r="DY470" s="115">
        <f t="shared" si="363"/>
        <v>3.9048328634716083</v>
      </c>
      <c r="DZ470" s="117">
        <f t="shared" si="364"/>
        <v>0.2767587595650447</v>
      </c>
      <c r="EA470" s="120">
        <f t="shared" si="364"/>
        <v>0.33105114780507705</v>
      </c>
      <c r="EB470" s="119">
        <f t="shared" si="364"/>
        <v>0</v>
      </c>
      <c r="EC470" s="121">
        <f t="shared" si="365"/>
        <v>0.10483286347160847</v>
      </c>
      <c r="ED470" s="122"/>
      <c r="EE470" s="145">
        <v>65</v>
      </c>
      <c r="EF470" s="115">
        <v>28</v>
      </c>
      <c r="EG470" s="115">
        <v>46</v>
      </c>
      <c r="EH470" s="115">
        <v>27</v>
      </c>
      <c r="EI470" s="128" t="s">
        <v>195</v>
      </c>
      <c r="EJ470" s="121">
        <v>24</v>
      </c>
      <c r="EK470" s="121">
        <v>0</v>
      </c>
      <c r="EL470" s="149">
        <v>9.613999999999999</v>
      </c>
      <c r="EM470" s="142">
        <v>11.5</v>
      </c>
      <c r="EN470" s="119">
        <v>0</v>
      </c>
      <c r="EO470" s="115">
        <v>8.8000000000000007</v>
      </c>
      <c r="EP470" s="115">
        <v>166.42396505096741</v>
      </c>
      <c r="EQ470" s="115">
        <v>70</v>
      </c>
      <c r="ER470" s="115">
        <v>7.2</v>
      </c>
      <c r="ES470" s="115">
        <v>58</v>
      </c>
      <c r="ET470" s="150">
        <v>0.23</v>
      </c>
      <c r="EU470" s="145">
        <f t="shared" si="332"/>
        <v>65</v>
      </c>
      <c r="EV470" s="115">
        <f t="shared" si="333"/>
        <v>27</v>
      </c>
      <c r="EW470" s="115">
        <f t="shared" si="333"/>
        <v>47</v>
      </c>
      <c r="EX470" s="115">
        <f t="shared" si="333"/>
        <v>26</v>
      </c>
      <c r="EY470" s="115" t="str">
        <f t="shared" si="357"/>
        <v>Постоянный</v>
      </c>
      <c r="EZ470" s="115">
        <f t="shared" si="357"/>
        <v>24</v>
      </c>
      <c r="FA470" s="115">
        <f t="shared" si="357"/>
        <v>0</v>
      </c>
      <c r="FB470" s="149">
        <f t="shared" si="345"/>
        <v>10.032</v>
      </c>
      <c r="FC470" s="142">
        <f t="shared" si="345"/>
        <v>12</v>
      </c>
      <c r="FD470" s="119">
        <f t="shared" si="345"/>
        <v>0</v>
      </c>
      <c r="FE470" s="121">
        <f t="shared" si="344"/>
        <v>11</v>
      </c>
      <c r="FF470" s="121">
        <f t="shared" si="347"/>
        <v>378.78787878787881</v>
      </c>
      <c r="FG470" s="121">
        <f t="shared" si="334"/>
        <v>71</v>
      </c>
      <c r="FH470" s="121">
        <f t="shared" si="358"/>
        <v>7.2</v>
      </c>
      <c r="FI470" s="121">
        <f t="shared" si="355"/>
        <v>56</v>
      </c>
      <c r="FJ470" s="144">
        <f t="shared" si="335"/>
        <v>0.23076923076923078</v>
      </c>
      <c r="FK470" s="132">
        <f t="shared" si="336"/>
        <v>0</v>
      </c>
      <c r="FL470" s="115">
        <f t="shared" si="336"/>
        <v>-1</v>
      </c>
      <c r="FM470" s="115">
        <f t="shared" si="336"/>
        <v>1</v>
      </c>
      <c r="FN470" s="115">
        <f t="shared" si="336"/>
        <v>-1</v>
      </c>
      <c r="FO470" s="115">
        <f t="shared" si="354"/>
        <v>0</v>
      </c>
      <c r="FP470" s="115">
        <f t="shared" si="354"/>
        <v>0</v>
      </c>
      <c r="FQ470" s="149">
        <f t="shared" si="354"/>
        <v>0.41800000000000104</v>
      </c>
      <c r="FR470" s="142">
        <f t="shared" si="354"/>
        <v>0.5</v>
      </c>
      <c r="FS470" s="119">
        <f t="shared" si="354"/>
        <v>0</v>
      </c>
      <c r="FT470" s="121">
        <f t="shared" si="353"/>
        <v>2.1999999999999993</v>
      </c>
      <c r="FU470" s="121">
        <f t="shared" si="337"/>
        <v>1</v>
      </c>
      <c r="FV470" s="121">
        <f t="shared" si="337"/>
        <v>0</v>
      </c>
      <c r="FW470" s="121">
        <f t="shared" si="338"/>
        <v>212.3639137369114</v>
      </c>
      <c r="FX470" s="121">
        <f t="shared" si="339"/>
        <v>-2</v>
      </c>
      <c r="FY470" s="144">
        <f t="shared" si="339"/>
        <v>7.6923076923077205E-4</v>
      </c>
      <c r="FZ470" s="145"/>
      <c r="GA470" s="151"/>
      <c r="GB470" s="145" t="s">
        <v>199</v>
      </c>
      <c r="GC470" s="151" t="s">
        <v>415</v>
      </c>
      <c r="GD470" s="997" t="s">
        <v>202</v>
      </c>
      <c r="GE470" s="1004" t="s">
        <v>199</v>
      </c>
      <c r="GF470" s="1004">
        <v>-1.7555999999999994</v>
      </c>
      <c r="GG470" s="1004"/>
      <c r="GH470" s="1004">
        <v>0</v>
      </c>
      <c r="GI470" s="145"/>
      <c r="GJ470" s="996">
        <v>0</v>
      </c>
      <c r="GK470" s="145" t="s">
        <v>221</v>
      </c>
      <c r="GL470" s="996">
        <v>-2.9260000000000019</v>
      </c>
      <c r="GM470" s="1005" t="s">
        <v>199</v>
      </c>
      <c r="GN470" s="996">
        <v>2.1736000000000004</v>
      </c>
      <c r="GO470" s="1006" t="s">
        <v>199</v>
      </c>
      <c r="GP470" s="996">
        <v>1.8141200000000008</v>
      </c>
      <c r="GQ470" s="1006"/>
      <c r="GR470" s="996">
        <v>0</v>
      </c>
      <c r="GS470" s="1006"/>
      <c r="GT470" s="996">
        <v>-5.852000000000146E-2</v>
      </c>
      <c r="GU470" s="1006"/>
      <c r="GV470" s="996">
        <v>-0.83599999999999852</v>
      </c>
      <c r="GW470" s="1006" t="s">
        <v>199</v>
      </c>
      <c r="GX470" s="996">
        <v>1.170399999999999</v>
      </c>
      <c r="GY470" s="1006" t="s">
        <v>199</v>
      </c>
      <c r="GZ470" s="996">
        <v>-2.1568799999999992</v>
      </c>
      <c r="HA470" s="1006"/>
      <c r="HB470" s="996">
        <v>-0.26752000000000109</v>
      </c>
      <c r="HC470" s="1006" t="s">
        <v>223</v>
      </c>
      <c r="HD470" s="996">
        <v>-0.83599999999999852</v>
      </c>
      <c r="HE470" s="1006" t="s">
        <v>199</v>
      </c>
      <c r="HF470" s="996">
        <v>1.9729600000000005</v>
      </c>
      <c r="HG470" s="1006" t="s">
        <v>199</v>
      </c>
      <c r="HH470" s="996">
        <v>-1.2205600000000008</v>
      </c>
      <c r="HI470" s="1006"/>
      <c r="HJ470" s="996">
        <v>-0.58520000000000039</v>
      </c>
      <c r="HK470" s="1006"/>
      <c r="HL470" s="996">
        <v>0</v>
      </c>
      <c r="HM470" s="1006" t="s">
        <v>199</v>
      </c>
      <c r="HN470" s="996">
        <v>-1.4546400000000013</v>
      </c>
      <c r="HO470" s="1006"/>
      <c r="HP470" s="996">
        <v>0</v>
      </c>
      <c r="HQ470" s="1006"/>
      <c r="HR470" s="996">
        <v>0</v>
      </c>
      <c r="HS470" s="1006" t="s">
        <v>643</v>
      </c>
      <c r="HT470" s="996">
        <v>0</v>
      </c>
      <c r="HU470" s="1006" t="s">
        <v>223</v>
      </c>
      <c r="HV470" s="996">
        <v>-2.8173199999999987</v>
      </c>
      <c r="HW470" s="1006"/>
      <c r="HX470" s="996">
        <v>0</v>
      </c>
      <c r="HY470" s="1006"/>
      <c r="HZ470" s="996">
        <v>0</v>
      </c>
      <c r="IA470" s="1006"/>
      <c r="IB470" s="996">
        <v>-0.22571999999999903</v>
      </c>
      <c r="IC470" s="1006" t="s">
        <v>223</v>
      </c>
      <c r="ID470" s="996">
        <v>-5.534320000000001</v>
      </c>
      <c r="IE470" s="1006" t="s">
        <v>199</v>
      </c>
      <c r="IF470" s="996">
        <v>-3.0095999999999989</v>
      </c>
      <c r="IG470" s="1006" t="s">
        <v>223</v>
      </c>
      <c r="IH470" s="996">
        <v>-1.4211999999999989</v>
      </c>
      <c r="II470" s="1006"/>
      <c r="IJ470" s="996">
        <v>0</v>
      </c>
      <c r="IK470" s="1006"/>
      <c r="IL470" s="996">
        <v>0</v>
      </c>
      <c r="IM470" s="1006"/>
      <c r="IN470" s="996">
        <v>0</v>
      </c>
      <c r="IO470" s="1006" t="s">
        <v>239</v>
      </c>
      <c r="IP470" s="996">
        <v>-0.83600000000000207</v>
      </c>
      <c r="IQ470" s="1006" t="s">
        <v>203</v>
      </c>
      <c r="IR470" s="996">
        <v>-3.8455999999999975</v>
      </c>
      <c r="IS470" s="1006" t="s">
        <v>203</v>
      </c>
      <c r="IT470" s="996">
        <v>-3.4276000000000053</v>
      </c>
      <c r="IU470" s="1006" t="s">
        <v>203</v>
      </c>
      <c r="IV470" s="996">
        <v>-5.3253199999999978</v>
      </c>
      <c r="IW470" s="1006"/>
      <c r="IX470" s="996"/>
      <c r="IY470" s="1006" t="s">
        <v>25</v>
      </c>
      <c r="IZ470" s="996">
        <v>41</v>
      </c>
      <c r="JA470" s="1006"/>
      <c r="JB470" s="996">
        <v>0</v>
      </c>
      <c r="JC470" s="1006"/>
      <c r="JD470" s="996" t="e">
        <v>#VALUE!</v>
      </c>
      <c r="JE470" s="1006"/>
      <c r="JF470" s="996">
        <v>0</v>
      </c>
      <c r="JG470" s="1006"/>
      <c r="JH470" s="996">
        <v>0</v>
      </c>
      <c r="JI470" s="1006"/>
      <c r="JJ470" s="996">
        <v>0</v>
      </c>
      <c r="JK470" s="1007"/>
      <c r="JL470" s="1007">
        <v>0</v>
      </c>
      <c r="JM470" s="1007"/>
      <c r="JN470" s="1007">
        <v>0</v>
      </c>
      <c r="JO470" s="1008"/>
      <c r="JP470" s="1007"/>
      <c r="JQ470" s="1008"/>
      <c r="JR470" s="1007"/>
      <c r="JS470" s="1008"/>
      <c r="JT470" s="1007"/>
      <c r="JU470" s="1008"/>
      <c r="JV470" s="1007"/>
      <c r="JW470" s="1008"/>
      <c r="JX470" s="1007"/>
      <c r="JY470" s="1008"/>
      <c r="JZ470" s="1007"/>
      <c r="KA470" s="1008"/>
      <c r="KB470" s="1007"/>
      <c r="KC470" s="1008"/>
      <c r="KD470" s="1007"/>
      <c r="KE470" s="1008"/>
      <c r="KF470" s="1007"/>
      <c r="KG470" s="1008"/>
      <c r="KH470" s="1007"/>
      <c r="KI470" s="1008"/>
      <c r="KJ470" s="1007"/>
      <c r="KK470" s="1008"/>
      <c r="KL470" s="1007"/>
      <c r="KM470" s="1008"/>
      <c r="KN470" s="1007"/>
      <c r="KO470" s="1008"/>
      <c r="KP470" s="1007"/>
      <c r="KQ470" s="1008"/>
      <c r="KR470" s="1007"/>
      <c r="KS470" s="1008"/>
      <c r="KT470" s="1007"/>
      <c r="KU470" s="1008"/>
      <c r="KV470" s="1007"/>
      <c r="KW470" s="1008"/>
      <c r="KX470" s="1007"/>
      <c r="KY470" s="1008"/>
      <c r="KZ470" s="1007"/>
      <c r="LA470" s="1008"/>
      <c r="LB470" s="1007"/>
      <c r="LC470" s="1008"/>
      <c r="LD470" s="1007"/>
      <c r="LE470" s="1008"/>
      <c r="LF470" s="1007"/>
      <c r="LG470" s="1008"/>
      <c r="LH470" s="1007"/>
      <c r="LI470" s="1008"/>
      <c r="LJ470" s="1007"/>
      <c r="LK470" s="1008"/>
      <c r="LL470" s="1007"/>
      <c r="LM470" s="1008"/>
      <c r="LN470" s="1007"/>
      <c r="LO470" s="1008"/>
      <c r="LP470" s="1007"/>
      <c r="LQ470" s="1008"/>
      <c r="LR470" s="1007"/>
      <c r="LS470" s="1008"/>
      <c r="LT470" s="1007"/>
      <c r="LU470" s="1008"/>
      <c r="LV470" s="1007"/>
      <c r="LW470" s="1008"/>
      <c r="LX470" s="1007"/>
      <c r="LY470" s="1009"/>
      <c r="LZ470" s="1010"/>
      <c r="MA470" s="1011"/>
      <c r="MB470" s="1012"/>
      <c r="MC470" s="995"/>
      <c r="MD470" s="996"/>
      <c r="ME470" s="997" t="s">
        <v>202</v>
      </c>
      <c r="MF470" s="997"/>
      <c r="MG470" s="998"/>
      <c r="NR470" s="1000"/>
      <c r="NS470" s="1000"/>
      <c r="NT470" s="1001"/>
      <c r="NU470" s="1000"/>
      <c r="NV470" s="1001"/>
      <c r="NX470" s="1002"/>
      <c r="NZ470" s="1001"/>
      <c r="OA470" s="1001"/>
      <c r="OC470" s="1003"/>
      <c r="OD470" s="1003"/>
      <c r="OE470" s="1001"/>
      <c r="OF470" s="1003"/>
      <c r="OG470" s="1003"/>
      <c r="QX470" s="1000">
        <f>CN470-CA470</f>
        <v>29</v>
      </c>
      <c r="ASU470" s="999" t="s">
        <v>208</v>
      </c>
    </row>
    <row r="471" spans="1:466 1191:1191" ht="21" customHeight="1" x14ac:dyDescent="0.25">
      <c r="A471" s="982">
        <f t="shared" si="323"/>
        <v>1552</v>
      </c>
      <c r="B471" s="124">
        <f>SUBTOTAL(103,$J$29:J471)</f>
        <v>443</v>
      </c>
      <c r="C471" s="126">
        <v>45068</v>
      </c>
      <c r="D471" s="124" t="s">
        <v>176</v>
      </c>
      <c r="E471" s="127" t="s">
        <v>177</v>
      </c>
      <c r="F471" s="128" t="s">
        <v>177</v>
      </c>
      <c r="G471" s="127" t="s">
        <v>178</v>
      </c>
      <c r="H471" s="127" t="s">
        <v>179</v>
      </c>
      <c r="I471" s="127" t="s">
        <v>1293</v>
      </c>
      <c r="J471" s="152">
        <v>1552</v>
      </c>
      <c r="K471" s="127" t="s">
        <v>1293</v>
      </c>
      <c r="L471" s="130">
        <v>43327</v>
      </c>
      <c r="M471" s="127" t="s">
        <v>230</v>
      </c>
      <c r="N471" s="127" t="s">
        <v>184</v>
      </c>
      <c r="O471" s="127" t="s">
        <v>185</v>
      </c>
      <c r="P471" s="127" t="s">
        <v>186</v>
      </c>
      <c r="Q471" s="85" t="str">
        <f t="shared" si="367"/>
        <v/>
      </c>
      <c r="R471" s="130"/>
      <c r="S471" s="128"/>
      <c r="T471" s="131"/>
      <c r="U471" s="132">
        <v>203</v>
      </c>
      <c r="V471" s="121">
        <v>218.2</v>
      </c>
      <c r="W471" s="116">
        <v>0.98</v>
      </c>
      <c r="X471" s="116">
        <v>1.66</v>
      </c>
      <c r="Y471" s="116">
        <f t="shared" si="346"/>
        <v>0.98</v>
      </c>
      <c r="Z471" s="133">
        <v>1.454</v>
      </c>
      <c r="AA471" s="133">
        <v>0.83599999999999997</v>
      </c>
      <c r="AB471" s="133">
        <v>0.72</v>
      </c>
      <c r="AC471" s="121">
        <v>34.299999999999997</v>
      </c>
      <c r="AD471" s="134">
        <v>1.17</v>
      </c>
      <c r="AE471" s="124">
        <v>177.8</v>
      </c>
      <c r="AF471" s="128">
        <v>9.19</v>
      </c>
      <c r="AG471" s="128">
        <v>2495</v>
      </c>
      <c r="AH471" s="127">
        <v>3169</v>
      </c>
      <c r="AI471" s="127">
        <v>3272</v>
      </c>
      <c r="AJ471" s="135"/>
      <c r="AK471" s="128"/>
      <c r="AL471" s="131"/>
      <c r="AM471" s="124" t="s">
        <v>985</v>
      </c>
      <c r="AN471" s="136" t="s">
        <v>1742</v>
      </c>
      <c r="AO471" s="137" t="s">
        <v>1743</v>
      </c>
      <c r="AP471" s="128">
        <v>2505.58</v>
      </c>
      <c r="AQ471" s="128">
        <v>592.70000000000005</v>
      </c>
      <c r="AR471" s="128" t="s">
        <v>1744</v>
      </c>
      <c r="AS471" s="128">
        <v>114</v>
      </c>
      <c r="AT471" s="122">
        <v>7.37</v>
      </c>
      <c r="AU471" s="124" t="s">
        <v>189</v>
      </c>
      <c r="AV471" s="115">
        <f>VLOOKUP(J471,'[63]ТР нефть'!$J$28:$BP$638,39,0)</f>
        <v>470.00000009799999</v>
      </c>
      <c r="AW471" s="115" t="str">
        <f>VLOOKUP(J471,'[63]ТР нефть'!$J$28:$BP$638,40,0)</f>
        <v>ГП</v>
      </c>
      <c r="AX471" s="115">
        <f>VLOOKUP(J471,'[63]ТР нефть'!$J$28:$BP$638,41,0)</f>
        <v>930.00001523399999</v>
      </c>
      <c r="AY471" s="115" t="str">
        <f>VLOOKUP(J471,'[63]ТР нефть'!$J$28:$BP$638,42,0)</f>
        <v>ГП</v>
      </c>
      <c r="AZ471" s="115">
        <f>VLOOKUP(J471,'[63]ТР нефть'!$J$28:$BP$638,43,0)</f>
        <v>1290.000069141</v>
      </c>
      <c r="BA471" s="115" t="str">
        <f>VLOOKUP(J471,'[63]ТР нефть'!$J$28:$BP$638,44,0)</f>
        <v>ГП</v>
      </c>
      <c r="BB471" s="115">
        <f>VLOOKUP(J471,'[63]ТР нефть'!$J$28:$BP$638,45,0)</f>
        <v>1580.000005078</v>
      </c>
      <c r="BC471" s="115" t="str">
        <f>VLOOKUP(J471,'[63]ТР нефть'!$J$28:$BP$638,46,0)</f>
        <v>ГК74 1/8</v>
      </c>
      <c r="BD471" s="115">
        <f>VLOOKUP(J471,'[63]ТР нефть'!$J$28:$BP$638,47,0)</f>
        <v>1880.000000391</v>
      </c>
      <c r="BE471" s="115" t="str">
        <f>VLOOKUP(J471,'[63]ТР нефть'!$J$28:$BP$638,48,0)</f>
        <v>ЦКсОК 5/16</v>
      </c>
      <c r="BF471" s="115" t="str">
        <f>VLOOKUP(J471,'[63]ТР нефть'!$J$28:$BP$638,49,0)</f>
        <v>-</v>
      </c>
      <c r="BG471" s="115" t="str">
        <f>VLOOKUP(J471,'[63]ТР нефть'!$J$28:$BP$638,50,0)</f>
        <v>-</v>
      </c>
      <c r="BH471" s="115">
        <f>VLOOKUP(J471,'[63]ТР нефть'!$J$28:$BP$638,51,0)</f>
        <v>1890</v>
      </c>
      <c r="BI471" s="115" t="str">
        <f>VLOOKUP(J471,'[63]ТР нефть'!$J$28:$BP$638,52,0)</f>
        <v>закрыт</v>
      </c>
      <c r="BJ471" s="115" t="str">
        <f>IF(IFERROR(VLOOKUP(J471,'[63]ТР нефть'!$J$28:$BP$638,53,0),"-")=0,"-",IFERROR(VLOOKUP(J471,'[63]ТР нефть'!$J$28:$BP$638,53,0),"-"))</f>
        <v>-</v>
      </c>
      <c r="BK471" s="138" t="str">
        <f>IF(IFERROR(VLOOKUP(J471,'[63]ТР нефть'!$J$28:$BP$638,54,0),"-")=0,"-",IFERROR(VLOOKUP(J471,'[63]ТР нефть'!$J$28:$BP$638,54,0),"-"))</f>
        <v>-</v>
      </c>
      <c r="BL471" s="138" t="str">
        <f>IF(IFERROR(VLOOKUP(J471,'[63]ТР нефть'!$J$28:$BP$638,55,0),"-")=0,"-",IFERROR(VLOOKUP(J471,'[63]ТР нефть'!$J$28:$BP$638,55,0),"-"))</f>
        <v>-</v>
      </c>
      <c r="BM471" s="138" t="str">
        <f>IF(IFERROR(VLOOKUP(J471,'[63]ТР нефть'!$J$28:$BP$638,56,0),"-")=0,"-",IFERROR(VLOOKUP(J471,'[63]ТР нефть'!$J$28:$BP$638,56,0),"-"))</f>
        <v>-</v>
      </c>
      <c r="BN471" s="138" t="str">
        <f>IF(IFERROR(VLOOKUP(J471,'[63]ТР нефть'!$J$28:$BP$638,57,0),"-")=0,"-",IFERROR(VLOOKUP(J471,'[63]ТР нефть'!$J$28:$BP$638,57,0),"-"))</f>
        <v>-</v>
      </c>
      <c r="BO471" s="115" t="str">
        <f>IF(IFERROR(VLOOKUP(J471,'[63]ТР нефть'!$J$28:$BP$638,58,0),"-")=0,"-",IFERROR(VLOOKUP(J471,'[63]ТР нефть'!$J$28:$BP$638,58,0),"-"))</f>
        <v>-</v>
      </c>
      <c r="BP471" s="115" t="str">
        <f>IF(IFERROR(VLOOKUP(J471,'[63]ТР нефть'!$J$28:$BP$638,59,0),"-")=0,"-",IFERROR(VLOOKUP(J471,'[63]ТР нефть'!$J$28:$BP$638,59,0),"-"))</f>
        <v>-</v>
      </c>
      <c r="BQ471" s="138">
        <v>1860</v>
      </c>
      <c r="BR471" s="128">
        <v>1467.36</v>
      </c>
      <c r="BS471" s="115">
        <f t="shared" si="351"/>
        <v>392.6400000000001</v>
      </c>
      <c r="BT471" s="128">
        <v>73</v>
      </c>
      <c r="BU471" s="128">
        <v>5.5</v>
      </c>
      <c r="BV471" s="127">
        <v>65</v>
      </c>
      <c r="BW471" s="127" t="s">
        <v>217</v>
      </c>
      <c r="BX471" s="127" t="s">
        <v>195</v>
      </c>
      <c r="BY471" s="139">
        <v>24</v>
      </c>
      <c r="BZ471" s="139">
        <v>0</v>
      </c>
      <c r="CA471" s="138">
        <v>27</v>
      </c>
      <c r="CB471" s="138">
        <v>64</v>
      </c>
      <c r="CC471" s="138">
        <v>26</v>
      </c>
      <c r="CD471" s="135">
        <v>45017</v>
      </c>
      <c r="CE471" s="138">
        <v>122</v>
      </c>
      <c r="CF471" s="138">
        <v>68</v>
      </c>
      <c r="CG471" s="138" t="str">
        <f t="shared" si="366"/>
        <v>В работе</v>
      </c>
      <c r="CH471" s="138" t="s">
        <v>272</v>
      </c>
      <c r="CI471" s="138"/>
      <c r="CJ471" s="138"/>
      <c r="CK471" s="138">
        <f t="shared" si="356"/>
        <v>63</v>
      </c>
      <c r="CL471" s="99"/>
      <c r="CM471" s="99"/>
      <c r="CN471" s="140">
        <v>90</v>
      </c>
      <c r="CO471" s="141">
        <f t="shared" si="324"/>
        <v>1.4379199999999999</v>
      </c>
      <c r="CP471" s="142">
        <v>1.72</v>
      </c>
      <c r="CQ471" s="143">
        <v>0</v>
      </c>
      <c r="CR471" s="138">
        <v>9.6999999999999993</v>
      </c>
      <c r="CS471" s="139">
        <v>9</v>
      </c>
      <c r="CT471" s="138"/>
      <c r="CU471" s="138">
        <f t="shared" si="370"/>
        <v>0.69999999999999929</v>
      </c>
      <c r="CV471" s="115">
        <f t="shared" si="368"/>
        <v>486.81428730388296</v>
      </c>
      <c r="CW471" s="115">
        <f t="shared" si="325"/>
        <v>6259.0408367642158</v>
      </c>
      <c r="CX471" s="133">
        <f t="shared" si="369"/>
        <v>5.3749999999999999E-2</v>
      </c>
      <c r="CY471" s="116"/>
      <c r="CZ471" s="201"/>
      <c r="DA471" s="145" t="str">
        <f t="shared" si="326"/>
        <v>Газлифт</v>
      </c>
      <c r="DB471" s="146">
        <f t="shared" si="341"/>
        <v>1.4379199999999999</v>
      </c>
      <c r="DC471" s="142">
        <f t="shared" si="342"/>
        <v>1.72</v>
      </c>
      <c r="DD471" s="119">
        <f t="shared" si="350"/>
        <v>0</v>
      </c>
      <c r="DE471" s="115">
        <f t="shared" si="343"/>
        <v>0.69999999999999929</v>
      </c>
      <c r="DF471" s="121">
        <f t="shared" si="328"/>
        <v>9</v>
      </c>
      <c r="DG471" s="115">
        <f t="shared" si="329"/>
        <v>486.81428730388296</v>
      </c>
      <c r="DH471" s="115">
        <f t="shared" si="330"/>
        <v>90</v>
      </c>
      <c r="DI471" s="147"/>
      <c r="DJ471" s="111">
        <v>43661</v>
      </c>
      <c r="DK471" s="112">
        <v>43720</v>
      </c>
      <c r="DL471" s="113">
        <f t="shared" ca="1" si="359"/>
        <v>1384</v>
      </c>
      <c r="DM471" s="114"/>
      <c r="DN471" s="114"/>
      <c r="DO471" s="114"/>
      <c r="DP471" s="114"/>
      <c r="DQ471" s="112">
        <v>43327</v>
      </c>
      <c r="DR471" s="114" t="s">
        <v>324</v>
      </c>
      <c r="DS471" s="114"/>
      <c r="DT471" s="115">
        <v>60</v>
      </c>
      <c r="DU471" s="116">
        <f t="shared" si="360"/>
        <v>4.7100515463917539E-2</v>
      </c>
      <c r="DV471" s="117">
        <f t="shared" si="361"/>
        <v>2.4413139175257741</v>
      </c>
      <c r="DW471" s="118">
        <f t="shared" si="362"/>
        <v>2.9202319587628875</v>
      </c>
      <c r="DX471" s="119">
        <f t="shared" si="331"/>
        <v>0</v>
      </c>
      <c r="DY471" s="115">
        <f t="shared" si="363"/>
        <v>1.1884664948453603</v>
      </c>
      <c r="DZ471" s="117">
        <f t="shared" si="364"/>
        <v>1.0033939175257742</v>
      </c>
      <c r="EA471" s="120">
        <f t="shared" si="364"/>
        <v>1.2002319587628876</v>
      </c>
      <c r="EB471" s="119">
        <f t="shared" si="364"/>
        <v>0</v>
      </c>
      <c r="EC471" s="121">
        <f t="shared" si="365"/>
        <v>0.48846649484536098</v>
      </c>
      <c r="ED471" s="122"/>
      <c r="EE471" s="145">
        <v>65</v>
      </c>
      <c r="EF471" s="115">
        <v>27</v>
      </c>
      <c r="EG471" s="115">
        <v>64</v>
      </c>
      <c r="EH471" s="115">
        <v>26</v>
      </c>
      <c r="EI471" s="128" t="s">
        <v>195</v>
      </c>
      <c r="EJ471" s="121">
        <v>24</v>
      </c>
      <c r="EK471" s="121">
        <v>0</v>
      </c>
      <c r="EL471" s="149">
        <v>1.4379199999999999</v>
      </c>
      <c r="EM471" s="142">
        <v>1.72</v>
      </c>
      <c r="EN471" s="119">
        <v>0</v>
      </c>
      <c r="EO471" s="115">
        <v>9.6999999999999993</v>
      </c>
      <c r="EP471" s="115">
        <v>486.81428730388296</v>
      </c>
      <c r="EQ471" s="115">
        <v>68</v>
      </c>
      <c r="ER471" s="115">
        <v>9</v>
      </c>
      <c r="ES471" s="115">
        <v>90</v>
      </c>
      <c r="ET471" s="150">
        <v>5.3749999999999999E-2</v>
      </c>
      <c r="EU471" s="145">
        <f t="shared" si="332"/>
        <v>65</v>
      </c>
      <c r="EV471" s="115">
        <f t="shared" si="333"/>
        <v>27</v>
      </c>
      <c r="EW471" s="115">
        <f t="shared" si="333"/>
        <v>64</v>
      </c>
      <c r="EX471" s="115">
        <f t="shared" si="333"/>
        <v>26</v>
      </c>
      <c r="EY471" s="115" t="str">
        <f t="shared" si="357"/>
        <v>Постоянный</v>
      </c>
      <c r="EZ471" s="115">
        <f t="shared" si="357"/>
        <v>24</v>
      </c>
      <c r="FA471" s="115">
        <f t="shared" si="357"/>
        <v>0</v>
      </c>
      <c r="FB471" s="149">
        <f t="shared" si="345"/>
        <v>1.4379199999999999</v>
      </c>
      <c r="FC471" s="142">
        <f t="shared" si="345"/>
        <v>1.72</v>
      </c>
      <c r="FD471" s="119">
        <f t="shared" si="345"/>
        <v>0</v>
      </c>
      <c r="FE471" s="121">
        <f t="shared" si="344"/>
        <v>9.6999999999999993</v>
      </c>
      <c r="FF471" s="121">
        <f t="shared" si="347"/>
        <v>486.81428730388296</v>
      </c>
      <c r="FG471" s="121">
        <f t="shared" si="334"/>
        <v>68</v>
      </c>
      <c r="FH471" s="121">
        <f t="shared" si="358"/>
        <v>9</v>
      </c>
      <c r="FI471" s="121">
        <f t="shared" si="355"/>
        <v>90</v>
      </c>
      <c r="FJ471" s="144">
        <f t="shared" si="335"/>
        <v>5.3749999999999999E-2</v>
      </c>
      <c r="FK471" s="132">
        <f t="shared" si="336"/>
        <v>0</v>
      </c>
      <c r="FL471" s="115">
        <f t="shared" si="336"/>
        <v>0</v>
      </c>
      <c r="FM471" s="115">
        <f t="shared" si="336"/>
        <v>0</v>
      </c>
      <c r="FN471" s="115">
        <f t="shared" si="336"/>
        <v>0</v>
      </c>
      <c r="FO471" s="115">
        <f t="shared" si="354"/>
        <v>0</v>
      </c>
      <c r="FP471" s="115">
        <f t="shared" si="354"/>
        <v>0</v>
      </c>
      <c r="FQ471" s="149">
        <f t="shared" si="354"/>
        <v>0</v>
      </c>
      <c r="FR471" s="142">
        <f t="shared" si="354"/>
        <v>0</v>
      </c>
      <c r="FS471" s="119">
        <f t="shared" si="354"/>
        <v>0</v>
      </c>
      <c r="FT471" s="121">
        <f t="shared" si="353"/>
        <v>0</v>
      </c>
      <c r="FU471" s="121">
        <f t="shared" si="337"/>
        <v>0</v>
      </c>
      <c r="FV471" s="121">
        <f t="shared" si="337"/>
        <v>0</v>
      </c>
      <c r="FW471" s="121">
        <f t="shared" si="338"/>
        <v>0</v>
      </c>
      <c r="FX471" s="121">
        <f t="shared" si="339"/>
        <v>0</v>
      </c>
      <c r="FY471" s="144">
        <f t="shared" si="339"/>
        <v>0</v>
      </c>
      <c r="FZ471" s="145"/>
      <c r="GA471" s="151"/>
      <c r="GB471" s="145"/>
      <c r="GC471" s="151"/>
      <c r="GD471" s="997" t="s">
        <v>202</v>
      </c>
      <c r="GE471" s="1004"/>
      <c r="GF471" s="1004">
        <v>-0.81928000000000023</v>
      </c>
      <c r="GG471" s="1004"/>
      <c r="GH471" s="1004">
        <v>0.16740900000000014</v>
      </c>
      <c r="GI471" s="145" t="s">
        <v>933</v>
      </c>
      <c r="GJ471" s="996">
        <v>-5.8514147999999997</v>
      </c>
      <c r="GK471" s="145" t="s">
        <v>203</v>
      </c>
      <c r="GL471" s="996">
        <v>-10.224093488400001</v>
      </c>
      <c r="GM471" s="1005" t="s">
        <v>25</v>
      </c>
      <c r="GN471" s="996">
        <v>14.8263152884</v>
      </c>
      <c r="GO471" s="1006"/>
      <c r="GP471" s="996">
        <v>0</v>
      </c>
      <c r="GQ471" s="1006"/>
      <c r="GR471" s="996">
        <v>0</v>
      </c>
      <c r="GS471" s="1006"/>
      <c r="GT471" s="996">
        <v>0</v>
      </c>
      <c r="GU471" s="1006"/>
      <c r="GV471" s="996">
        <v>2.0849839999999999</v>
      </c>
      <c r="GW471" s="1006"/>
      <c r="GX471" s="996">
        <v>0</v>
      </c>
      <c r="GY471" s="1006" t="s">
        <v>199</v>
      </c>
      <c r="GZ471" s="996">
        <v>-1.4212000000000002</v>
      </c>
      <c r="HA471" s="1006"/>
      <c r="HB471" s="996">
        <v>0</v>
      </c>
      <c r="HC471" s="1006" t="s">
        <v>204</v>
      </c>
      <c r="HD471" s="996">
        <v>0</v>
      </c>
      <c r="HE471" s="1006"/>
      <c r="HF471" s="996">
        <v>0.79420000000000024</v>
      </c>
      <c r="HG471" s="1006"/>
      <c r="HH471" s="996">
        <v>0</v>
      </c>
      <c r="HI471" s="1006"/>
      <c r="HJ471" s="996">
        <v>0</v>
      </c>
      <c r="HK471" s="1006"/>
      <c r="HL471" s="996">
        <v>0.64372000000000007</v>
      </c>
      <c r="HM471" s="1006"/>
      <c r="HN471" s="996">
        <v>-0.61864000000000008</v>
      </c>
      <c r="HO471" s="1006"/>
      <c r="HP471" s="996">
        <v>0</v>
      </c>
      <c r="HQ471" s="1006"/>
      <c r="HR471" s="996">
        <v>0</v>
      </c>
      <c r="HS471" s="1006"/>
      <c r="HT471" s="996">
        <v>0</v>
      </c>
      <c r="HU471" s="1006"/>
      <c r="HV471" s="996">
        <v>-0.23407999999999984</v>
      </c>
      <c r="HW471" s="1006" t="s">
        <v>199</v>
      </c>
      <c r="HX471" s="996">
        <v>-0.9992942079999998</v>
      </c>
      <c r="HY471" s="1006"/>
      <c r="HZ471" s="996">
        <v>0</v>
      </c>
      <c r="IA471" s="1006" t="s">
        <v>199</v>
      </c>
      <c r="IB471" s="996">
        <v>1.2751742079999997</v>
      </c>
      <c r="IC471" s="1006"/>
      <c r="ID471" s="996">
        <v>-0.23408000000000007</v>
      </c>
      <c r="IE471" s="1006"/>
      <c r="IF471" s="996">
        <v>0</v>
      </c>
      <c r="IG471" s="1006"/>
      <c r="IH471" s="996">
        <v>-0.79419999999999957</v>
      </c>
      <c r="II471" s="1006"/>
      <c r="IJ471" s="996">
        <v>-0.75240000000000018</v>
      </c>
      <c r="IK471" s="1006"/>
      <c r="IL471" s="996">
        <v>0</v>
      </c>
      <c r="IM471" s="1006"/>
      <c r="IN471" s="996">
        <v>0</v>
      </c>
      <c r="IO471" s="1006" t="s">
        <v>199</v>
      </c>
      <c r="IP471" s="996">
        <v>-1.8392000000000004</v>
      </c>
      <c r="IQ471" s="1006" t="s">
        <v>204</v>
      </c>
      <c r="IR471" s="996">
        <v>3.2604000000000002</v>
      </c>
      <c r="IS471" s="1006"/>
      <c r="IT471" s="996">
        <v>0</v>
      </c>
      <c r="IU471" s="1006" t="s">
        <v>204</v>
      </c>
      <c r="IV471" s="996">
        <v>-3.3690799999999999</v>
      </c>
      <c r="IW471" s="1006"/>
      <c r="IX471" s="996">
        <v>0</v>
      </c>
      <c r="IY471" s="1006"/>
      <c r="IZ471" s="996">
        <v>-0.70424639999999972</v>
      </c>
      <c r="JA471" s="1006"/>
      <c r="JB471" s="996">
        <v>0</v>
      </c>
      <c r="JC471" s="1006" t="s">
        <v>204</v>
      </c>
      <c r="JD471" s="996">
        <v>-4.0358736000000004</v>
      </c>
      <c r="JE471" s="1006" t="s">
        <v>204</v>
      </c>
      <c r="JF471" s="996">
        <v>8.8615999999999993</v>
      </c>
      <c r="JG471" s="1006"/>
      <c r="JH471" s="996">
        <v>0</v>
      </c>
      <c r="JI471" s="1006"/>
      <c r="JJ471" s="996">
        <v>0</v>
      </c>
      <c r="JK471" s="1007"/>
      <c r="JL471" s="1007">
        <v>0</v>
      </c>
      <c r="JM471" s="1007" t="s">
        <v>199</v>
      </c>
      <c r="JN471" s="1007">
        <v>-3.6234112640000005</v>
      </c>
      <c r="JO471" s="1008"/>
      <c r="JP471" s="1007">
        <v>0.19655948400000156</v>
      </c>
      <c r="JQ471" s="1008">
        <v>0</v>
      </c>
      <c r="JR471" s="1007">
        <v>0</v>
      </c>
      <c r="JS471" s="1008">
        <v>0</v>
      </c>
      <c r="JT471" s="1007">
        <v>0</v>
      </c>
      <c r="JU471" s="1008" t="s">
        <v>204</v>
      </c>
      <c r="JV471" s="1007">
        <v>-2.6759482200000013</v>
      </c>
      <c r="JW471" s="1008" t="s">
        <v>197</v>
      </c>
      <c r="JX471" s="1007">
        <v>0</v>
      </c>
      <c r="JY471" s="1008" t="s">
        <v>240</v>
      </c>
      <c r="JZ471" s="1007">
        <v>-1.4772119999999989</v>
      </c>
      <c r="KA471" s="1008"/>
      <c r="KB471" s="1007">
        <v>0</v>
      </c>
      <c r="KC471" s="1008"/>
      <c r="KD471" s="1007">
        <v>0</v>
      </c>
      <c r="KE471" s="1008" t="s">
        <v>240</v>
      </c>
      <c r="KF471" s="1007">
        <v>-8.898710040000001</v>
      </c>
      <c r="KG471" s="1008"/>
      <c r="KH471" s="1007">
        <v>0</v>
      </c>
      <c r="KI471" s="1008"/>
      <c r="KJ471" s="1007">
        <v>17.89992204</v>
      </c>
      <c r="KK471" s="1008"/>
      <c r="KL471" s="1007">
        <v>-32.186</v>
      </c>
      <c r="KM471" s="1008"/>
      <c r="KN471" s="1007">
        <v>8.3600000000004115E-2</v>
      </c>
      <c r="KO471" s="1008"/>
      <c r="KP471" s="1007"/>
      <c r="KQ471" s="1008">
        <v>0</v>
      </c>
      <c r="KR471" s="1007">
        <v>0</v>
      </c>
      <c r="KS471" s="1008">
        <v>0</v>
      </c>
      <c r="KT471" s="1007">
        <v>0</v>
      </c>
      <c r="KU471" s="1008">
        <v>0</v>
      </c>
      <c r="KV471" s="1007">
        <v>0</v>
      </c>
      <c r="KW471" s="1008">
        <v>0</v>
      </c>
      <c r="KX471" s="1007">
        <v>0</v>
      </c>
      <c r="KY471" s="1008">
        <v>0</v>
      </c>
      <c r="KZ471" s="1007">
        <v>0</v>
      </c>
      <c r="LA471" s="1008">
        <v>0</v>
      </c>
      <c r="LB471" s="1007">
        <v>0</v>
      </c>
      <c r="LC471" s="1008">
        <v>0</v>
      </c>
      <c r="LD471" s="1007">
        <v>0</v>
      </c>
      <c r="LE471" s="1008">
        <v>0</v>
      </c>
      <c r="LF471" s="1007">
        <v>0</v>
      </c>
      <c r="LG471" s="1008">
        <v>0</v>
      </c>
      <c r="LH471" s="1007">
        <v>0</v>
      </c>
      <c r="LI471" s="1008">
        <v>0</v>
      </c>
      <c r="LJ471" s="1007">
        <v>0</v>
      </c>
      <c r="LK471" s="1008">
        <v>0</v>
      </c>
      <c r="LL471" s="1007">
        <v>0</v>
      </c>
      <c r="LM471" s="1008">
        <v>0</v>
      </c>
      <c r="LN471" s="1007">
        <v>0</v>
      </c>
      <c r="LO471" s="1008">
        <v>0</v>
      </c>
      <c r="LP471" s="1007">
        <v>0</v>
      </c>
      <c r="LQ471" s="1008">
        <v>0</v>
      </c>
      <c r="LR471" s="1007">
        <v>0</v>
      </c>
      <c r="LS471" s="1008">
        <v>0</v>
      </c>
      <c r="LT471" s="1007">
        <v>0</v>
      </c>
      <c r="LU471" s="1008">
        <v>0</v>
      </c>
      <c r="LV471" s="1007">
        <v>0</v>
      </c>
      <c r="LW471" s="1008">
        <v>0</v>
      </c>
      <c r="LX471" s="1007">
        <v>0</v>
      </c>
      <c r="LY471" s="1009">
        <v>0</v>
      </c>
      <c r="LZ471" s="1010">
        <v>0</v>
      </c>
      <c r="MA471" s="1011">
        <v>0</v>
      </c>
      <c r="MB471" s="1012">
        <v>0</v>
      </c>
      <c r="MC471" s="995"/>
      <c r="MD471" s="996"/>
      <c r="ME471" s="997" t="s">
        <v>202</v>
      </c>
      <c r="MF471" s="997"/>
      <c r="MG471" s="998"/>
      <c r="NR471" s="1000"/>
      <c r="NS471" s="1000"/>
      <c r="NT471" s="1001"/>
      <c r="NU471" s="1000"/>
      <c r="NV471" s="1001"/>
      <c r="NX471" s="1002"/>
      <c r="NZ471" s="1001"/>
      <c r="OA471" s="1001"/>
      <c r="OC471" s="1003"/>
      <c r="OD471" s="1003"/>
      <c r="OE471" s="1001"/>
      <c r="OF471" s="1003"/>
      <c r="OG471" s="1003"/>
      <c r="QX471" s="1000">
        <f>CN471-CA471</f>
        <v>63</v>
      </c>
      <c r="ASU471" s="999" t="s">
        <v>225</v>
      </c>
    </row>
    <row r="472" spans="1:466 1191:1191" ht="21" customHeight="1" x14ac:dyDescent="0.25">
      <c r="A472" s="982">
        <f t="shared" si="323"/>
        <v>1553</v>
      </c>
      <c r="B472" s="124">
        <f>SUBTOTAL(103,$J$29:J472)</f>
        <v>444</v>
      </c>
      <c r="C472" s="126">
        <v>45068</v>
      </c>
      <c r="D472" s="124" t="s">
        <v>176</v>
      </c>
      <c r="E472" s="127" t="s">
        <v>177</v>
      </c>
      <c r="F472" s="128" t="s">
        <v>177</v>
      </c>
      <c r="G472" s="127" t="s">
        <v>178</v>
      </c>
      <c r="H472" s="127" t="s">
        <v>179</v>
      </c>
      <c r="I472" s="127" t="s">
        <v>1293</v>
      </c>
      <c r="J472" s="152">
        <v>1553</v>
      </c>
      <c r="K472" s="127" t="s">
        <v>1293</v>
      </c>
      <c r="L472" s="130">
        <v>43098</v>
      </c>
      <c r="M472" s="127" t="s">
        <v>230</v>
      </c>
      <c r="N472" s="127" t="s">
        <v>184</v>
      </c>
      <c r="O472" s="127" t="s">
        <v>185</v>
      </c>
      <c r="P472" s="127" t="s">
        <v>186</v>
      </c>
      <c r="Q472" s="85">
        <f t="shared" si="367"/>
        <v>-4</v>
      </c>
      <c r="R472" s="130">
        <v>43034</v>
      </c>
      <c r="S472" s="128" t="s">
        <v>747</v>
      </c>
      <c r="T472" s="131" t="s">
        <v>1745</v>
      </c>
      <c r="U472" s="132">
        <v>203</v>
      </c>
      <c r="V472" s="121">
        <v>218.2</v>
      </c>
      <c r="W472" s="116">
        <v>0.98</v>
      </c>
      <c r="X472" s="116">
        <v>1.66</v>
      </c>
      <c r="Y472" s="116">
        <f t="shared" si="346"/>
        <v>0.98585574557310285</v>
      </c>
      <c r="Z472" s="133">
        <v>1.454</v>
      </c>
      <c r="AA472" s="133">
        <v>0.83599999999999997</v>
      </c>
      <c r="AB472" s="133">
        <v>0.72</v>
      </c>
      <c r="AC472" s="121">
        <v>34.299999999999997</v>
      </c>
      <c r="AD472" s="134">
        <v>1.17</v>
      </c>
      <c r="AE472" s="124">
        <v>177.8</v>
      </c>
      <c r="AF472" s="128">
        <v>9.19</v>
      </c>
      <c r="AG472" s="128">
        <v>2220</v>
      </c>
      <c r="AH472" s="138">
        <v>3083.9</v>
      </c>
      <c r="AI472" s="138">
        <v>3083.9</v>
      </c>
      <c r="AJ472" s="135">
        <v>43033</v>
      </c>
      <c r="AK472" s="128" t="s">
        <v>1018</v>
      </c>
      <c r="AL472" s="131"/>
      <c r="AM472" s="124" t="s">
        <v>985</v>
      </c>
      <c r="AN472" s="136" t="s">
        <v>1746</v>
      </c>
      <c r="AO472" s="137">
        <v>60</v>
      </c>
      <c r="AP472" s="128">
        <v>2313.41</v>
      </c>
      <c r="AQ472" s="128">
        <v>385</v>
      </c>
      <c r="AR472" s="128" t="s">
        <v>1747</v>
      </c>
      <c r="AS472" s="128">
        <v>114</v>
      </c>
      <c r="AT472" s="122">
        <v>7.37</v>
      </c>
      <c r="AU472" s="124" t="s">
        <v>189</v>
      </c>
      <c r="AV472" s="115">
        <f>VLOOKUP(J472,'[63]ТР нефть'!$J$28:$BP$638,39,0)</f>
        <v>549.99999140600005</v>
      </c>
      <c r="AW472" s="115" t="str">
        <f>VLOOKUP(J472,'[63]ТР нефть'!$J$28:$BP$638,40,0)</f>
        <v>ГП</v>
      </c>
      <c r="AX472" s="115">
        <f>VLOOKUP(J472,'[63]ТР нефть'!$J$28:$BP$638,41,0)</f>
        <v>949.99998515599998</v>
      </c>
      <c r="AY472" s="115" t="str">
        <f>VLOOKUP(J472,'[63]ТР нефть'!$J$28:$BP$638,42,0)</f>
        <v>ГП</v>
      </c>
      <c r="AZ472" s="115">
        <f>VLOOKUP(J472,'[63]ТР нефть'!$J$28:$BP$638,43,0)</f>
        <v>1249.9999804690001</v>
      </c>
      <c r="BA472" s="115" t="str">
        <f>VLOOKUP(J472,'[63]ТР нефть'!$J$28:$BP$638,44,0)</f>
        <v>ГП</v>
      </c>
      <c r="BB472" s="115">
        <f>VLOOKUP(J472,'[63]ТР нефть'!$J$28:$BP$638,45,0)</f>
        <v>1480.000006641</v>
      </c>
      <c r="BC472" s="115" t="str">
        <f>VLOOKUP(J472,'[63]ТР нефть'!$J$28:$BP$638,46,0)</f>
        <v>ГК77 1/8</v>
      </c>
      <c r="BD472" s="115">
        <f>VLOOKUP(J472,'[63]ТР нефть'!$J$28:$BP$638,47,0)</f>
        <v>1649.999974219</v>
      </c>
      <c r="BE472" s="115" t="str">
        <f>VLOOKUP(J472,'[63]ТР нефть'!$J$28:$BP$638,48,0)</f>
        <v>ГК76 1/8</v>
      </c>
      <c r="BF472" s="115">
        <f>VLOOKUP(J472,'[63]ТР нефть'!$J$28:$BP$638,49,0)</f>
        <v>1800</v>
      </c>
      <c r="BG472" s="115" t="str">
        <f>VLOOKUP(J472,'[63]ТР нефть'!$J$28:$BP$638,50,0)</f>
        <v>ЦКсОК 5/16</v>
      </c>
      <c r="BH472" s="115">
        <f>VLOOKUP(J472,'[63]ТР нефть'!$J$28:$BP$638,51,0)</f>
        <v>1940</v>
      </c>
      <c r="BI472" s="115" t="str">
        <f>VLOOKUP(J472,'[63]ТР нефть'!$J$28:$BP$638,52,0)</f>
        <v>открыт</v>
      </c>
      <c r="BJ472" s="115" t="str">
        <f>IF(IFERROR(VLOOKUP(J472,'[63]ТР нефть'!$J$28:$BP$638,53,0),"-")=0,"-",IFERROR(VLOOKUP(J472,'[63]ТР нефть'!$J$28:$BP$638,53,0),"-"))</f>
        <v>-</v>
      </c>
      <c r="BK472" s="138" t="str">
        <f>IF(IFERROR(VLOOKUP(J472,'[63]ТР нефть'!$J$28:$BP$638,54,0),"-")=0,"-",IFERROR(VLOOKUP(J472,'[63]ТР нефть'!$J$28:$BP$638,54,0),"-"))</f>
        <v>-</v>
      </c>
      <c r="BL472" s="138" t="str">
        <f>IF(IFERROR(VLOOKUP(J472,'[63]ТР нефть'!$J$28:$BP$638,55,0),"-")=0,"-",IFERROR(VLOOKUP(J472,'[63]ТР нефть'!$J$28:$BP$638,55,0),"-"))</f>
        <v>-</v>
      </c>
      <c r="BM472" s="138" t="str">
        <f>IF(IFERROR(VLOOKUP(J472,'[63]ТР нефть'!$J$28:$BP$638,56,0),"-")=0,"-",IFERROR(VLOOKUP(J472,'[63]ТР нефть'!$J$28:$BP$638,56,0),"-"))</f>
        <v>-</v>
      </c>
      <c r="BN472" s="138" t="str">
        <f>IF(IFERROR(VLOOKUP(J472,'[63]ТР нефть'!$J$28:$BP$638,57,0),"-")=0,"-",IFERROR(VLOOKUP(J472,'[63]ТР нефть'!$J$28:$BP$638,57,0),"-"))</f>
        <v>-</v>
      </c>
      <c r="BO472" s="115" t="str">
        <f>IF(IFERROR(VLOOKUP(J472,'[63]ТР нефть'!$J$28:$BP$638,58,0),"-")=0,"-",IFERROR(VLOOKUP(J472,'[63]ТР нефть'!$J$28:$BP$638,58,0),"-"))</f>
        <v>-</v>
      </c>
      <c r="BP472" s="115" t="str">
        <f>IF(IFERROR(VLOOKUP(J472,'[63]ТР нефть'!$J$28:$BP$638,59,0),"-")=0,"-",IFERROR(VLOOKUP(J472,'[63]ТР нефть'!$J$28:$BP$638,59,0),"-"))</f>
        <v>-</v>
      </c>
      <c r="BQ472" s="138">
        <v>3094</v>
      </c>
      <c r="BR472" s="128">
        <v>1988.38</v>
      </c>
      <c r="BS472" s="115">
        <f t="shared" si="351"/>
        <v>1105.6199999999999</v>
      </c>
      <c r="BT472" s="128">
        <v>73</v>
      </c>
      <c r="BU472" s="128">
        <v>5.5</v>
      </c>
      <c r="BV472" s="127">
        <v>65</v>
      </c>
      <c r="BW472" s="127" t="s">
        <v>217</v>
      </c>
      <c r="BX472" s="127" t="s">
        <v>195</v>
      </c>
      <c r="BY472" s="139">
        <v>24</v>
      </c>
      <c r="BZ472" s="127">
        <v>0</v>
      </c>
      <c r="CA472" s="138">
        <v>27</v>
      </c>
      <c r="CB472" s="138">
        <v>60</v>
      </c>
      <c r="CC472" s="138">
        <v>26</v>
      </c>
      <c r="CD472" s="135">
        <v>45017</v>
      </c>
      <c r="CE472" s="138">
        <v>128</v>
      </c>
      <c r="CF472" s="138">
        <v>73</v>
      </c>
      <c r="CG472" s="138" t="str">
        <f t="shared" si="366"/>
        <v>В работе</v>
      </c>
      <c r="CH472" s="138" t="s">
        <v>196</v>
      </c>
      <c r="CI472" s="138"/>
      <c r="CJ472" s="138"/>
      <c r="CK472" s="138">
        <f t="shared" si="356"/>
        <v>37</v>
      </c>
      <c r="CL472" s="99"/>
      <c r="CM472" s="99"/>
      <c r="CN472" s="140">
        <v>64</v>
      </c>
      <c r="CO472" s="141">
        <f t="shared" si="324"/>
        <v>4.4489412000000002</v>
      </c>
      <c r="CP472" s="142">
        <v>5.4</v>
      </c>
      <c r="CQ472" s="143">
        <v>1.45</v>
      </c>
      <c r="CR472" s="115">
        <v>11.8</v>
      </c>
      <c r="CS472" s="139">
        <v>9.6</v>
      </c>
      <c r="CT472" s="138"/>
      <c r="CU472" s="138">
        <f t="shared" si="370"/>
        <v>2.2000000000000011</v>
      </c>
      <c r="CV472" s="115">
        <f t="shared" si="368"/>
        <v>494.49968005870721</v>
      </c>
      <c r="CW472" s="115">
        <f t="shared" si="325"/>
        <v>2114.7178946503054</v>
      </c>
      <c r="CX472" s="133">
        <f t="shared" si="369"/>
        <v>8.4375000000000006E-2</v>
      </c>
      <c r="CY472" s="116"/>
      <c r="CZ472" s="131"/>
      <c r="DA472" s="145" t="str">
        <f t="shared" si="326"/>
        <v>Газлифт</v>
      </c>
      <c r="DB472" s="146">
        <f t="shared" si="341"/>
        <v>4.4489412000000002</v>
      </c>
      <c r="DC472" s="142">
        <f t="shared" si="342"/>
        <v>5.4</v>
      </c>
      <c r="DD472" s="119">
        <f t="shared" si="350"/>
        <v>1.45</v>
      </c>
      <c r="DE472" s="115">
        <f t="shared" si="343"/>
        <v>2.2000000000000011</v>
      </c>
      <c r="DF472" s="121">
        <f t="shared" si="328"/>
        <v>9.6</v>
      </c>
      <c r="DG472" s="115">
        <f t="shared" si="329"/>
        <v>494.49968005870721</v>
      </c>
      <c r="DH472" s="115">
        <f t="shared" si="330"/>
        <v>64</v>
      </c>
      <c r="DI472" s="147"/>
      <c r="DJ472" s="111">
        <v>43103</v>
      </c>
      <c r="DK472" s="112">
        <v>43176</v>
      </c>
      <c r="DL472" s="113">
        <f t="shared" ca="1" si="359"/>
        <v>1928</v>
      </c>
      <c r="DM472" s="114"/>
      <c r="DN472" s="114"/>
      <c r="DO472" s="114"/>
      <c r="DP472" s="114"/>
      <c r="DQ472" s="112">
        <v>43098</v>
      </c>
      <c r="DR472" s="114" t="s">
        <v>324</v>
      </c>
      <c r="DS472" s="114"/>
      <c r="DT472" s="115">
        <v>52</v>
      </c>
      <c r="DU472" s="116">
        <f t="shared" si="360"/>
        <v>7.9854910714285715E-2</v>
      </c>
      <c r="DV472" s="117">
        <f t="shared" si="361"/>
        <v>5.0000935138392864</v>
      </c>
      <c r="DW472" s="118">
        <f t="shared" si="362"/>
        <v>6.0689732142857142</v>
      </c>
      <c r="DX472" s="119">
        <f t="shared" si="331"/>
        <v>1.45</v>
      </c>
      <c r="DY472" s="115">
        <f t="shared" si="363"/>
        <v>2.472544642857144</v>
      </c>
      <c r="DZ472" s="117">
        <f t="shared" si="364"/>
        <v>0.5511523138392862</v>
      </c>
      <c r="EA472" s="120">
        <f t="shared" si="364"/>
        <v>0.66897321428571388</v>
      </c>
      <c r="EB472" s="119">
        <f t="shared" si="364"/>
        <v>0</v>
      </c>
      <c r="EC472" s="121">
        <f t="shared" si="365"/>
        <v>0.27254464285714297</v>
      </c>
      <c r="ED472" s="122"/>
      <c r="EE472" s="145">
        <v>65</v>
      </c>
      <c r="EF472" s="115">
        <v>27</v>
      </c>
      <c r="EG472" s="115">
        <v>60</v>
      </c>
      <c r="EH472" s="115">
        <v>26</v>
      </c>
      <c r="EI472" s="128" t="s">
        <v>195</v>
      </c>
      <c r="EJ472" s="121">
        <v>24</v>
      </c>
      <c r="EK472" s="121">
        <v>0</v>
      </c>
      <c r="EL472" s="149">
        <v>4.4489412000000002</v>
      </c>
      <c r="EM472" s="142">
        <v>5.4</v>
      </c>
      <c r="EN472" s="119">
        <v>1.45</v>
      </c>
      <c r="EO472" s="115">
        <v>10</v>
      </c>
      <c r="EP472" s="115">
        <v>629.3632291656271</v>
      </c>
      <c r="EQ472" s="115">
        <v>73</v>
      </c>
      <c r="ER472" s="115">
        <v>7.2</v>
      </c>
      <c r="ES472" s="115">
        <v>75</v>
      </c>
      <c r="ET472" s="150">
        <v>0.10188679245283019</v>
      </c>
      <c r="EU472" s="145">
        <f t="shared" si="332"/>
        <v>65</v>
      </c>
      <c r="EV472" s="115">
        <f t="shared" si="333"/>
        <v>27</v>
      </c>
      <c r="EW472" s="115">
        <f t="shared" si="333"/>
        <v>60</v>
      </c>
      <c r="EX472" s="115">
        <f t="shared" si="333"/>
        <v>26</v>
      </c>
      <c r="EY472" s="115" t="str">
        <f t="shared" si="357"/>
        <v>Постоянный</v>
      </c>
      <c r="EZ472" s="115">
        <f t="shared" si="357"/>
        <v>24</v>
      </c>
      <c r="FA472" s="115">
        <f t="shared" si="357"/>
        <v>0</v>
      </c>
      <c r="FB472" s="149">
        <f t="shared" si="345"/>
        <v>4.4489412000000002</v>
      </c>
      <c r="FC472" s="142">
        <f t="shared" si="345"/>
        <v>5.4</v>
      </c>
      <c r="FD472" s="119">
        <f t="shared" si="345"/>
        <v>1.45</v>
      </c>
      <c r="FE472" s="121">
        <f t="shared" si="344"/>
        <v>11.8</v>
      </c>
      <c r="FF472" s="121">
        <f t="shared" si="347"/>
        <v>494.49968005870721</v>
      </c>
      <c r="FG472" s="121">
        <f t="shared" si="334"/>
        <v>73</v>
      </c>
      <c r="FH472" s="121">
        <f t="shared" si="358"/>
        <v>9.6</v>
      </c>
      <c r="FI472" s="121">
        <f t="shared" si="355"/>
        <v>64</v>
      </c>
      <c r="FJ472" s="144">
        <f t="shared" si="335"/>
        <v>8.4375000000000006E-2</v>
      </c>
      <c r="FK472" s="132">
        <f t="shared" si="336"/>
        <v>0</v>
      </c>
      <c r="FL472" s="115">
        <f t="shared" si="336"/>
        <v>0</v>
      </c>
      <c r="FM472" s="115">
        <f t="shared" si="336"/>
        <v>0</v>
      </c>
      <c r="FN472" s="115">
        <f t="shared" si="336"/>
        <v>0</v>
      </c>
      <c r="FO472" s="115">
        <f t="shared" si="354"/>
        <v>0</v>
      </c>
      <c r="FP472" s="115">
        <f t="shared" si="354"/>
        <v>0</v>
      </c>
      <c r="FQ472" s="149">
        <f t="shared" si="354"/>
        <v>0</v>
      </c>
      <c r="FR472" s="142">
        <f t="shared" si="354"/>
        <v>0</v>
      </c>
      <c r="FS472" s="119">
        <f t="shared" si="354"/>
        <v>0</v>
      </c>
      <c r="FT472" s="121">
        <f t="shared" si="353"/>
        <v>1.8000000000000007</v>
      </c>
      <c r="FU472" s="121">
        <f t="shared" si="337"/>
        <v>0</v>
      </c>
      <c r="FV472" s="121">
        <f t="shared" si="337"/>
        <v>2.3999999999999995</v>
      </c>
      <c r="FW472" s="121">
        <f t="shared" si="338"/>
        <v>-134.86354910691989</v>
      </c>
      <c r="FX472" s="121">
        <f t="shared" si="339"/>
        <v>-11</v>
      </c>
      <c r="FY472" s="144">
        <f t="shared" si="339"/>
        <v>-1.7511792452830188E-2</v>
      </c>
      <c r="FZ472" s="145"/>
      <c r="GA472" s="151"/>
      <c r="GB472" s="145" t="s">
        <v>199</v>
      </c>
      <c r="GC472" s="151" t="s">
        <v>415</v>
      </c>
      <c r="GD472" s="997" t="s">
        <v>202</v>
      </c>
      <c r="GE472" s="1004" t="s">
        <v>199</v>
      </c>
      <c r="GF472" s="1004">
        <v>-1.0694947999999993</v>
      </c>
      <c r="GG472" s="1004"/>
      <c r="GH472" s="1004">
        <v>0</v>
      </c>
      <c r="GI472" s="145"/>
      <c r="GJ472" s="996">
        <v>0</v>
      </c>
      <c r="GK472" s="145"/>
      <c r="GL472" s="996">
        <v>0.70307600000000026</v>
      </c>
      <c r="GM472" s="1005"/>
      <c r="GN472" s="996">
        <v>-5.0160000000000871E-2</v>
      </c>
      <c r="GO472" s="1006"/>
      <c r="GP472" s="996">
        <v>0</v>
      </c>
      <c r="GQ472" s="1006"/>
      <c r="GR472" s="996">
        <v>-0.59455149599999935</v>
      </c>
      <c r="GS472" s="1006"/>
      <c r="GT472" s="996">
        <v>-0.28366650400000015</v>
      </c>
      <c r="GU472" s="1006"/>
      <c r="GV472" s="996">
        <v>3.3021999999999885E-2</v>
      </c>
      <c r="GW472" s="1006"/>
      <c r="GX472" s="996">
        <v>-8.276400000000006E-2</v>
      </c>
      <c r="GY472" s="1006" t="s">
        <v>199</v>
      </c>
      <c r="GZ472" s="996">
        <v>1.908372312</v>
      </c>
      <c r="HA472" s="1006" t="s">
        <v>199</v>
      </c>
      <c r="HB472" s="996">
        <v>-1.9384382160000007</v>
      </c>
      <c r="HC472" s="1006"/>
      <c r="HD472" s="996">
        <v>0.13013510400000072</v>
      </c>
      <c r="HE472" s="1006"/>
      <c r="HF472" s="996">
        <v>0.90106278679999985</v>
      </c>
      <c r="HG472" s="1006" t="s">
        <v>199</v>
      </c>
      <c r="HH472" s="996">
        <v>-0.80165198680000049</v>
      </c>
      <c r="HI472" s="1006"/>
      <c r="HJ472" s="996">
        <v>0</v>
      </c>
      <c r="HK472" s="1006" t="s">
        <v>223</v>
      </c>
      <c r="HL472" s="996">
        <v>-1.2288481039999999</v>
      </c>
      <c r="HM472" s="1006"/>
      <c r="HN472" s="996">
        <v>3.2135840000000471E-2</v>
      </c>
      <c r="HO472" s="1006"/>
      <c r="HP472" s="996">
        <v>-0.50203472000000016</v>
      </c>
      <c r="HQ472" s="1006"/>
      <c r="HR472" s="996">
        <v>0</v>
      </c>
      <c r="HS472" s="1006" t="s">
        <v>643</v>
      </c>
      <c r="HT472" s="996">
        <v>0</v>
      </c>
      <c r="HU472" s="1006"/>
      <c r="HV472" s="996">
        <v>5.5242880000001549E-3</v>
      </c>
      <c r="HW472" s="1006"/>
      <c r="HX472" s="996">
        <v>0</v>
      </c>
      <c r="HY472" s="1006"/>
      <c r="HZ472" s="996">
        <v>-0.39199203999999988</v>
      </c>
      <c r="IA472" s="1006"/>
      <c r="IB472" s="996">
        <v>-0.17289984800000013</v>
      </c>
      <c r="IC472" s="1006"/>
      <c r="ID472" s="996">
        <v>-2.4060079999999928E-2</v>
      </c>
      <c r="IE472" s="1006"/>
      <c r="IF472" s="996">
        <v>0</v>
      </c>
      <c r="IG472" s="1006"/>
      <c r="IH472" s="996">
        <v>-0.16720000000000024</v>
      </c>
      <c r="II472" s="1006"/>
      <c r="IJ472" s="996">
        <v>-0.41800000000000015</v>
      </c>
      <c r="IK472" s="1006"/>
      <c r="IL472" s="996">
        <v>0.8360000000000003</v>
      </c>
      <c r="IM472" s="1006"/>
      <c r="IN472" s="996">
        <v>0</v>
      </c>
      <c r="IO472" s="1006"/>
      <c r="IP472" s="996">
        <v>0</v>
      </c>
      <c r="IQ472" s="1006" t="s">
        <v>199</v>
      </c>
      <c r="IR472" s="996">
        <v>-1.6720000000000006</v>
      </c>
      <c r="IS472" s="1006"/>
      <c r="IT472" s="996">
        <v>0</v>
      </c>
      <c r="IU472" s="1006"/>
      <c r="IV472" s="996">
        <v>0</v>
      </c>
      <c r="IW472" s="1006"/>
      <c r="IX472" s="996">
        <v>0</v>
      </c>
      <c r="IY472" s="1006"/>
      <c r="IZ472" s="996">
        <v>0</v>
      </c>
      <c r="JA472" s="1006"/>
      <c r="JB472" s="996">
        <v>-0.83599999999999941</v>
      </c>
      <c r="JC472" s="1006"/>
      <c r="JD472" s="996">
        <v>-0.91959999999999908</v>
      </c>
      <c r="JE472" s="1006"/>
      <c r="JF472" s="996">
        <v>-0.91960000000000086</v>
      </c>
      <c r="JG472" s="1006"/>
      <c r="JH472" s="996">
        <v>0</v>
      </c>
      <c r="JI472" s="1006"/>
      <c r="JJ472" s="996">
        <v>0</v>
      </c>
      <c r="JK472" s="1007" t="s">
        <v>199</v>
      </c>
      <c r="JL472" s="1007">
        <v>2.0063999999999993</v>
      </c>
      <c r="JM472" s="1007" t="s">
        <v>199</v>
      </c>
      <c r="JN472" s="1007">
        <v>-2.9430410239999993</v>
      </c>
      <c r="JO472" s="1008" t="s">
        <v>199</v>
      </c>
      <c r="JP472" s="1007">
        <v>1.8257353839999997</v>
      </c>
      <c r="JQ472" s="1008" t="s">
        <v>199</v>
      </c>
      <c r="JR472" s="1007">
        <v>-6.5738943599999988</v>
      </c>
      <c r="JS472" s="1008">
        <v>0</v>
      </c>
      <c r="JT472" s="1007">
        <v>0</v>
      </c>
      <c r="JU472" s="1008"/>
      <c r="JV472" s="1007">
        <v>0</v>
      </c>
      <c r="JW472" s="1008" t="s">
        <v>197</v>
      </c>
      <c r="JX472" s="1007">
        <v>0</v>
      </c>
      <c r="JY472" s="1008"/>
      <c r="JZ472" s="1007">
        <v>0</v>
      </c>
      <c r="KA472" s="1008" t="s">
        <v>199</v>
      </c>
      <c r="KB472" s="1007">
        <v>3.3439999999999994</v>
      </c>
      <c r="KC472" s="1008" t="s">
        <v>199</v>
      </c>
      <c r="KD472" s="1007">
        <v>-4.18</v>
      </c>
      <c r="KE472" s="1008" t="s">
        <v>199</v>
      </c>
      <c r="KF472" s="1007">
        <v>1.6719999999999988</v>
      </c>
      <c r="KG472" s="1008" t="s">
        <v>207</v>
      </c>
      <c r="KH472" s="1007">
        <v>-2.5080000000000009</v>
      </c>
      <c r="KI472" s="1008"/>
      <c r="KJ472" s="1007">
        <v>0</v>
      </c>
      <c r="KK472" s="1008" t="s">
        <v>207</v>
      </c>
      <c r="KL472" s="1007">
        <v>-1.671999999999997</v>
      </c>
      <c r="KM472" s="1008" t="s">
        <v>240</v>
      </c>
      <c r="KN472" s="1007">
        <v>0.96975999999999729</v>
      </c>
      <c r="KO472" s="1008" t="s">
        <v>207</v>
      </c>
      <c r="KP472" s="1007">
        <v>-1.8057599999999994</v>
      </c>
      <c r="KQ472" s="1008" t="s">
        <v>207</v>
      </c>
      <c r="KR472" s="1007">
        <v>-3.3439999999999976</v>
      </c>
      <c r="KS472" s="1008" t="s">
        <v>223</v>
      </c>
      <c r="KT472" s="1007">
        <v>-23.407999999999998</v>
      </c>
      <c r="KU472" s="1008">
        <v>0</v>
      </c>
      <c r="KV472" s="1007">
        <v>0</v>
      </c>
      <c r="KW472" s="1008">
        <v>0</v>
      </c>
      <c r="KX472" s="1007">
        <v>0</v>
      </c>
      <c r="KY472" s="1008" t="s">
        <v>224</v>
      </c>
      <c r="KZ472" s="1007">
        <v>46.815999999999995</v>
      </c>
      <c r="LA472" s="1008">
        <v>0</v>
      </c>
      <c r="LB472" s="1007">
        <v>0</v>
      </c>
      <c r="LC472" s="1008">
        <v>0</v>
      </c>
      <c r="LD472" s="1007">
        <v>0</v>
      </c>
      <c r="LE472" s="1008" t="s">
        <v>25</v>
      </c>
      <c r="LF472" s="1007">
        <v>47.986399999999996</v>
      </c>
      <c r="LG472" s="1008">
        <v>0</v>
      </c>
      <c r="LH472" s="1007">
        <v>0</v>
      </c>
      <c r="LI472" s="1008">
        <v>0</v>
      </c>
      <c r="LJ472" s="1007">
        <v>0</v>
      </c>
      <c r="LK472" s="1008">
        <v>0</v>
      </c>
      <c r="LL472" s="1007">
        <v>0</v>
      </c>
      <c r="LM472" s="1008">
        <v>0</v>
      </c>
      <c r="LN472" s="1007">
        <v>0</v>
      </c>
      <c r="LO472" s="1008">
        <v>0</v>
      </c>
      <c r="LP472" s="1007">
        <v>0</v>
      </c>
      <c r="LQ472" s="1008">
        <v>0</v>
      </c>
      <c r="LR472" s="1007">
        <v>0</v>
      </c>
      <c r="LS472" s="1008">
        <v>0</v>
      </c>
      <c r="LT472" s="1007">
        <v>0</v>
      </c>
      <c r="LU472" s="1008">
        <v>0</v>
      </c>
      <c r="LV472" s="1007">
        <v>0</v>
      </c>
      <c r="LW472" s="1008">
        <v>0</v>
      </c>
      <c r="LX472" s="1007">
        <v>0</v>
      </c>
      <c r="LY472" s="1009">
        <v>0</v>
      </c>
      <c r="LZ472" s="1010">
        <v>0</v>
      </c>
      <c r="MA472" s="1011">
        <v>0</v>
      </c>
      <c r="MB472" s="1012">
        <v>0</v>
      </c>
      <c r="MC472" s="995"/>
      <c r="MD472" s="996"/>
      <c r="ME472" s="997" t="s">
        <v>202</v>
      </c>
      <c r="MF472" s="997"/>
      <c r="MG472" s="998"/>
      <c r="NR472" s="1000"/>
      <c r="NS472" s="1000"/>
      <c r="NT472" s="1001"/>
      <c r="NU472" s="1000"/>
      <c r="NV472" s="1001"/>
      <c r="NX472" s="1002"/>
      <c r="NZ472" s="1001"/>
      <c r="OA472" s="1001"/>
      <c r="OC472" s="1003"/>
      <c r="OD472" s="1003"/>
      <c r="OE472" s="1001"/>
      <c r="OF472" s="1003"/>
      <c r="OG472" s="1003"/>
      <c r="QX472" s="1000">
        <f>CN472-CA472</f>
        <v>37</v>
      </c>
      <c r="ASU472" s="999" t="s">
        <v>208</v>
      </c>
    </row>
    <row r="473" spans="1:466 1191:1191" ht="21" customHeight="1" x14ac:dyDescent="0.25">
      <c r="A473" s="982">
        <f t="shared" si="323"/>
        <v>1554</v>
      </c>
      <c r="B473" s="124">
        <f>SUBTOTAL(103,$J$29:J473)</f>
        <v>445</v>
      </c>
      <c r="C473" s="126">
        <v>45068</v>
      </c>
      <c r="D473" s="124" t="s">
        <v>176</v>
      </c>
      <c r="E473" s="127" t="s">
        <v>177</v>
      </c>
      <c r="F473" s="128" t="s">
        <v>177</v>
      </c>
      <c r="G473" s="127" t="s">
        <v>178</v>
      </c>
      <c r="H473" s="127" t="s">
        <v>179</v>
      </c>
      <c r="I473" s="127" t="s">
        <v>1293</v>
      </c>
      <c r="J473" s="152">
        <v>1554</v>
      </c>
      <c r="K473" s="127" t="s">
        <v>1293</v>
      </c>
      <c r="L473" s="130">
        <v>43099</v>
      </c>
      <c r="M473" s="127" t="s">
        <v>230</v>
      </c>
      <c r="N473" s="127" t="s">
        <v>184</v>
      </c>
      <c r="O473" s="127" t="s">
        <v>185</v>
      </c>
      <c r="P473" s="127" t="s">
        <v>186</v>
      </c>
      <c r="Q473" s="85">
        <f t="shared" si="367"/>
        <v>-4</v>
      </c>
      <c r="R473" s="130">
        <v>43051</v>
      </c>
      <c r="S473" s="128" t="s">
        <v>747</v>
      </c>
      <c r="T473" s="131" t="s">
        <v>1294</v>
      </c>
      <c r="U473" s="132">
        <v>203</v>
      </c>
      <c r="V473" s="121">
        <v>218.2</v>
      </c>
      <c r="W473" s="116">
        <v>0.98</v>
      </c>
      <c r="X473" s="116">
        <v>1.66</v>
      </c>
      <c r="Y473" s="116">
        <f t="shared" si="346"/>
        <v>0.98</v>
      </c>
      <c r="Z473" s="133">
        <v>1.454</v>
      </c>
      <c r="AA473" s="133">
        <v>0.83599999999999997</v>
      </c>
      <c r="AB473" s="133">
        <v>0.72</v>
      </c>
      <c r="AC473" s="121">
        <v>34.299999999999997</v>
      </c>
      <c r="AD473" s="134">
        <v>1.17</v>
      </c>
      <c r="AE473" s="124">
        <v>177.8</v>
      </c>
      <c r="AF473" s="128">
        <v>9.19</v>
      </c>
      <c r="AG473" s="128">
        <v>2177.13</v>
      </c>
      <c r="AH473" s="138">
        <v>2929.89</v>
      </c>
      <c r="AI473" s="138">
        <v>2929.89</v>
      </c>
      <c r="AJ473" s="135">
        <v>42988</v>
      </c>
      <c r="AK473" s="128" t="s">
        <v>1018</v>
      </c>
      <c r="AL473" s="131"/>
      <c r="AM473" s="124" t="s">
        <v>985</v>
      </c>
      <c r="AN473" s="136" t="s">
        <v>1748</v>
      </c>
      <c r="AO473" s="137">
        <v>9.11</v>
      </c>
      <c r="AP473" s="128">
        <v>2252.3000000000002</v>
      </c>
      <c r="AQ473" s="128">
        <v>360.8</v>
      </c>
      <c r="AR473" s="128" t="s">
        <v>1749</v>
      </c>
      <c r="AS473" s="128">
        <v>114</v>
      </c>
      <c r="AT473" s="122">
        <v>7.37</v>
      </c>
      <c r="AU473" s="124" t="s">
        <v>189</v>
      </c>
      <c r="AV473" s="115">
        <f>VLOOKUP(J473,'[63]ТР нефть'!$J$28:$BP$638,39,0)</f>
        <v>549.99999140600005</v>
      </c>
      <c r="AW473" s="115" t="str">
        <f>VLOOKUP(J473,'[63]ТР нефть'!$J$28:$BP$638,40,0)</f>
        <v>ГП</v>
      </c>
      <c r="AX473" s="115">
        <f>VLOOKUP(J473,'[63]ТР нефть'!$J$28:$BP$638,41,0)</f>
        <v>940.00000019499998</v>
      </c>
      <c r="AY473" s="115" t="str">
        <f>VLOOKUP(J473,'[63]ТР нефть'!$J$28:$BP$638,42,0)</f>
        <v>ГП</v>
      </c>
      <c r="AZ473" s="115">
        <f>VLOOKUP(J473,'[63]ТР нефть'!$J$28:$BP$638,43,0)</f>
        <v>1239.999995508</v>
      </c>
      <c r="BA473" s="115" t="str">
        <f>VLOOKUP(J473,'[63]ТР нефть'!$J$28:$BP$638,44,0)</f>
        <v>ГП</v>
      </c>
      <c r="BB473" s="115">
        <f>VLOOKUP(J473,'[63]ТР нефть'!$J$28:$BP$638,45,0)</f>
        <v>1469.9999472659999</v>
      </c>
      <c r="BC473" s="115" t="str">
        <f>VLOOKUP(J473,'[63]ТР нефть'!$J$28:$BP$638,46,0)</f>
        <v>ГК78 1/8</v>
      </c>
      <c r="BD473" s="115">
        <f>VLOOKUP(J473,'[63]ТР нефть'!$J$28:$BP$638,47,0)</f>
        <v>1630.000004297</v>
      </c>
      <c r="BE473" s="115" t="str">
        <f>VLOOKUP(J473,'[63]ТР нефть'!$J$28:$BP$638,48,0)</f>
        <v>ГП</v>
      </c>
      <c r="BF473" s="115">
        <f>VLOOKUP(J473,'[63]ТР нефть'!$J$28:$BP$638,49,0)</f>
        <v>1770</v>
      </c>
      <c r="BG473" s="115" t="str">
        <f>VLOOKUP(J473,'[63]ТР нефть'!$J$28:$BP$638,50,0)</f>
        <v>ГК79 1/8</v>
      </c>
      <c r="BH473" s="115">
        <f>VLOOKUP(J473,'[63]ТР нефть'!$J$28:$BP$638,51,0)</f>
        <v>1860</v>
      </c>
      <c r="BI473" s="115" t="str">
        <f>VLOOKUP(J473,'[63]ТР нефть'!$J$28:$BP$638,52,0)</f>
        <v>открыт</v>
      </c>
      <c r="BJ473" s="115" t="str">
        <f>IF(IFERROR(VLOOKUP(J473,'[63]ТР нефть'!$J$28:$BP$638,53,0),"-")=0,"-",IFERROR(VLOOKUP(J473,'[63]ТР нефть'!$J$28:$BP$638,53,0),"-"))</f>
        <v>-</v>
      </c>
      <c r="BK473" s="138" t="str">
        <f>IF(IFERROR(VLOOKUP(J473,'[63]ТР нефть'!$J$28:$BP$638,54,0),"-")=0,"-",IFERROR(VLOOKUP(J473,'[63]ТР нефть'!$J$28:$BP$638,54,0),"-"))</f>
        <v>-</v>
      </c>
      <c r="BL473" s="138" t="str">
        <f>IF(IFERROR(VLOOKUP(J473,'[63]ТР нефть'!$J$28:$BP$638,55,0),"-")=0,"-",IFERROR(VLOOKUP(J473,'[63]ТР нефть'!$J$28:$BP$638,55,0),"-"))</f>
        <v>-</v>
      </c>
      <c r="BM473" s="138" t="str">
        <f>IF(IFERROR(VLOOKUP(J473,'[63]ТР нефть'!$J$28:$BP$638,56,0),"-")=0,"-",IFERROR(VLOOKUP(J473,'[63]ТР нефть'!$J$28:$BP$638,56,0),"-"))</f>
        <v>-</v>
      </c>
      <c r="BN473" s="138" t="str">
        <f>IF(IFERROR(VLOOKUP(J473,'[63]ТР нефть'!$J$28:$BP$638,57,0),"-")=0,"-",IFERROR(VLOOKUP(J473,'[63]ТР нефть'!$J$28:$BP$638,57,0),"-"))</f>
        <v>-</v>
      </c>
      <c r="BO473" s="115" t="str">
        <f>IF(IFERROR(VLOOKUP(J473,'[63]ТР нефть'!$J$28:$BP$638,58,0),"-")=0,"-",IFERROR(VLOOKUP(J473,'[63]ТР нефть'!$J$28:$BP$638,58,0),"-"))</f>
        <v>-</v>
      </c>
      <c r="BP473" s="115" t="str">
        <f>IF(IFERROR(VLOOKUP(J473,'[63]ТР нефть'!$J$28:$BP$638,59,0),"-")=0,"-",IFERROR(VLOOKUP(J473,'[63]ТР нефть'!$J$28:$BP$638,59,0),"-"))</f>
        <v>-</v>
      </c>
      <c r="BQ473" s="138">
        <v>1930</v>
      </c>
      <c r="BR473" s="128">
        <v>1667.14</v>
      </c>
      <c r="BS473" s="115">
        <f t="shared" si="351"/>
        <v>262.8599999999999</v>
      </c>
      <c r="BT473" s="128">
        <v>73</v>
      </c>
      <c r="BU473" s="128">
        <v>5.5</v>
      </c>
      <c r="BV473" s="127">
        <v>65</v>
      </c>
      <c r="BW473" s="127" t="s">
        <v>217</v>
      </c>
      <c r="BX473" s="127" t="s">
        <v>195</v>
      </c>
      <c r="BY473" s="139">
        <v>24</v>
      </c>
      <c r="BZ473" s="139">
        <v>0</v>
      </c>
      <c r="CA473" s="138">
        <v>26</v>
      </c>
      <c r="CB473" s="138">
        <v>44</v>
      </c>
      <c r="CC473" s="138">
        <v>25</v>
      </c>
      <c r="CD473" s="135">
        <v>45017</v>
      </c>
      <c r="CE473" s="138">
        <v>94</v>
      </c>
      <c r="CF473" s="138">
        <v>71</v>
      </c>
      <c r="CG473" s="138" t="str">
        <f t="shared" si="366"/>
        <v>В работе</v>
      </c>
      <c r="CH473" s="138" t="s">
        <v>196</v>
      </c>
      <c r="CI473" s="127"/>
      <c r="CJ473" s="138"/>
      <c r="CK473" s="138">
        <f t="shared" si="356"/>
        <v>26</v>
      </c>
      <c r="CL473" s="99"/>
      <c r="CM473" s="99"/>
      <c r="CN473" s="140">
        <v>52</v>
      </c>
      <c r="CO473" s="141">
        <f t="shared" si="324"/>
        <v>9.1959999999999997</v>
      </c>
      <c r="CP473" s="142">
        <v>11</v>
      </c>
      <c r="CQ473" s="143">
        <v>0</v>
      </c>
      <c r="CR473" s="115">
        <v>18</v>
      </c>
      <c r="CS473" s="139">
        <v>15.6</v>
      </c>
      <c r="CT473" s="138"/>
      <c r="CU473" s="138">
        <f t="shared" si="370"/>
        <v>2.4000000000000004</v>
      </c>
      <c r="CV473" s="115">
        <f t="shared" si="368"/>
        <v>260.98303610265339</v>
      </c>
      <c r="CW473" s="115">
        <f t="shared" si="325"/>
        <v>1696.3897346672468</v>
      </c>
      <c r="CX473" s="133">
        <f t="shared" si="369"/>
        <v>0.26190476190476192</v>
      </c>
      <c r="CY473" s="116"/>
      <c r="CZ473" s="131"/>
      <c r="DA473" s="145" t="str">
        <f t="shared" si="326"/>
        <v>Газлифт</v>
      </c>
      <c r="DB473" s="146">
        <f t="shared" si="341"/>
        <v>9.1959999999999997</v>
      </c>
      <c r="DC473" s="142">
        <f t="shared" si="342"/>
        <v>11</v>
      </c>
      <c r="DD473" s="119">
        <f t="shared" si="350"/>
        <v>0</v>
      </c>
      <c r="DE473" s="115">
        <f t="shared" si="343"/>
        <v>2.4000000000000004</v>
      </c>
      <c r="DF473" s="121">
        <f t="shared" si="328"/>
        <v>15.6</v>
      </c>
      <c r="DG473" s="115">
        <f t="shared" si="329"/>
        <v>260.98303610265339</v>
      </c>
      <c r="DH473" s="115">
        <f t="shared" si="330"/>
        <v>52</v>
      </c>
      <c r="DI473" s="147"/>
      <c r="DJ473" s="111" t="s">
        <v>197</v>
      </c>
      <c r="DK473" s="112">
        <v>43099</v>
      </c>
      <c r="DL473" s="113">
        <f t="shared" ca="1" si="359"/>
        <v>2005</v>
      </c>
      <c r="DM473" s="114"/>
      <c r="DN473" s="114"/>
      <c r="DO473" s="114"/>
      <c r="DP473" s="114"/>
      <c r="DQ473" s="112">
        <v>43099</v>
      </c>
      <c r="DR473" s="114" t="s">
        <v>324</v>
      </c>
      <c r="DS473" s="114"/>
      <c r="DT473" s="115">
        <v>54</v>
      </c>
      <c r="DU473" s="116">
        <f t="shared" si="360"/>
        <v>0.27500000000000002</v>
      </c>
      <c r="DV473" s="117">
        <f t="shared" si="361"/>
        <v>9.1959999999999997</v>
      </c>
      <c r="DW473" s="118">
        <f t="shared" si="362"/>
        <v>11</v>
      </c>
      <c r="DX473" s="119">
        <f t="shared" si="331"/>
        <v>0</v>
      </c>
      <c r="DY473" s="115">
        <f t="shared" si="363"/>
        <v>2.4000000000000004</v>
      </c>
      <c r="DZ473" s="117">
        <f t="shared" si="364"/>
        <v>0</v>
      </c>
      <c r="EA473" s="120">
        <f t="shared" si="364"/>
        <v>0</v>
      </c>
      <c r="EB473" s="119">
        <f t="shared" si="364"/>
        <v>0</v>
      </c>
      <c r="EC473" s="121">
        <f t="shared" si="365"/>
        <v>0</v>
      </c>
      <c r="ED473" s="122"/>
      <c r="EE473" s="145">
        <v>65</v>
      </c>
      <c r="EF473" s="115">
        <v>27</v>
      </c>
      <c r="EG473" s="115">
        <v>47</v>
      </c>
      <c r="EH473" s="115">
        <v>27</v>
      </c>
      <c r="EI473" s="128" t="s">
        <v>195</v>
      </c>
      <c r="EJ473" s="121">
        <v>24</v>
      </c>
      <c r="EK473" s="121">
        <v>0</v>
      </c>
      <c r="EL473" s="149">
        <v>8.1091999999999995</v>
      </c>
      <c r="EM473" s="142">
        <v>9.6999999999999993</v>
      </c>
      <c r="EN473" s="119">
        <v>0</v>
      </c>
      <c r="EO473" s="115">
        <v>12</v>
      </c>
      <c r="EP473" s="115">
        <v>863.2170867656489</v>
      </c>
      <c r="EQ473" s="115">
        <v>68</v>
      </c>
      <c r="ER473" s="115">
        <v>5</v>
      </c>
      <c r="ES473" s="115">
        <v>55</v>
      </c>
      <c r="ET473" s="150">
        <v>0.24871794871794869</v>
      </c>
      <c r="EU473" s="145">
        <f t="shared" si="332"/>
        <v>65</v>
      </c>
      <c r="EV473" s="115">
        <f t="shared" si="333"/>
        <v>26</v>
      </c>
      <c r="EW473" s="115">
        <f t="shared" si="333"/>
        <v>44</v>
      </c>
      <c r="EX473" s="115">
        <f t="shared" si="333"/>
        <v>25</v>
      </c>
      <c r="EY473" s="115" t="str">
        <f t="shared" si="357"/>
        <v>Постоянный</v>
      </c>
      <c r="EZ473" s="115">
        <f t="shared" si="357"/>
        <v>24</v>
      </c>
      <c r="FA473" s="115">
        <f t="shared" si="357"/>
        <v>0</v>
      </c>
      <c r="FB473" s="149">
        <f t="shared" si="345"/>
        <v>9.1959999999999997</v>
      </c>
      <c r="FC473" s="142">
        <f t="shared" si="345"/>
        <v>11</v>
      </c>
      <c r="FD473" s="119">
        <f t="shared" si="345"/>
        <v>0</v>
      </c>
      <c r="FE473" s="121">
        <f t="shared" si="344"/>
        <v>18</v>
      </c>
      <c r="FF473" s="121">
        <f t="shared" si="347"/>
        <v>260.98303610265339</v>
      </c>
      <c r="FG473" s="121">
        <f t="shared" si="334"/>
        <v>71</v>
      </c>
      <c r="FH473" s="121">
        <f t="shared" si="358"/>
        <v>15.6</v>
      </c>
      <c r="FI473" s="121">
        <f t="shared" si="355"/>
        <v>52</v>
      </c>
      <c r="FJ473" s="144">
        <f t="shared" si="335"/>
        <v>0.26190476190476192</v>
      </c>
      <c r="FK473" s="132">
        <f t="shared" si="336"/>
        <v>0</v>
      </c>
      <c r="FL473" s="115">
        <f t="shared" si="336"/>
        <v>-1</v>
      </c>
      <c r="FM473" s="115">
        <f t="shared" si="336"/>
        <v>-3</v>
      </c>
      <c r="FN473" s="115">
        <f t="shared" si="336"/>
        <v>-2</v>
      </c>
      <c r="FO473" s="115">
        <f t="shared" si="354"/>
        <v>0</v>
      </c>
      <c r="FP473" s="115">
        <f t="shared" si="354"/>
        <v>0</v>
      </c>
      <c r="FQ473" s="149">
        <f t="shared" si="354"/>
        <v>1.0868000000000002</v>
      </c>
      <c r="FR473" s="142">
        <f t="shared" si="354"/>
        <v>1.3000000000000007</v>
      </c>
      <c r="FS473" s="119">
        <f t="shared" si="354"/>
        <v>0</v>
      </c>
      <c r="FT473" s="121">
        <f t="shared" si="353"/>
        <v>6</v>
      </c>
      <c r="FU473" s="121">
        <f t="shared" si="337"/>
        <v>3</v>
      </c>
      <c r="FV473" s="121">
        <f t="shared" si="337"/>
        <v>10.6</v>
      </c>
      <c r="FW473" s="121">
        <f t="shared" si="338"/>
        <v>-602.23405066299551</v>
      </c>
      <c r="FX473" s="121">
        <f t="shared" si="339"/>
        <v>-3</v>
      </c>
      <c r="FY473" s="144">
        <f t="shared" si="339"/>
        <v>1.3186813186813223E-2</v>
      </c>
      <c r="FZ473" s="145" t="s">
        <v>199</v>
      </c>
      <c r="GA473" s="125" t="s">
        <v>200</v>
      </c>
      <c r="GB473" s="145"/>
      <c r="GC473" s="125"/>
      <c r="GD473" s="997" t="s">
        <v>202</v>
      </c>
      <c r="GE473" s="1004"/>
      <c r="GF473" s="1004">
        <v>-0.25079999999999991</v>
      </c>
      <c r="GG473" s="1004" t="s">
        <v>223</v>
      </c>
      <c r="GH473" s="1004">
        <v>-3.1344984</v>
      </c>
      <c r="GI473" s="145"/>
      <c r="GJ473" s="996">
        <v>0</v>
      </c>
      <c r="GK473" s="145"/>
      <c r="GL473" s="996">
        <v>0</v>
      </c>
      <c r="GM473" s="1005" t="s">
        <v>199</v>
      </c>
      <c r="GN473" s="996">
        <v>4.2547383999999999</v>
      </c>
      <c r="GO473" s="1006"/>
      <c r="GP473" s="996">
        <v>0</v>
      </c>
      <c r="GQ473" s="1006" t="s">
        <v>199</v>
      </c>
      <c r="GR473" s="996">
        <v>-4.29704</v>
      </c>
      <c r="GS473" s="1006" t="s">
        <v>199</v>
      </c>
      <c r="GT473" s="996">
        <v>2.3407999999999998</v>
      </c>
      <c r="GU473" s="1006"/>
      <c r="GV473" s="996">
        <v>0</v>
      </c>
      <c r="GW473" s="1006"/>
      <c r="GX473" s="996">
        <v>-0.8192800000000009</v>
      </c>
      <c r="GY473" s="1006"/>
      <c r="GZ473" s="996">
        <v>0</v>
      </c>
      <c r="HA473" s="1006"/>
      <c r="HB473" s="996">
        <v>0</v>
      </c>
      <c r="HC473" s="1006"/>
      <c r="HD473" s="996">
        <v>0</v>
      </c>
      <c r="HE473" s="1006" t="s">
        <v>204</v>
      </c>
      <c r="HF473" s="996">
        <v>0</v>
      </c>
      <c r="HG473" s="1006"/>
      <c r="HH473" s="996">
        <v>-0.14211999999999847</v>
      </c>
      <c r="HI473" s="1006"/>
      <c r="HJ473" s="996">
        <v>0</v>
      </c>
      <c r="HK473" s="1006"/>
      <c r="HL473" s="996">
        <v>0</v>
      </c>
      <c r="HM473" s="1006"/>
      <c r="HN473" s="996">
        <v>0</v>
      </c>
      <c r="HO473" s="1006"/>
      <c r="HP473" s="996">
        <v>0</v>
      </c>
      <c r="HQ473" s="1006"/>
      <c r="HR473" s="996">
        <v>0</v>
      </c>
      <c r="HS473" s="1006" t="s">
        <v>643</v>
      </c>
      <c r="HT473" s="996">
        <v>0</v>
      </c>
      <c r="HU473" s="1006" t="s">
        <v>204</v>
      </c>
      <c r="HV473" s="996">
        <v>-2.0532160000000008</v>
      </c>
      <c r="HW473" s="1006"/>
      <c r="HX473" s="996">
        <v>0</v>
      </c>
      <c r="HY473" s="1006"/>
      <c r="HZ473" s="996">
        <v>-0.62198399999999943</v>
      </c>
      <c r="IA473" s="1006"/>
      <c r="IB473" s="996">
        <v>0.22571999999999903</v>
      </c>
      <c r="IC473" s="1006"/>
      <c r="ID473" s="996">
        <v>0.40128000000000164</v>
      </c>
      <c r="IE473" s="1006" t="s">
        <v>223</v>
      </c>
      <c r="IF473" s="996">
        <v>-1.1704000000000008</v>
      </c>
      <c r="IG473" s="1006"/>
      <c r="IH473" s="996">
        <v>0</v>
      </c>
      <c r="II473" s="1006"/>
      <c r="IJ473" s="996">
        <v>0</v>
      </c>
      <c r="IK473" s="1006"/>
      <c r="IL473" s="996">
        <v>0</v>
      </c>
      <c r="IM473" s="1006" t="s">
        <v>199</v>
      </c>
      <c r="IN473" s="996">
        <v>2.1736000000000004</v>
      </c>
      <c r="IO473" s="1006"/>
      <c r="IP473" s="996">
        <v>0</v>
      </c>
      <c r="IQ473" s="1006" t="s">
        <v>199</v>
      </c>
      <c r="IR473" s="996">
        <v>-3.0096000000000007</v>
      </c>
      <c r="IS473" s="1006"/>
      <c r="IT473" s="996">
        <v>0</v>
      </c>
      <c r="IU473" s="1006"/>
      <c r="IV473" s="996">
        <v>0</v>
      </c>
      <c r="IW473" s="1006"/>
      <c r="IX473" s="996">
        <v>-0.5016000000000016</v>
      </c>
      <c r="IY473" s="1006"/>
      <c r="IZ473" s="996">
        <v>0</v>
      </c>
      <c r="JA473" s="1006" t="s">
        <v>199</v>
      </c>
      <c r="JB473" s="996">
        <v>4.0964000000000027</v>
      </c>
      <c r="JC473" s="1006"/>
      <c r="JD473" s="996">
        <v>0</v>
      </c>
      <c r="JE473" s="1006"/>
      <c r="JF473" s="996">
        <v>0</v>
      </c>
      <c r="JG473" s="1006" t="s">
        <v>199</v>
      </c>
      <c r="JH473" s="996">
        <v>-9.4468000000000014</v>
      </c>
      <c r="JI473" s="1006"/>
      <c r="JJ473" s="996">
        <v>0</v>
      </c>
      <c r="JK473" s="1007"/>
      <c r="JL473" s="1007">
        <v>0</v>
      </c>
      <c r="JM473" s="1007"/>
      <c r="JN473" s="1007">
        <v>0</v>
      </c>
      <c r="JO473" s="1008" t="s">
        <v>199</v>
      </c>
      <c r="JP473" s="1007">
        <v>-4.4893199999999993</v>
      </c>
      <c r="JQ473" s="1008">
        <v>0</v>
      </c>
      <c r="JR473" s="1007">
        <v>0.43378368000000123</v>
      </c>
      <c r="JS473" s="1008">
        <v>0</v>
      </c>
      <c r="JT473" s="1007">
        <v>0</v>
      </c>
      <c r="JU473" s="1008"/>
      <c r="JV473" s="1007">
        <v>0</v>
      </c>
      <c r="JW473" s="1008" t="s">
        <v>197</v>
      </c>
      <c r="JX473" s="1007">
        <v>0</v>
      </c>
      <c r="JY473" s="1008" t="s">
        <v>240</v>
      </c>
      <c r="JZ473" s="1007">
        <v>3.240436319999997</v>
      </c>
      <c r="KA473" s="1008"/>
      <c r="KB473" s="1007">
        <v>0</v>
      </c>
      <c r="KC473" s="1008" t="s">
        <v>240</v>
      </c>
      <c r="KD473" s="1007">
        <v>-8.3516399999999997</v>
      </c>
      <c r="KE473" s="1008" t="s">
        <v>240</v>
      </c>
      <c r="KF473" s="1007">
        <v>4.1758200000000016</v>
      </c>
      <c r="KG473" s="1008"/>
      <c r="KH473" s="1007">
        <v>0</v>
      </c>
      <c r="KI473" s="1008"/>
      <c r="KJ473" s="1007">
        <v>0</v>
      </c>
      <c r="KK473" s="1008" t="s">
        <v>223</v>
      </c>
      <c r="KL473" s="1007">
        <v>-11.692296000000002</v>
      </c>
      <c r="KM473" s="1008"/>
      <c r="KN473" s="1007">
        <v>0</v>
      </c>
      <c r="KO473" s="1008" t="s">
        <v>207</v>
      </c>
      <c r="KP473" s="1007">
        <v>0</v>
      </c>
      <c r="KQ473" s="1008" t="s">
        <v>240</v>
      </c>
      <c r="KR473" s="1007">
        <v>-5.1780168000000018</v>
      </c>
      <c r="KS473" s="1008">
        <v>0</v>
      </c>
      <c r="KT473" s="1007">
        <v>0</v>
      </c>
      <c r="KU473" s="1008">
        <v>0</v>
      </c>
      <c r="KV473" s="1007">
        <v>0</v>
      </c>
      <c r="KW473" s="1008" t="s">
        <v>240</v>
      </c>
      <c r="KX473" s="1007">
        <v>-7.7331671999999898</v>
      </c>
      <c r="KY473" s="1008">
        <v>0</v>
      </c>
      <c r="KZ473" s="1007">
        <v>0</v>
      </c>
      <c r="LA473" s="1008">
        <v>0</v>
      </c>
      <c r="LB473" s="1007">
        <v>0</v>
      </c>
      <c r="LC473" s="1008">
        <v>0</v>
      </c>
      <c r="LD473" s="1007">
        <v>0</v>
      </c>
      <c r="LE473" s="1008" t="s">
        <v>25</v>
      </c>
      <c r="LF473" s="1007">
        <v>49.992799999999995</v>
      </c>
      <c r="LG473" s="1008">
        <v>0</v>
      </c>
      <c r="LH473" s="1007">
        <v>0</v>
      </c>
      <c r="LI473" s="1008">
        <v>0</v>
      </c>
      <c r="LJ473" s="1007">
        <v>0</v>
      </c>
      <c r="LK473" s="1008">
        <v>0</v>
      </c>
      <c r="LL473" s="1007">
        <v>0</v>
      </c>
      <c r="LM473" s="1008">
        <v>0</v>
      </c>
      <c r="LN473" s="1007">
        <v>0</v>
      </c>
      <c r="LO473" s="1008">
        <v>0</v>
      </c>
      <c r="LP473" s="1007">
        <v>0</v>
      </c>
      <c r="LQ473" s="1008">
        <v>0</v>
      </c>
      <c r="LR473" s="1007">
        <v>0</v>
      </c>
      <c r="LS473" s="1008">
        <v>0</v>
      </c>
      <c r="LT473" s="1007">
        <v>0</v>
      </c>
      <c r="LU473" s="1008">
        <v>0</v>
      </c>
      <c r="LV473" s="1007">
        <v>0</v>
      </c>
      <c r="LW473" s="1008">
        <v>0</v>
      </c>
      <c r="LX473" s="1007">
        <v>0</v>
      </c>
      <c r="LY473" s="1009">
        <v>0</v>
      </c>
      <c r="LZ473" s="1010">
        <v>0</v>
      </c>
      <c r="MA473" s="1011">
        <v>0</v>
      </c>
      <c r="MB473" s="1012">
        <v>0</v>
      </c>
      <c r="MC473" s="995"/>
      <c r="MD473" s="996"/>
      <c r="ME473" s="997" t="s">
        <v>202</v>
      </c>
      <c r="MF473" s="997"/>
      <c r="MG473" s="998"/>
      <c r="NR473" s="1000"/>
      <c r="NS473" s="1000"/>
      <c r="NT473" s="1001"/>
      <c r="NU473" s="1000"/>
      <c r="NV473" s="1001"/>
      <c r="NX473" s="1002"/>
      <c r="NZ473" s="1001"/>
      <c r="OA473" s="1001"/>
      <c r="OC473" s="1003"/>
      <c r="OD473" s="1003"/>
      <c r="OE473" s="1001"/>
      <c r="OF473" s="1003"/>
      <c r="OG473" s="1003"/>
      <c r="QX473" s="1000">
        <f>CN473-CA473</f>
        <v>26</v>
      </c>
      <c r="ASU473" s="999" t="s">
        <v>208</v>
      </c>
    </row>
    <row r="474" spans="1:466 1191:1191" ht="21" customHeight="1" x14ac:dyDescent="0.25">
      <c r="A474" s="982">
        <f t="shared" si="323"/>
        <v>1555</v>
      </c>
      <c r="B474" s="124">
        <f>SUBTOTAL(103,$J$29:J474)</f>
        <v>446</v>
      </c>
      <c r="C474" s="126">
        <v>45068</v>
      </c>
      <c r="D474" s="124" t="s">
        <v>176</v>
      </c>
      <c r="E474" s="127" t="s">
        <v>177</v>
      </c>
      <c r="F474" s="128" t="s">
        <v>177</v>
      </c>
      <c r="G474" s="127" t="s">
        <v>178</v>
      </c>
      <c r="H474" s="127" t="s">
        <v>179</v>
      </c>
      <c r="I474" s="127" t="s">
        <v>1362</v>
      </c>
      <c r="J474" s="152">
        <v>1555</v>
      </c>
      <c r="K474" s="127" t="s">
        <v>1362</v>
      </c>
      <c r="L474" s="130">
        <v>43314</v>
      </c>
      <c r="M474" s="127" t="s">
        <v>230</v>
      </c>
      <c r="N474" s="127" t="s">
        <v>184</v>
      </c>
      <c r="O474" s="127" t="s">
        <v>185</v>
      </c>
      <c r="P474" s="127" t="s">
        <v>292</v>
      </c>
      <c r="Q474" s="85" t="str">
        <f t="shared" si="367"/>
        <v/>
      </c>
      <c r="R474" s="130"/>
      <c r="S474" s="128"/>
      <c r="T474" s="131"/>
      <c r="U474" s="132">
        <v>203</v>
      </c>
      <c r="V474" s="121">
        <v>218.2</v>
      </c>
      <c r="W474" s="116">
        <v>0.98</v>
      </c>
      <c r="X474" s="116">
        <v>1.66</v>
      </c>
      <c r="Y474" s="116">
        <f t="shared" si="346"/>
        <v>0.98</v>
      </c>
      <c r="Z474" s="133">
        <v>1.454</v>
      </c>
      <c r="AA474" s="133">
        <v>0.83599999999999997</v>
      </c>
      <c r="AB474" s="133">
        <v>0.72</v>
      </c>
      <c r="AC474" s="121">
        <v>34.299999999999997</v>
      </c>
      <c r="AD474" s="134">
        <v>1.17</v>
      </c>
      <c r="AE474" s="124">
        <v>177.8</v>
      </c>
      <c r="AF474" s="128">
        <v>9.19</v>
      </c>
      <c r="AG474" s="128">
        <v>2236</v>
      </c>
      <c r="AH474" s="127">
        <v>3040</v>
      </c>
      <c r="AI474" s="127">
        <v>3040</v>
      </c>
      <c r="AJ474" s="135"/>
      <c r="AK474" s="128"/>
      <c r="AL474" s="131"/>
      <c r="AM474" s="124" t="s">
        <v>985</v>
      </c>
      <c r="AN474" s="136" t="s">
        <v>1750</v>
      </c>
      <c r="AO474" s="137">
        <v>2.5099999999999909</v>
      </c>
      <c r="AP474" s="128">
        <v>2313.1999999999998</v>
      </c>
      <c r="AQ474" s="128">
        <v>439.08</v>
      </c>
      <c r="AR474" s="128" t="s">
        <v>1751</v>
      </c>
      <c r="AS474" s="128">
        <v>177.8</v>
      </c>
      <c r="AT474" s="122">
        <v>9.19</v>
      </c>
      <c r="AU474" s="124" t="s">
        <v>189</v>
      </c>
      <c r="AV474" s="115">
        <f>VLOOKUP(J474,'[63]ТР нефть'!$J$28:$BP$638,39,0)</f>
        <v>540.00000644500005</v>
      </c>
      <c r="AW474" s="115" t="str">
        <f>VLOOKUP(J474,'[63]ТР нефть'!$J$28:$BP$638,40,0)</f>
        <v>ГП</v>
      </c>
      <c r="AX474" s="115">
        <f>VLOOKUP(J474,'[63]ТР нефть'!$J$28:$BP$638,41,0)</f>
        <v>970.00002949199995</v>
      </c>
      <c r="AY474" s="115" t="str">
        <f>VLOOKUP(J474,'[63]ТР нефть'!$J$28:$BP$638,42,0)</f>
        <v>ГП</v>
      </c>
      <c r="AZ474" s="115">
        <f>VLOOKUP(J474,'[63]ТР нефть'!$J$28:$BP$638,43,0)</f>
        <v>1360.0000382809999</v>
      </c>
      <c r="BA474" s="115" t="str">
        <f>VLOOKUP(J474,'[63]ТР нефть'!$J$28:$BP$638,44,0)</f>
        <v>ГК81 1/8</v>
      </c>
      <c r="BB474" s="115">
        <f>VLOOKUP(J474,'[63]ТР нефть'!$J$28:$BP$638,45,0)</f>
        <v>1690.000062891</v>
      </c>
      <c r="BC474" s="115" t="str">
        <f>VLOOKUP(J474,'[63]ТР нефть'!$J$28:$BP$638,46,0)</f>
        <v>ГК81 1/8</v>
      </c>
      <c r="BD474" s="115">
        <f>VLOOKUP(J474,'[63]ТР нефть'!$J$28:$BP$638,47,0)</f>
        <v>1979.9999988279999</v>
      </c>
      <c r="BE474" s="115" t="str">
        <f>VLOOKUP(J474,'[63]ТР нефть'!$J$28:$BP$638,48,0)</f>
        <v>ЦКсОК 5/16</v>
      </c>
      <c r="BF474" s="115" t="str">
        <f>VLOOKUP(J474,'[63]ТР нефть'!$J$28:$BP$638,49,0)</f>
        <v>-</v>
      </c>
      <c r="BG474" s="115" t="str">
        <f>VLOOKUP(J474,'[63]ТР нефть'!$J$28:$BP$638,50,0)</f>
        <v>-</v>
      </c>
      <c r="BH474" s="115">
        <f>VLOOKUP(J474,'[63]ТР нефть'!$J$28:$BP$638,51,0)</f>
        <v>1990</v>
      </c>
      <c r="BI474" s="115" t="str">
        <f>VLOOKUP(J474,'[63]ТР нефть'!$J$28:$BP$638,52,0)</f>
        <v xml:space="preserve">закрыт </v>
      </c>
      <c r="BJ474" s="115" t="str">
        <f>IF(IFERROR(VLOOKUP(J474,'[63]ТР нефть'!$J$28:$BP$638,53,0),"-")=0,"-",IFERROR(VLOOKUP(J474,'[63]ТР нефть'!$J$28:$BP$638,53,0),"-"))</f>
        <v>-</v>
      </c>
      <c r="BK474" s="138" t="str">
        <f>IF(IFERROR(VLOOKUP(J474,'[63]ТР нефть'!$J$28:$BP$638,54,0),"-")=0,"-",IFERROR(VLOOKUP(J474,'[63]ТР нефть'!$J$28:$BP$638,54,0),"-"))</f>
        <v>-</v>
      </c>
      <c r="BL474" s="138" t="str">
        <f>IF(IFERROR(VLOOKUP(J474,'[63]ТР нефть'!$J$28:$BP$638,55,0),"-")=0,"-",IFERROR(VLOOKUP(J474,'[63]ТР нефть'!$J$28:$BP$638,55,0),"-"))</f>
        <v>-</v>
      </c>
      <c r="BM474" s="138" t="str">
        <f>IF(IFERROR(VLOOKUP(J474,'[63]ТР нефть'!$J$28:$BP$638,56,0),"-")=0,"-",IFERROR(VLOOKUP(J474,'[63]ТР нефть'!$J$28:$BP$638,56,0),"-"))</f>
        <v>-</v>
      </c>
      <c r="BN474" s="138" t="str">
        <f>IF(IFERROR(VLOOKUP(J474,'[63]ТР нефть'!$J$28:$BP$638,57,0),"-")=0,"-",IFERROR(VLOOKUP(J474,'[63]ТР нефть'!$J$28:$BP$638,57,0),"-"))</f>
        <v>-</v>
      </c>
      <c r="BO474" s="115" t="str">
        <f>IF(IFERROR(VLOOKUP(J474,'[63]ТР нефть'!$J$28:$BP$638,58,0),"-")=0,"-",IFERROR(VLOOKUP(J474,'[63]ТР нефть'!$J$28:$BP$638,58,0),"-"))</f>
        <v>-</v>
      </c>
      <c r="BP474" s="115" t="str">
        <f>IF(IFERROR(VLOOKUP(J474,'[63]ТР нефть'!$J$28:$BP$638,59,0),"-")=0,"-",IFERROR(VLOOKUP(J474,'[63]ТР нефть'!$J$28:$BP$638,59,0),"-"))</f>
        <v>-</v>
      </c>
      <c r="BQ474" s="138">
        <v>2102</v>
      </c>
      <c r="BR474" s="128">
        <v>1725.17</v>
      </c>
      <c r="BS474" s="115">
        <f t="shared" si="351"/>
        <v>376.82999999999993</v>
      </c>
      <c r="BT474" s="128">
        <v>73</v>
      </c>
      <c r="BU474" s="128">
        <v>5.5</v>
      </c>
      <c r="BV474" s="127">
        <v>65</v>
      </c>
      <c r="BW474" s="127" t="s">
        <v>217</v>
      </c>
      <c r="BX474" s="127" t="s">
        <v>195</v>
      </c>
      <c r="BY474" s="139">
        <v>24</v>
      </c>
      <c r="BZ474" s="139">
        <v>0</v>
      </c>
      <c r="CA474" s="138">
        <v>26</v>
      </c>
      <c r="CB474" s="138">
        <v>43</v>
      </c>
      <c r="CC474" s="138">
        <v>25</v>
      </c>
      <c r="CD474" s="135">
        <v>45017</v>
      </c>
      <c r="CE474" s="138">
        <v>131</v>
      </c>
      <c r="CF474" s="138">
        <v>68</v>
      </c>
      <c r="CG474" s="138" t="str">
        <f t="shared" si="366"/>
        <v>В работе</v>
      </c>
      <c r="CH474" s="138" t="s">
        <v>196</v>
      </c>
      <c r="CI474" s="127"/>
      <c r="CJ474" s="138"/>
      <c r="CK474" s="138">
        <f t="shared" si="356"/>
        <v>29</v>
      </c>
      <c r="CL474" s="99"/>
      <c r="CM474" s="99"/>
      <c r="CN474" s="140">
        <v>55</v>
      </c>
      <c r="CO474" s="141">
        <f t="shared" si="324"/>
        <v>6.6879999999999997</v>
      </c>
      <c r="CP474" s="142">
        <v>8</v>
      </c>
      <c r="CQ474" s="143">
        <v>0</v>
      </c>
      <c r="CR474" s="138">
        <v>13.5</v>
      </c>
      <c r="CS474" s="139">
        <v>7.2</v>
      </c>
      <c r="CT474" s="138"/>
      <c r="CU474" s="138">
        <f t="shared" si="370"/>
        <v>6.3</v>
      </c>
      <c r="CV474" s="115">
        <f t="shared" si="368"/>
        <v>941.98564593301444</v>
      </c>
      <c r="CW474" s="115">
        <f t="shared" si="325"/>
        <v>1076.5550239234451</v>
      </c>
      <c r="CX474" s="133">
        <f t="shared" si="369"/>
        <v>0.10526315789473684</v>
      </c>
      <c r="CY474" s="116"/>
      <c r="CZ474" s="131"/>
      <c r="DA474" s="145" t="str">
        <f t="shared" si="326"/>
        <v>Газлифт</v>
      </c>
      <c r="DB474" s="146">
        <f t="shared" si="341"/>
        <v>6.6879999999999997</v>
      </c>
      <c r="DC474" s="142">
        <f t="shared" si="342"/>
        <v>8</v>
      </c>
      <c r="DD474" s="119">
        <f t="shared" si="350"/>
        <v>0</v>
      </c>
      <c r="DE474" s="115">
        <f t="shared" si="343"/>
        <v>6.3</v>
      </c>
      <c r="DF474" s="121">
        <f t="shared" si="328"/>
        <v>7.2</v>
      </c>
      <c r="DG474" s="115">
        <f t="shared" si="329"/>
        <v>941.98564593301444</v>
      </c>
      <c r="DH474" s="115">
        <f t="shared" si="330"/>
        <v>55</v>
      </c>
      <c r="DI474" s="147"/>
      <c r="DJ474" s="111" t="s">
        <v>197</v>
      </c>
      <c r="DK474" s="112">
        <v>43314</v>
      </c>
      <c r="DL474" s="113">
        <f t="shared" ca="1" si="359"/>
        <v>1790</v>
      </c>
      <c r="DM474" s="114"/>
      <c r="DN474" s="114"/>
      <c r="DO474" s="114"/>
      <c r="DP474" s="114"/>
      <c r="DQ474" s="112">
        <v>43314</v>
      </c>
      <c r="DR474" s="114" t="s">
        <v>324</v>
      </c>
      <c r="DS474" s="114"/>
      <c r="DT474" s="115">
        <v>54</v>
      </c>
      <c r="DU474" s="116">
        <f t="shared" si="360"/>
        <v>0.10478195488721805</v>
      </c>
      <c r="DV474" s="117">
        <f t="shared" si="361"/>
        <v>6.7450239999999999</v>
      </c>
      <c r="DW474" s="118">
        <f t="shared" si="362"/>
        <v>8.0682105263157897</v>
      </c>
      <c r="DX474" s="119">
        <f t="shared" si="331"/>
        <v>0</v>
      </c>
      <c r="DY474" s="115">
        <f t="shared" si="363"/>
        <v>6.3537157894736849</v>
      </c>
      <c r="DZ474" s="117">
        <f t="shared" si="364"/>
        <v>5.7024000000000186E-2</v>
      </c>
      <c r="EA474" s="120">
        <f t="shared" si="364"/>
        <v>6.8210526315789721E-2</v>
      </c>
      <c r="EB474" s="119">
        <f t="shared" si="364"/>
        <v>0</v>
      </c>
      <c r="EC474" s="121">
        <f t="shared" si="365"/>
        <v>5.3715789473685049E-2</v>
      </c>
      <c r="ED474" s="122"/>
      <c r="EE474" s="145">
        <v>65</v>
      </c>
      <c r="EF474" s="115">
        <v>27</v>
      </c>
      <c r="EG474" s="115">
        <v>45</v>
      </c>
      <c r="EH474" s="115">
        <v>26</v>
      </c>
      <c r="EI474" s="128" t="s">
        <v>195</v>
      </c>
      <c r="EJ474" s="121">
        <v>24</v>
      </c>
      <c r="EK474" s="121">
        <v>0</v>
      </c>
      <c r="EL474" s="149">
        <v>6.6879999999999997</v>
      </c>
      <c r="EM474" s="142">
        <v>8</v>
      </c>
      <c r="EN474" s="119">
        <v>0</v>
      </c>
      <c r="EO474" s="115">
        <v>12</v>
      </c>
      <c r="EP474" s="115">
        <v>717.7033492822967</v>
      </c>
      <c r="EQ474" s="115">
        <v>70</v>
      </c>
      <c r="ER474" s="115">
        <v>7.2</v>
      </c>
      <c r="ES474" s="115">
        <v>55</v>
      </c>
      <c r="ET474" s="150">
        <v>0.10526315789473684</v>
      </c>
      <c r="EU474" s="145">
        <f t="shared" si="332"/>
        <v>65</v>
      </c>
      <c r="EV474" s="115">
        <f t="shared" si="333"/>
        <v>26</v>
      </c>
      <c r="EW474" s="115">
        <f t="shared" si="333"/>
        <v>43</v>
      </c>
      <c r="EX474" s="115">
        <f t="shared" si="333"/>
        <v>25</v>
      </c>
      <c r="EY474" s="115" t="str">
        <f t="shared" si="357"/>
        <v>Постоянный</v>
      </c>
      <c r="EZ474" s="115">
        <f t="shared" si="357"/>
        <v>24</v>
      </c>
      <c r="FA474" s="115">
        <f t="shared" si="357"/>
        <v>0</v>
      </c>
      <c r="FB474" s="149">
        <f t="shared" si="345"/>
        <v>6.6879999999999997</v>
      </c>
      <c r="FC474" s="142">
        <f t="shared" si="345"/>
        <v>8</v>
      </c>
      <c r="FD474" s="119">
        <f t="shared" si="345"/>
        <v>0</v>
      </c>
      <c r="FE474" s="121">
        <f t="shared" si="344"/>
        <v>13.5</v>
      </c>
      <c r="FF474" s="121">
        <f t="shared" si="347"/>
        <v>941.98564593301444</v>
      </c>
      <c r="FG474" s="121">
        <f t="shared" si="334"/>
        <v>68</v>
      </c>
      <c r="FH474" s="121">
        <f t="shared" si="358"/>
        <v>7.2</v>
      </c>
      <c r="FI474" s="121">
        <f t="shared" si="355"/>
        <v>55</v>
      </c>
      <c r="FJ474" s="144">
        <f t="shared" si="335"/>
        <v>0.10526315789473684</v>
      </c>
      <c r="FK474" s="132">
        <f t="shared" si="336"/>
        <v>0</v>
      </c>
      <c r="FL474" s="115">
        <f t="shared" si="336"/>
        <v>-1</v>
      </c>
      <c r="FM474" s="115">
        <f t="shared" si="336"/>
        <v>-2</v>
      </c>
      <c r="FN474" s="115">
        <f t="shared" si="336"/>
        <v>-1</v>
      </c>
      <c r="FO474" s="115">
        <f t="shared" si="354"/>
        <v>0</v>
      </c>
      <c r="FP474" s="115">
        <f t="shared" si="354"/>
        <v>0</v>
      </c>
      <c r="FQ474" s="149">
        <f t="shared" si="354"/>
        <v>0</v>
      </c>
      <c r="FR474" s="142">
        <f t="shared" si="354"/>
        <v>0</v>
      </c>
      <c r="FS474" s="119">
        <f t="shared" si="354"/>
        <v>0</v>
      </c>
      <c r="FT474" s="121">
        <f t="shared" si="353"/>
        <v>1.5</v>
      </c>
      <c r="FU474" s="121">
        <f t="shared" si="337"/>
        <v>-2</v>
      </c>
      <c r="FV474" s="121">
        <f t="shared" si="337"/>
        <v>0</v>
      </c>
      <c r="FW474" s="121">
        <f t="shared" si="338"/>
        <v>224.28229665071774</v>
      </c>
      <c r="FX474" s="121">
        <f t="shared" si="339"/>
        <v>0</v>
      </c>
      <c r="FY474" s="144">
        <f t="shared" si="339"/>
        <v>0</v>
      </c>
      <c r="FZ474" s="145"/>
      <c r="GA474" s="151"/>
      <c r="GB474" s="145" t="s">
        <v>199</v>
      </c>
      <c r="GC474" s="151" t="s">
        <v>415</v>
      </c>
      <c r="GD474" s="997" t="s">
        <v>202</v>
      </c>
      <c r="GE474" s="1004" t="s">
        <v>199</v>
      </c>
      <c r="GF474" s="1004">
        <v>-1.6719999999999997</v>
      </c>
      <c r="GG474" s="1004"/>
      <c r="GH474" s="1004">
        <v>0.75239999999999974</v>
      </c>
      <c r="GI474" s="145"/>
      <c r="GJ474" s="996">
        <v>0</v>
      </c>
      <c r="GK474" s="145"/>
      <c r="GL474" s="996">
        <v>0</v>
      </c>
      <c r="GM474" s="1005"/>
      <c r="GN474" s="996">
        <v>0</v>
      </c>
      <c r="GO474" s="1006"/>
      <c r="GP474" s="996">
        <v>-0.75239999999999974</v>
      </c>
      <c r="GQ474" s="1006" t="s">
        <v>241</v>
      </c>
      <c r="GR474" s="996">
        <v>-2.1736000000000004</v>
      </c>
      <c r="GS474" s="1006" t="s">
        <v>199</v>
      </c>
      <c r="GT474" s="996">
        <v>2.1518639999999998</v>
      </c>
      <c r="GU474" s="1006" t="s">
        <v>204</v>
      </c>
      <c r="GV474" s="996">
        <v>1.6937360000000004</v>
      </c>
      <c r="GW474" s="1006"/>
      <c r="GX474" s="996">
        <v>-0.8360000000000003</v>
      </c>
      <c r="GY474" s="1006"/>
      <c r="GZ474" s="996">
        <v>-1.0031999999999988</v>
      </c>
      <c r="HA474" s="1006"/>
      <c r="HB474" s="996">
        <v>0</v>
      </c>
      <c r="HC474" s="1006" t="s">
        <v>204</v>
      </c>
      <c r="HD474" s="996">
        <v>0.53719999999999857</v>
      </c>
      <c r="HE474" s="1006"/>
      <c r="HF474" s="996">
        <v>0.84436000000000089</v>
      </c>
      <c r="HG474" s="1006" t="s">
        <v>199</v>
      </c>
      <c r="HH474" s="996">
        <v>-1.4295600000000004</v>
      </c>
      <c r="HI474" s="1006" t="s">
        <v>223</v>
      </c>
      <c r="HJ474" s="996">
        <v>-2.1735999999999995</v>
      </c>
      <c r="HK474" s="1006"/>
      <c r="HL474" s="996">
        <v>0</v>
      </c>
      <c r="HM474" s="1006" t="s">
        <v>199</v>
      </c>
      <c r="HN474" s="996">
        <v>2.1735999999999995</v>
      </c>
      <c r="HO474" s="1006"/>
      <c r="HP474" s="996">
        <v>0</v>
      </c>
      <c r="HQ474" s="1006"/>
      <c r="HR474" s="996">
        <v>-0.16719999999999935</v>
      </c>
      <c r="HS474" s="1006"/>
      <c r="HT474" s="996">
        <v>-0.80256000000000061</v>
      </c>
      <c r="HU474" s="1006"/>
      <c r="HV474" s="996">
        <v>-0.28424000000000049</v>
      </c>
      <c r="HW474" s="1006"/>
      <c r="HX474" s="996">
        <v>-0.45979999999999954</v>
      </c>
      <c r="HY474" s="1006"/>
      <c r="HZ474" s="996">
        <v>0</v>
      </c>
      <c r="IA474" s="1006"/>
      <c r="IB474" s="996">
        <v>-0.23408000000000051</v>
      </c>
      <c r="IC474" s="1006" t="s">
        <v>199</v>
      </c>
      <c r="ID474" s="996">
        <v>-3.7369199999999996</v>
      </c>
      <c r="IE474" s="1006"/>
      <c r="IF474" s="996">
        <v>0</v>
      </c>
      <c r="IG474" s="1006"/>
      <c r="IH474" s="996">
        <v>0</v>
      </c>
      <c r="II474" s="1006"/>
      <c r="IJ474" s="996">
        <v>0</v>
      </c>
      <c r="IK474" s="1006" t="s">
        <v>239</v>
      </c>
      <c r="IL474" s="996">
        <v>0</v>
      </c>
      <c r="IM474" s="1006"/>
      <c r="IN474" s="996">
        <v>0</v>
      </c>
      <c r="IO474" s="1006"/>
      <c r="IP474" s="996">
        <v>0</v>
      </c>
      <c r="IQ474" s="1006"/>
      <c r="IR474" s="996">
        <v>0</v>
      </c>
      <c r="IS474" s="1006" t="s">
        <v>199</v>
      </c>
      <c r="IT474" s="996">
        <v>1.5048000000000012</v>
      </c>
      <c r="IU474" s="1006" t="s">
        <v>199</v>
      </c>
      <c r="IV474" s="996">
        <v>-1.6720000000000006</v>
      </c>
      <c r="IW474" s="1006"/>
      <c r="IX474" s="996">
        <v>0</v>
      </c>
      <c r="IY474" s="1006"/>
      <c r="IZ474" s="996">
        <v>0</v>
      </c>
      <c r="JA474" s="1006"/>
      <c r="JB474" s="996">
        <v>0</v>
      </c>
      <c r="JC474" s="1006" t="s">
        <v>199</v>
      </c>
      <c r="JD474" s="996">
        <v>-2.4126959999999986</v>
      </c>
      <c r="JE474" s="1006" t="s">
        <v>204</v>
      </c>
      <c r="JF474" s="996">
        <v>-3.4239215999999999</v>
      </c>
      <c r="JG474" s="1006"/>
      <c r="JH474" s="996">
        <v>0</v>
      </c>
      <c r="JI474" s="1006"/>
      <c r="JJ474" s="996">
        <v>0</v>
      </c>
      <c r="JK474" s="1007"/>
      <c r="JL474" s="1007">
        <v>0</v>
      </c>
      <c r="JM474" s="1007"/>
      <c r="JN474" s="1007">
        <v>0</v>
      </c>
      <c r="JO474" s="1008"/>
      <c r="JP474" s="1007">
        <v>0</v>
      </c>
      <c r="JQ474" s="1008">
        <v>0</v>
      </c>
      <c r="JR474" s="1007">
        <v>-1.5382400000000018E-2</v>
      </c>
      <c r="JS474" s="1008">
        <v>0</v>
      </c>
      <c r="JT474" s="1007">
        <v>0</v>
      </c>
      <c r="JU474" s="1008"/>
      <c r="JV474" s="1007">
        <v>0</v>
      </c>
      <c r="JW474" s="1008" t="s">
        <v>197</v>
      </c>
      <c r="JX474" s="1007">
        <v>0</v>
      </c>
      <c r="JY474" s="1008"/>
      <c r="JZ474" s="1007">
        <v>0</v>
      </c>
      <c r="KA474" s="1008"/>
      <c r="KB474" s="1007">
        <v>0</v>
      </c>
      <c r="KC474" s="1008" t="s">
        <v>199</v>
      </c>
      <c r="KD474" s="1007">
        <v>-6.6880000000000024</v>
      </c>
      <c r="KE474" s="1008" t="s">
        <v>199</v>
      </c>
      <c r="KF474" s="1007">
        <v>10.868</v>
      </c>
      <c r="KG474" s="1008" t="s">
        <v>207</v>
      </c>
      <c r="KH474" s="1007">
        <v>-8.3599999999999977</v>
      </c>
      <c r="KI474" s="1008"/>
      <c r="KJ474" s="1007">
        <v>0</v>
      </c>
      <c r="KK474" s="1008" t="s">
        <v>435</v>
      </c>
      <c r="KL474" s="1007">
        <v>-9.3297599999999967</v>
      </c>
      <c r="KM474" s="1008" t="s">
        <v>203</v>
      </c>
      <c r="KN474" s="1007">
        <v>-9.3731074360000051</v>
      </c>
      <c r="KO474" s="1008"/>
      <c r="KP474" s="1007"/>
      <c r="KQ474" s="1008">
        <v>0</v>
      </c>
      <c r="KR474" s="1007">
        <v>0</v>
      </c>
      <c r="KS474" s="1008">
        <v>0</v>
      </c>
      <c r="KT474" s="1007">
        <v>0</v>
      </c>
      <c r="KU474" s="1008">
        <v>0</v>
      </c>
      <c r="KV474" s="1007">
        <v>0</v>
      </c>
      <c r="KW474" s="1008">
        <v>0</v>
      </c>
      <c r="KX474" s="1007">
        <v>0</v>
      </c>
      <c r="KY474" s="1008">
        <v>0</v>
      </c>
      <c r="KZ474" s="1007">
        <v>0</v>
      </c>
      <c r="LA474" s="1008">
        <v>0</v>
      </c>
      <c r="LB474" s="1007">
        <v>0</v>
      </c>
      <c r="LC474" s="1008">
        <v>0</v>
      </c>
      <c r="LD474" s="1007">
        <v>0</v>
      </c>
      <c r="LE474" s="1008">
        <v>0</v>
      </c>
      <c r="LF474" s="1007">
        <v>0</v>
      </c>
      <c r="LG474" s="1008">
        <v>0</v>
      </c>
      <c r="LH474" s="1007">
        <v>0</v>
      </c>
      <c r="LI474" s="1008">
        <v>0</v>
      </c>
      <c r="LJ474" s="1007">
        <v>0</v>
      </c>
      <c r="LK474" s="1008">
        <v>0</v>
      </c>
      <c r="LL474" s="1007">
        <v>0</v>
      </c>
      <c r="LM474" s="1008">
        <v>0</v>
      </c>
      <c r="LN474" s="1007">
        <v>0</v>
      </c>
      <c r="LO474" s="1008">
        <v>0</v>
      </c>
      <c r="LP474" s="1007">
        <v>0</v>
      </c>
      <c r="LQ474" s="1008">
        <v>0</v>
      </c>
      <c r="LR474" s="1007">
        <v>0</v>
      </c>
      <c r="LS474" s="1008">
        <v>0</v>
      </c>
      <c r="LT474" s="1007">
        <v>0</v>
      </c>
      <c r="LU474" s="1008">
        <v>0</v>
      </c>
      <c r="LV474" s="1007">
        <v>0</v>
      </c>
      <c r="LW474" s="1008">
        <v>0</v>
      </c>
      <c r="LX474" s="1007">
        <v>0</v>
      </c>
      <c r="LY474" s="1009">
        <v>0</v>
      </c>
      <c r="LZ474" s="1010">
        <v>0</v>
      </c>
      <c r="MA474" s="1011">
        <v>0</v>
      </c>
      <c r="MB474" s="1012">
        <v>0</v>
      </c>
      <c r="MC474" s="995"/>
      <c r="MD474" s="996"/>
      <c r="ME474" s="997" t="s">
        <v>202</v>
      </c>
      <c r="MF474" s="997"/>
      <c r="MG474" s="998"/>
      <c r="NR474" s="1000"/>
      <c r="NS474" s="1000"/>
      <c r="NT474" s="1001"/>
      <c r="NU474" s="1000"/>
      <c r="NV474" s="1001"/>
      <c r="NX474" s="1002"/>
      <c r="NZ474" s="1001"/>
      <c r="OA474" s="1001"/>
      <c r="OC474" s="1003"/>
      <c r="OD474" s="1003"/>
      <c r="OE474" s="1001"/>
      <c r="OF474" s="1003"/>
      <c r="OG474" s="1003"/>
      <c r="QX474" s="1000">
        <f>CN474-CA474</f>
        <v>29</v>
      </c>
      <c r="ASU474" s="999" t="s">
        <v>208</v>
      </c>
    </row>
    <row r="475" spans="1:466 1191:1191" ht="21" customHeight="1" x14ac:dyDescent="0.25">
      <c r="A475" s="982">
        <f t="shared" si="323"/>
        <v>1557</v>
      </c>
      <c r="B475" s="124">
        <f>SUBTOTAL(103,$J$29:J475)</f>
        <v>447</v>
      </c>
      <c r="C475" s="126">
        <v>45068</v>
      </c>
      <c r="D475" s="124" t="s">
        <v>176</v>
      </c>
      <c r="E475" s="127" t="s">
        <v>177</v>
      </c>
      <c r="F475" s="128" t="s">
        <v>177</v>
      </c>
      <c r="G475" s="127" t="s">
        <v>178</v>
      </c>
      <c r="H475" s="127" t="s">
        <v>179</v>
      </c>
      <c r="I475" s="127" t="s">
        <v>1299</v>
      </c>
      <c r="J475" s="152">
        <v>1557</v>
      </c>
      <c r="K475" s="127" t="s">
        <v>1299</v>
      </c>
      <c r="L475" s="130">
        <v>43476</v>
      </c>
      <c r="M475" s="127" t="s">
        <v>230</v>
      </c>
      <c r="N475" s="127" t="s">
        <v>184</v>
      </c>
      <c r="O475" s="127" t="s">
        <v>185</v>
      </c>
      <c r="P475" s="127" t="s">
        <v>186</v>
      </c>
      <c r="Q475" s="85" t="str">
        <f t="shared" si="367"/>
        <v/>
      </c>
      <c r="R475" s="130"/>
      <c r="S475" s="128"/>
      <c r="T475" s="131"/>
      <c r="U475" s="132">
        <v>203</v>
      </c>
      <c r="V475" s="121">
        <v>218.2</v>
      </c>
      <c r="W475" s="116">
        <v>0.98</v>
      </c>
      <c r="X475" s="116">
        <v>1.66</v>
      </c>
      <c r="Y475" s="116">
        <f t="shared" si="346"/>
        <v>0.98862606015377541</v>
      </c>
      <c r="Z475" s="133">
        <v>1.454</v>
      </c>
      <c r="AA475" s="133">
        <v>0.83599999999999997</v>
      </c>
      <c r="AB475" s="133">
        <v>0.72</v>
      </c>
      <c r="AC475" s="121">
        <v>34.299999999999997</v>
      </c>
      <c r="AD475" s="134">
        <v>1.17</v>
      </c>
      <c r="AE475" s="124">
        <v>177.8</v>
      </c>
      <c r="AF475" s="128">
        <v>9.19</v>
      </c>
      <c r="AG475" s="128">
        <v>2393</v>
      </c>
      <c r="AH475" s="127">
        <v>3150</v>
      </c>
      <c r="AI475" s="127">
        <v>3150</v>
      </c>
      <c r="AJ475" s="135"/>
      <c r="AK475" s="128"/>
      <c r="AL475" s="131"/>
      <c r="AM475" s="124" t="s">
        <v>985</v>
      </c>
      <c r="AN475" s="136" t="s">
        <v>1752</v>
      </c>
      <c r="AO475" s="137">
        <v>10.649999999999864</v>
      </c>
      <c r="AP475" s="128">
        <v>2522</v>
      </c>
      <c r="AQ475" s="128">
        <v>588.27</v>
      </c>
      <c r="AR475" s="128" t="s">
        <v>1753</v>
      </c>
      <c r="AS475" s="128">
        <v>114</v>
      </c>
      <c r="AT475" s="122">
        <v>7.37</v>
      </c>
      <c r="AU475" s="124" t="s">
        <v>189</v>
      </c>
      <c r="AV475" s="115">
        <f>VLOOKUP(J475,'[63]ТР нефть'!$J$28:$BP$638,39,0)</f>
        <v>460.00001513699999</v>
      </c>
      <c r="AW475" s="115" t="str">
        <f>VLOOKUP(J475,'[63]ТР нефть'!$J$28:$BP$638,40,0)</f>
        <v>ГП</v>
      </c>
      <c r="AX475" s="115">
        <f>VLOOKUP(J475,'[63]ТР нефть'!$J$28:$BP$638,41,0)</f>
        <v>893.00000390599996</v>
      </c>
      <c r="AY475" s="115" t="str">
        <f>VLOOKUP(J475,'[63]ТР нефть'!$J$28:$BP$638,42,0)</f>
        <v>ГП</v>
      </c>
      <c r="AZ475" s="115">
        <f>VLOOKUP(J475,'[63]ТР нефть'!$J$28:$BP$638,43,0)</f>
        <v>1278.0000574220001</v>
      </c>
      <c r="BA475" s="115" t="str">
        <f>VLOOKUP(J475,'[63]ТР нефть'!$J$28:$BP$638,44,0)</f>
        <v>ГП</v>
      </c>
      <c r="BB475" s="115">
        <f>VLOOKUP(J475,'[63]ТР нефть'!$J$28:$BP$638,45,0)</f>
        <v>1562.9999636719999</v>
      </c>
      <c r="BC475" s="115" t="str">
        <f>VLOOKUP(J475,'[63]ТР нефть'!$J$28:$BP$638,46,0)</f>
        <v>ГК83 1/8</v>
      </c>
      <c r="BD475" s="115">
        <f>VLOOKUP(J475,'[63]ТР нефть'!$J$28:$BP$638,47,0)</f>
        <v>1799.999971875</v>
      </c>
      <c r="BE475" s="115" t="str">
        <f>VLOOKUP(J475,'[63]ТР нефть'!$J$28:$BP$638,48,0)</f>
        <v>ЦКсОК 5/16</v>
      </c>
      <c r="BF475" s="115" t="str">
        <f>VLOOKUP(J475,'[63]ТР нефть'!$J$28:$BP$638,49,0)</f>
        <v>-</v>
      </c>
      <c r="BG475" s="115" t="str">
        <f>VLOOKUP(J475,'[63]ТР нефть'!$J$28:$BP$638,50,0)</f>
        <v>-</v>
      </c>
      <c r="BH475" s="115">
        <f>VLOOKUP(J475,'[63]ТР нефть'!$J$28:$BP$638,51,0)</f>
        <v>1810</v>
      </c>
      <c r="BI475" s="115" t="str">
        <f>VLOOKUP(J475,'[63]ТР нефть'!$J$28:$BP$638,52,0)</f>
        <v>закрыт</v>
      </c>
      <c r="BJ475" s="115" t="str">
        <f>IF(IFERROR(VLOOKUP(J475,'[63]ТР нефть'!$J$28:$BP$638,53,0),"-")=0,"-",IFERROR(VLOOKUP(J475,'[63]ТР нефть'!$J$28:$BP$638,53,0),"-"))</f>
        <v>-</v>
      </c>
      <c r="BK475" s="138" t="str">
        <f>IF(IFERROR(VLOOKUP(J475,'[63]ТР нефть'!$J$28:$BP$638,54,0),"-")=0,"-",IFERROR(VLOOKUP(J475,'[63]ТР нефть'!$J$28:$BP$638,54,0),"-"))</f>
        <v>-</v>
      </c>
      <c r="BL475" s="138" t="str">
        <f>IF(IFERROR(VLOOKUP(J475,'[63]ТР нефть'!$J$28:$BP$638,55,0),"-")=0,"-",IFERROR(VLOOKUP(J475,'[63]ТР нефть'!$J$28:$BP$638,55,0),"-"))</f>
        <v>-</v>
      </c>
      <c r="BM475" s="138" t="str">
        <f>IF(IFERROR(VLOOKUP(J475,'[63]ТР нефть'!$J$28:$BP$638,56,0),"-")=0,"-",IFERROR(VLOOKUP(J475,'[63]ТР нефть'!$J$28:$BP$638,56,0),"-"))</f>
        <v>-</v>
      </c>
      <c r="BN475" s="138" t="str">
        <f>IF(IFERROR(VLOOKUP(J475,'[63]ТР нефть'!$J$28:$BP$638,57,0),"-")=0,"-",IFERROR(VLOOKUP(J475,'[63]ТР нефть'!$J$28:$BP$638,57,0),"-"))</f>
        <v>-</v>
      </c>
      <c r="BO475" s="115" t="str">
        <f>IF(IFERROR(VLOOKUP(J475,'[63]ТР нефть'!$J$28:$BP$638,58,0),"-")=0,"-",IFERROR(VLOOKUP(J475,'[63]ТР нефть'!$J$28:$BP$638,58,0),"-"))</f>
        <v>-</v>
      </c>
      <c r="BP475" s="115" t="str">
        <f>IF(IFERROR(VLOOKUP(J475,'[63]ТР нефть'!$J$28:$BP$638,59,0),"-")=0,"-",IFERROR(VLOOKUP(J475,'[63]ТР нефть'!$J$28:$BP$638,59,0),"-"))</f>
        <v>-</v>
      </c>
      <c r="BQ475" s="138">
        <v>2337</v>
      </c>
      <c r="BR475" s="128">
        <v>1838.27</v>
      </c>
      <c r="BS475" s="115">
        <f t="shared" si="351"/>
        <v>498.73</v>
      </c>
      <c r="BT475" s="128">
        <v>73</v>
      </c>
      <c r="BU475" s="128">
        <v>5.5</v>
      </c>
      <c r="BV475" s="127">
        <v>65</v>
      </c>
      <c r="BW475" s="127" t="s">
        <v>217</v>
      </c>
      <c r="BX475" s="127" t="s">
        <v>195</v>
      </c>
      <c r="BY475" s="139">
        <v>24</v>
      </c>
      <c r="BZ475" s="139">
        <v>0</v>
      </c>
      <c r="CA475" s="138">
        <v>26</v>
      </c>
      <c r="CB475" s="138">
        <v>45</v>
      </c>
      <c r="CC475" s="138">
        <v>25</v>
      </c>
      <c r="CD475" s="135">
        <v>45017</v>
      </c>
      <c r="CE475" s="138">
        <v>158</v>
      </c>
      <c r="CF475" s="138">
        <v>71</v>
      </c>
      <c r="CG475" s="138" t="str">
        <f t="shared" si="366"/>
        <v>В работе</v>
      </c>
      <c r="CH475" s="138" t="s">
        <v>272</v>
      </c>
      <c r="CI475" s="127"/>
      <c r="CJ475" s="138"/>
      <c r="CK475" s="138">
        <f t="shared" si="356"/>
        <v>26</v>
      </c>
      <c r="CL475" s="99"/>
      <c r="CM475" s="99"/>
      <c r="CN475" s="140">
        <v>52</v>
      </c>
      <c r="CO475" s="141">
        <f t="shared" si="324"/>
        <v>8.1819319999999998</v>
      </c>
      <c r="CP475" s="142">
        <v>10</v>
      </c>
      <c r="CQ475" s="143">
        <v>2.13</v>
      </c>
      <c r="CR475" s="138">
        <v>15</v>
      </c>
      <c r="CS475" s="139">
        <v>12</v>
      </c>
      <c r="CT475" s="138"/>
      <c r="CU475" s="138">
        <f t="shared" si="370"/>
        <v>3</v>
      </c>
      <c r="CV475" s="115">
        <f t="shared" si="368"/>
        <v>366.6615659968819</v>
      </c>
      <c r="CW475" s="115">
        <f t="shared" si="325"/>
        <v>1423.7263522018998</v>
      </c>
      <c r="CX475" s="133">
        <f t="shared" si="369"/>
        <v>9.4339622641509441E-2</v>
      </c>
      <c r="CY475" s="116"/>
      <c r="CZ475" s="131"/>
      <c r="DA475" s="145" t="str">
        <f t="shared" si="326"/>
        <v>Газлифт</v>
      </c>
      <c r="DB475" s="146">
        <f t="shared" si="341"/>
        <v>8.1819319999999998</v>
      </c>
      <c r="DC475" s="142">
        <f t="shared" si="342"/>
        <v>10</v>
      </c>
      <c r="DD475" s="119">
        <f t="shared" si="350"/>
        <v>2.13</v>
      </c>
      <c r="DE475" s="115">
        <f t="shared" si="343"/>
        <v>3</v>
      </c>
      <c r="DF475" s="121">
        <f t="shared" si="328"/>
        <v>12</v>
      </c>
      <c r="DG475" s="115">
        <f t="shared" si="329"/>
        <v>366.6615659968819</v>
      </c>
      <c r="DH475" s="115">
        <f t="shared" si="330"/>
        <v>52</v>
      </c>
      <c r="DI475" s="147"/>
      <c r="DJ475" s="111" t="s">
        <v>197</v>
      </c>
      <c r="DK475" s="112">
        <v>43902</v>
      </c>
      <c r="DL475" s="113">
        <f t="shared" ca="1" si="359"/>
        <v>1202</v>
      </c>
      <c r="DM475" s="114"/>
      <c r="DN475" s="114"/>
      <c r="DO475" s="114"/>
      <c r="DP475" s="114"/>
      <c r="DQ475" s="112">
        <v>43476</v>
      </c>
      <c r="DR475" s="114" t="s">
        <v>324</v>
      </c>
      <c r="DS475" s="114"/>
      <c r="DT475" s="115">
        <v>60</v>
      </c>
      <c r="DU475" s="116">
        <f t="shared" si="360"/>
        <v>0.10204081632653061</v>
      </c>
      <c r="DV475" s="117">
        <f t="shared" si="361"/>
        <v>8.1819319999999998</v>
      </c>
      <c r="DW475" s="118">
        <f t="shared" si="362"/>
        <v>10</v>
      </c>
      <c r="DX475" s="119">
        <f t="shared" si="331"/>
        <v>2.13</v>
      </c>
      <c r="DY475" s="115">
        <f t="shared" si="363"/>
        <v>3</v>
      </c>
      <c r="DZ475" s="117">
        <f t="shared" si="364"/>
        <v>0</v>
      </c>
      <c r="EA475" s="120">
        <f t="shared" si="364"/>
        <v>0</v>
      </c>
      <c r="EB475" s="119">
        <f t="shared" si="364"/>
        <v>0</v>
      </c>
      <c r="EC475" s="121">
        <f t="shared" si="365"/>
        <v>0</v>
      </c>
      <c r="ED475" s="122"/>
      <c r="EE475" s="145">
        <v>65</v>
      </c>
      <c r="EF475" s="115">
        <v>27</v>
      </c>
      <c r="EG475" s="115">
        <v>42</v>
      </c>
      <c r="EH475" s="115">
        <v>26</v>
      </c>
      <c r="EI475" s="128" t="s">
        <v>195</v>
      </c>
      <c r="EJ475" s="121">
        <v>24</v>
      </c>
      <c r="EK475" s="121">
        <v>0</v>
      </c>
      <c r="EL475" s="149">
        <v>8.9183058800000001</v>
      </c>
      <c r="EM475" s="142">
        <v>10.9</v>
      </c>
      <c r="EN475" s="119">
        <v>2.13</v>
      </c>
      <c r="EO475" s="115">
        <v>15.6</v>
      </c>
      <c r="EP475" s="115">
        <v>627.92194788456845</v>
      </c>
      <c r="EQ475" s="115">
        <v>70</v>
      </c>
      <c r="ER475" s="115">
        <v>10</v>
      </c>
      <c r="ES475" s="115">
        <v>47</v>
      </c>
      <c r="ET475" s="150">
        <v>9.8198198198198208E-2</v>
      </c>
      <c r="EU475" s="145">
        <f t="shared" si="332"/>
        <v>65</v>
      </c>
      <c r="EV475" s="115">
        <f t="shared" si="333"/>
        <v>26</v>
      </c>
      <c r="EW475" s="115">
        <f t="shared" si="333"/>
        <v>45</v>
      </c>
      <c r="EX475" s="115">
        <f t="shared" si="333"/>
        <v>25</v>
      </c>
      <c r="EY475" s="115" t="str">
        <f t="shared" si="357"/>
        <v>Постоянный</v>
      </c>
      <c r="EZ475" s="115">
        <f t="shared" si="357"/>
        <v>24</v>
      </c>
      <c r="FA475" s="115">
        <f t="shared" si="357"/>
        <v>0</v>
      </c>
      <c r="FB475" s="149">
        <f t="shared" si="345"/>
        <v>8.1819319999999998</v>
      </c>
      <c r="FC475" s="142">
        <f t="shared" si="345"/>
        <v>10</v>
      </c>
      <c r="FD475" s="119">
        <f t="shared" si="345"/>
        <v>2.13</v>
      </c>
      <c r="FE475" s="121">
        <f t="shared" si="344"/>
        <v>15</v>
      </c>
      <c r="FF475" s="121">
        <f t="shared" si="347"/>
        <v>366.6615659968819</v>
      </c>
      <c r="FG475" s="121">
        <f t="shared" si="334"/>
        <v>71</v>
      </c>
      <c r="FH475" s="121">
        <f t="shared" si="358"/>
        <v>12</v>
      </c>
      <c r="FI475" s="121">
        <f t="shared" si="355"/>
        <v>52</v>
      </c>
      <c r="FJ475" s="144">
        <f t="shared" si="335"/>
        <v>9.4339622641509441E-2</v>
      </c>
      <c r="FK475" s="132">
        <f t="shared" si="336"/>
        <v>0</v>
      </c>
      <c r="FL475" s="115">
        <f t="shared" si="336"/>
        <v>-1</v>
      </c>
      <c r="FM475" s="115">
        <f t="shared" si="336"/>
        <v>3</v>
      </c>
      <c r="FN475" s="115">
        <f t="shared" si="336"/>
        <v>-1</v>
      </c>
      <c r="FO475" s="115">
        <f t="shared" si="354"/>
        <v>0</v>
      </c>
      <c r="FP475" s="115">
        <f t="shared" si="354"/>
        <v>0</v>
      </c>
      <c r="FQ475" s="149">
        <f t="shared" si="354"/>
        <v>-0.73637388000000037</v>
      </c>
      <c r="FR475" s="142">
        <f t="shared" si="354"/>
        <v>-0.90000000000000036</v>
      </c>
      <c r="FS475" s="119">
        <f t="shared" si="354"/>
        <v>0</v>
      </c>
      <c r="FT475" s="121">
        <f t="shared" si="353"/>
        <v>-0.59999999999999964</v>
      </c>
      <c r="FU475" s="121">
        <f t="shared" si="337"/>
        <v>1</v>
      </c>
      <c r="FV475" s="121">
        <f t="shared" si="337"/>
        <v>2</v>
      </c>
      <c r="FW475" s="121">
        <f t="shared" si="338"/>
        <v>-261.26038188768655</v>
      </c>
      <c r="FX475" s="121">
        <f t="shared" si="339"/>
        <v>5</v>
      </c>
      <c r="FY475" s="144">
        <f t="shared" si="339"/>
        <v>-3.8585755566887675E-3</v>
      </c>
      <c r="FZ475" s="145"/>
      <c r="GA475" s="151"/>
      <c r="GB475" s="145"/>
      <c r="GC475" s="151"/>
      <c r="GD475" s="997" t="s">
        <v>202</v>
      </c>
      <c r="GE475" s="1004"/>
      <c r="GF475" s="1004">
        <v>0.88494445600000127</v>
      </c>
      <c r="GG475" s="1004"/>
      <c r="GH475" s="1004">
        <v>0</v>
      </c>
      <c r="GI475" s="145"/>
      <c r="GJ475" s="996">
        <v>0</v>
      </c>
      <c r="GK475" s="145"/>
      <c r="GL475" s="996">
        <v>0</v>
      </c>
      <c r="GM475" s="1005" t="s">
        <v>199</v>
      </c>
      <c r="GN475" s="996">
        <v>4.6893614239999994</v>
      </c>
      <c r="GO475" s="1006" t="s">
        <v>199</v>
      </c>
      <c r="GP475" s="996">
        <v>-7.1059999999999999</v>
      </c>
      <c r="GQ475" s="1006"/>
      <c r="GR475" s="996">
        <v>-1.9228000000000023E-2</v>
      </c>
      <c r="GS475" s="1006"/>
      <c r="GT475" s="996">
        <v>0</v>
      </c>
      <c r="GU475" s="1006"/>
      <c r="GV475" s="996">
        <v>-1.7556000000000793E-2</v>
      </c>
      <c r="GW475" s="1006"/>
      <c r="GX475" s="996">
        <v>0</v>
      </c>
      <c r="GY475" s="1006" t="s">
        <v>199</v>
      </c>
      <c r="GZ475" s="996">
        <v>-3.3097841920000022</v>
      </c>
      <c r="HA475" s="1006" t="s">
        <v>199</v>
      </c>
      <c r="HB475" s="996">
        <v>3.7655713920000036</v>
      </c>
      <c r="HC475" s="1006"/>
      <c r="HD475" s="996">
        <v>7.9704239999980331E-3</v>
      </c>
      <c r="HE475" s="1006"/>
      <c r="HF475" s="996">
        <v>0</v>
      </c>
      <c r="HG475" s="1006" t="s">
        <v>223</v>
      </c>
      <c r="HH475" s="996">
        <v>-1.8259928719999987</v>
      </c>
      <c r="HI475" s="1006"/>
      <c r="HJ475" s="996">
        <v>0</v>
      </c>
      <c r="HK475" s="1006"/>
      <c r="HL475" s="996">
        <v>0</v>
      </c>
      <c r="HM475" s="1006"/>
      <c r="HN475" s="996">
        <v>-6.5987151999999938E-2</v>
      </c>
      <c r="HO475" s="1006"/>
      <c r="HP475" s="996">
        <v>0.51965759999999861</v>
      </c>
      <c r="HQ475" s="1006"/>
      <c r="HR475" s="996">
        <v>0.35951427600000052</v>
      </c>
      <c r="HS475" s="1006" t="s">
        <v>643</v>
      </c>
      <c r="HT475" s="996">
        <v>0</v>
      </c>
      <c r="HU475" s="1006"/>
      <c r="HV475" s="996">
        <v>-0.23523451599999845</v>
      </c>
      <c r="HW475" s="1006" t="s">
        <v>363</v>
      </c>
      <c r="HX475" s="996">
        <v>11.114357495999998</v>
      </c>
      <c r="HY475" s="1006"/>
      <c r="HZ475" s="996">
        <v>0</v>
      </c>
      <c r="IA475" s="1006"/>
      <c r="IB475" s="996">
        <v>0</v>
      </c>
      <c r="IC475" s="1006"/>
      <c r="ID475" s="996">
        <v>-0.26003027599999995</v>
      </c>
      <c r="IE475" s="1006"/>
      <c r="IF475" s="996">
        <v>0</v>
      </c>
      <c r="IG475" s="1006"/>
      <c r="IH475" s="996">
        <v>0</v>
      </c>
      <c r="II475" s="1006"/>
      <c r="IJ475" s="996">
        <v>0</v>
      </c>
      <c r="IK475" s="1006"/>
      <c r="IL475" s="996">
        <v>0.13250182000000005</v>
      </c>
      <c r="IM475" s="1006"/>
      <c r="IN475" s="996">
        <v>0</v>
      </c>
      <c r="IO475" s="1006"/>
      <c r="IP475" s="996">
        <v>0</v>
      </c>
      <c r="IQ475" s="1006"/>
      <c r="IR475" s="996">
        <v>0</v>
      </c>
      <c r="IS475" s="1006"/>
      <c r="IT475" s="996">
        <v>0</v>
      </c>
      <c r="IU475" s="1006"/>
      <c r="IV475" s="996">
        <v>0</v>
      </c>
      <c r="IW475" s="1006"/>
      <c r="IX475" s="996">
        <v>0</v>
      </c>
      <c r="IY475" s="1006"/>
      <c r="IZ475" s="996">
        <v>0</v>
      </c>
      <c r="JA475" s="1006" t="s">
        <v>199</v>
      </c>
      <c r="JB475" s="996">
        <v>-8.9750033999999985</v>
      </c>
      <c r="JC475" s="1006" t="s">
        <v>239</v>
      </c>
      <c r="JD475" s="996">
        <v>-4.4207395759999972</v>
      </c>
      <c r="JE475" s="1006"/>
      <c r="JF475" s="996">
        <v>0</v>
      </c>
      <c r="JG475" s="1006"/>
      <c r="JH475" s="996">
        <v>0</v>
      </c>
      <c r="JI475" s="1006"/>
      <c r="JJ475" s="996">
        <v>-0.39407702400000311</v>
      </c>
      <c r="JK475" s="1007"/>
      <c r="JL475" s="1007">
        <v>0</v>
      </c>
      <c r="JM475" s="1007" t="s">
        <v>199</v>
      </c>
      <c r="JN475" s="1007">
        <v>-6.1552824080000015</v>
      </c>
      <c r="JO475" s="1008"/>
      <c r="JP475" s="1007">
        <v>0</v>
      </c>
      <c r="JQ475" s="1008">
        <v>0</v>
      </c>
      <c r="JR475" s="1007">
        <v>0</v>
      </c>
      <c r="JS475" s="1008">
        <v>0</v>
      </c>
      <c r="JT475" s="1007">
        <v>0</v>
      </c>
      <c r="JU475" s="1008" t="s">
        <v>204</v>
      </c>
      <c r="JV475" s="1007">
        <v>-8.4287375919999974</v>
      </c>
      <c r="JW475" s="1008" t="s">
        <v>205</v>
      </c>
      <c r="JX475" s="1007">
        <v>-4.7819199999999995</v>
      </c>
      <c r="JY475" s="1008" t="s">
        <v>203</v>
      </c>
      <c r="JZ475" s="1007">
        <v>-5.0996000000000024</v>
      </c>
      <c r="KA475" s="1008"/>
      <c r="KB475" s="1007">
        <v>0</v>
      </c>
      <c r="KC475" s="1008" t="s">
        <v>203</v>
      </c>
      <c r="KD475" s="1007">
        <v>-2.4243999999999986</v>
      </c>
      <c r="KE475" s="1008" t="s">
        <v>324</v>
      </c>
      <c r="KF475" s="1007">
        <v>40.963999999999999</v>
      </c>
      <c r="KG475" s="1008"/>
      <c r="KH475" s="1007"/>
      <c r="KI475" s="1008"/>
      <c r="KJ475" s="1007"/>
      <c r="KK475" s="1008"/>
      <c r="KL475" s="1007"/>
      <c r="KM475" s="1008"/>
      <c r="KN475" s="1007"/>
      <c r="KO475" s="1008"/>
      <c r="KP475" s="1007"/>
      <c r="KQ475" s="1008"/>
      <c r="KR475" s="1007"/>
      <c r="KS475" s="1008"/>
      <c r="KT475" s="1007"/>
      <c r="KU475" s="1008"/>
      <c r="KV475" s="1007"/>
      <c r="KW475" s="1008"/>
      <c r="KX475" s="1007"/>
      <c r="KY475" s="1008"/>
      <c r="KZ475" s="1007"/>
      <c r="LA475" s="1008"/>
      <c r="LB475" s="1007"/>
      <c r="LC475" s="1008"/>
      <c r="LD475" s="1007"/>
      <c r="LE475" s="1008"/>
      <c r="LF475" s="1007"/>
      <c r="LG475" s="1008"/>
      <c r="LH475" s="1007"/>
      <c r="LI475" s="1008"/>
      <c r="LJ475" s="1007"/>
      <c r="LK475" s="1008"/>
      <c r="LL475" s="1007"/>
      <c r="LM475" s="1008"/>
      <c r="LN475" s="1007"/>
      <c r="LO475" s="1008"/>
      <c r="LP475" s="1007"/>
      <c r="LQ475" s="1008"/>
      <c r="LR475" s="1007"/>
      <c r="LS475" s="1008"/>
      <c r="LT475" s="1007"/>
      <c r="LU475" s="1008"/>
      <c r="LV475" s="1007"/>
      <c r="LW475" s="1008"/>
      <c r="LX475" s="1007"/>
      <c r="LY475" s="1009"/>
      <c r="LZ475" s="1010"/>
      <c r="MA475" s="1011"/>
      <c r="MB475" s="1012"/>
      <c r="MC475" s="995"/>
      <c r="MD475" s="996"/>
      <c r="ME475" s="997" t="s">
        <v>202</v>
      </c>
      <c r="MF475" s="997"/>
      <c r="MG475" s="998"/>
      <c r="NR475" s="1000"/>
      <c r="NS475" s="1000"/>
      <c r="NT475" s="1001"/>
      <c r="NU475" s="1000"/>
      <c r="NV475" s="1001"/>
      <c r="NX475" s="1002"/>
      <c r="NZ475" s="1001"/>
      <c r="OA475" s="1001"/>
      <c r="OC475" s="1003"/>
      <c r="OD475" s="1003"/>
      <c r="OE475" s="1001"/>
      <c r="OF475" s="1003"/>
      <c r="OG475" s="1003"/>
      <c r="QX475" s="1000">
        <f>CN475-CA475</f>
        <v>26</v>
      </c>
      <c r="ASU475" s="999" t="s">
        <v>208</v>
      </c>
    </row>
    <row r="476" spans="1:466 1191:1191" ht="21" customHeight="1" x14ac:dyDescent="0.25">
      <c r="A476" s="982">
        <f t="shared" si="323"/>
        <v>1561</v>
      </c>
      <c r="B476" s="124">
        <f>SUBTOTAL(103,$J$29:J476)</f>
        <v>448</v>
      </c>
      <c r="C476" s="126">
        <v>45068</v>
      </c>
      <c r="D476" s="124" t="s">
        <v>176</v>
      </c>
      <c r="E476" s="127" t="s">
        <v>177</v>
      </c>
      <c r="F476" s="128" t="s">
        <v>177</v>
      </c>
      <c r="G476" s="127" t="s">
        <v>178</v>
      </c>
      <c r="H476" s="127" t="s">
        <v>179</v>
      </c>
      <c r="I476" s="127" t="s">
        <v>1587</v>
      </c>
      <c r="J476" s="152">
        <v>1561</v>
      </c>
      <c r="K476" s="127" t="s">
        <v>1606</v>
      </c>
      <c r="L476" s="130">
        <v>43550</v>
      </c>
      <c r="M476" s="127" t="s">
        <v>230</v>
      </c>
      <c r="N476" s="127" t="s">
        <v>184</v>
      </c>
      <c r="O476" s="127" t="s">
        <v>185</v>
      </c>
      <c r="P476" s="127" t="s">
        <v>292</v>
      </c>
      <c r="Q476" s="85" t="str">
        <f t="shared" si="367"/>
        <v/>
      </c>
      <c r="R476" s="130"/>
      <c r="S476" s="128"/>
      <c r="T476" s="131"/>
      <c r="U476" s="132">
        <v>203</v>
      </c>
      <c r="V476" s="121">
        <v>218.2</v>
      </c>
      <c r="W476" s="116">
        <v>0.98</v>
      </c>
      <c r="X476" s="116">
        <v>1.66</v>
      </c>
      <c r="Y476" s="116">
        <f t="shared" si="346"/>
        <v>0.98004014622285718</v>
      </c>
      <c r="Z476" s="133">
        <v>1.454</v>
      </c>
      <c r="AA476" s="133">
        <v>0.83599999999999997</v>
      </c>
      <c r="AB476" s="133">
        <v>0.72</v>
      </c>
      <c r="AC476" s="121">
        <v>34.299999999999997</v>
      </c>
      <c r="AD476" s="134">
        <v>1.17</v>
      </c>
      <c r="AE476" s="124">
        <v>177.8</v>
      </c>
      <c r="AF476" s="128">
        <v>9.19</v>
      </c>
      <c r="AG476" s="128">
        <v>2148</v>
      </c>
      <c r="AH476" s="127">
        <v>2851</v>
      </c>
      <c r="AI476" s="127">
        <v>2851</v>
      </c>
      <c r="AJ476" s="135"/>
      <c r="AK476" s="128"/>
      <c r="AL476" s="131"/>
      <c r="AM476" s="124" t="s">
        <v>985</v>
      </c>
      <c r="AN476" s="136" t="s">
        <v>1754</v>
      </c>
      <c r="AO476" s="137">
        <v>20.839999999999918</v>
      </c>
      <c r="AP476" s="128">
        <v>2172.4899999999998</v>
      </c>
      <c r="AQ476" s="128">
        <v>138.79</v>
      </c>
      <c r="AR476" s="128" t="s">
        <v>1755</v>
      </c>
      <c r="AS476" s="128">
        <v>114</v>
      </c>
      <c r="AT476" s="122">
        <v>99.2</v>
      </c>
      <c r="AU476" s="124" t="s">
        <v>189</v>
      </c>
      <c r="AV476" s="115">
        <f>VLOOKUP(J476,'[63]ТР нефть'!$J$28:$BP$638,39,0)</f>
        <v>549.99999140600005</v>
      </c>
      <c r="AW476" s="115" t="str">
        <f>VLOOKUP(J476,'[63]ТР нефть'!$J$28:$BP$638,40,0)</f>
        <v>ГП</v>
      </c>
      <c r="AX476" s="115">
        <f>VLOOKUP(J476,'[63]ТР нефть'!$J$28:$BP$638,41,0)</f>
        <v>1070.00002793</v>
      </c>
      <c r="AY476" s="115" t="str">
        <f>VLOOKUP(J476,'[63]ТР нефть'!$J$28:$BP$638,42,0)</f>
        <v>ГК80 1/8</v>
      </c>
      <c r="AZ476" s="115">
        <f>VLOOKUP(J476,'[63]ТР нефть'!$J$28:$BP$638,43,0)</f>
        <v>1430.000007422</v>
      </c>
      <c r="BA476" s="115" t="str">
        <f>VLOOKUP(J476,'[63]ТР нефть'!$J$28:$BP$638,44,0)</f>
        <v>ГК79 1/8</v>
      </c>
      <c r="BB476" s="115">
        <f>VLOOKUP(J476,'[63]ТР нефть'!$J$28:$BP$638,45,0)</f>
        <v>1699.9999734380001</v>
      </c>
      <c r="BC476" s="115" t="str">
        <f>VLOOKUP(J476,'[63]ТР нефть'!$J$28:$BP$638,46,0)</f>
        <v>ГК78 1/8</v>
      </c>
      <c r="BD476" s="115">
        <f>VLOOKUP(J476,'[63]ТР нефть'!$J$28:$BP$638,47,0)</f>
        <v>1899.9999703129999</v>
      </c>
      <c r="BE476" s="115" t="str">
        <f>VLOOKUP(J476,'[63]ТР нефть'!$J$28:$BP$638,48,0)</f>
        <v>ЦКсОК 5/16</v>
      </c>
      <c r="BF476" s="115" t="str">
        <f>VLOOKUP(J476,'[63]ТР нефть'!$J$28:$BP$638,49,0)</f>
        <v>-</v>
      </c>
      <c r="BG476" s="115" t="str">
        <f>VLOOKUP(J476,'[63]ТР нефть'!$J$28:$BP$638,50,0)</f>
        <v>-</v>
      </c>
      <c r="BH476" s="115" t="str">
        <f>VLOOKUP(J476,'[63]ТР нефть'!$J$28:$BP$638,51,0)</f>
        <v>-</v>
      </c>
      <c r="BI476" s="115" t="str">
        <f>VLOOKUP(J476,'[63]ТР нефть'!$J$28:$BP$638,52,0)</f>
        <v>-</v>
      </c>
      <c r="BJ476" s="115" t="str">
        <f>IF(IFERROR(VLOOKUP(J476,'[63]ТР нефть'!$J$28:$BP$638,53,0),"-")=0,"-",IFERROR(VLOOKUP(J476,'[63]ТР нефть'!$J$28:$BP$638,53,0),"-"))</f>
        <v>-</v>
      </c>
      <c r="BK476" s="138" t="str">
        <f>IF(IFERROR(VLOOKUP(J476,'[63]ТР нефть'!$J$28:$BP$638,54,0),"-")=0,"-",IFERROR(VLOOKUP(J476,'[63]ТР нефть'!$J$28:$BP$638,54,0),"-"))</f>
        <v>-</v>
      </c>
      <c r="BL476" s="138" t="str">
        <f>IF(IFERROR(VLOOKUP(J476,'[63]ТР нефть'!$J$28:$BP$638,55,0),"-")=0,"-",IFERROR(VLOOKUP(J476,'[63]ТР нефть'!$J$28:$BP$638,55,0),"-"))</f>
        <v>-</v>
      </c>
      <c r="BM476" s="138" t="str">
        <f>IF(IFERROR(VLOOKUP(J476,'[63]ТР нефть'!$J$28:$BP$638,56,0),"-")=0,"-",IFERROR(VLOOKUP(J476,'[63]ТР нефть'!$J$28:$BP$638,56,0),"-"))</f>
        <v>-</v>
      </c>
      <c r="BN476" s="138" t="str">
        <f>IF(IFERROR(VLOOKUP(J476,'[63]ТР нефть'!$J$28:$BP$638,57,0),"-")=0,"-",IFERROR(VLOOKUP(J476,'[63]ТР нефть'!$J$28:$BP$638,57,0),"-"))</f>
        <v>-</v>
      </c>
      <c r="BO476" s="115" t="str">
        <f>IF(IFERROR(VLOOKUP(J476,'[63]ТР нефть'!$J$28:$BP$638,58,0),"-")=0,"-",IFERROR(VLOOKUP(J476,'[63]ТР нефть'!$J$28:$BP$638,58,0),"-"))</f>
        <v>-</v>
      </c>
      <c r="BP476" s="115" t="str">
        <f>IF(IFERROR(VLOOKUP(J476,'[63]ТР нефть'!$J$28:$BP$638,59,0),"-")=0,"-",IFERROR(VLOOKUP(J476,'[63]ТР нефть'!$J$28:$BP$638,59,0),"-"))</f>
        <v>-</v>
      </c>
      <c r="BQ476" s="138">
        <v>2064</v>
      </c>
      <c r="BR476" s="128">
        <v>1770.17</v>
      </c>
      <c r="BS476" s="115">
        <f t="shared" si="351"/>
        <v>293.82999999999993</v>
      </c>
      <c r="BT476" s="128">
        <v>73</v>
      </c>
      <c r="BU476" s="128">
        <v>5.5</v>
      </c>
      <c r="BV476" s="127">
        <v>65</v>
      </c>
      <c r="BW476" s="127" t="s">
        <v>217</v>
      </c>
      <c r="BX476" s="127" t="s">
        <v>195</v>
      </c>
      <c r="BY476" s="139">
        <v>24</v>
      </c>
      <c r="BZ476" s="139">
        <v>0</v>
      </c>
      <c r="CA476" s="80">
        <v>26</v>
      </c>
      <c r="CB476" s="138">
        <v>45</v>
      </c>
      <c r="CC476" s="138">
        <v>25</v>
      </c>
      <c r="CD476" s="135">
        <v>45017</v>
      </c>
      <c r="CE476" s="138">
        <v>77</v>
      </c>
      <c r="CF476" s="138">
        <v>71</v>
      </c>
      <c r="CG476" s="138" t="str">
        <f t="shared" si="366"/>
        <v>В работе</v>
      </c>
      <c r="CH476" s="138" t="s">
        <v>272</v>
      </c>
      <c r="CI476" s="127"/>
      <c r="CJ476" s="138"/>
      <c r="CK476" s="138">
        <f t="shared" si="356"/>
        <v>23</v>
      </c>
      <c r="CL476" s="99"/>
      <c r="CM476" s="99"/>
      <c r="CN476" s="140">
        <v>49</v>
      </c>
      <c r="CO476" s="141">
        <f t="shared" si="324"/>
        <v>3.09289068</v>
      </c>
      <c r="CP476" s="142">
        <v>3.7</v>
      </c>
      <c r="CQ476" s="143">
        <v>0.01</v>
      </c>
      <c r="CR476" s="115">
        <v>15</v>
      </c>
      <c r="CS476" s="139">
        <v>7.2</v>
      </c>
      <c r="CT476" s="138"/>
      <c r="CU476" s="138">
        <f t="shared" si="370"/>
        <v>7.8</v>
      </c>
      <c r="CV476" s="115">
        <f t="shared" si="368"/>
        <v>2521.9126076580242</v>
      </c>
      <c r="CW476" s="115">
        <f t="shared" si="325"/>
        <v>2327.5968867538186</v>
      </c>
      <c r="CX476" s="133">
        <f t="shared" si="369"/>
        <v>0.13214285714285715</v>
      </c>
      <c r="CY476" s="116"/>
      <c r="CZ476" s="131"/>
      <c r="DA476" s="145" t="str">
        <f t="shared" si="326"/>
        <v>Газлифт</v>
      </c>
      <c r="DB476" s="146">
        <f t="shared" si="341"/>
        <v>3.09289068</v>
      </c>
      <c r="DC476" s="142">
        <f t="shared" si="342"/>
        <v>3.7</v>
      </c>
      <c r="DD476" s="119">
        <f t="shared" si="350"/>
        <v>0.01</v>
      </c>
      <c r="DE476" s="115">
        <f t="shared" si="343"/>
        <v>7.8</v>
      </c>
      <c r="DF476" s="121">
        <f t="shared" si="328"/>
        <v>7.2</v>
      </c>
      <c r="DG476" s="115">
        <f t="shared" si="329"/>
        <v>2521.9126076580242</v>
      </c>
      <c r="DH476" s="115">
        <f t="shared" si="330"/>
        <v>49</v>
      </c>
      <c r="DI476" s="147"/>
      <c r="DJ476" s="111" t="s">
        <v>197</v>
      </c>
      <c r="DK476" s="112">
        <v>43550</v>
      </c>
      <c r="DL476" s="113">
        <f t="shared" ca="1" si="359"/>
        <v>1554</v>
      </c>
      <c r="DM476" s="114"/>
      <c r="DN476" s="114"/>
      <c r="DO476" s="114"/>
      <c r="DP476" s="114"/>
      <c r="DQ476" s="112">
        <v>43550</v>
      </c>
      <c r="DR476" s="114" t="s">
        <v>324</v>
      </c>
      <c r="DS476" s="114"/>
      <c r="DT476" s="115">
        <v>50</v>
      </c>
      <c r="DU476" s="116">
        <f t="shared" si="360"/>
        <v>0.13703703703703704</v>
      </c>
      <c r="DV476" s="117">
        <f t="shared" si="361"/>
        <v>3.09289068</v>
      </c>
      <c r="DW476" s="118">
        <f t="shared" si="362"/>
        <v>3.7</v>
      </c>
      <c r="DX476" s="119">
        <f t="shared" si="331"/>
        <v>0.01</v>
      </c>
      <c r="DY476" s="115">
        <f t="shared" si="363"/>
        <v>7.8</v>
      </c>
      <c r="DZ476" s="117">
        <f t="shared" si="364"/>
        <v>0</v>
      </c>
      <c r="EA476" s="120">
        <f t="shared" si="364"/>
        <v>0</v>
      </c>
      <c r="EB476" s="119">
        <f t="shared" si="364"/>
        <v>0</v>
      </c>
      <c r="EC476" s="121">
        <f t="shared" si="365"/>
        <v>0</v>
      </c>
      <c r="ED476" s="122"/>
      <c r="EE476" s="145">
        <v>65</v>
      </c>
      <c r="EF476" s="148">
        <v>26</v>
      </c>
      <c r="EG476" s="115">
        <v>45</v>
      </c>
      <c r="EH476" s="115">
        <v>25</v>
      </c>
      <c r="EI476" s="128" t="s">
        <v>195</v>
      </c>
      <c r="EJ476" s="121">
        <v>24</v>
      </c>
      <c r="EK476" s="121">
        <v>0</v>
      </c>
      <c r="EL476" s="149">
        <v>3.09289068</v>
      </c>
      <c r="EM476" s="142">
        <v>3.7</v>
      </c>
      <c r="EN476" s="119">
        <v>0.01</v>
      </c>
      <c r="EO476" s="115">
        <v>15</v>
      </c>
      <c r="EP476" s="115">
        <v>2521.9126076580242</v>
      </c>
      <c r="EQ476" s="115">
        <v>71</v>
      </c>
      <c r="ER476" s="115">
        <v>7.2</v>
      </c>
      <c r="ES476" s="115">
        <v>49</v>
      </c>
      <c r="ET476" s="150">
        <v>0.13214285714285715</v>
      </c>
      <c r="EU476" s="145">
        <f t="shared" si="332"/>
        <v>65</v>
      </c>
      <c r="EV476" s="115">
        <f t="shared" si="333"/>
        <v>26</v>
      </c>
      <c r="EW476" s="115">
        <f t="shared" si="333"/>
        <v>45</v>
      </c>
      <c r="EX476" s="115">
        <f t="shared" si="333"/>
        <v>25</v>
      </c>
      <c r="EY476" s="115" t="str">
        <f t="shared" si="357"/>
        <v>Постоянный</v>
      </c>
      <c r="EZ476" s="115">
        <f t="shared" si="357"/>
        <v>24</v>
      </c>
      <c r="FA476" s="115">
        <f t="shared" si="357"/>
        <v>0</v>
      </c>
      <c r="FB476" s="149">
        <f t="shared" si="345"/>
        <v>3.09289068</v>
      </c>
      <c r="FC476" s="142">
        <f t="shared" si="345"/>
        <v>3.7</v>
      </c>
      <c r="FD476" s="119">
        <f t="shared" si="345"/>
        <v>0.01</v>
      </c>
      <c r="FE476" s="121">
        <f t="shared" si="344"/>
        <v>15</v>
      </c>
      <c r="FF476" s="121">
        <f t="shared" si="347"/>
        <v>2521.9126076580242</v>
      </c>
      <c r="FG476" s="121">
        <f t="shared" si="334"/>
        <v>71</v>
      </c>
      <c r="FH476" s="121">
        <f t="shared" si="358"/>
        <v>7.2</v>
      </c>
      <c r="FI476" s="121">
        <f t="shared" si="355"/>
        <v>49</v>
      </c>
      <c r="FJ476" s="144">
        <f t="shared" si="335"/>
        <v>0.13214285714285715</v>
      </c>
      <c r="FK476" s="132">
        <f t="shared" si="336"/>
        <v>0</v>
      </c>
      <c r="FL476" s="115">
        <f t="shared" si="336"/>
        <v>0</v>
      </c>
      <c r="FM476" s="115">
        <f t="shared" si="336"/>
        <v>0</v>
      </c>
      <c r="FN476" s="115">
        <f t="shared" ref="FN476:FN539" si="371">EX476-EH476</f>
        <v>0</v>
      </c>
      <c r="FO476" s="115">
        <f t="shared" si="354"/>
        <v>0</v>
      </c>
      <c r="FP476" s="115">
        <f t="shared" si="354"/>
        <v>0</v>
      </c>
      <c r="FQ476" s="149">
        <f t="shared" si="354"/>
        <v>0</v>
      </c>
      <c r="FR476" s="142">
        <f t="shared" si="354"/>
        <v>0</v>
      </c>
      <c r="FS476" s="119">
        <f t="shared" si="354"/>
        <v>0</v>
      </c>
      <c r="FT476" s="121">
        <f t="shared" si="353"/>
        <v>0</v>
      </c>
      <c r="FU476" s="121">
        <f t="shared" si="337"/>
        <v>0</v>
      </c>
      <c r="FV476" s="121">
        <f t="shared" si="337"/>
        <v>0</v>
      </c>
      <c r="FW476" s="121">
        <f t="shared" si="338"/>
        <v>0</v>
      </c>
      <c r="FX476" s="121">
        <f t="shared" si="339"/>
        <v>0</v>
      </c>
      <c r="FY476" s="144">
        <f t="shared" si="339"/>
        <v>0</v>
      </c>
      <c r="FZ476" s="145"/>
      <c r="GA476" s="151"/>
      <c r="GB476" s="145"/>
      <c r="GC476" s="151"/>
      <c r="GD476" s="997" t="s">
        <v>202</v>
      </c>
      <c r="GE476" s="1004"/>
      <c r="GF476" s="1004">
        <v>-0.61894932000000003</v>
      </c>
      <c r="GG476" s="1004"/>
      <c r="GH476" s="1004">
        <v>0</v>
      </c>
      <c r="GI476" s="145"/>
      <c r="GJ476" s="996">
        <v>0</v>
      </c>
      <c r="GK476" s="145"/>
      <c r="GL476" s="996">
        <v>0</v>
      </c>
      <c r="GM476" s="1005"/>
      <c r="GN476" s="996">
        <v>0</v>
      </c>
      <c r="GO476" s="1006"/>
      <c r="GP476" s="996">
        <v>0</v>
      </c>
      <c r="GQ476" s="1006" t="s">
        <v>240</v>
      </c>
      <c r="GR476" s="996">
        <v>-4.648159999999999</v>
      </c>
      <c r="GS476" s="1006"/>
      <c r="GT476" s="996">
        <v>0</v>
      </c>
      <c r="GU476" s="1006"/>
      <c r="GV476" s="996">
        <v>0</v>
      </c>
      <c r="GW476" s="1006" t="s">
        <v>199</v>
      </c>
      <c r="GX476" s="996">
        <v>2.508</v>
      </c>
      <c r="GY476" s="1006"/>
      <c r="GZ476" s="996">
        <v>-0.25915999999999961</v>
      </c>
      <c r="HA476" s="1006" t="s">
        <v>199</v>
      </c>
      <c r="HB476" s="996">
        <v>-2.1777799999999994</v>
      </c>
      <c r="HC476" s="1006" t="s">
        <v>199</v>
      </c>
      <c r="HD476" s="996">
        <v>0.93213999999999775</v>
      </c>
      <c r="HE476" s="1006" t="s">
        <v>199</v>
      </c>
      <c r="HF476" s="996">
        <v>-1.9729599999999996</v>
      </c>
      <c r="HG476" s="1006" t="s">
        <v>223</v>
      </c>
      <c r="HH476" s="996">
        <v>-1.120239999999999</v>
      </c>
      <c r="HI476" s="1006"/>
      <c r="HJ476" s="996">
        <v>0</v>
      </c>
      <c r="HK476" s="1006"/>
      <c r="HL476" s="996">
        <v>0.48488000000000042</v>
      </c>
      <c r="HM476" s="1006" t="s">
        <v>308</v>
      </c>
      <c r="HN476" s="996">
        <v>3.2495319999999994</v>
      </c>
      <c r="HO476" s="1006"/>
      <c r="HP476" s="996">
        <v>0</v>
      </c>
      <c r="HQ476" s="1006"/>
      <c r="HR476" s="996">
        <v>0</v>
      </c>
      <c r="HS476" s="1006"/>
      <c r="HT476" s="996">
        <v>0</v>
      </c>
      <c r="HU476" s="1006"/>
      <c r="HV476" s="996">
        <v>-0.55761199999999977</v>
      </c>
      <c r="HW476" s="1006"/>
      <c r="HX476" s="996">
        <v>-0.16720000000000113</v>
      </c>
      <c r="HY476" s="1006"/>
      <c r="HZ476" s="996">
        <v>0</v>
      </c>
      <c r="IA476" s="1006"/>
      <c r="IB476" s="996">
        <v>0</v>
      </c>
      <c r="IC476" s="1006"/>
      <c r="ID476" s="996">
        <v>0.75240000000000062</v>
      </c>
      <c r="IE476" s="1006" t="s">
        <v>223</v>
      </c>
      <c r="IF476" s="996">
        <v>-3.8456000000000001</v>
      </c>
      <c r="IG476" s="1006" t="s">
        <v>199</v>
      </c>
      <c r="IH476" s="996">
        <v>5.2667999999999999</v>
      </c>
      <c r="II476" s="1006"/>
      <c r="IJ476" s="996">
        <v>0</v>
      </c>
      <c r="IK476" s="1006"/>
      <c r="IL476" s="996">
        <v>0</v>
      </c>
      <c r="IM476" s="1006"/>
      <c r="IN476" s="996">
        <v>0</v>
      </c>
      <c r="IO476" s="1006" t="s">
        <v>223</v>
      </c>
      <c r="IP476" s="996">
        <v>-2.6166799999999997</v>
      </c>
      <c r="IQ476" s="1006"/>
      <c r="IR476" s="996">
        <v>-0.47651999999999983</v>
      </c>
      <c r="IS476" s="1006"/>
      <c r="IT476" s="996">
        <v>0</v>
      </c>
      <c r="IU476" s="1006"/>
      <c r="IV476" s="996">
        <v>0</v>
      </c>
      <c r="IW476" s="1006"/>
      <c r="IX476" s="996">
        <v>0</v>
      </c>
      <c r="IY476" s="1006"/>
      <c r="IZ476" s="996">
        <v>0</v>
      </c>
      <c r="JA476" s="1006"/>
      <c r="JB476" s="996">
        <v>0</v>
      </c>
      <c r="JC476" s="1006"/>
      <c r="JD476" s="996">
        <v>0</v>
      </c>
      <c r="JE476" s="1006"/>
      <c r="JF476" s="996">
        <v>0</v>
      </c>
      <c r="JG476" s="1006"/>
      <c r="JH476" s="996">
        <v>0</v>
      </c>
      <c r="JI476" s="1006"/>
      <c r="JJ476" s="996">
        <v>0</v>
      </c>
      <c r="JK476" s="1007" t="s">
        <v>203</v>
      </c>
      <c r="JL476" s="1007">
        <v>-3.7620000000000005</v>
      </c>
      <c r="JM476" s="1007"/>
      <c r="JN476" s="1007">
        <v>0</v>
      </c>
      <c r="JO476" s="1008"/>
      <c r="JP476" s="1007">
        <v>0</v>
      </c>
      <c r="JQ476" s="1008">
        <v>0</v>
      </c>
      <c r="JR476" s="1007">
        <v>-0.97799999999999976</v>
      </c>
      <c r="JS476" s="1008" t="s">
        <v>203</v>
      </c>
      <c r="JT476" s="1007">
        <v>-1.6720000000000006</v>
      </c>
      <c r="JU476" s="1008"/>
      <c r="JV476" s="1007">
        <v>0</v>
      </c>
      <c r="JW476" s="1008" t="s">
        <v>199</v>
      </c>
      <c r="JX476" s="1007">
        <v>-9.7979199999999995</v>
      </c>
      <c r="JY476" s="1008" t="s">
        <v>203</v>
      </c>
      <c r="JZ476" s="1007">
        <v>-14.924080000000004</v>
      </c>
      <c r="KA476" s="1008"/>
      <c r="KB476" s="1007"/>
      <c r="KC476" s="1008"/>
      <c r="KD476" s="1007"/>
      <c r="KE476" s="1008"/>
      <c r="KF476" s="1007"/>
      <c r="KG476" s="1008"/>
      <c r="KH476" s="1007"/>
      <c r="KI476" s="1008"/>
      <c r="KJ476" s="1007"/>
      <c r="KK476" s="1008"/>
      <c r="KL476" s="1007"/>
      <c r="KM476" s="1008"/>
      <c r="KN476" s="1007"/>
      <c r="KO476" s="1008"/>
      <c r="KP476" s="1007"/>
      <c r="KQ476" s="1008"/>
      <c r="KR476" s="1007"/>
      <c r="KS476" s="1008"/>
      <c r="KT476" s="1007"/>
      <c r="KU476" s="1008"/>
      <c r="KV476" s="1007"/>
      <c r="KW476" s="1008"/>
      <c r="KX476" s="1007"/>
      <c r="KY476" s="1008"/>
      <c r="KZ476" s="1007"/>
      <c r="LA476" s="1008"/>
      <c r="LB476" s="1007"/>
      <c r="LC476" s="1008"/>
      <c r="LD476" s="1007"/>
      <c r="LE476" s="1008"/>
      <c r="LF476" s="1007"/>
      <c r="LG476" s="1008"/>
      <c r="LH476" s="1007"/>
      <c r="LI476" s="1008"/>
      <c r="LJ476" s="1007"/>
      <c r="LK476" s="1008"/>
      <c r="LL476" s="1007"/>
      <c r="LM476" s="1008"/>
      <c r="LN476" s="1007"/>
      <c r="LO476" s="1008"/>
      <c r="LP476" s="1007"/>
      <c r="LQ476" s="1008"/>
      <c r="LR476" s="1007"/>
      <c r="LS476" s="1008"/>
      <c r="LT476" s="1007"/>
      <c r="LU476" s="1008"/>
      <c r="LV476" s="1007"/>
      <c r="LW476" s="1008"/>
      <c r="LX476" s="1007"/>
      <c r="LY476" s="1009"/>
      <c r="LZ476" s="1010"/>
      <c r="MA476" s="1011"/>
      <c r="MB476" s="1012"/>
      <c r="MC476" s="995"/>
      <c r="MD476" s="996"/>
      <c r="ME476" s="997" t="s">
        <v>202</v>
      </c>
      <c r="MF476" s="997"/>
      <c r="MG476" s="998"/>
      <c r="NR476" s="1000"/>
      <c r="NS476" s="1000"/>
      <c r="NT476" s="1001"/>
      <c r="NU476" s="1000"/>
      <c r="NV476" s="1001"/>
      <c r="NX476" s="1002"/>
      <c r="NZ476" s="1001"/>
      <c r="OA476" s="1001"/>
      <c r="OC476" s="1003"/>
      <c r="OD476" s="1003"/>
      <c r="OE476" s="1001"/>
      <c r="OF476" s="1003"/>
      <c r="OG476" s="1003"/>
      <c r="QX476" s="1000">
        <f>CN476-CA476</f>
        <v>23</v>
      </c>
      <c r="ASU476" s="999" t="s">
        <v>315</v>
      </c>
    </row>
    <row r="477" spans="1:466 1191:1191" ht="21" customHeight="1" x14ac:dyDescent="0.25">
      <c r="A477" s="982">
        <f t="shared" ref="A477:A540" si="372">$J477</f>
        <v>1563</v>
      </c>
      <c r="B477" s="124">
        <f>SUBTOTAL(103,$J$29:J477)</f>
        <v>449</v>
      </c>
      <c r="C477" s="126">
        <v>45068</v>
      </c>
      <c r="D477" s="124" t="s">
        <v>176</v>
      </c>
      <c r="E477" s="127" t="s">
        <v>177</v>
      </c>
      <c r="F477" s="128" t="s">
        <v>177</v>
      </c>
      <c r="G477" s="127" t="s">
        <v>178</v>
      </c>
      <c r="H477" s="127" t="s">
        <v>179</v>
      </c>
      <c r="I477" s="127" t="s">
        <v>1587</v>
      </c>
      <c r="J477" s="152">
        <v>1563</v>
      </c>
      <c r="K477" s="127" t="s">
        <v>1606</v>
      </c>
      <c r="L477" s="130">
        <v>43620</v>
      </c>
      <c r="M477" s="127" t="s">
        <v>230</v>
      </c>
      <c r="N477" s="127" t="s">
        <v>184</v>
      </c>
      <c r="O477" s="127" t="s">
        <v>185</v>
      </c>
      <c r="P477" s="127" t="s">
        <v>1756</v>
      </c>
      <c r="Q477" s="85" t="str">
        <f t="shared" si="367"/>
        <v/>
      </c>
      <c r="R477" s="130"/>
      <c r="S477" s="128"/>
      <c r="T477" s="131"/>
      <c r="U477" s="132">
        <v>203</v>
      </c>
      <c r="V477" s="121">
        <v>218.2</v>
      </c>
      <c r="W477" s="116">
        <v>0.98</v>
      </c>
      <c r="X477" s="116">
        <v>1.66</v>
      </c>
      <c r="Y477" s="116">
        <f t="shared" si="346"/>
        <v>0.98</v>
      </c>
      <c r="Z477" s="133">
        <v>1.454</v>
      </c>
      <c r="AA477" s="133">
        <v>0.83599999999999997</v>
      </c>
      <c r="AB477" s="133">
        <v>0.72</v>
      </c>
      <c r="AC477" s="121">
        <v>34.299999999999997</v>
      </c>
      <c r="AD477" s="134">
        <v>1.17</v>
      </c>
      <c r="AE477" s="124">
        <v>177.8</v>
      </c>
      <c r="AF477" s="128">
        <v>9.19</v>
      </c>
      <c r="AG477" s="128">
        <v>1972.3</v>
      </c>
      <c r="AH477" s="127">
        <v>2779</v>
      </c>
      <c r="AI477" s="127">
        <v>2779</v>
      </c>
      <c r="AJ477" s="135">
        <v>43582</v>
      </c>
      <c r="AK477" s="128"/>
      <c r="AL477" s="131"/>
      <c r="AM477" s="124" t="s">
        <v>985</v>
      </c>
      <c r="AN477" s="136" t="s">
        <v>1757</v>
      </c>
      <c r="AO477" s="137">
        <f>1806.5-1797.8</f>
        <v>8.7000000000000455</v>
      </c>
      <c r="AP477" s="128">
        <v>2022.12</v>
      </c>
      <c r="AQ477" s="128">
        <v>226.20000000000005</v>
      </c>
      <c r="AR477" s="128" t="s">
        <v>1758</v>
      </c>
      <c r="AS477" s="128">
        <v>114</v>
      </c>
      <c r="AT477" s="122">
        <v>7.37</v>
      </c>
      <c r="AU477" s="124" t="s">
        <v>250</v>
      </c>
      <c r="AV477" s="115">
        <f>VLOOKUP(J477,'[63]ТР нефть'!$J$28:$BP$638,39,0)</f>
        <v>550</v>
      </c>
      <c r="AW477" s="115" t="str">
        <f>VLOOKUP(J477,'[63]ТР нефть'!$J$28:$BP$638,40,0)</f>
        <v>ГК 74 1/8</v>
      </c>
      <c r="AX477" s="115">
        <f>VLOOKUP(J477,'[63]ТР нефть'!$J$28:$BP$638,41,0)</f>
        <v>990</v>
      </c>
      <c r="AY477" s="115" t="str">
        <f>VLOOKUP(J477,'[63]ТР нефть'!$J$28:$BP$638,42,0)</f>
        <v>ГК 75 1/8</v>
      </c>
      <c r="AZ477" s="115">
        <f>VLOOKUP(J477,'[63]ТР нефть'!$J$28:$BP$638,43,0)</f>
        <v>1315</v>
      </c>
      <c r="BA477" s="115" t="str">
        <f>VLOOKUP(J477,'[63]ТР нефть'!$J$28:$BP$638,44,0)</f>
        <v>ГК 75 1/8</v>
      </c>
      <c r="BB477" s="115">
        <f>VLOOKUP(J477,'[63]ТР нефть'!$J$28:$BP$638,45,0)</f>
        <v>1600</v>
      </c>
      <c r="BC477" s="115" t="str">
        <f>VLOOKUP(J477,'[63]ТР нефть'!$J$28:$BP$638,46,0)</f>
        <v>ГК 76 5/32</v>
      </c>
      <c r="BD477" s="115">
        <f>VLOOKUP(J477,'[63]ТР нефть'!$J$28:$BP$638,47,0)</f>
        <v>1800</v>
      </c>
      <c r="BE477" s="115" t="str">
        <f>VLOOKUP(J477,'[63]ТР нефть'!$J$28:$BP$638,48,0)</f>
        <v>ЦКсОК 5/16</v>
      </c>
      <c r="BF477" s="115" t="str">
        <f>VLOOKUP(J477,'[63]ТР нефть'!$J$28:$BP$638,49,0)</f>
        <v>-</v>
      </c>
      <c r="BG477" s="115" t="str">
        <f>VLOOKUP(J477,'[63]ТР нефть'!$J$28:$BP$638,50,0)</f>
        <v>-</v>
      </c>
      <c r="BH477" s="115" t="str">
        <f>VLOOKUP(J477,'[63]ТР нефть'!$J$28:$BP$638,51,0)</f>
        <v>-</v>
      </c>
      <c r="BI477" s="115" t="str">
        <f>VLOOKUP(J477,'[63]ТР нефть'!$J$28:$BP$638,52,0)</f>
        <v>-</v>
      </c>
      <c r="BJ477" s="115" t="str">
        <f>IF(IFERROR(VLOOKUP(J477,'[63]ТР нефть'!$J$28:$BP$638,53,0),"-")=0,"-",IFERROR(VLOOKUP(J477,'[63]ТР нефть'!$J$28:$BP$638,53,0),"-"))</f>
        <v>-</v>
      </c>
      <c r="BK477" s="138" t="str">
        <f>IF(IFERROR(VLOOKUP(J477,'[63]ТР нефть'!$J$28:$BP$638,54,0),"-")=0,"-",IFERROR(VLOOKUP(J477,'[63]ТР нефть'!$J$28:$BP$638,54,0),"-"))</f>
        <v>-</v>
      </c>
      <c r="BL477" s="138" t="str">
        <f>IF(IFERROR(VLOOKUP(J477,'[63]ТР нефть'!$J$28:$BP$638,55,0),"-")=0,"-",IFERROR(VLOOKUP(J477,'[63]ТР нефть'!$J$28:$BP$638,55,0),"-"))</f>
        <v>-</v>
      </c>
      <c r="BM477" s="138" t="str">
        <f>IF(IFERROR(VLOOKUP(J477,'[63]ТР нефть'!$J$28:$BP$638,56,0),"-")=0,"-",IFERROR(VLOOKUP(J477,'[63]ТР нефть'!$J$28:$BP$638,56,0),"-"))</f>
        <v>-</v>
      </c>
      <c r="BN477" s="138" t="str">
        <f>IF(IFERROR(VLOOKUP(J477,'[63]ТР нефть'!$J$28:$BP$638,57,0),"-")=0,"-",IFERROR(VLOOKUP(J477,'[63]ТР нефть'!$J$28:$BP$638,57,0),"-"))</f>
        <v>-</v>
      </c>
      <c r="BO477" s="115" t="str">
        <f>IF(IFERROR(VLOOKUP(J477,'[63]ТР нефть'!$J$28:$BP$638,58,0),"-")=0,"-",IFERROR(VLOOKUP(J477,'[63]ТР нефть'!$J$28:$BP$638,58,0),"-"))</f>
        <v>-</v>
      </c>
      <c r="BP477" s="115" t="str">
        <f>IF(IFERROR(VLOOKUP(J477,'[63]ТР нефть'!$J$28:$BP$638,59,0),"-")=0,"-",IFERROR(VLOOKUP(J477,'[63]ТР нефть'!$J$28:$BP$638,59,0),"-"))</f>
        <v>-</v>
      </c>
      <c r="BQ477" s="138">
        <v>1913.3</v>
      </c>
      <c r="BR477" s="128">
        <v>1756</v>
      </c>
      <c r="BS477" s="115">
        <f t="shared" si="351"/>
        <v>157.29999999999995</v>
      </c>
      <c r="BT477" s="128">
        <v>73</v>
      </c>
      <c r="BU477" s="128">
        <v>5.5</v>
      </c>
      <c r="BV477" s="127">
        <v>5</v>
      </c>
      <c r="BW477" s="127" t="s">
        <v>194</v>
      </c>
      <c r="BX477" s="127" t="s">
        <v>195</v>
      </c>
      <c r="BY477" s="139">
        <v>24</v>
      </c>
      <c r="BZ477" s="139">
        <v>0</v>
      </c>
      <c r="CA477" s="138">
        <v>27</v>
      </c>
      <c r="CB477" s="138">
        <v>87</v>
      </c>
      <c r="CC477" s="138">
        <v>26</v>
      </c>
      <c r="CD477" s="135">
        <v>45017</v>
      </c>
      <c r="CE477" s="138">
        <v>127</v>
      </c>
      <c r="CF477" s="138"/>
      <c r="CG477" s="138"/>
      <c r="CH477" s="138"/>
      <c r="CI477" s="127"/>
      <c r="CJ477" s="138"/>
      <c r="CK477" s="138">
        <f t="shared" si="356"/>
        <v>91</v>
      </c>
      <c r="CL477" s="99"/>
      <c r="CM477" s="138"/>
      <c r="CN477" s="154">
        <v>118</v>
      </c>
      <c r="CO477" s="141">
        <f t="shared" ref="CO477:CO540" si="373">CP477*(1-CQ477/100)*0.836</f>
        <v>2.508</v>
      </c>
      <c r="CP477" s="142">
        <v>3</v>
      </c>
      <c r="CQ477" s="143">
        <v>0</v>
      </c>
      <c r="CR477" s="138">
        <v>20</v>
      </c>
      <c r="CS477" s="139"/>
      <c r="CT477" s="138"/>
      <c r="CU477" s="138">
        <f t="shared" si="370"/>
        <v>20</v>
      </c>
      <c r="CV477" s="115">
        <f t="shared" si="368"/>
        <v>7974.4816586921852</v>
      </c>
      <c r="CW477" s="115" t="str">
        <f t="shared" ref="CW477:CW540" si="374">IF(CP477&lt;&gt;0,IF(AU477=$AU$29,CS477/(CO477+(CP477-CO477/0.836)*1.158)*1000,""),"")</f>
        <v/>
      </c>
      <c r="CX477" s="133">
        <f t="shared" si="369"/>
        <v>0.33333333333333331</v>
      </c>
      <c r="CY477" s="116"/>
      <c r="CZ477" s="131"/>
      <c r="DA477" s="145" t="str">
        <f t="shared" ref="DA477:DA540" si="375">AU477</f>
        <v>Фон.</v>
      </c>
      <c r="DB477" s="146">
        <f t="shared" si="341"/>
        <v>2.508</v>
      </c>
      <c r="DC477" s="142">
        <f t="shared" si="342"/>
        <v>3</v>
      </c>
      <c r="DD477" s="119">
        <f t="shared" si="350"/>
        <v>0</v>
      </c>
      <c r="DE477" s="115">
        <f t="shared" si="343"/>
        <v>20</v>
      </c>
      <c r="DF477" s="121">
        <f t="shared" ref="DF477:DF540" si="376">CS477</f>
        <v>0</v>
      </c>
      <c r="DG477" s="115">
        <f t="shared" ref="DG477:DG540" si="377">CV477</f>
        <v>7974.4816586921852</v>
      </c>
      <c r="DH477" s="115">
        <f t="shared" ref="DH477:DH540" si="378">CN477</f>
        <v>118</v>
      </c>
      <c r="DI477" s="147"/>
      <c r="DJ477" s="111" t="s">
        <v>197</v>
      </c>
      <c r="DK477" s="112">
        <v>43620</v>
      </c>
      <c r="DL477" s="113">
        <f t="shared" ca="1" si="359"/>
        <v>1484</v>
      </c>
      <c r="DM477" s="114"/>
      <c r="DN477" s="114"/>
      <c r="DO477" s="114"/>
      <c r="DP477" s="114"/>
      <c r="DQ477" s="112">
        <v>43620</v>
      </c>
      <c r="DR477" s="114" t="s">
        <v>324</v>
      </c>
      <c r="DS477" s="114"/>
      <c r="DT477" s="115">
        <v>53</v>
      </c>
      <c r="DU477" s="116">
        <f t="shared" si="360"/>
        <v>0.25504366154772656</v>
      </c>
      <c r="DV477" s="117">
        <f t="shared" si="361"/>
        <v>15.778021077988557</v>
      </c>
      <c r="DW477" s="118">
        <f t="shared" si="362"/>
        <v>18.873230954531767</v>
      </c>
      <c r="DX477" s="119">
        <f t="shared" ref="DX477:DX506" si="379">CQ477</f>
        <v>0</v>
      </c>
      <c r="DY477" s="115">
        <f t="shared" si="363"/>
        <v>125.82153969687845</v>
      </c>
      <c r="DZ477" s="117">
        <f t="shared" si="364"/>
        <v>13.270021077988556</v>
      </c>
      <c r="EA477" s="120">
        <f t="shared" si="364"/>
        <v>15.873230954531767</v>
      </c>
      <c r="EB477" s="119">
        <f t="shared" si="364"/>
        <v>0</v>
      </c>
      <c r="EC477" s="121">
        <f t="shared" si="365"/>
        <v>105.82153969687845</v>
      </c>
      <c r="ED477" s="122"/>
      <c r="EE477" s="145">
        <v>3</v>
      </c>
      <c r="EF477" s="115">
        <v>87</v>
      </c>
      <c r="EG477" s="115">
        <v>87</v>
      </c>
      <c r="EH477" s="115">
        <v>26</v>
      </c>
      <c r="EI477" s="128" t="s">
        <v>195</v>
      </c>
      <c r="EJ477" s="121">
        <v>24</v>
      </c>
      <c r="EK477" s="121">
        <v>0</v>
      </c>
      <c r="EL477" s="149">
        <v>2.508</v>
      </c>
      <c r="EM477" s="142">
        <v>3</v>
      </c>
      <c r="EN477" s="119">
        <v>0</v>
      </c>
      <c r="EO477" s="115">
        <v>20</v>
      </c>
      <c r="EP477" s="115">
        <v>7974.4816586921852</v>
      </c>
      <c r="EQ477" s="115">
        <v>0</v>
      </c>
      <c r="ER477" s="115">
        <v>0</v>
      </c>
      <c r="ES477" s="115">
        <v>118</v>
      </c>
      <c r="ET477" s="150">
        <v>0.33333333333333331</v>
      </c>
      <c r="EU477" s="145">
        <f t="shared" si="332"/>
        <v>5</v>
      </c>
      <c r="EV477" s="115">
        <f t="shared" ref="EV477:EX540" si="380">CA477</f>
        <v>27</v>
      </c>
      <c r="EW477" s="115">
        <f t="shared" si="380"/>
        <v>87</v>
      </c>
      <c r="EX477" s="115">
        <f t="shared" si="380"/>
        <v>26</v>
      </c>
      <c r="EY477" s="115" t="str">
        <f t="shared" si="357"/>
        <v>Постоянный</v>
      </c>
      <c r="EZ477" s="115">
        <f t="shared" si="357"/>
        <v>24</v>
      </c>
      <c r="FA477" s="115">
        <f t="shared" si="357"/>
        <v>0</v>
      </c>
      <c r="FB477" s="149">
        <f t="shared" si="345"/>
        <v>2.508</v>
      </c>
      <c r="FC477" s="142">
        <f t="shared" si="345"/>
        <v>3</v>
      </c>
      <c r="FD477" s="119">
        <f t="shared" si="345"/>
        <v>0</v>
      </c>
      <c r="FE477" s="121">
        <f t="shared" si="344"/>
        <v>20</v>
      </c>
      <c r="FF477" s="121">
        <f t="shared" si="347"/>
        <v>7974.4816586921852</v>
      </c>
      <c r="FG477" s="121">
        <f t="shared" ref="FG477:FG540" si="381">CF477</f>
        <v>0</v>
      </c>
      <c r="FH477" s="121">
        <f t="shared" si="358"/>
        <v>0</v>
      </c>
      <c r="FI477" s="121">
        <f t="shared" si="355"/>
        <v>118</v>
      </c>
      <c r="FJ477" s="144">
        <f t="shared" ref="FJ477:FJ540" si="382">CX477</f>
        <v>0.33333333333333331</v>
      </c>
      <c r="FK477" s="132">
        <f t="shared" ref="FK477:FN540" si="383">EU477-EE477</f>
        <v>2</v>
      </c>
      <c r="FL477" s="115">
        <f t="shared" si="383"/>
        <v>-60</v>
      </c>
      <c r="FM477" s="115">
        <f t="shared" si="383"/>
        <v>0</v>
      </c>
      <c r="FN477" s="115">
        <f t="shared" si="371"/>
        <v>0</v>
      </c>
      <c r="FO477" s="115">
        <f t="shared" si="354"/>
        <v>0</v>
      </c>
      <c r="FP477" s="115">
        <f t="shared" si="354"/>
        <v>0</v>
      </c>
      <c r="FQ477" s="149">
        <f t="shared" si="354"/>
        <v>0</v>
      </c>
      <c r="FR477" s="142">
        <f t="shared" si="354"/>
        <v>0</v>
      </c>
      <c r="FS477" s="119">
        <f t="shared" si="354"/>
        <v>0</v>
      </c>
      <c r="FT477" s="121">
        <f t="shared" si="353"/>
        <v>0</v>
      </c>
      <c r="FU477" s="121">
        <f t="shared" ref="FU477:FV540" si="384">FG477-EQ477</f>
        <v>0</v>
      </c>
      <c r="FV477" s="121">
        <f t="shared" si="384"/>
        <v>0</v>
      </c>
      <c r="FW477" s="121">
        <f t="shared" ref="FW477:FW540" si="385">FF477-EP477</f>
        <v>0</v>
      </c>
      <c r="FX477" s="121">
        <f t="shared" ref="FX477:FY540" si="386">FI477-ES477</f>
        <v>0</v>
      </c>
      <c r="FY477" s="144">
        <f t="shared" si="386"/>
        <v>0</v>
      </c>
      <c r="FZ477" s="145"/>
      <c r="GA477" s="151"/>
      <c r="GB477" s="145" t="s">
        <v>221</v>
      </c>
      <c r="GC477" s="151" t="s">
        <v>780</v>
      </c>
      <c r="GD477" s="997" t="s">
        <v>202</v>
      </c>
      <c r="GE477" s="1004" t="s">
        <v>221</v>
      </c>
      <c r="GF477" s="1004">
        <v>1.6720000000000002</v>
      </c>
      <c r="GG477" s="1004"/>
      <c r="GH477" s="1004">
        <v>0</v>
      </c>
      <c r="GI477" s="145"/>
      <c r="GJ477" s="996">
        <v>0</v>
      </c>
      <c r="GK477" s="145"/>
      <c r="GL477" s="996">
        <v>0</v>
      </c>
      <c r="GM477" s="1005"/>
      <c r="GN477" s="996">
        <v>0</v>
      </c>
      <c r="GO477" s="1006"/>
      <c r="GP477" s="996">
        <v>0</v>
      </c>
      <c r="GQ477" s="1006"/>
      <c r="GR477" s="996">
        <v>0</v>
      </c>
      <c r="GS477" s="1006"/>
      <c r="GT477" s="996">
        <v>0</v>
      </c>
      <c r="GU477" s="1006"/>
      <c r="GV477" s="996">
        <v>-0.33439999999999992</v>
      </c>
      <c r="GW477" s="1006"/>
      <c r="GX477" s="996">
        <v>-0.91959999999999997</v>
      </c>
      <c r="GY477" s="1006" t="s">
        <v>199</v>
      </c>
      <c r="GZ477" s="996">
        <v>-10.115599999999999</v>
      </c>
      <c r="HA477" s="1006"/>
      <c r="HB477" s="996">
        <v>0</v>
      </c>
      <c r="HC477" s="1006"/>
      <c r="HD477" s="996">
        <v>0</v>
      </c>
      <c r="HE477" s="1006"/>
      <c r="HF477" s="996">
        <v>0</v>
      </c>
      <c r="HG477" s="1006"/>
      <c r="HH477" s="996">
        <v>0</v>
      </c>
      <c r="HI477" s="1006"/>
      <c r="HJ477" s="996">
        <v>0</v>
      </c>
      <c r="HK477" s="1006"/>
      <c r="HL477" s="996">
        <v>0</v>
      </c>
      <c r="HM477" s="1006"/>
      <c r="HN477" s="996">
        <v>0</v>
      </c>
      <c r="HO477" s="1006" t="s">
        <v>223</v>
      </c>
      <c r="HP477" s="996">
        <v>-1.0784400000000005</v>
      </c>
      <c r="HQ477" s="1006"/>
      <c r="HR477" s="996">
        <v>0</v>
      </c>
      <c r="HS477" s="1006" t="s">
        <v>643</v>
      </c>
      <c r="HT477" s="996">
        <v>0</v>
      </c>
      <c r="HU477" s="1006"/>
      <c r="HV477" s="996">
        <v>-0.42635999999999896</v>
      </c>
      <c r="HW477" s="1006" t="s">
        <v>223</v>
      </c>
      <c r="HX477" s="996">
        <v>-2.09</v>
      </c>
      <c r="HY477" s="1006"/>
      <c r="HZ477" s="996">
        <v>0</v>
      </c>
      <c r="IA477" s="1006"/>
      <c r="IB477" s="996">
        <v>0</v>
      </c>
      <c r="IC477" s="1006" t="s">
        <v>221</v>
      </c>
      <c r="ID477" s="996">
        <v>5.1831999999999994</v>
      </c>
      <c r="IE477" s="1006"/>
      <c r="IF477" s="996">
        <v>0</v>
      </c>
      <c r="IG477" s="1006"/>
      <c r="IH477" s="996">
        <v>0</v>
      </c>
      <c r="II477" s="1006"/>
      <c r="IJ477" s="996">
        <v>-0.8360000000000003</v>
      </c>
      <c r="IK477" s="1006"/>
      <c r="IL477" s="996">
        <v>0</v>
      </c>
      <c r="IM477" s="1006" t="s">
        <v>223</v>
      </c>
      <c r="IN477" s="996">
        <v>-4.8488000000000007</v>
      </c>
      <c r="IO477" s="1006" t="s">
        <v>199</v>
      </c>
      <c r="IP477" s="996">
        <v>1.6134799999999991</v>
      </c>
      <c r="IQ477" s="1006" t="s">
        <v>199</v>
      </c>
      <c r="IR477" s="996">
        <v>-2.8674800000000005</v>
      </c>
      <c r="IS477" s="1006"/>
      <c r="IT477" s="996">
        <v>0</v>
      </c>
      <c r="IU477" s="1006" t="s">
        <v>223</v>
      </c>
      <c r="IV477" s="996">
        <v>-2.5079999999999991</v>
      </c>
      <c r="IW477" s="1006" t="s">
        <v>223</v>
      </c>
      <c r="IX477" s="996">
        <v>-5.8520000000000003</v>
      </c>
      <c r="IY477" s="1006"/>
      <c r="IZ477" s="996">
        <v>-0.83599999999999852</v>
      </c>
      <c r="JA477" s="1006"/>
      <c r="JB477" s="996">
        <v>0</v>
      </c>
      <c r="JC477" s="1006"/>
      <c r="JD477" s="996">
        <v>0</v>
      </c>
      <c r="JE477" s="1006"/>
      <c r="JF477" s="996">
        <v>0</v>
      </c>
      <c r="JG477" s="1006"/>
      <c r="JH477" s="996">
        <v>0</v>
      </c>
      <c r="JI477" s="1006"/>
      <c r="JJ477" s="996">
        <v>0</v>
      </c>
      <c r="JK477" s="1007"/>
      <c r="JL477" s="1007">
        <v>0</v>
      </c>
      <c r="JM477" s="1007"/>
      <c r="JN477" s="1007">
        <v>0</v>
      </c>
      <c r="JO477" s="1008" t="s">
        <v>203</v>
      </c>
      <c r="JP477" s="1007">
        <v>-8.360000000000003</v>
      </c>
      <c r="JQ477" s="1008" t="s">
        <v>435</v>
      </c>
      <c r="JR477" s="1007">
        <v>-10.867999999999995</v>
      </c>
      <c r="JS477" s="1008" t="s">
        <v>203</v>
      </c>
      <c r="JT477" s="1007">
        <v>-4.5478400000000008</v>
      </c>
      <c r="JU477" s="1008" t="s">
        <v>25</v>
      </c>
      <c r="JV477" s="1007">
        <v>66.462000000000003</v>
      </c>
      <c r="JW477" s="1008"/>
      <c r="JX477" s="1007"/>
      <c r="JY477" s="1008"/>
      <c r="JZ477" s="1007"/>
      <c r="KA477" s="1008"/>
      <c r="KB477" s="1007"/>
      <c r="KC477" s="1008"/>
      <c r="KD477" s="1007"/>
      <c r="KE477" s="1008"/>
      <c r="KF477" s="1007"/>
      <c r="KG477" s="1008"/>
      <c r="KH477" s="1007"/>
      <c r="KI477" s="1008"/>
      <c r="KJ477" s="1007"/>
      <c r="KK477" s="1008"/>
      <c r="KL477" s="1007"/>
      <c r="KM477" s="1008"/>
      <c r="KN477" s="1007"/>
      <c r="KO477" s="1008"/>
      <c r="KP477" s="1007"/>
      <c r="KQ477" s="1008"/>
      <c r="KR477" s="1007"/>
      <c r="KS477" s="1008"/>
      <c r="KT477" s="1007"/>
      <c r="KU477" s="1008"/>
      <c r="KV477" s="1007"/>
      <c r="KW477" s="1008"/>
      <c r="KX477" s="1007"/>
      <c r="KY477" s="1008"/>
      <c r="KZ477" s="1007"/>
      <c r="LA477" s="1008"/>
      <c r="LB477" s="1007"/>
      <c r="LC477" s="1008"/>
      <c r="LD477" s="1007"/>
      <c r="LE477" s="1008"/>
      <c r="LF477" s="1007"/>
      <c r="LG477" s="1008"/>
      <c r="LH477" s="1007"/>
      <c r="LI477" s="1008"/>
      <c r="LJ477" s="1007"/>
      <c r="LK477" s="1008"/>
      <c r="LL477" s="1007"/>
      <c r="LM477" s="1008"/>
      <c r="LN477" s="1007"/>
      <c r="LO477" s="1008"/>
      <c r="LP477" s="1007"/>
      <c r="LQ477" s="1008"/>
      <c r="LR477" s="1007"/>
      <c r="LS477" s="1008"/>
      <c r="LT477" s="1007"/>
      <c r="LU477" s="1008"/>
      <c r="LV477" s="1007"/>
      <c r="LW477" s="1008"/>
      <c r="LX477" s="1007"/>
      <c r="LY477" s="1009"/>
      <c r="LZ477" s="1010"/>
      <c r="MA477" s="1011"/>
      <c r="MB477" s="1012"/>
      <c r="MC477" s="995"/>
      <c r="MD477" s="996"/>
      <c r="ME477" s="997" t="s">
        <v>202</v>
      </c>
      <c r="MF477" s="997"/>
      <c r="MG477" s="998"/>
      <c r="NR477" s="1000"/>
      <c r="NS477" s="1000"/>
      <c r="NT477" s="1001"/>
      <c r="NU477" s="1000"/>
      <c r="NV477" s="1001"/>
      <c r="NX477" s="1002"/>
      <c r="NZ477" s="1001"/>
      <c r="OA477" s="1001"/>
      <c r="OC477" s="1003"/>
      <c r="OD477" s="1003"/>
      <c r="OE477" s="1001"/>
      <c r="OF477" s="1003"/>
      <c r="OG477" s="1003"/>
      <c r="QX477" s="1000">
        <f>CN477-CA477</f>
        <v>91</v>
      </c>
      <c r="ASU477" s="999" t="s">
        <v>208</v>
      </c>
    </row>
    <row r="478" spans="1:466 1191:1191" ht="21" customHeight="1" x14ac:dyDescent="0.25">
      <c r="A478" s="982">
        <f t="shared" si="372"/>
        <v>1564</v>
      </c>
      <c r="B478" s="124">
        <f>SUBTOTAL(103,$J$29:J478)</f>
        <v>450</v>
      </c>
      <c r="C478" s="126">
        <v>45068</v>
      </c>
      <c r="D478" s="124" t="s">
        <v>176</v>
      </c>
      <c r="E478" s="127" t="s">
        <v>177</v>
      </c>
      <c r="F478" s="128" t="s">
        <v>177</v>
      </c>
      <c r="G478" s="127" t="s">
        <v>178</v>
      </c>
      <c r="H478" s="127" t="s">
        <v>408</v>
      </c>
      <c r="I478" s="127" t="s">
        <v>975</v>
      </c>
      <c r="J478" s="152">
        <v>1564</v>
      </c>
      <c r="K478" s="127" t="s">
        <v>1759</v>
      </c>
      <c r="L478" s="130">
        <v>44093</v>
      </c>
      <c r="M478" s="127" t="s">
        <v>230</v>
      </c>
      <c r="N478" s="127" t="s">
        <v>231</v>
      </c>
      <c r="O478" s="127" t="s">
        <v>185</v>
      </c>
      <c r="P478" s="127" t="s">
        <v>186</v>
      </c>
      <c r="Q478" s="85" t="str">
        <f t="shared" si="367"/>
        <v/>
      </c>
      <c r="R478" s="130"/>
      <c r="S478" s="128"/>
      <c r="T478" s="131"/>
      <c r="U478" s="132">
        <v>203</v>
      </c>
      <c r="V478" s="121">
        <v>218.2</v>
      </c>
      <c r="W478" s="116">
        <v>0.98</v>
      </c>
      <c r="X478" s="116">
        <v>1.66</v>
      </c>
      <c r="Y478" s="116">
        <f t="shared" si="346"/>
        <v>0.98</v>
      </c>
      <c r="Z478" s="133">
        <v>1.454</v>
      </c>
      <c r="AA478" s="133">
        <v>0.83599999999999997</v>
      </c>
      <c r="AB478" s="133">
        <v>0.72</v>
      </c>
      <c r="AC478" s="121">
        <v>34.299999999999997</v>
      </c>
      <c r="AD478" s="134">
        <v>1.17</v>
      </c>
      <c r="AE478" s="124">
        <v>177.8</v>
      </c>
      <c r="AF478" s="128">
        <v>9.19</v>
      </c>
      <c r="AG478" s="128">
        <v>2161</v>
      </c>
      <c r="AH478" s="127">
        <v>2800</v>
      </c>
      <c r="AI478" s="127">
        <v>2800</v>
      </c>
      <c r="AJ478" s="135"/>
      <c r="AK478" s="128"/>
      <c r="AL478" s="131"/>
      <c r="AM478" s="124" t="s">
        <v>232</v>
      </c>
      <c r="AN478" s="136" t="s">
        <v>1760</v>
      </c>
      <c r="AO478" s="137">
        <v>59.42</v>
      </c>
      <c r="AP478" s="128">
        <v>1861</v>
      </c>
      <c r="AQ478" s="128">
        <f>AG478-AP478</f>
        <v>300</v>
      </c>
      <c r="AR478" s="128"/>
      <c r="AS478" s="128"/>
      <c r="AT478" s="122"/>
      <c r="AU478" s="124" t="s">
        <v>189</v>
      </c>
      <c r="AV478" s="115">
        <f>VLOOKUP(J478,'[63]ТР нефть'!$J$28:$BP$638,39,0)</f>
        <v>493.99998632799998</v>
      </c>
      <c r="AW478" s="115" t="str">
        <f>VLOOKUP(J478,'[63]ТР нефть'!$J$28:$BP$638,40,0)</f>
        <v>ГК77 1/8</v>
      </c>
      <c r="AX478" s="115">
        <f>VLOOKUP(J478,'[63]ТР нефть'!$J$28:$BP$638,41,0)</f>
        <v>893.00000390599996</v>
      </c>
      <c r="AY478" s="115" t="str">
        <f>VLOOKUP(J478,'[63]ТР нефть'!$J$28:$BP$638,42,0)</f>
        <v>ГК77 1/8</v>
      </c>
      <c r="AZ478" s="115">
        <f>VLOOKUP(J478,'[63]ТР нефть'!$J$28:$BP$638,43,0)</f>
        <v>1209.9999662109999</v>
      </c>
      <c r="BA478" s="115" t="str">
        <f>VLOOKUP(J478,'[63]ТР нефть'!$J$28:$BP$638,44,0)</f>
        <v>ГК77 1/8</v>
      </c>
      <c r="BB478" s="115">
        <f>VLOOKUP(J478,'[63]ТР нефть'!$J$28:$BP$638,45,0)</f>
        <v>1476.9999292970001</v>
      </c>
      <c r="BC478" s="115" t="str">
        <f>VLOOKUP(J478,'[63]ТР нефть'!$J$28:$BP$638,46,0)</f>
        <v>ГК77 1/8</v>
      </c>
      <c r="BD478" s="115">
        <f>VLOOKUP(J478,'[63]ТР нефть'!$J$28:$BP$638,47,0)</f>
        <v>1710.000032813</v>
      </c>
      <c r="BE478" s="115" t="str">
        <f>VLOOKUP(J478,'[63]ТР нефть'!$J$28:$BP$638,48,0)</f>
        <v>ЦКсОК 5/16</v>
      </c>
      <c r="BF478" s="115" t="str">
        <f>VLOOKUP(J478,'[63]ТР нефть'!$J$28:$BP$638,49,0)</f>
        <v>-</v>
      </c>
      <c r="BG478" s="115" t="str">
        <f>VLOOKUP(J478,'[63]ТР нефть'!$J$28:$BP$638,50,0)</f>
        <v>-</v>
      </c>
      <c r="BH478" s="115" t="str">
        <f>VLOOKUP(J478,'[63]ТР нефть'!$J$28:$BP$638,51,0)</f>
        <v>-</v>
      </c>
      <c r="BI478" s="115" t="str">
        <f>VLOOKUP(J478,'[63]ТР нефть'!$J$28:$BP$638,52,0)</f>
        <v>-</v>
      </c>
      <c r="BJ478" s="115" t="str">
        <f>IF(IFERROR(VLOOKUP(J478,'[63]ТР нефть'!$J$28:$BP$638,53,0),"-")=0,"-",IFERROR(VLOOKUP(J478,'[63]ТР нефть'!$J$28:$BP$638,53,0),"-"))</f>
        <v>-</v>
      </c>
      <c r="BK478" s="138" t="str">
        <f>IF(IFERROR(VLOOKUP(J478,'[63]ТР нефть'!$J$28:$BP$638,54,0),"-")=0,"-",IFERROR(VLOOKUP(J478,'[63]ТР нефть'!$J$28:$BP$638,54,0),"-"))</f>
        <v>-</v>
      </c>
      <c r="BL478" s="138" t="str">
        <f>IF(IFERROR(VLOOKUP(J478,'[63]ТР нефть'!$J$28:$BP$638,55,0),"-")=0,"-",IFERROR(VLOOKUP(J478,'[63]ТР нефть'!$J$28:$BP$638,55,0),"-"))</f>
        <v>-</v>
      </c>
      <c r="BM478" s="138" t="str">
        <f>IF(IFERROR(VLOOKUP(J478,'[63]ТР нефть'!$J$28:$BP$638,56,0),"-")=0,"-",IFERROR(VLOOKUP(J478,'[63]ТР нефть'!$J$28:$BP$638,56,0),"-"))</f>
        <v>-</v>
      </c>
      <c r="BN478" s="138" t="str">
        <f>IF(IFERROR(VLOOKUP(J478,'[63]ТР нефть'!$J$28:$BP$638,57,0),"-")=0,"-",IFERROR(VLOOKUP(J478,'[63]ТР нефть'!$J$28:$BP$638,57,0),"-"))</f>
        <v>-</v>
      </c>
      <c r="BO478" s="115" t="str">
        <f>IF(IFERROR(VLOOKUP(J478,'[63]ТР нефть'!$J$28:$BP$638,58,0),"-")=0,"-",IFERROR(VLOOKUP(J478,'[63]ТР нефть'!$J$28:$BP$638,58,0),"-"))</f>
        <v>-</v>
      </c>
      <c r="BP478" s="115" t="str">
        <f>IF(IFERROR(VLOOKUP(J478,'[63]ТР нефть'!$J$28:$BP$638,59,0),"-")=0,"-",IFERROR(VLOOKUP(J478,'[63]ТР нефть'!$J$28:$BP$638,59,0),"-"))</f>
        <v>-</v>
      </c>
      <c r="BQ478" s="138">
        <v>2171</v>
      </c>
      <c r="BR478" s="128">
        <v>1862.83</v>
      </c>
      <c r="BS478" s="115">
        <f t="shared" si="351"/>
        <v>308.17000000000007</v>
      </c>
      <c r="BT478" s="128">
        <v>73</v>
      </c>
      <c r="BU478" s="128">
        <v>5.5</v>
      </c>
      <c r="BV478" s="127">
        <v>18</v>
      </c>
      <c r="BW478" s="127" t="s">
        <v>217</v>
      </c>
      <c r="BX478" s="127" t="s">
        <v>195</v>
      </c>
      <c r="BY478" s="139">
        <v>24</v>
      </c>
      <c r="BZ478" s="139">
        <v>0</v>
      </c>
      <c r="CA478" s="138">
        <v>25</v>
      </c>
      <c r="CB478" s="138">
        <v>57</v>
      </c>
      <c r="CC478" s="138">
        <v>25</v>
      </c>
      <c r="CD478" s="135">
        <v>45017</v>
      </c>
      <c r="CE478" s="138">
        <v>94</v>
      </c>
      <c r="CF478" s="138">
        <v>63</v>
      </c>
      <c r="CG478" s="138" t="str">
        <f>IF(CH478&lt;&gt;"","В работе","")</f>
        <v>В работе</v>
      </c>
      <c r="CH478" s="138" t="s">
        <v>235</v>
      </c>
      <c r="CI478" s="127">
        <v>5</v>
      </c>
      <c r="CJ478" s="138"/>
      <c r="CK478" s="138"/>
      <c r="CL478" s="99"/>
      <c r="CM478" s="99"/>
      <c r="CN478" s="140">
        <v>46</v>
      </c>
      <c r="CO478" s="159">
        <f t="shared" si="373"/>
        <v>15.5496</v>
      </c>
      <c r="CP478" s="160">
        <v>18.600000000000001</v>
      </c>
      <c r="CQ478" s="161">
        <v>0</v>
      </c>
      <c r="CR478" s="138">
        <v>22.7</v>
      </c>
      <c r="CS478" s="139">
        <v>6.6</v>
      </c>
      <c r="CT478" s="138"/>
      <c r="CU478" s="138">
        <f t="shared" si="370"/>
        <v>16.100000000000001</v>
      </c>
      <c r="CV478" s="115">
        <f t="shared" si="368"/>
        <v>1035.3964089108404</v>
      </c>
      <c r="CW478" s="115">
        <f t="shared" si="374"/>
        <v>424.44821731748721</v>
      </c>
      <c r="CX478" s="133">
        <f t="shared" si="369"/>
        <v>0.38750000000000001</v>
      </c>
      <c r="CY478" s="116"/>
      <c r="CZ478" s="131"/>
      <c r="DA478" s="145" t="str">
        <f t="shared" si="375"/>
        <v>Газлифт</v>
      </c>
      <c r="DB478" s="146">
        <f t="shared" si="341"/>
        <v>15.5496</v>
      </c>
      <c r="DC478" s="142">
        <f t="shared" si="342"/>
        <v>18.600000000000001</v>
      </c>
      <c r="DD478" s="119">
        <f t="shared" si="350"/>
        <v>0</v>
      </c>
      <c r="DE478" s="115">
        <f t="shared" si="343"/>
        <v>16.100000000000001</v>
      </c>
      <c r="DF478" s="121">
        <f t="shared" si="376"/>
        <v>6.6</v>
      </c>
      <c r="DG478" s="115">
        <f t="shared" si="377"/>
        <v>1035.3964089108404</v>
      </c>
      <c r="DH478" s="115">
        <f t="shared" si="378"/>
        <v>46</v>
      </c>
      <c r="DI478" s="147"/>
      <c r="DJ478" s="111"/>
      <c r="DK478" s="112">
        <v>44093.083333333336</v>
      </c>
      <c r="DL478" s="113">
        <f t="shared" ca="1" si="359"/>
        <v>1010.9166666666642</v>
      </c>
      <c r="DM478" s="114"/>
      <c r="DN478" s="114"/>
      <c r="DO478" s="114"/>
      <c r="DP478" s="114"/>
      <c r="DQ478" s="112"/>
      <c r="DR478" s="114"/>
      <c r="DS478" s="114"/>
      <c r="DT478" s="115">
        <v>47</v>
      </c>
      <c r="DU478" s="116">
        <f t="shared" si="360"/>
        <v>0.39574468085106385</v>
      </c>
      <c r="DV478" s="117">
        <f t="shared" si="361"/>
        <v>15.5496</v>
      </c>
      <c r="DW478" s="118">
        <f t="shared" si="362"/>
        <v>18.600000000000001</v>
      </c>
      <c r="DX478" s="119">
        <f t="shared" si="379"/>
        <v>0</v>
      </c>
      <c r="DY478" s="115">
        <f t="shared" si="363"/>
        <v>16.100000000000005</v>
      </c>
      <c r="DZ478" s="117">
        <f t="shared" si="364"/>
        <v>0</v>
      </c>
      <c r="EA478" s="120">
        <f t="shared" si="364"/>
        <v>0</v>
      </c>
      <c r="EB478" s="119">
        <f t="shared" si="364"/>
        <v>0</v>
      </c>
      <c r="EC478" s="121">
        <f t="shared" si="365"/>
        <v>0</v>
      </c>
      <c r="ED478" s="122"/>
      <c r="EE478" s="145">
        <v>18</v>
      </c>
      <c r="EF478" s="115">
        <v>25</v>
      </c>
      <c r="EG478" s="115">
        <v>57</v>
      </c>
      <c r="EH478" s="115">
        <v>25</v>
      </c>
      <c r="EI478" s="128" t="s">
        <v>195</v>
      </c>
      <c r="EJ478" s="121">
        <v>24</v>
      </c>
      <c r="EK478" s="121">
        <v>0</v>
      </c>
      <c r="EL478" s="162">
        <v>15.5496</v>
      </c>
      <c r="EM478" s="142">
        <v>18.600000000000001</v>
      </c>
      <c r="EN478" s="119">
        <v>0</v>
      </c>
      <c r="EO478" s="115">
        <v>22.7</v>
      </c>
      <c r="EP478" s="115">
        <v>1035.3964089108404</v>
      </c>
      <c r="EQ478" s="115">
        <v>63</v>
      </c>
      <c r="ER478" s="115">
        <v>6.6</v>
      </c>
      <c r="ES478" s="115">
        <v>46</v>
      </c>
      <c r="ET478" s="150">
        <v>0.38750000000000001</v>
      </c>
      <c r="EU478" s="145">
        <f t="shared" si="332"/>
        <v>18</v>
      </c>
      <c r="EV478" s="115">
        <f t="shared" si="380"/>
        <v>25</v>
      </c>
      <c r="EW478" s="115">
        <f t="shared" si="380"/>
        <v>57</v>
      </c>
      <c r="EX478" s="115">
        <f t="shared" si="380"/>
        <v>25</v>
      </c>
      <c r="EY478" s="115" t="str">
        <f t="shared" si="357"/>
        <v>Постоянный</v>
      </c>
      <c r="EZ478" s="115">
        <f t="shared" si="357"/>
        <v>24</v>
      </c>
      <c r="FA478" s="115">
        <f t="shared" si="357"/>
        <v>0</v>
      </c>
      <c r="FB478" s="149">
        <f t="shared" si="345"/>
        <v>15.5496</v>
      </c>
      <c r="FC478" s="142">
        <f t="shared" si="345"/>
        <v>18.600000000000001</v>
      </c>
      <c r="FD478" s="119">
        <f t="shared" si="345"/>
        <v>0</v>
      </c>
      <c r="FE478" s="121">
        <f t="shared" si="344"/>
        <v>22.7</v>
      </c>
      <c r="FF478" s="121">
        <f t="shared" si="347"/>
        <v>1035.3964089108404</v>
      </c>
      <c r="FG478" s="121">
        <f t="shared" si="381"/>
        <v>63</v>
      </c>
      <c r="FH478" s="121">
        <f t="shared" si="358"/>
        <v>6.6</v>
      </c>
      <c r="FI478" s="121">
        <f t="shared" si="355"/>
        <v>46</v>
      </c>
      <c r="FJ478" s="144">
        <f t="shared" si="382"/>
        <v>0.38750000000000001</v>
      </c>
      <c r="FK478" s="132">
        <f t="shared" si="383"/>
        <v>0</v>
      </c>
      <c r="FL478" s="115">
        <f t="shared" si="383"/>
        <v>0</v>
      </c>
      <c r="FM478" s="115">
        <f t="shared" si="383"/>
        <v>0</v>
      </c>
      <c r="FN478" s="115">
        <f t="shared" si="371"/>
        <v>0</v>
      </c>
      <c r="FO478" s="115">
        <f t="shared" si="354"/>
        <v>0</v>
      </c>
      <c r="FP478" s="115">
        <f t="shared" si="354"/>
        <v>0</v>
      </c>
      <c r="FQ478" s="149">
        <f t="shared" si="354"/>
        <v>0</v>
      </c>
      <c r="FR478" s="142">
        <f t="shared" si="354"/>
        <v>0</v>
      </c>
      <c r="FS478" s="119">
        <f t="shared" si="354"/>
        <v>0</v>
      </c>
      <c r="FT478" s="121">
        <f t="shared" si="353"/>
        <v>0</v>
      </c>
      <c r="FU478" s="121">
        <f t="shared" si="384"/>
        <v>0</v>
      </c>
      <c r="FV478" s="121">
        <f t="shared" si="384"/>
        <v>0</v>
      </c>
      <c r="FW478" s="121">
        <f t="shared" si="385"/>
        <v>0</v>
      </c>
      <c r="FX478" s="121">
        <f>CN478-ES478</f>
        <v>0</v>
      </c>
      <c r="FY478" s="144">
        <f t="shared" si="386"/>
        <v>0</v>
      </c>
      <c r="FZ478" s="145"/>
      <c r="GA478" s="151" t="s">
        <v>1181</v>
      </c>
      <c r="GB478" s="145"/>
      <c r="GC478" s="163"/>
      <c r="GD478" s="997" t="s">
        <v>416</v>
      </c>
      <c r="GE478" s="1004"/>
      <c r="GF478" s="1004">
        <v>0</v>
      </c>
      <c r="GG478" s="1004"/>
      <c r="GH478" s="1004">
        <v>-0.21685839999999956</v>
      </c>
      <c r="GI478" s="145"/>
      <c r="GJ478" s="996">
        <v>0</v>
      </c>
      <c r="GK478" s="145"/>
      <c r="GL478" s="996">
        <v>0</v>
      </c>
      <c r="GM478" s="1005" t="s">
        <v>204</v>
      </c>
      <c r="GN478" s="996">
        <v>-10.826701599999998</v>
      </c>
      <c r="GO478" s="1006"/>
      <c r="GP478" s="996">
        <v>-0.15884000000000142</v>
      </c>
      <c r="GQ478" s="1006"/>
      <c r="GR478" s="996">
        <v>-0.83599999999999852</v>
      </c>
      <c r="GS478" s="1006" t="s">
        <v>199</v>
      </c>
      <c r="GT478" s="996">
        <v>6.7715999999999994</v>
      </c>
      <c r="GU478" s="1006"/>
      <c r="GV478" s="996">
        <v>0</v>
      </c>
      <c r="GW478" s="1006"/>
      <c r="GX478" s="996">
        <v>0</v>
      </c>
      <c r="GY478" s="1006" t="s">
        <v>199</v>
      </c>
      <c r="GZ478" s="996">
        <v>1.4211999999999989</v>
      </c>
      <c r="HA478" s="1006" t="s">
        <v>199</v>
      </c>
      <c r="HB478" s="996">
        <v>2.1109969759999991</v>
      </c>
      <c r="HC478" s="1006" t="s">
        <v>199</v>
      </c>
      <c r="HD478" s="996">
        <v>-0.19981737600000216</v>
      </c>
      <c r="HE478" s="1006"/>
      <c r="HF478" s="996">
        <v>0</v>
      </c>
      <c r="HG478" s="1006"/>
      <c r="HH478" s="996">
        <v>0</v>
      </c>
      <c r="HI478" s="1006" t="s">
        <v>199</v>
      </c>
      <c r="HJ478" s="996">
        <v>3.2817180000000032</v>
      </c>
      <c r="HK478" s="1006"/>
      <c r="HL478" s="996">
        <v>0</v>
      </c>
      <c r="HM478" s="1006" t="s">
        <v>199</v>
      </c>
      <c r="HN478" s="996">
        <v>4.7555023999999992</v>
      </c>
      <c r="HO478" s="1006" t="s">
        <v>199</v>
      </c>
      <c r="HP478" s="996">
        <v>-3.0958283840000007</v>
      </c>
      <c r="HQ478" s="1006"/>
      <c r="HR478" s="996">
        <v>-0.77184201599999902</v>
      </c>
      <c r="HS478" s="1006"/>
      <c r="HT478" s="996">
        <v>0.83215440000000029</v>
      </c>
      <c r="HU478" s="1006"/>
      <c r="HV478" s="996">
        <v>-5.7684000000000069E-2</v>
      </c>
      <c r="HW478" s="1006" t="s">
        <v>223</v>
      </c>
      <c r="HX478" s="996">
        <v>-3.19766656</v>
      </c>
      <c r="HY478" s="1006" t="s">
        <v>223</v>
      </c>
      <c r="HZ478" s="996">
        <v>-2.0328510399999988</v>
      </c>
      <c r="IA478" s="1006"/>
      <c r="IB478" s="996">
        <v>0</v>
      </c>
      <c r="IC478" s="1006"/>
      <c r="ID478" s="996">
        <v>0</v>
      </c>
      <c r="IE478" s="1006" t="s">
        <v>275</v>
      </c>
      <c r="IF478" s="996">
        <v>-17.56672588</v>
      </c>
      <c r="IG478" s="1006" t="s">
        <v>199</v>
      </c>
      <c r="IH478" s="996">
        <v>13.013535479999998</v>
      </c>
      <c r="II478" s="1006"/>
      <c r="IJ478" s="996">
        <v>0</v>
      </c>
      <c r="IK478" s="1006" t="s">
        <v>349</v>
      </c>
      <c r="IL478" s="996">
        <v>-2.7562919999999984</v>
      </c>
      <c r="IM478" s="1006" t="s">
        <v>199</v>
      </c>
      <c r="IN478" s="996">
        <v>4.597999999999999</v>
      </c>
      <c r="IO478" s="1006" t="s">
        <v>203</v>
      </c>
      <c r="IP478" s="996">
        <v>-10.918397424000002</v>
      </c>
      <c r="IQ478" s="1006" t="s">
        <v>25</v>
      </c>
      <c r="IR478" s="996">
        <v>31.400397424000001</v>
      </c>
      <c r="IS478" s="1006"/>
      <c r="IT478" s="996"/>
      <c r="IU478" s="1006"/>
      <c r="IV478" s="996"/>
      <c r="IW478" s="1006"/>
      <c r="IX478" s="996"/>
      <c r="IY478" s="1006"/>
      <c r="IZ478" s="996"/>
      <c r="JA478" s="1006"/>
      <c r="JB478" s="996"/>
      <c r="JC478" s="1006"/>
      <c r="JD478" s="996"/>
      <c r="JE478" s="1006"/>
      <c r="JF478" s="996"/>
      <c r="JG478" s="1006"/>
      <c r="JH478" s="996"/>
      <c r="JI478" s="1006"/>
      <c r="JJ478" s="996"/>
      <c r="JK478" s="1007"/>
      <c r="JL478" s="1007"/>
      <c r="JM478" s="1007"/>
      <c r="JN478" s="1007"/>
      <c r="JO478" s="1008"/>
      <c r="JP478" s="1007"/>
      <c r="JQ478" s="1008"/>
      <c r="JR478" s="1007"/>
      <c r="JS478" s="1008"/>
      <c r="JT478" s="1007"/>
      <c r="JU478" s="1008"/>
      <c r="JV478" s="1007"/>
      <c r="JW478" s="1008"/>
      <c r="JX478" s="1007"/>
      <c r="JY478" s="1008"/>
      <c r="JZ478" s="1007"/>
      <c r="KA478" s="1008"/>
      <c r="KB478" s="1007"/>
      <c r="KC478" s="1008"/>
      <c r="KD478" s="1007"/>
      <c r="KE478" s="1008"/>
      <c r="KF478" s="1007"/>
      <c r="KG478" s="1008"/>
      <c r="KH478" s="1007"/>
      <c r="KI478" s="1008"/>
      <c r="KJ478" s="1007"/>
      <c r="KK478" s="1008"/>
      <c r="KL478" s="1007"/>
      <c r="KM478" s="1008"/>
      <c r="KN478" s="1007"/>
      <c r="KO478" s="1008"/>
      <c r="KP478" s="1007"/>
      <c r="KQ478" s="1008"/>
      <c r="KR478" s="1007"/>
      <c r="KS478" s="1008"/>
      <c r="KT478" s="1007"/>
      <c r="KU478" s="1008"/>
      <c r="KV478" s="1007"/>
      <c r="KW478" s="1008"/>
      <c r="KX478" s="1007"/>
      <c r="KY478" s="1008"/>
      <c r="KZ478" s="1007"/>
      <c r="LA478" s="1008"/>
      <c r="LB478" s="1007"/>
      <c r="LC478" s="1008"/>
      <c r="LD478" s="1007"/>
      <c r="LE478" s="1008"/>
      <c r="LF478" s="1007"/>
      <c r="LG478" s="1008"/>
      <c r="LH478" s="1007"/>
      <c r="LI478" s="1008"/>
      <c r="LJ478" s="1007"/>
      <c r="LK478" s="1008"/>
      <c r="LL478" s="1007"/>
      <c r="LM478" s="1008"/>
      <c r="LN478" s="1007"/>
      <c r="LO478" s="1008"/>
      <c r="LP478" s="1007"/>
      <c r="LQ478" s="1008"/>
      <c r="LR478" s="1007"/>
      <c r="LS478" s="1008"/>
      <c r="LT478" s="1007"/>
      <c r="LU478" s="1008"/>
      <c r="LV478" s="1007"/>
      <c r="LW478" s="1008"/>
      <c r="LX478" s="1007"/>
      <c r="LY478" s="1009"/>
      <c r="LZ478" s="1010"/>
      <c r="MA478" s="1011"/>
      <c r="MB478" s="1012"/>
      <c r="MC478" s="995"/>
      <c r="MD478" s="996"/>
      <c r="ME478" s="997" t="s">
        <v>416</v>
      </c>
      <c r="MF478" s="997"/>
      <c r="MG478" s="998"/>
      <c r="NR478" s="1000"/>
      <c r="NS478" s="1000"/>
      <c r="NT478" s="1001"/>
      <c r="NU478" s="1000"/>
      <c r="NV478" s="1001"/>
      <c r="NX478" s="1002"/>
      <c r="NZ478" s="1001"/>
      <c r="OA478" s="1001"/>
      <c r="OC478" s="1003"/>
      <c r="OD478" s="1003"/>
      <c r="OE478" s="1001"/>
      <c r="OF478" s="1003"/>
      <c r="OG478" s="1003"/>
      <c r="QX478" s="1000">
        <f>CN478-CA478</f>
        <v>21</v>
      </c>
      <c r="ASU478" s="999" t="s">
        <v>208</v>
      </c>
    </row>
    <row r="479" spans="1:466 1191:1191" ht="21" customHeight="1" x14ac:dyDescent="0.25">
      <c r="A479" s="982">
        <f t="shared" si="372"/>
        <v>1565</v>
      </c>
      <c r="B479" s="124">
        <f>SUBTOTAL(103,$J$29:J479)</f>
        <v>451</v>
      </c>
      <c r="C479" s="126">
        <v>45068</v>
      </c>
      <c r="D479" s="124" t="s">
        <v>176</v>
      </c>
      <c r="E479" s="127" t="s">
        <v>177</v>
      </c>
      <c r="F479" s="128" t="s">
        <v>177</v>
      </c>
      <c r="G479" s="127" t="s">
        <v>178</v>
      </c>
      <c r="H479" s="127" t="s">
        <v>408</v>
      </c>
      <c r="I479" s="127" t="s">
        <v>975</v>
      </c>
      <c r="J479" s="152">
        <v>1565</v>
      </c>
      <c r="K479" s="127" t="s">
        <v>1759</v>
      </c>
      <c r="L479" s="130">
        <v>44045</v>
      </c>
      <c r="M479" s="127" t="s">
        <v>230</v>
      </c>
      <c r="N479" s="127" t="s">
        <v>231</v>
      </c>
      <c r="O479" s="127" t="s">
        <v>185</v>
      </c>
      <c r="P479" s="127" t="s">
        <v>186</v>
      </c>
      <c r="Q479" s="85" t="str">
        <f t="shared" si="367"/>
        <v/>
      </c>
      <c r="R479" s="130"/>
      <c r="S479" s="128"/>
      <c r="T479" s="131"/>
      <c r="U479" s="132">
        <v>203</v>
      </c>
      <c r="V479" s="121">
        <v>218.2</v>
      </c>
      <c r="W479" s="116">
        <v>0.98</v>
      </c>
      <c r="X479" s="116">
        <v>1.66</v>
      </c>
      <c r="Y479" s="116">
        <f t="shared" si="346"/>
        <v>0.98032126190751667</v>
      </c>
      <c r="Z479" s="133">
        <v>1.454</v>
      </c>
      <c r="AA479" s="133">
        <v>0.83599999999999997</v>
      </c>
      <c r="AB479" s="133">
        <v>0.72</v>
      </c>
      <c r="AC479" s="121">
        <v>34.299999999999997</v>
      </c>
      <c r="AD479" s="134">
        <v>1.17</v>
      </c>
      <c r="AE479" s="124">
        <v>177.8</v>
      </c>
      <c r="AF479" s="128">
        <v>9.19</v>
      </c>
      <c r="AG479" s="128">
        <v>2158</v>
      </c>
      <c r="AH479" s="127">
        <v>2766</v>
      </c>
      <c r="AI479" s="127">
        <f>AH479</f>
        <v>2766</v>
      </c>
      <c r="AJ479" s="135"/>
      <c r="AK479" s="128"/>
      <c r="AL479" s="131"/>
      <c r="AM479" s="124" t="s">
        <v>232</v>
      </c>
      <c r="AN479" s="136" t="s">
        <v>1761</v>
      </c>
      <c r="AO479" s="137" t="s">
        <v>192</v>
      </c>
      <c r="AP479" s="128">
        <v>2158</v>
      </c>
      <c r="AQ479" s="128" t="s">
        <v>192</v>
      </c>
      <c r="AR479" s="128"/>
      <c r="AS479" s="128"/>
      <c r="AT479" s="122"/>
      <c r="AU479" s="124" t="s">
        <v>189</v>
      </c>
      <c r="AV479" s="115">
        <f>VLOOKUP(J479,'[63]ТР нефть'!$J$28:$BP$638,39,0)</f>
        <v>480.99999843799998</v>
      </c>
      <c r="AW479" s="115" t="str">
        <f>VLOOKUP(J479,'[63]ТР нефть'!$J$28:$BP$638,40,0)</f>
        <v>ГК79 1/8</v>
      </c>
      <c r="AX479" s="115">
        <f>VLOOKUP(J479,'[63]ТР нефть'!$J$28:$BP$638,41,0)</f>
        <v>936.00002109399998</v>
      </c>
      <c r="AY479" s="115" t="str">
        <f>VLOOKUP(J479,'[63]ТР нефть'!$J$28:$BP$638,42,0)</f>
        <v>ГК79 1/8</v>
      </c>
      <c r="AZ479" s="115">
        <f>VLOOKUP(J479,'[63]ТР нефть'!$J$28:$BP$638,43,0)</f>
        <v>1299.9999796879999</v>
      </c>
      <c r="BA479" s="115" t="str">
        <f>VLOOKUP(J479,'[63]ТР нефть'!$J$28:$BP$638,44,0)</f>
        <v>ГК77 3/16</v>
      </c>
      <c r="BB479" s="115">
        <f>VLOOKUP(J479,'[63]ТР нефть'!$J$28:$BP$638,45,0)</f>
        <v>1630.9999804690001</v>
      </c>
      <c r="BC479" s="115" t="str">
        <f>VLOOKUP(J479,'[63]ТР нефть'!$J$28:$BP$638,46,0)</f>
        <v>ГК76 3/16</v>
      </c>
      <c r="BD479" s="115">
        <f>VLOOKUP(J479,'[63]ТР нефть'!$J$28:$BP$638,47,0)</f>
        <v>1848.999994922</v>
      </c>
      <c r="BE479" s="115" t="str">
        <f>VLOOKUP(J479,'[63]ТР нефть'!$J$28:$BP$638,48,0)</f>
        <v>ЦКсОК 5/16</v>
      </c>
      <c r="BF479" s="115" t="str">
        <f>VLOOKUP(J479,'[63]ТР нефть'!$J$28:$BP$638,49,0)</f>
        <v>-</v>
      </c>
      <c r="BG479" s="115" t="str">
        <f>VLOOKUP(J479,'[63]ТР нефть'!$J$28:$BP$638,50,0)</f>
        <v>-</v>
      </c>
      <c r="BH479" s="115">
        <f>VLOOKUP(J479,'[63]ТР нефть'!$J$28:$BP$638,51,0)</f>
        <v>1862</v>
      </c>
      <c r="BI479" s="115" t="str">
        <f>VLOOKUP(J479,'[63]ТР нефть'!$J$28:$BP$638,52,0)</f>
        <v>закрыт</v>
      </c>
      <c r="BJ479" s="115" t="str">
        <f>IF(IFERROR(VLOOKUP(J479,'[63]ТР нефть'!$J$28:$BP$638,53,0),"-")=0,"-",IFERROR(VLOOKUP(J479,'[63]ТР нефть'!$J$28:$BP$638,53,0),"-"))</f>
        <v>-</v>
      </c>
      <c r="BK479" s="138" t="str">
        <f>IF(IFERROR(VLOOKUP(J479,'[63]ТР нефть'!$J$28:$BP$638,54,0),"-")=0,"-",IFERROR(VLOOKUP(J479,'[63]ТР нефть'!$J$28:$BP$638,54,0),"-"))</f>
        <v>-</v>
      </c>
      <c r="BL479" s="138" t="str">
        <f>IF(IFERROR(VLOOKUP(J479,'[63]ТР нефть'!$J$28:$BP$638,55,0),"-")=0,"-",IFERROR(VLOOKUP(J479,'[63]ТР нефть'!$J$28:$BP$638,55,0),"-"))</f>
        <v>-</v>
      </c>
      <c r="BM479" s="138" t="str">
        <f>IF(IFERROR(VLOOKUP(J479,'[63]ТР нефть'!$J$28:$BP$638,56,0),"-")=0,"-",IFERROR(VLOOKUP(J479,'[63]ТР нефть'!$J$28:$BP$638,56,0),"-"))</f>
        <v>-</v>
      </c>
      <c r="BN479" s="138" t="str">
        <f>IF(IFERROR(VLOOKUP(J479,'[63]ТР нефть'!$J$28:$BP$638,57,0),"-")=0,"-",IFERROR(VLOOKUP(J479,'[63]ТР нефть'!$J$28:$BP$638,57,0),"-"))</f>
        <v>-</v>
      </c>
      <c r="BO479" s="115" t="str">
        <f>IF(IFERROR(VLOOKUP(J479,'[63]ТР нефть'!$J$28:$BP$638,58,0),"-")=0,"-",IFERROR(VLOOKUP(J479,'[63]ТР нефть'!$J$28:$BP$638,58,0),"-"))</f>
        <v>-</v>
      </c>
      <c r="BP479" s="115" t="str">
        <f>IF(IFERROR(VLOOKUP(J479,'[63]ТР нефть'!$J$28:$BP$638,59,0),"-")=0,"-",IFERROR(VLOOKUP(J479,'[63]ТР нефть'!$J$28:$BP$638,59,0),"-"))</f>
        <v>-</v>
      </c>
      <c r="BQ479" s="138">
        <v>2178.52</v>
      </c>
      <c r="BR479" s="128">
        <f>1723.59+140.6</f>
        <v>1864.1899999999998</v>
      </c>
      <c r="BS479" s="115" t="s">
        <v>192</v>
      </c>
      <c r="BT479" s="128">
        <v>73</v>
      </c>
      <c r="BU479" s="128">
        <v>5.5</v>
      </c>
      <c r="BV479" s="127">
        <v>18</v>
      </c>
      <c r="BW479" s="127" t="s">
        <v>217</v>
      </c>
      <c r="BX479" s="127" t="s">
        <v>195</v>
      </c>
      <c r="BY479" s="139">
        <v>24</v>
      </c>
      <c r="BZ479" s="139">
        <v>0</v>
      </c>
      <c r="CA479" s="138">
        <v>26</v>
      </c>
      <c r="CB479" s="138">
        <v>38</v>
      </c>
      <c r="CC479" s="138">
        <v>25</v>
      </c>
      <c r="CD479" s="135">
        <v>45017</v>
      </c>
      <c r="CE479" s="138">
        <v>93</v>
      </c>
      <c r="CF479" s="138">
        <v>62</v>
      </c>
      <c r="CG479" s="138" t="str">
        <f>IF(CH479&lt;&gt;"","В работе","")</f>
        <v>В работе</v>
      </c>
      <c r="CH479" s="138" t="s">
        <v>235</v>
      </c>
      <c r="CI479" s="138">
        <v>6</v>
      </c>
      <c r="CJ479" s="138"/>
      <c r="CK479" s="138"/>
      <c r="CL479" s="99"/>
      <c r="CM479" s="99"/>
      <c r="CN479" s="140">
        <v>45</v>
      </c>
      <c r="CO479" s="159">
        <f t="shared" si="373"/>
        <v>16.205425279999996</v>
      </c>
      <c r="CP479" s="160">
        <v>19.399999999999999</v>
      </c>
      <c r="CQ479" s="161">
        <v>0.08</v>
      </c>
      <c r="CR479" s="138">
        <v>22</v>
      </c>
      <c r="CS479" s="139">
        <v>6</v>
      </c>
      <c r="CT479" s="138"/>
      <c r="CU479" s="138">
        <f t="shared" si="370"/>
        <v>16</v>
      </c>
      <c r="CV479" s="115">
        <f t="shared" si="368"/>
        <v>987.32367238436359</v>
      </c>
      <c r="CW479" s="115">
        <f t="shared" si="374"/>
        <v>369.83622093893547</v>
      </c>
      <c r="CX479" s="133">
        <f t="shared" si="369"/>
        <v>0.40416666666666662</v>
      </c>
      <c r="CY479" s="116"/>
      <c r="CZ479" s="131"/>
      <c r="DA479" s="145" t="str">
        <f t="shared" si="375"/>
        <v>Газлифт</v>
      </c>
      <c r="DB479" s="146">
        <f t="shared" si="341"/>
        <v>16.205425279999996</v>
      </c>
      <c r="DC479" s="142">
        <f t="shared" si="342"/>
        <v>19.399999999999999</v>
      </c>
      <c r="DD479" s="119">
        <f t="shared" si="350"/>
        <v>0.08</v>
      </c>
      <c r="DE479" s="115">
        <f t="shared" si="343"/>
        <v>16</v>
      </c>
      <c r="DF479" s="121">
        <f t="shared" si="376"/>
        <v>6</v>
      </c>
      <c r="DG479" s="115">
        <f t="shared" si="377"/>
        <v>987.32367238436359</v>
      </c>
      <c r="DH479" s="115">
        <f t="shared" si="378"/>
        <v>45</v>
      </c>
      <c r="DI479" s="147"/>
      <c r="DJ479" s="111"/>
      <c r="DK479" s="112">
        <v>44045.083333333336</v>
      </c>
      <c r="DL479" s="113">
        <f t="shared" ca="1" si="359"/>
        <v>1058.9166666666642</v>
      </c>
      <c r="DM479" s="114"/>
      <c r="DN479" s="114"/>
      <c r="DO479" s="114"/>
      <c r="DP479" s="114"/>
      <c r="DQ479" s="112"/>
      <c r="DR479" s="114"/>
      <c r="DS479" s="114"/>
      <c r="DT479" s="115">
        <v>45</v>
      </c>
      <c r="DU479" s="116">
        <f t="shared" si="360"/>
        <v>0.40416666666666662</v>
      </c>
      <c r="DV479" s="117">
        <f t="shared" si="361"/>
        <v>16.205425279999996</v>
      </c>
      <c r="DW479" s="118">
        <f t="shared" si="362"/>
        <v>19.399999999999999</v>
      </c>
      <c r="DX479" s="119">
        <f t="shared" si="379"/>
        <v>0.08</v>
      </c>
      <c r="DY479" s="115">
        <f t="shared" si="363"/>
        <v>16</v>
      </c>
      <c r="DZ479" s="117">
        <f t="shared" si="364"/>
        <v>0</v>
      </c>
      <c r="EA479" s="120">
        <f t="shared" si="364"/>
        <v>0</v>
      </c>
      <c r="EB479" s="119">
        <f t="shared" si="364"/>
        <v>0</v>
      </c>
      <c r="EC479" s="121">
        <f t="shared" si="365"/>
        <v>0</v>
      </c>
      <c r="ED479" s="122"/>
      <c r="EE479" s="145">
        <v>18</v>
      </c>
      <c r="EF479" s="115">
        <v>26</v>
      </c>
      <c r="EG479" s="115">
        <v>38</v>
      </c>
      <c r="EH479" s="115">
        <v>25</v>
      </c>
      <c r="EI479" s="128" t="s">
        <v>195</v>
      </c>
      <c r="EJ479" s="121">
        <v>24</v>
      </c>
      <c r="EK479" s="121">
        <v>0</v>
      </c>
      <c r="EL479" s="162">
        <v>16.205425279999996</v>
      </c>
      <c r="EM479" s="142">
        <v>19.399999999999999</v>
      </c>
      <c r="EN479" s="119">
        <v>0.08</v>
      </c>
      <c r="EO479" s="115">
        <v>22</v>
      </c>
      <c r="EP479" s="115">
        <v>987.32367238436359</v>
      </c>
      <c r="EQ479" s="115">
        <v>62</v>
      </c>
      <c r="ER479" s="115">
        <v>6</v>
      </c>
      <c r="ES479" s="115">
        <v>45</v>
      </c>
      <c r="ET479" s="150">
        <v>0.40416666666666662</v>
      </c>
      <c r="EU479" s="145">
        <f t="shared" si="332"/>
        <v>18</v>
      </c>
      <c r="EV479" s="115">
        <f t="shared" si="380"/>
        <v>26</v>
      </c>
      <c r="EW479" s="115">
        <f t="shared" si="380"/>
        <v>38</v>
      </c>
      <c r="EX479" s="115">
        <f t="shared" si="380"/>
        <v>25</v>
      </c>
      <c r="EY479" s="115" t="str">
        <f t="shared" si="357"/>
        <v>Постоянный</v>
      </c>
      <c r="EZ479" s="115">
        <f t="shared" si="357"/>
        <v>24</v>
      </c>
      <c r="FA479" s="115">
        <f t="shared" si="357"/>
        <v>0</v>
      </c>
      <c r="FB479" s="149">
        <f t="shared" si="345"/>
        <v>16.205425279999996</v>
      </c>
      <c r="FC479" s="142">
        <f t="shared" si="345"/>
        <v>19.399999999999999</v>
      </c>
      <c r="FD479" s="119">
        <f t="shared" si="345"/>
        <v>0.08</v>
      </c>
      <c r="FE479" s="121">
        <f t="shared" si="344"/>
        <v>22</v>
      </c>
      <c r="FF479" s="121">
        <f t="shared" si="347"/>
        <v>987.32367238436359</v>
      </c>
      <c r="FG479" s="121">
        <f t="shared" si="381"/>
        <v>62</v>
      </c>
      <c r="FH479" s="121">
        <f t="shared" si="358"/>
        <v>6</v>
      </c>
      <c r="FI479" s="121">
        <f t="shared" si="355"/>
        <v>45</v>
      </c>
      <c r="FJ479" s="144">
        <f t="shared" si="382"/>
        <v>0.40416666666666662</v>
      </c>
      <c r="FK479" s="132">
        <f t="shared" si="383"/>
        <v>0</v>
      </c>
      <c r="FL479" s="115">
        <f t="shared" si="383"/>
        <v>0</v>
      </c>
      <c r="FM479" s="115">
        <f t="shared" si="383"/>
        <v>0</v>
      </c>
      <c r="FN479" s="115">
        <f t="shared" si="371"/>
        <v>0</v>
      </c>
      <c r="FO479" s="115">
        <f t="shared" si="354"/>
        <v>0</v>
      </c>
      <c r="FP479" s="115">
        <f t="shared" si="354"/>
        <v>0</v>
      </c>
      <c r="FQ479" s="149">
        <f t="shared" si="354"/>
        <v>0</v>
      </c>
      <c r="FR479" s="142">
        <f t="shared" si="354"/>
        <v>0</v>
      </c>
      <c r="FS479" s="119">
        <f t="shared" si="354"/>
        <v>0</v>
      </c>
      <c r="FT479" s="121">
        <f t="shared" si="353"/>
        <v>0</v>
      </c>
      <c r="FU479" s="121">
        <f t="shared" si="384"/>
        <v>0</v>
      </c>
      <c r="FV479" s="121">
        <f t="shared" si="384"/>
        <v>0</v>
      </c>
      <c r="FW479" s="121">
        <f t="shared" si="385"/>
        <v>0</v>
      </c>
      <c r="FX479" s="121">
        <f>CN479-ES479</f>
        <v>0</v>
      </c>
      <c r="FY479" s="144">
        <f t="shared" si="386"/>
        <v>0</v>
      </c>
      <c r="FZ479" s="145"/>
      <c r="GA479" s="151" t="s">
        <v>559</v>
      </c>
      <c r="GB479" s="145" t="s">
        <v>199</v>
      </c>
      <c r="GC479" s="151" t="s">
        <v>1762</v>
      </c>
      <c r="GD479" s="997" t="s">
        <v>416</v>
      </c>
      <c r="GE479" s="1004" t="s">
        <v>199</v>
      </c>
      <c r="GF479" s="1004">
        <v>-1.0859305600000013</v>
      </c>
      <c r="GG479" s="1004"/>
      <c r="GH479" s="1004">
        <v>-0.25059936000000249</v>
      </c>
      <c r="GI479" s="145"/>
      <c r="GJ479" s="996">
        <v>0</v>
      </c>
      <c r="GK479" s="145"/>
      <c r="GL479" s="996">
        <v>0.82195520000000144</v>
      </c>
      <c r="GM479" s="1005" t="s">
        <v>199</v>
      </c>
      <c r="GN479" s="996">
        <v>-8.36</v>
      </c>
      <c r="GO479" s="1006"/>
      <c r="GP479" s="996">
        <v>0</v>
      </c>
      <c r="GQ479" s="1006" t="s">
        <v>199</v>
      </c>
      <c r="GR479" s="996">
        <v>-2.7587999999999973</v>
      </c>
      <c r="GS479" s="1006"/>
      <c r="GT479" s="996">
        <v>-0.18392000000000763</v>
      </c>
      <c r="GU479" s="1006" t="s">
        <v>199</v>
      </c>
      <c r="GV479" s="996">
        <v>6.2867200000000025</v>
      </c>
      <c r="GW479" s="1006"/>
      <c r="GX479" s="996">
        <v>0</v>
      </c>
      <c r="GY479" s="1006" t="s">
        <v>223</v>
      </c>
      <c r="GZ479" s="996">
        <v>2.031480000000002</v>
      </c>
      <c r="HA479" s="1006" t="s">
        <v>199</v>
      </c>
      <c r="HB479" s="996">
        <v>3.1517199999999974</v>
      </c>
      <c r="HC479" s="1006"/>
      <c r="HD479" s="996">
        <v>5.1832000000000988E-2</v>
      </c>
      <c r="HE479" s="1006"/>
      <c r="HF479" s="996">
        <v>0</v>
      </c>
      <c r="HG479" s="1006"/>
      <c r="HH479" s="996">
        <v>0</v>
      </c>
      <c r="HI479" s="1006"/>
      <c r="HJ479" s="996">
        <v>0</v>
      </c>
      <c r="HK479" s="1006" t="s">
        <v>199</v>
      </c>
      <c r="HL479" s="996">
        <v>2.7556616560000009</v>
      </c>
      <c r="HM479" s="1006" t="s">
        <v>199</v>
      </c>
      <c r="HN479" s="996">
        <v>3.2918804159999997</v>
      </c>
      <c r="HO479" s="1006" t="s">
        <v>199</v>
      </c>
      <c r="HP479" s="996">
        <v>-2.9526199119999994</v>
      </c>
      <c r="HQ479" s="1006"/>
      <c r="HR479" s="996">
        <v>0.2133388399999987</v>
      </c>
      <c r="HS479" s="1006"/>
      <c r="HT479" s="996">
        <v>-0.53842580000000062</v>
      </c>
      <c r="HU479" s="1006"/>
      <c r="HV479" s="996">
        <v>0</v>
      </c>
      <c r="HW479" s="1006"/>
      <c r="HX479" s="996">
        <v>-9.6678383999998729E-2</v>
      </c>
      <c r="HY479" s="1006" t="s">
        <v>223</v>
      </c>
      <c r="HZ479" s="996">
        <v>-1.8665087760000016</v>
      </c>
      <c r="IA479" s="1006"/>
      <c r="IB479" s="996">
        <v>0.7522411600000023</v>
      </c>
      <c r="IC479" s="1006"/>
      <c r="ID479" s="996">
        <v>0</v>
      </c>
      <c r="IE479" s="1006" t="s">
        <v>221</v>
      </c>
      <c r="IF479" s="996">
        <v>-5.4072948160000021</v>
      </c>
      <c r="IG479" s="1006" t="s">
        <v>199</v>
      </c>
      <c r="IH479" s="996">
        <v>5.8260472160000027</v>
      </c>
      <c r="II479" s="1006" t="s">
        <v>199</v>
      </c>
      <c r="IJ479" s="996">
        <v>2.6033039999999996</v>
      </c>
      <c r="IK479" s="1006" t="s">
        <v>199</v>
      </c>
      <c r="IL479" s="996">
        <v>2.6404224000000003</v>
      </c>
      <c r="IM479" s="1006"/>
      <c r="IN479" s="996">
        <v>0</v>
      </c>
      <c r="IO479" s="1006" t="s">
        <v>204</v>
      </c>
      <c r="IP479" s="996">
        <v>-14.462799999999998</v>
      </c>
      <c r="IQ479" s="1006"/>
      <c r="IR479" s="996">
        <v>0</v>
      </c>
      <c r="IS479" s="1006" t="s">
        <v>25</v>
      </c>
      <c r="IT479" s="996">
        <v>23.742399999999996</v>
      </c>
      <c r="IU479" s="1006"/>
      <c r="IV479" s="996">
        <v>0</v>
      </c>
      <c r="IW479" s="1006"/>
      <c r="IX479" s="996"/>
      <c r="IY479" s="1006"/>
      <c r="IZ479" s="996"/>
      <c r="JA479" s="1006"/>
      <c r="JB479" s="996"/>
      <c r="JC479" s="1006"/>
      <c r="JD479" s="996"/>
      <c r="JE479" s="1006"/>
      <c r="JF479" s="996"/>
      <c r="JG479" s="1006"/>
      <c r="JH479" s="996"/>
      <c r="JI479" s="1006"/>
      <c r="JJ479" s="996"/>
      <c r="JK479" s="1007"/>
      <c r="JL479" s="1007"/>
      <c r="JM479" s="1007"/>
      <c r="JN479" s="1007"/>
      <c r="JO479" s="1008"/>
      <c r="JP479" s="1007"/>
      <c r="JQ479" s="1008"/>
      <c r="JR479" s="1007"/>
      <c r="JS479" s="1008"/>
      <c r="JT479" s="1007"/>
      <c r="JU479" s="1008"/>
      <c r="JV479" s="1007"/>
      <c r="JW479" s="1008"/>
      <c r="JX479" s="1007"/>
      <c r="JY479" s="1008"/>
      <c r="JZ479" s="1007"/>
      <c r="KA479" s="1008"/>
      <c r="KB479" s="1007"/>
      <c r="KC479" s="1008"/>
      <c r="KD479" s="1007"/>
      <c r="KE479" s="1008"/>
      <c r="KF479" s="1007"/>
      <c r="KG479" s="1008"/>
      <c r="KH479" s="1007"/>
      <c r="KI479" s="1008"/>
      <c r="KJ479" s="1007"/>
      <c r="KK479" s="1008"/>
      <c r="KL479" s="1007"/>
      <c r="KM479" s="1008"/>
      <c r="KN479" s="1007"/>
      <c r="KO479" s="1008"/>
      <c r="KP479" s="1007"/>
      <c r="KQ479" s="1008"/>
      <c r="KR479" s="1007"/>
      <c r="KS479" s="1008"/>
      <c r="KT479" s="1007"/>
      <c r="KU479" s="1008"/>
      <c r="KV479" s="1007"/>
      <c r="KW479" s="1008"/>
      <c r="KX479" s="1007"/>
      <c r="KY479" s="1008"/>
      <c r="KZ479" s="1007"/>
      <c r="LA479" s="1008"/>
      <c r="LB479" s="1007"/>
      <c r="LC479" s="1008"/>
      <c r="LD479" s="1007"/>
      <c r="LE479" s="1008"/>
      <c r="LF479" s="1007"/>
      <c r="LG479" s="1008"/>
      <c r="LH479" s="1007"/>
      <c r="LI479" s="1008"/>
      <c r="LJ479" s="1007"/>
      <c r="LK479" s="1008"/>
      <c r="LL479" s="1007"/>
      <c r="LM479" s="1008"/>
      <c r="LN479" s="1007"/>
      <c r="LO479" s="1008"/>
      <c r="LP479" s="1007"/>
      <c r="LQ479" s="1008"/>
      <c r="LR479" s="1007"/>
      <c r="LS479" s="1008"/>
      <c r="LT479" s="1007"/>
      <c r="LU479" s="1008"/>
      <c r="LV479" s="1007"/>
      <c r="LW479" s="1008"/>
      <c r="LX479" s="1007"/>
      <c r="LY479" s="1009"/>
      <c r="LZ479" s="1010"/>
      <c r="MA479" s="1011"/>
      <c r="MB479" s="1012"/>
      <c r="MC479" s="995"/>
      <c r="MD479" s="996"/>
      <c r="ME479" s="997" t="s">
        <v>416</v>
      </c>
      <c r="MF479" s="997"/>
      <c r="MG479" s="998"/>
      <c r="NR479" s="1000"/>
      <c r="NS479" s="1000"/>
      <c r="NT479" s="1001"/>
      <c r="NU479" s="1000"/>
      <c r="NV479" s="1001"/>
      <c r="NX479" s="1002"/>
      <c r="NZ479" s="1001"/>
      <c r="OA479" s="1001"/>
      <c r="OC479" s="1003"/>
      <c r="OD479" s="1003"/>
      <c r="OE479" s="1001"/>
      <c r="OF479" s="1003"/>
      <c r="OG479" s="1003"/>
      <c r="QX479" s="1000">
        <f>CN479-CA479</f>
        <v>19</v>
      </c>
      <c r="ASU479" s="999" t="s">
        <v>208</v>
      </c>
    </row>
    <row r="480" spans="1:466 1191:1191" ht="21" customHeight="1" x14ac:dyDescent="0.25">
      <c r="A480" s="982">
        <f t="shared" si="372"/>
        <v>1566</v>
      </c>
      <c r="B480" s="124">
        <f>SUBTOTAL(103,$J$29:J480)</f>
        <v>452</v>
      </c>
      <c r="C480" s="126">
        <v>45068</v>
      </c>
      <c r="D480" s="124" t="s">
        <v>176</v>
      </c>
      <c r="E480" s="127" t="s">
        <v>177</v>
      </c>
      <c r="F480" s="128" t="s">
        <v>177</v>
      </c>
      <c r="G480" s="127" t="s">
        <v>178</v>
      </c>
      <c r="H480" s="127" t="s">
        <v>179</v>
      </c>
      <c r="I480" s="127">
        <v>1602</v>
      </c>
      <c r="J480" s="152">
        <v>1566</v>
      </c>
      <c r="K480" s="127" t="s">
        <v>1411</v>
      </c>
      <c r="L480" s="130">
        <v>44812</v>
      </c>
      <c r="M480" s="127" t="s">
        <v>230</v>
      </c>
      <c r="N480" s="127" t="s">
        <v>245</v>
      </c>
      <c r="O480" s="127" t="s">
        <v>185</v>
      </c>
      <c r="P480" s="127" t="s">
        <v>186</v>
      </c>
      <c r="Q480" s="85" t="str">
        <f t="shared" si="367"/>
        <v/>
      </c>
      <c r="R480" s="130"/>
      <c r="S480" s="128"/>
      <c r="T480" s="131"/>
      <c r="U480" s="132">
        <v>203</v>
      </c>
      <c r="V480" s="121">
        <v>218.2</v>
      </c>
      <c r="W480" s="116">
        <v>0.98</v>
      </c>
      <c r="X480" s="116">
        <v>1.66</v>
      </c>
      <c r="Y480" s="116">
        <f t="shared" si="346"/>
        <v>1.158593734420803</v>
      </c>
      <c r="Z480" s="133">
        <v>1.454</v>
      </c>
      <c r="AA480" s="133">
        <v>0.83599999999999997</v>
      </c>
      <c r="AB480" s="133">
        <v>0.72</v>
      </c>
      <c r="AC480" s="121">
        <v>34.299999999999997</v>
      </c>
      <c r="AD480" s="134">
        <v>1.17</v>
      </c>
      <c r="AE480" s="124">
        <v>177.8</v>
      </c>
      <c r="AF480" s="128">
        <v>9.19</v>
      </c>
      <c r="AG480" s="128">
        <v>2158</v>
      </c>
      <c r="AH480" s="127">
        <v>2766</v>
      </c>
      <c r="AI480" s="127">
        <f>AH480</f>
        <v>2766</v>
      </c>
      <c r="AJ480" s="135">
        <v>44785</v>
      </c>
      <c r="AK480" s="128"/>
      <c r="AL480" s="131"/>
      <c r="AM480" s="124" t="s">
        <v>232</v>
      </c>
      <c r="AN480" s="136" t="s">
        <v>1763</v>
      </c>
      <c r="AO480" s="137">
        <v>2316</v>
      </c>
      <c r="AP480" s="128"/>
      <c r="AQ480" s="128"/>
      <c r="AR480" s="128"/>
      <c r="AS480" s="128"/>
      <c r="AT480" s="122"/>
      <c r="AU480" s="124" t="s">
        <v>189</v>
      </c>
      <c r="AV480" s="115">
        <f>VLOOKUP(J480,'[63]ТР нефть'!$J$28:$BP$638,39,0)</f>
        <v>470.00000009799999</v>
      </c>
      <c r="AW480" s="115" t="str">
        <f>VLOOKUP(J480,'[63]ТР нефть'!$J$28:$BP$638,40,0)</f>
        <v>ГП</v>
      </c>
      <c r="AX480" s="115">
        <f>VLOOKUP(J480,'[63]ТР нефть'!$J$28:$BP$638,41,0)</f>
        <v>903.99996503900002</v>
      </c>
      <c r="AY480" s="115" t="str">
        <f>VLOOKUP(J480,'[63]ТР нефть'!$J$28:$BP$638,42,0)</f>
        <v>ГП</v>
      </c>
      <c r="AZ480" s="115">
        <f>VLOOKUP(J480,'[63]ТР нефть'!$J$28:$BP$638,43,0)</f>
        <v>1278.0000574220001</v>
      </c>
      <c r="BA480" s="115" t="str">
        <f>VLOOKUP(J480,'[63]ТР нефть'!$J$28:$BP$638,44,0)</f>
        <v>ГП</v>
      </c>
      <c r="BB480" s="115">
        <f>VLOOKUP(J480,'[63]ТР нефть'!$J$28:$BP$638,45,0)</f>
        <v>1580.000005078</v>
      </c>
      <c r="BC480" s="115" t="str">
        <f>VLOOKUP(J480,'[63]ТР нефть'!$J$28:$BP$638,46,0)</f>
        <v>ГК71 5/32</v>
      </c>
      <c r="BD480" s="115">
        <f>VLOOKUP(J480,'[63]ТР нефть'!$J$28:$BP$638,47,0)</f>
        <v>1811.999983594</v>
      </c>
      <c r="BE480" s="115" t="str">
        <f>VLOOKUP(J480,'[63]ТР нефть'!$J$28:$BP$638,48,0)</f>
        <v>ГК70 5/32</v>
      </c>
      <c r="BF480" s="115">
        <f>VLOOKUP(J480,'[63]ТР нефть'!$J$28:$BP$638,49,0)</f>
        <v>2040</v>
      </c>
      <c r="BG480" s="115" t="str">
        <f>VLOOKUP(J480,'[63]ТР нефть'!$J$28:$BP$638,50,0)</f>
        <v>ЦКсОК 5/16</v>
      </c>
      <c r="BH480" s="115" t="str">
        <f>VLOOKUP(J480,'[63]ТР нефть'!$J$28:$BP$638,51,0)</f>
        <v>-</v>
      </c>
      <c r="BI480" s="115" t="str">
        <f>VLOOKUP(J480,'[63]ТР нефть'!$J$28:$BP$638,52,0)</f>
        <v>-</v>
      </c>
      <c r="BJ480" s="115" t="str">
        <f>IF(IFERROR(VLOOKUP(J480,'[63]ТР нефть'!$J$28:$BP$638,53,0),"-")=0,"-",IFERROR(VLOOKUP(J480,'[63]ТР нефть'!$J$28:$BP$638,53,0),"-"))</f>
        <v>-</v>
      </c>
      <c r="BK480" s="138" t="str">
        <f>IF(IFERROR(VLOOKUP(J480,'[63]ТР нефть'!$J$28:$BP$638,54,0),"-")=0,"-",IFERROR(VLOOKUP(J480,'[63]ТР нефть'!$J$28:$BP$638,54,0),"-"))</f>
        <v>-</v>
      </c>
      <c r="BL480" s="138" t="str">
        <f>IF(IFERROR(VLOOKUP(J480,'[63]ТР нефть'!$J$28:$BP$638,55,0),"-")=0,"-",IFERROR(VLOOKUP(J480,'[63]ТР нефть'!$J$28:$BP$638,55,0),"-"))</f>
        <v>-</v>
      </c>
      <c r="BM480" s="138" t="str">
        <f>IF(IFERROR(VLOOKUP(J480,'[63]ТР нефть'!$J$28:$BP$638,56,0),"-")=0,"-",IFERROR(VLOOKUP(J480,'[63]ТР нефть'!$J$28:$BP$638,56,0),"-"))</f>
        <v>-</v>
      </c>
      <c r="BN480" s="138" t="str">
        <f>IF(IFERROR(VLOOKUP(J480,'[63]ТР нефть'!$J$28:$BP$638,57,0),"-")=0,"-",IFERROR(VLOOKUP(J480,'[63]ТР нефть'!$J$28:$BP$638,57,0),"-"))</f>
        <v>-</v>
      </c>
      <c r="BO480" s="115" t="str">
        <f>IF(IFERROR(VLOOKUP(J480,'[63]ТР нефть'!$J$28:$BP$638,58,0),"-")=0,"-",IFERROR(VLOOKUP(J480,'[63]ТР нефть'!$J$28:$BP$638,58,0),"-"))</f>
        <v>-</v>
      </c>
      <c r="BP480" s="115" t="str">
        <f>IF(IFERROR(VLOOKUP(J480,'[63]ТР нефть'!$J$28:$BP$638,59,0),"-")=0,"-",IFERROR(VLOOKUP(J480,'[63]ТР нефть'!$J$28:$BP$638,59,0),"-"))</f>
        <v>-</v>
      </c>
      <c r="BQ480" s="138">
        <v>2354</v>
      </c>
      <c r="BR480" s="128"/>
      <c r="BS480" s="115"/>
      <c r="BT480" s="128">
        <v>73</v>
      </c>
      <c r="BU480" s="128">
        <v>5.5</v>
      </c>
      <c r="BV480" s="127">
        <v>65</v>
      </c>
      <c r="BW480" s="127" t="s">
        <v>217</v>
      </c>
      <c r="BX480" s="127" t="s">
        <v>195</v>
      </c>
      <c r="BY480" s="139">
        <v>24</v>
      </c>
      <c r="BZ480" s="139">
        <v>0</v>
      </c>
      <c r="CA480" s="138">
        <v>28</v>
      </c>
      <c r="CB480" s="138">
        <v>34</v>
      </c>
      <c r="CC480" s="138">
        <v>27</v>
      </c>
      <c r="CD480" s="135">
        <v>45017</v>
      </c>
      <c r="CE480" s="138">
        <v>76</v>
      </c>
      <c r="CF480" s="138">
        <v>56</v>
      </c>
      <c r="CG480" s="138"/>
      <c r="CH480" s="138"/>
      <c r="CI480" s="138"/>
      <c r="CJ480" s="138"/>
      <c r="CK480" s="138">
        <f t="shared" si="356"/>
        <v>26</v>
      </c>
      <c r="CL480" s="99"/>
      <c r="CM480" s="99"/>
      <c r="CN480" s="140">
        <v>54</v>
      </c>
      <c r="CO480" s="141">
        <f t="shared" si="373"/>
        <v>22.525050239999999</v>
      </c>
      <c r="CP480" s="142">
        <v>43.2</v>
      </c>
      <c r="CQ480" s="143">
        <v>37.630000000000003</v>
      </c>
      <c r="CR480" s="115">
        <v>31.2</v>
      </c>
      <c r="CS480" s="139">
        <v>7.2</v>
      </c>
      <c r="CT480" s="138"/>
      <c r="CU480" s="138">
        <f t="shared" si="370"/>
        <v>24</v>
      </c>
      <c r="CV480" s="115">
        <f t="shared" si="368"/>
        <v>1065.4804204334596</v>
      </c>
      <c r="CW480" s="115">
        <f t="shared" si="374"/>
        <v>174.12467005986895</v>
      </c>
      <c r="CX480" s="133">
        <f t="shared" si="369"/>
        <v>1.9636363636363638</v>
      </c>
      <c r="CY480" s="116"/>
      <c r="CZ480" s="131"/>
      <c r="DA480" s="145" t="str">
        <f t="shared" si="375"/>
        <v>Газлифт</v>
      </c>
      <c r="DB480" s="146">
        <f t="shared" si="341"/>
        <v>22.525050239999999</v>
      </c>
      <c r="DC480" s="142">
        <f t="shared" si="342"/>
        <v>43.2</v>
      </c>
      <c r="DD480" s="119">
        <f t="shared" si="350"/>
        <v>37.630000000000003</v>
      </c>
      <c r="DE480" s="115">
        <f t="shared" si="343"/>
        <v>24</v>
      </c>
      <c r="DF480" s="121">
        <f t="shared" si="376"/>
        <v>7.2</v>
      </c>
      <c r="DG480" s="115">
        <f t="shared" si="377"/>
        <v>1065.4804204334596</v>
      </c>
      <c r="DH480" s="115">
        <f t="shared" si="378"/>
        <v>54</v>
      </c>
      <c r="DI480" s="147"/>
      <c r="DJ480" s="111"/>
      <c r="DK480" s="112"/>
      <c r="DL480" s="113"/>
      <c r="DM480" s="114"/>
      <c r="DN480" s="114"/>
      <c r="DO480" s="114"/>
      <c r="DP480" s="114"/>
      <c r="DQ480" s="112"/>
      <c r="DR480" s="114"/>
      <c r="DS480" s="114"/>
      <c r="DT480" s="115"/>
      <c r="DU480" s="116"/>
      <c r="DV480" s="117"/>
      <c r="DW480" s="118"/>
      <c r="DX480" s="119">
        <f t="shared" si="379"/>
        <v>37.630000000000003</v>
      </c>
      <c r="DY480" s="115"/>
      <c r="DZ480" s="117"/>
      <c r="EA480" s="120"/>
      <c r="EB480" s="119">
        <f t="shared" ref="EB480:EB543" si="387">DX480-CQ480</f>
        <v>0</v>
      </c>
      <c r="EC480" s="121"/>
      <c r="ED480" s="122"/>
      <c r="EE480" s="145">
        <v>65</v>
      </c>
      <c r="EF480" s="115">
        <v>28</v>
      </c>
      <c r="EG480" s="115">
        <v>34</v>
      </c>
      <c r="EH480" s="115">
        <v>25</v>
      </c>
      <c r="EI480" s="128" t="s">
        <v>195</v>
      </c>
      <c r="EJ480" s="121">
        <v>24</v>
      </c>
      <c r="EK480" s="121">
        <v>0</v>
      </c>
      <c r="EL480" s="149">
        <v>22.525050239999999</v>
      </c>
      <c r="EM480" s="142">
        <v>43.2</v>
      </c>
      <c r="EN480" s="119">
        <v>37.630000000000003</v>
      </c>
      <c r="EO480" s="115">
        <v>31.2</v>
      </c>
      <c r="EP480" s="115">
        <v>1065.4804204334596</v>
      </c>
      <c r="EQ480" s="115">
        <v>56</v>
      </c>
      <c r="ER480" s="115">
        <v>7.2</v>
      </c>
      <c r="ES480" s="115">
        <v>54</v>
      </c>
      <c r="ET480" s="150">
        <v>1.9636363636363638</v>
      </c>
      <c r="EU480" s="145">
        <v>65</v>
      </c>
      <c r="EV480" s="115">
        <f t="shared" si="380"/>
        <v>28</v>
      </c>
      <c r="EW480" s="115">
        <f t="shared" si="380"/>
        <v>34</v>
      </c>
      <c r="EX480" s="115">
        <f t="shared" si="380"/>
        <v>27</v>
      </c>
      <c r="EY480" s="115" t="str">
        <f t="shared" si="357"/>
        <v>Постоянный</v>
      </c>
      <c r="EZ480" s="115">
        <f t="shared" si="357"/>
        <v>24</v>
      </c>
      <c r="FA480" s="115">
        <f t="shared" si="357"/>
        <v>0</v>
      </c>
      <c r="FB480" s="149">
        <f t="shared" si="345"/>
        <v>22.525050239999999</v>
      </c>
      <c r="FC480" s="142">
        <f t="shared" si="345"/>
        <v>43.2</v>
      </c>
      <c r="FD480" s="119">
        <f t="shared" si="345"/>
        <v>37.630000000000003</v>
      </c>
      <c r="FE480" s="121">
        <f t="shared" si="344"/>
        <v>31.2</v>
      </c>
      <c r="FF480" s="121">
        <f t="shared" si="347"/>
        <v>1065.4804204334596</v>
      </c>
      <c r="FG480" s="121">
        <f t="shared" si="381"/>
        <v>56</v>
      </c>
      <c r="FH480" s="121">
        <f t="shared" si="358"/>
        <v>7.2</v>
      </c>
      <c r="FI480" s="121">
        <f t="shared" si="355"/>
        <v>54</v>
      </c>
      <c r="FJ480" s="144">
        <f t="shared" si="382"/>
        <v>1.9636363636363638</v>
      </c>
      <c r="FK480" s="132">
        <f t="shared" si="383"/>
        <v>0</v>
      </c>
      <c r="FL480" s="115">
        <f t="shared" si="383"/>
        <v>0</v>
      </c>
      <c r="FM480" s="115">
        <f t="shared" si="383"/>
        <v>0</v>
      </c>
      <c r="FN480" s="115">
        <f t="shared" si="371"/>
        <v>2</v>
      </c>
      <c r="FO480" s="115">
        <f t="shared" si="354"/>
        <v>0</v>
      </c>
      <c r="FP480" s="115">
        <f t="shared" si="354"/>
        <v>0</v>
      </c>
      <c r="FQ480" s="149">
        <f t="shared" si="354"/>
        <v>0</v>
      </c>
      <c r="FR480" s="142">
        <f t="shared" si="354"/>
        <v>0</v>
      </c>
      <c r="FS480" s="119">
        <f t="shared" si="354"/>
        <v>0</v>
      </c>
      <c r="FT480" s="121">
        <f t="shared" si="353"/>
        <v>0</v>
      </c>
      <c r="FU480" s="121">
        <f t="shared" si="384"/>
        <v>0</v>
      </c>
      <c r="FV480" s="121">
        <f t="shared" si="384"/>
        <v>0</v>
      </c>
      <c r="FW480" s="121">
        <f t="shared" si="385"/>
        <v>0</v>
      </c>
      <c r="FX480" s="121">
        <f t="shared" si="386"/>
        <v>0</v>
      </c>
      <c r="FY480" s="144">
        <f t="shared" si="386"/>
        <v>0</v>
      </c>
      <c r="FZ480" s="145"/>
      <c r="GA480" s="151"/>
      <c r="GB480" s="145"/>
      <c r="GC480" s="151"/>
      <c r="GD480" s="997" t="s">
        <v>220</v>
      </c>
      <c r="GE480" s="1004"/>
      <c r="GF480" s="1004">
        <v>-1.1963160000000528E-2</v>
      </c>
      <c r="GG480" s="1004"/>
      <c r="GH480" s="1004">
        <v>0</v>
      </c>
      <c r="GI480" s="145" t="s">
        <v>223</v>
      </c>
      <c r="GJ480" s="996">
        <v>-1.8790860950400017</v>
      </c>
      <c r="GK480" s="145"/>
      <c r="GL480" s="996">
        <v>0</v>
      </c>
      <c r="GM480" s="1005"/>
      <c r="GN480" s="996">
        <v>0</v>
      </c>
      <c r="GO480" s="1006" t="s">
        <v>203</v>
      </c>
      <c r="GP480" s="996">
        <v>3.3484993687199989</v>
      </c>
      <c r="GQ480" s="1006"/>
      <c r="GR480" s="996">
        <v>0</v>
      </c>
      <c r="GS480" s="1006" t="s">
        <v>203</v>
      </c>
      <c r="GT480" s="996">
        <v>-8.1323998736799972</v>
      </c>
      <c r="GU480" s="1006"/>
      <c r="GV480" s="996"/>
      <c r="GW480" s="1006"/>
      <c r="GX480" s="996"/>
      <c r="GY480" s="1006"/>
      <c r="GZ480" s="996"/>
      <c r="HA480" s="1006"/>
      <c r="HB480" s="996"/>
      <c r="HC480" s="1006"/>
      <c r="HD480" s="996"/>
      <c r="HE480" s="1006"/>
      <c r="HF480" s="996"/>
      <c r="HG480" s="1006"/>
      <c r="HH480" s="996"/>
      <c r="HI480" s="1006"/>
      <c r="HJ480" s="996"/>
      <c r="HK480" s="1006"/>
      <c r="HL480" s="996"/>
      <c r="HM480" s="1006"/>
      <c r="HN480" s="996"/>
      <c r="HO480" s="1006"/>
      <c r="HP480" s="996"/>
      <c r="HQ480" s="1006"/>
      <c r="HR480" s="996"/>
      <c r="HS480" s="1006"/>
      <c r="HT480" s="996"/>
      <c r="HU480" s="1006"/>
      <c r="HV480" s="996"/>
      <c r="HW480" s="1006"/>
      <c r="HX480" s="996"/>
      <c r="HY480" s="1006"/>
      <c r="HZ480" s="996"/>
      <c r="IA480" s="1006"/>
      <c r="IB480" s="996"/>
      <c r="IC480" s="1006"/>
      <c r="ID480" s="996"/>
      <c r="IE480" s="1006"/>
      <c r="IF480" s="996"/>
      <c r="IG480" s="1006"/>
      <c r="IH480" s="996"/>
      <c r="II480" s="1006"/>
      <c r="IJ480" s="996"/>
      <c r="IK480" s="1006"/>
      <c r="IL480" s="996"/>
      <c r="IM480" s="1006"/>
      <c r="IN480" s="996"/>
      <c r="IO480" s="1006"/>
      <c r="IP480" s="996"/>
      <c r="IQ480" s="1006"/>
      <c r="IR480" s="996"/>
      <c r="IS480" s="1006"/>
      <c r="IT480" s="996"/>
      <c r="IU480" s="1006"/>
      <c r="IV480" s="996"/>
      <c r="IW480" s="1006"/>
      <c r="IX480" s="996"/>
      <c r="IY480" s="1006"/>
      <c r="IZ480" s="996"/>
      <c r="JA480" s="1006"/>
      <c r="JB480" s="996"/>
      <c r="JC480" s="1006"/>
      <c r="JD480" s="996"/>
      <c r="JE480" s="1006"/>
      <c r="JF480" s="996"/>
      <c r="JG480" s="1006"/>
      <c r="JH480" s="996"/>
      <c r="JI480" s="1006"/>
      <c r="JJ480" s="996"/>
      <c r="JK480" s="1007"/>
      <c r="JL480" s="1007"/>
      <c r="JM480" s="1007"/>
      <c r="JN480" s="1007"/>
      <c r="JO480" s="1008"/>
      <c r="JP480" s="1007"/>
      <c r="JQ480" s="1008"/>
      <c r="JR480" s="1007"/>
      <c r="JS480" s="1008"/>
      <c r="JT480" s="1007"/>
      <c r="JU480" s="1008"/>
      <c r="JV480" s="1007"/>
      <c r="JW480" s="1008"/>
      <c r="JX480" s="1007"/>
      <c r="JY480" s="1008"/>
      <c r="JZ480" s="1007"/>
      <c r="KA480" s="1008"/>
      <c r="KB480" s="1007"/>
      <c r="KC480" s="1008"/>
      <c r="KD480" s="1007"/>
      <c r="KE480" s="1008"/>
      <c r="KF480" s="1007"/>
      <c r="KG480" s="1008"/>
      <c r="KH480" s="1007"/>
      <c r="KI480" s="1008"/>
      <c r="KJ480" s="1007"/>
      <c r="KK480" s="1008"/>
      <c r="KL480" s="1007"/>
      <c r="KM480" s="1008"/>
      <c r="KN480" s="1007"/>
      <c r="KO480" s="1008"/>
      <c r="KP480" s="1007"/>
      <c r="KQ480" s="1008"/>
      <c r="KR480" s="1007"/>
      <c r="KS480" s="1008"/>
      <c r="KT480" s="1007"/>
      <c r="KU480" s="1008"/>
      <c r="KV480" s="1007"/>
      <c r="KW480" s="1008"/>
      <c r="KX480" s="1007"/>
      <c r="KY480" s="1008"/>
      <c r="KZ480" s="1007"/>
      <c r="LA480" s="1008"/>
      <c r="LB480" s="1007"/>
      <c r="LC480" s="1008"/>
      <c r="LD480" s="1007"/>
      <c r="LE480" s="1008"/>
      <c r="LF480" s="1007"/>
      <c r="LG480" s="1008"/>
      <c r="LH480" s="1007"/>
      <c r="LI480" s="1008"/>
      <c r="LJ480" s="1007"/>
      <c r="LK480" s="1008"/>
      <c r="LL480" s="1007"/>
      <c r="LM480" s="1008"/>
      <c r="LN480" s="1007"/>
      <c r="LO480" s="1008"/>
      <c r="LP480" s="1007"/>
      <c r="LQ480" s="1008"/>
      <c r="LR480" s="1007"/>
      <c r="LS480" s="1008"/>
      <c r="LT480" s="1007"/>
      <c r="LU480" s="1008"/>
      <c r="LV480" s="1007"/>
      <c r="LW480" s="1008"/>
      <c r="LX480" s="1007"/>
      <c r="LY480" s="1009"/>
      <c r="LZ480" s="1010"/>
      <c r="MA480" s="1011"/>
      <c r="MB480" s="1012"/>
      <c r="MC480" s="995"/>
      <c r="MD480" s="996"/>
      <c r="ME480" s="997" t="s">
        <v>220</v>
      </c>
      <c r="MF480" s="997"/>
      <c r="MG480" s="998"/>
      <c r="NR480" s="1000"/>
      <c r="NS480" s="1000"/>
      <c r="NT480" s="1001"/>
      <c r="NU480" s="1000"/>
      <c r="NV480" s="1001"/>
      <c r="NX480" s="1002"/>
      <c r="NZ480" s="1001"/>
      <c r="OA480" s="1001"/>
      <c r="OC480" s="1003"/>
      <c r="OD480" s="1003"/>
      <c r="OE480" s="1001"/>
      <c r="OF480" s="1003"/>
      <c r="OG480" s="1003"/>
      <c r="QX480" s="1000">
        <f>CN480-CA480</f>
        <v>26</v>
      </c>
    </row>
    <row r="481" spans="1:466 1191:1191" ht="21" customHeight="1" x14ac:dyDescent="0.25">
      <c r="A481" s="982">
        <f t="shared" si="372"/>
        <v>1569</v>
      </c>
      <c r="B481" s="124">
        <f>SUBTOTAL(103,$J$29:J481)</f>
        <v>453</v>
      </c>
      <c r="C481" s="126">
        <v>45068</v>
      </c>
      <c r="D481" s="124" t="s">
        <v>176</v>
      </c>
      <c r="E481" s="127" t="s">
        <v>177</v>
      </c>
      <c r="F481" s="128" t="s">
        <v>177</v>
      </c>
      <c r="G481" s="127" t="s">
        <v>178</v>
      </c>
      <c r="H481" s="127" t="s">
        <v>408</v>
      </c>
      <c r="I481" s="127" t="s">
        <v>1377</v>
      </c>
      <c r="J481" s="152">
        <v>1569</v>
      </c>
      <c r="K481" s="127" t="s">
        <v>1377</v>
      </c>
      <c r="L481" s="130">
        <v>44209</v>
      </c>
      <c r="M481" s="127" t="s">
        <v>230</v>
      </c>
      <c r="N481" s="127" t="s">
        <v>231</v>
      </c>
      <c r="O481" s="127" t="s">
        <v>185</v>
      </c>
      <c r="P481" s="127" t="s">
        <v>186</v>
      </c>
      <c r="Q481" s="85" t="str">
        <f t="shared" si="367"/>
        <v/>
      </c>
      <c r="R481" s="130"/>
      <c r="S481" s="128"/>
      <c r="T481" s="131"/>
      <c r="U481" s="132">
        <v>203</v>
      </c>
      <c r="V481" s="121">
        <v>218.2</v>
      </c>
      <c r="W481" s="116">
        <v>0.98</v>
      </c>
      <c r="X481" s="116">
        <v>1.66</v>
      </c>
      <c r="Y481" s="116">
        <f t="shared" si="346"/>
        <v>1.0101662415208874</v>
      </c>
      <c r="Z481" s="133">
        <v>1.454</v>
      </c>
      <c r="AA481" s="133">
        <v>0.83599999999999997</v>
      </c>
      <c r="AB481" s="133">
        <v>0.72</v>
      </c>
      <c r="AC481" s="121">
        <v>34.299999999999997</v>
      </c>
      <c r="AD481" s="134">
        <v>1.17</v>
      </c>
      <c r="AE481" s="124">
        <v>177.8</v>
      </c>
      <c r="AF481" s="128">
        <v>9.19</v>
      </c>
      <c r="AG481" s="128">
        <v>2315</v>
      </c>
      <c r="AH481" s="127">
        <v>2870</v>
      </c>
      <c r="AI481" s="127">
        <v>2870</v>
      </c>
      <c r="AJ481" s="135"/>
      <c r="AK481" s="128"/>
      <c r="AL481" s="131"/>
      <c r="AM481" s="124" t="s">
        <v>232</v>
      </c>
      <c r="AN481" s="136" t="s">
        <v>1764</v>
      </c>
      <c r="AO481" s="137">
        <v>57</v>
      </c>
      <c r="AP481" s="128">
        <v>462</v>
      </c>
      <c r="AQ481" s="128">
        <f>AG481-AP481</f>
        <v>1853</v>
      </c>
      <c r="AR481" s="128"/>
      <c r="AS481" s="128"/>
      <c r="AT481" s="122"/>
      <c r="AU481" s="124" t="s">
        <v>189</v>
      </c>
      <c r="AV481" s="115">
        <f>VLOOKUP(J481,'[63]ТР нефть'!$J$28:$BP$638,39,0)</f>
        <v>421.99999043000003</v>
      </c>
      <c r="AW481" s="115" t="str">
        <f>VLOOKUP(J481,'[63]ТР нефть'!$J$28:$BP$638,40,0)</f>
        <v>ГП</v>
      </c>
      <c r="AX481" s="115">
        <f>VLOOKUP(J481,'[63]ТР нефть'!$J$28:$BP$638,41,0)</f>
        <v>811.00002304700001</v>
      </c>
      <c r="AY481" s="115" t="str">
        <f>VLOOKUP(J481,'[63]ТР нефть'!$J$28:$BP$638,42,0)</f>
        <v>ГП</v>
      </c>
      <c r="AZ481" s="115">
        <f>VLOOKUP(J481,'[63]ТР нефть'!$J$28:$BP$638,43,0)</f>
        <v>1148.000029688</v>
      </c>
      <c r="BA481" s="115" t="str">
        <f>VLOOKUP(J481,'[63]ТР нефть'!$J$28:$BP$638,44,0)</f>
        <v>ГП</v>
      </c>
      <c r="BB481" s="115">
        <f>VLOOKUP(J481,'[63]ТР нефть'!$J$28:$BP$638,45,0)</f>
        <v>1421.0000730469999</v>
      </c>
      <c r="BC481" s="115" t="str">
        <f>VLOOKUP(J481,'[63]ТР нефть'!$J$28:$BP$638,46,0)</f>
        <v>ГК84 1/8</v>
      </c>
      <c r="BD481" s="115">
        <f>VLOOKUP(J481,'[63]ТР нефть'!$J$28:$BP$638,47,0)</f>
        <v>1635.0000339840001</v>
      </c>
      <c r="BE481" s="115" t="str">
        <f>VLOOKUP(J481,'[63]ТР нефть'!$J$28:$BP$638,48,0)</f>
        <v>ГК85 5/32</v>
      </c>
      <c r="BF481" s="115">
        <f>VLOOKUP(J481,'[63]ТР нефть'!$J$28:$BP$638,49,0)</f>
        <v>1850</v>
      </c>
      <c r="BG481" s="115" t="str">
        <f>VLOOKUP(J481,'[63]ТР нефть'!$J$28:$BP$638,50,0)</f>
        <v>ЦКсОК 5/16</v>
      </c>
      <c r="BH481" s="115">
        <f>VLOOKUP(J481,'[63]ТР нефть'!$J$28:$BP$638,51,0)</f>
        <v>1869</v>
      </c>
      <c r="BI481" s="115" t="str">
        <f>VLOOKUP(J481,'[63]ТР нефть'!$J$28:$BP$638,52,0)</f>
        <v>закрыт</v>
      </c>
      <c r="BJ481" s="115" t="str">
        <f>IF(IFERROR(VLOOKUP(J481,'[63]ТР нефть'!$J$28:$BP$638,53,0),"-")=0,"-",IFERROR(VLOOKUP(J481,'[63]ТР нефть'!$J$28:$BP$638,53,0),"-"))</f>
        <v>-</v>
      </c>
      <c r="BK481" s="138" t="str">
        <f>IF(IFERROR(VLOOKUP(J481,'[63]ТР нефть'!$J$28:$BP$638,54,0),"-")=0,"-",IFERROR(VLOOKUP(J481,'[63]ТР нефть'!$J$28:$BP$638,54,0),"-"))</f>
        <v>-</v>
      </c>
      <c r="BL481" s="138" t="str">
        <f>IF(IFERROR(VLOOKUP(J481,'[63]ТР нефть'!$J$28:$BP$638,55,0),"-")=0,"-",IFERROR(VLOOKUP(J481,'[63]ТР нефть'!$J$28:$BP$638,55,0),"-"))</f>
        <v>-</v>
      </c>
      <c r="BM481" s="138" t="str">
        <f>IF(IFERROR(VLOOKUP(J481,'[63]ТР нефть'!$J$28:$BP$638,56,0),"-")=0,"-",IFERROR(VLOOKUP(J481,'[63]ТР нефть'!$J$28:$BP$638,56,0),"-"))</f>
        <v>-</v>
      </c>
      <c r="BN481" s="138" t="str">
        <f>IF(IFERROR(VLOOKUP(J481,'[63]ТР нефть'!$J$28:$BP$638,57,0),"-")=0,"-",IFERROR(VLOOKUP(J481,'[63]ТР нефть'!$J$28:$BP$638,57,0),"-"))</f>
        <v>-</v>
      </c>
      <c r="BO481" s="115" t="str">
        <f>IF(IFERROR(VLOOKUP(J481,'[63]ТР нефть'!$J$28:$BP$638,58,0),"-")=0,"-",IFERROR(VLOOKUP(J481,'[63]ТР нефть'!$J$28:$BP$638,58,0),"-"))</f>
        <v>-</v>
      </c>
      <c r="BP481" s="115" t="str">
        <f>IF(IFERROR(VLOOKUP(J481,'[63]ТР нефть'!$J$28:$BP$638,59,0),"-")=0,"-",IFERROR(VLOOKUP(J481,'[63]ТР нефть'!$J$28:$BP$638,59,0),"-"))</f>
        <v>-</v>
      </c>
      <c r="BQ481" s="138">
        <v>2350</v>
      </c>
      <c r="BR481" s="128">
        <v>1857</v>
      </c>
      <c r="BS481" s="115">
        <f t="shared" ref="BS481:BS494" si="388">BQ481-BR481</f>
        <v>493</v>
      </c>
      <c r="BT481" s="128">
        <v>73</v>
      </c>
      <c r="BU481" s="128">
        <v>5.5</v>
      </c>
      <c r="BV481" s="127">
        <v>18</v>
      </c>
      <c r="BW481" s="127" t="s">
        <v>217</v>
      </c>
      <c r="BX481" s="127" t="s">
        <v>195</v>
      </c>
      <c r="BY481" s="139">
        <v>24</v>
      </c>
      <c r="BZ481" s="139">
        <v>0</v>
      </c>
      <c r="CA481" s="138">
        <v>25</v>
      </c>
      <c r="CB481" s="138">
        <v>49</v>
      </c>
      <c r="CC481" s="138">
        <v>24</v>
      </c>
      <c r="CD481" s="135">
        <v>45017</v>
      </c>
      <c r="CE481" s="138">
        <v>84.1</v>
      </c>
      <c r="CF481" s="138">
        <v>69</v>
      </c>
      <c r="CG481" s="138" t="str">
        <f t="shared" ref="CG481:CG487" si="389">IF(CH481&lt;&gt;"","В работе","")</f>
        <v/>
      </c>
      <c r="CH481" s="138" t="s">
        <v>197</v>
      </c>
      <c r="CI481" s="138">
        <v>6</v>
      </c>
      <c r="CJ481" s="138"/>
      <c r="CK481" s="138"/>
      <c r="CL481" s="99"/>
      <c r="CM481" s="99"/>
      <c r="CN481" s="140">
        <v>57</v>
      </c>
      <c r="CO481" s="159">
        <f t="shared" si="373"/>
        <v>1.9376390000000001</v>
      </c>
      <c r="CP481" s="160">
        <v>2.5</v>
      </c>
      <c r="CQ481" s="161">
        <v>7.29</v>
      </c>
      <c r="CR481" s="138">
        <v>12.3</v>
      </c>
      <c r="CS481" s="139">
        <v>5.6</v>
      </c>
      <c r="CT481" s="138"/>
      <c r="CU481" s="138">
        <f t="shared" si="370"/>
        <v>6.7000000000000011</v>
      </c>
      <c r="CV481" s="115">
        <f t="shared" si="368"/>
        <v>3457.8164456846712</v>
      </c>
      <c r="CW481" s="115">
        <f t="shared" si="374"/>
        <v>2606.2458215712918</v>
      </c>
      <c r="CX481" s="133">
        <f t="shared" si="369"/>
        <v>9.2250922509225106E-2</v>
      </c>
      <c r="CY481" s="116"/>
      <c r="CZ481" s="131"/>
      <c r="DA481" s="145" t="str">
        <f t="shared" si="375"/>
        <v>Газлифт</v>
      </c>
      <c r="DB481" s="146">
        <f t="shared" ref="DB481:DB544" si="390">IFERROR(DC481*(1-DD481/100)*$AA481,"-")</f>
        <v>1.9376390000000001</v>
      </c>
      <c r="DC481" s="142">
        <f t="shared" ref="DC481:DC517" si="391">IFERROR(IF(AND(FZ481="Технология",FQ481&lt;$JC$24),EM481,CP481),"-")</f>
        <v>2.5</v>
      </c>
      <c r="DD481" s="119">
        <f t="shared" si="350"/>
        <v>7.29</v>
      </c>
      <c r="DE481" s="115">
        <f t="shared" ref="DE481:DE544" si="392">CU481</f>
        <v>6.7000000000000011</v>
      </c>
      <c r="DF481" s="121">
        <f t="shared" si="376"/>
        <v>5.6</v>
      </c>
      <c r="DG481" s="115">
        <f t="shared" si="377"/>
        <v>3457.8164456846712</v>
      </c>
      <c r="DH481" s="115">
        <f t="shared" si="378"/>
        <v>57</v>
      </c>
      <c r="DI481" s="147"/>
      <c r="DJ481" s="111"/>
      <c r="DK481" s="112">
        <v>44209.083333333336</v>
      </c>
      <c r="DL481" s="113">
        <f t="shared" ref="DL481:DL494" ca="1" si="393">TODAY()-DK481</f>
        <v>894.91666666666424</v>
      </c>
      <c r="DM481" s="114"/>
      <c r="DN481" s="114"/>
      <c r="DO481" s="114"/>
      <c r="DP481" s="114"/>
      <c r="DQ481" s="112"/>
      <c r="DR481" s="114"/>
      <c r="DS481" s="114"/>
      <c r="DT481" s="115">
        <v>53</v>
      </c>
      <c r="DU481" s="116">
        <f t="shared" ref="DU481:DU494" si="394">DW481/(CE481-DT481)</f>
        <v>8.9974878160500982E-2</v>
      </c>
      <c r="DV481" s="117">
        <f t="shared" ref="DV481:DV494" si="395">DW481*(1-DX481/100)*$AA481</f>
        <v>2.1687750818237945</v>
      </c>
      <c r="DW481" s="118">
        <f t="shared" ref="DW481:DW494" si="396">IF(DT481&lt;CN481,IF(MQ481=1,CP481,(1-0.2*(DT481/CE481)-0.8*(DT481/CE481)^2)*(CP481/(1-0.2*(CN481/CE481)-0.8*(CN481/CE481)^2))),CP481)</f>
        <v>2.7982187107915801</v>
      </c>
      <c r="DX481" s="119">
        <f t="shared" si="379"/>
        <v>7.29</v>
      </c>
      <c r="DY481" s="115">
        <f t="shared" ref="DY481:DY494" si="397">(CV481*DV481)/1000</f>
        <v>7.499226144921435</v>
      </c>
      <c r="DZ481" s="117">
        <f t="shared" ref="DZ481:EA494" si="398">DV481-CO481</f>
        <v>0.23113608182379441</v>
      </c>
      <c r="EA481" s="120">
        <f t="shared" si="398"/>
        <v>0.29821871079158013</v>
      </c>
      <c r="EB481" s="119">
        <f t="shared" si="387"/>
        <v>0</v>
      </c>
      <c r="EC481" s="121">
        <f t="shared" ref="EC481:EC494" si="399">DY481-CU481</f>
        <v>0.79922614492143396</v>
      </c>
      <c r="ED481" s="122"/>
      <c r="EE481" s="145">
        <v>18</v>
      </c>
      <c r="EF481" s="115">
        <v>25</v>
      </c>
      <c r="EG481" s="115">
        <v>49</v>
      </c>
      <c r="EH481" s="115">
        <v>24</v>
      </c>
      <c r="EI481" s="128" t="s">
        <v>195</v>
      </c>
      <c r="EJ481" s="121">
        <v>24</v>
      </c>
      <c r="EK481" s="121">
        <v>0</v>
      </c>
      <c r="EL481" s="162">
        <v>1.9376390000000001</v>
      </c>
      <c r="EM481" s="142">
        <v>2.5</v>
      </c>
      <c r="EN481" s="119">
        <v>7.29</v>
      </c>
      <c r="EO481" s="115">
        <v>12.3</v>
      </c>
      <c r="EP481" s="115">
        <v>3457.8164456846712</v>
      </c>
      <c r="EQ481" s="115">
        <v>69</v>
      </c>
      <c r="ER481" s="115">
        <v>5.6</v>
      </c>
      <c r="ES481" s="115">
        <v>57</v>
      </c>
      <c r="ET481" s="150">
        <v>9.2250922509225106E-2</v>
      </c>
      <c r="EU481" s="145">
        <f t="shared" ref="EU481:EU544" si="400">BV481</f>
        <v>18</v>
      </c>
      <c r="EV481" s="115">
        <f t="shared" si="380"/>
        <v>25</v>
      </c>
      <c r="EW481" s="115">
        <f t="shared" si="380"/>
        <v>49</v>
      </c>
      <c r="EX481" s="115">
        <f t="shared" si="380"/>
        <v>24</v>
      </c>
      <c r="EY481" s="115" t="str">
        <f t="shared" si="357"/>
        <v>Постоянный</v>
      </c>
      <c r="EZ481" s="115">
        <f t="shared" si="357"/>
        <v>24</v>
      </c>
      <c r="FA481" s="115">
        <f t="shared" si="357"/>
        <v>0</v>
      </c>
      <c r="FB481" s="149">
        <f t="shared" si="345"/>
        <v>1.9376390000000001</v>
      </c>
      <c r="FC481" s="142">
        <f t="shared" si="345"/>
        <v>2.5</v>
      </c>
      <c r="FD481" s="119">
        <f t="shared" si="345"/>
        <v>7.29</v>
      </c>
      <c r="FE481" s="121">
        <f t="shared" si="344"/>
        <v>12.3</v>
      </c>
      <c r="FF481" s="121">
        <f t="shared" si="347"/>
        <v>3457.8164456846712</v>
      </c>
      <c r="FG481" s="121">
        <f t="shared" si="381"/>
        <v>69</v>
      </c>
      <c r="FH481" s="121">
        <f t="shared" si="358"/>
        <v>5.6</v>
      </c>
      <c r="FI481" s="121">
        <f t="shared" si="355"/>
        <v>57</v>
      </c>
      <c r="FJ481" s="144">
        <f t="shared" si="382"/>
        <v>9.2250922509225106E-2</v>
      </c>
      <c r="FK481" s="132">
        <f t="shared" si="383"/>
        <v>0</v>
      </c>
      <c r="FL481" s="115">
        <f t="shared" si="383"/>
        <v>0</v>
      </c>
      <c r="FM481" s="115">
        <f t="shared" si="383"/>
        <v>0</v>
      </c>
      <c r="FN481" s="115">
        <f t="shared" si="371"/>
        <v>0</v>
      </c>
      <c r="FO481" s="115">
        <f t="shared" si="354"/>
        <v>0</v>
      </c>
      <c r="FP481" s="115">
        <f t="shared" si="354"/>
        <v>0</v>
      </c>
      <c r="FQ481" s="149">
        <f t="shared" si="354"/>
        <v>0</v>
      </c>
      <c r="FR481" s="142">
        <f t="shared" si="354"/>
        <v>0</v>
      </c>
      <c r="FS481" s="119">
        <f t="shared" si="354"/>
        <v>0</v>
      </c>
      <c r="FT481" s="121">
        <f t="shared" si="353"/>
        <v>0</v>
      </c>
      <c r="FU481" s="121">
        <f t="shared" si="384"/>
        <v>0</v>
      </c>
      <c r="FV481" s="121">
        <f t="shared" si="384"/>
        <v>0</v>
      </c>
      <c r="FW481" s="121">
        <f t="shared" si="385"/>
        <v>0</v>
      </c>
      <c r="FX481" s="121">
        <f t="shared" ref="FX481:FX487" si="401">CN481-ES481</f>
        <v>0</v>
      </c>
      <c r="FY481" s="144">
        <f t="shared" si="386"/>
        <v>0</v>
      </c>
      <c r="FZ481" s="145"/>
      <c r="GA481" s="151" t="s">
        <v>585</v>
      </c>
      <c r="GB481" s="145" t="s">
        <v>199</v>
      </c>
      <c r="GC481" s="151" t="s">
        <v>1396</v>
      </c>
      <c r="GD481" s="997" t="s">
        <v>416</v>
      </c>
      <c r="GE481" s="1004" t="s">
        <v>199</v>
      </c>
      <c r="GF481" s="1004">
        <v>-3.9527835600000003</v>
      </c>
      <c r="GG481" s="1004"/>
      <c r="GH481" s="1004">
        <v>-0.22950707999999942</v>
      </c>
      <c r="GI481" s="145"/>
      <c r="GJ481" s="996">
        <v>0.65585035999999963</v>
      </c>
      <c r="GK481" s="145"/>
      <c r="GL481" s="996">
        <v>0</v>
      </c>
      <c r="GM481" s="1005"/>
      <c r="GN481" s="996">
        <v>0</v>
      </c>
      <c r="GO481" s="1006"/>
      <c r="GP481" s="996">
        <v>0.26415928000000033</v>
      </c>
      <c r="GQ481" s="1006"/>
      <c r="GR481" s="996">
        <v>-0.44849727999999978</v>
      </c>
      <c r="GS481" s="1006" t="s">
        <v>199</v>
      </c>
      <c r="GT481" s="996">
        <v>-2.1822609599999998</v>
      </c>
      <c r="GU481" s="1006"/>
      <c r="GV481" s="996">
        <v>-0.45128249760000116</v>
      </c>
      <c r="GW481" s="1006"/>
      <c r="GX481" s="996">
        <v>0</v>
      </c>
      <c r="GY481" s="1006"/>
      <c r="GZ481" s="996">
        <v>-0.33439999999999959</v>
      </c>
      <c r="HA481" s="1006"/>
      <c r="HB481" s="996">
        <v>0</v>
      </c>
      <c r="HC481" s="1006" t="s">
        <v>199</v>
      </c>
      <c r="HD481" s="996">
        <v>-1.4212000000000007</v>
      </c>
      <c r="HE481" s="1006" t="s">
        <v>199</v>
      </c>
      <c r="HF481" s="996">
        <v>-2.4996400000000003</v>
      </c>
      <c r="HG481" s="1006" t="s">
        <v>199</v>
      </c>
      <c r="HH481" s="996">
        <v>-1.5131599999999992</v>
      </c>
      <c r="HI481" s="1006"/>
      <c r="HJ481" s="996">
        <v>0</v>
      </c>
      <c r="HK481" s="1006"/>
      <c r="HL481" s="996">
        <v>-0.30095999999999989</v>
      </c>
      <c r="HM481" s="1006" t="s">
        <v>199</v>
      </c>
      <c r="HN481" s="996">
        <v>1.9395199999999999</v>
      </c>
      <c r="HO481" s="1006" t="s">
        <v>199</v>
      </c>
      <c r="HP481" s="996">
        <v>-2.808959999999999</v>
      </c>
      <c r="HQ481" s="1006"/>
      <c r="HR481" s="996">
        <v>0</v>
      </c>
      <c r="HS481" s="1006" t="s">
        <v>204</v>
      </c>
      <c r="HT481" s="996">
        <v>2.4690841999999975</v>
      </c>
      <c r="HU481" s="1006" t="s">
        <v>203</v>
      </c>
      <c r="HV481" s="996">
        <v>-5.546400199999999</v>
      </c>
      <c r="HW481" s="1006"/>
      <c r="HX481" s="996">
        <v>0</v>
      </c>
      <c r="HY481" s="1006"/>
      <c r="HZ481" s="996">
        <v>0</v>
      </c>
      <c r="IA481" s="1006"/>
      <c r="IB481" s="996">
        <v>0.51561503840000178</v>
      </c>
      <c r="IC481" s="1006" t="s">
        <v>203</v>
      </c>
      <c r="ID481" s="996">
        <v>-4.1680990383999994</v>
      </c>
      <c r="IE481" s="1006" t="s">
        <v>203</v>
      </c>
      <c r="IF481" s="996">
        <v>-4.5963112799999983</v>
      </c>
      <c r="IG481" s="1006" t="s">
        <v>203</v>
      </c>
      <c r="IH481" s="996">
        <v>-9.8065503624000065</v>
      </c>
      <c r="II481" s="1006" t="s">
        <v>25</v>
      </c>
      <c r="IJ481" s="996">
        <v>33.839861642400002</v>
      </c>
      <c r="IK481" s="1006"/>
      <c r="IL481" s="996"/>
      <c r="IM481" s="1006"/>
      <c r="IN481" s="996"/>
      <c r="IO481" s="1006"/>
      <c r="IP481" s="996"/>
      <c r="IQ481" s="1006"/>
      <c r="IR481" s="996"/>
      <c r="IS481" s="1006"/>
      <c r="IT481" s="996"/>
      <c r="IU481" s="1006"/>
      <c r="IV481" s="996"/>
      <c r="IW481" s="1006"/>
      <c r="IX481" s="996"/>
      <c r="IY481" s="1006"/>
      <c r="IZ481" s="996"/>
      <c r="JA481" s="1006"/>
      <c r="JB481" s="996"/>
      <c r="JC481" s="1006"/>
      <c r="JD481" s="996"/>
      <c r="JE481" s="1006"/>
      <c r="JF481" s="996"/>
      <c r="JG481" s="1006"/>
      <c r="JH481" s="996"/>
      <c r="JI481" s="1006"/>
      <c r="JJ481" s="996"/>
      <c r="JK481" s="1007"/>
      <c r="JL481" s="1007"/>
      <c r="JM481" s="1007"/>
      <c r="JN481" s="1007"/>
      <c r="JO481" s="1008"/>
      <c r="JP481" s="1007"/>
      <c r="JQ481" s="1008"/>
      <c r="JR481" s="1007"/>
      <c r="JS481" s="1008"/>
      <c r="JT481" s="1007"/>
      <c r="JU481" s="1008"/>
      <c r="JV481" s="1007"/>
      <c r="JW481" s="1008"/>
      <c r="JX481" s="1007"/>
      <c r="JY481" s="1008"/>
      <c r="JZ481" s="1007"/>
      <c r="KA481" s="1008"/>
      <c r="KB481" s="1007"/>
      <c r="KC481" s="1008"/>
      <c r="KD481" s="1007"/>
      <c r="KE481" s="1008"/>
      <c r="KF481" s="1007"/>
      <c r="KG481" s="1008"/>
      <c r="KH481" s="1007"/>
      <c r="KI481" s="1008"/>
      <c r="KJ481" s="1007"/>
      <c r="KK481" s="1008"/>
      <c r="KL481" s="1007"/>
      <c r="KM481" s="1008"/>
      <c r="KN481" s="1007"/>
      <c r="KO481" s="1008"/>
      <c r="KP481" s="1007"/>
      <c r="KQ481" s="1008"/>
      <c r="KR481" s="1007"/>
      <c r="KS481" s="1008"/>
      <c r="KT481" s="1007"/>
      <c r="KU481" s="1008"/>
      <c r="KV481" s="1007"/>
      <c r="KW481" s="1008"/>
      <c r="KX481" s="1007"/>
      <c r="KY481" s="1008"/>
      <c r="KZ481" s="1007"/>
      <c r="LA481" s="1008"/>
      <c r="LB481" s="1007"/>
      <c r="LC481" s="1008"/>
      <c r="LD481" s="1007"/>
      <c r="LE481" s="1008"/>
      <c r="LF481" s="1007"/>
      <c r="LG481" s="1008"/>
      <c r="LH481" s="1007"/>
      <c r="LI481" s="1008"/>
      <c r="LJ481" s="1007"/>
      <c r="LK481" s="1008"/>
      <c r="LL481" s="1007"/>
      <c r="LM481" s="1008"/>
      <c r="LN481" s="1007"/>
      <c r="LO481" s="1008"/>
      <c r="LP481" s="1007"/>
      <c r="LQ481" s="1008"/>
      <c r="LR481" s="1007"/>
      <c r="LS481" s="1008"/>
      <c r="LT481" s="1007"/>
      <c r="LU481" s="1008"/>
      <c r="LV481" s="1007"/>
      <c r="LW481" s="1008"/>
      <c r="LX481" s="1007"/>
      <c r="LY481" s="1009"/>
      <c r="LZ481" s="1010"/>
      <c r="MA481" s="1011"/>
      <c r="MB481" s="1012"/>
      <c r="MC481" s="995"/>
      <c r="MD481" s="996"/>
      <c r="ME481" s="997" t="s">
        <v>416</v>
      </c>
      <c r="MF481" s="997"/>
      <c r="MG481" s="998"/>
      <c r="NR481" s="1000"/>
      <c r="NS481" s="1000"/>
      <c r="NT481" s="1001"/>
      <c r="NU481" s="1000"/>
      <c r="NV481" s="1001"/>
      <c r="NX481" s="1002"/>
      <c r="NZ481" s="1001"/>
      <c r="OA481" s="1001"/>
      <c r="OC481" s="1003"/>
      <c r="OD481" s="1003"/>
      <c r="OE481" s="1001"/>
      <c r="OF481" s="1003"/>
      <c r="OG481" s="1003"/>
      <c r="QX481" s="1000">
        <f>CN481-CA481</f>
        <v>32</v>
      </c>
      <c r="ASU481" s="999" t="s">
        <v>208</v>
      </c>
    </row>
    <row r="482" spans="1:466 1191:1191" ht="21" customHeight="1" x14ac:dyDescent="0.25">
      <c r="A482" s="982">
        <f t="shared" si="372"/>
        <v>1570</v>
      </c>
      <c r="B482" s="124">
        <f>SUBTOTAL(103,$J$29:J482)</f>
        <v>454</v>
      </c>
      <c r="C482" s="126">
        <v>45068</v>
      </c>
      <c r="D482" s="124" t="s">
        <v>176</v>
      </c>
      <c r="E482" s="127" t="s">
        <v>177</v>
      </c>
      <c r="F482" s="128" t="s">
        <v>177</v>
      </c>
      <c r="G482" s="127" t="s">
        <v>178</v>
      </c>
      <c r="H482" s="127" t="s">
        <v>408</v>
      </c>
      <c r="I482" s="127" t="s">
        <v>1377</v>
      </c>
      <c r="J482" s="152">
        <v>1570</v>
      </c>
      <c r="K482" s="127" t="s">
        <v>1377</v>
      </c>
      <c r="L482" s="130">
        <v>44021</v>
      </c>
      <c r="M482" s="127" t="s">
        <v>230</v>
      </c>
      <c r="N482" s="127" t="s">
        <v>231</v>
      </c>
      <c r="O482" s="127" t="s">
        <v>185</v>
      </c>
      <c r="P482" s="127" t="s">
        <v>186</v>
      </c>
      <c r="Q482" s="85" t="str">
        <f t="shared" si="367"/>
        <v/>
      </c>
      <c r="R482" s="130"/>
      <c r="S482" s="128"/>
      <c r="T482" s="131"/>
      <c r="U482" s="132">
        <v>203</v>
      </c>
      <c r="V482" s="121">
        <v>218.2</v>
      </c>
      <c r="W482" s="116">
        <v>0.98</v>
      </c>
      <c r="X482" s="116">
        <v>1.66</v>
      </c>
      <c r="Y482" s="116">
        <f t="shared" si="346"/>
        <v>1.035123441079155</v>
      </c>
      <c r="Z482" s="133">
        <v>1.454</v>
      </c>
      <c r="AA482" s="133">
        <v>0.83599999999999997</v>
      </c>
      <c r="AB482" s="133">
        <v>0.72</v>
      </c>
      <c r="AC482" s="121">
        <v>34.299999999999997</v>
      </c>
      <c r="AD482" s="134">
        <v>1.17</v>
      </c>
      <c r="AE482" s="124">
        <v>177.8</v>
      </c>
      <c r="AF482" s="128">
        <v>9.19</v>
      </c>
      <c r="AG482" s="128">
        <v>2503.5</v>
      </c>
      <c r="AH482" s="127">
        <v>3124</v>
      </c>
      <c r="AI482" s="127">
        <v>3124</v>
      </c>
      <c r="AJ482" s="135"/>
      <c r="AK482" s="128"/>
      <c r="AL482" s="131"/>
      <c r="AM482" s="124" t="s">
        <v>232</v>
      </c>
      <c r="AN482" s="136" t="s">
        <v>1765</v>
      </c>
      <c r="AO482" s="137">
        <v>65.099999999999994</v>
      </c>
      <c r="AP482" s="128">
        <v>2503.5</v>
      </c>
      <c r="AQ482" s="128">
        <v>644.1</v>
      </c>
      <c r="AR482" s="128"/>
      <c r="AS482" s="128"/>
      <c r="AT482" s="122"/>
      <c r="AU482" s="124" t="s">
        <v>189</v>
      </c>
      <c r="AV482" s="115">
        <f>VLOOKUP(J482,'[63]ТР нефть'!$J$28:$BP$638,39,0)</f>
        <v>460.00001513699999</v>
      </c>
      <c r="AW482" s="115" t="str">
        <f>VLOOKUP(J482,'[63]ТР нефть'!$J$28:$BP$638,40,0)</f>
        <v>ГП</v>
      </c>
      <c r="AX482" s="115">
        <f>VLOOKUP(J482,'[63]ТР нефть'!$J$28:$BP$638,41,0)</f>
        <v>890.00000097700001</v>
      </c>
      <c r="AY482" s="115" t="str">
        <f>VLOOKUP(J482,'[63]ТР нефть'!$J$28:$BP$638,42,0)</f>
        <v>ГП</v>
      </c>
      <c r="AZ482" s="115">
        <f>VLOOKUP(J482,'[63]ТР нефть'!$J$28:$BP$638,43,0)</f>
        <v>1249.9999804690001</v>
      </c>
      <c r="BA482" s="115" t="str">
        <f>VLOOKUP(J482,'[63]ТР нефть'!$J$28:$BP$638,44,0)</f>
        <v>ГК82 1/8</v>
      </c>
      <c r="BB482" s="115">
        <f>VLOOKUP(J482,'[63]ТР нефть'!$J$28:$BP$638,45,0)</f>
        <v>1549.9999757810001</v>
      </c>
      <c r="BC482" s="115" t="str">
        <f>VLOOKUP(J482,'[63]ТР нефть'!$J$28:$BP$638,46,0)</f>
        <v>ГК81 1/8</v>
      </c>
      <c r="BD482" s="115">
        <f>VLOOKUP(J482,'[63]ТР нефть'!$J$28:$BP$638,47,0)</f>
        <v>1830.0000011720001</v>
      </c>
      <c r="BE482" s="115" t="str">
        <f>VLOOKUP(J482,'[63]ТР нефть'!$J$28:$BP$638,48,0)</f>
        <v>ГК80 1/8</v>
      </c>
      <c r="BF482" s="115">
        <f>VLOOKUP(J482,'[63]ТР нефть'!$J$28:$BP$638,49,0)</f>
        <v>2070</v>
      </c>
      <c r="BG482" s="115" t="str">
        <f>VLOOKUP(J482,'[63]ТР нефть'!$J$28:$BP$638,50,0)</f>
        <v>ЦКсОК 5/16</v>
      </c>
      <c r="BH482" s="115">
        <f>VLOOKUP(J482,'[63]ТР нефть'!$J$28:$BP$638,51,0)</f>
        <v>2090</v>
      </c>
      <c r="BI482" s="115" t="str">
        <f>VLOOKUP(J482,'[63]ТР нефть'!$J$28:$BP$638,52,0)</f>
        <v>закрыт</v>
      </c>
      <c r="BJ482" s="115" t="str">
        <f>IF(IFERROR(VLOOKUP(J482,'[63]ТР нефть'!$J$28:$BP$638,53,0),"-")=0,"-",IFERROR(VLOOKUP(J482,'[63]ТР нефть'!$J$28:$BP$638,53,0),"-"))</f>
        <v>-</v>
      </c>
      <c r="BK482" s="138" t="str">
        <f>IF(IFERROR(VLOOKUP(J482,'[63]ТР нефть'!$J$28:$BP$638,54,0),"-")=0,"-",IFERROR(VLOOKUP(J482,'[63]ТР нефть'!$J$28:$BP$638,54,0),"-"))</f>
        <v>-</v>
      </c>
      <c r="BL482" s="138" t="str">
        <f>IF(IFERROR(VLOOKUP(J482,'[63]ТР нефть'!$J$28:$BP$638,55,0),"-")=0,"-",IFERROR(VLOOKUP(J482,'[63]ТР нефть'!$J$28:$BP$638,55,0),"-"))</f>
        <v>-</v>
      </c>
      <c r="BM482" s="138" t="str">
        <f>IF(IFERROR(VLOOKUP(J482,'[63]ТР нефть'!$J$28:$BP$638,56,0),"-")=0,"-",IFERROR(VLOOKUP(J482,'[63]ТР нефть'!$J$28:$BP$638,56,0),"-"))</f>
        <v>-</v>
      </c>
      <c r="BN482" s="138" t="str">
        <f>IF(IFERROR(VLOOKUP(J482,'[63]ТР нефть'!$J$28:$BP$638,57,0),"-")=0,"-",IFERROR(VLOOKUP(J482,'[63]ТР нефть'!$J$28:$BP$638,57,0),"-"))</f>
        <v>-</v>
      </c>
      <c r="BO482" s="115" t="str">
        <f>IF(IFERROR(VLOOKUP(J482,'[63]ТР нефть'!$J$28:$BP$638,58,0),"-")=0,"-",IFERROR(VLOOKUP(J482,'[63]ТР нефть'!$J$28:$BP$638,58,0),"-"))</f>
        <v>-</v>
      </c>
      <c r="BP482" s="115" t="str">
        <f>IF(IFERROR(VLOOKUP(J482,'[63]ТР нефть'!$J$28:$BP$638,59,0),"-")=0,"-",IFERROR(VLOOKUP(J482,'[63]ТР нефть'!$J$28:$BP$638,59,0),"-"))</f>
        <v>-</v>
      </c>
      <c r="BQ482" s="138">
        <v>2550</v>
      </c>
      <c r="BR482" s="128">
        <f>1733.43+130.8</f>
        <v>1864.23</v>
      </c>
      <c r="BS482" s="115">
        <f t="shared" si="388"/>
        <v>685.77</v>
      </c>
      <c r="BT482" s="128">
        <v>73</v>
      </c>
      <c r="BU482" s="128">
        <v>5.5</v>
      </c>
      <c r="BV482" s="127">
        <v>18</v>
      </c>
      <c r="BW482" s="127" t="s">
        <v>217</v>
      </c>
      <c r="BX482" s="127" t="s">
        <v>218</v>
      </c>
      <c r="BY482" s="139">
        <v>24</v>
      </c>
      <c r="BZ482" s="139">
        <v>24</v>
      </c>
      <c r="CA482" s="138">
        <v>22</v>
      </c>
      <c r="CB482" s="138">
        <v>42</v>
      </c>
      <c r="CC482" s="138">
        <v>22</v>
      </c>
      <c r="CD482" s="135">
        <v>45017</v>
      </c>
      <c r="CE482" s="138">
        <v>102</v>
      </c>
      <c r="CF482" s="138">
        <v>70</v>
      </c>
      <c r="CG482" s="138" t="str">
        <f t="shared" si="389"/>
        <v>В работе</v>
      </c>
      <c r="CH482" s="138" t="s">
        <v>235</v>
      </c>
      <c r="CI482" s="138">
        <v>6</v>
      </c>
      <c r="CJ482" s="138"/>
      <c r="CK482" s="138"/>
      <c r="CL482" s="99"/>
      <c r="CM482" s="99"/>
      <c r="CN482" s="140">
        <v>55</v>
      </c>
      <c r="CO482" s="159">
        <f t="shared" si="373"/>
        <v>1.8182999999999998</v>
      </c>
      <c r="CP482" s="160">
        <v>2.5</v>
      </c>
      <c r="CQ482" s="161">
        <v>13</v>
      </c>
      <c r="CR482" s="138">
        <v>9</v>
      </c>
      <c r="CS482" s="138">
        <v>7</v>
      </c>
      <c r="CT482" s="138"/>
      <c r="CU482" s="138">
        <f t="shared" si="370"/>
        <v>2</v>
      </c>
      <c r="CV482" s="115">
        <f t="shared" si="368"/>
        <v>1099.928504647198</v>
      </c>
      <c r="CW482" s="115">
        <f t="shared" si="374"/>
        <v>3189.574647438088</v>
      </c>
      <c r="CX482" s="133">
        <f t="shared" si="369"/>
        <v>5.3191489361702128E-2</v>
      </c>
      <c r="CY482" s="116"/>
      <c r="CZ482" s="131"/>
      <c r="DA482" s="145" t="str">
        <f t="shared" si="375"/>
        <v>Газлифт</v>
      </c>
      <c r="DB482" s="146">
        <f t="shared" si="390"/>
        <v>1.8182999999999998</v>
      </c>
      <c r="DC482" s="142">
        <f t="shared" si="391"/>
        <v>2.5</v>
      </c>
      <c r="DD482" s="119">
        <f t="shared" si="350"/>
        <v>13</v>
      </c>
      <c r="DE482" s="115">
        <f t="shared" si="392"/>
        <v>2</v>
      </c>
      <c r="DF482" s="121">
        <f t="shared" si="376"/>
        <v>7</v>
      </c>
      <c r="DG482" s="115">
        <f t="shared" si="377"/>
        <v>1099.928504647198</v>
      </c>
      <c r="DH482" s="115">
        <f t="shared" si="378"/>
        <v>55</v>
      </c>
      <c r="DI482" s="147"/>
      <c r="DJ482" s="111"/>
      <c r="DK482" s="112">
        <v>44021.083333333336</v>
      </c>
      <c r="DL482" s="113">
        <f t="shared" ca="1" si="393"/>
        <v>1082.9166666666642</v>
      </c>
      <c r="DM482" s="114"/>
      <c r="DN482" s="114"/>
      <c r="DO482" s="114"/>
      <c r="DP482" s="114"/>
      <c r="DQ482" s="112"/>
      <c r="DR482" s="114"/>
      <c r="DS482" s="114"/>
      <c r="DT482" s="115">
        <v>54</v>
      </c>
      <c r="DU482" s="116">
        <f t="shared" si="394"/>
        <v>5.2900029146021571E-2</v>
      </c>
      <c r="DV482" s="117">
        <f t="shared" si="395"/>
        <v>1.8468119615272514</v>
      </c>
      <c r="DW482" s="118">
        <f t="shared" si="396"/>
        <v>2.5392013990090354</v>
      </c>
      <c r="DX482" s="119">
        <f t="shared" si="379"/>
        <v>13</v>
      </c>
      <c r="DY482" s="115">
        <f t="shared" si="397"/>
        <v>2.0313611192072281</v>
      </c>
      <c r="DZ482" s="117">
        <f t="shared" si="398"/>
        <v>2.851196152725155E-2</v>
      </c>
      <c r="EA482" s="120">
        <f t="shared" si="398"/>
        <v>3.9201399009035409E-2</v>
      </c>
      <c r="EB482" s="119">
        <f t="shared" si="387"/>
        <v>0</v>
      </c>
      <c r="EC482" s="121">
        <f t="shared" si="399"/>
        <v>3.1361119207228061E-2</v>
      </c>
      <c r="ED482" s="122"/>
      <c r="EE482" s="145">
        <v>18</v>
      </c>
      <c r="EF482" s="115">
        <v>20</v>
      </c>
      <c r="EG482" s="115">
        <v>42</v>
      </c>
      <c r="EH482" s="115">
        <v>19</v>
      </c>
      <c r="EI482" s="128" t="s">
        <v>218</v>
      </c>
      <c r="EJ482" s="121">
        <v>24</v>
      </c>
      <c r="EK482" s="121">
        <v>24</v>
      </c>
      <c r="EL482" s="162">
        <v>1.9854999999999998</v>
      </c>
      <c r="EM482" s="142">
        <v>2.5</v>
      </c>
      <c r="EN482" s="119">
        <v>5</v>
      </c>
      <c r="EO482" s="115">
        <v>5.3</v>
      </c>
      <c r="EP482" s="115">
        <v>503.65147318055909</v>
      </c>
      <c r="EQ482" s="115">
        <v>78</v>
      </c>
      <c r="ER482" s="115">
        <v>4.3</v>
      </c>
      <c r="ES482" s="115">
        <v>53</v>
      </c>
      <c r="ET482" s="150">
        <v>5.1020408163265307E-2</v>
      </c>
      <c r="EU482" s="145">
        <f t="shared" si="400"/>
        <v>18</v>
      </c>
      <c r="EV482" s="115">
        <f t="shared" si="380"/>
        <v>22</v>
      </c>
      <c r="EW482" s="115">
        <f t="shared" si="380"/>
        <v>42</v>
      </c>
      <c r="EX482" s="115">
        <f t="shared" si="380"/>
        <v>22</v>
      </c>
      <c r="EY482" s="115" t="str">
        <f t="shared" si="357"/>
        <v>Периодический</v>
      </c>
      <c r="EZ482" s="115">
        <f t="shared" si="357"/>
        <v>24</v>
      </c>
      <c r="FA482" s="115">
        <f t="shared" si="357"/>
        <v>24</v>
      </c>
      <c r="FB482" s="149">
        <f t="shared" si="345"/>
        <v>1.8182999999999998</v>
      </c>
      <c r="FC482" s="142">
        <f t="shared" si="345"/>
        <v>2.5</v>
      </c>
      <c r="FD482" s="119">
        <f t="shared" si="345"/>
        <v>13</v>
      </c>
      <c r="FE482" s="121">
        <f t="shared" si="344"/>
        <v>9</v>
      </c>
      <c r="FF482" s="121">
        <f t="shared" si="347"/>
        <v>1099.928504647198</v>
      </c>
      <c r="FG482" s="121">
        <f t="shared" si="381"/>
        <v>70</v>
      </c>
      <c r="FH482" s="121">
        <f t="shared" si="358"/>
        <v>7</v>
      </c>
      <c r="FI482" s="121">
        <f t="shared" si="355"/>
        <v>55</v>
      </c>
      <c r="FJ482" s="144">
        <f t="shared" si="382"/>
        <v>5.3191489361702128E-2</v>
      </c>
      <c r="FK482" s="132">
        <f t="shared" si="383"/>
        <v>0</v>
      </c>
      <c r="FL482" s="115">
        <f t="shared" si="383"/>
        <v>2</v>
      </c>
      <c r="FM482" s="115">
        <f t="shared" si="383"/>
        <v>0</v>
      </c>
      <c r="FN482" s="115">
        <f t="shared" si="371"/>
        <v>3</v>
      </c>
      <c r="FO482" s="115">
        <f t="shared" si="354"/>
        <v>0</v>
      </c>
      <c r="FP482" s="115">
        <f t="shared" si="354"/>
        <v>0</v>
      </c>
      <c r="FQ482" s="149">
        <f t="shared" si="354"/>
        <v>-0.16720000000000002</v>
      </c>
      <c r="FR482" s="142">
        <f t="shared" si="354"/>
        <v>0</v>
      </c>
      <c r="FS482" s="119">
        <f t="shared" si="354"/>
        <v>8</v>
      </c>
      <c r="FT482" s="121">
        <f t="shared" si="353"/>
        <v>3.7</v>
      </c>
      <c r="FU482" s="121">
        <f t="shared" si="384"/>
        <v>-8</v>
      </c>
      <c r="FV482" s="121">
        <f t="shared" si="384"/>
        <v>2.7</v>
      </c>
      <c r="FW482" s="121">
        <f t="shared" si="385"/>
        <v>596.27703146663885</v>
      </c>
      <c r="FX482" s="121">
        <f t="shared" si="401"/>
        <v>2</v>
      </c>
      <c r="FY482" s="144">
        <f t="shared" si="386"/>
        <v>2.1710811984368208E-3</v>
      </c>
      <c r="FZ482" s="145"/>
      <c r="GA482" s="151"/>
      <c r="GB482" s="145"/>
      <c r="GC482" s="151"/>
      <c r="GD482" s="997" t="s">
        <v>416</v>
      </c>
      <c r="GE482" s="1004"/>
      <c r="GF482" s="1004">
        <v>0</v>
      </c>
      <c r="GG482" s="1004"/>
      <c r="GH482" s="1004">
        <v>0</v>
      </c>
      <c r="GI482" s="145" t="s">
        <v>204</v>
      </c>
      <c r="GJ482" s="996">
        <v>-3.2460207999999993</v>
      </c>
      <c r="GK482" s="145" t="s">
        <v>204</v>
      </c>
      <c r="GL482" s="996">
        <v>0</v>
      </c>
      <c r="GM482" s="1005"/>
      <c r="GN482" s="996">
        <v>0.42502239999999958</v>
      </c>
      <c r="GO482" s="1006" t="s">
        <v>203</v>
      </c>
      <c r="GP482" s="996">
        <v>-1.7059416000000009</v>
      </c>
      <c r="GQ482" s="1006"/>
      <c r="GR482" s="996">
        <v>0.55594000000000054</v>
      </c>
      <c r="GS482" s="1006"/>
      <c r="GT482" s="996">
        <v>0</v>
      </c>
      <c r="GU482" s="1006" t="s">
        <v>203</v>
      </c>
      <c r="GV482" s="996">
        <v>-1.9436999999999989</v>
      </c>
      <c r="GW482" s="1006" t="s">
        <v>199</v>
      </c>
      <c r="GX482" s="996">
        <v>4.2485520000000001</v>
      </c>
      <c r="GY482" s="1006"/>
      <c r="GZ482" s="996">
        <v>-0.42605904000000061</v>
      </c>
      <c r="HA482" s="1006" t="s">
        <v>308</v>
      </c>
      <c r="HB482" s="996">
        <v>6.0247978560000011</v>
      </c>
      <c r="HC482" s="1006" t="s">
        <v>199</v>
      </c>
      <c r="HD482" s="996">
        <v>-4.5399816000000008</v>
      </c>
      <c r="HE482" s="1006" t="s">
        <v>434</v>
      </c>
      <c r="HF482" s="996">
        <v>3.8233624000000006</v>
      </c>
      <c r="HG482" s="1006"/>
      <c r="HH482" s="996">
        <v>0</v>
      </c>
      <c r="HI482" s="1006"/>
      <c r="HJ482" s="996">
        <v>0</v>
      </c>
      <c r="HK482" s="1006"/>
      <c r="HL482" s="996">
        <v>0.78584000000000032</v>
      </c>
      <c r="HM482" s="1006"/>
      <c r="HN482" s="996">
        <v>0</v>
      </c>
      <c r="HO482" s="1006" t="s">
        <v>199</v>
      </c>
      <c r="HP482" s="996">
        <v>-1.5215199999999998</v>
      </c>
      <c r="HQ482" s="1006" t="s">
        <v>199</v>
      </c>
      <c r="HR482" s="996">
        <v>-3.870680000000001</v>
      </c>
      <c r="HS482" s="1006" t="s">
        <v>199</v>
      </c>
      <c r="HT482" s="996">
        <v>4.4224400000000008</v>
      </c>
      <c r="HU482" s="1006"/>
      <c r="HV482" s="996">
        <v>-0.8276400000000006</v>
      </c>
      <c r="HW482" s="1006"/>
      <c r="HX482" s="996">
        <v>0.40964000000000045</v>
      </c>
      <c r="HY482" s="1006" t="s">
        <v>223</v>
      </c>
      <c r="HZ482" s="996">
        <v>-1.7472399999999997</v>
      </c>
      <c r="IA482" s="1006"/>
      <c r="IB482" s="996">
        <v>0</v>
      </c>
      <c r="IC482" s="1006"/>
      <c r="ID482" s="996">
        <v>0</v>
      </c>
      <c r="IE482" s="1006" t="s">
        <v>199</v>
      </c>
      <c r="IF482" s="996">
        <v>1.5047999999999995</v>
      </c>
      <c r="IG482" s="1006" t="s">
        <v>199</v>
      </c>
      <c r="IH482" s="996">
        <v>2.3658800000000002</v>
      </c>
      <c r="II482" s="1006"/>
      <c r="IJ482" s="996">
        <v>0</v>
      </c>
      <c r="IK482" s="1006" t="s">
        <v>199</v>
      </c>
      <c r="IL482" s="996">
        <v>-3.2018799999999996</v>
      </c>
      <c r="IM482" s="1006"/>
      <c r="IN482" s="996">
        <v>-8.3599999999999675E-2</v>
      </c>
      <c r="IO482" s="1006" t="s">
        <v>199</v>
      </c>
      <c r="IP482" s="996">
        <v>-2.4244000000000003</v>
      </c>
      <c r="IQ482" s="1006" t="s">
        <v>199</v>
      </c>
      <c r="IR482" s="996">
        <v>-7.5239999999999991</v>
      </c>
      <c r="IS482" s="1006" t="s">
        <v>203</v>
      </c>
      <c r="IT482" s="996">
        <v>-14.268012000000001</v>
      </c>
      <c r="IU482" s="1006" t="s">
        <v>25</v>
      </c>
      <c r="IV482" s="996">
        <v>30.152011999999999</v>
      </c>
      <c r="IW482" s="1006"/>
      <c r="IX482" s="996" t="e">
        <v>#VALUE!</v>
      </c>
      <c r="IY482" s="1006"/>
      <c r="IZ482" s="996"/>
      <c r="JA482" s="1006"/>
      <c r="JB482" s="996"/>
      <c r="JC482" s="1006"/>
      <c r="JD482" s="996"/>
      <c r="JE482" s="1006"/>
      <c r="JF482" s="996"/>
      <c r="JG482" s="1006"/>
      <c r="JH482" s="996"/>
      <c r="JI482" s="1006"/>
      <c r="JJ482" s="996"/>
      <c r="JK482" s="1007"/>
      <c r="JL482" s="1007"/>
      <c r="JM482" s="1007"/>
      <c r="JN482" s="1007"/>
      <c r="JO482" s="1008"/>
      <c r="JP482" s="1007"/>
      <c r="JQ482" s="1008"/>
      <c r="JR482" s="1007"/>
      <c r="JS482" s="1008"/>
      <c r="JT482" s="1007"/>
      <c r="JU482" s="1008"/>
      <c r="JV482" s="1007"/>
      <c r="JW482" s="1008"/>
      <c r="JX482" s="1007"/>
      <c r="JY482" s="1008"/>
      <c r="JZ482" s="1007"/>
      <c r="KA482" s="1008"/>
      <c r="KB482" s="1007"/>
      <c r="KC482" s="1008"/>
      <c r="KD482" s="1007"/>
      <c r="KE482" s="1008"/>
      <c r="KF482" s="1007"/>
      <c r="KG482" s="1008"/>
      <c r="KH482" s="1007"/>
      <c r="KI482" s="1008"/>
      <c r="KJ482" s="1007"/>
      <c r="KK482" s="1008"/>
      <c r="KL482" s="1007"/>
      <c r="KM482" s="1008"/>
      <c r="KN482" s="1007"/>
      <c r="KO482" s="1008"/>
      <c r="KP482" s="1007"/>
      <c r="KQ482" s="1008"/>
      <c r="KR482" s="1007"/>
      <c r="KS482" s="1008"/>
      <c r="KT482" s="1007"/>
      <c r="KU482" s="1008"/>
      <c r="KV482" s="1007"/>
      <c r="KW482" s="1008"/>
      <c r="KX482" s="1007"/>
      <c r="KY482" s="1008"/>
      <c r="KZ482" s="1007"/>
      <c r="LA482" s="1008"/>
      <c r="LB482" s="1007"/>
      <c r="LC482" s="1008"/>
      <c r="LD482" s="1007"/>
      <c r="LE482" s="1008"/>
      <c r="LF482" s="1007"/>
      <c r="LG482" s="1008"/>
      <c r="LH482" s="1007"/>
      <c r="LI482" s="1008"/>
      <c r="LJ482" s="1007"/>
      <c r="LK482" s="1008"/>
      <c r="LL482" s="1007"/>
      <c r="LM482" s="1008"/>
      <c r="LN482" s="1007"/>
      <c r="LO482" s="1008"/>
      <c r="LP482" s="1007"/>
      <c r="LQ482" s="1008"/>
      <c r="LR482" s="1007"/>
      <c r="LS482" s="1008"/>
      <c r="LT482" s="1007"/>
      <c r="LU482" s="1008"/>
      <c r="LV482" s="1007"/>
      <c r="LW482" s="1008"/>
      <c r="LX482" s="1007"/>
      <c r="LY482" s="1009"/>
      <c r="LZ482" s="1010"/>
      <c r="MA482" s="1011"/>
      <c r="MB482" s="1012"/>
      <c r="MC482" s="995"/>
      <c r="MD482" s="996"/>
      <c r="ME482" s="997" t="s">
        <v>416</v>
      </c>
      <c r="MF482" s="997"/>
      <c r="MG482" s="998"/>
      <c r="NR482" s="1000"/>
      <c r="NS482" s="1000"/>
      <c r="NT482" s="1001"/>
      <c r="NU482" s="1000"/>
      <c r="NV482" s="1001"/>
      <c r="NX482" s="1002"/>
      <c r="NZ482" s="1001"/>
      <c r="OA482" s="1001"/>
      <c r="OC482" s="1003"/>
      <c r="OD482" s="1003"/>
      <c r="OE482" s="1001"/>
      <c r="OF482" s="1003"/>
      <c r="OG482" s="1003"/>
      <c r="QX482" s="1000">
        <f>CN482-CA482</f>
        <v>33</v>
      </c>
      <c r="ASU482" s="999" t="s">
        <v>208</v>
      </c>
    </row>
    <row r="483" spans="1:466 1191:1191" ht="21" customHeight="1" x14ac:dyDescent="0.25">
      <c r="A483" s="982">
        <f t="shared" si="372"/>
        <v>1571</v>
      </c>
      <c r="B483" s="124">
        <f>SUBTOTAL(103,$J$29:J483)</f>
        <v>455</v>
      </c>
      <c r="C483" s="126">
        <v>45068</v>
      </c>
      <c r="D483" s="124" t="s">
        <v>176</v>
      </c>
      <c r="E483" s="127" t="s">
        <v>177</v>
      </c>
      <c r="F483" s="128" t="s">
        <v>177</v>
      </c>
      <c r="G483" s="127" t="s">
        <v>178</v>
      </c>
      <c r="H483" s="127" t="s">
        <v>408</v>
      </c>
      <c r="I483" s="127" t="s">
        <v>975</v>
      </c>
      <c r="J483" s="129">
        <v>1571</v>
      </c>
      <c r="K483" s="127" t="s">
        <v>1759</v>
      </c>
      <c r="L483" s="130">
        <v>44006</v>
      </c>
      <c r="M483" s="127" t="s">
        <v>230</v>
      </c>
      <c r="N483" s="127" t="s">
        <v>231</v>
      </c>
      <c r="O483" s="127" t="s">
        <v>185</v>
      </c>
      <c r="P483" s="127" t="s">
        <v>186</v>
      </c>
      <c r="Q483" s="85" t="str">
        <f t="shared" si="367"/>
        <v/>
      </c>
      <c r="R483" s="130"/>
      <c r="S483" s="128"/>
      <c r="T483" s="131"/>
      <c r="U483" s="132">
        <v>203</v>
      </c>
      <c r="V483" s="121">
        <v>218.2</v>
      </c>
      <c r="W483" s="116">
        <v>0.98</v>
      </c>
      <c r="X483" s="116">
        <v>1.66</v>
      </c>
      <c r="Y483" s="116">
        <f t="shared" si="346"/>
        <v>0.98</v>
      </c>
      <c r="Z483" s="133">
        <v>1.454</v>
      </c>
      <c r="AA483" s="133">
        <v>0.83599999999999997</v>
      </c>
      <c r="AB483" s="133">
        <v>0.72</v>
      </c>
      <c r="AC483" s="121">
        <v>34.299999999999997</v>
      </c>
      <c r="AD483" s="134">
        <v>1.17</v>
      </c>
      <c r="AE483" s="124">
        <v>177.8</v>
      </c>
      <c r="AF483" s="128">
        <v>9.19</v>
      </c>
      <c r="AG483" s="128">
        <v>2151</v>
      </c>
      <c r="AH483" s="127">
        <v>2800</v>
      </c>
      <c r="AI483" s="127">
        <v>2800</v>
      </c>
      <c r="AJ483" s="135"/>
      <c r="AK483" s="128"/>
      <c r="AL483" s="131"/>
      <c r="AM483" s="124" t="s">
        <v>232</v>
      </c>
      <c r="AN483" s="136" t="s">
        <v>1766</v>
      </c>
      <c r="AO483" s="137">
        <v>70.569999999999993</v>
      </c>
      <c r="AP483" s="128">
        <v>2151</v>
      </c>
      <c r="AQ483" s="128">
        <v>289</v>
      </c>
      <c r="AR483" s="128"/>
      <c r="AS483" s="128"/>
      <c r="AT483" s="122"/>
      <c r="AU483" s="124" t="s">
        <v>189</v>
      </c>
      <c r="AV483" s="115">
        <f>VLOOKUP(J483,'[63]ТР нефть'!$J$28:$BP$638,39,0)</f>
        <v>519.99999931599996</v>
      </c>
      <c r="AW483" s="115" t="str">
        <f>VLOOKUP(J483,'[63]ТР нефть'!$J$28:$BP$638,40,0)</f>
        <v>ГК86 5/32</v>
      </c>
      <c r="AX483" s="115">
        <f>VLOOKUP(J483,'[63]ТР нефть'!$J$28:$BP$638,41,0)</f>
        <v>930.00001523399999</v>
      </c>
      <c r="AY483" s="115" t="str">
        <f>VLOOKUP(J483,'[63]ТР нефть'!$J$28:$BP$638,42,0)</f>
        <v>ГК87 5/32</v>
      </c>
      <c r="AZ483" s="115">
        <f>VLOOKUP(J483,'[63]ТР нефть'!$J$28:$BP$638,43,0)</f>
        <v>1269.9999503910001</v>
      </c>
      <c r="BA483" s="115" t="str">
        <f>VLOOKUP(J483,'[63]ТР нефть'!$J$28:$BP$638,44,0)</f>
        <v>ГК88 3/16</v>
      </c>
      <c r="BB483" s="115">
        <f>VLOOKUP(J483,'[63]ТР нефть'!$J$28:$BP$638,45,0)</f>
        <v>1569.9999457030001</v>
      </c>
      <c r="BC483" s="115" t="str">
        <f>VLOOKUP(J483,'[63]ТР нефть'!$J$28:$BP$638,46,0)</f>
        <v>ГК88 3/16</v>
      </c>
      <c r="BD483" s="115">
        <f>VLOOKUP(J483,'[63]ТР нефть'!$J$28:$BP$638,47,0)</f>
        <v>1869.9999410160001</v>
      </c>
      <c r="BE483" s="115" t="str">
        <f>VLOOKUP(J483,'[63]ТР нефть'!$J$28:$BP$638,48,0)</f>
        <v>ЦКсОК 5/16</v>
      </c>
      <c r="BF483" s="115" t="str">
        <f>VLOOKUP(J483,'[63]ТР нефть'!$J$28:$BP$638,49,0)</f>
        <v>-</v>
      </c>
      <c r="BG483" s="115" t="str">
        <f>VLOOKUP(J483,'[63]ТР нефть'!$J$28:$BP$638,50,0)</f>
        <v>-</v>
      </c>
      <c r="BH483" s="115">
        <f>VLOOKUP(J483,'[63]ТР нефть'!$J$28:$BP$638,51,0)</f>
        <v>1880</v>
      </c>
      <c r="BI483" s="115" t="str">
        <f>VLOOKUP(J483,'[63]ТР нефть'!$J$28:$BP$638,52,0)</f>
        <v>закрыт</v>
      </c>
      <c r="BJ483" s="115" t="str">
        <f>IF(IFERROR(VLOOKUP(J483,'[63]ТР нефть'!$J$28:$BP$638,53,0),"-")=0,"-",IFERROR(VLOOKUP(J483,'[63]ТР нефть'!$J$28:$BP$638,53,0),"-"))</f>
        <v>-</v>
      </c>
      <c r="BK483" s="138" t="str">
        <f>IF(IFERROR(VLOOKUP(J483,'[63]ТР нефть'!$J$28:$BP$638,54,0),"-")=0,"-",IFERROR(VLOOKUP(J483,'[63]ТР нефть'!$J$28:$BP$638,54,0),"-"))</f>
        <v>-</v>
      </c>
      <c r="BL483" s="138" t="str">
        <f>IF(IFERROR(VLOOKUP(J483,'[63]ТР нефть'!$J$28:$BP$638,55,0),"-")=0,"-",IFERROR(VLOOKUP(J483,'[63]ТР нефть'!$J$28:$BP$638,55,0),"-"))</f>
        <v>-</v>
      </c>
      <c r="BM483" s="138" t="str">
        <f>IF(IFERROR(VLOOKUP(J483,'[63]ТР нефть'!$J$28:$BP$638,56,0),"-")=0,"-",IFERROR(VLOOKUP(J483,'[63]ТР нефть'!$J$28:$BP$638,56,0),"-"))</f>
        <v>-</v>
      </c>
      <c r="BN483" s="138" t="str">
        <f>IF(IFERROR(VLOOKUP(J483,'[63]ТР нефть'!$J$28:$BP$638,57,0),"-")=0,"-",IFERROR(VLOOKUP(J483,'[63]ТР нефть'!$J$28:$BP$638,57,0),"-"))</f>
        <v>-</v>
      </c>
      <c r="BO483" s="115" t="str">
        <f>IF(IFERROR(VLOOKUP(J483,'[63]ТР нефть'!$J$28:$BP$638,58,0),"-")=0,"-",IFERROR(VLOOKUP(J483,'[63]ТР нефть'!$J$28:$BP$638,58,0),"-"))</f>
        <v>-</v>
      </c>
      <c r="BP483" s="115" t="str">
        <f>IF(IFERROR(VLOOKUP(J483,'[63]ТР нефть'!$J$28:$BP$638,59,0),"-")=0,"-",IFERROR(VLOOKUP(J483,'[63]ТР нефть'!$J$28:$BP$638,59,0),"-"))</f>
        <v>-</v>
      </c>
      <c r="BQ483" s="138">
        <v>2201</v>
      </c>
      <c r="BR483" s="128">
        <f>1728+140.6</f>
        <v>1868.6</v>
      </c>
      <c r="BS483" s="115">
        <f t="shared" si="388"/>
        <v>332.40000000000009</v>
      </c>
      <c r="BT483" s="128">
        <v>73</v>
      </c>
      <c r="BU483" s="128">
        <v>5.5</v>
      </c>
      <c r="BV483" s="127">
        <v>18</v>
      </c>
      <c r="BW483" s="127" t="s">
        <v>217</v>
      </c>
      <c r="BX483" s="127" t="s">
        <v>195</v>
      </c>
      <c r="BY483" s="139">
        <v>24</v>
      </c>
      <c r="BZ483" s="139">
        <v>0</v>
      </c>
      <c r="CA483" s="138">
        <v>23</v>
      </c>
      <c r="CB483" s="138">
        <v>33</v>
      </c>
      <c r="CC483" s="138">
        <v>22</v>
      </c>
      <c r="CD483" s="135">
        <v>45017</v>
      </c>
      <c r="CE483" s="138">
        <v>104</v>
      </c>
      <c r="CF483" s="138">
        <v>70</v>
      </c>
      <c r="CG483" s="138" t="str">
        <f t="shared" si="389"/>
        <v>В работе</v>
      </c>
      <c r="CH483" s="138" t="s">
        <v>235</v>
      </c>
      <c r="CI483" s="138">
        <v>6</v>
      </c>
      <c r="CJ483" s="138"/>
      <c r="CK483" s="138"/>
      <c r="CL483" s="99"/>
      <c r="CM483" s="99"/>
      <c r="CN483" s="140">
        <v>47</v>
      </c>
      <c r="CO483" s="159">
        <f t="shared" si="373"/>
        <v>16.72</v>
      </c>
      <c r="CP483" s="160">
        <v>20</v>
      </c>
      <c r="CQ483" s="161">
        <v>0</v>
      </c>
      <c r="CR483" s="138">
        <v>23</v>
      </c>
      <c r="CS483" s="139">
        <v>7.3</v>
      </c>
      <c r="CT483" s="138"/>
      <c r="CU483" s="138">
        <f t="shared" si="370"/>
        <v>15.7</v>
      </c>
      <c r="CV483" s="115">
        <f t="shared" si="368"/>
        <v>938.99521531100481</v>
      </c>
      <c r="CW483" s="115">
        <f t="shared" si="374"/>
        <v>436.60287081339715</v>
      </c>
      <c r="CX483" s="133">
        <f t="shared" si="369"/>
        <v>0.35087719298245612</v>
      </c>
      <c r="CY483" s="116"/>
      <c r="CZ483" s="131"/>
      <c r="DA483" s="145" t="str">
        <f t="shared" si="375"/>
        <v>Газлифт</v>
      </c>
      <c r="DB483" s="146">
        <f t="shared" si="390"/>
        <v>16.72</v>
      </c>
      <c r="DC483" s="142">
        <f t="shared" si="391"/>
        <v>20</v>
      </c>
      <c r="DD483" s="119">
        <f t="shared" si="350"/>
        <v>0</v>
      </c>
      <c r="DE483" s="115">
        <f t="shared" si="392"/>
        <v>15.7</v>
      </c>
      <c r="DF483" s="121">
        <f t="shared" si="376"/>
        <v>7.3</v>
      </c>
      <c r="DG483" s="115">
        <f t="shared" si="377"/>
        <v>938.99521531100481</v>
      </c>
      <c r="DH483" s="115">
        <f t="shared" si="378"/>
        <v>47</v>
      </c>
      <c r="DI483" s="147"/>
      <c r="DJ483" s="111"/>
      <c r="DK483" s="112">
        <v>44006.083333333336</v>
      </c>
      <c r="DL483" s="113">
        <f t="shared" ca="1" si="393"/>
        <v>1097.9166666666642</v>
      </c>
      <c r="DM483" s="114"/>
      <c r="DN483" s="114"/>
      <c r="DO483" s="114"/>
      <c r="DP483" s="114"/>
      <c r="DQ483" s="112"/>
      <c r="DR483" s="114"/>
      <c r="DS483" s="114"/>
      <c r="DT483" s="115">
        <v>57</v>
      </c>
      <c r="DU483" s="116">
        <f t="shared" si="394"/>
        <v>0.42553191489361702</v>
      </c>
      <c r="DV483" s="117">
        <f t="shared" si="395"/>
        <v>16.72</v>
      </c>
      <c r="DW483" s="118">
        <f t="shared" si="396"/>
        <v>20</v>
      </c>
      <c r="DX483" s="119">
        <f t="shared" si="379"/>
        <v>0</v>
      </c>
      <c r="DY483" s="115">
        <f t="shared" si="397"/>
        <v>15.7</v>
      </c>
      <c r="DZ483" s="117">
        <f t="shared" si="398"/>
        <v>0</v>
      </c>
      <c r="EA483" s="120">
        <f t="shared" si="398"/>
        <v>0</v>
      </c>
      <c r="EB483" s="119">
        <f t="shared" si="387"/>
        <v>0</v>
      </c>
      <c r="EC483" s="121">
        <f t="shared" si="399"/>
        <v>0</v>
      </c>
      <c r="ED483" s="122"/>
      <c r="EE483" s="145">
        <v>18</v>
      </c>
      <c r="EF483" s="115">
        <v>26</v>
      </c>
      <c r="EG483" s="115">
        <v>36</v>
      </c>
      <c r="EH483" s="115">
        <v>25</v>
      </c>
      <c r="EI483" s="128" t="s">
        <v>195</v>
      </c>
      <c r="EJ483" s="121">
        <v>24</v>
      </c>
      <c r="EK483" s="121">
        <v>0</v>
      </c>
      <c r="EL483" s="162">
        <v>15.883999999999999</v>
      </c>
      <c r="EM483" s="142">
        <v>19</v>
      </c>
      <c r="EN483" s="119">
        <v>0</v>
      </c>
      <c r="EO483" s="115">
        <v>23</v>
      </c>
      <c r="EP483" s="115">
        <v>969.52908587257627</v>
      </c>
      <c r="EQ483" s="115">
        <v>67</v>
      </c>
      <c r="ER483" s="115">
        <v>7.6</v>
      </c>
      <c r="ES483" s="115">
        <v>50</v>
      </c>
      <c r="ET483" s="150">
        <v>0.35185185185185186</v>
      </c>
      <c r="EU483" s="145">
        <f t="shared" si="400"/>
        <v>18</v>
      </c>
      <c r="EV483" s="115">
        <f t="shared" si="380"/>
        <v>23</v>
      </c>
      <c r="EW483" s="115">
        <f t="shared" si="380"/>
        <v>33</v>
      </c>
      <c r="EX483" s="115">
        <f t="shared" si="380"/>
        <v>22</v>
      </c>
      <c r="EY483" s="115" t="str">
        <f t="shared" si="357"/>
        <v>Постоянный</v>
      </c>
      <c r="EZ483" s="115">
        <f t="shared" si="357"/>
        <v>24</v>
      </c>
      <c r="FA483" s="115">
        <f t="shared" si="357"/>
        <v>0</v>
      </c>
      <c r="FB483" s="149">
        <f t="shared" si="345"/>
        <v>16.72</v>
      </c>
      <c r="FC483" s="142">
        <f t="shared" si="345"/>
        <v>20</v>
      </c>
      <c r="FD483" s="119">
        <f t="shared" si="345"/>
        <v>0</v>
      </c>
      <c r="FE483" s="121">
        <f t="shared" si="344"/>
        <v>23</v>
      </c>
      <c r="FF483" s="121">
        <f t="shared" si="347"/>
        <v>938.99521531100481</v>
      </c>
      <c r="FG483" s="121">
        <f t="shared" si="381"/>
        <v>70</v>
      </c>
      <c r="FH483" s="121">
        <f t="shared" si="358"/>
        <v>7.3</v>
      </c>
      <c r="FI483" s="121">
        <f t="shared" si="355"/>
        <v>47</v>
      </c>
      <c r="FJ483" s="144">
        <f t="shared" si="382"/>
        <v>0.35087719298245612</v>
      </c>
      <c r="FK483" s="132">
        <f t="shared" si="383"/>
        <v>0</v>
      </c>
      <c r="FL483" s="115">
        <f t="shared" si="383"/>
        <v>-3</v>
      </c>
      <c r="FM483" s="115">
        <f t="shared" si="383"/>
        <v>-3</v>
      </c>
      <c r="FN483" s="115">
        <f t="shared" si="371"/>
        <v>-3</v>
      </c>
      <c r="FO483" s="115">
        <f t="shared" si="354"/>
        <v>0</v>
      </c>
      <c r="FP483" s="115">
        <f t="shared" si="354"/>
        <v>0</v>
      </c>
      <c r="FQ483" s="149">
        <f t="shared" si="354"/>
        <v>0.8360000000000003</v>
      </c>
      <c r="FR483" s="142">
        <f t="shared" si="354"/>
        <v>1</v>
      </c>
      <c r="FS483" s="119">
        <f t="shared" si="354"/>
        <v>0</v>
      </c>
      <c r="FT483" s="121">
        <f t="shared" si="353"/>
        <v>0</v>
      </c>
      <c r="FU483" s="121">
        <f t="shared" si="384"/>
        <v>3</v>
      </c>
      <c r="FV483" s="121">
        <f t="shared" si="384"/>
        <v>-0.29999999999999982</v>
      </c>
      <c r="FW483" s="121">
        <f t="shared" si="385"/>
        <v>-30.533870561571462</v>
      </c>
      <c r="FX483" s="121">
        <f t="shared" si="401"/>
        <v>-3</v>
      </c>
      <c r="FY483" s="144">
        <f t="shared" si="386"/>
        <v>-9.746588693957392E-4</v>
      </c>
      <c r="FZ483" s="145"/>
      <c r="GA483" s="131"/>
      <c r="GB483" s="145" t="s">
        <v>204</v>
      </c>
      <c r="GC483" s="131" t="s">
        <v>1767</v>
      </c>
      <c r="GD483" s="997" t="s">
        <v>416</v>
      </c>
      <c r="GE483" s="1004" t="s">
        <v>204</v>
      </c>
      <c r="GF483" s="1004">
        <v>6.6879999999999988</v>
      </c>
      <c r="GG483" s="1004"/>
      <c r="GH483" s="1004">
        <v>0</v>
      </c>
      <c r="GI483" s="145" t="s">
        <v>199</v>
      </c>
      <c r="GJ483" s="996">
        <v>-5.8520000000000003</v>
      </c>
      <c r="GK483" s="145"/>
      <c r="GL483" s="996">
        <v>0</v>
      </c>
      <c r="GM483" s="1005" t="s">
        <v>204</v>
      </c>
      <c r="GN483" s="996">
        <v>-6.6880000000000006</v>
      </c>
      <c r="GO483" s="1006"/>
      <c r="GP483" s="996">
        <v>0</v>
      </c>
      <c r="GQ483" s="1006"/>
      <c r="GR483" s="996">
        <v>0.83600000000000207</v>
      </c>
      <c r="GS483" s="1006" t="s">
        <v>204</v>
      </c>
      <c r="GT483" s="996">
        <v>3.1768000000000001</v>
      </c>
      <c r="GU483" s="1006" t="s">
        <v>199</v>
      </c>
      <c r="GV483" s="996">
        <v>3.4359599999999979</v>
      </c>
      <c r="GW483" s="1006"/>
      <c r="GX483" s="996">
        <v>0</v>
      </c>
      <c r="GY483" s="1006"/>
      <c r="GZ483" s="996">
        <v>0</v>
      </c>
      <c r="HA483" s="1006" t="s">
        <v>199</v>
      </c>
      <c r="HB483" s="996">
        <v>1.6636399999999973</v>
      </c>
      <c r="HC483" s="1006"/>
      <c r="HD483" s="996">
        <v>0.190608000000001</v>
      </c>
      <c r="HE483" s="1006" t="s">
        <v>204</v>
      </c>
      <c r="HF483" s="996">
        <v>1.4725972800000005</v>
      </c>
      <c r="HG483" s="1006"/>
      <c r="HH483" s="996">
        <v>0</v>
      </c>
      <c r="HI483" s="1006" t="s">
        <v>204</v>
      </c>
      <c r="HJ483" s="996">
        <v>1.1791947200000017</v>
      </c>
      <c r="HK483" s="1006"/>
      <c r="HL483" s="996">
        <v>0</v>
      </c>
      <c r="HM483" s="1006"/>
      <c r="HN483" s="996">
        <v>0</v>
      </c>
      <c r="HO483" s="1006" t="s">
        <v>199</v>
      </c>
      <c r="HP483" s="996">
        <v>-3.0788124400000019</v>
      </c>
      <c r="HQ483" s="1006" t="s">
        <v>199</v>
      </c>
      <c r="HR483" s="996">
        <v>2.2279734400000031</v>
      </c>
      <c r="HS483" s="1006" t="s">
        <v>204</v>
      </c>
      <c r="HT483" s="996">
        <v>1.8555178839999975</v>
      </c>
      <c r="HU483" s="1006" t="s">
        <v>206</v>
      </c>
      <c r="HV483" s="996">
        <v>-2.1917988840000007</v>
      </c>
      <c r="HW483" s="1006"/>
      <c r="HX483" s="996">
        <v>-0.3218441159999994</v>
      </c>
      <c r="HY483" s="1006"/>
      <c r="HZ483" s="996">
        <v>0</v>
      </c>
      <c r="IA483" s="1006"/>
      <c r="IB483" s="996">
        <v>0</v>
      </c>
      <c r="IC483" s="1006" t="s">
        <v>221</v>
      </c>
      <c r="ID483" s="996">
        <v>-6.470441868</v>
      </c>
      <c r="IE483" s="1006" t="s">
        <v>199</v>
      </c>
      <c r="IF483" s="996">
        <v>8.6460323840000015</v>
      </c>
      <c r="IG483" s="1006"/>
      <c r="IH483" s="996">
        <v>0</v>
      </c>
      <c r="II483" s="1006"/>
      <c r="IJ483" s="996">
        <v>0.75958959999999998</v>
      </c>
      <c r="IK483" s="1006" t="s">
        <v>203</v>
      </c>
      <c r="IL483" s="996">
        <v>-5.6062160000000016</v>
      </c>
      <c r="IM483" s="1006" t="s">
        <v>204</v>
      </c>
      <c r="IN483" s="996">
        <v>1.2540000000000013</v>
      </c>
      <c r="IO483" s="1006" t="s">
        <v>204</v>
      </c>
      <c r="IP483" s="996">
        <v>-7.6076000000000015</v>
      </c>
      <c r="IQ483" s="1006" t="s">
        <v>199</v>
      </c>
      <c r="IR483" s="996">
        <v>-8.8950400000000016</v>
      </c>
      <c r="IS483" s="1006"/>
      <c r="IT483" s="996">
        <v>0</v>
      </c>
      <c r="IU483" s="1006" t="s">
        <v>203</v>
      </c>
      <c r="IV483" s="996">
        <v>8.3098400000000048</v>
      </c>
      <c r="IW483" s="1006" t="s">
        <v>25</v>
      </c>
      <c r="IX483" s="996">
        <v>24.8</v>
      </c>
      <c r="IY483" s="1006"/>
      <c r="IZ483" s="996"/>
      <c r="JA483" s="1006"/>
      <c r="JB483" s="996"/>
      <c r="JC483" s="1006"/>
      <c r="JD483" s="996"/>
      <c r="JE483" s="1006"/>
      <c r="JF483" s="996"/>
      <c r="JG483" s="1006"/>
      <c r="JH483" s="996"/>
      <c r="JI483" s="1006"/>
      <c r="JJ483" s="996"/>
      <c r="JK483" s="1007"/>
      <c r="JL483" s="1007"/>
      <c r="JM483" s="1007"/>
      <c r="JN483" s="1007"/>
      <c r="JO483" s="1008"/>
      <c r="JP483" s="1007"/>
      <c r="JQ483" s="1008"/>
      <c r="JR483" s="1007"/>
      <c r="JS483" s="1008"/>
      <c r="JT483" s="1007"/>
      <c r="JU483" s="1008"/>
      <c r="JV483" s="1007"/>
      <c r="JW483" s="1008"/>
      <c r="JX483" s="1007"/>
      <c r="JY483" s="1008"/>
      <c r="JZ483" s="1007"/>
      <c r="KA483" s="1008"/>
      <c r="KB483" s="1007"/>
      <c r="KC483" s="1008"/>
      <c r="KD483" s="1007"/>
      <c r="KE483" s="1008"/>
      <c r="KF483" s="1007"/>
      <c r="KG483" s="1008"/>
      <c r="KH483" s="1007"/>
      <c r="KI483" s="1008"/>
      <c r="KJ483" s="1007"/>
      <c r="KK483" s="1008"/>
      <c r="KL483" s="1007"/>
      <c r="KM483" s="1008"/>
      <c r="KN483" s="1007"/>
      <c r="KO483" s="1008"/>
      <c r="KP483" s="1007"/>
      <c r="KQ483" s="1008"/>
      <c r="KR483" s="1007"/>
      <c r="KS483" s="1008"/>
      <c r="KT483" s="1007"/>
      <c r="KU483" s="1008"/>
      <c r="KV483" s="1007"/>
      <c r="KW483" s="1008"/>
      <c r="KX483" s="1007"/>
      <c r="KY483" s="1008"/>
      <c r="KZ483" s="1007"/>
      <c r="LA483" s="1008"/>
      <c r="LB483" s="1007"/>
      <c r="LC483" s="1008"/>
      <c r="LD483" s="1007"/>
      <c r="LE483" s="1008"/>
      <c r="LF483" s="1007"/>
      <c r="LG483" s="1008"/>
      <c r="LH483" s="1007"/>
      <c r="LI483" s="1008"/>
      <c r="LJ483" s="1007"/>
      <c r="LK483" s="1008"/>
      <c r="LL483" s="1007"/>
      <c r="LM483" s="1008"/>
      <c r="LN483" s="1007"/>
      <c r="LO483" s="1008"/>
      <c r="LP483" s="1007"/>
      <c r="LQ483" s="1008"/>
      <c r="LR483" s="1007"/>
      <c r="LS483" s="1008"/>
      <c r="LT483" s="1007"/>
      <c r="LU483" s="1008"/>
      <c r="LV483" s="1007"/>
      <c r="LW483" s="1008"/>
      <c r="LX483" s="1007"/>
      <c r="LY483" s="1009"/>
      <c r="LZ483" s="1010"/>
      <c r="MA483" s="1011"/>
      <c r="MB483" s="1012"/>
      <c r="MC483" s="995"/>
      <c r="MD483" s="996"/>
      <c r="ME483" s="997" t="s">
        <v>416</v>
      </c>
      <c r="MF483" s="997"/>
      <c r="MG483" s="998"/>
      <c r="NR483" s="1000"/>
      <c r="NS483" s="1000"/>
      <c r="NT483" s="1001"/>
      <c r="NU483" s="1000"/>
      <c r="NV483" s="1001"/>
      <c r="NX483" s="1002"/>
      <c r="NZ483" s="1001"/>
      <c r="OA483" s="1001"/>
      <c r="OC483" s="1003"/>
      <c r="OD483" s="1003"/>
      <c r="OE483" s="1001"/>
      <c r="OF483" s="1003"/>
      <c r="OG483" s="1003"/>
      <c r="QX483" s="1000">
        <f>CN483-CA483</f>
        <v>24</v>
      </c>
      <c r="ASU483" s="999" t="s">
        <v>208</v>
      </c>
    </row>
    <row r="484" spans="1:466 1191:1191" ht="21" customHeight="1" x14ac:dyDescent="0.25">
      <c r="A484" s="982">
        <f t="shared" si="372"/>
        <v>1572</v>
      </c>
      <c r="B484" s="124">
        <f>SUBTOTAL(103,$J$29:J484)</f>
        <v>456</v>
      </c>
      <c r="C484" s="126">
        <v>45068</v>
      </c>
      <c r="D484" s="124" t="s">
        <v>176</v>
      </c>
      <c r="E484" s="127" t="s">
        <v>177</v>
      </c>
      <c r="F484" s="128" t="s">
        <v>177</v>
      </c>
      <c r="G484" s="127" t="s">
        <v>178</v>
      </c>
      <c r="H484" s="127" t="s">
        <v>408</v>
      </c>
      <c r="I484" s="127" t="s">
        <v>975</v>
      </c>
      <c r="J484" s="152">
        <v>1572</v>
      </c>
      <c r="K484" s="127" t="s">
        <v>1759</v>
      </c>
      <c r="L484" s="130">
        <v>44005</v>
      </c>
      <c r="M484" s="127" t="s">
        <v>230</v>
      </c>
      <c r="N484" s="127" t="s">
        <v>231</v>
      </c>
      <c r="O484" s="127" t="s">
        <v>185</v>
      </c>
      <c r="P484" s="127" t="s">
        <v>186</v>
      </c>
      <c r="Q484" s="85" t="str">
        <f t="shared" si="367"/>
        <v/>
      </c>
      <c r="R484" s="130"/>
      <c r="S484" s="128"/>
      <c r="T484" s="131"/>
      <c r="U484" s="132">
        <v>203</v>
      </c>
      <c r="V484" s="121">
        <v>218.2</v>
      </c>
      <c r="W484" s="116">
        <v>0.98</v>
      </c>
      <c r="X484" s="116">
        <v>1.66</v>
      </c>
      <c r="Y484" s="116">
        <f t="shared" si="346"/>
        <v>0.98</v>
      </c>
      <c r="Z484" s="133">
        <v>1.454</v>
      </c>
      <c r="AA484" s="133">
        <v>0.83599999999999997</v>
      </c>
      <c r="AB484" s="133">
        <v>0.72</v>
      </c>
      <c r="AC484" s="121">
        <v>34.299999999999997</v>
      </c>
      <c r="AD484" s="134">
        <v>1.17</v>
      </c>
      <c r="AE484" s="124">
        <v>177.8</v>
      </c>
      <c r="AF484" s="128">
        <v>9.19</v>
      </c>
      <c r="AG484" s="128">
        <v>2302</v>
      </c>
      <c r="AH484" s="127">
        <v>2908</v>
      </c>
      <c r="AI484" s="127">
        <v>2908</v>
      </c>
      <c r="AJ484" s="135"/>
      <c r="AK484" s="128"/>
      <c r="AL484" s="131"/>
      <c r="AM484" s="124" t="s">
        <v>232</v>
      </c>
      <c r="AN484" s="136" t="s">
        <v>1768</v>
      </c>
      <c r="AO484" s="137">
        <v>41.04</v>
      </c>
      <c r="AP484" s="128">
        <v>2302</v>
      </c>
      <c r="AQ484" s="128">
        <v>447</v>
      </c>
      <c r="AR484" s="128"/>
      <c r="AS484" s="128"/>
      <c r="AT484" s="122"/>
      <c r="AU484" s="124" t="s">
        <v>189</v>
      </c>
      <c r="AV484" s="115">
        <f>VLOOKUP(J484,'[63]ТР нефть'!$J$28:$BP$638,39,0)</f>
        <v>470.00000009799999</v>
      </c>
      <c r="AW484" s="115" t="str">
        <f>VLOOKUP(J484,'[63]ТР нефть'!$J$28:$BP$638,40,0)</f>
        <v>ГК81 1/8</v>
      </c>
      <c r="AX484" s="115">
        <f>VLOOKUP(J484,'[63]ТР нефть'!$J$28:$BP$638,41,0)</f>
        <v>911.00002148399994</v>
      </c>
      <c r="AY484" s="115" t="str">
        <f>VLOOKUP(J484,'[63]ТР нефть'!$J$28:$BP$638,42,0)</f>
        <v>ГК81 1/8</v>
      </c>
      <c r="AZ484" s="115">
        <f>VLOOKUP(J484,'[63]ТР нефть'!$J$28:$BP$638,43,0)</f>
        <v>1284.0000632809999</v>
      </c>
      <c r="BA484" s="115" t="str">
        <f>VLOOKUP(J484,'[63]ТР нефть'!$J$28:$BP$638,44,0)</f>
        <v>ГК80 1/8</v>
      </c>
      <c r="BB484" s="115">
        <f>VLOOKUP(J484,'[63]ТР нефть'!$J$28:$BP$638,45,0)</f>
        <v>1586.9999871089999</v>
      </c>
      <c r="BC484" s="115" t="str">
        <f>VLOOKUP(J484,'[63]ТР нефть'!$J$28:$BP$638,46,0)</f>
        <v>ГК80 1/8</v>
      </c>
      <c r="BD484" s="115">
        <f>VLOOKUP(J484,'[63]ТР нефть'!$J$28:$BP$638,47,0)</f>
        <v>1819.999941797</v>
      </c>
      <c r="BE484" s="115" t="str">
        <f>VLOOKUP(J484,'[63]ТР нефть'!$J$28:$BP$638,48,0)</f>
        <v>ЦКсОК 5/16</v>
      </c>
      <c r="BF484" s="115" t="str">
        <f>VLOOKUP(J484,'[63]ТР нефть'!$J$28:$BP$638,49,0)</f>
        <v>-</v>
      </c>
      <c r="BG484" s="115" t="str">
        <f>VLOOKUP(J484,'[63]ТР нефть'!$J$28:$BP$638,50,0)</f>
        <v>-</v>
      </c>
      <c r="BH484" s="115">
        <f>VLOOKUP(J484,'[63]ТР нефть'!$J$28:$BP$638,51,0)</f>
        <v>1920</v>
      </c>
      <c r="BI484" s="115" t="str">
        <f>VLOOKUP(J484,'[63]ТР нефть'!$J$28:$BP$638,52,0)</f>
        <v>закрыт</v>
      </c>
      <c r="BJ484" s="115" t="str">
        <f>IF(IFERROR(VLOOKUP(J484,'[63]ТР нефть'!$J$28:$BP$638,53,0),"-")=0,"-",IFERROR(VLOOKUP(J484,'[63]ТР нефть'!$J$28:$BP$638,53,0),"-"))</f>
        <v>-</v>
      </c>
      <c r="BK484" s="138" t="str">
        <f>IF(IFERROR(VLOOKUP(J484,'[63]ТР нефть'!$J$28:$BP$638,54,0),"-")=0,"-",IFERROR(VLOOKUP(J484,'[63]ТР нефть'!$J$28:$BP$638,54,0),"-"))</f>
        <v>-</v>
      </c>
      <c r="BL484" s="138" t="str">
        <f>IF(IFERROR(VLOOKUP(J484,'[63]ТР нефть'!$J$28:$BP$638,55,0),"-")=0,"-",IFERROR(VLOOKUP(J484,'[63]ТР нефть'!$J$28:$BP$638,55,0),"-"))</f>
        <v>-</v>
      </c>
      <c r="BM484" s="138" t="str">
        <f>IF(IFERROR(VLOOKUP(J484,'[63]ТР нефть'!$J$28:$BP$638,56,0),"-")=0,"-",IFERROR(VLOOKUP(J484,'[63]ТР нефть'!$J$28:$BP$638,56,0),"-"))</f>
        <v>-</v>
      </c>
      <c r="BN484" s="138" t="str">
        <f>IF(IFERROR(VLOOKUP(J484,'[63]ТР нефть'!$J$28:$BP$638,57,0),"-")=0,"-",IFERROR(VLOOKUP(J484,'[63]ТР нефть'!$J$28:$BP$638,57,0),"-"))</f>
        <v>-</v>
      </c>
      <c r="BO484" s="115" t="str">
        <f>IF(IFERROR(VLOOKUP(J484,'[63]ТР нефть'!$J$28:$BP$638,58,0),"-")=0,"-",IFERROR(VLOOKUP(J484,'[63]ТР нефть'!$J$28:$BP$638,58,0),"-"))</f>
        <v>-</v>
      </c>
      <c r="BP484" s="115" t="str">
        <f>IF(IFERROR(VLOOKUP(J484,'[63]ТР нефть'!$J$28:$BP$638,59,0),"-")=0,"-",IFERROR(VLOOKUP(J484,'[63]ТР нефть'!$J$28:$BP$638,59,0),"-"))</f>
        <v>-</v>
      </c>
      <c r="BQ484" s="138">
        <v>2352</v>
      </c>
      <c r="BR484" s="128">
        <f>1721+140.7</f>
        <v>1861.7</v>
      </c>
      <c r="BS484" s="115">
        <f t="shared" si="388"/>
        <v>490.29999999999995</v>
      </c>
      <c r="BT484" s="128">
        <v>73</v>
      </c>
      <c r="BU484" s="128">
        <v>5.5</v>
      </c>
      <c r="BV484" s="127">
        <v>18</v>
      </c>
      <c r="BW484" s="127" t="s">
        <v>217</v>
      </c>
      <c r="BX484" s="127" t="s">
        <v>195</v>
      </c>
      <c r="BY484" s="139">
        <v>24</v>
      </c>
      <c r="BZ484" s="139">
        <v>0</v>
      </c>
      <c r="CA484" s="138">
        <v>24</v>
      </c>
      <c r="CB484" s="138">
        <v>33</v>
      </c>
      <c r="CC484" s="138">
        <v>23</v>
      </c>
      <c r="CD484" s="135">
        <v>45017</v>
      </c>
      <c r="CE484" s="138">
        <v>106</v>
      </c>
      <c r="CF484" s="138">
        <v>68</v>
      </c>
      <c r="CG484" s="138" t="str">
        <f t="shared" si="389"/>
        <v>В работе</v>
      </c>
      <c r="CH484" s="138" t="s">
        <v>235</v>
      </c>
      <c r="CI484" s="138">
        <v>6</v>
      </c>
      <c r="CJ484" s="138"/>
      <c r="CK484" s="138"/>
      <c r="CL484" s="99"/>
      <c r="CM484" s="99"/>
      <c r="CN484" s="140">
        <v>36</v>
      </c>
      <c r="CO484" s="159">
        <f t="shared" si="373"/>
        <v>15.048</v>
      </c>
      <c r="CP484" s="160">
        <v>18</v>
      </c>
      <c r="CQ484" s="161">
        <v>0</v>
      </c>
      <c r="CR484" s="138">
        <v>26</v>
      </c>
      <c r="CS484" s="139">
        <v>5.5</v>
      </c>
      <c r="CT484" s="138"/>
      <c r="CU484" s="138">
        <f t="shared" si="370"/>
        <v>20.5</v>
      </c>
      <c r="CV484" s="115">
        <f t="shared" si="368"/>
        <v>1362.3072833599149</v>
      </c>
      <c r="CW484" s="115">
        <f t="shared" si="374"/>
        <v>365.4970760233918</v>
      </c>
      <c r="CX484" s="133">
        <f t="shared" si="369"/>
        <v>0.25714285714285712</v>
      </c>
      <c r="CY484" s="116"/>
      <c r="CZ484" s="131"/>
      <c r="DA484" s="145" t="str">
        <f t="shared" si="375"/>
        <v>Газлифт</v>
      </c>
      <c r="DB484" s="146">
        <f t="shared" si="390"/>
        <v>15.048</v>
      </c>
      <c r="DC484" s="142">
        <f t="shared" si="391"/>
        <v>18</v>
      </c>
      <c r="DD484" s="119">
        <f t="shared" si="350"/>
        <v>0</v>
      </c>
      <c r="DE484" s="115">
        <f t="shared" si="392"/>
        <v>20.5</v>
      </c>
      <c r="DF484" s="121">
        <f t="shared" si="376"/>
        <v>5.5</v>
      </c>
      <c r="DG484" s="115">
        <f t="shared" si="377"/>
        <v>1362.3072833599149</v>
      </c>
      <c r="DH484" s="115">
        <f t="shared" si="378"/>
        <v>36</v>
      </c>
      <c r="DI484" s="147"/>
      <c r="DJ484" s="111"/>
      <c r="DK484" s="112">
        <v>44005.083333333336</v>
      </c>
      <c r="DL484" s="113">
        <f t="shared" ca="1" si="393"/>
        <v>1098.9166666666642</v>
      </c>
      <c r="DM484" s="114"/>
      <c r="DN484" s="114"/>
      <c r="DO484" s="114"/>
      <c r="DP484" s="114"/>
      <c r="DQ484" s="112"/>
      <c r="DR484" s="114"/>
      <c r="DS484" s="114"/>
      <c r="DT484" s="115">
        <v>44</v>
      </c>
      <c r="DU484" s="116">
        <f t="shared" si="394"/>
        <v>0.29032258064516131</v>
      </c>
      <c r="DV484" s="117">
        <f t="shared" si="395"/>
        <v>15.048</v>
      </c>
      <c r="DW484" s="118">
        <f t="shared" si="396"/>
        <v>18</v>
      </c>
      <c r="DX484" s="119">
        <f t="shared" si="379"/>
        <v>0</v>
      </c>
      <c r="DY484" s="115">
        <f t="shared" si="397"/>
        <v>20.5</v>
      </c>
      <c r="DZ484" s="117">
        <f t="shared" si="398"/>
        <v>0</v>
      </c>
      <c r="EA484" s="120">
        <f t="shared" si="398"/>
        <v>0</v>
      </c>
      <c r="EB484" s="119">
        <f t="shared" si="387"/>
        <v>0</v>
      </c>
      <c r="EC484" s="121">
        <f t="shared" si="399"/>
        <v>0</v>
      </c>
      <c r="ED484" s="122"/>
      <c r="EE484" s="145">
        <v>18</v>
      </c>
      <c r="EF484" s="115">
        <v>26</v>
      </c>
      <c r="EG484" s="115">
        <v>35</v>
      </c>
      <c r="EH484" s="115">
        <v>25</v>
      </c>
      <c r="EI484" s="128" t="s">
        <v>195</v>
      </c>
      <c r="EJ484" s="121">
        <v>24</v>
      </c>
      <c r="EK484" s="121">
        <v>0</v>
      </c>
      <c r="EL484" s="162">
        <v>13.543199999999999</v>
      </c>
      <c r="EM484" s="142">
        <v>16.2</v>
      </c>
      <c r="EN484" s="119">
        <v>0</v>
      </c>
      <c r="EO484" s="115">
        <v>26</v>
      </c>
      <c r="EP484" s="115">
        <v>1498.9072006615868</v>
      </c>
      <c r="EQ484" s="115">
        <v>65</v>
      </c>
      <c r="ER484" s="115">
        <v>5.7</v>
      </c>
      <c r="ES484" s="115">
        <v>42</v>
      </c>
      <c r="ET484" s="150">
        <v>0.25312499999999999</v>
      </c>
      <c r="EU484" s="145">
        <f t="shared" si="400"/>
        <v>18</v>
      </c>
      <c r="EV484" s="115">
        <f t="shared" si="380"/>
        <v>24</v>
      </c>
      <c r="EW484" s="115">
        <f t="shared" si="380"/>
        <v>33</v>
      </c>
      <c r="EX484" s="115">
        <f t="shared" si="380"/>
        <v>23</v>
      </c>
      <c r="EY484" s="115" t="str">
        <f t="shared" si="357"/>
        <v>Постоянный</v>
      </c>
      <c r="EZ484" s="115">
        <f t="shared" si="357"/>
        <v>24</v>
      </c>
      <c r="FA484" s="115">
        <f t="shared" si="357"/>
        <v>0</v>
      </c>
      <c r="FB484" s="149">
        <f t="shared" si="345"/>
        <v>15.048</v>
      </c>
      <c r="FC484" s="142">
        <f t="shared" si="345"/>
        <v>18</v>
      </c>
      <c r="FD484" s="119">
        <f t="shared" si="345"/>
        <v>0</v>
      </c>
      <c r="FE484" s="121">
        <f t="shared" si="344"/>
        <v>26</v>
      </c>
      <c r="FF484" s="121">
        <f t="shared" si="347"/>
        <v>1362.3072833599149</v>
      </c>
      <c r="FG484" s="121">
        <f t="shared" si="381"/>
        <v>68</v>
      </c>
      <c r="FH484" s="121">
        <f t="shared" si="358"/>
        <v>5.5</v>
      </c>
      <c r="FI484" s="121">
        <f t="shared" si="355"/>
        <v>36</v>
      </c>
      <c r="FJ484" s="144">
        <f t="shared" si="382"/>
        <v>0.25714285714285712</v>
      </c>
      <c r="FK484" s="132">
        <f t="shared" si="383"/>
        <v>0</v>
      </c>
      <c r="FL484" s="115">
        <f t="shared" si="383"/>
        <v>-2</v>
      </c>
      <c r="FM484" s="115">
        <f t="shared" si="383"/>
        <v>-2</v>
      </c>
      <c r="FN484" s="115">
        <f t="shared" si="371"/>
        <v>-2</v>
      </c>
      <c r="FO484" s="115">
        <f t="shared" si="354"/>
        <v>0</v>
      </c>
      <c r="FP484" s="115">
        <f t="shared" si="354"/>
        <v>0</v>
      </c>
      <c r="FQ484" s="149">
        <f t="shared" si="354"/>
        <v>1.5048000000000012</v>
      </c>
      <c r="FR484" s="142">
        <f t="shared" si="354"/>
        <v>1.8000000000000007</v>
      </c>
      <c r="FS484" s="119">
        <f t="shared" si="354"/>
        <v>0</v>
      </c>
      <c r="FT484" s="121">
        <f t="shared" si="353"/>
        <v>0</v>
      </c>
      <c r="FU484" s="121">
        <f t="shared" si="384"/>
        <v>3</v>
      </c>
      <c r="FV484" s="121">
        <f t="shared" si="384"/>
        <v>-0.20000000000000018</v>
      </c>
      <c r="FW484" s="121">
        <f t="shared" si="385"/>
        <v>-136.59991730167189</v>
      </c>
      <c r="FX484" s="121">
        <f t="shared" si="401"/>
        <v>-6</v>
      </c>
      <c r="FY484" s="144">
        <f t="shared" si="386"/>
        <v>4.0178571428571286E-3</v>
      </c>
      <c r="FZ484" s="145" t="s">
        <v>199</v>
      </c>
      <c r="GA484" s="131" t="s">
        <v>200</v>
      </c>
      <c r="GB484" s="145" t="s">
        <v>199</v>
      </c>
      <c r="GC484" s="151" t="s">
        <v>1762</v>
      </c>
      <c r="GD484" s="997" t="s">
        <v>416</v>
      </c>
      <c r="GE484" s="1004" t="s">
        <v>199</v>
      </c>
      <c r="GF484" s="1004">
        <v>-0.66880000000000095</v>
      </c>
      <c r="GG484" s="1004"/>
      <c r="GH484" s="1004">
        <v>0</v>
      </c>
      <c r="GI484" s="145"/>
      <c r="GJ484" s="996">
        <v>0.39292000000000016</v>
      </c>
      <c r="GK484" s="145"/>
      <c r="GL484" s="996">
        <v>0</v>
      </c>
      <c r="GM484" s="1005" t="s">
        <v>204</v>
      </c>
      <c r="GN484" s="996">
        <v>-7.9169200000000011</v>
      </c>
      <c r="GO484" s="1006"/>
      <c r="GP484" s="996">
        <v>0</v>
      </c>
      <c r="GQ484" s="1006"/>
      <c r="GR484" s="996">
        <v>0</v>
      </c>
      <c r="GS484" s="1006"/>
      <c r="GT484" s="996">
        <v>0.78834800000000271</v>
      </c>
      <c r="GU484" s="1006"/>
      <c r="GV484" s="996">
        <v>0.88365199999999788</v>
      </c>
      <c r="GW484" s="1006" t="s">
        <v>204</v>
      </c>
      <c r="GX484" s="996">
        <v>2.8591200000000008</v>
      </c>
      <c r="GY484" s="1006"/>
      <c r="GZ484" s="996">
        <v>0.91124000000000294</v>
      </c>
      <c r="HA484" s="1006" t="s">
        <v>199</v>
      </c>
      <c r="HB484" s="996">
        <v>1.290783999999995</v>
      </c>
      <c r="HC484" s="1006" t="s">
        <v>199</v>
      </c>
      <c r="HD484" s="996">
        <v>1.2502380000000013</v>
      </c>
      <c r="HE484" s="1006" t="s">
        <v>221</v>
      </c>
      <c r="HF484" s="996">
        <v>-4.5008567999999993</v>
      </c>
      <c r="HG484" s="1006" t="s">
        <v>199</v>
      </c>
      <c r="HH484" s="996">
        <v>5.1509805599999989</v>
      </c>
      <c r="HI484" s="1006"/>
      <c r="HJ484" s="996">
        <v>0</v>
      </c>
      <c r="HK484" s="1006"/>
      <c r="HL484" s="996">
        <v>0</v>
      </c>
      <c r="HM484" s="1006" t="s">
        <v>199</v>
      </c>
      <c r="HN484" s="996">
        <v>1.5252903599999996</v>
      </c>
      <c r="HO484" s="1006"/>
      <c r="HP484" s="996">
        <v>0.51455800000000096</v>
      </c>
      <c r="HQ484" s="1006"/>
      <c r="HR484" s="996">
        <v>0.76312588000000048</v>
      </c>
      <c r="HS484" s="1006" t="s">
        <v>204</v>
      </c>
      <c r="HT484" s="996">
        <v>-1.1954799999999999</v>
      </c>
      <c r="HU484" s="1006"/>
      <c r="HV484" s="996">
        <v>-0.75407200000000074</v>
      </c>
      <c r="HW484" s="1006"/>
      <c r="HX484" s="996">
        <v>0</v>
      </c>
      <c r="HY484" s="1006" t="s">
        <v>204</v>
      </c>
      <c r="HZ484" s="996">
        <v>-3.8366547999999998</v>
      </c>
      <c r="IA484" s="1006"/>
      <c r="IB484" s="996">
        <v>0</v>
      </c>
      <c r="IC484" s="1006"/>
      <c r="ID484" s="996">
        <v>0</v>
      </c>
      <c r="IE484" s="1006" t="s">
        <v>199</v>
      </c>
      <c r="IF484" s="996">
        <v>6.0966637599999984</v>
      </c>
      <c r="IG484" s="1006"/>
      <c r="IH484" s="996">
        <v>-3.7519679999999056E-2</v>
      </c>
      <c r="II484" s="1006"/>
      <c r="IJ484" s="996">
        <v>-6.2181679999998352E-2</v>
      </c>
      <c r="IK484" s="1006" t="s">
        <v>199</v>
      </c>
      <c r="IL484" s="996">
        <v>4.2367643999999993</v>
      </c>
      <c r="IM484" s="1006"/>
      <c r="IN484" s="996">
        <v>0</v>
      </c>
      <c r="IO484" s="1006"/>
      <c r="IP484" s="996">
        <v>0</v>
      </c>
      <c r="IQ484" s="1006"/>
      <c r="IR484" s="996">
        <v>0</v>
      </c>
      <c r="IS484" s="1006" t="s">
        <v>203</v>
      </c>
      <c r="IT484" s="996">
        <v>-3.8790400000000007</v>
      </c>
      <c r="IU484" s="1006" t="s">
        <v>203</v>
      </c>
      <c r="IV484" s="996">
        <v>-13.479138991999999</v>
      </c>
      <c r="IW484" s="1006"/>
      <c r="IX484" s="996"/>
      <c r="IY484" s="1006"/>
      <c r="IZ484" s="996"/>
      <c r="JA484" s="1006"/>
      <c r="JB484" s="996"/>
      <c r="JC484" s="1006"/>
      <c r="JD484" s="996"/>
      <c r="JE484" s="1006"/>
      <c r="JF484" s="996"/>
      <c r="JG484" s="1006"/>
      <c r="JH484" s="996"/>
      <c r="JI484" s="1006"/>
      <c r="JJ484" s="996"/>
      <c r="JK484" s="1007"/>
      <c r="JL484" s="1007"/>
      <c r="JM484" s="1007"/>
      <c r="JN484" s="1007"/>
      <c r="JO484" s="1008"/>
      <c r="JP484" s="1007"/>
      <c r="JQ484" s="1008"/>
      <c r="JR484" s="1007"/>
      <c r="JS484" s="1008"/>
      <c r="JT484" s="1007"/>
      <c r="JU484" s="1008"/>
      <c r="JV484" s="1007"/>
      <c r="JW484" s="1008"/>
      <c r="JX484" s="1007"/>
      <c r="JY484" s="1008"/>
      <c r="JZ484" s="1007"/>
      <c r="KA484" s="1008"/>
      <c r="KB484" s="1007"/>
      <c r="KC484" s="1008"/>
      <c r="KD484" s="1007"/>
      <c r="KE484" s="1008"/>
      <c r="KF484" s="1007"/>
      <c r="KG484" s="1008"/>
      <c r="KH484" s="1007"/>
      <c r="KI484" s="1008"/>
      <c r="KJ484" s="1007"/>
      <c r="KK484" s="1008"/>
      <c r="KL484" s="1007"/>
      <c r="KM484" s="1008"/>
      <c r="KN484" s="1007"/>
      <c r="KO484" s="1008"/>
      <c r="KP484" s="1007"/>
      <c r="KQ484" s="1008"/>
      <c r="KR484" s="1007"/>
      <c r="KS484" s="1008"/>
      <c r="KT484" s="1007"/>
      <c r="KU484" s="1008"/>
      <c r="KV484" s="1007"/>
      <c r="KW484" s="1008"/>
      <c r="KX484" s="1007"/>
      <c r="KY484" s="1008"/>
      <c r="KZ484" s="1007"/>
      <c r="LA484" s="1008"/>
      <c r="LB484" s="1007"/>
      <c r="LC484" s="1008"/>
      <c r="LD484" s="1007"/>
      <c r="LE484" s="1008"/>
      <c r="LF484" s="1007"/>
      <c r="LG484" s="1008"/>
      <c r="LH484" s="1007"/>
      <c r="LI484" s="1008"/>
      <c r="LJ484" s="1007"/>
      <c r="LK484" s="1008"/>
      <c r="LL484" s="1007"/>
      <c r="LM484" s="1008"/>
      <c r="LN484" s="1007"/>
      <c r="LO484" s="1008"/>
      <c r="LP484" s="1007"/>
      <c r="LQ484" s="1008"/>
      <c r="LR484" s="1007"/>
      <c r="LS484" s="1008"/>
      <c r="LT484" s="1007"/>
      <c r="LU484" s="1008"/>
      <c r="LV484" s="1007"/>
      <c r="LW484" s="1008"/>
      <c r="LX484" s="1007"/>
      <c r="LY484" s="1009"/>
      <c r="LZ484" s="1010"/>
      <c r="MA484" s="1011"/>
      <c r="MB484" s="1012"/>
      <c r="MC484" s="995"/>
      <c r="MD484" s="996"/>
      <c r="ME484" s="997" t="s">
        <v>416</v>
      </c>
      <c r="MF484" s="997"/>
      <c r="MG484" s="998"/>
      <c r="NR484" s="1000"/>
      <c r="NS484" s="1000"/>
      <c r="NT484" s="1001"/>
      <c r="NU484" s="1000"/>
      <c r="NV484" s="1001"/>
      <c r="NX484" s="1002"/>
      <c r="NZ484" s="1001"/>
      <c r="OA484" s="1001"/>
      <c r="OC484" s="1003"/>
      <c r="OD484" s="1003"/>
      <c r="OE484" s="1001"/>
      <c r="OF484" s="1003"/>
      <c r="OG484" s="1003"/>
      <c r="QX484" s="1000">
        <f>CN484-CA484</f>
        <v>12</v>
      </c>
      <c r="ASU484" s="999" t="s">
        <v>208</v>
      </c>
    </row>
    <row r="485" spans="1:466 1191:1191" ht="21" customHeight="1" x14ac:dyDescent="0.25">
      <c r="A485" s="982">
        <f t="shared" si="372"/>
        <v>1573</v>
      </c>
      <c r="B485" s="124">
        <f>SUBTOTAL(103,$J$29:J485)</f>
        <v>457</v>
      </c>
      <c r="C485" s="126">
        <v>45068</v>
      </c>
      <c r="D485" s="124" t="s">
        <v>176</v>
      </c>
      <c r="E485" s="127" t="s">
        <v>177</v>
      </c>
      <c r="F485" s="128" t="s">
        <v>177</v>
      </c>
      <c r="G485" s="127" t="s">
        <v>178</v>
      </c>
      <c r="H485" s="127" t="s">
        <v>421</v>
      </c>
      <c r="I485" s="127" t="s">
        <v>422</v>
      </c>
      <c r="J485" s="152">
        <v>1573</v>
      </c>
      <c r="K485" s="127" t="s">
        <v>1399</v>
      </c>
      <c r="L485" s="130">
        <v>43342</v>
      </c>
      <c r="M485" s="127" t="s">
        <v>230</v>
      </c>
      <c r="N485" s="127" t="s">
        <v>231</v>
      </c>
      <c r="O485" s="127" t="s">
        <v>185</v>
      </c>
      <c r="P485" s="127" t="s">
        <v>186</v>
      </c>
      <c r="Q485" s="85" t="str">
        <f t="shared" si="367"/>
        <v/>
      </c>
      <c r="R485" s="130"/>
      <c r="S485" s="128"/>
      <c r="T485" s="131"/>
      <c r="U485" s="132">
        <v>203</v>
      </c>
      <c r="V485" s="121">
        <v>218.2</v>
      </c>
      <c r="W485" s="116">
        <v>0.98</v>
      </c>
      <c r="X485" s="116">
        <v>1.66</v>
      </c>
      <c r="Y485" s="116">
        <f t="shared" si="346"/>
        <v>0.99174077695708462</v>
      </c>
      <c r="Z485" s="133">
        <v>1.454</v>
      </c>
      <c r="AA485" s="133">
        <v>0.83599999999999997</v>
      </c>
      <c r="AB485" s="133">
        <v>0.72</v>
      </c>
      <c r="AC485" s="121">
        <v>34.299999999999997</v>
      </c>
      <c r="AD485" s="134">
        <v>1.17</v>
      </c>
      <c r="AE485" s="124">
        <v>177.8</v>
      </c>
      <c r="AF485" s="128">
        <v>9.19</v>
      </c>
      <c r="AG485" s="128">
        <v>2204.6999999999998</v>
      </c>
      <c r="AH485" s="127" t="s">
        <v>1769</v>
      </c>
      <c r="AI485" s="127" t="s">
        <v>1769</v>
      </c>
      <c r="AJ485" s="135"/>
      <c r="AK485" s="128"/>
      <c r="AL485" s="131"/>
      <c r="AM485" s="124" t="s">
        <v>232</v>
      </c>
      <c r="AN485" s="136" t="s">
        <v>1770</v>
      </c>
      <c r="AO485" s="137" t="s">
        <v>1771</v>
      </c>
      <c r="AP485" s="128" t="s">
        <v>1772</v>
      </c>
      <c r="AQ485" s="128">
        <v>321.89999999999998</v>
      </c>
      <c r="AR485" s="128"/>
      <c r="AS485" s="128"/>
      <c r="AT485" s="122"/>
      <c r="AU485" s="124" t="s">
        <v>189</v>
      </c>
      <c r="AV485" s="115">
        <f>VLOOKUP(J485,'[63]ТР нефть'!$J$28:$BP$638,39,0)</f>
        <v>540.00000644500005</v>
      </c>
      <c r="AW485" s="115" t="str">
        <f>VLOOKUP(J485,'[63]ТР нефть'!$J$28:$BP$638,40,0)</f>
        <v>ГП</v>
      </c>
      <c r="AX485" s="115">
        <f>VLOOKUP(J485,'[63]ТР нефть'!$J$28:$BP$638,41,0)</f>
        <v>1014.999999023</v>
      </c>
      <c r="AY485" s="115" t="str">
        <f>VLOOKUP(J485,'[63]ТР нефть'!$J$28:$BP$638,42,0)</f>
        <v>ГП</v>
      </c>
      <c r="AZ485" s="115">
        <f>VLOOKUP(J485,'[63]ТР нефть'!$J$28:$BP$638,43,0)</f>
        <v>1385.0000378909999</v>
      </c>
      <c r="BA485" s="115" t="str">
        <f>VLOOKUP(J485,'[63]ТР нефть'!$J$28:$BP$638,44,0)</f>
        <v>ГК 85 1/8</v>
      </c>
      <c r="BB485" s="115">
        <f>VLOOKUP(J485,'[63]ТР нефть'!$J$28:$BP$638,45,0)</f>
        <v>1660.0000335939999</v>
      </c>
      <c r="BC485" s="115" t="str">
        <f>VLOOKUP(J485,'[63]ТР нефть'!$J$28:$BP$638,46,0)</f>
        <v>ГК 84 1/8</v>
      </c>
      <c r="BD485" s="115">
        <f>VLOOKUP(J485,'[63]ТР нефть'!$J$28:$BP$638,47,0)</f>
        <v>1915.0000593750001</v>
      </c>
      <c r="BE485" s="115" t="str">
        <f>VLOOKUP(J485,'[63]ТР нефть'!$J$28:$BP$638,48,0)</f>
        <v>ЦКсОК 5/16</v>
      </c>
      <c r="BF485" s="115" t="str">
        <f>VLOOKUP(J485,'[63]ТР нефть'!$J$28:$BP$638,49,0)</f>
        <v>-</v>
      </c>
      <c r="BG485" s="115" t="str">
        <f>VLOOKUP(J485,'[63]ТР нефть'!$J$28:$BP$638,50,0)</f>
        <v>-</v>
      </c>
      <c r="BH485" s="115">
        <f>VLOOKUP(J485,'[63]ТР нефть'!$J$28:$BP$638,51,0)</f>
        <v>1930</v>
      </c>
      <c r="BI485" s="115" t="str">
        <f>VLOOKUP(J485,'[63]ТР нефть'!$J$28:$BP$638,52,0)</f>
        <v>закрыт</v>
      </c>
      <c r="BJ485" s="115" t="str">
        <f>IF(IFERROR(VLOOKUP(J485,'[63]ТР нефть'!$J$28:$BP$638,53,0),"-")=0,"-",IFERROR(VLOOKUP(J485,'[63]ТР нефть'!$J$28:$BP$638,53,0),"-"))</f>
        <v>-</v>
      </c>
      <c r="BK485" s="138" t="str">
        <f>IF(IFERROR(VLOOKUP(J485,'[63]ТР нефть'!$J$28:$BP$638,54,0),"-")=0,"-",IFERROR(VLOOKUP(J485,'[63]ТР нефть'!$J$28:$BP$638,54,0),"-"))</f>
        <v>-</v>
      </c>
      <c r="BL485" s="138" t="str">
        <f>IF(IFERROR(VLOOKUP(J485,'[63]ТР нефть'!$J$28:$BP$638,55,0),"-")=0,"-",IFERROR(VLOOKUP(J485,'[63]ТР нефть'!$J$28:$BP$638,55,0),"-"))</f>
        <v>-</v>
      </c>
      <c r="BM485" s="138" t="str">
        <f>IF(IFERROR(VLOOKUP(J485,'[63]ТР нефть'!$J$28:$BP$638,56,0),"-")=0,"-",IFERROR(VLOOKUP(J485,'[63]ТР нефть'!$J$28:$BP$638,56,0),"-"))</f>
        <v>-</v>
      </c>
      <c r="BN485" s="138" t="str">
        <f>IF(IFERROR(VLOOKUP(J485,'[63]ТР нефть'!$J$28:$BP$638,57,0),"-")=0,"-",IFERROR(VLOOKUP(J485,'[63]ТР нефть'!$J$28:$BP$638,57,0),"-"))</f>
        <v>-</v>
      </c>
      <c r="BO485" s="115" t="str">
        <f>IF(IFERROR(VLOOKUP(J485,'[63]ТР нефть'!$J$28:$BP$638,58,0),"-")=0,"-",IFERROR(VLOOKUP(J485,'[63]ТР нефть'!$J$28:$BP$638,58,0),"-"))</f>
        <v>-</v>
      </c>
      <c r="BP485" s="115" t="str">
        <f>IF(IFERROR(VLOOKUP(J485,'[63]ТР нефть'!$J$28:$BP$638,59,0),"-")=0,"-",IFERROR(VLOOKUP(J485,'[63]ТР нефть'!$J$28:$BP$638,59,0),"-"))</f>
        <v>-</v>
      </c>
      <c r="BQ485" s="138">
        <v>1952</v>
      </c>
      <c r="BR485" s="128">
        <v>1784.73</v>
      </c>
      <c r="BS485" s="115">
        <f t="shared" si="388"/>
        <v>167.26999999999998</v>
      </c>
      <c r="BT485" s="128">
        <v>73</v>
      </c>
      <c r="BU485" s="128">
        <v>5.5</v>
      </c>
      <c r="BV485" s="127">
        <v>65</v>
      </c>
      <c r="BW485" s="127" t="s">
        <v>217</v>
      </c>
      <c r="BX485" s="127" t="s">
        <v>195</v>
      </c>
      <c r="BY485" s="139">
        <v>24</v>
      </c>
      <c r="BZ485" s="139">
        <v>0</v>
      </c>
      <c r="CA485" s="138">
        <v>21</v>
      </c>
      <c r="CB485" s="138">
        <v>45</v>
      </c>
      <c r="CC485" s="138">
        <v>20</v>
      </c>
      <c r="CD485" s="135">
        <v>45017</v>
      </c>
      <c r="CE485" s="138">
        <v>89.8</v>
      </c>
      <c r="CF485" s="138">
        <v>72</v>
      </c>
      <c r="CG485" s="138" t="str">
        <f t="shared" si="389"/>
        <v/>
      </c>
      <c r="CH485" s="138" t="s">
        <v>197</v>
      </c>
      <c r="CI485" s="127">
        <v>6</v>
      </c>
      <c r="CJ485" s="138"/>
      <c r="CK485" s="138"/>
      <c r="CL485" s="99"/>
      <c r="CM485" s="99"/>
      <c r="CN485" s="140">
        <v>55</v>
      </c>
      <c r="CO485" s="159">
        <f t="shared" si="373"/>
        <v>4.0591980000000003</v>
      </c>
      <c r="CP485" s="160">
        <v>5</v>
      </c>
      <c r="CQ485" s="161">
        <v>2.89</v>
      </c>
      <c r="CR485" s="138">
        <v>9</v>
      </c>
      <c r="CS485" s="138">
        <v>3</v>
      </c>
      <c r="CT485" s="138"/>
      <c r="CU485" s="138">
        <f t="shared" si="370"/>
        <v>6</v>
      </c>
      <c r="CV485" s="115">
        <f t="shared" si="368"/>
        <v>1478.1244965138433</v>
      </c>
      <c r="CW485" s="115">
        <f t="shared" si="374"/>
        <v>709.8022987657248</v>
      </c>
      <c r="CX485" s="133">
        <f t="shared" si="369"/>
        <v>0.14367816091954025</v>
      </c>
      <c r="CY485" s="116"/>
      <c r="CZ485" s="131"/>
      <c r="DA485" s="145" t="str">
        <f t="shared" si="375"/>
        <v>Газлифт</v>
      </c>
      <c r="DB485" s="146">
        <f t="shared" si="390"/>
        <v>4.0591980000000003</v>
      </c>
      <c r="DC485" s="142">
        <f t="shared" si="391"/>
        <v>5</v>
      </c>
      <c r="DD485" s="119">
        <f t="shared" si="350"/>
        <v>2.89</v>
      </c>
      <c r="DE485" s="115">
        <f t="shared" si="392"/>
        <v>6</v>
      </c>
      <c r="DF485" s="121">
        <f t="shared" si="376"/>
        <v>3</v>
      </c>
      <c r="DG485" s="115">
        <f t="shared" si="377"/>
        <v>1478.1244965138433</v>
      </c>
      <c r="DH485" s="115">
        <f t="shared" si="378"/>
        <v>55</v>
      </c>
      <c r="DI485" s="147"/>
      <c r="DJ485" s="111">
        <v>43530</v>
      </c>
      <c r="DK485" s="112">
        <v>43342.083333333336</v>
      </c>
      <c r="DL485" s="113">
        <f t="shared" ca="1" si="393"/>
        <v>1761.9166666666642</v>
      </c>
      <c r="DM485" s="114"/>
      <c r="DN485" s="114"/>
      <c r="DO485" s="114"/>
      <c r="DP485" s="114"/>
      <c r="DQ485" s="112">
        <v>43342</v>
      </c>
      <c r="DR485" s="114" t="s">
        <v>324</v>
      </c>
      <c r="DS485" s="114"/>
      <c r="DT485" s="115">
        <v>50</v>
      </c>
      <c r="DU485" s="116">
        <f t="shared" si="394"/>
        <v>0.13938284968128792</v>
      </c>
      <c r="DV485" s="117">
        <f t="shared" si="395"/>
        <v>4.5036293738982529</v>
      </c>
      <c r="DW485" s="118">
        <f t="shared" si="396"/>
        <v>5.5474374173152592</v>
      </c>
      <c r="DX485" s="119">
        <f t="shared" si="379"/>
        <v>2.89</v>
      </c>
      <c r="DY485" s="115">
        <f t="shared" si="397"/>
        <v>6.6569249007783098</v>
      </c>
      <c r="DZ485" s="117">
        <f t="shared" si="398"/>
        <v>0.4444313738982526</v>
      </c>
      <c r="EA485" s="120">
        <f t="shared" si="398"/>
        <v>0.54743741731525919</v>
      </c>
      <c r="EB485" s="119">
        <f t="shared" si="387"/>
        <v>0</v>
      </c>
      <c r="EC485" s="121">
        <f t="shared" si="399"/>
        <v>0.65692490077830978</v>
      </c>
      <c r="ED485" s="122"/>
      <c r="EE485" s="145">
        <v>65</v>
      </c>
      <c r="EF485" s="115">
        <v>21</v>
      </c>
      <c r="EG485" s="115">
        <v>45</v>
      </c>
      <c r="EH485" s="115">
        <v>20</v>
      </c>
      <c r="EI485" s="128" t="s">
        <v>195</v>
      </c>
      <c r="EJ485" s="121">
        <v>24</v>
      </c>
      <c r="EK485" s="121">
        <v>0</v>
      </c>
      <c r="EL485" s="162">
        <v>4.0591980000000003</v>
      </c>
      <c r="EM485" s="142">
        <v>5</v>
      </c>
      <c r="EN485" s="119">
        <v>2.89</v>
      </c>
      <c r="EO485" s="115">
        <v>9</v>
      </c>
      <c r="EP485" s="115">
        <v>1478.1244965138433</v>
      </c>
      <c r="EQ485" s="115">
        <v>72</v>
      </c>
      <c r="ER485" s="115">
        <v>3</v>
      </c>
      <c r="ES485" s="115">
        <v>55</v>
      </c>
      <c r="ET485" s="150">
        <v>0.14367816091954025</v>
      </c>
      <c r="EU485" s="145">
        <f t="shared" si="400"/>
        <v>65</v>
      </c>
      <c r="EV485" s="115">
        <f t="shared" si="380"/>
        <v>21</v>
      </c>
      <c r="EW485" s="115">
        <f t="shared" si="380"/>
        <v>45</v>
      </c>
      <c r="EX485" s="115">
        <f t="shared" si="380"/>
        <v>20</v>
      </c>
      <c r="EY485" s="115" t="str">
        <f t="shared" si="357"/>
        <v>Постоянный</v>
      </c>
      <c r="EZ485" s="115">
        <f t="shared" si="357"/>
        <v>24</v>
      </c>
      <c r="FA485" s="115">
        <f t="shared" si="357"/>
        <v>0</v>
      </c>
      <c r="FB485" s="149">
        <f t="shared" si="345"/>
        <v>4.0591980000000003</v>
      </c>
      <c r="FC485" s="142">
        <f t="shared" si="345"/>
        <v>5</v>
      </c>
      <c r="FD485" s="119">
        <f t="shared" si="345"/>
        <v>2.89</v>
      </c>
      <c r="FE485" s="121">
        <f t="shared" si="344"/>
        <v>9</v>
      </c>
      <c r="FF485" s="121">
        <f t="shared" si="347"/>
        <v>1478.1244965138433</v>
      </c>
      <c r="FG485" s="121">
        <f t="shared" si="381"/>
        <v>72</v>
      </c>
      <c r="FH485" s="121">
        <f t="shared" si="358"/>
        <v>3</v>
      </c>
      <c r="FI485" s="121">
        <f t="shared" si="355"/>
        <v>55</v>
      </c>
      <c r="FJ485" s="144">
        <f t="shared" si="382"/>
        <v>0.14367816091954025</v>
      </c>
      <c r="FK485" s="132">
        <f t="shared" si="383"/>
        <v>0</v>
      </c>
      <c r="FL485" s="115">
        <f t="shared" si="383"/>
        <v>0</v>
      </c>
      <c r="FM485" s="115">
        <f t="shared" si="383"/>
        <v>0</v>
      </c>
      <c r="FN485" s="115">
        <f t="shared" si="371"/>
        <v>0</v>
      </c>
      <c r="FO485" s="115">
        <f t="shared" si="354"/>
        <v>0</v>
      </c>
      <c r="FP485" s="115">
        <f t="shared" si="354"/>
        <v>0</v>
      </c>
      <c r="FQ485" s="149">
        <f t="shared" si="354"/>
        <v>0</v>
      </c>
      <c r="FR485" s="142">
        <f t="shared" si="354"/>
        <v>0</v>
      </c>
      <c r="FS485" s="119">
        <f t="shared" si="354"/>
        <v>0</v>
      </c>
      <c r="FT485" s="121">
        <f t="shared" si="353"/>
        <v>0</v>
      </c>
      <c r="FU485" s="121">
        <f t="shared" si="384"/>
        <v>0</v>
      </c>
      <c r="FV485" s="121">
        <f t="shared" si="384"/>
        <v>0</v>
      </c>
      <c r="FW485" s="121">
        <f t="shared" si="385"/>
        <v>0</v>
      </c>
      <c r="FX485" s="121">
        <f t="shared" si="401"/>
        <v>0</v>
      </c>
      <c r="FY485" s="144">
        <f t="shared" si="386"/>
        <v>0</v>
      </c>
      <c r="FZ485" s="145"/>
      <c r="GA485" s="151" t="s">
        <v>559</v>
      </c>
      <c r="GB485" s="145"/>
      <c r="GC485" s="1039" t="s">
        <v>1482</v>
      </c>
      <c r="GD485" s="997" t="s">
        <v>416</v>
      </c>
      <c r="GE485" s="1004"/>
      <c r="GF485" s="1004">
        <v>0</v>
      </c>
      <c r="GG485" s="1004"/>
      <c r="GH485" s="1004">
        <v>0</v>
      </c>
      <c r="GI485" s="145"/>
      <c r="GJ485" s="996">
        <v>1.0005916800000003</v>
      </c>
      <c r="GK485" s="145"/>
      <c r="GL485" s="996">
        <v>0</v>
      </c>
      <c r="GM485" s="1005"/>
      <c r="GN485" s="996">
        <v>0</v>
      </c>
      <c r="GO485" s="1006"/>
      <c r="GP485" s="996">
        <v>0</v>
      </c>
      <c r="GQ485" s="1006"/>
      <c r="GR485" s="996">
        <v>0</v>
      </c>
      <c r="GS485" s="1006"/>
      <c r="GT485" s="996">
        <v>0</v>
      </c>
      <c r="GU485" s="1006" t="s">
        <v>203</v>
      </c>
      <c r="GV485" s="996">
        <v>-5.5193020959999997</v>
      </c>
      <c r="GW485" s="1006"/>
      <c r="GX485" s="996">
        <v>0</v>
      </c>
      <c r="GY485" s="1006" t="s">
        <v>25</v>
      </c>
      <c r="GZ485" s="996">
        <v>3.4606729959999996</v>
      </c>
      <c r="HA485" s="1006"/>
      <c r="HB485" s="996">
        <v>0</v>
      </c>
      <c r="HC485" s="1006"/>
      <c r="HD485" s="996">
        <v>0.54084602000000004</v>
      </c>
      <c r="HE485" s="1006"/>
      <c r="HF485" s="996">
        <v>-0.41603540000000017</v>
      </c>
      <c r="HG485" s="1006"/>
      <c r="HH485" s="996">
        <v>-0.77597519999999953</v>
      </c>
      <c r="HI485" s="1006"/>
      <c r="HJ485" s="996">
        <v>0</v>
      </c>
      <c r="HK485" s="1006"/>
      <c r="HL485" s="996">
        <v>0</v>
      </c>
      <c r="HM485" s="1006"/>
      <c r="HN485" s="996">
        <v>0</v>
      </c>
      <c r="HO485" s="1006"/>
      <c r="HP485" s="996">
        <v>0</v>
      </c>
      <c r="HQ485" s="1006"/>
      <c r="HR485" s="996">
        <v>0</v>
      </c>
      <c r="HS485" s="1006"/>
      <c r="HT485" s="996">
        <v>0</v>
      </c>
      <c r="HU485" s="1006"/>
      <c r="HV485" s="996">
        <v>0.91959999999999997</v>
      </c>
      <c r="HW485" s="1006"/>
      <c r="HX485" s="996">
        <v>0</v>
      </c>
      <c r="HY485" s="1006"/>
      <c r="HZ485" s="996">
        <v>-0.37619999999999987</v>
      </c>
      <c r="IA485" s="1006"/>
      <c r="IB485" s="996">
        <v>0</v>
      </c>
      <c r="IC485" s="1006"/>
      <c r="ID485" s="996">
        <v>0</v>
      </c>
      <c r="IE485" s="1006"/>
      <c r="IF485" s="996">
        <v>0</v>
      </c>
      <c r="IG485" s="1006" t="s">
        <v>199</v>
      </c>
      <c r="IH485" s="996">
        <v>2.6463579999999998</v>
      </c>
      <c r="II485" s="1006"/>
      <c r="IJ485" s="996">
        <v>-0.7326703999999995</v>
      </c>
      <c r="IK485" s="1006"/>
      <c r="IL485" s="996">
        <v>-0.78508760000000066</v>
      </c>
      <c r="IM485" s="1006" t="s">
        <v>199</v>
      </c>
      <c r="IN485" s="996">
        <v>-1.2995619999999999</v>
      </c>
      <c r="IO485" s="1006"/>
      <c r="IP485" s="996">
        <v>0</v>
      </c>
      <c r="IQ485" s="1006"/>
      <c r="IR485" s="996">
        <v>0</v>
      </c>
      <c r="IS485" s="1006" t="s">
        <v>204</v>
      </c>
      <c r="IT485" s="996">
        <v>2.0753699999999999</v>
      </c>
      <c r="IU485" s="1006"/>
      <c r="IV485" s="996">
        <v>0</v>
      </c>
      <c r="IW485" s="1006"/>
      <c r="IX485" s="996">
        <v>0</v>
      </c>
      <c r="IY485" s="1006"/>
      <c r="IZ485" s="996">
        <v>0</v>
      </c>
      <c r="JA485" s="1006"/>
      <c r="JB485" s="996">
        <v>0</v>
      </c>
      <c r="JC485" s="1006"/>
      <c r="JD485" s="996">
        <v>0</v>
      </c>
      <c r="JE485" s="1006" t="s">
        <v>204</v>
      </c>
      <c r="JF485" s="996">
        <v>-2.9055179999999994</v>
      </c>
      <c r="JG485" s="1006"/>
      <c r="JH485" s="996">
        <v>0</v>
      </c>
      <c r="JI485" s="1006"/>
      <c r="JJ485" s="996">
        <v>0</v>
      </c>
      <c r="JK485" s="1007"/>
      <c r="JL485" s="1007">
        <v>0</v>
      </c>
      <c r="JM485" s="1007"/>
      <c r="JN485" s="1007">
        <v>0</v>
      </c>
      <c r="JO485" s="1008"/>
      <c r="JP485" s="1007">
        <v>0</v>
      </c>
      <c r="JQ485" s="1008" t="s">
        <v>223</v>
      </c>
      <c r="JR485" s="1007">
        <v>-1.7714004000000001</v>
      </c>
      <c r="JS485" s="1008">
        <v>0</v>
      </c>
      <c r="JT485" s="1007">
        <v>0</v>
      </c>
      <c r="JU485" s="1008"/>
      <c r="JV485" s="1007">
        <v>0</v>
      </c>
      <c r="JW485" s="1008" t="s">
        <v>197</v>
      </c>
      <c r="JX485" s="1007">
        <v>0</v>
      </c>
      <c r="JY485" s="1008"/>
      <c r="JZ485" s="1007">
        <v>0</v>
      </c>
      <c r="KA485" s="1008"/>
      <c r="KB485" s="1007">
        <v>0</v>
      </c>
      <c r="KC485" s="1008"/>
      <c r="KD485" s="1007">
        <v>0</v>
      </c>
      <c r="KE485" s="1008"/>
      <c r="KF485" s="1007">
        <v>0</v>
      </c>
      <c r="KG485" s="1008"/>
      <c r="KH485" s="1007">
        <v>0</v>
      </c>
      <c r="KI485" s="1008" t="s">
        <v>207</v>
      </c>
      <c r="KJ485" s="1007">
        <v>-13.852185599999999</v>
      </c>
      <c r="KK485" s="1008"/>
      <c r="KL485" s="1007"/>
      <c r="KM485" s="1008" t="s">
        <v>971</v>
      </c>
      <c r="KN485" s="1007">
        <v>-21.470304000000002</v>
      </c>
      <c r="KO485" s="1008"/>
      <c r="KP485" s="1007">
        <v>0</v>
      </c>
      <c r="KQ485" s="1008">
        <v>0</v>
      </c>
      <c r="KR485" s="1007">
        <v>0</v>
      </c>
      <c r="KS485" s="1008">
        <v>0</v>
      </c>
      <c r="KT485" s="1007">
        <v>0</v>
      </c>
      <c r="KU485" s="1008">
        <v>0</v>
      </c>
      <c r="KV485" s="1007">
        <v>0</v>
      </c>
      <c r="KW485" s="1008">
        <v>0</v>
      </c>
      <c r="KX485" s="1007">
        <v>0</v>
      </c>
      <c r="KY485" s="1008">
        <v>0</v>
      </c>
      <c r="KZ485" s="1007">
        <v>0</v>
      </c>
      <c r="LA485" s="1008">
        <v>0</v>
      </c>
      <c r="LB485" s="1007">
        <v>0</v>
      </c>
      <c r="LC485" s="1008">
        <v>0</v>
      </c>
      <c r="LD485" s="1007">
        <v>0</v>
      </c>
      <c r="LE485" s="1008">
        <v>0</v>
      </c>
      <c r="LF485" s="1007">
        <v>0</v>
      </c>
      <c r="LG485" s="1008">
        <v>0</v>
      </c>
      <c r="LH485" s="1007">
        <v>0</v>
      </c>
      <c r="LI485" s="1008">
        <v>0</v>
      </c>
      <c r="LJ485" s="1007">
        <v>0</v>
      </c>
      <c r="LK485" s="1008">
        <v>0</v>
      </c>
      <c r="LL485" s="1007">
        <v>0</v>
      </c>
      <c r="LM485" s="1008">
        <v>0</v>
      </c>
      <c r="LN485" s="1007">
        <v>0</v>
      </c>
      <c r="LO485" s="1008">
        <v>0</v>
      </c>
      <c r="LP485" s="1007">
        <v>0</v>
      </c>
      <c r="LQ485" s="1008">
        <v>0</v>
      </c>
      <c r="LR485" s="1007">
        <v>0</v>
      </c>
      <c r="LS485" s="1008">
        <v>0</v>
      </c>
      <c r="LT485" s="1007">
        <v>0</v>
      </c>
      <c r="LU485" s="1008">
        <v>0</v>
      </c>
      <c r="LV485" s="1007">
        <v>0</v>
      </c>
      <c r="LW485" s="1008">
        <v>0</v>
      </c>
      <c r="LX485" s="1007">
        <v>0</v>
      </c>
      <c r="LY485" s="1009">
        <v>0</v>
      </c>
      <c r="LZ485" s="1010">
        <v>0</v>
      </c>
      <c r="MA485" s="1011">
        <v>0</v>
      </c>
      <c r="MB485" s="1012">
        <v>0</v>
      </c>
      <c r="MC485" s="995"/>
      <c r="MD485" s="996"/>
      <c r="ME485" s="997" t="s">
        <v>416</v>
      </c>
      <c r="MF485" s="997"/>
      <c r="MG485" s="998"/>
      <c r="NR485" s="1000"/>
      <c r="NS485" s="1000"/>
      <c r="NT485" s="1001"/>
      <c r="NU485" s="1000"/>
      <c r="NV485" s="1001"/>
      <c r="NX485" s="1002"/>
      <c r="NZ485" s="1001"/>
      <c r="OA485" s="1001"/>
      <c r="OC485" s="1003"/>
      <c r="OD485" s="1003"/>
      <c r="OE485" s="1001"/>
      <c r="OF485" s="1003"/>
      <c r="OG485" s="1003"/>
      <c r="QX485" s="1000">
        <f>CN485-CA485</f>
        <v>34</v>
      </c>
      <c r="ASU485" s="999" t="s">
        <v>208</v>
      </c>
    </row>
    <row r="486" spans="1:466 1191:1191" ht="21" customHeight="1" x14ac:dyDescent="0.25">
      <c r="A486" s="982">
        <f t="shared" si="372"/>
        <v>1574</v>
      </c>
      <c r="B486" s="145">
        <f>SUBTOTAL(103,$J$29:J486)</f>
        <v>458</v>
      </c>
      <c r="C486" s="126">
        <v>45068</v>
      </c>
      <c r="D486" s="145" t="s">
        <v>176</v>
      </c>
      <c r="E486" s="128" t="s">
        <v>177</v>
      </c>
      <c r="F486" s="128" t="s">
        <v>177</v>
      </c>
      <c r="G486" s="128" t="s">
        <v>178</v>
      </c>
      <c r="H486" s="128" t="s">
        <v>408</v>
      </c>
      <c r="I486" s="128" t="s">
        <v>634</v>
      </c>
      <c r="J486" s="152">
        <v>1574</v>
      </c>
      <c r="K486" s="127" t="s">
        <v>1323</v>
      </c>
      <c r="L486" s="135">
        <v>43656</v>
      </c>
      <c r="M486" s="128" t="s">
        <v>230</v>
      </c>
      <c r="N486" s="128" t="s">
        <v>231</v>
      </c>
      <c r="O486" s="127" t="s">
        <v>185</v>
      </c>
      <c r="P486" s="127" t="s">
        <v>186</v>
      </c>
      <c r="Q486" s="85" t="str">
        <f t="shared" si="367"/>
        <v/>
      </c>
      <c r="R486" s="130"/>
      <c r="S486" s="128"/>
      <c r="T486" s="131"/>
      <c r="U486" s="132">
        <v>203</v>
      </c>
      <c r="V486" s="121">
        <v>218.2</v>
      </c>
      <c r="W486" s="116">
        <v>0.98</v>
      </c>
      <c r="X486" s="116">
        <v>1.66</v>
      </c>
      <c r="Y486" s="116">
        <f t="shared" si="346"/>
        <v>1.0262427453949028</v>
      </c>
      <c r="Z486" s="133">
        <v>1.454</v>
      </c>
      <c r="AA486" s="133">
        <v>0.83599999999999997</v>
      </c>
      <c r="AB486" s="133">
        <v>0.72</v>
      </c>
      <c r="AC486" s="121">
        <v>34.299999999999997</v>
      </c>
      <c r="AD486" s="134">
        <v>1.17</v>
      </c>
      <c r="AE486" s="145">
        <v>177.8</v>
      </c>
      <c r="AF486" s="128">
        <v>9.19</v>
      </c>
      <c r="AG486" s="128">
        <v>2311</v>
      </c>
      <c r="AH486" s="128" t="s">
        <v>1773</v>
      </c>
      <c r="AI486" s="128" t="s">
        <v>1773</v>
      </c>
      <c r="AJ486" s="135">
        <v>44933</v>
      </c>
      <c r="AK486" s="128"/>
      <c r="AL486" s="131"/>
      <c r="AM486" s="145" t="s">
        <v>232</v>
      </c>
      <c r="AN486" s="131" t="s">
        <v>1774</v>
      </c>
      <c r="AO486" s="137" t="s">
        <v>1775</v>
      </c>
      <c r="AP486" s="128">
        <v>2311</v>
      </c>
      <c r="AQ486" s="128">
        <v>427</v>
      </c>
      <c r="AR486" s="128"/>
      <c r="AS486" s="128"/>
      <c r="AT486" s="122"/>
      <c r="AU486" s="145" t="s">
        <v>189</v>
      </c>
      <c r="AV486" s="115">
        <f>VLOOKUP(J486,'[63]ТР нефть'!$J$28:$BP$638,39,0)</f>
        <v>504.00000849600002</v>
      </c>
      <c r="AW486" s="115" t="str">
        <f>VLOOKUP(J486,'[63]ТР нефть'!$J$28:$BP$638,40,0)</f>
        <v>ГП</v>
      </c>
      <c r="AX486" s="115">
        <f>VLOOKUP(J486,'[63]ТР нефть'!$J$28:$BP$638,41,0)</f>
        <v>949.13998183599995</v>
      </c>
      <c r="AY486" s="115" t="str">
        <f>VLOOKUP(J486,'[63]ТР нефть'!$J$28:$BP$638,42,0)</f>
        <v>ГП</v>
      </c>
      <c r="AZ486" s="115">
        <f>VLOOKUP(J486,'[63]ТР нефть'!$J$28:$BP$638,43,0)</f>
        <v>1322.2899679689999</v>
      </c>
      <c r="BA486" s="115" t="str">
        <f>VLOOKUP(J486,'[63]ТР нефть'!$J$28:$BP$638,44,0)</f>
        <v>ГП</v>
      </c>
      <c r="BB486" s="115">
        <f>VLOOKUP(J486,'[63]ТР нефть'!$J$28:$BP$638,45,0)</f>
        <v>1602.8600050780001</v>
      </c>
      <c r="BC486" s="115" t="str">
        <f>VLOOKUP(J486,'[63]ТР нефть'!$J$28:$BP$638,46,0)</f>
        <v>ГП</v>
      </c>
      <c r="BD486" s="115">
        <f>VLOOKUP(J486,'[63]ТР нефть'!$J$28:$BP$638,47,0)</f>
        <v>1884.2999425779999</v>
      </c>
      <c r="BE486" s="115" t="str">
        <f>VLOOKUP(J486,'[63]ТР нефть'!$J$28:$BP$638,48,0)</f>
        <v>ЦКсОК 5/16</v>
      </c>
      <c r="BF486" s="115" t="str">
        <f>VLOOKUP(J486,'[63]ТР нефть'!$J$28:$BP$638,49,0)</f>
        <v>-</v>
      </c>
      <c r="BG486" s="115" t="str">
        <f>VLOOKUP(J486,'[63]ТР нефть'!$J$28:$BP$638,50,0)</f>
        <v>-</v>
      </c>
      <c r="BH486" s="115">
        <f>VLOOKUP(J486,'[63]ТР нефть'!$J$28:$BP$638,51,0)</f>
        <v>1900</v>
      </c>
      <c r="BI486" s="115" t="str">
        <f>VLOOKUP(J486,'[63]ТР нефть'!$J$28:$BP$638,52,0)</f>
        <v>закрыт</v>
      </c>
      <c r="BJ486" s="115" t="str">
        <f>IF(IFERROR(VLOOKUP(J486,'[63]ТР нефть'!$J$28:$BP$638,53,0),"-")=0,"-",IFERROR(VLOOKUP(J486,'[63]ТР нефть'!$J$28:$BP$638,53,0),"-"))</f>
        <v>-</v>
      </c>
      <c r="BK486" s="115" t="str">
        <f>IF(IFERROR(VLOOKUP(J486,'[63]ТР нефть'!$J$28:$BP$638,54,0),"-")=0,"-",IFERROR(VLOOKUP(J486,'[63]ТР нефть'!$J$28:$BP$638,54,0),"-"))</f>
        <v>-</v>
      </c>
      <c r="BL486" s="115" t="str">
        <f>IF(IFERROR(VLOOKUP(J486,'[63]ТР нефть'!$J$28:$BP$638,55,0),"-")=0,"-",IFERROR(VLOOKUP(J486,'[63]ТР нефть'!$J$28:$BP$638,55,0),"-"))</f>
        <v>-</v>
      </c>
      <c r="BM486" s="115" t="str">
        <f>IF(IFERROR(VLOOKUP(J486,'[63]ТР нефть'!$J$28:$BP$638,56,0),"-")=0,"-",IFERROR(VLOOKUP(J486,'[63]ТР нефть'!$J$28:$BP$638,56,0),"-"))</f>
        <v>-</v>
      </c>
      <c r="BN486" s="115" t="str">
        <f>IF(IFERROR(VLOOKUP(J486,'[63]ТР нефть'!$J$28:$BP$638,57,0),"-")=0,"-",IFERROR(VLOOKUP(J486,'[63]ТР нефть'!$J$28:$BP$638,57,0),"-"))</f>
        <v>-</v>
      </c>
      <c r="BO486" s="115" t="str">
        <f>IF(IFERROR(VLOOKUP(J486,'[63]ТР нефть'!$J$28:$BP$638,58,0),"-")=0,"-",IFERROR(VLOOKUP(J486,'[63]ТР нефть'!$J$28:$BP$638,58,0),"-"))</f>
        <v>-</v>
      </c>
      <c r="BP486" s="115" t="str">
        <f>IF(IFERROR(VLOOKUP(J486,'[63]ТР нефть'!$J$28:$BP$638,59,0),"-")=0,"-",IFERROR(VLOOKUP(J486,'[63]ТР нефть'!$J$28:$BP$638,59,0),"-"))</f>
        <v>-</v>
      </c>
      <c r="BQ486" s="115">
        <v>2312</v>
      </c>
      <c r="BR486" s="128">
        <v>1888</v>
      </c>
      <c r="BS486" s="115">
        <f t="shared" si="388"/>
        <v>424</v>
      </c>
      <c r="BT486" s="128">
        <v>73</v>
      </c>
      <c r="BU486" s="128">
        <v>5.5</v>
      </c>
      <c r="BV486" s="128">
        <v>18</v>
      </c>
      <c r="BW486" s="128" t="s">
        <v>217</v>
      </c>
      <c r="BX486" s="127" t="s">
        <v>195</v>
      </c>
      <c r="BY486" s="121">
        <v>24</v>
      </c>
      <c r="BZ486" s="121">
        <v>0</v>
      </c>
      <c r="CA486" s="115">
        <v>23</v>
      </c>
      <c r="CB486" s="115">
        <v>55</v>
      </c>
      <c r="CC486" s="115">
        <v>22</v>
      </c>
      <c r="CD486" s="135">
        <v>45017</v>
      </c>
      <c r="CE486" s="115">
        <v>160</v>
      </c>
      <c r="CF486" s="115">
        <v>66</v>
      </c>
      <c r="CG486" s="115" t="str">
        <f t="shared" si="389"/>
        <v>В работе</v>
      </c>
      <c r="CH486" s="115" t="s">
        <v>272</v>
      </c>
      <c r="CI486" s="128">
        <v>6</v>
      </c>
      <c r="CJ486" s="115"/>
      <c r="CK486" s="115"/>
      <c r="CL486" s="99"/>
      <c r="CM486" s="99"/>
      <c r="CN486" s="156">
        <v>51</v>
      </c>
      <c r="CO486" s="159">
        <f t="shared" si="373"/>
        <v>14.136759999999999</v>
      </c>
      <c r="CP486" s="160">
        <v>19</v>
      </c>
      <c r="CQ486" s="161">
        <v>11</v>
      </c>
      <c r="CR486" s="138">
        <v>35</v>
      </c>
      <c r="CS486" s="139">
        <v>16</v>
      </c>
      <c r="CT486" s="138"/>
      <c r="CU486" s="138">
        <f t="shared" si="370"/>
        <v>19</v>
      </c>
      <c r="CV486" s="115">
        <f t="shared" si="368"/>
        <v>1344.0137627009301</v>
      </c>
      <c r="CW486" s="115">
        <f t="shared" si="374"/>
        <v>966.35980716290044</v>
      </c>
      <c r="CX486" s="133">
        <f t="shared" si="369"/>
        <v>0.1743119266055046</v>
      </c>
      <c r="CY486" s="116"/>
      <c r="CZ486" s="131"/>
      <c r="DA486" s="145" t="str">
        <f t="shared" si="375"/>
        <v>Газлифт</v>
      </c>
      <c r="DB486" s="146">
        <f t="shared" si="390"/>
        <v>15.922455999999999</v>
      </c>
      <c r="DC486" s="142">
        <v>21.4</v>
      </c>
      <c r="DD486" s="119">
        <f t="shared" si="350"/>
        <v>11</v>
      </c>
      <c r="DE486" s="115">
        <f t="shared" si="392"/>
        <v>19</v>
      </c>
      <c r="DF486" s="121">
        <f t="shared" si="376"/>
        <v>16</v>
      </c>
      <c r="DG486" s="115">
        <f t="shared" si="377"/>
        <v>1344.0137627009301</v>
      </c>
      <c r="DH486" s="115">
        <f t="shared" si="378"/>
        <v>51</v>
      </c>
      <c r="DI486" s="150"/>
      <c r="DJ486" s="111" t="s">
        <v>197</v>
      </c>
      <c r="DK486" s="112">
        <v>43656.083333333336</v>
      </c>
      <c r="DL486" s="113">
        <f t="shared" ca="1" si="393"/>
        <v>1447.9166666666642</v>
      </c>
      <c r="DM486" s="114"/>
      <c r="DN486" s="114"/>
      <c r="DO486" s="114"/>
      <c r="DP486" s="114"/>
      <c r="DQ486" s="112">
        <v>43656</v>
      </c>
      <c r="DR486" s="114" t="s">
        <v>324</v>
      </c>
      <c r="DS486" s="114"/>
      <c r="DT486" s="115">
        <v>60</v>
      </c>
      <c r="DU486" s="116">
        <f t="shared" si="394"/>
        <v>0.19</v>
      </c>
      <c r="DV486" s="117">
        <f t="shared" si="395"/>
        <v>14.136759999999999</v>
      </c>
      <c r="DW486" s="118">
        <f t="shared" si="396"/>
        <v>19</v>
      </c>
      <c r="DX486" s="119">
        <f t="shared" si="379"/>
        <v>11</v>
      </c>
      <c r="DY486" s="115">
        <f t="shared" si="397"/>
        <v>19</v>
      </c>
      <c r="DZ486" s="117">
        <f t="shared" si="398"/>
        <v>0</v>
      </c>
      <c r="EA486" s="120">
        <f t="shared" si="398"/>
        <v>0</v>
      </c>
      <c r="EB486" s="119">
        <f t="shared" si="387"/>
        <v>0</v>
      </c>
      <c r="EC486" s="121">
        <f t="shared" si="399"/>
        <v>0</v>
      </c>
      <c r="ED486" s="122"/>
      <c r="EE486" s="145">
        <v>18</v>
      </c>
      <c r="EF486" s="115">
        <v>27</v>
      </c>
      <c r="EG486" s="115">
        <v>60</v>
      </c>
      <c r="EH486" s="115">
        <v>26</v>
      </c>
      <c r="EI486" s="128" t="s">
        <v>195</v>
      </c>
      <c r="EJ486" s="121">
        <v>24</v>
      </c>
      <c r="EK486" s="121">
        <v>0</v>
      </c>
      <c r="EL486" s="162">
        <v>16.70559154</v>
      </c>
      <c r="EM486" s="142">
        <v>21.05</v>
      </c>
      <c r="EN486" s="119">
        <v>5.07</v>
      </c>
      <c r="EO486" s="115">
        <v>24.236999999999998</v>
      </c>
      <c r="EP486" s="115">
        <v>612.78883632994643</v>
      </c>
      <c r="EQ486" s="115">
        <v>65</v>
      </c>
      <c r="ER486" s="115">
        <v>14</v>
      </c>
      <c r="ES486" s="115">
        <v>61</v>
      </c>
      <c r="ET486" s="150">
        <v>0.24195402298850577</v>
      </c>
      <c r="EU486" s="145">
        <f t="shared" si="400"/>
        <v>18</v>
      </c>
      <c r="EV486" s="115">
        <f t="shared" si="380"/>
        <v>23</v>
      </c>
      <c r="EW486" s="115">
        <f t="shared" si="380"/>
        <v>55</v>
      </c>
      <c r="EX486" s="115">
        <f t="shared" si="380"/>
        <v>22</v>
      </c>
      <c r="EY486" s="115" t="str">
        <f t="shared" si="357"/>
        <v>Постоянный</v>
      </c>
      <c r="EZ486" s="115">
        <f t="shared" si="357"/>
        <v>24</v>
      </c>
      <c r="FA486" s="115">
        <f t="shared" si="357"/>
        <v>0</v>
      </c>
      <c r="FB486" s="149">
        <f t="shared" si="345"/>
        <v>14.136759999999999</v>
      </c>
      <c r="FC486" s="142">
        <f t="shared" si="345"/>
        <v>19</v>
      </c>
      <c r="FD486" s="119">
        <f t="shared" si="345"/>
        <v>11</v>
      </c>
      <c r="FE486" s="121">
        <f t="shared" si="344"/>
        <v>35</v>
      </c>
      <c r="FF486" s="121">
        <f t="shared" si="347"/>
        <v>1344.0137627009301</v>
      </c>
      <c r="FG486" s="121">
        <f t="shared" si="381"/>
        <v>66</v>
      </c>
      <c r="FH486" s="121">
        <f t="shared" si="358"/>
        <v>16</v>
      </c>
      <c r="FI486" s="121">
        <f t="shared" si="355"/>
        <v>51</v>
      </c>
      <c r="FJ486" s="144">
        <f t="shared" si="382"/>
        <v>0.1743119266055046</v>
      </c>
      <c r="FK486" s="132">
        <f t="shared" si="383"/>
        <v>0</v>
      </c>
      <c r="FL486" s="115">
        <f t="shared" si="383"/>
        <v>-4</v>
      </c>
      <c r="FM486" s="115">
        <f t="shared" si="383"/>
        <v>-5</v>
      </c>
      <c r="FN486" s="115">
        <f t="shared" si="371"/>
        <v>-4</v>
      </c>
      <c r="FO486" s="115">
        <f t="shared" si="354"/>
        <v>0</v>
      </c>
      <c r="FP486" s="115">
        <f t="shared" si="354"/>
        <v>0</v>
      </c>
      <c r="FQ486" s="149">
        <f t="shared" si="354"/>
        <v>-2.5688315400000015</v>
      </c>
      <c r="FR486" s="142">
        <f t="shared" si="354"/>
        <v>-2.0500000000000007</v>
      </c>
      <c r="FS486" s="119">
        <f t="shared" si="354"/>
        <v>5.93</v>
      </c>
      <c r="FT486" s="121">
        <f t="shared" si="353"/>
        <v>10.763000000000002</v>
      </c>
      <c r="FU486" s="121">
        <f t="shared" si="384"/>
        <v>1</v>
      </c>
      <c r="FV486" s="121">
        <f t="shared" si="384"/>
        <v>2</v>
      </c>
      <c r="FW486" s="121">
        <f t="shared" si="385"/>
        <v>731.22492637098367</v>
      </c>
      <c r="FX486" s="121">
        <f t="shared" si="401"/>
        <v>-10</v>
      </c>
      <c r="FY486" s="144">
        <f t="shared" si="386"/>
        <v>-6.7642096383001171E-2</v>
      </c>
      <c r="FZ486" s="145" t="s">
        <v>203</v>
      </c>
      <c r="GA486" s="131" t="s">
        <v>1776</v>
      </c>
      <c r="GB486" s="145"/>
      <c r="GC486" s="1039" t="s">
        <v>1502</v>
      </c>
      <c r="GD486" s="997" t="s">
        <v>416</v>
      </c>
      <c r="GE486" s="1004"/>
      <c r="GF486" s="1004">
        <v>0</v>
      </c>
      <c r="GG486" s="1004"/>
      <c r="GH486" s="1004">
        <v>-0.66690645999999987</v>
      </c>
      <c r="GI486" s="145"/>
      <c r="GJ486" s="996">
        <v>17.372498</v>
      </c>
      <c r="GK486" s="145"/>
      <c r="GL486" s="996">
        <v>0</v>
      </c>
      <c r="GM486" s="1005"/>
      <c r="GN486" s="996">
        <v>0</v>
      </c>
      <c r="GO486" s="1006"/>
      <c r="GP486" s="996">
        <v>0</v>
      </c>
      <c r="GQ486" s="1006"/>
      <c r="GR486" s="996">
        <v>-3.7157357599999998</v>
      </c>
      <c r="GS486" s="1006"/>
      <c r="GT486" s="996">
        <v>0</v>
      </c>
      <c r="GU486" s="1006"/>
      <c r="GV486" s="996">
        <v>0</v>
      </c>
      <c r="GW486" s="1006"/>
      <c r="GX486" s="996">
        <v>0</v>
      </c>
      <c r="GY486" s="1006"/>
      <c r="GZ486" s="996">
        <v>0</v>
      </c>
      <c r="HA486" s="1006"/>
      <c r="HB486" s="996">
        <v>0</v>
      </c>
      <c r="HC486" s="1006"/>
      <c r="HD486" s="996">
        <v>0</v>
      </c>
      <c r="HE486" s="1006"/>
      <c r="HF486" s="996">
        <v>0</v>
      </c>
      <c r="HG486" s="1006"/>
      <c r="HH486" s="996">
        <v>0</v>
      </c>
      <c r="HI486" s="1006"/>
      <c r="HJ486" s="996">
        <v>0</v>
      </c>
      <c r="HK486" s="1006"/>
      <c r="HL486" s="996">
        <v>0</v>
      </c>
      <c r="HM486" s="1006" t="s">
        <v>223</v>
      </c>
      <c r="HN486" s="996">
        <v>-1.8787427999999999</v>
      </c>
      <c r="HO486" s="1006"/>
      <c r="HP486" s="996">
        <v>0</v>
      </c>
      <c r="HQ486" s="1006" t="s">
        <v>199</v>
      </c>
      <c r="HR486" s="996">
        <v>1.4144785600000001</v>
      </c>
      <c r="HS486" s="1006"/>
      <c r="HT486" s="996">
        <v>0</v>
      </c>
      <c r="HU486" s="1006"/>
      <c r="HV486" s="996">
        <v>0</v>
      </c>
      <c r="HW486" s="1006"/>
      <c r="HX486" s="996">
        <v>0</v>
      </c>
      <c r="HY486" s="1006" t="s">
        <v>199</v>
      </c>
      <c r="HZ486" s="996">
        <v>2.9259999999999997</v>
      </c>
      <c r="IA486" s="1006"/>
      <c r="IB486" s="996">
        <v>-0.58520000000000016</v>
      </c>
      <c r="IC486" s="1006" t="s">
        <v>204</v>
      </c>
      <c r="ID486" s="996">
        <v>-1.9227999999999998</v>
      </c>
      <c r="IE486" s="1006"/>
      <c r="IF486" s="996">
        <v>0</v>
      </c>
      <c r="IG486" s="1006"/>
      <c r="IH486" s="996">
        <v>0</v>
      </c>
      <c r="II486" s="1006"/>
      <c r="IJ486" s="996">
        <v>0</v>
      </c>
      <c r="IK486" s="1006"/>
      <c r="IL486" s="996">
        <v>0.33440000000000047</v>
      </c>
      <c r="IM486" s="1006" t="s">
        <v>199</v>
      </c>
      <c r="IN486" s="996">
        <v>-1.0868000000000007</v>
      </c>
      <c r="IO486" s="1006" t="s">
        <v>199</v>
      </c>
      <c r="IP486" s="996">
        <v>-3.623871900000001</v>
      </c>
      <c r="IQ486" s="1006" t="s">
        <v>199</v>
      </c>
      <c r="IR486" s="996">
        <v>3.5561157720000018</v>
      </c>
      <c r="IS486" s="1006" t="s">
        <v>199</v>
      </c>
      <c r="IT486" s="996">
        <v>-2.7098438720000004</v>
      </c>
      <c r="IU486" s="1006" t="s">
        <v>25</v>
      </c>
      <c r="IV486" s="996">
        <v>3</v>
      </c>
      <c r="IW486" s="1006"/>
      <c r="IX486" s="996">
        <v>0</v>
      </c>
      <c r="IY486" s="1006"/>
      <c r="IZ486" s="996">
        <v>0</v>
      </c>
      <c r="JA486" s="1006" t="s">
        <v>204</v>
      </c>
      <c r="JB486" s="996">
        <v>-4.7233999999999998</v>
      </c>
      <c r="JC486" s="1006"/>
      <c r="JD486" s="996">
        <v>0</v>
      </c>
      <c r="JE486" s="1006"/>
      <c r="JF486" s="996">
        <v>0</v>
      </c>
      <c r="JG486" s="1006" t="s">
        <v>199</v>
      </c>
      <c r="JH486" s="996">
        <v>4.2218</v>
      </c>
      <c r="JI486" s="1006" t="s">
        <v>199</v>
      </c>
      <c r="JJ486" s="996">
        <v>-5.241719999999999</v>
      </c>
      <c r="JK486" s="1007"/>
      <c r="JL486" s="1007">
        <v>0</v>
      </c>
      <c r="JM486" s="1007" t="s">
        <v>204</v>
      </c>
      <c r="JN486" s="1007">
        <v>-7.4962944584000031</v>
      </c>
      <c r="JO486" s="1008"/>
      <c r="JP486" s="1007">
        <v>0</v>
      </c>
      <c r="JQ486" s="1008">
        <v>0</v>
      </c>
      <c r="JR486" s="1007">
        <v>0</v>
      </c>
      <c r="JS486" s="1008" t="s">
        <v>25</v>
      </c>
      <c r="JT486" s="1007">
        <v>17.419614458400002</v>
      </c>
      <c r="JU486" s="1008"/>
      <c r="JV486" s="1007">
        <v>0</v>
      </c>
      <c r="JW486" s="1008"/>
      <c r="JX486" s="1007"/>
      <c r="JY486" s="1008"/>
      <c r="JZ486" s="1007"/>
      <c r="KA486" s="1008"/>
      <c r="KB486" s="1007"/>
      <c r="KC486" s="1008"/>
      <c r="KD486" s="1007"/>
      <c r="KE486" s="1008"/>
      <c r="KF486" s="1007"/>
      <c r="KG486" s="1008"/>
      <c r="KH486" s="1007"/>
      <c r="KI486" s="1008"/>
      <c r="KJ486" s="1007"/>
      <c r="KK486" s="1008"/>
      <c r="KL486" s="1007"/>
      <c r="KM486" s="1008"/>
      <c r="KN486" s="1007"/>
      <c r="KO486" s="1008"/>
      <c r="KP486" s="1007"/>
      <c r="KQ486" s="1008"/>
      <c r="KR486" s="1007"/>
      <c r="KS486" s="1008"/>
      <c r="KT486" s="1007"/>
      <c r="KU486" s="1008"/>
      <c r="KV486" s="1007"/>
      <c r="KW486" s="1008"/>
      <c r="KX486" s="1007"/>
      <c r="KY486" s="1008"/>
      <c r="KZ486" s="1007"/>
      <c r="LA486" s="1008"/>
      <c r="LB486" s="1007"/>
      <c r="LC486" s="1008"/>
      <c r="LD486" s="1007"/>
      <c r="LE486" s="1008"/>
      <c r="LF486" s="1007"/>
      <c r="LG486" s="1008"/>
      <c r="LH486" s="1007"/>
      <c r="LI486" s="1008"/>
      <c r="LJ486" s="1007"/>
      <c r="LK486" s="1008"/>
      <c r="LL486" s="1007"/>
      <c r="LM486" s="1008"/>
      <c r="LN486" s="1007"/>
      <c r="LO486" s="1008"/>
      <c r="LP486" s="1007"/>
      <c r="LQ486" s="1008"/>
      <c r="LR486" s="1007"/>
      <c r="LS486" s="1008"/>
      <c r="LT486" s="1007"/>
      <c r="LU486" s="1008"/>
      <c r="LV486" s="1007"/>
      <c r="LW486" s="1008"/>
      <c r="LX486" s="1007"/>
      <c r="LY486" s="1009"/>
      <c r="LZ486" s="1010"/>
      <c r="MA486" s="1011"/>
      <c r="MB486" s="1012"/>
      <c r="MC486" s="995"/>
      <c r="MD486" s="996"/>
      <c r="ME486" s="997" t="s">
        <v>416</v>
      </c>
      <c r="MF486" s="997"/>
      <c r="MG486" s="998"/>
      <c r="NR486" s="1000"/>
      <c r="NS486" s="1000"/>
      <c r="NT486" s="1001"/>
      <c r="NU486" s="1000"/>
      <c r="NV486" s="1001"/>
      <c r="NX486" s="1002"/>
      <c r="NZ486" s="1001"/>
      <c r="OA486" s="1001"/>
      <c r="OC486" s="1003"/>
      <c r="OD486" s="1003"/>
      <c r="OE486" s="1001"/>
      <c r="OF486" s="1003"/>
      <c r="OG486" s="1003"/>
      <c r="QX486" s="1000">
        <f>CN486-CA486</f>
        <v>28</v>
      </c>
      <c r="ASU486" s="999" t="s">
        <v>455</v>
      </c>
    </row>
    <row r="487" spans="1:466 1191:1191" ht="21" customHeight="1" x14ac:dyDescent="0.25">
      <c r="A487" s="982">
        <f t="shared" si="372"/>
        <v>1576</v>
      </c>
      <c r="B487" s="124">
        <f>SUBTOTAL(103,$J$29:J487)</f>
        <v>459</v>
      </c>
      <c r="C487" s="126">
        <v>45068</v>
      </c>
      <c r="D487" s="124" t="s">
        <v>176</v>
      </c>
      <c r="E487" s="127" t="s">
        <v>177</v>
      </c>
      <c r="F487" s="128" t="s">
        <v>177</v>
      </c>
      <c r="G487" s="127" t="s">
        <v>178</v>
      </c>
      <c r="H487" s="127" t="s">
        <v>408</v>
      </c>
      <c r="I487" s="127" t="s">
        <v>1377</v>
      </c>
      <c r="J487" s="152">
        <v>1576</v>
      </c>
      <c r="K487" s="127" t="s">
        <v>1377</v>
      </c>
      <c r="L487" s="130">
        <v>43921</v>
      </c>
      <c r="M487" s="127" t="s">
        <v>230</v>
      </c>
      <c r="N487" s="127" t="s">
        <v>231</v>
      </c>
      <c r="O487" s="127" t="s">
        <v>185</v>
      </c>
      <c r="P487" s="127" t="s">
        <v>186</v>
      </c>
      <c r="Q487" s="85" t="str">
        <f t="shared" si="367"/>
        <v/>
      </c>
      <c r="R487" s="130"/>
      <c r="S487" s="128"/>
      <c r="T487" s="131"/>
      <c r="U487" s="132">
        <v>203</v>
      </c>
      <c r="V487" s="121">
        <v>218.2</v>
      </c>
      <c r="W487" s="116">
        <v>0.98</v>
      </c>
      <c r="X487" s="116">
        <v>1.66</v>
      </c>
      <c r="Y487" s="116">
        <f t="shared" si="346"/>
        <v>0.98</v>
      </c>
      <c r="Z487" s="133">
        <v>1.454</v>
      </c>
      <c r="AA487" s="133">
        <v>0.83599999999999997</v>
      </c>
      <c r="AB487" s="133">
        <v>0.72</v>
      </c>
      <c r="AC487" s="121">
        <v>34.299999999999997</v>
      </c>
      <c r="AD487" s="134">
        <v>1.17</v>
      </c>
      <c r="AE487" s="124">
        <v>177.8</v>
      </c>
      <c r="AF487" s="128">
        <v>9.19</v>
      </c>
      <c r="AG487" s="128">
        <v>2075.9</v>
      </c>
      <c r="AH487" s="127">
        <v>2712</v>
      </c>
      <c r="AI487" s="127">
        <v>2712</v>
      </c>
      <c r="AJ487" s="135"/>
      <c r="AK487" s="128"/>
      <c r="AL487" s="131"/>
      <c r="AM487" s="124" t="s">
        <v>232</v>
      </c>
      <c r="AN487" s="136" t="s">
        <v>1777</v>
      </c>
      <c r="AO487" s="137">
        <v>51.35</v>
      </c>
      <c r="AP487" s="128">
        <v>2075.9</v>
      </c>
      <c r="AQ487" s="128">
        <f>AP487-1733.05-131</f>
        <v>211.85000000000014</v>
      </c>
      <c r="AR487" s="128"/>
      <c r="AS487" s="128"/>
      <c r="AT487" s="122"/>
      <c r="AU487" s="124" t="s">
        <v>189</v>
      </c>
      <c r="AV487" s="115">
        <f>VLOOKUP(J487,'[63]ТР нефть'!$J$28:$BP$638,39,0)</f>
        <v>501.00000556600003</v>
      </c>
      <c r="AW487" s="115" t="str">
        <f>VLOOKUP(J487,'[63]ТР нефть'!$J$28:$BP$638,40,0)</f>
        <v>ГП</v>
      </c>
      <c r="AX487" s="115">
        <f>VLOOKUP(J487,'[63]ТР нефть'!$J$28:$BP$638,41,0)</f>
        <v>949.99998515599998</v>
      </c>
      <c r="AY487" s="115" t="str">
        <f>VLOOKUP(J487,'[63]ТР нефть'!$J$28:$BP$638,42,0)</f>
        <v>ГП</v>
      </c>
      <c r="AZ487" s="115">
        <f>VLOOKUP(J487,'[63]ТР нефть'!$J$28:$BP$638,43,0)</f>
        <v>1329.000032812</v>
      </c>
      <c r="BA487" s="115" t="str">
        <f>VLOOKUP(J487,'[63]ТР нефть'!$J$28:$BP$638,44,0)</f>
        <v>ГК83 1/8</v>
      </c>
      <c r="BB487" s="115">
        <f>VLOOKUP(J487,'[63]ТР нефть'!$J$28:$BP$638,45,0)</f>
        <v>1634.000057813</v>
      </c>
      <c r="BC487" s="115" t="str">
        <f>VLOOKUP(J487,'[63]ТР нефть'!$J$28:$BP$638,46,0)</f>
        <v>ГК83 1/8</v>
      </c>
      <c r="BD487" s="115">
        <f>VLOOKUP(J487,'[63]ТР нефть'!$J$28:$BP$638,47,0)</f>
        <v>1860.000030469</v>
      </c>
      <c r="BE487" s="115" t="str">
        <f>VLOOKUP(J487,'[63]ТР нефть'!$J$28:$BP$638,48,0)</f>
        <v>ЦКсОК 5/16</v>
      </c>
      <c r="BF487" s="115" t="str">
        <f>VLOOKUP(J487,'[63]ТР нефть'!$J$28:$BP$638,49,0)</f>
        <v>-</v>
      </c>
      <c r="BG487" s="115" t="str">
        <f>VLOOKUP(J487,'[63]ТР нефть'!$J$28:$BP$638,50,0)</f>
        <v>-</v>
      </c>
      <c r="BH487" s="115">
        <f>VLOOKUP(J487,'[63]ТР нефть'!$J$28:$BP$638,51,0)</f>
        <v>1870</v>
      </c>
      <c r="BI487" s="115" t="str">
        <f>VLOOKUP(J487,'[63]ТР нефть'!$J$28:$BP$638,52,0)</f>
        <v>закрыт</v>
      </c>
      <c r="BJ487" s="115" t="str">
        <f>IF(IFERROR(VLOOKUP(J487,'[63]ТР нефть'!$J$28:$BP$638,53,0),"-")=0,"-",IFERROR(VLOOKUP(J487,'[63]ТР нефть'!$J$28:$BP$638,53,0),"-"))</f>
        <v>-</v>
      </c>
      <c r="BK487" s="138" t="str">
        <f>IF(IFERROR(VLOOKUP(J487,'[63]ТР нефть'!$J$28:$BP$638,54,0),"-")=0,"-",IFERROR(VLOOKUP(J487,'[63]ТР нефть'!$J$28:$BP$638,54,0),"-"))</f>
        <v>-</v>
      </c>
      <c r="BL487" s="138" t="str">
        <f>IF(IFERROR(VLOOKUP(J487,'[63]ТР нефть'!$J$28:$BP$638,55,0),"-")=0,"-",IFERROR(VLOOKUP(J487,'[63]ТР нефть'!$J$28:$BP$638,55,0),"-"))</f>
        <v>-</v>
      </c>
      <c r="BM487" s="138" t="str">
        <f>IF(IFERROR(VLOOKUP(J487,'[63]ТР нефть'!$J$28:$BP$638,56,0),"-")=0,"-",IFERROR(VLOOKUP(J487,'[63]ТР нефть'!$J$28:$BP$638,56,0),"-"))</f>
        <v>-</v>
      </c>
      <c r="BN487" s="138" t="str">
        <f>IF(IFERROR(VLOOKUP(J487,'[63]ТР нефть'!$J$28:$BP$638,57,0),"-")=0,"-",IFERROR(VLOOKUP(J487,'[63]ТР нефть'!$J$28:$BP$638,57,0),"-"))</f>
        <v>-</v>
      </c>
      <c r="BO487" s="115" t="str">
        <f>IF(IFERROR(VLOOKUP(J487,'[63]ТР нефть'!$J$28:$BP$638,58,0),"-")=0,"-",IFERROR(VLOOKUP(J487,'[63]ТР нефть'!$J$28:$BP$638,58,0),"-"))</f>
        <v>-</v>
      </c>
      <c r="BP487" s="115" t="str">
        <f>IF(IFERROR(VLOOKUP(J487,'[63]ТР нефть'!$J$28:$BP$638,59,0),"-")=0,"-",IFERROR(VLOOKUP(J487,'[63]ТР нефть'!$J$28:$BP$638,59,0),"-"))</f>
        <v>-</v>
      </c>
      <c r="BQ487" s="138">
        <v>2175</v>
      </c>
      <c r="BR487" s="128">
        <f>1768.79+131</f>
        <v>1899.79</v>
      </c>
      <c r="BS487" s="115">
        <f t="shared" si="388"/>
        <v>275.21000000000004</v>
      </c>
      <c r="BT487" s="128">
        <v>73</v>
      </c>
      <c r="BU487" s="128">
        <v>5.5</v>
      </c>
      <c r="BV487" s="127">
        <v>18</v>
      </c>
      <c r="BW487" s="127" t="s">
        <v>217</v>
      </c>
      <c r="BX487" s="127" t="s">
        <v>195</v>
      </c>
      <c r="BY487" s="139">
        <v>24</v>
      </c>
      <c r="BZ487" s="139">
        <v>0</v>
      </c>
      <c r="CA487" s="138">
        <v>23</v>
      </c>
      <c r="CB487" s="138">
        <v>37</v>
      </c>
      <c r="CC487" s="138">
        <v>22</v>
      </c>
      <c r="CD487" s="135">
        <v>45017</v>
      </c>
      <c r="CE487" s="138">
        <v>103</v>
      </c>
      <c r="CF487" s="138">
        <v>67</v>
      </c>
      <c r="CG487" s="138" t="str">
        <f t="shared" si="389"/>
        <v>В работе</v>
      </c>
      <c r="CH487" s="138" t="s">
        <v>235</v>
      </c>
      <c r="CI487" s="127"/>
      <c r="CJ487" s="138"/>
      <c r="CK487" s="138"/>
      <c r="CL487" s="99"/>
      <c r="CM487" s="99"/>
      <c r="CN487" s="140">
        <v>45</v>
      </c>
      <c r="CO487" s="159">
        <f t="shared" si="373"/>
        <v>8.36</v>
      </c>
      <c r="CP487" s="160">
        <v>10</v>
      </c>
      <c r="CQ487" s="161">
        <v>0</v>
      </c>
      <c r="CR487" s="138">
        <v>22</v>
      </c>
      <c r="CS487" s="139">
        <v>9</v>
      </c>
      <c r="CT487" s="138"/>
      <c r="CU487" s="138">
        <f t="shared" si="370"/>
        <v>13</v>
      </c>
      <c r="CV487" s="115">
        <f t="shared" si="368"/>
        <v>1555.0239234449762</v>
      </c>
      <c r="CW487" s="115">
        <f t="shared" si="374"/>
        <v>1076.5550239234451</v>
      </c>
      <c r="CX487" s="133">
        <f t="shared" si="369"/>
        <v>0.17241379310344829</v>
      </c>
      <c r="CY487" s="116"/>
      <c r="CZ487" s="131"/>
      <c r="DA487" s="145" t="str">
        <f t="shared" si="375"/>
        <v>Газлифт</v>
      </c>
      <c r="DB487" s="146">
        <f t="shared" si="390"/>
        <v>8.36</v>
      </c>
      <c r="DC487" s="142">
        <f t="shared" ref="DC487:DC550" si="402">IFERROR(IF(AND(FZ487="Технология",FQ487&lt;$JC$24),EM487,CP487),"-")</f>
        <v>10</v>
      </c>
      <c r="DD487" s="119">
        <f t="shared" si="350"/>
        <v>0</v>
      </c>
      <c r="DE487" s="115">
        <f t="shared" si="392"/>
        <v>13</v>
      </c>
      <c r="DF487" s="121">
        <f t="shared" si="376"/>
        <v>9</v>
      </c>
      <c r="DG487" s="115">
        <f t="shared" si="377"/>
        <v>1555.0239234449762</v>
      </c>
      <c r="DH487" s="115">
        <f t="shared" si="378"/>
        <v>45</v>
      </c>
      <c r="DI487" s="147"/>
      <c r="DJ487" s="111"/>
      <c r="DK487" s="112">
        <v>43921.083333333336</v>
      </c>
      <c r="DL487" s="113">
        <f t="shared" ca="1" si="393"/>
        <v>1182.9166666666642</v>
      </c>
      <c r="DM487" s="114"/>
      <c r="DN487" s="114"/>
      <c r="DO487" s="114"/>
      <c r="DP487" s="114"/>
      <c r="DQ487" s="112"/>
      <c r="DR487" s="114"/>
      <c r="DS487" s="114"/>
      <c r="DT487" s="115">
        <v>56</v>
      </c>
      <c r="DU487" s="116">
        <f t="shared" si="394"/>
        <v>0.21276595744680851</v>
      </c>
      <c r="DV487" s="117">
        <f t="shared" si="395"/>
        <v>8.36</v>
      </c>
      <c r="DW487" s="118">
        <f t="shared" si="396"/>
        <v>10</v>
      </c>
      <c r="DX487" s="119">
        <f t="shared" si="379"/>
        <v>0</v>
      </c>
      <c r="DY487" s="115">
        <f t="shared" si="397"/>
        <v>13</v>
      </c>
      <c r="DZ487" s="117">
        <f t="shared" si="398"/>
        <v>0</v>
      </c>
      <c r="EA487" s="120">
        <f t="shared" si="398"/>
        <v>0</v>
      </c>
      <c r="EB487" s="119">
        <f t="shared" si="387"/>
        <v>0</v>
      </c>
      <c r="EC487" s="121">
        <f t="shared" si="399"/>
        <v>0</v>
      </c>
      <c r="ED487" s="122"/>
      <c r="EE487" s="145">
        <v>18</v>
      </c>
      <c r="EF487" s="115">
        <v>25</v>
      </c>
      <c r="EG487" s="115">
        <v>41</v>
      </c>
      <c r="EH487" s="115">
        <v>24</v>
      </c>
      <c r="EI487" s="128" t="s">
        <v>195</v>
      </c>
      <c r="EJ487" s="121">
        <v>24</v>
      </c>
      <c r="EK487" s="121">
        <v>0</v>
      </c>
      <c r="EL487" s="159">
        <v>7.524</v>
      </c>
      <c r="EM487" s="142">
        <v>9</v>
      </c>
      <c r="EN487" s="143">
        <v>0</v>
      </c>
      <c r="EO487" s="115">
        <v>22</v>
      </c>
      <c r="EP487" s="115">
        <v>1807.5491759702286</v>
      </c>
      <c r="EQ487" s="115">
        <v>67</v>
      </c>
      <c r="ER487" s="115">
        <v>8.4</v>
      </c>
      <c r="ES487" s="115">
        <v>45</v>
      </c>
      <c r="ET487" s="150">
        <v>0.15517241379310345</v>
      </c>
      <c r="EU487" s="145">
        <f t="shared" si="400"/>
        <v>18</v>
      </c>
      <c r="EV487" s="115">
        <f t="shared" si="380"/>
        <v>23</v>
      </c>
      <c r="EW487" s="115">
        <f t="shared" si="380"/>
        <v>37</v>
      </c>
      <c r="EX487" s="115">
        <f t="shared" si="380"/>
        <v>22</v>
      </c>
      <c r="EY487" s="115" t="str">
        <f t="shared" si="357"/>
        <v>Постоянный</v>
      </c>
      <c r="EZ487" s="115">
        <f t="shared" si="357"/>
        <v>24</v>
      </c>
      <c r="FA487" s="115">
        <f t="shared" si="357"/>
        <v>0</v>
      </c>
      <c r="FB487" s="149">
        <f t="shared" si="345"/>
        <v>8.36</v>
      </c>
      <c r="FC487" s="142">
        <f t="shared" si="345"/>
        <v>10</v>
      </c>
      <c r="FD487" s="119">
        <f t="shared" si="345"/>
        <v>0</v>
      </c>
      <c r="FE487" s="121">
        <f t="shared" si="344"/>
        <v>22</v>
      </c>
      <c r="FF487" s="121">
        <f t="shared" si="347"/>
        <v>1555.0239234449762</v>
      </c>
      <c r="FG487" s="121">
        <f t="shared" si="381"/>
        <v>67</v>
      </c>
      <c r="FH487" s="121">
        <f t="shared" si="358"/>
        <v>9</v>
      </c>
      <c r="FI487" s="121">
        <f t="shared" si="355"/>
        <v>45</v>
      </c>
      <c r="FJ487" s="144">
        <f t="shared" si="382"/>
        <v>0.17241379310344829</v>
      </c>
      <c r="FK487" s="132">
        <f t="shared" si="383"/>
        <v>0</v>
      </c>
      <c r="FL487" s="115">
        <f t="shared" si="383"/>
        <v>-2</v>
      </c>
      <c r="FM487" s="115">
        <f t="shared" si="383"/>
        <v>-4</v>
      </c>
      <c r="FN487" s="115">
        <f t="shared" si="371"/>
        <v>-2</v>
      </c>
      <c r="FO487" s="115">
        <f t="shared" si="354"/>
        <v>0</v>
      </c>
      <c r="FP487" s="115">
        <f t="shared" si="354"/>
        <v>0</v>
      </c>
      <c r="FQ487" s="149">
        <f t="shared" si="354"/>
        <v>0.83599999999999941</v>
      </c>
      <c r="FR487" s="142">
        <f t="shared" si="354"/>
        <v>1</v>
      </c>
      <c r="FS487" s="119">
        <f t="shared" si="354"/>
        <v>0</v>
      </c>
      <c r="FT487" s="121">
        <f t="shared" si="353"/>
        <v>0</v>
      </c>
      <c r="FU487" s="121">
        <f t="shared" si="384"/>
        <v>0</v>
      </c>
      <c r="FV487" s="121">
        <f t="shared" si="384"/>
        <v>0.59999999999999964</v>
      </c>
      <c r="FW487" s="121">
        <f t="shared" si="385"/>
        <v>-252.52525252525243</v>
      </c>
      <c r="FX487" s="121">
        <f t="shared" si="401"/>
        <v>0</v>
      </c>
      <c r="FY487" s="144">
        <f t="shared" si="386"/>
        <v>1.7241379310344834E-2</v>
      </c>
      <c r="FZ487" s="145"/>
      <c r="GA487" s="151" t="s">
        <v>1778</v>
      </c>
      <c r="GB487" s="145" t="s">
        <v>199</v>
      </c>
      <c r="GC487" s="131" t="s">
        <v>1762</v>
      </c>
      <c r="GD487" s="997" t="s">
        <v>416</v>
      </c>
      <c r="GE487" s="1004" t="s">
        <v>199</v>
      </c>
      <c r="GF487" s="1004">
        <v>-2.508</v>
      </c>
      <c r="GG487" s="1004"/>
      <c r="GH487" s="1004">
        <v>0</v>
      </c>
      <c r="GI487" s="145" t="s">
        <v>204</v>
      </c>
      <c r="GJ487" s="996">
        <v>2.3119999999999994</v>
      </c>
      <c r="GK487" s="145" t="s">
        <v>204</v>
      </c>
      <c r="GL487" s="996">
        <v>-2.9025920000000003</v>
      </c>
      <c r="GM487" s="1005" t="s">
        <v>199</v>
      </c>
      <c r="GN487" s="996">
        <v>-4.0228320000000011</v>
      </c>
      <c r="GO487" s="1006" t="s">
        <v>199</v>
      </c>
      <c r="GP487" s="996">
        <v>2.875840000000002</v>
      </c>
      <c r="GQ487" s="1006"/>
      <c r="GR487" s="996">
        <v>0</v>
      </c>
      <c r="GS487" s="1006"/>
      <c r="GT487" s="996">
        <v>0</v>
      </c>
      <c r="GU487" s="1006"/>
      <c r="GV487" s="996">
        <v>0.58519999999999861</v>
      </c>
      <c r="GW487" s="1006" t="s">
        <v>203</v>
      </c>
      <c r="GX487" s="996">
        <v>-4.1108906666666645</v>
      </c>
      <c r="GY487" s="1006" t="s">
        <v>203</v>
      </c>
      <c r="GZ487" s="996">
        <v>-2.3263093333333327</v>
      </c>
      <c r="HA487" s="1006" t="s">
        <v>203</v>
      </c>
      <c r="HB487" s="996">
        <v>-3.1717840000000059</v>
      </c>
      <c r="HC487" s="1006" t="s">
        <v>203</v>
      </c>
      <c r="HD487" s="996">
        <v>12.159787200000004</v>
      </c>
      <c r="HE487" s="1006" t="s">
        <v>25</v>
      </c>
      <c r="HF487" s="996">
        <v>2.240520128</v>
      </c>
      <c r="HG487" s="1006"/>
      <c r="HH487" s="996">
        <v>0</v>
      </c>
      <c r="HI487" s="1006"/>
      <c r="HJ487" s="996">
        <v>0</v>
      </c>
      <c r="HK487" s="1006"/>
      <c r="HL487" s="996">
        <v>0</v>
      </c>
      <c r="HM487" s="1006"/>
      <c r="HN487" s="996">
        <v>0.86839667200000026</v>
      </c>
      <c r="HO487" s="1006" t="s">
        <v>199</v>
      </c>
      <c r="HP487" s="996">
        <v>-2.1234399999999996</v>
      </c>
      <c r="HQ487" s="1006" t="s">
        <v>199</v>
      </c>
      <c r="HR487" s="996">
        <v>-1.8642799999999999</v>
      </c>
      <c r="HS487" s="1006" t="s">
        <v>643</v>
      </c>
      <c r="HT487" s="996">
        <v>0</v>
      </c>
      <c r="HU487" s="1006"/>
      <c r="HV487" s="996">
        <v>0</v>
      </c>
      <c r="HW487" s="1006"/>
      <c r="HX487" s="996">
        <v>-0.75239999999999974</v>
      </c>
      <c r="HY487" s="1006" t="s">
        <v>204</v>
      </c>
      <c r="HZ487" s="996">
        <v>-1.5716800000000006</v>
      </c>
      <c r="IA487" s="1006" t="s">
        <v>204</v>
      </c>
      <c r="IB487" s="996">
        <v>2.5414399999999997</v>
      </c>
      <c r="IC487" s="1006" t="s">
        <v>221</v>
      </c>
      <c r="ID487" s="996">
        <v>-1.0533599999999996</v>
      </c>
      <c r="IE487" s="1006" t="s">
        <v>199</v>
      </c>
      <c r="IF487" s="996">
        <v>1.7555999999999994</v>
      </c>
      <c r="IG487" s="1006" t="s">
        <v>221</v>
      </c>
      <c r="IH487" s="996">
        <v>-22.6556</v>
      </c>
      <c r="II487" s="1006" t="s">
        <v>221</v>
      </c>
      <c r="IJ487" s="996">
        <v>21.117359999999998</v>
      </c>
      <c r="IK487" s="1006" t="s">
        <v>204</v>
      </c>
      <c r="IL487" s="996">
        <v>-2.1401599999999998</v>
      </c>
      <c r="IM487" s="1006"/>
      <c r="IN487" s="996">
        <v>-0.8360000000000003</v>
      </c>
      <c r="IO487" s="1006"/>
      <c r="IP487" s="996">
        <v>-0.91959999999999908</v>
      </c>
      <c r="IQ487" s="1006" t="s">
        <v>203</v>
      </c>
      <c r="IR487" s="996">
        <v>-2.758799999999999</v>
      </c>
      <c r="IS487" s="1006"/>
      <c r="IT487" s="996">
        <v>0</v>
      </c>
      <c r="IU487" s="1006" t="s">
        <v>203</v>
      </c>
      <c r="IV487" s="996">
        <v>-2.7588000000000008</v>
      </c>
      <c r="IW487" s="1006" t="s">
        <v>204</v>
      </c>
      <c r="IX487" s="996">
        <v>14.39174</v>
      </c>
      <c r="IY487" s="1006"/>
      <c r="IZ487" s="996">
        <v>0</v>
      </c>
      <c r="JA487" s="1006"/>
      <c r="JB487" s="996">
        <v>0</v>
      </c>
      <c r="JC487" s="1006" t="s">
        <v>25</v>
      </c>
      <c r="JD487" s="996">
        <v>36.299999999999997</v>
      </c>
      <c r="JE487" s="1006"/>
      <c r="JF487" s="996"/>
      <c r="JG487" s="1006"/>
      <c r="JH487" s="996"/>
      <c r="JI487" s="1006"/>
      <c r="JJ487" s="996"/>
      <c r="JK487" s="1007"/>
      <c r="JL487" s="1007"/>
      <c r="JM487" s="1007"/>
      <c r="JN487" s="1007"/>
      <c r="JO487" s="1008"/>
      <c r="JP487" s="1007"/>
      <c r="JQ487" s="1008"/>
      <c r="JR487" s="1007"/>
      <c r="JS487" s="1008"/>
      <c r="JT487" s="1007"/>
      <c r="JU487" s="1008"/>
      <c r="JV487" s="1007"/>
      <c r="JW487" s="1008"/>
      <c r="JX487" s="1007"/>
      <c r="JY487" s="1008"/>
      <c r="JZ487" s="1007"/>
      <c r="KA487" s="1008"/>
      <c r="KB487" s="1007"/>
      <c r="KC487" s="1008"/>
      <c r="KD487" s="1007"/>
      <c r="KE487" s="1008"/>
      <c r="KF487" s="1007"/>
      <c r="KG487" s="1008"/>
      <c r="KH487" s="1007"/>
      <c r="KI487" s="1008"/>
      <c r="KJ487" s="1007"/>
      <c r="KK487" s="1008"/>
      <c r="KL487" s="1007"/>
      <c r="KM487" s="1008"/>
      <c r="KN487" s="1007"/>
      <c r="KO487" s="1008"/>
      <c r="KP487" s="1007"/>
      <c r="KQ487" s="1008"/>
      <c r="KR487" s="1007"/>
      <c r="KS487" s="1008"/>
      <c r="KT487" s="1007"/>
      <c r="KU487" s="1008"/>
      <c r="KV487" s="1007"/>
      <c r="KW487" s="1008"/>
      <c r="KX487" s="1007"/>
      <c r="KY487" s="1008"/>
      <c r="KZ487" s="1007"/>
      <c r="LA487" s="1008"/>
      <c r="LB487" s="1007"/>
      <c r="LC487" s="1008"/>
      <c r="LD487" s="1007"/>
      <c r="LE487" s="1008"/>
      <c r="LF487" s="1007"/>
      <c r="LG487" s="1008"/>
      <c r="LH487" s="1007"/>
      <c r="LI487" s="1008"/>
      <c r="LJ487" s="1007"/>
      <c r="LK487" s="1008"/>
      <c r="LL487" s="1007"/>
      <c r="LM487" s="1008"/>
      <c r="LN487" s="1007"/>
      <c r="LO487" s="1008"/>
      <c r="LP487" s="1007"/>
      <c r="LQ487" s="1008"/>
      <c r="LR487" s="1007"/>
      <c r="LS487" s="1008"/>
      <c r="LT487" s="1007"/>
      <c r="LU487" s="1008"/>
      <c r="LV487" s="1007"/>
      <c r="LW487" s="1008"/>
      <c r="LX487" s="1007"/>
      <c r="LY487" s="1009"/>
      <c r="LZ487" s="1010"/>
      <c r="MA487" s="1011"/>
      <c r="MB487" s="1012"/>
      <c r="MC487" s="995"/>
      <c r="MD487" s="996"/>
      <c r="ME487" s="997" t="s">
        <v>416</v>
      </c>
      <c r="MF487" s="997"/>
      <c r="MG487" s="998"/>
      <c r="NR487" s="1000"/>
      <c r="NS487" s="1000"/>
      <c r="NT487" s="1001"/>
      <c r="NU487" s="1000"/>
      <c r="NV487" s="1001"/>
      <c r="NX487" s="1002"/>
      <c r="NZ487" s="1001"/>
      <c r="OA487" s="1001"/>
      <c r="OC487" s="1003"/>
      <c r="OD487" s="1003"/>
      <c r="OE487" s="1001"/>
      <c r="OF487" s="1003"/>
      <c r="OG487" s="1003"/>
      <c r="QX487" s="1000">
        <f>CN487-CA487</f>
        <v>22</v>
      </c>
      <c r="ASU487" s="999" t="s">
        <v>208</v>
      </c>
    </row>
    <row r="488" spans="1:466 1191:1191" ht="21" customHeight="1" x14ac:dyDescent="0.25">
      <c r="A488" s="982">
        <f t="shared" si="372"/>
        <v>1580</v>
      </c>
      <c r="B488" s="124">
        <f>SUBTOTAL(103,$J$29:J488)</f>
        <v>460</v>
      </c>
      <c r="C488" s="126">
        <v>45096</v>
      </c>
      <c r="D488" s="124" t="s">
        <v>176</v>
      </c>
      <c r="E488" s="127" t="s">
        <v>177</v>
      </c>
      <c r="F488" s="128" t="s">
        <v>177</v>
      </c>
      <c r="G488" s="127" t="s">
        <v>178</v>
      </c>
      <c r="H488" s="127" t="s">
        <v>421</v>
      </c>
      <c r="I488" s="127" t="s">
        <v>1433</v>
      </c>
      <c r="J488" s="220">
        <v>1580</v>
      </c>
      <c r="K488" s="127" t="s">
        <v>1433</v>
      </c>
      <c r="L488" s="130">
        <v>43860</v>
      </c>
      <c r="M488" s="127" t="s">
        <v>230</v>
      </c>
      <c r="N488" s="127" t="s">
        <v>231</v>
      </c>
      <c r="O488" s="127" t="s">
        <v>185</v>
      </c>
      <c r="P488" s="127" t="s">
        <v>208</v>
      </c>
      <c r="Q488" s="85" t="str">
        <f t="shared" si="367"/>
        <v/>
      </c>
      <c r="R488" s="130"/>
      <c r="S488" s="128"/>
      <c r="T488" s="131"/>
      <c r="U488" s="132">
        <v>203</v>
      </c>
      <c r="V488" s="121">
        <v>218.2</v>
      </c>
      <c r="W488" s="116">
        <v>0.98</v>
      </c>
      <c r="X488" s="116">
        <v>1.66</v>
      </c>
      <c r="Y488" s="116">
        <f t="shared" si="346"/>
        <v>0.98</v>
      </c>
      <c r="Z488" s="133">
        <v>1.454</v>
      </c>
      <c r="AA488" s="133">
        <v>0.83599999999999997</v>
      </c>
      <c r="AB488" s="133">
        <v>0.72</v>
      </c>
      <c r="AC488" s="121">
        <v>34.299999999999997</v>
      </c>
      <c r="AD488" s="134">
        <v>1.17</v>
      </c>
      <c r="AE488" s="124">
        <v>177.8</v>
      </c>
      <c r="AF488" s="128">
        <v>9.19</v>
      </c>
      <c r="AG488" s="128">
        <v>2126</v>
      </c>
      <c r="AH488" s="138">
        <v>2765.6</v>
      </c>
      <c r="AI488" s="138">
        <v>2765.6</v>
      </c>
      <c r="AJ488" s="135"/>
      <c r="AK488" s="128"/>
      <c r="AL488" s="131"/>
      <c r="AM488" s="124" t="s">
        <v>232</v>
      </c>
      <c r="AN488" s="136" t="s">
        <v>1779</v>
      </c>
      <c r="AO488" s="137">
        <f>1955.67-1907.2</f>
        <v>48.470000000000027</v>
      </c>
      <c r="AP488" s="128">
        <v>2126</v>
      </c>
      <c r="AQ488" s="128">
        <v>219</v>
      </c>
      <c r="AR488" s="128"/>
      <c r="AS488" s="128"/>
      <c r="AT488" s="122"/>
      <c r="AU488" s="124" t="s">
        <v>250</v>
      </c>
      <c r="AV488" s="115">
        <f>VLOOKUP(J488,'[63]ТР нефть'!$J$28:$BP$638,39,0)</f>
        <v>519.99999931599996</v>
      </c>
      <c r="AW488" s="115" t="str">
        <f>VLOOKUP(J488,'[63]ТР нефть'!$J$28:$BP$638,40,0)</f>
        <v>ГК83 1/8</v>
      </c>
      <c r="AX488" s="115">
        <f>VLOOKUP(J488,'[63]ТР нефть'!$J$28:$BP$638,41,0)</f>
        <v>994</v>
      </c>
      <c r="AY488" s="115" t="str">
        <f>VLOOKUP(J488,'[63]ТР нефть'!$J$28:$BP$638,42,0)</f>
        <v>ГК83 1/8</v>
      </c>
      <c r="AZ488" s="115">
        <f>VLOOKUP(J488,'[63]ТР нефть'!$J$28:$BP$638,43,0)</f>
        <v>1372.0000500000001</v>
      </c>
      <c r="BA488" s="115" t="str">
        <f>VLOOKUP(J488,'[63]ТР нефть'!$J$28:$BP$638,44,0)</f>
        <v>ГК83 1/8</v>
      </c>
      <c r="BB488" s="115">
        <f>VLOOKUP(J488,'[63]ТР нефть'!$J$28:$BP$638,45,0)</f>
        <v>1713.9999375</v>
      </c>
      <c r="BC488" s="115" t="str">
        <f>VLOOKUP(J488,'[63]ТР нефть'!$J$28:$BP$638,46,0)</f>
        <v>ГК82 5/32</v>
      </c>
      <c r="BD488" s="115">
        <f>VLOOKUP(J488,'[63]ТР нефть'!$J$28:$BP$638,47,0)</f>
        <v>1861.9999828130001</v>
      </c>
      <c r="BE488" s="115" t="str">
        <f>VLOOKUP(J488,'[63]ТР нефть'!$J$28:$BP$638,48,0)</f>
        <v>ЦКсОК 5/16</v>
      </c>
      <c r="BF488" s="115" t="str">
        <f>VLOOKUP(J488,'[63]ТР нефть'!$J$28:$BP$638,49,0)</f>
        <v>-</v>
      </c>
      <c r="BG488" s="115" t="str">
        <f>VLOOKUP(J488,'[63]ТР нефть'!$J$28:$BP$638,50,0)</f>
        <v>-</v>
      </c>
      <c r="BH488" s="115">
        <f>VLOOKUP(J488,'[63]ТР нефть'!$J$28:$BP$638,51,0)</f>
        <v>1872</v>
      </c>
      <c r="BI488" s="115" t="str">
        <f>VLOOKUP(J488,'[63]ТР нефть'!$J$28:$BP$638,52,0)</f>
        <v>закрыт</v>
      </c>
      <c r="BJ488" s="115" t="str">
        <f>IF(IFERROR(VLOOKUP(J488,'[63]ТР нефть'!$J$28:$BP$638,53,0),"-")=0,"-",IFERROR(VLOOKUP(J488,'[63]ТР нефть'!$J$28:$BP$638,53,0),"-"))</f>
        <v>-</v>
      </c>
      <c r="BK488" s="138" t="str">
        <f>IF(IFERROR(VLOOKUP(J488,'[63]ТР нефть'!$J$28:$BP$638,54,0),"-")=0,"-",IFERROR(VLOOKUP(J488,'[63]ТР нефть'!$J$28:$BP$638,54,0),"-"))</f>
        <v>-</v>
      </c>
      <c r="BL488" s="138" t="str">
        <f>IF(IFERROR(VLOOKUP(J488,'[63]ТР нефть'!$J$28:$BP$638,55,0),"-")=0,"-",IFERROR(VLOOKUP(J488,'[63]ТР нефть'!$J$28:$BP$638,55,0),"-"))</f>
        <v>-</v>
      </c>
      <c r="BM488" s="138" t="str">
        <f>IF(IFERROR(VLOOKUP(J488,'[63]ТР нефть'!$J$28:$BP$638,56,0),"-")=0,"-",IFERROR(VLOOKUP(J488,'[63]ТР нефть'!$J$28:$BP$638,56,0),"-"))</f>
        <v>-</v>
      </c>
      <c r="BN488" s="138" t="str">
        <f>IF(IFERROR(VLOOKUP(J488,'[63]ТР нефть'!$J$28:$BP$638,57,0),"-")=0,"-",IFERROR(VLOOKUP(J488,'[63]ТР нефть'!$J$28:$BP$638,57,0),"-"))</f>
        <v>-</v>
      </c>
      <c r="BO488" s="115" t="str">
        <f>IF(IFERROR(VLOOKUP(J488,'[63]ТР нефть'!$J$28:$BP$638,58,0),"-")=0,"-",IFERROR(VLOOKUP(J488,'[63]ТР нефть'!$J$28:$BP$638,58,0),"-"))</f>
        <v>-</v>
      </c>
      <c r="BP488" s="115" t="str">
        <f>IF(IFERROR(VLOOKUP(J488,'[63]ТР нефть'!$J$28:$BP$638,59,0),"-")=0,"-",IFERROR(VLOOKUP(J488,'[63]ТР нефть'!$J$28:$BP$638,59,0),"-"))</f>
        <v>-</v>
      </c>
      <c r="BQ488" s="138">
        <v>2126</v>
      </c>
      <c r="BR488" s="128">
        <v>1907.2</v>
      </c>
      <c r="BS488" s="115">
        <f t="shared" si="388"/>
        <v>218.79999999999995</v>
      </c>
      <c r="BT488" s="128">
        <v>73</v>
      </c>
      <c r="BU488" s="128">
        <v>5.5</v>
      </c>
      <c r="BV488" s="127">
        <v>18</v>
      </c>
      <c r="BW488" s="127" t="s">
        <v>217</v>
      </c>
      <c r="BX488" s="127" t="s">
        <v>195</v>
      </c>
      <c r="BY488" s="139">
        <v>24</v>
      </c>
      <c r="BZ488" s="139">
        <v>0</v>
      </c>
      <c r="CA488" s="138">
        <v>27</v>
      </c>
      <c r="CB488" s="138">
        <v>44</v>
      </c>
      <c r="CC488" s="138">
        <v>26</v>
      </c>
      <c r="CD488" s="135">
        <v>45017</v>
      </c>
      <c r="CE488" s="138">
        <v>93</v>
      </c>
      <c r="CF488" s="138"/>
      <c r="CG488" s="138"/>
      <c r="CH488" s="138"/>
      <c r="CI488" s="127"/>
      <c r="CJ488" s="138"/>
      <c r="CK488" s="138"/>
      <c r="CL488" s="99"/>
      <c r="CM488" s="127"/>
      <c r="CN488" s="138">
        <v>49</v>
      </c>
      <c r="CO488" s="141">
        <f t="shared" si="373"/>
        <v>14.713600000000001</v>
      </c>
      <c r="CP488" s="142">
        <v>17.600000000000001</v>
      </c>
      <c r="CQ488" s="119">
        <v>0</v>
      </c>
      <c r="CR488" s="138">
        <v>13.2</v>
      </c>
      <c r="CS488" s="139"/>
      <c r="CT488" s="138"/>
      <c r="CU488" s="138">
        <f t="shared" si="370"/>
        <v>13.2</v>
      </c>
      <c r="CV488" s="115">
        <f t="shared" si="368"/>
        <v>897.12918660287073</v>
      </c>
      <c r="CW488" s="115" t="str">
        <f t="shared" si="374"/>
        <v/>
      </c>
      <c r="CX488" s="133">
        <f t="shared" si="369"/>
        <v>0.4</v>
      </c>
      <c r="CY488" s="116"/>
      <c r="CZ488" s="131"/>
      <c r="DA488" s="145" t="str">
        <f t="shared" si="375"/>
        <v>Фон.</v>
      </c>
      <c r="DB488" s="146">
        <f t="shared" si="390"/>
        <v>14.713600000000001</v>
      </c>
      <c r="DC488" s="142">
        <f t="shared" si="402"/>
        <v>17.600000000000001</v>
      </c>
      <c r="DD488" s="119">
        <f t="shared" si="350"/>
        <v>0</v>
      </c>
      <c r="DE488" s="115">
        <f t="shared" si="392"/>
        <v>13.2</v>
      </c>
      <c r="DF488" s="121">
        <f t="shared" si="376"/>
        <v>0</v>
      </c>
      <c r="DG488" s="115">
        <f t="shared" si="377"/>
        <v>897.12918660287073</v>
      </c>
      <c r="DH488" s="115">
        <f t="shared" si="378"/>
        <v>49</v>
      </c>
      <c r="DI488" s="147"/>
      <c r="DJ488" s="111"/>
      <c r="DK488" s="112">
        <v>43860</v>
      </c>
      <c r="DL488" s="113">
        <f t="shared" ca="1" si="393"/>
        <v>1244</v>
      </c>
      <c r="DM488" s="114"/>
      <c r="DN488" s="114"/>
      <c r="DO488" s="114"/>
      <c r="DP488" s="114"/>
      <c r="DQ488" s="112"/>
      <c r="DR488" s="114"/>
      <c r="DS488" s="114"/>
      <c r="DT488" s="115">
        <v>48</v>
      </c>
      <c r="DU488" s="116">
        <f t="shared" si="394"/>
        <v>0.3975794251134645</v>
      </c>
      <c r="DV488" s="117">
        <f t="shared" si="395"/>
        <v>14.956937972768534</v>
      </c>
      <c r="DW488" s="118">
        <f t="shared" si="396"/>
        <v>17.891074130105903</v>
      </c>
      <c r="DX488" s="119">
        <f t="shared" si="379"/>
        <v>0</v>
      </c>
      <c r="DY488" s="115">
        <f t="shared" si="397"/>
        <v>13.418305597579424</v>
      </c>
      <c r="DZ488" s="117">
        <f t="shared" si="398"/>
        <v>0.24333797276853275</v>
      </c>
      <c r="EA488" s="120">
        <f t="shared" si="398"/>
        <v>0.29107413010590122</v>
      </c>
      <c r="EB488" s="119">
        <f t="shared" si="387"/>
        <v>0</v>
      </c>
      <c r="EC488" s="121">
        <f t="shared" si="399"/>
        <v>0.21830559757942503</v>
      </c>
      <c r="ED488" s="122"/>
      <c r="EE488" s="145">
        <v>18</v>
      </c>
      <c r="EF488" s="115">
        <v>27</v>
      </c>
      <c r="EG488" s="115">
        <v>44</v>
      </c>
      <c r="EH488" s="115">
        <v>26</v>
      </c>
      <c r="EI488" s="128" t="s">
        <v>195</v>
      </c>
      <c r="EJ488" s="121">
        <v>24</v>
      </c>
      <c r="EK488" s="121">
        <v>0</v>
      </c>
      <c r="EL488" s="149">
        <v>14.713600000000001</v>
      </c>
      <c r="EM488" s="142">
        <v>17.600000000000001</v>
      </c>
      <c r="EN488" s="119">
        <v>0</v>
      </c>
      <c r="EO488" s="115">
        <v>13.2</v>
      </c>
      <c r="EP488" s="115">
        <v>897.12918660287073</v>
      </c>
      <c r="EQ488" s="115">
        <v>0</v>
      </c>
      <c r="ER488" s="115">
        <v>0</v>
      </c>
      <c r="ES488" s="115">
        <v>49</v>
      </c>
      <c r="ET488" s="150">
        <v>0.4</v>
      </c>
      <c r="EU488" s="145">
        <f t="shared" si="400"/>
        <v>18</v>
      </c>
      <c r="EV488" s="115">
        <f t="shared" si="380"/>
        <v>27</v>
      </c>
      <c r="EW488" s="115">
        <f t="shared" si="380"/>
        <v>44</v>
      </c>
      <c r="EX488" s="115">
        <f t="shared" si="380"/>
        <v>26</v>
      </c>
      <c r="EY488" s="115" t="str">
        <f t="shared" si="357"/>
        <v>Постоянный</v>
      </c>
      <c r="EZ488" s="115">
        <f t="shared" si="357"/>
        <v>24</v>
      </c>
      <c r="FA488" s="115">
        <f t="shared" si="357"/>
        <v>0</v>
      </c>
      <c r="FB488" s="149">
        <f t="shared" si="345"/>
        <v>14.713600000000001</v>
      </c>
      <c r="FC488" s="142">
        <f t="shared" si="345"/>
        <v>17.600000000000001</v>
      </c>
      <c r="FD488" s="119">
        <f t="shared" si="345"/>
        <v>0</v>
      </c>
      <c r="FE488" s="121">
        <f t="shared" si="344"/>
        <v>13.2</v>
      </c>
      <c r="FF488" s="121">
        <f t="shared" si="347"/>
        <v>897.12918660287073</v>
      </c>
      <c r="FG488" s="121">
        <f t="shared" si="381"/>
        <v>0</v>
      </c>
      <c r="FH488" s="121">
        <f t="shared" si="358"/>
        <v>0</v>
      </c>
      <c r="FI488" s="121">
        <f t="shared" si="355"/>
        <v>49</v>
      </c>
      <c r="FJ488" s="144">
        <f t="shared" si="382"/>
        <v>0.4</v>
      </c>
      <c r="FK488" s="132">
        <f t="shared" si="383"/>
        <v>0</v>
      </c>
      <c r="FL488" s="115">
        <f t="shared" si="383"/>
        <v>0</v>
      </c>
      <c r="FM488" s="115">
        <f t="shared" si="383"/>
        <v>0</v>
      </c>
      <c r="FN488" s="115">
        <f t="shared" si="371"/>
        <v>0</v>
      </c>
      <c r="FO488" s="115">
        <f t="shared" ref="FO488:FT551" si="403">EZ488-EJ488</f>
        <v>0</v>
      </c>
      <c r="FP488" s="115">
        <f t="shared" si="403"/>
        <v>0</v>
      </c>
      <c r="FQ488" s="149">
        <f t="shared" si="403"/>
        <v>0</v>
      </c>
      <c r="FR488" s="142">
        <f t="shared" si="403"/>
        <v>0</v>
      </c>
      <c r="FS488" s="119">
        <f t="shared" si="403"/>
        <v>0</v>
      </c>
      <c r="FT488" s="121">
        <f t="shared" si="353"/>
        <v>0</v>
      </c>
      <c r="FU488" s="121">
        <f t="shared" si="384"/>
        <v>0</v>
      </c>
      <c r="FV488" s="121">
        <f t="shared" si="384"/>
        <v>0</v>
      </c>
      <c r="FW488" s="121">
        <f t="shared" si="385"/>
        <v>0</v>
      </c>
      <c r="FX488" s="121">
        <f t="shared" si="386"/>
        <v>0</v>
      </c>
      <c r="FY488" s="144">
        <f t="shared" si="386"/>
        <v>0</v>
      </c>
      <c r="FZ488" s="145"/>
      <c r="GA488" s="163" t="s">
        <v>1409</v>
      </c>
      <c r="GB488" s="145"/>
      <c r="GC488" s="151" t="s">
        <v>237</v>
      </c>
      <c r="GD488" s="997" t="s">
        <v>238</v>
      </c>
      <c r="GE488" s="1004"/>
      <c r="GF488" s="1004">
        <v>-0.3343999999999987</v>
      </c>
      <c r="GG488" s="1004"/>
      <c r="GH488" s="1004">
        <v>-0.58519999999999861</v>
      </c>
      <c r="GI488" s="145" t="s">
        <v>204</v>
      </c>
      <c r="GJ488" s="996">
        <v>4.7505699999999997</v>
      </c>
      <c r="GK488" s="145"/>
      <c r="GL488" s="996">
        <v>0</v>
      </c>
      <c r="GM488" s="1005" t="s">
        <v>199</v>
      </c>
      <c r="GN488" s="996">
        <v>2.2952379999999994</v>
      </c>
      <c r="GO488" s="1006" t="s">
        <v>203</v>
      </c>
      <c r="GP488" s="996">
        <v>1.564992000000001</v>
      </c>
      <c r="GQ488" s="1006" t="s">
        <v>203</v>
      </c>
      <c r="GR488" s="996">
        <v>-8.8331760000000017</v>
      </c>
      <c r="GS488" s="1006" t="s">
        <v>204</v>
      </c>
      <c r="GT488" s="996">
        <v>0</v>
      </c>
      <c r="GU488" s="1006"/>
      <c r="GV488" s="996">
        <v>0</v>
      </c>
      <c r="GW488" s="1006"/>
      <c r="GX488" s="997">
        <v>0</v>
      </c>
      <c r="GY488" s="1006" t="s">
        <v>349</v>
      </c>
      <c r="GZ488" s="996">
        <v>1.5564648000000005</v>
      </c>
      <c r="HA488" s="1006" t="s">
        <v>25</v>
      </c>
      <c r="HB488" s="996">
        <v>8.5139911999999995</v>
      </c>
      <c r="HC488" s="1006"/>
      <c r="HD488" s="996">
        <v>0</v>
      </c>
      <c r="HE488" s="1006"/>
      <c r="HF488" s="996">
        <v>0</v>
      </c>
      <c r="HG488" s="1006"/>
      <c r="HH488" s="996">
        <v>0</v>
      </c>
      <c r="HI488" s="1006"/>
      <c r="HJ488" s="996">
        <v>0</v>
      </c>
      <c r="HK488" s="1006"/>
      <c r="HL488" s="996">
        <v>0</v>
      </c>
      <c r="HM488" s="1006" t="s">
        <v>204</v>
      </c>
      <c r="HN488" s="996">
        <v>-1.4880799999999992</v>
      </c>
      <c r="HO488" s="1006"/>
      <c r="HP488" s="996">
        <v>0</v>
      </c>
      <c r="HQ488" s="1006"/>
      <c r="HR488" s="996">
        <v>0</v>
      </c>
      <c r="HS488" s="1006"/>
      <c r="HT488" s="996">
        <v>0</v>
      </c>
      <c r="HU488" s="1006"/>
      <c r="HV488" s="996">
        <v>0</v>
      </c>
      <c r="HW488" s="1006"/>
      <c r="HX488" s="996">
        <v>0</v>
      </c>
      <c r="HY488" s="1006" t="s">
        <v>199</v>
      </c>
      <c r="HZ488" s="996">
        <v>-4.7652000000000001</v>
      </c>
      <c r="IA488" s="1006" t="s">
        <v>241</v>
      </c>
      <c r="IB488" s="996">
        <v>5.1832000000000003</v>
      </c>
      <c r="IC488" s="1006" t="s">
        <v>223</v>
      </c>
      <c r="ID488" s="996">
        <v>-2.508</v>
      </c>
      <c r="IE488" s="1006"/>
      <c r="IF488" s="996">
        <v>0</v>
      </c>
      <c r="IG488" s="1006"/>
      <c r="IH488" s="996">
        <v>0</v>
      </c>
      <c r="II488" s="1006" t="s">
        <v>223</v>
      </c>
      <c r="IJ488" s="996">
        <v>-3.8957599999999992</v>
      </c>
      <c r="IK488" s="1006" t="s">
        <v>199</v>
      </c>
      <c r="IL488" s="996">
        <v>10.750959999999999</v>
      </c>
      <c r="IM488" s="1006"/>
      <c r="IN488" s="996">
        <v>0</v>
      </c>
      <c r="IO488" s="1006" t="s">
        <v>199</v>
      </c>
      <c r="IP488" s="996">
        <v>-5.8519999999999994</v>
      </c>
      <c r="IQ488" s="1006"/>
      <c r="IR488" s="996">
        <v>0</v>
      </c>
      <c r="IS488" s="1006" t="s">
        <v>204</v>
      </c>
      <c r="IT488" s="996">
        <v>-5.3687920000000009</v>
      </c>
      <c r="IU488" s="1006"/>
      <c r="IV488" s="996">
        <v>0</v>
      </c>
      <c r="IW488" s="1006"/>
      <c r="IX488" s="996">
        <v>0</v>
      </c>
      <c r="IY488" s="1006" t="s">
        <v>203</v>
      </c>
      <c r="IZ488" s="996">
        <v>-3.2303039999999985</v>
      </c>
      <c r="JA488" s="1006"/>
      <c r="JB488" s="996">
        <v>0.55677599999999927</v>
      </c>
      <c r="JC488" s="1006"/>
      <c r="JD488" s="996">
        <v>0</v>
      </c>
      <c r="JE488" s="1006" t="s">
        <v>203</v>
      </c>
      <c r="JF488" s="996">
        <v>-5.8018400000000021</v>
      </c>
      <c r="JG488" s="1006" t="s">
        <v>25</v>
      </c>
      <c r="JH488" s="996">
        <v>22.2</v>
      </c>
      <c r="JI488" s="1006"/>
      <c r="JJ488" s="996"/>
      <c r="JK488" s="1007"/>
      <c r="JL488" s="1007"/>
      <c r="JM488" s="1007"/>
      <c r="JN488" s="1007"/>
      <c r="JO488" s="1008"/>
      <c r="JP488" s="1007"/>
      <c r="JQ488" s="1008"/>
      <c r="JR488" s="1007"/>
      <c r="JS488" s="1008"/>
      <c r="JT488" s="1007"/>
      <c r="JU488" s="1008"/>
      <c r="JV488" s="1007"/>
      <c r="JW488" s="1008"/>
      <c r="JX488" s="1007"/>
      <c r="JY488" s="1008"/>
      <c r="JZ488" s="1007"/>
      <c r="KA488" s="1008"/>
      <c r="KB488" s="1007"/>
      <c r="KC488" s="1008"/>
      <c r="KD488" s="1007"/>
      <c r="KE488" s="1008"/>
      <c r="KF488" s="1007"/>
      <c r="KG488" s="1008"/>
      <c r="KH488" s="1007"/>
      <c r="KI488" s="1008"/>
      <c r="KJ488" s="1007"/>
      <c r="KK488" s="1008"/>
      <c r="KL488" s="1007"/>
      <c r="KM488" s="1008"/>
      <c r="KN488" s="1007"/>
      <c r="KO488" s="1008"/>
      <c r="KP488" s="1007"/>
      <c r="KQ488" s="1008"/>
      <c r="KR488" s="1007"/>
      <c r="KS488" s="1008"/>
      <c r="KT488" s="1007"/>
      <c r="KU488" s="1008"/>
      <c r="KV488" s="1007"/>
      <c r="KW488" s="1008"/>
      <c r="KX488" s="1007"/>
      <c r="KY488" s="1008"/>
      <c r="KZ488" s="1007"/>
      <c r="LA488" s="1008"/>
      <c r="LB488" s="1007"/>
      <c r="LC488" s="1008"/>
      <c r="LD488" s="1007"/>
      <c r="LE488" s="1008"/>
      <c r="LF488" s="1007"/>
      <c r="LG488" s="1008"/>
      <c r="LH488" s="1007"/>
      <c r="LI488" s="1008"/>
      <c r="LJ488" s="1007"/>
      <c r="LK488" s="1008"/>
      <c r="LL488" s="1007"/>
      <c r="LM488" s="1008"/>
      <c r="LN488" s="1007"/>
      <c r="LO488" s="1008"/>
      <c r="LP488" s="1007"/>
      <c r="LQ488" s="1008"/>
      <c r="LR488" s="1007"/>
      <c r="LS488" s="1008"/>
      <c r="LT488" s="1007"/>
      <c r="LU488" s="1008"/>
      <c r="LV488" s="1007"/>
      <c r="LW488" s="1008"/>
      <c r="LX488" s="1007"/>
      <c r="LY488" s="1009"/>
      <c r="LZ488" s="1010"/>
      <c r="MA488" s="1011"/>
      <c r="MB488" s="1012"/>
      <c r="MC488" s="995"/>
      <c r="MD488" s="996"/>
      <c r="ME488" s="997" t="s">
        <v>238</v>
      </c>
      <c r="MF488" s="997"/>
      <c r="MG488" s="998"/>
      <c r="NR488" s="1000"/>
      <c r="NS488" s="1000"/>
      <c r="NT488" s="1001"/>
      <c r="NU488" s="1000"/>
      <c r="NV488" s="1001"/>
      <c r="NX488" s="1002"/>
      <c r="NZ488" s="1001"/>
      <c r="OA488" s="1001"/>
      <c r="OC488" s="1003"/>
      <c r="OD488" s="1003"/>
      <c r="OE488" s="1001"/>
      <c r="OF488" s="1003"/>
      <c r="OG488" s="1003"/>
      <c r="QX488" s="1000">
        <f>CN488-CA488</f>
        <v>22</v>
      </c>
      <c r="ASU488" s="999" t="s">
        <v>208</v>
      </c>
    </row>
    <row r="489" spans="1:466 1191:1191" ht="21" customHeight="1" x14ac:dyDescent="0.25">
      <c r="A489" s="982">
        <f t="shared" si="372"/>
        <v>1582</v>
      </c>
      <c r="B489" s="124">
        <f>SUBTOTAL(103,$J$29:J489)</f>
        <v>461</v>
      </c>
      <c r="C489" s="126">
        <v>45096</v>
      </c>
      <c r="D489" s="124" t="s">
        <v>176</v>
      </c>
      <c r="E489" s="127" t="s">
        <v>177</v>
      </c>
      <c r="F489" s="128" t="s">
        <v>177</v>
      </c>
      <c r="G489" s="127" t="s">
        <v>178</v>
      </c>
      <c r="H489" s="127" t="s">
        <v>421</v>
      </c>
      <c r="I489" s="127" t="s">
        <v>1433</v>
      </c>
      <c r="J489" s="152">
        <v>1582</v>
      </c>
      <c r="K489" s="127" t="s">
        <v>1433</v>
      </c>
      <c r="L489" s="130">
        <v>43811</v>
      </c>
      <c r="M489" s="127" t="s">
        <v>230</v>
      </c>
      <c r="N489" s="127" t="s">
        <v>231</v>
      </c>
      <c r="O489" s="127" t="s">
        <v>185</v>
      </c>
      <c r="P489" s="127" t="s">
        <v>208</v>
      </c>
      <c r="Q489" s="85" t="str">
        <f t="shared" si="367"/>
        <v/>
      </c>
      <c r="R489" s="130"/>
      <c r="S489" s="128"/>
      <c r="T489" s="131"/>
      <c r="U489" s="132">
        <v>203</v>
      </c>
      <c r="V489" s="121">
        <v>218.2</v>
      </c>
      <c r="W489" s="116">
        <v>0.98</v>
      </c>
      <c r="X489" s="116">
        <v>1.66</v>
      </c>
      <c r="Y489" s="116">
        <f t="shared" si="346"/>
        <v>0.98160841861363191</v>
      </c>
      <c r="Z489" s="133">
        <v>1.454</v>
      </c>
      <c r="AA489" s="133">
        <v>0.83599999999999997</v>
      </c>
      <c r="AB489" s="133">
        <v>0.72</v>
      </c>
      <c r="AC489" s="121">
        <v>34.299999999999997</v>
      </c>
      <c r="AD489" s="134">
        <v>1.17</v>
      </c>
      <c r="AE489" s="124">
        <v>177.8</v>
      </c>
      <c r="AF489" s="128">
        <v>9.19</v>
      </c>
      <c r="AG489" s="128">
        <v>2596.21</v>
      </c>
      <c r="AH489" s="127">
        <v>3297</v>
      </c>
      <c r="AI489" s="127">
        <v>3297</v>
      </c>
      <c r="AJ489" s="135"/>
      <c r="AK489" s="128"/>
      <c r="AL489" s="131"/>
      <c r="AM489" s="124" t="s">
        <v>232</v>
      </c>
      <c r="AN489" s="136" t="s">
        <v>1780</v>
      </c>
      <c r="AO489" s="137">
        <v>8.48</v>
      </c>
      <c r="AP489" s="128">
        <v>2596.1999999999998</v>
      </c>
      <c r="AQ489" s="128">
        <v>679.34</v>
      </c>
      <c r="AR489" s="128"/>
      <c r="AS489" s="128"/>
      <c r="AT489" s="122"/>
      <c r="AU489" s="124" t="s">
        <v>189</v>
      </c>
      <c r="AV489" s="115">
        <f>VLOOKUP(J489,'[63]ТР нефть'!$J$28:$BP$638,39,0)</f>
        <v>662.00000156299996</v>
      </c>
      <c r="AW489" s="115" t="str">
        <f>VLOOKUP(J489,'[63]ТР нефть'!$J$28:$BP$638,40,0)</f>
        <v>ГП</v>
      </c>
      <c r="AX489" s="115">
        <f>VLOOKUP(J489,'[63]ТР нефть'!$J$28:$BP$638,41,0)</f>
        <v>1367.9999964839999</v>
      </c>
      <c r="AY489" s="115" t="str">
        <f>VLOOKUP(J489,'[63]ТР нефть'!$J$28:$BP$638,42,0)</f>
        <v>ГК85 5/32</v>
      </c>
      <c r="AZ489" s="115">
        <f>VLOOKUP(J489,'[63]ТР нефть'!$J$28:$BP$638,43,0)</f>
        <v>1810.0000312499999</v>
      </c>
      <c r="BA489" s="115" t="str">
        <f>VLOOKUP(J489,'[63]ТР нефть'!$J$28:$BP$638,44,0)</f>
        <v>ЦКсОК 5/16</v>
      </c>
      <c r="BB489" s="115" t="str">
        <f>VLOOKUP(J489,'[63]ТР нефть'!$J$28:$BP$638,45,0)</f>
        <v>-</v>
      </c>
      <c r="BC489" s="115" t="str">
        <f>VLOOKUP(J489,'[63]ТР нефть'!$J$28:$BP$638,46,0)</f>
        <v>-</v>
      </c>
      <c r="BD489" s="115" t="str">
        <f>VLOOKUP(J489,'[63]ТР нефть'!$J$28:$BP$638,47,0)</f>
        <v>-</v>
      </c>
      <c r="BE489" s="115" t="str">
        <f>VLOOKUP(J489,'[63]ТР нефть'!$J$28:$BP$638,48,0)</f>
        <v>-</v>
      </c>
      <c r="BF489" s="115" t="str">
        <f>VLOOKUP(J489,'[63]ТР нефть'!$J$28:$BP$638,49,0)</f>
        <v>-</v>
      </c>
      <c r="BG489" s="115" t="str">
        <f>VLOOKUP(J489,'[63]ТР нефть'!$J$28:$BP$638,50,0)</f>
        <v>-</v>
      </c>
      <c r="BH489" s="115">
        <f>VLOOKUP(J489,'[63]ТР нефть'!$J$28:$BP$638,51,0)</f>
        <v>1820</v>
      </c>
      <c r="BI489" s="115" t="str">
        <f>VLOOKUP(J489,'[63]ТР нефть'!$J$28:$BP$638,52,0)</f>
        <v>закрыт</v>
      </c>
      <c r="BJ489" s="115" t="str">
        <f>IF(IFERROR(VLOOKUP(J489,'[63]ТР нефть'!$J$28:$BP$638,53,0),"-")=0,"-",IFERROR(VLOOKUP(J489,'[63]ТР нефть'!$J$28:$BP$638,53,0),"-"))</f>
        <v>-</v>
      </c>
      <c r="BK489" s="138" t="str">
        <f>IF(IFERROR(VLOOKUP(J489,'[63]ТР нефть'!$J$28:$BP$638,54,0),"-")=0,"-",IFERROR(VLOOKUP(J489,'[63]ТР нефть'!$J$28:$BP$638,54,0),"-"))</f>
        <v>-</v>
      </c>
      <c r="BL489" s="138" t="str">
        <f>IF(IFERROR(VLOOKUP(J489,'[63]ТР нефть'!$J$28:$BP$638,55,0),"-")=0,"-",IFERROR(VLOOKUP(J489,'[63]ТР нефть'!$J$28:$BP$638,55,0),"-"))</f>
        <v>-</v>
      </c>
      <c r="BM489" s="138" t="str">
        <f>IF(IFERROR(VLOOKUP(J489,'[63]ТР нефть'!$J$28:$BP$638,56,0),"-")=0,"-",IFERROR(VLOOKUP(J489,'[63]ТР нефть'!$J$28:$BP$638,56,0),"-"))</f>
        <v>-</v>
      </c>
      <c r="BN489" s="138" t="str">
        <f>IF(IFERROR(VLOOKUP(J489,'[63]ТР нефть'!$J$28:$BP$638,57,0),"-")=0,"-",IFERROR(VLOOKUP(J489,'[63]ТР нефть'!$J$28:$BP$638,57,0),"-"))</f>
        <v>-</v>
      </c>
      <c r="BO489" s="115" t="str">
        <f>IF(IFERROR(VLOOKUP(J489,'[63]ТР нефть'!$J$28:$BP$638,58,0),"-")=0,"-",IFERROR(VLOOKUP(J489,'[63]ТР нефть'!$J$28:$BP$638,58,0),"-"))</f>
        <v>-</v>
      </c>
      <c r="BP489" s="115" t="str">
        <f>IF(IFERROR(VLOOKUP(J489,'[63]ТР нефть'!$J$28:$BP$638,59,0),"-")=0,"-",IFERROR(VLOOKUP(J489,'[63]ТР нефть'!$J$28:$BP$638,59,0),"-"))</f>
        <v>-</v>
      </c>
      <c r="BQ489" s="138">
        <v>2646</v>
      </c>
      <c r="BR489" s="128">
        <v>1914.92</v>
      </c>
      <c r="BS489" s="115">
        <f t="shared" si="388"/>
        <v>731.07999999999993</v>
      </c>
      <c r="BT489" s="128">
        <v>73</v>
      </c>
      <c r="BU489" s="128">
        <v>5.5</v>
      </c>
      <c r="BV489" s="127">
        <v>12</v>
      </c>
      <c r="BW489" s="127" t="s">
        <v>234</v>
      </c>
      <c r="BX489" s="127" t="s">
        <v>195</v>
      </c>
      <c r="BY489" s="139">
        <v>24</v>
      </c>
      <c r="BZ489" s="139">
        <v>0</v>
      </c>
      <c r="CA489" s="115">
        <v>24</v>
      </c>
      <c r="CB489" s="115">
        <v>45</v>
      </c>
      <c r="CC489" s="115">
        <v>23</v>
      </c>
      <c r="CD489" s="135">
        <v>45017</v>
      </c>
      <c r="CE489" s="138">
        <v>109</v>
      </c>
      <c r="CF489" s="138">
        <v>80</v>
      </c>
      <c r="CG489" s="138" t="str">
        <f t="shared" ref="CG489:CG498" si="404">IF(CH489&lt;&gt;"","В работе","")</f>
        <v>В работе</v>
      </c>
      <c r="CH489" s="138" t="s">
        <v>272</v>
      </c>
      <c r="CI489" s="127">
        <v>6</v>
      </c>
      <c r="CJ489" s="138"/>
      <c r="CK489" s="138"/>
      <c r="CL489" s="99"/>
      <c r="CM489" s="99"/>
      <c r="CN489" s="138">
        <v>57</v>
      </c>
      <c r="CO489" s="141">
        <f t="shared" si="373"/>
        <v>8.576356800000001</v>
      </c>
      <c r="CP489" s="142">
        <v>10.3</v>
      </c>
      <c r="CQ489" s="119">
        <v>0.4</v>
      </c>
      <c r="CR489" s="115">
        <v>29.8</v>
      </c>
      <c r="CS489" s="139">
        <v>23.3</v>
      </c>
      <c r="CT489" s="138"/>
      <c r="CU489" s="138">
        <f t="shared" si="370"/>
        <v>6.5</v>
      </c>
      <c r="CV489" s="115">
        <f t="shared" si="368"/>
        <v>757.89757254502274</v>
      </c>
      <c r="CW489" s="115">
        <f t="shared" si="374"/>
        <v>2701.7417212835931</v>
      </c>
      <c r="CX489" s="133">
        <f t="shared" si="369"/>
        <v>0.19807692307692309</v>
      </c>
      <c r="CY489" s="116"/>
      <c r="CZ489" s="131"/>
      <c r="DA489" s="145" t="str">
        <f t="shared" si="375"/>
        <v>Газлифт</v>
      </c>
      <c r="DB489" s="146">
        <f t="shared" si="390"/>
        <v>8.576356800000001</v>
      </c>
      <c r="DC489" s="142">
        <f t="shared" si="402"/>
        <v>10.3</v>
      </c>
      <c r="DD489" s="119">
        <f t="shared" si="350"/>
        <v>0.4</v>
      </c>
      <c r="DE489" s="115">
        <f t="shared" si="392"/>
        <v>6.5</v>
      </c>
      <c r="DF489" s="121">
        <f t="shared" si="376"/>
        <v>23.3</v>
      </c>
      <c r="DG489" s="115">
        <f t="shared" si="377"/>
        <v>757.89757254502274</v>
      </c>
      <c r="DH489" s="115">
        <f t="shared" si="378"/>
        <v>57</v>
      </c>
      <c r="DI489" s="147"/>
      <c r="DJ489" s="111"/>
      <c r="DK489" s="112">
        <v>43811</v>
      </c>
      <c r="DL489" s="113">
        <f t="shared" ca="1" si="393"/>
        <v>1293</v>
      </c>
      <c r="DM489" s="114"/>
      <c r="DN489" s="114"/>
      <c r="DO489" s="114"/>
      <c r="DP489" s="114"/>
      <c r="DQ489" s="112"/>
      <c r="DR489" s="114"/>
      <c r="DS489" s="114"/>
      <c r="DT489" s="115">
        <v>60</v>
      </c>
      <c r="DU489" s="116">
        <f t="shared" si="394"/>
        <v>0.21020408163265308</v>
      </c>
      <c r="DV489" s="117">
        <f t="shared" si="395"/>
        <v>8.576356800000001</v>
      </c>
      <c r="DW489" s="118">
        <f t="shared" si="396"/>
        <v>10.3</v>
      </c>
      <c r="DX489" s="119">
        <f t="shared" si="379"/>
        <v>0.4</v>
      </c>
      <c r="DY489" s="115">
        <f t="shared" si="397"/>
        <v>6.5</v>
      </c>
      <c r="DZ489" s="117">
        <f t="shared" si="398"/>
        <v>0</v>
      </c>
      <c r="EA489" s="120">
        <f t="shared" si="398"/>
        <v>0</v>
      </c>
      <c r="EB489" s="119">
        <f t="shared" si="387"/>
        <v>0</v>
      </c>
      <c r="EC489" s="121">
        <f t="shared" si="399"/>
        <v>0</v>
      </c>
      <c r="ED489" s="122"/>
      <c r="EE489" s="145">
        <v>12</v>
      </c>
      <c r="EF489" s="115">
        <v>26</v>
      </c>
      <c r="EG489" s="115">
        <v>40</v>
      </c>
      <c r="EH489" s="115">
        <v>25</v>
      </c>
      <c r="EI489" s="128" t="s">
        <v>195</v>
      </c>
      <c r="EJ489" s="121">
        <v>24</v>
      </c>
      <c r="EK489" s="121">
        <v>0</v>
      </c>
      <c r="EL489" s="149">
        <v>9.4217199999999988</v>
      </c>
      <c r="EM489" s="142">
        <v>11.27</v>
      </c>
      <c r="EN489" s="119">
        <v>0</v>
      </c>
      <c r="EO489" s="115">
        <v>12.291</v>
      </c>
      <c r="EP489" s="115">
        <v>412.98191837583801</v>
      </c>
      <c r="EQ489" s="115">
        <v>80</v>
      </c>
      <c r="ER489" s="115">
        <v>8.4</v>
      </c>
      <c r="ES489" s="115">
        <v>63</v>
      </c>
      <c r="ET489" s="150">
        <v>0.245</v>
      </c>
      <c r="EU489" s="145">
        <f t="shared" si="400"/>
        <v>12</v>
      </c>
      <c r="EV489" s="115">
        <f t="shared" si="380"/>
        <v>24</v>
      </c>
      <c r="EW489" s="115">
        <f t="shared" si="380"/>
        <v>45</v>
      </c>
      <c r="EX489" s="115">
        <f t="shared" si="380"/>
        <v>23</v>
      </c>
      <c r="EY489" s="115" t="str">
        <f t="shared" si="357"/>
        <v>Постоянный</v>
      </c>
      <c r="EZ489" s="115">
        <f t="shared" si="357"/>
        <v>24</v>
      </c>
      <c r="FA489" s="115">
        <f t="shared" si="357"/>
        <v>0</v>
      </c>
      <c r="FB489" s="149">
        <f t="shared" si="345"/>
        <v>8.576356800000001</v>
      </c>
      <c r="FC489" s="142">
        <f t="shared" si="345"/>
        <v>10.3</v>
      </c>
      <c r="FD489" s="119">
        <f t="shared" si="345"/>
        <v>0.4</v>
      </c>
      <c r="FE489" s="121">
        <f t="shared" si="345"/>
        <v>29.8</v>
      </c>
      <c r="FF489" s="121">
        <f t="shared" si="347"/>
        <v>757.89757254502274</v>
      </c>
      <c r="FG489" s="121">
        <f t="shared" si="381"/>
        <v>80</v>
      </c>
      <c r="FH489" s="121">
        <f t="shared" si="358"/>
        <v>23.3</v>
      </c>
      <c r="FI489" s="121">
        <f t="shared" si="355"/>
        <v>57</v>
      </c>
      <c r="FJ489" s="144">
        <f t="shared" si="382"/>
        <v>0.19807692307692309</v>
      </c>
      <c r="FK489" s="132">
        <f t="shared" si="383"/>
        <v>0</v>
      </c>
      <c r="FL489" s="115">
        <f t="shared" si="383"/>
        <v>-2</v>
      </c>
      <c r="FM489" s="115">
        <f t="shared" si="383"/>
        <v>5</v>
      </c>
      <c r="FN489" s="115">
        <f t="shared" si="371"/>
        <v>-2</v>
      </c>
      <c r="FO489" s="115">
        <f t="shared" si="403"/>
        <v>0</v>
      </c>
      <c r="FP489" s="115">
        <f t="shared" si="403"/>
        <v>0</v>
      </c>
      <c r="FQ489" s="149">
        <f t="shared" si="403"/>
        <v>-0.84536319999999776</v>
      </c>
      <c r="FR489" s="142">
        <f t="shared" si="403"/>
        <v>-0.96999999999999886</v>
      </c>
      <c r="FS489" s="119">
        <f t="shared" si="403"/>
        <v>0.4</v>
      </c>
      <c r="FT489" s="121">
        <f t="shared" si="353"/>
        <v>17.509</v>
      </c>
      <c r="FU489" s="121">
        <f t="shared" si="384"/>
        <v>0</v>
      </c>
      <c r="FV489" s="121">
        <f t="shared" si="384"/>
        <v>14.9</v>
      </c>
      <c r="FW489" s="121">
        <f t="shared" si="385"/>
        <v>344.91565416918473</v>
      </c>
      <c r="FX489" s="121">
        <f t="shared" si="386"/>
        <v>-6</v>
      </c>
      <c r="FY489" s="144">
        <f t="shared" si="386"/>
        <v>-4.6923076923076901E-2</v>
      </c>
      <c r="FZ489" s="145"/>
      <c r="GA489" s="151" t="s">
        <v>1781</v>
      </c>
      <c r="GB489" s="145"/>
      <c r="GC489" s="151" t="s">
        <v>1409</v>
      </c>
      <c r="GD489" s="997" t="s">
        <v>238</v>
      </c>
      <c r="GE489" s="1004"/>
      <c r="GF489" s="1004">
        <v>0</v>
      </c>
      <c r="GG489" s="1004"/>
      <c r="GH489" s="1004">
        <v>0</v>
      </c>
      <c r="GI489" s="145"/>
      <c r="GJ489" s="996">
        <v>0</v>
      </c>
      <c r="GK489" s="145"/>
      <c r="GL489" s="996">
        <v>0</v>
      </c>
      <c r="GM489" s="1005"/>
      <c r="GN489" s="996">
        <v>0.22571999999999903</v>
      </c>
      <c r="GO489" s="1006"/>
      <c r="GP489" s="996">
        <v>0</v>
      </c>
      <c r="GQ489" s="1006"/>
      <c r="GR489" s="996">
        <v>0</v>
      </c>
      <c r="GS489" s="1006"/>
      <c r="GT489" s="996">
        <v>0</v>
      </c>
      <c r="GU489" s="1006"/>
      <c r="GV489" s="996">
        <v>0</v>
      </c>
      <c r="GW489" s="1006"/>
      <c r="GX489" s="997">
        <v>0</v>
      </c>
      <c r="GY489" s="1006"/>
      <c r="GZ489" s="996">
        <v>0</v>
      </c>
      <c r="HA489" s="1006"/>
      <c r="HB489" s="996">
        <v>0</v>
      </c>
      <c r="HC489" s="1006"/>
      <c r="HD489" s="996">
        <v>0</v>
      </c>
      <c r="HE489" s="1006"/>
      <c r="HF489" s="996">
        <v>0</v>
      </c>
      <c r="HG489" s="1006"/>
      <c r="HH489" s="996">
        <v>0.17639600000000044</v>
      </c>
      <c r="HI489" s="1006"/>
      <c r="HJ489" s="996">
        <v>0</v>
      </c>
      <c r="HK489" s="1006" t="s">
        <v>199</v>
      </c>
      <c r="HL489" s="996">
        <v>-5.1923960000000005</v>
      </c>
      <c r="HM489" s="1006"/>
      <c r="HN489" s="996">
        <v>0</v>
      </c>
      <c r="HO489" s="1006"/>
      <c r="HP489" s="996">
        <v>0</v>
      </c>
      <c r="HQ489" s="1006"/>
      <c r="HR489" s="996">
        <v>0</v>
      </c>
      <c r="HS489" s="1006"/>
      <c r="HT489" s="996">
        <v>0</v>
      </c>
      <c r="HU489" s="1006" t="s">
        <v>204</v>
      </c>
      <c r="HV489" s="996">
        <v>2.2571999999999992</v>
      </c>
      <c r="HW489" s="1006"/>
      <c r="HX489" s="996">
        <v>0</v>
      </c>
      <c r="HY489" s="1006"/>
      <c r="HZ489" s="996">
        <v>-0.25079999999999814</v>
      </c>
      <c r="IA489" s="1006"/>
      <c r="IB489" s="996">
        <v>0</v>
      </c>
      <c r="IC489" s="1006"/>
      <c r="ID489" s="996">
        <v>0</v>
      </c>
      <c r="IE489" s="1006"/>
      <c r="IF489" s="996">
        <v>0.8360000000000003</v>
      </c>
      <c r="IG489" s="1006"/>
      <c r="IH489" s="996">
        <v>0</v>
      </c>
      <c r="II489" s="1006"/>
      <c r="IJ489" s="996">
        <v>0</v>
      </c>
      <c r="IK489" s="1006" t="s">
        <v>203</v>
      </c>
      <c r="IL489" s="996">
        <v>-2.1736000000000004</v>
      </c>
      <c r="IM489" s="1006"/>
      <c r="IN489" s="996">
        <v>0</v>
      </c>
      <c r="IO489" s="1006"/>
      <c r="IP489" s="996">
        <v>0</v>
      </c>
      <c r="IQ489" s="1006"/>
      <c r="IR489" s="996">
        <v>0</v>
      </c>
      <c r="IS489" s="1006" t="s">
        <v>203</v>
      </c>
      <c r="IT489" s="996">
        <v>-2.5966159999999974</v>
      </c>
      <c r="IU489" s="1006"/>
      <c r="IV489" s="996">
        <v>0</v>
      </c>
      <c r="IW489" s="1006"/>
      <c r="IX489" s="996">
        <v>0</v>
      </c>
      <c r="IY489" s="1006"/>
      <c r="IZ489" s="996">
        <v>0</v>
      </c>
      <c r="JA489" s="1006" t="s">
        <v>223</v>
      </c>
      <c r="JB489" s="996">
        <v>-4.3270691200000044</v>
      </c>
      <c r="JC489" s="1006"/>
      <c r="JD489" s="996">
        <v>0</v>
      </c>
      <c r="JE489" s="1006"/>
      <c r="JF489" s="996">
        <v>0.66558976000000314</v>
      </c>
      <c r="JG489" s="1006" t="s">
        <v>223</v>
      </c>
      <c r="JH489" s="996">
        <v>-8.1211046399999987</v>
      </c>
      <c r="JI489" s="1006" t="s">
        <v>25</v>
      </c>
      <c r="JJ489" s="996">
        <v>27.922399999999996</v>
      </c>
      <c r="JK489" s="1007"/>
      <c r="JL489" s="1007"/>
      <c r="JM489" s="1007"/>
      <c r="JN489" s="1007"/>
      <c r="JO489" s="1008"/>
      <c r="JP489" s="1007"/>
      <c r="JQ489" s="1008"/>
      <c r="JR489" s="1007"/>
      <c r="JS489" s="1008"/>
      <c r="JT489" s="1007"/>
      <c r="JU489" s="1008"/>
      <c r="JV489" s="1007"/>
      <c r="JW489" s="1008"/>
      <c r="JX489" s="1007"/>
      <c r="JY489" s="1008"/>
      <c r="JZ489" s="1007"/>
      <c r="KA489" s="1008"/>
      <c r="KB489" s="1007"/>
      <c r="KC489" s="1008"/>
      <c r="KD489" s="1007"/>
      <c r="KE489" s="1008"/>
      <c r="KF489" s="1007"/>
      <c r="KG489" s="1008"/>
      <c r="KH489" s="1007"/>
      <c r="KI489" s="1008"/>
      <c r="KJ489" s="1007"/>
      <c r="KK489" s="1008"/>
      <c r="KL489" s="1007"/>
      <c r="KM489" s="1008"/>
      <c r="KN489" s="1007"/>
      <c r="KO489" s="1008"/>
      <c r="KP489" s="1007"/>
      <c r="KQ489" s="1008"/>
      <c r="KR489" s="1007"/>
      <c r="KS489" s="1008"/>
      <c r="KT489" s="1007"/>
      <c r="KU489" s="1008"/>
      <c r="KV489" s="1007"/>
      <c r="KW489" s="1008"/>
      <c r="KX489" s="1007"/>
      <c r="KY489" s="1008"/>
      <c r="KZ489" s="1007"/>
      <c r="LA489" s="1008"/>
      <c r="LB489" s="1007"/>
      <c r="LC489" s="1008"/>
      <c r="LD489" s="1007"/>
      <c r="LE489" s="1008"/>
      <c r="LF489" s="1007"/>
      <c r="LG489" s="1008"/>
      <c r="LH489" s="1007"/>
      <c r="LI489" s="1008"/>
      <c r="LJ489" s="1007"/>
      <c r="LK489" s="1008"/>
      <c r="LL489" s="1007"/>
      <c r="LM489" s="1008"/>
      <c r="LN489" s="1007"/>
      <c r="LO489" s="1008"/>
      <c r="LP489" s="1007"/>
      <c r="LQ489" s="1008"/>
      <c r="LR489" s="1007"/>
      <c r="LS489" s="1008"/>
      <c r="LT489" s="1007"/>
      <c r="LU489" s="1008"/>
      <c r="LV489" s="1007"/>
      <c r="LW489" s="1008"/>
      <c r="LX489" s="1007"/>
      <c r="LY489" s="1009"/>
      <c r="LZ489" s="1010"/>
      <c r="MA489" s="1011"/>
      <c r="MB489" s="1012"/>
      <c r="MC489" s="995"/>
      <c r="MD489" s="996"/>
      <c r="ME489" s="997" t="s">
        <v>238</v>
      </c>
      <c r="MF489" s="997"/>
      <c r="MG489" s="998"/>
      <c r="NR489" s="1000"/>
      <c r="NS489" s="1000"/>
      <c r="NT489" s="1001"/>
      <c r="NU489" s="1000"/>
      <c r="NV489" s="1001"/>
      <c r="NX489" s="1002"/>
      <c r="NZ489" s="1001"/>
      <c r="OA489" s="1001"/>
      <c r="OC489" s="1003"/>
      <c r="OD489" s="1003"/>
      <c r="OE489" s="1001"/>
      <c r="OF489" s="1003"/>
      <c r="OG489" s="1003"/>
      <c r="QX489" s="1000">
        <f>CN489-CA489</f>
        <v>33</v>
      </c>
      <c r="ASU489" s="999" t="s">
        <v>225</v>
      </c>
    </row>
    <row r="490" spans="1:466 1191:1191" ht="21" customHeight="1" x14ac:dyDescent="0.25">
      <c r="A490" s="982">
        <f t="shared" si="372"/>
        <v>1583</v>
      </c>
      <c r="B490" s="124">
        <f>SUBTOTAL(103,$J$29:J490)</f>
        <v>462</v>
      </c>
      <c r="C490" s="126">
        <v>45068</v>
      </c>
      <c r="D490" s="124" t="s">
        <v>176</v>
      </c>
      <c r="E490" s="127" t="s">
        <v>177</v>
      </c>
      <c r="F490" s="128" t="s">
        <v>177</v>
      </c>
      <c r="G490" s="127" t="s">
        <v>178</v>
      </c>
      <c r="H490" s="127" t="s">
        <v>408</v>
      </c>
      <c r="I490" s="127" t="s">
        <v>888</v>
      </c>
      <c r="J490" s="152">
        <v>1583</v>
      </c>
      <c r="K490" s="127" t="s">
        <v>1258</v>
      </c>
      <c r="L490" s="130">
        <v>44099</v>
      </c>
      <c r="M490" s="127" t="s">
        <v>230</v>
      </c>
      <c r="N490" s="127" t="s">
        <v>231</v>
      </c>
      <c r="O490" s="127" t="s">
        <v>185</v>
      </c>
      <c r="P490" s="127" t="s">
        <v>186</v>
      </c>
      <c r="Q490" s="85" t="str">
        <f t="shared" si="367"/>
        <v/>
      </c>
      <c r="R490" s="130"/>
      <c r="S490" s="128"/>
      <c r="T490" s="131"/>
      <c r="U490" s="132">
        <v>203</v>
      </c>
      <c r="V490" s="121">
        <v>218.2</v>
      </c>
      <c r="W490" s="116">
        <v>0.98</v>
      </c>
      <c r="X490" s="116">
        <v>1.66</v>
      </c>
      <c r="Y490" s="116">
        <f t="shared" si="346"/>
        <v>0.98</v>
      </c>
      <c r="Z490" s="133">
        <v>1.454</v>
      </c>
      <c r="AA490" s="133">
        <v>0.83599999999999997</v>
      </c>
      <c r="AB490" s="133">
        <v>0.72</v>
      </c>
      <c r="AC490" s="121">
        <v>34.299999999999997</v>
      </c>
      <c r="AD490" s="134">
        <v>1.17</v>
      </c>
      <c r="AE490" s="124">
        <v>177.8</v>
      </c>
      <c r="AF490" s="128">
        <v>9.19</v>
      </c>
      <c r="AG490" s="128">
        <v>2143.02</v>
      </c>
      <c r="AH490" s="127">
        <v>2890</v>
      </c>
      <c r="AI490" s="127">
        <v>2890</v>
      </c>
      <c r="AJ490" s="135"/>
      <c r="AK490" s="128"/>
      <c r="AL490" s="131"/>
      <c r="AM490" s="124" t="s">
        <v>232</v>
      </c>
      <c r="AN490" s="136" t="s">
        <v>1782</v>
      </c>
      <c r="AO490" s="137">
        <v>163</v>
      </c>
      <c r="AP490" s="128">
        <v>1720</v>
      </c>
      <c r="AQ490" s="128">
        <v>423.02</v>
      </c>
      <c r="AR490" s="128"/>
      <c r="AS490" s="128"/>
      <c r="AT490" s="122"/>
      <c r="AU490" s="124" t="s">
        <v>189</v>
      </c>
      <c r="AV490" s="115">
        <f>VLOOKUP(J490,'[63]ТР нефть'!$J$28:$BP$638,39,0)</f>
        <v>473.00000302699999</v>
      </c>
      <c r="AW490" s="115" t="str">
        <f>VLOOKUP(J490,'[63]ТР нефть'!$J$28:$BP$638,40,0)</f>
        <v>ГП</v>
      </c>
      <c r="AX490" s="115">
        <f>VLOOKUP(J490,'[63]ТР нефть'!$J$28:$BP$638,41,0)</f>
        <v>865.99997753900004</v>
      </c>
      <c r="AY490" s="115" t="str">
        <f>VLOOKUP(J490,'[63]ТР нефть'!$J$28:$BP$638,42,0)</f>
        <v>ГП</v>
      </c>
      <c r="AZ490" s="115">
        <f>VLOOKUP(J490,'[63]ТР нефть'!$J$28:$BP$638,43,0)</f>
        <v>1183.99999043</v>
      </c>
      <c r="BA490" s="115" t="str">
        <f>VLOOKUP(J490,'[63]ТР нефть'!$J$28:$BP$638,44,0)</f>
        <v>ГК85 1/8</v>
      </c>
      <c r="BB490" s="115">
        <f>VLOOKUP(J490,'[63]ТР нефть'!$J$28:$BP$638,45,0)</f>
        <v>1437.999965625</v>
      </c>
      <c r="BC490" s="115" t="str">
        <f>VLOOKUP(J490,'[63]ТР нефть'!$J$28:$BP$638,46,0)</f>
        <v>ГК84 1/8</v>
      </c>
      <c r="BD490" s="115">
        <f>VLOOKUP(J490,'[63]ТР нефть'!$J$28:$BP$638,47,0)</f>
        <v>1650.9999503910001</v>
      </c>
      <c r="BE490" s="115" t="str">
        <f>VLOOKUP(J490,'[63]ТР нефть'!$J$28:$BP$638,48,0)</f>
        <v>ГК83 1/8</v>
      </c>
      <c r="BF490" s="115">
        <f>VLOOKUP(J490,'[63]ТР нефть'!$J$28:$BP$638,49,0)</f>
        <v>1820</v>
      </c>
      <c r="BG490" s="115" t="str">
        <f>VLOOKUP(J490,'[63]ТР нефть'!$J$28:$BP$638,50,0)</f>
        <v>ЦКсОК 5/16</v>
      </c>
      <c r="BH490" s="115">
        <f>VLOOKUP(J490,'[63]ТР нефть'!$J$28:$BP$638,51,0)</f>
        <v>1830</v>
      </c>
      <c r="BI490" s="115" t="str">
        <f>VLOOKUP(J490,'[63]ТР нефть'!$J$28:$BP$638,52,0)</f>
        <v>закрыт</v>
      </c>
      <c r="BJ490" s="115" t="str">
        <f>IF(IFERROR(VLOOKUP(J490,'[63]ТР нефть'!$J$28:$BP$638,53,0),"-")=0,"-",IFERROR(VLOOKUP(J490,'[63]ТР нефть'!$J$28:$BP$638,53,0),"-"))</f>
        <v>-</v>
      </c>
      <c r="BK490" s="138" t="str">
        <f>IF(IFERROR(VLOOKUP(J490,'[63]ТР нефть'!$J$28:$BP$638,54,0),"-")=0,"-",IFERROR(VLOOKUP(J490,'[63]ТР нефть'!$J$28:$BP$638,54,0),"-"))</f>
        <v>-</v>
      </c>
      <c r="BL490" s="138" t="str">
        <f>IF(IFERROR(VLOOKUP(J490,'[63]ТР нефть'!$J$28:$BP$638,55,0),"-")=0,"-",IFERROR(VLOOKUP(J490,'[63]ТР нефть'!$J$28:$BP$638,55,0),"-"))</f>
        <v>-</v>
      </c>
      <c r="BM490" s="138" t="str">
        <f>IF(IFERROR(VLOOKUP(J490,'[63]ТР нефть'!$J$28:$BP$638,56,0),"-")=0,"-",IFERROR(VLOOKUP(J490,'[63]ТР нефть'!$J$28:$BP$638,56,0),"-"))</f>
        <v>-</v>
      </c>
      <c r="BN490" s="138" t="str">
        <f>IF(IFERROR(VLOOKUP(J490,'[63]ТР нефть'!$J$28:$BP$638,57,0),"-")=0,"-",IFERROR(VLOOKUP(J490,'[63]ТР нефть'!$J$28:$BP$638,57,0),"-"))</f>
        <v>-</v>
      </c>
      <c r="BO490" s="115" t="str">
        <f>IF(IFERROR(VLOOKUP(J490,'[63]ТР нефть'!$J$28:$BP$638,58,0),"-")=0,"-",IFERROR(VLOOKUP(J490,'[63]ТР нефть'!$J$28:$BP$638,58,0),"-"))</f>
        <v>-</v>
      </c>
      <c r="BP490" s="115" t="str">
        <f>IF(IFERROR(VLOOKUP(J490,'[63]ТР нефть'!$J$28:$BP$638,59,0),"-")=0,"-",IFERROR(VLOOKUP(J490,'[63]ТР нефть'!$J$28:$BP$638,59,0),"-"))</f>
        <v>-</v>
      </c>
      <c r="BQ490" s="138">
        <v>2210</v>
      </c>
      <c r="BR490" s="128">
        <v>1728.39</v>
      </c>
      <c r="BS490" s="115">
        <f t="shared" si="388"/>
        <v>481.6099999999999</v>
      </c>
      <c r="BT490" s="128">
        <v>73</v>
      </c>
      <c r="BU490" s="128">
        <v>5.5</v>
      </c>
      <c r="BV490" s="127">
        <v>18</v>
      </c>
      <c r="BW490" s="127" t="s">
        <v>217</v>
      </c>
      <c r="BX490" s="127" t="s">
        <v>195</v>
      </c>
      <c r="BY490" s="139">
        <v>24</v>
      </c>
      <c r="BZ490" s="139">
        <v>0</v>
      </c>
      <c r="CA490" s="138">
        <v>24</v>
      </c>
      <c r="CB490" s="138">
        <v>37</v>
      </c>
      <c r="CC490" s="138">
        <v>23</v>
      </c>
      <c r="CD490" s="135">
        <v>45017</v>
      </c>
      <c r="CE490" s="138">
        <v>90</v>
      </c>
      <c r="CF490" s="138">
        <v>68</v>
      </c>
      <c r="CG490" s="138" t="str">
        <f t="shared" si="404"/>
        <v>В работе</v>
      </c>
      <c r="CH490" s="138" t="s">
        <v>235</v>
      </c>
      <c r="CI490" s="127">
        <v>5</v>
      </c>
      <c r="CJ490" s="138"/>
      <c r="CK490" s="138"/>
      <c r="CL490" s="99"/>
      <c r="CM490" s="99"/>
      <c r="CN490" s="140">
        <v>47</v>
      </c>
      <c r="CO490" s="159">
        <f t="shared" si="373"/>
        <v>10.45</v>
      </c>
      <c r="CP490" s="160">
        <v>12.5</v>
      </c>
      <c r="CQ490" s="161">
        <v>0</v>
      </c>
      <c r="CR490" s="138">
        <v>21</v>
      </c>
      <c r="CS490" s="139">
        <v>9.6</v>
      </c>
      <c r="CT490" s="138"/>
      <c r="CU490" s="138">
        <f t="shared" si="370"/>
        <v>11.4</v>
      </c>
      <c r="CV490" s="115">
        <f t="shared" si="368"/>
        <v>1090.909090909091</v>
      </c>
      <c r="CW490" s="115">
        <f t="shared" si="374"/>
        <v>918.66028708133979</v>
      </c>
      <c r="CX490" s="133">
        <f t="shared" si="369"/>
        <v>0.29069767441860467</v>
      </c>
      <c r="CY490" s="116"/>
      <c r="CZ490" s="131"/>
      <c r="DA490" s="145" t="str">
        <f t="shared" si="375"/>
        <v>Газлифт</v>
      </c>
      <c r="DB490" s="146">
        <f t="shared" si="390"/>
        <v>10.45</v>
      </c>
      <c r="DC490" s="142">
        <f t="shared" si="402"/>
        <v>12.5</v>
      </c>
      <c r="DD490" s="119">
        <f t="shared" si="350"/>
        <v>0</v>
      </c>
      <c r="DE490" s="115">
        <f t="shared" si="392"/>
        <v>11.4</v>
      </c>
      <c r="DF490" s="121">
        <f t="shared" si="376"/>
        <v>9.6</v>
      </c>
      <c r="DG490" s="115">
        <f t="shared" si="377"/>
        <v>1090.909090909091</v>
      </c>
      <c r="DH490" s="115">
        <f t="shared" si="378"/>
        <v>47</v>
      </c>
      <c r="DI490" s="147"/>
      <c r="DJ490" s="111"/>
      <c r="DK490" s="112">
        <v>44099.083333333336</v>
      </c>
      <c r="DL490" s="113">
        <f t="shared" ca="1" si="393"/>
        <v>1004.9166666666642</v>
      </c>
      <c r="DM490" s="114"/>
      <c r="DN490" s="114"/>
      <c r="DO490" s="114"/>
      <c r="DP490" s="114"/>
      <c r="DQ490" s="112"/>
      <c r="DR490" s="114"/>
      <c r="DS490" s="114"/>
      <c r="DT490" s="115">
        <v>54</v>
      </c>
      <c r="DU490" s="116">
        <f t="shared" si="394"/>
        <v>0.34722222222222221</v>
      </c>
      <c r="DV490" s="117">
        <f t="shared" si="395"/>
        <v>10.45</v>
      </c>
      <c r="DW490" s="118">
        <f t="shared" si="396"/>
        <v>12.5</v>
      </c>
      <c r="DX490" s="119">
        <f t="shared" si="379"/>
        <v>0</v>
      </c>
      <c r="DY490" s="115">
        <f t="shared" si="397"/>
        <v>11.4</v>
      </c>
      <c r="DZ490" s="117">
        <f t="shared" si="398"/>
        <v>0</v>
      </c>
      <c r="EA490" s="120">
        <f t="shared" si="398"/>
        <v>0</v>
      </c>
      <c r="EB490" s="119">
        <f t="shared" si="387"/>
        <v>0</v>
      </c>
      <c r="EC490" s="121">
        <f t="shared" si="399"/>
        <v>0</v>
      </c>
      <c r="ED490" s="122"/>
      <c r="EE490" s="145">
        <v>18</v>
      </c>
      <c r="EF490" s="115">
        <v>21</v>
      </c>
      <c r="EG490" s="115">
        <v>70</v>
      </c>
      <c r="EH490" s="115">
        <v>21</v>
      </c>
      <c r="EI490" s="128" t="s">
        <v>218</v>
      </c>
      <c r="EJ490" s="121">
        <v>24</v>
      </c>
      <c r="EK490" s="121">
        <v>24</v>
      </c>
      <c r="EL490" s="162">
        <v>1.6719999999999999</v>
      </c>
      <c r="EM490" s="142">
        <v>2</v>
      </c>
      <c r="EN490" s="119">
        <v>0</v>
      </c>
      <c r="EO490" s="115">
        <v>2.5</v>
      </c>
      <c r="EP490" s="115">
        <v>1315.7894736842106</v>
      </c>
      <c r="EQ490" s="115">
        <v>84</v>
      </c>
      <c r="ER490" s="115">
        <v>0.3</v>
      </c>
      <c r="ES490" s="115">
        <v>84</v>
      </c>
      <c r="ET490" s="150">
        <v>0.33333333333333331</v>
      </c>
      <c r="EU490" s="145">
        <f t="shared" si="400"/>
        <v>18</v>
      </c>
      <c r="EV490" s="115">
        <f t="shared" si="380"/>
        <v>24</v>
      </c>
      <c r="EW490" s="115">
        <f t="shared" si="380"/>
        <v>37</v>
      </c>
      <c r="EX490" s="115">
        <f t="shared" si="380"/>
        <v>23</v>
      </c>
      <c r="EY490" s="115" t="str">
        <f t="shared" si="357"/>
        <v>Постоянный</v>
      </c>
      <c r="EZ490" s="115">
        <f t="shared" si="357"/>
        <v>24</v>
      </c>
      <c r="FA490" s="115">
        <f t="shared" si="357"/>
        <v>0</v>
      </c>
      <c r="FB490" s="149">
        <f t="shared" ref="FB490:FE553" si="405">CO490</f>
        <v>10.45</v>
      </c>
      <c r="FC490" s="142">
        <f t="shared" si="405"/>
        <v>12.5</v>
      </c>
      <c r="FD490" s="119">
        <f t="shared" si="405"/>
        <v>0</v>
      </c>
      <c r="FE490" s="121">
        <f t="shared" si="405"/>
        <v>21</v>
      </c>
      <c r="FF490" s="121">
        <f t="shared" si="347"/>
        <v>1090.909090909091</v>
      </c>
      <c r="FG490" s="121">
        <f t="shared" si="381"/>
        <v>68</v>
      </c>
      <c r="FH490" s="121">
        <f t="shared" si="358"/>
        <v>9.6</v>
      </c>
      <c r="FI490" s="121">
        <f t="shared" si="355"/>
        <v>47</v>
      </c>
      <c r="FJ490" s="144">
        <f t="shared" si="382"/>
        <v>0.29069767441860467</v>
      </c>
      <c r="FK490" s="132">
        <f t="shared" si="383"/>
        <v>0</v>
      </c>
      <c r="FL490" s="115">
        <f t="shared" si="383"/>
        <v>3</v>
      </c>
      <c r="FM490" s="115">
        <f t="shared" si="383"/>
        <v>-33</v>
      </c>
      <c r="FN490" s="115">
        <f t="shared" si="371"/>
        <v>2</v>
      </c>
      <c r="FO490" s="115">
        <f t="shared" si="403"/>
        <v>0</v>
      </c>
      <c r="FP490" s="115">
        <f t="shared" si="403"/>
        <v>-24</v>
      </c>
      <c r="FQ490" s="149">
        <f t="shared" si="403"/>
        <v>8.7779999999999987</v>
      </c>
      <c r="FR490" s="142">
        <f t="shared" si="403"/>
        <v>10.5</v>
      </c>
      <c r="FS490" s="119">
        <f t="shared" si="403"/>
        <v>0</v>
      </c>
      <c r="FT490" s="121">
        <f t="shared" si="353"/>
        <v>18.5</v>
      </c>
      <c r="FU490" s="121">
        <f t="shared" si="384"/>
        <v>-16</v>
      </c>
      <c r="FV490" s="121">
        <f t="shared" si="384"/>
        <v>9.2999999999999989</v>
      </c>
      <c r="FW490" s="121">
        <f t="shared" si="385"/>
        <v>-224.88038277511964</v>
      </c>
      <c r="FX490" s="121">
        <f>CN490-ES490</f>
        <v>-37</v>
      </c>
      <c r="FY490" s="144">
        <f t="shared" si="386"/>
        <v>-4.2635658914728647E-2</v>
      </c>
      <c r="FZ490" s="145" t="s">
        <v>199</v>
      </c>
      <c r="GA490" s="131" t="s">
        <v>1783</v>
      </c>
      <c r="GB490" s="145" t="s">
        <v>199</v>
      </c>
      <c r="GC490" s="131" t="s">
        <v>1784</v>
      </c>
      <c r="GD490" s="997" t="s">
        <v>416</v>
      </c>
      <c r="GE490" s="1004" t="s">
        <v>199</v>
      </c>
      <c r="GF490" s="1004">
        <v>-4.902304</v>
      </c>
      <c r="GG490" s="1004"/>
      <c r="GH490" s="1004">
        <v>0</v>
      </c>
      <c r="GI490" s="145"/>
      <c r="GJ490" s="996">
        <v>0</v>
      </c>
      <c r="GK490" s="145" t="s">
        <v>204</v>
      </c>
      <c r="GL490" s="996">
        <v>0</v>
      </c>
      <c r="GM490" s="1005"/>
      <c r="GN490" s="996">
        <v>-0.36449600000000082</v>
      </c>
      <c r="GO490" s="1006"/>
      <c r="GP490" s="996">
        <v>0</v>
      </c>
      <c r="GQ490" s="1006"/>
      <c r="GR490" s="996">
        <v>0</v>
      </c>
      <c r="GS490" s="1006"/>
      <c r="GT490" s="996">
        <v>0</v>
      </c>
      <c r="GU490" s="1006"/>
      <c r="GV490" s="996">
        <v>0</v>
      </c>
      <c r="GW490" s="1006"/>
      <c r="GX490" s="996">
        <v>-0.50159999999999982</v>
      </c>
      <c r="GY490" s="1006" t="s">
        <v>241</v>
      </c>
      <c r="GZ490" s="996">
        <v>-1.4713599999999989</v>
      </c>
      <c r="HA490" s="1006"/>
      <c r="HB490" s="996">
        <v>0.72313999999999901</v>
      </c>
      <c r="HC490" s="1006"/>
      <c r="HD490" s="996">
        <v>4.5980000000000132E-2</v>
      </c>
      <c r="HE490" s="1006" t="s">
        <v>204</v>
      </c>
      <c r="HF490" s="996">
        <v>0</v>
      </c>
      <c r="HG490" s="1006"/>
      <c r="HH490" s="996">
        <v>0.36784000000000017</v>
      </c>
      <c r="HI490" s="1006"/>
      <c r="HJ490" s="996">
        <v>-0.40963999999999867</v>
      </c>
      <c r="HK490" s="1006"/>
      <c r="HL490" s="996">
        <v>0</v>
      </c>
      <c r="HM490" s="1006"/>
      <c r="HN490" s="996">
        <v>0</v>
      </c>
      <c r="HO490" s="1006" t="s">
        <v>199</v>
      </c>
      <c r="HP490" s="996">
        <v>-3.1600800000000007</v>
      </c>
      <c r="HQ490" s="1006" t="s">
        <v>199</v>
      </c>
      <c r="HR490" s="996">
        <v>2.9594400000000007</v>
      </c>
      <c r="HS490" s="1006"/>
      <c r="HT490" s="996">
        <v>-0.88895224000000006</v>
      </c>
      <c r="HU490" s="1006" t="s">
        <v>199</v>
      </c>
      <c r="HV490" s="996">
        <v>3.3336386159999991</v>
      </c>
      <c r="HW490" s="1006"/>
      <c r="HX490" s="996">
        <v>0</v>
      </c>
      <c r="HY490" s="1006" t="s">
        <v>199</v>
      </c>
      <c r="HZ490" s="996">
        <v>-5.4641595359999995</v>
      </c>
      <c r="IA490" s="1006"/>
      <c r="IB490" s="996">
        <v>0</v>
      </c>
      <c r="IC490" s="1006" t="s">
        <v>223</v>
      </c>
      <c r="ID490" s="996">
        <v>-5.3301520800000013</v>
      </c>
      <c r="IE490" s="1006"/>
      <c r="IF490" s="996">
        <v>0</v>
      </c>
      <c r="IG490" s="1006"/>
      <c r="IH490" s="996">
        <v>0</v>
      </c>
      <c r="II490" s="1006"/>
      <c r="IJ490" s="996">
        <v>0</v>
      </c>
      <c r="IK490" s="1006" t="s">
        <v>203</v>
      </c>
      <c r="IL490" s="996">
        <v>-5.0786916399999988</v>
      </c>
      <c r="IM490" s="1006"/>
      <c r="IN490" s="996">
        <v>0</v>
      </c>
      <c r="IO490" s="1006" t="s">
        <v>199</v>
      </c>
      <c r="IP490" s="996">
        <v>-4.1535991199999991</v>
      </c>
      <c r="IQ490" s="1006" t="s">
        <v>25</v>
      </c>
      <c r="IR490" s="996">
        <v>25.86</v>
      </c>
      <c r="IS490" s="1006"/>
      <c r="IT490" s="996"/>
      <c r="IU490" s="1006"/>
      <c r="IV490" s="996"/>
      <c r="IW490" s="1006"/>
      <c r="IX490" s="996"/>
      <c r="IY490" s="1006"/>
      <c r="IZ490" s="996"/>
      <c r="JA490" s="1006"/>
      <c r="JB490" s="996"/>
      <c r="JC490" s="1006"/>
      <c r="JD490" s="996"/>
      <c r="JE490" s="1006"/>
      <c r="JF490" s="996"/>
      <c r="JG490" s="1006"/>
      <c r="JH490" s="996"/>
      <c r="JI490" s="1006"/>
      <c r="JJ490" s="996"/>
      <c r="JK490" s="1007"/>
      <c r="JL490" s="1007"/>
      <c r="JM490" s="1007"/>
      <c r="JN490" s="1007"/>
      <c r="JO490" s="1008"/>
      <c r="JP490" s="1007"/>
      <c r="JQ490" s="1008"/>
      <c r="JR490" s="1007"/>
      <c r="JS490" s="1008"/>
      <c r="JT490" s="1007"/>
      <c r="JU490" s="1008"/>
      <c r="JV490" s="1007"/>
      <c r="JW490" s="1008"/>
      <c r="JX490" s="1007"/>
      <c r="JY490" s="1008"/>
      <c r="JZ490" s="1007"/>
      <c r="KA490" s="1008"/>
      <c r="KB490" s="1007"/>
      <c r="KC490" s="1008"/>
      <c r="KD490" s="1007"/>
      <c r="KE490" s="1008"/>
      <c r="KF490" s="1007"/>
      <c r="KG490" s="1008"/>
      <c r="KH490" s="1007"/>
      <c r="KI490" s="1008"/>
      <c r="KJ490" s="1007"/>
      <c r="KK490" s="1008"/>
      <c r="KL490" s="1007"/>
      <c r="KM490" s="1008"/>
      <c r="KN490" s="1007"/>
      <c r="KO490" s="1008"/>
      <c r="KP490" s="1007"/>
      <c r="KQ490" s="1008"/>
      <c r="KR490" s="1007"/>
      <c r="KS490" s="1008"/>
      <c r="KT490" s="1007"/>
      <c r="KU490" s="1008"/>
      <c r="KV490" s="1007"/>
      <c r="KW490" s="1008"/>
      <c r="KX490" s="1007"/>
      <c r="KY490" s="1008"/>
      <c r="KZ490" s="1007"/>
      <c r="LA490" s="1008"/>
      <c r="LB490" s="1007"/>
      <c r="LC490" s="1008"/>
      <c r="LD490" s="1007"/>
      <c r="LE490" s="1008"/>
      <c r="LF490" s="1007"/>
      <c r="LG490" s="1008"/>
      <c r="LH490" s="1007"/>
      <c r="LI490" s="1008"/>
      <c r="LJ490" s="1007"/>
      <c r="LK490" s="1008"/>
      <c r="LL490" s="1007"/>
      <c r="LM490" s="1008"/>
      <c r="LN490" s="1007"/>
      <c r="LO490" s="1008"/>
      <c r="LP490" s="1007"/>
      <c r="LQ490" s="1008"/>
      <c r="LR490" s="1007"/>
      <c r="LS490" s="1008"/>
      <c r="LT490" s="1007"/>
      <c r="LU490" s="1008"/>
      <c r="LV490" s="1007"/>
      <c r="LW490" s="1008"/>
      <c r="LX490" s="1007"/>
      <c r="LY490" s="1009"/>
      <c r="LZ490" s="1010"/>
      <c r="MA490" s="1011"/>
      <c r="MB490" s="1012"/>
      <c r="MC490" s="995"/>
      <c r="MD490" s="996"/>
      <c r="ME490" s="997" t="s">
        <v>416</v>
      </c>
      <c r="MF490" s="997"/>
      <c r="MG490" s="998"/>
      <c r="NR490" s="1000"/>
      <c r="NS490" s="1000"/>
      <c r="NT490" s="1001"/>
      <c r="NU490" s="1000"/>
      <c r="NV490" s="1001"/>
      <c r="NX490" s="1002"/>
      <c r="NZ490" s="1001"/>
      <c r="OA490" s="1001"/>
      <c r="OC490" s="1003"/>
      <c r="OD490" s="1003"/>
      <c r="OE490" s="1001"/>
      <c r="OF490" s="1003"/>
      <c r="OG490" s="1003"/>
      <c r="QX490" s="1000">
        <f>CN490-CA490</f>
        <v>23</v>
      </c>
      <c r="ASU490" s="999" t="s">
        <v>208</v>
      </c>
    </row>
    <row r="491" spans="1:466 1191:1191" ht="21" customHeight="1" x14ac:dyDescent="0.25">
      <c r="A491" s="982">
        <f t="shared" si="372"/>
        <v>1584</v>
      </c>
      <c r="B491" s="124">
        <f>SUBTOTAL(103,$J$29:J491)</f>
        <v>463</v>
      </c>
      <c r="C491" s="126">
        <v>45068</v>
      </c>
      <c r="D491" s="124" t="s">
        <v>176</v>
      </c>
      <c r="E491" s="127" t="s">
        <v>177</v>
      </c>
      <c r="F491" s="128" t="s">
        <v>177</v>
      </c>
      <c r="G491" s="127" t="s">
        <v>178</v>
      </c>
      <c r="H491" s="127" t="s">
        <v>408</v>
      </c>
      <c r="I491" s="127" t="s">
        <v>975</v>
      </c>
      <c r="J491" s="152">
        <v>1584</v>
      </c>
      <c r="K491" s="127" t="s">
        <v>1759</v>
      </c>
      <c r="L491" s="130">
        <v>44011</v>
      </c>
      <c r="M491" s="127" t="s">
        <v>230</v>
      </c>
      <c r="N491" s="127" t="s">
        <v>231</v>
      </c>
      <c r="O491" s="127" t="s">
        <v>185</v>
      </c>
      <c r="P491" s="127" t="s">
        <v>186</v>
      </c>
      <c r="Q491" s="85" t="str">
        <f t="shared" si="367"/>
        <v/>
      </c>
      <c r="R491" s="130"/>
      <c r="S491" s="128"/>
      <c r="T491" s="131"/>
      <c r="U491" s="132">
        <v>203</v>
      </c>
      <c r="V491" s="121">
        <v>218.2</v>
      </c>
      <c r="W491" s="116">
        <v>0.98</v>
      </c>
      <c r="X491" s="116">
        <v>1.66</v>
      </c>
      <c r="Y491" s="116">
        <f t="shared" si="346"/>
        <v>0.98</v>
      </c>
      <c r="Z491" s="133">
        <v>1.454</v>
      </c>
      <c r="AA491" s="133">
        <v>0.83599999999999997</v>
      </c>
      <c r="AB491" s="133">
        <v>0.72</v>
      </c>
      <c r="AC491" s="121">
        <v>34.299999999999997</v>
      </c>
      <c r="AD491" s="134">
        <v>1.17</v>
      </c>
      <c r="AE491" s="124">
        <v>177.8</v>
      </c>
      <c r="AF491" s="128">
        <v>9.19</v>
      </c>
      <c r="AG491" s="128">
        <v>2368</v>
      </c>
      <c r="AH491" s="127">
        <v>2850</v>
      </c>
      <c r="AI491" s="127">
        <f>AH491</f>
        <v>2850</v>
      </c>
      <c r="AJ491" s="135"/>
      <c r="AK491" s="128"/>
      <c r="AL491" s="131"/>
      <c r="AM491" s="124" t="s">
        <v>232</v>
      </c>
      <c r="AN491" s="136" t="s">
        <v>1785</v>
      </c>
      <c r="AO491" s="137">
        <v>47.27</v>
      </c>
      <c r="AP491" s="128">
        <v>2368</v>
      </c>
      <c r="AQ491" s="128">
        <f>2368-1716.44-140.4</f>
        <v>511.15999999999997</v>
      </c>
      <c r="AR491" s="128"/>
      <c r="AS491" s="128"/>
      <c r="AT491" s="122"/>
      <c r="AU491" s="124" t="s">
        <v>189</v>
      </c>
      <c r="AV491" s="115">
        <f>VLOOKUP(J491,'[63]ТР нефть'!$J$28:$BP$638,39,0)</f>
        <v>524.99999179700001</v>
      </c>
      <c r="AW491" s="115" t="str">
        <f>VLOOKUP(J491,'[63]ТР нефть'!$J$28:$BP$638,40,0)</f>
        <v>ГК86 5/32</v>
      </c>
      <c r="AX491" s="115">
        <f>VLOOKUP(J491,'[63]ТР нефть'!$J$28:$BP$638,41,0)</f>
        <v>1002.000011133</v>
      </c>
      <c r="AY491" s="115" t="str">
        <f>VLOOKUP(J491,'[63]ТР нефть'!$J$28:$BP$638,42,0)</f>
        <v>ГК84 5/32</v>
      </c>
      <c r="AZ491" s="115">
        <f>VLOOKUP(J491,'[63]ТР нефть'!$J$28:$BP$638,43,0)</f>
        <v>1407.9999363280001</v>
      </c>
      <c r="BA491" s="115" t="str">
        <f>VLOOKUP(J491,'[63]ТР нефть'!$J$28:$BP$638,44,0)</f>
        <v>ГК84 5/32</v>
      </c>
      <c r="BB491" s="115">
        <f>VLOOKUP(J491,'[63]ТР нефть'!$J$28:$BP$638,45,0)</f>
        <v>1709.0000566409999</v>
      </c>
      <c r="BC491" s="115" t="str">
        <f>VLOOKUP(J491,'[63]ТР нефть'!$J$28:$BP$638,46,0)</f>
        <v>ГК83 5/32</v>
      </c>
      <c r="BD491" s="115">
        <f>VLOOKUP(J491,'[63]ТР нефть'!$J$28:$BP$638,47,0)</f>
        <v>1954.000023047</v>
      </c>
      <c r="BE491" s="115" t="str">
        <f>VLOOKUP(J491,'[63]ТР нефть'!$J$28:$BP$638,48,0)</f>
        <v>ЦКсОК 5/16</v>
      </c>
      <c r="BF491" s="115" t="str">
        <f>VLOOKUP(J491,'[63]ТР нефть'!$J$28:$BP$638,49,0)</f>
        <v>-</v>
      </c>
      <c r="BG491" s="115" t="str">
        <f>VLOOKUP(J491,'[63]ТР нефть'!$J$28:$BP$638,50,0)</f>
        <v>-</v>
      </c>
      <c r="BH491" s="115">
        <f>VLOOKUP(J491,'[63]ТР нефть'!$J$28:$BP$638,51,0)</f>
        <v>1970</v>
      </c>
      <c r="BI491" s="115" t="str">
        <f>VLOOKUP(J491,'[63]ТР нефть'!$J$28:$BP$638,52,0)</f>
        <v>закрыт</v>
      </c>
      <c r="BJ491" s="115" t="str">
        <f>IF(IFERROR(VLOOKUP(J491,'[63]ТР нефть'!$J$28:$BP$638,53,0),"-")=0,"-",IFERROR(VLOOKUP(J491,'[63]ТР нефть'!$J$28:$BP$638,53,0),"-"))</f>
        <v>-</v>
      </c>
      <c r="BK491" s="138" t="str">
        <f>IF(IFERROR(VLOOKUP(J491,'[63]ТР нефть'!$J$28:$BP$638,54,0),"-")=0,"-",IFERROR(VLOOKUP(J491,'[63]ТР нефть'!$J$28:$BP$638,54,0),"-"))</f>
        <v>-</v>
      </c>
      <c r="BL491" s="138" t="str">
        <f>IF(IFERROR(VLOOKUP(J491,'[63]ТР нефть'!$J$28:$BP$638,55,0),"-")=0,"-",IFERROR(VLOOKUP(J491,'[63]ТР нефть'!$J$28:$BP$638,55,0),"-"))</f>
        <v>-</v>
      </c>
      <c r="BM491" s="138" t="str">
        <f>IF(IFERROR(VLOOKUP(J491,'[63]ТР нефть'!$J$28:$BP$638,56,0),"-")=0,"-",IFERROR(VLOOKUP(J491,'[63]ТР нефть'!$J$28:$BP$638,56,0),"-"))</f>
        <v>-</v>
      </c>
      <c r="BN491" s="138" t="str">
        <f>IF(IFERROR(VLOOKUP(J491,'[63]ТР нефть'!$J$28:$BP$638,57,0),"-")=0,"-",IFERROR(VLOOKUP(J491,'[63]ТР нефть'!$J$28:$BP$638,57,0),"-"))</f>
        <v>-</v>
      </c>
      <c r="BO491" s="115" t="str">
        <f>IF(IFERROR(VLOOKUP(J491,'[63]ТР нефть'!$J$28:$BP$638,58,0),"-")=0,"-",IFERROR(VLOOKUP(J491,'[63]ТР нефть'!$J$28:$BP$638,58,0),"-"))</f>
        <v>-</v>
      </c>
      <c r="BP491" s="115" t="str">
        <f>IF(IFERROR(VLOOKUP(J491,'[63]ТР нефть'!$J$28:$BP$638,59,0),"-")=0,"-",IFERROR(VLOOKUP(J491,'[63]ТР нефть'!$J$28:$BP$638,59,0),"-"))</f>
        <v>-</v>
      </c>
      <c r="BQ491" s="138">
        <v>2418</v>
      </c>
      <c r="BR491" s="128">
        <f>1721+140.4</f>
        <v>1861.4</v>
      </c>
      <c r="BS491" s="115">
        <f t="shared" si="388"/>
        <v>556.59999999999991</v>
      </c>
      <c r="BT491" s="128">
        <v>73</v>
      </c>
      <c r="BU491" s="128">
        <v>5.5</v>
      </c>
      <c r="BV491" s="127">
        <v>18</v>
      </c>
      <c r="BW491" s="127" t="s">
        <v>217</v>
      </c>
      <c r="BX491" s="127" t="s">
        <v>195</v>
      </c>
      <c r="BY491" s="139">
        <v>24</v>
      </c>
      <c r="BZ491" s="139">
        <v>0</v>
      </c>
      <c r="CA491" s="138">
        <v>25</v>
      </c>
      <c r="CB491" s="138">
        <v>36</v>
      </c>
      <c r="CC491" s="138">
        <v>23</v>
      </c>
      <c r="CD491" s="135">
        <v>45017</v>
      </c>
      <c r="CE491" s="138">
        <v>107</v>
      </c>
      <c r="CF491" s="138">
        <v>70</v>
      </c>
      <c r="CG491" s="138" t="str">
        <f t="shared" si="404"/>
        <v>В работе</v>
      </c>
      <c r="CH491" s="138" t="s">
        <v>235</v>
      </c>
      <c r="CI491" s="138">
        <v>6</v>
      </c>
      <c r="CJ491" s="138"/>
      <c r="CK491" s="138"/>
      <c r="CL491" s="99"/>
      <c r="CM491" s="99"/>
      <c r="CN491" s="140">
        <v>42</v>
      </c>
      <c r="CO491" s="159">
        <f t="shared" si="373"/>
        <v>19.227999999999998</v>
      </c>
      <c r="CP491" s="160">
        <v>23</v>
      </c>
      <c r="CQ491" s="161">
        <v>0</v>
      </c>
      <c r="CR491" s="138">
        <v>30</v>
      </c>
      <c r="CS491" s="139">
        <v>5</v>
      </c>
      <c r="CT491" s="138"/>
      <c r="CU491" s="138">
        <f t="shared" si="370"/>
        <v>25</v>
      </c>
      <c r="CV491" s="115">
        <f t="shared" si="368"/>
        <v>1300.1872269606824</v>
      </c>
      <c r="CW491" s="115">
        <f t="shared" si="374"/>
        <v>260.03744539213648</v>
      </c>
      <c r="CX491" s="133">
        <f t="shared" si="369"/>
        <v>0.35384615384615387</v>
      </c>
      <c r="CY491" s="116"/>
      <c r="CZ491" s="131"/>
      <c r="DA491" s="145" t="str">
        <f t="shared" si="375"/>
        <v>Газлифт</v>
      </c>
      <c r="DB491" s="146">
        <f t="shared" si="390"/>
        <v>19.227999999999998</v>
      </c>
      <c r="DC491" s="142">
        <f t="shared" si="402"/>
        <v>23</v>
      </c>
      <c r="DD491" s="119">
        <f t="shared" si="350"/>
        <v>0</v>
      </c>
      <c r="DE491" s="115">
        <f t="shared" si="392"/>
        <v>25</v>
      </c>
      <c r="DF491" s="121">
        <f t="shared" si="376"/>
        <v>5</v>
      </c>
      <c r="DG491" s="115">
        <f t="shared" si="377"/>
        <v>1300.1872269606824</v>
      </c>
      <c r="DH491" s="115">
        <f t="shared" si="378"/>
        <v>42</v>
      </c>
      <c r="DI491" s="147"/>
      <c r="DJ491" s="111"/>
      <c r="DK491" s="112">
        <v>44011</v>
      </c>
      <c r="DL491" s="113">
        <f t="shared" ca="1" si="393"/>
        <v>1093</v>
      </c>
      <c r="DM491" s="114"/>
      <c r="DN491" s="114"/>
      <c r="DO491" s="114"/>
      <c r="DP491" s="114"/>
      <c r="DQ491" s="112"/>
      <c r="DR491" s="114"/>
      <c r="DS491" s="114"/>
      <c r="DT491" s="115">
        <v>46</v>
      </c>
      <c r="DU491" s="116">
        <f t="shared" si="394"/>
        <v>0.37704918032786883</v>
      </c>
      <c r="DV491" s="117">
        <f t="shared" si="395"/>
        <v>19.227999999999998</v>
      </c>
      <c r="DW491" s="118">
        <f t="shared" si="396"/>
        <v>23</v>
      </c>
      <c r="DX491" s="119">
        <f t="shared" si="379"/>
        <v>0</v>
      </c>
      <c r="DY491" s="115">
        <f t="shared" si="397"/>
        <v>25</v>
      </c>
      <c r="DZ491" s="117">
        <f t="shared" si="398"/>
        <v>0</v>
      </c>
      <c r="EA491" s="120">
        <f t="shared" si="398"/>
        <v>0</v>
      </c>
      <c r="EB491" s="119">
        <f t="shared" si="387"/>
        <v>0</v>
      </c>
      <c r="EC491" s="121">
        <f t="shared" si="399"/>
        <v>0</v>
      </c>
      <c r="ED491" s="122"/>
      <c r="EE491" s="145">
        <v>18</v>
      </c>
      <c r="EF491" s="115">
        <v>27</v>
      </c>
      <c r="EG491" s="115">
        <v>38</v>
      </c>
      <c r="EH491" s="115">
        <v>26</v>
      </c>
      <c r="EI491" s="128" t="s">
        <v>195</v>
      </c>
      <c r="EJ491" s="121">
        <v>24</v>
      </c>
      <c r="EK491" s="121">
        <v>0</v>
      </c>
      <c r="EL491" s="162">
        <v>17.054399999999998</v>
      </c>
      <c r="EM491" s="142">
        <v>20.399999999999999</v>
      </c>
      <c r="EN491" s="119">
        <v>0</v>
      </c>
      <c r="EO491" s="115">
        <v>27.4</v>
      </c>
      <c r="EP491" s="115">
        <v>1331.0348062670046</v>
      </c>
      <c r="EQ491" s="115">
        <v>68</v>
      </c>
      <c r="ER491" s="115">
        <v>4.7</v>
      </c>
      <c r="ES491" s="115">
        <v>46</v>
      </c>
      <c r="ET491" s="150">
        <v>0.33442622950819667</v>
      </c>
      <c r="EU491" s="145">
        <f t="shared" si="400"/>
        <v>18</v>
      </c>
      <c r="EV491" s="115">
        <f t="shared" si="380"/>
        <v>25</v>
      </c>
      <c r="EW491" s="115">
        <f t="shared" si="380"/>
        <v>36</v>
      </c>
      <c r="EX491" s="115">
        <f t="shared" si="380"/>
        <v>23</v>
      </c>
      <c r="EY491" s="115" t="str">
        <f t="shared" si="357"/>
        <v>Постоянный</v>
      </c>
      <c r="EZ491" s="115">
        <f t="shared" si="357"/>
        <v>24</v>
      </c>
      <c r="FA491" s="115">
        <f t="shared" si="357"/>
        <v>0</v>
      </c>
      <c r="FB491" s="149">
        <f t="shared" si="405"/>
        <v>19.227999999999998</v>
      </c>
      <c r="FC491" s="142">
        <f t="shared" si="405"/>
        <v>23</v>
      </c>
      <c r="FD491" s="119">
        <f t="shared" si="405"/>
        <v>0</v>
      </c>
      <c r="FE491" s="121">
        <f t="shared" si="405"/>
        <v>30</v>
      </c>
      <c r="FF491" s="121">
        <f t="shared" si="347"/>
        <v>1300.1872269606824</v>
      </c>
      <c r="FG491" s="121">
        <f t="shared" si="381"/>
        <v>70</v>
      </c>
      <c r="FH491" s="121">
        <f t="shared" si="358"/>
        <v>5</v>
      </c>
      <c r="FI491" s="121">
        <f t="shared" si="355"/>
        <v>42</v>
      </c>
      <c r="FJ491" s="144">
        <f t="shared" si="382"/>
        <v>0.35384615384615387</v>
      </c>
      <c r="FK491" s="132">
        <f t="shared" si="383"/>
        <v>0</v>
      </c>
      <c r="FL491" s="115">
        <f t="shared" si="383"/>
        <v>-2</v>
      </c>
      <c r="FM491" s="115">
        <f t="shared" si="383"/>
        <v>-2</v>
      </c>
      <c r="FN491" s="115">
        <f t="shared" si="371"/>
        <v>-3</v>
      </c>
      <c r="FO491" s="115">
        <f t="shared" si="403"/>
        <v>0</v>
      </c>
      <c r="FP491" s="115">
        <f t="shared" si="403"/>
        <v>0</v>
      </c>
      <c r="FQ491" s="149">
        <f t="shared" si="403"/>
        <v>2.1736000000000004</v>
      </c>
      <c r="FR491" s="142">
        <f t="shared" si="403"/>
        <v>2.6000000000000014</v>
      </c>
      <c r="FS491" s="119">
        <f t="shared" si="403"/>
        <v>0</v>
      </c>
      <c r="FT491" s="121">
        <f t="shared" si="353"/>
        <v>2.6000000000000014</v>
      </c>
      <c r="FU491" s="121">
        <f t="shared" si="384"/>
        <v>2</v>
      </c>
      <c r="FV491" s="121">
        <f t="shared" si="384"/>
        <v>0.29999999999999982</v>
      </c>
      <c r="FW491" s="121">
        <f t="shared" si="385"/>
        <v>-30.847579306322132</v>
      </c>
      <c r="FX491" s="121">
        <f>CN491-ES491</f>
        <v>-4</v>
      </c>
      <c r="FY491" s="144">
        <f t="shared" si="386"/>
        <v>1.9419924337957195E-2</v>
      </c>
      <c r="FZ491" s="145" t="s">
        <v>199</v>
      </c>
      <c r="GA491" s="131" t="s">
        <v>200</v>
      </c>
      <c r="GB491" s="145"/>
      <c r="GC491" s="131"/>
      <c r="GD491" s="997" t="s">
        <v>416</v>
      </c>
      <c r="GE491" s="1004"/>
      <c r="GF491" s="1004">
        <v>-0.13626800000000117</v>
      </c>
      <c r="GG491" s="1004"/>
      <c r="GH491" s="1004">
        <v>0</v>
      </c>
      <c r="GI491" s="145"/>
      <c r="GJ491" s="996">
        <v>0</v>
      </c>
      <c r="GK491" s="145"/>
      <c r="GL491" s="996">
        <v>0</v>
      </c>
      <c r="GM491" s="1005" t="s">
        <v>204</v>
      </c>
      <c r="GN491" s="996">
        <v>-7.053332000000001</v>
      </c>
      <c r="GO491" s="1006"/>
      <c r="GP491" s="996">
        <v>0</v>
      </c>
      <c r="GQ491" s="1006"/>
      <c r="GR491" s="996">
        <v>0</v>
      </c>
      <c r="GS491" s="1006"/>
      <c r="GT491" s="996">
        <v>-0.68552000000000035</v>
      </c>
      <c r="GU491" s="1006" t="s">
        <v>199</v>
      </c>
      <c r="GV491" s="996">
        <v>3.5279199999999982</v>
      </c>
      <c r="GW491" s="1006"/>
      <c r="GX491" s="996">
        <v>0.50160000000000338</v>
      </c>
      <c r="GY491" s="1006" t="s">
        <v>199</v>
      </c>
      <c r="GZ491" s="996">
        <v>1.4003000000000014</v>
      </c>
      <c r="HA491" s="1006" t="s">
        <v>199</v>
      </c>
      <c r="HB491" s="996">
        <v>1.207565215999999</v>
      </c>
      <c r="HC491" s="1006"/>
      <c r="HD491" s="996">
        <v>5.8414663999997174E-2</v>
      </c>
      <c r="HE491" s="1006"/>
      <c r="HF491" s="996">
        <v>0</v>
      </c>
      <c r="HG491" s="1006" t="s">
        <v>199</v>
      </c>
      <c r="HH491" s="996">
        <v>6.6676166480000028</v>
      </c>
      <c r="HI491" s="1006" t="s">
        <v>204</v>
      </c>
      <c r="HJ491" s="996">
        <v>-1.7858197280000017</v>
      </c>
      <c r="HK491" s="1006"/>
      <c r="HL491" s="996">
        <v>0</v>
      </c>
      <c r="HM491" s="1006" t="s">
        <v>199</v>
      </c>
      <c r="HN491" s="996">
        <v>4.3393750399999984</v>
      </c>
      <c r="HO491" s="1006" t="s">
        <v>199</v>
      </c>
      <c r="HP491" s="996">
        <v>-4.6314483599999985</v>
      </c>
      <c r="HQ491" s="1006" t="s">
        <v>199</v>
      </c>
      <c r="HR491" s="996">
        <v>-4.2142007599999953</v>
      </c>
      <c r="HS491" s="1006" t="s">
        <v>199</v>
      </c>
      <c r="HT491" s="996">
        <v>6.0918149599999953</v>
      </c>
      <c r="HU491" s="1006" t="s">
        <v>223</v>
      </c>
      <c r="HV491" s="996">
        <v>-1.5855408799999999</v>
      </c>
      <c r="HW491" s="1006" t="s">
        <v>223</v>
      </c>
      <c r="HX491" s="996">
        <v>-1.9694086719999984</v>
      </c>
      <c r="HY491" s="1006"/>
      <c r="HZ491" s="996">
        <v>9.4561632000001339E-2</v>
      </c>
      <c r="IA491" s="1006"/>
      <c r="IB491" s="996">
        <v>-0.68834568000000118</v>
      </c>
      <c r="IC491" s="1006"/>
      <c r="ID491" s="996">
        <v>0.19831592000000065</v>
      </c>
      <c r="IE491" s="1006"/>
      <c r="IF491" s="996">
        <v>-0.90416744000000371</v>
      </c>
      <c r="IG491" s="1006" t="s">
        <v>199</v>
      </c>
      <c r="IH491" s="996">
        <v>3.6884821599999995</v>
      </c>
      <c r="II491" s="1006" t="s">
        <v>199</v>
      </c>
      <c r="IJ491" s="996">
        <v>-1.618716703999997</v>
      </c>
      <c r="IK491" s="1006" t="s">
        <v>203</v>
      </c>
      <c r="IL491" s="996">
        <v>-1.3470434560000015</v>
      </c>
      <c r="IM491" s="1006" t="s">
        <v>199</v>
      </c>
      <c r="IN491" s="996">
        <v>4.6958454400000011</v>
      </c>
      <c r="IO491" s="1006" t="s">
        <v>203</v>
      </c>
      <c r="IP491" s="996">
        <v>-3.845600000000001</v>
      </c>
      <c r="IQ491" s="1006" t="s">
        <v>199</v>
      </c>
      <c r="IR491" s="996">
        <v>-4.2719599999999982</v>
      </c>
      <c r="IS491" s="1006"/>
      <c r="IT491" s="996">
        <v>-0.70223999999999975</v>
      </c>
      <c r="IU491" s="1006" t="s">
        <v>203</v>
      </c>
      <c r="IV491" s="996">
        <v>-4.1348560000000028</v>
      </c>
      <c r="IW491" s="1006"/>
      <c r="IX491" s="996"/>
      <c r="IY491" s="1006"/>
      <c r="IZ491" s="996"/>
      <c r="JA491" s="1006"/>
      <c r="JB491" s="996"/>
      <c r="JC491" s="1006"/>
      <c r="JD491" s="996"/>
      <c r="JE491" s="1006"/>
      <c r="JF491" s="996"/>
      <c r="JG491" s="1006"/>
      <c r="JH491" s="996"/>
      <c r="JI491" s="1006"/>
      <c r="JJ491" s="996"/>
      <c r="JK491" s="1007"/>
      <c r="JL491" s="1007"/>
      <c r="JM491" s="1007"/>
      <c r="JN491" s="1007"/>
      <c r="JO491" s="1008"/>
      <c r="JP491" s="1007"/>
      <c r="JQ491" s="1008"/>
      <c r="JR491" s="1007"/>
      <c r="JS491" s="1008"/>
      <c r="JT491" s="1007"/>
      <c r="JU491" s="1008"/>
      <c r="JV491" s="1007"/>
      <c r="JW491" s="1008"/>
      <c r="JX491" s="1007"/>
      <c r="JY491" s="1008"/>
      <c r="JZ491" s="1007"/>
      <c r="KA491" s="1008"/>
      <c r="KB491" s="1007"/>
      <c r="KC491" s="1008"/>
      <c r="KD491" s="1007"/>
      <c r="KE491" s="1008"/>
      <c r="KF491" s="1007"/>
      <c r="KG491" s="1008"/>
      <c r="KH491" s="1007"/>
      <c r="KI491" s="1008"/>
      <c r="KJ491" s="1007"/>
      <c r="KK491" s="1008"/>
      <c r="KL491" s="1007"/>
      <c r="KM491" s="1008"/>
      <c r="KN491" s="1007"/>
      <c r="KO491" s="1008"/>
      <c r="KP491" s="1007"/>
      <c r="KQ491" s="1008"/>
      <c r="KR491" s="1007"/>
      <c r="KS491" s="1008"/>
      <c r="KT491" s="1007"/>
      <c r="KU491" s="1008"/>
      <c r="KV491" s="1007"/>
      <c r="KW491" s="1008"/>
      <c r="KX491" s="1007"/>
      <c r="KY491" s="1008"/>
      <c r="KZ491" s="1007"/>
      <c r="LA491" s="1008"/>
      <c r="LB491" s="1007"/>
      <c r="LC491" s="1008"/>
      <c r="LD491" s="1007"/>
      <c r="LE491" s="1008"/>
      <c r="LF491" s="1007"/>
      <c r="LG491" s="1008"/>
      <c r="LH491" s="1007"/>
      <c r="LI491" s="1008"/>
      <c r="LJ491" s="1007"/>
      <c r="LK491" s="1008"/>
      <c r="LL491" s="1007"/>
      <c r="LM491" s="1008"/>
      <c r="LN491" s="1007"/>
      <c r="LO491" s="1008"/>
      <c r="LP491" s="1007"/>
      <c r="LQ491" s="1008"/>
      <c r="LR491" s="1007"/>
      <c r="LS491" s="1008"/>
      <c r="LT491" s="1007"/>
      <c r="LU491" s="1008"/>
      <c r="LV491" s="1007"/>
      <c r="LW491" s="1008"/>
      <c r="LX491" s="1007"/>
      <c r="LY491" s="1009"/>
      <c r="LZ491" s="1010"/>
      <c r="MA491" s="1011"/>
      <c r="MB491" s="1012"/>
      <c r="MC491" s="995"/>
      <c r="MD491" s="996"/>
      <c r="ME491" s="997" t="s">
        <v>416</v>
      </c>
      <c r="MF491" s="997"/>
      <c r="MG491" s="998"/>
      <c r="NR491" s="1000"/>
      <c r="NS491" s="1000"/>
      <c r="NT491" s="1001"/>
      <c r="NU491" s="1000"/>
      <c r="NV491" s="1001"/>
      <c r="NX491" s="1002"/>
      <c r="NZ491" s="1001"/>
      <c r="OA491" s="1001"/>
      <c r="OC491" s="1003"/>
      <c r="OD491" s="1003"/>
      <c r="OE491" s="1001"/>
      <c r="OF491" s="1003"/>
      <c r="OG491" s="1003"/>
      <c r="QX491" s="1000">
        <f>CN491-CA491</f>
        <v>17</v>
      </c>
      <c r="ASU491" s="999" t="s">
        <v>208</v>
      </c>
    </row>
    <row r="492" spans="1:466 1191:1191" ht="21" customHeight="1" x14ac:dyDescent="0.25">
      <c r="A492" s="982">
        <f t="shared" si="372"/>
        <v>1585</v>
      </c>
      <c r="B492" s="124">
        <f>SUBTOTAL(103,$J$29:J492)</f>
        <v>464</v>
      </c>
      <c r="C492" s="126">
        <v>45068</v>
      </c>
      <c r="D492" s="124" t="s">
        <v>176</v>
      </c>
      <c r="E492" s="127" t="s">
        <v>177</v>
      </c>
      <c r="F492" s="128" t="s">
        <v>177</v>
      </c>
      <c r="G492" s="127" t="s">
        <v>178</v>
      </c>
      <c r="H492" s="127" t="s">
        <v>179</v>
      </c>
      <c r="I492" s="127" t="s">
        <v>1544</v>
      </c>
      <c r="J492" s="152">
        <v>1585</v>
      </c>
      <c r="K492" s="127" t="s">
        <v>1544</v>
      </c>
      <c r="L492" s="130">
        <v>43865</v>
      </c>
      <c r="M492" s="127" t="s">
        <v>230</v>
      </c>
      <c r="N492" s="127" t="s">
        <v>184</v>
      </c>
      <c r="O492" s="127" t="s">
        <v>185</v>
      </c>
      <c r="P492" s="127" t="s">
        <v>186</v>
      </c>
      <c r="Q492" s="85" t="str">
        <f t="shared" si="367"/>
        <v/>
      </c>
      <c r="R492" s="130"/>
      <c r="S492" s="128"/>
      <c r="T492" s="131"/>
      <c r="U492" s="132">
        <v>203</v>
      </c>
      <c r="V492" s="121">
        <v>218.2</v>
      </c>
      <c r="W492" s="116">
        <v>0.98</v>
      </c>
      <c r="X492" s="116">
        <v>1.66</v>
      </c>
      <c r="Y492" s="116">
        <f t="shared" si="346"/>
        <v>0.98</v>
      </c>
      <c r="Z492" s="133">
        <v>1.454</v>
      </c>
      <c r="AA492" s="133">
        <v>0.83599999999999997</v>
      </c>
      <c r="AB492" s="133">
        <v>0.72</v>
      </c>
      <c r="AC492" s="121">
        <v>34.299999999999997</v>
      </c>
      <c r="AD492" s="134">
        <v>1.17</v>
      </c>
      <c r="AE492" s="124">
        <v>177.8</v>
      </c>
      <c r="AF492" s="128">
        <v>9.19</v>
      </c>
      <c r="AG492" s="128">
        <v>2210</v>
      </c>
      <c r="AH492" s="138">
        <v>2953.19</v>
      </c>
      <c r="AI492" s="138">
        <v>2953.19</v>
      </c>
      <c r="AJ492" s="135"/>
      <c r="AK492" s="128"/>
      <c r="AL492" s="131"/>
      <c r="AM492" s="124" t="s">
        <v>232</v>
      </c>
      <c r="AN492" s="136" t="s">
        <v>1786</v>
      </c>
      <c r="AO492" s="137">
        <v>112.81</v>
      </c>
      <c r="AP492" s="128">
        <v>2210</v>
      </c>
      <c r="AQ492" s="128">
        <v>403.58999999999992</v>
      </c>
      <c r="AR492" s="128"/>
      <c r="AS492" s="128"/>
      <c r="AT492" s="122"/>
      <c r="AU492" s="124" t="s">
        <v>189</v>
      </c>
      <c r="AV492" s="115">
        <f>VLOOKUP(J492,'[63]ТР нефть'!$J$28:$BP$638,39,0)</f>
        <v>510.99999052700002</v>
      </c>
      <c r="AW492" s="115" t="str">
        <f>VLOOKUP(J492,'[63]ТР нефть'!$J$28:$BP$638,40,0)</f>
        <v>ГП</v>
      </c>
      <c r="AX492" s="115">
        <f>VLOOKUP(J492,'[63]ТР нефть'!$J$28:$BP$638,41,0)</f>
        <v>1015.999975195</v>
      </c>
      <c r="AY492" s="115" t="str">
        <f>VLOOKUP(J492,'[63]ТР нефть'!$J$28:$BP$638,42,0)</f>
        <v>ГК83 5/32</v>
      </c>
      <c r="AZ492" s="115">
        <f>VLOOKUP(J492,'[63]ТР нефть'!$J$28:$BP$638,43,0)</f>
        <v>1417.0000195309999</v>
      </c>
      <c r="BA492" s="115" t="str">
        <f>VLOOKUP(J492,'[63]ТР нефть'!$J$28:$BP$638,44,0)</f>
        <v>ГК82 5/32</v>
      </c>
      <c r="BB492" s="115">
        <f>VLOOKUP(J492,'[63]ТР нефть'!$J$28:$BP$638,45,0)</f>
        <v>1785.0000316410001</v>
      </c>
      <c r="BC492" s="115" t="str">
        <f>VLOOKUP(J492,'[63]ТР нефть'!$J$28:$BP$638,46,0)</f>
        <v>ЦКсОК 5/16</v>
      </c>
      <c r="BD492" s="115" t="str">
        <f>VLOOKUP(J492,'[63]ТР нефть'!$J$28:$BP$638,47,0)</f>
        <v>-</v>
      </c>
      <c r="BE492" s="115" t="str">
        <f>VLOOKUP(J492,'[63]ТР нефть'!$J$28:$BP$638,48,0)</f>
        <v>-</v>
      </c>
      <c r="BF492" s="115" t="str">
        <f>VLOOKUP(J492,'[63]ТР нефть'!$J$28:$BP$638,49,0)</f>
        <v>-</v>
      </c>
      <c r="BG492" s="115" t="str">
        <f>VLOOKUP(J492,'[63]ТР нефть'!$J$28:$BP$638,50,0)</f>
        <v>-</v>
      </c>
      <c r="BH492" s="115">
        <f>VLOOKUP(J492,'[63]ТР нефть'!$J$28:$BP$638,51,0)</f>
        <v>1800</v>
      </c>
      <c r="BI492" s="115" t="str">
        <f>VLOOKUP(J492,'[63]ТР нефть'!$J$28:$BP$638,52,0)</f>
        <v>закрыт</v>
      </c>
      <c r="BJ492" s="115" t="str">
        <f>IF(IFERROR(VLOOKUP(J492,'[63]ТР нефть'!$J$28:$BP$638,53,0),"-")=0,"-",IFERROR(VLOOKUP(J492,'[63]ТР нефть'!$J$28:$BP$638,53,0),"-"))</f>
        <v>-</v>
      </c>
      <c r="BK492" s="138" t="str">
        <f>IF(IFERROR(VLOOKUP(J492,'[63]ТР нефть'!$J$28:$BP$638,54,0),"-")=0,"-",IFERROR(VLOOKUP(J492,'[63]ТР нефть'!$J$28:$BP$638,54,0),"-"))</f>
        <v>-</v>
      </c>
      <c r="BL492" s="138" t="str">
        <f>IF(IFERROR(VLOOKUP(J492,'[63]ТР нефть'!$J$28:$BP$638,55,0),"-")=0,"-",IFERROR(VLOOKUP(J492,'[63]ТР нефть'!$J$28:$BP$638,55,0),"-"))</f>
        <v>-</v>
      </c>
      <c r="BM492" s="138" t="str">
        <f>IF(IFERROR(VLOOKUP(J492,'[63]ТР нефть'!$J$28:$BP$638,56,0),"-")=0,"-",IFERROR(VLOOKUP(J492,'[63]ТР нефть'!$J$28:$BP$638,56,0),"-"))</f>
        <v>-</v>
      </c>
      <c r="BN492" s="138" t="str">
        <f>IF(IFERROR(VLOOKUP(J492,'[63]ТР нефть'!$J$28:$BP$638,57,0),"-")=0,"-",IFERROR(VLOOKUP(J492,'[63]ТР нефть'!$J$28:$BP$638,57,0),"-"))</f>
        <v>-</v>
      </c>
      <c r="BO492" s="115" t="str">
        <f>IF(IFERROR(VLOOKUP(J492,'[63]ТР нефть'!$J$28:$BP$638,58,0),"-")=0,"-",IFERROR(VLOOKUP(J492,'[63]ТР нефть'!$J$28:$BP$638,58,0),"-"))</f>
        <v>-</v>
      </c>
      <c r="BP492" s="115" t="str">
        <f>IF(IFERROR(VLOOKUP(J492,'[63]ТР нефть'!$J$28:$BP$638,59,0),"-")=0,"-",IFERROR(VLOOKUP(J492,'[63]ТР нефть'!$J$28:$BP$638,59,0),"-"))</f>
        <v>-</v>
      </c>
      <c r="BQ492" s="138">
        <v>2260</v>
      </c>
      <c r="BR492" s="128">
        <v>1820.33</v>
      </c>
      <c r="BS492" s="115">
        <f t="shared" si="388"/>
        <v>439.67000000000007</v>
      </c>
      <c r="BT492" s="128">
        <v>73</v>
      </c>
      <c r="BU492" s="128">
        <v>5.5</v>
      </c>
      <c r="BV492" s="127">
        <v>65</v>
      </c>
      <c r="BW492" s="127" t="s">
        <v>217</v>
      </c>
      <c r="BX492" s="127" t="s">
        <v>195</v>
      </c>
      <c r="BY492" s="139">
        <v>24</v>
      </c>
      <c r="BZ492" s="139">
        <v>0</v>
      </c>
      <c r="CA492" s="138">
        <v>25</v>
      </c>
      <c r="CB492" s="138">
        <v>40</v>
      </c>
      <c r="CC492" s="138">
        <v>24</v>
      </c>
      <c r="CD492" s="135">
        <v>45017</v>
      </c>
      <c r="CE492" s="138">
        <v>94.9</v>
      </c>
      <c r="CF492" s="138">
        <v>76</v>
      </c>
      <c r="CG492" s="138"/>
      <c r="CH492" s="138"/>
      <c r="CI492" s="127">
        <v>5</v>
      </c>
      <c r="CJ492" s="138"/>
      <c r="CK492" s="138">
        <f t="shared" si="356"/>
        <v>25</v>
      </c>
      <c r="CL492" s="99"/>
      <c r="CM492" s="99"/>
      <c r="CN492" s="140">
        <v>50</v>
      </c>
      <c r="CO492" s="141">
        <f t="shared" si="373"/>
        <v>6.5207999999999995</v>
      </c>
      <c r="CP492" s="142">
        <v>7.8</v>
      </c>
      <c r="CQ492" s="143">
        <v>0</v>
      </c>
      <c r="CR492" s="138">
        <v>25</v>
      </c>
      <c r="CS492" s="139">
        <v>10</v>
      </c>
      <c r="CT492" s="138"/>
      <c r="CU492" s="138">
        <f t="shared" si="370"/>
        <v>15</v>
      </c>
      <c r="CV492" s="115">
        <f t="shared" si="368"/>
        <v>2300.3312476996689</v>
      </c>
      <c r="CW492" s="115">
        <f t="shared" si="374"/>
        <v>1533.5541651331125</v>
      </c>
      <c r="CX492" s="133">
        <f t="shared" si="369"/>
        <v>0.17371937639198215</v>
      </c>
      <c r="CY492" s="116"/>
      <c r="CZ492" s="131"/>
      <c r="DA492" s="145" t="str">
        <f t="shared" si="375"/>
        <v>Газлифт</v>
      </c>
      <c r="DB492" s="146">
        <f t="shared" si="390"/>
        <v>6.5207999999999995</v>
      </c>
      <c r="DC492" s="142">
        <f t="shared" si="402"/>
        <v>7.8</v>
      </c>
      <c r="DD492" s="119">
        <f t="shared" si="350"/>
        <v>0</v>
      </c>
      <c r="DE492" s="115">
        <f t="shared" si="392"/>
        <v>15</v>
      </c>
      <c r="DF492" s="121">
        <f t="shared" si="376"/>
        <v>10</v>
      </c>
      <c r="DG492" s="115">
        <f t="shared" si="377"/>
        <v>2300.3312476996689</v>
      </c>
      <c r="DH492" s="115">
        <f t="shared" si="378"/>
        <v>50</v>
      </c>
      <c r="DI492" s="147"/>
      <c r="DJ492" s="111"/>
      <c r="DK492" s="112">
        <v>43865</v>
      </c>
      <c r="DL492" s="113">
        <f t="shared" ca="1" si="393"/>
        <v>1239</v>
      </c>
      <c r="DM492" s="114"/>
      <c r="DN492" s="114"/>
      <c r="DO492" s="114"/>
      <c r="DP492" s="114"/>
      <c r="DQ492" s="112"/>
      <c r="DR492" s="114"/>
      <c r="DS492" s="114"/>
      <c r="DT492" s="115">
        <v>52</v>
      </c>
      <c r="DU492" s="116">
        <f t="shared" si="394"/>
        <v>0.1818181818181818</v>
      </c>
      <c r="DV492" s="117">
        <f t="shared" si="395"/>
        <v>6.5207999999999995</v>
      </c>
      <c r="DW492" s="118">
        <f t="shared" si="396"/>
        <v>7.8</v>
      </c>
      <c r="DX492" s="119">
        <f t="shared" si="379"/>
        <v>0</v>
      </c>
      <c r="DY492" s="115">
        <f t="shared" si="397"/>
        <v>15</v>
      </c>
      <c r="DZ492" s="117">
        <f t="shared" si="398"/>
        <v>0</v>
      </c>
      <c r="EA492" s="120">
        <f t="shared" si="398"/>
        <v>0</v>
      </c>
      <c r="EB492" s="119">
        <f t="shared" si="387"/>
        <v>0</v>
      </c>
      <c r="EC492" s="121">
        <f t="shared" si="399"/>
        <v>0</v>
      </c>
      <c r="ED492" s="122"/>
      <c r="EE492" s="145">
        <v>65</v>
      </c>
      <c r="EF492" s="115">
        <v>25</v>
      </c>
      <c r="EG492" s="115">
        <v>40</v>
      </c>
      <c r="EH492" s="115">
        <v>24</v>
      </c>
      <c r="EI492" s="128" t="s">
        <v>195</v>
      </c>
      <c r="EJ492" s="121">
        <v>24</v>
      </c>
      <c r="EK492" s="121">
        <v>0</v>
      </c>
      <c r="EL492" s="149">
        <v>6.5207999999999995</v>
      </c>
      <c r="EM492" s="142">
        <v>7.8</v>
      </c>
      <c r="EN492" s="119">
        <v>0</v>
      </c>
      <c r="EO492" s="115">
        <v>25</v>
      </c>
      <c r="EP492" s="115">
        <v>2300.3312476996689</v>
      </c>
      <c r="EQ492" s="115">
        <v>76</v>
      </c>
      <c r="ER492" s="115">
        <v>10</v>
      </c>
      <c r="ES492" s="115">
        <v>50</v>
      </c>
      <c r="ET492" s="150">
        <v>0.17371937639198215</v>
      </c>
      <c r="EU492" s="145">
        <f t="shared" si="400"/>
        <v>65</v>
      </c>
      <c r="EV492" s="115">
        <f t="shared" si="380"/>
        <v>25</v>
      </c>
      <c r="EW492" s="115">
        <f t="shared" si="380"/>
        <v>40</v>
      </c>
      <c r="EX492" s="115">
        <f t="shared" si="380"/>
        <v>24</v>
      </c>
      <c r="EY492" s="115" t="str">
        <f t="shared" si="357"/>
        <v>Постоянный</v>
      </c>
      <c r="EZ492" s="115">
        <f t="shared" si="357"/>
        <v>24</v>
      </c>
      <c r="FA492" s="115">
        <f t="shared" si="357"/>
        <v>0</v>
      </c>
      <c r="FB492" s="149">
        <f t="shared" si="405"/>
        <v>6.5207999999999995</v>
      </c>
      <c r="FC492" s="142">
        <f t="shared" si="405"/>
        <v>7.8</v>
      </c>
      <c r="FD492" s="119">
        <f t="shared" si="405"/>
        <v>0</v>
      </c>
      <c r="FE492" s="121">
        <f t="shared" si="405"/>
        <v>25</v>
      </c>
      <c r="FF492" s="121">
        <f t="shared" si="347"/>
        <v>2300.3312476996689</v>
      </c>
      <c r="FG492" s="121">
        <f t="shared" si="381"/>
        <v>76</v>
      </c>
      <c r="FH492" s="121">
        <f t="shared" si="358"/>
        <v>10</v>
      </c>
      <c r="FI492" s="121">
        <f t="shared" si="355"/>
        <v>50</v>
      </c>
      <c r="FJ492" s="144">
        <f t="shared" si="382"/>
        <v>0.17371937639198215</v>
      </c>
      <c r="FK492" s="132">
        <f t="shared" si="383"/>
        <v>0</v>
      </c>
      <c r="FL492" s="115">
        <f t="shared" si="383"/>
        <v>0</v>
      </c>
      <c r="FM492" s="115">
        <f t="shared" si="383"/>
        <v>0</v>
      </c>
      <c r="FN492" s="115">
        <f t="shared" si="371"/>
        <v>0</v>
      </c>
      <c r="FO492" s="115">
        <f t="shared" si="403"/>
        <v>0</v>
      </c>
      <c r="FP492" s="115">
        <f t="shared" si="403"/>
        <v>0</v>
      </c>
      <c r="FQ492" s="149">
        <f t="shared" si="403"/>
        <v>0</v>
      </c>
      <c r="FR492" s="142">
        <f t="shared" si="403"/>
        <v>0</v>
      </c>
      <c r="FS492" s="119">
        <f t="shared" si="403"/>
        <v>0</v>
      </c>
      <c r="FT492" s="121">
        <f t="shared" si="353"/>
        <v>0</v>
      </c>
      <c r="FU492" s="121">
        <f t="shared" si="384"/>
        <v>0</v>
      </c>
      <c r="FV492" s="121">
        <f t="shared" si="384"/>
        <v>0</v>
      </c>
      <c r="FW492" s="121">
        <f t="shared" si="385"/>
        <v>0</v>
      </c>
      <c r="FX492" s="121">
        <f t="shared" si="386"/>
        <v>0</v>
      </c>
      <c r="FY492" s="144">
        <f t="shared" si="386"/>
        <v>0</v>
      </c>
      <c r="FZ492" s="145"/>
      <c r="GA492" s="151"/>
      <c r="GB492" s="145" t="s">
        <v>223</v>
      </c>
      <c r="GC492" s="151" t="s">
        <v>1176</v>
      </c>
      <c r="GD492" s="997" t="s">
        <v>220</v>
      </c>
      <c r="GE492" s="1004" t="s">
        <v>223</v>
      </c>
      <c r="GF492" s="1004">
        <v>-1.2151260000000006</v>
      </c>
      <c r="GG492" s="1004"/>
      <c r="GH492" s="1004">
        <v>0</v>
      </c>
      <c r="GI492" s="145" t="s">
        <v>223</v>
      </c>
      <c r="GJ492" s="996">
        <v>-2.4565859999999988</v>
      </c>
      <c r="GK492" s="145"/>
      <c r="GL492" s="996">
        <v>-0.53094360000000052</v>
      </c>
      <c r="GM492" s="1005" t="s">
        <v>259</v>
      </c>
      <c r="GN492" s="996">
        <v>1.610301527999999</v>
      </c>
      <c r="GO492" s="1006"/>
      <c r="GP492" s="996">
        <v>0</v>
      </c>
      <c r="GQ492" s="1006"/>
      <c r="GR492" s="996">
        <v>0.1081540719999996</v>
      </c>
      <c r="GS492" s="1006"/>
      <c r="GT492" s="996">
        <v>0</v>
      </c>
      <c r="GU492" s="1006" t="s">
        <v>223</v>
      </c>
      <c r="GV492" s="996">
        <v>-1.2539999999999996</v>
      </c>
      <c r="GW492" s="1006"/>
      <c r="GX492" s="996">
        <v>0</v>
      </c>
      <c r="GY492" s="1006"/>
      <c r="GZ492" s="996">
        <v>0</v>
      </c>
      <c r="HA492" s="1006"/>
      <c r="HB492" s="996">
        <v>0</v>
      </c>
      <c r="HC492" s="1006"/>
      <c r="HD492" s="996">
        <v>0</v>
      </c>
      <c r="HE492" s="1006"/>
      <c r="HF492" s="996">
        <v>0</v>
      </c>
      <c r="HG492" s="1006"/>
      <c r="HH492" s="996">
        <v>0</v>
      </c>
      <c r="HI492" s="1006"/>
      <c r="HJ492" s="996">
        <v>-0.8360000000000003</v>
      </c>
      <c r="HK492" s="1006"/>
      <c r="HL492" s="996">
        <v>0</v>
      </c>
      <c r="HM492" s="1006" t="s">
        <v>223</v>
      </c>
      <c r="HN492" s="996">
        <v>-3.6951200000000002</v>
      </c>
      <c r="HO492" s="1006"/>
      <c r="HP492" s="996">
        <v>0</v>
      </c>
      <c r="HQ492" s="1006"/>
      <c r="HR492" s="996">
        <v>0</v>
      </c>
      <c r="HS492" s="1006"/>
      <c r="HT492" s="996">
        <v>0</v>
      </c>
      <c r="HU492" s="1006"/>
      <c r="HV492" s="996">
        <v>0</v>
      </c>
      <c r="HW492" s="1006" t="s">
        <v>199</v>
      </c>
      <c r="HX492" s="996">
        <v>2.0231200000000005</v>
      </c>
      <c r="HY492" s="1006" t="s">
        <v>199</v>
      </c>
      <c r="HZ492" s="996">
        <v>1.4044799999999995</v>
      </c>
      <c r="IA492" s="1006" t="s">
        <v>204</v>
      </c>
      <c r="IB492" s="996">
        <v>1.5382400000000001</v>
      </c>
      <c r="IC492" s="1006" t="s">
        <v>223</v>
      </c>
      <c r="ID492" s="996">
        <v>-3.3105599999999988</v>
      </c>
      <c r="IE492" s="1006"/>
      <c r="IF492" s="996">
        <v>0</v>
      </c>
      <c r="IG492" s="1006" t="s">
        <v>199</v>
      </c>
      <c r="IH492" s="996">
        <v>9.0170959999999987</v>
      </c>
      <c r="II492" s="1006" t="s">
        <v>199</v>
      </c>
      <c r="IJ492" s="996">
        <v>-10.739255999999999</v>
      </c>
      <c r="IK492" s="1006"/>
      <c r="IL492" s="996">
        <v>0</v>
      </c>
      <c r="IM492" s="1006"/>
      <c r="IN492" s="996">
        <v>0.75239999999999974</v>
      </c>
      <c r="IO492" s="1006" t="s">
        <v>204</v>
      </c>
      <c r="IP492" s="996">
        <v>-4.5144000000000002</v>
      </c>
      <c r="IQ492" s="1006"/>
      <c r="IR492" s="996">
        <v>0.66880000000000095</v>
      </c>
      <c r="IS492" s="1006" t="s">
        <v>203</v>
      </c>
      <c r="IT492" s="996">
        <v>4.3471999999999991</v>
      </c>
      <c r="IU492" s="1006" t="s">
        <v>203</v>
      </c>
      <c r="IV492" s="996">
        <v>-12.54</v>
      </c>
      <c r="IW492" s="1006"/>
      <c r="IX492" s="996">
        <v>0</v>
      </c>
      <c r="IY492" s="1006"/>
      <c r="IZ492" s="996">
        <v>0</v>
      </c>
      <c r="JA492" s="1006" t="s">
        <v>203</v>
      </c>
      <c r="JB492" s="996">
        <v>-1.3794000000000004</v>
      </c>
      <c r="JC492" s="1006"/>
      <c r="JD492" s="996">
        <v>0</v>
      </c>
      <c r="JE492" s="1006" t="s">
        <v>25</v>
      </c>
      <c r="JF492" s="996">
        <v>23.9514</v>
      </c>
      <c r="JG492" s="1006"/>
      <c r="JH492" s="996"/>
      <c r="JI492" s="1006"/>
      <c r="JJ492" s="996"/>
      <c r="JK492" s="1007"/>
      <c r="JL492" s="1007"/>
      <c r="JM492" s="1007"/>
      <c r="JN492" s="1007"/>
      <c r="JO492" s="1008"/>
      <c r="JP492" s="1007"/>
      <c r="JQ492" s="1008"/>
      <c r="JR492" s="1007"/>
      <c r="JS492" s="1008"/>
      <c r="JT492" s="1007"/>
      <c r="JU492" s="1008"/>
      <c r="JV492" s="1007"/>
      <c r="JW492" s="1008"/>
      <c r="JX492" s="1007"/>
      <c r="JY492" s="1008"/>
      <c r="JZ492" s="1007"/>
      <c r="KA492" s="1008"/>
      <c r="KB492" s="1007"/>
      <c r="KC492" s="1008"/>
      <c r="KD492" s="1007"/>
      <c r="KE492" s="1008"/>
      <c r="KF492" s="1007"/>
      <c r="KG492" s="1008"/>
      <c r="KH492" s="1007"/>
      <c r="KI492" s="1008"/>
      <c r="KJ492" s="1007"/>
      <c r="KK492" s="1008"/>
      <c r="KL492" s="1007"/>
      <c r="KM492" s="1008"/>
      <c r="KN492" s="1007"/>
      <c r="KO492" s="1008"/>
      <c r="KP492" s="1007"/>
      <c r="KQ492" s="1008"/>
      <c r="KR492" s="1007"/>
      <c r="KS492" s="1008"/>
      <c r="KT492" s="1007"/>
      <c r="KU492" s="1008"/>
      <c r="KV492" s="1007"/>
      <c r="KW492" s="1008"/>
      <c r="KX492" s="1007"/>
      <c r="KY492" s="1008"/>
      <c r="KZ492" s="1007"/>
      <c r="LA492" s="1008"/>
      <c r="LB492" s="1007"/>
      <c r="LC492" s="1008"/>
      <c r="LD492" s="1007"/>
      <c r="LE492" s="1008"/>
      <c r="LF492" s="1007"/>
      <c r="LG492" s="1008"/>
      <c r="LH492" s="1007"/>
      <c r="LI492" s="1008"/>
      <c r="LJ492" s="1007"/>
      <c r="LK492" s="1008"/>
      <c r="LL492" s="1007"/>
      <c r="LM492" s="1008"/>
      <c r="LN492" s="1007"/>
      <c r="LO492" s="1008"/>
      <c r="LP492" s="1007"/>
      <c r="LQ492" s="1008"/>
      <c r="LR492" s="1007"/>
      <c r="LS492" s="1008"/>
      <c r="LT492" s="1007"/>
      <c r="LU492" s="1008"/>
      <c r="LV492" s="1007"/>
      <c r="LW492" s="1008"/>
      <c r="LX492" s="1007"/>
      <c r="LY492" s="1009"/>
      <c r="LZ492" s="1010"/>
      <c r="MA492" s="1011"/>
      <c r="MB492" s="1012"/>
      <c r="MC492" s="995"/>
      <c r="MD492" s="996"/>
      <c r="ME492" s="997" t="s">
        <v>220</v>
      </c>
      <c r="MF492" s="997"/>
      <c r="MG492" s="998"/>
      <c r="NR492" s="1000"/>
      <c r="NS492" s="1000"/>
      <c r="NT492" s="1001"/>
      <c r="NU492" s="1000"/>
      <c r="NV492" s="1001"/>
      <c r="NX492" s="1002"/>
      <c r="NZ492" s="1001"/>
      <c r="OA492" s="1001"/>
      <c r="OC492" s="1003"/>
      <c r="OD492" s="1003"/>
      <c r="OE492" s="1001"/>
      <c r="OF492" s="1003"/>
      <c r="OG492" s="1003"/>
      <c r="QX492" s="1000">
        <f>CN492-CA492</f>
        <v>25</v>
      </c>
      <c r="ASU492" s="999" t="s">
        <v>208</v>
      </c>
    </row>
    <row r="493" spans="1:466 1191:1191" ht="21" customHeight="1" x14ac:dyDescent="0.25">
      <c r="A493" s="982">
        <f t="shared" si="372"/>
        <v>1586</v>
      </c>
      <c r="B493" s="124">
        <f>SUBTOTAL(103,$J$29:J493)</f>
        <v>465</v>
      </c>
      <c r="C493" s="126">
        <v>45068</v>
      </c>
      <c r="D493" s="124" t="s">
        <v>176</v>
      </c>
      <c r="E493" s="127" t="s">
        <v>177</v>
      </c>
      <c r="F493" s="128" t="s">
        <v>177</v>
      </c>
      <c r="G493" s="127" t="s">
        <v>178</v>
      </c>
      <c r="H493" s="127" t="s">
        <v>408</v>
      </c>
      <c r="I493" s="127" t="s">
        <v>1377</v>
      </c>
      <c r="J493" s="152">
        <v>1586</v>
      </c>
      <c r="K493" s="127" t="s">
        <v>1377</v>
      </c>
      <c r="L493" s="130">
        <v>44221</v>
      </c>
      <c r="M493" s="127" t="s">
        <v>230</v>
      </c>
      <c r="N493" s="127" t="s">
        <v>231</v>
      </c>
      <c r="O493" s="127" t="s">
        <v>185</v>
      </c>
      <c r="P493" s="127" t="s">
        <v>186</v>
      </c>
      <c r="Q493" s="85" t="str">
        <f t="shared" si="367"/>
        <v/>
      </c>
      <c r="R493" s="130"/>
      <c r="S493" s="128"/>
      <c r="T493" s="131"/>
      <c r="U493" s="132">
        <v>203</v>
      </c>
      <c r="V493" s="121">
        <v>218.2</v>
      </c>
      <c r="W493" s="116">
        <v>0.98</v>
      </c>
      <c r="X493" s="116">
        <v>1.66</v>
      </c>
      <c r="Y493" s="116">
        <f t="shared" ref="Y493:Y506" si="406">(W493*X493)/((CQ493/100)*W493+(1-CQ493/100)*X493)</f>
        <v>0.98</v>
      </c>
      <c r="Z493" s="133">
        <v>1.454</v>
      </c>
      <c r="AA493" s="133">
        <v>0.83599999999999997</v>
      </c>
      <c r="AB493" s="133">
        <v>0.72</v>
      </c>
      <c r="AC493" s="121">
        <v>34.299999999999997</v>
      </c>
      <c r="AD493" s="134">
        <v>1.17</v>
      </c>
      <c r="AE493" s="124">
        <v>177.8</v>
      </c>
      <c r="AF493" s="128">
        <v>9.1999999999999993</v>
      </c>
      <c r="AG493" s="128">
        <v>2136</v>
      </c>
      <c r="AH493" s="127">
        <v>2849</v>
      </c>
      <c r="AI493" s="127">
        <v>2849</v>
      </c>
      <c r="AJ493" s="135">
        <v>44177</v>
      </c>
      <c r="AK493" s="128"/>
      <c r="AL493" s="131"/>
      <c r="AM493" s="124" t="s">
        <v>232</v>
      </c>
      <c r="AN493" s="136" t="s">
        <v>1787</v>
      </c>
      <c r="AO493" s="137">
        <v>31.78</v>
      </c>
      <c r="AP493" s="128">
        <v>2136</v>
      </c>
      <c r="AQ493" s="128">
        <v>265.45999999999998</v>
      </c>
      <c r="AR493" s="128"/>
      <c r="AS493" s="128"/>
      <c r="AT493" s="122"/>
      <c r="AU493" s="124" t="s">
        <v>189</v>
      </c>
      <c r="AV493" s="115">
        <f>VLOOKUP(J493,'[63]ТР нефть'!$J$28:$BP$638,39,0)</f>
        <v>440.00000800800001</v>
      </c>
      <c r="AW493" s="115" t="str">
        <f>VLOOKUP(J493,'[63]ТР нефть'!$J$28:$BP$638,40,0)</f>
        <v>ГП</v>
      </c>
      <c r="AX493" s="115">
        <f>VLOOKUP(J493,'[63]ТР нефть'!$J$28:$BP$638,41,0)</f>
        <v>980.00001445299995</v>
      </c>
      <c r="AY493" s="115" t="str">
        <f>VLOOKUP(J493,'[63]ТР нефть'!$J$28:$BP$638,42,0)</f>
        <v>ГП</v>
      </c>
      <c r="AZ493" s="115">
        <f>VLOOKUP(J493,'[63]ТР нефть'!$J$28:$BP$638,43,0)</f>
        <v>1340.0000683589999</v>
      </c>
      <c r="BA493" s="115" t="str">
        <f>VLOOKUP(J493,'[63]ТР нефть'!$J$28:$BP$638,44,0)</f>
        <v>ГК 83 1/8</v>
      </c>
      <c r="BB493" s="115">
        <f>VLOOKUP(J493,'[63]ТР нефть'!$J$28:$BP$638,45,0)</f>
        <v>1669.999944141</v>
      </c>
      <c r="BC493" s="115" t="str">
        <f>VLOOKUP(J493,'[63]ТР нефть'!$J$28:$BP$638,46,0)</f>
        <v>ГК 83 1/8</v>
      </c>
      <c r="BD493" s="115">
        <f>VLOOKUP(J493,'[63]ТР нефть'!$J$28:$BP$638,47,0)</f>
        <v>1840.000060547</v>
      </c>
      <c r="BE493" s="115" t="str">
        <f>VLOOKUP(J493,'[63]ТР нефть'!$J$28:$BP$638,48,0)</f>
        <v>ЦКсОК 5/16</v>
      </c>
      <c r="BF493" s="115" t="str">
        <f>VLOOKUP(J493,'[63]ТР нефть'!$J$28:$BP$638,49,0)</f>
        <v>-</v>
      </c>
      <c r="BG493" s="115" t="str">
        <f>VLOOKUP(J493,'[63]ТР нефть'!$J$28:$BP$638,50,0)</f>
        <v>-</v>
      </c>
      <c r="BH493" s="115">
        <f>VLOOKUP(J493,'[63]ТР нефть'!$J$28:$BP$638,51,0)</f>
        <v>1860</v>
      </c>
      <c r="BI493" s="115" t="str">
        <f>VLOOKUP(J493,'[63]ТР нефть'!$J$28:$BP$638,52,0)</f>
        <v>закрыт</v>
      </c>
      <c r="BJ493" s="115" t="str">
        <f>IF(IFERROR(VLOOKUP(J493,'[63]ТР нефть'!$J$28:$BP$638,53,0),"-")=0,"-",IFERROR(VLOOKUP(J493,'[63]ТР нефть'!$J$28:$BP$638,53,0),"-"))</f>
        <v>-</v>
      </c>
      <c r="BK493" s="138" t="str">
        <f>IF(IFERROR(VLOOKUP(J493,'[63]ТР нефть'!$J$28:$BP$638,54,0),"-")=0,"-",IFERROR(VLOOKUP(J493,'[63]ТР нефть'!$J$28:$BP$638,54,0),"-"))</f>
        <v>-</v>
      </c>
      <c r="BL493" s="138" t="str">
        <f>IF(IFERROR(VLOOKUP(J493,'[63]ТР нефть'!$J$28:$BP$638,55,0),"-")=0,"-",IFERROR(VLOOKUP(J493,'[63]ТР нефть'!$J$28:$BP$638,55,0),"-"))</f>
        <v>-</v>
      </c>
      <c r="BM493" s="138" t="str">
        <f>IF(IFERROR(VLOOKUP(J493,'[63]ТР нефть'!$J$28:$BP$638,56,0),"-")=0,"-",IFERROR(VLOOKUP(J493,'[63]ТР нефть'!$J$28:$BP$638,56,0),"-"))</f>
        <v>-</v>
      </c>
      <c r="BN493" s="138" t="str">
        <f>IF(IFERROR(VLOOKUP(J493,'[63]ТР нефть'!$J$28:$BP$638,57,0),"-")=0,"-",IFERROR(VLOOKUP(J493,'[63]ТР нефть'!$J$28:$BP$638,57,0),"-"))</f>
        <v>-</v>
      </c>
      <c r="BO493" s="115" t="str">
        <f>IF(IFERROR(VLOOKUP(J493,'[63]ТР нефть'!$J$28:$BP$638,58,0),"-")=0,"-",IFERROR(VLOOKUP(J493,'[63]ТР нефть'!$J$28:$BP$638,58,0),"-"))</f>
        <v>-</v>
      </c>
      <c r="BP493" s="115" t="str">
        <f>IF(IFERROR(VLOOKUP(J493,'[63]ТР нефть'!$J$28:$BP$638,59,0),"-")=0,"-",IFERROR(VLOOKUP(J493,'[63]ТР нефть'!$J$28:$BP$638,59,0),"-"))</f>
        <v>-</v>
      </c>
      <c r="BQ493" s="138">
        <v>2150</v>
      </c>
      <c r="BR493" s="128">
        <v>1874.02</v>
      </c>
      <c r="BS493" s="115">
        <f t="shared" si="388"/>
        <v>275.98</v>
      </c>
      <c r="BT493" s="128">
        <v>73</v>
      </c>
      <c r="BU493" s="128">
        <v>5.5</v>
      </c>
      <c r="BV493" s="127">
        <v>18</v>
      </c>
      <c r="BW493" s="127" t="s">
        <v>217</v>
      </c>
      <c r="BX493" s="127" t="s">
        <v>195</v>
      </c>
      <c r="BY493" s="139">
        <v>24</v>
      </c>
      <c r="BZ493" s="139">
        <v>0</v>
      </c>
      <c r="CA493" s="138">
        <v>23</v>
      </c>
      <c r="CB493" s="138">
        <v>38</v>
      </c>
      <c r="CC493" s="138">
        <v>23</v>
      </c>
      <c r="CD493" s="135">
        <v>45017</v>
      </c>
      <c r="CE493" s="138">
        <v>85</v>
      </c>
      <c r="CF493" s="138">
        <v>67</v>
      </c>
      <c r="CG493" s="138" t="str">
        <f t="shared" si="404"/>
        <v/>
      </c>
      <c r="CH493" s="138" t="s">
        <v>197</v>
      </c>
      <c r="CI493" s="127">
        <v>5</v>
      </c>
      <c r="CJ493" s="138"/>
      <c r="CK493" s="138"/>
      <c r="CL493" s="99"/>
      <c r="CM493" s="99"/>
      <c r="CN493" s="140">
        <v>50</v>
      </c>
      <c r="CO493" s="159">
        <f t="shared" si="373"/>
        <v>4.18</v>
      </c>
      <c r="CP493" s="160">
        <v>5</v>
      </c>
      <c r="CQ493" s="161">
        <v>0</v>
      </c>
      <c r="CR493" s="138">
        <v>9.98</v>
      </c>
      <c r="CS493" s="139">
        <v>7.2</v>
      </c>
      <c r="CT493" s="138"/>
      <c r="CU493" s="138">
        <f t="shared" si="370"/>
        <v>2.7800000000000002</v>
      </c>
      <c r="CV493" s="115">
        <f t="shared" si="368"/>
        <v>665.07177033492837</v>
      </c>
      <c r="CW493" s="115">
        <f t="shared" si="374"/>
        <v>1722.488038277512</v>
      </c>
      <c r="CX493" s="133">
        <f t="shared" si="369"/>
        <v>0.14285714285714285</v>
      </c>
      <c r="CY493" s="116"/>
      <c r="CZ493" s="131"/>
      <c r="DA493" s="145" t="str">
        <f t="shared" si="375"/>
        <v>Газлифт</v>
      </c>
      <c r="DB493" s="146">
        <f t="shared" si="390"/>
        <v>4.18</v>
      </c>
      <c r="DC493" s="142">
        <f t="shared" si="402"/>
        <v>5</v>
      </c>
      <c r="DD493" s="119">
        <f t="shared" si="350"/>
        <v>0</v>
      </c>
      <c r="DE493" s="115">
        <f t="shared" si="392"/>
        <v>2.7800000000000002</v>
      </c>
      <c r="DF493" s="121">
        <f t="shared" si="376"/>
        <v>7.2</v>
      </c>
      <c r="DG493" s="115">
        <f t="shared" si="377"/>
        <v>665.07177033492837</v>
      </c>
      <c r="DH493" s="115">
        <f t="shared" si="378"/>
        <v>50</v>
      </c>
      <c r="DI493" s="147"/>
      <c r="DJ493" s="111"/>
      <c r="DK493" s="112">
        <v>44221.083333333336</v>
      </c>
      <c r="DL493" s="113">
        <f t="shared" ca="1" si="393"/>
        <v>882.91666666666424</v>
      </c>
      <c r="DM493" s="114"/>
      <c r="DN493" s="114"/>
      <c r="DO493" s="114"/>
      <c r="DP493" s="114"/>
      <c r="DQ493" s="112"/>
      <c r="DR493" s="114"/>
      <c r="DS493" s="114"/>
      <c r="DT493" s="115">
        <v>52</v>
      </c>
      <c r="DU493" s="116">
        <f t="shared" si="394"/>
        <v>0.15151515151515152</v>
      </c>
      <c r="DV493" s="117">
        <f t="shared" si="395"/>
        <v>4.18</v>
      </c>
      <c r="DW493" s="118">
        <f t="shared" si="396"/>
        <v>5</v>
      </c>
      <c r="DX493" s="119">
        <f t="shared" si="379"/>
        <v>0</v>
      </c>
      <c r="DY493" s="115">
        <f t="shared" si="397"/>
        <v>2.7800000000000002</v>
      </c>
      <c r="DZ493" s="117">
        <f t="shared" si="398"/>
        <v>0</v>
      </c>
      <c r="EA493" s="120">
        <f t="shared" si="398"/>
        <v>0</v>
      </c>
      <c r="EB493" s="119">
        <f t="shared" si="387"/>
        <v>0</v>
      </c>
      <c r="EC493" s="121">
        <f t="shared" si="399"/>
        <v>0</v>
      </c>
      <c r="ED493" s="122"/>
      <c r="EE493" s="145">
        <v>18</v>
      </c>
      <c r="EF493" s="115">
        <v>25</v>
      </c>
      <c r="EG493" s="115">
        <v>40</v>
      </c>
      <c r="EH493" s="115">
        <v>24</v>
      </c>
      <c r="EI493" s="128" t="s">
        <v>195</v>
      </c>
      <c r="EJ493" s="121">
        <v>24</v>
      </c>
      <c r="EK493" s="121">
        <v>0</v>
      </c>
      <c r="EL493" s="162">
        <v>3.762</v>
      </c>
      <c r="EM493" s="142">
        <v>4.5</v>
      </c>
      <c r="EN493" s="119">
        <v>0</v>
      </c>
      <c r="EO493" s="115">
        <v>9.98</v>
      </c>
      <c r="EP493" s="115">
        <v>409.3567251461991</v>
      </c>
      <c r="EQ493" s="115">
        <v>64</v>
      </c>
      <c r="ER493" s="115">
        <v>8.44</v>
      </c>
      <c r="ES493" s="115">
        <v>52</v>
      </c>
      <c r="ET493" s="150">
        <v>0.13636363636363635</v>
      </c>
      <c r="EU493" s="145">
        <f t="shared" si="400"/>
        <v>18</v>
      </c>
      <c r="EV493" s="115">
        <f t="shared" si="380"/>
        <v>23</v>
      </c>
      <c r="EW493" s="115">
        <f t="shared" si="380"/>
        <v>38</v>
      </c>
      <c r="EX493" s="115">
        <f t="shared" si="380"/>
        <v>23</v>
      </c>
      <c r="EY493" s="115" t="str">
        <f t="shared" si="357"/>
        <v>Постоянный</v>
      </c>
      <c r="EZ493" s="115">
        <f t="shared" si="357"/>
        <v>24</v>
      </c>
      <c r="FA493" s="115">
        <f t="shared" si="357"/>
        <v>0</v>
      </c>
      <c r="FB493" s="149">
        <f t="shared" si="405"/>
        <v>4.18</v>
      </c>
      <c r="FC493" s="142">
        <f t="shared" si="405"/>
        <v>5</v>
      </c>
      <c r="FD493" s="119">
        <f t="shared" si="405"/>
        <v>0</v>
      </c>
      <c r="FE493" s="121">
        <f t="shared" si="405"/>
        <v>9.98</v>
      </c>
      <c r="FF493" s="121">
        <f t="shared" ref="FF493:FF556" si="407">CV493</f>
        <v>665.07177033492837</v>
      </c>
      <c r="FG493" s="121">
        <f t="shared" si="381"/>
        <v>67</v>
      </c>
      <c r="FH493" s="121">
        <f t="shared" si="358"/>
        <v>7.2</v>
      </c>
      <c r="FI493" s="121">
        <f t="shared" si="355"/>
        <v>50</v>
      </c>
      <c r="FJ493" s="144">
        <f t="shared" si="382"/>
        <v>0.14285714285714285</v>
      </c>
      <c r="FK493" s="132">
        <f t="shared" si="383"/>
        <v>0</v>
      </c>
      <c r="FL493" s="115">
        <f t="shared" si="383"/>
        <v>-2</v>
      </c>
      <c r="FM493" s="115">
        <f t="shared" si="383"/>
        <v>-2</v>
      </c>
      <c r="FN493" s="115">
        <f t="shared" si="371"/>
        <v>-1</v>
      </c>
      <c r="FO493" s="115">
        <f t="shared" si="403"/>
        <v>0</v>
      </c>
      <c r="FP493" s="115">
        <f t="shared" si="403"/>
        <v>0</v>
      </c>
      <c r="FQ493" s="149">
        <f t="shared" si="403"/>
        <v>0.41799999999999971</v>
      </c>
      <c r="FR493" s="142">
        <f t="shared" si="403"/>
        <v>0.5</v>
      </c>
      <c r="FS493" s="119">
        <f t="shared" si="403"/>
        <v>0</v>
      </c>
      <c r="FT493" s="121">
        <f t="shared" si="353"/>
        <v>0</v>
      </c>
      <c r="FU493" s="121">
        <f t="shared" si="384"/>
        <v>3</v>
      </c>
      <c r="FV493" s="121">
        <f t="shared" si="384"/>
        <v>-1.2399999999999993</v>
      </c>
      <c r="FW493" s="121">
        <f t="shared" si="385"/>
        <v>255.71504518872928</v>
      </c>
      <c r="FX493" s="121">
        <f>CN493-ES493</f>
        <v>-2</v>
      </c>
      <c r="FY493" s="144">
        <f t="shared" si="386"/>
        <v>6.4935064935064957E-3</v>
      </c>
      <c r="FZ493" s="145"/>
      <c r="GA493" s="151"/>
      <c r="GB493" s="145"/>
      <c r="GC493" s="151"/>
      <c r="GD493" s="997" t="s">
        <v>416</v>
      </c>
      <c r="GE493" s="1004"/>
      <c r="GF493" s="1004">
        <v>-0.16970799999999997</v>
      </c>
      <c r="GG493" s="1004"/>
      <c r="GH493" s="1004">
        <v>0</v>
      </c>
      <c r="GI493" s="145"/>
      <c r="GJ493" s="996">
        <v>0</v>
      </c>
      <c r="GK493" s="145"/>
      <c r="GL493" s="996">
        <v>0</v>
      </c>
      <c r="GM493" s="1005"/>
      <c r="GN493" s="996">
        <v>0.92210800000000015</v>
      </c>
      <c r="GO493" s="1006"/>
      <c r="GP493" s="996">
        <v>0</v>
      </c>
      <c r="GQ493" s="1006" t="s">
        <v>203</v>
      </c>
      <c r="GR493" s="996">
        <v>-3.8455999999999992</v>
      </c>
      <c r="GS493" s="1006"/>
      <c r="GT493" s="996">
        <v>0</v>
      </c>
      <c r="GU493" s="1006" t="s">
        <v>25</v>
      </c>
      <c r="GV493" s="996">
        <v>3.7619999999999991</v>
      </c>
      <c r="GW493" s="1006"/>
      <c r="GX493" s="996">
        <v>-0.31768000000000018</v>
      </c>
      <c r="GY493" s="1006"/>
      <c r="GZ493" s="996">
        <v>-0.41967199999999938</v>
      </c>
      <c r="HA493" s="1006" t="s">
        <v>199</v>
      </c>
      <c r="HB493" s="996">
        <v>-1.2690480000000002</v>
      </c>
      <c r="HC493" s="1006"/>
      <c r="HD493" s="996">
        <v>0.66880000000000006</v>
      </c>
      <c r="HE493" s="1006" t="s">
        <v>223</v>
      </c>
      <c r="HF493" s="996">
        <v>-1.3125200000000001</v>
      </c>
      <c r="HG493" s="1006" t="s">
        <v>223</v>
      </c>
      <c r="HH493" s="996">
        <v>-2.5330800000000009</v>
      </c>
      <c r="HI493" s="1006"/>
      <c r="HJ493" s="996">
        <v>0</v>
      </c>
      <c r="HK493" s="1006"/>
      <c r="HL493" s="996">
        <v>0</v>
      </c>
      <c r="HM493" s="1006" t="s">
        <v>199</v>
      </c>
      <c r="HN493" s="996">
        <v>1.0700800000000017</v>
      </c>
      <c r="HO493" s="1006"/>
      <c r="HP493" s="996">
        <v>-0.55175999999999981</v>
      </c>
      <c r="HQ493" s="1006" t="s">
        <v>199</v>
      </c>
      <c r="HR493" s="996">
        <v>-1.81412</v>
      </c>
      <c r="HS493" s="1006" t="s">
        <v>643</v>
      </c>
      <c r="HT493" s="996">
        <v>0</v>
      </c>
      <c r="HU493" s="1006" t="s">
        <v>199</v>
      </c>
      <c r="HV493" s="996">
        <v>3.5947999999999984</v>
      </c>
      <c r="HW493" s="1006"/>
      <c r="HX493" s="996">
        <v>-0.71059999999999945</v>
      </c>
      <c r="HY493" s="1006" t="s">
        <v>203</v>
      </c>
      <c r="HZ493" s="996">
        <v>-1.6719999999999997</v>
      </c>
      <c r="IA493" s="1006" t="s">
        <v>204</v>
      </c>
      <c r="IB493" s="996">
        <v>-1.3794000000000004</v>
      </c>
      <c r="IC493" s="1006"/>
      <c r="ID493" s="996">
        <v>-0.23407999999999873</v>
      </c>
      <c r="IE493" s="1006" t="s">
        <v>223</v>
      </c>
      <c r="IF493" s="996">
        <v>-21.590126359999996</v>
      </c>
      <c r="IG493" s="1006"/>
      <c r="IH493" s="996">
        <v>-1.1393640000004979E-2</v>
      </c>
      <c r="II493" s="1006"/>
      <c r="IJ493" s="996"/>
      <c r="IK493" s="1006"/>
      <c r="IL493" s="996"/>
      <c r="IM493" s="1006"/>
      <c r="IN493" s="996"/>
      <c r="IO493" s="1006"/>
      <c r="IP493" s="996"/>
      <c r="IQ493" s="1006"/>
      <c r="IR493" s="996"/>
      <c r="IS493" s="1006"/>
      <c r="IT493" s="996"/>
      <c r="IU493" s="1006"/>
      <c r="IV493" s="996"/>
      <c r="IW493" s="1006"/>
      <c r="IX493" s="996"/>
      <c r="IY493" s="1006"/>
      <c r="IZ493" s="996"/>
      <c r="JA493" s="1006"/>
      <c r="JB493" s="996"/>
      <c r="JC493" s="1006"/>
      <c r="JD493" s="996"/>
      <c r="JE493" s="1006"/>
      <c r="JF493" s="996"/>
      <c r="JG493" s="1006"/>
      <c r="JH493" s="996"/>
      <c r="JI493" s="1006"/>
      <c r="JJ493" s="996"/>
      <c r="JK493" s="1007"/>
      <c r="JL493" s="1007"/>
      <c r="JM493" s="1007"/>
      <c r="JN493" s="1007"/>
      <c r="JO493" s="1008"/>
      <c r="JP493" s="1007"/>
      <c r="JQ493" s="1008"/>
      <c r="JR493" s="1007"/>
      <c r="JS493" s="1008"/>
      <c r="JT493" s="1007"/>
      <c r="JU493" s="1008"/>
      <c r="JV493" s="1007"/>
      <c r="JW493" s="1008"/>
      <c r="JX493" s="1007"/>
      <c r="JY493" s="1008"/>
      <c r="JZ493" s="1007"/>
      <c r="KA493" s="1008"/>
      <c r="KB493" s="1007"/>
      <c r="KC493" s="1008"/>
      <c r="KD493" s="1007"/>
      <c r="KE493" s="1008"/>
      <c r="KF493" s="1007"/>
      <c r="KG493" s="1008"/>
      <c r="KH493" s="1007"/>
      <c r="KI493" s="1008"/>
      <c r="KJ493" s="1007"/>
      <c r="KK493" s="1008"/>
      <c r="KL493" s="1007"/>
      <c r="KM493" s="1008"/>
      <c r="KN493" s="1007"/>
      <c r="KO493" s="1008"/>
      <c r="KP493" s="1007"/>
      <c r="KQ493" s="1008"/>
      <c r="KR493" s="1007"/>
      <c r="KS493" s="1008"/>
      <c r="KT493" s="1007"/>
      <c r="KU493" s="1008"/>
      <c r="KV493" s="1007"/>
      <c r="KW493" s="1008"/>
      <c r="KX493" s="1007"/>
      <c r="KY493" s="1008"/>
      <c r="KZ493" s="1007"/>
      <c r="LA493" s="1008"/>
      <c r="LB493" s="1007"/>
      <c r="LC493" s="1008"/>
      <c r="LD493" s="1007"/>
      <c r="LE493" s="1008"/>
      <c r="LF493" s="1007"/>
      <c r="LG493" s="1008"/>
      <c r="LH493" s="1007"/>
      <c r="LI493" s="1008"/>
      <c r="LJ493" s="1007"/>
      <c r="LK493" s="1008"/>
      <c r="LL493" s="1007"/>
      <c r="LM493" s="1008"/>
      <c r="LN493" s="1007"/>
      <c r="LO493" s="1008"/>
      <c r="LP493" s="1007"/>
      <c r="LQ493" s="1008"/>
      <c r="LR493" s="1007"/>
      <c r="LS493" s="1008"/>
      <c r="LT493" s="1007"/>
      <c r="LU493" s="1008"/>
      <c r="LV493" s="1007"/>
      <c r="LW493" s="1008"/>
      <c r="LX493" s="1007"/>
      <c r="LY493" s="1009"/>
      <c r="LZ493" s="1010"/>
      <c r="MA493" s="1011"/>
      <c r="MB493" s="1012"/>
      <c r="MC493" s="995"/>
      <c r="MD493" s="996"/>
      <c r="ME493" s="997" t="s">
        <v>416</v>
      </c>
      <c r="MF493" s="997"/>
      <c r="MG493" s="998"/>
      <c r="NR493" s="1000"/>
      <c r="NS493" s="1000"/>
      <c r="NT493" s="1001"/>
      <c r="NU493" s="1000"/>
      <c r="NV493" s="1001"/>
      <c r="NX493" s="1002"/>
      <c r="NZ493" s="1001"/>
      <c r="OA493" s="1001"/>
      <c r="OC493" s="1003"/>
      <c r="OD493" s="1003"/>
      <c r="OE493" s="1001"/>
      <c r="OF493" s="1003"/>
      <c r="OG493" s="1003"/>
      <c r="OH493" s="1003"/>
      <c r="OI493" s="1016"/>
      <c r="QX493" s="1000">
        <f>CN493-CA493</f>
        <v>27</v>
      </c>
      <c r="ASU493" s="999" t="s">
        <v>315</v>
      </c>
    </row>
    <row r="494" spans="1:466 1191:1191" ht="21" customHeight="1" x14ac:dyDescent="0.25">
      <c r="A494" s="982">
        <f t="shared" si="372"/>
        <v>1587</v>
      </c>
      <c r="B494" s="124">
        <f>SUBTOTAL(103,$J$29:J494)</f>
        <v>466</v>
      </c>
      <c r="C494" s="126">
        <v>45068</v>
      </c>
      <c r="D494" s="124" t="s">
        <v>176</v>
      </c>
      <c r="E494" s="127" t="s">
        <v>177</v>
      </c>
      <c r="F494" s="128" t="s">
        <v>177</v>
      </c>
      <c r="G494" s="127" t="s">
        <v>178</v>
      </c>
      <c r="H494" s="127" t="s">
        <v>179</v>
      </c>
      <c r="I494" s="127" t="s">
        <v>1515</v>
      </c>
      <c r="J494" s="152">
        <v>1587</v>
      </c>
      <c r="K494" s="127" t="s">
        <v>1515</v>
      </c>
      <c r="L494" s="130">
        <v>43829</v>
      </c>
      <c r="M494" s="127" t="s">
        <v>230</v>
      </c>
      <c r="N494" s="127" t="s">
        <v>184</v>
      </c>
      <c r="O494" s="127" t="s">
        <v>185</v>
      </c>
      <c r="P494" s="127" t="s">
        <v>186</v>
      </c>
      <c r="Q494" s="85" t="str">
        <f t="shared" si="367"/>
        <v/>
      </c>
      <c r="R494" s="130"/>
      <c r="S494" s="128"/>
      <c r="T494" s="131"/>
      <c r="U494" s="132">
        <v>203</v>
      </c>
      <c r="V494" s="121">
        <v>218.2</v>
      </c>
      <c r="W494" s="116">
        <v>0.98</v>
      </c>
      <c r="X494" s="116">
        <v>1.66</v>
      </c>
      <c r="Y494" s="116">
        <f t="shared" si="406"/>
        <v>0.98</v>
      </c>
      <c r="Z494" s="133">
        <v>1.454</v>
      </c>
      <c r="AA494" s="133">
        <v>0.83599999999999997</v>
      </c>
      <c r="AB494" s="133">
        <v>0.72</v>
      </c>
      <c r="AC494" s="121">
        <v>34.299999999999997</v>
      </c>
      <c r="AD494" s="134">
        <v>1.17</v>
      </c>
      <c r="AE494" s="124">
        <v>177.8</v>
      </c>
      <c r="AF494" s="128">
        <v>9.19</v>
      </c>
      <c r="AG494" s="128">
        <v>2155</v>
      </c>
      <c r="AH494" s="127">
        <v>2755</v>
      </c>
      <c r="AI494" s="127">
        <v>2755</v>
      </c>
      <c r="AJ494" s="135"/>
      <c r="AK494" s="128"/>
      <c r="AL494" s="131"/>
      <c r="AM494" s="124" t="s">
        <v>232</v>
      </c>
      <c r="AN494" s="136" t="s">
        <v>1788</v>
      </c>
      <c r="AO494" s="137">
        <v>49.3</v>
      </c>
      <c r="AP494" s="128">
        <v>2155</v>
      </c>
      <c r="AQ494" s="128">
        <v>337.1</v>
      </c>
      <c r="AR494" s="128"/>
      <c r="AS494" s="128"/>
      <c r="AT494" s="122"/>
      <c r="AU494" s="124" t="s">
        <v>189</v>
      </c>
      <c r="AV494" s="115">
        <f>VLOOKUP(J494,'[63]ТР нефть'!$J$28:$BP$638,39,0)</f>
        <v>440</v>
      </c>
      <c r="AW494" s="115" t="str">
        <f>VLOOKUP(J494,'[63]ТР нефть'!$J$28:$BP$638,40,0)</f>
        <v>ГК 76 3/16</v>
      </c>
      <c r="AX494" s="115">
        <f>VLOOKUP(J494,'[63]ТР нефть'!$J$28:$BP$638,41,0)</f>
        <v>820</v>
      </c>
      <c r="AY494" s="115" t="str">
        <f>VLOOKUP(J494,'[63]ТР нефть'!$J$28:$BP$638,42,0)</f>
        <v>ГК 77 3/16</v>
      </c>
      <c r="AZ494" s="115">
        <f>VLOOKUP(J494,'[63]ТР нефть'!$J$28:$BP$638,43,0)</f>
        <v>1115</v>
      </c>
      <c r="BA494" s="115" t="str">
        <f>VLOOKUP(J494,'[63]ТР нефть'!$J$28:$BP$638,44,0)</f>
        <v>ГК 77 3/16</v>
      </c>
      <c r="BB494" s="115">
        <f>VLOOKUP(J494,'[63]ТР нефть'!$J$28:$BP$638,45,0)</f>
        <v>1360</v>
      </c>
      <c r="BC494" s="115" t="str">
        <f>VLOOKUP(J494,'[63]ТР нефть'!$J$28:$BP$638,46,0)</f>
        <v>ЦКсОК 5/16</v>
      </c>
      <c r="BD494" s="115" t="str">
        <f>VLOOKUP(J494,'[63]ТР нефть'!$J$28:$BP$638,47,0)</f>
        <v>-</v>
      </c>
      <c r="BE494" s="115" t="str">
        <f>VLOOKUP(J494,'[63]ТР нефть'!$J$28:$BP$638,48,0)</f>
        <v>-</v>
      </c>
      <c r="BF494" s="115" t="str">
        <f>VLOOKUP(J494,'[63]ТР нефть'!$J$28:$BP$638,49,0)</f>
        <v>-</v>
      </c>
      <c r="BG494" s="115" t="str">
        <f>VLOOKUP(J494,'[63]ТР нефть'!$J$28:$BP$638,50,0)</f>
        <v>-</v>
      </c>
      <c r="BH494" s="115">
        <f>VLOOKUP(J494,'[63]ТР нефть'!$J$28:$BP$638,51,0)</f>
        <v>1820</v>
      </c>
      <c r="BI494" s="115" t="str">
        <f>VLOOKUP(J494,'[63]ТР нефть'!$J$28:$BP$638,52,0)</f>
        <v>закрыт</v>
      </c>
      <c r="BJ494" s="115" t="str">
        <f>IF(IFERROR(VLOOKUP(J494,'[63]ТР нефть'!$J$28:$BP$638,53,0),"-")=0,"-",IFERROR(VLOOKUP(J494,'[63]ТР нефть'!$J$28:$BP$638,53,0),"-"))</f>
        <v>-</v>
      </c>
      <c r="BK494" s="138" t="str">
        <f>IF(IFERROR(VLOOKUP(J494,'[63]ТР нефть'!$J$28:$BP$638,54,0),"-")=0,"-",IFERROR(VLOOKUP(J494,'[63]ТР нефть'!$J$28:$BP$638,54,0),"-"))</f>
        <v>-</v>
      </c>
      <c r="BL494" s="138" t="str">
        <f>IF(IFERROR(VLOOKUP(J494,'[63]ТР нефть'!$J$28:$BP$638,55,0),"-")=0,"-",IFERROR(VLOOKUP(J494,'[63]ТР нефть'!$J$28:$BP$638,55,0),"-"))</f>
        <v>-</v>
      </c>
      <c r="BM494" s="138" t="str">
        <f>IF(IFERROR(VLOOKUP(J494,'[63]ТР нефть'!$J$28:$BP$638,56,0),"-")=0,"-",IFERROR(VLOOKUP(J494,'[63]ТР нефть'!$J$28:$BP$638,56,0),"-"))</f>
        <v>-</v>
      </c>
      <c r="BN494" s="138" t="str">
        <f>IF(IFERROR(VLOOKUP(J494,'[63]ТР нефть'!$J$28:$BP$638,57,0),"-")=0,"-",IFERROR(VLOOKUP(J494,'[63]ТР нефть'!$J$28:$BP$638,57,0),"-"))</f>
        <v>-</v>
      </c>
      <c r="BO494" s="115" t="str">
        <f>IF(IFERROR(VLOOKUP(J494,'[63]ТР нефть'!$J$28:$BP$638,58,0),"-")=0,"-",IFERROR(VLOOKUP(J494,'[63]ТР нефть'!$J$28:$BP$638,58,0),"-"))</f>
        <v>-</v>
      </c>
      <c r="BP494" s="115" t="str">
        <f>IF(IFERROR(VLOOKUP(J494,'[63]ТР нефть'!$J$28:$BP$638,59,0),"-")=0,"-",IFERROR(VLOOKUP(J494,'[63]ТР нефть'!$J$28:$BP$638,59,0),"-"))</f>
        <v>-</v>
      </c>
      <c r="BQ494" s="138">
        <v>2316</v>
      </c>
      <c r="BR494" s="128">
        <v>1861.37</v>
      </c>
      <c r="BS494" s="115">
        <f t="shared" si="388"/>
        <v>454.63000000000011</v>
      </c>
      <c r="BT494" s="128">
        <v>73</v>
      </c>
      <c r="BU494" s="128">
        <v>5.5</v>
      </c>
      <c r="BV494" s="127">
        <v>18</v>
      </c>
      <c r="BW494" s="127" t="s">
        <v>217</v>
      </c>
      <c r="BX494" s="127" t="s">
        <v>195</v>
      </c>
      <c r="BY494" s="139">
        <v>24</v>
      </c>
      <c r="BZ494" s="139">
        <v>0</v>
      </c>
      <c r="CA494" s="138">
        <v>24</v>
      </c>
      <c r="CB494" s="138">
        <v>78</v>
      </c>
      <c r="CC494" s="138">
        <v>23</v>
      </c>
      <c r="CD494" s="135">
        <v>45017</v>
      </c>
      <c r="CE494" s="138">
        <v>107</v>
      </c>
      <c r="CF494" s="138">
        <v>78</v>
      </c>
      <c r="CG494" s="138" t="s">
        <v>1131</v>
      </c>
      <c r="CH494" s="138" t="s">
        <v>235</v>
      </c>
      <c r="CI494" s="127">
        <v>5</v>
      </c>
      <c r="CJ494" s="138"/>
      <c r="CK494" s="138">
        <f t="shared" si="356"/>
        <v>20</v>
      </c>
      <c r="CL494" s="99"/>
      <c r="CM494" s="99"/>
      <c r="CN494" s="140">
        <v>44</v>
      </c>
      <c r="CO494" s="141">
        <f t="shared" si="373"/>
        <v>6.1170119999999999</v>
      </c>
      <c r="CP494" s="142">
        <v>7.3170000000000002</v>
      </c>
      <c r="CQ494" s="143">
        <v>0</v>
      </c>
      <c r="CR494" s="138">
        <v>14</v>
      </c>
      <c r="CS494" s="139">
        <v>6</v>
      </c>
      <c r="CT494" s="138"/>
      <c r="CU494" s="138">
        <f t="shared" si="370"/>
        <v>8</v>
      </c>
      <c r="CV494" s="115">
        <f t="shared" si="368"/>
        <v>1307.8280703062214</v>
      </c>
      <c r="CW494" s="115">
        <f t="shared" si="374"/>
        <v>980.87105272966596</v>
      </c>
      <c r="CX494" s="133">
        <f t="shared" si="369"/>
        <v>0.11614285714285714</v>
      </c>
      <c r="CY494" s="116"/>
      <c r="CZ494" s="131"/>
      <c r="DA494" s="145" t="str">
        <f t="shared" si="375"/>
        <v>Газлифт</v>
      </c>
      <c r="DB494" s="146">
        <f t="shared" si="390"/>
        <v>6.1170119999999999</v>
      </c>
      <c r="DC494" s="142">
        <f t="shared" si="402"/>
        <v>7.3170000000000002</v>
      </c>
      <c r="DD494" s="119">
        <f t="shared" si="350"/>
        <v>0</v>
      </c>
      <c r="DE494" s="115">
        <f t="shared" si="392"/>
        <v>8</v>
      </c>
      <c r="DF494" s="121">
        <f t="shared" si="376"/>
        <v>6</v>
      </c>
      <c r="DG494" s="115">
        <f t="shared" si="377"/>
        <v>1307.8280703062214</v>
      </c>
      <c r="DH494" s="115">
        <f t="shared" si="378"/>
        <v>44</v>
      </c>
      <c r="DI494" s="147"/>
      <c r="DJ494" s="111"/>
      <c r="DK494" s="112">
        <v>43829</v>
      </c>
      <c r="DL494" s="113">
        <f t="shared" ca="1" si="393"/>
        <v>1275</v>
      </c>
      <c r="DM494" s="114"/>
      <c r="DN494" s="114"/>
      <c r="DO494" s="114"/>
      <c r="DP494" s="114"/>
      <c r="DQ494" s="112"/>
      <c r="DR494" s="114"/>
      <c r="DS494" s="114"/>
      <c r="DT494" s="115">
        <v>48</v>
      </c>
      <c r="DU494" s="116">
        <f t="shared" si="394"/>
        <v>0.12401694915254237</v>
      </c>
      <c r="DV494" s="117">
        <f t="shared" si="395"/>
        <v>6.1170119999999999</v>
      </c>
      <c r="DW494" s="118">
        <f t="shared" si="396"/>
        <v>7.3170000000000002</v>
      </c>
      <c r="DX494" s="119">
        <f t="shared" si="379"/>
        <v>0</v>
      </c>
      <c r="DY494" s="115">
        <f t="shared" si="397"/>
        <v>8</v>
      </c>
      <c r="DZ494" s="117">
        <f t="shared" si="398"/>
        <v>0</v>
      </c>
      <c r="EA494" s="120">
        <f t="shared" si="398"/>
        <v>0</v>
      </c>
      <c r="EB494" s="119">
        <f t="shared" si="387"/>
        <v>0</v>
      </c>
      <c r="EC494" s="121">
        <f t="shared" si="399"/>
        <v>0</v>
      </c>
      <c r="ED494" s="122"/>
      <c r="EE494" s="145">
        <v>18</v>
      </c>
      <c r="EF494" s="115">
        <v>25</v>
      </c>
      <c r="EG494" s="115">
        <v>78</v>
      </c>
      <c r="EH494" s="115">
        <v>23</v>
      </c>
      <c r="EI494" s="128" t="s">
        <v>195</v>
      </c>
      <c r="EJ494" s="121">
        <v>24</v>
      </c>
      <c r="EK494" s="121">
        <v>0</v>
      </c>
      <c r="EL494" s="149">
        <v>6.1170119999999999</v>
      </c>
      <c r="EM494" s="142">
        <v>7.3170000000000002</v>
      </c>
      <c r="EN494" s="119">
        <v>0</v>
      </c>
      <c r="EO494" s="115">
        <v>14</v>
      </c>
      <c r="EP494" s="115">
        <v>1307.8280703062214</v>
      </c>
      <c r="EQ494" s="115">
        <v>78</v>
      </c>
      <c r="ER494" s="115">
        <v>6</v>
      </c>
      <c r="ES494" s="115">
        <v>44</v>
      </c>
      <c r="ET494" s="150">
        <v>0.11614285714285714</v>
      </c>
      <c r="EU494" s="145">
        <f t="shared" si="400"/>
        <v>18</v>
      </c>
      <c r="EV494" s="115">
        <f t="shared" si="380"/>
        <v>24</v>
      </c>
      <c r="EW494" s="115">
        <f t="shared" si="380"/>
        <v>78</v>
      </c>
      <c r="EX494" s="115">
        <f t="shared" si="380"/>
        <v>23</v>
      </c>
      <c r="EY494" s="115" t="str">
        <f t="shared" si="357"/>
        <v>Постоянный</v>
      </c>
      <c r="EZ494" s="115">
        <f t="shared" si="357"/>
        <v>24</v>
      </c>
      <c r="FA494" s="115">
        <f t="shared" si="357"/>
        <v>0</v>
      </c>
      <c r="FB494" s="149">
        <f t="shared" si="405"/>
        <v>6.1170119999999999</v>
      </c>
      <c r="FC494" s="142">
        <f t="shared" si="405"/>
        <v>7.3170000000000002</v>
      </c>
      <c r="FD494" s="119">
        <f t="shared" si="405"/>
        <v>0</v>
      </c>
      <c r="FE494" s="121">
        <f t="shared" si="405"/>
        <v>14</v>
      </c>
      <c r="FF494" s="121">
        <f t="shared" si="407"/>
        <v>1307.8280703062214</v>
      </c>
      <c r="FG494" s="121">
        <f t="shared" si="381"/>
        <v>78</v>
      </c>
      <c r="FH494" s="121">
        <f t="shared" si="358"/>
        <v>6</v>
      </c>
      <c r="FI494" s="121">
        <f t="shared" si="355"/>
        <v>44</v>
      </c>
      <c r="FJ494" s="144">
        <f t="shared" si="382"/>
        <v>0.11614285714285714</v>
      </c>
      <c r="FK494" s="132">
        <f t="shared" si="383"/>
        <v>0</v>
      </c>
      <c r="FL494" s="115">
        <f t="shared" si="383"/>
        <v>-1</v>
      </c>
      <c r="FM494" s="115">
        <f t="shared" si="383"/>
        <v>0</v>
      </c>
      <c r="FN494" s="115">
        <f t="shared" si="371"/>
        <v>0</v>
      </c>
      <c r="FO494" s="115">
        <f t="shared" si="403"/>
        <v>0</v>
      </c>
      <c r="FP494" s="115">
        <f t="shared" si="403"/>
        <v>0</v>
      </c>
      <c r="FQ494" s="149">
        <f t="shared" si="403"/>
        <v>0</v>
      </c>
      <c r="FR494" s="142">
        <f t="shared" si="403"/>
        <v>0</v>
      </c>
      <c r="FS494" s="119">
        <f t="shared" si="403"/>
        <v>0</v>
      </c>
      <c r="FT494" s="121">
        <f t="shared" si="353"/>
        <v>0</v>
      </c>
      <c r="FU494" s="121">
        <f t="shared" si="384"/>
        <v>0</v>
      </c>
      <c r="FV494" s="121">
        <f t="shared" si="384"/>
        <v>0</v>
      </c>
      <c r="FW494" s="121">
        <f t="shared" si="385"/>
        <v>0</v>
      </c>
      <c r="FX494" s="121">
        <f t="shared" si="386"/>
        <v>0</v>
      </c>
      <c r="FY494" s="144">
        <f t="shared" si="386"/>
        <v>0</v>
      </c>
      <c r="FZ494" s="145"/>
      <c r="GA494" s="151"/>
      <c r="GB494" s="145"/>
      <c r="GC494" s="151"/>
      <c r="GD494" s="997" t="s">
        <v>220</v>
      </c>
      <c r="GE494" s="1004"/>
      <c r="GF494" s="1004">
        <v>0</v>
      </c>
      <c r="GG494" s="1004"/>
      <c r="GH494" s="1004">
        <v>0</v>
      </c>
      <c r="GI494" s="145"/>
      <c r="GJ494" s="996">
        <v>0</v>
      </c>
      <c r="GK494" s="145"/>
      <c r="GL494" s="996">
        <v>0</v>
      </c>
      <c r="GM494" s="1005"/>
      <c r="GN494" s="996">
        <v>0</v>
      </c>
      <c r="GO494" s="1006"/>
      <c r="GP494" s="996">
        <v>-6.2700000000000422E-2</v>
      </c>
      <c r="GQ494" s="1006"/>
      <c r="GR494" s="996">
        <v>0</v>
      </c>
      <c r="GS494" s="1006"/>
      <c r="GT494" s="996">
        <v>-2.0287999999999862E-2</v>
      </c>
      <c r="GU494" s="1006"/>
      <c r="GV494" s="996">
        <v>-0.41800000000000015</v>
      </c>
      <c r="GW494" s="1006"/>
      <c r="GX494" s="996">
        <v>-0.5851999999999995</v>
      </c>
      <c r="GY494" s="1006"/>
      <c r="GZ494" s="996">
        <v>0</v>
      </c>
      <c r="HA494" s="1006"/>
      <c r="HB494" s="996">
        <v>-0.8360000000000003</v>
      </c>
      <c r="HC494" s="1006" t="s">
        <v>223</v>
      </c>
      <c r="HD494" s="996">
        <v>-2.0105800000000009</v>
      </c>
      <c r="HE494" s="1006" t="s">
        <v>308</v>
      </c>
      <c r="HF494" s="996">
        <v>1.4253800000000005</v>
      </c>
      <c r="HG494" s="1006"/>
      <c r="HH494" s="996">
        <v>0</v>
      </c>
      <c r="HI494" s="1006"/>
      <c r="HJ494" s="996">
        <v>-0.50159999999999982</v>
      </c>
      <c r="HK494" s="1006" t="s">
        <v>221</v>
      </c>
      <c r="HL494" s="996">
        <v>-5.8520000000000003</v>
      </c>
      <c r="HM494" s="1006" t="s">
        <v>221</v>
      </c>
      <c r="HN494" s="996">
        <v>5.4340000000000011</v>
      </c>
      <c r="HO494" s="1006"/>
      <c r="HP494" s="996">
        <v>0</v>
      </c>
      <c r="HQ494" s="1006"/>
      <c r="HR494" s="996">
        <v>0</v>
      </c>
      <c r="HS494" s="1006"/>
      <c r="HT494" s="996">
        <v>0</v>
      </c>
      <c r="HU494" s="1006"/>
      <c r="HV494" s="996">
        <v>0</v>
      </c>
      <c r="HW494" s="1006"/>
      <c r="HX494" s="996">
        <v>0</v>
      </c>
      <c r="HY494" s="1006"/>
      <c r="HZ494" s="996">
        <v>0</v>
      </c>
      <c r="IA494" s="1006"/>
      <c r="IB494" s="996">
        <v>0</v>
      </c>
      <c r="IC494" s="1006"/>
      <c r="ID494" s="996">
        <v>0</v>
      </c>
      <c r="IE494" s="1006"/>
      <c r="IF494" s="996">
        <v>0</v>
      </c>
      <c r="IG494" s="1006"/>
      <c r="IH494" s="996">
        <v>0</v>
      </c>
      <c r="II494" s="1006"/>
      <c r="IJ494" s="996">
        <v>0</v>
      </c>
      <c r="IK494" s="1006"/>
      <c r="IL494" s="996">
        <v>0</v>
      </c>
      <c r="IM494" s="1006"/>
      <c r="IN494" s="996">
        <v>0.75239999999999974</v>
      </c>
      <c r="IO494" s="1006"/>
      <c r="IP494" s="996">
        <v>0</v>
      </c>
      <c r="IQ494" s="1006"/>
      <c r="IR494" s="996">
        <v>0</v>
      </c>
      <c r="IS494" s="1006"/>
      <c r="IT494" s="996">
        <v>0</v>
      </c>
      <c r="IU494" s="1006" t="s">
        <v>199</v>
      </c>
      <c r="IV494" s="996">
        <v>-3.8455999999999992</v>
      </c>
      <c r="IW494" s="1006"/>
      <c r="IX494" s="996">
        <v>0</v>
      </c>
      <c r="IY494" s="1006"/>
      <c r="IZ494" s="996">
        <v>-0.65207999999999977</v>
      </c>
      <c r="JA494" s="1006" t="s">
        <v>223</v>
      </c>
      <c r="JB494" s="996">
        <v>-9.5471199999999996</v>
      </c>
      <c r="JC494" s="1006"/>
      <c r="JD494" s="996">
        <v>0</v>
      </c>
      <c r="JE494" s="1006"/>
      <c r="JF494" s="996">
        <v>0</v>
      </c>
      <c r="JG494" s="1006" t="s">
        <v>223</v>
      </c>
      <c r="JH494" s="996">
        <v>-4.5136000000000038</v>
      </c>
      <c r="JI494" s="1006"/>
      <c r="JJ494" s="996">
        <v>0</v>
      </c>
      <c r="JK494" s="1007"/>
      <c r="JL494" s="1007"/>
      <c r="JM494" s="1007"/>
      <c r="JN494" s="1007"/>
      <c r="JO494" s="1008"/>
      <c r="JP494" s="1007"/>
      <c r="JQ494" s="1008"/>
      <c r="JR494" s="1007"/>
      <c r="JS494" s="1008"/>
      <c r="JT494" s="1007"/>
      <c r="JU494" s="1008"/>
      <c r="JV494" s="1007"/>
      <c r="JW494" s="1008"/>
      <c r="JX494" s="1007"/>
      <c r="JY494" s="1008"/>
      <c r="JZ494" s="1007"/>
      <c r="KA494" s="1008"/>
      <c r="KB494" s="1007"/>
      <c r="KC494" s="1008"/>
      <c r="KD494" s="1007"/>
      <c r="KE494" s="1008"/>
      <c r="KF494" s="1007"/>
      <c r="KG494" s="1008"/>
      <c r="KH494" s="1007"/>
      <c r="KI494" s="1008"/>
      <c r="KJ494" s="1007"/>
      <c r="KK494" s="1008"/>
      <c r="KL494" s="1007"/>
      <c r="KM494" s="1008"/>
      <c r="KN494" s="1007"/>
      <c r="KO494" s="1008"/>
      <c r="KP494" s="1007"/>
      <c r="KQ494" s="1008"/>
      <c r="KR494" s="1007"/>
      <c r="KS494" s="1008"/>
      <c r="KT494" s="1007"/>
      <c r="KU494" s="1008"/>
      <c r="KV494" s="1007"/>
      <c r="KW494" s="1008"/>
      <c r="KX494" s="1007"/>
      <c r="KY494" s="1008"/>
      <c r="KZ494" s="1007"/>
      <c r="LA494" s="1008"/>
      <c r="LB494" s="1007"/>
      <c r="LC494" s="1008"/>
      <c r="LD494" s="1007"/>
      <c r="LE494" s="1008"/>
      <c r="LF494" s="1007"/>
      <c r="LG494" s="1008"/>
      <c r="LH494" s="1007"/>
      <c r="LI494" s="1008"/>
      <c r="LJ494" s="1007"/>
      <c r="LK494" s="1008"/>
      <c r="LL494" s="1007"/>
      <c r="LM494" s="1008"/>
      <c r="LN494" s="1007"/>
      <c r="LO494" s="1008"/>
      <c r="LP494" s="1007"/>
      <c r="LQ494" s="1008"/>
      <c r="LR494" s="1007"/>
      <c r="LS494" s="1008"/>
      <c r="LT494" s="1007"/>
      <c r="LU494" s="1008"/>
      <c r="LV494" s="1007"/>
      <c r="LW494" s="1008"/>
      <c r="LX494" s="1007"/>
      <c r="LY494" s="1009"/>
      <c r="LZ494" s="1010"/>
      <c r="MA494" s="1011"/>
      <c r="MB494" s="1012"/>
      <c r="MC494" s="995"/>
      <c r="MD494" s="996"/>
      <c r="ME494" s="997" t="s">
        <v>220</v>
      </c>
      <c r="MF494" s="997"/>
      <c r="MG494" s="998"/>
      <c r="NR494" s="1000"/>
      <c r="NS494" s="1000"/>
      <c r="NT494" s="1001"/>
      <c r="NU494" s="1000"/>
      <c r="NV494" s="1001"/>
      <c r="NX494" s="1002"/>
      <c r="NZ494" s="1001"/>
      <c r="OA494" s="1001"/>
      <c r="OC494" s="1003"/>
      <c r="OD494" s="1003"/>
      <c r="OE494" s="1001"/>
      <c r="OF494" s="1003"/>
      <c r="OG494" s="1003"/>
      <c r="QX494" s="1000">
        <f>CN494-CA494</f>
        <v>20</v>
      </c>
      <c r="ASU494" s="999" t="s">
        <v>208</v>
      </c>
    </row>
    <row r="495" spans="1:466 1191:1191" ht="21" customHeight="1" x14ac:dyDescent="0.25">
      <c r="A495" s="982">
        <f t="shared" si="372"/>
        <v>1588</v>
      </c>
      <c r="B495" s="124">
        <f>SUBTOTAL(103,$J$29:J495)</f>
        <v>467</v>
      </c>
      <c r="C495" s="126">
        <v>45068</v>
      </c>
      <c r="D495" s="124" t="s">
        <v>176</v>
      </c>
      <c r="E495" s="127" t="s">
        <v>177</v>
      </c>
      <c r="F495" s="128" t="s">
        <v>177</v>
      </c>
      <c r="G495" s="127" t="s">
        <v>178</v>
      </c>
      <c r="H495" s="127" t="s">
        <v>179</v>
      </c>
      <c r="I495" s="127" t="s">
        <v>1410</v>
      </c>
      <c r="J495" s="152">
        <v>1588</v>
      </c>
      <c r="K495" s="127" t="s">
        <v>1411</v>
      </c>
      <c r="L495" s="130">
        <v>44852</v>
      </c>
      <c r="M495" s="127" t="s">
        <v>230</v>
      </c>
      <c r="N495" s="127" t="s">
        <v>231</v>
      </c>
      <c r="O495" s="127" t="s">
        <v>185</v>
      </c>
      <c r="P495" s="127" t="s">
        <v>186</v>
      </c>
      <c r="Q495" s="85" t="str">
        <f t="shared" si="367"/>
        <v/>
      </c>
      <c r="R495" s="130"/>
      <c r="S495" s="128"/>
      <c r="T495" s="131"/>
      <c r="U495" s="132">
        <v>203</v>
      </c>
      <c r="V495" s="121">
        <v>218.2</v>
      </c>
      <c r="W495" s="116">
        <v>0.98</v>
      </c>
      <c r="X495" s="116">
        <v>1.66</v>
      </c>
      <c r="Y495" s="116">
        <v>0.98</v>
      </c>
      <c r="Z495" s="133">
        <v>1.454</v>
      </c>
      <c r="AA495" s="133">
        <v>0.83599999999999997</v>
      </c>
      <c r="AB495" s="133">
        <v>0.72</v>
      </c>
      <c r="AC495" s="121">
        <v>34.299999999999997</v>
      </c>
      <c r="AD495" s="134">
        <v>1.17</v>
      </c>
      <c r="AE495" s="124">
        <v>177.8</v>
      </c>
      <c r="AF495" s="128">
        <v>9.19</v>
      </c>
      <c r="AG495" s="128"/>
      <c r="AH495" s="127">
        <v>2425.6999999999998</v>
      </c>
      <c r="AI495" s="127">
        <v>3250</v>
      </c>
      <c r="AJ495" s="135"/>
      <c r="AK495" s="128"/>
      <c r="AL495" s="131"/>
      <c r="AM495" s="124" t="s">
        <v>232</v>
      </c>
      <c r="AN495" s="136" t="s">
        <v>1789</v>
      </c>
      <c r="AO495" s="137"/>
      <c r="AP495" s="128"/>
      <c r="AQ495" s="128"/>
      <c r="AR495" s="128"/>
      <c r="AS495" s="128"/>
      <c r="AT495" s="122"/>
      <c r="AU495" s="124" t="s">
        <v>189</v>
      </c>
      <c r="AV495" s="115">
        <f>VLOOKUP(J495,'[63]ТР нефть'!$J$28:$BP$638,39,0)</f>
        <v>437.00000507800002</v>
      </c>
      <c r="AW495" s="115" t="str">
        <f>VLOOKUP(J495,'[63]ТР нефть'!$J$28:$BP$638,40,0)</f>
        <v>ГП</v>
      </c>
      <c r="AX495" s="115">
        <f>VLOOKUP(J495,'[63]ТР нефть'!$J$28:$BP$638,41,0)</f>
        <v>895.00003066399995</v>
      </c>
      <c r="AY495" s="115" t="str">
        <f>VLOOKUP(J495,'[63]ТР нефть'!$J$28:$BP$638,42,0)</f>
        <v>ГП</v>
      </c>
      <c r="AZ495" s="115">
        <f>VLOOKUP(J495,'[63]ТР нефть'!$J$28:$BP$638,43,0)</f>
        <v>1301.9999320310001</v>
      </c>
      <c r="BA495" s="115" t="str">
        <f>VLOOKUP(J495,'[63]ТР нефть'!$J$28:$BP$638,44,0)</f>
        <v>ГП</v>
      </c>
      <c r="BB495" s="115">
        <f>VLOOKUP(J495,'[63]ТР нефть'!$J$28:$BP$638,45,0)</f>
        <v>1646.000069531</v>
      </c>
      <c r="BC495" s="115" t="str">
        <f>VLOOKUP(J495,'[63]ТР нефть'!$J$28:$BP$638,46,0)</f>
        <v>ГК 66 5/32</v>
      </c>
      <c r="BD495" s="115">
        <f>VLOOKUP(J495,'[63]ТР нефть'!$J$28:$BP$638,47,0)</f>
        <v>1923.0000175780001</v>
      </c>
      <c r="BE495" s="115" t="str">
        <f>VLOOKUP(J495,'[63]ТР нефть'!$J$28:$BP$638,48,0)</f>
        <v>ГК 66 5/32</v>
      </c>
      <c r="BF495" s="115">
        <f>VLOOKUP(J495,'[63]ТР нефть'!$J$28:$BP$638,49,0)</f>
        <v>2190</v>
      </c>
      <c r="BG495" s="115" t="str">
        <f>VLOOKUP(J495,'[63]ТР нефть'!$J$28:$BP$638,50,0)</f>
        <v>ЦКсОК 5/16</v>
      </c>
      <c r="BH495" s="115" t="str">
        <f>VLOOKUP(J495,'[63]ТР нефть'!$J$28:$BP$638,51,0)</f>
        <v>-</v>
      </c>
      <c r="BI495" s="115" t="str">
        <f>VLOOKUP(J495,'[63]ТР нефть'!$J$28:$BP$638,52,0)</f>
        <v>-</v>
      </c>
      <c r="BJ495" s="115" t="str">
        <f>IF(IFERROR(VLOOKUP(J495,'[63]ТР нефть'!$J$28:$BP$638,53,0),"-")=0,"-",IFERROR(VLOOKUP(J495,'[63]ТР нефть'!$J$28:$BP$638,53,0),"-"))</f>
        <v>-</v>
      </c>
      <c r="BK495" s="138" t="str">
        <f>IF(IFERROR(VLOOKUP(J495,'[63]ТР нефть'!$J$28:$BP$638,54,0),"-")=0,"-",IFERROR(VLOOKUP(J495,'[63]ТР нефть'!$J$28:$BP$638,54,0),"-"))</f>
        <v>-</v>
      </c>
      <c r="BL495" s="138" t="str">
        <f>IF(IFERROR(VLOOKUP(J495,'[63]ТР нефть'!$J$28:$BP$638,55,0),"-")=0,"-",IFERROR(VLOOKUP(J495,'[63]ТР нефть'!$J$28:$BP$638,55,0),"-"))</f>
        <v>-</v>
      </c>
      <c r="BM495" s="138" t="str">
        <f>IF(IFERROR(VLOOKUP(J495,'[63]ТР нефть'!$J$28:$BP$638,56,0),"-")=0,"-",IFERROR(VLOOKUP(J495,'[63]ТР нефть'!$J$28:$BP$638,56,0),"-"))</f>
        <v>-</v>
      </c>
      <c r="BN495" s="138" t="str">
        <f>IF(IFERROR(VLOOKUP(J495,'[63]ТР нефть'!$J$28:$BP$638,57,0),"-")=0,"-",IFERROR(VLOOKUP(J495,'[63]ТР нефть'!$J$28:$BP$638,57,0),"-"))</f>
        <v>-</v>
      </c>
      <c r="BO495" s="115" t="str">
        <f>IF(IFERROR(VLOOKUP(J495,'[63]ТР нефть'!$J$28:$BP$638,58,0),"-")=0,"-",IFERROR(VLOOKUP(J495,'[63]ТР нефть'!$J$28:$BP$638,58,0),"-"))</f>
        <v>-</v>
      </c>
      <c r="BP495" s="115" t="str">
        <f>IF(IFERROR(VLOOKUP(J495,'[63]ТР нефть'!$J$28:$BP$638,59,0),"-")=0,"-",IFERROR(VLOOKUP(J495,'[63]ТР нефть'!$J$28:$BP$638,59,0),"-"))</f>
        <v>-</v>
      </c>
      <c r="BQ495" s="138">
        <v>2200</v>
      </c>
      <c r="BR495" s="128">
        <v>1741</v>
      </c>
      <c r="BS495" s="115">
        <v>458</v>
      </c>
      <c r="BT495" s="128">
        <v>73</v>
      </c>
      <c r="BU495" s="128">
        <v>5.5</v>
      </c>
      <c r="BV495" s="127">
        <v>18</v>
      </c>
      <c r="BW495" s="127" t="s">
        <v>217</v>
      </c>
      <c r="BX495" s="127" t="s">
        <v>195</v>
      </c>
      <c r="BY495" s="139">
        <v>24</v>
      </c>
      <c r="BZ495" s="139">
        <v>0</v>
      </c>
      <c r="CA495" s="138">
        <v>26</v>
      </c>
      <c r="CB495" s="138">
        <v>48</v>
      </c>
      <c r="CC495" s="138">
        <v>25</v>
      </c>
      <c r="CD495" s="135">
        <v>45017</v>
      </c>
      <c r="CE495" s="138">
        <v>85</v>
      </c>
      <c r="CF495" s="138">
        <v>55</v>
      </c>
      <c r="CG495" s="138" t="str">
        <f t="shared" si="404"/>
        <v/>
      </c>
      <c r="CH495" s="138"/>
      <c r="CI495" s="127">
        <v>5</v>
      </c>
      <c r="CJ495" s="138"/>
      <c r="CK495" s="138">
        <f t="shared" si="356"/>
        <v>24</v>
      </c>
      <c r="CL495" s="99"/>
      <c r="CM495" s="99"/>
      <c r="CN495" s="140">
        <v>50</v>
      </c>
      <c r="CO495" s="141">
        <f t="shared" si="373"/>
        <v>19.938265181999999</v>
      </c>
      <c r="CP495" s="142">
        <v>29.943000000000001</v>
      </c>
      <c r="CQ495" s="119">
        <v>20.350000000000001</v>
      </c>
      <c r="CR495" s="115">
        <v>35.200000000000003</v>
      </c>
      <c r="CS495" s="139">
        <v>13</v>
      </c>
      <c r="CT495" s="138"/>
      <c r="CU495" s="138">
        <f t="shared" si="370"/>
        <v>22.200000000000003</v>
      </c>
      <c r="CV495" s="115">
        <f t="shared" si="368"/>
        <v>1113.4368911916104</v>
      </c>
      <c r="CW495" s="115">
        <f t="shared" si="374"/>
        <v>481.58095539888586</v>
      </c>
      <c r="CX495" s="133">
        <f t="shared" si="369"/>
        <v>0.85551428571428578</v>
      </c>
      <c r="CY495" s="116"/>
      <c r="CZ495" s="131"/>
      <c r="DA495" s="145" t="str">
        <f t="shared" si="375"/>
        <v>Газлифт</v>
      </c>
      <c r="DB495" s="146">
        <f t="shared" si="390"/>
        <v>19.938265181999999</v>
      </c>
      <c r="DC495" s="142">
        <f t="shared" si="402"/>
        <v>29.943000000000001</v>
      </c>
      <c r="DD495" s="119">
        <f t="shared" si="350"/>
        <v>20.350000000000001</v>
      </c>
      <c r="DE495" s="115">
        <f t="shared" si="392"/>
        <v>22.200000000000003</v>
      </c>
      <c r="DF495" s="121">
        <f t="shared" si="376"/>
        <v>13</v>
      </c>
      <c r="DG495" s="115">
        <f t="shared" si="377"/>
        <v>1113.4368911916104</v>
      </c>
      <c r="DH495" s="115">
        <f t="shared" si="378"/>
        <v>50</v>
      </c>
      <c r="DI495" s="147"/>
      <c r="DJ495" s="111"/>
      <c r="DK495" s="112"/>
      <c r="DL495" s="113"/>
      <c r="DM495" s="114"/>
      <c r="DN495" s="114"/>
      <c r="DO495" s="114"/>
      <c r="DP495" s="114"/>
      <c r="DQ495" s="112"/>
      <c r="DR495" s="114"/>
      <c r="DS495" s="114"/>
      <c r="DT495" s="115"/>
      <c r="DU495" s="116"/>
      <c r="DV495" s="117"/>
      <c r="DW495" s="118"/>
      <c r="DX495" s="119">
        <f t="shared" si="379"/>
        <v>20.350000000000001</v>
      </c>
      <c r="DY495" s="115"/>
      <c r="DZ495" s="117"/>
      <c r="EA495" s="120"/>
      <c r="EB495" s="119">
        <f t="shared" si="387"/>
        <v>0</v>
      </c>
      <c r="EC495" s="121"/>
      <c r="ED495" s="122"/>
      <c r="EE495" s="145">
        <v>18</v>
      </c>
      <c r="EF495" s="115">
        <v>26</v>
      </c>
      <c r="EG495" s="115">
        <v>48</v>
      </c>
      <c r="EH495" s="115">
        <v>25</v>
      </c>
      <c r="EI495" s="128" t="s">
        <v>195</v>
      </c>
      <c r="EJ495" s="121">
        <v>24</v>
      </c>
      <c r="EK495" s="121">
        <v>0</v>
      </c>
      <c r="EL495" s="149">
        <v>19.938265181999999</v>
      </c>
      <c r="EM495" s="142">
        <v>29.943000000000001</v>
      </c>
      <c r="EN495" s="119">
        <v>20.350000000000001</v>
      </c>
      <c r="EO495" s="115">
        <v>35.200000000000003</v>
      </c>
      <c r="EP495" s="115">
        <v>1113.4368911916104</v>
      </c>
      <c r="EQ495" s="115">
        <v>55</v>
      </c>
      <c r="ER495" s="115">
        <v>13</v>
      </c>
      <c r="ES495" s="115">
        <v>50</v>
      </c>
      <c r="ET495" s="150">
        <v>0.85551428571428578</v>
      </c>
      <c r="EU495" s="145">
        <f t="shared" si="400"/>
        <v>18</v>
      </c>
      <c r="EV495" s="115">
        <f t="shared" si="380"/>
        <v>26</v>
      </c>
      <c r="EW495" s="115">
        <f t="shared" si="380"/>
        <v>48</v>
      </c>
      <c r="EX495" s="115">
        <f t="shared" si="380"/>
        <v>25</v>
      </c>
      <c r="EY495" s="115" t="str">
        <f t="shared" si="357"/>
        <v>Постоянный</v>
      </c>
      <c r="EZ495" s="115">
        <f t="shared" si="357"/>
        <v>24</v>
      </c>
      <c r="FA495" s="115">
        <f t="shared" si="357"/>
        <v>0</v>
      </c>
      <c r="FB495" s="149">
        <f t="shared" si="405"/>
        <v>19.938265181999999</v>
      </c>
      <c r="FC495" s="142">
        <f t="shared" si="405"/>
        <v>29.943000000000001</v>
      </c>
      <c r="FD495" s="119">
        <f t="shared" si="405"/>
        <v>20.350000000000001</v>
      </c>
      <c r="FE495" s="121">
        <f t="shared" si="405"/>
        <v>35.200000000000003</v>
      </c>
      <c r="FF495" s="121">
        <f t="shared" si="407"/>
        <v>1113.4368911916104</v>
      </c>
      <c r="FG495" s="121">
        <f t="shared" si="381"/>
        <v>55</v>
      </c>
      <c r="FH495" s="121">
        <f t="shared" si="358"/>
        <v>13</v>
      </c>
      <c r="FI495" s="121">
        <f t="shared" si="355"/>
        <v>50</v>
      </c>
      <c r="FJ495" s="144">
        <f t="shared" si="382"/>
        <v>0.85551428571428578</v>
      </c>
      <c r="FK495" s="132">
        <f t="shared" si="383"/>
        <v>0</v>
      </c>
      <c r="FL495" s="115">
        <f t="shared" si="383"/>
        <v>0</v>
      </c>
      <c r="FM495" s="115">
        <f t="shared" si="383"/>
        <v>0</v>
      </c>
      <c r="FN495" s="115">
        <f t="shared" si="371"/>
        <v>0</v>
      </c>
      <c r="FO495" s="115">
        <f t="shared" si="403"/>
        <v>0</v>
      </c>
      <c r="FP495" s="115">
        <f t="shared" si="403"/>
        <v>0</v>
      </c>
      <c r="FQ495" s="149">
        <f t="shared" si="403"/>
        <v>0</v>
      </c>
      <c r="FR495" s="142">
        <f t="shared" si="403"/>
        <v>0</v>
      </c>
      <c r="FS495" s="119">
        <f t="shared" si="403"/>
        <v>0</v>
      </c>
      <c r="FT495" s="121">
        <f t="shared" si="353"/>
        <v>0</v>
      </c>
      <c r="FU495" s="121">
        <f t="shared" si="384"/>
        <v>0</v>
      </c>
      <c r="FV495" s="121">
        <f t="shared" si="384"/>
        <v>0</v>
      </c>
      <c r="FW495" s="121">
        <f t="shared" si="385"/>
        <v>0</v>
      </c>
      <c r="FX495" s="121">
        <f t="shared" si="386"/>
        <v>0</v>
      </c>
      <c r="FY495" s="144">
        <f t="shared" si="386"/>
        <v>0</v>
      </c>
      <c r="FZ495" s="145"/>
      <c r="GA495" s="151"/>
      <c r="GB495" s="145" t="s">
        <v>146</v>
      </c>
      <c r="GC495" s="151" t="s">
        <v>1117</v>
      </c>
      <c r="GD495" s="997" t="s">
        <v>220</v>
      </c>
      <c r="GE495" s="1004" t="s">
        <v>146</v>
      </c>
      <c r="GF495" s="1004">
        <v>3.6975272620000013</v>
      </c>
      <c r="GG495" s="1004"/>
      <c r="GH495" s="1004">
        <v>0</v>
      </c>
      <c r="GI495" s="145" t="s">
        <v>223</v>
      </c>
      <c r="GJ495" s="996">
        <v>-4.2133240468000039</v>
      </c>
      <c r="GK495" s="145"/>
      <c r="GL495" s="996">
        <v>0</v>
      </c>
      <c r="GM495" s="1005"/>
      <c r="GN495" s="996">
        <v>0</v>
      </c>
      <c r="GO495" s="1006" t="s">
        <v>349</v>
      </c>
      <c r="GP495" s="996">
        <v>-3.6581611004399974</v>
      </c>
      <c r="GQ495" s="1006"/>
      <c r="GR495" s="996">
        <v>0</v>
      </c>
      <c r="GS495" s="1006" t="s">
        <v>342</v>
      </c>
      <c r="GT495" s="996">
        <v>24.112223067239999</v>
      </c>
      <c r="GU495" s="1006"/>
      <c r="GV495" s="996">
        <v>0</v>
      </c>
      <c r="GW495" s="1006"/>
      <c r="GX495" s="996"/>
      <c r="GY495" s="1006"/>
      <c r="GZ495" s="996"/>
      <c r="HA495" s="1006"/>
      <c r="HB495" s="996"/>
      <c r="HC495" s="1006"/>
      <c r="HD495" s="996"/>
      <c r="HE495" s="1006"/>
      <c r="HF495" s="996"/>
      <c r="HG495" s="1006"/>
      <c r="HH495" s="996"/>
      <c r="HI495" s="1006"/>
      <c r="HJ495" s="996"/>
      <c r="HK495" s="1006"/>
      <c r="HL495" s="996"/>
      <c r="HM495" s="1006"/>
      <c r="HN495" s="996"/>
      <c r="HO495" s="1006"/>
      <c r="HP495" s="996"/>
      <c r="HQ495" s="1006"/>
      <c r="HR495" s="996"/>
      <c r="HS495" s="1006"/>
      <c r="HT495" s="996"/>
      <c r="HU495" s="1006"/>
      <c r="HV495" s="996"/>
      <c r="HW495" s="1006"/>
      <c r="HX495" s="996"/>
      <c r="HY495" s="1006"/>
      <c r="HZ495" s="996"/>
      <c r="IA495" s="1006"/>
      <c r="IB495" s="996"/>
      <c r="IC495" s="1006"/>
      <c r="ID495" s="996"/>
      <c r="IE495" s="1006"/>
      <c r="IF495" s="996"/>
      <c r="IG495" s="1006"/>
      <c r="IH495" s="996"/>
      <c r="II495" s="1006"/>
      <c r="IJ495" s="996"/>
      <c r="IK495" s="1006"/>
      <c r="IL495" s="996"/>
      <c r="IM495" s="1006"/>
      <c r="IN495" s="996"/>
      <c r="IO495" s="1006"/>
      <c r="IP495" s="996"/>
      <c r="IQ495" s="1006"/>
      <c r="IR495" s="996"/>
      <c r="IS495" s="1006"/>
      <c r="IT495" s="996"/>
      <c r="IU495" s="1006"/>
      <c r="IV495" s="996"/>
      <c r="IW495" s="1006"/>
      <c r="IX495" s="996"/>
      <c r="IY495" s="1006"/>
      <c r="IZ495" s="996"/>
      <c r="JA495" s="1006"/>
      <c r="JB495" s="996"/>
      <c r="JC495" s="1006"/>
      <c r="JD495" s="996"/>
      <c r="JE495" s="1006"/>
      <c r="JF495" s="996"/>
      <c r="JG495" s="1006"/>
      <c r="JH495" s="996"/>
      <c r="JI495" s="1006"/>
      <c r="JJ495" s="996"/>
      <c r="JK495" s="1007"/>
      <c r="JL495" s="1007"/>
      <c r="JM495" s="1007"/>
      <c r="JN495" s="1007"/>
      <c r="JO495" s="1008"/>
      <c r="JP495" s="1007"/>
      <c r="JQ495" s="1008"/>
      <c r="JR495" s="1007"/>
      <c r="JS495" s="1008"/>
      <c r="JT495" s="1007"/>
      <c r="JU495" s="1008"/>
      <c r="JV495" s="1007"/>
      <c r="JW495" s="1008"/>
      <c r="JX495" s="1007"/>
      <c r="JY495" s="1008"/>
      <c r="JZ495" s="1007"/>
      <c r="KA495" s="1008"/>
      <c r="KB495" s="1007"/>
      <c r="KC495" s="1008"/>
      <c r="KD495" s="1007"/>
      <c r="KE495" s="1008"/>
      <c r="KF495" s="1007"/>
      <c r="KG495" s="1008"/>
      <c r="KH495" s="1007"/>
      <c r="KI495" s="1008"/>
      <c r="KJ495" s="1007"/>
      <c r="KK495" s="1008"/>
      <c r="KL495" s="1007"/>
      <c r="KM495" s="1008"/>
      <c r="KN495" s="1007"/>
      <c r="KO495" s="1008"/>
      <c r="KP495" s="1007"/>
      <c r="KQ495" s="1008"/>
      <c r="KR495" s="1007"/>
      <c r="KS495" s="1008"/>
      <c r="KT495" s="1007"/>
      <c r="KU495" s="1008"/>
      <c r="KV495" s="1007"/>
      <c r="KW495" s="1008"/>
      <c r="KX495" s="1007"/>
      <c r="KY495" s="1008"/>
      <c r="KZ495" s="1007"/>
      <c r="LA495" s="1008"/>
      <c r="LB495" s="1007"/>
      <c r="LC495" s="1008"/>
      <c r="LD495" s="1007"/>
      <c r="LE495" s="1008"/>
      <c r="LF495" s="1007"/>
      <c r="LG495" s="1008"/>
      <c r="LH495" s="1007"/>
      <c r="LI495" s="1008"/>
      <c r="LJ495" s="1007"/>
      <c r="LK495" s="1008"/>
      <c r="LL495" s="1007"/>
      <c r="LM495" s="1008"/>
      <c r="LN495" s="1007"/>
      <c r="LO495" s="1008"/>
      <c r="LP495" s="1007"/>
      <c r="LQ495" s="1008"/>
      <c r="LR495" s="1007"/>
      <c r="LS495" s="1008"/>
      <c r="LT495" s="1007"/>
      <c r="LU495" s="1008"/>
      <c r="LV495" s="1007"/>
      <c r="LW495" s="1008"/>
      <c r="LX495" s="1007"/>
      <c r="LY495" s="1009"/>
      <c r="LZ495" s="1010"/>
      <c r="MA495" s="1011"/>
      <c r="MB495" s="1012"/>
      <c r="MC495" s="995"/>
      <c r="MD495" s="996"/>
      <c r="ME495" s="997" t="s">
        <v>220</v>
      </c>
      <c r="MF495" s="997"/>
      <c r="MG495" s="998"/>
      <c r="NR495" s="1000"/>
      <c r="NS495" s="1000"/>
      <c r="NT495" s="1001"/>
      <c r="NU495" s="1000"/>
      <c r="NV495" s="1001"/>
      <c r="NX495" s="1002"/>
      <c r="NZ495" s="1001"/>
      <c r="OA495" s="1001"/>
      <c r="OC495" s="1003"/>
      <c r="OD495" s="1003"/>
      <c r="OE495" s="1001"/>
      <c r="OF495" s="1003"/>
      <c r="OG495" s="1003"/>
      <c r="QX495" s="1000">
        <f>CN495-CA495</f>
        <v>24</v>
      </c>
    </row>
    <row r="496" spans="1:466 1191:1191" ht="21" customHeight="1" x14ac:dyDescent="0.25">
      <c r="A496" s="982">
        <f t="shared" si="372"/>
        <v>1589</v>
      </c>
      <c r="B496" s="124">
        <f>SUBTOTAL(103,$J$29:J496)</f>
        <v>468</v>
      </c>
      <c r="C496" s="126">
        <v>45068</v>
      </c>
      <c r="D496" s="124" t="s">
        <v>176</v>
      </c>
      <c r="E496" s="127" t="s">
        <v>177</v>
      </c>
      <c r="F496" s="128" t="s">
        <v>177</v>
      </c>
      <c r="G496" s="127" t="s">
        <v>178</v>
      </c>
      <c r="H496" s="127" t="s">
        <v>408</v>
      </c>
      <c r="I496" s="127" t="s">
        <v>634</v>
      </c>
      <c r="J496" s="152">
        <v>1589</v>
      </c>
      <c r="K496" s="127" t="s">
        <v>1323</v>
      </c>
      <c r="L496" s="130">
        <v>43723</v>
      </c>
      <c r="M496" s="127" t="s">
        <v>230</v>
      </c>
      <c r="N496" s="127" t="s">
        <v>245</v>
      </c>
      <c r="O496" s="127" t="s">
        <v>185</v>
      </c>
      <c r="P496" s="127" t="s">
        <v>186</v>
      </c>
      <c r="Q496" s="85" t="str">
        <f t="shared" si="367"/>
        <v/>
      </c>
      <c r="R496" s="130"/>
      <c r="S496" s="128"/>
      <c r="T496" s="131"/>
      <c r="U496" s="132">
        <v>203</v>
      </c>
      <c r="V496" s="121">
        <v>218.2</v>
      </c>
      <c r="W496" s="116">
        <v>0.98</v>
      </c>
      <c r="X496" s="116">
        <v>1.66</v>
      </c>
      <c r="Y496" s="116">
        <f t="shared" ref="Y496:Y559" si="408">(W496*X496)/((CQ496/100)*W496+(1-CQ496/100)*X496)</f>
        <v>0.98</v>
      </c>
      <c r="Z496" s="133">
        <v>1.454</v>
      </c>
      <c r="AA496" s="133">
        <v>0.83599999999999997</v>
      </c>
      <c r="AB496" s="133">
        <v>0.72</v>
      </c>
      <c r="AC496" s="121">
        <v>34.299999999999997</v>
      </c>
      <c r="AD496" s="134">
        <v>1.17</v>
      </c>
      <c r="AE496" s="124">
        <v>177.8</v>
      </c>
      <c r="AF496" s="128">
        <v>9.19</v>
      </c>
      <c r="AG496" s="128">
        <v>2412</v>
      </c>
      <c r="AH496" s="127">
        <v>2955</v>
      </c>
      <c r="AI496" s="127">
        <v>2955</v>
      </c>
      <c r="AJ496" s="135"/>
      <c r="AK496" s="128"/>
      <c r="AL496" s="131"/>
      <c r="AM496" s="124" t="s">
        <v>232</v>
      </c>
      <c r="AN496" s="136" t="s">
        <v>1790</v>
      </c>
      <c r="AO496" s="137">
        <v>8</v>
      </c>
      <c r="AP496" s="128">
        <v>2412</v>
      </c>
      <c r="AQ496" s="128">
        <v>1023</v>
      </c>
      <c r="AR496" s="128"/>
      <c r="AS496" s="128"/>
      <c r="AT496" s="122"/>
      <c r="AU496" s="124" t="s">
        <v>189</v>
      </c>
      <c r="AV496" s="115">
        <f>VLOOKUP(J496,'[63]ТР нефть'!$J$28:$BP$638,39,0)</f>
        <v>460.00001513699999</v>
      </c>
      <c r="AW496" s="115" t="str">
        <f>VLOOKUP(J496,'[63]ТР нефть'!$J$28:$BP$638,40,0)</f>
        <v>ГП</v>
      </c>
      <c r="AX496" s="115">
        <f>VLOOKUP(J496,'[63]ТР нефть'!$J$28:$BP$638,41,0)</f>
        <v>940.00000019499998</v>
      </c>
      <c r="AY496" s="115" t="str">
        <f>VLOOKUP(J496,'[63]ТР нефть'!$J$28:$BP$638,42,0)</f>
        <v>ГК 79 1/8</v>
      </c>
      <c r="AZ496" s="115">
        <f>VLOOKUP(J496,'[63]ТР нефть'!$J$28:$BP$638,43,0)</f>
        <v>1390.000067578</v>
      </c>
      <c r="BA496" s="115" t="str">
        <f>VLOOKUP(J496,'[63]ТР нефть'!$J$28:$BP$638,44,0)</f>
        <v>ГК 80 1/8</v>
      </c>
      <c r="BB496" s="115">
        <f>VLOOKUP(J496,'[63]ТР нефть'!$J$28:$BP$638,45,0)</f>
        <v>1699.9999734380001</v>
      </c>
      <c r="BC496" s="115" t="str">
        <f>VLOOKUP(J496,'[63]ТР нефть'!$J$28:$BP$638,46,0)</f>
        <v>ГК 79 1/8</v>
      </c>
      <c r="BD496" s="115">
        <f>VLOOKUP(J496,'[63]ТР нефть'!$J$28:$BP$638,47,0)</f>
        <v>1999.9999687500001</v>
      </c>
      <c r="BE496" s="115" t="str">
        <f>VLOOKUP(J496,'[63]ТР нефть'!$J$28:$BP$638,48,0)</f>
        <v>ЦКсОК 5/16</v>
      </c>
      <c r="BF496" s="115" t="str">
        <f>VLOOKUP(J496,'[63]ТР нефть'!$J$28:$BP$638,49,0)</f>
        <v>-</v>
      </c>
      <c r="BG496" s="115" t="str">
        <f>VLOOKUP(J496,'[63]ТР нефть'!$J$28:$BP$638,50,0)</f>
        <v>-</v>
      </c>
      <c r="BH496" s="115">
        <f>VLOOKUP(J496,'[63]ТР нефть'!$J$28:$BP$638,51,0)</f>
        <v>2010</v>
      </c>
      <c r="BI496" s="115" t="str">
        <f>VLOOKUP(J496,'[63]ТР нефть'!$J$28:$BP$638,52,0)</f>
        <v>Закрыт</v>
      </c>
      <c r="BJ496" s="115" t="str">
        <f>IF(IFERROR(VLOOKUP(J496,'[63]ТР нефть'!$J$28:$BP$638,53,0),"-")=0,"-",IFERROR(VLOOKUP(J496,'[63]ТР нефть'!$J$28:$BP$638,53,0),"-"))</f>
        <v>-</v>
      </c>
      <c r="BK496" s="138" t="str">
        <f>IF(IFERROR(VLOOKUP(J496,'[63]ТР нефть'!$J$28:$BP$638,54,0),"-")=0,"-",IFERROR(VLOOKUP(J496,'[63]ТР нефть'!$J$28:$BP$638,54,0),"-"))</f>
        <v>-</v>
      </c>
      <c r="BL496" s="138" t="str">
        <f>IF(IFERROR(VLOOKUP(J496,'[63]ТР нефть'!$J$28:$BP$638,55,0),"-")=0,"-",IFERROR(VLOOKUP(J496,'[63]ТР нефть'!$J$28:$BP$638,55,0),"-"))</f>
        <v>-</v>
      </c>
      <c r="BM496" s="138" t="str">
        <f>IF(IFERROR(VLOOKUP(J496,'[63]ТР нефть'!$J$28:$BP$638,56,0),"-")=0,"-",IFERROR(VLOOKUP(J496,'[63]ТР нефть'!$J$28:$BP$638,56,0),"-"))</f>
        <v>-</v>
      </c>
      <c r="BN496" s="138" t="str">
        <f>IF(IFERROR(VLOOKUP(J496,'[63]ТР нефть'!$J$28:$BP$638,57,0),"-")=0,"-",IFERROR(VLOOKUP(J496,'[63]ТР нефть'!$J$28:$BP$638,57,0),"-"))</f>
        <v>-</v>
      </c>
      <c r="BO496" s="115" t="str">
        <f>IF(IFERROR(VLOOKUP(J496,'[63]ТР нефть'!$J$28:$BP$638,58,0),"-")=0,"-",IFERROR(VLOOKUP(J496,'[63]ТР нефть'!$J$28:$BP$638,58,0),"-"))</f>
        <v>-</v>
      </c>
      <c r="BP496" s="115" t="str">
        <f>IF(IFERROR(VLOOKUP(J496,'[63]ТР нефть'!$J$28:$BP$638,59,0),"-")=0,"-",IFERROR(VLOOKUP(J496,'[63]ТР нефть'!$J$28:$BP$638,59,0),"-"))</f>
        <v>-</v>
      </c>
      <c r="BQ496" s="138">
        <v>2412</v>
      </c>
      <c r="BR496" s="128">
        <v>1940</v>
      </c>
      <c r="BS496" s="115">
        <f>BQ496-BR496</f>
        <v>472</v>
      </c>
      <c r="BT496" s="128">
        <v>73</v>
      </c>
      <c r="BU496" s="128">
        <v>5.5</v>
      </c>
      <c r="BV496" s="127">
        <v>65</v>
      </c>
      <c r="BW496" s="127" t="s">
        <v>217</v>
      </c>
      <c r="BX496" s="127" t="s">
        <v>195</v>
      </c>
      <c r="BY496" s="139">
        <v>24</v>
      </c>
      <c r="BZ496" s="139">
        <v>0</v>
      </c>
      <c r="CA496" s="138">
        <v>22</v>
      </c>
      <c r="CB496" s="138">
        <v>41</v>
      </c>
      <c r="CC496" s="138">
        <v>19</v>
      </c>
      <c r="CD496" s="135">
        <v>45017</v>
      </c>
      <c r="CE496" s="138">
        <v>69</v>
      </c>
      <c r="CF496" s="138">
        <v>68</v>
      </c>
      <c r="CG496" s="138" t="str">
        <f t="shared" si="404"/>
        <v>В работе</v>
      </c>
      <c r="CH496" s="138" t="s">
        <v>272</v>
      </c>
      <c r="CI496" s="127">
        <v>6</v>
      </c>
      <c r="CJ496" s="138"/>
      <c r="CK496" s="138"/>
      <c r="CL496" s="99"/>
      <c r="CM496" s="99"/>
      <c r="CN496" s="140">
        <v>41</v>
      </c>
      <c r="CO496" s="159">
        <f t="shared" si="373"/>
        <v>13.375999999999999</v>
      </c>
      <c r="CP496" s="160">
        <v>16</v>
      </c>
      <c r="CQ496" s="161">
        <v>0</v>
      </c>
      <c r="CR496" s="138">
        <v>50</v>
      </c>
      <c r="CS496" s="139">
        <v>8.1999999999999993</v>
      </c>
      <c r="CT496" s="138"/>
      <c r="CU496" s="138">
        <f t="shared" si="370"/>
        <v>41.8</v>
      </c>
      <c r="CV496" s="115">
        <f t="shared" si="368"/>
        <v>3125</v>
      </c>
      <c r="CW496" s="115">
        <f t="shared" si="374"/>
        <v>613.03827751196172</v>
      </c>
      <c r="CX496" s="133">
        <f t="shared" si="369"/>
        <v>0.5714285714285714</v>
      </c>
      <c r="CY496" s="116"/>
      <c r="CZ496" s="131"/>
      <c r="DA496" s="145" t="str">
        <f t="shared" si="375"/>
        <v>Газлифт</v>
      </c>
      <c r="DB496" s="146">
        <f t="shared" si="390"/>
        <v>13.375999999999999</v>
      </c>
      <c r="DC496" s="142">
        <f t="shared" si="402"/>
        <v>16</v>
      </c>
      <c r="DD496" s="119">
        <f t="shared" si="350"/>
        <v>0</v>
      </c>
      <c r="DE496" s="115">
        <f t="shared" si="392"/>
        <v>41.8</v>
      </c>
      <c r="DF496" s="121">
        <f t="shared" si="376"/>
        <v>8.1999999999999993</v>
      </c>
      <c r="DG496" s="115">
        <f t="shared" si="377"/>
        <v>3125</v>
      </c>
      <c r="DH496" s="115">
        <f t="shared" si="378"/>
        <v>41</v>
      </c>
      <c r="DI496" s="147"/>
      <c r="DJ496" s="111" t="s">
        <v>197</v>
      </c>
      <c r="DK496" s="112">
        <v>43723.083333333336</v>
      </c>
      <c r="DL496" s="113">
        <f t="shared" ref="DL496:DL504" ca="1" si="409">TODAY()-DK496</f>
        <v>1380.9166666666642</v>
      </c>
      <c r="DM496" s="114"/>
      <c r="DN496" s="114"/>
      <c r="DO496" s="114"/>
      <c r="DP496" s="114"/>
      <c r="DQ496" s="112" t="s">
        <v>1791</v>
      </c>
      <c r="DR496" s="114" t="s">
        <v>198</v>
      </c>
      <c r="DS496" s="114"/>
      <c r="DT496" s="115">
        <v>51</v>
      </c>
      <c r="DU496" s="116">
        <f t="shared" ref="DU496:DU504" si="410">DW496/(CE496-DT496)</f>
        <v>0.88888888888888884</v>
      </c>
      <c r="DV496" s="117">
        <f t="shared" ref="DV496:DV504" si="411">DW496*(1-DX496/100)*$AA496</f>
        <v>13.375999999999999</v>
      </c>
      <c r="DW496" s="118">
        <f t="shared" ref="DW496:DW504" si="412">IF(DT496&lt;CN496,IF(MQ496=1,CP496,(1-0.2*(DT496/CE496)-0.8*(DT496/CE496)^2)*(CP496/(1-0.2*(CN496/CE496)-0.8*(CN496/CE496)^2))),CP496)</f>
        <v>16</v>
      </c>
      <c r="DX496" s="119">
        <f t="shared" si="379"/>
        <v>0</v>
      </c>
      <c r="DY496" s="115">
        <f t="shared" ref="DY496:DY504" si="413">(CV496*DV496)/1000</f>
        <v>41.8</v>
      </c>
      <c r="DZ496" s="117">
        <f t="shared" ref="DZ496:EA511" si="414">DV496-CO496</f>
        <v>0</v>
      </c>
      <c r="EA496" s="120">
        <f t="shared" si="414"/>
        <v>0</v>
      </c>
      <c r="EB496" s="119">
        <f t="shared" si="387"/>
        <v>0</v>
      </c>
      <c r="EC496" s="121">
        <f t="shared" ref="EC496:EC559" si="415">DY496-CU496</f>
        <v>0</v>
      </c>
      <c r="ED496" s="122"/>
      <c r="EE496" s="145">
        <v>65</v>
      </c>
      <c r="EF496" s="115">
        <v>23</v>
      </c>
      <c r="EG496" s="115">
        <v>70</v>
      </c>
      <c r="EH496" s="115">
        <v>19</v>
      </c>
      <c r="EI496" s="128" t="s">
        <v>195</v>
      </c>
      <c r="EJ496" s="121">
        <v>24</v>
      </c>
      <c r="EK496" s="121">
        <v>0</v>
      </c>
      <c r="EL496" s="162">
        <v>11.703999999999999</v>
      </c>
      <c r="EM496" s="142">
        <v>14</v>
      </c>
      <c r="EN496" s="119">
        <v>0</v>
      </c>
      <c r="EO496" s="115">
        <v>34</v>
      </c>
      <c r="EP496" s="115">
        <v>2230.0068352699932</v>
      </c>
      <c r="EQ496" s="115">
        <v>67</v>
      </c>
      <c r="ER496" s="115">
        <v>7.9</v>
      </c>
      <c r="ES496" s="115">
        <v>43</v>
      </c>
      <c r="ET496" s="150">
        <v>0.53846153846153844</v>
      </c>
      <c r="EU496" s="145">
        <f t="shared" si="400"/>
        <v>65</v>
      </c>
      <c r="EV496" s="115">
        <f t="shared" si="380"/>
        <v>22</v>
      </c>
      <c r="EW496" s="115">
        <f t="shared" si="380"/>
        <v>41</v>
      </c>
      <c r="EX496" s="115">
        <f t="shared" si="380"/>
        <v>19</v>
      </c>
      <c r="EY496" s="115" t="str">
        <f t="shared" si="357"/>
        <v>Постоянный</v>
      </c>
      <c r="EZ496" s="115">
        <f t="shared" si="357"/>
        <v>24</v>
      </c>
      <c r="FA496" s="115">
        <f t="shared" si="357"/>
        <v>0</v>
      </c>
      <c r="FB496" s="149">
        <f t="shared" si="405"/>
        <v>13.375999999999999</v>
      </c>
      <c r="FC496" s="142">
        <f t="shared" si="405"/>
        <v>16</v>
      </c>
      <c r="FD496" s="119">
        <f t="shared" si="405"/>
        <v>0</v>
      </c>
      <c r="FE496" s="121">
        <f t="shared" si="405"/>
        <v>50</v>
      </c>
      <c r="FF496" s="121">
        <f t="shared" si="407"/>
        <v>3125</v>
      </c>
      <c r="FG496" s="121">
        <f t="shared" si="381"/>
        <v>68</v>
      </c>
      <c r="FH496" s="121">
        <f t="shared" si="358"/>
        <v>8.1999999999999993</v>
      </c>
      <c r="FI496" s="121">
        <f t="shared" si="355"/>
        <v>41</v>
      </c>
      <c r="FJ496" s="144">
        <f t="shared" si="382"/>
        <v>0.5714285714285714</v>
      </c>
      <c r="FK496" s="132">
        <f t="shared" si="383"/>
        <v>0</v>
      </c>
      <c r="FL496" s="115">
        <f t="shared" si="383"/>
        <v>-1</v>
      </c>
      <c r="FM496" s="115">
        <f t="shared" si="383"/>
        <v>-29</v>
      </c>
      <c r="FN496" s="115">
        <f t="shared" si="371"/>
        <v>0</v>
      </c>
      <c r="FO496" s="115">
        <f t="shared" si="403"/>
        <v>0</v>
      </c>
      <c r="FP496" s="115">
        <f t="shared" si="403"/>
        <v>0</v>
      </c>
      <c r="FQ496" s="149">
        <f t="shared" si="403"/>
        <v>1.6720000000000006</v>
      </c>
      <c r="FR496" s="142">
        <f t="shared" si="403"/>
        <v>2</v>
      </c>
      <c r="FS496" s="119">
        <f t="shared" si="403"/>
        <v>0</v>
      </c>
      <c r="FT496" s="121">
        <f t="shared" si="353"/>
        <v>16</v>
      </c>
      <c r="FU496" s="121">
        <f t="shared" si="384"/>
        <v>1</v>
      </c>
      <c r="FV496" s="121">
        <f t="shared" si="384"/>
        <v>0.29999999999999893</v>
      </c>
      <c r="FW496" s="121">
        <f t="shared" si="385"/>
        <v>894.99316473000681</v>
      </c>
      <c r="FX496" s="121">
        <f>CN496-ES496</f>
        <v>-2</v>
      </c>
      <c r="FY496" s="144">
        <f t="shared" si="386"/>
        <v>3.2967032967032961E-2</v>
      </c>
      <c r="FZ496" s="145" t="s">
        <v>204</v>
      </c>
      <c r="GA496" s="151" t="s">
        <v>1325</v>
      </c>
      <c r="GB496" s="145"/>
      <c r="GC496" s="151"/>
      <c r="GD496" s="997" t="s">
        <v>416</v>
      </c>
      <c r="GE496" s="1004"/>
      <c r="GF496" s="1004">
        <v>-0.8360000000000003</v>
      </c>
      <c r="GG496" s="1004"/>
      <c r="GH496" s="1004">
        <v>0</v>
      </c>
      <c r="GI496" s="145" t="s">
        <v>223</v>
      </c>
      <c r="GJ496" s="996">
        <v>-1.2539999999999996</v>
      </c>
      <c r="GK496" s="145"/>
      <c r="GL496" s="996">
        <v>-0.99484000000000172</v>
      </c>
      <c r="GM496" s="1005"/>
      <c r="GN496" s="996">
        <v>0.57684000000000069</v>
      </c>
      <c r="GO496" s="1006"/>
      <c r="GP496" s="996">
        <v>-0.8360000000000003</v>
      </c>
      <c r="GQ496" s="1006"/>
      <c r="GR496" s="996">
        <v>0</v>
      </c>
      <c r="GS496" s="1006"/>
      <c r="GT496" s="996"/>
      <c r="GU496" s="1006" t="s">
        <v>199</v>
      </c>
      <c r="GV496" s="996">
        <v>-2.6751999999999985</v>
      </c>
      <c r="GW496" s="1006" t="s">
        <v>223</v>
      </c>
      <c r="GX496" s="996">
        <v>-1.504800000000003</v>
      </c>
      <c r="GY496" s="1006"/>
      <c r="GZ496" s="996">
        <v>-0.47651999999999717</v>
      </c>
      <c r="HA496" s="1006"/>
      <c r="HB496" s="996">
        <v>-0.94468000000000174</v>
      </c>
      <c r="HC496" s="1006" t="s">
        <v>223</v>
      </c>
      <c r="HD496" s="996">
        <v>-4.2360119999999988</v>
      </c>
      <c r="HE496" s="1006"/>
      <c r="HF496" s="996">
        <v>0</v>
      </c>
      <c r="HG496" s="1006" t="s">
        <v>221</v>
      </c>
      <c r="HH496" s="996">
        <v>-6.2139880000000041</v>
      </c>
      <c r="HI496" s="1006" t="s">
        <v>221</v>
      </c>
      <c r="HJ496" s="996">
        <v>-4.012799999999995</v>
      </c>
      <c r="HK496" s="1006" t="s">
        <v>221</v>
      </c>
      <c r="HL496" s="996">
        <v>31.809799999999999</v>
      </c>
      <c r="HM496" s="1006"/>
      <c r="HN496" s="996">
        <v>0</v>
      </c>
      <c r="HO496" s="1006"/>
      <c r="HP496" s="996">
        <v>0</v>
      </c>
      <c r="HQ496" s="1006"/>
      <c r="HR496" s="996">
        <v>0</v>
      </c>
      <c r="HS496" s="1006"/>
      <c r="HT496" s="996">
        <v>0</v>
      </c>
      <c r="HU496" s="1006"/>
      <c r="HV496" s="996">
        <v>-0.78349919999999984</v>
      </c>
      <c r="HW496" s="1006"/>
      <c r="HX496" s="996">
        <v>0.2413699199999999</v>
      </c>
      <c r="HY496" s="1006"/>
      <c r="HZ496" s="996">
        <v>0</v>
      </c>
      <c r="IA496" s="1006"/>
      <c r="IB496" s="996">
        <v>0.33731346000000006</v>
      </c>
      <c r="IC496" s="1006"/>
      <c r="ID496" s="996">
        <v>0.58101581999999996</v>
      </c>
      <c r="IE496" s="1006"/>
      <c r="IF496" s="996">
        <v>0</v>
      </c>
      <c r="IG496" s="1006"/>
      <c r="IH496" s="996">
        <v>0</v>
      </c>
      <c r="II496" s="1006"/>
      <c r="IJ496" s="996">
        <v>0</v>
      </c>
      <c r="IK496" s="1006" t="s">
        <v>223</v>
      </c>
      <c r="IL496" s="996">
        <v>-1.1627087999999999</v>
      </c>
      <c r="IM496" s="1006"/>
      <c r="IN496" s="996">
        <v>0</v>
      </c>
      <c r="IO496" s="1006" t="s">
        <v>203</v>
      </c>
      <c r="IP496" s="996">
        <v>-3.8532911999999997</v>
      </c>
      <c r="IQ496" s="1006"/>
      <c r="IR496" s="996">
        <v>0</v>
      </c>
      <c r="IS496" s="1006"/>
      <c r="IT496" s="996">
        <v>0</v>
      </c>
      <c r="IU496" s="1006"/>
      <c r="IV496" s="996">
        <v>0</v>
      </c>
      <c r="IW496" s="1006" t="s">
        <v>203</v>
      </c>
      <c r="IX496" s="996">
        <v>-4.0462399999999992</v>
      </c>
      <c r="IY496" s="1006"/>
      <c r="IZ496" s="996">
        <v>0</v>
      </c>
      <c r="JA496" s="1006" t="s">
        <v>25</v>
      </c>
      <c r="JB496" s="996">
        <v>3</v>
      </c>
      <c r="JC496" s="1006" t="s">
        <v>199</v>
      </c>
      <c r="JD496" s="996">
        <v>-2.5915999999999992</v>
      </c>
      <c r="JE496" s="1006"/>
      <c r="JF496" s="996">
        <v>0</v>
      </c>
      <c r="JG496" s="1006" t="s">
        <v>199</v>
      </c>
      <c r="JH496" s="996">
        <v>-12.715559999999998</v>
      </c>
      <c r="JI496" s="1006"/>
      <c r="JJ496" s="996">
        <v>0</v>
      </c>
      <c r="JK496" s="1007"/>
      <c r="JL496" s="1007">
        <v>0</v>
      </c>
      <c r="JM496" s="1007"/>
      <c r="JN496" s="1007">
        <v>0</v>
      </c>
      <c r="JO496" s="1008" t="s">
        <v>25</v>
      </c>
      <c r="JP496" s="1007">
        <v>18.651159999999997</v>
      </c>
      <c r="JQ496" s="1008"/>
      <c r="JR496" s="1007"/>
      <c r="JS496" s="1008"/>
      <c r="JT496" s="1007"/>
      <c r="JU496" s="1008"/>
      <c r="JV496" s="1007"/>
      <c r="JW496" s="1008"/>
      <c r="JX496" s="1007"/>
      <c r="JY496" s="1008"/>
      <c r="JZ496" s="1007"/>
      <c r="KA496" s="1008"/>
      <c r="KB496" s="1007"/>
      <c r="KC496" s="1008"/>
      <c r="KD496" s="1007"/>
      <c r="KE496" s="1008"/>
      <c r="KF496" s="1007"/>
      <c r="KG496" s="1008"/>
      <c r="KH496" s="1007"/>
      <c r="KI496" s="1008"/>
      <c r="KJ496" s="1007"/>
      <c r="KK496" s="1008"/>
      <c r="KL496" s="1007"/>
      <c r="KM496" s="1008"/>
      <c r="KN496" s="1007"/>
      <c r="KO496" s="1008"/>
      <c r="KP496" s="1007"/>
      <c r="KQ496" s="1008"/>
      <c r="KR496" s="1007"/>
      <c r="KS496" s="1008"/>
      <c r="KT496" s="1007"/>
      <c r="KU496" s="1008"/>
      <c r="KV496" s="1007"/>
      <c r="KW496" s="1008"/>
      <c r="KX496" s="1007"/>
      <c r="KY496" s="1008"/>
      <c r="KZ496" s="1007"/>
      <c r="LA496" s="1008"/>
      <c r="LB496" s="1007"/>
      <c r="LC496" s="1008"/>
      <c r="LD496" s="1007"/>
      <c r="LE496" s="1008"/>
      <c r="LF496" s="1007"/>
      <c r="LG496" s="1008"/>
      <c r="LH496" s="1007"/>
      <c r="LI496" s="1008"/>
      <c r="LJ496" s="1007"/>
      <c r="LK496" s="1008"/>
      <c r="LL496" s="1007"/>
      <c r="LM496" s="1008"/>
      <c r="LN496" s="1007"/>
      <c r="LO496" s="1008"/>
      <c r="LP496" s="1007"/>
      <c r="LQ496" s="1008"/>
      <c r="LR496" s="1007"/>
      <c r="LS496" s="1008"/>
      <c r="LT496" s="1007"/>
      <c r="LU496" s="1008"/>
      <c r="LV496" s="1007"/>
      <c r="LW496" s="1008"/>
      <c r="LX496" s="1007"/>
      <c r="LY496" s="1009"/>
      <c r="LZ496" s="1010"/>
      <c r="MA496" s="1011"/>
      <c r="MB496" s="1012"/>
      <c r="MC496" s="995"/>
      <c r="MD496" s="996"/>
      <c r="ME496" s="997" t="s">
        <v>416</v>
      </c>
      <c r="MF496" s="997"/>
      <c r="MG496" s="998"/>
      <c r="NR496" s="1000"/>
      <c r="NS496" s="1000"/>
      <c r="NT496" s="1001"/>
      <c r="NU496" s="1000"/>
      <c r="NV496" s="1001"/>
      <c r="NX496" s="1002"/>
      <c r="NZ496" s="1001"/>
      <c r="OA496" s="1001"/>
      <c r="OC496" s="1003"/>
      <c r="OD496" s="1003"/>
      <c r="OE496" s="1001"/>
      <c r="OF496" s="1003"/>
      <c r="OG496" s="1003"/>
      <c r="OH496" s="1003"/>
      <c r="OI496" s="1016"/>
      <c r="QX496" s="1000">
        <f>CN496-CA496</f>
        <v>19</v>
      </c>
      <c r="ASU496" s="999" t="s">
        <v>208</v>
      </c>
    </row>
    <row r="497" spans="1:466 1191:1191" ht="21" customHeight="1" x14ac:dyDescent="0.25">
      <c r="A497" s="982">
        <f t="shared" si="372"/>
        <v>1590</v>
      </c>
      <c r="B497" s="124">
        <f>SUBTOTAL(103,$J$29:J497)</f>
        <v>469</v>
      </c>
      <c r="C497" s="126">
        <v>45068</v>
      </c>
      <c r="D497" s="124" t="s">
        <v>176</v>
      </c>
      <c r="E497" s="127" t="s">
        <v>177</v>
      </c>
      <c r="F497" s="128" t="s">
        <v>177</v>
      </c>
      <c r="G497" s="127" t="s">
        <v>178</v>
      </c>
      <c r="H497" s="127" t="s">
        <v>408</v>
      </c>
      <c r="I497" s="127" t="s">
        <v>975</v>
      </c>
      <c r="J497" s="152">
        <v>1590</v>
      </c>
      <c r="K497" s="127" t="s">
        <v>1759</v>
      </c>
      <c r="L497" s="130">
        <v>44060</v>
      </c>
      <c r="M497" s="127" t="s">
        <v>230</v>
      </c>
      <c r="N497" s="127" t="s">
        <v>231</v>
      </c>
      <c r="O497" s="127" t="s">
        <v>185</v>
      </c>
      <c r="P497" s="127" t="s">
        <v>186</v>
      </c>
      <c r="Q497" s="85" t="str">
        <f t="shared" si="367"/>
        <v/>
      </c>
      <c r="R497" s="130"/>
      <c r="S497" s="128"/>
      <c r="T497" s="131"/>
      <c r="U497" s="132">
        <v>203</v>
      </c>
      <c r="V497" s="121">
        <v>218.2</v>
      </c>
      <c r="W497" s="116">
        <v>0.98</v>
      </c>
      <c r="X497" s="116">
        <v>1.66</v>
      </c>
      <c r="Y497" s="116">
        <f t="shared" si="408"/>
        <v>0.98</v>
      </c>
      <c r="Z497" s="133">
        <v>1.454</v>
      </c>
      <c r="AA497" s="133">
        <v>0.83599999999999997</v>
      </c>
      <c r="AB497" s="133">
        <v>0.72</v>
      </c>
      <c r="AC497" s="121">
        <v>34.299999999999997</v>
      </c>
      <c r="AD497" s="134">
        <v>1.17</v>
      </c>
      <c r="AE497" s="124">
        <v>177.8</v>
      </c>
      <c r="AF497" s="128">
        <v>9.19</v>
      </c>
      <c r="AG497" s="128">
        <v>2251</v>
      </c>
      <c r="AH497" s="127">
        <v>2840</v>
      </c>
      <c r="AI497" s="127">
        <v>2840</v>
      </c>
      <c r="AJ497" s="135"/>
      <c r="AK497" s="128"/>
      <c r="AL497" s="131"/>
      <c r="AM497" s="124" t="s">
        <v>232</v>
      </c>
      <c r="AN497" s="136" t="s">
        <v>1792</v>
      </c>
      <c r="AO497" s="137">
        <v>27.21</v>
      </c>
      <c r="AP497" s="128">
        <v>2251</v>
      </c>
      <c r="AQ497" s="128">
        <v>533.36</v>
      </c>
      <c r="AR497" s="128"/>
      <c r="AS497" s="128"/>
      <c r="AT497" s="122"/>
      <c r="AU497" s="124" t="s">
        <v>189</v>
      </c>
      <c r="AV497" s="115">
        <f>VLOOKUP(J497,'[63]ТР нефть'!$J$28:$BP$638,39,0)</f>
        <v>513.99999345699996</v>
      </c>
      <c r="AW497" s="115" t="str">
        <f>VLOOKUP(J497,'[63]ТР нефть'!$J$28:$BP$638,40,0)</f>
        <v>ГК 84 1/8</v>
      </c>
      <c r="AX497" s="115">
        <f>VLOOKUP(J497,'[63]ТР нефть'!$J$28:$BP$638,41,0)</f>
        <v>996.999981445</v>
      </c>
      <c r="AY497" s="115" t="str">
        <f>VLOOKUP(J497,'[63]ТР нефть'!$J$28:$BP$638,42,0)</f>
        <v>ГК 83 1/8</v>
      </c>
      <c r="AZ497" s="115">
        <f>VLOOKUP(J497,'[63]ТР нефть'!$J$28:$BP$638,43,0)</f>
        <v>1411.000013672</v>
      </c>
      <c r="BA497" s="115" t="str">
        <f>VLOOKUP(J497,'[63]ТР нефть'!$J$28:$BP$638,44,0)</f>
        <v>ГК 82 1/8</v>
      </c>
      <c r="BB497" s="115">
        <f>VLOOKUP(J497,'[63]ТР нефть'!$J$28:$BP$638,45,0)</f>
        <v>1692.9999914059999</v>
      </c>
      <c r="BC497" s="115" t="str">
        <f>VLOOKUP(J497,'[63]ТР нефть'!$J$28:$BP$638,46,0)</f>
        <v>ГК 82 1/8</v>
      </c>
      <c r="BD497" s="115">
        <f>VLOOKUP(J497,'[63]ТР нефть'!$J$28:$BP$638,47,0)</f>
        <v>1830.0000011720001</v>
      </c>
      <c r="BE497" s="115" t="str">
        <f>VLOOKUP(J497,'[63]ТР нефть'!$J$28:$BP$638,48,0)</f>
        <v>ЦКсОК 5/16</v>
      </c>
      <c r="BF497" s="115" t="str">
        <f>VLOOKUP(J497,'[63]ТР нефть'!$J$28:$BP$638,49,0)</f>
        <v>-</v>
      </c>
      <c r="BG497" s="115" t="str">
        <f>VLOOKUP(J497,'[63]ТР нефть'!$J$28:$BP$638,50,0)</f>
        <v>-</v>
      </c>
      <c r="BH497" s="115">
        <f>VLOOKUP(J497,'[63]ТР нефть'!$J$28:$BP$638,51,0)</f>
        <v>1840</v>
      </c>
      <c r="BI497" s="115" t="str">
        <f>VLOOKUP(J497,'[63]ТР нефть'!$J$28:$BP$638,52,0)</f>
        <v>Закрыт</v>
      </c>
      <c r="BJ497" s="115" t="str">
        <f>IF(IFERROR(VLOOKUP(J497,'[63]ТР нефть'!$J$28:$BP$638,53,0),"-")=0,"-",IFERROR(VLOOKUP(J497,'[63]ТР нефть'!$J$28:$BP$638,53,0),"-"))</f>
        <v>-</v>
      </c>
      <c r="BK497" s="138" t="str">
        <f>IF(IFERROR(VLOOKUP(J497,'[63]ТР нефть'!$J$28:$BP$638,54,0),"-")=0,"-",IFERROR(VLOOKUP(J497,'[63]ТР нефть'!$J$28:$BP$638,54,0),"-"))</f>
        <v>-</v>
      </c>
      <c r="BL497" s="138" t="str">
        <f>IF(IFERROR(VLOOKUP(J497,'[63]ТР нефть'!$J$28:$BP$638,55,0),"-")=0,"-",IFERROR(VLOOKUP(J497,'[63]ТР нефть'!$J$28:$BP$638,55,0),"-"))</f>
        <v>-</v>
      </c>
      <c r="BM497" s="138" t="str">
        <f>IF(IFERROR(VLOOKUP(J497,'[63]ТР нефть'!$J$28:$BP$638,56,0),"-")=0,"-",IFERROR(VLOOKUP(J497,'[63]ТР нефть'!$J$28:$BP$638,56,0),"-"))</f>
        <v>-</v>
      </c>
      <c r="BN497" s="138" t="str">
        <f>IF(IFERROR(VLOOKUP(J497,'[63]ТР нефть'!$J$28:$BP$638,57,0),"-")=0,"-",IFERROR(VLOOKUP(J497,'[63]ТР нефть'!$J$28:$BP$638,57,0),"-"))</f>
        <v>-</v>
      </c>
      <c r="BO497" s="115" t="str">
        <f>IF(IFERROR(VLOOKUP(J497,'[63]ТР нефть'!$J$28:$BP$638,58,0),"-")=0,"-",IFERROR(VLOOKUP(J497,'[63]ТР нефть'!$J$28:$BP$638,58,0),"-"))</f>
        <v>-</v>
      </c>
      <c r="BP497" s="115" t="str">
        <f>IF(IFERROR(VLOOKUP(J497,'[63]ТР нефть'!$J$28:$BP$638,59,0),"-")=0,"-",IFERROR(VLOOKUP(J497,'[63]ТР нефть'!$J$28:$BP$638,59,0),"-"))</f>
        <v>-</v>
      </c>
      <c r="BQ497" s="138">
        <v>2280</v>
      </c>
      <c r="BR497" s="128">
        <f>1722.98+140.5</f>
        <v>1863.48</v>
      </c>
      <c r="BS497" s="115">
        <f>BQ497-BR497</f>
        <v>416.52</v>
      </c>
      <c r="BT497" s="128">
        <v>73</v>
      </c>
      <c r="BU497" s="128">
        <v>5.5</v>
      </c>
      <c r="BV497" s="127">
        <v>12</v>
      </c>
      <c r="BW497" s="127" t="s">
        <v>217</v>
      </c>
      <c r="BX497" s="127" t="s">
        <v>195</v>
      </c>
      <c r="BY497" s="139">
        <v>24</v>
      </c>
      <c r="BZ497" s="139">
        <v>0</v>
      </c>
      <c r="CA497" s="138">
        <v>24</v>
      </c>
      <c r="CB497" s="138">
        <v>31</v>
      </c>
      <c r="CC497" s="138">
        <v>23</v>
      </c>
      <c r="CD497" s="135">
        <v>45017</v>
      </c>
      <c r="CE497" s="138">
        <v>96</v>
      </c>
      <c r="CF497" s="138">
        <v>70</v>
      </c>
      <c r="CG497" s="138" t="str">
        <f t="shared" si="404"/>
        <v/>
      </c>
      <c r="CH497" s="138" t="s">
        <v>197</v>
      </c>
      <c r="CI497" s="127">
        <v>6</v>
      </c>
      <c r="CJ497" s="138"/>
      <c r="CK497" s="138"/>
      <c r="CL497" s="99"/>
      <c r="CM497" s="99"/>
      <c r="CN497" s="140">
        <v>45</v>
      </c>
      <c r="CO497" s="159">
        <f t="shared" si="373"/>
        <v>15.048</v>
      </c>
      <c r="CP497" s="160">
        <v>18</v>
      </c>
      <c r="CQ497" s="161">
        <v>0</v>
      </c>
      <c r="CR497" s="138">
        <v>22</v>
      </c>
      <c r="CS497" s="139">
        <v>6.2</v>
      </c>
      <c r="CT497" s="138"/>
      <c r="CU497" s="138">
        <f t="shared" si="370"/>
        <v>15.8</v>
      </c>
      <c r="CV497" s="115">
        <f t="shared" si="368"/>
        <v>1049.9734183944711</v>
      </c>
      <c r="CW497" s="115">
        <f t="shared" si="374"/>
        <v>412.01488569909623</v>
      </c>
      <c r="CX497" s="133">
        <f t="shared" si="369"/>
        <v>0.35294117647058826</v>
      </c>
      <c r="CY497" s="116"/>
      <c r="CZ497" s="131"/>
      <c r="DA497" s="145" t="str">
        <f t="shared" si="375"/>
        <v>Газлифт</v>
      </c>
      <c r="DB497" s="146">
        <f t="shared" si="390"/>
        <v>15.048</v>
      </c>
      <c r="DC497" s="142">
        <f t="shared" si="402"/>
        <v>18</v>
      </c>
      <c r="DD497" s="119">
        <f t="shared" ref="DD497:DD559" si="416">IFERROR(IF(AND(FZ497="Технология",FQ497&lt;$JC$29),EN497,CQ497),"-")</f>
        <v>0</v>
      </c>
      <c r="DE497" s="115">
        <f t="shared" si="392"/>
        <v>15.8</v>
      </c>
      <c r="DF497" s="121">
        <f t="shared" si="376"/>
        <v>6.2</v>
      </c>
      <c r="DG497" s="115">
        <f t="shared" si="377"/>
        <v>1049.9734183944711</v>
      </c>
      <c r="DH497" s="115">
        <f t="shared" si="378"/>
        <v>45</v>
      </c>
      <c r="DI497" s="147"/>
      <c r="DJ497" s="111"/>
      <c r="DK497" s="112">
        <v>44060.083333333336</v>
      </c>
      <c r="DL497" s="113">
        <f t="shared" ca="1" si="409"/>
        <v>1043.9166666666642</v>
      </c>
      <c r="DM497" s="114"/>
      <c r="DN497" s="114"/>
      <c r="DO497" s="114"/>
      <c r="DP497" s="114"/>
      <c r="DQ497" s="112"/>
      <c r="DR497" s="114"/>
      <c r="DS497" s="114"/>
      <c r="DT497" s="115">
        <v>56</v>
      </c>
      <c r="DU497" s="116">
        <f t="shared" si="410"/>
        <v>0.45</v>
      </c>
      <c r="DV497" s="117">
        <f t="shared" si="411"/>
        <v>15.048</v>
      </c>
      <c r="DW497" s="118">
        <f t="shared" si="412"/>
        <v>18</v>
      </c>
      <c r="DX497" s="119">
        <f t="shared" si="379"/>
        <v>0</v>
      </c>
      <c r="DY497" s="115">
        <f t="shared" si="413"/>
        <v>15.8</v>
      </c>
      <c r="DZ497" s="117">
        <f t="shared" si="414"/>
        <v>0</v>
      </c>
      <c r="EA497" s="120">
        <f t="shared" si="414"/>
        <v>0</v>
      </c>
      <c r="EB497" s="119">
        <f t="shared" si="387"/>
        <v>0</v>
      </c>
      <c r="EC497" s="121">
        <f t="shared" si="415"/>
        <v>0</v>
      </c>
      <c r="ED497" s="122"/>
      <c r="EE497" s="145">
        <v>12</v>
      </c>
      <c r="EF497" s="115">
        <v>26</v>
      </c>
      <c r="EG497" s="115">
        <v>33</v>
      </c>
      <c r="EH497" s="115">
        <v>25</v>
      </c>
      <c r="EI497" s="128" t="s">
        <v>195</v>
      </c>
      <c r="EJ497" s="121">
        <v>24</v>
      </c>
      <c r="EK497" s="121">
        <v>0</v>
      </c>
      <c r="EL497" s="162">
        <v>14.379199999999999</v>
      </c>
      <c r="EM497" s="142">
        <v>17.2</v>
      </c>
      <c r="EN497" s="119">
        <v>0</v>
      </c>
      <c r="EO497" s="115">
        <v>21</v>
      </c>
      <c r="EP497" s="115">
        <v>1008.4010237009014</v>
      </c>
      <c r="EQ497" s="115">
        <v>64</v>
      </c>
      <c r="ER497" s="115">
        <v>6.5</v>
      </c>
      <c r="ES497" s="115">
        <v>49</v>
      </c>
      <c r="ET497" s="150">
        <v>0.36595744680851061</v>
      </c>
      <c r="EU497" s="145">
        <f t="shared" si="400"/>
        <v>12</v>
      </c>
      <c r="EV497" s="115">
        <f t="shared" si="380"/>
        <v>24</v>
      </c>
      <c r="EW497" s="115">
        <f t="shared" si="380"/>
        <v>31</v>
      </c>
      <c r="EX497" s="115">
        <f t="shared" si="380"/>
        <v>23</v>
      </c>
      <c r="EY497" s="115" t="str">
        <f t="shared" si="357"/>
        <v>Постоянный</v>
      </c>
      <c r="EZ497" s="115">
        <f t="shared" si="357"/>
        <v>24</v>
      </c>
      <c r="FA497" s="115">
        <f t="shared" si="357"/>
        <v>0</v>
      </c>
      <c r="FB497" s="149">
        <f t="shared" si="405"/>
        <v>15.048</v>
      </c>
      <c r="FC497" s="142">
        <f t="shared" si="405"/>
        <v>18</v>
      </c>
      <c r="FD497" s="119">
        <f t="shared" si="405"/>
        <v>0</v>
      </c>
      <c r="FE497" s="121">
        <f t="shared" si="405"/>
        <v>22</v>
      </c>
      <c r="FF497" s="121">
        <f t="shared" si="407"/>
        <v>1049.9734183944711</v>
      </c>
      <c r="FG497" s="121">
        <f t="shared" si="381"/>
        <v>70</v>
      </c>
      <c r="FH497" s="121">
        <f t="shared" si="358"/>
        <v>6.2</v>
      </c>
      <c r="FI497" s="121">
        <f t="shared" si="355"/>
        <v>45</v>
      </c>
      <c r="FJ497" s="144">
        <f t="shared" si="382"/>
        <v>0.35294117647058826</v>
      </c>
      <c r="FK497" s="132">
        <f t="shared" si="383"/>
        <v>0</v>
      </c>
      <c r="FL497" s="115">
        <f t="shared" si="383"/>
        <v>-2</v>
      </c>
      <c r="FM497" s="115">
        <f t="shared" si="383"/>
        <v>-2</v>
      </c>
      <c r="FN497" s="115">
        <f t="shared" si="371"/>
        <v>-2</v>
      </c>
      <c r="FO497" s="115">
        <f t="shared" si="403"/>
        <v>0</v>
      </c>
      <c r="FP497" s="115">
        <f t="shared" si="403"/>
        <v>0</v>
      </c>
      <c r="FQ497" s="149">
        <f t="shared" si="403"/>
        <v>0.66880000000000095</v>
      </c>
      <c r="FR497" s="142">
        <f t="shared" si="403"/>
        <v>0.80000000000000071</v>
      </c>
      <c r="FS497" s="119">
        <f t="shared" si="403"/>
        <v>0</v>
      </c>
      <c r="FT497" s="121">
        <f t="shared" si="353"/>
        <v>1</v>
      </c>
      <c r="FU497" s="121">
        <f t="shared" si="384"/>
        <v>6</v>
      </c>
      <c r="FV497" s="121">
        <f t="shared" si="384"/>
        <v>-0.29999999999999982</v>
      </c>
      <c r="FW497" s="121">
        <f t="shared" si="385"/>
        <v>41.572394693569663</v>
      </c>
      <c r="FX497" s="121">
        <f>CN497-ES497</f>
        <v>-4</v>
      </c>
      <c r="FY497" s="144">
        <f t="shared" si="386"/>
        <v>-1.3016270337922353E-2</v>
      </c>
      <c r="FZ497" s="145"/>
      <c r="GA497" s="151"/>
      <c r="GB497" s="145" t="s">
        <v>199</v>
      </c>
      <c r="GC497" s="151" t="s">
        <v>1762</v>
      </c>
      <c r="GD497" s="997" t="s">
        <v>416</v>
      </c>
      <c r="GE497" s="1004" t="s">
        <v>199</v>
      </c>
      <c r="GF497" s="1004">
        <v>-0.91960000000000086</v>
      </c>
      <c r="GG497" s="1004"/>
      <c r="GH497" s="1004">
        <v>-0.36006519999999753</v>
      </c>
      <c r="GI497" s="145"/>
      <c r="GJ497" s="996">
        <v>0.79886519999999805</v>
      </c>
      <c r="GK497" s="145" t="s">
        <v>204</v>
      </c>
      <c r="GL497" s="996">
        <v>0</v>
      </c>
      <c r="GM497" s="1005"/>
      <c r="GN497" s="996">
        <v>0</v>
      </c>
      <c r="GO497" s="1006"/>
      <c r="GP497" s="996">
        <v>0</v>
      </c>
      <c r="GQ497" s="1006"/>
      <c r="GR497" s="996">
        <v>0</v>
      </c>
      <c r="GS497" s="1006" t="s">
        <v>204</v>
      </c>
      <c r="GT497" s="996">
        <v>2.0063999999999993</v>
      </c>
      <c r="GU497" s="1006" t="s">
        <v>199</v>
      </c>
      <c r="GV497" s="996">
        <v>2.6752000000000002</v>
      </c>
      <c r="GW497" s="1006" t="s">
        <v>204</v>
      </c>
      <c r="GX497" s="996">
        <v>3.9292000000000016</v>
      </c>
      <c r="GY497" s="1006"/>
      <c r="GZ497" s="996">
        <v>0</v>
      </c>
      <c r="HA497" s="1006"/>
      <c r="HB497" s="996">
        <v>-0.66880000000000095</v>
      </c>
      <c r="HC497" s="1006"/>
      <c r="HD497" s="996">
        <v>0.87675499999999573</v>
      </c>
      <c r="HE497" s="1006"/>
      <c r="HF497" s="996">
        <v>0</v>
      </c>
      <c r="HG497" s="1006" t="s">
        <v>199</v>
      </c>
      <c r="HH497" s="996">
        <v>4.3863666000000023</v>
      </c>
      <c r="HI497" s="1006"/>
      <c r="HJ497" s="996">
        <v>-2.9761600000000499E-2</v>
      </c>
      <c r="HK497" s="1006"/>
      <c r="HL497" s="996">
        <v>0</v>
      </c>
      <c r="HM497" s="1006" t="s">
        <v>199</v>
      </c>
      <c r="HN497" s="996">
        <v>1.6385600000000018</v>
      </c>
      <c r="HO497" s="1006"/>
      <c r="HP497" s="996">
        <v>-0.85272000000000148</v>
      </c>
      <c r="HQ497" s="1006" t="s">
        <v>204</v>
      </c>
      <c r="HR497" s="996">
        <v>2.0064000000000011</v>
      </c>
      <c r="HS497" s="1006"/>
      <c r="HT497" s="996">
        <v>-0.91960000000000086</v>
      </c>
      <c r="HU497" s="1006"/>
      <c r="HV497" s="996">
        <v>-0.25079999999999991</v>
      </c>
      <c r="HW497" s="1006"/>
      <c r="HX497" s="996">
        <v>0.8876422280000007</v>
      </c>
      <c r="HY497" s="1006" t="s">
        <v>199</v>
      </c>
      <c r="HZ497" s="996">
        <v>-4.4349783280000032</v>
      </c>
      <c r="IA497" s="1006"/>
      <c r="IB497" s="996">
        <v>0</v>
      </c>
      <c r="IC497" s="1006" t="s">
        <v>199</v>
      </c>
      <c r="ID497" s="996">
        <v>1.238972900000002</v>
      </c>
      <c r="IE497" s="1006"/>
      <c r="IF497" s="996">
        <v>0</v>
      </c>
      <c r="IG497" s="1006"/>
      <c r="IH497" s="996">
        <v>0</v>
      </c>
      <c r="II497" s="1006"/>
      <c r="IJ497" s="996">
        <v>0</v>
      </c>
      <c r="IK497" s="1006" t="s">
        <v>199</v>
      </c>
      <c r="IL497" s="996">
        <v>2.4755632000000016</v>
      </c>
      <c r="IM497" s="1006"/>
      <c r="IN497" s="996">
        <v>0</v>
      </c>
      <c r="IO497" s="1006" t="s">
        <v>204</v>
      </c>
      <c r="IP497" s="996">
        <v>-13.616767999999999</v>
      </c>
      <c r="IQ497" s="1006"/>
      <c r="IR497" s="996">
        <v>0</v>
      </c>
      <c r="IS497" s="1006"/>
      <c r="IT497" s="996"/>
      <c r="IU497" s="1006"/>
      <c r="IV497" s="996"/>
      <c r="IW497" s="1006"/>
      <c r="IX497" s="996"/>
      <c r="IY497" s="1006"/>
      <c r="IZ497" s="996"/>
      <c r="JA497" s="1006"/>
      <c r="JB497" s="996"/>
      <c r="JC497" s="1006"/>
      <c r="JD497" s="996"/>
      <c r="JE497" s="1006"/>
      <c r="JF497" s="996"/>
      <c r="JG497" s="1006"/>
      <c r="JH497" s="996"/>
      <c r="JI497" s="1006"/>
      <c r="JJ497" s="996"/>
      <c r="JK497" s="1007"/>
      <c r="JL497" s="1007"/>
      <c r="JM497" s="1007"/>
      <c r="JN497" s="1007"/>
      <c r="JO497" s="1008"/>
      <c r="JP497" s="1007"/>
      <c r="JQ497" s="1008"/>
      <c r="JR497" s="1007"/>
      <c r="JS497" s="1008"/>
      <c r="JT497" s="1007"/>
      <c r="JU497" s="1008"/>
      <c r="JV497" s="1007"/>
      <c r="JW497" s="1008"/>
      <c r="JX497" s="1007"/>
      <c r="JY497" s="1008"/>
      <c r="JZ497" s="1007"/>
      <c r="KA497" s="1008"/>
      <c r="KB497" s="1007"/>
      <c r="KC497" s="1008"/>
      <c r="KD497" s="1007"/>
      <c r="KE497" s="1008"/>
      <c r="KF497" s="1007"/>
      <c r="KG497" s="1008"/>
      <c r="KH497" s="1007"/>
      <c r="KI497" s="1008"/>
      <c r="KJ497" s="1007"/>
      <c r="KK497" s="1008"/>
      <c r="KL497" s="1007"/>
      <c r="KM497" s="1008"/>
      <c r="KN497" s="1007"/>
      <c r="KO497" s="1008"/>
      <c r="KP497" s="1007"/>
      <c r="KQ497" s="1008"/>
      <c r="KR497" s="1007"/>
      <c r="KS497" s="1008"/>
      <c r="KT497" s="1007"/>
      <c r="KU497" s="1008"/>
      <c r="KV497" s="1007"/>
      <c r="KW497" s="1008"/>
      <c r="KX497" s="1007"/>
      <c r="KY497" s="1008"/>
      <c r="KZ497" s="1007"/>
      <c r="LA497" s="1008"/>
      <c r="LB497" s="1007"/>
      <c r="LC497" s="1008"/>
      <c r="LD497" s="1007"/>
      <c r="LE497" s="1008"/>
      <c r="LF497" s="1007"/>
      <c r="LG497" s="1008"/>
      <c r="LH497" s="1007"/>
      <c r="LI497" s="1008"/>
      <c r="LJ497" s="1007"/>
      <c r="LK497" s="1008"/>
      <c r="LL497" s="1007"/>
      <c r="LM497" s="1008"/>
      <c r="LN497" s="1007"/>
      <c r="LO497" s="1008"/>
      <c r="LP497" s="1007"/>
      <c r="LQ497" s="1008"/>
      <c r="LR497" s="1007"/>
      <c r="LS497" s="1008"/>
      <c r="LT497" s="1007"/>
      <c r="LU497" s="1008"/>
      <c r="LV497" s="1007"/>
      <c r="LW497" s="1008"/>
      <c r="LX497" s="1007"/>
      <c r="LY497" s="1009"/>
      <c r="LZ497" s="1010"/>
      <c r="MA497" s="1011"/>
      <c r="MB497" s="1012"/>
      <c r="MC497" s="995"/>
      <c r="MD497" s="996"/>
      <c r="ME497" s="997" t="s">
        <v>416</v>
      </c>
      <c r="MF497" s="997"/>
      <c r="MG497" s="998"/>
      <c r="NR497" s="1000"/>
      <c r="NS497" s="1000"/>
      <c r="NT497" s="1001"/>
      <c r="NU497" s="1000"/>
      <c r="NV497" s="1001"/>
      <c r="NX497" s="1002"/>
      <c r="NZ497" s="1001"/>
      <c r="OA497" s="1001"/>
      <c r="OC497" s="1003"/>
      <c r="OD497" s="1003"/>
      <c r="OE497" s="1001"/>
      <c r="OF497" s="1003"/>
      <c r="OG497" s="1003"/>
      <c r="QX497" s="1000">
        <f>CN497-CA497</f>
        <v>21</v>
      </c>
      <c r="ASU497" s="999" t="s">
        <v>208</v>
      </c>
    </row>
    <row r="498" spans="1:466 1191:1191" ht="21" customHeight="1" x14ac:dyDescent="0.25">
      <c r="A498" s="982">
        <f t="shared" si="372"/>
        <v>1591</v>
      </c>
      <c r="B498" s="145">
        <f>SUBTOTAL(103,$J$29:J498)</f>
        <v>470</v>
      </c>
      <c r="C498" s="126">
        <v>45068</v>
      </c>
      <c r="D498" s="145" t="s">
        <v>176</v>
      </c>
      <c r="E498" s="128" t="s">
        <v>177</v>
      </c>
      <c r="F498" s="128" t="s">
        <v>177</v>
      </c>
      <c r="G498" s="128" t="s">
        <v>178</v>
      </c>
      <c r="H498" s="128" t="s">
        <v>179</v>
      </c>
      <c r="I498" s="127" t="s">
        <v>1544</v>
      </c>
      <c r="J498" s="152">
        <v>1591</v>
      </c>
      <c r="K498" s="127" t="s">
        <v>1544</v>
      </c>
      <c r="L498" s="135">
        <v>44139</v>
      </c>
      <c r="M498" s="128" t="s">
        <v>230</v>
      </c>
      <c r="N498" s="128" t="s">
        <v>184</v>
      </c>
      <c r="O498" s="127" t="s">
        <v>1077</v>
      </c>
      <c r="P498" s="127" t="s">
        <v>292</v>
      </c>
      <c r="Q498" s="127">
        <v>-4</v>
      </c>
      <c r="R498" s="130"/>
      <c r="S498" s="128"/>
      <c r="T498" s="131"/>
      <c r="U498" s="132">
        <v>203</v>
      </c>
      <c r="V498" s="121">
        <v>218.2</v>
      </c>
      <c r="W498" s="116">
        <v>0.98</v>
      </c>
      <c r="X498" s="116">
        <v>1.66</v>
      </c>
      <c r="Y498" s="116">
        <f t="shared" si="408"/>
        <v>0.98</v>
      </c>
      <c r="Z498" s="133">
        <v>1.454</v>
      </c>
      <c r="AA498" s="133">
        <v>0.83599999999999997</v>
      </c>
      <c r="AB498" s="133">
        <v>0.72</v>
      </c>
      <c r="AC498" s="121">
        <v>34.299999999999997</v>
      </c>
      <c r="AD498" s="134">
        <v>1.17</v>
      </c>
      <c r="AE498" s="145">
        <v>177.8</v>
      </c>
      <c r="AF498" s="128">
        <v>9.19</v>
      </c>
      <c r="AG498" s="128">
        <v>2061</v>
      </c>
      <c r="AH498" s="128">
        <v>2474</v>
      </c>
      <c r="AI498" s="128">
        <v>1960</v>
      </c>
      <c r="AJ498" s="135">
        <v>45077</v>
      </c>
      <c r="AK498" s="128" t="s">
        <v>1793</v>
      </c>
      <c r="AL498" s="131"/>
      <c r="AM498" s="145" t="s">
        <v>232</v>
      </c>
      <c r="AN498" s="131" t="s">
        <v>1794</v>
      </c>
      <c r="AO498" s="137">
        <v>255</v>
      </c>
      <c r="AP498" s="128">
        <v>2061</v>
      </c>
      <c r="AQ498" s="128">
        <v>255</v>
      </c>
      <c r="AR498" s="128"/>
      <c r="AS498" s="128"/>
      <c r="AT498" s="122"/>
      <c r="AU498" s="145" t="s">
        <v>192</v>
      </c>
      <c r="AV498" s="128" t="s">
        <v>192</v>
      </c>
      <c r="AW498" s="128" t="s">
        <v>192</v>
      </c>
      <c r="AX498" s="128" t="str">
        <f>VLOOKUP(J498,'[63]ТР нефть'!$J$28:$BP$638,41,0)</f>
        <v>-</v>
      </c>
      <c r="AY498" s="128" t="str">
        <f>VLOOKUP(J498,'[63]ТР нефть'!$J$28:$BP$638,42,0)</f>
        <v>-</v>
      </c>
      <c r="AZ498" s="128" t="str">
        <f>VLOOKUP(J498,'[63]ТР нефть'!$J$28:$BP$638,43,0)</f>
        <v>-</v>
      </c>
      <c r="BA498" s="128" t="str">
        <f>VLOOKUP(J498,'[63]ТР нефть'!$J$28:$BP$638,44,0)</f>
        <v>-</v>
      </c>
      <c r="BB498" s="128" t="str">
        <f>VLOOKUP(J498,'[63]ТР нефть'!$J$28:$BP$638,45,0)</f>
        <v>-</v>
      </c>
      <c r="BC498" s="128" t="str">
        <f>VLOOKUP(J498,'[63]ТР нефть'!$J$28:$BP$638,46,0)</f>
        <v>-</v>
      </c>
      <c r="BD498" s="128" t="str">
        <f>VLOOKUP(J498,'[63]ТР нефть'!$J$28:$BP$638,47,0)</f>
        <v>-</v>
      </c>
      <c r="BE498" s="128" t="str">
        <f>VLOOKUP(J498,'[63]ТР нефть'!$J$28:$BP$638,48,0)</f>
        <v>-</v>
      </c>
      <c r="BF498" s="128" t="str">
        <f>VLOOKUP(J498,'[63]ТР нефть'!$J$28:$BP$638,49,0)</f>
        <v>-</v>
      </c>
      <c r="BG498" s="128" t="str">
        <f>VLOOKUP(J498,'[63]ТР нефть'!$J$28:$BP$638,50,0)</f>
        <v>-</v>
      </c>
      <c r="BH498" s="128" t="s">
        <v>192</v>
      </c>
      <c r="BI498" s="128" t="str">
        <f>VLOOKUP(J498,'[63]ТР нефть'!$J$28:$BP$638,52,0)</f>
        <v>-</v>
      </c>
      <c r="BJ498" s="128" t="str">
        <f>IF(IFERROR(VLOOKUP(J498,'[63]ТР нефть'!$J$28:$BP$638,53,0),"-")=0,"-",IFERROR(VLOOKUP(J498,'[63]ТР нефть'!$J$28:$BP$638,53,0),"-"))</f>
        <v>-</v>
      </c>
      <c r="BK498" s="128" t="s">
        <v>192</v>
      </c>
      <c r="BL498" s="128" t="str">
        <f>IF(IFERROR(VLOOKUP(J498,'[63]ТР нефть'!$J$28:$BP$638,55,0),"-")=0,"-",IFERROR(VLOOKUP(J498,'[63]ТР нефть'!$J$28:$BP$638,55,0),"-"))</f>
        <v>-</v>
      </c>
      <c r="BM498" s="128" t="s">
        <v>192</v>
      </c>
      <c r="BN498" s="128" t="s">
        <v>192</v>
      </c>
      <c r="BO498" s="128" t="s">
        <v>192</v>
      </c>
      <c r="BP498" s="128" t="str">
        <f>IF(IFERROR(VLOOKUP(J498,'[63]ТР нефть'!$J$28:$BP$638,59,0),"-")=0,"-",IFERROR(VLOOKUP(J498,'[63]ТР нефть'!$J$28:$BP$638,59,0),"-"))</f>
        <v>-</v>
      </c>
      <c r="BQ498" s="115">
        <v>1502</v>
      </c>
      <c r="BR498" s="128">
        <v>1460.3</v>
      </c>
      <c r="BS498" s="115">
        <f>BQ498-BR498</f>
        <v>41.700000000000045</v>
      </c>
      <c r="BT498" s="128"/>
      <c r="BU498" s="128"/>
      <c r="BV498" s="128" t="s">
        <v>192</v>
      </c>
      <c r="BW498" s="128" t="s">
        <v>192</v>
      </c>
      <c r="BX498" s="127" t="s">
        <v>192</v>
      </c>
      <c r="BY498" s="121" t="s">
        <v>192</v>
      </c>
      <c r="BZ498" s="121" t="s">
        <v>192</v>
      </c>
      <c r="CA498" s="115" t="s">
        <v>192</v>
      </c>
      <c r="CB498" s="115" t="s">
        <v>192</v>
      </c>
      <c r="CC498" s="115" t="s">
        <v>192</v>
      </c>
      <c r="CD498" s="135">
        <v>45017</v>
      </c>
      <c r="CE498" s="115">
        <v>159.5</v>
      </c>
      <c r="CF498" s="138"/>
      <c r="CG498" s="115" t="str">
        <f t="shared" si="404"/>
        <v/>
      </c>
      <c r="CH498" s="115" t="s">
        <v>197</v>
      </c>
      <c r="CI498" s="128"/>
      <c r="CJ498" s="221" t="e">
        <f>IF((BR498-(100*(CM498-CB498))/(9.8*(AB498+AA498)/2))&gt;0,BR498-(100*(CM498-CB498))/(9.8*(AB498+AA498)/2),0)</f>
        <v>#VALUE!</v>
      </c>
      <c r="CK498" s="221" t="e">
        <f t="shared" si="356"/>
        <v>#VALUE!</v>
      </c>
      <c r="CL498" s="115"/>
      <c r="CM498" s="128"/>
      <c r="CN498" s="150"/>
      <c r="CO498" s="141"/>
      <c r="CP498" s="142"/>
      <c r="CQ498" s="119"/>
      <c r="CR498" s="138"/>
      <c r="CS498" s="139"/>
      <c r="CT498" s="138"/>
      <c r="CU498" s="138"/>
      <c r="CV498" s="115"/>
      <c r="CW498" s="115" t="str">
        <f t="shared" si="374"/>
        <v/>
      </c>
      <c r="CX498" s="133"/>
      <c r="CY498" s="116"/>
      <c r="CZ498" s="131"/>
      <c r="DA498" s="145" t="str">
        <f t="shared" si="375"/>
        <v>-</v>
      </c>
      <c r="DB498" s="146">
        <f t="shared" si="390"/>
        <v>0</v>
      </c>
      <c r="DC498" s="142">
        <f t="shared" si="402"/>
        <v>0</v>
      </c>
      <c r="DD498" s="119">
        <f t="shared" si="416"/>
        <v>0</v>
      </c>
      <c r="DE498" s="115">
        <f t="shared" si="392"/>
        <v>0</v>
      </c>
      <c r="DF498" s="121">
        <f t="shared" si="376"/>
        <v>0</v>
      </c>
      <c r="DG498" s="115">
        <f t="shared" si="377"/>
        <v>0</v>
      </c>
      <c r="DH498" s="115">
        <f t="shared" si="378"/>
        <v>0</v>
      </c>
      <c r="DI498" s="150"/>
      <c r="DJ498" s="111">
        <v>44199</v>
      </c>
      <c r="DK498" s="112">
        <v>44220</v>
      </c>
      <c r="DL498" s="113">
        <f t="shared" ca="1" si="409"/>
        <v>884</v>
      </c>
      <c r="DM498" s="114">
        <v>25.5</v>
      </c>
      <c r="DN498" s="114">
        <v>51</v>
      </c>
      <c r="DO498" s="114">
        <v>32</v>
      </c>
      <c r="DP498" s="114" t="s">
        <v>1795</v>
      </c>
      <c r="DQ498" s="112"/>
      <c r="DR498" s="114"/>
      <c r="DS498" s="114"/>
      <c r="DT498" s="115">
        <v>60</v>
      </c>
      <c r="DU498" s="116">
        <f t="shared" si="410"/>
        <v>0</v>
      </c>
      <c r="DV498" s="117">
        <f t="shared" si="411"/>
        <v>0</v>
      </c>
      <c r="DW498" s="118">
        <f t="shared" si="412"/>
        <v>0</v>
      </c>
      <c r="DX498" s="119">
        <f t="shared" si="379"/>
        <v>0</v>
      </c>
      <c r="DY498" s="115">
        <f t="shared" si="413"/>
        <v>0</v>
      </c>
      <c r="DZ498" s="117">
        <f t="shared" si="414"/>
        <v>0</v>
      </c>
      <c r="EA498" s="120">
        <f t="shared" si="414"/>
        <v>0</v>
      </c>
      <c r="EB498" s="119">
        <f t="shared" si="387"/>
        <v>0</v>
      </c>
      <c r="EC498" s="121">
        <f t="shared" si="415"/>
        <v>0</v>
      </c>
      <c r="ED498" s="122"/>
      <c r="EE498" s="145">
        <v>65</v>
      </c>
      <c r="EF498" s="115">
        <v>35</v>
      </c>
      <c r="EG498" s="115">
        <v>26</v>
      </c>
      <c r="EH498" s="115">
        <v>26</v>
      </c>
      <c r="EI498" s="128" t="s">
        <v>218</v>
      </c>
      <c r="EJ498" s="121">
        <v>24</v>
      </c>
      <c r="EK498" s="121">
        <v>720</v>
      </c>
      <c r="EL498" s="149">
        <v>0</v>
      </c>
      <c r="EM498" s="142">
        <v>0</v>
      </c>
      <c r="EN498" s="119">
        <v>0</v>
      </c>
      <c r="EO498" s="115">
        <v>0</v>
      </c>
      <c r="EP498" s="115">
        <v>0</v>
      </c>
      <c r="EQ498" s="115">
        <v>0</v>
      </c>
      <c r="ER498" s="115">
        <v>0</v>
      </c>
      <c r="ES498" s="115">
        <v>0</v>
      </c>
      <c r="ET498" s="150">
        <v>0</v>
      </c>
      <c r="EU498" s="145" t="str">
        <f t="shared" si="400"/>
        <v>-</v>
      </c>
      <c r="EV498" s="115" t="str">
        <f t="shared" si="380"/>
        <v>-</v>
      </c>
      <c r="EW498" s="115" t="str">
        <f t="shared" si="380"/>
        <v>-</v>
      </c>
      <c r="EX498" s="115" t="str">
        <f t="shared" si="380"/>
        <v>-</v>
      </c>
      <c r="EY498" s="115" t="str">
        <f t="shared" si="357"/>
        <v>-</v>
      </c>
      <c r="EZ498" s="115" t="str">
        <f t="shared" si="357"/>
        <v>-</v>
      </c>
      <c r="FA498" s="115" t="str">
        <f t="shared" si="357"/>
        <v>-</v>
      </c>
      <c r="FB498" s="149">
        <f t="shared" si="405"/>
        <v>0</v>
      </c>
      <c r="FC498" s="142">
        <f t="shared" si="405"/>
        <v>0</v>
      </c>
      <c r="FD498" s="119">
        <f t="shared" si="405"/>
        <v>0</v>
      </c>
      <c r="FE498" s="121">
        <f t="shared" si="405"/>
        <v>0</v>
      </c>
      <c r="FF498" s="121">
        <f t="shared" si="407"/>
        <v>0</v>
      </c>
      <c r="FG498" s="121">
        <f t="shared" si="381"/>
        <v>0</v>
      </c>
      <c r="FH498" s="121">
        <f t="shared" si="358"/>
        <v>0</v>
      </c>
      <c r="FI498" s="121">
        <f t="shared" si="355"/>
        <v>0</v>
      </c>
      <c r="FJ498" s="144">
        <f t="shared" si="382"/>
        <v>0</v>
      </c>
      <c r="FK498" s="132">
        <v>0</v>
      </c>
      <c r="FL498" s="132">
        <v>0</v>
      </c>
      <c r="FM498" s="132">
        <v>0</v>
      </c>
      <c r="FN498" s="132">
        <v>0</v>
      </c>
      <c r="FO498" s="132">
        <v>0</v>
      </c>
      <c r="FP498" s="132">
        <v>0</v>
      </c>
      <c r="FQ498" s="149">
        <f t="shared" si="403"/>
        <v>0</v>
      </c>
      <c r="FR498" s="142">
        <f t="shared" si="403"/>
        <v>0</v>
      </c>
      <c r="FS498" s="119">
        <f t="shared" si="403"/>
        <v>0</v>
      </c>
      <c r="FT498" s="121">
        <f t="shared" si="353"/>
        <v>0</v>
      </c>
      <c r="FU498" s="121">
        <f t="shared" si="384"/>
        <v>0</v>
      </c>
      <c r="FV498" s="121">
        <f t="shared" si="384"/>
        <v>0</v>
      </c>
      <c r="FW498" s="121">
        <f t="shared" si="385"/>
        <v>0</v>
      </c>
      <c r="FX498" s="121">
        <f t="shared" si="386"/>
        <v>0</v>
      </c>
      <c r="FY498" s="144">
        <f t="shared" si="386"/>
        <v>0</v>
      </c>
      <c r="FZ498" s="145"/>
      <c r="GA498" s="151" t="s">
        <v>1796</v>
      </c>
      <c r="GB498" s="145"/>
      <c r="GC498" s="151"/>
      <c r="GD498" s="997" t="s">
        <v>220</v>
      </c>
      <c r="GE498" s="1004"/>
      <c r="GF498" s="1004">
        <v>0</v>
      </c>
      <c r="GG498" s="1004"/>
      <c r="GH498" s="1004">
        <v>0</v>
      </c>
      <c r="GI498" s="145"/>
      <c r="GJ498" s="996">
        <v>0</v>
      </c>
      <c r="GK498" s="145"/>
      <c r="GL498" s="996">
        <v>0</v>
      </c>
      <c r="GM498" s="1005"/>
      <c r="GN498" s="996">
        <v>0</v>
      </c>
      <c r="GO498" s="1006"/>
      <c r="GP498" s="996">
        <v>0</v>
      </c>
      <c r="GQ498" s="1006"/>
      <c r="GR498" s="996">
        <v>-0.27256944000000033</v>
      </c>
      <c r="GS498" s="1006"/>
      <c r="GT498" s="996">
        <v>0</v>
      </c>
      <c r="GU498" s="1006"/>
      <c r="GV498" s="996">
        <v>0</v>
      </c>
      <c r="GW498" s="1006"/>
      <c r="GX498" s="996">
        <v>0</v>
      </c>
      <c r="GY498" s="1006"/>
      <c r="GZ498" s="996">
        <v>0</v>
      </c>
      <c r="HA498" s="1006"/>
      <c r="HB498" s="996">
        <v>0</v>
      </c>
      <c r="HC498" s="1006"/>
      <c r="HD498" s="996">
        <v>0</v>
      </c>
      <c r="HE498" s="1006"/>
      <c r="HF498" s="996">
        <v>0</v>
      </c>
      <c r="HG498" s="1006"/>
      <c r="HH498" s="996">
        <v>0</v>
      </c>
      <c r="HI498" s="1006"/>
      <c r="HJ498" s="996">
        <v>0</v>
      </c>
      <c r="HK498" s="1006"/>
      <c r="HL498" s="996">
        <v>0</v>
      </c>
      <c r="HM498" s="1006"/>
      <c r="HN498" s="996">
        <v>0</v>
      </c>
      <c r="HO498" s="1006"/>
      <c r="HP498" s="996">
        <v>0</v>
      </c>
      <c r="HQ498" s="1006"/>
      <c r="HR498" s="996">
        <v>0</v>
      </c>
      <c r="HS498" s="1006" t="s">
        <v>886</v>
      </c>
      <c r="HT498" s="996">
        <v>-7.9762425600000091</v>
      </c>
      <c r="HU498" s="1006" t="s">
        <v>886</v>
      </c>
      <c r="HV498" s="996">
        <v>-11.480787999999984</v>
      </c>
      <c r="HW498" s="1006" t="s">
        <v>146</v>
      </c>
      <c r="HX498" s="996">
        <v>-3.4443200000000047</v>
      </c>
      <c r="HY498" s="1006"/>
      <c r="HZ498" s="996">
        <v>0</v>
      </c>
      <c r="IA498" s="1006" t="s">
        <v>146</v>
      </c>
      <c r="IB498" s="996">
        <v>-1.931160000000002</v>
      </c>
      <c r="IC498" s="1006" t="s">
        <v>146</v>
      </c>
      <c r="ID498" s="996">
        <v>4.8964519999999858</v>
      </c>
      <c r="IE498" s="1006"/>
      <c r="IF498" s="996">
        <v>0</v>
      </c>
      <c r="IG498" s="1006" t="s">
        <v>239</v>
      </c>
      <c r="IH498" s="996">
        <v>15.819628000000016</v>
      </c>
      <c r="II498" s="1006"/>
      <c r="IJ498" s="996">
        <v>0</v>
      </c>
      <c r="IK498" s="1006" t="s">
        <v>349</v>
      </c>
      <c r="IL498" s="996">
        <v>-18.522094892399998</v>
      </c>
      <c r="IM498" s="1006"/>
      <c r="IN498" s="996"/>
      <c r="IO498" s="1006"/>
      <c r="IP498" s="996"/>
      <c r="IQ498" s="1006"/>
      <c r="IR498" s="996"/>
      <c r="IS498" s="1006"/>
      <c r="IT498" s="996"/>
      <c r="IU498" s="1006"/>
      <c r="IV498" s="996"/>
      <c r="IW498" s="1006"/>
      <c r="IX498" s="996"/>
      <c r="IY498" s="1006"/>
      <c r="IZ498" s="996"/>
      <c r="JA498" s="1006"/>
      <c r="JB498" s="996"/>
      <c r="JC498" s="1006"/>
      <c r="JD498" s="996"/>
      <c r="JE498" s="1006"/>
      <c r="JF498" s="996"/>
      <c r="JG498" s="1006"/>
      <c r="JH498" s="996"/>
      <c r="JI498" s="1006"/>
      <c r="JJ498" s="996"/>
      <c r="JK498" s="1007"/>
      <c r="JL498" s="1007"/>
      <c r="JM498" s="1007"/>
      <c r="JN498" s="1007"/>
      <c r="JO498" s="1008"/>
      <c r="JP498" s="1007"/>
      <c r="JQ498" s="1008"/>
      <c r="JR498" s="1007"/>
      <c r="JS498" s="1008"/>
      <c r="JT498" s="1007"/>
      <c r="JU498" s="1008"/>
      <c r="JV498" s="1007"/>
      <c r="JW498" s="1008"/>
      <c r="JX498" s="1007"/>
      <c r="JY498" s="1008"/>
      <c r="JZ498" s="1007"/>
      <c r="KA498" s="1008"/>
      <c r="KB498" s="1007"/>
      <c r="KC498" s="1008"/>
      <c r="KD498" s="1007"/>
      <c r="KE498" s="1008"/>
      <c r="KF498" s="1007"/>
      <c r="KG498" s="1008"/>
      <c r="KH498" s="1007"/>
      <c r="KI498" s="1008"/>
      <c r="KJ498" s="1007"/>
      <c r="KK498" s="1008"/>
      <c r="KL498" s="1007"/>
      <c r="KM498" s="1008"/>
      <c r="KN498" s="1007"/>
      <c r="KO498" s="1008"/>
      <c r="KP498" s="1007"/>
      <c r="KQ498" s="1008"/>
      <c r="KR498" s="1007"/>
      <c r="KS498" s="1008"/>
      <c r="KT498" s="1007"/>
      <c r="KU498" s="1008"/>
      <c r="KV498" s="1007"/>
      <c r="KW498" s="1008"/>
      <c r="KX498" s="1007"/>
      <c r="KY498" s="1008"/>
      <c r="KZ498" s="1007"/>
      <c r="LA498" s="1008"/>
      <c r="LB498" s="1007"/>
      <c r="LC498" s="1008"/>
      <c r="LD498" s="1007"/>
      <c r="LE498" s="1008"/>
      <c r="LF498" s="1007"/>
      <c r="LG498" s="1008"/>
      <c r="LH498" s="1007"/>
      <c r="LI498" s="1008"/>
      <c r="LJ498" s="1007"/>
      <c r="LK498" s="1008"/>
      <c r="LL498" s="1007"/>
      <c r="LM498" s="1008"/>
      <c r="LN498" s="1007"/>
      <c r="LO498" s="1008"/>
      <c r="LP498" s="1007"/>
      <c r="LQ498" s="1008"/>
      <c r="LR498" s="1007"/>
      <c r="LS498" s="1008"/>
      <c r="LT498" s="1007"/>
      <c r="LU498" s="1008"/>
      <c r="LV498" s="1007"/>
      <c r="LW498" s="1008"/>
      <c r="LX498" s="1007"/>
      <c r="LY498" s="1009"/>
      <c r="LZ498" s="1010"/>
      <c r="MA498" s="1011"/>
      <c r="MB498" s="1012"/>
      <c r="MC498" s="995"/>
      <c r="MD498" s="996"/>
      <c r="ME498" s="997" t="s">
        <v>220</v>
      </c>
      <c r="MF498" s="997" t="e">
        <f>CN498-CA498</f>
        <v>#VALUE!</v>
      </c>
      <c r="MG498" s="998"/>
      <c r="NR498" s="1000"/>
      <c r="NS498" s="1000"/>
      <c r="NT498" s="1001"/>
      <c r="NU498" s="1000"/>
      <c r="NV498" s="1001"/>
      <c r="NX498" s="1002"/>
      <c r="NZ498" s="1001"/>
      <c r="OA498" s="1001"/>
      <c r="OC498" s="1003"/>
      <c r="OD498" s="1003"/>
      <c r="OE498" s="1001"/>
      <c r="OF498" s="1003"/>
      <c r="OG498" s="1003"/>
      <c r="ASU498" s="999" t="s">
        <v>455</v>
      </c>
    </row>
    <row r="499" spans="1:466 1191:1191" ht="21" customHeight="1" x14ac:dyDescent="0.25">
      <c r="A499" s="982">
        <f t="shared" si="372"/>
        <v>1596</v>
      </c>
      <c r="B499" s="124">
        <f>SUBTOTAL(103,$J$29:J499)</f>
        <v>471</v>
      </c>
      <c r="C499" s="126">
        <v>45068</v>
      </c>
      <c r="D499" s="124" t="s">
        <v>176</v>
      </c>
      <c r="E499" s="127" t="s">
        <v>177</v>
      </c>
      <c r="F499" s="128" t="s">
        <v>177</v>
      </c>
      <c r="G499" s="127" t="s">
        <v>178</v>
      </c>
      <c r="H499" s="127" t="s">
        <v>408</v>
      </c>
      <c r="I499" s="127" t="s">
        <v>538</v>
      </c>
      <c r="J499" s="152">
        <v>1596</v>
      </c>
      <c r="K499" s="127" t="s">
        <v>1797</v>
      </c>
      <c r="L499" s="130">
        <v>44183</v>
      </c>
      <c r="M499" s="127" t="s">
        <v>230</v>
      </c>
      <c r="N499" s="127" t="s">
        <v>231</v>
      </c>
      <c r="O499" s="127" t="s">
        <v>608</v>
      </c>
      <c r="P499" s="127" t="s">
        <v>292</v>
      </c>
      <c r="Q499" s="85" t="str">
        <f t="shared" ref="Q499:Q502" si="417">IF(R499="","",-4)</f>
        <v/>
      </c>
      <c r="R499" s="130"/>
      <c r="S499" s="128"/>
      <c r="T499" s="131"/>
      <c r="U499" s="132">
        <v>203</v>
      </c>
      <c r="V499" s="121">
        <v>218.2</v>
      </c>
      <c r="W499" s="116">
        <v>0.98</v>
      </c>
      <c r="X499" s="116">
        <v>1.66</v>
      </c>
      <c r="Y499" s="116">
        <f t="shared" si="408"/>
        <v>0.98</v>
      </c>
      <c r="Z499" s="133">
        <v>1.454</v>
      </c>
      <c r="AA499" s="133">
        <v>0.83599999999999997</v>
      </c>
      <c r="AB499" s="133">
        <v>0.72</v>
      </c>
      <c r="AC499" s="121">
        <v>34.299999999999997</v>
      </c>
      <c r="AD499" s="134">
        <v>1.17</v>
      </c>
      <c r="AE499" s="124">
        <v>177.8</v>
      </c>
      <c r="AF499" s="128">
        <v>9.19</v>
      </c>
      <c r="AG499" s="128">
        <v>2041</v>
      </c>
      <c r="AH499" s="127">
        <v>2868</v>
      </c>
      <c r="AI499" s="127">
        <v>2868</v>
      </c>
      <c r="AJ499" s="135"/>
      <c r="AK499" s="128"/>
      <c r="AL499" s="131"/>
      <c r="AM499" s="124" t="s">
        <v>232</v>
      </c>
      <c r="AN499" s="136" t="s">
        <v>1798</v>
      </c>
      <c r="AO499" s="137"/>
      <c r="AP499" s="128">
        <v>2041</v>
      </c>
      <c r="AQ499" s="128"/>
      <c r="AR499" s="128"/>
      <c r="AS499" s="128"/>
      <c r="AT499" s="122"/>
      <c r="AU499" s="124" t="s">
        <v>250</v>
      </c>
      <c r="AV499" s="115">
        <f>VLOOKUP(J499,'[63]ТР нефть'!$J$28:$BP$638,39,0)</f>
        <v>490</v>
      </c>
      <c r="AW499" s="115" t="str">
        <f>VLOOKUP(J499,'[63]ТР нефть'!$J$28:$BP$638,40,0)</f>
        <v>ГП</v>
      </c>
      <c r="AX499" s="115">
        <f>VLOOKUP(J499,'[63]ТР нефть'!$J$28:$BP$638,41,0)</f>
        <v>930</v>
      </c>
      <c r="AY499" s="115" t="str">
        <f>VLOOKUP(J499,'[63]ТР нефть'!$J$28:$BP$638,42,0)</f>
        <v>ГП</v>
      </c>
      <c r="AZ499" s="115">
        <f>VLOOKUP(J499,'[63]ТР нефть'!$J$28:$BP$638,43,0)</f>
        <v>1300</v>
      </c>
      <c r="BA499" s="115" t="str">
        <f>VLOOKUP(J499,'[63]ТР нефть'!$J$28:$BP$638,44,0)</f>
        <v>ГК85 1/8</v>
      </c>
      <c r="BB499" s="115">
        <f>VLOOKUP(J499,'[63]ТР нефть'!$J$28:$BP$638,45,0)</f>
        <v>1510</v>
      </c>
      <c r="BC499" s="115" t="str">
        <f>VLOOKUP(J499,'[63]ТР нефть'!$J$28:$BP$638,46,0)</f>
        <v>ГК84 5/32</v>
      </c>
      <c r="BD499" s="115">
        <f>VLOOKUP(J499,'[63]ТР нефть'!$J$28:$BP$638,47,0)</f>
        <v>1780</v>
      </c>
      <c r="BE499" s="115" t="str">
        <f>VLOOKUP(J499,'[63]ТР нефть'!$J$28:$BP$638,48,0)</f>
        <v>ЦКсОК 5/16</v>
      </c>
      <c r="BF499" s="115" t="str">
        <f>VLOOKUP(J499,'[63]ТР нефть'!$J$28:$BP$638,49,0)</f>
        <v>-</v>
      </c>
      <c r="BG499" s="115" t="str">
        <f>VLOOKUP(J499,'[63]ТР нефть'!$J$28:$BP$638,50,0)</f>
        <v>-</v>
      </c>
      <c r="BH499" s="115" t="str">
        <f>VLOOKUP(J499,'[63]ТР нефть'!$J$28:$BP$638,51,0)</f>
        <v>-</v>
      </c>
      <c r="BI499" s="115" t="str">
        <f>VLOOKUP(J499,'[63]ТР нефть'!$J$28:$BP$638,52,0)</f>
        <v>-</v>
      </c>
      <c r="BJ499" s="115" t="str">
        <f>IF(IFERROR(VLOOKUP(J499,'[63]ТР нефть'!$J$28:$BP$638,53,0),"-")=0,"-",IFERROR(VLOOKUP(J499,'[63]ТР нефть'!$J$28:$BP$638,53,0),"-"))</f>
        <v>-</v>
      </c>
      <c r="BK499" s="138" t="str">
        <f>IF(IFERROR(VLOOKUP(J499,'[63]ТР нефть'!$J$28:$BP$638,54,0),"-")=0,"-",IFERROR(VLOOKUP(J499,'[63]ТР нефть'!$J$28:$BP$638,54,0),"-"))</f>
        <v>-</v>
      </c>
      <c r="BL499" s="138" t="str">
        <f>IF(IFERROR(VLOOKUP(J499,'[63]ТР нефть'!$J$28:$BP$638,55,0),"-")=0,"-",IFERROR(VLOOKUP(J499,'[63]ТР нефть'!$J$28:$BP$638,55,0),"-"))</f>
        <v>-</v>
      </c>
      <c r="BM499" s="138" t="str">
        <f>IF(IFERROR(VLOOKUP(J499,'[63]ТР нефть'!$J$28:$BP$638,56,0),"-")=0,"-",IFERROR(VLOOKUP(J499,'[63]ТР нефть'!$J$28:$BP$638,56,0),"-"))</f>
        <v>-</v>
      </c>
      <c r="BN499" s="138" t="str">
        <f>IF(IFERROR(VLOOKUP(J499,'[63]ТР нефть'!$J$28:$BP$638,57,0),"-")=0,"-",IFERROR(VLOOKUP(J499,'[63]ТР нефть'!$J$28:$BP$638,57,0),"-"))</f>
        <v>-</v>
      </c>
      <c r="BO499" s="115" t="str">
        <f>IF(IFERROR(VLOOKUP(J499,'[63]ТР нефть'!$J$28:$BP$638,58,0),"-")=0,"-",IFERROR(VLOOKUP(J499,'[63]ТР нефть'!$J$28:$BP$638,58,0),"-"))</f>
        <v>-</v>
      </c>
      <c r="BP499" s="115" t="str">
        <f>IF(IFERROR(VLOOKUP(J499,'[63]ТР нефть'!$J$28:$BP$638,59,0),"-")=0,"-",IFERROR(VLOOKUP(J499,'[63]ТР нефть'!$J$28:$BP$638,59,0),"-"))</f>
        <v>-</v>
      </c>
      <c r="BQ499" s="138">
        <v>2100</v>
      </c>
      <c r="BR499" s="128"/>
      <c r="BS499" s="115"/>
      <c r="BT499" s="128">
        <v>73</v>
      </c>
      <c r="BU499" s="128">
        <v>5.5</v>
      </c>
      <c r="BV499" s="127">
        <v>18</v>
      </c>
      <c r="BW499" s="127" t="s">
        <v>217</v>
      </c>
      <c r="BX499" s="127" t="s">
        <v>218</v>
      </c>
      <c r="BY499" s="139">
        <v>24</v>
      </c>
      <c r="BZ499" s="139">
        <v>720</v>
      </c>
      <c r="CA499" s="138">
        <v>24</v>
      </c>
      <c r="CB499" s="138">
        <v>60</v>
      </c>
      <c r="CC499" s="138">
        <v>23</v>
      </c>
      <c r="CD499" s="135">
        <v>45017</v>
      </c>
      <c r="CE499" s="138">
        <v>125.7</v>
      </c>
      <c r="CF499" s="138"/>
      <c r="CG499" s="138"/>
      <c r="CH499" s="138"/>
      <c r="CI499" s="127"/>
      <c r="CJ499" s="138"/>
      <c r="CK499" s="138"/>
      <c r="CL499" s="99"/>
      <c r="CM499" s="127"/>
      <c r="CN499" s="154">
        <v>62</v>
      </c>
      <c r="CO499" s="141">
        <f t="shared" si="373"/>
        <v>5.016</v>
      </c>
      <c r="CP499" s="142">
        <v>6</v>
      </c>
      <c r="CQ499" s="143">
        <v>0</v>
      </c>
      <c r="CR499" s="138">
        <v>81</v>
      </c>
      <c r="CS499" s="139"/>
      <c r="CT499" s="138"/>
      <c r="CU499" s="138">
        <f t="shared" ref="CU499:CU559" si="418">IF(CR499&lt;&gt;"0",CR499-CS499,"0")</f>
        <v>81</v>
      </c>
      <c r="CV499" s="115">
        <f t="shared" ref="CV499:CV559" si="419">(CR499-CS499)*1000/CO499</f>
        <v>16148.325358851675</v>
      </c>
      <c r="CW499" s="115" t="str">
        <f t="shared" si="374"/>
        <v/>
      </c>
      <c r="CX499" s="133">
        <f t="shared" ref="CX499:CX559" si="420">IF(CP499&lt;&gt;0,CP499/(CE499-CN499),0)</f>
        <v>9.4191522762951327E-2</v>
      </c>
      <c r="CY499" s="116"/>
      <c r="CZ499" s="131" t="s">
        <v>612</v>
      </c>
      <c r="DA499" s="145" t="str">
        <f t="shared" si="375"/>
        <v>Фон.</v>
      </c>
      <c r="DB499" s="146">
        <f t="shared" si="390"/>
        <v>5.016</v>
      </c>
      <c r="DC499" s="142">
        <f t="shared" si="402"/>
        <v>6</v>
      </c>
      <c r="DD499" s="119">
        <f t="shared" si="416"/>
        <v>0</v>
      </c>
      <c r="DE499" s="115">
        <f t="shared" si="392"/>
        <v>81</v>
      </c>
      <c r="DF499" s="121">
        <f t="shared" si="376"/>
        <v>0</v>
      </c>
      <c r="DG499" s="115">
        <f t="shared" si="377"/>
        <v>16148.325358851675</v>
      </c>
      <c r="DH499" s="115">
        <f t="shared" si="378"/>
        <v>62</v>
      </c>
      <c r="DI499" s="147"/>
      <c r="DJ499" s="111"/>
      <c r="DK499" s="112">
        <v>44183.083333333336</v>
      </c>
      <c r="DL499" s="113">
        <f t="shared" ca="1" si="409"/>
        <v>920.91666666666424</v>
      </c>
      <c r="DM499" s="114"/>
      <c r="DN499" s="114"/>
      <c r="DO499" s="114"/>
      <c r="DP499" s="114"/>
      <c r="DQ499" s="112"/>
      <c r="DR499" s="114"/>
      <c r="DS499" s="114"/>
      <c r="DT499" s="115">
        <v>60</v>
      </c>
      <c r="DU499" s="116">
        <f t="shared" si="410"/>
        <v>9.3331816907727586E-2</v>
      </c>
      <c r="DV499" s="117">
        <f t="shared" si="411"/>
        <v>5.1262687100203195</v>
      </c>
      <c r="DW499" s="118">
        <f t="shared" si="412"/>
        <v>6.1319003708377027</v>
      </c>
      <c r="DX499" s="119">
        <f t="shared" si="379"/>
        <v>0</v>
      </c>
      <c r="DY499" s="115">
        <f t="shared" si="413"/>
        <v>82.780655006308976</v>
      </c>
      <c r="DZ499" s="117">
        <f t="shared" si="414"/>
        <v>0.11026871002031946</v>
      </c>
      <c r="EA499" s="120">
        <f t="shared" si="414"/>
        <v>0.13190037083770267</v>
      </c>
      <c r="EB499" s="119">
        <f t="shared" si="387"/>
        <v>0</v>
      </c>
      <c r="EC499" s="121">
        <f t="shared" si="415"/>
        <v>1.7806550063089759</v>
      </c>
      <c r="ED499" s="122"/>
      <c r="EE499" s="145">
        <v>18</v>
      </c>
      <c r="EF499" s="115">
        <v>24</v>
      </c>
      <c r="EG499" s="115">
        <v>60</v>
      </c>
      <c r="EH499" s="115">
        <v>23</v>
      </c>
      <c r="EI499" s="128" t="s">
        <v>218</v>
      </c>
      <c r="EJ499" s="121">
        <v>24</v>
      </c>
      <c r="EK499" s="121">
        <v>720</v>
      </c>
      <c r="EL499" s="149">
        <v>5.016</v>
      </c>
      <c r="EM499" s="142">
        <v>6</v>
      </c>
      <c r="EN499" s="119">
        <v>0</v>
      </c>
      <c r="EO499" s="115">
        <v>81</v>
      </c>
      <c r="EP499" s="115">
        <v>16148.325358851675</v>
      </c>
      <c r="EQ499" s="115">
        <v>0</v>
      </c>
      <c r="ER499" s="115">
        <v>0</v>
      </c>
      <c r="ES499" s="115">
        <v>62</v>
      </c>
      <c r="ET499" s="150">
        <v>9.4191522762951327E-2</v>
      </c>
      <c r="EU499" s="145">
        <f t="shared" si="400"/>
        <v>18</v>
      </c>
      <c r="EV499" s="115">
        <f t="shared" si="380"/>
        <v>24</v>
      </c>
      <c r="EW499" s="115">
        <f t="shared" si="380"/>
        <v>60</v>
      </c>
      <c r="EX499" s="115">
        <f t="shared" si="380"/>
        <v>23</v>
      </c>
      <c r="EY499" s="115" t="str">
        <f t="shared" si="357"/>
        <v>Периодический</v>
      </c>
      <c r="EZ499" s="115">
        <f t="shared" si="357"/>
        <v>24</v>
      </c>
      <c r="FA499" s="115">
        <f t="shared" si="357"/>
        <v>720</v>
      </c>
      <c r="FB499" s="149">
        <f t="shared" si="405"/>
        <v>5.016</v>
      </c>
      <c r="FC499" s="142">
        <f t="shared" si="405"/>
        <v>6</v>
      </c>
      <c r="FD499" s="119">
        <f t="shared" si="405"/>
        <v>0</v>
      </c>
      <c r="FE499" s="121">
        <f t="shared" si="405"/>
        <v>81</v>
      </c>
      <c r="FF499" s="121">
        <f t="shared" si="407"/>
        <v>16148.325358851675</v>
      </c>
      <c r="FG499" s="121">
        <f t="shared" si="381"/>
        <v>0</v>
      </c>
      <c r="FH499" s="121">
        <f t="shared" si="358"/>
        <v>0</v>
      </c>
      <c r="FI499" s="121">
        <f t="shared" si="355"/>
        <v>62</v>
      </c>
      <c r="FJ499" s="144">
        <f t="shared" si="382"/>
        <v>9.4191522762951327E-2</v>
      </c>
      <c r="FK499" s="132">
        <f t="shared" si="383"/>
        <v>0</v>
      </c>
      <c r="FL499" s="115">
        <f t="shared" si="383"/>
        <v>0</v>
      </c>
      <c r="FM499" s="115">
        <f t="shared" si="383"/>
        <v>0</v>
      </c>
      <c r="FN499" s="115">
        <f t="shared" si="371"/>
        <v>0</v>
      </c>
      <c r="FO499" s="115">
        <f t="shared" si="403"/>
        <v>0</v>
      </c>
      <c r="FP499" s="115">
        <f t="shared" si="403"/>
        <v>0</v>
      </c>
      <c r="FQ499" s="149">
        <f t="shared" si="403"/>
        <v>0</v>
      </c>
      <c r="FR499" s="142">
        <f t="shared" si="403"/>
        <v>0</v>
      </c>
      <c r="FS499" s="119">
        <f t="shared" si="403"/>
        <v>0</v>
      </c>
      <c r="FT499" s="121">
        <f t="shared" si="353"/>
        <v>0</v>
      </c>
      <c r="FU499" s="121">
        <f t="shared" si="384"/>
        <v>0</v>
      </c>
      <c r="FV499" s="121">
        <f t="shared" si="384"/>
        <v>0</v>
      </c>
      <c r="FW499" s="121">
        <f t="shared" si="385"/>
        <v>0</v>
      </c>
      <c r="FX499" s="121">
        <f t="shared" si="386"/>
        <v>0</v>
      </c>
      <c r="FY499" s="144">
        <f t="shared" si="386"/>
        <v>0</v>
      </c>
      <c r="FZ499" s="145"/>
      <c r="GA499" s="1024"/>
      <c r="GB499" s="145"/>
      <c r="GC499" s="1024" t="s">
        <v>1799</v>
      </c>
      <c r="GD499" s="997" t="s">
        <v>416</v>
      </c>
      <c r="GE499" s="1004"/>
      <c r="GF499" s="1004">
        <v>0</v>
      </c>
      <c r="GG499" s="1004"/>
      <c r="GH499" s="1004">
        <v>0</v>
      </c>
      <c r="GI499" s="145"/>
      <c r="GJ499" s="996">
        <v>0</v>
      </c>
      <c r="GK499" s="145"/>
      <c r="GL499" s="996">
        <v>1.6000000000000014E-2</v>
      </c>
      <c r="GM499" s="1005"/>
      <c r="GN499" s="996">
        <v>0</v>
      </c>
      <c r="GO499" s="1006"/>
      <c r="GP499" s="996">
        <v>0</v>
      </c>
      <c r="GQ499" s="1006"/>
      <c r="GR499" s="996">
        <v>0</v>
      </c>
      <c r="GS499" s="1006" t="s">
        <v>199</v>
      </c>
      <c r="GT499" s="996">
        <v>-4.1541258000000001</v>
      </c>
      <c r="GU499" s="1006"/>
      <c r="GV499" s="996">
        <v>1.0304999999999787E-2</v>
      </c>
      <c r="GW499" s="1006"/>
      <c r="GX499" s="996">
        <v>0</v>
      </c>
      <c r="GY499" s="1006"/>
      <c r="GZ499" s="996">
        <v>0</v>
      </c>
      <c r="HA499" s="1006"/>
      <c r="HB499" s="996">
        <v>0</v>
      </c>
      <c r="HC499" s="1006" t="s">
        <v>241</v>
      </c>
      <c r="HD499" s="996">
        <v>0</v>
      </c>
      <c r="HE499" s="1006"/>
      <c r="HF499" s="996">
        <v>0</v>
      </c>
      <c r="HG499" s="1006"/>
      <c r="HH499" s="996">
        <v>0</v>
      </c>
      <c r="HI499" s="1006"/>
      <c r="HJ499" s="996">
        <v>0</v>
      </c>
      <c r="HK499" s="1006"/>
      <c r="HL499" s="996">
        <v>0</v>
      </c>
      <c r="HM499" s="1006"/>
      <c r="HN499" s="996">
        <v>0</v>
      </c>
      <c r="HO499" s="1006" t="s">
        <v>204</v>
      </c>
      <c r="HP499" s="996">
        <v>5.2014561500000003</v>
      </c>
      <c r="HQ499" s="1006"/>
      <c r="HR499" s="996">
        <v>0.83566559999999956</v>
      </c>
      <c r="HS499" s="1006"/>
      <c r="HT499" s="996">
        <v>0</v>
      </c>
      <c r="HU499" s="1006"/>
      <c r="HV499" s="996">
        <v>0</v>
      </c>
      <c r="HW499" s="1006"/>
      <c r="HX499" s="996">
        <v>0</v>
      </c>
      <c r="HY499" s="1006" t="s">
        <v>221</v>
      </c>
      <c r="HZ499" s="996">
        <v>-8.8463714239999973</v>
      </c>
      <c r="IA499" s="1006"/>
      <c r="IB499" s="996">
        <v>0</v>
      </c>
      <c r="IC499" s="1006" t="s">
        <v>223</v>
      </c>
      <c r="ID499" s="996">
        <v>-7.6731557760000033</v>
      </c>
      <c r="IE499" s="1006"/>
      <c r="IF499" s="996">
        <v>0</v>
      </c>
      <c r="IG499" s="1006"/>
      <c r="IH499" s="996">
        <v>0</v>
      </c>
      <c r="II499" s="1006"/>
      <c r="IJ499" s="996">
        <v>0</v>
      </c>
      <c r="IK499" s="1006" t="s">
        <v>25</v>
      </c>
      <c r="IL499" s="996">
        <v>23.622684800000002</v>
      </c>
      <c r="IM499" s="1006"/>
      <c r="IN499" s="996"/>
      <c r="IO499" s="1006"/>
      <c r="IP499" s="996"/>
      <c r="IQ499" s="1006"/>
      <c r="IR499" s="996"/>
      <c r="IS499" s="1006"/>
      <c r="IT499" s="996"/>
      <c r="IU499" s="1006"/>
      <c r="IV499" s="996"/>
      <c r="IW499" s="1006"/>
      <c r="IX499" s="996"/>
      <c r="IY499" s="1006"/>
      <c r="IZ499" s="996"/>
      <c r="JA499" s="1006"/>
      <c r="JB499" s="996"/>
      <c r="JC499" s="1006"/>
      <c r="JD499" s="996"/>
      <c r="JE499" s="1006"/>
      <c r="JF499" s="996"/>
      <c r="JG499" s="1006"/>
      <c r="JH499" s="996"/>
      <c r="JI499" s="1006"/>
      <c r="JJ499" s="996"/>
      <c r="JK499" s="1007"/>
      <c r="JL499" s="1007"/>
      <c r="JM499" s="1007"/>
      <c r="JN499" s="1007"/>
      <c r="JO499" s="1008"/>
      <c r="JP499" s="1007"/>
      <c r="JQ499" s="1008"/>
      <c r="JR499" s="1007"/>
      <c r="JS499" s="1008"/>
      <c r="JT499" s="1007"/>
      <c r="JU499" s="1008"/>
      <c r="JV499" s="1007"/>
      <c r="JW499" s="1008"/>
      <c r="JX499" s="1007"/>
      <c r="JY499" s="1008"/>
      <c r="JZ499" s="1007"/>
      <c r="KA499" s="1008"/>
      <c r="KB499" s="1007"/>
      <c r="KC499" s="1008"/>
      <c r="KD499" s="1007"/>
      <c r="KE499" s="1008"/>
      <c r="KF499" s="1007"/>
      <c r="KG499" s="1008"/>
      <c r="KH499" s="1007"/>
      <c r="KI499" s="1008"/>
      <c r="KJ499" s="1007"/>
      <c r="KK499" s="1008"/>
      <c r="KL499" s="1007"/>
      <c r="KM499" s="1008"/>
      <c r="KN499" s="1007"/>
      <c r="KO499" s="1008"/>
      <c r="KP499" s="1007"/>
      <c r="KQ499" s="1008"/>
      <c r="KR499" s="1007"/>
      <c r="KS499" s="1008"/>
      <c r="KT499" s="1007"/>
      <c r="KU499" s="1008"/>
      <c r="KV499" s="1007"/>
      <c r="KW499" s="1008"/>
      <c r="KX499" s="1007"/>
      <c r="KY499" s="1008"/>
      <c r="KZ499" s="1007"/>
      <c r="LA499" s="1008"/>
      <c r="LB499" s="1007"/>
      <c r="LC499" s="1008"/>
      <c r="LD499" s="1007"/>
      <c r="LE499" s="1008"/>
      <c r="LF499" s="1007"/>
      <c r="LG499" s="1008"/>
      <c r="LH499" s="1007"/>
      <c r="LI499" s="1008"/>
      <c r="LJ499" s="1007"/>
      <c r="LK499" s="1008"/>
      <c r="LL499" s="1007"/>
      <c r="LM499" s="1008"/>
      <c r="LN499" s="1007"/>
      <c r="LO499" s="1008"/>
      <c r="LP499" s="1007"/>
      <c r="LQ499" s="1008"/>
      <c r="LR499" s="1007"/>
      <c r="LS499" s="1008"/>
      <c r="LT499" s="1007"/>
      <c r="LU499" s="1008"/>
      <c r="LV499" s="1007"/>
      <c r="LW499" s="1008"/>
      <c r="LX499" s="1007"/>
      <c r="LY499" s="1009"/>
      <c r="LZ499" s="1010"/>
      <c r="MA499" s="1011"/>
      <c r="MB499" s="1012"/>
      <c r="MC499" s="995"/>
      <c r="MD499" s="996"/>
      <c r="ME499" s="997" t="s">
        <v>416</v>
      </c>
      <c r="MF499" s="997"/>
      <c r="MG499" s="998"/>
      <c r="NR499" s="1000"/>
      <c r="NS499" s="1000"/>
      <c r="NT499" s="1001"/>
      <c r="NU499" s="1000"/>
      <c r="NV499" s="1001"/>
      <c r="NX499" s="1002"/>
      <c r="NZ499" s="1001"/>
      <c r="OA499" s="1001"/>
      <c r="OC499" s="1003"/>
      <c r="OD499" s="1003"/>
      <c r="OE499" s="1001"/>
      <c r="OF499" s="1003"/>
      <c r="OG499" s="1003"/>
      <c r="QX499" s="1000">
        <f>CN499-CA499</f>
        <v>38</v>
      </c>
      <c r="ASU499" s="999" t="s">
        <v>292</v>
      </c>
    </row>
    <row r="500" spans="1:466 1191:1191" ht="21" customHeight="1" x14ac:dyDescent="0.25">
      <c r="A500" s="982">
        <f t="shared" si="372"/>
        <v>1597</v>
      </c>
      <c r="B500" s="124">
        <f>SUBTOTAL(103,$J$29:J500)</f>
        <v>472</v>
      </c>
      <c r="C500" s="126">
        <v>45068</v>
      </c>
      <c r="D500" s="124" t="s">
        <v>176</v>
      </c>
      <c r="E500" s="127" t="s">
        <v>177</v>
      </c>
      <c r="F500" s="128" t="s">
        <v>177</v>
      </c>
      <c r="G500" s="127" t="s">
        <v>178</v>
      </c>
      <c r="H500" s="127" t="s">
        <v>408</v>
      </c>
      <c r="I500" s="127" t="s">
        <v>634</v>
      </c>
      <c r="J500" s="152">
        <v>1597</v>
      </c>
      <c r="K500" s="127" t="s">
        <v>1323</v>
      </c>
      <c r="L500" s="130">
        <v>43764</v>
      </c>
      <c r="M500" s="127" t="s">
        <v>230</v>
      </c>
      <c r="N500" s="127" t="s">
        <v>245</v>
      </c>
      <c r="O500" s="127" t="s">
        <v>185</v>
      </c>
      <c r="P500" s="127" t="s">
        <v>186</v>
      </c>
      <c r="Q500" s="85" t="str">
        <f t="shared" si="417"/>
        <v/>
      </c>
      <c r="R500" s="130"/>
      <c r="S500" s="128" t="s">
        <v>156</v>
      </c>
      <c r="T500" s="131"/>
      <c r="U500" s="132">
        <v>203</v>
      </c>
      <c r="V500" s="121">
        <v>218.2</v>
      </c>
      <c r="W500" s="116">
        <v>0.98</v>
      </c>
      <c r="X500" s="116">
        <v>1.66</v>
      </c>
      <c r="Y500" s="116">
        <f t="shared" si="408"/>
        <v>0.98</v>
      </c>
      <c r="Z500" s="133">
        <v>1.454</v>
      </c>
      <c r="AA500" s="133">
        <v>0.83599999999999997</v>
      </c>
      <c r="AB500" s="133">
        <v>0.72</v>
      </c>
      <c r="AC500" s="121">
        <v>34.299999999999997</v>
      </c>
      <c r="AD500" s="134">
        <v>1.17</v>
      </c>
      <c r="AE500" s="124">
        <v>177.8</v>
      </c>
      <c r="AF500" s="128">
        <v>9.19</v>
      </c>
      <c r="AG500" s="128">
        <v>2067</v>
      </c>
      <c r="AH500" s="127">
        <v>2584</v>
      </c>
      <c r="AI500" s="127">
        <v>2584</v>
      </c>
      <c r="AJ500" s="135"/>
      <c r="AK500" s="128"/>
      <c r="AL500" s="131"/>
      <c r="AM500" s="124" t="s">
        <v>232</v>
      </c>
      <c r="AN500" s="136" t="s">
        <v>1800</v>
      </c>
      <c r="AO500" s="137">
        <v>79.87</v>
      </c>
      <c r="AP500" s="128">
        <v>2067</v>
      </c>
      <c r="AQ500" s="128">
        <v>191</v>
      </c>
      <c r="AR500" s="128"/>
      <c r="AS500" s="128"/>
      <c r="AT500" s="122"/>
      <c r="AU500" s="124" t="s">
        <v>189</v>
      </c>
      <c r="AV500" s="115">
        <f>VLOOKUP(J500,'[63]ТР нефть'!$J$28:$BP$638,39,0)</f>
        <v>440</v>
      </c>
      <c r="AW500" s="115" t="str">
        <f>VLOOKUP(J500,'[63]ТР нефть'!$J$28:$BP$638,40,0)</f>
        <v>ГП</v>
      </c>
      <c r="AX500" s="115">
        <f>VLOOKUP(J500,'[63]ТР нефть'!$J$28:$BP$638,41,0)</f>
        <v>820</v>
      </c>
      <c r="AY500" s="115" t="str">
        <f>VLOOKUP(J500,'[63]ТР нефть'!$J$28:$BP$638,42,0)</f>
        <v>ГК 78/3</v>
      </c>
      <c r="AZ500" s="115">
        <f>VLOOKUP(J500,'[63]ТР нефть'!$J$28:$BP$638,43,0)</f>
        <v>1114.6699710939999</v>
      </c>
      <c r="BA500" s="115" t="str">
        <f>VLOOKUP(J500,'[63]ТР нефть'!$J$28:$BP$638,44,0)</f>
        <v>ГК 78 1/8</v>
      </c>
      <c r="BB500" s="115">
        <f>VLOOKUP(J500,'[63]ТР нефть'!$J$28:$BP$638,45,0)</f>
        <v>1360</v>
      </c>
      <c r="BC500" s="115" t="str">
        <f>VLOOKUP(J500,'[63]ТР нефть'!$J$28:$BP$638,46,0)</f>
        <v>ГК 77 5/32</v>
      </c>
      <c r="BD500" s="115">
        <f>VLOOKUP(J500,'[63]ТР нефть'!$J$28:$BP$638,47,0)</f>
        <v>1580</v>
      </c>
      <c r="BE500" s="115" t="str">
        <f>VLOOKUP(J500,'[63]ТР нефть'!$J$28:$BP$638,48,0)</f>
        <v>ГК 76/3</v>
      </c>
      <c r="BF500" s="115">
        <f>VLOOKUP(J500,'[63]ТР нефть'!$J$28:$BP$638,49,0)</f>
        <v>1850</v>
      </c>
      <c r="BG500" s="115" t="str">
        <f>VLOOKUP(J500,'[63]ТР нефть'!$J$28:$BP$638,50,0)</f>
        <v>ЦКсОК 5/16</v>
      </c>
      <c r="BH500" s="115">
        <f>VLOOKUP(J500,'[63]ТР нефть'!$J$28:$BP$638,51,0)</f>
        <v>1860</v>
      </c>
      <c r="BI500" s="115" t="str">
        <f>VLOOKUP(J500,'[63]ТР нефть'!$J$28:$BP$638,52,0)</f>
        <v>закрыт</v>
      </c>
      <c r="BJ500" s="115" t="str">
        <f>IF(IFERROR(VLOOKUP(J500,'[63]ТР нефть'!$J$28:$BP$638,53,0),"-")=0,"-",IFERROR(VLOOKUP(J500,'[63]ТР нефть'!$J$28:$BP$638,53,0),"-"))</f>
        <v>-</v>
      </c>
      <c r="BK500" s="138" t="str">
        <f>IF(IFERROR(VLOOKUP(J500,'[63]ТР нефть'!$J$28:$BP$638,54,0),"-")=0,"-",IFERROR(VLOOKUP(J500,'[63]ТР нефть'!$J$28:$BP$638,54,0),"-"))</f>
        <v>-</v>
      </c>
      <c r="BL500" s="138" t="str">
        <f>IF(IFERROR(VLOOKUP(J500,'[63]ТР нефть'!$J$28:$BP$638,55,0),"-")=0,"-",IFERROR(VLOOKUP(J500,'[63]ТР нефть'!$J$28:$BP$638,55,0),"-"))</f>
        <v>-</v>
      </c>
      <c r="BM500" s="138" t="str">
        <f>IF(IFERROR(VLOOKUP(J500,'[63]ТР нефть'!$J$28:$BP$638,56,0),"-")=0,"-",IFERROR(VLOOKUP(J500,'[63]ТР нефть'!$J$28:$BP$638,56,0),"-"))</f>
        <v>-</v>
      </c>
      <c r="BN500" s="138" t="str">
        <f>IF(IFERROR(VLOOKUP(J500,'[63]ТР нефть'!$J$28:$BP$638,57,0),"-")=0,"-",IFERROR(VLOOKUP(J500,'[63]ТР нефть'!$J$28:$BP$638,57,0),"-"))</f>
        <v>-</v>
      </c>
      <c r="BO500" s="115" t="str">
        <f>IF(IFERROR(VLOOKUP(J500,'[63]ТР нефть'!$J$28:$BP$638,58,0),"-")=0,"-",IFERROR(VLOOKUP(J500,'[63]ТР нефть'!$J$28:$BP$638,58,0),"-"))</f>
        <v>-</v>
      </c>
      <c r="BP500" s="115" t="str">
        <f>IF(IFERROR(VLOOKUP(J500,'[63]ТР нефть'!$J$28:$BP$638,59,0),"-")=0,"-",IFERROR(VLOOKUP(J500,'[63]ТР нефть'!$J$28:$BP$638,59,0),"-"))</f>
        <v>-</v>
      </c>
      <c r="BQ500" s="138">
        <v>2114.0500000000002</v>
      </c>
      <c r="BR500" s="128">
        <v>1897</v>
      </c>
      <c r="BS500" s="115">
        <f t="shared" ref="BS500:BS506" si="421">BQ500-BR500</f>
        <v>217.05000000000018</v>
      </c>
      <c r="BT500" s="128">
        <v>73</v>
      </c>
      <c r="BU500" s="128">
        <v>5.5</v>
      </c>
      <c r="BV500" s="127">
        <v>65</v>
      </c>
      <c r="BW500" s="127" t="s">
        <v>217</v>
      </c>
      <c r="BX500" s="127" t="s">
        <v>195</v>
      </c>
      <c r="BY500" s="139">
        <v>24</v>
      </c>
      <c r="BZ500" s="139">
        <v>0</v>
      </c>
      <c r="CA500" s="138">
        <v>22</v>
      </c>
      <c r="CB500" s="138">
        <v>38</v>
      </c>
      <c r="CC500" s="138">
        <v>22</v>
      </c>
      <c r="CD500" s="135">
        <v>45017</v>
      </c>
      <c r="CE500" s="138">
        <v>91</v>
      </c>
      <c r="CF500" s="138">
        <v>68</v>
      </c>
      <c r="CG500" s="138" t="str">
        <f t="shared" ref="CG500:CG509" si="422">IF(CH500&lt;&gt;"","В работе","")</f>
        <v>В работе</v>
      </c>
      <c r="CH500" s="138" t="s">
        <v>272</v>
      </c>
      <c r="CI500" s="127">
        <v>6</v>
      </c>
      <c r="CJ500" s="138"/>
      <c r="CK500" s="138"/>
      <c r="CL500" s="99"/>
      <c r="CM500" s="99"/>
      <c r="CN500" s="140">
        <v>47</v>
      </c>
      <c r="CO500" s="159">
        <f t="shared" si="373"/>
        <v>8.36</v>
      </c>
      <c r="CP500" s="160">
        <v>10</v>
      </c>
      <c r="CQ500" s="161">
        <v>0</v>
      </c>
      <c r="CR500" s="173">
        <v>25</v>
      </c>
      <c r="CS500" s="139">
        <v>8.4</v>
      </c>
      <c r="CT500" s="138"/>
      <c r="CU500" s="138">
        <f t="shared" si="418"/>
        <v>16.600000000000001</v>
      </c>
      <c r="CV500" s="115">
        <f t="shared" si="419"/>
        <v>1985.6459330143541</v>
      </c>
      <c r="CW500" s="115">
        <f t="shared" si="374"/>
        <v>1004.7846889952154</v>
      </c>
      <c r="CX500" s="133">
        <f t="shared" si="420"/>
        <v>0.22727272727272727</v>
      </c>
      <c r="CY500" s="116"/>
      <c r="CZ500" s="131"/>
      <c r="DA500" s="145" t="str">
        <f t="shared" si="375"/>
        <v>Газлифт</v>
      </c>
      <c r="DB500" s="146">
        <f t="shared" si="390"/>
        <v>8.36</v>
      </c>
      <c r="DC500" s="142">
        <f t="shared" si="402"/>
        <v>10</v>
      </c>
      <c r="DD500" s="119">
        <f t="shared" si="416"/>
        <v>0</v>
      </c>
      <c r="DE500" s="115">
        <f t="shared" si="392"/>
        <v>16.600000000000001</v>
      </c>
      <c r="DF500" s="121">
        <f t="shared" si="376"/>
        <v>8.4</v>
      </c>
      <c r="DG500" s="115">
        <f t="shared" si="377"/>
        <v>1985.6459330143541</v>
      </c>
      <c r="DH500" s="115">
        <f t="shared" si="378"/>
        <v>47</v>
      </c>
      <c r="DI500" s="147"/>
      <c r="DJ500" s="111"/>
      <c r="DK500" s="112">
        <v>43764.083333333336</v>
      </c>
      <c r="DL500" s="113">
        <f t="shared" ca="1" si="409"/>
        <v>1339.9166666666642</v>
      </c>
      <c r="DM500" s="114"/>
      <c r="DN500" s="114"/>
      <c r="DO500" s="114"/>
      <c r="DP500" s="114"/>
      <c r="DQ500" s="112" t="s">
        <v>1801</v>
      </c>
      <c r="DR500" s="114" t="s">
        <v>198</v>
      </c>
      <c r="DS500" s="114"/>
      <c r="DT500" s="115">
        <v>53</v>
      </c>
      <c r="DU500" s="116">
        <f t="shared" si="410"/>
        <v>0.26315789473684209</v>
      </c>
      <c r="DV500" s="117">
        <f t="shared" si="411"/>
        <v>8.36</v>
      </c>
      <c r="DW500" s="118">
        <f t="shared" si="412"/>
        <v>10</v>
      </c>
      <c r="DX500" s="119">
        <f t="shared" si="379"/>
        <v>0</v>
      </c>
      <c r="DY500" s="115">
        <f t="shared" si="413"/>
        <v>16.600000000000001</v>
      </c>
      <c r="DZ500" s="117">
        <f t="shared" si="414"/>
        <v>0</v>
      </c>
      <c r="EA500" s="120">
        <f t="shared" si="414"/>
        <v>0</v>
      </c>
      <c r="EB500" s="119">
        <f t="shared" si="387"/>
        <v>0</v>
      </c>
      <c r="EC500" s="121">
        <f t="shared" si="415"/>
        <v>0</v>
      </c>
      <c r="ED500" s="122"/>
      <c r="EE500" s="145">
        <v>65</v>
      </c>
      <c r="EF500" s="115">
        <v>23</v>
      </c>
      <c r="EG500" s="115">
        <v>37</v>
      </c>
      <c r="EH500" s="115">
        <v>23</v>
      </c>
      <c r="EI500" s="128" t="s">
        <v>195</v>
      </c>
      <c r="EJ500" s="121">
        <v>24</v>
      </c>
      <c r="EK500" s="121">
        <v>0</v>
      </c>
      <c r="EL500" s="162">
        <v>6.3535999999999992</v>
      </c>
      <c r="EM500" s="142">
        <v>7.6</v>
      </c>
      <c r="EN500" s="119">
        <v>0</v>
      </c>
      <c r="EO500" s="115">
        <v>12</v>
      </c>
      <c r="EP500" s="115">
        <v>692.52077562326883</v>
      </c>
      <c r="EQ500" s="115">
        <v>64</v>
      </c>
      <c r="ER500" s="115">
        <v>7.6</v>
      </c>
      <c r="ES500" s="115">
        <v>49</v>
      </c>
      <c r="ET500" s="150">
        <v>0.18095238095238095</v>
      </c>
      <c r="EU500" s="145">
        <f t="shared" si="400"/>
        <v>65</v>
      </c>
      <c r="EV500" s="115">
        <f t="shared" si="380"/>
        <v>22</v>
      </c>
      <c r="EW500" s="115">
        <f t="shared" si="380"/>
        <v>38</v>
      </c>
      <c r="EX500" s="115">
        <f t="shared" si="380"/>
        <v>22</v>
      </c>
      <c r="EY500" s="115" t="str">
        <f t="shared" si="357"/>
        <v>Постоянный</v>
      </c>
      <c r="EZ500" s="115">
        <f t="shared" si="357"/>
        <v>24</v>
      </c>
      <c r="FA500" s="115">
        <f t="shared" si="357"/>
        <v>0</v>
      </c>
      <c r="FB500" s="149">
        <f t="shared" si="405"/>
        <v>8.36</v>
      </c>
      <c r="FC500" s="142">
        <f t="shared" si="405"/>
        <v>10</v>
      </c>
      <c r="FD500" s="119">
        <f t="shared" si="405"/>
        <v>0</v>
      </c>
      <c r="FE500" s="121">
        <f t="shared" si="405"/>
        <v>25</v>
      </c>
      <c r="FF500" s="121">
        <f t="shared" si="407"/>
        <v>1985.6459330143541</v>
      </c>
      <c r="FG500" s="121">
        <f t="shared" si="381"/>
        <v>68</v>
      </c>
      <c r="FH500" s="121">
        <f t="shared" si="358"/>
        <v>8.4</v>
      </c>
      <c r="FI500" s="121">
        <f t="shared" si="355"/>
        <v>47</v>
      </c>
      <c r="FJ500" s="144">
        <f t="shared" si="382"/>
        <v>0.22727272727272727</v>
      </c>
      <c r="FK500" s="132">
        <f t="shared" si="383"/>
        <v>0</v>
      </c>
      <c r="FL500" s="115">
        <f t="shared" si="383"/>
        <v>-1</v>
      </c>
      <c r="FM500" s="115">
        <f t="shared" si="383"/>
        <v>1</v>
      </c>
      <c r="FN500" s="115">
        <f t="shared" si="371"/>
        <v>-1</v>
      </c>
      <c r="FO500" s="115">
        <f t="shared" si="403"/>
        <v>0</v>
      </c>
      <c r="FP500" s="115">
        <f t="shared" si="403"/>
        <v>0</v>
      </c>
      <c r="FQ500" s="149">
        <f t="shared" si="403"/>
        <v>2.0064000000000002</v>
      </c>
      <c r="FR500" s="142">
        <f t="shared" si="403"/>
        <v>2.4000000000000004</v>
      </c>
      <c r="FS500" s="119">
        <f t="shared" si="403"/>
        <v>0</v>
      </c>
      <c r="FT500" s="121">
        <f t="shared" si="403"/>
        <v>13</v>
      </c>
      <c r="FU500" s="121">
        <f t="shared" si="384"/>
        <v>4</v>
      </c>
      <c r="FV500" s="121">
        <f t="shared" si="384"/>
        <v>0.80000000000000071</v>
      </c>
      <c r="FW500" s="121">
        <f t="shared" si="385"/>
        <v>1293.1251573910854</v>
      </c>
      <c r="FX500" s="121">
        <f>CN500-ES500</f>
        <v>-2</v>
      </c>
      <c r="FY500" s="144">
        <f t="shared" si="386"/>
        <v>4.6320346320346317E-2</v>
      </c>
      <c r="FZ500" s="145" t="s">
        <v>204</v>
      </c>
      <c r="GA500" s="151" t="s">
        <v>1325</v>
      </c>
      <c r="GB500" s="145" t="s">
        <v>199</v>
      </c>
      <c r="GC500" s="151" t="s">
        <v>1802</v>
      </c>
      <c r="GD500" s="997" t="s">
        <v>416</v>
      </c>
      <c r="GE500" s="1004" t="s">
        <v>199</v>
      </c>
      <c r="GF500" s="1004">
        <v>-1.5407479999999998</v>
      </c>
      <c r="GG500" s="1004"/>
      <c r="GH500" s="1004">
        <v>0</v>
      </c>
      <c r="GI500" s="145"/>
      <c r="GJ500" s="996">
        <v>0</v>
      </c>
      <c r="GK500" s="145"/>
      <c r="GL500" s="996">
        <v>-0.69137199999999943</v>
      </c>
      <c r="GM500" s="1005"/>
      <c r="GN500" s="996">
        <v>0.72731999999999886</v>
      </c>
      <c r="GO500" s="1006" t="s">
        <v>199</v>
      </c>
      <c r="GP500" s="996">
        <v>0.95303999999999967</v>
      </c>
      <c r="GQ500" s="1006"/>
      <c r="GR500" s="996">
        <v>0</v>
      </c>
      <c r="GS500" s="1006"/>
      <c r="GT500" s="996">
        <v>0</v>
      </c>
      <c r="GU500" s="1006"/>
      <c r="GV500" s="996">
        <v>0.21736000000000022</v>
      </c>
      <c r="GW500" s="1006" t="s">
        <v>199</v>
      </c>
      <c r="GX500" s="996">
        <v>-1.9980400000000005</v>
      </c>
      <c r="GY500" s="1006"/>
      <c r="GZ500" s="996">
        <v>-0.50995999999999952</v>
      </c>
      <c r="HA500" s="1006" t="s">
        <v>223</v>
      </c>
      <c r="HB500" s="996">
        <v>-2.5230480000000011</v>
      </c>
      <c r="HC500" s="1006"/>
      <c r="HD500" s="996">
        <v>0</v>
      </c>
      <c r="HE500" s="1006"/>
      <c r="HF500" s="996">
        <v>0</v>
      </c>
      <c r="HG500" s="1006"/>
      <c r="HH500" s="996">
        <v>0.84153850000000041</v>
      </c>
      <c r="HI500" s="1006"/>
      <c r="HJ500" s="996">
        <v>0</v>
      </c>
      <c r="HK500" s="1006"/>
      <c r="HL500" s="996">
        <v>0</v>
      </c>
      <c r="HM500" s="1006" t="s">
        <v>199</v>
      </c>
      <c r="HN500" s="996">
        <v>2.7658056799999997</v>
      </c>
      <c r="HO500" s="1006"/>
      <c r="HP500" s="996">
        <v>-0.2665836800000001</v>
      </c>
      <c r="HQ500" s="1006" t="s">
        <v>199</v>
      </c>
      <c r="HR500" s="996">
        <v>-3.7071793</v>
      </c>
      <c r="HS500" s="1006"/>
      <c r="HT500" s="996">
        <v>0</v>
      </c>
      <c r="HU500" s="1006"/>
      <c r="HV500" s="996">
        <v>0.16661479999999962</v>
      </c>
      <c r="HW500" s="1006"/>
      <c r="HX500" s="996">
        <v>-0.65812845999999858</v>
      </c>
      <c r="HY500" s="1006"/>
      <c r="HZ500" s="996">
        <v>0</v>
      </c>
      <c r="IA500" s="1006"/>
      <c r="IB500" s="996">
        <v>-0.67478994000000192</v>
      </c>
      <c r="IC500" s="1006"/>
      <c r="ID500" s="996">
        <v>0.49984440000000063</v>
      </c>
      <c r="IE500" s="1006"/>
      <c r="IF500" s="996">
        <v>0</v>
      </c>
      <c r="IG500" s="1006"/>
      <c r="IH500" s="996">
        <v>0</v>
      </c>
      <c r="II500" s="1006"/>
      <c r="IJ500" s="996">
        <v>0</v>
      </c>
      <c r="IK500" s="1006" t="s">
        <v>199</v>
      </c>
      <c r="IL500" s="996">
        <v>2.8074593799999992</v>
      </c>
      <c r="IM500" s="1006"/>
      <c r="IN500" s="996">
        <v>0.44152922000000228</v>
      </c>
      <c r="IO500" s="1006" t="s">
        <v>199</v>
      </c>
      <c r="IP500" s="996">
        <v>-4.0820626000000013</v>
      </c>
      <c r="IQ500" s="1006" t="s">
        <v>203</v>
      </c>
      <c r="IR500" s="996">
        <v>-6.9478371600000006</v>
      </c>
      <c r="IS500" s="1006" t="s">
        <v>203</v>
      </c>
      <c r="IT500" s="996">
        <v>-2.7657933071999992</v>
      </c>
      <c r="IU500" s="1006" t="s">
        <v>25</v>
      </c>
      <c r="IV500" s="996">
        <v>8.0006664672000003</v>
      </c>
      <c r="IW500" s="1006"/>
      <c r="IX500" s="996">
        <v>0</v>
      </c>
      <c r="IY500" s="1006" t="s">
        <v>223</v>
      </c>
      <c r="IZ500" s="996">
        <v>-3.3439999999999994</v>
      </c>
      <c r="JA500" s="1006"/>
      <c r="JB500" s="996">
        <v>0</v>
      </c>
      <c r="JC500" s="1006" t="s">
        <v>223</v>
      </c>
      <c r="JD500" s="996">
        <v>-3.4443200000000012</v>
      </c>
      <c r="JE500" s="1006"/>
      <c r="JF500" s="996">
        <v>0</v>
      </c>
      <c r="JG500" s="1006"/>
      <c r="JH500" s="996">
        <v>0</v>
      </c>
      <c r="JI500" s="1006"/>
      <c r="JJ500" s="996">
        <v>0</v>
      </c>
      <c r="JK500" s="1007" t="s">
        <v>25</v>
      </c>
      <c r="JL500" s="1007">
        <v>20.16432</v>
      </c>
      <c r="JM500" s="1007"/>
      <c r="JN500" s="1007"/>
      <c r="JO500" s="1008"/>
      <c r="JP500" s="1007"/>
      <c r="JQ500" s="1008"/>
      <c r="JR500" s="1007"/>
      <c r="JS500" s="1008"/>
      <c r="JT500" s="1007"/>
      <c r="JU500" s="1008"/>
      <c r="JV500" s="1007"/>
      <c r="JW500" s="1008"/>
      <c r="JX500" s="1007"/>
      <c r="JY500" s="1008"/>
      <c r="JZ500" s="1007"/>
      <c r="KA500" s="1008"/>
      <c r="KB500" s="1007"/>
      <c r="KC500" s="1008"/>
      <c r="KD500" s="1007"/>
      <c r="KE500" s="1008"/>
      <c r="KF500" s="1007"/>
      <c r="KG500" s="1008"/>
      <c r="KH500" s="1007"/>
      <c r="KI500" s="1008"/>
      <c r="KJ500" s="1007"/>
      <c r="KK500" s="1008"/>
      <c r="KL500" s="1007"/>
      <c r="KM500" s="1008"/>
      <c r="KN500" s="1007"/>
      <c r="KO500" s="1008"/>
      <c r="KP500" s="1007"/>
      <c r="KQ500" s="1008"/>
      <c r="KR500" s="1007"/>
      <c r="KS500" s="1008"/>
      <c r="KT500" s="1007"/>
      <c r="KU500" s="1008"/>
      <c r="KV500" s="1007"/>
      <c r="KW500" s="1008"/>
      <c r="KX500" s="1007"/>
      <c r="KY500" s="1008"/>
      <c r="KZ500" s="1007"/>
      <c r="LA500" s="1008"/>
      <c r="LB500" s="1007"/>
      <c r="LC500" s="1008"/>
      <c r="LD500" s="1007"/>
      <c r="LE500" s="1008"/>
      <c r="LF500" s="1007"/>
      <c r="LG500" s="1008"/>
      <c r="LH500" s="1007"/>
      <c r="LI500" s="1008"/>
      <c r="LJ500" s="1007"/>
      <c r="LK500" s="1008"/>
      <c r="LL500" s="1007"/>
      <c r="LM500" s="1008"/>
      <c r="LN500" s="1007"/>
      <c r="LO500" s="1008"/>
      <c r="LP500" s="1007"/>
      <c r="LQ500" s="1008"/>
      <c r="LR500" s="1007"/>
      <c r="LS500" s="1008"/>
      <c r="LT500" s="1007"/>
      <c r="LU500" s="1008"/>
      <c r="LV500" s="1007"/>
      <c r="LW500" s="1008"/>
      <c r="LX500" s="1007"/>
      <c r="LY500" s="1009"/>
      <c r="LZ500" s="1010"/>
      <c r="MA500" s="1011"/>
      <c r="MB500" s="1012"/>
      <c r="MC500" s="995"/>
      <c r="MD500" s="996"/>
      <c r="ME500" s="997" t="s">
        <v>416</v>
      </c>
      <c r="MF500" s="997"/>
      <c r="MG500" s="998"/>
      <c r="NR500" s="1000"/>
      <c r="NS500" s="1000"/>
      <c r="NT500" s="1001"/>
      <c r="NU500" s="1000"/>
      <c r="NV500" s="1001"/>
      <c r="NX500" s="1002"/>
      <c r="NZ500" s="1001"/>
      <c r="OA500" s="1001"/>
      <c r="OC500" s="1003"/>
      <c r="OD500" s="1003"/>
      <c r="OE500" s="1001"/>
      <c r="OF500" s="1003"/>
      <c r="OG500" s="1003"/>
      <c r="QX500" s="1000">
        <f>CN500-CA500</f>
        <v>25</v>
      </c>
      <c r="ASU500" s="999" t="s">
        <v>208</v>
      </c>
    </row>
    <row r="501" spans="1:466 1191:1191" ht="21" customHeight="1" x14ac:dyDescent="0.25">
      <c r="A501" s="982">
        <f t="shared" si="372"/>
        <v>1598</v>
      </c>
      <c r="B501" s="124">
        <f>SUBTOTAL(103,$J$29:J501)</f>
        <v>473</v>
      </c>
      <c r="C501" s="126">
        <v>45068</v>
      </c>
      <c r="D501" s="124" t="s">
        <v>176</v>
      </c>
      <c r="E501" s="127" t="s">
        <v>177</v>
      </c>
      <c r="F501" s="128" t="s">
        <v>177</v>
      </c>
      <c r="G501" s="127" t="s">
        <v>178</v>
      </c>
      <c r="H501" s="127" t="s">
        <v>408</v>
      </c>
      <c r="I501" s="127" t="s">
        <v>1377</v>
      </c>
      <c r="J501" s="152">
        <v>1598</v>
      </c>
      <c r="K501" s="127" t="s">
        <v>1510</v>
      </c>
      <c r="L501" s="130">
        <v>44134</v>
      </c>
      <c r="M501" s="127" t="s">
        <v>230</v>
      </c>
      <c r="N501" s="127" t="s">
        <v>231</v>
      </c>
      <c r="O501" s="127" t="s">
        <v>185</v>
      </c>
      <c r="P501" s="127" t="s">
        <v>186</v>
      </c>
      <c r="Q501" s="85" t="str">
        <f t="shared" si="417"/>
        <v/>
      </c>
      <c r="R501" s="130"/>
      <c r="S501" s="128"/>
      <c r="T501" s="131"/>
      <c r="U501" s="132">
        <v>203</v>
      </c>
      <c r="V501" s="121">
        <v>218.2</v>
      </c>
      <c r="W501" s="116">
        <v>0.98</v>
      </c>
      <c r="X501" s="116">
        <v>1.66</v>
      </c>
      <c r="Y501" s="116">
        <f t="shared" si="408"/>
        <v>0.98</v>
      </c>
      <c r="Z501" s="133">
        <v>1.454</v>
      </c>
      <c r="AA501" s="133">
        <v>0.83599999999999997</v>
      </c>
      <c r="AB501" s="133">
        <v>0.72</v>
      </c>
      <c r="AC501" s="121">
        <v>34.299999999999997</v>
      </c>
      <c r="AD501" s="134">
        <v>1.17</v>
      </c>
      <c r="AE501" s="124">
        <v>177.8</v>
      </c>
      <c r="AF501" s="128">
        <v>9.19</v>
      </c>
      <c r="AG501" s="128">
        <v>2043.88</v>
      </c>
      <c r="AH501" s="127">
        <v>3128</v>
      </c>
      <c r="AI501" s="127">
        <v>3128</v>
      </c>
      <c r="AJ501" s="135">
        <v>44053</v>
      </c>
      <c r="AK501" s="128"/>
      <c r="AL501" s="131"/>
      <c r="AM501" s="124" t="s">
        <v>232</v>
      </c>
      <c r="AN501" s="136" t="s">
        <v>1803</v>
      </c>
      <c r="AO501" s="137">
        <v>100</v>
      </c>
      <c r="AP501" s="128">
        <v>2447</v>
      </c>
      <c r="AQ501" s="128">
        <v>517</v>
      </c>
      <c r="AR501" s="128"/>
      <c r="AS501" s="128"/>
      <c r="AT501" s="122"/>
      <c r="AU501" s="124" t="s">
        <v>189</v>
      </c>
      <c r="AV501" s="115">
        <f>VLOOKUP(J501,'[63]ТР нефть'!$J$28:$BP$638,39,0)</f>
        <v>557.00001064499997</v>
      </c>
      <c r="AW501" s="115" t="str">
        <f>VLOOKUP(J501,'[63]ТР нефть'!$J$28:$BP$638,40,0)</f>
        <v>ГП</v>
      </c>
      <c r="AX501" s="115">
        <f>VLOOKUP(J501,'[63]ТР нефть'!$J$28:$BP$638,41,0)</f>
        <v>1059.9999685549999</v>
      </c>
      <c r="AY501" s="115" t="str">
        <f>VLOOKUP(J501,'[63]ТР нефть'!$J$28:$BP$638,42,0)</f>
        <v>ГК 83 1/8</v>
      </c>
      <c r="AZ501" s="115">
        <f>VLOOKUP(J501,'[63]ТР нефть'!$J$28:$BP$638,43,0)</f>
        <v>1435.000037109</v>
      </c>
      <c r="BA501" s="115" t="str">
        <f>VLOOKUP(J501,'[63]ТР нефть'!$J$28:$BP$638,44,0)</f>
        <v>ГК 83 1/8</v>
      </c>
      <c r="BB501" s="115">
        <f>VLOOKUP(J501,'[63]ТР нефть'!$J$28:$BP$638,45,0)</f>
        <v>1711.9999851560001</v>
      </c>
      <c r="BC501" s="115" t="str">
        <f>VLOOKUP(J501,'[63]ТР нефть'!$J$28:$BP$638,46,0)</f>
        <v>ГК 82 5/32</v>
      </c>
      <c r="BD501" s="115">
        <f>VLOOKUP(J501,'[63]ТР нефть'!$J$28:$BP$638,47,0)</f>
        <v>1931.9999519529999</v>
      </c>
      <c r="BE501" s="115" t="str">
        <f>VLOOKUP(J501,'[63]ТР нефть'!$J$28:$BP$638,48,0)</f>
        <v>ЦКсОК 5/16</v>
      </c>
      <c r="BF501" s="115" t="str">
        <f>VLOOKUP(J501,'[63]ТР нефть'!$J$28:$BP$638,49,0)</f>
        <v>-</v>
      </c>
      <c r="BG501" s="115" t="str">
        <f>VLOOKUP(J501,'[63]ТР нефть'!$J$28:$BP$638,50,0)</f>
        <v>-</v>
      </c>
      <c r="BH501" s="115" t="str">
        <f>VLOOKUP(J501,'[63]ТР нефть'!$J$28:$BP$638,51,0)</f>
        <v>-</v>
      </c>
      <c r="BI501" s="115" t="str">
        <f>VLOOKUP(J501,'[63]ТР нефть'!$J$28:$BP$638,52,0)</f>
        <v>-</v>
      </c>
      <c r="BJ501" s="115" t="str">
        <f>IF(IFERROR(VLOOKUP(J501,'[63]ТР нефть'!$J$28:$BP$638,53,0),"-")=0,"-",IFERROR(VLOOKUP(J501,'[63]ТР нефть'!$J$28:$BP$638,53,0),"-"))</f>
        <v>-</v>
      </c>
      <c r="BK501" s="138" t="str">
        <f>IF(IFERROR(VLOOKUP(J501,'[63]ТР нефть'!$J$28:$BP$638,54,0),"-")=0,"-",IFERROR(VLOOKUP(J501,'[63]ТР нефть'!$J$28:$BP$638,54,0),"-"))</f>
        <v>-</v>
      </c>
      <c r="BL501" s="138" t="str">
        <f>IF(IFERROR(VLOOKUP(J501,'[63]ТР нефть'!$J$28:$BP$638,55,0),"-")=0,"-",IFERROR(VLOOKUP(J501,'[63]ТР нефть'!$J$28:$BP$638,55,0),"-"))</f>
        <v>-</v>
      </c>
      <c r="BM501" s="138" t="str">
        <f>IF(IFERROR(VLOOKUP(J501,'[63]ТР нефть'!$J$28:$BP$638,56,0),"-")=0,"-",IFERROR(VLOOKUP(J501,'[63]ТР нефть'!$J$28:$BP$638,56,0),"-"))</f>
        <v>-</v>
      </c>
      <c r="BN501" s="138" t="str">
        <f>IF(IFERROR(VLOOKUP(J501,'[63]ТР нефть'!$J$28:$BP$638,57,0),"-")=0,"-",IFERROR(VLOOKUP(J501,'[63]ТР нефть'!$J$28:$BP$638,57,0),"-"))</f>
        <v>-</v>
      </c>
      <c r="BO501" s="115" t="str">
        <f>IF(IFERROR(VLOOKUP(J501,'[63]ТР нефть'!$J$28:$BP$638,58,0),"-")=0,"-",IFERROR(VLOOKUP(J501,'[63]ТР нефть'!$J$28:$BP$638,58,0),"-"))</f>
        <v>-</v>
      </c>
      <c r="BP501" s="115" t="str">
        <f>IF(IFERROR(VLOOKUP(J501,'[63]ТР нефть'!$J$28:$BP$638,59,0),"-")=0,"-",IFERROR(VLOOKUP(J501,'[63]ТР нефть'!$J$28:$BP$638,59,0),"-"))</f>
        <v>-</v>
      </c>
      <c r="BQ501" s="138">
        <v>2114.0500000000002</v>
      </c>
      <c r="BR501" s="128">
        <v>1939</v>
      </c>
      <c r="BS501" s="115">
        <f t="shared" si="421"/>
        <v>175.05000000000018</v>
      </c>
      <c r="BT501" s="128">
        <v>73</v>
      </c>
      <c r="BU501" s="128">
        <v>5.5</v>
      </c>
      <c r="BV501" s="127">
        <v>18</v>
      </c>
      <c r="BW501" s="127" t="s">
        <v>217</v>
      </c>
      <c r="BX501" s="127" t="s">
        <v>195</v>
      </c>
      <c r="BY501" s="139">
        <v>24</v>
      </c>
      <c r="BZ501" s="139">
        <v>0</v>
      </c>
      <c r="CA501" s="138">
        <v>21</v>
      </c>
      <c r="CB501" s="138">
        <v>40</v>
      </c>
      <c r="CC501" s="138">
        <v>20</v>
      </c>
      <c r="CD501" s="135">
        <v>45017</v>
      </c>
      <c r="CE501" s="138">
        <v>169</v>
      </c>
      <c r="CF501" s="138">
        <v>61</v>
      </c>
      <c r="CG501" s="138" t="str">
        <f t="shared" si="422"/>
        <v/>
      </c>
      <c r="CH501" s="138"/>
      <c r="CI501" s="127"/>
      <c r="CJ501" s="138"/>
      <c r="CK501" s="138"/>
      <c r="CL501" s="99"/>
      <c r="CM501" s="99"/>
      <c r="CN501" s="140">
        <v>45</v>
      </c>
      <c r="CO501" s="159">
        <f t="shared" si="373"/>
        <v>4.8487999999999998</v>
      </c>
      <c r="CP501" s="160">
        <v>5.8</v>
      </c>
      <c r="CQ501" s="161">
        <v>0</v>
      </c>
      <c r="CR501" s="138">
        <v>10</v>
      </c>
      <c r="CS501" s="138">
        <v>9</v>
      </c>
      <c r="CT501" s="138"/>
      <c r="CU501" s="138">
        <f t="shared" si="418"/>
        <v>1</v>
      </c>
      <c r="CV501" s="115">
        <f t="shared" si="419"/>
        <v>206.23659462134961</v>
      </c>
      <c r="CW501" s="115">
        <f t="shared" si="374"/>
        <v>1856.1293515921466</v>
      </c>
      <c r="CX501" s="133">
        <f t="shared" si="420"/>
        <v>4.6774193548387098E-2</v>
      </c>
      <c r="CY501" s="116"/>
      <c r="CZ501" s="131"/>
      <c r="DA501" s="145" t="str">
        <f t="shared" si="375"/>
        <v>Газлифт</v>
      </c>
      <c r="DB501" s="146">
        <f t="shared" si="390"/>
        <v>4.8487999999999998</v>
      </c>
      <c r="DC501" s="142">
        <f t="shared" si="402"/>
        <v>5.8</v>
      </c>
      <c r="DD501" s="119">
        <f t="shared" si="416"/>
        <v>0</v>
      </c>
      <c r="DE501" s="115">
        <f t="shared" si="392"/>
        <v>1</v>
      </c>
      <c r="DF501" s="121">
        <f t="shared" si="376"/>
        <v>9</v>
      </c>
      <c r="DG501" s="115">
        <f t="shared" si="377"/>
        <v>206.23659462134961</v>
      </c>
      <c r="DH501" s="115">
        <f t="shared" si="378"/>
        <v>45</v>
      </c>
      <c r="DI501" s="147"/>
      <c r="DJ501" s="111"/>
      <c r="DK501" s="112">
        <v>44134.083333333336</v>
      </c>
      <c r="DL501" s="113">
        <f t="shared" ca="1" si="409"/>
        <v>969.91666666666424</v>
      </c>
      <c r="DM501" s="114"/>
      <c r="DN501" s="114"/>
      <c r="DO501" s="114"/>
      <c r="DP501" s="114"/>
      <c r="DQ501" s="112"/>
      <c r="DR501" s="114"/>
      <c r="DS501" s="114"/>
      <c r="DT501" s="115">
        <v>60</v>
      </c>
      <c r="DU501" s="116">
        <f t="shared" si="410"/>
        <v>5.3211009174311923E-2</v>
      </c>
      <c r="DV501" s="117">
        <f t="shared" si="411"/>
        <v>4.8487999999999998</v>
      </c>
      <c r="DW501" s="118">
        <f t="shared" si="412"/>
        <v>5.8</v>
      </c>
      <c r="DX501" s="119">
        <f t="shared" si="379"/>
        <v>0</v>
      </c>
      <c r="DY501" s="115">
        <f t="shared" si="413"/>
        <v>1</v>
      </c>
      <c r="DZ501" s="117">
        <f t="shared" si="414"/>
        <v>0</v>
      </c>
      <c r="EA501" s="120">
        <f t="shared" si="414"/>
        <v>0</v>
      </c>
      <c r="EB501" s="119">
        <f t="shared" si="387"/>
        <v>0</v>
      </c>
      <c r="EC501" s="121">
        <f t="shared" si="415"/>
        <v>0</v>
      </c>
      <c r="ED501" s="122"/>
      <c r="EE501" s="145">
        <v>18</v>
      </c>
      <c r="EF501" s="115">
        <v>20</v>
      </c>
      <c r="EG501" s="115">
        <v>38</v>
      </c>
      <c r="EH501" s="115">
        <v>19</v>
      </c>
      <c r="EI501" s="128" t="s">
        <v>195</v>
      </c>
      <c r="EJ501" s="121">
        <v>24</v>
      </c>
      <c r="EK501" s="121">
        <v>0</v>
      </c>
      <c r="EL501" s="162">
        <v>4.416588</v>
      </c>
      <c r="EM501" s="142">
        <v>5.2830000000000004</v>
      </c>
      <c r="EN501" s="119">
        <v>0</v>
      </c>
      <c r="EO501" s="115">
        <v>12</v>
      </c>
      <c r="EP501" s="115">
        <v>452.8382543266431</v>
      </c>
      <c r="EQ501" s="115">
        <v>78</v>
      </c>
      <c r="ER501" s="115">
        <v>10</v>
      </c>
      <c r="ES501" s="115">
        <v>63</v>
      </c>
      <c r="ET501" s="150">
        <v>4.9839622641509436E-2</v>
      </c>
      <c r="EU501" s="145">
        <f t="shared" si="400"/>
        <v>18</v>
      </c>
      <c r="EV501" s="115">
        <f t="shared" si="380"/>
        <v>21</v>
      </c>
      <c r="EW501" s="115">
        <f t="shared" si="380"/>
        <v>40</v>
      </c>
      <c r="EX501" s="115">
        <f t="shared" si="380"/>
        <v>20</v>
      </c>
      <c r="EY501" s="115" t="str">
        <f t="shared" si="357"/>
        <v>Постоянный</v>
      </c>
      <c r="EZ501" s="115">
        <f t="shared" si="357"/>
        <v>24</v>
      </c>
      <c r="FA501" s="115">
        <f t="shared" si="357"/>
        <v>0</v>
      </c>
      <c r="FB501" s="149">
        <f t="shared" si="405"/>
        <v>4.8487999999999998</v>
      </c>
      <c r="FC501" s="142">
        <f t="shared" si="405"/>
        <v>5.8</v>
      </c>
      <c r="FD501" s="119">
        <f t="shared" si="405"/>
        <v>0</v>
      </c>
      <c r="FE501" s="121">
        <f t="shared" si="405"/>
        <v>10</v>
      </c>
      <c r="FF501" s="121">
        <f t="shared" si="407"/>
        <v>206.23659462134961</v>
      </c>
      <c r="FG501" s="121">
        <f t="shared" si="381"/>
        <v>61</v>
      </c>
      <c r="FH501" s="121">
        <f t="shared" si="358"/>
        <v>9</v>
      </c>
      <c r="FI501" s="121">
        <f t="shared" si="355"/>
        <v>45</v>
      </c>
      <c r="FJ501" s="144">
        <f t="shared" si="382"/>
        <v>4.6774193548387098E-2</v>
      </c>
      <c r="FK501" s="132">
        <f t="shared" si="383"/>
        <v>0</v>
      </c>
      <c r="FL501" s="115">
        <f t="shared" si="383"/>
        <v>1</v>
      </c>
      <c r="FM501" s="115">
        <f t="shared" si="383"/>
        <v>2</v>
      </c>
      <c r="FN501" s="115">
        <f t="shared" si="371"/>
        <v>1</v>
      </c>
      <c r="FO501" s="115">
        <f t="shared" si="403"/>
        <v>0</v>
      </c>
      <c r="FP501" s="115">
        <f t="shared" si="403"/>
        <v>0</v>
      </c>
      <c r="FQ501" s="149">
        <f t="shared" si="403"/>
        <v>0.43221199999999982</v>
      </c>
      <c r="FR501" s="142">
        <f t="shared" si="403"/>
        <v>0.51699999999999946</v>
      </c>
      <c r="FS501" s="119">
        <f t="shared" si="403"/>
        <v>0</v>
      </c>
      <c r="FT501" s="121">
        <f t="shared" si="403"/>
        <v>-2</v>
      </c>
      <c r="FU501" s="121">
        <f t="shared" si="384"/>
        <v>-17</v>
      </c>
      <c r="FV501" s="121">
        <f t="shared" si="384"/>
        <v>-1</v>
      </c>
      <c r="FW501" s="121">
        <f t="shared" si="385"/>
        <v>-246.60165970529349</v>
      </c>
      <c r="FX501" s="121">
        <f>CN501-ES501</f>
        <v>-18</v>
      </c>
      <c r="FY501" s="144">
        <f t="shared" si="386"/>
        <v>-3.0654290931223377E-3</v>
      </c>
      <c r="FZ501" s="145"/>
      <c r="GA501" s="151"/>
      <c r="GB501" s="145"/>
      <c r="GC501" s="151" t="s">
        <v>1804</v>
      </c>
      <c r="GD501" s="997" t="s">
        <v>416</v>
      </c>
      <c r="GE501" s="1004"/>
      <c r="GF501" s="1004">
        <v>0</v>
      </c>
      <c r="GG501" s="1004"/>
      <c r="GH501" s="1004">
        <v>0</v>
      </c>
      <c r="GI501" s="145"/>
      <c r="GJ501" s="996">
        <v>0</v>
      </c>
      <c r="GK501" s="145" t="s">
        <v>204</v>
      </c>
      <c r="GL501" s="996">
        <v>0</v>
      </c>
      <c r="GM501" s="1005"/>
      <c r="GN501" s="996">
        <v>0.49574799999999986</v>
      </c>
      <c r="GO501" s="1006" t="s">
        <v>203</v>
      </c>
      <c r="GP501" s="996">
        <v>-1.1202399999999999</v>
      </c>
      <c r="GQ501" s="1006"/>
      <c r="GR501" s="996">
        <v>0.77748000000000062</v>
      </c>
      <c r="GS501" s="1006" t="s">
        <v>203</v>
      </c>
      <c r="GT501" s="996">
        <v>-1.5204592414000011</v>
      </c>
      <c r="GU501" s="1006" t="s">
        <v>308</v>
      </c>
      <c r="GV501" s="996">
        <v>0</v>
      </c>
      <c r="GW501" s="1006"/>
      <c r="GX501" s="996">
        <v>0</v>
      </c>
      <c r="GY501" s="1006"/>
      <c r="GZ501" s="996">
        <v>0</v>
      </c>
      <c r="HA501" s="1006"/>
      <c r="HB501" s="996">
        <v>-22.669812</v>
      </c>
      <c r="HC501" s="1006" t="s">
        <v>25</v>
      </c>
      <c r="HD501" s="996">
        <v>21.857219999999998</v>
      </c>
      <c r="HE501" s="1006"/>
      <c r="HF501" s="996">
        <v>0</v>
      </c>
      <c r="HG501" s="1006"/>
      <c r="HH501" s="996">
        <v>0</v>
      </c>
      <c r="HI501" s="1006"/>
      <c r="HJ501" s="996">
        <v>0</v>
      </c>
      <c r="HK501" s="1006" t="s">
        <v>197</v>
      </c>
      <c r="HL501" s="996">
        <v>0</v>
      </c>
      <c r="HM501" s="1006"/>
      <c r="HN501" s="996">
        <v>0</v>
      </c>
      <c r="HO501" s="1006"/>
      <c r="HP501" s="996">
        <v>0</v>
      </c>
      <c r="HQ501" s="1006"/>
      <c r="HR501" s="996">
        <v>0</v>
      </c>
      <c r="HS501" s="1006"/>
      <c r="HT501" s="996">
        <v>0</v>
      </c>
      <c r="HU501" s="1006"/>
      <c r="HV501" s="996">
        <v>0</v>
      </c>
      <c r="HW501" s="1006"/>
      <c r="HX501" s="996">
        <v>0</v>
      </c>
      <c r="HY501" s="1006"/>
      <c r="HZ501" s="996">
        <v>0</v>
      </c>
      <c r="IA501" s="1006"/>
      <c r="IB501" s="996">
        <v>0</v>
      </c>
      <c r="IC501" s="1006"/>
      <c r="ID501" s="996">
        <v>0</v>
      </c>
      <c r="IE501" s="1006"/>
      <c r="IF501" s="996">
        <v>0</v>
      </c>
      <c r="IG501" s="1006"/>
      <c r="IH501" s="996">
        <v>0</v>
      </c>
      <c r="II501" s="1006"/>
      <c r="IJ501" s="996">
        <v>0</v>
      </c>
      <c r="IK501" s="1006"/>
      <c r="IL501" s="996">
        <v>0.64539200000000052</v>
      </c>
      <c r="IM501" s="1006" t="s">
        <v>203</v>
      </c>
      <c r="IN501" s="996">
        <v>-16.532799999999998</v>
      </c>
      <c r="IO501" s="1006"/>
      <c r="IP501" s="996"/>
      <c r="IQ501" s="1006"/>
      <c r="IR501" s="996"/>
      <c r="IS501" s="1006"/>
      <c r="IT501" s="996"/>
      <c r="IU501" s="1006"/>
      <c r="IV501" s="996"/>
      <c r="IW501" s="1006"/>
      <c r="IX501" s="996"/>
      <c r="IY501" s="1006"/>
      <c r="IZ501" s="996"/>
      <c r="JA501" s="1006"/>
      <c r="JB501" s="996"/>
      <c r="JC501" s="1006"/>
      <c r="JD501" s="996"/>
      <c r="JE501" s="1006"/>
      <c r="JF501" s="996"/>
      <c r="JG501" s="1006"/>
      <c r="JH501" s="996"/>
      <c r="JI501" s="1006"/>
      <c r="JJ501" s="996"/>
      <c r="JK501" s="1007"/>
      <c r="JL501" s="1007"/>
      <c r="JM501" s="1007"/>
      <c r="JN501" s="1007"/>
      <c r="JO501" s="1008"/>
      <c r="JP501" s="1007"/>
      <c r="JQ501" s="1008"/>
      <c r="JR501" s="1007"/>
      <c r="JS501" s="1008"/>
      <c r="JT501" s="1007"/>
      <c r="JU501" s="1008"/>
      <c r="JV501" s="1007"/>
      <c r="JW501" s="1008"/>
      <c r="JX501" s="1007"/>
      <c r="JY501" s="1008"/>
      <c r="JZ501" s="1007"/>
      <c r="KA501" s="1008"/>
      <c r="KB501" s="1007"/>
      <c r="KC501" s="1008"/>
      <c r="KD501" s="1007"/>
      <c r="KE501" s="1008"/>
      <c r="KF501" s="1007"/>
      <c r="KG501" s="1008"/>
      <c r="KH501" s="1007"/>
      <c r="KI501" s="1008"/>
      <c r="KJ501" s="1007"/>
      <c r="KK501" s="1008"/>
      <c r="KL501" s="1007"/>
      <c r="KM501" s="1008"/>
      <c r="KN501" s="1007"/>
      <c r="KO501" s="1008"/>
      <c r="KP501" s="1007"/>
      <c r="KQ501" s="1008"/>
      <c r="KR501" s="1007"/>
      <c r="KS501" s="1008"/>
      <c r="KT501" s="1007"/>
      <c r="KU501" s="1008"/>
      <c r="KV501" s="1007"/>
      <c r="KW501" s="1008"/>
      <c r="KX501" s="1007"/>
      <c r="KY501" s="1008"/>
      <c r="KZ501" s="1007"/>
      <c r="LA501" s="1008"/>
      <c r="LB501" s="1007"/>
      <c r="LC501" s="1008"/>
      <c r="LD501" s="1007"/>
      <c r="LE501" s="1008"/>
      <c r="LF501" s="1007"/>
      <c r="LG501" s="1008"/>
      <c r="LH501" s="1007"/>
      <c r="LI501" s="1008"/>
      <c r="LJ501" s="1007"/>
      <c r="LK501" s="1008"/>
      <c r="LL501" s="1007"/>
      <c r="LM501" s="1008"/>
      <c r="LN501" s="1007"/>
      <c r="LO501" s="1008"/>
      <c r="LP501" s="1007"/>
      <c r="LQ501" s="1008"/>
      <c r="LR501" s="1007"/>
      <c r="LS501" s="1008"/>
      <c r="LT501" s="1007"/>
      <c r="LU501" s="1008"/>
      <c r="LV501" s="1007"/>
      <c r="LW501" s="1008"/>
      <c r="LX501" s="1007"/>
      <c r="LY501" s="1009"/>
      <c r="LZ501" s="1010"/>
      <c r="MA501" s="1011"/>
      <c r="MB501" s="1012"/>
      <c r="MC501" s="995"/>
      <c r="MD501" s="996"/>
      <c r="ME501" s="997" t="s">
        <v>416</v>
      </c>
      <c r="MF501" s="997"/>
      <c r="MG501" s="998"/>
      <c r="NR501" s="1000"/>
      <c r="NS501" s="1000"/>
      <c r="NT501" s="1001"/>
      <c r="NU501" s="1000"/>
      <c r="NV501" s="1001"/>
      <c r="NX501" s="1002"/>
      <c r="NZ501" s="1001"/>
      <c r="OA501" s="1001"/>
      <c r="OC501" s="1003"/>
      <c r="OD501" s="1003"/>
      <c r="OE501" s="1001"/>
      <c r="OF501" s="1003"/>
      <c r="OG501" s="1003"/>
      <c r="QX501" s="1000">
        <f>CN501-CA501</f>
        <v>24</v>
      </c>
      <c r="ASU501" s="999" t="s">
        <v>455</v>
      </c>
    </row>
    <row r="502" spans="1:466 1191:1191" ht="21" customHeight="1" x14ac:dyDescent="0.25">
      <c r="A502" s="982">
        <f t="shared" si="372"/>
        <v>1599</v>
      </c>
      <c r="B502" s="124">
        <f>SUBTOTAL(103,$J$29:J502)</f>
        <v>474</v>
      </c>
      <c r="C502" s="126">
        <v>45068</v>
      </c>
      <c r="D502" s="124" t="s">
        <v>176</v>
      </c>
      <c r="E502" s="127" t="s">
        <v>177</v>
      </c>
      <c r="F502" s="128" t="s">
        <v>177</v>
      </c>
      <c r="G502" s="127" t="s">
        <v>178</v>
      </c>
      <c r="H502" s="127" t="s">
        <v>421</v>
      </c>
      <c r="I502" s="127" t="s">
        <v>422</v>
      </c>
      <c r="J502" s="152">
        <v>1599</v>
      </c>
      <c r="K502" s="127" t="s">
        <v>1399</v>
      </c>
      <c r="L502" s="130">
        <v>43450</v>
      </c>
      <c r="M502" s="127" t="s">
        <v>230</v>
      </c>
      <c r="N502" s="127" t="s">
        <v>231</v>
      </c>
      <c r="O502" s="127" t="s">
        <v>185</v>
      </c>
      <c r="P502" s="127" t="s">
        <v>186</v>
      </c>
      <c r="Q502" s="85" t="str">
        <f t="shared" si="417"/>
        <v/>
      </c>
      <c r="R502" s="130"/>
      <c r="S502" s="128"/>
      <c r="T502" s="131"/>
      <c r="U502" s="132">
        <v>203</v>
      </c>
      <c r="V502" s="121">
        <v>218.2</v>
      </c>
      <c r="W502" s="116">
        <v>0.98</v>
      </c>
      <c r="X502" s="116">
        <v>1.66</v>
      </c>
      <c r="Y502" s="116">
        <f t="shared" si="408"/>
        <v>0.98</v>
      </c>
      <c r="Z502" s="133">
        <v>1.454</v>
      </c>
      <c r="AA502" s="133">
        <v>0.83599999999999997</v>
      </c>
      <c r="AB502" s="133">
        <v>0.72</v>
      </c>
      <c r="AC502" s="121">
        <v>34.299999999999997</v>
      </c>
      <c r="AD502" s="134">
        <v>1.17</v>
      </c>
      <c r="AE502" s="124">
        <v>177.8</v>
      </c>
      <c r="AF502" s="128">
        <v>9.19</v>
      </c>
      <c r="AG502" s="128">
        <v>2319</v>
      </c>
      <c r="AH502" s="127">
        <v>2907</v>
      </c>
      <c r="AI502" s="127">
        <v>2907</v>
      </c>
      <c r="AJ502" s="135"/>
      <c r="AK502" s="128"/>
      <c r="AL502" s="131"/>
      <c r="AM502" s="124" t="s">
        <v>232</v>
      </c>
      <c r="AN502" s="136" t="s">
        <v>1805</v>
      </c>
      <c r="AO502" s="137">
        <v>57.75</v>
      </c>
      <c r="AP502" s="128">
        <v>2319</v>
      </c>
      <c r="AQ502" s="128">
        <v>436.8</v>
      </c>
      <c r="AR502" s="128"/>
      <c r="AS502" s="128"/>
      <c r="AT502" s="122"/>
      <c r="AU502" s="124" t="s">
        <v>189</v>
      </c>
      <c r="AV502" s="115">
        <f>VLOOKUP(J502,'[63]ТР нефть'!$J$28:$BP$638,39,0)</f>
        <v>542.00003320300004</v>
      </c>
      <c r="AW502" s="115" t="str">
        <f>VLOOKUP(J502,'[63]ТР нефть'!$J$28:$BP$638,40,0)</f>
        <v>ГП</v>
      </c>
      <c r="AX502" s="115">
        <f>VLOOKUP(J502,'[63]ТР нефть'!$J$28:$BP$638,41,0)</f>
        <v>1096.0000037110001</v>
      </c>
      <c r="AY502" s="115" t="str">
        <f>VLOOKUP(J502,'[63]ТР нефть'!$J$28:$BP$638,42,0)</f>
        <v>ГП</v>
      </c>
      <c r="AZ502" s="115">
        <f>VLOOKUP(J502,'[63]ТР нефть'!$J$28:$BP$638,43,0)</f>
        <v>1510.0000359380001</v>
      </c>
      <c r="BA502" s="115" t="str">
        <f>VLOOKUP(J502,'[63]ТР нефть'!$J$28:$BP$638,44,0)</f>
        <v>ГП</v>
      </c>
      <c r="BB502" s="115">
        <f>VLOOKUP(J502,'[63]ТР нефть'!$J$28:$BP$638,45,0)</f>
        <v>1769.9999425779999</v>
      </c>
      <c r="BC502" s="115" t="str">
        <f>VLOOKUP(J502,'[63]ТР нефть'!$J$28:$BP$638,46,0)</f>
        <v>ГК 89 5/32</v>
      </c>
      <c r="BD502" s="115">
        <f>VLOOKUP(J502,'[63]ТР нефть'!$J$28:$BP$638,47,0)</f>
        <v>2069.9999378910002</v>
      </c>
      <c r="BE502" s="115" t="str">
        <f>VLOOKUP(J502,'[63]ТР нефть'!$J$28:$BP$638,48,0)</f>
        <v>ЦКсОК 5/16</v>
      </c>
      <c r="BF502" s="115" t="str">
        <f>VLOOKUP(J502,'[63]ТР нефть'!$J$28:$BP$638,49,0)</f>
        <v>-</v>
      </c>
      <c r="BG502" s="115" t="str">
        <f>VLOOKUP(J502,'[63]ТР нефть'!$J$28:$BP$638,50,0)</f>
        <v>-</v>
      </c>
      <c r="BH502" s="115" t="str">
        <f>VLOOKUP(J502,'[63]ТР нефть'!$J$28:$BP$638,51,0)</f>
        <v>-</v>
      </c>
      <c r="BI502" s="115" t="str">
        <f>VLOOKUP(J502,'[63]ТР нефть'!$J$28:$BP$638,52,0)</f>
        <v>-</v>
      </c>
      <c r="BJ502" s="115" t="str">
        <f>IF(IFERROR(VLOOKUP(J502,'[63]ТР нефть'!$J$28:$BP$638,53,0),"-")=0,"-",IFERROR(VLOOKUP(J502,'[63]ТР нефть'!$J$28:$BP$638,53,0),"-"))</f>
        <v>-</v>
      </c>
      <c r="BK502" s="138" t="str">
        <f>IF(IFERROR(VLOOKUP(J502,'[63]ТР нефть'!$J$28:$BP$638,54,0),"-")=0,"-",IFERROR(VLOOKUP(J502,'[63]ТР нефть'!$J$28:$BP$638,54,0),"-"))</f>
        <v>-</v>
      </c>
      <c r="BL502" s="138" t="str">
        <f>IF(IFERROR(VLOOKUP(J502,'[63]ТР нефть'!$J$28:$BP$638,55,0),"-")=0,"-",IFERROR(VLOOKUP(J502,'[63]ТР нефть'!$J$28:$BP$638,55,0),"-"))</f>
        <v>-</v>
      </c>
      <c r="BM502" s="138" t="str">
        <f>IF(IFERROR(VLOOKUP(J502,'[63]ТР нефть'!$J$28:$BP$638,56,0),"-")=0,"-",IFERROR(VLOOKUP(J502,'[63]ТР нефть'!$J$28:$BP$638,56,0),"-"))</f>
        <v>-</v>
      </c>
      <c r="BN502" s="138" t="str">
        <f>IF(IFERROR(VLOOKUP(J502,'[63]ТР нефть'!$J$28:$BP$638,57,0),"-")=0,"-",IFERROR(VLOOKUP(J502,'[63]ТР нефть'!$J$28:$BP$638,57,0),"-"))</f>
        <v>-</v>
      </c>
      <c r="BO502" s="115" t="str">
        <f>IF(IFERROR(VLOOKUP(J502,'[63]ТР нефть'!$J$28:$BP$638,58,0),"-")=0,"-",IFERROR(VLOOKUP(J502,'[63]ТР нефть'!$J$28:$BP$638,58,0),"-"))</f>
        <v>-</v>
      </c>
      <c r="BP502" s="115" t="str">
        <f>IF(IFERROR(VLOOKUP(J502,'[63]ТР нефть'!$J$28:$BP$638,59,0),"-")=0,"-",IFERROR(VLOOKUP(J502,'[63]ТР нефть'!$J$28:$BP$638,59,0),"-"))</f>
        <v>-</v>
      </c>
      <c r="BQ502" s="138">
        <v>2330</v>
      </c>
      <c r="BR502" s="128">
        <v>1884.44</v>
      </c>
      <c r="BS502" s="115">
        <f t="shared" si="421"/>
        <v>445.55999999999995</v>
      </c>
      <c r="BT502" s="128">
        <v>73</v>
      </c>
      <c r="BU502" s="128">
        <v>5.5</v>
      </c>
      <c r="BV502" s="127">
        <v>18</v>
      </c>
      <c r="BW502" s="127" t="s">
        <v>217</v>
      </c>
      <c r="BX502" s="127" t="s">
        <v>195</v>
      </c>
      <c r="BY502" s="139">
        <v>24</v>
      </c>
      <c r="BZ502" s="139">
        <v>0</v>
      </c>
      <c r="CA502" s="138">
        <v>18</v>
      </c>
      <c r="CB502" s="138">
        <v>48</v>
      </c>
      <c r="CC502" s="138">
        <v>18</v>
      </c>
      <c r="CD502" s="135">
        <v>45017</v>
      </c>
      <c r="CE502" s="138">
        <v>129</v>
      </c>
      <c r="CF502" s="138">
        <v>70</v>
      </c>
      <c r="CG502" s="138" t="str">
        <f t="shared" si="422"/>
        <v/>
      </c>
      <c r="CH502" s="138" t="s">
        <v>197</v>
      </c>
      <c r="CI502" s="138">
        <v>6</v>
      </c>
      <c r="CJ502" s="139"/>
      <c r="CK502" s="139"/>
      <c r="CL502" s="99"/>
      <c r="CM502" s="99"/>
      <c r="CN502" s="140">
        <v>71</v>
      </c>
      <c r="CO502" s="159">
        <f t="shared" si="373"/>
        <v>8.36</v>
      </c>
      <c r="CP502" s="160">
        <v>10</v>
      </c>
      <c r="CQ502" s="161">
        <v>0</v>
      </c>
      <c r="CR502" s="138">
        <v>13</v>
      </c>
      <c r="CS502" s="139">
        <v>9.6</v>
      </c>
      <c r="CT502" s="138"/>
      <c r="CU502" s="138">
        <f t="shared" si="418"/>
        <v>3.4000000000000004</v>
      </c>
      <c r="CV502" s="115">
        <f t="shared" si="419"/>
        <v>406.69856459330151</v>
      </c>
      <c r="CW502" s="115">
        <f t="shared" si="374"/>
        <v>1148.3253588516745</v>
      </c>
      <c r="CX502" s="133">
        <f t="shared" si="420"/>
        <v>0.17241379310344829</v>
      </c>
      <c r="CY502" s="116"/>
      <c r="CZ502" s="131"/>
      <c r="DA502" s="145" t="str">
        <f t="shared" si="375"/>
        <v>Газлифт</v>
      </c>
      <c r="DB502" s="146">
        <f t="shared" si="390"/>
        <v>7.6075999999999997</v>
      </c>
      <c r="DC502" s="142">
        <f t="shared" si="402"/>
        <v>10</v>
      </c>
      <c r="DD502" s="119">
        <f t="shared" si="416"/>
        <v>9</v>
      </c>
      <c r="DE502" s="115">
        <f t="shared" si="392"/>
        <v>3.4000000000000004</v>
      </c>
      <c r="DF502" s="121">
        <f t="shared" si="376"/>
        <v>9.6</v>
      </c>
      <c r="DG502" s="115">
        <f t="shared" si="377"/>
        <v>406.69856459330151</v>
      </c>
      <c r="DH502" s="115">
        <f t="shared" si="378"/>
        <v>71</v>
      </c>
      <c r="DI502" s="147"/>
      <c r="DJ502" s="111" t="s">
        <v>197</v>
      </c>
      <c r="DK502" s="112">
        <v>44083.083333333336</v>
      </c>
      <c r="DL502" s="113">
        <f t="shared" ca="1" si="409"/>
        <v>1020.9166666666642</v>
      </c>
      <c r="DM502" s="114"/>
      <c r="DN502" s="114"/>
      <c r="DO502" s="114"/>
      <c r="DP502" s="114"/>
      <c r="DQ502" s="112">
        <v>43450</v>
      </c>
      <c r="DR502" s="114" t="s">
        <v>324</v>
      </c>
      <c r="DS502" s="114">
        <v>0</v>
      </c>
      <c r="DT502" s="115">
        <v>60</v>
      </c>
      <c r="DU502" s="116">
        <f t="shared" si="410"/>
        <v>0.16424780074978659</v>
      </c>
      <c r="DV502" s="117">
        <f t="shared" si="411"/>
        <v>9.4744701384506893</v>
      </c>
      <c r="DW502" s="118">
        <f t="shared" si="412"/>
        <v>11.333098251735274</v>
      </c>
      <c r="DX502" s="119">
        <f t="shared" si="379"/>
        <v>0</v>
      </c>
      <c r="DY502" s="115">
        <f t="shared" si="413"/>
        <v>3.8532534055899941</v>
      </c>
      <c r="DZ502" s="117">
        <f t="shared" si="414"/>
        <v>1.1144701384506899</v>
      </c>
      <c r="EA502" s="120">
        <f t="shared" si="414"/>
        <v>1.3330982517352741</v>
      </c>
      <c r="EB502" s="119">
        <f t="shared" si="387"/>
        <v>0</v>
      </c>
      <c r="EC502" s="121">
        <f t="shared" si="415"/>
        <v>0.45325340558999372</v>
      </c>
      <c r="ED502" s="122"/>
      <c r="EE502" s="145">
        <v>18</v>
      </c>
      <c r="EF502" s="115">
        <v>29</v>
      </c>
      <c r="EG502" s="115">
        <v>68</v>
      </c>
      <c r="EH502" s="115">
        <v>28</v>
      </c>
      <c r="EI502" s="128" t="s">
        <v>195</v>
      </c>
      <c r="EJ502" s="121">
        <v>24</v>
      </c>
      <c r="EK502" s="121">
        <v>0</v>
      </c>
      <c r="EL502" s="162">
        <v>0.76075999999999999</v>
      </c>
      <c r="EM502" s="142">
        <v>1</v>
      </c>
      <c r="EN502" s="119">
        <v>9</v>
      </c>
      <c r="EO502" s="115">
        <v>10</v>
      </c>
      <c r="EP502" s="115">
        <v>525.7899994742105</v>
      </c>
      <c r="EQ502" s="115">
        <v>78</v>
      </c>
      <c r="ER502" s="115">
        <v>9.6</v>
      </c>
      <c r="ES502" s="115">
        <v>123</v>
      </c>
      <c r="ET502" s="150">
        <v>0.16666666666666666</v>
      </c>
      <c r="EU502" s="145">
        <f t="shared" si="400"/>
        <v>18</v>
      </c>
      <c r="EV502" s="115">
        <f t="shared" si="380"/>
        <v>18</v>
      </c>
      <c r="EW502" s="115">
        <f t="shared" si="380"/>
        <v>48</v>
      </c>
      <c r="EX502" s="115">
        <f t="shared" si="380"/>
        <v>18</v>
      </c>
      <c r="EY502" s="115" t="str">
        <f t="shared" si="357"/>
        <v>Постоянный</v>
      </c>
      <c r="EZ502" s="115">
        <f t="shared" si="357"/>
        <v>24</v>
      </c>
      <c r="FA502" s="115">
        <f t="shared" si="357"/>
        <v>0</v>
      </c>
      <c r="FB502" s="149">
        <f t="shared" si="405"/>
        <v>8.36</v>
      </c>
      <c r="FC502" s="142">
        <f t="shared" si="405"/>
        <v>10</v>
      </c>
      <c r="FD502" s="119">
        <f t="shared" si="405"/>
        <v>0</v>
      </c>
      <c r="FE502" s="121">
        <f t="shared" si="405"/>
        <v>13</v>
      </c>
      <c r="FF502" s="121">
        <f t="shared" si="407"/>
        <v>406.69856459330151</v>
      </c>
      <c r="FG502" s="121">
        <f t="shared" si="381"/>
        <v>70</v>
      </c>
      <c r="FH502" s="121">
        <f t="shared" si="358"/>
        <v>9.6</v>
      </c>
      <c r="FI502" s="121">
        <f t="shared" si="355"/>
        <v>71</v>
      </c>
      <c r="FJ502" s="144">
        <f t="shared" si="382"/>
        <v>0.17241379310344829</v>
      </c>
      <c r="FK502" s="132">
        <f t="shared" si="383"/>
        <v>0</v>
      </c>
      <c r="FL502" s="115">
        <f t="shared" si="383"/>
        <v>-11</v>
      </c>
      <c r="FM502" s="115">
        <f t="shared" si="383"/>
        <v>-20</v>
      </c>
      <c r="FN502" s="115">
        <f t="shared" si="371"/>
        <v>-10</v>
      </c>
      <c r="FO502" s="115">
        <f t="shared" si="403"/>
        <v>0</v>
      </c>
      <c r="FP502" s="115">
        <f t="shared" si="403"/>
        <v>0</v>
      </c>
      <c r="FQ502" s="149">
        <f t="shared" si="403"/>
        <v>7.5992399999999991</v>
      </c>
      <c r="FR502" s="142">
        <f t="shared" si="403"/>
        <v>9</v>
      </c>
      <c r="FS502" s="119">
        <f t="shared" si="403"/>
        <v>-9</v>
      </c>
      <c r="FT502" s="121">
        <f t="shared" si="403"/>
        <v>3</v>
      </c>
      <c r="FU502" s="121">
        <f t="shared" si="384"/>
        <v>-8</v>
      </c>
      <c r="FV502" s="121">
        <f t="shared" si="384"/>
        <v>0</v>
      </c>
      <c r="FW502" s="121">
        <f t="shared" si="385"/>
        <v>-119.09143488090899</v>
      </c>
      <c r="FX502" s="121">
        <f>CN502-ES502</f>
        <v>-52</v>
      </c>
      <c r="FY502" s="144">
        <f t="shared" si="386"/>
        <v>5.7471264367816299E-3</v>
      </c>
      <c r="FZ502" s="145" t="s">
        <v>199</v>
      </c>
      <c r="GA502" s="151" t="s">
        <v>1806</v>
      </c>
      <c r="GB502" s="145" t="s">
        <v>199</v>
      </c>
      <c r="GC502" s="151" t="s">
        <v>1807</v>
      </c>
      <c r="GD502" s="997" t="s">
        <v>416</v>
      </c>
      <c r="GE502" s="1004" t="s">
        <v>199</v>
      </c>
      <c r="GF502" s="1004">
        <v>-1.5215200000000002</v>
      </c>
      <c r="GG502" s="1004"/>
      <c r="GH502" s="1004">
        <v>0</v>
      </c>
      <c r="GI502" s="145"/>
      <c r="GJ502" s="996">
        <v>0</v>
      </c>
      <c r="GK502" s="145" t="s">
        <v>207</v>
      </c>
      <c r="GL502" s="996">
        <v>-5.6597199999999992</v>
      </c>
      <c r="GM502" s="1005"/>
      <c r="GN502" s="996">
        <v>0</v>
      </c>
      <c r="GO502" s="1006"/>
      <c r="GP502" s="996">
        <v>0</v>
      </c>
      <c r="GQ502" s="1006" t="s">
        <v>203</v>
      </c>
      <c r="GR502" s="996">
        <v>-2.0900000000000007</v>
      </c>
      <c r="GS502" s="1006"/>
      <c r="GT502" s="996">
        <v>0</v>
      </c>
      <c r="GU502" s="1006"/>
      <c r="GV502" s="996">
        <v>0</v>
      </c>
      <c r="GW502" s="1006" t="s">
        <v>203</v>
      </c>
      <c r="GX502" s="996">
        <v>-3.2366442239999991</v>
      </c>
      <c r="GY502" s="1006" t="s">
        <v>25</v>
      </c>
      <c r="GZ502" s="996">
        <v>8.2526442239999991</v>
      </c>
      <c r="HA502" s="1006" t="s">
        <v>199</v>
      </c>
      <c r="HB502" s="996">
        <v>3.3592468008000003</v>
      </c>
      <c r="HC502" s="1006" t="s">
        <v>241</v>
      </c>
      <c r="HD502" s="996">
        <v>0</v>
      </c>
      <c r="HE502" s="1006"/>
      <c r="HF502" s="996">
        <v>0</v>
      </c>
      <c r="HG502" s="1006"/>
      <c r="HH502" s="996">
        <v>0</v>
      </c>
      <c r="HI502" s="1006"/>
      <c r="HJ502" s="996">
        <v>0</v>
      </c>
      <c r="HK502" s="1006" t="s">
        <v>199</v>
      </c>
      <c r="HL502" s="996">
        <v>-7.0543668007999996</v>
      </c>
      <c r="HM502" s="1006"/>
      <c r="HN502" s="996">
        <v>0</v>
      </c>
      <c r="HO502" s="1006"/>
      <c r="HP502" s="996">
        <v>0</v>
      </c>
      <c r="HQ502" s="1006"/>
      <c r="HR502" s="996">
        <v>-0.44042151999999923</v>
      </c>
      <c r="HS502" s="1006" t="s">
        <v>643</v>
      </c>
      <c r="HT502" s="996">
        <v>0</v>
      </c>
      <c r="HU502" s="1006"/>
      <c r="HV502" s="996">
        <v>-0.88045848000000149</v>
      </c>
      <c r="HW502" s="1006" t="s">
        <v>203</v>
      </c>
      <c r="HX502" s="996">
        <v>-3.0913832883999994</v>
      </c>
      <c r="HY502" s="1006"/>
      <c r="HZ502" s="996">
        <v>0</v>
      </c>
      <c r="IA502" s="1006"/>
      <c r="IB502" s="996">
        <v>0</v>
      </c>
      <c r="IC502" s="1006"/>
      <c r="ID502" s="996">
        <v>0.65245812279999882</v>
      </c>
      <c r="IE502" s="1006"/>
      <c r="IF502" s="996">
        <v>0</v>
      </c>
      <c r="IG502" s="1006" t="s">
        <v>25</v>
      </c>
      <c r="IH502" s="996">
        <v>3.8307397656000024</v>
      </c>
      <c r="II502" s="1006"/>
      <c r="IJ502" s="996">
        <v>0</v>
      </c>
      <c r="IK502" s="1006"/>
      <c r="IL502" s="996">
        <v>-0.49570620000000076</v>
      </c>
      <c r="IM502" s="1006"/>
      <c r="IN502" s="996">
        <v>0</v>
      </c>
      <c r="IO502" s="1006"/>
      <c r="IP502" s="996">
        <v>0</v>
      </c>
      <c r="IQ502" s="1006" t="s">
        <v>239</v>
      </c>
      <c r="IR502" s="996">
        <v>1.2733115999999995</v>
      </c>
      <c r="IS502" s="1006"/>
      <c r="IT502" s="996">
        <v>0</v>
      </c>
      <c r="IU502" s="1006"/>
      <c r="IV502" s="996">
        <v>0</v>
      </c>
      <c r="IW502" s="1006"/>
      <c r="IX502" s="996">
        <v>0</v>
      </c>
      <c r="IY502" s="1006"/>
      <c r="IZ502" s="996">
        <v>0</v>
      </c>
      <c r="JA502" s="1006"/>
      <c r="JB502" s="996">
        <v>0</v>
      </c>
      <c r="JC502" s="1006"/>
      <c r="JD502" s="996">
        <v>0</v>
      </c>
      <c r="JE502" s="1006"/>
      <c r="JF502" s="996">
        <v>0</v>
      </c>
      <c r="JG502" s="1006"/>
      <c r="JH502" s="996">
        <v>0</v>
      </c>
      <c r="JI502" s="1006"/>
      <c r="JJ502" s="996">
        <v>0</v>
      </c>
      <c r="JK502" s="1007"/>
      <c r="JL502" s="1007">
        <v>0</v>
      </c>
      <c r="JM502" s="1007" t="s">
        <v>933</v>
      </c>
      <c r="JN502" s="1007">
        <v>-7.8526483200000001</v>
      </c>
      <c r="JO502" s="1008">
        <v>0</v>
      </c>
      <c r="JP502" s="1007">
        <v>-1.5716799999996311E-3</v>
      </c>
      <c r="JQ502" s="1008">
        <v>0</v>
      </c>
      <c r="JR502" s="1007">
        <v>0</v>
      </c>
      <c r="JS502" s="1008"/>
      <c r="JT502" s="1007">
        <v>0</v>
      </c>
      <c r="JU502" s="1008" t="s">
        <v>223</v>
      </c>
      <c r="JV502" s="1007">
        <v>-12.740639999999999</v>
      </c>
      <c r="JW502" s="1008"/>
      <c r="JX502" s="1007">
        <v>0</v>
      </c>
      <c r="JY502" s="1008"/>
      <c r="JZ502" s="1007">
        <v>0</v>
      </c>
      <c r="KA502" s="1008"/>
      <c r="KB502" s="1007">
        <v>0</v>
      </c>
      <c r="KC502" s="1008"/>
      <c r="KD502" s="1007">
        <v>0</v>
      </c>
      <c r="KE502" s="1008"/>
      <c r="KF502" s="1007">
        <v>28.457439999999998</v>
      </c>
      <c r="KG502" s="1008"/>
      <c r="KH502" s="1007">
        <v>0</v>
      </c>
      <c r="KI502" s="1008"/>
      <c r="KJ502" s="1007"/>
      <c r="KK502" s="1008"/>
      <c r="KL502" s="1007"/>
      <c r="KM502" s="1008"/>
      <c r="KN502" s="1007"/>
      <c r="KO502" s="1008"/>
      <c r="KP502" s="1007"/>
      <c r="KQ502" s="1008"/>
      <c r="KR502" s="1007"/>
      <c r="KS502" s="1008"/>
      <c r="KT502" s="1007"/>
      <c r="KU502" s="1008"/>
      <c r="KV502" s="1007"/>
      <c r="KW502" s="1008"/>
      <c r="KX502" s="1007"/>
      <c r="KY502" s="1008"/>
      <c r="KZ502" s="1007"/>
      <c r="LA502" s="1008"/>
      <c r="LB502" s="1007"/>
      <c r="LC502" s="1008"/>
      <c r="LD502" s="1007"/>
      <c r="LE502" s="1008"/>
      <c r="LF502" s="1007"/>
      <c r="LG502" s="1008"/>
      <c r="LH502" s="1007"/>
      <c r="LI502" s="1008"/>
      <c r="LJ502" s="1007"/>
      <c r="LK502" s="1008"/>
      <c r="LL502" s="1007"/>
      <c r="LM502" s="1008"/>
      <c r="LN502" s="1007"/>
      <c r="LO502" s="1008"/>
      <c r="LP502" s="1007"/>
      <c r="LQ502" s="1008"/>
      <c r="LR502" s="1007"/>
      <c r="LS502" s="1008"/>
      <c r="LT502" s="1007"/>
      <c r="LU502" s="1008"/>
      <c r="LV502" s="1007"/>
      <c r="LW502" s="1008"/>
      <c r="LX502" s="1007"/>
      <c r="LY502" s="1009"/>
      <c r="LZ502" s="1010"/>
      <c r="MA502" s="1011"/>
      <c r="MB502" s="1012"/>
      <c r="MC502" s="995"/>
      <c r="MD502" s="996"/>
      <c r="ME502" s="997" t="s">
        <v>416</v>
      </c>
      <c r="MF502" s="997"/>
      <c r="MG502" s="998"/>
      <c r="NR502" s="1000"/>
      <c r="NS502" s="1000"/>
      <c r="NT502" s="1001"/>
      <c r="NU502" s="1000"/>
      <c r="NV502" s="1001"/>
      <c r="NX502" s="1002"/>
      <c r="NZ502" s="1001"/>
      <c r="OA502" s="1001"/>
      <c r="OC502" s="1003"/>
      <c r="OD502" s="1003"/>
      <c r="OE502" s="1001"/>
      <c r="OF502" s="1003"/>
      <c r="OG502" s="1003"/>
      <c r="OH502" s="1003"/>
      <c r="OI502" s="1016"/>
      <c r="QX502" s="1000">
        <f>CN502-CA502</f>
        <v>53</v>
      </c>
      <c r="ASU502" s="999" t="s">
        <v>208</v>
      </c>
    </row>
    <row r="503" spans="1:466 1191:1191" ht="21" customHeight="1" x14ac:dyDescent="0.25">
      <c r="A503" s="982">
        <f t="shared" si="372"/>
        <v>1600</v>
      </c>
      <c r="B503" s="124">
        <f>SUBTOTAL(103,$J$29:J503)</f>
        <v>475</v>
      </c>
      <c r="C503" s="126">
        <v>45068</v>
      </c>
      <c r="D503" s="124" t="s">
        <v>176</v>
      </c>
      <c r="E503" s="127" t="s">
        <v>177</v>
      </c>
      <c r="F503" s="128" t="s">
        <v>177</v>
      </c>
      <c r="G503" s="127" t="s">
        <v>178</v>
      </c>
      <c r="H503" s="127" t="s">
        <v>179</v>
      </c>
      <c r="I503" s="127" t="s">
        <v>1249</v>
      </c>
      <c r="J503" s="152">
        <v>1600</v>
      </c>
      <c r="K503" s="127" t="s">
        <v>1403</v>
      </c>
      <c r="L503" s="130">
        <v>43750</v>
      </c>
      <c r="M503" s="127" t="s">
        <v>230</v>
      </c>
      <c r="N503" s="127" t="s">
        <v>184</v>
      </c>
      <c r="O503" s="127" t="s">
        <v>455</v>
      </c>
      <c r="P503" s="127" t="s">
        <v>292</v>
      </c>
      <c r="Q503" s="127">
        <v>-4</v>
      </c>
      <c r="R503" s="130"/>
      <c r="S503" s="128"/>
      <c r="T503" s="131"/>
      <c r="U503" s="132">
        <v>203</v>
      </c>
      <c r="V503" s="121">
        <v>218.2</v>
      </c>
      <c r="W503" s="116">
        <v>0.98</v>
      </c>
      <c r="X503" s="116">
        <v>1.66</v>
      </c>
      <c r="Y503" s="116">
        <f t="shared" si="408"/>
        <v>0.98</v>
      </c>
      <c r="Z503" s="133">
        <v>1.454</v>
      </c>
      <c r="AA503" s="133">
        <v>0.83599999999999997</v>
      </c>
      <c r="AB503" s="133">
        <v>0.72</v>
      </c>
      <c r="AC503" s="121">
        <v>34.299999999999997</v>
      </c>
      <c r="AD503" s="134">
        <v>1.17</v>
      </c>
      <c r="AE503" s="124">
        <v>177.8</v>
      </c>
      <c r="AF503" s="128">
        <v>9.19</v>
      </c>
      <c r="AG503" s="128">
        <v>2932</v>
      </c>
      <c r="AH503" s="127">
        <v>2864</v>
      </c>
      <c r="AI503" s="127">
        <v>2864</v>
      </c>
      <c r="AJ503" s="135"/>
      <c r="AK503" s="128"/>
      <c r="AL503" s="131"/>
      <c r="AM503" s="124" t="s">
        <v>232</v>
      </c>
      <c r="AN503" s="136" t="s">
        <v>1808</v>
      </c>
      <c r="AO503" s="137">
        <v>25</v>
      </c>
      <c r="AP503" s="128">
        <v>2392</v>
      </c>
      <c r="AQ503" s="128">
        <v>516</v>
      </c>
      <c r="AR503" s="128"/>
      <c r="AS503" s="128"/>
      <c r="AT503" s="122"/>
      <c r="AU503" s="124" t="s">
        <v>189</v>
      </c>
      <c r="AV503" s="128">
        <f>VLOOKUP(J503,'[63]ТР нефть'!$J$28:$BP$638,39,0)</f>
        <v>480</v>
      </c>
      <c r="AW503" s="128" t="str">
        <f>VLOOKUP(J503,'[63]ТР нефть'!$J$28:$BP$638,40,0)</f>
        <v>ГП</v>
      </c>
      <c r="AX503" s="128">
        <f>VLOOKUP(J503,'[63]ТР нефть'!$J$28:$BP$638,41,0)</f>
        <v>920</v>
      </c>
      <c r="AY503" s="128" t="str">
        <f>VLOOKUP(J503,'[63]ТР нефть'!$J$28:$BP$638,42,0)</f>
        <v>ГП</v>
      </c>
      <c r="AZ503" s="128">
        <f>VLOOKUP(J503,'[63]ТР нефть'!$J$28:$BP$638,43,0)</f>
        <v>1300</v>
      </c>
      <c r="BA503" s="128" t="str">
        <f>VLOOKUP(J503,'[63]ТР нефть'!$J$28:$BP$638,44,0)</f>
        <v>ГП</v>
      </c>
      <c r="BB503" s="128">
        <f>VLOOKUP(J503,'[63]ТР нефть'!$J$28:$BP$638,45,0)</f>
        <v>1630</v>
      </c>
      <c r="BC503" s="128" t="str">
        <f>VLOOKUP(J503,'[63]ТР нефть'!$J$28:$BP$638,46,0)</f>
        <v>ГК 78 5/32</v>
      </c>
      <c r="BD503" s="128">
        <f>VLOOKUP(J503,'[63]ТР нефть'!$J$28:$BP$638,47,0)</f>
        <v>1930</v>
      </c>
      <c r="BE503" s="128" t="str">
        <f>VLOOKUP(J503,'[63]ТР нефть'!$J$28:$BP$638,48,0)</f>
        <v>ЦКсОК</v>
      </c>
      <c r="BF503" s="128" t="str">
        <f>VLOOKUP(J503,'[63]ТР нефть'!$J$28:$BP$638,49,0)</f>
        <v>-</v>
      </c>
      <c r="BG503" s="128" t="str">
        <f>VLOOKUP(J503,'[63]ТР нефть'!$J$28:$BP$638,50,0)</f>
        <v>-</v>
      </c>
      <c r="BH503" s="128">
        <f>VLOOKUP(J503,'[63]ТР нефть'!$J$28:$BP$638,51,0)</f>
        <v>1940</v>
      </c>
      <c r="BI503" s="128" t="str">
        <f>VLOOKUP(J503,'[63]ТР нефть'!$J$28:$BP$638,52,0)</f>
        <v>закрыт</v>
      </c>
      <c r="BJ503" s="128" t="str">
        <f>IF(IFERROR(VLOOKUP(J503,'[63]ТР нефть'!$J$28:$BP$638,53,0),"-")=0,"-",IFERROR(VLOOKUP(J503,'[63]ТР нефть'!$J$28:$BP$638,53,0),"-"))</f>
        <v>-</v>
      </c>
      <c r="BK503" s="127" t="str">
        <f>IF(IFERROR(VLOOKUP(J503,'[63]ТР нефть'!$J$28:$BP$638,54,0),"-")=0,"-",IFERROR(VLOOKUP(J503,'[63]ТР нефть'!$J$28:$BP$638,54,0),"-"))</f>
        <v>-</v>
      </c>
      <c r="BL503" s="127" t="str">
        <f>IF(IFERROR(VLOOKUP(J503,'[63]ТР нефть'!$J$28:$BP$638,55,0),"-")=0,"-",IFERROR(VLOOKUP(J503,'[63]ТР нефть'!$J$28:$BP$638,55,0),"-"))</f>
        <v>-</v>
      </c>
      <c r="BM503" s="127" t="str">
        <f>IF(IFERROR(VLOOKUP(J503,'[63]ТР нефть'!$J$28:$BP$638,56,0),"-")=0,"-",IFERROR(VLOOKUP(J503,'[63]ТР нефть'!$J$28:$BP$638,56,0),"-"))</f>
        <v>-</v>
      </c>
      <c r="BN503" s="127" t="str">
        <f>IF(IFERROR(VLOOKUP(J503,'[63]ТР нефть'!$J$28:$BP$638,57,0),"-")=0,"-",IFERROR(VLOOKUP(J503,'[63]ТР нефть'!$J$28:$BP$638,57,0),"-"))</f>
        <v>-</v>
      </c>
      <c r="BO503" s="128" t="str">
        <f>IF(IFERROR(VLOOKUP(J503,'[63]ТР нефть'!$J$28:$BP$638,58,0),"-")=0,"-",IFERROR(VLOOKUP(J503,'[63]ТР нефть'!$J$28:$BP$638,58,0),"-"))</f>
        <v>-</v>
      </c>
      <c r="BP503" s="128" t="str">
        <f>IF(IFERROR(VLOOKUP(J503,'[63]ТР нефть'!$J$28:$BP$638,59,0),"-")=0,"-",IFERROR(VLOOKUP(J503,'[63]ТР нефть'!$J$28:$BP$638,59,0),"-"))</f>
        <v>-</v>
      </c>
      <c r="BQ503" s="138">
        <v>2442</v>
      </c>
      <c r="BR503" s="128">
        <v>1886</v>
      </c>
      <c r="BS503" s="115">
        <f t="shared" si="421"/>
        <v>556</v>
      </c>
      <c r="BT503" s="128">
        <v>73</v>
      </c>
      <c r="BU503" s="128">
        <v>5.5</v>
      </c>
      <c r="BV503" s="127">
        <v>18</v>
      </c>
      <c r="BW503" s="127" t="s">
        <v>217</v>
      </c>
      <c r="BX503" s="127" t="s">
        <v>195</v>
      </c>
      <c r="BY503" s="139">
        <v>24</v>
      </c>
      <c r="BZ503" s="139">
        <v>0</v>
      </c>
      <c r="CA503" s="138">
        <v>23</v>
      </c>
      <c r="CB503" s="138">
        <v>34</v>
      </c>
      <c r="CC503" s="138">
        <v>22</v>
      </c>
      <c r="CD503" s="135">
        <v>45017</v>
      </c>
      <c r="CE503" s="138">
        <v>92</v>
      </c>
      <c r="CF503" s="138">
        <v>74</v>
      </c>
      <c r="CG503" s="138" t="str">
        <f t="shared" si="422"/>
        <v>В работе</v>
      </c>
      <c r="CH503" s="138" t="s">
        <v>235</v>
      </c>
      <c r="CI503" s="127">
        <v>5</v>
      </c>
      <c r="CJ503" s="138"/>
      <c r="CK503" s="138">
        <f t="shared" si="356"/>
        <v>23</v>
      </c>
      <c r="CL503" s="138"/>
      <c r="CM503" s="99"/>
      <c r="CN503" s="140">
        <v>46</v>
      </c>
      <c r="CO503" s="141">
        <f t="shared" si="373"/>
        <v>5.8519999999999994</v>
      </c>
      <c r="CP503" s="142">
        <v>7</v>
      </c>
      <c r="CQ503" s="143">
        <v>0</v>
      </c>
      <c r="CR503" s="115">
        <v>12.198</v>
      </c>
      <c r="CS503" s="139">
        <v>5.76</v>
      </c>
      <c r="CT503" s="138"/>
      <c r="CU503" s="138">
        <f t="shared" si="418"/>
        <v>6.4380000000000006</v>
      </c>
      <c r="CV503" s="115">
        <f t="shared" si="419"/>
        <v>1100.1367053998636</v>
      </c>
      <c r="CW503" s="115">
        <f t="shared" si="374"/>
        <v>984.27887901572115</v>
      </c>
      <c r="CX503" s="133">
        <f t="shared" si="420"/>
        <v>0.15217391304347827</v>
      </c>
      <c r="CY503" s="116"/>
      <c r="CZ503" s="131"/>
      <c r="DA503" s="145" t="str">
        <f t="shared" si="375"/>
        <v>Газлифт</v>
      </c>
      <c r="DB503" s="146">
        <f t="shared" si="390"/>
        <v>5.8519999999999994</v>
      </c>
      <c r="DC503" s="142">
        <f t="shared" si="402"/>
        <v>7</v>
      </c>
      <c r="DD503" s="119">
        <f t="shared" si="416"/>
        <v>0</v>
      </c>
      <c r="DE503" s="115">
        <f t="shared" si="392"/>
        <v>6.4380000000000006</v>
      </c>
      <c r="DF503" s="121">
        <f t="shared" si="376"/>
        <v>5.76</v>
      </c>
      <c r="DG503" s="115">
        <f t="shared" si="377"/>
        <v>1100.1367053998636</v>
      </c>
      <c r="DH503" s="115">
        <f t="shared" si="378"/>
        <v>46</v>
      </c>
      <c r="DI503" s="150"/>
      <c r="DJ503" s="111" t="s">
        <v>197</v>
      </c>
      <c r="DK503" s="112">
        <v>43750</v>
      </c>
      <c r="DL503" s="113">
        <f t="shared" ca="1" si="409"/>
        <v>1354</v>
      </c>
      <c r="DM503" s="114"/>
      <c r="DN503" s="114"/>
      <c r="DO503" s="114"/>
      <c r="DP503" s="114"/>
      <c r="DQ503" s="112"/>
      <c r="DR503" s="114"/>
      <c r="DS503" s="114"/>
      <c r="DT503" s="115">
        <v>55</v>
      </c>
      <c r="DU503" s="116">
        <f t="shared" si="410"/>
        <v>0.1891891891891892</v>
      </c>
      <c r="DV503" s="117">
        <f t="shared" si="411"/>
        <v>5.8519999999999994</v>
      </c>
      <c r="DW503" s="118">
        <f t="shared" si="412"/>
        <v>7</v>
      </c>
      <c r="DX503" s="119">
        <f t="shared" si="379"/>
        <v>0</v>
      </c>
      <c r="DY503" s="115">
        <f t="shared" si="413"/>
        <v>6.4380000000000006</v>
      </c>
      <c r="DZ503" s="117">
        <f t="shared" si="414"/>
        <v>0</v>
      </c>
      <c r="EA503" s="120">
        <f t="shared" si="414"/>
        <v>0</v>
      </c>
      <c r="EB503" s="119">
        <f t="shared" si="387"/>
        <v>0</v>
      </c>
      <c r="EC503" s="121">
        <f t="shared" si="415"/>
        <v>0</v>
      </c>
      <c r="ED503" s="122"/>
      <c r="EE503" s="145">
        <v>18</v>
      </c>
      <c r="EF503" s="115">
        <v>22</v>
      </c>
      <c r="EG503" s="115">
        <v>56</v>
      </c>
      <c r="EH503" s="115">
        <v>21</v>
      </c>
      <c r="EI503" s="128" t="s">
        <v>195</v>
      </c>
      <c r="EJ503" s="121">
        <v>24</v>
      </c>
      <c r="EK503" s="121">
        <v>0</v>
      </c>
      <c r="EL503" s="149">
        <v>5.8519999999999994</v>
      </c>
      <c r="EM503" s="142">
        <v>7</v>
      </c>
      <c r="EN503" s="119">
        <v>0</v>
      </c>
      <c r="EO503" s="115">
        <v>12.198</v>
      </c>
      <c r="EP503" s="115">
        <v>1100.1367053998636</v>
      </c>
      <c r="EQ503" s="115">
        <v>76</v>
      </c>
      <c r="ER503" s="115">
        <v>5.76</v>
      </c>
      <c r="ES503" s="115">
        <v>46</v>
      </c>
      <c r="ET503" s="150">
        <v>0.15217391304347827</v>
      </c>
      <c r="EU503" s="145">
        <f t="shared" si="400"/>
        <v>18</v>
      </c>
      <c r="EV503" s="115">
        <f t="shared" si="380"/>
        <v>23</v>
      </c>
      <c r="EW503" s="115">
        <f t="shared" si="380"/>
        <v>34</v>
      </c>
      <c r="EX503" s="115">
        <f t="shared" si="380"/>
        <v>22</v>
      </c>
      <c r="EY503" s="115" t="str">
        <f t="shared" si="357"/>
        <v>Постоянный</v>
      </c>
      <c r="EZ503" s="115">
        <f t="shared" si="357"/>
        <v>24</v>
      </c>
      <c r="FA503" s="115">
        <f t="shared" si="357"/>
        <v>0</v>
      </c>
      <c r="FB503" s="149">
        <f t="shared" si="405"/>
        <v>5.8519999999999994</v>
      </c>
      <c r="FC503" s="142">
        <f t="shared" si="405"/>
        <v>7</v>
      </c>
      <c r="FD503" s="119">
        <f t="shared" si="405"/>
        <v>0</v>
      </c>
      <c r="FE503" s="121">
        <f t="shared" si="405"/>
        <v>12.198</v>
      </c>
      <c r="FF503" s="121">
        <f t="shared" si="407"/>
        <v>1100.1367053998636</v>
      </c>
      <c r="FG503" s="121">
        <f t="shared" si="381"/>
        <v>74</v>
      </c>
      <c r="FH503" s="121">
        <f t="shared" si="358"/>
        <v>5.76</v>
      </c>
      <c r="FI503" s="121">
        <f t="shared" si="355"/>
        <v>46</v>
      </c>
      <c r="FJ503" s="144">
        <f t="shared" si="382"/>
        <v>0.15217391304347827</v>
      </c>
      <c r="FK503" s="132">
        <f t="shared" si="383"/>
        <v>0</v>
      </c>
      <c r="FL503" s="115">
        <f t="shared" si="383"/>
        <v>1</v>
      </c>
      <c r="FM503" s="115">
        <f t="shared" si="383"/>
        <v>-22</v>
      </c>
      <c r="FN503" s="115">
        <f t="shared" si="371"/>
        <v>1</v>
      </c>
      <c r="FO503" s="115">
        <f t="shared" si="403"/>
        <v>0</v>
      </c>
      <c r="FP503" s="115">
        <f t="shared" si="403"/>
        <v>0</v>
      </c>
      <c r="FQ503" s="149">
        <f t="shared" si="403"/>
        <v>0</v>
      </c>
      <c r="FR503" s="142">
        <f t="shared" si="403"/>
        <v>0</v>
      </c>
      <c r="FS503" s="119">
        <f t="shared" si="403"/>
        <v>0</v>
      </c>
      <c r="FT503" s="121">
        <f t="shared" si="403"/>
        <v>0</v>
      </c>
      <c r="FU503" s="121">
        <f t="shared" si="384"/>
        <v>-2</v>
      </c>
      <c r="FV503" s="121">
        <f t="shared" si="384"/>
        <v>0</v>
      </c>
      <c r="FW503" s="121">
        <f t="shared" si="385"/>
        <v>0</v>
      </c>
      <c r="FX503" s="121">
        <f t="shared" si="386"/>
        <v>0</v>
      </c>
      <c r="FY503" s="144">
        <f t="shared" si="386"/>
        <v>0</v>
      </c>
      <c r="FZ503" s="145"/>
      <c r="GA503" s="151"/>
      <c r="GB503" s="145"/>
      <c r="GC503" s="151"/>
      <c r="GD503" s="997" t="s">
        <v>220</v>
      </c>
      <c r="GE503" s="1004"/>
      <c r="GF503" s="1004">
        <v>0</v>
      </c>
      <c r="GG503" s="1004"/>
      <c r="GH503" s="1004">
        <v>0</v>
      </c>
      <c r="GI503" s="145"/>
      <c r="GJ503" s="996">
        <v>0</v>
      </c>
      <c r="GK503" s="145"/>
      <c r="GL503" s="996">
        <v>0</v>
      </c>
      <c r="GM503" s="1005"/>
      <c r="GN503" s="996">
        <v>0</v>
      </c>
      <c r="GO503" s="1006"/>
      <c r="GP503" s="996">
        <v>0</v>
      </c>
      <c r="GQ503" s="1006"/>
      <c r="GR503" s="996">
        <v>0</v>
      </c>
      <c r="GS503" s="1006"/>
      <c r="GT503" s="996">
        <v>0</v>
      </c>
      <c r="GU503" s="1006"/>
      <c r="GV503" s="996">
        <v>0</v>
      </c>
      <c r="GW503" s="1006"/>
      <c r="GX503" s="996">
        <v>0.41799999999999926</v>
      </c>
      <c r="GY503" s="1006"/>
      <c r="GZ503" s="996">
        <v>0</v>
      </c>
      <c r="HA503" s="1006" t="s">
        <v>199</v>
      </c>
      <c r="HB503" s="996">
        <v>2.1234400000000004</v>
      </c>
      <c r="HC503" s="1006" t="s">
        <v>199</v>
      </c>
      <c r="HD503" s="996">
        <v>-1.6552799999999994</v>
      </c>
      <c r="HE503" s="1006"/>
      <c r="HF503" s="996">
        <v>6.721439999999923E-2</v>
      </c>
      <c r="HG503" s="1006"/>
      <c r="HH503" s="996">
        <v>0.89862559999999991</v>
      </c>
      <c r="HI503" s="1006" t="s">
        <v>223</v>
      </c>
      <c r="HJ503" s="996">
        <v>-7.2080756000000044</v>
      </c>
      <c r="HK503" s="1006"/>
      <c r="HL503" s="996">
        <v>0</v>
      </c>
      <c r="HM503" s="1006" t="s">
        <v>221</v>
      </c>
      <c r="HN503" s="996">
        <v>8.8834196000000034</v>
      </c>
      <c r="HO503" s="1006"/>
      <c r="HP503" s="996">
        <v>0</v>
      </c>
      <c r="HQ503" s="1006"/>
      <c r="HR503" s="996">
        <v>0</v>
      </c>
      <c r="HS503" s="1006"/>
      <c r="HT503" s="996">
        <v>0</v>
      </c>
      <c r="HU503" s="1006"/>
      <c r="HV503" s="996">
        <v>0</v>
      </c>
      <c r="HW503" s="1006"/>
      <c r="HX503" s="996">
        <v>0</v>
      </c>
      <c r="HY503" s="1006"/>
      <c r="HZ503" s="996">
        <v>0</v>
      </c>
      <c r="IA503" s="1006"/>
      <c r="IB503" s="996">
        <v>0</v>
      </c>
      <c r="IC503" s="1006"/>
      <c r="ID503" s="996">
        <v>0</v>
      </c>
      <c r="IE503" s="1006"/>
      <c r="IF503" s="996">
        <v>0</v>
      </c>
      <c r="IG503" s="1006" t="s">
        <v>199</v>
      </c>
      <c r="IH503" s="996">
        <v>-11.129224919999997</v>
      </c>
      <c r="II503" s="1006"/>
      <c r="IJ503" s="996">
        <v>0</v>
      </c>
      <c r="IK503" s="1006" t="s">
        <v>199</v>
      </c>
      <c r="IL503" s="996">
        <v>4.582758047999997</v>
      </c>
      <c r="IM503" s="1006" t="s">
        <v>199</v>
      </c>
      <c r="IN503" s="996">
        <v>-2.4630466079999991</v>
      </c>
      <c r="IO503" s="1006"/>
      <c r="IP503" s="996">
        <v>-0.47766866400000119</v>
      </c>
      <c r="IQ503" s="1006"/>
      <c r="IR503" s="996">
        <v>0</v>
      </c>
      <c r="IS503" s="1006"/>
      <c r="IT503" s="996">
        <v>0</v>
      </c>
      <c r="IU503" s="1006"/>
      <c r="IV503" s="996">
        <v>0</v>
      </c>
      <c r="IW503" s="1006"/>
      <c r="IX503" s="996">
        <v>0</v>
      </c>
      <c r="IY503" s="1006"/>
      <c r="IZ503" s="996">
        <v>0</v>
      </c>
      <c r="JA503" s="1006"/>
      <c r="JB503" s="996">
        <v>0</v>
      </c>
      <c r="JC503" s="1006" t="s">
        <v>204</v>
      </c>
      <c r="JD503" s="996">
        <v>-11.663617856</v>
      </c>
      <c r="JE503" s="1006"/>
      <c r="JF503" s="996">
        <v>0</v>
      </c>
      <c r="JG503" s="1006" t="s">
        <v>204</v>
      </c>
      <c r="JH503" s="996">
        <v>13.1252</v>
      </c>
      <c r="JI503" s="1006"/>
      <c r="JJ503" s="996">
        <v>0</v>
      </c>
      <c r="JK503" s="1007"/>
      <c r="JL503" s="1007">
        <v>0</v>
      </c>
      <c r="JM503" s="1007" t="s">
        <v>342</v>
      </c>
      <c r="JN503" s="1007">
        <v>12.790800000000001</v>
      </c>
      <c r="JO503" s="1008"/>
      <c r="JP503" s="1007"/>
      <c r="JQ503" s="1008"/>
      <c r="JR503" s="1007"/>
      <c r="JS503" s="1008"/>
      <c r="JT503" s="1007"/>
      <c r="JU503" s="1008"/>
      <c r="JV503" s="1007"/>
      <c r="JW503" s="1008"/>
      <c r="JX503" s="1007"/>
      <c r="JY503" s="1008"/>
      <c r="JZ503" s="1007"/>
      <c r="KA503" s="1008"/>
      <c r="KB503" s="1007"/>
      <c r="KC503" s="1008"/>
      <c r="KD503" s="1007"/>
      <c r="KE503" s="1008"/>
      <c r="KF503" s="1007"/>
      <c r="KG503" s="1008"/>
      <c r="KH503" s="1007"/>
      <c r="KI503" s="1008"/>
      <c r="KJ503" s="1007"/>
      <c r="KK503" s="1008"/>
      <c r="KL503" s="1007"/>
      <c r="KM503" s="1008"/>
      <c r="KN503" s="1007"/>
      <c r="KO503" s="1008"/>
      <c r="KP503" s="1007"/>
      <c r="KQ503" s="1008"/>
      <c r="KR503" s="1007"/>
      <c r="KS503" s="1008"/>
      <c r="KT503" s="1007"/>
      <c r="KU503" s="1008"/>
      <c r="KV503" s="1007"/>
      <c r="KW503" s="1008"/>
      <c r="KX503" s="1007"/>
      <c r="KY503" s="1008"/>
      <c r="KZ503" s="1007"/>
      <c r="LA503" s="1008"/>
      <c r="LB503" s="1007"/>
      <c r="LC503" s="1008"/>
      <c r="LD503" s="1007"/>
      <c r="LE503" s="1008"/>
      <c r="LF503" s="1007"/>
      <c r="LG503" s="1008"/>
      <c r="LH503" s="1007"/>
      <c r="LI503" s="1008"/>
      <c r="LJ503" s="1007"/>
      <c r="LK503" s="1008"/>
      <c r="LL503" s="1007"/>
      <c r="LM503" s="1008"/>
      <c r="LN503" s="1007"/>
      <c r="LO503" s="1008"/>
      <c r="LP503" s="1007"/>
      <c r="LQ503" s="1008"/>
      <c r="LR503" s="1007"/>
      <c r="LS503" s="1008"/>
      <c r="LT503" s="1007"/>
      <c r="LU503" s="1008"/>
      <c r="LV503" s="1007"/>
      <c r="LW503" s="1008"/>
      <c r="LX503" s="1007"/>
      <c r="LY503" s="1009"/>
      <c r="LZ503" s="1010"/>
      <c r="MA503" s="1011"/>
      <c r="MB503" s="1012"/>
      <c r="MC503" s="995"/>
      <c r="MD503" s="996"/>
      <c r="ME503" s="997" t="s">
        <v>220</v>
      </c>
      <c r="MF503" s="997">
        <f>CN503-CA503</f>
        <v>23</v>
      </c>
      <c r="MG503" s="998"/>
      <c r="NR503" s="1000"/>
      <c r="NS503" s="1000"/>
      <c r="NT503" s="1001"/>
      <c r="NU503" s="1000"/>
      <c r="NV503" s="1001"/>
      <c r="NX503" s="1002"/>
      <c r="NZ503" s="1001"/>
      <c r="OA503" s="1001"/>
      <c r="OC503" s="1003"/>
      <c r="OD503" s="1003"/>
      <c r="OE503" s="1001"/>
      <c r="OF503" s="1003"/>
      <c r="OG503" s="1003"/>
      <c r="OH503" s="1003"/>
      <c r="OI503" s="1016"/>
      <c r="ASU503" s="999" t="s">
        <v>225</v>
      </c>
    </row>
    <row r="504" spans="1:466 1191:1191" ht="21" customHeight="1" x14ac:dyDescent="0.25">
      <c r="A504" s="982">
        <f t="shared" si="372"/>
        <v>1601</v>
      </c>
      <c r="B504" s="124">
        <f>SUBTOTAL(103,$J$29:J504)</f>
        <v>476</v>
      </c>
      <c r="C504" s="126">
        <v>45068</v>
      </c>
      <c r="D504" s="124" t="s">
        <v>176</v>
      </c>
      <c r="E504" s="127" t="s">
        <v>177</v>
      </c>
      <c r="F504" s="128" t="s">
        <v>177</v>
      </c>
      <c r="G504" s="127" t="s">
        <v>178</v>
      </c>
      <c r="H504" s="127" t="s">
        <v>179</v>
      </c>
      <c r="I504" s="127" t="s">
        <v>1518</v>
      </c>
      <c r="J504" s="152">
        <v>1601</v>
      </c>
      <c r="K504" s="127" t="s">
        <v>1518</v>
      </c>
      <c r="L504" s="130">
        <v>43859</v>
      </c>
      <c r="M504" s="127" t="s">
        <v>230</v>
      </c>
      <c r="N504" s="127" t="s">
        <v>184</v>
      </c>
      <c r="O504" s="127" t="s">
        <v>185</v>
      </c>
      <c r="P504" s="127" t="s">
        <v>186</v>
      </c>
      <c r="Q504" s="85" t="str">
        <f t="shared" ref="Q504:Q567" si="423">IF(R504="","",-4)</f>
        <v/>
      </c>
      <c r="R504" s="130"/>
      <c r="S504" s="128"/>
      <c r="T504" s="131"/>
      <c r="U504" s="132">
        <v>203</v>
      </c>
      <c r="V504" s="121">
        <v>218.2</v>
      </c>
      <c r="W504" s="116">
        <v>0.98</v>
      </c>
      <c r="X504" s="116">
        <v>1.66</v>
      </c>
      <c r="Y504" s="116">
        <f t="shared" si="408"/>
        <v>0.98</v>
      </c>
      <c r="Z504" s="133">
        <v>1.454</v>
      </c>
      <c r="AA504" s="133">
        <v>0.83599999999999997</v>
      </c>
      <c r="AB504" s="133">
        <v>0.72</v>
      </c>
      <c r="AC504" s="121">
        <v>34.299999999999997</v>
      </c>
      <c r="AD504" s="134">
        <v>1.17</v>
      </c>
      <c r="AE504" s="124">
        <v>177.8</v>
      </c>
      <c r="AF504" s="128">
        <v>9.19</v>
      </c>
      <c r="AG504" s="128">
        <v>2932</v>
      </c>
      <c r="AH504" s="127">
        <v>2864</v>
      </c>
      <c r="AI504" s="127">
        <v>2864</v>
      </c>
      <c r="AJ504" s="135"/>
      <c r="AK504" s="128"/>
      <c r="AL504" s="131"/>
      <c r="AM504" s="124" t="s">
        <v>985</v>
      </c>
      <c r="AN504" s="136" t="s">
        <v>1809</v>
      </c>
      <c r="AO504" s="137">
        <v>18</v>
      </c>
      <c r="AP504" s="128">
        <v>2145.38</v>
      </c>
      <c r="AQ504" s="128">
        <v>319</v>
      </c>
      <c r="AR504" s="128"/>
      <c r="AS504" s="128"/>
      <c r="AT504" s="122"/>
      <c r="AU504" s="124" t="s">
        <v>189</v>
      </c>
      <c r="AV504" s="115">
        <f>VLOOKUP(J504,'[63]ТР нефть'!$J$28:$BP$638,39,0)</f>
        <v>524.99999179700001</v>
      </c>
      <c r="AW504" s="115" t="str">
        <f>VLOOKUP(J504,'[63]ТР нефть'!$J$28:$BP$638,40,0)</f>
        <v>ГК 78 1/8</v>
      </c>
      <c r="AX504" s="115">
        <f>VLOOKUP(J504,'[63]ТР нефть'!$J$28:$BP$638,41,0)</f>
        <v>983.000017383</v>
      </c>
      <c r="AY504" s="115" t="str">
        <f>VLOOKUP(J504,'[63]ТР нефть'!$J$28:$BP$638,42,0)</f>
        <v>ГК 79 5/32</v>
      </c>
      <c r="AZ504" s="115">
        <f>VLOOKUP(J504,'[63]ТР нефть'!$J$28:$BP$638,43,0)</f>
        <v>1368.999972656</v>
      </c>
      <c r="BA504" s="115" t="str">
        <f>VLOOKUP(J504,'[63]ТР нефть'!$J$28:$BP$638,44,0)</f>
        <v>ГК 80 5/32</v>
      </c>
      <c r="BB504" s="115">
        <f>VLOOKUP(J504,'[63]ТР нефть'!$J$28:$BP$638,45,0)</f>
        <v>1731.9999550780001</v>
      </c>
      <c r="BC504" s="115" t="str">
        <f>VLOOKUP(J504,'[63]ТР нефть'!$J$28:$BP$638,46,0)</f>
        <v>ГК 80 5/32</v>
      </c>
      <c r="BD504" s="115">
        <f>VLOOKUP(J504,'[63]ТР нефть'!$J$28:$BP$638,47,0)</f>
        <v>1849.9999710940001</v>
      </c>
      <c r="BE504" s="115" t="str">
        <f>VLOOKUP(J504,'[63]ТР нефть'!$J$28:$BP$638,48,0)</f>
        <v>ГК 80 5/32</v>
      </c>
      <c r="BF504" s="115" t="str">
        <f>VLOOKUP(J504,'[63]ТР нефть'!$J$28:$BP$638,49,0)</f>
        <v>-</v>
      </c>
      <c r="BG504" s="115" t="str">
        <f>VLOOKUP(J504,'[63]ТР нефть'!$J$28:$BP$638,50,0)</f>
        <v>-</v>
      </c>
      <c r="BH504" s="115" t="str">
        <f>VLOOKUP(J504,'[63]ТР нефть'!$J$28:$BP$638,51,0)</f>
        <v>-</v>
      </c>
      <c r="BI504" s="115" t="str">
        <f>VLOOKUP(J504,'[63]ТР нефть'!$J$28:$BP$638,52,0)</f>
        <v>-</v>
      </c>
      <c r="BJ504" s="115" t="str">
        <f>IF(IFERROR(VLOOKUP(J504,'[63]ТР нефть'!$J$28:$BP$638,53,0),"-")=0,"-",IFERROR(VLOOKUP(J504,'[63]ТР нефть'!$J$28:$BP$638,53,0),"-"))</f>
        <v>-</v>
      </c>
      <c r="BK504" s="138" t="str">
        <f>IF(IFERROR(VLOOKUP(J504,'[63]ТР нефть'!$J$28:$BP$638,54,0),"-")=0,"-",IFERROR(VLOOKUP(J504,'[63]ТР нефть'!$J$28:$BP$638,54,0),"-"))</f>
        <v>-</v>
      </c>
      <c r="BL504" s="138" t="str">
        <f>IF(IFERROR(VLOOKUP(J504,'[63]ТР нефть'!$J$28:$BP$638,55,0),"-")=0,"-",IFERROR(VLOOKUP(J504,'[63]ТР нефть'!$J$28:$BP$638,55,0),"-"))</f>
        <v>-</v>
      </c>
      <c r="BM504" s="138" t="str">
        <f>IF(IFERROR(VLOOKUP(J504,'[63]ТР нефть'!$J$28:$BP$638,56,0),"-")=0,"-",IFERROR(VLOOKUP(J504,'[63]ТР нефть'!$J$28:$BP$638,56,0),"-"))</f>
        <v>-</v>
      </c>
      <c r="BN504" s="138" t="str">
        <f>IF(IFERROR(VLOOKUP(J504,'[63]ТР нефть'!$J$28:$BP$638,57,0),"-")=0,"-",IFERROR(VLOOKUP(J504,'[63]ТР нефть'!$J$28:$BP$638,57,0),"-"))</f>
        <v>-</v>
      </c>
      <c r="BO504" s="115" t="str">
        <f>IF(IFERROR(VLOOKUP(J504,'[63]ТР нефть'!$J$28:$BP$638,58,0),"-")=0,"-",IFERROR(VLOOKUP(J504,'[63]ТР нефть'!$J$28:$BP$638,58,0),"-"))</f>
        <v>-</v>
      </c>
      <c r="BP504" s="115" t="str">
        <f>IF(IFERROR(VLOOKUP(J504,'[63]ТР нефть'!$J$28:$BP$638,59,0),"-")=0,"-",IFERROR(VLOOKUP(J504,'[63]ТР нефть'!$J$28:$BP$638,59,0),"-"))</f>
        <v>-</v>
      </c>
      <c r="BQ504" s="138">
        <v>2023</v>
      </c>
      <c r="BR504" s="128">
        <v>1887</v>
      </c>
      <c r="BS504" s="115">
        <f t="shared" si="421"/>
        <v>136</v>
      </c>
      <c r="BT504" s="128">
        <v>73</v>
      </c>
      <c r="BU504" s="128">
        <v>5.5</v>
      </c>
      <c r="BV504" s="127">
        <v>18</v>
      </c>
      <c r="BW504" s="127" t="s">
        <v>217</v>
      </c>
      <c r="BX504" s="127" t="s">
        <v>195</v>
      </c>
      <c r="BY504" s="139">
        <v>24</v>
      </c>
      <c r="BZ504" s="139">
        <v>0</v>
      </c>
      <c r="CA504" s="138">
        <v>24</v>
      </c>
      <c r="CB504" s="138">
        <v>34</v>
      </c>
      <c r="CC504" s="138">
        <v>23</v>
      </c>
      <c r="CD504" s="135">
        <v>45017</v>
      </c>
      <c r="CE504" s="138">
        <v>87</v>
      </c>
      <c r="CF504" s="138">
        <v>76</v>
      </c>
      <c r="CG504" s="138" t="str">
        <f t="shared" si="422"/>
        <v>В работе</v>
      </c>
      <c r="CH504" s="138" t="s">
        <v>272</v>
      </c>
      <c r="CI504" s="127">
        <v>5</v>
      </c>
      <c r="CJ504" s="138"/>
      <c r="CK504" s="138">
        <f t="shared" si="356"/>
        <v>29</v>
      </c>
      <c r="CL504" s="99"/>
      <c r="CM504" s="99"/>
      <c r="CN504" s="140">
        <v>53</v>
      </c>
      <c r="CO504" s="141">
        <f t="shared" si="373"/>
        <v>4.5979999999999999</v>
      </c>
      <c r="CP504" s="142">
        <v>5.5</v>
      </c>
      <c r="CQ504" s="143">
        <v>0</v>
      </c>
      <c r="CR504" s="115">
        <v>17</v>
      </c>
      <c r="CS504" s="139">
        <v>8.4</v>
      </c>
      <c r="CT504" s="138"/>
      <c r="CU504" s="138">
        <f t="shared" si="418"/>
        <v>8.6</v>
      </c>
      <c r="CV504" s="115">
        <f t="shared" si="419"/>
        <v>1870.378425402349</v>
      </c>
      <c r="CW504" s="115">
        <f t="shared" si="374"/>
        <v>1826.8812527185735</v>
      </c>
      <c r="CX504" s="133">
        <f t="shared" si="420"/>
        <v>0.16176470588235295</v>
      </c>
      <c r="CY504" s="116"/>
      <c r="CZ504" s="131"/>
      <c r="DA504" s="145" t="str">
        <f t="shared" si="375"/>
        <v>Газлифт</v>
      </c>
      <c r="DB504" s="146">
        <f t="shared" si="390"/>
        <v>4.5979999999999999</v>
      </c>
      <c r="DC504" s="142">
        <f t="shared" si="402"/>
        <v>5.5</v>
      </c>
      <c r="DD504" s="119">
        <f t="shared" si="416"/>
        <v>0</v>
      </c>
      <c r="DE504" s="115">
        <f t="shared" si="392"/>
        <v>8.6</v>
      </c>
      <c r="DF504" s="121">
        <f t="shared" si="376"/>
        <v>8.4</v>
      </c>
      <c r="DG504" s="115">
        <f t="shared" si="377"/>
        <v>1870.378425402349</v>
      </c>
      <c r="DH504" s="115">
        <f t="shared" si="378"/>
        <v>53</v>
      </c>
      <c r="DI504" s="147"/>
      <c r="DJ504" s="111"/>
      <c r="DK504" s="112">
        <v>43859</v>
      </c>
      <c r="DL504" s="113">
        <f t="shared" ca="1" si="409"/>
        <v>1245</v>
      </c>
      <c r="DM504" s="114"/>
      <c r="DN504" s="114"/>
      <c r="DO504" s="114"/>
      <c r="DP504" s="114"/>
      <c r="DQ504" s="112"/>
      <c r="DR504" s="114"/>
      <c r="DS504" s="114"/>
      <c r="DT504" s="115">
        <v>56</v>
      </c>
      <c r="DU504" s="116">
        <f t="shared" si="410"/>
        <v>0.17741935483870969</v>
      </c>
      <c r="DV504" s="117">
        <f t="shared" si="411"/>
        <v>4.5979999999999999</v>
      </c>
      <c r="DW504" s="118">
        <f t="shared" si="412"/>
        <v>5.5</v>
      </c>
      <c r="DX504" s="119">
        <f t="shared" si="379"/>
        <v>0</v>
      </c>
      <c r="DY504" s="115">
        <f t="shared" si="413"/>
        <v>8.6</v>
      </c>
      <c r="DZ504" s="117">
        <f t="shared" si="414"/>
        <v>0</v>
      </c>
      <c r="EA504" s="120">
        <f t="shared" si="414"/>
        <v>0</v>
      </c>
      <c r="EB504" s="119">
        <f t="shared" si="387"/>
        <v>0</v>
      </c>
      <c r="EC504" s="121">
        <f t="shared" si="415"/>
        <v>0</v>
      </c>
      <c r="ED504" s="122"/>
      <c r="EE504" s="145">
        <v>18</v>
      </c>
      <c r="EF504" s="115">
        <v>26</v>
      </c>
      <c r="EG504" s="115">
        <v>34</v>
      </c>
      <c r="EH504" s="115">
        <v>25</v>
      </c>
      <c r="EI504" s="128" t="s">
        <v>195</v>
      </c>
      <c r="EJ504" s="121">
        <v>24</v>
      </c>
      <c r="EK504" s="121">
        <v>0</v>
      </c>
      <c r="EL504" s="149">
        <v>4.5979999999999999</v>
      </c>
      <c r="EM504" s="142">
        <v>5.5</v>
      </c>
      <c r="EN504" s="119">
        <v>0</v>
      </c>
      <c r="EO504" s="115">
        <v>17</v>
      </c>
      <c r="EP504" s="115">
        <v>1870.378425402349</v>
      </c>
      <c r="EQ504" s="115">
        <v>76</v>
      </c>
      <c r="ER504" s="115">
        <v>8.4</v>
      </c>
      <c r="ES504" s="115">
        <v>53</v>
      </c>
      <c r="ET504" s="150">
        <v>0.16176470588235295</v>
      </c>
      <c r="EU504" s="145">
        <f t="shared" si="400"/>
        <v>18</v>
      </c>
      <c r="EV504" s="115">
        <f t="shared" si="380"/>
        <v>24</v>
      </c>
      <c r="EW504" s="115">
        <f t="shared" si="380"/>
        <v>34</v>
      </c>
      <c r="EX504" s="115">
        <f t="shared" si="380"/>
        <v>23</v>
      </c>
      <c r="EY504" s="115" t="str">
        <f t="shared" si="357"/>
        <v>Постоянный</v>
      </c>
      <c r="EZ504" s="115">
        <f t="shared" si="357"/>
        <v>24</v>
      </c>
      <c r="FA504" s="115">
        <f t="shared" si="357"/>
        <v>0</v>
      </c>
      <c r="FB504" s="149">
        <f t="shared" si="405"/>
        <v>4.5979999999999999</v>
      </c>
      <c r="FC504" s="142">
        <f t="shared" si="405"/>
        <v>5.5</v>
      </c>
      <c r="FD504" s="119">
        <f t="shared" si="405"/>
        <v>0</v>
      </c>
      <c r="FE504" s="121">
        <f t="shared" si="405"/>
        <v>17</v>
      </c>
      <c r="FF504" s="121">
        <f t="shared" si="407"/>
        <v>1870.378425402349</v>
      </c>
      <c r="FG504" s="121">
        <f t="shared" si="381"/>
        <v>76</v>
      </c>
      <c r="FH504" s="121">
        <f t="shared" si="358"/>
        <v>8.4</v>
      </c>
      <c r="FI504" s="121">
        <f t="shared" si="355"/>
        <v>53</v>
      </c>
      <c r="FJ504" s="144">
        <f t="shared" si="382"/>
        <v>0.16176470588235295</v>
      </c>
      <c r="FK504" s="132">
        <f t="shared" si="383"/>
        <v>0</v>
      </c>
      <c r="FL504" s="115">
        <f t="shared" si="383"/>
        <v>-2</v>
      </c>
      <c r="FM504" s="115">
        <f t="shared" si="383"/>
        <v>0</v>
      </c>
      <c r="FN504" s="115">
        <f t="shared" si="371"/>
        <v>-2</v>
      </c>
      <c r="FO504" s="115">
        <f t="shared" si="403"/>
        <v>0</v>
      </c>
      <c r="FP504" s="115">
        <f t="shared" si="403"/>
        <v>0</v>
      </c>
      <c r="FQ504" s="149">
        <f t="shared" si="403"/>
        <v>0</v>
      </c>
      <c r="FR504" s="142">
        <f t="shared" si="403"/>
        <v>0</v>
      </c>
      <c r="FS504" s="119">
        <f t="shared" si="403"/>
        <v>0</v>
      </c>
      <c r="FT504" s="121">
        <f t="shared" si="403"/>
        <v>0</v>
      </c>
      <c r="FU504" s="121">
        <f t="shared" si="384"/>
        <v>0</v>
      </c>
      <c r="FV504" s="121">
        <f t="shared" si="384"/>
        <v>0</v>
      </c>
      <c r="FW504" s="121">
        <f t="shared" si="385"/>
        <v>0</v>
      </c>
      <c r="FX504" s="121">
        <f t="shared" si="386"/>
        <v>0</v>
      </c>
      <c r="FY504" s="144">
        <f t="shared" si="386"/>
        <v>0</v>
      </c>
      <c r="FZ504" s="145"/>
      <c r="GA504" s="151"/>
      <c r="GB504" s="145"/>
      <c r="GC504" s="151"/>
      <c r="GD504" s="997" t="s">
        <v>220</v>
      </c>
      <c r="GE504" s="1004"/>
      <c r="GF504" s="1004">
        <v>-0.8360000000000003</v>
      </c>
      <c r="GG504" s="1004"/>
      <c r="GH504" s="1004">
        <v>0</v>
      </c>
      <c r="GI504" s="145"/>
      <c r="GJ504" s="996">
        <v>0</v>
      </c>
      <c r="GK504" s="145"/>
      <c r="GL504" s="996">
        <v>0</v>
      </c>
      <c r="GM504" s="1005"/>
      <c r="GN504" s="996">
        <v>0</v>
      </c>
      <c r="GO504" s="1006"/>
      <c r="GP504" s="996">
        <v>0</v>
      </c>
      <c r="GQ504" s="1006"/>
      <c r="GR504" s="996">
        <v>0</v>
      </c>
      <c r="GS504" s="1006"/>
      <c r="GT504" s="996">
        <v>0</v>
      </c>
      <c r="GU504" s="1006"/>
      <c r="GV504" s="996">
        <v>-0.75239999999999974</v>
      </c>
      <c r="GW504" s="1006"/>
      <c r="GX504" s="996">
        <v>0</v>
      </c>
      <c r="GY504" s="1006"/>
      <c r="GZ504" s="996">
        <v>-0.8360000000000003</v>
      </c>
      <c r="HA504" s="1006"/>
      <c r="HB504" s="996">
        <v>0</v>
      </c>
      <c r="HC504" s="1006"/>
      <c r="HD504" s="996">
        <v>0</v>
      </c>
      <c r="HE504" s="1006" t="s">
        <v>199</v>
      </c>
      <c r="HF504" s="996">
        <v>1.6218400000000006</v>
      </c>
      <c r="HG504" s="1006" t="s">
        <v>199</v>
      </c>
      <c r="HH504" s="996">
        <v>-1.2874400000000001</v>
      </c>
      <c r="HI504" s="1006"/>
      <c r="HJ504" s="996">
        <v>0</v>
      </c>
      <c r="HK504" s="1006"/>
      <c r="HL504" s="996">
        <v>0</v>
      </c>
      <c r="HM504" s="1006" t="s">
        <v>204</v>
      </c>
      <c r="HN504" s="996">
        <v>-1.6719999999999997</v>
      </c>
      <c r="HO504" s="1006"/>
      <c r="HP504" s="996">
        <v>0</v>
      </c>
      <c r="HQ504" s="1006" t="s">
        <v>204</v>
      </c>
      <c r="HR504" s="996">
        <v>-10.444983999999998</v>
      </c>
      <c r="HS504" s="1006" t="s">
        <v>204</v>
      </c>
      <c r="HT504" s="996">
        <v>-2.7308107200000009</v>
      </c>
      <c r="HU504" s="1006"/>
      <c r="HV504" s="996">
        <v>-3.4271652800000005</v>
      </c>
      <c r="HW504" s="1006"/>
      <c r="HX504" s="996">
        <v>0</v>
      </c>
      <c r="HY504" s="1006" t="s">
        <v>241</v>
      </c>
      <c r="HZ504" s="996">
        <v>16.435760000000002</v>
      </c>
      <c r="IA504" s="1006"/>
      <c r="IB504" s="996">
        <v>0</v>
      </c>
      <c r="IC504" s="1006"/>
      <c r="ID504" s="996">
        <v>-0.94468000000000174</v>
      </c>
      <c r="IE504" s="1006"/>
      <c r="IF504" s="996">
        <v>0</v>
      </c>
      <c r="IG504" s="1006"/>
      <c r="IH504" s="996">
        <v>0</v>
      </c>
      <c r="II504" s="1006"/>
      <c r="IJ504" s="996">
        <v>0</v>
      </c>
      <c r="IK504" s="1006" t="s">
        <v>203</v>
      </c>
      <c r="IL504" s="996">
        <v>-1.6469199999999997</v>
      </c>
      <c r="IM504" s="1006"/>
      <c r="IN504" s="996">
        <v>0</v>
      </c>
      <c r="IO504" s="1006" t="s">
        <v>199</v>
      </c>
      <c r="IP504" s="996">
        <v>1.9228000000000005</v>
      </c>
      <c r="IQ504" s="1006" t="s">
        <v>199</v>
      </c>
      <c r="IR504" s="996">
        <v>-3.3439999999999994</v>
      </c>
      <c r="IS504" s="1006"/>
      <c r="IT504" s="996">
        <v>0</v>
      </c>
      <c r="IU504" s="1006" t="s">
        <v>199</v>
      </c>
      <c r="IV504" s="996">
        <v>-12.038399999999999</v>
      </c>
      <c r="IW504" s="1006"/>
      <c r="IX504" s="996">
        <v>0</v>
      </c>
      <c r="IY504" s="1006"/>
      <c r="IZ504" s="996">
        <v>0</v>
      </c>
      <c r="JA504" s="1006" t="s">
        <v>203</v>
      </c>
      <c r="JB504" s="996">
        <v>3.3440000000000012</v>
      </c>
      <c r="JC504" s="1006"/>
      <c r="JD504" s="996">
        <v>0</v>
      </c>
      <c r="JE504" s="1006" t="s">
        <v>203</v>
      </c>
      <c r="JF504" s="996">
        <v>-6.1326000000000036</v>
      </c>
      <c r="JG504" s="1006" t="s">
        <v>25</v>
      </c>
      <c r="JH504" s="996">
        <v>27.4</v>
      </c>
      <c r="JI504" s="1006"/>
      <c r="JJ504" s="996"/>
      <c r="JK504" s="1007"/>
      <c r="JL504" s="1007"/>
      <c r="JM504" s="1007"/>
      <c r="JN504" s="1007"/>
      <c r="JO504" s="1008"/>
      <c r="JP504" s="1007"/>
      <c r="JQ504" s="1008"/>
      <c r="JR504" s="1007"/>
      <c r="JS504" s="1008"/>
      <c r="JT504" s="1007"/>
      <c r="JU504" s="1008"/>
      <c r="JV504" s="1007"/>
      <c r="JW504" s="1008"/>
      <c r="JX504" s="1007"/>
      <c r="JY504" s="1008"/>
      <c r="JZ504" s="1007"/>
      <c r="KA504" s="1008"/>
      <c r="KB504" s="1007"/>
      <c r="KC504" s="1008"/>
      <c r="KD504" s="1007"/>
      <c r="KE504" s="1008"/>
      <c r="KF504" s="1007"/>
      <c r="KG504" s="1008"/>
      <c r="KH504" s="1007"/>
      <c r="KI504" s="1008"/>
      <c r="KJ504" s="1007"/>
      <c r="KK504" s="1008"/>
      <c r="KL504" s="1007"/>
      <c r="KM504" s="1008"/>
      <c r="KN504" s="1007"/>
      <c r="KO504" s="1008"/>
      <c r="KP504" s="1007"/>
      <c r="KQ504" s="1008"/>
      <c r="KR504" s="1007"/>
      <c r="KS504" s="1008"/>
      <c r="KT504" s="1007"/>
      <c r="KU504" s="1008"/>
      <c r="KV504" s="1007"/>
      <c r="KW504" s="1008"/>
      <c r="KX504" s="1007"/>
      <c r="KY504" s="1008"/>
      <c r="KZ504" s="1007"/>
      <c r="LA504" s="1008"/>
      <c r="LB504" s="1007"/>
      <c r="LC504" s="1008"/>
      <c r="LD504" s="1007"/>
      <c r="LE504" s="1008"/>
      <c r="LF504" s="1007"/>
      <c r="LG504" s="1008"/>
      <c r="LH504" s="1007"/>
      <c r="LI504" s="1008"/>
      <c r="LJ504" s="1007"/>
      <c r="LK504" s="1008"/>
      <c r="LL504" s="1007"/>
      <c r="LM504" s="1008"/>
      <c r="LN504" s="1007"/>
      <c r="LO504" s="1008"/>
      <c r="LP504" s="1007"/>
      <c r="LQ504" s="1008"/>
      <c r="LR504" s="1007"/>
      <c r="LS504" s="1008"/>
      <c r="LT504" s="1007"/>
      <c r="LU504" s="1008"/>
      <c r="LV504" s="1007"/>
      <c r="LW504" s="1008"/>
      <c r="LX504" s="1007"/>
      <c r="LY504" s="1009"/>
      <c r="LZ504" s="1010"/>
      <c r="MA504" s="1011"/>
      <c r="MB504" s="1012"/>
      <c r="MC504" s="995"/>
      <c r="MD504" s="996"/>
      <c r="ME504" s="997" t="s">
        <v>220</v>
      </c>
      <c r="MF504" s="997"/>
      <c r="MG504" s="998"/>
      <c r="NR504" s="1000"/>
      <c r="NS504" s="1000"/>
      <c r="NT504" s="1001"/>
      <c r="NU504" s="1000"/>
      <c r="NV504" s="1001"/>
      <c r="NX504" s="1002"/>
      <c r="NZ504" s="1001"/>
      <c r="OA504" s="1001"/>
      <c r="OC504" s="1003"/>
      <c r="OD504" s="1003"/>
      <c r="OE504" s="1001"/>
      <c r="OF504" s="1003"/>
      <c r="OG504" s="1003"/>
      <c r="OH504" s="1003"/>
      <c r="OI504" s="1016"/>
      <c r="QX504" s="1000">
        <f>CN504-CA504</f>
        <v>29</v>
      </c>
      <c r="ASU504" s="999" t="s">
        <v>208</v>
      </c>
    </row>
    <row r="505" spans="1:466 1191:1191" ht="21" customHeight="1" x14ac:dyDescent="0.25">
      <c r="A505" s="982">
        <f t="shared" si="372"/>
        <v>1602</v>
      </c>
      <c r="B505" s="124">
        <f>SUBTOTAL(103,$J$29:J505)</f>
        <v>477</v>
      </c>
      <c r="C505" s="126">
        <v>45068</v>
      </c>
      <c r="D505" s="124" t="s">
        <v>176</v>
      </c>
      <c r="E505" s="127" t="s">
        <v>177</v>
      </c>
      <c r="F505" s="128" t="s">
        <v>177</v>
      </c>
      <c r="G505" s="127" t="s">
        <v>178</v>
      </c>
      <c r="H505" s="127" t="s">
        <v>179</v>
      </c>
      <c r="I505" s="127" t="s">
        <v>1410</v>
      </c>
      <c r="J505" s="152">
        <v>1602</v>
      </c>
      <c r="K505" s="127" t="s">
        <v>1810</v>
      </c>
      <c r="L505" s="130">
        <v>44232</v>
      </c>
      <c r="M505" s="127" t="s">
        <v>230</v>
      </c>
      <c r="N505" s="127" t="s">
        <v>245</v>
      </c>
      <c r="O505" s="127" t="s">
        <v>292</v>
      </c>
      <c r="P505" s="127" t="s">
        <v>292</v>
      </c>
      <c r="Q505" s="85" t="str">
        <f t="shared" si="423"/>
        <v/>
      </c>
      <c r="R505" s="130"/>
      <c r="S505" s="157"/>
      <c r="T505" s="136"/>
      <c r="U505" s="132">
        <v>203</v>
      </c>
      <c r="V505" s="121">
        <v>218.2</v>
      </c>
      <c r="W505" s="116">
        <v>0.98</v>
      </c>
      <c r="X505" s="116">
        <v>1.66</v>
      </c>
      <c r="Y505" s="116">
        <f t="shared" si="408"/>
        <v>1.3712301286265782</v>
      </c>
      <c r="Z505" s="133">
        <v>1.454</v>
      </c>
      <c r="AA505" s="133">
        <v>0.83599999999999997</v>
      </c>
      <c r="AB505" s="133">
        <v>0.72</v>
      </c>
      <c r="AC505" s="121">
        <v>34.299999999999997</v>
      </c>
      <c r="AD505" s="134">
        <v>1.17</v>
      </c>
      <c r="AE505" s="124">
        <v>177.8</v>
      </c>
      <c r="AF505" s="128" t="s">
        <v>1811</v>
      </c>
      <c r="AG505" s="128">
        <v>2454</v>
      </c>
      <c r="AH505" s="127">
        <v>3372</v>
      </c>
      <c r="AI505" s="127">
        <v>3372</v>
      </c>
      <c r="AJ505" s="135">
        <v>44862</v>
      </c>
      <c r="AK505" s="128" t="s">
        <v>1018</v>
      </c>
      <c r="AL505" s="131"/>
      <c r="AM505" s="124" t="s">
        <v>232</v>
      </c>
      <c r="AN505" s="136" t="s">
        <v>1812</v>
      </c>
      <c r="AO505" s="137"/>
      <c r="AP505" s="128">
        <v>2454</v>
      </c>
      <c r="AQ505" s="128">
        <v>604</v>
      </c>
      <c r="AR505" s="128"/>
      <c r="AS505" s="128"/>
      <c r="AT505" s="122"/>
      <c r="AU505" s="124" t="s">
        <v>883</v>
      </c>
      <c r="AV505" s="115">
        <f>VLOOKUP(J505,'[63]ТР нефть'!$J$28:$BP$638,39,0)</f>
        <v>510.00001435500002</v>
      </c>
      <c r="AW505" s="115" t="str">
        <f>VLOOKUP(J505,'[63]ТР нефть'!$J$28:$BP$638,40,0)</f>
        <v>ГП</v>
      </c>
      <c r="AX505" s="115">
        <f>VLOOKUP(J505,'[63]ТР нефть'!$J$28:$BP$638,41,0)</f>
        <v>1030.000013672</v>
      </c>
      <c r="AY505" s="115" t="str">
        <f>VLOOKUP(J505,'[63]ТР нефть'!$J$28:$BP$638,42,0)</f>
        <v>ГП</v>
      </c>
      <c r="AZ505" s="115">
        <f>VLOOKUP(J505,'[63]ТР нефть'!$J$28:$BP$638,43,0)</f>
        <v>1449.9999773439999</v>
      </c>
      <c r="BA505" s="115" t="str">
        <f>VLOOKUP(J505,'[63]ТР нефть'!$J$28:$BP$638,44,0)</f>
        <v>ГП</v>
      </c>
      <c r="BB505" s="115">
        <f>VLOOKUP(J505,'[63]ТР нефть'!$J$28:$BP$638,45,0)</f>
        <v>1799.999971875</v>
      </c>
      <c r="BC505" s="115" t="str">
        <f>VLOOKUP(J505,'[63]ТР нефть'!$J$28:$BP$638,46,0)</f>
        <v>ГК 90 3/16</v>
      </c>
      <c r="BD505" s="115">
        <f>VLOOKUP(J505,'[63]ТР нефть'!$J$28:$BP$638,47,0)</f>
        <v>2090.0000566409999</v>
      </c>
      <c r="BE505" s="115" t="str">
        <f>VLOOKUP(J505,'[63]ТР нефть'!$J$28:$BP$638,48,0)</f>
        <v>ЦКсОК 5/16</v>
      </c>
      <c r="BF505" s="115" t="str">
        <f>VLOOKUP(J505,'[63]ТР нефть'!$J$28:$BP$638,49,0)</f>
        <v>-</v>
      </c>
      <c r="BG505" s="115" t="str">
        <f>VLOOKUP(J505,'[63]ТР нефть'!$J$28:$BP$638,50,0)</f>
        <v>-</v>
      </c>
      <c r="BH505" s="115" t="str">
        <f>VLOOKUP(J505,'[63]ТР нефть'!$J$28:$BP$638,51,0)</f>
        <v>-</v>
      </c>
      <c r="BI505" s="115" t="str">
        <f>VLOOKUP(J505,'[63]ТР нефть'!$J$28:$BP$638,52,0)</f>
        <v>-</v>
      </c>
      <c r="BJ505" s="115" t="str">
        <f>IF(IFERROR(VLOOKUP(J505,'[63]ТР нефть'!$J$28:$BP$638,53,0),"-")=0,"-",IFERROR(VLOOKUP(J505,'[63]ТР нефть'!$J$28:$BP$638,53,0),"-"))</f>
        <v>-</v>
      </c>
      <c r="BK505" s="80" t="s">
        <v>1813</v>
      </c>
      <c r="BL505" s="138" t="str">
        <f>IF(IFERROR(VLOOKUP(J505,'[63]ТР нефть'!$J$28:$BP$638,55,0),"-")=0,"-",IFERROR(VLOOKUP(J505,'[63]ТР нефть'!$J$28:$BP$638,55,0),"-"))</f>
        <v>-</v>
      </c>
      <c r="BM505" s="138">
        <v>1545</v>
      </c>
      <c r="BN505" s="138">
        <v>42.5</v>
      </c>
      <c r="BO505" s="115" t="str">
        <f>IF(IFERROR(VLOOKUP(J505,'[63]ТР нефть'!$J$28:$BP$638,58,0),"-")=0,"-",IFERROR(VLOOKUP(J505,'[63]ТР нефть'!$J$28:$BP$638,58,0),"-"))</f>
        <v>-</v>
      </c>
      <c r="BP505" s="115" t="str">
        <f>IF(IFERROR(VLOOKUP(J505,'[63]ТР нефть'!$J$28:$BP$638,59,0),"-")=0,"-",IFERROR(VLOOKUP(J505,'[63]ТР нефть'!$J$28:$BP$638,59,0),"-"))</f>
        <v>-</v>
      </c>
      <c r="BQ505" s="138">
        <v>2010</v>
      </c>
      <c r="BR505" s="128">
        <v>1634.7</v>
      </c>
      <c r="BS505" s="115">
        <f t="shared" si="421"/>
        <v>375.29999999999995</v>
      </c>
      <c r="BT505" s="128">
        <v>73</v>
      </c>
      <c r="BU505" s="128">
        <v>5.5</v>
      </c>
      <c r="BV505" s="127">
        <v>18</v>
      </c>
      <c r="BW505" s="127"/>
      <c r="BX505" s="127" t="s">
        <v>195</v>
      </c>
      <c r="BY505" s="139">
        <v>24</v>
      </c>
      <c r="BZ505" s="139">
        <v>0</v>
      </c>
      <c r="CA505" s="138">
        <v>27</v>
      </c>
      <c r="CB505" s="138">
        <v>26</v>
      </c>
      <c r="CC505" s="138">
        <v>26</v>
      </c>
      <c r="CD505" s="135">
        <v>45017</v>
      </c>
      <c r="CE505" s="138">
        <v>158.80000000000001</v>
      </c>
      <c r="CF505" s="138"/>
      <c r="CG505" s="138" t="str">
        <f t="shared" si="422"/>
        <v/>
      </c>
      <c r="CH505" s="138"/>
      <c r="CI505" s="127"/>
      <c r="CJ505" s="138"/>
      <c r="CK505" s="138">
        <f t="shared" si="356"/>
        <v>109.82689708524998</v>
      </c>
      <c r="CL505" s="99"/>
      <c r="CM505" s="127">
        <v>115</v>
      </c>
      <c r="CN505" s="154">
        <f>IF(CM505=0,0,(((AP505-AQ505-BR505)*((AD505*(CQ505/100))+(AB505*((100-CQ505)/100)))*9.81/100+CM505)))</f>
        <v>136.82689708524998</v>
      </c>
      <c r="CO505" s="141">
        <f t="shared" si="373"/>
        <v>24.611421999999997</v>
      </c>
      <c r="CP505" s="142">
        <v>97</v>
      </c>
      <c r="CQ505" s="143">
        <v>69.650000000000006</v>
      </c>
      <c r="CR505" s="138">
        <v>23.07</v>
      </c>
      <c r="CS505" s="139"/>
      <c r="CT505" s="138"/>
      <c r="CU505" s="138">
        <f>IF(CR505&lt;&gt;"0",CR505-CS505,"0")</f>
        <v>23.07</v>
      </c>
      <c r="CV505" s="115">
        <f t="shared" si="419"/>
        <v>937.36964893779816</v>
      </c>
      <c r="CW505" s="115" t="str">
        <f t="shared" si="374"/>
        <v/>
      </c>
      <c r="CX505" s="133">
        <f t="shared" si="420"/>
        <v>4.4144880391419896</v>
      </c>
      <c r="CY505" s="116"/>
      <c r="CZ505" s="131"/>
      <c r="DA505" s="145" t="str">
        <f t="shared" si="375"/>
        <v>ЭЦН</v>
      </c>
      <c r="DB505" s="146">
        <f t="shared" si="390"/>
        <v>24.611421999999997</v>
      </c>
      <c r="DC505" s="142">
        <f t="shared" si="402"/>
        <v>97</v>
      </c>
      <c r="DD505" s="119">
        <f t="shared" si="416"/>
        <v>69.650000000000006</v>
      </c>
      <c r="DE505" s="115">
        <f t="shared" si="392"/>
        <v>23.07</v>
      </c>
      <c r="DF505" s="121">
        <f t="shared" si="376"/>
        <v>0</v>
      </c>
      <c r="DG505" s="115">
        <f t="shared" si="377"/>
        <v>937.36964893779816</v>
      </c>
      <c r="DH505" s="115">
        <f t="shared" si="378"/>
        <v>136.82689708524998</v>
      </c>
      <c r="DI505" s="147"/>
      <c r="DJ505" s="111"/>
      <c r="DK505" s="112"/>
      <c r="DL505" s="113"/>
      <c r="DM505" s="114"/>
      <c r="DN505" s="114"/>
      <c r="DO505" s="114"/>
      <c r="DP505" s="114"/>
      <c r="DQ505" s="112"/>
      <c r="DR505" s="114"/>
      <c r="DS505" s="114"/>
      <c r="DT505" s="115"/>
      <c r="DU505" s="116"/>
      <c r="DV505" s="117"/>
      <c r="DW505" s="118"/>
      <c r="DX505" s="119">
        <f t="shared" si="379"/>
        <v>69.650000000000006</v>
      </c>
      <c r="DY505" s="115"/>
      <c r="DZ505" s="117"/>
      <c r="EA505" s="120">
        <f t="shared" si="414"/>
        <v>-97</v>
      </c>
      <c r="EB505" s="119">
        <f t="shared" si="387"/>
        <v>0</v>
      </c>
      <c r="EC505" s="121">
        <f t="shared" si="415"/>
        <v>-23.07</v>
      </c>
      <c r="ED505" s="122"/>
      <c r="EE505" s="145">
        <v>18</v>
      </c>
      <c r="EF505" s="115">
        <v>27</v>
      </c>
      <c r="EG505" s="115">
        <v>26</v>
      </c>
      <c r="EH505" s="115">
        <v>26</v>
      </c>
      <c r="EI505" s="128" t="s">
        <v>195</v>
      </c>
      <c r="EJ505" s="121">
        <v>24</v>
      </c>
      <c r="EK505" s="121">
        <v>0</v>
      </c>
      <c r="EL505" s="149">
        <v>24.611421999999997</v>
      </c>
      <c r="EM505" s="142">
        <v>97</v>
      </c>
      <c r="EN505" s="119">
        <v>69.650000000000006</v>
      </c>
      <c r="EO505" s="115">
        <v>23.07</v>
      </c>
      <c r="EP505" s="115">
        <v>937.36964893779816</v>
      </c>
      <c r="EQ505" s="115">
        <v>0</v>
      </c>
      <c r="ER505" s="115">
        <v>0</v>
      </c>
      <c r="ES505" s="115">
        <v>136.82689708524998</v>
      </c>
      <c r="ET505" s="150">
        <v>4.4144880391419896</v>
      </c>
      <c r="EU505" s="145">
        <f t="shared" si="400"/>
        <v>18</v>
      </c>
      <c r="EV505" s="115">
        <f t="shared" si="380"/>
        <v>27</v>
      </c>
      <c r="EW505" s="115">
        <f t="shared" si="380"/>
        <v>26</v>
      </c>
      <c r="EX505" s="115">
        <f t="shared" si="380"/>
        <v>26</v>
      </c>
      <c r="EY505" s="115" t="str">
        <f t="shared" si="357"/>
        <v>Постоянный</v>
      </c>
      <c r="EZ505" s="115">
        <f t="shared" si="357"/>
        <v>24</v>
      </c>
      <c r="FA505" s="115">
        <f t="shared" si="357"/>
        <v>0</v>
      </c>
      <c r="FB505" s="149">
        <f t="shared" si="405"/>
        <v>24.611421999999997</v>
      </c>
      <c r="FC505" s="142">
        <f t="shared" si="405"/>
        <v>97</v>
      </c>
      <c r="FD505" s="119">
        <f t="shared" si="405"/>
        <v>69.650000000000006</v>
      </c>
      <c r="FE505" s="121">
        <f t="shared" si="405"/>
        <v>23.07</v>
      </c>
      <c r="FF505" s="121">
        <f t="shared" si="407"/>
        <v>937.36964893779816</v>
      </c>
      <c r="FG505" s="121">
        <f t="shared" si="381"/>
        <v>0</v>
      </c>
      <c r="FH505" s="121">
        <f t="shared" si="358"/>
        <v>0</v>
      </c>
      <c r="FI505" s="121">
        <f t="shared" si="355"/>
        <v>136.82689708524998</v>
      </c>
      <c r="FJ505" s="144">
        <f t="shared" si="382"/>
        <v>4.4144880391419896</v>
      </c>
      <c r="FK505" s="132">
        <f t="shared" si="383"/>
        <v>0</v>
      </c>
      <c r="FL505" s="115">
        <f t="shared" si="383"/>
        <v>0</v>
      </c>
      <c r="FM505" s="115">
        <f t="shared" si="383"/>
        <v>0</v>
      </c>
      <c r="FN505" s="115">
        <f t="shared" si="371"/>
        <v>0</v>
      </c>
      <c r="FO505" s="115">
        <f t="shared" si="403"/>
        <v>0</v>
      </c>
      <c r="FP505" s="115">
        <f t="shared" si="403"/>
        <v>0</v>
      </c>
      <c r="FQ505" s="149">
        <f t="shared" si="403"/>
        <v>0</v>
      </c>
      <c r="FR505" s="142">
        <f t="shared" si="403"/>
        <v>0</v>
      </c>
      <c r="FS505" s="119">
        <f t="shared" si="403"/>
        <v>0</v>
      </c>
      <c r="FT505" s="121">
        <f t="shared" si="403"/>
        <v>0</v>
      </c>
      <c r="FU505" s="121">
        <f t="shared" si="384"/>
        <v>0</v>
      </c>
      <c r="FV505" s="121">
        <f t="shared" si="384"/>
        <v>0</v>
      </c>
      <c r="FW505" s="121">
        <f t="shared" si="385"/>
        <v>0</v>
      </c>
      <c r="FX505" s="121">
        <f t="shared" si="386"/>
        <v>0</v>
      </c>
      <c r="FY505" s="144">
        <f t="shared" si="386"/>
        <v>0</v>
      </c>
      <c r="FZ505" s="145"/>
      <c r="GA505" s="151"/>
      <c r="GB505" s="145" t="s">
        <v>308</v>
      </c>
      <c r="GC505" s="151" t="s">
        <v>1814</v>
      </c>
      <c r="GD505" s="997" t="s">
        <v>220</v>
      </c>
      <c r="GE505" s="1004" t="s">
        <v>308</v>
      </c>
      <c r="GF505" s="1004">
        <v>10.46590072</v>
      </c>
      <c r="GG505" s="1004"/>
      <c r="GH505" s="1004">
        <v>0</v>
      </c>
      <c r="GI505" s="145"/>
      <c r="GJ505" s="996">
        <v>0</v>
      </c>
      <c r="GK505" s="145"/>
      <c r="GL505" s="996">
        <v>0</v>
      </c>
      <c r="GM505" s="1005"/>
      <c r="GN505" s="996">
        <v>0</v>
      </c>
      <c r="GO505" s="1006" t="s">
        <v>349</v>
      </c>
      <c r="GP505" s="996">
        <v>-11.354478720000003</v>
      </c>
      <c r="GQ505" s="1006"/>
      <c r="GR505" s="996">
        <v>0</v>
      </c>
      <c r="GS505" s="1006"/>
      <c r="GT505" s="996"/>
      <c r="GU505" s="1006"/>
      <c r="GV505" s="996"/>
      <c r="GW505" s="1006"/>
      <c r="GX505" s="996"/>
      <c r="GY505" s="1006"/>
      <c r="GZ505" s="996"/>
      <c r="HA505" s="1006"/>
      <c r="HB505" s="996"/>
      <c r="HC505" s="1006"/>
      <c r="HD505" s="996"/>
      <c r="HE505" s="1006"/>
      <c r="HF505" s="996"/>
      <c r="HG505" s="1006"/>
      <c r="HH505" s="996"/>
      <c r="HI505" s="1006"/>
      <c r="HJ505" s="996"/>
      <c r="HK505" s="1006"/>
      <c r="HL505" s="996"/>
      <c r="HM505" s="1006"/>
      <c r="HN505" s="996"/>
      <c r="HO505" s="1006"/>
      <c r="HP505" s="996"/>
      <c r="HQ505" s="1006"/>
      <c r="HR505" s="996"/>
      <c r="HS505" s="1006"/>
      <c r="HT505" s="996"/>
      <c r="HU505" s="1006"/>
      <c r="HV505" s="996"/>
      <c r="HW505" s="1006"/>
      <c r="HX505" s="996"/>
      <c r="HY505" s="1006"/>
      <c r="HZ505" s="996"/>
      <c r="IA505" s="1006"/>
      <c r="IB505" s="996"/>
      <c r="IC505" s="1006"/>
      <c r="ID505" s="996"/>
      <c r="IE505" s="1006"/>
      <c r="IF505" s="996"/>
      <c r="IG505" s="1006"/>
      <c r="IH505" s="996"/>
      <c r="II505" s="1006"/>
      <c r="IJ505" s="996"/>
      <c r="IK505" s="1006"/>
      <c r="IL505" s="996"/>
      <c r="IM505" s="1006"/>
      <c r="IN505" s="996"/>
      <c r="IO505" s="1006"/>
      <c r="IP505" s="996"/>
      <c r="IQ505" s="1006"/>
      <c r="IR505" s="996"/>
      <c r="IS505" s="1006"/>
      <c r="IT505" s="996"/>
      <c r="IU505" s="1006"/>
      <c r="IV505" s="996"/>
      <c r="IW505" s="1006"/>
      <c r="IX505" s="996"/>
      <c r="IY505" s="1006"/>
      <c r="IZ505" s="996"/>
      <c r="JA505" s="1006"/>
      <c r="JB505" s="996"/>
      <c r="JC505" s="1006"/>
      <c r="JD505" s="996"/>
      <c r="JE505" s="1006"/>
      <c r="JF505" s="996"/>
      <c r="JG505" s="1006"/>
      <c r="JH505" s="996"/>
      <c r="JI505" s="1006"/>
      <c r="JJ505" s="996"/>
      <c r="JK505" s="1007"/>
      <c r="JL505" s="1007"/>
      <c r="JM505" s="1007"/>
      <c r="JN505" s="1007"/>
      <c r="JO505" s="1008"/>
      <c r="JP505" s="1007"/>
      <c r="JQ505" s="1008"/>
      <c r="JR505" s="1007"/>
      <c r="JS505" s="1008"/>
      <c r="JT505" s="1007"/>
      <c r="JU505" s="1008"/>
      <c r="JV505" s="1007"/>
      <c r="JW505" s="1008"/>
      <c r="JX505" s="1007"/>
      <c r="JY505" s="1008"/>
      <c r="JZ505" s="1007"/>
      <c r="KA505" s="1008"/>
      <c r="KB505" s="1007"/>
      <c r="KC505" s="1008"/>
      <c r="KD505" s="1007"/>
      <c r="KE505" s="1008"/>
      <c r="KF505" s="1007"/>
      <c r="KG505" s="1008"/>
      <c r="KH505" s="1007"/>
      <c r="KI505" s="1008"/>
      <c r="KJ505" s="1007"/>
      <c r="KK505" s="1008"/>
      <c r="KL505" s="1007"/>
      <c r="KM505" s="1008"/>
      <c r="KN505" s="1007"/>
      <c r="KO505" s="1008"/>
      <c r="KP505" s="1007"/>
      <c r="KQ505" s="1008"/>
      <c r="KR505" s="1007"/>
      <c r="KS505" s="1008"/>
      <c r="KT505" s="1007"/>
      <c r="KU505" s="1008"/>
      <c r="KV505" s="1007"/>
      <c r="KW505" s="1008"/>
      <c r="KX505" s="1007"/>
      <c r="KY505" s="1008"/>
      <c r="KZ505" s="1007"/>
      <c r="LA505" s="1008"/>
      <c r="LB505" s="1007"/>
      <c r="LC505" s="1008"/>
      <c r="LD505" s="1007"/>
      <c r="LE505" s="1008"/>
      <c r="LF505" s="1007"/>
      <c r="LG505" s="1008"/>
      <c r="LH505" s="1007"/>
      <c r="LI505" s="1008"/>
      <c r="LJ505" s="1007"/>
      <c r="LK505" s="1008"/>
      <c r="LL505" s="1007"/>
      <c r="LM505" s="1008"/>
      <c r="LN505" s="1007"/>
      <c r="LO505" s="1008"/>
      <c r="LP505" s="1007"/>
      <c r="LQ505" s="1008"/>
      <c r="LR505" s="1007"/>
      <c r="LS505" s="1008"/>
      <c r="LT505" s="1007"/>
      <c r="LU505" s="1008"/>
      <c r="LV505" s="1007"/>
      <c r="LW505" s="1008"/>
      <c r="LX505" s="1007"/>
      <c r="LY505" s="1009"/>
      <c r="LZ505" s="1010"/>
      <c r="MA505" s="1011"/>
      <c r="MB505" s="1012"/>
      <c r="MC505" s="995"/>
      <c r="MD505" s="996"/>
      <c r="ME505" s="997" t="s">
        <v>220</v>
      </c>
      <c r="MF505" s="997"/>
      <c r="MG505" s="998"/>
      <c r="NR505" s="1000"/>
      <c r="NS505" s="1000"/>
      <c r="NT505" s="1001"/>
      <c r="NU505" s="1000"/>
      <c r="NV505" s="1001"/>
      <c r="NX505" s="1002"/>
      <c r="NZ505" s="1001"/>
      <c r="OA505" s="1001"/>
      <c r="OC505" s="1003"/>
      <c r="OD505" s="1003"/>
      <c r="OE505" s="1001"/>
      <c r="OF505" s="1003"/>
      <c r="OG505" s="1003"/>
      <c r="OH505" s="1003"/>
      <c r="OI505" s="1016"/>
      <c r="QX505" s="1000">
        <f>CN505-CA505</f>
        <v>109.82689708524998</v>
      </c>
    </row>
    <row r="506" spans="1:466 1191:1191" ht="21" customHeight="1" x14ac:dyDescent="0.25">
      <c r="A506" s="982">
        <f t="shared" si="372"/>
        <v>1603</v>
      </c>
      <c r="B506" s="124">
        <f>SUBTOTAL(103,$J$29:J506)</f>
        <v>478</v>
      </c>
      <c r="C506" s="126">
        <v>45068</v>
      </c>
      <c r="D506" s="124" t="s">
        <v>176</v>
      </c>
      <c r="E506" s="127" t="s">
        <v>177</v>
      </c>
      <c r="F506" s="128" t="s">
        <v>177</v>
      </c>
      <c r="G506" s="127" t="s">
        <v>178</v>
      </c>
      <c r="H506" s="127" t="s">
        <v>179</v>
      </c>
      <c r="I506" s="127" t="s">
        <v>1456</v>
      </c>
      <c r="J506" s="152">
        <v>1603</v>
      </c>
      <c r="K506" s="127" t="s">
        <v>1456</v>
      </c>
      <c r="L506" s="130">
        <v>44401</v>
      </c>
      <c r="M506" s="127" t="s">
        <v>230</v>
      </c>
      <c r="N506" s="127" t="s">
        <v>245</v>
      </c>
      <c r="O506" s="127" t="s">
        <v>185</v>
      </c>
      <c r="P506" s="127" t="s">
        <v>186</v>
      </c>
      <c r="Q506" s="85" t="str">
        <f t="shared" si="423"/>
        <v/>
      </c>
      <c r="R506" s="130"/>
      <c r="S506" s="128"/>
      <c r="T506" s="131"/>
      <c r="U506" s="132">
        <v>203</v>
      </c>
      <c r="V506" s="121">
        <v>218.2</v>
      </c>
      <c r="W506" s="116">
        <v>0.98</v>
      </c>
      <c r="X506" s="116">
        <v>1.66</v>
      </c>
      <c r="Y506" s="116">
        <f t="shared" si="408"/>
        <v>1.0627123072903057</v>
      </c>
      <c r="Z506" s="133">
        <v>1.454</v>
      </c>
      <c r="AA506" s="133">
        <v>0.83599999999999997</v>
      </c>
      <c r="AB506" s="133">
        <v>0.72</v>
      </c>
      <c r="AC506" s="121">
        <v>34.299999999999997</v>
      </c>
      <c r="AD506" s="134">
        <v>1.17</v>
      </c>
      <c r="AE506" s="124">
        <v>177.8</v>
      </c>
      <c r="AF506" s="128">
        <v>9.1999999999999993</v>
      </c>
      <c r="AG506" s="128">
        <v>2377</v>
      </c>
      <c r="AH506" s="127">
        <v>3010</v>
      </c>
      <c r="AI506" s="127">
        <v>3010</v>
      </c>
      <c r="AJ506" s="135">
        <v>43984</v>
      </c>
      <c r="AK506" s="128"/>
      <c r="AL506" s="131"/>
      <c r="AM506" s="124" t="s">
        <v>985</v>
      </c>
      <c r="AN506" s="136" t="s">
        <v>1815</v>
      </c>
      <c r="AO506" s="137">
        <v>132.49</v>
      </c>
      <c r="AP506" s="128">
        <v>2603.04</v>
      </c>
      <c r="AQ506" s="128">
        <v>631.79</v>
      </c>
      <c r="AR506" s="128" t="s">
        <v>1816</v>
      </c>
      <c r="AS506" s="128">
        <v>114.3</v>
      </c>
      <c r="AT506" s="122">
        <v>7.4</v>
      </c>
      <c r="AU506" s="124" t="s">
        <v>189</v>
      </c>
      <c r="AV506" s="115">
        <f>VLOOKUP(J506,'[63]ТР нефть'!$J$28:$BP$638,39,0)</f>
        <v>538.00001689500004</v>
      </c>
      <c r="AW506" s="115" t="str">
        <f>VLOOKUP(J506,'[63]ТР нефть'!$J$28:$BP$638,40,0)</f>
        <v>ГК 82 1/8</v>
      </c>
      <c r="AX506" s="115">
        <f>VLOOKUP(J506,'[63]ТР нефть'!$J$28:$BP$638,41,0)</f>
        <v>1055.9999894529999</v>
      </c>
      <c r="AY506" s="115" t="str">
        <f>VLOOKUP(J506,'[63]ТР нефть'!$J$28:$BP$638,42,0)</f>
        <v>ГК 83 1/8</v>
      </c>
      <c r="AZ506" s="115">
        <f>VLOOKUP(J506,'[63]ТР нефть'!$J$28:$BP$638,43,0)</f>
        <v>1461.9999890629999</v>
      </c>
      <c r="BA506" s="115" t="str">
        <f>VLOOKUP(J506,'[63]ТР нефть'!$J$28:$BP$638,44,0)</f>
        <v>ГК 84 1/8</v>
      </c>
      <c r="BB506" s="115">
        <f>VLOOKUP(J506,'[63]ТР нефть'!$J$28:$BP$638,45,0)</f>
        <v>1774.999972266</v>
      </c>
      <c r="BC506" s="115" t="str">
        <f>VLOOKUP(J506,'[63]ТР нефть'!$J$28:$BP$638,46,0)</f>
        <v>ГК 84 1/8</v>
      </c>
      <c r="BD506" s="115">
        <f>VLOOKUP(J506,'[63]ТР нефть'!$J$28:$BP$638,47,0)</f>
        <v>1993.999962891</v>
      </c>
      <c r="BE506" s="115" t="str">
        <f>VLOOKUP(J506,'[63]ТР нефть'!$J$28:$BP$638,48,0)</f>
        <v>ГК 83 1/8</v>
      </c>
      <c r="BF506" s="115" t="str">
        <f>VLOOKUP(J506,'[63]ТР нефть'!$J$28:$BP$638,49,0)</f>
        <v>-</v>
      </c>
      <c r="BG506" s="115" t="str">
        <f>VLOOKUP(J506,'[63]ТР нефть'!$J$28:$BP$638,50,0)</f>
        <v>-</v>
      </c>
      <c r="BH506" s="115" t="str">
        <f>VLOOKUP(J506,'[63]ТР нефть'!$J$28:$BP$638,51,0)</f>
        <v>-</v>
      </c>
      <c r="BI506" s="115" t="str">
        <f>VLOOKUP(J506,'[63]ТР нефть'!$J$28:$BP$638,52,0)</f>
        <v>-</v>
      </c>
      <c r="BJ506" s="115" t="str">
        <f>IF(IFERROR(VLOOKUP(J506,'[63]ТР нефть'!$J$28:$BP$638,53,0),"-")=0,"-",IFERROR(VLOOKUP(J506,'[63]ТР нефть'!$J$28:$BP$638,53,0),"-"))</f>
        <v>-</v>
      </c>
      <c r="BK506" s="138" t="str">
        <f>IF(IFERROR(VLOOKUP(J506,'[63]ТР нефть'!$J$28:$BP$638,54,0),"-")=0,"-",IFERROR(VLOOKUP(J506,'[63]ТР нефть'!$J$28:$BP$638,54,0),"-"))</f>
        <v>-</v>
      </c>
      <c r="BL506" s="138" t="str">
        <f>IF(IFERROR(VLOOKUP(J506,'[63]ТР нефть'!$J$28:$BP$638,55,0),"-")=0,"-",IFERROR(VLOOKUP(J506,'[63]ТР нефть'!$J$28:$BP$638,55,0),"-"))</f>
        <v>-</v>
      </c>
      <c r="BM506" s="138" t="str">
        <f>IF(IFERROR(VLOOKUP(J506,'[63]ТР нефть'!$J$28:$BP$638,56,0),"-")=0,"-",IFERROR(VLOOKUP(J506,'[63]ТР нефть'!$J$28:$BP$638,56,0),"-"))</f>
        <v>-</v>
      </c>
      <c r="BN506" s="138" t="str">
        <f>IF(IFERROR(VLOOKUP(J506,'[63]ТР нефть'!$J$28:$BP$638,57,0),"-")=0,"-",IFERROR(VLOOKUP(J506,'[63]ТР нефть'!$J$28:$BP$638,57,0),"-"))</f>
        <v>-</v>
      </c>
      <c r="BO506" s="115" t="str">
        <f>IF(IFERROR(VLOOKUP(J506,'[63]ТР нефть'!$J$28:$BP$638,58,0),"-")=0,"-",IFERROR(VLOOKUP(J506,'[63]ТР нефть'!$J$28:$BP$638,58,0),"-"))</f>
        <v>-</v>
      </c>
      <c r="BP506" s="115" t="str">
        <f>IF(IFERROR(VLOOKUP(J506,'[63]ТР нефть'!$J$28:$BP$638,59,0),"-")=0,"-",IFERROR(VLOOKUP(J506,'[63]ТР нефть'!$J$28:$BP$638,59,0),"-"))</f>
        <v>-</v>
      </c>
      <c r="BQ506" s="138">
        <v>3010</v>
      </c>
      <c r="BR506" s="128">
        <v>1981.47</v>
      </c>
      <c r="BS506" s="115">
        <f t="shared" si="421"/>
        <v>1028.53</v>
      </c>
      <c r="BT506" s="128">
        <v>73</v>
      </c>
      <c r="BU506" s="128">
        <v>5.5</v>
      </c>
      <c r="BV506" s="127">
        <v>18</v>
      </c>
      <c r="BW506" s="127" t="s">
        <v>217</v>
      </c>
      <c r="BX506" s="127" t="s">
        <v>195</v>
      </c>
      <c r="BY506" s="139">
        <v>24</v>
      </c>
      <c r="BZ506" s="139">
        <v>0</v>
      </c>
      <c r="CA506" s="138">
        <v>18</v>
      </c>
      <c r="CB506" s="138">
        <v>65</v>
      </c>
      <c r="CC506" s="138">
        <v>17</v>
      </c>
      <c r="CD506" s="135">
        <v>45017</v>
      </c>
      <c r="CE506" s="138">
        <v>144</v>
      </c>
      <c r="CF506" s="138">
        <v>84</v>
      </c>
      <c r="CG506" s="138" t="str">
        <f t="shared" si="422"/>
        <v>В работе</v>
      </c>
      <c r="CH506" s="138" t="s">
        <v>235</v>
      </c>
      <c r="CI506" s="127">
        <v>5</v>
      </c>
      <c r="CJ506" s="138"/>
      <c r="CK506" s="138">
        <f t="shared" si="356"/>
        <v>35</v>
      </c>
      <c r="CL506" s="99"/>
      <c r="CM506" s="99"/>
      <c r="CN506" s="140">
        <v>53</v>
      </c>
      <c r="CO506" s="141">
        <f t="shared" si="373"/>
        <v>6.43302</v>
      </c>
      <c r="CP506" s="142">
        <v>9.5</v>
      </c>
      <c r="CQ506" s="143">
        <v>19</v>
      </c>
      <c r="CR506" s="138">
        <v>24</v>
      </c>
      <c r="CS506" s="139">
        <v>12</v>
      </c>
      <c r="CT506" s="138"/>
      <c r="CU506" s="138">
        <f t="shared" si="418"/>
        <v>12</v>
      </c>
      <c r="CV506" s="115">
        <f t="shared" si="419"/>
        <v>1865.3758265946631</v>
      </c>
      <c r="CW506" s="115">
        <f t="shared" si="374"/>
        <v>1407.9202553967345</v>
      </c>
      <c r="CX506" s="133">
        <f t="shared" si="420"/>
        <v>0.1043956043956044</v>
      </c>
      <c r="CY506" s="116"/>
      <c r="CZ506" s="131"/>
      <c r="DA506" s="145" t="str">
        <f t="shared" si="375"/>
        <v>Газлифт</v>
      </c>
      <c r="DB506" s="146">
        <f t="shared" si="390"/>
        <v>6.43302</v>
      </c>
      <c r="DC506" s="142">
        <f t="shared" si="402"/>
        <v>9.5</v>
      </c>
      <c r="DD506" s="119">
        <f t="shared" si="416"/>
        <v>19</v>
      </c>
      <c r="DE506" s="115">
        <f t="shared" si="392"/>
        <v>12</v>
      </c>
      <c r="DF506" s="121">
        <f t="shared" si="376"/>
        <v>12</v>
      </c>
      <c r="DG506" s="115">
        <f t="shared" si="377"/>
        <v>1865.3758265946631</v>
      </c>
      <c r="DH506" s="115">
        <f t="shared" si="378"/>
        <v>53</v>
      </c>
      <c r="DI506" s="147"/>
      <c r="DJ506" s="111"/>
      <c r="DK506" s="112">
        <v>44232</v>
      </c>
      <c r="DL506" s="113">
        <f t="shared" ref="DL506:DL569" ca="1" si="424">TODAY()-DK506</f>
        <v>872</v>
      </c>
      <c r="DM506" s="114"/>
      <c r="DN506" s="114"/>
      <c r="DO506" s="114"/>
      <c r="DP506" s="114"/>
      <c r="DQ506" s="112"/>
      <c r="DR506" s="114"/>
      <c r="DS506" s="114"/>
      <c r="DT506" s="115">
        <v>60</v>
      </c>
      <c r="DU506" s="116">
        <f t="shared" ref="DU506:DU569" si="425">DW506/(CE506-DT506)</f>
        <v>0.1130952380952381</v>
      </c>
      <c r="DV506" s="117">
        <f>DW506*(1-DX506/100)*$AA506</f>
        <v>6.43302</v>
      </c>
      <c r="DW506" s="118">
        <f>IF(DT506&lt;CN506,IF(MQ506=1,CP506,(1-0.2*(DT506/CE506)-0.8*(DT506/CE506)^2)*(CP506/(1-0.2*(CN506/CE506)-0.8*(CN506/CE506)^2))),CP506)</f>
        <v>9.5</v>
      </c>
      <c r="DX506" s="119">
        <f t="shared" si="379"/>
        <v>19</v>
      </c>
      <c r="DY506" s="115">
        <f>(CV506*DV506)/1000</f>
        <v>12</v>
      </c>
      <c r="DZ506" s="117">
        <f t="shared" ref="DZ506:EA537" si="426">DV506-CO506</f>
        <v>0</v>
      </c>
      <c r="EA506" s="120">
        <f t="shared" si="414"/>
        <v>0</v>
      </c>
      <c r="EB506" s="119">
        <f t="shared" si="387"/>
        <v>0</v>
      </c>
      <c r="EC506" s="121">
        <f t="shared" si="415"/>
        <v>0</v>
      </c>
      <c r="ED506" s="122"/>
      <c r="EE506" s="145">
        <v>18</v>
      </c>
      <c r="EF506" s="115">
        <v>19</v>
      </c>
      <c r="EG506" s="115">
        <v>48</v>
      </c>
      <c r="EH506" s="115">
        <v>18</v>
      </c>
      <c r="EI506" s="128" t="s">
        <v>195</v>
      </c>
      <c r="EJ506" s="121">
        <v>24</v>
      </c>
      <c r="EK506" s="121">
        <v>0</v>
      </c>
      <c r="EL506" s="149">
        <v>6.43302</v>
      </c>
      <c r="EM506" s="142">
        <v>9.5</v>
      </c>
      <c r="EN506" s="119">
        <v>19</v>
      </c>
      <c r="EO506" s="115">
        <v>24</v>
      </c>
      <c r="EP506" s="115">
        <v>1865.3758265946631</v>
      </c>
      <c r="EQ506" s="115">
        <v>84</v>
      </c>
      <c r="ER506" s="115">
        <v>12</v>
      </c>
      <c r="ES506" s="115">
        <v>53</v>
      </c>
      <c r="ET506" s="150">
        <v>0.1043956043956044</v>
      </c>
      <c r="EU506" s="145">
        <f t="shared" si="400"/>
        <v>18</v>
      </c>
      <c r="EV506" s="115">
        <f t="shared" si="380"/>
        <v>18</v>
      </c>
      <c r="EW506" s="115">
        <f t="shared" si="380"/>
        <v>65</v>
      </c>
      <c r="EX506" s="115">
        <f t="shared" si="380"/>
        <v>17</v>
      </c>
      <c r="EY506" s="115" t="str">
        <f t="shared" si="357"/>
        <v>Постоянный</v>
      </c>
      <c r="EZ506" s="115">
        <f t="shared" si="357"/>
        <v>24</v>
      </c>
      <c r="FA506" s="115">
        <f t="shared" si="357"/>
        <v>0</v>
      </c>
      <c r="FB506" s="149">
        <f t="shared" si="405"/>
        <v>6.43302</v>
      </c>
      <c r="FC506" s="142">
        <f t="shared" si="405"/>
        <v>9.5</v>
      </c>
      <c r="FD506" s="119">
        <f t="shared" si="405"/>
        <v>19</v>
      </c>
      <c r="FE506" s="121">
        <f t="shared" si="405"/>
        <v>24</v>
      </c>
      <c r="FF506" s="121">
        <f t="shared" si="407"/>
        <v>1865.3758265946631</v>
      </c>
      <c r="FG506" s="121">
        <f t="shared" si="381"/>
        <v>84</v>
      </c>
      <c r="FH506" s="121">
        <f t="shared" si="358"/>
        <v>12</v>
      </c>
      <c r="FI506" s="121">
        <f t="shared" si="355"/>
        <v>53</v>
      </c>
      <c r="FJ506" s="144">
        <f t="shared" si="382"/>
        <v>0.1043956043956044</v>
      </c>
      <c r="FK506" s="132">
        <f t="shared" si="383"/>
        <v>0</v>
      </c>
      <c r="FL506" s="115">
        <f t="shared" si="383"/>
        <v>-1</v>
      </c>
      <c r="FM506" s="115">
        <f t="shared" si="383"/>
        <v>17</v>
      </c>
      <c r="FN506" s="115">
        <f t="shared" si="371"/>
        <v>-1</v>
      </c>
      <c r="FO506" s="115">
        <f t="shared" si="403"/>
        <v>0</v>
      </c>
      <c r="FP506" s="115">
        <f t="shared" si="403"/>
        <v>0</v>
      </c>
      <c r="FQ506" s="149">
        <f t="shared" si="403"/>
        <v>0</v>
      </c>
      <c r="FR506" s="142">
        <f t="shared" si="403"/>
        <v>0</v>
      </c>
      <c r="FS506" s="119">
        <f t="shared" si="403"/>
        <v>0</v>
      </c>
      <c r="FT506" s="121">
        <f t="shared" si="403"/>
        <v>0</v>
      </c>
      <c r="FU506" s="121">
        <f t="shared" si="384"/>
        <v>0</v>
      </c>
      <c r="FV506" s="121">
        <f t="shared" si="384"/>
        <v>0</v>
      </c>
      <c r="FW506" s="121">
        <f t="shared" si="385"/>
        <v>0</v>
      </c>
      <c r="FX506" s="121">
        <f t="shared" si="386"/>
        <v>0</v>
      </c>
      <c r="FY506" s="144">
        <f t="shared" si="386"/>
        <v>0</v>
      </c>
      <c r="FZ506" s="145"/>
      <c r="GA506" s="151"/>
      <c r="GB506" s="145"/>
      <c r="GC506" s="151"/>
      <c r="GD506" s="997" t="s">
        <v>220</v>
      </c>
      <c r="GE506" s="1004"/>
      <c r="GF506" s="1004">
        <v>-0.60359199999999991</v>
      </c>
      <c r="GG506" s="1004"/>
      <c r="GH506" s="1004">
        <v>0</v>
      </c>
      <c r="GI506" s="145"/>
      <c r="GJ506" s="996">
        <v>-0.67613172000000077</v>
      </c>
      <c r="GK506" s="145"/>
      <c r="GL506" s="996">
        <v>-0.10385627999999869</v>
      </c>
      <c r="GM506" s="1005"/>
      <c r="GN506" s="996">
        <v>0</v>
      </c>
      <c r="GO506" s="1006"/>
      <c r="GP506" s="996">
        <v>0</v>
      </c>
      <c r="GQ506" s="1006"/>
      <c r="GR506" s="996">
        <v>-0.1822433184000003</v>
      </c>
      <c r="GS506" s="1006"/>
      <c r="GT506" s="996">
        <v>0.36616331840000083</v>
      </c>
      <c r="GU506" s="1006"/>
      <c r="GV506" s="996">
        <v>2.3909599999998754E-2</v>
      </c>
      <c r="GW506" s="1006" t="s">
        <v>199</v>
      </c>
      <c r="GX506" s="996">
        <v>4.5841224</v>
      </c>
      <c r="GY506" s="1006" t="s">
        <v>199</v>
      </c>
      <c r="GZ506" s="996">
        <v>-1.176251999999999</v>
      </c>
      <c r="HA506" s="1006" t="s">
        <v>199</v>
      </c>
      <c r="HB506" s="996">
        <v>-2.0691000000000006</v>
      </c>
      <c r="HC506" s="1006"/>
      <c r="HD506" s="996">
        <v>0</v>
      </c>
      <c r="HE506" s="1006"/>
      <c r="HF506" s="996">
        <v>0</v>
      </c>
      <c r="HG506" s="1006"/>
      <c r="HH506" s="996">
        <v>0.23407999999999962</v>
      </c>
      <c r="HI506" s="1006" t="s">
        <v>199</v>
      </c>
      <c r="HJ506" s="996">
        <v>-3.9960800000000001</v>
      </c>
      <c r="HK506" s="1006"/>
      <c r="HL506" s="996">
        <v>0</v>
      </c>
      <c r="HM506" s="1006"/>
      <c r="HN506" s="996">
        <v>0</v>
      </c>
      <c r="HO506" s="1006"/>
      <c r="HP506" s="996">
        <v>0</v>
      </c>
      <c r="HQ506" s="1006"/>
      <c r="HR506" s="996">
        <v>0</v>
      </c>
      <c r="HS506" s="1006"/>
      <c r="HT506" s="996">
        <v>0</v>
      </c>
      <c r="HU506" s="1006"/>
      <c r="HV506" s="996">
        <v>0.8360000000000003</v>
      </c>
      <c r="HW506" s="1006"/>
      <c r="HX506" s="996">
        <v>0</v>
      </c>
      <c r="HY506" s="1006" t="s">
        <v>1676</v>
      </c>
      <c r="HZ506" s="996">
        <v>-5.8520000000000003</v>
      </c>
      <c r="IA506" s="1006" t="s">
        <v>203</v>
      </c>
      <c r="IB506" s="996">
        <v>-11.035200000000001</v>
      </c>
      <c r="IC506" s="1006"/>
      <c r="ID506" s="996">
        <v>0</v>
      </c>
      <c r="IE506" s="1006"/>
      <c r="IF506" s="996">
        <v>-0.3151589165999944</v>
      </c>
      <c r="IG506" s="1006" t="s">
        <v>25</v>
      </c>
      <c r="IH506" s="996">
        <v>26.398358916599996</v>
      </c>
      <c r="II506" s="1006"/>
      <c r="IJ506" s="996"/>
      <c r="IK506" s="1006"/>
      <c r="IL506" s="996"/>
      <c r="IM506" s="1006"/>
      <c r="IN506" s="996"/>
      <c r="IO506" s="1006"/>
      <c r="IP506" s="996"/>
      <c r="IQ506" s="1006"/>
      <c r="IR506" s="996"/>
      <c r="IS506" s="1006"/>
      <c r="IT506" s="996"/>
      <c r="IU506" s="1006"/>
      <c r="IV506" s="996"/>
      <c r="IW506" s="1006"/>
      <c r="IX506" s="996"/>
      <c r="IY506" s="1006"/>
      <c r="IZ506" s="996"/>
      <c r="JA506" s="1006"/>
      <c r="JB506" s="996"/>
      <c r="JC506" s="1006"/>
      <c r="JD506" s="996"/>
      <c r="JE506" s="1006"/>
      <c r="JF506" s="996"/>
      <c r="JG506" s="1006"/>
      <c r="JH506" s="996"/>
      <c r="JI506" s="1006"/>
      <c r="JJ506" s="996"/>
      <c r="JK506" s="1007"/>
      <c r="JL506" s="1007"/>
      <c r="JM506" s="1007"/>
      <c r="JN506" s="1007"/>
      <c r="JO506" s="1008"/>
      <c r="JP506" s="1007"/>
      <c r="JQ506" s="1008"/>
      <c r="JR506" s="1007"/>
      <c r="JS506" s="1008"/>
      <c r="JT506" s="1007"/>
      <c r="JU506" s="1008"/>
      <c r="JV506" s="1007"/>
      <c r="JW506" s="1008"/>
      <c r="JX506" s="1007"/>
      <c r="JY506" s="1008"/>
      <c r="JZ506" s="1007"/>
      <c r="KA506" s="1008"/>
      <c r="KB506" s="1007"/>
      <c r="KC506" s="1008"/>
      <c r="KD506" s="1007"/>
      <c r="KE506" s="1008"/>
      <c r="KF506" s="1007"/>
      <c r="KG506" s="1008"/>
      <c r="KH506" s="1007"/>
      <c r="KI506" s="1008"/>
      <c r="KJ506" s="1007"/>
      <c r="KK506" s="1008"/>
      <c r="KL506" s="1007"/>
      <c r="KM506" s="1008"/>
      <c r="KN506" s="1007"/>
      <c r="KO506" s="1008"/>
      <c r="KP506" s="1007"/>
      <c r="KQ506" s="1008"/>
      <c r="KR506" s="1007"/>
      <c r="KS506" s="1008"/>
      <c r="KT506" s="1007"/>
      <c r="KU506" s="1008"/>
      <c r="KV506" s="1007"/>
      <c r="KW506" s="1008"/>
      <c r="KX506" s="1007"/>
      <c r="KY506" s="1008"/>
      <c r="KZ506" s="1007"/>
      <c r="LA506" s="1008"/>
      <c r="LB506" s="1007"/>
      <c r="LC506" s="1008"/>
      <c r="LD506" s="1007"/>
      <c r="LE506" s="1008"/>
      <c r="LF506" s="1007"/>
      <c r="LG506" s="1008"/>
      <c r="LH506" s="1007"/>
      <c r="LI506" s="1008"/>
      <c r="LJ506" s="1007"/>
      <c r="LK506" s="1008"/>
      <c r="LL506" s="1007"/>
      <c r="LM506" s="1008"/>
      <c r="LN506" s="1007"/>
      <c r="LO506" s="1008"/>
      <c r="LP506" s="1007"/>
      <c r="LQ506" s="1008"/>
      <c r="LR506" s="1007"/>
      <c r="LS506" s="1008"/>
      <c r="LT506" s="1007"/>
      <c r="LU506" s="1008"/>
      <c r="LV506" s="1007"/>
      <c r="LW506" s="1008"/>
      <c r="LX506" s="1007"/>
      <c r="LY506" s="1009"/>
      <c r="LZ506" s="1010"/>
      <c r="MA506" s="1011"/>
      <c r="MB506" s="1012"/>
      <c r="MC506" s="995"/>
      <c r="MD506" s="996"/>
      <c r="ME506" s="997" t="s">
        <v>220</v>
      </c>
      <c r="MF506" s="997"/>
      <c r="MG506" s="998"/>
      <c r="NR506" s="1000"/>
      <c r="NS506" s="1000"/>
      <c r="NT506" s="1001"/>
      <c r="NU506" s="1000"/>
      <c r="NV506" s="1001"/>
      <c r="NX506" s="1002"/>
      <c r="NZ506" s="1001"/>
      <c r="OA506" s="1001"/>
      <c r="OC506" s="1003"/>
      <c r="OD506" s="1003"/>
      <c r="OE506" s="1001"/>
      <c r="OF506" s="1003"/>
      <c r="OG506" s="1003"/>
      <c r="QX506" s="1000">
        <f>CN506-CA506</f>
        <v>35</v>
      </c>
      <c r="ASU506" s="999" t="s">
        <v>208</v>
      </c>
    </row>
    <row r="507" spans="1:466 1191:1191" ht="21" customHeight="1" x14ac:dyDescent="0.25">
      <c r="A507" s="982">
        <f t="shared" si="372"/>
        <v>1604</v>
      </c>
      <c r="B507" s="124">
        <f>SUBTOTAL(103,$J$29:J507)</f>
        <v>479</v>
      </c>
      <c r="C507" s="126">
        <v>45068</v>
      </c>
      <c r="D507" s="124" t="s">
        <v>176</v>
      </c>
      <c r="E507" s="127" t="s">
        <v>177</v>
      </c>
      <c r="F507" s="128" t="s">
        <v>177</v>
      </c>
      <c r="G507" s="127" t="s">
        <v>178</v>
      </c>
      <c r="H507" s="127" t="s">
        <v>179</v>
      </c>
      <c r="I507" s="127" t="s">
        <v>1817</v>
      </c>
      <c r="J507" s="152">
        <v>1604</v>
      </c>
      <c r="K507" s="127" t="s">
        <v>1817</v>
      </c>
      <c r="L507" s="130">
        <v>44206</v>
      </c>
      <c r="M507" s="127" t="s">
        <v>230</v>
      </c>
      <c r="N507" s="127" t="s">
        <v>1368</v>
      </c>
      <c r="O507" s="127" t="s">
        <v>185</v>
      </c>
      <c r="P507" s="127" t="s">
        <v>186</v>
      </c>
      <c r="Q507" s="85" t="str">
        <f t="shared" si="423"/>
        <v/>
      </c>
      <c r="R507" s="130"/>
      <c r="S507" s="128"/>
      <c r="T507" s="131"/>
      <c r="U507" s="132">
        <v>203</v>
      </c>
      <c r="V507" s="121">
        <v>218.2</v>
      </c>
      <c r="W507" s="116">
        <v>0.98</v>
      </c>
      <c r="X507" s="116">
        <v>1.66</v>
      </c>
      <c r="Y507" s="116">
        <f t="shared" si="408"/>
        <v>1.6151707704527398</v>
      </c>
      <c r="Z507" s="133">
        <v>1.454</v>
      </c>
      <c r="AA507" s="133">
        <v>0.83599999999999997</v>
      </c>
      <c r="AB507" s="133">
        <v>0.72</v>
      </c>
      <c r="AC507" s="121">
        <v>34.299999999999997</v>
      </c>
      <c r="AD507" s="134">
        <v>1.17</v>
      </c>
      <c r="AE507" s="124">
        <v>177.8</v>
      </c>
      <c r="AF507" s="128">
        <v>9.19</v>
      </c>
      <c r="AG507" s="128">
        <v>2074</v>
      </c>
      <c r="AH507" s="127">
        <v>2922</v>
      </c>
      <c r="AI507" s="127">
        <v>2922</v>
      </c>
      <c r="AJ507" s="135">
        <v>44380</v>
      </c>
      <c r="AK507" s="128" t="s">
        <v>1018</v>
      </c>
      <c r="AL507" s="131"/>
      <c r="AM507" s="124" t="s">
        <v>232</v>
      </c>
      <c r="AN507" s="136" t="s">
        <v>1818</v>
      </c>
      <c r="AO507" s="137">
        <v>55.659999999999854</v>
      </c>
      <c r="AP507" s="128">
        <v>2074</v>
      </c>
      <c r="AQ507" s="128">
        <v>301.08999999999992</v>
      </c>
      <c r="AR507" s="128"/>
      <c r="AS507" s="128"/>
      <c r="AT507" s="122"/>
      <c r="AU507" s="124" t="s">
        <v>883</v>
      </c>
      <c r="AV507" s="115">
        <f>VLOOKUP(J507,'[63]ТР нефть'!$J$28:$BP$638,39,0)</f>
        <v>360</v>
      </c>
      <c r="AW507" s="115" t="str">
        <f>VLOOKUP(J507,'[63]ТР нефть'!$J$28:$BP$638,40,0)</f>
        <v>ГП</v>
      </c>
      <c r="AX507" s="115">
        <f>VLOOKUP(J507,'[63]ТР нефть'!$J$28:$BP$638,41,0)</f>
        <v>770</v>
      </c>
      <c r="AY507" s="115" t="str">
        <f>VLOOKUP(J507,'[63]ТР нефть'!$J$28:$BP$638,42,0)</f>
        <v>ГП</v>
      </c>
      <c r="AZ507" s="115">
        <f>VLOOKUP(J507,'[63]ТР нефть'!$J$28:$BP$638,43,0)</f>
        <v>1060</v>
      </c>
      <c r="BA507" s="115" t="str">
        <f>VLOOKUP(J507,'[63]ТР нефть'!$J$28:$BP$638,44,0)</f>
        <v>ГП</v>
      </c>
      <c r="BB507" s="115">
        <f>VLOOKUP(J507,'[63]ТР нефть'!$J$28:$BP$638,45,0)</f>
        <v>1330</v>
      </c>
      <c r="BC507" s="115" t="str">
        <f>VLOOKUP(J507,'[63]ТР нефть'!$J$28:$BP$638,46,0)</f>
        <v>ГП</v>
      </c>
      <c r="BD507" s="115">
        <f>VLOOKUP(J507,'[63]ТР нефть'!$J$28:$BP$638,47,0)</f>
        <v>1590</v>
      </c>
      <c r="BE507" s="115" t="str">
        <f>VLOOKUP(J507,'[63]ТР нефть'!$J$28:$BP$638,48,0)</f>
        <v>ГП</v>
      </c>
      <c r="BF507" s="115" t="str">
        <f>VLOOKUP(J507,'[63]ТР нефть'!$J$28:$BP$638,49,0)</f>
        <v>-</v>
      </c>
      <c r="BG507" s="115" t="str">
        <f>VLOOKUP(J507,'[63]ТР нефть'!$J$28:$BP$638,50,0)</f>
        <v>-</v>
      </c>
      <c r="BH507" s="115" t="str">
        <f>VLOOKUP(J507,'[63]ТР нефть'!$J$28:$BP$638,51,0)</f>
        <v>-</v>
      </c>
      <c r="BI507" s="115" t="str">
        <f>VLOOKUP(J507,'[63]ТР нефть'!$J$28:$BP$638,52,0)</f>
        <v>-</v>
      </c>
      <c r="BJ507" s="115" t="str">
        <f>IF(IFERROR(VLOOKUP(J507,'[63]ТР нефть'!$J$28:$BP$638,53,0),"-")=0,"-",IFERROR(VLOOKUP(J507,'[63]ТР нефть'!$J$28:$BP$638,53,0),"-"))</f>
        <v>-</v>
      </c>
      <c r="BK507" s="138" t="str">
        <f>IF(IFERROR(VLOOKUP(J507,'[63]ТР нефть'!$J$28:$BP$638,54,0),"-")=0,"-",IFERROR(VLOOKUP(J507,'[63]ТР нефть'!$J$28:$BP$638,54,0),"-"))</f>
        <v>D1050N</v>
      </c>
      <c r="BL507" s="138" t="str">
        <f>IF(IFERROR(VLOOKUP(J507,'[63]ТР нефть'!$J$28:$BP$638,55,0),"-")=0,"-",IFERROR(VLOOKUP(J507,'[63]ТР нефть'!$J$28:$BP$638,55,0),"-"))</f>
        <v>-</v>
      </c>
      <c r="BM507" s="138">
        <f>IF(IFERROR(VLOOKUP(J507,'[63]ТР нефть'!$J$28:$BP$638,56,0),"-")=0,"-",IFERROR(VLOOKUP(J507,'[63]ТР нефть'!$J$28:$BP$638,56,0),"-"))</f>
        <v>1338</v>
      </c>
      <c r="BN507" s="138">
        <f>IF(IFERROR(VLOOKUP(J507,'[63]ТР нефть'!$J$28:$BP$638,57,0),"-")=0,"-",IFERROR(VLOOKUP(J507,'[63]ТР нефть'!$J$28:$BP$638,57,0),"-"))</f>
        <v>47</v>
      </c>
      <c r="BO507" s="115" t="str">
        <f>IF(IFERROR(VLOOKUP(J507,'[63]ТР нефть'!$J$28:$BP$638,58,0),"-")=0,"-",IFERROR(VLOOKUP(J507,'[63]ТР нефть'!$J$28:$BP$638,58,0),"-"))</f>
        <v>-</v>
      </c>
      <c r="BP507" s="115" t="str">
        <f>IF(IFERROR(VLOOKUP(J507,'[63]ТР нефть'!$J$28:$BP$638,59,0),"-")=0,"-",IFERROR(VLOOKUP(J507,'[63]ТР нефть'!$J$28:$BP$638,59,0),"-"))</f>
        <v>-</v>
      </c>
      <c r="BQ507" s="138">
        <v>1996</v>
      </c>
      <c r="BR507" s="128">
        <v>1731</v>
      </c>
      <c r="BS507" s="115">
        <v>345</v>
      </c>
      <c r="BT507" s="128">
        <v>73</v>
      </c>
      <c r="BU507" s="128">
        <v>5.5</v>
      </c>
      <c r="BV507" s="127">
        <v>18</v>
      </c>
      <c r="BW507" s="127" t="s">
        <v>217</v>
      </c>
      <c r="BX507" s="127" t="s">
        <v>195</v>
      </c>
      <c r="BY507" s="139">
        <v>24</v>
      </c>
      <c r="BZ507" s="139">
        <v>0</v>
      </c>
      <c r="CA507" s="138">
        <v>42</v>
      </c>
      <c r="CB507" s="138">
        <v>41</v>
      </c>
      <c r="CC507" s="138">
        <v>42</v>
      </c>
      <c r="CD507" s="135">
        <v>45017</v>
      </c>
      <c r="CE507" s="138">
        <v>152</v>
      </c>
      <c r="CF507" s="138"/>
      <c r="CG507" s="138" t="str">
        <f t="shared" si="422"/>
        <v/>
      </c>
      <c r="CH507" s="138" t="s">
        <v>197</v>
      </c>
      <c r="CI507" s="127"/>
      <c r="CJ507" s="138">
        <f>IF((BR507-(100*(CM507-CB507))/(9.8*(AB507+AA507)/2))&gt;0,BR507-(100*(CM507-CB507))/(9.8*(AB507+AA507)/2),0)</f>
        <v>1245.7159120717697</v>
      </c>
      <c r="CK507" s="138">
        <f t="shared" si="356"/>
        <v>40.736299392000006</v>
      </c>
      <c r="CL507" s="99"/>
      <c r="CM507" s="127">
        <v>78</v>
      </c>
      <c r="CN507" s="154">
        <f>IF(CM507=0,0,(((AP507-AQ507-BR507)*((AD507*(CQ507/100))+(AB507*((100-CQ507)/100)))*9.81/100+CM507)))</f>
        <v>82.736299392000006</v>
      </c>
      <c r="CO507" s="141">
        <f t="shared" si="373"/>
        <v>4.012800000000003</v>
      </c>
      <c r="CP507" s="142">
        <v>120</v>
      </c>
      <c r="CQ507" s="143">
        <v>96</v>
      </c>
      <c r="CR507" s="138">
        <v>17.5</v>
      </c>
      <c r="CS507" s="139"/>
      <c r="CT507" s="138"/>
      <c r="CU507" s="138">
        <f t="shared" si="418"/>
        <v>17.5</v>
      </c>
      <c r="CV507" s="115">
        <f t="shared" si="419"/>
        <v>4361.0446570972854</v>
      </c>
      <c r="CW507" s="115" t="str">
        <f t="shared" si="374"/>
        <v/>
      </c>
      <c r="CX507" s="133">
        <f t="shared" si="420"/>
        <v>1.7325092212318198</v>
      </c>
      <c r="CY507" s="116"/>
      <c r="CZ507" s="131"/>
      <c r="DA507" s="145" t="str">
        <f t="shared" si="375"/>
        <v>ЭЦН</v>
      </c>
      <c r="DB507" s="146">
        <f t="shared" si="390"/>
        <v>4.012800000000003</v>
      </c>
      <c r="DC507" s="142">
        <f t="shared" si="402"/>
        <v>120</v>
      </c>
      <c r="DD507" s="119">
        <f t="shared" si="416"/>
        <v>96</v>
      </c>
      <c r="DE507" s="115">
        <f t="shared" si="392"/>
        <v>17.5</v>
      </c>
      <c r="DF507" s="121">
        <f t="shared" si="376"/>
        <v>0</v>
      </c>
      <c r="DG507" s="115">
        <f t="shared" si="377"/>
        <v>4361.0446570972854</v>
      </c>
      <c r="DH507" s="115">
        <f t="shared" si="378"/>
        <v>82.736299392000006</v>
      </c>
      <c r="DI507" s="147"/>
      <c r="DJ507" s="111"/>
      <c r="DK507" s="112">
        <v>44401</v>
      </c>
      <c r="DL507" s="113">
        <f t="shared" ca="1" si="424"/>
        <v>703</v>
      </c>
      <c r="DM507" s="114"/>
      <c r="DN507" s="114"/>
      <c r="DO507" s="114"/>
      <c r="DP507" s="114"/>
      <c r="DQ507" s="112">
        <v>44401</v>
      </c>
      <c r="DR507" s="114" t="s">
        <v>324</v>
      </c>
      <c r="DS507" s="114"/>
      <c r="DT507" s="115">
        <v>60</v>
      </c>
      <c r="DU507" s="116">
        <f t="shared" si="425"/>
        <v>1.0217391304347827</v>
      </c>
      <c r="DV507" s="117">
        <v>26.6</v>
      </c>
      <c r="DW507" s="118">
        <v>94</v>
      </c>
      <c r="DX507" s="119">
        <v>66</v>
      </c>
      <c r="DY507" s="115">
        <v>10</v>
      </c>
      <c r="DZ507" s="117">
        <f t="shared" si="426"/>
        <v>22.587199999999999</v>
      </c>
      <c r="EA507" s="120">
        <f t="shared" si="414"/>
        <v>-26</v>
      </c>
      <c r="EB507" s="119">
        <f t="shared" si="387"/>
        <v>-30</v>
      </c>
      <c r="EC507" s="121">
        <f t="shared" si="415"/>
        <v>-7.5</v>
      </c>
      <c r="ED507" s="122"/>
      <c r="EE507" s="145">
        <v>18</v>
      </c>
      <c r="EF507" s="115">
        <v>40</v>
      </c>
      <c r="EG507" s="115">
        <v>39</v>
      </c>
      <c r="EH507" s="115">
        <v>39</v>
      </c>
      <c r="EI507" s="128" t="s">
        <v>195</v>
      </c>
      <c r="EJ507" s="121">
        <v>24</v>
      </c>
      <c r="EK507" s="121">
        <v>0</v>
      </c>
      <c r="EL507" s="149">
        <v>4.012800000000003</v>
      </c>
      <c r="EM507" s="142">
        <v>120</v>
      </c>
      <c r="EN507" s="119">
        <v>96</v>
      </c>
      <c r="EO507" s="115">
        <v>17.5</v>
      </c>
      <c r="EP507" s="115">
        <v>4361.0446570972854</v>
      </c>
      <c r="EQ507" s="115">
        <v>0</v>
      </c>
      <c r="ER507" s="115">
        <v>0</v>
      </c>
      <c r="ES507" s="115">
        <v>82.736299392000006</v>
      </c>
      <c r="ET507" s="150">
        <v>1.7325092212318198</v>
      </c>
      <c r="EU507" s="145">
        <f t="shared" si="400"/>
        <v>18</v>
      </c>
      <c r="EV507" s="115">
        <f t="shared" si="380"/>
        <v>42</v>
      </c>
      <c r="EW507" s="115">
        <f t="shared" si="380"/>
        <v>41</v>
      </c>
      <c r="EX507" s="115">
        <f t="shared" si="380"/>
        <v>42</v>
      </c>
      <c r="EY507" s="115" t="str">
        <f t="shared" si="357"/>
        <v>Постоянный</v>
      </c>
      <c r="EZ507" s="115">
        <f t="shared" si="357"/>
        <v>24</v>
      </c>
      <c r="FA507" s="115">
        <f t="shared" si="357"/>
        <v>0</v>
      </c>
      <c r="FB507" s="149">
        <f t="shared" si="405"/>
        <v>4.012800000000003</v>
      </c>
      <c r="FC507" s="142">
        <f t="shared" si="405"/>
        <v>120</v>
      </c>
      <c r="FD507" s="119">
        <f t="shared" si="405"/>
        <v>96</v>
      </c>
      <c r="FE507" s="121">
        <f t="shared" si="405"/>
        <v>17.5</v>
      </c>
      <c r="FF507" s="121">
        <f t="shared" si="407"/>
        <v>4361.0446570972854</v>
      </c>
      <c r="FG507" s="121">
        <f t="shared" si="381"/>
        <v>0</v>
      </c>
      <c r="FH507" s="121">
        <f t="shared" si="358"/>
        <v>0</v>
      </c>
      <c r="FI507" s="121">
        <f t="shared" ref="FI507:FI570" si="427">CN507</f>
        <v>82.736299392000006</v>
      </c>
      <c r="FJ507" s="144">
        <f t="shared" si="382"/>
        <v>1.7325092212318198</v>
      </c>
      <c r="FK507" s="132">
        <f t="shared" si="383"/>
        <v>0</v>
      </c>
      <c r="FL507" s="115">
        <f t="shared" si="383"/>
        <v>2</v>
      </c>
      <c r="FM507" s="115">
        <f t="shared" si="383"/>
        <v>2</v>
      </c>
      <c r="FN507" s="115">
        <f t="shared" si="371"/>
        <v>3</v>
      </c>
      <c r="FO507" s="115">
        <f t="shared" si="403"/>
        <v>0</v>
      </c>
      <c r="FP507" s="115">
        <f t="shared" si="403"/>
        <v>0</v>
      </c>
      <c r="FQ507" s="149">
        <f t="shared" si="403"/>
        <v>0</v>
      </c>
      <c r="FR507" s="142">
        <f t="shared" si="403"/>
        <v>0</v>
      </c>
      <c r="FS507" s="119">
        <f t="shared" si="403"/>
        <v>0</v>
      </c>
      <c r="FT507" s="121">
        <f t="shared" si="403"/>
        <v>0</v>
      </c>
      <c r="FU507" s="121">
        <f t="shared" si="384"/>
        <v>0</v>
      </c>
      <c r="FV507" s="121">
        <f t="shared" si="384"/>
        <v>0</v>
      </c>
      <c r="FW507" s="121">
        <f t="shared" si="385"/>
        <v>0</v>
      </c>
      <c r="FX507" s="121">
        <f t="shared" si="386"/>
        <v>0</v>
      </c>
      <c r="FY507" s="144">
        <f t="shared" si="386"/>
        <v>0</v>
      </c>
      <c r="FZ507" s="145"/>
      <c r="GA507" s="151"/>
      <c r="GB507" s="145"/>
      <c r="GC507" s="151"/>
      <c r="GD507" s="997" t="s">
        <v>220</v>
      </c>
      <c r="GE507" s="1004"/>
      <c r="GF507" s="1004">
        <v>0</v>
      </c>
      <c r="GG507" s="1004"/>
      <c r="GH507" s="1004">
        <v>0</v>
      </c>
      <c r="GI507" s="145" t="s">
        <v>886</v>
      </c>
      <c r="GJ507" s="996">
        <v>-17.300183999999994</v>
      </c>
      <c r="GK507" s="145" t="s">
        <v>223</v>
      </c>
      <c r="GL507" s="996">
        <v>-1.8609359999999988</v>
      </c>
      <c r="GM507" s="1005" t="s">
        <v>259</v>
      </c>
      <c r="GN507" s="996">
        <v>-3.2519145999999992</v>
      </c>
      <c r="GO507" s="1006"/>
      <c r="GP507" s="996">
        <v>0</v>
      </c>
      <c r="GQ507" s="1006"/>
      <c r="GR507" s="996">
        <v>1.4922599999998454E-2</v>
      </c>
      <c r="GS507" s="1006"/>
      <c r="GT507" s="996">
        <v>-7.3567999999998079E-2</v>
      </c>
      <c r="GU507" s="1006" t="s">
        <v>204</v>
      </c>
      <c r="GV507" s="996">
        <v>2.2404800000000016</v>
      </c>
      <c r="GW507" s="1006" t="s">
        <v>204</v>
      </c>
      <c r="GX507" s="996">
        <v>-8.5773600000000059</v>
      </c>
      <c r="GY507" s="1006" t="s">
        <v>199</v>
      </c>
      <c r="GZ507" s="996">
        <v>9.0789600000000021</v>
      </c>
      <c r="HA507" s="1006" t="s">
        <v>199</v>
      </c>
      <c r="HB507" s="996">
        <v>1.2506559999999993</v>
      </c>
      <c r="HC507" s="1006" t="s">
        <v>886</v>
      </c>
      <c r="HD507" s="996">
        <v>23.354914000000008</v>
      </c>
      <c r="HE507" s="1006" t="s">
        <v>308</v>
      </c>
      <c r="HF507" s="996">
        <v>13.902679999999997</v>
      </c>
      <c r="HG507" s="1006"/>
      <c r="HH507" s="996">
        <v>0</v>
      </c>
      <c r="HI507" s="1006"/>
      <c r="HJ507" s="996">
        <v>0</v>
      </c>
      <c r="HK507" s="1006" t="s">
        <v>199</v>
      </c>
      <c r="HL507" s="996">
        <v>0</v>
      </c>
      <c r="HM507" s="1006" t="s">
        <v>199</v>
      </c>
      <c r="HN507" s="996">
        <v>-14.069880000000001</v>
      </c>
      <c r="HO507" s="1006" t="s">
        <v>199</v>
      </c>
      <c r="HP507" s="996">
        <v>-2.4618527999999955</v>
      </c>
      <c r="HQ507" s="1006" t="s">
        <v>203</v>
      </c>
      <c r="HR507" s="996">
        <v>-13.380347199999999</v>
      </c>
      <c r="HS507" s="1006"/>
      <c r="HT507" s="996">
        <v>0</v>
      </c>
      <c r="HU507" s="1006" t="s">
        <v>25</v>
      </c>
      <c r="HV507" s="996">
        <v>32.394999999999996</v>
      </c>
      <c r="HW507" s="1006"/>
      <c r="HX507" s="996">
        <v>0</v>
      </c>
      <c r="HY507" s="1006"/>
      <c r="HZ507" s="996"/>
      <c r="IA507" s="1006"/>
      <c r="IB507" s="996"/>
      <c r="IC507" s="1006"/>
      <c r="ID507" s="996"/>
      <c r="IE507" s="1006"/>
      <c r="IF507" s="996"/>
      <c r="IG507" s="1006"/>
      <c r="IH507" s="996"/>
      <c r="II507" s="1006"/>
      <c r="IJ507" s="996"/>
      <c r="IK507" s="1006"/>
      <c r="IL507" s="996"/>
      <c r="IM507" s="1006"/>
      <c r="IN507" s="996"/>
      <c r="IO507" s="1006"/>
      <c r="IP507" s="996"/>
      <c r="IQ507" s="1006"/>
      <c r="IR507" s="996"/>
      <c r="IS507" s="1006"/>
      <c r="IT507" s="996"/>
      <c r="IU507" s="1006"/>
      <c r="IV507" s="996"/>
      <c r="IW507" s="1006"/>
      <c r="IX507" s="996"/>
      <c r="IY507" s="1006"/>
      <c r="IZ507" s="996"/>
      <c r="JA507" s="1006"/>
      <c r="JB507" s="996"/>
      <c r="JC507" s="1006"/>
      <c r="JD507" s="996"/>
      <c r="JE507" s="1006"/>
      <c r="JF507" s="996"/>
      <c r="JG507" s="1006"/>
      <c r="JH507" s="996"/>
      <c r="JI507" s="1006"/>
      <c r="JJ507" s="996"/>
      <c r="JK507" s="1007"/>
      <c r="JL507" s="1007"/>
      <c r="JM507" s="1007"/>
      <c r="JN507" s="1007"/>
      <c r="JO507" s="1008"/>
      <c r="JP507" s="1007"/>
      <c r="JQ507" s="1008"/>
      <c r="JR507" s="1007"/>
      <c r="JS507" s="1008"/>
      <c r="JT507" s="1007"/>
      <c r="JU507" s="1008"/>
      <c r="JV507" s="1007"/>
      <c r="JW507" s="1008"/>
      <c r="JX507" s="1007"/>
      <c r="JY507" s="1008"/>
      <c r="JZ507" s="1007"/>
      <c r="KA507" s="1008"/>
      <c r="KB507" s="1007"/>
      <c r="KC507" s="1008"/>
      <c r="KD507" s="1007"/>
      <c r="KE507" s="1008"/>
      <c r="KF507" s="1007"/>
      <c r="KG507" s="1008"/>
      <c r="KH507" s="1007"/>
      <c r="KI507" s="1008"/>
      <c r="KJ507" s="1007"/>
      <c r="KK507" s="1008"/>
      <c r="KL507" s="1007"/>
      <c r="KM507" s="1008"/>
      <c r="KN507" s="1007"/>
      <c r="KO507" s="1008"/>
      <c r="KP507" s="1007"/>
      <c r="KQ507" s="1008"/>
      <c r="KR507" s="1007"/>
      <c r="KS507" s="1008"/>
      <c r="KT507" s="1007"/>
      <c r="KU507" s="1008"/>
      <c r="KV507" s="1007"/>
      <c r="KW507" s="1008"/>
      <c r="KX507" s="1007"/>
      <c r="KY507" s="1008"/>
      <c r="KZ507" s="1007"/>
      <c r="LA507" s="1008"/>
      <c r="LB507" s="1007"/>
      <c r="LC507" s="1008"/>
      <c r="LD507" s="1007"/>
      <c r="LE507" s="1008"/>
      <c r="LF507" s="1007"/>
      <c r="LG507" s="1008"/>
      <c r="LH507" s="1007"/>
      <c r="LI507" s="1008"/>
      <c r="LJ507" s="1007"/>
      <c r="LK507" s="1008"/>
      <c r="LL507" s="1007"/>
      <c r="LM507" s="1008"/>
      <c r="LN507" s="1007"/>
      <c r="LO507" s="1008"/>
      <c r="LP507" s="1007"/>
      <c r="LQ507" s="1008"/>
      <c r="LR507" s="1007"/>
      <c r="LS507" s="1008"/>
      <c r="LT507" s="1007"/>
      <c r="LU507" s="1008"/>
      <c r="LV507" s="1007"/>
      <c r="LW507" s="1008"/>
      <c r="LX507" s="1007"/>
      <c r="LY507" s="1009"/>
      <c r="LZ507" s="1010"/>
      <c r="MA507" s="1011"/>
      <c r="MB507" s="1012"/>
      <c r="MC507" s="995"/>
      <c r="MD507" s="996"/>
      <c r="ME507" s="997" t="s">
        <v>220</v>
      </c>
      <c r="MF507" s="997"/>
      <c r="MG507" s="998"/>
      <c r="NR507" s="1000"/>
      <c r="NS507" s="1000"/>
      <c r="NT507" s="1001"/>
      <c r="NU507" s="1000"/>
      <c r="NV507" s="1001"/>
      <c r="NX507" s="1002"/>
      <c r="NZ507" s="1001"/>
      <c r="OA507" s="1001"/>
      <c r="OC507" s="1003"/>
      <c r="OD507" s="1003"/>
      <c r="OE507" s="1001"/>
      <c r="OF507" s="1003"/>
      <c r="OG507" s="1003"/>
      <c r="OH507" s="1003"/>
      <c r="OI507" s="1016"/>
      <c r="QX507" s="1000">
        <f>CN507-CA507</f>
        <v>40.736299392000006</v>
      </c>
      <c r="ASU507" s="999" t="s">
        <v>208</v>
      </c>
    </row>
    <row r="508" spans="1:466 1191:1191" ht="22.5" x14ac:dyDescent="0.25">
      <c r="A508" s="982">
        <f t="shared" si="372"/>
        <v>1605</v>
      </c>
      <c r="B508" s="124">
        <f>SUBTOTAL(103,$J$29:J508)</f>
        <v>480</v>
      </c>
      <c r="C508" s="126">
        <v>45068</v>
      </c>
      <c r="D508" s="124" t="s">
        <v>176</v>
      </c>
      <c r="E508" s="127" t="s">
        <v>177</v>
      </c>
      <c r="F508" s="128" t="s">
        <v>177</v>
      </c>
      <c r="G508" s="127" t="s">
        <v>178</v>
      </c>
      <c r="H508" s="127" t="s">
        <v>408</v>
      </c>
      <c r="I508" s="127" t="s">
        <v>538</v>
      </c>
      <c r="J508" s="152">
        <v>1605</v>
      </c>
      <c r="K508" s="127" t="s">
        <v>1797</v>
      </c>
      <c r="L508" s="130">
        <v>44036</v>
      </c>
      <c r="M508" s="127" t="s">
        <v>230</v>
      </c>
      <c r="N508" s="127" t="s">
        <v>231</v>
      </c>
      <c r="O508" s="127" t="s">
        <v>185</v>
      </c>
      <c r="P508" s="127" t="s">
        <v>186</v>
      </c>
      <c r="Q508" s="85" t="str">
        <f t="shared" si="423"/>
        <v/>
      </c>
      <c r="R508" s="130"/>
      <c r="S508" s="128"/>
      <c r="T508" s="131"/>
      <c r="U508" s="132">
        <v>203</v>
      </c>
      <c r="V508" s="121">
        <v>218.2</v>
      </c>
      <c r="W508" s="116">
        <v>0.98</v>
      </c>
      <c r="X508" s="116">
        <v>1.66</v>
      </c>
      <c r="Y508" s="116">
        <f t="shared" si="408"/>
        <v>0.98</v>
      </c>
      <c r="Z508" s="133">
        <v>1.454</v>
      </c>
      <c r="AA508" s="133">
        <v>0.83599999999999997</v>
      </c>
      <c r="AB508" s="133">
        <v>0.72</v>
      </c>
      <c r="AC508" s="121">
        <v>34.299999999999997</v>
      </c>
      <c r="AD508" s="134">
        <v>1.17</v>
      </c>
      <c r="AE508" s="124">
        <v>177.8</v>
      </c>
      <c r="AF508" s="128">
        <v>9.19</v>
      </c>
      <c r="AG508" s="128">
        <v>2089</v>
      </c>
      <c r="AH508" s="127">
        <v>2846</v>
      </c>
      <c r="AI508" s="127">
        <v>2846</v>
      </c>
      <c r="AJ508" s="135"/>
      <c r="AK508" s="128"/>
      <c r="AL508" s="131"/>
      <c r="AM508" s="124" t="s">
        <v>232</v>
      </c>
      <c r="AN508" s="136" t="s">
        <v>1819</v>
      </c>
      <c r="AO508" s="137"/>
      <c r="AP508" s="128"/>
      <c r="AQ508" s="128"/>
      <c r="AR508" s="128"/>
      <c r="AS508" s="128"/>
      <c r="AT508" s="122"/>
      <c r="AU508" s="124" t="s">
        <v>189</v>
      </c>
      <c r="AV508" s="115">
        <f>VLOOKUP(J508,'[63]ТР нефть'!$J$28:$BP$638,39,0)</f>
        <v>471.00001347699998</v>
      </c>
      <c r="AW508" s="115" t="str">
        <f>VLOOKUP(J508,'[63]ТР нефть'!$J$28:$BP$638,40,0)</f>
        <v>ГП</v>
      </c>
      <c r="AX508" s="115">
        <f>VLOOKUP(J508,'[63]ТР нефть'!$J$28:$BP$638,41,0)</f>
        <v>877.99998925800003</v>
      </c>
      <c r="AY508" s="115" t="str">
        <f>VLOOKUP(J508,'[63]ТР нефть'!$J$28:$BP$638,42,0)</f>
        <v>ГК 73 1/8</v>
      </c>
      <c r="AZ508" s="115">
        <f>VLOOKUP(J508,'[63]ТР нефть'!$J$28:$BP$638,43,0)</f>
        <v>1217.9999988279999</v>
      </c>
      <c r="BA508" s="115" t="str">
        <f>VLOOKUP(J508,'[63]ТР нефть'!$J$28:$BP$638,44,0)</f>
        <v>ГК 72 1/8</v>
      </c>
      <c r="BB508" s="115">
        <f>VLOOKUP(J508,'[63]ТР нефть'!$J$28:$BP$638,45,0)</f>
        <v>1486.0000124999999</v>
      </c>
      <c r="BC508" s="115" t="str">
        <f>VLOOKUP(J508,'[63]ТР нефть'!$J$28:$BP$638,46,0)</f>
        <v>ГК 71 1/8</v>
      </c>
      <c r="BD508" s="115">
        <f>VLOOKUP(J508,'[63]ТР нефть'!$J$28:$BP$638,47,0)</f>
        <v>1709.0000566409999</v>
      </c>
      <c r="BE508" s="115" t="str">
        <f>VLOOKUP(J508,'[63]ТР нефть'!$J$28:$BP$638,48,0)</f>
        <v>ГК 70 5/32</v>
      </c>
      <c r="BF508" s="115">
        <f>VLOOKUP(J508,'[63]ТР нефть'!$J$28:$BP$638,49,0)</f>
        <v>1860</v>
      </c>
      <c r="BG508" s="115" t="str">
        <f>VLOOKUP(J508,'[63]ТР нефть'!$J$28:$BP$638,50,0)</f>
        <v>ЦКсОК 5/16</v>
      </c>
      <c r="BH508" s="115" t="str">
        <f>VLOOKUP(J508,'[63]ТР нефть'!$J$28:$BP$638,51,0)</f>
        <v>-</v>
      </c>
      <c r="BI508" s="115" t="str">
        <f>VLOOKUP(J508,'[63]ТР нефть'!$J$28:$BP$638,52,0)</f>
        <v>-</v>
      </c>
      <c r="BJ508" s="115" t="str">
        <f>IF(IFERROR(VLOOKUP(J508,'[63]ТР нефть'!$J$28:$BP$638,53,0),"-")=0,"-",IFERROR(VLOOKUP(J508,'[63]ТР нефть'!$J$28:$BP$638,53,0),"-"))</f>
        <v>-</v>
      </c>
      <c r="BK508" s="138" t="str">
        <f>IF(IFERROR(VLOOKUP(J508,'[63]ТР нефть'!$J$28:$BP$638,54,0),"-")=0,"-",IFERROR(VLOOKUP(J508,'[63]ТР нефть'!$J$28:$BP$638,54,0),"-"))</f>
        <v>-</v>
      </c>
      <c r="BL508" s="138" t="str">
        <f>IF(IFERROR(VLOOKUP(J508,'[63]ТР нефть'!$J$28:$BP$638,55,0),"-")=0,"-",IFERROR(VLOOKUP(J508,'[63]ТР нефть'!$J$28:$BP$638,55,0),"-"))</f>
        <v>-</v>
      </c>
      <c r="BM508" s="138" t="str">
        <f>IF(IFERROR(VLOOKUP(J508,'[63]ТР нефть'!$J$28:$BP$638,56,0),"-")=0,"-",IFERROR(VLOOKUP(J508,'[63]ТР нефть'!$J$28:$BP$638,56,0),"-"))</f>
        <v>-</v>
      </c>
      <c r="BN508" s="138" t="str">
        <f>IF(IFERROR(VLOOKUP(J508,'[63]ТР нефть'!$J$28:$BP$638,57,0),"-")=0,"-",IFERROR(VLOOKUP(J508,'[63]ТР нефть'!$J$28:$BP$638,57,0),"-"))</f>
        <v>-</v>
      </c>
      <c r="BO508" s="115" t="str">
        <f>IF(IFERROR(VLOOKUP(J508,'[63]ТР нефть'!$J$28:$BP$638,58,0),"-")=0,"-",IFERROR(VLOOKUP(J508,'[63]ТР нефть'!$J$28:$BP$638,58,0),"-"))</f>
        <v>-</v>
      </c>
      <c r="BP508" s="115" t="str">
        <f>IF(IFERROR(VLOOKUP(J508,'[63]ТР нефть'!$J$28:$BP$638,59,0),"-")=0,"-",IFERROR(VLOOKUP(J508,'[63]ТР нефть'!$J$28:$BP$638,59,0),"-"))</f>
        <v>-</v>
      </c>
      <c r="BQ508" s="138">
        <v>2150</v>
      </c>
      <c r="BR508" s="128"/>
      <c r="BS508" s="115"/>
      <c r="BT508" s="128"/>
      <c r="BU508" s="128"/>
      <c r="BV508" s="127">
        <v>65</v>
      </c>
      <c r="BW508" s="127" t="s">
        <v>217</v>
      </c>
      <c r="BX508" s="127" t="s">
        <v>195</v>
      </c>
      <c r="BY508" s="139">
        <v>24</v>
      </c>
      <c r="BZ508" s="139">
        <v>0</v>
      </c>
      <c r="CA508" s="138">
        <v>26</v>
      </c>
      <c r="CB508" s="138">
        <v>41</v>
      </c>
      <c r="CC508" s="138">
        <v>25</v>
      </c>
      <c r="CD508" s="135">
        <v>45017</v>
      </c>
      <c r="CE508" s="138">
        <v>104</v>
      </c>
      <c r="CF508" s="138">
        <v>67</v>
      </c>
      <c r="CG508" s="138" t="str">
        <f t="shared" si="422"/>
        <v>В работе</v>
      </c>
      <c r="CH508" s="138" t="s">
        <v>235</v>
      </c>
      <c r="CI508" s="127"/>
      <c r="CJ508" s="138"/>
      <c r="CK508" s="138"/>
      <c r="CL508" s="99"/>
      <c r="CM508" s="99"/>
      <c r="CN508" s="140">
        <v>46</v>
      </c>
      <c r="CO508" s="159">
        <f t="shared" si="373"/>
        <v>14.212</v>
      </c>
      <c r="CP508" s="160">
        <v>17</v>
      </c>
      <c r="CQ508" s="161">
        <v>0</v>
      </c>
      <c r="CR508" s="138">
        <v>19</v>
      </c>
      <c r="CS508" s="139">
        <v>9.6</v>
      </c>
      <c r="CT508" s="138"/>
      <c r="CU508" s="138">
        <f t="shared" si="418"/>
        <v>9.4</v>
      </c>
      <c r="CV508" s="115">
        <f t="shared" si="419"/>
        <v>661.41289051505771</v>
      </c>
      <c r="CW508" s="115">
        <f t="shared" si="374"/>
        <v>675.4855052068674</v>
      </c>
      <c r="CX508" s="133">
        <f t="shared" si="420"/>
        <v>0.29310344827586204</v>
      </c>
      <c r="CY508" s="116"/>
      <c r="CZ508" s="131"/>
      <c r="DA508" s="145" t="str">
        <f t="shared" si="375"/>
        <v>Газлифт</v>
      </c>
      <c r="DB508" s="146">
        <f t="shared" si="390"/>
        <v>14.212</v>
      </c>
      <c r="DC508" s="142">
        <f t="shared" si="402"/>
        <v>17</v>
      </c>
      <c r="DD508" s="119">
        <f t="shared" si="416"/>
        <v>0</v>
      </c>
      <c r="DE508" s="115">
        <f t="shared" si="392"/>
        <v>9.4</v>
      </c>
      <c r="DF508" s="121">
        <f t="shared" si="376"/>
        <v>9.6</v>
      </c>
      <c r="DG508" s="115">
        <f t="shared" si="377"/>
        <v>661.41289051505771</v>
      </c>
      <c r="DH508" s="115">
        <f t="shared" si="378"/>
        <v>46</v>
      </c>
      <c r="DI508" s="147"/>
      <c r="DJ508" s="111"/>
      <c r="DK508" s="112">
        <v>44244.083333333336</v>
      </c>
      <c r="DL508" s="113">
        <f t="shared" ca="1" si="424"/>
        <v>859.91666666666424</v>
      </c>
      <c r="DM508" s="114"/>
      <c r="DN508" s="114"/>
      <c r="DO508" s="114"/>
      <c r="DP508" s="114"/>
      <c r="DQ508" s="112"/>
      <c r="DR508" s="114"/>
      <c r="DS508" s="114"/>
      <c r="DT508" s="115">
        <v>57</v>
      </c>
      <c r="DU508" s="116">
        <f t="shared" si="425"/>
        <v>0.36170212765957449</v>
      </c>
      <c r="DV508" s="117">
        <f t="shared" ref="DV508:DV571" si="428">DW508*(1-DX508/100)*$AA508</f>
        <v>14.212</v>
      </c>
      <c r="DW508" s="118">
        <f t="shared" ref="DW508:DW571" si="429">IF(DT508&lt;CN508,IF(MQ508=1,CP508,(1-0.2*(DT508/CE508)-0.8*(DT508/CE508)^2)*(CP508/(1-0.2*(CN508/CE508)-0.8*(CN508/CE508)^2))),CP508)</f>
        <v>17</v>
      </c>
      <c r="DX508" s="119">
        <f t="shared" ref="DX508:DX571" si="430">CQ508</f>
        <v>0</v>
      </c>
      <c r="DY508" s="115">
        <f t="shared" ref="DY508:DY571" si="431">(CV508*DV508)/1000</f>
        <v>9.4</v>
      </c>
      <c r="DZ508" s="117">
        <f t="shared" si="426"/>
        <v>0</v>
      </c>
      <c r="EA508" s="120">
        <f t="shared" si="414"/>
        <v>0</v>
      </c>
      <c r="EB508" s="119">
        <f t="shared" si="387"/>
        <v>0</v>
      </c>
      <c r="EC508" s="121">
        <f t="shared" si="415"/>
        <v>0</v>
      </c>
      <c r="ED508" s="122"/>
      <c r="EE508" s="145">
        <v>65</v>
      </c>
      <c r="EF508" s="115">
        <v>27</v>
      </c>
      <c r="EG508" s="115">
        <v>47</v>
      </c>
      <c r="EH508" s="115">
        <v>27</v>
      </c>
      <c r="EI508" s="128" t="s">
        <v>195</v>
      </c>
      <c r="EJ508" s="121">
        <v>24</v>
      </c>
      <c r="EK508" s="121">
        <v>0</v>
      </c>
      <c r="EL508" s="159">
        <v>14.426291879999997</v>
      </c>
      <c r="EM508" s="142">
        <v>19.11</v>
      </c>
      <c r="EN508" s="143">
        <v>9.6999999999999993</v>
      </c>
      <c r="EO508" s="138">
        <v>13</v>
      </c>
      <c r="EP508" s="115">
        <v>235.68079921588284</v>
      </c>
      <c r="EQ508" s="115">
        <v>66</v>
      </c>
      <c r="ER508" s="115">
        <v>9.6</v>
      </c>
      <c r="ES508" s="115">
        <v>57</v>
      </c>
      <c r="ET508" s="150">
        <v>0.40659574468085108</v>
      </c>
      <c r="EU508" s="145">
        <f t="shared" si="400"/>
        <v>65</v>
      </c>
      <c r="EV508" s="115">
        <f t="shared" si="380"/>
        <v>26</v>
      </c>
      <c r="EW508" s="115">
        <f t="shared" si="380"/>
        <v>41</v>
      </c>
      <c r="EX508" s="115">
        <f t="shared" si="380"/>
        <v>25</v>
      </c>
      <c r="EY508" s="115" t="str">
        <f t="shared" si="357"/>
        <v>Постоянный</v>
      </c>
      <c r="EZ508" s="115">
        <f t="shared" si="357"/>
        <v>24</v>
      </c>
      <c r="FA508" s="115">
        <f t="shared" si="357"/>
        <v>0</v>
      </c>
      <c r="FB508" s="149">
        <f t="shared" si="405"/>
        <v>14.212</v>
      </c>
      <c r="FC508" s="142">
        <f t="shared" si="405"/>
        <v>17</v>
      </c>
      <c r="FD508" s="119">
        <f t="shared" si="405"/>
        <v>0</v>
      </c>
      <c r="FE508" s="121">
        <f t="shared" si="405"/>
        <v>19</v>
      </c>
      <c r="FF508" s="121">
        <f t="shared" si="407"/>
        <v>661.41289051505771</v>
      </c>
      <c r="FG508" s="121">
        <f t="shared" si="381"/>
        <v>67</v>
      </c>
      <c r="FH508" s="121">
        <f t="shared" si="358"/>
        <v>9.6</v>
      </c>
      <c r="FI508" s="121">
        <f t="shared" si="427"/>
        <v>46</v>
      </c>
      <c r="FJ508" s="144">
        <f t="shared" si="382"/>
        <v>0.29310344827586204</v>
      </c>
      <c r="FK508" s="132">
        <f t="shared" si="383"/>
        <v>0</v>
      </c>
      <c r="FL508" s="115">
        <f t="shared" si="383"/>
        <v>-1</v>
      </c>
      <c r="FM508" s="115">
        <f t="shared" si="383"/>
        <v>-6</v>
      </c>
      <c r="FN508" s="115">
        <f t="shared" si="371"/>
        <v>-2</v>
      </c>
      <c r="FO508" s="115">
        <f t="shared" si="403"/>
        <v>0</v>
      </c>
      <c r="FP508" s="115">
        <f t="shared" si="403"/>
        <v>0</v>
      </c>
      <c r="FQ508" s="149">
        <f t="shared" si="403"/>
        <v>-0.21429187999999755</v>
      </c>
      <c r="FR508" s="142">
        <f t="shared" si="403"/>
        <v>-2.1099999999999994</v>
      </c>
      <c r="FS508" s="119">
        <f t="shared" si="403"/>
        <v>-9.6999999999999993</v>
      </c>
      <c r="FT508" s="121">
        <f t="shared" si="403"/>
        <v>6</v>
      </c>
      <c r="FU508" s="121">
        <f t="shared" si="384"/>
        <v>1</v>
      </c>
      <c r="FV508" s="121">
        <f t="shared" si="384"/>
        <v>0</v>
      </c>
      <c r="FW508" s="121">
        <f t="shared" si="385"/>
        <v>425.73209129917484</v>
      </c>
      <c r="FX508" s="121">
        <f>CN508-ES508</f>
        <v>-11</v>
      </c>
      <c r="FY508" s="144">
        <f t="shared" si="386"/>
        <v>-0.11349229640498903</v>
      </c>
      <c r="FZ508" s="145"/>
      <c r="GA508" s="131" t="s">
        <v>1820</v>
      </c>
      <c r="GB508" s="145" t="s">
        <v>25</v>
      </c>
      <c r="GC508" s="131" t="s">
        <v>1821</v>
      </c>
      <c r="GD508" s="997" t="s">
        <v>416</v>
      </c>
      <c r="GE508" s="1004" t="s">
        <v>25</v>
      </c>
      <c r="GF508" s="1004">
        <v>3.0099428435999975</v>
      </c>
      <c r="GG508" s="1004"/>
      <c r="GH508" s="1004">
        <v>0</v>
      </c>
      <c r="GI508" s="145" t="s">
        <v>204</v>
      </c>
      <c r="GJ508" s="996">
        <v>0</v>
      </c>
      <c r="GK508" s="145"/>
      <c r="GL508" s="996">
        <v>0</v>
      </c>
      <c r="GM508" s="1005" t="s">
        <v>240</v>
      </c>
      <c r="GN508" s="996">
        <v>-2.6326099800000016</v>
      </c>
      <c r="GO508" s="1006"/>
      <c r="GP508" s="996">
        <v>0.8722698599999994</v>
      </c>
      <c r="GQ508" s="1006" t="s">
        <v>204</v>
      </c>
      <c r="GR508" s="996">
        <v>-1.3073367999999981</v>
      </c>
      <c r="GS508" s="1006" t="s">
        <v>199</v>
      </c>
      <c r="GT508" s="996">
        <v>4.7934568000000013</v>
      </c>
      <c r="GU508" s="1006"/>
      <c r="GV508" s="996">
        <v>2.3658799999999989</v>
      </c>
      <c r="GW508" s="1006"/>
      <c r="GX508" s="996">
        <v>0</v>
      </c>
      <c r="GY508" s="1006" t="s">
        <v>223</v>
      </c>
      <c r="GZ508" s="996">
        <v>-1.2540000000000013</v>
      </c>
      <c r="HA508" s="1006" t="s">
        <v>223</v>
      </c>
      <c r="HB508" s="996">
        <v>-1.7555999999999994</v>
      </c>
      <c r="HC508" s="1006"/>
      <c r="HD508" s="996">
        <v>0.25079999999999991</v>
      </c>
      <c r="HE508" s="1006" t="s">
        <v>204</v>
      </c>
      <c r="HF508" s="996">
        <v>-8.3809000000000005</v>
      </c>
      <c r="HG508" s="1006" t="s">
        <v>199</v>
      </c>
      <c r="HH508" s="996">
        <v>8.3809000000000005</v>
      </c>
      <c r="HI508" s="1006"/>
      <c r="HJ508" s="996">
        <v>0</v>
      </c>
      <c r="HK508" s="1006"/>
      <c r="HL508" s="996">
        <v>0</v>
      </c>
      <c r="HM508" s="1006"/>
      <c r="HN508" s="996">
        <v>0.83599999999999852</v>
      </c>
      <c r="HO508" s="1006" t="s">
        <v>204</v>
      </c>
      <c r="HP508" s="996">
        <v>1.6720000000000006</v>
      </c>
      <c r="HQ508" s="1006" t="s">
        <v>199</v>
      </c>
      <c r="HR508" s="996">
        <v>1.170399999999999</v>
      </c>
      <c r="HS508" s="1006" t="s">
        <v>203</v>
      </c>
      <c r="HT508" s="996">
        <v>-4.5144000000000002</v>
      </c>
      <c r="HU508" s="1006"/>
      <c r="HV508" s="996">
        <v>0.83600000000000207</v>
      </c>
      <c r="HW508" s="1006" t="s">
        <v>203</v>
      </c>
      <c r="HX508" s="996">
        <v>-6.8050400000000018</v>
      </c>
      <c r="HY508" s="1006" t="s">
        <v>199</v>
      </c>
      <c r="HZ508" s="996">
        <v>1.2121999999999993</v>
      </c>
      <c r="IA508" s="1006"/>
      <c r="IB508" s="996">
        <v>0</v>
      </c>
      <c r="IC508" s="1006" t="s">
        <v>203</v>
      </c>
      <c r="ID508" s="996">
        <v>-3.0848399999999998</v>
      </c>
      <c r="IE508" s="1006"/>
      <c r="IF508" s="996">
        <v>0</v>
      </c>
      <c r="IG508" s="1006" t="s">
        <v>239</v>
      </c>
      <c r="IH508" s="996">
        <v>0.98648000000000025</v>
      </c>
      <c r="II508" s="1006" t="s">
        <v>25</v>
      </c>
      <c r="IJ508" s="996">
        <v>26.9192</v>
      </c>
      <c r="IK508" s="1006"/>
      <c r="IL508" s="996"/>
      <c r="IM508" s="1006"/>
      <c r="IN508" s="996"/>
      <c r="IO508" s="1006"/>
      <c r="IP508" s="996"/>
      <c r="IQ508" s="1006"/>
      <c r="IR508" s="996"/>
      <c r="IS508" s="1006"/>
      <c r="IT508" s="996"/>
      <c r="IU508" s="1006"/>
      <c r="IV508" s="996"/>
      <c r="IW508" s="1006"/>
      <c r="IX508" s="996"/>
      <c r="IY508" s="1006"/>
      <c r="IZ508" s="996"/>
      <c r="JA508" s="1006"/>
      <c r="JB508" s="996"/>
      <c r="JC508" s="1006"/>
      <c r="JD508" s="996"/>
      <c r="JE508" s="1006"/>
      <c r="JF508" s="996"/>
      <c r="JG508" s="1006"/>
      <c r="JH508" s="996"/>
      <c r="JI508" s="1006"/>
      <c r="JJ508" s="996"/>
      <c r="JK508" s="1007"/>
      <c r="JL508" s="1007"/>
      <c r="JM508" s="1007"/>
      <c r="JN508" s="1007"/>
      <c r="JO508" s="1008"/>
      <c r="JP508" s="1007"/>
      <c r="JQ508" s="1008"/>
      <c r="JR508" s="1007"/>
      <c r="JS508" s="1008"/>
      <c r="JT508" s="1007"/>
      <c r="JU508" s="1008"/>
      <c r="JV508" s="1007"/>
      <c r="JW508" s="1008"/>
      <c r="JX508" s="1007"/>
      <c r="JY508" s="1008"/>
      <c r="JZ508" s="1007"/>
      <c r="KA508" s="1008"/>
      <c r="KB508" s="1007"/>
      <c r="KC508" s="1008"/>
      <c r="KD508" s="1007"/>
      <c r="KE508" s="1008"/>
      <c r="KF508" s="1007"/>
      <c r="KG508" s="1008"/>
      <c r="KH508" s="1007"/>
      <c r="KI508" s="1008"/>
      <c r="KJ508" s="1007"/>
      <c r="KK508" s="1008"/>
      <c r="KL508" s="1007"/>
      <c r="KM508" s="1008"/>
      <c r="KN508" s="1007"/>
      <c r="KO508" s="1008"/>
      <c r="KP508" s="1007"/>
      <c r="KQ508" s="1008"/>
      <c r="KR508" s="1007"/>
      <c r="KS508" s="1008"/>
      <c r="KT508" s="1007"/>
      <c r="KU508" s="1008"/>
      <c r="KV508" s="1007"/>
      <c r="KW508" s="1008"/>
      <c r="KX508" s="1007"/>
      <c r="KY508" s="1008"/>
      <c r="KZ508" s="1007"/>
      <c r="LA508" s="1008"/>
      <c r="LB508" s="1007"/>
      <c r="LC508" s="1008"/>
      <c r="LD508" s="1007"/>
      <c r="LE508" s="1008"/>
      <c r="LF508" s="1007"/>
      <c r="LG508" s="1008"/>
      <c r="LH508" s="1007"/>
      <c r="LI508" s="1008"/>
      <c r="LJ508" s="1007"/>
      <c r="LK508" s="1008"/>
      <c r="LL508" s="1007"/>
      <c r="LM508" s="1008"/>
      <c r="LN508" s="1007"/>
      <c r="LO508" s="1008"/>
      <c r="LP508" s="1007"/>
      <c r="LQ508" s="1008"/>
      <c r="LR508" s="1007"/>
      <c r="LS508" s="1008"/>
      <c r="LT508" s="1007"/>
      <c r="LU508" s="1008"/>
      <c r="LV508" s="1007"/>
      <c r="LW508" s="1008"/>
      <c r="LX508" s="1007"/>
      <c r="LY508" s="1009"/>
      <c r="LZ508" s="1010"/>
      <c r="MA508" s="1011"/>
      <c r="MB508" s="1012"/>
      <c r="MC508" s="995"/>
      <c r="MD508" s="996"/>
      <c r="ME508" s="997" t="s">
        <v>416</v>
      </c>
      <c r="MF508" s="997"/>
      <c r="MG508" s="998"/>
      <c r="NR508" s="1000"/>
      <c r="NS508" s="1000"/>
      <c r="NT508" s="1001"/>
      <c r="NU508" s="1000"/>
      <c r="NV508" s="1001"/>
      <c r="NX508" s="1002"/>
      <c r="NZ508" s="1001"/>
      <c r="OA508" s="1001"/>
      <c r="OC508" s="1003"/>
      <c r="OD508" s="1003"/>
      <c r="OE508" s="1001"/>
      <c r="OF508" s="1003"/>
      <c r="OG508" s="1003"/>
      <c r="QX508" s="1000">
        <f>CN508-CA508</f>
        <v>20</v>
      </c>
      <c r="ASU508" s="999" t="s">
        <v>208</v>
      </c>
    </row>
    <row r="509" spans="1:466 1191:1191" ht="21" customHeight="1" x14ac:dyDescent="0.25">
      <c r="A509" s="982">
        <f t="shared" si="372"/>
        <v>1607</v>
      </c>
      <c r="B509" s="124">
        <f>SUBTOTAL(103,$J$29:J509)</f>
        <v>481</v>
      </c>
      <c r="C509" s="126">
        <v>45068</v>
      </c>
      <c r="D509" s="124" t="s">
        <v>176</v>
      </c>
      <c r="E509" s="127" t="s">
        <v>177</v>
      </c>
      <c r="F509" s="128" t="s">
        <v>177</v>
      </c>
      <c r="G509" s="127" t="s">
        <v>178</v>
      </c>
      <c r="H509" s="127" t="s">
        <v>179</v>
      </c>
      <c r="I509" s="127" t="s">
        <v>1822</v>
      </c>
      <c r="J509" s="152">
        <v>1607</v>
      </c>
      <c r="K509" s="127" t="s">
        <v>1822</v>
      </c>
      <c r="L509" s="130">
        <v>44213</v>
      </c>
      <c r="M509" s="127" t="s">
        <v>230</v>
      </c>
      <c r="N509" s="127" t="s">
        <v>1368</v>
      </c>
      <c r="O509" s="127" t="s">
        <v>185</v>
      </c>
      <c r="P509" s="127" t="s">
        <v>186</v>
      </c>
      <c r="Q509" s="85" t="str">
        <f t="shared" si="423"/>
        <v/>
      </c>
      <c r="R509" s="130"/>
      <c r="S509" s="128"/>
      <c r="T509" s="131"/>
      <c r="U509" s="132">
        <v>203</v>
      </c>
      <c r="V509" s="121">
        <v>218.2</v>
      </c>
      <c r="W509" s="116">
        <v>0.98</v>
      </c>
      <c r="X509" s="116">
        <v>1.66</v>
      </c>
      <c r="Y509" s="116">
        <f t="shared" si="408"/>
        <v>1.1173076923076921</v>
      </c>
      <c r="Z509" s="133">
        <v>1.454</v>
      </c>
      <c r="AA509" s="133">
        <v>0.83599999999999997</v>
      </c>
      <c r="AB509" s="133">
        <v>0.72</v>
      </c>
      <c r="AC509" s="121">
        <v>34.299999999999997</v>
      </c>
      <c r="AD509" s="134">
        <v>1.17</v>
      </c>
      <c r="AE509" s="124">
        <v>177.8</v>
      </c>
      <c r="AF509" s="128">
        <v>9.19</v>
      </c>
      <c r="AG509" s="128">
        <v>2422.4499999999998</v>
      </c>
      <c r="AH509" s="127">
        <v>3078</v>
      </c>
      <c r="AI509" s="127">
        <f>AH509</f>
        <v>3078</v>
      </c>
      <c r="AJ509" s="135"/>
      <c r="AK509" s="128"/>
      <c r="AL509" s="131"/>
      <c r="AM509" s="124" t="s">
        <v>232</v>
      </c>
      <c r="AN509" s="136" t="s">
        <v>1823</v>
      </c>
      <c r="AO509" s="137">
        <f>1731.22-1705.31</f>
        <v>25.910000000000082</v>
      </c>
      <c r="AP509" s="128">
        <v>2422.4499999999998</v>
      </c>
      <c r="AQ509" s="128">
        <f>2422.45-173.22-142.2</f>
        <v>2107.0300000000002</v>
      </c>
      <c r="AR509" s="128"/>
      <c r="AS509" s="128"/>
      <c r="AT509" s="122"/>
      <c r="AU509" s="124" t="s">
        <v>189</v>
      </c>
      <c r="AV509" s="115">
        <f>VLOOKUP(J509,'[63]ТР нефть'!$J$28:$BP$638,39,0)</f>
        <v>460.00001513699999</v>
      </c>
      <c r="AW509" s="115" t="str">
        <f>VLOOKUP(J509,'[63]ТР нефть'!$J$28:$BP$638,40,0)</f>
        <v>ГП</v>
      </c>
      <c r="AX509" s="115">
        <f>VLOOKUP(J509,'[63]ТР нефть'!$J$28:$BP$638,41,0)</f>
        <v>880.00001601600002</v>
      </c>
      <c r="AY509" s="115" t="str">
        <f>VLOOKUP(J509,'[63]ТР нефть'!$J$28:$BP$638,42,0)</f>
        <v>ГП</v>
      </c>
      <c r="AZ509" s="115">
        <f>VLOOKUP(J509,'[63]ТР нефть'!$J$28:$BP$638,43,0)</f>
        <v>1249.9999804690001</v>
      </c>
      <c r="BA509" s="115" t="str">
        <f>VLOOKUP(J509,'[63]ТР нефть'!$J$28:$BP$638,44,0)</f>
        <v>ГК 79 1/8</v>
      </c>
      <c r="BB509" s="115">
        <f>VLOOKUP(J509,'[63]ТР нефть'!$J$28:$BP$638,45,0)</f>
        <v>1549.9999757810001</v>
      </c>
      <c r="BC509" s="115" t="str">
        <f>VLOOKUP(J509,'[63]ТР нефть'!$J$28:$BP$638,46,0)</f>
        <v>ГК 78 1/8</v>
      </c>
      <c r="BD509" s="115">
        <f>VLOOKUP(J509,'[63]ТР нефть'!$J$28:$BP$638,47,0)</f>
        <v>1810.0000312499999</v>
      </c>
      <c r="BE509" s="115" t="str">
        <f>VLOOKUP(J509,'[63]ТР нефть'!$J$28:$BP$638,48,0)</f>
        <v>ГК 78 1/8</v>
      </c>
      <c r="BF509" s="115">
        <f>VLOOKUP(J509,'[63]ТР нефть'!$J$28:$BP$638,49,0)</f>
        <v>2080</v>
      </c>
      <c r="BG509" s="115" t="str">
        <f>VLOOKUP(J509,'[63]ТР нефть'!$J$28:$BP$638,50,0)</f>
        <v>ЦКсОК 5/16</v>
      </c>
      <c r="BH509" s="115">
        <f>VLOOKUP(J509,'[63]ТР нефть'!$J$28:$BP$638,51,0)</f>
        <v>2090</v>
      </c>
      <c r="BI509" s="115" t="str">
        <f>VLOOKUP(J509,'[63]ТР нефть'!$J$28:$BP$638,52,0)</f>
        <v>закрыт</v>
      </c>
      <c r="BJ509" s="115" t="str">
        <f>IF(IFERROR(VLOOKUP(J509,'[63]ТР нефть'!$J$28:$BP$638,53,0),"-")=0,"-",IFERROR(VLOOKUP(J509,'[63]ТР нефть'!$J$28:$BP$638,53,0),"-"))</f>
        <v>-</v>
      </c>
      <c r="BK509" s="138" t="str">
        <f>IF(IFERROR(VLOOKUP(J509,'[63]ТР нефть'!$J$28:$BP$638,54,0),"-")=0,"-",IFERROR(VLOOKUP(J509,'[63]ТР нефть'!$J$28:$BP$638,54,0),"-"))</f>
        <v>-</v>
      </c>
      <c r="BL509" s="138" t="str">
        <f>IF(IFERROR(VLOOKUP(J509,'[63]ТР нефть'!$J$28:$BP$638,55,0),"-")=0,"-",IFERROR(VLOOKUP(J509,'[63]ТР нефть'!$J$28:$BP$638,55,0),"-"))</f>
        <v>-</v>
      </c>
      <c r="BM509" s="138" t="str">
        <f>IF(IFERROR(VLOOKUP(J509,'[63]ТР нефть'!$J$28:$BP$638,56,0),"-")=0,"-",IFERROR(VLOOKUP(J509,'[63]ТР нефть'!$J$28:$BP$638,56,0),"-"))</f>
        <v>-</v>
      </c>
      <c r="BN509" s="138" t="str">
        <f>IF(IFERROR(VLOOKUP(J509,'[63]ТР нефть'!$J$28:$BP$638,57,0),"-")=0,"-",IFERROR(VLOOKUP(J509,'[63]ТР нефть'!$J$28:$BP$638,57,0),"-"))</f>
        <v>-</v>
      </c>
      <c r="BO509" s="115" t="str">
        <f>IF(IFERROR(VLOOKUP(J509,'[63]ТР нефть'!$J$28:$BP$638,58,0),"-")=0,"-",IFERROR(VLOOKUP(J509,'[63]ТР нефть'!$J$28:$BP$638,58,0),"-"))</f>
        <v>-</v>
      </c>
      <c r="BP509" s="115" t="str">
        <f>IF(IFERROR(VLOOKUP(J509,'[63]ТР нефть'!$J$28:$BP$638,59,0),"-")=0,"-",IFERROR(VLOOKUP(J509,'[63]ТР нефть'!$J$28:$BP$638,59,0),"-"))</f>
        <v>-</v>
      </c>
      <c r="BQ509" s="138">
        <v>2472</v>
      </c>
      <c r="BR509" s="128">
        <f>1735.93+142.2</f>
        <v>1878.13</v>
      </c>
      <c r="BS509" s="115">
        <f>BQ509-BR509</f>
        <v>593.86999999999989</v>
      </c>
      <c r="BT509" s="128">
        <v>73</v>
      </c>
      <c r="BU509" s="128">
        <v>5.5</v>
      </c>
      <c r="BV509" s="127">
        <v>65</v>
      </c>
      <c r="BW509" s="127" t="s">
        <v>217</v>
      </c>
      <c r="BX509" s="127" t="s">
        <v>195</v>
      </c>
      <c r="BY509" s="139">
        <v>24</v>
      </c>
      <c r="BZ509" s="139">
        <v>0</v>
      </c>
      <c r="CA509" s="138">
        <v>23</v>
      </c>
      <c r="CB509" s="138">
        <v>48</v>
      </c>
      <c r="CC509" s="138">
        <v>22</v>
      </c>
      <c r="CD509" s="135">
        <v>45017</v>
      </c>
      <c r="CE509" s="138">
        <v>112</v>
      </c>
      <c r="CF509" s="138">
        <v>68</v>
      </c>
      <c r="CG509" s="138" t="str">
        <f t="shared" si="422"/>
        <v>В работе</v>
      </c>
      <c r="CH509" s="138" t="s">
        <v>235</v>
      </c>
      <c r="CI509" s="138">
        <v>6</v>
      </c>
      <c r="CJ509" s="138"/>
      <c r="CK509" s="138">
        <f t="shared" ref="CK509:CK572" si="432">CN509-CA509</f>
        <v>36</v>
      </c>
      <c r="CL509" s="99"/>
      <c r="CM509" s="99"/>
      <c r="CN509" s="140">
        <v>59</v>
      </c>
      <c r="CO509" s="141">
        <f t="shared" si="373"/>
        <v>17.556000000000001</v>
      </c>
      <c r="CP509" s="142">
        <v>30</v>
      </c>
      <c r="CQ509" s="143">
        <v>30</v>
      </c>
      <c r="CR509" s="138">
        <v>39</v>
      </c>
      <c r="CS509" s="139">
        <v>8.4</v>
      </c>
      <c r="CT509" s="138"/>
      <c r="CU509" s="138">
        <f t="shared" si="418"/>
        <v>30.6</v>
      </c>
      <c r="CV509" s="115">
        <f t="shared" si="419"/>
        <v>1742.993848257006</v>
      </c>
      <c r="CW509" s="115">
        <f t="shared" si="374"/>
        <v>300.23589963542793</v>
      </c>
      <c r="CX509" s="133">
        <f t="shared" si="420"/>
        <v>0.56603773584905659</v>
      </c>
      <c r="CY509" s="116"/>
      <c r="CZ509" s="131"/>
      <c r="DA509" s="145" t="str">
        <f t="shared" si="375"/>
        <v>Газлифт</v>
      </c>
      <c r="DB509" s="146">
        <f t="shared" si="390"/>
        <v>17.556000000000001</v>
      </c>
      <c r="DC509" s="142">
        <f t="shared" si="402"/>
        <v>30</v>
      </c>
      <c r="DD509" s="119">
        <f t="shared" si="416"/>
        <v>30</v>
      </c>
      <c r="DE509" s="115">
        <f t="shared" si="392"/>
        <v>30.6</v>
      </c>
      <c r="DF509" s="121">
        <f t="shared" si="376"/>
        <v>8.4</v>
      </c>
      <c r="DG509" s="115">
        <f t="shared" si="377"/>
        <v>1742.993848257006</v>
      </c>
      <c r="DH509" s="115">
        <f t="shared" si="378"/>
        <v>59</v>
      </c>
      <c r="DI509" s="147"/>
      <c r="DJ509" s="111"/>
      <c r="DK509" s="112">
        <v>44036</v>
      </c>
      <c r="DL509" s="113">
        <f t="shared" ca="1" si="424"/>
        <v>1068</v>
      </c>
      <c r="DM509" s="114"/>
      <c r="DN509" s="114"/>
      <c r="DO509" s="114"/>
      <c r="DP509" s="114"/>
      <c r="DQ509" s="112"/>
      <c r="DR509" s="114"/>
      <c r="DS509" s="114"/>
      <c r="DT509" s="115">
        <v>60</v>
      </c>
      <c r="DU509" s="116">
        <f t="shared" si="425"/>
        <v>0.57692307692307687</v>
      </c>
      <c r="DV509" s="117">
        <f t="shared" si="428"/>
        <v>17.556000000000001</v>
      </c>
      <c r="DW509" s="118">
        <f t="shared" si="429"/>
        <v>30</v>
      </c>
      <c r="DX509" s="119">
        <f t="shared" si="430"/>
        <v>30</v>
      </c>
      <c r="DY509" s="115">
        <f t="shared" si="431"/>
        <v>30.6</v>
      </c>
      <c r="DZ509" s="117">
        <f t="shared" si="426"/>
        <v>0</v>
      </c>
      <c r="EA509" s="120">
        <f t="shared" si="414"/>
        <v>0</v>
      </c>
      <c r="EB509" s="119">
        <f t="shared" si="387"/>
        <v>0</v>
      </c>
      <c r="EC509" s="121">
        <f t="shared" si="415"/>
        <v>0</v>
      </c>
      <c r="ED509" s="122"/>
      <c r="EE509" s="145">
        <v>65</v>
      </c>
      <c r="EF509" s="115">
        <v>19</v>
      </c>
      <c r="EG509" s="115">
        <v>48</v>
      </c>
      <c r="EH509" s="115">
        <v>18</v>
      </c>
      <c r="EI509" s="128" t="s">
        <v>195</v>
      </c>
      <c r="EJ509" s="121">
        <v>24</v>
      </c>
      <c r="EK509" s="121">
        <v>0</v>
      </c>
      <c r="EL509" s="149">
        <v>17.556000000000001</v>
      </c>
      <c r="EM509" s="142">
        <v>30</v>
      </c>
      <c r="EN509" s="119">
        <v>30</v>
      </c>
      <c r="EO509" s="115">
        <v>40</v>
      </c>
      <c r="EP509" s="115">
        <v>1765.7780815675551</v>
      </c>
      <c r="EQ509" s="115">
        <v>66</v>
      </c>
      <c r="ER509" s="115">
        <v>9</v>
      </c>
      <c r="ES509" s="115">
        <v>58</v>
      </c>
      <c r="ET509" s="150">
        <v>0.55555555555555558</v>
      </c>
      <c r="EU509" s="145">
        <f t="shared" si="400"/>
        <v>65</v>
      </c>
      <c r="EV509" s="115">
        <f t="shared" si="380"/>
        <v>23</v>
      </c>
      <c r="EW509" s="115">
        <f t="shared" si="380"/>
        <v>48</v>
      </c>
      <c r="EX509" s="115">
        <f t="shared" si="380"/>
        <v>22</v>
      </c>
      <c r="EY509" s="115" t="str">
        <f t="shared" si="357"/>
        <v>Постоянный</v>
      </c>
      <c r="EZ509" s="115">
        <f t="shared" si="357"/>
        <v>24</v>
      </c>
      <c r="FA509" s="115">
        <f t="shared" si="357"/>
        <v>0</v>
      </c>
      <c r="FB509" s="149">
        <f t="shared" si="405"/>
        <v>17.556000000000001</v>
      </c>
      <c r="FC509" s="142">
        <f t="shared" si="405"/>
        <v>30</v>
      </c>
      <c r="FD509" s="119">
        <f t="shared" si="405"/>
        <v>30</v>
      </c>
      <c r="FE509" s="121">
        <f t="shared" si="405"/>
        <v>39</v>
      </c>
      <c r="FF509" s="121">
        <f t="shared" si="407"/>
        <v>1742.993848257006</v>
      </c>
      <c r="FG509" s="121">
        <f t="shared" si="381"/>
        <v>68</v>
      </c>
      <c r="FH509" s="121">
        <f t="shared" si="358"/>
        <v>8.4</v>
      </c>
      <c r="FI509" s="121">
        <f t="shared" si="427"/>
        <v>59</v>
      </c>
      <c r="FJ509" s="144">
        <f t="shared" si="382"/>
        <v>0.56603773584905659</v>
      </c>
      <c r="FK509" s="132">
        <f t="shared" si="383"/>
        <v>0</v>
      </c>
      <c r="FL509" s="115">
        <f t="shared" si="383"/>
        <v>4</v>
      </c>
      <c r="FM509" s="115">
        <f t="shared" si="383"/>
        <v>0</v>
      </c>
      <c r="FN509" s="115">
        <f t="shared" si="371"/>
        <v>4</v>
      </c>
      <c r="FO509" s="115">
        <f t="shared" si="403"/>
        <v>0</v>
      </c>
      <c r="FP509" s="115">
        <f t="shared" si="403"/>
        <v>0</v>
      </c>
      <c r="FQ509" s="149">
        <f t="shared" si="403"/>
        <v>0</v>
      </c>
      <c r="FR509" s="117">
        <f t="shared" si="403"/>
        <v>0</v>
      </c>
      <c r="FS509" s="119">
        <f t="shared" si="403"/>
        <v>0</v>
      </c>
      <c r="FT509" s="121">
        <f t="shared" si="403"/>
        <v>-1</v>
      </c>
      <c r="FU509" s="121">
        <f t="shared" si="384"/>
        <v>2</v>
      </c>
      <c r="FV509" s="121">
        <f t="shared" si="384"/>
        <v>-0.59999999999999964</v>
      </c>
      <c r="FW509" s="121">
        <f t="shared" si="385"/>
        <v>-22.784233310549098</v>
      </c>
      <c r="FX509" s="121">
        <f t="shared" si="386"/>
        <v>1</v>
      </c>
      <c r="FY509" s="144">
        <f t="shared" si="386"/>
        <v>1.0482180293501009E-2</v>
      </c>
      <c r="FZ509" s="145"/>
      <c r="GA509" s="151"/>
      <c r="GB509" s="145"/>
      <c r="GC509" s="151"/>
      <c r="GD509" s="997" t="s">
        <v>220</v>
      </c>
      <c r="GE509" s="1004"/>
      <c r="GF509" s="1004">
        <v>0.96976000000000084</v>
      </c>
      <c r="GG509" s="1004" t="s">
        <v>199</v>
      </c>
      <c r="GH509" s="1004">
        <v>1.1536799999999996</v>
      </c>
      <c r="GI509" s="145"/>
      <c r="GJ509" s="996">
        <v>0</v>
      </c>
      <c r="GK509" s="145"/>
      <c r="GL509" s="996">
        <v>0</v>
      </c>
      <c r="GM509" s="1005" t="s">
        <v>240</v>
      </c>
      <c r="GN509" s="996">
        <v>-3.849445600000001</v>
      </c>
      <c r="GO509" s="1006" t="s">
        <v>259</v>
      </c>
      <c r="GP509" s="996">
        <v>-8.5149943999999991</v>
      </c>
      <c r="GQ509" s="1006"/>
      <c r="GR509" s="996">
        <v>0.16360520000000278</v>
      </c>
      <c r="GS509" s="1006" t="s">
        <v>204</v>
      </c>
      <c r="GT509" s="996">
        <v>-1.863310239999997</v>
      </c>
      <c r="GU509" s="1006"/>
      <c r="GV509" s="996">
        <v>0</v>
      </c>
      <c r="GW509" s="1006" t="s">
        <v>223</v>
      </c>
      <c r="GX509" s="996">
        <v>-1.1380133600000093</v>
      </c>
      <c r="GY509" s="1006"/>
      <c r="GZ509" s="996">
        <v>0</v>
      </c>
      <c r="HA509" s="1006" t="s">
        <v>199</v>
      </c>
      <c r="HB509" s="996">
        <v>5.6516944000000038</v>
      </c>
      <c r="HC509" s="1006" t="s">
        <v>204</v>
      </c>
      <c r="HD509" s="996">
        <v>-4.5612159999999946</v>
      </c>
      <c r="HE509" s="1006"/>
      <c r="HF509" s="996">
        <v>0</v>
      </c>
      <c r="HG509" s="1006"/>
      <c r="HH509" s="996">
        <v>0</v>
      </c>
      <c r="HI509" s="1006"/>
      <c r="HJ509" s="996">
        <v>0</v>
      </c>
      <c r="HK509" s="1006" t="s">
        <v>199</v>
      </c>
      <c r="HL509" s="996">
        <v>-4.2134400000000021</v>
      </c>
      <c r="HM509" s="1006"/>
      <c r="HN509" s="996">
        <v>0.82596799999999959</v>
      </c>
      <c r="HO509" s="1006"/>
      <c r="HP509" s="996">
        <v>0</v>
      </c>
      <c r="HQ509" s="1006" t="s">
        <v>199</v>
      </c>
      <c r="HR509" s="996">
        <v>-25.334787719999994</v>
      </c>
      <c r="HS509" s="1006"/>
      <c r="HT509" s="996">
        <v>0</v>
      </c>
      <c r="HU509" s="1006" t="s">
        <v>203</v>
      </c>
      <c r="HV509" s="996">
        <v>-4.066145160000012</v>
      </c>
      <c r="HW509" s="1006" t="s">
        <v>199</v>
      </c>
      <c r="HX509" s="996">
        <v>18.793760700000014</v>
      </c>
      <c r="HY509" s="1006"/>
      <c r="HZ509" s="996">
        <v>0</v>
      </c>
      <c r="IA509" s="1006" t="s">
        <v>199</v>
      </c>
      <c r="IB509" s="996">
        <v>-4.5486718200000098</v>
      </c>
      <c r="IC509" s="1006" t="s">
        <v>199</v>
      </c>
      <c r="ID509" s="996">
        <v>12.131196000000003</v>
      </c>
      <c r="IE509" s="1006" t="s">
        <v>204</v>
      </c>
      <c r="IF509" s="996">
        <v>-10.571220000000004</v>
      </c>
      <c r="IG509" s="1006" t="s">
        <v>204</v>
      </c>
      <c r="IH509" s="996">
        <v>-42.130219999999994</v>
      </c>
      <c r="II509" s="1006" t="s">
        <v>1382</v>
      </c>
      <c r="IJ509" s="996">
        <v>39.5117008</v>
      </c>
      <c r="IK509" s="1006"/>
      <c r="IL509" s="996">
        <v>0</v>
      </c>
      <c r="IM509" s="1006" t="s">
        <v>203</v>
      </c>
      <c r="IN509" s="996">
        <v>-11.085443600000005</v>
      </c>
      <c r="IO509" s="1006" t="s">
        <v>203</v>
      </c>
      <c r="IP509" s="996">
        <v>-20.136149725999999</v>
      </c>
      <c r="IQ509" s="1006"/>
      <c r="IR509" s="996">
        <v>-28.355486874000007</v>
      </c>
      <c r="IS509" s="1006"/>
      <c r="IT509" s="996">
        <v>0</v>
      </c>
      <c r="IU509" s="1006"/>
      <c r="IV509" s="996">
        <v>0</v>
      </c>
      <c r="IW509" s="1006"/>
      <c r="IX509" s="996"/>
      <c r="IY509" s="1006"/>
      <c r="IZ509" s="996"/>
      <c r="JA509" s="1006"/>
      <c r="JB509" s="996"/>
      <c r="JC509" s="1006"/>
      <c r="JD509" s="996"/>
      <c r="JE509" s="1006"/>
      <c r="JF509" s="996"/>
      <c r="JG509" s="1006"/>
      <c r="JH509" s="996"/>
      <c r="JI509" s="1006"/>
      <c r="JJ509" s="996"/>
      <c r="JK509" s="1007"/>
      <c r="JL509" s="1007"/>
      <c r="JM509" s="1007"/>
      <c r="JN509" s="1007"/>
      <c r="JO509" s="1008"/>
      <c r="JP509" s="1007"/>
      <c r="JQ509" s="1008"/>
      <c r="JR509" s="1007"/>
      <c r="JS509" s="1008"/>
      <c r="JT509" s="1007"/>
      <c r="JU509" s="1008"/>
      <c r="JV509" s="1007"/>
      <c r="JW509" s="1008"/>
      <c r="JX509" s="1007"/>
      <c r="JY509" s="1008"/>
      <c r="JZ509" s="1007"/>
      <c r="KA509" s="1008"/>
      <c r="KB509" s="1007"/>
      <c r="KC509" s="1008"/>
      <c r="KD509" s="1007"/>
      <c r="KE509" s="1008"/>
      <c r="KF509" s="1007"/>
      <c r="KG509" s="1008"/>
      <c r="KH509" s="1007"/>
      <c r="KI509" s="1008"/>
      <c r="KJ509" s="1007"/>
      <c r="KK509" s="1008"/>
      <c r="KL509" s="1007"/>
      <c r="KM509" s="1008"/>
      <c r="KN509" s="1007"/>
      <c r="KO509" s="1008"/>
      <c r="KP509" s="1007"/>
      <c r="KQ509" s="1008"/>
      <c r="KR509" s="1007"/>
      <c r="KS509" s="1008"/>
      <c r="KT509" s="1007"/>
      <c r="KU509" s="1008"/>
      <c r="KV509" s="1007"/>
      <c r="KW509" s="1008"/>
      <c r="KX509" s="1007"/>
      <c r="KY509" s="1008"/>
      <c r="KZ509" s="1007"/>
      <c r="LA509" s="1008"/>
      <c r="LB509" s="1007"/>
      <c r="LC509" s="1008"/>
      <c r="LD509" s="1007"/>
      <c r="LE509" s="1008"/>
      <c r="LF509" s="1007"/>
      <c r="LG509" s="1008"/>
      <c r="LH509" s="1007"/>
      <c r="LI509" s="1008"/>
      <c r="LJ509" s="1007"/>
      <c r="LK509" s="1008"/>
      <c r="LL509" s="1007"/>
      <c r="LM509" s="1008"/>
      <c r="LN509" s="1007"/>
      <c r="LO509" s="1008"/>
      <c r="LP509" s="1007"/>
      <c r="LQ509" s="1008"/>
      <c r="LR509" s="1007"/>
      <c r="LS509" s="1008"/>
      <c r="LT509" s="1007"/>
      <c r="LU509" s="1008"/>
      <c r="LV509" s="1007"/>
      <c r="LW509" s="1008"/>
      <c r="LX509" s="1007"/>
      <c r="LY509" s="1009"/>
      <c r="LZ509" s="1010"/>
      <c r="MA509" s="1011"/>
      <c r="MB509" s="1012"/>
      <c r="MC509" s="995"/>
      <c r="MD509" s="996"/>
      <c r="ME509" s="997" t="s">
        <v>220</v>
      </c>
      <c r="MF509" s="997"/>
      <c r="MG509" s="998"/>
      <c r="NR509" s="1000"/>
      <c r="NS509" s="1000"/>
      <c r="NT509" s="1001"/>
      <c r="NU509" s="1000"/>
      <c r="NV509" s="1001"/>
      <c r="NX509" s="1002"/>
      <c r="NZ509" s="1001"/>
      <c r="OA509" s="1001"/>
      <c r="OC509" s="1003"/>
      <c r="OD509" s="1003"/>
      <c r="OE509" s="1001"/>
      <c r="OF509" s="1003"/>
      <c r="OG509" s="1003"/>
      <c r="OH509" s="1003"/>
      <c r="OI509" s="1016"/>
      <c r="QX509" s="1000">
        <f>CN509-CA509</f>
        <v>36</v>
      </c>
      <c r="ASU509" s="999" t="s">
        <v>208</v>
      </c>
    </row>
    <row r="510" spans="1:466 1191:1191" ht="21" customHeight="1" x14ac:dyDescent="0.25">
      <c r="A510" s="982">
        <f t="shared" si="372"/>
        <v>1609</v>
      </c>
      <c r="B510" s="124">
        <f>SUBTOTAL(103,$J$29:J510)</f>
        <v>482</v>
      </c>
      <c r="C510" s="126">
        <v>45068</v>
      </c>
      <c r="D510" s="124" t="s">
        <v>176</v>
      </c>
      <c r="E510" s="127" t="s">
        <v>177</v>
      </c>
      <c r="F510" s="128" t="s">
        <v>177</v>
      </c>
      <c r="G510" s="127" t="s">
        <v>178</v>
      </c>
      <c r="H510" s="127" t="s">
        <v>179</v>
      </c>
      <c r="I510" s="127" t="s">
        <v>1367</v>
      </c>
      <c r="J510" s="152">
        <v>1609</v>
      </c>
      <c r="K510" s="127" t="s">
        <v>1367</v>
      </c>
      <c r="L510" s="130">
        <v>44402</v>
      </c>
      <c r="M510" s="127" t="s">
        <v>230</v>
      </c>
      <c r="N510" s="127" t="s">
        <v>1368</v>
      </c>
      <c r="O510" s="127" t="s">
        <v>185</v>
      </c>
      <c r="P510" s="127" t="s">
        <v>186</v>
      </c>
      <c r="Q510" s="85" t="str">
        <f t="shared" si="423"/>
        <v/>
      </c>
      <c r="R510" s="130"/>
      <c r="S510" s="128"/>
      <c r="T510" s="131"/>
      <c r="U510" s="132">
        <v>203</v>
      </c>
      <c r="V510" s="121">
        <v>218.2</v>
      </c>
      <c r="W510" s="116">
        <v>0.98</v>
      </c>
      <c r="X510" s="116">
        <v>1.66</v>
      </c>
      <c r="Y510" s="116">
        <f t="shared" si="408"/>
        <v>0.9820113485452131</v>
      </c>
      <c r="Z510" s="133">
        <v>1.454</v>
      </c>
      <c r="AA510" s="133">
        <v>0.83599999999999997</v>
      </c>
      <c r="AB510" s="133">
        <v>0.72</v>
      </c>
      <c r="AC510" s="121">
        <v>34.299999999999997</v>
      </c>
      <c r="AD510" s="134">
        <v>1.17</v>
      </c>
      <c r="AE510" s="124">
        <v>177.8</v>
      </c>
      <c r="AF510" s="128">
        <v>9.1999999999999993</v>
      </c>
      <c r="AG510" s="128">
        <v>2055</v>
      </c>
      <c r="AH510" s="127">
        <v>2895</v>
      </c>
      <c r="AI510" s="127">
        <v>2895</v>
      </c>
      <c r="AJ510" s="135">
        <v>44096</v>
      </c>
      <c r="AK510" s="128"/>
      <c r="AL510" s="131"/>
      <c r="AM510" s="124" t="s">
        <v>232</v>
      </c>
      <c r="AN510" s="136" t="s">
        <v>1824</v>
      </c>
      <c r="AO510" s="137">
        <v>41.54</v>
      </c>
      <c r="AP510" s="128">
        <v>2065</v>
      </c>
      <c r="AQ510" s="128">
        <v>267.77999999999997</v>
      </c>
      <c r="AR510" s="128"/>
      <c r="AS510" s="128"/>
      <c r="AT510" s="122"/>
      <c r="AU510" s="124" t="s">
        <v>250</v>
      </c>
      <c r="AV510" s="115">
        <f>VLOOKUP(J510,'[63]ТР нефть'!$J$28:$BP$638,39,0)</f>
        <v>390</v>
      </c>
      <c r="AW510" s="115" t="str">
        <f>VLOOKUP(J510,'[63]ТР нефть'!$J$28:$BP$638,40,0)</f>
        <v>ГП</v>
      </c>
      <c r="AX510" s="115">
        <f>VLOOKUP(J510,'[63]ТР нефть'!$J$28:$BP$638,41,0)</f>
        <v>810</v>
      </c>
      <c r="AY510" s="115" t="str">
        <f>VLOOKUP(J510,'[63]ТР нефть'!$J$28:$BP$638,42,0)</f>
        <v>ГП</v>
      </c>
      <c r="AZ510" s="115">
        <f>VLOOKUP(J510,'[63]ТР нефть'!$J$28:$BP$638,43,0)</f>
        <v>1230</v>
      </c>
      <c r="BA510" s="115" t="str">
        <f>VLOOKUP(J510,'[63]ТР нефть'!$J$28:$BP$638,44,0)</f>
        <v>ГК84 1/8</v>
      </c>
      <c r="BB510" s="115">
        <f>VLOOKUP(J510,'[63]ТР нефть'!$J$28:$BP$638,45,0)</f>
        <v>1520</v>
      </c>
      <c r="BC510" s="115" t="str">
        <f>VLOOKUP(J510,'[63]ТР нефть'!$J$28:$BP$638,46,0)</f>
        <v>ГК84 1/8</v>
      </c>
      <c r="BD510" s="115">
        <f>VLOOKUP(J510,'[63]ТР нефть'!$J$28:$BP$638,47,0)</f>
        <v>1890</v>
      </c>
      <c r="BE510" s="115" t="str">
        <f>VLOOKUP(J510,'[63]ТР нефть'!$J$28:$BP$638,48,0)</f>
        <v>ЦКсОК 5/16</v>
      </c>
      <c r="BF510" s="115" t="str">
        <f>VLOOKUP(J510,'[63]ТР нефть'!$J$28:$BP$638,49,0)</f>
        <v>-</v>
      </c>
      <c r="BG510" s="115" t="str">
        <f>VLOOKUP(J510,'[63]ТР нефть'!$J$28:$BP$638,50,0)</f>
        <v>-</v>
      </c>
      <c r="BH510" s="115" t="str">
        <f>VLOOKUP(J510,'[63]ТР нефть'!$J$28:$BP$638,51,0)</f>
        <v>-</v>
      </c>
      <c r="BI510" s="115" t="str">
        <f>VLOOKUP(J510,'[63]ТР нефть'!$J$28:$BP$638,52,0)</f>
        <v>-</v>
      </c>
      <c r="BJ510" s="115" t="str">
        <f>IF(IFERROR(VLOOKUP(J510,'[63]ТР нефть'!$J$28:$BP$638,53,0),"-")=0,"-",IFERROR(VLOOKUP(J510,'[63]ТР нефть'!$J$28:$BP$638,53,0),"-"))</f>
        <v>-</v>
      </c>
      <c r="BK510" s="138" t="str">
        <f>IF(IFERROR(VLOOKUP(J510,'[63]ТР нефть'!$J$28:$BP$638,54,0),"-")=0,"-",IFERROR(VLOOKUP(J510,'[63]ТР нефть'!$J$28:$BP$638,54,0),"-"))</f>
        <v>-</v>
      </c>
      <c r="BL510" s="138" t="str">
        <f>IF(IFERROR(VLOOKUP(J510,'[63]ТР нефть'!$J$28:$BP$638,55,0),"-")=0,"-",IFERROR(VLOOKUP(J510,'[63]ТР нефть'!$J$28:$BP$638,55,0),"-"))</f>
        <v>-</v>
      </c>
      <c r="BM510" s="138" t="str">
        <f>IF(IFERROR(VLOOKUP(J510,'[63]ТР нефть'!$J$28:$BP$638,56,0),"-")=0,"-",IFERROR(VLOOKUP(J510,'[63]ТР нефть'!$J$28:$BP$638,56,0),"-"))</f>
        <v>-</v>
      </c>
      <c r="BN510" s="138" t="str">
        <f>IF(IFERROR(VLOOKUP(J510,'[63]ТР нефть'!$J$28:$BP$638,57,0),"-")=0,"-",IFERROR(VLOOKUP(J510,'[63]ТР нефть'!$J$28:$BP$638,57,0),"-"))</f>
        <v>-</v>
      </c>
      <c r="BO510" s="115" t="str">
        <f>IF(IFERROR(VLOOKUP(J510,'[63]ТР нефть'!$J$28:$BP$638,58,0),"-")=0,"-",IFERROR(VLOOKUP(J510,'[63]ТР нефть'!$J$28:$BP$638,58,0),"-"))</f>
        <v>-</v>
      </c>
      <c r="BP510" s="115" t="str">
        <f>IF(IFERROR(VLOOKUP(J510,'[63]ТР нефть'!$J$28:$BP$638,59,0),"-")=0,"-",IFERROR(VLOOKUP(J510,'[63]ТР нефть'!$J$28:$BP$638,59,0),"-"))</f>
        <v>-</v>
      </c>
      <c r="BQ510" s="138">
        <v>2049.1999999999998</v>
      </c>
      <c r="BR510" s="128">
        <v>1789.55</v>
      </c>
      <c r="BS510" s="115">
        <v>259.64999999999998</v>
      </c>
      <c r="BT510" s="128">
        <v>73</v>
      </c>
      <c r="BU510" s="128">
        <v>5.5</v>
      </c>
      <c r="BV510" s="127">
        <v>10</v>
      </c>
      <c r="BW510" s="127" t="s">
        <v>217</v>
      </c>
      <c r="BX510" s="127" t="s">
        <v>195</v>
      </c>
      <c r="BY510" s="139">
        <v>24</v>
      </c>
      <c r="BZ510" s="139">
        <v>0</v>
      </c>
      <c r="CA510" s="138">
        <v>44</v>
      </c>
      <c r="CB510" s="138">
        <v>57</v>
      </c>
      <c r="CC510" s="138">
        <v>43</v>
      </c>
      <c r="CD510" s="135">
        <v>45017</v>
      </c>
      <c r="CE510" s="138">
        <v>119</v>
      </c>
      <c r="CF510" s="138"/>
      <c r="CG510" s="138"/>
      <c r="CH510" s="138"/>
      <c r="CI510" s="138"/>
      <c r="CJ510" s="138"/>
      <c r="CK510" s="138">
        <f t="shared" si="432"/>
        <v>26</v>
      </c>
      <c r="CL510" s="99"/>
      <c r="CM510" s="138"/>
      <c r="CN510" s="154">
        <v>70</v>
      </c>
      <c r="CO510" s="141">
        <f t="shared" si="373"/>
        <v>20.795500000000001</v>
      </c>
      <c r="CP510" s="142">
        <v>25</v>
      </c>
      <c r="CQ510" s="143">
        <v>0.5</v>
      </c>
      <c r="CR510" s="138">
        <v>50</v>
      </c>
      <c r="CS510" s="139"/>
      <c r="CT510" s="138"/>
      <c r="CU510" s="138">
        <f t="shared" si="418"/>
        <v>50</v>
      </c>
      <c r="CV510" s="115">
        <f t="shared" si="419"/>
        <v>2404.366329253925</v>
      </c>
      <c r="CW510" s="115" t="str">
        <f t="shared" si="374"/>
        <v/>
      </c>
      <c r="CX510" s="133">
        <f t="shared" si="420"/>
        <v>0.51020408163265307</v>
      </c>
      <c r="CY510" s="116"/>
      <c r="CZ510" s="131"/>
      <c r="DA510" s="145" t="str">
        <f t="shared" si="375"/>
        <v>Фон.</v>
      </c>
      <c r="DB510" s="146">
        <f t="shared" si="390"/>
        <v>20.795500000000001</v>
      </c>
      <c r="DC510" s="142">
        <f t="shared" si="402"/>
        <v>25</v>
      </c>
      <c r="DD510" s="119">
        <f t="shared" si="416"/>
        <v>0.5</v>
      </c>
      <c r="DE510" s="115">
        <f t="shared" si="392"/>
        <v>50</v>
      </c>
      <c r="DF510" s="121">
        <f t="shared" si="376"/>
        <v>0</v>
      </c>
      <c r="DG510" s="115">
        <f t="shared" si="377"/>
        <v>2404.366329253925</v>
      </c>
      <c r="DH510" s="115">
        <f t="shared" si="378"/>
        <v>70</v>
      </c>
      <c r="DI510" s="147"/>
      <c r="DJ510" s="111"/>
      <c r="DK510" s="112">
        <v>44213</v>
      </c>
      <c r="DL510" s="113">
        <f t="shared" ca="1" si="424"/>
        <v>891</v>
      </c>
      <c r="DM510" s="114"/>
      <c r="DN510" s="114"/>
      <c r="DO510" s="114"/>
      <c r="DP510" s="114"/>
      <c r="DQ510" s="112"/>
      <c r="DR510" s="114"/>
      <c r="DS510" s="114"/>
      <c r="DT510" s="115">
        <v>60</v>
      </c>
      <c r="DU510" s="116">
        <f t="shared" si="425"/>
        <v>0.48688046647230326</v>
      </c>
      <c r="DV510" s="117">
        <f t="shared" si="428"/>
        <v>23.894817667638485</v>
      </c>
      <c r="DW510" s="118">
        <f t="shared" si="429"/>
        <v>28.725947521865894</v>
      </c>
      <c r="DX510" s="119">
        <f t="shared" si="430"/>
        <v>0.5</v>
      </c>
      <c r="DY510" s="115">
        <f t="shared" si="431"/>
        <v>57.451895043731774</v>
      </c>
      <c r="DZ510" s="117">
        <f t="shared" si="426"/>
        <v>3.0993176676384842</v>
      </c>
      <c r="EA510" s="120">
        <f t="shared" si="414"/>
        <v>3.7259475218658942</v>
      </c>
      <c r="EB510" s="119">
        <f t="shared" si="387"/>
        <v>0</v>
      </c>
      <c r="EC510" s="121">
        <f t="shared" si="415"/>
        <v>7.4518950437317741</v>
      </c>
      <c r="ED510" s="122"/>
      <c r="EE510" s="145">
        <v>10</v>
      </c>
      <c r="EF510" s="115">
        <v>42</v>
      </c>
      <c r="EG510" s="115">
        <v>58</v>
      </c>
      <c r="EH510" s="115">
        <v>40</v>
      </c>
      <c r="EI510" s="128" t="s">
        <v>195</v>
      </c>
      <c r="EJ510" s="121">
        <v>24</v>
      </c>
      <c r="EK510" s="121">
        <v>0</v>
      </c>
      <c r="EL510" s="149">
        <v>21.518639999999998</v>
      </c>
      <c r="EM510" s="142">
        <v>26</v>
      </c>
      <c r="EN510" s="119">
        <v>1</v>
      </c>
      <c r="EO510" s="115">
        <v>64</v>
      </c>
      <c r="EP510" s="115">
        <v>2974.1656535914913</v>
      </c>
      <c r="EQ510" s="115">
        <v>0</v>
      </c>
      <c r="ER510" s="115">
        <v>0</v>
      </c>
      <c r="ES510" s="115">
        <v>70</v>
      </c>
      <c r="ET510" s="150">
        <v>0.53061224489795922</v>
      </c>
      <c r="EU510" s="145">
        <f t="shared" si="400"/>
        <v>10</v>
      </c>
      <c r="EV510" s="115">
        <f t="shared" si="380"/>
        <v>44</v>
      </c>
      <c r="EW510" s="115">
        <f t="shared" si="380"/>
        <v>57</v>
      </c>
      <c r="EX510" s="115">
        <f t="shared" si="380"/>
        <v>43</v>
      </c>
      <c r="EY510" s="115" t="str">
        <f t="shared" si="357"/>
        <v>Постоянный</v>
      </c>
      <c r="EZ510" s="115">
        <f t="shared" si="357"/>
        <v>24</v>
      </c>
      <c r="FA510" s="115">
        <f t="shared" si="357"/>
        <v>0</v>
      </c>
      <c r="FB510" s="149">
        <f t="shared" si="405"/>
        <v>20.795500000000001</v>
      </c>
      <c r="FC510" s="142">
        <f t="shared" si="405"/>
        <v>25</v>
      </c>
      <c r="FD510" s="119">
        <f t="shared" si="405"/>
        <v>0.5</v>
      </c>
      <c r="FE510" s="121">
        <f t="shared" si="405"/>
        <v>50</v>
      </c>
      <c r="FF510" s="121">
        <f t="shared" si="407"/>
        <v>2404.366329253925</v>
      </c>
      <c r="FG510" s="121">
        <f t="shared" si="381"/>
        <v>0</v>
      </c>
      <c r="FH510" s="121">
        <f t="shared" si="358"/>
        <v>0</v>
      </c>
      <c r="FI510" s="121">
        <f t="shared" si="427"/>
        <v>70</v>
      </c>
      <c r="FJ510" s="144">
        <f t="shared" si="382"/>
        <v>0.51020408163265307</v>
      </c>
      <c r="FK510" s="132">
        <f t="shared" si="383"/>
        <v>0</v>
      </c>
      <c r="FL510" s="115">
        <f t="shared" si="383"/>
        <v>2</v>
      </c>
      <c r="FM510" s="115">
        <f t="shared" si="383"/>
        <v>-1</v>
      </c>
      <c r="FN510" s="115">
        <f t="shared" si="371"/>
        <v>3</v>
      </c>
      <c r="FO510" s="115">
        <f t="shared" si="403"/>
        <v>0</v>
      </c>
      <c r="FP510" s="115">
        <f t="shared" si="403"/>
        <v>0</v>
      </c>
      <c r="FQ510" s="149">
        <f t="shared" si="403"/>
        <v>-0.72313999999999723</v>
      </c>
      <c r="FR510" s="142">
        <f t="shared" si="403"/>
        <v>-1</v>
      </c>
      <c r="FS510" s="119">
        <f t="shared" si="403"/>
        <v>-0.5</v>
      </c>
      <c r="FT510" s="121">
        <f t="shared" si="403"/>
        <v>-14</v>
      </c>
      <c r="FU510" s="121">
        <f t="shared" si="384"/>
        <v>0</v>
      </c>
      <c r="FV510" s="121">
        <f t="shared" si="384"/>
        <v>0</v>
      </c>
      <c r="FW510" s="121">
        <f t="shared" si="385"/>
        <v>-569.7993243375663</v>
      </c>
      <c r="FX510" s="121">
        <f t="shared" si="386"/>
        <v>0</v>
      </c>
      <c r="FY510" s="144">
        <f t="shared" si="386"/>
        <v>-2.0408163265306145E-2</v>
      </c>
      <c r="FZ510" s="145"/>
      <c r="GA510" s="151"/>
      <c r="GB510" s="145" t="s">
        <v>204</v>
      </c>
      <c r="GC510" s="151" t="s">
        <v>219</v>
      </c>
      <c r="GD510" s="997" t="s">
        <v>220</v>
      </c>
      <c r="GE510" s="1004" t="s">
        <v>204</v>
      </c>
      <c r="GF510" s="1004">
        <v>2.5903105535999984</v>
      </c>
      <c r="GG510" s="1004"/>
      <c r="GH510" s="1004">
        <v>0</v>
      </c>
      <c r="GI510" s="145"/>
      <c r="GJ510" s="996">
        <v>0</v>
      </c>
      <c r="GK510" s="145"/>
      <c r="GL510" s="996">
        <v>0</v>
      </c>
      <c r="GM510" s="1005"/>
      <c r="GN510" s="996">
        <v>0</v>
      </c>
      <c r="GO510" s="1006"/>
      <c r="GP510" s="996">
        <v>-0.13399909600000015</v>
      </c>
      <c r="GQ510" s="1006" t="s">
        <v>240</v>
      </c>
      <c r="GR510" s="996">
        <v>-5.3665821175999966</v>
      </c>
      <c r="GS510" s="1006"/>
      <c r="GT510" s="996">
        <v>0.42735065999999478</v>
      </c>
      <c r="GU510" s="1006"/>
      <c r="GV510" s="996">
        <v>0</v>
      </c>
      <c r="GW510" s="1006" t="s">
        <v>223</v>
      </c>
      <c r="GX510" s="996">
        <v>3.8272916000000023</v>
      </c>
      <c r="GY510" s="1006" t="s">
        <v>223</v>
      </c>
      <c r="GZ510" s="996">
        <v>-9.8829411999999941</v>
      </c>
      <c r="HA510" s="1006" t="s">
        <v>199</v>
      </c>
      <c r="HB510" s="996">
        <v>5.1137743799999917</v>
      </c>
      <c r="HC510" s="1006"/>
      <c r="HD510" s="996">
        <v>0</v>
      </c>
      <c r="HE510" s="1006"/>
      <c r="HF510" s="996">
        <v>0</v>
      </c>
      <c r="HG510" s="1006" t="s">
        <v>1065</v>
      </c>
      <c r="HH510" s="996">
        <v>-10.479556779999999</v>
      </c>
      <c r="HI510" s="1006" t="s">
        <v>199</v>
      </c>
      <c r="HJ510" s="996">
        <v>8.6140378280000043</v>
      </c>
      <c r="HK510" s="1006" t="s">
        <v>223</v>
      </c>
      <c r="HL510" s="996">
        <v>-10.464691028000001</v>
      </c>
      <c r="HM510" s="1006"/>
      <c r="HN510" s="996">
        <v>0</v>
      </c>
      <c r="HO510" s="1006" t="s">
        <v>203</v>
      </c>
      <c r="HP510" s="996">
        <v>-3.0290788000000006</v>
      </c>
      <c r="HQ510" s="1006" t="s">
        <v>203</v>
      </c>
      <c r="HR510" s="996">
        <v>-12.468371519999998</v>
      </c>
      <c r="HS510" s="1006"/>
      <c r="HT510" s="996">
        <v>0</v>
      </c>
      <c r="HU510" s="1006" t="s">
        <v>203</v>
      </c>
      <c r="HV510" s="996">
        <v>-1.7030373360000084</v>
      </c>
      <c r="HW510" s="1006"/>
      <c r="HX510" s="996">
        <v>0</v>
      </c>
      <c r="HY510" s="1006"/>
      <c r="HZ510" s="996">
        <v>0</v>
      </c>
      <c r="IA510" s="1006" t="s">
        <v>199</v>
      </c>
      <c r="IB510" s="996">
        <v>3.6720848560000121</v>
      </c>
      <c r="IC510" s="1006"/>
      <c r="ID510" s="996">
        <v>0</v>
      </c>
      <c r="IE510" s="1006" t="s">
        <v>221</v>
      </c>
      <c r="IF510" s="996">
        <v>1.3854191999999941</v>
      </c>
      <c r="IG510" s="1006" t="s">
        <v>221</v>
      </c>
      <c r="IH510" s="996">
        <v>12.723585599999993</v>
      </c>
      <c r="II510" s="1006" t="s">
        <v>25</v>
      </c>
      <c r="IJ510" s="996">
        <v>36.693043200000005</v>
      </c>
      <c r="IK510" s="1006"/>
      <c r="IL510" s="996"/>
      <c r="IM510" s="1006"/>
      <c r="IN510" s="996"/>
      <c r="IO510" s="1006"/>
      <c r="IP510" s="996"/>
      <c r="IQ510" s="1006"/>
      <c r="IR510" s="996"/>
      <c r="IS510" s="1006"/>
      <c r="IT510" s="996"/>
      <c r="IU510" s="1006"/>
      <c r="IV510" s="996"/>
      <c r="IW510" s="1006"/>
      <c r="IX510" s="996"/>
      <c r="IY510" s="1006"/>
      <c r="IZ510" s="996"/>
      <c r="JA510" s="1006"/>
      <c r="JB510" s="996"/>
      <c r="JC510" s="1006"/>
      <c r="JD510" s="996"/>
      <c r="JE510" s="1006"/>
      <c r="JF510" s="996"/>
      <c r="JG510" s="1006"/>
      <c r="JH510" s="996"/>
      <c r="JI510" s="1006"/>
      <c r="JJ510" s="996"/>
      <c r="JK510" s="1007"/>
      <c r="JL510" s="1007"/>
      <c r="JM510" s="1007"/>
      <c r="JN510" s="1007"/>
      <c r="JO510" s="1008"/>
      <c r="JP510" s="1007"/>
      <c r="JQ510" s="1008"/>
      <c r="JR510" s="1007"/>
      <c r="JS510" s="1008"/>
      <c r="JT510" s="1007"/>
      <c r="JU510" s="1008"/>
      <c r="JV510" s="1007"/>
      <c r="JW510" s="1008"/>
      <c r="JX510" s="1007"/>
      <c r="JY510" s="1008"/>
      <c r="JZ510" s="1007"/>
      <c r="KA510" s="1008"/>
      <c r="KB510" s="1007"/>
      <c r="KC510" s="1008"/>
      <c r="KD510" s="1007"/>
      <c r="KE510" s="1008"/>
      <c r="KF510" s="1007"/>
      <c r="KG510" s="1008"/>
      <c r="KH510" s="1007"/>
      <c r="KI510" s="1008"/>
      <c r="KJ510" s="1007"/>
      <c r="KK510" s="1008"/>
      <c r="KL510" s="1007"/>
      <c r="KM510" s="1008"/>
      <c r="KN510" s="1007"/>
      <c r="KO510" s="1008"/>
      <c r="KP510" s="1007"/>
      <c r="KQ510" s="1008"/>
      <c r="KR510" s="1007"/>
      <c r="KS510" s="1008"/>
      <c r="KT510" s="1007"/>
      <c r="KU510" s="1008"/>
      <c r="KV510" s="1007"/>
      <c r="KW510" s="1008"/>
      <c r="KX510" s="1007"/>
      <c r="KY510" s="1008"/>
      <c r="KZ510" s="1007"/>
      <c r="LA510" s="1008"/>
      <c r="LB510" s="1007"/>
      <c r="LC510" s="1008"/>
      <c r="LD510" s="1007"/>
      <c r="LE510" s="1008"/>
      <c r="LF510" s="1007"/>
      <c r="LG510" s="1008"/>
      <c r="LH510" s="1007"/>
      <c r="LI510" s="1008"/>
      <c r="LJ510" s="1007"/>
      <c r="LK510" s="1008"/>
      <c r="LL510" s="1007"/>
      <c r="LM510" s="1008"/>
      <c r="LN510" s="1007"/>
      <c r="LO510" s="1008"/>
      <c r="LP510" s="1007"/>
      <c r="LQ510" s="1008"/>
      <c r="LR510" s="1007"/>
      <c r="LS510" s="1008"/>
      <c r="LT510" s="1007"/>
      <c r="LU510" s="1008"/>
      <c r="LV510" s="1007"/>
      <c r="LW510" s="1008"/>
      <c r="LX510" s="1007"/>
      <c r="LY510" s="1009"/>
      <c r="LZ510" s="1010"/>
      <c r="MA510" s="1011"/>
      <c r="MB510" s="1012"/>
      <c r="MC510" s="995"/>
      <c r="MD510" s="996"/>
      <c r="ME510" s="997" t="s">
        <v>220</v>
      </c>
      <c r="MF510" s="997"/>
      <c r="MG510" s="998"/>
      <c r="NR510" s="1000"/>
      <c r="NS510" s="1000"/>
      <c r="NT510" s="1001"/>
      <c r="NU510" s="1000"/>
      <c r="NV510" s="1001"/>
      <c r="NX510" s="1002"/>
      <c r="NZ510" s="1001"/>
      <c r="OA510" s="1001"/>
      <c r="OC510" s="1003"/>
      <c r="OD510" s="1003"/>
      <c r="OE510" s="1001"/>
      <c r="OF510" s="1003"/>
      <c r="OG510" s="1003"/>
      <c r="OH510" s="1003"/>
      <c r="OI510" s="1016"/>
      <c r="QX510" s="1000">
        <f>CN510-CA510</f>
        <v>26</v>
      </c>
      <c r="ASU510" s="999" t="s">
        <v>208</v>
      </c>
    </row>
    <row r="511" spans="1:466 1191:1191" ht="21" customHeight="1" x14ac:dyDescent="0.25">
      <c r="A511" s="982" t="str">
        <f t="shared" si="372"/>
        <v>1609-1</v>
      </c>
      <c r="B511" s="124">
        <f>SUBTOTAL(103,$J$29:J511)</f>
        <v>483</v>
      </c>
      <c r="C511" s="126">
        <v>45068</v>
      </c>
      <c r="D511" s="124" t="s">
        <v>176</v>
      </c>
      <c r="E511" s="127" t="s">
        <v>177</v>
      </c>
      <c r="F511" s="128" t="s">
        <v>177</v>
      </c>
      <c r="G511" s="127" t="s">
        <v>178</v>
      </c>
      <c r="H511" s="127" t="s">
        <v>179</v>
      </c>
      <c r="I511" s="127" t="s">
        <v>1367</v>
      </c>
      <c r="J511" s="152" t="s">
        <v>1825</v>
      </c>
      <c r="K511" s="127" t="s">
        <v>1367</v>
      </c>
      <c r="L511" s="130">
        <v>44369</v>
      </c>
      <c r="M511" s="127" t="s">
        <v>230</v>
      </c>
      <c r="N511" s="127" t="s">
        <v>1368</v>
      </c>
      <c r="O511" s="127" t="s">
        <v>185</v>
      </c>
      <c r="P511" s="127" t="s">
        <v>186</v>
      </c>
      <c r="Q511" s="85" t="str">
        <f t="shared" si="423"/>
        <v/>
      </c>
      <c r="R511" s="130"/>
      <c r="S511" s="128"/>
      <c r="T511" s="131"/>
      <c r="U511" s="132">
        <v>203</v>
      </c>
      <c r="V511" s="121">
        <v>218.2</v>
      </c>
      <c r="W511" s="116">
        <v>0.98</v>
      </c>
      <c r="X511" s="116">
        <v>1.66</v>
      </c>
      <c r="Y511" s="116">
        <f t="shared" si="408"/>
        <v>1.3661404098085321</v>
      </c>
      <c r="Z511" s="133">
        <v>1.454</v>
      </c>
      <c r="AA511" s="133">
        <v>0.83599999999999997</v>
      </c>
      <c r="AB511" s="133">
        <v>0.72</v>
      </c>
      <c r="AC511" s="121">
        <v>34.299999999999997</v>
      </c>
      <c r="AD511" s="134">
        <v>1.17</v>
      </c>
      <c r="AE511" s="124">
        <v>177.8</v>
      </c>
      <c r="AF511" s="128">
        <v>9.1999999999999993</v>
      </c>
      <c r="AG511" s="128">
        <v>2347</v>
      </c>
      <c r="AH511" s="127">
        <v>3226</v>
      </c>
      <c r="AI511" s="127">
        <v>3226</v>
      </c>
      <c r="AJ511" s="135">
        <v>44228</v>
      </c>
      <c r="AK511" s="128" t="s">
        <v>1018</v>
      </c>
      <c r="AL511" s="131"/>
      <c r="AM511" s="124" t="s">
        <v>232</v>
      </c>
      <c r="AN511" s="136" t="s">
        <v>1826</v>
      </c>
      <c r="AO511" s="137">
        <v>33.383802281368844</v>
      </c>
      <c r="AP511" s="128">
        <v>2347</v>
      </c>
      <c r="AQ511" s="128">
        <v>544.69380228136879</v>
      </c>
      <c r="AR511" s="128"/>
      <c r="AS511" s="128"/>
      <c r="AT511" s="122"/>
      <c r="AU511" s="124" t="s">
        <v>883</v>
      </c>
      <c r="AV511" s="115">
        <f>VLOOKUP(J511,'[63]ТР нефть'!$J$28:$BP$638,39,0)</f>
        <v>350</v>
      </c>
      <c r="AW511" s="115" t="str">
        <f>VLOOKUP(J511,'[63]ТР нефть'!$J$28:$BP$638,40,0)</f>
        <v>ГП</v>
      </c>
      <c r="AX511" s="115">
        <f>VLOOKUP(J511,'[63]ТР нефть'!$J$28:$BP$638,41,0)</f>
        <v>775</v>
      </c>
      <c r="AY511" s="115" t="str">
        <f>VLOOKUP(J511,'[63]ТР нефть'!$J$28:$BP$638,42,0)</f>
        <v>ГК 79 5/32</v>
      </c>
      <c r="AZ511" s="115">
        <f>VLOOKUP(J511,'[63]ТР нефть'!$J$28:$BP$638,43,0)</f>
        <v>1134</v>
      </c>
      <c r="BA511" s="115" t="str">
        <f>VLOOKUP(J511,'[63]ТР нефть'!$J$28:$BP$638,44,0)</f>
        <v>ГК 79 1/8</v>
      </c>
      <c r="BB511" s="115">
        <f>VLOOKUP(J511,'[63]ТР нефть'!$J$28:$BP$638,45,0)</f>
        <v>1436</v>
      </c>
      <c r="BC511" s="115" t="str">
        <f>VLOOKUP(J511,'[63]ТР нефть'!$J$28:$BP$638,46,0)</f>
        <v>ГК 79 1/8</v>
      </c>
      <c r="BD511" s="115">
        <f>VLOOKUP(J511,'[63]ТР нефть'!$J$28:$BP$638,47,0)</f>
        <v>1790</v>
      </c>
      <c r="BE511" s="115" t="str">
        <f>VLOOKUP(J511,'[63]ТР нефть'!$J$28:$BP$638,48,0)</f>
        <v>ГК 77 3/16</v>
      </c>
      <c r="BF511" s="115">
        <f>VLOOKUP(J511,'[63]ТР нефть'!$J$28:$BP$638,49,0)</f>
        <v>2100</v>
      </c>
      <c r="BG511" s="115" t="str">
        <f>VLOOKUP(J511,'[63]ТР нефть'!$J$28:$BP$638,50,0)</f>
        <v>ЦКсОК 5/16</v>
      </c>
      <c r="BH511" s="115" t="str">
        <f>VLOOKUP(J511,'[63]ТР нефть'!$J$28:$BP$638,51,0)</f>
        <v>-</v>
      </c>
      <c r="BI511" s="115" t="str">
        <f>VLOOKUP(J511,'[63]ТР нефть'!$J$28:$BP$638,52,0)</f>
        <v>-</v>
      </c>
      <c r="BJ511" s="115" t="str">
        <f>IF(IFERROR(VLOOKUP(J511,'[63]ТР нефть'!$J$28:$BP$638,53,0),"-")=0,"-",IFERROR(VLOOKUP(J511,'[63]ТР нефть'!$J$28:$BP$638,53,0),"-"))</f>
        <v>-</v>
      </c>
      <c r="BK511" s="138" t="str">
        <f>IF(IFERROR(VLOOKUP(J511,'[63]ТР нефть'!$J$28:$BP$638,54,0),"-")=0,"-",IFERROR(VLOOKUP(J511,'[63]ТР нефть'!$J$28:$BP$638,54,0),"-"))</f>
        <v>D1150N</v>
      </c>
      <c r="BL511" s="138" t="str">
        <f>IF(IFERROR(VLOOKUP(J511,'[63]ТР нефть'!$J$28:$BP$638,55,0),"-")=0,"-",IFERROR(VLOOKUP(J511,'[63]ТР нефть'!$J$28:$BP$638,55,0),"-"))</f>
        <v>-</v>
      </c>
      <c r="BM511" s="138">
        <f>IF(IFERROR(VLOOKUP(J511,'[63]ТР нефть'!$J$28:$BP$638,56,0),"-")=0,"-",IFERROR(VLOOKUP(J511,'[63]ТР нефть'!$J$28:$BP$638,56,0),"-"))</f>
        <v>1296</v>
      </c>
      <c r="BN511" s="138">
        <f>IF(IFERROR(VLOOKUP(J511,'[63]ТР нефть'!$J$28:$BP$638,57,0),"-")=0,"-",IFERROR(VLOOKUP(J511,'[63]ТР нефть'!$J$28:$BP$638,57,0),"-"))</f>
        <v>61</v>
      </c>
      <c r="BO511" s="115">
        <f>IF(IFERROR(VLOOKUP(J511,'[63]ТР нефть'!$J$28:$BP$638,58,0),"-")=0,"-",IFERROR(VLOOKUP(J511,'[63]ТР нефть'!$J$28:$BP$638,58,0),"-"))</f>
        <v>100</v>
      </c>
      <c r="BP511" s="115" t="str">
        <f>IF(IFERROR(VLOOKUP(J511,'[63]ТР нефть'!$J$28:$BP$638,59,0),"-")=0,"-",IFERROR(VLOOKUP(J511,'[63]ТР нефть'!$J$28:$BP$638,59,0),"-"))</f>
        <v>-</v>
      </c>
      <c r="BQ511" s="138">
        <v>2050</v>
      </c>
      <c r="BR511" s="128">
        <v>1655.2</v>
      </c>
      <c r="BS511" s="115">
        <v>394.79999999999995</v>
      </c>
      <c r="BT511" s="128">
        <v>73</v>
      </c>
      <c r="BU511" s="128">
        <v>5.5</v>
      </c>
      <c r="BV511" s="127">
        <v>18</v>
      </c>
      <c r="BW511" s="127" t="s">
        <v>217</v>
      </c>
      <c r="BX511" s="127" t="s">
        <v>218</v>
      </c>
      <c r="BY511" s="139">
        <v>8</v>
      </c>
      <c r="BZ511" s="139">
        <v>16</v>
      </c>
      <c r="CA511" s="138">
        <v>40</v>
      </c>
      <c r="CB511" s="138">
        <v>41</v>
      </c>
      <c r="CC511" s="138">
        <v>40</v>
      </c>
      <c r="CD511" s="135">
        <v>45017</v>
      </c>
      <c r="CE511" s="138">
        <v>138</v>
      </c>
      <c r="CF511" s="138"/>
      <c r="CG511" s="138" t="str">
        <f t="shared" ref="CG511:CG547" si="433">IF(CH511&lt;&gt;"","В работе","")</f>
        <v/>
      </c>
      <c r="CH511" s="138" t="s">
        <v>197</v>
      </c>
      <c r="CI511" s="138"/>
      <c r="CJ511" s="138">
        <f>IF((BR511-(100*(CM511-CB511))/(9.8*(AB511+AA511)/2))&gt;0,BR511-(100*(CM511-CB511))/(9.8*(AB511+AA511)/2),0)</f>
        <v>1392.8842767955512</v>
      </c>
      <c r="CK511" s="138">
        <f t="shared" si="432"/>
        <v>35.871267095081748</v>
      </c>
      <c r="CL511" s="99"/>
      <c r="CM511" s="138">
        <v>61</v>
      </c>
      <c r="CN511" s="154">
        <f>IF(CM511=0,0,(((AP511-AQ511-BR511)*((AD511*(CQ511/100))+(AB511*((100-CQ511)/100)))*9.81/100+CM511)))</f>
        <v>75.871267095081748</v>
      </c>
      <c r="CO511" s="141">
        <f t="shared" si="373"/>
        <v>13.735480000000003</v>
      </c>
      <c r="CP511" s="142">
        <v>53</v>
      </c>
      <c r="CQ511" s="143">
        <v>69</v>
      </c>
      <c r="CR511" s="115">
        <v>36</v>
      </c>
      <c r="CS511" s="139"/>
      <c r="CT511" s="138"/>
      <c r="CU511" s="138">
        <f t="shared" si="418"/>
        <v>36</v>
      </c>
      <c r="CV511" s="115">
        <f t="shared" si="419"/>
        <v>2620.9495408970051</v>
      </c>
      <c r="CW511" s="115" t="str">
        <f t="shared" si="374"/>
        <v/>
      </c>
      <c r="CX511" s="133">
        <f t="shared" si="420"/>
        <v>0.85306745400893891</v>
      </c>
      <c r="CY511" s="116"/>
      <c r="CZ511" s="131"/>
      <c r="DA511" s="145" t="str">
        <f t="shared" si="375"/>
        <v>ЭЦН</v>
      </c>
      <c r="DB511" s="146">
        <f t="shared" si="390"/>
        <v>17.28012</v>
      </c>
      <c r="DC511" s="142">
        <f t="shared" si="402"/>
        <v>53</v>
      </c>
      <c r="DD511" s="119">
        <f t="shared" si="416"/>
        <v>61</v>
      </c>
      <c r="DE511" s="115">
        <f t="shared" si="392"/>
        <v>36</v>
      </c>
      <c r="DF511" s="121">
        <f t="shared" si="376"/>
        <v>0</v>
      </c>
      <c r="DG511" s="115">
        <f t="shared" si="377"/>
        <v>2620.9495408970051</v>
      </c>
      <c r="DH511" s="115">
        <f t="shared" si="378"/>
        <v>75.871267095081748</v>
      </c>
      <c r="DI511" s="147"/>
      <c r="DJ511" s="111"/>
      <c r="DK511" s="112">
        <v>44402</v>
      </c>
      <c r="DL511" s="113">
        <f t="shared" ca="1" si="424"/>
        <v>702</v>
      </c>
      <c r="DM511" s="114"/>
      <c r="DN511" s="114"/>
      <c r="DO511" s="114"/>
      <c r="DP511" s="114"/>
      <c r="DQ511" s="112"/>
      <c r="DR511" s="114"/>
      <c r="DS511" s="114"/>
      <c r="DT511" s="115">
        <v>60</v>
      </c>
      <c r="DU511" s="116">
        <f t="shared" si="425"/>
        <v>0.79855526517546127</v>
      </c>
      <c r="DV511" s="117">
        <f t="shared" si="428"/>
        <v>16.142379436784061</v>
      </c>
      <c r="DW511" s="118">
        <f t="shared" si="429"/>
        <v>62.28731068368598</v>
      </c>
      <c r="DX511" s="119">
        <f t="shared" si="430"/>
        <v>69</v>
      </c>
      <c r="DY511" s="115">
        <f t="shared" si="431"/>
        <v>42.308361973824447</v>
      </c>
      <c r="DZ511" s="117">
        <f t="shared" si="426"/>
        <v>2.4068994367840588</v>
      </c>
      <c r="EA511" s="120">
        <f t="shared" si="414"/>
        <v>9.2873106836859805</v>
      </c>
      <c r="EB511" s="119">
        <f t="shared" si="387"/>
        <v>0</v>
      </c>
      <c r="EC511" s="121">
        <f t="shared" si="415"/>
        <v>6.3083619738244465</v>
      </c>
      <c r="ED511" s="122"/>
      <c r="EE511" s="145">
        <v>18</v>
      </c>
      <c r="EF511" s="115">
        <v>42</v>
      </c>
      <c r="EG511" s="115">
        <v>42</v>
      </c>
      <c r="EH511" s="115">
        <v>41</v>
      </c>
      <c r="EI511" s="128" t="s">
        <v>218</v>
      </c>
      <c r="EJ511" s="121">
        <v>8</v>
      </c>
      <c r="EK511" s="121">
        <v>16</v>
      </c>
      <c r="EL511" s="149">
        <v>2.6409239999999996</v>
      </c>
      <c r="EM511" s="142">
        <v>8.1</v>
      </c>
      <c r="EN511" s="119">
        <v>61</v>
      </c>
      <c r="EO511" s="115">
        <v>3.6</v>
      </c>
      <c r="EP511" s="115">
        <v>1363.1592578961001</v>
      </c>
      <c r="EQ511" s="115">
        <v>0</v>
      </c>
      <c r="ER511" s="115">
        <v>0</v>
      </c>
      <c r="ES511" s="115">
        <v>79.351746847218635</v>
      </c>
      <c r="ET511" s="150">
        <v>0.13811153043039717</v>
      </c>
      <c r="EU511" s="145">
        <f t="shared" si="400"/>
        <v>18</v>
      </c>
      <c r="EV511" s="115">
        <f t="shared" si="380"/>
        <v>40</v>
      </c>
      <c r="EW511" s="115">
        <f t="shared" si="380"/>
        <v>41</v>
      </c>
      <c r="EX511" s="115">
        <f t="shared" si="380"/>
        <v>40</v>
      </c>
      <c r="EY511" s="115" t="str">
        <f t="shared" si="357"/>
        <v>Периодический</v>
      </c>
      <c r="EZ511" s="115">
        <f t="shared" si="357"/>
        <v>8</v>
      </c>
      <c r="FA511" s="115">
        <f t="shared" si="357"/>
        <v>16</v>
      </c>
      <c r="FB511" s="149">
        <f t="shared" si="405"/>
        <v>13.735480000000003</v>
      </c>
      <c r="FC511" s="142">
        <f t="shared" si="405"/>
        <v>53</v>
      </c>
      <c r="FD511" s="119">
        <f t="shared" si="405"/>
        <v>69</v>
      </c>
      <c r="FE511" s="121">
        <f t="shared" si="405"/>
        <v>36</v>
      </c>
      <c r="FF511" s="121">
        <f t="shared" si="407"/>
        <v>2620.9495408970051</v>
      </c>
      <c r="FG511" s="121">
        <f t="shared" si="381"/>
        <v>0</v>
      </c>
      <c r="FH511" s="121">
        <f t="shared" si="358"/>
        <v>0</v>
      </c>
      <c r="FI511" s="121">
        <f t="shared" si="427"/>
        <v>75.871267095081748</v>
      </c>
      <c r="FJ511" s="144">
        <f t="shared" si="382"/>
        <v>0.85306745400893891</v>
      </c>
      <c r="FK511" s="132">
        <f t="shared" si="383"/>
        <v>0</v>
      </c>
      <c r="FL511" s="115">
        <f t="shared" si="383"/>
        <v>-2</v>
      </c>
      <c r="FM511" s="115">
        <f t="shared" si="383"/>
        <v>-1</v>
      </c>
      <c r="FN511" s="115">
        <f t="shared" si="371"/>
        <v>-1</v>
      </c>
      <c r="FO511" s="115">
        <f t="shared" si="403"/>
        <v>0</v>
      </c>
      <c r="FP511" s="115">
        <f t="shared" si="403"/>
        <v>0</v>
      </c>
      <c r="FQ511" s="149">
        <f t="shared" si="403"/>
        <v>11.094556000000003</v>
      </c>
      <c r="FR511" s="142">
        <f t="shared" si="403"/>
        <v>44.9</v>
      </c>
      <c r="FS511" s="119">
        <f t="shared" si="403"/>
        <v>8</v>
      </c>
      <c r="FT511" s="121">
        <f t="shared" si="403"/>
        <v>32.4</v>
      </c>
      <c r="FU511" s="121">
        <f t="shared" si="384"/>
        <v>0</v>
      </c>
      <c r="FV511" s="121">
        <f t="shared" si="384"/>
        <v>0</v>
      </c>
      <c r="FW511" s="121">
        <f t="shared" si="385"/>
        <v>1257.790283000905</v>
      </c>
      <c r="FX511" s="121">
        <f t="shared" si="386"/>
        <v>-3.4804797521368869</v>
      </c>
      <c r="FY511" s="144">
        <f t="shared" si="386"/>
        <v>0.71495592357854176</v>
      </c>
      <c r="FZ511" s="1052" t="s">
        <v>199</v>
      </c>
      <c r="GA511" s="151" t="s">
        <v>1827</v>
      </c>
      <c r="GB511" s="1052" t="s">
        <v>199</v>
      </c>
      <c r="GC511" s="151" t="s">
        <v>1093</v>
      </c>
      <c r="GD511" s="997" t="s">
        <v>220</v>
      </c>
      <c r="GE511" s="1004" t="s">
        <v>199</v>
      </c>
      <c r="GF511" s="1004">
        <v>-11.504195999999999</v>
      </c>
      <c r="GG511" s="1004" t="s">
        <v>223</v>
      </c>
      <c r="GH511" s="1004">
        <v>-3.7484567999999996</v>
      </c>
      <c r="GI511" s="1052"/>
      <c r="GJ511" s="996">
        <v>0</v>
      </c>
      <c r="GK511" s="1052" t="s">
        <v>146</v>
      </c>
      <c r="GL511" s="996">
        <v>-2.1886145600000049</v>
      </c>
      <c r="GM511" s="1005"/>
      <c r="GN511" s="996">
        <v>0</v>
      </c>
      <c r="GO511" s="1006"/>
      <c r="GP511" s="996">
        <v>0</v>
      </c>
      <c r="GQ511" s="1006"/>
      <c r="GR511" s="996">
        <v>0</v>
      </c>
      <c r="GS511" s="1006" t="s">
        <v>204</v>
      </c>
      <c r="GT511" s="996">
        <v>-0.98500864000000021</v>
      </c>
      <c r="GU511" s="1006" t="s">
        <v>204</v>
      </c>
      <c r="GV511" s="996">
        <v>13.376000000000005</v>
      </c>
      <c r="GW511" s="1006" t="s">
        <v>1376</v>
      </c>
      <c r="GX511" s="996">
        <v>-21.109000000000002</v>
      </c>
      <c r="GY511" s="1006"/>
      <c r="GZ511" s="996">
        <v>-0.40474505280000272</v>
      </c>
      <c r="HA511" s="1006"/>
      <c r="HB511" s="996">
        <v>0</v>
      </c>
      <c r="HC511" s="1006"/>
      <c r="HD511" s="996">
        <v>0.36294505280000422</v>
      </c>
      <c r="HE511" s="1006" t="s">
        <v>1007</v>
      </c>
      <c r="HF511" s="996">
        <v>-15.151120599999999</v>
      </c>
      <c r="HG511" s="1006"/>
      <c r="HH511" s="996">
        <v>-0.15290506880000265</v>
      </c>
      <c r="HI511" s="1006" t="s">
        <v>223</v>
      </c>
      <c r="HJ511" s="996">
        <v>-3.9041778511999965</v>
      </c>
      <c r="HK511" s="1006" t="s">
        <v>223</v>
      </c>
      <c r="HL511" s="996">
        <v>-3.1274199879999927</v>
      </c>
      <c r="HM511" s="1006" t="s">
        <v>199</v>
      </c>
      <c r="HN511" s="996">
        <v>0.71728214799999535</v>
      </c>
      <c r="HO511" s="1006" t="s">
        <v>199</v>
      </c>
      <c r="HP511" s="996">
        <v>3.6635693599999968</v>
      </c>
      <c r="HQ511" s="1006" t="s">
        <v>203</v>
      </c>
      <c r="HR511" s="996">
        <v>-14.729845151999996</v>
      </c>
      <c r="HS511" s="1006" t="s">
        <v>221</v>
      </c>
      <c r="HT511" s="996">
        <v>26.266979552000002</v>
      </c>
      <c r="HU511" s="1006" t="s">
        <v>25</v>
      </c>
      <c r="HV511" s="996">
        <v>35.259637599999991</v>
      </c>
      <c r="HW511" s="1006"/>
      <c r="HX511" s="996">
        <v>0</v>
      </c>
      <c r="HY511" s="1006"/>
      <c r="HZ511" s="996">
        <v>0</v>
      </c>
      <c r="IA511" s="1006"/>
      <c r="IB511" s="996">
        <v>0</v>
      </c>
      <c r="IC511" s="1006"/>
      <c r="ID511" s="996"/>
      <c r="IE511" s="1006"/>
      <c r="IF511" s="996"/>
      <c r="IG511" s="1006"/>
      <c r="IH511" s="996"/>
      <c r="II511" s="1006"/>
      <c r="IJ511" s="996"/>
      <c r="IK511" s="1006"/>
      <c r="IL511" s="996"/>
      <c r="IM511" s="1006"/>
      <c r="IN511" s="996"/>
      <c r="IO511" s="1006"/>
      <c r="IP511" s="996"/>
      <c r="IQ511" s="1006"/>
      <c r="IR511" s="996"/>
      <c r="IS511" s="1006"/>
      <c r="IT511" s="996"/>
      <c r="IU511" s="1006"/>
      <c r="IV511" s="996"/>
      <c r="IW511" s="1006"/>
      <c r="IX511" s="996"/>
      <c r="IY511" s="1006"/>
      <c r="IZ511" s="996"/>
      <c r="JA511" s="1006"/>
      <c r="JB511" s="996"/>
      <c r="JC511" s="1006"/>
      <c r="JD511" s="996"/>
      <c r="JE511" s="1006"/>
      <c r="JF511" s="996"/>
      <c r="JG511" s="1006"/>
      <c r="JH511" s="996"/>
      <c r="JI511" s="1006"/>
      <c r="JJ511" s="996"/>
      <c r="JK511" s="1007"/>
      <c r="JL511" s="1007"/>
      <c r="JM511" s="1007"/>
      <c r="JN511" s="1007"/>
      <c r="JO511" s="1008"/>
      <c r="JP511" s="1007"/>
      <c r="JQ511" s="1008"/>
      <c r="JR511" s="1007"/>
      <c r="JS511" s="1008"/>
      <c r="JT511" s="1007"/>
      <c r="JU511" s="1008"/>
      <c r="JV511" s="1007"/>
      <c r="JW511" s="1008"/>
      <c r="JX511" s="1007"/>
      <c r="JY511" s="1008"/>
      <c r="JZ511" s="1007"/>
      <c r="KA511" s="1008"/>
      <c r="KB511" s="1007"/>
      <c r="KC511" s="1008"/>
      <c r="KD511" s="1007"/>
      <c r="KE511" s="1008"/>
      <c r="KF511" s="1007"/>
      <c r="KG511" s="1008"/>
      <c r="KH511" s="1007"/>
      <c r="KI511" s="1008"/>
      <c r="KJ511" s="1007"/>
      <c r="KK511" s="1008"/>
      <c r="KL511" s="1007"/>
      <c r="KM511" s="1008"/>
      <c r="KN511" s="1007"/>
      <c r="KO511" s="1008"/>
      <c r="KP511" s="1007"/>
      <c r="KQ511" s="1008"/>
      <c r="KR511" s="1007"/>
      <c r="KS511" s="1008"/>
      <c r="KT511" s="1007"/>
      <c r="KU511" s="1008"/>
      <c r="KV511" s="1007"/>
      <c r="KW511" s="1008"/>
      <c r="KX511" s="1007"/>
      <c r="KY511" s="1008"/>
      <c r="KZ511" s="1007"/>
      <c r="LA511" s="1008"/>
      <c r="LB511" s="1007"/>
      <c r="LC511" s="1008"/>
      <c r="LD511" s="1007"/>
      <c r="LE511" s="1008"/>
      <c r="LF511" s="1007"/>
      <c r="LG511" s="1008"/>
      <c r="LH511" s="1007"/>
      <c r="LI511" s="1008"/>
      <c r="LJ511" s="1007"/>
      <c r="LK511" s="1008"/>
      <c r="LL511" s="1007"/>
      <c r="LM511" s="1008"/>
      <c r="LN511" s="1007"/>
      <c r="LO511" s="1008"/>
      <c r="LP511" s="1007"/>
      <c r="LQ511" s="1008"/>
      <c r="LR511" s="1007"/>
      <c r="LS511" s="1008"/>
      <c r="LT511" s="1007"/>
      <c r="LU511" s="1008"/>
      <c r="LV511" s="1007"/>
      <c r="LW511" s="1008"/>
      <c r="LX511" s="1007"/>
      <c r="LY511" s="1009"/>
      <c r="LZ511" s="1010"/>
      <c r="MA511" s="1011"/>
      <c r="MB511" s="1012"/>
      <c r="MC511" s="995"/>
      <c r="MD511" s="996"/>
      <c r="ME511" s="997" t="s">
        <v>220</v>
      </c>
      <c r="MF511" s="997"/>
      <c r="MG511" s="998"/>
      <c r="NR511" s="1000"/>
      <c r="NS511" s="1000"/>
      <c r="NT511" s="1001"/>
      <c r="NU511" s="1000"/>
      <c r="NV511" s="1001"/>
      <c r="NX511" s="1002"/>
      <c r="NZ511" s="1001"/>
      <c r="OA511" s="1001"/>
      <c r="OC511" s="1003"/>
      <c r="OD511" s="1003"/>
      <c r="OE511" s="1001"/>
      <c r="OF511" s="1003"/>
      <c r="OG511" s="1003"/>
      <c r="OH511" s="1003"/>
      <c r="OI511" s="1016"/>
      <c r="QX511" s="1000">
        <f>CN511-CA511</f>
        <v>35.871267095081748</v>
      </c>
      <c r="ASU511" s="999" t="s">
        <v>225</v>
      </c>
    </row>
    <row r="512" spans="1:466 1191:1191" ht="21" customHeight="1" x14ac:dyDescent="0.25">
      <c r="A512" s="982" t="str">
        <f t="shared" si="372"/>
        <v>1609-2</v>
      </c>
      <c r="B512" s="124">
        <f>SUBTOTAL(103,$J$29:J512)</f>
        <v>484</v>
      </c>
      <c r="C512" s="126">
        <v>45068</v>
      </c>
      <c r="D512" s="124" t="s">
        <v>176</v>
      </c>
      <c r="E512" s="127" t="s">
        <v>177</v>
      </c>
      <c r="F512" s="128" t="s">
        <v>177</v>
      </c>
      <c r="G512" s="127" t="s">
        <v>178</v>
      </c>
      <c r="H512" s="127" t="s">
        <v>179</v>
      </c>
      <c r="I512" s="127" t="s">
        <v>1367</v>
      </c>
      <c r="J512" s="152" t="s">
        <v>1828</v>
      </c>
      <c r="K512" s="127" t="s">
        <v>1367</v>
      </c>
      <c r="L512" s="130">
        <v>44253</v>
      </c>
      <c r="M512" s="127" t="s">
        <v>230</v>
      </c>
      <c r="N512" s="127" t="s">
        <v>1368</v>
      </c>
      <c r="O512" s="127" t="s">
        <v>185</v>
      </c>
      <c r="P512" s="127" t="s">
        <v>186</v>
      </c>
      <c r="Q512" s="85" t="str">
        <f t="shared" si="423"/>
        <v/>
      </c>
      <c r="R512" s="130"/>
      <c r="S512" s="128"/>
      <c r="T512" s="131"/>
      <c r="U512" s="132">
        <v>203</v>
      </c>
      <c r="V512" s="121">
        <v>218.2</v>
      </c>
      <c r="W512" s="116">
        <v>0.98</v>
      </c>
      <c r="X512" s="116">
        <v>1.66</v>
      </c>
      <c r="Y512" s="116">
        <f t="shared" si="408"/>
        <v>1.5726991492652744</v>
      </c>
      <c r="Z512" s="133">
        <v>1.454</v>
      </c>
      <c r="AA512" s="133">
        <v>0.83599999999999997</v>
      </c>
      <c r="AB512" s="133">
        <v>0.72</v>
      </c>
      <c r="AC512" s="121">
        <v>34.299999999999997</v>
      </c>
      <c r="AD512" s="134">
        <v>1.17</v>
      </c>
      <c r="AE512" s="124">
        <v>177.8</v>
      </c>
      <c r="AF512" s="128">
        <v>9.1999999999999993</v>
      </c>
      <c r="AG512" s="128">
        <v>2452</v>
      </c>
      <c r="AH512" s="127">
        <v>3700</v>
      </c>
      <c r="AI512" s="127">
        <v>3700</v>
      </c>
      <c r="AJ512" s="135">
        <v>44262</v>
      </c>
      <c r="AK512" s="128" t="s">
        <v>1018</v>
      </c>
      <c r="AL512" s="131"/>
      <c r="AM512" s="124" t="s">
        <v>232</v>
      </c>
      <c r="AN512" s="136" t="s">
        <v>1829</v>
      </c>
      <c r="AO512" s="137">
        <v>7.1421881606763691</v>
      </c>
      <c r="AP512" s="128">
        <v>2452</v>
      </c>
      <c r="AQ512" s="128">
        <v>614.12781183932361</v>
      </c>
      <c r="AR512" s="128"/>
      <c r="AS512" s="128"/>
      <c r="AT512" s="122"/>
      <c r="AU512" s="124" t="s">
        <v>883</v>
      </c>
      <c r="AV512" s="115">
        <f>VLOOKUP(J512,'[63]ТР нефть'!$J$28:$BP$638,39,0)</f>
        <v>303</v>
      </c>
      <c r="AW512" s="115" t="str">
        <f>VLOOKUP(J512,'[63]ТР нефть'!$J$28:$BP$638,40,0)</f>
        <v>ГП</v>
      </c>
      <c r="AX512" s="115">
        <f>VLOOKUP(J512,'[63]ТР нефть'!$J$28:$BP$638,41,0)</f>
        <v>760</v>
      </c>
      <c r="AY512" s="115" t="str">
        <f>VLOOKUP(J512,'[63]ТР нефть'!$J$28:$BP$638,42,0)</f>
        <v>ГП</v>
      </c>
      <c r="AZ512" s="115">
        <f>VLOOKUP(J512,'[63]ТР нефть'!$J$28:$BP$638,43,0)</f>
        <v>1124</v>
      </c>
      <c r="BA512" s="115" t="str">
        <f>VLOOKUP(J512,'[63]ТР нефть'!$J$28:$BP$638,44,0)</f>
        <v>ГП</v>
      </c>
      <c r="BB512" s="115">
        <f>VLOOKUP(J512,'[63]ТР нефть'!$J$28:$BP$638,45,0)</f>
        <v>1425</v>
      </c>
      <c r="BC512" s="115" t="str">
        <f>VLOOKUP(J512,'[63]ТР нефть'!$J$28:$BP$638,46,0)</f>
        <v>ГП</v>
      </c>
      <c r="BD512" s="115">
        <f>VLOOKUP(J512,'[63]ТР нефть'!$J$28:$BP$638,47,0)</f>
        <v>1768</v>
      </c>
      <c r="BE512" s="115" t="str">
        <f>VLOOKUP(J512,'[63]ТР нефть'!$J$28:$BP$638,48,0)</f>
        <v>ГП</v>
      </c>
      <c r="BF512" s="115">
        <f>VLOOKUP(J512,'[63]ТР нефть'!$J$28:$BP$638,49,0)</f>
        <v>2087</v>
      </c>
      <c r="BG512" s="115" t="str">
        <f>VLOOKUP(J512,'[63]ТР нефть'!$J$28:$BP$638,50,0)</f>
        <v>ЦКсОК 5/16</v>
      </c>
      <c r="BH512" s="115" t="str">
        <f>VLOOKUP(J512,'[63]ТР нефть'!$J$28:$BP$638,51,0)</f>
        <v>-</v>
      </c>
      <c r="BI512" s="115" t="str">
        <f>VLOOKUP(J512,'[63]ТР нефть'!$J$28:$BP$638,52,0)</f>
        <v>-</v>
      </c>
      <c r="BJ512" s="115" t="str">
        <f>IF(IFERROR(VLOOKUP(J512,'[63]ТР нефть'!$J$28:$BP$638,53,0),"-")=0,"-",IFERROR(VLOOKUP(J512,'[63]ТР нефть'!$J$28:$BP$638,53,0),"-"))</f>
        <v>-</v>
      </c>
      <c r="BK512" s="138" t="str">
        <f>IF(IFERROR(VLOOKUP(J512,'[63]ТР нефть'!$J$28:$BP$638,54,0),"-")=0,"-",IFERROR(VLOOKUP(J512,'[63]ТР нефть'!$J$28:$BP$638,54,0),"-"))</f>
        <v>D1050N</v>
      </c>
      <c r="BL512" s="138" t="str">
        <f>IF(IFERROR(VLOOKUP(J512,'[63]ТР нефть'!$J$28:$BP$638,55,0),"-")=0,"-",IFERROR(VLOOKUP(J512,'[63]ТР нефть'!$J$28:$BP$638,55,0),"-"))</f>
        <v>-</v>
      </c>
      <c r="BM512" s="138">
        <f>IF(IFERROR(VLOOKUP(J512,'[63]ТР нефть'!$J$28:$BP$638,56,0),"-")=0,"-",IFERROR(VLOOKUP(J512,'[63]ТР нефть'!$J$28:$BP$638,56,0),"-"))</f>
        <v>1338</v>
      </c>
      <c r="BN512" s="138">
        <f>IF(IFERROR(VLOOKUP(J512,'[63]ТР нефть'!$J$28:$BP$638,57,0),"-")=0,"-",IFERROR(VLOOKUP(J512,'[63]ТР нефть'!$J$28:$BP$638,57,0),"-"))</f>
        <v>50</v>
      </c>
      <c r="BO512" s="115">
        <f>IF(IFERROR(VLOOKUP(J512,'[63]ТР нефть'!$J$28:$BP$638,58,0),"-")=0,"-",IFERROR(VLOOKUP(J512,'[63]ТР нефть'!$J$28:$BP$638,58,0),"-"))</f>
        <v>100</v>
      </c>
      <c r="BP512" s="115" t="str">
        <f>IF(IFERROR(VLOOKUP(J512,'[63]ТР нефть'!$J$28:$BP$638,59,0),"-")=0,"-",IFERROR(VLOOKUP(J512,'[63]ТР нефть'!$J$28:$BP$638,59,0),"-"))</f>
        <v>-</v>
      </c>
      <c r="BQ512" s="138">
        <v>2045</v>
      </c>
      <c r="BR512" s="128">
        <v>1648.64</v>
      </c>
      <c r="BS512" s="115">
        <v>396</v>
      </c>
      <c r="BT512" s="128">
        <v>73</v>
      </c>
      <c r="BU512" s="128">
        <v>5.5</v>
      </c>
      <c r="BV512" s="127">
        <v>18</v>
      </c>
      <c r="BW512" s="127" t="s">
        <v>217</v>
      </c>
      <c r="BX512" s="127" t="s">
        <v>218</v>
      </c>
      <c r="BY512" s="139">
        <v>8</v>
      </c>
      <c r="BZ512" s="139">
        <v>16</v>
      </c>
      <c r="CA512" s="138">
        <v>43</v>
      </c>
      <c r="CB512" s="138">
        <v>41</v>
      </c>
      <c r="CC512" s="138">
        <v>42</v>
      </c>
      <c r="CD512" s="135">
        <v>45017</v>
      </c>
      <c r="CE512" s="138">
        <v>148</v>
      </c>
      <c r="CF512" s="138"/>
      <c r="CG512" s="138" t="str">
        <f t="shared" si="433"/>
        <v/>
      </c>
      <c r="CH512" s="138" t="s">
        <v>197</v>
      </c>
      <c r="CI512" s="138"/>
      <c r="CJ512" s="138">
        <f>IF((BR512-(100*(CM512-CB512))/(9.8*(AB512+AA512)/2))&gt;0,BR512-(100*(CM512-CB512))/(9.8*(AB512+AA512)/2),0)</f>
        <v>1189.5874843922147</v>
      </c>
      <c r="CK512" s="138">
        <f t="shared" si="432"/>
        <v>54.051210464809699</v>
      </c>
      <c r="CL512" s="99"/>
      <c r="CM512" s="138">
        <v>76</v>
      </c>
      <c r="CN512" s="154">
        <f>IF(CM512=0,0,(((AP512-AQ512-BR512)*((AD512*(CQ512/100))+(AB512*((100-CQ512)/100)))*9.81/100+CM512)))</f>
        <v>97.051210464809699</v>
      </c>
      <c r="CO512" s="141">
        <f t="shared" si="373"/>
        <v>0.60191999999999968</v>
      </c>
      <c r="CP512" s="142">
        <v>9</v>
      </c>
      <c r="CQ512" s="143">
        <v>92</v>
      </c>
      <c r="CR512" s="138">
        <v>3.7</v>
      </c>
      <c r="CS512" s="139"/>
      <c r="CT512" s="138"/>
      <c r="CU512" s="138">
        <f t="shared" si="418"/>
        <v>3.7</v>
      </c>
      <c r="CV512" s="115">
        <f t="shared" si="419"/>
        <v>6146.9962785752296</v>
      </c>
      <c r="CW512" s="115" t="str">
        <f t="shared" si="374"/>
        <v/>
      </c>
      <c r="CX512" s="133">
        <f t="shared" si="420"/>
        <v>0.17664796518440748</v>
      </c>
      <c r="CY512" s="116"/>
      <c r="CZ512" s="131"/>
      <c r="DA512" s="145" t="str">
        <f t="shared" si="375"/>
        <v>ЭЦН</v>
      </c>
      <c r="DB512" s="146">
        <f t="shared" si="390"/>
        <v>0.60191999999999968</v>
      </c>
      <c r="DC512" s="142">
        <f t="shared" si="402"/>
        <v>9</v>
      </c>
      <c r="DD512" s="119">
        <f t="shared" si="416"/>
        <v>92</v>
      </c>
      <c r="DE512" s="115">
        <f t="shared" si="392"/>
        <v>3.7</v>
      </c>
      <c r="DF512" s="121">
        <f t="shared" si="376"/>
        <v>0</v>
      </c>
      <c r="DG512" s="115">
        <f t="shared" si="377"/>
        <v>6146.9962785752296</v>
      </c>
      <c r="DH512" s="115">
        <f t="shared" si="378"/>
        <v>97.051210464809699</v>
      </c>
      <c r="DI512" s="147"/>
      <c r="DJ512" s="111"/>
      <c r="DK512" s="112">
        <v>44404</v>
      </c>
      <c r="DL512" s="113">
        <f t="shared" ca="1" si="424"/>
        <v>700</v>
      </c>
      <c r="DM512" s="114"/>
      <c r="DN512" s="114"/>
      <c r="DO512" s="114"/>
      <c r="DP512" s="114"/>
      <c r="DQ512" s="112"/>
      <c r="DR512" s="114"/>
      <c r="DS512" s="114"/>
      <c r="DT512" s="115">
        <v>60</v>
      </c>
      <c r="DU512" s="116">
        <f t="shared" si="425"/>
        <v>0.15344288506636114</v>
      </c>
      <c r="DV512" s="117">
        <f t="shared" si="428"/>
        <v>0.90307889348496395</v>
      </c>
      <c r="DW512" s="118">
        <f t="shared" si="429"/>
        <v>13.502973885839779</v>
      </c>
      <c r="DX512" s="119">
        <f t="shared" si="430"/>
        <v>92</v>
      </c>
      <c r="DY512" s="115">
        <f t="shared" si="431"/>
        <v>5.5512225975119103</v>
      </c>
      <c r="DZ512" s="117">
        <f t="shared" si="426"/>
        <v>0.30115889348496427</v>
      </c>
      <c r="EA512" s="120">
        <f t="shared" si="426"/>
        <v>4.5029738858397792</v>
      </c>
      <c r="EB512" s="119">
        <f t="shared" si="387"/>
        <v>0</v>
      </c>
      <c r="EC512" s="121">
        <f t="shared" si="415"/>
        <v>1.8512225975119101</v>
      </c>
      <c r="ED512" s="122"/>
      <c r="EE512" s="145">
        <v>18</v>
      </c>
      <c r="EF512" s="115">
        <v>42</v>
      </c>
      <c r="EG512" s="115">
        <v>42</v>
      </c>
      <c r="EH512" s="115">
        <v>41</v>
      </c>
      <c r="EI512" s="128" t="s">
        <v>218</v>
      </c>
      <c r="EJ512" s="121">
        <v>8</v>
      </c>
      <c r="EK512" s="121">
        <v>16</v>
      </c>
      <c r="EL512" s="149">
        <v>0.60191999999999968</v>
      </c>
      <c r="EM512" s="142">
        <v>9</v>
      </c>
      <c r="EN512" s="119">
        <v>92</v>
      </c>
      <c r="EO512" s="115">
        <v>3.7</v>
      </c>
      <c r="EP512" s="115">
        <v>6146.9962785752296</v>
      </c>
      <c r="EQ512" s="115">
        <v>0</v>
      </c>
      <c r="ER512" s="115">
        <v>0</v>
      </c>
      <c r="ES512" s="115">
        <v>97.051210464809699</v>
      </c>
      <c r="ET512" s="150">
        <v>0.17664796518440748</v>
      </c>
      <c r="EU512" s="145">
        <f t="shared" si="400"/>
        <v>18</v>
      </c>
      <c r="EV512" s="115">
        <f t="shared" si="380"/>
        <v>43</v>
      </c>
      <c r="EW512" s="115">
        <f t="shared" si="380"/>
        <v>41</v>
      </c>
      <c r="EX512" s="115">
        <f t="shared" si="380"/>
        <v>42</v>
      </c>
      <c r="EY512" s="115" t="str">
        <f t="shared" ref="EY512:FA575" si="434">BX512</f>
        <v>Периодический</v>
      </c>
      <c r="EZ512" s="115">
        <f t="shared" si="434"/>
        <v>8</v>
      </c>
      <c r="FA512" s="115">
        <f t="shared" si="434"/>
        <v>16</v>
      </c>
      <c r="FB512" s="149">
        <f t="shared" si="405"/>
        <v>0.60191999999999968</v>
      </c>
      <c r="FC512" s="142">
        <f t="shared" si="405"/>
        <v>9</v>
      </c>
      <c r="FD512" s="119">
        <f t="shared" si="405"/>
        <v>92</v>
      </c>
      <c r="FE512" s="121">
        <f t="shared" si="405"/>
        <v>3.7</v>
      </c>
      <c r="FF512" s="121">
        <f t="shared" si="407"/>
        <v>6146.9962785752296</v>
      </c>
      <c r="FG512" s="121">
        <f t="shared" si="381"/>
        <v>0</v>
      </c>
      <c r="FH512" s="121">
        <f t="shared" si="358"/>
        <v>0</v>
      </c>
      <c r="FI512" s="121">
        <f t="shared" si="427"/>
        <v>97.051210464809699</v>
      </c>
      <c r="FJ512" s="144">
        <f t="shared" si="382"/>
        <v>0.17664796518440748</v>
      </c>
      <c r="FK512" s="132">
        <f t="shared" si="383"/>
        <v>0</v>
      </c>
      <c r="FL512" s="115">
        <f t="shared" si="383"/>
        <v>1</v>
      </c>
      <c r="FM512" s="115">
        <f t="shared" si="383"/>
        <v>-1</v>
      </c>
      <c r="FN512" s="115">
        <f t="shared" si="371"/>
        <v>1</v>
      </c>
      <c r="FO512" s="115">
        <f t="shared" si="403"/>
        <v>0</v>
      </c>
      <c r="FP512" s="115">
        <f t="shared" si="403"/>
        <v>0</v>
      </c>
      <c r="FQ512" s="149">
        <f t="shared" si="403"/>
        <v>0</v>
      </c>
      <c r="FR512" s="142">
        <f t="shared" si="403"/>
        <v>0</v>
      </c>
      <c r="FS512" s="119">
        <f t="shared" si="403"/>
        <v>0</v>
      </c>
      <c r="FT512" s="121">
        <f t="shared" si="403"/>
        <v>0</v>
      </c>
      <c r="FU512" s="121">
        <f t="shared" si="384"/>
        <v>0</v>
      </c>
      <c r="FV512" s="121">
        <f t="shared" si="384"/>
        <v>0</v>
      </c>
      <c r="FW512" s="121">
        <f t="shared" si="385"/>
        <v>0</v>
      </c>
      <c r="FX512" s="121">
        <f t="shared" si="386"/>
        <v>0</v>
      </c>
      <c r="FY512" s="144">
        <f t="shared" si="386"/>
        <v>0</v>
      </c>
      <c r="FZ512" s="145"/>
      <c r="GA512" s="151" t="s">
        <v>1830</v>
      </c>
      <c r="GB512" s="145" t="s">
        <v>199</v>
      </c>
      <c r="GC512" s="151" t="s">
        <v>1093</v>
      </c>
      <c r="GD512" s="997" t="s">
        <v>220</v>
      </c>
      <c r="GE512" s="1004" t="s">
        <v>199</v>
      </c>
      <c r="GF512" s="1004">
        <v>-1.4205312000000005</v>
      </c>
      <c r="GG512" s="1004"/>
      <c r="GH512" s="1004">
        <v>0.1295465599999992</v>
      </c>
      <c r="GI512" s="145"/>
      <c r="GJ512" s="996">
        <v>0</v>
      </c>
      <c r="GK512" s="145"/>
      <c r="GL512" s="996">
        <v>-0.33797507040000019</v>
      </c>
      <c r="GM512" s="1005"/>
      <c r="GN512" s="996">
        <v>0.31329635040000081</v>
      </c>
      <c r="GO512" s="1006"/>
      <c r="GP512" s="996">
        <v>0</v>
      </c>
      <c r="GQ512" s="1006"/>
      <c r="GR512" s="996">
        <v>0</v>
      </c>
      <c r="GS512" s="1006"/>
      <c r="GT512" s="996">
        <v>-0.82449664</v>
      </c>
      <c r="GU512" s="1006"/>
      <c r="GV512" s="996">
        <v>3.3439999999999692E-2</v>
      </c>
      <c r="GW512" s="1006" t="s">
        <v>204</v>
      </c>
      <c r="GX512" s="996">
        <v>-4.6648799999999992</v>
      </c>
      <c r="GY512" s="1006"/>
      <c r="GZ512" s="996">
        <v>0</v>
      </c>
      <c r="HA512" s="1006"/>
      <c r="HB512" s="996">
        <v>0</v>
      </c>
      <c r="HC512" s="1006"/>
      <c r="HD512" s="996">
        <v>0.70223999999999975</v>
      </c>
      <c r="HE512" s="1006"/>
      <c r="HF512" s="996">
        <v>-0.53090180000000053</v>
      </c>
      <c r="HG512" s="1006"/>
      <c r="HH512" s="996">
        <v>-0.65781819999999946</v>
      </c>
      <c r="HI512" s="1006" t="s">
        <v>223</v>
      </c>
      <c r="HJ512" s="996">
        <v>-6.2309327167999999</v>
      </c>
      <c r="HK512" s="1006"/>
      <c r="HL512" s="996">
        <v>0</v>
      </c>
      <c r="HM512" s="1006"/>
      <c r="HN512" s="996">
        <v>-0.65486387999999884</v>
      </c>
      <c r="HO512" s="1006"/>
      <c r="HP512" s="996">
        <v>0</v>
      </c>
      <c r="HQ512" s="1006"/>
      <c r="HR512" s="996">
        <v>0.52667999999999893</v>
      </c>
      <c r="HS512" s="1006" t="s">
        <v>203</v>
      </c>
      <c r="HT512" s="996">
        <v>-16.704162815999997</v>
      </c>
      <c r="HU512" s="1006" t="s">
        <v>203</v>
      </c>
      <c r="HV512" s="996">
        <v>-7.2716531840000016</v>
      </c>
      <c r="HW512" s="1006" t="s">
        <v>199</v>
      </c>
      <c r="HX512" s="996">
        <v>8.9039999999999999</v>
      </c>
      <c r="HY512" s="1006" t="s">
        <v>25</v>
      </c>
      <c r="HZ512" s="996">
        <v>31.117999999999999</v>
      </c>
      <c r="IA512" s="1006"/>
      <c r="IB512" s="996"/>
      <c r="IC512" s="1006"/>
      <c r="ID512" s="996"/>
      <c r="IE512" s="1006"/>
      <c r="IF512" s="996"/>
      <c r="IG512" s="1006"/>
      <c r="IH512" s="996"/>
      <c r="II512" s="1006"/>
      <c r="IJ512" s="996"/>
      <c r="IK512" s="1006"/>
      <c r="IL512" s="996"/>
      <c r="IM512" s="1006"/>
      <c r="IN512" s="996"/>
      <c r="IO512" s="1006"/>
      <c r="IP512" s="996"/>
      <c r="IQ512" s="1006"/>
      <c r="IR512" s="996"/>
      <c r="IS512" s="1006"/>
      <c r="IT512" s="996"/>
      <c r="IU512" s="1006"/>
      <c r="IV512" s="996"/>
      <c r="IW512" s="1006"/>
      <c r="IX512" s="996"/>
      <c r="IY512" s="1006"/>
      <c r="IZ512" s="996"/>
      <c r="JA512" s="1006"/>
      <c r="JB512" s="996"/>
      <c r="JC512" s="1006"/>
      <c r="JD512" s="996"/>
      <c r="JE512" s="1006"/>
      <c r="JF512" s="996"/>
      <c r="JG512" s="1006"/>
      <c r="JH512" s="996"/>
      <c r="JI512" s="1006"/>
      <c r="JJ512" s="996"/>
      <c r="JK512" s="1007"/>
      <c r="JL512" s="1007"/>
      <c r="JM512" s="1007"/>
      <c r="JN512" s="1007"/>
      <c r="JO512" s="1008"/>
      <c r="JP512" s="1007"/>
      <c r="JQ512" s="1008"/>
      <c r="JR512" s="1007"/>
      <c r="JS512" s="1008"/>
      <c r="JT512" s="1007"/>
      <c r="JU512" s="1008"/>
      <c r="JV512" s="1007"/>
      <c r="JW512" s="1008"/>
      <c r="JX512" s="1007"/>
      <c r="JY512" s="1008"/>
      <c r="JZ512" s="1007"/>
      <c r="KA512" s="1008"/>
      <c r="KB512" s="1007"/>
      <c r="KC512" s="1008"/>
      <c r="KD512" s="1007"/>
      <c r="KE512" s="1008"/>
      <c r="KF512" s="1007"/>
      <c r="KG512" s="1008"/>
      <c r="KH512" s="1007"/>
      <c r="KI512" s="1008"/>
      <c r="KJ512" s="1007"/>
      <c r="KK512" s="1008"/>
      <c r="KL512" s="1007"/>
      <c r="KM512" s="1008"/>
      <c r="KN512" s="1007"/>
      <c r="KO512" s="1008"/>
      <c r="KP512" s="1007"/>
      <c r="KQ512" s="1008"/>
      <c r="KR512" s="1007"/>
      <c r="KS512" s="1008"/>
      <c r="KT512" s="1007"/>
      <c r="KU512" s="1008"/>
      <c r="KV512" s="1007"/>
      <c r="KW512" s="1008"/>
      <c r="KX512" s="1007"/>
      <c r="KY512" s="1008"/>
      <c r="KZ512" s="1007"/>
      <c r="LA512" s="1008"/>
      <c r="LB512" s="1007"/>
      <c r="LC512" s="1008"/>
      <c r="LD512" s="1007"/>
      <c r="LE512" s="1008"/>
      <c r="LF512" s="1007"/>
      <c r="LG512" s="1008"/>
      <c r="LH512" s="1007"/>
      <c r="LI512" s="1008"/>
      <c r="LJ512" s="1007"/>
      <c r="LK512" s="1008"/>
      <c r="LL512" s="1007"/>
      <c r="LM512" s="1008"/>
      <c r="LN512" s="1007"/>
      <c r="LO512" s="1008"/>
      <c r="LP512" s="1007"/>
      <c r="LQ512" s="1008"/>
      <c r="LR512" s="1007"/>
      <c r="LS512" s="1008"/>
      <c r="LT512" s="1007"/>
      <c r="LU512" s="1008"/>
      <c r="LV512" s="1007"/>
      <c r="LW512" s="1008"/>
      <c r="LX512" s="1007"/>
      <c r="LY512" s="1009"/>
      <c r="LZ512" s="1010"/>
      <c r="MA512" s="1011"/>
      <c r="MB512" s="1012"/>
      <c r="MC512" s="995"/>
      <c r="MD512" s="996"/>
      <c r="ME512" s="997" t="s">
        <v>220</v>
      </c>
      <c r="MF512" s="997"/>
      <c r="MG512" s="998"/>
      <c r="NR512" s="1000"/>
      <c r="NS512" s="1000"/>
      <c r="NT512" s="1001"/>
      <c r="NU512" s="1000"/>
      <c r="NV512" s="1001"/>
      <c r="NX512" s="1002"/>
      <c r="NZ512" s="1001"/>
      <c r="OA512" s="1001"/>
      <c r="OC512" s="1003"/>
      <c r="OD512" s="1003"/>
      <c r="OE512" s="1001"/>
      <c r="OF512" s="1003"/>
      <c r="OG512" s="1003"/>
      <c r="OH512" s="1003"/>
      <c r="OI512" s="1016"/>
      <c r="QX512" s="1000">
        <f>CN512-CA512</f>
        <v>54.051210464809699</v>
      </c>
      <c r="ASU512" s="999" t="s">
        <v>225</v>
      </c>
    </row>
    <row r="513" spans="1:466 1191:1191" ht="18.75" customHeight="1" x14ac:dyDescent="0.25">
      <c r="A513" s="982">
        <f t="shared" si="372"/>
        <v>1610</v>
      </c>
      <c r="B513" s="124">
        <f>SUBTOTAL(103,$J$29:J513)</f>
        <v>485</v>
      </c>
      <c r="C513" s="126">
        <v>45068</v>
      </c>
      <c r="D513" s="124" t="s">
        <v>176</v>
      </c>
      <c r="E513" s="127" t="s">
        <v>177</v>
      </c>
      <c r="F513" s="128" t="s">
        <v>177</v>
      </c>
      <c r="G513" s="127" t="s">
        <v>178</v>
      </c>
      <c r="H513" s="127" t="s">
        <v>408</v>
      </c>
      <c r="I513" s="127" t="s">
        <v>538</v>
      </c>
      <c r="J513" s="152">
        <v>1610</v>
      </c>
      <c r="K513" s="127" t="s">
        <v>1797</v>
      </c>
      <c r="L513" s="130">
        <v>43654</v>
      </c>
      <c r="M513" s="127" t="s">
        <v>230</v>
      </c>
      <c r="N513" s="127" t="s">
        <v>231</v>
      </c>
      <c r="O513" s="127" t="s">
        <v>608</v>
      </c>
      <c r="P513" s="127" t="s">
        <v>292</v>
      </c>
      <c r="Q513" s="85" t="str">
        <f t="shared" si="423"/>
        <v/>
      </c>
      <c r="R513" s="130"/>
      <c r="S513" s="128"/>
      <c r="T513" s="131"/>
      <c r="U513" s="132">
        <v>203</v>
      </c>
      <c r="V513" s="121">
        <v>218.2</v>
      </c>
      <c r="W513" s="116">
        <v>0.98</v>
      </c>
      <c r="X513" s="116">
        <v>1.66</v>
      </c>
      <c r="Y513" s="116">
        <f t="shared" si="408"/>
        <v>1.0114902506963788</v>
      </c>
      <c r="Z513" s="133">
        <v>1.454</v>
      </c>
      <c r="AA513" s="133">
        <v>0.83599999999999997</v>
      </c>
      <c r="AB513" s="133">
        <v>0.72</v>
      </c>
      <c r="AC513" s="121">
        <v>34.299999999999997</v>
      </c>
      <c r="AD513" s="134">
        <v>1.17</v>
      </c>
      <c r="AE513" s="124">
        <v>177.8</v>
      </c>
      <c r="AF513" s="128">
        <v>9.1999999999999993</v>
      </c>
      <c r="AG513" s="128">
        <v>2178.1</v>
      </c>
      <c r="AH513" s="127">
        <v>3078</v>
      </c>
      <c r="AI513" s="127">
        <v>3078</v>
      </c>
      <c r="AJ513" s="135">
        <v>44206</v>
      </c>
      <c r="AK513" s="128" t="s">
        <v>1018</v>
      </c>
      <c r="AL513" s="131"/>
      <c r="AM513" s="124" t="s">
        <v>232</v>
      </c>
      <c r="AN513" s="136" t="s">
        <v>1831</v>
      </c>
      <c r="AO513" s="137">
        <v>18.18</v>
      </c>
      <c r="AP513" s="128">
        <v>1725.317612880644</v>
      </c>
      <c r="AQ513" s="128">
        <v>330.90238711935581</v>
      </c>
      <c r="AR513" s="128"/>
      <c r="AS513" s="128"/>
      <c r="AT513" s="122"/>
      <c r="AU513" s="124" t="s">
        <v>250</v>
      </c>
      <c r="AV513" s="115">
        <f>VLOOKUP(J513,'[63]ТР нефть'!$J$28:$BP$638,39,0)</f>
        <v>449.999992969</v>
      </c>
      <c r="AW513" s="115" t="str">
        <f>VLOOKUP(J513,'[63]ТР нефть'!$J$28:$BP$638,40,0)</f>
        <v>ГК 80 1/8</v>
      </c>
      <c r="AX513" s="115">
        <f>VLOOKUP(J513,'[63]ТР нефть'!$J$28:$BP$638,41,0)</f>
        <v>880</v>
      </c>
      <c r="AY513" s="115" t="str">
        <f>VLOOKUP(J513,'[63]ТР нефть'!$J$28:$BP$638,42,0)</f>
        <v>ГК 80 1/8</v>
      </c>
      <c r="AZ513" s="115">
        <f>VLOOKUP(J513,'[63]ТР нефть'!$J$28:$BP$638,43,0)</f>
        <v>1209.9999662109999</v>
      </c>
      <c r="BA513" s="115" t="str">
        <f>VLOOKUP(J513,'[63]ТР нефть'!$J$28:$BP$638,44,0)</f>
        <v>ГК 81 5/32</v>
      </c>
      <c r="BB513" s="115">
        <f>VLOOKUP(J513,'[63]ТР нефть'!$J$28:$BP$638,45,0)</f>
        <v>1469.9999472659999</v>
      </c>
      <c r="BC513" s="115" t="str">
        <f>VLOOKUP(J513,'[63]ТР нефть'!$J$28:$BP$638,46,0)</f>
        <v>ГК 81 1/8</v>
      </c>
      <c r="BD513" s="115">
        <f>VLOOKUP(J513,'[63]ТР нефть'!$J$28:$BP$638,47,0)</f>
        <v>1840.000060547</v>
      </c>
      <c r="BE513" s="115" t="str">
        <f>VLOOKUP(J513,'[63]ТР нефть'!$J$28:$BP$638,48,0)</f>
        <v>ЦКсОК 5/16</v>
      </c>
      <c r="BF513" s="115" t="str">
        <f>VLOOKUP(J513,'[63]ТР нефть'!$J$28:$BP$638,49,0)</f>
        <v>-</v>
      </c>
      <c r="BG513" s="115" t="str">
        <f>VLOOKUP(J513,'[63]ТР нефть'!$J$28:$BP$638,50,0)</f>
        <v>-</v>
      </c>
      <c r="BH513" s="115" t="str">
        <f>VLOOKUP(J513,'[63]ТР нефть'!$J$28:$BP$638,51,0)</f>
        <v>-</v>
      </c>
      <c r="BI513" s="115" t="str">
        <f>VLOOKUP(J513,'[63]ТР нефть'!$J$28:$BP$638,52,0)</f>
        <v>-</v>
      </c>
      <c r="BJ513" s="115" t="str">
        <f>IF(IFERROR(VLOOKUP(J513,'[63]ТР нефть'!$J$28:$BP$638,53,0),"-")=0,"-",IFERROR(VLOOKUP(J513,'[63]ТР нефть'!$J$28:$BP$638,53,0),"-"))</f>
        <v>-</v>
      </c>
      <c r="BK513" s="138" t="str">
        <f>IF(IFERROR(VLOOKUP(J513,'[63]ТР нефть'!$J$28:$BP$638,54,0),"-")=0,"-",IFERROR(VLOOKUP(J513,'[63]ТР нефть'!$J$28:$BP$638,54,0),"-"))</f>
        <v>-</v>
      </c>
      <c r="BL513" s="138" t="str">
        <f>IF(IFERROR(VLOOKUP(J513,'[63]ТР нефть'!$J$28:$BP$638,55,0),"-")=0,"-",IFERROR(VLOOKUP(J513,'[63]ТР нефть'!$J$28:$BP$638,55,0),"-"))</f>
        <v>-</v>
      </c>
      <c r="BM513" s="138" t="str">
        <f>IF(IFERROR(VLOOKUP(J513,'[63]ТР нефть'!$J$28:$BP$638,56,0),"-")=0,"-",IFERROR(VLOOKUP(J513,'[63]ТР нефть'!$J$28:$BP$638,56,0),"-"))</f>
        <v>-</v>
      </c>
      <c r="BN513" s="138" t="str">
        <f>IF(IFERROR(VLOOKUP(J513,'[63]ТР нефть'!$J$28:$BP$638,57,0),"-")=0,"-",IFERROR(VLOOKUP(J513,'[63]ТР нефть'!$J$28:$BP$638,57,0),"-"))</f>
        <v>-</v>
      </c>
      <c r="BO513" s="115" t="str">
        <f>IF(IFERROR(VLOOKUP(J513,'[63]ТР нефть'!$J$28:$BP$638,58,0),"-")=0,"-",IFERROR(VLOOKUP(J513,'[63]ТР нефть'!$J$28:$BP$638,58,0),"-"))</f>
        <v>-</v>
      </c>
      <c r="BP513" s="115" t="str">
        <f>IF(IFERROR(VLOOKUP(J513,'[63]ТР нефть'!$J$28:$BP$638,59,0),"-")=0,"-",IFERROR(VLOOKUP(J513,'[63]ТР нефть'!$J$28:$BP$638,59,0),"-"))</f>
        <v>-</v>
      </c>
      <c r="BQ513" s="138">
        <v>2228</v>
      </c>
      <c r="BR513" s="128">
        <v>1849.9226250672405</v>
      </c>
      <c r="BS513" s="115">
        <f>BQ513-BR513</f>
        <v>378.07737493275954</v>
      </c>
      <c r="BT513" s="128">
        <v>73</v>
      </c>
      <c r="BU513" s="128">
        <v>5.5</v>
      </c>
      <c r="BV513" s="127">
        <v>18</v>
      </c>
      <c r="BW513" s="127" t="s">
        <v>217</v>
      </c>
      <c r="BX513" s="127" t="s">
        <v>218</v>
      </c>
      <c r="BY513" s="139">
        <v>24</v>
      </c>
      <c r="BZ513" s="139">
        <v>720</v>
      </c>
      <c r="CA513" s="138">
        <v>27</v>
      </c>
      <c r="CB513" s="138">
        <v>41</v>
      </c>
      <c r="CC513" s="138">
        <v>26</v>
      </c>
      <c r="CD513" s="135">
        <v>45017</v>
      </c>
      <c r="CE513" s="138">
        <v>94.5</v>
      </c>
      <c r="CF513" s="138"/>
      <c r="CG513" s="138" t="str">
        <f t="shared" si="433"/>
        <v/>
      </c>
      <c r="CH513" s="138" t="s">
        <v>197</v>
      </c>
      <c r="CI513" s="138"/>
      <c r="CJ513" s="138"/>
      <c r="CK513" s="138"/>
      <c r="CL513" s="99"/>
      <c r="CM513" s="138"/>
      <c r="CN513" s="154">
        <v>48</v>
      </c>
      <c r="CO513" s="141">
        <f t="shared" si="373"/>
        <v>5.4072480000000001</v>
      </c>
      <c r="CP513" s="142">
        <v>7</v>
      </c>
      <c r="CQ513" s="143">
        <v>7.6</v>
      </c>
      <c r="CR513" s="1018">
        <v>68</v>
      </c>
      <c r="CS513" s="139"/>
      <c r="CT513" s="138"/>
      <c r="CU513" s="138">
        <f t="shared" si="418"/>
        <v>68</v>
      </c>
      <c r="CV513" s="115">
        <f t="shared" si="419"/>
        <v>12575.713190887491</v>
      </c>
      <c r="CW513" s="115" t="str">
        <f t="shared" si="374"/>
        <v/>
      </c>
      <c r="CX513" s="133">
        <f t="shared" si="420"/>
        <v>0.15053763440860216</v>
      </c>
      <c r="CY513" s="116"/>
      <c r="CZ513" s="131"/>
      <c r="DA513" s="145" t="str">
        <f t="shared" si="375"/>
        <v>Фон.</v>
      </c>
      <c r="DB513" s="146">
        <f t="shared" si="390"/>
        <v>5.4072480000000001</v>
      </c>
      <c r="DC513" s="142">
        <f t="shared" si="402"/>
        <v>7</v>
      </c>
      <c r="DD513" s="119">
        <f t="shared" si="416"/>
        <v>7.6</v>
      </c>
      <c r="DE513" s="115">
        <f t="shared" si="392"/>
        <v>68</v>
      </c>
      <c r="DF513" s="121">
        <f t="shared" si="376"/>
        <v>0</v>
      </c>
      <c r="DG513" s="115">
        <f t="shared" si="377"/>
        <v>12575.713190887491</v>
      </c>
      <c r="DH513" s="115">
        <f t="shared" si="378"/>
        <v>48</v>
      </c>
      <c r="DI513" s="147"/>
      <c r="DJ513" s="111"/>
      <c r="DK513" s="112">
        <v>44253</v>
      </c>
      <c r="DL513" s="113">
        <f t="shared" ca="1" si="424"/>
        <v>851</v>
      </c>
      <c r="DM513" s="114"/>
      <c r="DN513" s="114"/>
      <c r="DO513" s="114"/>
      <c r="DP513" s="114"/>
      <c r="DQ513" s="112"/>
      <c r="DR513" s="114"/>
      <c r="DS513" s="114"/>
      <c r="DT513" s="115">
        <v>48</v>
      </c>
      <c r="DU513" s="116">
        <f t="shared" si="425"/>
        <v>0.15053763440860216</v>
      </c>
      <c r="DV513" s="117">
        <f t="shared" si="428"/>
        <v>5.4072480000000001</v>
      </c>
      <c r="DW513" s="118">
        <f t="shared" si="429"/>
        <v>7</v>
      </c>
      <c r="DX513" s="119">
        <f t="shared" si="430"/>
        <v>7.6</v>
      </c>
      <c r="DY513" s="115">
        <f t="shared" si="431"/>
        <v>68</v>
      </c>
      <c r="DZ513" s="117">
        <f t="shared" si="426"/>
        <v>0</v>
      </c>
      <c r="EA513" s="120">
        <f t="shared" si="426"/>
        <v>0</v>
      </c>
      <c r="EB513" s="119">
        <f t="shared" si="387"/>
        <v>0</v>
      </c>
      <c r="EC513" s="121">
        <f t="shared" si="415"/>
        <v>0</v>
      </c>
      <c r="ED513" s="122"/>
      <c r="EE513" s="145">
        <v>18</v>
      </c>
      <c r="EF513" s="115">
        <v>27</v>
      </c>
      <c r="EG513" s="115">
        <v>41</v>
      </c>
      <c r="EH513" s="115">
        <v>26</v>
      </c>
      <c r="EI513" s="128" t="s">
        <v>218</v>
      </c>
      <c r="EJ513" s="121">
        <v>24</v>
      </c>
      <c r="EK513" s="121">
        <v>720</v>
      </c>
      <c r="EL513" s="149">
        <v>5.4072480000000001</v>
      </c>
      <c r="EM513" s="142">
        <v>7</v>
      </c>
      <c r="EN513" s="119">
        <v>7.6</v>
      </c>
      <c r="EO513" s="115">
        <v>68</v>
      </c>
      <c r="EP513" s="115">
        <v>12575.713190887491</v>
      </c>
      <c r="EQ513" s="115">
        <v>0</v>
      </c>
      <c r="ER513" s="115">
        <v>0</v>
      </c>
      <c r="ES513" s="115">
        <v>48</v>
      </c>
      <c r="ET513" s="150">
        <v>0.15053763440860216</v>
      </c>
      <c r="EU513" s="145">
        <f t="shared" si="400"/>
        <v>18</v>
      </c>
      <c r="EV513" s="115">
        <f t="shared" si="380"/>
        <v>27</v>
      </c>
      <c r="EW513" s="115">
        <f t="shared" si="380"/>
        <v>41</v>
      </c>
      <c r="EX513" s="115">
        <f t="shared" si="380"/>
        <v>26</v>
      </c>
      <c r="EY513" s="115" t="str">
        <f t="shared" si="434"/>
        <v>Периодический</v>
      </c>
      <c r="EZ513" s="115">
        <f t="shared" si="434"/>
        <v>24</v>
      </c>
      <c r="FA513" s="115">
        <f t="shared" si="434"/>
        <v>720</v>
      </c>
      <c r="FB513" s="149">
        <f t="shared" si="405"/>
        <v>5.4072480000000001</v>
      </c>
      <c r="FC513" s="142">
        <f t="shared" si="405"/>
        <v>7</v>
      </c>
      <c r="FD513" s="119">
        <f t="shared" si="405"/>
        <v>7.6</v>
      </c>
      <c r="FE513" s="121">
        <f t="shared" si="405"/>
        <v>68</v>
      </c>
      <c r="FF513" s="121">
        <f t="shared" si="407"/>
        <v>12575.713190887491</v>
      </c>
      <c r="FG513" s="121">
        <f t="shared" si="381"/>
        <v>0</v>
      </c>
      <c r="FH513" s="121">
        <f t="shared" si="358"/>
        <v>0</v>
      </c>
      <c r="FI513" s="121">
        <f t="shared" si="427"/>
        <v>48</v>
      </c>
      <c r="FJ513" s="144">
        <f t="shared" si="382"/>
        <v>0.15053763440860216</v>
      </c>
      <c r="FK513" s="132">
        <f t="shared" si="383"/>
        <v>0</v>
      </c>
      <c r="FL513" s="115">
        <f t="shared" si="383"/>
        <v>0</v>
      </c>
      <c r="FM513" s="115">
        <f t="shared" si="383"/>
        <v>0</v>
      </c>
      <c r="FN513" s="115">
        <f t="shared" si="371"/>
        <v>0</v>
      </c>
      <c r="FO513" s="115">
        <f t="shared" si="403"/>
        <v>0</v>
      </c>
      <c r="FP513" s="115">
        <f t="shared" si="403"/>
        <v>0</v>
      </c>
      <c r="FQ513" s="149">
        <f t="shared" si="403"/>
        <v>0</v>
      </c>
      <c r="FR513" s="142">
        <f t="shared" si="403"/>
        <v>0</v>
      </c>
      <c r="FS513" s="119">
        <f t="shared" si="403"/>
        <v>0</v>
      </c>
      <c r="FT513" s="121">
        <f t="shared" si="403"/>
        <v>0</v>
      </c>
      <c r="FU513" s="121">
        <f t="shared" si="384"/>
        <v>0</v>
      </c>
      <c r="FV513" s="121">
        <f t="shared" si="384"/>
        <v>0</v>
      </c>
      <c r="FW513" s="121">
        <f t="shared" si="385"/>
        <v>0</v>
      </c>
      <c r="FX513" s="121">
        <f t="shared" si="386"/>
        <v>0</v>
      </c>
      <c r="FY513" s="144">
        <f t="shared" si="386"/>
        <v>0</v>
      </c>
      <c r="FZ513" s="145"/>
      <c r="GA513" s="1024"/>
      <c r="GB513" s="145"/>
      <c r="GC513" s="1024" t="s">
        <v>1799</v>
      </c>
      <c r="GD513" s="997" t="s">
        <v>416</v>
      </c>
      <c r="GE513" s="1004"/>
      <c r="GF513" s="1004">
        <v>-0.32888239999999946</v>
      </c>
      <c r="GG513" s="1004"/>
      <c r="GH513" s="1004">
        <v>0</v>
      </c>
      <c r="GI513" s="145"/>
      <c r="GJ513" s="996">
        <v>0</v>
      </c>
      <c r="GK513" s="145"/>
      <c r="GL513" s="996">
        <v>0</v>
      </c>
      <c r="GM513" s="1005"/>
      <c r="GN513" s="996">
        <v>0</v>
      </c>
      <c r="GO513" s="1006"/>
      <c r="GP513" s="996">
        <v>0</v>
      </c>
      <c r="GQ513" s="1006"/>
      <c r="GR513" s="996">
        <v>0</v>
      </c>
      <c r="GS513" s="1006" t="s">
        <v>199</v>
      </c>
      <c r="GT513" s="996">
        <v>-4.9949311819354838</v>
      </c>
      <c r="GU513" s="1006"/>
      <c r="GV513" s="996">
        <v>3.7653439999999998</v>
      </c>
      <c r="GW513" s="1006"/>
      <c r="GX513" s="996">
        <v>0</v>
      </c>
      <c r="GY513" s="1006"/>
      <c r="GZ513" s="996">
        <v>0</v>
      </c>
      <c r="HA513" s="1006"/>
      <c r="HB513" s="996">
        <v>0</v>
      </c>
      <c r="HC513" s="1006"/>
      <c r="HD513" s="996">
        <v>0</v>
      </c>
      <c r="HE513" s="1006"/>
      <c r="HF513" s="996">
        <v>0</v>
      </c>
      <c r="HG513" s="1006"/>
      <c r="HH513" s="996">
        <v>0</v>
      </c>
      <c r="HI513" s="1006"/>
      <c r="HJ513" s="996">
        <v>0</v>
      </c>
      <c r="HK513" s="1006"/>
      <c r="HL513" s="996">
        <v>0</v>
      </c>
      <c r="HM513" s="1006"/>
      <c r="HN513" s="996">
        <v>0</v>
      </c>
      <c r="HO513" s="1006"/>
      <c r="HP513" s="996">
        <v>0</v>
      </c>
      <c r="HQ513" s="1006"/>
      <c r="HR513" s="996">
        <v>0</v>
      </c>
      <c r="HS513" s="1006"/>
      <c r="HT513" s="996">
        <v>0</v>
      </c>
      <c r="HU513" s="1006"/>
      <c r="HV513" s="996">
        <v>0</v>
      </c>
      <c r="HW513" s="1006"/>
      <c r="HX513" s="996">
        <v>0</v>
      </c>
      <c r="HY513" s="1006" t="s">
        <v>203</v>
      </c>
      <c r="HZ513" s="996">
        <v>-13.373492000000001</v>
      </c>
      <c r="IA513" s="1006"/>
      <c r="IB513" s="996">
        <v>0</v>
      </c>
      <c r="IC513" s="1006" t="s">
        <v>203</v>
      </c>
      <c r="ID513" s="996">
        <v>-12.23616901716</v>
      </c>
      <c r="IE513" s="1006" t="s">
        <v>25</v>
      </c>
      <c r="IF513" s="996">
        <v>27.00578101716</v>
      </c>
      <c r="IG513" s="1006"/>
      <c r="IH513" s="996"/>
      <c r="II513" s="1006"/>
      <c r="IJ513" s="996"/>
      <c r="IK513" s="1006"/>
      <c r="IL513" s="996"/>
      <c r="IM513" s="1006"/>
      <c r="IN513" s="996"/>
      <c r="IO513" s="1006"/>
      <c r="IP513" s="996"/>
      <c r="IQ513" s="1006"/>
      <c r="IR513" s="996"/>
      <c r="IS513" s="1006"/>
      <c r="IT513" s="996"/>
      <c r="IU513" s="1006"/>
      <c r="IV513" s="996"/>
      <c r="IW513" s="1006"/>
      <c r="IX513" s="996"/>
      <c r="IY513" s="1006"/>
      <c r="IZ513" s="996"/>
      <c r="JA513" s="1006"/>
      <c r="JB513" s="996"/>
      <c r="JC513" s="1006"/>
      <c r="JD513" s="996"/>
      <c r="JE513" s="1006"/>
      <c r="JF513" s="996"/>
      <c r="JG513" s="1006"/>
      <c r="JH513" s="996"/>
      <c r="JI513" s="1006"/>
      <c r="JJ513" s="996"/>
      <c r="JK513" s="1007"/>
      <c r="JL513" s="1007"/>
      <c r="JM513" s="1007"/>
      <c r="JN513" s="1007"/>
      <c r="JO513" s="1008"/>
      <c r="JP513" s="1007"/>
      <c r="JQ513" s="1008"/>
      <c r="JR513" s="1007"/>
      <c r="JS513" s="1008"/>
      <c r="JT513" s="1007"/>
      <c r="JU513" s="1008"/>
      <c r="JV513" s="1007"/>
      <c r="JW513" s="1008"/>
      <c r="JX513" s="1007"/>
      <c r="JY513" s="1008"/>
      <c r="JZ513" s="1007"/>
      <c r="KA513" s="1008"/>
      <c r="KB513" s="1007"/>
      <c r="KC513" s="1008"/>
      <c r="KD513" s="1007"/>
      <c r="KE513" s="1008"/>
      <c r="KF513" s="1007"/>
      <c r="KG513" s="1008"/>
      <c r="KH513" s="1007"/>
      <c r="KI513" s="1008"/>
      <c r="KJ513" s="1007"/>
      <c r="KK513" s="1008"/>
      <c r="KL513" s="1007"/>
      <c r="KM513" s="1008"/>
      <c r="KN513" s="1007"/>
      <c r="KO513" s="1008"/>
      <c r="KP513" s="1007"/>
      <c r="KQ513" s="1008"/>
      <c r="KR513" s="1007"/>
      <c r="KS513" s="1008"/>
      <c r="KT513" s="1007"/>
      <c r="KU513" s="1008"/>
      <c r="KV513" s="1007"/>
      <c r="KW513" s="1008"/>
      <c r="KX513" s="1007"/>
      <c r="KY513" s="1008"/>
      <c r="KZ513" s="1007"/>
      <c r="LA513" s="1008"/>
      <c r="LB513" s="1007"/>
      <c r="LC513" s="1008"/>
      <c r="LD513" s="1007"/>
      <c r="LE513" s="1008"/>
      <c r="LF513" s="1007"/>
      <c r="LG513" s="1008"/>
      <c r="LH513" s="1007"/>
      <c r="LI513" s="1008"/>
      <c r="LJ513" s="1007"/>
      <c r="LK513" s="1008"/>
      <c r="LL513" s="1007"/>
      <c r="LM513" s="1008"/>
      <c r="LN513" s="1007"/>
      <c r="LO513" s="1008"/>
      <c r="LP513" s="1007"/>
      <c r="LQ513" s="1008"/>
      <c r="LR513" s="1007"/>
      <c r="LS513" s="1008"/>
      <c r="LT513" s="1007"/>
      <c r="LU513" s="1008"/>
      <c r="LV513" s="1007"/>
      <c r="LW513" s="1008"/>
      <c r="LX513" s="1007"/>
      <c r="LY513" s="1009"/>
      <c r="LZ513" s="1010"/>
      <c r="MA513" s="1011"/>
      <c r="MB513" s="1012"/>
      <c r="MC513" s="995"/>
      <c r="MD513" s="996"/>
      <c r="ME513" s="997" t="s">
        <v>416</v>
      </c>
      <c r="MF513" s="997"/>
      <c r="MG513" s="998"/>
      <c r="NR513" s="1000"/>
      <c r="NS513" s="1000"/>
      <c r="NT513" s="1001"/>
      <c r="NU513" s="1000"/>
      <c r="NV513" s="1001"/>
      <c r="NX513" s="1002"/>
      <c r="NZ513" s="1001"/>
      <c r="OA513" s="1001"/>
      <c r="OC513" s="1003"/>
      <c r="OD513" s="1003"/>
      <c r="OE513" s="1001"/>
      <c r="OF513" s="1003"/>
      <c r="OG513" s="1003"/>
      <c r="QX513" s="1000">
        <f>CN513-CA513</f>
        <v>21</v>
      </c>
      <c r="ASU513" s="999" t="s">
        <v>292</v>
      </c>
    </row>
    <row r="514" spans="1:466 1191:1191" ht="21" customHeight="1" x14ac:dyDescent="0.25">
      <c r="A514" s="982">
        <f t="shared" si="372"/>
        <v>1611</v>
      </c>
      <c r="B514" s="124">
        <f>SUBTOTAL(103,$J$29:J514)</f>
        <v>486</v>
      </c>
      <c r="C514" s="126">
        <v>45068</v>
      </c>
      <c r="D514" s="124" t="s">
        <v>176</v>
      </c>
      <c r="E514" s="127" t="s">
        <v>177</v>
      </c>
      <c r="F514" s="128" t="s">
        <v>177</v>
      </c>
      <c r="G514" s="127" t="s">
        <v>178</v>
      </c>
      <c r="H514" s="127" t="s">
        <v>179</v>
      </c>
      <c r="I514" s="127" t="s">
        <v>1587</v>
      </c>
      <c r="J514" s="152">
        <v>1611</v>
      </c>
      <c r="K514" s="130" t="s">
        <v>1606</v>
      </c>
      <c r="L514" s="130">
        <v>44376</v>
      </c>
      <c r="M514" s="127" t="s">
        <v>230</v>
      </c>
      <c r="N514" s="127" t="s">
        <v>184</v>
      </c>
      <c r="O514" s="127" t="s">
        <v>185</v>
      </c>
      <c r="P514" s="127" t="s">
        <v>186</v>
      </c>
      <c r="Q514" s="85" t="str">
        <f t="shared" si="423"/>
        <v/>
      </c>
      <c r="R514" s="130"/>
      <c r="S514" s="128"/>
      <c r="T514" s="131"/>
      <c r="U514" s="132">
        <v>203</v>
      </c>
      <c r="V514" s="121">
        <v>218.2</v>
      </c>
      <c r="W514" s="116">
        <v>0.98</v>
      </c>
      <c r="X514" s="116">
        <v>1.66</v>
      </c>
      <c r="Y514" s="116">
        <f t="shared" si="408"/>
        <v>0.98008029573507216</v>
      </c>
      <c r="Z514" s="133">
        <v>1.454</v>
      </c>
      <c r="AA514" s="133">
        <v>0.83599999999999997</v>
      </c>
      <c r="AB514" s="133">
        <v>0.72</v>
      </c>
      <c r="AC514" s="121">
        <v>34.299999999999997</v>
      </c>
      <c r="AD514" s="134">
        <v>1.17</v>
      </c>
      <c r="AE514" s="124">
        <v>177.8</v>
      </c>
      <c r="AF514" s="128">
        <v>9.19</v>
      </c>
      <c r="AG514" s="128">
        <v>2230</v>
      </c>
      <c r="AH514" s="127">
        <v>2835</v>
      </c>
      <c r="AI514" s="127">
        <v>2835</v>
      </c>
      <c r="AJ514" s="130">
        <v>44376</v>
      </c>
      <c r="AK514" s="128" t="s">
        <v>1018</v>
      </c>
      <c r="AL514" s="131"/>
      <c r="AM514" s="124" t="s">
        <v>187</v>
      </c>
      <c r="AN514" s="136" t="s">
        <v>1832</v>
      </c>
      <c r="AO514" s="137">
        <v>4.96</v>
      </c>
      <c r="AP514" s="128">
        <v>2359.6</v>
      </c>
      <c r="AQ514" s="128">
        <v>544.05999999999995</v>
      </c>
      <c r="AR514" s="128" t="s">
        <v>1833</v>
      </c>
      <c r="AS514" s="128">
        <v>114</v>
      </c>
      <c r="AT514" s="122">
        <v>7.37</v>
      </c>
      <c r="AU514" s="124" t="s">
        <v>189</v>
      </c>
      <c r="AV514" s="115">
        <f>VLOOKUP(J514,'[63]ТР нефть'!$J$28:$BP$638,39,0)</f>
        <v>529.99998427699995</v>
      </c>
      <c r="AW514" s="115" t="str">
        <f>VLOOKUP(J514,'[63]ТР нефть'!$J$28:$BP$638,40,0)</f>
        <v>ГП</v>
      </c>
      <c r="AX514" s="115">
        <f>VLOOKUP(J514,'[63]ТР нефть'!$J$28:$BP$638,41,0)</f>
        <v>1009.999969336</v>
      </c>
      <c r="AY514" s="115" t="str">
        <f>VLOOKUP(J514,'[63]ТР нефть'!$J$28:$BP$638,42,0)</f>
        <v>ГП</v>
      </c>
      <c r="AZ514" s="115">
        <f>VLOOKUP(J514,'[63]ТР нефть'!$J$28:$BP$638,43,0)</f>
        <v>1405.0000078129999</v>
      </c>
      <c r="BA514" s="115" t="str">
        <f>VLOOKUP(J514,'[63]ТР нефть'!$J$28:$BP$638,44,0)</f>
        <v>ГК 84 1/8</v>
      </c>
      <c r="BB514" s="115">
        <f>VLOOKUP(J514,'[63]ТР нефть'!$J$28:$BP$638,45,0)</f>
        <v>1724.9999730469999</v>
      </c>
      <c r="BC514" s="115" t="str">
        <f>VLOOKUP(J514,'[63]ТР нефть'!$J$28:$BP$638,46,0)</f>
        <v>ГК 84 1/8</v>
      </c>
      <c r="BD514" s="115">
        <f>VLOOKUP(J514,'[63]ТР нефть'!$J$28:$BP$638,47,0)</f>
        <v>1979.9999988279999</v>
      </c>
      <c r="BE514" s="115" t="str">
        <f>VLOOKUP(J514,'[63]ТР нефть'!$J$28:$BP$638,48,0)</f>
        <v>ЦКсОК 5/16</v>
      </c>
      <c r="BF514" s="115" t="str">
        <f>VLOOKUP(J514,'[63]ТР нефть'!$J$28:$BP$638,49,0)</f>
        <v>-</v>
      </c>
      <c r="BG514" s="115" t="str">
        <f>VLOOKUP(J514,'[63]ТР нефть'!$J$28:$BP$638,50,0)</f>
        <v>-</v>
      </c>
      <c r="BH514" s="115" t="str">
        <f>VLOOKUP(J514,'[63]ТР нефть'!$J$28:$BP$638,51,0)</f>
        <v>-</v>
      </c>
      <c r="BI514" s="115" t="str">
        <f>VLOOKUP(J514,'[63]ТР нефть'!$J$28:$BP$638,52,0)</f>
        <v>-</v>
      </c>
      <c r="BJ514" s="115" t="str">
        <f>IF(IFERROR(VLOOKUP(J514,'[63]ТР нефть'!$J$28:$BP$638,53,0),"-")=0,"-",IFERROR(VLOOKUP(J514,'[63]ТР нефть'!$J$28:$BP$638,53,0),"-"))</f>
        <v>-</v>
      </c>
      <c r="BK514" s="138" t="str">
        <f>IF(IFERROR(VLOOKUP(J514,'[63]ТР нефть'!$J$28:$BP$638,54,0),"-")=0,"-",IFERROR(VLOOKUP(J514,'[63]ТР нефть'!$J$28:$BP$638,54,0),"-"))</f>
        <v>-</v>
      </c>
      <c r="BL514" s="138" t="str">
        <f>IF(IFERROR(VLOOKUP(J514,'[63]ТР нефть'!$J$28:$BP$638,55,0),"-")=0,"-",IFERROR(VLOOKUP(J514,'[63]ТР нефть'!$J$28:$BP$638,55,0),"-"))</f>
        <v>-</v>
      </c>
      <c r="BM514" s="138" t="str">
        <f>IF(IFERROR(VLOOKUP(J514,'[63]ТР нефть'!$J$28:$BP$638,56,0),"-")=0,"-",IFERROR(VLOOKUP(J514,'[63]ТР нефть'!$J$28:$BP$638,56,0),"-"))</f>
        <v>-</v>
      </c>
      <c r="BN514" s="138" t="str">
        <f>IF(IFERROR(VLOOKUP(J514,'[63]ТР нефть'!$J$28:$BP$638,57,0),"-")=0,"-",IFERROR(VLOOKUP(J514,'[63]ТР нефть'!$J$28:$BP$638,57,0),"-"))</f>
        <v>-</v>
      </c>
      <c r="BO514" s="115" t="str">
        <f>IF(IFERROR(VLOOKUP(J514,'[63]ТР нефть'!$J$28:$BP$638,58,0),"-")=0,"-",IFERROR(VLOOKUP(J514,'[63]ТР нефть'!$J$28:$BP$638,58,0),"-"))</f>
        <v>-</v>
      </c>
      <c r="BP514" s="115" t="str">
        <f>IF(IFERROR(VLOOKUP(J514,'[63]ТР нефть'!$J$28:$BP$638,59,0),"-")=0,"-",IFERROR(VLOOKUP(J514,'[63]ТР нефть'!$J$28:$BP$638,59,0),"-"))</f>
        <v>-</v>
      </c>
      <c r="BQ514" s="138">
        <v>2169</v>
      </c>
      <c r="BR514" s="128">
        <v>1760</v>
      </c>
      <c r="BS514" s="115">
        <f>BQ514-BR514</f>
        <v>409</v>
      </c>
      <c r="BT514" s="128">
        <v>73</v>
      </c>
      <c r="BU514" s="128">
        <v>5.5</v>
      </c>
      <c r="BV514" s="127">
        <v>65</v>
      </c>
      <c r="BW514" s="127" t="s">
        <v>217</v>
      </c>
      <c r="BX514" s="127" t="s">
        <v>195</v>
      </c>
      <c r="BY514" s="139">
        <v>24</v>
      </c>
      <c r="BZ514" s="139">
        <v>0</v>
      </c>
      <c r="CA514" s="138">
        <v>23</v>
      </c>
      <c r="CB514" s="138">
        <v>70</v>
      </c>
      <c r="CC514" s="138">
        <v>22</v>
      </c>
      <c r="CD514" s="135">
        <v>45017</v>
      </c>
      <c r="CE514" s="138">
        <v>108</v>
      </c>
      <c r="CF514" s="138">
        <v>74</v>
      </c>
      <c r="CG514" s="138" t="str">
        <f t="shared" si="433"/>
        <v>В работе</v>
      </c>
      <c r="CH514" s="138" t="s">
        <v>272</v>
      </c>
      <c r="CI514" s="127"/>
      <c r="CJ514" s="138"/>
      <c r="CK514" s="138">
        <f t="shared" si="432"/>
        <v>19</v>
      </c>
      <c r="CL514" s="99"/>
      <c r="CM514" s="99"/>
      <c r="CN514" s="140">
        <v>42</v>
      </c>
      <c r="CO514" s="141">
        <f t="shared" si="373"/>
        <v>7.1045787999999996</v>
      </c>
      <c r="CP514" s="142">
        <v>8.5</v>
      </c>
      <c r="CQ514" s="143">
        <v>0.02</v>
      </c>
      <c r="CR514" s="138">
        <v>20</v>
      </c>
      <c r="CS514" s="139">
        <v>8.6</v>
      </c>
      <c r="CT514" s="138"/>
      <c r="CU514" s="138">
        <f t="shared" si="418"/>
        <v>11.4</v>
      </c>
      <c r="CV514" s="115">
        <f t="shared" si="419"/>
        <v>1604.5989946652433</v>
      </c>
      <c r="CW514" s="115">
        <f t="shared" si="374"/>
        <v>1210.1516412878636</v>
      </c>
      <c r="CX514" s="133">
        <f t="shared" si="420"/>
        <v>0.12878787878787878</v>
      </c>
      <c r="CY514" s="116"/>
      <c r="CZ514" s="131"/>
      <c r="DA514" s="145" t="str">
        <f t="shared" si="375"/>
        <v>Газлифт</v>
      </c>
      <c r="DB514" s="146">
        <f t="shared" si="390"/>
        <v>7.1045787999999996</v>
      </c>
      <c r="DC514" s="142">
        <f t="shared" si="402"/>
        <v>8.5</v>
      </c>
      <c r="DD514" s="119">
        <f t="shared" si="416"/>
        <v>0.02</v>
      </c>
      <c r="DE514" s="115">
        <f t="shared" si="392"/>
        <v>11.4</v>
      </c>
      <c r="DF514" s="121">
        <f t="shared" si="376"/>
        <v>8.6</v>
      </c>
      <c r="DG514" s="115">
        <f t="shared" si="377"/>
        <v>1604.5989946652433</v>
      </c>
      <c r="DH514" s="115">
        <f t="shared" si="378"/>
        <v>42</v>
      </c>
      <c r="DI514" s="147"/>
      <c r="DJ514" s="111" t="s">
        <v>197</v>
      </c>
      <c r="DK514" s="112">
        <v>43654</v>
      </c>
      <c r="DL514" s="113">
        <f t="shared" ca="1" si="424"/>
        <v>1450</v>
      </c>
      <c r="DM514" s="114"/>
      <c r="DN514" s="114"/>
      <c r="DO514" s="114"/>
      <c r="DP514" s="114"/>
      <c r="DQ514" s="112">
        <v>43654</v>
      </c>
      <c r="DR514" s="114" t="s">
        <v>324</v>
      </c>
      <c r="DS514" s="114"/>
      <c r="DT514" s="115">
        <v>53</v>
      </c>
      <c r="DU514" s="116">
        <f t="shared" si="425"/>
        <v>0.15454545454545454</v>
      </c>
      <c r="DV514" s="117">
        <f t="shared" si="428"/>
        <v>7.1045787999999996</v>
      </c>
      <c r="DW514" s="118">
        <f t="shared" si="429"/>
        <v>8.5</v>
      </c>
      <c r="DX514" s="119">
        <f t="shared" si="430"/>
        <v>0.02</v>
      </c>
      <c r="DY514" s="115">
        <f t="shared" si="431"/>
        <v>11.4</v>
      </c>
      <c r="DZ514" s="117">
        <f t="shared" si="426"/>
        <v>0</v>
      </c>
      <c r="EA514" s="120">
        <f t="shared" si="426"/>
        <v>0</v>
      </c>
      <c r="EB514" s="119">
        <f t="shared" si="387"/>
        <v>0</v>
      </c>
      <c r="EC514" s="121">
        <f t="shared" si="415"/>
        <v>0</v>
      </c>
      <c r="ED514" s="122"/>
      <c r="EE514" s="145">
        <v>65</v>
      </c>
      <c r="EF514" s="115">
        <v>23</v>
      </c>
      <c r="EG514" s="115">
        <v>70</v>
      </c>
      <c r="EH514" s="115">
        <v>22</v>
      </c>
      <c r="EI514" s="128" t="s">
        <v>195</v>
      </c>
      <c r="EJ514" s="121">
        <v>24</v>
      </c>
      <c r="EK514" s="121">
        <v>0</v>
      </c>
      <c r="EL514" s="149">
        <v>7.1045787999999996</v>
      </c>
      <c r="EM514" s="142">
        <v>8.5</v>
      </c>
      <c r="EN514" s="119">
        <v>0.02</v>
      </c>
      <c r="EO514" s="115">
        <v>20</v>
      </c>
      <c r="EP514" s="115">
        <v>1604.5989946652433</v>
      </c>
      <c r="EQ514" s="115">
        <v>74</v>
      </c>
      <c r="ER514" s="115">
        <v>8.6</v>
      </c>
      <c r="ES514" s="115">
        <v>42</v>
      </c>
      <c r="ET514" s="150">
        <v>0.12878787878787878</v>
      </c>
      <c r="EU514" s="145">
        <f t="shared" si="400"/>
        <v>65</v>
      </c>
      <c r="EV514" s="115">
        <f t="shared" si="380"/>
        <v>23</v>
      </c>
      <c r="EW514" s="115">
        <f t="shared" si="380"/>
        <v>70</v>
      </c>
      <c r="EX514" s="115">
        <f t="shared" si="380"/>
        <v>22</v>
      </c>
      <c r="EY514" s="115" t="str">
        <f t="shared" si="434"/>
        <v>Постоянный</v>
      </c>
      <c r="EZ514" s="115">
        <f t="shared" si="434"/>
        <v>24</v>
      </c>
      <c r="FA514" s="115">
        <f t="shared" si="434"/>
        <v>0</v>
      </c>
      <c r="FB514" s="149">
        <f t="shared" si="405"/>
        <v>7.1045787999999996</v>
      </c>
      <c r="FC514" s="142">
        <f t="shared" si="405"/>
        <v>8.5</v>
      </c>
      <c r="FD514" s="119">
        <f t="shared" si="405"/>
        <v>0.02</v>
      </c>
      <c r="FE514" s="121">
        <f t="shared" si="405"/>
        <v>20</v>
      </c>
      <c r="FF514" s="121">
        <f t="shared" si="407"/>
        <v>1604.5989946652433</v>
      </c>
      <c r="FG514" s="121">
        <f t="shared" si="381"/>
        <v>74</v>
      </c>
      <c r="FH514" s="121">
        <f t="shared" si="358"/>
        <v>8.6</v>
      </c>
      <c r="FI514" s="121">
        <f t="shared" si="427"/>
        <v>42</v>
      </c>
      <c r="FJ514" s="144">
        <f t="shared" si="382"/>
        <v>0.12878787878787878</v>
      </c>
      <c r="FK514" s="132">
        <f t="shared" si="383"/>
        <v>0</v>
      </c>
      <c r="FL514" s="115">
        <f t="shared" si="383"/>
        <v>0</v>
      </c>
      <c r="FM514" s="115">
        <f t="shared" si="383"/>
        <v>0</v>
      </c>
      <c r="FN514" s="115">
        <f t="shared" si="371"/>
        <v>0</v>
      </c>
      <c r="FO514" s="115">
        <f t="shared" si="403"/>
        <v>0</v>
      </c>
      <c r="FP514" s="115">
        <f t="shared" si="403"/>
        <v>0</v>
      </c>
      <c r="FQ514" s="149">
        <f t="shared" si="403"/>
        <v>0</v>
      </c>
      <c r="FR514" s="142">
        <f t="shared" si="403"/>
        <v>0</v>
      </c>
      <c r="FS514" s="119">
        <f t="shared" si="403"/>
        <v>0</v>
      </c>
      <c r="FT514" s="121">
        <f t="shared" si="403"/>
        <v>0</v>
      </c>
      <c r="FU514" s="121">
        <f t="shared" si="384"/>
        <v>0</v>
      </c>
      <c r="FV514" s="121">
        <f t="shared" si="384"/>
        <v>0</v>
      </c>
      <c r="FW514" s="121">
        <f t="shared" si="385"/>
        <v>0</v>
      </c>
      <c r="FX514" s="121">
        <f t="shared" si="386"/>
        <v>0</v>
      </c>
      <c r="FY514" s="144">
        <f t="shared" si="386"/>
        <v>0</v>
      </c>
      <c r="FZ514" s="145"/>
      <c r="GA514" s="151"/>
      <c r="GB514" s="145"/>
      <c r="GC514" s="151"/>
      <c r="GD514" s="997" t="s">
        <v>202</v>
      </c>
      <c r="GE514" s="1004"/>
      <c r="GF514" s="1004">
        <v>0</v>
      </c>
      <c r="GG514" s="1004"/>
      <c r="GH514" s="1004">
        <v>0</v>
      </c>
      <c r="GI514" s="145"/>
      <c r="GJ514" s="996">
        <v>0</v>
      </c>
      <c r="GK514" s="145" t="s">
        <v>223</v>
      </c>
      <c r="GL514" s="996">
        <v>-1.6148289696000004</v>
      </c>
      <c r="GM514" s="1005"/>
      <c r="GN514" s="996">
        <v>0</v>
      </c>
      <c r="GO514" s="1006"/>
      <c r="GP514" s="996">
        <v>0.35940776960000065</v>
      </c>
      <c r="GQ514" s="1006"/>
      <c r="GR514" s="996">
        <v>0</v>
      </c>
      <c r="GS514" s="1006"/>
      <c r="GT514" s="996">
        <v>0</v>
      </c>
      <c r="GU514" s="1006"/>
      <c r="GV514" s="996">
        <v>0</v>
      </c>
      <c r="GW514" s="1006"/>
      <c r="GX514" s="996">
        <v>-0.58520000000000039</v>
      </c>
      <c r="GY514" s="1006"/>
      <c r="GZ514" s="996">
        <v>-0.92697268400000077</v>
      </c>
      <c r="HA514" s="1006"/>
      <c r="HB514" s="996">
        <v>-9.1950803999999664E-2</v>
      </c>
      <c r="HC514" s="1006"/>
      <c r="HD514" s="996">
        <v>-0.1337466239999987</v>
      </c>
      <c r="HE514" s="1006"/>
      <c r="HF514" s="996">
        <v>0</v>
      </c>
      <c r="HG514" s="1006" t="s">
        <v>199</v>
      </c>
      <c r="HH514" s="996">
        <v>-1.6037890879999992</v>
      </c>
      <c r="HI514" s="1006"/>
      <c r="HJ514" s="996">
        <v>-0.54329132000000158</v>
      </c>
      <c r="HK514" s="1006" t="s">
        <v>221</v>
      </c>
      <c r="HL514" s="996">
        <v>-2.2178494799999999</v>
      </c>
      <c r="HM514" s="1006" t="s">
        <v>308</v>
      </c>
      <c r="HN514" s="996">
        <v>6.2616399999999999</v>
      </c>
      <c r="HO514" s="1006"/>
      <c r="HP514" s="996">
        <v>0</v>
      </c>
      <c r="HQ514" s="1006"/>
      <c r="HR514" s="996">
        <v>0</v>
      </c>
      <c r="HS514" s="1006"/>
      <c r="HT514" s="996">
        <v>0</v>
      </c>
      <c r="HU514" s="1006" t="s">
        <v>199</v>
      </c>
      <c r="HV514" s="996">
        <v>-3.0012399999999992</v>
      </c>
      <c r="HW514" s="1006" t="s">
        <v>199</v>
      </c>
      <c r="HX514" s="996">
        <v>1.1787599999999987</v>
      </c>
      <c r="HY514" s="1006"/>
      <c r="HZ514" s="996">
        <v>0</v>
      </c>
      <c r="IA514" s="1006" t="s">
        <v>199</v>
      </c>
      <c r="IB514" s="996">
        <v>-1.5633199999999992</v>
      </c>
      <c r="IC514" s="1006"/>
      <c r="ID514" s="996">
        <v>-0.70223999999999975</v>
      </c>
      <c r="IE514" s="1006"/>
      <c r="IF514" s="996">
        <v>0</v>
      </c>
      <c r="IG514" s="1006" t="s">
        <v>199</v>
      </c>
      <c r="IH514" s="996">
        <v>1.170399999999999</v>
      </c>
      <c r="II514" s="1006"/>
      <c r="IJ514" s="996">
        <v>-0.58519999999999861</v>
      </c>
      <c r="IK514" s="1006" t="s">
        <v>204</v>
      </c>
      <c r="IL514" s="996">
        <v>-1.9228000000000005</v>
      </c>
      <c r="IM514" s="1006"/>
      <c r="IN514" s="996">
        <v>0</v>
      </c>
      <c r="IO514" s="1006"/>
      <c r="IP514" s="996">
        <v>0.36784000000000106</v>
      </c>
      <c r="IQ514" s="1006"/>
      <c r="IR514" s="996">
        <v>0.71895999999999916</v>
      </c>
      <c r="IS514" s="1006"/>
      <c r="IT514" s="996">
        <v>0</v>
      </c>
      <c r="IU514" s="1006"/>
      <c r="IV514" s="996">
        <v>0</v>
      </c>
      <c r="IW514" s="1006"/>
      <c r="IX514" s="996">
        <v>0</v>
      </c>
      <c r="IY514" s="1006"/>
      <c r="IZ514" s="996">
        <v>-0.8360000000000003</v>
      </c>
      <c r="JA514" s="1006" t="s">
        <v>223</v>
      </c>
      <c r="JB514" s="996">
        <v>-1.6720000000000006</v>
      </c>
      <c r="JC514" s="1006"/>
      <c r="JD514" s="996">
        <v>0</v>
      </c>
      <c r="JE514" s="1006"/>
      <c r="JF514" s="996">
        <v>0</v>
      </c>
      <c r="JG514" s="1006"/>
      <c r="JH514" s="996">
        <v>0</v>
      </c>
      <c r="JI514" s="1006"/>
      <c r="JJ514" s="996">
        <v>0</v>
      </c>
      <c r="JK514" s="1007"/>
      <c r="JL514" s="1007">
        <v>0</v>
      </c>
      <c r="JM514" s="1007" t="s">
        <v>203</v>
      </c>
      <c r="JN514" s="1007">
        <v>-9.0873200000000001</v>
      </c>
      <c r="JO514" s="1008"/>
      <c r="JP514" s="1007">
        <v>0</v>
      </c>
      <c r="JQ514" s="1008" t="s">
        <v>203</v>
      </c>
      <c r="JR514" s="1007">
        <v>-7.4646800000000013</v>
      </c>
      <c r="JS514" s="1008" t="s">
        <v>25</v>
      </c>
      <c r="JT514" s="1007">
        <v>29.427</v>
      </c>
      <c r="JU514" s="1008"/>
      <c r="JV514" s="1007"/>
      <c r="JW514" s="1008"/>
      <c r="JX514" s="1007"/>
      <c r="JY514" s="1008"/>
      <c r="JZ514" s="1007"/>
      <c r="KA514" s="1008"/>
      <c r="KB514" s="1007"/>
      <c r="KC514" s="1008"/>
      <c r="KD514" s="1007"/>
      <c r="KE514" s="1008"/>
      <c r="KF514" s="1007"/>
      <c r="KG514" s="1008"/>
      <c r="KH514" s="1007"/>
      <c r="KI514" s="1008"/>
      <c r="KJ514" s="1007"/>
      <c r="KK514" s="1008"/>
      <c r="KL514" s="1007"/>
      <c r="KM514" s="1008"/>
      <c r="KN514" s="1007"/>
      <c r="KO514" s="1008"/>
      <c r="KP514" s="1007"/>
      <c r="KQ514" s="1008"/>
      <c r="KR514" s="1007"/>
      <c r="KS514" s="1008"/>
      <c r="KT514" s="1007"/>
      <c r="KU514" s="1008"/>
      <c r="KV514" s="1007"/>
      <c r="KW514" s="1008"/>
      <c r="KX514" s="1007"/>
      <c r="KY514" s="1008"/>
      <c r="KZ514" s="1007"/>
      <c r="LA514" s="1008"/>
      <c r="LB514" s="1007"/>
      <c r="LC514" s="1008"/>
      <c r="LD514" s="1007"/>
      <c r="LE514" s="1008"/>
      <c r="LF514" s="1007"/>
      <c r="LG514" s="1008"/>
      <c r="LH514" s="1007"/>
      <c r="LI514" s="1008"/>
      <c r="LJ514" s="1007"/>
      <c r="LK514" s="1008"/>
      <c r="LL514" s="1007"/>
      <c r="LM514" s="1008"/>
      <c r="LN514" s="1007"/>
      <c r="LO514" s="1008"/>
      <c r="LP514" s="1007"/>
      <c r="LQ514" s="1008"/>
      <c r="LR514" s="1007"/>
      <c r="LS514" s="1008"/>
      <c r="LT514" s="1007"/>
      <c r="LU514" s="1008"/>
      <c r="LV514" s="1007"/>
      <c r="LW514" s="1008"/>
      <c r="LX514" s="1007"/>
      <c r="LY514" s="1009"/>
      <c r="LZ514" s="1010"/>
      <c r="MA514" s="1011"/>
      <c r="MB514" s="1012"/>
      <c r="MC514" s="995"/>
      <c r="MD514" s="996"/>
      <c r="ME514" s="997" t="s">
        <v>202</v>
      </c>
      <c r="MF514" s="997"/>
      <c r="MG514" s="998"/>
      <c r="NR514" s="1000"/>
      <c r="NS514" s="1000"/>
      <c r="NT514" s="1001"/>
      <c r="NU514" s="1000"/>
      <c r="NV514" s="1001"/>
      <c r="NX514" s="1002"/>
      <c r="NZ514" s="1001"/>
      <c r="OA514" s="1001"/>
      <c r="OC514" s="1003"/>
      <c r="OD514" s="1003"/>
      <c r="OE514" s="1001"/>
      <c r="OF514" s="1003"/>
      <c r="OG514" s="1003"/>
      <c r="QX514" s="1000">
        <f>CN514-CA514</f>
        <v>19</v>
      </c>
      <c r="ASU514" s="999" t="s">
        <v>208</v>
      </c>
    </row>
    <row r="515" spans="1:466 1191:1191" ht="21" customHeight="1" x14ac:dyDescent="0.25">
      <c r="A515" s="982">
        <f t="shared" si="372"/>
        <v>1612</v>
      </c>
      <c r="B515" s="124">
        <f>SUBTOTAL(103,$J$29:J515)</f>
        <v>487</v>
      </c>
      <c r="C515" s="126">
        <v>45068</v>
      </c>
      <c r="D515" s="124" t="s">
        <v>176</v>
      </c>
      <c r="E515" s="127" t="s">
        <v>177</v>
      </c>
      <c r="F515" s="128" t="s">
        <v>177</v>
      </c>
      <c r="G515" s="127" t="s">
        <v>178</v>
      </c>
      <c r="H515" s="127" t="s">
        <v>179</v>
      </c>
      <c r="I515" s="127" t="s">
        <v>1817</v>
      </c>
      <c r="J515" s="152">
        <v>1612</v>
      </c>
      <c r="K515" s="130" t="s">
        <v>1817</v>
      </c>
      <c r="L515" s="130">
        <v>43912</v>
      </c>
      <c r="M515" s="127" t="s">
        <v>230</v>
      </c>
      <c r="N515" s="127" t="s">
        <v>1368</v>
      </c>
      <c r="O515" s="127" t="s">
        <v>185</v>
      </c>
      <c r="P515" s="127" t="s">
        <v>186</v>
      </c>
      <c r="Q515" s="85" t="str">
        <f t="shared" si="423"/>
        <v/>
      </c>
      <c r="R515" s="130"/>
      <c r="S515" s="128"/>
      <c r="T515" s="131"/>
      <c r="U515" s="132">
        <v>203</v>
      </c>
      <c r="V515" s="121">
        <v>218.2</v>
      </c>
      <c r="W515" s="116">
        <v>0.98</v>
      </c>
      <c r="X515" s="116">
        <v>1.66</v>
      </c>
      <c r="Y515" s="116">
        <f t="shared" si="408"/>
        <v>0.98</v>
      </c>
      <c r="Z515" s="133">
        <v>1.454</v>
      </c>
      <c r="AA515" s="133">
        <v>0.83599999999999997</v>
      </c>
      <c r="AB515" s="133">
        <v>0.72</v>
      </c>
      <c r="AC515" s="121">
        <v>34.299999999999997</v>
      </c>
      <c r="AD515" s="134">
        <v>1.17</v>
      </c>
      <c r="AE515" s="124">
        <v>177.8</v>
      </c>
      <c r="AF515" s="128">
        <v>9.19</v>
      </c>
      <c r="AG515" s="128">
        <v>1909</v>
      </c>
      <c r="AH515" s="127">
        <v>2861</v>
      </c>
      <c r="AI515" s="127">
        <v>2861</v>
      </c>
      <c r="AJ515" s="135">
        <v>44345</v>
      </c>
      <c r="AK515" s="128" t="s">
        <v>1018</v>
      </c>
      <c r="AL515" s="131"/>
      <c r="AM515" s="124" t="s">
        <v>232</v>
      </c>
      <c r="AN515" s="136" t="s">
        <v>1834</v>
      </c>
      <c r="AO515" s="137">
        <v>90.288000000000011</v>
      </c>
      <c r="AP515" s="128">
        <v>1909</v>
      </c>
      <c r="AQ515" s="128">
        <v>152.87799999999993</v>
      </c>
      <c r="AR515" s="128"/>
      <c r="AS515" s="128"/>
      <c r="AT515" s="122"/>
      <c r="AU515" s="124" t="s">
        <v>189</v>
      </c>
      <c r="AV515" s="115">
        <f>VLOOKUP(J515,'[63]ТР нефть'!$J$28:$BP$638,39,0)</f>
        <v>379.99998662100001</v>
      </c>
      <c r="AW515" s="115" t="str">
        <f>VLOOKUP(J515,'[63]ТР нефть'!$J$28:$BP$638,40,0)</f>
        <v>ГП</v>
      </c>
      <c r="AX515" s="115">
        <f>VLOOKUP(J515,'[63]ТР нефть'!$J$28:$BP$638,41,0)</f>
        <v>759.99997324200001</v>
      </c>
      <c r="AY515" s="115" t="str">
        <f>VLOOKUP(J515,'[63]ТР нефть'!$J$28:$BP$638,42,0)</f>
        <v>ГП</v>
      </c>
      <c r="AZ515" s="115">
        <f>VLOOKUP(J515,'[63]ТР нефть'!$J$28:$BP$638,43,0)</f>
        <v>1009.999969336</v>
      </c>
      <c r="BA515" s="115" t="str">
        <f>VLOOKUP(J515,'[63]ТР нефть'!$J$28:$BP$638,44,0)</f>
        <v>ГП</v>
      </c>
      <c r="BB515" s="115">
        <f>VLOOKUP(J515,'[63]ТР нефть'!$J$28:$BP$638,45,0)</f>
        <v>1290.000069141</v>
      </c>
      <c r="BC515" s="115" t="str">
        <f>VLOOKUP(J515,'[63]ТР нефть'!$J$28:$BP$638,46,0)</f>
        <v>ГК 74 5/32</v>
      </c>
      <c r="BD515" s="115">
        <f>VLOOKUP(J515,'[63]ТР нефть'!$J$28:$BP$638,47,0)</f>
        <v>1499.999976563</v>
      </c>
      <c r="BE515" s="115" t="str">
        <f>VLOOKUP(J515,'[63]ТР нефть'!$J$28:$BP$638,48,0)</f>
        <v>ГК 73 5/32</v>
      </c>
      <c r="BF515" s="115">
        <f>VLOOKUP(J515,'[63]ТР нефть'!$J$28:$BP$638,49,0)</f>
        <v>1800</v>
      </c>
      <c r="BG515" s="115" t="str">
        <f>VLOOKUP(J515,'[63]ТР нефть'!$J$28:$BP$638,50,0)</f>
        <v>ЦКсОК 5/16</v>
      </c>
      <c r="BH515" s="115" t="str">
        <f>VLOOKUP(J515,'[63]ТР нефть'!$J$28:$BP$638,51,0)</f>
        <v>-</v>
      </c>
      <c r="BI515" s="115" t="str">
        <f>VLOOKUP(J515,'[63]ТР нефть'!$J$28:$BP$638,52,0)</f>
        <v>-</v>
      </c>
      <c r="BJ515" s="115" t="str">
        <f>IF(IFERROR(VLOOKUP(J515,'[63]ТР нефть'!$J$28:$BP$638,53,0),"-")=0,"-",IFERROR(VLOOKUP(J515,'[63]ТР нефть'!$J$28:$BP$638,53,0),"-"))</f>
        <v>-</v>
      </c>
      <c r="BK515" s="138" t="str">
        <f>IF(IFERROR(VLOOKUP(J515,'[63]ТР нефть'!$J$28:$BP$638,54,0),"-")=0,"-",IFERROR(VLOOKUP(J515,'[63]ТР нефть'!$J$28:$BP$638,54,0),"-"))</f>
        <v>-</v>
      </c>
      <c r="BL515" s="138" t="str">
        <f>IF(IFERROR(VLOOKUP(J515,'[63]ТР нефть'!$J$28:$BP$638,55,0),"-")=0,"-",IFERROR(VLOOKUP(J515,'[63]ТР нефть'!$J$28:$BP$638,55,0),"-"))</f>
        <v>-</v>
      </c>
      <c r="BM515" s="138" t="str">
        <f>IF(IFERROR(VLOOKUP(J515,'[63]ТР нефть'!$J$28:$BP$638,56,0),"-")=0,"-",IFERROR(VLOOKUP(J515,'[63]ТР нефть'!$J$28:$BP$638,56,0),"-"))</f>
        <v>-</v>
      </c>
      <c r="BN515" s="138" t="str">
        <f>IF(IFERROR(VLOOKUP(J515,'[63]ТР нефть'!$J$28:$BP$638,57,0),"-")=0,"-",IFERROR(VLOOKUP(J515,'[63]ТР нефть'!$J$28:$BP$638,57,0),"-"))</f>
        <v>-</v>
      </c>
      <c r="BO515" s="115" t="str">
        <f>IF(IFERROR(VLOOKUP(J515,'[63]ТР нефть'!$J$28:$BP$638,58,0),"-")=0,"-",IFERROR(VLOOKUP(J515,'[63]ТР нефть'!$J$28:$BP$638,58,0),"-"))</f>
        <v>-</v>
      </c>
      <c r="BP515" s="115" t="str">
        <f>IF(IFERROR(VLOOKUP(J515,'[63]ТР нефть'!$J$28:$BP$638,59,0),"-")=0,"-",IFERROR(VLOOKUP(J515,'[63]ТР нефть'!$J$28:$BP$638,59,0),"-"))</f>
        <v>-</v>
      </c>
      <c r="BQ515" s="138">
        <v>1970</v>
      </c>
      <c r="BR515" s="128">
        <v>1788.31</v>
      </c>
      <c r="BS515" s="115">
        <v>181.69000000000005</v>
      </c>
      <c r="BT515" s="128">
        <v>73</v>
      </c>
      <c r="BU515" s="128">
        <v>5.5</v>
      </c>
      <c r="BV515" s="127">
        <v>18</v>
      </c>
      <c r="BW515" s="127" t="s">
        <v>217</v>
      </c>
      <c r="BX515" s="127" t="s">
        <v>195</v>
      </c>
      <c r="BY515" s="139">
        <v>24</v>
      </c>
      <c r="BZ515" s="139">
        <v>0</v>
      </c>
      <c r="CA515" s="138">
        <v>43</v>
      </c>
      <c r="CB515" s="138">
        <v>58</v>
      </c>
      <c r="CC515" s="138">
        <v>42</v>
      </c>
      <c r="CD515" s="135">
        <v>45017</v>
      </c>
      <c r="CE515" s="138">
        <v>143</v>
      </c>
      <c r="CF515" s="138">
        <v>65</v>
      </c>
      <c r="CG515" s="138" t="str">
        <f t="shared" si="433"/>
        <v/>
      </c>
      <c r="CH515" s="138" t="s">
        <v>197</v>
      </c>
      <c r="CI515" s="127">
        <v>5</v>
      </c>
      <c r="CJ515" s="138"/>
      <c r="CK515" s="138">
        <f t="shared" si="432"/>
        <v>22</v>
      </c>
      <c r="CL515" s="99"/>
      <c r="CM515" s="99"/>
      <c r="CN515" s="140">
        <v>65</v>
      </c>
      <c r="CO515" s="141">
        <f t="shared" si="373"/>
        <v>18.391999999999999</v>
      </c>
      <c r="CP515" s="142">
        <v>22</v>
      </c>
      <c r="CQ515" s="143">
        <v>0</v>
      </c>
      <c r="CR515" s="138">
        <v>20</v>
      </c>
      <c r="CS515" s="139">
        <v>16</v>
      </c>
      <c r="CT515" s="138"/>
      <c r="CU515" s="138">
        <f t="shared" si="418"/>
        <v>4</v>
      </c>
      <c r="CV515" s="115">
        <f t="shared" si="419"/>
        <v>217.48586341887778</v>
      </c>
      <c r="CW515" s="115">
        <f t="shared" si="374"/>
        <v>869.94345367551102</v>
      </c>
      <c r="CX515" s="133">
        <f t="shared" si="420"/>
        <v>0.28205128205128205</v>
      </c>
      <c r="CY515" s="116"/>
      <c r="CZ515" s="131"/>
      <c r="DA515" s="145" t="str">
        <f t="shared" si="375"/>
        <v>Газлифт</v>
      </c>
      <c r="DB515" s="146">
        <f t="shared" si="390"/>
        <v>18.391999999999999</v>
      </c>
      <c r="DC515" s="142">
        <f t="shared" si="402"/>
        <v>22</v>
      </c>
      <c r="DD515" s="119">
        <f t="shared" si="416"/>
        <v>0</v>
      </c>
      <c r="DE515" s="115">
        <f t="shared" si="392"/>
        <v>4</v>
      </c>
      <c r="DF515" s="121">
        <f t="shared" si="376"/>
        <v>16</v>
      </c>
      <c r="DG515" s="115">
        <f t="shared" si="377"/>
        <v>217.48586341887778</v>
      </c>
      <c r="DH515" s="115">
        <f t="shared" si="378"/>
        <v>65</v>
      </c>
      <c r="DI515" s="147"/>
      <c r="DJ515" s="111"/>
      <c r="DK515" s="112">
        <v>44376</v>
      </c>
      <c r="DL515" s="113">
        <f t="shared" ca="1" si="424"/>
        <v>728</v>
      </c>
      <c r="DM515" s="114"/>
      <c r="DN515" s="114"/>
      <c r="DO515" s="114"/>
      <c r="DP515" s="114"/>
      <c r="DQ515" s="112">
        <v>44376</v>
      </c>
      <c r="DR515" s="114" t="s">
        <v>324</v>
      </c>
      <c r="DS515" s="114"/>
      <c r="DT515" s="115">
        <v>60</v>
      </c>
      <c r="DU515" s="116">
        <f t="shared" si="425"/>
        <v>0.27626561472715316</v>
      </c>
      <c r="DV515" s="117">
        <f t="shared" si="428"/>
        <v>19.169518474687706</v>
      </c>
      <c r="DW515" s="118">
        <f t="shared" si="429"/>
        <v>22.930046022353714</v>
      </c>
      <c r="DX515" s="119">
        <f t="shared" si="430"/>
        <v>0</v>
      </c>
      <c r="DY515" s="115">
        <f t="shared" si="431"/>
        <v>4.1690992767915853</v>
      </c>
      <c r="DZ515" s="117">
        <f t="shared" si="426"/>
        <v>0.77751847468770663</v>
      </c>
      <c r="EA515" s="120">
        <f t="shared" si="426"/>
        <v>0.93004602235371436</v>
      </c>
      <c r="EB515" s="119">
        <f t="shared" si="387"/>
        <v>0</v>
      </c>
      <c r="EC515" s="121">
        <f t="shared" si="415"/>
        <v>0.16909927679158532</v>
      </c>
      <c r="ED515" s="122"/>
      <c r="EE515" s="145">
        <v>18</v>
      </c>
      <c r="EF515" s="115">
        <v>41</v>
      </c>
      <c r="EG515" s="115">
        <v>58</v>
      </c>
      <c r="EH515" s="115">
        <v>40</v>
      </c>
      <c r="EI515" s="128" t="s">
        <v>195</v>
      </c>
      <c r="EJ515" s="121">
        <v>24</v>
      </c>
      <c r="EK515" s="121">
        <v>0</v>
      </c>
      <c r="EL515" s="149">
        <v>18.099399999999999</v>
      </c>
      <c r="EM515" s="142">
        <v>21.65</v>
      </c>
      <c r="EN515" s="119">
        <v>0</v>
      </c>
      <c r="EO515" s="115">
        <v>19</v>
      </c>
      <c r="EP515" s="115">
        <v>121.55099064057367</v>
      </c>
      <c r="EQ515" s="115">
        <v>64</v>
      </c>
      <c r="ER515" s="115">
        <v>16.8</v>
      </c>
      <c r="ES515" s="115">
        <v>64</v>
      </c>
      <c r="ET515" s="150">
        <v>0.27405063291139237</v>
      </c>
      <c r="EU515" s="145">
        <f t="shared" si="400"/>
        <v>18</v>
      </c>
      <c r="EV515" s="115">
        <f t="shared" si="380"/>
        <v>43</v>
      </c>
      <c r="EW515" s="115">
        <f t="shared" si="380"/>
        <v>58</v>
      </c>
      <c r="EX515" s="115">
        <f t="shared" si="380"/>
        <v>42</v>
      </c>
      <c r="EY515" s="115" t="str">
        <f t="shared" si="434"/>
        <v>Постоянный</v>
      </c>
      <c r="EZ515" s="115">
        <f t="shared" si="434"/>
        <v>24</v>
      </c>
      <c r="FA515" s="115">
        <f t="shared" si="434"/>
        <v>0</v>
      </c>
      <c r="FB515" s="149">
        <f t="shared" si="405"/>
        <v>18.391999999999999</v>
      </c>
      <c r="FC515" s="142">
        <f t="shared" si="405"/>
        <v>22</v>
      </c>
      <c r="FD515" s="119">
        <f t="shared" si="405"/>
        <v>0</v>
      </c>
      <c r="FE515" s="121">
        <f t="shared" si="405"/>
        <v>20</v>
      </c>
      <c r="FF515" s="121">
        <f t="shared" si="407"/>
        <v>217.48586341887778</v>
      </c>
      <c r="FG515" s="121">
        <f t="shared" si="381"/>
        <v>65</v>
      </c>
      <c r="FH515" s="121">
        <f t="shared" si="358"/>
        <v>16</v>
      </c>
      <c r="FI515" s="121">
        <f t="shared" si="427"/>
        <v>65</v>
      </c>
      <c r="FJ515" s="144">
        <f t="shared" si="382"/>
        <v>0.28205128205128205</v>
      </c>
      <c r="FK515" s="132">
        <f t="shared" si="383"/>
        <v>0</v>
      </c>
      <c r="FL515" s="115">
        <f t="shared" si="383"/>
        <v>2</v>
      </c>
      <c r="FM515" s="115">
        <f t="shared" si="383"/>
        <v>0</v>
      </c>
      <c r="FN515" s="115">
        <f t="shared" si="371"/>
        <v>2</v>
      </c>
      <c r="FO515" s="115">
        <f t="shared" si="403"/>
        <v>0</v>
      </c>
      <c r="FP515" s="115">
        <f t="shared" si="403"/>
        <v>0</v>
      </c>
      <c r="FQ515" s="149">
        <f t="shared" si="403"/>
        <v>0.29260000000000019</v>
      </c>
      <c r="FR515" s="142">
        <f t="shared" si="403"/>
        <v>0.35000000000000142</v>
      </c>
      <c r="FS515" s="119">
        <f t="shared" si="403"/>
        <v>0</v>
      </c>
      <c r="FT515" s="121">
        <f t="shared" si="403"/>
        <v>1</v>
      </c>
      <c r="FU515" s="121">
        <f t="shared" si="384"/>
        <v>1</v>
      </c>
      <c r="FV515" s="121">
        <f t="shared" si="384"/>
        <v>-0.80000000000000071</v>
      </c>
      <c r="FW515" s="121">
        <f t="shared" si="385"/>
        <v>95.934872778304111</v>
      </c>
      <c r="FX515" s="121">
        <f t="shared" si="386"/>
        <v>1</v>
      </c>
      <c r="FY515" s="144">
        <f t="shared" si="386"/>
        <v>8.0006491398896817E-3</v>
      </c>
      <c r="FZ515" s="145"/>
      <c r="GA515" s="151"/>
      <c r="GB515" s="145" t="s">
        <v>199</v>
      </c>
      <c r="GC515" s="151" t="s">
        <v>1093</v>
      </c>
      <c r="GD515" s="997" t="s">
        <v>220</v>
      </c>
      <c r="GE515" s="1004" t="s">
        <v>199</v>
      </c>
      <c r="GF515" s="1004">
        <v>-6.980599999999999</v>
      </c>
      <c r="GG515" s="1004" t="s">
        <v>199</v>
      </c>
      <c r="GH515" s="1004">
        <v>2.5079999999999991</v>
      </c>
      <c r="GI515" s="145"/>
      <c r="GJ515" s="996">
        <v>0</v>
      </c>
      <c r="GK515" s="145" t="s">
        <v>223</v>
      </c>
      <c r="GL515" s="996">
        <v>-2.5079999999999991</v>
      </c>
      <c r="GM515" s="1005" t="s">
        <v>146</v>
      </c>
      <c r="GN515" s="996">
        <v>5.4281981599999973</v>
      </c>
      <c r="GO515" s="1006" t="s">
        <v>199</v>
      </c>
      <c r="GP515" s="996">
        <v>4.1311085464000037</v>
      </c>
      <c r="GQ515" s="1006" t="s">
        <v>240</v>
      </c>
      <c r="GR515" s="996">
        <v>-1.3345715064000032</v>
      </c>
      <c r="GS515" s="1006" t="s">
        <v>223</v>
      </c>
      <c r="GT515" s="996">
        <v>-1.1688951999999979</v>
      </c>
      <c r="GU515" s="1006"/>
      <c r="GV515" s="996">
        <v>0.3678399999999975</v>
      </c>
      <c r="GW515" s="1006" t="s">
        <v>223</v>
      </c>
      <c r="GX515" s="996">
        <v>-1.029951999999998</v>
      </c>
      <c r="GY515" s="1006" t="s">
        <v>223</v>
      </c>
      <c r="GZ515" s="996">
        <v>-5.0761919999999954</v>
      </c>
      <c r="HA515" s="1006"/>
      <c r="HB515" s="996">
        <v>0</v>
      </c>
      <c r="HC515" s="1006" t="s">
        <v>223</v>
      </c>
      <c r="HD515" s="996">
        <v>-6.4004160000000034</v>
      </c>
      <c r="HE515" s="1006" t="s">
        <v>199</v>
      </c>
      <c r="HF515" s="996">
        <v>2.5748800000000003</v>
      </c>
      <c r="HG515" s="1006" t="s">
        <v>199</v>
      </c>
      <c r="HH515" s="996">
        <v>-4.18</v>
      </c>
      <c r="HI515" s="1006"/>
      <c r="HJ515" s="996">
        <v>0</v>
      </c>
      <c r="HK515" s="1006" t="s">
        <v>199</v>
      </c>
      <c r="HL515" s="996">
        <v>-12.944799999999994</v>
      </c>
      <c r="HM515" s="1006"/>
      <c r="HN515" s="996">
        <v>0</v>
      </c>
      <c r="HO515" s="1006"/>
      <c r="HP515" s="996">
        <v>0</v>
      </c>
      <c r="HQ515" s="1006"/>
      <c r="HR515" s="996">
        <v>0.35551622303999153</v>
      </c>
      <c r="HS515" s="1006"/>
      <c r="HT515" s="996">
        <v>0</v>
      </c>
      <c r="HU515" s="1006" t="s">
        <v>435</v>
      </c>
      <c r="HV515" s="996">
        <v>-36.479716223040001</v>
      </c>
      <c r="HW515" s="1006" t="s">
        <v>363</v>
      </c>
      <c r="HX515" s="996">
        <v>36.215000000000003</v>
      </c>
      <c r="HY515" s="1006"/>
      <c r="HZ515" s="996">
        <v>34.851999999999997</v>
      </c>
      <c r="IA515" s="1006"/>
      <c r="IB515" s="996"/>
      <c r="IC515" s="1006"/>
      <c r="ID515" s="996"/>
      <c r="IE515" s="1006"/>
      <c r="IF515" s="996"/>
      <c r="IG515" s="1006"/>
      <c r="IH515" s="996"/>
      <c r="II515" s="1006"/>
      <c r="IJ515" s="996"/>
      <c r="IK515" s="1006"/>
      <c r="IL515" s="996"/>
      <c r="IM515" s="1006"/>
      <c r="IN515" s="996"/>
      <c r="IO515" s="1006"/>
      <c r="IP515" s="996"/>
      <c r="IQ515" s="1006"/>
      <c r="IR515" s="996"/>
      <c r="IS515" s="1006"/>
      <c r="IT515" s="996"/>
      <c r="IU515" s="1006"/>
      <c r="IV515" s="996"/>
      <c r="IW515" s="1006"/>
      <c r="IX515" s="996"/>
      <c r="IY515" s="1006"/>
      <c r="IZ515" s="996"/>
      <c r="JA515" s="1006"/>
      <c r="JB515" s="996"/>
      <c r="JC515" s="1006"/>
      <c r="JD515" s="996"/>
      <c r="JE515" s="1006"/>
      <c r="JF515" s="996"/>
      <c r="JG515" s="1006"/>
      <c r="JH515" s="996"/>
      <c r="JI515" s="1006"/>
      <c r="JJ515" s="996"/>
      <c r="JK515" s="1007"/>
      <c r="JL515" s="1007"/>
      <c r="JM515" s="1007"/>
      <c r="JN515" s="1007"/>
      <c r="JO515" s="1008"/>
      <c r="JP515" s="1007"/>
      <c r="JQ515" s="1008"/>
      <c r="JR515" s="1007"/>
      <c r="JS515" s="1008"/>
      <c r="JT515" s="1007"/>
      <c r="JU515" s="1008"/>
      <c r="JV515" s="1007"/>
      <c r="JW515" s="1008"/>
      <c r="JX515" s="1007"/>
      <c r="JY515" s="1008"/>
      <c r="JZ515" s="1007"/>
      <c r="KA515" s="1008"/>
      <c r="KB515" s="1007"/>
      <c r="KC515" s="1008"/>
      <c r="KD515" s="1007"/>
      <c r="KE515" s="1008"/>
      <c r="KF515" s="1007"/>
      <c r="KG515" s="1008"/>
      <c r="KH515" s="1007"/>
      <c r="KI515" s="1008"/>
      <c r="KJ515" s="1007"/>
      <c r="KK515" s="1008"/>
      <c r="KL515" s="1007"/>
      <c r="KM515" s="1008"/>
      <c r="KN515" s="1007"/>
      <c r="KO515" s="1008"/>
      <c r="KP515" s="1007"/>
      <c r="KQ515" s="1008"/>
      <c r="KR515" s="1007"/>
      <c r="KS515" s="1008"/>
      <c r="KT515" s="1007"/>
      <c r="KU515" s="1008"/>
      <c r="KV515" s="1007"/>
      <c r="KW515" s="1008"/>
      <c r="KX515" s="1007"/>
      <c r="KY515" s="1008"/>
      <c r="KZ515" s="1007"/>
      <c r="LA515" s="1008"/>
      <c r="LB515" s="1007"/>
      <c r="LC515" s="1008"/>
      <c r="LD515" s="1007"/>
      <c r="LE515" s="1008"/>
      <c r="LF515" s="1007"/>
      <c r="LG515" s="1008"/>
      <c r="LH515" s="1007"/>
      <c r="LI515" s="1008"/>
      <c r="LJ515" s="1007"/>
      <c r="LK515" s="1008"/>
      <c r="LL515" s="1007"/>
      <c r="LM515" s="1008"/>
      <c r="LN515" s="1007"/>
      <c r="LO515" s="1008"/>
      <c r="LP515" s="1007"/>
      <c r="LQ515" s="1008"/>
      <c r="LR515" s="1007"/>
      <c r="LS515" s="1008"/>
      <c r="LT515" s="1007"/>
      <c r="LU515" s="1008"/>
      <c r="LV515" s="1007"/>
      <c r="LW515" s="1008"/>
      <c r="LX515" s="1007"/>
      <c r="LY515" s="1009"/>
      <c r="LZ515" s="1010"/>
      <c r="MA515" s="1011"/>
      <c r="MB515" s="1012"/>
      <c r="MC515" s="995"/>
      <c r="MD515" s="996"/>
      <c r="ME515" s="997" t="s">
        <v>220</v>
      </c>
      <c r="MF515" s="997"/>
      <c r="MG515" s="998"/>
      <c r="NR515" s="1000"/>
      <c r="NS515" s="1000"/>
      <c r="NT515" s="1001"/>
      <c r="NU515" s="1000"/>
      <c r="NV515" s="1001"/>
      <c r="NX515" s="1002"/>
      <c r="NZ515" s="1001"/>
      <c r="OA515" s="1001"/>
      <c r="OC515" s="1003"/>
      <c r="OD515" s="1003"/>
      <c r="OE515" s="1001"/>
      <c r="OF515" s="1003"/>
      <c r="OG515" s="1003"/>
      <c r="OH515" s="1003"/>
      <c r="OI515" s="1016"/>
      <c r="QX515" s="1000">
        <f>CN515-CA515</f>
        <v>22</v>
      </c>
      <c r="ASU515" s="999" t="s">
        <v>208</v>
      </c>
    </row>
    <row r="516" spans="1:466 1191:1191" s="1026" customFormat="1" ht="21" customHeight="1" x14ac:dyDescent="0.25">
      <c r="A516" s="982">
        <f t="shared" si="372"/>
        <v>1613</v>
      </c>
      <c r="B516" s="124">
        <f>SUBTOTAL(103,$J$29:J516)</f>
        <v>488</v>
      </c>
      <c r="C516" s="126">
        <v>45068</v>
      </c>
      <c r="D516" s="124" t="s">
        <v>176</v>
      </c>
      <c r="E516" s="127" t="s">
        <v>177</v>
      </c>
      <c r="F516" s="128" t="s">
        <v>177</v>
      </c>
      <c r="G516" s="127" t="s">
        <v>178</v>
      </c>
      <c r="H516" s="127" t="s">
        <v>179</v>
      </c>
      <c r="I516" s="127" t="s">
        <v>1518</v>
      </c>
      <c r="J516" s="152">
        <v>1613</v>
      </c>
      <c r="K516" s="130" t="s">
        <v>1518</v>
      </c>
      <c r="L516" s="130">
        <v>44246</v>
      </c>
      <c r="M516" s="127" t="s">
        <v>230</v>
      </c>
      <c r="N516" s="127" t="s">
        <v>184</v>
      </c>
      <c r="O516" s="127" t="s">
        <v>185</v>
      </c>
      <c r="P516" s="127" t="s">
        <v>186</v>
      </c>
      <c r="Q516" s="85" t="str">
        <f t="shared" si="423"/>
        <v/>
      </c>
      <c r="R516" s="130"/>
      <c r="S516" s="128"/>
      <c r="T516" s="131"/>
      <c r="U516" s="132">
        <v>203</v>
      </c>
      <c r="V516" s="121">
        <v>218.2</v>
      </c>
      <c r="W516" s="116">
        <v>0.98</v>
      </c>
      <c r="X516" s="116">
        <v>1.66</v>
      </c>
      <c r="Y516" s="116">
        <f t="shared" si="408"/>
        <v>0.98</v>
      </c>
      <c r="Z516" s="133">
        <v>1.454</v>
      </c>
      <c r="AA516" s="133">
        <v>0.83599999999999997</v>
      </c>
      <c r="AB516" s="133">
        <v>0.72</v>
      </c>
      <c r="AC516" s="121">
        <v>34.299999999999997</v>
      </c>
      <c r="AD516" s="134">
        <v>1.17</v>
      </c>
      <c r="AE516" s="124">
        <v>177.8</v>
      </c>
      <c r="AF516" s="128">
        <v>9.19</v>
      </c>
      <c r="AG516" s="128">
        <v>2051</v>
      </c>
      <c r="AH516" s="127">
        <v>2660</v>
      </c>
      <c r="AI516" s="127">
        <v>2660</v>
      </c>
      <c r="AJ516" s="130">
        <v>44246</v>
      </c>
      <c r="AK516" s="128" t="s">
        <v>1018</v>
      </c>
      <c r="AL516" s="131"/>
      <c r="AM516" s="124" t="s">
        <v>187</v>
      </c>
      <c r="AN516" s="136" t="s">
        <v>1835</v>
      </c>
      <c r="AO516" s="137">
        <v>43</v>
      </c>
      <c r="AP516" s="128">
        <v>2102.87</v>
      </c>
      <c r="AQ516" s="128">
        <v>319.51999999999975</v>
      </c>
      <c r="AR516" s="128" t="s">
        <v>1836</v>
      </c>
      <c r="AS516" s="128">
        <v>114</v>
      </c>
      <c r="AT516" s="122">
        <v>7.37</v>
      </c>
      <c r="AU516" s="124" t="s">
        <v>189</v>
      </c>
      <c r="AV516" s="115">
        <f>VLOOKUP(J516,'[63]ТР нефть'!$J$28:$BP$638,39,0)</f>
        <v>541.99999599600005</v>
      </c>
      <c r="AW516" s="115" t="str">
        <f>VLOOKUP(J516,'[63]ТР нефть'!$J$28:$BP$638,40,0)</f>
        <v>ГП</v>
      </c>
      <c r="AX516" s="115">
        <f>VLOOKUP(J516,'[63]ТР нефть'!$J$28:$BP$638,41,0)</f>
        <v>970.00002949199995</v>
      </c>
      <c r="AY516" s="115" t="str">
        <f>VLOOKUP(J516,'[63]ТР нефть'!$J$28:$BP$638,42,0)</f>
        <v>ГП</v>
      </c>
      <c r="AZ516" s="115">
        <f>VLOOKUP(J516,'[63]ТР нефть'!$J$28:$BP$638,43,0)</f>
        <v>1262.9999683589999</v>
      </c>
      <c r="BA516" s="115" t="str">
        <f>VLOOKUP(J516,'[63]ТР нефть'!$J$28:$BP$638,44,0)</f>
        <v>ГП</v>
      </c>
      <c r="BB516" s="115">
        <f>VLOOKUP(J516,'[63]ТР нефть'!$J$28:$BP$638,45,0)</f>
        <v>1525.9999523439999</v>
      </c>
      <c r="BC516" s="115" t="str">
        <f>VLOOKUP(J516,'[63]ТР нефть'!$J$28:$BP$638,46,0)</f>
        <v>ГК 83 1/8</v>
      </c>
      <c r="BD516" s="115">
        <f>VLOOKUP(J516,'[63]ТР нефть'!$J$28:$BP$638,47,0)</f>
        <v>1747.000044141</v>
      </c>
      <c r="BE516" s="115" t="str">
        <f>VLOOKUP(J516,'[63]ТР нефть'!$J$28:$BP$638,48,0)</f>
        <v>ЦКсОК 5/16</v>
      </c>
      <c r="BF516" s="115" t="str">
        <f>VLOOKUP(J516,'[63]ТР нефть'!$J$28:$BP$638,49,0)</f>
        <v>-</v>
      </c>
      <c r="BG516" s="115" t="str">
        <f>VLOOKUP(J516,'[63]ТР нефть'!$J$28:$BP$638,50,0)</f>
        <v>-</v>
      </c>
      <c r="BH516" s="115" t="str">
        <f>VLOOKUP(J516,'[63]ТР нефть'!$J$28:$BP$638,51,0)</f>
        <v>-</v>
      </c>
      <c r="BI516" s="115" t="str">
        <f>VLOOKUP(J516,'[63]ТР нефть'!$J$28:$BP$638,52,0)</f>
        <v>-</v>
      </c>
      <c r="BJ516" s="115" t="str">
        <f>IF(IFERROR(VLOOKUP(J516,'[63]ТР нефть'!$J$28:$BP$638,53,0),"-")=0,"-",IFERROR(VLOOKUP(J516,'[63]ТР нефть'!$J$28:$BP$638,53,0),"-"))</f>
        <v>-</v>
      </c>
      <c r="BK516" s="138" t="str">
        <f>IF(IFERROR(VLOOKUP(J516,'[63]ТР нефть'!$J$28:$BP$638,54,0),"-")=0,"-",IFERROR(VLOOKUP(J516,'[63]ТР нефть'!$J$28:$BP$638,54,0),"-"))</f>
        <v>-</v>
      </c>
      <c r="BL516" s="138" t="str">
        <f>IF(IFERROR(VLOOKUP(J516,'[63]ТР нефть'!$J$28:$BP$638,55,0),"-")=0,"-",IFERROR(VLOOKUP(J516,'[63]ТР нефть'!$J$28:$BP$638,55,0),"-"))</f>
        <v>-</v>
      </c>
      <c r="BM516" s="138" t="str">
        <f>IF(IFERROR(VLOOKUP(J516,'[63]ТР нефть'!$J$28:$BP$638,56,0),"-")=0,"-",IFERROR(VLOOKUP(J516,'[63]ТР нефть'!$J$28:$BP$638,56,0),"-"))</f>
        <v>-</v>
      </c>
      <c r="BN516" s="138" t="str">
        <f>IF(IFERROR(VLOOKUP(J516,'[63]ТР нефть'!$J$28:$BP$638,57,0),"-")=0,"-",IFERROR(VLOOKUP(J516,'[63]ТР нефть'!$J$28:$BP$638,57,0),"-"))</f>
        <v>-</v>
      </c>
      <c r="BO516" s="115" t="str">
        <f>IF(IFERROR(VLOOKUP(J516,'[63]ТР нефть'!$J$28:$BP$638,58,0),"-")=0,"-",IFERROR(VLOOKUP(J516,'[63]ТР нефть'!$J$28:$BP$638,58,0),"-"))</f>
        <v>-</v>
      </c>
      <c r="BP516" s="115" t="str">
        <f>IF(IFERROR(VLOOKUP(J516,'[63]ТР нефть'!$J$28:$BP$638,59,0),"-")=0,"-",IFERROR(VLOOKUP(J516,'[63]ТР нефть'!$J$28:$BP$638,59,0),"-"))</f>
        <v>-</v>
      </c>
      <c r="BQ516" s="138">
        <v>2000</v>
      </c>
      <c r="BR516" s="128">
        <v>1759.46</v>
      </c>
      <c r="BS516" s="115">
        <f>BQ516-BR516</f>
        <v>240.53999999999996</v>
      </c>
      <c r="BT516" s="128">
        <v>73</v>
      </c>
      <c r="BU516" s="128">
        <v>5.5</v>
      </c>
      <c r="BV516" s="127">
        <v>18</v>
      </c>
      <c r="BW516" s="127" t="s">
        <v>217</v>
      </c>
      <c r="BX516" s="127" t="s">
        <v>195</v>
      </c>
      <c r="BY516" s="139">
        <v>24</v>
      </c>
      <c r="BZ516" s="139">
        <v>0</v>
      </c>
      <c r="CA516" s="138">
        <v>23</v>
      </c>
      <c r="CB516" s="138">
        <v>42</v>
      </c>
      <c r="CC516" s="138">
        <v>22</v>
      </c>
      <c r="CD516" s="135">
        <v>45017</v>
      </c>
      <c r="CE516" s="138">
        <v>106</v>
      </c>
      <c r="CF516" s="138">
        <v>74</v>
      </c>
      <c r="CG516" s="138" t="str">
        <f t="shared" si="433"/>
        <v>В работе</v>
      </c>
      <c r="CH516" s="138" t="s">
        <v>235</v>
      </c>
      <c r="CI516" s="127">
        <v>5</v>
      </c>
      <c r="CJ516" s="138"/>
      <c r="CK516" s="138">
        <f t="shared" si="432"/>
        <v>32</v>
      </c>
      <c r="CL516" s="99"/>
      <c r="CM516" s="99"/>
      <c r="CN516" s="140">
        <v>55</v>
      </c>
      <c r="CO516" s="141">
        <f t="shared" si="373"/>
        <v>9.1959999999999997</v>
      </c>
      <c r="CP516" s="142">
        <v>11</v>
      </c>
      <c r="CQ516" s="143">
        <v>0</v>
      </c>
      <c r="CR516" s="138">
        <v>14</v>
      </c>
      <c r="CS516" s="139">
        <v>8.4</v>
      </c>
      <c r="CT516" s="138"/>
      <c r="CU516" s="138">
        <f t="shared" si="418"/>
        <v>5.6</v>
      </c>
      <c r="CV516" s="115">
        <f t="shared" si="419"/>
        <v>608.96041757285775</v>
      </c>
      <c r="CW516" s="115">
        <f t="shared" si="374"/>
        <v>913.44062635928674</v>
      </c>
      <c r="CX516" s="133">
        <f t="shared" si="420"/>
        <v>0.21568627450980393</v>
      </c>
      <c r="CY516" s="116"/>
      <c r="CZ516" s="131"/>
      <c r="DA516" s="145" t="str">
        <f t="shared" si="375"/>
        <v>Газлифт</v>
      </c>
      <c r="DB516" s="146">
        <f t="shared" si="390"/>
        <v>9.1959999999999997</v>
      </c>
      <c r="DC516" s="142">
        <f t="shared" si="402"/>
        <v>11</v>
      </c>
      <c r="DD516" s="119">
        <f t="shared" si="416"/>
        <v>0</v>
      </c>
      <c r="DE516" s="115">
        <f t="shared" si="392"/>
        <v>5.6</v>
      </c>
      <c r="DF516" s="121">
        <f t="shared" si="376"/>
        <v>8.4</v>
      </c>
      <c r="DG516" s="115">
        <f t="shared" si="377"/>
        <v>608.96041757285775</v>
      </c>
      <c r="DH516" s="115">
        <f t="shared" si="378"/>
        <v>55</v>
      </c>
      <c r="DI516" s="147"/>
      <c r="DJ516" s="111"/>
      <c r="DK516" s="112">
        <v>43912</v>
      </c>
      <c r="DL516" s="113">
        <f t="shared" ca="1" si="424"/>
        <v>1192</v>
      </c>
      <c r="DM516" s="114"/>
      <c r="DN516" s="114"/>
      <c r="DO516" s="114"/>
      <c r="DP516" s="114"/>
      <c r="DQ516" s="112"/>
      <c r="DR516" s="114"/>
      <c r="DS516" s="114"/>
      <c r="DT516" s="115">
        <v>56</v>
      </c>
      <c r="DU516" s="116">
        <f t="shared" si="425"/>
        <v>0.22</v>
      </c>
      <c r="DV516" s="117">
        <f t="shared" si="428"/>
        <v>9.1959999999999997</v>
      </c>
      <c r="DW516" s="118">
        <f t="shared" si="429"/>
        <v>11</v>
      </c>
      <c r="DX516" s="119">
        <f t="shared" si="430"/>
        <v>0</v>
      </c>
      <c r="DY516" s="115">
        <f t="shared" si="431"/>
        <v>5.6</v>
      </c>
      <c r="DZ516" s="117">
        <f t="shared" si="426"/>
        <v>0</v>
      </c>
      <c r="EA516" s="120">
        <f t="shared" si="426"/>
        <v>0</v>
      </c>
      <c r="EB516" s="119">
        <f t="shared" si="387"/>
        <v>0</v>
      </c>
      <c r="EC516" s="121">
        <f t="shared" si="415"/>
        <v>0</v>
      </c>
      <c r="ED516" s="122"/>
      <c r="EE516" s="145">
        <v>18</v>
      </c>
      <c r="EF516" s="115">
        <v>26</v>
      </c>
      <c r="EG516" s="115">
        <v>44</v>
      </c>
      <c r="EH516" s="115">
        <v>24</v>
      </c>
      <c r="EI516" s="128" t="s">
        <v>195</v>
      </c>
      <c r="EJ516" s="121">
        <v>24</v>
      </c>
      <c r="EK516" s="121">
        <v>0</v>
      </c>
      <c r="EL516" s="149">
        <v>8.6943999999999999</v>
      </c>
      <c r="EM516" s="142">
        <v>10.4</v>
      </c>
      <c r="EN516" s="119">
        <v>0</v>
      </c>
      <c r="EO516" s="115">
        <v>18.5</v>
      </c>
      <c r="EP516" s="115">
        <v>701.60103054839897</v>
      </c>
      <c r="EQ516" s="115">
        <v>76</v>
      </c>
      <c r="ER516" s="115">
        <v>12.4</v>
      </c>
      <c r="ES516" s="115">
        <v>55</v>
      </c>
      <c r="ET516" s="150">
        <v>0.20392156862745098</v>
      </c>
      <c r="EU516" s="145">
        <f t="shared" si="400"/>
        <v>18</v>
      </c>
      <c r="EV516" s="115">
        <f t="shared" si="380"/>
        <v>23</v>
      </c>
      <c r="EW516" s="115">
        <f t="shared" si="380"/>
        <v>42</v>
      </c>
      <c r="EX516" s="115">
        <f t="shared" si="380"/>
        <v>22</v>
      </c>
      <c r="EY516" s="115" t="str">
        <f t="shared" si="434"/>
        <v>Постоянный</v>
      </c>
      <c r="EZ516" s="115">
        <f t="shared" si="434"/>
        <v>24</v>
      </c>
      <c r="FA516" s="115">
        <f t="shared" si="434"/>
        <v>0</v>
      </c>
      <c r="FB516" s="149">
        <f t="shared" si="405"/>
        <v>9.1959999999999997</v>
      </c>
      <c r="FC516" s="142">
        <f t="shared" si="405"/>
        <v>11</v>
      </c>
      <c r="FD516" s="119">
        <f t="shared" si="405"/>
        <v>0</v>
      </c>
      <c r="FE516" s="121">
        <f t="shared" si="405"/>
        <v>14</v>
      </c>
      <c r="FF516" s="121">
        <f t="shared" si="407"/>
        <v>608.96041757285775</v>
      </c>
      <c r="FG516" s="121">
        <f t="shared" si="381"/>
        <v>74</v>
      </c>
      <c r="FH516" s="121">
        <f t="shared" si="358"/>
        <v>8.4</v>
      </c>
      <c r="FI516" s="121">
        <f t="shared" si="427"/>
        <v>55</v>
      </c>
      <c r="FJ516" s="144">
        <f t="shared" si="382"/>
        <v>0.21568627450980393</v>
      </c>
      <c r="FK516" s="132">
        <f t="shared" si="383"/>
        <v>0</v>
      </c>
      <c r="FL516" s="115">
        <f t="shared" si="383"/>
        <v>-3</v>
      </c>
      <c r="FM516" s="115">
        <f t="shared" si="383"/>
        <v>-2</v>
      </c>
      <c r="FN516" s="115">
        <f t="shared" si="371"/>
        <v>-2</v>
      </c>
      <c r="FO516" s="115">
        <f t="shared" si="403"/>
        <v>0</v>
      </c>
      <c r="FP516" s="115">
        <f t="shared" si="403"/>
        <v>0</v>
      </c>
      <c r="FQ516" s="149">
        <f t="shared" si="403"/>
        <v>0.50159999999999982</v>
      </c>
      <c r="FR516" s="142">
        <f t="shared" si="403"/>
        <v>0.59999999999999964</v>
      </c>
      <c r="FS516" s="119">
        <f t="shared" si="403"/>
        <v>0</v>
      </c>
      <c r="FT516" s="121">
        <f t="shared" si="403"/>
        <v>-4.5</v>
      </c>
      <c r="FU516" s="121">
        <f t="shared" si="384"/>
        <v>-2</v>
      </c>
      <c r="FV516" s="121">
        <f t="shared" si="384"/>
        <v>-4</v>
      </c>
      <c r="FW516" s="121">
        <f t="shared" si="385"/>
        <v>-92.640612975541217</v>
      </c>
      <c r="FX516" s="121">
        <f t="shared" si="386"/>
        <v>0</v>
      </c>
      <c r="FY516" s="144">
        <f t="shared" si="386"/>
        <v>1.1764705882352955E-2</v>
      </c>
      <c r="FZ516" s="145"/>
      <c r="GA516" s="151"/>
      <c r="GB516" s="145" t="s">
        <v>223</v>
      </c>
      <c r="GC516" s="151" t="s">
        <v>1837</v>
      </c>
      <c r="GD516" s="997" t="s">
        <v>220</v>
      </c>
      <c r="GE516" s="1004" t="s">
        <v>223</v>
      </c>
      <c r="GF516" s="1004">
        <v>-1.8166279999999979</v>
      </c>
      <c r="GG516" s="1004"/>
      <c r="GH516" s="1004">
        <v>-0.29009200000000135</v>
      </c>
      <c r="GI516" s="145"/>
      <c r="GJ516" s="996">
        <v>0</v>
      </c>
      <c r="GK516" s="145"/>
      <c r="GL516" s="996">
        <v>0</v>
      </c>
      <c r="GM516" s="1005" t="s">
        <v>240</v>
      </c>
      <c r="GN516" s="996">
        <v>-1.6049594879999995</v>
      </c>
      <c r="GO516" s="1006" t="s">
        <v>314</v>
      </c>
      <c r="GP516" s="996">
        <v>-1.3207479119999999</v>
      </c>
      <c r="GQ516" s="1006"/>
      <c r="GR516" s="996">
        <v>0</v>
      </c>
      <c r="GS516" s="1006" t="s">
        <v>221</v>
      </c>
      <c r="GT516" s="996">
        <v>1.3009831999999992</v>
      </c>
      <c r="GU516" s="1006"/>
      <c r="GV516" s="996">
        <v>0.36993000000000009</v>
      </c>
      <c r="GW516" s="1006" t="s">
        <v>223</v>
      </c>
      <c r="GX516" s="996">
        <v>-1.4211999999999989</v>
      </c>
      <c r="GY516" s="1006" t="s">
        <v>199</v>
      </c>
      <c r="GZ516" s="996">
        <v>2.2571999999999992</v>
      </c>
      <c r="HA516" s="1006"/>
      <c r="HB516" s="996">
        <v>0</v>
      </c>
      <c r="HC516" s="1006"/>
      <c r="HD516" s="996">
        <v>0</v>
      </c>
      <c r="HE516" s="1006"/>
      <c r="HF516" s="996">
        <v>0</v>
      </c>
      <c r="HG516" s="1006"/>
      <c r="HH516" s="996">
        <v>0</v>
      </c>
      <c r="HI516" s="1006"/>
      <c r="HJ516" s="996">
        <v>0.13041600000000031</v>
      </c>
      <c r="HK516" s="1006"/>
      <c r="HL516" s="996">
        <v>0</v>
      </c>
      <c r="HM516" s="1006" t="s">
        <v>199</v>
      </c>
      <c r="HN516" s="996">
        <v>-3.6773968000000004</v>
      </c>
      <c r="HO516" s="1006"/>
      <c r="HP516" s="996">
        <v>-0.63301919999999967</v>
      </c>
      <c r="HQ516" s="1006" t="s">
        <v>204</v>
      </c>
      <c r="HR516" s="996">
        <v>-4.1692991999999975</v>
      </c>
      <c r="HS516" s="1006" t="s">
        <v>223</v>
      </c>
      <c r="HT516" s="996">
        <v>-2.6816137920000038</v>
      </c>
      <c r="HU516" s="1006" t="s">
        <v>199</v>
      </c>
      <c r="HV516" s="996">
        <v>-1.5090870079999981</v>
      </c>
      <c r="HW516" s="1006"/>
      <c r="HX516" s="996">
        <v>0</v>
      </c>
      <c r="HY516" s="1006" t="s">
        <v>241</v>
      </c>
      <c r="HZ516" s="996">
        <v>9.3631999999999991</v>
      </c>
      <c r="IA516" s="1006"/>
      <c r="IB516" s="996">
        <v>0</v>
      </c>
      <c r="IC516" s="1006"/>
      <c r="ID516" s="996">
        <v>0</v>
      </c>
      <c r="IE516" s="1006"/>
      <c r="IF516" s="996">
        <v>0</v>
      </c>
      <c r="IG516" s="1006"/>
      <c r="IH516" s="996">
        <v>0</v>
      </c>
      <c r="II516" s="1006"/>
      <c r="IJ516" s="996">
        <v>0</v>
      </c>
      <c r="IK516" s="1006"/>
      <c r="IL516" s="996">
        <v>0</v>
      </c>
      <c r="IM516" s="1006"/>
      <c r="IN516" s="996">
        <v>0</v>
      </c>
      <c r="IO516" s="1006" t="s">
        <v>204</v>
      </c>
      <c r="IP516" s="996">
        <v>-3.4275999999999982</v>
      </c>
      <c r="IQ516" s="1006"/>
      <c r="IR516" s="996">
        <v>0</v>
      </c>
      <c r="IS516" s="1006"/>
      <c r="IT516" s="996">
        <v>-0.66880000000000095</v>
      </c>
      <c r="IU516" s="1006" t="s">
        <v>203</v>
      </c>
      <c r="IV516" s="996">
        <v>-2.257200000000001</v>
      </c>
      <c r="IW516" s="1006" t="s">
        <v>203</v>
      </c>
      <c r="IX516" s="996">
        <v>-3.845600000000001</v>
      </c>
      <c r="IY516" s="1006" t="s">
        <v>203</v>
      </c>
      <c r="IZ516" s="996">
        <v>-5.5593999999999966</v>
      </c>
      <c r="JA516" s="1006"/>
      <c r="JB516" s="996">
        <v>0</v>
      </c>
      <c r="JC516" s="1006"/>
      <c r="JD516" s="996"/>
      <c r="JE516" s="1006"/>
      <c r="JF516" s="996"/>
      <c r="JG516" s="1006"/>
      <c r="JH516" s="996"/>
      <c r="JI516" s="1006"/>
      <c r="JJ516" s="996"/>
      <c r="JK516" s="1007"/>
      <c r="JL516" s="1007"/>
      <c r="JM516" s="1007"/>
      <c r="JN516" s="1007"/>
      <c r="JO516" s="1008"/>
      <c r="JP516" s="1007"/>
      <c r="JQ516" s="1008"/>
      <c r="JR516" s="1007"/>
      <c r="JS516" s="1008"/>
      <c r="JT516" s="1007"/>
      <c r="JU516" s="1008"/>
      <c r="JV516" s="1007"/>
      <c r="JW516" s="1008"/>
      <c r="JX516" s="1007"/>
      <c r="JY516" s="1008"/>
      <c r="JZ516" s="1007"/>
      <c r="KA516" s="1008"/>
      <c r="KB516" s="1007"/>
      <c r="KC516" s="1008"/>
      <c r="KD516" s="1007"/>
      <c r="KE516" s="1008"/>
      <c r="KF516" s="1007"/>
      <c r="KG516" s="1008"/>
      <c r="KH516" s="1007"/>
      <c r="KI516" s="1008"/>
      <c r="KJ516" s="1007"/>
      <c r="KK516" s="1008"/>
      <c r="KL516" s="1007"/>
      <c r="KM516" s="1008"/>
      <c r="KN516" s="1007"/>
      <c r="KO516" s="1008"/>
      <c r="KP516" s="1007"/>
      <c r="KQ516" s="1008"/>
      <c r="KR516" s="1007"/>
      <c r="KS516" s="1008"/>
      <c r="KT516" s="1007"/>
      <c r="KU516" s="1008"/>
      <c r="KV516" s="1007"/>
      <c r="KW516" s="1008"/>
      <c r="KX516" s="1007"/>
      <c r="KY516" s="1008"/>
      <c r="KZ516" s="1007"/>
      <c r="LA516" s="1008"/>
      <c r="LB516" s="1007"/>
      <c r="LC516" s="1008"/>
      <c r="LD516" s="1007"/>
      <c r="LE516" s="1008"/>
      <c r="LF516" s="1007"/>
      <c r="LG516" s="1008"/>
      <c r="LH516" s="1007"/>
      <c r="LI516" s="1008"/>
      <c r="LJ516" s="1007"/>
      <c r="LK516" s="1008"/>
      <c r="LL516" s="1007"/>
      <c r="LM516" s="1008"/>
      <c r="LN516" s="1007"/>
      <c r="LO516" s="1008"/>
      <c r="LP516" s="1007"/>
      <c r="LQ516" s="1008"/>
      <c r="LR516" s="1007"/>
      <c r="LS516" s="1008"/>
      <c r="LT516" s="1007"/>
      <c r="LU516" s="1008"/>
      <c r="LV516" s="1007"/>
      <c r="LW516" s="1008"/>
      <c r="LX516" s="1007"/>
      <c r="LY516" s="1009"/>
      <c r="LZ516" s="1010"/>
      <c r="MA516" s="1011"/>
      <c r="MB516" s="1012"/>
      <c r="MC516" s="995"/>
      <c r="MD516" s="996"/>
      <c r="ME516" s="997" t="s">
        <v>220</v>
      </c>
      <c r="MF516" s="997"/>
      <c r="MG516" s="998"/>
      <c r="MH516" s="878"/>
      <c r="MI516" s="878"/>
      <c r="MJ516" s="878"/>
      <c r="MK516" s="878"/>
      <c r="ML516" s="878"/>
      <c r="MM516" s="878"/>
      <c r="MN516" s="878"/>
      <c r="MO516" s="878"/>
      <c r="MP516" s="878"/>
      <c r="MQ516" s="878"/>
      <c r="MR516" s="878"/>
      <c r="MS516" s="878"/>
      <c r="MT516" s="878"/>
      <c r="MU516" s="878"/>
      <c r="MV516" s="878"/>
      <c r="MW516" s="878"/>
      <c r="MX516" s="878"/>
      <c r="MY516" s="878"/>
      <c r="MZ516" s="878"/>
      <c r="NA516" s="878"/>
      <c r="NB516" s="878"/>
      <c r="NC516" s="878"/>
      <c r="ND516" s="878"/>
      <c r="NE516" s="878"/>
      <c r="NF516" s="878"/>
      <c r="NG516" s="878"/>
      <c r="NH516" s="878"/>
      <c r="NI516" s="878"/>
      <c r="NJ516" s="878"/>
      <c r="NK516" s="878"/>
      <c r="NL516" s="878"/>
      <c r="NM516" s="878"/>
      <c r="NR516" s="1027"/>
      <c r="NS516" s="1027"/>
      <c r="NT516" s="1028"/>
      <c r="NU516" s="1027"/>
      <c r="NV516" s="1028"/>
      <c r="NW516" s="1029"/>
      <c r="NX516" s="1030"/>
      <c r="NY516" s="1029"/>
      <c r="NZ516" s="1028"/>
      <c r="OA516" s="1028"/>
      <c r="OB516" s="1029"/>
      <c r="OC516" s="1031"/>
      <c r="OD516" s="1031"/>
      <c r="OE516" s="1028"/>
      <c r="OF516" s="1031"/>
      <c r="OG516" s="1031"/>
      <c r="QX516" s="1000">
        <f>CN516-CA516</f>
        <v>32</v>
      </c>
      <c r="ASU516" s="1026" t="s">
        <v>208</v>
      </c>
    </row>
    <row r="517" spans="1:466 1191:1191" s="1029" customFormat="1" ht="21" customHeight="1" x14ac:dyDescent="0.25">
      <c r="A517" s="982">
        <f t="shared" si="372"/>
        <v>1614</v>
      </c>
      <c r="B517" s="124">
        <f>SUBTOTAL(103,$J$29:J517)</f>
        <v>489</v>
      </c>
      <c r="C517" s="126">
        <v>45068</v>
      </c>
      <c r="D517" s="124" t="s">
        <v>176</v>
      </c>
      <c r="E517" s="127" t="s">
        <v>177</v>
      </c>
      <c r="F517" s="128" t="s">
        <v>177</v>
      </c>
      <c r="G517" s="127" t="s">
        <v>178</v>
      </c>
      <c r="H517" s="127" t="s">
        <v>179</v>
      </c>
      <c r="I517" s="127" t="s">
        <v>1367</v>
      </c>
      <c r="J517" s="152">
        <v>1614</v>
      </c>
      <c r="K517" s="130" t="s">
        <v>1367</v>
      </c>
      <c r="L517" s="130">
        <v>44229</v>
      </c>
      <c r="M517" s="127" t="s">
        <v>230</v>
      </c>
      <c r="N517" s="127" t="s">
        <v>1368</v>
      </c>
      <c r="O517" s="127" t="s">
        <v>185</v>
      </c>
      <c r="P517" s="127" t="s">
        <v>186</v>
      </c>
      <c r="Q517" s="85" t="str">
        <f t="shared" si="423"/>
        <v/>
      </c>
      <c r="R517" s="130"/>
      <c r="S517" s="128"/>
      <c r="T517" s="131"/>
      <c r="U517" s="132">
        <v>203</v>
      </c>
      <c r="V517" s="121">
        <v>218.2</v>
      </c>
      <c r="W517" s="116">
        <v>0.98</v>
      </c>
      <c r="X517" s="116">
        <v>1.66</v>
      </c>
      <c r="Y517" s="116">
        <f t="shared" si="408"/>
        <v>1.0487364620938628</v>
      </c>
      <c r="Z517" s="133">
        <v>1.454</v>
      </c>
      <c r="AA517" s="133">
        <v>0.83599999999999997</v>
      </c>
      <c r="AB517" s="133">
        <v>0.72</v>
      </c>
      <c r="AC517" s="121">
        <v>34.299999999999997</v>
      </c>
      <c r="AD517" s="134">
        <v>1.17</v>
      </c>
      <c r="AE517" s="124" t="s">
        <v>1838</v>
      </c>
      <c r="AF517" s="128">
        <v>9.1999999999999993</v>
      </c>
      <c r="AG517" s="128">
        <v>2207</v>
      </c>
      <c r="AH517" s="127">
        <v>3086</v>
      </c>
      <c r="AI517" s="127">
        <v>3086</v>
      </c>
      <c r="AJ517" s="130">
        <v>44229</v>
      </c>
      <c r="AK517" s="128" t="s">
        <v>1018</v>
      </c>
      <c r="AL517" s="131"/>
      <c r="AM517" s="124" t="s">
        <v>232</v>
      </c>
      <c r="AN517" s="136" t="s">
        <v>1839</v>
      </c>
      <c r="AO517" s="137">
        <v>34.06</v>
      </c>
      <c r="AP517" s="128">
        <v>2207</v>
      </c>
      <c r="AQ517" s="128">
        <v>402.3</v>
      </c>
      <c r="AR517" s="128"/>
      <c r="AS517" s="128"/>
      <c r="AT517" s="122"/>
      <c r="AU517" s="124" t="s">
        <v>883</v>
      </c>
      <c r="AV517" s="115">
        <f>VLOOKUP(J517,'[63]ТР нефть'!$J$28:$BP$638,39,0)</f>
        <v>310</v>
      </c>
      <c r="AW517" s="115" t="str">
        <f>VLOOKUP(J517,'[63]ТР нефть'!$J$28:$BP$638,40,0)</f>
        <v>ГК 76 1/8</v>
      </c>
      <c r="AX517" s="115">
        <f>VLOOKUP(J517,'[63]ТР нефть'!$J$28:$BP$638,41,0)</f>
        <v>650</v>
      </c>
      <c r="AY517" s="115" t="str">
        <f>VLOOKUP(J517,'[63]ТР нефть'!$J$28:$BP$638,42,0)</f>
        <v>ГК 76 1/8</v>
      </c>
      <c r="AZ517" s="115">
        <f>VLOOKUP(J517,'[63]ТР нефть'!$J$28:$BP$638,43,0)</f>
        <v>940</v>
      </c>
      <c r="BA517" s="115" t="str">
        <f>VLOOKUP(J517,'[63]ТР нефть'!$J$28:$BP$638,44,0)</f>
        <v>ГК 76 1/8</v>
      </c>
      <c r="BB517" s="115">
        <f>VLOOKUP(J517,'[63]ТР нефть'!$J$28:$BP$638,45,0)</f>
        <v>1329</v>
      </c>
      <c r="BC517" s="115" t="str">
        <f>VLOOKUP(J517,'[63]ТР нефть'!$J$28:$BP$638,46,0)</f>
        <v>ГК 76 1/8</v>
      </c>
      <c r="BD517" s="115">
        <f>VLOOKUP(J517,'[63]ТР нефть'!$J$28:$BP$638,47,0)</f>
        <v>1631</v>
      </c>
      <c r="BE517" s="115" t="str">
        <f>VLOOKUP(J517,'[63]ТР нефть'!$J$28:$BP$638,48,0)</f>
        <v>ГК 76 5/32</v>
      </c>
      <c r="BF517" s="115">
        <f>VLOOKUP(J517,'[63]ТР нефть'!$J$28:$BP$638,49,0)</f>
        <v>1953</v>
      </c>
      <c r="BG517" s="115" t="str">
        <f>VLOOKUP(J517,'[63]ТР нефть'!$J$28:$BP$638,50,0)</f>
        <v>ЦКсОК 5/16</v>
      </c>
      <c r="BH517" s="115" t="str">
        <f>VLOOKUP(J517,'[63]ТР нефть'!$J$28:$BP$638,51,0)</f>
        <v>-</v>
      </c>
      <c r="BI517" s="115" t="str">
        <f>VLOOKUP(J517,'[63]ТР нефть'!$J$28:$BP$638,52,0)</f>
        <v>-</v>
      </c>
      <c r="BJ517" s="115" t="str">
        <f>IF(IFERROR(VLOOKUP(J517,'[63]ТР нефть'!$J$28:$BP$638,53,0),"-")=0,"-",IFERROR(VLOOKUP(J517,'[63]ТР нефть'!$J$28:$BP$638,53,0),"-"))</f>
        <v>-</v>
      </c>
      <c r="BK517" s="138" t="str">
        <f>IF(IFERROR(VLOOKUP(J517,'[63]ТР нефть'!$J$28:$BP$638,54,0),"-")=0,"-",IFERROR(VLOOKUP(J517,'[63]ТР нефть'!$J$28:$BP$638,54,0),"-"))</f>
        <v>ВНН2А</v>
      </c>
      <c r="BL517" s="138" t="str">
        <f>IF(IFERROR(VLOOKUP(J517,'[63]ТР нефть'!$J$28:$BP$638,55,0),"-")=0,"-",IFERROR(VLOOKUP(J517,'[63]ТР нефть'!$J$28:$BP$638,55,0),"-"))</f>
        <v>-</v>
      </c>
      <c r="BM517" s="138">
        <f>IF(IFERROR(VLOOKUP(J517,'[63]ТР нефть'!$J$28:$BP$638,56,0),"-")=0,"-",IFERROR(VLOOKUP(J517,'[63]ТР нефть'!$J$28:$BP$638,56,0),"-"))</f>
        <v>2250</v>
      </c>
      <c r="BN517" s="138">
        <f>IF(IFERROR(VLOOKUP(J517,'[63]ТР нефть'!$J$28:$BP$638,57,0),"-")=0,"-",IFERROR(VLOOKUP(J517,'[63]ТР нефть'!$J$28:$BP$638,57,0),"-"))</f>
        <v>173</v>
      </c>
      <c r="BO517" s="115" t="str">
        <f>IF(IFERROR(VLOOKUP(J517,'[63]ТР нефть'!$J$28:$BP$638,58,0),"-")=0,"-",IFERROR(VLOOKUP(J517,'[63]ТР нефть'!$J$28:$BP$638,58,0),"-"))</f>
        <v>-</v>
      </c>
      <c r="BP517" s="115" t="str">
        <f>IF(IFERROR(VLOOKUP(J517,'[63]ТР нефть'!$J$28:$BP$638,59,0),"-")=0,"-",IFERROR(VLOOKUP(J517,'[63]ТР нефть'!$J$28:$BP$638,59,0),"-"))</f>
        <v>-</v>
      </c>
      <c r="BQ517" s="138">
        <v>1867</v>
      </c>
      <c r="BR517" s="128">
        <v>1586</v>
      </c>
      <c r="BS517" s="115">
        <v>281</v>
      </c>
      <c r="BT517" s="128">
        <v>73</v>
      </c>
      <c r="BU517" s="128">
        <v>5.5</v>
      </c>
      <c r="BV517" s="127">
        <v>18</v>
      </c>
      <c r="BW517" s="127" t="s">
        <v>217</v>
      </c>
      <c r="BX517" s="127" t="s">
        <v>218</v>
      </c>
      <c r="BY517" s="139">
        <v>5</v>
      </c>
      <c r="BZ517" s="139">
        <v>19</v>
      </c>
      <c r="CA517" s="138">
        <v>42</v>
      </c>
      <c r="CB517" s="138">
        <v>44</v>
      </c>
      <c r="CC517" s="138">
        <v>41</v>
      </c>
      <c r="CD517" s="135">
        <v>45017</v>
      </c>
      <c r="CE517" s="138">
        <v>145</v>
      </c>
      <c r="CF517" s="138"/>
      <c r="CG517" s="138" t="str">
        <f t="shared" si="433"/>
        <v/>
      </c>
      <c r="CH517" s="138" t="s">
        <v>197</v>
      </c>
      <c r="CI517" s="127"/>
      <c r="CJ517" s="138"/>
      <c r="CK517" s="138">
        <f t="shared" si="432"/>
        <v>52.991940240000005</v>
      </c>
      <c r="CL517" s="99"/>
      <c r="CM517" s="127">
        <v>78</v>
      </c>
      <c r="CN517" s="154">
        <f>IF(CM517=0,0,(((AP517-AQ517-BR517)*((AD517*(CQ517/100))+(AB517*((100-CQ517)/100)))*9.81/100+CM517)))</f>
        <v>94.991940240000005</v>
      </c>
      <c r="CO517" s="141">
        <f t="shared" si="373"/>
        <v>3.86232</v>
      </c>
      <c r="CP517" s="142">
        <v>5.5</v>
      </c>
      <c r="CQ517" s="143">
        <v>16</v>
      </c>
      <c r="CR517" s="138">
        <v>3.9</v>
      </c>
      <c r="CS517" s="139"/>
      <c r="CT517" s="138"/>
      <c r="CU517" s="138">
        <f t="shared" si="418"/>
        <v>3.9</v>
      </c>
      <c r="CV517" s="115">
        <f t="shared" si="419"/>
        <v>1009.7557944447897</v>
      </c>
      <c r="CW517" s="115" t="str">
        <f t="shared" si="374"/>
        <v/>
      </c>
      <c r="CX517" s="133">
        <f t="shared" si="420"/>
        <v>0.10998227138576752</v>
      </c>
      <c r="CY517" s="116"/>
      <c r="CZ517" s="131"/>
      <c r="DA517" s="145" t="str">
        <f t="shared" si="375"/>
        <v>ЭЦН</v>
      </c>
      <c r="DB517" s="146">
        <f t="shared" si="390"/>
        <v>3.86232</v>
      </c>
      <c r="DC517" s="142">
        <f t="shared" si="402"/>
        <v>5.5</v>
      </c>
      <c r="DD517" s="119">
        <f t="shared" si="416"/>
        <v>16</v>
      </c>
      <c r="DE517" s="115">
        <f t="shared" si="392"/>
        <v>3.9</v>
      </c>
      <c r="DF517" s="121">
        <f t="shared" si="376"/>
        <v>0</v>
      </c>
      <c r="DG517" s="115">
        <f t="shared" si="377"/>
        <v>1009.7557944447897</v>
      </c>
      <c r="DH517" s="115">
        <f t="shared" si="378"/>
        <v>94.991940240000005</v>
      </c>
      <c r="DI517" s="147"/>
      <c r="DJ517" s="111"/>
      <c r="DK517" s="112">
        <v>44246</v>
      </c>
      <c r="DL517" s="113">
        <f t="shared" ca="1" si="424"/>
        <v>858</v>
      </c>
      <c r="DM517" s="114"/>
      <c r="DN517" s="114"/>
      <c r="DO517" s="114"/>
      <c r="DP517" s="114"/>
      <c r="DQ517" s="112"/>
      <c r="DR517" s="114"/>
      <c r="DS517" s="114"/>
      <c r="DT517" s="115">
        <v>60</v>
      </c>
      <c r="DU517" s="116">
        <f t="shared" si="425"/>
        <v>9.6050668297378253E-2</v>
      </c>
      <c r="DV517" s="117">
        <f t="shared" si="428"/>
        <v>5.7333028109378263</v>
      </c>
      <c r="DW517" s="118">
        <f t="shared" si="429"/>
        <v>8.1643068052771515</v>
      </c>
      <c r="DX517" s="119">
        <f t="shared" si="430"/>
        <v>16</v>
      </c>
      <c r="DY517" s="115">
        <f t="shared" si="431"/>
        <v>5.7892357346510703</v>
      </c>
      <c r="DZ517" s="117">
        <f t="shared" si="426"/>
        <v>1.8709828109378264</v>
      </c>
      <c r="EA517" s="120">
        <f t="shared" si="426"/>
        <v>2.6643068052771515</v>
      </c>
      <c r="EB517" s="119">
        <f t="shared" si="387"/>
        <v>0</v>
      </c>
      <c r="EC517" s="121">
        <f t="shared" si="415"/>
        <v>1.8892357346510704</v>
      </c>
      <c r="ED517" s="122"/>
      <c r="EE517" s="145">
        <v>18</v>
      </c>
      <c r="EF517" s="115">
        <v>41</v>
      </c>
      <c r="EG517" s="115">
        <v>41</v>
      </c>
      <c r="EH517" s="115">
        <v>40</v>
      </c>
      <c r="EI517" s="128" t="s">
        <v>218</v>
      </c>
      <c r="EJ517" s="121">
        <v>5</v>
      </c>
      <c r="EK517" s="121">
        <v>19</v>
      </c>
      <c r="EL517" s="149">
        <v>4.1942119999999994</v>
      </c>
      <c r="EM517" s="142">
        <v>5.8</v>
      </c>
      <c r="EN517" s="119">
        <v>13.5</v>
      </c>
      <c r="EO517" s="115">
        <v>3.9</v>
      </c>
      <c r="EP517" s="115">
        <v>929.8528543621544</v>
      </c>
      <c r="EQ517" s="115">
        <v>0</v>
      </c>
      <c r="ER517" s="115">
        <v>0</v>
      </c>
      <c r="ES517" s="115">
        <v>94.750577452500011</v>
      </c>
      <c r="ET517" s="150">
        <v>0.11542421198009492</v>
      </c>
      <c r="EU517" s="145">
        <f t="shared" si="400"/>
        <v>18</v>
      </c>
      <c r="EV517" s="115">
        <f t="shared" si="380"/>
        <v>42</v>
      </c>
      <c r="EW517" s="115">
        <f t="shared" si="380"/>
        <v>44</v>
      </c>
      <c r="EX517" s="115">
        <f t="shared" si="380"/>
        <v>41</v>
      </c>
      <c r="EY517" s="115" t="str">
        <f t="shared" si="434"/>
        <v>Периодический</v>
      </c>
      <c r="EZ517" s="115">
        <f t="shared" si="434"/>
        <v>5</v>
      </c>
      <c r="FA517" s="115">
        <f t="shared" si="434"/>
        <v>19</v>
      </c>
      <c r="FB517" s="149">
        <f t="shared" si="405"/>
        <v>3.86232</v>
      </c>
      <c r="FC517" s="142">
        <f t="shared" si="405"/>
        <v>5.5</v>
      </c>
      <c r="FD517" s="119">
        <f t="shared" si="405"/>
        <v>16</v>
      </c>
      <c r="FE517" s="121">
        <f t="shared" si="405"/>
        <v>3.9</v>
      </c>
      <c r="FF517" s="121">
        <f t="shared" si="407"/>
        <v>1009.7557944447897</v>
      </c>
      <c r="FG517" s="121">
        <f t="shared" si="381"/>
        <v>0</v>
      </c>
      <c r="FH517" s="121">
        <f t="shared" si="358"/>
        <v>0</v>
      </c>
      <c r="FI517" s="121">
        <f t="shared" si="427"/>
        <v>94.991940240000005</v>
      </c>
      <c r="FJ517" s="144">
        <f t="shared" si="382"/>
        <v>0.10998227138576752</v>
      </c>
      <c r="FK517" s="132">
        <f t="shared" si="383"/>
        <v>0</v>
      </c>
      <c r="FL517" s="115">
        <f t="shared" si="383"/>
        <v>1</v>
      </c>
      <c r="FM517" s="115">
        <f t="shared" si="383"/>
        <v>3</v>
      </c>
      <c r="FN517" s="115">
        <f t="shared" si="371"/>
        <v>1</v>
      </c>
      <c r="FO517" s="115">
        <f t="shared" si="403"/>
        <v>0</v>
      </c>
      <c r="FP517" s="115">
        <f t="shared" si="403"/>
        <v>0</v>
      </c>
      <c r="FQ517" s="149">
        <f t="shared" si="403"/>
        <v>-0.33189199999999941</v>
      </c>
      <c r="FR517" s="142">
        <f t="shared" si="403"/>
        <v>-0.29999999999999982</v>
      </c>
      <c r="FS517" s="119">
        <f t="shared" si="403"/>
        <v>2.5</v>
      </c>
      <c r="FT517" s="121">
        <f t="shared" si="403"/>
        <v>0</v>
      </c>
      <c r="FU517" s="121">
        <f t="shared" si="384"/>
        <v>0</v>
      </c>
      <c r="FV517" s="121">
        <f t="shared" si="384"/>
        <v>0</v>
      </c>
      <c r="FW517" s="121">
        <f t="shared" si="385"/>
        <v>79.902940082635268</v>
      </c>
      <c r="FX517" s="121">
        <f t="shared" si="386"/>
        <v>0.24136278749999462</v>
      </c>
      <c r="FY517" s="144">
        <f t="shared" si="386"/>
        <v>-5.4419405943273991E-3</v>
      </c>
      <c r="FZ517" s="145"/>
      <c r="GA517" s="151"/>
      <c r="GB517" s="145"/>
      <c r="GC517" s="151"/>
      <c r="GD517" s="997" t="s">
        <v>220</v>
      </c>
      <c r="GE517" s="1004"/>
      <c r="GF517" s="1004">
        <v>-0.59707120000000025</v>
      </c>
      <c r="GG517" s="1004"/>
      <c r="GH517" s="1004">
        <v>0.81526719999999964</v>
      </c>
      <c r="GI517" s="145"/>
      <c r="GJ517" s="996">
        <v>-3.6783999999998596E-2</v>
      </c>
      <c r="GK517" s="145"/>
      <c r="GL517" s="996">
        <v>0</v>
      </c>
      <c r="GM517" s="1005"/>
      <c r="GN517" s="996">
        <v>0</v>
      </c>
      <c r="GO517" s="1006"/>
      <c r="GP517" s="996">
        <v>1.2876071999997407E-2</v>
      </c>
      <c r="GQ517" s="1006" t="s">
        <v>308</v>
      </c>
      <c r="GR517" s="996">
        <v>3.1639239280000013</v>
      </c>
      <c r="GS517" s="1006"/>
      <c r="GT517" s="996">
        <v>0</v>
      </c>
      <c r="GU517" s="1006"/>
      <c r="GV517" s="996">
        <v>0</v>
      </c>
      <c r="GW517" s="1006"/>
      <c r="GX517" s="996">
        <v>0</v>
      </c>
      <c r="GY517" s="1006"/>
      <c r="GZ517" s="996">
        <v>0</v>
      </c>
      <c r="HA517" s="1006"/>
      <c r="HB517" s="996">
        <v>-0.53503999999999985</v>
      </c>
      <c r="HC517" s="1006"/>
      <c r="HD517" s="996">
        <v>0</v>
      </c>
      <c r="HE517" s="1006"/>
      <c r="HF517" s="996">
        <v>-2.8960000000000097E-2</v>
      </c>
      <c r="HG517" s="1006" t="s">
        <v>308</v>
      </c>
      <c r="HH517" s="996">
        <v>3.0729915391999993</v>
      </c>
      <c r="HI517" s="1006"/>
      <c r="HJ517" s="996">
        <v>0</v>
      </c>
      <c r="HK517" s="1006" t="s">
        <v>197</v>
      </c>
      <c r="HL517" s="996">
        <v>0</v>
      </c>
      <c r="HM517" s="1006"/>
      <c r="HN517" s="996">
        <v>0</v>
      </c>
      <c r="HO517" s="1006"/>
      <c r="HP517" s="996">
        <v>0</v>
      </c>
      <c r="HQ517" s="1006"/>
      <c r="HR517" s="996">
        <v>0</v>
      </c>
      <c r="HS517" s="1006"/>
      <c r="HT517" s="996">
        <v>0</v>
      </c>
      <c r="HU517" s="1006"/>
      <c r="HV517" s="996">
        <v>0</v>
      </c>
      <c r="HW517" s="1006" t="s">
        <v>199</v>
      </c>
      <c r="HX517" s="996">
        <v>-5.8792201599999991</v>
      </c>
      <c r="HY517" s="1006"/>
      <c r="HZ517" s="996">
        <v>0</v>
      </c>
      <c r="IA517" s="1006" t="s">
        <v>203</v>
      </c>
      <c r="IB517" s="996">
        <v>-2.5064450400000009</v>
      </c>
      <c r="IC517" s="1006"/>
      <c r="ID517" s="996">
        <v>0</v>
      </c>
      <c r="IE517" s="1006" t="s">
        <v>25</v>
      </c>
      <c r="IF517" s="996">
        <v>17.5816652</v>
      </c>
      <c r="IG517" s="1006"/>
      <c r="IH517" s="996">
        <v>0</v>
      </c>
      <c r="II517" s="1006"/>
      <c r="IJ517" s="996"/>
      <c r="IK517" s="1006"/>
      <c r="IL517" s="996"/>
      <c r="IM517" s="1006"/>
      <c r="IN517" s="996"/>
      <c r="IO517" s="1006"/>
      <c r="IP517" s="996"/>
      <c r="IQ517" s="1006"/>
      <c r="IR517" s="996"/>
      <c r="IS517" s="1006"/>
      <c r="IT517" s="996"/>
      <c r="IU517" s="1006"/>
      <c r="IV517" s="996"/>
      <c r="IW517" s="1006"/>
      <c r="IX517" s="996"/>
      <c r="IY517" s="1006"/>
      <c r="IZ517" s="996"/>
      <c r="JA517" s="1006"/>
      <c r="JB517" s="996"/>
      <c r="JC517" s="1006"/>
      <c r="JD517" s="996"/>
      <c r="JE517" s="1006"/>
      <c r="JF517" s="996"/>
      <c r="JG517" s="1006"/>
      <c r="JH517" s="996"/>
      <c r="JI517" s="1006"/>
      <c r="JJ517" s="996"/>
      <c r="JK517" s="1007"/>
      <c r="JL517" s="1007"/>
      <c r="JM517" s="1007"/>
      <c r="JN517" s="1007"/>
      <c r="JO517" s="1008"/>
      <c r="JP517" s="1007"/>
      <c r="JQ517" s="1008"/>
      <c r="JR517" s="1007"/>
      <c r="JS517" s="1008"/>
      <c r="JT517" s="1007"/>
      <c r="JU517" s="1008"/>
      <c r="JV517" s="1007"/>
      <c r="JW517" s="1008"/>
      <c r="JX517" s="1007"/>
      <c r="JY517" s="1008"/>
      <c r="JZ517" s="1007"/>
      <c r="KA517" s="1008"/>
      <c r="KB517" s="1007"/>
      <c r="KC517" s="1008"/>
      <c r="KD517" s="1007"/>
      <c r="KE517" s="1008"/>
      <c r="KF517" s="1007"/>
      <c r="KG517" s="1008"/>
      <c r="KH517" s="1007"/>
      <c r="KI517" s="1008"/>
      <c r="KJ517" s="1007"/>
      <c r="KK517" s="1008"/>
      <c r="KL517" s="1007"/>
      <c r="KM517" s="1008"/>
      <c r="KN517" s="1007"/>
      <c r="KO517" s="1008"/>
      <c r="KP517" s="1007"/>
      <c r="KQ517" s="1008"/>
      <c r="KR517" s="1007"/>
      <c r="KS517" s="1008"/>
      <c r="KT517" s="1007"/>
      <c r="KU517" s="1008"/>
      <c r="KV517" s="1007"/>
      <c r="KW517" s="1008"/>
      <c r="KX517" s="1007"/>
      <c r="KY517" s="1008"/>
      <c r="KZ517" s="1007"/>
      <c r="LA517" s="1008"/>
      <c r="LB517" s="1007"/>
      <c r="LC517" s="1008"/>
      <c r="LD517" s="1007"/>
      <c r="LE517" s="1008"/>
      <c r="LF517" s="1007"/>
      <c r="LG517" s="1008"/>
      <c r="LH517" s="1007"/>
      <c r="LI517" s="1008"/>
      <c r="LJ517" s="1007"/>
      <c r="LK517" s="1008"/>
      <c r="LL517" s="1007"/>
      <c r="LM517" s="1008"/>
      <c r="LN517" s="1007"/>
      <c r="LO517" s="1008"/>
      <c r="LP517" s="1007"/>
      <c r="LQ517" s="1008"/>
      <c r="LR517" s="1007"/>
      <c r="LS517" s="1008"/>
      <c r="LT517" s="1007"/>
      <c r="LU517" s="1008"/>
      <c r="LV517" s="1007"/>
      <c r="LW517" s="1008"/>
      <c r="LX517" s="1007"/>
      <c r="LY517" s="1009"/>
      <c r="LZ517" s="1010"/>
      <c r="MA517" s="1011"/>
      <c r="MB517" s="1012"/>
      <c r="MC517" s="995"/>
      <c r="MD517" s="996"/>
      <c r="ME517" s="997" t="s">
        <v>220</v>
      </c>
      <c r="MF517" s="997"/>
      <c r="MG517" s="998"/>
      <c r="MH517" s="878"/>
      <c r="MI517" s="878"/>
      <c r="MJ517" s="878"/>
      <c r="MK517" s="878"/>
      <c r="ML517" s="878"/>
      <c r="MM517" s="878"/>
      <c r="MN517" s="878"/>
      <c r="MO517" s="878"/>
      <c r="MP517" s="878"/>
      <c r="MQ517" s="878"/>
      <c r="MR517" s="878"/>
      <c r="MS517" s="878"/>
      <c r="MT517" s="878"/>
      <c r="MU517" s="878"/>
      <c r="MV517" s="878"/>
      <c r="MW517" s="878"/>
      <c r="MX517" s="878"/>
      <c r="MY517" s="878"/>
      <c r="MZ517" s="878"/>
      <c r="NA517" s="878"/>
      <c r="NB517" s="878"/>
      <c r="NC517" s="878"/>
      <c r="ND517" s="878"/>
      <c r="NE517" s="878"/>
      <c r="NF517" s="878"/>
      <c r="NG517" s="878"/>
      <c r="NH517" s="878"/>
      <c r="NI517" s="878"/>
      <c r="NJ517" s="878"/>
      <c r="NK517" s="878"/>
      <c r="NL517" s="878"/>
      <c r="NM517" s="878"/>
      <c r="NR517" s="1027"/>
      <c r="NS517" s="1027"/>
      <c r="NT517" s="1028"/>
      <c r="NU517" s="1027"/>
      <c r="NV517" s="1028"/>
      <c r="NX517" s="1030"/>
      <c r="NZ517" s="1028"/>
      <c r="OA517" s="1028"/>
      <c r="OC517" s="1031"/>
      <c r="OD517" s="1031"/>
      <c r="OE517" s="1028"/>
      <c r="OF517" s="1031"/>
      <c r="OG517" s="1031"/>
      <c r="QX517" s="1000">
        <f>CN517-CA517</f>
        <v>52.991940240000005</v>
      </c>
      <c r="ASU517" s="1029" t="s">
        <v>225</v>
      </c>
    </row>
    <row r="518" spans="1:466 1191:1191" s="1029" customFormat="1" ht="21" customHeight="1" x14ac:dyDescent="0.25">
      <c r="A518" s="982">
        <f t="shared" si="372"/>
        <v>1615</v>
      </c>
      <c r="B518" s="124">
        <f>SUBTOTAL(103,$J$29:J518)</f>
        <v>490</v>
      </c>
      <c r="C518" s="126">
        <v>45068</v>
      </c>
      <c r="D518" s="124" t="s">
        <v>176</v>
      </c>
      <c r="E518" s="127" t="s">
        <v>177</v>
      </c>
      <c r="F518" s="128" t="s">
        <v>177</v>
      </c>
      <c r="G518" s="127" t="s">
        <v>178</v>
      </c>
      <c r="H518" s="127" t="s">
        <v>179</v>
      </c>
      <c r="I518" s="127" t="s">
        <v>1367</v>
      </c>
      <c r="J518" s="152">
        <v>1615</v>
      </c>
      <c r="K518" s="130" t="s">
        <v>1367</v>
      </c>
      <c r="L518" s="130">
        <v>44279</v>
      </c>
      <c r="M518" s="127" t="s">
        <v>230</v>
      </c>
      <c r="N518" s="127" t="s">
        <v>1368</v>
      </c>
      <c r="O518" s="127" t="s">
        <v>185</v>
      </c>
      <c r="P518" s="127" t="s">
        <v>186</v>
      </c>
      <c r="Q518" s="85">
        <f t="shared" si="423"/>
        <v>-4</v>
      </c>
      <c r="R518" s="130">
        <v>44204</v>
      </c>
      <c r="S518" s="148" t="s">
        <v>1318</v>
      </c>
      <c r="T518" s="131" t="s">
        <v>1840</v>
      </c>
      <c r="U518" s="132">
        <v>203</v>
      </c>
      <c r="V518" s="121">
        <v>218.2</v>
      </c>
      <c r="W518" s="116">
        <v>0.98</v>
      </c>
      <c r="X518" s="116">
        <v>1.66</v>
      </c>
      <c r="Y518" s="116">
        <f t="shared" si="408"/>
        <v>0.98</v>
      </c>
      <c r="Z518" s="133">
        <v>1.454</v>
      </c>
      <c r="AA518" s="133">
        <v>0.83599999999999997</v>
      </c>
      <c r="AB518" s="133">
        <v>0.72</v>
      </c>
      <c r="AC518" s="121">
        <v>34.299999999999997</v>
      </c>
      <c r="AD518" s="134">
        <v>1.17</v>
      </c>
      <c r="AE518" s="124">
        <v>177.8</v>
      </c>
      <c r="AF518" s="128">
        <v>9.1999999999999993</v>
      </c>
      <c r="AG518" s="128">
        <v>2105</v>
      </c>
      <c r="AH518" s="127">
        <v>3260</v>
      </c>
      <c r="AI518" s="127">
        <v>3072</v>
      </c>
      <c r="AJ518" s="135">
        <v>44167</v>
      </c>
      <c r="AK518" s="128"/>
      <c r="AL518" s="131"/>
      <c r="AM518" s="124" t="s">
        <v>187</v>
      </c>
      <c r="AN518" s="136" t="s">
        <v>1841</v>
      </c>
      <c r="AO518" s="137">
        <v>46.25</v>
      </c>
      <c r="AP518" s="128">
        <v>2490.4699999999998</v>
      </c>
      <c r="AQ518" s="128">
        <v>605.46</v>
      </c>
      <c r="AR518" s="128" t="s">
        <v>1842</v>
      </c>
      <c r="AS518" s="128">
        <v>114.3</v>
      </c>
      <c r="AT518" s="122">
        <v>7.37</v>
      </c>
      <c r="AU518" s="124" t="s">
        <v>189</v>
      </c>
      <c r="AV518" s="115">
        <f>VLOOKUP(J518,'[63]ТР нефть'!$J$28:$BP$638,39,0)</f>
        <v>360.00001669900001</v>
      </c>
      <c r="AW518" s="115" t="str">
        <f>VLOOKUP(J518,'[63]ТР нефть'!$J$28:$BP$638,40,0)</f>
        <v>ГП</v>
      </c>
      <c r="AX518" s="115">
        <f>VLOOKUP(J518,'[63]ТР нефть'!$J$28:$BP$638,41,0)</f>
        <v>740.00000332000002</v>
      </c>
      <c r="AY518" s="115" t="str">
        <f>VLOOKUP(J518,'[63]ТР нефть'!$J$28:$BP$638,42,0)</f>
        <v>ГП</v>
      </c>
      <c r="AZ518" s="115">
        <f>VLOOKUP(J518,'[63]ТР нефть'!$J$28:$BP$638,43,0)</f>
        <v>1070.00002793</v>
      </c>
      <c r="BA518" s="115" t="str">
        <f>VLOOKUP(J518,'[63]ТР нефть'!$J$28:$BP$638,44,0)</f>
        <v>ГП</v>
      </c>
      <c r="BB518" s="115">
        <f>VLOOKUP(J518,'[63]ТР нефть'!$J$28:$BP$638,45,0)</f>
        <v>1330.000008984</v>
      </c>
      <c r="BC518" s="115" t="str">
        <f>VLOOKUP(J518,'[63]ТР нефть'!$J$28:$BP$638,46,0)</f>
        <v>ГК 76 1/8</v>
      </c>
      <c r="BD518" s="115">
        <f>VLOOKUP(J518,'[63]ТР нефть'!$J$28:$BP$638,47,0)</f>
        <v>1540.000065234</v>
      </c>
      <c r="BE518" s="115" t="str">
        <f>VLOOKUP(J518,'[63]ТР нефть'!$J$28:$BP$638,48,0)</f>
        <v>ГК 75 1/8</v>
      </c>
      <c r="BF518" s="115">
        <f>VLOOKUP(J518,'[63]ТР нефть'!$J$28:$BP$638,49,0)</f>
        <v>1890</v>
      </c>
      <c r="BG518" s="115" t="str">
        <f>VLOOKUP(J518,'[63]ТР нефть'!$J$28:$BP$638,50,0)</f>
        <v>ЦКсОК 5/16</v>
      </c>
      <c r="BH518" s="115" t="str">
        <f>VLOOKUP(J518,'[63]ТР нефть'!$J$28:$BP$638,51,0)</f>
        <v>-</v>
      </c>
      <c r="BI518" s="115" t="str">
        <f>VLOOKUP(J518,'[63]ТР нефть'!$J$28:$BP$638,52,0)</f>
        <v>-</v>
      </c>
      <c r="BJ518" s="115" t="str">
        <f>IF(IFERROR(VLOOKUP(J518,'[63]ТР нефть'!$J$28:$BP$638,53,0),"-")=0,"-",IFERROR(VLOOKUP(J518,'[63]ТР нефть'!$J$28:$BP$638,53,0),"-"))</f>
        <v>-</v>
      </c>
      <c r="BK518" s="138" t="str">
        <f>IF(IFERROR(VLOOKUP(J518,'[63]ТР нефть'!$J$28:$BP$638,54,0),"-")=0,"-",IFERROR(VLOOKUP(J518,'[63]ТР нефть'!$J$28:$BP$638,54,0),"-"))</f>
        <v>-</v>
      </c>
      <c r="BL518" s="138" t="str">
        <f>IF(IFERROR(VLOOKUP(J518,'[63]ТР нефть'!$J$28:$BP$638,55,0),"-")=0,"-",IFERROR(VLOOKUP(J518,'[63]ТР нефть'!$J$28:$BP$638,55,0),"-"))</f>
        <v>-</v>
      </c>
      <c r="BM518" s="138" t="str">
        <f>IF(IFERROR(VLOOKUP(J518,'[63]ТР нефть'!$J$28:$BP$638,56,0),"-")=0,"-",IFERROR(VLOOKUP(J518,'[63]ТР нефть'!$J$28:$BP$638,56,0),"-"))</f>
        <v>-</v>
      </c>
      <c r="BN518" s="138" t="str">
        <f>IF(IFERROR(VLOOKUP(J518,'[63]ТР нефть'!$J$28:$BP$638,57,0),"-")=0,"-",IFERROR(VLOOKUP(J518,'[63]ТР нефть'!$J$28:$BP$638,57,0),"-"))</f>
        <v>-</v>
      </c>
      <c r="BO518" s="115" t="str">
        <f>IF(IFERROR(VLOOKUP(J518,'[63]ТР нефть'!$J$28:$BP$638,58,0),"-")=0,"-",IFERROR(VLOOKUP(J518,'[63]ТР нефть'!$J$28:$BP$638,58,0),"-"))</f>
        <v>-</v>
      </c>
      <c r="BP518" s="115" t="str">
        <f>IF(IFERROR(VLOOKUP(J518,'[63]ТР нефть'!$J$28:$BP$638,59,0),"-")=0,"-",IFERROR(VLOOKUP(J518,'[63]ТР нефть'!$J$28:$BP$638,59,0),"-"))</f>
        <v>-</v>
      </c>
      <c r="BQ518" s="138">
        <v>3072</v>
      </c>
      <c r="BR518" s="128">
        <v>1838.76</v>
      </c>
      <c r="BS518" s="115">
        <f t="shared" ref="BS518:BS525" si="435">BQ518-BR518</f>
        <v>1233.24</v>
      </c>
      <c r="BT518" s="128">
        <v>73</v>
      </c>
      <c r="BU518" s="128">
        <v>5.5</v>
      </c>
      <c r="BV518" s="127">
        <v>18</v>
      </c>
      <c r="BW518" s="127" t="s">
        <v>217</v>
      </c>
      <c r="BX518" s="127" t="s">
        <v>195</v>
      </c>
      <c r="BY518" s="139">
        <v>24</v>
      </c>
      <c r="BZ518" s="139">
        <v>0</v>
      </c>
      <c r="CA518" s="138">
        <v>42</v>
      </c>
      <c r="CB518" s="138">
        <v>63</v>
      </c>
      <c r="CC518" s="138">
        <v>41</v>
      </c>
      <c r="CD518" s="135">
        <v>45017</v>
      </c>
      <c r="CE518" s="138">
        <v>131</v>
      </c>
      <c r="CF518" s="138">
        <v>64</v>
      </c>
      <c r="CG518" s="138" t="str">
        <f t="shared" si="433"/>
        <v/>
      </c>
      <c r="CH518" s="138" t="s">
        <v>197</v>
      </c>
      <c r="CI518" s="127"/>
      <c r="CJ518" s="138"/>
      <c r="CK518" s="138">
        <f t="shared" si="432"/>
        <v>32</v>
      </c>
      <c r="CL518" s="99"/>
      <c r="CM518" s="99"/>
      <c r="CN518" s="140">
        <v>74</v>
      </c>
      <c r="CO518" s="141">
        <f t="shared" si="373"/>
        <v>10.868</v>
      </c>
      <c r="CP518" s="142">
        <v>13</v>
      </c>
      <c r="CQ518" s="143">
        <v>0</v>
      </c>
      <c r="CR518" s="138">
        <v>24.5</v>
      </c>
      <c r="CS518" s="139">
        <v>5</v>
      </c>
      <c r="CT518" s="138"/>
      <c r="CU518" s="138">
        <f t="shared" si="418"/>
        <v>19.5</v>
      </c>
      <c r="CV518" s="115">
        <f t="shared" si="419"/>
        <v>1794.2583732057415</v>
      </c>
      <c r="CW518" s="115">
        <f t="shared" si="374"/>
        <v>460.06624953993378</v>
      </c>
      <c r="CX518" s="133">
        <f t="shared" si="420"/>
        <v>0.22807017543859648</v>
      </c>
      <c r="CY518" s="116"/>
      <c r="CZ518" s="131"/>
      <c r="DA518" s="145" t="str">
        <f t="shared" si="375"/>
        <v>Газлифт</v>
      </c>
      <c r="DB518" s="146">
        <f t="shared" si="390"/>
        <v>10.868</v>
      </c>
      <c r="DC518" s="142">
        <f t="shared" si="402"/>
        <v>13</v>
      </c>
      <c r="DD518" s="119">
        <f t="shared" si="416"/>
        <v>0</v>
      </c>
      <c r="DE518" s="115">
        <f t="shared" si="392"/>
        <v>19.5</v>
      </c>
      <c r="DF518" s="121">
        <f t="shared" si="376"/>
        <v>5</v>
      </c>
      <c r="DG518" s="115">
        <f t="shared" si="377"/>
        <v>1794.2583732057415</v>
      </c>
      <c r="DH518" s="115">
        <f t="shared" si="378"/>
        <v>74</v>
      </c>
      <c r="DI518" s="147"/>
      <c r="DJ518" s="111"/>
      <c r="DK518" s="112">
        <v>44229</v>
      </c>
      <c r="DL518" s="113">
        <f t="shared" ca="1" si="424"/>
        <v>875</v>
      </c>
      <c r="DM518" s="114"/>
      <c r="DN518" s="114"/>
      <c r="DO518" s="114"/>
      <c r="DP518" s="114"/>
      <c r="DQ518" s="112"/>
      <c r="DR518" s="114"/>
      <c r="DS518" s="114"/>
      <c r="DT518" s="115">
        <v>60</v>
      </c>
      <c r="DU518" s="116">
        <f t="shared" si="425"/>
        <v>0.21464017562307455</v>
      </c>
      <c r="DV518" s="117">
        <f t="shared" si="428"/>
        <v>12.740182264283213</v>
      </c>
      <c r="DW518" s="118">
        <f t="shared" si="429"/>
        <v>15.239452469238293</v>
      </c>
      <c r="DX518" s="119">
        <f t="shared" si="430"/>
        <v>0</v>
      </c>
      <c r="DY518" s="115">
        <f t="shared" si="431"/>
        <v>22.859178703857438</v>
      </c>
      <c r="DZ518" s="117">
        <f t="shared" si="426"/>
        <v>1.8721822642832127</v>
      </c>
      <c r="EA518" s="120">
        <f t="shared" si="426"/>
        <v>2.2394524692382927</v>
      </c>
      <c r="EB518" s="119">
        <f t="shared" si="387"/>
        <v>0</v>
      </c>
      <c r="EC518" s="121">
        <f t="shared" si="415"/>
        <v>3.3591787038574381</v>
      </c>
      <c r="ED518" s="122"/>
      <c r="EE518" s="145">
        <v>18</v>
      </c>
      <c r="EF518" s="115">
        <v>42</v>
      </c>
      <c r="EG518" s="115">
        <v>60</v>
      </c>
      <c r="EH518" s="115">
        <v>41</v>
      </c>
      <c r="EI518" s="128" t="s">
        <v>195</v>
      </c>
      <c r="EJ518" s="121">
        <v>24</v>
      </c>
      <c r="EK518" s="121">
        <v>0</v>
      </c>
      <c r="EL518" s="149">
        <v>10.868</v>
      </c>
      <c r="EM518" s="142">
        <v>13</v>
      </c>
      <c r="EN518" s="119">
        <v>0</v>
      </c>
      <c r="EO518" s="115">
        <v>24.5</v>
      </c>
      <c r="EP518" s="115">
        <v>1794.2583732057415</v>
      </c>
      <c r="EQ518" s="115">
        <v>64</v>
      </c>
      <c r="ER518" s="115">
        <v>5</v>
      </c>
      <c r="ES518" s="115">
        <v>74</v>
      </c>
      <c r="ET518" s="150">
        <v>0.22807017543859648</v>
      </c>
      <c r="EU518" s="145">
        <f t="shared" si="400"/>
        <v>18</v>
      </c>
      <c r="EV518" s="115">
        <f t="shared" si="380"/>
        <v>42</v>
      </c>
      <c r="EW518" s="115">
        <f t="shared" si="380"/>
        <v>63</v>
      </c>
      <c r="EX518" s="115">
        <f t="shared" si="380"/>
        <v>41</v>
      </c>
      <c r="EY518" s="115" t="str">
        <f t="shared" si="434"/>
        <v>Постоянный</v>
      </c>
      <c r="EZ518" s="115">
        <f t="shared" si="434"/>
        <v>24</v>
      </c>
      <c r="FA518" s="115">
        <f t="shared" si="434"/>
        <v>0</v>
      </c>
      <c r="FB518" s="149">
        <f t="shared" si="405"/>
        <v>10.868</v>
      </c>
      <c r="FC518" s="142">
        <f t="shared" si="405"/>
        <v>13</v>
      </c>
      <c r="FD518" s="119">
        <f t="shared" si="405"/>
        <v>0</v>
      </c>
      <c r="FE518" s="121">
        <f t="shared" si="405"/>
        <v>24.5</v>
      </c>
      <c r="FF518" s="121">
        <f t="shared" si="407"/>
        <v>1794.2583732057415</v>
      </c>
      <c r="FG518" s="121">
        <f t="shared" si="381"/>
        <v>64</v>
      </c>
      <c r="FH518" s="121">
        <f t="shared" si="358"/>
        <v>5</v>
      </c>
      <c r="FI518" s="121">
        <f t="shared" si="427"/>
        <v>74</v>
      </c>
      <c r="FJ518" s="144">
        <f t="shared" si="382"/>
        <v>0.22807017543859648</v>
      </c>
      <c r="FK518" s="132">
        <f t="shared" si="383"/>
        <v>0</v>
      </c>
      <c r="FL518" s="115">
        <f t="shared" si="383"/>
        <v>0</v>
      </c>
      <c r="FM518" s="115">
        <f t="shared" si="383"/>
        <v>3</v>
      </c>
      <c r="FN518" s="115">
        <f t="shared" si="371"/>
        <v>0</v>
      </c>
      <c r="FO518" s="115">
        <f t="shared" si="403"/>
        <v>0</v>
      </c>
      <c r="FP518" s="115">
        <f t="shared" si="403"/>
        <v>0</v>
      </c>
      <c r="FQ518" s="149">
        <f t="shared" si="403"/>
        <v>0</v>
      </c>
      <c r="FR518" s="142">
        <f t="shared" si="403"/>
        <v>0</v>
      </c>
      <c r="FS518" s="119">
        <f t="shared" si="403"/>
        <v>0</v>
      </c>
      <c r="FT518" s="121">
        <f t="shared" si="403"/>
        <v>0</v>
      </c>
      <c r="FU518" s="121">
        <f t="shared" si="384"/>
        <v>0</v>
      </c>
      <c r="FV518" s="121">
        <f t="shared" si="384"/>
        <v>0</v>
      </c>
      <c r="FW518" s="121">
        <f t="shared" si="385"/>
        <v>0</v>
      </c>
      <c r="FX518" s="121">
        <f t="shared" si="386"/>
        <v>0</v>
      </c>
      <c r="FY518" s="144">
        <f t="shared" si="386"/>
        <v>0</v>
      </c>
      <c r="FZ518" s="145"/>
      <c r="GA518" s="151"/>
      <c r="GB518" s="145" t="s">
        <v>199</v>
      </c>
      <c r="GC518" s="151" t="s">
        <v>1093</v>
      </c>
      <c r="GD518" s="997" t="s">
        <v>220</v>
      </c>
      <c r="GE518" s="1004" t="s">
        <v>199</v>
      </c>
      <c r="GF518" s="1004">
        <v>-2.7396171439999986</v>
      </c>
      <c r="GG518" s="1004"/>
      <c r="GH518" s="1004">
        <v>0</v>
      </c>
      <c r="GI518" s="145"/>
      <c r="GJ518" s="996">
        <v>0</v>
      </c>
      <c r="GK518" s="145"/>
      <c r="GL518" s="996">
        <v>0</v>
      </c>
      <c r="GM518" s="1005"/>
      <c r="GN518" s="996">
        <v>0</v>
      </c>
      <c r="GO518" s="1006"/>
      <c r="GP518" s="996">
        <v>0</v>
      </c>
      <c r="GQ518" s="1006"/>
      <c r="GR518" s="996">
        <v>0</v>
      </c>
      <c r="GS518" s="1006" t="s">
        <v>204</v>
      </c>
      <c r="GT518" s="996">
        <v>3.0965891440000011</v>
      </c>
      <c r="GU518" s="1006"/>
      <c r="GV518" s="996">
        <v>0</v>
      </c>
      <c r="GW518" s="1006"/>
      <c r="GX518" s="996">
        <v>0</v>
      </c>
      <c r="GY518" s="1006" t="s">
        <v>223</v>
      </c>
      <c r="GZ518" s="996">
        <v>-3.4707376000000014</v>
      </c>
      <c r="HA518" s="1006"/>
      <c r="HB518" s="996">
        <v>0</v>
      </c>
      <c r="HC518" s="1006" t="s">
        <v>223</v>
      </c>
      <c r="HD518" s="996">
        <v>-3.5523625500000016</v>
      </c>
      <c r="HE518" s="1006" t="s">
        <v>221</v>
      </c>
      <c r="HF518" s="996">
        <v>7.4000625820000003</v>
      </c>
      <c r="HG518" s="1006"/>
      <c r="HH518" s="996">
        <v>-0.59175156479999913</v>
      </c>
      <c r="HI518" s="1006" t="s">
        <v>199</v>
      </c>
      <c r="HJ518" s="996">
        <v>-1.9842871312000003</v>
      </c>
      <c r="HK518" s="1006"/>
      <c r="HL518" s="996">
        <v>-9.8746648000000548E-2</v>
      </c>
      <c r="HM518" s="1006" t="s">
        <v>435</v>
      </c>
      <c r="HN518" s="996">
        <v>-6.4893730879999971</v>
      </c>
      <c r="HO518" s="1006" t="s">
        <v>203</v>
      </c>
      <c r="HP518" s="996">
        <v>-2.0795500000000011</v>
      </c>
      <c r="HQ518" s="1006"/>
      <c r="HR518" s="996">
        <v>-0.74860456000000042</v>
      </c>
      <c r="HS518" s="1006" t="s">
        <v>203</v>
      </c>
      <c r="HT518" s="996">
        <v>-2.744939119999998</v>
      </c>
      <c r="HU518" s="1006" t="s">
        <v>199</v>
      </c>
      <c r="HV518" s="996">
        <v>-4.330162320000003</v>
      </c>
      <c r="HW518" s="1006" t="s">
        <v>199</v>
      </c>
      <c r="HX518" s="996">
        <v>-7.7342205600000007</v>
      </c>
      <c r="HY518" s="1006"/>
      <c r="HZ518" s="996">
        <v>-3.7009720000000357E-2</v>
      </c>
      <c r="IA518" s="1006" t="s">
        <v>199</v>
      </c>
      <c r="IB518" s="996">
        <v>10.338637276</v>
      </c>
      <c r="IC518" s="1006"/>
      <c r="ID518" s="996">
        <v>0</v>
      </c>
      <c r="IE518" s="1006"/>
      <c r="IF518" s="996">
        <v>-0.15794306395999769</v>
      </c>
      <c r="IG518" s="1006" t="s">
        <v>25</v>
      </c>
      <c r="IH518" s="996">
        <v>26.792016067959999</v>
      </c>
      <c r="II518" s="1006"/>
      <c r="IJ518" s="996"/>
      <c r="IK518" s="1006"/>
      <c r="IL518" s="996"/>
      <c r="IM518" s="1006"/>
      <c r="IN518" s="996"/>
      <c r="IO518" s="1006"/>
      <c r="IP518" s="996"/>
      <c r="IQ518" s="1006"/>
      <c r="IR518" s="996"/>
      <c r="IS518" s="1006"/>
      <c r="IT518" s="996"/>
      <c r="IU518" s="1006"/>
      <c r="IV518" s="996"/>
      <c r="IW518" s="1006"/>
      <c r="IX518" s="996"/>
      <c r="IY518" s="1006"/>
      <c r="IZ518" s="996"/>
      <c r="JA518" s="1006"/>
      <c r="JB518" s="996"/>
      <c r="JC518" s="1006"/>
      <c r="JD518" s="996"/>
      <c r="JE518" s="1006"/>
      <c r="JF518" s="996"/>
      <c r="JG518" s="1006"/>
      <c r="JH518" s="996"/>
      <c r="JI518" s="1006"/>
      <c r="JJ518" s="996"/>
      <c r="JK518" s="1007"/>
      <c r="JL518" s="1007"/>
      <c r="JM518" s="1007"/>
      <c r="JN518" s="1007"/>
      <c r="JO518" s="1008"/>
      <c r="JP518" s="1007"/>
      <c r="JQ518" s="1008"/>
      <c r="JR518" s="1007"/>
      <c r="JS518" s="1008"/>
      <c r="JT518" s="1007"/>
      <c r="JU518" s="1008"/>
      <c r="JV518" s="1007"/>
      <c r="JW518" s="1008"/>
      <c r="JX518" s="1007"/>
      <c r="JY518" s="1008"/>
      <c r="JZ518" s="1007"/>
      <c r="KA518" s="1008"/>
      <c r="KB518" s="1007"/>
      <c r="KC518" s="1008"/>
      <c r="KD518" s="1007"/>
      <c r="KE518" s="1008"/>
      <c r="KF518" s="1007"/>
      <c r="KG518" s="1008"/>
      <c r="KH518" s="1007"/>
      <c r="KI518" s="1008"/>
      <c r="KJ518" s="1007"/>
      <c r="KK518" s="1008"/>
      <c r="KL518" s="1007"/>
      <c r="KM518" s="1008"/>
      <c r="KN518" s="1007"/>
      <c r="KO518" s="1008"/>
      <c r="KP518" s="1007"/>
      <c r="KQ518" s="1008"/>
      <c r="KR518" s="1007"/>
      <c r="KS518" s="1008"/>
      <c r="KT518" s="1007"/>
      <c r="KU518" s="1008"/>
      <c r="KV518" s="1007"/>
      <c r="KW518" s="1008"/>
      <c r="KX518" s="1007"/>
      <c r="KY518" s="1008"/>
      <c r="KZ518" s="1007"/>
      <c r="LA518" s="1008"/>
      <c r="LB518" s="1007"/>
      <c r="LC518" s="1008"/>
      <c r="LD518" s="1007"/>
      <c r="LE518" s="1008"/>
      <c r="LF518" s="1007"/>
      <c r="LG518" s="1008"/>
      <c r="LH518" s="1007"/>
      <c r="LI518" s="1008"/>
      <c r="LJ518" s="1007"/>
      <c r="LK518" s="1008"/>
      <c r="LL518" s="1007"/>
      <c r="LM518" s="1008"/>
      <c r="LN518" s="1007"/>
      <c r="LO518" s="1008"/>
      <c r="LP518" s="1007"/>
      <c r="LQ518" s="1008"/>
      <c r="LR518" s="1007"/>
      <c r="LS518" s="1008"/>
      <c r="LT518" s="1007"/>
      <c r="LU518" s="1008"/>
      <c r="LV518" s="1007"/>
      <c r="LW518" s="1008"/>
      <c r="LX518" s="1007"/>
      <c r="LY518" s="1009"/>
      <c r="LZ518" s="1010"/>
      <c r="MA518" s="1011"/>
      <c r="MB518" s="1012"/>
      <c r="MC518" s="995"/>
      <c r="MD518" s="996"/>
      <c r="ME518" s="997" t="s">
        <v>220</v>
      </c>
      <c r="MF518" s="997"/>
      <c r="MG518" s="998"/>
      <c r="MH518" s="878"/>
      <c r="MI518" s="878"/>
      <c r="MJ518" s="878"/>
      <c r="MK518" s="878"/>
      <c r="ML518" s="878"/>
      <c r="MM518" s="878"/>
      <c r="MN518" s="878"/>
      <c r="MO518" s="878"/>
      <c r="MP518" s="878"/>
      <c r="MQ518" s="878"/>
      <c r="MR518" s="878"/>
      <c r="MS518" s="878"/>
      <c r="MT518" s="878"/>
      <c r="MU518" s="878"/>
      <c r="MV518" s="878"/>
      <c r="MW518" s="878"/>
      <c r="MX518" s="878"/>
      <c r="MY518" s="878"/>
      <c r="MZ518" s="878"/>
      <c r="NA518" s="878"/>
      <c r="NB518" s="878"/>
      <c r="NC518" s="878"/>
      <c r="ND518" s="878"/>
      <c r="NE518" s="878"/>
      <c r="NF518" s="878"/>
      <c r="NG518" s="878"/>
      <c r="NH518" s="878"/>
      <c r="NI518" s="878"/>
      <c r="NJ518" s="878"/>
      <c r="NK518" s="878"/>
      <c r="NL518" s="878"/>
      <c r="NM518" s="878"/>
      <c r="NR518" s="1027"/>
      <c r="NS518" s="1027"/>
      <c r="NT518" s="1028"/>
      <c r="NU518" s="1027"/>
      <c r="NV518" s="1028"/>
      <c r="NX518" s="1030"/>
      <c r="NZ518" s="1028"/>
      <c r="OA518" s="1028"/>
      <c r="OC518" s="1031"/>
      <c r="OD518" s="1031"/>
      <c r="OE518" s="1028"/>
      <c r="OF518" s="1031"/>
      <c r="OG518" s="1031"/>
      <c r="QX518" s="1000">
        <f>CN518-CA518</f>
        <v>32</v>
      </c>
      <c r="ASU518" s="1029" t="s">
        <v>208</v>
      </c>
    </row>
    <row r="519" spans="1:466 1191:1191" s="1029" customFormat="1" ht="21" customHeight="1" x14ac:dyDescent="0.25">
      <c r="A519" s="982">
        <f t="shared" si="372"/>
        <v>1617</v>
      </c>
      <c r="B519" s="124">
        <f>SUBTOTAL(103,$J$29:J519)</f>
        <v>491</v>
      </c>
      <c r="C519" s="126">
        <v>45068</v>
      </c>
      <c r="D519" s="124" t="s">
        <v>176</v>
      </c>
      <c r="E519" s="127" t="s">
        <v>177</v>
      </c>
      <c r="F519" s="128" t="s">
        <v>177</v>
      </c>
      <c r="G519" s="127" t="s">
        <v>178</v>
      </c>
      <c r="H519" s="127" t="s">
        <v>179</v>
      </c>
      <c r="I519" s="127" t="s">
        <v>1456</v>
      </c>
      <c r="J519" s="152">
        <v>1617</v>
      </c>
      <c r="K519" s="130" t="s">
        <v>1456</v>
      </c>
      <c r="L519" s="130">
        <v>43304</v>
      </c>
      <c r="M519" s="127" t="s">
        <v>230</v>
      </c>
      <c r="N519" s="127" t="s">
        <v>245</v>
      </c>
      <c r="O519" s="127" t="s">
        <v>185</v>
      </c>
      <c r="P519" s="127" t="s">
        <v>186</v>
      </c>
      <c r="Q519" s="85">
        <f t="shared" si="423"/>
        <v>-4</v>
      </c>
      <c r="R519" s="130">
        <v>44227</v>
      </c>
      <c r="S519" s="148" t="s">
        <v>1318</v>
      </c>
      <c r="T519" s="131" t="s">
        <v>1843</v>
      </c>
      <c r="U519" s="132">
        <v>203</v>
      </c>
      <c r="V519" s="121">
        <v>218.2</v>
      </c>
      <c r="W519" s="116">
        <v>0.98</v>
      </c>
      <c r="X519" s="116">
        <v>1.66</v>
      </c>
      <c r="Y519" s="116">
        <f t="shared" si="408"/>
        <v>1.2452541334966318</v>
      </c>
      <c r="Z519" s="133">
        <v>1.454</v>
      </c>
      <c r="AA519" s="133">
        <v>0.83599999999999997</v>
      </c>
      <c r="AB519" s="133">
        <v>0.72</v>
      </c>
      <c r="AC519" s="121">
        <v>34.299999999999997</v>
      </c>
      <c r="AD519" s="134">
        <v>1.17</v>
      </c>
      <c r="AE519" s="124">
        <v>177.8</v>
      </c>
      <c r="AF519" s="128">
        <v>9.1999999999999993</v>
      </c>
      <c r="AG519" s="128">
        <v>2177</v>
      </c>
      <c r="AH519" s="127">
        <v>2785</v>
      </c>
      <c r="AI519" s="127">
        <v>2785</v>
      </c>
      <c r="AJ519" s="135">
        <v>44021</v>
      </c>
      <c r="AK519" s="128"/>
      <c r="AL519" s="131"/>
      <c r="AM519" s="124" t="s">
        <v>985</v>
      </c>
      <c r="AN519" s="136" t="s">
        <v>1844</v>
      </c>
      <c r="AO519" s="137">
        <v>26.74</v>
      </c>
      <c r="AP519" s="128">
        <v>2240.25</v>
      </c>
      <c r="AQ519" s="128">
        <v>233.7</v>
      </c>
      <c r="AR519" s="128" t="s">
        <v>1845</v>
      </c>
      <c r="AS519" s="128">
        <v>114.3</v>
      </c>
      <c r="AT519" s="122">
        <v>7.37</v>
      </c>
      <c r="AU519" s="124" t="s">
        <v>189</v>
      </c>
      <c r="AV519" s="115">
        <f>VLOOKUP(J519,'[63]ТР нефть'!$J$28:$BP$638,39,0)</f>
        <v>677.99999238299995</v>
      </c>
      <c r="AW519" s="115" t="str">
        <f>VLOOKUP(J519,'[63]ТР нефть'!$J$28:$BP$638,40,0)</f>
        <v>ГП</v>
      </c>
      <c r="AX519" s="115">
        <f>VLOOKUP(J519,'[63]ТР нефть'!$J$28:$BP$638,41,0)</f>
        <v>1253</v>
      </c>
      <c r="AY519" s="115" t="str">
        <f>VLOOKUP(J519,'[63]ТР нефть'!$J$28:$BP$638,42,0)</f>
        <v>ГК 90 1/8</v>
      </c>
      <c r="AZ519" s="115">
        <f>VLOOKUP(J519,'[63]ТР нефть'!$J$28:$BP$638,43,0)</f>
        <v>1679.2000523439999</v>
      </c>
      <c r="BA519" s="115" t="str">
        <f>VLOOKUP(J519,'[63]ТР нефть'!$J$28:$BP$638,44,0)</f>
        <v>ГК 90 1/8</v>
      </c>
      <c r="BB519" s="115">
        <f>VLOOKUP(J519,'[63]ТР нефть'!$J$28:$BP$638,45,0)</f>
        <v>1981.999951172</v>
      </c>
      <c r="BC519" s="115" t="str">
        <f>VLOOKUP(J519,'[63]ТР нефть'!$J$28:$BP$638,46,0)</f>
        <v>ЦКсОК 5/16</v>
      </c>
      <c r="BD519" s="115" t="str">
        <f>VLOOKUP(J519,'[63]ТР нефть'!$J$28:$BP$638,47,0)</f>
        <v>-</v>
      </c>
      <c r="BE519" s="115" t="str">
        <f>VLOOKUP(J519,'[63]ТР нефть'!$J$28:$BP$638,48,0)</f>
        <v>-</v>
      </c>
      <c r="BF519" s="115" t="str">
        <f>VLOOKUP(J519,'[63]ТР нефть'!$J$28:$BP$638,49,0)</f>
        <v>-</v>
      </c>
      <c r="BG519" s="115" t="str">
        <f>VLOOKUP(J519,'[63]ТР нефть'!$J$28:$BP$638,50,0)</f>
        <v>-</v>
      </c>
      <c r="BH519" s="115" t="str">
        <f>VLOOKUP(J519,'[63]ТР нефть'!$J$28:$BP$638,51,0)</f>
        <v>-</v>
      </c>
      <c r="BI519" s="115" t="str">
        <f>VLOOKUP(J519,'[63]ТР нефть'!$J$28:$BP$638,52,0)</f>
        <v>-</v>
      </c>
      <c r="BJ519" s="115" t="str">
        <f>IF(IFERROR(VLOOKUP(J519,'[63]ТР нефть'!$J$28:$BP$638,53,0),"-")=0,"-",IFERROR(VLOOKUP(J519,'[63]ТР нефть'!$J$28:$BP$638,53,0),"-"))</f>
        <v>-</v>
      </c>
      <c r="BK519" s="138" t="str">
        <f>IF(IFERROR(VLOOKUP(J519,'[63]ТР нефть'!$J$28:$BP$638,54,0),"-")=0,"-",IFERROR(VLOOKUP(J519,'[63]ТР нефть'!$J$28:$BP$638,54,0),"-"))</f>
        <v>-</v>
      </c>
      <c r="BL519" s="138" t="str">
        <f>IF(IFERROR(VLOOKUP(J519,'[63]ТР нефть'!$J$28:$BP$638,55,0),"-")=0,"-",IFERROR(VLOOKUP(J519,'[63]ТР нефть'!$J$28:$BP$638,55,0),"-"))</f>
        <v>-</v>
      </c>
      <c r="BM519" s="138" t="str">
        <f>IF(IFERROR(VLOOKUP(J519,'[63]ТР нефть'!$J$28:$BP$638,56,0),"-")=0,"-",IFERROR(VLOOKUP(J519,'[63]ТР нефть'!$J$28:$BP$638,56,0),"-"))</f>
        <v>-</v>
      </c>
      <c r="BN519" s="138" t="str">
        <f>IF(IFERROR(VLOOKUP(J519,'[63]ТР нефть'!$J$28:$BP$638,57,0),"-")=0,"-",IFERROR(VLOOKUP(J519,'[63]ТР нефть'!$J$28:$BP$638,57,0),"-"))</f>
        <v>-</v>
      </c>
      <c r="BO519" s="115" t="str">
        <f>IF(IFERROR(VLOOKUP(J519,'[63]ТР нефть'!$J$28:$BP$638,58,0),"-")=0,"-",IFERROR(VLOOKUP(J519,'[63]ТР нефть'!$J$28:$BP$638,58,0),"-"))</f>
        <v>-</v>
      </c>
      <c r="BP519" s="115" t="str">
        <f>IF(IFERROR(VLOOKUP(J519,'[63]ТР нефть'!$J$28:$BP$638,59,0),"-")=0,"-",IFERROR(VLOOKUP(J519,'[63]ТР нефть'!$J$28:$BP$638,59,0),"-"))</f>
        <v>-</v>
      </c>
      <c r="BQ519" s="138">
        <v>2718</v>
      </c>
      <c r="BR519" s="128">
        <v>1980.01</v>
      </c>
      <c r="BS519" s="115">
        <f t="shared" si="435"/>
        <v>737.99</v>
      </c>
      <c r="BT519" s="128">
        <v>73</v>
      </c>
      <c r="BU519" s="128">
        <v>5.5</v>
      </c>
      <c r="BV519" s="127">
        <v>18</v>
      </c>
      <c r="BW519" s="127" t="s">
        <v>217</v>
      </c>
      <c r="BX519" s="127" t="s">
        <v>195</v>
      </c>
      <c r="BY519" s="139">
        <v>24</v>
      </c>
      <c r="BZ519" s="139">
        <v>0</v>
      </c>
      <c r="CA519" s="138">
        <v>26</v>
      </c>
      <c r="CB519" s="138">
        <v>54</v>
      </c>
      <c r="CC519" s="138">
        <v>17</v>
      </c>
      <c r="CD519" s="135">
        <v>45017</v>
      </c>
      <c r="CE519" s="138">
        <v>136</v>
      </c>
      <c r="CF519" s="138">
        <v>84</v>
      </c>
      <c r="CG519" s="138" t="str">
        <f t="shared" si="433"/>
        <v>В работе</v>
      </c>
      <c r="CH519" s="138" t="s">
        <v>235</v>
      </c>
      <c r="CI519" s="127">
        <v>5</v>
      </c>
      <c r="CJ519" s="138"/>
      <c r="CK519" s="138">
        <f t="shared" si="432"/>
        <v>38</v>
      </c>
      <c r="CL519" s="99"/>
      <c r="CM519" s="99"/>
      <c r="CN519" s="140">
        <v>64</v>
      </c>
      <c r="CO519" s="141">
        <f t="shared" si="373"/>
        <v>4.6147199999999993</v>
      </c>
      <c r="CP519" s="142">
        <v>11.5</v>
      </c>
      <c r="CQ519" s="143">
        <v>52</v>
      </c>
      <c r="CR519" s="138">
        <v>19</v>
      </c>
      <c r="CS519" s="139">
        <v>13.8</v>
      </c>
      <c r="CT519" s="138"/>
      <c r="CU519" s="138">
        <f t="shared" si="418"/>
        <v>5.1999999999999993</v>
      </c>
      <c r="CV519" s="115">
        <f t="shared" si="419"/>
        <v>1126.8289300325914</v>
      </c>
      <c r="CW519" s="115">
        <f t="shared" si="374"/>
        <v>1195.8861516383643</v>
      </c>
      <c r="CX519" s="133">
        <f t="shared" si="420"/>
        <v>0.15972222222222221</v>
      </c>
      <c r="CY519" s="116"/>
      <c r="CZ519" s="131"/>
      <c r="DA519" s="145" t="str">
        <f t="shared" si="375"/>
        <v>Газлифт</v>
      </c>
      <c r="DB519" s="146">
        <f t="shared" si="390"/>
        <v>4.6147199999999993</v>
      </c>
      <c r="DC519" s="142">
        <f t="shared" si="402"/>
        <v>11.5</v>
      </c>
      <c r="DD519" s="119">
        <f t="shared" si="416"/>
        <v>52</v>
      </c>
      <c r="DE519" s="115">
        <f t="shared" si="392"/>
        <v>5.1999999999999993</v>
      </c>
      <c r="DF519" s="121">
        <f t="shared" si="376"/>
        <v>13.8</v>
      </c>
      <c r="DG519" s="115">
        <f t="shared" si="377"/>
        <v>1126.8289300325914</v>
      </c>
      <c r="DH519" s="115">
        <f t="shared" si="378"/>
        <v>64</v>
      </c>
      <c r="DI519" s="147"/>
      <c r="DJ519" s="111"/>
      <c r="DK519" s="112">
        <v>44279</v>
      </c>
      <c r="DL519" s="113">
        <f t="shared" ca="1" si="424"/>
        <v>825</v>
      </c>
      <c r="DM519" s="114"/>
      <c r="DN519" s="114"/>
      <c r="DO519" s="114"/>
      <c r="DP519" s="114"/>
      <c r="DQ519" s="112"/>
      <c r="DR519" s="114"/>
      <c r="DS519" s="114"/>
      <c r="DT519" s="115">
        <v>60</v>
      </c>
      <c r="DU519" s="116">
        <f t="shared" si="425"/>
        <v>0.15699192782526114</v>
      </c>
      <c r="DV519" s="117">
        <f t="shared" si="428"/>
        <v>4.7878267806267791</v>
      </c>
      <c r="DW519" s="118">
        <f t="shared" si="429"/>
        <v>11.931386514719847</v>
      </c>
      <c r="DX519" s="119">
        <f t="shared" si="430"/>
        <v>52</v>
      </c>
      <c r="DY519" s="115">
        <f t="shared" si="431"/>
        <v>5.3950617283950608</v>
      </c>
      <c r="DZ519" s="117">
        <f t="shared" si="426"/>
        <v>0.17310678062677987</v>
      </c>
      <c r="EA519" s="120">
        <f t="shared" si="426"/>
        <v>0.43138651471984701</v>
      </c>
      <c r="EB519" s="119">
        <f t="shared" si="387"/>
        <v>0</v>
      </c>
      <c r="EC519" s="121">
        <f t="shared" si="415"/>
        <v>0.19506172839506153</v>
      </c>
      <c r="ED519" s="122"/>
      <c r="EE519" s="145">
        <v>18</v>
      </c>
      <c r="EF519" s="115">
        <v>18</v>
      </c>
      <c r="EG519" s="115">
        <v>48</v>
      </c>
      <c r="EH519" s="115">
        <v>17</v>
      </c>
      <c r="EI519" s="128" t="s">
        <v>195</v>
      </c>
      <c r="EJ519" s="121">
        <v>24</v>
      </c>
      <c r="EK519" s="121">
        <v>0</v>
      </c>
      <c r="EL519" s="149">
        <v>4.6147199999999993</v>
      </c>
      <c r="EM519" s="142">
        <v>11.5</v>
      </c>
      <c r="EN519" s="119">
        <v>52</v>
      </c>
      <c r="EO519" s="115">
        <v>19</v>
      </c>
      <c r="EP519" s="115">
        <v>1126.8289300325914</v>
      </c>
      <c r="EQ519" s="115">
        <v>84</v>
      </c>
      <c r="ER519" s="115">
        <v>13.8</v>
      </c>
      <c r="ES519" s="115">
        <v>64</v>
      </c>
      <c r="ET519" s="150">
        <v>0.15972222222222221</v>
      </c>
      <c r="EU519" s="145">
        <f t="shared" si="400"/>
        <v>18</v>
      </c>
      <c r="EV519" s="115">
        <f t="shared" si="380"/>
        <v>26</v>
      </c>
      <c r="EW519" s="115">
        <f t="shared" si="380"/>
        <v>54</v>
      </c>
      <c r="EX519" s="115">
        <f t="shared" si="380"/>
        <v>17</v>
      </c>
      <c r="EY519" s="115" t="str">
        <f t="shared" si="434"/>
        <v>Постоянный</v>
      </c>
      <c r="EZ519" s="115">
        <f t="shared" si="434"/>
        <v>24</v>
      </c>
      <c r="FA519" s="115">
        <f t="shared" si="434"/>
        <v>0</v>
      </c>
      <c r="FB519" s="149">
        <f t="shared" si="405"/>
        <v>4.6147199999999993</v>
      </c>
      <c r="FC519" s="142">
        <f t="shared" si="405"/>
        <v>11.5</v>
      </c>
      <c r="FD519" s="119">
        <f t="shared" si="405"/>
        <v>52</v>
      </c>
      <c r="FE519" s="121">
        <f t="shared" si="405"/>
        <v>19</v>
      </c>
      <c r="FF519" s="121">
        <f t="shared" si="407"/>
        <v>1126.8289300325914</v>
      </c>
      <c r="FG519" s="121">
        <f t="shared" si="381"/>
        <v>84</v>
      </c>
      <c r="FH519" s="121">
        <f t="shared" ref="FH519:FH582" si="436">CS519</f>
        <v>13.8</v>
      </c>
      <c r="FI519" s="121">
        <f t="shared" si="427"/>
        <v>64</v>
      </c>
      <c r="FJ519" s="144">
        <f t="shared" si="382"/>
        <v>0.15972222222222221</v>
      </c>
      <c r="FK519" s="132">
        <f t="shared" si="383"/>
        <v>0</v>
      </c>
      <c r="FL519" s="115">
        <f t="shared" si="383"/>
        <v>8</v>
      </c>
      <c r="FM519" s="115">
        <f t="shared" si="383"/>
        <v>6</v>
      </c>
      <c r="FN519" s="115">
        <f t="shared" si="371"/>
        <v>0</v>
      </c>
      <c r="FO519" s="115">
        <f t="shared" si="403"/>
        <v>0</v>
      </c>
      <c r="FP519" s="115">
        <f t="shared" si="403"/>
        <v>0</v>
      </c>
      <c r="FQ519" s="149">
        <f t="shared" si="403"/>
        <v>0</v>
      </c>
      <c r="FR519" s="142">
        <f t="shared" si="403"/>
        <v>0</v>
      </c>
      <c r="FS519" s="119">
        <f t="shared" si="403"/>
        <v>0</v>
      </c>
      <c r="FT519" s="121">
        <f t="shared" si="403"/>
        <v>0</v>
      </c>
      <c r="FU519" s="121">
        <f t="shared" si="384"/>
        <v>0</v>
      </c>
      <c r="FV519" s="121">
        <f t="shared" si="384"/>
        <v>0</v>
      </c>
      <c r="FW519" s="121">
        <f t="shared" si="385"/>
        <v>0</v>
      </c>
      <c r="FX519" s="121">
        <f t="shared" si="386"/>
        <v>0</v>
      </c>
      <c r="FY519" s="144">
        <f t="shared" si="386"/>
        <v>0</v>
      </c>
      <c r="FZ519" s="145"/>
      <c r="GA519" s="151" t="s">
        <v>1846</v>
      </c>
      <c r="GB519" s="145"/>
      <c r="GC519" s="151"/>
      <c r="GD519" s="997" t="s">
        <v>220</v>
      </c>
      <c r="GE519" s="1004"/>
      <c r="GF519" s="1004">
        <v>0.43639199999999967</v>
      </c>
      <c r="GG519" s="1004"/>
      <c r="GH519" s="1004">
        <v>-0.34819399999999945</v>
      </c>
      <c r="GI519" s="145" t="s">
        <v>146</v>
      </c>
      <c r="GJ519" s="996">
        <v>-2.9774139999999996</v>
      </c>
      <c r="GK519" s="145"/>
      <c r="GL519" s="996">
        <v>0</v>
      </c>
      <c r="GM519" s="1005"/>
      <c r="GN519" s="996">
        <v>-1.4000000000001123E-2</v>
      </c>
      <c r="GO519" s="1006" t="s">
        <v>199</v>
      </c>
      <c r="GP519" s="996">
        <v>2.0600711999999985</v>
      </c>
      <c r="GQ519" s="1006" t="s">
        <v>199</v>
      </c>
      <c r="GR519" s="996">
        <v>-2.0801352</v>
      </c>
      <c r="GS519" s="1006"/>
      <c r="GT519" s="996">
        <v>0</v>
      </c>
      <c r="GU519" s="1006" t="s">
        <v>199</v>
      </c>
      <c r="GV519" s="996">
        <v>2.1735999999999995</v>
      </c>
      <c r="GW519" s="1006"/>
      <c r="GX519" s="996">
        <v>0</v>
      </c>
      <c r="GY519" s="1006" t="s">
        <v>199</v>
      </c>
      <c r="GZ519" s="996">
        <v>4.0964000000000009</v>
      </c>
      <c r="HA519" s="1006" t="s">
        <v>199</v>
      </c>
      <c r="HB519" s="996">
        <v>-3.762</v>
      </c>
      <c r="HC519" s="1006"/>
      <c r="HD519" s="996">
        <v>0</v>
      </c>
      <c r="HE519" s="1006"/>
      <c r="HF519" s="996">
        <v>0</v>
      </c>
      <c r="HG519" s="1006" t="s">
        <v>199</v>
      </c>
      <c r="HH519" s="996">
        <v>-2.2580359999999997</v>
      </c>
      <c r="HI519" s="1006" t="s">
        <v>223</v>
      </c>
      <c r="HJ519" s="996">
        <v>-1.972124</v>
      </c>
      <c r="HK519" s="1006"/>
      <c r="HL519" s="996">
        <v>0</v>
      </c>
      <c r="HM519" s="1006" t="s">
        <v>203</v>
      </c>
      <c r="HN519" s="996">
        <v>-5.8409648000000001</v>
      </c>
      <c r="HO519" s="1006"/>
      <c r="HP519" s="996">
        <v>0</v>
      </c>
      <c r="HQ519" s="1006"/>
      <c r="HR519" s="996">
        <v>0</v>
      </c>
      <c r="HS519" s="1006"/>
      <c r="HT519" s="996">
        <v>0</v>
      </c>
      <c r="HU519" s="1006" t="s">
        <v>199</v>
      </c>
      <c r="HV519" s="996">
        <v>2.8138088000000003</v>
      </c>
      <c r="HW519" s="1006"/>
      <c r="HX519" s="996">
        <v>3.1015599999999921E-2</v>
      </c>
      <c r="HY519" s="1006" t="s">
        <v>349</v>
      </c>
      <c r="HZ519" s="996">
        <v>-6.9087876000000019</v>
      </c>
      <c r="IA519" s="1006"/>
      <c r="IB519" s="996">
        <v>0</v>
      </c>
      <c r="IC519" s="1006" t="s">
        <v>25</v>
      </c>
      <c r="ID519" s="996">
        <v>19.151088000000001</v>
      </c>
      <c r="IE519" s="1006"/>
      <c r="IF519" s="996">
        <v>0</v>
      </c>
      <c r="IG519" s="1006"/>
      <c r="IH519" s="996">
        <v>0</v>
      </c>
      <c r="II519" s="1006"/>
      <c r="IJ519" s="996"/>
      <c r="IK519" s="1006"/>
      <c r="IL519" s="996"/>
      <c r="IM519" s="1006"/>
      <c r="IN519" s="996"/>
      <c r="IO519" s="1006"/>
      <c r="IP519" s="996"/>
      <c r="IQ519" s="1006"/>
      <c r="IR519" s="996"/>
      <c r="IS519" s="1006"/>
      <c r="IT519" s="996"/>
      <c r="IU519" s="1006"/>
      <c r="IV519" s="996"/>
      <c r="IW519" s="1006"/>
      <c r="IX519" s="996"/>
      <c r="IY519" s="1006"/>
      <c r="IZ519" s="996"/>
      <c r="JA519" s="1006"/>
      <c r="JB519" s="996"/>
      <c r="JC519" s="1006"/>
      <c r="JD519" s="996"/>
      <c r="JE519" s="1006"/>
      <c r="JF519" s="996"/>
      <c r="JG519" s="1006"/>
      <c r="JH519" s="996"/>
      <c r="JI519" s="1006"/>
      <c r="JJ519" s="996"/>
      <c r="JK519" s="1007"/>
      <c r="JL519" s="1007"/>
      <c r="JM519" s="1007"/>
      <c r="JN519" s="1007"/>
      <c r="JO519" s="1008"/>
      <c r="JP519" s="1007"/>
      <c r="JQ519" s="1008"/>
      <c r="JR519" s="1007"/>
      <c r="JS519" s="1008"/>
      <c r="JT519" s="1007"/>
      <c r="JU519" s="1008"/>
      <c r="JV519" s="1007"/>
      <c r="JW519" s="1008"/>
      <c r="JX519" s="1007"/>
      <c r="JY519" s="1008"/>
      <c r="JZ519" s="1007"/>
      <c r="KA519" s="1008"/>
      <c r="KB519" s="1007"/>
      <c r="KC519" s="1008"/>
      <c r="KD519" s="1007"/>
      <c r="KE519" s="1008"/>
      <c r="KF519" s="1007"/>
      <c r="KG519" s="1008"/>
      <c r="KH519" s="1007"/>
      <c r="KI519" s="1008"/>
      <c r="KJ519" s="1007"/>
      <c r="KK519" s="1008"/>
      <c r="KL519" s="1007"/>
      <c r="KM519" s="1008"/>
      <c r="KN519" s="1007"/>
      <c r="KO519" s="1008"/>
      <c r="KP519" s="1007"/>
      <c r="KQ519" s="1008"/>
      <c r="KR519" s="1007"/>
      <c r="KS519" s="1008"/>
      <c r="KT519" s="1007"/>
      <c r="KU519" s="1008"/>
      <c r="KV519" s="1007"/>
      <c r="KW519" s="1008"/>
      <c r="KX519" s="1007"/>
      <c r="KY519" s="1008"/>
      <c r="KZ519" s="1007"/>
      <c r="LA519" s="1008"/>
      <c r="LB519" s="1007"/>
      <c r="LC519" s="1008"/>
      <c r="LD519" s="1007"/>
      <c r="LE519" s="1008"/>
      <c r="LF519" s="1007"/>
      <c r="LG519" s="1008"/>
      <c r="LH519" s="1007"/>
      <c r="LI519" s="1008"/>
      <c r="LJ519" s="1007"/>
      <c r="LK519" s="1008"/>
      <c r="LL519" s="1007"/>
      <c r="LM519" s="1008"/>
      <c r="LN519" s="1007"/>
      <c r="LO519" s="1008"/>
      <c r="LP519" s="1007"/>
      <c r="LQ519" s="1008"/>
      <c r="LR519" s="1007"/>
      <c r="LS519" s="1008"/>
      <c r="LT519" s="1007"/>
      <c r="LU519" s="1008"/>
      <c r="LV519" s="1007"/>
      <c r="LW519" s="1008"/>
      <c r="LX519" s="1007"/>
      <c r="LY519" s="1009"/>
      <c r="LZ519" s="1010"/>
      <c r="MA519" s="1011"/>
      <c r="MB519" s="1012"/>
      <c r="MC519" s="995"/>
      <c r="MD519" s="996"/>
      <c r="ME519" s="997" t="s">
        <v>220</v>
      </c>
      <c r="MF519" s="997"/>
      <c r="MG519" s="998"/>
      <c r="MH519" s="878"/>
      <c r="MI519" s="878"/>
      <c r="MJ519" s="878"/>
      <c r="MK519" s="878"/>
      <c r="ML519" s="878"/>
      <c r="MM519" s="878"/>
      <c r="MN519" s="878"/>
      <c r="MO519" s="878"/>
      <c r="MP519" s="878"/>
      <c r="MQ519" s="878"/>
      <c r="MR519" s="878"/>
      <c r="MS519" s="878"/>
      <c r="MT519" s="878"/>
      <c r="MU519" s="878"/>
      <c r="MV519" s="878"/>
      <c r="MW519" s="878"/>
      <c r="MX519" s="878"/>
      <c r="MY519" s="878"/>
      <c r="MZ519" s="878"/>
      <c r="NA519" s="878"/>
      <c r="NB519" s="878"/>
      <c r="NC519" s="878"/>
      <c r="ND519" s="878"/>
      <c r="NE519" s="878"/>
      <c r="NF519" s="878"/>
      <c r="NG519" s="878"/>
      <c r="NH519" s="878"/>
      <c r="NI519" s="878"/>
      <c r="NJ519" s="878"/>
      <c r="NK519" s="878"/>
      <c r="NL519" s="878"/>
      <c r="NM519" s="878"/>
      <c r="NR519" s="1027"/>
      <c r="NS519" s="1027"/>
      <c r="NT519" s="1028"/>
      <c r="NU519" s="1027"/>
      <c r="NV519" s="1028"/>
      <c r="NX519" s="1030"/>
      <c r="NZ519" s="1028"/>
      <c r="OA519" s="1028"/>
      <c r="OC519" s="1031"/>
      <c r="OD519" s="1031"/>
      <c r="OE519" s="1028"/>
      <c r="OF519" s="1031"/>
      <c r="OG519" s="1031"/>
      <c r="QX519" s="1000">
        <f>CN519-CA519</f>
        <v>38</v>
      </c>
      <c r="ASU519" s="1029" t="s">
        <v>225</v>
      </c>
    </row>
    <row r="520" spans="1:466 1191:1191" s="1032" customFormat="1" ht="21" customHeight="1" x14ac:dyDescent="0.25">
      <c r="A520" s="982">
        <f t="shared" si="372"/>
        <v>1618</v>
      </c>
      <c r="B520" s="124">
        <f>SUBTOTAL(103,$J$29:J520)</f>
        <v>492</v>
      </c>
      <c r="C520" s="126">
        <v>45068</v>
      </c>
      <c r="D520" s="124" t="s">
        <v>176</v>
      </c>
      <c r="E520" s="127" t="s">
        <v>177</v>
      </c>
      <c r="F520" s="128" t="s">
        <v>177</v>
      </c>
      <c r="G520" s="127" t="s">
        <v>178</v>
      </c>
      <c r="H520" s="127" t="s">
        <v>179</v>
      </c>
      <c r="I520" s="127" t="s">
        <v>1616</v>
      </c>
      <c r="J520" s="152">
        <v>1618</v>
      </c>
      <c r="K520" s="127" t="s">
        <v>1616</v>
      </c>
      <c r="L520" s="130">
        <v>41290</v>
      </c>
      <c r="M520" s="127" t="s">
        <v>230</v>
      </c>
      <c r="N520" s="127" t="s">
        <v>184</v>
      </c>
      <c r="O520" s="127" t="s">
        <v>185</v>
      </c>
      <c r="P520" s="127" t="s">
        <v>186</v>
      </c>
      <c r="Q520" s="85">
        <f t="shared" si="423"/>
        <v>-4</v>
      </c>
      <c r="R520" s="130">
        <v>43259</v>
      </c>
      <c r="S520" s="128" t="s">
        <v>747</v>
      </c>
      <c r="T520" s="131" t="s">
        <v>1847</v>
      </c>
      <c r="U520" s="132">
        <v>203</v>
      </c>
      <c r="V520" s="121">
        <v>218.2</v>
      </c>
      <c r="W520" s="116">
        <v>0.98</v>
      </c>
      <c r="X520" s="116">
        <v>1.66</v>
      </c>
      <c r="Y520" s="116">
        <f t="shared" si="408"/>
        <v>0.98</v>
      </c>
      <c r="Z520" s="133">
        <v>1.454</v>
      </c>
      <c r="AA520" s="133">
        <v>0.83599999999999997</v>
      </c>
      <c r="AB520" s="133">
        <v>0.72</v>
      </c>
      <c r="AC520" s="121">
        <v>34.299999999999997</v>
      </c>
      <c r="AD520" s="134">
        <v>1.17</v>
      </c>
      <c r="AE520" s="124">
        <v>177.8</v>
      </c>
      <c r="AF520" s="128">
        <v>9.19</v>
      </c>
      <c r="AG520" s="128">
        <v>2175.41</v>
      </c>
      <c r="AH520" s="138">
        <v>2870.45</v>
      </c>
      <c r="AI520" s="138">
        <v>2870.45</v>
      </c>
      <c r="AJ520" s="135">
        <v>43250</v>
      </c>
      <c r="AK520" s="128" t="s">
        <v>1018</v>
      </c>
      <c r="AL520" s="131"/>
      <c r="AM520" s="124" t="s">
        <v>187</v>
      </c>
      <c r="AN520" s="136" t="s">
        <v>1848</v>
      </c>
      <c r="AO520" s="137">
        <v>8.4</v>
      </c>
      <c r="AP520" s="128">
        <v>2194.39</v>
      </c>
      <c r="AQ520" s="128">
        <v>405.6</v>
      </c>
      <c r="AR520" s="128" t="s">
        <v>1849</v>
      </c>
      <c r="AS520" s="128">
        <v>114</v>
      </c>
      <c r="AT520" s="122">
        <v>7.37</v>
      </c>
      <c r="AU520" s="124" t="s">
        <v>189</v>
      </c>
      <c r="AV520" s="115">
        <f>VLOOKUP(J520,'[63]ТР нефть'!$J$28:$BP$638,39,0)</f>
        <v>499.99999218800002</v>
      </c>
      <c r="AW520" s="115" t="str">
        <f>VLOOKUP(J520,'[63]ТР нефть'!$J$28:$BP$638,40,0)</f>
        <v>ГП</v>
      </c>
      <c r="AX520" s="115">
        <f>VLOOKUP(J520,'[63]ТР нефть'!$J$28:$BP$638,41,0)</f>
        <v>934.99997050800005</v>
      </c>
      <c r="AY520" s="115" t="str">
        <f>VLOOKUP(J520,'[63]ТР нефть'!$J$28:$BP$638,42,0)</f>
        <v>ГП</v>
      </c>
      <c r="AZ520" s="115">
        <f>VLOOKUP(J520,'[63]ТР нефть'!$J$28:$BP$638,43,0)</f>
        <v>1315.0000687500001</v>
      </c>
      <c r="BA520" s="115" t="str">
        <f>VLOOKUP(J520,'[63]ТР нефть'!$J$28:$BP$638,44,0)</f>
        <v>ГК 89/3</v>
      </c>
      <c r="BB520" s="115">
        <f>VLOOKUP(J520,'[63]ТР нефть'!$J$28:$BP$638,45,0)</f>
        <v>1605.000004687</v>
      </c>
      <c r="BC520" s="115" t="str">
        <f>VLOOKUP(J520,'[63]ТР нефть'!$J$28:$BP$638,46,0)</f>
        <v>ГК 88 1/8</v>
      </c>
      <c r="BD520" s="115">
        <f>VLOOKUP(J520,'[63]ТР нефть'!$J$28:$BP$638,47,0)</f>
        <v>1849.9999710940001</v>
      </c>
      <c r="BE520" s="115" t="str">
        <f>VLOOKUP(J520,'[63]ТР нефть'!$J$28:$BP$638,48,0)</f>
        <v>ЦКсОК 5/16</v>
      </c>
      <c r="BF520" s="115" t="str">
        <f>VLOOKUP(J520,'[63]ТР нефть'!$J$28:$BP$638,49,0)</f>
        <v>-</v>
      </c>
      <c r="BG520" s="115" t="str">
        <f>VLOOKUP(J520,'[63]ТР нефть'!$J$28:$BP$638,50,0)</f>
        <v>-</v>
      </c>
      <c r="BH520" s="115">
        <f>VLOOKUP(J520,'[63]ТР нефть'!$J$28:$BP$638,51,0)</f>
        <v>1900</v>
      </c>
      <c r="BI520" s="115" t="str">
        <f>VLOOKUP(J520,'[63]ТР нефть'!$J$28:$BP$638,52,0)</f>
        <v>закрыт</v>
      </c>
      <c r="BJ520" s="115" t="str">
        <f>IF(IFERROR(VLOOKUP(J520,'[63]ТР нефть'!$J$28:$BP$638,53,0),"-")=0,"-",IFERROR(VLOOKUP(J520,'[63]ТР нефть'!$J$28:$BP$638,53,0),"-"))</f>
        <v>-</v>
      </c>
      <c r="BK520" s="138" t="str">
        <f>IF(IFERROR(VLOOKUP(J520,'[63]ТР нефть'!$J$28:$BP$638,54,0),"-")=0,"-",IFERROR(VLOOKUP(J520,'[63]ТР нефть'!$J$28:$BP$638,54,0),"-"))</f>
        <v>-</v>
      </c>
      <c r="BL520" s="138" t="str">
        <f>IF(IFERROR(VLOOKUP(J520,'[63]ТР нефть'!$J$28:$BP$638,55,0),"-")=0,"-",IFERROR(VLOOKUP(J520,'[63]ТР нефть'!$J$28:$BP$638,55,0),"-"))</f>
        <v>-</v>
      </c>
      <c r="BM520" s="138" t="str">
        <f>IF(IFERROR(VLOOKUP(J520,'[63]ТР нефть'!$J$28:$BP$638,56,0),"-")=0,"-",IFERROR(VLOOKUP(J520,'[63]ТР нефть'!$J$28:$BP$638,56,0),"-"))</f>
        <v>-</v>
      </c>
      <c r="BN520" s="138" t="str">
        <f>IF(IFERROR(VLOOKUP(J520,'[63]ТР нефть'!$J$28:$BP$638,57,0),"-")=0,"-",IFERROR(VLOOKUP(J520,'[63]ТР нефть'!$J$28:$BP$638,57,0),"-"))</f>
        <v>-</v>
      </c>
      <c r="BO520" s="115" t="str">
        <f>IF(IFERROR(VLOOKUP(J520,'[63]ТР нефть'!$J$28:$BP$638,58,0),"-")=0,"-",IFERROR(VLOOKUP(J520,'[63]ТР нефть'!$J$28:$BP$638,58,0),"-"))</f>
        <v>-</v>
      </c>
      <c r="BP520" s="115" t="str">
        <f>IF(IFERROR(VLOOKUP(J520,'[63]ТР нефть'!$J$28:$BP$638,59,0),"-")=0,"-",IFERROR(VLOOKUP(J520,'[63]ТР нефть'!$J$28:$BP$638,59,0),"-"))</f>
        <v>-</v>
      </c>
      <c r="BQ520" s="138">
        <v>1922</v>
      </c>
      <c r="BR520" s="128">
        <v>1604.1</v>
      </c>
      <c r="BS520" s="115">
        <f t="shared" si="435"/>
        <v>317.90000000000009</v>
      </c>
      <c r="BT520" s="128">
        <v>73</v>
      </c>
      <c r="BU520" s="128">
        <v>5.5</v>
      </c>
      <c r="BV520" s="127">
        <v>65</v>
      </c>
      <c r="BW520" s="127" t="s">
        <v>217</v>
      </c>
      <c r="BX520" s="127" t="s">
        <v>195</v>
      </c>
      <c r="BY520" s="139">
        <v>24</v>
      </c>
      <c r="BZ520" s="139">
        <v>0</v>
      </c>
      <c r="CA520" s="80">
        <v>24</v>
      </c>
      <c r="CB520" s="138">
        <v>55</v>
      </c>
      <c r="CC520" s="138">
        <v>23</v>
      </c>
      <c r="CD520" s="135">
        <v>45017</v>
      </c>
      <c r="CE520" s="138">
        <v>90</v>
      </c>
      <c r="CF520" s="138">
        <v>74</v>
      </c>
      <c r="CG520" s="138" t="str">
        <f t="shared" si="433"/>
        <v>В работе</v>
      </c>
      <c r="CH520" s="138" t="s">
        <v>196</v>
      </c>
      <c r="CI520" s="127"/>
      <c r="CJ520" s="138"/>
      <c r="CK520" s="138">
        <f t="shared" si="432"/>
        <v>22</v>
      </c>
      <c r="CL520" s="99"/>
      <c r="CM520" s="99"/>
      <c r="CN520" s="140">
        <v>46</v>
      </c>
      <c r="CO520" s="141">
        <f t="shared" si="373"/>
        <v>6.1863999999999999</v>
      </c>
      <c r="CP520" s="142">
        <v>7.4</v>
      </c>
      <c r="CQ520" s="143">
        <v>0</v>
      </c>
      <c r="CR520" s="138">
        <v>31</v>
      </c>
      <c r="CS520" s="139">
        <v>14.4</v>
      </c>
      <c r="CT520" s="138"/>
      <c r="CU520" s="138">
        <f t="shared" si="418"/>
        <v>16.600000000000001</v>
      </c>
      <c r="CV520" s="115">
        <f t="shared" si="419"/>
        <v>2683.3053148842623</v>
      </c>
      <c r="CW520" s="115">
        <f t="shared" si="374"/>
        <v>2327.6865382128544</v>
      </c>
      <c r="CX520" s="133">
        <f t="shared" si="420"/>
        <v>0.16818181818181818</v>
      </c>
      <c r="CY520" s="116"/>
      <c r="CZ520" s="131"/>
      <c r="DA520" s="145" t="str">
        <f t="shared" si="375"/>
        <v>Газлифт</v>
      </c>
      <c r="DB520" s="146">
        <f t="shared" si="390"/>
        <v>6.1863999999999999</v>
      </c>
      <c r="DC520" s="142">
        <f t="shared" si="402"/>
        <v>7.4</v>
      </c>
      <c r="DD520" s="119">
        <f t="shared" si="416"/>
        <v>0</v>
      </c>
      <c r="DE520" s="115">
        <f t="shared" si="392"/>
        <v>16.600000000000001</v>
      </c>
      <c r="DF520" s="121">
        <f t="shared" si="376"/>
        <v>14.4</v>
      </c>
      <c r="DG520" s="115">
        <f t="shared" si="377"/>
        <v>2683.3053148842623</v>
      </c>
      <c r="DH520" s="115">
        <f t="shared" si="378"/>
        <v>46</v>
      </c>
      <c r="DI520" s="147"/>
      <c r="DJ520" s="111" t="s">
        <v>197</v>
      </c>
      <c r="DK520" s="112">
        <v>43304</v>
      </c>
      <c r="DL520" s="113">
        <f t="shared" ca="1" si="424"/>
        <v>1800</v>
      </c>
      <c r="DM520" s="114"/>
      <c r="DN520" s="114"/>
      <c r="DO520" s="114"/>
      <c r="DP520" s="114"/>
      <c r="DQ520" s="112">
        <v>43304</v>
      </c>
      <c r="DR520" s="114" t="s">
        <v>324</v>
      </c>
      <c r="DS520" s="114"/>
      <c r="DT520" s="115">
        <v>53</v>
      </c>
      <c r="DU520" s="116">
        <f t="shared" si="425"/>
        <v>0.2</v>
      </c>
      <c r="DV520" s="117">
        <f t="shared" si="428"/>
        <v>6.1863999999999999</v>
      </c>
      <c r="DW520" s="118">
        <f t="shared" si="429"/>
        <v>7.4</v>
      </c>
      <c r="DX520" s="119">
        <f t="shared" si="430"/>
        <v>0</v>
      </c>
      <c r="DY520" s="115">
        <f t="shared" si="431"/>
        <v>16.600000000000001</v>
      </c>
      <c r="DZ520" s="117">
        <f t="shared" si="426"/>
        <v>0</v>
      </c>
      <c r="EA520" s="120">
        <f t="shared" si="426"/>
        <v>0</v>
      </c>
      <c r="EB520" s="119">
        <f t="shared" si="387"/>
        <v>0</v>
      </c>
      <c r="EC520" s="121">
        <f t="shared" si="415"/>
        <v>0</v>
      </c>
      <c r="ED520" s="122"/>
      <c r="EE520" s="145">
        <v>65</v>
      </c>
      <c r="EF520" s="148">
        <v>26</v>
      </c>
      <c r="EG520" s="115">
        <v>40</v>
      </c>
      <c r="EH520" s="115">
        <v>25</v>
      </c>
      <c r="EI520" s="128" t="s">
        <v>195</v>
      </c>
      <c r="EJ520" s="121">
        <v>24</v>
      </c>
      <c r="EK520" s="121">
        <v>0</v>
      </c>
      <c r="EL520" s="149">
        <v>4.5979999999999999</v>
      </c>
      <c r="EM520" s="142">
        <v>5.5</v>
      </c>
      <c r="EN520" s="119">
        <v>0</v>
      </c>
      <c r="EO520" s="115">
        <v>22</v>
      </c>
      <c r="EP520" s="115">
        <v>2696.8247063940844</v>
      </c>
      <c r="EQ520" s="115">
        <v>73</v>
      </c>
      <c r="ER520" s="115">
        <v>9.6</v>
      </c>
      <c r="ES520" s="115">
        <v>45</v>
      </c>
      <c r="ET520" s="150">
        <v>0.12222222222222222</v>
      </c>
      <c r="EU520" s="145">
        <f t="shared" si="400"/>
        <v>65</v>
      </c>
      <c r="EV520" s="115">
        <f t="shared" si="380"/>
        <v>24</v>
      </c>
      <c r="EW520" s="115">
        <f t="shared" si="380"/>
        <v>55</v>
      </c>
      <c r="EX520" s="115">
        <f t="shared" si="380"/>
        <v>23</v>
      </c>
      <c r="EY520" s="115" t="str">
        <f t="shared" si="434"/>
        <v>Постоянный</v>
      </c>
      <c r="EZ520" s="115">
        <f t="shared" si="434"/>
        <v>24</v>
      </c>
      <c r="FA520" s="115">
        <f t="shared" si="434"/>
        <v>0</v>
      </c>
      <c r="FB520" s="149">
        <f t="shared" si="405"/>
        <v>6.1863999999999999</v>
      </c>
      <c r="FC520" s="142">
        <f t="shared" si="405"/>
        <v>7.4</v>
      </c>
      <c r="FD520" s="119">
        <f t="shared" si="405"/>
        <v>0</v>
      </c>
      <c r="FE520" s="121">
        <f t="shared" si="405"/>
        <v>31</v>
      </c>
      <c r="FF520" s="121">
        <f t="shared" si="407"/>
        <v>2683.3053148842623</v>
      </c>
      <c r="FG520" s="121">
        <f t="shared" si="381"/>
        <v>74</v>
      </c>
      <c r="FH520" s="121">
        <f t="shared" si="436"/>
        <v>14.4</v>
      </c>
      <c r="FI520" s="121">
        <f t="shared" si="427"/>
        <v>46</v>
      </c>
      <c r="FJ520" s="144">
        <f t="shared" si="382"/>
        <v>0.16818181818181818</v>
      </c>
      <c r="FK520" s="132">
        <f t="shared" si="383"/>
        <v>0</v>
      </c>
      <c r="FL520" s="115">
        <f t="shared" si="383"/>
        <v>-2</v>
      </c>
      <c r="FM520" s="115">
        <f t="shared" si="383"/>
        <v>15</v>
      </c>
      <c r="FN520" s="115">
        <f t="shared" si="371"/>
        <v>-2</v>
      </c>
      <c r="FO520" s="115">
        <f t="shared" si="403"/>
        <v>0</v>
      </c>
      <c r="FP520" s="115">
        <f t="shared" si="403"/>
        <v>0</v>
      </c>
      <c r="FQ520" s="149">
        <f t="shared" si="403"/>
        <v>1.5884</v>
      </c>
      <c r="FR520" s="142">
        <f t="shared" si="403"/>
        <v>1.9000000000000004</v>
      </c>
      <c r="FS520" s="119">
        <f t="shared" si="403"/>
        <v>0</v>
      </c>
      <c r="FT520" s="121">
        <f t="shared" si="403"/>
        <v>9</v>
      </c>
      <c r="FU520" s="121">
        <f t="shared" si="384"/>
        <v>1</v>
      </c>
      <c r="FV520" s="121">
        <f t="shared" si="384"/>
        <v>4.8000000000000007</v>
      </c>
      <c r="FW520" s="121">
        <f t="shared" si="385"/>
        <v>-13.519391509822071</v>
      </c>
      <c r="FX520" s="121">
        <f t="shared" si="386"/>
        <v>1</v>
      </c>
      <c r="FY520" s="144">
        <f t="shared" si="386"/>
        <v>4.5959595959595964E-2</v>
      </c>
      <c r="FZ520" s="145" t="s">
        <v>199</v>
      </c>
      <c r="GA520" s="151" t="s">
        <v>200</v>
      </c>
      <c r="GB520" s="145"/>
      <c r="GC520" s="151"/>
      <c r="GD520" s="997" t="s">
        <v>202</v>
      </c>
      <c r="GE520" s="1004"/>
      <c r="GF520" s="1004">
        <v>-0.33440000000000047</v>
      </c>
      <c r="GG520" s="1004"/>
      <c r="GH520" s="1004">
        <v>-0.91959999999999908</v>
      </c>
      <c r="GI520" s="145"/>
      <c r="GJ520" s="996">
        <v>0</v>
      </c>
      <c r="GK520" s="145"/>
      <c r="GL520" s="996">
        <v>0</v>
      </c>
      <c r="GM520" s="1005"/>
      <c r="GN520" s="996">
        <v>0</v>
      </c>
      <c r="GO520" s="1006"/>
      <c r="GP520" s="996">
        <v>0</v>
      </c>
      <c r="GQ520" s="1006"/>
      <c r="GR520" s="996">
        <v>0</v>
      </c>
      <c r="GS520" s="1006"/>
      <c r="GT520" s="996">
        <v>0</v>
      </c>
      <c r="GU520" s="1006" t="s">
        <v>206</v>
      </c>
      <c r="GV520" s="996">
        <v>-1.3292400000000004</v>
      </c>
      <c r="GW520" s="1006"/>
      <c r="GX520" s="996">
        <v>0</v>
      </c>
      <c r="GY520" s="1006"/>
      <c r="GZ520" s="996">
        <v>0</v>
      </c>
      <c r="HA520" s="1006"/>
      <c r="HB520" s="996">
        <v>-0.32875999999999994</v>
      </c>
      <c r="HC520" s="1006" t="s">
        <v>363</v>
      </c>
      <c r="HD520" s="996">
        <v>10.5336</v>
      </c>
      <c r="HE520" s="1006" t="s">
        <v>199</v>
      </c>
      <c r="HF520" s="996">
        <v>-3.93547</v>
      </c>
      <c r="HG520" s="1006" t="s">
        <v>199</v>
      </c>
      <c r="HH520" s="996">
        <v>-1.5821300000000003</v>
      </c>
      <c r="HI520" s="1006" t="s">
        <v>199</v>
      </c>
      <c r="HJ520" s="996">
        <v>2.6752000000000002</v>
      </c>
      <c r="HK520" s="1006" t="s">
        <v>199</v>
      </c>
      <c r="HL520" s="996">
        <v>1.9751168800000016</v>
      </c>
      <c r="HM520" s="1006"/>
      <c r="HN520" s="996">
        <v>0</v>
      </c>
      <c r="HO520" s="1006"/>
      <c r="HP520" s="996">
        <v>-0.21729479199999968</v>
      </c>
      <c r="HQ520" s="1006"/>
      <c r="HR520" s="996">
        <v>0</v>
      </c>
      <c r="HS520" s="1006" t="s">
        <v>643</v>
      </c>
      <c r="HT520" s="996">
        <v>0</v>
      </c>
      <c r="HU520" s="1006"/>
      <c r="HV520" s="996">
        <v>-3.3429968000000976E-2</v>
      </c>
      <c r="HW520" s="1006"/>
      <c r="HX520" s="996">
        <v>0</v>
      </c>
      <c r="HY520" s="1006"/>
      <c r="HZ520" s="996">
        <v>-0.91932411999999886</v>
      </c>
      <c r="IA520" s="1006"/>
      <c r="IB520" s="996">
        <v>-0.88589415200000055</v>
      </c>
      <c r="IC520" s="1006" t="s">
        <v>221</v>
      </c>
      <c r="ID520" s="996">
        <v>1.1366189119999994</v>
      </c>
      <c r="IE520" s="1006" t="s">
        <v>204</v>
      </c>
      <c r="IF520" s="996">
        <v>-3.5937215600000005</v>
      </c>
      <c r="IG520" s="1006"/>
      <c r="IH520" s="996">
        <v>0</v>
      </c>
      <c r="II520" s="1006"/>
      <c r="IJ520" s="996">
        <v>0.50144951999999954</v>
      </c>
      <c r="IK520" s="1006"/>
      <c r="IL520" s="996">
        <v>0</v>
      </c>
      <c r="IM520" s="1006"/>
      <c r="IN520" s="996">
        <v>0</v>
      </c>
      <c r="IO520" s="1006" t="s">
        <v>199</v>
      </c>
      <c r="IP520" s="996">
        <v>1.4207736400000019</v>
      </c>
      <c r="IQ520" s="1006"/>
      <c r="IR520" s="996">
        <v>-0.25072476000000243</v>
      </c>
      <c r="IS520" s="1006" t="s">
        <v>199</v>
      </c>
      <c r="IT520" s="996">
        <v>3.3429968000000017</v>
      </c>
      <c r="IU520" s="1006" t="s">
        <v>199</v>
      </c>
      <c r="IV520" s="996">
        <v>-6.2681190000000004</v>
      </c>
      <c r="IW520" s="1006"/>
      <c r="IX520" s="996">
        <v>0</v>
      </c>
      <c r="IY520" s="1006"/>
      <c r="IZ520" s="996">
        <v>0</v>
      </c>
      <c r="JA520" s="1006"/>
      <c r="JB520" s="996">
        <v>-0.41787459999999932</v>
      </c>
      <c r="JC520" s="1006" t="s">
        <v>199</v>
      </c>
      <c r="JD520" s="996">
        <v>-2.8415472800000003</v>
      </c>
      <c r="JE520" s="1006" t="s">
        <v>204</v>
      </c>
      <c r="JF520" s="996">
        <v>-5.5159447200000002</v>
      </c>
      <c r="JG520" s="1006" t="s">
        <v>199</v>
      </c>
      <c r="JH520" s="996">
        <v>9.193241200000001</v>
      </c>
      <c r="JI520" s="1006"/>
      <c r="JJ520" s="996">
        <v>0</v>
      </c>
      <c r="JK520" s="1007" t="s">
        <v>223</v>
      </c>
      <c r="JL520" s="1007">
        <v>-2.5072476000000012</v>
      </c>
      <c r="JM520" s="1007"/>
      <c r="JN520" s="1007">
        <v>0</v>
      </c>
      <c r="JO520" s="1008" t="s">
        <v>199</v>
      </c>
      <c r="JP520" s="1007">
        <v>-5.0144952000000025</v>
      </c>
      <c r="JQ520" s="1008">
        <v>0</v>
      </c>
      <c r="JR520" s="1007">
        <v>-6.0191999999972268E-3</v>
      </c>
      <c r="JS520" s="1008">
        <v>0</v>
      </c>
      <c r="JT520" s="1007">
        <v>0</v>
      </c>
      <c r="JU520" s="1008"/>
      <c r="JV520" s="1007">
        <v>0</v>
      </c>
      <c r="JW520" s="1008" t="s">
        <v>197</v>
      </c>
      <c r="JX520" s="1007">
        <v>0</v>
      </c>
      <c r="JY520" s="1008"/>
      <c r="JZ520" s="1007">
        <v>0</v>
      </c>
      <c r="KA520" s="1008" t="s">
        <v>240</v>
      </c>
      <c r="KB520" s="1007">
        <v>-15.048000000000002</v>
      </c>
      <c r="KC520" s="1008" t="s">
        <v>204</v>
      </c>
      <c r="KD520" s="1007">
        <v>1.6720000000000041</v>
      </c>
      <c r="KE520" s="1008"/>
      <c r="KF520" s="1007">
        <v>0</v>
      </c>
      <c r="KG520" s="1008"/>
      <c r="KH520" s="1007">
        <v>0</v>
      </c>
      <c r="KI520" s="1008" t="s">
        <v>207</v>
      </c>
      <c r="KJ520" s="1007">
        <v>10.867999999999999</v>
      </c>
      <c r="KK520" s="1008" t="s">
        <v>435</v>
      </c>
      <c r="KL520" s="1007">
        <v>-20.983599999999999</v>
      </c>
      <c r="KM520" s="1008"/>
      <c r="KN520" s="1007">
        <v>0</v>
      </c>
      <c r="KO520" s="1008" t="s">
        <v>324</v>
      </c>
      <c r="KP520" s="1007">
        <v>43.555599999999998</v>
      </c>
      <c r="KQ520" s="1008">
        <v>0</v>
      </c>
      <c r="KR520" s="1007">
        <v>0</v>
      </c>
      <c r="KS520" s="1008">
        <v>0</v>
      </c>
      <c r="KT520" s="1007">
        <v>0</v>
      </c>
      <c r="KU520" s="1008">
        <v>0</v>
      </c>
      <c r="KV520" s="1007">
        <v>0</v>
      </c>
      <c r="KW520" s="1008">
        <v>0</v>
      </c>
      <c r="KX520" s="1007">
        <v>0</v>
      </c>
      <c r="KY520" s="1008">
        <v>0</v>
      </c>
      <c r="KZ520" s="1007">
        <v>0</v>
      </c>
      <c r="LA520" s="1008">
        <v>0</v>
      </c>
      <c r="LB520" s="1007">
        <v>0</v>
      </c>
      <c r="LC520" s="1008">
        <v>0</v>
      </c>
      <c r="LD520" s="1007">
        <v>0</v>
      </c>
      <c r="LE520" s="1008">
        <v>0</v>
      </c>
      <c r="LF520" s="1007">
        <v>0</v>
      </c>
      <c r="LG520" s="1008">
        <v>0</v>
      </c>
      <c r="LH520" s="1007">
        <v>0</v>
      </c>
      <c r="LI520" s="1008">
        <v>0</v>
      </c>
      <c r="LJ520" s="1007">
        <v>0</v>
      </c>
      <c r="LK520" s="1008">
        <v>0</v>
      </c>
      <c r="LL520" s="1007">
        <v>0</v>
      </c>
      <c r="LM520" s="1008">
        <v>0</v>
      </c>
      <c r="LN520" s="1007">
        <v>0</v>
      </c>
      <c r="LO520" s="1008">
        <v>0</v>
      </c>
      <c r="LP520" s="1007">
        <v>0</v>
      </c>
      <c r="LQ520" s="1008">
        <v>0</v>
      </c>
      <c r="LR520" s="1007">
        <v>0</v>
      </c>
      <c r="LS520" s="1008">
        <v>0</v>
      </c>
      <c r="LT520" s="1007">
        <v>0</v>
      </c>
      <c r="LU520" s="1008">
        <v>0</v>
      </c>
      <c r="LV520" s="1007">
        <v>0</v>
      </c>
      <c r="LW520" s="1008">
        <v>0</v>
      </c>
      <c r="LX520" s="1007">
        <v>0</v>
      </c>
      <c r="LY520" s="1009">
        <v>0</v>
      </c>
      <c r="LZ520" s="1010">
        <v>0</v>
      </c>
      <c r="MA520" s="1011">
        <v>0</v>
      </c>
      <c r="MB520" s="1012">
        <v>0</v>
      </c>
      <c r="MC520" s="995"/>
      <c r="MD520" s="996"/>
      <c r="ME520" s="997" t="s">
        <v>202</v>
      </c>
      <c r="MF520" s="997"/>
      <c r="MG520" s="998"/>
      <c r="MH520" s="878"/>
      <c r="MI520" s="878"/>
      <c r="MJ520" s="878"/>
      <c r="MK520" s="878"/>
      <c r="ML520" s="878"/>
      <c r="MM520" s="878"/>
      <c r="MN520" s="878"/>
      <c r="MO520" s="878"/>
      <c r="MP520" s="878"/>
      <c r="MQ520" s="878"/>
      <c r="MR520" s="878"/>
      <c r="MS520" s="878"/>
      <c r="MT520" s="878"/>
      <c r="MU520" s="878"/>
      <c r="MV520" s="878"/>
      <c r="MW520" s="878"/>
      <c r="MX520" s="878"/>
      <c r="MY520" s="878"/>
      <c r="MZ520" s="878"/>
      <c r="NA520" s="878"/>
      <c r="NB520" s="878"/>
      <c r="NC520" s="878"/>
      <c r="ND520" s="878"/>
      <c r="NE520" s="878"/>
      <c r="NF520" s="878"/>
      <c r="NG520" s="878"/>
      <c r="NH520" s="878"/>
      <c r="NI520" s="878"/>
      <c r="NJ520" s="878"/>
      <c r="NK520" s="878"/>
      <c r="NL520" s="878"/>
      <c r="NM520" s="878"/>
      <c r="NR520" s="1027"/>
      <c r="NS520" s="1027"/>
      <c r="NT520" s="1028"/>
      <c r="NU520" s="1027"/>
      <c r="NV520" s="1028"/>
      <c r="NW520" s="1029"/>
      <c r="NX520" s="1030"/>
      <c r="NY520" s="1029"/>
      <c r="NZ520" s="1028"/>
      <c r="OA520" s="1028"/>
      <c r="OB520" s="1029"/>
      <c r="OC520" s="1031"/>
      <c r="OD520" s="1031"/>
      <c r="OE520" s="1028"/>
      <c r="OF520" s="1031"/>
      <c r="OG520" s="1031"/>
      <c r="QX520" s="1000">
        <f>CN520-CA520</f>
        <v>22</v>
      </c>
      <c r="ASU520" s="1032" t="s">
        <v>208</v>
      </c>
    </row>
    <row r="521" spans="1:466 1191:1191" ht="21" customHeight="1" x14ac:dyDescent="0.25">
      <c r="A521" s="982">
        <f t="shared" si="372"/>
        <v>3068</v>
      </c>
      <c r="B521" s="124">
        <f>SUBTOTAL(103,$J$29:J521)</f>
        <v>493</v>
      </c>
      <c r="C521" s="126">
        <v>45068</v>
      </c>
      <c r="D521" s="124" t="s">
        <v>176</v>
      </c>
      <c r="E521" s="127" t="s">
        <v>177</v>
      </c>
      <c r="F521" s="128" t="s">
        <v>177</v>
      </c>
      <c r="G521" s="127" t="s">
        <v>178</v>
      </c>
      <c r="H521" s="127" t="s">
        <v>421</v>
      </c>
      <c r="I521" s="127" t="s">
        <v>632</v>
      </c>
      <c r="J521" s="152">
        <v>3068</v>
      </c>
      <c r="K521" s="127" t="s">
        <v>182</v>
      </c>
      <c r="L521" s="130">
        <v>43643</v>
      </c>
      <c r="M521" s="127" t="s">
        <v>183</v>
      </c>
      <c r="N521" s="127" t="s">
        <v>231</v>
      </c>
      <c r="O521" s="127" t="s">
        <v>185</v>
      </c>
      <c r="P521" s="127" t="s">
        <v>186</v>
      </c>
      <c r="Q521" s="85" t="str">
        <f t="shared" si="423"/>
        <v/>
      </c>
      <c r="R521" s="130"/>
      <c r="S521" s="128" t="s">
        <v>156</v>
      </c>
      <c r="T521" s="131"/>
      <c r="U521" s="132">
        <v>203</v>
      </c>
      <c r="V521" s="121">
        <v>218.2</v>
      </c>
      <c r="W521" s="116">
        <v>0.98</v>
      </c>
      <c r="X521" s="116">
        <v>1.66</v>
      </c>
      <c r="Y521" s="116">
        <f t="shared" si="408"/>
        <v>0.98</v>
      </c>
      <c r="Z521" s="133">
        <v>1.454</v>
      </c>
      <c r="AA521" s="133">
        <v>0.83599999999999997</v>
      </c>
      <c r="AB521" s="133">
        <v>0.72</v>
      </c>
      <c r="AC521" s="121">
        <v>34.299999999999997</v>
      </c>
      <c r="AD521" s="134">
        <v>1.17</v>
      </c>
      <c r="AE521" s="124">
        <v>139.69999999999999</v>
      </c>
      <c r="AF521" s="128">
        <v>7.72</v>
      </c>
      <c r="AG521" s="128">
        <v>2050</v>
      </c>
      <c r="AH521" s="127">
        <v>2050</v>
      </c>
      <c r="AI521" s="127">
        <v>2050</v>
      </c>
      <c r="AJ521" s="135"/>
      <c r="AK521" s="128"/>
      <c r="AL521" s="131"/>
      <c r="AM521" s="124" t="s">
        <v>187</v>
      </c>
      <c r="AN521" s="136" t="s">
        <v>1850</v>
      </c>
      <c r="AO521" s="137">
        <v>39.759999999999991</v>
      </c>
      <c r="AP521" s="128">
        <v>1886</v>
      </c>
      <c r="AQ521" s="128">
        <v>8.1999999999999993</v>
      </c>
      <c r="AR521" s="128"/>
      <c r="AS521" s="128"/>
      <c r="AT521" s="122"/>
      <c r="AU521" s="124" t="s">
        <v>250</v>
      </c>
      <c r="AV521" s="115">
        <f>VLOOKUP(J521,'[63]ТР нефть'!$J$28:$BP$638,39,0)</f>
        <v>600</v>
      </c>
      <c r="AW521" s="115" t="str">
        <f>VLOOKUP(J521,'[63]ТР нефть'!$J$28:$BP$638,40,0)</f>
        <v>ГК 65 1/8</v>
      </c>
      <c r="AX521" s="115">
        <f>VLOOKUP(J521,'[63]ТР нефть'!$J$28:$BP$638,41,0)</f>
        <v>1200</v>
      </c>
      <c r="AY521" s="115" t="str">
        <f>VLOOKUP(J521,'[63]ТР нефть'!$J$28:$BP$638,42,0)</f>
        <v>ГК45</v>
      </c>
      <c r="AZ521" s="115">
        <f>VLOOKUP(J521,'[63]ТР нефть'!$J$28:$BP$638,43,0)</f>
        <v>1778</v>
      </c>
      <c r="BA521" s="115" t="str">
        <f>VLOOKUP(J521,'[63]ТР нефть'!$J$28:$BP$638,44,0)</f>
        <v>ЦКсОК 5/16</v>
      </c>
      <c r="BB521" s="115" t="str">
        <f>VLOOKUP(J521,'[63]ТР нефть'!$J$28:$BP$638,45,0)</f>
        <v>-</v>
      </c>
      <c r="BC521" s="115" t="str">
        <f>VLOOKUP(J521,'[63]ТР нефть'!$J$28:$BP$638,46,0)</f>
        <v>-</v>
      </c>
      <c r="BD521" s="115" t="str">
        <f>VLOOKUP(J521,'[63]ТР нефть'!$J$28:$BP$638,47,0)</f>
        <v>-</v>
      </c>
      <c r="BE521" s="115" t="str">
        <f>VLOOKUP(J521,'[63]ТР нефть'!$J$28:$BP$638,48,0)</f>
        <v>-</v>
      </c>
      <c r="BF521" s="115" t="str">
        <f>VLOOKUP(J521,'[63]ТР нефть'!$J$28:$BP$638,49,0)</f>
        <v>-</v>
      </c>
      <c r="BG521" s="115" t="str">
        <f>VLOOKUP(J521,'[63]ТР нефть'!$J$28:$BP$638,50,0)</f>
        <v>-</v>
      </c>
      <c r="BH521" s="115">
        <f>VLOOKUP(J521,'[63]ТР нефть'!$J$28:$BP$638,51,0)</f>
        <v>1788</v>
      </c>
      <c r="BI521" s="115" t="str">
        <f>VLOOKUP(J521,'[63]ТР нефть'!$J$28:$BP$638,52,0)</f>
        <v>закрыт</v>
      </c>
      <c r="BJ521" s="115" t="str">
        <f>IF(IFERROR(VLOOKUP(J521,'[63]ТР нефть'!$J$28:$BP$638,53,0),"-")=0,"-",IFERROR(VLOOKUP(J521,'[63]ТР нефть'!$J$28:$BP$638,53,0),"-"))</f>
        <v>-</v>
      </c>
      <c r="BK521" s="138" t="str">
        <f>IF(IFERROR(VLOOKUP(J521,'[63]ТР нефть'!$J$28:$BP$638,54,0),"-")=0,"-",IFERROR(VLOOKUP(J521,'[63]ТР нефть'!$J$28:$BP$638,54,0),"-"))</f>
        <v>-</v>
      </c>
      <c r="BL521" s="138" t="str">
        <f>IF(IFERROR(VLOOKUP(J521,'[63]ТР нефть'!$J$28:$BP$638,55,0),"-")=0,"-",IFERROR(VLOOKUP(J521,'[63]ТР нефть'!$J$28:$BP$638,55,0),"-"))</f>
        <v>-</v>
      </c>
      <c r="BM521" s="138" t="str">
        <f>IF(IFERROR(VLOOKUP(J521,'[63]ТР нефть'!$J$28:$BP$638,56,0),"-")=0,"-",IFERROR(VLOOKUP(J521,'[63]ТР нефть'!$J$28:$BP$638,56,0),"-"))</f>
        <v>-</v>
      </c>
      <c r="BN521" s="138" t="str">
        <f>IF(IFERROR(VLOOKUP(J521,'[63]ТР нефть'!$J$28:$BP$638,57,0),"-")=0,"-",IFERROR(VLOOKUP(J521,'[63]ТР нефть'!$J$28:$BP$638,57,0),"-"))</f>
        <v>-</v>
      </c>
      <c r="BO521" s="115" t="str">
        <f>IF(IFERROR(VLOOKUP(J521,'[63]ТР нефть'!$J$28:$BP$638,58,0),"-")=0,"-",IFERROR(VLOOKUP(J521,'[63]ТР нефть'!$J$28:$BP$638,58,0),"-"))</f>
        <v>-</v>
      </c>
      <c r="BP521" s="115" t="str">
        <f>IF(IFERROR(VLOOKUP(J521,'[63]ТР нефть'!$J$28:$BP$638,59,0),"-")=0,"-",IFERROR(VLOOKUP(J521,'[63]ТР нефть'!$J$28:$BP$638,59,0),"-"))</f>
        <v>-</v>
      </c>
      <c r="BQ521" s="138">
        <v>1886</v>
      </c>
      <c r="BR521" s="128">
        <v>1877.82</v>
      </c>
      <c r="BS521" s="115">
        <f t="shared" si="435"/>
        <v>8.1800000000000637</v>
      </c>
      <c r="BT521" s="128">
        <v>73</v>
      </c>
      <c r="BU521" s="128">
        <v>5.5</v>
      </c>
      <c r="BV521" s="127">
        <v>65</v>
      </c>
      <c r="BW521" s="127" t="s">
        <v>217</v>
      </c>
      <c r="BX521" s="127" t="s">
        <v>195</v>
      </c>
      <c r="BY521" s="139">
        <v>24</v>
      </c>
      <c r="BZ521" s="139">
        <v>0</v>
      </c>
      <c r="CA521" s="138">
        <v>36</v>
      </c>
      <c r="CB521" s="138">
        <v>42</v>
      </c>
      <c r="CC521" s="138">
        <v>35</v>
      </c>
      <c r="CD521" s="135">
        <v>45017</v>
      </c>
      <c r="CE521" s="138">
        <v>91</v>
      </c>
      <c r="CF521" s="138"/>
      <c r="CG521" s="138" t="str">
        <f t="shared" si="433"/>
        <v/>
      </c>
      <c r="CH521" s="138" t="s">
        <v>197</v>
      </c>
      <c r="CI521" s="127"/>
      <c r="CJ521" s="138"/>
      <c r="CK521" s="138"/>
      <c r="CL521" s="99"/>
      <c r="CM521" s="138"/>
      <c r="CN521" s="154">
        <v>84</v>
      </c>
      <c r="CO521" s="159">
        <f t="shared" si="373"/>
        <v>1.4211999999999998</v>
      </c>
      <c r="CP521" s="160">
        <v>1.7</v>
      </c>
      <c r="CQ521" s="161">
        <v>0</v>
      </c>
      <c r="CR521" s="138">
        <v>33</v>
      </c>
      <c r="CS521" s="139"/>
      <c r="CT521" s="138"/>
      <c r="CU521" s="138">
        <f t="shared" si="418"/>
        <v>33</v>
      </c>
      <c r="CV521" s="115">
        <f t="shared" si="419"/>
        <v>23219.81424148607</v>
      </c>
      <c r="CW521" s="115" t="str">
        <f t="shared" si="374"/>
        <v/>
      </c>
      <c r="CX521" s="133">
        <f t="shared" si="420"/>
        <v>0.24285714285714285</v>
      </c>
      <c r="CY521" s="116"/>
      <c r="CZ521" s="131"/>
      <c r="DA521" s="145" t="str">
        <f t="shared" si="375"/>
        <v>Фон.</v>
      </c>
      <c r="DB521" s="146">
        <f t="shared" si="390"/>
        <v>1.4211999999999998</v>
      </c>
      <c r="DC521" s="142">
        <f t="shared" si="402"/>
        <v>1.7</v>
      </c>
      <c r="DD521" s="119">
        <f t="shared" si="416"/>
        <v>0</v>
      </c>
      <c r="DE521" s="115">
        <f t="shared" si="392"/>
        <v>33</v>
      </c>
      <c r="DF521" s="121">
        <f t="shared" si="376"/>
        <v>0</v>
      </c>
      <c r="DG521" s="115">
        <f t="shared" si="377"/>
        <v>23219.81424148607</v>
      </c>
      <c r="DH521" s="115">
        <f t="shared" si="378"/>
        <v>84</v>
      </c>
      <c r="DI521" s="147"/>
      <c r="DJ521" s="111">
        <v>43515</v>
      </c>
      <c r="DK521" s="112">
        <v>41290</v>
      </c>
      <c r="DL521" s="113">
        <f t="shared" ca="1" si="424"/>
        <v>3814</v>
      </c>
      <c r="DM521" s="114"/>
      <c r="DN521" s="114"/>
      <c r="DO521" s="114"/>
      <c r="DP521" s="114"/>
      <c r="DQ521" s="112">
        <v>41290</v>
      </c>
      <c r="DR521" s="114" t="s">
        <v>324</v>
      </c>
      <c r="DS521" s="114"/>
      <c r="DT521" s="115">
        <v>48</v>
      </c>
      <c r="DU521" s="116">
        <f t="shared" si="425"/>
        <v>0.19864547588947098</v>
      </c>
      <c r="DV521" s="117">
        <f t="shared" si="428"/>
        <v>7.1409075672747022</v>
      </c>
      <c r="DW521" s="118">
        <f t="shared" si="429"/>
        <v>8.5417554632472523</v>
      </c>
      <c r="DX521" s="119">
        <f t="shared" si="430"/>
        <v>0</v>
      </c>
      <c r="DY521" s="115">
        <f t="shared" si="431"/>
        <v>165.81054722774078</v>
      </c>
      <c r="DZ521" s="117">
        <f t="shared" si="426"/>
        <v>5.7197075672747024</v>
      </c>
      <c r="EA521" s="120">
        <f t="shared" si="426"/>
        <v>6.8417554632472521</v>
      </c>
      <c r="EB521" s="119">
        <f t="shared" si="387"/>
        <v>0</v>
      </c>
      <c r="EC521" s="121">
        <f t="shared" si="415"/>
        <v>132.81054722774078</v>
      </c>
      <c r="ED521" s="122"/>
      <c r="EE521" s="145">
        <v>65</v>
      </c>
      <c r="EF521" s="115">
        <v>36</v>
      </c>
      <c r="EG521" s="115">
        <v>42</v>
      </c>
      <c r="EH521" s="115">
        <v>35</v>
      </c>
      <c r="EI521" s="128" t="s">
        <v>195</v>
      </c>
      <c r="EJ521" s="121">
        <v>24</v>
      </c>
      <c r="EK521" s="121">
        <v>0</v>
      </c>
      <c r="EL521" s="162">
        <v>1.4211999999999998</v>
      </c>
      <c r="EM521" s="142">
        <v>1.7</v>
      </c>
      <c r="EN521" s="119">
        <v>0</v>
      </c>
      <c r="EO521" s="115">
        <v>33</v>
      </c>
      <c r="EP521" s="115">
        <v>23219.81424148607</v>
      </c>
      <c r="EQ521" s="115">
        <v>0</v>
      </c>
      <c r="ER521" s="115">
        <v>0</v>
      </c>
      <c r="ES521" s="115">
        <v>84</v>
      </c>
      <c r="ET521" s="150">
        <v>0.24285714285714285</v>
      </c>
      <c r="EU521" s="145">
        <f t="shared" si="400"/>
        <v>65</v>
      </c>
      <c r="EV521" s="115">
        <f t="shared" si="380"/>
        <v>36</v>
      </c>
      <c r="EW521" s="115">
        <f t="shared" si="380"/>
        <v>42</v>
      </c>
      <c r="EX521" s="115">
        <f t="shared" si="380"/>
        <v>35</v>
      </c>
      <c r="EY521" s="115" t="str">
        <f t="shared" si="434"/>
        <v>Постоянный</v>
      </c>
      <c r="EZ521" s="115">
        <f t="shared" si="434"/>
        <v>24</v>
      </c>
      <c r="FA521" s="115">
        <f t="shared" si="434"/>
        <v>0</v>
      </c>
      <c r="FB521" s="149">
        <f t="shared" si="405"/>
        <v>1.4211999999999998</v>
      </c>
      <c r="FC521" s="142">
        <f t="shared" si="405"/>
        <v>1.7</v>
      </c>
      <c r="FD521" s="119">
        <f t="shared" si="405"/>
        <v>0</v>
      </c>
      <c r="FE521" s="121">
        <f t="shared" si="405"/>
        <v>33</v>
      </c>
      <c r="FF521" s="121">
        <f t="shared" si="407"/>
        <v>23219.81424148607</v>
      </c>
      <c r="FG521" s="121">
        <f t="shared" si="381"/>
        <v>0</v>
      </c>
      <c r="FH521" s="121">
        <f t="shared" si="436"/>
        <v>0</v>
      </c>
      <c r="FI521" s="121">
        <f t="shared" si="427"/>
        <v>84</v>
      </c>
      <c r="FJ521" s="144">
        <f t="shared" si="382"/>
        <v>0.24285714285714285</v>
      </c>
      <c r="FK521" s="132">
        <f t="shared" si="383"/>
        <v>0</v>
      </c>
      <c r="FL521" s="115">
        <f t="shared" si="383"/>
        <v>0</v>
      </c>
      <c r="FM521" s="115">
        <f t="shared" si="383"/>
        <v>0</v>
      </c>
      <c r="FN521" s="115">
        <f t="shared" si="371"/>
        <v>0</v>
      </c>
      <c r="FO521" s="115">
        <f t="shared" si="403"/>
        <v>0</v>
      </c>
      <c r="FP521" s="115">
        <f t="shared" si="403"/>
        <v>0</v>
      </c>
      <c r="FQ521" s="149">
        <f t="shared" si="403"/>
        <v>0</v>
      </c>
      <c r="FR521" s="142">
        <f t="shared" si="403"/>
        <v>0</v>
      </c>
      <c r="FS521" s="119">
        <f t="shared" si="403"/>
        <v>0</v>
      </c>
      <c r="FT521" s="121">
        <f t="shared" si="403"/>
        <v>0</v>
      </c>
      <c r="FU521" s="121">
        <f t="shared" si="384"/>
        <v>0</v>
      </c>
      <c r="FV521" s="121">
        <f t="shared" si="384"/>
        <v>0</v>
      </c>
      <c r="FW521" s="121">
        <f t="shared" si="385"/>
        <v>0</v>
      </c>
      <c r="FX521" s="121">
        <f>CN521-ES521</f>
        <v>0</v>
      </c>
      <c r="FY521" s="144">
        <f t="shared" si="386"/>
        <v>0</v>
      </c>
      <c r="FZ521" s="145"/>
      <c r="GA521" s="151" t="s">
        <v>804</v>
      </c>
      <c r="GB521" s="145"/>
      <c r="GC521" s="151"/>
      <c r="GD521" s="997" t="s">
        <v>416</v>
      </c>
      <c r="GE521" s="1004"/>
      <c r="GF521" s="1004">
        <v>0</v>
      </c>
      <c r="GG521" s="1004"/>
      <c r="GH521" s="1004">
        <v>0</v>
      </c>
      <c r="GI521" s="145"/>
      <c r="GJ521" s="996">
        <v>0</v>
      </c>
      <c r="GK521" s="145"/>
      <c r="GL521" s="996">
        <v>0</v>
      </c>
      <c r="GM521" s="1005"/>
      <c r="GN521" s="996">
        <v>0</v>
      </c>
      <c r="GO521" s="1006"/>
      <c r="GP521" s="996">
        <v>0</v>
      </c>
      <c r="GQ521" s="1006"/>
      <c r="GR521" s="996">
        <v>0</v>
      </c>
      <c r="GS521" s="1006"/>
      <c r="GT521" s="996">
        <v>0</v>
      </c>
      <c r="GU521" s="1006"/>
      <c r="GV521" s="996">
        <v>0.58519999999999983</v>
      </c>
      <c r="GW521" s="1006"/>
      <c r="GX521" s="996">
        <v>0</v>
      </c>
      <c r="GY521" s="1006"/>
      <c r="GZ521" s="996">
        <v>0</v>
      </c>
      <c r="HA521" s="1006"/>
      <c r="HB521" s="996">
        <v>0</v>
      </c>
      <c r="HC521" s="1006"/>
      <c r="HD521" s="996">
        <v>-0.7061148599999999</v>
      </c>
      <c r="HE521" s="1006"/>
      <c r="HF521" s="996">
        <v>0</v>
      </c>
      <c r="HG521" s="1006"/>
      <c r="HH521" s="996">
        <v>0</v>
      </c>
      <c r="HI521" s="1006" t="s">
        <v>204</v>
      </c>
      <c r="HJ521" s="996">
        <v>-1.2660676599999996</v>
      </c>
      <c r="HK521" s="1006"/>
      <c r="HL521" s="996">
        <v>0</v>
      </c>
      <c r="HM521" s="1006" t="s">
        <v>204</v>
      </c>
      <c r="HN521" s="996">
        <v>1.7364890399999995</v>
      </c>
      <c r="HO521" s="1006"/>
      <c r="HP521" s="996">
        <v>-1.5106520000000012E-2</v>
      </c>
      <c r="HQ521" s="1006"/>
      <c r="HR521" s="996">
        <v>0</v>
      </c>
      <c r="HS521" s="1006"/>
      <c r="HT521" s="996">
        <v>0</v>
      </c>
      <c r="HU521" s="1006" t="s">
        <v>206</v>
      </c>
      <c r="HV521" s="996">
        <v>-1.3367639999999998</v>
      </c>
      <c r="HW521" s="1006"/>
      <c r="HX521" s="996">
        <v>0.23363156959999998</v>
      </c>
      <c r="HY521" s="1006"/>
      <c r="HZ521" s="996">
        <v>0.60431213040000009</v>
      </c>
      <c r="IA521" s="1006" t="s">
        <v>204</v>
      </c>
      <c r="IB521" s="996">
        <v>1.2177802999999998</v>
      </c>
      <c r="IC521" s="1006"/>
      <c r="ID521" s="996">
        <v>0</v>
      </c>
      <c r="IE521" s="1006"/>
      <c r="IF521" s="996">
        <v>0</v>
      </c>
      <c r="IG521" s="1006"/>
      <c r="IH521" s="996">
        <v>0</v>
      </c>
      <c r="II521" s="1006"/>
      <c r="IJ521" s="996">
        <v>0</v>
      </c>
      <c r="IK521" s="1006"/>
      <c r="IL521" s="996">
        <v>-0.86943999999999999</v>
      </c>
      <c r="IM521" s="1006"/>
      <c r="IN521" s="996">
        <v>0</v>
      </c>
      <c r="IO521" s="1006"/>
      <c r="IP521" s="996">
        <v>0</v>
      </c>
      <c r="IQ521" s="1006"/>
      <c r="IR521" s="996">
        <v>-0.69889599999999974</v>
      </c>
      <c r="IS521" s="1006"/>
      <c r="IT521" s="996">
        <v>0</v>
      </c>
      <c r="IU521" s="1006"/>
      <c r="IV521" s="996">
        <v>-0.88741400000000015</v>
      </c>
      <c r="IW521" s="1006"/>
      <c r="IX521" s="996">
        <v>0</v>
      </c>
      <c r="IY521" s="1006"/>
      <c r="IZ521" s="996">
        <v>0</v>
      </c>
      <c r="JA521" s="1006"/>
      <c r="JB521" s="996">
        <v>0</v>
      </c>
      <c r="JC521" s="1006"/>
      <c r="JD521" s="996">
        <v>0</v>
      </c>
      <c r="JE521" s="1006"/>
      <c r="JF521" s="996">
        <v>0</v>
      </c>
      <c r="JG521" s="1006"/>
      <c r="JH521" s="996">
        <v>0</v>
      </c>
      <c r="JI521" s="1006"/>
      <c r="JJ521" s="996">
        <v>0</v>
      </c>
      <c r="JK521" s="1007"/>
      <c r="JL521" s="1007">
        <v>0</v>
      </c>
      <c r="JM521" s="1007"/>
      <c r="JN521" s="1007">
        <v>0</v>
      </c>
      <c r="JO521" s="1008"/>
      <c r="JP521" s="1007">
        <v>0</v>
      </c>
      <c r="JQ521" s="1008">
        <v>0</v>
      </c>
      <c r="JR521" s="1007">
        <v>3.8038000000000238E-2</v>
      </c>
      <c r="JS521" s="1008">
        <v>0</v>
      </c>
      <c r="JT521" s="1007">
        <v>0</v>
      </c>
      <c r="JU521" s="1008" t="s">
        <v>204</v>
      </c>
      <c r="JV521" s="1007">
        <v>-1.3944480000000001</v>
      </c>
      <c r="JW521" s="1008" t="s">
        <v>197</v>
      </c>
      <c r="JX521" s="1007">
        <v>0</v>
      </c>
      <c r="JY521" s="1008"/>
      <c r="JZ521" s="1007">
        <v>0</v>
      </c>
      <c r="KA521" s="1008"/>
      <c r="KB521" s="1007">
        <v>0</v>
      </c>
      <c r="KC521" s="1008"/>
      <c r="KD521" s="1007">
        <v>0</v>
      </c>
      <c r="KE521" s="1008"/>
      <c r="KF521" s="1007">
        <v>0</v>
      </c>
      <c r="KG521" s="1008" t="s">
        <v>204</v>
      </c>
      <c r="KH521" s="1007">
        <v>1.3376000000000001</v>
      </c>
      <c r="KI521" s="1008" t="s">
        <v>206</v>
      </c>
      <c r="KJ521" s="1007">
        <v>-2.1736000000000004</v>
      </c>
      <c r="KK521" s="1008"/>
      <c r="KL521" s="1007"/>
      <c r="KM521" s="1008"/>
      <c r="KN521" s="1007">
        <v>0</v>
      </c>
      <c r="KO521" s="1008"/>
      <c r="KP521" s="1007">
        <v>0</v>
      </c>
      <c r="KQ521" s="1008">
        <v>0</v>
      </c>
      <c r="KR521" s="1007">
        <v>0</v>
      </c>
      <c r="KS521" s="1008">
        <v>0</v>
      </c>
      <c r="KT521" s="1007">
        <v>0</v>
      </c>
      <c r="KU521" s="1008" t="s">
        <v>476</v>
      </c>
      <c r="KV521" s="1007">
        <v>5.016</v>
      </c>
      <c r="KW521" s="1008">
        <v>0</v>
      </c>
      <c r="KX521" s="1007">
        <v>0</v>
      </c>
      <c r="KY521" s="1008">
        <v>0</v>
      </c>
      <c r="KZ521" s="1007">
        <v>0</v>
      </c>
      <c r="LA521" s="1008">
        <v>0</v>
      </c>
      <c r="LB521" s="1007">
        <v>0</v>
      </c>
      <c r="LC521" s="1008">
        <v>0</v>
      </c>
      <c r="LD521" s="1007">
        <v>0</v>
      </c>
      <c r="LE521" s="1008">
        <v>0</v>
      </c>
      <c r="LF521" s="1007">
        <v>0</v>
      </c>
      <c r="LG521" s="1008">
        <v>0</v>
      </c>
      <c r="LH521" s="1007">
        <v>0</v>
      </c>
      <c r="LI521" s="1008">
        <v>0</v>
      </c>
      <c r="LJ521" s="1007">
        <v>0</v>
      </c>
      <c r="LK521" s="1008">
        <v>0</v>
      </c>
      <c r="LL521" s="1007">
        <v>0</v>
      </c>
      <c r="LM521" s="1008">
        <v>0</v>
      </c>
      <c r="LN521" s="1007">
        <v>0</v>
      </c>
      <c r="LO521" s="1008">
        <v>0</v>
      </c>
      <c r="LP521" s="1007">
        <v>0</v>
      </c>
      <c r="LQ521" s="1008">
        <v>0</v>
      </c>
      <c r="LR521" s="1007">
        <v>0</v>
      </c>
      <c r="LS521" s="1008">
        <v>0</v>
      </c>
      <c r="LT521" s="1007">
        <v>0</v>
      </c>
      <c r="LU521" s="1008">
        <v>0</v>
      </c>
      <c r="LV521" s="1007">
        <v>-0.24243999999999999</v>
      </c>
      <c r="LW521" s="1008" t="s">
        <v>206</v>
      </c>
      <c r="LX521" s="1007">
        <v>-1.9516</v>
      </c>
      <c r="LY521" s="1009" t="s">
        <v>206</v>
      </c>
      <c r="LZ521" s="1010">
        <v>-1.1739999999999999</v>
      </c>
      <c r="MA521" s="1011">
        <v>0</v>
      </c>
      <c r="MB521" s="1012">
        <v>-1.9729599999999996</v>
      </c>
      <c r="MC521" s="995"/>
      <c r="MD521" s="996"/>
      <c r="ME521" s="997" t="s">
        <v>416</v>
      </c>
      <c r="MF521" s="997"/>
      <c r="MG521" s="998"/>
      <c r="NR521" s="1000"/>
      <c r="NS521" s="1000"/>
      <c r="NT521" s="1001"/>
      <c r="NU521" s="1000"/>
      <c r="NV521" s="1001"/>
      <c r="NX521" s="1002"/>
      <c r="NZ521" s="1001"/>
      <c r="OA521" s="1001"/>
      <c r="OC521" s="1003"/>
      <c r="OD521" s="1003"/>
      <c r="OE521" s="1001"/>
      <c r="OF521" s="1003"/>
      <c r="OG521" s="1003"/>
      <c r="QX521" s="1000">
        <f>CN521-CA521</f>
        <v>48</v>
      </c>
      <c r="ASU521" s="999" t="s">
        <v>292</v>
      </c>
    </row>
    <row r="522" spans="1:466 1191:1191" ht="21" customHeight="1" x14ac:dyDescent="0.25">
      <c r="A522" s="982">
        <f t="shared" si="372"/>
        <v>3216</v>
      </c>
      <c r="B522" s="124">
        <f>SUBTOTAL(103,$J$29:J522)</f>
        <v>494</v>
      </c>
      <c r="C522" s="126">
        <v>45096</v>
      </c>
      <c r="D522" s="124" t="s">
        <v>176</v>
      </c>
      <c r="E522" s="127" t="s">
        <v>177</v>
      </c>
      <c r="F522" s="128" t="s">
        <v>177</v>
      </c>
      <c r="G522" s="127" t="s">
        <v>178</v>
      </c>
      <c r="H522" s="127" t="s">
        <v>408</v>
      </c>
      <c r="I522" s="127" t="s">
        <v>456</v>
      </c>
      <c r="J522" s="152">
        <v>3216</v>
      </c>
      <c r="K522" s="127" t="s">
        <v>182</v>
      </c>
      <c r="L522" s="130">
        <v>42122</v>
      </c>
      <c r="M522" s="127" t="s">
        <v>230</v>
      </c>
      <c r="N522" s="127" t="s">
        <v>231</v>
      </c>
      <c r="O522" s="127" t="s">
        <v>185</v>
      </c>
      <c r="P522" s="127" t="s">
        <v>315</v>
      </c>
      <c r="Q522" s="85" t="str">
        <f t="shared" si="423"/>
        <v/>
      </c>
      <c r="R522" s="130"/>
      <c r="S522" s="128"/>
      <c r="T522" s="131"/>
      <c r="U522" s="132">
        <v>203</v>
      </c>
      <c r="V522" s="121">
        <v>218.2</v>
      </c>
      <c r="W522" s="116">
        <v>0.98</v>
      </c>
      <c r="X522" s="116">
        <v>1.66</v>
      </c>
      <c r="Y522" s="116">
        <f t="shared" si="408"/>
        <v>0.98</v>
      </c>
      <c r="Z522" s="133">
        <v>1.454</v>
      </c>
      <c r="AA522" s="133">
        <v>0.83599999999999997</v>
      </c>
      <c r="AB522" s="133">
        <v>0.72</v>
      </c>
      <c r="AC522" s="121">
        <v>34.299999999999997</v>
      </c>
      <c r="AD522" s="134">
        <v>1.17</v>
      </c>
      <c r="AE522" s="124">
        <v>177.8</v>
      </c>
      <c r="AF522" s="128">
        <v>7.72</v>
      </c>
      <c r="AG522" s="128">
        <v>2109</v>
      </c>
      <c r="AH522" s="127">
        <v>2848</v>
      </c>
      <c r="AI522" s="127">
        <v>2848</v>
      </c>
      <c r="AJ522" s="135">
        <v>44908</v>
      </c>
      <c r="AK522" s="128"/>
      <c r="AL522" s="131"/>
      <c r="AM522" s="124" t="s">
        <v>232</v>
      </c>
      <c r="AN522" s="136" t="s">
        <v>1851</v>
      </c>
      <c r="AO522" s="137">
        <v>698</v>
      </c>
      <c r="AP522" s="128">
        <v>2150</v>
      </c>
      <c r="AQ522" s="128">
        <v>227</v>
      </c>
      <c r="AR522" s="128"/>
      <c r="AS522" s="128"/>
      <c r="AT522" s="122"/>
      <c r="AU522" s="124" t="s">
        <v>189</v>
      </c>
      <c r="AV522" s="115">
        <f>VLOOKUP(J522,'[63]ТР нефть'!$J$28:$BP$638,39,0)</f>
        <v>450</v>
      </c>
      <c r="AW522" s="115" t="str">
        <f>VLOOKUP(J522,'[63]ТР нефть'!$J$28:$BP$638,40,0)</f>
        <v>ГП</v>
      </c>
      <c r="AX522" s="115">
        <f>VLOOKUP(J522,'[63]ТР нефть'!$J$28:$BP$638,41,0)</f>
        <v>815</v>
      </c>
      <c r="AY522" s="115" t="str">
        <f>VLOOKUP(J522,'[63]ТР нефть'!$J$28:$BP$638,42,0)</f>
        <v>ГП</v>
      </c>
      <c r="AZ522" s="115">
        <f>VLOOKUP(J522,'[63]ТР нефть'!$J$28:$BP$638,43,0)</f>
        <v>1110</v>
      </c>
      <c r="BA522" s="115" t="str">
        <f>VLOOKUP(J522,'[63]ТР нефть'!$J$28:$BP$638,44,0)</f>
        <v>ГП</v>
      </c>
      <c r="BB522" s="115">
        <f>VLOOKUP(J522,'[63]ТР нефть'!$J$28:$BP$638,45,0)</f>
        <v>1355</v>
      </c>
      <c r="BC522" s="115" t="str">
        <f>VLOOKUP(J522,'[63]ТР нефть'!$J$28:$BP$638,46,0)</f>
        <v>ГП</v>
      </c>
      <c r="BD522" s="115">
        <f>VLOOKUP(J522,'[63]ТР нефть'!$J$28:$BP$638,47,0)</f>
        <v>1565</v>
      </c>
      <c r="BE522" s="115" t="str">
        <f>VLOOKUP(J522,'[63]ТР нефть'!$J$28:$BP$638,48,0)</f>
        <v>ГК 80 5/32</v>
      </c>
      <c r="BF522" s="115">
        <f>VLOOKUP(J522,'[63]ТР нефть'!$J$28:$BP$638,49,0)</f>
        <v>1780</v>
      </c>
      <c r="BG522" s="115" t="str">
        <f>VLOOKUP(J522,'[63]ТР нефть'!$J$28:$BP$638,50,0)</f>
        <v>ЦКсОК 5/16</v>
      </c>
      <c r="BH522" s="115" t="str">
        <f>VLOOKUP(J522,'[63]ТР нефть'!$J$28:$BP$638,51,0)</f>
        <v>-</v>
      </c>
      <c r="BI522" s="115" t="str">
        <f>VLOOKUP(J522,'[63]ТР нефть'!$J$28:$BP$638,52,0)</f>
        <v>-</v>
      </c>
      <c r="BJ522" s="115" t="str">
        <f>IF(IFERROR(VLOOKUP(J522,'[63]ТР нефть'!$J$28:$BP$638,53,0),"-")=0,"-",IFERROR(VLOOKUP(J522,'[63]ТР нефть'!$J$28:$BP$638,53,0),"-"))</f>
        <v>-</v>
      </c>
      <c r="BK522" s="138" t="str">
        <f>IF(IFERROR(VLOOKUP(J522,'[63]ТР нефть'!$J$28:$BP$638,54,0),"-")=0,"-",IFERROR(VLOOKUP(J522,'[63]ТР нефть'!$J$28:$BP$638,54,0),"-"))</f>
        <v>-</v>
      </c>
      <c r="BL522" s="138" t="str">
        <f>IF(IFERROR(VLOOKUP(J522,'[63]ТР нефть'!$J$28:$BP$638,55,0),"-")=0,"-",IFERROR(VLOOKUP(J522,'[63]ТР нефть'!$J$28:$BP$638,55,0),"-"))</f>
        <v>-</v>
      </c>
      <c r="BM522" s="138" t="str">
        <f>IF(IFERROR(VLOOKUP(J522,'[63]ТР нефть'!$J$28:$BP$638,56,0),"-")=0,"-",IFERROR(VLOOKUP(J522,'[63]ТР нефть'!$J$28:$BP$638,56,0),"-"))</f>
        <v>-</v>
      </c>
      <c r="BN522" s="138" t="str">
        <f>IF(IFERROR(VLOOKUP(J522,'[63]ТР нефть'!$J$28:$BP$638,57,0),"-")=0,"-",IFERROR(VLOOKUP(J522,'[63]ТР нефть'!$J$28:$BP$638,57,0),"-"))</f>
        <v>-</v>
      </c>
      <c r="BO522" s="115" t="str">
        <f>IF(IFERROR(VLOOKUP(J522,'[63]ТР нефть'!$J$28:$BP$638,58,0),"-")=0,"-",IFERROR(VLOOKUP(J522,'[63]ТР нефть'!$J$28:$BP$638,58,0),"-"))</f>
        <v>-</v>
      </c>
      <c r="BP522" s="115" t="str">
        <f>IF(IFERROR(VLOOKUP(J522,'[63]ТР нефть'!$J$28:$BP$638,59,0),"-")=0,"-",IFERROR(VLOOKUP(J522,'[63]ТР нефть'!$J$28:$BP$638,59,0),"-"))</f>
        <v>-</v>
      </c>
      <c r="BQ522" s="138">
        <v>2130</v>
      </c>
      <c r="BR522" s="128">
        <f>1736.33+140.3</f>
        <v>1876.6299999999999</v>
      </c>
      <c r="BS522" s="115">
        <f t="shared" si="435"/>
        <v>253.37000000000012</v>
      </c>
      <c r="BT522" s="128">
        <v>73</v>
      </c>
      <c r="BU522" s="128">
        <v>5.5</v>
      </c>
      <c r="BV522" s="127">
        <v>65</v>
      </c>
      <c r="BW522" s="127" t="s">
        <v>217</v>
      </c>
      <c r="BX522" s="127" t="s">
        <v>195</v>
      </c>
      <c r="BY522" s="139">
        <v>24</v>
      </c>
      <c r="BZ522" s="139">
        <v>0</v>
      </c>
      <c r="CA522" s="138">
        <v>22</v>
      </c>
      <c r="CB522" s="138">
        <v>36</v>
      </c>
      <c r="CC522" s="138">
        <v>21</v>
      </c>
      <c r="CD522" s="135">
        <v>45017</v>
      </c>
      <c r="CE522" s="138">
        <v>111</v>
      </c>
      <c r="CF522" s="138">
        <v>79</v>
      </c>
      <c r="CG522" s="138" t="str">
        <f t="shared" si="433"/>
        <v>В работе</v>
      </c>
      <c r="CH522" s="138" t="s">
        <v>196</v>
      </c>
      <c r="CI522" s="127">
        <v>5</v>
      </c>
      <c r="CJ522" s="138"/>
      <c r="CK522" s="138"/>
      <c r="CL522" s="99"/>
      <c r="CM522" s="99"/>
      <c r="CN522" s="140">
        <v>51</v>
      </c>
      <c r="CO522" s="141">
        <f t="shared" si="373"/>
        <v>4.2635999999999994</v>
      </c>
      <c r="CP522" s="142">
        <v>5.0999999999999996</v>
      </c>
      <c r="CQ522" s="143">
        <v>0</v>
      </c>
      <c r="CR522" s="138">
        <v>14.4</v>
      </c>
      <c r="CS522" s="139">
        <v>11</v>
      </c>
      <c r="CT522" s="138"/>
      <c r="CU522" s="138">
        <f t="shared" si="418"/>
        <v>3.4000000000000004</v>
      </c>
      <c r="CV522" s="115">
        <f t="shared" si="419"/>
        <v>797.44816586921877</v>
      </c>
      <c r="CW522" s="115">
        <f t="shared" si="374"/>
        <v>2579.979360165119</v>
      </c>
      <c r="CX522" s="133">
        <f t="shared" si="420"/>
        <v>8.4999999999999992E-2</v>
      </c>
      <c r="CY522" s="116"/>
      <c r="CZ522" s="131"/>
      <c r="DA522" s="145" t="str">
        <f t="shared" si="375"/>
        <v>Газлифт</v>
      </c>
      <c r="DB522" s="146">
        <f t="shared" si="390"/>
        <v>4.2635999999999994</v>
      </c>
      <c r="DC522" s="142">
        <f t="shared" si="402"/>
        <v>5.0999999999999996</v>
      </c>
      <c r="DD522" s="119">
        <f t="shared" si="416"/>
        <v>0</v>
      </c>
      <c r="DE522" s="115">
        <f t="shared" si="392"/>
        <v>3.4000000000000004</v>
      </c>
      <c r="DF522" s="121">
        <f t="shared" si="376"/>
        <v>11</v>
      </c>
      <c r="DG522" s="115">
        <f t="shared" si="377"/>
        <v>797.44816586921877</v>
      </c>
      <c r="DH522" s="115">
        <f t="shared" si="378"/>
        <v>51</v>
      </c>
      <c r="DI522" s="147"/>
      <c r="DJ522" s="111" t="s">
        <v>197</v>
      </c>
      <c r="DK522" s="112">
        <v>43643</v>
      </c>
      <c r="DL522" s="113">
        <f t="shared" ca="1" si="424"/>
        <v>1461</v>
      </c>
      <c r="DM522" s="114"/>
      <c r="DN522" s="114"/>
      <c r="DO522" s="114"/>
      <c r="DP522" s="114"/>
      <c r="DQ522" s="112">
        <v>43643</v>
      </c>
      <c r="DR522" s="114" t="s">
        <v>324</v>
      </c>
      <c r="DS522" s="114"/>
      <c r="DT522" s="115">
        <v>60</v>
      </c>
      <c r="DU522" s="116">
        <f t="shared" si="425"/>
        <v>9.9999999999999992E-2</v>
      </c>
      <c r="DV522" s="117">
        <f t="shared" si="428"/>
        <v>4.2635999999999994</v>
      </c>
      <c r="DW522" s="118">
        <f t="shared" si="429"/>
        <v>5.0999999999999996</v>
      </c>
      <c r="DX522" s="119">
        <f t="shared" si="430"/>
        <v>0</v>
      </c>
      <c r="DY522" s="115">
        <f t="shared" si="431"/>
        <v>3.4000000000000004</v>
      </c>
      <c r="DZ522" s="117">
        <f t="shared" si="426"/>
        <v>0</v>
      </c>
      <c r="EA522" s="120">
        <f t="shared" si="426"/>
        <v>0</v>
      </c>
      <c r="EB522" s="119">
        <f t="shared" si="387"/>
        <v>0</v>
      </c>
      <c r="EC522" s="121">
        <f t="shared" si="415"/>
        <v>0</v>
      </c>
      <c r="ED522" s="122"/>
      <c r="EE522" s="145">
        <v>65</v>
      </c>
      <c r="EF522" s="115">
        <v>22</v>
      </c>
      <c r="EG522" s="115">
        <v>36</v>
      </c>
      <c r="EH522" s="115">
        <v>21</v>
      </c>
      <c r="EI522" s="128" t="s">
        <v>195</v>
      </c>
      <c r="EJ522" s="121">
        <v>24</v>
      </c>
      <c r="EK522" s="121">
        <v>0</v>
      </c>
      <c r="EL522" s="149">
        <v>4.2635999999999994</v>
      </c>
      <c r="EM522" s="142">
        <v>5.0999999999999996</v>
      </c>
      <c r="EN522" s="119">
        <v>0</v>
      </c>
      <c r="EO522" s="115">
        <v>14.4</v>
      </c>
      <c r="EP522" s="115">
        <v>797.44816586921877</v>
      </c>
      <c r="EQ522" s="115">
        <v>79</v>
      </c>
      <c r="ER522" s="115">
        <v>11</v>
      </c>
      <c r="ES522" s="115">
        <v>51</v>
      </c>
      <c r="ET522" s="150">
        <v>8.4999999999999992E-2</v>
      </c>
      <c r="EU522" s="145">
        <f t="shared" si="400"/>
        <v>65</v>
      </c>
      <c r="EV522" s="115">
        <f t="shared" si="380"/>
        <v>22</v>
      </c>
      <c r="EW522" s="115">
        <f t="shared" si="380"/>
        <v>36</v>
      </c>
      <c r="EX522" s="115">
        <f t="shared" si="380"/>
        <v>21</v>
      </c>
      <c r="EY522" s="115" t="str">
        <f t="shared" si="434"/>
        <v>Постоянный</v>
      </c>
      <c r="EZ522" s="115">
        <f t="shared" si="434"/>
        <v>24</v>
      </c>
      <c r="FA522" s="115">
        <f t="shared" si="434"/>
        <v>0</v>
      </c>
      <c r="FB522" s="149">
        <f t="shared" si="405"/>
        <v>4.2635999999999994</v>
      </c>
      <c r="FC522" s="142">
        <f t="shared" si="405"/>
        <v>5.0999999999999996</v>
      </c>
      <c r="FD522" s="119">
        <f t="shared" si="405"/>
        <v>0</v>
      </c>
      <c r="FE522" s="121">
        <f t="shared" si="405"/>
        <v>14.4</v>
      </c>
      <c r="FF522" s="121">
        <f t="shared" si="407"/>
        <v>797.44816586921877</v>
      </c>
      <c r="FG522" s="121">
        <f t="shared" si="381"/>
        <v>79</v>
      </c>
      <c r="FH522" s="121">
        <f t="shared" si="436"/>
        <v>11</v>
      </c>
      <c r="FI522" s="121">
        <f t="shared" si="427"/>
        <v>51</v>
      </c>
      <c r="FJ522" s="144">
        <f t="shared" si="382"/>
        <v>8.4999999999999992E-2</v>
      </c>
      <c r="FK522" s="132">
        <f t="shared" si="383"/>
        <v>0</v>
      </c>
      <c r="FL522" s="115">
        <f t="shared" si="383"/>
        <v>0</v>
      </c>
      <c r="FM522" s="115">
        <f t="shared" si="383"/>
        <v>0</v>
      </c>
      <c r="FN522" s="115">
        <f t="shared" si="371"/>
        <v>0</v>
      </c>
      <c r="FO522" s="115">
        <f t="shared" si="403"/>
        <v>0</v>
      </c>
      <c r="FP522" s="115">
        <f t="shared" si="403"/>
        <v>0</v>
      </c>
      <c r="FQ522" s="149">
        <f t="shared" si="403"/>
        <v>0</v>
      </c>
      <c r="FR522" s="142">
        <f t="shared" si="403"/>
        <v>0</v>
      </c>
      <c r="FS522" s="119">
        <f t="shared" si="403"/>
        <v>0</v>
      </c>
      <c r="FT522" s="121">
        <f t="shared" si="403"/>
        <v>0</v>
      </c>
      <c r="FU522" s="121">
        <f t="shared" si="384"/>
        <v>0</v>
      </c>
      <c r="FV522" s="121">
        <f t="shared" si="384"/>
        <v>0</v>
      </c>
      <c r="FW522" s="121">
        <f t="shared" si="385"/>
        <v>0</v>
      </c>
      <c r="FX522" s="121">
        <f t="shared" si="386"/>
        <v>0</v>
      </c>
      <c r="FY522" s="144">
        <f t="shared" si="386"/>
        <v>0</v>
      </c>
      <c r="FZ522" s="145"/>
      <c r="GA522" s="1033" t="s">
        <v>387</v>
      </c>
      <c r="GB522" s="145" t="s">
        <v>223</v>
      </c>
      <c r="GC522" s="1033" t="s">
        <v>1852</v>
      </c>
      <c r="GD522" s="997" t="s">
        <v>238</v>
      </c>
      <c r="GE522" s="1004" t="s">
        <v>223</v>
      </c>
      <c r="GF522" s="1004">
        <v>-3.9292000000000007</v>
      </c>
      <c r="GG522" s="1004"/>
      <c r="GH522" s="1004">
        <v>-0.16719999999999935</v>
      </c>
      <c r="GI522" s="145"/>
      <c r="GJ522" s="996">
        <v>0</v>
      </c>
      <c r="GK522" s="145" t="s">
        <v>223</v>
      </c>
      <c r="GL522" s="996">
        <v>-10.867999999999999</v>
      </c>
      <c r="GM522" s="1005"/>
      <c r="GN522" s="996">
        <v>0.3279999999999994</v>
      </c>
      <c r="GO522" s="1006"/>
      <c r="GP522" s="996">
        <v>0</v>
      </c>
      <c r="GQ522" s="1006" t="s">
        <v>308</v>
      </c>
      <c r="GR522" s="996">
        <v>0.51898880000000003</v>
      </c>
      <c r="GS522" s="1006"/>
      <c r="GT522" s="996">
        <v>0</v>
      </c>
      <c r="GU522" s="1006"/>
      <c r="GV522" s="996">
        <v>0</v>
      </c>
      <c r="GW522" s="1006"/>
      <c r="GX522" s="997">
        <v>0</v>
      </c>
      <c r="GY522" s="1006"/>
      <c r="GZ522" s="996">
        <v>0</v>
      </c>
      <c r="HA522" s="1006"/>
      <c r="HB522" s="996">
        <v>0.22070399999999979</v>
      </c>
      <c r="HC522" s="1006" t="s">
        <v>199</v>
      </c>
      <c r="HD522" s="996">
        <v>-2.514688</v>
      </c>
      <c r="HE522" s="1006" t="s">
        <v>199</v>
      </c>
      <c r="HF522" s="996">
        <v>-2.5013119999999991</v>
      </c>
      <c r="HG522" s="1006"/>
      <c r="HH522" s="996">
        <v>0</v>
      </c>
      <c r="HI522" s="1006"/>
      <c r="HJ522" s="996">
        <v>0</v>
      </c>
      <c r="HK522" s="1006"/>
      <c r="HL522" s="996">
        <v>0</v>
      </c>
      <c r="HM522" s="1006"/>
      <c r="HN522" s="996">
        <v>0</v>
      </c>
      <c r="HO522" s="1006"/>
      <c r="HP522" s="996">
        <v>0</v>
      </c>
      <c r="HQ522" s="1006"/>
      <c r="HR522" s="996">
        <v>0</v>
      </c>
      <c r="HS522" s="1006"/>
      <c r="HT522" s="996">
        <v>0</v>
      </c>
      <c r="HU522" s="1006"/>
      <c r="HV522" s="996">
        <v>0.41799999999999926</v>
      </c>
      <c r="HW522" s="1006" t="s">
        <v>199</v>
      </c>
      <c r="HX522" s="996">
        <v>3.3440000000000003</v>
      </c>
      <c r="HY522" s="1006"/>
      <c r="HZ522" s="996">
        <v>0</v>
      </c>
      <c r="IA522" s="1006"/>
      <c r="IB522" s="996">
        <v>0</v>
      </c>
      <c r="IC522" s="1006"/>
      <c r="ID522" s="996">
        <v>8.3599999999999675E-2</v>
      </c>
      <c r="IE522" s="1006"/>
      <c r="IF522" s="996">
        <v>0</v>
      </c>
      <c r="IG522" s="1006"/>
      <c r="IH522" s="996">
        <v>-0.33439999999999981</v>
      </c>
      <c r="II522" s="1006" t="s">
        <v>199</v>
      </c>
      <c r="IJ522" s="996">
        <v>1.3376000000000001</v>
      </c>
      <c r="IK522" s="1006"/>
      <c r="IL522" s="996">
        <v>0</v>
      </c>
      <c r="IM522" s="1006" t="s">
        <v>199</v>
      </c>
      <c r="IN522" s="996">
        <v>-1.6168240000000003</v>
      </c>
      <c r="IO522" s="1006" t="s">
        <v>204</v>
      </c>
      <c r="IP522" s="996">
        <v>-5.8904560000000004</v>
      </c>
      <c r="IQ522" s="1006"/>
      <c r="IR522" s="996">
        <v>0</v>
      </c>
      <c r="IS522" s="1006"/>
      <c r="IT522" s="996">
        <v>0</v>
      </c>
      <c r="IU522" s="1006"/>
      <c r="IV522" s="996">
        <v>0</v>
      </c>
      <c r="IW522" s="1006"/>
      <c r="IX522" s="996">
        <v>0</v>
      </c>
      <c r="IY522" s="1006"/>
      <c r="IZ522" s="996">
        <v>0</v>
      </c>
      <c r="JA522" s="1006"/>
      <c r="JB522" s="996">
        <v>0</v>
      </c>
      <c r="JC522" s="1006" t="s">
        <v>204</v>
      </c>
      <c r="JD522" s="996">
        <v>-4.6638935199999985</v>
      </c>
      <c r="JE522" s="1006" t="s">
        <v>204</v>
      </c>
      <c r="JF522" s="996">
        <v>4.119911664</v>
      </c>
      <c r="JG522" s="1006"/>
      <c r="JH522" s="996">
        <v>0</v>
      </c>
      <c r="JI522" s="1006" t="s">
        <v>204</v>
      </c>
      <c r="JJ522" s="996">
        <v>4.3779112959999988</v>
      </c>
      <c r="JK522" s="1007" t="s">
        <v>204</v>
      </c>
      <c r="JL522" s="1007">
        <v>-4.7863006400000003</v>
      </c>
      <c r="JM522" s="1007"/>
      <c r="JN522" s="1007">
        <v>0</v>
      </c>
      <c r="JO522" s="1008" t="s">
        <v>199</v>
      </c>
      <c r="JP522" s="1007">
        <v>1.2351064000000012</v>
      </c>
      <c r="JQ522" s="1008" t="s">
        <v>435</v>
      </c>
      <c r="JR522" s="1007">
        <v>-10.268922400000001</v>
      </c>
      <c r="JS522" s="1008">
        <v>0</v>
      </c>
      <c r="JT522" s="1007">
        <v>0</v>
      </c>
      <c r="JU522" s="1008"/>
      <c r="JV522" s="1007"/>
      <c r="JW522" s="1008"/>
      <c r="JX522" s="1007"/>
      <c r="JY522" s="1008"/>
      <c r="JZ522" s="1007"/>
      <c r="KA522" s="1008"/>
      <c r="KB522" s="1007"/>
      <c r="KC522" s="1008"/>
      <c r="KD522" s="1007"/>
      <c r="KE522" s="1008"/>
      <c r="KF522" s="1007"/>
      <c r="KG522" s="1008"/>
      <c r="KH522" s="1007"/>
      <c r="KI522" s="1008"/>
      <c r="KJ522" s="1007"/>
      <c r="KK522" s="1008"/>
      <c r="KL522" s="1007"/>
      <c r="KM522" s="1008"/>
      <c r="KN522" s="1007"/>
      <c r="KO522" s="1008"/>
      <c r="KP522" s="1007"/>
      <c r="KQ522" s="1008"/>
      <c r="KR522" s="1007"/>
      <c r="KS522" s="1008"/>
      <c r="KT522" s="1007"/>
      <c r="KU522" s="1008"/>
      <c r="KV522" s="1007"/>
      <c r="KW522" s="1008"/>
      <c r="KX522" s="1007"/>
      <c r="KY522" s="1008"/>
      <c r="KZ522" s="1007"/>
      <c r="LA522" s="1008"/>
      <c r="LB522" s="1007"/>
      <c r="LC522" s="1008"/>
      <c r="LD522" s="1007"/>
      <c r="LE522" s="1008"/>
      <c r="LF522" s="1007"/>
      <c r="LG522" s="1008"/>
      <c r="LH522" s="1007"/>
      <c r="LI522" s="1008"/>
      <c r="LJ522" s="1007"/>
      <c r="LK522" s="1008"/>
      <c r="LL522" s="1007"/>
      <c r="LM522" s="1008"/>
      <c r="LN522" s="1007"/>
      <c r="LO522" s="1008"/>
      <c r="LP522" s="1007"/>
      <c r="LQ522" s="1008"/>
      <c r="LR522" s="1007"/>
      <c r="LS522" s="1008"/>
      <c r="LT522" s="1007"/>
      <c r="LU522" s="1008"/>
      <c r="LV522" s="1007"/>
      <c r="LW522" s="1008"/>
      <c r="LX522" s="1007"/>
      <c r="LY522" s="1009"/>
      <c r="LZ522" s="1010"/>
      <c r="MA522" s="1011"/>
      <c r="MB522" s="1012"/>
      <c r="MC522" s="995"/>
      <c r="MD522" s="996"/>
      <c r="ME522" s="997" t="s">
        <v>238</v>
      </c>
      <c r="MF522" s="997"/>
      <c r="MG522" s="998"/>
      <c r="NR522" s="1000"/>
      <c r="NS522" s="1000"/>
      <c r="NT522" s="1001"/>
      <c r="NU522" s="1000"/>
      <c r="NV522" s="1001"/>
      <c r="NX522" s="1002"/>
      <c r="NZ522" s="1001"/>
      <c r="OA522" s="1001"/>
      <c r="OC522" s="1003"/>
      <c r="OD522" s="1003"/>
      <c r="OE522" s="1001"/>
      <c r="OF522" s="1003"/>
      <c r="OG522" s="1003"/>
      <c r="QX522" s="1000">
        <f>CN522-CA522</f>
        <v>29</v>
      </c>
      <c r="ASU522" s="999" t="s">
        <v>225</v>
      </c>
    </row>
    <row r="523" spans="1:466 1191:1191" ht="21" customHeight="1" x14ac:dyDescent="0.25">
      <c r="A523" s="982">
        <f t="shared" si="372"/>
        <v>3218</v>
      </c>
      <c r="B523" s="124">
        <f>SUBTOTAL(103,$J$29:J523)</f>
        <v>495</v>
      </c>
      <c r="C523" s="126">
        <v>45096</v>
      </c>
      <c r="D523" s="124" t="s">
        <v>176</v>
      </c>
      <c r="E523" s="127" t="s">
        <v>177</v>
      </c>
      <c r="F523" s="128" t="s">
        <v>177</v>
      </c>
      <c r="G523" s="127" t="s">
        <v>178</v>
      </c>
      <c r="H523" s="127" t="s">
        <v>421</v>
      </c>
      <c r="I523" s="127" t="s">
        <v>1410</v>
      </c>
      <c r="J523" s="152">
        <v>3218</v>
      </c>
      <c r="K523" s="127" t="s">
        <v>1495</v>
      </c>
      <c r="L523" s="130">
        <v>42215</v>
      </c>
      <c r="M523" s="127" t="s">
        <v>230</v>
      </c>
      <c r="N523" s="127" t="s">
        <v>231</v>
      </c>
      <c r="O523" s="127" t="s">
        <v>185</v>
      </c>
      <c r="P523" s="127" t="s">
        <v>208</v>
      </c>
      <c r="Q523" s="85" t="str">
        <f t="shared" si="423"/>
        <v/>
      </c>
      <c r="R523" s="130"/>
      <c r="S523" s="128"/>
      <c r="T523" s="131"/>
      <c r="U523" s="132">
        <v>203</v>
      </c>
      <c r="V523" s="121">
        <v>218.2</v>
      </c>
      <c r="W523" s="116">
        <v>0.98</v>
      </c>
      <c r="X523" s="116">
        <v>1.66</v>
      </c>
      <c r="Y523" s="116">
        <f t="shared" si="408"/>
        <v>1.0017488115470825</v>
      </c>
      <c r="Z523" s="133">
        <v>1.454</v>
      </c>
      <c r="AA523" s="133">
        <v>0.83599999999999997</v>
      </c>
      <c r="AB523" s="133">
        <v>0.72</v>
      </c>
      <c r="AC523" s="121">
        <v>34.299999999999997</v>
      </c>
      <c r="AD523" s="134">
        <v>1.17</v>
      </c>
      <c r="AE523" s="124">
        <v>177.8</v>
      </c>
      <c r="AF523" s="128">
        <v>9.19</v>
      </c>
      <c r="AG523" s="128">
        <v>2154</v>
      </c>
      <c r="AH523" s="127" t="s">
        <v>1853</v>
      </c>
      <c r="AI523" s="127" t="s">
        <v>1853</v>
      </c>
      <c r="AJ523" s="135"/>
      <c r="AK523" s="128"/>
      <c r="AL523" s="131"/>
      <c r="AM523" s="124" t="s">
        <v>232</v>
      </c>
      <c r="AN523" s="136" t="s">
        <v>1854</v>
      </c>
      <c r="AO523" s="137" t="s">
        <v>1855</v>
      </c>
      <c r="AP523" s="128">
        <v>2154</v>
      </c>
      <c r="AQ523" s="128">
        <v>255.8</v>
      </c>
      <c r="AR523" s="128"/>
      <c r="AS523" s="128"/>
      <c r="AT523" s="122"/>
      <c r="AU523" s="124" t="s">
        <v>189</v>
      </c>
      <c r="AV523" s="115">
        <f>VLOOKUP(J523,'[63]ТР нефть'!$J$28:$BP$638,39,0)</f>
        <v>620</v>
      </c>
      <c r="AW523" s="115" t="str">
        <f>VLOOKUP(J523,'[63]ТР нефть'!$J$28:$BP$638,40,0)</f>
        <v>ГК 85 1/8</v>
      </c>
      <c r="AX523" s="115">
        <f>VLOOKUP(J523,'[63]ТР нефть'!$J$28:$BP$638,41,0)</f>
        <v>1203</v>
      </c>
      <c r="AY523" s="115" t="str">
        <f>VLOOKUP(J523,'[63]ТР нефть'!$J$28:$BP$638,42,0)</f>
        <v>ГК 85 1/8</v>
      </c>
      <c r="AZ523" s="115">
        <f>VLOOKUP(J523,'[63]ТР нефть'!$J$28:$BP$638,43,0)</f>
        <v>1693</v>
      </c>
      <c r="BA523" s="115" t="str">
        <f>VLOOKUP(J523,'[63]ТР нефть'!$J$28:$BP$638,44,0)</f>
        <v>ГК 84 1/8</v>
      </c>
      <c r="BB523" s="115">
        <f>VLOOKUP(J523,'[63]ТР нефть'!$J$28:$BP$638,45,0)</f>
        <v>1980</v>
      </c>
      <c r="BC523" s="115" t="str">
        <f>VLOOKUP(J523,'[63]ТР нефть'!$J$28:$BP$638,46,0)</f>
        <v>ЦКсОК 5/16</v>
      </c>
      <c r="BD523" s="115" t="str">
        <f>VLOOKUP(J523,'[63]ТР нефть'!$J$28:$BP$638,47,0)</f>
        <v>-</v>
      </c>
      <c r="BE523" s="115" t="str">
        <f>VLOOKUP(J523,'[63]ТР нефть'!$J$28:$BP$638,48,0)</f>
        <v>-</v>
      </c>
      <c r="BF523" s="115" t="str">
        <f>VLOOKUP(J523,'[63]ТР нефть'!$J$28:$BP$638,49,0)</f>
        <v>-</v>
      </c>
      <c r="BG523" s="115" t="str">
        <f>VLOOKUP(J523,'[63]ТР нефть'!$J$28:$BP$638,50,0)</f>
        <v>-</v>
      </c>
      <c r="BH523" s="115" t="str">
        <f>VLOOKUP(J523,'[63]ТР нефть'!$J$28:$BP$638,51,0)</f>
        <v>-</v>
      </c>
      <c r="BI523" s="115" t="str">
        <f>VLOOKUP(J523,'[63]ТР нефть'!$J$28:$BP$638,52,0)</f>
        <v>-</v>
      </c>
      <c r="BJ523" s="115" t="str">
        <f>IF(IFERROR(VLOOKUP(J523,'[63]ТР нефть'!$J$28:$BP$638,53,0),"-")=0,"-",IFERROR(VLOOKUP(J523,'[63]ТР нефть'!$J$28:$BP$638,53,0),"-"))</f>
        <v>-</v>
      </c>
      <c r="BK523" s="138" t="str">
        <f>IF(IFERROR(VLOOKUP(J523,'[63]ТР нефть'!$J$28:$BP$638,54,0),"-")=0,"-",IFERROR(VLOOKUP(J523,'[63]ТР нефть'!$J$28:$BP$638,54,0),"-"))</f>
        <v>-</v>
      </c>
      <c r="BL523" s="138" t="str">
        <f>IF(IFERROR(VLOOKUP(J523,'[63]ТР нефть'!$J$28:$BP$638,55,0),"-")=0,"-",IFERROR(VLOOKUP(J523,'[63]ТР нефть'!$J$28:$BP$638,55,0),"-"))</f>
        <v>-</v>
      </c>
      <c r="BM523" s="138" t="str">
        <f>IF(IFERROR(VLOOKUP(J523,'[63]ТР нефть'!$J$28:$BP$638,56,0),"-")=0,"-",IFERROR(VLOOKUP(J523,'[63]ТР нефть'!$J$28:$BP$638,56,0),"-"))</f>
        <v>-</v>
      </c>
      <c r="BN523" s="138" t="str">
        <f>IF(IFERROR(VLOOKUP(J523,'[63]ТР нефть'!$J$28:$BP$638,57,0),"-")=0,"-",IFERROR(VLOOKUP(J523,'[63]ТР нефть'!$J$28:$BP$638,57,0),"-"))</f>
        <v>-</v>
      </c>
      <c r="BO523" s="115" t="str">
        <f>IF(IFERROR(VLOOKUP(J523,'[63]ТР нефть'!$J$28:$BP$638,58,0),"-")=0,"-",IFERROR(VLOOKUP(J523,'[63]ТР нефть'!$J$28:$BP$638,58,0),"-"))</f>
        <v>-</v>
      </c>
      <c r="BP523" s="115" t="str">
        <f>IF(IFERROR(VLOOKUP(J523,'[63]ТР нефть'!$J$28:$BP$638,59,0),"-")=0,"-",IFERROR(VLOOKUP(J523,'[63]ТР нефть'!$J$28:$BP$638,59,0),"-"))</f>
        <v>-</v>
      </c>
      <c r="BQ523" s="138">
        <v>2200</v>
      </c>
      <c r="BR523" s="128">
        <v>1912.1</v>
      </c>
      <c r="BS523" s="115">
        <f t="shared" si="435"/>
        <v>287.90000000000009</v>
      </c>
      <c r="BT523" s="128">
        <v>73</v>
      </c>
      <c r="BU523" s="128">
        <v>5.5</v>
      </c>
      <c r="BV523" s="127">
        <v>65</v>
      </c>
      <c r="BW523" s="127" t="s">
        <v>217</v>
      </c>
      <c r="BX523" s="127" t="s">
        <v>195</v>
      </c>
      <c r="BY523" s="139">
        <v>24</v>
      </c>
      <c r="BZ523" s="139">
        <v>0</v>
      </c>
      <c r="CA523" s="148">
        <v>18</v>
      </c>
      <c r="CB523" s="115">
        <v>30</v>
      </c>
      <c r="CC523" s="115">
        <v>17</v>
      </c>
      <c r="CD523" s="135">
        <v>45017</v>
      </c>
      <c r="CE523" s="138">
        <v>103</v>
      </c>
      <c r="CF523" s="138">
        <v>76</v>
      </c>
      <c r="CG523" s="138" t="str">
        <f t="shared" si="433"/>
        <v>В работе</v>
      </c>
      <c r="CH523" s="138" t="s">
        <v>196</v>
      </c>
      <c r="CI523" s="127">
        <v>6</v>
      </c>
      <c r="CJ523" s="138"/>
      <c r="CK523" s="138"/>
      <c r="CL523" s="99"/>
      <c r="CM523" s="99"/>
      <c r="CN523" s="140">
        <v>34</v>
      </c>
      <c r="CO523" s="141">
        <f t="shared" si="373"/>
        <v>6.7293820000000002</v>
      </c>
      <c r="CP523" s="142">
        <v>8.5</v>
      </c>
      <c r="CQ523" s="119">
        <v>5.3</v>
      </c>
      <c r="CR523" s="115">
        <v>22.1</v>
      </c>
      <c r="CS523" s="115">
        <v>7.9</v>
      </c>
      <c r="CT523" s="138"/>
      <c r="CU523" s="138">
        <f t="shared" si="418"/>
        <v>14.200000000000001</v>
      </c>
      <c r="CV523" s="115">
        <f t="shared" si="419"/>
        <v>2110.1491934920623</v>
      </c>
      <c r="CW523" s="115">
        <f t="shared" si="374"/>
        <v>1089.4957303489794</v>
      </c>
      <c r="CX523" s="133">
        <f t="shared" si="420"/>
        <v>0.12318840579710146</v>
      </c>
      <c r="CY523" s="116"/>
      <c r="CZ523" s="131"/>
      <c r="DA523" s="145" t="str">
        <f t="shared" si="375"/>
        <v>Газлифт</v>
      </c>
      <c r="DB523" s="146">
        <f t="shared" si="390"/>
        <v>6.7293820000000002</v>
      </c>
      <c r="DC523" s="142">
        <f t="shared" si="402"/>
        <v>8.5</v>
      </c>
      <c r="DD523" s="119">
        <f t="shared" si="416"/>
        <v>5.3</v>
      </c>
      <c r="DE523" s="115">
        <f t="shared" si="392"/>
        <v>14.200000000000001</v>
      </c>
      <c r="DF523" s="121">
        <f t="shared" si="376"/>
        <v>7.9</v>
      </c>
      <c r="DG523" s="115">
        <f t="shared" si="377"/>
        <v>2110.1491934920623</v>
      </c>
      <c r="DH523" s="115">
        <f t="shared" si="378"/>
        <v>34</v>
      </c>
      <c r="DI523" s="147"/>
      <c r="DJ523" s="111">
        <v>43274</v>
      </c>
      <c r="DK523" s="112">
        <v>44090</v>
      </c>
      <c r="DL523" s="113">
        <f t="shared" ca="1" si="424"/>
        <v>1014</v>
      </c>
      <c r="DM523" s="114"/>
      <c r="DN523" s="114"/>
      <c r="DO523" s="114"/>
      <c r="DP523" s="114"/>
      <c r="DQ523" s="112">
        <v>43576</v>
      </c>
      <c r="DR523" s="114" t="s">
        <v>198</v>
      </c>
      <c r="DS523" s="114"/>
      <c r="DT523" s="128">
        <v>47</v>
      </c>
      <c r="DU523" s="116">
        <f t="shared" si="425"/>
        <v>0.15178571428571427</v>
      </c>
      <c r="DV523" s="117">
        <f t="shared" si="428"/>
        <v>6.7293820000000002</v>
      </c>
      <c r="DW523" s="118">
        <f t="shared" si="429"/>
        <v>8.5</v>
      </c>
      <c r="DX523" s="119">
        <f t="shared" si="430"/>
        <v>5.3</v>
      </c>
      <c r="DY523" s="121">
        <f t="shared" si="431"/>
        <v>14.200000000000001</v>
      </c>
      <c r="DZ523" s="117">
        <f t="shared" si="426"/>
        <v>0</v>
      </c>
      <c r="EA523" s="120">
        <f t="shared" si="426"/>
        <v>0</v>
      </c>
      <c r="EB523" s="119">
        <f t="shared" si="387"/>
        <v>0</v>
      </c>
      <c r="EC523" s="121">
        <f t="shared" si="415"/>
        <v>0</v>
      </c>
      <c r="ED523" s="122"/>
      <c r="EE523" s="145">
        <v>65</v>
      </c>
      <c r="EF523" s="148">
        <v>16</v>
      </c>
      <c r="EG523" s="115">
        <v>29</v>
      </c>
      <c r="EH523" s="115">
        <v>15</v>
      </c>
      <c r="EI523" s="128" t="s">
        <v>195</v>
      </c>
      <c r="EJ523" s="121">
        <v>24</v>
      </c>
      <c r="EK523" s="121">
        <v>0</v>
      </c>
      <c r="EL523" s="149">
        <v>6.3535999999999992</v>
      </c>
      <c r="EM523" s="142">
        <v>7.6</v>
      </c>
      <c r="EN523" s="119">
        <v>0</v>
      </c>
      <c r="EO523" s="115">
        <v>23.6</v>
      </c>
      <c r="EP523" s="115">
        <v>2376.6053890707635</v>
      </c>
      <c r="EQ523" s="115">
        <v>78</v>
      </c>
      <c r="ER523" s="115">
        <v>8.5</v>
      </c>
      <c r="ES523" s="115">
        <v>35</v>
      </c>
      <c r="ET523" s="150">
        <v>0.11176470588235293</v>
      </c>
      <c r="EU523" s="145">
        <f t="shared" si="400"/>
        <v>65</v>
      </c>
      <c r="EV523" s="115">
        <f t="shared" si="380"/>
        <v>18</v>
      </c>
      <c r="EW523" s="115">
        <f t="shared" si="380"/>
        <v>30</v>
      </c>
      <c r="EX523" s="115">
        <f t="shared" si="380"/>
        <v>17</v>
      </c>
      <c r="EY523" s="115" t="str">
        <f t="shared" si="434"/>
        <v>Постоянный</v>
      </c>
      <c r="EZ523" s="115">
        <f t="shared" si="434"/>
        <v>24</v>
      </c>
      <c r="FA523" s="115">
        <f t="shared" si="434"/>
        <v>0</v>
      </c>
      <c r="FB523" s="149">
        <f t="shared" si="405"/>
        <v>6.7293820000000002</v>
      </c>
      <c r="FC523" s="142">
        <f t="shared" si="405"/>
        <v>8.5</v>
      </c>
      <c r="FD523" s="119">
        <f t="shared" si="405"/>
        <v>5.3</v>
      </c>
      <c r="FE523" s="121">
        <f t="shared" si="405"/>
        <v>22.1</v>
      </c>
      <c r="FF523" s="121">
        <f t="shared" si="407"/>
        <v>2110.1491934920623</v>
      </c>
      <c r="FG523" s="121">
        <f t="shared" si="381"/>
        <v>76</v>
      </c>
      <c r="FH523" s="121">
        <f t="shared" si="436"/>
        <v>7.9</v>
      </c>
      <c r="FI523" s="121">
        <f t="shared" si="427"/>
        <v>34</v>
      </c>
      <c r="FJ523" s="144">
        <f t="shared" si="382"/>
        <v>0.12318840579710146</v>
      </c>
      <c r="FK523" s="132">
        <f t="shared" si="383"/>
        <v>0</v>
      </c>
      <c r="FL523" s="115">
        <f t="shared" si="383"/>
        <v>2</v>
      </c>
      <c r="FM523" s="115">
        <f t="shared" si="383"/>
        <v>1</v>
      </c>
      <c r="FN523" s="115">
        <f t="shared" si="371"/>
        <v>2</v>
      </c>
      <c r="FO523" s="115">
        <f t="shared" si="403"/>
        <v>0</v>
      </c>
      <c r="FP523" s="115">
        <f t="shared" si="403"/>
        <v>0</v>
      </c>
      <c r="FQ523" s="149">
        <f t="shared" si="403"/>
        <v>0.37578200000000095</v>
      </c>
      <c r="FR523" s="142">
        <f t="shared" si="403"/>
        <v>0.90000000000000036</v>
      </c>
      <c r="FS523" s="119">
        <f t="shared" si="403"/>
        <v>5.3</v>
      </c>
      <c r="FT523" s="121">
        <f t="shared" si="403"/>
        <v>-1.5</v>
      </c>
      <c r="FU523" s="121">
        <f t="shared" si="384"/>
        <v>-2</v>
      </c>
      <c r="FV523" s="121">
        <f t="shared" si="384"/>
        <v>-0.59999999999999964</v>
      </c>
      <c r="FW523" s="121">
        <f t="shared" si="385"/>
        <v>-266.45619557870123</v>
      </c>
      <c r="FX523" s="121">
        <f t="shared" si="386"/>
        <v>-1</v>
      </c>
      <c r="FY523" s="144">
        <f t="shared" si="386"/>
        <v>1.1423699914748522E-2</v>
      </c>
      <c r="FZ523" s="145"/>
      <c r="GA523" s="151" t="s">
        <v>266</v>
      </c>
      <c r="GB523" s="145"/>
      <c r="GC523" s="151" t="s">
        <v>533</v>
      </c>
      <c r="GD523" s="997" t="s">
        <v>238</v>
      </c>
      <c r="GE523" s="1004"/>
      <c r="GF523" s="1004">
        <v>0</v>
      </c>
      <c r="GG523" s="1004"/>
      <c r="GH523" s="1004">
        <v>0</v>
      </c>
      <c r="GI523" s="145"/>
      <c r="GJ523" s="996">
        <v>-0.92963200000000068</v>
      </c>
      <c r="GK523" s="145"/>
      <c r="GL523" s="996">
        <v>-0.80924800000000019</v>
      </c>
      <c r="GM523" s="1005"/>
      <c r="GN523" s="996">
        <v>0</v>
      </c>
      <c r="GO523" s="1006" t="s">
        <v>199</v>
      </c>
      <c r="GP523" s="996">
        <v>2.5222120000000006</v>
      </c>
      <c r="GQ523" s="1006" t="s">
        <v>204</v>
      </c>
      <c r="GR523" s="996">
        <v>-10.932372000000001</v>
      </c>
      <c r="GS523" s="1006"/>
      <c r="GT523" s="996">
        <v>0</v>
      </c>
      <c r="GU523" s="1006"/>
      <c r="GV523" s="996">
        <v>-0.24277439999999828</v>
      </c>
      <c r="GW523" s="1006"/>
      <c r="GX523" s="997">
        <v>0</v>
      </c>
      <c r="GY523" s="1006"/>
      <c r="GZ523" s="996">
        <v>0</v>
      </c>
      <c r="HA523" s="1006"/>
      <c r="HB523" s="996">
        <v>0</v>
      </c>
      <c r="HC523" s="1006" t="s">
        <v>363</v>
      </c>
      <c r="HD523" s="996">
        <v>4.2054143999999987</v>
      </c>
      <c r="HE523" s="1006" t="s">
        <v>1499</v>
      </c>
      <c r="HF523" s="996">
        <v>0</v>
      </c>
      <c r="HG523" s="1006"/>
      <c r="HH523" s="996">
        <v>0</v>
      </c>
      <c r="HI523" s="1006"/>
      <c r="HJ523" s="996">
        <v>0</v>
      </c>
      <c r="HK523" s="1006"/>
      <c r="HL523" s="996">
        <v>0</v>
      </c>
      <c r="HM523" s="1006"/>
      <c r="HN523" s="996">
        <v>0</v>
      </c>
      <c r="HO523" s="1006" t="s">
        <v>204</v>
      </c>
      <c r="HP523" s="996">
        <v>1.7555999999999994</v>
      </c>
      <c r="HQ523" s="1006"/>
      <c r="HR523" s="996">
        <v>0</v>
      </c>
      <c r="HS523" s="1006"/>
      <c r="HT523" s="996">
        <v>0</v>
      </c>
      <c r="HU523" s="1006"/>
      <c r="HV523" s="996">
        <v>-8.3600000000000563E-2</v>
      </c>
      <c r="HW523" s="1006" t="s">
        <v>204</v>
      </c>
      <c r="HX523" s="996">
        <v>-12.562990000000001</v>
      </c>
      <c r="HY523" s="1006" t="s">
        <v>204</v>
      </c>
      <c r="HZ523" s="996">
        <v>13.398990000000001</v>
      </c>
      <c r="IA523" s="1006" t="s">
        <v>204</v>
      </c>
      <c r="IB523" s="996">
        <v>-18.222960799999999</v>
      </c>
      <c r="IC523" s="1006"/>
      <c r="ID523" s="996">
        <v>0</v>
      </c>
      <c r="IE523" s="1006" t="s">
        <v>221</v>
      </c>
      <c r="IF523" s="996">
        <v>8.0237608000000016</v>
      </c>
      <c r="IG523" s="1006"/>
      <c r="IH523" s="996">
        <v>0</v>
      </c>
      <c r="II523" s="1006"/>
      <c r="IJ523" s="996">
        <v>0</v>
      </c>
      <c r="IK523" s="1006"/>
      <c r="IL523" s="996">
        <v>0</v>
      </c>
      <c r="IM523" s="1006"/>
      <c r="IN523" s="996">
        <v>0</v>
      </c>
      <c r="IO523" s="1006" t="s">
        <v>1856</v>
      </c>
      <c r="IP523" s="996">
        <v>2.0433511999999965</v>
      </c>
      <c r="IQ523" s="1006" t="s">
        <v>25</v>
      </c>
      <c r="IR523" s="996">
        <v>15.094648800000002</v>
      </c>
      <c r="IS523" s="1006"/>
      <c r="IT523" s="996">
        <v>0</v>
      </c>
      <c r="IU523" s="1006"/>
      <c r="IV523" s="996">
        <v>0</v>
      </c>
      <c r="IW523" s="1006"/>
      <c r="IX523" s="996">
        <v>0</v>
      </c>
      <c r="IY523" s="1006"/>
      <c r="IZ523" s="996">
        <v>0</v>
      </c>
      <c r="JA523" s="1006"/>
      <c r="JB523" s="996">
        <v>0</v>
      </c>
      <c r="JC523" s="1006"/>
      <c r="JD523" s="996">
        <v>0</v>
      </c>
      <c r="JE523" s="1006"/>
      <c r="JF523" s="996">
        <v>0</v>
      </c>
      <c r="JG523" s="1006"/>
      <c r="JH523" s="996">
        <v>0</v>
      </c>
      <c r="JI523" s="1006"/>
      <c r="JJ523" s="996">
        <v>0</v>
      </c>
      <c r="JK523" s="1007"/>
      <c r="JL523" s="1007">
        <v>0</v>
      </c>
      <c r="JM523" s="1007"/>
      <c r="JN523" s="1007">
        <v>0</v>
      </c>
      <c r="JO523" s="1008"/>
      <c r="JP523" s="1007">
        <v>0</v>
      </c>
      <c r="JQ523" s="1008">
        <v>0</v>
      </c>
      <c r="JR523" s="1007">
        <v>0</v>
      </c>
      <c r="JS523" s="1008" t="s">
        <v>199</v>
      </c>
      <c r="JT523" s="1007">
        <v>-3.0931999999999999</v>
      </c>
      <c r="JU523" s="1008" t="s">
        <v>199</v>
      </c>
      <c r="JV523" s="1007">
        <v>-7.1895999999999995</v>
      </c>
      <c r="JW523" s="1008" t="s">
        <v>203</v>
      </c>
      <c r="JX523" s="1007">
        <v>-5.3902694252000014</v>
      </c>
      <c r="JY523" s="1008"/>
      <c r="JZ523" s="1007">
        <v>18.766269425200001</v>
      </c>
      <c r="KA523" s="1008"/>
      <c r="KB523" s="1007">
        <v>0</v>
      </c>
      <c r="KC523" s="1008"/>
      <c r="KD523" s="1007">
        <v>0</v>
      </c>
      <c r="KE523" s="1008"/>
      <c r="KF523" s="1007">
        <v>0</v>
      </c>
      <c r="KG523" s="1008"/>
      <c r="KH523" s="1007">
        <v>0</v>
      </c>
      <c r="KI523" s="1008"/>
      <c r="KJ523" s="1007">
        <v>0</v>
      </c>
      <c r="KK523" s="1008"/>
      <c r="KL523" s="1007"/>
      <c r="KM523" s="1008"/>
      <c r="KN523" s="1007">
        <v>0</v>
      </c>
      <c r="KO523" s="1008"/>
      <c r="KP523" s="1007">
        <v>0</v>
      </c>
      <c r="KQ523" s="1008"/>
      <c r="KR523" s="1007"/>
      <c r="KS523" s="1008"/>
      <c r="KT523" s="1007"/>
      <c r="KU523" s="1008"/>
      <c r="KV523" s="1007" t="s">
        <v>192</v>
      </c>
      <c r="KW523" s="1008"/>
      <c r="KX523" s="1007"/>
      <c r="KY523" s="1008">
        <v>8.9824999999999999</v>
      </c>
      <c r="KZ523" s="1007">
        <v>10.797499999999999</v>
      </c>
      <c r="LA523" s="1008">
        <v>1.125</v>
      </c>
      <c r="LB523" s="1007">
        <v>7.4061250000000003</v>
      </c>
      <c r="LC523" s="1008"/>
      <c r="LD523" s="1007">
        <v>8.9824999999999999</v>
      </c>
      <c r="LE523" s="1008">
        <v>10.797499999999999</v>
      </c>
      <c r="LF523" s="1007">
        <v>1.125</v>
      </c>
      <c r="LG523" s="1008">
        <v>7.4061250000000003</v>
      </c>
      <c r="LH523" s="1007">
        <v>8.9824999999999999</v>
      </c>
      <c r="LI523" s="1008">
        <v>10.797499999999999</v>
      </c>
      <c r="LJ523" s="1007">
        <v>1.125</v>
      </c>
      <c r="LK523" s="1008">
        <v>-362.59387500000003</v>
      </c>
      <c r="LL523" s="1007"/>
      <c r="LM523" s="1008"/>
      <c r="LN523" s="1007"/>
      <c r="LO523" s="1008"/>
      <c r="LP523" s="1007"/>
      <c r="LQ523" s="1008"/>
      <c r="LR523" s="1007"/>
      <c r="LS523" s="1008"/>
      <c r="LT523" s="1007"/>
      <c r="LU523" s="1008"/>
      <c r="LV523" s="1007"/>
      <c r="LW523" s="1008"/>
      <c r="LX523" s="1007"/>
      <c r="LY523" s="1009"/>
      <c r="LZ523" s="1010"/>
      <c r="MA523" s="1011"/>
      <c r="MB523" s="1012"/>
      <c r="MC523" s="995"/>
      <c r="MD523" s="996"/>
      <c r="ME523" s="997" t="s">
        <v>238</v>
      </c>
      <c r="MF523" s="997"/>
      <c r="MG523" s="998"/>
      <c r="NR523" s="1000"/>
      <c r="NS523" s="1000"/>
      <c r="NT523" s="1001"/>
      <c r="NU523" s="1000"/>
      <c r="NV523" s="1001"/>
      <c r="NX523" s="1002"/>
      <c r="NZ523" s="1001"/>
      <c r="OA523" s="1001"/>
      <c r="OC523" s="1003"/>
      <c r="OD523" s="1003"/>
      <c r="OE523" s="1001"/>
      <c r="OF523" s="1003"/>
      <c r="OG523" s="1003"/>
      <c r="QX523" s="1000">
        <f>CN523-CA523</f>
        <v>16</v>
      </c>
      <c r="ASU523" s="999" t="s">
        <v>208</v>
      </c>
    </row>
    <row r="524" spans="1:466 1191:1191" ht="21" customHeight="1" x14ac:dyDescent="0.25">
      <c r="A524" s="982">
        <f t="shared" si="372"/>
        <v>3220</v>
      </c>
      <c r="B524" s="124">
        <f>SUBTOTAL(103,$J$29:J524)</f>
        <v>496</v>
      </c>
      <c r="C524" s="126">
        <v>45096</v>
      </c>
      <c r="D524" s="124" t="s">
        <v>176</v>
      </c>
      <c r="E524" s="127" t="s">
        <v>177</v>
      </c>
      <c r="F524" s="128" t="s">
        <v>177</v>
      </c>
      <c r="G524" s="127" t="s">
        <v>178</v>
      </c>
      <c r="H524" s="127" t="s">
        <v>421</v>
      </c>
      <c r="I524" s="127" t="s">
        <v>1153</v>
      </c>
      <c r="J524" s="152">
        <v>3220</v>
      </c>
      <c r="K524" s="127" t="s">
        <v>1153</v>
      </c>
      <c r="L524" s="135">
        <v>42093</v>
      </c>
      <c r="M524" s="127" t="s">
        <v>230</v>
      </c>
      <c r="N524" s="127" t="s">
        <v>231</v>
      </c>
      <c r="O524" s="127" t="s">
        <v>185</v>
      </c>
      <c r="P524" s="127" t="s">
        <v>208</v>
      </c>
      <c r="Q524" s="85" t="str">
        <f t="shared" si="423"/>
        <v/>
      </c>
      <c r="R524" s="130"/>
      <c r="S524" s="128"/>
      <c r="T524" s="131"/>
      <c r="U524" s="132">
        <v>203</v>
      </c>
      <c r="V524" s="121">
        <v>218.2</v>
      </c>
      <c r="W524" s="116">
        <v>0.98</v>
      </c>
      <c r="X524" s="116">
        <v>1.66</v>
      </c>
      <c r="Y524" s="116">
        <f t="shared" si="408"/>
        <v>1.1136668583477092</v>
      </c>
      <c r="Z524" s="133">
        <v>1.454</v>
      </c>
      <c r="AA524" s="133">
        <v>0.83599999999999997</v>
      </c>
      <c r="AB524" s="133">
        <v>0.72</v>
      </c>
      <c r="AC524" s="121">
        <v>34.299999999999997</v>
      </c>
      <c r="AD524" s="134">
        <v>1.17</v>
      </c>
      <c r="AE524" s="124">
        <v>177.8</v>
      </c>
      <c r="AF524" s="128">
        <v>9.19</v>
      </c>
      <c r="AG524" s="128">
        <v>2188</v>
      </c>
      <c r="AH524" s="127">
        <v>2810</v>
      </c>
      <c r="AI524" s="127">
        <v>2810</v>
      </c>
      <c r="AJ524" s="135"/>
      <c r="AK524" s="128"/>
      <c r="AL524" s="131"/>
      <c r="AM524" s="124" t="s">
        <v>232</v>
      </c>
      <c r="AN524" s="136" t="s">
        <v>1857</v>
      </c>
      <c r="AO524" s="137">
        <v>49</v>
      </c>
      <c r="AP524" s="128">
        <v>2188</v>
      </c>
      <c r="AQ524" s="128">
        <v>277.58999999999997</v>
      </c>
      <c r="AR524" s="128"/>
      <c r="AS524" s="128"/>
      <c r="AT524" s="122"/>
      <c r="AU524" s="124" t="s">
        <v>189</v>
      </c>
      <c r="AV524" s="115">
        <f>VLOOKUP(J524,'[63]ТР нефть'!$J$28:$BP$638,39,0)</f>
        <v>560.00001357400004</v>
      </c>
      <c r="AW524" s="115" t="str">
        <f>VLOOKUP(J524,'[63]ТР нефть'!$J$28:$BP$638,40,0)</f>
        <v>ГК 86 1/8</v>
      </c>
      <c r="AX524" s="115">
        <f>VLOOKUP(J524,'[63]ТР нефть'!$J$28:$BP$638,41,0)</f>
        <v>1039.9999986329999</v>
      </c>
      <c r="AY524" s="115" t="str">
        <f>VLOOKUP(J524,'[63]ТР нефть'!$J$28:$BP$638,42,0)</f>
        <v>ГК 84 1/8</v>
      </c>
      <c r="AZ524" s="115">
        <f>VLOOKUP(J524,'[63]ТР нефть'!$J$28:$BP$638,43,0)</f>
        <v>1419.9999480470001</v>
      </c>
      <c r="BA524" s="115" t="str">
        <f>VLOOKUP(J524,'[63]ТР нефть'!$J$28:$BP$638,44,0)</f>
        <v>ГК 83 1/8</v>
      </c>
      <c r="BB524" s="115">
        <f>VLOOKUP(J524,'[63]ТР нефть'!$J$28:$BP$638,45,0)</f>
        <v>1660.0000335939999</v>
      </c>
      <c r="BC524" s="115" t="str">
        <f>VLOOKUP(J524,'[63]ТР нефть'!$J$28:$BP$638,46,0)</f>
        <v>ГК 83 5/32</v>
      </c>
      <c r="BD524" s="115">
        <f>VLOOKUP(J524,'[63]ТР нефть'!$J$28:$BP$638,47,0)</f>
        <v>1929.999999609</v>
      </c>
      <c r="BE524" s="115" t="str">
        <f>VLOOKUP(J524,'[63]ТР нефть'!$J$28:$BP$638,48,0)</f>
        <v>ЦКсОК 5/16</v>
      </c>
      <c r="BF524" s="115" t="str">
        <f>VLOOKUP(J524,'[63]ТР нефть'!$J$28:$BP$638,49,0)</f>
        <v>-</v>
      </c>
      <c r="BG524" s="115" t="str">
        <f>VLOOKUP(J524,'[63]ТР нефть'!$J$28:$BP$638,50,0)</f>
        <v>-</v>
      </c>
      <c r="BH524" s="115" t="str">
        <f>VLOOKUP(J524,'[63]ТР нефть'!$J$28:$BP$638,51,0)</f>
        <v>-</v>
      </c>
      <c r="BI524" s="115" t="str">
        <f>VLOOKUP(J524,'[63]ТР нефть'!$J$28:$BP$638,52,0)</f>
        <v>-</v>
      </c>
      <c r="BJ524" s="115" t="str">
        <f>IF(IFERROR(VLOOKUP(J524,'[63]ТР нефть'!$J$28:$BP$638,53,0),"-")=0,"-",IFERROR(VLOOKUP(J524,'[63]ТР нефть'!$J$28:$BP$638,53,0),"-"))</f>
        <v>-</v>
      </c>
      <c r="BK524" s="138" t="str">
        <f>IF(IFERROR(VLOOKUP(J524,'[63]ТР нефть'!$J$28:$BP$638,54,0),"-")=0,"-",IFERROR(VLOOKUP(J524,'[63]ТР нефть'!$J$28:$BP$638,54,0),"-"))</f>
        <v>-</v>
      </c>
      <c r="BL524" s="138" t="str">
        <f>IF(IFERROR(VLOOKUP(J524,'[63]ТР нефть'!$J$28:$BP$638,55,0),"-")=0,"-",IFERROR(VLOOKUP(J524,'[63]ТР нефть'!$J$28:$BP$638,55,0),"-"))</f>
        <v>-</v>
      </c>
      <c r="BM524" s="138" t="str">
        <f>IF(IFERROR(VLOOKUP(J524,'[63]ТР нефть'!$J$28:$BP$638,56,0),"-")=0,"-",IFERROR(VLOOKUP(J524,'[63]ТР нефть'!$J$28:$BP$638,56,0),"-"))</f>
        <v>-</v>
      </c>
      <c r="BN524" s="138" t="str">
        <f>IF(IFERROR(VLOOKUP(J524,'[63]ТР нефть'!$J$28:$BP$638,57,0),"-")=0,"-",IFERROR(VLOOKUP(J524,'[63]ТР нефть'!$J$28:$BP$638,57,0),"-"))</f>
        <v>-</v>
      </c>
      <c r="BO524" s="115" t="str">
        <f>IF(IFERROR(VLOOKUP(J524,'[63]ТР нефть'!$J$28:$BP$638,58,0),"-")=0,"-",IFERROR(VLOOKUP(J524,'[63]ТР нефть'!$J$28:$BP$638,58,0),"-"))</f>
        <v>-</v>
      </c>
      <c r="BP524" s="115" t="str">
        <f>IF(IFERROR(VLOOKUP(J524,'[63]ТР нефть'!$J$28:$BP$638,59,0),"-")=0,"-",IFERROR(VLOOKUP(J524,'[63]ТР нефть'!$J$28:$BP$638,59,0),"-"))</f>
        <v>-</v>
      </c>
      <c r="BQ524" s="138">
        <v>2200</v>
      </c>
      <c r="BR524" s="128">
        <v>1912.07</v>
      </c>
      <c r="BS524" s="115">
        <f t="shared" si="435"/>
        <v>287.93000000000006</v>
      </c>
      <c r="BT524" s="128">
        <v>73</v>
      </c>
      <c r="BU524" s="128">
        <v>5.5</v>
      </c>
      <c r="BV524" s="127">
        <v>18</v>
      </c>
      <c r="BW524" s="127" t="s">
        <v>234</v>
      </c>
      <c r="BX524" s="127" t="s">
        <v>195</v>
      </c>
      <c r="BY524" s="139">
        <v>24</v>
      </c>
      <c r="BZ524" s="139">
        <v>0</v>
      </c>
      <c r="CA524" s="138">
        <v>27</v>
      </c>
      <c r="CB524" s="138">
        <v>54</v>
      </c>
      <c r="CC524" s="138">
        <v>26</v>
      </c>
      <c r="CD524" s="135">
        <v>45017</v>
      </c>
      <c r="CE524" s="138">
        <v>97</v>
      </c>
      <c r="CF524" s="138">
        <v>80</v>
      </c>
      <c r="CG524" s="138" t="str">
        <f t="shared" si="433"/>
        <v>В работе</v>
      </c>
      <c r="CH524" s="138" t="s">
        <v>272</v>
      </c>
      <c r="CI524" s="127">
        <v>6</v>
      </c>
      <c r="CJ524" s="138"/>
      <c r="CK524" s="138"/>
      <c r="CL524" s="99"/>
      <c r="CM524" s="99"/>
      <c r="CN524" s="140">
        <v>61</v>
      </c>
      <c r="CO524" s="141">
        <f t="shared" si="373"/>
        <v>1.1229988000000002</v>
      </c>
      <c r="CP524" s="142">
        <v>1.9</v>
      </c>
      <c r="CQ524" s="119">
        <v>29.3</v>
      </c>
      <c r="CR524" s="115">
        <v>11.2</v>
      </c>
      <c r="CS524" s="139">
        <v>8.5</v>
      </c>
      <c r="CT524" s="138"/>
      <c r="CU524" s="138">
        <f t="shared" si="418"/>
        <v>2.6999999999999993</v>
      </c>
      <c r="CV524" s="115">
        <f t="shared" si="419"/>
        <v>2404.2768344899378</v>
      </c>
      <c r="CW524" s="115">
        <f t="shared" si="374"/>
        <v>4808.6241146050143</v>
      </c>
      <c r="CX524" s="133">
        <f t="shared" si="420"/>
        <v>5.2777777777777778E-2</v>
      </c>
      <c r="CY524" s="116"/>
      <c r="CZ524" s="131"/>
      <c r="DA524" s="145" t="str">
        <f t="shared" si="375"/>
        <v>Газлифт</v>
      </c>
      <c r="DB524" s="146">
        <f t="shared" si="390"/>
        <v>1.1229988000000002</v>
      </c>
      <c r="DC524" s="142">
        <f t="shared" si="402"/>
        <v>1.9</v>
      </c>
      <c r="DD524" s="119">
        <f t="shared" si="416"/>
        <v>29.3</v>
      </c>
      <c r="DE524" s="115">
        <f t="shared" si="392"/>
        <v>2.6999999999999993</v>
      </c>
      <c r="DF524" s="121">
        <f t="shared" si="376"/>
        <v>8.5</v>
      </c>
      <c r="DG524" s="115">
        <f t="shared" si="377"/>
        <v>2404.2768344899378</v>
      </c>
      <c r="DH524" s="115">
        <f t="shared" si="378"/>
        <v>61</v>
      </c>
      <c r="DI524" s="147"/>
      <c r="DJ524" s="111">
        <v>43752</v>
      </c>
      <c r="DK524" s="112">
        <v>42215</v>
      </c>
      <c r="DL524" s="113">
        <f t="shared" ca="1" si="424"/>
        <v>2889</v>
      </c>
      <c r="DM524" s="114"/>
      <c r="DN524" s="114"/>
      <c r="DO524" s="114"/>
      <c r="DP524" s="114"/>
      <c r="DQ524" s="112">
        <v>43349</v>
      </c>
      <c r="DR524" s="114" t="s">
        <v>198</v>
      </c>
      <c r="DS524" s="114"/>
      <c r="DT524" s="115">
        <v>60</v>
      </c>
      <c r="DU524" s="116">
        <f t="shared" si="425"/>
        <v>5.2488187776253623E-2</v>
      </c>
      <c r="DV524" s="117">
        <f t="shared" si="428"/>
        <v>1.1478601893766196</v>
      </c>
      <c r="DW524" s="118">
        <f t="shared" si="429"/>
        <v>1.942062947721384</v>
      </c>
      <c r="DX524" s="119">
        <f t="shared" si="430"/>
        <v>29.3</v>
      </c>
      <c r="DY524" s="115">
        <f t="shared" si="431"/>
        <v>2.7597736625514395</v>
      </c>
      <c r="DZ524" s="117">
        <f t="shared" si="426"/>
        <v>2.4861389376619414E-2</v>
      </c>
      <c r="EA524" s="120">
        <f t="shared" si="426"/>
        <v>4.2062947721384081E-2</v>
      </c>
      <c r="EB524" s="119">
        <f t="shared" si="387"/>
        <v>0</v>
      </c>
      <c r="EC524" s="121">
        <f t="shared" si="415"/>
        <v>5.9773662551440232E-2</v>
      </c>
      <c r="ED524" s="122"/>
      <c r="EE524" s="145">
        <v>18</v>
      </c>
      <c r="EF524" s="115">
        <v>26</v>
      </c>
      <c r="EG524" s="115">
        <v>46</v>
      </c>
      <c r="EH524" s="115">
        <v>25</v>
      </c>
      <c r="EI524" s="128" t="s">
        <v>195</v>
      </c>
      <c r="EJ524" s="121">
        <v>24</v>
      </c>
      <c r="EK524" s="121">
        <v>0</v>
      </c>
      <c r="EL524" s="149">
        <v>1.6615499999999999</v>
      </c>
      <c r="EM524" s="142">
        <v>2.5</v>
      </c>
      <c r="EN524" s="119">
        <v>20.5</v>
      </c>
      <c r="EO524" s="115">
        <v>12</v>
      </c>
      <c r="EP524" s="115">
        <v>1504.619180885318</v>
      </c>
      <c r="EQ524" s="115">
        <v>81</v>
      </c>
      <c r="ER524" s="115">
        <v>9.5</v>
      </c>
      <c r="ES524" s="115">
        <v>56</v>
      </c>
      <c r="ET524" s="150">
        <v>6.097560975609756E-2</v>
      </c>
      <c r="EU524" s="145">
        <f t="shared" si="400"/>
        <v>18</v>
      </c>
      <c r="EV524" s="115">
        <f t="shared" si="380"/>
        <v>27</v>
      </c>
      <c r="EW524" s="115">
        <f t="shared" si="380"/>
        <v>54</v>
      </c>
      <c r="EX524" s="115">
        <f t="shared" si="380"/>
        <v>26</v>
      </c>
      <c r="EY524" s="115" t="str">
        <f t="shared" si="434"/>
        <v>Постоянный</v>
      </c>
      <c r="EZ524" s="115">
        <f t="shared" si="434"/>
        <v>24</v>
      </c>
      <c r="FA524" s="115">
        <f t="shared" si="434"/>
        <v>0</v>
      </c>
      <c r="FB524" s="149">
        <f t="shared" si="405"/>
        <v>1.1229988000000002</v>
      </c>
      <c r="FC524" s="142">
        <f t="shared" si="405"/>
        <v>1.9</v>
      </c>
      <c r="FD524" s="119">
        <f t="shared" si="405"/>
        <v>29.3</v>
      </c>
      <c r="FE524" s="121">
        <f t="shared" si="405"/>
        <v>11.2</v>
      </c>
      <c r="FF524" s="121">
        <f t="shared" si="407"/>
        <v>2404.2768344899378</v>
      </c>
      <c r="FG524" s="121">
        <f t="shared" si="381"/>
        <v>80</v>
      </c>
      <c r="FH524" s="121">
        <f t="shared" si="436"/>
        <v>8.5</v>
      </c>
      <c r="FI524" s="121">
        <f t="shared" si="427"/>
        <v>61</v>
      </c>
      <c r="FJ524" s="144">
        <f t="shared" si="382"/>
        <v>5.2777777777777778E-2</v>
      </c>
      <c r="FK524" s="132">
        <f t="shared" si="383"/>
        <v>0</v>
      </c>
      <c r="FL524" s="115">
        <f t="shared" si="383"/>
        <v>1</v>
      </c>
      <c r="FM524" s="115">
        <f t="shared" si="383"/>
        <v>8</v>
      </c>
      <c r="FN524" s="115">
        <f t="shared" si="371"/>
        <v>1</v>
      </c>
      <c r="FO524" s="115">
        <f t="shared" si="403"/>
        <v>0</v>
      </c>
      <c r="FP524" s="115">
        <f t="shared" si="403"/>
        <v>0</v>
      </c>
      <c r="FQ524" s="149">
        <f t="shared" si="403"/>
        <v>-0.53855119999999967</v>
      </c>
      <c r="FR524" s="142">
        <f t="shared" si="403"/>
        <v>-0.60000000000000009</v>
      </c>
      <c r="FS524" s="119">
        <f t="shared" si="403"/>
        <v>8.8000000000000007</v>
      </c>
      <c r="FT524" s="121">
        <f t="shared" si="403"/>
        <v>-0.80000000000000071</v>
      </c>
      <c r="FU524" s="121">
        <f t="shared" si="384"/>
        <v>-1</v>
      </c>
      <c r="FV524" s="121">
        <f t="shared" si="384"/>
        <v>-1</v>
      </c>
      <c r="FW524" s="121">
        <f t="shared" si="385"/>
        <v>899.65765360461978</v>
      </c>
      <c r="FX524" s="121">
        <f t="shared" si="386"/>
        <v>5</v>
      </c>
      <c r="FY524" s="144">
        <f t="shared" si="386"/>
        <v>-8.197831978319782E-3</v>
      </c>
      <c r="FZ524" s="145"/>
      <c r="GA524" s="163" t="s">
        <v>1858</v>
      </c>
      <c r="GB524" s="145"/>
      <c r="GC524" s="151" t="s">
        <v>237</v>
      </c>
      <c r="GD524" s="997" t="s">
        <v>238</v>
      </c>
      <c r="GE524" s="1004"/>
      <c r="GF524" s="1004">
        <v>0</v>
      </c>
      <c r="GG524" s="1004" t="s">
        <v>223</v>
      </c>
      <c r="GH524" s="1004">
        <v>-2.1756899999999995</v>
      </c>
      <c r="GI524" s="145"/>
      <c r="GJ524" s="996">
        <v>0.63953999999999978</v>
      </c>
      <c r="GK524" s="145"/>
      <c r="GL524" s="996">
        <v>0.61111599999999999</v>
      </c>
      <c r="GM524" s="1005"/>
      <c r="GN524" s="996">
        <v>0</v>
      </c>
      <c r="GO524" s="1006"/>
      <c r="GP524" s="996">
        <v>-3.1379259999999998</v>
      </c>
      <c r="GQ524" s="1006"/>
      <c r="GR524" s="996">
        <v>0</v>
      </c>
      <c r="GS524" s="1006"/>
      <c r="GT524" s="996">
        <v>0</v>
      </c>
      <c r="GU524" s="1006"/>
      <c r="GV524" s="996">
        <v>0</v>
      </c>
      <c r="GW524" s="1006"/>
      <c r="GX524" s="997">
        <v>0</v>
      </c>
      <c r="GY524" s="1006"/>
      <c r="GZ524" s="996">
        <v>0</v>
      </c>
      <c r="HA524" s="1006"/>
      <c r="HB524" s="996">
        <v>0</v>
      </c>
      <c r="HC524" s="1006" t="s">
        <v>363</v>
      </c>
      <c r="HD524" s="996">
        <v>2.2603321575999993</v>
      </c>
      <c r="HE524" s="1006" t="s">
        <v>308</v>
      </c>
      <c r="HF524" s="996">
        <v>2.8998778424000005</v>
      </c>
      <c r="HG524" s="1006" t="s">
        <v>204</v>
      </c>
      <c r="HH524" s="996">
        <v>-3.0671836800000003</v>
      </c>
      <c r="HI524" s="1006"/>
      <c r="HJ524" s="996">
        <v>0</v>
      </c>
      <c r="HK524" s="1006"/>
      <c r="HL524" s="996">
        <v>0</v>
      </c>
      <c r="HM524" s="1006" t="s">
        <v>203</v>
      </c>
      <c r="HN524" s="996">
        <v>-4.3974603200000004</v>
      </c>
      <c r="HO524" s="1006"/>
      <c r="HP524" s="996">
        <v>0</v>
      </c>
      <c r="HQ524" s="1006"/>
      <c r="HR524" s="996">
        <v>0</v>
      </c>
      <c r="HS524" s="1006"/>
      <c r="HT524" s="996">
        <v>0</v>
      </c>
      <c r="HU524" s="1006"/>
      <c r="HV524" s="996">
        <v>0</v>
      </c>
      <c r="HW524" s="1006"/>
      <c r="HX524" s="996">
        <v>0</v>
      </c>
      <c r="HY524" s="1006"/>
      <c r="HZ524" s="996">
        <v>0</v>
      </c>
      <c r="IA524" s="1006"/>
      <c r="IB524" s="996">
        <v>0</v>
      </c>
      <c r="IC524" s="1006" t="s">
        <v>199</v>
      </c>
      <c r="ID524" s="996">
        <v>1.904408000000001</v>
      </c>
      <c r="IE524" s="1006" t="s">
        <v>199</v>
      </c>
      <c r="IF524" s="996">
        <v>1.5880656000000011</v>
      </c>
      <c r="IG524" s="1006" t="s">
        <v>199</v>
      </c>
      <c r="IH524" s="996">
        <v>-1.2319296000000008</v>
      </c>
      <c r="II524" s="1006"/>
      <c r="IJ524" s="996">
        <v>-0.91959999999999997</v>
      </c>
      <c r="IK524" s="1006"/>
      <c r="IL524" s="996">
        <v>0</v>
      </c>
      <c r="IM524" s="1006" t="s">
        <v>199</v>
      </c>
      <c r="IN524" s="996">
        <v>1.6719999999999997</v>
      </c>
      <c r="IO524" s="1006" t="s">
        <v>199</v>
      </c>
      <c r="IP524" s="996">
        <v>-2.3165560000000003</v>
      </c>
      <c r="IQ524" s="1006"/>
      <c r="IR524" s="996">
        <v>0</v>
      </c>
      <c r="IS524" s="1006"/>
      <c r="IT524" s="996">
        <v>0</v>
      </c>
      <c r="IU524" s="1006"/>
      <c r="IV524" s="996">
        <v>0</v>
      </c>
      <c r="IW524" s="1006"/>
      <c r="IX524" s="996">
        <v>0</v>
      </c>
      <c r="IY524" s="1006"/>
      <c r="IZ524" s="996">
        <v>0</v>
      </c>
      <c r="JA524" s="1006"/>
      <c r="JB524" s="996">
        <v>0</v>
      </c>
      <c r="JC524" s="1006"/>
      <c r="JD524" s="996">
        <v>0</v>
      </c>
      <c r="JE524" s="1006"/>
      <c r="JF524" s="996">
        <v>0.12479473600000013</v>
      </c>
      <c r="JG524" s="1006"/>
      <c r="JH524" s="996">
        <v>0</v>
      </c>
      <c r="JI524" s="1006"/>
      <c r="JJ524" s="996">
        <v>0</v>
      </c>
      <c r="JK524" s="1007"/>
      <c r="JL524" s="1007">
        <v>0</v>
      </c>
      <c r="JM524" s="1007"/>
      <c r="JN524" s="1007">
        <v>0</v>
      </c>
      <c r="JO524" s="1008" t="s">
        <v>223</v>
      </c>
      <c r="JP524" s="1007">
        <v>-4.173897199999999</v>
      </c>
      <c r="JQ524" s="1008" t="s">
        <v>199</v>
      </c>
      <c r="JR524" s="1007">
        <v>-1.7023718799999994</v>
      </c>
      <c r="JS524" s="1008">
        <v>0</v>
      </c>
      <c r="JT524" s="1007">
        <v>0</v>
      </c>
      <c r="JU524" s="1008"/>
      <c r="JV524" s="1007">
        <v>0</v>
      </c>
      <c r="JW524" s="1008" t="s">
        <v>197</v>
      </c>
      <c r="JX524" s="1007">
        <v>0</v>
      </c>
      <c r="JY524" s="1008"/>
      <c r="JZ524" s="1007">
        <v>0</v>
      </c>
      <c r="KA524" s="1008"/>
      <c r="KB524" s="1007">
        <v>0</v>
      </c>
      <c r="KC524" s="1008" t="s">
        <v>199</v>
      </c>
      <c r="KD524" s="1007">
        <v>-1.9949635200000007</v>
      </c>
      <c r="KE524" s="1008" t="s">
        <v>204</v>
      </c>
      <c r="KF524" s="1007">
        <v>-2.8144358</v>
      </c>
      <c r="KG524" s="1008"/>
      <c r="KH524" s="1007">
        <v>0</v>
      </c>
      <c r="KI524" s="1008"/>
      <c r="KJ524" s="1007">
        <v>0</v>
      </c>
      <c r="KK524" s="1008"/>
      <c r="KL524" s="1007"/>
      <c r="KM524" s="1008" t="s">
        <v>25</v>
      </c>
      <c r="KN524" s="1007">
        <v>3.780559199999999</v>
      </c>
      <c r="KO524" s="1008"/>
      <c r="KP524" s="1007">
        <v>0</v>
      </c>
      <c r="KQ524" s="1008" t="s">
        <v>206</v>
      </c>
      <c r="KR524" s="1007">
        <v>0.63201600000000013</v>
      </c>
      <c r="KS524" s="1008" t="s">
        <v>204</v>
      </c>
      <c r="KT524" s="1007">
        <v>-2.6370616800000004</v>
      </c>
      <c r="KU524" s="1008">
        <v>0</v>
      </c>
      <c r="KV524" s="1007">
        <v>2.2190616800000011</v>
      </c>
      <c r="KW524" s="1008">
        <v>0</v>
      </c>
      <c r="KX524" s="1007">
        <v>0</v>
      </c>
      <c r="KY524" s="1008" t="s">
        <v>206</v>
      </c>
      <c r="KZ524" s="1007">
        <v>-1.4044799999999995</v>
      </c>
      <c r="LA524" s="1008">
        <v>0</v>
      </c>
      <c r="LB524" s="1007">
        <v>0</v>
      </c>
      <c r="LC524" s="1008" t="s">
        <v>223</v>
      </c>
      <c r="LD524" s="1007">
        <v>-2.8674800000000005</v>
      </c>
      <c r="LE524" s="1008" t="s">
        <v>206</v>
      </c>
      <c r="LF524" s="1007">
        <v>2.8674800000000005</v>
      </c>
      <c r="LG524" s="1008" t="s">
        <v>204</v>
      </c>
      <c r="LH524" s="1007">
        <v>-2.4578399999999991</v>
      </c>
      <c r="LI524" s="1008">
        <v>0</v>
      </c>
      <c r="LJ524" s="1007">
        <v>0</v>
      </c>
      <c r="LK524" s="1008" t="s">
        <v>206</v>
      </c>
      <c r="LL524" s="1007">
        <v>0.98313600000000001</v>
      </c>
      <c r="LM524" s="1008" t="s">
        <v>207</v>
      </c>
      <c r="LN524" s="1007">
        <v>8.6843679999999992</v>
      </c>
      <c r="LO524" s="1008" t="s">
        <v>206</v>
      </c>
      <c r="LP524" s="1007">
        <v>-1.4747399999999999</v>
      </c>
      <c r="LQ524" s="1008" t="s">
        <v>199</v>
      </c>
      <c r="LR524" s="1007">
        <v>-6.5542399999999992</v>
      </c>
      <c r="LS524" s="1008">
        <v>0</v>
      </c>
      <c r="LT524" s="1007">
        <v>-0.81928100000000004</v>
      </c>
      <c r="LU524" s="1008">
        <v>0</v>
      </c>
      <c r="LV524" s="1007">
        <v>0</v>
      </c>
      <c r="LW524" s="1008">
        <v>0</v>
      </c>
      <c r="LX524" s="1007">
        <v>-2.7773591999999976</v>
      </c>
      <c r="LY524" s="1009" t="s">
        <v>207</v>
      </c>
      <c r="LZ524" s="1010">
        <v>3.3379880000000002</v>
      </c>
      <c r="MA524" s="1011">
        <v>0</v>
      </c>
      <c r="MB524" s="1012">
        <v>-0.83449521000000004</v>
      </c>
      <c r="MC524" s="995"/>
      <c r="MD524" s="996"/>
      <c r="ME524" s="997" t="s">
        <v>238</v>
      </c>
      <c r="MF524" s="997"/>
      <c r="MG524" s="998"/>
      <c r="NR524" s="1000"/>
      <c r="NS524" s="1000"/>
      <c r="NT524" s="1001"/>
      <c r="NU524" s="1000"/>
      <c r="NV524" s="1001"/>
      <c r="NX524" s="1002"/>
      <c r="NZ524" s="1001"/>
      <c r="OA524" s="1001"/>
      <c r="OC524" s="1003"/>
      <c r="OD524" s="1003"/>
      <c r="OE524" s="1001"/>
      <c r="OF524" s="1003"/>
      <c r="OG524" s="1003"/>
      <c r="QX524" s="1000">
        <f>CN524-CA524</f>
        <v>34</v>
      </c>
      <c r="ASU524" s="999" t="s">
        <v>225</v>
      </c>
    </row>
    <row r="525" spans="1:466 1191:1191" ht="21" customHeight="1" x14ac:dyDescent="0.25">
      <c r="A525" s="982">
        <f t="shared" si="372"/>
        <v>3221</v>
      </c>
      <c r="B525" s="124">
        <f>SUBTOTAL(103,$J$29:J525)</f>
        <v>497</v>
      </c>
      <c r="C525" s="126">
        <v>45096</v>
      </c>
      <c r="D525" s="145" t="s">
        <v>176</v>
      </c>
      <c r="E525" s="128" t="s">
        <v>177</v>
      </c>
      <c r="F525" s="128" t="s">
        <v>177</v>
      </c>
      <c r="G525" s="128" t="s">
        <v>178</v>
      </c>
      <c r="H525" s="128" t="s">
        <v>421</v>
      </c>
      <c r="I525" s="128" t="s">
        <v>1153</v>
      </c>
      <c r="J525" s="152">
        <v>3221</v>
      </c>
      <c r="K525" s="127" t="s">
        <v>1153</v>
      </c>
      <c r="L525" s="130">
        <v>44195</v>
      </c>
      <c r="M525" s="128" t="s">
        <v>230</v>
      </c>
      <c r="N525" s="128" t="s">
        <v>231</v>
      </c>
      <c r="O525" s="127" t="s">
        <v>185</v>
      </c>
      <c r="P525" s="127" t="s">
        <v>208</v>
      </c>
      <c r="Q525" s="85" t="str">
        <f t="shared" si="423"/>
        <v/>
      </c>
      <c r="R525" s="130"/>
      <c r="S525" s="128"/>
      <c r="T525" s="131"/>
      <c r="U525" s="132">
        <v>203</v>
      </c>
      <c r="V525" s="121">
        <v>218.2</v>
      </c>
      <c r="W525" s="116">
        <v>0.98</v>
      </c>
      <c r="X525" s="116">
        <v>1.66</v>
      </c>
      <c r="Y525" s="116">
        <f t="shared" si="408"/>
        <v>1.1663320906223114</v>
      </c>
      <c r="Z525" s="133">
        <v>1.454</v>
      </c>
      <c r="AA525" s="133">
        <v>0.83599999999999997</v>
      </c>
      <c r="AB525" s="133">
        <v>0.72</v>
      </c>
      <c r="AC525" s="121">
        <v>34.299999999999997</v>
      </c>
      <c r="AD525" s="134">
        <v>1.17</v>
      </c>
      <c r="AE525" s="145">
        <v>177.8</v>
      </c>
      <c r="AF525" s="128">
        <v>9.19</v>
      </c>
      <c r="AG525" s="128">
        <v>2033</v>
      </c>
      <c r="AH525" s="128">
        <v>2755</v>
      </c>
      <c r="AI525" s="128">
        <v>2755</v>
      </c>
      <c r="AJ525" s="135"/>
      <c r="AK525" s="128"/>
      <c r="AL525" s="131"/>
      <c r="AM525" s="145" t="s">
        <v>232</v>
      </c>
      <c r="AN525" s="131" t="s">
        <v>1859</v>
      </c>
      <c r="AO525" s="137">
        <v>54.31</v>
      </c>
      <c r="AP525" s="128">
        <v>2033</v>
      </c>
      <c r="AQ525" s="128">
        <v>126.41</v>
      </c>
      <c r="AR525" s="128"/>
      <c r="AS525" s="128"/>
      <c r="AT525" s="122"/>
      <c r="AU525" s="145" t="s">
        <v>189</v>
      </c>
      <c r="AV525" s="115">
        <f>VLOOKUP(J525,'[63]ТР нефть'!$J$28:$BP$638,39,0)</f>
        <v>659.99997480499997</v>
      </c>
      <c r="AW525" s="115" t="str">
        <f>VLOOKUP(J525,'[63]ТР нефть'!$J$28:$BP$638,40,0)</f>
        <v>ГП</v>
      </c>
      <c r="AX525" s="115">
        <f>VLOOKUP(J525,'[63]ТР нефть'!$J$28:$BP$638,41,0)</f>
        <v>1189.9999962889999</v>
      </c>
      <c r="AY525" s="115" t="str">
        <f>VLOOKUP(J525,'[63]ТР нефть'!$J$28:$BP$638,42,0)</f>
        <v>ГП</v>
      </c>
      <c r="AZ525" s="115">
        <f>VLOOKUP(J525,'[63]ТР нефть'!$J$28:$BP$638,43,0)</f>
        <v>1610</v>
      </c>
      <c r="BA525" s="115" t="str">
        <f>VLOOKUP(J525,'[63]ТР нефть'!$J$28:$BP$638,44,0)</f>
        <v>ГК 81 1/8</v>
      </c>
      <c r="BB525" s="115">
        <f>VLOOKUP(J525,'[63]ТР нефть'!$J$28:$BP$638,45,0)</f>
        <v>1899.9999703129999</v>
      </c>
      <c r="BC525" s="115" t="str">
        <f>VLOOKUP(J525,'[63]ТР нефть'!$J$28:$BP$638,46,0)</f>
        <v>ЦКсОК 5/16</v>
      </c>
      <c r="BD525" s="115" t="str">
        <f>VLOOKUP(J525,'[63]ТР нефть'!$J$28:$BP$638,47,0)</f>
        <v>-</v>
      </c>
      <c r="BE525" s="115" t="str">
        <f>VLOOKUP(J525,'[63]ТР нефть'!$J$28:$BP$638,48,0)</f>
        <v>-</v>
      </c>
      <c r="BF525" s="115" t="str">
        <f>VLOOKUP(J525,'[63]ТР нефть'!$J$28:$BP$638,49,0)</f>
        <v>-</v>
      </c>
      <c r="BG525" s="115" t="str">
        <f>VLOOKUP(J525,'[63]ТР нефть'!$J$28:$BP$638,50,0)</f>
        <v>-</v>
      </c>
      <c r="BH525" s="115" t="str">
        <f>VLOOKUP(J525,'[63]ТР нефть'!$J$28:$BP$638,51,0)</f>
        <v>-</v>
      </c>
      <c r="BI525" s="115" t="str">
        <f>VLOOKUP(J525,'[63]ТР нефть'!$J$28:$BP$638,52,0)</f>
        <v>-</v>
      </c>
      <c r="BJ525" s="115" t="str">
        <f>IF(IFERROR(VLOOKUP(J525,'[63]ТР нефть'!$J$28:$BP$638,53,0),"-")=0,"-",IFERROR(VLOOKUP(J525,'[63]ТР нефть'!$J$28:$BP$638,53,0),"-"))</f>
        <v>-</v>
      </c>
      <c r="BK525" s="115" t="str">
        <f>IF(IFERROR(VLOOKUP(J525,'[63]ТР нефть'!$J$28:$BP$638,54,0),"-")=0,"-",IFERROR(VLOOKUP(J525,'[63]ТР нефть'!$J$28:$BP$638,54,0),"-"))</f>
        <v>-</v>
      </c>
      <c r="BL525" s="115" t="str">
        <f>IF(IFERROR(VLOOKUP(J525,'[63]ТР нефть'!$J$28:$BP$638,55,0),"-")=0,"-",IFERROR(VLOOKUP(J525,'[63]ТР нефть'!$J$28:$BP$638,55,0),"-"))</f>
        <v>-</v>
      </c>
      <c r="BM525" s="115" t="str">
        <f>IF(IFERROR(VLOOKUP(J525,'[63]ТР нефть'!$J$28:$BP$638,56,0),"-")=0,"-",IFERROR(VLOOKUP(J525,'[63]ТР нефть'!$J$28:$BP$638,56,0),"-"))</f>
        <v>-</v>
      </c>
      <c r="BN525" s="115" t="str">
        <f>IF(IFERROR(VLOOKUP(J525,'[63]ТР нефть'!$J$28:$BP$638,57,0),"-")=0,"-",IFERROR(VLOOKUP(J525,'[63]ТР нефть'!$J$28:$BP$638,57,0),"-"))</f>
        <v>-</v>
      </c>
      <c r="BO525" s="115" t="str">
        <f>IF(IFERROR(VLOOKUP(J525,'[63]ТР нефть'!$J$28:$BP$638,58,0),"-")=0,"-",IFERROR(VLOOKUP(J525,'[63]ТР нефть'!$J$28:$BP$638,58,0),"-"))</f>
        <v>-</v>
      </c>
      <c r="BP525" s="115" t="str">
        <f>IF(IFERROR(VLOOKUP(J525,'[63]ТР нефть'!$J$28:$BP$638,59,0),"-")=0,"-",IFERROR(VLOOKUP(J525,'[63]ТР нефть'!$J$28:$BP$638,59,0),"-"))</f>
        <v>-</v>
      </c>
      <c r="BQ525" s="115">
        <v>2040</v>
      </c>
      <c r="BR525" s="128">
        <v>1910</v>
      </c>
      <c r="BS525" s="115">
        <f t="shared" si="435"/>
        <v>130</v>
      </c>
      <c r="BT525" s="128">
        <v>73</v>
      </c>
      <c r="BU525" s="128">
        <v>5.5</v>
      </c>
      <c r="BV525" s="128">
        <v>65</v>
      </c>
      <c r="BW525" s="127" t="s">
        <v>217</v>
      </c>
      <c r="BX525" s="127" t="s">
        <v>195</v>
      </c>
      <c r="BY525" s="121">
        <v>24</v>
      </c>
      <c r="BZ525" s="121">
        <v>0</v>
      </c>
      <c r="CA525" s="115">
        <v>24</v>
      </c>
      <c r="CB525" s="115">
        <v>76</v>
      </c>
      <c r="CC525" s="115">
        <v>20</v>
      </c>
      <c r="CD525" s="135">
        <v>45017</v>
      </c>
      <c r="CE525" s="115">
        <v>104</v>
      </c>
      <c r="CF525" s="115">
        <v>78</v>
      </c>
      <c r="CG525" s="115" t="str">
        <f t="shared" si="433"/>
        <v>В работе</v>
      </c>
      <c r="CH525" s="115" t="s">
        <v>272</v>
      </c>
      <c r="CI525" s="128"/>
      <c r="CJ525" s="115"/>
      <c r="CK525" s="138"/>
      <c r="CL525" s="99"/>
      <c r="CM525" s="99"/>
      <c r="CN525" s="156">
        <v>56</v>
      </c>
      <c r="CO525" s="141">
        <f t="shared" si="373"/>
        <v>2.0398399999999999</v>
      </c>
      <c r="CP525" s="142">
        <v>4</v>
      </c>
      <c r="CQ525" s="143">
        <v>39</v>
      </c>
      <c r="CR525" s="138">
        <v>15</v>
      </c>
      <c r="CS525" s="139">
        <v>11</v>
      </c>
      <c r="CT525" s="138"/>
      <c r="CU525" s="138">
        <f t="shared" si="418"/>
        <v>4</v>
      </c>
      <c r="CV525" s="115">
        <f t="shared" si="419"/>
        <v>1960.9381127931604</v>
      </c>
      <c r="CW525" s="115">
        <f t="shared" si="374"/>
        <v>2859.8764533372159</v>
      </c>
      <c r="CX525" s="133">
        <f t="shared" si="420"/>
        <v>8.3333333333333329E-2</v>
      </c>
      <c r="CY525" s="116"/>
      <c r="CZ525" s="131"/>
      <c r="DA525" s="145" t="str">
        <f t="shared" si="375"/>
        <v>Газлифт</v>
      </c>
      <c r="DB525" s="146">
        <f t="shared" si="390"/>
        <v>2.0398399999999999</v>
      </c>
      <c r="DC525" s="142">
        <f t="shared" si="402"/>
        <v>4</v>
      </c>
      <c r="DD525" s="119">
        <f t="shared" si="416"/>
        <v>39</v>
      </c>
      <c r="DE525" s="115">
        <f t="shared" si="392"/>
        <v>4</v>
      </c>
      <c r="DF525" s="121">
        <f t="shared" si="376"/>
        <v>11</v>
      </c>
      <c r="DG525" s="115">
        <f t="shared" si="377"/>
        <v>1960.9381127931604</v>
      </c>
      <c r="DH525" s="115">
        <f t="shared" si="378"/>
        <v>56</v>
      </c>
      <c r="DI525" s="147"/>
      <c r="DJ525" s="111">
        <v>43545</v>
      </c>
      <c r="DK525" s="112">
        <v>42093</v>
      </c>
      <c r="DL525" s="113">
        <f t="shared" ca="1" si="424"/>
        <v>3011</v>
      </c>
      <c r="DM525" s="114"/>
      <c r="DN525" s="114"/>
      <c r="DO525" s="114"/>
      <c r="DP525" s="114"/>
      <c r="DQ525" s="112">
        <v>42093</v>
      </c>
      <c r="DR525" s="114" t="s">
        <v>324</v>
      </c>
      <c r="DS525" s="114"/>
      <c r="DT525" s="115">
        <v>48</v>
      </c>
      <c r="DU525" s="116">
        <f t="shared" si="425"/>
        <v>7.9749103942652333E-2</v>
      </c>
      <c r="DV525" s="117">
        <f t="shared" si="428"/>
        <v>2.2774557706093193</v>
      </c>
      <c r="DW525" s="118">
        <f t="shared" si="429"/>
        <v>4.4659498207885306</v>
      </c>
      <c r="DX525" s="119">
        <f t="shared" si="430"/>
        <v>39</v>
      </c>
      <c r="DY525" s="115">
        <f t="shared" si="431"/>
        <v>4.4659498207885306</v>
      </c>
      <c r="DZ525" s="117">
        <f t="shared" si="426"/>
        <v>0.23761577060931938</v>
      </c>
      <c r="EA525" s="120">
        <f t="shared" si="426"/>
        <v>0.46594982078853064</v>
      </c>
      <c r="EB525" s="119">
        <f t="shared" si="387"/>
        <v>0</v>
      </c>
      <c r="EC525" s="121">
        <f t="shared" si="415"/>
        <v>0.46594982078853064</v>
      </c>
      <c r="ED525" s="122"/>
      <c r="EE525" s="145">
        <v>65</v>
      </c>
      <c r="EF525" s="115">
        <v>24</v>
      </c>
      <c r="EG525" s="115">
        <v>76</v>
      </c>
      <c r="EH525" s="115">
        <v>20</v>
      </c>
      <c r="EI525" s="128" t="s">
        <v>195</v>
      </c>
      <c r="EJ525" s="121">
        <v>24</v>
      </c>
      <c r="EK525" s="121">
        <v>0</v>
      </c>
      <c r="EL525" s="149">
        <v>2.0398399999999999</v>
      </c>
      <c r="EM525" s="142">
        <v>4</v>
      </c>
      <c r="EN525" s="119">
        <v>39</v>
      </c>
      <c r="EO525" s="115">
        <v>15</v>
      </c>
      <c r="EP525" s="115">
        <v>1960.9381127931604</v>
      </c>
      <c r="EQ525" s="115">
        <v>78</v>
      </c>
      <c r="ER525" s="115">
        <v>11</v>
      </c>
      <c r="ES525" s="115">
        <v>56</v>
      </c>
      <c r="ET525" s="150">
        <v>8.3333333333333329E-2</v>
      </c>
      <c r="EU525" s="145">
        <f t="shared" si="400"/>
        <v>65</v>
      </c>
      <c r="EV525" s="115">
        <f t="shared" si="380"/>
        <v>24</v>
      </c>
      <c r="EW525" s="115">
        <f t="shared" si="380"/>
        <v>76</v>
      </c>
      <c r="EX525" s="115">
        <f t="shared" si="380"/>
        <v>20</v>
      </c>
      <c r="EY525" s="115" t="str">
        <f t="shared" si="434"/>
        <v>Постоянный</v>
      </c>
      <c r="EZ525" s="115">
        <f t="shared" si="434"/>
        <v>24</v>
      </c>
      <c r="FA525" s="115">
        <f t="shared" si="434"/>
        <v>0</v>
      </c>
      <c r="FB525" s="149">
        <f t="shared" si="405"/>
        <v>2.0398399999999999</v>
      </c>
      <c r="FC525" s="142">
        <f t="shared" si="405"/>
        <v>4</v>
      </c>
      <c r="FD525" s="119">
        <f t="shared" si="405"/>
        <v>39</v>
      </c>
      <c r="FE525" s="121">
        <f t="shared" si="405"/>
        <v>15</v>
      </c>
      <c r="FF525" s="121">
        <f t="shared" si="407"/>
        <v>1960.9381127931604</v>
      </c>
      <c r="FG525" s="121">
        <f t="shared" si="381"/>
        <v>78</v>
      </c>
      <c r="FH525" s="121">
        <f t="shared" si="436"/>
        <v>11</v>
      </c>
      <c r="FI525" s="121">
        <f t="shared" si="427"/>
        <v>56</v>
      </c>
      <c r="FJ525" s="144">
        <f t="shared" si="382"/>
        <v>8.3333333333333329E-2</v>
      </c>
      <c r="FK525" s="132">
        <f t="shared" si="383"/>
        <v>0</v>
      </c>
      <c r="FL525" s="115">
        <f t="shared" si="383"/>
        <v>0</v>
      </c>
      <c r="FM525" s="115">
        <f t="shared" si="383"/>
        <v>0</v>
      </c>
      <c r="FN525" s="115">
        <f t="shared" si="371"/>
        <v>0</v>
      </c>
      <c r="FO525" s="115">
        <f t="shared" si="403"/>
        <v>0</v>
      </c>
      <c r="FP525" s="115">
        <f t="shared" si="403"/>
        <v>0</v>
      </c>
      <c r="FQ525" s="149">
        <f t="shared" si="403"/>
        <v>0</v>
      </c>
      <c r="FR525" s="142">
        <f t="shared" si="403"/>
        <v>0</v>
      </c>
      <c r="FS525" s="119">
        <f t="shared" si="403"/>
        <v>0</v>
      </c>
      <c r="FT525" s="121">
        <f t="shared" si="403"/>
        <v>0</v>
      </c>
      <c r="FU525" s="121">
        <f t="shared" si="384"/>
        <v>0</v>
      </c>
      <c r="FV525" s="121">
        <f t="shared" si="384"/>
        <v>0</v>
      </c>
      <c r="FW525" s="121">
        <f t="shared" si="385"/>
        <v>0</v>
      </c>
      <c r="FX525" s="121">
        <f t="shared" si="386"/>
        <v>0</v>
      </c>
      <c r="FY525" s="144">
        <f t="shared" si="386"/>
        <v>0</v>
      </c>
      <c r="FZ525" s="145"/>
      <c r="GA525" s="151" t="s">
        <v>387</v>
      </c>
      <c r="GB525" s="145"/>
      <c r="GC525" s="151" t="s">
        <v>1505</v>
      </c>
      <c r="GD525" s="997" t="s">
        <v>238</v>
      </c>
      <c r="GE525" s="1004"/>
      <c r="GF525" s="1004">
        <v>0</v>
      </c>
      <c r="GG525" s="1004"/>
      <c r="GH525" s="1004">
        <v>0</v>
      </c>
      <c r="GI525" s="145"/>
      <c r="GJ525" s="996">
        <v>0</v>
      </c>
      <c r="GK525" s="145" t="s">
        <v>199</v>
      </c>
      <c r="GL525" s="996">
        <v>-5.6250328217599996</v>
      </c>
      <c r="GM525" s="1005"/>
      <c r="GN525" s="996">
        <v>0</v>
      </c>
      <c r="GO525" s="1006"/>
      <c r="GP525" s="996">
        <v>0</v>
      </c>
      <c r="GQ525" s="1006"/>
      <c r="GR525" s="996">
        <v>0</v>
      </c>
      <c r="GS525" s="1006"/>
      <c r="GT525" s="996">
        <v>0</v>
      </c>
      <c r="GU525" s="1006" t="s">
        <v>25</v>
      </c>
      <c r="GV525" s="996">
        <v>4.3065320777599991</v>
      </c>
      <c r="GW525" s="1006"/>
      <c r="GX525" s="997">
        <v>0</v>
      </c>
      <c r="GY525" s="1006"/>
      <c r="GZ525" s="996">
        <v>0</v>
      </c>
      <c r="HA525" s="1006"/>
      <c r="HB525" s="996">
        <v>0</v>
      </c>
      <c r="HC525" s="1006" t="s">
        <v>199</v>
      </c>
      <c r="HD525" s="996">
        <v>-2.4274761455999991</v>
      </c>
      <c r="HE525" s="1006" t="s">
        <v>223</v>
      </c>
      <c r="HF525" s="996">
        <v>-2.3098064703999999</v>
      </c>
      <c r="HG525" s="1006"/>
      <c r="HH525" s="996">
        <v>0</v>
      </c>
      <c r="HI525" s="1006"/>
      <c r="HJ525" s="996">
        <v>0.3121289599999999</v>
      </c>
      <c r="HK525" s="1006"/>
      <c r="HL525" s="996">
        <v>0</v>
      </c>
      <c r="HM525" s="1006"/>
      <c r="HN525" s="996">
        <v>1.7509184000000007</v>
      </c>
      <c r="HO525" s="1006"/>
      <c r="HP525" s="996">
        <v>0</v>
      </c>
      <c r="HQ525" s="1006" t="s">
        <v>199</v>
      </c>
      <c r="HR525" s="996">
        <v>-3.2219440000000006</v>
      </c>
      <c r="HS525" s="1006"/>
      <c r="HT525" s="996">
        <v>0</v>
      </c>
      <c r="HU525" s="1006"/>
      <c r="HV525" s="996">
        <v>-0.68760999999999939</v>
      </c>
      <c r="HW525" s="1006"/>
      <c r="HX525" s="996">
        <v>0.63610571200000088</v>
      </c>
      <c r="HY525" s="1006" t="s">
        <v>199</v>
      </c>
      <c r="HZ525" s="996">
        <v>3.1941828476799978</v>
      </c>
      <c r="IA525" s="1006"/>
      <c r="IB525" s="996">
        <v>0</v>
      </c>
      <c r="IC525" s="1006" t="s">
        <v>221</v>
      </c>
      <c r="ID525" s="996">
        <v>6.1118414403200001</v>
      </c>
      <c r="IE525" s="1006"/>
      <c r="IF525" s="996">
        <v>0</v>
      </c>
      <c r="IG525" s="1006"/>
      <c r="IH525" s="996">
        <v>0</v>
      </c>
      <c r="II525" s="1006"/>
      <c r="IJ525" s="996">
        <v>0</v>
      </c>
      <c r="IK525" s="1006"/>
      <c r="IL525" s="996">
        <v>0</v>
      </c>
      <c r="IM525" s="1006"/>
      <c r="IN525" s="996">
        <v>0</v>
      </c>
      <c r="IO525" s="1006"/>
      <c r="IP525" s="996">
        <v>0</v>
      </c>
      <c r="IQ525" s="1006"/>
      <c r="IR525" s="996">
        <v>0</v>
      </c>
      <c r="IS525" s="1006"/>
      <c r="IT525" s="996">
        <v>0</v>
      </c>
      <c r="IU525" s="1006"/>
      <c r="IV525" s="996">
        <v>0</v>
      </c>
      <c r="IW525" s="1006"/>
      <c r="IX525" s="996">
        <v>0</v>
      </c>
      <c r="IY525" s="1006" t="s">
        <v>199</v>
      </c>
      <c r="IZ525" s="996">
        <v>2.448745992000001</v>
      </c>
      <c r="JA525" s="1006"/>
      <c r="JB525" s="996">
        <v>0</v>
      </c>
      <c r="JC525" s="1006" t="s">
        <v>199</v>
      </c>
      <c r="JD525" s="996">
        <v>-5.0709686720000011</v>
      </c>
      <c r="JE525" s="1006"/>
      <c r="JF525" s="996">
        <v>0</v>
      </c>
      <c r="JG525" s="1006"/>
      <c r="JH525" s="996">
        <v>0</v>
      </c>
      <c r="JI525" s="1006"/>
      <c r="JJ525" s="996">
        <v>0</v>
      </c>
      <c r="JK525" s="1007"/>
      <c r="JL525" s="1007">
        <v>0</v>
      </c>
      <c r="JM525" s="1007"/>
      <c r="JN525" s="1007">
        <v>0</v>
      </c>
      <c r="JO525" s="1008"/>
      <c r="JP525" s="1007">
        <v>0</v>
      </c>
      <c r="JQ525" s="1008" t="s">
        <v>204</v>
      </c>
      <c r="JR525" s="1007">
        <v>-2.0898327999999999</v>
      </c>
      <c r="JS525" s="1008">
        <v>0</v>
      </c>
      <c r="JT525" s="1007">
        <v>0</v>
      </c>
      <c r="JU525" s="1008" t="s">
        <v>204</v>
      </c>
      <c r="JV525" s="1007">
        <v>-3.6025973719999964</v>
      </c>
      <c r="JW525" s="1008" t="s">
        <v>197</v>
      </c>
      <c r="JX525" s="1007">
        <v>0</v>
      </c>
      <c r="JY525" s="1008" t="s">
        <v>204</v>
      </c>
      <c r="JZ525" s="1007">
        <v>6.102596851999996</v>
      </c>
      <c r="KA525" s="1008"/>
      <c r="KB525" s="1007">
        <v>0</v>
      </c>
      <c r="KC525" s="1008"/>
      <c r="KD525" s="1007">
        <v>0</v>
      </c>
      <c r="KE525" s="1008" t="s">
        <v>221</v>
      </c>
      <c r="KF525" s="1007">
        <v>2.8560853200000009</v>
      </c>
      <c r="KG525" s="1008"/>
      <c r="KH525" s="1007">
        <v>0</v>
      </c>
      <c r="KI525" s="1008"/>
      <c r="KJ525" s="1007">
        <v>0</v>
      </c>
      <c r="KK525" s="1008"/>
      <c r="KL525" s="1007"/>
      <c r="KM525" s="1008"/>
      <c r="KN525" s="1007">
        <v>0</v>
      </c>
      <c r="KO525" s="1008" t="s">
        <v>224</v>
      </c>
      <c r="KP525" s="1007">
        <v>7.6017479999999997</v>
      </c>
      <c r="KQ525" s="1008">
        <v>0</v>
      </c>
      <c r="KR525" s="1007">
        <v>-11.703999999999999</v>
      </c>
      <c r="KS525" s="1008">
        <v>0</v>
      </c>
      <c r="KT525" s="1007">
        <v>0</v>
      </c>
      <c r="KU525" s="1008">
        <v>0</v>
      </c>
      <c r="KV525" s="1007">
        <v>0</v>
      </c>
      <c r="KW525" s="1008" t="s">
        <v>206</v>
      </c>
      <c r="KX525" s="1007">
        <v>0.83599999999999852</v>
      </c>
      <c r="KY525" s="1008">
        <v>0</v>
      </c>
      <c r="KZ525" s="1007">
        <v>0</v>
      </c>
      <c r="LA525" s="1008" t="s">
        <v>223</v>
      </c>
      <c r="LB525" s="1007">
        <v>-3.0761456000000003</v>
      </c>
      <c r="LC525" s="1008" t="s">
        <v>206</v>
      </c>
      <c r="LD525" s="1007">
        <v>-1.6221744000000005</v>
      </c>
      <c r="LE525" s="1008">
        <v>0</v>
      </c>
      <c r="LF525" s="1007">
        <v>0</v>
      </c>
      <c r="LG525" s="1008">
        <v>0</v>
      </c>
      <c r="LH525" s="1007">
        <v>0</v>
      </c>
      <c r="LI525" s="1008" t="s">
        <v>199</v>
      </c>
      <c r="LJ525" s="1007">
        <v>1.8024160000000009</v>
      </c>
      <c r="LK525" s="1008">
        <v>0</v>
      </c>
      <c r="LL525" s="1007">
        <v>0</v>
      </c>
      <c r="LM525" s="1008" t="s">
        <v>207</v>
      </c>
      <c r="LN525" s="1007">
        <v>6.3903840000000001</v>
      </c>
      <c r="LO525" s="1008">
        <v>0</v>
      </c>
      <c r="LP525" s="1007">
        <v>0</v>
      </c>
      <c r="LQ525" s="1008" t="s">
        <v>199</v>
      </c>
      <c r="LR525" s="1007">
        <v>-1.6564000000000001</v>
      </c>
      <c r="LS525" s="1008">
        <v>0</v>
      </c>
      <c r="LT525" s="1007">
        <v>0</v>
      </c>
      <c r="LU525" s="1008">
        <v>0</v>
      </c>
      <c r="LV525" s="1007">
        <v>0</v>
      </c>
      <c r="LW525" s="1008" t="s">
        <v>240</v>
      </c>
      <c r="LX525" s="1007">
        <v>-2.7737599999999998</v>
      </c>
      <c r="LY525" s="1009" t="s">
        <v>207</v>
      </c>
      <c r="LZ525" s="1010">
        <v>3.3386495999999966</v>
      </c>
      <c r="MA525" s="1011" t="s">
        <v>207</v>
      </c>
      <c r="MB525" s="1012">
        <v>-4.1879419999999996</v>
      </c>
      <c r="MC525" s="995"/>
      <c r="MD525" s="996"/>
      <c r="ME525" s="997" t="s">
        <v>238</v>
      </c>
      <c r="MF525" s="997"/>
      <c r="MG525" s="998"/>
      <c r="NR525" s="1000"/>
      <c r="NS525" s="1000"/>
      <c r="NT525" s="1001"/>
      <c r="NU525" s="1000"/>
      <c r="NV525" s="1001"/>
      <c r="NX525" s="1002"/>
      <c r="NZ525" s="1001"/>
      <c r="OA525" s="1001"/>
      <c r="OC525" s="1003"/>
      <c r="OD525" s="1003"/>
      <c r="OE525" s="1001"/>
      <c r="OF525" s="1003"/>
      <c r="OG525" s="1003"/>
      <c r="QX525" s="1000">
        <f>CN525-CA525</f>
        <v>32</v>
      </c>
      <c r="ASU525" s="999" t="s">
        <v>455</v>
      </c>
    </row>
    <row r="526" spans="1:466 1191:1191" ht="21" customHeight="1" x14ac:dyDescent="0.25">
      <c r="A526" s="982">
        <f t="shared" si="372"/>
        <v>3223</v>
      </c>
      <c r="B526" s="124">
        <f>SUBTOTAL(103,$J$29:J526)</f>
        <v>498</v>
      </c>
      <c r="C526" s="126">
        <v>45068</v>
      </c>
      <c r="D526" s="124" t="s">
        <v>176</v>
      </c>
      <c r="E526" s="127" t="s">
        <v>177</v>
      </c>
      <c r="F526" s="128" t="s">
        <v>177</v>
      </c>
      <c r="G526" s="127" t="s">
        <v>178</v>
      </c>
      <c r="H526" s="127" t="s">
        <v>408</v>
      </c>
      <c r="I526" s="127" t="s">
        <v>538</v>
      </c>
      <c r="J526" s="152">
        <v>3223</v>
      </c>
      <c r="K526" s="127" t="s">
        <v>1797</v>
      </c>
      <c r="L526" s="130">
        <v>43363</v>
      </c>
      <c r="M526" s="127" t="s">
        <v>230</v>
      </c>
      <c r="N526" s="127" t="s">
        <v>231</v>
      </c>
      <c r="O526" s="127" t="s">
        <v>185</v>
      </c>
      <c r="P526" s="127" t="s">
        <v>186</v>
      </c>
      <c r="Q526" s="85" t="str">
        <f t="shared" si="423"/>
        <v/>
      </c>
      <c r="R526" s="130"/>
      <c r="S526" s="128"/>
      <c r="T526" s="131"/>
      <c r="U526" s="132">
        <v>203</v>
      </c>
      <c r="V526" s="121">
        <v>218.2</v>
      </c>
      <c r="W526" s="116">
        <v>0.98</v>
      </c>
      <c r="X526" s="116">
        <v>1.66</v>
      </c>
      <c r="Y526" s="116">
        <f t="shared" si="408"/>
        <v>0.98</v>
      </c>
      <c r="Z526" s="133">
        <v>1.454</v>
      </c>
      <c r="AA526" s="133">
        <v>0.83599999999999997</v>
      </c>
      <c r="AB526" s="133">
        <v>0.72</v>
      </c>
      <c r="AC526" s="121">
        <v>34.299999999999997</v>
      </c>
      <c r="AD526" s="134">
        <v>1.17</v>
      </c>
      <c r="AE526" s="124">
        <v>177.8</v>
      </c>
      <c r="AF526" s="128">
        <v>9.19</v>
      </c>
      <c r="AG526" s="128">
        <v>2041.5</v>
      </c>
      <c r="AH526" s="127">
        <v>2770</v>
      </c>
      <c r="AI526" s="127">
        <v>2770</v>
      </c>
      <c r="AJ526" s="135"/>
      <c r="AK526" s="128"/>
      <c r="AL526" s="131"/>
      <c r="AM526" s="124" t="s">
        <v>232</v>
      </c>
      <c r="AN526" s="136" t="s">
        <v>1860</v>
      </c>
      <c r="AO526" s="137"/>
      <c r="AP526" s="128"/>
      <c r="AQ526" s="128"/>
      <c r="AR526" s="128"/>
      <c r="AS526" s="128"/>
      <c r="AT526" s="122"/>
      <c r="AU526" s="124" t="s">
        <v>189</v>
      </c>
      <c r="AV526" s="115">
        <f>VLOOKUP(J526,'[63]ТР нефть'!$J$28:$BP$638,39,0)</f>
        <v>465.00000761699999</v>
      </c>
      <c r="AW526" s="115" t="str">
        <f>VLOOKUP(J526,'[63]ТР нефть'!$J$28:$BP$638,40,0)</f>
        <v>ГК 79 1/8</v>
      </c>
      <c r="AX526" s="115">
        <f>VLOOKUP(J526,'[63]ТР нефть'!$J$28:$BP$638,41,0)</f>
        <v>890.99997714799997</v>
      </c>
      <c r="AY526" s="115" t="str">
        <f>VLOOKUP(J526,'[63]ТР нефть'!$J$28:$BP$638,42,0)</f>
        <v>ГК 81 1/8</v>
      </c>
      <c r="AZ526" s="115">
        <f>VLOOKUP(J526,'[63]ТР нефть'!$J$28:$BP$638,43,0)</f>
        <v>1261.000016016</v>
      </c>
      <c r="BA526" s="115" t="str">
        <f>VLOOKUP(J526,'[63]ТР нефть'!$J$28:$BP$638,44,0)</f>
        <v>ГК 82 1/8</v>
      </c>
      <c r="BB526" s="115">
        <f>VLOOKUP(J526,'[63]ТР нефть'!$J$28:$BP$638,45,0)</f>
        <v>1503.0000539059999</v>
      </c>
      <c r="BC526" s="115" t="str">
        <f>VLOOKUP(J526,'[63]ТР нефть'!$J$28:$BP$638,46,0)</f>
        <v>ГК 82 1/8</v>
      </c>
      <c r="BD526" s="115">
        <f>VLOOKUP(J526,'[63]ТР нефть'!$J$28:$BP$638,47,0)</f>
        <v>1830.0000011720001</v>
      </c>
      <c r="BE526" s="115" t="str">
        <f>VLOOKUP(J526,'[63]ТР нефть'!$J$28:$BP$638,48,0)</f>
        <v>ЦКсОК 5/16</v>
      </c>
      <c r="BF526" s="115" t="str">
        <f>VLOOKUP(J526,'[63]ТР нефть'!$J$28:$BP$638,49,0)</f>
        <v xml:space="preserve">  </v>
      </c>
      <c r="BG526" s="115" t="str">
        <f>VLOOKUP(J526,'[63]ТР нефть'!$J$28:$BP$638,50,0)</f>
        <v>-</v>
      </c>
      <c r="BH526" s="115" t="str">
        <f>VLOOKUP(J526,'[63]ТР нефть'!$J$28:$BP$638,51,0)</f>
        <v>-</v>
      </c>
      <c r="BI526" s="115" t="str">
        <f>VLOOKUP(J526,'[63]ТР нефть'!$J$28:$BP$638,52,0)</f>
        <v>-</v>
      </c>
      <c r="BJ526" s="115" t="str">
        <f>IF(IFERROR(VLOOKUP(J526,'[63]ТР нефть'!$J$28:$BP$638,53,0),"-")=0,"-",IFERROR(VLOOKUP(J526,'[63]ТР нефть'!$J$28:$BP$638,53,0),"-"))</f>
        <v>-</v>
      </c>
      <c r="BK526" s="138" t="str">
        <f>IF(IFERROR(VLOOKUP(J526,'[63]ТР нефть'!$J$28:$BP$638,54,0),"-")=0,"-",IFERROR(VLOOKUP(J526,'[63]ТР нефть'!$J$28:$BP$638,54,0),"-"))</f>
        <v>-</v>
      </c>
      <c r="BL526" s="138" t="str">
        <f>IF(IFERROR(VLOOKUP(J526,'[63]ТР нефть'!$J$28:$BP$638,55,0),"-")=0,"-",IFERROR(VLOOKUP(J526,'[63]ТР нефть'!$J$28:$BP$638,55,0),"-"))</f>
        <v>-</v>
      </c>
      <c r="BM526" s="138" t="str">
        <f>IF(IFERROR(VLOOKUP(J526,'[63]ТР нефть'!$J$28:$BP$638,56,0),"-")=0,"-",IFERROR(VLOOKUP(J526,'[63]ТР нефть'!$J$28:$BP$638,56,0),"-"))</f>
        <v>-</v>
      </c>
      <c r="BN526" s="138" t="str">
        <f>IF(IFERROR(VLOOKUP(J526,'[63]ТР нефть'!$J$28:$BP$638,57,0),"-")=0,"-",IFERROR(VLOOKUP(J526,'[63]ТР нефть'!$J$28:$BP$638,57,0),"-"))</f>
        <v>-</v>
      </c>
      <c r="BO526" s="115" t="str">
        <f>IF(IFERROR(VLOOKUP(J526,'[63]ТР нефть'!$J$28:$BP$638,58,0),"-")=0,"-",IFERROR(VLOOKUP(J526,'[63]ТР нефть'!$J$28:$BP$638,58,0),"-"))</f>
        <v>-</v>
      </c>
      <c r="BP526" s="115" t="str">
        <f>IF(IFERROR(VLOOKUP(J526,'[63]ТР нефть'!$J$28:$BP$638,59,0),"-")=0,"-",IFERROR(VLOOKUP(J526,'[63]ТР нефть'!$J$28:$BP$638,59,0),"-"))</f>
        <v>-</v>
      </c>
      <c r="BQ526" s="138">
        <v>2100</v>
      </c>
      <c r="BR526" s="128"/>
      <c r="BS526" s="115"/>
      <c r="BT526" s="128"/>
      <c r="BU526" s="128"/>
      <c r="BV526" s="127">
        <v>18</v>
      </c>
      <c r="BW526" s="127" t="s">
        <v>217</v>
      </c>
      <c r="BX526" s="127" t="s">
        <v>195</v>
      </c>
      <c r="BY526" s="139">
        <v>24</v>
      </c>
      <c r="BZ526" s="139">
        <v>0</v>
      </c>
      <c r="CA526" s="138">
        <v>26</v>
      </c>
      <c r="CB526" s="138">
        <v>40</v>
      </c>
      <c r="CC526" s="138">
        <v>24</v>
      </c>
      <c r="CD526" s="135">
        <v>45017</v>
      </c>
      <c r="CE526" s="138">
        <v>113</v>
      </c>
      <c r="CF526" s="138">
        <v>66</v>
      </c>
      <c r="CG526" s="138" t="str">
        <f t="shared" si="433"/>
        <v/>
      </c>
      <c r="CH526" s="138" t="s">
        <v>197</v>
      </c>
      <c r="CI526" s="127">
        <v>5</v>
      </c>
      <c r="CJ526" s="138"/>
      <c r="CK526" s="138"/>
      <c r="CL526" s="99"/>
      <c r="CM526" s="99"/>
      <c r="CN526" s="154">
        <v>53</v>
      </c>
      <c r="CO526" s="141">
        <f t="shared" si="373"/>
        <v>7.524</v>
      </c>
      <c r="CP526" s="160">
        <v>9</v>
      </c>
      <c r="CQ526" s="161">
        <v>0</v>
      </c>
      <c r="CR526" s="115">
        <v>9.3000000000000007</v>
      </c>
      <c r="CS526" s="139">
        <v>7</v>
      </c>
      <c r="CT526" s="138"/>
      <c r="CU526" s="138">
        <f t="shared" si="418"/>
        <v>2.3000000000000007</v>
      </c>
      <c r="CV526" s="115">
        <f t="shared" si="419"/>
        <v>305.68846358320053</v>
      </c>
      <c r="CW526" s="115">
        <f t="shared" si="374"/>
        <v>930.35619351408832</v>
      </c>
      <c r="CX526" s="133">
        <f t="shared" si="420"/>
        <v>0.15</v>
      </c>
      <c r="CY526" s="116"/>
      <c r="CZ526" s="131"/>
      <c r="DA526" s="145" t="str">
        <f t="shared" si="375"/>
        <v>Газлифт</v>
      </c>
      <c r="DB526" s="146">
        <f t="shared" si="390"/>
        <v>7.524</v>
      </c>
      <c r="DC526" s="142">
        <f t="shared" si="402"/>
        <v>9</v>
      </c>
      <c r="DD526" s="119">
        <f t="shared" si="416"/>
        <v>0</v>
      </c>
      <c r="DE526" s="115">
        <f t="shared" si="392"/>
        <v>2.3000000000000007</v>
      </c>
      <c r="DF526" s="121">
        <f t="shared" si="376"/>
        <v>7</v>
      </c>
      <c r="DG526" s="115">
        <f t="shared" si="377"/>
        <v>305.68846358320053</v>
      </c>
      <c r="DH526" s="115">
        <f t="shared" si="378"/>
        <v>53</v>
      </c>
      <c r="DI526" s="1038"/>
      <c r="DJ526" s="111"/>
      <c r="DK526" s="112">
        <v>44195.083333333336</v>
      </c>
      <c r="DL526" s="113">
        <f t="shared" ca="1" si="424"/>
        <v>908.91666666666424</v>
      </c>
      <c r="DM526" s="114"/>
      <c r="DN526" s="114"/>
      <c r="DO526" s="114"/>
      <c r="DP526" s="114"/>
      <c r="DQ526" s="112"/>
      <c r="DR526" s="114"/>
      <c r="DS526" s="114"/>
      <c r="DT526" s="115">
        <v>44</v>
      </c>
      <c r="DU526" s="116">
        <f t="shared" si="425"/>
        <v>0.14305019305019309</v>
      </c>
      <c r="DV526" s="117">
        <f t="shared" si="428"/>
        <v>8.2517073359073372</v>
      </c>
      <c r="DW526" s="118">
        <f t="shared" si="429"/>
        <v>9.8704633204633225</v>
      </c>
      <c r="DX526" s="119">
        <f t="shared" si="430"/>
        <v>0</v>
      </c>
      <c r="DY526" s="115">
        <f t="shared" si="431"/>
        <v>2.5224517374517386</v>
      </c>
      <c r="DZ526" s="117">
        <f t="shared" si="426"/>
        <v>0.72770733590733716</v>
      </c>
      <c r="EA526" s="120">
        <f t="shared" si="426"/>
        <v>0.87046332046332253</v>
      </c>
      <c r="EB526" s="119">
        <f t="shared" si="387"/>
        <v>0</v>
      </c>
      <c r="EC526" s="121">
        <f t="shared" si="415"/>
        <v>0.22245173745173785</v>
      </c>
      <c r="ED526" s="122"/>
      <c r="EE526" s="145">
        <v>18</v>
      </c>
      <c r="EF526" s="115">
        <v>20</v>
      </c>
      <c r="EG526" s="115">
        <v>34</v>
      </c>
      <c r="EH526" s="115">
        <v>19</v>
      </c>
      <c r="EI526" s="128" t="s">
        <v>195</v>
      </c>
      <c r="EJ526" s="121">
        <v>24</v>
      </c>
      <c r="EK526" s="121">
        <v>0</v>
      </c>
      <c r="EL526" s="149">
        <v>3.913316</v>
      </c>
      <c r="EM526" s="142">
        <v>4.681</v>
      </c>
      <c r="EN526" s="119">
        <v>0</v>
      </c>
      <c r="EO526" s="115">
        <v>10</v>
      </c>
      <c r="EP526" s="115">
        <v>766.61327631093422</v>
      </c>
      <c r="EQ526" s="115">
        <v>78</v>
      </c>
      <c r="ER526" s="115">
        <v>7</v>
      </c>
      <c r="ES526" s="115">
        <v>46</v>
      </c>
      <c r="ET526" s="150">
        <v>6.9865671641791041E-2</v>
      </c>
      <c r="EU526" s="145">
        <f t="shared" si="400"/>
        <v>18</v>
      </c>
      <c r="EV526" s="115">
        <f t="shared" si="380"/>
        <v>26</v>
      </c>
      <c r="EW526" s="115">
        <f t="shared" si="380"/>
        <v>40</v>
      </c>
      <c r="EX526" s="115">
        <f t="shared" si="380"/>
        <v>24</v>
      </c>
      <c r="EY526" s="115" t="str">
        <f t="shared" si="434"/>
        <v>Постоянный</v>
      </c>
      <c r="EZ526" s="115">
        <f t="shared" si="434"/>
        <v>24</v>
      </c>
      <c r="FA526" s="115">
        <f t="shared" si="434"/>
        <v>0</v>
      </c>
      <c r="FB526" s="149">
        <f t="shared" si="405"/>
        <v>7.524</v>
      </c>
      <c r="FC526" s="142">
        <f t="shared" si="405"/>
        <v>9</v>
      </c>
      <c r="FD526" s="119">
        <f t="shared" si="405"/>
        <v>0</v>
      </c>
      <c r="FE526" s="121">
        <f t="shared" si="405"/>
        <v>9.3000000000000007</v>
      </c>
      <c r="FF526" s="121">
        <f t="shared" si="407"/>
        <v>305.68846358320053</v>
      </c>
      <c r="FG526" s="121">
        <f t="shared" si="381"/>
        <v>66</v>
      </c>
      <c r="FH526" s="121">
        <f t="shared" si="436"/>
        <v>7</v>
      </c>
      <c r="FI526" s="121">
        <f t="shared" si="427"/>
        <v>53</v>
      </c>
      <c r="FJ526" s="144">
        <f t="shared" si="382"/>
        <v>0.15</v>
      </c>
      <c r="FK526" s="132">
        <f t="shared" si="383"/>
        <v>0</v>
      </c>
      <c r="FL526" s="115">
        <f t="shared" si="383"/>
        <v>6</v>
      </c>
      <c r="FM526" s="115">
        <f t="shared" si="383"/>
        <v>6</v>
      </c>
      <c r="FN526" s="115">
        <f t="shared" si="371"/>
        <v>5</v>
      </c>
      <c r="FO526" s="115">
        <f t="shared" si="403"/>
        <v>0</v>
      </c>
      <c r="FP526" s="115">
        <f t="shared" si="403"/>
        <v>0</v>
      </c>
      <c r="FQ526" s="149">
        <f t="shared" si="403"/>
        <v>3.610684</v>
      </c>
      <c r="FR526" s="142">
        <f t="shared" si="403"/>
        <v>4.319</v>
      </c>
      <c r="FS526" s="119">
        <f t="shared" si="403"/>
        <v>0</v>
      </c>
      <c r="FT526" s="121">
        <f t="shared" si="403"/>
        <v>-0.69999999999999929</v>
      </c>
      <c r="FU526" s="121">
        <f t="shared" si="384"/>
        <v>-12</v>
      </c>
      <c r="FV526" s="121">
        <f t="shared" si="384"/>
        <v>0</v>
      </c>
      <c r="FW526" s="121">
        <f t="shared" si="385"/>
        <v>-460.92481272773369</v>
      </c>
      <c r="FX526" s="121">
        <f>CN526-ES526</f>
        <v>7</v>
      </c>
      <c r="FY526" s="144">
        <f t="shared" si="386"/>
        <v>8.0134328358208953E-2</v>
      </c>
      <c r="FZ526" s="145" t="s">
        <v>204</v>
      </c>
      <c r="GA526" s="151" t="s">
        <v>1861</v>
      </c>
      <c r="GB526" s="145"/>
      <c r="GC526" s="151" t="s">
        <v>1862</v>
      </c>
      <c r="GD526" s="997" t="s">
        <v>416</v>
      </c>
      <c r="GE526" s="1004"/>
      <c r="GF526" s="1004">
        <v>0</v>
      </c>
      <c r="GG526" s="1004"/>
      <c r="GH526" s="1004">
        <v>0</v>
      </c>
      <c r="GI526" s="145"/>
      <c r="GJ526" s="996">
        <v>0</v>
      </c>
      <c r="GK526" s="145"/>
      <c r="GL526" s="996">
        <v>-0.29868399999999973</v>
      </c>
      <c r="GM526" s="1005"/>
      <c r="GN526" s="996">
        <v>0</v>
      </c>
      <c r="GO526" s="1006" t="s">
        <v>199</v>
      </c>
      <c r="GP526" s="996">
        <v>1.5633199999999996</v>
      </c>
      <c r="GQ526" s="1006"/>
      <c r="GR526" s="996">
        <v>-0.76875215999999957</v>
      </c>
      <c r="GS526" s="1006" t="s">
        <v>25</v>
      </c>
      <c r="GT526" s="996">
        <v>5.0532020000000015</v>
      </c>
      <c r="GU526" s="1006"/>
      <c r="GV526" s="996">
        <v>0</v>
      </c>
      <c r="GW526" s="1006"/>
      <c r="GX526" s="996">
        <v>0</v>
      </c>
      <c r="GY526" s="1006"/>
      <c r="GZ526" s="996">
        <v>0</v>
      </c>
      <c r="HA526" s="1006" t="s">
        <v>199</v>
      </c>
      <c r="HB526" s="996">
        <v>-2.4244000000000003</v>
      </c>
      <c r="HC526" s="1006"/>
      <c r="HD526" s="996">
        <v>-0.13809883999999961</v>
      </c>
      <c r="HE526" s="1006"/>
      <c r="HF526" s="996">
        <v>0</v>
      </c>
      <c r="HG526" s="1006"/>
      <c r="HH526" s="996">
        <v>0</v>
      </c>
      <c r="HI526" s="1006"/>
      <c r="HJ526" s="996">
        <v>0</v>
      </c>
      <c r="HK526" s="1006"/>
      <c r="HL526" s="996">
        <v>0</v>
      </c>
      <c r="HM526" s="1006"/>
      <c r="HN526" s="996">
        <v>0</v>
      </c>
      <c r="HO526" s="1006"/>
      <c r="HP526" s="996">
        <v>-0.19630115999999997</v>
      </c>
      <c r="HQ526" s="1006"/>
      <c r="HR526" s="996">
        <v>-0.39292000000000016</v>
      </c>
      <c r="HS526" s="1006"/>
      <c r="HT526" s="996">
        <v>0</v>
      </c>
      <c r="HU526" s="1006"/>
      <c r="HV526" s="996">
        <v>-0.35889479999999985</v>
      </c>
      <c r="HW526" s="1006" t="s">
        <v>223</v>
      </c>
      <c r="HX526" s="996">
        <v>-4.13778618</v>
      </c>
      <c r="HY526" s="1006"/>
      <c r="HZ526" s="996">
        <v>-0.59455902000000016</v>
      </c>
      <c r="IA526" s="1006" t="s">
        <v>199</v>
      </c>
      <c r="IB526" s="996">
        <v>-2.4578399999999991</v>
      </c>
      <c r="IC526" s="1006"/>
      <c r="ID526" s="996">
        <v>0</v>
      </c>
      <c r="IE526" s="1006" t="s">
        <v>223</v>
      </c>
      <c r="IF526" s="996">
        <v>-3.9877199999999995</v>
      </c>
      <c r="IG526" s="1006"/>
      <c r="IH526" s="996">
        <v>0.82813583159999737</v>
      </c>
      <c r="II526" s="1006" t="s">
        <v>223</v>
      </c>
      <c r="IJ526" s="996">
        <v>-14.071249401439999</v>
      </c>
      <c r="IK526" s="1006"/>
      <c r="IL526" s="996"/>
      <c r="IM526" s="1006"/>
      <c r="IN526" s="996"/>
      <c r="IO526" s="1006"/>
      <c r="IP526" s="996"/>
      <c r="IQ526" s="1006"/>
      <c r="IR526" s="996"/>
      <c r="IS526" s="1006"/>
      <c r="IT526" s="996"/>
      <c r="IU526" s="1006"/>
      <c r="IV526" s="996"/>
      <c r="IW526" s="1006"/>
      <c r="IX526" s="996"/>
      <c r="IY526" s="1006"/>
      <c r="IZ526" s="996"/>
      <c r="JA526" s="1006"/>
      <c r="JB526" s="996"/>
      <c r="JC526" s="1006"/>
      <c r="JD526" s="996"/>
      <c r="JE526" s="1006"/>
      <c r="JF526" s="996"/>
      <c r="JG526" s="1006"/>
      <c r="JH526" s="996"/>
      <c r="JI526" s="1006"/>
      <c r="JJ526" s="996"/>
      <c r="JK526" s="1007"/>
      <c r="JL526" s="1007"/>
      <c r="JM526" s="1007"/>
      <c r="JN526" s="1007"/>
      <c r="JO526" s="1008"/>
      <c r="JP526" s="1007"/>
      <c r="JQ526" s="1008"/>
      <c r="JR526" s="1007"/>
      <c r="JS526" s="1008"/>
      <c r="JT526" s="1007"/>
      <c r="JU526" s="1008"/>
      <c r="JV526" s="1007"/>
      <c r="JW526" s="1008"/>
      <c r="JX526" s="1007"/>
      <c r="JY526" s="1008"/>
      <c r="JZ526" s="1007"/>
      <c r="KA526" s="1008"/>
      <c r="KB526" s="1007"/>
      <c r="KC526" s="1008"/>
      <c r="KD526" s="1007"/>
      <c r="KE526" s="1008"/>
      <c r="KF526" s="1007"/>
      <c r="KG526" s="1008"/>
      <c r="KH526" s="1007"/>
      <c r="KI526" s="1008"/>
      <c r="KJ526" s="1007"/>
      <c r="KK526" s="1008"/>
      <c r="KL526" s="1007"/>
      <c r="KM526" s="1008"/>
      <c r="KN526" s="1007"/>
      <c r="KO526" s="1008"/>
      <c r="KP526" s="1007"/>
      <c r="KQ526" s="1008"/>
      <c r="KR526" s="1007"/>
      <c r="KS526" s="1008"/>
      <c r="KT526" s="1007"/>
      <c r="KU526" s="1008"/>
      <c r="KV526" s="1007"/>
      <c r="KW526" s="1008"/>
      <c r="KX526" s="1007"/>
      <c r="KY526" s="1008"/>
      <c r="KZ526" s="1007"/>
      <c r="LA526" s="1008"/>
      <c r="LB526" s="1007"/>
      <c r="LC526" s="1008"/>
      <c r="LD526" s="1007"/>
      <c r="LE526" s="1008"/>
      <c r="LF526" s="1007"/>
      <c r="LG526" s="1008"/>
      <c r="LH526" s="1007"/>
      <c r="LI526" s="1008"/>
      <c r="LJ526" s="1007"/>
      <c r="LK526" s="1008"/>
      <c r="LL526" s="1007"/>
      <c r="LM526" s="1008"/>
      <c r="LN526" s="1007"/>
      <c r="LO526" s="1008"/>
      <c r="LP526" s="1007"/>
      <c r="LQ526" s="1008"/>
      <c r="LR526" s="1007"/>
      <c r="LS526" s="1008"/>
      <c r="LT526" s="1007"/>
      <c r="LU526" s="1008"/>
      <c r="LV526" s="1007"/>
      <c r="LW526" s="1008"/>
      <c r="LX526" s="1007"/>
      <c r="LY526" s="1009"/>
      <c r="LZ526" s="1010"/>
      <c r="MA526" s="1011"/>
      <c r="MB526" s="1012"/>
      <c r="MC526" s="995"/>
      <c r="MD526" s="996"/>
      <c r="ME526" s="997" t="s">
        <v>416</v>
      </c>
      <c r="MF526" s="997"/>
      <c r="MG526" s="998"/>
      <c r="NR526" s="1000"/>
      <c r="NS526" s="1000"/>
      <c r="NT526" s="1001"/>
      <c r="NU526" s="1000"/>
      <c r="NV526" s="1001"/>
      <c r="NX526" s="1002"/>
      <c r="NZ526" s="1001"/>
      <c r="OA526" s="1001"/>
      <c r="OC526" s="1003"/>
      <c r="OD526" s="1003"/>
      <c r="OE526" s="1001"/>
      <c r="OF526" s="1003"/>
      <c r="OG526" s="1003"/>
      <c r="QX526" s="1000">
        <f>CN526-CA526</f>
        <v>27</v>
      </c>
      <c r="ASU526" s="999" t="s">
        <v>208</v>
      </c>
    </row>
    <row r="527" spans="1:466 1191:1191" ht="21" customHeight="1" x14ac:dyDescent="0.25">
      <c r="A527" s="982">
        <f t="shared" si="372"/>
        <v>3224</v>
      </c>
      <c r="B527" s="124">
        <f>SUBTOTAL(103,$J$29:J527)</f>
        <v>499</v>
      </c>
      <c r="C527" s="126">
        <v>45068</v>
      </c>
      <c r="D527" s="124" t="s">
        <v>176</v>
      </c>
      <c r="E527" s="127" t="s">
        <v>177</v>
      </c>
      <c r="F527" s="128" t="s">
        <v>177</v>
      </c>
      <c r="G527" s="127" t="s">
        <v>178</v>
      </c>
      <c r="H527" s="127" t="s">
        <v>408</v>
      </c>
      <c r="I527" s="127" t="s">
        <v>538</v>
      </c>
      <c r="J527" s="152">
        <v>3224</v>
      </c>
      <c r="K527" s="127" t="s">
        <v>182</v>
      </c>
      <c r="L527" s="130">
        <v>43650</v>
      </c>
      <c r="M527" s="127" t="s">
        <v>230</v>
      </c>
      <c r="N527" s="127" t="s">
        <v>231</v>
      </c>
      <c r="O527" s="127" t="s">
        <v>185</v>
      </c>
      <c r="P527" s="127" t="s">
        <v>186</v>
      </c>
      <c r="Q527" s="85" t="str">
        <f t="shared" si="423"/>
        <v/>
      </c>
      <c r="R527" s="130"/>
      <c r="S527" s="128"/>
      <c r="T527" s="131"/>
      <c r="U527" s="132">
        <v>203</v>
      </c>
      <c r="V527" s="121">
        <v>218.2</v>
      </c>
      <c r="W527" s="116">
        <v>0.98</v>
      </c>
      <c r="X527" s="116">
        <v>1.66</v>
      </c>
      <c r="Y527" s="116">
        <f t="shared" si="408"/>
        <v>0.98</v>
      </c>
      <c r="Z527" s="133">
        <v>1.454</v>
      </c>
      <c r="AA527" s="133">
        <v>0.83599999999999997</v>
      </c>
      <c r="AB527" s="133">
        <v>0.72</v>
      </c>
      <c r="AC527" s="121">
        <v>34.299999999999997</v>
      </c>
      <c r="AD527" s="134">
        <v>1.17</v>
      </c>
      <c r="AE527" s="124">
        <v>177.8</v>
      </c>
      <c r="AF527" s="128">
        <v>9.19</v>
      </c>
      <c r="AG527" s="128">
        <v>2105.6999999999998</v>
      </c>
      <c r="AH527" s="127">
        <v>2108</v>
      </c>
      <c r="AI527" s="127">
        <v>2108</v>
      </c>
      <c r="AJ527" s="135"/>
      <c r="AK527" s="128"/>
      <c r="AL527" s="131"/>
      <c r="AM527" s="124" t="s">
        <v>232</v>
      </c>
      <c r="AN527" s="136" t="s">
        <v>1863</v>
      </c>
      <c r="AO527" s="137">
        <v>38.97</v>
      </c>
      <c r="AP527" s="128">
        <v>2108</v>
      </c>
      <c r="AQ527" s="128">
        <v>256.06</v>
      </c>
      <c r="AR527" s="128"/>
      <c r="AS527" s="128"/>
      <c r="AT527" s="122"/>
      <c r="AU527" s="124" t="s">
        <v>189</v>
      </c>
      <c r="AV527" s="115">
        <f>VLOOKUP(J527,'[63]ТР нефть'!$J$28:$BP$638,39,0)</f>
        <v>510.00001435500002</v>
      </c>
      <c r="AW527" s="115" t="str">
        <f>VLOOKUP(J527,'[63]ТР нефть'!$J$28:$BP$638,40,0)</f>
        <v>ГП</v>
      </c>
      <c r="AX527" s="115">
        <f>VLOOKUP(J527,'[63]ТР нефть'!$J$28:$BP$638,41,0)</f>
        <v>909.99997089800002</v>
      </c>
      <c r="AY527" s="115" t="str">
        <f>VLOOKUP(J527,'[63]ТР нефть'!$J$28:$BP$638,42,0)</f>
        <v>ГП</v>
      </c>
      <c r="AZ527" s="115">
        <f>VLOOKUP(J527,'[63]ТР нефть'!$J$28:$BP$638,43,0)</f>
        <v>1230.0000105470001</v>
      </c>
      <c r="BA527" s="115" t="str">
        <f>VLOOKUP(J527,'[63]ТР нефть'!$J$28:$BP$638,44,0)</f>
        <v>ГК 90 1/8</v>
      </c>
      <c r="BB527" s="115">
        <f>VLOOKUP(J527,'[63]ТР нефть'!$J$28:$BP$638,45,0)</f>
        <v>1530.0000058590001</v>
      </c>
      <c r="BC527" s="115" t="str">
        <f>VLOOKUP(J527,'[63]ТР нефть'!$J$28:$BP$638,46,0)</f>
        <v>ГК 90 5/32</v>
      </c>
      <c r="BD527" s="115">
        <f>VLOOKUP(J527,'[63]ТР нефть'!$J$28:$BP$638,47,0)</f>
        <v>1819.999941797</v>
      </c>
      <c r="BE527" s="115" t="str">
        <f>VLOOKUP(J527,'[63]ТР нефть'!$J$28:$BP$638,48,0)</f>
        <v>ЦКсОК 5/16</v>
      </c>
      <c r="BF527" s="115" t="str">
        <f>VLOOKUP(J527,'[63]ТР нефть'!$J$28:$BP$638,49,0)</f>
        <v>-</v>
      </c>
      <c r="BG527" s="115" t="str">
        <f>VLOOKUP(J527,'[63]ТР нефть'!$J$28:$BP$638,50,0)</f>
        <v>-</v>
      </c>
      <c r="BH527" s="115" t="str">
        <f>VLOOKUP(J527,'[63]ТР нефть'!$J$28:$BP$638,51,0)</f>
        <v>-</v>
      </c>
      <c r="BI527" s="115" t="str">
        <f>VLOOKUP(J527,'[63]ТР нефть'!$J$28:$BP$638,52,0)</f>
        <v>-</v>
      </c>
      <c r="BJ527" s="115" t="str">
        <f>IF(IFERROR(VLOOKUP(J527,'[63]ТР нефть'!$J$28:$BP$638,53,0),"-")=0,"-",IFERROR(VLOOKUP(J527,'[63]ТР нефть'!$J$28:$BP$638,53,0),"-"))</f>
        <v>-</v>
      </c>
      <c r="BK527" s="138" t="str">
        <f>IF(IFERROR(VLOOKUP(J527,'[63]ТР нефть'!$J$28:$BP$638,54,0),"-")=0,"-",IFERROR(VLOOKUP(J527,'[63]ТР нефть'!$J$28:$BP$638,54,0),"-"))</f>
        <v>-</v>
      </c>
      <c r="BL527" s="138" t="str">
        <f>IF(IFERROR(VLOOKUP(J527,'[63]ТР нефть'!$J$28:$BP$638,55,0),"-")=0,"-",IFERROR(VLOOKUP(J527,'[63]ТР нефть'!$J$28:$BP$638,55,0),"-"))</f>
        <v>-</v>
      </c>
      <c r="BM527" s="138" t="str">
        <f>IF(IFERROR(VLOOKUP(J527,'[63]ТР нефть'!$J$28:$BP$638,56,0),"-")=0,"-",IFERROR(VLOOKUP(J527,'[63]ТР нефть'!$J$28:$BP$638,56,0),"-"))</f>
        <v>-</v>
      </c>
      <c r="BN527" s="138" t="str">
        <f>IF(IFERROR(VLOOKUP(J527,'[63]ТР нефть'!$J$28:$BP$638,57,0),"-")=0,"-",IFERROR(VLOOKUP(J527,'[63]ТР нефть'!$J$28:$BP$638,57,0),"-"))</f>
        <v>-</v>
      </c>
      <c r="BO527" s="115" t="str">
        <f>IF(IFERROR(VLOOKUP(J527,'[63]ТР нефть'!$J$28:$BP$638,58,0),"-")=0,"-",IFERROR(VLOOKUP(J527,'[63]ТР нефть'!$J$28:$BP$638,58,0),"-"))</f>
        <v>-</v>
      </c>
      <c r="BP527" s="115" t="str">
        <f>IF(IFERROR(VLOOKUP(J527,'[63]ТР нефть'!$J$28:$BP$638,59,0),"-")=0,"-",IFERROR(VLOOKUP(J527,'[63]ТР нефть'!$J$28:$BP$638,59,0),"-"))</f>
        <v>-</v>
      </c>
      <c r="BQ527" s="138">
        <v>1832</v>
      </c>
      <c r="BR527" s="128">
        <v>1660.59</v>
      </c>
      <c r="BS527" s="115">
        <f t="shared" ref="BS527:BS568" si="437">BQ527-BR527</f>
        <v>171.41000000000008</v>
      </c>
      <c r="BT527" s="128">
        <v>73</v>
      </c>
      <c r="BU527" s="128">
        <v>5.5</v>
      </c>
      <c r="BV527" s="127">
        <v>18</v>
      </c>
      <c r="BW527" s="127" t="s">
        <v>217</v>
      </c>
      <c r="BX527" s="127" t="s">
        <v>218</v>
      </c>
      <c r="BY527" s="139">
        <v>24</v>
      </c>
      <c r="BZ527" s="139">
        <v>24</v>
      </c>
      <c r="CA527" s="115">
        <v>26</v>
      </c>
      <c r="CB527" s="115">
        <v>38</v>
      </c>
      <c r="CC527" s="138">
        <v>25</v>
      </c>
      <c r="CD527" s="135">
        <v>45017</v>
      </c>
      <c r="CE527" s="138">
        <v>86</v>
      </c>
      <c r="CF527" s="138">
        <v>67</v>
      </c>
      <c r="CG527" s="138" t="str">
        <f t="shared" si="433"/>
        <v>В работе</v>
      </c>
      <c r="CH527" s="138" t="s">
        <v>272</v>
      </c>
      <c r="CI527" s="127">
        <v>6</v>
      </c>
      <c r="CJ527" s="138"/>
      <c r="CK527" s="138"/>
      <c r="CL527" s="99"/>
      <c r="CM527" s="99"/>
      <c r="CN527" s="140">
        <v>47</v>
      </c>
      <c r="CO527" s="159">
        <f t="shared" si="373"/>
        <v>3.762</v>
      </c>
      <c r="CP527" s="160">
        <v>4.5</v>
      </c>
      <c r="CQ527" s="161">
        <v>0</v>
      </c>
      <c r="CR527" s="115">
        <v>14</v>
      </c>
      <c r="CS527" s="121">
        <v>2.5</v>
      </c>
      <c r="CT527" s="138"/>
      <c r="CU527" s="138">
        <f t="shared" si="418"/>
        <v>11.5</v>
      </c>
      <c r="CV527" s="115">
        <f t="shared" si="419"/>
        <v>3056.8846358320043</v>
      </c>
      <c r="CW527" s="115">
        <f t="shared" si="374"/>
        <v>664.54013822434877</v>
      </c>
      <c r="CX527" s="133">
        <f t="shared" si="420"/>
        <v>0.11538461538461539</v>
      </c>
      <c r="CY527" s="116"/>
      <c r="CZ527" s="131"/>
      <c r="DA527" s="145" t="str">
        <f t="shared" si="375"/>
        <v>Газлифт</v>
      </c>
      <c r="DB527" s="146">
        <f t="shared" si="390"/>
        <v>3.762</v>
      </c>
      <c r="DC527" s="142">
        <f t="shared" si="402"/>
        <v>4.5</v>
      </c>
      <c r="DD527" s="119">
        <f t="shared" si="416"/>
        <v>0</v>
      </c>
      <c r="DE527" s="115">
        <f t="shared" si="392"/>
        <v>11.5</v>
      </c>
      <c r="DF527" s="121">
        <f t="shared" si="376"/>
        <v>2.5</v>
      </c>
      <c r="DG527" s="115">
        <f t="shared" si="377"/>
        <v>3056.8846358320043</v>
      </c>
      <c r="DH527" s="115">
        <f t="shared" si="378"/>
        <v>47</v>
      </c>
      <c r="DI527" s="147"/>
      <c r="DJ527" s="111">
        <v>43708</v>
      </c>
      <c r="DK527" s="112">
        <v>43760.083333333336</v>
      </c>
      <c r="DL527" s="113">
        <f t="shared" ca="1" si="424"/>
        <v>1343.9166666666642</v>
      </c>
      <c r="DM527" s="114"/>
      <c r="DN527" s="114"/>
      <c r="DO527" s="114"/>
      <c r="DP527" s="114"/>
      <c r="DQ527" s="112">
        <v>43538</v>
      </c>
      <c r="DR527" s="114" t="s">
        <v>198</v>
      </c>
      <c r="DS527" s="114"/>
      <c r="DT527" s="115">
        <v>42</v>
      </c>
      <c r="DU527" s="116">
        <f t="shared" si="425"/>
        <v>0.1116504854368932</v>
      </c>
      <c r="DV527" s="117">
        <f t="shared" si="428"/>
        <v>4.1069514563106795</v>
      </c>
      <c r="DW527" s="118">
        <f t="shared" si="429"/>
        <v>4.9126213592233006</v>
      </c>
      <c r="DX527" s="119">
        <f t="shared" si="430"/>
        <v>0</v>
      </c>
      <c r="DY527" s="115">
        <f t="shared" si="431"/>
        <v>12.554476806903992</v>
      </c>
      <c r="DZ527" s="117">
        <f t="shared" si="426"/>
        <v>0.34495145631067947</v>
      </c>
      <c r="EA527" s="120">
        <f t="shared" si="426"/>
        <v>0.41262135922330057</v>
      </c>
      <c r="EB527" s="119">
        <f t="shared" si="387"/>
        <v>0</v>
      </c>
      <c r="EC527" s="121">
        <f t="shared" si="415"/>
        <v>1.0544768069039918</v>
      </c>
      <c r="ED527" s="122"/>
      <c r="EE527" s="145">
        <v>18</v>
      </c>
      <c r="EF527" s="115">
        <v>26</v>
      </c>
      <c r="EG527" s="115">
        <v>38</v>
      </c>
      <c r="EH527" s="115">
        <v>25</v>
      </c>
      <c r="EI527" s="128" t="s">
        <v>218</v>
      </c>
      <c r="EJ527" s="121">
        <v>24</v>
      </c>
      <c r="EK527" s="121">
        <v>24</v>
      </c>
      <c r="EL527" s="162">
        <v>3.762</v>
      </c>
      <c r="EM527" s="142">
        <v>4.5</v>
      </c>
      <c r="EN527" s="119">
        <v>0</v>
      </c>
      <c r="EO527" s="115">
        <v>14</v>
      </c>
      <c r="EP527" s="115">
        <v>3056.8846358320043</v>
      </c>
      <c r="EQ527" s="115">
        <v>67</v>
      </c>
      <c r="ER527" s="115">
        <v>2.5</v>
      </c>
      <c r="ES527" s="115">
        <v>47</v>
      </c>
      <c r="ET527" s="150">
        <v>0.11538461538461539</v>
      </c>
      <c r="EU527" s="145">
        <f t="shared" si="400"/>
        <v>18</v>
      </c>
      <c r="EV527" s="115">
        <f t="shared" si="380"/>
        <v>26</v>
      </c>
      <c r="EW527" s="115">
        <f t="shared" si="380"/>
        <v>38</v>
      </c>
      <c r="EX527" s="115">
        <f t="shared" si="380"/>
        <v>25</v>
      </c>
      <c r="EY527" s="115" t="str">
        <f t="shared" si="434"/>
        <v>Периодический</v>
      </c>
      <c r="EZ527" s="115">
        <f t="shared" si="434"/>
        <v>24</v>
      </c>
      <c r="FA527" s="115">
        <f t="shared" si="434"/>
        <v>24</v>
      </c>
      <c r="FB527" s="149">
        <f t="shared" si="405"/>
        <v>3.762</v>
      </c>
      <c r="FC527" s="142">
        <f t="shared" si="405"/>
        <v>4.5</v>
      </c>
      <c r="FD527" s="119">
        <f t="shared" si="405"/>
        <v>0</v>
      </c>
      <c r="FE527" s="121">
        <f t="shared" si="405"/>
        <v>14</v>
      </c>
      <c r="FF527" s="121">
        <f t="shared" si="407"/>
        <v>3056.8846358320043</v>
      </c>
      <c r="FG527" s="121">
        <f t="shared" si="381"/>
        <v>67</v>
      </c>
      <c r="FH527" s="121">
        <f t="shared" si="436"/>
        <v>2.5</v>
      </c>
      <c r="FI527" s="121">
        <f t="shared" si="427"/>
        <v>47</v>
      </c>
      <c r="FJ527" s="144">
        <f t="shared" si="382"/>
        <v>0.11538461538461539</v>
      </c>
      <c r="FK527" s="132">
        <f t="shared" si="383"/>
        <v>0</v>
      </c>
      <c r="FL527" s="115">
        <f t="shared" si="383"/>
        <v>0</v>
      </c>
      <c r="FM527" s="115">
        <f t="shared" si="383"/>
        <v>0</v>
      </c>
      <c r="FN527" s="115">
        <f t="shared" si="371"/>
        <v>0</v>
      </c>
      <c r="FO527" s="115">
        <f t="shared" si="403"/>
        <v>0</v>
      </c>
      <c r="FP527" s="115">
        <f t="shared" si="403"/>
        <v>0</v>
      </c>
      <c r="FQ527" s="149">
        <f t="shared" si="403"/>
        <v>0</v>
      </c>
      <c r="FR527" s="142">
        <f t="shared" si="403"/>
        <v>0</v>
      </c>
      <c r="FS527" s="119">
        <f t="shared" si="403"/>
        <v>0</v>
      </c>
      <c r="FT527" s="121">
        <f t="shared" si="403"/>
        <v>0</v>
      </c>
      <c r="FU527" s="121">
        <f t="shared" si="384"/>
        <v>0</v>
      </c>
      <c r="FV527" s="121">
        <f t="shared" si="384"/>
        <v>0</v>
      </c>
      <c r="FW527" s="121">
        <f t="shared" si="385"/>
        <v>0</v>
      </c>
      <c r="FX527" s="121">
        <f>CN527-ES527</f>
        <v>0</v>
      </c>
      <c r="FY527" s="144">
        <f t="shared" si="386"/>
        <v>0</v>
      </c>
      <c r="FZ527" s="145"/>
      <c r="GA527" s="151" t="s">
        <v>804</v>
      </c>
      <c r="GB527" s="145"/>
      <c r="GC527" s="1024"/>
      <c r="GD527" s="997" t="s">
        <v>416</v>
      </c>
      <c r="GE527" s="1004"/>
      <c r="GF527" s="1004">
        <v>3.724380000000016E-2</v>
      </c>
      <c r="GG527" s="1004"/>
      <c r="GH527" s="1004">
        <v>0</v>
      </c>
      <c r="GI527" s="145"/>
      <c r="GJ527" s="996">
        <v>0</v>
      </c>
      <c r="GK527" s="145"/>
      <c r="GL527" s="996">
        <v>0</v>
      </c>
      <c r="GM527" s="1005"/>
      <c r="GN527" s="996">
        <v>0</v>
      </c>
      <c r="GO527" s="1006"/>
      <c r="GP527" s="996">
        <v>0.73682531999999989</v>
      </c>
      <c r="GQ527" s="1006"/>
      <c r="GR527" s="996">
        <v>0</v>
      </c>
      <c r="GS527" s="1006"/>
      <c r="GT527" s="996">
        <v>2.0724439999999955E-2</v>
      </c>
      <c r="GU527" s="1006" t="s">
        <v>199</v>
      </c>
      <c r="GV527" s="996">
        <v>1.27900894</v>
      </c>
      <c r="GW527" s="1006"/>
      <c r="GX527" s="996">
        <v>0</v>
      </c>
      <c r="GY527" s="1006" t="s">
        <v>199</v>
      </c>
      <c r="GZ527" s="996">
        <v>-1.8230025000000001</v>
      </c>
      <c r="HA527" s="1006"/>
      <c r="HB527" s="996">
        <v>0</v>
      </c>
      <c r="HC527" s="1006"/>
      <c r="HD527" s="996">
        <v>-0.65918599999999961</v>
      </c>
      <c r="HE527" s="1006"/>
      <c r="HF527" s="996">
        <v>0</v>
      </c>
      <c r="HG527" s="1006"/>
      <c r="HH527" s="996">
        <v>0</v>
      </c>
      <c r="HI527" s="1006"/>
      <c r="HJ527" s="996">
        <v>0.85982599999999998</v>
      </c>
      <c r="HK527" s="1006" t="s">
        <v>223</v>
      </c>
      <c r="HL527" s="996">
        <v>-1.4735670399999998</v>
      </c>
      <c r="HM527" s="1006"/>
      <c r="HN527" s="996">
        <v>-0.20175606000000013</v>
      </c>
      <c r="HO527" s="1006"/>
      <c r="HP527" s="996">
        <v>-0.43852296399999968</v>
      </c>
      <c r="HQ527" s="1006"/>
      <c r="HR527" s="996">
        <v>-0.75530593600000095</v>
      </c>
      <c r="HS527" s="1006"/>
      <c r="HT527" s="996">
        <v>0</v>
      </c>
      <c r="HU527" s="1006"/>
      <c r="HV527" s="996">
        <v>0.56179200000000051</v>
      </c>
      <c r="HW527" s="1006" t="s">
        <v>199</v>
      </c>
      <c r="HX527" s="996">
        <v>2.1607255999999992</v>
      </c>
      <c r="HY527" s="1006" t="s">
        <v>199</v>
      </c>
      <c r="HZ527" s="996">
        <v>-2.7502811599999992</v>
      </c>
      <c r="IA527" s="1006"/>
      <c r="IB527" s="996">
        <v>0.8745897600000001</v>
      </c>
      <c r="IC527" s="1006"/>
      <c r="ID527" s="996">
        <v>0</v>
      </c>
      <c r="IE527" s="1006"/>
      <c r="IF527" s="996">
        <v>0</v>
      </c>
      <c r="IG527" s="1006"/>
      <c r="IH527" s="996">
        <v>0.39934633200000036</v>
      </c>
      <c r="II527" s="1006"/>
      <c r="IJ527" s="996">
        <v>-0.29785593200000005</v>
      </c>
      <c r="IK527" s="1006" t="s">
        <v>204</v>
      </c>
      <c r="IL527" s="996">
        <v>-0.99847660000000005</v>
      </c>
      <c r="IM527" s="1006"/>
      <c r="IN527" s="996">
        <v>-0.82145359999999989</v>
      </c>
      <c r="IO527" s="1006"/>
      <c r="IP527" s="996">
        <v>0</v>
      </c>
      <c r="IQ527" s="1006"/>
      <c r="IR527" s="996">
        <v>-0.81543440000000089</v>
      </c>
      <c r="IS527" s="1006"/>
      <c r="IT527" s="996">
        <v>-0.88220070399999972</v>
      </c>
      <c r="IU527" s="1006"/>
      <c r="IV527" s="996">
        <v>8.7248304000000942E-2</v>
      </c>
      <c r="IW527" s="1006"/>
      <c r="IX527" s="996">
        <v>0</v>
      </c>
      <c r="IY527" s="1006"/>
      <c r="IZ527" s="996">
        <v>0</v>
      </c>
      <c r="JA527" s="1006"/>
      <c r="JB527" s="996">
        <v>0</v>
      </c>
      <c r="JC527" s="1006" t="s">
        <v>223</v>
      </c>
      <c r="JD527" s="996">
        <v>-4.7245704000000011</v>
      </c>
      <c r="JE527" s="1006"/>
      <c r="JF527" s="996">
        <v>0</v>
      </c>
      <c r="JG527" s="1006" t="s">
        <v>223</v>
      </c>
      <c r="JH527" s="996">
        <v>-5.0318472159999992</v>
      </c>
      <c r="JI527" s="1006"/>
      <c r="JJ527" s="996">
        <v>0</v>
      </c>
      <c r="JK527" s="1007" t="s">
        <v>25</v>
      </c>
      <c r="JL527" s="1007">
        <v>11.880610015999999</v>
      </c>
      <c r="JM527" s="1007"/>
      <c r="JN527" s="1007">
        <v>0</v>
      </c>
      <c r="JO527" s="1008"/>
      <c r="JP527" s="1007">
        <v>0</v>
      </c>
      <c r="JQ527" s="1008">
        <v>0</v>
      </c>
      <c r="JR527" s="1007">
        <v>0</v>
      </c>
      <c r="JS527" s="1008">
        <v>0</v>
      </c>
      <c r="JT527" s="1007">
        <v>0</v>
      </c>
      <c r="JU527" s="1008"/>
      <c r="JV527" s="1007">
        <v>0</v>
      </c>
      <c r="JW527" s="1008" t="s">
        <v>203</v>
      </c>
      <c r="JX527" s="1007">
        <v>-8.2000731999999985</v>
      </c>
      <c r="JY527" s="1008"/>
      <c r="JZ527" s="1007">
        <v>0</v>
      </c>
      <c r="KA527" s="1008" t="s">
        <v>25</v>
      </c>
      <c r="KB527" s="1007">
        <v>2.1975931999999982</v>
      </c>
      <c r="KC527" s="1008"/>
      <c r="KD527" s="1007">
        <v>0</v>
      </c>
      <c r="KE527" s="1008" t="s">
        <v>240</v>
      </c>
      <c r="KF527" s="1007">
        <v>-6.6879999999999988</v>
      </c>
      <c r="KG527" s="1008"/>
      <c r="KH527" s="1007">
        <v>0</v>
      </c>
      <c r="KI527" s="1008"/>
      <c r="KJ527" s="1007">
        <v>0</v>
      </c>
      <c r="KK527" s="1008" t="s">
        <v>203</v>
      </c>
      <c r="KL527" s="1007">
        <v>-25.661951889200001</v>
      </c>
      <c r="KM527" s="1008"/>
      <c r="KN527" s="1007">
        <v>0</v>
      </c>
      <c r="KO527" s="1008"/>
      <c r="KP527" s="1007"/>
      <c r="KQ527" s="1008">
        <v>0</v>
      </c>
      <c r="KR527" s="1007">
        <v>0</v>
      </c>
      <c r="KS527" s="1008">
        <v>0</v>
      </c>
      <c r="KT527" s="1007">
        <v>0</v>
      </c>
      <c r="KU527" s="1008">
        <v>0</v>
      </c>
      <c r="KV527" s="1007">
        <v>0</v>
      </c>
      <c r="KW527" s="1008">
        <v>0</v>
      </c>
      <c r="KX527" s="1007">
        <v>0</v>
      </c>
      <c r="KY527" s="1008">
        <v>0</v>
      </c>
      <c r="KZ527" s="1007">
        <v>0</v>
      </c>
      <c r="LA527" s="1008">
        <v>0</v>
      </c>
      <c r="LB527" s="1007">
        <v>0</v>
      </c>
      <c r="LC527" s="1008">
        <v>0</v>
      </c>
      <c r="LD527" s="1007">
        <v>0</v>
      </c>
      <c r="LE527" s="1008">
        <v>0</v>
      </c>
      <c r="LF527" s="1007">
        <v>0</v>
      </c>
      <c r="LG527" s="1008">
        <v>0</v>
      </c>
      <c r="LH527" s="1007">
        <v>0</v>
      </c>
      <c r="LI527" s="1008">
        <v>0</v>
      </c>
      <c r="LJ527" s="1007">
        <v>0</v>
      </c>
      <c r="LK527" s="1008">
        <v>0</v>
      </c>
      <c r="LL527" s="1007">
        <v>0</v>
      </c>
      <c r="LM527" s="1008">
        <v>0</v>
      </c>
      <c r="LN527" s="1007">
        <v>0</v>
      </c>
      <c r="LO527" s="1008">
        <v>0</v>
      </c>
      <c r="LP527" s="1007">
        <v>0</v>
      </c>
      <c r="LQ527" s="1008">
        <v>0</v>
      </c>
      <c r="LR527" s="1007">
        <v>0</v>
      </c>
      <c r="LS527" s="1008">
        <v>0</v>
      </c>
      <c r="LT527" s="1007">
        <v>0</v>
      </c>
      <c r="LU527" s="1008">
        <v>0</v>
      </c>
      <c r="LV527" s="1007">
        <v>0</v>
      </c>
      <c r="LW527" s="1008">
        <v>0</v>
      </c>
      <c r="LX527" s="1007">
        <v>0</v>
      </c>
      <c r="LY527" s="1009">
        <v>0</v>
      </c>
      <c r="LZ527" s="1010">
        <v>0</v>
      </c>
      <c r="MA527" s="1011">
        <v>0</v>
      </c>
      <c r="MB527" s="1012">
        <v>0</v>
      </c>
      <c r="MC527" s="995"/>
      <c r="MD527" s="996"/>
      <c r="ME527" s="997" t="s">
        <v>416</v>
      </c>
      <c r="MF527" s="997"/>
      <c r="MG527" s="998"/>
      <c r="NR527" s="1000"/>
      <c r="NS527" s="1000"/>
      <c r="NT527" s="1001"/>
      <c r="NU527" s="1000"/>
      <c r="NV527" s="1001"/>
      <c r="NX527" s="1002"/>
      <c r="NZ527" s="1001"/>
      <c r="OA527" s="1001"/>
      <c r="OC527" s="1003"/>
      <c r="OD527" s="1003"/>
      <c r="OE527" s="1001"/>
      <c r="OF527" s="1003"/>
      <c r="OG527" s="1003"/>
      <c r="QX527" s="1000">
        <f>CN527-CA527</f>
        <v>21</v>
      </c>
      <c r="ASU527" s="999" t="s">
        <v>225</v>
      </c>
    </row>
    <row r="528" spans="1:466 1191:1191" ht="21" customHeight="1" x14ac:dyDescent="0.25">
      <c r="A528" s="982">
        <f t="shared" si="372"/>
        <v>3226</v>
      </c>
      <c r="B528" s="124">
        <f>SUBTOTAL(103,$J$29:J528)</f>
        <v>500</v>
      </c>
      <c r="C528" s="126">
        <v>45096</v>
      </c>
      <c r="D528" s="124" t="s">
        <v>176</v>
      </c>
      <c r="E528" s="127" t="s">
        <v>177</v>
      </c>
      <c r="F528" s="128" t="s">
        <v>177</v>
      </c>
      <c r="G528" s="127" t="s">
        <v>178</v>
      </c>
      <c r="H528" s="127" t="s">
        <v>421</v>
      </c>
      <c r="I528" s="127" t="s">
        <v>586</v>
      </c>
      <c r="J528" s="152">
        <v>3226</v>
      </c>
      <c r="K528" s="127" t="s">
        <v>1864</v>
      </c>
      <c r="L528" s="130">
        <v>43901</v>
      </c>
      <c r="M528" s="127" t="s">
        <v>230</v>
      </c>
      <c r="N528" s="127" t="s">
        <v>231</v>
      </c>
      <c r="O528" s="127" t="s">
        <v>185</v>
      </c>
      <c r="P528" s="127" t="s">
        <v>292</v>
      </c>
      <c r="Q528" s="85" t="str">
        <f t="shared" si="423"/>
        <v/>
      </c>
      <c r="R528" s="130"/>
      <c r="S528" s="128"/>
      <c r="T528" s="131"/>
      <c r="U528" s="132">
        <v>203</v>
      </c>
      <c r="V528" s="121">
        <v>218.2</v>
      </c>
      <c r="W528" s="116">
        <v>0.98</v>
      </c>
      <c r="X528" s="116">
        <v>1.66</v>
      </c>
      <c r="Y528" s="116">
        <f t="shared" si="408"/>
        <v>1.3208834037025008</v>
      </c>
      <c r="Z528" s="133">
        <v>1.454</v>
      </c>
      <c r="AA528" s="133">
        <v>0.83599999999999997</v>
      </c>
      <c r="AB528" s="133">
        <v>0.72</v>
      </c>
      <c r="AC528" s="121">
        <v>34.299999999999997</v>
      </c>
      <c r="AD528" s="134">
        <v>1.17</v>
      </c>
      <c r="AE528" s="124">
        <v>177.8</v>
      </c>
      <c r="AF528" s="128">
        <v>9.19</v>
      </c>
      <c r="AG528" s="128">
        <v>2379.5</v>
      </c>
      <c r="AH528" s="127">
        <v>3092</v>
      </c>
      <c r="AI528" s="127">
        <v>3092</v>
      </c>
      <c r="AJ528" s="135"/>
      <c r="AK528" s="128"/>
      <c r="AL528" s="131"/>
      <c r="AM528" s="124" t="s">
        <v>232</v>
      </c>
      <c r="AN528" s="136" t="s">
        <v>1865</v>
      </c>
      <c r="AO528" s="137">
        <v>46</v>
      </c>
      <c r="AP528" s="128">
        <v>2378</v>
      </c>
      <c r="AQ528" s="128">
        <f>AP528-1847.7</f>
        <v>530.29999999999995</v>
      </c>
      <c r="AR528" s="128"/>
      <c r="AS528" s="128"/>
      <c r="AT528" s="122"/>
      <c r="AU528" s="124" t="s">
        <v>883</v>
      </c>
      <c r="AV528" s="115">
        <f>VLOOKUP(J528,'[63]ТР нефть'!$J$28:$BP$638,39,0)</f>
        <v>279</v>
      </c>
      <c r="AW528" s="115" t="str">
        <f>VLOOKUP(J528,'[63]ТР нефть'!$J$28:$BP$638,40,0)</f>
        <v>ГП</v>
      </c>
      <c r="AX528" s="115" t="str">
        <f>VLOOKUP(J528,'[63]ТР нефть'!$J$28:$BP$638,41,0)</f>
        <v>-</v>
      </c>
      <c r="AY528" s="115" t="str">
        <f>VLOOKUP(J528,'[63]ТР нефть'!$J$28:$BP$638,42,0)</f>
        <v>-</v>
      </c>
      <c r="AZ528" s="115" t="str">
        <f>VLOOKUP(J528,'[63]ТР нефть'!$J$28:$BP$638,43,0)</f>
        <v>-</v>
      </c>
      <c r="BA528" s="115" t="str">
        <f>VLOOKUP(J528,'[63]ТР нефть'!$J$28:$BP$638,44,0)</f>
        <v>-</v>
      </c>
      <c r="BB528" s="115" t="str">
        <f>VLOOKUP(J528,'[63]ТР нефть'!$J$28:$BP$638,45,0)</f>
        <v>-</v>
      </c>
      <c r="BC528" s="115" t="str">
        <f>VLOOKUP(J528,'[63]ТР нефть'!$J$28:$BP$638,46,0)</f>
        <v>-</v>
      </c>
      <c r="BD528" s="115" t="str">
        <f>VLOOKUP(J528,'[63]ТР нефть'!$J$28:$BP$638,47,0)</f>
        <v>-</v>
      </c>
      <c r="BE528" s="115" t="str">
        <f>VLOOKUP(J528,'[63]ТР нефть'!$J$28:$BP$638,48,0)</f>
        <v>-</v>
      </c>
      <c r="BF528" s="115" t="str">
        <f>VLOOKUP(J528,'[63]ТР нефть'!$J$28:$BP$638,49,0)</f>
        <v>-</v>
      </c>
      <c r="BG528" s="115" t="str">
        <f>VLOOKUP(J528,'[63]ТР нефть'!$J$28:$BP$638,50,0)</f>
        <v>-</v>
      </c>
      <c r="BH528" s="115">
        <f>VLOOKUP(J528,'[63]ТР нефть'!$J$28:$BP$638,51,0)</f>
        <v>1943</v>
      </c>
      <c r="BI528" s="115" t="str">
        <f>VLOOKUP(J528,'[63]ТР нефть'!$J$28:$BP$638,52,0)</f>
        <v>закрыт</v>
      </c>
      <c r="BJ528" s="115" t="str">
        <f>IF(IFERROR(VLOOKUP(J528,'[63]ТР нефть'!$J$28:$BP$638,53,0),"-")=0,"-",IFERROR(VLOOKUP(J528,'[63]ТР нефть'!$J$28:$BP$638,53,0),"-"))</f>
        <v>-</v>
      </c>
      <c r="BK528" s="138" t="str">
        <f>IF(IFERROR(VLOOKUP(J528,'[63]ТР нефть'!$J$28:$BP$638,54,0),"-")=0,"-",IFERROR(VLOOKUP(J528,'[63]ТР нефть'!$J$28:$BP$638,54,0),"-"))</f>
        <v>D1050N</v>
      </c>
      <c r="BL528" s="138" t="str">
        <f>IF(IFERROR(VLOOKUP(J528,'[63]ТР нефть'!$J$28:$BP$638,55,0),"-")=0,"-",IFERROR(VLOOKUP(J528,'[63]ТР нефть'!$J$28:$BP$638,55,0),"-"))</f>
        <v>-</v>
      </c>
      <c r="BM528" s="138">
        <f>IF(IFERROR(VLOOKUP(J528,'[63]ТР нефть'!$J$28:$BP$638,56,0),"-")=0,"-",IFERROR(VLOOKUP(J528,'[63]ТР нефть'!$J$28:$BP$638,56,0),"-"))</f>
        <v>1338</v>
      </c>
      <c r="BN528" s="138">
        <v>39</v>
      </c>
      <c r="BO528" s="115">
        <f>IF(IFERROR(VLOOKUP(J528,'[63]ТР нефть'!$J$28:$BP$638,58,0),"-")=0,"-",IFERROR(VLOOKUP(J528,'[63]ТР нефть'!$J$28:$BP$638,58,0),"-"))</f>
        <v>72</v>
      </c>
      <c r="BP528" s="115" t="str">
        <f>IF(IFERROR(VLOOKUP(J528,'[63]ТР нефть'!$J$28:$BP$638,59,0),"-")=0,"-",IFERROR(VLOOKUP(J528,'[63]ТР нефть'!$J$28:$BP$638,59,0),"-"))</f>
        <v>-</v>
      </c>
      <c r="BQ528" s="138">
        <v>1960</v>
      </c>
      <c r="BR528" s="128">
        <v>1642.1</v>
      </c>
      <c r="BS528" s="115">
        <f t="shared" si="437"/>
        <v>317.90000000000009</v>
      </c>
      <c r="BT528" s="128">
        <v>73</v>
      </c>
      <c r="BU528" s="128">
        <v>5.5</v>
      </c>
      <c r="BV528" s="127">
        <v>65</v>
      </c>
      <c r="BW528" s="127" t="s">
        <v>217</v>
      </c>
      <c r="BX528" s="127" t="s">
        <v>218</v>
      </c>
      <c r="BY528" s="208">
        <v>11</v>
      </c>
      <c r="BZ528" s="210">
        <v>13</v>
      </c>
      <c r="CA528" s="138">
        <v>21</v>
      </c>
      <c r="CB528" s="138">
        <v>20</v>
      </c>
      <c r="CC528" s="138">
        <v>20</v>
      </c>
      <c r="CD528" s="135">
        <v>45017</v>
      </c>
      <c r="CE528" s="138">
        <v>149</v>
      </c>
      <c r="CF528" s="138"/>
      <c r="CG528" s="138" t="str">
        <f t="shared" si="433"/>
        <v/>
      </c>
      <c r="CH528" s="138" t="s">
        <v>197</v>
      </c>
      <c r="CI528" s="127"/>
      <c r="CJ528" s="138"/>
      <c r="CK528" s="138"/>
      <c r="CL528" s="99"/>
      <c r="CM528" s="138">
        <v>87.063278560000015</v>
      </c>
      <c r="CN528" s="154">
        <f>IF(CM528=0,0,(((AP528-AQ528-BR528)*((AD528*(CQ528/100))+(AB528*((100-CQ528)/100)))*9.81/100+CM528)))</f>
        <v>107.30323132000002</v>
      </c>
      <c r="CO528" s="141">
        <f t="shared" si="373"/>
        <v>9.4342600000000001</v>
      </c>
      <c r="CP528" s="142">
        <v>30.5</v>
      </c>
      <c r="CQ528" s="143">
        <v>63</v>
      </c>
      <c r="CR528" s="138">
        <v>6.9</v>
      </c>
      <c r="CS528" s="139"/>
      <c r="CT528" s="138"/>
      <c r="CU528" s="138">
        <f t="shared" si="418"/>
        <v>6.9</v>
      </c>
      <c r="CV528" s="115">
        <f t="shared" si="419"/>
        <v>731.37691774447603</v>
      </c>
      <c r="CW528" s="115" t="str">
        <f t="shared" si="374"/>
        <v/>
      </c>
      <c r="CX528" s="133">
        <f t="shared" si="420"/>
        <v>0.73147154960785843</v>
      </c>
      <c r="CY528" s="116"/>
      <c r="CZ528" s="131"/>
      <c r="DA528" s="145" t="str">
        <f t="shared" si="375"/>
        <v>ЭЦН</v>
      </c>
      <c r="DB528" s="146">
        <f t="shared" si="390"/>
        <v>9.4342600000000001</v>
      </c>
      <c r="DC528" s="142">
        <f t="shared" si="402"/>
        <v>30.5</v>
      </c>
      <c r="DD528" s="119">
        <f t="shared" si="416"/>
        <v>63</v>
      </c>
      <c r="DE528" s="115">
        <f t="shared" si="392"/>
        <v>6.9</v>
      </c>
      <c r="DF528" s="121">
        <f t="shared" si="376"/>
        <v>0</v>
      </c>
      <c r="DG528" s="115">
        <f t="shared" si="377"/>
        <v>731.37691774447603</v>
      </c>
      <c r="DH528" s="115">
        <f t="shared" si="378"/>
        <v>107.30323132000002</v>
      </c>
      <c r="DI528" s="147"/>
      <c r="DJ528" s="111">
        <v>44085</v>
      </c>
      <c r="DK528" s="112">
        <v>44134</v>
      </c>
      <c r="DL528" s="113">
        <f t="shared" ca="1" si="424"/>
        <v>970</v>
      </c>
      <c r="DM528" s="114">
        <v>24.8</v>
      </c>
      <c r="DN528" s="114">
        <v>60</v>
      </c>
      <c r="DO528" s="114">
        <v>44</v>
      </c>
      <c r="DP528" s="114"/>
      <c r="DQ528" s="112">
        <v>43650</v>
      </c>
      <c r="DR528" s="114" t="s">
        <v>324</v>
      </c>
      <c r="DS528" s="114"/>
      <c r="DT528" s="115">
        <v>60</v>
      </c>
      <c r="DU528" s="116">
        <f t="shared" si="425"/>
        <v>0.61360206556398789</v>
      </c>
      <c r="DV528" s="117">
        <f t="shared" si="428"/>
        <v>16.892145791902493</v>
      </c>
      <c r="DW528" s="118">
        <f t="shared" si="429"/>
        <v>54.610583835194923</v>
      </c>
      <c r="DX528" s="119">
        <f t="shared" si="430"/>
        <v>63</v>
      </c>
      <c r="DY528" s="115">
        <f t="shared" si="431"/>
        <v>12.354525523371967</v>
      </c>
      <c r="DZ528" s="117">
        <f t="shared" si="426"/>
        <v>7.457885791902493</v>
      </c>
      <c r="EA528" s="120">
        <f t="shared" si="426"/>
        <v>24.110583835194923</v>
      </c>
      <c r="EB528" s="119">
        <f t="shared" si="387"/>
        <v>0</v>
      </c>
      <c r="EC528" s="121">
        <f t="shared" si="415"/>
        <v>5.4545255233719665</v>
      </c>
      <c r="ED528" s="122"/>
      <c r="EE528" s="145">
        <v>65</v>
      </c>
      <c r="EF528" s="115">
        <v>20</v>
      </c>
      <c r="EG528" s="115">
        <v>20</v>
      </c>
      <c r="EH528" s="115">
        <v>19</v>
      </c>
      <c r="EI528" s="128" t="s">
        <v>218</v>
      </c>
      <c r="EJ528" s="121">
        <v>11</v>
      </c>
      <c r="EK528" s="121">
        <v>13</v>
      </c>
      <c r="EL528" s="149">
        <v>24.678719999999998</v>
      </c>
      <c r="EM528" s="142">
        <v>41</v>
      </c>
      <c r="EN528" s="119">
        <v>28</v>
      </c>
      <c r="EO528" s="115">
        <v>40</v>
      </c>
      <c r="EP528" s="115">
        <v>1620.829605425241</v>
      </c>
      <c r="EQ528" s="115">
        <v>0</v>
      </c>
      <c r="ER528" s="115">
        <v>0</v>
      </c>
      <c r="ES528" s="115">
        <v>87.063278560000015</v>
      </c>
      <c r="ET528" s="150">
        <v>0.66196593953908212</v>
      </c>
      <c r="EU528" s="145">
        <f t="shared" si="400"/>
        <v>65</v>
      </c>
      <c r="EV528" s="115">
        <f t="shared" si="380"/>
        <v>21</v>
      </c>
      <c r="EW528" s="115">
        <f t="shared" si="380"/>
        <v>20</v>
      </c>
      <c r="EX528" s="115">
        <f t="shared" si="380"/>
        <v>20</v>
      </c>
      <c r="EY528" s="115" t="str">
        <f t="shared" si="434"/>
        <v>Периодический</v>
      </c>
      <c r="EZ528" s="115">
        <f t="shared" si="434"/>
        <v>11</v>
      </c>
      <c r="FA528" s="115">
        <f t="shared" si="434"/>
        <v>13</v>
      </c>
      <c r="FB528" s="149">
        <f t="shared" si="405"/>
        <v>9.4342600000000001</v>
      </c>
      <c r="FC528" s="142">
        <f t="shared" si="405"/>
        <v>30.5</v>
      </c>
      <c r="FD528" s="119">
        <f t="shared" si="405"/>
        <v>63</v>
      </c>
      <c r="FE528" s="121">
        <f t="shared" si="405"/>
        <v>6.9</v>
      </c>
      <c r="FF528" s="121">
        <f t="shared" si="407"/>
        <v>731.37691774447603</v>
      </c>
      <c r="FG528" s="121">
        <f t="shared" si="381"/>
        <v>0</v>
      </c>
      <c r="FH528" s="121">
        <f t="shared" si="436"/>
        <v>0</v>
      </c>
      <c r="FI528" s="121">
        <f t="shared" si="427"/>
        <v>107.30323132000002</v>
      </c>
      <c r="FJ528" s="144">
        <f t="shared" si="382"/>
        <v>0.73147154960785843</v>
      </c>
      <c r="FK528" s="132">
        <f t="shared" si="383"/>
        <v>0</v>
      </c>
      <c r="FL528" s="115">
        <f t="shared" si="383"/>
        <v>1</v>
      </c>
      <c r="FM528" s="115">
        <f t="shared" si="383"/>
        <v>0</v>
      </c>
      <c r="FN528" s="115">
        <f t="shared" si="371"/>
        <v>1</v>
      </c>
      <c r="FO528" s="115">
        <f t="shared" si="403"/>
        <v>0</v>
      </c>
      <c r="FP528" s="115">
        <f t="shared" si="403"/>
        <v>0</v>
      </c>
      <c r="FQ528" s="149">
        <f t="shared" si="403"/>
        <v>-15.244459999999998</v>
      </c>
      <c r="FR528" s="142">
        <f t="shared" si="403"/>
        <v>-10.5</v>
      </c>
      <c r="FS528" s="119">
        <f t="shared" si="403"/>
        <v>35</v>
      </c>
      <c r="FT528" s="121">
        <f t="shared" si="403"/>
        <v>-33.1</v>
      </c>
      <c r="FU528" s="121">
        <f t="shared" si="384"/>
        <v>0</v>
      </c>
      <c r="FV528" s="121">
        <f t="shared" si="384"/>
        <v>0</v>
      </c>
      <c r="FW528" s="121">
        <f t="shared" si="385"/>
        <v>-889.45268768076494</v>
      </c>
      <c r="FX528" s="121">
        <f t="shared" si="386"/>
        <v>20.239952760000008</v>
      </c>
      <c r="FY528" s="144">
        <f t="shared" si="386"/>
        <v>6.9505610068776313E-2</v>
      </c>
      <c r="FZ528" s="145" t="s">
        <v>204</v>
      </c>
      <c r="GA528" s="151" t="s">
        <v>1866</v>
      </c>
      <c r="GB528" s="145" t="s">
        <v>204</v>
      </c>
      <c r="GC528" s="151" t="s">
        <v>1867</v>
      </c>
      <c r="GD528" s="997" t="s">
        <v>238</v>
      </c>
      <c r="GE528" s="1004" t="s">
        <v>204</v>
      </c>
      <c r="GF528" s="1004">
        <v>18.310740799999998</v>
      </c>
      <c r="GG528" s="1004"/>
      <c r="GH528" s="1004">
        <v>-0.27822079999999971</v>
      </c>
      <c r="GI528" s="145" t="s">
        <v>146</v>
      </c>
      <c r="GJ528" s="996">
        <v>-1.6832968679999984</v>
      </c>
      <c r="GK528" s="145"/>
      <c r="GL528" s="996">
        <v>0</v>
      </c>
      <c r="GM528" s="1005"/>
      <c r="GN528" s="996">
        <v>0</v>
      </c>
      <c r="GO528" s="1006"/>
      <c r="GP528" s="996">
        <v>0</v>
      </c>
      <c r="GQ528" s="1006" t="s">
        <v>204</v>
      </c>
      <c r="GR528" s="996">
        <v>-4.0700551320000056</v>
      </c>
      <c r="GS528" s="1006"/>
      <c r="GT528" s="996">
        <v>0</v>
      </c>
      <c r="GU528" s="1006"/>
      <c r="GV528" s="996">
        <v>0</v>
      </c>
      <c r="GW528" s="1006"/>
      <c r="GX528" s="997">
        <v>0</v>
      </c>
      <c r="GY528" s="1006"/>
      <c r="GZ528" s="996">
        <v>0</v>
      </c>
      <c r="HA528" s="1006" t="s">
        <v>25</v>
      </c>
      <c r="HB528" s="996">
        <v>2.4397824000000039</v>
      </c>
      <c r="HC528" s="1006"/>
      <c r="HD528" s="996">
        <v>0</v>
      </c>
      <c r="HE528" s="1006"/>
      <c r="HF528" s="996">
        <v>0</v>
      </c>
      <c r="HG528" s="1006"/>
      <c r="HH528" s="996">
        <v>0</v>
      </c>
      <c r="HI528" s="1006"/>
      <c r="HJ528" s="996">
        <v>0</v>
      </c>
      <c r="HK528" s="1006"/>
      <c r="HL528" s="996">
        <v>0</v>
      </c>
      <c r="HM528" s="1006"/>
      <c r="HN528" s="996">
        <v>0</v>
      </c>
      <c r="HO528" s="1006"/>
      <c r="HP528" s="996">
        <v>0</v>
      </c>
      <c r="HQ528" s="1006"/>
      <c r="HR528" s="996">
        <v>0</v>
      </c>
      <c r="HS528" s="1006"/>
      <c r="HT528" s="996">
        <v>0</v>
      </c>
      <c r="HU528" s="1006"/>
      <c r="HV528" s="996">
        <v>0</v>
      </c>
      <c r="HW528" s="1006"/>
      <c r="HX528" s="996">
        <v>0</v>
      </c>
      <c r="HY528" s="1006"/>
      <c r="HZ528" s="996">
        <v>0</v>
      </c>
      <c r="IA528" s="1006"/>
      <c r="IB528" s="996">
        <v>-0.17856959999999944</v>
      </c>
      <c r="IC528" s="1006"/>
      <c r="ID528" s="996">
        <v>-0.9266223999999994</v>
      </c>
      <c r="IE528" s="1006"/>
      <c r="IF528" s="996">
        <v>0</v>
      </c>
      <c r="IG528" s="1006" t="s">
        <v>199</v>
      </c>
      <c r="IH528" s="996">
        <v>-1.1071983999999979</v>
      </c>
      <c r="II528" s="1006" t="s">
        <v>223</v>
      </c>
      <c r="IJ528" s="996">
        <v>-1.367278000000006</v>
      </c>
      <c r="IK528" s="1006" t="s">
        <v>1007</v>
      </c>
      <c r="IL528" s="996">
        <v>2.0325052703999997</v>
      </c>
      <c r="IM528" s="1006" t="s">
        <v>239</v>
      </c>
      <c r="IN528" s="996">
        <v>2.6712487296000074</v>
      </c>
      <c r="IO528" s="1006"/>
      <c r="IP528" s="996">
        <v>0</v>
      </c>
      <c r="IQ528" s="1006"/>
      <c r="IR528" s="996">
        <v>0</v>
      </c>
      <c r="IS528" s="1006"/>
      <c r="IT528" s="996">
        <v>0.17472399999999411</v>
      </c>
      <c r="IU528" s="1006" t="s">
        <v>204</v>
      </c>
      <c r="IV528" s="996">
        <v>-1.9328319999999959</v>
      </c>
      <c r="IW528" s="1006"/>
      <c r="IX528" s="996">
        <v>0</v>
      </c>
      <c r="IY528" s="1006"/>
      <c r="IZ528" s="996">
        <v>0</v>
      </c>
      <c r="JA528" s="1006" t="s">
        <v>199</v>
      </c>
      <c r="JB528" s="996">
        <v>-2.7822080000000007</v>
      </c>
      <c r="JC528" s="1006"/>
      <c r="JD528" s="996">
        <v>-0.26752000000000287</v>
      </c>
      <c r="JE528" s="1006"/>
      <c r="JF528" s="996">
        <v>0.51413331200000023</v>
      </c>
      <c r="JG528" s="1006"/>
      <c r="JH528" s="996">
        <v>0</v>
      </c>
      <c r="JI528" s="1006"/>
      <c r="JJ528" s="996">
        <v>0</v>
      </c>
      <c r="JK528" s="1007"/>
      <c r="JL528" s="1007">
        <v>0</v>
      </c>
      <c r="JM528" s="1007"/>
      <c r="JN528" s="1007">
        <v>0.28842668800000126</v>
      </c>
      <c r="JO528" s="1008"/>
      <c r="JP528" s="1007">
        <v>0</v>
      </c>
      <c r="JQ528" s="1008" t="s">
        <v>203</v>
      </c>
      <c r="JR528" s="1007">
        <v>-7.2590400000000024</v>
      </c>
      <c r="JS528" s="1008" t="s">
        <v>25</v>
      </c>
      <c r="JT528" s="1007">
        <v>26.033207200000003</v>
      </c>
      <c r="JU528" s="1008"/>
      <c r="JV528" s="1007">
        <v>0</v>
      </c>
      <c r="JW528" s="1008" t="s">
        <v>197</v>
      </c>
      <c r="JX528" s="1007">
        <v>0</v>
      </c>
      <c r="JY528" s="1008"/>
      <c r="JZ528" s="1007"/>
      <c r="KA528" s="1008"/>
      <c r="KB528" s="1007"/>
      <c r="KC528" s="1008"/>
      <c r="KD528" s="1007"/>
      <c r="KE528" s="1008"/>
      <c r="KF528" s="1007"/>
      <c r="KG528" s="1008"/>
      <c r="KH528" s="1007"/>
      <c r="KI528" s="1008"/>
      <c r="KJ528" s="1007"/>
      <c r="KK528" s="1008"/>
      <c r="KL528" s="1007"/>
      <c r="KM528" s="1008"/>
      <c r="KN528" s="1007"/>
      <c r="KO528" s="1008"/>
      <c r="KP528" s="1007"/>
      <c r="KQ528" s="1008"/>
      <c r="KR528" s="1007"/>
      <c r="KS528" s="1008"/>
      <c r="KT528" s="1007"/>
      <c r="KU528" s="1008"/>
      <c r="KV528" s="1007"/>
      <c r="KW528" s="1008"/>
      <c r="KX528" s="1007"/>
      <c r="KY528" s="1008"/>
      <c r="KZ528" s="1007"/>
      <c r="LA528" s="1008"/>
      <c r="LB528" s="1007"/>
      <c r="LC528" s="1008"/>
      <c r="LD528" s="1007"/>
      <c r="LE528" s="1008"/>
      <c r="LF528" s="1007"/>
      <c r="LG528" s="1008"/>
      <c r="LH528" s="1007"/>
      <c r="LI528" s="1008"/>
      <c r="LJ528" s="1007"/>
      <c r="LK528" s="1008"/>
      <c r="LL528" s="1007"/>
      <c r="LM528" s="1008"/>
      <c r="LN528" s="1007"/>
      <c r="LO528" s="1008"/>
      <c r="LP528" s="1007"/>
      <c r="LQ528" s="1008"/>
      <c r="LR528" s="1007"/>
      <c r="LS528" s="1008"/>
      <c r="LT528" s="1007"/>
      <c r="LU528" s="1008"/>
      <c r="LV528" s="1007"/>
      <c r="LW528" s="1008"/>
      <c r="LX528" s="1007"/>
      <c r="LY528" s="1009"/>
      <c r="LZ528" s="1010"/>
      <c r="MA528" s="1011"/>
      <c r="MB528" s="1012"/>
      <c r="MC528" s="995"/>
      <c r="MD528" s="996"/>
      <c r="ME528" s="997" t="s">
        <v>238</v>
      </c>
      <c r="MF528" s="997"/>
      <c r="MG528" s="998"/>
      <c r="NR528" s="1000"/>
      <c r="NS528" s="1000"/>
      <c r="NT528" s="1001"/>
      <c r="NU528" s="1000"/>
      <c r="NV528" s="1001"/>
      <c r="NX528" s="1002"/>
      <c r="NZ528" s="1001"/>
      <c r="OA528" s="1001"/>
      <c r="OC528" s="1003"/>
      <c r="OD528" s="1003"/>
      <c r="OE528" s="1001"/>
      <c r="OF528" s="1003"/>
      <c r="OG528" s="1003"/>
      <c r="QX528" s="1000">
        <f>CN528-CA528</f>
        <v>86.303231320000023</v>
      </c>
      <c r="ASU528" s="999" t="s">
        <v>208</v>
      </c>
    </row>
    <row r="529" spans="1:466 1191:1191" ht="21" customHeight="1" x14ac:dyDescent="0.25">
      <c r="A529" s="982">
        <f t="shared" si="372"/>
        <v>3228</v>
      </c>
      <c r="B529" s="124">
        <f>SUBTOTAL(103,$J$29:J529)</f>
        <v>501</v>
      </c>
      <c r="C529" s="126">
        <v>45096</v>
      </c>
      <c r="D529" s="124" t="s">
        <v>176</v>
      </c>
      <c r="E529" s="127" t="s">
        <v>177</v>
      </c>
      <c r="F529" s="128" t="s">
        <v>177</v>
      </c>
      <c r="G529" s="127" t="s">
        <v>178</v>
      </c>
      <c r="H529" s="127" t="s">
        <v>421</v>
      </c>
      <c r="I529" s="127" t="s">
        <v>560</v>
      </c>
      <c r="J529" s="152">
        <v>3228</v>
      </c>
      <c r="K529" s="127" t="s">
        <v>1228</v>
      </c>
      <c r="L529" s="130">
        <v>42138</v>
      </c>
      <c r="M529" s="127" t="s">
        <v>230</v>
      </c>
      <c r="N529" s="127" t="s">
        <v>465</v>
      </c>
      <c r="O529" s="127" t="s">
        <v>185</v>
      </c>
      <c r="P529" s="127" t="s">
        <v>208</v>
      </c>
      <c r="Q529" s="85" t="str">
        <f t="shared" si="423"/>
        <v/>
      </c>
      <c r="R529" s="130"/>
      <c r="S529" s="128"/>
      <c r="T529" s="131"/>
      <c r="U529" s="132">
        <v>203</v>
      </c>
      <c r="V529" s="121">
        <v>218.2</v>
      </c>
      <c r="W529" s="116">
        <v>0.98</v>
      </c>
      <c r="X529" s="116">
        <v>1.66</v>
      </c>
      <c r="Y529" s="116">
        <f t="shared" si="408"/>
        <v>1.1310417709550031</v>
      </c>
      <c r="Z529" s="133">
        <v>1.454</v>
      </c>
      <c r="AA529" s="133">
        <v>0.83599999999999997</v>
      </c>
      <c r="AB529" s="133">
        <v>0.72</v>
      </c>
      <c r="AC529" s="121">
        <v>34.299999999999997</v>
      </c>
      <c r="AD529" s="134">
        <v>1.17</v>
      </c>
      <c r="AE529" s="124">
        <v>177.8</v>
      </c>
      <c r="AF529" s="128">
        <v>9.19</v>
      </c>
      <c r="AG529" s="128">
        <v>2379.5</v>
      </c>
      <c r="AH529" s="127">
        <v>3092</v>
      </c>
      <c r="AI529" s="127">
        <v>3092</v>
      </c>
      <c r="AJ529" s="135"/>
      <c r="AK529" s="128"/>
      <c r="AL529" s="131"/>
      <c r="AM529" s="124" t="s">
        <v>232</v>
      </c>
      <c r="AN529" s="136" t="s">
        <v>1868</v>
      </c>
      <c r="AO529" s="137">
        <v>68</v>
      </c>
      <c r="AP529" s="128">
        <v>2181</v>
      </c>
      <c r="AQ529" s="128">
        <v>323.89999999999998</v>
      </c>
      <c r="AR529" s="128"/>
      <c r="AS529" s="128"/>
      <c r="AT529" s="122"/>
      <c r="AU529" s="124" t="s">
        <v>189</v>
      </c>
      <c r="AV529" s="115">
        <f>VLOOKUP(J529,'[63]ТР нефть'!$J$28:$BP$638,39,0)</f>
        <v>621.00001113300004</v>
      </c>
      <c r="AW529" s="115" t="str">
        <f>VLOOKUP(J529,'[63]ТР нефть'!$J$28:$BP$638,40,0)</f>
        <v>ГК 94 1/8</v>
      </c>
      <c r="AX529" s="115">
        <f>VLOOKUP(J529,'[63]ТР нефть'!$J$28:$BP$638,41,0)</f>
        <v>1198.0000289059999</v>
      </c>
      <c r="AY529" s="115" t="str">
        <f>VLOOKUP(J529,'[63]ТР нефть'!$J$28:$BP$638,42,0)</f>
        <v>ГК 93 1/8</v>
      </c>
      <c r="AZ529" s="115">
        <f>VLOOKUP(J529,'[63]ТР нефть'!$J$28:$BP$638,43,0)</f>
        <v>1735.000032422</v>
      </c>
      <c r="BA529" s="115" t="str">
        <f>VLOOKUP(J529,'[63]ТР нефть'!$J$28:$BP$638,44,0)</f>
        <v>ЦКсОК 5/16</v>
      </c>
      <c r="BB529" s="115" t="str">
        <f>VLOOKUP(J529,'[63]ТР нефть'!$J$28:$BP$638,45,0)</f>
        <v>-</v>
      </c>
      <c r="BC529" s="115" t="str">
        <f>VLOOKUP(J529,'[63]ТР нефть'!$J$28:$BP$638,46,0)</f>
        <v>-</v>
      </c>
      <c r="BD529" s="115" t="str">
        <f>VLOOKUP(J529,'[63]ТР нефть'!$J$28:$BP$638,47,0)</f>
        <v>-</v>
      </c>
      <c r="BE529" s="115" t="str">
        <f>VLOOKUP(J529,'[63]ТР нефть'!$J$28:$BP$638,48,0)</f>
        <v>-</v>
      </c>
      <c r="BF529" s="115" t="str">
        <f>VLOOKUP(J529,'[63]ТР нефть'!$J$28:$BP$638,49,0)</f>
        <v>-</v>
      </c>
      <c r="BG529" s="115" t="str">
        <f>VLOOKUP(J529,'[63]ТР нефть'!$J$28:$BP$638,50,0)</f>
        <v>-</v>
      </c>
      <c r="BH529" s="115">
        <f>VLOOKUP(J529,'[63]ТР нефть'!$J$28:$BP$638,51,0)</f>
        <v>1750</v>
      </c>
      <c r="BI529" s="115" t="str">
        <f>VLOOKUP(J529,'[63]ТР нефть'!$J$28:$BP$638,52,0)</f>
        <v>закрыт</v>
      </c>
      <c r="BJ529" s="115" t="str">
        <f>IF(IFERROR(VLOOKUP(J529,'[63]ТР нефть'!$J$28:$BP$638,53,0),"-")=0,"-",IFERROR(VLOOKUP(J529,'[63]ТР нефть'!$J$28:$BP$638,53,0),"-"))</f>
        <v>-</v>
      </c>
      <c r="BK529" s="138" t="str">
        <f>IF(IFERROR(VLOOKUP(J529,'[63]ТР нефть'!$J$28:$BP$638,54,0),"-")=0,"-",IFERROR(VLOOKUP(J529,'[63]ТР нефть'!$J$28:$BP$638,54,0),"-"))</f>
        <v>-</v>
      </c>
      <c r="BL529" s="138" t="str">
        <f>IF(IFERROR(VLOOKUP(J529,'[63]ТР нефть'!$J$28:$BP$638,55,0),"-")=0,"-",IFERROR(VLOOKUP(J529,'[63]ТР нефть'!$J$28:$BP$638,55,0),"-"))</f>
        <v>-</v>
      </c>
      <c r="BM529" s="138" t="str">
        <f>IF(IFERROR(VLOOKUP(J529,'[63]ТР нефть'!$J$28:$BP$638,56,0),"-")=0,"-",IFERROR(VLOOKUP(J529,'[63]ТР нефть'!$J$28:$BP$638,56,0),"-"))</f>
        <v>-</v>
      </c>
      <c r="BN529" s="138" t="str">
        <f>IF(IFERROR(VLOOKUP(J529,'[63]ТР нефть'!$J$28:$BP$638,57,0),"-")=0,"-",IFERROR(VLOOKUP(J529,'[63]ТР нефть'!$J$28:$BP$638,57,0),"-"))</f>
        <v>-</v>
      </c>
      <c r="BO529" s="115" t="str">
        <f>IF(IFERROR(VLOOKUP(J529,'[63]ТР нефть'!$J$28:$BP$638,58,0),"-")=0,"-",IFERROR(VLOOKUP(J529,'[63]ТР нефть'!$J$28:$BP$638,58,0),"-"))</f>
        <v>-</v>
      </c>
      <c r="BP529" s="115" t="str">
        <f>IF(IFERROR(VLOOKUP(J529,'[63]ТР нефть'!$J$28:$BP$638,59,0),"-")=0,"-",IFERROR(VLOOKUP(J529,'[63]ТР нефть'!$J$28:$BP$638,59,0),"-"))</f>
        <v>-</v>
      </c>
      <c r="BQ529" s="138">
        <v>2230</v>
      </c>
      <c r="BR529" s="128">
        <v>1925.63</v>
      </c>
      <c r="BS529" s="115">
        <f t="shared" si="437"/>
        <v>304.36999999999989</v>
      </c>
      <c r="BT529" s="128">
        <v>73</v>
      </c>
      <c r="BU529" s="128">
        <v>5.5</v>
      </c>
      <c r="BV529" s="127">
        <v>12</v>
      </c>
      <c r="BW529" s="127" t="s">
        <v>234</v>
      </c>
      <c r="BX529" s="127" t="s">
        <v>195</v>
      </c>
      <c r="BY529" s="139">
        <v>24</v>
      </c>
      <c r="BZ529" s="139">
        <v>0</v>
      </c>
      <c r="CA529" s="138">
        <v>25</v>
      </c>
      <c r="CB529" s="138">
        <v>46</v>
      </c>
      <c r="CC529" s="138">
        <v>24</v>
      </c>
      <c r="CD529" s="135">
        <v>45017</v>
      </c>
      <c r="CE529" s="138">
        <v>142</v>
      </c>
      <c r="CF529" s="138">
        <v>88</v>
      </c>
      <c r="CG529" s="138" t="str">
        <f t="shared" si="433"/>
        <v/>
      </c>
      <c r="CH529" s="138" t="s">
        <v>197</v>
      </c>
      <c r="CI529" s="127">
        <v>5</v>
      </c>
      <c r="CJ529" s="138"/>
      <c r="CK529" s="138"/>
      <c r="CL529" s="99"/>
      <c r="CM529" s="99"/>
      <c r="CN529" s="140">
        <v>70</v>
      </c>
      <c r="CO529" s="141">
        <f t="shared" si="373"/>
        <v>5.4656007999999989</v>
      </c>
      <c r="CP529" s="142">
        <v>9.6999999999999993</v>
      </c>
      <c r="CQ529" s="143">
        <v>32.6</v>
      </c>
      <c r="CR529" s="138">
        <v>13.3</v>
      </c>
      <c r="CS529" s="139">
        <v>12</v>
      </c>
      <c r="CT529" s="138"/>
      <c r="CU529" s="138">
        <f t="shared" si="418"/>
        <v>1.3000000000000007</v>
      </c>
      <c r="CV529" s="115">
        <f t="shared" si="419"/>
        <v>237.85125324191276</v>
      </c>
      <c r="CW529" s="115">
        <f t="shared" si="374"/>
        <v>1314.7186123092458</v>
      </c>
      <c r="CX529" s="133">
        <f t="shared" si="420"/>
        <v>0.13472222222222222</v>
      </c>
      <c r="CY529" s="116"/>
      <c r="CZ529" s="131"/>
      <c r="DA529" s="145" t="str">
        <f t="shared" si="375"/>
        <v>Газлифт</v>
      </c>
      <c r="DB529" s="146">
        <f t="shared" si="390"/>
        <v>5.0033763999999996</v>
      </c>
      <c r="DC529" s="142">
        <f t="shared" si="402"/>
        <v>9.6999999999999993</v>
      </c>
      <c r="DD529" s="119">
        <f t="shared" si="416"/>
        <v>38.299999999999997</v>
      </c>
      <c r="DE529" s="115">
        <f t="shared" si="392"/>
        <v>1.3000000000000007</v>
      </c>
      <c r="DF529" s="121">
        <f t="shared" si="376"/>
        <v>12</v>
      </c>
      <c r="DG529" s="115">
        <f t="shared" si="377"/>
        <v>237.85125324191276</v>
      </c>
      <c r="DH529" s="115">
        <f t="shared" si="378"/>
        <v>70</v>
      </c>
      <c r="DI529" s="147"/>
      <c r="DJ529" s="111"/>
      <c r="DK529" s="112">
        <v>43901</v>
      </c>
      <c r="DL529" s="113">
        <f t="shared" ca="1" si="424"/>
        <v>1203</v>
      </c>
      <c r="DM529" s="114"/>
      <c r="DN529" s="114"/>
      <c r="DO529" s="114"/>
      <c r="DP529" s="114"/>
      <c r="DQ529" s="112"/>
      <c r="DR529" s="114"/>
      <c r="DS529" s="114"/>
      <c r="DT529" s="115">
        <v>60</v>
      </c>
      <c r="DU529" s="116">
        <f t="shared" si="425"/>
        <v>0.12927890011223342</v>
      </c>
      <c r="DV529" s="117">
        <f t="shared" si="428"/>
        <v>5.9732085061728384</v>
      </c>
      <c r="DW529" s="118">
        <f t="shared" si="429"/>
        <v>10.600869809203141</v>
      </c>
      <c r="DX529" s="119">
        <f t="shared" si="430"/>
        <v>32.6</v>
      </c>
      <c r="DY529" s="115">
        <f t="shared" si="431"/>
        <v>1.4207351290684633</v>
      </c>
      <c r="DZ529" s="117">
        <f t="shared" si="426"/>
        <v>0.50760770617283946</v>
      </c>
      <c r="EA529" s="120">
        <f t="shared" si="426"/>
        <v>0.90086980920314197</v>
      </c>
      <c r="EB529" s="119">
        <f t="shared" si="387"/>
        <v>0</v>
      </c>
      <c r="EC529" s="121">
        <f t="shared" si="415"/>
        <v>0.12073512906846262</v>
      </c>
      <c r="ED529" s="122"/>
      <c r="EE529" s="145">
        <v>12</v>
      </c>
      <c r="EF529" s="115">
        <v>32</v>
      </c>
      <c r="EG529" s="115">
        <v>64</v>
      </c>
      <c r="EH529" s="115">
        <v>31</v>
      </c>
      <c r="EI529" s="128" t="s">
        <v>218</v>
      </c>
      <c r="EJ529" s="121">
        <v>24</v>
      </c>
      <c r="EK529" s="121">
        <v>24</v>
      </c>
      <c r="EL529" s="149">
        <v>2.9917095999999996</v>
      </c>
      <c r="EM529" s="142">
        <v>5.8</v>
      </c>
      <c r="EN529" s="119">
        <v>38.299999999999997</v>
      </c>
      <c r="EO529" s="115">
        <v>3</v>
      </c>
      <c r="EP529" s="115">
        <v>133.70281661027525</v>
      </c>
      <c r="EQ529" s="115">
        <v>88</v>
      </c>
      <c r="ER529" s="115">
        <v>2.6</v>
      </c>
      <c r="ES529" s="115">
        <v>95</v>
      </c>
      <c r="ET529" s="150">
        <v>0.12340425531914893</v>
      </c>
      <c r="EU529" s="145">
        <f t="shared" si="400"/>
        <v>12</v>
      </c>
      <c r="EV529" s="115">
        <f t="shared" si="380"/>
        <v>25</v>
      </c>
      <c r="EW529" s="115">
        <f t="shared" si="380"/>
        <v>46</v>
      </c>
      <c r="EX529" s="115">
        <f t="shared" si="380"/>
        <v>24</v>
      </c>
      <c r="EY529" s="115" t="str">
        <f t="shared" si="434"/>
        <v>Постоянный</v>
      </c>
      <c r="EZ529" s="115">
        <f t="shared" si="434"/>
        <v>24</v>
      </c>
      <c r="FA529" s="115">
        <f t="shared" si="434"/>
        <v>0</v>
      </c>
      <c r="FB529" s="149">
        <f t="shared" si="405"/>
        <v>5.4656007999999989</v>
      </c>
      <c r="FC529" s="142">
        <f t="shared" si="405"/>
        <v>9.6999999999999993</v>
      </c>
      <c r="FD529" s="119">
        <f t="shared" si="405"/>
        <v>32.6</v>
      </c>
      <c r="FE529" s="121">
        <f t="shared" si="405"/>
        <v>13.3</v>
      </c>
      <c r="FF529" s="121">
        <f t="shared" si="407"/>
        <v>237.85125324191276</v>
      </c>
      <c r="FG529" s="121">
        <f t="shared" si="381"/>
        <v>88</v>
      </c>
      <c r="FH529" s="121">
        <f t="shared" si="436"/>
        <v>12</v>
      </c>
      <c r="FI529" s="121">
        <f t="shared" si="427"/>
        <v>70</v>
      </c>
      <c r="FJ529" s="144">
        <f t="shared" si="382"/>
        <v>0.13472222222222222</v>
      </c>
      <c r="FK529" s="132">
        <f t="shared" si="383"/>
        <v>0</v>
      </c>
      <c r="FL529" s="115">
        <f t="shared" si="383"/>
        <v>-7</v>
      </c>
      <c r="FM529" s="115">
        <f t="shared" si="383"/>
        <v>-18</v>
      </c>
      <c r="FN529" s="115">
        <f t="shared" si="371"/>
        <v>-7</v>
      </c>
      <c r="FO529" s="115">
        <f t="shared" si="403"/>
        <v>0</v>
      </c>
      <c r="FP529" s="115">
        <f t="shared" si="403"/>
        <v>-24</v>
      </c>
      <c r="FQ529" s="149">
        <f t="shared" si="403"/>
        <v>2.4738911999999993</v>
      </c>
      <c r="FR529" s="142">
        <f t="shared" si="403"/>
        <v>3.8999999999999995</v>
      </c>
      <c r="FS529" s="119">
        <f t="shared" si="403"/>
        <v>-5.6999999999999957</v>
      </c>
      <c r="FT529" s="121">
        <f t="shared" si="403"/>
        <v>10.3</v>
      </c>
      <c r="FU529" s="121">
        <f t="shared" si="384"/>
        <v>0</v>
      </c>
      <c r="FV529" s="121">
        <f t="shared" si="384"/>
        <v>9.4</v>
      </c>
      <c r="FW529" s="121">
        <f t="shared" si="385"/>
        <v>104.14843663163751</v>
      </c>
      <c r="FX529" s="121">
        <f t="shared" si="386"/>
        <v>-25</v>
      </c>
      <c r="FY529" s="144">
        <f t="shared" si="386"/>
        <v>1.1317966903073282E-2</v>
      </c>
      <c r="FZ529" s="145" t="s">
        <v>199</v>
      </c>
      <c r="GA529" s="151" t="s">
        <v>379</v>
      </c>
      <c r="GB529" s="145" t="s">
        <v>221</v>
      </c>
      <c r="GC529" s="151" t="s">
        <v>533</v>
      </c>
      <c r="GD529" s="997" t="s">
        <v>238</v>
      </c>
      <c r="GE529" s="1004" t="s">
        <v>221</v>
      </c>
      <c r="GF529" s="1004">
        <v>0.73868959999999939</v>
      </c>
      <c r="GG529" s="1004"/>
      <c r="GH529" s="1004">
        <v>0</v>
      </c>
      <c r="GI529" s="145"/>
      <c r="GJ529" s="996">
        <v>0</v>
      </c>
      <c r="GK529" s="145"/>
      <c r="GL529" s="996">
        <v>0</v>
      </c>
      <c r="GM529" s="1005"/>
      <c r="GN529" s="996">
        <v>0</v>
      </c>
      <c r="GO529" s="1006" t="s">
        <v>204</v>
      </c>
      <c r="GP529" s="996">
        <v>-1.4676816000000001</v>
      </c>
      <c r="GQ529" s="1006"/>
      <c r="GR529" s="996">
        <v>0.47225640000000002</v>
      </c>
      <c r="GS529" s="1006"/>
      <c r="GT529" s="996">
        <v>0</v>
      </c>
      <c r="GU529" s="1006"/>
      <c r="GV529" s="996">
        <v>0</v>
      </c>
      <c r="GW529" s="1006"/>
      <c r="GX529" s="997">
        <v>0</v>
      </c>
      <c r="GY529" s="1006"/>
      <c r="GZ529" s="996">
        <v>1.4713600000000326E-2</v>
      </c>
      <c r="HA529" s="1006"/>
      <c r="HB529" s="996">
        <v>0</v>
      </c>
      <c r="HC529" s="1006" t="s">
        <v>199</v>
      </c>
      <c r="HD529" s="996">
        <v>-3.5545884000000005</v>
      </c>
      <c r="HE529" s="1006" t="s">
        <v>534</v>
      </c>
      <c r="HF529" s="996">
        <v>-3.3105599999999988</v>
      </c>
      <c r="HG529" s="1006" t="s">
        <v>223</v>
      </c>
      <c r="HH529" s="996">
        <v>-1.9011200000000006</v>
      </c>
      <c r="HI529" s="1006"/>
      <c r="HJ529" s="996">
        <v>0</v>
      </c>
      <c r="HK529" s="1006"/>
      <c r="HL529" s="996">
        <v>0</v>
      </c>
      <c r="HM529" s="1006" t="s">
        <v>25</v>
      </c>
      <c r="HN529" s="996">
        <v>12.6</v>
      </c>
      <c r="HO529" s="1006"/>
      <c r="HP529" s="996">
        <v>0</v>
      </c>
      <c r="HQ529" s="1006"/>
      <c r="HR529" s="996">
        <v>0</v>
      </c>
      <c r="HS529" s="1006"/>
      <c r="HT529" s="996">
        <v>0</v>
      </c>
      <c r="HU529" s="1006"/>
      <c r="HV529" s="996">
        <v>0</v>
      </c>
      <c r="HW529" s="1006"/>
      <c r="HX529" s="996">
        <v>-0.56847999999999965</v>
      </c>
      <c r="HY529" s="1006"/>
      <c r="HZ529" s="996">
        <v>0</v>
      </c>
      <c r="IA529" s="1006"/>
      <c r="IB529" s="996">
        <v>0</v>
      </c>
      <c r="IC529" s="1006"/>
      <c r="ID529" s="996">
        <v>0</v>
      </c>
      <c r="IE529" s="1006"/>
      <c r="IF529" s="996">
        <v>0</v>
      </c>
      <c r="IG529" s="1006" t="s">
        <v>199</v>
      </c>
      <c r="IH529" s="996">
        <v>-1.5884</v>
      </c>
      <c r="II529" s="1006"/>
      <c r="IJ529" s="996">
        <v>0.5851999999999995</v>
      </c>
      <c r="IK529" s="1006"/>
      <c r="IL529" s="996">
        <v>0</v>
      </c>
      <c r="IM529" s="1006" t="s">
        <v>199</v>
      </c>
      <c r="IN529" s="996">
        <v>-3.7620000000000005</v>
      </c>
      <c r="IO529" s="1006" t="s">
        <v>204</v>
      </c>
      <c r="IP529" s="996">
        <v>-2.9259999999999984</v>
      </c>
      <c r="IQ529" s="1006" t="s">
        <v>199</v>
      </c>
      <c r="IR529" s="996">
        <v>-6.6278347520000001</v>
      </c>
      <c r="IS529" s="1006"/>
      <c r="IT529" s="996">
        <v>0</v>
      </c>
      <c r="IU529" s="1006" t="s">
        <v>199</v>
      </c>
      <c r="IV529" s="996">
        <v>10.724234751999999</v>
      </c>
      <c r="IW529" s="1006" t="s">
        <v>199</v>
      </c>
      <c r="IX529" s="996">
        <v>-11.352880000000001</v>
      </c>
      <c r="IY529" s="1006"/>
      <c r="IZ529" s="996">
        <v>0.90287999999999968</v>
      </c>
      <c r="JA529" s="1006" t="s">
        <v>199</v>
      </c>
      <c r="JB529" s="996">
        <v>-12.456399999999999</v>
      </c>
      <c r="JC529" s="1006" t="s">
        <v>25</v>
      </c>
      <c r="JD529" s="996">
        <v>30.513999999999999</v>
      </c>
      <c r="JE529" s="1006"/>
      <c r="JF529" s="996">
        <v>0</v>
      </c>
      <c r="JG529" s="1006"/>
      <c r="JH529" s="996">
        <v>0</v>
      </c>
      <c r="JI529" s="1006"/>
      <c r="JJ529" s="996"/>
      <c r="JK529" s="1007"/>
      <c r="JL529" s="1007"/>
      <c r="JM529" s="1007"/>
      <c r="JN529" s="1007"/>
      <c r="JO529" s="1008"/>
      <c r="JP529" s="1007"/>
      <c r="JQ529" s="1008"/>
      <c r="JR529" s="1007"/>
      <c r="JS529" s="1008"/>
      <c r="JT529" s="1007"/>
      <c r="JU529" s="1008"/>
      <c r="JV529" s="1007"/>
      <c r="JW529" s="1008"/>
      <c r="JX529" s="1007"/>
      <c r="JY529" s="1008"/>
      <c r="JZ529" s="1007"/>
      <c r="KA529" s="1008"/>
      <c r="KB529" s="1007"/>
      <c r="KC529" s="1008"/>
      <c r="KD529" s="1007"/>
      <c r="KE529" s="1008"/>
      <c r="KF529" s="1007"/>
      <c r="KG529" s="1008"/>
      <c r="KH529" s="1007"/>
      <c r="KI529" s="1008"/>
      <c r="KJ529" s="1007"/>
      <c r="KK529" s="1008"/>
      <c r="KL529" s="1007"/>
      <c r="KM529" s="1008"/>
      <c r="KN529" s="1007"/>
      <c r="KO529" s="1008"/>
      <c r="KP529" s="1007"/>
      <c r="KQ529" s="1008"/>
      <c r="KR529" s="1007"/>
      <c r="KS529" s="1008"/>
      <c r="KT529" s="1007"/>
      <c r="KU529" s="1008"/>
      <c r="KV529" s="1007"/>
      <c r="KW529" s="1008"/>
      <c r="KX529" s="1007"/>
      <c r="KY529" s="1008"/>
      <c r="KZ529" s="1007"/>
      <c r="LA529" s="1008"/>
      <c r="LB529" s="1007"/>
      <c r="LC529" s="1008"/>
      <c r="LD529" s="1007"/>
      <c r="LE529" s="1008"/>
      <c r="LF529" s="1007"/>
      <c r="LG529" s="1008"/>
      <c r="LH529" s="1007"/>
      <c r="LI529" s="1008"/>
      <c r="LJ529" s="1007"/>
      <c r="LK529" s="1008"/>
      <c r="LL529" s="1007"/>
      <c r="LM529" s="1008"/>
      <c r="LN529" s="1007"/>
      <c r="LO529" s="1008"/>
      <c r="LP529" s="1007"/>
      <c r="LQ529" s="1008"/>
      <c r="LR529" s="1007"/>
      <c r="LS529" s="1008"/>
      <c r="LT529" s="1007"/>
      <c r="LU529" s="1008"/>
      <c r="LV529" s="1007"/>
      <c r="LW529" s="1008"/>
      <c r="LX529" s="1007"/>
      <c r="LY529" s="1009"/>
      <c r="LZ529" s="1010"/>
      <c r="MA529" s="1011"/>
      <c r="MB529" s="1012"/>
      <c r="MC529" s="995"/>
      <c r="MD529" s="996"/>
      <c r="ME529" s="997" t="s">
        <v>238</v>
      </c>
      <c r="MF529" s="997"/>
      <c r="MG529" s="998"/>
      <c r="NR529" s="1000"/>
      <c r="NS529" s="1000"/>
      <c r="NT529" s="1001"/>
      <c r="NU529" s="1000"/>
      <c r="NV529" s="1001"/>
      <c r="NX529" s="1002"/>
      <c r="NZ529" s="1001"/>
      <c r="OA529" s="1001"/>
      <c r="OC529" s="1003"/>
      <c r="OD529" s="1003"/>
      <c r="OE529" s="1001"/>
      <c r="OF529" s="1003"/>
      <c r="OG529" s="1003"/>
      <c r="QX529" s="1000">
        <f>CN529-CA529</f>
        <v>45</v>
      </c>
      <c r="ASU529" s="999" t="s">
        <v>225</v>
      </c>
    </row>
    <row r="530" spans="1:466 1191:1191" ht="21" customHeight="1" x14ac:dyDescent="0.25">
      <c r="A530" s="982">
        <f t="shared" si="372"/>
        <v>3230</v>
      </c>
      <c r="B530" s="124">
        <f>SUBTOTAL(103,$J$29:J530)</f>
        <v>502</v>
      </c>
      <c r="C530" s="126">
        <v>45068</v>
      </c>
      <c r="D530" s="124" t="s">
        <v>176</v>
      </c>
      <c r="E530" s="127" t="s">
        <v>177</v>
      </c>
      <c r="F530" s="128" t="s">
        <v>177</v>
      </c>
      <c r="G530" s="127" t="s">
        <v>178</v>
      </c>
      <c r="H530" s="127" t="s">
        <v>179</v>
      </c>
      <c r="I530" s="127" t="s">
        <v>921</v>
      </c>
      <c r="J530" s="152">
        <v>3230</v>
      </c>
      <c r="K530" s="127" t="s">
        <v>1200</v>
      </c>
      <c r="L530" s="130">
        <v>42122</v>
      </c>
      <c r="M530" s="127" t="s">
        <v>230</v>
      </c>
      <c r="N530" s="127" t="s">
        <v>184</v>
      </c>
      <c r="O530" s="127" t="s">
        <v>185</v>
      </c>
      <c r="P530" s="127" t="s">
        <v>186</v>
      </c>
      <c r="Q530" s="85" t="str">
        <f t="shared" si="423"/>
        <v/>
      </c>
      <c r="R530" s="130"/>
      <c r="S530" s="128"/>
      <c r="T530" s="131"/>
      <c r="U530" s="132">
        <v>203</v>
      </c>
      <c r="V530" s="121">
        <v>218.2</v>
      </c>
      <c r="W530" s="116">
        <v>0.98</v>
      </c>
      <c r="X530" s="116">
        <v>1.66</v>
      </c>
      <c r="Y530" s="116">
        <f t="shared" si="408"/>
        <v>1.0175131348511381</v>
      </c>
      <c r="Z530" s="133">
        <v>1.454</v>
      </c>
      <c r="AA530" s="133">
        <v>0.83599999999999997</v>
      </c>
      <c r="AB530" s="133">
        <v>0.72</v>
      </c>
      <c r="AC530" s="121">
        <v>34.299999999999997</v>
      </c>
      <c r="AD530" s="134">
        <v>1.17</v>
      </c>
      <c r="AE530" s="124">
        <v>177.8</v>
      </c>
      <c r="AF530" s="128">
        <v>9.19</v>
      </c>
      <c r="AG530" s="128">
        <v>2069</v>
      </c>
      <c r="AH530" s="127" t="s">
        <v>1869</v>
      </c>
      <c r="AI530" s="127" t="s">
        <v>1869</v>
      </c>
      <c r="AJ530" s="135"/>
      <c r="AK530" s="128"/>
      <c r="AL530" s="131"/>
      <c r="AM530" s="124" t="s">
        <v>232</v>
      </c>
      <c r="AN530" s="136" t="s">
        <v>1870</v>
      </c>
      <c r="AO530" s="137">
        <v>33.869999999999891</v>
      </c>
      <c r="AP530" s="128" t="s">
        <v>1871</v>
      </c>
      <c r="AQ530" s="128" t="s">
        <v>1872</v>
      </c>
      <c r="AR530" s="128"/>
      <c r="AS530" s="128"/>
      <c r="AT530" s="122"/>
      <c r="AU530" s="124" t="s">
        <v>189</v>
      </c>
      <c r="AV530" s="115">
        <f>VLOOKUP(J530,'[63]ТР нефть'!$J$28:$BP$638,39,0)</f>
        <v>349.99999453100003</v>
      </c>
      <c r="AW530" s="115" t="str">
        <f>VLOOKUP(J530,'[63]ТР нефть'!$J$28:$BP$638,40,0)</f>
        <v>ГП</v>
      </c>
      <c r="AX530" s="115">
        <f>VLOOKUP(J530,'[63]ТР нефть'!$J$28:$BP$638,41,0)</f>
        <v>670.00003417999994</v>
      </c>
      <c r="AY530" s="115" t="str">
        <f>VLOOKUP(J530,'[63]ТР нефть'!$J$28:$BP$638,42,0)</f>
        <v>ГП</v>
      </c>
      <c r="AZ530" s="115">
        <f>VLOOKUP(J530,'[63]ТР нефть'!$J$28:$BP$638,43,0)</f>
        <v>980.00001445299995</v>
      </c>
      <c r="BA530" s="115" t="str">
        <f>VLOOKUP(J530,'[63]ТР нефть'!$J$28:$BP$638,44,0)</f>
        <v>ГП</v>
      </c>
      <c r="BB530" s="115">
        <f>VLOOKUP(J530,'[63]ТР нефть'!$J$28:$BP$638,45,0)</f>
        <v>1239.999995508</v>
      </c>
      <c r="BC530" s="115" t="str">
        <f>VLOOKUP(J530,'[63]ТР нефть'!$J$28:$BP$638,46,0)</f>
        <v>ГК 78 1/8</v>
      </c>
      <c r="BD530" s="115">
        <f>VLOOKUP(J530,'[63]ТР нефть'!$J$28:$BP$638,47,0)</f>
        <v>1449.9999773439999</v>
      </c>
      <c r="BE530" s="115" t="str">
        <f>VLOOKUP(J530,'[63]ТР нефть'!$J$28:$BP$638,48,0)</f>
        <v>ГК 79 5/32</v>
      </c>
      <c r="BF530" s="115" t="str">
        <f>VLOOKUP(J530,'[63]ТР нефть'!$J$28:$BP$638,49,0)</f>
        <v>-</v>
      </c>
      <c r="BG530" s="115" t="str">
        <f>VLOOKUP(J530,'[63]ТР нефть'!$J$28:$BP$638,50,0)</f>
        <v>-</v>
      </c>
      <c r="BH530" s="115">
        <f>VLOOKUP(J530,'[63]ТР нефть'!$J$28:$BP$638,51,0)</f>
        <v>1720</v>
      </c>
      <c r="BI530" s="115" t="str">
        <f>VLOOKUP(J530,'[63]ТР нефть'!$J$28:$BP$638,52,0)</f>
        <v>открыт</v>
      </c>
      <c r="BJ530" s="115" t="str">
        <f>IF(IFERROR(VLOOKUP(J530,'[63]ТР нефть'!$J$28:$BP$638,53,0),"-")=0,"-",IFERROR(VLOOKUP(J530,'[63]ТР нефть'!$J$28:$BP$638,53,0),"-"))</f>
        <v>-</v>
      </c>
      <c r="BK530" s="138" t="str">
        <f>IF(IFERROR(VLOOKUP(J530,'[63]ТР нефть'!$J$28:$BP$638,54,0),"-")=0,"-",IFERROR(VLOOKUP(J530,'[63]ТР нефть'!$J$28:$BP$638,54,0),"-"))</f>
        <v>-</v>
      </c>
      <c r="BL530" s="138" t="str">
        <f>IF(IFERROR(VLOOKUP(J530,'[63]ТР нефть'!$J$28:$BP$638,55,0),"-")=0,"-",IFERROR(VLOOKUP(J530,'[63]ТР нефть'!$J$28:$BP$638,55,0),"-"))</f>
        <v>-</v>
      </c>
      <c r="BM530" s="138" t="str">
        <f>IF(IFERROR(VLOOKUP(J530,'[63]ТР нефть'!$J$28:$BP$638,56,0),"-")=0,"-",IFERROR(VLOOKUP(J530,'[63]ТР нефть'!$J$28:$BP$638,56,0),"-"))</f>
        <v>-</v>
      </c>
      <c r="BN530" s="138" t="str">
        <f>IF(IFERROR(VLOOKUP(J530,'[63]ТР нефть'!$J$28:$BP$638,57,0),"-")=0,"-",IFERROR(VLOOKUP(J530,'[63]ТР нефть'!$J$28:$BP$638,57,0),"-"))</f>
        <v>-</v>
      </c>
      <c r="BO530" s="115" t="str">
        <f>IF(IFERROR(VLOOKUP(J530,'[63]ТР нефть'!$J$28:$BP$638,58,0),"-")=0,"-",IFERROR(VLOOKUP(J530,'[63]ТР нефть'!$J$28:$BP$638,58,0),"-"))</f>
        <v>-</v>
      </c>
      <c r="BP530" s="115" t="str">
        <f>IF(IFERROR(VLOOKUP(J530,'[63]ТР нефть'!$J$28:$BP$638,59,0),"-")=0,"-",IFERROR(VLOOKUP(J530,'[63]ТР нефть'!$J$28:$BP$638,59,0),"-"))</f>
        <v>-</v>
      </c>
      <c r="BQ530" s="138">
        <v>2080</v>
      </c>
      <c r="BR530" s="128">
        <v>1843</v>
      </c>
      <c r="BS530" s="115">
        <f t="shared" si="437"/>
        <v>237</v>
      </c>
      <c r="BT530" s="128">
        <v>73</v>
      </c>
      <c r="BU530" s="128">
        <v>5.5</v>
      </c>
      <c r="BV530" s="127">
        <v>18</v>
      </c>
      <c r="BW530" s="127" t="s">
        <v>217</v>
      </c>
      <c r="BX530" s="127" t="s">
        <v>195</v>
      </c>
      <c r="BY530" s="139">
        <v>24</v>
      </c>
      <c r="BZ530" s="139">
        <v>0</v>
      </c>
      <c r="CA530" s="138">
        <v>22</v>
      </c>
      <c r="CB530" s="138">
        <v>36</v>
      </c>
      <c r="CC530" s="138">
        <v>21</v>
      </c>
      <c r="CD530" s="135">
        <v>45017</v>
      </c>
      <c r="CE530" s="138">
        <v>99</v>
      </c>
      <c r="CF530" s="138">
        <v>76</v>
      </c>
      <c r="CG530" s="138" t="str">
        <f t="shared" si="433"/>
        <v>В работе</v>
      </c>
      <c r="CH530" s="138" t="s">
        <v>196</v>
      </c>
      <c r="CI530" s="127">
        <v>6</v>
      </c>
      <c r="CJ530" s="138"/>
      <c r="CK530" s="138">
        <f t="shared" si="432"/>
        <v>43</v>
      </c>
      <c r="CL530" s="99"/>
      <c r="CM530" s="99"/>
      <c r="CN530" s="140">
        <v>65</v>
      </c>
      <c r="CO530" s="141">
        <f t="shared" si="373"/>
        <v>5.3253199999999996</v>
      </c>
      <c r="CP530" s="142">
        <v>7</v>
      </c>
      <c r="CQ530" s="143">
        <v>9</v>
      </c>
      <c r="CR530" s="138">
        <v>21</v>
      </c>
      <c r="CS530" s="139">
        <v>9.4</v>
      </c>
      <c r="CT530" s="138"/>
      <c r="CU530" s="138">
        <f t="shared" si="418"/>
        <v>11.6</v>
      </c>
      <c r="CV530" s="115">
        <f t="shared" si="419"/>
        <v>2178.2728549645844</v>
      </c>
      <c r="CW530" s="115">
        <f t="shared" si="374"/>
        <v>1552.4718986070695</v>
      </c>
      <c r="CX530" s="133">
        <f t="shared" si="420"/>
        <v>0.20588235294117646</v>
      </c>
      <c r="CY530" s="116"/>
      <c r="CZ530" s="131"/>
      <c r="DA530" s="145" t="str">
        <f t="shared" si="375"/>
        <v>Газлифт</v>
      </c>
      <c r="DB530" s="146">
        <f t="shared" si="390"/>
        <v>5.3253199999999996</v>
      </c>
      <c r="DC530" s="142">
        <f t="shared" si="402"/>
        <v>7</v>
      </c>
      <c r="DD530" s="119">
        <f t="shared" si="416"/>
        <v>9</v>
      </c>
      <c r="DE530" s="115">
        <f t="shared" si="392"/>
        <v>11.6</v>
      </c>
      <c r="DF530" s="121">
        <f t="shared" si="376"/>
        <v>9.4</v>
      </c>
      <c r="DG530" s="115">
        <f t="shared" si="377"/>
        <v>2178.2728549645844</v>
      </c>
      <c r="DH530" s="115">
        <f t="shared" si="378"/>
        <v>65</v>
      </c>
      <c r="DI530" s="147"/>
      <c r="DJ530" s="111">
        <v>43475</v>
      </c>
      <c r="DK530" s="112">
        <v>42124</v>
      </c>
      <c r="DL530" s="113">
        <f t="shared" ca="1" si="424"/>
        <v>2980</v>
      </c>
      <c r="DM530" s="114"/>
      <c r="DN530" s="114"/>
      <c r="DO530" s="114"/>
      <c r="DP530" s="114"/>
      <c r="DQ530" s="112" t="s">
        <v>1873</v>
      </c>
      <c r="DR530" s="114" t="s">
        <v>198</v>
      </c>
      <c r="DS530" s="114"/>
      <c r="DT530" s="115">
        <v>60</v>
      </c>
      <c r="DU530" s="116">
        <f t="shared" si="425"/>
        <v>0.20042851577717175</v>
      </c>
      <c r="DV530" s="117">
        <f t="shared" si="428"/>
        <v>5.9466419088430049</v>
      </c>
      <c r="DW530" s="118">
        <f t="shared" si="429"/>
        <v>7.8167121153096977</v>
      </c>
      <c r="DX530" s="119">
        <f t="shared" si="430"/>
        <v>9</v>
      </c>
      <c r="DY530" s="115">
        <f t="shared" si="431"/>
        <v>12.953408648227498</v>
      </c>
      <c r="DZ530" s="117">
        <f t="shared" si="426"/>
        <v>0.62132190884300531</v>
      </c>
      <c r="EA530" s="120">
        <f t="shared" si="426"/>
        <v>0.81671211530969767</v>
      </c>
      <c r="EB530" s="119">
        <f t="shared" si="387"/>
        <v>0</v>
      </c>
      <c r="EC530" s="121">
        <f t="shared" si="415"/>
        <v>1.3534086482274983</v>
      </c>
      <c r="ED530" s="122"/>
      <c r="EE530" s="145">
        <v>18</v>
      </c>
      <c r="EF530" s="115">
        <v>22</v>
      </c>
      <c r="EG530" s="115">
        <v>36</v>
      </c>
      <c r="EH530" s="115">
        <v>21</v>
      </c>
      <c r="EI530" s="128" t="s">
        <v>195</v>
      </c>
      <c r="EJ530" s="121">
        <v>24</v>
      </c>
      <c r="EK530" s="121">
        <v>0</v>
      </c>
      <c r="EL530" s="149">
        <v>5.3253199999999996</v>
      </c>
      <c r="EM530" s="142">
        <v>7</v>
      </c>
      <c r="EN530" s="119">
        <v>9</v>
      </c>
      <c r="EO530" s="115">
        <v>21</v>
      </c>
      <c r="EP530" s="115">
        <v>2178.2728549645844</v>
      </c>
      <c r="EQ530" s="115">
        <v>76</v>
      </c>
      <c r="ER530" s="115">
        <v>9.4</v>
      </c>
      <c r="ES530" s="115">
        <v>65</v>
      </c>
      <c r="ET530" s="150">
        <v>0.20588235294117646</v>
      </c>
      <c r="EU530" s="145">
        <f t="shared" si="400"/>
        <v>18</v>
      </c>
      <c r="EV530" s="115">
        <f t="shared" si="380"/>
        <v>22</v>
      </c>
      <c r="EW530" s="115">
        <f t="shared" si="380"/>
        <v>36</v>
      </c>
      <c r="EX530" s="115">
        <f t="shared" si="380"/>
        <v>21</v>
      </c>
      <c r="EY530" s="115" t="str">
        <f t="shared" si="434"/>
        <v>Постоянный</v>
      </c>
      <c r="EZ530" s="115">
        <f t="shared" si="434"/>
        <v>24</v>
      </c>
      <c r="FA530" s="115">
        <f t="shared" si="434"/>
        <v>0</v>
      </c>
      <c r="FB530" s="149">
        <f t="shared" si="405"/>
        <v>5.3253199999999996</v>
      </c>
      <c r="FC530" s="142">
        <f t="shared" si="405"/>
        <v>7</v>
      </c>
      <c r="FD530" s="119">
        <f t="shared" si="405"/>
        <v>9</v>
      </c>
      <c r="FE530" s="121">
        <f t="shared" si="405"/>
        <v>21</v>
      </c>
      <c r="FF530" s="121">
        <f t="shared" si="407"/>
        <v>2178.2728549645844</v>
      </c>
      <c r="FG530" s="121">
        <f t="shared" si="381"/>
        <v>76</v>
      </c>
      <c r="FH530" s="121">
        <f t="shared" si="436"/>
        <v>9.4</v>
      </c>
      <c r="FI530" s="121">
        <f t="shared" si="427"/>
        <v>65</v>
      </c>
      <c r="FJ530" s="144">
        <f t="shared" si="382"/>
        <v>0.20588235294117646</v>
      </c>
      <c r="FK530" s="132">
        <f t="shared" si="383"/>
        <v>0</v>
      </c>
      <c r="FL530" s="115">
        <f t="shared" si="383"/>
        <v>0</v>
      </c>
      <c r="FM530" s="115">
        <f t="shared" si="383"/>
        <v>0</v>
      </c>
      <c r="FN530" s="115">
        <f t="shared" si="371"/>
        <v>0</v>
      </c>
      <c r="FO530" s="115">
        <f t="shared" si="403"/>
        <v>0</v>
      </c>
      <c r="FP530" s="115">
        <f t="shared" si="403"/>
        <v>0</v>
      </c>
      <c r="FQ530" s="149">
        <f t="shared" si="403"/>
        <v>0</v>
      </c>
      <c r="FR530" s="142">
        <f t="shared" si="403"/>
        <v>0</v>
      </c>
      <c r="FS530" s="119">
        <f t="shared" si="403"/>
        <v>0</v>
      </c>
      <c r="FT530" s="121">
        <f t="shared" si="403"/>
        <v>0</v>
      </c>
      <c r="FU530" s="121">
        <f t="shared" si="384"/>
        <v>0</v>
      </c>
      <c r="FV530" s="121">
        <f t="shared" si="384"/>
        <v>0</v>
      </c>
      <c r="FW530" s="121">
        <f t="shared" si="385"/>
        <v>0</v>
      </c>
      <c r="FX530" s="121">
        <f t="shared" si="386"/>
        <v>0</v>
      </c>
      <c r="FY530" s="144">
        <f t="shared" si="386"/>
        <v>0</v>
      </c>
      <c r="FZ530" s="145"/>
      <c r="GA530" s="151" t="s">
        <v>1874</v>
      </c>
      <c r="GB530" s="145"/>
      <c r="GC530" s="151" t="s">
        <v>1875</v>
      </c>
      <c r="GD530" s="997" t="s">
        <v>220</v>
      </c>
      <c r="GE530" s="1004"/>
      <c r="GF530" s="1004">
        <v>-0.45645599999999931</v>
      </c>
      <c r="GG530" s="1004"/>
      <c r="GH530" s="1004">
        <v>0.67729375999999952</v>
      </c>
      <c r="GI530" s="145"/>
      <c r="GJ530" s="996">
        <v>0</v>
      </c>
      <c r="GK530" s="145"/>
      <c r="GL530" s="996">
        <v>-0.18584280000000053</v>
      </c>
      <c r="GM530" s="1005"/>
      <c r="GN530" s="996">
        <v>0</v>
      </c>
      <c r="GO530" s="1006"/>
      <c r="GP530" s="996">
        <v>0</v>
      </c>
      <c r="GQ530" s="1006" t="s">
        <v>199</v>
      </c>
      <c r="GR530" s="996">
        <v>-2.4919680280000005</v>
      </c>
      <c r="GS530" s="1006"/>
      <c r="GT530" s="996">
        <v>0</v>
      </c>
      <c r="GU530" s="1006"/>
      <c r="GV530" s="996">
        <v>0</v>
      </c>
      <c r="GW530" s="1006"/>
      <c r="GX530" s="996">
        <v>0</v>
      </c>
      <c r="GY530" s="1006" t="s">
        <v>223</v>
      </c>
      <c r="GZ530" s="996">
        <v>-1.5093979999999974</v>
      </c>
      <c r="HA530" s="1006"/>
      <c r="HB530" s="996">
        <v>0</v>
      </c>
      <c r="HC530" s="1006" t="s">
        <v>363</v>
      </c>
      <c r="HD530" s="996">
        <v>3.7787200000000016</v>
      </c>
      <c r="HE530" s="1006" t="s">
        <v>199</v>
      </c>
      <c r="HF530" s="996">
        <v>5.8854399999999991</v>
      </c>
      <c r="HG530" s="1006" t="s">
        <v>221</v>
      </c>
      <c r="HH530" s="996">
        <v>4.0576096000000001</v>
      </c>
      <c r="HI530" s="1006"/>
      <c r="HJ530" s="996">
        <v>-0.5029376000000001</v>
      </c>
      <c r="HK530" s="1006"/>
      <c r="HL530" s="996">
        <v>0</v>
      </c>
      <c r="HM530" s="1006"/>
      <c r="HN530" s="996">
        <v>-0.14797200000000021</v>
      </c>
      <c r="HO530" s="1006"/>
      <c r="HP530" s="996">
        <v>0</v>
      </c>
      <c r="HQ530" s="1006"/>
      <c r="HR530" s="996">
        <v>-0.8940184000000011</v>
      </c>
      <c r="HS530" s="1006" t="s">
        <v>199</v>
      </c>
      <c r="HT530" s="996">
        <v>-4.1963855999999993</v>
      </c>
      <c r="HU530" s="1006"/>
      <c r="HV530" s="996">
        <v>0</v>
      </c>
      <c r="HW530" s="1006" t="s">
        <v>199</v>
      </c>
      <c r="HX530" s="996">
        <v>-2.2789359999999981</v>
      </c>
      <c r="HY530" s="1006"/>
      <c r="HZ530" s="996">
        <v>0.77747999999999884</v>
      </c>
      <c r="IA530" s="1006"/>
      <c r="IB530" s="996">
        <v>0</v>
      </c>
      <c r="IC530" s="1006" t="s">
        <v>199</v>
      </c>
      <c r="ID530" s="996">
        <v>2.7928251999999993</v>
      </c>
      <c r="IE530" s="1006"/>
      <c r="IF530" s="996">
        <v>-0.15524519999999953</v>
      </c>
      <c r="IG530" s="1006"/>
      <c r="IH530" s="996">
        <v>0</v>
      </c>
      <c r="II530" s="1006"/>
      <c r="IJ530" s="996">
        <v>0</v>
      </c>
      <c r="IK530" s="1006" t="s">
        <v>199</v>
      </c>
      <c r="IL530" s="996">
        <v>2.1262823999999991</v>
      </c>
      <c r="IM530" s="1006" t="s">
        <v>199</v>
      </c>
      <c r="IN530" s="996">
        <v>-3.3061459199999987</v>
      </c>
      <c r="IO530" s="1006"/>
      <c r="IP530" s="996">
        <v>0</v>
      </c>
      <c r="IQ530" s="1006"/>
      <c r="IR530" s="996">
        <v>0</v>
      </c>
      <c r="IS530" s="1006"/>
      <c r="IT530" s="996">
        <v>-0.85021200000000086</v>
      </c>
      <c r="IU530" s="1006" t="s">
        <v>25</v>
      </c>
      <c r="IV530" s="996">
        <v>2.904113520000001</v>
      </c>
      <c r="IW530" s="1006"/>
      <c r="IX530" s="996">
        <v>0</v>
      </c>
      <c r="IY530" s="1006"/>
      <c r="IZ530" s="996">
        <v>0.5731616000000006</v>
      </c>
      <c r="JA530" s="1006" t="s">
        <v>199</v>
      </c>
      <c r="JB530" s="996">
        <v>2.0721263199999989</v>
      </c>
      <c r="JC530" s="1006"/>
      <c r="JD530" s="996">
        <v>1.0076140799999997</v>
      </c>
      <c r="JE530" s="1006"/>
      <c r="JF530" s="996">
        <v>0</v>
      </c>
      <c r="JG530" s="1006" t="s">
        <v>199</v>
      </c>
      <c r="JH530" s="996">
        <v>-1.3543200000000004</v>
      </c>
      <c r="JI530" s="1006" t="s">
        <v>199</v>
      </c>
      <c r="JJ530" s="996">
        <v>-2.0966879999999994</v>
      </c>
      <c r="JK530" s="1007"/>
      <c r="JL530" s="1007">
        <v>2.8541040000000351E-2</v>
      </c>
      <c r="JM530" s="1007" t="s">
        <v>199</v>
      </c>
      <c r="JN530" s="1007">
        <v>1.4001294559999984</v>
      </c>
      <c r="JO530" s="1008"/>
      <c r="JP530" s="1007">
        <v>0</v>
      </c>
      <c r="JQ530" s="1008" t="s">
        <v>199</v>
      </c>
      <c r="JR530" s="1007">
        <v>-3.9625530559999991</v>
      </c>
      <c r="JS530" s="1008">
        <v>0</v>
      </c>
      <c r="JT530" s="1007">
        <v>0</v>
      </c>
      <c r="JU530" s="1008"/>
      <c r="JV530" s="1007">
        <v>0</v>
      </c>
      <c r="JW530" s="1008" t="s">
        <v>197</v>
      </c>
      <c r="JX530" s="1007">
        <v>0</v>
      </c>
      <c r="JY530" s="1008" t="s">
        <v>199</v>
      </c>
      <c r="JZ530" s="1007">
        <v>-5.0462255799999998</v>
      </c>
      <c r="KA530" s="1008"/>
      <c r="KB530" s="1007">
        <v>0</v>
      </c>
      <c r="KC530" s="1008"/>
      <c r="KD530" s="1007">
        <v>0</v>
      </c>
      <c r="KE530" s="1008"/>
      <c r="KF530" s="1007">
        <v>0</v>
      </c>
      <c r="KG530" s="1008"/>
      <c r="KH530" s="1007">
        <v>0</v>
      </c>
      <c r="KI530" s="1008" t="s">
        <v>25</v>
      </c>
      <c r="KJ530" s="1007">
        <v>2.9219161400000022</v>
      </c>
      <c r="KK530" s="1008"/>
      <c r="KL530" s="1007">
        <v>0</v>
      </c>
      <c r="KM530" s="1008" t="s">
        <v>206</v>
      </c>
      <c r="KN530" s="1007">
        <v>-13.158640000000004</v>
      </c>
      <c r="KO530" s="1008" t="s">
        <v>206</v>
      </c>
      <c r="KP530" s="1007">
        <v>4.7150400000000019</v>
      </c>
      <c r="KQ530" s="1008" t="s">
        <v>206</v>
      </c>
      <c r="KR530" s="1007">
        <v>8.5773599999999988</v>
      </c>
      <c r="KS530" s="1008" t="s">
        <v>206</v>
      </c>
      <c r="KT530" s="1007">
        <v>1.6072936000000038</v>
      </c>
      <c r="KU530" s="1008" t="s">
        <v>207</v>
      </c>
      <c r="KV530" s="1007">
        <v>-8.4792136000000031</v>
      </c>
      <c r="KW530" s="1008">
        <v>0</v>
      </c>
      <c r="KX530" s="1007">
        <v>0</v>
      </c>
      <c r="KY530" s="1008" t="s">
        <v>206</v>
      </c>
      <c r="KZ530" s="1007">
        <v>2.1995159999999991</v>
      </c>
      <c r="LA530" s="1008" t="s">
        <v>206</v>
      </c>
      <c r="LB530" s="1007">
        <v>5.7257640000000016</v>
      </c>
      <c r="LC530" s="1008" t="s">
        <v>206</v>
      </c>
      <c r="LD530" s="1007">
        <v>-5.7934799999999989</v>
      </c>
      <c r="LE530" s="1008" t="s">
        <v>259</v>
      </c>
      <c r="LF530" s="1007">
        <v>-7.899531200000002</v>
      </c>
      <c r="LG530" s="1008">
        <v>0</v>
      </c>
      <c r="LH530" s="1007">
        <v>0</v>
      </c>
      <c r="LI530" s="1008">
        <v>0</v>
      </c>
      <c r="LJ530" s="1007">
        <v>0</v>
      </c>
      <c r="LK530" s="1008">
        <v>0</v>
      </c>
      <c r="LL530" s="1007">
        <v>0.95237119999999797</v>
      </c>
      <c r="LM530" s="1008" t="s">
        <v>555</v>
      </c>
      <c r="LN530" s="1007">
        <v>1.6051200000000001</v>
      </c>
      <c r="LO530" s="1008">
        <v>0</v>
      </c>
      <c r="LP530" s="1007">
        <v>0</v>
      </c>
      <c r="LQ530" s="1008">
        <v>0</v>
      </c>
      <c r="LR530" s="1007">
        <v>0</v>
      </c>
      <c r="LS530" s="1008">
        <v>0</v>
      </c>
      <c r="LT530" s="1007">
        <v>0</v>
      </c>
      <c r="LU530" s="1008">
        <v>0</v>
      </c>
      <c r="LV530" s="1007">
        <v>0</v>
      </c>
      <c r="LW530" s="1008" t="s">
        <v>207</v>
      </c>
      <c r="LX530" s="1007">
        <v>4.9356</v>
      </c>
      <c r="LY530" s="1009">
        <v>0</v>
      </c>
      <c r="LZ530" s="1010">
        <v>0</v>
      </c>
      <c r="MA530" s="1011">
        <v>0</v>
      </c>
      <c r="MB530" s="1012">
        <v>0</v>
      </c>
      <c r="MC530" s="995"/>
      <c r="MD530" s="996"/>
      <c r="ME530" s="997" t="s">
        <v>220</v>
      </c>
      <c r="MF530" s="997"/>
      <c r="MG530" s="998"/>
      <c r="NR530" s="1000"/>
      <c r="NS530" s="1000"/>
      <c r="NT530" s="1001"/>
      <c r="NU530" s="1000"/>
      <c r="NV530" s="1001"/>
      <c r="NX530" s="1002"/>
      <c r="NZ530" s="1001"/>
      <c r="OA530" s="1001"/>
      <c r="OC530" s="1003"/>
      <c r="OD530" s="1003"/>
      <c r="OE530" s="1001"/>
      <c r="OF530" s="1003"/>
      <c r="OG530" s="1003"/>
      <c r="OH530" s="1003"/>
      <c r="OI530" s="1016"/>
      <c r="QX530" s="1000">
        <f>CN530-CA530</f>
        <v>43</v>
      </c>
      <c r="ASU530" s="999" t="s">
        <v>208</v>
      </c>
    </row>
    <row r="531" spans="1:466 1191:1191" ht="21" customHeight="1" x14ac:dyDescent="0.25">
      <c r="A531" s="982">
        <f t="shared" si="372"/>
        <v>3232</v>
      </c>
      <c r="B531" s="124">
        <f>SUBTOTAL(103,$J$29:J531)</f>
        <v>503</v>
      </c>
      <c r="C531" s="126">
        <v>45068</v>
      </c>
      <c r="D531" s="124" t="s">
        <v>176</v>
      </c>
      <c r="E531" s="127" t="s">
        <v>177</v>
      </c>
      <c r="F531" s="128" t="s">
        <v>177</v>
      </c>
      <c r="G531" s="127" t="s">
        <v>178</v>
      </c>
      <c r="H531" s="127" t="s">
        <v>408</v>
      </c>
      <c r="I531" s="127" t="s">
        <v>733</v>
      </c>
      <c r="J531" s="152">
        <v>3232</v>
      </c>
      <c r="K531" s="127" t="s">
        <v>1080</v>
      </c>
      <c r="L531" s="135">
        <v>43738</v>
      </c>
      <c r="M531" s="127" t="s">
        <v>230</v>
      </c>
      <c r="N531" s="127" t="s">
        <v>245</v>
      </c>
      <c r="O531" s="127" t="s">
        <v>185</v>
      </c>
      <c r="P531" s="127" t="s">
        <v>186</v>
      </c>
      <c r="Q531" s="85" t="str">
        <f t="shared" si="423"/>
        <v/>
      </c>
      <c r="R531" s="130"/>
      <c r="S531" s="128"/>
      <c r="T531" s="131"/>
      <c r="U531" s="132">
        <v>203</v>
      </c>
      <c r="V531" s="121">
        <v>218.2</v>
      </c>
      <c r="W531" s="116">
        <v>0.98</v>
      </c>
      <c r="X531" s="116">
        <v>1.66</v>
      </c>
      <c r="Y531" s="116">
        <f t="shared" si="408"/>
        <v>0.98</v>
      </c>
      <c r="Z531" s="133">
        <v>1.454</v>
      </c>
      <c r="AA531" s="133">
        <v>0.83599999999999997</v>
      </c>
      <c r="AB531" s="133">
        <v>0.72</v>
      </c>
      <c r="AC531" s="121">
        <v>34.299999999999997</v>
      </c>
      <c r="AD531" s="134">
        <v>1.17</v>
      </c>
      <c r="AE531" s="124">
        <v>177.8</v>
      </c>
      <c r="AF531" s="128">
        <v>9.19</v>
      </c>
      <c r="AG531" s="128">
        <v>2602</v>
      </c>
      <c r="AH531" s="127">
        <v>3356</v>
      </c>
      <c r="AI531" s="127">
        <v>3356</v>
      </c>
      <c r="AJ531" s="135"/>
      <c r="AK531" s="128"/>
      <c r="AL531" s="131"/>
      <c r="AM531" s="124" t="s">
        <v>232</v>
      </c>
      <c r="AN531" s="136" t="s">
        <v>1876</v>
      </c>
      <c r="AO531" s="137">
        <v>76.400000000000006</v>
      </c>
      <c r="AP531" s="128">
        <v>2602</v>
      </c>
      <c r="AQ531" s="128">
        <v>704.7</v>
      </c>
      <c r="AR531" s="128"/>
      <c r="AS531" s="128"/>
      <c r="AT531" s="122"/>
      <c r="AU531" s="124" t="s">
        <v>189</v>
      </c>
      <c r="AV531" s="115">
        <f>VLOOKUP(J531,'[63]ТР нефть'!$J$28:$BP$638,39,0)</f>
        <v>289.99999174800001</v>
      </c>
      <c r="AW531" s="115" t="str">
        <f>VLOOKUP(J531,'[63]ТР нефть'!$J$28:$BP$638,40,0)</f>
        <v>ГП</v>
      </c>
      <c r="AX531" s="115">
        <f>VLOOKUP(J531,'[63]ТР нефть'!$J$28:$BP$638,41,0)</f>
        <v>560.00001357400004</v>
      </c>
      <c r="AY531" s="115" t="str">
        <f>VLOOKUP(J531,'[63]ТР нефть'!$J$28:$BP$638,42,0)</f>
        <v>ГП</v>
      </c>
      <c r="AZ531" s="115">
        <f>VLOOKUP(J531,'[63]ТР нефть'!$J$28:$BP$638,43,0)</f>
        <v>880.00001601600002</v>
      </c>
      <c r="BA531" s="115" t="str">
        <f>VLOOKUP(J531,'[63]ТР нефть'!$J$28:$BP$638,44,0)</f>
        <v>ГП</v>
      </c>
      <c r="BB531" s="115">
        <f>VLOOKUP(J531,'[63]ТР нефть'!$J$28:$BP$638,45,0)</f>
        <v>1209.9999662109999</v>
      </c>
      <c r="BC531" s="115" t="str">
        <f>VLOOKUP(J531,'[63]ТР нефть'!$J$28:$BP$638,46,0)</f>
        <v>ГК 80 1/8</v>
      </c>
      <c r="BD531" s="115">
        <f>VLOOKUP(J531,'[63]ТР нефть'!$J$28:$BP$638,47,0)</f>
        <v>1510.0000359380001</v>
      </c>
      <c r="BE531" s="115" t="str">
        <f>VLOOKUP(J531,'[63]ТР нефть'!$J$28:$BP$638,48,0)</f>
        <v>ГК 79 1/8</v>
      </c>
      <c r="BF531" s="115" t="str">
        <f>VLOOKUP(J531,'[63]ТР нефть'!$J$28:$BP$638,49,0)</f>
        <v>-</v>
      </c>
      <c r="BG531" s="115" t="str">
        <f>VLOOKUP(J531,'[63]ТР нефть'!$J$28:$BP$638,50,0)</f>
        <v>-</v>
      </c>
      <c r="BH531" s="115">
        <f>VLOOKUP(J531,'[63]ТР нефть'!$J$28:$BP$638,51,0)</f>
        <v>1790</v>
      </c>
      <c r="BI531" s="115" t="str">
        <f>VLOOKUP(J531,'[63]ТР нефть'!$J$28:$BP$638,52,0)</f>
        <v>открыт</v>
      </c>
      <c r="BJ531" s="115" t="str">
        <f>IF(IFERROR(VLOOKUP(J531,'[63]ТР нефть'!$J$28:$BP$638,53,0),"-")=0,"-",IFERROR(VLOOKUP(J531,'[63]ТР нефть'!$J$28:$BP$638,53,0),"-"))</f>
        <v>-</v>
      </c>
      <c r="BK531" s="138" t="str">
        <f>IF(IFERROR(VLOOKUP(J531,'[63]ТР нефть'!$J$28:$BP$638,54,0),"-")=0,"-",IFERROR(VLOOKUP(J531,'[63]ТР нефть'!$J$28:$BP$638,54,0),"-"))</f>
        <v>-</v>
      </c>
      <c r="BL531" s="138" t="str">
        <f>IF(IFERROR(VLOOKUP(J531,'[63]ТР нефть'!$J$28:$BP$638,55,0),"-")=0,"-",IFERROR(VLOOKUP(J531,'[63]ТР нефть'!$J$28:$BP$638,55,0),"-"))</f>
        <v>-</v>
      </c>
      <c r="BM531" s="138" t="str">
        <f>IF(IFERROR(VLOOKUP(J531,'[63]ТР нефть'!$J$28:$BP$638,56,0),"-")=0,"-",IFERROR(VLOOKUP(J531,'[63]ТР нефть'!$J$28:$BP$638,56,0),"-"))</f>
        <v>-</v>
      </c>
      <c r="BN531" s="138" t="str">
        <f>IF(IFERROR(VLOOKUP(J531,'[63]ТР нефть'!$J$28:$BP$638,57,0),"-")=0,"-",IFERROR(VLOOKUP(J531,'[63]ТР нефть'!$J$28:$BP$638,57,0),"-"))</f>
        <v>-</v>
      </c>
      <c r="BO531" s="115" t="str">
        <f>IF(IFERROR(VLOOKUP(J531,'[63]ТР нефть'!$J$28:$BP$638,58,0),"-")=0,"-",IFERROR(VLOOKUP(J531,'[63]ТР нефть'!$J$28:$BP$638,58,0),"-"))</f>
        <v>-</v>
      </c>
      <c r="BP531" s="115" t="str">
        <f>IF(IFERROR(VLOOKUP(J531,'[63]ТР нефть'!$J$28:$BP$638,59,0),"-")=0,"-",IFERROR(VLOOKUP(J531,'[63]ТР нефть'!$J$28:$BP$638,59,0),"-"))</f>
        <v>-</v>
      </c>
      <c r="BQ531" s="138">
        <v>2620</v>
      </c>
      <c r="BR531" s="128">
        <v>1897.56</v>
      </c>
      <c r="BS531" s="115">
        <f t="shared" si="437"/>
        <v>722.44</v>
      </c>
      <c r="BT531" s="128">
        <v>73</v>
      </c>
      <c r="BU531" s="128">
        <v>5.5</v>
      </c>
      <c r="BV531" s="127">
        <v>65</v>
      </c>
      <c r="BW531" s="127" t="s">
        <v>217</v>
      </c>
      <c r="BX531" s="127" t="s">
        <v>195</v>
      </c>
      <c r="BY531" s="139">
        <v>24</v>
      </c>
      <c r="BZ531" s="139">
        <v>0</v>
      </c>
      <c r="CA531" s="138">
        <v>24</v>
      </c>
      <c r="CB531" s="138">
        <v>36</v>
      </c>
      <c r="CC531" s="138">
        <v>23</v>
      </c>
      <c r="CD531" s="135">
        <v>45017</v>
      </c>
      <c r="CE531" s="138">
        <v>92</v>
      </c>
      <c r="CF531" s="138">
        <v>63</v>
      </c>
      <c r="CG531" s="138" t="str">
        <f t="shared" si="433"/>
        <v>В работе</v>
      </c>
      <c r="CH531" s="138" t="s">
        <v>272</v>
      </c>
      <c r="CI531" s="127">
        <v>6</v>
      </c>
      <c r="CJ531" s="138"/>
      <c r="CK531" s="138"/>
      <c r="CL531" s="99"/>
      <c r="CM531" s="99"/>
      <c r="CN531" s="140">
        <v>45</v>
      </c>
      <c r="CO531" s="159">
        <f t="shared" si="373"/>
        <v>11.286</v>
      </c>
      <c r="CP531" s="160">
        <v>13.5</v>
      </c>
      <c r="CQ531" s="161">
        <v>0</v>
      </c>
      <c r="CR531" s="138">
        <v>44</v>
      </c>
      <c r="CS531" s="139">
        <v>8</v>
      </c>
      <c r="CT531" s="138"/>
      <c r="CU531" s="138">
        <f t="shared" si="418"/>
        <v>36</v>
      </c>
      <c r="CV531" s="115">
        <f t="shared" si="419"/>
        <v>3189.7926634768742</v>
      </c>
      <c r="CW531" s="115">
        <f t="shared" si="374"/>
        <v>708.84281410597202</v>
      </c>
      <c r="CX531" s="133">
        <f t="shared" si="420"/>
        <v>0.28723404255319152</v>
      </c>
      <c r="CY531" s="116"/>
      <c r="CZ531" s="131"/>
      <c r="DA531" s="145" t="str">
        <f t="shared" si="375"/>
        <v>Газлифт</v>
      </c>
      <c r="DB531" s="146">
        <f t="shared" si="390"/>
        <v>11.286</v>
      </c>
      <c r="DC531" s="142">
        <f t="shared" si="402"/>
        <v>13.5</v>
      </c>
      <c r="DD531" s="119">
        <f t="shared" si="416"/>
        <v>0</v>
      </c>
      <c r="DE531" s="115">
        <f t="shared" si="392"/>
        <v>36</v>
      </c>
      <c r="DF531" s="121">
        <f t="shared" si="376"/>
        <v>8</v>
      </c>
      <c r="DG531" s="115">
        <f t="shared" si="377"/>
        <v>3189.7926634768742</v>
      </c>
      <c r="DH531" s="115">
        <f t="shared" si="378"/>
        <v>45</v>
      </c>
      <c r="DI531" s="147"/>
      <c r="DJ531" s="111">
        <v>43528</v>
      </c>
      <c r="DK531" s="112">
        <v>43411</v>
      </c>
      <c r="DL531" s="113">
        <f t="shared" ca="1" si="424"/>
        <v>1693</v>
      </c>
      <c r="DM531" s="114"/>
      <c r="DN531" s="114"/>
      <c r="DO531" s="114"/>
      <c r="DP531" s="114"/>
      <c r="DQ531" s="112" t="s">
        <v>1877</v>
      </c>
      <c r="DR531" s="114" t="s">
        <v>198</v>
      </c>
      <c r="DS531" s="114"/>
      <c r="DT531" s="115">
        <v>60</v>
      </c>
      <c r="DU531" s="116">
        <f t="shared" si="425"/>
        <v>0.421875</v>
      </c>
      <c r="DV531" s="117">
        <f t="shared" si="428"/>
        <v>11.286</v>
      </c>
      <c r="DW531" s="118">
        <f t="shared" si="429"/>
        <v>13.5</v>
      </c>
      <c r="DX531" s="119">
        <f t="shared" si="430"/>
        <v>0</v>
      </c>
      <c r="DY531" s="115">
        <f t="shared" si="431"/>
        <v>36</v>
      </c>
      <c r="DZ531" s="117">
        <f t="shared" si="426"/>
        <v>0</v>
      </c>
      <c r="EA531" s="120">
        <f t="shared" si="426"/>
        <v>0</v>
      </c>
      <c r="EB531" s="119">
        <f t="shared" si="387"/>
        <v>0</v>
      </c>
      <c r="EC531" s="121">
        <f t="shared" si="415"/>
        <v>0</v>
      </c>
      <c r="ED531" s="122"/>
      <c r="EE531" s="145">
        <v>65</v>
      </c>
      <c r="EF531" s="115">
        <v>24</v>
      </c>
      <c r="EG531" s="115">
        <v>36</v>
      </c>
      <c r="EH531" s="115">
        <v>23</v>
      </c>
      <c r="EI531" s="128" t="s">
        <v>195</v>
      </c>
      <c r="EJ531" s="121">
        <v>24</v>
      </c>
      <c r="EK531" s="121">
        <v>0</v>
      </c>
      <c r="EL531" s="162">
        <v>11.286</v>
      </c>
      <c r="EM531" s="142">
        <v>13.5</v>
      </c>
      <c r="EN531" s="119">
        <v>0</v>
      </c>
      <c r="EO531" s="115">
        <v>44</v>
      </c>
      <c r="EP531" s="115">
        <v>3189.7926634768742</v>
      </c>
      <c r="EQ531" s="115">
        <v>63</v>
      </c>
      <c r="ER531" s="115">
        <v>8</v>
      </c>
      <c r="ES531" s="115">
        <v>45</v>
      </c>
      <c r="ET531" s="150">
        <v>0.28723404255319152</v>
      </c>
      <c r="EU531" s="145">
        <f t="shared" si="400"/>
        <v>65</v>
      </c>
      <c r="EV531" s="115">
        <f t="shared" si="380"/>
        <v>24</v>
      </c>
      <c r="EW531" s="115">
        <f t="shared" si="380"/>
        <v>36</v>
      </c>
      <c r="EX531" s="115">
        <f t="shared" si="380"/>
        <v>23</v>
      </c>
      <c r="EY531" s="115" t="str">
        <f t="shared" si="434"/>
        <v>Постоянный</v>
      </c>
      <c r="EZ531" s="115">
        <f t="shared" si="434"/>
        <v>24</v>
      </c>
      <c r="FA531" s="115">
        <f t="shared" si="434"/>
        <v>0</v>
      </c>
      <c r="FB531" s="149">
        <f t="shared" si="405"/>
        <v>11.286</v>
      </c>
      <c r="FC531" s="142">
        <f t="shared" si="405"/>
        <v>13.5</v>
      </c>
      <c r="FD531" s="119">
        <f t="shared" si="405"/>
        <v>0</v>
      </c>
      <c r="FE531" s="121">
        <f t="shared" si="405"/>
        <v>44</v>
      </c>
      <c r="FF531" s="121">
        <f t="shared" si="407"/>
        <v>3189.7926634768742</v>
      </c>
      <c r="FG531" s="121">
        <f t="shared" si="381"/>
        <v>63</v>
      </c>
      <c r="FH531" s="121">
        <f t="shared" si="436"/>
        <v>8</v>
      </c>
      <c r="FI531" s="121">
        <f t="shared" si="427"/>
        <v>45</v>
      </c>
      <c r="FJ531" s="144">
        <f t="shared" si="382"/>
        <v>0.28723404255319152</v>
      </c>
      <c r="FK531" s="132">
        <f t="shared" si="383"/>
        <v>0</v>
      </c>
      <c r="FL531" s="115">
        <f t="shared" si="383"/>
        <v>0</v>
      </c>
      <c r="FM531" s="115">
        <f t="shared" si="383"/>
        <v>0</v>
      </c>
      <c r="FN531" s="115">
        <f t="shared" si="371"/>
        <v>0</v>
      </c>
      <c r="FO531" s="115">
        <f t="shared" si="403"/>
        <v>0</v>
      </c>
      <c r="FP531" s="115">
        <f t="shared" si="403"/>
        <v>0</v>
      </c>
      <c r="FQ531" s="149">
        <f t="shared" si="403"/>
        <v>0</v>
      </c>
      <c r="FR531" s="142">
        <f t="shared" si="403"/>
        <v>0</v>
      </c>
      <c r="FS531" s="119">
        <f t="shared" si="403"/>
        <v>0</v>
      </c>
      <c r="FT531" s="121">
        <f t="shared" si="403"/>
        <v>0</v>
      </c>
      <c r="FU531" s="121">
        <f t="shared" si="384"/>
        <v>0</v>
      </c>
      <c r="FV531" s="121">
        <f t="shared" si="384"/>
        <v>0</v>
      </c>
      <c r="FW531" s="121">
        <f t="shared" si="385"/>
        <v>0</v>
      </c>
      <c r="FX531" s="121">
        <f>CN531-ES531</f>
        <v>0</v>
      </c>
      <c r="FY531" s="144">
        <f t="shared" si="386"/>
        <v>0</v>
      </c>
      <c r="FZ531" s="145"/>
      <c r="GA531" s="151" t="s">
        <v>804</v>
      </c>
      <c r="GB531" s="145"/>
      <c r="GC531" s="151"/>
      <c r="GD531" s="997" t="s">
        <v>416</v>
      </c>
      <c r="GE531" s="1004"/>
      <c r="GF531" s="1004">
        <v>-0.59356000000000009</v>
      </c>
      <c r="GG531" s="1004"/>
      <c r="GH531" s="1004">
        <v>0</v>
      </c>
      <c r="GI531" s="145"/>
      <c r="GJ531" s="996">
        <v>0</v>
      </c>
      <c r="GK531" s="145"/>
      <c r="GL531" s="996">
        <v>0</v>
      </c>
      <c r="GM531" s="1005"/>
      <c r="GN531" s="996">
        <v>0</v>
      </c>
      <c r="GO531" s="1006"/>
      <c r="GP531" s="996">
        <v>0</v>
      </c>
      <c r="GQ531" s="1006"/>
      <c r="GR531" s="996">
        <v>0</v>
      </c>
      <c r="GS531" s="1006"/>
      <c r="GT531" s="996">
        <v>0</v>
      </c>
      <c r="GU531" s="1006"/>
      <c r="GV531" s="996">
        <v>0</v>
      </c>
      <c r="GW531" s="1006"/>
      <c r="GX531" s="996">
        <v>0</v>
      </c>
      <c r="GY531" s="1006" t="s">
        <v>223</v>
      </c>
      <c r="GZ531" s="996">
        <v>-1.7138000000000009</v>
      </c>
      <c r="HA531" s="1006" t="s">
        <v>241</v>
      </c>
      <c r="HB531" s="996">
        <v>-5.6346399999999974</v>
      </c>
      <c r="HC531" s="1006" t="s">
        <v>241</v>
      </c>
      <c r="HD531" s="996">
        <v>3.6885992000000005</v>
      </c>
      <c r="HE531" s="1006" t="s">
        <v>199</v>
      </c>
      <c r="HF531" s="996">
        <v>3.7777870239999984</v>
      </c>
      <c r="HG531" s="1006"/>
      <c r="HH531" s="996">
        <v>0</v>
      </c>
      <c r="HI531" s="1006" t="s">
        <v>221</v>
      </c>
      <c r="HJ531" s="996">
        <v>-5.7715634239999982</v>
      </c>
      <c r="HK531" s="1006" t="s">
        <v>199</v>
      </c>
      <c r="HL531" s="996">
        <v>7.3221887639999963</v>
      </c>
      <c r="HM531" s="1006"/>
      <c r="HN531" s="996">
        <v>-0.93510278399999791</v>
      </c>
      <c r="HO531" s="1006"/>
      <c r="HP531" s="996">
        <v>0.19203003600000024</v>
      </c>
      <c r="HQ531" s="1006" t="s">
        <v>204</v>
      </c>
      <c r="HR531" s="996">
        <v>-4.9092896160000006</v>
      </c>
      <c r="HS531" s="1006"/>
      <c r="HT531" s="996">
        <v>0</v>
      </c>
      <c r="HU531" s="1006"/>
      <c r="HV531" s="996">
        <v>0</v>
      </c>
      <c r="HW531" s="1006" t="s">
        <v>199</v>
      </c>
      <c r="HX531" s="996">
        <v>2.771911824</v>
      </c>
      <c r="HY531" s="1006" t="s">
        <v>221</v>
      </c>
      <c r="HZ531" s="996">
        <v>6.8382057919999992</v>
      </c>
      <c r="IA531" s="1006" t="s">
        <v>204</v>
      </c>
      <c r="IB531" s="996">
        <v>5.013654184</v>
      </c>
      <c r="IC531" s="1006"/>
      <c r="ID531" s="996">
        <v>0</v>
      </c>
      <c r="IE531" s="1006"/>
      <c r="IF531" s="996">
        <v>0</v>
      </c>
      <c r="IG531" s="1006"/>
      <c r="IH531" s="996">
        <v>0</v>
      </c>
      <c r="II531" s="1006"/>
      <c r="IJ531" s="996">
        <v>0</v>
      </c>
      <c r="IK531" s="1006"/>
      <c r="IL531" s="996">
        <v>0</v>
      </c>
      <c r="IM531" s="1006" t="s">
        <v>199</v>
      </c>
      <c r="IN531" s="996">
        <v>-2.7270737999999994</v>
      </c>
      <c r="IO531" s="1006"/>
      <c r="IP531" s="996">
        <v>0</v>
      </c>
      <c r="IQ531" s="1006" t="s">
        <v>199</v>
      </c>
      <c r="IR531" s="996">
        <v>-1.4048562000000002</v>
      </c>
      <c r="IS531" s="1006" t="s">
        <v>199</v>
      </c>
      <c r="IT531" s="996">
        <v>-4.2184560000000015</v>
      </c>
      <c r="IU531" s="1006"/>
      <c r="IV531" s="996">
        <v>0</v>
      </c>
      <c r="IW531" s="1006"/>
      <c r="IX531" s="996">
        <v>0</v>
      </c>
      <c r="IY531" s="1006" t="s">
        <v>199</v>
      </c>
      <c r="IZ531" s="996">
        <v>5.9972550000000018</v>
      </c>
      <c r="JA531" s="1006" t="s">
        <v>199</v>
      </c>
      <c r="JB531" s="996">
        <v>-6.7862299999999989</v>
      </c>
      <c r="JC531" s="1006"/>
      <c r="JD531" s="996">
        <v>0</v>
      </c>
      <c r="JE531" s="1006" t="s">
        <v>199</v>
      </c>
      <c r="JF531" s="996">
        <v>6.1487799999999986</v>
      </c>
      <c r="JG531" s="1006" t="s">
        <v>199</v>
      </c>
      <c r="JH531" s="996">
        <v>-3.126640000000001</v>
      </c>
      <c r="JI531" s="1006"/>
      <c r="JJ531" s="996">
        <v>0</v>
      </c>
      <c r="JK531" s="1007"/>
      <c r="JL531" s="1007">
        <v>0</v>
      </c>
      <c r="JM531" s="1007"/>
      <c r="JN531" s="1007">
        <v>0</v>
      </c>
      <c r="JO531" s="1008" t="s">
        <v>204</v>
      </c>
      <c r="JP531" s="1007">
        <v>-6.9387999999999996</v>
      </c>
      <c r="JQ531" s="1008">
        <v>0</v>
      </c>
      <c r="JR531" s="1007">
        <v>0</v>
      </c>
      <c r="JS531" s="1008" t="s">
        <v>204</v>
      </c>
      <c r="JT531" s="1007">
        <v>14.2956</v>
      </c>
      <c r="JU531" s="1008" t="s">
        <v>705</v>
      </c>
      <c r="JV531" s="1007">
        <v>0</v>
      </c>
      <c r="JW531" s="1008" t="s">
        <v>197</v>
      </c>
      <c r="JX531" s="1007">
        <v>0</v>
      </c>
      <c r="JY531" s="1008"/>
      <c r="JZ531" s="1007">
        <v>0</v>
      </c>
      <c r="KA531" s="1008"/>
      <c r="KB531" s="1007">
        <v>0</v>
      </c>
      <c r="KC531" s="1008" t="s">
        <v>199</v>
      </c>
      <c r="KD531" s="1007">
        <v>0</v>
      </c>
      <c r="KE531" s="1008"/>
      <c r="KF531" s="1007">
        <v>0</v>
      </c>
      <c r="KG531" s="1008" t="s">
        <v>207</v>
      </c>
      <c r="KH531" s="1007">
        <v>-17.556000000000001</v>
      </c>
      <c r="KI531" s="1008"/>
      <c r="KJ531" s="1007">
        <v>20.064</v>
      </c>
      <c r="KK531" s="1008"/>
      <c r="KL531" s="1007">
        <v>-16.21053324</v>
      </c>
      <c r="KM531" s="1008"/>
      <c r="KN531" s="1007">
        <v>0</v>
      </c>
      <c r="KO531" s="1008"/>
      <c r="KP531" s="1007">
        <v>0</v>
      </c>
      <c r="KQ531" s="1008">
        <v>0</v>
      </c>
      <c r="KR531" s="1007">
        <v>0</v>
      </c>
      <c r="KS531" s="1008" t="s">
        <v>206</v>
      </c>
      <c r="KT531" s="1007">
        <v>5.3534012400000002</v>
      </c>
      <c r="KU531" s="1008">
        <v>0</v>
      </c>
      <c r="KV531" s="1007">
        <v>0</v>
      </c>
      <c r="KW531" s="1008">
        <v>0</v>
      </c>
      <c r="KX531" s="1007">
        <v>0</v>
      </c>
      <c r="KY531" s="1008">
        <v>0</v>
      </c>
      <c r="KZ531" s="1007">
        <v>0</v>
      </c>
      <c r="LA531" s="1008" t="s">
        <v>204</v>
      </c>
      <c r="LB531" s="1007">
        <v>-2.5054920000000003</v>
      </c>
      <c r="LC531" s="1008">
        <v>0</v>
      </c>
      <c r="LD531" s="1007">
        <v>0</v>
      </c>
      <c r="LE531" s="1008" t="s">
        <v>204</v>
      </c>
      <c r="LF531" s="1007">
        <v>4.1758199999999999</v>
      </c>
      <c r="LG531" s="1008" t="s">
        <v>203</v>
      </c>
      <c r="LH531" s="1007">
        <v>-4.1758199999999999</v>
      </c>
      <c r="LI531" s="1008">
        <v>0</v>
      </c>
      <c r="LJ531" s="1007">
        <v>0</v>
      </c>
      <c r="LK531" s="1008">
        <v>0</v>
      </c>
      <c r="LL531" s="1007">
        <v>0</v>
      </c>
      <c r="LM531" s="1008" t="s">
        <v>203</v>
      </c>
      <c r="LN531" s="1007">
        <v>-7.6334</v>
      </c>
      <c r="LO531" s="1008">
        <v>0</v>
      </c>
      <c r="LP531" s="1007">
        <v>0.11692295999999699</v>
      </c>
      <c r="LQ531" s="1008">
        <v>0</v>
      </c>
      <c r="LR531" s="1007">
        <v>0</v>
      </c>
      <c r="LS531" s="1008">
        <v>0</v>
      </c>
      <c r="LT531" s="1007">
        <v>1.2527460000000019</v>
      </c>
      <c r="LU531" s="1008">
        <v>0</v>
      </c>
      <c r="LV531" s="1007">
        <v>1.857132</v>
      </c>
      <c r="LW531" s="1008" t="s">
        <v>25</v>
      </c>
      <c r="LX531" s="1007">
        <v>11.859328799999998</v>
      </c>
      <c r="LY531" s="1009">
        <v>0</v>
      </c>
      <c r="LZ531" s="1010">
        <v>1.4197788000000005</v>
      </c>
      <c r="MA531" s="1011">
        <v>0</v>
      </c>
      <c r="MB531" s="1012">
        <v>0</v>
      </c>
      <c r="MC531" s="995"/>
      <c r="MD531" s="996"/>
      <c r="ME531" s="997" t="s">
        <v>416</v>
      </c>
      <c r="MF531" s="997"/>
      <c r="MG531" s="998"/>
      <c r="NR531" s="1000"/>
      <c r="NS531" s="1000"/>
      <c r="NT531" s="1001"/>
      <c r="NU531" s="1000"/>
      <c r="NV531" s="1001"/>
      <c r="NX531" s="1002"/>
      <c r="NZ531" s="1001"/>
      <c r="OA531" s="1001"/>
      <c r="OC531" s="1003"/>
      <c r="OD531" s="1003"/>
      <c r="OE531" s="1001"/>
      <c r="OF531" s="1003"/>
      <c r="OG531" s="1003"/>
      <c r="OH531" s="1003"/>
      <c r="OI531" s="1016"/>
      <c r="QX531" s="1000">
        <f>CN531-CA531</f>
        <v>21</v>
      </c>
      <c r="ASU531" s="999" t="s">
        <v>208</v>
      </c>
    </row>
    <row r="532" spans="1:466 1191:1191" ht="21" customHeight="1" x14ac:dyDescent="0.25">
      <c r="A532" s="982">
        <f t="shared" si="372"/>
        <v>3234</v>
      </c>
      <c r="B532" s="124">
        <f>SUBTOTAL(103,$J$29:J532)</f>
        <v>504</v>
      </c>
      <c r="C532" s="126">
        <v>45096</v>
      </c>
      <c r="D532" s="145" t="s">
        <v>176</v>
      </c>
      <c r="E532" s="128" t="s">
        <v>177</v>
      </c>
      <c r="F532" s="128" t="s">
        <v>177</v>
      </c>
      <c r="G532" s="128" t="s">
        <v>178</v>
      </c>
      <c r="H532" s="128" t="s">
        <v>179</v>
      </c>
      <c r="I532" s="128" t="s">
        <v>417</v>
      </c>
      <c r="J532" s="152">
        <v>3234</v>
      </c>
      <c r="K532" s="127" t="s">
        <v>1385</v>
      </c>
      <c r="L532" s="130">
        <v>35293</v>
      </c>
      <c r="M532" s="128" t="s">
        <v>230</v>
      </c>
      <c r="N532" s="128" t="s">
        <v>231</v>
      </c>
      <c r="O532" s="127" t="s">
        <v>185</v>
      </c>
      <c r="P532" s="127" t="s">
        <v>208</v>
      </c>
      <c r="Q532" s="85" t="str">
        <f t="shared" si="423"/>
        <v/>
      </c>
      <c r="R532" s="130"/>
      <c r="S532" s="128"/>
      <c r="T532" s="131"/>
      <c r="U532" s="132">
        <v>203</v>
      </c>
      <c r="V532" s="121">
        <v>218.2</v>
      </c>
      <c r="W532" s="116">
        <v>0.98</v>
      </c>
      <c r="X532" s="116">
        <v>1.66</v>
      </c>
      <c r="Y532" s="116">
        <f t="shared" si="408"/>
        <v>0.98004014622285718</v>
      </c>
      <c r="Z532" s="133">
        <v>1.454</v>
      </c>
      <c r="AA532" s="133">
        <v>0.83599999999999997</v>
      </c>
      <c r="AB532" s="133">
        <v>0.72</v>
      </c>
      <c r="AC532" s="121">
        <v>34.299999999999997</v>
      </c>
      <c r="AD532" s="134">
        <v>1.17</v>
      </c>
      <c r="AE532" s="145">
        <v>177.8</v>
      </c>
      <c r="AF532" s="128">
        <v>9.19</v>
      </c>
      <c r="AG532" s="128">
        <v>2390.6999999999998</v>
      </c>
      <c r="AH532" s="128">
        <v>2959</v>
      </c>
      <c r="AI532" s="128">
        <v>2959</v>
      </c>
      <c r="AJ532" s="135"/>
      <c r="AK532" s="128"/>
      <c r="AL532" s="131"/>
      <c r="AM532" s="145" t="s">
        <v>232</v>
      </c>
      <c r="AN532" s="131" t="s">
        <v>1878</v>
      </c>
      <c r="AO532" s="137">
        <v>33.299999999999997</v>
      </c>
      <c r="AP532" s="128">
        <v>2390.6999999999998</v>
      </c>
      <c r="AQ532" s="128">
        <v>455.9</v>
      </c>
      <c r="AR532" s="128"/>
      <c r="AS532" s="128"/>
      <c r="AT532" s="122"/>
      <c r="AU532" s="145" t="s">
        <v>189</v>
      </c>
      <c r="AV532" s="115">
        <f>VLOOKUP(J532,'[63]ТР нефть'!$J$28:$BP$638,39,0)</f>
        <v>300</v>
      </c>
      <c r="AW532" s="115" t="str">
        <f>VLOOKUP(J532,'[63]ТР нефть'!$J$28:$BP$638,40,0)</f>
        <v>ГП</v>
      </c>
      <c r="AX532" s="115" t="str">
        <f>VLOOKUP(J532,'[63]ТР нефть'!$J$28:$BP$638,41,0)</f>
        <v>-</v>
      </c>
      <c r="AY532" s="115" t="str">
        <f>VLOOKUP(J532,'[63]ТР нефть'!$J$28:$BP$638,42,0)</f>
        <v>-</v>
      </c>
      <c r="AZ532" s="115" t="str">
        <f>VLOOKUP(J532,'[63]ТР нефть'!$J$28:$BP$638,43,0)</f>
        <v>-</v>
      </c>
      <c r="BA532" s="115" t="str">
        <f>VLOOKUP(J532,'[63]ТР нефть'!$J$28:$BP$638,44,0)</f>
        <v>-</v>
      </c>
      <c r="BB532" s="115" t="str">
        <f>VLOOKUP(J532,'[63]ТР нефть'!$J$28:$BP$638,45,0)</f>
        <v>-</v>
      </c>
      <c r="BC532" s="115" t="str">
        <f>VLOOKUP(J532,'[63]ТР нефть'!$J$28:$BP$638,46,0)</f>
        <v>-</v>
      </c>
      <c r="BD532" s="115" t="str">
        <f>VLOOKUP(J532,'[63]ТР нефть'!$J$28:$BP$638,47,0)</f>
        <v>-</v>
      </c>
      <c r="BE532" s="115" t="str">
        <f>VLOOKUP(J532,'[63]ТР нефть'!$J$28:$BP$638,48,0)</f>
        <v>-</v>
      </c>
      <c r="BF532" s="115" t="str">
        <f>VLOOKUP(J532,'[63]ТР нефть'!$J$28:$BP$638,49,0)</f>
        <v>-</v>
      </c>
      <c r="BG532" s="115" t="str">
        <f>VLOOKUP(J532,'[63]ТР нефть'!$J$28:$BP$638,50,0)</f>
        <v>-</v>
      </c>
      <c r="BH532" s="115" t="str">
        <f>VLOOKUP(J532,'[63]ТР нефть'!$J$28:$BP$638,51,0)</f>
        <v>-</v>
      </c>
      <c r="BI532" s="115" t="str">
        <f>VLOOKUP(J532,'[63]ТР нефть'!$J$28:$BP$638,52,0)</f>
        <v>-</v>
      </c>
      <c r="BJ532" s="115" t="str">
        <f>IF(IFERROR(VLOOKUP(J532,'[63]ТР нефть'!$J$28:$BP$638,53,0),"-")=0,"-",IFERROR(VLOOKUP(J532,'[63]ТР нефть'!$J$28:$BP$638,53,0),"-"))</f>
        <v>-</v>
      </c>
      <c r="BK532" s="115" t="str">
        <f>IF(IFERROR(VLOOKUP(J532,'[63]ТР нефть'!$J$28:$BP$638,54,0),"-")=0,"-",IFERROR(VLOOKUP(J532,'[63]ТР нефть'!$J$28:$BP$638,54,0),"-"))</f>
        <v>-</v>
      </c>
      <c r="BL532" s="115" t="str">
        <f>IF(IFERROR(VLOOKUP(J532,'[63]ТР нефть'!$J$28:$BP$638,55,0),"-")=0,"-",IFERROR(VLOOKUP(J532,'[63]ТР нефть'!$J$28:$BP$638,55,0),"-"))</f>
        <v>-</v>
      </c>
      <c r="BM532" s="115" t="str">
        <f>IF(IFERROR(VLOOKUP(J532,'[63]ТР нефть'!$J$28:$BP$638,56,0),"-")=0,"-",IFERROR(VLOOKUP(J532,'[63]ТР нефть'!$J$28:$BP$638,56,0),"-"))</f>
        <v>-</v>
      </c>
      <c r="BN532" s="115" t="str">
        <f>IF(IFERROR(VLOOKUP(J532,'[63]ТР нефть'!$J$28:$BP$638,57,0),"-")=0,"-",IFERROR(VLOOKUP(J532,'[63]ТР нефть'!$J$28:$BP$638,57,0),"-"))</f>
        <v>-</v>
      </c>
      <c r="BO532" s="115">
        <f>IF(IFERROR(VLOOKUP(J532,'[63]ТР нефть'!$J$28:$BP$638,58,0),"-")=0,"-",IFERROR(VLOOKUP(J532,'[63]ТР нефть'!$J$28:$BP$638,58,0),"-"))</f>
        <v>55</v>
      </c>
      <c r="BP532" s="115" t="str">
        <f>IF(IFERROR(VLOOKUP(J532,'[63]ТР нефть'!$J$28:$BP$638,59,0),"-")=0,"-",IFERROR(VLOOKUP(J532,'[63]ТР нефть'!$J$28:$BP$638,59,0),"-"))</f>
        <v>-</v>
      </c>
      <c r="BQ532" s="115">
        <f>1950+25</f>
        <v>1975</v>
      </c>
      <c r="BR532" s="128">
        <v>1752</v>
      </c>
      <c r="BS532" s="115">
        <f t="shared" si="437"/>
        <v>223</v>
      </c>
      <c r="BT532" s="128">
        <v>73</v>
      </c>
      <c r="BU532" s="128">
        <v>5.5</v>
      </c>
      <c r="BV532" s="128">
        <v>6</v>
      </c>
      <c r="BW532" s="128" t="s">
        <v>234</v>
      </c>
      <c r="BX532" s="127" t="s">
        <v>195</v>
      </c>
      <c r="BY532" s="121">
        <v>24</v>
      </c>
      <c r="BZ532" s="121">
        <v>0</v>
      </c>
      <c r="CA532" s="115">
        <v>25</v>
      </c>
      <c r="CB532" s="115">
        <v>62</v>
      </c>
      <c r="CC532" s="115">
        <v>21</v>
      </c>
      <c r="CD532" s="135">
        <v>45017</v>
      </c>
      <c r="CE532" s="115">
        <v>182</v>
      </c>
      <c r="CF532" s="115">
        <v>78</v>
      </c>
      <c r="CG532" s="115" t="str">
        <f t="shared" si="433"/>
        <v/>
      </c>
      <c r="CH532" s="115" t="s">
        <v>197</v>
      </c>
      <c r="CI532" s="128"/>
      <c r="CJ532" s="115"/>
      <c r="CK532" s="138"/>
      <c r="CL532" s="99"/>
      <c r="CM532" s="99"/>
      <c r="CN532" s="156">
        <v>49</v>
      </c>
      <c r="CO532" s="141">
        <f t="shared" si="373"/>
        <v>23.405659199999999</v>
      </c>
      <c r="CP532" s="142">
        <v>28</v>
      </c>
      <c r="CQ532" s="143">
        <v>0.01</v>
      </c>
      <c r="CR532" s="138">
        <v>23.8</v>
      </c>
      <c r="CS532" s="139">
        <v>12.6</v>
      </c>
      <c r="CT532" s="138"/>
      <c r="CU532" s="138">
        <f t="shared" si="418"/>
        <v>11.200000000000001</v>
      </c>
      <c r="CV532" s="115">
        <f t="shared" si="419"/>
        <v>478.51675119665089</v>
      </c>
      <c r="CW532" s="115">
        <f t="shared" si="374"/>
        <v>538.25678006182056</v>
      </c>
      <c r="CX532" s="133">
        <f t="shared" si="420"/>
        <v>0.21052631578947367</v>
      </c>
      <c r="CY532" s="116"/>
      <c r="CZ532" s="131"/>
      <c r="DA532" s="145" t="str">
        <f t="shared" si="375"/>
        <v>Газлифт</v>
      </c>
      <c r="DB532" s="146">
        <f t="shared" si="390"/>
        <v>23.405659199999999</v>
      </c>
      <c r="DC532" s="142">
        <f t="shared" si="402"/>
        <v>28</v>
      </c>
      <c r="DD532" s="119">
        <f t="shared" si="416"/>
        <v>0.01</v>
      </c>
      <c r="DE532" s="115">
        <f t="shared" si="392"/>
        <v>11.200000000000001</v>
      </c>
      <c r="DF532" s="121">
        <f t="shared" si="376"/>
        <v>12.6</v>
      </c>
      <c r="DG532" s="115">
        <f t="shared" si="377"/>
        <v>478.51675119665089</v>
      </c>
      <c r="DH532" s="115">
        <f t="shared" si="378"/>
        <v>49</v>
      </c>
      <c r="DI532" s="147"/>
      <c r="DJ532" s="111">
        <v>44139</v>
      </c>
      <c r="DK532" s="112">
        <v>44155</v>
      </c>
      <c r="DL532" s="113">
        <f t="shared" ca="1" si="424"/>
        <v>949</v>
      </c>
      <c r="DM532" s="114">
        <v>19.899999999999999</v>
      </c>
      <c r="DN532" s="114">
        <v>59</v>
      </c>
      <c r="DO532" s="114">
        <v>44</v>
      </c>
      <c r="DP532" s="114"/>
      <c r="DQ532" s="112"/>
      <c r="DR532" s="114"/>
      <c r="DS532" s="114"/>
      <c r="DT532" s="115">
        <v>60</v>
      </c>
      <c r="DU532" s="116">
        <f t="shared" si="425"/>
        <v>0.22950819672131148</v>
      </c>
      <c r="DV532" s="117">
        <f t="shared" si="428"/>
        <v>23.405659199999999</v>
      </c>
      <c r="DW532" s="118">
        <f t="shared" si="429"/>
        <v>28</v>
      </c>
      <c r="DX532" s="119">
        <f t="shared" si="430"/>
        <v>0.01</v>
      </c>
      <c r="DY532" s="115">
        <f t="shared" si="431"/>
        <v>11.200000000000001</v>
      </c>
      <c r="DZ532" s="117">
        <f t="shared" si="426"/>
        <v>0</v>
      </c>
      <c r="EA532" s="120">
        <f t="shared" si="426"/>
        <v>0</v>
      </c>
      <c r="EB532" s="119">
        <f t="shared" si="387"/>
        <v>0</v>
      </c>
      <c r="EC532" s="121">
        <f t="shared" si="415"/>
        <v>0</v>
      </c>
      <c r="ED532" s="122"/>
      <c r="EE532" s="145">
        <v>6</v>
      </c>
      <c r="EF532" s="115">
        <v>25</v>
      </c>
      <c r="EG532" s="115">
        <v>62</v>
      </c>
      <c r="EH532" s="115">
        <v>24</v>
      </c>
      <c r="EI532" s="128" t="s">
        <v>195</v>
      </c>
      <c r="EJ532" s="121">
        <v>24</v>
      </c>
      <c r="EK532" s="121">
        <v>0</v>
      </c>
      <c r="EL532" s="149">
        <v>21.733826399999998</v>
      </c>
      <c r="EM532" s="142">
        <v>26</v>
      </c>
      <c r="EN532" s="119">
        <v>0.01</v>
      </c>
      <c r="EO532" s="115">
        <v>19.5</v>
      </c>
      <c r="EP532" s="115">
        <v>377.29205382812853</v>
      </c>
      <c r="EQ532" s="115">
        <v>78</v>
      </c>
      <c r="ER532" s="115">
        <v>11.3</v>
      </c>
      <c r="ES532" s="115">
        <v>68</v>
      </c>
      <c r="ET532" s="150">
        <v>0.22807017543859648</v>
      </c>
      <c r="EU532" s="145">
        <f t="shared" si="400"/>
        <v>6</v>
      </c>
      <c r="EV532" s="115">
        <f t="shared" si="380"/>
        <v>25</v>
      </c>
      <c r="EW532" s="115">
        <f t="shared" si="380"/>
        <v>62</v>
      </c>
      <c r="EX532" s="115">
        <f t="shared" si="380"/>
        <v>21</v>
      </c>
      <c r="EY532" s="115" t="str">
        <f t="shared" si="434"/>
        <v>Постоянный</v>
      </c>
      <c r="EZ532" s="115">
        <f t="shared" si="434"/>
        <v>24</v>
      </c>
      <c r="FA532" s="115">
        <f t="shared" si="434"/>
        <v>0</v>
      </c>
      <c r="FB532" s="149">
        <f t="shared" si="405"/>
        <v>23.405659199999999</v>
      </c>
      <c r="FC532" s="142">
        <f t="shared" si="405"/>
        <v>28</v>
      </c>
      <c r="FD532" s="119">
        <f t="shared" si="405"/>
        <v>0.01</v>
      </c>
      <c r="FE532" s="121">
        <f t="shared" si="405"/>
        <v>23.8</v>
      </c>
      <c r="FF532" s="121">
        <f t="shared" si="407"/>
        <v>478.51675119665089</v>
      </c>
      <c r="FG532" s="121">
        <f t="shared" si="381"/>
        <v>78</v>
      </c>
      <c r="FH532" s="121">
        <f t="shared" si="436"/>
        <v>12.6</v>
      </c>
      <c r="FI532" s="121">
        <f t="shared" si="427"/>
        <v>49</v>
      </c>
      <c r="FJ532" s="144">
        <f t="shared" si="382"/>
        <v>0.21052631578947367</v>
      </c>
      <c r="FK532" s="132">
        <f t="shared" si="383"/>
        <v>0</v>
      </c>
      <c r="FL532" s="115">
        <f t="shared" si="383"/>
        <v>0</v>
      </c>
      <c r="FM532" s="115">
        <f t="shared" si="383"/>
        <v>0</v>
      </c>
      <c r="FN532" s="115">
        <f t="shared" si="371"/>
        <v>-3</v>
      </c>
      <c r="FO532" s="115">
        <f t="shared" si="403"/>
        <v>0</v>
      </c>
      <c r="FP532" s="115">
        <f t="shared" si="403"/>
        <v>0</v>
      </c>
      <c r="FQ532" s="149">
        <f t="shared" si="403"/>
        <v>1.6718328000000007</v>
      </c>
      <c r="FR532" s="142">
        <f t="shared" si="403"/>
        <v>2</v>
      </c>
      <c r="FS532" s="119">
        <f t="shared" si="403"/>
        <v>0</v>
      </c>
      <c r="FT532" s="121">
        <f t="shared" ref="FT532:FT595" si="438">FE532-EO532</f>
        <v>4.3000000000000007</v>
      </c>
      <c r="FU532" s="121">
        <f t="shared" si="384"/>
        <v>0</v>
      </c>
      <c r="FV532" s="121">
        <f t="shared" si="384"/>
        <v>1.2999999999999989</v>
      </c>
      <c r="FW532" s="121">
        <f t="shared" si="385"/>
        <v>101.22469736852236</v>
      </c>
      <c r="FX532" s="121">
        <f t="shared" si="386"/>
        <v>-19</v>
      </c>
      <c r="FY532" s="144">
        <f t="shared" si="386"/>
        <v>-1.7543859649122806E-2</v>
      </c>
      <c r="FZ532" s="145" t="s">
        <v>199</v>
      </c>
      <c r="GA532" s="1055" t="s">
        <v>303</v>
      </c>
      <c r="GB532" s="145" t="s">
        <v>199</v>
      </c>
      <c r="GC532" s="151" t="s">
        <v>304</v>
      </c>
      <c r="GD532" s="997" t="s">
        <v>238</v>
      </c>
      <c r="GE532" s="1004" t="s">
        <v>199</v>
      </c>
      <c r="GF532" s="1004">
        <v>-1.4210578800000029</v>
      </c>
      <c r="GG532" s="1004"/>
      <c r="GH532" s="1004">
        <v>0</v>
      </c>
      <c r="GI532" s="145"/>
      <c r="GJ532" s="996">
        <v>-0.75232476000000048</v>
      </c>
      <c r="GK532" s="145" t="s">
        <v>240</v>
      </c>
      <c r="GL532" s="996">
        <v>-2.8421157599999987</v>
      </c>
      <c r="GM532" s="1005"/>
      <c r="GN532" s="996">
        <v>0</v>
      </c>
      <c r="GO532" s="1006"/>
      <c r="GP532" s="996">
        <v>0.83591640000000211</v>
      </c>
      <c r="GQ532" s="1006" t="s">
        <v>204</v>
      </c>
      <c r="GR532" s="996">
        <v>-4.9749674479999975</v>
      </c>
      <c r="GS532" s="1006" t="s">
        <v>204</v>
      </c>
      <c r="GT532" s="996">
        <v>12.522124647999995</v>
      </c>
      <c r="GU532" s="1006"/>
      <c r="GV532" s="996">
        <v>2.5879717600002294E-2</v>
      </c>
      <c r="GW532" s="1006" t="s">
        <v>25</v>
      </c>
      <c r="GX532" s="997">
        <v>18.325825082399998</v>
      </c>
      <c r="GY532" s="1006"/>
      <c r="GZ532" s="996">
        <v>0</v>
      </c>
      <c r="HA532" s="1006"/>
      <c r="HB532" s="996">
        <v>0</v>
      </c>
      <c r="HC532" s="1006"/>
      <c r="HD532" s="996">
        <v>0</v>
      </c>
      <c r="HE532" s="1006" t="s">
        <v>204</v>
      </c>
      <c r="HF532" s="996">
        <v>-0.26551360000000024</v>
      </c>
      <c r="HG532" s="1006"/>
      <c r="HH532" s="996">
        <v>0</v>
      </c>
      <c r="HI532" s="1006"/>
      <c r="HJ532" s="996">
        <v>0</v>
      </c>
      <c r="HK532" s="1006"/>
      <c r="HL532" s="996">
        <v>0</v>
      </c>
      <c r="HM532" s="1006"/>
      <c r="HN532" s="996">
        <v>0</v>
      </c>
      <c r="HO532" s="1006"/>
      <c r="HP532" s="996">
        <v>0</v>
      </c>
      <c r="HQ532" s="1006" t="s">
        <v>886</v>
      </c>
      <c r="HR532" s="996">
        <v>-8.4979399999999927</v>
      </c>
      <c r="HS532" s="1006"/>
      <c r="HT532" s="996">
        <v>4.0378799999984949E-2</v>
      </c>
      <c r="HU532" s="1006"/>
      <c r="HV532" s="996">
        <v>0.72216606000001171</v>
      </c>
      <c r="HW532" s="1006" t="s">
        <v>239</v>
      </c>
      <c r="HX532" s="996">
        <v>-19.572544860000008</v>
      </c>
      <c r="HY532" s="1006"/>
      <c r="HZ532" s="996">
        <v>0</v>
      </c>
      <c r="IA532" s="1006"/>
      <c r="IB532" s="996">
        <v>0</v>
      </c>
      <c r="IC532" s="1006" t="s">
        <v>199</v>
      </c>
      <c r="ID532" s="996">
        <v>3.678400000000007</v>
      </c>
      <c r="IE532" s="1006" t="s">
        <v>199</v>
      </c>
      <c r="IF532" s="996">
        <v>-6.0533422399999885</v>
      </c>
      <c r="IG532" s="1006" t="s">
        <v>275</v>
      </c>
      <c r="IH532" s="996">
        <v>-10.35942776000002</v>
      </c>
      <c r="II532" s="1006"/>
      <c r="IJ532" s="996">
        <v>0.56945393999999538</v>
      </c>
      <c r="IK532" s="1006" t="s">
        <v>204</v>
      </c>
      <c r="IL532" s="996">
        <v>22.995513420000012</v>
      </c>
      <c r="IM532" s="1006"/>
      <c r="IN532" s="996">
        <v>0</v>
      </c>
      <c r="IO532" s="1006" t="s">
        <v>204</v>
      </c>
      <c r="IP532" s="996">
        <v>-16.653420959999995</v>
      </c>
      <c r="IQ532" s="1006" t="s">
        <v>223</v>
      </c>
      <c r="IR532" s="996">
        <v>-4.5101364000000004</v>
      </c>
      <c r="IS532" s="1006" t="s">
        <v>146</v>
      </c>
      <c r="IT532" s="996">
        <v>-6.2474865200000025</v>
      </c>
      <c r="IU532" s="1006" t="s">
        <v>146</v>
      </c>
      <c r="IV532" s="996">
        <v>-8.9755534880000027</v>
      </c>
      <c r="IW532" s="1006" t="s">
        <v>204</v>
      </c>
      <c r="IX532" s="996">
        <v>1.1782400080000031</v>
      </c>
      <c r="IY532" s="1006" t="s">
        <v>146</v>
      </c>
      <c r="IZ532" s="996">
        <v>-12.255760000000002</v>
      </c>
      <c r="JA532" s="1006"/>
      <c r="JB532" s="996">
        <v>-0.34526800000001856</v>
      </c>
      <c r="JC532" s="1006" t="s">
        <v>204</v>
      </c>
      <c r="JD532" s="996">
        <v>60.30318800000002</v>
      </c>
      <c r="JE532" s="1006"/>
      <c r="JF532" s="996">
        <v>0</v>
      </c>
      <c r="JG532" s="1006" t="s">
        <v>199</v>
      </c>
      <c r="JH532" s="996">
        <v>-5.5756351199999994</v>
      </c>
      <c r="JI532" s="1006"/>
      <c r="JJ532" s="996">
        <v>0</v>
      </c>
      <c r="JK532" s="1007" t="s">
        <v>199</v>
      </c>
      <c r="JL532" s="1007">
        <v>-11.859980879999997</v>
      </c>
      <c r="JM532" s="1007"/>
      <c r="JN532" s="1007">
        <v>0</v>
      </c>
      <c r="JO532" s="1008"/>
      <c r="JP532" s="1007">
        <v>0</v>
      </c>
      <c r="JQ532" s="1008">
        <v>0</v>
      </c>
      <c r="JR532" s="1007">
        <v>0</v>
      </c>
      <c r="JS532" s="1008"/>
      <c r="JT532" s="1007"/>
      <c r="JU532" s="1008"/>
      <c r="JV532" s="1007"/>
      <c r="JW532" s="1008"/>
      <c r="JX532" s="1007"/>
      <c r="JY532" s="1008"/>
      <c r="JZ532" s="1007"/>
      <c r="KA532" s="1008"/>
      <c r="KB532" s="1007"/>
      <c r="KC532" s="1008"/>
      <c r="KD532" s="1007"/>
      <c r="KE532" s="1008"/>
      <c r="KF532" s="1007"/>
      <c r="KG532" s="1008"/>
      <c r="KH532" s="1007"/>
      <c r="KI532" s="1008"/>
      <c r="KJ532" s="1007"/>
      <c r="KK532" s="1008"/>
      <c r="KL532" s="1007"/>
      <c r="KM532" s="1008"/>
      <c r="KN532" s="1007"/>
      <c r="KO532" s="1008"/>
      <c r="KP532" s="1007"/>
      <c r="KQ532" s="1008"/>
      <c r="KR532" s="1007"/>
      <c r="KS532" s="1008"/>
      <c r="KT532" s="1007"/>
      <c r="KU532" s="1008"/>
      <c r="KV532" s="1007"/>
      <c r="KW532" s="1008"/>
      <c r="KX532" s="1007"/>
      <c r="KY532" s="1008"/>
      <c r="KZ532" s="1007"/>
      <c r="LA532" s="1008"/>
      <c r="LB532" s="1007"/>
      <c r="LC532" s="1008"/>
      <c r="LD532" s="1007"/>
      <c r="LE532" s="1008"/>
      <c r="LF532" s="1007"/>
      <c r="LG532" s="1008"/>
      <c r="LH532" s="1007"/>
      <c r="LI532" s="1008"/>
      <c r="LJ532" s="1007"/>
      <c r="LK532" s="1008"/>
      <c r="LL532" s="1007"/>
      <c r="LM532" s="1008"/>
      <c r="LN532" s="1007"/>
      <c r="LO532" s="1008"/>
      <c r="LP532" s="1007"/>
      <c r="LQ532" s="1008"/>
      <c r="LR532" s="1007"/>
      <c r="LS532" s="1008"/>
      <c r="LT532" s="1007"/>
      <c r="LU532" s="1008"/>
      <c r="LV532" s="1007"/>
      <c r="LW532" s="1008"/>
      <c r="LX532" s="1007"/>
      <c r="LY532" s="1009"/>
      <c r="LZ532" s="1010"/>
      <c r="MA532" s="1011"/>
      <c r="MB532" s="1012"/>
      <c r="MC532" s="995"/>
      <c r="MD532" s="996"/>
      <c r="ME532" s="997" t="s">
        <v>238</v>
      </c>
      <c r="MF532" s="997"/>
      <c r="MG532" s="998"/>
      <c r="NR532" s="1000"/>
      <c r="NS532" s="1000"/>
      <c r="NT532" s="1001"/>
      <c r="NU532" s="1000"/>
      <c r="NV532" s="1001"/>
      <c r="NX532" s="1002"/>
      <c r="NZ532" s="1001"/>
      <c r="OA532" s="1001"/>
      <c r="OC532" s="1003"/>
      <c r="OD532" s="1003"/>
      <c r="OE532" s="1001"/>
      <c r="OF532" s="1003"/>
      <c r="OG532" s="1003"/>
      <c r="OH532" s="1003"/>
      <c r="OI532" s="1016"/>
      <c r="QX532" s="1000">
        <f>CN532-CA532</f>
        <v>24</v>
      </c>
      <c r="ASU532" s="999" t="s">
        <v>455</v>
      </c>
    </row>
    <row r="533" spans="1:466 1191:1191" ht="21" customHeight="1" x14ac:dyDescent="0.25">
      <c r="A533" s="982">
        <f t="shared" si="372"/>
        <v>3235</v>
      </c>
      <c r="B533" s="124">
        <f>SUBTOTAL(103,$J$29:J533)</f>
        <v>505</v>
      </c>
      <c r="C533" s="126">
        <v>45068</v>
      </c>
      <c r="D533" s="124" t="s">
        <v>176</v>
      </c>
      <c r="E533" s="127" t="s">
        <v>177</v>
      </c>
      <c r="F533" s="128" t="s">
        <v>177</v>
      </c>
      <c r="G533" s="127" t="s">
        <v>178</v>
      </c>
      <c r="H533" s="127" t="s">
        <v>179</v>
      </c>
      <c r="I533" s="127" t="s">
        <v>1289</v>
      </c>
      <c r="J533" s="152">
        <v>3235</v>
      </c>
      <c r="K533" s="127" t="s">
        <v>1289</v>
      </c>
      <c r="L533" s="130">
        <v>43561</v>
      </c>
      <c r="M533" s="127" t="s">
        <v>230</v>
      </c>
      <c r="N533" s="127" t="s">
        <v>184</v>
      </c>
      <c r="O533" s="127" t="s">
        <v>185</v>
      </c>
      <c r="P533" s="127" t="s">
        <v>186</v>
      </c>
      <c r="Q533" s="85" t="str">
        <f t="shared" si="423"/>
        <v/>
      </c>
      <c r="R533" s="130"/>
      <c r="S533" s="128"/>
      <c r="T533" s="131"/>
      <c r="U533" s="132">
        <v>203</v>
      </c>
      <c r="V533" s="121">
        <v>218.2</v>
      </c>
      <c r="W533" s="116">
        <v>0.98</v>
      </c>
      <c r="X533" s="116">
        <v>1.66</v>
      </c>
      <c r="Y533" s="116">
        <f t="shared" si="408"/>
        <v>0.98</v>
      </c>
      <c r="Z533" s="133">
        <v>1.454</v>
      </c>
      <c r="AA533" s="133">
        <v>0.83599999999999997</v>
      </c>
      <c r="AB533" s="133">
        <v>0.72</v>
      </c>
      <c r="AC533" s="121">
        <v>34.299999999999997</v>
      </c>
      <c r="AD533" s="134">
        <v>1.17</v>
      </c>
      <c r="AE533" s="124">
        <v>177.8</v>
      </c>
      <c r="AF533" s="128">
        <v>9.19</v>
      </c>
      <c r="AG533" s="128">
        <v>2795</v>
      </c>
      <c r="AH533" s="127">
        <v>3670</v>
      </c>
      <c r="AI533" s="127">
        <v>3670</v>
      </c>
      <c r="AJ533" s="135"/>
      <c r="AK533" s="128"/>
      <c r="AL533" s="131"/>
      <c r="AM533" s="124" t="s">
        <v>187</v>
      </c>
      <c r="AN533" s="136" t="s">
        <v>1879</v>
      </c>
      <c r="AO533" s="137">
        <v>12.3</v>
      </c>
      <c r="AP533" s="128">
        <v>2884</v>
      </c>
      <c r="AQ533" s="128">
        <v>147</v>
      </c>
      <c r="AR533" s="128" t="s">
        <v>1880</v>
      </c>
      <c r="AS533" s="128">
        <v>144</v>
      </c>
      <c r="AT533" s="122">
        <v>7.37</v>
      </c>
      <c r="AU533" s="124" t="s">
        <v>189</v>
      </c>
      <c r="AV533" s="115">
        <f>VLOOKUP(J533,'[63]ТР нефть'!$J$28:$BP$638,39,0)</f>
        <v>549.99999140600005</v>
      </c>
      <c r="AW533" s="115" t="str">
        <f>VLOOKUP(J533,'[63]ТР нефть'!$J$28:$BP$638,40,0)</f>
        <v>ГП</v>
      </c>
      <c r="AX533" s="115">
        <f>VLOOKUP(J533,'[63]ТР нефть'!$J$28:$BP$638,41,0)</f>
        <v>970.00002949199995</v>
      </c>
      <c r="AY533" s="115" t="str">
        <f>VLOOKUP(J533,'[63]ТР нефть'!$J$28:$BP$638,42,0)</f>
        <v>ГП</v>
      </c>
      <c r="AZ533" s="115">
        <f>VLOOKUP(J533,'[63]ТР нефть'!$J$28:$BP$638,43,0)</f>
        <v>1360.0000382809999</v>
      </c>
      <c r="BA533" s="115" t="str">
        <f>VLOOKUP(J533,'[63]ТР нефть'!$J$28:$BP$638,44,0)</f>
        <v>ГК 77 1/8</v>
      </c>
      <c r="BB533" s="115">
        <f>VLOOKUP(J533,'[63]ТР нефть'!$J$28:$BP$638,45,0)</f>
        <v>1685.0000332029999</v>
      </c>
      <c r="BC533" s="115" t="str">
        <f>VLOOKUP(J533,'[63]ТР нефть'!$J$28:$BP$638,46,0)</f>
        <v>ГК 76 1/8</v>
      </c>
      <c r="BD533" s="115">
        <f>VLOOKUP(J533,'[63]ТР нефть'!$J$28:$BP$638,47,0)</f>
        <v>1919.999940234</v>
      </c>
      <c r="BE533" s="115" t="str">
        <f>VLOOKUP(J533,'[63]ТР нефть'!$J$28:$BP$638,48,0)</f>
        <v>ЦКсОК 5/16</v>
      </c>
      <c r="BF533" s="115" t="str">
        <f>VLOOKUP(J533,'[63]ТР нефть'!$J$28:$BP$638,49,0)</f>
        <v>-</v>
      </c>
      <c r="BG533" s="115" t="str">
        <f>VLOOKUP(J533,'[63]ТР нефть'!$J$28:$BP$638,50,0)</f>
        <v>-</v>
      </c>
      <c r="BH533" s="115" t="str">
        <f>VLOOKUP(J533,'[63]ТР нефть'!$J$28:$BP$638,51,0)</f>
        <v>-</v>
      </c>
      <c r="BI533" s="115" t="str">
        <f>VLOOKUP(J533,'[63]ТР нефть'!$J$28:$BP$638,52,0)</f>
        <v>-</v>
      </c>
      <c r="BJ533" s="115" t="str">
        <f>IF(IFERROR(VLOOKUP(J533,'[63]ТР нефть'!$J$28:$BP$638,53,0),"-")=0,"-",IFERROR(VLOOKUP(J533,'[63]ТР нефть'!$J$28:$BP$638,53,0),"-"))</f>
        <v>-</v>
      </c>
      <c r="BK533" s="138" t="str">
        <f>IF(IFERROR(VLOOKUP(J533,'[63]ТР нефть'!$J$28:$BP$638,54,0),"-")=0,"-",IFERROR(VLOOKUP(J533,'[63]ТР нефть'!$J$28:$BP$638,54,0),"-"))</f>
        <v>-</v>
      </c>
      <c r="BL533" s="138" t="str">
        <f>IF(IFERROR(VLOOKUP(J533,'[63]ТР нефть'!$J$28:$BP$638,55,0),"-")=0,"-",IFERROR(VLOOKUP(J533,'[63]ТР нефть'!$J$28:$BP$638,55,0),"-"))</f>
        <v>-</v>
      </c>
      <c r="BM533" s="138" t="str">
        <f>IF(IFERROR(VLOOKUP(J533,'[63]ТР нефть'!$J$28:$BP$638,56,0),"-")=0,"-",IFERROR(VLOOKUP(J533,'[63]ТР нефть'!$J$28:$BP$638,56,0),"-"))</f>
        <v>-</v>
      </c>
      <c r="BN533" s="138" t="str">
        <f>IF(IFERROR(VLOOKUP(J533,'[63]ТР нефть'!$J$28:$BP$638,57,0),"-")=0,"-",IFERROR(VLOOKUP(J533,'[63]ТР нефть'!$J$28:$BP$638,57,0),"-"))</f>
        <v>-</v>
      </c>
      <c r="BO533" s="115" t="str">
        <f>IF(IFERROR(VLOOKUP(J533,'[63]ТР нефть'!$J$28:$BP$638,58,0),"-")=0,"-",IFERROR(VLOOKUP(J533,'[63]ТР нефть'!$J$28:$BP$638,58,0),"-"))</f>
        <v>-</v>
      </c>
      <c r="BP533" s="115" t="str">
        <f>IF(IFERROR(VLOOKUP(J533,'[63]ТР нефть'!$J$28:$BP$638,59,0),"-")=0,"-",IFERROR(VLOOKUP(J533,'[63]ТР нефть'!$J$28:$BP$638,59,0),"-"))</f>
        <v>-</v>
      </c>
      <c r="BQ533" s="138">
        <v>2680</v>
      </c>
      <c r="BR533" s="128">
        <v>1821</v>
      </c>
      <c r="BS533" s="115">
        <f t="shared" si="437"/>
        <v>859</v>
      </c>
      <c r="BT533" s="128">
        <v>73</v>
      </c>
      <c r="BU533" s="128">
        <v>5.5</v>
      </c>
      <c r="BV533" s="127">
        <v>65</v>
      </c>
      <c r="BW533" s="127" t="s">
        <v>217</v>
      </c>
      <c r="BX533" s="127" t="s">
        <v>195</v>
      </c>
      <c r="BY533" s="139">
        <v>24</v>
      </c>
      <c r="BZ533" s="139">
        <v>0</v>
      </c>
      <c r="CA533" s="138">
        <v>26</v>
      </c>
      <c r="CB533" s="138">
        <v>40</v>
      </c>
      <c r="CC533" s="138">
        <v>25</v>
      </c>
      <c r="CD533" s="135">
        <v>45017</v>
      </c>
      <c r="CE533" s="138">
        <v>118</v>
      </c>
      <c r="CF533" s="138">
        <v>72</v>
      </c>
      <c r="CG533" s="138" t="str">
        <f t="shared" si="433"/>
        <v>В работе</v>
      </c>
      <c r="CH533" s="138" t="s">
        <v>272</v>
      </c>
      <c r="CI533" s="127"/>
      <c r="CJ533" s="138"/>
      <c r="CK533" s="138">
        <f t="shared" si="432"/>
        <v>21</v>
      </c>
      <c r="CL533" s="99"/>
      <c r="CM533" s="99"/>
      <c r="CN533" s="140">
        <v>47</v>
      </c>
      <c r="CO533" s="141">
        <f t="shared" si="373"/>
        <v>6.6879999999999997</v>
      </c>
      <c r="CP533" s="142">
        <v>8</v>
      </c>
      <c r="CQ533" s="143">
        <v>0</v>
      </c>
      <c r="CR533" s="138">
        <v>16</v>
      </c>
      <c r="CS533" s="139">
        <v>7.2</v>
      </c>
      <c r="CT533" s="138"/>
      <c r="CU533" s="138">
        <f t="shared" si="418"/>
        <v>8.8000000000000007</v>
      </c>
      <c r="CV533" s="115">
        <f t="shared" si="419"/>
        <v>1315.7894736842106</v>
      </c>
      <c r="CW533" s="115">
        <f t="shared" si="374"/>
        <v>1076.5550239234451</v>
      </c>
      <c r="CX533" s="133">
        <f t="shared" si="420"/>
        <v>0.11267605633802817</v>
      </c>
      <c r="CY533" s="116"/>
      <c r="CZ533" s="131"/>
      <c r="DA533" s="145" t="str">
        <f t="shared" si="375"/>
        <v>Газлифт</v>
      </c>
      <c r="DB533" s="146">
        <f t="shared" si="390"/>
        <v>6.6879999999999997</v>
      </c>
      <c r="DC533" s="142">
        <f t="shared" si="402"/>
        <v>8</v>
      </c>
      <c r="DD533" s="119">
        <f t="shared" si="416"/>
        <v>0</v>
      </c>
      <c r="DE533" s="115">
        <f t="shared" si="392"/>
        <v>8.8000000000000007</v>
      </c>
      <c r="DF533" s="121">
        <f t="shared" si="376"/>
        <v>7.2</v>
      </c>
      <c r="DG533" s="115">
        <f t="shared" si="377"/>
        <v>1315.7894736842106</v>
      </c>
      <c r="DH533" s="115">
        <f t="shared" si="378"/>
        <v>47</v>
      </c>
      <c r="DI533" s="147"/>
      <c r="DJ533" s="111" t="s">
        <v>197</v>
      </c>
      <c r="DK533" s="112">
        <v>43561</v>
      </c>
      <c r="DL533" s="113">
        <f t="shared" ca="1" si="424"/>
        <v>1543</v>
      </c>
      <c r="DM533" s="114"/>
      <c r="DN533" s="114"/>
      <c r="DO533" s="114"/>
      <c r="DP533" s="114"/>
      <c r="DQ533" s="112">
        <v>43561</v>
      </c>
      <c r="DR533" s="114" t="s">
        <v>324</v>
      </c>
      <c r="DS533" s="114"/>
      <c r="DT533" s="115">
        <v>40</v>
      </c>
      <c r="DU533" s="116">
        <f t="shared" si="425"/>
        <v>0.10862087693254643</v>
      </c>
      <c r="DV533" s="117">
        <f t="shared" si="428"/>
        <v>7.082950143017487</v>
      </c>
      <c r="DW533" s="118">
        <f t="shared" si="429"/>
        <v>8.4724284007386217</v>
      </c>
      <c r="DX533" s="119">
        <f t="shared" si="430"/>
        <v>0</v>
      </c>
      <c r="DY533" s="115">
        <f t="shared" si="431"/>
        <v>9.3196712408124842</v>
      </c>
      <c r="DZ533" s="117">
        <f t="shared" si="426"/>
        <v>0.39495014301748732</v>
      </c>
      <c r="EA533" s="120">
        <f t="shared" si="426"/>
        <v>0.47242840073862169</v>
      </c>
      <c r="EB533" s="119">
        <f t="shared" si="387"/>
        <v>0</v>
      </c>
      <c r="EC533" s="121">
        <f t="shared" si="415"/>
        <v>0.5196712408124835</v>
      </c>
      <c r="ED533" s="122"/>
      <c r="EE533" s="145">
        <v>65</v>
      </c>
      <c r="EF533" s="115">
        <v>27</v>
      </c>
      <c r="EG533" s="115">
        <v>40</v>
      </c>
      <c r="EH533" s="115">
        <v>26</v>
      </c>
      <c r="EI533" s="128" t="s">
        <v>195</v>
      </c>
      <c r="EJ533" s="121">
        <v>24</v>
      </c>
      <c r="EK533" s="121">
        <v>0</v>
      </c>
      <c r="EL533" s="149">
        <v>4.7652000000000001</v>
      </c>
      <c r="EM533" s="142">
        <v>5.7</v>
      </c>
      <c r="EN533" s="119">
        <v>0</v>
      </c>
      <c r="EO533" s="115">
        <v>11.9</v>
      </c>
      <c r="EP533" s="115">
        <v>1489.9689414924874</v>
      </c>
      <c r="EQ533" s="115">
        <v>71</v>
      </c>
      <c r="ER533" s="115">
        <v>4.8</v>
      </c>
      <c r="ES533" s="115">
        <v>50</v>
      </c>
      <c r="ET533" s="150">
        <v>8.3823529411764713E-2</v>
      </c>
      <c r="EU533" s="145">
        <f t="shared" si="400"/>
        <v>65</v>
      </c>
      <c r="EV533" s="115">
        <f t="shared" si="380"/>
        <v>26</v>
      </c>
      <c r="EW533" s="115">
        <f t="shared" si="380"/>
        <v>40</v>
      </c>
      <c r="EX533" s="115">
        <f t="shared" si="380"/>
        <v>25</v>
      </c>
      <c r="EY533" s="115" t="str">
        <f t="shared" si="434"/>
        <v>Постоянный</v>
      </c>
      <c r="EZ533" s="115">
        <f t="shared" si="434"/>
        <v>24</v>
      </c>
      <c r="FA533" s="115">
        <f t="shared" si="434"/>
        <v>0</v>
      </c>
      <c r="FB533" s="149">
        <f t="shared" si="405"/>
        <v>6.6879999999999997</v>
      </c>
      <c r="FC533" s="142">
        <f t="shared" si="405"/>
        <v>8</v>
      </c>
      <c r="FD533" s="119">
        <f t="shared" si="405"/>
        <v>0</v>
      </c>
      <c r="FE533" s="121">
        <f t="shared" si="405"/>
        <v>16</v>
      </c>
      <c r="FF533" s="121">
        <f t="shared" si="407"/>
        <v>1315.7894736842106</v>
      </c>
      <c r="FG533" s="121">
        <f t="shared" si="381"/>
        <v>72</v>
      </c>
      <c r="FH533" s="121">
        <f t="shared" si="436"/>
        <v>7.2</v>
      </c>
      <c r="FI533" s="121">
        <f t="shared" si="427"/>
        <v>47</v>
      </c>
      <c r="FJ533" s="144">
        <f t="shared" si="382"/>
        <v>0.11267605633802817</v>
      </c>
      <c r="FK533" s="132">
        <f t="shared" si="383"/>
        <v>0</v>
      </c>
      <c r="FL533" s="115">
        <f t="shared" si="383"/>
        <v>-1</v>
      </c>
      <c r="FM533" s="115">
        <f t="shared" si="383"/>
        <v>0</v>
      </c>
      <c r="FN533" s="115">
        <f t="shared" si="371"/>
        <v>-1</v>
      </c>
      <c r="FO533" s="115">
        <f t="shared" ref="FO533:FS596" si="439">EZ533-EJ533</f>
        <v>0</v>
      </c>
      <c r="FP533" s="115">
        <f t="shared" si="439"/>
        <v>0</v>
      </c>
      <c r="FQ533" s="149">
        <f t="shared" si="439"/>
        <v>1.9227999999999996</v>
      </c>
      <c r="FR533" s="142">
        <f t="shared" si="439"/>
        <v>2.2999999999999998</v>
      </c>
      <c r="FS533" s="119">
        <f t="shared" si="439"/>
        <v>0</v>
      </c>
      <c r="FT533" s="121">
        <f t="shared" si="438"/>
        <v>4.0999999999999996</v>
      </c>
      <c r="FU533" s="121">
        <f t="shared" si="384"/>
        <v>1</v>
      </c>
      <c r="FV533" s="121">
        <f t="shared" si="384"/>
        <v>2.4000000000000004</v>
      </c>
      <c r="FW533" s="121">
        <f t="shared" si="385"/>
        <v>-174.17946780827674</v>
      </c>
      <c r="FX533" s="121">
        <f t="shared" si="386"/>
        <v>-3</v>
      </c>
      <c r="FY533" s="144">
        <f t="shared" si="386"/>
        <v>2.8852526926263458E-2</v>
      </c>
      <c r="FZ533" s="145" t="s">
        <v>199</v>
      </c>
      <c r="GA533" s="125" t="s">
        <v>200</v>
      </c>
      <c r="GB533" s="145"/>
      <c r="GC533" s="125"/>
      <c r="GD533" s="997" t="s">
        <v>202</v>
      </c>
      <c r="GE533" s="1004"/>
      <c r="GF533" s="1004">
        <v>0.67716000000000065</v>
      </c>
      <c r="GG533" s="1004" t="s">
        <v>199</v>
      </c>
      <c r="GH533" s="1004">
        <v>-2.5999600000000003</v>
      </c>
      <c r="GI533" s="145"/>
      <c r="GJ533" s="996">
        <v>0</v>
      </c>
      <c r="GK533" s="145"/>
      <c r="GL533" s="996">
        <v>0</v>
      </c>
      <c r="GM533" s="1005"/>
      <c r="GN533" s="996">
        <v>0</v>
      </c>
      <c r="GO533" s="1006"/>
      <c r="GP533" s="996">
        <v>0</v>
      </c>
      <c r="GQ533" s="1006" t="s">
        <v>199</v>
      </c>
      <c r="GR533" s="996">
        <v>1.6719999999999997</v>
      </c>
      <c r="GS533" s="1006"/>
      <c r="GT533" s="996">
        <v>0</v>
      </c>
      <c r="GU533" s="1006"/>
      <c r="GV533" s="996">
        <v>-0.16720000000000024</v>
      </c>
      <c r="GW533" s="1006"/>
      <c r="GX533" s="996">
        <v>0</v>
      </c>
      <c r="GY533" s="1006" t="s">
        <v>199</v>
      </c>
      <c r="GZ533" s="996">
        <v>-2.064919999999999</v>
      </c>
      <c r="HA533" s="1006"/>
      <c r="HB533" s="996">
        <v>-4.180000000000117E-2</v>
      </c>
      <c r="HC533" s="1006" t="s">
        <v>199</v>
      </c>
      <c r="HD533" s="996">
        <v>-0.48275321599999987</v>
      </c>
      <c r="HE533" s="1006"/>
      <c r="HF533" s="996">
        <v>-0.85350249599999817</v>
      </c>
      <c r="HG533" s="1006" t="s">
        <v>199</v>
      </c>
      <c r="HH533" s="996">
        <v>1.5038703679999994</v>
      </c>
      <c r="HI533" s="1006"/>
      <c r="HJ533" s="996">
        <v>0</v>
      </c>
      <c r="HK533" s="1006"/>
      <c r="HL533" s="996">
        <v>0</v>
      </c>
      <c r="HM533" s="1006" t="s">
        <v>199</v>
      </c>
      <c r="HN533" s="996">
        <v>-2.1350236160000016</v>
      </c>
      <c r="HO533" s="1006"/>
      <c r="HP533" s="996">
        <v>-0.61715526399999909</v>
      </c>
      <c r="HQ533" s="1006"/>
      <c r="HR533" s="996">
        <v>0</v>
      </c>
      <c r="HS533" s="1006" t="s">
        <v>643</v>
      </c>
      <c r="HT533" s="996">
        <v>0</v>
      </c>
      <c r="HU533" s="1006"/>
      <c r="HV533" s="996">
        <v>0.88403321600000062</v>
      </c>
      <c r="HW533" s="1006"/>
      <c r="HX533" s="996">
        <v>0</v>
      </c>
      <c r="HY533" s="1006"/>
      <c r="HZ533" s="996">
        <v>0</v>
      </c>
      <c r="IA533" s="1006"/>
      <c r="IB533" s="996">
        <v>0.37965100799999796</v>
      </c>
      <c r="IC533" s="1006"/>
      <c r="ID533" s="996">
        <v>-0.75239999999999796</v>
      </c>
      <c r="IE533" s="1006"/>
      <c r="IF533" s="996">
        <v>0.16719999999999935</v>
      </c>
      <c r="IG533" s="1006"/>
      <c r="IH533" s="996">
        <v>0</v>
      </c>
      <c r="II533" s="1006"/>
      <c r="IJ533" s="996">
        <v>0</v>
      </c>
      <c r="IK533" s="1006"/>
      <c r="IL533" s="996">
        <v>-0.90287999999999968</v>
      </c>
      <c r="IM533" s="1006"/>
      <c r="IN533" s="996">
        <v>0</v>
      </c>
      <c r="IO533" s="1006"/>
      <c r="IP533" s="996">
        <v>-0.76912000000000091</v>
      </c>
      <c r="IQ533" s="1006"/>
      <c r="IR533" s="996">
        <v>-0.83599999999999852</v>
      </c>
      <c r="IS533" s="1006"/>
      <c r="IT533" s="996">
        <v>0</v>
      </c>
      <c r="IU533" s="1006"/>
      <c r="IV533" s="996">
        <v>0</v>
      </c>
      <c r="IW533" s="1006"/>
      <c r="IX533" s="996">
        <v>0</v>
      </c>
      <c r="IY533" s="1006"/>
      <c r="IZ533" s="996">
        <v>0</v>
      </c>
      <c r="JA533" s="1006"/>
      <c r="JB533" s="996">
        <v>-0.8360000000000003</v>
      </c>
      <c r="JC533" s="1006"/>
      <c r="JD533" s="996">
        <v>0</v>
      </c>
      <c r="JE533" s="1006" t="s">
        <v>223</v>
      </c>
      <c r="JF533" s="996">
        <v>-2.3831015999999998</v>
      </c>
      <c r="JG533" s="1006"/>
      <c r="JH533" s="996">
        <v>-0.71009839999999969</v>
      </c>
      <c r="JI533" s="1006"/>
      <c r="JJ533" s="996">
        <v>0</v>
      </c>
      <c r="JK533" s="1007"/>
      <c r="JL533" s="1007">
        <v>0</v>
      </c>
      <c r="JM533" s="1007" t="s">
        <v>199</v>
      </c>
      <c r="JN533" s="1007">
        <v>-4.4308000000000014</v>
      </c>
      <c r="JO533" s="1008"/>
      <c r="JP533" s="1007">
        <v>0</v>
      </c>
      <c r="JQ533" s="1008">
        <v>0</v>
      </c>
      <c r="JR533" s="1007">
        <v>0</v>
      </c>
      <c r="JS533" s="1008">
        <v>0</v>
      </c>
      <c r="JT533" s="1007">
        <v>0</v>
      </c>
      <c r="JU533" s="1008"/>
      <c r="JV533" s="1007">
        <v>0</v>
      </c>
      <c r="JW533" s="1008" t="s">
        <v>203</v>
      </c>
      <c r="JX533" s="1007">
        <v>-15.298799999999993</v>
      </c>
      <c r="JY533" s="1008" t="s">
        <v>324</v>
      </c>
      <c r="JZ533" s="1007">
        <v>35.362799999999993</v>
      </c>
      <c r="KA533" s="1008"/>
      <c r="KB533" s="1007"/>
      <c r="KC533" s="1008"/>
      <c r="KD533" s="1007"/>
      <c r="KE533" s="1008"/>
      <c r="KF533" s="1007"/>
      <c r="KG533" s="1008"/>
      <c r="KH533" s="1007"/>
      <c r="KI533" s="1008"/>
      <c r="KJ533" s="1007"/>
      <c r="KK533" s="1008"/>
      <c r="KL533" s="1007"/>
      <c r="KM533" s="1008"/>
      <c r="KN533" s="1007"/>
      <c r="KO533" s="1008"/>
      <c r="KP533" s="1007"/>
      <c r="KQ533" s="1008"/>
      <c r="KR533" s="1007"/>
      <c r="KS533" s="1008"/>
      <c r="KT533" s="1007"/>
      <c r="KU533" s="1008"/>
      <c r="KV533" s="1007"/>
      <c r="KW533" s="1008"/>
      <c r="KX533" s="1007"/>
      <c r="KY533" s="1008"/>
      <c r="KZ533" s="1007"/>
      <c r="LA533" s="1008"/>
      <c r="LB533" s="1007"/>
      <c r="LC533" s="1008"/>
      <c r="LD533" s="1007"/>
      <c r="LE533" s="1008"/>
      <c r="LF533" s="1007"/>
      <c r="LG533" s="1008"/>
      <c r="LH533" s="1007"/>
      <c r="LI533" s="1008"/>
      <c r="LJ533" s="1007"/>
      <c r="LK533" s="1008"/>
      <c r="LL533" s="1007"/>
      <c r="LM533" s="1008"/>
      <c r="LN533" s="1007"/>
      <c r="LO533" s="1008"/>
      <c r="LP533" s="1007"/>
      <c r="LQ533" s="1008"/>
      <c r="LR533" s="1007"/>
      <c r="LS533" s="1008"/>
      <c r="LT533" s="1007"/>
      <c r="LU533" s="1008"/>
      <c r="LV533" s="1007"/>
      <c r="LW533" s="1008"/>
      <c r="LX533" s="1007"/>
      <c r="LY533" s="1009"/>
      <c r="LZ533" s="1010"/>
      <c r="MA533" s="1011"/>
      <c r="MB533" s="1012"/>
      <c r="MC533" s="995"/>
      <c r="MD533" s="996"/>
      <c r="ME533" s="997" t="s">
        <v>202</v>
      </c>
      <c r="MF533" s="997"/>
      <c r="MG533" s="998"/>
      <c r="NR533" s="1000"/>
      <c r="NS533" s="1000"/>
      <c r="NT533" s="1001"/>
      <c r="NU533" s="1000"/>
      <c r="NV533" s="1001"/>
      <c r="NX533" s="1002"/>
      <c r="NZ533" s="1001"/>
      <c r="OA533" s="1001"/>
      <c r="OC533" s="1003"/>
      <c r="OD533" s="1003"/>
      <c r="OE533" s="1001"/>
      <c r="OF533" s="1003"/>
      <c r="OG533" s="1003"/>
      <c r="QX533" s="1000">
        <f>CN533-CA533</f>
        <v>21</v>
      </c>
      <c r="ASU533" s="999" t="s">
        <v>315</v>
      </c>
    </row>
    <row r="534" spans="1:466 1191:1191" ht="21" customHeight="1" x14ac:dyDescent="0.25">
      <c r="A534" s="982">
        <f t="shared" si="372"/>
        <v>3239</v>
      </c>
      <c r="B534" s="124">
        <f>SUBTOTAL(103,$J$29:J534)</f>
        <v>506</v>
      </c>
      <c r="C534" s="126">
        <v>45068</v>
      </c>
      <c r="D534" s="124" t="s">
        <v>176</v>
      </c>
      <c r="E534" s="127" t="s">
        <v>177</v>
      </c>
      <c r="F534" s="128" t="s">
        <v>177</v>
      </c>
      <c r="G534" s="127" t="s">
        <v>178</v>
      </c>
      <c r="H534" s="127" t="s">
        <v>179</v>
      </c>
      <c r="I534" s="127" t="s">
        <v>1249</v>
      </c>
      <c r="J534" s="152">
        <v>3239</v>
      </c>
      <c r="K534" s="127" t="s">
        <v>1249</v>
      </c>
      <c r="L534" s="130">
        <v>42124</v>
      </c>
      <c r="M534" s="127" t="s">
        <v>230</v>
      </c>
      <c r="N534" s="127" t="s">
        <v>245</v>
      </c>
      <c r="O534" s="127" t="s">
        <v>185</v>
      </c>
      <c r="P534" s="127" t="s">
        <v>186</v>
      </c>
      <c r="Q534" s="85" t="str">
        <f t="shared" si="423"/>
        <v/>
      </c>
      <c r="R534" s="130"/>
      <c r="S534" s="128"/>
      <c r="T534" s="131"/>
      <c r="U534" s="132">
        <v>203</v>
      </c>
      <c r="V534" s="121">
        <v>218.2</v>
      </c>
      <c r="W534" s="116">
        <v>0.98</v>
      </c>
      <c r="X534" s="116">
        <v>1.66</v>
      </c>
      <c r="Y534" s="116">
        <f t="shared" si="408"/>
        <v>0.98</v>
      </c>
      <c r="Z534" s="133">
        <v>1.454</v>
      </c>
      <c r="AA534" s="133">
        <v>0.83599999999999997</v>
      </c>
      <c r="AB534" s="133">
        <v>0.72</v>
      </c>
      <c r="AC534" s="121">
        <v>34.299999999999997</v>
      </c>
      <c r="AD534" s="134">
        <v>1.17</v>
      </c>
      <c r="AE534" s="124" t="s">
        <v>518</v>
      </c>
      <c r="AF534" s="128">
        <v>9.19</v>
      </c>
      <c r="AG534" s="128">
        <v>2077.6</v>
      </c>
      <c r="AH534" s="127">
        <v>2800</v>
      </c>
      <c r="AI534" s="127">
        <v>2800</v>
      </c>
      <c r="AJ534" s="135"/>
      <c r="AK534" s="128"/>
      <c r="AL534" s="131"/>
      <c r="AM534" s="124" t="s">
        <v>232</v>
      </c>
      <c r="AN534" s="136" t="s">
        <v>1881</v>
      </c>
      <c r="AO534" s="137">
        <v>46.8</v>
      </c>
      <c r="AP534" s="128">
        <v>2104</v>
      </c>
      <c r="AQ534" s="128">
        <v>173.4</v>
      </c>
      <c r="AR534" s="128" t="s">
        <v>1882</v>
      </c>
      <c r="AS534" s="128">
        <v>114</v>
      </c>
      <c r="AT534" s="122">
        <v>7.37</v>
      </c>
      <c r="AU534" s="124" t="s">
        <v>189</v>
      </c>
      <c r="AV534" s="115">
        <f>VLOOKUP(J534,'[63]ТР нефть'!$J$28:$BP$638,39,0)</f>
        <v>324.99999492199998</v>
      </c>
      <c r="AW534" s="115" t="str">
        <f>VLOOKUP(J534,'[63]ТР нефть'!$J$28:$BP$638,40,0)</f>
        <v>ГП</v>
      </c>
      <c r="AX534" s="115">
        <f>VLOOKUP(J534,'[63]ТР нефть'!$J$28:$BP$638,41,0)</f>
        <v>630.00001992199998</v>
      </c>
      <c r="AY534" s="115" t="str">
        <f>VLOOKUP(J534,'[63]ТР нефть'!$J$28:$BP$638,42,0)</f>
        <v>ГП</v>
      </c>
      <c r="AZ534" s="115">
        <f>VLOOKUP(J534,'[63]ТР нефть'!$J$28:$BP$638,43,0)</f>
        <v>899.99998593800001</v>
      </c>
      <c r="BA534" s="115" t="str">
        <f>VLOOKUP(J534,'[63]ТР нефть'!$J$28:$BP$638,44,0)</f>
        <v>ГК 80 1/8</v>
      </c>
      <c r="BB534" s="115">
        <f>VLOOKUP(J534,'[63]ТР нефть'!$J$28:$BP$638,45,0)</f>
        <v>1149.9999820309999</v>
      </c>
      <c r="BC534" s="115" t="str">
        <f>VLOOKUP(J534,'[63]ТР нефть'!$J$28:$BP$638,46,0)</f>
        <v>ГК 79 1/8</v>
      </c>
      <c r="BD534" s="115">
        <f>VLOOKUP(J534,'[63]ТР нефть'!$J$28:$BP$638,47,0)</f>
        <v>1360.0000382809999</v>
      </c>
      <c r="BE534" s="115" t="str">
        <f>VLOOKUP(J534,'[63]ТР нефть'!$J$28:$BP$638,48,0)</f>
        <v>ГК 79 1/8</v>
      </c>
      <c r="BF534" s="115" t="str">
        <f>VLOOKUP(J534,'[63]ТР нефть'!$J$28:$BP$638,49,0)</f>
        <v>-</v>
      </c>
      <c r="BG534" s="115" t="str">
        <f>VLOOKUP(J534,'[63]ТР нефть'!$J$28:$BP$638,50,0)</f>
        <v>-</v>
      </c>
      <c r="BH534" s="115">
        <f>VLOOKUP(J534,'[63]ТР нефть'!$J$28:$BP$638,51,0)</f>
        <v>1550</v>
      </c>
      <c r="BI534" s="115" t="str">
        <f>VLOOKUP(J534,'[63]ТР нефть'!$J$28:$BP$638,52,0)</f>
        <v>закрыт</v>
      </c>
      <c r="BJ534" s="115" t="str">
        <f>IF(IFERROR(VLOOKUP(J534,'[63]ТР нефть'!$J$28:$BP$638,53,0),"-")=0,"-",IFERROR(VLOOKUP(J534,'[63]ТР нефть'!$J$28:$BP$638,53,0),"-"))</f>
        <v>-</v>
      </c>
      <c r="BK534" s="138" t="str">
        <f>IF(IFERROR(VLOOKUP(J534,'[63]ТР нефть'!$J$28:$BP$638,54,0),"-")=0,"-",IFERROR(VLOOKUP(J534,'[63]ТР нефть'!$J$28:$BP$638,54,0),"-"))</f>
        <v>-</v>
      </c>
      <c r="BL534" s="138" t="str">
        <f>IF(IFERROR(VLOOKUP(J534,'[63]ТР нефть'!$J$28:$BP$638,55,0),"-")=0,"-",IFERROR(VLOOKUP(J534,'[63]ТР нефть'!$J$28:$BP$638,55,0),"-"))</f>
        <v>-</v>
      </c>
      <c r="BM534" s="138" t="str">
        <f>IF(IFERROR(VLOOKUP(J534,'[63]ТР нефть'!$J$28:$BP$638,56,0),"-")=0,"-",IFERROR(VLOOKUP(J534,'[63]ТР нефть'!$J$28:$BP$638,56,0),"-"))</f>
        <v>-</v>
      </c>
      <c r="BN534" s="138" t="str">
        <f>IF(IFERROR(VLOOKUP(J534,'[63]ТР нефть'!$J$28:$BP$638,57,0),"-")=0,"-",IFERROR(VLOOKUP(J534,'[63]ТР нефть'!$J$28:$BP$638,57,0),"-"))</f>
        <v>-</v>
      </c>
      <c r="BO534" s="115" t="str">
        <f>IF(IFERROR(VLOOKUP(J534,'[63]ТР нефть'!$J$28:$BP$638,58,0),"-")=0,"-",IFERROR(VLOOKUP(J534,'[63]ТР нефть'!$J$28:$BP$638,58,0),"-"))</f>
        <v>-</v>
      </c>
      <c r="BP534" s="115" t="str">
        <f>IF(IFERROR(VLOOKUP(J534,'[63]ТР нефть'!$J$28:$BP$638,59,0),"-")=0,"-",IFERROR(VLOOKUP(J534,'[63]ТР нефть'!$J$28:$BP$638,59,0),"-"))</f>
        <v>-</v>
      </c>
      <c r="BQ534" s="138">
        <v>1935</v>
      </c>
      <c r="BR534" s="128">
        <v>1759.2</v>
      </c>
      <c r="BS534" s="115">
        <f t="shared" si="437"/>
        <v>175.79999999999995</v>
      </c>
      <c r="BT534" s="128">
        <v>73</v>
      </c>
      <c r="BU534" s="128">
        <v>5.5</v>
      </c>
      <c r="BV534" s="127">
        <v>18</v>
      </c>
      <c r="BW534" s="127" t="s">
        <v>217</v>
      </c>
      <c r="BX534" s="127" t="s">
        <v>195</v>
      </c>
      <c r="BY534" s="139">
        <v>24</v>
      </c>
      <c r="BZ534" s="139">
        <v>0</v>
      </c>
      <c r="CA534" s="138">
        <v>27</v>
      </c>
      <c r="CB534" s="138">
        <v>36</v>
      </c>
      <c r="CC534" s="138">
        <v>26</v>
      </c>
      <c r="CD534" s="135">
        <v>45017</v>
      </c>
      <c r="CE534" s="138">
        <v>99</v>
      </c>
      <c r="CF534" s="138">
        <v>76</v>
      </c>
      <c r="CG534" s="138" t="str">
        <f t="shared" si="433"/>
        <v>В работе</v>
      </c>
      <c r="CH534" s="138" t="s">
        <v>196</v>
      </c>
      <c r="CI534" s="138">
        <v>5</v>
      </c>
      <c r="CJ534" s="139"/>
      <c r="CK534" s="139">
        <f t="shared" si="432"/>
        <v>18</v>
      </c>
      <c r="CL534" s="99"/>
      <c r="CM534" s="99"/>
      <c r="CN534" s="140">
        <v>45</v>
      </c>
      <c r="CO534" s="141">
        <f t="shared" si="373"/>
        <v>11.286</v>
      </c>
      <c r="CP534" s="142">
        <v>13.5</v>
      </c>
      <c r="CQ534" s="143">
        <v>0</v>
      </c>
      <c r="CR534" s="138">
        <v>18</v>
      </c>
      <c r="CS534" s="139">
        <v>7.2</v>
      </c>
      <c r="CT534" s="138"/>
      <c r="CU534" s="138">
        <f t="shared" si="418"/>
        <v>10.8</v>
      </c>
      <c r="CV534" s="115">
        <f t="shared" si="419"/>
        <v>956.93779904306223</v>
      </c>
      <c r="CW534" s="115">
        <f t="shared" si="374"/>
        <v>637.95853269537486</v>
      </c>
      <c r="CX534" s="133">
        <f t="shared" si="420"/>
        <v>0.25</v>
      </c>
      <c r="CY534" s="116"/>
      <c r="CZ534" s="131"/>
      <c r="DA534" s="145" t="str">
        <f t="shared" si="375"/>
        <v>Газлифт</v>
      </c>
      <c r="DB534" s="146">
        <f t="shared" si="390"/>
        <v>11.286</v>
      </c>
      <c r="DC534" s="142">
        <f t="shared" si="402"/>
        <v>13.5</v>
      </c>
      <c r="DD534" s="119">
        <f t="shared" si="416"/>
        <v>0</v>
      </c>
      <c r="DE534" s="115">
        <f t="shared" si="392"/>
        <v>10.8</v>
      </c>
      <c r="DF534" s="121">
        <f t="shared" si="376"/>
        <v>7.2</v>
      </c>
      <c r="DG534" s="115">
        <f t="shared" si="377"/>
        <v>956.93779904306223</v>
      </c>
      <c r="DH534" s="115">
        <f t="shared" si="378"/>
        <v>45</v>
      </c>
      <c r="DI534" s="147"/>
      <c r="DJ534" s="111">
        <v>43525</v>
      </c>
      <c r="DK534" s="112">
        <v>42063</v>
      </c>
      <c r="DL534" s="113">
        <f t="shared" ca="1" si="424"/>
        <v>3041</v>
      </c>
      <c r="DM534" s="114"/>
      <c r="DN534" s="114"/>
      <c r="DO534" s="114"/>
      <c r="DP534" s="114"/>
      <c r="DQ534" s="112">
        <v>42124</v>
      </c>
      <c r="DR534" s="114" t="s">
        <v>1580</v>
      </c>
      <c r="DS534" s="114"/>
      <c r="DT534" s="115">
        <v>50</v>
      </c>
      <c r="DU534" s="116">
        <f t="shared" si="425"/>
        <v>0.27551020408163263</v>
      </c>
      <c r="DV534" s="117">
        <f t="shared" si="428"/>
        <v>11.286</v>
      </c>
      <c r="DW534" s="118">
        <f t="shared" si="429"/>
        <v>13.5</v>
      </c>
      <c r="DX534" s="119">
        <f t="shared" si="430"/>
        <v>0</v>
      </c>
      <c r="DY534" s="115">
        <f t="shared" si="431"/>
        <v>10.8</v>
      </c>
      <c r="DZ534" s="117">
        <f t="shared" si="426"/>
        <v>0</v>
      </c>
      <c r="EA534" s="120">
        <f t="shared" si="426"/>
        <v>0</v>
      </c>
      <c r="EB534" s="119">
        <f t="shared" si="387"/>
        <v>0</v>
      </c>
      <c r="EC534" s="121">
        <f t="shared" si="415"/>
        <v>0</v>
      </c>
      <c r="ED534" s="122"/>
      <c r="EE534" s="145">
        <v>18</v>
      </c>
      <c r="EF534" s="115">
        <v>25</v>
      </c>
      <c r="EG534" s="115">
        <v>36</v>
      </c>
      <c r="EH534" s="115">
        <v>24</v>
      </c>
      <c r="EI534" s="128" t="s">
        <v>195</v>
      </c>
      <c r="EJ534" s="121">
        <v>24</v>
      </c>
      <c r="EK534" s="121">
        <v>0</v>
      </c>
      <c r="EL534" s="149">
        <v>11.286</v>
      </c>
      <c r="EM534" s="142">
        <v>13.5</v>
      </c>
      <c r="EN534" s="119">
        <v>0</v>
      </c>
      <c r="EO534" s="115">
        <v>18</v>
      </c>
      <c r="EP534" s="115">
        <v>956.93779904306223</v>
      </c>
      <c r="EQ534" s="115">
        <v>76</v>
      </c>
      <c r="ER534" s="115">
        <v>7.2</v>
      </c>
      <c r="ES534" s="115">
        <v>45</v>
      </c>
      <c r="ET534" s="150">
        <v>0.25</v>
      </c>
      <c r="EU534" s="145">
        <f t="shared" si="400"/>
        <v>18</v>
      </c>
      <c r="EV534" s="115">
        <f t="shared" si="380"/>
        <v>27</v>
      </c>
      <c r="EW534" s="115">
        <f t="shared" si="380"/>
        <v>36</v>
      </c>
      <c r="EX534" s="115">
        <f t="shared" si="380"/>
        <v>26</v>
      </c>
      <c r="EY534" s="115" t="str">
        <f t="shared" si="434"/>
        <v>Постоянный</v>
      </c>
      <c r="EZ534" s="115">
        <f t="shared" si="434"/>
        <v>24</v>
      </c>
      <c r="FA534" s="115">
        <f t="shared" si="434"/>
        <v>0</v>
      </c>
      <c r="FB534" s="149">
        <f t="shared" si="405"/>
        <v>11.286</v>
      </c>
      <c r="FC534" s="142">
        <f t="shared" si="405"/>
        <v>13.5</v>
      </c>
      <c r="FD534" s="119">
        <f t="shared" si="405"/>
        <v>0</v>
      </c>
      <c r="FE534" s="121">
        <f t="shared" si="405"/>
        <v>18</v>
      </c>
      <c r="FF534" s="121">
        <f t="shared" si="407"/>
        <v>956.93779904306223</v>
      </c>
      <c r="FG534" s="121">
        <f t="shared" si="381"/>
        <v>76</v>
      </c>
      <c r="FH534" s="121">
        <f t="shared" si="436"/>
        <v>7.2</v>
      </c>
      <c r="FI534" s="121">
        <f t="shared" si="427"/>
        <v>45</v>
      </c>
      <c r="FJ534" s="144">
        <f t="shared" si="382"/>
        <v>0.25</v>
      </c>
      <c r="FK534" s="132">
        <f t="shared" si="383"/>
        <v>0</v>
      </c>
      <c r="FL534" s="115">
        <f t="shared" si="383"/>
        <v>2</v>
      </c>
      <c r="FM534" s="115">
        <f t="shared" si="383"/>
        <v>0</v>
      </c>
      <c r="FN534" s="115">
        <f t="shared" si="371"/>
        <v>2</v>
      </c>
      <c r="FO534" s="115">
        <f t="shared" si="439"/>
        <v>0</v>
      </c>
      <c r="FP534" s="115">
        <f t="shared" si="439"/>
        <v>0</v>
      </c>
      <c r="FQ534" s="149">
        <f t="shared" si="439"/>
        <v>0</v>
      </c>
      <c r="FR534" s="142">
        <f t="shared" si="439"/>
        <v>0</v>
      </c>
      <c r="FS534" s="119">
        <f t="shared" si="439"/>
        <v>0</v>
      </c>
      <c r="FT534" s="121">
        <f t="shared" si="438"/>
        <v>0</v>
      </c>
      <c r="FU534" s="121">
        <f>FG534-EQ534</f>
        <v>0</v>
      </c>
      <c r="FV534" s="121">
        <f t="shared" si="384"/>
        <v>0</v>
      </c>
      <c r="FW534" s="121">
        <f t="shared" si="385"/>
        <v>0</v>
      </c>
      <c r="FX534" s="121">
        <f t="shared" si="386"/>
        <v>0</v>
      </c>
      <c r="FY534" s="144">
        <f t="shared" si="386"/>
        <v>0</v>
      </c>
      <c r="FZ534" s="1052"/>
      <c r="GA534" s="151"/>
      <c r="GB534" s="1052"/>
      <c r="GC534" s="151"/>
      <c r="GD534" s="997" t="s">
        <v>220</v>
      </c>
      <c r="GE534" s="1004"/>
      <c r="GF534" s="1004">
        <v>0</v>
      </c>
      <c r="GG534" s="1004"/>
      <c r="GH534" s="1004">
        <v>-0.50159999999999982</v>
      </c>
      <c r="GI534" s="1052"/>
      <c r="GJ534" s="996">
        <v>0</v>
      </c>
      <c r="GK534" s="1052"/>
      <c r="GL534" s="996">
        <v>8.3600000000000563E-2</v>
      </c>
      <c r="GM534" s="1005"/>
      <c r="GN534" s="996">
        <v>0</v>
      </c>
      <c r="GO534" s="1006"/>
      <c r="GP534" s="996">
        <v>0</v>
      </c>
      <c r="GQ534" s="1006" t="s">
        <v>240</v>
      </c>
      <c r="GR534" s="996">
        <v>1.5633199999999992</v>
      </c>
      <c r="GS534" s="1006" t="s">
        <v>223</v>
      </c>
      <c r="GT534" s="996">
        <v>-1.5633199999999992</v>
      </c>
      <c r="GU534" s="1006"/>
      <c r="GV534" s="996">
        <v>0.41799999999999926</v>
      </c>
      <c r="GW534" s="1006"/>
      <c r="GX534" s="996">
        <v>-0.41799999999999926</v>
      </c>
      <c r="GY534" s="1006" t="s">
        <v>223</v>
      </c>
      <c r="GZ534" s="996">
        <v>2.09</v>
      </c>
      <c r="HA534" s="1006" t="s">
        <v>223</v>
      </c>
      <c r="HB534" s="996">
        <v>-2.09</v>
      </c>
      <c r="HC534" s="1006"/>
      <c r="HD534" s="996">
        <v>0</v>
      </c>
      <c r="HE534" s="1006"/>
      <c r="HF534" s="996">
        <v>0</v>
      </c>
      <c r="HG534" s="1006"/>
      <c r="HH534" s="996">
        <v>0</v>
      </c>
      <c r="HI534" s="1006"/>
      <c r="HJ534" s="996">
        <v>0</v>
      </c>
      <c r="HK534" s="1006"/>
      <c r="HL534" s="996">
        <v>-0.51831999999999923</v>
      </c>
      <c r="HM534" s="1006"/>
      <c r="HN534" s="996">
        <v>0</v>
      </c>
      <c r="HO534" s="1006"/>
      <c r="HP534" s="996">
        <v>0</v>
      </c>
      <c r="HQ534" s="1006"/>
      <c r="HR534" s="996">
        <v>-0.31768000000000107</v>
      </c>
      <c r="HS534" s="1006" t="s">
        <v>199</v>
      </c>
      <c r="HT534" s="996">
        <v>4.18</v>
      </c>
      <c r="HU534" s="1006" t="s">
        <v>199</v>
      </c>
      <c r="HV534" s="996">
        <v>-1.8700483999999999</v>
      </c>
      <c r="HW534" s="1006"/>
      <c r="HX534" s="996">
        <v>0</v>
      </c>
      <c r="HY534" s="1006"/>
      <c r="HZ534" s="996">
        <v>0</v>
      </c>
      <c r="IA534" s="1006"/>
      <c r="IB534" s="996">
        <v>0</v>
      </c>
      <c r="IC534" s="1006"/>
      <c r="ID534" s="996">
        <v>0</v>
      </c>
      <c r="IE534" s="1006"/>
      <c r="IF534" s="996">
        <v>-0.44067900800000182</v>
      </c>
      <c r="IG534" s="1006"/>
      <c r="IH534" s="996">
        <v>0</v>
      </c>
      <c r="II534" s="1006"/>
      <c r="IJ534" s="996">
        <v>0</v>
      </c>
      <c r="IK534" s="1006" t="s">
        <v>204</v>
      </c>
      <c r="IL534" s="996">
        <v>-10.920569351999998</v>
      </c>
      <c r="IM534" s="1006"/>
      <c r="IN534" s="996">
        <v>0</v>
      </c>
      <c r="IO534" s="1006" t="s">
        <v>199</v>
      </c>
      <c r="IP534" s="996">
        <v>1.638066760000001</v>
      </c>
      <c r="IQ534" s="1006" t="s">
        <v>199</v>
      </c>
      <c r="IR534" s="996">
        <v>6.8270267999999987</v>
      </c>
      <c r="IS534" s="1006"/>
      <c r="IT534" s="996">
        <v>0</v>
      </c>
      <c r="IU534" s="1006"/>
      <c r="IV534" s="996">
        <v>0</v>
      </c>
      <c r="IW534" s="1006"/>
      <c r="IX534" s="996">
        <v>0</v>
      </c>
      <c r="IY534" s="1006" t="s">
        <v>199</v>
      </c>
      <c r="IZ534" s="996">
        <v>-6.2542497600000004</v>
      </c>
      <c r="JA534" s="1006"/>
      <c r="JB534" s="996">
        <v>0</v>
      </c>
      <c r="JC534" s="1006"/>
      <c r="JD534" s="996">
        <v>4.5026959999997729E-2</v>
      </c>
      <c r="JE534" s="1006"/>
      <c r="JF534" s="996">
        <v>0</v>
      </c>
      <c r="JG534" s="1006"/>
      <c r="JH534" s="996">
        <v>0</v>
      </c>
      <c r="JI534" s="1006"/>
      <c r="JJ534" s="996">
        <v>0</v>
      </c>
      <c r="JK534" s="1007" t="s">
        <v>204</v>
      </c>
      <c r="JL534" s="1007">
        <v>3.1839060000000039</v>
      </c>
      <c r="JM534" s="1007"/>
      <c r="JN534" s="1007">
        <v>0</v>
      </c>
      <c r="JO534" s="1008"/>
      <c r="JP534" s="1007">
        <v>0</v>
      </c>
      <c r="JQ534" s="1008" t="s">
        <v>199</v>
      </c>
      <c r="JR534" s="1007">
        <v>3.6115199999999987</v>
      </c>
      <c r="JS534" s="1008" t="s">
        <v>204</v>
      </c>
      <c r="JT534" s="1007">
        <v>-1.6720000000000006</v>
      </c>
      <c r="JU534" s="1008"/>
      <c r="JV534" s="1007">
        <v>0</v>
      </c>
      <c r="JW534" s="1008" t="s">
        <v>199</v>
      </c>
      <c r="JX534" s="1007">
        <v>-1.8391999999999982</v>
      </c>
      <c r="JY534" s="1008" t="s">
        <v>204</v>
      </c>
      <c r="JZ534" s="1007">
        <v>-1.9228000000000023</v>
      </c>
      <c r="KA534" s="1008" t="s">
        <v>204</v>
      </c>
      <c r="KB534" s="1007">
        <v>2.0063999999999993</v>
      </c>
      <c r="KC534" s="1008"/>
      <c r="KD534" s="1007">
        <v>0</v>
      </c>
      <c r="KE534" s="1008" t="s">
        <v>206</v>
      </c>
      <c r="KF534" s="1007">
        <v>3.6784000000000017</v>
      </c>
      <c r="KG534" s="1008"/>
      <c r="KH534" s="1007">
        <v>0</v>
      </c>
      <c r="KI534" s="1008"/>
      <c r="KJ534" s="1007">
        <v>0</v>
      </c>
      <c r="KK534" s="1008"/>
      <c r="KL534" s="1007">
        <v>0</v>
      </c>
      <c r="KM534" s="1008" t="s">
        <v>206</v>
      </c>
      <c r="KN534" s="1007">
        <v>-2.5180319999999998</v>
      </c>
      <c r="KO534" s="1008" t="s">
        <v>206</v>
      </c>
      <c r="KP534" s="1007">
        <v>1.7897087999999997</v>
      </c>
      <c r="KQ534" s="1008" t="s">
        <v>206</v>
      </c>
      <c r="KR534" s="1007">
        <v>0.65957055999999881</v>
      </c>
      <c r="KS534" s="1008">
        <v>0</v>
      </c>
      <c r="KT534" s="1007">
        <v>0</v>
      </c>
      <c r="KU534" s="1008">
        <v>0</v>
      </c>
      <c r="KV534" s="1007">
        <v>0</v>
      </c>
      <c r="KW534" s="1008">
        <v>0</v>
      </c>
      <c r="KX534" s="1007">
        <v>0</v>
      </c>
      <c r="KY534" s="1008">
        <v>0</v>
      </c>
      <c r="KZ534" s="1007">
        <v>0</v>
      </c>
      <c r="LA534" s="1008">
        <v>0</v>
      </c>
      <c r="LB534" s="1007">
        <v>0</v>
      </c>
      <c r="LC534" s="1008" t="s">
        <v>204</v>
      </c>
      <c r="LD534" s="1007">
        <v>-0.76819705599999999</v>
      </c>
      <c r="LE534" s="1008">
        <v>0</v>
      </c>
      <c r="LF534" s="1007">
        <v>0</v>
      </c>
      <c r="LG534" s="1008">
        <v>0</v>
      </c>
      <c r="LH534" s="1007">
        <v>0</v>
      </c>
      <c r="LI534" s="1008" t="s">
        <v>204</v>
      </c>
      <c r="LJ534" s="1007">
        <v>2.5801401120000005</v>
      </c>
      <c r="LK534" s="1008">
        <v>0</v>
      </c>
      <c r="LL534" s="1007">
        <v>0</v>
      </c>
      <c r="LM534" s="1008" t="s">
        <v>555</v>
      </c>
      <c r="LN534" s="1007">
        <v>-1.3944399999999999</v>
      </c>
      <c r="LO534" s="1008">
        <v>0</v>
      </c>
      <c r="LP534" s="1007">
        <v>-1.4194945600000004</v>
      </c>
      <c r="LQ534" s="1008" t="s">
        <v>204</v>
      </c>
      <c r="LR534" s="1007">
        <v>1.4194945600000004</v>
      </c>
      <c r="LS534" s="1008">
        <v>0</v>
      </c>
      <c r="LT534" s="1007">
        <v>0</v>
      </c>
      <c r="LU534" s="1008">
        <v>0</v>
      </c>
      <c r="LV534" s="1007">
        <v>0</v>
      </c>
      <c r="LW534" s="1008">
        <v>0</v>
      </c>
      <c r="LX534" s="1007">
        <v>0</v>
      </c>
      <c r="LY534" s="1009">
        <v>0</v>
      </c>
      <c r="LZ534" s="1010">
        <v>0</v>
      </c>
      <c r="MA534" s="1011">
        <v>0</v>
      </c>
      <c r="MB534" s="1012">
        <v>1.1566240000000001</v>
      </c>
      <c r="MC534" s="995"/>
      <c r="MD534" s="996"/>
      <c r="ME534" s="997" t="s">
        <v>220</v>
      </c>
      <c r="MF534" s="997"/>
      <c r="MG534" s="998"/>
      <c r="NR534" s="1000"/>
      <c r="NS534" s="1000"/>
      <c r="NT534" s="1001"/>
      <c r="NU534" s="1000"/>
      <c r="NV534" s="1001"/>
      <c r="NX534" s="1002"/>
      <c r="NZ534" s="1001"/>
      <c r="OA534" s="1001"/>
      <c r="OC534" s="1003"/>
      <c r="OD534" s="1003"/>
      <c r="OE534" s="1001"/>
      <c r="OF534" s="1003"/>
      <c r="OG534" s="1003"/>
      <c r="QX534" s="1000">
        <f>CN534-CA534</f>
        <v>18</v>
      </c>
      <c r="ASU534" s="999" t="s">
        <v>208</v>
      </c>
    </row>
    <row r="535" spans="1:466 1191:1191" ht="21" customHeight="1" x14ac:dyDescent="0.25">
      <c r="A535" s="982">
        <f t="shared" si="372"/>
        <v>3240</v>
      </c>
      <c r="B535" s="124">
        <f>SUBTOTAL(103,$J$29:J535)</f>
        <v>507</v>
      </c>
      <c r="C535" s="126">
        <v>45068</v>
      </c>
      <c r="D535" s="124" t="s">
        <v>176</v>
      </c>
      <c r="E535" s="127" t="s">
        <v>177</v>
      </c>
      <c r="F535" s="128" t="s">
        <v>177</v>
      </c>
      <c r="G535" s="127" t="s">
        <v>178</v>
      </c>
      <c r="H535" s="127" t="s">
        <v>179</v>
      </c>
      <c r="I535" s="127" t="s">
        <v>1286</v>
      </c>
      <c r="J535" s="152">
        <v>3240</v>
      </c>
      <c r="K535" s="127" t="s">
        <v>1444</v>
      </c>
      <c r="L535" s="130">
        <v>42258</v>
      </c>
      <c r="M535" s="127" t="s">
        <v>230</v>
      </c>
      <c r="N535" s="127" t="s">
        <v>245</v>
      </c>
      <c r="O535" s="127" t="s">
        <v>185</v>
      </c>
      <c r="P535" s="127" t="s">
        <v>186</v>
      </c>
      <c r="Q535" s="85" t="str">
        <f t="shared" si="423"/>
        <v/>
      </c>
      <c r="R535" s="130"/>
      <c r="S535" s="128"/>
      <c r="T535" s="131"/>
      <c r="U535" s="132">
        <v>203</v>
      </c>
      <c r="V535" s="121">
        <v>218.2</v>
      </c>
      <c r="W535" s="116">
        <v>0.98</v>
      </c>
      <c r="X535" s="116">
        <v>1.66</v>
      </c>
      <c r="Y535" s="116">
        <f t="shared" si="408"/>
        <v>0.98</v>
      </c>
      <c r="Z535" s="133">
        <v>1.454</v>
      </c>
      <c r="AA535" s="133">
        <v>0.83599999999999997</v>
      </c>
      <c r="AB535" s="133">
        <v>0.72</v>
      </c>
      <c r="AC535" s="121">
        <v>34.299999999999997</v>
      </c>
      <c r="AD535" s="134">
        <v>1.17</v>
      </c>
      <c r="AE535" s="124">
        <v>177.8</v>
      </c>
      <c r="AF535" s="128">
        <v>9.19</v>
      </c>
      <c r="AG535" s="128">
        <v>2164</v>
      </c>
      <c r="AH535" s="127">
        <v>2775</v>
      </c>
      <c r="AI535" s="127">
        <v>2775</v>
      </c>
      <c r="AJ535" s="135"/>
      <c r="AK535" s="128"/>
      <c r="AL535" s="131"/>
      <c r="AM535" s="124" t="s">
        <v>232</v>
      </c>
      <c r="AN535" s="136" t="s">
        <v>1883</v>
      </c>
      <c r="AO535" s="137">
        <v>12.05</v>
      </c>
      <c r="AP535" s="128">
        <v>2164</v>
      </c>
      <c r="AQ535" s="128">
        <v>267.60000000000002</v>
      </c>
      <c r="AR535" s="128"/>
      <c r="AS535" s="128"/>
      <c r="AT535" s="122"/>
      <c r="AU535" s="124" t="s">
        <v>189</v>
      </c>
      <c r="AV535" s="115">
        <f>VLOOKUP(J535,'[63]ТР нефть'!$J$28:$BP$638,39,0)</f>
        <v>529.99998427699995</v>
      </c>
      <c r="AW535" s="115" t="str">
        <f>VLOOKUP(J535,'[63]ТР нефть'!$J$28:$BP$638,40,0)</f>
        <v>ГП</v>
      </c>
      <c r="AX535" s="115">
        <f>VLOOKUP(J535,'[63]ТР нефть'!$J$28:$BP$638,41,0)</f>
        <v>998.00003203100005</v>
      </c>
      <c r="AY535" s="115" t="str">
        <f>VLOOKUP(J535,'[63]ТР нефть'!$J$28:$BP$638,42,0)</f>
        <v>ГП</v>
      </c>
      <c r="AZ535" s="115">
        <f>VLOOKUP(J535,'[63]ТР нефть'!$J$28:$BP$638,43,0)</f>
        <v>1384.0000617190001</v>
      </c>
      <c r="BA535" s="115" t="str">
        <f>VLOOKUP(J535,'[63]ТР нефть'!$J$28:$BP$638,44,0)</f>
        <v>ГК 77 1/8</v>
      </c>
      <c r="BB535" s="115">
        <f>VLOOKUP(J535,'[63]ТР нефть'!$J$28:$BP$638,45,0)</f>
        <v>1685.0000332029999</v>
      </c>
      <c r="BC535" s="115" t="str">
        <f>VLOOKUP(J535,'[63]ТР нефть'!$J$28:$BP$638,46,0)</f>
        <v>ГК 77 1/8</v>
      </c>
      <c r="BD535" s="115">
        <f>VLOOKUP(J535,'[63]ТР нефть'!$J$28:$BP$638,47,0)</f>
        <v>1931.9999519529999</v>
      </c>
      <c r="BE535" s="115" t="str">
        <f>VLOOKUP(J535,'[63]ТР нефть'!$J$28:$BP$638,48,0)</f>
        <v>ЦКсОК 5/16</v>
      </c>
      <c r="BF535" s="115" t="str">
        <f>VLOOKUP(J535,'[63]ТР нефть'!$J$28:$BP$638,49,0)</f>
        <v>-</v>
      </c>
      <c r="BG535" s="115" t="str">
        <f>VLOOKUP(J535,'[63]ТР нефть'!$J$28:$BP$638,50,0)</f>
        <v>-</v>
      </c>
      <c r="BH535" s="115" t="str">
        <f>VLOOKUP(J535,'[63]ТР нефть'!$J$28:$BP$638,51,0)</f>
        <v>-</v>
      </c>
      <c r="BI535" s="115" t="str">
        <f>VLOOKUP(J535,'[63]ТР нефть'!$J$28:$BP$638,52,0)</f>
        <v>-</v>
      </c>
      <c r="BJ535" s="115" t="str">
        <f>IF(IFERROR(VLOOKUP(J535,'[63]ТР нефть'!$J$28:$BP$638,53,0),"-")=0,"-",IFERROR(VLOOKUP(J535,'[63]ТР нефть'!$J$28:$BP$638,53,0),"-"))</f>
        <v>-</v>
      </c>
      <c r="BK535" s="138" t="str">
        <f>IF(IFERROR(VLOOKUP(J535,'[63]ТР нефть'!$J$28:$BP$638,54,0),"-")=0,"-",IFERROR(VLOOKUP(J535,'[63]ТР нефть'!$J$28:$BP$638,54,0),"-"))</f>
        <v>-</v>
      </c>
      <c r="BL535" s="138" t="str">
        <f>IF(IFERROR(VLOOKUP(J535,'[63]ТР нефть'!$J$28:$BP$638,55,0),"-")=0,"-",IFERROR(VLOOKUP(J535,'[63]ТР нефть'!$J$28:$BP$638,55,0),"-"))</f>
        <v>-</v>
      </c>
      <c r="BM535" s="138" t="str">
        <f>IF(IFERROR(VLOOKUP(J535,'[63]ТР нефть'!$J$28:$BP$638,56,0),"-")=0,"-",IFERROR(VLOOKUP(J535,'[63]ТР нефть'!$J$28:$BP$638,56,0),"-"))</f>
        <v>-</v>
      </c>
      <c r="BN535" s="138" t="str">
        <f>IF(IFERROR(VLOOKUP(J535,'[63]ТР нефть'!$J$28:$BP$638,57,0),"-")=0,"-",IFERROR(VLOOKUP(J535,'[63]ТР нефть'!$J$28:$BP$638,57,0),"-"))</f>
        <v>-</v>
      </c>
      <c r="BO535" s="115" t="str">
        <f>IF(IFERROR(VLOOKUP(J535,'[63]ТР нефть'!$J$28:$BP$638,58,0),"-")=0,"-",IFERROR(VLOOKUP(J535,'[63]ТР нефть'!$J$28:$BP$638,58,0),"-"))</f>
        <v>-</v>
      </c>
      <c r="BP535" s="115" t="str">
        <f>IF(IFERROR(VLOOKUP(J535,'[63]ТР нефть'!$J$28:$BP$638,59,0),"-")=0,"-",IFERROR(VLOOKUP(J535,'[63]ТР нефть'!$J$28:$BP$638,59,0),"-"))</f>
        <v>-</v>
      </c>
      <c r="BQ535" s="138">
        <v>2175</v>
      </c>
      <c r="BR535" s="128">
        <v>1897.9</v>
      </c>
      <c r="BS535" s="115">
        <f t="shared" si="437"/>
        <v>277.09999999999991</v>
      </c>
      <c r="BT535" s="128">
        <v>73</v>
      </c>
      <c r="BU535" s="128">
        <v>5.5</v>
      </c>
      <c r="BV535" s="127">
        <v>18</v>
      </c>
      <c r="BW535" s="127" t="s">
        <v>217</v>
      </c>
      <c r="BX535" s="127" t="s">
        <v>195</v>
      </c>
      <c r="BY535" s="139">
        <v>24</v>
      </c>
      <c r="BZ535" s="139">
        <v>0</v>
      </c>
      <c r="CA535" s="138">
        <v>25</v>
      </c>
      <c r="CB535" s="138">
        <v>42</v>
      </c>
      <c r="CC535" s="138">
        <v>24</v>
      </c>
      <c r="CD535" s="135">
        <v>45017</v>
      </c>
      <c r="CE535" s="138">
        <v>82</v>
      </c>
      <c r="CF535" s="138">
        <v>70</v>
      </c>
      <c r="CG535" s="138" t="str">
        <f t="shared" si="433"/>
        <v>В работе</v>
      </c>
      <c r="CH535" s="138" t="s">
        <v>196</v>
      </c>
      <c r="CI535" s="138">
        <v>5</v>
      </c>
      <c r="CJ535" s="139"/>
      <c r="CK535" s="139">
        <f t="shared" si="432"/>
        <v>20</v>
      </c>
      <c r="CL535" s="99"/>
      <c r="CM535" s="99"/>
      <c r="CN535" s="140">
        <v>45</v>
      </c>
      <c r="CO535" s="141">
        <f t="shared" si="373"/>
        <v>9.1959999999999997</v>
      </c>
      <c r="CP535" s="142">
        <v>11</v>
      </c>
      <c r="CQ535" s="143">
        <v>0</v>
      </c>
      <c r="CR535" s="1018">
        <v>26</v>
      </c>
      <c r="CS535" s="139">
        <v>12</v>
      </c>
      <c r="CT535" s="138"/>
      <c r="CU535" s="138">
        <f t="shared" si="418"/>
        <v>14</v>
      </c>
      <c r="CV535" s="115">
        <f t="shared" si="419"/>
        <v>1522.4010439321444</v>
      </c>
      <c r="CW535" s="115">
        <f t="shared" si="374"/>
        <v>1304.9151805132667</v>
      </c>
      <c r="CX535" s="133">
        <f t="shared" si="420"/>
        <v>0.29729729729729731</v>
      </c>
      <c r="CY535" s="116"/>
      <c r="CZ535" s="131"/>
      <c r="DA535" s="145" t="str">
        <f t="shared" si="375"/>
        <v>Газлифт</v>
      </c>
      <c r="DB535" s="146">
        <f t="shared" si="390"/>
        <v>9.1959999999999997</v>
      </c>
      <c r="DC535" s="142">
        <f t="shared" si="402"/>
        <v>11</v>
      </c>
      <c r="DD535" s="119">
        <f t="shared" si="416"/>
        <v>0</v>
      </c>
      <c r="DE535" s="115">
        <f t="shared" si="392"/>
        <v>14</v>
      </c>
      <c r="DF535" s="121">
        <f t="shared" si="376"/>
        <v>12</v>
      </c>
      <c r="DG535" s="115">
        <f t="shared" si="377"/>
        <v>1522.4010439321444</v>
      </c>
      <c r="DH535" s="115">
        <f t="shared" si="378"/>
        <v>45</v>
      </c>
      <c r="DI535" s="147"/>
      <c r="DJ535" s="111">
        <v>43573</v>
      </c>
      <c r="DK535" s="112">
        <v>43970</v>
      </c>
      <c r="DL535" s="113">
        <f t="shared" ca="1" si="424"/>
        <v>1134</v>
      </c>
      <c r="DM535" s="114"/>
      <c r="DN535" s="114"/>
      <c r="DO535" s="114"/>
      <c r="DP535" s="114"/>
      <c r="DQ535" s="112">
        <v>42258</v>
      </c>
      <c r="DR535" s="114" t="s">
        <v>324</v>
      </c>
      <c r="DS535" s="114">
        <v>0</v>
      </c>
      <c r="DT535" s="115">
        <v>52</v>
      </c>
      <c r="DU535" s="116">
        <f t="shared" si="425"/>
        <v>0.36666666666666664</v>
      </c>
      <c r="DV535" s="117">
        <f t="shared" si="428"/>
        <v>9.1959999999999997</v>
      </c>
      <c r="DW535" s="118">
        <f t="shared" si="429"/>
        <v>11</v>
      </c>
      <c r="DX535" s="119">
        <f t="shared" si="430"/>
        <v>0</v>
      </c>
      <c r="DY535" s="115">
        <f t="shared" si="431"/>
        <v>14</v>
      </c>
      <c r="DZ535" s="117">
        <f t="shared" si="426"/>
        <v>0</v>
      </c>
      <c r="EA535" s="120">
        <f t="shared" si="426"/>
        <v>0</v>
      </c>
      <c r="EB535" s="119">
        <f t="shared" si="387"/>
        <v>0</v>
      </c>
      <c r="EC535" s="121">
        <f t="shared" si="415"/>
        <v>0</v>
      </c>
      <c r="ED535" s="122"/>
      <c r="EE535" s="145">
        <v>18</v>
      </c>
      <c r="EF535" s="115">
        <v>24</v>
      </c>
      <c r="EG535" s="115">
        <v>42</v>
      </c>
      <c r="EH535" s="115">
        <v>23</v>
      </c>
      <c r="EI535" s="128" t="s">
        <v>195</v>
      </c>
      <c r="EJ535" s="121">
        <v>24</v>
      </c>
      <c r="EK535" s="121">
        <v>0</v>
      </c>
      <c r="EL535" s="149">
        <v>5.3504000000000005</v>
      </c>
      <c r="EM535" s="142">
        <v>6.4</v>
      </c>
      <c r="EN535" s="119">
        <v>0</v>
      </c>
      <c r="EO535" s="115">
        <v>3.9</v>
      </c>
      <c r="EP535" s="115">
        <v>728.91746411483246</v>
      </c>
      <c r="EQ535" s="115">
        <v>70</v>
      </c>
      <c r="ER535" s="115">
        <v>0</v>
      </c>
      <c r="ES535" s="115">
        <v>45</v>
      </c>
      <c r="ET535" s="150">
        <v>0.17297297297297298</v>
      </c>
      <c r="EU535" s="145">
        <f t="shared" si="400"/>
        <v>18</v>
      </c>
      <c r="EV535" s="115">
        <f t="shared" si="380"/>
        <v>25</v>
      </c>
      <c r="EW535" s="115">
        <f t="shared" si="380"/>
        <v>42</v>
      </c>
      <c r="EX535" s="115">
        <f t="shared" si="380"/>
        <v>24</v>
      </c>
      <c r="EY535" s="115" t="str">
        <f t="shared" si="434"/>
        <v>Постоянный</v>
      </c>
      <c r="EZ535" s="115">
        <f t="shared" si="434"/>
        <v>24</v>
      </c>
      <c r="FA535" s="115">
        <f t="shared" si="434"/>
        <v>0</v>
      </c>
      <c r="FB535" s="149">
        <f t="shared" si="405"/>
        <v>9.1959999999999997</v>
      </c>
      <c r="FC535" s="142">
        <f t="shared" si="405"/>
        <v>11</v>
      </c>
      <c r="FD535" s="119">
        <f t="shared" si="405"/>
        <v>0</v>
      </c>
      <c r="FE535" s="121">
        <f t="shared" si="405"/>
        <v>26</v>
      </c>
      <c r="FF535" s="121">
        <f t="shared" si="407"/>
        <v>1522.4010439321444</v>
      </c>
      <c r="FG535" s="121">
        <f t="shared" si="381"/>
        <v>70</v>
      </c>
      <c r="FH535" s="121">
        <f t="shared" si="436"/>
        <v>12</v>
      </c>
      <c r="FI535" s="121">
        <f t="shared" si="427"/>
        <v>45</v>
      </c>
      <c r="FJ535" s="144">
        <f t="shared" si="382"/>
        <v>0.29729729729729731</v>
      </c>
      <c r="FK535" s="132">
        <f t="shared" si="383"/>
        <v>0</v>
      </c>
      <c r="FL535" s="115">
        <f t="shared" si="383"/>
        <v>1</v>
      </c>
      <c r="FM535" s="115">
        <f t="shared" si="383"/>
        <v>0</v>
      </c>
      <c r="FN535" s="115">
        <f t="shared" si="371"/>
        <v>1</v>
      </c>
      <c r="FO535" s="115">
        <f t="shared" si="439"/>
        <v>0</v>
      </c>
      <c r="FP535" s="115">
        <f t="shared" si="439"/>
        <v>0</v>
      </c>
      <c r="FQ535" s="149">
        <f t="shared" si="439"/>
        <v>3.8455999999999992</v>
      </c>
      <c r="FR535" s="142">
        <f t="shared" si="439"/>
        <v>4.5999999999999996</v>
      </c>
      <c r="FS535" s="119">
        <f t="shared" si="439"/>
        <v>0</v>
      </c>
      <c r="FT535" s="121">
        <f t="shared" si="438"/>
        <v>22.1</v>
      </c>
      <c r="FU535" s="121">
        <f t="shared" si="384"/>
        <v>0</v>
      </c>
      <c r="FV535" s="121">
        <f t="shared" si="384"/>
        <v>12</v>
      </c>
      <c r="FW535" s="121">
        <f t="shared" si="385"/>
        <v>793.48357981731192</v>
      </c>
      <c r="FX535" s="121">
        <f t="shared" si="386"/>
        <v>0</v>
      </c>
      <c r="FY535" s="144">
        <f t="shared" si="386"/>
        <v>0.12432432432432433</v>
      </c>
      <c r="FZ535" s="145" t="s">
        <v>199</v>
      </c>
      <c r="GA535" s="151" t="s">
        <v>201</v>
      </c>
      <c r="GB535" s="145" t="s">
        <v>199</v>
      </c>
      <c r="GC535" s="151" t="s">
        <v>1884</v>
      </c>
      <c r="GD535" s="997" t="s">
        <v>220</v>
      </c>
      <c r="GE535" s="1004" t="s">
        <v>199</v>
      </c>
      <c r="GF535" s="1004">
        <v>-4.5812799999999978</v>
      </c>
      <c r="GG535" s="1004" t="s">
        <v>204</v>
      </c>
      <c r="GH535" s="1004">
        <v>3.0665733999999985</v>
      </c>
      <c r="GI535" s="1052"/>
      <c r="GJ535" s="996">
        <v>0</v>
      </c>
      <c r="GK535" s="1052"/>
      <c r="GL535" s="996">
        <v>0</v>
      </c>
      <c r="GM535" s="1005"/>
      <c r="GN535" s="996">
        <v>0</v>
      </c>
      <c r="GO535" s="1006"/>
      <c r="GP535" s="996">
        <v>-3.4893400000000518E-2</v>
      </c>
      <c r="GQ535" s="1006"/>
      <c r="GR535" s="996">
        <v>-9.613999999977807E-4</v>
      </c>
      <c r="GS535" s="1006"/>
      <c r="GT535" s="996">
        <v>0</v>
      </c>
      <c r="GU535" s="1006"/>
      <c r="GV535" s="996">
        <v>-0.16719999999999935</v>
      </c>
      <c r="GW535" s="1006"/>
      <c r="GX535" s="996">
        <v>0</v>
      </c>
      <c r="GY535" s="1006" t="s">
        <v>199</v>
      </c>
      <c r="GZ535" s="996">
        <v>6.1546319999999985</v>
      </c>
      <c r="HA535" s="1006" t="s">
        <v>199</v>
      </c>
      <c r="HB535" s="996">
        <v>-7.2414320000000005</v>
      </c>
      <c r="HC535" s="1006"/>
      <c r="HD535" s="996">
        <v>0</v>
      </c>
      <c r="HE535" s="1006" t="s">
        <v>199</v>
      </c>
      <c r="HF535" s="996">
        <v>4.2014016000000005</v>
      </c>
      <c r="HG535" s="1006" t="s">
        <v>199</v>
      </c>
      <c r="HH535" s="996">
        <v>-3.5832966400000004</v>
      </c>
      <c r="HI535" s="1006" t="s">
        <v>223</v>
      </c>
      <c r="HJ535" s="996">
        <v>-1.4166521599999982</v>
      </c>
      <c r="HK535" s="1006"/>
      <c r="HL535" s="996">
        <v>0</v>
      </c>
      <c r="HM535" s="1006"/>
      <c r="HN535" s="996">
        <v>0</v>
      </c>
      <c r="HO535" s="1006"/>
      <c r="HP535" s="996">
        <v>0</v>
      </c>
      <c r="HQ535" s="1006"/>
      <c r="HR535" s="996">
        <v>0</v>
      </c>
      <c r="HS535" s="1006" t="s">
        <v>223</v>
      </c>
      <c r="HT535" s="996">
        <v>-4.1666240000000005</v>
      </c>
      <c r="HU535" s="1006" t="s">
        <v>199</v>
      </c>
      <c r="HV535" s="996">
        <v>2.4571711999999994</v>
      </c>
      <c r="HW535" s="1006"/>
      <c r="HX535" s="996">
        <v>0</v>
      </c>
      <c r="HY535" s="1006" t="s">
        <v>199</v>
      </c>
      <c r="HZ535" s="996">
        <v>-1.8224800000000005</v>
      </c>
      <c r="IA535" s="1006"/>
      <c r="IB535" s="996">
        <v>0</v>
      </c>
      <c r="IC535" s="1006"/>
      <c r="ID535" s="996">
        <v>0</v>
      </c>
      <c r="IE535" s="1006"/>
      <c r="IF535" s="996">
        <v>0</v>
      </c>
      <c r="IG535" s="1006"/>
      <c r="IH535" s="996">
        <v>0</v>
      </c>
      <c r="II535" s="1006"/>
      <c r="IJ535" s="996">
        <v>0</v>
      </c>
      <c r="IK535" s="1006"/>
      <c r="IL535" s="996">
        <v>0</v>
      </c>
      <c r="IM535" s="1006" t="s">
        <v>203</v>
      </c>
      <c r="IN535" s="996">
        <v>-1.7447319999999991</v>
      </c>
      <c r="IO535" s="1006" t="s">
        <v>204</v>
      </c>
      <c r="IP535" s="996">
        <v>-3.120788000000001</v>
      </c>
      <c r="IQ535" s="1006"/>
      <c r="IR535" s="996">
        <v>0</v>
      </c>
      <c r="IS535" s="1006" t="s">
        <v>203</v>
      </c>
      <c r="IT535" s="996">
        <v>-12.835999999999999</v>
      </c>
      <c r="IU535" s="1006" t="s">
        <v>199</v>
      </c>
      <c r="IV535" s="996">
        <v>-22.8461785728</v>
      </c>
      <c r="IW535" s="1006" t="s">
        <v>25</v>
      </c>
      <c r="IX535" s="996">
        <v>31.7</v>
      </c>
      <c r="IY535" s="1006"/>
      <c r="IZ535" s="996">
        <v>0</v>
      </c>
      <c r="JA535" s="1006"/>
      <c r="JB535" s="996">
        <v>0</v>
      </c>
      <c r="JC535" s="1006"/>
      <c r="JD535" s="996">
        <v>0</v>
      </c>
      <c r="JE535" s="1006"/>
      <c r="JF535" s="996">
        <v>0</v>
      </c>
      <c r="JG535" s="1006"/>
      <c r="JH535" s="996">
        <v>0</v>
      </c>
      <c r="JI535" s="1006" t="s">
        <v>199</v>
      </c>
      <c r="JJ535" s="996">
        <v>-2.99288</v>
      </c>
      <c r="JK535" s="1007" t="s">
        <v>239</v>
      </c>
      <c r="JL535" s="1007">
        <v>6.75488</v>
      </c>
      <c r="JM535" s="1007"/>
      <c r="JN535" s="1007">
        <v>-1.6719999999999999</v>
      </c>
      <c r="JO535" s="1008">
        <v>0</v>
      </c>
      <c r="JP535" s="1007">
        <v>0</v>
      </c>
      <c r="JQ535" s="1008">
        <v>0</v>
      </c>
      <c r="JR535" s="1007">
        <v>0</v>
      </c>
      <c r="JS535" s="1008"/>
      <c r="JT535" s="1007">
        <v>0</v>
      </c>
      <c r="JU535" s="1008" t="s">
        <v>197</v>
      </c>
      <c r="JV535" s="1007">
        <v>0</v>
      </c>
      <c r="JW535" s="1008"/>
      <c r="JX535" s="1007">
        <v>0</v>
      </c>
      <c r="JY535" s="1008"/>
      <c r="JZ535" s="1007">
        <v>0</v>
      </c>
      <c r="KA535" s="1008" t="s">
        <v>199</v>
      </c>
      <c r="KB535" s="1007">
        <v>-6.1863999999999999</v>
      </c>
      <c r="KC535" s="1008" t="s">
        <v>206</v>
      </c>
      <c r="KD535" s="1007">
        <v>0</v>
      </c>
      <c r="KE535" s="1008"/>
      <c r="KF535" s="1007">
        <v>0</v>
      </c>
      <c r="KG535" s="1008"/>
      <c r="KH535" s="1007">
        <v>0</v>
      </c>
      <c r="KI535" s="1008"/>
      <c r="KJ535" s="1007">
        <v>0</v>
      </c>
      <c r="KK535" s="1008"/>
      <c r="KL535" s="1007">
        <v>7.8583999999999996</v>
      </c>
      <c r="KM535" s="1008"/>
      <c r="KN535" s="1007">
        <v>0</v>
      </c>
      <c r="KO535" s="1008">
        <v>0</v>
      </c>
      <c r="KP535" s="1007">
        <v>-8.6108000000000011</v>
      </c>
      <c r="KQ535" s="1008">
        <v>0</v>
      </c>
      <c r="KR535" s="1007">
        <v>0</v>
      </c>
      <c r="KS535" s="1008" t="s">
        <v>204</v>
      </c>
      <c r="KT535" s="1007">
        <v>-1.4211999999999989</v>
      </c>
      <c r="KU535" s="1008" t="s">
        <v>206</v>
      </c>
      <c r="KV535" s="1007">
        <v>-5.016</v>
      </c>
      <c r="KW535" s="1008" t="s">
        <v>206</v>
      </c>
      <c r="KX535" s="1007">
        <v>1.6720000000000006</v>
      </c>
      <c r="KY535" s="1008">
        <v>0</v>
      </c>
      <c r="KZ535" s="1007">
        <v>0</v>
      </c>
      <c r="LA535" s="1008" t="s">
        <v>204</v>
      </c>
      <c r="LB535" s="1007">
        <v>5.5175999999999998</v>
      </c>
      <c r="LC535" s="1008">
        <v>0</v>
      </c>
      <c r="LD535" s="1007">
        <v>0</v>
      </c>
      <c r="LE535" s="1008">
        <v>0</v>
      </c>
      <c r="LF535" s="1007">
        <v>-8.4436</v>
      </c>
      <c r="LG535" s="1008">
        <v>0</v>
      </c>
      <c r="LH535" s="1007">
        <v>0</v>
      </c>
      <c r="LI535" s="1008">
        <v>0</v>
      </c>
      <c r="LJ535" s="1007">
        <v>0</v>
      </c>
      <c r="LK535" s="1008">
        <v>0</v>
      </c>
      <c r="LL535" s="1007">
        <v>0</v>
      </c>
      <c r="LM535" s="1008">
        <v>0</v>
      </c>
      <c r="LN535" s="1007">
        <v>0.83660000000000001</v>
      </c>
      <c r="LO535" s="1008">
        <v>0</v>
      </c>
      <c r="LP535" s="1007">
        <v>0.66879999999999995</v>
      </c>
      <c r="LQ535" s="1008">
        <v>0</v>
      </c>
      <c r="LR535" s="1007">
        <v>0</v>
      </c>
      <c r="LS535" s="1008" t="s">
        <v>206</v>
      </c>
      <c r="LT535" s="1007">
        <v>4.1280000000000001</v>
      </c>
      <c r="LU535" s="1008">
        <v>0</v>
      </c>
      <c r="LV535" s="1007">
        <v>0</v>
      </c>
      <c r="LW535" s="1008">
        <v>0</v>
      </c>
      <c r="LX535" s="1007">
        <v>0.18258241</v>
      </c>
      <c r="LY535" s="1009">
        <v>0</v>
      </c>
      <c r="LZ535" s="1010">
        <v>0.25213759999999902</v>
      </c>
      <c r="MA535" s="1011"/>
      <c r="MB535" s="1012"/>
      <c r="MC535" s="995"/>
      <c r="MD535" s="996"/>
      <c r="ME535" s="997" t="s">
        <v>220</v>
      </c>
      <c r="MF535" s="997"/>
      <c r="MG535" s="998"/>
      <c r="NR535" s="1000"/>
      <c r="NS535" s="1000"/>
      <c r="NT535" s="1001"/>
      <c r="NU535" s="1000"/>
      <c r="NV535" s="1001"/>
      <c r="NX535" s="1002"/>
      <c r="NZ535" s="1001"/>
      <c r="OA535" s="1001"/>
      <c r="OC535" s="1003"/>
      <c r="OD535" s="1003"/>
      <c r="OE535" s="1001"/>
      <c r="OF535" s="1003"/>
      <c r="OG535" s="1003"/>
      <c r="QX535" s="1000">
        <f>CN535-CA535</f>
        <v>20</v>
      </c>
      <c r="ASU535" s="999" t="s">
        <v>208</v>
      </c>
    </row>
    <row r="536" spans="1:466 1191:1191" ht="21" customHeight="1" x14ac:dyDescent="0.25">
      <c r="A536" s="982">
        <f t="shared" si="372"/>
        <v>3241</v>
      </c>
      <c r="B536" s="124">
        <f>SUBTOTAL(103,$J$29:J536)</f>
        <v>508</v>
      </c>
      <c r="C536" s="126">
        <v>45068</v>
      </c>
      <c r="D536" s="124" t="s">
        <v>176</v>
      </c>
      <c r="E536" s="127" t="s">
        <v>177</v>
      </c>
      <c r="F536" s="128" t="s">
        <v>177</v>
      </c>
      <c r="G536" s="127" t="s">
        <v>178</v>
      </c>
      <c r="H536" s="127" t="s">
        <v>179</v>
      </c>
      <c r="I536" s="127" t="s">
        <v>1035</v>
      </c>
      <c r="J536" s="152">
        <v>3241</v>
      </c>
      <c r="K536" s="127" t="s">
        <v>1035</v>
      </c>
      <c r="L536" s="130">
        <v>41940</v>
      </c>
      <c r="M536" s="127" t="s">
        <v>230</v>
      </c>
      <c r="N536" s="127" t="s">
        <v>184</v>
      </c>
      <c r="O536" s="127" t="s">
        <v>185</v>
      </c>
      <c r="P536" s="127" t="s">
        <v>186</v>
      </c>
      <c r="Q536" s="85" t="str">
        <f t="shared" si="423"/>
        <v/>
      </c>
      <c r="R536" s="130"/>
      <c r="S536" s="128"/>
      <c r="T536" s="131"/>
      <c r="U536" s="132">
        <v>203</v>
      </c>
      <c r="V536" s="121">
        <v>218.2</v>
      </c>
      <c r="W536" s="116">
        <v>0.98</v>
      </c>
      <c r="X536" s="116">
        <v>1.66</v>
      </c>
      <c r="Y536" s="116">
        <f t="shared" si="408"/>
        <v>0.98132656434360654</v>
      </c>
      <c r="Z536" s="133">
        <v>1.454</v>
      </c>
      <c r="AA536" s="133">
        <v>0.83599999999999997</v>
      </c>
      <c r="AB536" s="133">
        <v>0.72</v>
      </c>
      <c r="AC536" s="121">
        <v>34.299999999999997</v>
      </c>
      <c r="AD536" s="134">
        <v>1.17</v>
      </c>
      <c r="AE536" s="124">
        <v>177.8</v>
      </c>
      <c r="AF536" s="128">
        <v>9.19</v>
      </c>
      <c r="AG536" s="128">
        <v>2342</v>
      </c>
      <c r="AH536" s="127">
        <v>2961</v>
      </c>
      <c r="AI536" s="127">
        <v>2961</v>
      </c>
      <c r="AJ536" s="135"/>
      <c r="AK536" s="128"/>
      <c r="AL536" s="131"/>
      <c r="AM536" s="124" t="s">
        <v>232</v>
      </c>
      <c r="AN536" s="136" t="s">
        <v>1885</v>
      </c>
      <c r="AO536" s="137">
        <v>56.310000000000173</v>
      </c>
      <c r="AP536" s="128">
        <v>2382.6999999999998</v>
      </c>
      <c r="AQ536" s="128">
        <v>400.04</v>
      </c>
      <c r="AR536" s="128"/>
      <c r="AS536" s="128"/>
      <c r="AT536" s="122"/>
      <c r="AU536" s="124" t="s">
        <v>189</v>
      </c>
      <c r="AV536" s="115">
        <f>VLOOKUP(J536,'[63]ТР нефть'!$J$28:$BP$638,39,0)</f>
        <v>550</v>
      </c>
      <c r="AW536" s="115" t="str">
        <f>VLOOKUP(J536,'[63]ТР нефть'!$J$28:$BP$638,40,0)</f>
        <v>ГК 86 1/8</v>
      </c>
      <c r="AX536" s="115">
        <f>VLOOKUP(J536,'[63]ТР нефть'!$J$28:$BP$638,41,0)</f>
        <v>1010</v>
      </c>
      <c r="AY536" s="115" t="str">
        <f>VLOOKUP(J536,'[63]ТР нефть'!$J$28:$BP$638,42,0)</f>
        <v>ГК 87 1/8</v>
      </c>
      <c r="AZ536" s="115">
        <f>VLOOKUP(J536,'[63]ТР нефть'!$J$28:$BP$638,43,0)</f>
        <v>1460</v>
      </c>
      <c r="BA536" s="115" t="str">
        <f>VLOOKUP(J536,'[63]ТР нефть'!$J$28:$BP$638,44,0)</f>
        <v>ГК 87 5/32</v>
      </c>
      <c r="BB536" s="115">
        <f>VLOOKUP(J536,'[63]ТР нефть'!$J$28:$BP$638,45,0)</f>
        <v>1820</v>
      </c>
      <c r="BC536" s="115" t="str">
        <f>VLOOKUP(J536,'[63]ТР нефть'!$J$28:$BP$638,46,0)</f>
        <v>ГК 88 5/32</v>
      </c>
      <c r="BD536" s="115">
        <f>VLOOKUP(J536,'[63]ТР нефть'!$J$28:$BP$638,47,0)</f>
        <v>2020</v>
      </c>
      <c r="BE536" s="115" t="str">
        <f>VLOOKUP(J536,'[63]ТР нефть'!$J$28:$BP$638,48,0)</f>
        <v>ЦКсОК 5/16</v>
      </c>
      <c r="BF536" s="115" t="str">
        <f>VLOOKUP(J536,'[63]ТР нефть'!$J$28:$BP$638,49,0)</f>
        <v>-</v>
      </c>
      <c r="BG536" s="115" t="str">
        <f>VLOOKUP(J536,'[63]ТР нефть'!$J$28:$BP$638,50,0)</f>
        <v>-</v>
      </c>
      <c r="BH536" s="115">
        <f>VLOOKUP(J536,'[63]ТР нефть'!$J$28:$BP$638,51,0)</f>
        <v>2030</v>
      </c>
      <c r="BI536" s="115" t="str">
        <f>VLOOKUP(J536,'[63]ТР нефть'!$J$28:$BP$638,52,0)</f>
        <v>закрыт</v>
      </c>
      <c r="BJ536" s="115" t="str">
        <f>IF(IFERROR(VLOOKUP(J536,'[63]ТР нефть'!$J$28:$BP$638,53,0),"-")=0,"-",IFERROR(VLOOKUP(J536,'[63]ТР нефть'!$J$28:$BP$638,53,0),"-"))</f>
        <v>-</v>
      </c>
      <c r="BK536" s="138" t="str">
        <f>IF(IFERROR(VLOOKUP(J536,'[63]ТР нефть'!$J$28:$BP$638,54,0),"-")=0,"-",IFERROR(VLOOKUP(J536,'[63]ТР нефть'!$J$28:$BP$638,54,0),"-"))</f>
        <v>-</v>
      </c>
      <c r="BL536" s="138" t="str">
        <f>IF(IFERROR(VLOOKUP(J536,'[63]ТР нефть'!$J$28:$BP$638,55,0),"-")=0,"-",IFERROR(VLOOKUP(J536,'[63]ТР нефть'!$J$28:$BP$638,55,0),"-"))</f>
        <v>-</v>
      </c>
      <c r="BM536" s="138" t="str">
        <f>IF(IFERROR(VLOOKUP(J536,'[63]ТР нефть'!$J$28:$BP$638,56,0),"-")=0,"-",IFERROR(VLOOKUP(J536,'[63]ТР нефть'!$J$28:$BP$638,56,0),"-"))</f>
        <v>-</v>
      </c>
      <c r="BN536" s="138" t="str">
        <f>IF(IFERROR(VLOOKUP(J536,'[63]ТР нефть'!$J$28:$BP$638,57,0),"-")=0,"-",IFERROR(VLOOKUP(J536,'[63]ТР нефть'!$J$28:$BP$638,57,0),"-"))</f>
        <v>-</v>
      </c>
      <c r="BO536" s="115" t="str">
        <f>IF(IFERROR(VLOOKUP(J536,'[63]ТР нефть'!$J$28:$BP$638,58,0),"-")=0,"-",IFERROR(VLOOKUP(J536,'[63]ТР нефть'!$J$28:$BP$638,58,0),"-"))</f>
        <v>-</v>
      </c>
      <c r="BP536" s="115" t="str">
        <f>IF(IFERROR(VLOOKUP(J536,'[63]ТР нефть'!$J$28:$BP$638,59,0),"-")=0,"-",IFERROR(VLOOKUP(J536,'[63]ТР нефть'!$J$28:$BP$638,59,0),"-"))</f>
        <v>-</v>
      </c>
      <c r="BQ536" s="138">
        <v>2282</v>
      </c>
      <c r="BR536" s="128">
        <v>1924.52</v>
      </c>
      <c r="BS536" s="115">
        <f t="shared" si="437"/>
        <v>357.48</v>
      </c>
      <c r="BT536" s="128">
        <v>73</v>
      </c>
      <c r="BU536" s="128">
        <v>5.5</v>
      </c>
      <c r="BV536" s="127">
        <v>18</v>
      </c>
      <c r="BW536" s="127" t="s">
        <v>217</v>
      </c>
      <c r="BX536" s="127" t="s">
        <v>195</v>
      </c>
      <c r="BY536" s="139">
        <v>24</v>
      </c>
      <c r="BZ536" s="139">
        <v>0</v>
      </c>
      <c r="CA536" s="138">
        <v>18</v>
      </c>
      <c r="CB536" s="138">
        <v>39</v>
      </c>
      <c r="CC536" s="138">
        <v>17</v>
      </c>
      <c r="CD536" s="135">
        <v>45017</v>
      </c>
      <c r="CE536" s="138">
        <v>71</v>
      </c>
      <c r="CF536" s="138">
        <v>78</v>
      </c>
      <c r="CG536" s="138" t="str">
        <f t="shared" si="433"/>
        <v>В работе</v>
      </c>
      <c r="CH536" s="138" t="s">
        <v>196</v>
      </c>
      <c r="CI536" s="127">
        <v>5</v>
      </c>
      <c r="CJ536" s="138"/>
      <c r="CK536" s="138">
        <f t="shared" si="432"/>
        <v>27</v>
      </c>
      <c r="CL536" s="99"/>
      <c r="CM536" s="99"/>
      <c r="CN536" s="140">
        <v>45</v>
      </c>
      <c r="CO536" s="141">
        <f t="shared" si="373"/>
        <v>6.1659848799999999</v>
      </c>
      <c r="CP536" s="142">
        <v>7.4</v>
      </c>
      <c r="CQ536" s="143">
        <v>0.33</v>
      </c>
      <c r="CR536" s="138">
        <v>20</v>
      </c>
      <c r="CS536" s="139">
        <v>8.4</v>
      </c>
      <c r="CT536" s="138"/>
      <c r="CU536" s="138">
        <f t="shared" si="418"/>
        <v>11.6</v>
      </c>
      <c r="CV536" s="115">
        <f t="shared" si="419"/>
        <v>1881.289076401368</v>
      </c>
      <c r="CW536" s="115">
        <f t="shared" si="374"/>
        <v>1356.0934811030086</v>
      </c>
      <c r="CX536" s="133">
        <f t="shared" si="420"/>
        <v>0.2846153846153846</v>
      </c>
      <c r="CY536" s="116"/>
      <c r="CZ536" s="131"/>
      <c r="DA536" s="145" t="str">
        <f t="shared" si="375"/>
        <v>Газлифт</v>
      </c>
      <c r="DB536" s="146">
        <f t="shared" si="390"/>
        <v>6.1659848799999999</v>
      </c>
      <c r="DC536" s="142">
        <f t="shared" si="402"/>
        <v>7.4</v>
      </c>
      <c r="DD536" s="119">
        <f t="shared" si="416"/>
        <v>0.33</v>
      </c>
      <c r="DE536" s="115">
        <f t="shared" si="392"/>
        <v>11.6</v>
      </c>
      <c r="DF536" s="121">
        <f t="shared" si="376"/>
        <v>8.4</v>
      </c>
      <c r="DG536" s="115">
        <f t="shared" si="377"/>
        <v>1881.289076401368</v>
      </c>
      <c r="DH536" s="115">
        <f t="shared" si="378"/>
        <v>45</v>
      </c>
      <c r="DI536" s="147"/>
      <c r="DJ536" s="111">
        <v>43449</v>
      </c>
      <c r="DK536" s="112">
        <v>43522</v>
      </c>
      <c r="DL536" s="113">
        <f t="shared" ca="1" si="424"/>
        <v>1582</v>
      </c>
      <c r="DM536" s="114"/>
      <c r="DN536" s="114"/>
      <c r="DO536" s="114"/>
      <c r="DP536" s="114"/>
      <c r="DQ536" s="112">
        <v>43498.791666666664</v>
      </c>
      <c r="DR536" s="114" t="s">
        <v>282</v>
      </c>
      <c r="DS536" s="114"/>
      <c r="DT536" s="115">
        <v>44</v>
      </c>
      <c r="DU536" s="116">
        <f t="shared" si="425"/>
        <v>0.28248741912293318</v>
      </c>
      <c r="DV536" s="117">
        <f t="shared" si="428"/>
        <v>6.3552642145621858</v>
      </c>
      <c r="DW536" s="118">
        <f t="shared" si="429"/>
        <v>7.6271603163191957</v>
      </c>
      <c r="DX536" s="119">
        <f t="shared" si="430"/>
        <v>0.33</v>
      </c>
      <c r="DY536" s="115">
        <f t="shared" si="431"/>
        <v>11.956089144500361</v>
      </c>
      <c r="DZ536" s="117">
        <f t="shared" si="426"/>
        <v>0.18927933456218593</v>
      </c>
      <c r="EA536" s="120">
        <f t="shared" si="426"/>
        <v>0.22716031631919531</v>
      </c>
      <c r="EB536" s="119">
        <f t="shared" si="387"/>
        <v>0</v>
      </c>
      <c r="EC536" s="121">
        <f t="shared" si="415"/>
        <v>0.35608914450036089</v>
      </c>
      <c r="ED536" s="122"/>
      <c r="EE536" s="145">
        <v>18</v>
      </c>
      <c r="EF536" s="148">
        <v>20</v>
      </c>
      <c r="EG536" s="115">
        <v>42</v>
      </c>
      <c r="EH536" s="115">
        <v>19</v>
      </c>
      <c r="EI536" s="128" t="s">
        <v>195</v>
      </c>
      <c r="EJ536" s="121">
        <v>24</v>
      </c>
      <c r="EK536" s="121">
        <v>0</v>
      </c>
      <c r="EL536" s="149">
        <v>6.1659848799999999</v>
      </c>
      <c r="EM536" s="142">
        <v>7.4</v>
      </c>
      <c r="EN536" s="119">
        <v>0.33</v>
      </c>
      <c r="EO536" s="115">
        <v>20</v>
      </c>
      <c r="EP536" s="115">
        <v>1881.289076401368</v>
      </c>
      <c r="EQ536" s="115">
        <v>78</v>
      </c>
      <c r="ER536" s="115">
        <v>8.4</v>
      </c>
      <c r="ES536" s="115">
        <v>45</v>
      </c>
      <c r="ET536" s="150">
        <v>0.2846153846153846</v>
      </c>
      <c r="EU536" s="145">
        <f t="shared" si="400"/>
        <v>18</v>
      </c>
      <c r="EV536" s="115">
        <f t="shared" si="380"/>
        <v>18</v>
      </c>
      <c r="EW536" s="115">
        <f t="shared" si="380"/>
        <v>39</v>
      </c>
      <c r="EX536" s="115">
        <f t="shared" si="380"/>
        <v>17</v>
      </c>
      <c r="EY536" s="115" t="str">
        <f t="shared" si="434"/>
        <v>Постоянный</v>
      </c>
      <c r="EZ536" s="115">
        <f t="shared" si="434"/>
        <v>24</v>
      </c>
      <c r="FA536" s="115">
        <f t="shared" si="434"/>
        <v>0</v>
      </c>
      <c r="FB536" s="149">
        <f t="shared" si="405"/>
        <v>6.1659848799999999</v>
      </c>
      <c r="FC536" s="142">
        <f t="shared" si="405"/>
        <v>7.4</v>
      </c>
      <c r="FD536" s="119">
        <f t="shared" si="405"/>
        <v>0.33</v>
      </c>
      <c r="FE536" s="121">
        <f t="shared" si="405"/>
        <v>20</v>
      </c>
      <c r="FF536" s="121">
        <f t="shared" si="407"/>
        <v>1881.289076401368</v>
      </c>
      <c r="FG536" s="121">
        <f t="shared" si="381"/>
        <v>78</v>
      </c>
      <c r="FH536" s="121">
        <f t="shared" si="436"/>
        <v>8.4</v>
      </c>
      <c r="FI536" s="121">
        <f t="shared" si="427"/>
        <v>45</v>
      </c>
      <c r="FJ536" s="144">
        <f t="shared" si="382"/>
        <v>0.2846153846153846</v>
      </c>
      <c r="FK536" s="132">
        <f t="shared" si="383"/>
        <v>0</v>
      </c>
      <c r="FL536" s="115">
        <f t="shared" si="383"/>
        <v>-2</v>
      </c>
      <c r="FM536" s="115">
        <f t="shared" si="383"/>
        <v>-3</v>
      </c>
      <c r="FN536" s="115">
        <f t="shared" si="371"/>
        <v>-2</v>
      </c>
      <c r="FO536" s="115">
        <f t="shared" si="439"/>
        <v>0</v>
      </c>
      <c r="FP536" s="115">
        <f t="shared" si="439"/>
        <v>0</v>
      </c>
      <c r="FQ536" s="149">
        <f t="shared" si="439"/>
        <v>0</v>
      </c>
      <c r="FR536" s="142">
        <f t="shared" si="439"/>
        <v>0</v>
      </c>
      <c r="FS536" s="119">
        <f t="shared" si="439"/>
        <v>0</v>
      </c>
      <c r="FT536" s="121">
        <f t="shared" si="438"/>
        <v>0</v>
      </c>
      <c r="FU536" s="121">
        <f t="shared" si="384"/>
        <v>0</v>
      </c>
      <c r="FV536" s="121">
        <f t="shared" si="384"/>
        <v>0</v>
      </c>
      <c r="FW536" s="121">
        <f t="shared" si="385"/>
        <v>0</v>
      </c>
      <c r="FX536" s="121">
        <f t="shared" si="386"/>
        <v>0</v>
      </c>
      <c r="FY536" s="144">
        <f t="shared" si="386"/>
        <v>0</v>
      </c>
      <c r="FZ536" s="1052"/>
      <c r="GA536" s="151"/>
      <c r="GB536" s="1052" t="s">
        <v>199</v>
      </c>
      <c r="GC536" s="151" t="s">
        <v>1886</v>
      </c>
      <c r="GD536" s="997" t="s">
        <v>220</v>
      </c>
      <c r="GE536" s="1004" t="s">
        <v>199</v>
      </c>
      <c r="GF536" s="1004">
        <v>-0.66659295999999912</v>
      </c>
      <c r="GG536" s="1004"/>
      <c r="GH536" s="1004">
        <v>0</v>
      </c>
      <c r="GI536" s="1052"/>
      <c r="GJ536" s="996">
        <v>0</v>
      </c>
      <c r="GK536" s="1052"/>
      <c r="GL536" s="996">
        <v>0</v>
      </c>
      <c r="GM536" s="1005"/>
      <c r="GN536" s="996">
        <v>0</v>
      </c>
      <c r="GO536" s="1006"/>
      <c r="GP536" s="996">
        <v>-2.2622160000000058E-2</v>
      </c>
      <c r="GQ536" s="1006"/>
      <c r="GR536" s="996">
        <v>0</v>
      </c>
      <c r="GS536" s="1006"/>
      <c r="GT536" s="996">
        <v>0</v>
      </c>
      <c r="GU536" s="1006"/>
      <c r="GV536" s="996">
        <v>-0.16720000000000113</v>
      </c>
      <c r="GW536" s="1006"/>
      <c r="GX536" s="996">
        <v>0</v>
      </c>
      <c r="GY536" s="1006"/>
      <c r="GZ536" s="996">
        <v>-0.75239999999999974</v>
      </c>
      <c r="HA536" s="1006"/>
      <c r="HB536" s="996">
        <v>0</v>
      </c>
      <c r="HC536" s="1006"/>
      <c r="HD536" s="996">
        <v>0</v>
      </c>
      <c r="HE536" s="1006"/>
      <c r="HF536" s="996">
        <v>0</v>
      </c>
      <c r="HG536" s="1006"/>
      <c r="HH536" s="996">
        <v>0</v>
      </c>
      <c r="HI536" s="1006"/>
      <c r="HJ536" s="996">
        <v>0</v>
      </c>
      <c r="HK536" s="1006"/>
      <c r="HL536" s="996">
        <v>0</v>
      </c>
      <c r="HM536" s="1006" t="s">
        <v>223</v>
      </c>
      <c r="HN536" s="996">
        <v>-1.8391999999999982</v>
      </c>
      <c r="HO536" s="1006" t="s">
        <v>199</v>
      </c>
      <c r="HP536" s="996">
        <v>1.0397332000000006</v>
      </c>
      <c r="HQ536" s="1006"/>
      <c r="HR536" s="996">
        <v>0</v>
      </c>
      <c r="HS536" s="1006" t="s">
        <v>643</v>
      </c>
      <c r="HT536" s="996">
        <v>0</v>
      </c>
      <c r="HU536" s="1006" t="s">
        <v>1397</v>
      </c>
      <c r="HV536" s="996">
        <v>-7.1425332000000026</v>
      </c>
      <c r="HW536" s="1006"/>
      <c r="HX536" s="996">
        <v>0.46816000000000457</v>
      </c>
      <c r="HY536" s="1006" t="s">
        <v>199</v>
      </c>
      <c r="HZ536" s="996">
        <v>7.0725599999999975</v>
      </c>
      <c r="IA536" s="1006"/>
      <c r="IB536" s="996">
        <v>0</v>
      </c>
      <c r="IC536" s="1006" t="s">
        <v>199</v>
      </c>
      <c r="ID536" s="996">
        <v>-3.7686880000000009</v>
      </c>
      <c r="IE536" s="1006"/>
      <c r="IF536" s="996">
        <v>0</v>
      </c>
      <c r="IG536" s="1006"/>
      <c r="IH536" s="996">
        <v>0</v>
      </c>
      <c r="II536" s="1006"/>
      <c r="IJ536" s="996">
        <v>0</v>
      </c>
      <c r="IK536" s="1006"/>
      <c r="IL536" s="996">
        <v>-0.13041599999999853</v>
      </c>
      <c r="IM536" s="1006" t="s">
        <v>199</v>
      </c>
      <c r="IN536" s="996">
        <v>-2.9992336000000019</v>
      </c>
      <c r="IO536" s="1006"/>
      <c r="IP536" s="996">
        <v>0</v>
      </c>
      <c r="IQ536" s="1006" t="s">
        <v>199</v>
      </c>
      <c r="IR536" s="996">
        <v>4.7682096000000023</v>
      </c>
      <c r="IS536" s="1006" t="s">
        <v>199</v>
      </c>
      <c r="IT536" s="996">
        <v>6.1763679999999992</v>
      </c>
      <c r="IU536" s="1006" t="s">
        <v>199</v>
      </c>
      <c r="IV536" s="996">
        <v>-4.0922200000000002</v>
      </c>
      <c r="IW536" s="1006"/>
      <c r="IX536" s="996">
        <v>0</v>
      </c>
      <c r="IY536" s="1006" t="s">
        <v>204</v>
      </c>
      <c r="IZ536" s="996">
        <v>-6.6194480000000002</v>
      </c>
      <c r="JA536" s="1006" t="s">
        <v>204</v>
      </c>
      <c r="JB536" s="996">
        <v>3.3005279999999999</v>
      </c>
      <c r="JC536" s="1006" t="s">
        <v>204</v>
      </c>
      <c r="JD536" s="996">
        <v>6.2710032</v>
      </c>
      <c r="JE536" s="1006"/>
      <c r="JF536" s="996">
        <v>0</v>
      </c>
      <c r="JG536" s="1006"/>
      <c r="JH536" s="996">
        <v>0</v>
      </c>
      <c r="JI536" s="1006"/>
      <c r="JJ536" s="996">
        <v>0</v>
      </c>
      <c r="JK536" s="1007"/>
      <c r="JL536" s="1007">
        <v>0</v>
      </c>
      <c r="JM536" s="1007"/>
      <c r="JN536" s="1007">
        <v>0</v>
      </c>
      <c r="JO536" s="1008"/>
      <c r="JP536" s="1007">
        <v>0</v>
      </c>
      <c r="JQ536" s="1008" t="s">
        <v>199</v>
      </c>
      <c r="JR536" s="1007">
        <v>-3.6250632000000005</v>
      </c>
      <c r="JS536" s="1008">
        <v>0</v>
      </c>
      <c r="JT536" s="1007">
        <v>0</v>
      </c>
      <c r="JU536" s="1008"/>
      <c r="JV536" s="1007">
        <v>0</v>
      </c>
      <c r="JW536" s="1008" t="s">
        <v>203</v>
      </c>
      <c r="JX536" s="1007">
        <v>-8.9201199999999972</v>
      </c>
      <c r="JY536" s="1008"/>
      <c r="JZ536" s="1007">
        <v>0</v>
      </c>
      <c r="KA536" s="1008" t="s">
        <v>204</v>
      </c>
      <c r="KB536" s="1007">
        <v>0.46148671359999582</v>
      </c>
      <c r="KC536" s="1008"/>
      <c r="KD536" s="1007">
        <v>18.189673286400001</v>
      </c>
      <c r="KE536" s="1008"/>
      <c r="KF536" s="1007">
        <v>-5.016</v>
      </c>
      <c r="KG536" s="1008"/>
      <c r="KH536" s="1007">
        <v>0</v>
      </c>
      <c r="KI536" s="1008"/>
      <c r="KJ536" s="1007">
        <v>0</v>
      </c>
      <c r="KK536" s="1008"/>
      <c r="KL536" s="1007">
        <v>0</v>
      </c>
      <c r="KM536" s="1008" t="s">
        <v>240</v>
      </c>
      <c r="KN536" s="1007">
        <v>2.9678</v>
      </c>
      <c r="KO536" s="1008" t="s">
        <v>240</v>
      </c>
      <c r="KP536" s="1007">
        <v>-2.0482</v>
      </c>
      <c r="KQ536" s="1008">
        <v>0</v>
      </c>
      <c r="KR536" s="1007">
        <v>0</v>
      </c>
      <c r="KS536" s="1008">
        <v>0</v>
      </c>
      <c r="KT536" s="1007">
        <v>0</v>
      </c>
      <c r="KU536" s="1008">
        <v>0</v>
      </c>
      <c r="KV536" s="1007">
        <v>0</v>
      </c>
      <c r="KW536" s="1008" t="s">
        <v>204</v>
      </c>
      <c r="KX536" s="1007">
        <v>1.5914096</v>
      </c>
      <c r="KY536" s="1008" t="s">
        <v>206</v>
      </c>
      <c r="KZ536" s="1007">
        <v>-2.5049904000000001</v>
      </c>
      <c r="LA536" s="1008">
        <v>0</v>
      </c>
      <c r="LB536" s="1007">
        <v>0</v>
      </c>
      <c r="LC536" s="1008" t="s">
        <v>206</v>
      </c>
      <c r="LD536" s="1007">
        <v>-1.6218400000000006</v>
      </c>
      <c r="LE536" s="1008" t="s">
        <v>206</v>
      </c>
      <c r="LF536" s="1007">
        <v>1.0541960000000001</v>
      </c>
      <c r="LG536" s="1008">
        <v>0</v>
      </c>
      <c r="LH536" s="1007">
        <v>0</v>
      </c>
      <c r="LI536" s="1008">
        <v>0</v>
      </c>
      <c r="LJ536" s="1007">
        <v>0</v>
      </c>
      <c r="LK536" s="1008">
        <v>0</v>
      </c>
      <c r="LL536" s="1007">
        <v>0</v>
      </c>
      <c r="LM536" s="1008" t="s">
        <v>555</v>
      </c>
      <c r="LN536" s="1007">
        <v>0.41674600000000001</v>
      </c>
      <c r="LO536" s="1008">
        <v>0</v>
      </c>
      <c r="LP536" s="1007">
        <v>0</v>
      </c>
      <c r="LQ536" s="1008" t="s">
        <v>204</v>
      </c>
      <c r="LR536" s="1007">
        <v>2.5476000000000001</v>
      </c>
      <c r="LS536" s="1008">
        <v>0</v>
      </c>
      <c r="LT536" s="1007">
        <v>0</v>
      </c>
      <c r="LU536" s="1008">
        <v>0</v>
      </c>
      <c r="LV536" s="1007">
        <v>0</v>
      </c>
      <c r="LW536" s="1008" t="s">
        <v>206</v>
      </c>
      <c r="LX536" s="1007">
        <v>-2.5838251999999993</v>
      </c>
      <c r="LY536" s="1009" t="s">
        <v>206</v>
      </c>
      <c r="LZ536" s="1010">
        <v>-4.58568</v>
      </c>
      <c r="MA536" s="1011">
        <v>0</v>
      </c>
      <c r="MB536" s="1012">
        <v>-0.45842620000000001</v>
      </c>
      <c r="MC536" s="995"/>
      <c r="MD536" s="996"/>
      <c r="ME536" s="997" t="s">
        <v>220</v>
      </c>
      <c r="MF536" s="997"/>
      <c r="MG536" s="998"/>
      <c r="NR536" s="1000"/>
      <c r="NS536" s="1000"/>
      <c r="NT536" s="1001"/>
      <c r="NU536" s="1000"/>
      <c r="NV536" s="1001"/>
      <c r="NX536" s="1002"/>
      <c r="NZ536" s="1001"/>
      <c r="OA536" s="1001"/>
      <c r="OC536" s="1003"/>
      <c r="OD536" s="1003"/>
      <c r="OE536" s="1001"/>
      <c r="OF536" s="1003"/>
      <c r="OG536" s="1003"/>
      <c r="QX536" s="1000">
        <f>CN536-CA536</f>
        <v>27</v>
      </c>
      <c r="ASU536" s="999" t="s">
        <v>208</v>
      </c>
    </row>
    <row r="537" spans="1:466 1191:1191" ht="21" customHeight="1" x14ac:dyDescent="0.25">
      <c r="A537" s="982">
        <f t="shared" si="372"/>
        <v>3242</v>
      </c>
      <c r="B537" s="124">
        <f>SUBTOTAL(103,$J$29:J537)</f>
        <v>509</v>
      </c>
      <c r="C537" s="126">
        <v>45068</v>
      </c>
      <c r="D537" s="124" t="s">
        <v>176</v>
      </c>
      <c r="E537" s="127" t="s">
        <v>177</v>
      </c>
      <c r="F537" s="128" t="s">
        <v>177</v>
      </c>
      <c r="G537" s="127" t="s">
        <v>178</v>
      </c>
      <c r="H537" s="127" t="s">
        <v>179</v>
      </c>
      <c r="I537" s="127" t="s">
        <v>601</v>
      </c>
      <c r="J537" s="152">
        <v>3242</v>
      </c>
      <c r="K537" s="127" t="s">
        <v>1461</v>
      </c>
      <c r="L537" s="130">
        <v>43520</v>
      </c>
      <c r="M537" s="127" t="s">
        <v>230</v>
      </c>
      <c r="N537" s="127" t="s">
        <v>184</v>
      </c>
      <c r="O537" s="127" t="s">
        <v>185</v>
      </c>
      <c r="P537" s="127" t="s">
        <v>186</v>
      </c>
      <c r="Q537" s="85" t="str">
        <f t="shared" si="423"/>
        <v/>
      </c>
      <c r="R537" s="130"/>
      <c r="S537" s="128"/>
      <c r="T537" s="131"/>
      <c r="U537" s="132">
        <v>203</v>
      </c>
      <c r="V537" s="121">
        <v>218.2</v>
      </c>
      <c r="W537" s="116">
        <v>0.98</v>
      </c>
      <c r="X537" s="116">
        <v>1.66</v>
      </c>
      <c r="Y537" s="116">
        <f t="shared" si="408"/>
        <v>1.0147079003505446</v>
      </c>
      <c r="Z537" s="133">
        <v>1.454</v>
      </c>
      <c r="AA537" s="133">
        <v>0.83599999999999997</v>
      </c>
      <c r="AB537" s="133">
        <v>0.72</v>
      </c>
      <c r="AC537" s="121">
        <v>34.299999999999997</v>
      </c>
      <c r="AD537" s="134">
        <v>1.17</v>
      </c>
      <c r="AE537" s="124">
        <v>177.8</v>
      </c>
      <c r="AF537" s="128">
        <v>9.19</v>
      </c>
      <c r="AG537" s="128">
        <v>2295</v>
      </c>
      <c r="AH537" s="127">
        <v>3185</v>
      </c>
      <c r="AI537" s="127">
        <v>3185</v>
      </c>
      <c r="AJ537" s="135"/>
      <c r="AK537" s="128"/>
      <c r="AL537" s="131"/>
      <c r="AM537" s="124" t="s">
        <v>232</v>
      </c>
      <c r="AN537" s="136" t="s">
        <v>1887</v>
      </c>
      <c r="AO537" s="137">
        <v>46.1</v>
      </c>
      <c r="AP537" s="128">
        <v>2475</v>
      </c>
      <c r="AQ537" s="128">
        <v>528.1</v>
      </c>
      <c r="AR537" s="128"/>
      <c r="AS537" s="128"/>
      <c r="AT537" s="122"/>
      <c r="AU537" s="124" t="s">
        <v>189</v>
      </c>
      <c r="AV537" s="115">
        <f>VLOOKUP(J537,'[63]ТР нефть'!$J$28:$BP$638,39,0)</f>
        <v>615.00000527300006</v>
      </c>
      <c r="AW537" s="115" t="str">
        <f>VLOOKUP(J537,'[63]ТР нефть'!$J$28:$BP$638,40,0)</f>
        <v>ГК 84 1/8</v>
      </c>
      <c r="AX537" s="115">
        <f>VLOOKUP(J537,'[63]ТР нефть'!$J$28:$BP$638,41,0)</f>
        <v>1180.000011328</v>
      </c>
      <c r="AY537" s="115" t="str">
        <f>VLOOKUP(J537,'[63]ТР нефть'!$J$28:$BP$638,42,0)</f>
        <v>ГК 85 5/32</v>
      </c>
      <c r="AZ537" s="115">
        <f>VLOOKUP(J537,'[63]ТР нефть'!$J$28:$BP$638,43,0)</f>
        <v>1630.000004297</v>
      </c>
      <c r="BA537" s="115" t="str">
        <f>VLOOKUP(J537,'[63]ТР нефть'!$J$28:$BP$638,44,0)</f>
        <v>ГК 85 3/16</v>
      </c>
      <c r="BB537" s="115">
        <f>VLOOKUP(J537,'[63]ТР нефть'!$J$28:$BP$638,45,0)</f>
        <v>2060.000027344</v>
      </c>
      <c r="BC537" s="115" t="str">
        <f>VLOOKUP(J537,'[63]ТР нефть'!$J$28:$BP$638,46,0)</f>
        <v>ЦКсОК 5/16</v>
      </c>
      <c r="BD537" s="115" t="str">
        <f>VLOOKUP(J537,'[63]ТР нефть'!$J$28:$BP$638,47,0)</f>
        <v>-</v>
      </c>
      <c r="BE537" s="115" t="str">
        <f>VLOOKUP(J537,'[63]ТР нефть'!$J$28:$BP$638,48,0)</f>
        <v>-</v>
      </c>
      <c r="BF537" s="115" t="str">
        <f>VLOOKUP(J537,'[63]ТР нефть'!$J$28:$BP$638,49,0)</f>
        <v>-</v>
      </c>
      <c r="BG537" s="115" t="str">
        <f>VLOOKUP(J537,'[63]ТР нефть'!$J$28:$BP$638,50,0)</f>
        <v>-</v>
      </c>
      <c r="BH537" s="115">
        <f>VLOOKUP(J537,'[63]ТР нефть'!$J$28:$BP$638,51,0)</f>
        <v>2070</v>
      </c>
      <c r="BI537" s="115" t="str">
        <f>VLOOKUP(J537,'[63]ТР нефть'!$J$28:$BP$638,52,0)</f>
        <v>закрыт</v>
      </c>
      <c r="BJ537" s="115" t="str">
        <f>IF(IFERROR(VLOOKUP(J537,'[63]ТР нефть'!$J$28:$BP$638,53,0),"-")=0,"-",IFERROR(VLOOKUP(J537,'[63]ТР нефть'!$J$28:$BP$638,53,0),"-"))</f>
        <v>-</v>
      </c>
      <c r="BK537" s="138" t="str">
        <f>IF(IFERROR(VLOOKUP(J537,'[63]ТР нефть'!$J$28:$BP$638,54,0),"-")=0,"-",IFERROR(VLOOKUP(J537,'[63]ТР нефть'!$J$28:$BP$638,54,0),"-"))</f>
        <v>-</v>
      </c>
      <c r="BL537" s="138" t="str">
        <f>IF(IFERROR(VLOOKUP(J537,'[63]ТР нефть'!$J$28:$BP$638,55,0),"-")=0,"-",IFERROR(VLOOKUP(J537,'[63]ТР нефть'!$J$28:$BP$638,55,0),"-"))</f>
        <v>-</v>
      </c>
      <c r="BM537" s="138" t="str">
        <f>IF(IFERROR(VLOOKUP(J537,'[63]ТР нефть'!$J$28:$BP$638,56,0),"-")=0,"-",IFERROR(VLOOKUP(J537,'[63]ТР нефть'!$J$28:$BP$638,56,0),"-"))</f>
        <v>-</v>
      </c>
      <c r="BN537" s="138" t="str">
        <f>IF(IFERROR(VLOOKUP(J537,'[63]ТР нефть'!$J$28:$BP$638,57,0),"-")=0,"-",IFERROR(VLOOKUP(J537,'[63]ТР нефть'!$J$28:$BP$638,57,0),"-"))</f>
        <v>-</v>
      </c>
      <c r="BO537" s="115" t="str">
        <f>IF(IFERROR(VLOOKUP(J537,'[63]ТР нефть'!$J$28:$BP$638,58,0),"-")=0,"-",IFERROR(VLOOKUP(J537,'[63]ТР нефть'!$J$28:$BP$638,58,0),"-"))</f>
        <v>-</v>
      </c>
      <c r="BP537" s="115" t="str">
        <f>IF(IFERROR(VLOOKUP(J537,'[63]ТР нефть'!$J$28:$BP$638,59,0),"-")=0,"-",IFERROR(VLOOKUP(J537,'[63]ТР нефть'!$J$28:$BP$638,59,0),"-"))</f>
        <v>-</v>
      </c>
      <c r="BQ537" s="138">
        <v>2295</v>
      </c>
      <c r="BR537" s="128">
        <v>1897.11</v>
      </c>
      <c r="BS537" s="115">
        <f t="shared" si="437"/>
        <v>397.8900000000001</v>
      </c>
      <c r="BT537" s="128">
        <v>73</v>
      </c>
      <c r="BU537" s="128">
        <v>5.5</v>
      </c>
      <c r="BV537" s="127">
        <v>65</v>
      </c>
      <c r="BW537" s="127" t="s">
        <v>217</v>
      </c>
      <c r="BX537" s="127" t="s">
        <v>195</v>
      </c>
      <c r="BY537" s="139">
        <v>24</v>
      </c>
      <c r="BZ537" s="139">
        <v>0</v>
      </c>
      <c r="CA537" s="80">
        <v>20</v>
      </c>
      <c r="CB537" s="138">
        <v>46</v>
      </c>
      <c r="CC537" s="138">
        <v>19</v>
      </c>
      <c r="CD537" s="135">
        <v>45017</v>
      </c>
      <c r="CE537" s="138">
        <v>115</v>
      </c>
      <c r="CF537" s="138">
        <v>80</v>
      </c>
      <c r="CG537" s="138" t="str">
        <f t="shared" si="433"/>
        <v/>
      </c>
      <c r="CH537" s="138" t="s">
        <v>197</v>
      </c>
      <c r="CI537" s="127">
        <v>5</v>
      </c>
      <c r="CJ537" s="138"/>
      <c r="CK537" s="138">
        <f t="shared" si="432"/>
        <v>22</v>
      </c>
      <c r="CL537" s="99"/>
      <c r="CM537" s="99"/>
      <c r="CN537" s="140">
        <v>42</v>
      </c>
      <c r="CO537" s="141">
        <f t="shared" si="373"/>
        <v>13.025297999999999</v>
      </c>
      <c r="CP537" s="142">
        <v>17</v>
      </c>
      <c r="CQ537" s="143">
        <v>8.35</v>
      </c>
      <c r="CR537" s="138">
        <v>33</v>
      </c>
      <c r="CS537" s="139">
        <v>21.6</v>
      </c>
      <c r="CT537" s="138"/>
      <c r="CU537" s="138">
        <f t="shared" si="418"/>
        <v>11.399999999999999</v>
      </c>
      <c r="CV537" s="115">
        <f t="shared" si="419"/>
        <v>875.21989899962352</v>
      </c>
      <c r="CW537" s="115">
        <f t="shared" si="374"/>
        <v>1472.4850823967888</v>
      </c>
      <c r="CX537" s="133">
        <f t="shared" si="420"/>
        <v>0.23287671232876711</v>
      </c>
      <c r="CY537" s="116"/>
      <c r="CZ537" s="131"/>
      <c r="DA537" s="145" t="str">
        <f t="shared" si="375"/>
        <v>Газлифт</v>
      </c>
      <c r="DB537" s="146">
        <f t="shared" si="390"/>
        <v>13.025297999999999</v>
      </c>
      <c r="DC537" s="142">
        <f t="shared" si="402"/>
        <v>17</v>
      </c>
      <c r="DD537" s="119">
        <f t="shared" si="416"/>
        <v>8.35</v>
      </c>
      <c r="DE537" s="115">
        <f t="shared" si="392"/>
        <v>11.399999999999999</v>
      </c>
      <c r="DF537" s="121">
        <f t="shared" si="376"/>
        <v>21.6</v>
      </c>
      <c r="DG537" s="115">
        <f t="shared" si="377"/>
        <v>875.21989899962352</v>
      </c>
      <c r="DH537" s="115">
        <f t="shared" si="378"/>
        <v>42</v>
      </c>
      <c r="DI537" s="147"/>
      <c r="DJ537" s="111">
        <v>43554</v>
      </c>
      <c r="DK537" s="112">
        <v>43520</v>
      </c>
      <c r="DL537" s="113">
        <f t="shared" ca="1" si="424"/>
        <v>1584</v>
      </c>
      <c r="DM537" s="114"/>
      <c r="DN537" s="114"/>
      <c r="DO537" s="114"/>
      <c r="DP537" s="114"/>
      <c r="DQ537" s="112">
        <v>43520</v>
      </c>
      <c r="DR537" s="114" t="s">
        <v>324</v>
      </c>
      <c r="DS537" s="114"/>
      <c r="DT537" s="115">
        <v>53</v>
      </c>
      <c r="DU537" s="116">
        <f t="shared" si="425"/>
        <v>0.27419354838709675</v>
      </c>
      <c r="DV537" s="117">
        <f t="shared" si="428"/>
        <v>13.025297999999999</v>
      </c>
      <c r="DW537" s="118">
        <f t="shared" si="429"/>
        <v>17</v>
      </c>
      <c r="DX537" s="119">
        <f t="shared" si="430"/>
        <v>8.35</v>
      </c>
      <c r="DY537" s="115">
        <f t="shared" si="431"/>
        <v>11.399999999999999</v>
      </c>
      <c r="DZ537" s="117">
        <f t="shared" si="426"/>
        <v>0</v>
      </c>
      <c r="EA537" s="120">
        <f t="shared" si="426"/>
        <v>0</v>
      </c>
      <c r="EB537" s="119">
        <f t="shared" si="387"/>
        <v>0</v>
      </c>
      <c r="EC537" s="121">
        <f t="shared" si="415"/>
        <v>0</v>
      </c>
      <c r="ED537" s="122"/>
      <c r="EE537" s="145">
        <v>65</v>
      </c>
      <c r="EF537" s="148">
        <v>20</v>
      </c>
      <c r="EG537" s="115">
        <v>46</v>
      </c>
      <c r="EH537" s="115">
        <v>19</v>
      </c>
      <c r="EI537" s="128" t="s">
        <v>195</v>
      </c>
      <c r="EJ537" s="121">
        <v>24</v>
      </c>
      <c r="EK537" s="121">
        <v>0</v>
      </c>
      <c r="EL537" s="149">
        <v>13.025297999999999</v>
      </c>
      <c r="EM537" s="142">
        <v>17</v>
      </c>
      <c r="EN537" s="119">
        <v>8.35</v>
      </c>
      <c r="EO537" s="115">
        <v>33</v>
      </c>
      <c r="EP537" s="115">
        <v>875.21989899962352</v>
      </c>
      <c r="EQ537" s="115">
        <v>80</v>
      </c>
      <c r="ER537" s="115">
        <v>21.6</v>
      </c>
      <c r="ES537" s="115">
        <v>42</v>
      </c>
      <c r="ET537" s="150">
        <v>0.23287671232876711</v>
      </c>
      <c r="EU537" s="145">
        <f t="shared" si="400"/>
        <v>65</v>
      </c>
      <c r="EV537" s="115">
        <f t="shared" si="380"/>
        <v>20</v>
      </c>
      <c r="EW537" s="115">
        <f t="shared" si="380"/>
        <v>46</v>
      </c>
      <c r="EX537" s="115">
        <f t="shared" si="380"/>
        <v>19</v>
      </c>
      <c r="EY537" s="115" t="str">
        <f t="shared" si="434"/>
        <v>Постоянный</v>
      </c>
      <c r="EZ537" s="115">
        <f t="shared" si="434"/>
        <v>24</v>
      </c>
      <c r="FA537" s="115">
        <f t="shared" si="434"/>
        <v>0</v>
      </c>
      <c r="FB537" s="149">
        <f t="shared" si="405"/>
        <v>13.025297999999999</v>
      </c>
      <c r="FC537" s="142">
        <f t="shared" si="405"/>
        <v>17</v>
      </c>
      <c r="FD537" s="119">
        <f t="shared" si="405"/>
        <v>8.35</v>
      </c>
      <c r="FE537" s="121">
        <f t="shared" si="405"/>
        <v>33</v>
      </c>
      <c r="FF537" s="121">
        <f t="shared" si="407"/>
        <v>875.21989899962352</v>
      </c>
      <c r="FG537" s="121">
        <f t="shared" si="381"/>
        <v>80</v>
      </c>
      <c r="FH537" s="121">
        <f t="shared" si="436"/>
        <v>21.6</v>
      </c>
      <c r="FI537" s="121">
        <f t="shared" si="427"/>
        <v>42</v>
      </c>
      <c r="FJ537" s="144">
        <f t="shared" si="382"/>
        <v>0.23287671232876711</v>
      </c>
      <c r="FK537" s="132">
        <f t="shared" si="383"/>
        <v>0</v>
      </c>
      <c r="FL537" s="115">
        <f t="shared" si="383"/>
        <v>0</v>
      </c>
      <c r="FM537" s="115">
        <f t="shared" si="383"/>
        <v>0</v>
      </c>
      <c r="FN537" s="115">
        <f t="shared" si="371"/>
        <v>0</v>
      </c>
      <c r="FO537" s="115">
        <f t="shared" si="439"/>
        <v>0</v>
      </c>
      <c r="FP537" s="115">
        <f t="shared" si="439"/>
        <v>0</v>
      </c>
      <c r="FQ537" s="149">
        <f t="shared" si="439"/>
        <v>0</v>
      </c>
      <c r="FR537" s="142">
        <f t="shared" si="439"/>
        <v>0</v>
      </c>
      <c r="FS537" s="119">
        <f t="shared" si="439"/>
        <v>0</v>
      </c>
      <c r="FT537" s="121">
        <f t="shared" si="438"/>
        <v>0</v>
      </c>
      <c r="FU537" s="121">
        <f t="shared" si="384"/>
        <v>0</v>
      </c>
      <c r="FV537" s="121">
        <f t="shared" si="384"/>
        <v>0</v>
      </c>
      <c r="FW537" s="121">
        <f t="shared" si="385"/>
        <v>0</v>
      </c>
      <c r="FX537" s="121">
        <f t="shared" si="386"/>
        <v>0</v>
      </c>
      <c r="FY537" s="144">
        <f t="shared" si="386"/>
        <v>0</v>
      </c>
      <c r="FZ537" s="145"/>
      <c r="GA537" s="151" t="s">
        <v>1888</v>
      </c>
      <c r="GB537" s="145"/>
      <c r="GC537" s="151" t="s">
        <v>1889</v>
      </c>
      <c r="GD537" s="997" t="s">
        <v>220</v>
      </c>
      <c r="GE537" s="1004"/>
      <c r="GF537" s="1004">
        <v>0</v>
      </c>
      <c r="GG537" s="1004"/>
      <c r="GH537" s="1004">
        <v>0</v>
      </c>
      <c r="GI537" s="145"/>
      <c r="GJ537" s="996">
        <v>0</v>
      </c>
      <c r="GK537" s="145"/>
      <c r="GL537" s="996">
        <v>0</v>
      </c>
      <c r="GM537" s="1005"/>
      <c r="GN537" s="996">
        <v>-0.7126164320000008</v>
      </c>
      <c r="GO537" s="1006" t="s">
        <v>349</v>
      </c>
      <c r="GP537" s="996">
        <v>5.8907225168000004</v>
      </c>
      <c r="GQ537" s="1006" t="s">
        <v>25</v>
      </c>
      <c r="GR537" s="996">
        <v>1.9951919152000004</v>
      </c>
      <c r="GS537" s="1006"/>
      <c r="GT537" s="996">
        <v>0</v>
      </c>
      <c r="GU537" s="1006"/>
      <c r="GV537" s="996">
        <v>0</v>
      </c>
      <c r="GW537" s="1006"/>
      <c r="GX537" s="996">
        <v>0</v>
      </c>
      <c r="GY537" s="1006" t="s">
        <v>199</v>
      </c>
      <c r="GZ537" s="996">
        <v>-1.2540000000000004</v>
      </c>
      <c r="HA537" s="1006"/>
      <c r="HB537" s="996">
        <v>0</v>
      </c>
      <c r="HC537" s="1006" t="s">
        <v>204</v>
      </c>
      <c r="HD537" s="996">
        <v>-8.303151999999999</v>
      </c>
      <c r="HE537" s="1006" t="s">
        <v>204</v>
      </c>
      <c r="HF537" s="996">
        <v>6.2131519999999991</v>
      </c>
      <c r="HG537" s="1006"/>
      <c r="HH537" s="996">
        <v>0</v>
      </c>
      <c r="HI537" s="1006"/>
      <c r="HJ537" s="996">
        <v>-0.8360000000000003</v>
      </c>
      <c r="HK537" s="1006"/>
      <c r="HL537" s="996">
        <v>0</v>
      </c>
      <c r="HM537" s="1006"/>
      <c r="HN537" s="996">
        <v>-0.38456000000000046</v>
      </c>
      <c r="HO537" s="1006" t="s">
        <v>199</v>
      </c>
      <c r="HP537" s="996">
        <v>4.1298400000000015</v>
      </c>
      <c r="HQ537" s="1006" t="s">
        <v>203</v>
      </c>
      <c r="HR537" s="996">
        <v>-5.4974115363199996</v>
      </c>
      <c r="HS537" s="1006" t="s">
        <v>203</v>
      </c>
      <c r="HT537" s="996">
        <v>-2.3257085948800018</v>
      </c>
      <c r="HU537" s="1006" t="s">
        <v>25</v>
      </c>
      <c r="HV537" s="996">
        <v>3.9404017312000015</v>
      </c>
      <c r="HW537" s="1006" t="s">
        <v>146</v>
      </c>
      <c r="HX537" s="996">
        <v>-1.8355215999999999</v>
      </c>
      <c r="HY537" s="1006"/>
      <c r="HZ537" s="996">
        <v>0</v>
      </c>
      <c r="IA537" s="1006"/>
      <c r="IB537" s="996">
        <v>0</v>
      </c>
      <c r="IC537" s="1006"/>
      <c r="ID537" s="996">
        <v>0</v>
      </c>
      <c r="IE537" s="1006" t="s">
        <v>204</v>
      </c>
      <c r="IF537" s="996">
        <v>-6.3870400000000007</v>
      </c>
      <c r="IG537" s="1006" t="s">
        <v>204</v>
      </c>
      <c r="IH537" s="996">
        <v>9.6975999999999996</v>
      </c>
      <c r="II537" s="1006" t="s">
        <v>199</v>
      </c>
      <c r="IJ537" s="996">
        <v>-1.6720000000000006</v>
      </c>
      <c r="IK537" s="1006"/>
      <c r="IL537" s="996">
        <v>0</v>
      </c>
      <c r="IM537" s="1006" t="s">
        <v>199</v>
      </c>
      <c r="IN537" s="996">
        <v>2.1944999999999997</v>
      </c>
      <c r="IO537" s="1006" t="s">
        <v>199</v>
      </c>
      <c r="IP537" s="996">
        <v>-6.1404199999999989</v>
      </c>
      <c r="IQ537" s="1006" t="s">
        <v>199</v>
      </c>
      <c r="IR537" s="996">
        <v>-4.0796799999999998</v>
      </c>
      <c r="IS537" s="1006" t="s">
        <v>199</v>
      </c>
      <c r="IT537" s="996">
        <v>14.291419999999999</v>
      </c>
      <c r="IU537" s="1006" t="s">
        <v>199</v>
      </c>
      <c r="IV537" s="996">
        <v>-10.529419999999998</v>
      </c>
      <c r="IW537" s="1006"/>
      <c r="IX537" s="996">
        <v>0</v>
      </c>
      <c r="IY537" s="1006"/>
      <c r="IZ537" s="996">
        <v>0</v>
      </c>
      <c r="JA537" s="1006"/>
      <c r="JB537" s="996">
        <v>0</v>
      </c>
      <c r="JC537" s="1006"/>
      <c r="JD537" s="996">
        <v>0</v>
      </c>
      <c r="JE537" s="1006"/>
      <c r="JF537" s="996">
        <v>0</v>
      </c>
      <c r="JG537" s="1006"/>
      <c r="JH537" s="996">
        <v>0</v>
      </c>
      <c r="JI537" s="1006"/>
      <c r="JJ537" s="996">
        <v>0</v>
      </c>
      <c r="JK537" s="1007"/>
      <c r="JL537" s="1007">
        <v>0</v>
      </c>
      <c r="JM537" s="1007"/>
      <c r="JN537" s="1007">
        <v>0</v>
      </c>
      <c r="JO537" s="1008"/>
      <c r="JP537" s="1007">
        <v>0</v>
      </c>
      <c r="JQ537" s="1008">
        <v>0</v>
      </c>
      <c r="JR537" s="1007">
        <v>0</v>
      </c>
      <c r="JS537" s="1008" t="s">
        <v>203</v>
      </c>
      <c r="JT537" s="1007">
        <v>-5.459787256000002</v>
      </c>
      <c r="JU537" s="1008"/>
      <c r="JV537" s="1007">
        <v>0</v>
      </c>
      <c r="JW537" s="1008" t="s">
        <v>197</v>
      </c>
      <c r="JX537" s="1007">
        <v>0</v>
      </c>
      <c r="JY537" s="1008"/>
      <c r="JZ537" s="1007">
        <v>0</v>
      </c>
      <c r="KA537" s="1008"/>
      <c r="KB537" s="1007">
        <v>-2.1274399999882121E-4</v>
      </c>
      <c r="KC537" s="1008"/>
      <c r="KD537" s="1007"/>
      <c r="KE537" s="1008"/>
      <c r="KF537" s="1007"/>
      <c r="KG537" s="1008"/>
      <c r="KH537" s="1007"/>
      <c r="KI537" s="1008"/>
      <c r="KJ537" s="1007"/>
      <c r="KK537" s="1008"/>
      <c r="KL537" s="1007"/>
      <c r="KM537" s="1008"/>
      <c r="KN537" s="1007"/>
      <c r="KO537" s="1008"/>
      <c r="KP537" s="1007"/>
      <c r="KQ537" s="1008"/>
      <c r="KR537" s="1007"/>
      <c r="KS537" s="1008"/>
      <c r="KT537" s="1007"/>
      <c r="KU537" s="1008"/>
      <c r="KV537" s="1007"/>
      <c r="KW537" s="1008"/>
      <c r="KX537" s="1007"/>
      <c r="KY537" s="1008"/>
      <c r="KZ537" s="1007"/>
      <c r="LA537" s="1008"/>
      <c r="LB537" s="1007"/>
      <c r="LC537" s="1008"/>
      <c r="LD537" s="1007"/>
      <c r="LE537" s="1008"/>
      <c r="LF537" s="1007"/>
      <c r="LG537" s="1008"/>
      <c r="LH537" s="1007"/>
      <c r="LI537" s="1008"/>
      <c r="LJ537" s="1007"/>
      <c r="LK537" s="1008"/>
      <c r="LL537" s="1007"/>
      <c r="LM537" s="1008"/>
      <c r="LN537" s="1007"/>
      <c r="LO537" s="1008"/>
      <c r="LP537" s="1007"/>
      <c r="LQ537" s="1008"/>
      <c r="LR537" s="1007"/>
      <c r="LS537" s="1008"/>
      <c r="LT537" s="1007"/>
      <c r="LU537" s="1008"/>
      <c r="LV537" s="1007"/>
      <c r="LW537" s="1008"/>
      <c r="LX537" s="1007"/>
      <c r="LY537" s="1009"/>
      <c r="LZ537" s="1010"/>
      <c r="MA537" s="1011"/>
      <c r="MB537" s="1012"/>
      <c r="MC537" s="995"/>
      <c r="MD537" s="996"/>
      <c r="ME537" s="997" t="s">
        <v>220</v>
      </c>
      <c r="MF537" s="997"/>
      <c r="MG537" s="998"/>
      <c r="NR537" s="1000"/>
      <c r="NS537" s="1000"/>
      <c r="NT537" s="1001"/>
      <c r="NU537" s="1000"/>
      <c r="NV537" s="1001"/>
      <c r="NX537" s="1002"/>
      <c r="NZ537" s="1001"/>
      <c r="OA537" s="1001"/>
      <c r="OC537" s="1003"/>
      <c r="OD537" s="1003"/>
      <c r="OE537" s="1001"/>
      <c r="OF537" s="1003"/>
      <c r="OG537" s="1003"/>
      <c r="QX537" s="1000">
        <f>CN537-CA537</f>
        <v>22</v>
      </c>
      <c r="ASU537" s="999" t="s">
        <v>208</v>
      </c>
    </row>
    <row r="538" spans="1:466 1191:1191" ht="21" customHeight="1" x14ac:dyDescent="0.25">
      <c r="A538" s="982">
        <f t="shared" si="372"/>
        <v>3243</v>
      </c>
      <c r="B538" s="124">
        <f>SUBTOTAL(103,$J$29:J538)</f>
        <v>510</v>
      </c>
      <c r="C538" s="126">
        <v>45068</v>
      </c>
      <c r="D538" s="124" t="s">
        <v>176</v>
      </c>
      <c r="E538" s="127" t="s">
        <v>177</v>
      </c>
      <c r="F538" s="128" t="s">
        <v>177</v>
      </c>
      <c r="G538" s="127" t="s">
        <v>178</v>
      </c>
      <c r="H538" s="127" t="s">
        <v>408</v>
      </c>
      <c r="I538" s="127" t="s">
        <v>888</v>
      </c>
      <c r="J538" s="129">
        <v>3243</v>
      </c>
      <c r="K538" s="127" t="s">
        <v>1448</v>
      </c>
      <c r="L538" s="130">
        <v>35299</v>
      </c>
      <c r="M538" s="127" t="s">
        <v>230</v>
      </c>
      <c r="N538" s="127" t="s">
        <v>231</v>
      </c>
      <c r="O538" s="127" t="s">
        <v>185</v>
      </c>
      <c r="P538" s="127" t="s">
        <v>186</v>
      </c>
      <c r="Q538" s="85" t="str">
        <f t="shared" si="423"/>
        <v/>
      </c>
      <c r="R538" s="130"/>
      <c r="S538" s="128"/>
      <c r="T538" s="131"/>
      <c r="U538" s="132">
        <v>203</v>
      </c>
      <c r="V538" s="121">
        <v>218.2</v>
      </c>
      <c r="W538" s="116">
        <v>0.98</v>
      </c>
      <c r="X538" s="116">
        <v>1.66</v>
      </c>
      <c r="Y538" s="116">
        <f t="shared" si="408"/>
        <v>1.0441591784338895</v>
      </c>
      <c r="Z538" s="133">
        <v>1.454</v>
      </c>
      <c r="AA538" s="133">
        <v>0.83599999999999997</v>
      </c>
      <c r="AB538" s="133">
        <v>0.72</v>
      </c>
      <c r="AC538" s="121">
        <v>34.299999999999997</v>
      </c>
      <c r="AD538" s="134">
        <v>1.17</v>
      </c>
      <c r="AE538" s="124" t="s">
        <v>518</v>
      </c>
      <c r="AF538" s="128">
        <v>9.19</v>
      </c>
      <c r="AG538" s="128">
        <v>2017.1</v>
      </c>
      <c r="AH538" s="127" t="s">
        <v>1890</v>
      </c>
      <c r="AI538" s="127" t="s">
        <v>1890</v>
      </c>
      <c r="AJ538" s="135"/>
      <c r="AK538" s="128"/>
      <c r="AL538" s="131"/>
      <c r="AM538" s="124" t="s">
        <v>985</v>
      </c>
      <c r="AN538" s="136" t="s">
        <v>1891</v>
      </c>
      <c r="AO538" s="137">
        <v>76.400000000000006</v>
      </c>
      <c r="AP538" s="128">
        <v>2079.1</v>
      </c>
      <c r="AQ538" s="128">
        <v>198.1</v>
      </c>
      <c r="AR538" s="128" t="s">
        <v>1892</v>
      </c>
      <c r="AS538" s="128">
        <v>114</v>
      </c>
      <c r="AT538" s="122">
        <v>7.37</v>
      </c>
      <c r="AU538" s="124" t="s">
        <v>250</v>
      </c>
      <c r="AV538" s="115">
        <f>VLOOKUP(J538,'[63]ТР нефть'!$J$28:$BP$638,39,0)</f>
        <v>415</v>
      </c>
      <c r="AW538" s="115" t="str">
        <f>VLOOKUP(J538,'[63]ТР нефть'!$J$28:$BP$638,40,0)</f>
        <v>ГП</v>
      </c>
      <c r="AX538" s="115">
        <f>VLOOKUP(J538,'[63]ТР нефть'!$J$28:$BP$638,41,0)</f>
        <v>810</v>
      </c>
      <c r="AY538" s="115" t="str">
        <f>VLOOKUP(J538,'[63]ТР нефть'!$J$28:$BP$638,42,0)</f>
        <v>ГК 78 1/8</v>
      </c>
      <c r="AZ538" s="115">
        <f>VLOOKUP(J538,'[63]ТР нефть'!$J$28:$BP$638,43,0)</f>
        <v>1175</v>
      </c>
      <c r="BA538" s="115" t="str">
        <f>VLOOKUP(J538,'[63]ТР нефть'!$J$28:$BP$638,44,0)</f>
        <v>ГК 78 1/8</v>
      </c>
      <c r="BB538" s="115">
        <f>VLOOKUP(J538,'[63]ТР нефть'!$J$28:$BP$638,45,0)</f>
        <v>1510</v>
      </c>
      <c r="BC538" s="115" t="str">
        <f>VLOOKUP(J538,'[63]ТР нефть'!$J$28:$BP$638,46,0)</f>
        <v>ГК 78 1/8</v>
      </c>
      <c r="BD538" s="115" t="str">
        <f>VLOOKUP(J538,'[63]ТР нефть'!$J$28:$BP$638,47,0)</f>
        <v>-</v>
      </c>
      <c r="BE538" s="115" t="str">
        <f>VLOOKUP(J538,'[63]ТР нефть'!$J$28:$BP$638,48,0)</f>
        <v>-</v>
      </c>
      <c r="BF538" s="115" t="str">
        <f>VLOOKUP(J538,'[63]ТР нефть'!$J$28:$BP$638,49,0)</f>
        <v>-</v>
      </c>
      <c r="BG538" s="115" t="str">
        <f>VLOOKUP(J538,'[63]ТР нефть'!$J$28:$BP$638,50,0)</f>
        <v>-</v>
      </c>
      <c r="BH538" s="115">
        <f>VLOOKUP(J538,'[63]ТР нефть'!$J$28:$BP$638,51,0)</f>
        <v>1750</v>
      </c>
      <c r="BI538" s="115" t="str">
        <f>VLOOKUP(J538,'[63]ТР нефть'!$J$28:$BP$638,52,0)</f>
        <v>закрыт</v>
      </c>
      <c r="BJ538" s="115" t="str">
        <f>IF(IFERROR(VLOOKUP(J538,'[63]ТР нефть'!$J$28:$BP$638,53,0),"-")=0,"-",IFERROR(VLOOKUP(J538,'[63]ТР нефть'!$J$28:$BP$638,53,0),"-"))</f>
        <v>-</v>
      </c>
      <c r="BK538" s="138" t="str">
        <f>IF(IFERROR(VLOOKUP(J538,'[63]ТР нефть'!$J$28:$BP$638,54,0),"-")=0,"-",IFERROR(VLOOKUP(J538,'[63]ТР нефть'!$J$28:$BP$638,54,0),"-"))</f>
        <v>-</v>
      </c>
      <c r="BL538" s="138" t="str">
        <f>IF(IFERROR(VLOOKUP(J538,'[63]ТР нефть'!$J$28:$BP$638,55,0),"-")=0,"-",IFERROR(VLOOKUP(J538,'[63]ТР нефть'!$J$28:$BP$638,55,0),"-"))</f>
        <v>-</v>
      </c>
      <c r="BM538" s="138" t="str">
        <f>IF(IFERROR(VLOOKUP(J538,'[63]ТР нефть'!$J$28:$BP$638,56,0),"-")=0,"-",IFERROR(VLOOKUP(J538,'[63]ТР нефть'!$J$28:$BP$638,56,0),"-"))</f>
        <v>-</v>
      </c>
      <c r="BN538" s="138" t="str">
        <f>IF(IFERROR(VLOOKUP(J538,'[63]ТР нефть'!$J$28:$BP$638,57,0),"-")=0,"-",IFERROR(VLOOKUP(J538,'[63]ТР нефть'!$J$28:$BP$638,57,0),"-"))</f>
        <v>-</v>
      </c>
      <c r="BO538" s="115" t="str">
        <f>IF(IFERROR(VLOOKUP(J538,'[63]ТР нефть'!$J$28:$BP$638,58,0),"-")=0,"-",IFERROR(VLOOKUP(J538,'[63]ТР нефть'!$J$28:$BP$638,58,0),"-"))</f>
        <v>-</v>
      </c>
      <c r="BP538" s="115" t="str">
        <f>IF(IFERROR(VLOOKUP(J538,'[63]ТР нефть'!$J$28:$BP$638,59,0),"-")=0,"-",IFERROR(VLOOKUP(J538,'[63]ТР нефть'!$J$28:$BP$638,59,0),"-"))</f>
        <v>-</v>
      </c>
      <c r="BQ538" s="138">
        <v>1870</v>
      </c>
      <c r="BR538" s="128">
        <v>1815.94</v>
      </c>
      <c r="BS538" s="115">
        <f t="shared" si="437"/>
        <v>54.059999999999945</v>
      </c>
      <c r="BT538" s="128">
        <v>73</v>
      </c>
      <c r="BU538" s="128">
        <v>5.5</v>
      </c>
      <c r="BV538" s="127">
        <v>18</v>
      </c>
      <c r="BW538" s="127" t="s">
        <v>217</v>
      </c>
      <c r="BX538" s="127" t="s">
        <v>195</v>
      </c>
      <c r="BY538" s="139">
        <v>24</v>
      </c>
      <c r="BZ538" s="139">
        <v>0</v>
      </c>
      <c r="CA538" s="138">
        <v>29</v>
      </c>
      <c r="CB538" s="138">
        <v>59</v>
      </c>
      <c r="CC538" s="138">
        <v>27</v>
      </c>
      <c r="CD538" s="135">
        <v>45017</v>
      </c>
      <c r="CE538" s="138">
        <v>160</v>
      </c>
      <c r="CF538" s="138"/>
      <c r="CG538" s="138" t="str">
        <f t="shared" si="433"/>
        <v/>
      </c>
      <c r="CH538" s="138" t="s">
        <v>197</v>
      </c>
      <c r="CI538" s="127"/>
      <c r="CJ538" s="138"/>
      <c r="CK538" s="138"/>
      <c r="CL538" s="99"/>
      <c r="CM538" s="138"/>
      <c r="CN538" s="154">
        <v>62</v>
      </c>
      <c r="CO538" s="159">
        <f t="shared" si="373"/>
        <v>20.962699999999998</v>
      </c>
      <c r="CP538" s="160">
        <v>29.5</v>
      </c>
      <c r="CQ538" s="161">
        <v>15</v>
      </c>
      <c r="CR538" s="138">
        <v>86</v>
      </c>
      <c r="CS538" s="139"/>
      <c r="CT538" s="138"/>
      <c r="CU538" s="138">
        <f t="shared" si="418"/>
        <v>86</v>
      </c>
      <c r="CV538" s="115">
        <f t="shared" si="419"/>
        <v>4102.524961002161</v>
      </c>
      <c r="CW538" s="115" t="str">
        <f t="shared" si="374"/>
        <v/>
      </c>
      <c r="CX538" s="133">
        <f t="shared" si="420"/>
        <v>0.30102040816326531</v>
      </c>
      <c r="CY538" s="116"/>
      <c r="CZ538" s="144"/>
      <c r="DA538" s="145" t="str">
        <f t="shared" si="375"/>
        <v>Фон.</v>
      </c>
      <c r="DB538" s="146">
        <f t="shared" si="390"/>
        <v>20.962699999999998</v>
      </c>
      <c r="DC538" s="142">
        <f t="shared" si="402"/>
        <v>29.5</v>
      </c>
      <c r="DD538" s="119">
        <f t="shared" si="416"/>
        <v>15</v>
      </c>
      <c r="DE538" s="115">
        <f t="shared" si="392"/>
        <v>86</v>
      </c>
      <c r="DF538" s="121">
        <f t="shared" si="376"/>
        <v>0</v>
      </c>
      <c r="DG538" s="115">
        <f t="shared" si="377"/>
        <v>4102.524961002161</v>
      </c>
      <c r="DH538" s="115">
        <f t="shared" si="378"/>
        <v>62</v>
      </c>
      <c r="DI538" s="147"/>
      <c r="DJ538" s="111">
        <v>43236</v>
      </c>
      <c r="DK538" s="112">
        <v>42094</v>
      </c>
      <c r="DL538" s="113">
        <f t="shared" ca="1" si="424"/>
        <v>3010</v>
      </c>
      <c r="DM538" s="114"/>
      <c r="DN538" s="114"/>
      <c r="DO538" s="114"/>
      <c r="DP538" s="114"/>
      <c r="DQ538" s="112">
        <v>43242</v>
      </c>
      <c r="DR538" s="114" t="s">
        <v>198</v>
      </c>
      <c r="DS538" s="114"/>
      <c r="DT538" s="115">
        <v>44</v>
      </c>
      <c r="DU538" s="116">
        <f t="shared" si="425"/>
        <v>0.28033961676273561</v>
      </c>
      <c r="DV538" s="117">
        <f t="shared" si="428"/>
        <v>23.108282473905593</v>
      </c>
      <c r="DW538" s="118">
        <f t="shared" si="429"/>
        <v>32.519395544477334</v>
      </c>
      <c r="DX538" s="119">
        <f t="shared" si="430"/>
        <v>15</v>
      </c>
      <c r="DY538" s="115">
        <f t="shared" si="431"/>
        <v>94.802305655086471</v>
      </c>
      <c r="DZ538" s="117">
        <f t="shared" ref="DZ538:EB569" si="440">DV538-CO538</f>
        <v>2.1455824739055949</v>
      </c>
      <c r="EA538" s="120">
        <f t="shared" si="440"/>
        <v>3.0193955444773337</v>
      </c>
      <c r="EB538" s="119">
        <f t="shared" si="387"/>
        <v>0</v>
      </c>
      <c r="EC538" s="121">
        <f t="shared" si="415"/>
        <v>8.8023056550864709</v>
      </c>
      <c r="ED538" s="122"/>
      <c r="EE538" s="145">
        <v>18</v>
      </c>
      <c r="EF538" s="115">
        <v>22</v>
      </c>
      <c r="EG538" s="115">
        <v>72</v>
      </c>
      <c r="EH538" s="115">
        <v>20</v>
      </c>
      <c r="EI538" s="128" t="s">
        <v>195</v>
      </c>
      <c r="EJ538" s="121">
        <v>24</v>
      </c>
      <c r="EK538" s="121">
        <v>0</v>
      </c>
      <c r="EL538" s="162">
        <v>10.029993599999999</v>
      </c>
      <c r="EM538" s="142">
        <v>12</v>
      </c>
      <c r="EN538" s="119">
        <v>0.02</v>
      </c>
      <c r="EO538" s="115">
        <v>13</v>
      </c>
      <c r="EP538" s="115">
        <v>1296.1124920358873</v>
      </c>
      <c r="EQ538" s="115">
        <v>0</v>
      </c>
      <c r="ER538" s="115">
        <v>0</v>
      </c>
      <c r="ES538" s="115">
        <v>42</v>
      </c>
      <c r="ET538" s="150">
        <v>0.17647058823529413</v>
      </c>
      <c r="EU538" s="145">
        <f t="shared" si="400"/>
        <v>18</v>
      </c>
      <c r="EV538" s="115">
        <f t="shared" si="380"/>
        <v>29</v>
      </c>
      <c r="EW538" s="115">
        <f t="shared" si="380"/>
        <v>59</v>
      </c>
      <c r="EX538" s="115">
        <f t="shared" si="380"/>
        <v>27</v>
      </c>
      <c r="EY538" s="115" t="str">
        <f t="shared" si="434"/>
        <v>Постоянный</v>
      </c>
      <c r="EZ538" s="115">
        <f t="shared" si="434"/>
        <v>24</v>
      </c>
      <c r="FA538" s="115">
        <f t="shared" si="434"/>
        <v>0</v>
      </c>
      <c r="FB538" s="149">
        <f t="shared" si="405"/>
        <v>20.962699999999998</v>
      </c>
      <c r="FC538" s="142">
        <f t="shared" si="405"/>
        <v>29.5</v>
      </c>
      <c r="FD538" s="119">
        <f t="shared" si="405"/>
        <v>15</v>
      </c>
      <c r="FE538" s="121">
        <f t="shared" si="405"/>
        <v>86</v>
      </c>
      <c r="FF538" s="121">
        <f t="shared" si="407"/>
        <v>4102.524961002161</v>
      </c>
      <c r="FG538" s="121">
        <f t="shared" si="381"/>
        <v>0</v>
      </c>
      <c r="FH538" s="121">
        <f t="shared" si="436"/>
        <v>0</v>
      </c>
      <c r="FI538" s="121">
        <f t="shared" si="427"/>
        <v>62</v>
      </c>
      <c r="FJ538" s="144">
        <f t="shared" si="382"/>
        <v>0.30102040816326531</v>
      </c>
      <c r="FK538" s="132">
        <f t="shared" si="383"/>
        <v>0</v>
      </c>
      <c r="FL538" s="115">
        <f t="shared" si="383"/>
        <v>7</v>
      </c>
      <c r="FM538" s="115">
        <f t="shared" si="383"/>
        <v>-13</v>
      </c>
      <c r="FN538" s="115">
        <f t="shared" si="371"/>
        <v>7</v>
      </c>
      <c r="FO538" s="115">
        <f t="shared" si="439"/>
        <v>0</v>
      </c>
      <c r="FP538" s="115">
        <f t="shared" si="439"/>
        <v>0</v>
      </c>
      <c r="FQ538" s="149">
        <f t="shared" si="439"/>
        <v>10.932706399999999</v>
      </c>
      <c r="FR538" s="142">
        <f t="shared" si="439"/>
        <v>17.5</v>
      </c>
      <c r="FS538" s="119">
        <f t="shared" si="439"/>
        <v>14.98</v>
      </c>
      <c r="FT538" s="121">
        <f t="shared" si="438"/>
        <v>73</v>
      </c>
      <c r="FU538" s="121">
        <f t="shared" si="384"/>
        <v>0</v>
      </c>
      <c r="FV538" s="121">
        <f t="shared" si="384"/>
        <v>0</v>
      </c>
      <c r="FW538" s="121">
        <f t="shared" si="385"/>
        <v>2806.412468966274</v>
      </c>
      <c r="FX538" s="121">
        <f>CN538-ES538</f>
        <v>20</v>
      </c>
      <c r="FY538" s="144">
        <f t="shared" si="386"/>
        <v>0.12454981992797118</v>
      </c>
      <c r="FZ538" s="145" t="s">
        <v>25</v>
      </c>
      <c r="GA538" s="151" t="s">
        <v>1893</v>
      </c>
      <c r="GB538" s="145"/>
      <c r="GC538" s="151" t="s">
        <v>858</v>
      </c>
      <c r="GD538" s="997" t="s">
        <v>416</v>
      </c>
      <c r="GE538" s="1004"/>
      <c r="GF538" s="1004">
        <v>0</v>
      </c>
      <c r="GG538" s="1004"/>
      <c r="GH538" s="1004">
        <v>0</v>
      </c>
      <c r="GI538" s="145"/>
      <c r="GJ538" s="996">
        <v>0</v>
      </c>
      <c r="GK538" s="145"/>
      <c r="GL538" s="996">
        <v>0</v>
      </c>
      <c r="GM538" s="1005"/>
      <c r="GN538" s="996">
        <v>0</v>
      </c>
      <c r="GO538" s="1006"/>
      <c r="GP538" s="996">
        <v>0</v>
      </c>
      <c r="GQ538" s="1006"/>
      <c r="GR538" s="996">
        <v>-0.58720639999999946</v>
      </c>
      <c r="GS538" s="1006" t="s">
        <v>199</v>
      </c>
      <c r="GT538" s="996">
        <v>17.399667999999998</v>
      </c>
      <c r="GU538" s="1006"/>
      <c r="GV538" s="996">
        <v>0</v>
      </c>
      <c r="GW538" s="1006"/>
      <c r="GX538" s="996">
        <v>0</v>
      </c>
      <c r="GY538" s="1006"/>
      <c r="GZ538" s="996">
        <v>-0.18391999999999875</v>
      </c>
      <c r="HA538" s="1006"/>
      <c r="HB538" s="996">
        <v>0.68551999999999857</v>
      </c>
      <c r="HC538" s="1006" t="s">
        <v>241</v>
      </c>
      <c r="HD538" s="996">
        <v>1.3877599999999992</v>
      </c>
      <c r="HE538" s="1006"/>
      <c r="HF538" s="996">
        <v>0</v>
      </c>
      <c r="HG538" s="1006"/>
      <c r="HH538" s="996">
        <v>0</v>
      </c>
      <c r="HI538" s="1006" t="s">
        <v>223</v>
      </c>
      <c r="HJ538" s="996">
        <v>-2.7779611199999987</v>
      </c>
      <c r="HK538" s="1006"/>
      <c r="HL538" s="996">
        <v>0</v>
      </c>
      <c r="HM538" s="1006" t="s">
        <v>204</v>
      </c>
      <c r="HN538" s="996">
        <v>-3.0320850559999997</v>
      </c>
      <c r="HO538" s="1006"/>
      <c r="HP538" s="996">
        <v>-0.62824146000000169</v>
      </c>
      <c r="HQ538" s="1006"/>
      <c r="HR538" s="996">
        <v>0</v>
      </c>
      <c r="HS538" s="1006" t="s">
        <v>199</v>
      </c>
      <c r="HT538" s="996">
        <v>3.0864292360000025</v>
      </c>
      <c r="HU538" s="1006"/>
      <c r="HV538" s="996">
        <v>0</v>
      </c>
      <c r="HW538" s="1006" t="s">
        <v>204</v>
      </c>
      <c r="HX538" s="996">
        <v>-0.2413247760000008</v>
      </c>
      <c r="HY538" s="1006"/>
      <c r="HZ538" s="996">
        <v>0.65740197599999917</v>
      </c>
      <c r="IA538" s="1006"/>
      <c r="IB538" s="996">
        <v>0</v>
      </c>
      <c r="IC538" s="1006" t="s">
        <v>223</v>
      </c>
      <c r="ID538" s="996">
        <v>-3.6614793599999995</v>
      </c>
      <c r="IE538" s="1006" t="s">
        <v>199</v>
      </c>
      <c r="IF538" s="996">
        <v>1.7150205599999993</v>
      </c>
      <c r="IG538" s="1006"/>
      <c r="IH538" s="996">
        <v>0</v>
      </c>
      <c r="II538" s="1006"/>
      <c r="IJ538" s="996">
        <v>-5.8519999999999683E-2</v>
      </c>
      <c r="IK538" s="1006"/>
      <c r="IL538" s="996">
        <v>-0.54340000000000011</v>
      </c>
      <c r="IM538" s="1006"/>
      <c r="IN538" s="996">
        <v>0</v>
      </c>
      <c r="IO538" s="1006"/>
      <c r="IP538" s="996">
        <v>0</v>
      </c>
      <c r="IQ538" s="1006"/>
      <c r="IR538" s="996">
        <v>0</v>
      </c>
      <c r="IS538" s="1006" t="s">
        <v>204</v>
      </c>
      <c r="IT538" s="996">
        <v>-2.5414399999999997</v>
      </c>
      <c r="IU538" s="1006"/>
      <c r="IV538" s="996">
        <v>0.8694399999999991</v>
      </c>
      <c r="IW538" s="1006"/>
      <c r="IX538" s="996">
        <v>0</v>
      </c>
      <c r="IY538" s="1006"/>
      <c r="IZ538" s="996">
        <v>0</v>
      </c>
      <c r="JA538" s="1006" t="s">
        <v>204</v>
      </c>
      <c r="JB538" s="996">
        <v>-1.9813200000000002</v>
      </c>
      <c r="JC538" s="1006"/>
      <c r="JD538" s="996">
        <v>0</v>
      </c>
      <c r="JE538" s="1006"/>
      <c r="JF538" s="996">
        <v>0</v>
      </c>
      <c r="JG538" s="1006" t="s">
        <v>204</v>
      </c>
      <c r="JH538" s="996">
        <v>4.0713200000000001</v>
      </c>
      <c r="JI538" s="1006"/>
      <c r="JJ538" s="996">
        <v>0</v>
      </c>
      <c r="JK538" s="1007"/>
      <c r="JL538" s="1007">
        <v>0</v>
      </c>
      <c r="JM538" s="1007"/>
      <c r="JN538" s="1007">
        <v>0</v>
      </c>
      <c r="JO538" s="1008"/>
      <c r="JP538" s="1007">
        <v>0</v>
      </c>
      <c r="JQ538" s="1008">
        <v>0</v>
      </c>
      <c r="JR538" s="1007">
        <v>-0.83599999999999852</v>
      </c>
      <c r="JS538" s="1008" t="s">
        <v>204</v>
      </c>
      <c r="JT538" s="1007">
        <v>1.6719999999999988</v>
      </c>
      <c r="JU538" s="1008"/>
      <c r="JV538" s="1007">
        <v>0</v>
      </c>
      <c r="JW538" s="1008" t="s">
        <v>197</v>
      </c>
      <c r="JX538" s="1007">
        <v>0</v>
      </c>
      <c r="JY538" s="1008" t="s">
        <v>204</v>
      </c>
      <c r="JZ538" s="1007">
        <v>1.4462800000000016</v>
      </c>
      <c r="KA538" s="1008" t="s">
        <v>204</v>
      </c>
      <c r="KB538" s="1007">
        <v>-6.6044000000000018</v>
      </c>
      <c r="KC538" s="1008" t="s">
        <v>204</v>
      </c>
      <c r="KD538" s="1007">
        <v>-3.3690799999999967</v>
      </c>
      <c r="KE538" s="1008"/>
      <c r="KF538" s="1007">
        <v>0</v>
      </c>
      <c r="KG538" s="1008"/>
      <c r="KH538" s="1007">
        <v>0</v>
      </c>
      <c r="KI538" s="1008" t="s">
        <v>207</v>
      </c>
      <c r="KJ538" s="1007">
        <v>-13.2088</v>
      </c>
      <c r="KK538" s="1008" t="s">
        <v>207</v>
      </c>
      <c r="KL538" s="1007">
        <v>16.385599999999997</v>
      </c>
      <c r="KM538" s="1008"/>
      <c r="KN538" s="1007">
        <v>0</v>
      </c>
      <c r="KO538" s="1008"/>
      <c r="KP538" s="1007">
        <v>0</v>
      </c>
      <c r="KQ538" s="1008" t="s">
        <v>203</v>
      </c>
      <c r="KR538" s="1007">
        <v>-1.3376000000000001</v>
      </c>
      <c r="KS538" s="1008">
        <v>0</v>
      </c>
      <c r="KT538" s="1007">
        <v>-3.37600000000009E-2</v>
      </c>
      <c r="KU538" s="1008" t="s">
        <v>1248</v>
      </c>
      <c r="KV538" s="1007">
        <v>4.3325700000000005</v>
      </c>
      <c r="KW538" s="1008">
        <v>0</v>
      </c>
      <c r="KX538" s="1007">
        <v>0</v>
      </c>
      <c r="KY538" s="1008" t="s">
        <v>204</v>
      </c>
      <c r="KZ538" s="1007">
        <v>-2.1703396000000001</v>
      </c>
      <c r="LA538" s="1008">
        <v>0</v>
      </c>
      <c r="LB538" s="1007">
        <v>0</v>
      </c>
      <c r="LC538" s="1008">
        <v>0</v>
      </c>
      <c r="LD538" s="1007">
        <v>0</v>
      </c>
      <c r="LE538" s="1008">
        <v>0</v>
      </c>
      <c r="LF538" s="1007">
        <v>0</v>
      </c>
      <c r="LG538" s="1008">
        <v>0</v>
      </c>
      <c r="LH538" s="1007">
        <v>0</v>
      </c>
      <c r="LI538" s="1008">
        <v>0</v>
      </c>
      <c r="LJ538" s="1007">
        <v>0</v>
      </c>
      <c r="LK538" s="1008">
        <v>0</v>
      </c>
      <c r="LL538" s="1007">
        <v>0</v>
      </c>
      <c r="LM538" s="1008" t="s">
        <v>240</v>
      </c>
      <c r="LN538" s="1007">
        <v>-2.00339</v>
      </c>
      <c r="LO538" s="1008" t="s">
        <v>223</v>
      </c>
      <c r="LP538" s="1007">
        <v>-1.9199158000000018</v>
      </c>
      <c r="LQ538" s="1008">
        <v>0</v>
      </c>
      <c r="LR538" s="1007">
        <v>0</v>
      </c>
      <c r="LS538" s="1008">
        <v>0</v>
      </c>
      <c r="LT538" s="1007">
        <v>0</v>
      </c>
      <c r="LU538" s="1008">
        <v>0</v>
      </c>
      <c r="LV538" s="1007">
        <v>0</v>
      </c>
      <c r="LW538" s="1008">
        <v>0</v>
      </c>
      <c r="LX538" s="1007">
        <v>0</v>
      </c>
      <c r="LY538" s="1009">
        <v>0</v>
      </c>
      <c r="LZ538" s="1010">
        <v>0</v>
      </c>
      <c r="MA538" s="1011">
        <v>0</v>
      </c>
      <c r="MB538" s="1012">
        <v>0.83474630000000005</v>
      </c>
      <c r="MC538" s="995"/>
      <c r="MD538" s="996"/>
      <c r="ME538" s="997" t="s">
        <v>416</v>
      </c>
      <c r="MF538" s="997"/>
      <c r="MG538" s="998"/>
      <c r="NR538" s="1000"/>
      <c r="NS538" s="1000"/>
      <c r="NT538" s="1001"/>
      <c r="NU538" s="1000"/>
      <c r="NV538" s="1001"/>
      <c r="NX538" s="1002"/>
      <c r="NZ538" s="1001"/>
      <c r="OA538" s="1001"/>
      <c r="OC538" s="1003"/>
      <c r="OD538" s="1003"/>
      <c r="OE538" s="1001"/>
      <c r="OF538" s="1003"/>
      <c r="OG538" s="1003"/>
      <c r="QX538" s="1000">
        <f>CN538-CA538</f>
        <v>33</v>
      </c>
      <c r="ASU538" s="999" t="s">
        <v>208</v>
      </c>
    </row>
    <row r="539" spans="1:466 1191:1191" ht="21" customHeight="1" x14ac:dyDescent="0.25">
      <c r="A539" s="982">
        <f t="shared" si="372"/>
        <v>3244</v>
      </c>
      <c r="B539" s="124">
        <f>SUBTOTAL(103,$J$29:J539)</f>
        <v>511</v>
      </c>
      <c r="C539" s="126">
        <v>45068</v>
      </c>
      <c r="D539" s="124" t="s">
        <v>176</v>
      </c>
      <c r="E539" s="127" t="s">
        <v>177</v>
      </c>
      <c r="F539" s="128" t="s">
        <v>177</v>
      </c>
      <c r="G539" s="127" t="s">
        <v>178</v>
      </c>
      <c r="H539" s="127" t="s">
        <v>408</v>
      </c>
      <c r="I539" s="127" t="s">
        <v>975</v>
      </c>
      <c r="J539" s="152">
        <v>3244</v>
      </c>
      <c r="K539" s="127" t="s">
        <v>975</v>
      </c>
      <c r="L539" s="130">
        <v>35300</v>
      </c>
      <c r="M539" s="127" t="s">
        <v>230</v>
      </c>
      <c r="N539" s="127" t="s">
        <v>231</v>
      </c>
      <c r="O539" s="127" t="s">
        <v>185</v>
      </c>
      <c r="P539" s="127" t="s">
        <v>186</v>
      </c>
      <c r="Q539" s="85" t="str">
        <f t="shared" si="423"/>
        <v/>
      </c>
      <c r="R539" s="130"/>
      <c r="S539" s="128"/>
      <c r="T539" s="131"/>
      <c r="U539" s="132">
        <v>203</v>
      </c>
      <c r="V539" s="121">
        <v>218.2</v>
      </c>
      <c r="W539" s="116">
        <v>0.98</v>
      </c>
      <c r="X539" s="116">
        <v>1.66</v>
      </c>
      <c r="Y539" s="116">
        <f t="shared" si="408"/>
        <v>0.98</v>
      </c>
      <c r="Z539" s="133">
        <v>1.454</v>
      </c>
      <c r="AA539" s="133">
        <v>0.83599999999999997</v>
      </c>
      <c r="AB539" s="133">
        <v>0.72</v>
      </c>
      <c r="AC539" s="121">
        <v>34.299999999999997</v>
      </c>
      <c r="AD539" s="134">
        <v>1.17</v>
      </c>
      <c r="AE539" s="124">
        <v>177.8</v>
      </c>
      <c r="AF539" s="128">
        <v>9.19</v>
      </c>
      <c r="AG539" s="128">
        <v>2584</v>
      </c>
      <c r="AH539" s="127">
        <v>3259</v>
      </c>
      <c r="AI539" s="127">
        <v>3174</v>
      </c>
      <c r="AJ539" s="135"/>
      <c r="AK539" s="128"/>
      <c r="AL539" s="131"/>
      <c r="AM539" s="124" t="s">
        <v>232</v>
      </c>
      <c r="AN539" s="136" t="s">
        <v>1894</v>
      </c>
      <c r="AO539" s="137">
        <v>14</v>
      </c>
      <c r="AP539" s="128">
        <v>2584</v>
      </c>
      <c r="AQ539" s="128">
        <v>798.3</v>
      </c>
      <c r="AR539" s="128"/>
      <c r="AS539" s="128"/>
      <c r="AT539" s="122"/>
      <c r="AU539" s="124" t="s">
        <v>250</v>
      </c>
      <c r="AV539" s="115">
        <f>VLOOKUP(J539,'[63]ТР нефть'!$J$28:$BP$638,39,0)</f>
        <v>440</v>
      </c>
      <c r="AW539" s="115" t="str">
        <f>VLOOKUP(J539,'[63]ТР нефть'!$J$28:$BP$638,40,0)</f>
        <v>ГП</v>
      </c>
      <c r="AX539" s="115">
        <f>VLOOKUP(J539,'[63]ТР нефть'!$J$28:$BP$638,41,0)</f>
        <v>800</v>
      </c>
      <c r="AY539" s="115" t="str">
        <f>VLOOKUP(J539,'[63]ТР нефть'!$J$28:$BP$638,42,0)</f>
        <v>ГП</v>
      </c>
      <c r="AZ539" s="115">
        <f>VLOOKUP(J539,'[63]ТР нефть'!$J$28:$BP$638,43,0)</f>
        <v>1080</v>
      </c>
      <c r="BA539" s="115" t="str">
        <f>VLOOKUP(J539,'[63]ТР нефть'!$J$28:$BP$638,44,0)</f>
        <v>ГП</v>
      </c>
      <c r="BB539" s="115">
        <f>VLOOKUP(J539,'[63]ТР нефть'!$J$28:$BP$638,45,0)</f>
        <v>1320</v>
      </c>
      <c r="BC539" s="115" t="str">
        <f>VLOOKUP(J539,'[63]ТР нефть'!$J$28:$BP$638,46,0)</f>
        <v>ГП</v>
      </c>
      <c r="BD539" s="115">
        <f>VLOOKUP(J539,'[63]ТР нефть'!$J$28:$BP$638,47,0)</f>
        <v>1520</v>
      </c>
      <c r="BE539" s="115" t="str">
        <f>VLOOKUP(J539,'[63]ТР нефть'!$J$28:$BP$638,48,0)</f>
        <v>ГК89/1,5</v>
      </c>
      <c r="BF539" s="115" t="str">
        <f>VLOOKUP(J539,'[63]ТР нефть'!$J$28:$BP$638,49,0)</f>
        <v>-</v>
      </c>
      <c r="BG539" s="115" t="str">
        <f>VLOOKUP(J539,'[63]ТР нефть'!$J$28:$BP$638,50,0)</f>
        <v>-</v>
      </c>
      <c r="BH539" s="115">
        <f>VLOOKUP(J539,'[63]ТР нефть'!$J$28:$BP$638,51,0)</f>
        <v>1720</v>
      </c>
      <c r="BI539" s="115" t="str">
        <f>VLOOKUP(J539,'[63]ТР нефть'!$J$28:$BP$638,52,0)</f>
        <v>закрыт</v>
      </c>
      <c r="BJ539" s="115" t="str">
        <f>IF(IFERROR(VLOOKUP(J539,'[63]ТР нефть'!$J$28:$BP$638,53,0),"-")=0,"-",IFERROR(VLOOKUP(J539,'[63]ТР нефть'!$J$28:$BP$638,53,0),"-"))</f>
        <v>-</v>
      </c>
      <c r="BK539" s="138" t="str">
        <f>IF(IFERROR(VLOOKUP(J539,'[63]ТР нефть'!$J$28:$BP$638,54,0),"-")=0,"-",IFERROR(VLOOKUP(J539,'[63]ТР нефть'!$J$28:$BP$638,54,0),"-"))</f>
        <v>-</v>
      </c>
      <c r="BL539" s="138" t="str">
        <f>IF(IFERROR(VLOOKUP(J539,'[63]ТР нефть'!$J$28:$BP$638,55,0),"-")=0,"-",IFERROR(VLOOKUP(J539,'[63]ТР нефть'!$J$28:$BP$638,55,0),"-"))</f>
        <v>-</v>
      </c>
      <c r="BM539" s="138" t="str">
        <f>IF(IFERROR(VLOOKUP(J539,'[63]ТР нефть'!$J$28:$BP$638,56,0),"-")=0,"-",IFERROR(VLOOKUP(J539,'[63]ТР нефть'!$J$28:$BP$638,56,0),"-"))</f>
        <v>-</v>
      </c>
      <c r="BN539" s="138" t="str">
        <f>IF(IFERROR(VLOOKUP(J539,'[63]ТР нефть'!$J$28:$BP$638,57,0),"-")=0,"-",IFERROR(VLOOKUP(J539,'[63]ТР нефть'!$J$28:$BP$638,57,0),"-"))</f>
        <v>-</v>
      </c>
      <c r="BO539" s="115" t="str">
        <f>IF(IFERROR(VLOOKUP(J539,'[63]ТР нефть'!$J$28:$BP$638,58,0),"-")=0,"-",IFERROR(VLOOKUP(J539,'[63]ТР нефть'!$J$28:$BP$638,58,0),"-"))</f>
        <v>-</v>
      </c>
      <c r="BP539" s="115" t="str">
        <f>IF(IFERROR(VLOOKUP(J539,'[63]ТР нефть'!$J$28:$BP$638,59,0),"-")=0,"-",IFERROR(VLOOKUP(J539,'[63]ТР нефть'!$J$28:$BP$638,59,0),"-"))</f>
        <v>-</v>
      </c>
      <c r="BQ539" s="138">
        <v>2600</v>
      </c>
      <c r="BR539" s="128">
        <v>1873.42</v>
      </c>
      <c r="BS539" s="115">
        <f t="shared" si="437"/>
        <v>726.57999999999993</v>
      </c>
      <c r="BT539" s="128">
        <v>73</v>
      </c>
      <c r="BU539" s="128">
        <v>5.5</v>
      </c>
      <c r="BV539" s="127">
        <v>18</v>
      </c>
      <c r="BW539" s="127" t="s">
        <v>217</v>
      </c>
      <c r="BX539" s="127" t="s">
        <v>195</v>
      </c>
      <c r="BY539" s="139">
        <v>24</v>
      </c>
      <c r="BZ539" s="139">
        <v>0</v>
      </c>
      <c r="CA539" s="138">
        <v>23</v>
      </c>
      <c r="CB539" s="138">
        <v>33</v>
      </c>
      <c r="CC539" s="138">
        <v>23</v>
      </c>
      <c r="CD539" s="135">
        <v>45017</v>
      </c>
      <c r="CE539" s="138">
        <v>108</v>
      </c>
      <c r="CF539" s="138"/>
      <c r="CG539" s="138" t="str">
        <f t="shared" si="433"/>
        <v/>
      </c>
      <c r="CH539" s="138" t="s">
        <v>197</v>
      </c>
      <c r="CI539" s="127"/>
      <c r="CJ539" s="138"/>
      <c r="CK539" s="138"/>
      <c r="CL539" s="99"/>
      <c r="CM539" s="127"/>
      <c r="CN539" s="154">
        <v>44</v>
      </c>
      <c r="CO539" s="159">
        <f t="shared" si="373"/>
        <v>21.736000000000001</v>
      </c>
      <c r="CP539" s="160">
        <v>26</v>
      </c>
      <c r="CQ539" s="161">
        <v>0</v>
      </c>
      <c r="CR539" s="138">
        <v>33</v>
      </c>
      <c r="CS539" s="139"/>
      <c r="CT539" s="138"/>
      <c r="CU539" s="138">
        <f t="shared" si="418"/>
        <v>33</v>
      </c>
      <c r="CV539" s="115">
        <f t="shared" si="419"/>
        <v>1518.2186234817814</v>
      </c>
      <c r="CW539" s="115" t="str">
        <f t="shared" si="374"/>
        <v/>
      </c>
      <c r="CX539" s="133">
        <f t="shared" si="420"/>
        <v>0.40625</v>
      </c>
      <c r="CY539" s="116"/>
      <c r="CZ539" s="131"/>
      <c r="DA539" s="145" t="str">
        <f t="shared" si="375"/>
        <v>Фон.</v>
      </c>
      <c r="DB539" s="146">
        <f t="shared" si="390"/>
        <v>21.736000000000001</v>
      </c>
      <c r="DC539" s="142">
        <f t="shared" si="402"/>
        <v>26</v>
      </c>
      <c r="DD539" s="119">
        <f t="shared" si="416"/>
        <v>0</v>
      </c>
      <c r="DE539" s="115">
        <f t="shared" si="392"/>
        <v>33</v>
      </c>
      <c r="DF539" s="121">
        <f t="shared" si="376"/>
        <v>0</v>
      </c>
      <c r="DG539" s="115">
        <f t="shared" si="377"/>
        <v>1518.2186234817814</v>
      </c>
      <c r="DH539" s="115">
        <f t="shared" si="378"/>
        <v>44</v>
      </c>
      <c r="DI539" s="147"/>
      <c r="DJ539" s="111">
        <v>43320</v>
      </c>
      <c r="DK539" s="112">
        <v>42457</v>
      </c>
      <c r="DL539" s="113">
        <f t="shared" ca="1" si="424"/>
        <v>2647</v>
      </c>
      <c r="DM539" s="114"/>
      <c r="DN539" s="114"/>
      <c r="DO539" s="114"/>
      <c r="DP539" s="114"/>
      <c r="DQ539" s="112" t="s">
        <v>1895</v>
      </c>
      <c r="DR539" s="114" t="s">
        <v>198</v>
      </c>
      <c r="DS539" s="114"/>
      <c r="DT539" s="115">
        <v>45</v>
      </c>
      <c r="DU539" s="116">
        <f t="shared" si="425"/>
        <v>0.41269841269841268</v>
      </c>
      <c r="DV539" s="117">
        <f t="shared" si="428"/>
        <v>21.736000000000001</v>
      </c>
      <c r="DW539" s="118">
        <f t="shared" si="429"/>
        <v>26</v>
      </c>
      <c r="DX539" s="119">
        <f t="shared" si="430"/>
        <v>0</v>
      </c>
      <c r="DY539" s="115">
        <f t="shared" si="431"/>
        <v>33</v>
      </c>
      <c r="DZ539" s="117">
        <f t="shared" si="440"/>
        <v>0</v>
      </c>
      <c r="EA539" s="120">
        <f t="shared" si="440"/>
        <v>0</v>
      </c>
      <c r="EB539" s="119">
        <f t="shared" si="387"/>
        <v>0</v>
      </c>
      <c r="EC539" s="121">
        <f t="shared" si="415"/>
        <v>0</v>
      </c>
      <c r="ED539" s="122"/>
      <c r="EE539" s="145">
        <v>18</v>
      </c>
      <c r="EF539" s="115">
        <v>26</v>
      </c>
      <c r="EG539" s="115">
        <v>34</v>
      </c>
      <c r="EH539" s="115">
        <v>25</v>
      </c>
      <c r="EI539" s="128" t="s">
        <v>195</v>
      </c>
      <c r="EJ539" s="121">
        <v>24</v>
      </c>
      <c r="EK539" s="121">
        <v>0</v>
      </c>
      <c r="EL539" s="162">
        <v>19.980399999999999</v>
      </c>
      <c r="EM539" s="142">
        <v>23.9</v>
      </c>
      <c r="EN539" s="119">
        <v>0</v>
      </c>
      <c r="EO539" s="115">
        <v>33</v>
      </c>
      <c r="EP539" s="115">
        <v>1651.6185862144903</v>
      </c>
      <c r="EQ539" s="115">
        <v>0</v>
      </c>
      <c r="ER539" s="115">
        <v>0</v>
      </c>
      <c r="ES539" s="115">
        <v>45</v>
      </c>
      <c r="ET539" s="150">
        <v>0.37936507936507935</v>
      </c>
      <c r="EU539" s="145">
        <f t="shared" si="400"/>
        <v>18</v>
      </c>
      <c r="EV539" s="115">
        <f t="shared" si="380"/>
        <v>23</v>
      </c>
      <c r="EW539" s="115">
        <f t="shared" si="380"/>
        <v>33</v>
      </c>
      <c r="EX539" s="115">
        <f t="shared" si="380"/>
        <v>23</v>
      </c>
      <c r="EY539" s="115" t="str">
        <f t="shared" si="434"/>
        <v>Постоянный</v>
      </c>
      <c r="EZ539" s="115">
        <f t="shared" si="434"/>
        <v>24</v>
      </c>
      <c r="FA539" s="115">
        <f t="shared" si="434"/>
        <v>0</v>
      </c>
      <c r="FB539" s="149">
        <f t="shared" si="405"/>
        <v>21.736000000000001</v>
      </c>
      <c r="FC539" s="142">
        <f t="shared" si="405"/>
        <v>26</v>
      </c>
      <c r="FD539" s="119">
        <f t="shared" si="405"/>
        <v>0</v>
      </c>
      <c r="FE539" s="121">
        <f t="shared" si="405"/>
        <v>33</v>
      </c>
      <c r="FF539" s="121">
        <f t="shared" si="407"/>
        <v>1518.2186234817814</v>
      </c>
      <c r="FG539" s="121">
        <f t="shared" si="381"/>
        <v>0</v>
      </c>
      <c r="FH539" s="121">
        <f t="shared" si="436"/>
        <v>0</v>
      </c>
      <c r="FI539" s="121">
        <f t="shared" si="427"/>
        <v>44</v>
      </c>
      <c r="FJ539" s="144">
        <f t="shared" si="382"/>
        <v>0.40625</v>
      </c>
      <c r="FK539" s="132">
        <f t="shared" si="383"/>
        <v>0</v>
      </c>
      <c r="FL539" s="115">
        <f t="shared" si="383"/>
        <v>-3</v>
      </c>
      <c r="FM539" s="204">
        <f t="shared" si="383"/>
        <v>-1</v>
      </c>
      <c r="FN539" s="115">
        <f t="shared" si="371"/>
        <v>-2</v>
      </c>
      <c r="FO539" s="115">
        <f t="shared" si="439"/>
        <v>0</v>
      </c>
      <c r="FP539" s="115">
        <f t="shared" si="439"/>
        <v>0</v>
      </c>
      <c r="FQ539" s="149">
        <f t="shared" si="439"/>
        <v>1.7556000000000012</v>
      </c>
      <c r="FR539" s="142">
        <f t="shared" si="439"/>
        <v>2.1000000000000014</v>
      </c>
      <c r="FS539" s="119">
        <f t="shared" si="439"/>
        <v>0</v>
      </c>
      <c r="FT539" s="121">
        <f t="shared" si="438"/>
        <v>0</v>
      </c>
      <c r="FU539" s="121">
        <f t="shared" si="384"/>
        <v>0</v>
      </c>
      <c r="FV539" s="121">
        <f t="shared" si="384"/>
        <v>0</v>
      </c>
      <c r="FW539" s="121">
        <f t="shared" si="385"/>
        <v>-133.3999627327089</v>
      </c>
      <c r="FX539" s="121">
        <f>CN539-ES539</f>
        <v>-1</v>
      </c>
      <c r="FY539" s="144">
        <f t="shared" si="386"/>
        <v>2.688492063492065E-2</v>
      </c>
      <c r="FZ539" s="145" t="s">
        <v>199</v>
      </c>
      <c r="GA539" s="131" t="s">
        <v>1778</v>
      </c>
      <c r="GB539" s="145"/>
      <c r="GC539" s="151"/>
      <c r="GD539" s="997" t="s">
        <v>416</v>
      </c>
      <c r="GE539" s="1004"/>
      <c r="GF539" s="1004">
        <v>0.20063999999999993</v>
      </c>
      <c r="GG539" s="1004"/>
      <c r="GH539" s="1004">
        <v>-0.23408000000000229</v>
      </c>
      <c r="GI539" s="145"/>
      <c r="GJ539" s="996">
        <v>0</v>
      </c>
      <c r="GK539" s="145" t="s">
        <v>207</v>
      </c>
      <c r="GL539" s="996">
        <v>-2.5581599999999973</v>
      </c>
      <c r="GM539" s="1005" t="s">
        <v>240</v>
      </c>
      <c r="GN539" s="996">
        <v>-4.18</v>
      </c>
      <c r="GO539" s="1006"/>
      <c r="GP539" s="996">
        <v>0</v>
      </c>
      <c r="GQ539" s="1006" t="s">
        <v>204</v>
      </c>
      <c r="GR539" s="996">
        <v>5.0076399999999985</v>
      </c>
      <c r="GS539" s="1006"/>
      <c r="GT539" s="996">
        <v>0</v>
      </c>
      <c r="GU539" s="1006"/>
      <c r="GV539" s="996">
        <v>0</v>
      </c>
      <c r="GW539" s="1006"/>
      <c r="GX539" s="996">
        <v>0</v>
      </c>
      <c r="GY539" s="1006"/>
      <c r="GZ539" s="996">
        <v>0.84436000000000178</v>
      </c>
      <c r="HA539" s="1006"/>
      <c r="HB539" s="996">
        <v>0.91959999999999908</v>
      </c>
      <c r="HC539" s="1006"/>
      <c r="HD539" s="996">
        <v>-0.48488000000000042</v>
      </c>
      <c r="HE539" s="1006"/>
      <c r="HF539" s="996">
        <v>0</v>
      </c>
      <c r="HG539" s="1006" t="s">
        <v>199</v>
      </c>
      <c r="HH539" s="996">
        <v>-1.5967599999999997</v>
      </c>
      <c r="HI539" s="1006" t="s">
        <v>199</v>
      </c>
      <c r="HJ539" s="996">
        <v>4.8404399999999974</v>
      </c>
      <c r="HK539" s="1006"/>
      <c r="HL539" s="996">
        <v>0</v>
      </c>
      <c r="HM539" s="1006" t="s">
        <v>199</v>
      </c>
      <c r="HN539" s="996">
        <v>0.98648000000000025</v>
      </c>
      <c r="HO539" s="1006" t="s">
        <v>199</v>
      </c>
      <c r="HP539" s="996">
        <v>-1.5047999999999959</v>
      </c>
      <c r="HQ539" s="1006" t="s">
        <v>204</v>
      </c>
      <c r="HR539" s="996">
        <v>1.7806799999999985</v>
      </c>
      <c r="HS539" s="1006"/>
      <c r="HT539" s="996">
        <v>-0.63536000000000037</v>
      </c>
      <c r="HU539" s="1006"/>
      <c r="HV539" s="996">
        <v>-0.41799999999999926</v>
      </c>
      <c r="HW539" s="1006"/>
      <c r="HX539" s="996">
        <v>0</v>
      </c>
      <c r="HY539" s="1006"/>
      <c r="HZ539" s="996">
        <v>0</v>
      </c>
      <c r="IA539" s="1006"/>
      <c r="IB539" s="996">
        <v>0.17863229999999675</v>
      </c>
      <c r="IC539" s="1006"/>
      <c r="ID539" s="996">
        <v>0.79656170000000515</v>
      </c>
      <c r="IE539" s="1006"/>
      <c r="IF539" s="996">
        <v>0</v>
      </c>
      <c r="IG539" s="1006"/>
      <c r="IH539" s="996">
        <v>0</v>
      </c>
      <c r="II539" s="1006" t="s">
        <v>204</v>
      </c>
      <c r="IJ539" s="996">
        <v>-1.1892835680000005</v>
      </c>
      <c r="IK539" s="1006" t="s">
        <v>204</v>
      </c>
      <c r="IL539" s="996">
        <v>-1.1136456320000008</v>
      </c>
      <c r="IM539" s="1006" t="s">
        <v>204</v>
      </c>
      <c r="IN539" s="996">
        <v>6.6363351999999995</v>
      </c>
      <c r="IO539" s="1006" t="s">
        <v>223</v>
      </c>
      <c r="IP539" s="996">
        <v>-1.086800000000002</v>
      </c>
      <c r="IQ539" s="1006"/>
      <c r="IR539" s="996">
        <v>-0.96139999999999759</v>
      </c>
      <c r="IS539" s="1006" t="s">
        <v>223</v>
      </c>
      <c r="IT539" s="996">
        <v>-1.3292400000000004</v>
      </c>
      <c r="IU539" s="1006"/>
      <c r="IV539" s="996">
        <v>0.8694399999999991</v>
      </c>
      <c r="IW539" s="1006"/>
      <c r="IX539" s="996">
        <v>0</v>
      </c>
      <c r="IY539" s="1006" t="s">
        <v>204</v>
      </c>
      <c r="IZ539" s="996">
        <v>1.9395199999999999</v>
      </c>
      <c r="JA539" s="1006"/>
      <c r="JB539" s="996">
        <v>0</v>
      </c>
      <c r="JC539" s="1006"/>
      <c r="JD539" s="996">
        <v>0</v>
      </c>
      <c r="JE539" s="1006" t="s">
        <v>204</v>
      </c>
      <c r="JF539" s="996">
        <v>-1.8559199999999976</v>
      </c>
      <c r="JG539" s="1006"/>
      <c r="JH539" s="996">
        <v>0</v>
      </c>
      <c r="JI539" s="1006"/>
      <c r="JJ539" s="996">
        <v>0</v>
      </c>
      <c r="JK539" s="1007"/>
      <c r="JL539" s="1007">
        <v>0</v>
      </c>
      <c r="JM539" s="1007"/>
      <c r="JN539" s="1007">
        <v>0</v>
      </c>
      <c r="JO539" s="1008"/>
      <c r="JP539" s="1007">
        <v>0</v>
      </c>
      <c r="JQ539" s="1008">
        <v>0</v>
      </c>
      <c r="JR539" s="1007">
        <v>0</v>
      </c>
      <c r="JS539" s="1008" t="s">
        <v>223</v>
      </c>
      <c r="JT539" s="1007">
        <v>-6.7716000000000012</v>
      </c>
      <c r="JU539" s="1008"/>
      <c r="JV539" s="1007">
        <v>0</v>
      </c>
      <c r="JW539" s="1008" t="s">
        <v>197</v>
      </c>
      <c r="JX539" s="1007">
        <v>0</v>
      </c>
      <c r="JY539" s="1008"/>
      <c r="JZ539" s="1007">
        <v>0</v>
      </c>
      <c r="KA539" s="1008"/>
      <c r="KB539" s="1007">
        <v>0</v>
      </c>
      <c r="KC539" s="1008" t="s">
        <v>240</v>
      </c>
      <c r="KD539" s="1007">
        <v>-4.18</v>
      </c>
      <c r="KE539" s="1008"/>
      <c r="KF539" s="1007">
        <v>0</v>
      </c>
      <c r="KG539" s="1008" t="s">
        <v>203</v>
      </c>
      <c r="KH539" s="1007">
        <v>3.0095999999999989</v>
      </c>
      <c r="KI539" s="1008" t="s">
        <v>203</v>
      </c>
      <c r="KJ539" s="1007">
        <v>2.0063999999999993</v>
      </c>
      <c r="KK539" s="1008" t="s">
        <v>207</v>
      </c>
      <c r="KL539" s="1007">
        <v>1.4211999999999989</v>
      </c>
      <c r="KM539" s="1008" t="s">
        <v>203</v>
      </c>
      <c r="KN539" s="1007">
        <v>-2.8571335803999993</v>
      </c>
      <c r="KO539" s="1008" t="s">
        <v>25</v>
      </c>
      <c r="KP539" s="1007">
        <v>1.8539335803999997</v>
      </c>
      <c r="KQ539" s="1008" t="s">
        <v>206</v>
      </c>
      <c r="KR539" s="1007">
        <v>10.720028000000001</v>
      </c>
      <c r="KS539" s="1008">
        <v>0</v>
      </c>
      <c r="KT539" s="1007">
        <v>0</v>
      </c>
      <c r="KU539" s="1008">
        <v>0</v>
      </c>
      <c r="KV539" s="1007">
        <v>0</v>
      </c>
      <c r="KW539" s="1008">
        <v>0</v>
      </c>
      <c r="KX539" s="1007">
        <v>0</v>
      </c>
      <c r="KY539" s="1008">
        <v>0</v>
      </c>
      <c r="KZ539" s="1007">
        <v>0</v>
      </c>
      <c r="LA539" s="1008">
        <v>0</v>
      </c>
      <c r="LB539" s="1007">
        <v>0</v>
      </c>
      <c r="LC539" s="1008">
        <v>0</v>
      </c>
      <c r="LD539" s="1007">
        <v>0</v>
      </c>
      <c r="LE539" s="1008">
        <v>0</v>
      </c>
      <c r="LF539" s="1007">
        <v>0</v>
      </c>
      <c r="LG539" s="1008">
        <v>0</v>
      </c>
      <c r="LH539" s="1007">
        <v>-8.8659864000000006</v>
      </c>
      <c r="LI539" s="1008">
        <v>0</v>
      </c>
      <c r="LJ539" s="1007">
        <v>0</v>
      </c>
      <c r="LK539" s="1008">
        <v>0</v>
      </c>
      <c r="LL539" s="1007">
        <v>0</v>
      </c>
      <c r="LM539" s="1008">
        <v>0</v>
      </c>
      <c r="LN539" s="1007">
        <v>0</v>
      </c>
      <c r="LO539" s="1008" t="s">
        <v>206</v>
      </c>
      <c r="LP539" s="1007">
        <v>-1.5938841599999982</v>
      </c>
      <c r="LQ539" s="1008">
        <v>0</v>
      </c>
      <c r="LR539" s="1007">
        <v>0</v>
      </c>
      <c r="LS539" s="1008">
        <v>0</v>
      </c>
      <c r="LT539" s="1007">
        <v>0</v>
      </c>
      <c r="LU539" s="1008">
        <v>0</v>
      </c>
      <c r="LV539" s="1007">
        <v>0</v>
      </c>
      <c r="LW539" s="1008">
        <v>0</v>
      </c>
      <c r="LX539" s="1007">
        <v>0</v>
      </c>
      <c r="LY539" s="1009">
        <v>0</v>
      </c>
      <c r="LZ539" s="1010">
        <v>0</v>
      </c>
      <c r="MA539" s="1011" t="s">
        <v>206</v>
      </c>
      <c r="MB539" s="1012">
        <v>-1.3282368000000009</v>
      </c>
      <c r="MC539" s="995"/>
      <c r="MD539" s="996"/>
      <c r="ME539" s="997" t="s">
        <v>416</v>
      </c>
      <c r="MF539" s="997"/>
      <c r="MG539" s="998"/>
      <c r="NR539" s="1000"/>
      <c r="NS539" s="1000"/>
      <c r="NT539" s="1001"/>
      <c r="NU539" s="1000"/>
      <c r="NV539" s="1001"/>
      <c r="NX539" s="1002"/>
      <c r="NZ539" s="1001"/>
      <c r="OA539" s="1001"/>
      <c r="OC539" s="1003"/>
      <c r="OD539" s="1003"/>
      <c r="OE539" s="1001"/>
      <c r="OF539" s="1003"/>
      <c r="OG539" s="1003"/>
      <c r="QX539" s="1000">
        <f>CN539-CA539</f>
        <v>21</v>
      </c>
      <c r="ASU539" s="999" t="s">
        <v>208</v>
      </c>
    </row>
    <row r="540" spans="1:466 1191:1191" ht="21" customHeight="1" x14ac:dyDescent="0.25">
      <c r="A540" s="982">
        <f t="shared" si="372"/>
        <v>3245</v>
      </c>
      <c r="B540" s="124">
        <f>SUBTOTAL(103,$J$29:J540)</f>
        <v>512</v>
      </c>
      <c r="C540" s="126">
        <v>45068</v>
      </c>
      <c r="D540" s="124" t="s">
        <v>176</v>
      </c>
      <c r="E540" s="127" t="s">
        <v>177</v>
      </c>
      <c r="F540" s="128" t="s">
        <v>177</v>
      </c>
      <c r="G540" s="127" t="s">
        <v>178</v>
      </c>
      <c r="H540" s="127" t="s">
        <v>179</v>
      </c>
      <c r="I540" s="127" t="s">
        <v>601</v>
      </c>
      <c r="J540" s="152">
        <v>3245</v>
      </c>
      <c r="K540" s="127" t="s">
        <v>1461</v>
      </c>
      <c r="L540" s="130">
        <v>43578</v>
      </c>
      <c r="M540" s="127" t="s">
        <v>230</v>
      </c>
      <c r="N540" s="127" t="s">
        <v>184</v>
      </c>
      <c r="O540" s="127" t="s">
        <v>185</v>
      </c>
      <c r="P540" s="127" t="s">
        <v>186</v>
      </c>
      <c r="Q540" s="85" t="str">
        <f t="shared" si="423"/>
        <v/>
      </c>
      <c r="R540" s="130"/>
      <c r="S540" s="128"/>
      <c r="T540" s="131"/>
      <c r="U540" s="132">
        <v>203</v>
      </c>
      <c r="V540" s="121">
        <v>218.2</v>
      </c>
      <c r="W540" s="116">
        <v>0.98</v>
      </c>
      <c r="X540" s="116">
        <v>1.66</v>
      </c>
      <c r="Y540" s="116">
        <f t="shared" si="408"/>
        <v>1.0051157847910435</v>
      </c>
      <c r="Z540" s="133">
        <v>1.454</v>
      </c>
      <c r="AA540" s="133">
        <v>0.83599999999999997</v>
      </c>
      <c r="AB540" s="133">
        <v>0.72</v>
      </c>
      <c r="AC540" s="121">
        <v>34.299999999999997</v>
      </c>
      <c r="AD540" s="134">
        <v>1.17</v>
      </c>
      <c r="AE540" s="124">
        <v>177.8</v>
      </c>
      <c r="AF540" s="128">
        <v>9.19</v>
      </c>
      <c r="AG540" s="128">
        <v>2175</v>
      </c>
      <c r="AH540" s="127">
        <v>3080</v>
      </c>
      <c r="AI540" s="127">
        <v>3080</v>
      </c>
      <c r="AJ540" s="135"/>
      <c r="AK540" s="128"/>
      <c r="AL540" s="131"/>
      <c r="AM540" s="124" t="s">
        <v>232</v>
      </c>
      <c r="AN540" s="136" t="s">
        <v>1896</v>
      </c>
      <c r="AO540" s="137">
        <v>25.4</v>
      </c>
      <c r="AP540" s="128">
        <v>2175</v>
      </c>
      <c r="AQ540" s="128">
        <v>94.35</v>
      </c>
      <c r="AR540" s="128"/>
      <c r="AS540" s="128"/>
      <c r="AT540" s="122"/>
      <c r="AU540" s="124" t="s">
        <v>189</v>
      </c>
      <c r="AV540" s="115">
        <f>VLOOKUP(J540,'[63]ТР нефть'!$J$28:$BP$638,39,0)</f>
        <v>540.00000644500005</v>
      </c>
      <c r="AW540" s="115" t="str">
        <f>VLOOKUP(J540,'[63]ТР нефть'!$J$28:$BP$638,40,0)</f>
        <v>ГК 83 1/8</v>
      </c>
      <c r="AX540" s="115">
        <f>VLOOKUP(J540,'[63]ТР нефть'!$J$28:$BP$638,41,0)</f>
        <v>959.99997011699998</v>
      </c>
      <c r="AY540" s="115" t="str">
        <f>VLOOKUP(J540,'[63]ТР нефть'!$J$28:$BP$638,42,0)</f>
        <v>ГК 83 1/8</v>
      </c>
      <c r="AZ540" s="115">
        <f>VLOOKUP(J540,'[63]ТР нефть'!$J$28:$BP$638,43,0)</f>
        <v>1310.000039063</v>
      </c>
      <c r="BA540" s="115" t="str">
        <f>VLOOKUP(J540,'[63]ТР нефть'!$J$28:$BP$638,44,0)</f>
        <v>ГК 83 1/8</v>
      </c>
      <c r="BB540" s="115">
        <f>VLOOKUP(J540,'[63]ТР нефть'!$J$28:$BP$638,45,0)</f>
        <v>1624.999974609</v>
      </c>
      <c r="BC540" s="115" t="str">
        <f>VLOOKUP(J540,'[63]ТР нефть'!$J$28:$BP$638,46,0)</f>
        <v>ГК 82 5/32</v>
      </c>
      <c r="BD540" s="115">
        <f>VLOOKUP(J540,'[63]ТР нефть'!$J$28:$BP$638,47,0)</f>
        <v>1910.000029688</v>
      </c>
      <c r="BE540" s="115" t="str">
        <f>VLOOKUP(J540,'[63]ТР нефть'!$J$28:$BP$638,48,0)</f>
        <v>ЦКсОК 5/16</v>
      </c>
      <c r="BF540" s="115" t="str">
        <f>VLOOKUP(J540,'[63]ТР нефть'!$J$28:$BP$638,49,0)</f>
        <v>-</v>
      </c>
      <c r="BG540" s="115" t="str">
        <f>VLOOKUP(J540,'[63]ТР нефть'!$J$28:$BP$638,50,0)</f>
        <v>-</v>
      </c>
      <c r="BH540" s="115">
        <f>VLOOKUP(J540,'[63]ТР нефть'!$J$28:$BP$638,51,0)</f>
        <v>1929</v>
      </c>
      <c r="BI540" s="115" t="str">
        <f>VLOOKUP(J540,'[63]ТР нефть'!$J$28:$BP$638,52,0)</f>
        <v>закрыт</v>
      </c>
      <c r="BJ540" s="115" t="str">
        <f>IF(IFERROR(VLOOKUP(J540,'[63]ТР нефть'!$J$28:$BP$638,53,0),"-")=0,"-",IFERROR(VLOOKUP(J540,'[63]ТР нефть'!$J$28:$BP$638,53,0),"-"))</f>
        <v>-</v>
      </c>
      <c r="BK540" s="138" t="str">
        <f>IF(IFERROR(VLOOKUP(J540,'[63]ТР нефть'!$J$28:$BP$638,54,0),"-")=0,"-",IFERROR(VLOOKUP(J540,'[63]ТР нефть'!$J$28:$BP$638,54,0),"-"))</f>
        <v>-</v>
      </c>
      <c r="BL540" s="138" t="str">
        <f>IF(IFERROR(VLOOKUP(J540,'[63]ТР нефть'!$J$28:$BP$638,55,0),"-")=0,"-",IFERROR(VLOOKUP(J540,'[63]ТР нефть'!$J$28:$BP$638,55,0),"-"))</f>
        <v>-</v>
      </c>
      <c r="BM540" s="138" t="str">
        <f>IF(IFERROR(VLOOKUP(J540,'[63]ТР нефть'!$J$28:$BP$638,56,0),"-")=0,"-",IFERROR(VLOOKUP(J540,'[63]ТР нефть'!$J$28:$BP$638,56,0),"-"))</f>
        <v>-</v>
      </c>
      <c r="BN540" s="138" t="str">
        <f>IF(IFERROR(VLOOKUP(J540,'[63]ТР нефть'!$J$28:$BP$638,57,0),"-")=0,"-",IFERROR(VLOOKUP(J540,'[63]ТР нефть'!$J$28:$BP$638,57,0),"-"))</f>
        <v>-</v>
      </c>
      <c r="BO540" s="115" t="str">
        <f>IF(IFERROR(VLOOKUP(J540,'[63]ТР нефть'!$J$28:$BP$638,58,0),"-")=0,"-",IFERROR(VLOOKUP(J540,'[63]ТР нефть'!$J$28:$BP$638,58,0),"-"))</f>
        <v>-</v>
      </c>
      <c r="BP540" s="115" t="str">
        <f>IF(IFERROR(VLOOKUP(J540,'[63]ТР нефть'!$J$28:$BP$638,59,0),"-")=0,"-",IFERROR(VLOOKUP(J540,'[63]ТР нефть'!$J$28:$BP$638,59,0),"-"))</f>
        <v>-</v>
      </c>
      <c r="BQ540" s="138">
        <v>2189</v>
      </c>
      <c r="BR540" s="128">
        <v>1940.09</v>
      </c>
      <c r="BS540" s="115">
        <f t="shared" si="437"/>
        <v>248.91000000000008</v>
      </c>
      <c r="BT540" s="128">
        <v>73</v>
      </c>
      <c r="BU540" s="128">
        <v>5.5</v>
      </c>
      <c r="BV540" s="127">
        <v>65</v>
      </c>
      <c r="BW540" s="127" t="s">
        <v>217</v>
      </c>
      <c r="BX540" s="127" t="s">
        <v>195</v>
      </c>
      <c r="BY540" s="139">
        <v>24</v>
      </c>
      <c r="BZ540" s="139">
        <v>0</v>
      </c>
      <c r="CA540" s="80">
        <v>20</v>
      </c>
      <c r="CB540" s="138">
        <v>44</v>
      </c>
      <c r="CC540" s="138">
        <v>19</v>
      </c>
      <c r="CD540" s="135">
        <v>45017</v>
      </c>
      <c r="CE540" s="138">
        <v>142</v>
      </c>
      <c r="CF540" s="138">
        <v>80</v>
      </c>
      <c r="CG540" s="138" t="str">
        <f t="shared" si="433"/>
        <v/>
      </c>
      <c r="CH540" s="138" t="s">
        <v>197</v>
      </c>
      <c r="CI540" s="127">
        <v>5</v>
      </c>
      <c r="CJ540" s="138"/>
      <c r="CK540" s="138">
        <f t="shared" si="432"/>
        <v>23</v>
      </c>
      <c r="CL540" s="99"/>
      <c r="CM540" s="99"/>
      <c r="CN540" s="140">
        <v>43</v>
      </c>
      <c r="CO540" s="141">
        <f t="shared" si="373"/>
        <v>8.399542799999999</v>
      </c>
      <c r="CP540" s="142">
        <v>10.7</v>
      </c>
      <c r="CQ540" s="143">
        <v>6.1</v>
      </c>
      <c r="CR540" s="115">
        <v>19</v>
      </c>
      <c r="CS540" s="139">
        <v>9.4</v>
      </c>
      <c r="CT540" s="138"/>
      <c r="CU540" s="138">
        <f t="shared" si="418"/>
        <v>9.6</v>
      </c>
      <c r="CV540" s="115">
        <f t="shared" si="419"/>
        <v>1142.9193503246393</v>
      </c>
      <c r="CW540" s="115">
        <f t="shared" si="374"/>
        <v>1026.7199049336014</v>
      </c>
      <c r="CX540" s="133">
        <f t="shared" si="420"/>
        <v>0.10808080808080807</v>
      </c>
      <c r="CY540" s="116"/>
      <c r="CZ540" s="131"/>
      <c r="DA540" s="145" t="str">
        <f t="shared" si="375"/>
        <v>Газлифт</v>
      </c>
      <c r="DB540" s="146">
        <f t="shared" si="390"/>
        <v>8.399542799999999</v>
      </c>
      <c r="DC540" s="142">
        <f t="shared" si="402"/>
        <v>10.7</v>
      </c>
      <c r="DD540" s="119">
        <f t="shared" si="416"/>
        <v>6.1</v>
      </c>
      <c r="DE540" s="115">
        <f t="shared" si="392"/>
        <v>9.6</v>
      </c>
      <c r="DF540" s="121">
        <f t="shared" si="376"/>
        <v>9.4</v>
      </c>
      <c r="DG540" s="115">
        <f t="shared" si="377"/>
        <v>1142.9193503246393</v>
      </c>
      <c r="DH540" s="115">
        <f t="shared" si="378"/>
        <v>43</v>
      </c>
      <c r="DI540" s="147"/>
      <c r="DJ540" s="111" t="s">
        <v>197</v>
      </c>
      <c r="DK540" s="112">
        <v>43578</v>
      </c>
      <c r="DL540" s="113">
        <f t="shared" ca="1" si="424"/>
        <v>1526</v>
      </c>
      <c r="DM540" s="114"/>
      <c r="DN540" s="114"/>
      <c r="DO540" s="114"/>
      <c r="DP540" s="114"/>
      <c r="DQ540" s="112">
        <v>43578</v>
      </c>
      <c r="DR540" s="114" t="s">
        <v>324</v>
      </c>
      <c r="DS540" s="114"/>
      <c r="DT540" s="115">
        <v>53</v>
      </c>
      <c r="DU540" s="116">
        <f t="shared" si="425"/>
        <v>0.12022471910112359</v>
      </c>
      <c r="DV540" s="117">
        <f t="shared" si="428"/>
        <v>8.399542799999999</v>
      </c>
      <c r="DW540" s="118">
        <f t="shared" si="429"/>
        <v>10.7</v>
      </c>
      <c r="DX540" s="119">
        <f t="shared" si="430"/>
        <v>6.1</v>
      </c>
      <c r="DY540" s="115">
        <f t="shared" si="431"/>
        <v>9.6</v>
      </c>
      <c r="DZ540" s="117">
        <f t="shared" si="440"/>
        <v>0</v>
      </c>
      <c r="EA540" s="120">
        <f t="shared" si="440"/>
        <v>0</v>
      </c>
      <c r="EB540" s="119">
        <f t="shared" si="387"/>
        <v>0</v>
      </c>
      <c r="EC540" s="121">
        <f t="shared" si="415"/>
        <v>0</v>
      </c>
      <c r="ED540" s="122"/>
      <c r="EE540" s="145">
        <v>65</v>
      </c>
      <c r="EF540" s="148">
        <v>20</v>
      </c>
      <c r="EG540" s="115">
        <v>44</v>
      </c>
      <c r="EH540" s="115">
        <v>19</v>
      </c>
      <c r="EI540" s="128" t="s">
        <v>195</v>
      </c>
      <c r="EJ540" s="121">
        <v>24</v>
      </c>
      <c r="EK540" s="121">
        <v>0</v>
      </c>
      <c r="EL540" s="149">
        <v>8.399542799999999</v>
      </c>
      <c r="EM540" s="142">
        <v>10.7</v>
      </c>
      <c r="EN540" s="119">
        <v>6.1</v>
      </c>
      <c r="EO540" s="115">
        <v>19</v>
      </c>
      <c r="EP540" s="115">
        <v>1142.9193503246393</v>
      </c>
      <c r="EQ540" s="115">
        <v>80</v>
      </c>
      <c r="ER540" s="115">
        <v>9.4</v>
      </c>
      <c r="ES540" s="115">
        <v>43</v>
      </c>
      <c r="ET540" s="150">
        <v>0.10808080808080807</v>
      </c>
      <c r="EU540" s="145">
        <f t="shared" si="400"/>
        <v>65</v>
      </c>
      <c r="EV540" s="115">
        <f t="shared" si="380"/>
        <v>20</v>
      </c>
      <c r="EW540" s="115">
        <f t="shared" si="380"/>
        <v>44</v>
      </c>
      <c r="EX540" s="115">
        <f t="shared" si="380"/>
        <v>19</v>
      </c>
      <c r="EY540" s="115" t="str">
        <f t="shared" si="434"/>
        <v>Постоянный</v>
      </c>
      <c r="EZ540" s="115">
        <f t="shared" si="434"/>
        <v>24</v>
      </c>
      <c r="FA540" s="115">
        <f t="shared" si="434"/>
        <v>0</v>
      </c>
      <c r="FB540" s="149">
        <f t="shared" si="405"/>
        <v>8.399542799999999</v>
      </c>
      <c r="FC540" s="142">
        <f t="shared" si="405"/>
        <v>10.7</v>
      </c>
      <c r="FD540" s="119">
        <f t="shared" si="405"/>
        <v>6.1</v>
      </c>
      <c r="FE540" s="121">
        <f t="shared" si="405"/>
        <v>19</v>
      </c>
      <c r="FF540" s="121">
        <f t="shared" si="407"/>
        <v>1142.9193503246393</v>
      </c>
      <c r="FG540" s="121">
        <f t="shared" si="381"/>
        <v>80</v>
      </c>
      <c r="FH540" s="121">
        <f t="shared" si="436"/>
        <v>9.4</v>
      </c>
      <c r="FI540" s="121">
        <f t="shared" si="427"/>
        <v>43</v>
      </c>
      <c r="FJ540" s="144">
        <f t="shared" si="382"/>
        <v>0.10808080808080807</v>
      </c>
      <c r="FK540" s="132">
        <f t="shared" si="383"/>
        <v>0</v>
      </c>
      <c r="FL540" s="115">
        <f t="shared" si="383"/>
        <v>0</v>
      </c>
      <c r="FM540" s="115">
        <f t="shared" si="383"/>
        <v>0</v>
      </c>
      <c r="FN540" s="115">
        <f t="shared" si="383"/>
        <v>0</v>
      </c>
      <c r="FO540" s="115">
        <f t="shared" si="439"/>
        <v>0</v>
      </c>
      <c r="FP540" s="115">
        <f t="shared" si="439"/>
        <v>0</v>
      </c>
      <c r="FQ540" s="149">
        <f t="shared" si="439"/>
        <v>0</v>
      </c>
      <c r="FR540" s="142">
        <f t="shared" si="439"/>
        <v>0</v>
      </c>
      <c r="FS540" s="119">
        <f t="shared" si="439"/>
        <v>0</v>
      </c>
      <c r="FT540" s="121">
        <f t="shared" si="438"/>
        <v>0</v>
      </c>
      <c r="FU540" s="121">
        <f t="shared" si="384"/>
        <v>0</v>
      </c>
      <c r="FV540" s="121">
        <f t="shared" si="384"/>
        <v>0</v>
      </c>
      <c r="FW540" s="121">
        <f t="shared" si="385"/>
        <v>0</v>
      </c>
      <c r="FX540" s="121">
        <f t="shared" si="386"/>
        <v>0</v>
      </c>
      <c r="FY540" s="144">
        <f t="shared" si="386"/>
        <v>0</v>
      </c>
      <c r="FZ540" s="145"/>
      <c r="GA540" s="151" t="s">
        <v>1888</v>
      </c>
      <c r="GB540" s="145"/>
      <c r="GC540" s="151" t="s">
        <v>1889</v>
      </c>
      <c r="GD540" s="997" t="s">
        <v>220</v>
      </c>
      <c r="GE540" s="1004"/>
      <c r="GF540" s="1004">
        <v>0</v>
      </c>
      <c r="GG540" s="1004"/>
      <c r="GH540" s="1004">
        <v>0</v>
      </c>
      <c r="GI540" s="145"/>
      <c r="GJ540" s="996">
        <v>0</v>
      </c>
      <c r="GK540" s="145"/>
      <c r="GL540" s="996">
        <v>0</v>
      </c>
      <c r="GM540" s="1005"/>
      <c r="GN540" s="996">
        <v>0</v>
      </c>
      <c r="GO540" s="1006" t="s">
        <v>203</v>
      </c>
      <c r="GP540" s="996">
        <v>4.4293787999999994</v>
      </c>
      <c r="GQ540" s="1006" t="s">
        <v>203</v>
      </c>
      <c r="GR540" s="996">
        <v>-1.8818359999999998</v>
      </c>
      <c r="GS540" s="1006" t="s">
        <v>203</v>
      </c>
      <c r="GT540" s="996">
        <v>-5.4340000000000002</v>
      </c>
      <c r="GU540" s="1006" t="s">
        <v>203</v>
      </c>
      <c r="GV540" s="996">
        <v>-17.037680000000002</v>
      </c>
      <c r="GW540" s="1006" t="s">
        <v>203</v>
      </c>
      <c r="GX540" s="996">
        <v>5.5359919999999967</v>
      </c>
      <c r="GY540" s="1006" t="s">
        <v>25</v>
      </c>
      <c r="GZ540" s="996">
        <v>15.430888000000003</v>
      </c>
      <c r="HA540" s="1006"/>
      <c r="HB540" s="996">
        <v>0</v>
      </c>
      <c r="HC540" s="1006"/>
      <c r="HD540" s="996">
        <v>0</v>
      </c>
      <c r="HE540" s="1006"/>
      <c r="HF540" s="996">
        <v>0</v>
      </c>
      <c r="HG540" s="1006"/>
      <c r="HH540" s="996">
        <v>0</v>
      </c>
      <c r="HI540" s="1006" t="s">
        <v>204</v>
      </c>
      <c r="HJ540" s="996">
        <v>1.879043760000001</v>
      </c>
      <c r="HK540" s="1006"/>
      <c r="HL540" s="996">
        <v>0</v>
      </c>
      <c r="HM540" s="1006"/>
      <c r="HN540" s="996">
        <v>0</v>
      </c>
      <c r="HO540" s="1006"/>
      <c r="HP540" s="996">
        <v>-0.68096153444000063</v>
      </c>
      <c r="HQ540" s="1006"/>
      <c r="HR540" s="996">
        <v>0</v>
      </c>
      <c r="HS540" s="1006" t="s">
        <v>199</v>
      </c>
      <c r="HT540" s="996">
        <v>-5.5452822255599985</v>
      </c>
      <c r="HU540" s="1006" t="s">
        <v>199</v>
      </c>
      <c r="HV540" s="996">
        <v>0</v>
      </c>
      <c r="HW540" s="1006"/>
      <c r="HX540" s="996">
        <v>0</v>
      </c>
      <c r="HY540" s="1006" t="s">
        <v>199</v>
      </c>
      <c r="HZ540" s="996">
        <v>6.9847799999999998</v>
      </c>
      <c r="IA540" s="1006"/>
      <c r="IB540" s="996">
        <v>0</v>
      </c>
      <c r="IC540" s="1006"/>
      <c r="ID540" s="996">
        <v>0</v>
      </c>
      <c r="IE540" s="1006" t="s">
        <v>204</v>
      </c>
      <c r="IF540" s="996">
        <v>3.0472199999999994</v>
      </c>
      <c r="IG540" s="1006" t="s">
        <v>204</v>
      </c>
      <c r="IH540" s="996">
        <v>-1.5466</v>
      </c>
      <c r="II540" s="1006"/>
      <c r="IJ540" s="996">
        <v>0</v>
      </c>
      <c r="IK540" s="1006"/>
      <c r="IL540" s="996">
        <v>0</v>
      </c>
      <c r="IM540" s="1006" t="s">
        <v>223</v>
      </c>
      <c r="IN540" s="996">
        <v>-2.9889257199999997</v>
      </c>
      <c r="IO540" s="1006" t="s">
        <v>204</v>
      </c>
      <c r="IP540" s="996">
        <v>-9.8152502800000008</v>
      </c>
      <c r="IQ540" s="1006" t="s">
        <v>199</v>
      </c>
      <c r="IR540" s="996">
        <v>7.6627760000000009</v>
      </c>
      <c r="IS540" s="1006"/>
      <c r="IT540" s="996">
        <v>0</v>
      </c>
      <c r="IU540" s="1006" t="s">
        <v>204</v>
      </c>
      <c r="IV540" s="996">
        <v>-2.09</v>
      </c>
      <c r="IW540" s="1006"/>
      <c r="IX540" s="996">
        <v>0</v>
      </c>
      <c r="IY540" s="1006"/>
      <c r="IZ540" s="996">
        <v>0</v>
      </c>
      <c r="JA540" s="1006" t="s">
        <v>199</v>
      </c>
      <c r="JB540" s="996">
        <v>-2.7922399999999996</v>
      </c>
      <c r="JC540" s="1006"/>
      <c r="JD540" s="996">
        <v>0</v>
      </c>
      <c r="JE540" s="1006"/>
      <c r="JF540" s="996">
        <v>0</v>
      </c>
      <c r="JG540" s="1006"/>
      <c r="JH540" s="996">
        <v>0</v>
      </c>
      <c r="JI540" s="1006"/>
      <c r="JJ540" s="996">
        <v>0</v>
      </c>
      <c r="JK540" s="1007"/>
      <c r="JL540" s="1007">
        <v>0</v>
      </c>
      <c r="JM540" s="1007"/>
      <c r="JN540" s="1007">
        <v>0</v>
      </c>
      <c r="JO540" s="1008" t="s">
        <v>199</v>
      </c>
      <c r="JP540" s="1007">
        <v>1.7555999999999994</v>
      </c>
      <c r="JQ540" s="1008" t="s">
        <v>203</v>
      </c>
      <c r="JR540" s="1007">
        <v>-1.3573295999999999</v>
      </c>
      <c r="JS540" s="1008" t="s">
        <v>203</v>
      </c>
      <c r="JT540" s="1007">
        <v>-4.3609103999999999</v>
      </c>
      <c r="JU540" s="1008" t="s">
        <v>199</v>
      </c>
      <c r="JV540" s="1007">
        <v>-3.7777402079999973</v>
      </c>
      <c r="JW540" s="1008" t="s">
        <v>197</v>
      </c>
      <c r="JX540" s="1007">
        <v>0</v>
      </c>
      <c r="JY540" s="1008"/>
      <c r="JZ540" s="1007">
        <v>20.982620207999997</v>
      </c>
      <c r="KA540" s="1008"/>
      <c r="KB540" s="1007"/>
      <c r="KC540" s="1008"/>
      <c r="KD540" s="1007"/>
      <c r="KE540" s="1008"/>
      <c r="KF540" s="1007"/>
      <c r="KG540" s="1008"/>
      <c r="KH540" s="1007"/>
      <c r="KI540" s="1008"/>
      <c r="KJ540" s="1007"/>
      <c r="KK540" s="1008"/>
      <c r="KL540" s="1007"/>
      <c r="KM540" s="1008"/>
      <c r="KN540" s="1007"/>
      <c r="KO540" s="1008"/>
      <c r="KP540" s="1007"/>
      <c r="KQ540" s="1008"/>
      <c r="KR540" s="1007"/>
      <c r="KS540" s="1008"/>
      <c r="KT540" s="1007"/>
      <c r="KU540" s="1008"/>
      <c r="KV540" s="1007"/>
      <c r="KW540" s="1008"/>
      <c r="KX540" s="1007"/>
      <c r="KY540" s="1008"/>
      <c r="KZ540" s="1007"/>
      <c r="LA540" s="1008"/>
      <c r="LB540" s="1007"/>
      <c r="LC540" s="1008"/>
      <c r="LD540" s="1007"/>
      <c r="LE540" s="1008"/>
      <c r="LF540" s="1007"/>
      <c r="LG540" s="1008"/>
      <c r="LH540" s="1007"/>
      <c r="LI540" s="1008"/>
      <c r="LJ540" s="1007"/>
      <c r="LK540" s="1008"/>
      <c r="LL540" s="1007"/>
      <c r="LM540" s="1008"/>
      <c r="LN540" s="1007"/>
      <c r="LO540" s="1008"/>
      <c r="LP540" s="1007"/>
      <c r="LQ540" s="1008"/>
      <c r="LR540" s="1007"/>
      <c r="LS540" s="1008"/>
      <c r="LT540" s="1007"/>
      <c r="LU540" s="1008"/>
      <c r="LV540" s="1007"/>
      <c r="LW540" s="1008"/>
      <c r="LX540" s="1007"/>
      <c r="LY540" s="1009"/>
      <c r="LZ540" s="1010"/>
      <c r="MA540" s="1011"/>
      <c r="MB540" s="1012"/>
      <c r="MC540" s="995"/>
      <c r="MD540" s="996"/>
      <c r="ME540" s="997" t="s">
        <v>220</v>
      </c>
      <c r="MF540" s="997"/>
      <c r="MG540" s="998"/>
      <c r="NR540" s="1000"/>
      <c r="NS540" s="1000"/>
      <c r="NT540" s="1001"/>
      <c r="NU540" s="1000"/>
      <c r="NV540" s="1001"/>
      <c r="NX540" s="1002"/>
      <c r="NZ540" s="1001"/>
      <c r="OA540" s="1001"/>
      <c r="OC540" s="1003"/>
      <c r="OD540" s="1003"/>
      <c r="OE540" s="1001"/>
      <c r="OF540" s="1003"/>
      <c r="OG540" s="1003"/>
      <c r="OH540" s="1003"/>
      <c r="OI540" s="1016"/>
      <c r="QX540" s="1000">
        <f>CN540-CA540</f>
        <v>23</v>
      </c>
      <c r="ASU540" s="999" t="s">
        <v>208</v>
      </c>
    </row>
    <row r="541" spans="1:466 1191:1191" ht="21" customHeight="1" x14ac:dyDescent="0.25">
      <c r="A541" s="982">
        <f t="shared" ref="A541:A604" si="441">$J541</f>
        <v>3246</v>
      </c>
      <c r="B541" s="124">
        <f>SUBTOTAL(103,$J$29:J541)</f>
        <v>513</v>
      </c>
      <c r="C541" s="126">
        <v>45068</v>
      </c>
      <c r="D541" s="124" t="s">
        <v>176</v>
      </c>
      <c r="E541" s="127" t="s">
        <v>177</v>
      </c>
      <c r="F541" s="128" t="s">
        <v>177</v>
      </c>
      <c r="G541" s="127" t="s">
        <v>178</v>
      </c>
      <c r="H541" s="127" t="s">
        <v>179</v>
      </c>
      <c r="I541" s="127" t="s">
        <v>601</v>
      </c>
      <c r="J541" s="152">
        <v>3246</v>
      </c>
      <c r="K541" s="127" t="s">
        <v>1252</v>
      </c>
      <c r="L541" s="130">
        <v>42331</v>
      </c>
      <c r="M541" s="127" t="s">
        <v>230</v>
      </c>
      <c r="N541" s="127" t="s">
        <v>245</v>
      </c>
      <c r="O541" s="127" t="s">
        <v>185</v>
      </c>
      <c r="P541" s="127" t="s">
        <v>186</v>
      </c>
      <c r="Q541" s="85">
        <f t="shared" si="423"/>
        <v>-4</v>
      </c>
      <c r="R541" s="130">
        <v>42499</v>
      </c>
      <c r="S541" s="128" t="s">
        <v>747</v>
      </c>
      <c r="T541" s="131" t="s">
        <v>1897</v>
      </c>
      <c r="U541" s="132">
        <v>203</v>
      </c>
      <c r="V541" s="121">
        <v>218.2</v>
      </c>
      <c r="W541" s="116">
        <v>0.98</v>
      </c>
      <c r="X541" s="116">
        <v>1.66</v>
      </c>
      <c r="Y541" s="116">
        <f t="shared" si="408"/>
        <v>1.0004920049200492</v>
      </c>
      <c r="Z541" s="133">
        <v>1.454</v>
      </c>
      <c r="AA541" s="133">
        <v>0.83599999999999997</v>
      </c>
      <c r="AB541" s="133">
        <v>0.72</v>
      </c>
      <c r="AC541" s="121">
        <v>34.299999999999997</v>
      </c>
      <c r="AD541" s="134">
        <v>1.17</v>
      </c>
      <c r="AE541" s="124">
        <v>177.8</v>
      </c>
      <c r="AF541" s="128">
        <v>9.19</v>
      </c>
      <c r="AG541" s="128">
        <v>2685</v>
      </c>
      <c r="AH541" s="127">
        <v>3380</v>
      </c>
      <c r="AI541" s="127">
        <v>3380</v>
      </c>
      <c r="AJ541" s="135"/>
      <c r="AK541" s="128"/>
      <c r="AL541" s="131"/>
      <c r="AM541" s="124" t="s">
        <v>232</v>
      </c>
      <c r="AN541" s="136" t="s">
        <v>1898</v>
      </c>
      <c r="AO541" s="137">
        <v>63.3</v>
      </c>
      <c r="AP541" s="128">
        <v>2677</v>
      </c>
      <c r="AQ541" s="128">
        <v>519</v>
      </c>
      <c r="AR541" s="128" t="s">
        <v>1898</v>
      </c>
      <c r="AS541" s="128">
        <v>114</v>
      </c>
      <c r="AT541" s="122">
        <v>7.37</v>
      </c>
      <c r="AU541" s="124" t="s">
        <v>189</v>
      </c>
      <c r="AV541" s="115">
        <f>VLOOKUP(J541,'[63]ТР нефть'!$J$28:$BP$638,39,0)</f>
        <v>579.99998349600003</v>
      </c>
      <c r="AW541" s="115" t="str">
        <f>VLOOKUP(J541,'[63]ТР нефть'!$J$28:$BP$638,40,0)</f>
        <v>ГП</v>
      </c>
      <c r="AX541" s="115">
        <f>VLOOKUP(J541,'[63]ТР нефть'!$J$28:$BP$638,41,0)</f>
        <v>1030.000013672</v>
      </c>
      <c r="AY541" s="115" t="str">
        <f>VLOOKUP(J541,'[63]ТР нефть'!$J$28:$BP$638,42,0)</f>
        <v>ГП</v>
      </c>
      <c r="AZ541" s="115">
        <f>VLOOKUP(J541,'[63]ТР нефть'!$J$28:$BP$638,43,0)</f>
        <v>1390.000067578</v>
      </c>
      <c r="BA541" s="115" t="str">
        <f>VLOOKUP(J541,'[63]ТР нефть'!$J$28:$BP$638,44,0)</f>
        <v>ГП</v>
      </c>
      <c r="BB541" s="115">
        <f>VLOOKUP(J541,'[63]ТР нефть'!$J$28:$BP$638,45,0)</f>
        <v>1699.9999734380001</v>
      </c>
      <c r="BC541" s="115" t="str">
        <f>VLOOKUP(J541,'[63]ТР нефть'!$J$28:$BP$638,46,0)</f>
        <v>ЦКсОК 5/16</v>
      </c>
      <c r="BD541" s="115" t="str">
        <f>VLOOKUP(J541,'[63]ТР нефть'!$J$28:$BP$638,47,0)</f>
        <v>-</v>
      </c>
      <c r="BE541" s="115" t="str">
        <f>VLOOKUP(J541,'[63]ТР нефть'!$J$28:$BP$638,48,0)</f>
        <v>-</v>
      </c>
      <c r="BF541" s="115" t="str">
        <f>VLOOKUP(J541,'[63]ТР нефть'!$J$28:$BP$638,49,0)</f>
        <v>-</v>
      </c>
      <c r="BG541" s="115" t="str">
        <f>VLOOKUP(J541,'[63]ТР нефть'!$J$28:$BP$638,50,0)</f>
        <v>-</v>
      </c>
      <c r="BH541" s="115">
        <f>VLOOKUP(J541,'[63]ТР нефть'!$J$28:$BP$638,51,0)</f>
        <v>1730</v>
      </c>
      <c r="BI541" s="115" t="str">
        <f>VLOOKUP(J541,'[63]ТР нефть'!$J$28:$BP$638,52,0)</f>
        <v>закрыт</v>
      </c>
      <c r="BJ541" s="115" t="str">
        <f>IF(IFERROR(VLOOKUP(J541,'[63]ТР нефть'!$J$28:$BP$638,53,0),"-")=0,"-",IFERROR(VLOOKUP(J541,'[63]ТР нефть'!$J$28:$BP$638,53,0),"-"))</f>
        <v>-</v>
      </c>
      <c r="BK541" s="138" t="str">
        <f>IF(IFERROR(VLOOKUP(J541,'[63]ТР нефть'!$J$28:$BP$638,54,0),"-")=0,"-",IFERROR(VLOOKUP(J541,'[63]ТР нефть'!$J$28:$BP$638,54,0),"-"))</f>
        <v>-</v>
      </c>
      <c r="BL541" s="138" t="str">
        <f>IF(IFERROR(VLOOKUP(J541,'[63]ТР нефть'!$J$28:$BP$638,55,0),"-")=0,"-",IFERROR(VLOOKUP(J541,'[63]ТР нефть'!$J$28:$BP$638,55,0),"-"))</f>
        <v>-</v>
      </c>
      <c r="BM541" s="138" t="str">
        <f>IF(IFERROR(VLOOKUP(J541,'[63]ТР нефть'!$J$28:$BP$638,56,0),"-")=0,"-",IFERROR(VLOOKUP(J541,'[63]ТР нефть'!$J$28:$BP$638,56,0),"-"))</f>
        <v>-</v>
      </c>
      <c r="BN541" s="138" t="str">
        <f>IF(IFERROR(VLOOKUP(J541,'[63]ТР нефть'!$J$28:$BP$638,57,0),"-")=0,"-",IFERROR(VLOOKUP(J541,'[63]ТР нефть'!$J$28:$BP$638,57,0),"-"))</f>
        <v>-</v>
      </c>
      <c r="BO541" s="115" t="str">
        <f>IF(IFERROR(VLOOKUP(J541,'[63]ТР нефть'!$J$28:$BP$638,58,0),"-")=0,"-",IFERROR(VLOOKUP(J541,'[63]ТР нефть'!$J$28:$BP$638,58,0),"-"))</f>
        <v>-</v>
      </c>
      <c r="BP541" s="115" t="str">
        <f>IF(IFERROR(VLOOKUP(J541,'[63]ТР нефть'!$J$28:$BP$638,59,0),"-")=0,"-",IFERROR(VLOOKUP(J541,'[63]ТР нефть'!$J$28:$BP$638,59,0),"-"))</f>
        <v>-</v>
      </c>
      <c r="BQ541" s="138">
        <v>2677</v>
      </c>
      <c r="BR541" s="128">
        <v>1925</v>
      </c>
      <c r="BS541" s="115">
        <f t="shared" si="437"/>
        <v>752</v>
      </c>
      <c r="BT541" s="128">
        <v>73</v>
      </c>
      <c r="BU541" s="128">
        <v>5.5</v>
      </c>
      <c r="BV541" s="127">
        <v>18</v>
      </c>
      <c r="BW541" s="127" t="s">
        <v>217</v>
      </c>
      <c r="BX541" s="127" t="s">
        <v>195</v>
      </c>
      <c r="BY541" s="139">
        <v>24</v>
      </c>
      <c r="BZ541" s="139">
        <v>0</v>
      </c>
      <c r="CA541" s="138">
        <v>18</v>
      </c>
      <c r="CB541" s="138">
        <v>32</v>
      </c>
      <c r="CC541" s="138">
        <v>17</v>
      </c>
      <c r="CD541" s="135">
        <v>45017</v>
      </c>
      <c r="CE541" s="138">
        <v>96</v>
      </c>
      <c r="CF541" s="138">
        <v>82</v>
      </c>
      <c r="CG541" s="138" t="str">
        <f t="shared" si="433"/>
        <v>В работе</v>
      </c>
      <c r="CH541" s="138" t="s">
        <v>196</v>
      </c>
      <c r="CI541" s="138">
        <v>5</v>
      </c>
      <c r="CJ541" s="139"/>
      <c r="CK541" s="139">
        <f t="shared" si="432"/>
        <v>30</v>
      </c>
      <c r="CL541" s="99"/>
      <c r="CM541" s="99"/>
      <c r="CN541" s="140">
        <v>48</v>
      </c>
      <c r="CO541" s="141">
        <f t="shared" ref="CO541:CO604" si="442">CP541*(1-CQ541/100)*0.836</f>
        <v>11.913</v>
      </c>
      <c r="CP541" s="142">
        <v>15</v>
      </c>
      <c r="CQ541" s="143">
        <v>5</v>
      </c>
      <c r="CR541" s="115">
        <v>31</v>
      </c>
      <c r="CS541" s="139">
        <v>12</v>
      </c>
      <c r="CT541" s="138"/>
      <c r="CU541" s="138">
        <f t="shared" si="418"/>
        <v>19</v>
      </c>
      <c r="CV541" s="115">
        <f t="shared" si="419"/>
        <v>1594.8963317384369</v>
      </c>
      <c r="CW541" s="115">
        <f t="shared" ref="CW541:CW604" si="443">IF(CP541&lt;&gt;0,IF(AU541=$AU$29,CS541/(CO541+(CP541-CO541/0.836)*1.158)*1000,""),"")</f>
        <v>938.85694167351267</v>
      </c>
      <c r="CX541" s="133">
        <f t="shared" si="420"/>
        <v>0.3125</v>
      </c>
      <c r="CY541" s="116"/>
      <c r="CZ541" s="131"/>
      <c r="DA541" s="145" t="str">
        <f t="shared" ref="DA541:DA567" si="444">AU541</f>
        <v>Газлифт</v>
      </c>
      <c r="DB541" s="146">
        <f t="shared" si="390"/>
        <v>12.414599999999998</v>
      </c>
      <c r="DC541" s="142">
        <f t="shared" si="402"/>
        <v>15</v>
      </c>
      <c r="DD541" s="119">
        <f t="shared" si="416"/>
        <v>1</v>
      </c>
      <c r="DE541" s="115">
        <f t="shared" si="392"/>
        <v>19</v>
      </c>
      <c r="DF541" s="121">
        <f t="shared" ref="DF541:DF559" si="445">CS541</f>
        <v>12</v>
      </c>
      <c r="DG541" s="115">
        <f t="shared" ref="DG541:DG604" si="446">CV541</f>
        <v>1594.8963317384369</v>
      </c>
      <c r="DH541" s="115">
        <f t="shared" ref="DH541:DH604" si="447">CN541</f>
        <v>48</v>
      </c>
      <c r="DI541" s="147"/>
      <c r="DJ541" s="111">
        <v>43529</v>
      </c>
      <c r="DK541" s="112">
        <v>42275</v>
      </c>
      <c r="DL541" s="113">
        <f t="shared" ca="1" si="424"/>
        <v>2829</v>
      </c>
      <c r="DM541" s="114"/>
      <c r="DN541" s="114"/>
      <c r="DO541" s="114"/>
      <c r="DP541" s="114"/>
      <c r="DQ541" s="112">
        <v>43359</v>
      </c>
      <c r="DR541" s="114" t="s">
        <v>198</v>
      </c>
      <c r="DS541" s="114"/>
      <c r="DT541" s="115">
        <v>50</v>
      </c>
      <c r="DU541" s="116">
        <f t="shared" si="425"/>
        <v>0.32608695652173914</v>
      </c>
      <c r="DV541" s="117">
        <f t="shared" si="428"/>
        <v>11.913</v>
      </c>
      <c r="DW541" s="118">
        <f t="shared" si="429"/>
        <v>15</v>
      </c>
      <c r="DX541" s="119">
        <f t="shared" si="430"/>
        <v>5</v>
      </c>
      <c r="DY541" s="115">
        <f t="shared" si="431"/>
        <v>19</v>
      </c>
      <c r="DZ541" s="117">
        <f t="shared" si="440"/>
        <v>0</v>
      </c>
      <c r="EA541" s="120">
        <f t="shared" si="440"/>
        <v>0</v>
      </c>
      <c r="EB541" s="119">
        <f t="shared" si="387"/>
        <v>0</v>
      </c>
      <c r="EC541" s="121">
        <f t="shared" si="415"/>
        <v>0</v>
      </c>
      <c r="ED541" s="122"/>
      <c r="EE541" s="145">
        <v>18</v>
      </c>
      <c r="EF541" s="148">
        <v>19</v>
      </c>
      <c r="EG541" s="115">
        <v>34</v>
      </c>
      <c r="EH541" s="115">
        <v>18</v>
      </c>
      <c r="EI541" s="128" t="s">
        <v>195</v>
      </c>
      <c r="EJ541" s="121">
        <v>24</v>
      </c>
      <c r="EK541" s="121">
        <v>0</v>
      </c>
      <c r="EL541" s="149">
        <v>9.8489160000000009</v>
      </c>
      <c r="EM541" s="142">
        <v>11.9</v>
      </c>
      <c r="EN541" s="119">
        <v>1</v>
      </c>
      <c r="EO541" s="115">
        <v>25.5</v>
      </c>
      <c r="EP541" s="115">
        <v>1614.3908629132382</v>
      </c>
      <c r="EQ541" s="115">
        <v>82</v>
      </c>
      <c r="ER541" s="115">
        <v>9.6</v>
      </c>
      <c r="ES541" s="115">
        <v>45</v>
      </c>
      <c r="ET541" s="150">
        <v>0.23333333333333334</v>
      </c>
      <c r="EU541" s="145">
        <f t="shared" si="400"/>
        <v>18</v>
      </c>
      <c r="EV541" s="115">
        <f t="shared" ref="EV541:EX604" si="448">CA541</f>
        <v>18</v>
      </c>
      <c r="EW541" s="115">
        <f t="shared" si="448"/>
        <v>32</v>
      </c>
      <c r="EX541" s="115">
        <f t="shared" si="448"/>
        <v>17</v>
      </c>
      <c r="EY541" s="115" t="str">
        <f t="shared" si="434"/>
        <v>Постоянный</v>
      </c>
      <c r="EZ541" s="115">
        <f t="shared" si="434"/>
        <v>24</v>
      </c>
      <c r="FA541" s="115">
        <f t="shared" si="434"/>
        <v>0</v>
      </c>
      <c r="FB541" s="149">
        <f t="shared" si="405"/>
        <v>11.913</v>
      </c>
      <c r="FC541" s="142">
        <f t="shared" si="405"/>
        <v>15</v>
      </c>
      <c r="FD541" s="119">
        <f t="shared" si="405"/>
        <v>5</v>
      </c>
      <c r="FE541" s="121">
        <f t="shared" si="405"/>
        <v>31</v>
      </c>
      <c r="FF541" s="121">
        <f t="shared" si="407"/>
        <v>1594.8963317384369</v>
      </c>
      <c r="FG541" s="121">
        <f t="shared" ref="FG541:FG604" si="449">CF541</f>
        <v>82</v>
      </c>
      <c r="FH541" s="121">
        <f t="shared" si="436"/>
        <v>12</v>
      </c>
      <c r="FI541" s="121">
        <f t="shared" si="427"/>
        <v>48</v>
      </c>
      <c r="FJ541" s="144">
        <f t="shared" ref="FJ541:FJ604" si="450">CX541</f>
        <v>0.3125</v>
      </c>
      <c r="FK541" s="132">
        <f t="shared" ref="FK541:FN604" si="451">EU541-EE541</f>
        <v>0</v>
      </c>
      <c r="FL541" s="115">
        <f t="shared" si="451"/>
        <v>-1</v>
      </c>
      <c r="FM541" s="115">
        <f t="shared" si="451"/>
        <v>-2</v>
      </c>
      <c r="FN541" s="115">
        <f t="shared" si="451"/>
        <v>-1</v>
      </c>
      <c r="FO541" s="115">
        <f t="shared" si="439"/>
        <v>0</v>
      </c>
      <c r="FP541" s="115">
        <f t="shared" si="439"/>
        <v>0</v>
      </c>
      <c r="FQ541" s="149">
        <f t="shared" si="439"/>
        <v>2.0640839999999994</v>
      </c>
      <c r="FR541" s="142">
        <f t="shared" si="439"/>
        <v>3.0999999999999996</v>
      </c>
      <c r="FS541" s="119">
        <f t="shared" si="439"/>
        <v>4</v>
      </c>
      <c r="FT541" s="121">
        <f t="shared" si="438"/>
        <v>5.5</v>
      </c>
      <c r="FU541" s="121">
        <f t="shared" ref="FU541:FV604" si="452">FG541-EQ541</f>
        <v>0</v>
      </c>
      <c r="FV541" s="121">
        <f t="shared" si="452"/>
        <v>2.4000000000000004</v>
      </c>
      <c r="FW541" s="121">
        <f t="shared" ref="FW541:FW604" si="453">FF541-EP541</f>
        <v>-19.494531174801295</v>
      </c>
      <c r="FX541" s="121">
        <f t="shared" ref="FX541:FY603" si="454">FI541-ES541</f>
        <v>3</v>
      </c>
      <c r="FY541" s="144">
        <f t="shared" si="454"/>
        <v>7.9166666666666663E-2</v>
      </c>
      <c r="FZ541" s="222" t="s">
        <v>199</v>
      </c>
      <c r="GA541" s="151" t="s">
        <v>1899</v>
      </c>
      <c r="GB541" s="222"/>
      <c r="GC541" s="151" t="s">
        <v>964</v>
      </c>
      <c r="GD541" s="997" t="s">
        <v>220</v>
      </c>
      <c r="GE541" s="1004"/>
      <c r="GF541" s="1004">
        <v>0</v>
      </c>
      <c r="GG541" s="1004"/>
      <c r="GH541" s="1004">
        <v>0</v>
      </c>
      <c r="GI541" s="222" t="s">
        <v>199</v>
      </c>
      <c r="GJ541" s="996">
        <v>5.396814720000001</v>
      </c>
      <c r="GK541" s="222" t="s">
        <v>199</v>
      </c>
      <c r="GL541" s="996">
        <v>-5.3590107999999992</v>
      </c>
      <c r="GM541" s="1005"/>
      <c r="GN541" s="996">
        <v>0</v>
      </c>
      <c r="GO541" s="1006"/>
      <c r="GP541" s="996">
        <v>0</v>
      </c>
      <c r="GQ541" s="1006" t="s">
        <v>199</v>
      </c>
      <c r="GR541" s="996">
        <v>3.2154064799999995</v>
      </c>
      <c r="GS541" s="1006" t="s">
        <v>199</v>
      </c>
      <c r="GT541" s="996">
        <v>-3.1687743999999993</v>
      </c>
      <c r="GU541" s="1006" t="s">
        <v>199</v>
      </c>
      <c r="GV541" s="996">
        <v>1.4044799999999995</v>
      </c>
      <c r="GW541" s="1006"/>
      <c r="GX541" s="996">
        <v>0</v>
      </c>
      <c r="GY541" s="1006" t="s">
        <v>223</v>
      </c>
      <c r="GZ541" s="996">
        <v>-3.5801700000000007</v>
      </c>
      <c r="HA541" s="1006"/>
      <c r="HB541" s="996">
        <v>0</v>
      </c>
      <c r="HC541" s="1006" t="s">
        <v>204</v>
      </c>
      <c r="HD541" s="996">
        <v>2.6104099999999999</v>
      </c>
      <c r="HE541" s="1006"/>
      <c r="HF541" s="996">
        <v>0</v>
      </c>
      <c r="HG541" s="1006"/>
      <c r="HH541" s="996">
        <v>0</v>
      </c>
      <c r="HI541" s="1006"/>
      <c r="HJ541" s="996">
        <v>-0.55175999999999981</v>
      </c>
      <c r="HK541" s="1006"/>
      <c r="HL541" s="996">
        <v>-0.82345999999999897</v>
      </c>
      <c r="HM541" s="1006"/>
      <c r="HN541" s="996">
        <v>0</v>
      </c>
      <c r="HO541" s="1006"/>
      <c r="HP541" s="996">
        <v>0.10867999999999967</v>
      </c>
      <c r="HQ541" s="1006"/>
      <c r="HR541" s="996">
        <v>0</v>
      </c>
      <c r="HS541" s="1006"/>
      <c r="HT541" s="996">
        <v>0</v>
      </c>
      <c r="HU541" s="1006"/>
      <c r="HV541" s="996">
        <v>0</v>
      </c>
      <c r="HW541" s="1006"/>
      <c r="HX541" s="996">
        <v>0</v>
      </c>
      <c r="HY541" s="1006"/>
      <c r="HZ541" s="996">
        <v>0</v>
      </c>
      <c r="IA541" s="1006"/>
      <c r="IB541" s="996">
        <v>0</v>
      </c>
      <c r="IC541" s="1006"/>
      <c r="ID541" s="996">
        <v>0</v>
      </c>
      <c r="IE541" s="1006"/>
      <c r="IF541" s="996">
        <v>0</v>
      </c>
      <c r="IG541" s="1006"/>
      <c r="IH541" s="996">
        <v>0</v>
      </c>
      <c r="II541" s="1006"/>
      <c r="IJ541" s="996">
        <v>0</v>
      </c>
      <c r="IK541" s="1006"/>
      <c r="IL541" s="996">
        <v>0</v>
      </c>
      <c r="IM541" s="1006" t="s">
        <v>199</v>
      </c>
      <c r="IN541" s="996">
        <v>2.7337199999999999</v>
      </c>
      <c r="IO541" s="1006" t="s">
        <v>199</v>
      </c>
      <c r="IP541" s="996">
        <v>-4.4266199999999998</v>
      </c>
      <c r="IQ541" s="1006" t="s">
        <v>199</v>
      </c>
      <c r="IR541" s="996">
        <v>5.5100759999999998</v>
      </c>
      <c r="IS541" s="1006"/>
      <c r="IT541" s="996">
        <v>0</v>
      </c>
      <c r="IU541" s="1006"/>
      <c r="IV541" s="996">
        <v>2.0337371999999299E-2</v>
      </c>
      <c r="IW541" s="1006" t="s">
        <v>644</v>
      </c>
      <c r="IX541" s="996">
        <v>-14.912005371999999</v>
      </c>
      <c r="IY541" s="1006"/>
      <c r="IZ541" s="996">
        <v>0</v>
      </c>
      <c r="JA541" s="1006" t="s">
        <v>204</v>
      </c>
      <c r="JB541" s="996">
        <v>6.6679359999999974</v>
      </c>
      <c r="JC541" s="1006"/>
      <c r="JD541" s="996">
        <v>0</v>
      </c>
      <c r="JE541" s="1006"/>
      <c r="JF541" s="996">
        <v>0</v>
      </c>
      <c r="JG541" s="1006"/>
      <c r="JH541" s="996">
        <v>0</v>
      </c>
      <c r="JI541" s="1006"/>
      <c r="JJ541" s="996">
        <v>0</v>
      </c>
      <c r="JK541" s="1007"/>
      <c r="JL541" s="1007">
        <v>0</v>
      </c>
      <c r="JM541" s="1007"/>
      <c r="JN541" s="1007">
        <v>0</v>
      </c>
      <c r="JO541" s="1008"/>
      <c r="JP541" s="1007">
        <v>0</v>
      </c>
      <c r="JQ541" s="1008">
        <v>0</v>
      </c>
      <c r="JR541" s="1007">
        <v>0</v>
      </c>
      <c r="JS541" s="1008" t="s">
        <v>204</v>
      </c>
      <c r="JT541" s="1007">
        <v>-10.001903999999996</v>
      </c>
      <c r="JU541" s="1008"/>
      <c r="JV541" s="1007">
        <v>0</v>
      </c>
      <c r="JW541" s="1008" t="s">
        <v>197</v>
      </c>
      <c r="JX541" s="1007">
        <v>0</v>
      </c>
      <c r="JY541" s="1008" t="s">
        <v>199</v>
      </c>
      <c r="JZ541" s="1007">
        <v>6.6679359999999974</v>
      </c>
      <c r="KA541" s="1008"/>
      <c r="KB541" s="1007">
        <v>0</v>
      </c>
      <c r="KC541" s="1008"/>
      <c r="KD541" s="1007">
        <v>0</v>
      </c>
      <c r="KE541" s="1008"/>
      <c r="KF541" s="1007">
        <v>0</v>
      </c>
      <c r="KG541" s="1008" t="s">
        <v>207</v>
      </c>
      <c r="KH541" s="1007">
        <v>4.1674599999999984</v>
      </c>
      <c r="KI541" s="1008" t="s">
        <v>199</v>
      </c>
      <c r="KJ541" s="1007">
        <v>-13.519240239999995</v>
      </c>
      <c r="KK541" s="1008" t="s">
        <v>199</v>
      </c>
      <c r="KL541" s="1007">
        <v>14.184136119999998</v>
      </c>
      <c r="KM541" s="1008" t="s">
        <v>25</v>
      </c>
      <c r="KN541" s="1007">
        <v>5.0044681199999985</v>
      </c>
      <c r="KO541" s="1008"/>
      <c r="KP541" s="1007">
        <v>0</v>
      </c>
      <c r="KQ541" s="1008">
        <v>0</v>
      </c>
      <c r="KR541" s="1007">
        <v>0</v>
      </c>
      <c r="KS541" s="1008" t="s">
        <v>206</v>
      </c>
      <c r="KT541" s="1007">
        <v>5.6838803999999961</v>
      </c>
      <c r="KU541" s="1008">
        <v>0</v>
      </c>
      <c r="KV541" s="1007">
        <v>8.7402546000000001</v>
      </c>
      <c r="KW541" s="1008">
        <v>0</v>
      </c>
      <c r="KX541" s="1007">
        <v>0</v>
      </c>
      <c r="KY541" s="1008" t="s">
        <v>206</v>
      </c>
      <c r="KZ541" s="1007">
        <v>4.9944312000000002</v>
      </c>
      <c r="LA541" s="1008">
        <v>0</v>
      </c>
      <c r="LB541" s="1007">
        <v>0</v>
      </c>
      <c r="LC541" s="1008">
        <v>0</v>
      </c>
      <c r="LD541" s="1007">
        <v>0</v>
      </c>
      <c r="LE541" s="1008" t="s">
        <v>206</v>
      </c>
      <c r="LF541" s="1007">
        <v>0.91564572000000055</v>
      </c>
      <c r="LG541" s="1008" t="s">
        <v>206</v>
      </c>
      <c r="LH541" s="1007">
        <v>0.91564572</v>
      </c>
      <c r="LI541" s="1008">
        <v>0</v>
      </c>
      <c r="LJ541" s="1007">
        <v>0</v>
      </c>
      <c r="LK541" s="1008" t="s">
        <v>206</v>
      </c>
      <c r="LL541" s="1007">
        <v>-0.98514239999999997</v>
      </c>
      <c r="LM541" s="1008">
        <v>0</v>
      </c>
      <c r="LN541" s="1007">
        <v>0</v>
      </c>
      <c r="LO541" s="1008">
        <v>0</v>
      </c>
      <c r="LP541" s="1007">
        <v>0.41476000000000002</v>
      </c>
      <c r="LQ541" s="1008">
        <v>0</v>
      </c>
      <c r="LR541" s="1007">
        <v>0</v>
      </c>
      <c r="LS541" s="1008" t="s">
        <v>206</v>
      </c>
      <c r="LT541" s="1007">
        <v>-1.64194</v>
      </c>
      <c r="LU541" s="1008" t="s">
        <v>223</v>
      </c>
      <c r="LV541" s="1007">
        <v>-1.64194</v>
      </c>
      <c r="LW541" s="1008" t="s">
        <v>206</v>
      </c>
      <c r="LX541" s="1007">
        <v>-1.64194</v>
      </c>
      <c r="LY541" s="1009">
        <v>0</v>
      </c>
      <c r="LZ541" s="1010">
        <v>0</v>
      </c>
      <c r="MA541" s="1011">
        <v>0</v>
      </c>
      <c r="MB541" s="1012">
        <v>0</v>
      </c>
      <c r="MC541" s="995"/>
      <c r="MD541" s="996"/>
      <c r="ME541" s="997" t="s">
        <v>220</v>
      </c>
      <c r="MF541" s="997"/>
      <c r="MG541" s="998"/>
      <c r="NR541" s="1000"/>
      <c r="NS541" s="1000"/>
      <c r="NT541" s="1001"/>
      <c r="NU541" s="1000"/>
      <c r="NV541" s="1001"/>
      <c r="NX541" s="1002"/>
      <c r="NZ541" s="1001"/>
      <c r="OA541" s="1001"/>
      <c r="OC541" s="1003"/>
      <c r="OD541" s="1003"/>
      <c r="OE541" s="1001"/>
      <c r="OF541" s="1003"/>
      <c r="OG541" s="1003"/>
      <c r="QX541" s="1000">
        <f>CN541-CA541</f>
        <v>30</v>
      </c>
      <c r="ASU541" s="999" t="s">
        <v>208</v>
      </c>
    </row>
    <row r="542" spans="1:466 1191:1191" ht="21" customHeight="1" x14ac:dyDescent="0.25">
      <c r="A542" s="982">
        <f t="shared" si="441"/>
        <v>3248</v>
      </c>
      <c r="B542" s="124">
        <f>SUBTOTAL(103,$J$29:J542)</f>
        <v>514</v>
      </c>
      <c r="C542" s="126">
        <v>45068</v>
      </c>
      <c r="D542" s="124" t="s">
        <v>176</v>
      </c>
      <c r="E542" s="127" t="s">
        <v>177</v>
      </c>
      <c r="F542" s="128" t="s">
        <v>177</v>
      </c>
      <c r="G542" s="127" t="s">
        <v>178</v>
      </c>
      <c r="H542" s="127" t="s">
        <v>408</v>
      </c>
      <c r="I542" s="127" t="s">
        <v>409</v>
      </c>
      <c r="J542" s="152">
        <v>3248</v>
      </c>
      <c r="K542" s="127" t="s">
        <v>409</v>
      </c>
      <c r="L542" s="130">
        <v>35303</v>
      </c>
      <c r="M542" s="127" t="s">
        <v>230</v>
      </c>
      <c r="N542" s="127" t="s">
        <v>245</v>
      </c>
      <c r="O542" s="127" t="s">
        <v>185</v>
      </c>
      <c r="P542" s="127" t="s">
        <v>186</v>
      </c>
      <c r="Q542" s="85" t="str">
        <f t="shared" si="423"/>
        <v/>
      </c>
      <c r="R542" s="130"/>
      <c r="S542" s="128"/>
      <c r="T542" s="131"/>
      <c r="U542" s="132">
        <v>203</v>
      </c>
      <c r="V542" s="121">
        <v>218.2</v>
      </c>
      <c r="W542" s="116">
        <v>0.98</v>
      </c>
      <c r="X542" s="116">
        <v>1.66</v>
      </c>
      <c r="Y542" s="116">
        <f t="shared" si="408"/>
        <v>0.98</v>
      </c>
      <c r="Z542" s="133">
        <v>1.454</v>
      </c>
      <c r="AA542" s="133">
        <v>0.83599999999999997</v>
      </c>
      <c r="AB542" s="133">
        <v>0.72</v>
      </c>
      <c r="AC542" s="121">
        <v>34.299999999999997</v>
      </c>
      <c r="AD542" s="134">
        <v>1.17</v>
      </c>
      <c r="AE542" s="124">
        <v>177.8</v>
      </c>
      <c r="AF542" s="128">
        <v>9.19</v>
      </c>
      <c r="AG542" s="128">
        <v>2626</v>
      </c>
      <c r="AH542" s="127">
        <v>3173</v>
      </c>
      <c r="AI542" s="127">
        <v>3173</v>
      </c>
      <c r="AJ542" s="135"/>
      <c r="AK542" s="128"/>
      <c r="AL542" s="131"/>
      <c r="AM542" s="124" t="s">
        <v>232</v>
      </c>
      <c r="AN542" s="136" t="s">
        <v>1900</v>
      </c>
      <c r="AO542" s="137">
        <v>87.1</v>
      </c>
      <c r="AP542" s="128">
        <v>2626</v>
      </c>
      <c r="AQ542" s="128">
        <v>736.4</v>
      </c>
      <c r="AR542" s="128"/>
      <c r="AS542" s="128"/>
      <c r="AT542" s="122"/>
      <c r="AU542" s="124" t="s">
        <v>189</v>
      </c>
      <c r="AV542" s="115">
        <f>VLOOKUP(J542,'[63]ТР нефть'!$J$28:$BP$638,39,0)</f>
        <v>445.00000048800001</v>
      </c>
      <c r="AW542" s="115" t="str">
        <f>VLOOKUP(J542,'[63]ТР нефть'!$J$28:$BP$638,40,0)</f>
        <v>ГП</v>
      </c>
      <c r="AX542" s="115">
        <f>VLOOKUP(J542,'[63]ТР нефть'!$J$28:$BP$638,41,0)</f>
        <v>920.00003027299999</v>
      </c>
      <c r="AY542" s="115" t="str">
        <f>VLOOKUP(J542,'[63]ТР нефть'!$J$28:$BP$638,42,0)</f>
        <v>ГП</v>
      </c>
      <c r="AZ542" s="115">
        <f>VLOOKUP(J542,'[63]ТР нефть'!$J$28:$BP$638,43,0)</f>
        <v>1394.999948438</v>
      </c>
      <c r="BA542" s="115" t="str">
        <f>VLOOKUP(J542,'[63]ТР нефть'!$J$28:$BP$638,44,0)</f>
        <v>ГК 84 5/32</v>
      </c>
      <c r="BB542" s="115">
        <f>VLOOKUP(J542,'[63]ТР нефть'!$J$28:$BP$638,45,0)</f>
        <v>1710.000032813</v>
      </c>
      <c r="BC542" s="115" t="str">
        <f>VLOOKUP(J542,'[63]ТР нефть'!$J$28:$BP$638,46,0)</f>
        <v>ЦКсОК 5/16</v>
      </c>
      <c r="BD542" s="115" t="str">
        <f>VLOOKUP(J542,'[63]ТР нефть'!$J$28:$BP$638,47,0)</f>
        <v>-</v>
      </c>
      <c r="BE542" s="115" t="str">
        <f>VLOOKUP(J542,'[63]ТР нефть'!$J$28:$BP$638,48,0)</f>
        <v>-</v>
      </c>
      <c r="BF542" s="115" t="str">
        <f>VLOOKUP(J542,'[63]ТР нефть'!$J$28:$BP$638,49,0)</f>
        <v>-</v>
      </c>
      <c r="BG542" s="115" t="str">
        <f>VLOOKUP(J542,'[63]ТР нефть'!$J$28:$BP$638,50,0)</f>
        <v>-</v>
      </c>
      <c r="BH542" s="115" t="str">
        <f>VLOOKUP(J542,'[63]ТР нефть'!$J$28:$BP$638,51,0)</f>
        <v>-</v>
      </c>
      <c r="BI542" s="115" t="str">
        <f>VLOOKUP(J542,'[63]ТР нефть'!$J$28:$BP$638,52,0)</f>
        <v>-</v>
      </c>
      <c r="BJ542" s="115" t="str">
        <f>IF(IFERROR(VLOOKUP(J542,'[63]ТР нефть'!$J$28:$BP$638,53,0),"-")=0,"-",IFERROR(VLOOKUP(J542,'[63]ТР нефть'!$J$28:$BP$638,53,0),"-"))</f>
        <v>-</v>
      </c>
      <c r="BK542" s="138" t="str">
        <f>IF(IFERROR(VLOOKUP(J542,'[63]ТР нефть'!$J$28:$BP$638,54,0),"-")=0,"-",IFERROR(VLOOKUP(J542,'[63]ТР нефть'!$J$28:$BP$638,54,0),"-"))</f>
        <v>-</v>
      </c>
      <c r="BL542" s="138" t="str">
        <f>IF(IFERROR(VLOOKUP(J542,'[63]ТР нефть'!$J$28:$BP$638,55,0),"-")=0,"-",IFERROR(VLOOKUP(J542,'[63]ТР нефть'!$J$28:$BP$638,55,0),"-"))</f>
        <v>-</v>
      </c>
      <c r="BM542" s="138" t="str">
        <f>IF(IFERROR(VLOOKUP(J542,'[63]ТР нефть'!$J$28:$BP$638,56,0),"-")=0,"-",IFERROR(VLOOKUP(J542,'[63]ТР нефть'!$J$28:$BP$638,56,0),"-"))</f>
        <v>-</v>
      </c>
      <c r="BN542" s="138" t="str">
        <f>IF(IFERROR(VLOOKUP(J542,'[63]ТР нефть'!$J$28:$BP$638,57,0),"-")=0,"-",IFERROR(VLOOKUP(J542,'[63]ТР нефть'!$J$28:$BP$638,57,0),"-"))</f>
        <v>-</v>
      </c>
      <c r="BO542" s="115" t="str">
        <f>IF(IFERROR(VLOOKUP(J542,'[63]ТР нефть'!$J$28:$BP$638,58,0),"-")=0,"-",IFERROR(VLOOKUP(J542,'[63]ТР нефть'!$J$28:$BP$638,58,0),"-"))</f>
        <v>-</v>
      </c>
      <c r="BP542" s="115" t="str">
        <f>IF(IFERROR(VLOOKUP(J542,'[63]ТР нефть'!$J$28:$BP$638,59,0),"-")=0,"-",IFERROR(VLOOKUP(J542,'[63]ТР нефть'!$J$28:$BP$638,59,0),"-"))</f>
        <v>-</v>
      </c>
      <c r="BQ542" s="138">
        <v>2630</v>
      </c>
      <c r="BR542" s="128">
        <v>1889.14</v>
      </c>
      <c r="BS542" s="115">
        <f t="shared" si="437"/>
        <v>740.8599999999999</v>
      </c>
      <c r="BT542" s="128">
        <v>73</v>
      </c>
      <c r="BU542" s="128">
        <v>5.5</v>
      </c>
      <c r="BV542" s="127">
        <v>65</v>
      </c>
      <c r="BW542" s="127" t="s">
        <v>217</v>
      </c>
      <c r="BX542" s="127" t="s">
        <v>195</v>
      </c>
      <c r="BY542" s="139">
        <v>24</v>
      </c>
      <c r="BZ542" s="139">
        <v>0</v>
      </c>
      <c r="CA542" s="138">
        <v>21</v>
      </c>
      <c r="CB542" s="138">
        <v>34</v>
      </c>
      <c r="CC542" s="138">
        <v>20</v>
      </c>
      <c r="CD542" s="135">
        <v>45017</v>
      </c>
      <c r="CE542" s="138">
        <v>111</v>
      </c>
      <c r="CF542" s="138">
        <v>66</v>
      </c>
      <c r="CG542" s="138" t="str">
        <f t="shared" si="433"/>
        <v>В работе</v>
      </c>
      <c r="CH542" s="138" t="s">
        <v>196</v>
      </c>
      <c r="CI542" s="138">
        <v>6</v>
      </c>
      <c r="CJ542" s="139"/>
      <c r="CK542" s="139"/>
      <c r="CL542" s="99"/>
      <c r="CM542" s="99"/>
      <c r="CN542" s="140">
        <v>69</v>
      </c>
      <c r="CO542" s="159">
        <f t="shared" si="442"/>
        <v>12.122</v>
      </c>
      <c r="CP542" s="160">
        <v>14.5</v>
      </c>
      <c r="CQ542" s="161">
        <v>0</v>
      </c>
      <c r="CR542" s="138">
        <v>22</v>
      </c>
      <c r="CS542" s="139">
        <v>12</v>
      </c>
      <c r="CT542" s="138"/>
      <c r="CU542" s="138">
        <f t="shared" si="418"/>
        <v>10</v>
      </c>
      <c r="CV542" s="115">
        <f t="shared" si="419"/>
        <v>824.94637848539844</v>
      </c>
      <c r="CW542" s="115">
        <f t="shared" si="443"/>
        <v>989.93565418247817</v>
      </c>
      <c r="CX542" s="133">
        <f t="shared" si="420"/>
        <v>0.34523809523809523</v>
      </c>
      <c r="CY542" s="116"/>
      <c r="CZ542" s="131"/>
      <c r="DA542" s="145" t="str">
        <f t="shared" si="444"/>
        <v>Газлифт</v>
      </c>
      <c r="DB542" s="146">
        <f t="shared" si="390"/>
        <v>12.122</v>
      </c>
      <c r="DC542" s="142">
        <f t="shared" si="402"/>
        <v>14.5</v>
      </c>
      <c r="DD542" s="119">
        <f t="shared" si="416"/>
        <v>0</v>
      </c>
      <c r="DE542" s="115">
        <f t="shared" si="392"/>
        <v>10</v>
      </c>
      <c r="DF542" s="121">
        <f t="shared" si="445"/>
        <v>12</v>
      </c>
      <c r="DG542" s="115">
        <f t="shared" si="446"/>
        <v>824.94637848539844</v>
      </c>
      <c r="DH542" s="115">
        <f t="shared" si="447"/>
        <v>69</v>
      </c>
      <c r="DI542" s="147"/>
      <c r="DJ542" s="111">
        <v>43520</v>
      </c>
      <c r="DK542" s="112">
        <v>42343</v>
      </c>
      <c r="DL542" s="113">
        <f t="shared" ca="1" si="424"/>
        <v>2761</v>
      </c>
      <c r="DM542" s="114"/>
      <c r="DN542" s="114"/>
      <c r="DO542" s="114"/>
      <c r="DP542" s="114"/>
      <c r="DQ542" s="112">
        <v>43907</v>
      </c>
      <c r="DR542" s="114" t="s">
        <v>198</v>
      </c>
      <c r="DS542" s="114"/>
      <c r="DT542" s="115">
        <v>60</v>
      </c>
      <c r="DU542" s="116">
        <f t="shared" si="425"/>
        <v>0.33028193226749181</v>
      </c>
      <c r="DV542" s="117">
        <f t="shared" si="428"/>
        <v>14.081900464156782</v>
      </c>
      <c r="DW542" s="118">
        <f t="shared" si="429"/>
        <v>16.844378545642083</v>
      </c>
      <c r="DX542" s="119">
        <f t="shared" si="430"/>
        <v>0</v>
      </c>
      <c r="DY542" s="115">
        <f t="shared" si="431"/>
        <v>11.616812790097988</v>
      </c>
      <c r="DZ542" s="117">
        <f t="shared" si="440"/>
        <v>1.9599004641567817</v>
      </c>
      <c r="EA542" s="120">
        <f t="shared" si="440"/>
        <v>2.3443785456420834</v>
      </c>
      <c r="EB542" s="119">
        <f t="shared" si="387"/>
        <v>0</v>
      </c>
      <c r="EC542" s="121">
        <f t="shared" si="415"/>
        <v>1.6168127900979883</v>
      </c>
      <c r="ED542" s="122"/>
      <c r="EE542" s="145">
        <v>65</v>
      </c>
      <c r="EF542" s="115">
        <v>21</v>
      </c>
      <c r="EG542" s="115">
        <v>34</v>
      </c>
      <c r="EH542" s="115">
        <v>20</v>
      </c>
      <c r="EI542" s="128" t="s">
        <v>195</v>
      </c>
      <c r="EJ542" s="121">
        <v>24</v>
      </c>
      <c r="EK542" s="121">
        <v>0</v>
      </c>
      <c r="EL542" s="162">
        <v>10.032</v>
      </c>
      <c r="EM542" s="142">
        <v>12</v>
      </c>
      <c r="EN542" s="119">
        <v>0</v>
      </c>
      <c r="EO542" s="115">
        <v>14.4</v>
      </c>
      <c r="EP542" s="115">
        <v>438.59649122807019</v>
      </c>
      <c r="EQ542" s="115">
        <v>66</v>
      </c>
      <c r="ER542" s="115">
        <v>10</v>
      </c>
      <c r="ES542" s="115">
        <v>70</v>
      </c>
      <c r="ET542" s="150">
        <v>0.29268292682926828</v>
      </c>
      <c r="EU542" s="145">
        <f t="shared" si="400"/>
        <v>65</v>
      </c>
      <c r="EV542" s="115">
        <f t="shared" si="448"/>
        <v>21</v>
      </c>
      <c r="EW542" s="115">
        <f t="shared" si="448"/>
        <v>34</v>
      </c>
      <c r="EX542" s="115">
        <f t="shared" si="448"/>
        <v>20</v>
      </c>
      <c r="EY542" s="115" t="str">
        <f t="shared" si="434"/>
        <v>Постоянный</v>
      </c>
      <c r="EZ542" s="115">
        <f t="shared" si="434"/>
        <v>24</v>
      </c>
      <c r="FA542" s="115">
        <f t="shared" si="434"/>
        <v>0</v>
      </c>
      <c r="FB542" s="149">
        <f t="shared" si="405"/>
        <v>12.122</v>
      </c>
      <c r="FC542" s="142">
        <f t="shared" si="405"/>
        <v>14.5</v>
      </c>
      <c r="FD542" s="119">
        <f t="shared" si="405"/>
        <v>0</v>
      </c>
      <c r="FE542" s="121">
        <f t="shared" si="405"/>
        <v>22</v>
      </c>
      <c r="FF542" s="121">
        <f t="shared" si="407"/>
        <v>824.94637848539844</v>
      </c>
      <c r="FG542" s="121">
        <f t="shared" si="449"/>
        <v>66</v>
      </c>
      <c r="FH542" s="121">
        <f t="shared" si="436"/>
        <v>12</v>
      </c>
      <c r="FI542" s="121">
        <f t="shared" si="427"/>
        <v>69</v>
      </c>
      <c r="FJ542" s="144">
        <f t="shared" si="450"/>
        <v>0.34523809523809523</v>
      </c>
      <c r="FK542" s="132">
        <f t="shared" si="451"/>
        <v>0</v>
      </c>
      <c r="FL542" s="115">
        <f t="shared" si="451"/>
        <v>0</v>
      </c>
      <c r="FM542" s="115">
        <f t="shared" si="451"/>
        <v>0</v>
      </c>
      <c r="FN542" s="115">
        <f t="shared" si="451"/>
        <v>0</v>
      </c>
      <c r="FO542" s="115">
        <f t="shared" si="439"/>
        <v>0</v>
      </c>
      <c r="FP542" s="115">
        <f t="shared" si="439"/>
        <v>0</v>
      </c>
      <c r="FQ542" s="149">
        <f t="shared" si="439"/>
        <v>2.09</v>
      </c>
      <c r="FR542" s="142">
        <f t="shared" si="439"/>
        <v>2.5</v>
      </c>
      <c r="FS542" s="119">
        <f t="shared" si="439"/>
        <v>0</v>
      </c>
      <c r="FT542" s="121">
        <f t="shared" si="438"/>
        <v>7.6</v>
      </c>
      <c r="FU542" s="121">
        <f t="shared" si="452"/>
        <v>0</v>
      </c>
      <c r="FV542" s="121">
        <f t="shared" si="452"/>
        <v>2</v>
      </c>
      <c r="FW542" s="121">
        <f t="shared" si="453"/>
        <v>386.34988725732825</v>
      </c>
      <c r="FX542" s="121">
        <f>CN542-ES542</f>
        <v>-1</v>
      </c>
      <c r="FY542" s="144">
        <f t="shared" si="454"/>
        <v>5.2555168408826958E-2</v>
      </c>
      <c r="FZ542" s="145" t="s">
        <v>199</v>
      </c>
      <c r="GA542" s="151" t="s">
        <v>1901</v>
      </c>
      <c r="GB542" s="145" t="s">
        <v>199</v>
      </c>
      <c r="GC542" s="151" t="s">
        <v>1762</v>
      </c>
      <c r="GD542" s="997" t="s">
        <v>416</v>
      </c>
      <c r="GE542" s="1004" t="s">
        <v>199</v>
      </c>
      <c r="GF542" s="1004">
        <v>-0.91959999999999908</v>
      </c>
      <c r="GG542" s="1004"/>
      <c r="GH542" s="1004">
        <v>-0.75239999999999974</v>
      </c>
      <c r="GI542" s="145"/>
      <c r="GJ542" s="996">
        <v>0</v>
      </c>
      <c r="GK542" s="145" t="s">
        <v>207</v>
      </c>
      <c r="GL542" s="996">
        <v>-3.5045120000000001</v>
      </c>
      <c r="GM542" s="1005"/>
      <c r="GN542" s="996">
        <v>0.16051199999999888</v>
      </c>
      <c r="GO542" s="1006" t="s">
        <v>199</v>
      </c>
      <c r="GP542" s="996">
        <v>1.6720000000000006</v>
      </c>
      <c r="GQ542" s="1006"/>
      <c r="GR542" s="996">
        <v>0.50159999999999982</v>
      </c>
      <c r="GS542" s="1006"/>
      <c r="GT542" s="996"/>
      <c r="GU542" s="1006"/>
      <c r="GV542" s="996">
        <v>0</v>
      </c>
      <c r="GW542" s="1006" t="s">
        <v>199</v>
      </c>
      <c r="GX542" s="996">
        <v>2.8591200000000008</v>
      </c>
      <c r="GY542" s="1006" t="s">
        <v>199</v>
      </c>
      <c r="GZ542" s="996">
        <v>-3.845600000000001</v>
      </c>
      <c r="HA542" s="1006"/>
      <c r="HB542" s="996">
        <v>-0.58519999999999861</v>
      </c>
      <c r="HC542" s="1006" t="s">
        <v>199</v>
      </c>
      <c r="HD542" s="996">
        <v>-4.0128000000000021</v>
      </c>
      <c r="HE542" s="1006" t="s">
        <v>199</v>
      </c>
      <c r="HF542" s="996">
        <v>4.464240000000002</v>
      </c>
      <c r="HG542" s="1006" t="s">
        <v>204</v>
      </c>
      <c r="HH542" s="996">
        <v>-2.8925600000000014</v>
      </c>
      <c r="HI542" s="1006" t="s">
        <v>221</v>
      </c>
      <c r="HJ542" s="996">
        <v>1.8224800000000005</v>
      </c>
      <c r="HK542" s="1006" t="s">
        <v>223</v>
      </c>
      <c r="HL542" s="996">
        <v>-6.1529599999999984</v>
      </c>
      <c r="HM542" s="1006" t="s">
        <v>308</v>
      </c>
      <c r="HN542" s="996">
        <v>9.2127199999999991</v>
      </c>
      <c r="HO542" s="1006"/>
      <c r="HP542" s="996">
        <v>0</v>
      </c>
      <c r="HQ542" s="1006"/>
      <c r="HR542" s="996">
        <v>0</v>
      </c>
      <c r="HS542" s="1006" t="s">
        <v>199</v>
      </c>
      <c r="HT542" s="996">
        <v>2.3324400000000001</v>
      </c>
      <c r="HU542" s="1006"/>
      <c r="HV542" s="996">
        <v>0.57683999999999891</v>
      </c>
      <c r="HW542" s="1006"/>
      <c r="HX542" s="996">
        <v>0.5266800000000007</v>
      </c>
      <c r="HY542" s="1006" t="s">
        <v>199</v>
      </c>
      <c r="HZ542" s="996">
        <v>-3.8706800000000001</v>
      </c>
      <c r="IA542" s="1006"/>
      <c r="IB542" s="996">
        <v>0.76075999999999944</v>
      </c>
      <c r="IC542" s="1006" t="s">
        <v>199</v>
      </c>
      <c r="ID542" s="996">
        <v>1.5800400000000003</v>
      </c>
      <c r="IE542" s="1006" t="s">
        <v>223</v>
      </c>
      <c r="IF542" s="996">
        <v>-2.8423999999999996</v>
      </c>
      <c r="IG542" s="1006"/>
      <c r="IH542" s="996">
        <v>0</v>
      </c>
      <c r="II542" s="1006" t="s">
        <v>204</v>
      </c>
      <c r="IJ542" s="996">
        <v>1.3551559999999991</v>
      </c>
      <c r="IK542" s="1006"/>
      <c r="IL542" s="996">
        <v>0</v>
      </c>
      <c r="IM542" s="1006"/>
      <c r="IN542" s="996">
        <v>0</v>
      </c>
      <c r="IO542" s="1006"/>
      <c r="IP542" s="996">
        <v>0</v>
      </c>
      <c r="IQ542" s="1006"/>
      <c r="IR542" s="996">
        <v>-0.18475600000000014</v>
      </c>
      <c r="IS542" s="1006"/>
      <c r="IT542" s="996">
        <v>0</v>
      </c>
      <c r="IU542" s="1006"/>
      <c r="IV542" s="996">
        <v>0.31768000000000107</v>
      </c>
      <c r="IW542" s="1006"/>
      <c r="IX542" s="996">
        <v>0</v>
      </c>
      <c r="IY542" s="1006"/>
      <c r="IZ542" s="996">
        <v>0</v>
      </c>
      <c r="JA542" s="1006" t="s">
        <v>203</v>
      </c>
      <c r="JB542" s="996">
        <v>2.9427199999999996</v>
      </c>
      <c r="JC542" s="1006" t="s">
        <v>25</v>
      </c>
      <c r="JD542" s="996">
        <v>1.2331000000000003</v>
      </c>
      <c r="JE542" s="1006" t="s">
        <v>199</v>
      </c>
      <c r="JF542" s="996">
        <v>5.7307799999999993</v>
      </c>
      <c r="JG542" s="1006" t="s">
        <v>199</v>
      </c>
      <c r="JH542" s="996">
        <v>-13.735479999999999</v>
      </c>
      <c r="JI542" s="1006"/>
      <c r="JJ542" s="996">
        <v>0</v>
      </c>
      <c r="JK542" s="1007" t="s">
        <v>204</v>
      </c>
      <c r="JL542" s="1007">
        <v>6.0191999999999997</v>
      </c>
      <c r="JM542" s="1007"/>
      <c r="JN542" s="1007">
        <v>0</v>
      </c>
      <c r="JO542" s="1008"/>
      <c r="JP542" s="1007">
        <v>0</v>
      </c>
      <c r="JQ542" s="1008">
        <v>0</v>
      </c>
      <c r="JR542" s="1007">
        <v>0</v>
      </c>
      <c r="JS542" s="1008">
        <v>0</v>
      </c>
      <c r="JT542" s="1007">
        <v>0</v>
      </c>
      <c r="JU542" s="1008"/>
      <c r="JV542" s="1007">
        <v>0</v>
      </c>
      <c r="JW542" s="1008" t="s">
        <v>197</v>
      </c>
      <c r="JX542" s="1007">
        <v>0</v>
      </c>
      <c r="JY542" s="1008" t="s">
        <v>199</v>
      </c>
      <c r="JZ542" s="1007">
        <v>-2.5080000000000009</v>
      </c>
      <c r="KA542" s="1008" t="s">
        <v>199</v>
      </c>
      <c r="KB542" s="1007">
        <v>7.8644192000000004</v>
      </c>
      <c r="KC542" s="1008" t="s">
        <v>199</v>
      </c>
      <c r="KD542" s="1007">
        <v>-7.8426831999999997</v>
      </c>
      <c r="KE542" s="1008"/>
      <c r="KF542" s="1007">
        <v>0</v>
      </c>
      <c r="KG542" s="1008"/>
      <c r="KH542" s="1007">
        <v>0</v>
      </c>
      <c r="KI542" s="1008" t="s">
        <v>207</v>
      </c>
      <c r="KJ542" s="1007">
        <v>-2.5864168000000021</v>
      </c>
      <c r="KK542" s="1008" t="s">
        <v>25</v>
      </c>
      <c r="KL542" s="1007">
        <v>13.432680800000002</v>
      </c>
      <c r="KM542" s="1008" t="s">
        <v>25</v>
      </c>
      <c r="KN542" s="1007">
        <v>0</v>
      </c>
      <c r="KO542" s="1008"/>
      <c r="KP542" s="1007">
        <v>0</v>
      </c>
      <c r="KQ542" s="1008">
        <v>0</v>
      </c>
      <c r="KR542" s="1007">
        <v>0</v>
      </c>
      <c r="KS542" s="1008">
        <v>0</v>
      </c>
      <c r="KT542" s="1007">
        <v>0</v>
      </c>
      <c r="KU542" s="1008">
        <v>0</v>
      </c>
      <c r="KV542" s="1007">
        <v>0</v>
      </c>
      <c r="KW542" s="1008">
        <v>0</v>
      </c>
      <c r="KX542" s="1007">
        <v>0</v>
      </c>
      <c r="KY542" s="1008">
        <v>0</v>
      </c>
      <c r="KZ542" s="1007">
        <v>0</v>
      </c>
      <c r="LA542" s="1008" t="s">
        <v>555</v>
      </c>
      <c r="LB542" s="1007">
        <v>-1.8300039999999989</v>
      </c>
      <c r="LC542" s="1008">
        <v>0</v>
      </c>
      <c r="LD542" s="1007">
        <v>0</v>
      </c>
      <c r="LE542" s="1008" t="s">
        <v>206</v>
      </c>
      <c r="LF542" s="1007">
        <v>0.91500199999999943</v>
      </c>
      <c r="LG542" s="1008">
        <v>0</v>
      </c>
      <c r="LH542" s="1007">
        <v>0</v>
      </c>
      <c r="LI542" s="1008" t="s">
        <v>204</v>
      </c>
      <c r="LJ542" s="1007">
        <v>-1.2477300000000007</v>
      </c>
      <c r="LK542" s="1008" t="s">
        <v>206</v>
      </c>
      <c r="LL542" s="1007">
        <v>0.24954599999999899</v>
      </c>
      <c r="LM542" s="1008">
        <v>0</v>
      </c>
      <c r="LN542" s="1007">
        <v>0</v>
      </c>
      <c r="LO542" s="1008" t="s">
        <v>223</v>
      </c>
      <c r="LP542" s="1007">
        <v>-1.5845800000000001</v>
      </c>
      <c r="LQ542" s="1008">
        <v>0</v>
      </c>
      <c r="LR542" s="1007">
        <v>0</v>
      </c>
      <c r="LS542" s="1008">
        <v>0</v>
      </c>
      <c r="LT542" s="1007">
        <v>0</v>
      </c>
      <c r="LU542" s="1008">
        <v>0</v>
      </c>
      <c r="LV542" s="1007">
        <v>0</v>
      </c>
      <c r="LW542" s="1008">
        <v>0</v>
      </c>
      <c r="LX542" s="1007">
        <v>0</v>
      </c>
      <c r="LY542" s="1009">
        <v>0</v>
      </c>
      <c r="LZ542" s="1010">
        <v>0</v>
      </c>
      <c r="MA542" s="1011" t="s">
        <v>206</v>
      </c>
      <c r="MB542" s="1012">
        <v>-3.3272799999999982</v>
      </c>
      <c r="MC542" s="995"/>
      <c r="MD542" s="996"/>
      <c r="ME542" s="997" t="s">
        <v>416</v>
      </c>
      <c r="MF542" s="997"/>
      <c r="MG542" s="998"/>
      <c r="NR542" s="1000"/>
      <c r="NS542" s="1000"/>
      <c r="NT542" s="1001"/>
      <c r="NU542" s="1000"/>
      <c r="NV542" s="1001"/>
      <c r="NX542" s="1002"/>
      <c r="NZ542" s="1001"/>
      <c r="OA542" s="1001"/>
      <c r="OC542" s="1003"/>
      <c r="OD542" s="1003"/>
      <c r="OE542" s="1001"/>
      <c r="OF542" s="1003"/>
      <c r="OG542" s="1003"/>
      <c r="OH542" s="1003"/>
      <c r="OI542" s="1016"/>
      <c r="QX542" s="1000">
        <f>CN542-CA542</f>
        <v>48</v>
      </c>
      <c r="ASU542" s="999" t="s">
        <v>208</v>
      </c>
    </row>
    <row r="543" spans="1:466 1191:1191" ht="21" customHeight="1" x14ac:dyDescent="0.25">
      <c r="A543" s="982">
        <f t="shared" si="441"/>
        <v>3249</v>
      </c>
      <c r="B543" s="124">
        <f>SUBTOTAL(103,$J$29:J543)</f>
        <v>515</v>
      </c>
      <c r="C543" s="126">
        <v>45068</v>
      </c>
      <c r="D543" s="124" t="s">
        <v>176</v>
      </c>
      <c r="E543" s="127" t="s">
        <v>177</v>
      </c>
      <c r="F543" s="128" t="s">
        <v>177</v>
      </c>
      <c r="G543" s="127" t="s">
        <v>178</v>
      </c>
      <c r="H543" s="127" t="s">
        <v>408</v>
      </c>
      <c r="I543" s="127" t="s">
        <v>409</v>
      </c>
      <c r="J543" s="152">
        <v>3249</v>
      </c>
      <c r="K543" s="127" t="s">
        <v>409</v>
      </c>
      <c r="L543" s="130">
        <v>35304</v>
      </c>
      <c r="M543" s="127" t="s">
        <v>230</v>
      </c>
      <c r="N543" s="127" t="s">
        <v>245</v>
      </c>
      <c r="O543" s="127" t="s">
        <v>185</v>
      </c>
      <c r="P543" s="127" t="s">
        <v>186</v>
      </c>
      <c r="Q543" s="85" t="str">
        <f t="shared" si="423"/>
        <v/>
      </c>
      <c r="R543" s="130"/>
      <c r="S543" s="128"/>
      <c r="T543" s="131"/>
      <c r="U543" s="132">
        <v>203</v>
      </c>
      <c r="V543" s="121">
        <v>218.2</v>
      </c>
      <c r="W543" s="116">
        <v>0.98</v>
      </c>
      <c r="X543" s="116">
        <v>1.66</v>
      </c>
      <c r="Y543" s="116">
        <f t="shared" si="408"/>
        <v>0.98</v>
      </c>
      <c r="Z543" s="133">
        <v>1.454</v>
      </c>
      <c r="AA543" s="133">
        <v>0.83599999999999997</v>
      </c>
      <c r="AB543" s="133">
        <v>0.72</v>
      </c>
      <c r="AC543" s="121">
        <v>34.299999999999997</v>
      </c>
      <c r="AD543" s="134">
        <v>1.17</v>
      </c>
      <c r="AE543" s="124">
        <v>177.8</v>
      </c>
      <c r="AF543" s="128">
        <v>9.19</v>
      </c>
      <c r="AG543" s="128">
        <v>2062</v>
      </c>
      <c r="AH543" s="127">
        <v>2651</v>
      </c>
      <c r="AI543" s="127">
        <v>2651</v>
      </c>
      <c r="AJ543" s="135"/>
      <c r="AK543" s="128"/>
      <c r="AL543" s="131"/>
      <c r="AM543" s="124" t="s">
        <v>232</v>
      </c>
      <c r="AN543" s="136" t="s">
        <v>1902</v>
      </c>
      <c r="AO543" s="137">
        <v>25.4</v>
      </c>
      <c r="AP543" s="128">
        <v>2062</v>
      </c>
      <c r="AQ543" s="128">
        <v>148</v>
      </c>
      <c r="AR543" s="128"/>
      <c r="AS543" s="128"/>
      <c r="AT543" s="122"/>
      <c r="AU543" s="124" t="s">
        <v>189</v>
      </c>
      <c r="AV543" s="115">
        <f>VLOOKUP(J543,'[63]ТР нефть'!$J$28:$BP$638,39,0)</f>
        <v>565.00000605499997</v>
      </c>
      <c r="AW543" s="115" t="str">
        <f>VLOOKUP(J543,'[63]ТР нефть'!$J$28:$BP$638,40,0)</f>
        <v>ГК 79 1/8</v>
      </c>
      <c r="AX543" s="115">
        <f>VLOOKUP(J543,'[63]ТР нефть'!$J$28:$BP$638,41,0)</f>
        <v>930.00001523399999</v>
      </c>
      <c r="AY543" s="115" t="str">
        <f>VLOOKUP(J543,'[63]ТР нефть'!$J$28:$BP$638,42,0)</f>
        <v>ГК 80 1/8</v>
      </c>
      <c r="AZ543" s="115">
        <f>VLOOKUP(J543,'[63]ТР нефть'!$J$28:$BP$638,43,0)</f>
        <v>1274.9999800779999</v>
      </c>
      <c r="BA543" s="115" t="str">
        <f>VLOOKUP(J543,'[63]ТР нефть'!$J$28:$BP$638,44,0)</f>
        <v>ГК 81 1/8</v>
      </c>
      <c r="BB543" s="115">
        <f>VLOOKUP(J543,'[63]ТР нефть'!$J$28:$BP$638,45,0)</f>
        <v>1574.9999753909999</v>
      </c>
      <c r="BC543" s="115" t="str">
        <f>VLOOKUP(J543,'[63]ТР нефть'!$J$28:$BP$638,46,0)</f>
        <v>ЦКсОК 5/16</v>
      </c>
      <c r="BD543" s="115" t="str">
        <f>VLOOKUP(J543,'[63]ТР нефть'!$J$28:$BP$638,47,0)</f>
        <v>-</v>
      </c>
      <c r="BE543" s="115" t="str">
        <f>VLOOKUP(J543,'[63]ТР нефть'!$J$28:$BP$638,48,0)</f>
        <v>-</v>
      </c>
      <c r="BF543" s="115" t="str">
        <f>VLOOKUP(J543,'[63]ТР нефть'!$J$28:$BP$638,49,0)</f>
        <v>-</v>
      </c>
      <c r="BG543" s="115" t="str">
        <f>VLOOKUP(J543,'[63]ТР нефть'!$J$28:$BP$638,50,0)</f>
        <v>-</v>
      </c>
      <c r="BH543" s="115">
        <f>VLOOKUP(J543,'[63]ТР нефть'!$J$28:$BP$638,51,0)</f>
        <v>1740</v>
      </c>
      <c r="BI543" s="115" t="str">
        <f>VLOOKUP(J543,'[63]ТР нефть'!$J$28:$BP$638,52,0)</f>
        <v>закрыт</v>
      </c>
      <c r="BJ543" s="115" t="str">
        <f>IF(IFERROR(VLOOKUP(J543,'[63]ТР нефть'!$J$28:$BP$638,53,0),"-")=0,"-",IFERROR(VLOOKUP(J543,'[63]ТР нефть'!$J$28:$BP$638,53,0),"-"))</f>
        <v>-</v>
      </c>
      <c r="BK543" s="138" t="str">
        <f>IF(IFERROR(VLOOKUP(J543,'[63]ТР нефть'!$J$28:$BP$638,54,0),"-")=0,"-",IFERROR(VLOOKUP(J543,'[63]ТР нефть'!$J$28:$BP$638,54,0),"-"))</f>
        <v>-</v>
      </c>
      <c r="BL543" s="138" t="str">
        <f>IF(IFERROR(VLOOKUP(J543,'[63]ТР нефть'!$J$28:$BP$638,55,0),"-")=0,"-",IFERROR(VLOOKUP(J543,'[63]ТР нефть'!$J$28:$BP$638,55,0),"-"))</f>
        <v>-</v>
      </c>
      <c r="BM543" s="138" t="str">
        <f>IF(IFERROR(VLOOKUP(J543,'[63]ТР нефть'!$J$28:$BP$638,56,0),"-")=0,"-",IFERROR(VLOOKUP(J543,'[63]ТР нефть'!$J$28:$BP$638,56,0),"-"))</f>
        <v>-</v>
      </c>
      <c r="BN543" s="138" t="str">
        <f>IF(IFERROR(VLOOKUP(J543,'[63]ТР нефть'!$J$28:$BP$638,57,0),"-")=0,"-",IFERROR(VLOOKUP(J543,'[63]ТР нефть'!$J$28:$BP$638,57,0),"-"))</f>
        <v>-</v>
      </c>
      <c r="BO543" s="115" t="str">
        <f>IF(IFERROR(VLOOKUP(J543,'[63]ТР нефть'!$J$28:$BP$638,58,0),"-")=0,"-",IFERROR(VLOOKUP(J543,'[63]ТР нефть'!$J$28:$BP$638,58,0),"-"))</f>
        <v>-</v>
      </c>
      <c r="BP543" s="115" t="str">
        <f>IF(IFERROR(VLOOKUP(J543,'[63]ТР нефть'!$J$28:$BP$638,59,0),"-")=0,"-",IFERROR(VLOOKUP(J543,'[63]ТР нефть'!$J$28:$BP$638,59,0),"-"))</f>
        <v>-</v>
      </c>
      <c r="BQ543" s="138">
        <v>2075</v>
      </c>
      <c r="BR543" s="128">
        <v>1883.3</v>
      </c>
      <c r="BS543" s="115">
        <f t="shared" si="437"/>
        <v>191.70000000000005</v>
      </c>
      <c r="BT543" s="128">
        <v>73</v>
      </c>
      <c r="BU543" s="128">
        <v>5.5</v>
      </c>
      <c r="BV543" s="127">
        <v>18</v>
      </c>
      <c r="BW543" s="127" t="s">
        <v>217</v>
      </c>
      <c r="BX543" s="127" t="s">
        <v>195</v>
      </c>
      <c r="BY543" s="139">
        <v>24</v>
      </c>
      <c r="BZ543" s="139">
        <v>0</v>
      </c>
      <c r="CA543" s="138">
        <v>21</v>
      </c>
      <c r="CB543" s="138">
        <v>41</v>
      </c>
      <c r="CC543" s="138">
        <v>20</v>
      </c>
      <c r="CD543" s="135">
        <v>45017</v>
      </c>
      <c r="CE543" s="138">
        <v>113</v>
      </c>
      <c r="CF543" s="138">
        <v>69</v>
      </c>
      <c r="CG543" s="138" t="str">
        <f t="shared" si="433"/>
        <v>В работе</v>
      </c>
      <c r="CH543" s="138" t="s">
        <v>235</v>
      </c>
      <c r="CI543" s="138"/>
      <c r="CJ543" s="139"/>
      <c r="CK543" s="139"/>
      <c r="CL543" s="99"/>
      <c r="CM543" s="99"/>
      <c r="CN543" s="140">
        <v>50</v>
      </c>
      <c r="CO543" s="159">
        <f t="shared" si="442"/>
        <v>12.038399999999999</v>
      </c>
      <c r="CP543" s="160">
        <v>14.4</v>
      </c>
      <c r="CQ543" s="161">
        <v>0</v>
      </c>
      <c r="CR543" s="115">
        <v>13</v>
      </c>
      <c r="CS543" s="139">
        <v>10</v>
      </c>
      <c r="CT543" s="138"/>
      <c r="CU543" s="138">
        <f t="shared" si="418"/>
        <v>3</v>
      </c>
      <c r="CV543" s="115">
        <f t="shared" si="419"/>
        <v>249.20255183413079</v>
      </c>
      <c r="CW543" s="115">
        <f t="shared" si="443"/>
        <v>830.67517278043601</v>
      </c>
      <c r="CX543" s="133">
        <f t="shared" si="420"/>
        <v>0.22857142857142856</v>
      </c>
      <c r="CY543" s="116"/>
      <c r="CZ543" s="131"/>
      <c r="DA543" s="145" t="str">
        <f t="shared" si="444"/>
        <v>Газлифт</v>
      </c>
      <c r="DB543" s="146">
        <f t="shared" si="390"/>
        <v>12.038399999999999</v>
      </c>
      <c r="DC543" s="142">
        <f t="shared" si="402"/>
        <v>14.4</v>
      </c>
      <c r="DD543" s="119">
        <f t="shared" si="416"/>
        <v>0</v>
      </c>
      <c r="DE543" s="115">
        <f t="shared" si="392"/>
        <v>3</v>
      </c>
      <c r="DF543" s="121">
        <f t="shared" si="445"/>
        <v>10</v>
      </c>
      <c r="DG543" s="115">
        <f t="shared" si="446"/>
        <v>249.20255183413079</v>
      </c>
      <c r="DH543" s="115">
        <f t="shared" si="447"/>
        <v>50</v>
      </c>
      <c r="DI543" s="147"/>
      <c r="DJ543" s="111">
        <v>42578</v>
      </c>
      <c r="DK543" s="112">
        <v>42259</v>
      </c>
      <c r="DL543" s="113">
        <f t="shared" ca="1" si="424"/>
        <v>2845</v>
      </c>
      <c r="DM543" s="114"/>
      <c r="DN543" s="114"/>
      <c r="DO543" s="114"/>
      <c r="DP543" s="114"/>
      <c r="DQ543" s="112">
        <v>42259</v>
      </c>
      <c r="DR543" s="114" t="s">
        <v>324</v>
      </c>
      <c r="DS543" s="114">
        <v>0</v>
      </c>
      <c r="DT543" s="115">
        <v>50</v>
      </c>
      <c r="DU543" s="116">
        <f t="shared" si="425"/>
        <v>0.22857142857142856</v>
      </c>
      <c r="DV543" s="117">
        <f t="shared" si="428"/>
        <v>12.038399999999999</v>
      </c>
      <c r="DW543" s="118">
        <f t="shared" si="429"/>
        <v>14.4</v>
      </c>
      <c r="DX543" s="119">
        <f t="shared" si="430"/>
        <v>0</v>
      </c>
      <c r="DY543" s="115">
        <f t="shared" si="431"/>
        <v>3</v>
      </c>
      <c r="DZ543" s="117">
        <f t="shared" si="440"/>
        <v>0</v>
      </c>
      <c r="EA543" s="120">
        <f t="shared" si="440"/>
        <v>0</v>
      </c>
      <c r="EB543" s="119">
        <f t="shared" si="387"/>
        <v>0</v>
      </c>
      <c r="EC543" s="121">
        <f t="shared" si="415"/>
        <v>0</v>
      </c>
      <c r="ED543" s="122"/>
      <c r="EE543" s="145">
        <v>18</v>
      </c>
      <c r="EF543" s="115">
        <v>22</v>
      </c>
      <c r="EG543" s="115">
        <v>32</v>
      </c>
      <c r="EH543" s="115">
        <v>20</v>
      </c>
      <c r="EI543" s="128" t="s">
        <v>195</v>
      </c>
      <c r="EJ543" s="121">
        <v>24</v>
      </c>
      <c r="EK543" s="121">
        <v>0</v>
      </c>
      <c r="EL543" s="162">
        <v>12.54</v>
      </c>
      <c r="EM543" s="142">
        <v>15</v>
      </c>
      <c r="EN543" s="119">
        <v>0</v>
      </c>
      <c r="EO543" s="115">
        <v>16</v>
      </c>
      <c r="EP543" s="115">
        <v>478.46889952153111</v>
      </c>
      <c r="EQ543" s="115">
        <v>68</v>
      </c>
      <c r="ER543" s="115">
        <v>10</v>
      </c>
      <c r="ES543" s="115">
        <v>49</v>
      </c>
      <c r="ET543" s="150">
        <v>0.234375</v>
      </c>
      <c r="EU543" s="145">
        <f t="shared" si="400"/>
        <v>18</v>
      </c>
      <c r="EV543" s="115">
        <f t="shared" si="448"/>
        <v>21</v>
      </c>
      <c r="EW543" s="115">
        <f t="shared" si="448"/>
        <v>41</v>
      </c>
      <c r="EX543" s="115">
        <f t="shared" si="448"/>
        <v>20</v>
      </c>
      <c r="EY543" s="115" t="str">
        <f t="shared" si="434"/>
        <v>Постоянный</v>
      </c>
      <c r="EZ543" s="115">
        <f t="shared" si="434"/>
        <v>24</v>
      </c>
      <c r="FA543" s="115">
        <f t="shared" si="434"/>
        <v>0</v>
      </c>
      <c r="FB543" s="149">
        <f t="shared" si="405"/>
        <v>12.038399999999999</v>
      </c>
      <c r="FC543" s="142">
        <f t="shared" si="405"/>
        <v>14.4</v>
      </c>
      <c r="FD543" s="119">
        <f t="shared" si="405"/>
        <v>0</v>
      </c>
      <c r="FE543" s="121">
        <f t="shared" si="405"/>
        <v>13</v>
      </c>
      <c r="FF543" s="121">
        <f t="shared" si="407"/>
        <v>249.20255183413079</v>
      </c>
      <c r="FG543" s="121">
        <f t="shared" si="449"/>
        <v>69</v>
      </c>
      <c r="FH543" s="121">
        <f t="shared" si="436"/>
        <v>10</v>
      </c>
      <c r="FI543" s="121">
        <f t="shared" si="427"/>
        <v>50</v>
      </c>
      <c r="FJ543" s="144">
        <f t="shared" si="450"/>
        <v>0.22857142857142856</v>
      </c>
      <c r="FK543" s="132">
        <f t="shared" si="451"/>
        <v>0</v>
      </c>
      <c r="FL543" s="115">
        <f t="shared" si="451"/>
        <v>-1</v>
      </c>
      <c r="FM543" s="115">
        <f t="shared" si="451"/>
        <v>9</v>
      </c>
      <c r="FN543" s="115">
        <f t="shared" si="451"/>
        <v>0</v>
      </c>
      <c r="FO543" s="115">
        <f t="shared" si="439"/>
        <v>0</v>
      </c>
      <c r="FP543" s="115">
        <f t="shared" si="439"/>
        <v>0</v>
      </c>
      <c r="FQ543" s="149">
        <f t="shared" si="439"/>
        <v>-0.50159999999999982</v>
      </c>
      <c r="FR543" s="142">
        <f t="shared" si="439"/>
        <v>-0.59999999999999964</v>
      </c>
      <c r="FS543" s="119">
        <f t="shared" si="439"/>
        <v>0</v>
      </c>
      <c r="FT543" s="121">
        <f t="shared" si="438"/>
        <v>-3</v>
      </c>
      <c r="FU543" s="121">
        <f t="shared" si="452"/>
        <v>1</v>
      </c>
      <c r="FV543" s="121">
        <f t="shared" si="452"/>
        <v>0</v>
      </c>
      <c r="FW543" s="121">
        <f t="shared" si="453"/>
        <v>-229.26634768740033</v>
      </c>
      <c r="FX543" s="121">
        <f>CN543-ES543</f>
        <v>1</v>
      </c>
      <c r="FY543" s="144">
        <f t="shared" si="454"/>
        <v>-5.8035714285714357E-3</v>
      </c>
      <c r="FZ543" s="145"/>
      <c r="GA543" s="151"/>
      <c r="GB543" s="145"/>
      <c r="GC543" s="151"/>
      <c r="GD543" s="997" t="s">
        <v>416</v>
      </c>
      <c r="GE543" s="1004"/>
      <c r="GF543" s="1004">
        <v>-0.41800000000000104</v>
      </c>
      <c r="GG543" s="1004"/>
      <c r="GH543" s="1004">
        <v>0</v>
      </c>
      <c r="GI543" s="145"/>
      <c r="GJ543" s="996">
        <v>0</v>
      </c>
      <c r="GK543" s="145" t="s">
        <v>240</v>
      </c>
      <c r="GL543" s="996">
        <v>-1.3376000000000001</v>
      </c>
      <c r="GM543" s="1005" t="s">
        <v>204</v>
      </c>
      <c r="GN543" s="996">
        <v>0</v>
      </c>
      <c r="GO543" s="1006"/>
      <c r="GP543" s="996">
        <v>0.91960000000000086</v>
      </c>
      <c r="GQ543" s="1006"/>
      <c r="GR543" s="996">
        <v>0.75239999999999974</v>
      </c>
      <c r="GS543" s="1006"/>
      <c r="GT543" s="996">
        <v>0.8777999999999988</v>
      </c>
      <c r="GU543" s="1006" t="s">
        <v>199</v>
      </c>
      <c r="GV543" s="996">
        <v>2.1986800000000013</v>
      </c>
      <c r="GW543" s="1006"/>
      <c r="GX543" s="996">
        <v>-0.73568000000000033</v>
      </c>
      <c r="GY543" s="1006"/>
      <c r="GZ543" s="996">
        <v>8.3600000000000563E-2</v>
      </c>
      <c r="HA543" s="1006" t="s">
        <v>199</v>
      </c>
      <c r="HB543" s="996">
        <v>-1.6719999999999988</v>
      </c>
      <c r="HC543" s="1006"/>
      <c r="HD543" s="996">
        <v>-0.86693200000000203</v>
      </c>
      <c r="HE543" s="1006"/>
      <c r="HF543" s="996">
        <v>0</v>
      </c>
      <c r="HG543" s="1006" t="s">
        <v>199</v>
      </c>
      <c r="HH543" s="996">
        <v>3.5421320000000005</v>
      </c>
      <c r="HI543" s="1006"/>
      <c r="HJ543" s="996">
        <v>0</v>
      </c>
      <c r="HK543" s="1006" t="s">
        <v>204</v>
      </c>
      <c r="HL543" s="996">
        <v>-2.8256800000000002</v>
      </c>
      <c r="HM543" s="1006"/>
      <c r="HN543" s="996">
        <v>0</v>
      </c>
      <c r="HO543" s="1006"/>
      <c r="HP543" s="996">
        <v>-0.12539999999999907</v>
      </c>
      <c r="HQ543" s="1006" t="s">
        <v>204</v>
      </c>
      <c r="HR543" s="996">
        <v>10.307879999999999</v>
      </c>
      <c r="HS543" s="1006"/>
      <c r="HT543" s="996">
        <v>0</v>
      </c>
      <c r="HU543" s="1006"/>
      <c r="HV543" s="996">
        <v>0</v>
      </c>
      <c r="HW543" s="1006"/>
      <c r="HX543" s="996">
        <v>0</v>
      </c>
      <c r="HY543" s="1006"/>
      <c r="HZ543" s="996">
        <v>0.47652000000000028</v>
      </c>
      <c r="IA543" s="1006"/>
      <c r="IB543" s="996">
        <v>-0.65207999999999999</v>
      </c>
      <c r="IC543" s="1006"/>
      <c r="ID543" s="996">
        <v>-7.5239999999999974E-2</v>
      </c>
      <c r="IE543" s="1006" t="s">
        <v>223</v>
      </c>
      <c r="IF543" s="996">
        <v>-11.953127999999998</v>
      </c>
      <c r="IG543" s="1006"/>
      <c r="IH543" s="996">
        <v>1.2799999999835165E-4</v>
      </c>
      <c r="II543" s="1006"/>
      <c r="IJ543" s="996">
        <v>0</v>
      </c>
      <c r="IK543" s="1006"/>
      <c r="IL543" s="996">
        <v>0</v>
      </c>
      <c r="IM543" s="1006"/>
      <c r="IN543" s="996">
        <v>0</v>
      </c>
      <c r="IO543" s="1006"/>
      <c r="IP543" s="996">
        <v>0</v>
      </c>
      <c r="IQ543" s="1006"/>
      <c r="IR543" s="996">
        <v>0</v>
      </c>
      <c r="IS543" s="1006"/>
      <c r="IT543" s="996">
        <v>0</v>
      </c>
      <c r="IU543" s="1006"/>
      <c r="IV543" s="996" t="e">
        <v>#VALUE!</v>
      </c>
      <c r="IW543" s="1006"/>
      <c r="IX543" s="996" t="e">
        <v>#VALUE!</v>
      </c>
      <c r="IY543" s="1006"/>
      <c r="IZ543" s="996">
        <v>0</v>
      </c>
      <c r="JA543" s="1006"/>
      <c r="JB543" s="996"/>
      <c r="JC543" s="1006"/>
      <c r="JD543" s="996"/>
      <c r="JE543" s="1006"/>
      <c r="JF543" s="996"/>
      <c r="JG543" s="1006"/>
      <c r="JH543" s="996"/>
      <c r="JI543" s="1006"/>
      <c r="JJ543" s="996"/>
      <c r="JK543" s="1007"/>
      <c r="JL543" s="1007"/>
      <c r="JM543" s="1007"/>
      <c r="JN543" s="1007"/>
      <c r="JO543" s="1008"/>
      <c r="JP543" s="1007"/>
      <c r="JQ543" s="1008"/>
      <c r="JR543" s="1007"/>
      <c r="JS543" s="1008"/>
      <c r="JT543" s="1007"/>
      <c r="JU543" s="1008"/>
      <c r="JV543" s="1007"/>
      <c r="JW543" s="1008"/>
      <c r="JX543" s="1007"/>
      <c r="JY543" s="1008"/>
      <c r="JZ543" s="1007"/>
      <c r="KA543" s="1008"/>
      <c r="KB543" s="1007"/>
      <c r="KC543" s="1008"/>
      <c r="KD543" s="1007"/>
      <c r="KE543" s="1008"/>
      <c r="KF543" s="1007"/>
      <c r="KG543" s="1008"/>
      <c r="KH543" s="1007"/>
      <c r="KI543" s="1008"/>
      <c r="KJ543" s="1007"/>
      <c r="KK543" s="1008"/>
      <c r="KL543" s="1007"/>
      <c r="KM543" s="1008"/>
      <c r="KN543" s="1007"/>
      <c r="KO543" s="1008"/>
      <c r="KP543" s="1007"/>
      <c r="KQ543" s="1008"/>
      <c r="KR543" s="1007"/>
      <c r="KS543" s="1008"/>
      <c r="KT543" s="1007"/>
      <c r="KU543" s="1008"/>
      <c r="KV543" s="1007"/>
      <c r="KW543" s="1008"/>
      <c r="KX543" s="1007"/>
      <c r="KY543" s="1008"/>
      <c r="KZ543" s="1007"/>
      <c r="LA543" s="1008"/>
      <c r="LB543" s="1007"/>
      <c r="LC543" s="1008"/>
      <c r="LD543" s="1007"/>
      <c r="LE543" s="1008"/>
      <c r="LF543" s="1007"/>
      <c r="LG543" s="1008"/>
      <c r="LH543" s="1007"/>
      <c r="LI543" s="1008"/>
      <c r="LJ543" s="1007"/>
      <c r="LK543" s="1008"/>
      <c r="LL543" s="1007"/>
      <c r="LM543" s="1008"/>
      <c r="LN543" s="1007"/>
      <c r="LO543" s="1008"/>
      <c r="LP543" s="1007"/>
      <c r="LQ543" s="1008"/>
      <c r="LR543" s="1007"/>
      <c r="LS543" s="1008"/>
      <c r="LT543" s="1007"/>
      <c r="LU543" s="1008"/>
      <c r="LV543" s="1007"/>
      <c r="LW543" s="1008"/>
      <c r="LX543" s="1007"/>
      <c r="LY543" s="1009"/>
      <c r="LZ543" s="1010"/>
      <c r="MA543" s="1011"/>
      <c r="MB543" s="1012"/>
      <c r="MC543" s="995"/>
      <c r="MD543" s="996"/>
      <c r="ME543" s="997" t="s">
        <v>416</v>
      </c>
      <c r="MF543" s="997"/>
      <c r="MG543" s="998"/>
      <c r="NR543" s="1000"/>
      <c r="NS543" s="1000"/>
      <c r="NT543" s="1001"/>
      <c r="NU543" s="1000"/>
      <c r="NV543" s="1001"/>
      <c r="NX543" s="1002"/>
      <c r="NZ543" s="1001"/>
      <c r="OA543" s="1001"/>
      <c r="OC543" s="1003"/>
      <c r="OD543" s="1003"/>
      <c r="OE543" s="1001"/>
      <c r="OF543" s="1003"/>
      <c r="OG543" s="1003"/>
      <c r="QX543" s="1000">
        <f>CN543-CA543</f>
        <v>29</v>
      </c>
      <c r="ASU543" s="999" t="s">
        <v>208</v>
      </c>
    </row>
    <row r="544" spans="1:466 1191:1191" ht="21" customHeight="1" x14ac:dyDescent="0.25">
      <c r="A544" s="982">
        <f t="shared" si="441"/>
        <v>3250</v>
      </c>
      <c r="B544" s="124">
        <f>SUBTOTAL(103,$J$29:J544)</f>
        <v>516</v>
      </c>
      <c r="C544" s="126">
        <v>45096</v>
      </c>
      <c r="D544" s="124" t="s">
        <v>176</v>
      </c>
      <c r="E544" s="127" t="s">
        <v>177</v>
      </c>
      <c r="F544" s="128" t="s">
        <v>177</v>
      </c>
      <c r="G544" s="127" t="s">
        <v>178</v>
      </c>
      <c r="H544" s="127" t="s">
        <v>421</v>
      </c>
      <c r="I544" s="127" t="s">
        <v>1270</v>
      </c>
      <c r="J544" s="152">
        <v>3250</v>
      </c>
      <c r="K544" s="127" t="s">
        <v>1270</v>
      </c>
      <c r="L544" s="130">
        <v>35305</v>
      </c>
      <c r="M544" s="127" t="s">
        <v>230</v>
      </c>
      <c r="N544" s="127" t="s">
        <v>245</v>
      </c>
      <c r="O544" s="127" t="s">
        <v>185</v>
      </c>
      <c r="P544" s="127" t="s">
        <v>208</v>
      </c>
      <c r="Q544" s="85" t="str">
        <f t="shared" si="423"/>
        <v/>
      </c>
      <c r="R544" s="130"/>
      <c r="S544" s="128"/>
      <c r="T544" s="131"/>
      <c r="U544" s="132">
        <v>203</v>
      </c>
      <c r="V544" s="121">
        <v>218.2</v>
      </c>
      <c r="W544" s="116">
        <v>0.98</v>
      </c>
      <c r="X544" s="116">
        <v>1.66</v>
      </c>
      <c r="Y544" s="116">
        <f t="shared" si="408"/>
        <v>1.2923419129329519</v>
      </c>
      <c r="Z544" s="133">
        <v>1.454</v>
      </c>
      <c r="AA544" s="133">
        <v>0.83599999999999997</v>
      </c>
      <c r="AB544" s="133">
        <v>0.72</v>
      </c>
      <c r="AC544" s="121">
        <v>34.299999999999997</v>
      </c>
      <c r="AD544" s="134">
        <v>1.17</v>
      </c>
      <c r="AE544" s="124">
        <v>177.8</v>
      </c>
      <c r="AF544" s="128">
        <v>9.19</v>
      </c>
      <c r="AG544" s="128">
        <v>2163</v>
      </c>
      <c r="AH544" s="127">
        <v>2875</v>
      </c>
      <c r="AI544" s="127">
        <v>2875</v>
      </c>
      <c r="AJ544" s="135"/>
      <c r="AK544" s="128"/>
      <c r="AL544" s="131"/>
      <c r="AM544" s="124" t="s">
        <v>232</v>
      </c>
      <c r="AN544" s="136" t="s">
        <v>1903</v>
      </c>
      <c r="AO544" s="137">
        <v>44.37</v>
      </c>
      <c r="AP544" s="128">
        <v>2163</v>
      </c>
      <c r="AQ544" s="128">
        <v>227</v>
      </c>
      <c r="AR544" s="128"/>
      <c r="AS544" s="128"/>
      <c r="AT544" s="122"/>
      <c r="AU544" s="124" t="s">
        <v>189</v>
      </c>
      <c r="AV544" s="115">
        <f>VLOOKUP(J544,'[63]ТР нефть'!$J$28:$BP$638,39,0)</f>
        <v>599.99999062500001</v>
      </c>
      <c r="AW544" s="115" t="str">
        <f>VLOOKUP(J544,'[63]ТР нефть'!$J$28:$BP$638,40,0)</f>
        <v>ГП</v>
      </c>
      <c r="AX544" s="115">
        <f>VLOOKUP(J544,'[63]ТР нефть'!$J$28:$BP$638,41,0)</f>
        <v>1109.999967773</v>
      </c>
      <c r="AY544" s="115" t="str">
        <f>VLOOKUP(J544,'[63]ТР нефть'!$J$28:$BP$638,42,0)</f>
        <v>ГП</v>
      </c>
      <c r="AZ544" s="115">
        <f>VLOOKUP(J544,'[63]ТР нефть'!$J$28:$BP$638,43,0)</f>
        <v>1540.000065234</v>
      </c>
      <c r="BA544" s="115" t="str">
        <f>VLOOKUP(J544,'[63]ТР нефть'!$J$28:$BP$638,44,0)</f>
        <v>ГК 85 1/8</v>
      </c>
      <c r="BB544" s="115">
        <f>VLOOKUP(J544,'[63]ТР нефть'!$J$28:$BP$638,45,0)</f>
        <v>1928.0000472659999</v>
      </c>
      <c r="BC544" s="115" t="str">
        <f>VLOOKUP(J544,'[63]ТР нефть'!$J$28:$BP$638,46,0)</f>
        <v>ЦКсОК 5/16</v>
      </c>
      <c r="BD544" s="115" t="str">
        <f>VLOOKUP(J544,'[63]ТР нефть'!$J$28:$BP$638,47,0)</f>
        <v>-</v>
      </c>
      <c r="BE544" s="115" t="str">
        <f>VLOOKUP(J544,'[63]ТР нефть'!$J$28:$BP$638,48,0)</f>
        <v>-</v>
      </c>
      <c r="BF544" s="115" t="str">
        <f>VLOOKUP(J544,'[63]ТР нефть'!$J$28:$BP$638,49,0)</f>
        <v>-</v>
      </c>
      <c r="BG544" s="115" t="str">
        <f>VLOOKUP(J544,'[63]ТР нефть'!$J$28:$BP$638,50,0)</f>
        <v>-</v>
      </c>
      <c r="BH544" s="115">
        <f>VLOOKUP(J544,'[63]ТР нефть'!$J$28:$BP$638,51,0)</f>
        <v>1938</v>
      </c>
      <c r="BI544" s="115" t="str">
        <f>VLOOKUP(J544,'[63]ТР нефть'!$J$28:$BP$638,52,0)</f>
        <v>закрыт</v>
      </c>
      <c r="BJ544" s="115" t="str">
        <f>IF(IFERROR(VLOOKUP(J544,'[63]ТР нефть'!$J$28:$BP$638,53,0),"-")=0,"-",IFERROR(VLOOKUP(J544,'[63]ТР нефть'!$J$28:$BP$638,53,0),"-"))</f>
        <v>-</v>
      </c>
      <c r="BK544" s="138" t="str">
        <f>IF(IFERROR(VLOOKUP(J544,'[63]ТР нефть'!$J$28:$BP$638,54,0),"-")=0,"-",IFERROR(VLOOKUP(J544,'[63]ТР нефть'!$J$28:$BP$638,54,0),"-"))</f>
        <v>-</v>
      </c>
      <c r="BL544" s="138" t="str">
        <f>IF(IFERROR(VLOOKUP(J544,'[63]ТР нефть'!$J$28:$BP$638,55,0),"-")=0,"-",IFERROR(VLOOKUP(J544,'[63]ТР нефть'!$J$28:$BP$638,55,0),"-"))</f>
        <v>-</v>
      </c>
      <c r="BM544" s="138" t="str">
        <f>IF(IFERROR(VLOOKUP(J544,'[63]ТР нефть'!$J$28:$BP$638,56,0),"-")=0,"-",IFERROR(VLOOKUP(J544,'[63]ТР нефть'!$J$28:$BP$638,56,0),"-"))</f>
        <v>-</v>
      </c>
      <c r="BN544" s="138" t="str">
        <f>IF(IFERROR(VLOOKUP(J544,'[63]ТР нефть'!$J$28:$BP$638,57,0),"-")=0,"-",IFERROR(VLOOKUP(J544,'[63]ТР нефть'!$J$28:$BP$638,57,0),"-"))</f>
        <v>-</v>
      </c>
      <c r="BO544" s="115" t="str">
        <f>IF(IFERROR(VLOOKUP(J544,'[63]ТР нефть'!$J$28:$BP$638,58,0),"-")=0,"-",IFERROR(VLOOKUP(J544,'[63]ТР нефть'!$J$28:$BP$638,58,0),"-"))</f>
        <v>-</v>
      </c>
      <c r="BP544" s="115" t="str">
        <f>IF(IFERROR(VLOOKUP(J544,'[63]ТР нефть'!$J$28:$BP$638,59,0),"-")=0,"-",IFERROR(VLOOKUP(J544,'[63]ТР нефть'!$J$28:$BP$638,59,0),"-"))</f>
        <v>-</v>
      </c>
      <c r="BQ544" s="138">
        <v>1936</v>
      </c>
      <c r="BR544" s="128">
        <v>1801</v>
      </c>
      <c r="BS544" s="115">
        <f t="shared" si="437"/>
        <v>135</v>
      </c>
      <c r="BT544" s="128">
        <v>73</v>
      </c>
      <c r="BU544" s="128">
        <v>5.5</v>
      </c>
      <c r="BV544" s="127">
        <v>65</v>
      </c>
      <c r="BW544" s="127" t="s">
        <v>217</v>
      </c>
      <c r="BX544" s="127" t="s">
        <v>195</v>
      </c>
      <c r="BY544" s="139">
        <v>24</v>
      </c>
      <c r="BZ544" s="139">
        <v>0</v>
      </c>
      <c r="CA544" s="115">
        <v>20</v>
      </c>
      <c r="CB544" s="115">
        <v>58</v>
      </c>
      <c r="CC544" s="115">
        <v>19</v>
      </c>
      <c r="CD544" s="135">
        <v>45017</v>
      </c>
      <c r="CE544" s="138">
        <v>96</v>
      </c>
      <c r="CF544" s="138">
        <v>84</v>
      </c>
      <c r="CG544" s="138" t="str">
        <f t="shared" si="433"/>
        <v>В работе</v>
      </c>
      <c r="CH544" s="138" t="s">
        <v>235</v>
      </c>
      <c r="CI544" s="127">
        <v>6</v>
      </c>
      <c r="CJ544" s="138"/>
      <c r="CK544" s="138"/>
      <c r="CL544" s="99"/>
      <c r="CM544" s="99"/>
      <c r="CN544" s="140">
        <v>60</v>
      </c>
      <c r="CO544" s="141">
        <f t="shared" si="442"/>
        <v>3.0162880000000003</v>
      </c>
      <c r="CP544" s="142">
        <v>8.8000000000000007</v>
      </c>
      <c r="CQ544" s="119">
        <v>59</v>
      </c>
      <c r="CR544" s="115">
        <v>23.5</v>
      </c>
      <c r="CS544" s="115">
        <v>17.3</v>
      </c>
      <c r="CT544" s="138"/>
      <c r="CU544" s="138">
        <f t="shared" si="418"/>
        <v>6.1999999999999993</v>
      </c>
      <c r="CV544" s="115">
        <f t="shared" si="419"/>
        <v>2055.5066359711004</v>
      </c>
      <c r="CW544" s="115">
        <f t="shared" si="443"/>
        <v>1916.1280833048313</v>
      </c>
      <c r="CX544" s="133">
        <f t="shared" si="420"/>
        <v>0.24444444444444446</v>
      </c>
      <c r="CY544" s="116"/>
      <c r="CZ544" s="131"/>
      <c r="DA544" s="145" t="str">
        <f t="shared" si="444"/>
        <v>Газлифт</v>
      </c>
      <c r="DB544" s="146">
        <f t="shared" si="390"/>
        <v>3.0162880000000003</v>
      </c>
      <c r="DC544" s="142">
        <f t="shared" si="402"/>
        <v>8.8000000000000007</v>
      </c>
      <c r="DD544" s="119">
        <f t="shared" si="416"/>
        <v>59</v>
      </c>
      <c r="DE544" s="115">
        <f t="shared" si="392"/>
        <v>6.1999999999999993</v>
      </c>
      <c r="DF544" s="121">
        <f t="shared" si="445"/>
        <v>17.3</v>
      </c>
      <c r="DG544" s="115">
        <f t="shared" si="446"/>
        <v>2055.5066359711004</v>
      </c>
      <c r="DH544" s="115">
        <f t="shared" si="447"/>
        <v>60</v>
      </c>
      <c r="DI544" s="147"/>
      <c r="DJ544" s="111">
        <v>43698</v>
      </c>
      <c r="DK544" s="112">
        <v>43727</v>
      </c>
      <c r="DL544" s="113">
        <f t="shared" ca="1" si="424"/>
        <v>1377</v>
      </c>
      <c r="DM544" s="114"/>
      <c r="DN544" s="114"/>
      <c r="DO544" s="114"/>
      <c r="DP544" s="114"/>
      <c r="DQ544" s="112">
        <v>43449</v>
      </c>
      <c r="DR544" s="114" t="s">
        <v>324</v>
      </c>
      <c r="DS544" s="114"/>
      <c r="DT544" s="115">
        <v>60</v>
      </c>
      <c r="DU544" s="116">
        <f t="shared" si="425"/>
        <v>0.24444444444444446</v>
      </c>
      <c r="DV544" s="117">
        <f t="shared" si="428"/>
        <v>3.0162880000000003</v>
      </c>
      <c r="DW544" s="118">
        <f t="shared" si="429"/>
        <v>8.8000000000000007</v>
      </c>
      <c r="DX544" s="119">
        <f t="shared" si="430"/>
        <v>59</v>
      </c>
      <c r="DY544" s="115">
        <f t="shared" si="431"/>
        <v>6.1999999999999993</v>
      </c>
      <c r="DZ544" s="117">
        <f t="shared" si="440"/>
        <v>0</v>
      </c>
      <c r="EA544" s="120">
        <f t="shared" si="440"/>
        <v>0</v>
      </c>
      <c r="EB544" s="119">
        <f t="shared" si="440"/>
        <v>0</v>
      </c>
      <c r="EC544" s="121">
        <f t="shared" si="415"/>
        <v>0</v>
      </c>
      <c r="ED544" s="122"/>
      <c r="EE544" s="145">
        <v>65</v>
      </c>
      <c r="EF544" s="115">
        <v>20</v>
      </c>
      <c r="EG544" s="115">
        <v>58</v>
      </c>
      <c r="EH544" s="115">
        <v>19</v>
      </c>
      <c r="EI544" s="128" t="s">
        <v>195</v>
      </c>
      <c r="EJ544" s="121">
        <v>24</v>
      </c>
      <c r="EK544" s="121">
        <v>0</v>
      </c>
      <c r="EL544" s="149">
        <v>2.5364240000000002</v>
      </c>
      <c r="EM544" s="142">
        <v>7.4</v>
      </c>
      <c r="EN544" s="119">
        <v>59</v>
      </c>
      <c r="EO544" s="115">
        <v>12</v>
      </c>
      <c r="EP544" s="115">
        <v>1301.0443048953962</v>
      </c>
      <c r="EQ544" s="115">
        <v>84</v>
      </c>
      <c r="ER544" s="115">
        <v>8.6999999999999993</v>
      </c>
      <c r="ES544" s="115">
        <v>76</v>
      </c>
      <c r="ET544" s="150">
        <v>0.37</v>
      </c>
      <c r="EU544" s="145">
        <f t="shared" si="400"/>
        <v>65</v>
      </c>
      <c r="EV544" s="115">
        <f t="shared" si="448"/>
        <v>20</v>
      </c>
      <c r="EW544" s="115">
        <f t="shared" si="448"/>
        <v>58</v>
      </c>
      <c r="EX544" s="115">
        <f t="shared" si="448"/>
        <v>19</v>
      </c>
      <c r="EY544" s="115" t="str">
        <f t="shared" si="434"/>
        <v>Постоянный</v>
      </c>
      <c r="EZ544" s="115">
        <f t="shared" si="434"/>
        <v>24</v>
      </c>
      <c r="FA544" s="115">
        <f t="shared" si="434"/>
        <v>0</v>
      </c>
      <c r="FB544" s="149">
        <f t="shared" si="405"/>
        <v>3.0162880000000003</v>
      </c>
      <c r="FC544" s="142">
        <f t="shared" si="405"/>
        <v>8.8000000000000007</v>
      </c>
      <c r="FD544" s="119">
        <f t="shared" si="405"/>
        <v>59</v>
      </c>
      <c r="FE544" s="121">
        <f t="shared" si="405"/>
        <v>23.5</v>
      </c>
      <c r="FF544" s="121">
        <f t="shared" si="407"/>
        <v>2055.5066359711004</v>
      </c>
      <c r="FG544" s="121">
        <f t="shared" si="449"/>
        <v>84</v>
      </c>
      <c r="FH544" s="121">
        <f t="shared" si="436"/>
        <v>17.3</v>
      </c>
      <c r="FI544" s="121">
        <f t="shared" si="427"/>
        <v>60</v>
      </c>
      <c r="FJ544" s="144">
        <f t="shared" si="450"/>
        <v>0.24444444444444446</v>
      </c>
      <c r="FK544" s="132">
        <f t="shared" si="451"/>
        <v>0</v>
      </c>
      <c r="FL544" s="115">
        <f t="shared" si="451"/>
        <v>0</v>
      </c>
      <c r="FM544" s="115">
        <f t="shared" si="451"/>
        <v>0</v>
      </c>
      <c r="FN544" s="115">
        <f t="shared" si="451"/>
        <v>0</v>
      </c>
      <c r="FO544" s="115">
        <f t="shared" si="439"/>
        <v>0</v>
      </c>
      <c r="FP544" s="115">
        <f t="shared" si="439"/>
        <v>0</v>
      </c>
      <c r="FQ544" s="149">
        <f t="shared" si="439"/>
        <v>0.47986400000000007</v>
      </c>
      <c r="FR544" s="142">
        <f t="shared" si="439"/>
        <v>1.4000000000000004</v>
      </c>
      <c r="FS544" s="119">
        <f t="shared" si="439"/>
        <v>0</v>
      </c>
      <c r="FT544" s="121">
        <f t="shared" si="438"/>
        <v>11.5</v>
      </c>
      <c r="FU544" s="121">
        <f t="shared" si="452"/>
        <v>0</v>
      </c>
      <c r="FV544" s="121">
        <f t="shared" si="452"/>
        <v>8.6000000000000014</v>
      </c>
      <c r="FW544" s="121">
        <f t="shared" si="453"/>
        <v>754.46233107570424</v>
      </c>
      <c r="FX544" s="121">
        <f t="shared" si="454"/>
        <v>-16</v>
      </c>
      <c r="FY544" s="144">
        <f t="shared" si="454"/>
        <v>-0.12555555555555553</v>
      </c>
      <c r="FZ544" s="145"/>
      <c r="GA544" s="163" t="s">
        <v>1904</v>
      </c>
      <c r="GB544" s="145"/>
      <c r="GC544" s="151" t="s">
        <v>237</v>
      </c>
      <c r="GD544" s="997" t="s">
        <v>238</v>
      </c>
      <c r="GE544" s="1004"/>
      <c r="GF544" s="1004">
        <v>0</v>
      </c>
      <c r="GG544" s="1004" t="s">
        <v>199</v>
      </c>
      <c r="GH544" s="1004">
        <v>-2.3859439999999994</v>
      </c>
      <c r="GI544" s="145"/>
      <c r="GJ544" s="996">
        <v>0.59280759999999955</v>
      </c>
      <c r="GK544" s="145" t="s">
        <v>199</v>
      </c>
      <c r="GL544" s="996">
        <v>1.9218804000000005</v>
      </c>
      <c r="GM544" s="1005"/>
      <c r="GN544" s="996">
        <v>-0.91656160000000053</v>
      </c>
      <c r="GO544" s="1006"/>
      <c r="GP544" s="996">
        <v>0</v>
      </c>
      <c r="GQ544" s="1006"/>
      <c r="GR544" s="996">
        <v>0.78825537119999955</v>
      </c>
      <c r="GS544" s="1006"/>
      <c r="GT544" s="996">
        <v>-0.60043208719999974</v>
      </c>
      <c r="GU544" s="1006"/>
      <c r="GV544" s="996">
        <v>0</v>
      </c>
      <c r="GW544" s="1006"/>
      <c r="GX544" s="997">
        <v>0</v>
      </c>
      <c r="GY544" s="1006"/>
      <c r="GZ544" s="996">
        <v>0.94830071599999943</v>
      </c>
      <c r="HA544" s="1006"/>
      <c r="HB544" s="996">
        <v>-0.45428239999999986</v>
      </c>
      <c r="HC544" s="1006" t="s">
        <v>199</v>
      </c>
      <c r="HD544" s="996">
        <v>1.9994199016</v>
      </c>
      <c r="HE544" s="1006" t="s">
        <v>199</v>
      </c>
      <c r="HF544" s="996">
        <v>-2.0280111016000002</v>
      </c>
      <c r="HG544" s="1006" t="s">
        <v>199</v>
      </c>
      <c r="HH544" s="996">
        <v>-1.0940564800000008</v>
      </c>
      <c r="HI544" s="1006"/>
      <c r="HJ544" s="996">
        <v>0</v>
      </c>
      <c r="HK544" s="1006"/>
      <c r="HL544" s="996">
        <v>0</v>
      </c>
      <c r="HM544" s="1006" t="s">
        <v>204</v>
      </c>
      <c r="HN544" s="996">
        <v>2.3540756800000011</v>
      </c>
      <c r="HO544" s="1006"/>
      <c r="HP544" s="996">
        <v>0</v>
      </c>
      <c r="HQ544" s="1006"/>
      <c r="HR544" s="996">
        <v>0</v>
      </c>
      <c r="HS544" s="1006"/>
      <c r="HT544" s="996">
        <v>0</v>
      </c>
      <c r="HU544" s="1006"/>
      <c r="HV544" s="996">
        <v>-7.8584000000000209E-2</v>
      </c>
      <c r="HW544" s="1006"/>
      <c r="HX544" s="996">
        <v>-1.5883999999999787E-2</v>
      </c>
      <c r="HY544" s="1006"/>
      <c r="HZ544" s="996">
        <v>-0.9028799999999999</v>
      </c>
      <c r="IA544" s="1006" t="s">
        <v>204</v>
      </c>
      <c r="IB544" s="996">
        <v>-0.97811999999999921</v>
      </c>
      <c r="IC544" s="1006"/>
      <c r="ID544" s="996">
        <v>0.91959999999999953</v>
      </c>
      <c r="IE544" s="1006"/>
      <c r="IF544" s="996">
        <v>5.8519999999999683E-2</v>
      </c>
      <c r="IG544" s="1006"/>
      <c r="IH544" s="996">
        <v>0.21067200000000019</v>
      </c>
      <c r="II544" s="1006"/>
      <c r="IJ544" s="996">
        <v>0.16134799999999982</v>
      </c>
      <c r="IK544" s="1006"/>
      <c r="IL544" s="996">
        <v>-7.1059999999999679E-2</v>
      </c>
      <c r="IM544" s="1006"/>
      <c r="IN544" s="996">
        <v>0</v>
      </c>
      <c r="IO544" s="1006" t="s">
        <v>204</v>
      </c>
      <c r="IP544" s="996">
        <v>-2.2070399999999997</v>
      </c>
      <c r="IQ544" s="1006"/>
      <c r="IR544" s="996">
        <v>0</v>
      </c>
      <c r="IS544" s="1006"/>
      <c r="IT544" s="996">
        <v>0</v>
      </c>
      <c r="IU544" s="1006"/>
      <c r="IV544" s="996">
        <v>0</v>
      </c>
      <c r="IW544" s="1006"/>
      <c r="IX544" s="996">
        <v>0</v>
      </c>
      <c r="IY544" s="1006" t="s">
        <v>204</v>
      </c>
      <c r="IZ544" s="996">
        <v>2.5280639999999992</v>
      </c>
      <c r="JA544" s="1006"/>
      <c r="JB544" s="996">
        <v>0</v>
      </c>
      <c r="JC544" s="1006"/>
      <c r="JD544" s="996">
        <v>0</v>
      </c>
      <c r="JE544" s="1006"/>
      <c r="JF544" s="996">
        <v>0</v>
      </c>
      <c r="JG544" s="1006"/>
      <c r="JH544" s="996">
        <v>0</v>
      </c>
      <c r="JI544" s="1006" t="s">
        <v>199</v>
      </c>
      <c r="JJ544" s="996">
        <v>-3.2996167599999997</v>
      </c>
      <c r="JK544" s="1007" t="s">
        <v>204</v>
      </c>
      <c r="JL544" s="1007">
        <v>1.6644007599999999</v>
      </c>
      <c r="JM544" s="1007" t="s">
        <v>204</v>
      </c>
      <c r="JN544" s="1007">
        <v>-3.267121439999999</v>
      </c>
      <c r="JO544" s="1008"/>
      <c r="JP544" s="1007">
        <v>1.0641853639999992</v>
      </c>
      <c r="JQ544" s="1008" t="s">
        <v>204</v>
      </c>
      <c r="JR544" s="1007">
        <v>-2.0291483959999983</v>
      </c>
      <c r="JS544" s="1008" t="s">
        <v>224</v>
      </c>
      <c r="JT544" s="1007">
        <v>7.853636471999998</v>
      </c>
      <c r="JU544" s="1008" t="s">
        <v>705</v>
      </c>
      <c r="JV544" s="1007">
        <v>0</v>
      </c>
      <c r="JW544" s="1008" t="s">
        <v>197</v>
      </c>
      <c r="JX544" s="1007">
        <v>0</v>
      </c>
      <c r="JY544" s="1008"/>
      <c r="JZ544" s="1007">
        <v>0</v>
      </c>
      <c r="KA544" s="1008"/>
      <c r="KB544" s="1007">
        <v>0</v>
      </c>
      <c r="KC544" s="1008"/>
      <c r="KD544" s="1007">
        <v>0</v>
      </c>
      <c r="KE544" s="1008"/>
      <c r="KF544" s="1007">
        <v>0</v>
      </c>
      <c r="KG544" s="1008" t="s">
        <v>324</v>
      </c>
      <c r="KH544" s="1007">
        <v>25.247199999999999</v>
      </c>
      <c r="KI544" s="1008"/>
      <c r="KJ544" s="1007">
        <v>0</v>
      </c>
      <c r="KK544" s="1008"/>
      <c r="KL544" s="1007"/>
      <c r="KM544" s="1008"/>
      <c r="KN544" s="1007"/>
      <c r="KO544" s="1008"/>
      <c r="KP544" s="1007"/>
      <c r="KQ544" s="1008"/>
      <c r="KR544" s="1007"/>
      <c r="KS544" s="1008"/>
      <c r="KT544" s="1007"/>
      <c r="KU544" s="1008"/>
      <c r="KV544" s="1007"/>
      <c r="KW544" s="1008"/>
      <c r="KX544" s="1007"/>
      <c r="KY544" s="1008"/>
      <c r="KZ544" s="1007"/>
      <c r="LA544" s="1008"/>
      <c r="LB544" s="1007"/>
      <c r="LC544" s="1008"/>
      <c r="LD544" s="1007"/>
      <c r="LE544" s="1008"/>
      <c r="LF544" s="1007"/>
      <c r="LG544" s="1008"/>
      <c r="LH544" s="1007"/>
      <c r="LI544" s="1008"/>
      <c r="LJ544" s="1007"/>
      <c r="LK544" s="1008"/>
      <c r="LL544" s="1007"/>
      <c r="LM544" s="1008"/>
      <c r="LN544" s="1007"/>
      <c r="LO544" s="1008"/>
      <c r="LP544" s="1007"/>
      <c r="LQ544" s="1008"/>
      <c r="LR544" s="1007"/>
      <c r="LS544" s="1008"/>
      <c r="LT544" s="1007"/>
      <c r="LU544" s="1008"/>
      <c r="LV544" s="1007"/>
      <c r="LW544" s="1008"/>
      <c r="LX544" s="1007"/>
      <c r="LY544" s="1009"/>
      <c r="LZ544" s="1010"/>
      <c r="MA544" s="1011"/>
      <c r="MB544" s="1012"/>
      <c r="MC544" s="995"/>
      <c r="MD544" s="996"/>
      <c r="ME544" s="997" t="s">
        <v>238</v>
      </c>
      <c r="MF544" s="997"/>
      <c r="MG544" s="998"/>
      <c r="NR544" s="1000"/>
      <c r="NS544" s="1000"/>
      <c r="NT544" s="1001"/>
      <c r="NU544" s="1000"/>
      <c r="NV544" s="1001"/>
      <c r="NX544" s="1002"/>
      <c r="NZ544" s="1001"/>
      <c r="OA544" s="1001"/>
      <c r="OC544" s="1003"/>
      <c r="OD544" s="1003"/>
      <c r="OE544" s="1001"/>
      <c r="OF544" s="1003"/>
      <c r="OG544" s="1003"/>
      <c r="QX544" s="1000">
        <f>CN544-CA544</f>
        <v>40</v>
      </c>
      <c r="ASU544" s="999" t="s">
        <v>208</v>
      </c>
    </row>
    <row r="545" spans="1:466 1191:1191" ht="21" customHeight="1" x14ac:dyDescent="0.25">
      <c r="A545" s="982">
        <f t="shared" si="441"/>
        <v>3251</v>
      </c>
      <c r="B545" s="124">
        <f>SUBTOTAL(103,$J$29:J545)</f>
        <v>517</v>
      </c>
      <c r="C545" s="126">
        <v>45096</v>
      </c>
      <c r="D545" s="124" t="s">
        <v>176</v>
      </c>
      <c r="E545" s="127" t="s">
        <v>177</v>
      </c>
      <c r="F545" s="128" t="s">
        <v>177</v>
      </c>
      <c r="G545" s="127" t="s">
        <v>178</v>
      </c>
      <c r="H545" s="127" t="s">
        <v>421</v>
      </c>
      <c r="I545" s="127" t="s">
        <v>1270</v>
      </c>
      <c r="J545" s="152">
        <v>3251</v>
      </c>
      <c r="K545" s="127" t="s">
        <v>1270</v>
      </c>
      <c r="L545" s="130">
        <v>35306</v>
      </c>
      <c r="M545" s="127" t="s">
        <v>230</v>
      </c>
      <c r="N545" s="127" t="s">
        <v>245</v>
      </c>
      <c r="O545" s="127" t="s">
        <v>185</v>
      </c>
      <c r="P545" s="127" t="s">
        <v>208</v>
      </c>
      <c r="Q545" s="85" t="str">
        <f t="shared" si="423"/>
        <v/>
      </c>
      <c r="R545" s="130"/>
      <c r="S545" s="128"/>
      <c r="T545" s="131"/>
      <c r="U545" s="132">
        <v>203</v>
      </c>
      <c r="V545" s="121">
        <v>218.2</v>
      </c>
      <c r="W545" s="116">
        <v>0.98</v>
      </c>
      <c r="X545" s="116">
        <v>1.66</v>
      </c>
      <c r="Y545" s="116">
        <f t="shared" si="408"/>
        <v>1.0441591784338895</v>
      </c>
      <c r="Z545" s="133">
        <v>1.454</v>
      </c>
      <c r="AA545" s="133">
        <v>0.83599999999999997</v>
      </c>
      <c r="AB545" s="133">
        <v>0.72</v>
      </c>
      <c r="AC545" s="121">
        <v>34.299999999999997</v>
      </c>
      <c r="AD545" s="134">
        <v>1.17</v>
      </c>
      <c r="AE545" s="124">
        <v>177.8</v>
      </c>
      <c r="AF545" s="128">
        <v>9.19</v>
      </c>
      <c r="AG545" s="128">
        <v>2358</v>
      </c>
      <c r="AH545" s="127">
        <v>3094</v>
      </c>
      <c r="AI545" s="127">
        <v>3094</v>
      </c>
      <c r="AJ545" s="135"/>
      <c r="AK545" s="128"/>
      <c r="AL545" s="131"/>
      <c r="AM545" s="124" t="s">
        <v>232</v>
      </c>
      <c r="AN545" s="136" t="s">
        <v>1905</v>
      </c>
      <c r="AO545" s="137">
        <v>48.65</v>
      </c>
      <c r="AP545" s="128">
        <v>2465</v>
      </c>
      <c r="AQ545" s="128">
        <v>538</v>
      </c>
      <c r="AR545" s="128"/>
      <c r="AS545" s="128"/>
      <c r="AT545" s="122"/>
      <c r="AU545" s="124" t="s">
        <v>189</v>
      </c>
      <c r="AV545" s="115">
        <f>VLOOKUP(J545,'[63]ТР нефть'!$J$28:$BP$638,39,0)</f>
        <v>523.00000224600001</v>
      </c>
      <c r="AW545" s="115" t="str">
        <f>VLOOKUP(J545,'[63]ТР нефть'!$J$28:$BP$638,40,0)</f>
        <v>ГП</v>
      </c>
      <c r="AX545" s="115">
        <f>VLOOKUP(J545,'[63]ТР нефть'!$J$28:$BP$638,41,0)</f>
        <v>1106.999964844</v>
      </c>
      <c r="AY545" s="115" t="str">
        <f>VLOOKUP(J545,'[63]ТР нефть'!$J$28:$BP$638,42,0)</f>
        <v>ГК 85 1/8</v>
      </c>
      <c r="AZ545" s="115">
        <f>VLOOKUP(J545,'[63]ТР нефть'!$J$28:$BP$638,43,0)</f>
        <v>1630.000004297</v>
      </c>
      <c r="BA545" s="115" t="str">
        <f>VLOOKUP(J545,'[63]ТР нефть'!$J$28:$BP$638,44,0)</f>
        <v>ГК 83 1/8</v>
      </c>
      <c r="BB545" s="115">
        <f>VLOOKUP(J545,'[63]ТР нефть'!$J$28:$BP$638,45,0)</f>
        <v>1990.000058203</v>
      </c>
      <c r="BC545" s="115" t="str">
        <f>VLOOKUP(J545,'[63]ТР нефть'!$J$28:$BP$638,46,0)</f>
        <v>ГК 82 1/8</v>
      </c>
      <c r="BD545" s="115">
        <f>VLOOKUP(J545,'[63]ТР нефть'!$J$28:$BP$638,47,0)</f>
        <v>2169.9999363279999</v>
      </c>
      <c r="BE545" s="115" t="str">
        <f>VLOOKUP(J545,'[63]ТР нефть'!$J$28:$BP$638,48,0)</f>
        <v>ЦКсОК 5/16</v>
      </c>
      <c r="BF545" s="115" t="str">
        <f>VLOOKUP(J545,'[63]ТР нефть'!$J$28:$BP$638,49,0)</f>
        <v>-</v>
      </c>
      <c r="BG545" s="115" t="str">
        <f>VLOOKUP(J545,'[63]ТР нефть'!$J$28:$BP$638,50,0)</f>
        <v>-</v>
      </c>
      <c r="BH545" s="115" t="str">
        <f>VLOOKUP(J545,'[63]ТР нефть'!$J$28:$BP$638,51,0)</f>
        <v>-</v>
      </c>
      <c r="BI545" s="115" t="str">
        <f>VLOOKUP(J545,'[63]ТР нефть'!$J$28:$BP$638,52,0)</f>
        <v>-</v>
      </c>
      <c r="BJ545" s="115" t="str">
        <f>IF(IFERROR(VLOOKUP(J545,'[63]ТР нефть'!$J$28:$BP$638,53,0),"-")=0,"-",IFERROR(VLOOKUP(J545,'[63]ТР нефть'!$J$28:$BP$638,53,0),"-"))</f>
        <v>-</v>
      </c>
      <c r="BK545" s="138" t="str">
        <f>IF(IFERROR(VLOOKUP(J545,'[63]ТР нефть'!$J$28:$BP$638,54,0),"-")=0,"-",IFERROR(VLOOKUP(J545,'[63]ТР нефть'!$J$28:$BP$638,54,0),"-"))</f>
        <v>-</v>
      </c>
      <c r="BL545" s="138" t="str">
        <f>IF(IFERROR(VLOOKUP(J545,'[63]ТР нефть'!$J$28:$BP$638,55,0),"-")=0,"-",IFERROR(VLOOKUP(J545,'[63]ТР нефть'!$J$28:$BP$638,55,0),"-"))</f>
        <v>-</v>
      </c>
      <c r="BM545" s="138" t="str">
        <f>IF(IFERROR(VLOOKUP(J545,'[63]ТР нефть'!$J$28:$BP$638,56,0),"-")=0,"-",IFERROR(VLOOKUP(J545,'[63]ТР нефть'!$J$28:$BP$638,56,0),"-"))</f>
        <v>-</v>
      </c>
      <c r="BN545" s="138" t="str">
        <f>IF(IFERROR(VLOOKUP(J545,'[63]ТР нефть'!$J$28:$BP$638,57,0),"-")=0,"-",IFERROR(VLOOKUP(J545,'[63]ТР нефть'!$J$28:$BP$638,57,0),"-"))</f>
        <v>-</v>
      </c>
      <c r="BO545" s="115" t="str">
        <f>IF(IFERROR(VLOOKUP(J545,'[63]ТР нефть'!$J$28:$BP$638,58,0),"-")=0,"-",IFERROR(VLOOKUP(J545,'[63]ТР нефть'!$J$28:$BP$638,58,0),"-"))</f>
        <v>-</v>
      </c>
      <c r="BP545" s="115" t="str">
        <f>IF(IFERROR(VLOOKUP(J545,'[63]ТР нефть'!$J$28:$BP$638,59,0),"-")=0,"-",IFERROR(VLOOKUP(J545,'[63]ТР нефть'!$J$28:$BP$638,59,0),"-"))</f>
        <v>-</v>
      </c>
      <c r="BQ545" s="138">
        <v>2550</v>
      </c>
      <c r="BR545" s="128">
        <v>1940</v>
      </c>
      <c r="BS545" s="115">
        <f t="shared" si="437"/>
        <v>610</v>
      </c>
      <c r="BT545" s="128">
        <v>73</v>
      </c>
      <c r="BU545" s="128">
        <v>5.5</v>
      </c>
      <c r="BV545" s="127">
        <v>18</v>
      </c>
      <c r="BW545" s="127" t="s">
        <v>234</v>
      </c>
      <c r="BX545" s="127" t="s">
        <v>195</v>
      </c>
      <c r="BY545" s="139">
        <v>24</v>
      </c>
      <c r="BZ545" s="139">
        <v>0</v>
      </c>
      <c r="CA545" s="115">
        <v>20</v>
      </c>
      <c r="CB545" s="115">
        <v>34</v>
      </c>
      <c r="CC545" s="115">
        <v>19</v>
      </c>
      <c r="CD545" s="135">
        <v>45017</v>
      </c>
      <c r="CE545" s="138">
        <v>113</v>
      </c>
      <c r="CF545" s="138">
        <v>83</v>
      </c>
      <c r="CG545" s="138" t="str">
        <f t="shared" si="433"/>
        <v>В работе</v>
      </c>
      <c r="CH545" s="138" t="s">
        <v>235</v>
      </c>
      <c r="CI545" s="127">
        <v>6</v>
      </c>
      <c r="CJ545" s="138"/>
      <c r="CK545" s="138"/>
      <c r="CL545" s="99"/>
      <c r="CM545" s="99"/>
      <c r="CN545" s="140">
        <v>51</v>
      </c>
      <c r="CO545" s="141">
        <f t="shared" si="442"/>
        <v>2.06074</v>
      </c>
      <c r="CP545" s="142">
        <v>2.9</v>
      </c>
      <c r="CQ545" s="119">
        <v>15</v>
      </c>
      <c r="CR545" s="138">
        <v>16</v>
      </c>
      <c r="CS545" s="139">
        <v>13.8</v>
      </c>
      <c r="CT545" s="138"/>
      <c r="CU545" s="138">
        <f t="shared" si="418"/>
        <v>2.1999999999999993</v>
      </c>
      <c r="CV545" s="115">
        <f t="shared" si="419"/>
        <v>1067.577666275221</v>
      </c>
      <c r="CW545" s="115">
        <f t="shared" si="443"/>
        <v>5381.2288699029441</v>
      </c>
      <c r="CX545" s="133">
        <f t="shared" si="420"/>
        <v>4.6774193548387098E-2</v>
      </c>
      <c r="CY545" s="116"/>
      <c r="CZ545" s="131"/>
      <c r="DA545" s="145" t="str">
        <f t="shared" si="444"/>
        <v>Газлифт</v>
      </c>
      <c r="DB545" s="146">
        <f t="shared" ref="DB545:DB559" si="455">IFERROR(DC545*(1-DD545/100)*$AA545,"-")</f>
        <v>2.06074</v>
      </c>
      <c r="DC545" s="142">
        <f t="shared" si="402"/>
        <v>2.9</v>
      </c>
      <c r="DD545" s="119">
        <f t="shared" si="416"/>
        <v>15</v>
      </c>
      <c r="DE545" s="115">
        <f t="shared" ref="DE545:DE559" si="456">CU545</f>
        <v>2.1999999999999993</v>
      </c>
      <c r="DF545" s="121">
        <f t="shared" si="445"/>
        <v>13.8</v>
      </c>
      <c r="DG545" s="115">
        <f t="shared" si="446"/>
        <v>1067.577666275221</v>
      </c>
      <c r="DH545" s="115">
        <f t="shared" si="447"/>
        <v>51</v>
      </c>
      <c r="DI545" s="147"/>
      <c r="DJ545" s="111" t="s">
        <v>197</v>
      </c>
      <c r="DK545" s="112">
        <v>43708</v>
      </c>
      <c r="DL545" s="113">
        <f t="shared" ca="1" si="424"/>
        <v>1396</v>
      </c>
      <c r="DM545" s="114"/>
      <c r="DN545" s="114"/>
      <c r="DO545" s="114"/>
      <c r="DP545" s="114"/>
      <c r="DQ545" s="112">
        <v>43708</v>
      </c>
      <c r="DR545" s="114" t="s">
        <v>324</v>
      </c>
      <c r="DS545" s="114"/>
      <c r="DT545" s="115">
        <v>60</v>
      </c>
      <c r="DU545" s="116">
        <f t="shared" si="425"/>
        <v>5.4716981132075473E-2</v>
      </c>
      <c r="DV545" s="117">
        <f t="shared" si="428"/>
        <v>2.06074</v>
      </c>
      <c r="DW545" s="118">
        <f t="shared" si="429"/>
        <v>2.9</v>
      </c>
      <c r="DX545" s="119">
        <f t="shared" si="430"/>
        <v>15</v>
      </c>
      <c r="DY545" s="115">
        <f t="shared" si="431"/>
        <v>2.1999999999999993</v>
      </c>
      <c r="DZ545" s="117">
        <f t="shared" si="440"/>
        <v>0</v>
      </c>
      <c r="EA545" s="120">
        <f t="shared" si="440"/>
        <v>0</v>
      </c>
      <c r="EB545" s="119">
        <f t="shared" si="440"/>
        <v>0</v>
      </c>
      <c r="EC545" s="121">
        <f t="shared" si="415"/>
        <v>0</v>
      </c>
      <c r="ED545" s="122"/>
      <c r="EE545" s="145">
        <v>18</v>
      </c>
      <c r="EF545" s="115">
        <v>20</v>
      </c>
      <c r="EG545" s="115">
        <v>37</v>
      </c>
      <c r="EH545" s="115">
        <v>19</v>
      </c>
      <c r="EI545" s="128" t="s">
        <v>195</v>
      </c>
      <c r="EJ545" s="121">
        <v>24</v>
      </c>
      <c r="EK545" s="121">
        <v>0</v>
      </c>
      <c r="EL545" s="149">
        <v>2.6199403999999999</v>
      </c>
      <c r="EM545" s="142">
        <v>3.7</v>
      </c>
      <c r="EN545" s="119">
        <v>15.3</v>
      </c>
      <c r="EO545" s="115">
        <v>17</v>
      </c>
      <c r="EP545" s="115">
        <v>190.84403599410123</v>
      </c>
      <c r="EQ545" s="115">
        <v>83</v>
      </c>
      <c r="ER545" s="115">
        <v>16.5</v>
      </c>
      <c r="ES545" s="115">
        <v>51</v>
      </c>
      <c r="ET545" s="150">
        <v>5.9677419354838709E-2</v>
      </c>
      <c r="EU545" s="145">
        <f t="shared" ref="EU545:EU608" si="457">BV545</f>
        <v>18</v>
      </c>
      <c r="EV545" s="115">
        <f t="shared" si="448"/>
        <v>20</v>
      </c>
      <c r="EW545" s="115">
        <f t="shared" si="448"/>
        <v>34</v>
      </c>
      <c r="EX545" s="115">
        <f t="shared" si="448"/>
        <v>19</v>
      </c>
      <c r="EY545" s="115" t="str">
        <f t="shared" si="434"/>
        <v>Постоянный</v>
      </c>
      <c r="EZ545" s="115">
        <f t="shared" si="434"/>
        <v>24</v>
      </c>
      <c r="FA545" s="115">
        <f t="shared" si="434"/>
        <v>0</v>
      </c>
      <c r="FB545" s="149">
        <f t="shared" si="405"/>
        <v>2.06074</v>
      </c>
      <c r="FC545" s="142">
        <f t="shared" si="405"/>
        <v>2.9</v>
      </c>
      <c r="FD545" s="119">
        <f t="shared" si="405"/>
        <v>15</v>
      </c>
      <c r="FE545" s="121">
        <f t="shared" si="405"/>
        <v>16</v>
      </c>
      <c r="FF545" s="121">
        <f t="shared" si="407"/>
        <v>1067.577666275221</v>
      </c>
      <c r="FG545" s="121">
        <f t="shared" si="449"/>
        <v>83</v>
      </c>
      <c r="FH545" s="121">
        <f t="shared" si="436"/>
        <v>13.8</v>
      </c>
      <c r="FI545" s="121">
        <f t="shared" si="427"/>
        <v>51</v>
      </c>
      <c r="FJ545" s="144">
        <f t="shared" si="450"/>
        <v>4.6774193548387098E-2</v>
      </c>
      <c r="FK545" s="132">
        <f t="shared" si="451"/>
        <v>0</v>
      </c>
      <c r="FL545" s="115">
        <f t="shared" si="451"/>
        <v>0</v>
      </c>
      <c r="FM545" s="115">
        <f t="shared" si="451"/>
        <v>-3</v>
      </c>
      <c r="FN545" s="115">
        <f t="shared" si="451"/>
        <v>0</v>
      </c>
      <c r="FO545" s="115">
        <f t="shared" si="439"/>
        <v>0</v>
      </c>
      <c r="FP545" s="115">
        <f t="shared" si="439"/>
        <v>0</v>
      </c>
      <c r="FQ545" s="149">
        <f t="shared" si="439"/>
        <v>-0.55920039999999993</v>
      </c>
      <c r="FR545" s="142">
        <f t="shared" si="439"/>
        <v>-0.80000000000000027</v>
      </c>
      <c r="FS545" s="119">
        <f t="shared" si="439"/>
        <v>-0.30000000000000071</v>
      </c>
      <c r="FT545" s="121">
        <f t="shared" si="438"/>
        <v>-1</v>
      </c>
      <c r="FU545" s="121">
        <f t="shared" si="452"/>
        <v>0</v>
      </c>
      <c r="FV545" s="121">
        <f t="shared" si="452"/>
        <v>-2.6999999999999993</v>
      </c>
      <c r="FW545" s="121">
        <f t="shared" si="453"/>
        <v>876.73363028111976</v>
      </c>
      <c r="FX545" s="121">
        <f t="shared" si="454"/>
        <v>0</v>
      </c>
      <c r="FY545" s="144">
        <f t="shared" si="454"/>
        <v>-1.2903225806451611E-2</v>
      </c>
      <c r="FZ545" s="145"/>
      <c r="GA545" s="151" t="s">
        <v>1906</v>
      </c>
      <c r="GB545" s="145"/>
      <c r="GC545" s="151" t="s">
        <v>1907</v>
      </c>
      <c r="GD545" s="997" t="s">
        <v>238</v>
      </c>
      <c r="GE545" s="1004"/>
      <c r="GF545" s="1004">
        <v>7.0474799999999949E-2</v>
      </c>
      <c r="GG545" s="1004"/>
      <c r="GH545" s="1004">
        <v>0</v>
      </c>
      <c r="GI545" s="145" t="s">
        <v>203</v>
      </c>
      <c r="GJ545" s="996">
        <v>-1.5803743999999997</v>
      </c>
      <c r="GK545" s="145" t="s">
        <v>203</v>
      </c>
      <c r="GL545" s="996">
        <v>-3.994408</v>
      </c>
      <c r="GM545" s="1005" t="s">
        <v>240</v>
      </c>
      <c r="GN545" s="996">
        <v>-5.4224349431999999</v>
      </c>
      <c r="GO545" s="1006" t="s">
        <v>25</v>
      </c>
      <c r="GP545" s="996">
        <v>4.9676509431999998</v>
      </c>
      <c r="GQ545" s="1006"/>
      <c r="GR545" s="996">
        <v>0.36086441600000008</v>
      </c>
      <c r="GS545" s="1006" t="s">
        <v>203</v>
      </c>
      <c r="GT545" s="996">
        <v>-1.3642316159999996</v>
      </c>
      <c r="GU545" s="1006"/>
      <c r="GV545" s="996">
        <v>9.4398611999997328E-3</v>
      </c>
      <c r="GW545" s="1006" t="s">
        <v>203</v>
      </c>
      <c r="GX545" s="997">
        <v>-1.3821936612000005</v>
      </c>
      <c r="GY545" s="1006"/>
      <c r="GZ545" s="996">
        <v>0.22430047200000036</v>
      </c>
      <c r="HA545" s="1006" t="s">
        <v>199</v>
      </c>
      <c r="HB545" s="996">
        <v>-4.1792074720000008</v>
      </c>
      <c r="HC545" s="1006" t="s">
        <v>203</v>
      </c>
      <c r="HD545" s="996">
        <v>-9.8579448000000003</v>
      </c>
      <c r="HE545" s="1006" t="s">
        <v>25</v>
      </c>
      <c r="HF545" s="996">
        <v>18.0432208</v>
      </c>
      <c r="HG545" s="1006"/>
      <c r="HH545" s="996">
        <v>0</v>
      </c>
      <c r="HI545" s="1006"/>
      <c r="HJ545" s="996">
        <v>0</v>
      </c>
      <c r="HK545" s="1006"/>
      <c r="HL545" s="996">
        <v>0</v>
      </c>
      <c r="HM545" s="1006"/>
      <c r="HN545" s="996">
        <v>0</v>
      </c>
      <c r="HO545" s="1006" t="s">
        <v>199</v>
      </c>
      <c r="HP545" s="996">
        <v>-1.4755400000000005</v>
      </c>
      <c r="HQ545" s="1006"/>
      <c r="HR545" s="996">
        <v>0.90371600000000019</v>
      </c>
      <c r="HS545" s="1006"/>
      <c r="HT545" s="996">
        <v>0</v>
      </c>
      <c r="HU545" s="1006"/>
      <c r="HV545" s="996">
        <v>0</v>
      </c>
      <c r="HW545" s="1006"/>
      <c r="HX545" s="996">
        <v>-0.5642999999999998</v>
      </c>
      <c r="HY545" s="1006"/>
      <c r="HZ545" s="996">
        <v>0</v>
      </c>
      <c r="IA545" s="1006"/>
      <c r="IB545" s="996">
        <v>0.2884199999999999</v>
      </c>
      <c r="IC545" s="1006"/>
      <c r="ID545" s="996">
        <v>-0.85272000000000014</v>
      </c>
      <c r="IE545" s="1006"/>
      <c r="IF545" s="996">
        <v>0</v>
      </c>
      <c r="IG545" s="1006" t="s">
        <v>199</v>
      </c>
      <c r="IH545" s="996">
        <v>2.1099804</v>
      </c>
      <c r="II545" s="1006"/>
      <c r="IJ545" s="996">
        <v>0</v>
      </c>
      <c r="IK545" s="1006" t="s">
        <v>199</v>
      </c>
      <c r="IL545" s="996">
        <v>-2.3106203999999999</v>
      </c>
      <c r="IM545" s="1006"/>
      <c r="IN545" s="996">
        <v>0</v>
      </c>
      <c r="IO545" s="1006"/>
      <c r="IP545" s="996">
        <v>0</v>
      </c>
      <c r="IQ545" s="1006"/>
      <c r="IR545" s="996">
        <v>0</v>
      </c>
      <c r="IS545" s="1006"/>
      <c r="IT545" s="996">
        <v>0</v>
      </c>
      <c r="IU545" s="1006"/>
      <c r="IV545" s="996">
        <v>0</v>
      </c>
      <c r="IW545" s="1006"/>
      <c r="IX545" s="996">
        <v>0</v>
      </c>
      <c r="IY545" s="1006"/>
      <c r="IZ545" s="996">
        <v>-0.22739200000000004</v>
      </c>
      <c r="JA545" s="1006"/>
      <c r="JB545" s="996">
        <v>0</v>
      </c>
      <c r="JC545" s="1006"/>
      <c r="JD545" s="996">
        <v>0</v>
      </c>
      <c r="JE545" s="1006"/>
      <c r="JF545" s="996">
        <v>0</v>
      </c>
      <c r="JG545" s="1006"/>
      <c r="JH545" s="996">
        <v>0</v>
      </c>
      <c r="JI545" s="1006"/>
      <c r="JJ545" s="996">
        <v>0</v>
      </c>
      <c r="JK545" s="1007" t="s">
        <v>199</v>
      </c>
      <c r="JL545" s="1007">
        <v>-2.3687223999999998</v>
      </c>
      <c r="JM545" s="1007" t="s">
        <v>199</v>
      </c>
      <c r="JN545" s="1007">
        <v>-18.7921096</v>
      </c>
      <c r="JO545" s="1008"/>
      <c r="JP545" s="1007">
        <v>24.999744</v>
      </c>
      <c r="JQ545" s="1008">
        <v>0</v>
      </c>
      <c r="JR545" s="1007">
        <v>0</v>
      </c>
      <c r="JS545" s="1008"/>
      <c r="JT545" s="1007"/>
      <c r="JU545" s="1008"/>
      <c r="JV545" s="1007"/>
      <c r="JW545" s="1008"/>
      <c r="JX545" s="1007"/>
      <c r="JY545" s="1008"/>
      <c r="JZ545" s="1007"/>
      <c r="KA545" s="1008"/>
      <c r="KB545" s="1007"/>
      <c r="KC545" s="1008"/>
      <c r="KD545" s="1007"/>
      <c r="KE545" s="1008"/>
      <c r="KF545" s="1007"/>
      <c r="KG545" s="1008"/>
      <c r="KH545" s="1007"/>
      <c r="KI545" s="1008"/>
      <c r="KJ545" s="1007"/>
      <c r="KK545" s="1008"/>
      <c r="KL545" s="1007"/>
      <c r="KM545" s="1008"/>
      <c r="KN545" s="1007"/>
      <c r="KO545" s="1008"/>
      <c r="KP545" s="1007"/>
      <c r="KQ545" s="1008"/>
      <c r="KR545" s="1007"/>
      <c r="KS545" s="1008"/>
      <c r="KT545" s="1007"/>
      <c r="KU545" s="1008"/>
      <c r="KV545" s="1007"/>
      <c r="KW545" s="1008"/>
      <c r="KX545" s="1007"/>
      <c r="KY545" s="1008"/>
      <c r="KZ545" s="1007"/>
      <c r="LA545" s="1008"/>
      <c r="LB545" s="1007"/>
      <c r="LC545" s="1008"/>
      <c r="LD545" s="1007"/>
      <c r="LE545" s="1008"/>
      <c r="LF545" s="1007"/>
      <c r="LG545" s="1008"/>
      <c r="LH545" s="1007"/>
      <c r="LI545" s="1008"/>
      <c r="LJ545" s="1007"/>
      <c r="LK545" s="1008"/>
      <c r="LL545" s="1007"/>
      <c r="LM545" s="1008"/>
      <c r="LN545" s="1007"/>
      <c r="LO545" s="1008"/>
      <c r="LP545" s="1007"/>
      <c r="LQ545" s="1008"/>
      <c r="LR545" s="1007"/>
      <c r="LS545" s="1008"/>
      <c r="LT545" s="1007"/>
      <c r="LU545" s="1008"/>
      <c r="LV545" s="1007"/>
      <c r="LW545" s="1008"/>
      <c r="LX545" s="1007"/>
      <c r="LY545" s="1009"/>
      <c r="LZ545" s="1010"/>
      <c r="MA545" s="1011"/>
      <c r="MB545" s="1012"/>
      <c r="MC545" s="995"/>
      <c r="MD545" s="996"/>
      <c r="ME545" s="997" t="s">
        <v>238</v>
      </c>
      <c r="MF545" s="997"/>
      <c r="MG545" s="998"/>
      <c r="NR545" s="1000"/>
      <c r="NS545" s="1000"/>
      <c r="NT545" s="1001"/>
      <c r="NU545" s="1000"/>
      <c r="NV545" s="1001"/>
      <c r="NX545" s="1002"/>
      <c r="NZ545" s="1001"/>
      <c r="OA545" s="1001"/>
      <c r="OC545" s="1003"/>
      <c r="OD545" s="1003"/>
      <c r="OE545" s="1001"/>
      <c r="OF545" s="1003"/>
      <c r="OG545" s="1003"/>
      <c r="QX545" s="1000">
        <f>CN545-CA545</f>
        <v>31</v>
      </c>
      <c r="ASU545" s="999" t="s">
        <v>208</v>
      </c>
    </row>
    <row r="546" spans="1:466 1191:1191" ht="21" customHeight="1" x14ac:dyDescent="0.25">
      <c r="A546" s="982">
        <f t="shared" si="441"/>
        <v>3252</v>
      </c>
      <c r="B546" s="124">
        <f>SUBTOTAL(103,$J$29:J546)</f>
        <v>518</v>
      </c>
      <c r="C546" s="126">
        <v>45068</v>
      </c>
      <c r="D546" s="124" t="s">
        <v>176</v>
      </c>
      <c r="E546" s="127" t="s">
        <v>177</v>
      </c>
      <c r="F546" s="128" t="s">
        <v>177</v>
      </c>
      <c r="G546" s="127" t="s">
        <v>178</v>
      </c>
      <c r="H546" s="127" t="s">
        <v>408</v>
      </c>
      <c r="I546" s="127" t="s">
        <v>1276</v>
      </c>
      <c r="J546" s="152">
        <v>3252</v>
      </c>
      <c r="K546" s="127" t="s">
        <v>1276</v>
      </c>
      <c r="L546" s="130">
        <v>35307</v>
      </c>
      <c r="M546" s="127" t="s">
        <v>230</v>
      </c>
      <c r="N546" s="127" t="s">
        <v>231</v>
      </c>
      <c r="O546" s="127" t="s">
        <v>185</v>
      </c>
      <c r="P546" s="127" t="s">
        <v>186</v>
      </c>
      <c r="Q546" s="85" t="str">
        <f t="shared" si="423"/>
        <v/>
      </c>
      <c r="R546" s="130"/>
      <c r="S546" s="128"/>
      <c r="T546" s="131"/>
      <c r="U546" s="132">
        <v>203</v>
      </c>
      <c r="V546" s="121">
        <v>218.2</v>
      </c>
      <c r="W546" s="116">
        <v>0.98</v>
      </c>
      <c r="X546" s="116">
        <v>1.66</v>
      </c>
      <c r="Y546" s="116">
        <f t="shared" si="408"/>
        <v>0.9807231356132472</v>
      </c>
      <c r="Z546" s="133">
        <v>1.454</v>
      </c>
      <c r="AA546" s="133">
        <v>0.83599999999999997</v>
      </c>
      <c r="AB546" s="133">
        <v>0.72</v>
      </c>
      <c r="AC546" s="121">
        <v>34.299999999999997</v>
      </c>
      <c r="AD546" s="134">
        <v>1.17</v>
      </c>
      <c r="AE546" s="124" t="s">
        <v>518</v>
      </c>
      <c r="AF546" s="128">
        <v>9.19</v>
      </c>
      <c r="AG546" s="128">
        <v>2092</v>
      </c>
      <c r="AH546" s="127">
        <v>2660</v>
      </c>
      <c r="AI546" s="127">
        <v>2660</v>
      </c>
      <c r="AJ546" s="135"/>
      <c r="AK546" s="128"/>
      <c r="AL546" s="131"/>
      <c r="AM546" s="124" t="s">
        <v>985</v>
      </c>
      <c r="AN546" s="136" t="s">
        <v>1908</v>
      </c>
      <c r="AO546" s="137">
        <v>63.19</v>
      </c>
      <c r="AP546" s="128">
        <v>2193.8000000000002</v>
      </c>
      <c r="AQ546" s="128">
        <v>333.07</v>
      </c>
      <c r="AR546" s="128" t="s">
        <v>1909</v>
      </c>
      <c r="AS546" s="128">
        <v>114</v>
      </c>
      <c r="AT546" s="122">
        <v>7.37</v>
      </c>
      <c r="AU546" s="124" t="s">
        <v>189</v>
      </c>
      <c r="AV546" s="115">
        <f>VLOOKUP(J546,'[63]ТР нефть'!$J$28:$BP$638,39,0)</f>
        <v>579.99998349600003</v>
      </c>
      <c r="AW546" s="115" t="str">
        <f>VLOOKUP(J546,'[63]ТР нефть'!$J$28:$BP$638,40,0)</f>
        <v>ГП</v>
      </c>
      <c r="AX546" s="115">
        <f>VLOOKUP(J546,'[63]ТР нефть'!$J$28:$BP$638,41,0)</f>
        <v>1049.999983594</v>
      </c>
      <c r="AY546" s="115" t="str">
        <f>VLOOKUP(J546,'[63]ТР нефть'!$J$28:$BP$638,42,0)</f>
        <v>ГП</v>
      </c>
      <c r="AZ546" s="115">
        <f>VLOOKUP(J546,'[63]ТР нефть'!$J$28:$BP$638,43,0)</f>
        <v>1406.999960156</v>
      </c>
      <c r="BA546" s="115" t="str">
        <f>VLOOKUP(J546,'[63]ТР нефть'!$J$28:$BP$638,44,0)</f>
        <v>ГП</v>
      </c>
      <c r="BB546" s="115">
        <f>VLOOKUP(J546,'[63]ТР нефть'!$J$28:$BP$638,45,0)</f>
        <v>1580.000005078</v>
      </c>
      <c r="BC546" s="115" t="str">
        <f>VLOOKUP(J546,'[63]ТР нефть'!$J$28:$BP$638,46,0)</f>
        <v>ГК 93 5/32</v>
      </c>
      <c r="BD546" s="115">
        <f>VLOOKUP(J546,'[63]ТР нефть'!$J$28:$BP$638,47,0)</f>
        <v>1791.0000375</v>
      </c>
      <c r="BE546" s="115" t="str">
        <f>VLOOKUP(J546,'[63]ТР нефть'!$J$28:$BP$638,48,0)</f>
        <v>ЦКсОК 5/16</v>
      </c>
      <c r="BF546" s="115" t="str">
        <f>VLOOKUP(J546,'[63]ТР нефть'!$J$28:$BP$638,49,0)</f>
        <v>-</v>
      </c>
      <c r="BG546" s="115" t="str">
        <f>VLOOKUP(J546,'[63]ТР нефть'!$J$28:$BP$638,50,0)</f>
        <v>-</v>
      </c>
      <c r="BH546" s="115" t="str">
        <f>VLOOKUP(J546,'[63]ТР нефть'!$J$28:$BP$638,51,0)</f>
        <v>-</v>
      </c>
      <c r="BI546" s="115" t="str">
        <f>VLOOKUP(J546,'[63]ТР нефть'!$J$28:$BP$638,52,0)</f>
        <v>-</v>
      </c>
      <c r="BJ546" s="115" t="str">
        <f>IF(IFERROR(VLOOKUP(J546,'[63]ТР нефть'!$J$28:$BP$638,53,0),"-")=0,"-",IFERROR(VLOOKUP(J546,'[63]ТР нефть'!$J$28:$BP$638,53,0),"-"))</f>
        <v>-</v>
      </c>
      <c r="BK546" s="138" t="str">
        <f>IF(IFERROR(VLOOKUP(J546,'[63]ТР нефть'!$J$28:$BP$638,54,0),"-")=0,"-",IFERROR(VLOOKUP(J546,'[63]ТР нефть'!$J$28:$BP$638,54,0),"-"))</f>
        <v>-</v>
      </c>
      <c r="BL546" s="138" t="str">
        <f>IF(IFERROR(VLOOKUP(J546,'[63]ТР нефть'!$J$28:$BP$638,55,0),"-")=0,"-",IFERROR(VLOOKUP(J546,'[63]ТР нефть'!$J$28:$BP$638,55,0),"-"))</f>
        <v>-</v>
      </c>
      <c r="BM546" s="138" t="str">
        <f>IF(IFERROR(VLOOKUP(J546,'[63]ТР нефть'!$J$28:$BP$638,56,0),"-")=0,"-",IFERROR(VLOOKUP(J546,'[63]ТР нефть'!$J$28:$BP$638,56,0),"-"))</f>
        <v>-</v>
      </c>
      <c r="BN546" s="138" t="str">
        <f>IF(IFERROR(VLOOKUP(J546,'[63]ТР нефть'!$J$28:$BP$638,57,0),"-")=0,"-",IFERROR(VLOOKUP(J546,'[63]ТР нефть'!$J$28:$BP$638,57,0),"-"))</f>
        <v>-</v>
      </c>
      <c r="BO546" s="115" t="str">
        <f>IF(IFERROR(VLOOKUP(J546,'[63]ТР нефть'!$J$28:$BP$638,58,0),"-")=0,"-",IFERROR(VLOOKUP(J546,'[63]ТР нефть'!$J$28:$BP$638,58,0),"-"))</f>
        <v>-</v>
      </c>
      <c r="BP546" s="115" t="str">
        <f>IF(IFERROR(VLOOKUP(J546,'[63]ТР нефть'!$J$28:$BP$638,59,0),"-")=0,"-",IFERROR(VLOOKUP(J546,'[63]ТР нефть'!$J$28:$BP$638,59,0),"-"))</f>
        <v>-</v>
      </c>
      <c r="BQ546" s="138">
        <v>1940</v>
      </c>
      <c r="BR546" s="128">
        <v>1827.48</v>
      </c>
      <c r="BS546" s="115">
        <f t="shared" si="437"/>
        <v>112.51999999999998</v>
      </c>
      <c r="BT546" s="128">
        <v>73</v>
      </c>
      <c r="BU546" s="128">
        <v>5.5</v>
      </c>
      <c r="BV546" s="127">
        <v>18</v>
      </c>
      <c r="BW546" s="127" t="s">
        <v>217</v>
      </c>
      <c r="BX546" s="127" t="s">
        <v>218</v>
      </c>
      <c r="BY546" s="139">
        <v>24</v>
      </c>
      <c r="BZ546" s="139">
        <v>24</v>
      </c>
      <c r="CA546" s="138">
        <v>21</v>
      </c>
      <c r="CB546" s="138">
        <v>41</v>
      </c>
      <c r="CC546" s="138">
        <v>20</v>
      </c>
      <c r="CD546" s="135">
        <v>45017</v>
      </c>
      <c r="CE546" s="138">
        <v>145</v>
      </c>
      <c r="CF546" s="138">
        <v>68</v>
      </c>
      <c r="CG546" s="138" t="str">
        <f t="shared" si="433"/>
        <v>В работе</v>
      </c>
      <c r="CH546" s="138" t="s">
        <v>196</v>
      </c>
      <c r="CI546" s="127">
        <v>6</v>
      </c>
      <c r="CJ546" s="138"/>
      <c r="CK546" s="138"/>
      <c r="CL546" s="99"/>
      <c r="CM546" s="99"/>
      <c r="CN546" s="140">
        <v>41</v>
      </c>
      <c r="CO546" s="159">
        <f t="shared" si="442"/>
        <v>3.7552284</v>
      </c>
      <c r="CP546" s="142">
        <v>4.5</v>
      </c>
      <c r="CQ546" s="119">
        <v>0.18</v>
      </c>
      <c r="CR546" s="138">
        <v>7.3</v>
      </c>
      <c r="CS546" s="138">
        <v>2.8</v>
      </c>
      <c r="CT546" s="138"/>
      <c r="CU546" s="138">
        <f t="shared" si="418"/>
        <v>4.5</v>
      </c>
      <c r="CV546" s="115">
        <f t="shared" si="419"/>
        <v>1198.3292414384168</v>
      </c>
      <c r="CW546" s="115">
        <f t="shared" si="443"/>
        <v>743.76929848901671</v>
      </c>
      <c r="CX546" s="133">
        <f t="shared" si="420"/>
        <v>4.3269230769230768E-2</v>
      </c>
      <c r="CY546" s="116"/>
      <c r="CZ546" s="131"/>
      <c r="DA546" s="145" t="str">
        <f t="shared" si="444"/>
        <v>Газлифт</v>
      </c>
      <c r="DB546" s="146">
        <f t="shared" si="455"/>
        <v>3.7552284</v>
      </c>
      <c r="DC546" s="142">
        <f t="shared" si="402"/>
        <v>4.5</v>
      </c>
      <c r="DD546" s="119">
        <f t="shared" si="416"/>
        <v>0.18</v>
      </c>
      <c r="DE546" s="115">
        <f t="shared" si="456"/>
        <v>4.5</v>
      </c>
      <c r="DF546" s="121">
        <f t="shared" si="445"/>
        <v>2.8</v>
      </c>
      <c r="DG546" s="115">
        <f t="shared" si="446"/>
        <v>1198.3292414384168</v>
      </c>
      <c r="DH546" s="115">
        <f t="shared" si="447"/>
        <v>41</v>
      </c>
      <c r="DI546" s="147"/>
      <c r="DJ546" s="111">
        <v>43652</v>
      </c>
      <c r="DK546" s="112">
        <v>44149.083333333336</v>
      </c>
      <c r="DL546" s="113">
        <f t="shared" ca="1" si="424"/>
        <v>954.91666666666424</v>
      </c>
      <c r="DM546" s="114"/>
      <c r="DN546" s="114"/>
      <c r="DO546" s="114"/>
      <c r="DP546" s="114"/>
      <c r="DQ546" s="112">
        <v>43661</v>
      </c>
      <c r="DR546" s="114" t="s">
        <v>198</v>
      </c>
      <c r="DS546" s="114"/>
      <c r="DT546" s="115">
        <v>42</v>
      </c>
      <c r="DU546" s="116">
        <f t="shared" si="425"/>
        <v>4.3689320388349516E-2</v>
      </c>
      <c r="DV546" s="117">
        <f t="shared" si="428"/>
        <v>3.7552284</v>
      </c>
      <c r="DW546" s="118">
        <f t="shared" si="429"/>
        <v>4.5</v>
      </c>
      <c r="DX546" s="119">
        <f t="shared" si="430"/>
        <v>0.18</v>
      </c>
      <c r="DY546" s="115">
        <f t="shared" si="431"/>
        <v>4.5</v>
      </c>
      <c r="DZ546" s="117">
        <f t="shared" si="440"/>
        <v>0</v>
      </c>
      <c r="EA546" s="120">
        <f t="shared" si="440"/>
        <v>0</v>
      </c>
      <c r="EB546" s="119">
        <f t="shared" si="440"/>
        <v>0</v>
      </c>
      <c r="EC546" s="121">
        <f t="shared" si="415"/>
        <v>0</v>
      </c>
      <c r="ED546" s="122"/>
      <c r="EE546" s="145">
        <v>18</v>
      </c>
      <c r="EF546" s="115">
        <v>21</v>
      </c>
      <c r="EG546" s="115">
        <v>41</v>
      </c>
      <c r="EH546" s="115">
        <v>20</v>
      </c>
      <c r="EI546" s="128" t="s">
        <v>218</v>
      </c>
      <c r="EJ546" s="121">
        <v>24</v>
      </c>
      <c r="EK546" s="121">
        <v>24</v>
      </c>
      <c r="EL546" s="162">
        <v>3.7552284</v>
      </c>
      <c r="EM546" s="142">
        <v>4.5</v>
      </c>
      <c r="EN546" s="119">
        <v>0.18</v>
      </c>
      <c r="EO546" s="115">
        <v>7.3</v>
      </c>
      <c r="EP546" s="115">
        <v>1198.3292414384168</v>
      </c>
      <c r="EQ546" s="115">
        <v>69</v>
      </c>
      <c r="ER546" s="115">
        <v>2.8</v>
      </c>
      <c r="ES546" s="115">
        <v>41</v>
      </c>
      <c r="ET546" s="150">
        <v>4.3269230769230768E-2</v>
      </c>
      <c r="EU546" s="145">
        <f t="shared" si="457"/>
        <v>18</v>
      </c>
      <c r="EV546" s="115">
        <f t="shared" si="448"/>
        <v>21</v>
      </c>
      <c r="EW546" s="115">
        <f t="shared" si="448"/>
        <v>41</v>
      </c>
      <c r="EX546" s="115">
        <f t="shared" si="448"/>
        <v>20</v>
      </c>
      <c r="EY546" s="115" t="str">
        <f t="shared" si="434"/>
        <v>Периодический</v>
      </c>
      <c r="EZ546" s="115">
        <f t="shared" si="434"/>
        <v>24</v>
      </c>
      <c r="FA546" s="115">
        <f t="shared" si="434"/>
        <v>24</v>
      </c>
      <c r="FB546" s="149">
        <f t="shared" si="405"/>
        <v>3.7552284</v>
      </c>
      <c r="FC546" s="142">
        <f t="shared" si="405"/>
        <v>4.5</v>
      </c>
      <c r="FD546" s="119">
        <f t="shared" si="405"/>
        <v>0.18</v>
      </c>
      <c r="FE546" s="121">
        <f t="shared" si="405"/>
        <v>7.3</v>
      </c>
      <c r="FF546" s="121">
        <f t="shared" si="407"/>
        <v>1198.3292414384168</v>
      </c>
      <c r="FG546" s="121">
        <f t="shared" si="449"/>
        <v>68</v>
      </c>
      <c r="FH546" s="121">
        <f t="shared" si="436"/>
        <v>2.8</v>
      </c>
      <c r="FI546" s="121">
        <f t="shared" si="427"/>
        <v>41</v>
      </c>
      <c r="FJ546" s="144">
        <f t="shared" si="450"/>
        <v>4.3269230769230768E-2</v>
      </c>
      <c r="FK546" s="132">
        <f t="shared" si="451"/>
        <v>0</v>
      </c>
      <c r="FL546" s="115">
        <f t="shared" si="451"/>
        <v>0</v>
      </c>
      <c r="FM546" s="115">
        <f t="shared" si="451"/>
        <v>0</v>
      </c>
      <c r="FN546" s="115">
        <f t="shared" si="451"/>
        <v>0</v>
      </c>
      <c r="FO546" s="115">
        <f t="shared" si="439"/>
        <v>0</v>
      </c>
      <c r="FP546" s="115">
        <f t="shared" si="439"/>
        <v>0</v>
      </c>
      <c r="FQ546" s="149">
        <f t="shared" si="439"/>
        <v>0</v>
      </c>
      <c r="FR546" s="142">
        <f t="shared" si="439"/>
        <v>0</v>
      </c>
      <c r="FS546" s="119">
        <f t="shared" si="439"/>
        <v>0</v>
      </c>
      <c r="FT546" s="121">
        <f t="shared" si="438"/>
        <v>0</v>
      </c>
      <c r="FU546" s="121">
        <f t="shared" si="452"/>
        <v>-1</v>
      </c>
      <c r="FV546" s="121">
        <f t="shared" si="452"/>
        <v>0</v>
      </c>
      <c r="FW546" s="121">
        <f t="shared" si="453"/>
        <v>0</v>
      </c>
      <c r="FX546" s="121">
        <f>CN546-ES546</f>
        <v>0</v>
      </c>
      <c r="FY546" s="144">
        <f t="shared" si="454"/>
        <v>0</v>
      </c>
      <c r="FZ546" s="145"/>
      <c r="GA546" s="131"/>
      <c r="GB546" s="145"/>
      <c r="GC546" s="151"/>
      <c r="GD546" s="997" t="s">
        <v>416</v>
      </c>
      <c r="GE546" s="1004"/>
      <c r="GF546" s="1004">
        <v>-0.59249159200000001</v>
      </c>
      <c r="GG546" s="1004"/>
      <c r="GH546" s="1004">
        <v>0</v>
      </c>
      <c r="GI546" s="145"/>
      <c r="GJ546" s="996">
        <v>0</v>
      </c>
      <c r="GK546" s="145"/>
      <c r="GL546" s="996">
        <v>0</v>
      </c>
      <c r="GM546" s="1005"/>
      <c r="GN546" s="996">
        <v>0</v>
      </c>
      <c r="GO546" s="1006"/>
      <c r="GP546" s="996">
        <v>0</v>
      </c>
      <c r="GQ546" s="1006"/>
      <c r="GR546" s="996">
        <v>-0.66514500799999965</v>
      </c>
      <c r="GS546" s="1006"/>
      <c r="GT546" s="996">
        <v>0</v>
      </c>
      <c r="GU546" s="1006"/>
      <c r="GV546" s="996">
        <v>0.13144795839999901</v>
      </c>
      <c r="GW546" s="1006"/>
      <c r="GX546" s="996">
        <v>0</v>
      </c>
      <c r="GY546" s="1006"/>
      <c r="GZ546" s="996">
        <v>0</v>
      </c>
      <c r="HA546" s="1006"/>
      <c r="HB546" s="996">
        <v>0</v>
      </c>
      <c r="HC546" s="1006"/>
      <c r="HD546" s="996">
        <v>0.83474600000000043</v>
      </c>
      <c r="HE546" s="1006"/>
      <c r="HF546" s="996">
        <v>0.83474599999999999</v>
      </c>
      <c r="HG546" s="1006"/>
      <c r="HH546" s="996">
        <v>-0.82639854000000001</v>
      </c>
      <c r="HI546" s="1006"/>
      <c r="HJ546" s="996">
        <v>-0.11686444000000007</v>
      </c>
      <c r="HK546" s="1006"/>
      <c r="HL546" s="996">
        <v>0</v>
      </c>
      <c r="HM546" s="1006" t="s">
        <v>199</v>
      </c>
      <c r="HN546" s="996">
        <v>-1.8781784999999993</v>
      </c>
      <c r="HO546" s="1006"/>
      <c r="HP546" s="996">
        <v>0</v>
      </c>
      <c r="HQ546" s="1006" t="s">
        <v>199</v>
      </c>
      <c r="HR546" s="996">
        <v>-1.7796935200000004</v>
      </c>
      <c r="HS546" s="1006" t="s">
        <v>199</v>
      </c>
      <c r="HT546" s="996">
        <v>1.8977199999999996</v>
      </c>
      <c r="HU546" s="1006"/>
      <c r="HV546" s="996">
        <v>-0.22571999999999992</v>
      </c>
      <c r="HW546" s="1006"/>
      <c r="HX546" s="996">
        <v>-0.83599999999999941</v>
      </c>
      <c r="HY546" s="1006"/>
      <c r="HZ546" s="996">
        <v>-0.75240000000000062</v>
      </c>
      <c r="IA546" s="1006" t="s">
        <v>204</v>
      </c>
      <c r="IB546" s="996">
        <v>2.2488400000000004</v>
      </c>
      <c r="IC546" s="1006"/>
      <c r="ID546" s="996">
        <v>0</v>
      </c>
      <c r="IE546" s="1006" t="s">
        <v>199</v>
      </c>
      <c r="IF546" s="996">
        <v>-3.3356399999999997</v>
      </c>
      <c r="IG546" s="1006" t="s">
        <v>223</v>
      </c>
      <c r="IH546" s="996">
        <v>-6.3416034000000012</v>
      </c>
      <c r="II546" s="1006"/>
      <c r="IJ546" s="996">
        <v>0</v>
      </c>
      <c r="IK546" s="1006" t="s">
        <v>203</v>
      </c>
      <c r="IL546" s="996">
        <v>-12.039796119999997</v>
      </c>
      <c r="IM546" s="1006" t="s">
        <v>25</v>
      </c>
      <c r="IN546" s="996">
        <v>22.059799519999999</v>
      </c>
      <c r="IO546" s="1006"/>
      <c r="IP546" s="996">
        <v>0</v>
      </c>
      <c r="IQ546" s="1006"/>
      <c r="IR546" s="996">
        <v>0.39291999999999971</v>
      </c>
      <c r="IS546" s="1006"/>
      <c r="IT546" s="996">
        <v>0</v>
      </c>
      <c r="IU546" s="1006"/>
      <c r="IV546" s="996">
        <v>0.69388000000000005</v>
      </c>
      <c r="IW546" s="1006"/>
      <c r="IX546" s="996">
        <v>0</v>
      </c>
      <c r="IY546" s="1006"/>
      <c r="IZ546" s="996">
        <v>0</v>
      </c>
      <c r="JA546" s="1006"/>
      <c r="JB546" s="996">
        <v>0</v>
      </c>
      <c r="JC546" s="1006"/>
      <c r="JD546" s="996">
        <v>0.83599999999999985</v>
      </c>
      <c r="JE546" s="1006" t="s">
        <v>199</v>
      </c>
      <c r="JF546" s="996">
        <v>-1.5507800000000005</v>
      </c>
      <c r="JG546" s="1006" t="s">
        <v>199</v>
      </c>
      <c r="JH546" s="996">
        <v>-1.7932199999999998</v>
      </c>
      <c r="JI546" s="1006"/>
      <c r="JJ546" s="996">
        <v>0</v>
      </c>
      <c r="JK546" s="1007"/>
      <c r="JL546" s="1007">
        <v>0</v>
      </c>
      <c r="JM546" s="1007"/>
      <c r="JN546" s="1007">
        <v>0</v>
      </c>
      <c r="JO546" s="1008" t="s">
        <v>199</v>
      </c>
      <c r="JP546" s="1007">
        <v>-2.022284</v>
      </c>
      <c r="JQ546" s="1008" t="s">
        <v>203</v>
      </c>
      <c r="JR546" s="1007">
        <v>-1.4153479999999998</v>
      </c>
      <c r="JS546" s="1008" t="s">
        <v>25</v>
      </c>
      <c r="JT546" s="1007">
        <v>3.0196320000000005</v>
      </c>
      <c r="JU546" s="1008"/>
      <c r="JV546" s="1007">
        <v>0</v>
      </c>
      <c r="JW546" s="1008" t="s">
        <v>206</v>
      </c>
      <c r="JX546" s="1007">
        <v>-8.1760800000000025</v>
      </c>
      <c r="JY546" s="1008" t="s">
        <v>204</v>
      </c>
      <c r="JZ546" s="1007">
        <v>-4.2609247999999962</v>
      </c>
      <c r="KA546" s="1008"/>
      <c r="KB546" s="1007">
        <v>0</v>
      </c>
      <c r="KC546" s="1008"/>
      <c r="KD546" s="1007">
        <v>0</v>
      </c>
      <c r="KE546" s="1008"/>
      <c r="KF546" s="1007">
        <v>0</v>
      </c>
      <c r="KG546" s="1008"/>
      <c r="KH546" s="1007">
        <v>0</v>
      </c>
      <c r="KI546" s="1008" t="s">
        <v>206</v>
      </c>
      <c r="KJ546" s="1007">
        <v>3.040364799999999</v>
      </c>
      <c r="KK546" s="1008"/>
      <c r="KL546" s="1007">
        <v>0</v>
      </c>
      <c r="KM546" s="1008"/>
      <c r="KN546" s="1007">
        <v>0</v>
      </c>
      <c r="KO546" s="1008"/>
      <c r="KP546" s="1007">
        <v>0</v>
      </c>
      <c r="KQ546" s="1008">
        <v>0</v>
      </c>
      <c r="KR546" s="1007">
        <v>0</v>
      </c>
      <c r="KS546" s="1008" t="s">
        <v>204</v>
      </c>
      <c r="KT546" s="1007">
        <v>-1.4713600000000007</v>
      </c>
      <c r="KU546" s="1008">
        <v>0</v>
      </c>
      <c r="KV546" s="1007">
        <v>0</v>
      </c>
      <c r="KW546" s="1008">
        <v>0</v>
      </c>
      <c r="KX546" s="1007">
        <v>0</v>
      </c>
      <c r="KY546" s="1008">
        <v>0</v>
      </c>
      <c r="KZ546" s="1007">
        <v>0</v>
      </c>
      <c r="LA546" s="1008">
        <v>0</v>
      </c>
      <c r="LB546" s="1007">
        <v>0</v>
      </c>
      <c r="LC546" s="1008">
        <v>0</v>
      </c>
      <c r="LD546" s="1007">
        <v>0</v>
      </c>
      <c r="LE546" s="1008">
        <v>0</v>
      </c>
      <c r="LF546" s="1007">
        <v>0</v>
      </c>
      <c r="LG546" s="1008">
        <v>0</v>
      </c>
      <c r="LH546" s="1007">
        <v>0</v>
      </c>
      <c r="LI546" s="1008" t="s">
        <v>199</v>
      </c>
      <c r="LJ546" s="1007">
        <v>5.8519999999999985</v>
      </c>
      <c r="LK546" s="1008">
        <v>0</v>
      </c>
      <c r="LL546" s="1007">
        <v>0</v>
      </c>
      <c r="LM546" s="1008">
        <v>0</v>
      </c>
      <c r="LN546" s="1007">
        <v>0</v>
      </c>
      <c r="LO546" s="1008">
        <v>0</v>
      </c>
      <c r="LP546" s="1007">
        <v>0</v>
      </c>
      <c r="LQ546" s="1008" t="s">
        <v>204</v>
      </c>
      <c r="LR546" s="1007">
        <v>2.58</v>
      </c>
      <c r="LS546" s="1008">
        <v>0</v>
      </c>
      <c r="LT546" s="1007">
        <v>0</v>
      </c>
      <c r="LU546" s="1008">
        <v>0</v>
      </c>
      <c r="LV546" s="1007">
        <v>0</v>
      </c>
      <c r="LW546" s="1008">
        <v>0</v>
      </c>
      <c r="LX546" s="1007">
        <v>0</v>
      </c>
      <c r="LY546" s="1009">
        <v>0</v>
      </c>
      <c r="LZ546" s="1010">
        <v>0</v>
      </c>
      <c r="MA546" s="1011">
        <v>0</v>
      </c>
      <c r="MB546" s="1012">
        <v>0.83599999999999897</v>
      </c>
      <c r="MC546" s="995"/>
      <c r="MD546" s="996"/>
      <c r="ME546" s="997" t="s">
        <v>416</v>
      </c>
      <c r="MF546" s="997"/>
      <c r="MG546" s="998"/>
      <c r="NR546" s="1000"/>
      <c r="NS546" s="1000"/>
      <c r="NT546" s="1001"/>
      <c r="NU546" s="1000"/>
      <c r="NV546" s="1001"/>
      <c r="NX546" s="1002"/>
      <c r="NZ546" s="1001"/>
      <c r="OA546" s="1001"/>
      <c r="OC546" s="1003"/>
      <c r="OD546" s="1003"/>
      <c r="OE546" s="1001"/>
      <c r="OF546" s="1003"/>
      <c r="OG546" s="1003"/>
      <c r="QX546" s="1000">
        <f>CN546-CA546</f>
        <v>20</v>
      </c>
      <c r="ASU546" s="999" t="s">
        <v>208</v>
      </c>
    </row>
    <row r="547" spans="1:466 1191:1191" ht="21" customHeight="1" x14ac:dyDescent="0.25">
      <c r="A547" s="982">
        <f t="shared" si="441"/>
        <v>3253</v>
      </c>
      <c r="B547" s="124">
        <f>SUBTOTAL(103,$J$29:J547)</f>
        <v>519</v>
      </c>
      <c r="C547" s="126">
        <v>45068</v>
      </c>
      <c r="D547" s="124" t="s">
        <v>176</v>
      </c>
      <c r="E547" s="127" t="s">
        <v>177</v>
      </c>
      <c r="F547" s="128" t="s">
        <v>177</v>
      </c>
      <c r="G547" s="127" t="s">
        <v>178</v>
      </c>
      <c r="H547" s="127" t="s">
        <v>408</v>
      </c>
      <c r="I547" s="127" t="s">
        <v>1276</v>
      </c>
      <c r="J547" s="152">
        <v>3253</v>
      </c>
      <c r="K547" s="127" t="s">
        <v>1276</v>
      </c>
      <c r="L547" s="130">
        <v>35308</v>
      </c>
      <c r="M547" s="127" t="s">
        <v>230</v>
      </c>
      <c r="N547" s="127" t="s">
        <v>231</v>
      </c>
      <c r="O547" s="127" t="s">
        <v>185</v>
      </c>
      <c r="P547" s="127" t="s">
        <v>186</v>
      </c>
      <c r="Q547" s="85" t="str">
        <f t="shared" si="423"/>
        <v/>
      </c>
      <c r="R547" s="130"/>
      <c r="S547" s="128"/>
      <c r="T547" s="131"/>
      <c r="U547" s="132">
        <v>203</v>
      </c>
      <c r="V547" s="121">
        <v>218.2</v>
      </c>
      <c r="W547" s="116">
        <v>0.98</v>
      </c>
      <c r="X547" s="116">
        <v>1.66</v>
      </c>
      <c r="Y547" s="116">
        <f t="shared" si="408"/>
        <v>0.98</v>
      </c>
      <c r="Z547" s="133">
        <v>1.454</v>
      </c>
      <c r="AA547" s="133">
        <v>0.83599999999999997</v>
      </c>
      <c r="AB547" s="133">
        <v>0.72</v>
      </c>
      <c r="AC547" s="121">
        <v>34.299999999999997</v>
      </c>
      <c r="AD547" s="134">
        <v>1.17</v>
      </c>
      <c r="AE547" s="124">
        <v>177.8</v>
      </c>
      <c r="AF547" s="128">
        <v>9.19</v>
      </c>
      <c r="AG547" s="128">
        <v>2134</v>
      </c>
      <c r="AH547" s="127">
        <v>2740</v>
      </c>
      <c r="AI547" s="127">
        <v>2740</v>
      </c>
      <c r="AJ547" s="135"/>
      <c r="AK547" s="128"/>
      <c r="AL547" s="131"/>
      <c r="AM547" s="124" t="s">
        <v>232</v>
      </c>
      <c r="AN547" s="136" t="s">
        <v>1910</v>
      </c>
      <c r="AO547" s="137">
        <v>40</v>
      </c>
      <c r="AP547" s="128">
        <v>2140</v>
      </c>
      <c r="AQ547" s="128">
        <v>255</v>
      </c>
      <c r="AR547" s="128"/>
      <c r="AS547" s="128"/>
      <c r="AT547" s="122"/>
      <c r="AU547" s="124" t="s">
        <v>189</v>
      </c>
      <c r="AV547" s="115">
        <f>VLOOKUP(J547,'[63]ТР нефть'!$J$28:$BP$638,39,0)</f>
        <v>519.99999931599996</v>
      </c>
      <c r="AW547" s="115" t="str">
        <f>VLOOKUP(J547,'[63]ТР нефть'!$J$28:$BP$638,40,0)</f>
        <v>ГП</v>
      </c>
      <c r="AX547" s="115">
        <f>VLOOKUP(J547,'[63]ТР нефть'!$J$28:$BP$638,41,0)</f>
        <v>949.99998515599998</v>
      </c>
      <c r="AY547" s="115" t="str">
        <f>VLOOKUP(J547,'[63]ТР нефть'!$J$28:$BP$638,42,0)</f>
        <v>ГП</v>
      </c>
      <c r="AZ547" s="115">
        <f>VLOOKUP(J547,'[63]ТР нефть'!$J$28:$BP$638,43,0)</f>
        <v>1290.000069141</v>
      </c>
      <c r="BA547" s="115" t="str">
        <f>VLOOKUP(J547,'[63]ТР нефть'!$J$28:$BP$638,44,0)</f>
        <v>ГК 84 5/32</v>
      </c>
      <c r="BB547" s="115">
        <f>VLOOKUP(J547,'[63]ТР нефть'!$J$28:$BP$638,45,0)</f>
        <v>1590.000064453</v>
      </c>
      <c r="BC547" s="115" t="str">
        <f>VLOOKUP(J547,'[63]ТР нефть'!$J$28:$BP$638,46,0)</f>
        <v>ГК 84 5/32</v>
      </c>
      <c r="BD547" s="115">
        <f>VLOOKUP(J547,'[63]ТР нефть'!$J$28:$BP$638,47,0)</f>
        <v>1869.9999410160001</v>
      </c>
      <c r="BE547" s="115" t="str">
        <f>VLOOKUP(J547,'[63]ТР нефть'!$J$28:$BP$638,48,0)</f>
        <v>ЦКсОК 5/16</v>
      </c>
      <c r="BF547" s="115" t="str">
        <f>VLOOKUP(J547,'[63]ТР нефть'!$J$28:$BP$638,49,0)</f>
        <v>-</v>
      </c>
      <c r="BG547" s="115" t="str">
        <f>VLOOKUP(J547,'[63]ТР нефть'!$J$28:$BP$638,50,0)</f>
        <v>-</v>
      </c>
      <c r="BH547" s="115">
        <f>VLOOKUP(J547,'[63]ТР нефть'!$J$28:$BP$638,51,0)</f>
        <v>1880</v>
      </c>
      <c r="BI547" s="115" t="str">
        <f>VLOOKUP(J547,'[63]ТР нефть'!$J$28:$BP$638,52,0)</f>
        <v>закрыт</v>
      </c>
      <c r="BJ547" s="115" t="str">
        <f>IF(IFERROR(VLOOKUP(J547,'[63]ТР нефть'!$J$28:$BP$638,53,0),"-")=0,"-",IFERROR(VLOOKUP(J547,'[63]ТР нефть'!$J$28:$BP$638,53,0),"-"))</f>
        <v>-</v>
      </c>
      <c r="BK547" s="138" t="str">
        <f>IF(IFERROR(VLOOKUP(J547,'[63]ТР нефть'!$J$28:$BP$638,54,0),"-")=0,"-",IFERROR(VLOOKUP(J547,'[63]ТР нефть'!$J$28:$BP$638,54,0),"-"))</f>
        <v>-</v>
      </c>
      <c r="BL547" s="138" t="str">
        <f>IF(IFERROR(VLOOKUP(J547,'[63]ТР нефть'!$J$28:$BP$638,55,0),"-")=0,"-",IFERROR(VLOOKUP(J547,'[63]ТР нефть'!$J$28:$BP$638,55,0),"-"))</f>
        <v>-</v>
      </c>
      <c r="BM547" s="138" t="str">
        <f>IF(IFERROR(VLOOKUP(J547,'[63]ТР нефть'!$J$28:$BP$638,56,0),"-")=0,"-",IFERROR(VLOOKUP(J547,'[63]ТР нефть'!$J$28:$BP$638,56,0),"-"))</f>
        <v>-</v>
      </c>
      <c r="BN547" s="138" t="str">
        <f>IF(IFERROR(VLOOKUP(J547,'[63]ТР нефть'!$J$28:$BP$638,57,0),"-")=0,"-",IFERROR(VLOOKUP(J547,'[63]ТР нефть'!$J$28:$BP$638,57,0),"-"))</f>
        <v>-</v>
      </c>
      <c r="BO547" s="115" t="str">
        <f>IF(IFERROR(VLOOKUP(J547,'[63]ТР нефть'!$J$28:$BP$638,58,0),"-")=0,"-",IFERROR(VLOOKUP(J547,'[63]ТР нефть'!$J$28:$BP$638,58,0),"-"))</f>
        <v>-</v>
      </c>
      <c r="BP547" s="115" t="str">
        <f>IF(IFERROR(VLOOKUP(J547,'[63]ТР нефть'!$J$28:$BP$638,59,0),"-")=0,"-",IFERROR(VLOOKUP(J547,'[63]ТР нефть'!$J$28:$BP$638,59,0),"-"))</f>
        <v>-</v>
      </c>
      <c r="BQ547" s="138">
        <v>2140</v>
      </c>
      <c r="BR547" s="128">
        <v>1885</v>
      </c>
      <c r="BS547" s="115">
        <f t="shared" si="437"/>
        <v>255</v>
      </c>
      <c r="BT547" s="128">
        <v>73</v>
      </c>
      <c r="BU547" s="128">
        <v>5.5</v>
      </c>
      <c r="BV547" s="127">
        <v>18</v>
      </c>
      <c r="BW547" s="127" t="s">
        <v>217</v>
      </c>
      <c r="BX547" s="127" t="s">
        <v>218</v>
      </c>
      <c r="BY547" s="139">
        <v>24</v>
      </c>
      <c r="BZ547" s="139">
        <v>24</v>
      </c>
      <c r="CA547" s="138">
        <v>20</v>
      </c>
      <c r="CB547" s="138">
        <v>38</v>
      </c>
      <c r="CC547" s="138">
        <v>20</v>
      </c>
      <c r="CD547" s="135">
        <v>45017</v>
      </c>
      <c r="CE547" s="138">
        <v>76</v>
      </c>
      <c r="CF547" s="138">
        <v>68</v>
      </c>
      <c r="CG547" s="138" t="str">
        <f t="shared" si="433"/>
        <v>В работе</v>
      </c>
      <c r="CH547" s="138" t="s">
        <v>235</v>
      </c>
      <c r="CI547" s="127">
        <v>6</v>
      </c>
      <c r="CJ547" s="138"/>
      <c r="CK547" s="138"/>
      <c r="CL547" s="99"/>
      <c r="CM547" s="99"/>
      <c r="CN547" s="140">
        <v>51</v>
      </c>
      <c r="CO547" s="159">
        <f t="shared" si="442"/>
        <v>3.3439999999999999</v>
      </c>
      <c r="CP547" s="160">
        <v>4</v>
      </c>
      <c r="CQ547" s="161">
        <v>0</v>
      </c>
      <c r="CR547" s="138">
        <v>4.5</v>
      </c>
      <c r="CS547" s="139">
        <v>2.2999999999999998</v>
      </c>
      <c r="CT547" s="138"/>
      <c r="CU547" s="138">
        <f t="shared" si="418"/>
        <v>2.2000000000000002</v>
      </c>
      <c r="CV547" s="115">
        <f t="shared" si="419"/>
        <v>657.89473684210532</v>
      </c>
      <c r="CW547" s="115">
        <f t="shared" si="443"/>
        <v>687.79904306220101</v>
      </c>
      <c r="CX547" s="133">
        <f t="shared" si="420"/>
        <v>0.16</v>
      </c>
      <c r="CY547" s="116"/>
      <c r="CZ547" s="131"/>
      <c r="DA547" s="145" t="str">
        <f t="shared" si="444"/>
        <v>Газлифт</v>
      </c>
      <c r="DB547" s="146">
        <f t="shared" si="455"/>
        <v>3.3439999999999999</v>
      </c>
      <c r="DC547" s="142">
        <f t="shared" si="402"/>
        <v>4</v>
      </c>
      <c r="DD547" s="119">
        <f t="shared" si="416"/>
        <v>0</v>
      </c>
      <c r="DE547" s="115">
        <f t="shared" si="456"/>
        <v>2.2000000000000002</v>
      </c>
      <c r="DF547" s="121">
        <f t="shared" si="445"/>
        <v>2.2999999999999998</v>
      </c>
      <c r="DG547" s="115">
        <f t="shared" si="446"/>
        <v>657.89473684210532</v>
      </c>
      <c r="DH547" s="115">
        <f t="shared" si="447"/>
        <v>51</v>
      </c>
      <c r="DI547" s="147"/>
      <c r="DJ547" s="111" t="s">
        <v>197</v>
      </c>
      <c r="DK547" s="112">
        <v>43630.083333333336</v>
      </c>
      <c r="DL547" s="113">
        <f t="shared" ca="1" si="424"/>
        <v>1473.9166666666642</v>
      </c>
      <c r="DM547" s="114"/>
      <c r="DN547" s="114"/>
      <c r="DO547" s="114"/>
      <c r="DP547" s="114"/>
      <c r="DQ547" s="112">
        <v>43630</v>
      </c>
      <c r="DR547" s="114" t="s">
        <v>324</v>
      </c>
      <c r="DS547" s="114"/>
      <c r="DT547" s="115">
        <v>51</v>
      </c>
      <c r="DU547" s="116">
        <f t="shared" si="425"/>
        <v>0.16</v>
      </c>
      <c r="DV547" s="117">
        <f t="shared" si="428"/>
        <v>3.3439999999999999</v>
      </c>
      <c r="DW547" s="118">
        <f t="shared" si="429"/>
        <v>4</v>
      </c>
      <c r="DX547" s="119">
        <f t="shared" si="430"/>
        <v>0</v>
      </c>
      <c r="DY547" s="115">
        <f t="shared" si="431"/>
        <v>2.2000000000000002</v>
      </c>
      <c r="DZ547" s="117">
        <f t="shared" si="440"/>
        <v>0</v>
      </c>
      <c r="EA547" s="120">
        <f t="shared" si="440"/>
        <v>0</v>
      </c>
      <c r="EB547" s="119">
        <f t="shared" si="440"/>
        <v>0</v>
      </c>
      <c r="EC547" s="121">
        <f t="shared" si="415"/>
        <v>0</v>
      </c>
      <c r="ED547" s="122"/>
      <c r="EE547" s="145">
        <v>18</v>
      </c>
      <c r="EF547" s="138">
        <v>20</v>
      </c>
      <c r="EG547" s="138">
        <v>41</v>
      </c>
      <c r="EH547" s="138">
        <v>20</v>
      </c>
      <c r="EI547" s="128" t="s">
        <v>218</v>
      </c>
      <c r="EJ547" s="121">
        <v>24</v>
      </c>
      <c r="EK547" s="121">
        <v>24</v>
      </c>
      <c r="EL547" s="162">
        <v>3.4275999999999995</v>
      </c>
      <c r="EM547" s="142">
        <v>4.0999999999999996</v>
      </c>
      <c r="EN547" s="119">
        <v>0</v>
      </c>
      <c r="EO547" s="115">
        <v>4</v>
      </c>
      <c r="EP547" s="115">
        <v>729.37332244135848</v>
      </c>
      <c r="EQ547" s="115">
        <v>67</v>
      </c>
      <c r="ER547" s="115">
        <v>1.5</v>
      </c>
      <c r="ES547" s="115">
        <v>48</v>
      </c>
      <c r="ET547" s="150">
        <v>0.14642857142857141</v>
      </c>
      <c r="EU547" s="145">
        <f t="shared" si="457"/>
        <v>18</v>
      </c>
      <c r="EV547" s="115">
        <f t="shared" si="448"/>
        <v>20</v>
      </c>
      <c r="EW547" s="115">
        <f t="shared" si="448"/>
        <v>38</v>
      </c>
      <c r="EX547" s="115">
        <f t="shared" si="448"/>
        <v>20</v>
      </c>
      <c r="EY547" s="115" t="str">
        <f t="shared" si="434"/>
        <v>Периодический</v>
      </c>
      <c r="EZ547" s="115">
        <f t="shared" si="434"/>
        <v>24</v>
      </c>
      <c r="FA547" s="115">
        <f t="shared" si="434"/>
        <v>24</v>
      </c>
      <c r="FB547" s="149">
        <f t="shared" si="405"/>
        <v>3.3439999999999999</v>
      </c>
      <c r="FC547" s="142">
        <f t="shared" si="405"/>
        <v>4</v>
      </c>
      <c r="FD547" s="119">
        <f t="shared" si="405"/>
        <v>0</v>
      </c>
      <c r="FE547" s="121">
        <f t="shared" si="405"/>
        <v>4.5</v>
      </c>
      <c r="FF547" s="121">
        <f t="shared" si="407"/>
        <v>657.89473684210532</v>
      </c>
      <c r="FG547" s="121">
        <f t="shared" si="449"/>
        <v>68</v>
      </c>
      <c r="FH547" s="121">
        <f t="shared" si="436"/>
        <v>2.2999999999999998</v>
      </c>
      <c r="FI547" s="121">
        <f t="shared" si="427"/>
        <v>51</v>
      </c>
      <c r="FJ547" s="144">
        <f t="shared" si="450"/>
        <v>0.16</v>
      </c>
      <c r="FK547" s="132">
        <f t="shared" si="451"/>
        <v>0</v>
      </c>
      <c r="FL547" s="115">
        <f t="shared" si="451"/>
        <v>0</v>
      </c>
      <c r="FM547" s="115">
        <f t="shared" si="451"/>
        <v>-3</v>
      </c>
      <c r="FN547" s="115">
        <f t="shared" si="451"/>
        <v>0</v>
      </c>
      <c r="FO547" s="115">
        <f t="shared" si="439"/>
        <v>0</v>
      </c>
      <c r="FP547" s="115">
        <f t="shared" si="439"/>
        <v>0</v>
      </c>
      <c r="FQ547" s="149">
        <f t="shared" si="439"/>
        <v>-8.3599999999999675E-2</v>
      </c>
      <c r="FR547" s="142">
        <f t="shared" si="439"/>
        <v>-9.9999999999999645E-2</v>
      </c>
      <c r="FS547" s="119">
        <f t="shared" si="439"/>
        <v>0</v>
      </c>
      <c r="FT547" s="121">
        <f t="shared" si="438"/>
        <v>0.5</v>
      </c>
      <c r="FU547" s="121">
        <f t="shared" si="452"/>
        <v>1</v>
      </c>
      <c r="FV547" s="121">
        <f t="shared" si="452"/>
        <v>0.79999999999999982</v>
      </c>
      <c r="FW547" s="121">
        <f t="shared" si="453"/>
        <v>-71.478585599253165</v>
      </c>
      <c r="FX547" s="121">
        <f>CN547-ES547</f>
        <v>3</v>
      </c>
      <c r="FY547" s="144">
        <f t="shared" si="454"/>
        <v>1.3571428571428595E-2</v>
      </c>
      <c r="FZ547" s="145"/>
      <c r="GA547" s="151"/>
      <c r="GB547" s="145"/>
      <c r="GC547" s="151"/>
      <c r="GD547" s="997" t="s">
        <v>416</v>
      </c>
      <c r="GE547" s="1004"/>
      <c r="GF547" s="1004">
        <v>-0.32186000000000048</v>
      </c>
      <c r="GG547" s="1004"/>
      <c r="GH547" s="1004">
        <v>0</v>
      </c>
      <c r="GI547" s="145"/>
      <c r="GJ547" s="996">
        <v>0</v>
      </c>
      <c r="GK547" s="145"/>
      <c r="GL547" s="996">
        <v>0</v>
      </c>
      <c r="GM547" s="1005"/>
      <c r="GN547" s="996">
        <v>0</v>
      </c>
      <c r="GO547" s="1006"/>
      <c r="GP547" s="996">
        <v>-0.79043799999999997</v>
      </c>
      <c r="GQ547" s="1006"/>
      <c r="GR547" s="996">
        <v>1.0089266000000001</v>
      </c>
      <c r="GS547" s="1006"/>
      <c r="GT547" s="996">
        <v>0</v>
      </c>
      <c r="GU547" s="1006"/>
      <c r="GV547" s="996">
        <v>0</v>
      </c>
      <c r="GW547" s="1006"/>
      <c r="GX547" s="996">
        <v>0</v>
      </c>
      <c r="GY547" s="1006"/>
      <c r="GZ547" s="996">
        <v>-0.9374485999999993</v>
      </c>
      <c r="HA547" s="1006" t="s">
        <v>241</v>
      </c>
      <c r="HB547" s="996">
        <v>-1.8015800000000004</v>
      </c>
      <c r="HC547" s="1006" t="s">
        <v>199</v>
      </c>
      <c r="HD547" s="996">
        <v>1.7725390320000001</v>
      </c>
      <c r="HE547" s="1006" t="s">
        <v>204</v>
      </c>
      <c r="HF547" s="996">
        <v>0</v>
      </c>
      <c r="HG547" s="1006" t="s">
        <v>204</v>
      </c>
      <c r="HH547" s="996">
        <v>1.8515485559999996</v>
      </c>
      <c r="HI547" s="1006"/>
      <c r="HJ547" s="996">
        <v>0</v>
      </c>
      <c r="HK547" s="1006"/>
      <c r="HL547" s="996">
        <v>0</v>
      </c>
      <c r="HM547" s="1006" t="s">
        <v>223</v>
      </c>
      <c r="HN547" s="996">
        <v>-1.1913275879999996</v>
      </c>
      <c r="HO547" s="1006"/>
      <c r="HP547" s="996">
        <v>0</v>
      </c>
      <c r="HQ547" s="1006"/>
      <c r="HR547" s="996">
        <v>-0.59356000000000009</v>
      </c>
      <c r="HS547" s="1006"/>
      <c r="HT547" s="996">
        <v>0</v>
      </c>
      <c r="HU547" s="1006"/>
      <c r="HV547" s="996">
        <v>0</v>
      </c>
      <c r="HW547" s="1006"/>
      <c r="HX547" s="996">
        <v>0</v>
      </c>
      <c r="HY547" s="1006"/>
      <c r="HZ547" s="996">
        <v>0</v>
      </c>
      <c r="IA547" s="1006" t="s">
        <v>204</v>
      </c>
      <c r="IB547" s="996">
        <v>-1.0032000000000005</v>
      </c>
      <c r="IC547" s="1006"/>
      <c r="ID547" s="996">
        <v>-0.93631999999999938</v>
      </c>
      <c r="IE547" s="1006" t="s">
        <v>199</v>
      </c>
      <c r="IF547" s="996">
        <v>1.4713599999999998</v>
      </c>
      <c r="IG547" s="1006"/>
      <c r="IH547" s="996">
        <v>0.33439999999999959</v>
      </c>
      <c r="II547" s="1006"/>
      <c r="IJ547" s="996">
        <v>-0.67715999999999887</v>
      </c>
      <c r="IK547" s="1006"/>
      <c r="IL547" s="996">
        <v>-0.86108000000000029</v>
      </c>
      <c r="IM547" s="1006"/>
      <c r="IN547" s="996">
        <v>0</v>
      </c>
      <c r="IO547" s="1006" t="s">
        <v>199</v>
      </c>
      <c r="IP547" s="996">
        <v>1.095159999999999</v>
      </c>
      <c r="IQ547" s="1006"/>
      <c r="IR547" s="996">
        <v>-0.61027999999999949</v>
      </c>
      <c r="IS547" s="1006"/>
      <c r="IT547" s="996">
        <v>-0.47651999999999983</v>
      </c>
      <c r="IU547" s="1006"/>
      <c r="IV547" s="996">
        <v>-0.59356000000000009</v>
      </c>
      <c r="IW547" s="1006"/>
      <c r="IX547" s="996">
        <v>0</v>
      </c>
      <c r="IY547" s="1006"/>
      <c r="IZ547" s="996">
        <v>0</v>
      </c>
      <c r="JA547" s="1006"/>
      <c r="JB547" s="996">
        <v>0</v>
      </c>
      <c r="JC547" s="1006"/>
      <c r="JD547" s="996">
        <v>0.95536407999999895</v>
      </c>
      <c r="JE547" s="1006"/>
      <c r="JF547" s="996">
        <v>0</v>
      </c>
      <c r="JG547" s="1006"/>
      <c r="JH547" s="996">
        <v>0</v>
      </c>
      <c r="JI547" s="1006" t="s">
        <v>199</v>
      </c>
      <c r="JJ547" s="996">
        <v>-2.5755320799999994</v>
      </c>
      <c r="JK547" s="1007"/>
      <c r="JL547" s="1007">
        <v>0</v>
      </c>
      <c r="JM547" s="1007"/>
      <c r="JN547" s="1007">
        <v>0</v>
      </c>
      <c r="JO547" s="1008"/>
      <c r="JP547" s="1007">
        <v>0</v>
      </c>
      <c r="JQ547" s="1008" t="s">
        <v>199</v>
      </c>
      <c r="JR547" s="1007">
        <v>-16.910173279999995</v>
      </c>
      <c r="JS547" s="1008" t="s">
        <v>203</v>
      </c>
      <c r="JT547" s="1007">
        <v>3.6574916399999999</v>
      </c>
      <c r="JU547" s="1008" t="s">
        <v>25</v>
      </c>
      <c r="JV547" s="1007">
        <v>21.560849639999997</v>
      </c>
      <c r="JW547" s="1008"/>
      <c r="JX547" s="1007"/>
      <c r="JY547" s="1008"/>
      <c r="JZ547" s="1007"/>
      <c r="KA547" s="1008"/>
      <c r="KB547" s="1007"/>
      <c r="KC547" s="1008"/>
      <c r="KD547" s="1007"/>
      <c r="KE547" s="1008"/>
      <c r="KF547" s="1007"/>
      <c r="KG547" s="1008"/>
      <c r="KH547" s="1007"/>
      <c r="KI547" s="1008"/>
      <c r="KJ547" s="1007"/>
      <c r="KK547" s="1008"/>
      <c r="KL547" s="1007"/>
      <c r="KM547" s="1008"/>
      <c r="KN547" s="1007"/>
      <c r="KO547" s="1008"/>
      <c r="KP547" s="1007"/>
      <c r="KQ547" s="1008"/>
      <c r="KR547" s="1007"/>
      <c r="KS547" s="1008"/>
      <c r="KT547" s="1007"/>
      <c r="KU547" s="1008"/>
      <c r="KV547" s="1007"/>
      <c r="KW547" s="1008"/>
      <c r="KX547" s="1007"/>
      <c r="KY547" s="1008"/>
      <c r="KZ547" s="1007"/>
      <c r="LA547" s="1008"/>
      <c r="LB547" s="1007"/>
      <c r="LC547" s="1008"/>
      <c r="LD547" s="1007"/>
      <c r="LE547" s="1008"/>
      <c r="LF547" s="1007"/>
      <c r="LG547" s="1008"/>
      <c r="LH547" s="1007"/>
      <c r="LI547" s="1008"/>
      <c r="LJ547" s="1007"/>
      <c r="LK547" s="1008"/>
      <c r="LL547" s="1007"/>
      <c r="LM547" s="1008"/>
      <c r="LN547" s="1007"/>
      <c r="LO547" s="1008"/>
      <c r="LP547" s="1007"/>
      <c r="LQ547" s="1008"/>
      <c r="LR547" s="1007"/>
      <c r="LS547" s="1008"/>
      <c r="LT547" s="1007"/>
      <c r="LU547" s="1008"/>
      <c r="LV547" s="1007"/>
      <c r="LW547" s="1008"/>
      <c r="LX547" s="1007"/>
      <c r="LY547" s="1009"/>
      <c r="LZ547" s="1010"/>
      <c r="MA547" s="1011"/>
      <c r="MB547" s="1012"/>
      <c r="MC547" s="995"/>
      <c r="MD547" s="996"/>
      <c r="ME547" s="997" t="s">
        <v>416</v>
      </c>
      <c r="MF547" s="997"/>
      <c r="MG547" s="998"/>
      <c r="NR547" s="1000"/>
      <c r="NS547" s="1000"/>
      <c r="NT547" s="1001"/>
      <c r="NU547" s="1000"/>
      <c r="NV547" s="1001"/>
      <c r="NX547" s="1002"/>
      <c r="NZ547" s="1001"/>
      <c r="OA547" s="1001"/>
      <c r="OC547" s="1003"/>
      <c r="OD547" s="1003"/>
      <c r="OE547" s="1001"/>
      <c r="OF547" s="1003"/>
      <c r="OG547" s="1003"/>
      <c r="QX547" s="1000">
        <f>CN547-CA547</f>
        <v>31</v>
      </c>
      <c r="ASU547" s="999" t="s">
        <v>225</v>
      </c>
    </row>
    <row r="548" spans="1:466 1191:1191" s="1026" customFormat="1" ht="21" customHeight="1" x14ac:dyDescent="0.25">
      <c r="A548" s="982">
        <f t="shared" si="441"/>
        <v>3254</v>
      </c>
      <c r="B548" s="124">
        <f>SUBTOTAL(103,$J$29:J548)</f>
        <v>520</v>
      </c>
      <c r="C548" s="126">
        <v>45096</v>
      </c>
      <c r="D548" s="124" t="s">
        <v>176</v>
      </c>
      <c r="E548" s="127" t="s">
        <v>177</v>
      </c>
      <c r="F548" s="128" t="s">
        <v>177</v>
      </c>
      <c r="G548" s="127" t="s">
        <v>178</v>
      </c>
      <c r="H548" s="127" t="s">
        <v>421</v>
      </c>
      <c r="I548" s="127" t="s">
        <v>560</v>
      </c>
      <c r="J548" s="152">
        <v>3254</v>
      </c>
      <c r="K548" s="127" t="s">
        <v>1228</v>
      </c>
      <c r="L548" s="130">
        <v>35309</v>
      </c>
      <c r="M548" s="127" t="s">
        <v>230</v>
      </c>
      <c r="N548" s="127" t="s">
        <v>465</v>
      </c>
      <c r="O548" s="127" t="s">
        <v>185</v>
      </c>
      <c r="P548" s="127" t="s">
        <v>225</v>
      </c>
      <c r="Q548" s="85" t="str">
        <f t="shared" si="423"/>
        <v/>
      </c>
      <c r="R548" s="130"/>
      <c r="S548" s="128"/>
      <c r="T548" s="131"/>
      <c r="U548" s="132">
        <v>203</v>
      </c>
      <c r="V548" s="121">
        <v>218.2</v>
      </c>
      <c r="W548" s="116">
        <v>0.98</v>
      </c>
      <c r="X548" s="116">
        <v>1.66</v>
      </c>
      <c r="Y548" s="116">
        <f t="shared" si="408"/>
        <v>1.2993610223642171</v>
      </c>
      <c r="Z548" s="133">
        <v>1.454</v>
      </c>
      <c r="AA548" s="133">
        <v>0.83599999999999997</v>
      </c>
      <c r="AB548" s="133">
        <v>0.72</v>
      </c>
      <c r="AC548" s="121">
        <v>34.299999999999997</v>
      </c>
      <c r="AD548" s="134">
        <v>1.17</v>
      </c>
      <c r="AE548" s="124">
        <v>177.8</v>
      </c>
      <c r="AF548" s="128">
        <v>9.19</v>
      </c>
      <c r="AG548" s="128">
        <v>2139.5</v>
      </c>
      <c r="AH548" s="127">
        <v>2843</v>
      </c>
      <c r="AI548" s="127">
        <v>2843</v>
      </c>
      <c r="AJ548" s="135"/>
      <c r="AK548" s="128"/>
      <c r="AL548" s="131"/>
      <c r="AM548" s="124" t="s">
        <v>187</v>
      </c>
      <c r="AN548" s="136" t="s">
        <v>1911</v>
      </c>
      <c r="AO548" s="137">
        <v>51.99</v>
      </c>
      <c r="AP548" s="128">
        <v>2239.83</v>
      </c>
      <c r="AQ548" s="128">
        <v>367</v>
      </c>
      <c r="AR548" s="128"/>
      <c r="AS548" s="128"/>
      <c r="AT548" s="122"/>
      <c r="AU548" s="124" t="s">
        <v>189</v>
      </c>
      <c r="AV548" s="115">
        <f>VLOOKUP(J548,'[63]ТР нефть'!$J$28:$BP$638,39,0)</f>
        <v>494.99999970699997</v>
      </c>
      <c r="AW548" s="115" t="str">
        <f>VLOOKUP(J548,'[63]ТР нефть'!$J$28:$BP$638,40,0)</f>
        <v>ГК 86 1/8</v>
      </c>
      <c r="AX548" s="115">
        <f>VLOOKUP(J548,'[63]ТР нефть'!$J$28:$BP$638,41,0)</f>
        <v>936.99999726600004</v>
      </c>
      <c r="AY548" s="115" t="str">
        <f>VLOOKUP(J548,'[63]ТР нефть'!$J$28:$BP$638,42,0)</f>
        <v>ГК 84 1/8</v>
      </c>
      <c r="AZ548" s="115">
        <f>VLOOKUP(J548,'[63]ТР нефть'!$J$28:$BP$638,43,0)</f>
        <v>1287.999967969</v>
      </c>
      <c r="BA548" s="115" t="str">
        <f>VLOOKUP(J548,'[63]ТР нефть'!$J$28:$BP$638,44,0)</f>
        <v>ГК 82 1/8</v>
      </c>
      <c r="BB548" s="115">
        <f>VLOOKUP(J548,'[63]ТР нефть'!$J$28:$BP$638,45,0)</f>
        <v>1554.0000292970001</v>
      </c>
      <c r="BC548" s="115" t="str">
        <f>VLOOKUP(J548,'[63]ТР нефть'!$J$28:$BP$638,46,0)</f>
        <v>ГК 81 5/32</v>
      </c>
      <c r="BD548" s="115">
        <f>VLOOKUP(J548,'[63]ТР нефть'!$J$28:$BP$638,47,0)</f>
        <v>1848.999994922</v>
      </c>
      <c r="BE548" s="115" t="str">
        <f>VLOOKUP(J548,'[63]ТР нефть'!$J$28:$BP$638,48,0)</f>
        <v>ЦКсОК 5/16</v>
      </c>
      <c r="BF548" s="115" t="str">
        <f>VLOOKUP(J548,'[63]ТР нефть'!$J$28:$BP$638,49,0)</f>
        <v>-</v>
      </c>
      <c r="BG548" s="115" t="str">
        <f>VLOOKUP(J548,'[63]ТР нефть'!$J$28:$BP$638,50,0)</f>
        <v>-</v>
      </c>
      <c r="BH548" s="115" t="str">
        <f>VLOOKUP(J548,'[63]ТР нефть'!$J$28:$BP$638,51,0)</f>
        <v>-</v>
      </c>
      <c r="BI548" s="115" t="str">
        <f>VLOOKUP(J548,'[63]ТР нефть'!$J$28:$BP$638,52,0)</f>
        <v>-</v>
      </c>
      <c r="BJ548" s="115" t="str">
        <f>IF(IFERROR(VLOOKUP(J548,'[63]ТР нефть'!$J$28:$BP$638,53,0),"-")=0,"-",IFERROR(VLOOKUP(J548,'[63]ТР нефть'!$J$28:$BP$638,53,0),"-"))</f>
        <v>-</v>
      </c>
      <c r="BK548" s="138" t="str">
        <f>IF(IFERROR(VLOOKUP(J548,'[63]ТР нефть'!$J$28:$BP$638,54,0),"-")=0,"-",IFERROR(VLOOKUP(J548,'[63]ТР нефть'!$J$28:$BP$638,54,0),"-"))</f>
        <v>-</v>
      </c>
      <c r="BL548" s="138" t="str">
        <f>IF(IFERROR(VLOOKUP(J548,'[63]ТР нефть'!$J$28:$BP$638,55,0),"-")=0,"-",IFERROR(VLOOKUP(J548,'[63]ТР нефть'!$J$28:$BP$638,55,0),"-"))</f>
        <v>-</v>
      </c>
      <c r="BM548" s="138" t="str">
        <f>IF(IFERROR(VLOOKUP(J548,'[63]ТР нефть'!$J$28:$BP$638,56,0),"-")=0,"-",IFERROR(VLOOKUP(J548,'[63]ТР нефть'!$J$28:$BP$638,56,0),"-"))</f>
        <v>-</v>
      </c>
      <c r="BN548" s="138" t="str">
        <f>IF(IFERROR(VLOOKUP(J548,'[63]ТР нефть'!$J$28:$BP$638,57,0),"-")=0,"-",IFERROR(VLOOKUP(J548,'[63]ТР нефть'!$J$28:$BP$638,57,0),"-"))</f>
        <v>-</v>
      </c>
      <c r="BO548" s="115" t="str">
        <f>IF(IFERROR(VLOOKUP(J548,'[63]ТР нефть'!$J$28:$BP$638,58,0),"-")=0,"-",IFERROR(VLOOKUP(J548,'[63]ТР нефть'!$J$28:$BP$638,58,0),"-"))</f>
        <v>-</v>
      </c>
      <c r="BP548" s="115" t="str">
        <f>IF(IFERROR(VLOOKUP(J548,'[63]ТР нефть'!$J$28:$BP$638,59,0),"-")=0,"-",IFERROR(VLOOKUP(J548,'[63]ТР нефть'!$J$28:$BP$638,59,0),"-"))</f>
        <v>-</v>
      </c>
      <c r="BQ548" s="138">
        <v>2186</v>
      </c>
      <c r="BR548" s="128">
        <f>1722.79+131</f>
        <v>1853.79</v>
      </c>
      <c r="BS548" s="115">
        <f t="shared" si="437"/>
        <v>332.21000000000004</v>
      </c>
      <c r="BT548" s="128">
        <v>73</v>
      </c>
      <c r="BU548" s="128">
        <v>5.5</v>
      </c>
      <c r="BV548" s="127">
        <v>18</v>
      </c>
      <c r="BW548" s="127" t="s">
        <v>234</v>
      </c>
      <c r="BX548" s="127" t="s">
        <v>218</v>
      </c>
      <c r="BY548" s="139">
        <v>24</v>
      </c>
      <c r="BZ548" s="139">
        <v>24</v>
      </c>
      <c r="CA548" s="138">
        <v>31</v>
      </c>
      <c r="CB548" s="138">
        <v>74</v>
      </c>
      <c r="CC548" s="138">
        <v>30</v>
      </c>
      <c r="CD548" s="135">
        <v>45017</v>
      </c>
      <c r="CE548" s="138">
        <v>153</v>
      </c>
      <c r="CF548" s="138">
        <v>84</v>
      </c>
      <c r="CG548" s="138"/>
      <c r="CH548" s="138"/>
      <c r="CI548" s="138"/>
      <c r="CJ548" s="138"/>
      <c r="CK548" s="138"/>
      <c r="CL548" s="99"/>
      <c r="CM548" s="99"/>
      <c r="CN548" s="140">
        <v>121</v>
      </c>
      <c r="CO548" s="141">
        <f t="shared" si="442"/>
        <v>1.7221599999999999</v>
      </c>
      <c r="CP548" s="142">
        <f>10.3/2</f>
        <v>5.15</v>
      </c>
      <c r="CQ548" s="143">
        <v>60</v>
      </c>
      <c r="CR548" s="138">
        <v>8.4</v>
      </c>
      <c r="CS548" s="139">
        <v>4.8</v>
      </c>
      <c r="CT548" s="138"/>
      <c r="CU548" s="138">
        <f t="shared" si="418"/>
        <v>3.6000000000000005</v>
      </c>
      <c r="CV548" s="115">
        <f t="shared" si="419"/>
        <v>2090.3981047057187</v>
      </c>
      <c r="CW548" s="115">
        <f t="shared" si="443"/>
        <v>905.59544787354878</v>
      </c>
      <c r="CX548" s="133">
        <f t="shared" si="420"/>
        <v>0.16093750000000001</v>
      </c>
      <c r="CY548" s="116"/>
      <c r="CZ548" s="131"/>
      <c r="DA548" s="145" t="str">
        <f t="shared" si="444"/>
        <v>Газлифт</v>
      </c>
      <c r="DB548" s="146">
        <f t="shared" si="455"/>
        <v>1.7221599999999999</v>
      </c>
      <c r="DC548" s="142">
        <f t="shared" si="402"/>
        <v>5.15</v>
      </c>
      <c r="DD548" s="119">
        <f t="shared" si="416"/>
        <v>60</v>
      </c>
      <c r="DE548" s="115">
        <f t="shared" si="456"/>
        <v>3.6000000000000005</v>
      </c>
      <c r="DF548" s="121">
        <f t="shared" si="445"/>
        <v>4.8</v>
      </c>
      <c r="DG548" s="115">
        <f t="shared" si="446"/>
        <v>2090.3981047057187</v>
      </c>
      <c r="DH548" s="115">
        <f t="shared" si="447"/>
        <v>121</v>
      </c>
      <c r="DI548" s="147"/>
      <c r="DJ548" s="111"/>
      <c r="DK548" s="112">
        <v>43999</v>
      </c>
      <c r="DL548" s="113">
        <f t="shared" ca="1" si="424"/>
        <v>1105</v>
      </c>
      <c r="DM548" s="114"/>
      <c r="DN548" s="114"/>
      <c r="DO548" s="114"/>
      <c r="DP548" s="114"/>
      <c r="DQ548" s="112"/>
      <c r="DR548" s="114"/>
      <c r="DS548" s="114"/>
      <c r="DT548" s="115">
        <v>60</v>
      </c>
      <c r="DU548" s="116">
        <f t="shared" si="425"/>
        <v>0.12949734787830264</v>
      </c>
      <c r="DV548" s="117">
        <f t="shared" si="428"/>
        <v>4.0272639211369103</v>
      </c>
      <c r="DW548" s="118">
        <f t="shared" si="429"/>
        <v>12.043253352682147</v>
      </c>
      <c r="DX548" s="119">
        <f t="shared" si="430"/>
        <v>60</v>
      </c>
      <c r="DY548" s="115">
        <f t="shared" si="431"/>
        <v>8.4185848678943191</v>
      </c>
      <c r="DZ548" s="117">
        <f t="shared" si="440"/>
        <v>2.3051039211369106</v>
      </c>
      <c r="EA548" s="120">
        <f t="shared" si="440"/>
        <v>6.8932533526821462</v>
      </c>
      <c r="EB548" s="119">
        <f t="shared" si="440"/>
        <v>0</v>
      </c>
      <c r="EC548" s="121">
        <f t="shared" si="415"/>
        <v>4.8185848678943186</v>
      </c>
      <c r="ED548" s="122"/>
      <c r="EE548" s="145">
        <v>18</v>
      </c>
      <c r="EF548" s="115">
        <v>31</v>
      </c>
      <c r="EG548" s="115">
        <v>74</v>
      </c>
      <c r="EH548" s="115">
        <v>30</v>
      </c>
      <c r="EI548" s="128" t="s">
        <v>218</v>
      </c>
      <c r="EJ548" s="121">
        <v>24</v>
      </c>
      <c r="EK548" s="121">
        <v>24</v>
      </c>
      <c r="EL548" s="219">
        <v>1.7221599999999999</v>
      </c>
      <c r="EM548" s="142">
        <v>5.15</v>
      </c>
      <c r="EN548" s="119">
        <v>60</v>
      </c>
      <c r="EO548" s="115">
        <v>8.4</v>
      </c>
      <c r="EP548" s="115">
        <v>2090.3981047057187</v>
      </c>
      <c r="EQ548" s="115">
        <v>84</v>
      </c>
      <c r="ER548" s="115">
        <v>4.8</v>
      </c>
      <c r="ES548" s="115">
        <v>121</v>
      </c>
      <c r="ET548" s="150">
        <v>0.16093750000000001</v>
      </c>
      <c r="EU548" s="145">
        <f t="shared" si="457"/>
        <v>18</v>
      </c>
      <c r="EV548" s="115">
        <f t="shared" si="448"/>
        <v>31</v>
      </c>
      <c r="EW548" s="115">
        <f t="shared" si="448"/>
        <v>74</v>
      </c>
      <c r="EX548" s="115">
        <f t="shared" si="448"/>
        <v>30</v>
      </c>
      <c r="EY548" s="115" t="str">
        <f t="shared" si="434"/>
        <v>Периодический</v>
      </c>
      <c r="EZ548" s="115">
        <f t="shared" si="434"/>
        <v>24</v>
      </c>
      <c r="FA548" s="115">
        <f t="shared" si="434"/>
        <v>24</v>
      </c>
      <c r="FB548" s="149">
        <f t="shared" si="405"/>
        <v>1.7221599999999999</v>
      </c>
      <c r="FC548" s="142">
        <f t="shared" si="405"/>
        <v>5.15</v>
      </c>
      <c r="FD548" s="119">
        <f t="shared" si="405"/>
        <v>60</v>
      </c>
      <c r="FE548" s="121">
        <f t="shared" si="405"/>
        <v>8.4</v>
      </c>
      <c r="FF548" s="121">
        <f t="shared" si="407"/>
        <v>2090.3981047057187</v>
      </c>
      <c r="FG548" s="121">
        <f t="shared" si="449"/>
        <v>84</v>
      </c>
      <c r="FH548" s="121">
        <f t="shared" si="436"/>
        <v>4.8</v>
      </c>
      <c r="FI548" s="121">
        <f t="shared" si="427"/>
        <v>121</v>
      </c>
      <c r="FJ548" s="144">
        <f t="shared" si="450"/>
        <v>0.16093750000000001</v>
      </c>
      <c r="FK548" s="132">
        <f t="shared" si="451"/>
        <v>0</v>
      </c>
      <c r="FL548" s="115">
        <f t="shared" si="451"/>
        <v>0</v>
      </c>
      <c r="FM548" s="115">
        <f t="shared" si="451"/>
        <v>0</v>
      </c>
      <c r="FN548" s="115">
        <f t="shared" si="451"/>
        <v>0</v>
      </c>
      <c r="FO548" s="115">
        <f t="shared" si="439"/>
        <v>0</v>
      </c>
      <c r="FP548" s="115">
        <f t="shared" si="439"/>
        <v>0</v>
      </c>
      <c r="FQ548" s="149">
        <f t="shared" si="439"/>
        <v>0</v>
      </c>
      <c r="FR548" s="142">
        <f t="shared" si="439"/>
        <v>0</v>
      </c>
      <c r="FS548" s="119">
        <f t="shared" si="439"/>
        <v>0</v>
      </c>
      <c r="FT548" s="121">
        <f t="shared" si="438"/>
        <v>0</v>
      </c>
      <c r="FU548" s="121">
        <f t="shared" si="452"/>
        <v>0</v>
      </c>
      <c r="FV548" s="121">
        <f t="shared" si="452"/>
        <v>0</v>
      </c>
      <c r="FW548" s="139">
        <f t="shared" si="453"/>
        <v>0</v>
      </c>
      <c r="FX548" s="121">
        <f t="shared" si="454"/>
        <v>0</v>
      </c>
      <c r="FY548" s="144">
        <f t="shared" si="454"/>
        <v>0</v>
      </c>
      <c r="FZ548" s="145"/>
      <c r="GA548" s="151" t="s">
        <v>283</v>
      </c>
      <c r="GB548" s="145"/>
      <c r="GC548" s="151" t="s">
        <v>1912</v>
      </c>
      <c r="GD548" s="997" t="s">
        <v>238</v>
      </c>
      <c r="GE548" s="1004"/>
      <c r="GF548" s="1004">
        <v>-0.59489760000000014</v>
      </c>
      <c r="GG548" s="1004"/>
      <c r="GH548" s="1004">
        <v>0</v>
      </c>
      <c r="GI548" s="145"/>
      <c r="GJ548" s="996">
        <v>0</v>
      </c>
      <c r="GK548" s="145"/>
      <c r="GL548" s="996">
        <v>-2.2829423999999996</v>
      </c>
      <c r="GM548" s="1005"/>
      <c r="GN548" s="996">
        <v>-0.4</v>
      </c>
      <c r="GO548" s="1006" t="s">
        <v>308</v>
      </c>
      <c r="GP548" s="996">
        <v>-0.60000000000000053</v>
      </c>
      <c r="GQ548" s="1006"/>
      <c r="GR548" s="996">
        <v>-4.3668292800000001</v>
      </c>
      <c r="GS548" s="1006"/>
      <c r="GT548" s="996">
        <v>0</v>
      </c>
      <c r="GU548" s="1006"/>
      <c r="GV548" s="996">
        <v>0</v>
      </c>
      <c r="GW548" s="1006"/>
      <c r="GX548" s="997">
        <v>0.52791728000000049</v>
      </c>
      <c r="GY548" s="1006"/>
      <c r="GZ548" s="996">
        <v>4.6815999999999303E-2</v>
      </c>
      <c r="HA548" s="1006"/>
      <c r="HB548" s="996">
        <v>0</v>
      </c>
      <c r="HC548" s="1006"/>
      <c r="HD548" s="996">
        <v>0</v>
      </c>
      <c r="HE548" s="1006"/>
      <c r="HF548" s="996">
        <v>0</v>
      </c>
      <c r="HG548" s="1006" t="s">
        <v>204</v>
      </c>
      <c r="HH548" s="996">
        <v>-3.2680821711999992</v>
      </c>
      <c r="HI548" s="1006"/>
      <c r="HJ548" s="996">
        <v>0</v>
      </c>
      <c r="HK548" s="1006"/>
      <c r="HL548" s="996">
        <v>0</v>
      </c>
      <c r="HM548" s="1006" t="s">
        <v>204</v>
      </c>
      <c r="HN548" s="996">
        <v>3.114258171199999</v>
      </c>
      <c r="HO548" s="1006"/>
      <c r="HP548" s="996">
        <v>0</v>
      </c>
      <c r="HQ548" s="1006"/>
      <c r="HR548" s="996">
        <v>0.90288000000000057</v>
      </c>
      <c r="HS548" s="1006"/>
      <c r="HT548" s="996">
        <v>0</v>
      </c>
      <c r="HU548" s="1006" t="s">
        <v>199</v>
      </c>
      <c r="HV548" s="996">
        <v>-1.8057600000000007</v>
      </c>
      <c r="HW548" s="1006" t="s">
        <v>199</v>
      </c>
      <c r="HX548" s="996">
        <v>3.0121748800000003</v>
      </c>
      <c r="HY548" s="1006"/>
      <c r="HZ548" s="996">
        <v>0.50089776000000041</v>
      </c>
      <c r="IA548" s="1006" t="s">
        <v>199</v>
      </c>
      <c r="IB548" s="996">
        <v>-5.8538726399999996</v>
      </c>
      <c r="IC548" s="1006"/>
      <c r="ID548" s="996">
        <v>0</v>
      </c>
      <c r="IE548" s="1006"/>
      <c r="IF548" s="996">
        <v>0</v>
      </c>
      <c r="IG548" s="1006" t="s">
        <v>204</v>
      </c>
      <c r="IH548" s="996">
        <v>0.81192319999999985</v>
      </c>
      <c r="II548" s="1006"/>
      <c r="IJ548" s="996">
        <v>0.23307680000000008</v>
      </c>
      <c r="IK548" s="1006"/>
      <c r="IL548" s="996">
        <v>0</v>
      </c>
      <c r="IM548" s="1006" t="s">
        <v>1913</v>
      </c>
      <c r="IN548" s="996">
        <v>-8.985431664</v>
      </c>
      <c r="IO548" s="1006"/>
      <c r="IP548" s="996">
        <v>0</v>
      </c>
      <c r="IQ548" s="1006"/>
      <c r="IR548" s="996">
        <v>0.2408716639999966</v>
      </c>
      <c r="IS548" s="1006"/>
      <c r="IT548" s="996">
        <v>-1.0282799999999988</v>
      </c>
      <c r="IU548" s="1006" t="s">
        <v>435</v>
      </c>
      <c r="IV548" s="996">
        <v>-7.372650559999995</v>
      </c>
      <c r="IW548" s="1006"/>
      <c r="IX548" s="996">
        <v>23.290090559999996</v>
      </c>
      <c r="IY548" s="1006"/>
      <c r="IZ548" s="996"/>
      <c r="JA548" s="1006"/>
      <c r="JB548" s="996"/>
      <c r="JC548" s="1006"/>
      <c r="JD548" s="996"/>
      <c r="JE548" s="1006"/>
      <c r="JF548" s="996"/>
      <c r="JG548" s="1006"/>
      <c r="JH548" s="996"/>
      <c r="JI548" s="1006"/>
      <c r="JJ548" s="996"/>
      <c r="JK548" s="1007"/>
      <c r="JL548" s="1007"/>
      <c r="JM548" s="1007"/>
      <c r="JN548" s="1007"/>
      <c r="JO548" s="1008"/>
      <c r="JP548" s="1007"/>
      <c r="JQ548" s="1008"/>
      <c r="JR548" s="1007"/>
      <c r="JS548" s="1008"/>
      <c r="JT548" s="1007"/>
      <c r="JU548" s="1008"/>
      <c r="JV548" s="1007"/>
      <c r="JW548" s="1008"/>
      <c r="JX548" s="1007"/>
      <c r="JY548" s="1008"/>
      <c r="JZ548" s="1007"/>
      <c r="KA548" s="1008"/>
      <c r="KB548" s="1007"/>
      <c r="KC548" s="1008"/>
      <c r="KD548" s="1007"/>
      <c r="KE548" s="1008"/>
      <c r="KF548" s="1007"/>
      <c r="KG548" s="1008"/>
      <c r="KH548" s="1007"/>
      <c r="KI548" s="1008"/>
      <c r="KJ548" s="1007"/>
      <c r="KK548" s="1008"/>
      <c r="KL548" s="1007"/>
      <c r="KM548" s="1008"/>
      <c r="KN548" s="1007"/>
      <c r="KO548" s="1008"/>
      <c r="KP548" s="1007"/>
      <c r="KQ548" s="1008"/>
      <c r="KR548" s="1007"/>
      <c r="KS548" s="1008"/>
      <c r="KT548" s="1007"/>
      <c r="KU548" s="1008"/>
      <c r="KV548" s="1007"/>
      <c r="KW548" s="1008"/>
      <c r="KX548" s="1007"/>
      <c r="KY548" s="1008"/>
      <c r="KZ548" s="1007"/>
      <c r="LA548" s="1008"/>
      <c r="LB548" s="1007"/>
      <c r="LC548" s="1008"/>
      <c r="LD548" s="1007"/>
      <c r="LE548" s="1008"/>
      <c r="LF548" s="1007"/>
      <c r="LG548" s="1008"/>
      <c r="LH548" s="1007"/>
      <c r="LI548" s="1008"/>
      <c r="LJ548" s="1007"/>
      <c r="LK548" s="1008"/>
      <c r="LL548" s="1007"/>
      <c r="LM548" s="1008"/>
      <c r="LN548" s="1007"/>
      <c r="LO548" s="1008"/>
      <c r="LP548" s="1007"/>
      <c r="LQ548" s="1008"/>
      <c r="LR548" s="1007"/>
      <c r="LS548" s="1008"/>
      <c r="LT548" s="1007"/>
      <c r="LU548" s="1008"/>
      <c r="LV548" s="1007"/>
      <c r="LW548" s="1008"/>
      <c r="LX548" s="1007"/>
      <c r="LY548" s="1009"/>
      <c r="LZ548" s="1010"/>
      <c r="MA548" s="1011"/>
      <c r="MB548" s="1012"/>
      <c r="MC548" s="995"/>
      <c r="MD548" s="996"/>
      <c r="ME548" s="997" t="s">
        <v>238</v>
      </c>
      <c r="MF548" s="997"/>
      <c r="MG548" s="998"/>
      <c r="MH548" s="878"/>
      <c r="MI548" s="878"/>
      <c r="MJ548" s="878"/>
      <c r="MK548" s="878"/>
      <c r="ML548" s="878"/>
      <c r="MM548" s="878"/>
      <c r="MN548" s="878"/>
      <c r="MO548" s="878"/>
      <c r="MP548" s="878"/>
      <c r="MQ548" s="878"/>
      <c r="MR548" s="878"/>
      <c r="MS548" s="878"/>
      <c r="MT548" s="878"/>
      <c r="MU548" s="878"/>
      <c r="MV548" s="878"/>
      <c r="MW548" s="878"/>
      <c r="MX548" s="878"/>
      <c r="MY548" s="878"/>
      <c r="MZ548" s="878"/>
      <c r="NA548" s="878"/>
      <c r="NB548" s="878"/>
      <c r="NC548" s="878"/>
      <c r="ND548" s="878"/>
      <c r="NE548" s="878"/>
      <c r="NF548" s="878"/>
      <c r="NG548" s="878"/>
      <c r="NH548" s="878"/>
      <c r="NI548" s="878"/>
      <c r="NJ548" s="878"/>
      <c r="NK548" s="878"/>
      <c r="NL548" s="878"/>
      <c r="NM548" s="878"/>
      <c r="NR548" s="1027"/>
      <c r="NS548" s="1027"/>
      <c r="NT548" s="1028"/>
      <c r="NU548" s="1027"/>
      <c r="NV548" s="1028"/>
      <c r="NW548" s="1029"/>
      <c r="NX548" s="1030"/>
      <c r="NY548" s="1029"/>
      <c r="NZ548" s="1028"/>
      <c r="OA548" s="1028"/>
      <c r="OB548" s="1029"/>
      <c r="OC548" s="1031"/>
      <c r="OD548" s="1031"/>
      <c r="OE548" s="1028"/>
      <c r="OF548" s="1031"/>
      <c r="OG548" s="1031"/>
      <c r="QX548" s="1000">
        <f>CN548-CA548</f>
        <v>90</v>
      </c>
      <c r="ASU548" s="1026" t="s">
        <v>208</v>
      </c>
    </row>
    <row r="549" spans="1:466 1191:1191" s="1026" customFormat="1" ht="21.75" customHeight="1" x14ac:dyDescent="0.25">
      <c r="A549" s="982">
        <f t="shared" si="441"/>
        <v>3255</v>
      </c>
      <c r="B549" s="124">
        <f>SUBTOTAL(103,$J$29:J549)</f>
        <v>521</v>
      </c>
      <c r="C549" s="126">
        <v>45096</v>
      </c>
      <c r="D549" s="124" t="s">
        <v>176</v>
      </c>
      <c r="E549" s="127" t="s">
        <v>177</v>
      </c>
      <c r="F549" s="128" t="s">
        <v>177</v>
      </c>
      <c r="G549" s="127" t="s">
        <v>178</v>
      </c>
      <c r="H549" s="127" t="s">
        <v>421</v>
      </c>
      <c r="I549" s="127" t="s">
        <v>1270</v>
      </c>
      <c r="J549" s="152">
        <v>3255</v>
      </c>
      <c r="K549" s="127" t="s">
        <v>1270</v>
      </c>
      <c r="L549" s="130">
        <v>35310</v>
      </c>
      <c r="M549" s="127" t="s">
        <v>230</v>
      </c>
      <c r="N549" s="127" t="s">
        <v>245</v>
      </c>
      <c r="O549" s="127" t="s">
        <v>185</v>
      </c>
      <c r="P549" s="127" t="s">
        <v>208</v>
      </c>
      <c r="Q549" s="85" t="str">
        <f t="shared" si="423"/>
        <v/>
      </c>
      <c r="R549" s="130"/>
      <c r="S549" s="128"/>
      <c r="T549" s="131"/>
      <c r="U549" s="132">
        <v>203</v>
      </c>
      <c r="V549" s="121">
        <v>218.2</v>
      </c>
      <c r="W549" s="116">
        <v>0.98</v>
      </c>
      <c r="X549" s="116">
        <v>1.66</v>
      </c>
      <c r="Y549" s="116">
        <f t="shared" si="408"/>
        <v>0.98</v>
      </c>
      <c r="Z549" s="133">
        <v>1.454</v>
      </c>
      <c r="AA549" s="133">
        <v>0.83599999999999997</v>
      </c>
      <c r="AB549" s="133">
        <v>0.72</v>
      </c>
      <c r="AC549" s="121">
        <v>34.299999999999997</v>
      </c>
      <c r="AD549" s="134">
        <v>1.17</v>
      </c>
      <c r="AE549" s="124">
        <v>177.8</v>
      </c>
      <c r="AF549" s="128">
        <v>9.19</v>
      </c>
      <c r="AG549" s="128">
        <v>2320.6999999999998</v>
      </c>
      <c r="AH549" s="127">
        <v>2962</v>
      </c>
      <c r="AI549" s="127">
        <v>2962</v>
      </c>
      <c r="AJ549" s="135"/>
      <c r="AK549" s="128"/>
      <c r="AL549" s="131"/>
      <c r="AM549" s="124" t="s">
        <v>232</v>
      </c>
      <c r="AN549" s="136" t="s">
        <v>1914</v>
      </c>
      <c r="AO549" s="137">
        <v>25.14</v>
      </c>
      <c r="AP549" s="128">
        <v>2269</v>
      </c>
      <c r="AQ549" s="128">
        <v>380.55</v>
      </c>
      <c r="AR549" s="128"/>
      <c r="AS549" s="128"/>
      <c r="AT549" s="122"/>
      <c r="AU549" s="124" t="s">
        <v>189</v>
      </c>
      <c r="AV549" s="115">
        <f>VLOOKUP(J549,'[63]ТР нефть'!$J$28:$BP$638,39,0)</f>
        <v>515.00000683600001</v>
      </c>
      <c r="AW549" s="115" t="str">
        <f>VLOOKUP(J549,'[63]ТР нефть'!$J$28:$BP$638,40,0)</f>
        <v>ГП</v>
      </c>
      <c r="AX549" s="115">
        <f>VLOOKUP(J549,'[63]ТР нефть'!$J$28:$BP$638,41,0)</f>
        <v>940.00000019499998</v>
      </c>
      <c r="AY549" s="115" t="str">
        <f>VLOOKUP(J549,'[63]ТР нефть'!$J$28:$BP$638,42,0)</f>
        <v>ГП</v>
      </c>
      <c r="AZ549" s="115">
        <f>VLOOKUP(J549,'[63]ТР нефть'!$J$28:$BP$638,43,0)</f>
        <v>1355.0000085940001</v>
      </c>
      <c r="BA549" s="115" t="str">
        <f>VLOOKUP(J549,'[63]ТР нефть'!$J$28:$BP$638,44,0)</f>
        <v>ГК 88 1/8</v>
      </c>
      <c r="BB549" s="115">
        <f>VLOOKUP(J549,'[63]ТР нефть'!$J$28:$BP$638,45,0)</f>
        <v>1715.0000625</v>
      </c>
      <c r="BC549" s="115" t="str">
        <f>VLOOKUP(J549,'[63]ТР нефть'!$J$28:$BP$638,46,0)</f>
        <v>ГК 88 5/32</v>
      </c>
      <c r="BD549" s="115">
        <f>VLOOKUP(J549,'[63]ТР нефть'!$J$28:$BP$638,47,0)</f>
        <v>2079.0000210940002</v>
      </c>
      <c r="BE549" s="115" t="str">
        <f>VLOOKUP(J549,'[63]ТР нефть'!$J$28:$BP$638,48,0)</f>
        <v>ЦКсОК 5/16</v>
      </c>
      <c r="BF549" s="115" t="str">
        <f>VLOOKUP(J549,'[63]ТР нефть'!$J$28:$BP$638,49,0)</f>
        <v>-</v>
      </c>
      <c r="BG549" s="115" t="str">
        <f>VLOOKUP(J549,'[63]ТР нефть'!$J$28:$BP$638,50,0)</f>
        <v>-</v>
      </c>
      <c r="BH549" s="115">
        <f>VLOOKUP(J549,'[63]ТР нефть'!$J$28:$BP$638,51,0)</f>
        <v>2089</v>
      </c>
      <c r="BI549" s="115" t="str">
        <f>VLOOKUP(J549,'[63]ТР нефть'!$J$28:$BP$638,52,0)</f>
        <v>закрыт</v>
      </c>
      <c r="BJ549" s="115" t="str">
        <f>IF(IFERROR(VLOOKUP(J549,'[63]ТР нефть'!$J$28:$BP$638,53,0),"-")=0,"-",IFERROR(VLOOKUP(J549,'[63]ТР нефть'!$J$28:$BP$638,53,0),"-"))</f>
        <v>-</v>
      </c>
      <c r="BK549" s="138" t="str">
        <f>IF(IFERROR(VLOOKUP(J549,'[63]ТР нефть'!$J$28:$BP$638,54,0),"-")=0,"-",IFERROR(VLOOKUP(J549,'[63]ТР нефть'!$J$28:$BP$638,54,0),"-"))</f>
        <v>-</v>
      </c>
      <c r="BL549" s="138" t="str">
        <f>IF(IFERROR(VLOOKUP(J549,'[63]ТР нефть'!$J$28:$BP$638,55,0),"-")=0,"-",IFERROR(VLOOKUP(J549,'[63]ТР нефть'!$J$28:$BP$638,55,0),"-"))</f>
        <v>-</v>
      </c>
      <c r="BM549" s="138" t="str">
        <f>IF(IFERROR(VLOOKUP(J549,'[63]ТР нефть'!$J$28:$BP$638,56,0),"-")=0,"-",IFERROR(VLOOKUP(J549,'[63]ТР нефть'!$J$28:$BP$638,56,0),"-"))</f>
        <v>-</v>
      </c>
      <c r="BN549" s="138" t="str">
        <f>IF(IFERROR(VLOOKUP(J549,'[63]ТР нефть'!$J$28:$BP$638,57,0),"-")=0,"-",IFERROR(VLOOKUP(J549,'[63]ТР нефть'!$J$28:$BP$638,57,0),"-"))</f>
        <v>-</v>
      </c>
      <c r="BO549" s="115" t="str">
        <f>IF(IFERROR(VLOOKUP(J549,'[63]ТР нефть'!$J$28:$BP$638,58,0),"-")=0,"-",IFERROR(VLOOKUP(J549,'[63]ТР нефть'!$J$28:$BP$638,58,0),"-"))</f>
        <v>-</v>
      </c>
      <c r="BP549" s="115" t="str">
        <f>IF(IFERROR(VLOOKUP(J549,'[63]ТР нефть'!$J$28:$BP$638,59,0),"-")=0,"-",IFERROR(VLOOKUP(J549,'[63]ТР нефть'!$J$28:$BP$638,59,0),"-"))</f>
        <v>-</v>
      </c>
      <c r="BQ549" s="138">
        <v>2387</v>
      </c>
      <c r="BR549" s="128">
        <v>1941.35</v>
      </c>
      <c r="BS549" s="115">
        <f t="shared" si="437"/>
        <v>445.65000000000009</v>
      </c>
      <c r="BT549" s="128">
        <v>73</v>
      </c>
      <c r="BU549" s="128">
        <v>5.5</v>
      </c>
      <c r="BV549" s="127">
        <v>18</v>
      </c>
      <c r="BW549" s="127" t="s">
        <v>234</v>
      </c>
      <c r="BX549" s="127" t="s">
        <v>195</v>
      </c>
      <c r="BY549" s="139">
        <v>24</v>
      </c>
      <c r="BZ549" s="139">
        <v>0</v>
      </c>
      <c r="CA549" s="115">
        <v>20</v>
      </c>
      <c r="CB549" s="115">
        <v>35</v>
      </c>
      <c r="CC549" s="115">
        <v>19</v>
      </c>
      <c r="CD549" s="135">
        <v>45017</v>
      </c>
      <c r="CE549" s="138">
        <v>73.599999999999994</v>
      </c>
      <c r="CF549" s="138">
        <v>80</v>
      </c>
      <c r="CG549" s="138" t="str">
        <f t="shared" ref="CG549:CG567" si="458">IF(CH549&lt;&gt;"","В работе","")</f>
        <v>В работе</v>
      </c>
      <c r="CH549" s="138" t="s">
        <v>235</v>
      </c>
      <c r="CI549" s="138">
        <v>6</v>
      </c>
      <c r="CJ549" s="139"/>
      <c r="CK549" s="138"/>
      <c r="CL549" s="99"/>
      <c r="CM549" s="99"/>
      <c r="CN549" s="204">
        <v>37</v>
      </c>
      <c r="CO549" s="141">
        <f t="shared" si="442"/>
        <v>5.3504000000000005</v>
      </c>
      <c r="CP549" s="142">
        <v>6.4</v>
      </c>
      <c r="CQ549" s="119">
        <v>0</v>
      </c>
      <c r="CR549" s="115">
        <v>13.7</v>
      </c>
      <c r="CS549" s="138">
        <v>8.5</v>
      </c>
      <c r="CT549" s="138"/>
      <c r="CU549" s="138">
        <f t="shared" si="418"/>
        <v>5.1999999999999993</v>
      </c>
      <c r="CV549" s="115">
        <f t="shared" si="419"/>
        <v>971.88995215310979</v>
      </c>
      <c r="CW549" s="115">
        <f t="shared" si="443"/>
        <v>1588.6662679425838</v>
      </c>
      <c r="CX549" s="133">
        <f t="shared" si="420"/>
        <v>0.1748633879781421</v>
      </c>
      <c r="CY549" s="116"/>
      <c r="CZ549" s="131"/>
      <c r="DA549" s="145" t="str">
        <f t="shared" si="444"/>
        <v>Газлифт</v>
      </c>
      <c r="DB549" s="146">
        <f t="shared" si="455"/>
        <v>5.3504000000000005</v>
      </c>
      <c r="DC549" s="142">
        <f t="shared" si="402"/>
        <v>6.4</v>
      </c>
      <c r="DD549" s="119">
        <f t="shared" si="416"/>
        <v>0</v>
      </c>
      <c r="DE549" s="115">
        <f t="shared" si="456"/>
        <v>5.1999999999999993</v>
      </c>
      <c r="DF549" s="121">
        <f t="shared" si="445"/>
        <v>8.5</v>
      </c>
      <c r="DG549" s="115">
        <f t="shared" si="446"/>
        <v>971.88995215310979</v>
      </c>
      <c r="DH549" s="115">
        <f t="shared" si="447"/>
        <v>37</v>
      </c>
      <c r="DI549" s="147"/>
      <c r="DJ549" s="111">
        <v>43633</v>
      </c>
      <c r="DK549" s="112">
        <v>43394</v>
      </c>
      <c r="DL549" s="113">
        <f t="shared" ca="1" si="424"/>
        <v>1710</v>
      </c>
      <c r="DM549" s="114"/>
      <c r="DN549" s="114"/>
      <c r="DO549" s="114"/>
      <c r="DP549" s="114"/>
      <c r="DQ549" s="112">
        <v>43638</v>
      </c>
      <c r="DR549" s="114" t="s">
        <v>198</v>
      </c>
      <c r="DS549" s="114"/>
      <c r="DT549" s="115">
        <v>50</v>
      </c>
      <c r="DU549" s="116">
        <f t="shared" si="425"/>
        <v>0.27118644067796616</v>
      </c>
      <c r="DV549" s="117">
        <f t="shared" si="428"/>
        <v>5.3504000000000005</v>
      </c>
      <c r="DW549" s="118">
        <f t="shared" si="429"/>
        <v>6.4</v>
      </c>
      <c r="DX549" s="119">
        <f t="shared" si="430"/>
        <v>0</v>
      </c>
      <c r="DY549" s="115">
        <f t="shared" si="431"/>
        <v>5.1999999999999993</v>
      </c>
      <c r="DZ549" s="117">
        <f t="shared" si="440"/>
        <v>0</v>
      </c>
      <c r="EA549" s="120">
        <f t="shared" si="440"/>
        <v>0</v>
      </c>
      <c r="EB549" s="119">
        <f t="shared" si="440"/>
        <v>0</v>
      </c>
      <c r="EC549" s="121">
        <f t="shared" si="415"/>
        <v>0</v>
      </c>
      <c r="ED549" s="122"/>
      <c r="EE549" s="145">
        <v>18</v>
      </c>
      <c r="EF549" s="115">
        <v>19</v>
      </c>
      <c r="EG549" s="115">
        <v>43</v>
      </c>
      <c r="EH549" s="115">
        <v>18</v>
      </c>
      <c r="EI549" s="128" t="s">
        <v>195</v>
      </c>
      <c r="EJ549" s="121">
        <v>24</v>
      </c>
      <c r="EK549" s="121">
        <v>0</v>
      </c>
      <c r="EL549" s="149">
        <v>5.6063413999999989</v>
      </c>
      <c r="EM549" s="142">
        <v>6.85</v>
      </c>
      <c r="EN549" s="119">
        <v>2.1</v>
      </c>
      <c r="EO549" s="115">
        <v>13.7</v>
      </c>
      <c r="EP549" s="115">
        <v>766.98861043317834</v>
      </c>
      <c r="EQ549" s="115">
        <v>80</v>
      </c>
      <c r="ER549" s="115">
        <v>9.4</v>
      </c>
      <c r="ES549" s="115">
        <v>37</v>
      </c>
      <c r="ET549" s="150">
        <v>0.1871584699453552</v>
      </c>
      <c r="EU549" s="145">
        <f t="shared" si="457"/>
        <v>18</v>
      </c>
      <c r="EV549" s="115">
        <f t="shared" si="448"/>
        <v>20</v>
      </c>
      <c r="EW549" s="115">
        <f t="shared" si="448"/>
        <v>35</v>
      </c>
      <c r="EX549" s="115">
        <f t="shared" si="448"/>
        <v>19</v>
      </c>
      <c r="EY549" s="115" t="str">
        <f t="shared" si="434"/>
        <v>Постоянный</v>
      </c>
      <c r="EZ549" s="115">
        <f t="shared" si="434"/>
        <v>24</v>
      </c>
      <c r="FA549" s="115">
        <f t="shared" si="434"/>
        <v>0</v>
      </c>
      <c r="FB549" s="149">
        <f t="shared" si="405"/>
        <v>5.3504000000000005</v>
      </c>
      <c r="FC549" s="142">
        <f t="shared" si="405"/>
        <v>6.4</v>
      </c>
      <c r="FD549" s="119">
        <f t="shared" si="405"/>
        <v>0</v>
      </c>
      <c r="FE549" s="121">
        <f t="shared" si="405"/>
        <v>13.7</v>
      </c>
      <c r="FF549" s="121">
        <f t="shared" si="407"/>
        <v>971.88995215310979</v>
      </c>
      <c r="FG549" s="121">
        <f t="shared" si="449"/>
        <v>80</v>
      </c>
      <c r="FH549" s="121">
        <f t="shared" si="436"/>
        <v>8.5</v>
      </c>
      <c r="FI549" s="121">
        <f t="shared" si="427"/>
        <v>37</v>
      </c>
      <c r="FJ549" s="144">
        <f t="shared" si="450"/>
        <v>0.1748633879781421</v>
      </c>
      <c r="FK549" s="132">
        <f t="shared" si="451"/>
        <v>0</v>
      </c>
      <c r="FL549" s="115">
        <f t="shared" si="451"/>
        <v>1</v>
      </c>
      <c r="FM549" s="115">
        <f t="shared" si="451"/>
        <v>-8</v>
      </c>
      <c r="FN549" s="115">
        <f t="shared" si="451"/>
        <v>1</v>
      </c>
      <c r="FO549" s="115">
        <f t="shared" si="439"/>
        <v>0</v>
      </c>
      <c r="FP549" s="115">
        <f t="shared" si="439"/>
        <v>0</v>
      </c>
      <c r="FQ549" s="149">
        <f t="shared" si="439"/>
        <v>-0.25594139999999843</v>
      </c>
      <c r="FR549" s="142">
        <f t="shared" si="439"/>
        <v>-0.44999999999999929</v>
      </c>
      <c r="FS549" s="119">
        <f t="shared" si="439"/>
        <v>-2.1</v>
      </c>
      <c r="FT549" s="121">
        <f t="shared" si="438"/>
        <v>0</v>
      </c>
      <c r="FU549" s="121">
        <f t="shared" si="452"/>
        <v>0</v>
      </c>
      <c r="FV549" s="121">
        <f t="shared" si="452"/>
        <v>-0.90000000000000036</v>
      </c>
      <c r="FW549" s="121">
        <f t="shared" si="453"/>
        <v>204.90134171993145</v>
      </c>
      <c r="FX549" s="121">
        <f t="shared" si="454"/>
        <v>0</v>
      </c>
      <c r="FY549" s="144">
        <f t="shared" si="454"/>
        <v>-1.2295081967213101E-2</v>
      </c>
      <c r="FZ549" s="145"/>
      <c r="GA549" s="163" t="s">
        <v>266</v>
      </c>
      <c r="GB549" s="145"/>
      <c r="GC549" s="151" t="s">
        <v>237</v>
      </c>
      <c r="GD549" s="997" t="s">
        <v>238</v>
      </c>
      <c r="GE549" s="1004"/>
      <c r="GF549" s="1004">
        <v>0</v>
      </c>
      <c r="GG549" s="1004"/>
      <c r="GH549" s="1004">
        <v>0</v>
      </c>
      <c r="GI549" s="145" t="s">
        <v>223</v>
      </c>
      <c r="GJ549" s="996">
        <v>-1.0147786000000005</v>
      </c>
      <c r="GK549" s="145"/>
      <c r="GL549" s="996">
        <v>-0.66535150000000076</v>
      </c>
      <c r="GM549" s="1005"/>
      <c r="GN549" s="996">
        <v>0</v>
      </c>
      <c r="GO549" s="1006"/>
      <c r="GP549" s="996">
        <v>0</v>
      </c>
      <c r="GQ549" s="1006"/>
      <c r="GR549" s="996">
        <v>0.87691801999999974</v>
      </c>
      <c r="GS549" s="1006"/>
      <c r="GT549" s="996">
        <v>0</v>
      </c>
      <c r="GU549" s="1006" t="s">
        <v>203</v>
      </c>
      <c r="GV549" s="996">
        <v>-2.5921601199999982</v>
      </c>
      <c r="GW549" s="1006"/>
      <c r="GX549" s="997">
        <v>0</v>
      </c>
      <c r="GY549" s="1006"/>
      <c r="GZ549" s="996">
        <v>0.14596559999999847</v>
      </c>
      <c r="HA549" s="1006" t="s">
        <v>203</v>
      </c>
      <c r="HB549" s="996">
        <v>-3.6798379200000007</v>
      </c>
      <c r="HC549" s="1006" t="s">
        <v>363</v>
      </c>
      <c r="HD549" s="996">
        <v>4.3524166400000013</v>
      </c>
      <c r="HE549" s="1006" t="s">
        <v>25</v>
      </c>
      <c r="HF549" s="996">
        <v>1.5085452799999999</v>
      </c>
      <c r="HG549" s="1006"/>
      <c r="HH549" s="996">
        <v>-0.58402959999999915</v>
      </c>
      <c r="HI549" s="1006"/>
      <c r="HJ549" s="996">
        <v>0.68164597599999954</v>
      </c>
      <c r="HK549" s="1006"/>
      <c r="HL549" s="996">
        <v>0</v>
      </c>
      <c r="HM549" s="1006" t="s">
        <v>199</v>
      </c>
      <c r="HN549" s="996">
        <v>2.4806076239999992</v>
      </c>
      <c r="HO549" s="1006"/>
      <c r="HP549" s="996">
        <v>0</v>
      </c>
      <c r="HQ549" s="1006"/>
      <c r="HR549" s="996">
        <v>-4.1800000000000281E-2</v>
      </c>
      <c r="HS549" s="1006"/>
      <c r="HT549" s="996">
        <v>0</v>
      </c>
      <c r="HU549" s="1006"/>
      <c r="HV549" s="996">
        <v>-0.87779999999999969</v>
      </c>
      <c r="HW549" s="1006"/>
      <c r="HX549" s="996">
        <v>0.75240000000000062</v>
      </c>
      <c r="HY549" s="1006"/>
      <c r="HZ549" s="996">
        <v>-0.75240000000000062</v>
      </c>
      <c r="IA549" s="1006"/>
      <c r="IB549" s="996">
        <v>0</v>
      </c>
      <c r="IC549" s="1006"/>
      <c r="ID549" s="996">
        <v>-0.83599999999999941</v>
      </c>
      <c r="IE549" s="1006"/>
      <c r="IF549" s="996">
        <v>0</v>
      </c>
      <c r="IG549" s="1006"/>
      <c r="IH549" s="996">
        <v>0</v>
      </c>
      <c r="II549" s="1006" t="s">
        <v>199</v>
      </c>
      <c r="IJ549" s="996">
        <v>1.7012599999999996</v>
      </c>
      <c r="IK549" s="1006"/>
      <c r="IL549" s="996">
        <v>0</v>
      </c>
      <c r="IM549" s="1006"/>
      <c r="IN549" s="996">
        <v>0</v>
      </c>
      <c r="IO549" s="1006" t="s">
        <v>199</v>
      </c>
      <c r="IP549" s="996">
        <v>-3.1224599999999993</v>
      </c>
      <c r="IQ549" s="1006"/>
      <c r="IR549" s="996">
        <v>0</v>
      </c>
      <c r="IS549" s="1006"/>
      <c r="IT549" s="996">
        <v>0.5851999999999995</v>
      </c>
      <c r="IU549" s="1006"/>
      <c r="IV549" s="996">
        <v>0</v>
      </c>
      <c r="IW549" s="1006"/>
      <c r="IX549" s="996">
        <v>0</v>
      </c>
      <c r="IY549" s="1006"/>
      <c r="IZ549" s="996">
        <v>0</v>
      </c>
      <c r="JA549" s="1006"/>
      <c r="JB549" s="996">
        <v>-0.8360000000000003</v>
      </c>
      <c r="JC549" s="1006"/>
      <c r="JD549" s="996">
        <v>0</v>
      </c>
      <c r="JE549" s="1006"/>
      <c r="JF549" s="996">
        <v>0</v>
      </c>
      <c r="JG549" s="1006"/>
      <c r="JH549" s="996">
        <v>-0.83599999999999941</v>
      </c>
      <c r="JI549" s="1006"/>
      <c r="JJ549" s="996">
        <v>0</v>
      </c>
      <c r="JK549" s="1007"/>
      <c r="JL549" s="1007">
        <v>0</v>
      </c>
      <c r="JM549" s="1007" t="s">
        <v>203</v>
      </c>
      <c r="JN549" s="1007">
        <v>2.508</v>
      </c>
      <c r="JO549" s="1008" t="s">
        <v>203</v>
      </c>
      <c r="JP549" s="1007">
        <v>-1.8914499999999999</v>
      </c>
      <c r="JQ549" s="1008">
        <v>0</v>
      </c>
      <c r="JR549" s="1007">
        <v>-0.95095000000000063</v>
      </c>
      <c r="JS549" s="1008" t="s">
        <v>203</v>
      </c>
      <c r="JT549" s="1007">
        <v>-4.8056000000000001</v>
      </c>
      <c r="JU549" s="1008"/>
      <c r="JV549" s="1007">
        <v>0</v>
      </c>
      <c r="JW549" s="1008" t="s">
        <v>206</v>
      </c>
      <c r="JX549" s="1007">
        <v>-1.2540000000000004</v>
      </c>
      <c r="JY549" s="1008" t="s">
        <v>240</v>
      </c>
      <c r="JZ549" s="1007">
        <v>-16.204188000000002</v>
      </c>
      <c r="KA549" s="1008"/>
      <c r="KB549" s="1007">
        <v>0</v>
      </c>
      <c r="KC549" s="1008"/>
      <c r="KD549" s="1007">
        <v>0</v>
      </c>
      <c r="KE549" s="1008"/>
      <c r="KF549" s="1007">
        <v>0</v>
      </c>
      <c r="KG549" s="1008"/>
      <c r="KH549" s="1007">
        <v>0</v>
      </c>
      <c r="KI549" s="1008"/>
      <c r="KJ549" s="1007">
        <v>0</v>
      </c>
      <c r="KK549" s="1008"/>
      <c r="KL549" s="1007">
        <v>25.400188</v>
      </c>
      <c r="KM549" s="1008"/>
      <c r="KN549" s="1007"/>
      <c r="KO549" s="1008"/>
      <c r="KP549" s="1007"/>
      <c r="KQ549" s="1008"/>
      <c r="KR549" s="1007"/>
      <c r="KS549" s="1008"/>
      <c r="KT549" s="1007"/>
      <c r="KU549" s="1008"/>
      <c r="KV549" s="1007"/>
      <c r="KW549" s="1008"/>
      <c r="KX549" s="1007"/>
      <c r="KY549" s="1008"/>
      <c r="KZ549" s="1007"/>
      <c r="LA549" s="1008"/>
      <c r="LB549" s="1007"/>
      <c r="LC549" s="1008"/>
      <c r="LD549" s="1007"/>
      <c r="LE549" s="1008"/>
      <c r="LF549" s="1007"/>
      <c r="LG549" s="1008"/>
      <c r="LH549" s="1007"/>
      <c r="LI549" s="1008"/>
      <c r="LJ549" s="1007"/>
      <c r="LK549" s="1008"/>
      <c r="LL549" s="1007"/>
      <c r="LM549" s="1008"/>
      <c r="LN549" s="1007"/>
      <c r="LO549" s="1008"/>
      <c r="LP549" s="1007"/>
      <c r="LQ549" s="1008"/>
      <c r="LR549" s="1007"/>
      <c r="LS549" s="1008"/>
      <c r="LT549" s="1007"/>
      <c r="LU549" s="1008"/>
      <c r="LV549" s="1007"/>
      <c r="LW549" s="1008"/>
      <c r="LX549" s="1007"/>
      <c r="LY549" s="1009"/>
      <c r="LZ549" s="1010"/>
      <c r="MA549" s="1011"/>
      <c r="MB549" s="1012"/>
      <c r="MC549" s="995"/>
      <c r="MD549" s="996"/>
      <c r="ME549" s="997" t="s">
        <v>238</v>
      </c>
      <c r="MF549" s="997"/>
      <c r="MG549" s="998"/>
      <c r="MH549" s="878"/>
      <c r="MI549" s="878"/>
      <c r="MJ549" s="878"/>
      <c r="MK549" s="878"/>
      <c r="ML549" s="878"/>
      <c r="MM549" s="878"/>
      <c r="MN549" s="878"/>
      <c r="MO549" s="878"/>
      <c r="MP549" s="878"/>
      <c r="MQ549" s="878"/>
      <c r="MR549" s="878"/>
      <c r="MS549" s="878"/>
      <c r="MT549" s="878"/>
      <c r="MU549" s="878"/>
      <c r="MV549" s="878"/>
      <c r="MW549" s="878"/>
      <c r="MX549" s="878"/>
      <c r="MY549" s="878"/>
      <c r="MZ549" s="878"/>
      <c r="NA549" s="878"/>
      <c r="NB549" s="878"/>
      <c r="NC549" s="878"/>
      <c r="ND549" s="878"/>
      <c r="NE549" s="878"/>
      <c r="NF549" s="878"/>
      <c r="NG549" s="878"/>
      <c r="NH549" s="878"/>
      <c r="NI549" s="878"/>
      <c r="NJ549" s="878"/>
      <c r="NK549" s="878"/>
      <c r="NL549" s="878"/>
      <c r="NM549" s="878"/>
      <c r="NR549" s="1027"/>
      <c r="NS549" s="1027"/>
      <c r="NT549" s="1028"/>
      <c r="NU549" s="1027"/>
      <c r="NV549" s="1028"/>
      <c r="NW549" s="1029"/>
      <c r="NX549" s="1030"/>
      <c r="NY549" s="1029"/>
      <c r="NZ549" s="1028"/>
      <c r="OA549" s="1028"/>
      <c r="OB549" s="1029"/>
      <c r="OC549" s="1031"/>
      <c r="OD549" s="1031"/>
      <c r="OE549" s="1028"/>
      <c r="OF549" s="1031"/>
      <c r="OG549" s="1031"/>
      <c r="QX549" s="1000">
        <f>CN549-CA549</f>
        <v>17</v>
      </c>
      <c r="ASU549" s="1026" t="s">
        <v>208</v>
      </c>
    </row>
    <row r="550" spans="1:466 1191:1191" s="1032" customFormat="1" ht="21" customHeight="1" x14ac:dyDescent="0.25">
      <c r="A550" s="982">
        <f t="shared" si="441"/>
        <v>3256</v>
      </c>
      <c r="B550" s="124">
        <f>SUBTOTAL(103,$J$29:J550)</f>
        <v>522</v>
      </c>
      <c r="C550" s="126">
        <v>45096</v>
      </c>
      <c r="D550" s="124" t="s">
        <v>176</v>
      </c>
      <c r="E550" s="127" t="s">
        <v>177</v>
      </c>
      <c r="F550" s="128" t="s">
        <v>177</v>
      </c>
      <c r="G550" s="127" t="s">
        <v>178</v>
      </c>
      <c r="H550" s="127" t="s">
        <v>421</v>
      </c>
      <c r="I550" s="127" t="s">
        <v>1270</v>
      </c>
      <c r="J550" s="152">
        <v>3256</v>
      </c>
      <c r="K550" s="127" t="s">
        <v>1915</v>
      </c>
      <c r="L550" s="130">
        <v>35311</v>
      </c>
      <c r="M550" s="127" t="s">
        <v>230</v>
      </c>
      <c r="N550" s="127" t="s">
        <v>245</v>
      </c>
      <c r="O550" s="127" t="s">
        <v>185</v>
      </c>
      <c r="P550" s="127" t="s">
        <v>208</v>
      </c>
      <c r="Q550" s="85">
        <f t="shared" si="423"/>
        <v>-4</v>
      </c>
      <c r="R550" s="130">
        <v>42193</v>
      </c>
      <c r="S550" s="128" t="s">
        <v>747</v>
      </c>
      <c r="T550" s="131"/>
      <c r="U550" s="132">
        <v>203</v>
      </c>
      <c r="V550" s="121">
        <v>218.2</v>
      </c>
      <c r="W550" s="116">
        <v>0.98</v>
      </c>
      <c r="X550" s="116">
        <v>1.66</v>
      </c>
      <c r="Y550" s="116">
        <f t="shared" si="408"/>
        <v>0.99219321785801406</v>
      </c>
      <c r="Z550" s="133">
        <v>1.454</v>
      </c>
      <c r="AA550" s="133">
        <v>0.83599999999999997</v>
      </c>
      <c r="AB550" s="133">
        <v>0.72</v>
      </c>
      <c r="AC550" s="121">
        <v>34.299999999999997</v>
      </c>
      <c r="AD550" s="134">
        <v>1.17</v>
      </c>
      <c r="AE550" s="124">
        <v>177.8</v>
      </c>
      <c r="AF550" s="128">
        <v>9.19</v>
      </c>
      <c r="AG550" s="128">
        <v>2150</v>
      </c>
      <c r="AH550" s="127">
        <v>2476</v>
      </c>
      <c r="AI550" s="127">
        <v>2476</v>
      </c>
      <c r="AJ550" s="135"/>
      <c r="AK550" s="128"/>
      <c r="AL550" s="131"/>
      <c r="AM550" s="124" t="s">
        <v>985</v>
      </c>
      <c r="AN550" s="136" t="s">
        <v>1916</v>
      </c>
      <c r="AO550" s="137">
        <v>5.32</v>
      </c>
      <c r="AP550" s="128">
        <v>2220.86</v>
      </c>
      <c r="AQ550" s="128">
        <v>216.84</v>
      </c>
      <c r="AR550" s="128" t="s">
        <v>1917</v>
      </c>
      <c r="AS550" s="128">
        <v>114</v>
      </c>
      <c r="AT550" s="122">
        <v>7.37</v>
      </c>
      <c r="AU550" s="124" t="s">
        <v>189</v>
      </c>
      <c r="AV550" s="115">
        <f>VLOOKUP(J550,'[63]ТР нефть'!$J$28:$BP$638,39,0)</f>
        <v>420.00000087900003</v>
      </c>
      <c r="AW550" s="115" t="str">
        <f>VLOOKUP(J550,'[63]ТР нефть'!$J$28:$BP$638,40,0)</f>
        <v>ГП</v>
      </c>
      <c r="AX550" s="115">
        <f>VLOOKUP(J550,'[63]ТР нефть'!$J$28:$BP$638,41,0)</f>
        <v>780.00001757799998</v>
      </c>
      <c r="AY550" s="115" t="str">
        <f>VLOOKUP(J550,'[63]ТР нефть'!$J$28:$BP$638,42,0)</f>
        <v>ГК 81 1/8</v>
      </c>
      <c r="AZ550" s="115">
        <f>VLOOKUP(J550,'[63]ТР нефть'!$J$28:$BP$638,43,0)</f>
        <v>1084.9999681639999</v>
      </c>
      <c r="BA550" s="115" t="str">
        <f>VLOOKUP(J550,'[63]ТР нефть'!$J$28:$BP$638,44,0)</f>
        <v>ГК 80 1/8</v>
      </c>
      <c r="BB550" s="115">
        <f>VLOOKUP(J550,'[63]ТР нефть'!$J$28:$BP$638,45,0)</f>
        <v>1349.999978906</v>
      </c>
      <c r="BC550" s="115" t="str">
        <f>VLOOKUP(J550,'[63]ТР нефть'!$J$28:$BP$638,46,0)</f>
        <v>ГК 78 1/8</v>
      </c>
      <c r="BD550" s="115">
        <f>VLOOKUP(J550,'[63]ТР нефть'!$J$28:$BP$638,47,0)</f>
        <v>1594.9999453129999</v>
      </c>
      <c r="BE550" s="115" t="str">
        <f>VLOOKUP(J550,'[63]ТР нефть'!$J$28:$BP$638,48,0)</f>
        <v>ГК 77 1/8</v>
      </c>
      <c r="BF550" s="115" t="str">
        <f>VLOOKUP(J550,'[63]ТР нефть'!$J$28:$BP$638,49,0)</f>
        <v>-</v>
      </c>
      <c r="BG550" s="115" t="str">
        <f>VLOOKUP(J550,'[63]ТР нефть'!$J$28:$BP$638,50,0)</f>
        <v>-</v>
      </c>
      <c r="BH550" s="115">
        <f>VLOOKUP(J550,'[63]ТР нефть'!$J$28:$BP$638,51,0)</f>
        <v>1800</v>
      </c>
      <c r="BI550" s="115" t="str">
        <f>VLOOKUP(J550,'[63]ТР нефть'!$J$28:$BP$638,52,0)</f>
        <v>открыт</v>
      </c>
      <c r="BJ550" s="115" t="str">
        <f>IF(IFERROR(VLOOKUP(J550,'[63]ТР нефть'!$J$28:$BP$638,53,0),"-")=0,"-",IFERROR(VLOOKUP(J550,'[63]ТР нефть'!$J$28:$BP$638,53,0),"-"))</f>
        <v>-</v>
      </c>
      <c r="BK550" s="138" t="str">
        <f>IF(IFERROR(VLOOKUP(J550,'[63]ТР нефть'!$J$28:$BP$638,54,0),"-")=0,"-",IFERROR(VLOOKUP(J550,'[63]ТР нефть'!$J$28:$BP$638,54,0),"-"))</f>
        <v>-</v>
      </c>
      <c r="BL550" s="138" t="str">
        <f>IF(IFERROR(VLOOKUP(J550,'[63]ТР нефть'!$J$28:$BP$638,55,0),"-")=0,"-",IFERROR(VLOOKUP(J550,'[63]ТР нефть'!$J$28:$BP$638,55,0),"-"))</f>
        <v>-</v>
      </c>
      <c r="BM550" s="138" t="str">
        <f>IF(IFERROR(VLOOKUP(J550,'[63]ТР нефть'!$J$28:$BP$638,56,0),"-")=0,"-",IFERROR(VLOOKUP(J550,'[63]ТР нефть'!$J$28:$BP$638,56,0),"-"))</f>
        <v>-</v>
      </c>
      <c r="BN550" s="138" t="str">
        <f>IF(IFERROR(VLOOKUP(J550,'[63]ТР нефть'!$J$28:$BP$638,57,0),"-")=0,"-",IFERROR(VLOOKUP(J550,'[63]ТР нефть'!$J$28:$BP$638,57,0),"-"))</f>
        <v>-</v>
      </c>
      <c r="BO550" s="115" t="str">
        <f>IF(IFERROR(VLOOKUP(J550,'[63]ТР нефть'!$J$28:$BP$638,58,0),"-")=0,"-",IFERROR(VLOOKUP(J550,'[63]ТР нефть'!$J$28:$BP$638,58,0),"-"))</f>
        <v>-</v>
      </c>
      <c r="BP550" s="115" t="str">
        <f>IF(IFERROR(VLOOKUP(J550,'[63]ТР нефть'!$J$28:$BP$638,59,0),"-")=0,"-",IFERROR(VLOOKUP(J550,'[63]ТР нефть'!$J$28:$BP$638,59,0),"-"))</f>
        <v>-</v>
      </c>
      <c r="BQ550" s="138">
        <v>2070</v>
      </c>
      <c r="BR550" s="128">
        <v>1905.7</v>
      </c>
      <c r="BS550" s="115">
        <f t="shared" si="437"/>
        <v>164.29999999999995</v>
      </c>
      <c r="BT550" s="128">
        <v>73</v>
      </c>
      <c r="BU550" s="128">
        <v>5.5</v>
      </c>
      <c r="BV550" s="127">
        <v>18</v>
      </c>
      <c r="BW550" s="127" t="s">
        <v>234</v>
      </c>
      <c r="BX550" s="127" t="s">
        <v>195</v>
      </c>
      <c r="BY550" s="139">
        <v>24</v>
      </c>
      <c r="BZ550" s="139">
        <v>0</v>
      </c>
      <c r="CA550" s="138">
        <v>20</v>
      </c>
      <c r="CB550" s="138">
        <v>29</v>
      </c>
      <c r="CC550" s="138">
        <v>19</v>
      </c>
      <c r="CD550" s="135">
        <v>45017</v>
      </c>
      <c r="CE550" s="138">
        <v>70</v>
      </c>
      <c r="CF550" s="138">
        <v>82</v>
      </c>
      <c r="CG550" s="138" t="str">
        <f t="shared" si="458"/>
        <v>В работе</v>
      </c>
      <c r="CH550" s="138" t="s">
        <v>196</v>
      </c>
      <c r="CI550" s="138">
        <v>6</v>
      </c>
      <c r="CJ550" s="139"/>
      <c r="CK550" s="138"/>
      <c r="CL550" s="99"/>
      <c r="CM550" s="99"/>
      <c r="CN550" s="140">
        <v>44</v>
      </c>
      <c r="CO550" s="141">
        <f t="shared" si="442"/>
        <v>7.2982800000000001</v>
      </c>
      <c r="CP550" s="142">
        <v>9</v>
      </c>
      <c r="CQ550" s="143">
        <v>3</v>
      </c>
      <c r="CR550" s="138">
        <v>13.3</v>
      </c>
      <c r="CS550" s="139">
        <v>9.6</v>
      </c>
      <c r="CT550" s="138"/>
      <c r="CU550" s="138">
        <f t="shared" si="418"/>
        <v>3.7000000000000011</v>
      </c>
      <c r="CV550" s="115">
        <f t="shared" si="419"/>
        <v>506.9687652433177</v>
      </c>
      <c r="CW550" s="115">
        <f t="shared" si="443"/>
        <v>1261.3422257960251</v>
      </c>
      <c r="CX550" s="133">
        <f t="shared" si="420"/>
        <v>0.34615384615384615</v>
      </c>
      <c r="CY550" s="116"/>
      <c r="CZ550" s="131"/>
      <c r="DA550" s="145" t="str">
        <f t="shared" si="444"/>
        <v>Газлифт</v>
      </c>
      <c r="DB550" s="146">
        <f t="shared" si="455"/>
        <v>7.2982800000000001</v>
      </c>
      <c r="DC550" s="142">
        <f t="shared" si="402"/>
        <v>9</v>
      </c>
      <c r="DD550" s="119">
        <f t="shared" si="416"/>
        <v>3</v>
      </c>
      <c r="DE550" s="115">
        <f t="shared" si="456"/>
        <v>3.7000000000000011</v>
      </c>
      <c r="DF550" s="121">
        <f t="shared" si="445"/>
        <v>9.6</v>
      </c>
      <c r="DG550" s="115">
        <f t="shared" si="446"/>
        <v>506.9687652433177</v>
      </c>
      <c r="DH550" s="115">
        <f t="shared" si="447"/>
        <v>44</v>
      </c>
      <c r="DI550" s="147"/>
      <c r="DJ550" s="111">
        <v>43737</v>
      </c>
      <c r="DK550" s="112">
        <v>42138</v>
      </c>
      <c r="DL550" s="113">
        <f t="shared" ca="1" si="424"/>
        <v>2966</v>
      </c>
      <c r="DM550" s="114"/>
      <c r="DN550" s="114"/>
      <c r="DO550" s="114"/>
      <c r="DP550" s="114"/>
      <c r="DQ550" s="112">
        <v>43059</v>
      </c>
      <c r="DR550" s="114" t="s">
        <v>1918</v>
      </c>
      <c r="DS550" s="114"/>
      <c r="DT550" s="115">
        <v>45</v>
      </c>
      <c r="DU550" s="116">
        <f t="shared" si="425"/>
        <v>0.36</v>
      </c>
      <c r="DV550" s="117">
        <f t="shared" si="428"/>
        <v>7.2982800000000001</v>
      </c>
      <c r="DW550" s="118">
        <f t="shared" si="429"/>
        <v>9</v>
      </c>
      <c r="DX550" s="119">
        <f t="shared" si="430"/>
        <v>3</v>
      </c>
      <c r="DY550" s="115">
        <f t="shared" si="431"/>
        <v>3.7000000000000011</v>
      </c>
      <c r="DZ550" s="117">
        <f t="shared" si="440"/>
        <v>0</v>
      </c>
      <c r="EA550" s="120">
        <f t="shared" si="440"/>
        <v>0</v>
      </c>
      <c r="EB550" s="119">
        <f t="shared" si="440"/>
        <v>0</v>
      </c>
      <c r="EC550" s="121">
        <f t="shared" si="415"/>
        <v>0</v>
      </c>
      <c r="ED550" s="122"/>
      <c r="EE550" s="145">
        <v>18</v>
      </c>
      <c r="EF550" s="115">
        <v>21</v>
      </c>
      <c r="EG550" s="115">
        <v>31</v>
      </c>
      <c r="EH550" s="115">
        <v>20</v>
      </c>
      <c r="EI550" s="128" t="s">
        <v>195</v>
      </c>
      <c r="EJ550" s="121">
        <v>24</v>
      </c>
      <c r="EK550" s="121">
        <v>0</v>
      </c>
      <c r="EL550" s="149">
        <v>7.0846820000000008</v>
      </c>
      <c r="EM550" s="142">
        <v>8.5</v>
      </c>
      <c r="EN550" s="119">
        <v>0.3</v>
      </c>
      <c r="EO550" s="115">
        <v>16.600000000000001</v>
      </c>
      <c r="EP550" s="115">
        <v>1157.4266847827469</v>
      </c>
      <c r="EQ550" s="115">
        <v>81</v>
      </c>
      <c r="ER550" s="115">
        <v>8.4</v>
      </c>
      <c r="ES550" s="115">
        <v>39.799999999999997</v>
      </c>
      <c r="ET550" s="150">
        <v>0.2814569536423841</v>
      </c>
      <c r="EU550" s="145">
        <f t="shared" si="457"/>
        <v>18</v>
      </c>
      <c r="EV550" s="115">
        <f t="shared" si="448"/>
        <v>20</v>
      </c>
      <c r="EW550" s="115">
        <f t="shared" si="448"/>
        <v>29</v>
      </c>
      <c r="EX550" s="115">
        <f t="shared" si="448"/>
        <v>19</v>
      </c>
      <c r="EY550" s="115" t="str">
        <f t="shared" si="434"/>
        <v>Постоянный</v>
      </c>
      <c r="EZ550" s="115">
        <f t="shared" si="434"/>
        <v>24</v>
      </c>
      <c r="FA550" s="115">
        <f t="shared" si="434"/>
        <v>0</v>
      </c>
      <c r="FB550" s="149">
        <f t="shared" si="405"/>
        <v>7.2982800000000001</v>
      </c>
      <c r="FC550" s="142">
        <f t="shared" si="405"/>
        <v>9</v>
      </c>
      <c r="FD550" s="119">
        <f t="shared" si="405"/>
        <v>3</v>
      </c>
      <c r="FE550" s="121">
        <f t="shared" si="405"/>
        <v>13.3</v>
      </c>
      <c r="FF550" s="121">
        <f t="shared" si="407"/>
        <v>506.9687652433177</v>
      </c>
      <c r="FG550" s="121">
        <f t="shared" si="449"/>
        <v>82</v>
      </c>
      <c r="FH550" s="121">
        <f t="shared" si="436"/>
        <v>9.6</v>
      </c>
      <c r="FI550" s="121">
        <f t="shared" si="427"/>
        <v>44</v>
      </c>
      <c r="FJ550" s="144">
        <f t="shared" si="450"/>
        <v>0.34615384615384615</v>
      </c>
      <c r="FK550" s="189">
        <f t="shared" si="451"/>
        <v>0</v>
      </c>
      <c r="FL550" s="115">
        <f t="shared" si="451"/>
        <v>-1</v>
      </c>
      <c r="FM550" s="115">
        <f t="shared" si="451"/>
        <v>-2</v>
      </c>
      <c r="FN550" s="115">
        <f t="shared" si="451"/>
        <v>-1</v>
      </c>
      <c r="FO550" s="115">
        <f t="shared" si="439"/>
        <v>0</v>
      </c>
      <c r="FP550" s="115">
        <f t="shared" si="439"/>
        <v>0</v>
      </c>
      <c r="FQ550" s="149">
        <f t="shared" si="439"/>
        <v>0.21359799999999929</v>
      </c>
      <c r="FR550" s="142">
        <f t="shared" si="439"/>
        <v>0.5</v>
      </c>
      <c r="FS550" s="119">
        <f t="shared" si="439"/>
        <v>2.7</v>
      </c>
      <c r="FT550" s="121">
        <f t="shared" si="438"/>
        <v>-3.3000000000000007</v>
      </c>
      <c r="FU550" s="121">
        <f t="shared" si="452"/>
        <v>1</v>
      </c>
      <c r="FV550" s="121">
        <f t="shared" si="452"/>
        <v>1.1999999999999993</v>
      </c>
      <c r="FW550" s="121">
        <f t="shared" si="453"/>
        <v>-650.45791953942921</v>
      </c>
      <c r="FX550" s="121">
        <f t="shared" si="454"/>
        <v>4.2000000000000028</v>
      </c>
      <c r="FY550" s="144">
        <f t="shared" si="454"/>
        <v>6.4696892511462045E-2</v>
      </c>
      <c r="FZ550" s="145"/>
      <c r="GA550" s="151" t="s">
        <v>1919</v>
      </c>
      <c r="GB550" s="145" t="s">
        <v>221</v>
      </c>
      <c r="GC550" s="151" t="s">
        <v>533</v>
      </c>
      <c r="GD550" s="997" t="s">
        <v>238</v>
      </c>
      <c r="GE550" s="1004" t="s">
        <v>221</v>
      </c>
      <c r="GF550" s="1004">
        <v>1.491883800000001</v>
      </c>
      <c r="GG550" s="1004"/>
      <c r="GH550" s="1004">
        <v>0</v>
      </c>
      <c r="GI550" s="145"/>
      <c r="GJ550" s="996">
        <v>0</v>
      </c>
      <c r="GK550" s="145"/>
      <c r="GL550" s="996">
        <v>0</v>
      </c>
      <c r="GM550" s="1005"/>
      <c r="GN550" s="996">
        <v>0</v>
      </c>
      <c r="GO550" s="1006"/>
      <c r="GP550" s="996">
        <v>0</v>
      </c>
      <c r="GQ550" s="1006"/>
      <c r="GR550" s="996">
        <v>-0.41737300000000044</v>
      </c>
      <c r="GS550" s="1006"/>
      <c r="GT550" s="996">
        <v>0</v>
      </c>
      <c r="GU550" s="1006"/>
      <c r="GV550" s="996">
        <v>0</v>
      </c>
      <c r="GW550" s="1006"/>
      <c r="GX550" s="997">
        <v>0</v>
      </c>
      <c r="GY550" s="1006"/>
      <c r="GZ550" s="996">
        <v>-0.63235039999999909</v>
      </c>
      <c r="HA550" s="1006" t="s">
        <v>223</v>
      </c>
      <c r="HB550" s="996">
        <v>-1.7436619200000001</v>
      </c>
      <c r="HC550" s="1006" t="s">
        <v>199</v>
      </c>
      <c r="HD550" s="996">
        <v>4.2759300803999993</v>
      </c>
      <c r="HE550" s="1006" t="s">
        <v>199</v>
      </c>
      <c r="HF550" s="996">
        <v>-5.9127177604000005</v>
      </c>
      <c r="HG550" s="1006" t="s">
        <v>204</v>
      </c>
      <c r="HH550" s="996">
        <v>-3.5498022999999996</v>
      </c>
      <c r="HI550" s="1006" t="s">
        <v>204</v>
      </c>
      <c r="HJ550" s="996">
        <v>7.0519954868000001</v>
      </c>
      <c r="HK550" s="1006"/>
      <c r="HL550" s="996">
        <v>0</v>
      </c>
      <c r="HM550" s="1006"/>
      <c r="HN550" s="996">
        <v>-0.14715798679999992</v>
      </c>
      <c r="HO550" s="1006"/>
      <c r="HP550" s="996">
        <v>0</v>
      </c>
      <c r="HQ550" s="1006"/>
      <c r="HR550" s="996">
        <v>0</v>
      </c>
      <c r="HS550" s="1006"/>
      <c r="HT550" s="996">
        <v>0</v>
      </c>
      <c r="HU550" s="1006"/>
      <c r="HV550" s="996">
        <v>0</v>
      </c>
      <c r="HW550" s="1006"/>
      <c r="HX550" s="996">
        <v>-0.83349200000000057</v>
      </c>
      <c r="HY550" s="1006"/>
      <c r="HZ550" s="996">
        <v>0.54176980000000174</v>
      </c>
      <c r="IA550" s="1006" t="s">
        <v>204</v>
      </c>
      <c r="IB550" s="996">
        <v>1.1369181999999993</v>
      </c>
      <c r="IC550" s="1006" t="s">
        <v>223</v>
      </c>
      <c r="ID550" s="996">
        <v>-1.4755400000000005</v>
      </c>
      <c r="IE550" s="1006"/>
      <c r="IF550" s="996">
        <v>0</v>
      </c>
      <c r="IG550" s="1006"/>
      <c r="IH550" s="996">
        <v>-0.22571999999999992</v>
      </c>
      <c r="II550" s="1006" t="s">
        <v>199</v>
      </c>
      <c r="IJ550" s="996">
        <v>1.8475600000000005</v>
      </c>
      <c r="IK550" s="1006" t="s">
        <v>199</v>
      </c>
      <c r="IL550" s="996">
        <v>-1.6296649599999995</v>
      </c>
      <c r="IM550" s="1006"/>
      <c r="IN550" s="996">
        <v>0</v>
      </c>
      <c r="IO550" s="1006"/>
      <c r="IP550" s="996">
        <v>-0.74457504000000085</v>
      </c>
      <c r="IQ550" s="1006" t="s">
        <v>199</v>
      </c>
      <c r="IR550" s="996">
        <v>1.1118799999999993</v>
      </c>
      <c r="IS550" s="1006"/>
      <c r="IT550" s="996">
        <v>0</v>
      </c>
      <c r="IU550" s="1006"/>
      <c r="IV550" s="996">
        <v>0</v>
      </c>
      <c r="IW550" s="1006"/>
      <c r="IX550" s="996">
        <v>0</v>
      </c>
      <c r="IY550" s="1006"/>
      <c r="IZ550" s="996">
        <v>0</v>
      </c>
      <c r="JA550" s="1006"/>
      <c r="JB550" s="996">
        <v>0</v>
      </c>
      <c r="JC550" s="1006"/>
      <c r="JD550" s="996">
        <v>0</v>
      </c>
      <c r="JE550" s="1006"/>
      <c r="JF550" s="996">
        <v>0</v>
      </c>
      <c r="JG550" s="1006" t="s">
        <v>223</v>
      </c>
      <c r="JH550" s="996">
        <v>-1.7973999999999979</v>
      </c>
      <c r="JI550" s="1006" t="s">
        <v>203</v>
      </c>
      <c r="JJ550" s="996">
        <v>-1.2556343800000018</v>
      </c>
      <c r="JK550" s="1007" t="s">
        <v>203</v>
      </c>
      <c r="JL550" s="1007">
        <v>-1.2490216199999988</v>
      </c>
      <c r="JM550" s="1007" t="s">
        <v>342</v>
      </c>
      <c r="JN550" s="1007">
        <v>4.8294047999999989</v>
      </c>
      <c r="JO550" s="1008" t="s">
        <v>199</v>
      </c>
      <c r="JP550" s="1007">
        <v>-2.7477647999999988</v>
      </c>
      <c r="JQ550" s="1008">
        <v>0</v>
      </c>
      <c r="JR550" s="1007">
        <v>0.11510047999999884</v>
      </c>
      <c r="JS550" s="1008" t="s">
        <v>199</v>
      </c>
      <c r="JT550" s="1007">
        <v>-2.3694915199999986</v>
      </c>
      <c r="JU550" s="1008"/>
      <c r="JV550" s="1007">
        <v>0</v>
      </c>
      <c r="JW550" s="1008" t="s">
        <v>197</v>
      </c>
      <c r="JX550" s="1007">
        <v>0</v>
      </c>
      <c r="JY550" s="1008" t="s">
        <v>204</v>
      </c>
      <c r="JZ550" s="1007">
        <v>-3.270565760000002</v>
      </c>
      <c r="KA550" s="1008"/>
      <c r="KB550" s="1007">
        <v>0</v>
      </c>
      <c r="KC550" s="1008" t="s">
        <v>206</v>
      </c>
      <c r="KD550" s="1007">
        <v>2.6698496000000009</v>
      </c>
      <c r="KE550" s="1008"/>
      <c r="KF550" s="1007">
        <v>0</v>
      </c>
      <c r="KG550" s="1008"/>
      <c r="KH550" s="1007">
        <v>0</v>
      </c>
      <c r="KI550" s="1008"/>
      <c r="KJ550" s="1007">
        <v>0</v>
      </c>
      <c r="KK550" s="1008" t="s">
        <v>206</v>
      </c>
      <c r="KL550" s="1007">
        <v>-9.6698615199999978</v>
      </c>
      <c r="KM550" s="1008"/>
      <c r="KN550" s="1007">
        <v>0</v>
      </c>
      <c r="KO550" s="1008"/>
      <c r="KP550" s="1007">
        <v>0</v>
      </c>
      <c r="KQ550" s="1008">
        <v>0</v>
      </c>
      <c r="KR550" s="1007">
        <v>0</v>
      </c>
      <c r="KS550" s="1008">
        <v>0</v>
      </c>
      <c r="KT550" s="1007">
        <v>0</v>
      </c>
      <c r="KU550" s="1008">
        <v>0</v>
      </c>
      <c r="KV550" s="1007">
        <v>0</v>
      </c>
      <c r="KW550" s="1008">
        <v>0</v>
      </c>
      <c r="KX550" s="1007">
        <v>0</v>
      </c>
      <c r="KY550" s="1008">
        <v>0</v>
      </c>
      <c r="KZ550" s="1007">
        <v>0</v>
      </c>
      <c r="LA550" s="1008">
        <v>0</v>
      </c>
      <c r="LB550" s="1007">
        <v>0</v>
      </c>
      <c r="LC550" s="1008">
        <v>0</v>
      </c>
      <c r="LD550" s="1007">
        <v>0</v>
      </c>
      <c r="LE550" s="1008">
        <v>0</v>
      </c>
      <c r="LF550" s="1007">
        <v>0</v>
      </c>
      <c r="LG550" s="1008" t="s">
        <v>25</v>
      </c>
      <c r="LH550" s="1007">
        <v>4.86413224</v>
      </c>
      <c r="LI550" s="1008">
        <v>0</v>
      </c>
      <c r="LJ550" s="1007">
        <v>0</v>
      </c>
      <c r="LK550" s="1008" t="s">
        <v>206</v>
      </c>
      <c r="LL550" s="1007">
        <v>3.4784480000000002</v>
      </c>
      <c r="LM550" s="1008">
        <v>0</v>
      </c>
      <c r="LN550" s="1007">
        <v>0</v>
      </c>
      <c r="LO550" s="1008">
        <v>0</v>
      </c>
      <c r="LP550" s="1007">
        <v>-0.83432810000000002</v>
      </c>
      <c r="LQ550" s="1008" t="s">
        <v>204</v>
      </c>
      <c r="LR550" s="1007">
        <v>-2.1692528000000006</v>
      </c>
      <c r="LS550" s="1008">
        <v>0</v>
      </c>
      <c r="LT550" s="1007">
        <v>0</v>
      </c>
      <c r="LU550" s="1008">
        <v>0</v>
      </c>
      <c r="LV550" s="1007">
        <v>0</v>
      </c>
      <c r="LW550" s="1008">
        <v>0</v>
      </c>
      <c r="LX550" s="1007">
        <v>0.91776820000000003</v>
      </c>
      <c r="LY550" s="1009">
        <v>0</v>
      </c>
      <c r="LZ550" s="1010">
        <v>0</v>
      </c>
      <c r="MA550" s="1011" t="s">
        <v>206</v>
      </c>
      <c r="MB550" s="1012">
        <v>-1.2799159999999983</v>
      </c>
      <c r="MC550" s="995"/>
      <c r="MD550" s="996"/>
      <c r="ME550" s="997" t="s">
        <v>238</v>
      </c>
      <c r="MF550" s="997"/>
      <c r="MG550" s="998"/>
      <c r="MH550" s="878"/>
      <c r="MI550" s="878"/>
      <c r="MJ550" s="878"/>
      <c r="MK550" s="878"/>
      <c r="ML550" s="878"/>
      <c r="MM550" s="878"/>
      <c r="MN550" s="878"/>
      <c r="MO550" s="878"/>
      <c r="MP550" s="878"/>
      <c r="MQ550" s="878"/>
      <c r="MR550" s="878"/>
      <c r="MS550" s="878"/>
      <c r="MT550" s="878"/>
      <c r="MU550" s="878"/>
      <c r="MV550" s="878"/>
      <c r="MW550" s="878"/>
      <c r="MX550" s="878"/>
      <c r="MY550" s="878"/>
      <c r="MZ550" s="878"/>
      <c r="NA550" s="878"/>
      <c r="NB550" s="878"/>
      <c r="NC550" s="878"/>
      <c r="ND550" s="878"/>
      <c r="NE550" s="878"/>
      <c r="NF550" s="878"/>
      <c r="NG550" s="878"/>
      <c r="NH550" s="878"/>
      <c r="NI550" s="878"/>
      <c r="NJ550" s="878"/>
      <c r="NK550" s="878"/>
      <c r="NL550" s="878"/>
      <c r="NM550" s="878"/>
      <c r="NR550" s="1027"/>
      <c r="NS550" s="1027"/>
      <c r="NT550" s="1028"/>
      <c r="NU550" s="1027"/>
      <c r="NV550" s="1028"/>
      <c r="NW550" s="1029"/>
      <c r="NX550" s="1030"/>
      <c r="NY550" s="1029"/>
      <c r="NZ550" s="1028"/>
      <c r="OA550" s="1028"/>
      <c r="OB550" s="1029"/>
      <c r="OC550" s="1031"/>
      <c r="OD550" s="1031"/>
      <c r="OE550" s="1028"/>
      <c r="OF550" s="1031"/>
      <c r="OG550" s="1031"/>
      <c r="QX550" s="1000">
        <f>CN550-CA550</f>
        <v>24</v>
      </c>
      <c r="ASU550" s="1032" t="s">
        <v>208</v>
      </c>
    </row>
    <row r="551" spans="1:466 1191:1191" ht="21" customHeight="1" x14ac:dyDescent="0.25">
      <c r="A551" s="982">
        <f t="shared" si="441"/>
        <v>3257</v>
      </c>
      <c r="B551" s="124">
        <f>SUBTOTAL(103,$J$29:J551)</f>
        <v>523</v>
      </c>
      <c r="C551" s="126">
        <v>45068</v>
      </c>
      <c r="D551" s="124" t="s">
        <v>176</v>
      </c>
      <c r="E551" s="127" t="s">
        <v>177</v>
      </c>
      <c r="F551" s="128" t="s">
        <v>177</v>
      </c>
      <c r="G551" s="127" t="s">
        <v>178</v>
      </c>
      <c r="H551" s="127" t="s">
        <v>179</v>
      </c>
      <c r="I551" s="127" t="s">
        <v>881</v>
      </c>
      <c r="J551" s="152">
        <v>3257</v>
      </c>
      <c r="K551" s="127" t="s">
        <v>1204</v>
      </c>
      <c r="L551" s="130">
        <v>42062</v>
      </c>
      <c r="M551" s="127" t="s">
        <v>230</v>
      </c>
      <c r="N551" s="127" t="s">
        <v>184</v>
      </c>
      <c r="O551" s="127" t="s">
        <v>185</v>
      </c>
      <c r="P551" s="127" t="s">
        <v>186</v>
      </c>
      <c r="Q551" s="85" t="str">
        <f t="shared" si="423"/>
        <v/>
      </c>
      <c r="R551" s="130"/>
      <c r="S551" s="128"/>
      <c r="T551" s="131"/>
      <c r="U551" s="132">
        <v>203</v>
      </c>
      <c r="V551" s="121">
        <v>218.2</v>
      </c>
      <c r="W551" s="116">
        <v>0.98</v>
      </c>
      <c r="X551" s="116">
        <v>1.66</v>
      </c>
      <c r="Y551" s="116">
        <f t="shared" si="408"/>
        <v>0.98809523809523803</v>
      </c>
      <c r="Z551" s="133">
        <v>1.454</v>
      </c>
      <c r="AA551" s="133">
        <v>0.83599999999999997</v>
      </c>
      <c r="AB551" s="133">
        <v>0.72</v>
      </c>
      <c r="AC551" s="121">
        <v>34.299999999999997</v>
      </c>
      <c r="AD551" s="134">
        <v>1.17</v>
      </c>
      <c r="AE551" s="124">
        <v>177.8</v>
      </c>
      <c r="AF551" s="128">
        <v>9.19</v>
      </c>
      <c r="AG551" s="128">
        <v>2322.87</v>
      </c>
      <c r="AH551" s="127">
        <v>3060</v>
      </c>
      <c r="AI551" s="127">
        <v>3060</v>
      </c>
      <c r="AJ551" s="135"/>
      <c r="AK551" s="128"/>
      <c r="AL551" s="131"/>
      <c r="AM551" s="124" t="s">
        <v>232</v>
      </c>
      <c r="AN551" s="136" t="s">
        <v>1920</v>
      </c>
      <c r="AO551" s="137">
        <v>46.53</v>
      </c>
      <c r="AP551" s="128">
        <v>2323</v>
      </c>
      <c r="AQ551" s="128">
        <v>507.64</v>
      </c>
      <c r="AR551" s="128"/>
      <c r="AS551" s="128"/>
      <c r="AT551" s="122"/>
      <c r="AU551" s="124" t="s">
        <v>189</v>
      </c>
      <c r="AV551" s="115">
        <f>VLOOKUP(J551,'[63]ТР нефть'!$J$28:$BP$638,39,0)</f>
        <v>427.99999628900002</v>
      </c>
      <c r="AW551" s="115" t="str">
        <f>VLOOKUP(J551,'[63]ТР нефть'!$J$28:$BP$638,40,0)</f>
        <v>ГП</v>
      </c>
      <c r="AX551" s="115">
        <f>VLOOKUP(J551,'[63]ТР нефть'!$J$28:$BP$638,41,0)</f>
        <v>852.999989648</v>
      </c>
      <c r="AY551" s="115" t="str">
        <f>VLOOKUP(J551,'[63]ТР нефть'!$J$28:$BP$638,42,0)</f>
        <v>ГП</v>
      </c>
      <c r="AZ551" s="115">
        <f>VLOOKUP(J551,'[63]ТР нефть'!$J$28:$BP$638,43,0)</f>
        <v>1226.0000314450001</v>
      </c>
      <c r="BA551" s="115" t="str">
        <f>VLOOKUP(J551,'[63]ТР нефть'!$J$28:$BP$638,44,0)</f>
        <v>ГП</v>
      </c>
      <c r="BB551" s="115">
        <f>VLOOKUP(J551,'[63]ТР нефть'!$J$28:$BP$638,45,0)</f>
        <v>1531</v>
      </c>
      <c r="BC551" s="115" t="str">
        <f>VLOOKUP(J551,'[63]ТР нефть'!$J$28:$BP$638,46,0)</f>
        <v>ГК 78 1/8</v>
      </c>
      <c r="BD551" s="115">
        <f>VLOOKUP(J551,'[63]ТР нефть'!$J$28:$BP$638,47,0)</f>
        <v>1778.0000496089999</v>
      </c>
      <c r="BE551" s="115" t="str">
        <f>VLOOKUP(J551,'[63]ТР нефть'!$J$28:$BP$638,48,0)</f>
        <v>ГК 76 1/8</v>
      </c>
      <c r="BF551" s="115">
        <f>VLOOKUP(J551,'[63]ТР нефть'!$J$28:$BP$638,49,0)</f>
        <v>2040</v>
      </c>
      <c r="BG551" s="115" t="str">
        <f>VLOOKUP(J551,'[63]ТР нефть'!$J$28:$BP$638,50,0)</f>
        <v>ЦКсОК 5/16</v>
      </c>
      <c r="BH551" s="115" t="str">
        <f>VLOOKUP(J551,'[63]ТР нефть'!$J$28:$BP$638,51,0)</f>
        <v>-</v>
      </c>
      <c r="BI551" s="115" t="str">
        <f>VLOOKUP(J551,'[63]ТР нефть'!$J$28:$BP$638,52,0)</f>
        <v>-</v>
      </c>
      <c r="BJ551" s="115" t="str">
        <f>IF(IFERROR(VLOOKUP(J551,'[63]ТР нефть'!$J$28:$BP$638,53,0),"-")=0,"-",IFERROR(VLOOKUP(J551,'[63]ТР нефть'!$J$28:$BP$638,53,0),"-"))</f>
        <v>-</v>
      </c>
      <c r="BK551" s="138" t="str">
        <f>IF(IFERROR(VLOOKUP(J551,'[63]ТР нефть'!$J$28:$BP$638,54,0),"-")=0,"-",IFERROR(VLOOKUP(J551,'[63]ТР нефть'!$J$28:$BP$638,54,0),"-"))</f>
        <v>-</v>
      </c>
      <c r="BL551" s="138" t="str">
        <f>IF(IFERROR(VLOOKUP(J551,'[63]ТР нефть'!$J$28:$BP$638,55,0),"-")=0,"-",IFERROR(VLOOKUP(J551,'[63]ТР нефть'!$J$28:$BP$638,55,0),"-"))</f>
        <v>-</v>
      </c>
      <c r="BM551" s="138" t="str">
        <f>IF(IFERROR(VLOOKUP(J551,'[63]ТР нефть'!$J$28:$BP$638,56,0),"-")=0,"-",IFERROR(VLOOKUP(J551,'[63]ТР нефть'!$J$28:$BP$638,56,0),"-"))</f>
        <v>-</v>
      </c>
      <c r="BN551" s="138" t="str">
        <f>IF(IFERROR(VLOOKUP(J551,'[63]ТР нефть'!$J$28:$BP$638,57,0),"-")=0,"-",IFERROR(VLOOKUP(J551,'[63]ТР нефть'!$J$28:$BP$638,57,0),"-"))</f>
        <v>-</v>
      </c>
      <c r="BO551" s="115" t="str">
        <f>IF(IFERROR(VLOOKUP(J551,'[63]ТР нефть'!$J$28:$BP$638,58,0),"-")=0,"-",IFERROR(VLOOKUP(J551,'[63]ТР нефть'!$J$28:$BP$638,58,0),"-"))</f>
        <v>-</v>
      </c>
      <c r="BP551" s="115" t="str">
        <f>IF(IFERROR(VLOOKUP(J551,'[63]ТР нефть'!$J$28:$BP$638,59,0),"-")=0,"-",IFERROR(VLOOKUP(J551,'[63]ТР нефть'!$J$28:$BP$638,59,0),"-"))</f>
        <v>-</v>
      </c>
      <c r="BQ551" s="138">
        <v>2333.86</v>
      </c>
      <c r="BR551" s="128">
        <v>1815.63</v>
      </c>
      <c r="BS551" s="115">
        <f t="shared" si="437"/>
        <v>518.23</v>
      </c>
      <c r="BT551" s="128">
        <v>73</v>
      </c>
      <c r="BU551" s="128">
        <v>5.5</v>
      </c>
      <c r="BV551" s="127">
        <v>18</v>
      </c>
      <c r="BW551" s="127" t="s">
        <v>217</v>
      </c>
      <c r="BX551" s="127" t="s">
        <v>195</v>
      </c>
      <c r="BY551" s="139">
        <v>24</v>
      </c>
      <c r="BZ551" s="139">
        <v>0</v>
      </c>
      <c r="CA551" s="138">
        <v>30</v>
      </c>
      <c r="CB551" s="138">
        <v>48</v>
      </c>
      <c r="CC551" s="138">
        <v>27</v>
      </c>
      <c r="CD551" s="135">
        <v>45017</v>
      </c>
      <c r="CE551" s="138">
        <v>129</v>
      </c>
      <c r="CF551" s="138">
        <v>72</v>
      </c>
      <c r="CG551" s="138" t="s">
        <v>1131</v>
      </c>
      <c r="CH551" s="138" t="s">
        <v>196</v>
      </c>
      <c r="CI551" s="127">
        <v>6</v>
      </c>
      <c r="CJ551" s="138"/>
      <c r="CK551" s="138">
        <f t="shared" si="432"/>
        <v>28</v>
      </c>
      <c r="CL551" s="99"/>
      <c r="CM551" s="99"/>
      <c r="CN551" s="140">
        <v>58</v>
      </c>
      <c r="CO551" s="141">
        <f t="shared" si="442"/>
        <v>6.1445999999999996</v>
      </c>
      <c r="CP551" s="142">
        <v>7.5</v>
      </c>
      <c r="CQ551" s="143">
        <v>2</v>
      </c>
      <c r="CR551" s="138">
        <v>26</v>
      </c>
      <c r="CS551" s="139">
        <v>9.6</v>
      </c>
      <c r="CT551" s="138"/>
      <c r="CU551" s="138">
        <f t="shared" si="418"/>
        <v>16.399999999999999</v>
      </c>
      <c r="CV551" s="115">
        <f t="shared" si="419"/>
        <v>2669.0101878071805</v>
      </c>
      <c r="CW551" s="115">
        <f t="shared" si="443"/>
        <v>1519.3960400740705</v>
      </c>
      <c r="CX551" s="133">
        <f t="shared" si="420"/>
        <v>0.10563380281690141</v>
      </c>
      <c r="CY551" s="116"/>
      <c r="CZ551" s="174"/>
      <c r="DA551" s="145" t="str">
        <f t="shared" si="444"/>
        <v>Газлифт</v>
      </c>
      <c r="DB551" s="146">
        <f t="shared" si="455"/>
        <v>6.1445999999999996</v>
      </c>
      <c r="DC551" s="142">
        <f t="shared" ref="DC551:DC559" si="459">IFERROR(IF(AND(FZ551="Технология",FQ551&lt;$JC$24),EM551,CP551),"-")</f>
        <v>7.5</v>
      </c>
      <c r="DD551" s="119">
        <f t="shared" si="416"/>
        <v>2</v>
      </c>
      <c r="DE551" s="115">
        <f t="shared" si="456"/>
        <v>16.399999999999999</v>
      </c>
      <c r="DF551" s="121">
        <f t="shared" si="445"/>
        <v>9.6</v>
      </c>
      <c r="DG551" s="115">
        <f t="shared" si="446"/>
        <v>2669.0101878071805</v>
      </c>
      <c r="DH551" s="115">
        <f t="shared" si="447"/>
        <v>58</v>
      </c>
      <c r="DI551" s="147"/>
      <c r="DJ551" s="111">
        <v>43534</v>
      </c>
      <c r="DK551" s="112">
        <v>44234</v>
      </c>
      <c r="DL551" s="113">
        <f t="shared" ca="1" si="424"/>
        <v>870</v>
      </c>
      <c r="DM551" s="114"/>
      <c r="DN551" s="114"/>
      <c r="DO551" s="114"/>
      <c r="DP551" s="114"/>
      <c r="DQ551" s="112">
        <v>43194</v>
      </c>
      <c r="DR551" s="114" t="s">
        <v>198</v>
      </c>
      <c r="DS551" s="114"/>
      <c r="DT551" s="115">
        <v>60</v>
      </c>
      <c r="DU551" s="116">
        <f t="shared" si="425"/>
        <v>0.10869565217391304</v>
      </c>
      <c r="DV551" s="117">
        <f t="shared" si="428"/>
        <v>6.1445999999999996</v>
      </c>
      <c r="DW551" s="118">
        <f t="shared" si="429"/>
        <v>7.5</v>
      </c>
      <c r="DX551" s="119">
        <f t="shared" si="430"/>
        <v>2</v>
      </c>
      <c r="DY551" s="115">
        <f t="shared" si="431"/>
        <v>16.399999999999999</v>
      </c>
      <c r="DZ551" s="117">
        <f t="shared" si="440"/>
        <v>0</v>
      </c>
      <c r="EA551" s="120">
        <f t="shared" si="440"/>
        <v>0</v>
      </c>
      <c r="EB551" s="119">
        <f t="shared" si="440"/>
        <v>0</v>
      </c>
      <c r="EC551" s="121">
        <f t="shared" si="415"/>
        <v>0</v>
      </c>
      <c r="ED551" s="122"/>
      <c r="EE551" s="145">
        <v>18</v>
      </c>
      <c r="EF551" s="115">
        <v>28</v>
      </c>
      <c r="EG551" s="115">
        <v>54</v>
      </c>
      <c r="EH551" s="115">
        <v>27</v>
      </c>
      <c r="EI551" s="128" t="s">
        <v>195</v>
      </c>
      <c r="EJ551" s="121">
        <v>24</v>
      </c>
      <c r="EK551" s="121">
        <v>0</v>
      </c>
      <c r="EL551" s="149">
        <v>6.1445999999999996</v>
      </c>
      <c r="EM551" s="142">
        <v>7.5</v>
      </c>
      <c r="EN551" s="119">
        <v>2</v>
      </c>
      <c r="EO551" s="115">
        <v>26</v>
      </c>
      <c r="EP551" s="115">
        <v>2669.0101878071805</v>
      </c>
      <c r="EQ551" s="115">
        <v>72</v>
      </c>
      <c r="ER551" s="115">
        <v>9.6</v>
      </c>
      <c r="ES551" s="115">
        <v>60</v>
      </c>
      <c r="ET551" s="150">
        <v>0.10869565217391304</v>
      </c>
      <c r="EU551" s="145">
        <f t="shared" si="457"/>
        <v>18</v>
      </c>
      <c r="EV551" s="115">
        <f t="shared" si="448"/>
        <v>30</v>
      </c>
      <c r="EW551" s="115">
        <f t="shared" si="448"/>
        <v>48</v>
      </c>
      <c r="EX551" s="115">
        <f t="shared" si="448"/>
        <v>27</v>
      </c>
      <c r="EY551" s="115" t="str">
        <f t="shared" si="434"/>
        <v>Постоянный</v>
      </c>
      <c r="EZ551" s="115">
        <f t="shared" si="434"/>
        <v>24</v>
      </c>
      <c r="FA551" s="115">
        <f t="shared" si="434"/>
        <v>0</v>
      </c>
      <c r="FB551" s="149">
        <f t="shared" si="405"/>
        <v>6.1445999999999996</v>
      </c>
      <c r="FC551" s="142">
        <f t="shared" si="405"/>
        <v>7.5</v>
      </c>
      <c r="FD551" s="119">
        <f t="shared" si="405"/>
        <v>2</v>
      </c>
      <c r="FE551" s="121">
        <f t="shared" si="405"/>
        <v>26</v>
      </c>
      <c r="FF551" s="121">
        <f t="shared" si="407"/>
        <v>2669.0101878071805</v>
      </c>
      <c r="FG551" s="121">
        <f t="shared" si="449"/>
        <v>72</v>
      </c>
      <c r="FH551" s="121">
        <f t="shared" si="436"/>
        <v>9.6</v>
      </c>
      <c r="FI551" s="121">
        <f t="shared" si="427"/>
        <v>58</v>
      </c>
      <c r="FJ551" s="144">
        <f t="shared" si="450"/>
        <v>0.10563380281690141</v>
      </c>
      <c r="FK551" s="132">
        <f t="shared" si="451"/>
        <v>0</v>
      </c>
      <c r="FL551" s="115">
        <f t="shared" si="451"/>
        <v>2</v>
      </c>
      <c r="FM551" s="115">
        <f t="shared" si="451"/>
        <v>-6</v>
      </c>
      <c r="FN551" s="115">
        <f t="shared" si="451"/>
        <v>0</v>
      </c>
      <c r="FO551" s="115">
        <f t="shared" si="439"/>
        <v>0</v>
      </c>
      <c r="FP551" s="115">
        <f t="shared" si="439"/>
        <v>0</v>
      </c>
      <c r="FQ551" s="149">
        <f t="shared" si="439"/>
        <v>0</v>
      </c>
      <c r="FR551" s="142">
        <f t="shared" si="439"/>
        <v>0</v>
      </c>
      <c r="FS551" s="119">
        <f t="shared" si="439"/>
        <v>0</v>
      </c>
      <c r="FT551" s="121">
        <f t="shared" si="438"/>
        <v>0</v>
      </c>
      <c r="FU551" s="121">
        <f t="shared" si="452"/>
        <v>0</v>
      </c>
      <c r="FV551" s="121">
        <f t="shared" si="452"/>
        <v>0</v>
      </c>
      <c r="FW551" s="121">
        <f t="shared" si="453"/>
        <v>0</v>
      </c>
      <c r="FX551" s="121">
        <f t="shared" si="454"/>
        <v>-2</v>
      </c>
      <c r="FY551" s="144">
        <f t="shared" si="454"/>
        <v>-3.061849357011634E-3</v>
      </c>
      <c r="FZ551" s="124"/>
      <c r="GA551" s="151"/>
      <c r="GB551" s="145" t="s">
        <v>204</v>
      </c>
      <c r="GC551" s="151" t="s">
        <v>219</v>
      </c>
      <c r="GD551" s="997" t="s">
        <v>220</v>
      </c>
      <c r="GE551" s="1004" t="s">
        <v>204</v>
      </c>
      <c r="GF551" s="1004">
        <v>1.4426015999999997</v>
      </c>
      <c r="GG551" s="1004"/>
      <c r="GH551" s="1004">
        <v>0</v>
      </c>
      <c r="GI551" s="145"/>
      <c r="GJ551" s="996">
        <v>0</v>
      </c>
      <c r="GK551" s="145"/>
      <c r="GL551" s="996">
        <v>0</v>
      </c>
      <c r="GM551" s="1005"/>
      <c r="GN551" s="996">
        <v>0</v>
      </c>
      <c r="GO551" s="1006"/>
      <c r="GP551" s="996">
        <v>0</v>
      </c>
      <c r="GQ551" s="1006"/>
      <c r="GR551" s="996">
        <v>-0.40693135999999974</v>
      </c>
      <c r="GS551" s="1006"/>
      <c r="GT551" s="996">
        <v>0.94230575999999999</v>
      </c>
      <c r="GU551" s="1006"/>
      <c r="GV551" s="996">
        <v>0</v>
      </c>
      <c r="GW551" s="1006"/>
      <c r="GX551" s="996">
        <v>0</v>
      </c>
      <c r="GY551" s="1006" t="s">
        <v>199</v>
      </c>
      <c r="GZ551" s="996">
        <v>-2.5581767199999996</v>
      </c>
      <c r="HA551" s="1006"/>
      <c r="HB551" s="996">
        <v>0</v>
      </c>
      <c r="HC551" s="1006" t="s">
        <v>199</v>
      </c>
      <c r="HD551" s="996">
        <v>3.0303495199999992</v>
      </c>
      <c r="HE551" s="1006" t="s">
        <v>199</v>
      </c>
      <c r="HF551" s="996">
        <v>-1.3857535999999997</v>
      </c>
      <c r="HG551" s="1006"/>
      <c r="HH551" s="996">
        <v>0</v>
      </c>
      <c r="HI551" s="1006" t="s">
        <v>221</v>
      </c>
      <c r="HJ551" s="996">
        <v>-10.8037952</v>
      </c>
      <c r="HK551" s="1006"/>
      <c r="HL551" s="996">
        <v>0</v>
      </c>
      <c r="HM551" s="1006"/>
      <c r="HN551" s="996">
        <v>0</v>
      </c>
      <c r="HO551" s="1006"/>
      <c r="HP551" s="996">
        <v>0</v>
      </c>
      <c r="HQ551" s="1006" t="s">
        <v>204</v>
      </c>
      <c r="HR551" s="996">
        <v>-4.1800000000000015</v>
      </c>
      <c r="HS551" s="1006"/>
      <c r="HT551" s="996">
        <v>0</v>
      </c>
      <c r="HU551" s="1006" t="s">
        <v>204</v>
      </c>
      <c r="HV551" s="996">
        <v>-12.509067999999999</v>
      </c>
      <c r="HW551" s="1006"/>
      <c r="HX551" s="996">
        <v>0</v>
      </c>
      <c r="HY551" s="1006"/>
      <c r="HZ551" s="996">
        <v>0</v>
      </c>
      <c r="IA551" s="1006"/>
      <c r="IB551" s="996">
        <v>-0.59941200000000094</v>
      </c>
      <c r="IC551" s="1006" t="s">
        <v>199</v>
      </c>
      <c r="ID551" s="996">
        <v>7.2564799999999998</v>
      </c>
      <c r="IE551" s="1006" t="s">
        <v>204</v>
      </c>
      <c r="IF551" s="996">
        <v>24.8919</v>
      </c>
      <c r="IG551" s="1006" t="s">
        <v>239</v>
      </c>
      <c r="IH551" s="996">
        <v>-19.683619999999998</v>
      </c>
      <c r="II551" s="1006"/>
      <c r="IJ551" s="996">
        <v>0</v>
      </c>
      <c r="IK551" s="1006" t="s">
        <v>199</v>
      </c>
      <c r="IL551" s="996">
        <v>10.7135072</v>
      </c>
      <c r="IM551" s="1006" t="s">
        <v>204</v>
      </c>
      <c r="IN551" s="996">
        <v>-15.813107200000003</v>
      </c>
      <c r="IO551" s="1006" t="s">
        <v>204</v>
      </c>
      <c r="IP551" s="996">
        <v>20.192534999999999</v>
      </c>
      <c r="IQ551" s="1006"/>
      <c r="IR551" s="996">
        <v>0</v>
      </c>
      <c r="IS551" s="1006"/>
      <c r="IT551" s="996">
        <v>0</v>
      </c>
      <c r="IU551" s="1006" t="s">
        <v>199</v>
      </c>
      <c r="IV551" s="996">
        <v>-2.3623687999999996</v>
      </c>
      <c r="IW551" s="1006" t="s">
        <v>204</v>
      </c>
      <c r="IX551" s="996">
        <v>-13.5253932</v>
      </c>
      <c r="IY551" s="1006"/>
      <c r="IZ551" s="996">
        <v>0</v>
      </c>
      <c r="JA551" s="1006"/>
      <c r="JB551" s="996">
        <v>0</v>
      </c>
      <c r="JC551" s="1006"/>
      <c r="JD551" s="996">
        <v>0</v>
      </c>
      <c r="JE551" s="1006" t="s">
        <v>199</v>
      </c>
      <c r="JF551" s="996">
        <v>10.855250999999999</v>
      </c>
      <c r="JG551" s="1006"/>
      <c r="JH551" s="996">
        <v>0</v>
      </c>
      <c r="JI551" s="1006" t="s">
        <v>204</v>
      </c>
      <c r="JJ551" s="996">
        <v>3.5664228160000011</v>
      </c>
      <c r="JK551" s="1007"/>
      <c r="JL551" s="1007">
        <v>0.93627318400000004</v>
      </c>
      <c r="JM551" s="1007" t="s">
        <v>199</v>
      </c>
      <c r="JN551" s="1007">
        <v>-22.468754000000001</v>
      </c>
      <c r="JO551" s="1008"/>
      <c r="JP551" s="1007">
        <v>0</v>
      </c>
      <c r="JQ551" s="1008">
        <v>0</v>
      </c>
      <c r="JR551" s="1007">
        <v>0</v>
      </c>
      <c r="JS551" s="1008" t="s">
        <v>199</v>
      </c>
      <c r="JT551" s="1007">
        <v>5.4394340000000021</v>
      </c>
      <c r="JU551" s="1008" t="s">
        <v>199</v>
      </c>
      <c r="JV551" s="1007">
        <v>14.81392</v>
      </c>
      <c r="JW551" s="1008" t="s">
        <v>206</v>
      </c>
      <c r="JX551" s="1007">
        <v>-2.5080000000000009</v>
      </c>
      <c r="JY551" s="1008"/>
      <c r="JZ551" s="1007">
        <v>0</v>
      </c>
      <c r="KA551" s="1008"/>
      <c r="KB551" s="1007">
        <v>0</v>
      </c>
      <c r="KC551" s="1008" t="s">
        <v>199</v>
      </c>
      <c r="KD551" s="1007">
        <v>-3.3439999999999994</v>
      </c>
      <c r="KE551" s="1008" t="s">
        <v>204</v>
      </c>
      <c r="KF551" s="1007">
        <v>-14.212</v>
      </c>
      <c r="KG551" s="1008" t="s">
        <v>204</v>
      </c>
      <c r="KH551" s="1007">
        <v>15.884</v>
      </c>
      <c r="KI551" s="1008" t="s">
        <v>206</v>
      </c>
      <c r="KJ551" s="1007">
        <v>-16.72</v>
      </c>
      <c r="KK551" s="1008" t="s">
        <v>207</v>
      </c>
      <c r="KL551" s="1007">
        <v>-4.18</v>
      </c>
      <c r="KM551" s="1008" t="s">
        <v>207</v>
      </c>
      <c r="KN551" s="1007">
        <v>7.5239999999999974</v>
      </c>
      <c r="KO551" s="1008"/>
      <c r="KP551" s="1007">
        <v>0</v>
      </c>
      <c r="KQ551" s="1008" t="s">
        <v>207</v>
      </c>
      <c r="KR551" s="1007">
        <v>15.894709160000001</v>
      </c>
      <c r="KS551" s="1008">
        <v>0</v>
      </c>
      <c r="KT551" s="1007">
        <v>0</v>
      </c>
      <c r="KU551" s="1008" t="s">
        <v>206</v>
      </c>
      <c r="KV551" s="1007">
        <v>-4.9900254799999999</v>
      </c>
      <c r="KW551" s="1008" t="s">
        <v>342</v>
      </c>
      <c r="KX551" s="1007">
        <v>5.040511519999999</v>
      </c>
      <c r="KY551" s="1008">
        <v>0</v>
      </c>
      <c r="KZ551" s="1007">
        <v>0</v>
      </c>
      <c r="LA551" s="1008" t="s">
        <v>206</v>
      </c>
      <c r="LB551" s="1007">
        <v>-7.2340751999999995</v>
      </c>
      <c r="LC551" s="1008" t="s">
        <v>206</v>
      </c>
      <c r="LD551" s="1007">
        <v>1.9251470699999977</v>
      </c>
      <c r="LE551" s="1008">
        <v>0</v>
      </c>
      <c r="LF551" s="1007">
        <v>0</v>
      </c>
      <c r="LG551" s="1008">
        <v>0</v>
      </c>
      <c r="LH551" s="1007">
        <v>-15.486899999999999</v>
      </c>
      <c r="LI551" s="1008">
        <v>0</v>
      </c>
      <c r="LJ551" s="1007">
        <v>0</v>
      </c>
      <c r="LK551" s="1008">
        <v>0</v>
      </c>
      <c r="LL551" s="1007">
        <v>0</v>
      </c>
      <c r="LM551" s="1008">
        <v>0</v>
      </c>
      <c r="LN551" s="1007">
        <v>0</v>
      </c>
      <c r="LO551" s="1008">
        <v>0</v>
      </c>
      <c r="LP551" s="1007">
        <v>0</v>
      </c>
      <c r="LQ551" s="1008" t="s">
        <v>199</v>
      </c>
      <c r="LR551" s="1007">
        <v>-13.8567</v>
      </c>
      <c r="LS551" s="1008">
        <v>0</v>
      </c>
      <c r="LT551" s="1007">
        <v>0</v>
      </c>
      <c r="LU551" s="1008">
        <v>0</v>
      </c>
      <c r="LV551" s="1007">
        <v>0</v>
      </c>
      <c r="LW551" s="1008">
        <v>0</v>
      </c>
      <c r="LX551" s="1007">
        <v>0</v>
      </c>
      <c r="LY551" s="1009">
        <v>0</v>
      </c>
      <c r="LZ551" s="1010">
        <v>0.97644799999999798</v>
      </c>
      <c r="MA551" s="1011">
        <v>0</v>
      </c>
      <c r="MB551" s="1012">
        <v>6.2574600000000018</v>
      </c>
      <c r="MC551" s="995"/>
      <c r="MD551" s="996"/>
      <c r="ME551" s="997" t="s">
        <v>220</v>
      </c>
      <c r="MF551" s="997"/>
      <c r="MG551" s="998"/>
      <c r="NR551" s="1000"/>
      <c r="NS551" s="1000"/>
      <c r="NT551" s="1001"/>
      <c r="NU551" s="1000"/>
      <c r="NV551" s="1001"/>
      <c r="NX551" s="1002"/>
      <c r="NZ551" s="1001"/>
      <c r="OA551" s="1001"/>
      <c r="OC551" s="1003"/>
      <c r="OD551" s="1003"/>
      <c r="OE551" s="1001"/>
      <c r="OF551" s="1003"/>
      <c r="OG551" s="1003"/>
      <c r="OH551" s="1003"/>
      <c r="OI551" s="1016"/>
      <c r="QX551" s="1000">
        <f>CN551-CA551</f>
        <v>28</v>
      </c>
      <c r="ASU551" s="999" t="s">
        <v>208</v>
      </c>
    </row>
    <row r="552" spans="1:466 1191:1191" ht="21" customHeight="1" x14ac:dyDescent="0.25">
      <c r="A552" s="982">
        <f t="shared" si="441"/>
        <v>3259</v>
      </c>
      <c r="B552" s="124">
        <f>SUBTOTAL(103,$J$29:J552)</f>
        <v>524</v>
      </c>
      <c r="C552" s="126">
        <v>45068</v>
      </c>
      <c r="D552" s="124" t="s">
        <v>176</v>
      </c>
      <c r="E552" s="127" t="s">
        <v>177</v>
      </c>
      <c r="F552" s="128" t="s">
        <v>177</v>
      </c>
      <c r="G552" s="127" t="s">
        <v>178</v>
      </c>
      <c r="H552" s="127" t="s">
        <v>408</v>
      </c>
      <c r="I552" s="127" t="s">
        <v>1276</v>
      </c>
      <c r="J552" s="152">
        <v>3259</v>
      </c>
      <c r="K552" s="127" t="s">
        <v>1276</v>
      </c>
      <c r="L552" s="130">
        <v>42194</v>
      </c>
      <c r="M552" s="127" t="s">
        <v>230</v>
      </c>
      <c r="N552" s="127" t="s">
        <v>231</v>
      </c>
      <c r="O552" s="127" t="s">
        <v>185</v>
      </c>
      <c r="P552" s="127" t="s">
        <v>186</v>
      </c>
      <c r="Q552" s="85" t="str">
        <f t="shared" si="423"/>
        <v/>
      </c>
      <c r="R552" s="130"/>
      <c r="S552" s="128"/>
      <c r="T552" s="131"/>
      <c r="U552" s="132">
        <v>203</v>
      </c>
      <c r="V552" s="121">
        <v>218.2</v>
      </c>
      <c r="W552" s="116">
        <v>0.98</v>
      </c>
      <c r="X552" s="116">
        <v>1.66</v>
      </c>
      <c r="Y552" s="116">
        <f t="shared" si="408"/>
        <v>0.98</v>
      </c>
      <c r="Z552" s="133">
        <v>1.454</v>
      </c>
      <c r="AA552" s="133">
        <v>0.83599999999999997</v>
      </c>
      <c r="AB552" s="133">
        <v>0.72</v>
      </c>
      <c r="AC552" s="121">
        <v>34.299999999999997</v>
      </c>
      <c r="AD552" s="134">
        <v>1.17</v>
      </c>
      <c r="AE552" s="124">
        <v>177.8</v>
      </c>
      <c r="AF552" s="128">
        <v>9.19</v>
      </c>
      <c r="AG552" s="128">
        <v>2120</v>
      </c>
      <c r="AH552" s="127">
        <v>2573</v>
      </c>
      <c r="AI552" s="127">
        <v>2573</v>
      </c>
      <c r="AJ552" s="135">
        <v>44734</v>
      </c>
      <c r="AK552" s="128"/>
      <c r="AL552" s="131"/>
      <c r="AM552" s="124" t="s">
        <v>1921</v>
      </c>
      <c r="AN552" s="136" t="s">
        <v>1922</v>
      </c>
      <c r="AO552" s="137" t="s">
        <v>1923</v>
      </c>
      <c r="AP552" s="128">
        <v>2199.17</v>
      </c>
      <c r="AQ552" s="128">
        <v>153</v>
      </c>
      <c r="AR552" s="128" t="s">
        <v>1924</v>
      </c>
      <c r="AS552" s="128">
        <v>114</v>
      </c>
      <c r="AT552" s="122">
        <v>7.37</v>
      </c>
      <c r="AU552" s="124" t="s">
        <v>189</v>
      </c>
      <c r="AV552" s="115">
        <f>VLOOKUP(J552,'[63]ТР нефть'!$J$28:$BP$638,39,0)</f>
        <v>405</v>
      </c>
      <c r="AW552" s="115" t="str">
        <f>VLOOKUP(J552,'[63]ТР нефть'!$J$28:$BP$638,40,0)</f>
        <v>ГП</v>
      </c>
      <c r="AX552" s="115">
        <f>VLOOKUP(J552,'[63]ТР нефть'!$J$28:$BP$638,41,0)</f>
        <v>939</v>
      </c>
      <c r="AY552" s="115" t="str">
        <f>VLOOKUP(J552,'[63]ТР нефть'!$J$28:$BP$638,42,0)</f>
        <v>ГК 81 1/8</v>
      </c>
      <c r="AZ552" s="115">
        <f>VLOOKUP(J552,'[63]ТР нефть'!$J$28:$BP$638,43,0)</f>
        <v>1387</v>
      </c>
      <c r="BA552" s="115" t="str">
        <f>VLOOKUP(J552,'[63]ТР нефть'!$J$28:$BP$638,44,0)</f>
        <v>ГК 80 1/8</v>
      </c>
      <c r="BB552" s="115">
        <f>VLOOKUP(J552,'[63]ТР нефть'!$J$28:$BP$638,45,0)</f>
        <v>1720</v>
      </c>
      <c r="BC552" s="115" t="str">
        <f>VLOOKUP(J552,'[63]ТР нефть'!$J$28:$BP$638,46,0)</f>
        <v>ЦКсОК 5/16</v>
      </c>
      <c r="BD552" s="115" t="str">
        <f>VLOOKUP(J552,'[63]ТР нефть'!$J$28:$BP$638,47,0)</f>
        <v>-</v>
      </c>
      <c r="BE552" s="115" t="str">
        <f>VLOOKUP(J552,'[63]ТР нефть'!$J$28:$BP$638,48,0)</f>
        <v>-</v>
      </c>
      <c r="BF552" s="115" t="str">
        <f>VLOOKUP(J552,'[63]ТР нефть'!$J$28:$BP$638,49,0)</f>
        <v>-</v>
      </c>
      <c r="BG552" s="115" t="str">
        <f>VLOOKUP(J552,'[63]ТР нефть'!$J$28:$BP$638,50,0)</f>
        <v>-</v>
      </c>
      <c r="BH552" s="115" t="str">
        <f>VLOOKUP(J552,'[63]ТР нефть'!$J$28:$BP$638,51,0)</f>
        <v>-</v>
      </c>
      <c r="BI552" s="115" t="str">
        <f>VLOOKUP(J552,'[63]ТР нефть'!$J$28:$BP$638,52,0)</f>
        <v>-</v>
      </c>
      <c r="BJ552" s="115" t="str">
        <f>IF(IFERROR(VLOOKUP(J552,'[63]ТР нефть'!$J$28:$BP$638,53,0),"-")=0,"-",IFERROR(VLOOKUP(J552,'[63]ТР нефть'!$J$28:$BP$638,53,0),"-"))</f>
        <v>-</v>
      </c>
      <c r="BK552" s="138" t="str">
        <f>IF(IFERROR(VLOOKUP(J552,'[63]ТР нефть'!$J$28:$BP$638,54,0),"-")=0,"-",IFERROR(VLOOKUP(J552,'[63]ТР нефть'!$J$28:$BP$638,54,0),"-"))</f>
        <v>-</v>
      </c>
      <c r="BL552" s="138" t="str">
        <f>IF(IFERROR(VLOOKUP(J552,'[63]ТР нефть'!$J$28:$BP$638,55,0),"-")=0,"-",IFERROR(VLOOKUP(J552,'[63]ТР нефть'!$J$28:$BP$638,55,0),"-"))</f>
        <v>-</v>
      </c>
      <c r="BM552" s="138" t="str">
        <f>IF(IFERROR(VLOOKUP(J552,'[63]ТР нефть'!$J$28:$BP$638,56,0),"-")=0,"-",IFERROR(VLOOKUP(J552,'[63]ТР нефть'!$J$28:$BP$638,56,0),"-"))</f>
        <v>-</v>
      </c>
      <c r="BN552" s="138" t="str">
        <f>IF(IFERROR(VLOOKUP(J552,'[63]ТР нефть'!$J$28:$BP$638,57,0),"-")=0,"-",IFERROR(VLOOKUP(J552,'[63]ТР нефть'!$J$28:$BP$638,57,0),"-"))</f>
        <v>-</v>
      </c>
      <c r="BO552" s="115" t="str">
        <f>IF(IFERROR(VLOOKUP(J552,'[63]ТР нефть'!$J$28:$BP$638,58,0),"-")=0,"-",IFERROR(VLOOKUP(J552,'[63]ТР нефть'!$J$28:$BP$638,58,0),"-"))</f>
        <v>-</v>
      </c>
      <c r="BP552" s="115" t="str">
        <f>IF(IFERROR(VLOOKUP(J552,'[63]ТР нефть'!$J$28:$BP$638,59,0),"-")=0,"-",IFERROR(VLOOKUP(J552,'[63]ТР нефть'!$J$28:$BP$638,59,0),"-"))</f>
        <v>-</v>
      </c>
      <c r="BQ552" s="138">
        <v>1965</v>
      </c>
      <c r="BR552" s="128">
        <v>1678.55</v>
      </c>
      <c r="BS552" s="115">
        <f t="shared" si="437"/>
        <v>286.45000000000005</v>
      </c>
      <c r="BT552" s="128">
        <v>73</v>
      </c>
      <c r="BU552" s="128">
        <v>5.5</v>
      </c>
      <c r="BV552" s="127">
        <v>18</v>
      </c>
      <c r="BW552" s="127" t="s">
        <v>217</v>
      </c>
      <c r="BX552" s="127" t="s">
        <v>195</v>
      </c>
      <c r="BY552" s="139">
        <v>24</v>
      </c>
      <c r="BZ552" s="139">
        <v>0</v>
      </c>
      <c r="CA552" s="138">
        <v>21</v>
      </c>
      <c r="CB552" s="138">
        <v>32</v>
      </c>
      <c r="CC552" s="138">
        <v>20</v>
      </c>
      <c r="CD552" s="135">
        <v>45017</v>
      </c>
      <c r="CE552" s="138">
        <v>83</v>
      </c>
      <c r="CF552" s="138">
        <v>67</v>
      </c>
      <c r="CG552" s="138" t="str">
        <f t="shared" si="458"/>
        <v/>
      </c>
      <c r="CH552" s="138"/>
      <c r="CI552" s="127"/>
      <c r="CJ552" s="138"/>
      <c r="CK552" s="138"/>
      <c r="CL552" s="99"/>
      <c r="CM552" s="99"/>
      <c r="CN552" s="140">
        <v>37</v>
      </c>
      <c r="CO552" s="159">
        <f t="shared" si="442"/>
        <v>6.6879999999999997</v>
      </c>
      <c r="CP552" s="160">
        <v>8</v>
      </c>
      <c r="CQ552" s="161">
        <v>0</v>
      </c>
      <c r="CR552" s="138">
        <v>18.5</v>
      </c>
      <c r="CS552" s="139">
        <v>9.6</v>
      </c>
      <c r="CT552" s="138"/>
      <c r="CU552" s="138">
        <f t="shared" si="418"/>
        <v>8.9</v>
      </c>
      <c r="CV552" s="115">
        <f t="shared" si="419"/>
        <v>1330.7416267942585</v>
      </c>
      <c r="CW552" s="115">
        <f t="shared" si="443"/>
        <v>1435.4066985645932</v>
      </c>
      <c r="CX552" s="133">
        <f t="shared" si="420"/>
        <v>0.17391304347826086</v>
      </c>
      <c r="CY552" s="116"/>
      <c r="CZ552" s="131"/>
      <c r="DA552" s="145" t="str">
        <f t="shared" si="444"/>
        <v>Газлифт</v>
      </c>
      <c r="DB552" s="146">
        <f t="shared" si="455"/>
        <v>6.6879999999999997</v>
      </c>
      <c r="DC552" s="142">
        <f t="shared" si="459"/>
        <v>8</v>
      </c>
      <c r="DD552" s="119">
        <f t="shared" si="416"/>
        <v>0</v>
      </c>
      <c r="DE552" s="115">
        <f t="shared" si="456"/>
        <v>8.9</v>
      </c>
      <c r="DF552" s="121">
        <f t="shared" si="445"/>
        <v>9.6</v>
      </c>
      <c r="DG552" s="115">
        <f t="shared" si="446"/>
        <v>1330.7416267942585</v>
      </c>
      <c r="DH552" s="115">
        <f t="shared" si="447"/>
        <v>37</v>
      </c>
      <c r="DI552" s="147"/>
      <c r="DJ552" s="111">
        <v>43719</v>
      </c>
      <c r="DK552" s="112">
        <v>42150</v>
      </c>
      <c r="DL552" s="113">
        <f t="shared" ca="1" si="424"/>
        <v>2954</v>
      </c>
      <c r="DM552" s="114"/>
      <c r="DN552" s="114"/>
      <c r="DO552" s="114"/>
      <c r="DP552" s="114"/>
      <c r="DQ552" s="112">
        <v>43659</v>
      </c>
      <c r="DR552" s="114" t="s">
        <v>198</v>
      </c>
      <c r="DS552" s="114"/>
      <c r="DT552" s="115">
        <v>59</v>
      </c>
      <c r="DU552" s="116">
        <f t="shared" si="425"/>
        <v>0.33333333333333331</v>
      </c>
      <c r="DV552" s="117">
        <f t="shared" si="428"/>
        <v>6.6879999999999997</v>
      </c>
      <c r="DW552" s="118">
        <f t="shared" si="429"/>
        <v>8</v>
      </c>
      <c r="DX552" s="119">
        <f t="shared" si="430"/>
        <v>0</v>
      </c>
      <c r="DY552" s="115">
        <f t="shared" si="431"/>
        <v>8.9</v>
      </c>
      <c r="DZ552" s="117">
        <f t="shared" si="440"/>
        <v>0</v>
      </c>
      <c r="EA552" s="120">
        <f t="shared" si="440"/>
        <v>0</v>
      </c>
      <c r="EB552" s="119">
        <f t="shared" si="440"/>
        <v>0</v>
      </c>
      <c r="EC552" s="121">
        <f t="shared" si="415"/>
        <v>0</v>
      </c>
      <c r="ED552" s="122"/>
      <c r="EE552" s="145">
        <v>18</v>
      </c>
      <c r="EF552" s="115">
        <v>21</v>
      </c>
      <c r="EG552" s="115">
        <v>32</v>
      </c>
      <c r="EH552" s="115">
        <v>21</v>
      </c>
      <c r="EI552" s="128" t="s">
        <v>195</v>
      </c>
      <c r="EJ552" s="121">
        <v>24</v>
      </c>
      <c r="EK552" s="121">
        <v>0</v>
      </c>
      <c r="EL552" s="162">
        <v>6.6879999999999997</v>
      </c>
      <c r="EM552" s="142">
        <v>8</v>
      </c>
      <c r="EN552" s="119">
        <v>0</v>
      </c>
      <c r="EO552" s="115">
        <v>18.5</v>
      </c>
      <c r="EP552" s="115">
        <v>1569.9760765550241</v>
      </c>
      <c r="EQ552" s="115">
        <v>67</v>
      </c>
      <c r="ER552" s="115">
        <v>8</v>
      </c>
      <c r="ES552" s="115">
        <v>39</v>
      </c>
      <c r="ET552" s="150">
        <v>0.18181818181818182</v>
      </c>
      <c r="EU552" s="145">
        <f t="shared" si="457"/>
        <v>18</v>
      </c>
      <c r="EV552" s="115">
        <f t="shared" si="448"/>
        <v>21</v>
      </c>
      <c r="EW552" s="115">
        <f t="shared" si="448"/>
        <v>32</v>
      </c>
      <c r="EX552" s="115">
        <f t="shared" si="448"/>
        <v>20</v>
      </c>
      <c r="EY552" s="115" t="str">
        <f t="shared" si="434"/>
        <v>Постоянный</v>
      </c>
      <c r="EZ552" s="115">
        <f t="shared" si="434"/>
        <v>24</v>
      </c>
      <c r="FA552" s="115">
        <f t="shared" si="434"/>
        <v>0</v>
      </c>
      <c r="FB552" s="149">
        <f t="shared" si="405"/>
        <v>6.6879999999999997</v>
      </c>
      <c r="FC552" s="142">
        <f t="shared" si="405"/>
        <v>8</v>
      </c>
      <c r="FD552" s="119">
        <f t="shared" si="405"/>
        <v>0</v>
      </c>
      <c r="FE552" s="121">
        <f t="shared" si="405"/>
        <v>18.5</v>
      </c>
      <c r="FF552" s="121">
        <f t="shared" si="407"/>
        <v>1330.7416267942585</v>
      </c>
      <c r="FG552" s="121">
        <f t="shared" si="449"/>
        <v>67</v>
      </c>
      <c r="FH552" s="121">
        <f t="shared" si="436"/>
        <v>9.6</v>
      </c>
      <c r="FI552" s="121">
        <f t="shared" si="427"/>
        <v>37</v>
      </c>
      <c r="FJ552" s="144">
        <f t="shared" si="450"/>
        <v>0.17391304347826086</v>
      </c>
      <c r="FK552" s="132">
        <f t="shared" si="451"/>
        <v>0</v>
      </c>
      <c r="FL552" s="115">
        <f t="shared" si="451"/>
        <v>0</v>
      </c>
      <c r="FM552" s="115">
        <f t="shared" si="451"/>
        <v>0</v>
      </c>
      <c r="FN552" s="115">
        <f t="shared" si="451"/>
        <v>-1</v>
      </c>
      <c r="FO552" s="115">
        <f t="shared" si="439"/>
        <v>0</v>
      </c>
      <c r="FP552" s="115">
        <f t="shared" si="439"/>
        <v>0</v>
      </c>
      <c r="FQ552" s="149">
        <f t="shared" si="439"/>
        <v>0</v>
      </c>
      <c r="FR552" s="142">
        <f t="shared" si="439"/>
        <v>0</v>
      </c>
      <c r="FS552" s="119">
        <f t="shared" si="439"/>
        <v>0</v>
      </c>
      <c r="FT552" s="121">
        <f t="shared" si="438"/>
        <v>0</v>
      </c>
      <c r="FU552" s="121">
        <f t="shared" si="452"/>
        <v>0</v>
      </c>
      <c r="FV552" s="121">
        <f t="shared" si="452"/>
        <v>1.5999999999999996</v>
      </c>
      <c r="FW552" s="121">
        <f t="shared" si="453"/>
        <v>-239.23444976076553</v>
      </c>
      <c r="FX552" s="121">
        <f>CN552-ES552</f>
        <v>-2</v>
      </c>
      <c r="FY552" s="144">
        <f t="shared" si="454"/>
        <v>-7.9051383399209585E-3</v>
      </c>
      <c r="FZ552" s="145"/>
      <c r="GA552" s="151"/>
      <c r="GB552" s="145" t="s">
        <v>199</v>
      </c>
      <c r="GC552" s="151" t="s">
        <v>1762</v>
      </c>
      <c r="GD552" s="997" t="s">
        <v>416</v>
      </c>
      <c r="GE552" s="1004" t="s">
        <v>199</v>
      </c>
      <c r="GF552" s="1004">
        <v>-0.8360000000000003</v>
      </c>
      <c r="GG552" s="1004"/>
      <c r="GH552" s="1004">
        <v>0</v>
      </c>
      <c r="GI552" s="145"/>
      <c r="GJ552" s="996">
        <v>0</v>
      </c>
      <c r="GK552" s="145" t="s">
        <v>203</v>
      </c>
      <c r="GL552" s="996">
        <v>-1.976</v>
      </c>
      <c r="GM552" s="1005"/>
      <c r="GN552" s="996">
        <v>4.7294599967999993</v>
      </c>
      <c r="GO552" s="1006"/>
      <c r="GP552" s="996">
        <v>0</v>
      </c>
      <c r="GQ552" s="1006"/>
      <c r="GR552" s="996">
        <v>-0.8206175999999985</v>
      </c>
      <c r="GS552" s="1006" t="s">
        <v>203</v>
      </c>
      <c r="GT552" s="996">
        <v>-0.66875820000000097</v>
      </c>
      <c r="GU552" s="1006" t="s">
        <v>203</v>
      </c>
      <c r="GV552" s="996">
        <v>-1.8364412000000012</v>
      </c>
      <c r="GW552" s="1006" t="s">
        <v>203</v>
      </c>
      <c r="GX552" s="996">
        <v>-9.242307711999997</v>
      </c>
      <c r="GY552" s="1006" t="s">
        <v>25</v>
      </c>
      <c r="GZ552" s="996">
        <v>21.346124711999998</v>
      </c>
      <c r="HA552" s="1006"/>
      <c r="HB552" s="996">
        <v>-7.0048440000000012</v>
      </c>
      <c r="HC552" s="1006" t="s">
        <v>199</v>
      </c>
      <c r="HD552" s="996">
        <v>1.200705000000001</v>
      </c>
      <c r="HE552" s="1006" t="s">
        <v>204</v>
      </c>
      <c r="HF552" s="996">
        <v>3.2116235800000004</v>
      </c>
      <c r="HG552" s="1006" t="s">
        <v>204</v>
      </c>
      <c r="HH552" s="996">
        <v>0</v>
      </c>
      <c r="HI552" s="1006" t="s">
        <v>199</v>
      </c>
      <c r="HJ552" s="996">
        <v>1.127096036</v>
      </c>
      <c r="HK552" s="1006"/>
      <c r="HL552" s="996">
        <v>0</v>
      </c>
      <c r="HM552" s="1006" t="s">
        <v>199</v>
      </c>
      <c r="HN552" s="996">
        <v>-7.5543518159999996</v>
      </c>
      <c r="HO552" s="1006"/>
      <c r="HP552" s="996">
        <v>0</v>
      </c>
      <c r="HQ552" s="1006" t="s">
        <v>199</v>
      </c>
      <c r="HR552" s="996">
        <v>3.6895254879999992</v>
      </c>
      <c r="HS552" s="1006"/>
      <c r="HT552" s="996">
        <v>0</v>
      </c>
      <c r="HU552" s="1006"/>
      <c r="HV552" s="996">
        <v>-0.76419428799999967</v>
      </c>
      <c r="HW552" s="1006"/>
      <c r="HX552" s="996">
        <v>0</v>
      </c>
      <c r="HY552" s="1006" t="s">
        <v>199</v>
      </c>
      <c r="HZ552" s="996">
        <v>-2.7671599999999996</v>
      </c>
      <c r="IA552" s="1006" t="s">
        <v>199</v>
      </c>
      <c r="IB552" s="996">
        <v>2.6180426799999994</v>
      </c>
      <c r="IC552" s="1006" t="s">
        <v>221</v>
      </c>
      <c r="ID552" s="996">
        <v>-4.1799414799999992</v>
      </c>
      <c r="IE552" s="1006"/>
      <c r="IF552" s="996">
        <v>0</v>
      </c>
      <c r="IG552" s="1006" t="s">
        <v>199</v>
      </c>
      <c r="IH552" s="996">
        <v>3.269485647999999</v>
      </c>
      <c r="II552" s="1006"/>
      <c r="IJ552" s="996">
        <v>-0.40533836199999929</v>
      </c>
      <c r="IK552" s="1006"/>
      <c r="IL552" s="996">
        <v>-0.42821048599999934</v>
      </c>
      <c r="IM552" s="1006" t="s">
        <v>204</v>
      </c>
      <c r="IN552" s="996">
        <v>-1.3783800800000012</v>
      </c>
      <c r="IO552" s="1006" t="s">
        <v>199</v>
      </c>
      <c r="IP552" s="996">
        <v>1.8772547200000016</v>
      </c>
      <c r="IQ552" s="1006"/>
      <c r="IR552" s="996">
        <v>-0.44194304000000084</v>
      </c>
      <c r="IS552" s="1006"/>
      <c r="IT552" s="996">
        <v>-0.94167040000000046</v>
      </c>
      <c r="IU552" s="1006"/>
      <c r="IV552" s="996">
        <v>0.93030080000000037</v>
      </c>
      <c r="IW552" s="1006"/>
      <c r="IX552" s="996">
        <v>0</v>
      </c>
      <c r="IY552" s="1006"/>
      <c r="IZ552" s="996">
        <v>0</v>
      </c>
      <c r="JA552" s="1006"/>
      <c r="JB552" s="996">
        <v>0</v>
      </c>
      <c r="JC552" s="1006" t="s">
        <v>199</v>
      </c>
      <c r="JD552" s="996">
        <v>-1.0617200000000002</v>
      </c>
      <c r="JE552" s="1006"/>
      <c r="JF552" s="996">
        <v>0</v>
      </c>
      <c r="JG552" s="1006" t="s">
        <v>204</v>
      </c>
      <c r="JH552" s="996">
        <v>-5.7120502560000013</v>
      </c>
      <c r="JI552" s="1006"/>
      <c r="JJ552" s="996">
        <v>0</v>
      </c>
      <c r="JK552" s="1007" t="s">
        <v>204</v>
      </c>
      <c r="JL552" s="1007">
        <v>5.263043016000001</v>
      </c>
      <c r="JM552" s="1007"/>
      <c r="JN552" s="1007">
        <v>0</v>
      </c>
      <c r="JO552" s="1008"/>
      <c r="JP552" s="1007">
        <v>0</v>
      </c>
      <c r="JQ552" s="1008">
        <v>0</v>
      </c>
      <c r="JR552" s="1007">
        <v>0.98839444000000043</v>
      </c>
      <c r="JS552" s="1008" t="s">
        <v>25</v>
      </c>
      <c r="JT552" s="1007">
        <v>0.60593279999999972</v>
      </c>
      <c r="JU552" s="1008" t="s">
        <v>199</v>
      </c>
      <c r="JV552" s="1007">
        <v>2.0064000000000002</v>
      </c>
      <c r="JW552" s="1008" t="s">
        <v>197</v>
      </c>
      <c r="JX552" s="1007">
        <v>0</v>
      </c>
      <c r="JY552" s="1008" t="s">
        <v>204</v>
      </c>
      <c r="JZ552" s="1007">
        <v>-17.181471999999999</v>
      </c>
      <c r="KA552" s="1008"/>
      <c r="KB552" s="1007">
        <v>0</v>
      </c>
      <c r="KC552" s="1008"/>
      <c r="KD552" s="1007">
        <v>0</v>
      </c>
      <c r="KE552" s="1008"/>
      <c r="KF552" s="1007">
        <v>0</v>
      </c>
      <c r="KG552" s="1008"/>
      <c r="KH552" s="1007">
        <v>0</v>
      </c>
      <c r="KI552" s="1008" t="s">
        <v>206</v>
      </c>
      <c r="KJ552" s="1007">
        <v>10.923594</v>
      </c>
      <c r="KK552" s="1008"/>
      <c r="KL552" s="1007">
        <v>0</v>
      </c>
      <c r="KM552" s="1008" t="s">
        <v>207</v>
      </c>
      <c r="KN552" s="1007">
        <v>-2.5221952799999983</v>
      </c>
      <c r="KO552" s="1008"/>
      <c r="KP552" s="1007">
        <v>0</v>
      </c>
      <c r="KQ552" s="1008">
        <v>0</v>
      </c>
      <c r="KR552" s="1007">
        <v>0</v>
      </c>
      <c r="KS552" s="1008" t="s">
        <v>204</v>
      </c>
      <c r="KT552" s="1007">
        <v>-2.90637072</v>
      </c>
      <c r="KU552" s="1008">
        <v>0</v>
      </c>
      <c r="KV552" s="1007">
        <v>0</v>
      </c>
      <c r="KW552" s="1008">
        <v>0</v>
      </c>
      <c r="KX552" s="1007">
        <v>0</v>
      </c>
      <c r="KY552" s="1008">
        <v>0</v>
      </c>
      <c r="KZ552" s="1007">
        <v>0</v>
      </c>
      <c r="LA552" s="1008">
        <v>0</v>
      </c>
      <c r="LB552" s="1007">
        <v>0</v>
      </c>
      <c r="LC552" s="1008">
        <v>0</v>
      </c>
      <c r="LD552" s="1007">
        <v>0</v>
      </c>
      <c r="LE552" s="1008">
        <v>0</v>
      </c>
      <c r="LF552" s="1007">
        <v>0</v>
      </c>
      <c r="LG552" s="1008">
        <v>0</v>
      </c>
      <c r="LH552" s="1007">
        <v>0</v>
      </c>
      <c r="LI552" s="1008" t="s">
        <v>25</v>
      </c>
      <c r="LJ552" s="1007">
        <v>5.8461479999999977</v>
      </c>
      <c r="LK552" s="1008">
        <v>0</v>
      </c>
      <c r="LL552" s="1007">
        <v>0</v>
      </c>
      <c r="LM552" s="1008">
        <v>0</v>
      </c>
      <c r="LN552" s="1007">
        <v>0</v>
      </c>
      <c r="LO552" s="1008">
        <v>0</v>
      </c>
      <c r="LP552" s="1007">
        <v>-0.41758199999999901</v>
      </c>
      <c r="LQ552" s="1008">
        <v>0</v>
      </c>
      <c r="LR552" s="1007">
        <v>0</v>
      </c>
      <c r="LS552" s="1008">
        <v>0</v>
      </c>
      <c r="LT552" s="1007">
        <v>0</v>
      </c>
      <c r="LU552" s="1008" t="s">
        <v>223</v>
      </c>
      <c r="LV552" s="1007">
        <v>-2.2549428000000002</v>
      </c>
      <c r="LW552" s="1008" t="s">
        <v>207</v>
      </c>
      <c r="LX552" s="1007">
        <v>3.5768879999999998</v>
      </c>
      <c r="LY552" s="1009" t="s">
        <v>206</v>
      </c>
      <c r="LZ552" s="1010">
        <v>-2.7564120000000001</v>
      </c>
      <c r="MA552" s="1011" t="s">
        <v>206</v>
      </c>
      <c r="MB552" s="1012">
        <v>-1.48932</v>
      </c>
      <c r="MC552" s="995"/>
      <c r="MD552" s="996"/>
      <c r="ME552" s="997" t="s">
        <v>416</v>
      </c>
      <c r="MF552" s="997"/>
      <c r="MG552" s="998"/>
      <c r="NR552" s="1000"/>
      <c r="NS552" s="1000"/>
      <c r="NT552" s="1001"/>
      <c r="NU552" s="1000"/>
      <c r="NV552" s="1001"/>
      <c r="NX552" s="1002"/>
      <c r="NZ552" s="1001"/>
      <c r="OA552" s="1001"/>
      <c r="OC552" s="1003"/>
      <c r="OD552" s="1003"/>
      <c r="OE552" s="1001"/>
      <c r="OF552" s="1003"/>
      <c r="OG552" s="1003"/>
      <c r="QX552" s="1000">
        <f>CN552-CA552</f>
        <v>16</v>
      </c>
      <c r="ASU552" s="999" t="s">
        <v>208</v>
      </c>
    </row>
    <row r="553" spans="1:466 1191:1191" ht="21" customHeight="1" x14ac:dyDescent="0.25">
      <c r="A553" s="982">
        <f t="shared" si="441"/>
        <v>3260</v>
      </c>
      <c r="B553" s="124">
        <f>SUBTOTAL(103,$J$29:J553)</f>
        <v>525</v>
      </c>
      <c r="C553" s="126">
        <v>45068</v>
      </c>
      <c r="D553" s="124" t="s">
        <v>176</v>
      </c>
      <c r="E553" s="127" t="s">
        <v>177</v>
      </c>
      <c r="F553" s="128" t="s">
        <v>177</v>
      </c>
      <c r="G553" s="127" t="s">
        <v>178</v>
      </c>
      <c r="H553" s="127" t="s">
        <v>421</v>
      </c>
      <c r="I553" s="127" t="s">
        <v>422</v>
      </c>
      <c r="J553" s="152">
        <v>3260</v>
      </c>
      <c r="K553" s="127" t="s">
        <v>1279</v>
      </c>
      <c r="L553" s="130">
        <v>35314</v>
      </c>
      <c r="M553" s="127" t="s">
        <v>230</v>
      </c>
      <c r="N553" s="127" t="s">
        <v>231</v>
      </c>
      <c r="O553" s="127" t="s">
        <v>185</v>
      </c>
      <c r="P553" s="127" t="s">
        <v>186</v>
      </c>
      <c r="Q553" s="85" t="str">
        <f t="shared" si="423"/>
        <v/>
      </c>
      <c r="R553" s="130"/>
      <c r="S553" s="128"/>
      <c r="T553" s="131"/>
      <c r="U553" s="132">
        <v>203</v>
      </c>
      <c r="V553" s="121">
        <v>218.2</v>
      </c>
      <c r="W553" s="116">
        <v>0.98</v>
      </c>
      <c r="X553" s="116">
        <v>1.66</v>
      </c>
      <c r="Y553" s="116">
        <f t="shared" si="408"/>
        <v>0.98</v>
      </c>
      <c r="Z553" s="133">
        <v>1.454</v>
      </c>
      <c r="AA553" s="133">
        <v>0.83599999999999997</v>
      </c>
      <c r="AB553" s="133">
        <v>0.72</v>
      </c>
      <c r="AC553" s="121">
        <v>34.299999999999997</v>
      </c>
      <c r="AD553" s="134">
        <v>1.17</v>
      </c>
      <c r="AE553" s="124">
        <v>177.8</v>
      </c>
      <c r="AF553" s="128">
        <v>9.19</v>
      </c>
      <c r="AG553" s="128">
        <v>2126</v>
      </c>
      <c r="AH553" s="127">
        <v>2775</v>
      </c>
      <c r="AI553" s="127">
        <v>2775</v>
      </c>
      <c r="AJ553" s="135"/>
      <c r="AK553" s="128"/>
      <c r="AL553" s="131"/>
      <c r="AM553" s="124" t="s">
        <v>187</v>
      </c>
      <c r="AN553" s="136" t="s">
        <v>1925</v>
      </c>
      <c r="AO553" s="137">
        <v>13.84</v>
      </c>
      <c r="AP553" s="128">
        <v>2215</v>
      </c>
      <c r="AQ553" s="128">
        <v>250.7</v>
      </c>
      <c r="AR553" s="128" t="s">
        <v>1926</v>
      </c>
      <c r="AS553" s="128">
        <v>114</v>
      </c>
      <c r="AT553" s="122">
        <v>7.37</v>
      </c>
      <c r="AU553" s="124" t="s">
        <v>189</v>
      </c>
      <c r="AV553" s="115">
        <f>VLOOKUP(J553,'[63]ТР нефть'!$J$28:$BP$638,39,0)</f>
        <v>380.000023828</v>
      </c>
      <c r="AW553" s="115" t="str">
        <f>VLOOKUP(J553,'[63]ТР нефть'!$J$28:$BP$638,40,0)</f>
        <v>ГП</v>
      </c>
      <c r="AX553" s="115">
        <f>VLOOKUP(J553,'[63]ТР нефть'!$J$28:$BP$638,41,0)</f>
        <v>715.00000371099998</v>
      </c>
      <c r="AY553" s="115" t="str">
        <f>VLOOKUP(J553,'[63]ТР нефть'!$J$28:$BP$638,42,0)</f>
        <v>ГП</v>
      </c>
      <c r="AZ553" s="115">
        <f>VLOOKUP(J553,'[63]ТР нефть'!$J$28:$BP$638,43,0)</f>
        <v>1014.999999023</v>
      </c>
      <c r="BA553" s="115" t="str">
        <f>VLOOKUP(J553,'[63]ТР нефть'!$J$28:$BP$638,44,0)</f>
        <v>ГК 88 1/8</v>
      </c>
      <c r="BB553" s="115">
        <f>VLOOKUP(J553,'[63]ТР нефть'!$J$28:$BP$638,45,0)</f>
        <v>1295.0000988280001</v>
      </c>
      <c r="BC553" s="115" t="str">
        <f>VLOOKUP(J553,'[63]ТР нефть'!$J$28:$BP$638,46,0)</f>
        <v>ГК 87 5/32</v>
      </c>
      <c r="BD553" s="115">
        <f>VLOOKUP(J553,'[63]ТР нефть'!$J$28:$BP$638,47,0)</f>
        <v>1530.0000058590001</v>
      </c>
      <c r="BE553" s="115" t="str">
        <f>VLOOKUP(J553,'[63]ТР нефть'!$J$28:$BP$638,48,0)</f>
        <v>ГК 87 5/32</v>
      </c>
      <c r="BF553" s="115" t="str">
        <f>VLOOKUP(J553,'[63]ТР нефть'!$J$28:$BP$638,49,0)</f>
        <v>-</v>
      </c>
      <c r="BG553" s="115" t="str">
        <f>VLOOKUP(J553,'[63]ТР нефть'!$J$28:$BP$638,50,0)</f>
        <v>-</v>
      </c>
      <c r="BH553" s="115">
        <f>VLOOKUP(J553,'[63]ТР нефть'!$J$28:$BP$638,51,0)</f>
        <v>1700</v>
      </c>
      <c r="BI553" s="115" t="str">
        <f>VLOOKUP(J553,'[63]ТР нефть'!$J$28:$BP$638,52,0)</f>
        <v>закрыт</v>
      </c>
      <c r="BJ553" s="115" t="str">
        <f>IF(IFERROR(VLOOKUP(J553,'[63]ТР нефть'!$J$28:$BP$638,53,0),"-")=0,"-",IFERROR(VLOOKUP(J553,'[63]ТР нефть'!$J$28:$BP$638,53,0),"-"))</f>
        <v>-</v>
      </c>
      <c r="BK553" s="138" t="str">
        <f>IF(IFERROR(VLOOKUP(J553,'[63]ТР нефть'!$J$28:$BP$638,54,0),"-")=0,"-",IFERROR(VLOOKUP(J553,'[63]ТР нефть'!$J$28:$BP$638,54,0),"-"))</f>
        <v>-</v>
      </c>
      <c r="BL553" s="138" t="str">
        <f>IF(IFERROR(VLOOKUP(J553,'[63]ТР нефть'!$J$28:$BP$638,55,0),"-")=0,"-",IFERROR(VLOOKUP(J553,'[63]ТР нефть'!$J$28:$BP$638,55,0),"-"))</f>
        <v>-</v>
      </c>
      <c r="BM553" s="138" t="str">
        <f>IF(IFERROR(VLOOKUP(J553,'[63]ТР нефть'!$J$28:$BP$638,56,0),"-")=0,"-",IFERROR(VLOOKUP(J553,'[63]ТР нефть'!$J$28:$BP$638,56,0),"-"))</f>
        <v>-</v>
      </c>
      <c r="BN553" s="138" t="str">
        <f>IF(IFERROR(VLOOKUP(J553,'[63]ТР нефть'!$J$28:$BP$638,57,0),"-")=0,"-",IFERROR(VLOOKUP(J553,'[63]ТР нефть'!$J$28:$BP$638,57,0),"-"))</f>
        <v>-</v>
      </c>
      <c r="BO553" s="115" t="str">
        <f>IF(IFERROR(VLOOKUP(J553,'[63]ТР нефть'!$J$28:$BP$638,58,0),"-")=0,"-",IFERROR(VLOOKUP(J553,'[63]ТР нефть'!$J$28:$BP$638,58,0),"-"))</f>
        <v>-</v>
      </c>
      <c r="BP553" s="115" t="str">
        <f>IF(IFERROR(VLOOKUP(J553,'[63]ТР нефть'!$J$28:$BP$638,59,0),"-")=0,"-",IFERROR(VLOOKUP(J553,'[63]ТР нефть'!$J$28:$BP$638,59,0),"-"))</f>
        <v>-</v>
      </c>
      <c r="BQ553" s="138">
        <v>1975</v>
      </c>
      <c r="BR553" s="128">
        <v>1790.83</v>
      </c>
      <c r="BS553" s="115">
        <f t="shared" si="437"/>
        <v>184.17000000000007</v>
      </c>
      <c r="BT553" s="128">
        <v>73</v>
      </c>
      <c r="BU553" s="128">
        <v>5.5</v>
      </c>
      <c r="BV553" s="127">
        <v>18</v>
      </c>
      <c r="BW553" s="127" t="s">
        <v>217</v>
      </c>
      <c r="BX553" s="127" t="s">
        <v>195</v>
      </c>
      <c r="BY553" s="139">
        <v>24</v>
      </c>
      <c r="BZ553" s="139">
        <v>0</v>
      </c>
      <c r="CA553" s="138">
        <v>21</v>
      </c>
      <c r="CB553" s="138">
        <v>31</v>
      </c>
      <c r="CC553" s="138">
        <v>20</v>
      </c>
      <c r="CD553" s="135">
        <v>45017</v>
      </c>
      <c r="CE553" s="138">
        <v>85</v>
      </c>
      <c r="CF553" s="138">
        <v>73</v>
      </c>
      <c r="CG553" s="138" t="str">
        <f t="shared" si="458"/>
        <v>В работе</v>
      </c>
      <c r="CH553" s="138" t="s">
        <v>196</v>
      </c>
      <c r="CI553" s="127">
        <v>6</v>
      </c>
      <c r="CJ553" s="138"/>
      <c r="CK553" s="138"/>
      <c r="CL553" s="99"/>
      <c r="CM553" s="99"/>
      <c r="CN553" s="140">
        <v>42</v>
      </c>
      <c r="CO553" s="159">
        <f t="shared" si="442"/>
        <v>6.7715999999999994</v>
      </c>
      <c r="CP553" s="160">
        <v>8.1</v>
      </c>
      <c r="CQ553" s="161">
        <v>0</v>
      </c>
      <c r="CR553" s="138">
        <v>21</v>
      </c>
      <c r="CS553" s="139">
        <v>9.6</v>
      </c>
      <c r="CT553" s="138"/>
      <c r="CU553" s="138">
        <f t="shared" si="418"/>
        <v>11.4</v>
      </c>
      <c r="CV553" s="115">
        <f t="shared" si="419"/>
        <v>1683.5016835016836</v>
      </c>
      <c r="CW553" s="115">
        <f t="shared" si="443"/>
        <v>1417.685628211944</v>
      </c>
      <c r="CX553" s="133">
        <f t="shared" si="420"/>
        <v>0.1883720930232558</v>
      </c>
      <c r="CY553" s="116"/>
      <c r="CZ553" s="131"/>
      <c r="DA553" s="145" t="str">
        <f t="shared" si="444"/>
        <v>Газлифт</v>
      </c>
      <c r="DB553" s="146">
        <f t="shared" si="455"/>
        <v>6.7715999999999994</v>
      </c>
      <c r="DC553" s="142">
        <f t="shared" si="459"/>
        <v>8.1</v>
      </c>
      <c r="DD553" s="119">
        <f t="shared" si="416"/>
        <v>0</v>
      </c>
      <c r="DE553" s="115">
        <f t="shared" si="456"/>
        <v>11.4</v>
      </c>
      <c r="DF553" s="121">
        <f t="shared" si="445"/>
        <v>9.6</v>
      </c>
      <c r="DG553" s="115">
        <f t="shared" si="446"/>
        <v>1683.5016835016836</v>
      </c>
      <c r="DH553" s="115">
        <f t="shared" si="447"/>
        <v>42</v>
      </c>
      <c r="DI553" s="147"/>
      <c r="DJ553" s="111">
        <v>43528</v>
      </c>
      <c r="DK553" s="112">
        <v>42216</v>
      </c>
      <c r="DL553" s="113">
        <f t="shared" ca="1" si="424"/>
        <v>2888</v>
      </c>
      <c r="DM553" s="114"/>
      <c r="DN553" s="114"/>
      <c r="DO553" s="114"/>
      <c r="DP553" s="114"/>
      <c r="DQ553" s="112" t="s">
        <v>1927</v>
      </c>
      <c r="DR553" s="114" t="s">
        <v>198</v>
      </c>
      <c r="DS553" s="114"/>
      <c r="DT553" s="115">
        <v>56</v>
      </c>
      <c r="DU553" s="116">
        <f t="shared" si="425"/>
        <v>0.27931034482758621</v>
      </c>
      <c r="DV553" s="117">
        <f t="shared" si="428"/>
        <v>6.7715999999999994</v>
      </c>
      <c r="DW553" s="118">
        <f t="shared" si="429"/>
        <v>8.1</v>
      </c>
      <c r="DX553" s="119">
        <f t="shared" si="430"/>
        <v>0</v>
      </c>
      <c r="DY553" s="115">
        <f t="shared" si="431"/>
        <v>11.4</v>
      </c>
      <c r="DZ553" s="117">
        <f t="shared" si="440"/>
        <v>0</v>
      </c>
      <c r="EA553" s="120">
        <f t="shared" si="440"/>
        <v>0</v>
      </c>
      <c r="EB553" s="119">
        <f t="shared" si="440"/>
        <v>0</v>
      </c>
      <c r="EC553" s="121">
        <f t="shared" si="415"/>
        <v>0</v>
      </c>
      <c r="ED553" s="122"/>
      <c r="EE553" s="145">
        <v>18</v>
      </c>
      <c r="EF553" s="115">
        <v>18</v>
      </c>
      <c r="EG553" s="115">
        <v>30</v>
      </c>
      <c r="EH553" s="115">
        <v>17</v>
      </c>
      <c r="EI553" s="128" t="s">
        <v>195</v>
      </c>
      <c r="EJ553" s="121">
        <v>24</v>
      </c>
      <c r="EK553" s="121">
        <v>0</v>
      </c>
      <c r="EL553" s="162">
        <v>5.9264039999999998</v>
      </c>
      <c r="EM553" s="142">
        <v>7.0890000000000004</v>
      </c>
      <c r="EN553" s="119">
        <v>0</v>
      </c>
      <c r="EO553" s="115">
        <v>16.798999999999999</v>
      </c>
      <c r="EP553" s="115">
        <v>1214.7332513949439</v>
      </c>
      <c r="EQ553" s="115">
        <v>81</v>
      </c>
      <c r="ER553" s="115">
        <v>9.6</v>
      </c>
      <c r="ES553" s="115">
        <v>36</v>
      </c>
      <c r="ET553" s="150">
        <v>0.1446734693877551</v>
      </c>
      <c r="EU553" s="145">
        <f t="shared" si="457"/>
        <v>18</v>
      </c>
      <c r="EV553" s="115">
        <f t="shared" si="448"/>
        <v>21</v>
      </c>
      <c r="EW553" s="115">
        <f t="shared" si="448"/>
        <v>31</v>
      </c>
      <c r="EX553" s="115">
        <f t="shared" si="448"/>
        <v>20</v>
      </c>
      <c r="EY553" s="115" t="str">
        <f t="shared" si="434"/>
        <v>Постоянный</v>
      </c>
      <c r="EZ553" s="115">
        <f t="shared" si="434"/>
        <v>24</v>
      </c>
      <c r="FA553" s="115">
        <f t="shared" si="434"/>
        <v>0</v>
      </c>
      <c r="FB553" s="149">
        <f t="shared" si="405"/>
        <v>6.7715999999999994</v>
      </c>
      <c r="FC553" s="142">
        <f t="shared" si="405"/>
        <v>8.1</v>
      </c>
      <c r="FD553" s="119">
        <f t="shared" si="405"/>
        <v>0</v>
      </c>
      <c r="FE553" s="121">
        <f t="shared" ref="FE553:FE616" si="460">CR553</f>
        <v>21</v>
      </c>
      <c r="FF553" s="121">
        <f t="shared" si="407"/>
        <v>1683.5016835016836</v>
      </c>
      <c r="FG553" s="121">
        <f t="shared" si="449"/>
        <v>73</v>
      </c>
      <c r="FH553" s="121">
        <f t="shared" si="436"/>
        <v>9.6</v>
      </c>
      <c r="FI553" s="121">
        <f t="shared" si="427"/>
        <v>42</v>
      </c>
      <c r="FJ553" s="144">
        <f t="shared" si="450"/>
        <v>0.1883720930232558</v>
      </c>
      <c r="FK553" s="132">
        <f t="shared" si="451"/>
        <v>0</v>
      </c>
      <c r="FL553" s="115">
        <f t="shared" si="451"/>
        <v>3</v>
      </c>
      <c r="FM553" s="115">
        <f t="shared" si="451"/>
        <v>1</v>
      </c>
      <c r="FN553" s="115">
        <f t="shared" si="451"/>
        <v>3</v>
      </c>
      <c r="FO553" s="115">
        <f t="shared" si="439"/>
        <v>0</v>
      </c>
      <c r="FP553" s="115">
        <f t="shared" si="439"/>
        <v>0</v>
      </c>
      <c r="FQ553" s="149">
        <f t="shared" si="439"/>
        <v>0.84519599999999961</v>
      </c>
      <c r="FR553" s="142">
        <f t="shared" si="439"/>
        <v>1.0109999999999992</v>
      </c>
      <c r="FS553" s="119">
        <f t="shared" si="439"/>
        <v>0</v>
      </c>
      <c r="FT553" s="121">
        <f t="shared" si="438"/>
        <v>4.2010000000000005</v>
      </c>
      <c r="FU553" s="121">
        <f t="shared" si="452"/>
        <v>-8</v>
      </c>
      <c r="FV553" s="121">
        <f t="shared" si="452"/>
        <v>0</v>
      </c>
      <c r="FW553" s="121">
        <f t="shared" si="453"/>
        <v>468.76843210673974</v>
      </c>
      <c r="FX553" s="121">
        <f>CN553-ES553</f>
        <v>6</v>
      </c>
      <c r="FY553" s="144">
        <f t="shared" si="454"/>
        <v>4.36986236355007E-2</v>
      </c>
      <c r="FZ553" s="145"/>
      <c r="GA553" s="151"/>
      <c r="GB553" s="145"/>
      <c r="GC553" s="151"/>
      <c r="GD553" s="997" t="s">
        <v>416</v>
      </c>
      <c r="GE553" s="1004"/>
      <c r="GF553" s="1004">
        <v>0</v>
      </c>
      <c r="GG553" s="1004"/>
      <c r="GH553" s="1004">
        <v>0</v>
      </c>
      <c r="GI553" s="145" t="s">
        <v>204</v>
      </c>
      <c r="GJ553" s="996">
        <v>3.4560239999999998</v>
      </c>
      <c r="GK553" s="145" t="s">
        <v>223</v>
      </c>
      <c r="GL553" s="996">
        <v>-1.52962</v>
      </c>
      <c r="GM553" s="1005"/>
      <c r="GN553" s="996">
        <v>0</v>
      </c>
      <c r="GO553" s="1006"/>
      <c r="GP553" s="996">
        <v>-0.90120800000000045</v>
      </c>
      <c r="GQ553" s="1006"/>
      <c r="GR553" s="996">
        <v>0.78015520000000116</v>
      </c>
      <c r="GS553" s="1006"/>
      <c r="GT553" s="996">
        <v>-4.1142569600000023</v>
      </c>
      <c r="GU553" s="1006"/>
      <c r="GV553" s="996">
        <v>0</v>
      </c>
      <c r="GW553" s="1006"/>
      <c r="GX553" s="996">
        <v>-0.30931999999999782</v>
      </c>
      <c r="GY553" s="1006"/>
      <c r="GZ553" s="996">
        <v>0.53963799999999829</v>
      </c>
      <c r="HA553" s="1006" t="s">
        <v>199</v>
      </c>
      <c r="HB553" s="996">
        <v>9.0349027999999993</v>
      </c>
      <c r="HC553" s="1006" t="s">
        <v>199</v>
      </c>
      <c r="HD553" s="996">
        <v>-8.3820703999999999</v>
      </c>
      <c r="HE553" s="1006"/>
      <c r="HF553" s="996">
        <v>0</v>
      </c>
      <c r="HG553" s="1006" t="s">
        <v>204</v>
      </c>
      <c r="HH553" s="996">
        <v>3.3282832000000013</v>
      </c>
      <c r="HI553" s="1006"/>
      <c r="HJ553" s="996">
        <v>0</v>
      </c>
      <c r="HK553" s="1006"/>
      <c r="HL553" s="996">
        <v>0</v>
      </c>
      <c r="HM553" s="1006"/>
      <c r="HN553" s="996">
        <v>0</v>
      </c>
      <c r="HO553" s="1006" t="s">
        <v>199</v>
      </c>
      <c r="HP553" s="996">
        <v>-1.5809345199999996</v>
      </c>
      <c r="HQ553" s="1006"/>
      <c r="HR553" s="996">
        <v>1.2414599999997833E-2</v>
      </c>
      <c r="HS553" s="1006"/>
      <c r="HT553" s="996">
        <v>0</v>
      </c>
      <c r="HU553" s="1006"/>
      <c r="HV553" s="996">
        <v>0</v>
      </c>
      <c r="HW553" s="1006"/>
      <c r="HX553" s="996">
        <v>0</v>
      </c>
      <c r="HY553" s="1006"/>
      <c r="HZ553" s="996">
        <v>0</v>
      </c>
      <c r="IA553" s="1006"/>
      <c r="IB553" s="996">
        <v>0</v>
      </c>
      <c r="IC553" s="1006"/>
      <c r="ID553" s="996">
        <v>0</v>
      </c>
      <c r="IE553" s="1006"/>
      <c r="IF553" s="996">
        <v>0</v>
      </c>
      <c r="IG553" s="1006"/>
      <c r="IH553" s="996">
        <v>0</v>
      </c>
      <c r="II553" s="1006"/>
      <c r="IJ553" s="996">
        <v>0</v>
      </c>
      <c r="IK553" s="1006"/>
      <c r="IL553" s="996">
        <v>0</v>
      </c>
      <c r="IM553" s="1006"/>
      <c r="IN553" s="996">
        <v>0</v>
      </c>
      <c r="IO553" s="1006"/>
      <c r="IP553" s="996">
        <v>0</v>
      </c>
      <c r="IQ553" s="1006" t="s">
        <v>199</v>
      </c>
      <c r="IR553" s="996">
        <v>6.2362423200000006</v>
      </c>
      <c r="IS553" s="1006"/>
      <c r="IT553" s="996">
        <v>0</v>
      </c>
      <c r="IU553" s="1006"/>
      <c r="IV553" s="996">
        <v>0</v>
      </c>
      <c r="IW553" s="1006"/>
      <c r="IX553" s="996">
        <v>0</v>
      </c>
      <c r="IY553" s="1006" t="s">
        <v>199</v>
      </c>
      <c r="IZ553" s="996">
        <v>-6.5609279999999988</v>
      </c>
      <c r="JA553" s="1006"/>
      <c r="JB553" s="996">
        <v>0</v>
      </c>
      <c r="JC553" s="1006" t="s">
        <v>199</v>
      </c>
      <c r="JD553" s="996">
        <v>-1.2275155200000007</v>
      </c>
      <c r="JE553" s="1006"/>
      <c r="JF553" s="996">
        <v>-0.86766768000000027</v>
      </c>
      <c r="JG553" s="1006" t="s">
        <v>199</v>
      </c>
      <c r="JH553" s="996">
        <v>4.6147099679999997</v>
      </c>
      <c r="JI553" s="1006" t="s">
        <v>199</v>
      </c>
      <c r="JJ553" s="996">
        <v>-4.1316666600000005</v>
      </c>
      <c r="JK553" s="1007"/>
      <c r="JL553" s="1007">
        <v>0</v>
      </c>
      <c r="JM553" s="1007" t="s">
        <v>204</v>
      </c>
      <c r="JN553" s="1007">
        <v>-1.1116735079999991</v>
      </c>
      <c r="JO553" s="1008"/>
      <c r="JP553" s="1007">
        <v>0</v>
      </c>
      <c r="JQ553" s="1008" t="s">
        <v>204</v>
      </c>
      <c r="JR553" s="1007">
        <v>3.0413813760000021</v>
      </c>
      <c r="JS553" s="1008">
        <v>0</v>
      </c>
      <c r="JT553" s="1007">
        <v>0</v>
      </c>
      <c r="JU553" s="1008"/>
      <c r="JV553" s="1007">
        <v>0</v>
      </c>
      <c r="JW553" s="1008" t="s">
        <v>197</v>
      </c>
      <c r="JX553" s="1007">
        <v>0</v>
      </c>
      <c r="JY553" s="1008"/>
      <c r="JZ553" s="1007">
        <v>0</v>
      </c>
      <c r="KA553" s="1008"/>
      <c r="KB553" s="1007">
        <v>0</v>
      </c>
      <c r="KC553" s="1008" t="s">
        <v>198</v>
      </c>
      <c r="KD553" s="1007">
        <v>-1.7696999760000018</v>
      </c>
      <c r="KE553" s="1008"/>
      <c r="KF553" s="1007">
        <v>0</v>
      </c>
      <c r="KG553" s="1008" t="s">
        <v>204</v>
      </c>
      <c r="KH553" s="1007">
        <v>1.2252332399999997</v>
      </c>
      <c r="KI553" s="1008"/>
      <c r="KJ553" s="1007">
        <v>0</v>
      </c>
      <c r="KK553" s="1008"/>
      <c r="KL553" s="1007">
        <v>0</v>
      </c>
      <c r="KM553" s="1008"/>
      <c r="KN553" s="1007">
        <v>0</v>
      </c>
      <c r="KO553" s="1008"/>
      <c r="KP553" s="1007">
        <v>0</v>
      </c>
      <c r="KQ553" s="1008">
        <v>0</v>
      </c>
      <c r="KR553" s="1007">
        <v>0</v>
      </c>
      <c r="KS553" s="1008" t="s">
        <v>204</v>
      </c>
      <c r="KT553" s="1007">
        <v>2.9422267600000005</v>
      </c>
      <c r="KU553" s="1008" t="s">
        <v>207</v>
      </c>
      <c r="KV553" s="1007">
        <v>-20.837299999999999</v>
      </c>
      <c r="KW553" s="1008" t="s">
        <v>504</v>
      </c>
      <c r="KX553" s="1007">
        <v>0</v>
      </c>
      <c r="KY553" s="1008" t="s">
        <v>204</v>
      </c>
      <c r="KZ553" s="1007">
        <v>11.668887999999999</v>
      </c>
      <c r="LA553" s="1008">
        <v>0</v>
      </c>
      <c r="LB553" s="1007">
        <v>0</v>
      </c>
      <c r="LC553" s="1008" t="s">
        <v>206</v>
      </c>
      <c r="LD553" s="1007">
        <v>-3.3339679999999987</v>
      </c>
      <c r="LE553" s="1008" t="s">
        <v>204</v>
      </c>
      <c r="LF553" s="1007">
        <v>8.3349200000000003</v>
      </c>
      <c r="LG553" s="1008" t="s">
        <v>204</v>
      </c>
      <c r="LH553" s="1007">
        <v>-5.4677752000000002</v>
      </c>
      <c r="LI553" s="1008">
        <v>0</v>
      </c>
      <c r="LJ553" s="1007">
        <v>0</v>
      </c>
      <c r="LK553" s="1008" t="s">
        <v>203</v>
      </c>
      <c r="LL553" s="1007">
        <v>-5.3429168000000002</v>
      </c>
      <c r="LM553" s="1008" t="s">
        <v>25</v>
      </c>
      <c r="LN553" s="1007">
        <v>4.6675550000000001</v>
      </c>
      <c r="LO553" s="1008" t="s">
        <v>206</v>
      </c>
      <c r="LP553" s="1007">
        <v>-2.5476000000000001</v>
      </c>
      <c r="LQ553" s="1008">
        <v>0</v>
      </c>
      <c r="LR553" s="1007">
        <v>0</v>
      </c>
      <c r="LS553" s="1008">
        <v>0</v>
      </c>
      <c r="LT553" s="1007">
        <v>0</v>
      </c>
      <c r="LU553" s="1008">
        <v>0</v>
      </c>
      <c r="LV553" s="1007">
        <v>0</v>
      </c>
      <c r="LW553" s="1008">
        <v>0</v>
      </c>
      <c r="LX553" s="1007">
        <v>-2.5476000000000001</v>
      </c>
      <c r="LY553" s="1009">
        <v>0</v>
      </c>
      <c r="LZ553" s="1010">
        <v>0</v>
      </c>
      <c r="MA553" s="1011" t="s">
        <v>207</v>
      </c>
      <c r="MB553" s="1012">
        <v>2.9172219999999989</v>
      </c>
      <c r="MC553" s="995"/>
      <c r="MD553" s="996"/>
      <c r="ME553" s="997" t="s">
        <v>416</v>
      </c>
      <c r="MF553" s="997"/>
      <c r="MG553" s="998"/>
      <c r="NR553" s="1000"/>
      <c r="NS553" s="1000"/>
      <c r="NT553" s="1001"/>
      <c r="NU553" s="1000"/>
      <c r="NV553" s="1001"/>
      <c r="NX553" s="1002"/>
      <c r="NZ553" s="1001"/>
      <c r="OA553" s="1001"/>
      <c r="OC553" s="1003"/>
      <c r="OD553" s="1003"/>
      <c r="OE553" s="1001"/>
      <c r="OF553" s="1003"/>
      <c r="OG553" s="1003"/>
      <c r="QX553" s="1000">
        <f>CN553-CA553</f>
        <v>21</v>
      </c>
      <c r="ASU553" s="999" t="s">
        <v>225</v>
      </c>
    </row>
    <row r="554" spans="1:466 1191:1191" ht="21" customHeight="1" x14ac:dyDescent="0.25">
      <c r="A554" s="982" t="str">
        <f t="shared" si="441"/>
        <v>3284-1</v>
      </c>
      <c r="B554" s="124">
        <f>SUBTOTAL(103,$J$29:J554)</f>
        <v>526</v>
      </c>
      <c r="C554" s="126">
        <v>45068</v>
      </c>
      <c r="D554" s="124" t="s">
        <v>176</v>
      </c>
      <c r="E554" s="127" t="s">
        <v>177</v>
      </c>
      <c r="F554" s="128" t="s">
        <v>177</v>
      </c>
      <c r="G554" s="127" t="s">
        <v>178</v>
      </c>
      <c r="H554" s="127" t="s">
        <v>179</v>
      </c>
      <c r="I554" s="127" t="s">
        <v>1299</v>
      </c>
      <c r="J554" s="152" t="s">
        <v>1928</v>
      </c>
      <c r="K554" s="127" t="s">
        <v>1299</v>
      </c>
      <c r="L554" s="130">
        <v>43436</v>
      </c>
      <c r="M554" s="127" t="s">
        <v>230</v>
      </c>
      <c r="N554" s="127" t="s">
        <v>184</v>
      </c>
      <c r="O554" s="127" t="s">
        <v>185</v>
      </c>
      <c r="P554" s="127" t="s">
        <v>186</v>
      </c>
      <c r="Q554" s="85">
        <f t="shared" si="423"/>
        <v>-4</v>
      </c>
      <c r="R554" s="130">
        <v>43399</v>
      </c>
      <c r="S554" s="128" t="s">
        <v>747</v>
      </c>
      <c r="T554" s="131" t="s">
        <v>1718</v>
      </c>
      <c r="U554" s="132">
        <v>203</v>
      </c>
      <c r="V554" s="121">
        <v>218.2</v>
      </c>
      <c r="W554" s="116">
        <v>0.98</v>
      </c>
      <c r="X554" s="116">
        <v>1.66</v>
      </c>
      <c r="Y554" s="116">
        <f t="shared" si="408"/>
        <v>0.9820113485452131</v>
      </c>
      <c r="Z554" s="133">
        <v>1.454</v>
      </c>
      <c r="AA554" s="133">
        <v>0.83599999999999997</v>
      </c>
      <c r="AB554" s="133">
        <v>0.72</v>
      </c>
      <c r="AC554" s="121">
        <v>34.299999999999997</v>
      </c>
      <c r="AD554" s="134">
        <v>1.17</v>
      </c>
      <c r="AE554" s="124">
        <v>177.8</v>
      </c>
      <c r="AF554" s="128">
        <v>9.19</v>
      </c>
      <c r="AG554" s="128">
        <v>2220.5</v>
      </c>
      <c r="AH554" s="127">
        <v>2973</v>
      </c>
      <c r="AI554" s="127">
        <v>2973</v>
      </c>
      <c r="AJ554" s="135"/>
      <c r="AK554" s="128"/>
      <c r="AL554" s="131"/>
      <c r="AM554" s="124" t="s">
        <v>187</v>
      </c>
      <c r="AN554" s="136" t="s">
        <v>1929</v>
      </c>
      <c r="AO554" s="137">
        <v>8.4</v>
      </c>
      <c r="AP554" s="128">
        <v>2253.5500000000002</v>
      </c>
      <c r="AQ554" s="128">
        <v>316</v>
      </c>
      <c r="AR554" s="128" t="s">
        <v>1930</v>
      </c>
      <c r="AS554" s="128">
        <v>114</v>
      </c>
      <c r="AT554" s="122">
        <v>7.37</v>
      </c>
      <c r="AU554" s="124" t="s">
        <v>189</v>
      </c>
      <c r="AV554" s="115">
        <f>VLOOKUP(J554,'[63]ТР нефть'!$J$28:$BP$638,39,0)</f>
        <v>410.00001591799997</v>
      </c>
      <c r="AW554" s="115" t="str">
        <f>VLOOKUP(J554,'[63]ТР нефть'!$J$28:$BP$638,40,0)</f>
        <v>ГП</v>
      </c>
      <c r="AX554" s="115">
        <f>VLOOKUP(J554,'[63]ТР нефть'!$J$28:$BP$638,41,0)</f>
        <v>759.99997324200001</v>
      </c>
      <c r="AY554" s="115" t="str">
        <f>VLOOKUP(J554,'[63]ТР нефть'!$J$28:$BP$638,42,0)</f>
        <v>ГП</v>
      </c>
      <c r="AZ554" s="115">
        <f>VLOOKUP(J554,'[63]ТР нефть'!$J$28:$BP$638,43,0)</f>
        <v>1070.00002793</v>
      </c>
      <c r="BA554" s="115" t="str">
        <f>VLOOKUP(J554,'[63]ТР нефть'!$J$28:$BP$638,44,0)</f>
        <v>ГК 75 1/8</v>
      </c>
      <c r="BB554" s="115">
        <f>VLOOKUP(J554,'[63]ТР нефть'!$J$28:$BP$638,45,0)</f>
        <v>1369.999948828</v>
      </c>
      <c r="BC554" s="115" t="str">
        <f>VLOOKUP(J554,'[63]ТР нефть'!$J$28:$BP$638,46,0)</f>
        <v>ГК 74 1/8</v>
      </c>
      <c r="BD554" s="115">
        <f>VLOOKUP(J554,'[63]ТР нефть'!$J$28:$BP$638,47,0)</f>
        <v>1650</v>
      </c>
      <c r="BE554" s="115" t="str">
        <f>VLOOKUP(J554,'[63]ТР нефть'!$J$28:$BP$638,48,0)</f>
        <v>ГК 73 1/8</v>
      </c>
      <c r="BF554" s="115">
        <f>VLOOKUP(J554,'[63]ТР нефть'!$J$28:$BP$638,49,0)</f>
        <v>1920</v>
      </c>
      <c r="BG554" s="115" t="str">
        <f>VLOOKUP(J554,'[63]ТР нефть'!$J$28:$BP$638,50,0)</f>
        <v>ЦКсОК 5/16</v>
      </c>
      <c r="BH554" s="115" t="str">
        <f>VLOOKUP(J554,'[63]ТР нефть'!$J$28:$BP$638,51,0)</f>
        <v>-</v>
      </c>
      <c r="BI554" s="115" t="str">
        <f>VLOOKUP(J554,'[63]ТР нефть'!$J$28:$BP$638,52,0)</f>
        <v>-</v>
      </c>
      <c r="BJ554" s="115" t="str">
        <f>IF(IFERROR(VLOOKUP(J554,'[63]ТР нефть'!$J$28:$BP$638,53,0),"-")=0,"-",IFERROR(VLOOKUP(J554,'[63]ТР нефть'!$J$28:$BP$638,53,0),"-"))</f>
        <v>-</v>
      </c>
      <c r="BK554" s="138" t="str">
        <f>IF(IFERROR(VLOOKUP(J554,'[63]ТР нефть'!$J$28:$BP$638,54,0),"-")=0,"-",IFERROR(VLOOKUP(J554,'[63]ТР нефть'!$J$28:$BP$638,54,0),"-"))</f>
        <v>-</v>
      </c>
      <c r="BL554" s="138" t="str">
        <f>IF(IFERROR(VLOOKUP(J554,'[63]ТР нефть'!$J$28:$BP$638,55,0),"-")=0,"-",IFERROR(VLOOKUP(J554,'[63]ТР нефть'!$J$28:$BP$638,55,0),"-"))</f>
        <v>-</v>
      </c>
      <c r="BM554" s="138" t="str">
        <f>IF(IFERROR(VLOOKUP(J554,'[63]ТР нефть'!$J$28:$BP$638,56,0),"-")=0,"-",IFERROR(VLOOKUP(J554,'[63]ТР нефть'!$J$28:$BP$638,56,0),"-"))</f>
        <v>-</v>
      </c>
      <c r="BN554" s="138" t="str">
        <f>IF(IFERROR(VLOOKUP(J554,'[63]ТР нефть'!$J$28:$BP$638,57,0),"-")=0,"-",IFERROR(VLOOKUP(J554,'[63]ТР нефть'!$J$28:$BP$638,57,0),"-"))</f>
        <v>-</v>
      </c>
      <c r="BO554" s="115" t="str">
        <f>IF(IFERROR(VLOOKUP(J554,'[63]ТР нефть'!$J$28:$BP$638,58,0),"-")=0,"-",IFERROR(VLOOKUP(J554,'[63]ТР нефть'!$J$28:$BP$638,58,0),"-"))</f>
        <v>-</v>
      </c>
      <c r="BP554" s="115" t="str">
        <f>IF(IFERROR(VLOOKUP(J554,'[63]ТР нефть'!$J$28:$BP$638,59,0),"-")=0,"-",IFERROR(VLOOKUP(J554,'[63]ТР нефть'!$J$28:$BP$638,59,0),"-"))</f>
        <v>-</v>
      </c>
      <c r="BQ554" s="138">
        <v>1840</v>
      </c>
      <c r="BR554" s="128">
        <v>1587.87</v>
      </c>
      <c r="BS554" s="115">
        <f t="shared" si="437"/>
        <v>252.13000000000011</v>
      </c>
      <c r="BT554" s="128">
        <v>73</v>
      </c>
      <c r="BU554" s="128">
        <v>5.5</v>
      </c>
      <c r="BV554" s="127">
        <v>65</v>
      </c>
      <c r="BW554" s="127" t="s">
        <v>217</v>
      </c>
      <c r="BX554" s="127" t="s">
        <v>195</v>
      </c>
      <c r="BY554" s="139">
        <v>24</v>
      </c>
      <c r="BZ554" s="139">
        <v>0</v>
      </c>
      <c r="CA554" s="138">
        <v>26</v>
      </c>
      <c r="CB554" s="138">
        <v>46</v>
      </c>
      <c r="CC554" s="138">
        <v>25</v>
      </c>
      <c r="CD554" s="135">
        <v>45017</v>
      </c>
      <c r="CE554" s="138">
        <v>94</v>
      </c>
      <c r="CF554" s="138">
        <v>70</v>
      </c>
      <c r="CG554" s="138" t="str">
        <f t="shared" si="458"/>
        <v/>
      </c>
      <c r="CH554" s="138" t="s">
        <v>197</v>
      </c>
      <c r="CI554" s="127"/>
      <c r="CJ554" s="138"/>
      <c r="CK554" s="138">
        <f t="shared" si="432"/>
        <v>32</v>
      </c>
      <c r="CL554" s="99"/>
      <c r="CM554" s="99"/>
      <c r="CN554" s="140">
        <v>58</v>
      </c>
      <c r="CO554" s="141">
        <f t="shared" si="442"/>
        <v>6.4881959999999994</v>
      </c>
      <c r="CP554" s="142">
        <v>7.8</v>
      </c>
      <c r="CQ554" s="143">
        <v>0.5</v>
      </c>
      <c r="CR554" s="138">
        <v>12.5</v>
      </c>
      <c r="CS554" s="139">
        <v>11</v>
      </c>
      <c r="CT554" s="138"/>
      <c r="CU554" s="138">
        <f t="shared" si="418"/>
        <v>1.5</v>
      </c>
      <c r="CV554" s="115">
        <f t="shared" si="419"/>
        <v>231.18907012056974</v>
      </c>
      <c r="CW554" s="115">
        <f t="shared" si="443"/>
        <v>1683.667112685391</v>
      </c>
      <c r="CX554" s="133">
        <f t="shared" si="420"/>
        <v>0.21666666666666667</v>
      </c>
      <c r="CY554" s="116"/>
      <c r="CZ554" s="131"/>
      <c r="DA554" s="145" t="str">
        <f t="shared" si="444"/>
        <v>Газлифт</v>
      </c>
      <c r="DB554" s="146">
        <f t="shared" si="455"/>
        <v>6.4881959999999994</v>
      </c>
      <c r="DC554" s="142">
        <f t="shared" si="459"/>
        <v>7.8</v>
      </c>
      <c r="DD554" s="119">
        <f t="shared" si="416"/>
        <v>0.5</v>
      </c>
      <c r="DE554" s="115">
        <f t="shared" si="456"/>
        <v>1.5</v>
      </c>
      <c r="DF554" s="121">
        <f t="shared" si="445"/>
        <v>11</v>
      </c>
      <c r="DG554" s="115">
        <f t="shared" si="446"/>
        <v>231.18907012056974</v>
      </c>
      <c r="DH554" s="115">
        <f t="shared" si="447"/>
        <v>58</v>
      </c>
      <c r="DI554" s="147"/>
      <c r="DJ554" s="111" t="s">
        <v>197</v>
      </c>
      <c r="DK554" s="112">
        <v>43436</v>
      </c>
      <c r="DL554" s="113">
        <f t="shared" ca="1" si="424"/>
        <v>1668</v>
      </c>
      <c r="DM554" s="114">
        <v>18.600000000000001</v>
      </c>
      <c r="DN554" s="114">
        <v>40</v>
      </c>
      <c r="DO554" s="114" t="s">
        <v>192</v>
      </c>
      <c r="DP554" s="114"/>
      <c r="DQ554" s="112">
        <v>43436</v>
      </c>
      <c r="DR554" s="114" t="s">
        <v>324</v>
      </c>
      <c r="DS554" s="114"/>
      <c r="DT554" s="115">
        <v>60</v>
      </c>
      <c r="DU554" s="116">
        <f t="shared" si="425"/>
        <v>0.22941176470588234</v>
      </c>
      <c r="DV554" s="117">
        <f t="shared" si="428"/>
        <v>6.4881959999999994</v>
      </c>
      <c r="DW554" s="118">
        <f t="shared" si="429"/>
        <v>7.8</v>
      </c>
      <c r="DX554" s="119">
        <f t="shared" si="430"/>
        <v>0.5</v>
      </c>
      <c r="DY554" s="115">
        <f t="shared" si="431"/>
        <v>1.5</v>
      </c>
      <c r="DZ554" s="117">
        <f t="shared" si="440"/>
        <v>0</v>
      </c>
      <c r="EA554" s="120">
        <f t="shared" si="440"/>
        <v>0</v>
      </c>
      <c r="EB554" s="119">
        <f t="shared" si="440"/>
        <v>0</v>
      </c>
      <c r="EC554" s="121">
        <f t="shared" si="415"/>
        <v>0</v>
      </c>
      <c r="ED554" s="122"/>
      <c r="EE554" s="145">
        <v>65</v>
      </c>
      <c r="EF554" s="115">
        <v>27</v>
      </c>
      <c r="EG554" s="115">
        <v>58</v>
      </c>
      <c r="EH554" s="115">
        <v>26</v>
      </c>
      <c r="EI554" s="128" t="s">
        <v>195</v>
      </c>
      <c r="EJ554" s="121">
        <v>24</v>
      </c>
      <c r="EK554" s="121">
        <v>0</v>
      </c>
      <c r="EL554" s="149">
        <v>6.4275525599999996</v>
      </c>
      <c r="EM554" s="142">
        <v>7.8</v>
      </c>
      <c r="EN554" s="119">
        <v>1.43</v>
      </c>
      <c r="EO554" s="115">
        <v>11.7</v>
      </c>
      <c r="EP554" s="115">
        <v>326.71844849138029</v>
      </c>
      <c r="EQ554" s="115">
        <v>70</v>
      </c>
      <c r="ER554" s="115">
        <v>9.6</v>
      </c>
      <c r="ES554" s="115">
        <v>63</v>
      </c>
      <c r="ET554" s="150">
        <v>0.25161290322580643</v>
      </c>
      <c r="EU554" s="145">
        <f t="shared" si="457"/>
        <v>65</v>
      </c>
      <c r="EV554" s="115">
        <f t="shared" si="448"/>
        <v>26</v>
      </c>
      <c r="EW554" s="115">
        <f t="shared" si="448"/>
        <v>46</v>
      </c>
      <c r="EX554" s="115">
        <f t="shared" si="448"/>
        <v>25</v>
      </c>
      <c r="EY554" s="115" t="str">
        <f t="shared" si="434"/>
        <v>Постоянный</v>
      </c>
      <c r="EZ554" s="115">
        <f t="shared" si="434"/>
        <v>24</v>
      </c>
      <c r="FA554" s="115">
        <f t="shared" si="434"/>
        <v>0</v>
      </c>
      <c r="FB554" s="149">
        <f t="shared" ref="FB554:FE617" si="461">CO554</f>
        <v>6.4881959999999994</v>
      </c>
      <c r="FC554" s="142">
        <f t="shared" si="461"/>
        <v>7.8</v>
      </c>
      <c r="FD554" s="119">
        <f t="shared" si="461"/>
        <v>0.5</v>
      </c>
      <c r="FE554" s="121">
        <f t="shared" si="460"/>
        <v>12.5</v>
      </c>
      <c r="FF554" s="121">
        <f t="shared" si="407"/>
        <v>231.18907012056974</v>
      </c>
      <c r="FG554" s="121">
        <f t="shared" si="449"/>
        <v>70</v>
      </c>
      <c r="FH554" s="121">
        <f t="shared" si="436"/>
        <v>11</v>
      </c>
      <c r="FI554" s="121">
        <f t="shared" si="427"/>
        <v>58</v>
      </c>
      <c r="FJ554" s="144">
        <f t="shared" si="450"/>
        <v>0.21666666666666667</v>
      </c>
      <c r="FK554" s="132">
        <f t="shared" si="451"/>
        <v>0</v>
      </c>
      <c r="FL554" s="115">
        <f t="shared" si="451"/>
        <v>-1</v>
      </c>
      <c r="FM554" s="115">
        <f t="shared" si="451"/>
        <v>-12</v>
      </c>
      <c r="FN554" s="115">
        <f t="shared" si="451"/>
        <v>-1</v>
      </c>
      <c r="FO554" s="121">
        <f t="shared" si="439"/>
        <v>0</v>
      </c>
      <c r="FP554" s="121">
        <f t="shared" si="439"/>
        <v>0</v>
      </c>
      <c r="FQ554" s="149">
        <f t="shared" si="439"/>
        <v>6.0643439999999771E-2</v>
      </c>
      <c r="FR554" s="142">
        <f t="shared" si="439"/>
        <v>0</v>
      </c>
      <c r="FS554" s="119">
        <f t="shared" si="439"/>
        <v>-0.92999999999999994</v>
      </c>
      <c r="FT554" s="121">
        <f t="shared" si="438"/>
        <v>0.80000000000000071</v>
      </c>
      <c r="FU554" s="121">
        <f t="shared" si="452"/>
        <v>0</v>
      </c>
      <c r="FV554" s="121">
        <f t="shared" si="452"/>
        <v>1.4000000000000004</v>
      </c>
      <c r="FW554" s="121">
        <f t="shared" si="453"/>
        <v>-95.529378370810548</v>
      </c>
      <c r="FX554" s="121">
        <f t="shared" si="454"/>
        <v>-5</v>
      </c>
      <c r="FY554" s="144">
        <f t="shared" si="454"/>
        <v>-3.4946236559139754E-2</v>
      </c>
      <c r="FZ554" s="145"/>
      <c r="GA554" s="151"/>
      <c r="GB554" s="145"/>
      <c r="GC554" s="151"/>
      <c r="GD554" s="997" t="s">
        <v>202</v>
      </c>
      <c r="GE554" s="1004"/>
      <c r="GF554" s="1004">
        <v>0.69259256000000047</v>
      </c>
      <c r="GG554" s="1004"/>
      <c r="GH554" s="1004">
        <v>0.51831999999999923</v>
      </c>
      <c r="GI554" s="145"/>
      <c r="GJ554" s="996">
        <v>0</v>
      </c>
      <c r="GK554" s="145"/>
      <c r="GL554" s="996">
        <v>0</v>
      </c>
      <c r="GM554" s="1005"/>
      <c r="GN554" s="996">
        <v>0.61864000000000008</v>
      </c>
      <c r="GO554" s="1006"/>
      <c r="GP554" s="996">
        <v>0</v>
      </c>
      <c r="GQ554" s="1006"/>
      <c r="GR554" s="996">
        <v>-0.78584000000000032</v>
      </c>
      <c r="GS554" s="1006"/>
      <c r="GT554" s="996">
        <v>0</v>
      </c>
      <c r="GU554" s="1006"/>
      <c r="GV554" s="996">
        <v>0</v>
      </c>
      <c r="GW554" s="1006"/>
      <c r="GX554" s="996">
        <v>0</v>
      </c>
      <c r="GY554" s="1006" t="s">
        <v>199</v>
      </c>
      <c r="GZ554" s="996">
        <v>5.3639946975999999</v>
      </c>
      <c r="HA554" s="1006"/>
      <c r="HB554" s="996">
        <v>0</v>
      </c>
      <c r="HC554" s="1006"/>
      <c r="HD554" s="996"/>
      <c r="HE554" s="1006"/>
      <c r="HF554" s="996">
        <v>0</v>
      </c>
      <c r="HG554" s="1006" t="s">
        <v>204</v>
      </c>
      <c r="HH554" s="996">
        <v>-1.6700932512</v>
      </c>
      <c r="HI554" s="1006" t="s">
        <v>199</v>
      </c>
      <c r="HJ554" s="996">
        <v>0</v>
      </c>
      <c r="HK554" s="1006" t="s">
        <v>308</v>
      </c>
      <c r="HL554" s="996">
        <v>-5.0478034463999997</v>
      </c>
      <c r="HM554" s="1006"/>
      <c r="HN554" s="996">
        <v>0</v>
      </c>
      <c r="HO554" s="1006"/>
      <c r="HP554" s="996">
        <v>0</v>
      </c>
      <c r="HQ554" s="1006" t="s">
        <v>223</v>
      </c>
      <c r="HR554" s="996">
        <v>-1.0723505759999989</v>
      </c>
      <c r="HS554" s="1006"/>
      <c r="HT554" s="996">
        <v>0</v>
      </c>
      <c r="HU554" s="1006"/>
      <c r="HV554" s="996">
        <v>-0.50976604800000125</v>
      </c>
      <c r="HW554" s="1006"/>
      <c r="HX554" s="996">
        <v>-0.52294809599999859</v>
      </c>
      <c r="HY554" s="1006"/>
      <c r="HZ554" s="996">
        <v>0</v>
      </c>
      <c r="IA554" s="1006"/>
      <c r="IB554" s="996">
        <v>0.69861343200000015</v>
      </c>
      <c r="IC554" s="1006" t="s">
        <v>204</v>
      </c>
      <c r="ID554" s="996">
        <v>-1.783256552000001</v>
      </c>
      <c r="IE554" s="1006"/>
      <c r="IF554" s="996">
        <v>-0.41718072000000106</v>
      </c>
      <c r="IG554" s="1006"/>
      <c r="IH554" s="996">
        <v>-0.83424439999999933</v>
      </c>
      <c r="II554" s="1006"/>
      <c r="IJ554" s="996">
        <v>0</v>
      </c>
      <c r="IK554" s="1006"/>
      <c r="IL554" s="996">
        <v>0</v>
      </c>
      <c r="IM554" s="1006"/>
      <c r="IN554" s="996">
        <v>0</v>
      </c>
      <c r="IO554" s="1006"/>
      <c r="IP554" s="996">
        <v>-0.16684887999999809</v>
      </c>
      <c r="IQ554" s="1006" t="s">
        <v>199</v>
      </c>
      <c r="IR554" s="996">
        <v>-1.1679421600000026</v>
      </c>
      <c r="IS554" s="1006"/>
      <c r="IT554" s="996">
        <v>0</v>
      </c>
      <c r="IU554" s="1006"/>
      <c r="IV554" s="996">
        <v>-0.83424439999999933</v>
      </c>
      <c r="IW554" s="1006"/>
      <c r="IX554" s="996">
        <v>0</v>
      </c>
      <c r="IY554" s="1006"/>
      <c r="IZ554" s="996">
        <v>0</v>
      </c>
      <c r="JA554" s="1006"/>
      <c r="JB554" s="996">
        <v>0</v>
      </c>
      <c r="JC554" s="1006"/>
      <c r="JD554" s="996">
        <v>0</v>
      </c>
      <c r="JE554" s="1006"/>
      <c r="JF554" s="996">
        <v>0</v>
      </c>
      <c r="JG554" s="1006" t="s">
        <v>223</v>
      </c>
      <c r="JH554" s="996">
        <v>-3.3369775999999973</v>
      </c>
      <c r="JI554" s="1006"/>
      <c r="JJ554" s="996">
        <v>0</v>
      </c>
      <c r="JK554" s="1007" t="s">
        <v>223</v>
      </c>
      <c r="JL554" s="1007">
        <v>-3.5705660320000021</v>
      </c>
      <c r="JM554" s="1007"/>
      <c r="JN554" s="1007">
        <v>0</v>
      </c>
      <c r="JO554" s="1008"/>
      <c r="JP554" s="1007">
        <v>0</v>
      </c>
      <c r="JQ554" s="1008">
        <v>0</v>
      </c>
      <c r="JR554" s="1007">
        <v>0</v>
      </c>
      <c r="JS554" s="1008">
        <v>0</v>
      </c>
      <c r="JT554" s="1007">
        <v>0</v>
      </c>
      <c r="JU554" s="1008" t="s">
        <v>204</v>
      </c>
      <c r="JV554" s="1007">
        <v>-5.9949459679999997</v>
      </c>
      <c r="JW554" s="1008" t="s">
        <v>199</v>
      </c>
      <c r="JX554" s="1007">
        <v>2.7587999999999973</v>
      </c>
      <c r="JY554" s="1008"/>
      <c r="JZ554" s="1007">
        <v>-2.7169999999994587E-2</v>
      </c>
      <c r="KA554" s="1008" t="s">
        <v>199</v>
      </c>
      <c r="KB554" s="1007">
        <v>-6.6511323999999981</v>
      </c>
      <c r="KC554" s="1008"/>
      <c r="KD554" s="1007">
        <v>7.0223999999967646E-3</v>
      </c>
      <c r="KE554" s="1008" t="s">
        <v>240</v>
      </c>
      <c r="KF554" s="1007">
        <v>-14.981120000000001</v>
      </c>
      <c r="KG554" s="1008" t="s">
        <v>324</v>
      </c>
      <c r="KH554" s="1007">
        <v>45.143999999999998</v>
      </c>
      <c r="KI554" s="1008"/>
      <c r="KJ554" s="1007">
        <v>-8.77667076</v>
      </c>
      <c r="KK554" s="1008"/>
      <c r="KL554" s="1007"/>
      <c r="KM554" s="1008"/>
      <c r="KN554" s="1007"/>
      <c r="KO554" s="1008"/>
      <c r="KP554" s="1007"/>
      <c r="KQ554" s="1008"/>
      <c r="KR554" s="1007"/>
      <c r="KS554" s="1008"/>
      <c r="KT554" s="1007"/>
      <c r="KU554" s="1008"/>
      <c r="KV554" s="1007"/>
      <c r="KW554" s="1008"/>
      <c r="KX554" s="1007"/>
      <c r="KY554" s="1008"/>
      <c r="KZ554" s="1007"/>
      <c r="LA554" s="1008"/>
      <c r="LB554" s="1007"/>
      <c r="LC554" s="1008"/>
      <c r="LD554" s="1007"/>
      <c r="LE554" s="1008"/>
      <c r="LF554" s="1007"/>
      <c r="LG554" s="1008"/>
      <c r="LH554" s="1007"/>
      <c r="LI554" s="1008"/>
      <c r="LJ554" s="1007"/>
      <c r="LK554" s="1008"/>
      <c r="LL554" s="1007"/>
      <c r="LM554" s="1008"/>
      <c r="LN554" s="1007"/>
      <c r="LO554" s="1008"/>
      <c r="LP554" s="1007"/>
      <c r="LQ554" s="1008"/>
      <c r="LR554" s="1007"/>
      <c r="LS554" s="1008"/>
      <c r="LT554" s="1007"/>
      <c r="LU554" s="1008"/>
      <c r="LV554" s="1007"/>
      <c r="LW554" s="1008"/>
      <c r="LX554" s="1007"/>
      <c r="LY554" s="1009"/>
      <c r="LZ554" s="1010"/>
      <c r="MA554" s="1011"/>
      <c r="MB554" s="1012"/>
      <c r="MC554" s="995"/>
      <c r="MD554" s="996"/>
      <c r="ME554" s="997" t="s">
        <v>202</v>
      </c>
      <c r="MF554" s="997"/>
      <c r="MG554" s="998"/>
      <c r="NR554" s="1000"/>
      <c r="NS554" s="1000"/>
      <c r="NT554" s="1001"/>
      <c r="NU554" s="1000"/>
      <c r="NV554" s="1001"/>
      <c r="NX554" s="1002"/>
      <c r="NZ554" s="1001"/>
      <c r="OA554" s="1001"/>
      <c r="OC554" s="1003"/>
      <c r="OD554" s="1003"/>
      <c r="OE554" s="1001"/>
      <c r="OF554" s="1003"/>
      <c r="OG554" s="1003"/>
      <c r="QX554" s="1000">
        <f>CN554-CA554</f>
        <v>32</v>
      </c>
      <c r="ASU554" s="999" t="s">
        <v>225</v>
      </c>
    </row>
    <row r="555" spans="1:466 1191:1191" ht="21" customHeight="1" x14ac:dyDescent="0.25">
      <c r="A555" s="982">
        <f t="shared" si="441"/>
        <v>3285</v>
      </c>
      <c r="B555" s="124">
        <f>SUBTOTAL(103,$J$29:J555)</f>
        <v>527</v>
      </c>
      <c r="C555" s="126">
        <v>45068</v>
      </c>
      <c r="D555" s="124" t="s">
        <v>176</v>
      </c>
      <c r="E555" s="127" t="s">
        <v>177</v>
      </c>
      <c r="F555" s="128" t="s">
        <v>177</v>
      </c>
      <c r="G555" s="127" t="s">
        <v>178</v>
      </c>
      <c r="H555" s="127" t="s">
        <v>179</v>
      </c>
      <c r="I555" s="127" t="s">
        <v>1066</v>
      </c>
      <c r="J555" s="152">
        <v>3285</v>
      </c>
      <c r="K555" s="127" t="s">
        <v>1066</v>
      </c>
      <c r="L555" s="130">
        <v>41999</v>
      </c>
      <c r="M555" s="127" t="s">
        <v>230</v>
      </c>
      <c r="N555" s="127" t="s">
        <v>184</v>
      </c>
      <c r="O555" s="127" t="s">
        <v>185</v>
      </c>
      <c r="P555" s="127" t="s">
        <v>1756</v>
      </c>
      <c r="Q555" s="85" t="str">
        <f t="shared" si="423"/>
        <v/>
      </c>
      <c r="R555" s="130"/>
      <c r="S555" s="128" t="s">
        <v>156</v>
      </c>
      <c r="T555" s="131"/>
      <c r="U555" s="132">
        <v>203</v>
      </c>
      <c r="V555" s="121">
        <v>218.2</v>
      </c>
      <c r="W555" s="116">
        <v>0.98</v>
      </c>
      <c r="X555" s="116">
        <v>1.66</v>
      </c>
      <c r="Y555" s="116">
        <f t="shared" si="408"/>
        <v>1.2261079288513717</v>
      </c>
      <c r="Z555" s="133">
        <v>1.454</v>
      </c>
      <c r="AA555" s="133">
        <v>0.83599999999999997</v>
      </c>
      <c r="AB555" s="133">
        <v>0.72</v>
      </c>
      <c r="AC555" s="121">
        <v>34.299999999999997</v>
      </c>
      <c r="AD555" s="134">
        <v>1.17</v>
      </c>
      <c r="AE555" s="124">
        <v>177.8</v>
      </c>
      <c r="AF555" s="128">
        <v>9.19</v>
      </c>
      <c r="AG555" s="128">
        <v>2083</v>
      </c>
      <c r="AH555" s="127">
        <v>2762</v>
      </c>
      <c r="AI555" s="127">
        <v>2762</v>
      </c>
      <c r="AJ555" s="135"/>
      <c r="AK555" s="128"/>
      <c r="AL555" s="131"/>
      <c r="AM555" s="124" t="s">
        <v>232</v>
      </c>
      <c r="AN555" s="136" t="s">
        <v>1931</v>
      </c>
      <c r="AO555" s="137">
        <v>18</v>
      </c>
      <c r="AP555" s="128">
        <v>2137.6799999999998</v>
      </c>
      <c r="AQ555" s="128">
        <v>275</v>
      </c>
      <c r="AR555" s="128" t="s">
        <v>1932</v>
      </c>
      <c r="AS555" s="128">
        <v>114</v>
      </c>
      <c r="AT555" s="122">
        <v>7.37</v>
      </c>
      <c r="AU555" s="124" t="s">
        <v>189</v>
      </c>
      <c r="AV555" s="115">
        <f>VLOOKUP(J555,'[63]ТР нефть'!$J$28:$BP$638,39,0)</f>
        <v>449.999992969</v>
      </c>
      <c r="AW555" s="115" t="str">
        <f>VLOOKUP(J555,'[63]ТР нефть'!$J$28:$BP$638,40,0)</f>
        <v>ГП</v>
      </c>
      <c r="AX555" s="115">
        <f>VLOOKUP(J555,'[63]ТР нефть'!$J$28:$BP$638,41,0)</f>
        <v>759.99997324200001</v>
      </c>
      <c r="AY555" s="115" t="str">
        <f>VLOOKUP(J555,'[63]ТР нефть'!$J$28:$BP$638,42,0)</f>
        <v>ГП</v>
      </c>
      <c r="AZ555" s="115">
        <f>VLOOKUP(J555,'[63]ТР нефть'!$J$28:$BP$638,43,0)</f>
        <v>1109.999967773</v>
      </c>
      <c r="BA555" s="115" t="str">
        <f>VLOOKUP(J555,'[63]ТР нефть'!$J$28:$BP$638,44,0)</f>
        <v>ГК 77 1/8</v>
      </c>
      <c r="BB555" s="115">
        <f>VLOOKUP(J555,'[63]ТР нефть'!$J$28:$BP$638,45,0)</f>
        <v>1380.0000082030001</v>
      </c>
      <c r="BC555" s="115" t="str">
        <f>VLOOKUP(J555,'[63]ТР нефть'!$J$28:$BP$638,46,0)</f>
        <v>ГК 76 1/8</v>
      </c>
      <c r="BD555" s="115">
        <f>VLOOKUP(J555,'[63]ТР нефть'!$J$28:$BP$638,47,0)</f>
        <v>1599.9999749999999</v>
      </c>
      <c r="BE555" s="115" t="str">
        <f>VLOOKUP(J555,'[63]ТР нефть'!$J$28:$BP$638,48,0)</f>
        <v>ГК 76 1/8</v>
      </c>
      <c r="BF555" s="115">
        <f>VLOOKUP(J555,'[63]ТР нефть'!$J$28:$BP$638,49,0)</f>
        <v>1830</v>
      </c>
      <c r="BG555" s="115" t="str">
        <f>VLOOKUP(J555,'[63]ТР нефть'!$J$28:$BP$638,50,0)</f>
        <v>ЦКсОК 5/16</v>
      </c>
      <c r="BH555" s="115" t="str">
        <f>VLOOKUP(J555,'[63]ТР нефть'!$J$28:$BP$638,51,0)</f>
        <v>-</v>
      </c>
      <c r="BI555" s="115" t="str">
        <f>VLOOKUP(J555,'[63]ТР нефть'!$J$28:$BP$638,52,0)</f>
        <v>-</v>
      </c>
      <c r="BJ555" s="115" t="str">
        <f>IF(IFERROR(VLOOKUP(J555,'[63]ТР нефть'!$J$28:$BP$638,53,0),"-")=0,"-",IFERROR(VLOOKUP(J555,'[63]ТР нефть'!$J$28:$BP$638,53,0),"-"))</f>
        <v>-</v>
      </c>
      <c r="BK555" s="138" t="str">
        <f>IF(IFERROR(VLOOKUP(J555,'[63]ТР нефть'!$J$28:$BP$638,54,0),"-")=0,"-",IFERROR(VLOOKUP(J555,'[63]ТР нефть'!$J$28:$BP$638,54,0),"-"))</f>
        <v>-</v>
      </c>
      <c r="BL555" s="138" t="str">
        <f>IF(IFERROR(VLOOKUP(J555,'[63]ТР нефть'!$J$28:$BP$638,55,0),"-")=0,"-",IFERROR(VLOOKUP(J555,'[63]ТР нефть'!$J$28:$BP$638,55,0),"-"))</f>
        <v>-</v>
      </c>
      <c r="BM555" s="138" t="str">
        <f>IF(IFERROR(VLOOKUP(J555,'[63]ТР нефть'!$J$28:$BP$638,56,0),"-")=0,"-",IFERROR(VLOOKUP(J555,'[63]ТР нефть'!$J$28:$BP$638,56,0),"-"))</f>
        <v>-</v>
      </c>
      <c r="BN555" s="138" t="str">
        <f>IF(IFERROR(VLOOKUP(J555,'[63]ТР нефть'!$J$28:$BP$638,57,0),"-")=0,"-",IFERROR(VLOOKUP(J555,'[63]ТР нефть'!$J$28:$BP$638,57,0),"-"))</f>
        <v>-</v>
      </c>
      <c r="BO555" s="115" t="str">
        <f>IF(IFERROR(VLOOKUP(J555,'[63]ТР нефть'!$J$28:$BP$638,58,0),"-")=0,"-",IFERROR(VLOOKUP(J555,'[63]ТР нефть'!$J$28:$BP$638,58,0),"-"))</f>
        <v>-</v>
      </c>
      <c r="BP555" s="115" t="str">
        <f>IF(IFERROR(VLOOKUP(J555,'[63]ТР нефть'!$J$28:$BP$638,59,0),"-")=0,"-",IFERROR(VLOOKUP(J555,'[63]ТР нефть'!$J$28:$BP$638,59,0),"-"))</f>
        <v>-</v>
      </c>
      <c r="BQ555" s="138">
        <v>2100</v>
      </c>
      <c r="BR555" s="128">
        <v>1854.45</v>
      </c>
      <c r="BS555" s="115">
        <f t="shared" si="437"/>
        <v>245.54999999999995</v>
      </c>
      <c r="BT555" s="128">
        <v>73</v>
      </c>
      <c r="BU555" s="128">
        <v>5.5</v>
      </c>
      <c r="BV555" s="127">
        <v>65</v>
      </c>
      <c r="BW555" s="127" t="s">
        <v>217</v>
      </c>
      <c r="BX555" s="127" t="s">
        <v>195</v>
      </c>
      <c r="BY555" s="139">
        <v>24</v>
      </c>
      <c r="BZ555" s="139">
        <v>0</v>
      </c>
      <c r="CA555" s="138">
        <v>25</v>
      </c>
      <c r="CB555" s="138">
        <v>56</v>
      </c>
      <c r="CC555" s="138">
        <v>24</v>
      </c>
      <c r="CD555" s="135">
        <v>45017</v>
      </c>
      <c r="CE555" s="138">
        <v>120</v>
      </c>
      <c r="CF555" s="138">
        <v>71</v>
      </c>
      <c r="CG555" s="138" t="str">
        <f t="shared" si="458"/>
        <v>В работе</v>
      </c>
      <c r="CH555" s="138" t="s">
        <v>196</v>
      </c>
      <c r="CI555" s="127"/>
      <c r="CJ555" s="138"/>
      <c r="CK555" s="138">
        <f t="shared" si="432"/>
        <v>53</v>
      </c>
      <c r="CL555" s="138"/>
      <c r="CM555" s="99"/>
      <c r="CN555" s="140">
        <v>78</v>
      </c>
      <c r="CO555" s="141">
        <f t="shared" si="442"/>
        <v>2.5155240000000001</v>
      </c>
      <c r="CP555" s="142">
        <v>5.9</v>
      </c>
      <c r="CQ555" s="143">
        <v>49</v>
      </c>
      <c r="CR555" s="138">
        <v>12</v>
      </c>
      <c r="CS555" s="139">
        <v>8.4</v>
      </c>
      <c r="CT555" s="138"/>
      <c r="CU555" s="138">
        <f t="shared" si="418"/>
        <v>3.5999999999999996</v>
      </c>
      <c r="CV555" s="115">
        <f t="shared" si="419"/>
        <v>1431.1133584891256</v>
      </c>
      <c r="CW555" s="115">
        <f t="shared" si="443"/>
        <v>1432.6398333225884</v>
      </c>
      <c r="CX555" s="133">
        <f t="shared" si="420"/>
        <v>0.14047619047619048</v>
      </c>
      <c r="CY555" s="116"/>
      <c r="CZ555" s="131"/>
      <c r="DA555" s="145" t="str">
        <f t="shared" si="444"/>
        <v>Газлифт</v>
      </c>
      <c r="DB555" s="146">
        <f t="shared" si="455"/>
        <v>4.8978732000000003</v>
      </c>
      <c r="DC555" s="142">
        <f t="shared" si="459"/>
        <v>5.9</v>
      </c>
      <c r="DD555" s="119">
        <f t="shared" si="416"/>
        <v>0.7</v>
      </c>
      <c r="DE555" s="115">
        <f t="shared" si="456"/>
        <v>3.5999999999999996</v>
      </c>
      <c r="DF555" s="121">
        <f t="shared" si="445"/>
        <v>8.4</v>
      </c>
      <c r="DG555" s="115">
        <f t="shared" si="446"/>
        <v>1431.1133584891256</v>
      </c>
      <c r="DH555" s="115">
        <f t="shared" si="447"/>
        <v>78</v>
      </c>
      <c r="DI555" s="147"/>
      <c r="DJ555" s="111">
        <v>43529</v>
      </c>
      <c r="DK555" s="112">
        <v>41999</v>
      </c>
      <c r="DL555" s="113">
        <f t="shared" ca="1" si="424"/>
        <v>3105</v>
      </c>
      <c r="DM555" s="114"/>
      <c r="DN555" s="114"/>
      <c r="DO555" s="114"/>
      <c r="DP555" s="114"/>
      <c r="DQ555" s="112">
        <v>43154</v>
      </c>
      <c r="DR555" s="114" t="s">
        <v>198</v>
      </c>
      <c r="DS555" s="114"/>
      <c r="DT555" s="115">
        <v>55</v>
      </c>
      <c r="DU555" s="116">
        <f t="shared" si="425"/>
        <v>0.12630534670008356</v>
      </c>
      <c r="DV555" s="117">
        <f t="shared" si="428"/>
        <v>3.5003505952380958</v>
      </c>
      <c r="DW555" s="118">
        <f t="shared" si="429"/>
        <v>8.2098475355054319</v>
      </c>
      <c r="DX555" s="119">
        <f t="shared" si="430"/>
        <v>49</v>
      </c>
      <c r="DY555" s="115">
        <f t="shared" si="431"/>
        <v>5.0093984962406015</v>
      </c>
      <c r="DZ555" s="117">
        <f t="shared" si="440"/>
        <v>0.98482659523809568</v>
      </c>
      <c r="EA555" s="120">
        <f t="shared" si="440"/>
        <v>2.3098475355054315</v>
      </c>
      <c r="EB555" s="119">
        <f t="shared" si="440"/>
        <v>0</v>
      </c>
      <c r="EC555" s="121">
        <f t="shared" si="415"/>
        <v>1.4093984962406019</v>
      </c>
      <c r="ED555" s="122"/>
      <c r="EE555" s="145">
        <v>65</v>
      </c>
      <c r="EF555" s="115">
        <v>26</v>
      </c>
      <c r="EG555" s="115">
        <v>66</v>
      </c>
      <c r="EH555" s="115">
        <v>25</v>
      </c>
      <c r="EI555" s="128" t="s">
        <v>195</v>
      </c>
      <c r="EJ555" s="121">
        <v>24</v>
      </c>
      <c r="EK555" s="121">
        <v>0</v>
      </c>
      <c r="EL555" s="149">
        <v>0.1660296</v>
      </c>
      <c r="EM555" s="142">
        <v>0.2</v>
      </c>
      <c r="EN555" s="119">
        <v>0.7</v>
      </c>
      <c r="EO555" s="115">
        <v>10</v>
      </c>
      <c r="EP555" s="115">
        <v>808</v>
      </c>
      <c r="EQ555" s="115">
        <v>70</v>
      </c>
      <c r="ER555" s="115">
        <v>9.6</v>
      </c>
      <c r="ES555" s="115">
        <v>115</v>
      </c>
      <c r="ET555" s="150">
        <v>0.04</v>
      </c>
      <c r="EU555" s="145">
        <f t="shared" si="457"/>
        <v>65</v>
      </c>
      <c r="EV555" s="115">
        <f t="shared" si="448"/>
        <v>25</v>
      </c>
      <c r="EW555" s="115">
        <f t="shared" si="448"/>
        <v>56</v>
      </c>
      <c r="EX555" s="115">
        <f t="shared" si="448"/>
        <v>24</v>
      </c>
      <c r="EY555" s="115" t="str">
        <f t="shared" si="434"/>
        <v>Постоянный</v>
      </c>
      <c r="EZ555" s="115">
        <f t="shared" si="434"/>
        <v>24</v>
      </c>
      <c r="FA555" s="115">
        <f t="shared" si="434"/>
        <v>0</v>
      </c>
      <c r="FB555" s="149">
        <f t="shared" si="461"/>
        <v>2.5155240000000001</v>
      </c>
      <c r="FC555" s="142">
        <f t="shared" si="461"/>
        <v>5.9</v>
      </c>
      <c r="FD555" s="119">
        <f t="shared" si="461"/>
        <v>49</v>
      </c>
      <c r="FE555" s="121">
        <f t="shared" si="460"/>
        <v>12</v>
      </c>
      <c r="FF555" s="121">
        <f t="shared" si="407"/>
        <v>1431.1133584891256</v>
      </c>
      <c r="FG555" s="121">
        <f t="shared" si="449"/>
        <v>71</v>
      </c>
      <c r="FH555" s="121">
        <f t="shared" si="436"/>
        <v>8.4</v>
      </c>
      <c r="FI555" s="121">
        <f t="shared" si="427"/>
        <v>78</v>
      </c>
      <c r="FJ555" s="144">
        <f t="shared" si="450"/>
        <v>0.14047619047619048</v>
      </c>
      <c r="FK555" s="132">
        <f t="shared" si="451"/>
        <v>0</v>
      </c>
      <c r="FL555" s="115">
        <f t="shared" si="451"/>
        <v>-1</v>
      </c>
      <c r="FM555" s="115">
        <f t="shared" si="451"/>
        <v>-10</v>
      </c>
      <c r="FN555" s="115">
        <f t="shared" si="451"/>
        <v>-1</v>
      </c>
      <c r="FO555" s="115">
        <f t="shared" si="439"/>
        <v>0</v>
      </c>
      <c r="FP555" s="115">
        <f t="shared" si="439"/>
        <v>0</v>
      </c>
      <c r="FQ555" s="149">
        <f t="shared" si="439"/>
        <v>2.3494944000000002</v>
      </c>
      <c r="FR555" s="142">
        <f t="shared" si="439"/>
        <v>5.7</v>
      </c>
      <c r="FS555" s="119">
        <f t="shared" si="439"/>
        <v>48.3</v>
      </c>
      <c r="FT555" s="121">
        <f t="shared" si="438"/>
        <v>2</v>
      </c>
      <c r="FU555" s="121">
        <f t="shared" si="452"/>
        <v>1</v>
      </c>
      <c r="FV555" s="121">
        <f t="shared" si="452"/>
        <v>-1.1999999999999993</v>
      </c>
      <c r="FW555" s="121">
        <f t="shared" si="453"/>
        <v>623.11335848912563</v>
      </c>
      <c r="FX555" s="121">
        <f t="shared" si="454"/>
        <v>-37</v>
      </c>
      <c r="FY555" s="144">
        <f t="shared" si="454"/>
        <v>0.10047619047619047</v>
      </c>
      <c r="FZ555" s="145" t="s">
        <v>199</v>
      </c>
      <c r="GA555" s="1024" t="s">
        <v>1933</v>
      </c>
      <c r="GB555" s="145" t="s">
        <v>199</v>
      </c>
      <c r="GC555" s="1024" t="s">
        <v>1396</v>
      </c>
      <c r="GD555" s="997" t="s">
        <v>202</v>
      </c>
      <c r="GE555" s="1004" t="s">
        <v>199</v>
      </c>
      <c r="GF555" s="1004">
        <v>-8.0267704000000002</v>
      </c>
      <c r="GG555" s="1004"/>
      <c r="GH555" s="1004">
        <v>0</v>
      </c>
      <c r="GI555" s="145"/>
      <c r="GJ555" s="996">
        <v>0</v>
      </c>
      <c r="GK555" s="145"/>
      <c r="GL555" s="996">
        <v>0</v>
      </c>
      <c r="GM555" s="1005" t="s">
        <v>221</v>
      </c>
      <c r="GN555" s="996">
        <v>1.7037680000000011</v>
      </c>
      <c r="GO555" s="1006"/>
      <c r="GP555" s="996">
        <v>0.18103161999999973</v>
      </c>
      <c r="GQ555" s="1006"/>
      <c r="GR555" s="996">
        <v>-1.0470900000000505E-2</v>
      </c>
      <c r="GS555" s="1006"/>
      <c r="GT555" s="996">
        <v>0.1320712799999999</v>
      </c>
      <c r="GU555" s="1006"/>
      <c r="GV555" s="996">
        <v>-0.23407999999999962</v>
      </c>
      <c r="GW555" s="1006"/>
      <c r="GX555" s="996">
        <v>0</v>
      </c>
      <c r="GY555" s="1006"/>
      <c r="GZ555" s="996">
        <v>0.56344727999999922</v>
      </c>
      <c r="HA555" s="1006"/>
      <c r="HB555" s="996">
        <v>-0.92459927999999802</v>
      </c>
      <c r="HC555" s="1006" t="s">
        <v>199</v>
      </c>
      <c r="HD555" s="996">
        <v>-0.98836800000000125</v>
      </c>
      <c r="HE555" s="1006"/>
      <c r="HF555" s="996">
        <v>0.48872978000000078</v>
      </c>
      <c r="HG555" s="1006" t="s">
        <v>199</v>
      </c>
      <c r="HH555" s="996">
        <v>-0.63778858000000138</v>
      </c>
      <c r="HI555" s="1006" t="s">
        <v>223</v>
      </c>
      <c r="HJ555" s="996">
        <v>-3.4616252000000003</v>
      </c>
      <c r="HK555" s="1006" t="s">
        <v>223</v>
      </c>
      <c r="HL555" s="996">
        <v>-2.5707836000000004</v>
      </c>
      <c r="HM555" s="1006"/>
      <c r="HN555" s="996">
        <v>0</v>
      </c>
      <c r="HO555" s="1006"/>
      <c r="HP555" s="996">
        <v>0</v>
      </c>
      <c r="HQ555" s="1006" t="s">
        <v>349</v>
      </c>
      <c r="HR555" s="996">
        <v>4.5362806280000019</v>
      </c>
      <c r="HS555" s="1006" t="s">
        <v>25</v>
      </c>
      <c r="HT555" s="996">
        <v>4.6628125719999982</v>
      </c>
      <c r="HU555" s="1006"/>
      <c r="HV555" s="996">
        <v>0</v>
      </c>
      <c r="HW555" s="1006"/>
      <c r="HX555" s="996">
        <v>-0.25877125999999873</v>
      </c>
      <c r="HY555" s="1006"/>
      <c r="HZ555" s="996">
        <v>0</v>
      </c>
      <c r="IA555" s="1006"/>
      <c r="IB555" s="996">
        <v>3.338565999999954E-2</v>
      </c>
      <c r="IC555" s="1006"/>
      <c r="ID555" s="996">
        <v>-0.78583999999999943</v>
      </c>
      <c r="IE555" s="1006"/>
      <c r="IF555" s="996">
        <v>-8.3600000000000563E-2</v>
      </c>
      <c r="IG555" s="1006" t="s">
        <v>199</v>
      </c>
      <c r="IH555" s="996">
        <v>1.5215199999999998</v>
      </c>
      <c r="II555" s="1006"/>
      <c r="IJ555" s="996">
        <v>-0.81927999999999912</v>
      </c>
      <c r="IK555" s="1006" t="s">
        <v>223</v>
      </c>
      <c r="IL555" s="996">
        <v>-1.7748196400000014</v>
      </c>
      <c r="IM555" s="1006" t="s">
        <v>199</v>
      </c>
      <c r="IN555" s="996">
        <v>7.3262072488000003</v>
      </c>
      <c r="IO555" s="1006" t="s">
        <v>199</v>
      </c>
      <c r="IP555" s="996">
        <v>-2.9037814608000003</v>
      </c>
      <c r="IQ555" s="1006" t="s">
        <v>199</v>
      </c>
      <c r="IR555" s="996">
        <v>-1.0847459480000006</v>
      </c>
      <c r="IS555" s="1006"/>
      <c r="IT555" s="996">
        <v>0</v>
      </c>
      <c r="IU555" s="1006"/>
      <c r="IV555" s="996">
        <v>0</v>
      </c>
      <c r="IW555" s="1006" t="s">
        <v>199</v>
      </c>
      <c r="IX555" s="996">
        <v>-2.2529338919999997</v>
      </c>
      <c r="IY555" s="1006"/>
      <c r="IZ555" s="996">
        <v>-0.33376798399999874</v>
      </c>
      <c r="JA555" s="1006"/>
      <c r="JB555" s="996">
        <v>0</v>
      </c>
      <c r="JC555" s="1006"/>
      <c r="JD555" s="996">
        <v>0</v>
      </c>
      <c r="JE555" s="1006"/>
      <c r="JF555" s="996">
        <v>0</v>
      </c>
      <c r="JG555" s="1006"/>
      <c r="JH555" s="996">
        <v>-0.75097796400000139</v>
      </c>
      <c r="JI555" s="1006"/>
      <c r="JJ555" s="996">
        <v>0</v>
      </c>
      <c r="JK555" s="1007"/>
      <c r="JL555" s="1007">
        <v>-0.83441996000000085</v>
      </c>
      <c r="JM555" s="1007"/>
      <c r="JN555" s="1007">
        <v>0</v>
      </c>
      <c r="JO555" s="1008"/>
      <c r="JP555" s="1007">
        <v>0</v>
      </c>
      <c r="JQ555" s="1008" t="s">
        <v>199</v>
      </c>
      <c r="JR555" s="1007">
        <v>4.6269757600000014</v>
      </c>
      <c r="JS555" s="1008">
        <v>0</v>
      </c>
      <c r="JT555" s="1007">
        <v>0</v>
      </c>
      <c r="JU555" s="1008" t="s">
        <v>199</v>
      </c>
      <c r="JV555" s="1007">
        <v>-10.494776160000001</v>
      </c>
      <c r="JW555" s="1008" t="s">
        <v>199</v>
      </c>
      <c r="JX555" s="1007">
        <v>2.5080000000000009</v>
      </c>
      <c r="JY555" s="1008" t="s">
        <v>204</v>
      </c>
      <c r="JZ555" s="1007">
        <v>2.5079999999999991</v>
      </c>
      <c r="KA555" s="1008"/>
      <c r="KB555" s="1007">
        <v>0</v>
      </c>
      <c r="KC555" s="1008"/>
      <c r="KD555" s="1007">
        <v>0</v>
      </c>
      <c r="KE555" s="1008"/>
      <c r="KF555" s="1007">
        <v>0</v>
      </c>
      <c r="KG555" s="1008" t="s">
        <v>204</v>
      </c>
      <c r="KH555" s="1007">
        <v>-0.8360000000000003</v>
      </c>
      <c r="KI555" s="1008"/>
      <c r="KJ555" s="1007">
        <v>0</v>
      </c>
      <c r="KK555" s="1008"/>
      <c r="KL555" s="1007">
        <v>0</v>
      </c>
      <c r="KM555" s="1008" t="s">
        <v>206</v>
      </c>
      <c r="KN555" s="1007">
        <v>-4.18</v>
      </c>
      <c r="KO555" s="1008"/>
      <c r="KP555" s="1007">
        <v>0</v>
      </c>
      <c r="KQ555" s="1008" t="s">
        <v>600</v>
      </c>
      <c r="KR555" s="1007">
        <v>5.86727372</v>
      </c>
      <c r="KS555" s="1008">
        <v>0</v>
      </c>
      <c r="KT555" s="1007">
        <v>0</v>
      </c>
      <c r="KU555" s="1008" t="s">
        <v>203</v>
      </c>
      <c r="KV555" s="1007">
        <v>-1.4583016799999982</v>
      </c>
      <c r="KW555" s="1008" t="s">
        <v>204</v>
      </c>
      <c r="KX555" s="1007">
        <v>1.1514311599999978</v>
      </c>
      <c r="KY555" s="1008">
        <v>0</v>
      </c>
      <c r="KZ555" s="1007">
        <v>0</v>
      </c>
      <c r="LA555" s="1008" t="s">
        <v>25</v>
      </c>
      <c r="LB555" s="1007">
        <v>5.3109408</v>
      </c>
      <c r="LC555" s="1008" t="s">
        <v>223</v>
      </c>
      <c r="LD555" s="1007">
        <v>-3.1736231999999998</v>
      </c>
      <c r="LE555" s="1008" t="s">
        <v>206</v>
      </c>
      <c r="LF555" s="1007">
        <v>1.0857131999999998</v>
      </c>
      <c r="LG555" s="1008">
        <v>0</v>
      </c>
      <c r="LH555" s="1007">
        <v>0</v>
      </c>
      <c r="LI555" s="1008">
        <v>0</v>
      </c>
      <c r="LJ555" s="1007">
        <v>0</v>
      </c>
      <c r="LK555" s="1008">
        <v>0</v>
      </c>
      <c r="LL555" s="1007">
        <v>0</v>
      </c>
      <c r="LM555" s="1008" t="s">
        <v>555</v>
      </c>
      <c r="LN555" s="1007">
        <v>0.41758200000000001</v>
      </c>
      <c r="LO555" s="1008">
        <v>0</v>
      </c>
      <c r="LP555" s="1007">
        <v>0.33465610000000001</v>
      </c>
      <c r="LQ555" s="1008">
        <v>0</v>
      </c>
      <c r="LR555" s="1007">
        <v>0.75164759999999897</v>
      </c>
      <c r="LS555" s="1008">
        <v>0</v>
      </c>
      <c r="LT555" s="1007">
        <v>-1.5329520000000001</v>
      </c>
      <c r="LU555" s="1008" t="s">
        <v>206</v>
      </c>
      <c r="LV555" s="1007">
        <v>-2.6725247999999979</v>
      </c>
      <c r="LW555" s="1008" t="s">
        <v>207</v>
      </c>
      <c r="LX555" s="1007">
        <v>1.8373679999999999</v>
      </c>
      <c r="LY555" s="1009">
        <v>0</v>
      </c>
      <c r="LZ555" s="1010">
        <v>0</v>
      </c>
      <c r="MA555" s="1011" t="s">
        <v>206</v>
      </c>
      <c r="MB555" s="1012">
        <v>-0.79345799999999</v>
      </c>
      <c r="MC555" s="995"/>
      <c r="MD555" s="996"/>
      <c r="ME555" s="997" t="s">
        <v>202</v>
      </c>
      <c r="MF555" s="997">
        <f>CN555-CA555</f>
        <v>53</v>
      </c>
      <c r="MG555" s="998"/>
      <c r="NR555" s="1000"/>
      <c r="NS555" s="1000"/>
      <c r="NT555" s="1001"/>
      <c r="NU555" s="1000"/>
      <c r="NV555" s="1001"/>
      <c r="NX555" s="1002"/>
      <c r="NZ555" s="1001"/>
      <c r="OA555" s="1001"/>
      <c r="OC555" s="1003"/>
      <c r="OD555" s="1003"/>
      <c r="OE555" s="1001"/>
      <c r="OF555" s="1003"/>
      <c r="OG555" s="1003"/>
      <c r="ASU555" s="999" t="s">
        <v>208</v>
      </c>
    </row>
    <row r="556" spans="1:466 1191:1191" ht="21" customHeight="1" x14ac:dyDescent="0.25">
      <c r="A556" s="982">
        <f t="shared" si="441"/>
        <v>3297</v>
      </c>
      <c r="B556" s="124">
        <f>SUBTOTAL(103,$J$29:J556)</f>
        <v>528</v>
      </c>
      <c r="C556" s="126">
        <v>45068</v>
      </c>
      <c r="D556" s="124" t="s">
        <v>176</v>
      </c>
      <c r="E556" s="127" t="s">
        <v>177</v>
      </c>
      <c r="F556" s="128" t="s">
        <v>177</v>
      </c>
      <c r="G556" s="127" t="s">
        <v>178</v>
      </c>
      <c r="H556" s="127" t="s">
        <v>179</v>
      </c>
      <c r="I556" s="127" t="s">
        <v>663</v>
      </c>
      <c r="J556" s="152">
        <v>3297</v>
      </c>
      <c r="K556" s="127" t="s">
        <v>663</v>
      </c>
      <c r="L556" s="130">
        <v>41870</v>
      </c>
      <c r="M556" s="127" t="s">
        <v>230</v>
      </c>
      <c r="N556" s="127" t="s">
        <v>184</v>
      </c>
      <c r="O556" s="127" t="s">
        <v>185</v>
      </c>
      <c r="P556" s="127" t="s">
        <v>186</v>
      </c>
      <c r="Q556" s="85" t="str">
        <f t="shared" si="423"/>
        <v/>
      </c>
      <c r="R556" s="130"/>
      <c r="S556" s="128"/>
      <c r="T556" s="131"/>
      <c r="U556" s="132">
        <v>203</v>
      </c>
      <c r="V556" s="121">
        <v>218.2</v>
      </c>
      <c r="W556" s="116">
        <v>0.98</v>
      </c>
      <c r="X556" s="116">
        <v>1.66</v>
      </c>
      <c r="Y556" s="116">
        <f t="shared" si="408"/>
        <v>0.98</v>
      </c>
      <c r="Z556" s="133">
        <v>1.454</v>
      </c>
      <c r="AA556" s="133">
        <v>0.83599999999999997</v>
      </c>
      <c r="AB556" s="133">
        <v>0.72</v>
      </c>
      <c r="AC556" s="121">
        <v>34.299999999999997</v>
      </c>
      <c r="AD556" s="134">
        <v>1.17</v>
      </c>
      <c r="AE556" s="124">
        <v>177.8</v>
      </c>
      <c r="AF556" s="128">
        <v>9.19</v>
      </c>
      <c r="AG556" s="128">
        <v>2297</v>
      </c>
      <c r="AH556" s="127" t="s">
        <v>1934</v>
      </c>
      <c r="AI556" s="127" t="s">
        <v>1934</v>
      </c>
      <c r="AJ556" s="135"/>
      <c r="AK556" s="128"/>
      <c r="AL556" s="131"/>
      <c r="AM556" s="124" t="s">
        <v>232</v>
      </c>
      <c r="AN556" s="136" t="s">
        <v>1935</v>
      </c>
      <c r="AO556" s="137">
        <v>13.6</v>
      </c>
      <c r="AP556" s="128">
        <v>2296</v>
      </c>
      <c r="AQ556" s="128">
        <v>899.24</v>
      </c>
      <c r="AR556" s="128"/>
      <c r="AS556" s="128"/>
      <c r="AT556" s="122"/>
      <c r="AU556" s="124" t="s">
        <v>189</v>
      </c>
      <c r="AV556" s="115">
        <f>VLOOKUP(J556,'[63]ТР нефть'!$J$28:$BP$638,39,0)</f>
        <v>370.00000166000001</v>
      </c>
      <c r="AW556" s="115" t="str">
        <f>VLOOKUP(J556,'[63]ТР нефть'!$J$28:$BP$638,40,0)</f>
        <v>ГП</v>
      </c>
      <c r="AX556" s="115">
        <f>VLOOKUP(J556,'[63]ТР нефть'!$J$28:$BP$638,41,0)</f>
        <v>680.00001914100005</v>
      </c>
      <c r="AY556" s="115" t="str">
        <f>VLOOKUP(J556,'[63]ТР нефть'!$J$28:$BP$638,42,0)</f>
        <v>ГП</v>
      </c>
      <c r="AZ556" s="115">
        <f>VLOOKUP(J556,'[63]ТР нефть'!$J$28:$BP$638,43,0)</f>
        <v>949.99998515599998</v>
      </c>
      <c r="BA556" s="115" t="str">
        <f>VLOOKUP(J556,'[63]ТР нефть'!$J$28:$BP$638,44,0)</f>
        <v>ГП</v>
      </c>
      <c r="BB556" s="115">
        <f>VLOOKUP(J556,'[63]ТР нефть'!$J$28:$BP$638,45,0)</f>
        <v>1180.000011328</v>
      </c>
      <c r="BC556" s="115" t="str">
        <f>VLOOKUP(J556,'[63]ТР нефть'!$J$28:$BP$638,46,0)</f>
        <v>ГП</v>
      </c>
      <c r="BD556" s="115">
        <f>VLOOKUP(J556,'[63]ТР нефть'!$J$28:$BP$638,47,0)</f>
        <v>1349.999978906</v>
      </c>
      <c r="BE556" s="115" t="str">
        <f>VLOOKUP(J556,'[63]ТР нефть'!$J$28:$BP$638,48,0)</f>
        <v>ГК 78 1/8</v>
      </c>
      <c r="BF556" s="115" t="str">
        <f>VLOOKUP(J556,'[63]ТР нефть'!$J$28:$BP$638,49,0)</f>
        <v>-</v>
      </c>
      <c r="BG556" s="115" t="str">
        <f>VLOOKUP(J556,'[63]ТР нефть'!$J$28:$BP$638,50,0)</f>
        <v>-</v>
      </c>
      <c r="BH556" s="115">
        <f>VLOOKUP(J556,'[63]ТР нефть'!$J$28:$BP$638,51,0)</f>
        <v>1835</v>
      </c>
      <c r="BI556" s="115" t="str">
        <f>VLOOKUP(J556,'[63]ТР нефть'!$J$28:$BP$638,52,0)</f>
        <v>открыт</v>
      </c>
      <c r="BJ556" s="115" t="str">
        <f>IF(IFERROR(VLOOKUP(J556,'[63]ТР нефть'!$J$28:$BP$638,53,0),"-")=0,"-",IFERROR(VLOOKUP(J556,'[63]ТР нефть'!$J$28:$BP$638,53,0),"-"))</f>
        <v>-</v>
      </c>
      <c r="BK556" s="138" t="str">
        <f>IF(IFERROR(VLOOKUP(J556,'[63]ТР нефть'!$J$28:$BP$638,54,0),"-")=0,"-",IFERROR(VLOOKUP(J556,'[63]ТР нефть'!$J$28:$BP$638,54,0),"-"))</f>
        <v>-</v>
      </c>
      <c r="BL556" s="138" t="str">
        <f>IF(IFERROR(VLOOKUP(J556,'[63]ТР нефть'!$J$28:$BP$638,55,0),"-")=0,"-",IFERROR(VLOOKUP(J556,'[63]ТР нефть'!$J$28:$BP$638,55,0),"-"))</f>
        <v>-</v>
      </c>
      <c r="BM556" s="138" t="str">
        <f>IF(IFERROR(VLOOKUP(J556,'[63]ТР нефть'!$J$28:$BP$638,56,0),"-")=0,"-",IFERROR(VLOOKUP(J556,'[63]ТР нефть'!$J$28:$BP$638,56,0),"-"))</f>
        <v>-</v>
      </c>
      <c r="BN556" s="138" t="str">
        <f>IF(IFERROR(VLOOKUP(J556,'[63]ТР нефть'!$J$28:$BP$638,57,0),"-")=0,"-",IFERROR(VLOOKUP(J556,'[63]ТР нефть'!$J$28:$BP$638,57,0),"-"))</f>
        <v>-</v>
      </c>
      <c r="BO556" s="115" t="str">
        <f>IF(IFERROR(VLOOKUP(J556,'[63]ТР нефть'!$J$28:$BP$638,58,0),"-")=0,"-",IFERROR(VLOOKUP(J556,'[63]ТР нефть'!$J$28:$BP$638,58,0),"-"))</f>
        <v>-</v>
      </c>
      <c r="BP556" s="115" t="str">
        <f>IF(IFERROR(VLOOKUP(J556,'[63]ТР нефть'!$J$28:$BP$638,59,0),"-")=0,"-",IFERROR(VLOOKUP(J556,'[63]ТР нефть'!$J$28:$BP$638,59,0),"-"))</f>
        <v>-</v>
      </c>
      <c r="BQ556" s="138">
        <v>2310</v>
      </c>
      <c r="BR556" s="128">
        <v>1846.7</v>
      </c>
      <c r="BS556" s="115">
        <f t="shared" si="437"/>
        <v>463.29999999999995</v>
      </c>
      <c r="BT556" s="128">
        <v>73</v>
      </c>
      <c r="BU556" s="128">
        <v>5.5</v>
      </c>
      <c r="BV556" s="127">
        <v>65</v>
      </c>
      <c r="BW556" s="127" t="s">
        <v>217</v>
      </c>
      <c r="BX556" s="127" t="s">
        <v>195</v>
      </c>
      <c r="BY556" s="139">
        <v>24</v>
      </c>
      <c r="BZ556" s="139">
        <v>0</v>
      </c>
      <c r="CA556" s="80">
        <v>24</v>
      </c>
      <c r="CB556" s="138">
        <v>68</v>
      </c>
      <c r="CC556" s="138">
        <v>23</v>
      </c>
      <c r="CD556" s="135">
        <v>45017</v>
      </c>
      <c r="CE556" s="138">
        <v>111</v>
      </c>
      <c r="CF556" s="138">
        <v>74</v>
      </c>
      <c r="CG556" s="138" t="str">
        <f t="shared" si="458"/>
        <v>В работе</v>
      </c>
      <c r="CH556" s="138" t="s">
        <v>196</v>
      </c>
      <c r="CI556" s="127">
        <v>5</v>
      </c>
      <c r="CJ556" s="138"/>
      <c r="CK556" s="138">
        <f t="shared" si="432"/>
        <v>65</v>
      </c>
      <c r="CL556" s="99"/>
      <c r="CM556" s="99"/>
      <c r="CN556" s="140">
        <v>89</v>
      </c>
      <c r="CO556" s="141">
        <f t="shared" si="442"/>
        <v>3.6967919999999994</v>
      </c>
      <c r="CP556" s="142">
        <v>4.4219999999999997</v>
      </c>
      <c r="CQ556" s="143">
        <v>0</v>
      </c>
      <c r="CR556" s="138">
        <v>5</v>
      </c>
      <c r="CS556" s="139">
        <v>3</v>
      </c>
      <c r="CT556" s="138"/>
      <c r="CU556" s="138">
        <f t="shared" si="418"/>
        <v>2</v>
      </c>
      <c r="CV556" s="115">
        <f t="shared" si="419"/>
        <v>541.00961049472096</v>
      </c>
      <c r="CW556" s="115">
        <f t="shared" si="443"/>
        <v>811.51441574208138</v>
      </c>
      <c r="CX556" s="133">
        <f>IF(CP556&lt;&gt;0,CP556/(CE556-CN556),0)</f>
        <v>0.20099999999999998</v>
      </c>
      <c r="CY556" s="116"/>
      <c r="CZ556" s="131"/>
      <c r="DA556" s="145" t="str">
        <f t="shared" si="444"/>
        <v>Газлифт</v>
      </c>
      <c r="DB556" s="146">
        <f t="shared" si="455"/>
        <v>3.6967919999999994</v>
      </c>
      <c r="DC556" s="142">
        <f t="shared" si="459"/>
        <v>4.4219999999999997</v>
      </c>
      <c r="DD556" s="119">
        <f t="shared" si="416"/>
        <v>0</v>
      </c>
      <c r="DE556" s="115">
        <f t="shared" si="456"/>
        <v>2</v>
      </c>
      <c r="DF556" s="121">
        <f t="shared" si="445"/>
        <v>3</v>
      </c>
      <c r="DG556" s="115">
        <f t="shared" si="446"/>
        <v>541.00961049472096</v>
      </c>
      <c r="DH556" s="115">
        <f t="shared" si="447"/>
        <v>89</v>
      </c>
      <c r="DI556" s="147"/>
      <c r="DJ556" s="111">
        <v>43495</v>
      </c>
      <c r="DK556" s="112">
        <v>41996</v>
      </c>
      <c r="DL556" s="113">
        <f t="shared" ca="1" si="424"/>
        <v>3108</v>
      </c>
      <c r="DM556" s="114"/>
      <c r="DN556" s="114"/>
      <c r="DO556" s="114"/>
      <c r="DP556" s="114"/>
      <c r="DQ556" s="112">
        <v>41880</v>
      </c>
      <c r="DR556" s="114" t="s">
        <v>324</v>
      </c>
      <c r="DS556" s="114"/>
      <c r="DT556" s="115">
        <v>60</v>
      </c>
      <c r="DU556" s="116">
        <f t="shared" si="425"/>
        <v>0.17540614709110872</v>
      </c>
      <c r="DV556" s="117">
        <f t="shared" si="428"/>
        <v>7.4786164873765104</v>
      </c>
      <c r="DW556" s="118">
        <f t="shared" si="429"/>
        <v>8.9457135016465443</v>
      </c>
      <c r="DX556" s="119">
        <f t="shared" si="430"/>
        <v>0</v>
      </c>
      <c r="DY556" s="115">
        <f t="shared" si="431"/>
        <v>4.0460033928749644</v>
      </c>
      <c r="DZ556" s="117">
        <f t="shared" si="440"/>
        <v>3.781824487376511</v>
      </c>
      <c r="EA556" s="120">
        <f t="shared" si="440"/>
        <v>4.5237135016465446</v>
      </c>
      <c r="EB556" s="119">
        <f t="shared" si="440"/>
        <v>0</v>
      </c>
      <c r="EC556" s="121">
        <f t="shared" si="415"/>
        <v>2.0460033928749644</v>
      </c>
      <c r="ED556" s="122"/>
      <c r="EE556" s="145">
        <v>65</v>
      </c>
      <c r="EF556" s="148">
        <v>26</v>
      </c>
      <c r="EG556" s="115">
        <v>70</v>
      </c>
      <c r="EH556" s="115">
        <v>25</v>
      </c>
      <c r="EI556" s="128" t="s">
        <v>195</v>
      </c>
      <c r="EJ556" s="121">
        <v>24</v>
      </c>
      <c r="EK556" s="121">
        <v>0</v>
      </c>
      <c r="EL556" s="149">
        <v>3.6967919999999994</v>
      </c>
      <c r="EM556" s="142">
        <v>4.4219999999999997</v>
      </c>
      <c r="EN556" s="119">
        <v>0</v>
      </c>
      <c r="EO556" s="115">
        <v>5</v>
      </c>
      <c r="EP556" s="115">
        <v>541.00961049472096</v>
      </c>
      <c r="EQ556" s="115">
        <v>72</v>
      </c>
      <c r="ER556" s="115">
        <v>3</v>
      </c>
      <c r="ES556" s="115">
        <v>102</v>
      </c>
      <c r="ET556" s="150">
        <v>0.49133333333333329</v>
      </c>
      <c r="EU556" s="145">
        <f t="shared" si="457"/>
        <v>65</v>
      </c>
      <c r="EV556" s="115">
        <f t="shared" si="448"/>
        <v>24</v>
      </c>
      <c r="EW556" s="115">
        <f t="shared" si="448"/>
        <v>68</v>
      </c>
      <c r="EX556" s="115">
        <f t="shared" si="448"/>
        <v>23</v>
      </c>
      <c r="EY556" s="115" t="str">
        <f t="shared" si="434"/>
        <v>Постоянный</v>
      </c>
      <c r="EZ556" s="115">
        <f t="shared" si="434"/>
        <v>24</v>
      </c>
      <c r="FA556" s="115">
        <f t="shared" si="434"/>
        <v>0</v>
      </c>
      <c r="FB556" s="149">
        <f t="shared" si="461"/>
        <v>3.6967919999999994</v>
      </c>
      <c r="FC556" s="142">
        <f t="shared" si="461"/>
        <v>4.4219999999999997</v>
      </c>
      <c r="FD556" s="119">
        <f t="shared" si="461"/>
        <v>0</v>
      </c>
      <c r="FE556" s="121">
        <f t="shared" si="460"/>
        <v>5</v>
      </c>
      <c r="FF556" s="121">
        <f t="shared" si="407"/>
        <v>541.00961049472096</v>
      </c>
      <c r="FG556" s="121">
        <f t="shared" si="449"/>
        <v>74</v>
      </c>
      <c r="FH556" s="121">
        <f t="shared" si="436"/>
        <v>3</v>
      </c>
      <c r="FI556" s="121">
        <f t="shared" si="427"/>
        <v>89</v>
      </c>
      <c r="FJ556" s="144">
        <f t="shared" si="450"/>
        <v>0.20099999999999998</v>
      </c>
      <c r="FK556" s="132">
        <f t="shared" si="451"/>
        <v>0</v>
      </c>
      <c r="FL556" s="115">
        <f t="shared" si="451"/>
        <v>-2</v>
      </c>
      <c r="FM556" s="115">
        <f t="shared" si="451"/>
        <v>-2</v>
      </c>
      <c r="FN556" s="115">
        <f t="shared" si="451"/>
        <v>-2</v>
      </c>
      <c r="FO556" s="115">
        <f t="shared" si="439"/>
        <v>0</v>
      </c>
      <c r="FP556" s="115">
        <f t="shared" si="439"/>
        <v>0</v>
      </c>
      <c r="FQ556" s="149">
        <f t="shared" si="439"/>
        <v>0</v>
      </c>
      <c r="FR556" s="142">
        <f t="shared" si="439"/>
        <v>0</v>
      </c>
      <c r="FS556" s="119">
        <f t="shared" si="439"/>
        <v>0</v>
      </c>
      <c r="FT556" s="121">
        <f t="shared" si="438"/>
        <v>0</v>
      </c>
      <c r="FU556" s="121">
        <f t="shared" si="452"/>
        <v>2</v>
      </c>
      <c r="FV556" s="121">
        <f t="shared" si="452"/>
        <v>0</v>
      </c>
      <c r="FW556" s="121">
        <f t="shared" si="453"/>
        <v>0</v>
      </c>
      <c r="FX556" s="121">
        <f t="shared" si="454"/>
        <v>-13</v>
      </c>
      <c r="FY556" s="144">
        <f t="shared" si="454"/>
        <v>-0.29033333333333333</v>
      </c>
      <c r="FZ556" s="145"/>
      <c r="GA556" s="151"/>
      <c r="GB556" s="145" t="s">
        <v>308</v>
      </c>
      <c r="GC556" s="151" t="s">
        <v>1025</v>
      </c>
      <c r="GD556" s="997" t="s">
        <v>202</v>
      </c>
      <c r="GE556" s="1004" t="s">
        <v>308</v>
      </c>
      <c r="GF556" s="1004">
        <v>2.0172387399999998</v>
      </c>
      <c r="GG556" s="1004"/>
      <c r="GH556" s="1004">
        <v>0</v>
      </c>
      <c r="GI556" s="145"/>
      <c r="GJ556" s="996">
        <v>0</v>
      </c>
      <c r="GK556" s="145"/>
      <c r="GL556" s="996">
        <v>0</v>
      </c>
      <c r="GM556" s="1005"/>
      <c r="GN556" s="996">
        <v>-0.14585274000000048</v>
      </c>
      <c r="GO556" s="1006"/>
      <c r="GP556" s="996">
        <v>0.15975960000000033</v>
      </c>
      <c r="GQ556" s="1006"/>
      <c r="GR556" s="996">
        <v>-0.83758840000000001</v>
      </c>
      <c r="GS556" s="1006"/>
      <c r="GT556" s="996">
        <v>0</v>
      </c>
      <c r="GU556" s="1006"/>
      <c r="GV556" s="996">
        <v>-0.33490160000000024</v>
      </c>
      <c r="GW556" s="1006"/>
      <c r="GX556" s="996">
        <v>0</v>
      </c>
      <c r="GY556" s="1006" t="s">
        <v>204</v>
      </c>
      <c r="GZ556" s="996">
        <v>-1.5401063699999997</v>
      </c>
      <c r="HA556" s="1006" t="s">
        <v>199</v>
      </c>
      <c r="HB556" s="996">
        <v>1.5801857148000003</v>
      </c>
      <c r="HC556" s="1006"/>
      <c r="HD556" s="996">
        <v>0</v>
      </c>
      <c r="HE556" s="1006"/>
      <c r="HF556" s="996">
        <v>0</v>
      </c>
      <c r="HG556" s="1006" t="s">
        <v>199</v>
      </c>
      <c r="HH556" s="996">
        <v>-0.6064802128000002</v>
      </c>
      <c r="HI556" s="1006"/>
      <c r="HJ556" s="996">
        <v>0</v>
      </c>
      <c r="HK556" s="1006"/>
      <c r="HL556" s="996">
        <v>8.7874468000000316E-2</v>
      </c>
      <c r="HM556" s="1006"/>
      <c r="HN556" s="996">
        <v>-0.47125320000000004</v>
      </c>
      <c r="HO556" s="1006" t="s">
        <v>199</v>
      </c>
      <c r="HP556" s="996">
        <v>1.2305546586666667</v>
      </c>
      <c r="HQ556" s="1006"/>
      <c r="HR556" s="996">
        <v>0</v>
      </c>
      <c r="HS556" s="1006"/>
      <c r="HT556" s="996">
        <v>0</v>
      </c>
      <c r="HU556" s="1006"/>
      <c r="HV556" s="996">
        <v>-8.3482960000000439E-2</v>
      </c>
      <c r="HW556" s="1006"/>
      <c r="HX556" s="996">
        <v>0.16975673880000031</v>
      </c>
      <c r="HY556" s="1006"/>
      <c r="HZ556" s="996">
        <v>-0.6136420854666671</v>
      </c>
      <c r="IA556" s="1006"/>
      <c r="IB556" s="996">
        <v>-6.3786800000009691E-4</v>
      </c>
      <c r="IC556" s="1006"/>
      <c r="ID556" s="996">
        <v>0.20618351600000029</v>
      </c>
      <c r="IE556" s="1006"/>
      <c r="IF556" s="996">
        <v>1.1704000000000381E-2</v>
      </c>
      <c r="IG556" s="1006"/>
      <c r="IH556" s="996">
        <v>0</v>
      </c>
      <c r="II556" s="1006"/>
      <c r="IJ556" s="996">
        <v>-0.61947599999999969</v>
      </c>
      <c r="IK556" s="1006"/>
      <c r="IL556" s="996">
        <v>0</v>
      </c>
      <c r="IM556" s="1006"/>
      <c r="IN556" s="996">
        <v>0</v>
      </c>
      <c r="IO556" s="1006"/>
      <c r="IP556" s="996">
        <v>0.27002799999999949</v>
      </c>
      <c r="IQ556" s="1006"/>
      <c r="IR556" s="996">
        <v>-6.6880000000000273E-3</v>
      </c>
      <c r="IS556" s="1006"/>
      <c r="IT556" s="996">
        <v>-5.3503999999999774E-2</v>
      </c>
      <c r="IU556" s="1006" t="s">
        <v>199</v>
      </c>
      <c r="IV556" s="996">
        <v>-1.1729673560000005</v>
      </c>
      <c r="IW556" s="1006"/>
      <c r="IX556" s="996">
        <v>0</v>
      </c>
      <c r="IY556" s="1006"/>
      <c r="IZ556" s="996">
        <v>0</v>
      </c>
      <c r="JA556" s="1006"/>
      <c r="JB556" s="996">
        <v>0</v>
      </c>
      <c r="JC556" s="1006"/>
      <c r="JD556" s="996">
        <v>0</v>
      </c>
      <c r="JE556" s="1006"/>
      <c r="JF556" s="996">
        <v>0</v>
      </c>
      <c r="JG556" s="1006"/>
      <c r="JH556" s="996">
        <v>0</v>
      </c>
      <c r="JI556" s="1006"/>
      <c r="JJ556" s="996">
        <v>0</v>
      </c>
      <c r="JK556" s="1007"/>
      <c r="JL556" s="1007">
        <v>0</v>
      </c>
      <c r="JM556" s="1007"/>
      <c r="JN556" s="1007">
        <v>0</v>
      </c>
      <c r="JO556" s="1008"/>
      <c r="JP556" s="1007">
        <v>0</v>
      </c>
      <c r="JQ556" s="1008">
        <v>0</v>
      </c>
      <c r="JR556" s="1007">
        <v>0</v>
      </c>
      <c r="JS556" s="1008" t="s">
        <v>199</v>
      </c>
      <c r="JT556" s="1007">
        <v>2.7802609560000002</v>
      </c>
      <c r="JU556" s="1008"/>
      <c r="JV556" s="1007">
        <v>0</v>
      </c>
      <c r="JW556" s="1008" t="s">
        <v>197</v>
      </c>
      <c r="JX556" s="1007">
        <v>0</v>
      </c>
      <c r="JY556" s="1008" t="s">
        <v>199</v>
      </c>
      <c r="JZ556" s="1007">
        <v>-0.83491320000000013</v>
      </c>
      <c r="KA556" s="1008"/>
      <c r="KB556" s="1007">
        <v>0</v>
      </c>
      <c r="KC556" s="1008"/>
      <c r="KD556" s="1007">
        <v>0</v>
      </c>
      <c r="KE556" s="1008" t="s">
        <v>204</v>
      </c>
      <c r="KF556" s="1007">
        <v>0.83491320000000013</v>
      </c>
      <c r="KG556" s="1008"/>
      <c r="KH556" s="1007">
        <v>0</v>
      </c>
      <c r="KI556" s="1008" t="s">
        <v>207</v>
      </c>
      <c r="KJ556" s="1007">
        <v>-3.4231441199999999</v>
      </c>
      <c r="KK556" s="1008"/>
      <c r="KL556" s="1007">
        <v>0</v>
      </c>
      <c r="KM556" s="1008"/>
      <c r="KN556" s="1007">
        <v>0</v>
      </c>
      <c r="KO556" s="1008"/>
      <c r="KP556" s="1007">
        <v>0</v>
      </c>
      <c r="KQ556" s="1008">
        <v>0</v>
      </c>
      <c r="KR556" s="1007">
        <v>0</v>
      </c>
      <c r="KS556" s="1008">
        <v>0</v>
      </c>
      <c r="KT556" s="1007">
        <v>0</v>
      </c>
      <c r="KU556" s="1008">
        <v>0</v>
      </c>
      <c r="KV556" s="1007">
        <v>0</v>
      </c>
      <c r="KW556" s="1008">
        <v>0</v>
      </c>
      <c r="KX556" s="1007">
        <v>0</v>
      </c>
      <c r="KY556" s="1008" t="s">
        <v>206</v>
      </c>
      <c r="KZ556" s="1007">
        <v>-0.67476068000000033</v>
      </c>
      <c r="LA556" s="1008" t="s">
        <v>206</v>
      </c>
      <c r="LB556" s="1007">
        <v>2.4504832000000003</v>
      </c>
      <c r="LC556" s="1008">
        <v>0</v>
      </c>
      <c r="LD556" s="1007">
        <v>0</v>
      </c>
      <c r="LE556" s="1008" t="s">
        <v>207</v>
      </c>
      <c r="LF556" s="1007">
        <v>-2.4879359999999999</v>
      </c>
      <c r="LG556" s="1008">
        <v>0</v>
      </c>
      <c r="LH556" s="1007">
        <v>0</v>
      </c>
      <c r="LI556" s="1008">
        <v>0</v>
      </c>
      <c r="LJ556" s="1007">
        <v>0</v>
      </c>
      <c r="LK556" s="1008">
        <v>0</v>
      </c>
      <c r="LL556" s="1007">
        <v>0</v>
      </c>
      <c r="LM556" s="1008" t="s">
        <v>555</v>
      </c>
      <c r="LN556" s="1007">
        <v>0.41465600000000002</v>
      </c>
      <c r="LO556" s="1008">
        <v>0</v>
      </c>
      <c r="LP556" s="1007">
        <v>0</v>
      </c>
      <c r="LQ556" s="1008">
        <v>0</v>
      </c>
      <c r="LR556" s="1007">
        <v>0</v>
      </c>
      <c r="LS556" s="1008">
        <v>0</v>
      </c>
      <c r="LT556" s="1007">
        <v>-1.5756928000000006</v>
      </c>
      <c r="LU556" s="1008" t="s">
        <v>223</v>
      </c>
      <c r="LV556" s="1007">
        <v>-2.1562111999999978</v>
      </c>
      <c r="LW556" s="1008" t="s">
        <v>207</v>
      </c>
      <c r="LX556" s="1007">
        <v>1.6586239999999979</v>
      </c>
      <c r="LY556" s="1009">
        <v>0</v>
      </c>
      <c r="LZ556" s="1010">
        <v>-0.82931200000000005</v>
      </c>
      <c r="MA556" s="1011" t="s">
        <v>206</v>
      </c>
      <c r="MB556" s="1012">
        <v>1.6151520000000001</v>
      </c>
      <c r="MC556" s="995"/>
      <c r="MD556" s="996"/>
      <c r="ME556" s="997" t="s">
        <v>202</v>
      </c>
      <c r="MF556" s="997"/>
      <c r="MG556" s="998"/>
      <c r="NR556" s="1000"/>
      <c r="NS556" s="1000"/>
      <c r="NT556" s="1001"/>
      <c r="NU556" s="1000"/>
      <c r="NV556" s="1001"/>
      <c r="NX556" s="1002"/>
      <c r="NZ556" s="1001"/>
      <c r="OA556" s="1001"/>
      <c r="OC556" s="1003"/>
      <c r="OD556" s="1003"/>
      <c r="OE556" s="1001"/>
      <c r="OF556" s="1003"/>
      <c r="OG556" s="1003"/>
      <c r="QX556" s="1000">
        <f>CN556-CA556</f>
        <v>65</v>
      </c>
      <c r="ASU556" s="999" t="s">
        <v>225</v>
      </c>
    </row>
    <row r="557" spans="1:466 1191:1191" ht="21" customHeight="1" x14ac:dyDescent="0.25">
      <c r="A557" s="982">
        <f t="shared" si="441"/>
        <v>1352</v>
      </c>
      <c r="B557" s="124">
        <f>SUBTOTAL(103,$J$29:J557)</f>
        <v>529</v>
      </c>
      <c r="C557" s="126">
        <v>45068</v>
      </c>
      <c r="D557" s="124" t="s">
        <v>176</v>
      </c>
      <c r="E557" s="127" t="s">
        <v>177</v>
      </c>
      <c r="F557" s="128" t="s">
        <v>177</v>
      </c>
      <c r="G557" s="127" t="s">
        <v>178</v>
      </c>
      <c r="H557" s="127" t="s">
        <v>179</v>
      </c>
      <c r="I557" s="127" t="s">
        <v>1616</v>
      </c>
      <c r="J557" s="152">
        <v>1352</v>
      </c>
      <c r="K557" s="127" t="s">
        <v>1616</v>
      </c>
      <c r="L557" s="130">
        <v>43093</v>
      </c>
      <c r="M557" s="127" t="s">
        <v>230</v>
      </c>
      <c r="N557" s="127" t="s">
        <v>184</v>
      </c>
      <c r="O557" s="127" t="s">
        <v>185</v>
      </c>
      <c r="P557" s="127" t="s">
        <v>186</v>
      </c>
      <c r="Q557" s="85">
        <f t="shared" si="423"/>
        <v>-4</v>
      </c>
      <c r="R557" s="130">
        <v>43058</v>
      </c>
      <c r="S557" s="128" t="s">
        <v>747</v>
      </c>
      <c r="T557" s="131" t="s">
        <v>1294</v>
      </c>
      <c r="U557" s="132">
        <v>203</v>
      </c>
      <c r="V557" s="121">
        <v>218.2</v>
      </c>
      <c r="W557" s="116">
        <v>0.98</v>
      </c>
      <c r="X557" s="116">
        <v>1.66</v>
      </c>
      <c r="Y557" s="116">
        <f t="shared" si="408"/>
        <v>0.98</v>
      </c>
      <c r="Z557" s="133">
        <v>1.454</v>
      </c>
      <c r="AA557" s="133">
        <v>0.83599999999999997</v>
      </c>
      <c r="AB557" s="133">
        <v>0.72</v>
      </c>
      <c r="AC557" s="121">
        <v>34.299999999999997</v>
      </c>
      <c r="AD557" s="134">
        <v>1.17</v>
      </c>
      <c r="AE557" s="124">
        <v>177.8</v>
      </c>
      <c r="AF557" s="128">
        <v>9.19</v>
      </c>
      <c r="AG557" s="128">
        <v>2004.72</v>
      </c>
      <c r="AH557" s="138">
        <v>2988.22</v>
      </c>
      <c r="AI557" s="138">
        <v>2988.22</v>
      </c>
      <c r="AJ557" s="135">
        <v>43048</v>
      </c>
      <c r="AK557" s="128" t="s">
        <v>1018</v>
      </c>
      <c r="AL557" s="131"/>
      <c r="AM557" s="124" t="s">
        <v>985</v>
      </c>
      <c r="AN557" s="136" t="s">
        <v>1936</v>
      </c>
      <c r="AO557" s="137">
        <v>9.61</v>
      </c>
      <c r="AP557" s="128">
        <v>2198.9699999999998</v>
      </c>
      <c r="AQ557" s="128">
        <v>379.4</v>
      </c>
      <c r="AR557" s="128" t="s">
        <v>1937</v>
      </c>
      <c r="AS557" s="128">
        <v>114</v>
      </c>
      <c r="AT557" s="122">
        <v>7.37</v>
      </c>
      <c r="AU557" s="124" t="s">
        <v>189</v>
      </c>
      <c r="AV557" s="115">
        <f>VLOOKUP(J557,'[63]ТР нефть'!$J$28:$BP$638,39,0)</f>
        <v>449.999992969</v>
      </c>
      <c r="AW557" s="115" t="str">
        <f>VLOOKUP(J557,'[63]ТР нефть'!$J$28:$BP$638,40,0)</f>
        <v>ГП</v>
      </c>
      <c r="AX557" s="115">
        <f>VLOOKUP(J557,'[63]ТР нефть'!$J$28:$BP$638,41,0)</f>
        <v>830.00001679699994</v>
      </c>
      <c r="AY557" s="115" t="str">
        <f>VLOOKUP(J557,'[63]ТР нефть'!$J$28:$BP$638,42,0)</f>
        <v>ГП</v>
      </c>
      <c r="AZ557" s="115">
        <f>VLOOKUP(J557,'[63]ТР нефть'!$J$28:$BP$638,43,0)</f>
        <v>1159.9999669920001</v>
      </c>
      <c r="BA557" s="115" t="str">
        <f>VLOOKUP(J557,'[63]ТР нефть'!$J$28:$BP$638,44,0)</f>
        <v>ГП</v>
      </c>
      <c r="BB557" s="115">
        <f>VLOOKUP(J557,'[63]ТР нефть'!$J$28:$BP$638,45,0)</f>
        <v>1430.000007422</v>
      </c>
      <c r="BC557" s="115" t="str">
        <f>VLOOKUP(J557,'[63]ТР нефть'!$J$28:$BP$638,46,0)</f>
        <v>ГП</v>
      </c>
      <c r="BD557" s="115">
        <f>VLOOKUP(J557,'[63]ТР нефть'!$J$28:$BP$638,47,0)</f>
        <v>1690.000062891</v>
      </c>
      <c r="BE557" s="115" t="str">
        <f>VLOOKUP(J557,'[63]ТР нефть'!$J$28:$BP$638,48,0)</f>
        <v>ГП</v>
      </c>
      <c r="BF557" s="115" t="str">
        <f>VLOOKUP(J557,'[63]ТР нефть'!$J$28:$BP$638,49,0)</f>
        <v>-</v>
      </c>
      <c r="BG557" s="115" t="str">
        <f>VLOOKUP(J557,'[63]ТР нефть'!$J$28:$BP$638,50,0)</f>
        <v>-</v>
      </c>
      <c r="BH557" s="115">
        <f>VLOOKUP(J557,'[63]ТР нефть'!$J$28:$BP$638,51,0)</f>
        <v>1700</v>
      </c>
      <c r="BI557" s="115" t="str">
        <f>VLOOKUP(J557,'[63]ТР нефть'!$J$28:$BP$638,52,0)</f>
        <v>открыт</v>
      </c>
      <c r="BJ557" s="115" t="str">
        <f>IF(IFERROR(VLOOKUP(J557,'[63]ТР нефть'!$J$28:$BP$638,53,0),"-")=0,"-",IFERROR(VLOOKUP(J557,'[63]ТР нефть'!$J$28:$BP$638,53,0),"-"))</f>
        <v>-</v>
      </c>
      <c r="BK557" s="138" t="str">
        <f>IF(IFERROR(VLOOKUP(J557,'[63]ТР нефть'!$J$28:$BP$638,54,0),"-")=0,"-",IFERROR(VLOOKUP(J557,'[63]ТР нефть'!$J$28:$BP$638,54,0),"-"))</f>
        <v>-</v>
      </c>
      <c r="BL557" s="138" t="str">
        <f>IF(IFERROR(VLOOKUP(J557,'[63]ТР нефть'!$J$28:$BP$638,55,0),"-")=0,"-",IFERROR(VLOOKUP(J557,'[63]ТР нефть'!$J$28:$BP$638,55,0),"-"))</f>
        <v>-</v>
      </c>
      <c r="BM557" s="138" t="str">
        <f>IF(IFERROR(VLOOKUP(J557,'[63]ТР нефть'!$J$28:$BP$638,56,0),"-")=0,"-",IFERROR(VLOOKUP(J557,'[63]ТР нефть'!$J$28:$BP$638,56,0),"-"))</f>
        <v>-</v>
      </c>
      <c r="BN557" s="138" t="str">
        <f>IF(IFERROR(VLOOKUP(J557,'[63]ТР нефть'!$J$28:$BP$638,57,0),"-")=0,"-",IFERROR(VLOOKUP(J557,'[63]ТР нефть'!$J$28:$BP$638,57,0),"-"))</f>
        <v>-</v>
      </c>
      <c r="BO557" s="115" t="str">
        <f>IF(IFERROR(VLOOKUP(J557,'[63]ТР нефть'!$J$28:$BP$638,58,0),"-")=0,"-",IFERROR(VLOOKUP(J557,'[63]ТР нефть'!$J$28:$BP$638,58,0),"-"))</f>
        <v>-</v>
      </c>
      <c r="BP557" s="115" t="str">
        <f>IF(IFERROR(VLOOKUP(J557,'[63]ТР нефть'!$J$28:$BP$638,59,0),"-")=0,"-",IFERROR(VLOOKUP(J557,'[63]ТР нефть'!$J$28:$BP$638,59,0),"-"))</f>
        <v>-</v>
      </c>
      <c r="BQ557" s="138">
        <v>1741</v>
      </c>
      <c r="BR557" s="128">
        <v>1674</v>
      </c>
      <c r="BS557" s="115">
        <f t="shared" si="437"/>
        <v>67</v>
      </c>
      <c r="BT557" s="128">
        <v>73</v>
      </c>
      <c r="BU557" s="128">
        <v>5.5</v>
      </c>
      <c r="BV557" s="127">
        <v>65</v>
      </c>
      <c r="BW557" s="127" t="s">
        <v>217</v>
      </c>
      <c r="BX557" s="127" t="s">
        <v>218</v>
      </c>
      <c r="BY557" s="139">
        <v>24</v>
      </c>
      <c r="BZ557" s="139">
        <v>24</v>
      </c>
      <c r="CA557" s="80">
        <v>24</v>
      </c>
      <c r="CB557" s="138">
        <v>35</v>
      </c>
      <c r="CC557" s="138">
        <v>23</v>
      </c>
      <c r="CD557" s="135">
        <v>45017</v>
      </c>
      <c r="CE557" s="138">
        <v>93</v>
      </c>
      <c r="CF557" s="138">
        <v>74</v>
      </c>
      <c r="CG557" s="138" t="str">
        <f t="shared" si="458"/>
        <v>В работе</v>
      </c>
      <c r="CH557" s="138" t="s">
        <v>196</v>
      </c>
      <c r="CI557" s="127"/>
      <c r="CJ557" s="138"/>
      <c r="CK557" s="138">
        <f t="shared" si="432"/>
        <v>18</v>
      </c>
      <c r="CL557" s="99"/>
      <c r="CM557" s="99"/>
      <c r="CN557" s="140">
        <v>42</v>
      </c>
      <c r="CO557" s="141">
        <f t="shared" si="442"/>
        <v>4.18</v>
      </c>
      <c r="CP557" s="142">
        <f>10/2</f>
        <v>5</v>
      </c>
      <c r="CQ557" s="143">
        <v>0</v>
      </c>
      <c r="CR557" s="138">
        <v>13</v>
      </c>
      <c r="CS557" s="139">
        <f>9.6/2</f>
        <v>4.8</v>
      </c>
      <c r="CT557" s="138"/>
      <c r="CU557" s="138">
        <f t="shared" si="418"/>
        <v>8.1999999999999993</v>
      </c>
      <c r="CV557" s="115">
        <f t="shared" si="419"/>
        <v>1961.7224880382776</v>
      </c>
      <c r="CW557" s="115">
        <f t="shared" si="443"/>
        <v>1148.3253588516745</v>
      </c>
      <c r="CX557" s="133">
        <f t="shared" si="420"/>
        <v>9.8039215686274508E-2</v>
      </c>
      <c r="CY557" s="116"/>
      <c r="CZ557" s="131"/>
      <c r="DA557" s="145" t="str">
        <f t="shared" si="444"/>
        <v>Газлифт</v>
      </c>
      <c r="DB557" s="146">
        <f t="shared" si="455"/>
        <v>4.18</v>
      </c>
      <c r="DC557" s="142">
        <f t="shared" si="459"/>
        <v>5</v>
      </c>
      <c r="DD557" s="119">
        <f t="shared" si="416"/>
        <v>0</v>
      </c>
      <c r="DE557" s="115">
        <f t="shared" si="456"/>
        <v>8.1999999999999993</v>
      </c>
      <c r="DF557" s="121">
        <f t="shared" si="445"/>
        <v>4.8</v>
      </c>
      <c r="DG557" s="115">
        <f t="shared" si="446"/>
        <v>1961.7224880382776</v>
      </c>
      <c r="DH557" s="115">
        <f t="shared" si="447"/>
        <v>42</v>
      </c>
      <c r="DI557" s="147"/>
      <c r="DJ557" s="111">
        <v>43097</v>
      </c>
      <c r="DK557" s="112">
        <v>43151</v>
      </c>
      <c r="DL557" s="113">
        <f t="shared" ca="1" si="424"/>
        <v>1953</v>
      </c>
      <c r="DM557" s="114"/>
      <c r="DN557" s="114"/>
      <c r="DO557" s="114"/>
      <c r="DP557" s="114"/>
      <c r="DQ557" s="112">
        <v>43093</v>
      </c>
      <c r="DR557" s="114" t="s">
        <v>324</v>
      </c>
      <c r="DS557" s="114"/>
      <c r="DT557" s="115">
        <v>45</v>
      </c>
      <c r="DU557" s="116">
        <f t="shared" si="425"/>
        <v>0.10416666666666667</v>
      </c>
      <c r="DV557" s="117">
        <f t="shared" si="428"/>
        <v>4.18</v>
      </c>
      <c r="DW557" s="118">
        <f t="shared" si="429"/>
        <v>5</v>
      </c>
      <c r="DX557" s="119">
        <f t="shared" si="430"/>
        <v>0</v>
      </c>
      <c r="DY557" s="115">
        <f t="shared" si="431"/>
        <v>8.1999999999999993</v>
      </c>
      <c r="DZ557" s="117">
        <f t="shared" si="440"/>
        <v>0</v>
      </c>
      <c r="EA557" s="120">
        <f t="shared" si="440"/>
        <v>0</v>
      </c>
      <c r="EB557" s="119">
        <f t="shared" si="440"/>
        <v>0</v>
      </c>
      <c r="EC557" s="121">
        <f t="shared" si="415"/>
        <v>0</v>
      </c>
      <c r="ED557" s="122"/>
      <c r="EE557" s="145">
        <v>65</v>
      </c>
      <c r="EF557" s="148">
        <v>25</v>
      </c>
      <c r="EG557" s="115">
        <v>39</v>
      </c>
      <c r="EH557" s="115">
        <v>24</v>
      </c>
      <c r="EI557" s="128" t="s">
        <v>218</v>
      </c>
      <c r="EJ557" s="121">
        <v>24</v>
      </c>
      <c r="EK557" s="121">
        <v>24</v>
      </c>
      <c r="EL557" s="149">
        <v>5.4340000000000002</v>
      </c>
      <c r="EM557" s="142">
        <v>6.5</v>
      </c>
      <c r="EN557" s="119">
        <v>0</v>
      </c>
      <c r="EO557" s="115">
        <v>16</v>
      </c>
      <c r="EP557" s="115">
        <v>2171.512697828487</v>
      </c>
      <c r="EQ557" s="115">
        <v>73</v>
      </c>
      <c r="ER557" s="115">
        <v>4.2</v>
      </c>
      <c r="ES557" s="115">
        <v>44</v>
      </c>
      <c r="ET557" s="150">
        <v>0.1326530612244898</v>
      </c>
      <c r="EU557" s="145">
        <f t="shared" si="457"/>
        <v>65</v>
      </c>
      <c r="EV557" s="115">
        <f t="shared" si="448"/>
        <v>24</v>
      </c>
      <c r="EW557" s="115">
        <f t="shared" si="448"/>
        <v>35</v>
      </c>
      <c r="EX557" s="115">
        <f t="shared" si="448"/>
        <v>23</v>
      </c>
      <c r="EY557" s="115" t="str">
        <f t="shared" si="434"/>
        <v>Периодический</v>
      </c>
      <c r="EZ557" s="115">
        <f t="shared" si="434"/>
        <v>24</v>
      </c>
      <c r="FA557" s="115">
        <f t="shared" si="434"/>
        <v>24</v>
      </c>
      <c r="FB557" s="149">
        <f t="shared" si="461"/>
        <v>4.18</v>
      </c>
      <c r="FC557" s="117">
        <f t="shared" si="461"/>
        <v>5</v>
      </c>
      <c r="FD557" s="119">
        <f t="shared" si="461"/>
        <v>0</v>
      </c>
      <c r="FE557" s="121">
        <f t="shared" si="460"/>
        <v>13</v>
      </c>
      <c r="FF557" s="121">
        <f t="shared" ref="FF557:FF625" si="462">CV557</f>
        <v>1961.7224880382776</v>
      </c>
      <c r="FG557" s="121">
        <f t="shared" si="449"/>
        <v>74</v>
      </c>
      <c r="FH557" s="121">
        <f t="shared" si="436"/>
        <v>4.8</v>
      </c>
      <c r="FI557" s="121">
        <f t="shared" si="427"/>
        <v>42</v>
      </c>
      <c r="FJ557" s="144">
        <f t="shared" si="450"/>
        <v>9.8039215686274508E-2</v>
      </c>
      <c r="FK557" s="132">
        <f t="shared" si="451"/>
        <v>0</v>
      </c>
      <c r="FL557" s="115">
        <f t="shared" si="451"/>
        <v>-1</v>
      </c>
      <c r="FM557" s="115">
        <f t="shared" si="451"/>
        <v>-4</v>
      </c>
      <c r="FN557" s="115">
        <f t="shared" si="451"/>
        <v>-1</v>
      </c>
      <c r="FO557" s="115">
        <f t="shared" si="439"/>
        <v>0</v>
      </c>
      <c r="FP557" s="115">
        <f t="shared" si="439"/>
        <v>0</v>
      </c>
      <c r="FQ557" s="149">
        <f t="shared" si="439"/>
        <v>-1.2540000000000004</v>
      </c>
      <c r="FR557" s="142">
        <f t="shared" si="439"/>
        <v>-1.5</v>
      </c>
      <c r="FS557" s="119">
        <f t="shared" si="439"/>
        <v>0</v>
      </c>
      <c r="FT557" s="121">
        <f t="shared" si="438"/>
        <v>-3</v>
      </c>
      <c r="FU557" s="121">
        <f t="shared" si="452"/>
        <v>1</v>
      </c>
      <c r="FV557" s="121">
        <f t="shared" si="452"/>
        <v>0.59999999999999964</v>
      </c>
      <c r="FW557" s="121">
        <f t="shared" si="453"/>
        <v>-209.79020979020947</v>
      </c>
      <c r="FX557" s="121">
        <f t="shared" si="454"/>
        <v>-2</v>
      </c>
      <c r="FY557" s="144">
        <f t="shared" si="454"/>
        <v>-3.4613845538215296E-2</v>
      </c>
      <c r="FZ557" s="124" t="s">
        <v>223</v>
      </c>
      <c r="GA557" s="136" t="s">
        <v>361</v>
      </c>
      <c r="GB557" s="124"/>
      <c r="GC557" s="136"/>
      <c r="GD557" s="997" t="s">
        <v>202</v>
      </c>
      <c r="GE557" s="1004"/>
      <c r="GF557" s="1004">
        <v>-0.50159999999999894</v>
      </c>
      <c r="GG557" s="1004"/>
      <c r="GH557" s="1004">
        <v>0</v>
      </c>
      <c r="GI557" s="124"/>
      <c r="GJ557" s="996">
        <v>-0.75240000000000062</v>
      </c>
      <c r="GK557" s="124"/>
      <c r="GL557" s="996">
        <v>0</v>
      </c>
      <c r="GM557" s="1005" t="s">
        <v>199</v>
      </c>
      <c r="GN557" s="996">
        <v>1.6719999999999997</v>
      </c>
      <c r="GO557" s="1006"/>
      <c r="GP557" s="996">
        <v>-0.41800000000000015</v>
      </c>
      <c r="GQ557" s="1006"/>
      <c r="GR557" s="996">
        <v>0</v>
      </c>
      <c r="GS557" s="1006"/>
      <c r="GT557" s="996">
        <v>0</v>
      </c>
      <c r="GU557" s="1006" t="s">
        <v>199</v>
      </c>
      <c r="GV557" s="996">
        <v>-1.8391999999999991</v>
      </c>
      <c r="GW557" s="1006"/>
      <c r="GX557" s="1035">
        <v>0</v>
      </c>
      <c r="GY557" s="1006"/>
      <c r="GZ557" s="996">
        <v>1.0031999999999996</v>
      </c>
      <c r="HA557" s="1006"/>
      <c r="HB557" s="996">
        <v>-0.25079999999999991</v>
      </c>
      <c r="HC557" s="1006" t="s">
        <v>223</v>
      </c>
      <c r="HD557" s="996">
        <v>-0.91124000000000027</v>
      </c>
      <c r="HE557" s="1006" t="s">
        <v>199</v>
      </c>
      <c r="HF557" s="996">
        <v>-2.4243999999999994</v>
      </c>
      <c r="HG557" s="1006" t="s">
        <v>199</v>
      </c>
      <c r="HH557" s="996">
        <v>1.4964399999999998</v>
      </c>
      <c r="HI557" s="1006" t="s">
        <v>199</v>
      </c>
      <c r="HJ557" s="996">
        <v>-1.3794000000000004</v>
      </c>
      <c r="HK557" s="1006"/>
      <c r="HL557" s="996">
        <v>0</v>
      </c>
      <c r="HM557" s="1006" t="s">
        <v>199</v>
      </c>
      <c r="HN557" s="996">
        <v>-1.7973999999999997</v>
      </c>
      <c r="HO557" s="1006" t="s">
        <v>199</v>
      </c>
      <c r="HP557" s="996">
        <v>2.909279999999999</v>
      </c>
      <c r="HQ557" s="1006"/>
      <c r="HR557" s="996">
        <v>-0.38455999999999868</v>
      </c>
      <c r="HS557" s="1006"/>
      <c r="HT557" s="996">
        <v>0</v>
      </c>
      <c r="HU557" s="1006"/>
      <c r="HV557" s="996">
        <v>-0.46816000000000102</v>
      </c>
      <c r="HW557" s="1006"/>
      <c r="HX557" s="996">
        <v>0</v>
      </c>
      <c r="HY557" s="1006"/>
      <c r="HZ557" s="996">
        <v>-0.87780000000000058</v>
      </c>
      <c r="IA557" s="1006"/>
      <c r="IB557" s="996">
        <v>-0.43471999999999866</v>
      </c>
      <c r="IC557" s="1006" t="s">
        <v>204</v>
      </c>
      <c r="ID557" s="996">
        <v>2.8674799999999996</v>
      </c>
      <c r="IE557" s="1006" t="s">
        <v>223</v>
      </c>
      <c r="IF557" s="996">
        <v>-5.7015199999999995</v>
      </c>
      <c r="IG557" s="1006" t="s">
        <v>223</v>
      </c>
      <c r="IH557" s="996">
        <v>0.66879999999999917</v>
      </c>
      <c r="II557" s="1006" t="s">
        <v>223</v>
      </c>
      <c r="IJ557" s="996">
        <v>-2.09</v>
      </c>
      <c r="IK557" s="1006"/>
      <c r="IL557" s="996">
        <v>0</v>
      </c>
      <c r="IM557" s="1006" t="s">
        <v>199</v>
      </c>
      <c r="IN557" s="996">
        <v>4.5980000000000008</v>
      </c>
      <c r="IO557" s="1006" t="s">
        <v>199</v>
      </c>
      <c r="IP557" s="996">
        <v>-3.6783999999999981</v>
      </c>
      <c r="IQ557" s="1006" t="s">
        <v>199</v>
      </c>
      <c r="IR557" s="996">
        <v>2.0063999999999975</v>
      </c>
      <c r="IS557" s="1006" t="s">
        <v>223</v>
      </c>
      <c r="IT557" s="996">
        <v>-3.7619999999999987</v>
      </c>
      <c r="IU557" s="1006"/>
      <c r="IV557" s="996">
        <v>-0.8360000000000003</v>
      </c>
      <c r="IW557" s="1006" t="s">
        <v>223</v>
      </c>
      <c r="IX557" s="996">
        <v>-6.6879999999999988</v>
      </c>
      <c r="IY557" s="1006"/>
      <c r="IZ557" s="996">
        <v>0</v>
      </c>
      <c r="JA557" s="1006" t="s">
        <v>199</v>
      </c>
      <c r="JB557" s="996">
        <v>3.3439999999999976</v>
      </c>
      <c r="JC557" s="1006"/>
      <c r="JD557" s="996">
        <v>0</v>
      </c>
      <c r="JE557" s="1006"/>
      <c r="JF557" s="996">
        <v>0</v>
      </c>
      <c r="JG557" s="1006"/>
      <c r="JH557" s="996">
        <v>0</v>
      </c>
      <c r="JI557" s="1006" t="s">
        <v>199</v>
      </c>
      <c r="JJ557" s="996">
        <v>7.5240000000000009</v>
      </c>
      <c r="JK557" s="1007" t="s">
        <v>199</v>
      </c>
      <c r="JL557" s="1007">
        <v>-8.36</v>
      </c>
      <c r="JM557" s="1007" t="s">
        <v>199</v>
      </c>
      <c r="JN557" s="1007">
        <v>5.016</v>
      </c>
      <c r="JO557" s="1008" t="s">
        <v>199</v>
      </c>
      <c r="JP557" s="1007">
        <v>-7.5239999999999991</v>
      </c>
      <c r="JQ557" s="1008">
        <v>0</v>
      </c>
      <c r="JR557" s="1007">
        <v>0</v>
      </c>
      <c r="JS557" s="1008" t="s">
        <v>204</v>
      </c>
      <c r="JT557" s="1007">
        <v>5.8519999999999968</v>
      </c>
      <c r="JU557" s="1008"/>
      <c r="JV557" s="1007">
        <v>0</v>
      </c>
      <c r="JW557" s="1008" t="s">
        <v>197</v>
      </c>
      <c r="JX557" s="1007">
        <v>0</v>
      </c>
      <c r="JY557" s="1008" t="s">
        <v>240</v>
      </c>
      <c r="JZ557" s="1007">
        <v>-17.556000000000001</v>
      </c>
      <c r="KA557" s="1008"/>
      <c r="KB557" s="1007">
        <v>0</v>
      </c>
      <c r="KC557" s="1008"/>
      <c r="KD557" s="1007">
        <v>0</v>
      </c>
      <c r="KE557" s="1008"/>
      <c r="KF557" s="1007">
        <v>0</v>
      </c>
      <c r="KG557" s="1008"/>
      <c r="KH557" s="1007">
        <v>0</v>
      </c>
      <c r="KI557" s="1008" t="s">
        <v>240</v>
      </c>
      <c r="KJ557" s="1007">
        <v>-1.671999999999997</v>
      </c>
      <c r="KK557" s="1008"/>
      <c r="KL557" s="1007">
        <v>0</v>
      </c>
      <c r="KM557" s="1008"/>
      <c r="KN557" s="1007">
        <v>0</v>
      </c>
      <c r="KO557" s="1008" t="s">
        <v>240</v>
      </c>
      <c r="KP557" s="1007">
        <v>3.2771200000000036</v>
      </c>
      <c r="KQ557" s="1008">
        <v>0</v>
      </c>
      <c r="KR557" s="1007">
        <v>0</v>
      </c>
      <c r="KS557" s="1008" t="s">
        <v>223</v>
      </c>
      <c r="KT557" s="1007">
        <v>-7.1227200000000011</v>
      </c>
      <c r="KU557" s="1008" t="s">
        <v>223</v>
      </c>
      <c r="KV557" s="1007">
        <v>-7.0224000000000046</v>
      </c>
      <c r="KW557" s="1008">
        <v>0</v>
      </c>
      <c r="KX557" s="1007">
        <v>0</v>
      </c>
      <c r="KY557" s="1008">
        <v>0</v>
      </c>
      <c r="KZ557" s="1007">
        <v>0</v>
      </c>
      <c r="LA557" s="1008">
        <v>0</v>
      </c>
      <c r="LB557" s="1007">
        <v>0</v>
      </c>
      <c r="LC557" s="1008">
        <v>0</v>
      </c>
      <c r="LD557" s="1007">
        <v>0</v>
      </c>
      <c r="LE557" s="1008" t="s">
        <v>25</v>
      </c>
      <c r="LF557" s="1007">
        <v>50.995999999999995</v>
      </c>
      <c r="LG557" s="1008">
        <v>0</v>
      </c>
      <c r="LH557" s="1007">
        <v>0</v>
      </c>
      <c r="LI557" s="1008">
        <v>0</v>
      </c>
      <c r="LJ557" s="1007">
        <v>0</v>
      </c>
      <c r="LK557" s="1008">
        <v>0</v>
      </c>
      <c r="LL557" s="1007">
        <v>0</v>
      </c>
      <c r="LM557" s="1008">
        <v>0</v>
      </c>
      <c r="LN557" s="1007">
        <v>0</v>
      </c>
      <c r="LO557" s="1008">
        <v>0</v>
      </c>
      <c r="LP557" s="1007">
        <v>0</v>
      </c>
      <c r="LQ557" s="1008">
        <v>0</v>
      </c>
      <c r="LR557" s="1007">
        <v>0</v>
      </c>
      <c r="LS557" s="1008">
        <v>0</v>
      </c>
      <c r="LT557" s="1007">
        <v>0</v>
      </c>
      <c r="LU557" s="1008">
        <v>0</v>
      </c>
      <c r="LV557" s="1007">
        <v>0</v>
      </c>
      <c r="LW557" s="1008">
        <v>0</v>
      </c>
      <c r="LX557" s="1007">
        <v>0</v>
      </c>
      <c r="LY557" s="1009">
        <v>0</v>
      </c>
      <c r="LZ557" s="1010">
        <v>0</v>
      </c>
      <c r="MA557" s="1011">
        <v>0</v>
      </c>
      <c r="MB557" s="1012">
        <v>0</v>
      </c>
      <c r="MC557" s="995"/>
      <c r="MD557" s="996"/>
      <c r="ME557" s="997" t="s">
        <v>202</v>
      </c>
      <c r="MF557" s="997"/>
      <c r="MG557" s="998"/>
      <c r="NR557" s="1000"/>
      <c r="NS557" s="1000"/>
      <c r="NT557" s="1001"/>
      <c r="NU557" s="1000"/>
      <c r="NV557" s="1001"/>
      <c r="NX557" s="1002"/>
      <c r="NZ557" s="1001"/>
      <c r="OA557" s="1001"/>
      <c r="OC557" s="1003"/>
      <c r="OD557" s="1003"/>
      <c r="OE557" s="1001"/>
      <c r="OF557" s="1003"/>
      <c r="OG557" s="1003"/>
      <c r="QX557" s="1000">
        <f>CN557-CA557</f>
        <v>18</v>
      </c>
      <c r="ASU557" s="999" t="s">
        <v>208</v>
      </c>
    </row>
    <row r="558" spans="1:466 1191:1191" ht="21" customHeight="1" x14ac:dyDescent="0.25">
      <c r="A558" s="982" t="str">
        <f t="shared" si="441"/>
        <v>3288-1</v>
      </c>
      <c r="B558" s="124">
        <f>SUBTOTAL(103,$J$29:J558)</f>
        <v>530</v>
      </c>
      <c r="C558" s="126">
        <v>45068</v>
      </c>
      <c r="D558" s="124" t="s">
        <v>176</v>
      </c>
      <c r="E558" s="127" t="s">
        <v>177</v>
      </c>
      <c r="F558" s="128" t="s">
        <v>177</v>
      </c>
      <c r="G558" s="127" t="s">
        <v>178</v>
      </c>
      <c r="H558" s="127" t="s">
        <v>179</v>
      </c>
      <c r="I558" s="127" t="s">
        <v>1581</v>
      </c>
      <c r="J558" s="152" t="s">
        <v>1938</v>
      </c>
      <c r="K558" s="127" t="s">
        <v>1581</v>
      </c>
      <c r="L558" s="130">
        <v>43545</v>
      </c>
      <c r="M558" s="127" t="s">
        <v>230</v>
      </c>
      <c r="N558" s="127" t="s">
        <v>184</v>
      </c>
      <c r="O558" s="127" t="s">
        <v>185</v>
      </c>
      <c r="P558" s="127" t="s">
        <v>186</v>
      </c>
      <c r="Q558" s="85" t="str">
        <f t="shared" si="423"/>
        <v/>
      </c>
      <c r="R558" s="130"/>
      <c r="S558" s="128"/>
      <c r="T558" s="131"/>
      <c r="U558" s="132">
        <v>203</v>
      </c>
      <c r="V558" s="121">
        <v>218.2</v>
      </c>
      <c r="W558" s="116">
        <v>0.98</v>
      </c>
      <c r="X558" s="116">
        <v>1.66</v>
      </c>
      <c r="Y558" s="116">
        <f t="shared" si="408"/>
        <v>1.0153538884034452</v>
      </c>
      <c r="Z558" s="133">
        <v>1.454</v>
      </c>
      <c r="AA558" s="133">
        <v>0.83599999999999997</v>
      </c>
      <c r="AB558" s="133">
        <v>0.72</v>
      </c>
      <c r="AC558" s="121">
        <v>34.299999999999997</v>
      </c>
      <c r="AD558" s="134">
        <v>1.17</v>
      </c>
      <c r="AE558" s="124">
        <v>177.8</v>
      </c>
      <c r="AF558" s="128">
        <v>9.19</v>
      </c>
      <c r="AG558" s="128">
        <v>2256.5</v>
      </c>
      <c r="AH558" s="127">
        <v>3100</v>
      </c>
      <c r="AI558" s="127">
        <v>3100</v>
      </c>
      <c r="AJ558" s="135"/>
      <c r="AK558" s="128"/>
      <c r="AL558" s="131"/>
      <c r="AM558" s="124" t="s">
        <v>985</v>
      </c>
      <c r="AN558" s="136" t="s">
        <v>1939</v>
      </c>
      <c r="AO558" s="137">
        <v>56.73</v>
      </c>
      <c r="AP558" s="128">
        <v>2285.5500000000002</v>
      </c>
      <c r="AQ558" s="128">
        <v>186.4</v>
      </c>
      <c r="AR558" s="128" t="s">
        <v>1940</v>
      </c>
      <c r="AS558" s="128">
        <v>114</v>
      </c>
      <c r="AT558" s="122">
        <v>7.37</v>
      </c>
      <c r="AU558" s="124" t="s">
        <v>189</v>
      </c>
      <c r="AV558" s="115">
        <f>VLOOKUP(J558,'[63]ТР нефть'!$J$28:$BP$638,39,0)</f>
        <v>549.99999140600005</v>
      </c>
      <c r="AW558" s="115" t="str">
        <f>VLOOKUP(J558,'[63]ТР нефть'!$J$28:$BP$638,40,0)</f>
        <v>ГП</v>
      </c>
      <c r="AX558" s="115">
        <f>VLOOKUP(J558,'[63]ТР нефть'!$J$28:$BP$638,41,0)</f>
        <v>1009.999969336</v>
      </c>
      <c r="AY558" s="115" t="str">
        <f>VLOOKUP(J558,'[63]ТР нефть'!$J$28:$BP$638,42,0)</f>
        <v>ГП</v>
      </c>
      <c r="AZ558" s="115">
        <f>VLOOKUP(J558,'[63]ТР нефть'!$J$28:$BP$638,43,0)</f>
        <v>1335.0000386720001</v>
      </c>
      <c r="BA558" s="115" t="str">
        <f>VLOOKUP(J558,'[63]ТР нефть'!$J$28:$BP$638,44,0)</f>
        <v>ГК 82 5/32</v>
      </c>
      <c r="BB558" s="115">
        <f>VLOOKUP(J558,'[63]ТР нефть'!$J$28:$BP$638,45,0)</f>
        <v>1615.0000640630001</v>
      </c>
      <c r="BC558" s="115" t="str">
        <f>VLOOKUP(J558,'[63]ТР нефть'!$J$28:$BP$638,46,0)</f>
        <v>ГК 82 5/32</v>
      </c>
      <c r="BD558" s="115">
        <f>VLOOKUP(J558,'[63]ТР нефть'!$J$28:$BP$638,47,0)</f>
        <v>1899.9999703129999</v>
      </c>
      <c r="BE558" s="115" t="str">
        <f>VLOOKUP(J558,'[63]ТР нефть'!$J$28:$BP$638,48,0)</f>
        <v>ЦКсОК 5/16</v>
      </c>
      <c r="BF558" s="115" t="str">
        <f>VLOOKUP(J558,'[63]ТР нефть'!$J$28:$BP$638,49,0)</f>
        <v>-</v>
      </c>
      <c r="BG558" s="115" t="str">
        <f>VLOOKUP(J558,'[63]ТР нефть'!$J$28:$BP$638,50,0)</f>
        <v>-</v>
      </c>
      <c r="BH558" s="115" t="str">
        <f>VLOOKUP(J558,'[63]ТР нефть'!$J$28:$BP$638,51,0)</f>
        <v>-</v>
      </c>
      <c r="BI558" s="115" t="str">
        <f>VLOOKUP(J558,'[63]ТР нефть'!$J$28:$BP$638,52,0)</f>
        <v>-</v>
      </c>
      <c r="BJ558" s="115" t="str">
        <f>IF(IFERROR(VLOOKUP(J558,'[63]ТР нефть'!$J$28:$BP$638,53,0),"-")=0,"-",IFERROR(VLOOKUP(J558,'[63]ТР нефть'!$J$28:$BP$638,53,0),"-"))</f>
        <v>-</v>
      </c>
      <c r="BK558" s="138" t="str">
        <f>IF(IFERROR(VLOOKUP(J558,'[63]ТР нефть'!$J$28:$BP$638,54,0),"-")=0,"-",IFERROR(VLOOKUP(J558,'[63]ТР нефть'!$J$28:$BP$638,54,0),"-"))</f>
        <v>-</v>
      </c>
      <c r="BL558" s="138" t="str">
        <f>IF(IFERROR(VLOOKUP(J558,'[63]ТР нефть'!$J$28:$BP$638,55,0),"-")=0,"-",IFERROR(VLOOKUP(J558,'[63]ТР нефть'!$J$28:$BP$638,55,0),"-"))</f>
        <v>-</v>
      </c>
      <c r="BM558" s="138" t="str">
        <f>IF(IFERROR(VLOOKUP(J558,'[63]ТР нефть'!$J$28:$BP$638,56,0),"-")=0,"-",IFERROR(VLOOKUP(J558,'[63]ТР нефть'!$J$28:$BP$638,56,0),"-"))</f>
        <v>-</v>
      </c>
      <c r="BN558" s="138" t="str">
        <f>IF(IFERROR(VLOOKUP(J558,'[63]ТР нефть'!$J$28:$BP$638,57,0),"-")=0,"-",IFERROR(VLOOKUP(J558,'[63]ТР нефть'!$J$28:$BP$638,57,0),"-"))</f>
        <v>-</v>
      </c>
      <c r="BO558" s="115" t="str">
        <f>IF(IFERROR(VLOOKUP(J558,'[63]ТР нефть'!$J$28:$BP$638,58,0),"-")=0,"-",IFERROR(VLOOKUP(J558,'[63]ТР нефть'!$J$28:$BP$638,58,0),"-"))</f>
        <v>-</v>
      </c>
      <c r="BP558" s="115" t="str">
        <f>IF(IFERROR(VLOOKUP(J558,'[63]ТР нефть'!$J$28:$BP$638,59,0),"-")=0,"-",IFERROR(VLOOKUP(J558,'[63]ТР нефть'!$J$28:$BP$638,59,0),"-"))</f>
        <v>-</v>
      </c>
      <c r="BQ558" s="138">
        <v>2024</v>
      </c>
      <c r="BR558" s="128">
        <v>1639.37</v>
      </c>
      <c r="BS558" s="115">
        <f t="shared" si="437"/>
        <v>384.63000000000011</v>
      </c>
      <c r="BT558" s="128">
        <v>73</v>
      </c>
      <c r="BU558" s="128">
        <v>5.5</v>
      </c>
      <c r="BV558" s="127">
        <v>65</v>
      </c>
      <c r="BW558" s="127" t="s">
        <v>217</v>
      </c>
      <c r="BX558" s="127" t="s">
        <v>195</v>
      </c>
      <c r="BY558" s="139">
        <v>24</v>
      </c>
      <c r="BZ558" s="139">
        <v>0</v>
      </c>
      <c r="CA558" s="138">
        <v>25</v>
      </c>
      <c r="CB558" s="138">
        <v>47</v>
      </c>
      <c r="CC558" s="138">
        <v>24</v>
      </c>
      <c r="CD558" s="135">
        <v>45017</v>
      </c>
      <c r="CE558" s="138">
        <v>88</v>
      </c>
      <c r="CF558" s="138">
        <v>72</v>
      </c>
      <c r="CG558" s="138" t="str">
        <f t="shared" si="458"/>
        <v>В работе</v>
      </c>
      <c r="CH558" s="138" t="s">
        <v>235</v>
      </c>
      <c r="CI558" s="127"/>
      <c r="CJ558" s="138"/>
      <c r="CK558" s="138">
        <f t="shared" si="432"/>
        <v>33</v>
      </c>
      <c r="CL558" s="99"/>
      <c r="CM558" s="99"/>
      <c r="CN558" s="140">
        <v>58</v>
      </c>
      <c r="CO558" s="141">
        <f t="shared" si="442"/>
        <v>9.3322679999999991</v>
      </c>
      <c r="CP558" s="142">
        <v>12.2</v>
      </c>
      <c r="CQ558" s="143">
        <v>8.5</v>
      </c>
      <c r="CR558" s="138">
        <v>22.3</v>
      </c>
      <c r="CS558" s="139">
        <v>20</v>
      </c>
      <c r="CT558" s="138"/>
      <c r="CU558" s="138">
        <f t="shared" si="418"/>
        <v>2.3000000000000007</v>
      </c>
      <c r="CV558" s="115">
        <f t="shared" si="419"/>
        <v>246.45670270077983</v>
      </c>
      <c r="CW558" s="115">
        <f t="shared" si="443"/>
        <v>1898.7737149716604</v>
      </c>
      <c r="CX558" s="133">
        <f t="shared" si="420"/>
        <v>0.40666666666666662</v>
      </c>
      <c r="CY558" s="116"/>
      <c r="CZ558" s="131"/>
      <c r="DA558" s="145" t="str">
        <f t="shared" si="444"/>
        <v>Газлифт</v>
      </c>
      <c r="DB558" s="146">
        <f t="shared" si="455"/>
        <v>9.3322679999999991</v>
      </c>
      <c r="DC558" s="142">
        <f t="shared" si="459"/>
        <v>12.2</v>
      </c>
      <c r="DD558" s="119">
        <f t="shared" si="416"/>
        <v>8.5</v>
      </c>
      <c r="DE558" s="115">
        <f t="shared" si="456"/>
        <v>2.3000000000000007</v>
      </c>
      <c r="DF558" s="121">
        <f t="shared" si="445"/>
        <v>20</v>
      </c>
      <c r="DG558" s="115">
        <f t="shared" si="446"/>
        <v>246.45670270077983</v>
      </c>
      <c r="DH558" s="115">
        <f t="shared" si="447"/>
        <v>58</v>
      </c>
      <c r="DI558" s="147"/>
      <c r="DJ558" s="111" t="s">
        <v>197</v>
      </c>
      <c r="DK558" s="112">
        <v>43545</v>
      </c>
      <c r="DL558" s="113">
        <f t="shared" ca="1" si="424"/>
        <v>1559</v>
      </c>
      <c r="DM558" s="114"/>
      <c r="DN558" s="114"/>
      <c r="DO558" s="114"/>
      <c r="DP558" s="114"/>
      <c r="DQ558" s="112">
        <v>43545</v>
      </c>
      <c r="DR558" s="114" t="s">
        <v>324</v>
      </c>
      <c r="DS558" s="114"/>
      <c r="DT558" s="115">
        <v>54</v>
      </c>
      <c r="DU558" s="116">
        <f t="shared" si="425"/>
        <v>0.39698412698412688</v>
      </c>
      <c r="DV558" s="117">
        <f t="shared" si="428"/>
        <v>10.324747295238094</v>
      </c>
      <c r="DW558" s="118">
        <f t="shared" si="429"/>
        <v>13.497460317460314</v>
      </c>
      <c r="DX558" s="119">
        <f t="shared" si="430"/>
        <v>8.5</v>
      </c>
      <c r="DY558" s="115">
        <f t="shared" si="431"/>
        <v>2.5446031746031754</v>
      </c>
      <c r="DZ558" s="117">
        <f t="shared" si="440"/>
        <v>0.99247929523809475</v>
      </c>
      <c r="EA558" s="120">
        <f t="shared" si="440"/>
        <v>1.297460317460315</v>
      </c>
      <c r="EB558" s="119">
        <f t="shared" si="440"/>
        <v>0</v>
      </c>
      <c r="EC558" s="121">
        <f t="shared" si="415"/>
        <v>0.24460317460317471</v>
      </c>
      <c r="ED558" s="1056"/>
      <c r="EE558" s="145">
        <v>65</v>
      </c>
      <c r="EF558" s="115">
        <v>26</v>
      </c>
      <c r="EG558" s="115">
        <v>45</v>
      </c>
      <c r="EH558" s="115">
        <v>25</v>
      </c>
      <c r="EI558" s="128" t="s">
        <v>195</v>
      </c>
      <c r="EJ558" s="121">
        <v>24</v>
      </c>
      <c r="EK558" s="121">
        <v>0</v>
      </c>
      <c r="EL558" s="1063">
        <v>4.7721889599999994</v>
      </c>
      <c r="EM558" s="1064">
        <v>5.8</v>
      </c>
      <c r="EN558" s="1065">
        <v>1.58</v>
      </c>
      <c r="EO558" s="1049">
        <v>7.7</v>
      </c>
      <c r="EP558" s="1049">
        <v>104.77372212017356</v>
      </c>
      <c r="EQ558" s="1049">
        <v>71</v>
      </c>
      <c r="ER558" s="1049">
        <v>7.2</v>
      </c>
      <c r="ES558" s="1049">
        <v>59</v>
      </c>
      <c r="ET558" s="1066">
        <v>0.19999999999999998</v>
      </c>
      <c r="EU558" s="145">
        <f t="shared" si="457"/>
        <v>65</v>
      </c>
      <c r="EV558" s="115">
        <f t="shared" si="448"/>
        <v>25</v>
      </c>
      <c r="EW558" s="115">
        <f t="shared" si="448"/>
        <v>47</v>
      </c>
      <c r="EX558" s="115">
        <f t="shared" si="448"/>
        <v>24</v>
      </c>
      <c r="EY558" s="115" t="str">
        <f t="shared" si="434"/>
        <v>Постоянный</v>
      </c>
      <c r="EZ558" s="115">
        <f t="shared" si="434"/>
        <v>24</v>
      </c>
      <c r="FA558" s="115">
        <f t="shared" si="434"/>
        <v>0</v>
      </c>
      <c r="FB558" s="149">
        <f t="shared" si="461"/>
        <v>9.3322679999999991</v>
      </c>
      <c r="FC558" s="142">
        <f t="shared" si="461"/>
        <v>12.2</v>
      </c>
      <c r="FD558" s="119">
        <f t="shared" si="461"/>
        <v>8.5</v>
      </c>
      <c r="FE558" s="121">
        <f t="shared" si="460"/>
        <v>22.3</v>
      </c>
      <c r="FF558" s="121">
        <f t="shared" si="462"/>
        <v>246.45670270077983</v>
      </c>
      <c r="FG558" s="121">
        <f t="shared" si="449"/>
        <v>72</v>
      </c>
      <c r="FH558" s="121">
        <f t="shared" si="436"/>
        <v>20</v>
      </c>
      <c r="FI558" s="121">
        <f t="shared" si="427"/>
        <v>58</v>
      </c>
      <c r="FJ558" s="144">
        <f t="shared" si="450"/>
        <v>0.40666666666666662</v>
      </c>
      <c r="FK558" s="132">
        <f t="shared" si="451"/>
        <v>0</v>
      </c>
      <c r="FL558" s="115">
        <f t="shared" si="451"/>
        <v>-1</v>
      </c>
      <c r="FM558" s="115">
        <f t="shared" si="451"/>
        <v>2</v>
      </c>
      <c r="FN558" s="115">
        <f t="shared" si="451"/>
        <v>-1</v>
      </c>
      <c r="FO558" s="115">
        <f t="shared" si="439"/>
        <v>0</v>
      </c>
      <c r="FP558" s="115">
        <f t="shared" si="439"/>
        <v>0</v>
      </c>
      <c r="FQ558" s="149">
        <f t="shared" si="439"/>
        <v>4.5600790399999998</v>
      </c>
      <c r="FR558" s="117">
        <f t="shared" si="439"/>
        <v>6.3999999999999995</v>
      </c>
      <c r="FS558" s="207">
        <f t="shared" si="439"/>
        <v>6.92</v>
      </c>
      <c r="FT558" s="121">
        <f t="shared" si="438"/>
        <v>14.600000000000001</v>
      </c>
      <c r="FU558" s="121">
        <f t="shared" si="452"/>
        <v>1</v>
      </c>
      <c r="FV558" s="121">
        <f t="shared" si="452"/>
        <v>12.8</v>
      </c>
      <c r="FW558" s="121">
        <f t="shared" si="453"/>
        <v>141.68298058060628</v>
      </c>
      <c r="FX558" s="121">
        <f t="shared" si="454"/>
        <v>-1</v>
      </c>
      <c r="FY558" s="144">
        <f t="shared" si="454"/>
        <v>0.20666666666666664</v>
      </c>
      <c r="FZ558" s="145" t="s">
        <v>25</v>
      </c>
      <c r="GA558" s="151" t="s">
        <v>1941</v>
      </c>
      <c r="GB558" s="145" t="s">
        <v>199</v>
      </c>
      <c r="GC558" s="151" t="s">
        <v>415</v>
      </c>
      <c r="GD558" s="997" t="s">
        <v>202</v>
      </c>
      <c r="GE558" s="1004" t="s">
        <v>199</v>
      </c>
      <c r="GF558" s="1004">
        <v>-1.9158110400000004</v>
      </c>
      <c r="GG558" s="1004"/>
      <c r="GH558" s="1004">
        <v>0</v>
      </c>
      <c r="GI558" s="145" t="s">
        <v>199</v>
      </c>
      <c r="GJ558" s="996">
        <v>-2.3861947999999993</v>
      </c>
      <c r="GK558" s="145"/>
      <c r="GL558" s="996">
        <v>0</v>
      </c>
      <c r="GM558" s="1005"/>
      <c r="GN558" s="996">
        <v>-0.84805511999999972</v>
      </c>
      <c r="GO558" s="1006" t="s">
        <v>199</v>
      </c>
      <c r="GP558" s="996">
        <v>2.3982499199999987</v>
      </c>
      <c r="GQ558" s="1006"/>
      <c r="GR558" s="996">
        <v>-0.83599999999999941</v>
      </c>
      <c r="GS558" s="1006"/>
      <c r="GT558" s="996">
        <v>0</v>
      </c>
      <c r="GU558" s="1006" t="s">
        <v>241</v>
      </c>
      <c r="GV558" s="996">
        <v>-1.2539999999999996</v>
      </c>
      <c r="GW558" s="1006" t="s">
        <v>199</v>
      </c>
      <c r="GX558" s="996">
        <v>0.91013229999999723</v>
      </c>
      <c r="GY558" s="1006"/>
      <c r="GZ558" s="996">
        <v>0</v>
      </c>
      <c r="HA558" s="1006"/>
      <c r="HB558" s="996">
        <v>-2.7734299999998768E-2</v>
      </c>
      <c r="HC558" s="1006"/>
      <c r="HD558" s="996">
        <v>0.64038469439999979</v>
      </c>
      <c r="HE558" s="1006"/>
      <c r="HF558" s="996">
        <v>0</v>
      </c>
      <c r="HG558" s="1006"/>
      <c r="HH558" s="996">
        <v>0.56721730560000072</v>
      </c>
      <c r="HI558" s="1006"/>
      <c r="HJ558" s="996">
        <v>0</v>
      </c>
      <c r="HK558" s="1006"/>
      <c r="HL558" s="996">
        <v>-0.38727282000000063</v>
      </c>
      <c r="HM558" s="1006"/>
      <c r="HN558" s="996">
        <v>-0.16905090399999878</v>
      </c>
      <c r="HO558" s="1006" t="s">
        <v>199</v>
      </c>
      <c r="HP558" s="996">
        <v>1.1706925999999989</v>
      </c>
      <c r="HQ558" s="1006"/>
      <c r="HR558" s="996">
        <v>-0.924319220000001</v>
      </c>
      <c r="HS558" s="1006"/>
      <c r="HT558" s="996">
        <v>0</v>
      </c>
      <c r="HU558" s="1006" t="s">
        <v>223</v>
      </c>
      <c r="HV558" s="996">
        <v>-2.1781754279999994</v>
      </c>
      <c r="HW558" s="1006"/>
      <c r="HX558" s="996">
        <v>0</v>
      </c>
      <c r="HY558" s="1006"/>
      <c r="HZ558" s="996">
        <v>0</v>
      </c>
      <c r="IA558" s="1006" t="s">
        <v>204</v>
      </c>
      <c r="IB558" s="996">
        <v>-1.5503803919999992</v>
      </c>
      <c r="IC558" s="1006"/>
      <c r="ID558" s="996">
        <v>0</v>
      </c>
      <c r="IE558" s="1006"/>
      <c r="IF558" s="996">
        <v>0</v>
      </c>
      <c r="IG558" s="1006"/>
      <c r="IH558" s="996">
        <v>0</v>
      </c>
      <c r="II558" s="1006"/>
      <c r="IJ558" s="996">
        <v>0</v>
      </c>
      <c r="IK558" s="1006"/>
      <c r="IL558" s="996">
        <v>0</v>
      </c>
      <c r="IM558" s="1006"/>
      <c r="IN558" s="996">
        <v>-0.61672221599999943</v>
      </c>
      <c r="IO558" s="1006"/>
      <c r="IP558" s="996">
        <v>-0.96675374400000003</v>
      </c>
      <c r="IQ558" s="1006"/>
      <c r="IR558" s="996">
        <v>0</v>
      </c>
      <c r="IS558" s="1006"/>
      <c r="IT558" s="996">
        <v>0</v>
      </c>
      <c r="IU558" s="1006"/>
      <c r="IV558" s="996">
        <v>0</v>
      </c>
      <c r="IW558" s="1006" t="s">
        <v>199</v>
      </c>
      <c r="IX558" s="996">
        <v>-1.6668167999999994</v>
      </c>
      <c r="IY558" s="1006"/>
      <c r="IZ558" s="996">
        <v>0</v>
      </c>
      <c r="JA558" s="1006"/>
      <c r="JB558" s="996">
        <v>0</v>
      </c>
      <c r="JC558" s="1006" t="s">
        <v>199</v>
      </c>
      <c r="JD558" s="996">
        <v>-2.1668618400000028</v>
      </c>
      <c r="JE558" s="1006"/>
      <c r="JF558" s="996">
        <v>0</v>
      </c>
      <c r="JG558" s="1006"/>
      <c r="JH558" s="996">
        <v>0</v>
      </c>
      <c r="JI558" s="1006"/>
      <c r="JJ558" s="996">
        <v>0</v>
      </c>
      <c r="JK558" s="1007" t="s">
        <v>435</v>
      </c>
      <c r="JL558" s="1007">
        <v>-7.0006305599999976</v>
      </c>
      <c r="JM558" s="1007"/>
      <c r="JN558" s="1007">
        <v>0</v>
      </c>
      <c r="JO558" s="1008" t="s">
        <v>241</v>
      </c>
      <c r="JP558" s="1007">
        <v>2.5002251999999991</v>
      </c>
      <c r="JQ558" s="1008">
        <v>0</v>
      </c>
      <c r="JR558" s="1007">
        <v>1.7388800000002647E-2</v>
      </c>
      <c r="JS558" s="1008" t="s">
        <v>199</v>
      </c>
      <c r="JT558" s="1007">
        <v>-2.4487704000000043</v>
      </c>
      <c r="JU558" s="1008"/>
      <c r="JV558" s="1007">
        <v>0</v>
      </c>
      <c r="JW558" s="1008" t="s">
        <v>203</v>
      </c>
      <c r="JX558" s="1007">
        <v>-22.150655999999991</v>
      </c>
      <c r="JY558" s="1008"/>
      <c r="JZ558" s="1007">
        <v>0</v>
      </c>
      <c r="KA558" s="1008"/>
      <c r="KB558" s="1007">
        <v>43.970255999999992</v>
      </c>
      <c r="KC558" s="1008"/>
      <c r="KD558" s="1007"/>
      <c r="KE558" s="1008"/>
      <c r="KF558" s="1007"/>
      <c r="KG558" s="1008"/>
      <c r="KH558" s="1007"/>
      <c r="KI558" s="1008"/>
      <c r="KJ558" s="1007"/>
      <c r="KK558" s="1008"/>
      <c r="KL558" s="1007"/>
      <c r="KM558" s="1008"/>
      <c r="KN558" s="1007"/>
      <c r="KO558" s="1008"/>
      <c r="KP558" s="1007"/>
      <c r="KQ558" s="1008"/>
      <c r="KR558" s="1007"/>
      <c r="KS558" s="1008"/>
      <c r="KT558" s="1007"/>
      <c r="KU558" s="1008"/>
      <c r="KV558" s="1007"/>
      <c r="KW558" s="1008"/>
      <c r="KX558" s="1007"/>
      <c r="KY558" s="1008"/>
      <c r="KZ558" s="1007"/>
      <c r="LA558" s="1008"/>
      <c r="LB558" s="1007"/>
      <c r="LC558" s="1008"/>
      <c r="LD558" s="1007"/>
      <c r="LE558" s="1008"/>
      <c r="LF558" s="1007"/>
      <c r="LG558" s="1008"/>
      <c r="LH558" s="1007"/>
      <c r="LI558" s="1008"/>
      <c r="LJ558" s="1007"/>
      <c r="LK558" s="1008"/>
      <c r="LL558" s="1007"/>
      <c r="LM558" s="1008"/>
      <c r="LN558" s="1007"/>
      <c r="LO558" s="1008"/>
      <c r="LP558" s="1007"/>
      <c r="LQ558" s="1008"/>
      <c r="LR558" s="1007"/>
      <c r="LS558" s="1008"/>
      <c r="LT558" s="1007"/>
      <c r="LU558" s="1008"/>
      <c r="LV558" s="1007"/>
      <c r="LW558" s="1008"/>
      <c r="LX558" s="1007"/>
      <c r="LY558" s="1009"/>
      <c r="LZ558" s="1010"/>
      <c r="MA558" s="1011"/>
      <c r="MB558" s="1012"/>
      <c r="MC558" s="995"/>
      <c r="MD558" s="996"/>
      <c r="ME558" s="997" t="s">
        <v>202</v>
      </c>
      <c r="MF558" s="997"/>
      <c r="MG558" s="998"/>
      <c r="NR558" s="1000"/>
      <c r="NS558" s="1000"/>
      <c r="NT558" s="1001"/>
      <c r="NU558" s="1000"/>
      <c r="NV558" s="1001"/>
      <c r="NX558" s="1002"/>
      <c r="NZ558" s="1001"/>
      <c r="OA558" s="1001"/>
      <c r="OC558" s="1003"/>
      <c r="OD558" s="1003"/>
      <c r="OE558" s="1001"/>
      <c r="OF558" s="1003"/>
      <c r="OG558" s="1003"/>
      <c r="QX558" s="1000">
        <f>CN558-CA558</f>
        <v>33</v>
      </c>
      <c r="ASU558" s="999" t="s">
        <v>208</v>
      </c>
    </row>
    <row r="559" spans="1:466 1191:1191" ht="21" customHeight="1" x14ac:dyDescent="0.25">
      <c r="A559" s="982">
        <f t="shared" si="441"/>
        <v>1399</v>
      </c>
      <c r="B559" s="124">
        <f>SUBTOTAL(103,$J$29:J559)</f>
        <v>531</v>
      </c>
      <c r="C559" s="126">
        <v>45068</v>
      </c>
      <c r="D559" s="124" t="s">
        <v>176</v>
      </c>
      <c r="E559" s="127" t="s">
        <v>177</v>
      </c>
      <c r="F559" s="128" t="s">
        <v>177</v>
      </c>
      <c r="G559" s="127" t="s">
        <v>178</v>
      </c>
      <c r="H559" s="127" t="s">
        <v>179</v>
      </c>
      <c r="I559" s="127" t="s">
        <v>1326</v>
      </c>
      <c r="J559" s="152">
        <v>1399</v>
      </c>
      <c r="K559" s="127" t="s">
        <v>1326</v>
      </c>
      <c r="L559" s="130">
        <v>44447</v>
      </c>
      <c r="M559" s="127" t="s">
        <v>230</v>
      </c>
      <c r="N559" s="127" t="s">
        <v>184</v>
      </c>
      <c r="O559" s="127" t="s">
        <v>185</v>
      </c>
      <c r="P559" s="127" t="s">
        <v>186</v>
      </c>
      <c r="Q559" s="85" t="str">
        <f t="shared" si="423"/>
        <v/>
      </c>
      <c r="R559" s="130"/>
      <c r="S559" s="128"/>
      <c r="T559" s="131"/>
      <c r="U559" s="132">
        <v>203</v>
      </c>
      <c r="V559" s="121">
        <v>218.2</v>
      </c>
      <c r="W559" s="116">
        <v>0.98</v>
      </c>
      <c r="X559" s="116">
        <v>1.66</v>
      </c>
      <c r="Y559" s="116">
        <f t="shared" si="408"/>
        <v>0.98415241174207313</v>
      </c>
      <c r="Z559" s="133">
        <v>1.454</v>
      </c>
      <c r="AA559" s="133">
        <v>0.83599999999999997</v>
      </c>
      <c r="AB559" s="133">
        <v>0.72</v>
      </c>
      <c r="AC559" s="121">
        <v>34.299999999999997</v>
      </c>
      <c r="AD559" s="134">
        <v>1.17</v>
      </c>
      <c r="AE559" s="124">
        <v>177.8</v>
      </c>
      <c r="AF559" s="128">
        <v>9.19</v>
      </c>
      <c r="AG559" s="128">
        <v>2257</v>
      </c>
      <c r="AH559" s="127">
        <v>4205</v>
      </c>
      <c r="AI559" s="127">
        <v>4205</v>
      </c>
      <c r="AJ559" s="135"/>
      <c r="AK559" s="128"/>
      <c r="AL559" s="131"/>
      <c r="AM559" s="124" t="s">
        <v>187</v>
      </c>
      <c r="AN559" s="136" t="s">
        <v>1942</v>
      </c>
      <c r="AO559" s="137">
        <f>1708.92-1776.19</f>
        <v>-67.269999999999982</v>
      </c>
      <c r="AP559" s="128">
        <v>2299.17</v>
      </c>
      <c r="AQ559" s="128">
        <f>2299.17-1708.92-176.3</f>
        <v>413.95</v>
      </c>
      <c r="AR559" s="128"/>
      <c r="AS559" s="128"/>
      <c r="AT559" s="122"/>
      <c r="AU559" s="124" t="s">
        <v>189</v>
      </c>
      <c r="AV559" s="115">
        <f>VLOOKUP(J559,'[63]ТР нефть'!$J$28:$BP$638,39,0)</f>
        <v>410.00001591799997</v>
      </c>
      <c r="AW559" s="115" t="str">
        <f>VLOOKUP(J559,'[63]ТР нефть'!$J$28:$BP$638,40,0)</f>
        <v>ГП</v>
      </c>
      <c r="AX559" s="115">
        <f>VLOOKUP(J559,'[63]ТР нефть'!$J$28:$BP$638,41,0)</f>
        <v>749.99998828100001</v>
      </c>
      <c r="AY559" s="115" t="str">
        <f>VLOOKUP(J559,'[63]ТР нефть'!$J$28:$BP$638,42,0)</f>
        <v>ГП</v>
      </c>
      <c r="AZ559" s="115">
        <f>VLOOKUP(J559,'[63]ТР нефть'!$J$28:$BP$638,43,0)</f>
        <v>1020.000028711</v>
      </c>
      <c r="BA559" s="115">
        <f>VLOOKUP(J559,'[63]ТР нефть'!$J$28:$BP$638,44,0)</f>
        <v>71.125</v>
      </c>
      <c r="BB559" s="115">
        <f>VLOOKUP(J559,'[63]ТР нефть'!$J$28:$BP$638,45,0)</f>
        <v>1290.000069141</v>
      </c>
      <c r="BC559" s="115">
        <f>VLOOKUP(J559,'[63]ТР нефть'!$J$28:$BP$638,46,0)</f>
        <v>70.125</v>
      </c>
      <c r="BD559" s="115">
        <f>VLOOKUP(J559,'[63]ТР нефть'!$J$28:$BP$638,47,0)</f>
        <v>1569.9999457030001</v>
      </c>
      <c r="BE559" s="115" t="str">
        <f>VLOOKUP(J559,'[63]ТР нефть'!$J$28:$BP$638,48,0)</f>
        <v>ГК 69 5/32</v>
      </c>
      <c r="BF559" s="115">
        <f>VLOOKUP(J559,'[63]ТР нефть'!$J$28:$BP$638,49,0)</f>
        <v>1880</v>
      </c>
      <c r="BG559" s="115" t="str">
        <f>VLOOKUP(J559,'[63]ТР нефть'!$J$28:$BP$638,50,0)</f>
        <v>ЦКсОК 5/16</v>
      </c>
      <c r="BH559" s="115" t="str">
        <f>VLOOKUP(J559,'[63]ТР нефть'!$J$28:$BP$638,51,0)</f>
        <v>-</v>
      </c>
      <c r="BI559" s="115" t="str">
        <f>VLOOKUP(J559,'[63]ТР нефть'!$J$28:$BP$638,52,0)</f>
        <v>-</v>
      </c>
      <c r="BJ559" s="115" t="str">
        <f>IF(IFERROR(VLOOKUP(J559,'[63]ТР нефть'!$J$28:$BP$638,53,0),"-")=0,"-",IFERROR(VLOOKUP(J559,'[63]ТР нефть'!$J$28:$BP$638,53,0),"-"))</f>
        <v>-</v>
      </c>
      <c r="BK559" s="138" t="str">
        <f>IF(IFERROR(VLOOKUP(J559,'[63]ТР нефть'!$J$28:$BP$638,54,0),"-")=0,"-",IFERROR(VLOOKUP(J559,'[63]ТР нефть'!$J$28:$BP$638,54,0),"-"))</f>
        <v>-</v>
      </c>
      <c r="BL559" s="138" t="str">
        <f>IF(IFERROR(VLOOKUP(J559,'[63]ТР нефть'!$J$28:$BP$638,55,0),"-")=0,"-",IFERROR(VLOOKUP(J559,'[63]ТР нефть'!$J$28:$BP$638,55,0),"-"))</f>
        <v>-</v>
      </c>
      <c r="BM559" s="138" t="str">
        <f>IF(IFERROR(VLOOKUP(J559,'[63]ТР нефть'!$J$28:$BP$638,56,0),"-")=0,"-",IFERROR(VLOOKUP(J559,'[63]ТР нефть'!$J$28:$BP$638,56,0),"-"))</f>
        <v>-</v>
      </c>
      <c r="BN559" s="138" t="str">
        <f>IF(IFERROR(VLOOKUP(J559,'[63]ТР нефть'!$J$28:$BP$638,57,0),"-")=0,"-",IFERROR(VLOOKUP(J559,'[63]ТР нефть'!$J$28:$BP$638,57,0),"-"))</f>
        <v>-</v>
      </c>
      <c r="BO559" s="115" t="str">
        <f>IF(IFERROR(VLOOKUP(J559,'[63]ТР нефть'!$J$28:$BP$638,58,0),"-")=0,"-",IFERROR(VLOOKUP(J559,'[63]ТР нефть'!$J$28:$BP$638,58,0),"-"))</f>
        <v>-</v>
      </c>
      <c r="BP559" s="115" t="str">
        <f>IF(IFERROR(VLOOKUP(J559,'[63]ТР нефть'!$J$28:$BP$638,59,0),"-")=0,"-",IFERROR(VLOOKUP(J559,'[63]ТР нефть'!$J$28:$BP$638,59,0),"-"))</f>
        <v>-</v>
      </c>
      <c r="BQ559" s="138">
        <v>2200</v>
      </c>
      <c r="BR559" s="128">
        <f>1695.07+176.3</f>
        <v>1871.37</v>
      </c>
      <c r="BS559" s="115">
        <f t="shared" si="437"/>
        <v>328.63000000000011</v>
      </c>
      <c r="BT559" s="128">
        <v>73</v>
      </c>
      <c r="BU559" s="128">
        <v>5.5</v>
      </c>
      <c r="BV559" s="127">
        <v>65</v>
      </c>
      <c r="BW559" s="127" t="s">
        <v>217</v>
      </c>
      <c r="BX559" s="127" t="s">
        <v>195</v>
      </c>
      <c r="BY559" s="139">
        <v>24</v>
      </c>
      <c r="BZ559" s="139">
        <v>0</v>
      </c>
      <c r="CA559" s="80">
        <v>28</v>
      </c>
      <c r="CB559" s="138">
        <v>60</v>
      </c>
      <c r="CC559" s="138">
        <v>27</v>
      </c>
      <c r="CD559" s="135">
        <v>45017</v>
      </c>
      <c r="CE559" s="138">
        <v>123</v>
      </c>
      <c r="CF559" s="138">
        <v>67</v>
      </c>
      <c r="CG559" s="138" t="str">
        <f t="shared" si="458"/>
        <v>В работе</v>
      </c>
      <c r="CH559" s="138" t="s">
        <v>235</v>
      </c>
      <c r="CI559" s="127"/>
      <c r="CJ559" s="138"/>
      <c r="CK559" s="138">
        <f t="shared" si="432"/>
        <v>33</v>
      </c>
      <c r="CL559" s="99"/>
      <c r="CM559" s="99"/>
      <c r="CN559" s="140">
        <v>61</v>
      </c>
      <c r="CO559" s="141">
        <f t="shared" si="442"/>
        <v>12.245360160000001</v>
      </c>
      <c r="CP559" s="142">
        <v>14.8</v>
      </c>
      <c r="CQ559" s="143">
        <v>1.03</v>
      </c>
      <c r="CR559" s="138">
        <v>17</v>
      </c>
      <c r="CS559" s="139">
        <v>12</v>
      </c>
      <c r="CT559" s="138"/>
      <c r="CU559" s="138">
        <f t="shared" si="418"/>
        <v>5</v>
      </c>
      <c r="CV559" s="115">
        <f t="shared" si="419"/>
        <v>408.31792080176757</v>
      </c>
      <c r="CW559" s="115">
        <f t="shared" si="443"/>
        <v>966.03690527604351</v>
      </c>
      <c r="CX559" s="133">
        <f t="shared" si="420"/>
        <v>0.23870967741935484</v>
      </c>
      <c r="CY559" s="116"/>
      <c r="CZ559" s="131"/>
      <c r="DA559" s="145" t="str">
        <f t="shared" si="444"/>
        <v>Газлифт</v>
      </c>
      <c r="DB559" s="146">
        <f t="shared" si="455"/>
        <v>12.245360160000001</v>
      </c>
      <c r="DC559" s="142">
        <f t="shared" si="459"/>
        <v>14.8</v>
      </c>
      <c r="DD559" s="119">
        <f t="shared" si="416"/>
        <v>1.03</v>
      </c>
      <c r="DE559" s="115">
        <f t="shared" si="456"/>
        <v>5</v>
      </c>
      <c r="DF559" s="121">
        <f t="shared" si="445"/>
        <v>12</v>
      </c>
      <c r="DG559" s="115">
        <f t="shared" si="446"/>
        <v>408.31792080176757</v>
      </c>
      <c r="DH559" s="115">
        <f t="shared" si="447"/>
        <v>61</v>
      </c>
      <c r="DI559" s="147"/>
      <c r="DJ559" s="111"/>
      <c r="DK559" s="112">
        <v>44447</v>
      </c>
      <c r="DL559" s="113">
        <f t="shared" ca="1" si="424"/>
        <v>657</v>
      </c>
      <c r="DM559" s="114"/>
      <c r="DN559" s="114"/>
      <c r="DO559" s="114"/>
      <c r="DP559" s="114"/>
      <c r="DQ559" s="112"/>
      <c r="DR559" s="114"/>
      <c r="DS559" s="114"/>
      <c r="DT559" s="115">
        <v>60</v>
      </c>
      <c r="DU559" s="116">
        <f t="shared" si="425"/>
        <v>0.23759810732659883</v>
      </c>
      <c r="DV559" s="117">
        <f t="shared" si="428"/>
        <v>12.384924800375531</v>
      </c>
      <c r="DW559" s="118">
        <f t="shared" si="429"/>
        <v>14.968680761575726</v>
      </c>
      <c r="DX559" s="119">
        <f t="shared" si="430"/>
        <v>1.03</v>
      </c>
      <c r="DY559" s="115">
        <f t="shared" si="431"/>
        <v>5.0569867437755827</v>
      </c>
      <c r="DZ559" s="117">
        <f t="shared" si="440"/>
        <v>0.1395646403755304</v>
      </c>
      <c r="EA559" s="120">
        <f t="shared" si="440"/>
        <v>0.16868076157572531</v>
      </c>
      <c r="EB559" s="119">
        <f t="shared" si="440"/>
        <v>0</v>
      </c>
      <c r="EC559" s="121">
        <f t="shared" si="415"/>
        <v>5.698674377558266E-2</v>
      </c>
      <c r="ED559" s="122"/>
      <c r="EE559" s="145">
        <v>65</v>
      </c>
      <c r="EF559" s="148">
        <v>30</v>
      </c>
      <c r="EG559" s="115">
        <v>53</v>
      </c>
      <c r="EH559" s="115">
        <v>29</v>
      </c>
      <c r="EI559" s="128" t="s">
        <v>195</v>
      </c>
      <c r="EJ559" s="121">
        <v>24</v>
      </c>
      <c r="EK559" s="121">
        <v>0</v>
      </c>
      <c r="EL559" s="149">
        <v>12.245360160000001</v>
      </c>
      <c r="EM559" s="142">
        <v>14.8</v>
      </c>
      <c r="EN559" s="119">
        <v>1.03</v>
      </c>
      <c r="EO559" s="115">
        <v>17</v>
      </c>
      <c r="EP559" s="115">
        <v>326.65433664141403</v>
      </c>
      <c r="EQ559" s="115">
        <v>67</v>
      </c>
      <c r="ER559" s="115">
        <v>13</v>
      </c>
      <c r="ES559" s="115">
        <v>64</v>
      </c>
      <c r="ET559" s="150">
        <v>0.25084745762711863</v>
      </c>
      <c r="EU559" s="145">
        <f t="shared" si="457"/>
        <v>65</v>
      </c>
      <c r="EV559" s="115">
        <f t="shared" si="448"/>
        <v>28</v>
      </c>
      <c r="EW559" s="115">
        <f t="shared" si="448"/>
        <v>60</v>
      </c>
      <c r="EX559" s="115">
        <f t="shared" si="448"/>
        <v>27</v>
      </c>
      <c r="EY559" s="115" t="str">
        <f t="shared" si="434"/>
        <v>Постоянный</v>
      </c>
      <c r="EZ559" s="115">
        <f t="shared" si="434"/>
        <v>24</v>
      </c>
      <c r="FA559" s="115">
        <f t="shared" si="434"/>
        <v>0</v>
      </c>
      <c r="FB559" s="149">
        <f t="shared" si="461"/>
        <v>12.245360160000001</v>
      </c>
      <c r="FC559" s="142">
        <f t="shared" si="461"/>
        <v>14.8</v>
      </c>
      <c r="FD559" s="119">
        <f t="shared" si="461"/>
        <v>1.03</v>
      </c>
      <c r="FE559" s="121">
        <f t="shared" si="460"/>
        <v>17</v>
      </c>
      <c r="FF559" s="121">
        <f t="shared" si="462"/>
        <v>408.31792080176757</v>
      </c>
      <c r="FG559" s="121">
        <f t="shared" si="449"/>
        <v>67</v>
      </c>
      <c r="FH559" s="121">
        <f t="shared" si="436"/>
        <v>12</v>
      </c>
      <c r="FI559" s="121">
        <f t="shared" si="427"/>
        <v>61</v>
      </c>
      <c r="FJ559" s="144">
        <f t="shared" si="450"/>
        <v>0.23870967741935484</v>
      </c>
      <c r="FK559" s="132">
        <f t="shared" si="451"/>
        <v>0</v>
      </c>
      <c r="FL559" s="115">
        <f t="shared" si="451"/>
        <v>-2</v>
      </c>
      <c r="FM559" s="115">
        <f t="shared" si="451"/>
        <v>7</v>
      </c>
      <c r="FN559" s="115">
        <f t="shared" si="451"/>
        <v>-2</v>
      </c>
      <c r="FO559" s="115">
        <f t="shared" si="439"/>
        <v>0</v>
      </c>
      <c r="FP559" s="115">
        <f t="shared" si="439"/>
        <v>0</v>
      </c>
      <c r="FQ559" s="149">
        <f t="shared" si="439"/>
        <v>0</v>
      </c>
      <c r="FR559" s="142">
        <f t="shared" si="439"/>
        <v>0</v>
      </c>
      <c r="FS559" s="119">
        <f t="shared" si="439"/>
        <v>0</v>
      </c>
      <c r="FT559" s="121">
        <f t="shared" si="438"/>
        <v>0</v>
      </c>
      <c r="FU559" s="121">
        <f t="shared" si="452"/>
        <v>0</v>
      </c>
      <c r="FV559" s="121">
        <f t="shared" si="452"/>
        <v>-1</v>
      </c>
      <c r="FW559" s="121">
        <f t="shared" si="453"/>
        <v>81.663584160353537</v>
      </c>
      <c r="FX559" s="121">
        <f t="shared" si="454"/>
        <v>-3</v>
      </c>
      <c r="FY559" s="144">
        <f t="shared" si="454"/>
        <v>-1.2137780207763793E-2</v>
      </c>
      <c r="FZ559" s="145"/>
      <c r="GA559" s="151"/>
      <c r="GB559" s="145" t="s">
        <v>199</v>
      </c>
      <c r="GC559" s="151" t="s">
        <v>415</v>
      </c>
      <c r="GD559" s="997" t="s">
        <v>202</v>
      </c>
      <c r="GE559" s="1004" t="s">
        <v>199</v>
      </c>
      <c r="GF559" s="1004">
        <v>-1.1306398399999988</v>
      </c>
      <c r="GG559" s="1004" t="s">
        <v>199</v>
      </c>
      <c r="GH559" s="1004">
        <v>2.5938572000000004</v>
      </c>
      <c r="GI559" s="145"/>
      <c r="GJ559" s="996">
        <v>0</v>
      </c>
      <c r="GK559" s="145" t="s">
        <v>199</v>
      </c>
      <c r="GL559" s="996">
        <v>-4.1469780000000007</v>
      </c>
      <c r="GM559" s="1005"/>
      <c r="GN559" s="996">
        <v>0.87771640000000062</v>
      </c>
      <c r="GO559" s="1006"/>
      <c r="GP559" s="996">
        <v>0.93489879999999914</v>
      </c>
      <c r="GQ559" s="1006" t="s">
        <v>240</v>
      </c>
      <c r="GR559" s="996">
        <v>-0.90360481199999931</v>
      </c>
      <c r="GS559" s="1006"/>
      <c r="GT559" s="996">
        <v>-0.1915635480000013</v>
      </c>
      <c r="GU559" s="1006" t="s">
        <v>199</v>
      </c>
      <c r="GV559" s="996">
        <v>-2.9932060399999987</v>
      </c>
      <c r="GW559" s="1006" t="s">
        <v>199</v>
      </c>
      <c r="GX559" s="1035">
        <v>1.1811008000000029</v>
      </c>
      <c r="GY559" s="1006"/>
      <c r="GZ559" s="996">
        <v>-0.62773568000000424</v>
      </c>
      <c r="HA559" s="1006" t="s">
        <v>199</v>
      </c>
      <c r="HB559" s="996">
        <v>1.2054976208000028</v>
      </c>
      <c r="HC559" s="1006"/>
      <c r="HD559" s="996">
        <v>0</v>
      </c>
      <c r="HE559" s="1006" t="s">
        <v>241</v>
      </c>
      <c r="HF559" s="996">
        <v>-1.0869481392000004</v>
      </c>
      <c r="HG559" s="1006"/>
      <c r="HH559" s="996">
        <v>3.6351286399998628E-2</v>
      </c>
      <c r="HI559" s="1006"/>
      <c r="HJ559" s="996">
        <v>0</v>
      </c>
      <c r="HK559" s="1006" t="s">
        <v>223</v>
      </c>
      <c r="HL559" s="996">
        <v>-2.9725718879999974</v>
      </c>
      <c r="HM559" s="1006" t="s">
        <v>203</v>
      </c>
      <c r="HN559" s="996">
        <v>-2.4030820000000013</v>
      </c>
      <c r="HO559" s="1006"/>
      <c r="HP559" s="996">
        <v>-2.2572000000000259E-2</v>
      </c>
      <c r="HQ559" s="1006" t="s">
        <v>203</v>
      </c>
      <c r="HR559" s="996">
        <v>-10.253312607999998</v>
      </c>
      <c r="HS559" s="1006" t="s">
        <v>25</v>
      </c>
      <c r="HT559" s="996">
        <v>32.148152607999997</v>
      </c>
      <c r="HU559" s="1006"/>
      <c r="HV559" s="996">
        <v>0</v>
      </c>
      <c r="HW559" s="1006"/>
      <c r="HX559" s="996">
        <v>0</v>
      </c>
      <c r="HY559" s="1006"/>
      <c r="HZ559" s="996">
        <v>0</v>
      </c>
      <c r="IA559" s="1006"/>
      <c r="IB559" s="996">
        <v>0</v>
      </c>
      <c r="IC559" s="1006"/>
      <c r="ID559" s="996">
        <v>0</v>
      </c>
      <c r="IE559" s="1006"/>
      <c r="IF559" s="996">
        <v>0</v>
      </c>
      <c r="IG559" s="1006"/>
      <c r="IH559" s="996">
        <v>0</v>
      </c>
      <c r="II559" s="1006"/>
      <c r="IJ559" s="996">
        <v>0</v>
      </c>
      <c r="IK559" s="1006"/>
      <c r="IL559" s="996">
        <v>0</v>
      </c>
      <c r="IM559" s="1006"/>
      <c r="IN559" s="996">
        <v>0</v>
      </c>
      <c r="IO559" s="1006"/>
      <c r="IP559" s="996"/>
      <c r="IQ559" s="1006"/>
      <c r="IR559" s="996"/>
      <c r="IS559" s="1006"/>
      <c r="IT559" s="996"/>
      <c r="IU559" s="1006"/>
      <c r="IV559" s="996"/>
      <c r="IW559" s="1006"/>
      <c r="IX559" s="996"/>
      <c r="IY559" s="1006"/>
      <c r="IZ559" s="996"/>
      <c r="JA559" s="1006"/>
      <c r="JB559" s="996"/>
      <c r="JC559" s="1006"/>
      <c r="JD559" s="996"/>
      <c r="JE559" s="1006"/>
      <c r="JF559" s="996"/>
      <c r="JG559" s="1006"/>
      <c r="JH559" s="996"/>
      <c r="JI559" s="1006"/>
      <c r="JJ559" s="996"/>
      <c r="JK559" s="1007"/>
      <c r="JL559" s="1007"/>
      <c r="JM559" s="1007"/>
      <c r="JN559" s="1007"/>
      <c r="JO559" s="1008"/>
      <c r="JP559" s="1007"/>
      <c r="JQ559" s="1008"/>
      <c r="JR559" s="1007"/>
      <c r="JS559" s="1008"/>
      <c r="JT559" s="1007"/>
      <c r="JU559" s="1008"/>
      <c r="JV559" s="1007"/>
      <c r="JW559" s="1008"/>
      <c r="JX559" s="1007"/>
      <c r="JY559" s="1008"/>
      <c r="JZ559" s="1007"/>
      <c r="KA559" s="1008"/>
      <c r="KB559" s="1007"/>
      <c r="KC559" s="1008"/>
      <c r="KD559" s="1007"/>
      <c r="KE559" s="1008"/>
      <c r="KF559" s="1007"/>
      <c r="KG559" s="1008"/>
      <c r="KH559" s="1007"/>
      <c r="KI559" s="1008"/>
      <c r="KJ559" s="1007"/>
      <c r="KK559" s="1008"/>
      <c r="KL559" s="1007"/>
      <c r="KM559" s="1008"/>
      <c r="KN559" s="1007"/>
      <c r="KO559" s="1008"/>
      <c r="KP559" s="1007"/>
      <c r="KQ559" s="1008"/>
      <c r="KR559" s="1007"/>
      <c r="KS559" s="1008"/>
      <c r="KT559" s="1007"/>
      <c r="KU559" s="1008"/>
      <c r="KV559" s="1007"/>
      <c r="KW559" s="1008"/>
      <c r="KX559" s="1007"/>
      <c r="KY559" s="1008"/>
      <c r="KZ559" s="1007"/>
      <c r="LA559" s="1008"/>
      <c r="LB559" s="1007"/>
      <c r="LC559" s="1008"/>
      <c r="LD559" s="1007"/>
      <c r="LE559" s="1008"/>
      <c r="LF559" s="1007"/>
      <c r="LG559" s="1008"/>
      <c r="LH559" s="1007"/>
      <c r="LI559" s="1008"/>
      <c r="LJ559" s="1007"/>
      <c r="LK559" s="1008"/>
      <c r="LL559" s="1007"/>
      <c r="LM559" s="1008"/>
      <c r="LN559" s="1007"/>
      <c r="LO559" s="1008"/>
      <c r="LP559" s="1007"/>
      <c r="LQ559" s="1008"/>
      <c r="LR559" s="1007"/>
      <c r="LS559" s="1008"/>
      <c r="LT559" s="1007"/>
      <c r="LU559" s="1008"/>
      <c r="LV559" s="1007"/>
      <c r="LW559" s="1008"/>
      <c r="LX559" s="1007"/>
      <c r="LY559" s="1009"/>
      <c r="LZ559" s="1010"/>
      <c r="MA559" s="1011"/>
      <c r="MB559" s="1012"/>
      <c r="MC559" s="995"/>
      <c r="MD559" s="996"/>
      <c r="ME559" s="997" t="s">
        <v>202</v>
      </c>
      <c r="MF559" s="997"/>
      <c r="MG559" s="998"/>
      <c r="NR559" s="1000"/>
      <c r="NS559" s="1000"/>
      <c r="NT559" s="1001"/>
      <c r="NU559" s="1000"/>
      <c r="NV559" s="1001"/>
      <c r="NX559" s="1002"/>
      <c r="NZ559" s="1001"/>
      <c r="OA559" s="1001"/>
      <c r="OC559" s="1003"/>
      <c r="OD559" s="1003"/>
      <c r="OE559" s="1001"/>
      <c r="OF559" s="1003"/>
      <c r="OG559" s="1003"/>
      <c r="QX559" s="1000">
        <f>CN559-CA559</f>
        <v>33</v>
      </c>
      <c r="ASU559" s="999" t="s">
        <v>208</v>
      </c>
    </row>
    <row r="560" spans="1:466 1191:1191" ht="21" customHeight="1" x14ac:dyDescent="0.25">
      <c r="A560" s="982">
        <f t="shared" si="441"/>
        <v>3292</v>
      </c>
      <c r="B560" s="124">
        <f>SUBTOTAL(103,$J$29:J560)</f>
        <v>532</v>
      </c>
      <c r="C560" s="126">
        <v>45068</v>
      </c>
      <c r="D560" s="124" t="s">
        <v>176</v>
      </c>
      <c r="E560" s="127" t="s">
        <v>177</v>
      </c>
      <c r="F560" s="128" t="s">
        <v>177</v>
      </c>
      <c r="G560" s="127" t="s">
        <v>178</v>
      </c>
      <c r="H560" s="127" t="s">
        <v>179</v>
      </c>
      <c r="I560" s="127" t="s">
        <v>1581</v>
      </c>
      <c r="J560" s="152">
        <v>3292</v>
      </c>
      <c r="K560" s="127" t="s">
        <v>1581</v>
      </c>
      <c r="L560" s="130">
        <v>43325</v>
      </c>
      <c r="M560" s="127" t="s">
        <v>230</v>
      </c>
      <c r="N560" s="127" t="s">
        <v>184</v>
      </c>
      <c r="O560" s="127" t="s">
        <v>185</v>
      </c>
      <c r="P560" s="127" t="s">
        <v>292</v>
      </c>
      <c r="Q560" s="85" t="str">
        <f t="shared" si="423"/>
        <v/>
      </c>
      <c r="R560" s="130"/>
      <c r="S560" s="128"/>
      <c r="T560" s="131"/>
      <c r="U560" s="132">
        <v>203</v>
      </c>
      <c r="V560" s="121">
        <v>218.2</v>
      </c>
      <c r="W560" s="116">
        <v>0.98</v>
      </c>
      <c r="X560" s="116">
        <v>1.66</v>
      </c>
      <c r="Y560" s="116">
        <f t="shared" ref="Y560:Y607" si="463">(W560*X560)/((CQ560/100)*W560+(1-CQ560/100)*X560)</f>
        <v>1.0215974800428029</v>
      </c>
      <c r="Z560" s="133">
        <v>1.454</v>
      </c>
      <c r="AA560" s="133">
        <v>0.83599999999999997</v>
      </c>
      <c r="AB560" s="133">
        <v>0.72</v>
      </c>
      <c r="AC560" s="121">
        <v>34.299999999999997</v>
      </c>
      <c r="AD560" s="134">
        <v>1.17</v>
      </c>
      <c r="AE560" s="124">
        <v>177.8</v>
      </c>
      <c r="AF560" s="128">
        <v>9.19</v>
      </c>
      <c r="AG560" s="128">
        <v>2270.14</v>
      </c>
      <c r="AH560" s="138">
        <v>3099</v>
      </c>
      <c r="AI560" s="138">
        <v>3051</v>
      </c>
      <c r="AJ560" s="135">
        <v>44989</v>
      </c>
      <c r="AK560" s="128"/>
      <c r="AL560" s="131"/>
      <c r="AM560" s="124" t="s">
        <v>187</v>
      </c>
      <c r="AN560" s="136" t="s">
        <v>1943</v>
      </c>
      <c r="AO560" s="137" t="s">
        <v>1944</v>
      </c>
      <c r="AP560" s="128">
        <v>2606.39</v>
      </c>
      <c r="AQ560" s="128">
        <v>690</v>
      </c>
      <c r="AR560" s="128" t="s">
        <v>1945</v>
      </c>
      <c r="AS560" s="128">
        <v>114</v>
      </c>
      <c r="AT560" s="122">
        <v>7.37</v>
      </c>
      <c r="AU560" s="124" t="s">
        <v>189</v>
      </c>
      <c r="AV560" s="115">
        <f>VLOOKUP(J560,'[63]ТР нефть'!$J$28:$BP$638,39,0)</f>
        <v>538</v>
      </c>
      <c r="AW560" s="115" t="str">
        <f>VLOOKUP(J560,'[63]ТР нефть'!$J$28:$BP$638,40,0)</f>
        <v>ГК 77 1/8</v>
      </c>
      <c r="AX560" s="115">
        <f>VLOOKUP(J560,'[63]ТР нефть'!$J$28:$BP$638,41,0)</f>
        <v>1050</v>
      </c>
      <c r="AY560" s="115" t="str">
        <f>VLOOKUP(J560,'[63]ТР нефть'!$J$28:$BP$638,42,0)</f>
        <v>ГК 76 1/8</v>
      </c>
      <c r="AZ560" s="115">
        <f>VLOOKUP(J560,'[63]ТР нефть'!$J$28:$BP$638,43,0)</f>
        <v>1506</v>
      </c>
      <c r="BA560" s="115" t="str">
        <f>VLOOKUP(J560,'[63]ТР нефть'!$J$28:$BP$638,44,0)</f>
        <v>ГК 76 1/8</v>
      </c>
      <c r="BB560" s="115">
        <f>VLOOKUP(J560,'[63]ТР нефть'!$J$28:$BP$638,45,0)</f>
        <v>1868</v>
      </c>
      <c r="BC560" s="115" t="str">
        <f>VLOOKUP(J560,'[63]ТР нефть'!$J$28:$BP$638,46,0)</f>
        <v>ГК 75 1/8</v>
      </c>
      <c r="BD560" s="115">
        <f>VLOOKUP(J560,'[63]ТР нефть'!$J$28:$BP$638,47,0)</f>
        <v>2100</v>
      </c>
      <c r="BE560" s="115" t="str">
        <f>VLOOKUP(J560,'[63]ТР нефть'!$J$28:$BP$638,48,0)</f>
        <v>ЦКсОК 5/16</v>
      </c>
      <c r="BF560" s="115" t="str">
        <f>VLOOKUP(J560,'[63]ТР нефть'!$J$28:$BP$638,49,0)</f>
        <v>-</v>
      </c>
      <c r="BG560" s="115" t="str">
        <f>VLOOKUP(J560,'[63]ТР нефть'!$J$28:$BP$638,50,0)</f>
        <v>-</v>
      </c>
      <c r="BH560" s="115">
        <f>VLOOKUP(J560,'[63]ТР нефть'!$J$28:$BP$638,51,0)</f>
        <v>2110</v>
      </c>
      <c r="BI560" s="115" t="str">
        <f>VLOOKUP(J560,'[63]ТР нефть'!$J$28:$BP$638,52,0)</f>
        <v>закрыт</v>
      </c>
      <c r="BJ560" s="115" t="str">
        <f>IF(IFERROR(VLOOKUP(J560,'[63]ТР нефть'!$J$28:$BP$638,53,0),"-")=0,"-",IFERROR(VLOOKUP(J560,'[63]ТР нефть'!$J$28:$BP$638,53,0),"-"))</f>
        <v>-</v>
      </c>
      <c r="BK560" s="138" t="str">
        <f>IF(IFERROR(VLOOKUP(J560,'[63]ТР нефть'!$J$28:$BP$638,54,0),"-")=0,"-",IFERROR(VLOOKUP(J560,'[63]ТР нефть'!$J$28:$BP$638,54,0),"-"))</f>
        <v>-</v>
      </c>
      <c r="BL560" s="138" t="str">
        <f>IF(IFERROR(VLOOKUP(J560,'[63]ТР нефть'!$J$28:$BP$638,55,0),"-")=0,"-",IFERROR(VLOOKUP(J560,'[63]ТР нефть'!$J$28:$BP$638,55,0),"-"))</f>
        <v>-</v>
      </c>
      <c r="BM560" s="138" t="str">
        <f>IF(IFERROR(VLOOKUP(J560,'[63]ТР нефть'!$J$28:$BP$638,56,0),"-")=0,"-",IFERROR(VLOOKUP(J560,'[63]ТР нефть'!$J$28:$BP$638,56,0),"-"))</f>
        <v>-</v>
      </c>
      <c r="BN560" s="138" t="str">
        <f>IF(IFERROR(VLOOKUP(J560,'[63]ТР нефть'!$J$28:$BP$638,57,0),"-")=0,"-",IFERROR(VLOOKUP(J560,'[63]ТР нефть'!$J$28:$BP$638,57,0),"-"))</f>
        <v>-</v>
      </c>
      <c r="BO560" s="115" t="str">
        <f>IF(IFERROR(VLOOKUP(J560,'[63]ТР нефть'!$J$28:$BP$638,58,0),"-")=0,"-",IFERROR(VLOOKUP(J560,'[63]ТР нефть'!$J$28:$BP$638,58,0),"-"))</f>
        <v>-</v>
      </c>
      <c r="BP560" s="115" t="str">
        <f>IF(IFERROR(VLOOKUP(J560,'[63]ТР нефть'!$J$28:$BP$638,59,0),"-")=0,"-",IFERROR(VLOOKUP(J560,'[63]ТР нефть'!$J$28:$BP$638,59,0),"-"))</f>
        <v>-</v>
      </c>
      <c r="BQ560" s="138">
        <v>3064</v>
      </c>
      <c r="BR560" s="128">
        <v>3061</v>
      </c>
      <c r="BS560" s="115">
        <f t="shared" si="437"/>
        <v>3</v>
      </c>
      <c r="BT560" s="128">
        <v>73</v>
      </c>
      <c r="BU560" s="128">
        <v>5.5</v>
      </c>
      <c r="BV560" s="127">
        <v>65</v>
      </c>
      <c r="BW560" s="127" t="s">
        <v>217</v>
      </c>
      <c r="BX560" s="127" t="s">
        <v>195</v>
      </c>
      <c r="BY560" s="139">
        <v>24</v>
      </c>
      <c r="BZ560" s="139">
        <v>0</v>
      </c>
      <c r="CA560" s="138">
        <v>25</v>
      </c>
      <c r="CB560" s="138">
        <v>58</v>
      </c>
      <c r="CC560" s="138">
        <v>24</v>
      </c>
      <c r="CD560" s="135">
        <v>45017</v>
      </c>
      <c r="CE560" s="138">
        <v>160</v>
      </c>
      <c r="CF560" s="138">
        <v>70</v>
      </c>
      <c r="CG560" s="138" t="str">
        <f t="shared" si="458"/>
        <v>В работе</v>
      </c>
      <c r="CH560" s="138" t="s">
        <v>196</v>
      </c>
      <c r="CI560" s="127"/>
      <c r="CJ560" s="138"/>
      <c r="CK560" s="138">
        <f t="shared" si="432"/>
        <v>72</v>
      </c>
      <c r="CL560" s="99"/>
      <c r="CM560" s="99"/>
      <c r="CN560" s="140">
        <v>97</v>
      </c>
      <c r="CO560" s="141">
        <f t="shared" si="442"/>
        <v>15.079866146400001</v>
      </c>
      <c r="CP560" s="142">
        <v>20.029</v>
      </c>
      <c r="CQ560" s="143">
        <v>9.94</v>
      </c>
      <c r="CR560" s="138">
        <v>16.3</v>
      </c>
      <c r="CS560" s="139">
        <v>12</v>
      </c>
      <c r="CT560" s="138"/>
      <c r="CU560" s="138">
        <f>IF(CR560&lt;&gt;"0",CR560-CS560,"0")</f>
        <v>4.3000000000000007</v>
      </c>
      <c r="CV560" s="115">
        <f>(CR560-CS560)*1000/CO560</f>
        <v>285.14841963809704</v>
      </c>
      <c r="CW560" s="115">
        <f t="shared" si="443"/>
        <v>690.23797932628338</v>
      </c>
      <c r="CX560" s="133">
        <f>IF(CP560&lt;&gt;0,CP560/(CE560-CN560),0)</f>
        <v>0.31792063492063494</v>
      </c>
      <c r="CY560" s="116"/>
      <c r="CZ560" s="131"/>
      <c r="DA560" s="145" t="str">
        <f t="shared" si="444"/>
        <v>Газлифт</v>
      </c>
      <c r="DB560" s="146">
        <v>17.5</v>
      </c>
      <c r="DC560" s="142">
        <v>21</v>
      </c>
      <c r="DD560" s="119">
        <v>0</v>
      </c>
      <c r="DE560" s="115">
        <v>26</v>
      </c>
      <c r="DF560" s="121">
        <f>CS560</f>
        <v>12</v>
      </c>
      <c r="DG560" s="115">
        <f t="shared" si="446"/>
        <v>285.14841963809704</v>
      </c>
      <c r="DH560" s="115">
        <f t="shared" si="447"/>
        <v>97</v>
      </c>
      <c r="DI560" s="147"/>
      <c r="DJ560" s="111" t="s">
        <v>197</v>
      </c>
      <c r="DK560" s="112">
        <v>43325</v>
      </c>
      <c r="DL560" s="113">
        <f t="shared" ca="1" si="424"/>
        <v>1779</v>
      </c>
      <c r="DM560" s="114"/>
      <c r="DN560" s="114"/>
      <c r="DO560" s="114"/>
      <c r="DP560" s="114"/>
      <c r="DQ560" s="112">
        <v>43325</v>
      </c>
      <c r="DR560" s="114" t="s">
        <v>324</v>
      </c>
      <c r="DS560" s="114"/>
      <c r="DT560" s="115">
        <v>60</v>
      </c>
      <c r="DU560" s="116">
        <f t="shared" si="425"/>
        <v>0.27831436053658271</v>
      </c>
      <c r="DV560" s="117">
        <f t="shared" si="428"/>
        <v>20.954332735097001</v>
      </c>
      <c r="DW560" s="118">
        <f t="shared" si="429"/>
        <v>27.831436053658273</v>
      </c>
      <c r="DX560" s="119">
        <f t="shared" si="430"/>
        <v>9.94</v>
      </c>
      <c r="DY560" s="115">
        <f t="shared" si="431"/>
        <v>5.9750948639837533</v>
      </c>
      <c r="DZ560" s="117">
        <f t="shared" si="440"/>
        <v>5.8744665886970004</v>
      </c>
      <c r="EA560" s="120">
        <f t="shared" si="440"/>
        <v>7.8024360536582726</v>
      </c>
      <c r="EB560" s="119">
        <f t="shared" si="440"/>
        <v>0</v>
      </c>
      <c r="EC560" s="121">
        <f t="shared" ref="EC560:EC607" si="464">DY560-CU560</f>
        <v>1.6750948639837526</v>
      </c>
      <c r="ED560" s="122"/>
      <c r="EE560" s="145">
        <v>65</v>
      </c>
      <c r="EF560" s="115">
        <v>26</v>
      </c>
      <c r="EG560" s="115">
        <v>59</v>
      </c>
      <c r="EH560" s="115">
        <v>25</v>
      </c>
      <c r="EI560" s="128" t="s">
        <v>195</v>
      </c>
      <c r="EJ560" s="121">
        <v>24</v>
      </c>
      <c r="EK560" s="121">
        <v>0</v>
      </c>
      <c r="EL560" s="149">
        <v>15.079866146400001</v>
      </c>
      <c r="EM560" s="117">
        <v>20.029</v>
      </c>
      <c r="EN560" s="119">
        <v>9.94</v>
      </c>
      <c r="EO560" s="115">
        <v>16.3</v>
      </c>
      <c r="EP560" s="115">
        <v>285.14841963809704</v>
      </c>
      <c r="EQ560" s="115">
        <v>71</v>
      </c>
      <c r="ER560" s="115">
        <v>12</v>
      </c>
      <c r="ES560" s="115">
        <v>100</v>
      </c>
      <c r="ET560" s="150">
        <v>0.33381666666666665</v>
      </c>
      <c r="EU560" s="145">
        <f t="shared" si="457"/>
        <v>65</v>
      </c>
      <c r="EV560" s="115">
        <f t="shared" si="448"/>
        <v>25</v>
      </c>
      <c r="EW560" s="115">
        <f t="shared" si="448"/>
        <v>58</v>
      </c>
      <c r="EX560" s="115">
        <f t="shared" si="448"/>
        <v>24</v>
      </c>
      <c r="EY560" s="115" t="str">
        <f t="shared" si="434"/>
        <v>Постоянный</v>
      </c>
      <c r="EZ560" s="115">
        <f t="shared" si="434"/>
        <v>24</v>
      </c>
      <c r="FA560" s="115">
        <f t="shared" si="434"/>
        <v>0</v>
      </c>
      <c r="FB560" s="149">
        <f t="shared" si="461"/>
        <v>15.079866146400001</v>
      </c>
      <c r="FC560" s="142">
        <f t="shared" si="461"/>
        <v>20.029</v>
      </c>
      <c r="FD560" s="119">
        <f t="shared" si="461"/>
        <v>9.94</v>
      </c>
      <c r="FE560" s="121">
        <f t="shared" si="460"/>
        <v>16.3</v>
      </c>
      <c r="FF560" s="121">
        <f t="shared" si="462"/>
        <v>285.14841963809704</v>
      </c>
      <c r="FG560" s="121">
        <f t="shared" si="449"/>
        <v>70</v>
      </c>
      <c r="FH560" s="121">
        <f t="shared" si="436"/>
        <v>12</v>
      </c>
      <c r="FI560" s="121">
        <f t="shared" si="427"/>
        <v>97</v>
      </c>
      <c r="FJ560" s="144">
        <f t="shared" si="450"/>
        <v>0.31792063492063494</v>
      </c>
      <c r="FK560" s="132">
        <f t="shared" si="451"/>
        <v>0</v>
      </c>
      <c r="FL560" s="115">
        <f t="shared" si="451"/>
        <v>-1</v>
      </c>
      <c r="FM560" s="115">
        <f t="shared" si="451"/>
        <v>-1</v>
      </c>
      <c r="FN560" s="115">
        <f t="shared" si="451"/>
        <v>-1</v>
      </c>
      <c r="FO560" s="115">
        <f t="shared" si="439"/>
        <v>0</v>
      </c>
      <c r="FP560" s="115">
        <f t="shared" si="439"/>
        <v>0</v>
      </c>
      <c r="FQ560" s="149">
        <f t="shared" si="439"/>
        <v>0</v>
      </c>
      <c r="FR560" s="142">
        <f t="shared" si="439"/>
        <v>0</v>
      </c>
      <c r="FS560" s="119">
        <f t="shared" si="439"/>
        <v>0</v>
      </c>
      <c r="FT560" s="121">
        <f t="shared" si="438"/>
        <v>0</v>
      </c>
      <c r="FU560" s="121">
        <f t="shared" si="452"/>
        <v>-1</v>
      </c>
      <c r="FV560" s="121">
        <f t="shared" si="452"/>
        <v>0</v>
      </c>
      <c r="FW560" s="121">
        <f t="shared" si="453"/>
        <v>0</v>
      </c>
      <c r="FX560" s="121">
        <f t="shared" si="454"/>
        <v>-3</v>
      </c>
      <c r="FY560" s="144">
        <f t="shared" si="454"/>
        <v>-1.5896031746031714E-2</v>
      </c>
      <c r="FZ560" s="145"/>
      <c r="GA560" s="151"/>
      <c r="GB560" s="145" t="s">
        <v>203</v>
      </c>
      <c r="GC560" s="151" t="s">
        <v>1946</v>
      </c>
      <c r="GD560" s="997" t="s">
        <v>202</v>
      </c>
      <c r="GE560" s="1004" t="s">
        <v>203</v>
      </c>
      <c r="GF560" s="1004">
        <v>-3.8525242535999986</v>
      </c>
      <c r="GG560" s="1004" t="s">
        <v>25</v>
      </c>
      <c r="GH560" s="1004">
        <v>18.932390399999999</v>
      </c>
      <c r="GI560" s="145"/>
      <c r="GJ560" s="996">
        <v>0</v>
      </c>
      <c r="GK560" s="145"/>
      <c r="GL560" s="996">
        <v>-6.7715999999999998E-2</v>
      </c>
      <c r="GM560" s="1005"/>
      <c r="GN560" s="996">
        <v>0</v>
      </c>
      <c r="GO560" s="1006"/>
      <c r="GP560" s="996">
        <v>0</v>
      </c>
      <c r="GQ560" s="1006"/>
      <c r="GR560" s="996">
        <v>0</v>
      </c>
      <c r="GS560" s="1006"/>
      <c r="GT560" s="996">
        <v>0</v>
      </c>
      <c r="GU560" s="1006"/>
      <c r="GV560" s="996">
        <v>-0.432284</v>
      </c>
      <c r="GW560" s="1006"/>
      <c r="GX560" s="996">
        <v>0</v>
      </c>
      <c r="GY560" s="1006"/>
      <c r="GZ560" s="996">
        <v>0</v>
      </c>
      <c r="HA560" s="1006" t="s">
        <v>199</v>
      </c>
      <c r="HB560" s="996">
        <v>1.700753138773333</v>
      </c>
      <c r="HC560" s="1006"/>
      <c r="HD560" s="996">
        <v>0</v>
      </c>
      <c r="HE560" s="1006"/>
      <c r="HF560" s="996">
        <v>0</v>
      </c>
      <c r="HG560" s="1006"/>
      <c r="HH560" s="996">
        <v>7.029614122666665E-2</v>
      </c>
      <c r="HI560" s="1006"/>
      <c r="HJ560" s="996">
        <v>0</v>
      </c>
      <c r="HK560" s="1006"/>
      <c r="HL560" s="996">
        <v>-3.5272889548387115E-3</v>
      </c>
      <c r="HM560" s="1006"/>
      <c r="HN560" s="996">
        <v>0</v>
      </c>
      <c r="HO560" s="1006"/>
      <c r="HP560" s="996">
        <v>5.7925792774193565E-3</v>
      </c>
      <c r="HQ560" s="1006"/>
      <c r="HR560" s="996">
        <v>-4.0288560541935484E-2</v>
      </c>
      <c r="HS560" s="1006"/>
      <c r="HT560" s="996">
        <v>0</v>
      </c>
      <c r="HU560" s="1006"/>
      <c r="HV560" s="996">
        <v>-0.76537272978064508</v>
      </c>
      <c r="HW560" s="1006"/>
      <c r="HX560" s="996">
        <v>0</v>
      </c>
      <c r="HY560" s="1006"/>
      <c r="HZ560" s="996">
        <v>0</v>
      </c>
      <c r="IA560" s="1006"/>
      <c r="IB560" s="996">
        <v>0</v>
      </c>
      <c r="IC560" s="1006"/>
      <c r="ID560" s="996">
        <v>0</v>
      </c>
      <c r="IE560" s="1006" t="s">
        <v>199</v>
      </c>
      <c r="IF560" s="996">
        <v>-9.1332999999999984</v>
      </c>
      <c r="IG560" s="1006"/>
      <c r="IH560" s="996">
        <v>0</v>
      </c>
      <c r="II560" s="1006"/>
      <c r="IJ560" s="996">
        <v>0</v>
      </c>
      <c r="IK560" s="1006"/>
      <c r="IL560" s="996">
        <v>0</v>
      </c>
      <c r="IM560" s="1006" t="s">
        <v>199</v>
      </c>
      <c r="IN560" s="996">
        <v>3.3238649399999982</v>
      </c>
      <c r="IO560" s="1006" t="s">
        <v>199</v>
      </c>
      <c r="IP560" s="996">
        <v>-2.9911369399999987</v>
      </c>
      <c r="IQ560" s="1006" t="s">
        <v>199</v>
      </c>
      <c r="IR560" s="996">
        <v>7.9419999999999993</v>
      </c>
      <c r="IS560" s="1006"/>
      <c r="IT560" s="996">
        <v>0</v>
      </c>
      <c r="IU560" s="1006"/>
      <c r="IV560" s="996">
        <v>0</v>
      </c>
      <c r="IW560" s="1006"/>
      <c r="IX560" s="996">
        <v>0</v>
      </c>
      <c r="IY560" s="1006" t="s">
        <v>199</v>
      </c>
      <c r="IZ560" s="996">
        <v>-2.4912800000000006</v>
      </c>
      <c r="JA560" s="1006"/>
      <c r="JB560" s="996">
        <v>0</v>
      </c>
      <c r="JC560" s="1006"/>
      <c r="JD560" s="996">
        <v>0</v>
      </c>
      <c r="JE560" s="1006" t="s">
        <v>199</v>
      </c>
      <c r="JF560" s="996">
        <v>-9.2720759999999967</v>
      </c>
      <c r="JG560" s="1006" t="s">
        <v>223</v>
      </c>
      <c r="JH560" s="996">
        <v>-2.4486440000000016</v>
      </c>
      <c r="JI560" s="1006"/>
      <c r="JJ560" s="996">
        <v>0</v>
      </c>
      <c r="JK560" s="1007"/>
      <c r="JL560" s="1007">
        <v>0</v>
      </c>
      <c r="JM560" s="1007"/>
      <c r="JN560" s="1007">
        <v>0</v>
      </c>
      <c r="JO560" s="1008"/>
      <c r="JP560" s="1007">
        <v>0</v>
      </c>
      <c r="JQ560" s="1008">
        <v>0</v>
      </c>
      <c r="JR560" s="1007">
        <v>0</v>
      </c>
      <c r="JS560" s="1008">
        <v>0</v>
      </c>
      <c r="JT560" s="1007">
        <v>0</v>
      </c>
      <c r="JU560" s="1008"/>
      <c r="JV560" s="1007">
        <v>0</v>
      </c>
      <c r="JW560" s="1008" t="s">
        <v>197</v>
      </c>
      <c r="JX560" s="1007">
        <v>0</v>
      </c>
      <c r="JY560" s="1008" t="s">
        <v>199</v>
      </c>
      <c r="JZ560" s="1007">
        <v>-5.016</v>
      </c>
      <c r="KA560" s="1008"/>
      <c r="KB560" s="1007">
        <v>0</v>
      </c>
      <c r="KC560" s="1008" t="s">
        <v>199</v>
      </c>
      <c r="KD560" s="1007">
        <v>12.648679999999999</v>
      </c>
      <c r="KE560" s="1008" t="s">
        <v>199</v>
      </c>
      <c r="KF560" s="1007">
        <v>-8.4686799999999991</v>
      </c>
      <c r="KG560" s="1008" t="s">
        <v>203</v>
      </c>
      <c r="KH560" s="1007">
        <v>-5.0160000000000018</v>
      </c>
      <c r="KI560" s="1008" t="s">
        <v>207</v>
      </c>
      <c r="KJ560" s="1007">
        <v>-7.5239999999999974</v>
      </c>
      <c r="KK560" s="1008"/>
      <c r="KL560" s="1007">
        <v>0</v>
      </c>
      <c r="KM560" s="1008" t="s">
        <v>203</v>
      </c>
      <c r="KN560" s="1007">
        <v>1.5883999999999965</v>
      </c>
      <c r="KO560" s="1008"/>
      <c r="KP560" s="1007">
        <v>27.671600000000002</v>
      </c>
      <c r="KQ560" s="1008">
        <v>0</v>
      </c>
      <c r="KR560" s="1007">
        <v>0</v>
      </c>
      <c r="KS560" s="1008">
        <v>0</v>
      </c>
      <c r="KT560" s="1007">
        <v>0</v>
      </c>
      <c r="KU560" s="1008">
        <v>0</v>
      </c>
      <c r="KV560" s="1007">
        <v>0</v>
      </c>
      <c r="KW560" s="1008">
        <v>0</v>
      </c>
      <c r="KX560" s="1007">
        <v>0</v>
      </c>
      <c r="KY560" s="1008">
        <v>0</v>
      </c>
      <c r="KZ560" s="1007">
        <v>0</v>
      </c>
      <c r="LA560" s="1008">
        <v>0</v>
      </c>
      <c r="LB560" s="1007">
        <v>0</v>
      </c>
      <c r="LC560" s="1008">
        <v>0</v>
      </c>
      <c r="LD560" s="1007">
        <v>0</v>
      </c>
      <c r="LE560" s="1008">
        <v>0</v>
      </c>
      <c r="LF560" s="1007">
        <v>0</v>
      </c>
      <c r="LG560" s="1008">
        <v>0</v>
      </c>
      <c r="LH560" s="1007">
        <v>0</v>
      </c>
      <c r="LI560" s="1008">
        <v>0</v>
      </c>
      <c r="LJ560" s="1007">
        <v>0</v>
      </c>
      <c r="LK560" s="1008">
        <v>0</v>
      </c>
      <c r="LL560" s="1007">
        <v>0</v>
      </c>
      <c r="LM560" s="1008">
        <v>0</v>
      </c>
      <c r="LN560" s="1007">
        <v>0</v>
      </c>
      <c r="LO560" s="1008">
        <v>0</v>
      </c>
      <c r="LP560" s="1007">
        <v>0</v>
      </c>
      <c r="LQ560" s="1008">
        <v>0</v>
      </c>
      <c r="LR560" s="1007">
        <v>0</v>
      </c>
      <c r="LS560" s="1008">
        <v>0</v>
      </c>
      <c r="LT560" s="1007">
        <v>0</v>
      </c>
      <c r="LU560" s="1008">
        <v>0</v>
      </c>
      <c r="LV560" s="1007">
        <v>0</v>
      </c>
      <c r="LW560" s="1008">
        <v>0</v>
      </c>
      <c r="LX560" s="1007">
        <v>0</v>
      </c>
      <c r="LY560" s="1009">
        <v>0</v>
      </c>
      <c r="LZ560" s="1010">
        <v>0</v>
      </c>
      <c r="MA560" s="1011">
        <v>0</v>
      </c>
      <c r="MB560" s="1012">
        <v>0</v>
      </c>
      <c r="MC560" s="995"/>
      <c r="MD560" s="996"/>
      <c r="ME560" s="997" t="s">
        <v>202</v>
      </c>
      <c r="MF560" s="997"/>
      <c r="MG560" s="998"/>
      <c r="NR560" s="1000"/>
      <c r="NS560" s="1000"/>
      <c r="NT560" s="1001"/>
      <c r="NU560" s="1000"/>
      <c r="NV560" s="1001"/>
      <c r="NX560" s="1002"/>
      <c r="NZ560" s="1001"/>
      <c r="OA560" s="1001"/>
      <c r="OC560" s="1003"/>
      <c r="OD560" s="1003"/>
      <c r="OE560" s="1001"/>
      <c r="OF560" s="1003"/>
      <c r="OG560" s="1003"/>
      <c r="QX560" s="1000">
        <f>CN560-CA560</f>
        <v>72</v>
      </c>
      <c r="ASU560" s="999" t="s">
        <v>225</v>
      </c>
    </row>
    <row r="561" spans="1:466 1191:1191" ht="21" customHeight="1" x14ac:dyDescent="0.25">
      <c r="A561" s="982">
        <f t="shared" si="441"/>
        <v>3293</v>
      </c>
      <c r="B561" s="124">
        <f>SUBTOTAL(103,$J$29:J561)</f>
        <v>533</v>
      </c>
      <c r="C561" s="126">
        <v>45068</v>
      </c>
      <c r="D561" s="124" t="s">
        <v>176</v>
      </c>
      <c r="E561" s="127" t="s">
        <v>177</v>
      </c>
      <c r="F561" s="128" t="s">
        <v>177</v>
      </c>
      <c r="G561" s="127" t="s">
        <v>178</v>
      </c>
      <c r="H561" s="127" t="s">
        <v>179</v>
      </c>
      <c r="I561" s="127" t="s">
        <v>1308</v>
      </c>
      <c r="J561" s="152">
        <v>3293</v>
      </c>
      <c r="K561" s="127" t="s">
        <v>1308</v>
      </c>
      <c r="L561" s="130">
        <v>41882</v>
      </c>
      <c r="M561" s="127" t="s">
        <v>230</v>
      </c>
      <c r="N561" s="127" t="s">
        <v>184</v>
      </c>
      <c r="O561" s="127" t="s">
        <v>185</v>
      </c>
      <c r="P561" s="127" t="s">
        <v>186</v>
      </c>
      <c r="Q561" s="85" t="str">
        <f t="shared" si="423"/>
        <v/>
      </c>
      <c r="R561" s="130"/>
      <c r="S561" s="128"/>
      <c r="T561" s="131"/>
      <c r="U561" s="132">
        <v>203</v>
      </c>
      <c r="V561" s="121">
        <v>218.2</v>
      </c>
      <c r="W561" s="116">
        <v>0.98</v>
      </c>
      <c r="X561" s="116">
        <v>1.66</v>
      </c>
      <c r="Y561" s="116">
        <f t="shared" si="463"/>
        <v>0.98</v>
      </c>
      <c r="Z561" s="133">
        <v>1.454</v>
      </c>
      <c r="AA561" s="133">
        <v>0.83599999999999997</v>
      </c>
      <c r="AB561" s="133">
        <v>0.72</v>
      </c>
      <c r="AC561" s="121">
        <v>34.299999999999997</v>
      </c>
      <c r="AD561" s="134">
        <v>1.17</v>
      </c>
      <c r="AE561" s="124">
        <v>177.8</v>
      </c>
      <c r="AF561" s="128">
        <v>9.19</v>
      </c>
      <c r="AG561" s="128">
        <v>2120</v>
      </c>
      <c r="AH561" s="127">
        <v>2830</v>
      </c>
      <c r="AI561" s="127">
        <v>2830</v>
      </c>
      <c r="AJ561" s="135"/>
      <c r="AK561" s="128"/>
      <c r="AL561" s="131"/>
      <c r="AM561" s="124" t="s">
        <v>232</v>
      </c>
      <c r="AN561" s="136" t="s">
        <v>1947</v>
      </c>
      <c r="AO561" s="137">
        <v>16.600000000000001</v>
      </c>
      <c r="AP561" s="128">
        <v>2120</v>
      </c>
      <c r="AQ561" s="128">
        <v>228.72</v>
      </c>
      <c r="AR561" s="128"/>
      <c r="AS561" s="128"/>
      <c r="AT561" s="122"/>
      <c r="AU561" s="124" t="s">
        <v>189</v>
      </c>
      <c r="AV561" s="115">
        <f>VLOOKUP(J561,'[63]ТР нефть'!$J$28:$BP$638,39,0)</f>
        <v>440.00000800800001</v>
      </c>
      <c r="AW561" s="115" t="str">
        <f>VLOOKUP(J561,'[63]ТР нефть'!$J$28:$BP$638,40,0)</f>
        <v>ГП</v>
      </c>
      <c r="AX561" s="115">
        <f>VLOOKUP(J561,'[63]ТР нефть'!$J$28:$BP$638,41,0)</f>
        <v>790.00000253899998</v>
      </c>
      <c r="AY561" s="115" t="str">
        <f>VLOOKUP(J561,'[63]ТР нефть'!$J$28:$BP$638,42,0)</f>
        <v>ГП</v>
      </c>
      <c r="AZ561" s="115">
        <f>VLOOKUP(J561,'[63]ТР нефть'!$J$28:$BP$638,43,0)</f>
        <v>1100.0000572270001</v>
      </c>
      <c r="BA561" s="115" t="str">
        <f>VLOOKUP(J561,'[63]ТР нефть'!$J$28:$BP$638,44,0)</f>
        <v>ГП</v>
      </c>
      <c r="BB561" s="115">
        <f>VLOOKUP(J561,'[63]ТР нефть'!$J$28:$BP$638,45,0)</f>
        <v>1340.0000683589999</v>
      </c>
      <c r="BC561" s="115" t="str">
        <f>VLOOKUP(J561,'[63]ТР нефть'!$J$28:$BP$638,46,0)</f>
        <v>ГК 78 1/8</v>
      </c>
      <c r="BD561" s="115">
        <f>VLOOKUP(J561,'[63]ТР нефть'!$J$28:$BP$638,47,0)</f>
        <v>1520.000095312</v>
      </c>
      <c r="BE561" s="115" t="str">
        <f>VLOOKUP(J561,'[63]ТР нефть'!$J$28:$BP$638,48,0)</f>
        <v>ГК 75 1/8</v>
      </c>
      <c r="BF561" s="115">
        <f>VLOOKUP(J561,'[63]ТР нефть'!$J$28:$BP$638,49,0)</f>
        <v>1850</v>
      </c>
      <c r="BG561" s="115" t="str">
        <f>VLOOKUP(J561,'[63]ТР нефть'!$J$28:$BP$638,50,0)</f>
        <v>ЦКсОК 5/16</v>
      </c>
      <c r="BH561" s="115">
        <f>VLOOKUP(J561,'[63]ТР нефть'!$J$28:$BP$638,51,0)</f>
        <v>1860</v>
      </c>
      <c r="BI561" s="115" t="str">
        <f>VLOOKUP(J561,'[63]ТР нефть'!$J$28:$BP$638,52,0)</f>
        <v>закрыт</v>
      </c>
      <c r="BJ561" s="115" t="str">
        <f>IF(IFERROR(VLOOKUP(J561,'[63]ТР нефть'!$J$28:$BP$638,53,0),"-")=0,"-",IFERROR(VLOOKUP(J561,'[63]ТР нефть'!$J$28:$BP$638,53,0),"-"))</f>
        <v>-</v>
      </c>
      <c r="BK561" s="138" t="str">
        <f>IF(IFERROR(VLOOKUP(J561,'[63]ТР нефть'!$J$28:$BP$638,54,0),"-")=0,"-",IFERROR(VLOOKUP(J561,'[63]ТР нефть'!$J$28:$BP$638,54,0),"-"))</f>
        <v>-</v>
      </c>
      <c r="BL561" s="138" t="str">
        <f>IF(IFERROR(VLOOKUP(J561,'[63]ТР нефть'!$J$28:$BP$638,55,0),"-")=0,"-",IFERROR(VLOOKUP(J561,'[63]ТР нефть'!$J$28:$BP$638,55,0),"-"))</f>
        <v>-</v>
      </c>
      <c r="BM561" s="138" t="str">
        <f>IF(IFERROR(VLOOKUP(J561,'[63]ТР нефть'!$J$28:$BP$638,56,0),"-")=0,"-",IFERROR(VLOOKUP(J561,'[63]ТР нефть'!$J$28:$BP$638,56,0),"-"))</f>
        <v>-</v>
      </c>
      <c r="BN561" s="138" t="str">
        <f>IF(IFERROR(VLOOKUP(J561,'[63]ТР нефть'!$J$28:$BP$638,57,0),"-")=0,"-",IFERROR(VLOOKUP(J561,'[63]ТР нефть'!$J$28:$BP$638,57,0),"-"))</f>
        <v>-</v>
      </c>
      <c r="BO561" s="115" t="str">
        <f>IF(IFERROR(VLOOKUP(J561,'[63]ТР нефть'!$J$28:$BP$638,58,0),"-")=0,"-",IFERROR(VLOOKUP(J561,'[63]ТР нефть'!$J$28:$BP$638,58,0),"-"))</f>
        <v>-</v>
      </c>
      <c r="BP561" s="115" t="str">
        <f>IF(IFERROR(VLOOKUP(J561,'[63]ТР нефть'!$J$28:$BP$638,59,0),"-")=0,"-",IFERROR(VLOOKUP(J561,'[63]ТР нефть'!$J$28:$BP$638,59,0),"-"))</f>
        <v>-</v>
      </c>
      <c r="BQ561" s="138">
        <v>1825</v>
      </c>
      <c r="BR561" s="128">
        <v>1655.47</v>
      </c>
      <c r="BS561" s="115">
        <f t="shared" si="437"/>
        <v>169.52999999999997</v>
      </c>
      <c r="BT561" s="128">
        <v>73</v>
      </c>
      <c r="BU561" s="128">
        <v>5.5</v>
      </c>
      <c r="BV561" s="127">
        <v>18</v>
      </c>
      <c r="BW561" s="127" t="s">
        <v>194</v>
      </c>
      <c r="BX561" s="127" t="s">
        <v>195</v>
      </c>
      <c r="BY561" s="139">
        <v>24</v>
      </c>
      <c r="BZ561" s="139">
        <v>0</v>
      </c>
      <c r="CA561" s="80">
        <v>25</v>
      </c>
      <c r="CB561" s="138">
        <v>62</v>
      </c>
      <c r="CC561" s="138">
        <v>24</v>
      </c>
      <c r="CD561" s="135">
        <v>45017</v>
      </c>
      <c r="CE561" s="138">
        <v>129</v>
      </c>
      <c r="CF561" s="138">
        <v>70</v>
      </c>
      <c r="CG561" s="138" t="str">
        <f t="shared" si="458"/>
        <v>В работе</v>
      </c>
      <c r="CH561" s="138" t="s">
        <v>235</v>
      </c>
      <c r="CI561" s="127">
        <v>5</v>
      </c>
      <c r="CJ561" s="138"/>
      <c r="CK561" s="138">
        <f t="shared" si="432"/>
        <v>86</v>
      </c>
      <c r="CL561" s="99"/>
      <c r="CM561" s="99"/>
      <c r="CN561" s="140">
        <v>111</v>
      </c>
      <c r="CO561" s="141">
        <f t="shared" si="442"/>
        <v>0.75239999999999996</v>
      </c>
      <c r="CP561" s="142">
        <v>0.9</v>
      </c>
      <c r="CQ561" s="143">
        <v>0</v>
      </c>
      <c r="CR561" s="138">
        <v>6.2</v>
      </c>
      <c r="CS561" s="139">
        <v>3.4</v>
      </c>
      <c r="CT561" s="138"/>
      <c r="CU561" s="138">
        <f t="shared" ref="CU561:CU567" si="465">IF(CR561&lt;&gt;"0",CR561-CS561,"0")</f>
        <v>2.8000000000000003</v>
      </c>
      <c r="CV561" s="115">
        <f t="shared" ref="CV561:CV567" si="466">(CR561-CS561)*1000/CO561</f>
        <v>3721.4247740563537</v>
      </c>
      <c r="CW561" s="115">
        <f t="shared" si="443"/>
        <v>4518.8729399255717</v>
      </c>
      <c r="CX561" s="133">
        <f t="shared" ref="CX561:CX567" si="467">IF(CP561&lt;&gt;0,CP561/(CE561-CN561),0)</f>
        <v>0.05</v>
      </c>
      <c r="CY561" s="116"/>
      <c r="CZ561" s="131"/>
      <c r="DA561" s="145" t="str">
        <f t="shared" si="444"/>
        <v>Газлифт</v>
      </c>
      <c r="DB561" s="146">
        <f t="shared" ref="DB561:DB624" si="468">IFERROR(DC561*(1-DD561/100)*$AA561,"-")</f>
        <v>12.20770284096</v>
      </c>
      <c r="DC561" s="142">
        <f t="shared" ref="DC561:DC624" si="469">IFERROR(IF(AND(FZ561="Технология",FQ561&lt;$JC$24),EM561,CP561),"-")</f>
        <v>15.352</v>
      </c>
      <c r="DD561" s="119">
        <f t="shared" ref="DD561:DD624" si="470">IFERROR(IF(AND(FZ561="Технология",FQ561&lt;$JC$29),EN561,CQ561),"-")</f>
        <v>4.8819999999999997</v>
      </c>
      <c r="DE561" s="115">
        <f t="shared" ref="DE561:DE624" si="471">CU561</f>
        <v>2.8000000000000003</v>
      </c>
      <c r="DF561" s="121">
        <f t="shared" ref="DF561:DF624" si="472">CS561</f>
        <v>3.4</v>
      </c>
      <c r="DG561" s="115">
        <f t="shared" si="446"/>
        <v>3721.4247740563537</v>
      </c>
      <c r="DH561" s="115">
        <f t="shared" si="447"/>
        <v>111</v>
      </c>
      <c r="DI561" s="147"/>
      <c r="DJ561" s="111">
        <v>43629</v>
      </c>
      <c r="DK561" s="112">
        <v>43661</v>
      </c>
      <c r="DL561" s="113">
        <f t="shared" ca="1" si="424"/>
        <v>1443</v>
      </c>
      <c r="DM561" s="114"/>
      <c r="DN561" s="114"/>
      <c r="DO561" s="114"/>
      <c r="DP561" s="114"/>
      <c r="DQ561" s="112">
        <v>43906</v>
      </c>
      <c r="DR561" s="114" t="s">
        <v>198</v>
      </c>
      <c r="DS561" s="114"/>
      <c r="DT561" s="115">
        <v>54</v>
      </c>
      <c r="DU561" s="116">
        <f t="shared" si="425"/>
        <v>3.953168044077135E-2</v>
      </c>
      <c r="DV561" s="117">
        <f t="shared" si="428"/>
        <v>2.4786363636363635</v>
      </c>
      <c r="DW561" s="118">
        <f t="shared" si="429"/>
        <v>2.9648760330578514</v>
      </c>
      <c r="DX561" s="119">
        <f t="shared" si="430"/>
        <v>0</v>
      </c>
      <c r="DY561" s="115">
        <f t="shared" si="431"/>
        <v>9.2240587695133165</v>
      </c>
      <c r="DZ561" s="117">
        <f t="shared" si="440"/>
        <v>1.7262363636363636</v>
      </c>
      <c r="EA561" s="120">
        <f t="shared" si="440"/>
        <v>2.0648760330578515</v>
      </c>
      <c r="EB561" s="119">
        <f t="shared" si="440"/>
        <v>0</v>
      </c>
      <c r="EC561" s="121">
        <f t="shared" si="464"/>
        <v>6.4240587695133158</v>
      </c>
      <c r="ED561" s="122"/>
      <c r="EE561" s="145">
        <v>18</v>
      </c>
      <c r="EF561" s="148">
        <v>26</v>
      </c>
      <c r="EG561" s="115">
        <v>62</v>
      </c>
      <c r="EH561" s="115">
        <v>25</v>
      </c>
      <c r="EI561" s="128" t="s">
        <v>195</v>
      </c>
      <c r="EJ561" s="121">
        <v>24</v>
      </c>
      <c r="EK561" s="121">
        <v>0</v>
      </c>
      <c r="EL561" s="149">
        <v>12.20770284096</v>
      </c>
      <c r="EM561" s="142">
        <v>15.352</v>
      </c>
      <c r="EN561" s="119">
        <v>4.8819999999999997</v>
      </c>
      <c r="EO561" s="115">
        <v>9.8000000000000007</v>
      </c>
      <c r="EP561" s="115">
        <v>524.25915697475409</v>
      </c>
      <c r="EQ561" s="115">
        <v>68</v>
      </c>
      <c r="ER561" s="115">
        <v>3.4</v>
      </c>
      <c r="ES561" s="115">
        <v>104</v>
      </c>
      <c r="ET561" s="150">
        <v>0.61407999999999996</v>
      </c>
      <c r="EU561" s="145">
        <f t="shared" si="457"/>
        <v>18</v>
      </c>
      <c r="EV561" s="115">
        <f t="shared" si="448"/>
        <v>25</v>
      </c>
      <c r="EW561" s="115">
        <f t="shared" si="448"/>
        <v>62</v>
      </c>
      <c r="EX561" s="115">
        <f t="shared" si="448"/>
        <v>24</v>
      </c>
      <c r="EY561" s="115" t="str">
        <f t="shared" si="434"/>
        <v>Постоянный</v>
      </c>
      <c r="EZ561" s="115">
        <f t="shared" si="434"/>
        <v>24</v>
      </c>
      <c r="FA561" s="115">
        <f t="shared" si="434"/>
        <v>0</v>
      </c>
      <c r="FB561" s="149">
        <f t="shared" si="461"/>
        <v>0.75239999999999996</v>
      </c>
      <c r="FC561" s="142">
        <f t="shared" si="461"/>
        <v>0.9</v>
      </c>
      <c r="FD561" s="119">
        <f t="shared" si="461"/>
        <v>0</v>
      </c>
      <c r="FE561" s="121">
        <f t="shared" si="460"/>
        <v>6.2</v>
      </c>
      <c r="FF561" s="121">
        <f t="shared" si="462"/>
        <v>3721.4247740563537</v>
      </c>
      <c r="FG561" s="121">
        <f t="shared" si="449"/>
        <v>70</v>
      </c>
      <c r="FH561" s="121">
        <f t="shared" si="436"/>
        <v>3.4</v>
      </c>
      <c r="FI561" s="121">
        <f t="shared" si="427"/>
        <v>111</v>
      </c>
      <c r="FJ561" s="144">
        <f t="shared" si="450"/>
        <v>0.05</v>
      </c>
      <c r="FK561" s="132">
        <f t="shared" si="451"/>
        <v>0</v>
      </c>
      <c r="FL561" s="115">
        <f t="shared" si="451"/>
        <v>-1</v>
      </c>
      <c r="FM561" s="115">
        <f t="shared" si="451"/>
        <v>0</v>
      </c>
      <c r="FN561" s="115">
        <f t="shared" si="451"/>
        <v>-1</v>
      </c>
      <c r="FO561" s="115">
        <f t="shared" si="439"/>
        <v>0</v>
      </c>
      <c r="FP561" s="115">
        <f t="shared" si="439"/>
        <v>0</v>
      </c>
      <c r="FQ561" s="149">
        <f t="shared" si="439"/>
        <v>-11.45530284096</v>
      </c>
      <c r="FR561" s="142">
        <f t="shared" si="439"/>
        <v>-14.452</v>
      </c>
      <c r="FS561" s="119">
        <f t="shared" si="439"/>
        <v>-4.8819999999999997</v>
      </c>
      <c r="FT561" s="121">
        <f t="shared" si="438"/>
        <v>-3.6000000000000005</v>
      </c>
      <c r="FU561" s="121">
        <f t="shared" si="452"/>
        <v>2</v>
      </c>
      <c r="FV561" s="121">
        <f t="shared" si="452"/>
        <v>0</v>
      </c>
      <c r="FW561" s="121">
        <f t="shared" si="453"/>
        <v>3197.1656170815995</v>
      </c>
      <c r="FX561" s="121">
        <f t="shared" si="454"/>
        <v>7</v>
      </c>
      <c r="FY561" s="144">
        <f t="shared" si="454"/>
        <v>-0.56407999999999991</v>
      </c>
      <c r="FZ561" s="145" t="s">
        <v>199</v>
      </c>
      <c r="GA561" s="151" t="s">
        <v>1396</v>
      </c>
      <c r="GB561" s="145"/>
      <c r="GC561" s="151"/>
      <c r="GD561" s="997" t="s">
        <v>202</v>
      </c>
      <c r="GE561" s="1004"/>
      <c r="GF561" s="1004">
        <v>-0.44599315903999859</v>
      </c>
      <c r="GG561" s="1004"/>
      <c r="GH561" s="1004">
        <v>0</v>
      </c>
      <c r="GI561" s="145"/>
      <c r="GJ561" s="996">
        <v>0</v>
      </c>
      <c r="GK561" s="145"/>
      <c r="GL561" s="996">
        <v>0</v>
      </c>
      <c r="GM561" s="1005" t="s">
        <v>221</v>
      </c>
      <c r="GN561" s="996">
        <v>-2.3725680000000011</v>
      </c>
      <c r="GO561" s="1006" t="s">
        <v>199</v>
      </c>
      <c r="GP561" s="996">
        <v>2.1314562368000001</v>
      </c>
      <c r="GQ561" s="1006"/>
      <c r="GR561" s="996">
        <v>-0.48119223680000012</v>
      </c>
      <c r="GS561" s="1006"/>
      <c r="GT561" s="996">
        <v>0</v>
      </c>
      <c r="GU561" s="1006"/>
      <c r="GV561" s="996">
        <v>0</v>
      </c>
      <c r="GW561" s="1006"/>
      <c r="GX561" s="996">
        <v>0</v>
      </c>
      <c r="GY561" s="1006" t="s">
        <v>203</v>
      </c>
      <c r="GZ561" s="996">
        <v>-2.8129728000000025</v>
      </c>
      <c r="HA561" s="1006" t="s">
        <v>25</v>
      </c>
      <c r="HB561" s="996">
        <v>-1.5552773455999969</v>
      </c>
      <c r="HC561" s="1006" t="s">
        <v>25</v>
      </c>
      <c r="HD561" s="996">
        <v>4.7026501455999998</v>
      </c>
      <c r="HE561" s="1006"/>
      <c r="HF561" s="996">
        <v>-0.22143550000000012</v>
      </c>
      <c r="HG561" s="1006"/>
      <c r="HH561" s="996">
        <v>-0.56701281999999864</v>
      </c>
      <c r="HI561" s="1006"/>
      <c r="HJ561" s="996">
        <v>0</v>
      </c>
      <c r="HK561" s="1006" t="s">
        <v>223</v>
      </c>
      <c r="HL561" s="996">
        <v>-1.0832219200000033</v>
      </c>
      <c r="HM561" s="1006" t="s">
        <v>199</v>
      </c>
      <c r="HN561" s="996">
        <v>6.1700060400000005</v>
      </c>
      <c r="HO561" s="1006"/>
      <c r="HP561" s="996">
        <v>0</v>
      </c>
      <c r="HQ561" s="1006"/>
      <c r="HR561" s="996">
        <v>0</v>
      </c>
      <c r="HS561" s="1006"/>
      <c r="HT561" s="996">
        <v>0</v>
      </c>
      <c r="HU561" s="1006"/>
      <c r="HV561" s="996">
        <v>0.23994036000000207</v>
      </c>
      <c r="HW561" s="1006"/>
      <c r="HX561" s="996">
        <v>-0.35847345600000224</v>
      </c>
      <c r="HY561" s="1006"/>
      <c r="HZ561" s="996">
        <v>-0.34180027199999685</v>
      </c>
      <c r="IA561" s="1006" t="s">
        <v>199</v>
      </c>
      <c r="IB561" s="996">
        <v>-5.4264024320000015</v>
      </c>
      <c r="IC561" s="1006" t="s">
        <v>199</v>
      </c>
      <c r="ID561" s="996">
        <v>1.3376000000000001</v>
      </c>
      <c r="IE561" s="1006"/>
      <c r="IF561" s="996">
        <v>-0.75240000000000151</v>
      </c>
      <c r="IG561" s="1006"/>
      <c r="IH561" s="996">
        <v>-0.21735999999999756</v>
      </c>
      <c r="II561" s="1006"/>
      <c r="IJ561" s="996">
        <v>0.42635999999999719</v>
      </c>
      <c r="IK561" s="1006" t="s">
        <v>199</v>
      </c>
      <c r="IL561" s="996">
        <v>5.308600000000002</v>
      </c>
      <c r="IM561" s="1006"/>
      <c r="IN561" s="996">
        <v>0</v>
      </c>
      <c r="IO561" s="1006" t="s">
        <v>199</v>
      </c>
      <c r="IP561" s="996">
        <v>-8.1928000000000001</v>
      </c>
      <c r="IQ561" s="1006"/>
      <c r="IR561" s="996">
        <v>0</v>
      </c>
      <c r="IS561" s="1006"/>
      <c r="IT561" s="996">
        <v>0</v>
      </c>
      <c r="IU561" s="1006" t="s">
        <v>199</v>
      </c>
      <c r="IV561" s="996">
        <v>-4.18</v>
      </c>
      <c r="IW561" s="1006" t="s">
        <v>203</v>
      </c>
      <c r="IX561" s="996">
        <v>-4.0963999999999992</v>
      </c>
      <c r="IY561" s="1006"/>
      <c r="IZ561" s="996">
        <v>0</v>
      </c>
      <c r="JA561" s="1006" t="s">
        <v>203</v>
      </c>
      <c r="JB561" s="996">
        <v>12.906272499999998</v>
      </c>
      <c r="JC561" s="1006" t="s">
        <v>25</v>
      </c>
      <c r="JD561" s="996">
        <v>7.9101274999999998</v>
      </c>
      <c r="JE561" s="1006" t="s">
        <v>199</v>
      </c>
      <c r="JF561" s="996">
        <v>-10.627231999999999</v>
      </c>
      <c r="JG561" s="1006"/>
      <c r="JH561" s="996">
        <v>0</v>
      </c>
      <c r="JI561" s="1006"/>
      <c r="JJ561" s="996">
        <v>0</v>
      </c>
      <c r="JK561" s="1007"/>
      <c r="JL561" s="1007">
        <v>0</v>
      </c>
      <c r="JM561" s="1007"/>
      <c r="JN561" s="1007">
        <v>0</v>
      </c>
      <c r="JO561" s="1008"/>
      <c r="JP561" s="1007">
        <v>0</v>
      </c>
      <c r="JQ561" s="1008" t="s">
        <v>199</v>
      </c>
      <c r="JR561" s="1007">
        <v>2.9259999999999984</v>
      </c>
      <c r="JS561" s="1008">
        <v>0</v>
      </c>
      <c r="JT561" s="1007">
        <v>0</v>
      </c>
      <c r="JU561" s="1008"/>
      <c r="JV561" s="1007">
        <v>0</v>
      </c>
      <c r="JW561" s="1008" t="s">
        <v>207</v>
      </c>
      <c r="JX561" s="1007">
        <v>-6.6879999999999988</v>
      </c>
      <c r="JY561" s="1008"/>
      <c r="JZ561" s="1007">
        <v>0</v>
      </c>
      <c r="KA561" s="1008" t="s">
        <v>203</v>
      </c>
      <c r="KB561" s="1007">
        <v>7.1698703999999989</v>
      </c>
      <c r="KC561" s="1008" t="s">
        <v>198</v>
      </c>
      <c r="KD561" s="1007">
        <v>-4.7287503999999974</v>
      </c>
      <c r="KE561" s="1008" t="s">
        <v>204</v>
      </c>
      <c r="KF561" s="1007">
        <v>-1.6034480000000038</v>
      </c>
      <c r="KG561" s="1008" t="s">
        <v>221</v>
      </c>
      <c r="KH561" s="1007">
        <v>0</v>
      </c>
      <c r="KI561" s="1008" t="s">
        <v>221</v>
      </c>
      <c r="KJ561" s="1007">
        <v>3.8581399999999988</v>
      </c>
      <c r="KK561" s="1008"/>
      <c r="KL561" s="1007">
        <v>0</v>
      </c>
      <c r="KM561" s="1008"/>
      <c r="KN561" s="1007">
        <v>0</v>
      </c>
      <c r="KO561" s="1008" t="s">
        <v>1687</v>
      </c>
      <c r="KP561" s="1007">
        <v>6.2557880000000043</v>
      </c>
      <c r="KQ561" s="1008">
        <v>0</v>
      </c>
      <c r="KR561" s="1007">
        <v>15.894031999999997</v>
      </c>
      <c r="KS561" s="1008">
        <v>0</v>
      </c>
      <c r="KT561" s="1007">
        <v>0</v>
      </c>
      <c r="KU561" s="1008">
        <v>0</v>
      </c>
      <c r="KV561" s="1007">
        <v>0</v>
      </c>
      <c r="KW561" s="1008" t="s">
        <v>204</v>
      </c>
      <c r="KX561" s="1007">
        <v>-0.61696800000000174</v>
      </c>
      <c r="KY561" s="1008">
        <v>0</v>
      </c>
      <c r="KZ561" s="1007">
        <v>0</v>
      </c>
      <c r="LA561" s="1008">
        <v>0</v>
      </c>
      <c r="LB561" s="1007">
        <v>0</v>
      </c>
      <c r="LC561" s="1008">
        <v>0</v>
      </c>
      <c r="LD561" s="1007">
        <v>0</v>
      </c>
      <c r="LE561" s="1008" t="s">
        <v>206</v>
      </c>
      <c r="LF561" s="1007">
        <v>4.18</v>
      </c>
      <c r="LG561" s="1008">
        <v>0</v>
      </c>
      <c r="LH561" s="1007">
        <v>0</v>
      </c>
      <c r="LI561" s="1008">
        <v>0</v>
      </c>
      <c r="LJ561" s="1007">
        <v>0</v>
      </c>
      <c r="LK561" s="1008">
        <v>0</v>
      </c>
      <c r="LL561" s="1007">
        <v>0</v>
      </c>
      <c r="LM561" s="1008" t="s">
        <v>555</v>
      </c>
      <c r="LN561" s="1007">
        <v>-3.3105600000000002</v>
      </c>
      <c r="LO561" s="1008">
        <v>0</v>
      </c>
      <c r="LP561" s="1007">
        <v>0</v>
      </c>
      <c r="LQ561" s="1008">
        <v>0</v>
      </c>
      <c r="LR561" s="1007">
        <v>0</v>
      </c>
      <c r="LS561" s="1008">
        <v>0</v>
      </c>
      <c r="LT561" s="1007">
        <v>0</v>
      </c>
      <c r="LU561" s="1008">
        <v>0</v>
      </c>
      <c r="LV561" s="1007">
        <v>0</v>
      </c>
      <c r="LW561" s="1008">
        <v>0</v>
      </c>
      <c r="LX561" s="1007">
        <v>0</v>
      </c>
      <c r="LY561" s="1009">
        <v>0</v>
      </c>
      <c r="LZ561" s="1010">
        <v>0</v>
      </c>
      <c r="MA561" s="1011">
        <v>0</v>
      </c>
      <c r="MB561" s="1012">
        <v>1.5336000000000001</v>
      </c>
      <c r="MC561" s="995"/>
      <c r="MD561" s="996"/>
      <c r="ME561" s="997" t="s">
        <v>202</v>
      </c>
      <c r="MF561" s="997"/>
      <c r="MG561" s="998"/>
      <c r="NR561" s="1000"/>
      <c r="NS561" s="1000"/>
      <c r="NT561" s="1001"/>
      <c r="NU561" s="1000"/>
      <c r="NV561" s="1001"/>
      <c r="NX561" s="1002"/>
      <c r="NZ561" s="1001"/>
      <c r="OA561" s="1001"/>
      <c r="OC561" s="1003"/>
      <c r="OD561" s="1003"/>
      <c r="OE561" s="1001"/>
      <c r="OF561" s="1003"/>
      <c r="OG561" s="1003"/>
      <c r="QX561" s="1000">
        <f>CN561-CA561</f>
        <v>86</v>
      </c>
      <c r="ASU561" s="999" t="s">
        <v>208</v>
      </c>
    </row>
    <row r="562" spans="1:466 1191:1191" ht="21" customHeight="1" x14ac:dyDescent="0.25">
      <c r="A562" s="982">
        <f t="shared" si="441"/>
        <v>3294</v>
      </c>
      <c r="B562" s="124">
        <f>SUBTOTAL(103,$J$29:J562)</f>
        <v>534</v>
      </c>
      <c r="C562" s="126">
        <v>45068</v>
      </c>
      <c r="D562" s="124" t="s">
        <v>176</v>
      </c>
      <c r="E562" s="127" t="s">
        <v>177</v>
      </c>
      <c r="F562" s="128" t="s">
        <v>177</v>
      </c>
      <c r="G562" s="127" t="s">
        <v>178</v>
      </c>
      <c r="H562" s="127" t="s">
        <v>179</v>
      </c>
      <c r="I562" s="127" t="s">
        <v>663</v>
      </c>
      <c r="J562" s="152">
        <v>3294</v>
      </c>
      <c r="K562" s="127" t="s">
        <v>663</v>
      </c>
      <c r="L562" s="130">
        <v>41818</v>
      </c>
      <c r="M562" s="127" t="s">
        <v>230</v>
      </c>
      <c r="N562" s="127" t="s">
        <v>184</v>
      </c>
      <c r="O562" s="127" t="s">
        <v>185</v>
      </c>
      <c r="P562" s="127" t="s">
        <v>186</v>
      </c>
      <c r="Q562" s="85" t="str">
        <f t="shared" si="423"/>
        <v/>
      </c>
      <c r="R562" s="130"/>
      <c r="S562" s="128" t="s">
        <v>156</v>
      </c>
      <c r="T562" s="131"/>
      <c r="U562" s="132">
        <v>203</v>
      </c>
      <c r="V562" s="121">
        <v>218.2</v>
      </c>
      <c r="W562" s="116">
        <v>0.98</v>
      </c>
      <c r="X562" s="116">
        <v>1.66</v>
      </c>
      <c r="Y562" s="116">
        <f t="shared" si="463"/>
        <v>0.98</v>
      </c>
      <c r="Z562" s="133">
        <v>1.454</v>
      </c>
      <c r="AA562" s="133">
        <v>0.83599999999999997</v>
      </c>
      <c r="AB562" s="133">
        <v>0.72</v>
      </c>
      <c r="AC562" s="121">
        <v>34.299999999999997</v>
      </c>
      <c r="AD562" s="134">
        <v>1.17</v>
      </c>
      <c r="AE562" s="124">
        <v>177.8</v>
      </c>
      <c r="AF562" s="128">
        <v>9.19</v>
      </c>
      <c r="AG562" s="128">
        <v>2144</v>
      </c>
      <c r="AH562" s="127">
        <v>2944</v>
      </c>
      <c r="AI562" s="127">
        <v>2944</v>
      </c>
      <c r="AJ562" s="135"/>
      <c r="AK562" s="128"/>
      <c r="AL562" s="131"/>
      <c r="AM562" s="124" t="s">
        <v>232</v>
      </c>
      <c r="AN562" s="136" t="s">
        <v>1948</v>
      </c>
      <c r="AO562" s="137">
        <v>17</v>
      </c>
      <c r="AP562" s="128">
        <v>2144</v>
      </c>
      <c r="AQ562" s="128">
        <v>315.95999999999998</v>
      </c>
      <c r="AR562" s="128"/>
      <c r="AS562" s="128"/>
      <c r="AT562" s="122"/>
      <c r="AU562" s="124" t="s">
        <v>189</v>
      </c>
      <c r="AV562" s="115">
        <f>VLOOKUP(J562,'[63]ТР нефть'!$J$28:$BP$638,39,0)</f>
        <v>479.99998505899998</v>
      </c>
      <c r="AW562" s="115" t="str">
        <f>VLOOKUP(J562,'[63]ТР нефть'!$J$28:$BP$638,40,0)</f>
        <v>ГП</v>
      </c>
      <c r="AX562" s="115">
        <f>VLOOKUP(J562,'[63]ТР нефть'!$J$28:$BP$638,41,0)</f>
        <v>859.99997168000004</v>
      </c>
      <c r="AY562" s="115" t="str">
        <f>VLOOKUP(J562,'[63]ТР нефть'!$J$28:$BP$638,42,0)</f>
        <v>ГК 77 1/8</v>
      </c>
      <c r="AZ562" s="115">
        <f>VLOOKUP(J562,'[63]ТР нефть'!$J$28:$BP$638,43,0)</f>
        <v>1170.0000263669999</v>
      </c>
      <c r="BA562" s="115" t="str">
        <f>VLOOKUP(J562,'[63]ТР нефть'!$J$28:$BP$638,44,0)</f>
        <v>ГК 77 1/8</v>
      </c>
      <c r="BB562" s="115">
        <f>VLOOKUP(J562,'[63]ТР нефть'!$J$28:$BP$638,45,0)</f>
        <v>1419.9999480470001</v>
      </c>
      <c r="BC562" s="115" t="str">
        <f>VLOOKUP(J562,'[63]ТР нефть'!$J$28:$BP$638,46,0)</f>
        <v>ГК 77 1/8</v>
      </c>
      <c r="BD562" s="115">
        <f>VLOOKUP(J562,'[63]ТР нефть'!$J$28:$BP$638,47,0)</f>
        <v>1680.0000035160001</v>
      </c>
      <c r="BE562" s="115" t="str">
        <f>VLOOKUP(J562,'[63]ТР нефть'!$J$28:$BP$638,48,0)</f>
        <v>ЦКсОК 5/16</v>
      </c>
      <c r="BF562" s="115" t="str">
        <f>VLOOKUP(J562,'[63]ТР нефть'!$J$28:$BP$638,49,0)</f>
        <v>-</v>
      </c>
      <c r="BG562" s="115" t="str">
        <f>VLOOKUP(J562,'[63]ТР нефть'!$J$28:$BP$638,50,0)</f>
        <v>-</v>
      </c>
      <c r="BH562" s="115" t="str">
        <f>VLOOKUP(J562,'[63]ТР нефть'!$J$28:$BP$638,51,0)</f>
        <v>-</v>
      </c>
      <c r="BI562" s="115" t="str">
        <f>VLOOKUP(J562,'[63]ТР нефть'!$J$28:$BP$638,52,0)</f>
        <v>-</v>
      </c>
      <c r="BJ562" s="115" t="str">
        <f>IF(IFERROR(VLOOKUP(J562,'[63]ТР нефть'!$J$28:$BP$638,53,0),"-")=0,"-",IFERROR(VLOOKUP(J562,'[63]ТР нефть'!$J$28:$BP$638,53,0),"-"))</f>
        <v>-</v>
      </c>
      <c r="BK562" s="138" t="str">
        <f>IF(IFERROR(VLOOKUP(J562,'[63]ТР нефть'!$J$28:$BP$638,54,0),"-")=0,"-",IFERROR(VLOOKUP(J562,'[63]ТР нефть'!$J$28:$BP$638,54,0),"-"))</f>
        <v>-</v>
      </c>
      <c r="BL562" s="138" t="str">
        <f>IF(IFERROR(VLOOKUP(J562,'[63]ТР нефть'!$J$28:$BP$638,55,0),"-")=0,"-",IFERROR(VLOOKUP(J562,'[63]ТР нефть'!$J$28:$BP$638,55,0),"-"))</f>
        <v>-</v>
      </c>
      <c r="BM562" s="138" t="str">
        <f>IF(IFERROR(VLOOKUP(J562,'[63]ТР нефть'!$J$28:$BP$638,56,0),"-")=0,"-",IFERROR(VLOOKUP(J562,'[63]ТР нефть'!$J$28:$BP$638,56,0),"-"))</f>
        <v>-</v>
      </c>
      <c r="BN562" s="138" t="str">
        <f>IF(IFERROR(VLOOKUP(J562,'[63]ТР нефть'!$J$28:$BP$638,57,0),"-")=0,"-",IFERROR(VLOOKUP(J562,'[63]ТР нефть'!$J$28:$BP$638,57,0),"-"))</f>
        <v>-</v>
      </c>
      <c r="BO562" s="115" t="str">
        <f>IF(IFERROR(VLOOKUP(J562,'[63]ТР нефть'!$J$28:$BP$638,58,0),"-")=0,"-",IFERROR(VLOOKUP(J562,'[63]ТР нефть'!$J$28:$BP$638,58,0),"-"))</f>
        <v>-</v>
      </c>
      <c r="BP562" s="115" t="str">
        <f>IF(IFERROR(VLOOKUP(J562,'[63]ТР нефть'!$J$28:$BP$638,59,0),"-")=0,"-",IFERROR(VLOOKUP(J562,'[63]ТР нефть'!$J$28:$BP$638,59,0),"-"))</f>
        <v>-</v>
      </c>
      <c r="BQ562" s="138">
        <v>2370</v>
      </c>
      <c r="BR562" s="128">
        <v>1838.71</v>
      </c>
      <c r="BS562" s="115">
        <f t="shared" si="437"/>
        <v>531.29</v>
      </c>
      <c r="BT562" s="128">
        <v>73</v>
      </c>
      <c r="BU562" s="128">
        <v>5.5</v>
      </c>
      <c r="BV562" s="127">
        <v>12</v>
      </c>
      <c r="BW562" s="127" t="s">
        <v>194</v>
      </c>
      <c r="BX562" s="127" t="s">
        <v>218</v>
      </c>
      <c r="BY562" s="139">
        <v>72</v>
      </c>
      <c r="BZ562" s="139">
        <v>72</v>
      </c>
      <c r="CA562" s="80">
        <v>27</v>
      </c>
      <c r="CB562" s="138">
        <v>45</v>
      </c>
      <c r="CC562" s="138">
        <v>26</v>
      </c>
      <c r="CD562" s="135">
        <v>45017</v>
      </c>
      <c r="CE562" s="138">
        <v>89</v>
      </c>
      <c r="CF562" s="138">
        <v>73</v>
      </c>
      <c r="CG562" s="138" t="str">
        <f t="shared" si="458"/>
        <v>В работе</v>
      </c>
      <c r="CH562" s="138" t="s">
        <v>196</v>
      </c>
      <c r="CI562" s="127">
        <v>5</v>
      </c>
      <c r="CJ562" s="138"/>
      <c r="CK562" s="138">
        <f t="shared" si="432"/>
        <v>26</v>
      </c>
      <c r="CL562" s="99"/>
      <c r="CM562" s="99"/>
      <c r="CN562" s="140">
        <v>53</v>
      </c>
      <c r="CO562" s="141">
        <f t="shared" si="442"/>
        <v>3.3439999999999999</v>
      </c>
      <c r="CP562" s="142">
        <v>4</v>
      </c>
      <c r="CQ562" s="143">
        <v>0</v>
      </c>
      <c r="CR562" s="138">
        <v>4.7</v>
      </c>
      <c r="CS562" s="139">
        <v>2.4</v>
      </c>
      <c r="CT562" s="138"/>
      <c r="CU562" s="138">
        <f t="shared" si="465"/>
        <v>2.3000000000000003</v>
      </c>
      <c r="CV562" s="115">
        <f t="shared" si="466"/>
        <v>687.79904306220112</v>
      </c>
      <c r="CW562" s="115">
        <f t="shared" si="443"/>
        <v>717.70334928229659</v>
      </c>
      <c r="CX562" s="133">
        <f t="shared" si="467"/>
        <v>0.1111111111111111</v>
      </c>
      <c r="CY562" s="116"/>
      <c r="CZ562" s="131"/>
      <c r="DA562" s="145" t="str">
        <f t="shared" si="444"/>
        <v>Газлифт</v>
      </c>
      <c r="DB562" s="146">
        <f t="shared" si="468"/>
        <v>3.3439999999999999</v>
      </c>
      <c r="DC562" s="142">
        <f t="shared" si="469"/>
        <v>4</v>
      </c>
      <c r="DD562" s="119">
        <f t="shared" si="470"/>
        <v>0</v>
      </c>
      <c r="DE562" s="115">
        <f t="shared" si="471"/>
        <v>2.3000000000000003</v>
      </c>
      <c r="DF562" s="121">
        <f t="shared" si="472"/>
        <v>2.4</v>
      </c>
      <c r="DG562" s="115">
        <f t="shared" si="446"/>
        <v>687.79904306220112</v>
      </c>
      <c r="DH562" s="115">
        <f t="shared" si="447"/>
        <v>53</v>
      </c>
      <c r="DI562" s="147"/>
      <c r="DJ562" s="111">
        <v>43665</v>
      </c>
      <c r="DK562" s="112">
        <v>43732</v>
      </c>
      <c r="DL562" s="113">
        <f t="shared" ca="1" si="424"/>
        <v>1372</v>
      </c>
      <c r="DM562" s="114"/>
      <c r="DN562" s="114"/>
      <c r="DO562" s="114"/>
      <c r="DP562" s="114"/>
      <c r="DQ562" s="112">
        <v>43708</v>
      </c>
      <c r="DR562" s="114" t="s">
        <v>282</v>
      </c>
      <c r="DS562" s="114"/>
      <c r="DT562" s="115">
        <v>50</v>
      </c>
      <c r="DU562" s="116">
        <f t="shared" si="425"/>
        <v>0.10908168442415016</v>
      </c>
      <c r="DV562" s="117">
        <f t="shared" si="428"/>
        <v>3.5564992389649919</v>
      </c>
      <c r="DW562" s="118">
        <f t="shared" si="429"/>
        <v>4.2541856925418564</v>
      </c>
      <c r="DX562" s="119">
        <f t="shared" si="430"/>
        <v>0</v>
      </c>
      <c r="DY562" s="115">
        <f t="shared" si="431"/>
        <v>2.4461567732115683</v>
      </c>
      <c r="DZ562" s="117">
        <f t="shared" si="440"/>
        <v>0.21249923896499201</v>
      </c>
      <c r="EA562" s="120">
        <f t="shared" si="440"/>
        <v>0.25418569254185641</v>
      </c>
      <c r="EB562" s="119">
        <f t="shared" si="440"/>
        <v>0</v>
      </c>
      <c r="EC562" s="121">
        <f t="shared" si="464"/>
        <v>0.14615677321156806</v>
      </c>
      <c r="ED562" s="122"/>
      <c r="EE562" s="145">
        <v>12</v>
      </c>
      <c r="EF562" s="148">
        <v>27</v>
      </c>
      <c r="EG562" s="115">
        <v>45</v>
      </c>
      <c r="EH562" s="115">
        <v>26</v>
      </c>
      <c r="EI562" s="128" t="s">
        <v>218</v>
      </c>
      <c r="EJ562" s="121">
        <v>72</v>
      </c>
      <c r="EK562" s="121">
        <v>72</v>
      </c>
      <c r="EL562" s="149">
        <v>3.3439999999999999</v>
      </c>
      <c r="EM562" s="142">
        <v>4</v>
      </c>
      <c r="EN562" s="119">
        <v>0</v>
      </c>
      <c r="EO562" s="115">
        <v>4.7</v>
      </c>
      <c r="EP562" s="115">
        <v>687.79904306220112</v>
      </c>
      <c r="EQ562" s="115">
        <v>73</v>
      </c>
      <c r="ER562" s="115">
        <v>2.4</v>
      </c>
      <c r="ES562" s="115">
        <v>53</v>
      </c>
      <c r="ET562" s="150">
        <v>0.1111111111111111</v>
      </c>
      <c r="EU562" s="145">
        <f t="shared" si="457"/>
        <v>12</v>
      </c>
      <c r="EV562" s="115">
        <f t="shared" si="448"/>
        <v>27</v>
      </c>
      <c r="EW562" s="115">
        <f t="shared" si="448"/>
        <v>45</v>
      </c>
      <c r="EX562" s="115">
        <f t="shared" si="448"/>
        <v>26</v>
      </c>
      <c r="EY562" s="115" t="str">
        <f t="shared" si="434"/>
        <v>Периодический</v>
      </c>
      <c r="EZ562" s="115">
        <f t="shared" si="434"/>
        <v>72</v>
      </c>
      <c r="FA562" s="115">
        <f t="shared" si="434"/>
        <v>72</v>
      </c>
      <c r="FB562" s="149">
        <f t="shared" si="461"/>
        <v>3.3439999999999999</v>
      </c>
      <c r="FC562" s="142">
        <f t="shared" si="461"/>
        <v>4</v>
      </c>
      <c r="FD562" s="119">
        <f t="shared" si="461"/>
        <v>0</v>
      </c>
      <c r="FE562" s="121">
        <f t="shared" si="460"/>
        <v>4.7</v>
      </c>
      <c r="FF562" s="121">
        <f t="shared" si="462"/>
        <v>687.79904306220112</v>
      </c>
      <c r="FG562" s="121">
        <f t="shared" si="449"/>
        <v>73</v>
      </c>
      <c r="FH562" s="121">
        <f t="shared" si="436"/>
        <v>2.4</v>
      </c>
      <c r="FI562" s="121">
        <f t="shared" si="427"/>
        <v>53</v>
      </c>
      <c r="FJ562" s="144">
        <f t="shared" si="450"/>
        <v>0.1111111111111111</v>
      </c>
      <c r="FK562" s="132">
        <f t="shared" si="451"/>
        <v>0</v>
      </c>
      <c r="FL562" s="115">
        <f t="shared" si="451"/>
        <v>0</v>
      </c>
      <c r="FM562" s="115">
        <f t="shared" si="451"/>
        <v>0</v>
      </c>
      <c r="FN562" s="115">
        <f t="shared" si="451"/>
        <v>0</v>
      </c>
      <c r="FO562" s="115">
        <f t="shared" si="439"/>
        <v>0</v>
      </c>
      <c r="FP562" s="115">
        <f t="shared" si="439"/>
        <v>0</v>
      </c>
      <c r="FQ562" s="149">
        <f t="shared" si="439"/>
        <v>0</v>
      </c>
      <c r="FR562" s="142">
        <f t="shared" si="439"/>
        <v>0</v>
      </c>
      <c r="FS562" s="119">
        <f t="shared" si="439"/>
        <v>0</v>
      </c>
      <c r="FT562" s="121">
        <f t="shared" si="438"/>
        <v>0</v>
      </c>
      <c r="FU562" s="121">
        <f t="shared" si="452"/>
        <v>0</v>
      </c>
      <c r="FV562" s="121">
        <f t="shared" si="452"/>
        <v>0</v>
      </c>
      <c r="FW562" s="121">
        <f t="shared" si="453"/>
        <v>0</v>
      </c>
      <c r="FX562" s="121">
        <f t="shared" si="454"/>
        <v>0</v>
      </c>
      <c r="FY562" s="144">
        <f t="shared" si="454"/>
        <v>0</v>
      </c>
      <c r="FZ562" s="145"/>
      <c r="GA562" s="151"/>
      <c r="GB562" s="145" t="s">
        <v>199</v>
      </c>
      <c r="GC562" s="151" t="s">
        <v>415</v>
      </c>
      <c r="GD562" s="997" t="s">
        <v>202</v>
      </c>
      <c r="GE562" s="1004" t="s">
        <v>199</v>
      </c>
      <c r="GF562" s="1004">
        <v>-1.6720000000000002</v>
      </c>
      <c r="GG562" s="1004"/>
      <c r="GH562" s="1004">
        <v>0</v>
      </c>
      <c r="GI562" s="145"/>
      <c r="GJ562" s="996">
        <v>-0.83599999999999941</v>
      </c>
      <c r="GK562" s="145"/>
      <c r="GL562" s="996">
        <v>0</v>
      </c>
      <c r="GM562" s="1005"/>
      <c r="GN562" s="996">
        <v>1.3459599999999128E-2</v>
      </c>
      <c r="GO562" s="1006" t="s">
        <v>199</v>
      </c>
      <c r="GP562" s="996">
        <v>2.0851930000000003</v>
      </c>
      <c r="GQ562" s="1006" t="s">
        <v>241</v>
      </c>
      <c r="GR562" s="996">
        <v>-1.8060526000000001</v>
      </c>
      <c r="GS562" s="1006"/>
      <c r="GT562" s="996">
        <v>0</v>
      </c>
      <c r="GU562" s="1006"/>
      <c r="GV562" s="996">
        <v>0</v>
      </c>
      <c r="GW562" s="1006"/>
      <c r="GX562" s="996">
        <v>0</v>
      </c>
      <c r="GY562" s="1006"/>
      <c r="GZ562" s="996">
        <v>0</v>
      </c>
      <c r="HA562" s="1006" t="s">
        <v>25</v>
      </c>
      <c r="HB562" s="996">
        <v>-6.1354939535999993</v>
      </c>
      <c r="HC562" s="1006" t="s">
        <v>25</v>
      </c>
      <c r="HD562" s="996">
        <v>5.9086806327999994</v>
      </c>
      <c r="HE562" s="1006"/>
      <c r="HF562" s="996">
        <v>-0.11378667920000041</v>
      </c>
      <c r="HG562" s="1006"/>
      <c r="HH562" s="996">
        <v>-0.60255536000000021</v>
      </c>
      <c r="HI562" s="1006"/>
      <c r="HJ562" s="996">
        <v>-0.75240000000000062</v>
      </c>
      <c r="HK562" s="1006"/>
      <c r="HL562" s="996">
        <v>0</v>
      </c>
      <c r="HM562" s="1006"/>
      <c r="HN562" s="996">
        <v>0.18392000000000053</v>
      </c>
      <c r="HO562" s="1006"/>
      <c r="HP562" s="996">
        <v>0.12824239999999953</v>
      </c>
      <c r="HQ562" s="1006"/>
      <c r="HR562" s="996">
        <v>0.93581840000000049</v>
      </c>
      <c r="HS562" s="1006" t="s">
        <v>643</v>
      </c>
      <c r="HT562" s="996">
        <v>0</v>
      </c>
      <c r="HU562" s="1006" t="s">
        <v>223</v>
      </c>
      <c r="HV562" s="996">
        <v>-1.4191935999999989</v>
      </c>
      <c r="HW562" s="1006"/>
      <c r="HX562" s="996">
        <v>0.8452963200000001</v>
      </c>
      <c r="HY562" s="1006"/>
      <c r="HZ562" s="996">
        <v>6.3268479999998739E-2</v>
      </c>
      <c r="IA562" s="1006"/>
      <c r="IB562" s="996">
        <v>4.4140800000000979E-3</v>
      </c>
      <c r="IC562" s="1006" t="s">
        <v>199</v>
      </c>
      <c r="ID562" s="996">
        <v>-3.4136220799999997</v>
      </c>
      <c r="IE562" s="1006"/>
      <c r="IF562" s="996">
        <v>0</v>
      </c>
      <c r="IG562" s="1006"/>
      <c r="IH562" s="996">
        <v>0.64873599999999954</v>
      </c>
      <c r="II562" s="1006" t="s">
        <v>199</v>
      </c>
      <c r="IJ562" s="996">
        <v>1.8007858000000017</v>
      </c>
      <c r="IK562" s="1006" t="s">
        <v>223</v>
      </c>
      <c r="IL562" s="996">
        <v>-1.5892778000000014</v>
      </c>
      <c r="IM562" s="1006"/>
      <c r="IN562" s="996">
        <v>0</v>
      </c>
      <c r="IO562" s="1006" t="s">
        <v>199</v>
      </c>
      <c r="IP562" s="996">
        <v>1.5238608000000005</v>
      </c>
      <c r="IQ562" s="1006" t="s">
        <v>199</v>
      </c>
      <c r="IR562" s="996">
        <v>-0.97042879999999965</v>
      </c>
      <c r="IS562" s="1006"/>
      <c r="IT562" s="996">
        <v>-1.0374759999999998</v>
      </c>
      <c r="IU562" s="1006"/>
      <c r="IV562" s="996">
        <v>0</v>
      </c>
      <c r="IW562" s="1006"/>
      <c r="IX562" s="996">
        <v>0</v>
      </c>
      <c r="IY562" s="1006" t="s">
        <v>223</v>
      </c>
      <c r="IZ562" s="996">
        <v>-1.8190423679999999</v>
      </c>
      <c r="JA562" s="1006"/>
      <c r="JB562" s="996">
        <v>-0.32730403200000069</v>
      </c>
      <c r="JC562" s="1006" t="s">
        <v>223</v>
      </c>
      <c r="JD562" s="996">
        <v>-2.7810375999999994</v>
      </c>
      <c r="JE562" s="1006"/>
      <c r="JF562" s="996">
        <v>0</v>
      </c>
      <c r="JG562" s="1006" t="s">
        <v>223</v>
      </c>
      <c r="JH562" s="996">
        <v>-4.327136000000003</v>
      </c>
      <c r="JI562" s="1006"/>
      <c r="JJ562" s="996">
        <v>0</v>
      </c>
      <c r="JK562" s="1007" t="s">
        <v>203</v>
      </c>
      <c r="JL562" s="1007">
        <v>-4.2300262400000008</v>
      </c>
      <c r="JM562" s="1007"/>
      <c r="JN562" s="1007">
        <v>18.472122240000004</v>
      </c>
      <c r="JO562" s="1008" t="s">
        <v>25</v>
      </c>
      <c r="JP562" s="1007">
        <v>23.5</v>
      </c>
      <c r="JQ562" s="1008">
        <v>0</v>
      </c>
      <c r="JR562" s="1007">
        <v>0</v>
      </c>
      <c r="JS562" s="1008">
        <v>0</v>
      </c>
      <c r="JT562" s="1007">
        <v>0</v>
      </c>
      <c r="JU562" s="1008" t="s">
        <v>204</v>
      </c>
      <c r="JV562" s="1007">
        <v>2.7587999999999999</v>
      </c>
      <c r="JW562" s="1008" t="s">
        <v>221</v>
      </c>
      <c r="JX562" s="1007">
        <v>2.2572000000000001</v>
      </c>
      <c r="JY562" s="1008"/>
      <c r="JZ562" s="1007">
        <v>0</v>
      </c>
      <c r="KA562" s="1008"/>
      <c r="KB562" s="1007">
        <v>-3.762</v>
      </c>
      <c r="KC562" s="1008"/>
      <c r="KD562" s="1007">
        <v>0</v>
      </c>
      <c r="KE562" s="1008" t="s">
        <v>204</v>
      </c>
      <c r="KF562" s="1007">
        <v>-0.37160199999999977</v>
      </c>
      <c r="KG562" s="1008"/>
      <c r="KH562" s="1007">
        <v>0</v>
      </c>
      <c r="KI562" s="1008"/>
      <c r="KJ562" s="1007">
        <v>0</v>
      </c>
      <c r="KK562" s="1008"/>
      <c r="KL562" s="1007">
        <v>0</v>
      </c>
      <c r="KM562" s="1008"/>
      <c r="KN562" s="1007">
        <v>0</v>
      </c>
      <c r="KO562" s="1008"/>
      <c r="KP562" s="1007">
        <v>0</v>
      </c>
      <c r="KQ562" s="1008">
        <v>0</v>
      </c>
      <c r="KR562" s="1007">
        <v>0</v>
      </c>
      <c r="KS562" s="1008">
        <v>0</v>
      </c>
      <c r="KT562" s="1007">
        <v>0</v>
      </c>
      <c r="KU562" s="1008">
        <v>0</v>
      </c>
      <c r="KV562" s="1007">
        <v>0</v>
      </c>
      <c r="KW562" s="1008" t="s">
        <v>204</v>
      </c>
      <c r="KX562" s="1007">
        <v>-1.6955751999999995</v>
      </c>
      <c r="KY562" s="1008" t="s">
        <v>206</v>
      </c>
      <c r="KZ562" s="1007">
        <v>-1.4022228000000005</v>
      </c>
      <c r="LA562" s="1008">
        <v>0</v>
      </c>
      <c r="LB562" s="1007">
        <v>0</v>
      </c>
      <c r="LC562" s="1008" t="s">
        <v>206</v>
      </c>
      <c r="LD562" s="1007">
        <v>2.349996</v>
      </c>
      <c r="LE562" s="1008">
        <v>0</v>
      </c>
      <c r="LF562" s="1007">
        <v>0</v>
      </c>
      <c r="LG562" s="1008">
        <v>0</v>
      </c>
      <c r="LH562" s="1007">
        <v>-5.2141319999999993</v>
      </c>
      <c r="LI562" s="1008">
        <v>0</v>
      </c>
      <c r="LJ562" s="1007">
        <v>0</v>
      </c>
      <c r="LK562" s="1008">
        <v>0</v>
      </c>
      <c r="LL562" s="1007">
        <v>0</v>
      </c>
      <c r="LM562" s="1008">
        <v>0</v>
      </c>
      <c r="LN562" s="1007">
        <v>0</v>
      </c>
      <c r="LO562" s="1008">
        <v>0</v>
      </c>
      <c r="LP562" s="1007">
        <v>0.24829209999999999</v>
      </c>
      <c r="LQ562" s="1008">
        <v>0</v>
      </c>
      <c r="LR562" s="1007">
        <v>0.51599999999990998</v>
      </c>
      <c r="LS562" s="1008">
        <v>0</v>
      </c>
      <c r="LT562" s="1007">
        <v>-0.75373760000000001</v>
      </c>
      <c r="LU562" s="1008">
        <v>0</v>
      </c>
      <c r="LV562" s="1007">
        <v>0</v>
      </c>
      <c r="LW562" s="1008">
        <v>0</v>
      </c>
      <c r="LX562" s="1007">
        <v>-1.7412399999999999</v>
      </c>
      <c r="LY562" s="1009" t="s">
        <v>223</v>
      </c>
      <c r="LZ562" s="1010">
        <v>-1.6385599999999991</v>
      </c>
      <c r="MA562" s="1011">
        <v>0</v>
      </c>
      <c r="MB562" s="1012">
        <v>0</v>
      </c>
      <c r="MC562" s="995"/>
      <c r="MD562" s="996"/>
      <c r="ME562" s="997" t="s">
        <v>202</v>
      </c>
      <c r="MF562" s="997"/>
      <c r="MG562" s="998"/>
      <c r="NR562" s="1000"/>
      <c r="NS562" s="1000"/>
      <c r="NT562" s="1001"/>
      <c r="NU562" s="1000"/>
      <c r="NV562" s="1001"/>
      <c r="NX562" s="1002"/>
      <c r="NZ562" s="1001"/>
      <c r="OA562" s="1001"/>
      <c r="OC562" s="1003"/>
      <c r="OD562" s="1003"/>
      <c r="OE562" s="1001"/>
      <c r="OF562" s="1003"/>
      <c r="OG562" s="1003"/>
      <c r="QX562" s="1000">
        <f>CN562-CA562</f>
        <v>26</v>
      </c>
      <c r="ASU562" s="999" t="s">
        <v>225</v>
      </c>
    </row>
    <row r="563" spans="1:466 1191:1191" ht="14.25" customHeight="1" x14ac:dyDescent="0.25">
      <c r="A563" s="982" t="str">
        <f t="shared" si="441"/>
        <v>3296-1</v>
      </c>
      <c r="B563" s="124">
        <f>SUBTOTAL(103,$J$29:J563)</f>
        <v>535</v>
      </c>
      <c r="C563" s="126">
        <v>45068</v>
      </c>
      <c r="D563" s="124" t="s">
        <v>176</v>
      </c>
      <c r="E563" s="127" t="s">
        <v>177</v>
      </c>
      <c r="F563" s="128" t="s">
        <v>177</v>
      </c>
      <c r="G563" s="127" t="s">
        <v>178</v>
      </c>
      <c r="H563" s="127" t="s">
        <v>408</v>
      </c>
      <c r="I563" s="127" t="s">
        <v>1377</v>
      </c>
      <c r="J563" s="152" t="s">
        <v>1949</v>
      </c>
      <c r="K563" s="127" t="s">
        <v>1377</v>
      </c>
      <c r="L563" s="130">
        <v>44263</v>
      </c>
      <c r="M563" s="127" t="s">
        <v>230</v>
      </c>
      <c r="N563" s="127" t="s">
        <v>231</v>
      </c>
      <c r="O563" s="127" t="s">
        <v>185</v>
      </c>
      <c r="P563" s="127" t="s">
        <v>186</v>
      </c>
      <c r="Q563" s="85" t="str">
        <f t="shared" si="423"/>
        <v/>
      </c>
      <c r="R563" s="130"/>
      <c r="S563" s="128"/>
      <c r="T563" s="131"/>
      <c r="U563" s="132">
        <v>203</v>
      </c>
      <c r="V563" s="121">
        <v>218.2</v>
      </c>
      <c r="W563" s="116">
        <v>0.98</v>
      </c>
      <c r="X563" s="116">
        <v>1.66</v>
      </c>
      <c r="Y563" s="116">
        <f t="shared" si="463"/>
        <v>0.98</v>
      </c>
      <c r="Z563" s="133">
        <v>1.454</v>
      </c>
      <c r="AA563" s="133">
        <v>0.83599999999999997</v>
      </c>
      <c r="AB563" s="133">
        <v>0.72</v>
      </c>
      <c r="AC563" s="121">
        <v>34.299999999999997</v>
      </c>
      <c r="AD563" s="134">
        <v>1.17</v>
      </c>
      <c r="AE563" s="124">
        <v>177.8</v>
      </c>
      <c r="AF563" s="128">
        <v>9.1999999999999993</v>
      </c>
      <c r="AG563" s="128">
        <v>2490.6999999999998</v>
      </c>
      <c r="AH563" s="127">
        <v>3170</v>
      </c>
      <c r="AI563" s="127">
        <v>3170</v>
      </c>
      <c r="AJ563" s="135"/>
      <c r="AK563" s="128" t="s">
        <v>1018</v>
      </c>
      <c r="AL563" s="131"/>
      <c r="AM563" s="124" t="s">
        <v>232</v>
      </c>
      <c r="AN563" s="136" t="s">
        <v>1950</v>
      </c>
      <c r="AO563" s="137">
        <v>41.51</v>
      </c>
      <c r="AP563" s="128">
        <v>1719.33</v>
      </c>
      <c r="AQ563" s="128">
        <v>640.82000000000005</v>
      </c>
      <c r="AR563" s="128"/>
      <c r="AS563" s="128"/>
      <c r="AT563" s="122"/>
      <c r="AU563" s="124" t="s">
        <v>250</v>
      </c>
      <c r="AV563" s="115">
        <f>VLOOKUP(J563,'[63]ТР нефть'!$J$28:$BP$638,39,0)</f>
        <v>430</v>
      </c>
      <c r="AW563" s="115" t="str">
        <f>VLOOKUP(J563,'[63]ТР нефть'!$J$28:$BP$638,40,0)</f>
        <v>ГК 79 1/8</v>
      </c>
      <c r="AX563" s="115">
        <f>VLOOKUP(J563,'[63]ТР нефть'!$J$28:$BP$638,41,0)</f>
        <v>890</v>
      </c>
      <c r="AY563" s="115" t="str">
        <f>VLOOKUP(J563,'[63]ТР нефть'!$J$28:$BP$638,42,0)</f>
        <v>ГК 79 1/8</v>
      </c>
      <c r="AZ563" s="115">
        <f>VLOOKUP(J563,'[63]ТР нефть'!$J$28:$BP$638,43,0)</f>
        <v>1360</v>
      </c>
      <c r="BA563" s="115" t="str">
        <f>VLOOKUP(J563,'[63]ТР нефть'!$J$28:$BP$638,44,0)</f>
        <v>ГК 80 1/8</v>
      </c>
      <c r="BB563" s="115">
        <f>VLOOKUP(J563,'[63]ТР нефть'!$J$28:$BP$638,45,0)</f>
        <v>1790</v>
      </c>
      <c r="BC563" s="115" t="str">
        <f>VLOOKUP(J563,'[63]ТР нефть'!$J$28:$BP$638,46,0)</f>
        <v>ГК 80 5/32</v>
      </c>
      <c r="BD563" s="115">
        <f>VLOOKUP(J563,'[63]ТР нефть'!$J$28:$BP$638,47,0)</f>
        <v>2140</v>
      </c>
      <c r="BE563" s="115" t="str">
        <f>VLOOKUP(J563,'[63]ТР нефть'!$J$28:$BP$638,48,0)</f>
        <v>ЦКсОК 5/16</v>
      </c>
      <c r="BF563" s="115" t="str">
        <f>VLOOKUP(J563,'[63]ТР нефть'!$J$28:$BP$638,49,0)</f>
        <v>-</v>
      </c>
      <c r="BG563" s="115" t="str">
        <f>VLOOKUP(J563,'[63]ТР нефть'!$J$28:$BP$638,50,0)</f>
        <v>-</v>
      </c>
      <c r="BH563" s="115" t="str">
        <f>VLOOKUP(J563,'[63]ТР нефть'!$J$28:$BP$638,51,0)</f>
        <v>-</v>
      </c>
      <c r="BI563" s="115" t="str">
        <f>VLOOKUP(J563,'[63]ТР нефть'!$J$28:$BP$638,52,0)</f>
        <v>-</v>
      </c>
      <c r="BJ563" s="115" t="str">
        <f>IF(IFERROR(VLOOKUP(J563,'[63]ТР нефть'!$J$28:$BP$638,53,0),"-")=0,"-",IFERROR(VLOOKUP(J563,'[63]ТР нефть'!$J$28:$BP$638,53,0),"-"))</f>
        <v>-</v>
      </c>
      <c r="BK563" s="138" t="str">
        <f>IF(IFERROR(VLOOKUP(J563,'[63]ТР нефть'!$J$28:$BP$638,54,0),"-")=0,"-",IFERROR(VLOOKUP(J563,'[63]ТР нефть'!$J$28:$BP$638,54,0),"-"))</f>
        <v>-</v>
      </c>
      <c r="BL563" s="138" t="str">
        <f>IF(IFERROR(VLOOKUP(J563,'[63]ТР нефть'!$J$28:$BP$638,55,0),"-")=0,"-",IFERROR(VLOOKUP(J563,'[63]ТР нефть'!$J$28:$BP$638,55,0),"-"))</f>
        <v>-</v>
      </c>
      <c r="BM563" s="138" t="str">
        <f>IF(IFERROR(VLOOKUP(J563,'[63]ТР нефть'!$J$28:$BP$638,56,0),"-")=0,"-",IFERROR(VLOOKUP(J563,'[63]ТР нефть'!$J$28:$BP$638,56,0),"-"))</f>
        <v>-</v>
      </c>
      <c r="BN563" s="138" t="str">
        <f>IF(IFERROR(VLOOKUP(J563,'[63]ТР нефть'!$J$28:$BP$638,57,0),"-")=0,"-",IFERROR(VLOOKUP(J563,'[63]ТР нефть'!$J$28:$BP$638,57,0),"-"))</f>
        <v>-</v>
      </c>
      <c r="BO563" s="115" t="str">
        <f>IF(IFERROR(VLOOKUP(J563,'[63]ТР нефть'!$J$28:$BP$638,58,0),"-")=0,"-",IFERROR(VLOOKUP(J563,'[63]ТР нефть'!$J$28:$BP$638,58,0),"-"))</f>
        <v>-</v>
      </c>
      <c r="BP563" s="115" t="str">
        <f>IF(IFERROR(VLOOKUP(J563,'[63]ТР нефть'!$J$28:$BP$638,59,0),"-")=0,"-",IFERROR(VLOOKUP(J563,'[63]ТР нефть'!$J$28:$BP$638,59,0),"-"))</f>
        <v>-</v>
      </c>
      <c r="BQ563" s="138">
        <v>2520</v>
      </c>
      <c r="BR563" s="128">
        <v>1854.6416316639741</v>
      </c>
      <c r="BS563" s="115">
        <f t="shared" si="437"/>
        <v>665.35836833602593</v>
      </c>
      <c r="BT563" s="128">
        <v>73</v>
      </c>
      <c r="BU563" s="128">
        <v>5.5</v>
      </c>
      <c r="BV563" s="127">
        <v>18</v>
      </c>
      <c r="BW563" s="127" t="s">
        <v>217</v>
      </c>
      <c r="BX563" s="127" t="s">
        <v>195</v>
      </c>
      <c r="BY563" s="139">
        <v>24</v>
      </c>
      <c r="BZ563" s="139">
        <v>0</v>
      </c>
      <c r="CA563" s="80">
        <v>25</v>
      </c>
      <c r="CB563" s="138">
        <v>69</v>
      </c>
      <c r="CC563" s="138">
        <v>24</v>
      </c>
      <c r="CD563" s="135">
        <v>45017</v>
      </c>
      <c r="CE563" s="138">
        <v>113</v>
      </c>
      <c r="CF563" s="138"/>
      <c r="CG563" s="138" t="str">
        <f t="shared" si="458"/>
        <v/>
      </c>
      <c r="CH563" s="138" t="s">
        <v>197</v>
      </c>
      <c r="CI563" s="127"/>
      <c r="CJ563" s="138"/>
      <c r="CK563" s="138"/>
      <c r="CL563" s="99"/>
      <c r="CM563" s="127"/>
      <c r="CN563" s="154">
        <v>51</v>
      </c>
      <c r="CO563" s="159">
        <f t="shared" si="442"/>
        <v>14.0448</v>
      </c>
      <c r="CP563" s="142">
        <v>16.8</v>
      </c>
      <c r="CQ563" s="119">
        <v>0</v>
      </c>
      <c r="CR563" s="1050">
        <v>19</v>
      </c>
      <c r="CS563" s="139"/>
      <c r="CT563" s="138"/>
      <c r="CU563" s="138">
        <f t="shared" si="465"/>
        <v>19</v>
      </c>
      <c r="CV563" s="115">
        <f t="shared" si="466"/>
        <v>1352.8138528138527</v>
      </c>
      <c r="CW563" s="115" t="str">
        <f t="shared" si="443"/>
        <v/>
      </c>
      <c r="CX563" s="133">
        <f t="shared" si="467"/>
        <v>0.2709677419354839</v>
      </c>
      <c r="CY563" s="116"/>
      <c r="CZ563" s="131"/>
      <c r="DA563" s="145" t="str">
        <f t="shared" si="444"/>
        <v>Фон.</v>
      </c>
      <c r="DB563" s="146">
        <f t="shared" si="468"/>
        <v>14.0448</v>
      </c>
      <c r="DC563" s="142">
        <f t="shared" si="469"/>
        <v>16.8</v>
      </c>
      <c r="DD563" s="119">
        <f t="shared" si="470"/>
        <v>0</v>
      </c>
      <c r="DE563" s="115">
        <f t="shared" si="471"/>
        <v>19</v>
      </c>
      <c r="DF563" s="121">
        <f t="shared" si="472"/>
        <v>0</v>
      </c>
      <c r="DG563" s="115">
        <f t="shared" si="446"/>
        <v>1352.8138528138527</v>
      </c>
      <c r="DH563" s="115">
        <f t="shared" si="447"/>
        <v>51</v>
      </c>
      <c r="DI563" s="147"/>
      <c r="DJ563" s="111"/>
      <c r="DK563" s="112">
        <v>44263</v>
      </c>
      <c r="DL563" s="113">
        <f t="shared" ca="1" si="424"/>
        <v>841</v>
      </c>
      <c r="DM563" s="114"/>
      <c r="DN563" s="114"/>
      <c r="DO563" s="114"/>
      <c r="DP563" s="114"/>
      <c r="DQ563" s="112"/>
      <c r="DR563" s="114"/>
      <c r="DS563" s="114"/>
      <c r="DT563" s="115">
        <v>60</v>
      </c>
      <c r="DU563" s="116">
        <f t="shared" si="425"/>
        <v>0.31698113207547174</v>
      </c>
      <c r="DV563" s="117">
        <f t="shared" si="428"/>
        <v>14.0448</v>
      </c>
      <c r="DW563" s="118">
        <f t="shared" si="429"/>
        <v>16.8</v>
      </c>
      <c r="DX563" s="119">
        <f t="shared" si="430"/>
        <v>0</v>
      </c>
      <c r="DY563" s="115">
        <f t="shared" si="431"/>
        <v>19</v>
      </c>
      <c r="DZ563" s="117">
        <f t="shared" si="440"/>
        <v>0</v>
      </c>
      <c r="EA563" s="120">
        <f t="shared" si="440"/>
        <v>0</v>
      </c>
      <c r="EB563" s="119">
        <f t="shared" si="440"/>
        <v>0</v>
      </c>
      <c r="EC563" s="121">
        <f t="shared" si="464"/>
        <v>0</v>
      </c>
      <c r="ED563" s="122"/>
      <c r="EE563" s="145">
        <v>18</v>
      </c>
      <c r="EF563" s="148">
        <v>25</v>
      </c>
      <c r="EG563" s="115">
        <v>67</v>
      </c>
      <c r="EH563" s="115">
        <v>25</v>
      </c>
      <c r="EI563" s="128" t="s">
        <v>195</v>
      </c>
      <c r="EJ563" s="121">
        <v>24</v>
      </c>
      <c r="EK563" s="121">
        <v>0</v>
      </c>
      <c r="EL563" s="162">
        <v>14.0448</v>
      </c>
      <c r="EM563" s="142">
        <v>16.8</v>
      </c>
      <c r="EN563" s="119">
        <v>0</v>
      </c>
      <c r="EO563" s="115">
        <v>19</v>
      </c>
      <c r="EP563" s="115">
        <v>1352.8138528138527</v>
      </c>
      <c r="EQ563" s="115">
        <v>0</v>
      </c>
      <c r="ER563" s="115">
        <v>0</v>
      </c>
      <c r="ES563" s="115">
        <v>51</v>
      </c>
      <c r="ET563" s="150">
        <v>0.2709677419354839</v>
      </c>
      <c r="EU563" s="145">
        <f t="shared" si="457"/>
        <v>18</v>
      </c>
      <c r="EV563" s="115">
        <f t="shared" si="448"/>
        <v>25</v>
      </c>
      <c r="EW563" s="115">
        <f t="shared" si="448"/>
        <v>69</v>
      </c>
      <c r="EX563" s="115">
        <f t="shared" si="448"/>
        <v>24</v>
      </c>
      <c r="EY563" s="115" t="str">
        <f t="shared" si="434"/>
        <v>Постоянный</v>
      </c>
      <c r="EZ563" s="115">
        <f t="shared" si="434"/>
        <v>24</v>
      </c>
      <c r="FA563" s="115">
        <f t="shared" si="434"/>
        <v>0</v>
      </c>
      <c r="FB563" s="149">
        <f t="shared" si="461"/>
        <v>14.0448</v>
      </c>
      <c r="FC563" s="142">
        <f t="shared" si="461"/>
        <v>16.8</v>
      </c>
      <c r="FD563" s="119">
        <f t="shared" si="461"/>
        <v>0</v>
      </c>
      <c r="FE563" s="121">
        <f t="shared" si="460"/>
        <v>19</v>
      </c>
      <c r="FF563" s="121">
        <f t="shared" si="462"/>
        <v>1352.8138528138527</v>
      </c>
      <c r="FG563" s="121">
        <f t="shared" si="449"/>
        <v>0</v>
      </c>
      <c r="FH563" s="121">
        <f t="shared" si="436"/>
        <v>0</v>
      </c>
      <c r="FI563" s="121">
        <f t="shared" si="427"/>
        <v>51</v>
      </c>
      <c r="FJ563" s="144">
        <f t="shared" si="450"/>
        <v>0.2709677419354839</v>
      </c>
      <c r="FK563" s="132">
        <f t="shared" si="451"/>
        <v>0</v>
      </c>
      <c r="FL563" s="115">
        <f t="shared" si="451"/>
        <v>0</v>
      </c>
      <c r="FM563" s="115">
        <f t="shared" si="451"/>
        <v>2</v>
      </c>
      <c r="FN563" s="115">
        <f t="shared" si="451"/>
        <v>-1</v>
      </c>
      <c r="FO563" s="115">
        <f t="shared" si="439"/>
        <v>0</v>
      </c>
      <c r="FP563" s="115">
        <f t="shared" si="439"/>
        <v>0</v>
      </c>
      <c r="FQ563" s="149">
        <f t="shared" si="439"/>
        <v>0</v>
      </c>
      <c r="FR563" s="142">
        <f t="shared" si="439"/>
        <v>0</v>
      </c>
      <c r="FS563" s="119">
        <f t="shared" si="439"/>
        <v>0</v>
      </c>
      <c r="FT563" s="121">
        <f t="shared" si="438"/>
        <v>0</v>
      </c>
      <c r="FU563" s="121">
        <f t="shared" si="452"/>
        <v>0</v>
      </c>
      <c r="FV563" s="121">
        <f t="shared" si="452"/>
        <v>0</v>
      </c>
      <c r="FW563" s="121">
        <f t="shared" si="453"/>
        <v>0</v>
      </c>
      <c r="FX563" s="121">
        <f>CN563-ES563</f>
        <v>0</v>
      </c>
      <c r="FY563" s="144">
        <f t="shared" si="454"/>
        <v>0</v>
      </c>
      <c r="FZ563" s="145"/>
      <c r="GA563" s="151"/>
      <c r="GB563" s="145"/>
      <c r="GC563" s="151"/>
      <c r="GD563" s="997" t="s">
        <v>416</v>
      </c>
      <c r="GE563" s="1004"/>
      <c r="GF563" s="1004">
        <v>0</v>
      </c>
      <c r="GG563" s="1004"/>
      <c r="GH563" s="1004">
        <v>0</v>
      </c>
      <c r="GI563" s="145"/>
      <c r="GJ563" s="996">
        <v>-0.16719999999999935</v>
      </c>
      <c r="GK563" s="145"/>
      <c r="GL563" s="996">
        <v>-0.41799999999999926</v>
      </c>
      <c r="GM563" s="1005"/>
      <c r="GN563" s="996">
        <v>-8.3600000000002339E-2</v>
      </c>
      <c r="GO563" s="1006"/>
      <c r="GP563" s="996">
        <v>-0.25079999999999636</v>
      </c>
      <c r="GQ563" s="1006"/>
      <c r="GR563" s="996">
        <v>-0.75240000000000151</v>
      </c>
      <c r="GS563" s="1006"/>
      <c r="GT563" s="996">
        <v>0</v>
      </c>
      <c r="GU563" s="1006"/>
      <c r="GV563" s="996">
        <v>0</v>
      </c>
      <c r="GW563" s="1006"/>
      <c r="GX563" s="996">
        <v>0</v>
      </c>
      <c r="GY563" s="1006"/>
      <c r="GZ563" s="996">
        <v>-0.88616000000000028</v>
      </c>
      <c r="HA563" s="1006"/>
      <c r="HB563" s="996">
        <v>-0.57684000000000069</v>
      </c>
      <c r="HC563" s="1006"/>
      <c r="HD563" s="996">
        <v>0.12540000000000262</v>
      </c>
      <c r="HE563" s="1006"/>
      <c r="HF563" s="996">
        <v>-0.91960000000000264</v>
      </c>
      <c r="HG563" s="1006"/>
      <c r="HH563" s="996">
        <v>1.0366399999999985</v>
      </c>
      <c r="HI563" s="1006" t="s">
        <v>204</v>
      </c>
      <c r="HJ563" s="996">
        <v>-1.4546399999999977</v>
      </c>
      <c r="HK563" s="1006"/>
      <c r="HL563" s="996">
        <v>0</v>
      </c>
      <c r="HM563" s="1006"/>
      <c r="HN563" s="996">
        <v>-3.3439999999998804E-2</v>
      </c>
      <c r="HO563" s="1006"/>
      <c r="HP563" s="996">
        <v>-0.69388000000000005</v>
      </c>
      <c r="HQ563" s="1006"/>
      <c r="HR563" s="996">
        <v>0.41799999999999926</v>
      </c>
      <c r="HS563" s="1006" t="s">
        <v>199</v>
      </c>
      <c r="HT563" s="996">
        <v>-4.1214800000000018</v>
      </c>
      <c r="HU563" s="1006"/>
      <c r="HV563" s="996">
        <v>0</v>
      </c>
      <c r="HW563" s="1006" t="s">
        <v>203</v>
      </c>
      <c r="HX563" s="996">
        <v>-4.3471999999999973</v>
      </c>
      <c r="HY563" s="1006"/>
      <c r="HZ563" s="996">
        <v>0</v>
      </c>
      <c r="IA563" s="1006" t="s">
        <v>203</v>
      </c>
      <c r="IB563" s="996">
        <v>-5.6513600000000004</v>
      </c>
      <c r="IC563" s="1006"/>
      <c r="ID563" s="996">
        <v>0.79083359519999874</v>
      </c>
      <c r="IE563" s="1006" t="s">
        <v>25</v>
      </c>
      <c r="IF563" s="996">
        <v>32.0305264048</v>
      </c>
      <c r="IG563" s="1006"/>
      <c r="IH563" s="996"/>
      <c r="II563" s="1006"/>
      <c r="IJ563" s="996"/>
      <c r="IK563" s="1006"/>
      <c r="IL563" s="996"/>
      <c r="IM563" s="1006"/>
      <c r="IN563" s="996"/>
      <c r="IO563" s="1006"/>
      <c r="IP563" s="996"/>
      <c r="IQ563" s="1006"/>
      <c r="IR563" s="996"/>
      <c r="IS563" s="1006"/>
      <c r="IT563" s="996"/>
      <c r="IU563" s="1006"/>
      <c r="IV563" s="996"/>
      <c r="IW563" s="1006"/>
      <c r="IX563" s="996"/>
      <c r="IY563" s="1006"/>
      <c r="IZ563" s="996"/>
      <c r="JA563" s="1006"/>
      <c r="JB563" s="996"/>
      <c r="JC563" s="1006"/>
      <c r="JD563" s="996"/>
      <c r="JE563" s="1006"/>
      <c r="JF563" s="996"/>
      <c r="JG563" s="1006"/>
      <c r="JH563" s="996"/>
      <c r="JI563" s="1006"/>
      <c r="JJ563" s="996"/>
      <c r="JK563" s="1007"/>
      <c r="JL563" s="1007"/>
      <c r="JM563" s="1007"/>
      <c r="JN563" s="1007"/>
      <c r="JO563" s="1008"/>
      <c r="JP563" s="1007"/>
      <c r="JQ563" s="1008"/>
      <c r="JR563" s="1007"/>
      <c r="JS563" s="1008"/>
      <c r="JT563" s="1007"/>
      <c r="JU563" s="1008"/>
      <c r="JV563" s="1007"/>
      <c r="JW563" s="1008"/>
      <c r="JX563" s="1007"/>
      <c r="JY563" s="1008"/>
      <c r="JZ563" s="1007"/>
      <c r="KA563" s="1008"/>
      <c r="KB563" s="1007"/>
      <c r="KC563" s="1008"/>
      <c r="KD563" s="1007"/>
      <c r="KE563" s="1008"/>
      <c r="KF563" s="1007"/>
      <c r="KG563" s="1008"/>
      <c r="KH563" s="1007"/>
      <c r="KI563" s="1008"/>
      <c r="KJ563" s="1007"/>
      <c r="KK563" s="1008"/>
      <c r="KL563" s="1007"/>
      <c r="KM563" s="1008"/>
      <c r="KN563" s="1007"/>
      <c r="KO563" s="1008"/>
      <c r="KP563" s="1007"/>
      <c r="KQ563" s="1008"/>
      <c r="KR563" s="1007"/>
      <c r="KS563" s="1008"/>
      <c r="KT563" s="1007"/>
      <c r="KU563" s="1008"/>
      <c r="KV563" s="1007"/>
      <c r="KW563" s="1008"/>
      <c r="KX563" s="1007"/>
      <c r="KY563" s="1008"/>
      <c r="KZ563" s="1007"/>
      <c r="LA563" s="1008"/>
      <c r="LB563" s="1007"/>
      <c r="LC563" s="1008"/>
      <c r="LD563" s="1007"/>
      <c r="LE563" s="1008"/>
      <c r="LF563" s="1007"/>
      <c r="LG563" s="1008"/>
      <c r="LH563" s="1007"/>
      <c r="LI563" s="1008"/>
      <c r="LJ563" s="1007"/>
      <c r="LK563" s="1008"/>
      <c r="LL563" s="1007"/>
      <c r="LM563" s="1008"/>
      <c r="LN563" s="1007"/>
      <c r="LO563" s="1008"/>
      <c r="LP563" s="1007"/>
      <c r="LQ563" s="1008"/>
      <c r="LR563" s="1007"/>
      <c r="LS563" s="1008"/>
      <c r="LT563" s="1007"/>
      <c r="LU563" s="1008"/>
      <c r="LV563" s="1007"/>
      <c r="LW563" s="1008"/>
      <c r="LX563" s="1007"/>
      <c r="LY563" s="1009"/>
      <c r="LZ563" s="1010"/>
      <c r="MA563" s="1011"/>
      <c r="MB563" s="1012"/>
      <c r="MC563" s="995"/>
      <c r="MD563" s="996"/>
      <c r="ME563" s="997" t="s">
        <v>416</v>
      </c>
      <c r="MF563" s="997"/>
      <c r="MG563" s="998"/>
      <c r="NR563" s="1000"/>
      <c r="NS563" s="1000"/>
      <c r="NT563" s="1001"/>
      <c r="NU563" s="1000"/>
      <c r="NV563" s="1001"/>
      <c r="NX563" s="1002"/>
      <c r="NZ563" s="1001"/>
      <c r="OA563" s="1001"/>
      <c r="OC563" s="1003"/>
      <c r="OD563" s="1003"/>
      <c r="OE563" s="1001"/>
      <c r="OF563" s="1003"/>
      <c r="OG563" s="1003"/>
      <c r="QX563" s="1000">
        <f>CN563-CA563</f>
        <v>26</v>
      </c>
      <c r="ASU563" s="999" t="s">
        <v>208</v>
      </c>
    </row>
    <row r="564" spans="1:466 1191:1191" ht="21" customHeight="1" x14ac:dyDescent="0.25">
      <c r="A564" s="982">
        <f t="shared" si="441"/>
        <v>1293</v>
      </c>
      <c r="B564" s="124">
        <f>SUBTOTAL(103,$J$29:J564)</f>
        <v>536</v>
      </c>
      <c r="C564" s="126">
        <v>45068</v>
      </c>
      <c r="D564" s="124" t="s">
        <v>176</v>
      </c>
      <c r="E564" s="127" t="s">
        <v>177</v>
      </c>
      <c r="F564" s="128" t="s">
        <v>177</v>
      </c>
      <c r="G564" s="127" t="s">
        <v>178</v>
      </c>
      <c r="H564" s="127" t="s">
        <v>179</v>
      </c>
      <c r="I564" s="127" t="s">
        <v>1308</v>
      </c>
      <c r="J564" s="152">
        <v>1293</v>
      </c>
      <c r="K564" s="127" t="s">
        <v>1308</v>
      </c>
      <c r="L564" s="130">
        <v>42054</v>
      </c>
      <c r="M564" s="127" t="s">
        <v>230</v>
      </c>
      <c r="N564" s="127" t="s">
        <v>184</v>
      </c>
      <c r="O564" s="127" t="s">
        <v>185</v>
      </c>
      <c r="P564" s="127" t="s">
        <v>186</v>
      </c>
      <c r="Q564" s="85" t="str">
        <f t="shared" si="423"/>
        <v/>
      </c>
      <c r="R564" s="130"/>
      <c r="S564" s="128"/>
      <c r="T564" s="131"/>
      <c r="U564" s="132">
        <v>203</v>
      </c>
      <c r="V564" s="121">
        <v>218.2</v>
      </c>
      <c r="W564" s="116">
        <v>0.98</v>
      </c>
      <c r="X564" s="116">
        <v>1.66</v>
      </c>
      <c r="Y564" s="116">
        <f t="shared" si="463"/>
        <v>1.1720461095100865</v>
      </c>
      <c r="Z564" s="133">
        <v>1.454</v>
      </c>
      <c r="AA564" s="133">
        <v>0.83599999999999997</v>
      </c>
      <c r="AB564" s="133">
        <v>0.72</v>
      </c>
      <c r="AC564" s="121">
        <v>34.299999999999997</v>
      </c>
      <c r="AD564" s="134">
        <v>1.17</v>
      </c>
      <c r="AE564" s="124">
        <v>177.8</v>
      </c>
      <c r="AF564" s="128">
        <v>9.19</v>
      </c>
      <c r="AG564" s="128">
        <v>2059</v>
      </c>
      <c r="AH564" s="127">
        <v>2793</v>
      </c>
      <c r="AI564" s="127">
        <v>2793</v>
      </c>
      <c r="AJ564" s="135"/>
      <c r="AK564" s="128"/>
      <c r="AL564" s="131"/>
      <c r="AM564" s="124" t="s">
        <v>232</v>
      </c>
      <c r="AN564" s="136" t="s">
        <v>1951</v>
      </c>
      <c r="AO564" s="137">
        <v>25.170000000000073</v>
      </c>
      <c r="AP564" s="128">
        <v>2059</v>
      </c>
      <c r="AQ564" s="128">
        <v>168.1</v>
      </c>
      <c r="AR564" s="128"/>
      <c r="AS564" s="128"/>
      <c r="AT564" s="122"/>
      <c r="AU564" s="124" t="s">
        <v>189</v>
      </c>
      <c r="AV564" s="115">
        <f>VLOOKUP(J564,'[63]ТР нефть'!$J$28:$BP$638,39,0)</f>
        <v>449.999992969</v>
      </c>
      <c r="AW564" s="115" t="str">
        <f>VLOOKUP(J564,'[63]ТР нефть'!$J$28:$BP$638,40,0)</f>
        <v>ГК 73 1/8</v>
      </c>
      <c r="AX564" s="115">
        <f>VLOOKUP(J564,'[63]ТР нефть'!$J$28:$BP$638,41,0)</f>
        <v>899.99998593800001</v>
      </c>
      <c r="AY564" s="115" t="str">
        <f>VLOOKUP(J564,'[63]ТР нефть'!$J$28:$BP$638,42,0)</f>
        <v>ГК 73 1/8</v>
      </c>
      <c r="AZ564" s="115">
        <f>VLOOKUP(J564,'[63]ТР нефть'!$J$28:$BP$638,43,0)</f>
        <v>1199.99998125</v>
      </c>
      <c r="BA564" s="115" t="str">
        <f>VLOOKUP(J564,'[63]ТР нефть'!$J$28:$BP$638,44,0)</f>
        <v>ГК 73 1/8</v>
      </c>
      <c r="BB564" s="115">
        <f>VLOOKUP(J564,'[63]ТР нефть'!$J$28:$BP$638,45,0)</f>
        <v>1449.9999773439999</v>
      </c>
      <c r="BC564" s="115" t="str">
        <f>VLOOKUP(J564,'[63]ТР нефть'!$J$28:$BP$638,46,0)</f>
        <v>ГК 73 1/8</v>
      </c>
      <c r="BD564" s="115">
        <f>VLOOKUP(J564,'[63]ТР нефть'!$J$28:$BP$638,47,0)</f>
        <v>1749.999972656</v>
      </c>
      <c r="BE564" s="115" t="str">
        <f>VLOOKUP(J564,'[63]ТР нефть'!$J$28:$BP$638,48,0)</f>
        <v>ЦКсОК 5/16</v>
      </c>
      <c r="BF564" s="115" t="str">
        <f>VLOOKUP(J564,'[63]ТР нефть'!$J$28:$BP$638,49,0)</f>
        <v>-</v>
      </c>
      <c r="BG564" s="115" t="str">
        <f>VLOOKUP(J564,'[63]ТР нефть'!$J$28:$BP$638,50,0)</f>
        <v>-</v>
      </c>
      <c r="BH564" s="115" t="str">
        <f>VLOOKUP(J564,'[63]ТР нефть'!$J$28:$BP$638,51,0)</f>
        <v>-</v>
      </c>
      <c r="BI564" s="115" t="str">
        <f>VLOOKUP(J564,'[63]ТР нефть'!$J$28:$BP$638,52,0)</f>
        <v>-</v>
      </c>
      <c r="BJ564" s="115" t="str">
        <f>IF(IFERROR(VLOOKUP(J564,'[63]ТР нефть'!$J$28:$BP$638,53,0),"-")=0,"-",IFERROR(VLOOKUP(J564,'[63]ТР нефть'!$J$28:$BP$638,53,0),"-"))</f>
        <v>-</v>
      </c>
      <c r="BK564" s="138" t="str">
        <f>IF(IFERROR(VLOOKUP(J564,'[63]ТР нефть'!$J$28:$BP$638,54,0),"-")=0,"-",IFERROR(VLOOKUP(J564,'[63]ТР нефть'!$J$28:$BP$638,54,0),"-"))</f>
        <v>-</v>
      </c>
      <c r="BL564" s="138" t="str">
        <f>IF(IFERROR(VLOOKUP(J564,'[63]ТР нефть'!$J$28:$BP$638,55,0),"-")=0,"-",IFERROR(VLOOKUP(J564,'[63]ТР нефть'!$J$28:$BP$638,55,0),"-"))</f>
        <v>-</v>
      </c>
      <c r="BM564" s="138" t="str">
        <f>IF(IFERROR(VLOOKUP(J564,'[63]ТР нефть'!$J$28:$BP$638,56,0),"-")=0,"-",IFERROR(VLOOKUP(J564,'[63]ТР нефть'!$J$28:$BP$638,56,0),"-"))</f>
        <v>-</v>
      </c>
      <c r="BN564" s="138" t="str">
        <f>IF(IFERROR(VLOOKUP(J564,'[63]ТР нефть'!$J$28:$BP$638,57,0),"-")=0,"-",IFERROR(VLOOKUP(J564,'[63]ТР нефть'!$J$28:$BP$638,57,0),"-"))</f>
        <v>-</v>
      </c>
      <c r="BO564" s="115" t="str">
        <f>IF(IFERROR(VLOOKUP(J564,'[63]ТР нефть'!$J$28:$BP$638,58,0),"-")=0,"-",IFERROR(VLOOKUP(J564,'[63]ТР нефть'!$J$28:$BP$638,58,0),"-"))</f>
        <v>-</v>
      </c>
      <c r="BP564" s="115" t="str">
        <f>IF(IFERROR(VLOOKUP(J564,'[63]ТР нефть'!$J$28:$BP$638,59,0),"-")=0,"-",IFERROR(VLOOKUP(J564,'[63]ТР нефть'!$J$28:$BP$638,59,0),"-"))</f>
        <v>-</v>
      </c>
      <c r="BQ564" s="138">
        <v>2070</v>
      </c>
      <c r="BR564" s="128">
        <v>1894.95</v>
      </c>
      <c r="BS564" s="115">
        <f t="shared" si="437"/>
        <v>175.04999999999995</v>
      </c>
      <c r="BT564" s="128">
        <v>73</v>
      </c>
      <c r="BU564" s="128">
        <v>5.5</v>
      </c>
      <c r="BV564" s="127">
        <v>18</v>
      </c>
      <c r="BW564" s="127" t="s">
        <v>194</v>
      </c>
      <c r="BX564" s="127" t="s">
        <v>195</v>
      </c>
      <c r="BY564" s="139">
        <v>24</v>
      </c>
      <c r="BZ564" s="139">
        <v>0</v>
      </c>
      <c r="CA564" s="80">
        <v>25</v>
      </c>
      <c r="CB564" s="138">
        <v>49</v>
      </c>
      <c r="CC564" s="138">
        <v>24</v>
      </c>
      <c r="CD564" s="135">
        <v>45017</v>
      </c>
      <c r="CE564" s="138">
        <v>88</v>
      </c>
      <c r="CF564" s="138">
        <v>71</v>
      </c>
      <c r="CG564" s="138" t="str">
        <f t="shared" si="458"/>
        <v>В работе</v>
      </c>
      <c r="CH564" s="138" t="s">
        <v>196</v>
      </c>
      <c r="CI564" s="127">
        <v>5</v>
      </c>
      <c r="CJ564" s="138"/>
      <c r="CK564" s="138">
        <f t="shared" si="432"/>
        <v>37</v>
      </c>
      <c r="CL564" s="99"/>
      <c r="CM564" s="99"/>
      <c r="CN564" s="140">
        <v>62</v>
      </c>
      <c r="CO564" s="141">
        <f t="shared" si="442"/>
        <v>5.367119999999999</v>
      </c>
      <c r="CP564" s="142">
        <v>10.7</v>
      </c>
      <c r="CQ564" s="143">
        <v>40</v>
      </c>
      <c r="CR564" s="138">
        <v>13</v>
      </c>
      <c r="CS564" s="139">
        <v>8.75</v>
      </c>
      <c r="CT564" s="138"/>
      <c r="CU564" s="138">
        <f t="shared" si="465"/>
        <v>4.25</v>
      </c>
      <c r="CV564" s="115">
        <f t="shared" si="466"/>
        <v>791.85857592153718</v>
      </c>
      <c r="CW564" s="115">
        <f t="shared" si="443"/>
        <v>847.5922567846128</v>
      </c>
      <c r="CX564" s="133">
        <f t="shared" si="467"/>
        <v>0.41153846153846152</v>
      </c>
      <c r="CY564" s="116"/>
      <c r="CZ564" s="131"/>
      <c r="DA564" s="145" t="str">
        <f t="shared" si="444"/>
        <v>Газлифт</v>
      </c>
      <c r="DB564" s="146">
        <f t="shared" si="468"/>
        <v>5.367119999999999</v>
      </c>
      <c r="DC564" s="142">
        <f t="shared" si="469"/>
        <v>10.7</v>
      </c>
      <c r="DD564" s="119">
        <f t="shared" si="470"/>
        <v>40</v>
      </c>
      <c r="DE564" s="115">
        <f t="shared" si="471"/>
        <v>4.25</v>
      </c>
      <c r="DF564" s="121">
        <f t="shared" si="472"/>
        <v>8.75</v>
      </c>
      <c r="DG564" s="115">
        <f t="shared" si="446"/>
        <v>791.85857592153718</v>
      </c>
      <c r="DH564" s="115">
        <f t="shared" si="447"/>
        <v>62</v>
      </c>
      <c r="DI564" s="147"/>
      <c r="DJ564" s="111">
        <v>43658</v>
      </c>
      <c r="DK564" s="112">
        <v>42824</v>
      </c>
      <c r="DL564" s="113">
        <f t="shared" ca="1" si="424"/>
        <v>2280</v>
      </c>
      <c r="DM564" s="114"/>
      <c r="DN564" s="114"/>
      <c r="DO564" s="114"/>
      <c r="DP564" s="114"/>
      <c r="DQ564" s="112">
        <v>41939</v>
      </c>
      <c r="DR564" s="114" t="s">
        <v>324</v>
      </c>
      <c r="DS564" s="114"/>
      <c r="DT564" s="115">
        <v>51</v>
      </c>
      <c r="DU564" s="116">
        <f t="shared" si="425"/>
        <v>0.38521914132379248</v>
      </c>
      <c r="DV564" s="117">
        <f t="shared" si="428"/>
        <v>7.1493590876565287</v>
      </c>
      <c r="DW564" s="118">
        <f t="shared" si="429"/>
        <v>14.253108228980322</v>
      </c>
      <c r="DX564" s="119">
        <f t="shared" si="430"/>
        <v>40</v>
      </c>
      <c r="DY564" s="115">
        <f t="shared" si="431"/>
        <v>5.6612813059033984</v>
      </c>
      <c r="DZ564" s="117">
        <f t="shared" si="440"/>
        <v>1.7822390876565297</v>
      </c>
      <c r="EA564" s="120">
        <f t="shared" si="440"/>
        <v>3.5531082289803226</v>
      </c>
      <c r="EB564" s="119">
        <f t="shared" si="440"/>
        <v>0</v>
      </c>
      <c r="EC564" s="121">
        <f t="shared" si="464"/>
        <v>1.4112813059033984</v>
      </c>
      <c r="ED564" s="122"/>
      <c r="EE564" s="145">
        <v>18</v>
      </c>
      <c r="EF564" s="148">
        <v>24</v>
      </c>
      <c r="EG564" s="115">
        <v>57</v>
      </c>
      <c r="EH564" s="115">
        <v>23</v>
      </c>
      <c r="EI564" s="128" t="s">
        <v>195</v>
      </c>
      <c r="EJ564" s="121">
        <v>24</v>
      </c>
      <c r="EK564" s="121">
        <v>0</v>
      </c>
      <c r="EL564" s="149">
        <v>6.3</v>
      </c>
      <c r="EM564" s="142">
        <v>7.6</v>
      </c>
      <c r="EN564" s="119">
        <v>1.1399999999999999</v>
      </c>
      <c r="EO564" s="115">
        <v>16.7</v>
      </c>
      <c r="EP564" s="115">
        <f>(EO564-ER564)*1000/EL564</f>
        <v>587.30158730158712</v>
      </c>
      <c r="EQ564" s="115">
        <v>74</v>
      </c>
      <c r="ER564" s="115">
        <v>13</v>
      </c>
      <c r="ES564" s="115">
        <v>82</v>
      </c>
      <c r="ET564" s="150">
        <v>0.23333333333333334</v>
      </c>
      <c r="EU564" s="145">
        <f t="shared" si="457"/>
        <v>18</v>
      </c>
      <c r="EV564" s="115">
        <f t="shared" si="448"/>
        <v>25</v>
      </c>
      <c r="EW564" s="115">
        <f t="shared" si="448"/>
        <v>49</v>
      </c>
      <c r="EX564" s="115">
        <f t="shared" si="448"/>
        <v>24</v>
      </c>
      <c r="EY564" s="115" t="str">
        <f t="shared" si="434"/>
        <v>Постоянный</v>
      </c>
      <c r="EZ564" s="115">
        <f t="shared" si="434"/>
        <v>24</v>
      </c>
      <c r="FA564" s="115">
        <f t="shared" si="434"/>
        <v>0</v>
      </c>
      <c r="FB564" s="149">
        <f t="shared" si="461"/>
        <v>5.367119999999999</v>
      </c>
      <c r="FC564" s="142">
        <f t="shared" si="461"/>
        <v>10.7</v>
      </c>
      <c r="FD564" s="119">
        <f t="shared" si="461"/>
        <v>40</v>
      </c>
      <c r="FE564" s="121">
        <f t="shared" si="460"/>
        <v>13</v>
      </c>
      <c r="FF564" s="121">
        <f t="shared" si="462"/>
        <v>791.85857592153718</v>
      </c>
      <c r="FG564" s="121">
        <f t="shared" si="449"/>
        <v>71</v>
      </c>
      <c r="FH564" s="121">
        <f t="shared" si="436"/>
        <v>8.75</v>
      </c>
      <c r="FI564" s="121">
        <f t="shared" si="427"/>
        <v>62</v>
      </c>
      <c r="FJ564" s="144">
        <f t="shared" si="450"/>
        <v>0.41153846153846152</v>
      </c>
      <c r="FK564" s="132">
        <f t="shared" si="451"/>
        <v>0</v>
      </c>
      <c r="FL564" s="115">
        <f t="shared" si="451"/>
        <v>1</v>
      </c>
      <c r="FM564" s="115">
        <f t="shared" si="451"/>
        <v>-8</v>
      </c>
      <c r="FN564" s="115">
        <f t="shared" si="451"/>
        <v>1</v>
      </c>
      <c r="FO564" s="115">
        <f t="shared" si="439"/>
        <v>0</v>
      </c>
      <c r="FP564" s="115">
        <f t="shared" si="439"/>
        <v>0</v>
      </c>
      <c r="FQ564" s="149">
        <f t="shared" si="439"/>
        <v>-0.93288000000000082</v>
      </c>
      <c r="FR564" s="142">
        <f t="shared" si="439"/>
        <v>3.0999999999999996</v>
      </c>
      <c r="FS564" s="119">
        <f t="shared" si="439"/>
        <v>38.86</v>
      </c>
      <c r="FT564" s="121">
        <f t="shared" si="438"/>
        <v>-3.6999999999999993</v>
      </c>
      <c r="FU564" s="121">
        <f t="shared" si="452"/>
        <v>-3</v>
      </c>
      <c r="FV564" s="121">
        <f t="shared" si="452"/>
        <v>-4.25</v>
      </c>
      <c r="FW564" s="121">
        <f t="shared" si="453"/>
        <v>204.55698861995006</v>
      </c>
      <c r="FX564" s="121">
        <f t="shared" si="454"/>
        <v>-20</v>
      </c>
      <c r="FY564" s="144">
        <f t="shared" si="454"/>
        <v>0.17820512820512818</v>
      </c>
      <c r="FZ564" s="145"/>
      <c r="GA564" s="151"/>
      <c r="GB564" s="145"/>
      <c r="GC564" s="151"/>
      <c r="GD564" s="997" t="s">
        <v>202</v>
      </c>
      <c r="GE564" s="1004"/>
      <c r="GF564" s="1004">
        <v>0</v>
      </c>
      <c r="GG564" s="1004"/>
      <c r="GH564" s="1004">
        <v>0</v>
      </c>
      <c r="GI564" s="145"/>
      <c r="GJ564" s="996">
        <v>0</v>
      </c>
      <c r="GK564" s="145"/>
      <c r="GL564" s="996">
        <v>0</v>
      </c>
      <c r="GM564" s="1005"/>
      <c r="GN564" s="996">
        <v>-0.3451676800000012</v>
      </c>
      <c r="GO564" s="1006" t="s">
        <v>199</v>
      </c>
      <c r="GP564" s="996">
        <v>1.3032236800000003</v>
      </c>
      <c r="GQ564" s="1006"/>
      <c r="GR564" s="996">
        <v>0.69240864000000002</v>
      </c>
      <c r="GS564" s="1006"/>
      <c r="GT564" s="996">
        <v>0</v>
      </c>
      <c r="GU564" s="1006" t="s">
        <v>199</v>
      </c>
      <c r="GV564" s="996">
        <v>-3.0378902400000003</v>
      </c>
      <c r="GW564" s="1006"/>
      <c r="GX564" s="1035">
        <v>-7.2230399999998696E-2</v>
      </c>
      <c r="GY564" s="1006"/>
      <c r="GZ564" s="996">
        <v>-0.50561279999999975</v>
      </c>
      <c r="HA564" s="1006" t="s">
        <v>204</v>
      </c>
      <c r="HB564" s="996">
        <v>1.3884287999999989</v>
      </c>
      <c r="HC564" s="1006"/>
      <c r="HD564" s="996">
        <v>0</v>
      </c>
      <c r="HE564" s="1006" t="s">
        <v>204</v>
      </c>
      <c r="HF564" s="996">
        <v>1.9450041599999999</v>
      </c>
      <c r="HG564" s="1006" t="s">
        <v>199</v>
      </c>
      <c r="HH564" s="996">
        <v>-3.3009961599999995</v>
      </c>
      <c r="HI564" s="1006"/>
      <c r="HJ564" s="996">
        <v>-0.14880799999999894</v>
      </c>
      <c r="HK564" s="1006"/>
      <c r="HL564" s="996">
        <v>0.10031999999999819</v>
      </c>
      <c r="HM564" s="1006" t="s">
        <v>203</v>
      </c>
      <c r="HN564" s="996">
        <v>-6.2205255199999971</v>
      </c>
      <c r="HO564" s="1006"/>
      <c r="HP564" s="996">
        <v>0.82626394399999903</v>
      </c>
      <c r="HQ564" s="1006"/>
      <c r="HR564" s="996">
        <v>0</v>
      </c>
      <c r="HS564" s="1006"/>
      <c r="HT564" s="996">
        <v>0</v>
      </c>
      <c r="HU564" s="1006" t="s">
        <v>349</v>
      </c>
      <c r="HV564" s="996">
        <v>-1.3137188240000004</v>
      </c>
      <c r="HW564" s="1006" t="s">
        <v>203</v>
      </c>
      <c r="HX564" s="996">
        <v>-3.8637412000000015</v>
      </c>
      <c r="HY564" s="1006" t="s">
        <v>25</v>
      </c>
      <c r="HZ564" s="996">
        <v>16.976735600000001</v>
      </c>
      <c r="IA564" s="1006"/>
      <c r="IB564" s="996">
        <v>0</v>
      </c>
      <c r="IC564" s="1006"/>
      <c r="ID564" s="996">
        <v>0</v>
      </c>
      <c r="IE564" s="1006"/>
      <c r="IF564" s="996">
        <v>0.17597800000000019</v>
      </c>
      <c r="IG564" s="1006"/>
      <c r="IH564" s="996">
        <v>-0.9480240000000002</v>
      </c>
      <c r="II564" s="1006"/>
      <c r="IJ564" s="996">
        <v>0.73735200000000001</v>
      </c>
      <c r="IK564" s="1006" t="s">
        <v>204</v>
      </c>
      <c r="IL564" s="996">
        <v>0.57349600000000001</v>
      </c>
      <c r="IM564" s="1006"/>
      <c r="IN564" s="996">
        <v>0</v>
      </c>
      <c r="IO564" s="1006"/>
      <c r="IP564" s="996">
        <v>0</v>
      </c>
      <c r="IQ564" s="1006"/>
      <c r="IR564" s="996">
        <v>4.8070000000000279E-2</v>
      </c>
      <c r="IS564" s="1006"/>
      <c r="IT564" s="996">
        <v>0</v>
      </c>
      <c r="IU564" s="1006"/>
      <c r="IV564" s="996">
        <v>0</v>
      </c>
      <c r="IW564" s="1006"/>
      <c r="IX564" s="996">
        <v>0</v>
      </c>
      <c r="IY564" s="1006"/>
      <c r="IZ564" s="996">
        <v>0</v>
      </c>
      <c r="JA564" s="1006"/>
      <c r="JB564" s="996">
        <v>0</v>
      </c>
      <c r="JC564" s="1006"/>
      <c r="JD564" s="996">
        <v>0</v>
      </c>
      <c r="JE564" s="1006"/>
      <c r="JF564" s="996">
        <v>0</v>
      </c>
      <c r="JG564" s="1006"/>
      <c r="JH564" s="996">
        <v>0</v>
      </c>
      <c r="JI564" s="1006"/>
      <c r="JJ564" s="996">
        <v>0</v>
      </c>
      <c r="JK564" s="1007" t="s">
        <v>199</v>
      </c>
      <c r="JL564" s="1007">
        <v>-2.2684860000000002</v>
      </c>
      <c r="JM564" s="1007"/>
      <c r="JN564" s="1007">
        <v>0</v>
      </c>
      <c r="JO564" s="1008"/>
      <c r="JP564" s="1007">
        <v>0</v>
      </c>
      <c r="JQ564" s="1008" t="s">
        <v>199</v>
      </c>
      <c r="JR564" s="1007">
        <v>3.2687599999999999</v>
      </c>
      <c r="JS564" s="1008">
        <v>0</v>
      </c>
      <c r="JT564" s="1007">
        <v>0</v>
      </c>
      <c r="JU564" s="1008" t="s">
        <v>199</v>
      </c>
      <c r="JV564" s="1007">
        <v>-5.7182399999999989</v>
      </c>
      <c r="JW564" s="1008" t="s">
        <v>221</v>
      </c>
      <c r="JX564" s="1007">
        <v>2.5964153599999995</v>
      </c>
      <c r="JY564" s="1008"/>
      <c r="JZ564" s="1007">
        <v>0</v>
      </c>
      <c r="KA564" s="1008"/>
      <c r="KB564" s="1007">
        <v>0</v>
      </c>
      <c r="KC564" s="1008"/>
      <c r="KD564" s="1007">
        <v>0</v>
      </c>
      <c r="KE564" s="1008"/>
      <c r="KF564" s="1007">
        <v>0</v>
      </c>
      <c r="KG564" s="1008"/>
      <c r="KH564" s="1007">
        <v>0</v>
      </c>
      <c r="KI564" s="1008" t="s">
        <v>206</v>
      </c>
      <c r="KJ564" s="1007">
        <v>-1.8140029599999994</v>
      </c>
      <c r="KK564" s="1008"/>
      <c r="KL564" s="1007">
        <v>0</v>
      </c>
      <c r="KM564" s="1008"/>
      <c r="KN564" s="1007">
        <v>0</v>
      </c>
      <c r="KO564" s="1008" t="s">
        <v>314</v>
      </c>
      <c r="KP564" s="1007">
        <v>1.6490935999999996</v>
      </c>
      <c r="KQ564" s="1008">
        <v>0</v>
      </c>
      <c r="KR564" s="1007">
        <v>0</v>
      </c>
      <c r="KS564" s="1008">
        <v>0</v>
      </c>
      <c r="KT564" s="1007">
        <v>0</v>
      </c>
      <c r="KU564" s="1008" t="s">
        <v>476</v>
      </c>
      <c r="KV564" s="1007">
        <v>4.1227339999999995</v>
      </c>
      <c r="KW564" s="1008">
        <v>0</v>
      </c>
      <c r="KX564" s="1007">
        <v>0</v>
      </c>
      <c r="KY564" s="1008">
        <v>0</v>
      </c>
      <c r="KZ564" s="1007">
        <v>0</v>
      </c>
      <c r="LA564" s="1008">
        <v>0</v>
      </c>
      <c r="LB564" s="1007">
        <v>0</v>
      </c>
      <c r="LC564" s="1008">
        <v>0</v>
      </c>
      <c r="LD564" s="1007">
        <v>0</v>
      </c>
      <c r="LE564" s="1008" t="s">
        <v>206</v>
      </c>
      <c r="LF564" s="1007">
        <v>-5.8397107999999989</v>
      </c>
      <c r="LG564" s="1008">
        <v>0</v>
      </c>
      <c r="LH564" s="1007">
        <v>0</v>
      </c>
      <c r="LI564" s="1008">
        <v>0</v>
      </c>
      <c r="LJ564" s="1007">
        <v>0</v>
      </c>
      <c r="LK564" s="1008">
        <v>0</v>
      </c>
      <c r="LL564" s="1007">
        <v>0</v>
      </c>
      <c r="LM564" s="1008" t="s">
        <v>555</v>
      </c>
      <c r="LN564" s="1007">
        <v>3.9209489999999998</v>
      </c>
      <c r="LO564" s="1008">
        <v>0</v>
      </c>
      <c r="LP564" s="1007">
        <v>0</v>
      </c>
      <c r="LQ564" s="1008">
        <v>0</v>
      </c>
      <c r="LR564" s="1007">
        <v>0</v>
      </c>
      <c r="LS564" s="1008">
        <v>0</v>
      </c>
      <c r="LT564" s="1007">
        <v>0</v>
      </c>
      <c r="LU564" s="1008">
        <v>0</v>
      </c>
      <c r="LV564" s="1007">
        <v>3.9294867999999998</v>
      </c>
      <c r="LW564" s="1008">
        <v>0</v>
      </c>
      <c r="LX564" s="1007">
        <v>0</v>
      </c>
      <c r="LY564" s="1009" t="s">
        <v>206</v>
      </c>
      <c r="LZ564" s="1010">
        <v>-1.12622994</v>
      </c>
      <c r="MA564" s="1011">
        <v>0</v>
      </c>
      <c r="MB564" s="1012">
        <v>0</v>
      </c>
      <c r="MC564" s="995"/>
      <c r="MD564" s="996"/>
      <c r="ME564" s="997" t="s">
        <v>202</v>
      </c>
      <c r="MF564" s="997"/>
      <c r="MG564" s="998"/>
      <c r="NR564" s="1000"/>
      <c r="NS564" s="1000"/>
      <c r="NT564" s="1001"/>
      <c r="NU564" s="1000"/>
      <c r="NV564" s="1001"/>
      <c r="NX564" s="1002"/>
      <c r="NZ564" s="1001"/>
      <c r="OA564" s="1001"/>
      <c r="OC564" s="1003"/>
      <c r="OD564" s="1003"/>
      <c r="OE564" s="1001"/>
      <c r="OF564" s="1003"/>
      <c r="OG564" s="1003"/>
      <c r="QX564" s="1000">
        <f>CN564-CA564</f>
        <v>37</v>
      </c>
      <c r="ASU564" s="999" t="s">
        <v>208</v>
      </c>
    </row>
    <row r="565" spans="1:466 1191:1191" ht="21" customHeight="1" x14ac:dyDescent="0.25">
      <c r="A565" s="982">
        <f t="shared" si="441"/>
        <v>3299</v>
      </c>
      <c r="B565" s="124">
        <f>SUBTOTAL(103,$J$29:J565)</f>
        <v>537</v>
      </c>
      <c r="C565" s="126">
        <v>45068</v>
      </c>
      <c r="D565" s="124" t="s">
        <v>176</v>
      </c>
      <c r="E565" s="127" t="s">
        <v>177</v>
      </c>
      <c r="F565" s="128" t="s">
        <v>177</v>
      </c>
      <c r="G565" s="127" t="s">
        <v>178</v>
      </c>
      <c r="H565" s="127" t="s">
        <v>179</v>
      </c>
      <c r="I565" s="127" t="s">
        <v>1031</v>
      </c>
      <c r="J565" s="152">
        <v>3299</v>
      </c>
      <c r="K565" s="127" t="s">
        <v>1031</v>
      </c>
      <c r="L565" s="130">
        <v>42334</v>
      </c>
      <c r="M565" s="127" t="s">
        <v>230</v>
      </c>
      <c r="N565" s="127" t="s">
        <v>184</v>
      </c>
      <c r="O565" s="127" t="s">
        <v>185</v>
      </c>
      <c r="P565" s="127" t="s">
        <v>186</v>
      </c>
      <c r="Q565" s="85" t="str">
        <f t="shared" si="423"/>
        <v/>
      </c>
      <c r="R565" s="130"/>
      <c r="S565" s="128"/>
      <c r="T565" s="131"/>
      <c r="U565" s="132">
        <v>203</v>
      </c>
      <c r="V565" s="121">
        <v>218.2</v>
      </c>
      <c r="W565" s="116">
        <v>0.98</v>
      </c>
      <c r="X565" s="116">
        <v>1.66</v>
      </c>
      <c r="Y565" s="116">
        <f t="shared" si="463"/>
        <v>0.98012044853704894</v>
      </c>
      <c r="Z565" s="133">
        <v>1.454</v>
      </c>
      <c r="AA565" s="133">
        <v>0.83599999999999997</v>
      </c>
      <c r="AB565" s="133">
        <v>0.72</v>
      </c>
      <c r="AC565" s="121">
        <v>34.299999999999997</v>
      </c>
      <c r="AD565" s="134">
        <v>1.17</v>
      </c>
      <c r="AE565" s="124">
        <v>177.8</v>
      </c>
      <c r="AF565" s="128">
        <v>9.19</v>
      </c>
      <c r="AG565" s="128">
        <v>2250</v>
      </c>
      <c r="AH565" s="127">
        <v>3164</v>
      </c>
      <c r="AI565" s="127">
        <v>3160</v>
      </c>
      <c r="AJ565" s="135"/>
      <c r="AK565" s="128"/>
      <c r="AL565" s="131"/>
      <c r="AM565" s="124" t="s">
        <v>985</v>
      </c>
      <c r="AN565" s="136" t="s">
        <v>1952</v>
      </c>
      <c r="AO565" s="137">
        <v>28.31</v>
      </c>
      <c r="AP565" s="128">
        <v>2093</v>
      </c>
      <c r="AQ565" s="128">
        <v>324.22000000000003</v>
      </c>
      <c r="AR565" s="128" t="s">
        <v>1952</v>
      </c>
      <c r="AS565" s="128">
        <v>114</v>
      </c>
      <c r="AT565" s="122">
        <v>7.37</v>
      </c>
      <c r="AU565" s="124" t="s">
        <v>189</v>
      </c>
      <c r="AV565" s="115">
        <f>VLOOKUP(J565,'[63]ТР нефть'!$J$28:$BP$638,39,0)</f>
        <v>480.00002226599997</v>
      </c>
      <c r="AW565" s="115" t="str">
        <f>VLOOKUP(J565,'[63]ТР нефть'!$J$28:$BP$638,40,0)</f>
        <v>ГП</v>
      </c>
      <c r="AX565" s="115">
        <f>VLOOKUP(J565,'[63]ТР нефть'!$J$28:$BP$638,41,0)</f>
        <v>890.00000097700001</v>
      </c>
      <c r="AY565" s="115" t="str">
        <f>VLOOKUP(J565,'[63]ТР нефть'!$J$28:$BP$638,42,0)</f>
        <v>ГП</v>
      </c>
      <c r="AZ565" s="115">
        <f>VLOOKUP(J565,'[63]ТР нефть'!$J$28:$BP$638,43,0)</f>
        <v>1290.000069141</v>
      </c>
      <c r="BA565" s="115" t="str">
        <f>VLOOKUP(J565,'[63]ТР нефть'!$J$28:$BP$638,44,0)</f>
        <v>ГК 75 1/8</v>
      </c>
      <c r="BB565" s="115">
        <f>VLOOKUP(J565,'[63]ТР нефть'!$J$28:$BP$638,45,0)</f>
        <v>1610.000034375</v>
      </c>
      <c r="BC565" s="115" t="str">
        <f>VLOOKUP(J565,'[63]ТР нефть'!$J$28:$BP$638,46,0)</f>
        <v>ГК 74 1/8</v>
      </c>
      <c r="BD565" s="115">
        <f>VLOOKUP(J565,'[63]ТР нефть'!$J$28:$BP$638,47,0)</f>
        <v>1880.000000391</v>
      </c>
      <c r="BE565" s="115" t="str">
        <f>VLOOKUP(J565,'[63]ТР нефть'!$J$28:$BP$638,48,0)</f>
        <v>ЦКсОК 5/16</v>
      </c>
      <c r="BF565" s="115" t="str">
        <f>VLOOKUP(J565,'[63]ТР нефть'!$J$28:$BP$638,49,0)</f>
        <v>-</v>
      </c>
      <c r="BG565" s="115" t="str">
        <f>VLOOKUP(J565,'[63]ТР нефть'!$J$28:$BP$638,50,0)</f>
        <v>-</v>
      </c>
      <c r="BH565" s="115">
        <f>VLOOKUP(J565,'[63]ТР нефть'!$J$28:$BP$638,51,0)</f>
        <v>1890</v>
      </c>
      <c r="BI565" s="115" t="str">
        <f>VLOOKUP(J565,'[63]ТР нефть'!$J$28:$BP$638,52,0)</f>
        <v>закрыт</v>
      </c>
      <c r="BJ565" s="115" t="str">
        <f>IF(IFERROR(VLOOKUP(J565,'[63]ТР нефть'!$J$28:$BP$638,53,0),"-")=0,"-",IFERROR(VLOOKUP(J565,'[63]ТР нефть'!$J$28:$BP$638,53,0),"-"))</f>
        <v>-</v>
      </c>
      <c r="BK565" s="138" t="str">
        <f>IF(IFERROR(VLOOKUP(J565,'[63]ТР нефть'!$J$28:$BP$638,54,0),"-")=0,"-",IFERROR(VLOOKUP(J565,'[63]ТР нефть'!$J$28:$BP$638,54,0),"-"))</f>
        <v>-</v>
      </c>
      <c r="BL565" s="138" t="str">
        <f>IF(IFERROR(VLOOKUP(J565,'[63]ТР нефть'!$J$28:$BP$638,55,0),"-")=0,"-",IFERROR(VLOOKUP(J565,'[63]ТР нефть'!$J$28:$BP$638,55,0),"-"))</f>
        <v>-</v>
      </c>
      <c r="BM565" s="138" t="str">
        <f>IF(IFERROR(VLOOKUP(J565,'[63]ТР нефть'!$J$28:$BP$638,56,0),"-")=0,"-",IFERROR(VLOOKUP(J565,'[63]ТР нефть'!$J$28:$BP$638,56,0),"-"))</f>
        <v>-</v>
      </c>
      <c r="BN565" s="138" t="str">
        <f>IF(IFERROR(VLOOKUP(J565,'[63]ТР нефть'!$J$28:$BP$638,57,0),"-")=0,"-",IFERROR(VLOOKUP(J565,'[63]ТР нефть'!$J$28:$BP$638,57,0),"-"))</f>
        <v>-</v>
      </c>
      <c r="BO565" s="115" t="str">
        <f>IF(IFERROR(VLOOKUP(J565,'[63]ТР нефть'!$J$28:$BP$638,58,0),"-")=0,"-",IFERROR(VLOOKUP(J565,'[63]ТР нефть'!$J$28:$BP$638,58,0),"-"))</f>
        <v>-</v>
      </c>
      <c r="BP565" s="115" t="str">
        <f>IF(IFERROR(VLOOKUP(J565,'[63]ТР нефть'!$J$28:$BP$638,59,0),"-")=0,"-",IFERROR(VLOOKUP(J565,'[63]ТР нефть'!$J$28:$BP$638,59,0),"-"))</f>
        <v>-</v>
      </c>
      <c r="BQ565" s="138">
        <v>2100</v>
      </c>
      <c r="BR565" s="128">
        <v>1569.81</v>
      </c>
      <c r="BS565" s="115">
        <f t="shared" si="437"/>
        <v>530.19000000000005</v>
      </c>
      <c r="BT565" s="128">
        <v>73</v>
      </c>
      <c r="BU565" s="128">
        <v>5.5</v>
      </c>
      <c r="BV565" s="127">
        <v>18</v>
      </c>
      <c r="BW565" s="127" t="s">
        <v>217</v>
      </c>
      <c r="BX565" s="127" t="s">
        <v>195</v>
      </c>
      <c r="BY565" s="139">
        <v>24</v>
      </c>
      <c r="BZ565" s="139">
        <v>0</v>
      </c>
      <c r="CA565" s="138">
        <v>27</v>
      </c>
      <c r="CB565" s="138">
        <v>44</v>
      </c>
      <c r="CC565" s="138">
        <v>24</v>
      </c>
      <c r="CD565" s="135">
        <v>45017</v>
      </c>
      <c r="CE565" s="138">
        <v>100.7</v>
      </c>
      <c r="CF565" s="138">
        <v>74</v>
      </c>
      <c r="CG565" s="138" t="str">
        <f t="shared" si="458"/>
        <v>В работе</v>
      </c>
      <c r="CH565" s="138" t="s">
        <v>196</v>
      </c>
      <c r="CI565" s="127">
        <v>6</v>
      </c>
      <c r="CJ565" s="138"/>
      <c r="CK565" s="138">
        <f t="shared" si="432"/>
        <v>26</v>
      </c>
      <c r="CL565" s="99"/>
      <c r="CM565" s="99"/>
      <c r="CN565" s="140">
        <v>53</v>
      </c>
      <c r="CO565" s="141">
        <f t="shared" si="442"/>
        <v>5.8502444000000002</v>
      </c>
      <c r="CP565" s="142">
        <v>7</v>
      </c>
      <c r="CQ565" s="143">
        <v>0.03</v>
      </c>
      <c r="CR565" s="138">
        <v>14</v>
      </c>
      <c r="CS565" s="139">
        <v>9.6</v>
      </c>
      <c r="CT565" s="138"/>
      <c r="CU565" s="138">
        <f t="shared" si="465"/>
        <v>4.4000000000000004</v>
      </c>
      <c r="CV565" s="115">
        <f t="shared" si="466"/>
        <v>752.10533084737449</v>
      </c>
      <c r="CW565" s="115">
        <f t="shared" si="443"/>
        <v>1640.2752641603513</v>
      </c>
      <c r="CX565" s="133">
        <f t="shared" si="467"/>
        <v>0.14675052410901468</v>
      </c>
      <c r="CY565" s="116"/>
      <c r="CZ565" s="131"/>
      <c r="DA565" s="145" t="str">
        <f t="shared" si="444"/>
        <v>Газлифт</v>
      </c>
      <c r="DB565" s="146">
        <f t="shared" si="468"/>
        <v>5.8502444000000002</v>
      </c>
      <c r="DC565" s="142">
        <f t="shared" si="469"/>
        <v>7</v>
      </c>
      <c r="DD565" s="119">
        <f t="shared" si="470"/>
        <v>0.03</v>
      </c>
      <c r="DE565" s="115">
        <f t="shared" si="471"/>
        <v>4.4000000000000004</v>
      </c>
      <c r="DF565" s="121">
        <f t="shared" si="472"/>
        <v>9.6</v>
      </c>
      <c r="DG565" s="115">
        <f t="shared" si="446"/>
        <v>752.10533084737449</v>
      </c>
      <c r="DH565" s="115">
        <f t="shared" si="447"/>
        <v>53</v>
      </c>
      <c r="DI565" s="147"/>
      <c r="DJ565" s="111">
        <v>43545</v>
      </c>
      <c r="DK565" s="112">
        <v>43741</v>
      </c>
      <c r="DL565" s="113">
        <f t="shared" ca="1" si="424"/>
        <v>1363</v>
      </c>
      <c r="DM565" s="114"/>
      <c r="DN565" s="114"/>
      <c r="DO565" s="114"/>
      <c r="DP565" s="114"/>
      <c r="DQ565" s="112">
        <v>42290</v>
      </c>
      <c r="DR565" s="114" t="s">
        <v>324</v>
      </c>
      <c r="DS565" s="114"/>
      <c r="DT565" s="115">
        <v>58</v>
      </c>
      <c r="DU565" s="116">
        <f t="shared" si="425"/>
        <v>0.16393442622950818</v>
      </c>
      <c r="DV565" s="117">
        <f t="shared" si="428"/>
        <v>5.8502444000000002</v>
      </c>
      <c r="DW565" s="118">
        <f t="shared" si="429"/>
        <v>7</v>
      </c>
      <c r="DX565" s="119">
        <f t="shared" si="430"/>
        <v>0.03</v>
      </c>
      <c r="DY565" s="115">
        <f t="shared" si="431"/>
        <v>4.4000000000000004</v>
      </c>
      <c r="DZ565" s="117">
        <f t="shared" si="440"/>
        <v>0</v>
      </c>
      <c r="EA565" s="120">
        <f t="shared" si="440"/>
        <v>0</v>
      </c>
      <c r="EB565" s="119">
        <f t="shared" si="440"/>
        <v>0</v>
      </c>
      <c r="EC565" s="121">
        <f t="shared" si="464"/>
        <v>0</v>
      </c>
      <c r="ED565" s="122"/>
      <c r="EE565" s="145">
        <v>18</v>
      </c>
      <c r="EF565" s="115">
        <v>28</v>
      </c>
      <c r="EG565" s="115">
        <v>42</v>
      </c>
      <c r="EH565" s="115">
        <v>27</v>
      </c>
      <c r="EI565" s="128" t="s">
        <v>195</v>
      </c>
      <c r="EJ565" s="121">
        <v>24</v>
      </c>
      <c r="EK565" s="121">
        <v>0</v>
      </c>
      <c r="EL565" s="149">
        <v>5.8502444000000002</v>
      </c>
      <c r="EM565" s="142">
        <v>7</v>
      </c>
      <c r="EN565" s="119">
        <v>0.03</v>
      </c>
      <c r="EO565" s="115">
        <v>14</v>
      </c>
      <c r="EP565" s="115">
        <v>752.10533084737449</v>
      </c>
      <c r="EQ565" s="115">
        <v>74</v>
      </c>
      <c r="ER565" s="115">
        <v>9.6</v>
      </c>
      <c r="ES565" s="115">
        <v>53</v>
      </c>
      <c r="ET565" s="150">
        <v>0.14675052410901468</v>
      </c>
      <c r="EU565" s="145">
        <f t="shared" si="457"/>
        <v>18</v>
      </c>
      <c r="EV565" s="115">
        <f t="shared" si="448"/>
        <v>27</v>
      </c>
      <c r="EW565" s="115">
        <f t="shared" si="448"/>
        <v>44</v>
      </c>
      <c r="EX565" s="115">
        <f t="shared" si="448"/>
        <v>24</v>
      </c>
      <c r="EY565" s="115" t="str">
        <f t="shared" si="434"/>
        <v>Постоянный</v>
      </c>
      <c r="EZ565" s="115">
        <f t="shared" si="434"/>
        <v>24</v>
      </c>
      <c r="FA565" s="115">
        <f t="shared" si="434"/>
        <v>0</v>
      </c>
      <c r="FB565" s="149">
        <f t="shared" si="461"/>
        <v>5.8502444000000002</v>
      </c>
      <c r="FC565" s="142">
        <f t="shared" si="461"/>
        <v>7</v>
      </c>
      <c r="FD565" s="119">
        <f t="shared" si="461"/>
        <v>0.03</v>
      </c>
      <c r="FE565" s="121">
        <f t="shared" si="460"/>
        <v>14</v>
      </c>
      <c r="FF565" s="121">
        <f t="shared" si="462"/>
        <v>752.10533084737449</v>
      </c>
      <c r="FG565" s="121">
        <f t="shared" si="449"/>
        <v>74</v>
      </c>
      <c r="FH565" s="121">
        <f t="shared" si="436"/>
        <v>9.6</v>
      </c>
      <c r="FI565" s="121">
        <f t="shared" si="427"/>
        <v>53</v>
      </c>
      <c r="FJ565" s="144">
        <f t="shared" si="450"/>
        <v>0.14675052410901468</v>
      </c>
      <c r="FK565" s="132">
        <f t="shared" si="451"/>
        <v>0</v>
      </c>
      <c r="FL565" s="115">
        <f t="shared" si="451"/>
        <v>-1</v>
      </c>
      <c r="FM565" s="115">
        <f t="shared" si="451"/>
        <v>2</v>
      </c>
      <c r="FN565" s="115">
        <f t="shared" si="451"/>
        <v>-3</v>
      </c>
      <c r="FO565" s="115">
        <f t="shared" si="439"/>
        <v>0</v>
      </c>
      <c r="FP565" s="115">
        <f t="shared" si="439"/>
        <v>0</v>
      </c>
      <c r="FQ565" s="149">
        <f t="shared" si="439"/>
        <v>0</v>
      </c>
      <c r="FR565" s="142">
        <f t="shared" si="439"/>
        <v>0</v>
      </c>
      <c r="FS565" s="119">
        <f t="shared" si="439"/>
        <v>0</v>
      </c>
      <c r="FT565" s="121">
        <f t="shared" si="438"/>
        <v>0</v>
      </c>
      <c r="FU565" s="121">
        <f t="shared" si="452"/>
        <v>0</v>
      </c>
      <c r="FV565" s="121">
        <f t="shared" si="452"/>
        <v>0</v>
      </c>
      <c r="FW565" s="121">
        <f t="shared" si="453"/>
        <v>0</v>
      </c>
      <c r="FX565" s="121">
        <f t="shared" si="454"/>
        <v>0</v>
      </c>
      <c r="FY565" s="144">
        <f t="shared" si="454"/>
        <v>0</v>
      </c>
      <c r="FZ565" s="145"/>
      <c r="GA565" s="151"/>
      <c r="GB565" s="145"/>
      <c r="GC565" s="151"/>
      <c r="GD565" s="997" t="s">
        <v>220</v>
      </c>
      <c r="GE565" s="1004"/>
      <c r="GF565" s="1004">
        <v>-0.26660399479999963</v>
      </c>
      <c r="GG565" s="1004"/>
      <c r="GH565" s="1004">
        <v>0</v>
      </c>
      <c r="GI565" s="145"/>
      <c r="GJ565" s="996">
        <v>-1.8356052000001455E-3</v>
      </c>
      <c r="GK565" s="145"/>
      <c r="GL565" s="996">
        <v>0</v>
      </c>
      <c r="GM565" s="1005"/>
      <c r="GN565" s="996">
        <v>0</v>
      </c>
      <c r="GO565" s="1006"/>
      <c r="GP565" s="996">
        <v>0</v>
      </c>
      <c r="GQ565" s="1006"/>
      <c r="GR565" s="996">
        <v>0</v>
      </c>
      <c r="GS565" s="1006"/>
      <c r="GT565" s="996">
        <v>0.68468399999999985</v>
      </c>
      <c r="GU565" s="1006"/>
      <c r="GV565" s="996">
        <v>0</v>
      </c>
      <c r="GW565" s="1006" t="s">
        <v>199</v>
      </c>
      <c r="GX565" s="996">
        <v>2.5080000000000005</v>
      </c>
      <c r="GY565" s="1006" t="s">
        <v>199</v>
      </c>
      <c r="GZ565" s="996">
        <v>-1.254</v>
      </c>
      <c r="HA565" s="1006"/>
      <c r="HB565" s="996">
        <v>-0.58520000000000039</v>
      </c>
      <c r="HC565" s="1006"/>
      <c r="HD565" s="996">
        <v>0</v>
      </c>
      <c r="HE565" s="1006" t="s">
        <v>199</v>
      </c>
      <c r="HF565" s="996">
        <v>-4.4307999999999996</v>
      </c>
      <c r="HG565" s="1006"/>
      <c r="HH565" s="996">
        <v>0</v>
      </c>
      <c r="HI565" s="1006"/>
      <c r="HJ565" s="996">
        <v>0</v>
      </c>
      <c r="HK565" s="1006" t="s">
        <v>204</v>
      </c>
      <c r="HL565" s="996">
        <v>-5.9356000000000009</v>
      </c>
      <c r="HM565" s="1006"/>
      <c r="HN565" s="996">
        <v>0</v>
      </c>
      <c r="HO565" s="1006"/>
      <c r="HP565" s="996">
        <v>0</v>
      </c>
      <c r="HQ565" s="1006" t="s">
        <v>199</v>
      </c>
      <c r="HR565" s="996">
        <v>6.8886400000000005</v>
      </c>
      <c r="HS565" s="1006"/>
      <c r="HT565" s="996">
        <v>0</v>
      </c>
      <c r="HU565" s="1006" t="s">
        <v>221</v>
      </c>
      <c r="HV565" s="996">
        <v>-13.6140633728</v>
      </c>
      <c r="HW565" s="1006" t="s">
        <v>199</v>
      </c>
      <c r="HX565" s="996">
        <v>13.405063372800001</v>
      </c>
      <c r="HY565" s="1006"/>
      <c r="HZ565" s="996">
        <v>0</v>
      </c>
      <c r="IA565" s="1006"/>
      <c r="IB565" s="996">
        <v>0</v>
      </c>
      <c r="IC565" s="1006"/>
      <c r="ID565" s="996">
        <v>0</v>
      </c>
      <c r="IE565" s="1006" t="s">
        <v>199</v>
      </c>
      <c r="IF565" s="996">
        <v>1.8308400000000002</v>
      </c>
      <c r="IG565" s="1006"/>
      <c r="IH565" s="996">
        <v>0</v>
      </c>
      <c r="II565" s="1006"/>
      <c r="IJ565" s="996">
        <v>0</v>
      </c>
      <c r="IK565" s="1006"/>
      <c r="IL565" s="996">
        <v>0</v>
      </c>
      <c r="IM565" s="1006"/>
      <c r="IN565" s="996">
        <v>0</v>
      </c>
      <c r="IO565" s="1006"/>
      <c r="IP565" s="996">
        <v>0</v>
      </c>
      <c r="IQ565" s="1006"/>
      <c r="IR565" s="996">
        <v>0</v>
      </c>
      <c r="IS565" s="1006"/>
      <c r="IT565" s="996">
        <v>0.2758799999999999</v>
      </c>
      <c r="IU565" s="1006" t="s">
        <v>199</v>
      </c>
      <c r="IV565" s="996">
        <v>-4.5227600000000008</v>
      </c>
      <c r="IW565" s="1006"/>
      <c r="IX565" s="996">
        <v>0</v>
      </c>
      <c r="IY565" s="1006"/>
      <c r="IZ565" s="996">
        <v>0</v>
      </c>
      <c r="JA565" s="1006" t="s">
        <v>199</v>
      </c>
      <c r="JB565" s="996">
        <v>8.861600000000001</v>
      </c>
      <c r="JC565" s="1006" t="s">
        <v>199</v>
      </c>
      <c r="JD565" s="996">
        <v>-3.0012400000000006</v>
      </c>
      <c r="JE565" s="1006" t="s">
        <v>199</v>
      </c>
      <c r="JF565" s="996">
        <v>-5.86036</v>
      </c>
      <c r="JG565" s="1006" t="s">
        <v>223</v>
      </c>
      <c r="JH565" s="996">
        <v>-1.6719999999999988</v>
      </c>
      <c r="JI565" s="1006" t="s">
        <v>203</v>
      </c>
      <c r="JJ565" s="996">
        <v>-9.3464799999999997</v>
      </c>
      <c r="JK565" s="1007"/>
      <c r="JL565" s="1007">
        <v>0</v>
      </c>
      <c r="JM565" s="1007" t="s">
        <v>342</v>
      </c>
      <c r="JN565" s="1007">
        <v>21.05048</v>
      </c>
      <c r="JO565" s="1008"/>
      <c r="JP565" s="1007">
        <v>0</v>
      </c>
      <c r="JQ565" s="1008">
        <v>0</v>
      </c>
      <c r="JR565" s="1007">
        <v>0</v>
      </c>
      <c r="JS565" s="1008">
        <v>0</v>
      </c>
      <c r="JT565" s="1007">
        <v>0</v>
      </c>
      <c r="JU565" s="1008"/>
      <c r="JV565" s="1007">
        <v>0</v>
      </c>
      <c r="JW565" s="1008" t="s">
        <v>197</v>
      </c>
      <c r="JX565" s="1007">
        <v>0</v>
      </c>
      <c r="JY565" s="1008"/>
      <c r="JZ565" s="1007">
        <v>0</v>
      </c>
      <c r="KA565" s="1008"/>
      <c r="KB565" s="1007">
        <v>0</v>
      </c>
      <c r="KC565" s="1008"/>
      <c r="KD565" s="1007">
        <v>0</v>
      </c>
      <c r="KE565" s="1008"/>
      <c r="KF565" s="1007">
        <v>0</v>
      </c>
      <c r="KG565" s="1008"/>
      <c r="KH565" s="1007">
        <v>0</v>
      </c>
      <c r="KI565" s="1008"/>
      <c r="KJ565" s="1007">
        <v>0</v>
      </c>
      <c r="KK565" s="1008"/>
      <c r="KL565" s="1007">
        <v>0</v>
      </c>
      <c r="KM565" s="1008" t="s">
        <v>206</v>
      </c>
      <c r="KN565" s="1007">
        <v>0.20833119999999994</v>
      </c>
      <c r="KO565" s="1008"/>
      <c r="KP565" s="1007">
        <v>0</v>
      </c>
      <c r="KQ565" s="1008">
        <v>0</v>
      </c>
      <c r="KR565" s="1007">
        <v>0</v>
      </c>
      <c r="KS565" s="1008">
        <v>0</v>
      </c>
      <c r="KT565" s="1007">
        <v>0</v>
      </c>
      <c r="KU565" s="1008">
        <v>0</v>
      </c>
      <c r="KV565" s="1007">
        <v>0</v>
      </c>
      <c r="KW565" s="1008" t="s">
        <v>204</v>
      </c>
      <c r="KX565" s="1007">
        <v>-1.1484967999999998</v>
      </c>
      <c r="KY565" s="1008" t="s">
        <v>206</v>
      </c>
      <c r="KZ565" s="1007">
        <v>0.43806400000000001</v>
      </c>
      <c r="LA565" s="1008" t="s">
        <v>206</v>
      </c>
      <c r="LB565" s="1007">
        <v>0.40796799999999989</v>
      </c>
      <c r="LC565" s="1008">
        <v>0</v>
      </c>
      <c r="LD565" s="1007">
        <v>0</v>
      </c>
      <c r="LE565" s="1008">
        <v>0</v>
      </c>
      <c r="LF565" s="1007">
        <v>0</v>
      </c>
      <c r="LG565" s="1008">
        <v>0</v>
      </c>
      <c r="LH565" s="1007">
        <v>0</v>
      </c>
      <c r="LI565" s="1008">
        <v>0</v>
      </c>
      <c r="LJ565" s="1007">
        <v>0</v>
      </c>
      <c r="LK565" s="1008">
        <v>0</v>
      </c>
      <c r="LL565" s="1007">
        <v>0</v>
      </c>
      <c r="LM565" s="1008" t="s">
        <v>555</v>
      </c>
      <c r="LN565" s="1007">
        <v>-0.66344999999999998</v>
      </c>
      <c r="LO565" s="1008">
        <v>0</v>
      </c>
      <c r="LP565" s="1007">
        <v>0</v>
      </c>
      <c r="LQ565" s="1008">
        <v>0</v>
      </c>
      <c r="LR565" s="1007">
        <v>0</v>
      </c>
      <c r="LS565" s="1008">
        <v>0</v>
      </c>
      <c r="LT565" s="1007">
        <v>0</v>
      </c>
      <c r="LU565" s="1008">
        <v>0</v>
      </c>
      <c r="LV565" s="1007">
        <v>-0.41465600000000002</v>
      </c>
      <c r="LW565" s="1008">
        <v>0</v>
      </c>
      <c r="LX565" s="1007">
        <v>-0.16586239999999999</v>
      </c>
      <c r="LY565" s="1009">
        <v>0</v>
      </c>
      <c r="LZ565" s="1010">
        <v>0.41465600000000002</v>
      </c>
      <c r="MA565" s="1011" t="s">
        <v>206</v>
      </c>
      <c r="MB565" s="1012">
        <v>-2.9259200000000001</v>
      </c>
      <c r="MC565" s="995"/>
      <c r="MD565" s="996"/>
      <c r="ME565" s="997" t="s">
        <v>220</v>
      </c>
      <c r="MF565" s="997"/>
      <c r="MG565" s="998"/>
      <c r="NR565" s="1000"/>
      <c r="NS565" s="1000"/>
      <c r="NT565" s="1001"/>
      <c r="NU565" s="1000"/>
      <c r="NV565" s="1001"/>
      <c r="NX565" s="1002"/>
      <c r="NZ565" s="1001"/>
      <c r="OA565" s="1001"/>
      <c r="OC565" s="1003"/>
      <c r="OD565" s="1003"/>
      <c r="OE565" s="1001"/>
      <c r="OF565" s="1003"/>
      <c r="OG565" s="1003"/>
      <c r="QX565" s="1000">
        <f>CN565-CA565</f>
        <v>26</v>
      </c>
      <c r="ASU565" s="999" t="s">
        <v>315</v>
      </c>
    </row>
    <row r="566" spans="1:466 1191:1191" ht="21" customHeight="1" x14ac:dyDescent="0.25">
      <c r="A566" s="982">
        <f t="shared" si="441"/>
        <v>3306</v>
      </c>
      <c r="B566" s="124">
        <f>SUBTOTAL(103,$J$29:J566)</f>
        <v>538</v>
      </c>
      <c r="C566" s="126">
        <v>45068</v>
      </c>
      <c r="D566" s="124" t="s">
        <v>176</v>
      </c>
      <c r="E566" s="127" t="s">
        <v>177</v>
      </c>
      <c r="F566" s="128" t="s">
        <v>177</v>
      </c>
      <c r="G566" s="127" t="s">
        <v>178</v>
      </c>
      <c r="H566" s="127" t="s">
        <v>408</v>
      </c>
      <c r="I566" s="127" t="s">
        <v>733</v>
      </c>
      <c r="J566" s="152">
        <v>3306</v>
      </c>
      <c r="K566" s="127" t="s">
        <v>975</v>
      </c>
      <c r="L566" s="130">
        <v>42232</v>
      </c>
      <c r="M566" s="127" t="s">
        <v>230</v>
      </c>
      <c r="N566" s="127" t="s">
        <v>231</v>
      </c>
      <c r="O566" s="127" t="s">
        <v>185</v>
      </c>
      <c r="P566" s="127" t="s">
        <v>186</v>
      </c>
      <c r="Q566" s="85" t="str">
        <f t="shared" si="423"/>
        <v/>
      </c>
      <c r="R566" s="130"/>
      <c r="S566" s="128"/>
      <c r="T566" s="131"/>
      <c r="U566" s="132">
        <v>203</v>
      </c>
      <c r="V566" s="121">
        <v>218.2</v>
      </c>
      <c r="W566" s="116">
        <v>0.98</v>
      </c>
      <c r="X566" s="116">
        <v>1.66</v>
      </c>
      <c r="Y566" s="116">
        <f t="shared" si="463"/>
        <v>0.98</v>
      </c>
      <c r="Z566" s="133">
        <v>1.454</v>
      </c>
      <c r="AA566" s="133">
        <v>0.83599999999999997</v>
      </c>
      <c r="AB566" s="133">
        <v>0.72</v>
      </c>
      <c r="AC566" s="121">
        <v>34.299999999999997</v>
      </c>
      <c r="AD566" s="134">
        <v>1.17</v>
      </c>
      <c r="AE566" s="124">
        <v>177.8</v>
      </c>
      <c r="AF566" s="128">
        <v>9.19</v>
      </c>
      <c r="AG566" s="128">
        <v>2248</v>
      </c>
      <c r="AH566" s="127">
        <v>2852</v>
      </c>
      <c r="AI566" s="127">
        <v>2852</v>
      </c>
      <c r="AJ566" s="135"/>
      <c r="AK566" s="128"/>
      <c r="AL566" s="131"/>
      <c r="AM566" s="124" t="s">
        <v>232</v>
      </c>
      <c r="AN566" s="136" t="s">
        <v>1953</v>
      </c>
      <c r="AO566" s="137">
        <v>6.2999999999999545</v>
      </c>
      <c r="AP566" s="128">
        <v>2248</v>
      </c>
      <c r="AQ566" s="128">
        <v>344.89</v>
      </c>
      <c r="AR566" s="128"/>
      <c r="AS566" s="128"/>
      <c r="AT566" s="122"/>
      <c r="AU566" s="124" t="s">
        <v>189</v>
      </c>
      <c r="AV566" s="115">
        <f>VLOOKUP(J566,'[63]ТР нефть'!$J$28:$BP$638,39,0)</f>
        <v>549.99999140600005</v>
      </c>
      <c r="AW566" s="115" t="str">
        <f>VLOOKUP(J566,'[63]ТР нефть'!$J$28:$BP$638,40,0)</f>
        <v>ГП</v>
      </c>
      <c r="AX566" s="115">
        <f>VLOOKUP(J566,'[63]ТР нефть'!$J$28:$BP$638,41,0)</f>
        <v>1039.9999986329999</v>
      </c>
      <c r="AY566" s="115" t="str">
        <f>VLOOKUP(J566,'[63]ТР нефть'!$J$28:$BP$638,42,0)</f>
        <v>ГП</v>
      </c>
      <c r="AZ566" s="115">
        <f>VLOOKUP(J566,'[63]ТР нефть'!$J$28:$BP$638,43,0)</f>
        <v>1449.9999773439999</v>
      </c>
      <c r="BA566" s="115" t="str">
        <f>VLOOKUP(J566,'[63]ТР нефть'!$J$28:$BP$638,44,0)</f>
        <v>ГК 76 1/8</v>
      </c>
      <c r="BB566" s="115">
        <f>VLOOKUP(J566,'[63]ТР нефть'!$J$28:$BP$638,45,0)</f>
        <v>1735.000032422</v>
      </c>
      <c r="BC566" s="115" t="str">
        <f>VLOOKUP(J566,'[63]ТР нефть'!$J$28:$BP$638,46,0)</f>
        <v>ГК 76 1/8</v>
      </c>
      <c r="BD566" s="115">
        <f>VLOOKUP(J566,'[63]ТР нефть'!$J$28:$BP$638,47,0)</f>
        <v>2010.000028125</v>
      </c>
      <c r="BE566" s="115" t="str">
        <f>VLOOKUP(J566,'[63]ТР нефть'!$J$28:$BP$638,48,0)</f>
        <v>ЦКсОК 5/16</v>
      </c>
      <c r="BF566" s="115" t="str">
        <f>VLOOKUP(J566,'[63]ТР нефть'!$J$28:$BP$638,49,0)</f>
        <v>-</v>
      </c>
      <c r="BG566" s="115" t="str">
        <f>VLOOKUP(J566,'[63]ТР нефть'!$J$28:$BP$638,50,0)</f>
        <v>-</v>
      </c>
      <c r="BH566" s="115">
        <f>VLOOKUP(J566,'[63]ТР нефть'!$J$28:$BP$638,51,0)</f>
        <v>2030</v>
      </c>
      <c r="BI566" s="115" t="str">
        <f>VLOOKUP(J566,'[63]ТР нефть'!$J$28:$BP$638,52,0)</f>
        <v>закрыт</v>
      </c>
      <c r="BJ566" s="115" t="str">
        <f>IF(IFERROR(VLOOKUP(J566,'[63]ТР нефть'!$J$28:$BP$638,53,0),"-")=0,"-",IFERROR(VLOOKUP(J566,'[63]ТР нефть'!$J$28:$BP$638,53,0),"-"))</f>
        <v>-</v>
      </c>
      <c r="BK566" s="138" t="str">
        <f>IF(IFERROR(VLOOKUP(J566,'[63]ТР нефть'!$J$28:$BP$638,54,0),"-")=0,"-",IFERROR(VLOOKUP(J566,'[63]ТР нефть'!$J$28:$BP$638,54,0),"-"))</f>
        <v>-</v>
      </c>
      <c r="BL566" s="138" t="str">
        <f>IF(IFERROR(VLOOKUP(J566,'[63]ТР нефть'!$J$28:$BP$638,55,0),"-")=0,"-",IFERROR(VLOOKUP(J566,'[63]ТР нефть'!$J$28:$BP$638,55,0),"-"))</f>
        <v>-</v>
      </c>
      <c r="BM566" s="138" t="str">
        <f>IF(IFERROR(VLOOKUP(J566,'[63]ТР нефть'!$J$28:$BP$638,56,0),"-")=0,"-",IFERROR(VLOOKUP(J566,'[63]ТР нефть'!$J$28:$BP$638,56,0),"-"))</f>
        <v>-</v>
      </c>
      <c r="BN566" s="138" t="str">
        <f>IF(IFERROR(VLOOKUP(J566,'[63]ТР нефть'!$J$28:$BP$638,57,0),"-")=0,"-",IFERROR(VLOOKUP(J566,'[63]ТР нефть'!$J$28:$BP$638,57,0),"-"))</f>
        <v>-</v>
      </c>
      <c r="BO566" s="115" t="str">
        <f>IF(IFERROR(VLOOKUP(J566,'[63]ТР нефть'!$J$28:$BP$638,58,0),"-")=0,"-",IFERROR(VLOOKUP(J566,'[63]ТР нефть'!$J$28:$BP$638,58,0),"-"))</f>
        <v>-</v>
      </c>
      <c r="BP566" s="115" t="str">
        <f>IF(IFERROR(VLOOKUP(J566,'[63]ТР нефть'!$J$28:$BP$638,59,0),"-")=0,"-",IFERROR(VLOOKUP(J566,'[63]ТР нефть'!$J$28:$BP$638,59,0),"-"))</f>
        <v>-</v>
      </c>
      <c r="BQ566" s="138">
        <v>2170</v>
      </c>
      <c r="BR566" s="128">
        <v>1881.98</v>
      </c>
      <c r="BS566" s="115">
        <f t="shared" si="437"/>
        <v>288.02</v>
      </c>
      <c r="BT566" s="128">
        <v>73</v>
      </c>
      <c r="BU566" s="128">
        <v>5.5</v>
      </c>
      <c r="BV566" s="127">
        <v>18</v>
      </c>
      <c r="BW566" s="127" t="s">
        <v>217</v>
      </c>
      <c r="BX566" s="127" t="s">
        <v>195</v>
      </c>
      <c r="BY566" s="139">
        <v>24</v>
      </c>
      <c r="BZ566" s="139">
        <v>0</v>
      </c>
      <c r="CA566" s="138">
        <v>25</v>
      </c>
      <c r="CB566" s="138">
        <v>56</v>
      </c>
      <c r="CC566" s="138">
        <v>23</v>
      </c>
      <c r="CD566" s="135">
        <v>45017</v>
      </c>
      <c r="CE566" s="138">
        <v>88</v>
      </c>
      <c r="CF566" s="138">
        <v>65</v>
      </c>
      <c r="CG566" s="138" t="str">
        <f t="shared" si="458"/>
        <v>В работе</v>
      </c>
      <c r="CH566" s="138" t="s">
        <v>196</v>
      </c>
      <c r="CI566" s="127">
        <v>6</v>
      </c>
      <c r="CJ566" s="138"/>
      <c r="CK566" s="138"/>
      <c r="CL566" s="99"/>
      <c r="CM566" s="99"/>
      <c r="CN566" s="140">
        <v>53</v>
      </c>
      <c r="CO566" s="159">
        <f t="shared" si="442"/>
        <v>3.3439999999999999</v>
      </c>
      <c r="CP566" s="160">
        <v>4</v>
      </c>
      <c r="CQ566" s="161">
        <v>0</v>
      </c>
      <c r="CR566" s="138">
        <v>12</v>
      </c>
      <c r="CS566" s="139">
        <v>9</v>
      </c>
      <c r="CT566" s="138"/>
      <c r="CU566" s="138">
        <f t="shared" si="465"/>
        <v>3</v>
      </c>
      <c r="CV566" s="115">
        <f t="shared" si="466"/>
        <v>897.12918660287085</v>
      </c>
      <c r="CW566" s="115">
        <f t="shared" si="443"/>
        <v>2691.3875598086124</v>
      </c>
      <c r="CX566" s="133">
        <f t="shared" si="467"/>
        <v>0.11428571428571428</v>
      </c>
      <c r="CY566" s="116"/>
      <c r="CZ566" s="131"/>
      <c r="DA566" s="145" t="str">
        <f t="shared" si="444"/>
        <v>Газлифт</v>
      </c>
      <c r="DB566" s="146">
        <f t="shared" si="468"/>
        <v>3.3439999999999999</v>
      </c>
      <c r="DC566" s="142">
        <f t="shared" si="469"/>
        <v>4</v>
      </c>
      <c r="DD566" s="119">
        <f t="shared" si="470"/>
        <v>0</v>
      </c>
      <c r="DE566" s="115">
        <f t="shared" si="471"/>
        <v>3</v>
      </c>
      <c r="DF566" s="121">
        <f t="shared" si="472"/>
        <v>9</v>
      </c>
      <c r="DG566" s="115">
        <f t="shared" si="446"/>
        <v>897.12918660287085</v>
      </c>
      <c r="DH566" s="115">
        <f t="shared" si="447"/>
        <v>53</v>
      </c>
      <c r="DI566" s="147"/>
      <c r="DJ566" s="111">
        <v>43506</v>
      </c>
      <c r="DK566" s="112">
        <v>43603.083333333336</v>
      </c>
      <c r="DL566" s="113">
        <f t="shared" ca="1" si="424"/>
        <v>1500.9166666666642</v>
      </c>
      <c r="DM566" s="114"/>
      <c r="DN566" s="114"/>
      <c r="DO566" s="114"/>
      <c r="DP566" s="114"/>
      <c r="DQ566" s="112">
        <v>43552.541666666664</v>
      </c>
      <c r="DR566" s="114" t="s">
        <v>282</v>
      </c>
      <c r="DS566" s="114"/>
      <c r="DT566" s="115">
        <v>60</v>
      </c>
      <c r="DU566" s="116">
        <f t="shared" si="425"/>
        <v>0.14285714285714285</v>
      </c>
      <c r="DV566" s="117">
        <f t="shared" si="428"/>
        <v>3.3439999999999999</v>
      </c>
      <c r="DW566" s="118">
        <f t="shared" si="429"/>
        <v>4</v>
      </c>
      <c r="DX566" s="119">
        <f t="shared" si="430"/>
        <v>0</v>
      </c>
      <c r="DY566" s="115">
        <f t="shared" si="431"/>
        <v>3</v>
      </c>
      <c r="DZ566" s="117">
        <f t="shared" si="440"/>
        <v>0</v>
      </c>
      <c r="EA566" s="120">
        <f t="shared" si="440"/>
        <v>0</v>
      </c>
      <c r="EB566" s="119">
        <f t="shared" si="440"/>
        <v>0</v>
      </c>
      <c r="EC566" s="121">
        <f t="shared" si="464"/>
        <v>0</v>
      </c>
      <c r="ED566" s="122"/>
      <c r="EE566" s="145">
        <v>18</v>
      </c>
      <c r="EF566" s="115">
        <v>25</v>
      </c>
      <c r="EG566" s="115">
        <v>51</v>
      </c>
      <c r="EH566" s="115">
        <v>23</v>
      </c>
      <c r="EI566" s="128" t="s">
        <v>195</v>
      </c>
      <c r="EJ566" s="121">
        <v>24</v>
      </c>
      <c r="EK566" s="121">
        <v>0</v>
      </c>
      <c r="EL566" s="162">
        <v>2.7855519999999996</v>
      </c>
      <c r="EM566" s="142">
        <v>4</v>
      </c>
      <c r="EN566" s="119">
        <v>16.7</v>
      </c>
      <c r="EO566" s="115">
        <v>13.8</v>
      </c>
      <c r="EP566" s="115">
        <v>1112.8853455257708</v>
      </c>
      <c r="EQ566" s="115">
        <v>63</v>
      </c>
      <c r="ER566" s="115">
        <v>10.7</v>
      </c>
      <c r="ES566" s="115">
        <v>55</v>
      </c>
      <c r="ET566" s="150">
        <v>0.12121212121212122</v>
      </c>
      <c r="EU566" s="145">
        <f t="shared" si="457"/>
        <v>18</v>
      </c>
      <c r="EV566" s="115">
        <f t="shared" si="448"/>
        <v>25</v>
      </c>
      <c r="EW566" s="115">
        <f t="shared" si="448"/>
        <v>56</v>
      </c>
      <c r="EX566" s="115">
        <f t="shared" si="448"/>
        <v>23</v>
      </c>
      <c r="EY566" s="115" t="str">
        <f t="shared" si="434"/>
        <v>Постоянный</v>
      </c>
      <c r="EZ566" s="115">
        <f t="shared" si="434"/>
        <v>24</v>
      </c>
      <c r="FA566" s="115">
        <f t="shared" si="434"/>
        <v>0</v>
      </c>
      <c r="FB566" s="149">
        <f t="shared" si="461"/>
        <v>3.3439999999999999</v>
      </c>
      <c r="FC566" s="142">
        <f t="shared" si="461"/>
        <v>4</v>
      </c>
      <c r="FD566" s="119">
        <f t="shared" si="461"/>
        <v>0</v>
      </c>
      <c r="FE566" s="121">
        <f t="shared" si="460"/>
        <v>12</v>
      </c>
      <c r="FF566" s="121">
        <f t="shared" si="462"/>
        <v>897.12918660287085</v>
      </c>
      <c r="FG566" s="121">
        <f t="shared" si="449"/>
        <v>65</v>
      </c>
      <c r="FH566" s="121">
        <f t="shared" si="436"/>
        <v>9</v>
      </c>
      <c r="FI566" s="121">
        <f t="shared" si="427"/>
        <v>53</v>
      </c>
      <c r="FJ566" s="144">
        <f t="shared" si="450"/>
        <v>0.11428571428571428</v>
      </c>
      <c r="FK566" s="132">
        <f t="shared" si="451"/>
        <v>0</v>
      </c>
      <c r="FL566" s="115">
        <f t="shared" si="451"/>
        <v>0</v>
      </c>
      <c r="FM566" s="115">
        <f t="shared" si="451"/>
        <v>5</v>
      </c>
      <c r="FN566" s="115">
        <f t="shared" si="451"/>
        <v>0</v>
      </c>
      <c r="FO566" s="115">
        <f t="shared" si="439"/>
        <v>0</v>
      </c>
      <c r="FP566" s="115">
        <f t="shared" si="439"/>
        <v>0</v>
      </c>
      <c r="FQ566" s="149">
        <f t="shared" si="439"/>
        <v>0.55844800000000028</v>
      </c>
      <c r="FR566" s="142">
        <f t="shared" si="439"/>
        <v>0</v>
      </c>
      <c r="FS566" s="119">
        <f t="shared" si="439"/>
        <v>-16.7</v>
      </c>
      <c r="FT566" s="121">
        <f t="shared" si="438"/>
        <v>-1.8000000000000007</v>
      </c>
      <c r="FU566" s="121">
        <f t="shared" si="452"/>
        <v>2</v>
      </c>
      <c r="FV566" s="121">
        <f t="shared" si="452"/>
        <v>-1.6999999999999993</v>
      </c>
      <c r="FW566" s="121">
        <f t="shared" si="453"/>
        <v>-215.7561589229</v>
      </c>
      <c r="FX566" s="121">
        <f>CN566-ES566</f>
        <v>-2</v>
      </c>
      <c r="FY566" s="144">
        <f t="shared" si="454"/>
        <v>-6.9264069264069333E-3</v>
      </c>
      <c r="FZ566" s="145"/>
      <c r="GA566" s="151"/>
      <c r="GB566" s="145" t="s">
        <v>199</v>
      </c>
      <c r="GC566" s="151" t="s">
        <v>1762</v>
      </c>
      <c r="GD566" s="997" t="s">
        <v>416</v>
      </c>
      <c r="GE566" s="1004" t="s">
        <v>199</v>
      </c>
      <c r="GF566" s="1004">
        <v>-1.4358600960000003</v>
      </c>
      <c r="GG566" s="1004"/>
      <c r="GH566" s="1004">
        <v>-7.144790399999934E-2</v>
      </c>
      <c r="GI566" s="145"/>
      <c r="GJ566" s="996">
        <v>-0.14630000000000098</v>
      </c>
      <c r="GK566" s="145"/>
      <c r="GL566" s="996">
        <v>0</v>
      </c>
      <c r="GM566" s="1005"/>
      <c r="GN566" s="996">
        <v>0</v>
      </c>
      <c r="GO566" s="1006"/>
      <c r="GP566" s="996">
        <v>-0.17555999999999994</v>
      </c>
      <c r="GQ566" s="1006"/>
      <c r="GR566" s="996">
        <v>-0.90242020000000078</v>
      </c>
      <c r="GS566" s="1006"/>
      <c r="GT566" s="996">
        <v>0.71423660000000133</v>
      </c>
      <c r="GU566" s="1006" t="s">
        <v>199</v>
      </c>
      <c r="GV566" s="996">
        <v>1.6261036</v>
      </c>
      <c r="GW566" s="1006"/>
      <c r="GX566" s="996">
        <v>-0.82663680000000062</v>
      </c>
      <c r="GY566" s="1006" t="s">
        <v>199</v>
      </c>
      <c r="GZ566" s="996">
        <v>-1.993893439999999</v>
      </c>
      <c r="HA566" s="1006"/>
      <c r="HB566" s="996">
        <v>0.78737322399999954</v>
      </c>
      <c r="HC566" s="1006" t="s">
        <v>241</v>
      </c>
      <c r="HD566" s="996">
        <v>0</v>
      </c>
      <c r="HE566" s="1006"/>
      <c r="HF566" s="996">
        <v>0</v>
      </c>
      <c r="HG566" s="1006"/>
      <c r="HH566" s="996">
        <v>0</v>
      </c>
      <c r="HI566" s="1006"/>
      <c r="HJ566" s="996">
        <v>-0.68409487080000009</v>
      </c>
      <c r="HK566" s="1006"/>
      <c r="HL566" s="996">
        <v>0</v>
      </c>
      <c r="HM566" s="1006" t="s">
        <v>199</v>
      </c>
      <c r="HN566" s="996">
        <v>0.98086375200000031</v>
      </c>
      <c r="HO566" s="1006" t="s">
        <v>221</v>
      </c>
      <c r="HP566" s="996">
        <v>1.7456415679999995</v>
      </c>
      <c r="HQ566" s="1006" t="s">
        <v>239</v>
      </c>
      <c r="HR566" s="996">
        <v>-2.418547999999999</v>
      </c>
      <c r="HS566" s="1006"/>
      <c r="HT566" s="996">
        <v>0</v>
      </c>
      <c r="HU566" s="1006"/>
      <c r="HV566" s="996">
        <v>0</v>
      </c>
      <c r="HW566" s="1006"/>
      <c r="HX566" s="996">
        <v>0.49879103999999952</v>
      </c>
      <c r="HY566" s="1006"/>
      <c r="HZ566" s="996">
        <v>-0.18290007999999958</v>
      </c>
      <c r="IA566" s="1006" t="s">
        <v>204</v>
      </c>
      <c r="IB566" s="996">
        <v>-1.3351499348000013</v>
      </c>
      <c r="IC566" s="1006" t="s">
        <v>221</v>
      </c>
      <c r="ID566" s="996">
        <v>-1.438383729199999</v>
      </c>
      <c r="IE566" s="1006"/>
      <c r="IF566" s="996">
        <v>0</v>
      </c>
      <c r="IG566" s="1006" t="s">
        <v>199</v>
      </c>
      <c r="IH566" s="996">
        <v>3.8675801119999993</v>
      </c>
      <c r="II566" s="1006"/>
      <c r="IJ566" s="996">
        <v>0</v>
      </c>
      <c r="IK566" s="1006" t="s">
        <v>199</v>
      </c>
      <c r="IL566" s="996">
        <v>-2.6890174079999993</v>
      </c>
      <c r="IM566" s="1006" t="s">
        <v>199</v>
      </c>
      <c r="IN566" s="996">
        <v>1.8050075999999997</v>
      </c>
      <c r="IO566" s="1006" t="s">
        <v>199</v>
      </c>
      <c r="IP566" s="996">
        <v>-2.4458015999999994</v>
      </c>
      <c r="IQ566" s="1006"/>
      <c r="IR566" s="996">
        <v>-0.2167747999999996</v>
      </c>
      <c r="IS566" s="1006" t="s">
        <v>204</v>
      </c>
      <c r="IT566" s="996">
        <v>-2.2205898880000019</v>
      </c>
      <c r="IU566" s="1006" t="s">
        <v>199</v>
      </c>
      <c r="IV566" s="996">
        <v>4.7217346880000006</v>
      </c>
      <c r="IW566" s="1006"/>
      <c r="IX566" s="996">
        <v>0</v>
      </c>
      <c r="IY566" s="1006"/>
      <c r="IZ566" s="996">
        <v>0</v>
      </c>
      <c r="JA566" s="1006" t="s">
        <v>199</v>
      </c>
      <c r="JB566" s="996">
        <v>-1.210528</v>
      </c>
      <c r="JC566" s="1006" t="s">
        <v>199</v>
      </c>
      <c r="JD566" s="996">
        <v>-3.0831679999999997</v>
      </c>
      <c r="JE566" s="1006"/>
      <c r="JF566" s="996">
        <v>0</v>
      </c>
      <c r="JG566" s="1006"/>
      <c r="JH566" s="996">
        <v>0</v>
      </c>
      <c r="JI566" s="1006"/>
      <c r="JJ566" s="996">
        <v>0</v>
      </c>
      <c r="JK566" s="1007"/>
      <c r="JL566" s="1007">
        <v>0</v>
      </c>
      <c r="JM566" s="1007" t="s">
        <v>204</v>
      </c>
      <c r="JN566" s="1007">
        <v>-2.5966159999999991</v>
      </c>
      <c r="JO566" s="1008"/>
      <c r="JP566" s="1007">
        <v>0</v>
      </c>
      <c r="JQ566" s="1008" t="s">
        <v>203</v>
      </c>
      <c r="JR566" s="1007">
        <v>-8.6463300000000025</v>
      </c>
      <c r="JS566" s="1008">
        <v>0</v>
      </c>
      <c r="JT566" s="1007">
        <v>0</v>
      </c>
      <c r="JU566" s="1008"/>
      <c r="JV566" s="1007">
        <v>-2.2013999999998646E-2</v>
      </c>
      <c r="JW566" s="1008" t="s">
        <v>197</v>
      </c>
      <c r="JX566" s="1007">
        <v>12.7503376</v>
      </c>
      <c r="JY566" s="1008"/>
      <c r="JZ566" s="1007">
        <v>-4.18</v>
      </c>
      <c r="KA566" s="1008"/>
      <c r="KB566" s="1007">
        <v>0</v>
      </c>
      <c r="KC566" s="1008"/>
      <c r="KD566" s="1007">
        <v>0</v>
      </c>
      <c r="KE566" s="1008"/>
      <c r="KF566" s="1007">
        <v>0</v>
      </c>
      <c r="KG566" s="1008"/>
      <c r="KH566" s="1007">
        <v>0</v>
      </c>
      <c r="KI566" s="1008"/>
      <c r="KJ566" s="1007">
        <v>0</v>
      </c>
      <c r="KK566" s="1008"/>
      <c r="KL566" s="1007">
        <v>0</v>
      </c>
      <c r="KM566" s="1008"/>
      <c r="KN566" s="1007">
        <v>0</v>
      </c>
      <c r="KO566" s="1008"/>
      <c r="KP566" s="1007">
        <v>0</v>
      </c>
      <c r="KQ566" s="1008">
        <v>0</v>
      </c>
      <c r="KR566" s="1007">
        <v>0</v>
      </c>
      <c r="KS566" s="1008">
        <v>0</v>
      </c>
      <c r="KT566" s="1007">
        <v>0</v>
      </c>
      <c r="KU566" s="1008">
        <v>0</v>
      </c>
      <c r="KV566" s="1007">
        <v>0</v>
      </c>
      <c r="KW566" s="1008">
        <v>0</v>
      </c>
      <c r="KX566" s="1007">
        <v>0</v>
      </c>
      <c r="KY566" s="1008">
        <v>0</v>
      </c>
      <c r="KZ566" s="1007">
        <v>0</v>
      </c>
      <c r="LA566" s="1008" t="s">
        <v>223</v>
      </c>
      <c r="LB566" s="1007">
        <v>-1.6719999999999997</v>
      </c>
      <c r="LC566" s="1008" t="s">
        <v>199</v>
      </c>
      <c r="LD566" s="1007">
        <v>1.6719999999999997</v>
      </c>
      <c r="LE566" s="1008">
        <v>0</v>
      </c>
      <c r="LF566" s="1007">
        <v>0</v>
      </c>
      <c r="LG566" s="1008">
        <v>0</v>
      </c>
      <c r="LH566" s="1007">
        <v>0</v>
      </c>
      <c r="LI566" s="1008">
        <v>0</v>
      </c>
      <c r="LJ566" s="1007">
        <v>0</v>
      </c>
      <c r="LK566" s="1008" t="s">
        <v>203</v>
      </c>
      <c r="LL566" s="1007">
        <v>-2.6751999999999976</v>
      </c>
      <c r="LM566" s="1008">
        <v>0</v>
      </c>
      <c r="LN566" s="1007">
        <v>0</v>
      </c>
      <c r="LO566" s="1008" t="s">
        <v>206</v>
      </c>
      <c r="LP566" s="1007">
        <v>-1.8680000000000001</v>
      </c>
      <c r="LQ566" s="1008" t="s">
        <v>204</v>
      </c>
      <c r="LR566" s="1007">
        <v>-4.2636000000000003</v>
      </c>
      <c r="LS566" s="1008">
        <v>0</v>
      </c>
      <c r="LT566" s="1007">
        <v>0</v>
      </c>
      <c r="LU566" s="1008">
        <v>0</v>
      </c>
      <c r="LV566" s="1007">
        <v>0</v>
      </c>
      <c r="LW566" s="1008">
        <v>0</v>
      </c>
      <c r="LX566" s="1007">
        <v>8.4436</v>
      </c>
      <c r="LY566" s="1009">
        <v>0</v>
      </c>
      <c r="LZ566" s="1010">
        <v>-0.41799999999999998</v>
      </c>
      <c r="MA566" s="1011">
        <v>0</v>
      </c>
      <c r="MB566" s="1012">
        <v>0</v>
      </c>
      <c r="MC566" s="995"/>
      <c r="MD566" s="996"/>
      <c r="ME566" s="997" t="s">
        <v>416</v>
      </c>
      <c r="MF566" s="997"/>
      <c r="MG566" s="998"/>
      <c r="NR566" s="1000"/>
      <c r="NS566" s="1000"/>
      <c r="NT566" s="1001"/>
      <c r="NU566" s="1000"/>
      <c r="NV566" s="1001"/>
      <c r="NX566" s="1002"/>
      <c r="NZ566" s="1001"/>
      <c r="OA566" s="1001"/>
      <c r="OC566" s="1003"/>
      <c r="OD566" s="1003"/>
      <c r="OE566" s="1001"/>
      <c r="OF566" s="1003"/>
      <c r="OG566" s="1003"/>
      <c r="QX566" s="1000">
        <f>CN566-CA566</f>
        <v>28</v>
      </c>
      <c r="ASU566" s="999" t="s">
        <v>208</v>
      </c>
    </row>
    <row r="567" spans="1:466 1191:1191" ht="21" customHeight="1" x14ac:dyDescent="0.25">
      <c r="A567" s="982">
        <f t="shared" si="441"/>
        <v>3307</v>
      </c>
      <c r="B567" s="124">
        <f>SUBTOTAL(103,$J$29:J567)</f>
        <v>539</v>
      </c>
      <c r="C567" s="126">
        <v>45068</v>
      </c>
      <c r="D567" s="124" t="s">
        <v>176</v>
      </c>
      <c r="E567" s="127" t="s">
        <v>177</v>
      </c>
      <c r="F567" s="128" t="s">
        <v>177</v>
      </c>
      <c r="G567" s="127" t="s">
        <v>178</v>
      </c>
      <c r="H567" s="127" t="s">
        <v>408</v>
      </c>
      <c r="I567" s="127" t="s">
        <v>733</v>
      </c>
      <c r="J567" s="152">
        <v>3307</v>
      </c>
      <c r="K567" s="127" t="s">
        <v>975</v>
      </c>
      <c r="L567" s="130">
        <v>42047</v>
      </c>
      <c r="M567" s="127" t="s">
        <v>230</v>
      </c>
      <c r="N567" s="127" t="s">
        <v>231</v>
      </c>
      <c r="O567" s="127" t="s">
        <v>185</v>
      </c>
      <c r="P567" s="127" t="s">
        <v>186</v>
      </c>
      <c r="Q567" s="85" t="str">
        <f t="shared" si="423"/>
        <v/>
      </c>
      <c r="R567" s="130"/>
      <c r="S567" s="128"/>
      <c r="T567" s="131"/>
      <c r="U567" s="132">
        <v>203</v>
      </c>
      <c r="V567" s="121">
        <v>218.2</v>
      </c>
      <c r="W567" s="116">
        <v>0.98</v>
      </c>
      <c r="X567" s="116">
        <v>1.66</v>
      </c>
      <c r="Y567" s="116">
        <f t="shared" si="463"/>
        <v>1.1511789181692094</v>
      </c>
      <c r="Z567" s="133">
        <v>1.454</v>
      </c>
      <c r="AA567" s="133">
        <v>0.83599999999999997</v>
      </c>
      <c r="AB567" s="133">
        <v>0.72</v>
      </c>
      <c r="AC567" s="121">
        <v>34.299999999999997</v>
      </c>
      <c r="AD567" s="134">
        <v>1.17</v>
      </c>
      <c r="AE567" s="124">
        <v>177.8</v>
      </c>
      <c r="AF567" s="128">
        <v>9.19</v>
      </c>
      <c r="AG567" s="128">
        <v>2168</v>
      </c>
      <c r="AH567" s="127" t="s">
        <v>1954</v>
      </c>
      <c r="AI567" s="127" t="s">
        <v>1954</v>
      </c>
      <c r="AJ567" s="135"/>
      <c r="AK567" s="128"/>
      <c r="AL567" s="131"/>
      <c r="AM567" s="124" t="s">
        <v>232</v>
      </c>
      <c r="AN567" s="136" t="s">
        <v>1955</v>
      </c>
      <c r="AO567" s="137" t="s">
        <v>1956</v>
      </c>
      <c r="AP567" s="128">
        <v>2008</v>
      </c>
      <c r="AQ567" s="128">
        <v>280</v>
      </c>
      <c r="AR567" s="128"/>
      <c r="AS567" s="128"/>
      <c r="AT567" s="122"/>
      <c r="AU567" s="124" t="s">
        <v>189</v>
      </c>
      <c r="AV567" s="115">
        <f>VLOOKUP(J567,'[63]ТР нефть'!$J$28:$BP$638,39,0)</f>
        <v>550.00002861300004</v>
      </c>
      <c r="AW567" s="115" t="str">
        <f>VLOOKUP(J567,'[63]ТР нефть'!$J$28:$BP$638,40,0)</f>
        <v>ГП</v>
      </c>
      <c r="AX567" s="115">
        <f>VLOOKUP(J567,'[63]ТР нефть'!$J$28:$BP$638,41,0)</f>
        <v>989.99999941399994</v>
      </c>
      <c r="AY567" s="115" t="str">
        <f>VLOOKUP(J567,'[63]ТР нефть'!$J$28:$BP$638,42,0)</f>
        <v>ГП</v>
      </c>
      <c r="AZ567" s="115">
        <f>VLOOKUP(J567,'[63]ТР нефть'!$J$28:$BP$638,43,0)</f>
        <v>1370.000097656</v>
      </c>
      <c r="BA567" s="115" t="str">
        <f>VLOOKUP(J567,'[63]ТР нефть'!$J$28:$BP$638,44,0)</f>
        <v>ГК 81 1/8</v>
      </c>
      <c r="BB567" s="115">
        <f>VLOOKUP(J567,'[63]ТР нефть'!$J$28:$BP$638,45,0)</f>
        <v>1670.000092969</v>
      </c>
      <c r="BC567" s="115" t="str">
        <f>VLOOKUP(J567,'[63]ТР нефть'!$J$28:$BP$638,46,0)</f>
        <v>ГК 79 1/8</v>
      </c>
      <c r="BD567" s="115">
        <f>VLOOKUP(J567,'[63]ТР нефть'!$J$28:$BP$638,47,0)</f>
        <v>1904.0000238279999</v>
      </c>
      <c r="BE567" s="115" t="str">
        <f>VLOOKUP(J567,'[63]ТР нефть'!$J$28:$BP$638,48,0)</f>
        <v>ЦКсОК 5/16</v>
      </c>
      <c r="BF567" s="115" t="str">
        <f>VLOOKUP(J567,'[63]ТР нефть'!$J$28:$BP$638,49,0)</f>
        <v>-</v>
      </c>
      <c r="BG567" s="115" t="str">
        <f>VLOOKUP(J567,'[63]ТР нефть'!$J$28:$BP$638,50,0)</f>
        <v>-</v>
      </c>
      <c r="BH567" s="115">
        <f>VLOOKUP(J567,'[63]ТР нефть'!$J$28:$BP$638,51,0)</f>
        <v>1914</v>
      </c>
      <c r="BI567" s="115" t="str">
        <f>VLOOKUP(J567,'[63]ТР нефть'!$J$28:$BP$638,52,0)</f>
        <v>закрыт</v>
      </c>
      <c r="BJ567" s="115" t="str">
        <f>IF(IFERROR(VLOOKUP(J567,'[63]ТР нефть'!$J$28:$BP$638,53,0),"-")=0,"-",IFERROR(VLOOKUP(J567,'[63]ТР нефть'!$J$28:$BP$638,53,0),"-"))</f>
        <v>-</v>
      </c>
      <c r="BK567" s="138" t="str">
        <f>IF(IFERROR(VLOOKUP(J567,'[63]ТР нефть'!$J$28:$BP$638,54,0),"-")=0,"-",IFERROR(VLOOKUP(J567,'[63]ТР нефть'!$J$28:$BP$638,54,0),"-"))</f>
        <v>-</v>
      </c>
      <c r="BL567" s="138" t="str">
        <f>IF(IFERROR(VLOOKUP(J567,'[63]ТР нефть'!$J$28:$BP$638,55,0),"-")=0,"-",IFERROR(VLOOKUP(J567,'[63]ТР нефть'!$J$28:$BP$638,55,0),"-"))</f>
        <v>-</v>
      </c>
      <c r="BM567" s="138" t="str">
        <f>IF(IFERROR(VLOOKUP(J567,'[63]ТР нефть'!$J$28:$BP$638,56,0),"-")=0,"-",IFERROR(VLOOKUP(J567,'[63]ТР нефть'!$J$28:$BP$638,56,0),"-"))</f>
        <v>-</v>
      </c>
      <c r="BN567" s="138" t="str">
        <f>IF(IFERROR(VLOOKUP(J567,'[63]ТР нефть'!$J$28:$BP$638,57,0),"-")=0,"-",IFERROR(VLOOKUP(J567,'[63]ТР нефть'!$J$28:$BP$638,57,0),"-"))</f>
        <v>-</v>
      </c>
      <c r="BO567" s="115" t="str">
        <f>IF(IFERROR(VLOOKUP(J567,'[63]ТР нефть'!$J$28:$BP$638,58,0),"-")=0,"-",IFERROR(VLOOKUP(J567,'[63]ТР нефть'!$J$28:$BP$638,58,0),"-"))</f>
        <v>-</v>
      </c>
      <c r="BP567" s="115" t="str">
        <f>IF(IFERROR(VLOOKUP(J567,'[63]ТР нефть'!$J$28:$BP$638,59,0),"-")=0,"-",IFERROR(VLOOKUP(J567,'[63]ТР нефть'!$J$28:$BP$638,59,0),"-"))</f>
        <v>-</v>
      </c>
      <c r="BQ567" s="138">
        <v>2260</v>
      </c>
      <c r="BR567" s="128">
        <v>1901</v>
      </c>
      <c r="BS567" s="115">
        <f t="shared" si="437"/>
        <v>359</v>
      </c>
      <c r="BT567" s="128">
        <v>73</v>
      </c>
      <c r="BU567" s="128">
        <v>5.5</v>
      </c>
      <c r="BV567" s="127">
        <v>18</v>
      </c>
      <c r="BW567" s="127" t="s">
        <v>217</v>
      </c>
      <c r="BX567" s="127" t="s">
        <v>195</v>
      </c>
      <c r="BY567" s="139">
        <v>24</v>
      </c>
      <c r="BZ567" s="139">
        <v>0</v>
      </c>
      <c r="CA567" s="138">
        <v>23</v>
      </c>
      <c r="CB567" s="138">
        <v>56</v>
      </c>
      <c r="CC567" s="138">
        <v>23</v>
      </c>
      <c r="CD567" s="135">
        <v>45017</v>
      </c>
      <c r="CE567" s="138">
        <v>109</v>
      </c>
      <c r="CF567" s="138">
        <v>65</v>
      </c>
      <c r="CG567" s="138" t="str">
        <f t="shared" si="458"/>
        <v>В работе</v>
      </c>
      <c r="CH567" s="138" t="s">
        <v>196</v>
      </c>
      <c r="CI567" s="127">
        <v>6</v>
      </c>
      <c r="CJ567" s="138"/>
      <c r="CK567" s="138"/>
      <c r="CL567" s="99"/>
      <c r="CM567" s="99"/>
      <c r="CN567" s="140">
        <v>74</v>
      </c>
      <c r="CO567" s="159">
        <f t="shared" si="442"/>
        <v>4.8460411999999993</v>
      </c>
      <c r="CP567" s="142">
        <v>9.1</v>
      </c>
      <c r="CQ567" s="119">
        <v>36.299999999999997</v>
      </c>
      <c r="CR567" s="115">
        <v>14</v>
      </c>
      <c r="CS567" s="139">
        <v>7</v>
      </c>
      <c r="CT567" s="138"/>
      <c r="CU567" s="138">
        <f t="shared" si="465"/>
        <v>7</v>
      </c>
      <c r="CV567" s="115">
        <f t="shared" si="466"/>
        <v>1444.4780205335442</v>
      </c>
      <c r="CW567" s="115">
        <f t="shared" si="443"/>
        <v>807.26421547883945</v>
      </c>
      <c r="CX567" s="133">
        <f t="shared" si="467"/>
        <v>0.26</v>
      </c>
      <c r="CY567" s="116"/>
      <c r="CZ567" s="131"/>
      <c r="DA567" s="145" t="str">
        <f t="shared" si="444"/>
        <v>Газлифт</v>
      </c>
      <c r="DB567" s="146">
        <f t="shared" si="468"/>
        <v>4.8460411999999993</v>
      </c>
      <c r="DC567" s="142">
        <f t="shared" si="469"/>
        <v>9.1</v>
      </c>
      <c r="DD567" s="119">
        <f t="shared" si="470"/>
        <v>36.299999999999997</v>
      </c>
      <c r="DE567" s="115">
        <f t="shared" si="471"/>
        <v>7</v>
      </c>
      <c r="DF567" s="121">
        <f t="shared" si="472"/>
        <v>7</v>
      </c>
      <c r="DG567" s="115">
        <f t="shared" si="446"/>
        <v>1444.4780205335442</v>
      </c>
      <c r="DH567" s="115">
        <f t="shared" si="447"/>
        <v>74</v>
      </c>
      <c r="DI567" s="147"/>
      <c r="DJ567" s="111">
        <v>43475</v>
      </c>
      <c r="DK567" s="112">
        <v>43546.083333333336</v>
      </c>
      <c r="DL567" s="113">
        <f t="shared" ca="1" si="424"/>
        <v>1557.9166666666642</v>
      </c>
      <c r="DM567" s="114"/>
      <c r="DN567" s="114"/>
      <c r="DO567" s="114"/>
      <c r="DP567" s="114"/>
      <c r="DQ567" s="112">
        <v>43517.208333333336</v>
      </c>
      <c r="DR567" s="114" t="s">
        <v>282</v>
      </c>
      <c r="DS567" s="114"/>
      <c r="DT567" s="115">
        <v>60</v>
      </c>
      <c r="DU567" s="116">
        <f t="shared" si="425"/>
        <v>0.24268727705112961</v>
      </c>
      <c r="DV567" s="117">
        <f t="shared" si="428"/>
        <v>6.3326983101070153</v>
      </c>
      <c r="DW567" s="118">
        <f t="shared" si="429"/>
        <v>11.89167657550535</v>
      </c>
      <c r="DX567" s="119">
        <f t="shared" si="430"/>
        <v>36.299999999999997</v>
      </c>
      <c r="DY567" s="115">
        <f t="shared" si="431"/>
        <v>9.1474435196195003</v>
      </c>
      <c r="DZ567" s="117">
        <f t="shared" si="440"/>
        <v>1.4866571101070161</v>
      </c>
      <c r="EA567" s="120">
        <f t="shared" si="440"/>
        <v>2.7916765755053508</v>
      </c>
      <c r="EB567" s="119">
        <f t="shared" si="440"/>
        <v>0</v>
      </c>
      <c r="EC567" s="121">
        <f t="shared" si="464"/>
        <v>2.1474435196195003</v>
      </c>
      <c r="ED567" s="122"/>
      <c r="EE567" s="145">
        <v>18</v>
      </c>
      <c r="EF567" s="115">
        <v>23</v>
      </c>
      <c r="EG567" s="115">
        <v>52</v>
      </c>
      <c r="EH567" s="115">
        <v>23</v>
      </c>
      <c r="EI567" s="128" t="s">
        <v>195</v>
      </c>
      <c r="EJ567" s="121">
        <v>24</v>
      </c>
      <c r="EK567" s="121">
        <v>0</v>
      </c>
      <c r="EL567" s="162">
        <v>4.8460411999999993</v>
      </c>
      <c r="EM567" s="142">
        <v>9.1</v>
      </c>
      <c r="EN567" s="119">
        <v>36.299999999999997</v>
      </c>
      <c r="EO567" s="115">
        <v>11</v>
      </c>
      <c r="EP567" s="115">
        <v>784.14521114678109</v>
      </c>
      <c r="EQ567" s="115">
        <v>64</v>
      </c>
      <c r="ER567" s="115">
        <v>7.2</v>
      </c>
      <c r="ES567" s="115">
        <v>75</v>
      </c>
      <c r="ET567" s="150">
        <v>0.2676470588235294</v>
      </c>
      <c r="EU567" s="145">
        <f t="shared" si="457"/>
        <v>18</v>
      </c>
      <c r="EV567" s="115">
        <f t="shared" si="448"/>
        <v>23</v>
      </c>
      <c r="EW567" s="115">
        <f t="shared" si="448"/>
        <v>56</v>
      </c>
      <c r="EX567" s="115">
        <f t="shared" si="448"/>
        <v>23</v>
      </c>
      <c r="EY567" s="115" t="str">
        <f t="shared" si="434"/>
        <v>Постоянный</v>
      </c>
      <c r="EZ567" s="115">
        <f t="shared" si="434"/>
        <v>24</v>
      </c>
      <c r="FA567" s="115">
        <f t="shared" si="434"/>
        <v>0</v>
      </c>
      <c r="FB567" s="149">
        <f t="shared" si="461"/>
        <v>4.8460411999999993</v>
      </c>
      <c r="FC567" s="142">
        <f t="shared" si="461"/>
        <v>9.1</v>
      </c>
      <c r="FD567" s="119">
        <f t="shared" si="461"/>
        <v>36.299999999999997</v>
      </c>
      <c r="FE567" s="121">
        <f t="shared" si="460"/>
        <v>14</v>
      </c>
      <c r="FF567" s="121">
        <f t="shared" si="462"/>
        <v>1444.4780205335442</v>
      </c>
      <c r="FG567" s="121">
        <f t="shared" si="449"/>
        <v>65</v>
      </c>
      <c r="FH567" s="121">
        <f t="shared" si="436"/>
        <v>7</v>
      </c>
      <c r="FI567" s="121">
        <f t="shared" si="427"/>
        <v>74</v>
      </c>
      <c r="FJ567" s="144">
        <f t="shared" si="450"/>
        <v>0.26</v>
      </c>
      <c r="FK567" s="132">
        <f t="shared" si="451"/>
        <v>0</v>
      </c>
      <c r="FL567" s="115">
        <f t="shared" si="451"/>
        <v>0</v>
      </c>
      <c r="FM567" s="115">
        <f t="shared" si="451"/>
        <v>4</v>
      </c>
      <c r="FN567" s="115">
        <f t="shared" si="451"/>
        <v>0</v>
      </c>
      <c r="FO567" s="115">
        <f t="shared" si="439"/>
        <v>0</v>
      </c>
      <c r="FP567" s="115">
        <f t="shared" si="439"/>
        <v>0</v>
      </c>
      <c r="FQ567" s="149">
        <f t="shared" si="439"/>
        <v>0</v>
      </c>
      <c r="FR567" s="142">
        <f t="shared" si="439"/>
        <v>0</v>
      </c>
      <c r="FS567" s="119">
        <f t="shared" si="439"/>
        <v>0</v>
      </c>
      <c r="FT567" s="121">
        <f t="shared" si="438"/>
        <v>3</v>
      </c>
      <c r="FU567" s="121">
        <f t="shared" si="452"/>
        <v>1</v>
      </c>
      <c r="FV567" s="121">
        <f t="shared" si="452"/>
        <v>-0.20000000000000018</v>
      </c>
      <c r="FW567" s="121">
        <f t="shared" si="453"/>
        <v>660.33280938676307</v>
      </c>
      <c r="FX567" s="121">
        <f>CN567-ES567</f>
        <v>-1</v>
      </c>
      <c r="FY567" s="144">
        <f t="shared" si="454"/>
        <v>-7.6470588235293957E-3</v>
      </c>
      <c r="FZ567" s="145"/>
      <c r="GA567" s="151"/>
      <c r="GB567" s="145" t="s">
        <v>199</v>
      </c>
      <c r="GC567" s="151" t="s">
        <v>1957</v>
      </c>
      <c r="GD567" s="997" t="s">
        <v>416</v>
      </c>
      <c r="GE567" s="1004" t="s">
        <v>199</v>
      </c>
      <c r="GF567" s="1004">
        <v>-0.86467480000000041</v>
      </c>
      <c r="GG567" s="1004"/>
      <c r="GH567" s="1004">
        <v>-0.11286000000000129</v>
      </c>
      <c r="GI567" s="145" t="s">
        <v>199</v>
      </c>
      <c r="GJ567" s="996">
        <v>1.2088560000000017</v>
      </c>
      <c r="GK567" s="145" t="s">
        <v>207</v>
      </c>
      <c r="GL567" s="996">
        <v>-1.8852800000000007</v>
      </c>
      <c r="GM567" s="1005"/>
      <c r="GN567" s="996">
        <v>0</v>
      </c>
      <c r="GO567" s="1006"/>
      <c r="GP567" s="996">
        <v>0</v>
      </c>
      <c r="GQ567" s="1006"/>
      <c r="GR567" s="996">
        <v>0.80732520000000019</v>
      </c>
      <c r="GS567" s="1006"/>
      <c r="GT567" s="996">
        <v>-7.4989199999999201E-2</v>
      </c>
      <c r="GU567" s="1006"/>
      <c r="GV567" s="996">
        <v>-0.19562399999999958</v>
      </c>
      <c r="GW567" s="1006" t="s">
        <v>204</v>
      </c>
      <c r="GX567" s="996">
        <v>-1.9858716020000013</v>
      </c>
      <c r="GY567" s="1006" t="s">
        <v>199</v>
      </c>
      <c r="GZ567" s="996">
        <v>2.5993284019999985</v>
      </c>
      <c r="HA567" s="1006"/>
      <c r="HB567" s="996">
        <v>0.12222320000000142</v>
      </c>
      <c r="HC567" s="1006" t="s">
        <v>199</v>
      </c>
      <c r="HD567" s="996">
        <v>2.9863107119999999</v>
      </c>
      <c r="HE567" s="1006" t="s">
        <v>146</v>
      </c>
      <c r="HF567" s="996">
        <v>1.1223993879999998</v>
      </c>
      <c r="HG567" s="1006"/>
      <c r="HH567" s="996">
        <v>0.40070065199999938</v>
      </c>
      <c r="HI567" s="1006"/>
      <c r="HJ567" s="996">
        <v>0</v>
      </c>
      <c r="HK567" s="1006"/>
      <c r="HL567" s="996">
        <v>0</v>
      </c>
      <c r="HM567" s="1006" t="s">
        <v>199</v>
      </c>
      <c r="HN567" s="996">
        <v>-1.805831895999999</v>
      </c>
      <c r="HO567" s="1006" t="s">
        <v>349</v>
      </c>
      <c r="HP567" s="996">
        <v>-0.99606557599999945</v>
      </c>
      <c r="HQ567" s="1006" t="s">
        <v>221</v>
      </c>
      <c r="HR567" s="996">
        <v>-6.5232542400000018</v>
      </c>
      <c r="HS567" s="1006"/>
      <c r="HT567" s="996">
        <v>0</v>
      </c>
      <c r="HU567" s="1006" t="s">
        <v>199</v>
      </c>
      <c r="HV567" s="996">
        <v>1.3265062799999985</v>
      </c>
      <c r="HW567" s="1006"/>
      <c r="HX567" s="996">
        <v>1.0826200000000341E-2</v>
      </c>
      <c r="HY567" s="1006" t="s">
        <v>199</v>
      </c>
      <c r="HZ567" s="996">
        <v>3.1835128291999988</v>
      </c>
      <c r="IA567" s="1006"/>
      <c r="IB567" s="996">
        <v>0</v>
      </c>
      <c r="IC567" s="1006"/>
      <c r="ID567" s="996">
        <v>-0.87046802920000044</v>
      </c>
      <c r="IE567" s="1006"/>
      <c r="IF567" s="996">
        <v>0.43242100000000239</v>
      </c>
      <c r="IG567" s="1006"/>
      <c r="IH567" s="996">
        <v>0</v>
      </c>
      <c r="II567" s="1006" t="s">
        <v>199</v>
      </c>
      <c r="IJ567" s="996">
        <v>-2.7270320000000021</v>
      </c>
      <c r="IK567" s="1006"/>
      <c r="IL567" s="996">
        <v>0</v>
      </c>
      <c r="IM567" s="1006" t="s">
        <v>204</v>
      </c>
      <c r="IN567" s="996">
        <v>-1.1486639999999984</v>
      </c>
      <c r="IO567" s="1006" t="s">
        <v>199</v>
      </c>
      <c r="IP567" s="996">
        <v>3.6726750719999988</v>
      </c>
      <c r="IQ567" s="1006"/>
      <c r="IR567" s="996">
        <v>0.46885638800000073</v>
      </c>
      <c r="IS567" s="1006" t="s">
        <v>199</v>
      </c>
      <c r="IT567" s="996">
        <v>-3.7366767240000005</v>
      </c>
      <c r="IU567" s="1006" t="s">
        <v>199</v>
      </c>
      <c r="IV567" s="996">
        <v>-2.1956386319999996</v>
      </c>
      <c r="IW567" s="1006"/>
      <c r="IX567" s="996">
        <v>0</v>
      </c>
      <c r="IY567" s="1006"/>
      <c r="IZ567" s="996">
        <v>0</v>
      </c>
      <c r="JA567" s="1006"/>
      <c r="JB567" s="996">
        <v>0</v>
      </c>
      <c r="JC567" s="1006"/>
      <c r="JD567" s="996">
        <v>0</v>
      </c>
      <c r="JE567" s="1006"/>
      <c r="JF567" s="996">
        <v>0</v>
      </c>
      <c r="JG567" s="1006" t="s">
        <v>199</v>
      </c>
      <c r="JH567" s="996">
        <v>-2.1935921039999986</v>
      </c>
      <c r="JI567" s="1006"/>
      <c r="JJ567" s="996">
        <v>0</v>
      </c>
      <c r="JK567" s="1007"/>
      <c r="JL567" s="1007">
        <v>-0.72732000000000063</v>
      </c>
      <c r="JM567" s="1007"/>
      <c r="JN567" s="1007">
        <v>0</v>
      </c>
      <c r="JO567" s="1008"/>
      <c r="JP567" s="1007">
        <v>0</v>
      </c>
      <c r="JQ567" s="1008">
        <v>0</v>
      </c>
      <c r="JR567" s="1007">
        <v>0</v>
      </c>
      <c r="JS567" s="1008">
        <v>0</v>
      </c>
      <c r="JT567" s="1007">
        <v>0</v>
      </c>
      <c r="JU567" s="1008" t="s">
        <v>199</v>
      </c>
      <c r="JV567" s="1007">
        <v>-11.645480000000001</v>
      </c>
      <c r="JW567" s="1008" t="s">
        <v>206</v>
      </c>
      <c r="JX567" s="1007">
        <v>-4.9491199999999935</v>
      </c>
      <c r="JY567" s="1008" t="s">
        <v>349</v>
      </c>
      <c r="JZ567" s="1007">
        <v>3.2195404999999937</v>
      </c>
      <c r="KA567" s="1008"/>
      <c r="KB567" s="1007">
        <v>24.936939500000001</v>
      </c>
      <c r="KC567" s="1008"/>
      <c r="KD567" s="1007">
        <v>0</v>
      </c>
      <c r="KE567" s="1008"/>
      <c r="KF567" s="1007">
        <v>0</v>
      </c>
      <c r="KG567" s="1008"/>
      <c r="KH567" s="1007">
        <v>0</v>
      </c>
      <c r="KI567" s="1008"/>
      <c r="KJ567" s="1007">
        <v>0</v>
      </c>
      <c r="KK567" s="1008"/>
      <c r="KL567" s="1007">
        <v>0</v>
      </c>
      <c r="KM567" s="1008"/>
      <c r="KN567" s="1007">
        <v>0</v>
      </c>
      <c r="KO567" s="1008"/>
      <c r="KP567" s="1007">
        <v>0</v>
      </c>
      <c r="KQ567" s="1008" t="s">
        <v>207</v>
      </c>
      <c r="KR567" s="1007">
        <v>-1.8128660000000005</v>
      </c>
      <c r="KS567" s="1008" t="s">
        <v>204</v>
      </c>
      <c r="KT567" s="1007">
        <v>-4.1611900000000013</v>
      </c>
      <c r="KU567" s="1008" t="s">
        <v>207</v>
      </c>
      <c r="KV567" s="1007">
        <v>4.1611900000000013</v>
      </c>
      <c r="KW567" s="1008" t="s">
        <v>199</v>
      </c>
      <c r="KX567" s="1007">
        <v>-2.496713999999999</v>
      </c>
      <c r="KY567" s="1008">
        <v>0</v>
      </c>
      <c r="KZ567" s="1007">
        <v>0</v>
      </c>
      <c r="LA567" s="1008">
        <v>0</v>
      </c>
      <c r="LB567" s="1007">
        <v>0</v>
      </c>
      <c r="LC567" s="1008">
        <v>0</v>
      </c>
      <c r="LD567" s="1007">
        <v>0</v>
      </c>
      <c r="LE567" s="1008">
        <v>0</v>
      </c>
      <c r="LF567" s="1007">
        <v>0</v>
      </c>
      <c r="LG567" s="1008">
        <v>0</v>
      </c>
      <c r="LH567" s="1007">
        <v>-8.2764000000000006</v>
      </c>
      <c r="LI567" s="1008">
        <v>0</v>
      </c>
      <c r="LJ567" s="1007">
        <v>0</v>
      </c>
      <c r="LK567" s="1008">
        <v>0</v>
      </c>
      <c r="LL567" s="1007">
        <v>0</v>
      </c>
      <c r="LM567" s="1008">
        <v>0</v>
      </c>
      <c r="LN567" s="1007">
        <v>0</v>
      </c>
      <c r="LO567" s="1008">
        <v>0</v>
      </c>
      <c r="LP567" s="1007">
        <v>-0.82763999999999904</v>
      </c>
      <c r="LQ567" s="1008" t="s">
        <v>199</v>
      </c>
      <c r="LR567" s="1007">
        <v>2.48292</v>
      </c>
      <c r="LS567" s="1008">
        <v>0</v>
      </c>
      <c r="LT567" s="1007">
        <v>-1.6552800000000012</v>
      </c>
      <c r="LU567" s="1008">
        <v>0</v>
      </c>
      <c r="LV567" s="1007">
        <v>0.49658400000000003</v>
      </c>
      <c r="LW567" s="1008">
        <v>0</v>
      </c>
      <c r="LX567" s="1007">
        <v>0</v>
      </c>
      <c r="LY567" s="1009">
        <v>0</v>
      </c>
      <c r="LZ567" s="1010">
        <v>0.33156000000000002</v>
      </c>
      <c r="MA567" s="1011" t="s">
        <v>206</v>
      </c>
      <c r="MB567" s="1012">
        <v>-3.3155999999999999</v>
      </c>
      <c r="MC567" s="995"/>
      <c r="MD567" s="996"/>
      <c r="ME567" s="997" t="s">
        <v>416</v>
      </c>
      <c r="MF567" s="997"/>
      <c r="MG567" s="998"/>
      <c r="NR567" s="1000"/>
      <c r="NS567" s="1000"/>
      <c r="NT567" s="1001"/>
      <c r="NU567" s="1000"/>
      <c r="NV567" s="1001"/>
      <c r="NX567" s="1002"/>
      <c r="NZ567" s="1001"/>
      <c r="OA567" s="1001"/>
      <c r="OC567" s="1003"/>
      <c r="OD567" s="1003"/>
      <c r="OE567" s="1001"/>
      <c r="OF567" s="1003"/>
      <c r="OG567" s="1003"/>
      <c r="QX567" s="1000">
        <f>CN567-CA567</f>
        <v>51</v>
      </c>
      <c r="ASU567" s="999" t="s">
        <v>208</v>
      </c>
    </row>
    <row r="568" spans="1:466 1191:1191" ht="21" customHeight="1" x14ac:dyDescent="0.25">
      <c r="A568" s="982">
        <f t="shared" si="441"/>
        <v>3308</v>
      </c>
      <c r="B568" s="124">
        <f>SUBTOTAL(103,$J$29:J568)</f>
        <v>540</v>
      </c>
      <c r="C568" s="126">
        <v>45068</v>
      </c>
      <c r="D568" s="124" t="s">
        <v>176</v>
      </c>
      <c r="E568" s="127" t="s">
        <v>177</v>
      </c>
      <c r="F568" s="128" t="s">
        <v>177</v>
      </c>
      <c r="G568" s="127" t="s">
        <v>178</v>
      </c>
      <c r="H568" s="127" t="s">
        <v>179</v>
      </c>
      <c r="I568" s="127" t="s">
        <v>1326</v>
      </c>
      <c r="J568" s="129">
        <v>3308</v>
      </c>
      <c r="K568" s="127" t="s">
        <v>1326</v>
      </c>
      <c r="L568" s="130">
        <v>43868</v>
      </c>
      <c r="M568" s="127" t="s">
        <v>230</v>
      </c>
      <c r="N568" s="127" t="s">
        <v>184</v>
      </c>
      <c r="O568" s="127" t="s">
        <v>185</v>
      </c>
      <c r="P568" s="127" t="s">
        <v>292</v>
      </c>
      <c r="Q568" s="85" t="str">
        <f t="shared" ref="Q568:Q588" si="473">IF(R568="","",-4)</f>
        <v/>
      </c>
      <c r="R568" s="130"/>
      <c r="S568" s="128"/>
      <c r="T568" s="131"/>
      <c r="U568" s="132">
        <v>203</v>
      </c>
      <c r="V568" s="121">
        <v>218.2</v>
      </c>
      <c r="W568" s="116">
        <v>0.98</v>
      </c>
      <c r="X568" s="116">
        <v>1.66</v>
      </c>
      <c r="Y568" s="116">
        <f t="shared" si="463"/>
        <v>1.2014771048744459</v>
      </c>
      <c r="Z568" s="133">
        <v>1.454</v>
      </c>
      <c r="AA568" s="133">
        <v>0.83599999999999997</v>
      </c>
      <c r="AB568" s="133">
        <v>0.72</v>
      </c>
      <c r="AC568" s="121">
        <v>34.299999999999997</v>
      </c>
      <c r="AD568" s="134">
        <v>1.17</v>
      </c>
      <c r="AE568" s="124">
        <v>177.8</v>
      </c>
      <c r="AF568" s="128">
        <v>9.19</v>
      </c>
      <c r="AG568" s="128">
        <v>2382.54</v>
      </c>
      <c r="AH568" s="127">
        <v>3339</v>
      </c>
      <c r="AI568" s="127">
        <v>3339</v>
      </c>
      <c r="AJ568" s="135"/>
      <c r="AK568" s="128"/>
      <c r="AL568" s="131"/>
      <c r="AM568" s="124" t="s">
        <v>985</v>
      </c>
      <c r="AN568" s="136" t="s">
        <v>1958</v>
      </c>
      <c r="AO568" s="137">
        <v>39.81</v>
      </c>
      <c r="AP568" s="128">
        <v>2506.96</v>
      </c>
      <c r="AQ568" s="128">
        <v>590.29999999999995</v>
      </c>
      <c r="AR568" s="128"/>
      <c r="AS568" s="128"/>
      <c r="AT568" s="122"/>
      <c r="AU568" s="124" t="s">
        <v>189</v>
      </c>
      <c r="AV568" s="115">
        <f>VLOOKUP(J568,'[63]ТР нефть'!$J$28:$BP$638,39,0)</f>
        <v>407</v>
      </c>
      <c r="AW568" s="115" t="str">
        <f>VLOOKUP(J568,'[63]ТР нефть'!$J$28:$BP$638,40,0)</f>
        <v>ГП</v>
      </c>
      <c r="AX568" s="115">
        <f>VLOOKUP(J568,'[63]ТР нефть'!$J$28:$BP$638,41,0)</f>
        <v>804</v>
      </c>
      <c r="AY568" s="115" t="str">
        <f>VLOOKUP(J568,'[63]ТР нефть'!$J$28:$BP$638,42,0)</f>
        <v>ГП</v>
      </c>
      <c r="AZ568" s="115">
        <f>VLOOKUP(J568,'[63]ТР нефть'!$J$28:$BP$638,43,0)</f>
        <v>1191</v>
      </c>
      <c r="BA568" s="115" t="str">
        <f>VLOOKUP(J568,'[63]ТР нефть'!$J$28:$BP$638,44,0)</f>
        <v>ГП</v>
      </c>
      <c r="BB568" s="115">
        <f>VLOOKUP(J568,'[63]ТР нефть'!$J$28:$BP$638,45,0)</f>
        <v>1524</v>
      </c>
      <c r="BC568" s="115" t="str">
        <f>VLOOKUP(J568,'[63]ТР нефть'!$J$28:$BP$638,46,0)</f>
        <v>ГП</v>
      </c>
      <c r="BD568" s="115">
        <f>VLOOKUP(J568,'[63]ТР нефть'!$J$28:$BP$638,47,0)</f>
        <v>1805</v>
      </c>
      <c r="BE568" s="115" t="str">
        <f>VLOOKUP(J568,'[63]ТР нефть'!$J$28:$BP$638,48,0)</f>
        <v>ГП</v>
      </c>
      <c r="BF568" s="115">
        <f>VLOOKUP(J568,'[63]ТР нефть'!$J$28:$BP$638,49,0)</f>
        <v>2078</v>
      </c>
      <c r="BG568" s="115" t="str">
        <f>VLOOKUP(J568,'[63]ТР нефть'!$J$28:$BP$638,50,0)</f>
        <v>ГП</v>
      </c>
      <c r="BH568" s="115" t="str">
        <f>VLOOKUP(J568,'[63]ТР нефть'!$J$28:$BP$638,51,0)</f>
        <v>-</v>
      </c>
      <c r="BI568" s="115" t="str">
        <f>VLOOKUP(J568,'[63]ТР нефть'!$J$28:$BP$638,52,0)</f>
        <v>-</v>
      </c>
      <c r="BJ568" s="115" t="str">
        <f>IF(IFERROR(VLOOKUP(J568,'[63]ТР нефть'!$J$28:$BP$638,53,0),"-")=0,"-",IFERROR(VLOOKUP(J568,'[63]ТР нефть'!$J$28:$BP$638,53,0),"-"))</f>
        <v>-</v>
      </c>
      <c r="BK568" s="138" t="str">
        <f>IF(IFERROR(VLOOKUP(J568,'[63]ТР нефть'!$J$28:$BP$638,54,0),"-")=0,"-",IFERROR(VLOOKUP(J568,'[63]ТР нефть'!$J$28:$BP$638,54,0),"-"))</f>
        <v>D460N</v>
      </c>
      <c r="BL568" s="138" t="str">
        <f>IF(IFERROR(VLOOKUP(J568,'[63]ТР нефть'!$J$28:$BP$638,55,0),"-")=0,"-",IFERROR(VLOOKUP(J568,'[63]ТР нефть'!$J$28:$BP$638,55,0),"-"))</f>
        <v>-</v>
      </c>
      <c r="BM568" s="138">
        <f>IF(IFERROR(VLOOKUP(J568,'[63]ТР нефть'!$J$28:$BP$638,56,0),"-")=0,"-",IFERROR(VLOOKUP(J568,'[63]ТР нефть'!$J$28:$BP$638,56,0),"-"))</f>
        <v>1242</v>
      </c>
      <c r="BN568" s="138">
        <f>IF(IFERROR(VLOOKUP(J568,'[63]ТР нефть'!$J$28:$BP$638,57,0),"-")=0,"-",IFERROR(VLOOKUP(J568,'[63]ТР нефть'!$J$28:$BP$638,57,0),"-"))</f>
        <v>50</v>
      </c>
      <c r="BO568" s="115">
        <f>IF(IFERROR(VLOOKUP(J568,'[63]ТР нефть'!$J$28:$BP$638,58,0),"-")=0,"-",IFERROR(VLOOKUP(J568,'[63]ТР нефть'!$J$28:$BP$638,58,0),"-"))</f>
        <v>45</v>
      </c>
      <c r="BP568" s="115" t="str">
        <f>IF(IFERROR(VLOOKUP(J568,'[63]ТР нефть'!$J$28:$BP$638,59,0),"-")=0,"-",IFERROR(VLOOKUP(J568,'[63]ТР нефть'!$J$28:$BP$638,59,0),"-"))</f>
        <v>-</v>
      </c>
      <c r="BQ568" s="138">
        <v>2015</v>
      </c>
      <c r="BR568" s="128">
        <v>1730</v>
      </c>
      <c r="BS568" s="115">
        <f t="shared" si="437"/>
        <v>285</v>
      </c>
      <c r="BT568" s="128">
        <v>73</v>
      </c>
      <c r="BU568" s="128">
        <v>5.5</v>
      </c>
      <c r="BV568" s="127">
        <v>65</v>
      </c>
      <c r="BW568" s="127" t="s">
        <v>217</v>
      </c>
      <c r="BX568" s="127" t="s">
        <v>195</v>
      </c>
      <c r="BY568" s="139">
        <v>24</v>
      </c>
      <c r="BZ568" s="139">
        <v>0</v>
      </c>
      <c r="CA568" s="138">
        <v>31</v>
      </c>
      <c r="CB568" s="138">
        <v>63</v>
      </c>
      <c r="CC568" s="138">
        <v>30</v>
      </c>
      <c r="CD568" s="135">
        <v>45017</v>
      </c>
      <c r="CE568" s="138">
        <v>114</v>
      </c>
      <c r="CF568" s="138">
        <v>64</v>
      </c>
      <c r="CG568" s="138"/>
      <c r="CH568" s="138"/>
      <c r="CI568" s="127"/>
      <c r="CJ568" s="138">
        <f>IF((BR568-(100*(CM568-CB568))/(9.8*(AB568+AA568)/2))&gt;0,BR568-(100*(CM568-CB568))/(9.8*(AB568+AA568)/2),0)</f>
        <v>2556.2945280940139</v>
      </c>
      <c r="CK568" s="138">
        <f t="shared" si="432"/>
        <v>69</v>
      </c>
      <c r="CL568" s="138"/>
      <c r="CM568" s="99"/>
      <c r="CN568" s="140">
        <v>100</v>
      </c>
      <c r="CO568" s="141">
        <f t="shared" si="442"/>
        <v>1.0575399999999999</v>
      </c>
      <c r="CP568" s="142">
        <v>2.2999999999999998</v>
      </c>
      <c r="CQ568" s="119">
        <v>45</v>
      </c>
      <c r="CR568" s="138">
        <v>17</v>
      </c>
      <c r="CS568" s="139">
        <v>12</v>
      </c>
      <c r="CT568" s="138"/>
      <c r="CU568" s="138">
        <f>IF(CR568&lt;&gt;"0",CR568-CS568,"0")</f>
        <v>5</v>
      </c>
      <c r="CV568" s="115">
        <f>(CR568-CS568)*1000/CO568</f>
        <v>4727.9535525842994</v>
      </c>
      <c r="CW568" s="115">
        <f t="shared" si="443"/>
        <v>5318.9838967762525</v>
      </c>
      <c r="CX568" s="133">
        <f>IF(CP568&lt;&gt;0,CP568/(CE568-CN568),0)</f>
        <v>0.16428571428571428</v>
      </c>
      <c r="CY568" s="116"/>
      <c r="CZ568" s="131"/>
      <c r="DA568" s="145" t="s">
        <v>189</v>
      </c>
      <c r="DB568" s="146">
        <f t="shared" si="468"/>
        <v>1.0575399999999999</v>
      </c>
      <c r="DC568" s="142">
        <f t="shared" si="469"/>
        <v>2.2999999999999998</v>
      </c>
      <c r="DD568" s="119">
        <f t="shared" si="470"/>
        <v>45</v>
      </c>
      <c r="DE568" s="115">
        <f t="shared" si="471"/>
        <v>5</v>
      </c>
      <c r="DF568" s="121">
        <f t="shared" si="472"/>
        <v>12</v>
      </c>
      <c r="DG568" s="115">
        <f t="shared" si="446"/>
        <v>4727.9535525842994</v>
      </c>
      <c r="DH568" s="115">
        <f t="shared" si="447"/>
        <v>100</v>
      </c>
      <c r="DI568" s="150"/>
      <c r="DJ568" s="111"/>
      <c r="DK568" s="112">
        <v>43868</v>
      </c>
      <c r="DL568" s="113">
        <f t="shared" ca="1" si="424"/>
        <v>1236</v>
      </c>
      <c r="DM568" s="114">
        <v>16.899999999999999</v>
      </c>
      <c r="DN568" s="114">
        <v>55</v>
      </c>
      <c r="DO568" s="114">
        <v>39</v>
      </c>
      <c r="DP568" s="114"/>
      <c r="DQ568" s="112"/>
      <c r="DR568" s="114"/>
      <c r="DS568" s="114"/>
      <c r="DT568" s="115">
        <v>60</v>
      </c>
      <c r="DU568" s="116">
        <f t="shared" si="425"/>
        <v>0.13718703976435925</v>
      </c>
      <c r="DV568" s="117">
        <f t="shared" si="428"/>
        <v>3.4062444477172287</v>
      </c>
      <c r="DW568" s="118">
        <f t="shared" si="429"/>
        <v>7.4081001472754</v>
      </c>
      <c r="DX568" s="119">
        <f t="shared" si="430"/>
        <v>45</v>
      </c>
      <c r="DY568" s="115">
        <f t="shared" si="431"/>
        <v>16.104565537555217</v>
      </c>
      <c r="DZ568" s="117">
        <f t="shared" si="440"/>
        <v>2.3487044477172287</v>
      </c>
      <c r="EA568" s="120">
        <f t="shared" si="440"/>
        <v>5.1081001472754002</v>
      </c>
      <c r="EB568" s="119">
        <f t="shared" si="440"/>
        <v>0</v>
      </c>
      <c r="EC568" s="121">
        <f t="shared" si="464"/>
        <v>11.104565537555217</v>
      </c>
      <c r="ED568" s="122"/>
      <c r="EE568" s="145">
        <v>65</v>
      </c>
      <c r="EF568" s="115">
        <v>31</v>
      </c>
      <c r="EG568" s="115">
        <v>63</v>
      </c>
      <c r="EH568" s="115">
        <v>30</v>
      </c>
      <c r="EI568" s="128" t="s">
        <v>195</v>
      </c>
      <c r="EJ568" s="121">
        <v>24</v>
      </c>
      <c r="EK568" s="121">
        <v>0</v>
      </c>
      <c r="EL568" s="149">
        <v>1.6170747999999997</v>
      </c>
      <c r="EM568" s="142">
        <v>2.2999999999999998</v>
      </c>
      <c r="EN568" s="119">
        <v>15.9</v>
      </c>
      <c r="EO568" s="115">
        <v>19</v>
      </c>
      <c r="EP568" s="115">
        <v>2844.6426844324092</v>
      </c>
      <c r="EQ568" s="115">
        <v>64</v>
      </c>
      <c r="ER568" s="115">
        <v>14.4</v>
      </c>
      <c r="ES568" s="115">
        <v>100</v>
      </c>
      <c r="ET568" s="150">
        <v>0.16428571428571428</v>
      </c>
      <c r="EU568" s="145">
        <f t="shared" si="457"/>
        <v>65</v>
      </c>
      <c r="EV568" s="115">
        <f t="shared" si="448"/>
        <v>31</v>
      </c>
      <c r="EW568" s="115">
        <f t="shared" si="448"/>
        <v>63</v>
      </c>
      <c r="EX568" s="115">
        <f t="shared" si="448"/>
        <v>30</v>
      </c>
      <c r="EY568" s="115" t="str">
        <f t="shared" si="434"/>
        <v>Постоянный</v>
      </c>
      <c r="EZ568" s="115">
        <f t="shared" si="434"/>
        <v>24</v>
      </c>
      <c r="FA568" s="115">
        <f t="shared" si="434"/>
        <v>0</v>
      </c>
      <c r="FB568" s="149">
        <f t="shared" si="461"/>
        <v>1.0575399999999999</v>
      </c>
      <c r="FC568" s="142">
        <f t="shared" si="461"/>
        <v>2.2999999999999998</v>
      </c>
      <c r="FD568" s="119">
        <f t="shared" si="461"/>
        <v>45</v>
      </c>
      <c r="FE568" s="121">
        <f t="shared" si="460"/>
        <v>17</v>
      </c>
      <c r="FF568" s="121">
        <f t="shared" si="462"/>
        <v>4727.9535525842994</v>
      </c>
      <c r="FG568" s="121">
        <f t="shared" si="449"/>
        <v>64</v>
      </c>
      <c r="FH568" s="121">
        <f t="shared" si="436"/>
        <v>12</v>
      </c>
      <c r="FI568" s="121">
        <f t="shared" si="427"/>
        <v>100</v>
      </c>
      <c r="FJ568" s="144">
        <f t="shared" si="450"/>
        <v>0.16428571428571428</v>
      </c>
      <c r="FK568" s="132">
        <f t="shared" si="451"/>
        <v>0</v>
      </c>
      <c r="FL568" s="115">
        <f t="shared" si="451"/>
        <v>0</v>
      </c>
      <c r="FM568" s="115">
        <f t="shared" si="451"/>
        <v>0</v>
      </c>
      <c r="FN568" s="115">
        <f t="shared" si="451"/>
        <v>0</v>
      </c>
      <c r="FO568" s="115">
        <f t="shared" si="439"/>
        <v>0</v>
      </c>
      <c r="FP568" s="115">
        <f t="shared" si="439"/>
        <v>0</v>
      </c>
      <c r="FQ568" s="149">
        <f t="shared" si="439"/>
        <v>-0.55953479999999978</v>
      </c>
      <c r="FR568" s="142">
        <f t="shared" si="439"/>
        <v>0</v>
      </c>
      <c r="FS568" s="119">
        <f t="shared" si="439"/>
        <v>29.1</v>
      </c>
      <c r="FT568" s="121">
        <f t="shared" si="438"/>
        <v>-2</v>
      </c>
      <c r="FU568" s="121">
        <f t="shared" si="452"/>
        <v>0</v>
      </c>
      <c r="FV568" s="121">
        <f t="shared" si="452"/>
        <v>-2.4000000000000004</v>
      </c>
      <c r="FW568" s="121">
        <f t="shared" si="453"/>
        <v>1883.3108681518902</v>
      </c>
      <c r="FX568" s="121">
        <f t="shared" si="454"/>
        <v>0</v>
      </c>
      <c r="FY568" s="144">
        <f t="shared" si="454"/>
        <v>0</v>
      </c>
      <c r="FZ568" s="145"/>
      <c r="GA568" s="151"/>
      <c r="GB568" s="145" t="s">
        <v>199</v>
      </c>
      <c r="GC568" s="151" t="s">
        <v>1396</v>
      </c>
      <c r="GD568" s="997" t="s">
        <v>202</v>
      </c>
      <c r="GE568" s="1004" t="s">
        <v>199</v>
      </c>
      <c r="GF568" s="1004">
        <v>-5.5523274399999991</v>
      </c>
      <c r="GG568" s="1004"/>
      <c r="GH568" s="1004">
        <v>0</v>
      </c>
      <c r="GI568" s="145"/>
      <c r="GJ568" s="996">
        <v>-7.8921242400000002</v>
      </c>
      <c r="GK568" s="145"/>
      <c r="GL568" s="996">
        <v>0</v>
      </c>
      <c r="GM568" s="1005"/>
      <c r="GN568" s="996">
        <v>0</v>
      </c>
      <c r="GO568" s="1006"/>
      <c r="GP568" s="996">
        <v>-0.21707575999999928</v>
      </c>
      <c r="GQ568" s="1006"/>
      <c r="GR568" s="996">
        <v>3.4744159999998914E-2</v>
      </c>
      <c r="GS568" s="1006"/>
      <c r="GT568" s="996">
        <v>-0.28554415999999883</v>
      </c>
      <c r="GU568" s="1006"/>
      <c r="GV568" s="996">
        <v>8.5271999999999792E-2</v>
      </c>
      <c r="GW568" s="1006"/>
      <c r="GX568" s="996">
        <v>0</v>
      </c>
      <c r="GY568" s="1006"/>
      <c r="GZ568" s="996">
        <v>-0.44683531199999926</v>
      </c>
      <c r="HA568" s="1006" t="s">
        <v>199</v>
      </c>
      <c r="HB568" s="996">
        <v>1.8322411359999986</v>
      </c>
      <c r="HC568" s="1006"/>
      <c r="HD568" s="996">
        <v>-2.4025795640000016</v>
      </c>
      <c r="HE568" s="1006" t="s">
        <v>204</v>
      </c>
      <c r="HF568" s="996">
        <v>0</v>
      </c>
      <c r="HG568" s="1006"/>
      <c r="HH568" s="996">
        <v>0.18786174000000244</v>
      </c>
      <c r="HI568" s="1006" t="s">
        <v>221</v>
      </c>
      <c r="HJ568" s="996">
        <v>2.4415379999999987</v>
      </c>
      <c r="HK568" s="1006" t="s">
        <v>221</v>
      </c>
      <c r="HL568" s="996">
        <v>-2.7247747999999978</v>
      </c>
      <c r="HM568" s="1006"/>
      <c r="HN568" s="996">
        <v>0</v>
      </c>
      <c r="HO568" s="1006" t="s">
        <v>223</v>
      </c>
      <c r="HP568" s="996">
        <v>-0.96261220000000058</v>
      </c>
      <c r="HQ568" s="1006"/>
      <c r="HR568" s="996">
        <v>-3.5174700000000669E-2</v>
      </c>
      <c r="HS568" s="1006"/>
      <c r="HT568" s="996">
        <v>0</v>
      </c>
      <c r="HU568" s="1006"/>
      <c r="HV568" s="996">
        <v>-0.48518012399999932</v>
      </c>
      <c r="HW568" s="1006"/>
      <c r="HX568" s="996">
        <v>-0.93791926799999992</v>
      </c>
      <c r="HY568" s="1006"/>
      <c r="HZ568" s="996">
        <v>-2.216570400000073E-2</v>
      </c>
      <c r="IA568" s="1006"/>
      <c r="IB568" s="996">
        <v>-0.8665716839999984</v>
      </c>
      <c r="IC568" s="1006"/>
      <c r="ID568" s="996">
        <v>-0.14531352000000197</v>
      </c>
      <c r="IE568" s="1006"/>
      <c r="IF568" s="996">
        <v>-0.56555399999999878</v>
      </c>
      <c r="IG568" s="1006"/>
      <c r="IH568" s="996">
        <v>-0.2156880000000001</v>
      </c>
      <c r="II568" s="1006"/>
      <c r="IJ568" s="996">
        <v>0.79470159999999979</v>
      </c>
      <c r="IK568" s="1006" t="s">
        <v>203</v>
      </c>
      <c r="IL568" s="996">
        <v>-3.0012734399999967</v>
      </c>
      <c r="IM568" s="1006"/>
      <c r="IN568" s="996">
        <v>0</v>
      </c>
      <c r="IO568" s="1006" t="s">
        <v>203</v>
      </c>
      <c r="IP568" s="996">
        <v>-3.3979721600000019</v>
      </c>
      <c r="IQ568" s="1006"/>
      <c r="IR568" s="996">
        <v>0</v>
      </c>
      <c r="IS568" s="1006" t="s">
        <v>203</v>
      </c>
      <c r="IT568" s="996">
        <v>-4.2886799999999994</v>
      </c>
      <c r="IU568" s="1006"/>
      <c r="IV568" s="996">
        <v>0</v>
      </c>
      <c r="IW568" s="1006" t="s">
        <v>203</v>
      </c>
      <c r="IX568" s="996">
        <v>-2.9009200000000028</v>
      </c>
      <c r="IY568" s="1006" t="s">
        <v>203</v>
      </c>
      <c r="IZ568" s="996">
        <v>-2.8423999999999978</v>
      </c>
      <c r="JA568" s="1006" t="s">
        <v>203</v>
      </c>
      <c r="JB568" s="996">
        <v>-14.044799999999995</v>
      </c>
      <c r="JC568" s="1006" t="s">
        <v>204</v>
      </c>
      <c r="JD568" s="996">
        <v>3.0112719999999911</v>
      </c>
      <c r="JE568" s="1006" t="s">
        <v>25</v>
      </c>
      <c r="JF568" s="996">
        <v>40.293528000000002</v>
      </c>
      <c r="JG568" s="1006"/>
      <c r="JH568" s="996">
        <v>0</v>
      </c>
      <c r="JI568" s="1006"/>
      <c r="JJ568" s="996"/>
      <c r="JK568" s="1007"/>
      <c r="JL568" s="1007"/>
      <c r="JM568" s="1007"/>
      <c r="JN568" s="1007"/>
      <c r="JO568" s="1008"/>
      <c r="JP568" s="1007"/>
      <c r="JQ568" s="1008"/>
      <c r="JR568" s="1007"/>
      <c r="JS568" s="1008"/>
      <c r="JT568" s="1007"/>
      <c r="JU568" s="1008"/>
      <c r="JV568" s="1007"/>
      <c r="JW568" s="1008"/>
      <c r="JX568" s="1007"/>
      <c r="JY568" s="1008"/>
      <c r="JZ568" s="1007"/>
      <c r="KA568" s="1008"/>
      <c r="KB568" s="1007"/>
      <c r="KC568" s="1008"/>
      <c r="KD568" s="1007"/>
      <c r="KE568" s="1008"/>
      <c r="KF568" s="1007"/>
      <c r="KG568" s="1008"/>
      <c r="KH568" s="1007"/>
      <c r="KI568" s="1008"/>
      <c r="KJ568" s="1007"/>
      <c r="KK568" s="1008"/>
      <c r="KL568" s="1007"/>
      <c r="KM568" s="1008"/>
      <c r="KN568" s="1007"/>
      <c r="KO568" s="1008"/>
      <c r="KP568" s="1007"/>
      <c r="KQ568" s="1008"/>
      <c r="KR568" s="1007"/>
      <c r="KS568" s="1008"/>
      <c r="KT568" s="1007"/>
      <c r="KU568" s="1008"/>
      <c r="KV568" s="1007"/>
      <c r="KW568" s="1008"/>
      <c r="KX568" s="1007"/>
      <c r="KY568" s="1008"/>
      <c r="KZ568" s="1007"/>
      <c r="LA568" s="1008"/>
      <c r="LB568" s="1007"/>
      <c r="LC568" s="1008"/>
      <c r="LD568" s="1007"/>
      <c r="LE568" s="1008"/>
      <c r="LF568" s="1007"/>
      <c r="LG568" s="1008"/>
      <c r="LH568" s="1007"/>
      <c r="LI568" s="1008"/>
      <c r="LJ568" s="1007"/>
      <c r="LK568" s="1008"/>
      <c r="LL568" s="1007"/>
      <c r="LM568" s="1008"/>
      <c r="LN568" s="1007"/>
      <c r="LO568" s="1008"/>
      <c r="LP568" s="1007"/>
      <c r="LQ568" s="1008"/>
      <c r="LR568" s="1007"/>
      <c r="LS568" s="1008"/>
      <c r="LT568" s="1007"/>
      <c r="LU568" s="1008"/>
      <c r="LV568" s="1007"/>
      <c r="LW568" s="1008"/>
      <c r="LX568" s="1007"/>
      <c r="LY568" s="1009"/>
      <c r="LZ568" s="1010"/>
      <c r="MA568" s="1011"/>
      <c r="MB568" s="1012"/>
      <c r="MC568" s="995"/>
      <c r="MD568" s="996"/>
      <c r="ME568" s="997" t="s">
        <v>202</v>
      </c>
      <c r="MF568" s="997">
        <f>CN568-CA568</f>
        <v>69</v>
      </c>
      <c r="MG568" s="998"/>
      <c r="NR568" s="1000"/>
      <c r="NS568" s="1000"/>
      <c r="NT568" s="1001"/>
      <c r="NU568" s="1000"/>
      <c r="NV568" s="1001"/>
      <c r="NX568" s="1002"/>
      <c r="NZ568" s="1001"/>
      <c r="OA568" s="1001"/>
      <c r="OC568" s="1003"/>
      <c r="OD568" s="1003"/>
      <c r="OE568" s="1001"/>
      <c r="OF568" s="1003"/>
      <c r="OG568" s="1003"/>
      <c r="ASU568" s="999" t="s">
        <v>225</v>
      </c>
    </row>
    <row r="569" spans="1:466 1191:1191" ht="21" customHeight="1" x14ac:dyDescent="0.25">
      <c r="A569" s="982">
        <f t="shared" si="441"/>
        <v>3309</v>
      </c>
      <c r="B569" s="124">
        <f>SUBTOTAL(103,$J$29:J569)</f>
        <v>541</v>
      </c>
      <c r="C569" s="126">
        <v>45068</v>
      </c>
      <c r="D569" s="124" t="s">
        <v>176</v>
      </c>
      <c r="E569" s="127" t="s">
        <v>177</v>
      </c>
      <c r="F569" s="128" t="s">
        <v>177</v>
      </c>
      <c r="G569" s="127" t="s">
        <v>178</v>
      </c>
      <c r="H569" s="127" t="s">
        <v>179</v>
      </c>
      <c r="I569" s="127" t="s">
        <v>1330</v>
      </c>
      <c r="J569" s="129">
        <v>3309</v>
      </c>
      <c r="K569" s="127" t="s">
        <v>1959</v>
      </c>
      <c r="L569" s="130">
        <v>44160</v>
      </c>
      <c r="M569" s="127" t="s">
        <v>230</v>
      </c>
      <c r="N569" s="127" t="s">
        <v>184</v>
      </c>
      <c r="O569" s="127" t="s">
        <v>185</v>
      </c>
      <c r="P569" s="127" t="s">
        <v>186</v>
      </c>
      <c r="Q569" s="85" t="str">
        <f t="shared" si="473"/>
        <v/>
      </c>
      <c r="R569" s="130"/>
      <c r="S569" s="128"/>
      <c r="T569" s="131"/>
      <c r="U569" s="132">
        <v>203</v>
      </c>
      <c r="V569" s="121">
        <v>218.2</v>
      </c>
      <c r="W569" s="116">
        <v>0.98</v>
      </c>
      <c r="X569" s="116">
        <v>1.66</v>
      </c>
      <c r="Y569" s="116">
        <f t="shared" si="463"/>
        <v>0.9832221255197755</v>
      </c>
      <c r="Z569" s="133">
        <v>1.454</v>
      </c>
      <c r="AA569" s="133">
        <v>0.83599999999999997</v>
      </c>
      <c r="AB569" s="133">
        <v>0.72</v>
      </c>
      <c r="AC569" s="121">
        <v>34.299999999999997</v>
      </c>
      <c r="AD569" s="134">
        <v>1.17</v>
      </c>
      <c r="AE569" s="124">
        <v>177.8</v>
      </c>
      <c r="AF569" s="128">
        <v>9.19</v>
      </c>
      <c r="AG569" s="128">
        <v>2116.83</v>
      </c>
      <c r="AH569" s="127">
        <v>3104</v>
      </c>
      <c r="AI569" s="127">
        <v>3104</v>
      </c>
      <c r="AJ569" s="135"/>
      <c r="AK569" s="128"/>
      <c r="AL569" s="131"/>
      <c r="AM569" s="124" t="s">
        <v>985</v>
      </c>
      <c r="AN569" s="136" t="s">
        <v>1960</v>
      </c>
      <c r="AO569" s="137">
        <v>346</v>
      </c>
      <c r="AP569" s="128">
        <v>2200</v>
      </c>
      <c r="AQ569" s="128">
        <v>1177</v>
      </c>
      <c r="AR569" s="128"/>
      <c r="AS569" s="128"/>
      <c r="AT569" s="122"/>
      <c r="AU569" s="124" t="s">
        <v>189</v>
      </c>
      <c r="AV569" s="115">
        <f>VLOOKUP(J569,'[63]ТР нефть'!$J$28:$BP$638,39,0)</f>
        <v>479.99998505899998</v>
      </c>
      <c r="AW569" s="115" t="str">
        <f>VLOOKUP(J569,'[63]ТР нефть'!$J$28:$BP$638,40,0)</f>
        <v>ГК 71 1/8</v>
      </c>
      <c r="AX569" s="115">
        <f>VLOOKUP(J569,'[63]ТР нефть'!$J$28:$BP$638,41,0)</f>
        <v>890.00000097700001</v>
      </c>
      <c r="AY569" s="115" t="str">
        <f>VLOOKUP(J569,'[63]ТР нефть'!$J$28:$BP$638,42,0)</f>
        <v>ГК 72 1/8</v>
      </c>
      <c r="AZ569" s="115">
        <f>VLOOKUP(J569,'[63]ТР нефть'!$J$28:$BP$638,43,0)</f>
        <v>1199.99998125</v>
      </c>
      <c r="BA569" s="115" t="str">
        <f>VLOOKUP(J569,'[63]ТР нефть'!$J$28:$BP$638,44,0)</f>
        <v>ГК 73 5/32</v>
      </c>
      <c r="BB569" s="115">
        <f>VLOOKUP(J569,'[63]ТР нефть'!$J$28:$BP$638,45,0)</f>
        <v>1449.9999773439999</v>
      </c>
      <c r="BC569" s="115" t="str">
        <f>VLOOKUP(J569,'[63]ТР нефть'!$J$28:$BP$638,46,0)</f>
        <v>ГК 72 5/32</v>
      </c>
      <c r="BD569" s="115">
        <f>VLOOKUP(J569,'[63]ТР нефть'!$J$28:$BP$638,47,0)</f>
        <v>1719.9999433590001</v>
      </c>
      <c r="BE569" s="115" t="str">
        <f>VLOOKUP(J569,'[63]ТР нефть'!$J$28:$BP$638,48,0)</f>
        <v>ЦКсОК 5/16</v>
      </c>
      <c r="BF569" s="115" t="str">
        <f>VLOOKUP(J569,'[63]ТР нефть'!$J$28:$BP$638,49,0)</f>
        <v>-</v>
      </c>
      <c r="BG569" s="115" t="str">
        <f>VLOOKUP(J569,'[63]ТР нефть'!$J$28:$BP$638,50,0)</f>
        <v>-</v>
      </c>
      <c r="BH569" s="115" t="str">
        <f>VLOOKUP(J569,'[63]ТР нефть'!$J$28:$BP$638,51,0)</f>
        <v>-</v>
      </c>
      <c r="BI569" s="115" t="str">
        <f>VLOOKUP(J569,'[63]ТР нефть'!$J$28:$BP$638,52,0)</f>
        <v>-</v>
      </c>
      <c r="BJ569" s="115" t="str">
        <f>IF(IFERROR(VLOOKUP(J569,'[63]ТР нефть'!$J$28:$BP$638,53,0),"-")=0,"-",IFERROR(VLOOKUP(J569,'[63]ТР нефть'!$J$28:$BP$638,53,0),"-"))</f>
        <v>-</v>
      </c>
      <c r="BK569" s="138" t="str">
        <f>IF(IFERROR(VLOOKUP(J569,'[63]ТР нефть'!$J$28:$BP$638,54,0),"-")=0,"-",IFERROR(VLOOKUP(J569,'[63]ТР нефть'!$J$28:$BP$638,54,0),"-"))</f>
        <v>-</v>
      </c>
      <c r="BL569" s="138" t="str">
        <f>IF(IFERROR(VLOOKUP(J569,'[63]ТР нефть'!$J$28:$BP$638,55,0),"-")=0,"-",IFERROR(VLOOKUP(J569,'[63]ТР нефть'!$J$28:$BP$638,55,0),"-"))</f>
        <v>-</v>
      </c>
      <c r="BM569" s="138" t="str">
        <f>IF(IFERROR(VLOOKUP(J569,'[63]ТР нефть'!$J$28:$BP$638,56,0),"-")=0,"-",IFERROR(VLOOKUP(J569,'[63]ТР нефть'!$J$28:$BP$638,56,0),"-"))</f>
        <v>-</v>
      </c>
      <c r="BN569" s="138" t="str">
        <f>IF(IFERROR(VLOOKUP(J569,'[63]ТР нефть'!$J$28:$BP$638,57,0),"-")=0,"-",IFERROR(VLOOKUP(J569,'[63]ТР нефть'!$J$28:$BP$638,57,0),"-"))</f>
        <v>-</v>
      </c>
      <c r="BO569" s="115" t="str">
        <f>IF(IFERROR(VLOOKUP(J569,'[63]ТР нефть'!$J$28:$BP$638,58,0),"-")=0,"-",IFERROR(VLOOKUP(J569,'[63]ТР нефть'!$J$28:$BP$638,58,0),"-"))</f>
        <v>-</v>
      </c>
      <c r="BP569" s="115" t="str">
        <f>IF(IFERROR(VLOOKUP(J569,'[63]ТР нефть'!$J$28:$BP$638,59,0),"-")=0,"-",IFERROR(VLOOKUP(J569,'[63]ТР нефть'!$J$28:$BP$638,59,0),"-"))</f>
        <v>-</v>
      </c>
      <c r="BQ569" s="138">
        <v>2040</v>
      </c>
      <c r="BR569" s="128"/>
      <c r="BS569" s="115"/>
      <c r="BT569" s="128"/>
      <c r="BU569" s="128"/>
      <c r="BV569" s="127">
        <v>18</v>
      </c>
      <c r="BW569" s="127" t="s">
        <v>194</v>
      </c>
      <c r="BX569" s="127" t="s">
        <v>195</v>
      </c>
      <c r="BY569" s="139">
        <v>24</v>
      </c>
      <c r="BZ569" s="139">
        <v>0</v>
      </c>
      <c r="CA569" s="138">
        <v>16</v>
      </c>
      <c r="CB569" s="138">
        <v>64</v>
      </c>
      <c r="CC569" s="138">
        <v>15</v>
      </c>
      <c r="CD569" s="135">
        <v>45017</v>
      </c>
      <c r="CE569" s="138">
        <v>111</v>
      </c>
      <c r="CF569" s="138">
        <v>70</v>
      </c>
      <c r="CG569" s="138" t="str">
        <f t="shared" ref="CG569:CG588" si="474">IF(CH569&lt;&gt;"","В работе","")</f>
        <v>В работе</v>
      </c>
      <c r="CH569" s="138" t="s">
        <v>235</v>
      </c>
      <c r="CI569" s="127">
        <v>5</v>
      </c>
      <c r="CJ569" s="138"/>
      <c r="CK569" s="138">
        <f t="shared" si="432"/>
        <v>33</v>
      </c>
      <c r="CL569" s="99"/>
      <c r="CM569" s="99"/>
      <c r="CN569" s="140">
        <v>49</v>
      </c>
      <c r="CO569" s="141">
        <f t="shared" si="442"/>
        <v>14.098304000000001</v>
      </c>
      <c r="CP569" s="142">
        <v>17</v>
      </c>
      <c r="CQ569" s="143">
        <v>0.8</v>
      </c>
      <c r="CR569" s="138">
        <v>13</v>
      </c>
      <c r="CS569" s="139">
        <v>4.8</v>
      </c>
      <c r="CT569" s="138"/>
      <c r="CU569" s="138">
        <f t="shared" ref="CU569:CU625" si="475">IF(CR569&lt;&gt;"0",CR569-CS569,"0")</f>
        <v>8.1999999999999993</v>
      </c>
      <c r="CV569" s="115">
        <f t="shared" ref="CV569:CV625" si="476">(CR569-CS569)*1000/CO569</f>
        <v>581.63024431874919</v>
      </c>
      <c r="CW569" s="115">
        <f t="shared" si="443"/>
        <v>336.70524934707242</v>
      </c>
      <c r="CX569" s="133">
        <f t="shared" ref="CX569:CX625" si="477">IF(CP569&lt;&gt;0,CP569/(CE569-CN569),0)</f>
        <v>0.27419354838709675</v>
      </c>
      <c r="CY569" s="116"/>
      <c r="CZ569" s="131"/>
      <c r="DA569" s="145" t="str">
        <f t="shared" ref="DA569:DA632" si="478">AU569</f>
        <v>Газлифт</v>
      </c>
      <c r="DB569" s="146">
        <f t="shared" si="468"/>
        <v>13.900757199999999</v>
      </c>
      <c r="DC569" s="142">
        <f t="shared" si="469"/>
        <v>17</v>
      </c>
      <c r="DD569" s="119">
        <f t="shared" si="470"/>
        <v>2.19</v>
      </c>
      <c r="DE569" s="115">
        <f t="shared" si="471"/>
        <v>8.1999999999999993</v>
      </c>
      <c r="DF569" s="121">
        <f t="shared" si="472"/>
        <v>4.8</v>
      </c>
      <c r="DG569" s="115">
        <f t="shared" si="446"/>
        <v>581.63024431874919</v>
      </c>
      <c r="DH569" s="115">
        <f t="shared" si="447"/>
        <v>49</v>
      </c>
      <c r="DI569" s="147"/>
      <c r="DJ569" s="111"/>
      <c r="DK569" s="112">
        <v>44160</v>
      </c>
      <c r="DL569" s="113">
        <f t="shared" ca="1" si="424"/>
        <v>944</v>
      </c>
      <c r="DM569" s="114"/>
      <c r="DN569" s="114"/>
      <c r="DO569" s="114"/>
      <c r="DP569" s="114"/>
      <c r="DQ569" s="112"/>
      <c r="DR569" s="114"/>
      <c r="DS569" s="114"/>
      <c r="DT569" s="115">
        <v>55</v>
      </c>
      <c r="DU569" s="116">
        <f t="shared" si="425"/>
        <v>0.30357142857142855</v>
      </c>
      <c r="DV569" s="117">
        <f t="shared" si="428"/>
        <v>14.098304000000001</v>
      </c>
      <c r="DW569" s="118">
        <f t="shared" si="429"/>
        <v>17</v>
      </c>
      <c r="DX569" s="119">
        <f t="shared" si="430"/>
        <v>0.8</v>
      </c>
      <c r="DY569" s="115">
        <f t="shared" si="431"/>
        <v>8.1999999999999993</v>
      </c>
      <c r="DZ569" s="117">
        <f t="shared" si="440"/>
        <v>0</v>
      </c>
      <c r="EA569" s="120">
        <f t="shared" si="440"/>
        <v>0</v>
      </c>
      <c r="EB569" s="119">
        <f t="shared" si="440"/>
        <v>0</v>
      </c>
      <c r="EC569" s="121">
        <f t="shared" si="464"/>
        <v>0</v>
      </c>
      <c r="ED569" s="122"/>
      <c r="EE569" s="145">
        <v>18</v>
      </c>
      <c r="EF569" s="115">
        <v>16</v>
      </c>
      <c r="EG569" s="115">
        <v>64</v>
      </c>
      <c r="EH569" s="115">
        <v>15</v>
      </c>
      <c r="EI569" s="128" t="s">
        <v>195</v>
      </c>
      <c r="EJ569" s="121">
        <v>24</v>
      </c>
      <c r="EK569" s="121">
        <v>0</v>
      </c>
      <c r="EL569" s="149">
        <v>12.265374</v>
      </c>
      <c r="EM569" s="142">
        <v>15</v>
      </c>
      <c r="EN569" s="119">
        <v>2.19</v>
      </c>
      <c r="EO569" s="115">
        <v>12.157</v>
      </c>
      <c r="EP569" s="115">
        <v>599.81864393209696</v>
      </c>
      <c r="EQ569" s="115">
        <v>70</v>
      </c>
      <c r="ER569" s="115">
        <v>4.8</v>
      </c>
      <c r="ES569" s="115">
        <v>44</v>
      </c>
      <c r="ET569" s="150">
        <v>0.22388059701492538</v>
      </c>
      <c r="EU569" s="145">
        <f t="shared" si="457"/>
        <v>18</v>
      </c>
      <c r="EV569" s="115">
        <f t="shared" si="448"/>
        <v>16</v>
      </c>
      <c r="EW569" s="115">
        <f t="shared" si="448"/>
        <v>64</v>
      </c>
      <c r="EX569" s="115">
        <f t="shared" si="448"/>
        <v>15</v>
      </c>
      <c r="EY569" s="115" t="str">
        <f t="shared" si="434"/>
        <v>Постоянный</v>
      </c>
      <c r="EZ569" s="115">
        <f t="shared" si="434"/>
        <v>24</v>
      </c>
      <c r="FA569" s="115">
        <f t="shared" si="434"/>
        <v>0</v>
      </c>
      <c r="FB569" s="149">
        <f t="shared" si="461"/>
        <v>14.098304000000001</v>
      </c>
      <c r="FC569" s="142">
        <f t="shared" si="461"/>
        <v>17</v>
      </c>
      <c r="FD569" s="119">
        <f t="shared" si="461"/>
        <v>0.8</v>
      </c>
      <c r="FE569" s="121">
        <f t="shared" si="460"/>
        <v>13</v>
      </c>
      <c r="FF569" s="121">
        <f t="shared" si="462"/>
        <v>581.63024431874919</v>
      </c>
      <c r="FG569" s="121">
        <f t="shared" si="449"/>
        <v>70</v>
      </c>
      <c r="FH569" s="121">
        <f t="shared" si="436"/>
        <v>4.8</v>
      </c>
      <c r="FI569" s="121">
        <f t="shared" si="427"/>
        <v>49</v>
      </c>
      <c r="FJ569" s="144">
        <f t="shared" si="450"/>
        <v>0.27419354838709675</v>
      </c>
      <c r="FK569" s="132">
        <f t="shared" si="451"/>
        <v>0</v>
      </c>
      <c r="FL569" s="115">
        <f t="shared" si="451"/>
        <v>0</v>
      </c>
      <c r="FM569" s="115">
        <f t="shared" si="451"/>
        <v>0</v>
      </c>
      <c r="FN569" s="115">
        <f t="shared" si="451"/>
        <v>0</v>
      </c>
      <c r="FO569" s="115">
        <f t="shared" si="439"/>
        <v>0</v>
      </c>
      <c r="FP569" s="115">
        <f t="shared" si="439"/>
        <v>0</v>
      </c>
      <c r="FQ569" s="149">
        <f t="shared" si="439"/>
        <v>1.8329300000000011</v>
      </c>
      <c r="FR569" s="142">
        <f t="shared" si="439"/>
        <v>2</v>
      </c>
      <c r="FS569" s="119">
        <f t="shared" si="439"/>
        <v>-1.39</v>
      </c>
      <c r="FT569" s="121">
        <f t="shared" si="438"/>
        <v>0.84299999999999997</v>
      </c>
      <c r="FU569" s="121">
        <f t="shared" si="452"/>
        <v>0</v>
      </c>
      <c r="FV569" s="121">
        <f t="shared" si="452"/>
        <v>0</v>
      </c>
      <c r="FW569" s="121">
        <f t="shared" si="453"/>
        <v>-18.188399613347769</v>
      </c>
      <c r="FX569" s="121">
        <f t="shared" si="454"/>
        <v>5</v>
      </c>
      <c r="FY569" s="144">
        <f t="shared" si="454"/>
        <v>5.0312951372171372E-2</v>
      </c>
      <c r="FZ569" s="145" t="s">
        <v>199</v>
      </c>
      <c r="GA569" s="151" t="s">
        <v>201</v>
      </c>
      <c r="GB569" s="145" t="s">
        <v>199</v>
      </c>
      <c r="GC569" s="136" t="s">
        <v>1961</v>
      </c>
      <c r="GD569" s="997" t="s">
        <v>202</v>
      </c>
      <c r="GE569" s="1004" t="s">
        <v>199</v>
      </c>
      <c r="GF569" s="1004">
        <v>-2.6321460000000005</v>
      </c>
      <c r="GG569" s="1004"/>
      <c r="GH569" s="1004">
        <v>0</v>
      </c>
      <c r="GI569" s="145"/>
      <c r="GJ569" s="996">
        <v>0</v>
      </c>
      <c r="GK569" s="145" t="s">
        <v>204</v>
      </c>
      <c r="GL569" s="996">
        <v>-2.9629511999999991</v>
      </c>
      <c r="GM569" s="1005" t="s">
        <v>204</v>
      </c>
      <c r="GN569" s="996">
        <v>3.1450320000000005</v>
      </c>
      <c r="GO569" s="1006" t="s">
        <v>240</v>
      </c>
      <c r="GP569" s="996">
        <v>-1.1399695999999988</v>
      </c>
      <c r="GQ569" s="1006"/>
      <c r="GR569" s="996">
        <v>-0.24534158880000057</v>
      </c>
      <c r="GS569" s="1006"/>
      <c r="GT569" s="996">
        <v>0</v>
      </c>
      <c r="GU569" s="1006" t="s">
        <v>204</v>
      </c>
      <c r="GV569" s="996">
        <v>-3.0926392112000016</v>
      </c>
      <c r="GW569" s="1006"/>
      <c r="GX569" s="996">
        <v>0</v>
      </c>
      <c r="GY569" s="1006" t="s">
        <v>223</v>
      </c>
      <c r="GZ569" s="996">
        <v>-2.0445132400000006</v>
      </c>
      <c r="HA569" s="1006" t="s">
        <v>199</v>
      </c>
      <c r="HB569" s="996">
        <v>1.2100180400000013</v>
      </c>
      <c r="HC569" s="1006"/>
      <c r="HD569" s="996">
        <v>0.41724759999999961</v>
      </c>
      <c r="HE569" s="1006" t="s">
        <v>223</v>
      </c>
      <c r="HF569" s="996">
        <v>-3.5215697439999971</v>
      </c>
      <c r="HG569" s="1006" t="s">
        <v>199</v>
      </c>
      <c r="HH569" s="996">
        <v>-1.9477930560000019</v>
      </c>
      <c r="HI569" s="1006"/>
      <c r="HJ569" s="996">
        <v>0</v>
      </c>
      <c r="HK569" s="1006"/>
      <c r="HL569" s="996">
        <v>0</v>
      </c>
      <c r="HM569" s="1006" t="s">
        <v>276</v>
      </c>
      <c r="HN569" s="996">
        <v>3.2854799999999997</v>
      </c>
      <c r="HO569" s="1006"/>
      <c r="HP569" s="996">
        <v>0</v>
      </c>
      <c r="HQ569" s="1006"/>
      <c r="HR569" s="996">
        <v>0</v>
      </c>
      <c r="HS569" s="1006"/>
      <c r="HT569" s="996">
        <v>0</v>
      </c>
      <c r="HU569" s="1006"/>
      <c r="HV569" s="996">
        <v>0</v>
      </c>
      <c r="HW569" s="1006"/>
      <c r="HX569" s="996">
        <v>0</v>
      </c>
      <c r="HY569" s="1006" t="s">
        <v>221</v>
      </c>
      <c r="HZ569" s="996">
        <v>-20.824759999999998</v>
      </c>
      <c r="IA569" s="1006"/>
      <c r="IB569" s="996">
        <v>-0.3093199999999996</v>
      </c>
      <c r="IC569" s="1006" t="s">
        <v>223</v>
      </c>
      <c r="ID569" s="996">
        <v>-1.379400000000004</v>
      </c>
      <c r="IE569" s="1006" t="s">
        <v>223</v>
      </c>
      <c r="IF569" s="996">
        <v>-5.9356000000000009</v>
      </c>
      <c r="IG569" s="1006" t="s">
        <v>223</v>
      </c>
      <c r="IH569" s="996">
        <v>-24.996399999999994</v>
      </c>
      <c r="II569" s="1006" t="s">
        <v>223</v>
      </c>
      <c r="IJ569" s="996">
        <v>-0.9229440000000011</v>
      </c>
      <c r="IK569" s="1006" t="s">
        <v>204</v>
      </c>
      <c r="IL569" s="996">
        <v>31.202943999999995</v>
      </c>
      <c r="IM569" s="1006" t="s">
        <v>25</v>
      </c>
      <c r="IN569" s="996">
        <v>45</v>
      </c>
      <c r="IO569" s="1006"/>
      <c r="IP569" s="996"/>
      <c r="IQ569" s="1006"/>
      <c r="IR569" s="996"/>
      <c r="IS569" s="1006"/>
      <c r="IT569" s="996"/>
      <c r="IU569" s="1006"/>
      <c r="IV569" s="996"/>
      <c r="IW569" s="1006"/>
      <c r="IX569" s="996"/>
      <c r="IY569" s="1006"/>
      <c r="IZ569" s="996"/>
      <c r="JA569" s="1006"/>
      <c r="JB569" s="996"/>
      <c r="JC569" s="1006"/>
      <c r="JD569" s="996"/>
      <c r="JE569" s="1006"/>
      <c r="JF569" s="996"/>
      <c r="JG569" s="1006"/>
      <c r="JH569" s="996"/>
      <c r="JI569" s="1006"/>
      <c r="JJ569" s="996"/>
      <c r="JK569" s="1007"/>
      <c r="JL569" s="1007"/>
      <c r="JM569" s="1007"/>
      <c r="JN569" s="1007"/>
      <c r="JO569" s="1008"/>
      <c r="JP569" s="1007"/>
      <c r="JQ569" s="1008"/>
      <c r="JR569" s="1007"/>
      <c r="JS569" s="1008"/>
      <c r="JT569" s="1007"/>
      <c r="JU569" s="1008"/>
      <c r="JV569" s="1007"/>
      <c r="JW569" s="1008"/>
      <c r="JX569" s="1007"/>
      <c r="JY569" s="1008"/>
      <c r="JZ569" s="1007"/>
      <c r="KA569" s="1008"/>
      <c r="KB569" s="1007"/>
      <c r="KC569" s="1008"/>
      <c r="KD569" s="1007"/>
      <c r="KE569" s="1008"/>
      <c r="KF569" s="1007"/>
      <c r="KG569" s="1008"/>
      <c r="KH569" s="1007"/>
      <c r="KI569" s="1008"/>
      <c r="KJ569" s="1007"/>
      <c r="KK569" s="1008"/>
      <c r="KL569" s="1007"/>
      <c r="KM569" s="1008"/>
      <c r="KN569" s="1007"/>
      <c r="KO569" s="1008"/>
      <c r="KP569" s="1007"/>
      <c r="KQ569" s="1008"/>
      <c r="KR569" s="1007"/>
      <c r="KS569" s="1008"/>
      <c r="KT569" s="1007"/>
      <c r="KU569" s="1008"/>
      <c r="KV569" s="1007"/>
      <c r="KW569" s="1008"/>
      <c r="KX569" s="1007"/>
      <c r="KY569" s="1008"/>
      <c r="KZ569" s="1007"/>
      <c r="LA569" s="1008"/>
      <c r="LB569" s="1007"/>
      <c r="LC569" s="1008"/>
      <c r="LD569" s="1007"/>
      <c r="LE569" s="1008"/>
      <c r="LF569" s="1007"/>
      <c r="LG569" s="1008"/>
      <c r="LH569" s="1007"/>
      <c r="LI569" s="1008"/>
      <c r="LJ569" s="1007"/>
      <c r="LK569" s="1008"/>
      <c r="LL569" s="1007"/>
      <c r="LM569" s="1008"/>
      <c r="LN569" s="1007"/>
      <c r="LO569" s="1008"/>
      <c r="LP569" s="1007"/>
      <c r="LQ569" s="1008"/>
      <c r="LR569" s="1007"/>
      <c r="LS569" s="1008"/>
      <c r="LT569" s="1007"/>
      <c r="LU569" s="1008"/>
      <c r="LV569" s="1007"/>
      <c r="LW569" s="1008"/>
      <c r="LX569" s="1007"/>
      <c r="LY569" s="1009"/>
      <c r="LZ569" s="1010"/>
      <c r="MA569" s="1011"/>
      <c r="MB569" s="1012"/>
      <c r="MC569" s="995"/>
      <c r="MD569" s="996"/>
      <c r="ME569" s="997" t="s">
        <v>202</v>
      </c>
      <c r="MF569" s="997"/>
      <c r="MG569" s="998"/>
      <c r="NR569" s="1000"/>
      <c r="NS569" s="1000"/>
      <c r="NT569" s="1001"/>
      <c r="NU569" s="1000"/>
      <c r="NV569" s="1001"/>
      <c r="NX569" s="1002"/>
      <c r="NZ569" s="1001"/>
      <c r="OA569" s="1001"/>
      <c r="OC569" s="1003"/>
      <c r="OD569" s="1003"/>
      <c r="OE569" s="1001"/>
      <c r="OF569" s="1003"/>
      <c r="OG569" s="1003"/>
      <c r="QX569" s="1000">
        <f>CN569-CA569</f>
        <v>33</v>
      </c>
      <c r="ASU569" s="999" t="s">
        <v>208</v>
      </c>
    </row>
    <row r="570" spans="1:466 1191:1191" ht="21" customHeight="1" x14ac:dyDescent="0.25">
      <c r="A570" s="982">
        <f t="shared" si="441"/>
        <v>3310</v>
      </c>
      <c r="B570" s="124">
        <f>SUBTOTAL(103,$J$29:J570)</f>
        <v>542</v>
      </c>
      <c r="C570" s="126">
        <v>45068</v>
      </c>
      <c r="D570" s="124" t="s">
        <v>176</v>
      </c>
      <c r="E570" s="127" t="s">
        <v>177</v>
      </c>
      <c r="F570" s="128" t="s">
        <v>177</v>
      </c>
      <c r="G570" s="127" t="s">
        <v>178</v>
      </c>
      <c r="H570" s="127" t="s">
        <v>179</v>
      </c>
      <c r="I570" s="127" t="s">
        <v>1326</v>
      </c>
      <c r="J570" s="152">
        <v>3310</v>
      </c>
      <c r="K570" s="127" t="s">
        <v>1326</v>
      </c>
      <c r="L570" s="130">
        <v>44006</v>
      </c>
      <c r="M570" s="127" t="s">
        <v>230</v>
      </c>
      <c r="N570" s="127" t="s">
        <v>184</v>
      </c>
      <c r="O570" s="127" t="s">
        <v>185</v>
      </c>
      <c r="P570" s="127" t="s">
        <v>186</v>
      </c>
      <c r="Q570" s="85" t="str">
        <f t="shared" si="473"/>
        <v/>
      </c>
      <c r="R570" s="130"/>
      <c r="S570" s="128"/>
      <c r="T570" s="131"/>
      <c r="U570" s="132">
        <v>203</v>
      </c>
      <c r="V570" s="121">
        <v>218.2</v>
      </c>
      <c r="W570" s="116">
        <v>0.98</v>
      </c>
      <c r="X570" s="116">
        <v>1.66</v>
      </c>
      <c r="Y570" s="116">
        <f t="shared" si="463"/>
        <v>0.98</v>
      </c>
      <c r="Z570" s="133">
        <v>1.454</v>
      </c>
      <c r="AA570" s="133">
        <v>0.83599999999999997</v>
      </c>
      <c r="AB570" s="133">
        <v>0.72</v>
      </c>
      <c r="AC570" s="121">
        <v>34.299999999999997</v>
      </c>
      <c r="AD570" s="134">
        <v>1.17</v>
      </c>
      <c r="AE570" s="124">
        <v>177.8</v>
      </c>
      <c r="AF570" s="128">
        <v>9.19</v>
      </c>
      <c r="AG570" s="128">
        <v>2345.5</v>
      </c>
      <c r="AH570" s="127">
        <v>3098</v>
      </c>
      <c r="AI570" s="127">
        <v>3098</v>
      </c>
      <c r="AJ570" s="135"/>
      <c r="AK570" s="128"/>
      <c r="AL570" s="131"/>
      <c r="AM570" s="124" t="s">
        <v>187</v>
      </c>
      <c r="AN570" s="136" t="s">
        <v>1962</v>
      </c>
      <c r="AO570" s="137">
        <v>40.5</v>
      </c>
      <c r="AP570" s="128">
        <v>2382.11</v>
      </c>
      <c r="AQ570" s="128">
        <v>472</v>
      </c>
      <c r="AR570" s="128" t="s">
        <v>1963</v>
      </c>
      <c r="AS570" s="128">
        <v>114.3</v>
      </c>
      <c r="AT570" s="122">
        <v>7.37</v>
      </c>
      <c r="AU570" s="124" t="s">
        <v>189</v>
      </c>
      <c r="AV570" s="115">
        <f>VLOOKUP(J570,'[63]ТР нефть'!$J$28:$BP$638,39,0)</f>
        <v>535.00001396499999</v>
      </c>
      <c r="AW570" s="115" t="str">
        <f>VLOOKUP(J570,'[63]ТР нефть'!$J$28:$BP$638,40,0)</f>
        <v>ГП</v>
      </c>
      <c r="AX570" s="115">
        <f>VLOOKUP(J570,'[63]ТР нефть'!$J$28:$BP$638,41,0)</f>
        <v>1046.9999806640001</v>
      </c>
      <c r="AY570" s="115" t="str">
        <f>VLOOKUP(J570,'[63]ТР нефть'!$J$28:$BP$638,42,0)</f>
        <v>ГП</v>
      </c>
      <c r="AZ570" s="115">
        <f>VLOOKUP(J570,'[63]ТР нефть'!$J$28:$BP$638,43,0)</f>
        <v>1421.0000730469999</v>
      </c>
      <c r="BA570" s="115" t="str">
        <f>VLOOKUP(J570,'[63]ТР нефть'!$J$28:$BP$638,44,0)</f>
        <v>ГК 71 1/8</v>
      </c>
      <c r="BB570" s="115">
        <f>VLOOKUP(J570,'[63]ТР нефть'!$J$28:$BP$638,45,0)</f>
        <v>1653.0000515629999</v>
      </c>
      <c r="BC570" s="115" t="str">
        <f>VLOOKUP(J570,'[63]ТР нефть'!$J$28:$BP$638,46,0)</f>
        <v>ГК 70 1/8</v>
      </c>
      <c r="BD570" s="115">
        <f>VLOOKUP(J570,'[63]ТР нефть'!$J$28:$BP$638,47,0)</f>
        <v>1823.0000191409999</v>
      </c>
      <c r="BE570" s="115" t="str">
        <f>VLOOKUP(J570,'[63]ТР нефть'!$J$28:$BP$638,48,0)</f>
        <v>ГК 69 1/8</v>
      </c>
      <c r="BF570" s="115">
        <f>VLOOKUP(J570,'[63]ТР нефть'!$J$28:$BP$638,49,0)</f>
        <v>1950</v>
      </c>
      <c r="BG570" s="115" t="str">
        <f>VLOOKUP(J570,'[63]ТР нефть'!$J$28:$BP$638,50,0)</f>
        <v>ЦКсОК 5/16</v>
      </c>
      <c r="BH570" s="115">
        <f>VLOOKUP(J570,'[63]ТР нефть'!$J$28:$BP$638,51,0)</f>
        <v>1960</v>
      </c>
      <c r="BI570" s="115" t="str">
        <f>VLOOKUP(J570,'[63]ТР нефть'!$J$28:$BP$638,52,0)</f>
        <v>Закрыт</v>
      </c>
      <c r="BJ570" s="115" t="str">
        <f>IF(IFERROR(VLOOKUP(J570,'[63]ТР нефть'!$J$28:$BP$638,53,0),"-")=0,"-",IFERROR(VLOOKUP(J570,'[63]ТР нефть'!$J$28:$BP$638,53,0),"-"))</f>
        <v>-</v>
      </c>
      <c r="BK570" s="138" t="str">
        <f>IF(IFERROR(VLOOKUP(J570,'[63]ТР нефть'!$J$28:$BP$638,54,0),"-")=0,"-",IFERROR(VLOOKUP(J570,'[63]ТР нефть'!$J$28:$BP$638,54,0),"-"))</f>
        <v>-</v>
      </c>
      <c r="BL570" s="138" t="str">
        <f>IF(IFERROR(VLOOKUP(J570,'[63]ТР нефть'!$J$28:$BP$638,55,0),"-")=0,"-",IFERROR(VLOOKUP(J570,'[63]ТР нефть'!$J$28:$BP$638,55,0),"-"))</f>
        <v>-</v>
      </c>
      <c r="BM570" s="138" t="str">
        <f>IF(IFERROR(VLOOKUP(J570,'[63]ТР нефть'!$J$28:$BP$638,56,0),"-")=0,"-",IFERROR(VLOOKUP(J570,'[63]ТР нефть'!$J$28:$BP$638,56,0),"-"))</f>
        <v>-</v>
      </c>
      <c r="BN570" s="138" t="str">
        <f>IF(IFERROR(VLOOKUP(J570,'[63]ТР нефть'!$J$28:$BP$638,57,0),"-")=0,"-",IFERROR(VLOOKUP(J570,'[63]ТР нефть'!$J$28:$BP$638,57,0),"-"))</f>
        <v>-</v>
      </c>
      <c r="BO570" s="115" t="str">
        <f>IF(IFERROR(VLOOKUP(J570,'[63]ТР нефть'!$J$28:$BP$638,58,0),"-")=0,"-",IFERROR(VLOOKUP(J570,'[63]ТР нефть'!$J$28:$BP$638,58,0),"-"))</f>
        <v>-</v>
      </c>
      <c r="BP570" s="115" t="str">
        <f>IF(IFERROR(VLOOKUP(J570,'[63]ТР нефть'!$J$28:$BP$638,59,0),"-")=0,"-",IFERROR(VLOOKUP(J570,'[63]ТР нефть'!$J$28:$BP$638,59,0),"-"))</f>
        <v>-</v>
      </c>
      <c r="BQ570" s="138">
        <v>2282</v>
      </c>
      <c r="BR570" s="128">
        <f>1712.4+176.4</f>
        <v>1888.8000000000002</v>
      </c>
      <c r="BS570" s="115">
        <f t="shared" ref="BS570:BS577" si="479">BQ570-BR570</f>
        <v>393.19999999999982</v>
      </c>
      <c r="BT570" s="128">
        <v>73</v>
      </c>
      <c r="BU570" s="128">
        <v>5.5</v>
      </c>
      <c r="BV570" s="127">
        <v>18</v>
      </c>
      <c r="BW570" s="127" t="s">
        <v>194</v>
      </c>
      <c r="BX570" s="127" t="s">
        <v>195</v>
      </c>
      <c r="BY570" s="139">
        <v>24</v>
      </c>
      <c r="BZ570" s="139">
        <v>0</v>
      </c>
      <c r="CA570" s="138">
        <v>29</v>
      </c>
      <c r="CB570" s="138">
        <v>57</v>
      </c>
      <c r="CC570" s="138">
        <v>28</v>
      </c>
      <c r="CD570" s="135">
        <v>45017</v>
      </c>
      <c r="CE570" s="138">
        <v>107</v>
      </c>
      <c r="CF570" s="138">
        <v>67</v>
      </c>
      <c r="CG570" s="138" t="str">
        <f t="shared" si="474"/>
        <v>В работе</v>
      </c>
      <c r="CH570" s="138" t="s">
        <v>235</v>
      </c>
      <c r="CI570" s="138"/>
      <c r="CJ570" s="138"/>
      <c r="CK570" s="138">
        <f t="shared" si="432"/>
        <v>53</v>
      </c>
      <c r="CL570" s="99"/>
      <c r="CM570" s="99"/>
      <c r="CN570" s="140">
        <v>82</v>
      </c>
      <c r="CO570" s="141">
        <f t="shared" si="442"/>
        <v>14.629999999999999</v>
      </c>
      <c r="CP570" s="142">
        <v>17.5</v>
      </c>
      <c r="CQ570" s="143">
        <v>0</v>
      </c>
      <c r="CR570" s="115">
        <v>14</v>
      </c>
      <c r="CS570" s="139">
        <v>11</v>
      </c>
      <c r="CT570" s="138"/>
      <c r="CU570" s="138">
        <f t="shared" si="475"/>
        <v>3</v>
      </c>
      <c r="CV570" s="115">
        <f t="shared" si="476"/>
        <v>205.05809979494191</v>
      </c>
      <c r="CW570" s="115">
        <f t="shared" si="443"/>
        <v>751.87969924812035</v>
      </c>
      <c r="CX570" s="133">
        <f t="shared" si="477"/>
        <v>0.7</v>
      </c>
      <c r="CY570" s="116"/>
      <c r="CZ570" s="131"/>
      <c r="DA570" s="145" t="str">
        <f t="shared" si="478"/>
        <v>Газлифт</v>
      </c>
      <c r="DB570" s="146">
        <f t="shared" si="468"/>
        <v>14.629999999999999</v>
      </c>
      <c r="DC570" s="142">
        <f t="shared" si="469"/>
        <v>17.5</v>
      </c>
      <c r="DD570" s="119">
        <f t="shared" si="470"/>
        <v>0</v>
      </c>
      <c r="DE570" s="115">
        <f t="shared" si="471"/>
        <v>3</v>
      </c>
      <c r="DF570" s="121">
        <f t="shared" si="472"/>
        <v>11</v>
      </c>
      <c r="DG570" s="115">
        <f t="shared" si="446"/>
        <v>205.05809979494191</v>
      </c>
      <c r="DH570" s="115">
        <f t="shared" si="447"/>
        <v>82</v>
      </c>
      <c r="DI570" s="147"/>
      <c r="DJ570" s="111"/>
      <c r="DK570" s="112">
        <v>44006</v>
      </c>
      <c r="DL570" s="113">
        <f t="shared" ref="DL570:DL606" ca="1" si="480">TODAY()-DK570</f>
        <v>1098</v>
      </c>
      <c r="DM570" s="114"/>
      <c r="DN570" s="114"/>
      <c r="DO570" s="114"/>
      <c r="DP570" s="114"/>
      <c r="DQ570" s="112"/>
      <c r="DR570" s="114"/>
      <c r="DS570" s="114"/>
      <c r="DT570" s="115">
        <v>60</v>
      </c>
      <c r="DU570" s="116">
        <f t="shared" ref="DU570:DU607" si="481">DW570/(CE570-DT570)</f>
        <v>0.62862108922363868</v>
      </c>
      <c r="DV570" s="117">
        <f t="shared" si="428"/>
        <v>24.69977983777521</v>
      </c>
      <c r="DW570" s="118">
        <f t="shared" si="429"/>
        <v>29.54519119351102</v>
      </c>
      <c r="DX570" s="119">
        <f t="shared" si="430"/>
        <v>0</v>
      </c>
      <c r="DY570" s="115">
        <f t="shared" si="431"/>
        <v>5.0648899188876033</v>
      </c>
      <c r="DZ570" s="117">
        <f t="shared" ref="DZ570:EB601" si="482">DV570-CO570</f>
        <v>10.069779837775211</v>
      </c>
      <c r="EA570" s="120">
        <f t="shared" si="482"/>
        <v>12.04519119351102</v>
      </c>
      <c r="EB570" s="119">
        <f t="shared" si="482"/>
        <v>0</v>
      </c>
      <c r="EC570" s="121">
        <f t="shared" si="464"/>
        <v>2.0648899188876033</v>
      </c>
      <c r="ED570" s="122"/>
      <c r="EE570" s="145">
        <v>18</v>
      </c>
      <c r="EF570" s="115">
        <v>28</v>
      </c>
      <c r="EG570" s="115">
        <v>57</v>
      </c>
      <c r="EH570" s="115">
        <v>27</v>
      </c>
      <c r="EI570" s="128" t="s">
        <v>195</v>
      </c>
      <c r="EJ570" s="121">
        <v>24</v>
      </c>
      <c r="EK570" s="121">
        <v>0</v>
      </c>
      <c r="EL570" s="149">
        <v>14.629999999999999</v>
      </c>
      <c r="EM570" s="142">
        <v>17.5</v>
      </c>
      <c r="EN570" s="119">
        <v>0</v>
      </c>
      <c r="EO570" s="115">
        <v>17.399999999999999</v>
      </c>
      <c r="EP570" s="115">
        <v>287.08133971291863</v>
      </c>
      <c r="EQ570" s="115">
        <v>69</v>
      </c>
      <c r="ER570" s="115">
        <v>13.2</v>
      </c>
      <c r="ES570" s="115">
        <v>68</v>
      </c>
      <c r="ET570" s="150">
        <v>0.44871794871794873</v>
      </c>
      <c r="EU570" s="145">
        <f t="shared" si="457"/>
        <v>18</v>
      </c>
      <c r="EV570" s="115">
        <f t="shared" si="448"/>
        <v>29</v>
      </c>
      <c r="EW570" s="115">
        <f t="shared" si="448"/>
        <v>57</v>
      </c>
      <c r="EX570" s="115">
        <f t="shared" si="448"/>
        <v>28</v>
      </c>
      <c r="EY570" s="115" t="str">
        <f t="shared" si="434"/>
        <v>Постоянный</v>
      </c>
      <c r="EZ570" s="115">
        <f t="shared" si="434"/>
        <v>24</v>
      </c>
      <c r="FA570" s="115">
        <f t="shared" si="434"/>
        <v>0</v>
      </c>
      <c r="FB570" s="149">
        <f t="shared" si="461"/>
        <v>14.629999999999999</v>
      </c>
      <c r="FC570" s="142">
        <f t="shared" si="461"/>
        <v>17.5</v>
      </c>
      <c r="FD570" s="119">
        <f t="shared" si="461"/>
        <v>0</v>
      </c>
      <c r="FE570" s="121">
        <f t="shared" si="460"/>
        <v>14</v>
      </c>
      <c r="FF570" s="121">
        <f t="shared" si="462"/>
        <v>205.05809979494191</v>
      </c>
      <c r="FG570" s="121">
        <f t="shared" si="449"/>
        <v>67</v>
      </c>
      <c r="FH570" s="121">
        <f t="shared" si="436"/>
        <v>11</v>
      </c>
      <c r="FI570" s="121">
        <f t="shared" si="427"/>
        <v>82</v>
      </c>
      <c r="FJ570" s="144">
        <f t="shared" si="450"/>
        <v>0.7</v>
      </c>
      <c r="FK570" s="132">
        <f t="shared" si="451"/>
        <v>0</v>
      </c>
      <c r="FL570" s="115">
        <f t="shared" si="451"/>
        <v>1</v>
      </c>
      <c r="FM570" s="115">
        <f t="shared" si="451"/>
        <v>0</v>
      </c>
      <c r="FN570" s="115">
        <f t="shared" si="451"/>
        <v>1</v>
      </c>
      <c r="FO570" s="115">
        <f t="shared" si="439"/>
        <v>0</v>
      </c>
      <c r="FP570" s="115">
        <f t="shared" si="439"/>
        <v>0</v>
      </c>
      <c r="FQ570" s="149">
        <f t="shared" si="439"/>
        <v>0</v>
      </c>
      <c r="FR570" s="117">
        <f t="shared" si="439"/>
        <v>0</v>
      </c>
      <c r="FS570" s="207">
        <f t="shared" si="439"/>
        <v>0</v>
      </c>
      <c r="FT570" s="121">
        <f t="shared" si="438"/>
        <v>-3.3999999999999986</v>
      </c>
      <c r="FU570" s="121">
        <f t="shared" si="452"/>
        <v>-2</v>
      </c>
      <c r="FV570" s="121">
        <f t="shared" si="452"/>
        <v>-2.1999999999999993</v>
      </c>
      <c r="FW570" s="121">
        <f t="shared" si="453"/>
        <v>-82.023239917976724</v>
      </c>
      <c r="FX570" s="121">
        <f t="shared" si="454"/>
        <v>14</v>
      </c>
      <c r="FY570" s="144">
        <f t="shared" si="454"/>
        <v>0.25128205128205122</v>
      </c>
      <c r="FZ570" s="145"/>
      <c r="GA570" s="151"/>
      <c r="GB570" s="145"/>
      <c r="GC570" s="151"/>
      <c r="GD570" s="997" t="s">
        <v>202</v>
      </c>
      <c r="GE570" s="1004"/>
      <c r="GF570" s="1004">
        <v>0</v>
      </c>
      <c r="GG570" s="1004"/>
      <c r="GH570" s="1004">
        <v>0</v>
      </c>
      <c r="GI570" s="145"/>
      <c r="GJ570" s="996">
        <v>0</v>
      </c>
      <c r="GK570" s="145" t="s">
        <v>223</v>
      </c>
      <c r="GL570" s="996">
        <v>-1.8534119999999987</v>
      </c>
      <c r="GM570" s="1005"/>
      <c r="GN570" s="996">
        <v>0</v>
      </c>
      <c r="GO570" s="1006"/>
      <c r="GP570" s="996">
        <v>0</v>
      </c>
      <c r="GQ570" s="1006"/>
      <c r="GR570" s="996">
        <v>-0.73818800000000451</v>
      </c>
      <c r="GS570" s="1006"/>
      <c r="GT570" s="996">
        <v>0.50160000000000338</v>
      </c>
      <c r="GU570" s="1006"/>
      <c r="GV570" s="996">
        <v>-0.41799999999999926</v>
      </c>
      <c r="GW570" s="1006"/>
      <c r="GX570" s="996">
        <v>0</v>
      </c>
      <c r="GY570" s="1006" t="s">
        <v>199</v>
      </c>
      <c r="GZ570" s="996">
        <v>-2.0482000000000014</v>
      </c>
      <c r="HA570" s="1006"/>
      <c r="HB570" s="996">
        <v>0.37620000000000076</v>
      </c>
      <c r="HC570" s="1006" t="s">
        <v>363</v>
      </c>
      <c r="HD570" s="996">
        <v>-8.2095200000000013</v>
      </c>
      <c r="HE570" s="1006" t="s">
        <v>204</v>
      </c>
      <c r="HF570" s="996">
        <v>0</v>
      </c>
      <c r="HG570" s="1006" t="s">
        <v>1044</v>
      </c>
      <c r="HH570" s="996">
        <v>24.573959168000002</v>
      </c>
      <c r="HI570" s="1006"/>
      <c r="HJ570" s="996">
        <v>0</v>
      </c>
      <c r="HK570" s="1006" t="s">
        <v>1065</v>
      </c>
      <c r="HL570" s="996">
        <v>-18.612971520000002</v>
      </c>
      <c r="HM570" s="1006"/>
      <c r="HN570" s="996">
        <v>0</v>
      </c>
      <c r="HO570" s="1006"/>
      <c r="HP570" s="996">
        <v>0</v>
      </c>
      <c r="HQ570" s="1006"/>
      <c r="HR570" s="996">
        <v>0</v>
      </c>
      <c r="HS570" s="1006"/>
      <c r="HT570" s="996">
        <v>0</v>
      </c>
      <c r="HU570" s="1006"/>
      <c r="HV570" s="996">
        <v>0</v>
      </c>
      <c r="HW570" s="1006"/>
      <c r="HX570" s="996">
        <v>0</v>
      </c>
      <c r="HY570" s="1006"/>
      <c r="HZ570" s="996">
        <v>0</v>
      </c>
      <c r="IA570" s="1006"/>
      <c r="IB570" s="996">
        <v>-0.40388664800000029</v>
      </c>
      <c r="IC570" s="1006" t="s">
        <v>199</v>
      </c>
      <c r="ID570" s="996">
        <v>-6.8763090000000027</v>
      </c>
      <c r="IE570" s="1006"/>
      <c r="IF570" s="996">
        <v>0.73902400000000767</v>
      </c>
      <c r="IG570" s="1006"/>
      <c r="IH570" s="996">
        <v>-0.82429600000000391</v>
      </c>
      <c r="II570" s="1006"/>
      <c r="IJ570" s="996">
        <v>0</v>
      </c>
      <c r="IK570" s="1006" t="s">
        <v>203</v>
      </c>
      <c r="IL570" s="996">
        <v>-1.8392000000000017</v>
      </c>
      <c r="IM570" s="1006" t="s">
        <v>203</v>
      </c>
      <c r="IN570" s="996">
        <v>-7.3567999999999962</v>
      </c>
      <c r="IO570" s="1006"/>
      <c r="IP570" s="996">
        <v>0</v>
      </c>
      <c r="IQ570" s="1006" t="s">
        <v>203</v>
      </c>
      <c r="IR570" s="996">
        <v>-9.5304000000000002</v>
      </c>
      <c r="IS570" s="1006"/>
      <c r="IT570" s="996">
        <v>0</v>
      </c>
      <c r="IU570" s="1006"/>
      <c r="IV570" s="996">
        <v>0</v>
      </c>
      <c r="IW570" s="1006"/>
      <c r="IX570" s="996"/>
      <c r="IY570" s="1006"/>
      <c r="IZ570" s="996"/>
      <c r="JA570" s="1006"/>
      <c r="JB570" s="996"/>
      <c r="JC570" s="1006"/>
      <c r="JD570" s="996"/>
      <c r="JE570" s="1006"/>
      <c r="JF570" s="996"/>
      <c r="JG570" s="1006"/>
      <c r="JH570" s="996"/>
      <c r="JI570" s="1006"/>
      <c r="JJ570" s="996"/>
      <c r="JK570" s="1007"/>
      <c r="JL570" s="1007"/>
      <c r="JM570" s="1007"/>
      <c r="JN570" s="1007"/>
      <c r="JO570" s="1008"/>
      <c r="JP570" s="1007"/>
      <c r="JQ570" s="1008"/>
      <c r="JR570" s="1007"/>
      <c r="JS570" s="1008"/>
      <c r="JT570" s="1007"/>
      <c r="JU570" s="1008"/>
      <c r="JV570" s="1007"/>
      <c r="JW570" s="1008"/>
      <c r="JX570" s="1007"/>
      <c r="JY570" s="1008"/>
      <c r="JZ570" s="1007"/>
      <c r="KA570" s="1008"/>
      <c r="KB570" s="1007"/>
      <c r="KC570" s="1008"/>
      <c r="KD570" s="1007"/>
      <c r="KE570" s="1008"/>
      <c r="KF570" s="1007"/>
      <c r="KG570" s="1008"/>
      <c r="KH570" s="1007"/>
      <c r="KI570" s="1008"/>
      <c r="KJ570" s="1007"/>
      <c r="KK570" s="1008"/>
      <c r="KL570" s="1007"/>
      <c r="KM570" s="1008"/>
      <c r="KN570" s="1007"/>
      <c r="KO570" s="1008"/>
      <c r="KP570" s="1007"/>
      <c r="KQ570" s="1008"/>
      <c r="KR570" s="1007"/>
      <c r="KS570" s="1008"/>
      <c r="KT570" s="1007"/>
      <c r="KU570" s="1008"/>
      <c r="KV570" s="1007"/>
      <c r="KW570" s="1008"/>
      <c r="KX570" s="1007"/>
      <c r="KY570" s="1008"/>
      <c r="KZ570" s="1007"/>
      <c r="LA570" s="1008"/>
      <c r="LB570" s="1007"/>
      <c r="LC570" s="1008"/>
      <c r="LD570" s="1007"/>
      <c r="LE570" s="1008"/>
      <c r="LF570" s="1007"/>
      <c r="LG570" s="1008"/>
      <c r="LH570" s="1007"/>
      <c r="LI570" s="1008"/>
      <c r="LJ570" s="1007"/>
      <c r="LK570" s="1008"/>
      <c r="LL570" s="1007"/>
      <c r="LM570" s="1008"/>
      <c r="LN570" s="1007"/>
      <c r="LO570" s="1008"/>
      <c r="LP570" s="1007"/>
      <c r="LQ570" s="1008"/>
      <c r="LR570" s="1007"/>
      <c r="LS570" s="1008"/>
      <c r="LT570" s="1007"/>
      <c r="LU570" s="1008"/>
      <c r="LV570" s="1007"/>
      <c r="LW570" s="1008"/>
      <c r="LX570" s="1007"/>
      <c r="LY570" s="1009"/>
      <c r="LZ570" s="1010"/>
      <c r="MA570" s="1011"/>
      <c r="MB570" s="1012"/>
      <c r="MC570" s="995"/>
      <c r="MD570" s="996"/>
      <c r="ME570" s="997" t="s">
        <v>202</v>
      </c>
      <c r="MF570" s="997"/>
      <c r="MG570" s="998"/>
      <c r="NR570" s="1000"/>
      <c r="NS570" s="1000"/>
      <c r="NT570" s="1001"/>
      <c r="NU570" s="1000"/>
      <c r="NV570" s="1001"/>
      <c r="NX570" s="1002"/>
      <c r="NZ570" s="1001"/>
      <c r="OA570" s="1001"/>
      <c r="OC570" s="1003"/>
      <c r="OD570" s="1003"/>
      <c r="OE570" s="1001"/>
      <c r="OF570" s="1003"/>
      <c r="OG570" s="1003"/>
      <c r="QX570" s="1000">
        <f>CN570-CA570</f>
        <v>53</v>
      </c>
      <c r="ASU570" s="999" t="s">
        <v>208</v>
      </c>
    </row>
    <row r="571" spans="1:466 1191:1191" ht="21" customHeight="1" x14ac:dyDescent="0.25">
      <c r="A571" s="982">
        <f t="shared" si="441"/>
        <v>3312</v>
      </c>
      <c r="B571" s="124">
        <f>SUBTOTAL(103,$J$29:J571)</f>
        <v>543</v>
      </c>
      <c r="C571" s="126">
        <v>45068</v>
      </c>
      <c r="D571" s="124" t="s">
        <v>176</v>
      </c>
      <c r="E571" s="127" t="s">
        <v>177</v>
      </c>
      <c r="F571" s="128" t="s">
        <v>177</v>
      </c>
      <c r="G571" s="127" t="s">
        <v>178</v>
      </c>
      <c r="H571" s="127" t="s">
        <v>179</v>
      </c>
      <c r="I571" s="127" t="s">
        <v>1330</v>
      </c>
      <c r="J571" s="152">
        <v>3312</v>
      </c>
      <c r="K571" s="127" t="s">
        <v>1959</v>
      </c>
      <c r="L571" s="130">
        <v>44162</v>
      </c>
      <c r="M571" s="127" t="s">
        <v>230</v>
      </c>
      <c r="N571" s="127" t="s">
        <v>184</v>
      </c>
      <c r="O571" s="127" t="s">
        <v>185</v>
      </c>
      <c r="P571" s="127" t="s">
        <v>186</v>
      </c>
      <c r="Q571" s="85" t="str">
        <f t="shared" si="473"/>
        <v/>
      </c>
      <c r="R571" s="130"/>
      <c r="S571" s="128"/>
      <c r="T571" s="131"/>
      <c r="U571" s="132">
        <v>203</v>
      </c>
      <c r="V571" s="121">
        <v>218.2</v>
      </c>
      <c r="W571" s="116">
        <v>0.98</v>
      </c>
      <c r="X571" s="116">
        <v>1.66</v>
      </c>
      <c r="Y571" s="116">
        <f t="shared" si="463"/>
        <v>0.98040161029819439</v>
      </c>
      <c r="Z571" s="133">
        <v>1.454</v>
      </c>
      <c r="AA571" s="133">
        <v>0.83599999999999997</v>
      </c>
      <c r="AB571" s="133">
        <v>0.72</v>
      </c>
      <c r="AC571" s="121">
        <v>34.299999999999997</v>
      </c>
      <c r="AD571" s="134">
        <v>1.17</v>
      </c>
      <c r="AE571" s="124">
        <v>177.8</v>
      </c>
      <c r="AF571" s="128">
        <v>9.19</v>
      </c>
      <c r="AG571" s="128">
        <v>2336.5100000000002</v>
      </c>
      <c r="AH571" s="138">
        <v>3393.8</v>
      </c>
      <c r="AI571" s="138">
        <v>3393.8</v>
      </c>
      <c r="AJ571" s="135"/>
      <c r="AK571" s="128"/>
      <c r="AL571" s="131"/>
      <c r="AM571" s="124" t="s">
        <v>187</v>
      </c>
      <c r="AN571" s="136" t="s">
        <v>1964</v>
      </c>
      <c r="AO571" s="137">
        <v>34</v>
      </c>
      <c r="AP571" s="128">
        <v>2353.73</v>
      </c>
      <c r="AQ571" s="128">
        <v>533</v>
      </c>
      <c r="AR571" s="128" t="s">
        <v>1965</v>
      </c>
      <c r="AS571" s="128">
        <v>114.3</v>
      </c>
      <c r="AT571" s="122">
        <v>7.37</v>
      </c>
      <c r="AU571" s="124" t="s">
        <v>189</v>
      </c>
      <c r="AV571" s="115">
        <f>VLOOKUP(J571,'[63]ТР нефть'!$J$28:$BP$638,39,0)</f>
        <v>490.00000722700003</v>
      </c>
      <c r="AW571" s="115" t="str">
        <f>VLOOKUP(J571,'[63]ТР нефть'!$J$28:$BP$638,40,0)</f>
        <v>ГК 69 1/8</v>
      </c>
      <c r="AX571" s="115">
        <f>VLOOKUP(J571,'[63]ТР нефть'!$J$28:$BP$638,41,0)</f>
        <v>899.99998593800001</v>
      </c>
      <c r="AY571" s="115" t="str">
        <f>VLOOKUP(J571,'[63]ТР нефть'!$J$28:$BP$638,42,0)</f>
        <v>ГК 70 1/8</v>
      </c>
      <c r="AZ571" s="115">
        <f>VLOOKUP(J571,'[63]ТР нефть'!$J$28:$BP$638,43,0)</f>
        <v>1199.99998125</v>
      </c>
      <c r="BA571" s="115" t="str">
        <f>VLOOKUP(J571,'[63]ТР нефть'!$J$28:$BP$638,44,0)</f>
        <v>ГК 70 1/8</v>
      </c>
      <c r="BB571" s="115">
        <f>VLOOKUP(J571,'[63]ТР нефть'!$J$28:$BP$638,45,0)</f>
        <v>1449.9999773439999</v>
      </c>
      <c r="BC571" s="115" t="str">
        <f>VLOOKUP(J571,'[63]ТР нефть'!$J$28:$BP$638,46,0)</f>
        <v>ГК 69 1/8</v>
      </c>
      <c r="BD571" s="115">
        <f>VLOOKUP(J571,'[63]ТР нефть'!$J$28:$BP$638,47,0)</f>
        <v>1649.999974219</v>
      </c>
      <c r="BE571" s="115" t="str">
        <f>VLOOKUP(J571,'[63]ТР нефть'!$J$28:$BP$638,48,0)</f>
        <v>ГК 69 1/8</v>
      </c>
      <c r="BF571" s="115">
        <f>VLOOKUP(J571,'[63]ТР нефть'!$J$28:$BP$638,49,0)</f>
        <v>1890</v>
      </c>
      <c r="BG571" s="115" t="str">
        <f>VLOOKUP(J571,'[63]ТР нефть'!$J$28:$BP$638,50,0)</f>
        <v>-</v>
      </c>
      <c r="BH571" s="115" t="str">
        <f>VLOOKUP(J571,'[63]ТР нефть'!$J$28:$BP$638,51,0)</f>
        <v>-</v>
      </c>
      <c r="BI571" s="115" t="str">
        <f>VLOOKUP(J571,'[63]ТР нефть'!$J$28:$BP$638,52,0)</f>
        <v>-</v>
      </c>
      <c r="BJ571" s="115" t="str">
        <f>IF(IFERROR(VLOOKUP(J571,'[63]ТР нефть'!$J$28:$BP$638,53,0),"-")=0,"-",IFERROR(VLOOKUP(J571,'[63]ТР нефть'!$J$28:$BP$638,53,0),"-"))</f>
        <v>-</v>
      </c>
      <c r="BK571" s="138" t="str">
        <f>IF(IFERROR(VLOOKUP(J571,'[63]ТР нефть'!$J$28:$BP$638,54,0),"-")=0,"-",IFERROR(VLOOKUP(J571,'[63]ТР нефть'!$J$28:$BP$638,54,0),"-"))</f>
        <v>-</v>
      </c>
      <c r="BL571" s="138" t="str">
        <f>IF(IFERROR(VLOOKUP(J571,'[63]ТР нефть'!$J$28:$BP$638,55,0),"-")=0,"-",IFERROR(VLOOKUP(J571,'[63]ТР нефть'!$J$28:$BP$638,55,0),"-"))</f>
        <v>-</v>
      </c>
      <c r="BM571" s="138" t="str">
        <f>IF(IFERROR(VLOOKUP(J571,'[63]ТР нефть'!$J$28:$BP$638,56,0),"-")=0,"-",IFERROR(VLOOKUP(J571,'[63]ТР нефть'!$J$28:$BP$638,56,0),"-"))</f>
        <v>-</v>
      </c>
      <c r="BN571" s="138" t="str">
        <f>IF(IFERROR(VLOOKUP(J571,'[63]ТР нефть'!$J$28:$BP$638,57,0),"-")=0,"-",IFERROR(VLOOKUP(J571,'[63]ТР нефть'!$J$28:$BP$638,57,0),"-"))</f>
        <v>-</v>
      </c>
      <c r="BO571" s="115" t="str">
        <f>IF(IFERROR(VLOOKUP(J571,'[63]ТР нефть'!$J$28:$BP$638,58,0),"-")=0,"-",IFERROR(VLOOKUP(J571,'[63]ТР нефть'!$J$28:$BP$638,58,0),"-"))</f>
        <v>-</v>
      </c>
      <c r="BP571" s="115" t="str">
        <f>IF(IFERROR(VLOOKUP(J571,'[63]ТР нефть'!$J$28:$BP$638,59,0),"-")=0,"-",IFERROR(VLOOKUP(J571,'[63]ТР нефть'!$J$28:$BP$638,59,0),"-"))</f>
        <v>-</v>
      </c>
      <c r="BQ571" s="138">
        <v>2264.66</v>
      </c>
      <c r="BR571" s="128">
        <v>1799</v>
      </c>
      <c r="BS571" s="115">
        <f t="shared" si="479"/>
        <v>465.65999999999985</v>
      </c>
      <c r="BT571" s="128">
        <v>73</v>
      </c>
      <c r="BU571" s="128"/>
      <c r="BV571" s="127">
        <v>65</v>
      </c>
      <c r="BW571" s="127" t="s">
        <v>217</v>
      </c>
      <c r="BX571" s="127" t="s">
        <v>195</v>
      </c>
      <c r="BY571" s="139">
        <v>24</v>
      </c>
      <c r="BZ571" s="139">
        <v>0</v>
      </c>
      <c r="CA571" s="138">
        <v>16</v>
      </c>
      <c r="CB571" s="138">
        <v>37</v>
      </c>
      <c r="CC571" s="138">
        <v>15</v>
      </c>
      <c r="CD571" s="135">
        <v>45017</v>
      </c>
      <c r="CE571" s="138">
        <v>132</v>
      </c>
      <c r="CF571" s="138">
        <v>71</v>
      </c>
      <c r="CG571" s="138" t="str">
        <f t="shared" si="474"/>
        <v>В работе</v>
      </c>
      <c r="CH571" s="138" t="s">
        <v>235</v>
      </c>
      <c r="CI571" s="138">
        <v>5</v>
      </c>
      <c r="CJ571" s="138"/>
      <c r="CK571" s="138">
        <f t="shared" si="432"/>
        <v>34</v>
      </c>
      <c r="CL571" s="99"/>
      <c r="CM571" s="99"/>
      <c r="CN571" s="140">
        <v>50</v>
      </c>
      <c r="CO571" s="141">
        <f t="shared" si="442"/>
        <v>35.912051999999996</v>
      </c>
      <c r="CP571" s="142">
        <v>43</v>
      </c>
      <c r="CQ571" s="143">
        <v>0.1</v>
      </c>
      <c r="CR571" s="138">
        <v>32</v>
      </c>
      <c r="CS571" s="139">
        <v>0</v>
      </c>
      <c r="CT571" s="138"/>
      <c r="CU571" s="138">
        <f t="shared" si="475"/>
        <v>32</v>
      </c>
      <c r="CV571" s="115">
        <f t="shared" si="476"/>
        <v>891.06576254679078</v>
      </c>
      <c r="CW571" s="115">
        <f t="shared" si="443"/>
        <v>0</v>
      </c>
      <c r="CX571" s="133">
        <f t="shared" si="477"/>
        <v>0.52439024390243905</v>
      </c>
      <c r="CY571" s="116"/>
      <c r="CZ571" s="131"/>
      <c r="DA571" s="145" t="str">
        <f t="shared" si="478"/>
        <v>Газлифт</v>
      </c>
      <c r="DB571" s="146">
        <f t="shared" si="468"/>
        <v>35.912051999999996</v>
      </c>
      <c r="DC571" s="142">
        <f t="shared" si="469"/>
        <v>43</v>
      </c>
      <c r="DD571" s="119">
        <f t="shared" si="470"/>
        <v>0.1</v>
      </c>
      <c r="DE571" s="115">
        <f t="shared" si="471"/>
        <v>32</v>
      </c>
      <c r="DF571" s="121">
        <f t="shared" si="472"/>
        <v>0</v>
      </c>
      <c r="DG571" s="115">
        <f t="shared" si="446"/>
        <v>891.06576254679078</v>
      </c>
      <c r="DH571" s="115">
        <f t="shared" si="447"/>
        <v>50</v>
      </c>
      <c r="DI571" s="147"/>
      <c r="DJ571" s="111"/>
      <c r="DK571" s="112">
        <v>44162</v>
      </c>
      <c r="DL571" s="113">
        <f t="shared" ca="1" si="480"/>
        <v>942</v>
      </c>
      <c r="DM571" s="114"/>
      <c r="DN571" s="114"/>
      <c r="DO571" s="114"/>
      <c r="DP571" s="114"/>
      <c r="DQ571" s="112"/>
      <c r="DR571" s="114"/>
      <c r="DS571" s="114"/>
      <c r="DT571" s="115">
        <v>60</v>
      </c>
      <c r="DU571" s="116">
        <f t="shared" si="481"/>
        <v>0.59722222222222221</v>
      </c>
      <c r="DV571" s="117">
        <f t="shared" si="428"/>
        <v>35.912051999999996</v>
      </c>
      <c r="DW571" s="118">
        <f t="shared" si="429"/>
        <v>43</v>
      </c>
      <c r="DX571" s="119">
        <f t="shared" si="430"/>
        <v>0.1</v>
      </c>
      <c r="DY571" s="115">
        <f t="shared" si="431"/>
        <v>32</v>
      </c>
      <c r="DZ571" s="117">
        <f t="shared" si="482"/>
        <v>0</v>
      </c>
      <c r="EA571" s="120">
        <f t="shared" si="482"/>
        <v>0</v>
      </c>
      <c r="EB571" s="119">
        <f t="shared" si="482"/>
        <v>0</v>
      </c>
      <c r="EC571" s="121">
        <f t="shared" si="464"/>
        <v>0</v>
      </c>
      <c r="ED571" s="122"/>
      <c r="EE571" s="145">
        <v>65</v>
      </c>
      <c r="EF571" s="115">
        <v>16</v>
      </c>
      <c r="EG571" s="115">
        <v>37</v>
      </c>
      <c r="EH571" s="115">
        <v>15</v>
      </c>
      <c r="EI571" s="128" t="s">
        <v>195</v>
      </c>
      <c r="EJ571" s="121">
        <v>24</v>
      </c>
      <c r="EK571" s="121">
        <v>0</v>
      </c>
      <c r="EL571" s="149">
        <v>38.639697623999993</v>
      </c>
      <c r="EM571" s="142">
        <v>46.265999999999998</v>
      </c>
      <c r="EN571" s="119">
        <v>0.1</v>
      </c>
      <c r="EO571" s="115">
        <v>44</v>
      </c>
      <c r="EP571" s="115">
        <v>952.38840526388299</v>
      </c>
      <c r="EQ571" s="115">
        <v>69</v>
      </c>
      <c r="ER571" s="115">
        <v>7.2</v>
      </c>
      <c r="ES571" s="115">
        <v>49</v>
      </c>
      <c r="ET571" s="150">
        <v>0.55742168674698789</v>
      </c>
      <c r="EU571" s="145">
        <f t="shared" si="457"/>
        <v>65</v>
      </c>
      <c r="EV571" s="115">
        <f t="shared" si="448"/>
        <v>16</v>
      </c>
      <c r="EW571" s="115">
        <f t="shared" si="448"/>
        <v>37</v>
      </c>
      <c r="EX571" s="115">
        <f t="shared" si="448"/>
        <v>15</v>
      </c>
      <c r="EY571" s="115" t="str">
        <f t="shared" si="434"/>
        <v>Постоянный</v>
      </c>
      <c r="EZ571" s="115">
        <f t="shared" si="434"/>
        <v>24</v>
      </c>
      <c r="FA571" s="115">
        <f t="shared" si="434"/>
        <v>0</v>
      </c>
      <c r="FB571" s="149">
        <f t="shared" si="461"/>
        <v>35.912051999999996</v>
      </c>
      <c r="FC571" s="142">
        <f t="shared" si="461"/>
        <v>43</v>
      </c>
      <c r="FD571" s="119">
        <f t="shared" si="461"/>
        <v>0.1</v>
      </c>
      <c r="FE571" s="121">
        <f t="shared" si="460"/>
        <v>32</v>
      </c>
      <c r="FF571" s="121">
        <f t="shared" si="462"/>
        <v>891.06576254679078</v>
      </c>
      <c r="FG571" s="121">
        <f t="shared" si="449"/>
        <v>71</v>
      </c>
      <c r="FH571" s="121">
        <f t="shared" si="436"/>
        <v>0</v>
      </c>
      <c r="FI571" s="121">
        <f t="shared" ref="FI571:FI625" si="483">CN571</f>
        <v>50</v>
      </c>
      <c r="FJ571" s="144">
        <f t="shared" si="450"/>
        <v>0.52439024390243905</v>
      </c>
      <c r="FK571" s="132">
        <f t="shared" si="451"/>
        <v>0</v>
      </c>
      <c r="FL571" s="115">
        <f t="shared" si="451"/>
        <v>0</v>
      </c>
      <c r="FM571" s="115">
        <f t="shared" si="451"/>
        <v>0</v>
      </c>
      <c r="FN571" s="115">
        <f t="shared" si="451"/>
        <v>0</v>
      </c>
      <c r="FO571" s="115">
        <f t="shared" si="439"/>
        <v>0</v>
      </c>
      <c r="FP571" s="115">
        <f t="shared" si="439"/>
        <v>0</v>
      </c>
      <c r="FQ571" s="149">
        <f t="shared" si="439"/>
        <v>-2.7276456239999973</v>
      </c>
      <c r="FR571" s="142">
        <f t="shared" si="439"/>
        <v>-3.2659999999999982</v>
      </c>
      <c r="FS571" s="119">
        <f t="shared" si="439"/>
        <v>0</v>
      </c>
      <c r="FT571" s="121">
        <f t="shared" si="438"/>
        <v>-12</v>
      </c>
      <c r="FU571" s="121">
        <f t="shared" si="452"/>
        <v>2</v>
      </c>
      <c r="FV571" s="121">
        <f t="shared" si="452"/>
        <v>-7.2</v>
      </c>
      <c r="FW571" s="121">
        <f t="shared" si="453"/>
        <v>-61.322642717092208</v>
      </c>
      <c r="FX571" s="121">
        <f t="shared" si="454"/>
        <v>1</v>
      </c>
      <c r="FY571" s="144">
        <f t="shared" si="454"/>
        <v>-3.3031442844548842E-2</v>
      </c>
      <c r="FZ571" s="145" t="s">
        <v>204</v>
      </c>
      <c r="GA571" s="136" t="s">
        <v>1966</v>
      </c>
      <c r="GB571" s="145" t="s">
        <v>199</v>
      </c>
      <c r="GC571" s="136" t="s">
        <v>200</v>
      </c>
      <c r="GD571" s="997" t="s">
        <v>202</v>
      </c>
      <c r="GE571" s="1004" t="s">
        <v>199</v>
      </c>
      <c r="GF571" s="1004">
        <v>1.8556976239999941</v>
      </c>
      <c r="GG571" s="1004"/>
      <c r="GH571" s="1004">
        <v>0</v>
      </c>
      <c r="GI571" s="145"/>
      <c r="GJ571" s="996">
        <v>0</v>
      </c>
      <c r="GK571" s="145"/>
      <c r="GL571" s="996">
        <v>0</v>
      </c>
      <c r="GM571" s="1005"/>
      <c r="GN571" s="996">
        <v>0</v>
      </c>
      <c r="GO571" s="1006"/>
      <c r="GP571" s="996">
        <v>0.83599999999999852</v>
      </c>
      <c r="GQ571" s="1006" t="s">
        <v>240</v>
      </c>
      <c r="GR571" s="996">
        <v>-2.9594399999999936</v>
      </c>
      <c r="GS571" s="1006" t="s">
        <v>204</v>
      </c>
      <c r="GT571" s="996">
        <v>-4.0629600000000039</v>
      </c>
      <c r="GU571" s="1006"/>
      <c r="GV571" s="996">
        <v>0</v>
      </c>
      <c r="GW571" s="1006"/>
      <c r="GX571" s="996">
        <v>-1.0031999999999996</v>
      </c>
      <c r="GY571" s="1006" t="s">
        <v>204</v>
      </c>
      <c r="GZ571" s="996">
        <v>5.0159999999999982</v>
      </c>
      <c r="HA571" s="1006" t="s">
        <v>221</v>
      </c>
      <c r="HB571" s="996">
        <v>-10.366399999999999</v>
      </c>
      <c r="HC571" s="1006" t="s">
        <v>363</v>
      </c>
      <c r="HD571" s="996">
        <v>9.3123168599999957</v>
      </c>
      <c r="HE571" s="1006"/>
      <c r="HF571" s="996">
        <v>0</v>
      </c>
      <c r="HG571" s="1006" t="s">
        <v>204</v>
      </c>
      <c r="HH571" s="996">
        <v>10.950993900000007</v>
      </c>
      <c r="HI571" s="1006"/>
      <c r="HJ571" s="996">
        <v>0</v>
      </c>
      <c r="HK571" s="1006" t="s">
        <v>221</v>
      </c>
      <c r="HL571" s="996">
        <v>-15.799070759999999</v>
      </c>
      <c r="HM571" s="1006" t="s">
        <v>223</v>
      </c>
      <c r="HN571" s="996">
        <v>-6.5375200000000078</v>
      </c>
      <c r="HO571" s="1006"/>
      <c r="HP571" s="996">
        <v>0</v>
      </c>
      <c r="HQ571" s="1006"/>
      <c r="HR571" s="996">
        <v>0</v>
      </c>
      <c r="HS571" s="1006" t="s">
        <v>643</v>
      </c>
      <c r="HT571" s="996">
        <v>0</v>
      </c>
      <c r="HU571" s="1006"/>
      <c r="HV571" s="996">
        <v>0</v>
      </c>
      <c r="HW571" s="1006"/>
      <c r="HX571" s="996">
        <v>-0.62699999999999534</v>
      </c>
      <c r="HY571" s="1006" t="s">
        <v>221</v>
      </c>
      <c r="HZ571" s="996">
        <v>17.192340000000002</v>
      </c>
      <c r="IA571" s="1006" t="s">
        <v>1382</v>
      </c>
      <c r="IB571" s="996">
        <v>-42.916060000000002</v>
      </c>
      <c r="IC571" s="1006"/>
      <c r="ID571" s="996">
        <v>0</v>
      </c>
      <c r="IE571" s="1006"/>
      <c r="IF571" s="996">
        <v>0</v>
      </c>
      <c r="IG571" s="1006" t="s">
        <v>223</v>
      </c>
      <c r="IH571" s="996">
        <v>-15.884</v>
      </c>
      <c r="II571" s="1006"/>
      <c r="IJ571" s="996">
        <v>9.6975999999997953E-2</v>
      </c>
      <c r="IK571" s="1006" t="s">
        <v>204</v>
      </c>
      <c r="IL571" s="996">
        <v>43.799024000000003</v>
      </c>
      <c r="IM571" s="1006"/>
      <c r="IN571" s="996"/>
      <c r="IO571" s="1006"/>
      <c r="IP571" s="996"/>
      <c r="IQ571" s="1006"/>
      <c r="IR571" s="996"/>
      <c r="IS571" s="1006"/>
      <c r="IT571" s="996"/>
      <c r="IU571" s="1006"/>
      <c r="IV571" s="996"/>
      <c r="IW571" s="1006"/>
      <c r="IX571" s="996"/>
      <c r="IY571" s="1006"/>
      <c r="IZ571" s="996"/>
      <c r="JA571" s="1006"/>
      <c r="JB571" s="996"/>
      <c r="JC571" s="1006"/>
      <c r="JD571" s="996"/>
      <c r="JE571" s="1006"/>
      <c r="JF571" s="996"/>
      <c r="JG571" s="1006"/>
      <c r="JH571" s="996"/>
      <c r="JI571" s="1006"/>
      <c r="JJ571" s="996"/>
      <c r="JK571" s="1007"/>
      <c r="JL571" s="1007"/>
      <c r="JM571" s="1007"/>
      <c r="JN571" s="1007"/>
      <c r="JO571" s="1008"/>
      <c r="JP571" s="1007"/>
      <c r="JQ571" s="1008"/>
      <c r="JR571" s="1007"/>
      <c r="JS571" s="1008"/>
      <c r="JT571" s="1007"/>
      <c r="JU571" s="1008"/>
      <c r="JV571" s="1007"/>
      <c r="JW571" s="1008"/>
      <c r="JX571" s="1007"/>
      <c r="JY571" s="1008"/>
      <c r="JZ571" s="1007"/>
      <c r="KA571" s="1008"/>
      <c r="KB571" s="1007"/>
      <c r="KC571" s="1008"/>
      <c r="KD571" s="1007"/>
      <c r="KE571" s="1008"/>
      <c r="KF571" s="1007"/>
      <c r="KG571" s="1008"/>
      <c r="KH571" s="1007"/>
      <c r="KI571" s="1008"/>
      <c r="KJ571" s="1007"/>
      <c r="KK571" s="1008"/>
      <c r="KL571" s="1007"/>
      <c r="KM571" s="1008"/>
      <c r="KN571" s="1007"/>
      <c r="KO571" s="1008"/>
      <c r="KP571" s="1007"/>
      <c r="KQ571" s="1008"/>
      <c r="KR571" s="1007"/>
      <c r="KS571" s="1008"/>
      <c r="KT571" s="1007"/>
      <c r="KU571" s="1008"/>
      <c r="KV571" s="1007"/>
      <c r="KW571" s="1008"/>
      <c r="KX571" s="1007"/>
      <c r="KY571" s="1008"/>
      <c r="KZ571" s="1007"/>
      <c r="LA571" s="1008"/>
      <c r="LB571" s="1007"/>
      <c r="LC571" s="1008"/>
      <c r="LD571" s="1007"/>
      <c r="LE571" s="1008"/>
      <c r="LF571" s="1007"/>
      <c r="LG571" s="1008"/>
      <c r="LH571" s="1007"/>
      <c r="LI571" s="1008"/>
      <c r="LJ571" s="1007"/>
      <c r="LK571" s="1008"/>
      <c r="LL571" s="1007"/>
      <c r="LM571" s="1008"/>
      <c r="LN571" s="1007"/>
      <c r="LO571" s="1008"/>
      <c r="LP571" s="1007"/>
      <c r="LQ571" s="1008"/>
      <c r="LR571" s="1007"/>
      <c r="LS571" s="1008"/>
      <c r="LT571" s="1007"/>
      <c r="LU571" s="1008"/>
      <c r="LV571" s="1007"/>
      <c r="LW571" s="1008"/>
      <c r="LX571" s="1007"/>
      <c r="LY571" s="1009"/>
      <c r="LZ571" s="1010"/>
      <c r="MA571" s="1011"/>
      <c r="MB571" s="1012"/>
      <c r="MC571" s="995"/>
      <c r="MD571" s="996"/>
      <c r="ME571" s="997" t="s">
        <v>202</v>
      </c>
      <c r="MF571" s="997"/>
      <c r="MG571" s="998"/>
      <c r="NR571" s="1000"/>
      <c r="NS571" s="1000"/>
      <c r="NT571" s="1001"/>
      <c r="NU571" s="1000"/>
      <c r="NV571" s="1001"/>
      <c r="NX571" s="1002"/>
      <c r="NZ571" s="1001"/>
      <c r="OA571" s="1001"/>
      <c r="OC571" s="1003"/>
      <c r="OD571" s="1003"/>
      <c r="OE571" s="1001"/>
      <c r="OF571" s="1003"/>
      <c r="OG571" s="1003"/>
      <c r="QX571" s="1000">
        <f>CN571-CA571</f>
        <v>34</v>
      </c>
      <c r="ASU571" s="999" t="s">
        <v>208</v>
      </c>
    </row>
    <row r="572" spans="1:466 1191:1191" ht="21" customHeight="1" x14ac:dyDescent="0.25">
      <c r="A572" s="982">
        <f t="shared" si="441"/>
        <v>3315</v>
      </c>
      <c r="B572" s="124">
        <f>SUBTOTAL(103,$J$29:J572)</f>
        <v>544</v>
      </c>
      <c r="C572" s="126">
        <v>45068</v>
      </c>
      <c r="D572" s="124" t="s">
        <v>176</v>
      </c>
      <c r="E572" s="127" t="s">
        <v>177</v>
      </c>
      <c r="F572" s="128" t="s">
        <v>177</v>
      </c>
      <c r="G572" s="127" t="s">
        <v>178</v>
      </c>
      <c r="H572" s="127" t="s">
        <v>179</v>
      </c>
      <c r="I572" s="127" t="s">
        <v>1304</v>
      </c>
      <c r="J572" s="152">
        <v>3315</v>
      </c>
      <c r="K572" s="127" t="s">
        <v>1334</v>
      </c>
      <c r="L572" s="130">
        <v>43231</v>
      </c>
      <c r="M572" s="127" t="s">
        <v>230</v>
      </c>
      <c r="N572" s="127" t="s">
        <v>184</v>
      </c>
      <c r="O572" s="127" t="s">
        <v>185</v>
      </c>
      <c r="P572" s="127" t="s">
        <v>186</v>
      </c>
      <c r="Q572" s="85">
        <f t="shared" si="473"/>
        <v>-4</v>
      </c>
      <c r="R572" s="130">
        <v>43170</v>
      </c>
      <c r="S572" s="128" t="s">
        <v>747</v>
      </c>
      <c r="T572" s="131" t="s">
        <v>1718</v>
      </c>
      <c r="U572" s="132">
        <v>203</v>
      </c>
      <c r="V572" s="121">
        <v>218.2</v>
      </c>
      <c r="W572" s="116">
        <v>0.98</v>
      </c>
      <c r="X572" s="116">
        <v>1.66</v>
      </c>
      <c r="Y572" s="116">
        <f t="shared" si="463"/>
        <v>0.98524673562828546</v>
      </c>
      <c r="Z572" s="133">
        <v>1.454</v>
      </c>
      <c r="AA572" s="133">
        <v>0.83599999999999997</v>
      </c>
      <c r="AB572" s="133">
        <v>0.72</v>
      </c>
      <c r="AC572" s="121">
        <v>34.299999999999997</v>
      </c>
      <c r="AD572" s="134">
        <v>1.17</v>
      </c>
      <c r="AE572" s="124">
        <v>177.8</v>
      </c>
      <c r="AF572" s="128">
        <v>9.19</v>
      </c>
      <c r="AG572" s="128">
        <v>2046.72</v>
      </c>
      <c r="AH572" s="127">
        <v>3155</v>
      </c>
      <c r="AI572" s="127">
        <v>3155</v>
      </c>
      <c r="AJ572" s="135"/>
      <c r="AK572" s="128"/>
      <c r="AL572" s="131"/>
      <c r="AM572" s="124" t="s">
        <v>985</v>
      </c>
      <c r="AN572" s="136" t="s">
        <v>1967</v>
      </c>
      <c r="AO572" s="137">
        <v>29.51</v>
      </c>
      <c r="AP572" s="128">
        <v>2237.59</v>
      </c>
      <c r="AQ572" s="128">
        <v>269.20999999999998</v>
      </c>
      <c r="AR572" s="128" t="s">
        <v>1968</v>
      </c>
      <c r="AS572" s="128">
        <v>114</v>
      </c>
      <c r="AT572" s="122">
        <v>7.37</v>
      </c>
      <c r="AU572" s="124" t="s">
        <v>189</v>
      </c>
      <c r="AV572" s="115">
        <f>VLOOKUP(J572,'[63]ТР нефть'!$J$28:$BP$638,39,0)</f>
        <v>429.99998584000002</v>
      </c>
      <c r="AW572" s="115" t="str">
        <f>VLOOKUP(J572,'[63]ТР нефть'!$J$28:$BP$638,40,0)</f>
        <v>ГП</v>
      </c>
      <c r="AX572" s="115">
        <f>VLOOKUP(J572,'[63]ТР нефть'!$J$28:$BP$638,41,0)</f>
        <v>840.00000175800005</v>
      </c>
      <c r="AY572" s="115" t="str">
        <f>VLOOKUP(J572,'[63]ТР нефть'!$J$28:$BP$638,42,0)</f>
        <v>ГП</v>
      </c>
      <c r="AZ572" s="115">
        <f>VLOOKUP(J572,'[63]ТР нефть'!$J$28:$BP$638,43,0)</f>
        <v>1180.000011328</v>
      </c>
      <c r="BA572" s="115" t="str">
        <f>VLOOKUP(J572,'[63]ТР нефть'!$J$28:$BP$638,44,0)</f>
        <v>ГП</v>
      </c>
      <c r="BB572" s="115">
        <f>VLOOKUP(J572,'[63]ТР нефть'!$J$28:$BP$638,45,0)</f>
        <v>1440.000066797</v>
      </c>
      <c r="BC572" s="115" t="str">
        <f>VLOOKUP(J572,'[63]ТР нефть'!$J$28:$BP$638,46,0)</f>
        <v>ГК 75 1/8</v>
      </c>
      <c r="BD572" s="115">
        <f>VLOOKUP(J572,'[63]ТР нефть'!$J$28:$BP$638,47,0)</f>
        <v>1640.0000636719999</v>
      </c>
      <c r="BE572" s="115" t="str">
        <f>VLOOKUP(J572,'[63]ТР нефть'!$J$28:$BP$638,48,0)</f>
        <v>ГК 74 1/8</v>
      </c>
      <c r="BF572" s="115">
        <f>VLOOKUP(J572,'[63]ТР нефть'!$J$28:$BP$638,49,0)</f>
        <v>1800</v>
      </c>
      <c r="BG572" s="115" t="str">
        <f>VLOOKUP(J572,'[63]ТР нефть'!$J$28:$BP$638,50,0)</f>
        <v>ЦКсОК 5/16</v>
      </c>
      <c r="BH572" s="115">
        <f>VLOOKUP(J572,'[63]ТР нефть'!$J$28:$BP$638,51,0)</f>
        <v>1910</v>
      </c>
      <c r="BI572" s="115" t="str">
        <f>VLOOKUP(J572,'[63]ТР нефть'!$J$28:$BP$638,52,0)</f>
        <v>открыт</v>
      </c>
      <c r="BJ572" s="115" t="str">
        <f>IF(IFERROR(VLOOKUP(J572,'[63]ТР нефть'!$J$28:$BP$638,53,0),"-")=0,"-",IFERROR(VLOOKUP(J572,'[63]ТР нефть'!$J$28:$BP$638,53,0),"-"))</f>
        <v>-</v>
      </c>
      <c r="BK572" s="138" t="str">
        <f>IF(IFERROR(VLOOKUP(J572,'[63]ТР нефть'!$J$28:$BP$638,54,0),"-")=0,"-",IFERROR(VLOOKUP(J572,'[63]ТР нефть'!$J$28:$BP$638,54,0),"-"))</f>
        <v>-</v>
      </c>
      <c r="BL572" s="138" t="str">
        <f>IF(IFERROR(VLOOKUP(J572,'[63]ТР нефть'!$J$28:$BP$638,55,0),"-")=0,"-",IFERROR(VLOOKUP(J572,'[63]ТР нефть'!$J$28:$BP$638,55,0),"-"))</f>
        <v>-</v>
      </c>
      <c r="BM572" s="138" t="str">
        <f>IF(IFERROR(VLOOKUP(J572,'[63]ТР нефть'!$J$28:$BP$638,56,0),"-")=0,"-",IFERROR(VLOOKUP(J572,'[63]ТР нефть'!$J$28:$BP$638,56,0),"-"))</f>
        <v>-</v>
      </c>
      <c r="BN572" s="138" t="str">
        <f>IF(IFERROR(VLOOKUP(J572,'[63]ТР нефть'!$J$28:$BP$638,57,0),"-")=0,"-",IFERROR(VLOOKUP(J572,'[63]ТР нефть'!$J$28:$BP$638,57,0),"-"))</f>
        <v>-</v>
      </c>
      <c r="BO572" s="115" t="str">
        <f>IF(IFERROR(VLOOKUP(J572,'[63]ТР нефть'!$J$28:$BP$638,58,0),"-")=0,"-",IFERROR(VLOOKUP(J572,'[63]ТР нефть'!$J$28:$BP$638,58,0),"-"))</f>
        <v>-</v>
      </c>
      <c r="BP572" s="115" t="str">
        <f>IF(IFERROR(VLOOKUP(J572,'[63]ТР нефть'!$J$28:$BP$638,59,0),"-")=0,"-",IFERROR(VLOOKUP(J572,'[63]ТР нефть'!$J$28:$BP$638,59,0),"-"))</f>
        <v>-</v>
      </c>
      <c r="BQ572" s="138">
        <v>3155</v>
      </c>
      <c r="BR572" s="128">
        <v>1978.32</v>
      </c>
      <c r="BS572" s="115">
        <f t="shared" si="479"/>
        <v>1176.68</v>
      </c>
      <c r="BT572" s="128">
        <v>73</v>
      </c>
      <c r="BU572" s="128">
        <v>5.5</v>
      </c>
      <c r="BV572" s="127">
        <v>65</v>
      </c>
      <c r="BW572" s="127" t="s">
        <v>217</v>
      </c>
      <c r="BX572" s="127" t="s">
        <v>195</v>
      </c>
      <c r="BY572" s="139">
        <v>24</v>
      </c>
      <c r="BZ572" s="139">
        <v>0</v>
      </c>
      <c r="CA572" s="138">
        <v>10</v>
      </c>
      <c r="CB572" s="138">
        <v>26</v>
      </c>
      <c r="CC572" s="138">
        <v>9</v>
      </c>
      <c r="CD572" s="135">
        <v>45017</v>
      </c>
      <c r="CE572" s="138">
        <v>110</v>
      </c>
      <c r="CF572" s="138">
        <v>70</v>
      </c>
      <c r="CG572" s="138" t="str">
        <f t="shared" si="474"/>
        <v>В работе</v>
      </c>
      <c r="CH572" s="138" t="s">
        <v>272</v>
      </c>
      <c r="CI572" s="127">
        <v>5</v>
      </c>
      <c r="CJ572" s="138"/>
      <c r="CK572" s="138">
        <f t="shared" si="432"/>
        <v>28</v>
      </c>
      <c r="CL572" s="99"/>
      <c r="CM572" s="99"/>
      <c r="CN572" s="140">
        <v>38</v>
      </c>
      <c r="CO572" s="141">
        <f t="shared" si="442"/>
        <v>12.210303335999999</v>
      </c>
      <c r="CP572" s="142">
        <v>14.798</v>
      </c>
      <c r="CQ572" s="143">
        <v>1.3</v>
      </c>
      <c r="CR572" s="138">
        <v>17</v>
      </c>
      <c r="CS572" s="139">
        <v>10.8</v>
      </c>
      <c r="CT572" s="138"/>
      <c r="CU572" s="138">
        <f t="shared" si="475"/>
        <v>6.1999999999999993</v>
      </c>
      <c r="CV572" s="115">
        <f t="shared" si="476"/>
        <v>507.76789317922641</v>
      </c>
      <c r="CW572" s="115">
        <f t="shared" si="443"/>
        <v>868.65093584412602</v>
      </c>
      <c r="CX572" s="133">
        <f t="shared" si="477"/>
        <v>0.20552777777777778</v>
      </c>
      <c r="CY572" s="116"/>
      <c r="CZ572" s="131"/>
      <c r="DA572" s="145" t="str">
        <f t="shared" si="478"/>
        <v>Газлифт</v>
      </c>
      <c r="DB572" s="146">
        <f t="shared" si="468"/>
        <v>12.210303335999999</v>
      </c>
      <c r="DC572" s="142">
        <f t="shared" si="469"/>
        <v>14.798</v>
      </c>
      <c r="DD572" s="119">
        <f t="shared" si="470"/>
        <v>1.3</v>
      </c>
      <c r="DE572" s="115">
        <f t="shared" si="471"/>
        <v>6.1999999999999993</v>
      </c>
      <c r="DF572" s="121">
        <f t="shared" si="472"/>
        <v>10.8</v>
      </c>
      <c r="DG572" s="115">
        <f t="shared" si="446"/>
        <v>507.76789317922641</v>
      </c>
      <c r="DH572" s="115">
        <f t="shared" si="447"/>
        <v>38</v>
      </c>
      <c r="DI572" s="147"/>
      <c r="DJ572" s="111">
        <v>43721</v>
      </c>
      <c r="DK572" s="112">
        <v>43819</v>
      </c>
      <c r="DL572" s="113">
        <f t="shared" ca="1" si="480"/>
        <v>1285</v>
      </c>
      <c r="DM572" s="114"/>
      <c r="DN572" s="114"/>
      <c r="DO572" s="114"/>
      <c r="DP572" s="114"/>
      <c r="DQ572" s="112">
        <v>43231</v>
      </c>
      <c r="DR572" s="114" t="s">
        <v>324</v>
      </c>
      <c r="DS572" s="114"/>
      <c r="DT572" s="115">
        <v>52</v>
      </c>
      <c r="DU572" s="116">
        <f t="shared" si="481"/>
        <v>0.25513793103448273</v>
      </c>
      <c r="DV572" s="117">
        <f t="shared" ref="DV572:DV591" si="484">DW572*(1-DX572/100)*$AA572</f>
        <v>12.210303335999999</v>
      </c>
      <c r="DW572" s="118">
        <f t="shared" ref="DW572:DW591" si="485">IF(DT572&lt;CN572,IF(MQ572=1,CP572,(1-0.2*(DT572/CE572)-0.8*(DT572/CE572)^2)*(CP572/(1-0.2*(CN572/CE572)-0.8*(CN572/CE572)^2))),CP572)</f>
        <v>14.798</v>
      </c>
      <c r="DX572" s="119">
        <f t="shared" ref="DX572:DX591" si="486">CQ572</f>
        <v>1.3</v>
      </c>
      <c r="DY572" s="115">
        <f t="shared" ref="DY572:DY591" si="487">(CV572*DV572)/1000</f>
        <v>6.1999999999999993</v>
      </c>
      <c r="DZ572" s="117">
        <f t="shared" si="482"/>
        <v>0</v>
      </c>
      <c r="EA572" s="120">
        <f t="shared" si="482"/>
        <v>0</v>
      </c>
      <c r="EB572" s="119">
        <f t="shared" si="482"/>
        <v>0</v>
      </c>
      <c r="EC572" s="121">
        <f t="shared" si="464"/>
        <v>0</v>
      </c>
      <c r="ED572" s="122"/>
      <c r="EE572" s="145">
        <v>65</v>
      </c>
      <c r="EF572" s="115">
        <v>6</v>
      </c>
      <c r="EG572" s="115">
        <v>67</v>
      </c>
      <c r="EH572" s="115">
        <v>5</v>
      </c>
      <c r="EI572" s="128" t="s">
        <v>195</v>
      </c>
      <c r="EJ572" s="121">
        <v>24</v>
      </c>
      <c r="EK572" s="121">
        <v>0</v>
      </c>
      <c r="EL572" s="149">
        <v>12.210303335999999</v>
      </c>
      <c r="EM572" s="142">
        <v>14.798</v>
      </c>
      <c r="EN572" s="119">
        <v>1.3</v>
      </c>
      <c r="EO572" s="115">
        <v>17</v>
      </c>
      <c r="EP572" s="115">
        <v>507.76789317922641</v>
      </c>
      <c r="EQ572" s="115">
        <v>69</v>
      </c>
      <c r="ER572" s="115">
        <v>10.8</v>
      </c>
      <c r="ES572" s="115">
        <v>39</v>
      </c>
      <c r="ET572" s="150">
        <v>0.20842253521126761</v>
      </c>
      <c r="EU572" s="145">
        <f t="shared" si="457"/>
        <v>65</v>
      </c>
      <c r="EV572" s="115">
        <f t="shared" si="448"/>
        <v>10</v>
      </c>
      <c r="EW572" s="115">
        <f t="shared" si="448"/>
        <v>26</v>
      </c>
      <c r="EX572" s="115">
        <f t="shared" si="448"/>
        <v>9</v>
      </c>
      <c r="EY572" s="115" t="str">
        <f t="shared" si="434"/>
        <v>Постоянный</v>
      </c>
      <c r="EZ572" s="115">
        <f t="shared" si="434"/>
        <v>24</v>
      </c>
      <c r="FA572" s="115">
        <f t="shared" si="434"/>
        <v>0</v>
      </c>
      <c r="FB572" s="149">
        <f t="shared" si="461"/>
        <v>12.210303335999999</v>
      </c>
      <c r="FC572" s="142">
        <f t="shared" si="461"/>
        <v>14.798</v>
      </c>
      <c r="FD572" s="119">
        <f t="shared" si="461"/>
        <v>1.3</v>
      </c>
      <c r="FE572" s="121">
        <f t="shared" si="460"/>
        <v>17</v>
      </c>
      <c r="FF572" s="121">
        <f t="shared" si="462"/>
        <v>507.76789317922641</v>
      </c>
      <c r="FG572" s="121">
        <f t="shared" si="449"/>
        <v>70</v>
      </c>
      <c r="FH572" s="121">
        <f t="shared" si="436"/>
        <v>10.8</v>
      </c>
      <c r="FI572" s="121">
        <f t="shared" si="483"/>
        <v>38</v>
      </c>
      <c r="FJ572" s="144">
        <f t="shared" si="450"/>
        <v>0.20552777777777778</v>
      </c>
      <c r="FK572" s="132">
        <f t="shared" si="451"/>
        <v>0</v>
      </c>
      <c r="FL572" s="115">
        <f t="shared" si="451"/>
        <v>4</v>
      </c>
      <c r="FM572" s="115">
        <f t="shared" si="451"/>
        <v>-41</v>
      </c>
      <c r="FN572" s="115">
        <f t="shared" si="451"/>
        <v>4</v>
      </c>
      <c r="FO572" s="115">
        <f t="shared" si="439"/>
        <v>0</v>
      </c>
      <c r="FP572" s="115">
        <f t="shared" si="439"/>
        <v>0</v>
      </c>
      <c r="FQ572" s="149">
        <f t="shared" si="439"/>
        <v>0</v>
      </c>
      <c r="FR572" s="142">
        <f t="shared" si="439"/>
        <v>0</v>
      </c>
      <c r="FS572" s="119">
        <f t="shared" si="439"/>
        <v>0</v>
      </c>
      <c r="FT572" s="121">
        <f t="shared" si="438"/>
        <v>0</v>
      </c>
      <c r="FU572" s="121">
        <f t="shared" si="452"/>
        <v>1</v>
      </c>
      <c r="FV572" s="121">
        <f t="shared" si="452"/>
        <v>0</v>
      </c>
      <c r="FW572" s="121">
        <f t="shared" si="453"/>
        <v>0</v>
      </c>
      <c r="FX572" s="121">
        <f t="shared" si="454"/>
        <v>-1</v>
      </c>
      <c r="FY572" s="144">
        <f t="shared" si="454"/>
        <v>-2.8947574334898252E-3</v>
      </c>
      <c r="FZ572" s="145"/>
      <c r="GA572" s="136"/>
      <c r="GB572" s="145" t="s">
        <v>204</v>
      </c>
      <c r="GC572" s="151" t="s">
        <v>219</v>
      </c>
      <c r="GD572" s="997" t="s">
        <v>202</v>
      </c>
      <c r="GE572" s="1004" t="s">
        <v>204</v>
      </c>
      <c r="GF572" s="1004">
        <v>2.7635033359999994</v>
      </c>
      <c r="GG572" s="1004"/>
      <c r="GH572" s="1004">
        <v>0</v>
      </c>
      <c r="GI572" s="145" t="s">
        <v>204</v>
      </c>
      <c r="GJ572" s="996">
        <v>-5.16648</v>
      </c>
      <c r="GK572" s="145"/>
      <c r="GL572" s="996">
        <v>0</v>
      </c>
      <c r="GM572" s="1005"/>
      <c r="GN572" s="996">
        <v>7.6912000000001868E-2</v>
      </c>
      <c r="GO572" s="1006" t="s">
        <v>241</v>
      </c>
      <c r="GP572" s="996">
        <v>-5.5276320000000023</v>
      </c>
      <c r="GQ572" s="1006" t="s">
        <v>199</v>
      </c>
      <c r="GR572" s="996">
        <v>7.6912000000000003</v>
      </c>
      <c r="GS572" s="1006" t="s">
        <v>221</v>
      </c>
      <c r="GT572" s="996">
        <v>-8.2078479999999967</v>
      </c>
      <c r="GU572" s="1006" t="s">
        <v>221</v>
      </c>
      <c r="GV572" s="996">
        <v>5.5326479999999965</v>
      </c>
      <c r="GW572" s="1006" t="s">
        <v>204</v>
      </c>
      <c r="GX572" s="996">
        <v>-2.2404799999999998</v>
      </c>
      <c r="GY572" s="1006" t="s">
        <v>204</v>
      </c>
      <c r="GZ572" s="996">
        <v>4.2936048759999998</v>
      </c>
      <c r="HA572" s="1006"/>
      <c r="HB572" s="996">
        <v>-0.31435355600000037</v>
      </c>
      <c r="HC572" s="1006"/>
      <c r="HD572" s="996">
        <v>0</v>
      </c>
      <c r="HE572" s="1006"/>
      <c r="HF572" s="996">
        <v>0</v>
      </c>
      <c r="HG572" s="1006" t="s">
        <v>199</v>
      </c>
      <c r="HH572" s="996">
        <v>0.15539568000000159</v>
      </c>
      <c r="HI572" s="1006"/>
      <c r="HJ572" s="996">
        <v>0</v>
      </c>
      <c r="HK572" s="1006"/>
      <c r="HL572" s="996">
        <v>0.37738544800000007</v>
      </c>
      <c r="HM572" s="1006" t="s">
        <v>276</v>
      </c>
      <c r="HN572" s="996">
        <v>1.2981675519999989</v>
      </c>
      <c r="HO572" s="1006"/>
      <c r="HP572" s="996">
        <v>0</v>
      </c>
      <c r="HQ572" s="1006"/>
      <c r="HR572" s="996">
        <v>0</v>
      </c>
      <c r="HS572" s="1006"/>
      <c r="HT572" s="996">
        <v>0</v>
      </c>
      <c r="HU572" s="1006" t="s">
        <v>199</v>
      </c>
      <c r="HV572" s="996">
        <v>-1.2289199999999987</v>
      </c>
      <c r="HW572" s="1006" t="s">
        <v>199</v>
      </c>
      <c r="HX572" s="996">
        <v>1.2289199999999987</v>
      </c>
      <c r="HY572" s="1006"/>
      <c r="HZ572" s="996">
        <v>0</v>
      </c>
      <c r="IA572" s="1006" t="s">
        <v>199</v>
      </c>
      <c r="IB572" s="996">
        <v>-1.0617199999999993</v>
      </c>
      <c r="IC572" s="1006"/>
      <c r="ID572" s="996">
        <v>0</v>
      </c>
      <c r="IE572" s="1006"/>
      <c r="IF572" s="996">
        <v>0.16719999999999935</v>
      </c>
      <c r="IG572" s="1006" t="s">
        <v>223</v>
      </c>
      <c r="IH572" s="996">
        <v>-1.8391999999999999</v>
      </c>
      <c r="II572" s="1006"/>
      <c r="IJ572" s="996">
        <v>0.8360000000000003</v>
      </c>
      <c r="IK572" s="1006"/>
      <c r="IL572" s="996">
        <v>0</v>
      </c>
      <c r="IM572" s="1006" t="s">
        <v>199</v>
      </c>
      <c r="IN572" s="996">
        <v>5.467439999999999</v>
      </c>
      <c r="IO572" s="1006" t="s">
        <v>199</v>
      </c>
      <c r="IP572" s="996">
        <v>-4.9323999999999986</v>
      </c>
      <c r="IQ572" s="1006"/>
      <c r="IR572" s="996">
        <v>0</v>
      </c>
      <c r="IS572" s="1006"/>
      <c r="IT572" s="996">
        <v>0</v>
      </c>
      <c r="IU572" s="1006"/>
      <c r="IV572" s="996">
        <v>0</v>
      </c>
      <c r="IW572" s="1006"/>
      <c r="IX572" s="996">
        <v>0.40127999999999986</v>
      </c>
      <c r="IY572" s="1006" t="s">
        <v>199</v>
      </c>
      <c r="IZ572" s="996">
        <v>9.0956799999999998</v>
      </c>
      <c r="JA572" s="1006" t="s">
        <v>199</v>
      </c>
      <c r="JB572" s="996">
        <v>-1.8659519999999996</v>
      </c>
      <c r="JC572" s="1006" t="s">
        <v>199</v>
      </c>
      <c r="JD572" s="996">
        <v>-12.462251999999998</v>
      </c>
      <c r="JE572" s="1006"/>
      <c r="JF572" s="996">
        <v>0</v>
      </c>
      <c r="JG572" s="1006"/>
      <c r="JH572" s="996">
        <v>0</v>
      </c>
      <c r="JI572" s="1006" t="s">
        <v>239</v>
      </c>
      <c r="JJ572" s="996">
        <v>-0.44581706399999987</v>
      </c>
      <c r="JK572" s="1007"/>
      <c r="JL572" s="1007">
        <v>0</v>
      </c>
      <c r="JM572" s="1007"/>
      <c r="JN572" s="1007">
        <v>0</v>
      </c>
      <c r="JO572" s="1008"/>
      <c r="JP572" s="1007">
        <v>0</v>
      </c>
      <c r="JQ572" s="1008" t="s">
        <v>199</v>
      </c>
      <c r="JR572" s="1007">
        <v>-5.4655389360000015</v>
      </c>
      <c r="JS572" s="1008" t="s">
        <v>223</v>
      </c>
      <c r="JT572" s="1007">
        <v>-4.840440000000001</v>
      </c>
      <c r="JU572" s="1008"/>
      <c r="JV572" s="1007">
        <v>0</v>
      </c>
      <c r="JW572" s="1008" t="s">
        <v>197</v>
      </c>
      <c r="JX572" s="1007">
        <v>0</v>
      </c>
      <c r="JY572" s="1008"/>
      <c r="JZ572" s="1007">
        <v>0</v>
      </c>
      <c r="KA572" s="1008"/>
      <c r="KB572" s="1007">
        <v>0</v>
      </c>
      <c r="KC572" s="1008"/>
      <c r="KD572" s="1007">
        <v>0</v>
      </c>
      <c r="KE572" s="1008"/>
      <c r="KF572" s="1007">
        <v>0</v>
      </c>
      <c r="KG572" s="1008" t="s">
        <v>971</v>
      </c>
      <c r="KH572" s="1007">
        <v>-4.4307999999999979</v>
      </c>
      <c r="KI572" s="1008" t="s">
        <v>203</v>
      </c>
      <c r="KJ572" s="1007">
        <v>-10.617200000000004</v>
      </c>
      <c r="KK572" s="1008"/>
      <c r="KL572" s="1007">
        <v>0</v>
      </c>
      <c r="KM572" s="1008" t="s">
        <v>206</v>
      </c>
      <c r="KN572" s="1007">
        <v>0.77748000000000417</v>
      </c>
      <c r="KO572" s="1008"/>
      <c r="KP572" s="1007">
        <v>0</v>
      </c>
      <c r="KQ572" s="1008" t="s">
        <v>203</v>
      </c>
      <c r="KR572" s="1007">
        <v>-2.2989999999999995</v>
      </c>
      <c r="KS572" s="1008">
        <v>0</v>
      </c>
      <c r="KT572" s="1007">
        <v>0</v>
      </c>
      <c r="KU572" s="1008" t="s">
        <v>25</v>
      </c>
      <c r="KV572" s="1007">
        <v>44.993519999999997</v>
      </c>
      <c r="KW572" s="1008">
        <v>0</v>
      </c>
      <c r="KX572" s="1007">
        <v>0</v>
      </c>
      <c r="KY572" s="1008">
        <v>0</v>
      </c>
      <c r="KZ572" s="1007">
        <v>0</v>
      </c>
      <c r="LA572" s="1008">
        <v>0</v>
      </c>
      <c r="LB572" s="1007">
        <v>0</v>
      </c>
      <c r="LC572" s="1008">
        <v>0</v>
      </c>
      <c r="LD572" s="1007">
        <v>0</v>
      </c>
      <c r="LE572" s="1008">
        <v>0</v>
      </c>
      <c r="LF572" s="1007">
        <v>0</v>
      </c>
      <c r="LG572" s="1008">
        <v>0</v>
      </c>
      <c r="LH572" s="1007">
        <v>0</v>
      </c>
      <c r="LI572" s="1008">
        <v>0</v>
      </c>
      <c r="LJ572" s="1007">
        <v>0</v>
      </c>
      <c r="LK572" s="1008">
        <v>0</v>
      </c>
      <c r="LL572" s="1007">
        <v>0</v>
      </c>
      <c r="LM572" s="1008">
        <v>0</v>
      </c>
      <c r="LN572" s="1007">
        <v>0</v>
      </c>
      <c r="LO572" s="1008">
        <v>0</v>
      </c>
      <c r="LP572" s="1007">
        <v>0</v>
      </c>
      <c r="LQ572" s="1008">
        <v>0</v>
      </c>
      <c r="LR572" s="1007">
        <v>0</v>
      </c>
      <c r="LS572" s="1008">
        <v>0</v>
      </c>
      <c r="LT572" s="1007">
        <v>0</v>
      </c>
      <c r="LU572" s="1008">
        <v>0</v>
      </c>
      <c r="LV572" s="1007">
        <v>0</v>
      </c>
      <c r="LW572" s="1008">
        <v>0</v>
      </c>
      <c r="LX572" s="1007">
        <v>0</v>
      </c>
      <c r="LY572" s="1009">
        <v>0</v>
      </c>
      <c r="LZ572" s="1010">
        <v>0</v>
      </c>
      <c r="MA572" s="1011">
        <v>0</v>
      </c>
      <c r="MB572" s="1012">
        <v>0</v>
      </c>
      <c r="MC572" s="995"/>
      <c r="MD572" s="996"/>
      <c r="ME572" s="997" t="s">
        <v>202</v>
      </c>
      <c r="MF572" s="997"/>
      <c r="MG572" s="998"/>
      <c r="NR572" s="1000"/>
      <c r="NS572" s="1000"/>
      <c r="NT572" s="1001"/>
      <c r="NU572" s="1000"/>
      <c r="NV572" s="1001"/>
      <c r="NX572" s="1002"/>
      <c r="NZ572" s="1001"/>
      <c r="OA572" s="1001"/>
      <c r="OC572" s="1003"/>
      <c r="OD572" s="1003"/>
      <c r="OE572" s="1001"/>
      <c r="OF572" s="1003"/>
      <c r="OG572" s="1003"/>
      <c r="QX572" s="1000">
        <f>CN572-CA572</f>
        <v>28</v>
      </c>
      <c r="ASU572" s="999" t="s">
        <v>208</v>
      </c>
    </row>
    <row r="573" spans="1:466 1191:1191" ht="21" customHeight="1" x14ac:dyDescent="0.25">
      <c r="A573" s="982">
        <f t="shared" si="441"/>
        <v>1476</v>
      </c>
      <c r="B573" s="124">
        <f>SUBTOTAL(103,$J$29:J573)</f>
        <v>545</v>
      </c>
      <c r="C573" s="126">
        <v>45068</v>
      </c>
      <c r="D573" s="124" t="s">
        <v>176</v>
      </c>
      <c r="E573" s="127" t="s">
        <v>177</v>
      </c>
      <c r="F573" s="128" t="s">
        <v>177</v>
      </c>
      <c r="G573" s="127" t="s">
        <v>178</v>
      </c>
      <c r="H573" s="127" t="s">
        <v>179</v>
      </c>
      <c r="I573" s="127" t="s">
        <v>1289</v>
      </c>
      <c r="J573" s="152">
        <v>1476</v>
      </c>
      <c r="K573" s="127" t="s">
        <v>1289</v>
      </c>
      <c r="L573" s="130">
        <v>43369</v>
      </c>
      <c r="M573" s="127" t="s">
        <v>230</v>
      </c>
      <c r="N573" s="127" t="s">
        <v>184</v>
      </c>
      <c r="O573" s="127" t="s">
        <v>185</v>
      </c>
      <c r="P573" s="127" t="s">
        <v>186</v>
      </c>
      <c r="Q573" s="85" t="str">
        <f t="shared" si="473"/>
        <v/>
      </c>
      <c r="R573" s="130"/>
      <c r="S573" s="128"/>
      <c r="T573" s="131"/>
      <c r="U573" s="132">
        <v>203</v>
      </c>
      <c r="V573" s="121">
        <v>218.2</v>
      </c>
      <c r="W573" s="116">
        <v>0.98</v>
      </c>
      <c r="X573" s="116">
        <v>1.66</v>
      </c>
      <c r="Y573" s="116">
        <f t="shared" si="463"/>
        <v>0.98</v>
      </c>
      <c r="Z573" s="133">
        <v>1.454</v>
      </c>
      <c r="AA573" s="133">
        <v>0.83599999999999997</v>
      </c>
      <c r="AB573" s="133">
        <v>0.72</v>
      </c>
      <c r="AC573" s="121">
        <v>34.299999999999997</v>
      </c>
      <c r="AD573" s="134">
        <v>1.17</v>
      </c>
      <c r="AE573" s="124">
        <v>177.8</v>
      </c>
      <c r="AF573" s="128">
        <v>9.19</v>
      </c>
      <c r="AG573" s="128">
        <v>2201.5</v>
      </c>
      <c r="AH573" s="127">
        <v>2995</v>
      </c>
      <c r="AI573" s="127">
        <v>2995</v>
      </c>
      <c r="AJ573" s="135"/>
      <c r="AK573" s="128"/>
      <c r="AL573" s="131"/>
      <c r="AM573" s="124" t="s">
        <v>985</v>
      </c>
      <c r="AN573" s="136" t="s">
        <v>1969</v>
      </c>
      <c r="AO573" s="137">
        <v>56.220000000000027</v>
      </c>
      <c r="AP573" s="128">
        <v>2293</v>
      </c>
      <c r="AQ573" s="128">
        <v>438</v>
      </c>
      <c r="AR573" s="128" t="s">
        <v>1970</v>
      </c>
      <c r="AS573" s="128">
        <v>114</v>
      </c>
      <c r="AT573" s="122">
        <v>7.37</v>
      </c>
      <c r="AU573" s="124" t="s">
        <v>189</v>
      </c>
      <c r="AV573" s="115">
        <f>VLOOKUP(J573,'[63]ТР нефть'!$J$28:$BP$638,39,0)</f>
        <v>479.99998505899998</v>
      </c>
      <c r="AW573" s="115" t="str">
        <f>VLOOKUP(J573,'[63]ТР нефть'!$J$28:$BP$638,40,0)</f>
        <v>ГП</v>
      </c>
      <c r="AX573" s="115">
        <f>VLOOKUP(J573,'[63]ТР нефть'!$J$28:$BP$638,41,0)</f>
        <v>899.99998593800001</v>
      </c>
      <c r="AY573" s="115" t="str">
        <f>VLOOKUP(J573,'[63]ТР нефть'!$J$28:$BP$638,42,0)</f>
        <v>ГП</v>
      </c>
      <c r="AZ573" s="115">
        <f>VLOOKUP(J573,'[63]ТР нефть'!$J$28:$BP$638,43,0)</f>
        <v>1209.9999662109999</v>
      </c>
      <c r="BA573" s="115" t="str">
        <f>VLOOKUP(J573,'[63]ТР нефть'!$J$28:$BP$638,44,0)</f>
        <v>ГК 77 1/8</v>
      </c>
      <c r="BB573" s="115">
        <f>VLOOKUP(J573,'[63]ТР нефть'!$J$28:$BP$638,45,0)</f>
        <v>1519.999946484</v>
      </c>
      <c r="BC573" s="115" t="str">
        <f>VLOOKUP(J573,'[63]ТР нефть'!$J$28:$BP$638,46,0)</f>
        <v>ГК 77 1/8</v>
      </c>
      <c r="BD573" s="115">
        <f>VLOOKUP(J573,'[63]ТР нефть'!$J$28:$BP$638,47,0)</f>
        <v>1810.0000312499999</v>
      </c>
      <c r="BE573" s="115" t="str">
        <f>VLOOKUP(J573,'[63]ТР нефть'!$J$28:$BP$638,48,0)</f>
        <v>ЦКсОК 5/16</v>
      </c>
      <c r="BF573" s="115" t="str">
        <f>VLOOKUP(J573,'[63]ТР нефть'!$J$28:$BP$638,49,0)</f>
        <v>-</v>
      </c>
      <c r="BG573" s="115" t="str">
        <f>VLOOKUP(J573,'[63]ТР нефть'!$J$28:$BP$638,50,0)</f>
        <v>-</v>
      </c>
      <c r="BH573" s="115">
        <f>VLOOKUP(J573,'[63]ТР нефть'!$J$28:$BP$638,51,0)</f>
        <v>1820</v>
      </c>
      <c r="BI573" s="115" t="str">
        <f>VLOOKUP(J573,'[63]ТР нефть'!$J$28:$BP$638,52,0)</f>
        <v>закрыт</v>
      </c>
      <c r="BJ573" s="115" t="str">
        <f>IF(IFERROR(VLOOKUP(J573,'[63]ТР нефть'!$J$28:$BP$638,53,0),"-")=0,"-",IFERROR(VLOOKUP(J573,'[63]ТР нефть'!$J$28:$BP$638,53,0),"-"))</f>
        <v>-</v>
      </c>
      <c r="BK573" s="138" t="str">
        <f>IF(IFERROR(VLOOKUP(J573,'[63]ТР нефть'!$J$28:$BP$638,54,0),"-")=0,"-",IFERROR(VLOOKUP(J573,'[63]ТР нефть'!$J$28:$BP$638,54,0),"-"))</f>
        <v>-</v>
      </c>
      <c r="BL573" s="138" t="str">
        <f>IF(IFERROR(VLOOKUP(J573,'[63]ТР нефть'!$J$28:$BP$638,55,0),"-")=0,"-",IFERROR(VLOOKUP(J573,'[63]ТР нефть'!$J$28:$BP$638,55,0),"-"))</f>
        <v>-</v>
      </c>
      <c r="BM573" s="138" t="str">
        <f>IF(IFERROR(VLOOKUP(J573,'[63]ТР нефть'!$J$28:$BP$638,56,0),"-")=0,"-",IFERROR(VLOOKUP(J573,'[63]ТР нефть'!$J$28:$BP$638,56,0),"-"))</f>
        <v>-</v>
      </c>
      <c r="BN573" s="138" t="str">
        <f>IF(IFERROR(VLOOKUP(J573,'[63]ТР нефть'!$J$28:$BP$638,57,0),"-")=0,"-",IFERROR(VLOOKUP(J573,'[63]ТР нефть'!$J$28:$BP$638,57,0),"-"))</f>
        <v>-</v>
      </c>
      <c r="BO573" s="115" t="str">
        <f>IF(IFERROR(VLOOKUP(J573,'[63]ТР нефть'!$J$28:$BP$638,58,0),"-")=0,"-",IFERROR(VLOOKUP(J573,'[63]ТР нефть'!$J$28:$BP$638,58,0),"-"))</f>
        <v>-</v>
      </c>
      <c r="BP573" s="115" t="str">
        <f>IF(IFERROR(VLOOKUP(J573,'[63]ТР нефть'!$J$28:$BP$638,59,0),"-")=0,"-",IFERROR(VLOOKUP(J573,'[63]ТР нефть'!$J$28:$BP$638,59,0),"-"))</f>
        <v>-</v>
      </c>
      <c r="BQ573" s="138">
        <v>2201</v>
      </c>
      <c r="BR573" s="128">
        <f>1680.18+168.9</f>
        <v>1849.0800000000002</v>
      </c>
      <c r="BS573" s="115">
        <f t="shared" si="479"/>
        <v>351.91999999999985</v>
      </c>
      <c r="BT573" s="128">
        <v>73</v>
      </c>
      <c r="BU573" s="128">
        <v>5.5</v>
      </c>
      <c r="BV573" s="127">
        <v>65</v>
      </c>
      <c r="BW573" s="127" t="s">
        <v>194</v>
      </c>
      <c r="BX573" s="127" t="s">
        <v>195</v>
      </c>
      <c r="BY573" s="139">
        <v>24</v>
      </c>
      <c r="BZ573" s="139">
        <v>0</v>
      </c>
      <c r="CA573" s="138">
        <v>25</v>
      </c>
      <c r="CB573" s="138">
        <v>41</v>
      </c>
      <c r="CC573" s="138">
        <v>24</v>
      </c>
      <c r="CD573" s="135">
        <v>45017</v>
      </c>
      <c r="CE573" s="138">
        <v>135</v>
      </c>
      <c r="CF573" s="138">
        <v>72</v>
      </c>
      <c r="CG573" s="138" t="str">
        <f t="shared" si="474"/>
        <v>В работе</v>
      </c>
      <c r="CH573" s="138" t="s">
        <v>272</v>
      </c>
      <c r="CI573" s="138"/>
      <c r="CJ573" s="138"/>
      <c r="CK573" s="138">
        <f t="shared" ref="CK573:CK636" si="488">CN573-CA573</f>
        <v>28</v>
      </c>
      <c r="CL573" s="99"/>
      <c r="CM573" s="99"/>
      <c r="CN573" s="140">
        <v>53</v>
      </c>
      <c r="CO573" s="141">
        <f t="shared" si="442"/>
        <v>7.6911999999999994</v>
      </c>
      <c r="CP573" s="142">
        <v>9.1999999999999993</v>
      </c>
      <c r="CQ573" s="143">
        <v>0</v>
      </c>
      <c r="CR573" s="138">
        <v>14.6</v>
      </c>
      <c r="CS573" s="139">
        <v>9.6</v>
      </c>
      <c r="CT573" s="138"/>
      <c r="CU573" s="138">
        <f t="shared" si="475"/>
        <v>5</v>
      </c>
      <c r="CV573" s="115">
        <f t="shared" si="476"/>
        <v>650.09361348034122</v>
      </c>
      <c r="CW573" s="115">
        <f t="shared" si="443"/>
        <v>1248.179737882255</v>
      </c>
      <c r="CX573" s="133">
        <f t="shared" si="477"/>
        <v>0.1121951219512195</v>
      </c>
      <c r="CY573" s="116"/>
      <c r="CZ573" s="131"/>
      <c r="DA573" s="145" t="str">
        <f t="shared" si="478"/>
        <v>Газлифт</v>
      </c>
      <c r="DB573" s="146">
        <f t="shared" si="468"/>
        <v>7.6911999999999994</v>
      </c>
      <c r="DC573" s="142">
        <f t="shared" si="469"/>
        <v>9.1999999999999993</v>
      </c>
      <c r="DD573" s="119">
        <f t="shared" si="470"/>
        <v>0</v>
      </c>
      <c r="DE573" s="115">
        <f t="shared" si="471"/>
        <v>5</v>
      </c>
      <c r="DF573" s="121">
        <f t="shared" si="472"/>
        <v>9.6</v>
      </c>
      <c r="DG573" s="115">
        <f t="shared" si="446"/>
        <v>650.09361348034122</v>
      </c>
      <c r="DH573" s="115">
        <f t="shared" si="447"/>
        <v>53</v>
      </c>
      <c r="DI573" s="147"/>
      <c r="DJ573" s="111" t="s">
        <v>197</v>
      </c>
      <c r="DK573" s="112">
        <v>43966</v>
      </c>
      <c r="DL573" s="113">
        <f t="shared" ca="1" si="480"/>
        <v>1138</v>
      </c>
      <c r="DM573" s="114"/>
      <c r="DN573" s="114"/>
      <c r="DO573" s="114"/>
      <c r="DP573" s="114"/>
      <c r="DQ573" s="112">
        <v>43404</v>
      </c>
      <c r="DR573" s="114" t="s">
        <v>324</v>
      </c>
      <c r="DS573" s="114"/>
      <c r="DT573" s="115">
        <v>50</v>
      </c>
      <c r="DU573" s="116">
        <f t="shared" si="481"/>
        <v>0.11067726235323233</v>
      </c>
      <c r="DV573" s="117">
        <f t="shared" si="484"/>
        <v>7.8647262628206898</v>
      </c>
      <c r="DW573" s="118">
        <f t="shared" si="485"/>
        <v>9.4075673000247484</v>
      </c>
      <c r="DX573" s="119">
        <f t="shared" si="486"/>
        <v>0</v>
      </c>
      <c r="DY573" s="115">
        <f t="shared" si="487"/>
        <v>5.1128083152308417</v>
      </c>
      <c r="DZ573" s="117">
        <f t="shared" si="482"/>
        <v>0.17352626282069039</v>
      </c>
      <c r="EA573" s="120">
        <f t="shared" si="482"/>
        <v>0.2075673000247491</v>
      </c>
      <c r="EB573" s="119">
        <f t="shared" si="482"/>
        <v>0</v>
      </c>
      <c r="EC573" s="121">
        <f t="shared" si="464"/>
        <v>0.11280831523084167</v>
      </c>
      <c r="ED573" s="122"/>
      <c r="EE573" s="145">
        <v>65</v>
      </c>
      <c r="EF573" s="115">
        <v>27</v>
      </c>
      <c r="EG573" s="115">
        <v>42</v>
      </c>
      <c r="EH573" s="115">
        <v>26</v>
      </c>
      <c r="EI573" s="128" t="s">
        <v>195</v>
      </c>
      <c r="EJ573" s="121">
        <v>24</v>
      </c>
      <c r="EK573" s="121">
        <v>0</v>
      </c>
      <c r="EL573" s="149">
        <v>7.6911999999999994</v>
      </c>
      <c r="EM573" s="142">
        <v>9.1999999999999993</v>
      </c>
      <c r="EN573" s="119">
        <v>0</v>
      </c>
      <c r="EO573" s="115">
        <v>11.4</v>
      </c>
      <c r="EP573" s="115">
        <v>546.07863532348665</v>
      </c>
      <c r="EQ573" s="115">
        <v>71</v>
      </c>
      <c r="ER573" s="115">
        <v>7.2</v>
      </c>
      <c r="ES573" s="115">
        <v>52</v>
      </c>
      <c r="ET573" s="150">
        <v>0.1108433734939759</v>
      </c>
      <c r="EU573" s="145">
        <f t="shared" si="457"/>
        <v>65</v>
      </c>
      <c r="EV573" s="115">
        <f t="shared" si="448"/>
        <v>25</v>
      </c>
      <c r="EW573" s="115">
        <f t="shared" si="448"/>
        <v>41</v>
      </c>
      <c r="EX573" s="115">
        <f t="shared" si="448"/>
        <v>24</v>
      </c>
      <c r="EY573" s="115" t="str">
        <f t="shared" si="434"/>
        <v>Постоянный</v>
      </c>
      <c r="EZ573" s="115">
        <f t="shared" si="434"/>
        <v>24</v>
      </c>
      <c r="FA573" s="115">
        <f t="shared" si="434"/>
        <v>0</v>
      </c>
      <c r="FB573" s="149">
        <f t="shared" si="461"/>
        <v>7.6911999999999994</v>
      </c>
      <c r="FC573" s="142">
        <f t="shared" si="461"/>
        <v>9.1999999999999993</v>
      </c>
      <c r="FD573" s="119">
        <f t="shared" si="461"/>
        <v>0</v>
      </c>
      <c r="FE573" s="121">
        <f t="shared" si="460"/>
        <v>14.6</v>
      </c>
      <c r="FF573" s="121">
        <f t="shared" si="462"/>
        <v>650.09361348034122</v>
      </c>
      <c r="FG573" s="121">
        <f t="shared" si="449"/>
        <v>72</v>
      </c>
      <c r="FH573" s="121">
        <f t="shared" si="436"/>
        <v>9.6</v>
      </c>
      <c r="FI573" s="121">
        <f t="shared" si="483"/>
        <v>53</v>
      </c>
      <c r="FJ573" s="144">
        <f t="shared" si="450"/>
        <v>0.1121951219512195</v>
      </c>
      <c r="FK573" s="132">
        <f t="shared" si="451"/>
        <v>0</v>
      </c>
      <c r="FL573" s="115">
        <f t="shared" si="451"/>
        <v>-2</v>
      </c>
      <c r="FM573" s="115">
        <f t="shared" si="451"/>
        <v>-1</v>
      </c>
      <c r="FN573" s="115">
        <f t="shared" si="451"/>
        <v>-2</v>
      </c>
      <c r="FO573" s="115">
        <f t="shared" si="439"/>
        <v>0</v>
      </c>
      <c r="FP573" s="115">
        <f t="shared" si="439"/>
        <v>0</v>
      </c>
      <c r="FQ573" s="149">
        <f t="shared" si="439"/>
        <v>0</v>
      </c>
      <c r="FR573" s="142">
        <f t="shared" si="439"/>
        <v>0</v>
      </c>
      <c r="FS573" s="119">
        <f t="shared" si="439"/>
        <v>0</v>
      </c>
      <c r="FT573" s="121">
        <f t="shared" si="438"/>
        <v>3.1999999999999993</v>
      </c>
      <c r="FU573" s="121">
        <f t="shared" si="452"/>
        <v>1</v>
      </c>
      <c r="FV573" s="121">
        <f t="shared" si="452"/>
        <v>2.3999999999999995</v>
      </c>
      <c r="FW573" s="121">
        <f t="shared" si="453"/>
        <v>104.01497815685457</v>
      </c>
      <c r="FX573" s="121">
        <f t="shared" si="454"/>
        <v>1</v>
      </c>
      <c r="FY573" s="144">
        <f t="shared" si="454"/>
        <v>1.3517484572436039E-3</v>
      </c>
      <c r="FZ573" s="145"/>
      <c r="GA573" s="151"/>
      <c r="GB573" s="145"/>
      <c r="GC573" s="151" t="s">
        <v>1971</v>
      </c>
      <c r="GD573" s="997" t="s">
        <v>202</v>
      </c>
      <c r="GE573" s="1004"/>
      <c r="GF573" s="1004">
        <v>-0.66880000000000006</v>
      </c>
      <c r="GG573" s="1004"/>
      <c r="GH573" s="1004">
        <v>0</v>
      </c>
      <c r="GI573" s="145"/>
      <c r="GJ573" s="996">
        <v>0</v>
      </c>
      <c r="GK573" s="145"/>
      <c r="GL573" s="996">
        <v>0.85999999999999943</v>
      </c>
      <c r="GM573" s="1005"/>
      <c r="GN573" s="996">
        <v>-5.0159999999999982E-2</v>
      </c>
      <c r="GO573" s="1006" t="s">
        <v>25</v>
      </c>
      <c r="GP573" s="996">
        <v>4.8</v>
      </c>
      <c r="GQ573" s="1006" t="s">
        <v>199</v>
      </c>
      <c r="GR573" s="996">
        <v>-2.2166038399999994</v>
      </c>
      <c r="GS573" s="1006"/>
      <c r="GT573" s="996">
        <v>0</v>
      </c>
      <c r="GU573" s="1006" t="s">
        <v>199</v>
      </c>
      <c r="GV573" s="996">
        <v>-4.0554359999999985</v>
      </c>
      <c r="GW573" s="1006"/>
      <c r="GX573" s="996">
        <v>0</v>
      </c>
      <c r="GY573" s="1006" t="s">
        <v>199</v>
      </c>
      <c r="GZ573" s="996">
        <v>-2.3408000000000015</v>
      </c>
      <c r="HA573" s="1006"/>
      <c r="HB573" s="996">
        <v>-1.7285135999999923E-2</v>
      </c>
      <c r="HC573" s="1006" t="s">
        <v>199</v>
      </c>
      <c r="HD573" s="996">
        <v>-1.1243652419999979</v>
      </c>
      <c r="HE573" s="1006" t="s">
        <v>199</v>
      </c>
      <c r="HF573" s="996">
        <v>-0.88171039000000384</v>
      </c>
      <c r="HG573" s="1006" t="s">
        <v>199</v>
      </c>
      <c r="HH573" s="996">
        <v>3.2180047680000019</v>
      </c>
      <c r="HI573" s="1006" t="s">
        <v>221</v>
      </c>
      <c r="HJ573" s="996">
        <v>-5.6042865119999998</v>
      </c>
      <c r="HK573" s="1006" t="s">
        <v>308</v>
      </c>
      <c r="HL573" s="996">
        <v>2.2957329120000001</v>
      </c>
      <c r="HM573" s="1006"/>
      <c r="HN573" s="996">
        <v>0</v>
      </c>
      <c r="HO573" s="1006"/>
      <c r="HP573" s="996">
        <v>0</v>
      </c>
      <c r="HQ573" s="1006"/>
      <c r="HR573" s="996">
        <v>0</v>
      </c>
      <c r="HS573" s="1006"/>
      <c r="HT573" s="996">
        <v>0</v>
      </c>
      <c r="HU573" s="1006"/>
      <c r="HV573" s="996">
        <v>0.51035291999999899</v>
      </c>
      <c r="HW573" s="1006" t="s">
        <v>199</v>
      </c>
      <c r="HX573" s="996">
        <v>-3.7345875599999996</v>
      </c>
      <c r="HY573" s="1006" t="s">
        <v>199</v>
      </c>
      <c r="HZ573" s="996">
        <v>7.2852049599999997</v>
      </c>
      <c r="IA573" s="1006" t="s">
        <v>199</v>
      </c>
      <c r="IB573" s="996">
        <v>-3.0318493040000014</v>
      </c>
      <c r="IC573" s="1006" t="s">
        <v>146</v>
      </c>
      <c r="ID573" s="996">
        <v>3.7412621840000018</v>
      </c>
      <c r="IE573" s="1006" t="s">
        <v>221</v>
      </c>
      <c r="IF573" s="996">
        <v>7.4424063999999994</v>
      </c>
      <c r="IG573" s="1006"/>
      <c r="IH573" s="996">
        <v>0</v>
      </c>
      <c r="II573" s="1006"/>
      <c r="IJ573" s="996">
        <v>0</v>
      </c>
      <c r="IK573" s="1006"/>
      <c r="IL573" s="996">
        <v>0</v>
      </c>
      <c r="IM573" s="1006"/>
      <c r="IN573" s="996">
        <v>0</v>
      </c>
      <c r="IO573" s="1006"/>
      <c r="IP573" s="996">
        <v>0</v>
      </c>
      <c r="IQ573" s="1006"/>
      <c r="IR573" s="996">
        <v>0</v>
      </c>
      <c r="IS573" s="1006"/>
      <c r="IT573" s="996">
        <v>0</v>
      </c>
      <c r="IU573" s="1006"/>
      <c r="IV573" s="996">
        <v>0</v>
      </c>
      <c r="IW573" s="1006"/>
      <c r="IX573" s="996">
        <v>0</v>
      </c>
      <c r="IY573" s="1006"/>
      <c r="IZ573" s="996">
        <v>0</v>
      </c>
      <c r="JA573" s="1006"/>
      <c r="JB573" s="996">
        <v>0</v>
      </c>
      <c r="JC573" s="1006"/>
      <c r="JD573" s="996">
        <v>0</v>
      </c>
      <c r="JE573" s="1006" t="s">
        <v>199</v>
      </c>
      <c r="JF573" s="996">
        <v>-1.4211999999999998</v>
      </c>
      <c r="JG573" s="1006" t="s">
        <v>199</v>
      </c>
      <c r="JH573" s="996">
        <v>-5.0160000000000018</v>
      </c>
      <c r="JI573" s="1006"/>
      <c r="JJ573" s="996">
        <v>0</v>
      </c>
      <c r="JK573" s="1007"/>
      <c r="JL573" s="1007">
        <v>0</v>
      </c>
      <c r="JM573" s="1007" t="s">
        <v>199</v>
      </c>
      <c r="JN573" s="1007">
        <v>-5.6011999999999986</v>
      </c>
      <c r="JO573" s="1008"/>
      <c r="JP573" s="1007">
        <v>0</v>
      </c>
      <c r="JQ573" s="1008">
        <v>0</v>
      </c>
      <c r="JR573" s="1007">
        <v>0</v>
      </c>
      <c r="JS573" s="1008">
        <v>0</v>
      </c>
      <c r="JT573" s="1007">
        <v>0</v>
      </c>
      <c r="JU573" s="1008"/>
      <c r="JV573" s="1007">
        <v>0</v>
      </c>
      <c r="JW573" s="1008" t="s">
        <v>197</v>
      </c>
      <c r="JX573" s="1007">
        <v>0</v>
      </c>
      <c r="JY573" s="1008"/>
      <c r="JZ573" s="1007">
        <v>0</v>
      </c>
      <c r="KA573" s="1008" t="s">
        <v>240</v>
      </c>
      <c r="KB573" s="1007">
        <v>-10.032</v>
      </c>
      <c r="KC573" s="1008"/>
      <c r="KD573" s="1007">
        <v>0</v>
      </c>
      <c r="KE573" s="1008" t="s">
        <v>240</v>
      </c>
      <c r="KF573" s="1007">
        <v>-16.260199999999998</v>
      </c>
      <c r="KG573" s="1008"/>
      <c r="KH573" s="1007">
        <v>0</v>
      </c>
      <c r="KI573" s="1008" t="s">
        <v>203</v>
      </c>
      <c r="KJ573" s="1007">
        <v>-1.2080200000000048</v>
      </c>
      <c r="KK573" s="1008"/>
      <c r="KL573" s="1007">
        <v>41.712220000000002</v>
      </c>
      <c r="KM573" s="1008"/>
      <c r="KN573" s="1007"/>
      <c r="KO573" s="1008"/>
      <c r="KP573" s="1007"/>
      <c r="KQ573" s="1008"/>
      <c r="KR573" s="1007"/>
      <c r="KS573" s="1008"/>
      <c r="KT573" s="1007"/>
      <c r="KU573" s="1008"/>
      <c r="KV573" s="1007"/>
      <c r="KW573" s="1008"/>
      <c r="KX573" s="1007"/>
      <c r="KY573" s="1008"/>
      <c r="KZ573" s="1007"/>
      <c r="LA573" s="1008"/>
      <c r="LB573" s="1007"/>
      <c r="LC573" s="1008"/>
      <c r="LD573" s="1007"/>
      <c r="LE573" s="1008"/>
      <c r="LF573" s="1007"/>
      <c r="LG573" s="1008"/>
      <c r="LH573" s="1007"/>
      <c r="LI573" s="1008"/>
      <c r="LJ573" s="1007"/>
      <c r="LK573" s="1008"/>
      <c r="LL573" s="1007"/>
      <c r="LM573" s="1008"/>
      <c r="LN573" s="1007"/>
      <c r="LO573" s="1008"/>
      <c r="LP573" s="1007"/>
      <c r="LQ573" s="1008"/>
      <c r="LR573" s="1007"/>
      <c r="LS573" s="1008"/>
      <c r="LT573" s="1007"/>
      <c r="LU573" s="1008"/>
      <c r="LV573" s="1007"/>
      <c r="LW573" s="1008"/>
      <c r="LX573" s="1007"/>
      <c r="LY573" s="1009"/>
      <c r="LZ573" s="1010"/>
      <c r="MA573" s="1011"/>
      <c r="MB573" s="1012"/>
      <c r="MC573" s="995"/>
      <c r="MD573" s="996"/>
      <c r="ME573" s="997" t="s">
        <v>202</v>
      </c>
      <c r="MF573" s="997"/>
      <c r="MG573" s="998"/>
      <c r="NR573" s="1000"/>
      <c r="NS573" s="1000"/>
      <c r="NT573" s="1001"/>
      <c r="NU573" s="1000"/>
      <c r="NV573" s="1001"/>
      <c r="NX573" s="1002"/>
      <c r="NZ573" s="1001"/>
      <c r="OA573" s="1001"/>
      <c r="OC573" s="1003"/>
      <c r="OD573" s="1003"/>
      <c r="OE573" s="1001"/>
      <c r="OF573" s="1003"/>
      <c r="OG573" s="1003"/>
      <c r="QX573" s="1000">
        <f>CN573-CA573</f>
        <v>28</v>
      </c>
      <c r="ASU573" s="999" t="s">
        <v>208</v>
      </c>
    </row>
    <row r="574" spans="1:466 1191:1191" ht="21" customHeight="1" x14ac:dyDescent="0.25">
      <c r="A574" s="982">
        <f t="shared" si="441"/>
        <v>3317</v>
      </c>
      <c r="B574" s="124">
        <f>SUBTOTAL(103,$J$29:J574)</f>
        <v>546</v>
      </c>
      <c r="C574" s="126">
        <v>45068</v>
      </c>
      <c r="D574" s="124" t="s">
        <v>176</v>
      </c>
      <c r="E574" s="127" t="s">
        <v>177</v>
      </c>
      <c r="F574" s="128" t="s">
        <v>177</v>
      </c>
      <c r="G574" s="127" t="s">
        <v>178</v>
      </c>
      <c r="H574" s="127" t="s">
        <v>179</v>
      </c>
      <c r="I574" s="127" t="s">
        <v>1330</v>
      </c>
      <c r="J574" s="152">
        <v>3317</v>
      </c>
      <c r="K574" s="127" t="s">
        <v>1330</v>
      </c>
      <c r="L574" s="130">
        <v>43904</v>
      </c>
      <c r="M574" s="127" t="s">
        <v>230</v>
      </c>
      <c r="N574" s="127" t="s">
        <v>184</v>
      </c>
      <c r="O574" s="127" t="s">
        <v>185</v>
      </c>
      <c r="P574" s="127" t="s">
        <v>186</v>
      </c>
      <c r="Q574" s="85" t="str">
        <f t="shared" si="473"/>
        <v/>
      </c>
      <c r="R574" s="130"/>
      <c r="S574" s="128" t="s">
        <v>156</v>
      </c>
      <c r="T574" s="131"/>
      <c r="U574" s="132">
        <v>203</v>
      </c>
      <c r="V574" s="121">
        <v>218.2</v>
      </c>
      <c r="W574" s="116">
        <v>0.98</v>
      </c>
      <c r="X574" s="116">
        <v>1.66</v>
      </c>
      <c r="Y574" s="116">
        <f t="shared" si="463"/>
        <v>0.98809523809523803</v>
      </c>
      <c r="Z574" s="133">
        <v>1.454</v>
      </c>
      <c r="AA574" s="133">
        <v>0.83599999999999997</v>
      </c>
      <c r="AB574" s="133">
        <v>0.72</v>
      </c>
      <c r="AC574" s="121">
        <v>34.299999999999997</v>
      </c>
      <c r="AD574" s="134">
        <v>1.17</v>
      </c>
      <c r="AE574" s="124">
        <v>177.8</v>
      </c>
      <c r="AF574" s="128">
        <v>9.19</v>
      </c>
      <c r="AG574" s="128">
        <v>2521</v>
      </c>
      <c r="AH574" s="127">
        <v>3250</v>
      </c>
      <c r="AI574" s="127">
        <v>3250</v>
      </c>
      <c r="AJ574" s="135"/>
      <c r="AK574" s="128"/>
      <c r="AL574" s="131"/>
      <c r="AM574" s="124" t="s">
        <v>985</v>
      </c>
      <c r="AN574" s="136" t="s">
        <v>1972</v>
      </c>
      <c r="AO574" s="137">
        <v>16.100000000000001</v>
      </c>
      <c r="AP574" s="128">
        <v>2538.16</v>
      </c>
      <c r="AQ574" s="128">
        <v>677</v>
      </c>
      <c r="AR574" s="128" t="s">
        <v>1973</v>
      </c>
      <c r="AS574" s="128">
        <v>114</v>
      </c>
      <c r="AT574" s="122">
        <v>7.37</v>
      </c>
      <c r="AU574" s="124" t="s">
        <v>883</v>
      </c>
      <c r="AV574" s="115">
        <f>VLOOKUP(J574,'[63]ТР нефть'!$J$28:$BP$638,39,0)</f>
        <v>300</v>
      </c>
      <c r="AW574" s="115" t="str">
        <f>VLOOKUP(J574,'[63]ТР нефть'!$J$28:$BP$638,40,0)</f>
        <v>ГП</v>
      </c>
      <c r="AX574" s="115" t="str">
        <f>VLOOKUP(J574,'[63]ТР нефть'!$J$28:$BP$638,41,0)</f>
        <v>-</v>
      </c>
      <c r="AY574" s="115" t="str">
        <f>VLOOKUP(J574,'[63]ТР нефть'!$J$28:$BP$638,42,0)</f>
        <v>-</v>
      </c>
      <c r="AZ574" s="115" t="str">
        <f>VLOOKUP(J574,'[63]ТР нефть'!$J$28:$BP$638,43,0)</f>
        <v>-</v>
      </c>
      <c r="BA574" s="115" t="str">
        <f>VLOOKUP(J574,'[63]ТР нефть'!$J$28:$BP$638,44,0)</f>
        <v>-</v>
      </c>
      <c r="BB574" s="115" t="str">
        <f>VLOOKUP(J574,'[63]ТР нефть'!$J$28:$BP$638,45,0)</f>
        <v>-</v>
      </c>
      <c r="BC574" s="115" t="str">
        <f>VLOOKUP(J574,'[63]ТР нефть'!$J$28:$BP$638,46,0)</f>
        <v>-</v>
      </c>
      <c r="BD574" s="115" t="str">
        <f>VLOOKUP(J574,'[63]ТР нефть'!$J$28:$BP$638,47,0)</f>
        <v>-</v>
      </c>
      <c r="BE574" s="115" t="str">
        <f>VLOOKUP(J574,'[63]ТР нефть'!$J$28:$BP$638,48,0)</f>
        <v>-</v>
      </c>
      <c r="BF574" s="115" t="str">
        <f>VLOOKUP(J574,'[63]ТР нефть'!$J$28:$BP$638,49,0)</f>
        <v>-</v>
      </c>
      <c r="BG574" s="115" t="str">
        <f>VLOOKUP(J574,'[63]ТР нефть'!$J$28:$BP$638,50,0)</f>
        <v>-</v>
      </c>
      <c r="BH574" s="115">
        <f>VLOOKUP(J574,'[63]ТР нефть'!$J$28:$BP$638,51,0)</f>
        <v>2040</v>
      </c>
      <c r="BI574" s="115" t="str">
        <f>VLOOKUP(J574,'[63]ТР нефть'!$J$28:$BP$638,52,0)</f>
        <v>закрыт</v>
      </c>
      <c r="BJ574" s="115" t="str">
        <f>IF(IFERROR(VLOOKUP(J574,'[63]ТР нефть'!$J$28:$BP$638,53,0),"-")=0,"-",IFERROR(VLOOKUP(J574,'[63]ТР нефть'!$J$28:$BP$638,53,0),"-"))</f>
        <v>-</v>
      </c>
      <c r="BK574" s="138" t="str">
        <f>IF(IFERROR(VLOOKUP(J574,'[63]ТР нефть'!$J$28:$BP$638,54,0),"-")=0,"-",IFERROR(VLOOKUP(J574,'[63]ТР нефть'!$J$28:$BP$638,54,0),"-"))</f>
        <v>D700EZ</v>
      </c>
      <c r="BL574" s="138" t="str">
        <f>IF(IFERROR(VLOOKUP(J574,'[63]ТР нефть'!$J$28:$BP$638,55,0),"-")=0,"-",IFERROR(VLOOKUP(J574,'[63]ТР нефть'!$J$28:$BP$638,55,0),"-"))</f>
        <v>-</v>
      </c>
      <c r="BM574" s="138">
        <f>IF(IFERROR(VLOOKUP(J574,'[63]ТР нефть'!$J$28:$BP$638,56,0),"-")=0,"-",IFERROR(VLOOKUP(J574,'[63]ТР нефть'!$J$28:$BP$638,56,0),"-"))</f>
        <v>2463</v>
      </c>
      <c r="BN574" s="138">
        <f>IF(IFERROR(VLOOKUP(J574,'[63]ТР нефть'!$J$28:$BP$638,57,0),"-")=0,"-",IFERROR(VLOOKUP(J574,'[63]ТР нефть'!$J$28:$BP$638,57,0),"-"))</f>
        <v>43</v>
      </c>
      <c r="BO574" s="115">
        <f>IF(IFERROR(VLOOKUP(J574,'[63]ТР нефть'!$J$28:$BP$638,58,0),"-")=0,"-",IFERROR(VLOOKUP(J574,'[63]ТР нефть'!$J$28:$BP$638,58,0),"-"))</f>
        <v>90</v>
      </c>
      <c r="BP574" s="115" t="str">
        <f>IF(IFERROR(VLOOKUP(J574,'[63]ТР нефть'!$J$28:$BP$638,59,0),"-")=0,"-",IFERROR(VLOOKUP(J574,'[63]ТР нефть'!$J$28:$BP$638,59,0),"-"))</f>
        <v>-</v>
      </c>
      <c r="BQ574" s="138">
        <v>2077.86</v>
      </c>
      <c r="BR574" s="128">
        <v>1670</v>
      </c>
      <c r="BS574" s="115">
        <f t="shared" si="479"/>
        <v>407.86000000000013</v>
      </c>
      <c r="BT574" s="128">
        <v>73</v>
      </c>
      <c r="BU574" s="128">
        <v>5.5</v>
      </c>
      <c r="BV574" s="127">
        <v>18</v>
      </c>
      <c r="BW574" s="127" t="s">
        <v>194</v>
      </c>
      <c r="BX574" s="127" t="s">
        <v>218</v>
      </c>
      <c r="BY574" s="139">
        <v>7</v>
      </c>
      <c r="BZ574" s="139">
        <v>17</v>
      </c>
      <c r="CA574" s="138">
        <v>14</v>
      </c>
      <c r="CB574" s="138">
        <v>13</v>
      </c>
      <c r="CC574" s="138">
        <v>13</v>
      </c>
      <c r="CD574" s="135">
        <v>45017</v>
      </c>
      <c r="CE574" s="138">
        <v>107</v>
      </c>
      <c r="CF574" s="138"/>
      <c r="CG574" s="138" t="str">
        <f t="shared" si="474"/>
        <v/>
      </c>
      <c r="CH574" s="138" t="s">
        <v>197</v>
      </c>
      <c r="CI574" s="138"/>
      <c r="CJ574" s="138">
        <f>IF((BR574-(100*(CM574-CB574))/(9.8*(AB574+AA574)/2))&gt;0,BR574-(100*(CM574-CB574))/(9.8*(AB574+AA574)/2),0)</f>
        <v>1263.4106290331042</v>
      </c>
      <c r="CK574" s="138">
        <f t="shared" si="488"/>
        <v>43.67078828399999</v>
      </c>
      <c r="CL574" s="99"/>
      <c r="CM574" s="127">
        <v>44</v>
      </c>
      <c r="CN574" s="154">
        <f>IF(CM574=0,0,(((AP574-AQ574-BR574)*((AD574*(CQ574/100))+(AB574*((100-CQ574)/100)))*9.81/100+CM574)))</f>
        <v>57.67078828399999</v>
      </c>
      <c r="CO574" s="141">
        <f t="shared" si="442"/>
        <v>6.5542399999999992</v>
      </c>
      <c r="CP574" s="142">
        <v>8</v>
      </c>
      <c r="CQ574" s="143">
        <v>2</v>
      </c>
      <c r="CR574" s="138">
        <v>9.5</v>
      </c>
      <c r="CS574" s="139"/>
      <c r="CT574" s="138"/>
      <c r="CU574" s="138">
        <f t="shared" si="475"/>
        <v>9.5</v>
      </c>
      <c r="CV574" s="115">
        <f t="shared" si="476"/>
        <v>1449.4434137291282</v>
      </c>
      <c r="CW574" s="115" t="str">
        <f t="shared" si="443"/>
        <v/>
      </c>
      <c r="CX574" s="133">
        <f t="shared" si="477"/>
        <v>0.16217571134235634</v>
      </c>
      <c r="CY574" s="116"/>
      <c r="CZ574" s="131"/>
      <c r="DA574" s="145" t="str">
        <f t="shared" si="478"/>
        <v>ЭЦН</v>
      </c>
      <c r="DB574" s="146">
        <f t="shared" si="468"/>
        <v>8.3946689199999991</v>
      </c>
      <c r="DC574" s="142">
        <f t="shared" si="469"/>
        <v>10.3</v>
      </c>
      <c r="DD574" s="119">
        <f t="shared" si="470"/>
        <v>2.5099999999999998</v>
      </c>
      <c r="DE574" s="115">
        <f t="shared" si="471"/>
        <v>9.5</v>
      </c>
      <c r="DF574" s="121">
        <f t="shared" si="472"/>
        <v>0</v>
      </c>
      <c r="DG574" s="115">
        <f t="shared" si="446"/>
        <v>1449.4434137291282</v>
      </c>
      <c r="DH574" s="115">
        <f t="shared" si="447"/>
        <v>57.67078828399999</v>
      </c>
      <c r="DI574" s="147"/>
      <c r="DJ574" s="111"/>
      <c r="DK574" s="112">
        <v>43904</v>
      </c>
      <c r="DL574" s="113">
        <f t="shared" ca="1" si="480"/>
        <v>1200</v>
      </c>
      <c r="DM574" s="114">
        <v>18.5</v>
      </c>
      <c r="DN574" s="114">
        <v>72</v>
      </c>
      <c r="DO574" s="114">
        <v>40</v>
      </c>
      <c r="DP574" s="114"/>
      <c r="DQ574" s="112"/>
      <c r="DR574" s="114"/>
      <c r="DS574" s="114"/>
      <c r="DT574" s="115">
        <v>60</v>
      </c>
      <c r="DU574" s="116">
        <f t="shared" si="481"/>
        <v>0.1702127659574468</v>
      </c>
      <c r="DV574" s="117">
        <f t="shared" si="484"/>
        <v>6.5542399999999992</v>
      </c>
      <c r="DW574" s="118">
        <f t="shared" si="485"/>
        <v>8</v>
      </c>
      <c r="DX574" s="119">
        <f t="shared" si="486"/>
        <v>2</v>
      </c>
      <c r="DY574" s="115">
        <f t="shared" si="487"/>
        <v>9.5</v>
      </c>
      <c r="DZ574" s="117">
        <f t="shared" si="482"/>
        <v>0</v>
      </c>
      <c r="EA574" s="120">
        <f t="shared" si="482"/>
        <v>0</v>
      </c>
      <c r="EB574" s="119">
        <f t="shared" si="482"/>
        <v>0</v>
      </c>
      <c r="EC574" s="121">
        <f t="shared" si="464"/>
        <v>0</v>
      </c>
      <c r="ED574" s="122"/>
      <c r="EE574" s="145">
        <v>18</v>
      </c>
      <c r="EF574" s="115">
        <v>13</v>
      </c>
      <c r="EG574" s="115">
        <v>12</v>
      </c>
      <c r="EH574" s="115">
        <v>12</v>
      </c>
      <c r="EI574" s="128" t="s">
        <v>218</v>
      </c>
      <c r="EJ574" s="121">
        <v>7</v>
      </c>
      <c r="EK574" s="121">
        <v>17</v>
      </c>
      <c r="EL574" s="149">
        <v>8.3946689199999991</v>
      </c>
      <c r="EM574" s="142">
        <v>10.3</v>
      </c>
      <c r="EN574" s="119">
        <v>2.5099999999999998</v>
      </c>
      <c r="EO574" s="115">
        <v>9.6999999999999993</v>
      </c>
      <c r="EP574" s="115">
        <v>1155.4952425687802</v>
      </c>
      <c r="EQ574" s="115">
        <v>0</v>
      </c>
      <c r="ER574" s="115">
        <v>0</v>
      </c>
      <c r="ES574" s="115">
        <v>57.713825950819995</v>
      </c>
      <c r="ET574" s="150">
        <v>0.20898355773613486</v>
      </c>
      <c r="EU574" s="145">
        <f t="shared" si="457"/>
        <v>18</v>
      </c>
      <c r="EV574" s="115">
        <f t="shared" si="448"/>
        <v>14</v>
      </c>
      <c r="EW574" s="115">
        <f t="shared" si="448"/>
        <v>13</v>
      </c>
      <c r="EX574" s="115">
        <f t="shared" si="448"/>
        <v>13</v>
      </c>
      <c r="EY574" s="115" t="str">
        <f t="shared" si="434"/>
        <v>Периодический</v>
      </c>
      <c r="EZ574" s="115">
        <f t="shared" si="434"/>
        <v>7</v>
      </c>
      <c r="FA574" s="115">
        <f t="shared" si="434"/>
        <v>17</v>
      </c>
      <c r="FB574" s="149">
        <f t="shared" si="461"/>
        <v>6.5542399999999992</v>
      </c>
      <c r="FC574" s="142">
        <f t="shared" si="461"/>
        <v>8</v>
      </c>
      <c r="FD574" s="119">
        <f t="shared" si="461"/>
        <v>2</v>
      </c>
      <c r="FE574" s="121">
        <f t="shared" si="460"/>
        <v>9.5</v>
      </c>
      <c r="FF574" s="121">
        <f t="shared" si="462"/>
        <v>1449.4434137291282</v>
      </c>
      <c r="FG574" s="121">
        <f t="shared" si="449"/>
        <v>0</v>
      </c>
      <c r="FH574" s="121">
        <f t="shared" si="436"/>
        <v>0</v>
      </c>
      <c r="FI574" s="121">
        <f t="shared" si="483"/>
        <v>57.67078828399999</v>
      </c>
      <c r="FJ574" s="144">
        <f t="shared" si="450"/>
        <v>0.16217571134235634</v>
      </c>
      <c r="FK574" s="132">
        <f t="shared" si="451"/>
        <v>0</v>
      </c>
      <c r="FL574" s="115">
        <f t="shared" si="451"/>
        <v>1</v>
      </c>
      <c r="FM574" s="115">
        <f t="shared" si="451"/>
        <v>1</v>
      </c>
      <c r="FN574" s="115">
        <f t="shared" si="451"/>
        <v>1</v>
      </c>
      <c r="FO574" s="115">
        <f t="shared" si="439"/>
        <v>0</v>
      </c>
      <c r="FP574" s="115">
        <f t="shared" si="439"/>
        <v>0</v>
      </c>
      <c r="FQ574" s="149">
        <f t="shared" si="439"/>
        <v>-1.8404289199999999</v>
      </c>
      <c r="FR574" s="142">
        <f t="shared" si="439"/>
        <v>-2.3000000000000007</v>
      </c>
      <c r="FS574" s="119">
        <f t="shared" si="439"/>
        <v>-0.50999999999999979</v>
      </c>
      <c r="FT574" s="121">
        <f t="shared" si="438"/>
        <v>-0.19999999999999929</v>
      </c>
      <c r="FU574" s="121">
        <f t="shared" si="452"/>
        <v>0</v>
      </c>
      <c r="FV574" s="121">
        <f t="shared" si="452"/>
        <v>0</v>
      </c>
      <c r="FW574" s="121">
        <f t="shared" si="453"/>
        <v>293.94817116034801</v>
      </c>
      <c r="FX574" s="121">
        <f t="shared" si="454"/>
        <v>-4.3037666820005427E-2</v>
      </c>
      <c r="FY574" s="144">
        <f t="shared" si="454"/>
        <v>-4.6807846393778524E-2</v>
      </c>
      <c r="FZ574" s="145" t="s">
        <v>199</v>
      </c>
      <c r="GA574" s="151" t="s">
        <v>415</v>
      </c>
      <c r="GB574" s="145"/>
      <c r="GC574" s="151"/>
      <c r="GD574" s="997" t="s">
        <v>202</v>
      </c>
      <c r="GE574" s="1004"/>
      <c r="GF574" s="1004">
        <v>0.11826891999999845</v>
      </c>
      <c r="GG574" s="1004"/>
      <c r="GH574" s="1004">
        <v>0</v>
      </c>
      <c r="GI574" s="145"/>
      <c r="GJ574" s="996">
        <v>0</v>
      </c>
      <c r="GK574" s="145"/>
      <c r="GL574" s="996">
        <v>0</v>
      </c>
      <c r="GM574" s="1005"/>
      <c r="GN574" s="996">
        <v>0.63345851800000208</v>
      </c>
      <c r="GO574" s="1006" t="s">
        <v>240</v>
      </c>
      <c r="GP574" s="996">
        <v>-1.4767317180000008</v>
      </c>
      <c r="GQ574" s="1006"/>
      <c r="GR574" s="996">
        <v>-0.15157516000000015</v>
      </c>
      <c r="GS574" s="1006"/>
      <c r="GT574" s="996">
        <v>0.28899566960000023</v>
      </c>
      <c r="GU574" s="1006" t="s">
        <v>223</v>
      </c>
      <c r="GV574" s="996">
        <v>-1.5045313096000008</v>
      </c>
      <c r="GW574" s="1006" t="s">
        <v>223</v>
      </c>
      <c r="GX574" s="996">
        <v>-1.0500159999999994</v>
      </c>
      <c r="GY574" s="1006"/>
      <c r="GZ574" s="996">
        <v>0.25079999999999991</v>
      </c>
      <c r="HA574" s="1006"/>
      <c r="HB574" s="996">
        <v>0</v>
      </c>
      <c r="HC574" s="1006"/>
      <c r="HD574" s="996">
        <v>0</v>
      </c>
      <c r="HE574" s="1006"/>
      <c r="HF574" s="996">
        <v>-9.1960000000000264E-2</v>
      </c>
      <c r="HG574" s="1006" t="s">
        <v>204</v>
      </c>
      <c r="HH574" s="996">
        <v>-4.9114498399999977</v>
      </c>
      <c r="HI574" s="1006"/>
      <c r="HJ574" s="996">
        <v>0</v>
      </c>
      <c r="HK574" s="1006" t="s">
        <v>276</v>
      </c>
      <c r="HL574" s="996">
        <v>3.2673722399999967</v>
      </c>
      <c r="HM574" s="1006"/>
      <c r="HN574" s="996">
        <v>0</v>
      </c>
      <c r="HO574" s="1006"/>
      <c r="HP574" s="996">
        <v>0</v>
      </c>
      <c r="HQ574" s="1006"/>
      <c r="HR574" s="996">
        <v>-0.20215984799999909</v>
      </c>
      <c r="HS574" s="1006"/>
      <c r="HT574" s="996">
        <v>0</v>
      </c>
      <c r="HU574" s="1006"/>
      <c r="HV574" s="996">
        <v>0.12299733599999918</v>
      </c>
      <c r="HW574" s="1006"/>
      <c r="HX574" s="996">
        <v>0</v>
      </c>
      <c r="HY574" s="1006" t="s">
        <v>223</v>
      </c>
      <c r="HZ574" s="996">
        <v>-2.2053713439999978</v>
      </c>
      <c r="IA574" s="1006"/>
      <c r="IB574" s="996">
        <v>-0.63663406400000255</v>
      </c>
      <c r="IC574" s="1006"/>
      <c r="ID574" s="996">
        <v>-0.40226647999999621</v>
      </c>
      <c r="IE574" s="1006" t="s">
        <v>223</v>
      </c>
      <c r="IF574" s="996">
        <v>-2.4210560000000036</v>
      </c>
      <c r="IG574" s="1006" t="s">
        <v>223</v>
      </c>
      <c r="IH574" s="996">
        <v>-1.7168095999999977</v>
      </c>
      <c r="II574" s="1006" t="s">
        <v>223</v>
      </c>
      <c r="IJ574" s="996">
        <v>-2.6644992000000016</v>
      </c>
      <c r="IK574" s="1006"/>
      <c r="IL574" s="996">
        <v>0</v>
      </c>
      <c r="IM574" s="1006"/>
      <c r="IN574" s="996">
        <v>0</v>
      </c>
      <c r="IO574" s="1006" t="s">
        <v>203</v>
      </c>
      <c r="IP574" s="996">
        <v>-3.4971551999999981</v>
      </c>
      <c r="IQ574" s="1006" t="s">
        <v>203</v>
      </c>
      <c r="IR574" s="996">
        <v>-4.9959360000000004</v>
      </c>
      <c r="IS574" s="1006"/>
      <c r="IT574" s="996">
        <v>0</v>
      </c>
      <c r="IU574" s="1006"/>
      <c r="IV574" s="996">
        <v>0</v>
      </c>
      <c r="IW574" s="1006" t="s">
        <v>203</v>
      </c>
      <c r="IX574" s="996">
        <v>-10.364901888000002</v>
      </c>
      <c r="IY574" s="1006"/>
      <c r="IZ574" s="996">
        <v>0.78444622079999959</v>
      </c>
      <c r="JA574" s="1006" t="s">
        <v>203</v>
      </c>
      <c r="JB574" s="996">
        <v>-3.4001991803999942</v>
      </c>
      <c r="JC574" s="1006" t="s">
        <v>25</v>
      </c>
      <c r="JD574" s="996">
        <v>44.621582847599996</v>
      </c>
      <c r="JE574" s="1006"/>
      <c r="JF574" s="996"/>
      <c r="JG574" s="1006"/>
      <c r="JH574" s="996"/>
      <c r="JI574" s="1006"/>
      <c r="JJ574" s="996"/>
      <c r="JK574" s="1007"/>
      <c r="JL574" s="1007"/>
      <c r="JM574" s="1007"/>
      <c r="JN574" s="1007"/>
      <c r="JO574" s="1008"/>
      <c r="JP574" s="1007"/>
      <c r="JQ574" s="1008"/>
      <c r="JR574" s="1007"/>
      <c r="JS574" s="1008"/>
      <c r="JT574" s="1007"/>
      <c r="JU574" s="1008"/>
      <c r="JV574" s="1007"/>
      <c r="JW574" s="1008"/>
      <c r="JX574" s="1007"/>
      <c r="JY574" s="1008"/>
      <c r="JZ574" s="1007"/>
      <c r="KA574" s="1008"/>
      <c r="KB574" s="1007"/>
      <c r="KC574" s="1008"/>
      <c r="KD574" s="1007"/>
      <c r="KE574" s="1008"/>
      <c r="KF574" s="1007"/>
      <c r="KG574" s="1008"/>
      <c r="KH574" s="1007"/>
      <c r="KI574" s="1008"/>
      <c r="KJ574" s="1007"/>
      <c r="KK574" s="1008"/>
      <c r="KL574" s="1007"/>
      <c r="KM574" s="1008"/>
      <c r="KN574" s="1007"/>
      <c r="KO574" s="1008"/>
      <c r="KP574" s="1007"/>
      <c r="KQ574" s="1008"/>
      <c r="KR574" s="1007"/>
      <c r="KS574" s="1008"/>
      <c r="KT574" s="1007"/>
      <c r="KU574" s="1008"/>
      <c r="KV574" s="1007"/>
      <c r="KW574" s="1008"/>
      <c r="KX574" s="1007"/>
      <c r="KY574" s="1008"/>
      <c r="KZ574" s="1007"/>
      <c r="LA574" s="1008"/>
      <c r="LB574" s="1007"/>
      <c r="LC574" s="1008"/>
      <c r="LD574" s="1007"/>
      <c r="LE574" s="1008"/>
      <c r="LF574" s="1007"/>
      <c r="LG574" s="1008"/>
      <c r="LH574" s="1007"/>
      <c r="LI574" s="1008"/>
      <c r="LJ574" s="1007"/>
      <c r="LK574" s="1008"/>
      <c r="LL574" s="1007"/>
      <c r="LM574" s="1008"/>
      <c r="LN574" s="1007"/>
      <c r="LO574" s="1008"/>
      <c r="LP574" s="1007"/>
      <c r="LQ574" s="1008"/>
      <c r="LR574" s="1007"/>
      <c r="LS574" s="1008"/>
      <c r="LT574" s="1007"/>
      <c r="LU574" s="1008"/>
      <c r="LV574" s="1007"/>
      <c r="LW574" s="1008"/>
      <c r="LX574" s="1007"/>
      <c r="LY574" s="1009"/>
      <c r="LZ574" s="1010"/>
      <c r="MA574" s="1011"/>
      <c r="MB574" s="1012"/>
      <c r="MC574" s="995"/>
      <c r="MD574" s="996"/>
      <c r="ME574" s="997" t="s">
        <v>202</v>
      </c>
      <c r="MF574" s="997"/>
      <c r="MG574" s="998"/>
      <c r="NR574" s="1000"/>
      <c r="NS574" s="1000"/>
      <c r="NT574" s="1001"/>
      <c r="NU574" s="1000"/>
      <c r="NV574" s="1001"/>
      <c r="NX574" s="1002"/>
      <c r="NZ574" s="1001"/>
      <c r="OA574" s="1001"/>
      <c r="OC574" s="1003"/>
      <c r="OD574" s="1003"/>
      <c r="OE574" s="1001"/>
      <c r="OF574" s="1003"/>
      <c r="OG574" s="1003"/>
      <c r="QX574" s="1000">
        <f>CN574-CA574</f>
        <v>43.67078828399999</v>
      </c>
      <c r="ASU574" s="999" t="s">
        <v>225</v>
      </c>
    </row>
    <row r="575" spans="1:466 1191:1191" ht="21" customHeight="1" x14ac:dyDescent="0.25">
      <c r="A575" s="982">
        <f t="shared" si="441"/>
        <v>3320</v>
      </c>
      <c r="B575" s="124">
        <f>SUBTOTAL(103,$J$29:J575)</f>
        <v>547</v>
      </c>
      <c r="C575" s="126">
        <v>45068</v>
      </c>
      <c r="D575" s="124" t="s">
        <v>176</v>
      </c>
      <c r="E575" s="127" t="s">
        <v>177</v>
      </c>
      <c r="F575" s="128" t="s">
        <v>177</v>
      </c>
      <c r="G575" s="127" t="s">
        <v>178</v>
      </c>
      <c r="H575" s="127" t="s">
        <v>179</v>
      </c>
      <c r="I575" s="127" t="s">
        <v>1334</v>
      </c>
      <c r="J575" s="152">
        <v>3320</v>
      </c>
      <c r="K575" s="127" t="s">
        <v>1305</v>
      </c>
      <c r="L575" s="130">
        <v>43415</v>
      </c>
      <c r="M575" s="127" t="s">
        <v>230</v>
      </c>
      <c r="N575" s="127" t="s">
        <v>184</v>
      </c>
      <c r="O575" s="127" t="s">
        <v>185</v>
      </c>
      <c r="P575" s="127" t="s">
        <v>186</v>
      </c>
      <c r="Q575" s="85" t="str">
        <f t="shared" si="473"/>
        <v/>
      </c>
      <c r="R575" s="130"/>
      <c r="S575" s="128"/>
      <c r="T575" s="131"/>
      <c r="U575" s="132">
        <v>203</v>
      </c>
      <c r="V575" s="121">
        <v>218.2</v>
      </c>
      <c r="W575" s="116">
        <v>0.98</v>
      </c>
      <c r="X575" s="116">
        <v>1.66</v>
      </c>
      <c r="Y575" s="116">
        <f t="shared" si="463"/>
        <v>0.98</v>
      </c>
      <c r="Z575" s="133">
        <v>1.454</v>
      </c>
      <c r="AA575" s="133">
        <v>0.83599999999999997</v>
      </c>
      <c r="AB575" s="133">
        <v>0.72</v>
      </c>
      <c r="AC575" s="121">
        <v>34.299999999999997</v>
      </c>
      <c r="AD575" s="134">
        <v>1.17</v>
      </c>
      <c r="AE575" s="124">
        <v>177.8</v>
      </c>
      <c r="AF575" s="128">
        <v>9.19</v>
      </c>
      <c r="AG575" s="128">
        <v>2164</v>
      </c>
      <c r="AH575" s="127">
        <v>2980</v>
      </c>
      <c r="AI575" s="127">
        <v>2980</v>
      </c>
      <c r="AJ575" s="135"/>
      <c r="AK575" s="128"/>
      <c r="AL575" s="131"/>
      <c r="AM575" s="124" t="s">
        <v>985</v>
      </c>
      <c r="AN575" s="136" t="s">
        <v>1974</v>
      </c>
      <c r="AO575" s="137">
        <v>50.8599999999999</v>
      </c>
      <c r="AP575" s="128">
        <v>2308</v>
      </c>
      <c r="AQ575" s="128">
        <v>372.93</v>
      </c>
      <c r="AR575" s="128" t="s">
        <v>1975</v>
      </c>
      <c r="AS575" s="128">
        <v>114</v>
      </c>
      <c r="AT575" s="122">
        <v>7.37</v>
      </c>
      <c r="AU575" s="124" t="s">
        <v>189</v>
      </c>
      <c r="AV575" s="115">
        <f>VLOOKUP(J575,'[63]ТР нефть'!$J$28:$BP$638,39,0)</f>
        <v>490.00000722700003</v>
      </c>
      <c r="AW575" s="115" t="str">
        <f>VLOOKUP(J575,'[63]ТР нефть'!$J$28:$BP$638,40,0)</f>
        <v>ГП</v>
      </c>
      <c r="AX575" s="115">
        <f>VLOOKUP(J575,'[63]ТР нефть'!$J$28:$BP$638,41,0)</f>
        <v>910.000045312</v>
      </c>
      <c r="AY575" s="115" t="str">
        <f>VLOOKUP(J575,'[63]ТР нефть'!$J$28:$BP$638,42,0)</f>
        <v>ГП</v>
      </c>
      <c r="AZ575" s="115">
        <f>VLOOKUP(J575,'[63]ТР нефть'!$J$28:$BP$638,43,0)</f>
        <v>1260.000039844</v>
      </c>
      <c r="BA575" s="115" t="str">
        <f>VLOOKUP(J575,'[63]ТР нефть'!$J$28:$BP$638,44,0)</f>
        <v>ГП</v>
      </c>
      <c r="BB575" s="115">
        <f>VLOOKUP(J575,'[63]ТР нефть'!$J$28:$BP$638,45,0)</f>
        <v>1499.999976563</v>
      </c>
      <c r="BC575" s="115" t="str">
        <f>VLOOKUP(J575,'[63]ТР нефть'!$J$28:$BP$638,46,0)</f>
        <v>ГК 80 1/8</v>
      </c>
      <c r="BD575" s="115">
        <f>VLOOKUP(J575,'[63]ТР нефть'!$J$28:$BP$638,47,0)</f>
        <v>1690.000062891</v>
      </c>
      <c r="BE575" s="115" t="str">
        <f>VLOOKUP(J575,'[63]ТР нефть'!$J$28:$BP$638,48,0)</f>
        <v>ГК 79 1/8</v>
      </c>
      <c r="BF575" s="115">
        <f>VLOOKUP(J575,'[63]ТР нефть'!$J$28:$BP$638,49,0)</f>
        <v>1930</v>
      </c>
      <c r="BG575" s="115" t="str">
        <f>VLOOKUP(J575,'[63]ТР нефть'!$J$28:$BP$638,50,0)</f>
        <v>ЦКсОК 5/16</v>
      </c>
      <c r="BH575" s="115" t="str">
        <f>VLOOKUP(J575,'[63]ТР нефть'!$J$28:$BP$638,51,0)</f>
        <v>-</v>
      </c>
      <c r="BI575" s="115" t="str">
        <f>VLOOKUP(J575,'[63]ТР нефть'!$J$28:$BP$638,52,0)</f>
        <v>-</v>
      </c>
      <c r="BJ575" s="115" t="str">
        <f>IF(IFERROR(VLOOKUP(J575,'[63]ТР нефть'!$J$28:$BP$638,53,0),"-")=0,"-",IFERROR(VLOOKUP(J575,'[63]ТР нефть'!$J$28:$BP$638,53,0),"-"))</f>
        <v>-</v>
      </c>
      <c r="BK575" s="138" t="str">
        <f>IF(IFERROR(VLOOKUP(J575,'[63]ТР нефть'!$J$28:$BP$638,54,0),"-")=0,"-",IFERROR(VLOOKUP(J575,'[63]ТР нефть'!$J$28:$BP$638,54,0),"-"))</f>
        <v>-</v>
      </c>
      <c r="BL575" s="138" t="str">
        <f>IF(IFERROR(VLOOKUP(J575,'[63]ТР нефть'!$J$28:$BP$638,55,0),"-")=0,"-",IFERROR(VLOOKUP(J575,'[63]ТР нефть'!$J$28:$BP$638,55,0),"-"))</f>
        <v>-</v>
      </c>
      <c r="BM575" s="138" t="str">
        <f>IF(IFERROR(VLOOKUP(J575,'[63]ТР нефть'!$J$28:$BP$638,56,0),"-")=0,"-",IFERROR(VLOOKUP(J575,'[63]ТР нефть'!$J$28:$BP$638,56,0),"-"))</f>
        <v>-</v>
      </c>
      <c r="BN575" s="138" t="str">
        <f>IF(IFERROR(VLOOKUP(J575,'[63]ТР нефть'!$J$28:$BP$638,57,0),"-")=0,"-",IFERROR(VLOOKUP(J575,'[63]ТР нефть'!$J$28:$BP$638,57,0),"-"))</f>
        <v>-</v>
      </c>
      <c r="BO575" s="115" t="str">
        <f>IF(IFERROR(VLOOKUP(J575,'[63]ТР нефть'!$J$28:$BP$638,58,0),"-")=0,"-",IFERROR(VLOOKUP(J575,'[63]ТР нефть'!$J$28:$BP$638,58,0),"-"))</f>
        <v>-</v>
      </c>
      <c r="BP575" s="115" t="str">
        <f>IF(IFERROR(VLOOKUP(J575,'[63]ТР нефть'!$J$28:$BP$638,59,0),"-")=0,"-",IFERROR(VLOOKUP(J575,'[63]ТР нефть'!$J$28:$BP$638,59,0),"-"))</f>
        <v>-</v>
      </c>
      <c r="BQ575" s="138">
        <v>2108</v>
      </c>
      <c r="BR575" s="128">
        <v>1807.34</v>
      </c>
      <c r="BS575" s="115">
        <f t="shared" si="479"/>
        <v>300.66000000000008</v>
      </c>
      <c r="BT575" s="128">
        <v>73</v>
      </c>
      <c r="BU575" s="128">
        <v>5.5</v>
      </c>
      <c r="BV575" s="127">
        <v>65</v>
      </c>
      <c r="BW575" s="127" t="s">
        <v>217</v>
      </c>
      <c r="BX575" s="127" t="s">
        <v>218</v>
      </c>
      <c r="BY575" s="139">
        <v>24</v>
      </c>
      <c r="BZ575" s="139">
        <v>24</v>
      </c>
      <c r="CA575" s="138">
        <v>10</v>
      </c>
      <c r="CB575" s="138">
        <v>68</v>
      </c>
      <c r="CC575" s="138">
        <v>9</v>
      </c>
      <c r="CD575" s="135">
        <v>45017</v>
      </c>
      <c r="CE575" s="138">
        <v>115</v>
      </c>
      <c r="CF575" s="138">
        <v>71</v>
      </c>
      <c r="CG575" s="138" t="str">
        <f t="shared" si="474"/>
        <v>В работе</v>
      </c>
      <c r="CH575" s="138" t="s">
        <v>235</v>
      </c>
      <c r="CI575" s="127">
        <v>5</v>
      </c>
      <c r="CJ575" s="138"/>
      <c r="CK575" s="138">
        <f t="shared" si="488"/>
        <v>42</v>
      </c>
      <c r="CL575" s="99"/>
      <c r="CM575" s="99"/>
      <c r="CN575" s="140">
        <v>52</v>
      </c>
      <c r="CO575" s="141">
        <f t="shared" si="442"/>
        <v>4.18</v>
      </c>
      <c r="CP575" s="142">
        <v>5</v>
      </c>
      <c r="CQ575" s="143">
        <v>0</v>
      </c>
      <c r="CR575" s="115">
        <v>4.2</v>
      </c>
      <c r="CS575" s="139">
        <f>3.7/2</f>
        <v>1.85</v>
      </c>
      <c r="CT575" s="138"/>
      <c r="CU575" s="138">
        <f t="shared" si="475"/>
        <v>2.35</v>
      </c>
      <c r="CV575" s="115">
        <f t="shared" si="476"/>
        <v>562.20095693779911</v>
      </c>
      <c r="CW575" s="115">
        <f t="shared" si="443"/>
        <v>442.58373205741628</v>
      </c>
      <c r="CX575" s="133">
        <f t="shared" si="477"/>
        <v>7.9365079365079361E-2</v>
      </c>
      <c r="CY575" s="116"/>
      <c r="CZ575" s="131"/>
      <c r="DA575" s="145" t="str">
        <f t="shared" si="478"/>
        <v>Газлифт</v>
      </c>
      <c r="DB575" s="146">
        <f t="shared" si="468"/>
        <v>4.18</v>
      </c>
      <c r="DC575" s="142">
        <f t="shared" si="469"/>
        <v>5</v>
      </c>
      <c r="DD575" s="119">
        <f t="shared" si="470"/>
        <v>0</v>
      </c>
      <c r="DE575" s="115">
        <f t="shared" si="471"/>
        <v>2.35</v>
      </c>
      <c r="DF575" s="121">
        <f t="shared" si="472"/>
        <v>1.85</v>
      </c>
      <c r="DG575" s="115">
        <f t="shared" si="446"/>
        <v>562.20095693779911</v>
      </c>
      <c r="DH575" s="115">
        <f t="shared" si="447"/>
        <v>52</v>
      </c>
      <c r="DI575" s="147"/>
      <c r="DJ575" s="111" t="s">
        <v>197</v>
      </c>
      <c r="DK575" s="112">
        <v>43415</v>
      </c>
      <c r="DL575" s="113">
        <f t="shared" ca="1" si="480"/>
        <v>1689</v>
      </c>
      <c r="DM575" s="114"/>
      <c r="DN575" s="114"/>
      <c r="DO575" s="114"/>
      <c r="DP575" s="114"/>
      <c r="DQ575" s="112">
        <v>43415</v>
      </c>
      <c r="DR575" s="114" t="s">
        <v>324</v>
      </c>
      <c r="DS575" s="114"/>
      <c r="DT575" s="115">
        <v>49</v>
      </c>
      <c r="DU575" s="116">
        <f t="shared" si="481"/>
        <v>7.8148756309675854E-2</v>
      </c>
      <c r="DV575" s="117">
        <f t="shared" si="484"/>
        <v>4.3119357781426748</v>
      </c>
      <c r="DW575" s="118">
        <f t="shared" si="485"/>
        <v>5.1578179164386064</v>
      </c>
      <c r="DX575" s="119">
        <f t="shared" si="486"/>
        <v>0</v>
      </c>
      <c r="DY575" s="115">
        <f t="shared" si="487"/>
        <v>2.4241744207261453</v>
      </c>
      <c r="DZ575" s="117">
        <f t="shared" si="482"/>
        <v>0.1319357781426751</v>
      </c>
      <c r="EA575" s="120">
        <f t="shared" si="482"/>
        <v>0.15781791643860643</v>
      </c>
      <c r="EB575" s="119">
        <f t="shared" si="482"/>
        <v>0</v>
      </c>
      <c r="EC575" s="121">
        <f t="shared" si="464"/>
        <v>7.4174420726145218E-2</v>
      </c>
      <c r="ED575" s="122"/>
      <c r="EE575" s="145">
        <v>65</v>
      </c>
      <c r="EF575" s="115">
        <v>6</v>
      </c>
      <c r="EG575" s="115">
        <v>58</v>
      </c>
      <c r="EH575" s="115">
        <v>6</v>
      </c>
      <c r="EI575" s="128" t="s">
        <v>218</v>
      </c>
      <c r="EJ575" s="121">
        <v>24</v>
      </c>
      <c r="EK575" s="121">
        <v>24</v>
      </c>
      <c r="EL575" s="149">
        <v>3.5529999999999999</v>
      </c>
      <c r="EM575" s="142">
        <v>5</v>
      </c>
      <c r="EN575" s="119">
        <v>15</v>
      </c>
      <c r="EO575" s="115">
        <v>9</v>
      </c>
      <c r="EP575" s="115">
        <v>1942.0208274697438</v>
      </c>
      <c r="EQ575" s="115">
        <v>70</v>
      </c>
      <c r="ER575" s="115">
        <v>2.1</v>
      </c>
      <c r="ES575" s="115">
        <v>69</v>
      </c>
      <c r="ET575" s="150">
        <v>0.10869565217391304</v>
      </c>
      <c r="EU575" s="145">
        <f t="shared" si="457"/>
        <v>65</v>
      </c>
      <c r="EV575" s="115">
        <f t="shared" si="448"/>
        <v>10</v>
      </c>
      <c r="EW575" s="115">
        <f t="shared" si="448"/>
        <v>68</v>
      </c>
      <c r="EX575" s="115">
        <f t="shared" si="448"/>
        <v>9</v>
      </c>
      <c r="EY575" s="115" t="str">
        <f t="shared" si="434"/>
        <v>Периодический</v>
      </c>
      <c r="EZ575" s="115">
        <f t="shared" si="434"/>
        <v>24</v>
      </c>
      <c r="FA575" s="115">
        <f t="shared" si="434"/>
        <v>24</v>
      </c>
      <c r="FB575" s="149">
        <f t="shared" si="461"/>
        <v>4.18</v>
      </c>
      <c r="FC575" s="142">
        <f t="shared" si="461"/>
        <v>5</v>
      </c>
      <c r="FD575" s="119">
        <f t="shared" si="461"/>
        <v>0</v>
      </c>
      <c r="FE575" s="121">
        <f t="shared" si="460"/>
        <v>4.2</v>
      </c>
      <c r="FF575" s="121">
        <f t="shared" si="462"/>
        <v>562.20095693779911</v>
      </c>
      <c r="FG575" s="121">
        <f t="shared" si="449"/>
        <v>71</v>
      </c>
      <c r="FH575" s="121">
        <f t="shared" si="436"/>
        <v>1.85</v>
      </c>
      <c r="FI575" s="121">
        <f t="shared" si="483"/>
        <v>52</v>
      </c>
      <c r="FJ575" s="144">
        <f t="shared" si="450"/>
        <v>7.9365079365079361E-2</v>
      </c>
      <c r="FK575" s="132">
        <f t="shared" si="451"/>
        <v>0</v>
      </c>
      <c r="FL575" s="115">
        <f t="shared" si="451"/>
        <v>4</v>
      </c>
      <c r="FM575" s="115">
        <f t="shared" si="451"/>
        <v>10</v>
      </c>
      <c r="FN575" s="115">
        <f t="shared" si="451"/>
        <v>3</v>
      </c>
      <c r="FO575" s="115">
        <f t="shared" si="439"/>
        <v>0</v>
      </c>
      <c r="FP575" s="115">
        <f t="shared" si="439"/>
        <v>0</v>
      </c>
      <c r="FQ575" s="149">
        <f t="shared" si="439"/>
        <v>0.62699999999999978</v>
      </c>
      <c r="FR575" s="142">
        <f t="shared" si="439"/>
        <v>0</v>
      </c>
      <c r="FS575" s="119">
        <f t="shared" si="439"/>
        <v>-15</v>
      </c>
      <c r="FT575" s="121">
        <f t="shared" si="438"/>
        <v>-4.8</v>
      </c>
      <c r="FU575" s="121">
        <f t="shared" si="452"/>
        <v>1</v>
      </c>
      <c r="FV575" s="121">
        <f t="shared" si="452"/>
        <v>-0.25</v>
      </c>
      <c r="FW575" s="121">
        <f t="shared" si="453"/>
        <v>-1379.8198705319446</v>
      </c>
      <c r="FX575" s="121">
        <f t="shared" si="454"/>
        <v>-17</v>
      </c>
      <c r="FY575" s="144">
        <f t="shared" si="454"/>
        <v>-2.933057280883368E-2</v>
      </c>
      <c r="FZ575" s="145"/>
      <c r="GA575" s="151"/>
      <c r="GB575" s="145"/>
      <c r="GC575" s="151"/>
      <c r="GD575" s="997" t="s">
        <v>202</v>
      </c>
      <c r="GE575" s="1004"/>
      <c r="GF575" s="1004">
        <v>0</v>
      </c>
      <c r="GG575" s="1004"/>
      <c r="GH575" s="1004">
        <v>0</v>
      </c>
      <c r="GI575" s="145"/>
      <c r="GJ575" s="996">
        <v>0</v>
      </c>
      <c r="GK575" s="145"/>
      <c r="GL575" s="996">
        <v>0</v>
      </c>
      <c r="GM575" s="1005"/>
      <c r="GN575" s="996">
        <v>0</v>
      </c>
      <c r="GO575" s="1006" t="s">
        <v>241</v>
      </c>
      <c r="GP575" s="996">
        <v>-2.2739199999999986</v>
      </c>
      <c r="GQ575" s="1006"/>
      <c r="GR575" s="996">
        <v>-0.86108000000000118</v>
      </c>
      <c r="GS575" s="1006"/>
      <c r="GT575" s="996">
        <v>0</v>
      </c>
      <c r="GU575" s="1006"/>
      <c r="GV575" s="996">
        <v>0</v>
      </c>
      <c r="GW575" s="1006"/>
      <c r="GX575" s="996">
        <v>-0.76076000000000032</v>
      </c>
      <c r="GY575" s="1006" t="s">
        <v>204</v>
      </c>
      <c r="GZ575" s="996">
        <v>2.5957799999999995</v>
      </c>
      <c r="HA575" s="1006" t="s">
        <v>222</v>
      </c>
      <c r="HB575" s="996">
        <v>-4.9282199999999996</v>
      </c>
      <c r="HC575" s="1006" t="s">
        <v>223</v>
      </c>
      <c r="HD575" s="996">
        <v>-11.729915999999998</v>
      </c>
      <c r="HE575" s="1006"/>
      <c r="HF575" s="996">
        <v>-0.31868319999999883</v>
      </c>
      <c r="HG575" s="1006" t="s">
        <v>199</v>
      </c>
      <c r="HH575" s="996">
        <v>10.959799199999997</v>
      </c>
      <c r="HI575" s="1006"/>
      <c r="HJ575" s="996">
        <v>0</v>
      </c>
      <c r="HK575" s="1006" t="s">
        <v>199</v>
      </c>
      <c r="HL575" s="996">
        <v>-3.0976291279999995</v>
      </c>
      <c r="HM575" s="1006" t="s">
        <v>199</v>
      </c>
      <c r="HN575" s="996">
        <v>-2.2727295360000008</v>
      </c>
      <c r="HO575" s="1006"/>
      <c r="HP575" s="996">
        <v>0</v>
      </c>
      <c r="HQ575" s="1006"/>
      <c r="HR575" s="996">
        <v>0</v>
      </c>
      <c r="HS575" s="1006"/>
      <c r="HT575" s="996">
        <v>0</v>
      </c>
      <c r="HU575" s="1006"/>
      <c r="HV575" s="996">
        <v>0</v>
      </c>
      <c r="HW575" s="1006"/>
      <c r="HX575" s="996">
        <v>0</v>
      </c>
      <c r="HY575" s="1006"/>
      <c r="HZ575" s="996">
        <v>0</v>
      </c>
      <c r="IA575" s="1006"/>
      <c r="IB575" s="996">
        <v>0</v>
      </c>
      <c r="IC575" s="1006"/>
      <c r="ID575" s="996">
        <v>0.22578353599999978</v>
      </c>
      <c r="IE575" s="1006"/>
      <c r="IF575" s="996">
        <v>-0.4476779999999998</v>
      </c>
      <c r="IG575" s="1006" t="s">
        <v>199</v>
      </c>
      <c r="IH575" s="996">
        <v>-2.650955999999999</v>
      </c>
      <c r="II575" s="1006"/>
      <c r="IJ575" s="996">
        <v>0</v>
      </c>
      <c r="IK575" s="1006" t="s">
        <v>199</v>
      </c>
      <c r="IL575" s="996">
        <v>2.8469979999999993</v>
      </c>
      <c r="IM575" s="1006"/>
      <c r="IN575" s="996">
        <v>0</v>
      </c>
      <c r="IO575" s="1006" t="s">
        <v>199</v>
      </c>
      <c r="IP575" s="996">
        <v>1.01783</v>
      </c>
      <c r="IQ575" s="1006" t="s">
        <v>199</v>
      </c>
      <c r="IR575" s="996">
        <v>2.1675139199999993</v>
      </c>
      <c r="IS575" s="1006"/>
      <c r="IT575" s="996">
        <v>0</v>
      </c>
      <c r="IU575" s="1006"/>
      <c r="IV575" s="996">
        <v>0</v>
      </c>
      <c r="IW575" s="1006"/>
      <c r="IX575" s="996">
        <v>0</v>
      </c>
      <c r="IY575" s="1006" t="s">
        <v>199</v>
      </c>
      <c r="IZ575" s="996">
        <v>-7.5029327999999982</v>
      </c>
      <c r="JA575" s="1006"/>
      <c r="JB575" s="996">
        <v>0</v>
      </c>
      <c r="JC575" s="1006"/>
      <c r="JD575" s="996">
        <v>0</v>
      </c>
      <c r="JE575" s="1006"/>
      <c r="JF575" s="996">
        <v>0</v>
      </c>
      <c r="JG575" s="1006"/>
      <c r="JH575" s="996">
        <v>0</v>
      </c>
      <c r="JI575" s="1006" t="s">
        <v>223</v>
      </c>
      <c r="JJ575" s="996">
        <v>-3.0011731200000007</v>
      </c>
      <c r="JK575" s="1007"/>
      <c r="JL575" s="1007">
        <v>0</v>
      </c>
      <c r="JM575" s="1007"/>
      <c r="JN575" s="1007">
        <v>0</v>
      </c>
      <c r="JO575" s="1008"/>
      <c r="JP575" s="1007">
        <v>0</v>
      </c>
      <c r="JQ575" s="1008" t="s">
        <v>203</v>
      </c>
      <c r="JR575" s="1007">
        <v>-5.8356143999999972</v>
      </c>
      <c r="JS575" s="1008" t="s">
        <v>933</v>
      </c>
      <c r="JT575" s="1007">
        <v>-21.675139199999997</v>
      </c>
      <c r="JU575" s="1008"/>
      <c r="JV575" s="1007">
        <v>0</v>
      </c>
      <c r="JW575" s="1008" t="s">
        <v>197</v>
      </c>
      <c r="JX575" s="1007">
        <v>0</v>
      </c>
      <c r="JY575" s="1008"/>
      <c r="JZ575" s="1007">
        <v>0</v>
      </c>
      <c r="KA575" s="1008"/>
      <c r="KB575" s="1007">
        <v>0</v>
      </c>
      <c r="KC575" s="1008"/>
      <c r="KD575" s="1007">
        <v>0</v>
      </c>
      <c r="KE575" s="1008"/>
      <c r="KF575" s="1007">
        <v>0</v>
      </c>
      <c r="KG575" s="1008" t="s">
        <v>203</v>
      </c>
      <c r="KH575" s="1007">
        <v>-4.6784954304000053</v>
      </c>
      <c r="KI575" s="1008" t="s">
        <v>324</v>
      </c>
      <c r="KJ575" s="1007">
        <v>48.862433030399998</v>
      </c>
      <c r="KK575" s="1008"/>
      <c r="KL575" s="1007">
        <v>0</v>
      </c>
      <c r="KM575" s="1008"/>
      <c r="KN575" s="1007"/>
      <c r="KO575" s="1008"/>
      <c r="KP575" s="1007"/>
      <c r="KQ575" s="1008"/>
      <c r="KR575" s="1007"/>
      <c r="KS575" s="1008"/>
      <c r="KT575" s="1007"/>
      <c r="KU575" s="1008"/>
      <c r="KV575" s="1007"/>
      <c r="KW575" s="1008"/>
      <c r="KX575" s="1007"/>
      <c r="KY575" s="1008"/>
      <c r="KZ575" s="1007"/>
      <c r="LA575" s="1008"/>
      <c r="LB575" s="1007"/>
      <c r="LC575" s="1008"/>
      <c r="LD575" s="1007"/>
      <c r="LE575" s="1008"/>
      <c r="LF575" s="1007"/>
      <c r="LG575" s="1008"/>
      <c r="LH575" s="1007"/>
      <c r="LI575" s="1008"/>
      <c r="LJ575" s="1007"/>
      <c r="LK575" s="1008"/>
      <c r="LL575" s="1007"/>
      <c r="LM575" s="1008"/>
      <c r="LN575" s="1007"/>
      <c r="LO575" s="1008"/>
      <c r="LP575" s="1007"/>
      <c r="LQ575" s="1008"/>
      <c r="LR575" s="1007"/>
      <c r="LS575" s="1008"/>
      <c r="LT575" s="1007"/>
      <c r="LU575" s="1008"/>
      <c r="LV575" s="1007"/>
      <c r="LW575" s="1008"/>
      <c r="LX575" s="1007"/>
      <c r="LY575" s="1009"/>
      <c r="LZ575" s="1010"/>
      <c r="MA575" s="1011"/>
      <c r="MB575" s="1012"/>
      <c r="MC575" s="995"/>
      <c r="MD575" s="996"/>
      <c r="ME575" s="997" t="s">
        <v>202</v>
      </c>
      <c r="MF575" s="997"/>
      <c r="MG575" s="998"/>
      <c r="NR575" s="1000"/>
      <c r="NS575" s="1000"/>
      <c r="NT575" s="1001"/>
      <c r="NU575" s="1000"/>
      <c r="NV575" s="1001"/>
      <c r="NX575" s="1002"/>
      <c r="NZ575" s="1001"/>
      <c r="OA575" s="1001"/>
      <c r="OC575" s="1003"/>
      <c r="OD575" s="1003"/>
      <c r="OE575" s="1001"/>
      <c r="OF575" s="1003"/>
      <c r="OG575" s="1003"/>
      <c r="QX575" s="1000">
        <f>CN575-CA575</f>
        <v>42</v>
      </c>
      <c r="ASU575" s="999" t="s">
        <v>208</v>
      </c>
    </row>
    <row r="576" spans="1:466 1191:1191" ht="21" customHeight="1" x14ac:dyDescent="0.25">
      <c r="A576" s="982">
        <f t="shared" si="441"/>
        <v>3321</v>
      </c>
      <c r="B576" s="124">
        <f>SUBTOTAL(103,$J$29:J576)</f>
        <v>548</v>
      </c>
      <c r="C576" s="126">
        <v>45068</v>
      </c>
      <c r="D576" s="124" t="s">
        <v>176</v>
      </c>
      <c r="E576" s="127" t="s">
        <v>177</v>
      </c>
      <c r="F576" s="128" t="s">
        <v>177</v>
      </c>
      <c r="G576" s="127" t="s">
        <v>178</v>
      </c>
      <c r="H576" s="127" t="s">
        <v>179</v>
      </c>
      <c r="I576" s="127" t="s">
        <v>1132</v>
      </c>
      <c r="J576" s="129">
        <v>3321</v>
      </c>
      <c r="K576" s="127" t="s">
        <v>1132</v>
      </c>
      <c r="L576" s="130">
        <v>42555</v>
      </c>
      <c r="M576" s="127" t="s">
        <v>230</v>
      </c>
      <c r="N576" s="127" t="s">
        <v>184</v>
      </c>
      <c r="O576" s="127" t="s">
        <v>185</v>
      </c>
      <c r="P576" s="127" t="s">
        <v>292</v>
      </c>
      <c r="Q576" s="85" t="str">
        <f t="shared" si="473"/>
        <v/>
      </c>
      <c r="R576" s="130"/>
      <c r="S576" s="128"/>
      <c r="T576" s="131"/>
      <c r="U576" s="132">
        <v>203</v>
      </c>
      <c r="V576" s="121">
        <v>218.2</v>
      </c>
      <c r="W576" s="116">
        <v>0.98</v>
      </c>
      <c r="X576" s="116">
        <v>1.66</v>
      </c>
      <c r="Y576" s="116">
        <f t="shared" si="463"/>
        <v>0.98004014622285718</v>
      </c>
      <c r="Z576" s="133">
        <v>1.454</v>
      </c>
      <c r="AA576" s="133">
        <v>0.83599999999999997</v>
      </c>
      <c r="AB576" s="133">
        <v>0.72</v>
      </c>
      <c r="AC576" s="121">
        <v>34.299999999999997</v>
      </c>
      <c r="AD576" s="134">
        <v>1.17</v>
      </c>
      <c r="AE576" s="124">
        <v>177.8</v>
      </c>
      <c r="AF576" s="128">
        <v>9.19</v>
      </c>
      <c r="AG576" s="128">
        <v>2091.8000000000002</v>
      </c>
      <c r="AH576" s="127">
        <v>2716</v>
      </c>
      <c r="AI576" s="127">
        <v>2716</v>
      </c>
      <c r="AJ576" s="135"/>
      <c r="AK576" s="128"/>
      <c r="AL576" s="131"/>
      <c r="AM576" s="124" t="s">
        <v>232</v>
      </c>
      <c r="AN576" s="136" t="s">
        <v>1976</v>
      </c>
      <c r="AO576" s="137">
        <v>6.2599999999999909</v>
      </c>
      <c r="AP576" s="128">
        <v>2286</v>
      </c>
      <c r="AQ576" s="128">
        <v>377.95</v>
      </c>
      <c r="AR576" s="128" t="s">
        <v>1977</v>
      </c>
      <c r="AS576" s="128">
        <v>114</v>
      </c>
      <c r="AT576" s="122">
        <v>7.37</v>
      </c>
      <c r="AU576" s="124" t="s">
        <v>189</v>
      </c>
      <c r="AV576" s="115">
        <f>VLOOKUP(J576,'[63]ТР нефть'!$J$28:$BP$638,39,0)</f>
        <v>399.99999374999999</v>
      </c>
      <c r="AW576" s="115" t="str">
        <f>VLOOKUP(J576,'[63]ТР нефть'!$J$28:$BP$638,40,0)</f>
        <v>ГП</v>
      </c>
      <c r="AX576" s="115">
        <f>VLOOKUP(J576,'[63]ТР нефть'!$J$28:$BP$638,41,0)</f>
        <v>752.000015039</v>
      </c>
      <c r="AY576" s="115" t="str">
        <f>VLOOKUP(J576,'[63]ТР нефть'!$J$28:$BP$638,42,0)</f>
        <v>ГП</v>
      </c>
      <c r="AZ576" s="115">
        <f>VLOOKUP(J576,'[63]ТР нефть'!$J$28:$BP$638,43,0)</f>
        <v>1059.9999685549999</v>
      </c>
      <c r="BA576" s="115" t="str">
        <f>VLOOKUP(J576,'[63]ТР нефть'!$J$28:$BP$638,44,0)</f>
        <v>ГП</v>
      </c>
      <c r="BB576" s="115">
        <f>VLOOKUP(J576,'[63]ТР нефть'!$J$28:$BP$638,45,0)</f>
        <v>1326.9999316410001</v>
      </c>
      <c r="BC576" s="115" t="str">
        <f>VLOOKUP(J576,'[63]ТР нефть'!$J$28:$BP$638,46,0)</f>
        <v>ГП</v>
      </c>
      <c r="BD576" s="115">
        <f>VLOOKUP(J576,'[63]ТР нефть'!$J$28:$BP$638,47,0)</f>
        <v>1562.9999636719999</v>
      </c>
      <c r="BE576" s="115" t="str">
        <f>VLOOKUP(J576,'[63]ТР нефть'!$J$28:$BP$638,48,0)</f>
        <v>ГК 75 1/8</v>
      </c>
      <c r="BF576" s="115">
        <f>VLOOKUP(J576,'[63]ТР нефть'!$J$28:$BP$638,49,0)</f>
        <v>1810</v>
      </c>
      <c r="BG576" s="115" t="str">
        <f>VLOOKUP(J576,'[63]ТР нефть'!$J$28:$BP$638,50,0)</f>
        <v>ЦКсОК 5/16</v>
      </c>
      <c r="BH576" s="115" t="str">
        <f>VLOOKUP(J576,'[63]ТР нефть'!$J$28:$BP$638,51,0)</f>
        <v>-</v>
      </c>
      <c r="BI576" s="115" t="str">
        <f>VLOOKUP(J576,'[63]ТР нефть'!$J$28:$BP$638,52,0)</f>
        <v>-</v>
      </c>
      <c r="BJ576" s="115" t="str">
        <f>IF(IFERROR(VLOOKUP(J576,'[63]ТР нефть'!$J$28:$BP$638,53,0),"-")=0,"-",IFERROR(VLOOKUP(J576,'[63]ТР нефть'!$J$28:$BP$638,53,0),"-"))</f>
        <v>-</v>
      </c>
      <c r="BK576" s="138" t="str">
        <f>IF(IFERROR(VLOOKUP(J576,'[63]ТР нефть'!$J$28:$BP$638,54,0),"-")=0,"-",IFERROR(VLOOKUP(J576,'[63]ТР нефть'!$J$28:$BP$638,54,0),"-"))</f>
        <v>-</v>
      </c>
      <c r="BL576" s="138" t="str">
        <f>IF(IFERROR(VLOOKUP(J576,'[63]ТР нефть'!$J$28:$BP$638,55,0),"-")=0,"-",IFERROR(VLOOKUP(J576,'[63]ТР нефть'!$J$28:$BP$638,55,0),"-"))</f>
        <v>-</v>
      </c>
      <c r="BM576" s="138" t="str">
        <f>IF(IFERROR(VLOOKUP(J576,'[63]ТР нефть'!$J$28:$BP$638,56,0),"-")=0,"-",IFERROR(VLOOKUP(J576,'[63]ТР нефть'!$J$28:$BP$638,56,0),"-"))</f>
        <v>-</v>
      </c>
      <c r="BN576" s="138" t="str">
        <f>IF(IFERROR(VLOOKUP(J576,'[63]ТР нефть'!$J$28:$BP$638,57,0),"-")=0,"-",IFERROR(VLOOKUP(J576,'[63]ТР нефть'!$J$28:$BP$638,57,0),"-"))</f>
        <v>-</v>
      </c>
      <c r="BO576" s="115" t="str">
        <f>IF(IFERROR(VLOOKUP(J576,'[63]ТР нефть'!$J$28:$BP$638,58,0),"-")=0,"-",IFERROR(VLOOKUP(J576,'[63]ТР нефть'!$J$28:$BP$638,58,0),"-"))</f>
        <v>-</v>
      </c>
      <c r="BP576" s="115" t="str">
        <f>IF(IFERROR(VLOOKUP(J576,'[63]ТР нефть'!$J$28:$BP$638,59,0),"-")=0,"-",IFERROR(VLOOKUP(J576,'[63]ТР нефть'!$J$28:$BP$638,59,0),"-"))</f>
        <v>-</v>
      </c>
      <c r="BQ576" s="138">
        <v>1930</v>
      </c>
      <c r="BR576" s="128">
        <f>1652.37+174</f>
        <v>1826.37</v>
      </c>
      <c r="BS576" s="115">
        <f t="shared" si="479"/>
        <v>103.63000000000011</v>
      </c>
      <c r="BT576" s="128">
        <v>73</v>
      </c>
      <c r="BU576" s="128">
        <v>5.5</v>
      </c>
      <c r="BV576" s="127">
        <v>18</v>
      </c>
      <c r="BW576" s="127" t="s">
        <v>194</v>
      </c>
      <c r="BX576" s="127" t="s">
        <v>218</v>
      </c>
      <c r="BY576" s="139">
        <v>24</v>
      </c>
      <c r="BZ576" s="139">
        <v>48</v>
      </c>
      <c r="CA576" s="138">
        <v>28</v>
      </c>
      <c r="CB576" s="138">
        <v>38</v>
      </c>
      <c r="CC576" s="138">
        <v>27</v>
      </c>
      <c r="CD576" s="135">
        <v>45017</v>
      </c>
      <c r="CE576" s="138">
        <v>116</v>
      </c>
      <c r="CF576" s="138">
        <v>69</v>
      </c>
      <c r="CG576" s="138" t="str">
        <f t="shared" si="474"/>
        <v/>
      </c>
      <c r="CH576" s="138" t="s">
        <v>197</v>
      </c>
      <c r="CI576" s="127"/>
      <c r="CJ576" s="138"/>
      <c r="CK576" s="138">
        <f t="shared" si="488"/>
        <v>29</v>
      </c>
      <c r="CL576" s="99"/>
      <c r="CM576" s="99"/>
      <c r="CN576" s="140">
        <v>57</v>
      </c>
      <c r="CO576" s="141">
        <f t="shared" si="442"/>
        <v>2.5077491999999997</v>
      </c>
      <c r="CP576" s="142">
        <f>9/3</f>
        <v>3</v>
      </c>
      <c r="CQ576" s="143">
        <v>0.01</v>
      </c>
      <c r="CR576" s="138">
        <v>9.1</v>
      </c>
      <c r="CS576" s="139">
        <v>6</v>
      </c>
      <c r="CT576" s="138"/>
      <c r="CU576" s="138">
        <f t="shared" si="475"/>
        <v>3.0999999999999996</v>
      </c>
      <c r="CV576" s="115">
        <f t="shared" si="476"/>
        <v>1236.1682739246812</v>
      </c>
      <c r="CW576" s="115">
        <f t="shared" si="443"/>
        <v>2392.2523558303137</v>
      </c>
      <c r="CX576" s="133">
        <f t="shared" si="477"/>
        <v>5.0847457627118647E-2</v>
      </c>
      <c r="CY576" s="116"/>
      <c r="CZ576" s="131"/>
      <c r="DA576" s="145" t="str">
        <f t="shared" si="478"/>
        <v>Газлифт</v>
      </c>
      <c r="DB576" s="146">
        <f t="shared" si="468"/>
        <v>2.5077491999999997</v>
      </c>
      <c r="DC576" s="142">
        <f t="shared" si="469"/>
        <v>3</v>
      </c>
      <c r="DD576" s="119">
        <f t="shared" si="470"/>
        <v>0.01</v>
      </c>
      <c r="DE576" s="115">
        <f t="shared" si="471"/>
        <v>3.0999999999999996</v>
      </c>
      <c r="DF576" s="121">
        <f t="shared" si="472"/>
        <v>6</v>
      </c>
      <c r="DG576" s="115">
        <f t="shared" si="446"/>
        <v>1236.1682739246812</v>
      </c>
      <c r="DH576" s="115">
        <f t="shared" si="447"/>
        <v>57</v>
      </c>
      <c r="DI576" s="147"/>
      <c r="DJ576" s="111" t="s">
        <v>197</v>
      </c>
      <c r="DK576" s="112">
        <v>44064</v>
      </c>
      <c r="DL576" s="113">
        <f t="shared" ca="1" si="480"/>
        <v>1040</v>
      </c>
      <c r="DM576" s="114"/>
      <c r="DN576" s="114"/>
      <c r="DO576" s="114"/>
      <c r="DP576" s="114"/>
      <c r="DQ576" s="112">
        <v>42555</v>
      </c>
      <c r="DR576" s="114" t="s">
        <v>324</v>
      </c>
      <c r="DS576" s="114"/>
      <c r="DT576" s="115">
        <v>60</v>
      </c>
      <c r="DU576" s="116">
        <f t="shared" si="481"/>
        <v>5.3571428571428568E-2</v>
      </c>
      <c r="DV576" s="117">
        <f t="shared" si="484"/>
        <v>2.5077491999999997</v>
      </c>
      <c r="DW576" s="118">
        <f t="shared" si="485"/>
        <v>3</v>
      </c>
      <c r="DX576" s="119">
        <f t="shared" si="486"/>
        <v>0.01</v>
      </c>
      <c r="DY576" s="115">
        <f t="shared" si="487"/>
        <v>3.1</v>
      </c>
      <c r="DZ576" s="117">
        <f t="shared" si="482"/>
        <v>0</v>
      </c>
      <c r="EA576" s="120">
        <f t="shared" si="482"/>
        <v>0</v>
      </c>
      <c r="EB576" s="119">
        <f t="shared" si="482"/>
        <v>0</v>
      </c>
      <c r="EC576" s="121">
        <f t="shared" si="464"/>
        <v>0</v>
      </c>
      <c r="ED576" s="122"/>
      <c r="EE576" s="145">
        <v>18</v>
      </c>
      <c r="EF576" s="115">
        <v>28</v>
      </c>
      <c r="EG576" s="115">
        <v>46</v>
      </c>
      <c r="EH576" s="115">
        <v>17</v>
      </c>
      <c r="EI576" s="128" t="s">
        <v>218</v>
      </c>
      <c r="EJ576" s="121">
        <v>24</v>
      </c>
      <c r="EK576" s="121">
        <v>48</v>
      </c>
      <c r="EL576" s="149">
        <v>1.6718328</v>
      </c>
      <c r="EM576" s="142">
        <v>2</v>
      </c>
      <c r="EN576" s="119">
        <v>0.01</v>
      </c>
      <c r="EO576" s="115">
        <v>5.6</v>
      </c>
      <c r="EP576" s="115">
        <v>957.03350239330121</v>
      </c>
      <c r="EQ576" s="115">
        <v>70</v>
      </c>
      <c r="ER576" s="115">
        <v>4</v>
      </c>
      <c r="ES576" s="115">
        <v>61</v>
      </c>
      <c r="ET576" s="150">
        <v>3.6363636363636362E-2</v>
      </c>
      <c r="EU576" s="145">
        <f t="shared" si="457"/>
        <v>18</v>
      </c>
      <c r="EV576" s="115">
        <f t="shared" si="448"/>
        <v>28</v>
      </c>
      <c r="EW576" s="115">
        <f t="shared" si="448"/>
        <v>38</v>
      </c>
      <c r="EX576" s="115">
        <f t="shared" si="448"/>
        <v>27</v>
      </c>
      <c r="EY576" s="115" t="str">
        <f t="shared" ref="EY576:FA625" si="489">BX576</f>
        <v>Периодический</v>
      </c>
      <c r="EZ576" s="115">
        <f t="shared" si="489"/>
        <v>24</v>
      </c>
      <c r="FA576" s="115">
        <f t="shared" si="489"/>
        <v>48</v>
      </c>
      <c r="FB576" s="149">
        <f t="shared" si="461"/>
        <v>2.5077491999999997</v>
      </c>
      <c r="FC576" s="142">
        <f t="shared" si="461"/>
        <v>3</v>
      </c>
      <c r="FD576" s="119">
        <f t="shared" si="461"/>
        <v>0.01</v>
      </c>
      <c r="FE576" s="121">
        <f t="shared" si="460"/>
        <v>9.1</v>
      </c>
      <c r="FF576" s="121">
        <f t="shared" si="462"/>
        <v>1236.1682739246812</v>
      </c>
      <c r="FG576" s="121">
        <f t="shared" si="449"/>
        <v>69</v>
      </c>
      <c r="FH576" s="121">
        <f t="shared" si="436"/>
        <v>6</v>
      </c>
      <c r="FI576" s="121">
        <f t="shared" si="483"/>
        <v>57</v>
      </c>
      <c r="FJ576" s="144">
        <f t="shared" si="450"/>
        <v>5.0847457627118647E-2</v>
      </c>
      <c r="FK576" s="132">
        <f t="shared" si="451"/>
        <v>0</v>
      </c>
      <c r="FL576" s="115">
        <f t="shared" si="451"/>
        <v>0</v>
      </c>
      <c r="FM576" s="115">
        <f t="shared" si="451"/>
        <v>-8</v>
      </c>
      <c r="FN576" s="115">
        <f t="shared" si="451"/>
        <v>10</v>
      </c>
      <c r="FO576" s="115">
        <f t="shared" si="439"/>
        <v>0</v>
      </c>
      <c r="FP576" s="115">
        <f t="shared" si="439"/>
        <v>0</v>
      </c>
      <c r="FQ576" s="149">
        <f t="shared" si="439"/>
        <v>0.83591639999999967</v>
      </c>
      <c r="FR576" s="142">
        <f t="shared" si="439"/>
        <v>1</v>
      </c>
      <c r="FS576" s="119">
        <f t="shared" si="439"/>
        <v>0</v>
      </c>
      <c r="FT576" s="121">
        <f t="shared" si="438"/>
        <v>3.5</v>
      </c>
      <c r="FU576" s="121">
        <f t="shared" si="452"/>
        <v>-1</v>
      </c>
      <c r="FV576" s="121">
        <f t="shared" si="452"/>
        <v>2</v>
      </c>
      <c r="FW576" s="121">
        <f t="shared" si="453"/>
        <v>279.13477153138001</v>
      </c>
      <c r="FX576" s="121">
        <f t="shared" si="454"/>
        <v>-4</v>
      </c>
      <c r="FY576" s="144">
        <f t="shared" si="454"/>
        <v>1.4483821263482285E-2</v>
      </c>
      <c r="FZ576" s="145"/>
      <c r="GA576" s="151"/>
      <c r="GB576" s="145"/>
      <c r="GC576" s="151"/>
      <c r="GD576" s="997" t="s">
        <v>202</v>
      </c>
      <c r="GE576" s="1004"/>
      <c r="GF576" s="1004">
        <v>0</v>
      </c>
      <c r="GG576" s="1004"/>
      <c r="GH576" s="1004">
        <v>0</v>
      </c>
      <c r="GI576" s="145"/>
      <c r="GJ576" s="996">
        <v>0</v>
      </c>
      <c r="GK576" s="145"/>
      <c r="GL576" s="996">
        <v>0</v>
      </c>
      <c r="GM576" s="1005"/>
      <c r="GN576" s="996">
        <v>0</v>
      </c>
      <c r="GO576" s="1006" t="s">
        <v>240</v>
      </c>
      <c r="GP576" s="996">
        <v>-1.6718328</v>
      </c>
      <c r="GQ576" s="1006"/>
      <c r="GR576" s="996">
        <v>-0.79412057999999996</v>
      </c>
      <c r="GS576" s="1006"/>
      <c r="GT576" s="996">
        <v>0</v>
      </c>
      <c r="GU576" s="1006" t="s">
        <v>221</v>
      </c>
      <c r="GV576" s="996">
        <v>1.8808118999999999</v>
      </c>
      <c r="GW576" s="1006"/>
      <c r="GX576" s="996">
        <v>0.26665733160000027</v>
      </c>
      <c r="GY576" s="1006"/>
      <c r="GZ576" s="996">
        <v>0</v>
      </c>
      <c r="HA576" s="1006" t="s">
        <v>222</v>
      </c>
      <c r="HB576" s="996">
        <v>-2.8579981715999998</v>
      </c>
      <c r="HC576" s="1006"/>
      <c r="HD576" s="996">
        <v>0</v>
      </c>
      <c r="HE576" s="1006" t="s">
        <v>199</v>
      </c>
      <c r="HF576" s="996">
        <v>2.1248994887999997</v>
      </c>
      <c r="HG576" s="1006" t="s">
        <v>199</v>
      </c>
      <c r="HH576" s="996">
        <v>-2.2925843688</v>
      </c>
      <c r="HI576" s="1006"/>
      <c r="HJ576" s="996">
        <v>-4.1652575999999719E-2</v>
      </c>
      <c r="HK576" s="1006"/>
      <c r="HL576" s="996">
        <v>0.65286249599999957</v>
      </c>
      <c r="HM576" s="1006"/>
      <c r="HN576" s="996">
        <v>0.49163487999999989</v>
      </c>
      <c r="HO576" s="1006"/>
      <c r="HP576" s="996">
        <v>-0.78272450666666682</v>
      </c>
      <c r="HQ576" s="1006" t="s">
        <v>199</v>
      </c>
      <c r="HR576" s="996">
        <v>1.6119027466666673</v>
      </c>
      <c r="HS576" s="1006"/>
      <c r="HT576" s="996">
        <v>0</v>
      </c>
      <c r="HU576" s="1006"/>
      <c r="HV576" s="996">
        <v>-0.72835664000000033</v>
      </c>
      <c r="HW576" s="1006"/>
      <c r="HX576" s="996">
        <v>0.31723926080000009</v>
      </c>
      <c r="HY576" s="1006"/>
      <c r="HZ576" s="996">
        <v>-0.61380858880000044</v>
      </c>
      <c r="IA576" s="1006"/>
      <c r="IB576" s="996">
        <v>0.48099761599999979</v>
      </c>
      <c r="IC576" s="1006"/>
      <c r="ID576" s="996">
        <v>0.82094531200000054</v>
      </c>
      <c r="IE576" s="1006"/>
      <c r="IF576" s="996">
        <v>0.69889599999999974</v>
      </c>
      <c r="IG576" s="1006"/>
      <c r="IH576" s="996">
        <v>0</v>
      </c>
      <c r="II576" s="1006"/>
      <c r="IJ576" s="996">
        <v>0</v>
      </c>
      <c r="IK576" s="1006"/>
      <c r="IL576" s="996">
        <v>0</v>
      </c>
      <c r="IM576" s="1006"/>
      <c r="IN576" s="996">
        <v>0</v>
      </c>
      <c r="IO576" s="1006"/>
      <c r="IP576" s="996">
        <v>0.43806400000000001</v>
      </c>
      <c r="IQ576" s="1006" t="s">
        <v>199</v>
      </c>
      <c r="IR576" s="996">
        <v>-6.8349572632000015</v>
      </c>
      <c r="IS576" s="1006" t="s">
        <v>239</v>
      </c>
      <c r="IT576" s="996">
        <v>2.4166638232000013</v>
      </c>
      <c r="IU576" s="1006"/>
      <c r="IV576" s="996">
        <v>0</v>
      </c>
      <c r="IW576" s="1006"/>
      <c r="IX576" s="996">
        <v>0</v>
      </c>
      <c r="IY576" s="1006"/>
      <c r="IZ576" s="996">
        <v>0</v>
      </c>
      <c r="JA576" s="1006"/>
      <c r="JB576" s="996">
        <v>0</v>
      </c>
      <c r="JC576" s="1006"/>
      <c r="JD576" s="996">
        <v>0</v>
      </c>
      <c r="JE576" s="1006"/>
      <c r="JF576" s="996">
        <v>-0.86752723200000048</v>
      </c>
      <c r="JG576" s="1006"/>
      <c r="JH576" s="996">
        <v>0</v>
      </c>
      <c r="JI576" s="1006"/>
      <c r="JJ576" s="996">
        <v>0</v>
      </c>
      <c r="JK576" s="1007"/>
      <c r="JL576" s="1007">
        <v>0</v>
      </c>
      <c r="JM576" s="1007"/>
      <c r="JN576" s="1007">
        <v>0</v>
      </c>
      <c r="JO576" s="1008"/>
      <c r="JP576" s="1007">
        <v>0</v>
      </c>
      <c r="JQ576" s="1008">
        <v>0</v>
      </c>
      <c r="JR576" s="1007">
        <v>4.2895160000000487E-2</v>
      </c>
      <c r="JS576" s="1008" t="s">
        <v>205</v>
      </c>
      <c r="JT576" s="1007">
        <v>-1.2862344880000007</v>
      </c>
      <c r="JU576" s="1008"/>
      <c r="JV576" s="1007">
        <v>0</v>
      </c>
      <c r="JW576" s="1008" t="s">
        <v>197</v>
      </c>
      <c r="JX576" s="1007">
        <v>0</v>
      </c>
      <c r="JY576" s="1008" t="s">
        <v>204</v>
      </c>
      <c r="JZ576" s="1007">
        <v>-3.3774399999999982</v>
      </c>
      <c r="KA576" s="1008" t="s">
        <v>204</v>
      </c>
      <c r="KB576" s="1007">
        <v>3.6666959999999991</v>
      </c>
      <c r="KC576" s="1008"/>
      <c r="KD576" s="1007">
        <v>0</v>
      </c>
      <c r="KE576" s="1008" t="s">
        <v>204</v>
      </c>
      <c r="KF576" s="1007">
        <v>-2.4979679999999993</v>
      </c>
      <c r="KG576" s="1008" t="s">
        <v>204</v>
      </c>
      <c r="KH576" s="1007">
        <v>1.6653119999999983</v>
      </c>
      <c r="KI576" s="1008"/>
      <c r="KJ576" s="1007">
        <v>0</v>
      </c>
      <c r="KK576" s="1008"/>
      <c r="KL576" s="1007">
        <v>0</v>
      </c>
      <c r="KM576" s="1008"/>
      <c r="KN576" s="1007">
        <v>0</v>
      </c>
      <c r="KO576" s="1008"/>
      <c r="KP576" s="1007">
        <v>0</v>
      </c>
      <c r="KQ576" s="1008">
        <v>0</v>
      </c>
      <c r="KR576" s="1007">
        <v>0</v>
      </c>
      <c r="KS576" s="1008">
        <v>0</v>
      </c>
      <c r="KT576" s="1007">
        <v>0</v>
      </c>
      <c r="KU576" s="1008">
        <v>0</v>
      </c>
      <c r="KV576" s="1007">
        <v>0</v>
      </c>
      <c r="KW576" s="1008">
        <v>0</v>
      </c>
      <c r="KX576" s="1007">
        <v>0</v>
      </c>
      <c r="KY576" s="1008" t="s">
        <v>206</v>
      </c>
      <c r="KZ576" s="1007">
        <v>-1.7748781599999983</v>
      </c>
      <c r="LA576" s="1008">
        <v>0</v>
      </c>
      <c r="LB576" s="1007">
        <v>0</v>
      </c>
      <c r="LC576" s="1008">
        <v>0</v>
      </c>
      <c r="LD576" s="1007">
        <v>0</v>
      </c>
      <c r="LE576" s="1008">
        <v>0</v>
      </c>
      <c r="LF576" s="1007">
        <v>0</v>
      </c>
      <c r="LG576" s="1008" t="s">
        <v>206</v>
      </c>
      <c r="LH576" s="1007">
        <v>-1.1744963999999989</v>
      </c>
      <c r="LI576" s="1008">
        <v>0</v>
      </c>
      <c r="LJ576" s="1007">
        <v>0</v>
      </c>
      <c r="LK576" s="1008" t="s">
        <v>206</v>
      </c>
      <c r="LL576" s="1007">
        <v>0.65876799999999802</v>
      </c>
      <c r="LM576" s="1008">
        <v>0</v>
      </c>
      <c r="LN576" s="1007">
        <v>0</v>
      </c>
      <c r="LO576" s="1008">
        <v>0</v>
      </c>
      <c r="LP576" s="1007">
        <v>-0.12448399999999001</v>
      </c>
      <c r="LQ576" s="1008" t="s">
        <v>204</v>
      </c>
      <c r="LR576" s="1007">
        <v>-2.4987240000000002</v>
      </c>
      <c r="LS576" s="1008">
        <v>0</v>
      </c>
      <c r="LT576" s="1007">
        <v>0</v>
      </c>
      <c r="LU576" s="1008">
        <v>0</v>
      </c>
      <c r="LV576" s="1007">
        <v>0</v>
      </c>
      <c r="LW576" s="1008" t="s">
        <v>206</v>
      </c>
      <c r="LX576" s="1007">
        <v>-1.6959960000000001</v>
      </c>
      <c r="LY576" s="1009">
        <v>0</v>
      </c>
      <c r="LZ576" s="1010">
        <v>0</v>
      </c>
      <c r="MA576" s="1011" t="s">
        <v>206</v>
      </c>
      <c r="MB576" s="1012">
        <v>-2.184552</v>
      </c>
      <c r="MC576" s="995"/>
      <c r="MD576" s="996"/>
      <c r="ME576" s="997" t="s">
        <v>202</v>
      </c>
      <c r="MF576" s="997"/>
      <c r="MG576" s="998"/>
      <c r="NR576" s="1000"/>
      <c r="NS576" s="1000"/>
      <c r="NT576" s="1001"/>
      <c r="NU576" s="1000"/>
      <c r="NV576" s="1001"/>
      <c r="NX576" s="1002"/>
      <c r="NZ576" s="1001"/>
      <c r="OA576" s="1001"/>
      <c r="OC576" s="1003"/>
      <c r="OD576" s="1003"/>
      <c r="OE576" s="1001"/>
      <c r="OF576" s="1003"/>
      <c r="OG576" s="1003"/>
      <c r="QX576" s="1000">
        <f>CN576-CA576</f>
        <v>29</v>
      </c>
      <c r="ASU576" s="999" t="s">
        <v>225</v>
      </c>
    </row>
    <row r="577" spans="1:466 1191:1191" ht="21" customHeight="1" x14ac:dyDescent="0.25">
      <c r="A577" s="982">
        <f t="shared" si="441"/>
        <v>3322</v>
      </c>
      <c r="B577" s="124">
        <f>SUBTOTAL(103,$J$29:J577)</f>
        <v>549</v>
      </c>
      <c r="C577" s="126">
        <v>45068</v>
      </c>
      <c r="D577" s="124" t="s">
        <v>176</v>
      </c>
      <c r="E577" s="127" t="s">
        <v>177</v>
      </c>
      <c r="F577" s="128" t="s">
        <v>177</v>
      </c>
      <c r="G577" s="127" t="s">
        <v>178</v>
      </c>
      <c r="H577" s="127" t="s">
        <v>179</v>
      </c>
      <c r="I577" s="127" t="s">
        <v>1132</v>
      </c>
      <c r="J577" s="152">
        <v>3322</v>
      </c>
      <c r="K577" s="127" t="s">
        <v>1132</v>
      </c>
      <c r="L577" s="130">
        <v>42515</v>
      </c>
      <c r="M577" s="127" t="s">
        <v>230</v>
      </c>
      <c r="N577" s="127" t="s">
        <v>184</v>
      </c>
      <c r="O577" s="127" t="s">
        <v>185</v>
      </c>
      <c r="P577" s="127" t="s">
        <v>186</v>
      </c>
      <c r="Q577" s="85" t="str">
        <f t="shared" si="473"/>
        <v/>
      </c>
      <c r="R577" s="130"/>
      <c r="S577" s="128"/>
      <c r="T577" s="131"/>
      <c r="U577" s="132">
        <v>203</v>
      </c>
      <c r="V577" s="121">
        <v>218.2</v>
      </c>
      <c r="W577" s="116">
        <v>0.98</v>
      </c>
      <c r="X577" s="116">
        <v>1.66</v>
      </c>
      <c r="Y577" s="116">
        <f t="shared" si="463"/>
        <v>0.98</v>
      </c>
      <c r="Z577" s="133">
        <v>1.454</v>
      </c>
      <c r="AA577" s="133">
        <v>0.83599999999999997</v>
      </c>
      <c r="AB577" s="133">
        <v>0.72</v>
      </c>
      <c r="AC577" s="121">
        <v>34.299999999999997</v>
      </c>
      <c r="AD577" s="134">
        <v>1.17</v>
      </c>
      <c r="AE577" s="124">
        <v>177.8</v>
      </c>
      <c r="AF577" s="128">
        <v>9.19</v>
      </c>
      <c r="AG577" s="128">
        <v>2071.8000000000002</v>
      </c>
      <c r="AH577" s="127">
        <v>2700</v>
      </c>
      <c r="AI577" s="127">
        <v>2700</v>
      </c>
      <c r="AJ577" s="135"/>
      <c r="AK577" s="128"/>
      <c r="AL577" s="131"/>
      <c r="AM577" s="124" t="s">
        <v>985</v>
      </c>
      <c r="AN577" s="136" t="s">
        <v>1978</v>
      </c>
      <c r="AO577" s="137">
        <v>14.95</v>
      </c>
      <c r="AP577" s="128">
        <v>2130.1999999999998</v>
      </c>
      <c r="AQ577" s="128">
        <v>259.3</v>
      </c>
      <c r="AR577" s="128" t="s">
        <v>1979</v>
      </c>
      <c r="AS577" s="128">
        <v>114</v>
      </c>
      <c r="AT577" s="122">
        <v>7.37</v>
      </c>
      <c r="AU577" s="124" t="s">
        <v>189</v>
      </c>
      <c r="AV577" s="115">
        <f>VLOOKUP(J577,'[63]ТР нефть'!$J$28:$BP$638,39,0)</f>
        <v>410.00001591799997</v>
      </c>
      <c r="AW577" s="115" t="str">
        <f>VLOOKUP(J577,'[63]ТР нефть'!$J$28:$BP$638,40,0)</f>
        <v>ГП</v>
      </c>
      <c r="AX577" s="115">
        <f>VLOOKUP(J577,'[63]ТР нефть'!$J$28:$BP$638,41,0)</f>
        <v>809.99997246099997</v>
      </c>
      <c r="AY577" s="115" t="str">
        <f>VLOOKUP(J577,'[63]ТР нефть'!$J$28:$BP$638,42,0)</f>
        <v>ГП</v>
      </c>
      <c r="AZ577" s="115">
        <f>VLOOKUP(J577,'[63]ТР нефть'!$J$28:$BP$638,43,0)</f>
        <v>1130.000012109</v>
      </c>
      <c r="BA577" s="115" t="str">
        <f>VLOOKUP(J577,'[63]ТР нефть'!$J$28:$BP$638,44,0)</f>
        <v>ГК 77 1/8</v>
      </c>
      <c r="BB577" s="115">
        <f>VLOOKUP(J577,'[63]ТР нефть'!$J$28:$BP$638,45,0)</f>
        <v>1480.000006641</v>
      </c>
      <c r="BC577" s="115" t="str">
        <f>VLOOKUP(J577,'[63]ТР нефть'!$J$28:$BP$638,46,0)</f>
        <v>ГК  76 1/8</v>
      </c>
      <c r="BD577" s="115">
        <f>VLOOKUP(J577,'[63]ТР нефть'!$J$28:$BP$638,47,0)</f>
        <v>1740.0000621090001</v>
      </c>
      <c r="BE577" s="115" t="str">
        <f>VLOOKUP(J577,'[63]ТР нефть'!$J$28:$BP$638,48,0)</f>
        <v>ЦКсОК 5/16</v>
      </c>
      <c r="BF577" s="115" t="str">
        <f>VLOOKUP(J577,'[63]ТР нефть'!$J$28:$BP$638,49,0)</f>
        <v>-</v>
      </c>
      <c r="BG577" s="115" t="str">
        <f>VLOOKUP(J577,'[63]ТР нефть'!$J$28:$BP$638,50,0)</f>
        <v>-</v>
      </c>
      <c r="BH577" s="115" t="str">
        <f>VLOOKUP(J577,'[63]ТР нефть'!$J$28:$BP$638,51,0)</f>
        <v>-</v>
      </c>
      <c r="BI577" s="115" t="str">
        <f>VLOOKUP(J577,'[63]ТР нефть'!$J$28:$BP$638,52,0)</f>
        <v>-</v>
      </c>
      <c r="BJ577" s="115" t="str">
        <f>IF(IFERROR(VLOOKUP(J577,'[63]ТР нефть'!$J$28:$BP$638,53,0),"-")=0,"-",IFERROR(VLOOKUP(J577,'[63]ТР нефть'!$J$28:$BP$638,53,0),"-"))</f>
        <v>-</v>
      </c>
      <c r="BK577" s="138" t="str">
        <f>IF(IFERROR(VLOOKUP(J577,'[63]ТР нефть'!$J$28:$BP$638,54,0),"-")=0,"-",IFERROR(VLOOKUP(J577,'[63]ТР нефть'!$J$28:$BP$638,54,0),"-"))</f>
        <v>-</v>
      </c>
      <c r="BL577" s="138" t="str">
        <f>IF(IFERROR(VLOOKUP(J577,'[63]ТР нефть'!$J$28:$BP$638,55,0),"-")=0,"-",IFERROR(VLOOKUP(J577,'[63]ТР нефть'!$J$28:$BP$638,55,0),"-"))</f>
        <v>-</v>
      </c>
      <c r="BM577" s="138" t="str">
        <f>IF(IFERROR(VLOOKUP(J577,'[63]ТР нефть'!$J$28:$BP$638,56,0),"-")=0,"-",IFERROR(VLOOKUP(J577,'[63]ТР нефть'!$J$28:$BP$638,56,0),"-"))</f>
        <v>-</v>
      </c>
      <c r="BN577" s="138" t="str">
        <f>IF(IFERROR(VLOOKUP(J577,'[63]ТР нефть'!$J$28:$BP$638,57,0),"-")=0,"-",IFERROR(VLOOKUP(J577,'[63]ТР нефть'!$J$28:$BP$638,57,0),"-"))</f>
        <v>-</v>
      </c>
      <c r="BO577" s="115" t="str">
        <f>IF(IFERROR(VLOOKUP(J577,'[63]ТР нефть'!$J$28:$BP$638,58,0),"-")=0,"-",IFERROR(VLOOKUP(J577,'[63]ТР нефть'!$J$28:$BP$638,58,0),"-"))</f>
        <v>-</v>
      </c>
      <c r="BP577" s="115" t="str">
        <f>IF(IFERROR(VLOOKUP(J577,'[63]ТР нефть'!$J$28:$BP$638,59,0),"-")=0,"-",IFERROR(VLOOKUP(J577,'[63]ТР нефть'!$J$28:$BP$638,59,0),"-"))</f>
        <v>-</v>
      </c>
      <c r="BQ577" s="138">
        <v>2100</v>
      </c>
      <c r="BR577" s="128">
        <v>1875</v>
      </c>
      <c r="BS577" s="115">
        <f t="shared" si="479"/>
        <v>225</v>
      </c>
      <c r="BT577" s="128">
        <v>73</v>
      </c>
      <c r="BU577" s="128">
        <v>5.5</v>
      </c>
      <c r="BV577" s="127">
        <v>18</v>
      </c>
      <c r="BW577" s="127" t="s">
        <v>194</v>
      </c>
      <c r="BX577" s="127" t="s">
        <v>195</v>
      </c>
      <c r="BY577" s="139">
        <v>24</v>
      </c>
      <c r="BZ577" s="139">
        <v>0</v>
      </c>
      <c r="CA577" s="138">
        <v>27</v>
      </c>
      <c r="CB577" s="138">
        <v>38</v>
      </c>
      <c r="CC577" s="138">
        <v>26</v>
      </c>
      <c r="CD577" s="135">
        <v>45017</v>
      </c>
      <c r="CE577" s="138">
        <v>138</v>
      </c>
      <c r="CF577" s="138">
        <v>68</v>
      </c>
      <c r="CG577" s="138" t="str">
        <f t="shared" si="474"/>
        <v/>
      </c>
      <c r="CH577" s="138" t="s">
        <v>197</v>
      </c>
      <c r="CI577" s="127"/>
      <c r="CJ577" s="138"/>
      <c r="CK577" s="138">
        <f t="shared" si="488"/>
        <v>22</v>
      </c>
      <c r="CL577" s="99"/>
      <c r="CM577" s="99"/>
      <c r="CN577" s="140">
        <v>49</v>
      </c>
      <c r="CO577" s="141">
        <f t="shared" si="442"/>
        <v>2.9560960000000001</v>
      </c>
      <c r="CP577" s="142">
        <v>3.536</v>
      </c>
      <c r="CQ577" s="143">
        <v>0</v>
      </c>
      <c r="CR577" s="115">
        <v>9.5</v>
      </c>
      <c r="CS577" s="139">
        <v>6</v>
      </c>
      <c r="CT577" s="138"/>
      <c r="CU577" s="138">
        <f t="shared" si="475"/>
        <v>3.5</v>
      </c>
      <c r="CV577" s="115">
        <f t="shared" si="476"/>
        <v>1183.9940245513001</v>
      </c>
      <c r="CW577" s="115">
        <f t="shared" si="443"/>
        <v>2029.704042087943</v>
      </c>
      <c r="CX577" s="133">
        <f t="shared" si="477"/>
        <v>3.9730337078651687E-2</v>
      </c>
      <c r="CY577" s="116"/>
      <c r="CZ577" s="131"/>
      <c r="DA577" s="145" t="str">
        <f t="shared" si="478"/>
        <v>Газлифт</v>
      </c>
      <c r="DB577" s="146">
        <f t="shared" si="468"/>
        <v>2.9560960000000001</v>
      </c>
      <c r="DC577" s="142">
        <f t="shared" si="469"/>
        <v>3.536</v>
      </c>
      <c r="DD577" s="119">
        <f t="shared" si="470"/>
        <v>0</v>
      </c>
      <c r="DE577" s="115">
        <f t="shared" si="471"/>
        <v>3.5</v>
      </c>
      <c r="DF577" s="121">
        <f t="shared" si="472"/>
        <v>6</v>
      </c>
      <c r="DG577" s="115">
        <f t="shared" si="446"/>
        <v>1183.9940245513001</v>
      </c>
      <c r="DH577" s="115">
        <f t="shared" si="447"/>
        <v>49</v>
      </c>
      <c r="DI577" s="147"/>
      <c r="DJ577" s="111" t="s">
        <v>197</v>
      </c>
      <c r="DK577" s="112">
        <v>43957</v>
      </c>
      <c r="DL577" s="113">
        <f t="shared" ca="1" si="480"/>
        <v>1147</v>
      </c>
      <c r="DM577" s="114"/>
      <c r="DN577" s="114"/>
      <c r="DO577" s="114"/>
      <c r="DP577" s="114"/>
      <c r="DQ577" s="112">
        <v>42515</v>
      </c>
      <c r="DR577" s="114" t="s">
        <v>324</v>
      </c>
      <c r="DS577" s="114"/>
      <c r="DT577" s="115">
        <v>55</v>
      </c>
      <c r="DU577" s="116">
        <f t="shared" si="481"/>
        <v>4.2602409638554217E-2</v>
      </c>
      <c r="DV577" s="117">
        <f t="shared" si="484"/>
        <v>2.9560960000000001</v>
      </c>
      <c r="DW577" s="118">
        <f t="shared" si="485"/>
        <v>3.536</v>
      </c>
      <c r="DX577" s="119">
        <f t="shared" si="486"/>
        <v>0</v>
      </c>
      <c r="DY577" s="115">
        <f t="shared" si="487"/>
        <v>3.5</v>
      </c>
      <c r="DZ577" s="117">
        <f t="shared" si="482"/>
        <v>0</v>
      </c>
      <c r="EA577" s="120">
        <f t="shared" si="482"/>
        <v>0</v>
      </c>
      <c r="EB577" s="119">
        <f t="shared" si="482"/>
        <v>0</v>
      </c>
      <c r="EC577" s="121">
        <f t="shared" si="464"/>
        <v>0</v>
      </c>
      <c r="ED577" s="122"/>
      <c r="EE577" s="145">
        <v>18</v>
      </c>
      <c r="EF577" s="115">
        <v>28</v>
      </c>
      <c r="EG577" s="115">
        <v>42</v>
      </c>
      <c r="EH577" s="115">
        <v>27</v>
      </c>
      <c r="EI577" s="128" t="s">
        <v>195</v>
      </c>
      <c r="EJ577" s="121">
        <v>24</v>
      </c>
      <c r="EK577" s="121">
        <v>0</v>
      </c>
      <c r="EL577" s="149">
        <v>2.9560960000000001</v>
      </c>
      <c r="EM577" s="142">
        <v>3.536</v>
      </c>
      <c r="EN577" s="119">
        <v>0</v>
      </c>
      <c r="EO577" s="115">
        <v>9.5</v>
      </c>
      <c r="EP577" s="115">
        <v>169.14200350732858</v>
      </c>
      <c r="EQ577" s="115">
        <v>70</v>
      </c>
      <c r="ER577" s="115">
        <v>9</v>
      </c>
      <c r="ES577" s="115">
        <v>56</v>
      </c>
      <c r="ET577" s="150">
        <v>4.3121951219512199E-2</v>
      </c>
      <c r="EU577" s="145">
        <f t="shared" si="457"/>
        <v>18</v>
      </c>
      <c r="EV577" s="115">
        <f t="shared" si="448"/>
        <v>27</v>
      </c>
      <c r="EW577" s="115">
        <f t="shared" si="448"/>
        <v>38</v>
      </c>
      <c r="EX577" s="115">
        <f t="shared" si="448"/>
        <v>26</v>
      </c>
      <c r="EY577" s="115" t="str">
        <f t="shared" si="489"/>
        <v>Постоянный</v>
      </c>
      <c r="EZ577" s="115">
        <f t="shared" si="489"/>
        <v>24</v>
      </c>
      <c r="FA577" s="115">
        <f t="shared" si="489"/>
        <v>0</v>
      </c>
      <c r="FB577" s="149">
        <f t="shared" si="461"/>
        <v>2.9560960000000001</v>
      </c>
      <c r="FC577" s="142">
        <f t="shared" si="461"/>
        <v>3.536</v>
      </c>
      <c r="FD577" s="119">
        <f t="shared" si="461"/>
        <v>0</v>
      </c>
      <c r="FE577" s="121">
        <f t="shared" si="460"/>
        <v>9.5</v>
      </c>
      <c r="FF577" s="121">
        <f t="shared" si="462"/>
        <v>1183.9940245513001</v>
      </c>
      <c r="FG577" s="121">
        <f t="shared" si="449"/>
        <v>68</v>
      </c>
      <c r="FH577" s="121">
        <f t="shared" si="436"/>
        <v>6</v>
      </c>
      <c r="FI577" s="121">
        <f t="shared" si="483"/>
        <v>49</v>
      </c>
      <c r="FJ577" s="144">
        <f t="shared" si="450"/>
        <v>3.9730337078651687E-2</v>
      </c>
      <c r="FK577" s="132">
        <f t="shared" si="451"/>
        <v>0</v>
      </c>
      <c r="FL577" s="115">
        <f t="shared" si="451"/>
        <v>-1</v>
      </c>
      <c r="FM577" s="115">
        <f t="shared" si="451"/>
        <v>-4</v>
      </c>
      <c r="FN577" s="115">
        <f t="shared" si="451"/>
        <v>-1</v>
      </c>
      <c r="FO577" s="115">
        <f t="shared" si="439"/>
        <v>0</v>
      </c>
      <c r="FP577" s="115">
        <f t="shared" si="439"/>
        <v>0</v>
      </c>
      <c r="FQ577" s="149">
        <f t="shared" si="439"/>
        <v>0</v>
      </c>
      <c r="FR577" s="142">
        <f t="shared" si="439"/>
        <v>0</v>
      </c>
      <c r="FS577" s="119">
        <f t="shared" si="439"/>
        <v>0</v>
      </c>
      <c r="FT577" s="121">
        <f t="shared" si="438"/>
        <v>0</v>
      </c>
      <c r="FU577" s="121">
        <f t="shared" si="452"/>
        <v>-2</v>
      </c>
      <c r="FV577" s="121">
        <f t="shared" si="452"/>
        <v>-3</v>
      </c>
      <c r="FW577" s="121">
        <f t="shared" si="453"/>
        <v>1014.8520210439715</v>
      </c>
      <c r="FX577" s="121">
        <f t="shared" si="454"/>
        <v>-7</v>
      </c>
      <c r="FY577" s="144">
        <f t="shared" si="454"/>
        <v>-3.3916141408605119E-3</v>
      </c>
      <c r="FZ577" s="145"/>
      <c r="GA577" s="151"/>
      <c r="GB577" s="145" t="s">
        <v>199</v>
      </c>
      <c r="GC577" s="151" t="s">
        <v>415</v>
      </c>
      <c r="GD577" s="997" t="s">
        <v>202</v>
      </c>
      <c r="GE577" s="1004" t="s">
        <v>199</v>
      </c>
      <c r="GF577" s="1004">
        <v>-2.059904</v>
      </c>
      <c r="GG577" s="1004"/>
      <c r="GH577" s="1004">
        <v>0</v>
      </c>
      <c r="GI577" s="145"/>
      <c r="GJ577" s="996">
        <v>0</v>
      </c>
      <c r="GK577" s="145"/>
      <c r="GL577" s="996">
        <v>-0.83599999999999941</v>
      </c>
      <c r="GM577" s="1005"/>
      <c r="GN577" s="996">
        <v>0.66931831999999947</v>
      </c>
      <c r="GO577" s="1006"/>
      <c r="GP577" s="996">
        <v>0</v>
      </c>
      <c r="GQ577" s="1006" t="s">
        <v>240</v>
      </c>
      <c r="GR577" s="996">
        <v>-1.9218971199999997</v>
      </c>
      <c r="GS577" s="1006"/>
      <c r="GT577" s="996">
        <v>0</v>
      </c>
      <c r="GU577" s="1006"/>
      <c r="GV577" s="996">
        <v>0.10457879999999964</v>
      </c>
      <c r="GW577" s="1006"/>
      <c r="GX577" s="996">
        <v>0</v>
      </c>
      <c r="GY577" s="1006" t="s">
        <v>199</v>
      </c>
      <c r="GZ577" s="996">
        <v>-1.671665599999999</v>
      </c>
      <c r="HA577" s="1006"/>
      <c r="HB577" s="996">
        <v>0</v>
      </c>
      <c r="HC577" s="1006" t="s">
        <v>204</v>
      </c>
      <c r="HD577" s="996">
        <v>0</v>
      </c>
      <c r="HE577" s="1006"/>
      <c r="HF577" s="996">
        <v>0.31761646399999854</v>
      </c>
      <c r="HG577" s="1006" t="s">
        <v>223</v>
      </c>
      <c r="HH577" s="996">
        <v>-1.8044391199999996</v>
      </c>
      <c r="HI577" s="1006"/>
      <c r="HJ577" s="996">
        <v>0</v>
      </c>
      <c r="HK577" s="1006" t="s">
        <v>223</v>
      </c>
      <c r="HL577" s="996">
        <v>-2.3874187039999981</v>
      </c>
      <c r="HM577" s="1006"/>
      <c r="HN577" s="996">
        <v>-0.24593448000000073</v>
      </c>
      <c r="HO577" s="1006" t="s">
        <v>203</v>
      </c>
      <c r="HP577" s="996">
        <v>-17.150155439999999</v>
      </c>
      <c r="HQ577" s="1006" t="s">
        <v>25</v>
      </c>
      <c r="HR577" s="996">
        <v>27.014395319999995</v>
      </c>
      <c r="HS577" s="1006"/>
      <c r="HT577" s="996">
        <v>0</v>
      </c>
      <c r="HU577" s="1006"/>
      <c r="HV577" s="996">
        <v>0</v>
      </c>
      <c r="HW577" s="1006" t="s">
        <v>199</v>
      </c>
      <c r="HX577" s="996">
        <v>0</v>
      </c>
      <c r="HY577" s="1006" t="s">
        <v>199</v>
      </c>
      <c r="HZ577" s="996">
        <v>-4.7938413600000001</v>
      </c>
      <c r="IA577" s="1006"/>
      <c r="IB577" s="996">
        <v>-0.53305282800000064</v>
      </c>
      <c r="IC577" s="1006" t="s">
        <v>221</v>
      </c>
      <c r="ID577" s="996">
        <v>4.8480083080000007</v>
      </c>
      <c r="IE577" s="1006" t="s">
        <v>199</v>
      </c>
      <c r="IF577" s="996">
        <v>-2.7587999999999999</v>
      </c>
      <c r="IG577" s="1006"/>
      <c r="IH577" s="996">
        <v>0.91959999999999997</v>
      </c>
      <c r="II577" s="1006"/>
      <c r="IJ577" s="996">
        <v>-0.91592159999999989</v>
      </c>
      <c r="IK577" s="1006"/>
      <c r="IL577" s="996">
        <v>0</v>
      </c>
      <c r="IM577" s="1006" t="s">
        <v>199</v>
      </c>
      <c r="IN577" s="996">
        <v>4.1596015999999993</v>
      </c>
      <c r="IO577" s="1006" t="s">
        <v>199</v>
      </c>
      <c r="IP577" s="996">
        <v>-4.0044399999999998</v>
      </c>
      <c r="IQ577" s="1006"/>
      <c r="IR577" s="996">
        <v>0</v>
      </c>
      <c r="IS577" s="1006"/>
      <c r="IT577" s="996">
        <v>0</v>
      </c>
      <c r="IU577" s="1006"/>
      <c r="IV577" s="996">
        <v>-4.293695999999958E-2</v>
      </c>
      <c r="IW577" s="1006"/>
      <c r="IX577" s="996">
        <v>0</v>
      </c>
      <c r="IY577" s="1006"/>
      <c r="IZ577" s="996">
        <v>0</v>
      </c>
      <c r="JA577" s="1006"/>
      <c r="JB577" s="996">
        <v>0</v>
      </c>
      <c r="JC577" s="1006"/>
      <c r="JD577" s="996">
        <v>0</v>
      </c>
      <c r="JE577" s="1006" t="s">
        <v>199</v>
      </c>
      <c r="JF577" s="996">
        <v>-3.4275999999999995</v>
      </c>
      <c r="JG577" s="1006"/>
      <c r="JH577" s="996">
        <v>0</v>
      </c>
      <c r="JI577" s="1006"/>
      <c r="JJ577" s="996">
        <v>0</v>
      </c>
      <c r="JK577" s="1007"/>
      <c r="JL577" s="1007">
        <v>-0.5350400000000004</v>
      </c>
      <c r="JM577" s="1007"/>
      <c r="JN577" s="1007">
        <v>0</v>
      </c>
      <c r="JO577" s="1008"/>
      <c r="JP577" s="1007">
        <v>0</v>
      </c>
      <c r="JQ577" s="1008">
        <v>0</v>
      </c>
      <c r="JR577" s="1007">
        <v>-0.21736000000000022</v>
      </c>
      <c r="JS577" s="1008">
        <v>0</v>
      </c>
      <c r="JT577" s="1007">
        <v>0</v>
      </c>
      <c r="JU577" s="1008"/>
      <c r="JV577" s="1007">
        <v>0</v>
      </c>
      <c r="JW577" s="1008" t="s">
        <v>197</v>
      </c>
      <c r="JX577" s="1007">
        <v>0</v>
      </c>
      <c r="JY577" s="1008"/>
      <c r="JZ577" s="1007">
        <v>0</v>
      </c>
      <c r="KA577" s="1008"/>
      <c r="KB577" s="1007">
        <v>0</v>
      </c>
      <c r="KC577" s="1008"/>
      <c r="KD577" s="1007">
        <v>0</v>
      </c>
      <c r="KE577" s="1008" t="s">
        <v>204</v>
      </c>
      <c r="KF577" s="1007">
        <v>-1.6719999999999997</v>
      </c>
      <c r="KG577" s="1008"/>
      <c r="KH577" s="1007">
        <v>0</v>
      </c>
      <c r="KI577" s="1008" t="s">
        <v>206</v>
      </c>
      <c r="KJ577" s="1007">
        <v>-0.50159999999999982</v>
      </c>
      <c r="KK577" s="1008"/>
      <c r="KL577" s="1007">
        <v>1.8559199999999993</v>
      </c>
      <c r="KM577" s="1008"/>
      <c r="KN577" s="1007">
        <v>0</v>
      </c>
      <c r="KO577" s="1008" t="s">
        <v>206</v>
      </c>
      <c r="KP577" s="1007">
        <v>-1.1832744000000002</v>
      </c>
      <c r="KQ577" s="1008">
        <v>0</v>
      </c>
      <c r="KR577" s="1007">
        <v>0</v>
      </c>
      <c r="KS577" s="1008">
        <v>0</v>
      </c>
      <c r="KT577" s="1007">
        <v>0</v>
      </c>
      <c r="KU577" s="1008">
        <v>0</v>
      </c>
      <c r="KV577" s="1007">
        <v>0</v>
      </c>
      <c r="KW577" s="1008">
        <v>0</v>
      </c>
      <c r="KX577" s="1007">
        <v>0</v>
      </c>
      <c r="KY577" s="1008" t="s">
        <v>206</v>
      </c>
      <c r="KZ577" s="1007">
        <v>-1.6409007999999989</v>
      </c>
      <c r="LA577" s="1008">
        <v>0</v>
      </c>
      <c r="LB577" s="1007">
        <v>0</v>
      </c>
      <c r="LC577" s="1008">
        <v>0</v>
      </c>
      <c r="LD577" s="1007">
        <v>0</v>
      </c>
      <c r="LE577" s="1008">
        <v>0</v>
      </c>
      <c r="LF577" s="1007">
        <v>0</v>
      </c>
      <c r="LG577" s="1008">
        <v>0</v>
      </c>
      <c r="LH577" s="1007">
        <v>0</v>
      </c>
      <c r="LI577" s="1008">
        <v>0</v>
      </c>
      <c r="LJ577" s="1007">
        <v>0</v>
      </c>
      <c r="LK577" s="1008">
        <v>0</v>
      </c>
      <c r="LL577" s="1007">
        <v>0</v>
      </c>
      <c r="LM577" s="1008">
        <v>0</v>
      </c>
      <c r="LN577" s="1007">
        <v>0</v>
      </c>
      <c r="LO577" s="1008" t="s">
        <v>206</v>
      </c>
      <c r="LP577" s="1007">
        <v>1.6669839999999994</v>
      </c>
      <c r="LQ577" s="1008" t="s">
        <v>204</v>
      </c>
      <c r="LR577" s="1007">
        <v>-1.835396</v>
      </c>
      <c r="LS577" s="1008">
        <v>0</v>
      </c>
      <c r="LT577" s="1007">
        <v>0</v>
      </c>
      <c r="LU577" s="1008">
        <v>0</v>
      </c>
      <c r="LV577" s="1007">
        <v>0</v>
      </c>
      <c r="LW577" s="1008">
        <v>0</v>
      </c>
      <c r="LX577" s="1007">
        <v>0</v>
      </c>
      <c r="LY577" s="1009" t="s">
        <v>223</v>
      </c>
      <c r="LZ577" s="1010">
        <v>-1.1784840000000001</v>
      </c>
      <c r="MA577" s="1011" t="s">
        <v>206</v>
      </c>
      <c r="MB577" s="1012">
        <v>-4.7153999999999998</v>
      </c>
      <c r="MC577" s="995"/>
      <c r="MD577" s="996"/>
      <c r="ME577" s="997" t="s">
        <v>202</v>
      </c>
      <c r="MF577" s="997"/>
      <c r="MG577" s="998"/>
      <c r="NR577" s="1000"/>
      <c r="NS577" s="1000"/>
      <c r="NT577" s="1001"/>
      <c r="NU577" s="1000"/>
      <c r="NV577" s="1001"/>
      <c r="NX577" s="1002"/>
      <c r="NZ577" s="1001"/>
      <c r="OA577" s="1001"/>
      <c r="OC577" s="1003"/>
      <c r="OD577" s="1003"/>
      <c r="OE577" s="1001"/>
      <c r="OF577" s="1003"/>
      <c r="OG577" s="1003"/>
      <c r="QX577" s="1000">
        <f>CN577-CA577</f>
        <v>22</v>
      </c>
      <c r="ASU577" s="999" t="s">
        <v>225</v>
      </c>
    </row>
    <row r="578" spans="1:466 1191:1191" ht="21" customHeight="1" x14ac:dyDescent="0.25">
      <c r="A578" s="982">
        <f t="shared" si="441"/>
        <v>3323</v>
      </c>
      <c r="B578" s="124">
        <f>SUBTOTAL(103,$J$29:J578)</f>
        <v>550</v>
      </c>
      <c r="C578" s="126">
        <v>45068</v>
      </c>
      <c r="D578" s="124" t="s">
        <v>176</v>
      </c>
      <c r="E578" s="127" t="s">
        <v>177</v>
      </c>
      <c r="F578" s="128" t="s">
        <v>177</v>
      </c>
      <c r="G578" s="127" t="s">
        <v>178</v>
      </c>
      <c r="H578" s="127" t="s">
        <v>179</v>
      </c>
      <c r="I578" s="127" t="s">
        <v>1367</v>
      </c>
      <c r="J578" s="152">
        <v>3323</v>
      </c>
      <c r="K578" s="127" t="s">
        <v>1367</v>
      </c>
      <c r="L578" s="130">
        <v>44201</v>
      </c>
      <c r="M578" s="127" t="s">
        <v>230</v>
      </c>
      <c r="N578" s="127" t="s">
        <v>1368</v>
      </c>
      <c r="O578" s="127" t="s">
        <v>185</v>
      </c>
      <c r="P578" s="127" t="s">
        <v>292</v>
      </c>
      <c r="Q578" s="85" t="str">
        <f t="shared" si="473"/>
        <v/>
      </c>
      <c r="R578" s="130"/>
      <c r="S578" s="128"/>
      <c r="T578" s="131"/>
      <c r="U578" s="132">
        <v>203</v>
      </c>
      <c r="V578" s="121">
        <v>218.2</v>
      </c>
      <c r="W578" s="116">
        <v>0.98</v>
      </c>
      <c r="X578" s="116">
        <v>1.66</v>
      </c>
      <c r="Y578" s="116">
        <f t="shared" si="463"/>
        <v>0.98809523809523803</v>
      </c>
      <c r="Z578" s="133">
        <v>1.454</v>
      </c>
      <c r="AA578" s="133">
        <v>0.83599999999999997</v>
      </c>
      <c r="AB578" s="133">
        <v>0.72</v>
      </c>
      <c r="AC578" s="121">
        <v>34.299999999999997</v>
      </c>
      <c r="AD578" s="134">
        <v>1.17</v>
      </c>
      <c r="AE578" s="124">
        <v>177.8</v>
      </c>
      <c r="AF578" s="128">
        <v>9.19</v>
      </c>
      <c r="AG578" s="128">
        <v>2300</v>
      </c>
      <c r="AH578" s="127">
        <v>2868</v>
      </c>
      <c r="AI578" s="127">
        <v>2868</v>
      </c>
      <c r="AJ578" s="135"/>
      <c r="AK578" s="128"/>
      <c r="AL578" s="131"/>
      <c r="AM578" s="124" t="s">
        <v>985</v>
      </c>
      <c r="AN578" s="136" t="s">
        <v>1980</v>
      </c>
      <c r="AO578" s="137"/>
      <c r="AP578" s="128"/>
      <c r="AQ578" s="128"/>
      <c r="AR578" s="128"/>
      <c r="AS578" s="128"/>
      <c r="AT578" s="122"/>
      <c r="AU578" s="124" t="s">
        <v>189</v>
      </c>
      <c r="AV578" s="115">
        <f>VLOOKUP(J578,'[63]ТР нефть'!$J$28:$BP$638,39,0)</f>
        <v>476.00000595699998</v>
      </c>
      <c r="AW578" s="115" t="str">
        <f>VLOOKUP(J578,'[63]ТР нефть'!$J$28:$BP$638,40,0)</f>
        <v>ГП</v>
      </c>
      <c r="AX578" s="115">
        <f>VLOOKUP(J578,'[63]ТР нефть'!$J$28:$BP$638,41,0)</f>
        <v>886.99999804699996</v>
      </c>
      <c r="AY578" s="115" t="str">
        <f>VLOOKUP(J578,'[63]ТР нефть'!$J$28:$BP$638,42,0)</f>
        <v>ГП</v>
      </c>
      <c r="AZ578" s="115">
        <f>VLOOKUP(J578,'[63]ТР нефть'!$J$28:$BP$638,43,0)</f>
        <v>1234.9999658199999</v>
      </c>
      <c r="BA578" s="115" t="str">
        <f>VLOOKUP(J578,'[63]ТР нефть'!$J$28:$BP$638,44,0)</f>
        <v>ГК 75 1/8</v>
      </c>
      <c r="BB578" s="115">
        <f>VLOOKUP(J578,'[63]ТР нефть'!$J$28:$BP$638,45,0)</f>
        <v>1491.000042188</v>
      </c>
      <c r="BC578" s="115" t="str">
        <f>VLOOKUP(J578,'[63]ТР нефть'!$J$28:$BP$638,46,0)</f>
        <v>ГК 74 1/8</v>
      </c>
      <c r="BD578" s="115">
        <f>VLOOKUP(J578,'[63]ТР нефть'!$J$28:$BP$638,47,0)</f>
        <v>1699.9999734380001</v>
      </c>
      <c r="BE578" s="115" t="str">
        <f>VLOOKUP(J578,'[63]ТР нефть'!$J$28:$BP$638,48,0)</f>
        <v>ГК 73 1/8</v>
      </c>
      <c r="BF578" s="115">
        <f>VLOOKUP(J578,'[63]ТР нефть'!$J$28:$BP$638,49,0)</f>
        <v>1920</v>
      </c>
      <c r="BG578" s="115" t="str">
        <f>VLOOKUP(J578,'[63]ТР нефть'!$J$28:$BP$638,50,0)</f>
        <v>ЦКсОК 5/16</v>
      </c>
      <c r="BH578" s="115" t="str">
        <f>VLOOKUP(J578,'[63]ТР нефть'!$J$28:$BP$638,51,0)</f>
        <v>-</v>
      </c>
      <c r="BI578" s="115" t="str">
        <f>VLOOKUP(J578,'[63]ТР нефть'!$J$28:$BP$638,52,0)</f>
        <v>-</v>
      </c>
      <c r="BJ578" s="115" t="str">
        <f>IF(IFERROR(VLOOKUP(J578,'[63]ТР нефть'!$J$28:$BP$638,53,0),"-")=0,"-",IFERROR(VLOOKUP(J578,'[63]ТР нефть'!$J$28:$BP$638,53,0),"-"))</f>
        <v>-</v>
      </c>
      <c r="BK578" s="138" t="str">
        <f>IF(IFERROR(VLOOKUP(J578,'[63]ТР нефть'!$J$28:$BP$638,54,0),"-")=0,"-",IFERROR(VLOOKUP(J578,'[63]ТР нефть'!$J$28:$BP$638,54,0),"-"))</f>
        <v>-</v>
      </c>
      <c r="BL578" s="138" t="str">
        <f>IF(IFERROR(VLOOKUP(J578,'[63]ТР нефть'!$J$28:$BP$638,55,0),"-")=0,"-",IFERROR(VLOOKUP(J578,'[63]ТР нефть'!$J$28:$BP$638,55,0),"-"))</f>
        <v>-</v>
      </c>
      <c r="BM578" s="138" t="str">
        <f>IF(IFERROR(VLOOKUP(J578,'[63]ТР нефть'!$J$28:$BP$638,56,0),"-")=0,"-",IFERROR(VLOOKUP(J578,'[63]ТР нефть'!$J$28:$BP$638,56,0),"-"))</f>
        <v>-</v>
      </c>
      <c r="BN578" s="138" t="str">
        <f>IF(IFERROR(VLOOKUP(J578,'[63]ТР нефть'!$J$28:$BP$638,57,0),"-")=0,"-",IFERROR(VLOOKUP(J578,'[63]ТР нефть'!$J$28:$BP$638,57,0),"-"))</f>
        <v>-</v>
      </c>
      <c r="BO578" s="115" t="str">
        <f>IF(IFERROR(VLOOKUP(J578,'[63]ТР нефть'!$J$28:$BP$638,58,0),"-")=0,"-",IFERROR(VLOOKUP(J578,'[63]ТР нефть'!$J$28:$BP$638,58,0),"-"))</f>
        <v>-</v>
      </c>
      <c r="BP578" s="115" t="str">
        <f>IF(IFERROR(VLOOKUP(J578,'[63]ТР нефть'!$J$28:$BP$638,59,0),"-")=0,"-",IFERROR(VLOOKUP(J578,'[63]ТР нефть'!$J$28:$BP$638,59,0),"-"))</f>
        <v>-</v>
      </c>
      <c r="BQ578" s="138">
        <v>1940</v>
      </c>
      <c r="BR578" s="128"/>
      <c r="BS578" s="115" t="s">
        <v>197</v>
      </c>
      <c r="BT578" s="128"/>
      <c r="BU578" s="128"/>
      <c r="BV578" s="127">
        <v>18</v>
      </c>
      <c r="BW578" s="127" t="s">
        <v>217</v>
      </c>
      <c r="BX578" s="127" t="s">
        <v>195</v>
      </c>
      <c r="BY578" s="139">
        <v>24</v>
      </c>
      <c r="BZ578" s="139">
        <v>0</v>
      </c>
      <c r="CA578" s="138">
        <v>43</v>
      </c>
      <c r="CB578" s="138">
        <v>56</v>
      </c>
      <c r="CC578" s="138">
        <v>41</v>
      </c>
      <c r="CD578" s="135">
        <v>45017</v>
      </c>
      <c r="CE578" s="138">
        <v>99</v>
      </c>
      <c r="CF578" s="138">
        <v>64</v>
      </c>
      <c r="CG578" s="138" t="str">
        <f t="shared" si="474"/>
        <v>В работе</v>
      </c>
      <c r="CH578" s="138" t="s">
        <v>235</v>
      </c>
      <c r="CI578" s="127"/>
      <c r="CJ578" s="138"/>
      <c r="CK578" s="138">
        <f t="shared" si="488"/>
        <v>28</v>
      </c>
      <c r="CL578" s="99"/>
      <c r="CM578" s="99"/>
      <c r="CN578" s="140">
        <v>71</v>
      </c>
      <c r="CO578" s="141">
        <f t="shared" si="442"/>
        <v>8.1928000000000001</v>
      </c>
      <c r="CP578" s="142">
        <v>10</v>
      </c>
      <c r="CQ578" s="143">
        <v>2</v>
      </c>
      <c r="CR578" s="115">
        <v>37.700000000000003</v>
      </c>
      <c r="CS578" s="139">
        <v>7.2</v>
      </c>
      <c r="CT578" s="138"/>
      <c r="CU578" s="138">
        <f t="shared" si="475"/>
        <v>30.500000000000004</v>
      </c>
      <c r="CV578" s="115">
        <f t="shared" si="476"/>
        <v>3722.7809784200767</v>
      </c>
      <c r="CW578" s="115">
        <f t="shared" si="443"/>
        <v>854.66027254166488</v>
      </c>
      <c r="CX578" s="133">
        <f t="shared" si="477"/>
        <v>0.35714285714285715</v>
      </c>
      <c r="CY578" s="116"/>
      <c r="CZ578" s="131"/>
      <c r="DA578" s="145" t="str">
        <f t="shared" si="478"/>
        <v>Газлифт</v>
      </c>
      <c r="DB578" s="146">
        <f t="shared" si="468"/>
        <v>8.1928000000000001</v>
      </c>
      <c r="DC578" s="142">
        <f t="shared" si="469"/>
        <v>10</v>
      </c>
      <c r="DD578" s="119">
        <f t="shared" si="470"/>
        <v>2</v>
      </c>
      <c r="DE578" s="115">
        <f t="shared" si="471"/>
        <v>30.500000000000004</v>
      </c>
      <c r="DF578" s="121">
        <f t="shared" si="472"/>
        <v>7.2</v>
      </c>
      <c r="DG578" s="115">
        <f t="shared" si="446"/>
        <v>3722.7809784200767</v>
      </c>
      <c r="DH578" s="115">
        <f t="shared" si="447"/>
        <v>71</v>
      </c>
      <c r="DI578" s="147"/>
      <c r="DJ578" s="111"/>
      <c r="DK578" s="112">
        <v>44201</v>
      </c>
      <c r="DL578" s="113">
        <f t="shared" ca="1" si="480"/>
        <v>903</v>
      </c>
      <c r="DM578" s="114"/>
      <c r="DN578" s="114"/>
      <c r="DO578" s="114"/>
      <c r="DP578" s="114"/>
      <c r="DQ578" s="112"/>
      <c r="DR578" s="114"/>
      <c r="DS578" s="114"/>
      <c r="DT578" s="115">
        <v>60</v>
      </c>
      <c r="DU578" s="116">
        <f t="shared" si="481"/>
        <v>0.33697047496790755</v>
      </c>
      <c r="DV578" s="117">
        <f t="shared" si="484"/>
        <v>10.766853658536585</v>
      </c>
      <c r="DW578" s="118">
        <f t="shared" si="485"/>
        <v>13.141848523748395</v>
      </c>
      <c r="DX578" s="119">
        <f t="shared" si="486"/>
        <v>2</v>
      </c>
      <c r="DY578" s="115">
        <f t="shared" si="487"/>
        <v>40.082637997432613</v>
      </c>
      <c r="DZ578" s="117">
        <f t="shared" si="482"/>
        <v>2.5740536585365845</v>
      </c>
      <c r="EA578" s="120">
        <f t="shared" si="482"/>
        <v>3.1418485237483953</v>
      </c>
      <c r="EB578" s="119">
        <f t="shared" si="482"/>
        <v>0</v>
      </c>
      <c r="EC578" s="121">
        <f t="shared" si="464"/>
        <v>9.5826379974326095</v>
      </c>
      <c r="ED578" s="122"/>
      <c r="EE578" s="145">
        <v>18</v>
      </c>
      <c r="EF578" s="115">
        <v>43</v>
      </c>
      <c r="EG578" s="115">
        <v>56</v>
      </c>
      <c r="EH578" s="115">
        <v>41</v>
      </c>
      <c r="EI578" s="128" t="s">
        <v>195</v>
      </c>
      <c r="EJ578" s="121">
        <v>24</v>
      </c>
      <c r="EK578" s="121">
        <v>0</v>
      </c>
      <c r="EL578" s="149">
        <v>8.1928000000000001</v>
      </c>
      <c r="EM578" s="142">
        <v>10</v>
      </c>
      <c r="EN578" s="119">
        <v>2</v>
      </c>
      <c r="EO578" s="115">
        <v>37.700000000000003</v>
      </c>
      <c r="EP578" s="115">
        <v>3722.7809784200767</v>
      </c>
      <c r="EQ578" s="115">
        <v>64</v>
      </c>
      <c r="ER578" s="115">
        <v>7.2</v>
      </c>
      <c r="ES578" s="115">
        <v>71</v>
      </c>
      <c r="ET578" s="150">
        <v>0.35714285714285715</v>
      </c>
      <c r="EU578" s="145">
        <f t="shared" si="457"/>
        <v>18</v>
      </c>
      <c r="EV578" s="115">
        <f t="shared" si="448"/>
        <v>43</v>
      </c>
      <c r="EW578" s="115">
        <f t="shared" si="448"/>
        <v>56</v>
      </c>
      <c r="EX578" s="115">
        <f t="shared" si="448"/>
        <v>41</v>
      </c>
      <c r="EY578" s="115" t="str">
        <f t="shared" si="489"/>
        <v>Постоянный</v>
      </c>
      <c r="EZ578" s="115">
        <f t="shared" si="489"/>
        <v>24</v>
      </c>
      <c r="FA578" s="115">
        <f t="shared" si="489"/>
        <v>0</v>
      </c>
      <c r="FB578" s="149">
        <f t="shared" si="461"/>
        <v>8.1928000000000001</v>
      </c>
      <c r="FC578" s="142">
        <f t="shared" si="461"/>
        <v>10</v>
      </c>
      <c r="FD578" s="119">
        <f t="shared" si="461"/>
        <v>2</v>
      </c>
      <c r="FE578" s="121">
        <f t="shared" si="460"/>
        <v>37.700000000000003</v>
      </c>
      <c r="FF578" s="121">
        <f t="shared" si="462"/>
        <v>3722.7809784200767</v>
      </c>
      <c r="FG578" s="121">
        <f t="shared" si="449"/>
        <v>64</v>
      </c>
      <c r="FH578" s="121">
        <f t="shared" si="436"/>
        <v>7.2</v>
      </c>
      <c r="FI578" s="121">
        <f t="shared" si="483"/>
        <v>71</v>
      </c>
      <c r="FJ578" s="144">
        <f t="shared" si="450"/>
        <v>0.35714285714285715</v>
      </c>
      <c r="FK578" s="132">
        <f t="shared" si="451"/>
        <v>0</v>
      </c>
      <c r="FL578" s="115">
        <f t="shared" si="451"/>
        <v>0</v>
      </c>
      <c r="FM578" s="115">
        <f t="shared" si="451"/>
        <v>0</v>
      </c>
      <c r="FN578" s="115">
        <f t="shared" si="451"/>
        <v>0</v>
      </c>
      <c r="FO578" s="115">
        <f t="shared" si="439"/>
        <v>0</v>
      </c>
      <c r="FP578" s="115">
        <f t="shared" si="439"/>
        <v>0</v>
      </c>
      <c r="FQ578" s="149">
        <f t="shared" si="439"/>
        <v>0</v>
      </c>
      <c r="FR578" s="142">
        <f t="shared" si="439"/>
        <v>0</v>
      </c>
      <c r="FS578" s="119">
        <f t="shared" si="439"/>
        <v>0</v>
      </c>
      <c r="FT578" s="121">
        <f t="shared" si="438"/>
        <v>0</v>
      </c>
      <c r="FU578" s="121">
        <f t="shared" si="452"/>
        <v>0</v>
      </c>
      <c r="FV578" s="121">
        <f t="shared" si="452"/>
        <v>0</v>
      </c>
      <c r="FW578" s="121">
        <f t="shared" si="453"/>
        <v>0</v>
      </c>
      <c r="FX578" s="121">
        <f t="shared" si="454"/>
        <v>0</v>
      </c>
      <c r="FY578" s="144">
        <f t="shared" si="454"/>
        <v>0</v>
      </c>
      <c r="FZ578" s="145"/>
      <c r="GA578" s="151"/>
      <c r="GB578" s="145"/>
      <c r="GC578" s="151"/>
      <c r="GD578" s="997" t="s">
        <v>220</v>
      </c>
      <c r="GE578" s="1004"/>
      <c r="GF578" s="1004">
        <v>-0.91123999999999938</v>
      </c>
      <c r="GG578" s="1004"/>
      <c r="GH578" s="1004">
        <v>0</v>
      </c>
      <c r="GI578" s="145"/>
      <c r="GJ578" s="996">
        <v>0</v>
      </c>
      <c r="GK578" s="145" t="s">
        <v>199</v>
      </c>
      <c r="GL578" s="996">
        <v>2.0752566383999991</v>
      </c>
      <c r="GM578" s="1005"/>
      <c r="GN578" s="996">
        <v>0</v>
      </c>
      <c r="GO578" s="1006"/>
      <c r="GP578" s="996">
        <v>0</v>
      </c>
      <c r="GQ578" s="1006"/>
      <c r="GR578" s="996">
        <v>0</v>
      </c>
      <c r="GS578" s="1006"/>
      <c r="GT578" s="996">
        <v>-6.1566383999984708E-3</v>
      </c>
      <c r="GU578" s="1006"/>
      <c r="GV578" s="996">
        <v>-0.37620000000000076</v>
      </c>
      <c r="GW578" s="1006"/>
      <c r="GX578" s="996">
        <v>0</v>
      </c>
      <c r="GY578" s="1006" t="s">
        <v>199</v>
      </c>
      <c r="GZ578" s="996">
        <v>2.1025400000000003</v>
      </c>
      <c r="HA578" s="1006" t="s">
        <v>199</v>
      </c>
      <c r="HB578" s="996">
        <v>-3.2787919999999984</v>
      </c>
      <c r="HC578" s="1006"/>
      <c r="HD578" s="996">
        <v>-0.8613073920000005</v>
      </c>
      <c r="HE578" s="1006" t="s">
        <v>204</v>
      </c>
      <c r="HF578" s="996">
        <v>0</v>
      </c>
      <c r="HG578" s="1006" t="s">
        <v>199</v>
      </c>
      <c r="HH578" s="996">
        <v>-1.201940608000001</v>
      </c>
      <c r="HI578" s="1006"/>
      <c r="HJ578" s="996">
        <v>0.9692283039999996</v>
      </c>
      <c r="HK578" s="1006" t="s">
        <v>199</v>
      </c>
      <c r="HL578" s="996">
        <v>-1.9757723039999995</v>
      </c>
      <c r="HM578" s="1006"/>
      <c r="HN578" s="996">
        <v>0</v>
      </c>
      <c r="HO578" s="1006"/>
      <c r="HP578" s="996">
        <v>0</v>
      </c>
      <c r="HQ578" s="1006" t="s">
        <v>203</v>
      </c>
      <c r="HR578" s="996">
        <v>-3.8716230080000003</v>
      </c>
      <c r="HS578" s="1006" t="s">
        <v>643</v>
      </c>
      <c r="HT578" s="996">
        <v>0</v>
      </c>
      <c r="HU578" s="1006"/>
      <c r="HV578" s="996">
        <v>0</v>
      </c>
      <c r="HW578" s="1006" t="s">
        <v>435</v>
      </c>
      <c r="HX578" s="996">
        <v>-5.7888452160000003</v>
      </c>
      <c r="HY578" s="1006" t="s">
        <v>203</v>
      </c>
      <c r="HZ578" s="996">
        <v>-2.2386876159999964</v>
      </c>
      <c r="IA578" s="1006" t="s">
        <v>199</v>
      </c>
      <c r="IB578" s="996">
        <v>8.7591398399999978</v>
      </c>
      <c r="IC578" s="1006"/>
      <c r="ID578" s="996">
        <v>0</v>
      </c>
      <c r="IE578" s="1006" t="s">
        <v>199</v>
      </c>
      <c r="IF578" s="996">
        <v>-10.617199999999999</v>
      </c>
      <c r="IG578" s="1006"/>
      <c r="IH578" s="996">
        <v>1.4399999999998414E-2</v>
      </c>
      <c r="II578" s="1006" t="s">
        <v>25</v>
      </c>
      <c r="IJ578" s="996">
        <v>40.195548800000005</v>
      </c>
      <c r="IK578" s="1006"/>
      <c r="IL578" s="996"/>
      <c r="IM578" s="1006"/>
      <c r="IN578" s="996"/>
      <c r="IO578" s="1006"/>
      <c r="IP578" s="996"/>
      <c r="IQ578" s="1006"/>
      <c r="IR578" s="996"/>
      <c r="IS578" s="1006"/>
      <c r="IT578" s="996"/>
      <c r="IU578" s="1006"/>
      <c r="IV578" s="996"/>
      <c r="IW578" s="1006"/>
      <c r="IX578" s="996"/>
      <c r="IY578" s="1006"/>
      <c r="IZ578" s="996"/>
      <c r="JA578" s="1006"/>
      <c r="JB578" s="996"/>
      <c r="JC578" s="1006"/>
      <c r="JD578" s="996"/>
      <c r="JE578" s="1006"/>
      <c r="JF578" s="996"/>
      <c r="JG578" s="1006"/>
      <c r="JH578" s="996"/>
      <c r="JI578" s="1006"/>
      <c r="JJ578" s="996"/>
      <c r="JK578" s="1007"/>
      <c r="JL578" s="1007"/>
      <c r="JM578" s="1007"/>
      <c r="JN578" s="1007"/>
      <c r="JO578" s="1008"/>
      <c r="JP578" s="1007"/>
      <c r="JQ578" s="1008"/>
      <c r="JR578" s="1007"/>
      <c r="JS578" s="1008"/>
      <c r="JT578" s="1007"/>
      <c r="JU578" s="1008"/>
      <c r="JV578" s="1007"/>
      <c r="JW578" s="1008"/>
      <c r="JX578" s="1007"/>
      <c r="JY578" s="1008"/>
      <c r="JZ578" s="1007"/>
      <c r="KA578" s="1008"/>
      <c r="KB578" s="1007"/>
      <c r="KC578" s="1008"/>
      <c r="KD578" s="1007"/>
      <c r="KE578" s="1008"/>
      <c r="KF578" s="1007"/>
      <c r="KG578" s="1008"/>
      <c r="KH578" s="1007"/>
      <c r="KI578" s="1008"/>
      <c r="KJ578" s="1007"/>
      <c r="KK578" s="1008"/>
      <c r="KL578" s="1007"/>
      <c r="KM578" s="1008"/>
      <c r="KN578" s="1007"/>
      <c r="KO578" s="1008"/>
      <c r="KP578" s="1007"/>
      <c r="KQ578" s="1008"/>
      <c r="KR578" s="1007"/>
      <c r="KS578" s="1008"/>
      <c r="KT578" s="1007"/>
      <c r="KU578" s="1008"/>
      <c r="KV578" s="1007"/>
      <c r="KW578" s="1008"/>
      <c r="KX578" s="1007"/>
      <c r="KY578" s="1008"/>
      <c r="KZ578" s="1007"/>
      <c r="LA578" s="1008"/>
      <c r="LB578" s="1007"/>
      <c r="LC578" s="1008"/>
      <c r="LD578" s="1007"/>
      <c r="LE578" s="1008"/>
      <c r="LF578" s="1007"/>
      <c r="LG578" s="1008"/>
      <c r="LH578" s="1007"/>
      <c r="LI578" s="1008"/>
      <c r="LJ578" s="1007"/>
      <c r="LK578" s="1008"/>
      <c r="LL578" s="1007"/>
      <c r="LM578" s="1008"/>
      <c r="LN578" s="1007"/>
      <c r="LO578" s="1008"/>
      <c r="LP578" s="1007"/>
      <c r="LQ578" s="1008"/>
      <c r="LR578" s="1007"/>
      <c r="LS578" s="1008"/>
      <c r="LT578" s="1007"/>
      <c r="LU578" s="1008"/>
      <c r="LV578" s="1007"/>
      <c r="LW578" s="1008"/>
      <c r="LX578" s="1007"/>
      <c r="LY578" s="1009"/>
      <c r="LZ578" s="1010"/>
      <c r="MA578" s="1011"/>
      <c r="MB578" s="1012"/>
      <c r="MC578" s="995"/>
      <c r="MD578" s="996"/>
      <c r="ME578" s="997" t="s">
        <v>220</v>
      </c>
      <c r="MF578" s="997"/>
      <c r="MG578" s="998"/>
      <c r="NR578" s="1000"/>
      <c r="NS578" s="1000"/>
      <c r="NT578" s="1001"/>
      <c r="NU578" s="1000"/>
      <c r="NV578" s="1001"/>
      <c r="NX578" s="1002"/>
      <c r="NZ578" s="1001"/>
      <c r="OA578" s="1001"/>
      <c r="OC578" s="1003"/>
      <c r="OD578" s="1003"/>
      <c r="OE578" s="1001"/>
      <c r="OF578" s="1003"/>
      <c r="OG578" s="1003"/>
      <c r="QX578" s="1000">
        <f>CN578-CA578</f>
        <v>28</v>
      </c>
      <c r="ASU578" s="999" t="s">
        <v>208</v>
      </c>
    </row>
    <row r="579" spans="1:466 1191:1191" ht="21" customHeight="1" x14ac:dyDescent="0.25">
      <c r="A579" s="982">
        <f t="shared" si="441"/>
        <v>3324</v>
      </c>
      <c r="B579" s="124">
        <f>SUBTOTAL(103,$J$29:J579)</f>
        <v>551</v>
      </c>
      <c r="C579" s="126">
        <v>45068</v>
      </c>
      <c r="D579" s="124" t="s">
        <v>176</v>
      </c>
      <c r="E579" s="127" t="s">
        <v>177</v>
      </c>
      <c r="F579" s="128" t="s">
        <v>177</v>
      </c>
      <c r="G579" s="127" t="s">
        <v>178</v>
      </c>
      <c r="H579" s="127" t="s">
        <v>179</v>
      </c>
      <c r="I579" s="127" t="s">
        <v>1304</v>
      </c>
      <c r="J579" s="152">
        <v>3324</v>
      </c>
      <c r="K579" s="127" t="s">
        <v>1305</v>
      </c>
      <c r="L579" s="130">
        <v>43480</v>
      </c>
      <c r="M579" s="127" t="s">
        <v>230</v>
      </c>
      <c r="N579" s="127" t="s">
        <v>184</v>
      </c>
      <c r="O579" s="127" t="s">
        <v>185</v>
      </c>
      <c r="P579" s="127" t="s">
        <v>186</v>
      </c>
      <c r="Q579" s="85">
        <f t="shared" si="473"/>
        <v>-4</v>
      </c>
      <c r="R579" s="130">
        <v>43467</v>
      </c>
      <c r="S579" s="128" t="s">
        <v>1318</v>
      </c>
      <c r="T579" s="131" t="s">
        <v>1981</v>
      </c>
      <c r="U579" s="132">
        <v>203</v>
      </c>
      <c r="V579" s="121">
        <v>218.2</v>
      </c>
      <c r="W579" s="116">
        <v>0.98</v>
      </c>
      <c r="X579" s="116">
        <v>1.66</v>
      </c>
      <c r="Y579" s="116">
        <f t="shared" si="463"/>
        <v>1.0396216768916153</v>
      </c>
      <c r="Z579" s="133">
        <v>1.454</v>
      </c>
      <c r="AA579" s="133">
        <v>0.83599999999999997</v>
      </c>
      <c r="AB579" s="133">
        <v>0.72</v>
      </c>
      <c r="AC579" s="121">
        <v>34.299999999999997</v>
      </c>
      <c r="AD579" s="134">
        <v>1.17</v>
      </c>
      <c r="AE579" s="124">
        <v>177.8</v>
      </c>
      <c r="AF579" s="128">
        <v>9.19</v>
      </c>
      <c r="AG579" s="128">
        <v>2402.9699999999998</v>
      </c>
      <c r="AH579" s="127">
        <v>3070</v>
      </c>
      <c r="AI579" s="127">
        <v>3070</v>
      </c>
      <c r="AJ579" s="135"/>
      <c r="AK579" s="128"/>
      <c r="AL579" s="131"/>
      <c r="AM579" s="124" t="s">
        <v>985</v>
      </c>
      <c r="AN579" s="136" t="s">
        <v>1982</v>
      </c>
      <c r="AO579" s="137">
        <v>14.4</v>
      </c>
      <c r="AP579" s="128">
        <v>2549.6</v>
      </c>
      <c r="AQ579" s="128">
        <v>587.5</v>
      </c>
      <c r="AR579" s="128" t="s">
        <v>1983</v>
      </c>
      <c r="AS579" s="128">
        <v>114</v>
      </c>
      <c r="AT579" s="122">
        <v>7.37</v>
      </c>
      <c r="AU579" s="124" t="s">
        <v>189</v>
      </c>
      <c r="AV579" s="115">
        <f>VLOOKUP(J579,'[63]ТР нефть'!$J$28:$BP$638,39,0)</f>
        <v>396.99999081999999</v>
      </c>
      <c r="AW579" s="115" t="str">
        <f>VLOOKUP(J579,'[63]ТР нефть'!$J$28:$BP$638,40,0)</f>
        <v>ГП</v>
      </c>
      <c r="AX579" s="115">
        <f>VLOOKUP(J579,'[63]ТР нефть'!$J$28:$BP$638,41,0)</f>
        <v>783.00002050800003</v>
      </c>
      <c r="AY579" s="115" t="str">
        <f>VLOOKUP(J579,'[63]ТР нефть'!$J$28:$BP$638,42,0)</f>
        <v>ГП</v>
      </c>
      <c r="AZ579" s="115">
        <f>VLOOKUP(J579,'[63]ТР нефть'!$J$28:$BP$638,43,0)</f>
        <v>1143.9999761720001</v>
      </c>
      <c r="BA579" s="115" t="str">
        <f>VLOOKUP(J579,'[63]ТР нефть'!$J$28:$BP$638,44,0)</f>
        <v>ГК 74 1/8</v>
      </c>
      <c r="BB579" s="115">
        <f>VLOOKUP(J579,'[63]ТР нефть'!$J$28:$BP$638,45,0)</f>
        <v>1451.9999296880001</v>
      </c>
      <c r="BC579" s="115" t="str">
        <f>VLOOKUP(J579,'[63]ТР нефть'!$J$28:$BP$638,46,0)</f>
        <v>ГК 73 1/8</v>
      </c>
      <c r="BD579" s="115">
        <f>VLOOKUP(J579,'[63]ТР нефть'!$J$28:$BP$638,47,0)</f>
        <v>1721.0000683589999</v>
      </c>
      <c r="BE579" s="115" t="str">
        <f>VLOOKUP(J579,'[63]ТР нефть'!$J$28:$BP$638,48,0)</f>
        <v>ГК 67 1/8</v>
      </c>
      <c r="BF579" s="115">
        <f>VLOOKUP(J579,'[63]ТР нефть'!$J$28:$BP$638,49,0)</f>
        <v>1990</v>
      </c>
      <c r="BG579" s="115" t="str">
        <f>VLOOKUP(J579,'[63]ТР нефть'!$J$28:$BP$638,50,0)</f>
        <v>ЦКсОК 5/16</v>
      </c>
      <c r="BH579" s="115" t="str">
        <f>VLOOKUP(J579,'[63]ТР нефть'!$J$28:$BP$638,51,0)</f>
        <v>-</v>
      </c>
      <c r="BI579" s="115" t="str">
        <f>VLOOKUP(J579,'[63]ТР нефть'!$J$28:$BP$638,52,0)</f>
        <v>-</v>
      </c>
      <c r="BJ579" s="115" t="str">
        <f>IF(IFERROR(VLOOKUP(J579,'[63]ТР нефть'!$J$28:$BP$638,53,0),"-")=0,"-",IFERROR(VLOOKUP(J579,'[63]ТР нефть'!$J$28:$BP$638,53,0),"-"))</f>
        <v>-</v>
      </c>
      <c r="BK579" s="138" t="str">
        <f>IF(IFERROR(VLOOKUP(J579,'[63]ТР нефть'!$J$28:$BP$638,54,0),"-")=0,"-",IFERROR(VLOOKUP(J579,'[63]ТР нефть'!$J$28:$BP$638,54,0),"-"))</f>
        <v>-</v>
      </c>
      <c r="BL579" s="138" t="str">
        <f>IF(IFERROR(VLOOKUP(J579,'[63]ТР нефть'!$J$28:$BP$638,55,0),"-")=0,"-",IFERROR(VLOOKUP(J579,'[63]ТР нефть'!$J$28:$BP$638,55,0),"-"))</f>
        <v>-</v>
      </c>
      <c r="BM579" s="138" t="str">
        <f>IF(IFERROR(VLOOKUP(J579,'[63]ТР нефть'!$J$28:$BP$638,56,0),"-")=0,"-",IFERROR(VLOOKUP(J579,'[63]ТР нефть'!$J$28:$BP$638,56,0),"-"))</f>
        <v>-</v>
      </c>
      <c r="BN579" s="138" t="str">
        <f>IF(IFERROR(VLOOKUP(J579,'[63]ТР нефть'!$J$28:$BP$638,57,0),"-")=0,"-",IFERROR(VLOOKUP(J579,'[63]ТР нефть'!$J$28:$BP$638,57,0),"-"))</f>
        <v>-</v>
      </c>
      <c r="BO579" s="115" t="str">
        <f>IF(IFERROR(VLOOKUP(J579,'[63]ТР нефть'!$J$28:$BP$638,58,0),"-")=0,"-",IFERROR(VLOOKUP(J579,'[63]ТР нефть'!$J$28:$BP$638,58,0),"-"))</f>
        <v>-</v>
      </c>
      <c r="BP579" s="115" t="str">
        <f>IF(IFERROR(VLOOKUP(J579,'[63]ТР нефть'!$J$28:$BP$638,59,0),"-")=0,"-",IFERROR(VLOOKUP(J579,'[63]ТР нефть'!$J$28:$BP$638,59,0),"-"))</f>
        <v>-</v>
      </c>
      <c r="BQ579" s="138">
        <v>3070</v>
      </c>
      <c r="BR579" s="128">
        <v>1962</v>
      </c>
      <c r="BS579" s="115">
        <f t="shared" ref="BS579:BS585" si="490">BQ579-BR579</f>
        <v>1108</v>
      </c>
      <c r="BT579" s="128">
        <v>73</v>
      </c>
      <c r="BU579" s="128">
        <v>5.5</v>
      </c>
      <c r="BV579" s="127">
        <v>65</v>
      </c>
      <c r="BW579" s="127" t="s">
        <v>217</v>
      </c>
      <c r="BX579" s="127" t="s">
        <v>218</v>
      </c>
      <c r="BY579" s="139">
        <v>24</v>
      </c>
      <c r="BZ579" s="139">
        <v>24</v>
      </c>
      <c r="CA579" s="138">
        <v>13</v>
      </c>
      <c r="CB579" s="138">
        <v>38</v>
      </c>
      <c r="CC579" s="138">
        <v>12</v>
      </c>
      <c r="CD579" s="135">
        <v>45017</v>
      </c>
      <c r="CE579" s="138">
        <v>123</v>
      </c>
      <c r="CF579" s="138">
        <v>74</v>
      </c>
      <c r="CG579" s="138" t="str">
        <f t="shared" si="474"/>
        <v>В работе</v>
      </c>
      <c r="CH579" s="138" t="s">
        <v>235</v>
      </c>
      <c r="CI579" s="127">
        <v>5</v>
      </c>
      <c r="CJ579" s="138"/>
      <c r="CK579" s="138">
        <f t="shared" si="488"/>
        <v>32</v>
      </c>
      <c r="CL579" s="99"/>
      <c r="CM579" s="99"/>
      <c r="CN579" s="140">
        <v>45</v>
      </c>
      <c r="CO579" s="141">
        <f t="shared" si="442"/>
        <v>2.1568800000000001</v>
      </c>
      <c r="CP579" s="142">
        <v>3</v>
      </c>
      <c r="CQ579" s="143">
        <v>14</v>
      </c>
      <c r="CR579" s="138">
        <v>10</v>
      </c>
      <c r="CS579" s="139">
        <v>8</v>
      </c>
      <c r="CT579" s="138"/>
      <c r="CU579" s="138">
        <f t="shared" si="475"/>
        <v>2</v>
      </c>
      <c r="CV579" s="115">
        <f t="shared" si="476"/>
        <v>927.26530915025398</v>
      </c>
      <c r="CW579" s="115">
        <f t="shared" si="443"/>
        <v>3026.5885806812853</v>
      </c>
      <c r="CX579" s="133">
        <f t="shared" si="477"/>
        <v>3.8461538461538464E-2</v>
      </c>
      <c r="CY579" s="116"/>
      <c r="CZ579" s="131"/>
      <c r="DA579" s="145" t="str">
        <f t="shared" si="478"/>
        <v>Газлифт</v>
      </c>
      <c r="DB579" s="146">
        <f t="shared" si="468"/>
        <v>2.1568800000000001</v>
      </c>
      <c r="DC579" s="142">
        <f t="shared" si="469"/>
        <v>3</v>
      </c>
      <c r="DD579" s="119">
        <f t="shared" si="470"/>
        <v>14</v>
      </c>
      <c r="DE579" s="115">
        <f t="shared" si="471"/>
        <v>2</v>
      </c>
      <c r="DF579" s="121">
        <f t="shared" si="472"/>
        <v>8</v>
      </c>
      <c r="DG579" s="115">
        <f t="shared" si="446"/>
        <v>927.26530915025398</v>
      </c>
      <c r="DH579" s="115">
        <f t="shared" si="447"/>
        <v>45</v>
      </c>
      <c r="DI579" s="147"/>
      <c r="DJ579" s="111">
        <v>43533</v>
      </c>
      <c r="DK579" s="112">
        <v>43822</v>
      </c>
      <c r="DL579" s="113">
        <f t="shared" ca="1" si="480"/>
        <v>1282</v>
      </c>
      <c r="DM579" s="114"/>
      <c r="DN579" s="114"/>
      <c r="DO579" s="114"/>
      <c r="DP579" s="114"/>
      <c r="DQ579" s="112">
        <v>43480</v>
      </c>
      <c r="DR579" s="114" t="s">
        <v>324</v>
      </c>
      <c r="DS579" s="114"/>
      <c r="DT579" s="115">
        <v>60</v>
      </c>
      <c r="DU579" s="116">
        <f t="shared" si="481"/>
        <v>4.7619047619047616E-2</v>
      </c>
      <c r="DV579" s="117">
        <f t="shared" si="484"/>
        <v>2.1568800000000001</v>
      </c>
      <c r="DW579" s="118">
        <f t="shared" si="485"/>
        <v>3</v>
      </c>
      <c r="DX579" s="119">
        <f t="shared" si="486"/>
        <v>14</v>
      </c>
      <c r="DY579" s="115">
        <f t="shared" si="487"/>
        <v>2</v>
      </c>
      <c r="DZ579" s="117">
        <f t="shared" si="482"/>
        <v>0</v>
      </c>
      <c r="EA579" s="120">
        <f t="shared" si="482"/>
        <v>0</v>
      </c>
      <c r="EB579" s="119">
        <f t="shared" si="482"/>
        <v>0</v>
      </c>
      <c r="EC579" s="121">
        <f t="shared" si="464"/>
        <v>0</v>
      </c>
      <c r="ED579" s="122"/>
      <c r="EE579" s="145">
        <v>65</v>
      </c>
      <c r="EF579" s="115">
        <v>13</v>
      </c>
      <c r="EG579" s="115">
        <v>38</v>
      </c>
      <c r="EH579" s="115">
        <v>12</v>
      </c>
      <c r="EI579" s="128" t="s">
        <v>218</v>
      </c>
      <c r="EJ579" s="121">
        <v>24</v>
      </c>
      <c r="EK579" s="121">
        <v>24</v>
      </c>
      <c r="EL579" s="149">
        <v>2.1568800000000001</v>
      </c>
      <c r="EM579" s="142">
        <v>3</v>
      </c>
      <c r="EN579" s="119">
        <v>14</v>
      </c>
      <c r="EO579" s="115">
        <v>10</v>
      </c>
      <c r="EP579" s="115">
        <v>927.26530915025398</v>
      </c>
      <c r="EQ579" s="115">
        <v>74</v>
      </c>
      <c r="ER579" s="115">
        <v>8</v>
      </c>
      <c r="ES579" s="115">
        <v>45</v>
      </c>
      <c r="ET579" s="150">
        <v>3.8461538461538464E-2</v>
      </c>
      <c r="EU579" s="145">
        <f t="shared" si="457"/>
        <v>65</v>
      </c>
      <c r="EV579" s="115">
        <f t="shared" si="448"/>
        <v>13</v>
      </c>
      <c r="EW579" s="115">
        <f t="shared" si="448"/>
        <v>38</v>
      </c>
      <c r="EX579" s="115">
        <f t="shared" si="448"/>
        <v>12</v>
      </c>
      <c r="EY579" s="115" t="str">
        <f t="shared" si="489"/>
        <v>Периодический</v>
      </c>
      <c r="EZ579" s="115">
        <f t="shared" si="489"/>
        <v>24</v>
      </c>
      <c r="FA579" s="115">
        <f t="shared" si="489"/>
        <v>24</v>
      </c>
      <c r="FB579" s="149">
        <f t="shared" si="461"/>
        <v>2.1568800000000001</v>
      </c>
      <c r="FC579" s="142">
        <f t="shared" si="461"/>
        <v>3</v>
      </c>
      <c r="FD579" s="119">
        <f t="shared" si="461"/>
        <v>14</v>
      </c>
      <c r="FE579" s="121">
        <f t="shared" si="460"/>
        <v>10</v>
      </c>
      <c r="FF579" s="121">
        <f t="shared" si="462"/>
        <v>927.26530915025398</v>
      </c>
      <c r="FG579" s="121">
        <f t="shared" si="449"/>
        <v>74</v>
      </c>
      <c r="FH579" s="121">
        <f t="shared" si="436"/>
        <v>8</v>
      </c>
      <c r="FI579" s="121">
        <f t="shared" si="483"/>
        <v>45</v>
      </c>
      <c r="FJ579" s="144">
        <f t="shared" si="450"/>
        <v>3.8461538461538464E-2</v>
      </c>
      <c r="FK579" s="132">
        <f t="shared" si="451"/>
        <v>0</v>
      </c>
      <c r="FL579" s="115">
        <f t="shared" si="451"/>
        <v>0</v>
      </c>
      <c r="FM579" s="115">
        <f t="shared" si="451"/>
        <v>0</v>
      </c>
      <c r="FN579" s="115">
        <f t="shared" si="451"/>
        <v>0</v>
      </c>
      <c r="FO579" s="115">
        <f t="shared" si="439"/>
        <v>0</v>
      </c>
      <c r="FP579" s="115">
        <f t="shared" si="439"/>
        <v>0</v>
      </c>
      <c r="FQ579" s="149">
        <f t="shared" si="439"/>
        <v>0</v>
      </c>
      <c r="FR579" s="142">
        <f t="shared" si="439"/>
        <v>0</v>
      </c>
      <c r="FS579" s="119">
        <f t="shared" si="439"/>
        <v>0</v>
      </c>
      <c r="FT579" s="121">
        <f t="shared" si="438"/>
        <v>0</v>
      </c>
      <c r="FU579" s="121">
        <f t="shared" si="452"/>
        <v>0</v>
      </c>
      <c r="FV579" s="121">
        <f t="shared" si="452"/>
        <v>0</v>
      </c>
      <c r="FW579" s="121">
        <f t="shared" si="453"/>
        <v>0</v>
      </c>
      <c r="FX579" s="121">
        <f t="shared" si="454"/>
        <v>0</v>
      </c>
      <c r="FY579" s="144">
        <f t="shared" si="454"/>
        <v>0</v>
      </c>
      <c r="FZ579" s="145"/>
      <c r="GA579" s="151"/>
      <c r="GB579" s="145"/>
      <c r="GC579" s="151"/>
      <c r="GD579" s="997" t="s">
        <v>202</v>
      </c>
      <c r="GE579" s="1004"/>
      <c r="GF579" s="1004">
        <v>0</v>
      </c>
      <c r="GG579" s="1004"/>
      <c r="GH579" s="1004">
        <v>0</v>
      </c>
      <c r="GI579" s="145"/>
      <c r="GJ579" s="996">
        <v>0</v>
      </c>
      <c r="GK579" s="145"/>
      <c r="GL579" s="996">
        <v>0</v>
      </c>
      <c r="GM579" s="1005"/>
      <c r="GN579" s="996">
        <v>4.765200000000025E-3</v>
      </c>
      <c r="GO579" s="1006" t="s">
        <v>240</v>
      </c>
      <c r="GP579" s="996">
        <v>-1.4970251999999999</v>
      </c>
      <c r="GQ579" s="1006" t="s">
        <v>240</v>
      </c>
      <c r="GR579" s="996">
        <v>-2.0066758800000013</v>
      </c>
      <c r="GS579" s="1006"/>
      <c r="GT579" s="996">
        <v>0</v>
      </c>
      <c r="GU579" s="1006" t="s">
        <v>221</v>
      </c>
      <c r="GV579" s="996">
        <v>1.8102158800000017</v>
      </c>
      <c r="GW579" s="1006" t="s">
        <v>199</v>
      </c>
      <c r="GX579" s="996">
        <v>-3.9250199999999995</v>
      </c>
      <c r="GY579" s="1006" t="s">
        <v>199</v>
      </c>
      <c r="GZ579" s="996">
        <v>3.256219999999999</v>
      </c>
      <c r="HA579" s="1006" t="s">
        <v>199</v>
      </c>
      <c r="HB579" s="996">
        <v>1.3150280000000003</v>
      </c>
      <c r="HC579" s="1006" t="s">
        <v>223</v>
      </c>
      <c r="HD579" s="996">
        <v>-1.836274</v>
      </c>
      <c r="HE579" s="1006" t="s">
        <v>204</v>
      </c>
      <c r="HF579" s="996">
        <v>-1.4243684400000003</v>
      </c>
      <c r="HG579" s="1006"/>
      <c r="HH579" s="996">
        <v>0.88357926800000008</v>
      </c>
      <c r="HI579" s="1006"/>
      <c r="HJ579" s="996">
        <v>0</v>
      </c>
      <c r="HK579" s="1006" t="s">
        <v>276</v>
      </c>
      <c r="HL579" s="996">
        <v>2.3996351720000004</v>
      </c>
      <c r="HM579" s="1006"/>
      <c r="HN579" s="996">
        <v>0</v>
      </c>
      <c r="HO579" s="1006"/>
      <c r="HP579" s="996">
        <v>0</v>
      </c>
      <c r="HQ579" s="1006"/>
      <c r="HR579" s="996">
        <v>0</v>
      </c>
      <c r="HS579" s="1006"/>
      <c r="HT579" s="996">
        <v>0</v>
      </c>
      <c r="HU579" s="1006"/>
      <c r="HV579" s="996">
        <v>0</v>
      </c>
      <c r="HW579" s="1006"/>
      <c r="HX579" s="996">
        <v>0</v>
      </c>
      <c r="HY579" s="1006"/>
      <c r="HZ579" s="996">
        <v>0</v>
      </c>
      <c r="IA579" s="1006"/>
      <c r="IB579" s="996">
        <v>0</v>
      </c>
      <c r="IC579" s="1006"/>
      <c r="ID579" s="996">
        <v>0</v>
      </c>
      <c r="IE579" s="1006"/>
      <c r="IF579" s="996">
        <v>0</v>
      </c>
      <c r="IG579" s="1006"/>
      <c r="IH579" s="996">
        <v>0</v>
      </c>
      <c r="II579" s="1006"/>
      <c r="IJ579" s="996">
        <v>0</v>
      </c>
      <c r="IK579" s="1006"/>
      <c r="IL579" s="996">
        <v>0</v>
      </c>
      <c r="IM579" s="1006" t="s">
        <v>199</v>
      </c>
      <c r="IN579" s="996">
        <v>1.5047999999999997</v>
      </c>
      <c r="IO579" s="1006"/>
      <c r="IP579" s="996">
        <v>0</v>
      </c>
      <c r="IQ579" s="1006" t="s">
        <v>199</v>
      </c>
      <c r="IR579" s="996">
        <v>-1.6719999999999999</v>
      </c>
      <c r="IS579" s="1006"/>
      <c r="IT579" s="996">
        <v>0</v>
      </c>
      <c r="IU579" s="1006"/>
      <c r="IV579" s="996">
        <v>-9.9818399999999752E-2</v>
      </c>
      <c r="IW579" s="1006"/>
      <c r="IX579" s="996">
        <v>0</v>
      </c>
      <c r="IY579" s="1006"/>
      <c r="IZ579" s="996">
        <v>0</v>
      </c>
      <c r="JA579" s="1006"/>
      <c r="JB579" s="996">
        <v>0</v>
      </c>
      <c r="JC579" s="1006" t="s">
        <v>199</v>
      </c>
      <c r="JD579" s="996">
        <v>-6.7553815999999998</v>
      </c>
      <c r="JE579" s="1006"/>
      <c r="JF579" s="996">
        <v>0</v>
      </c>
      <c r="JG579" s="1006"/>
      <c r="JH579" s="996">
        <v>-0.9945056000000001</v>
      </c>
      <c r="JI579" s="1006"/>
      <c r="JJ579" s="996">
        <v>0</v>
      </c>
      <c r="JK579" s="1007"/>
      <c r="JL579" s="1007">
        <v>0</v>
      </c>
      <c r="JM579" s="1007"/>
      <c r="JN579" s="1007">
        <v>0</v>
      </c>
      <c r="JO579" s="1008"/>
      <c r="JP579" s="1007">
        <v>0</v>
      </c>
      <c r="JQ579" s="1008">
        <v>0</v>
      </c>
      <c r="JR579" s="1007">
        <v>0</v>
      </c>
      <c r="JS579" s="1008" t="s">
        <v>644</v>
      </c>
      <c r="JT579" s="1007">
        <v>-12.214294399999998</v>
      </c>
      <c r="JU579" s="1008"/>
      <c r="JV579" s="1007">
        <v>0</v>
      </c>
      <c r="JW579" s="1008" t="s">
        <v>197</v>
      </c>
      <c r="JX579" s="1007">
        <v>0</v>
      </c>
      <c r="JY579" s="1008" t="s">
        <v>199</v>
      </c>
      <c r="JZ579" s="1007">
        <v>-7.3567999999999998</v>
      </c>
      <c r="KA579" s="1008"/>
      <c r="KB579" s="1007">
        <v>0</v>
      </c>
      <c r="KC579" s="1008"/>
      <c r="KD579" s="1007">
        <v>0</v>
      </c>
      <c r="KE579" s="1008" t="s">
        <v>324</v>
      </c>
      <c r="KF579" s="1007">
        <v>30.764799999999997</v>
      </c>
      <c r="KG579" s="1008"/>
      <c r="KH579" s="1007"/>
      <c r="KI579" s="1008"/>
      <c r="KJ579" s="1007"/>
      <c r="KK579" s="1008"/>
      <c r="KL579" s="1007"/>
      <c r="KM579" s="1008"/>
      <c r="KN579" s="1007"/>
      <c r="KO579" s="1008"/>
      <c r="KP579" s="1007"/>
      <c r="KQ579" s="1008"/>
      <c r="KR579" s="1007"/>
      <c r="KS579" s="1008"/>
      <c r="KT579" s="1007"/>
      <c r="KU579" s="1008"/>
      <c r="KV579" s="1007"/>
      <c r="KW579" s="1008"/>
      <c r="KX579" s="1007"/>
      <c r="KY579" s="1008"/>
      <c r="KZ579" s="1007"/>
      <c r="LA579" s="1008"/>
      <c r="LB579" s="1007"/>
      <c r="LC579" s="1008"/>
      <c r="LD579" s="1007"/>
      <c r="LE579" s="1008"/>
      <c r="LF579" s="1007"/>
      <c r="LG579" s="1008"/>
      <c r="LH579" s="1007"/>
      <c r="LI579" s="1008"/>
      <c r="LJ579" s="1007"/>
      <c r="LK579" s="1008"/>
      <c r="LL579" s="1007"/>
      <c r="LM579" s="1008"/>
      <c r="LN579" s="1007"/>
      <c r="LO579" s="1008"/>
      <c r="LP579" s="1007"/>
      <c r="LQ579" s="1008"/>
      <c r="LR579" s="1007"/>
      <c r="LS579" s="1008"/>
      <c r="LT579" s="1007"/>
      <c r="LU579" s="1008"/>
      <c r="LV579" s="1007"/>
      <c r="LW579" s="1008"/>
      <c r="LX579" s="1007"/>
      <c r="LY579" s="1009"/>
      <c r="LZ579" s="1010"/>
      <c r="MA579" s="1011"/>
      <c r="MB579" s="1012"/>
      <c r="MC579" s="995"/>
      <c r="MD579" s="996"/>
      <c r="ME579" s="997" t="s">
        <v>202</v>
      </c>
      <c r="MF579" s="997"/>
      <c r="MG579" s="998"/>
      <c r="NR579" s="1000"/>
      <c r="NS579" s="1000"/>
      <c r="NT579" s="1001"/>
      <c r="NU579" s="1000"/>
      <c r="NV579" s="1001"/>
      <c r="NX579" s="1002"/>
      <c r="NZ579" s="1001"/>
      <c r="OA579" s="1001"/>
      <c r="OC579" s="1003"/>
      <c r="OD579" s="1003"/>
      <c r="OE579" s="1001"/>
      <c r="OF579" s="1003"/>
      <c r="OG579" s="1003"/>
      <c r="QX579" s="1000">
        <f>CN579-CA579</f>
        <v>32</v>
      </c>
      <c r="ASU579" s="999" t="s">
        <v>315</v>
      </c>
    </row>
    <row r="580" spans="1:466 1191:1191" ht="21" customHeight="1" x14ac:dyDescent="0.25">
      <c r="A580" s="982">
        <f t="shared" si="441"/>
        <v>3325</v>
      </c>
      <c r="B580" s="124">
        <f>SUBTOTAL(103,$J$29:J580)</f>
        <v>552</v>
      </c>
      <c r="C580" s="126">
        <v>45068</v>
      </c>
      <c r="D580" s="124" t="s">
        <v>176</v>
      </c>
      <c r="E580" s="127" t="s">
        <v>177</v>
      </c>
      <c r="F580" s="128" t="s">
        <v>177</v>
      </c>
      <c r="G580" s="127" t="s">
        <v>178</v>
      </c>
      <c r="H580" s="127" t="s">
        <v>179</v>
      </c>
      <c r="I580" s="127" t="s">
        <v>1293</v>
      </c>
      <c r="J580" s="152">
        <v>3325</v>
      </c>
      <c r="K580" s="127" t="s">
        <v>1293</v>
      </c>
      <c r="L580" s="130">
        <v>43291</v>
      </c>
      <c r="M580" s="127" t="s">
        <v>230</v>
      </c>
      <c r="N580" s="127" t="s">
        <v>184</v>
      </c>
      <c r="O580" s="127" t="s">
        <v>185</v>
      </c>
      <c r="P580" s="127" t="s">
        <v>186</v>
      </c>
      <c r="Q580" s="85">
        <f t="shared" si="473"/>
        <v>-4</v>
      </c>
      <c r="R580" s="130">
        <v>43233</v>
      </c>
      <c r="S580" s="128" t="s">
        <v>747</v>
      </c>
      <c r="T580" s="131" t="s">
        <v>1984</v>
      </c>
      <c r="U580" s="132">
        <v>203</v>
      </c>
      <c r="V580" s="121">
        <v>218.2</v>
      </c>
      <c r="W580" s="116">
        <v>0.98</v>
      </c>
      <c r="X580" s="116">
        <v>1.66</v>
      </c>
      <c r="Y580" s="116">
        <f t="shared" si="463"/>
        <v>1.0046936758893281</v>
      </c>
      <c r="Z580" s="133">
        <v>1.454</v>
      </c>
      <c r="AA580" s="133">
        <v>0.83599999999999997</v>
      </c>
      <c r="AB580" s="133">
        <v>0.72</v>
      </c>
      <c r="AC580" s="121">
        <v>34.299999999999997</v>
      </c>
      <c r="AD580" s="134">
        <v>1.17</v>
      </c>
      <c r="AE580" s="124">
        <v>177.8</v>
      </c>
      <c r="AF580" s="128">
        <v>9.19</v>
      </c>
      <c r="AG580" s="128">
        <v>2213.09</v>
      </c>
      <c r="AH580" s="138">
        <v>3374.29</v>
      </c>
      <c r="AI580" s="138">
        <v>3374.29</v>
      </c>
      <c r="AJ580" s="135">
        <v>43098</v>
      </c>
      <c r="AK580" s="128" t="s">
        <v>1018</v>
      </c>
      <c r="AL580" s="131"/>
      <c r="AM580" s="124" t="s">
        <v>187</v>
      </c>
      <c r="AN580" s="136" t="s">
        <v>1985</v>
      </c>
      <c r="AO580" s="137">
        <v>12</v>
      </c>
      <c r="AP580" s="128">
        <v>2361.19</v>
      </c>
      <c r="AQ580" s="128">
        <v>434.89</v>
      </c>
      <c r="AR580" s="128" t="s">
        <v>1986</v>
      </c>
      <c r="AS580" s="128">
        <v>114</v>
      </c>
      <c r="AT580" s="122">
        <v>7.37</v>
      </c>
      <c r="AU580" s="124" t="s">
        <v>189</v>
      </c>
      <c r="AV580" s="115">
        <f>VLOOKUP(J580,'[63]ТР нефть'!$J$28:$BP$638,39,0)</f>
        <v>440.00000800800001</v>
      </c>
      <c r="AW580" s="115" t="str">
        <f>VLOOKUP(J580,'[63]ТР нефть'!$J$28:$BP$638,40,0)</f>
        <v>ГП</v>
      </c>
      <c r="AX580" s="115">
        <f>VLOOKUP(J580,'[63]ТР нефть'!$J$28:$BP$638,41,0)</f>
        <v>809.99997246099997</v>
      </c>
      <c r="AY580" s="115" t="str">
        <f>VLOOKUP(J580,'[63]ТР нефть'!$J$28:$BP$638,42,0)</f>
        <v>ГП</v>
      </c>
      <c r="AZ580" s="115">
        <f>VLOOKUP(J580,'[63]ТР нефть'!$J$28:$BP$638,43,0)</f>
        <v>1199.99998125</v>
      </c>
      <c r="BA580" s="115" t="str">
        <f>VLOOKUP(J580,'[63]ТР нефть'!$J$28:$BP$638,44,0)</f>
        <v>ГП</v>
      </c>
      <c r="BB580" s="115">
        <f>VLOOKUP(J580,'[63]ТР нефть'!$J$28:$BP$638,45,0)</f>
        <v>1510.0000359380001</v>
      </c>
      <c r="BC580" s="115" t="str">
        <f>VLOOKUP(J580,'[63]ТР нефть'!$J$28:$BP$638,46,0)</f>
        <v>ГК 95 5/32</v>
      </c>
      <c r="BD580" s="115">
        <f>VLOOKUP(J580,'[63]ТР нефть'!$J$28:$BP$638,47,0)</f>
        <v>1769.9999425779999</v>
      </c>
      <c r="BE580" s="115" t="str">
        <f>VLOOKUP(J580,'[63]ТР нефть'!$J$28:$BP$638,48,0)</f>
        <v>ГК 77 3/16</v>
      </c>
      <c r="BF580" s="115">
        <f>VLOOKUP(J580,'[63]ТР нефть'!$J$28:$BP$638,49,0)</f>
        <v>2030</v>
      </c>
      <c r="BG580" s="115" t="str">
        <f>VLOOKUP(J580,'[63]ТР нефть'!$J$28:$BP$638,50,0)</f>
        <v>ЦКсОК 5/16</v>
      </c>
      <c r="BH580" s="115">
        <f>VLOOKUP(J580,'[63]ТР нефть'!$J$28:$BP$638,51,0)</f>
        <v>2040</v>
      </c>
      <c r="BI580" s="115" t="str">
        <f>VLOOKUP(J580,'[63]ТР нефть'!$J$28:$BP$638,52,0)</f>
        <v>закрыт</v>
      </c>
      <c r="BJ580" s="115" t="str">
        <f>IF(IFERROR(VLOOKUP(J580,'[63]ТР нефть'!$J$28:$BP$638,53,0),"-")=0,"-",IFERROR(VLOOKUP(J580,'[63]ТР нефть'!$J$28:$BP$638,53,0),"-"))</f>
        <v>-</v>
      </c>
      <c r="BK580" s="138" t="str">
        <f>IF(IFERROR(VLOOKUP(J580,'[63]ТР нефть'!$J$28:$BP$638,54,0),"-")=0,"-",IFERROR(VLOOKUP(J580,'[63]ТР нефть'!$J$28:$BP$638,54,0),"-"))</f>
        <v>-</v>
      </c>
      <c r="BL580" s="138" t="str">
        <f>IF(IFERROR(VLOOKUP(J580,'[63]ТР нефть'!$J$28:$BP$638,55,0),"-")=0,"-",IFERROR(VLOOKUP(J580,'[63]ТР нефть'!$J$28:$BP$638,55,0),"-"))</f>
        <v>-</v>
      </c>
      <c r="BM580" s="138" t="str">
        <f>IF(IFERROR(VLOOKUP(J580,'[63]ТР нефть'!$J$28:$BP$638,56,0),"-")=0,"-",IFERROR(VLOOKUP(J580,'[63]ТР нефть'!$J$28:$BP$638,56,0),"-"))</f>
        <v>-</v>
      </c>
      <c r="BN580" s="138" t="str">
        <f>IF(IFERROR(VLOOKUP(J580,'[63]ТР нефть'!$J$28:$BP$638,57,0),"-")=0,"-",IFERROR(VLOOKUP(J580,'[63]ТР нефть'!$J$28:$BP$638,57,0),"-"))</f>
        <v>-</v>
      </c>
      <c r="BO580" s="115" t="str">
        <f>IF(IFERROR(VLOOKUP(J580,'[63]ТР нефть'!$J$28:$BP$638,58,0),"-")=0,"-",IFERROR(VLOOKUP(J580,'[63]ТР нефть'!$J$28:$BP$638,58,0),"-"))</f>
        <v>-</v>
      </c>
      <c r="BP580" s="115" t="str">
        <f>IF(IFERROR(VLOOKUP(J580,'[63]ТР нефть'!$J$28:$BP$638,59,0),"-")=0,"-",IFERROR(VLOOKUP(J580,'[63]ТР нефть'!$J$28:$BP$638,59,0),"-"))</f>
        <v>-</v>
      </c>
      <c r="BQ580" s="138">
        <v>2072</v>
      </c>
      <c r="BR580" s="128">
        <v>1708.05</v>
      </c>
      <c r="BS580" s="115">
        <f t="shared" si="490"/>
        <v>363.95000000000005</v>
      </c>
      <c r="BT580" s="128">
        <v>73</v>
      </c>
      <c r="BU580" s="128">
        <v>5.5</v>
      </c>
      <c r="BV580" s="127">
        <v>65</v>
      </c>
      <c r="BW580" s="127" t="s">
        <v>217</v>
      </c>
      <c r="BX580" s="127" t="s">
        <v>195</v>
      </c>
      <c r="BY580" s="139">
        <v>24</v>
      </c>
      <c r="BZ580" s="139">
        <v>0</v>
      </c>
      <c r="CA580" s="138">
        <v>25</v>
      </c>
      <c r="CB580" s="138">
        <v>66</v>
      </c>
      <c r="CC580" s="138">
        <v>24</v>
      </c>
      <c r="CD580" s="135">
        <v>45017</v>
      </c>
      <c r="CE580" s="138">
        <v>155</v>
      </c>
      <c r="CF580" s="138">
        <v>70</v>
      </c>
      <c r="CG580" s="138" t="str">
        <f t="shared" si="474"/>
        <v>В работе</v>
      </c>
      <c r="CH580" s="138" t="s">
        <v>196</v>
      </c>
      <c r="CI580" s="127"/>
      <c r="CJ580" s="138"/>
      <c r="CK580" s="138">
        <f t="shared" si="488"/>
        <v>68</v>
      </c>
      <c r="CL580" s="99"/>
      <c r="CM580" s="99"/>
      <c r="CN580" s="140">
        <v>93</v>
      </c>
      <c r="CO580" s="141">
        <f t="shared" si="442"/>
        <v>3.9291999999999994</v>
      </c>
      <c r="CP580" s="142">
        <v>5</v>
      </c>
      <c r="CQ580" s="143">
        <v>6</v>
      </c>
      <c r="CR580" s="138">
        <v>8.1999999999999993</v>
      </c>
      <c r="CS580" s="139">
        <v>6</v>
      </c>
      <c r="CT580" s="138"/>
      <c r="CU580" s="138">
        <f t="shared" si="475"/>
        <v>2.1999999999999993</v>
      </c>
      <c r="CV580" s="115">
        <f t="shared" si="476"/>
        <v>559.91041433370651</v>
      </c>
      <c r="CW580" s="115">
        <f t="shared" si="443"/>
        <v>1402.9836786232054</v>
      </c>
      <c r="CX580" s="133">
        <f t="shared" si="477"/>
        <v>8.0645161290322578E-2</v>
      </c>
      <c r="CY580" s="116"/>
      <c r="CZ580" s="131"/>
      <c r="DA580" s="145" t="str">
        <f t="shared" si="478"/>
        <v>Газлифт</v>
      </c>
      <c r="DB580" s="146">
        <f t="shared" si="468"/>
        <v>6.1719873600000001</v>
      </c>
      <c r="DC580" s="142">
        <f t="shared" si="469"/>
        <v>9.4</v>
      </c>
      <c r="DD580" s="119">
        <f t="shared" si="470"/>
        <v>21.46</v>
      </c>
      <c r="DE580" s="115">
        <f t="shared" si="471"/>
        <v>2.1999999999999993</v>
      </c>
      <c r="DF580" s="121">
        <f t="shared" si="472"/>
        <v>6</v>
      </c>
      <c r="DG580" s="115">
        <f t="shared" si="446"/>
        <v>559.91041433370651</v>
      </c>
      <c r="DH580" s="115">
        <f t="shared" si="447"/>
        <v>93</v>
      </c>
      <c r="DI580" s="147"/>
      <c r="DJ580" s="111" t="s">
        <v>197</v>
      </c>
      <c r="DK580" s="112">
        <v>43291</v>
      </c>
      <c r="DL580" s="113">
        <f t="shared" ca="1" si="480"/>
        <v>1813</v>
      </c>
      <c r="DM580" s="114"/>
      <c r="DN580" s="114"/>
      <c r="DO580" s="114"/>
      <c r="DP580" s="114"/>
      <c r="DQ580" s="112">
        <v>43291</v>
      </c>
      <c r="DR580" s="114" t="s">
        <v>324</v>
      </c>
      <c r="DS580" s="114"/>
      <c r="DT580" s="115">
        <v>60</v>
      </c>
      <c r="DU580" s="116">
        <f t="shared" si="481"/>
        <v>7.1364288325786757E-2</v>
      </c>
      <c r="DV580" s="117">
        <f t="shared" si="484"/>
        <v>5.3276866721039449</v>
      </c>
      <c r="DW580" s="118">
        <f t="shared" si="485"/>
        <v>6.7796073909497423</v>
      </c>
      <c r="DX580" s="119">
        <f t="shared" si="486"/>
        <v>6</v>
      </c>
      <c r="DY580" s="115">
        <f t="shared" si="487"/>
        <v>2.983027252017886</v>
      </c>
      <c r="DZ580" s="117">
        <f t="shared" si="482"/>
        <v>1.3984866721039455</v>
      </c>
      <c r="EA580" s="120">
        <f t="shared" si="482"/>
        <v>1.7796073909497423</v>
      </c>
      <c r="EB580" s="119">
        <f t="shared" si="482"/>
        <v>0</v>
      </c>
      <c r="EC580" s="121">
        <f t="shared" si="464"/>
        <v>0.7830272520178867</v>
      </c>
      <c r="ED580" s="122"/>
      <c r="EE580" s="145">
        <v>65</v>
      </c>
      <c r="EF580" s="115">
        <v>27</v>
      </c>
      <c r="EG580" s="115">
        <v>68</v>
      </c>
      <c r="EH580" s="115">
        <v>26</v>
      </c>
      <c r="EI580" s="128" t="s">
        <v>195</v>
      </c>
      <c r="EJ580" s="121">
        <v>24</v>
      </c>
      <c r="EK580" s="121">
        <v>0</v>
      </c>
      <c r="EL580" s="149">
        <v>6.1719873600000001</v>
      </c>
      <c r="EM580" s="142">
        <v>9.4</v>
      </c>
      <c r="EN580" s="119">
        <v>21.46</v>
      </c>
      <c r="EO580" s="115">
        <v>11.7</v>
      </c>
      <c r="EP580" s="115">
        <v>729.100650653309</v>
      </c>
      <c r="EQ580" s="115">
        <v>69</v>
      </c>
      <c r="ER580" s="115">
        <v>7.2</v>
      </c>
      <c r="ES580" s="115">
        <v>74</v>
      </c>
      <c r="ET580" s="150">
        <v>0.26857142857142857</v>
      </c>
      <c r="EU580" s="145">
        <f t="shared" si="457"/>
        <v>65</v>
      </c>
      <c r="EV580" s="115">
        <f t="shared" si="448"/>
        <v>25</v>
      </c>
      <c r="EW580" s="115">
        <f t="shared" si="448"/>
        <v>66</v>
      </c>
      <c r="EX580" s="115">
        <f t="shared" si="448"/>
        <v>24</v>
      </c>
      <c r="EY580" s="115" t="str">
        <f t="shared" si="489"/>
        <v>Постоянный</v>
      </c>
      <c r="EZ580" s="115">
        <f t="shared" si="489"/>
        <v>24</v>
      </c>
      <c r="FA580" s="115">
        <f t="shared" si="489"/>
        <v>0</v>
      </c>
      <c r="FB580" s="149">
        <f t="shared" si="461"/>
        <v>3.9291999999999994</v>
      </c>
      <c r="FC580" s="142">
        <f t="shared" si="461"/>
        <v>5</v>
      </c>
      <c r="FD580" s="119">
        <f t="shared" si="461"/>
        <v>6</v>
      </c>
      <c r="FE580" s="121">
        <f t="shared" si="460"/>
        <v>8.1999999999999993</v>
      </c>
      <c r="FF580" s="121">
        <f t="shared" si="462"/>
        <v>559.91041433370651</v>
      </c>
      <c r="FG580" s="121">
        <f t="shared" si="449"/>
        <v>70</v>
      </c>
      <c r="FH580" s="121">
        <f t="shared" si="436"/>
        <v>6</v>
      </c>
      <c r="FI580" s="121">
        <f t="shared" si="483"/>
        <v>93</v>
      </c>
      <c r="FJ580" s="144">
        <f t="shared" si="450"/>
        <v>8.0645161290322578E-2</v>
      </c>
      <c r="FK580" s="132">
        <f t="shared" si="451"/>
        <v>0</v>
      </c>
      <c r="FL580" s="115">
        <f t="shared" si="451"/>
        <v>-2</v>
      </c>
      <c r="FM580" s="115">
        <f t="shared" si="451"/>
        <v>-2</v>
      </c>
      <c r="FN580" s="115">
        <f t="shared" si="451"/>
        <v>-2</v>
      </c>
      <c r="FO580" s="115">
        <f t="shared" si="439"/>
        <v>0</v>
      </c>
      <c r="FP580" s="115">
        <f t="shared" si="439"/>
        <v>0</v>
      </c>
      <c r="FQ580" s="149">
        <f t="shared" si="439"/>
        <v>-2.2427873600000008</v>
      </c>
      <c r="FR580" s="142">
        <f t="shared" si="439"/>
        <v>-4.4000000000000004</v>
      </c>
      <c r="FS580" s="119">
        <f t="shared" si="439"/>
        <v>-15.46</v>
      </c>
      <c r="FT580" s="121">
        <f t="shared" si="438"/>
        <v>-3.5</v>
      </c>
      <c r="FU580" s="121">
        <f t="shared" si="452"/>
        <v>1</v>
      </c>
      <c r="FV580" s="121">
        <f t="shared" si="452"/>
        <v>-1.2000000000000002</v>
      </c>
      <c r="FW580" s="121">
        <f t="shared" si="453"/>
        <v>-169.19023631960249</v>
      </c>
      <c r="FX580" s="121">
        <f t="shared" si="454"/>
        <v>19</v>
      </c>
      <c r="FY580" s="144">
        <f t="shared" si="454"/>
        <v>-0.18792626728110601</v>
      </c>
      <c r="FZ580" s="145" t="s">
        <v>199</v>
      </c>
      <c r="GA580" s="151" t="s">
        <v>1396</v>
      </c>
      <c r="GB580" s="145"/>
      <c r="GC580" s="151"/>
      <c r="GD580" s="997" t="s">
        <v>202</v>
      </c>
      <c r="GE580" s="1004"/>
      <c r="GF580" s="1004">
        <v>-0.31190324000000036</v>
      </c>
      <c r="GG580" s="1004"/>
      <c r="GH580" s="1004">
        <v>0</v>
      </c>
      <c r="GI580" s="145"/>
      <c r="GJ580" s="996">
        <v>0</v>
      </c>
      <c r="GK580" s="145" t="s">
        <v>223</v>
      </c>
      <c r="GL580" s="996">
        <v>-2.8793093999999986</v>
      </c>
      <c r="GM580" s="1005"/>
      <c r="GN580" s="996">
        <v>0.16719999999999935</v>
      </c>
      <c r="GO580" s="1006" t="s">
        <v>203</v>
      </c>
      <c r="GP580" s="996">
        <v>-8.5271999999999988</v>
      </c>
      <c r="GQ580" s="1006"/>
      <c r="GR580" s="996">
        <v>0</v>
      </c>
      <c r="GS580" s="1006"/>
      <c r="GT580" s="996">
        <v>0</v>
      </c>
      <c r="GU580" s="1006"/>
      <c r="GV580" s="996">
        <v>0</v>
      </c>
      <c r="GW580" s="1006"/>
      <c r="GX580" s="996">
        <v>0</v>
      </c>
      <c r="GY580" s="1006"/>
      <c r="GZ580" s="996">
        <v>0</v>
      </c>
      <c r="HA580" s="1006"/>
      <c r="HB580" s="996">
        <v>0</v>
      </c>
      <c r="HC580" s="1006"/>
      <c r="HD580" s="996">
        <v>0</v>
      </c>
      <c r="HE580" s="1006"/>
      <c r="HF580" s="996">
        <v>0</v>
      </c>
      <c r="HG580" s="1006" t="s">
        <v>199</v>
      </c>
      <c r="HH580" s="996">
        <v>-1.3985263423999998</v>
      </c>
      <c r="HI580" s="1006"/>
      <c r="HJ580" s="996">
        <v>0</v>
      </c>
      <c r="HK580" s="1006" t="s">
        <v>199</v>
      </c>
      <c r="HL580" s="996">
        <v>1.8304254087225806</v>
      </c>
      <c r="HM580" s="1006"/>
      <c r="HN580" s="996">
        <v>0</v>
      </c>
      <c r="HO580" s="1006"/>
      <c r="HP580" s="996">
        <v>0</v>
      </c>
      <c r="HQ580" s="1006"/>
      <c r="HR580" s="996">
        <v>-0.62241979870967734</v>
      </c>
      <c r="HS580" s="1006" t="s">
        <v>199</v>
      </c>
      <c r="HT580" s="996">
        <v>-1.4442337956129032</v>
      </c>
      <c r="HU580" s="1006"/>
      <c r="HV580" s="996">
        <v>0</v>
      </c>
      <c r="HW580" s="1006"/>
      <c r="HX580" s="996">
        <v>0</v>
      </c>
      <c r="HY580" s="1006"/>
      <c r="HZ580" s="996">
        <v>0</v>
      </c>
      <c r="IA580" s="1006"/>
      <c r="IB580" s="996">
        <v>-0.66995869600000013</v>
      </c>
      <c r="IC580" s="1006"/>
      <c r="ID580" s="996">
        <v>-0.90514555999999979</v>
      </c>
      <c r="IE580" s="1006"/>
      <c r="IF580" s="996">
        <v>0</v>
      </c>
      <c r="IG580" s="1006"/>
      <c r="IH580" s="996">
        <v>0</v>
      </c>
      <c r="II580" s="1006"/>
      <c r="IJ580" s="996">
        <v>0.30641071999999969</v>
      </c>
      <c r="IK580" s="1006"/>
      <c r="IL580" s="996">
        <v>0</v>
      </c>
      <c r="IM580" s="1006" t="s">
        <v>199</v>
      </c>
      <c r="IN580" s="996">
        <v>2.0956016179999999</v>
      </c>
      <c r="IO580" s="1006" t="s">
        <v>199</v>
      </c>
      <c r="IP580" s="996">
        <v>-2.345573978</v>
      </c>
      <c r="IQ580" s="1006" t="s">
        <v>199</v>
      </c>
      <c r="IR580" s="996">
        <v>-1.3581831560000004</v>
      </c>
      <c r="IS580" s="1006" t="s">
        <v>199</v>
      </c>
      <c r="IT580" s="996">
        <v>4.1078791160000003</v>
      </c>
      <c r="IU580" s="1006"/>
      <c r="IV580" s="996">
        <v>0</v>
      </c>
      <c r="IW580" s="1006" t="s">
        <v>199</v>
      </c>
      <c r="IX580" s="996">
        <v>-3.8329095199999994</v>
      </c>
      <c r="IY580" s="1006"/>
      <c r="IZ580" s="996">
        <v>0</v>
      </c>
      <c r="JA580" s="1006"/>
      <c r="JB580" s="996">
        <v>0</v>
      </c>
      <c r="JC580" s="1006"/>
      <c r="JD580" s="996">
        <v>0</v>
      </c>
      <c r="JE580" s="1006"/>
      <c r="JF580" s="996">
        <v>0</v>
      </c>
      <c r="JG580" s="1006"/>
      <c r="JH580" s="996">
        <v>0</v>
      </c>
      <c r="JI580" s="1006"/>
      <c r="JJ580" s="996">
        <v>0</v>
      </c>
      <c r="JK580" s="1007"/>
      <c r="JL580" s="1007">
        <v>-0.5416067800000004</v>
      </c>
      <c r="JM580" s="1007"/>
      <c r="JN580" s="1007">
        <v>0</v>
      </c>
      <c r="JO580" s="1008"/>
      <c r="JP580" s="1007">
        <v>0</v>
      </c>
      <c r="JQ580" s="1008">
        <v>0</v>
      </c>
      <c r="JR580" s="1007">
        <v>4.8299899999999951E-2</v>
      </c>
      <c r="JS580" s="1008" t="s">
        <v>204</v>
      </c>
      <c r="JT580" s="1007">
        <v>-5.3752459200000002</v>
      </c>
      <c r="JU580" s="1008"/>
      <c r="JV580" s="1007">
        <v>5.852000000000146E-2</v>
      </c>
      <c r="JW580" s="1008" t="s">
        <v>197</v>
      </c>
      <c r="JX580" s="1007">
        <v>0</v>
      </c>
      <c r="JY580" s="1008"/>
      <c r="JZ580" s="1007">
        <v>0</v>
      </c>
      <c r="KA580" s="1008" t="s">
        <v>199</v>
      </c>
      <c r="KB580" s="1007">
        <v>-10.926520000000002</v>
      </c>
      <c r="KC580" s="1008"/>
      <c r="KD580" s="1007">
        <v>0</v>
      </c>
      <c r="KE580" s="1008"/>
      <c r="KF580" s="1007">
        <v>0</v>
      </c>
      <c r="KG580" s="1008"/>
      <c r="KH580" s="1007">
        <v>0</v>
      </c>
      <c r="KI580" s="1008" t="s">
        <v>203</v>
      </c>
      <c r="KJ580" s="1007">
        <v>-3.3439999999999976</v>
      </c>
      <c r="KK580" s="1008"/>
      <c r="KL580" s="1007">
        <v>0</v>
      </c>
      <c r="KM580" s="1008" t="s">
        <v>971</v>
      </c>
      <c r="KN580" s="1007">
        <v>-7.5240000000000009</v>
      </c>
      <c r="KO580" s="1008" t="s">
        <v>203</v>
      </c>
      <c r="KP580" s="1007">
        <v>-19.018999999999998</v>
      </c>
      <c r="KQ580" s="1008" t="s">
        <v>324</v>
      </c>
      <c r="KR580" s="1007">
        <v>51.622999999999998</v>
      </c>
      <c r="KS580" s="1008">
        <v>0</v>
      </c>
      <c r="KT580" s="1007">
        <v>0</v>
      </c>
      <c r="KU580" s="1008">
        <v>0</v>
      </c>
      <c r="KV580" s="1007">
        <v>0</v>
      </c>
      <c r="KW580" s="1008">
        <v>0</v>
      </c>
      <c r="KX580" s="1007">
        <v>0</v>
      </c>
      <c r="KY580" s="1008">
        <v>0</v>
      </c>
      <c r="KZ580" s="1007">
        <v>0</v>
      </c>
      <c r="LA580" s="1008">
        <v>0</v>
      </c>
      <c r="LB580" s="1007">
        <v>0</v>
      </c>
      <c r="LC580" s="1008">
        <v>0</v>
      </c>
      <c r="LD580" s="1007">
        <v>0</v>
      </c>
      <c r="LE580" s="1008">
        <v>0</v>
      </c>
      <c r="LF580" s="1007">
        <v>0</v>
      </c>
      <c r="LG580" s="1008">
        <v>0</v>
      </c>
      <c r="LH580" s="1007">
        <v>0</v>
      </c>
      <c r="LI580" s="1008">
        <v>0</v>
      </c>
      <c r="LJ580" s="1007">
        <v>0</v>
      </c>
      <c r="LK580" s="1008">
        <v>0</v>
      </c>
      <c r="LL580" s="1007">
        <v>0</v>
      </c>
      <c r="LM580" s="1008">
        <v>0</v>
      </c>
      <c r="LN580" s="1007">
        <v>0</v>
      </c>
      <c r="LO580" s="1008">
        <v>0</v>
      </c>
      <c r="LP580" s="1007">
        <v>0</v>
      </c>
      <c r="LQ580" s="1008">
        <v>0</v>
      </c>
      <c r="LR580" s="1007">
        <v>0</v>
      </c>
      <c r="LS580" s="1008">
        <v>0</v>
      </c>
      <c r="LT580" s="1007">
        <v>0</v>
      </c>
      <c r="LU580" s="1008">
        <v>0</v>
      </c>
      <c r="LV580" s="1007">
        <v>0</v>
      </c>
      <c r="LW580" s="1008">
        <v>0</v>
      </c>
      <c r="LX580" s="1007">
        <v>0</v>
      </c>
      <c r="LY580" s="1009">
        <v>0</v>
      </c>
      <c r="LZ580" s="1010">
        <v>0</v>
      </c>
      <c r="MA580" s="1011">
        <v>0</v>
      </c>
      <c r="MB580" s="1012">
        <v>0</v>
      </c>
      <c r="MC580" s="995"/>
      <c r="MD580" s="996"/>
      <c r="ME580" s="997" t="s">
        <v>202</v>
      </c>
      <c r="MF580" s="997"/>
      <c r="MG580" s="998"/>
      <c r="NR580" s="1000"/>
      <c r="NS580" s="1000"/>
      <c r="NT580" s="1001"/>
      <c r="NU580" s="1000"/>
      <c r="NV580" s="1001"/>
      <c r="NX580" s="1002"/>
      <c r="NZ580" s="1001"/>
      <c r="OA580" s="1001"/>
      <c r="OC580" s="1003"/>
      <c r="OD580" s="1003"/>
      <c r="OE580" s="1001"/>
      <c r="OF580" s="1003"/>
      <c r="OG580" s="1003"/>
      <c r="QX580" s="1000">
        <f>CN580-CA580</f>
        <v>68</v>
      </c>
      <c r="ASU580" s="999" t="s">
        <v>225</v>
      </c>
    </row>
    <row r="581" spans="1:466 1191:1191" ht="21" customHeight="1" x14ac:dyDescent="0.25">
      <c r="A581" s="982">
        <f t="shared" si="441"/>
        <v>3326</v>
      </c>
      <c r="B581" s="124">
        <f>SUBTOTAL(103,$J$29:J581)</f>
        <v>553</v>
      </c>
      <c r="C581" s="126">
        <v>45068</v>
      </c>
      <c r="D581" s="124" t="s">
        <v>176</v>
      </c>
      <c r="E581" s="127" t="s">
        <v>177</v>
      </c>
      <c r="F581" s="128" t="s">
        <v>177</v>
      </c>
      <c r="G581" s="127" t="s">
        <v>178</v>
      </c>
      <c r="H581" s="127" t="s">
        <v>179</v>
      </c>
      <c r="I581" s="127" t="s">
        <v>1362</v>
      </c>
      <c r="J581" s="152">
        <v>3326</v>
      </c>
      <c r="K581" s="127" t="s">
        <v>1362</v>
      </c>
      <c r="L581" s="130">
        <v>43599</v>
      </c>
      <c r="M581" s="127" t="s">
        <v>230</v>
      </c>
      <c r="N581" s="127" t="s">
        <v>184</v>
      </c>
      <c r="O581" s="127" t="s">
        <v>185</v>
      </c>
      <c r="P581" s="127" t="s">
        <v>292</v>
      </c>
      <c r="Q581" s="85">
        <f t="shared" si="473"/>
        <v>-4</v>
      </c>
      <c r="R581" s="130">
        <v>43579</v>
      </c>
      <c r="S581" s="128" t="s">
        <v>747</v>
      </c>
      <c r="T581" s="131" t="s">
        <v>1987</v>
      </c>
      <c r="U581" s="132">
        <v>203</v>
      </c>
      <c r="V581" s="121">
        <v>218.2</v>
      </c>
      <c r="W581" s="116">
        <v>0.98</v>
      </c>
      <c r="X581" s="116">
        <v>1.66</v>
      </c>
      <c r="Y581" s="116">
        <f t="shared" si="463"/>
        <v>0.98</v>
      </c>
      <c r="Z581" s="133">
        <v>1.454</v>
      </c>
      <c r="AA581" s="133">
        <v>0.83599999999999997</v>
      </c>
      <c r="AB581" s="133">
        <v>0.72</v>
      </c>
      <c r="AC581" s="121">
        <v>34.299999999999997</v>
      </c>
      <c r="AD581" s="134">
        <v>1.17</v>
      </c>
      <c r="AE581" s="124">
        <v>177.8</v>
      </c>
      <c r="AF581" s="128">
        <v>9.19</v>
      </c>
      <c r="AG581" s="128">
        <v>2334.4</v>
      </c>
      <c r="AH581" s="127">
        <v>3106</v>
      </c>
      <c r="AI581" s="127">
        <v>3106</v>
      </c>
      <c r="AJ581" s="135"/>
      <c r="AK581" s="128"/>
      <c r="AL581" s="131"/>
      <c r="AM581" s="124" t="s">
        <v>985</v>
      </c>
      <c r="AN581" s="136" t="s">
        <v>1988</v>
      </c>
      <c r="AO581" s="137">
        <v>33.169999999999845</v>
      </c>
      <c r="AP581" s="128">
        <v>2468.73</v>
      </c>
      <c r="AQ581" s="128">
        <v>257.16000000000003</v>
      </c>
      <c r="AR581" s="128" t="s">
        <v>1989</v>
      </c>
      <c r="AS581" s="128">
        <v>114</v>
      </c>
      <c r="AT581" s="122">
        <v>7.37</v>
      </c>
      <c r="AU581" s="124" t="s">
        <v>189</v>
      </c>
      <c r="AV581" s="115">
        <f>VLOOKUP(J581,'[63]ТР нефть'!$J$28:$BP$638,39,0)</f>
        <v>550</v>
      </c>
      <c r="AW581" s="115" t="str">
        <f>VLOOKUP(J581,'[63]ТР нефть'!$J$28:$BP$638,40,0)</f>
        <v>ГК 73 1/8</v>
      </c>
      <c r="AX581" s="115">
        <f>VLOOKUP(J581,'[63]ТР нефть'!$J$28:$BP$638,41,0)</f>
        <v>1080</v>
      </c>
      <c r="AY581" s="115" t="str">
        <f>VLOOKUP(J581,'[63]ТР нефть'!$J$28:$BP$638,42,0)</f>
        <v>ГК 74 1/8</v>
      </c>
      <c r="AZ581" s="115">
        <f>VLOOKUP(J581,'[63]ТР нефть'!$J$28:$BP$638,43,0)</f>
        <v>1480</v>
      </c>
      <c r="BA581" s="115" t="str">
        <f>VLOOKUP(J581,'[63]ТР нефть'!$J$28:$BP$638,44,0)</f>
        <v>ГК 73 5/32</v>
      </c>
      <c r="BB581" s="115">
        <f>VLOOKUP(J581,'[63]ТР нефть'!$J$28:$BP$638,45,0)</f>
        <v>1810</v>
      </c>
      <c r="BC581" s="115" t="str">
        <f>VLOOKUP(J581,'[63]ТР нефть'!$J$28:$BP$638,46,0)</f>
        <v>ГК 74 5/32</v>
      </c>
      <c r="BD581" s="115">
        <f>VLOOKUP(J581,'[63]ТР нефть'!$J$28:$BP$638,47,0)</f>
        <v>2044.9032</v>
      </c>
      <c r="BE581" s="115" t="str">
        <f>VLOOKUP(J581,'[63]ТР нефть'!$J$28:$BP$638,48,0)</f>
        <v>ЦКсОК 5/16</v>
      </c>
      <c r="BF581" s="115" t="str">
        <f>VLOOKUP(J581,'[63]ТР нефть'!$J$28:$BP$638,49,0)</f>
        <v>-</v>
      </c>
      <c r="BG581" s="115" t="str">
        <f>VLOOKUP(J581,'[63]ТР нефть'!$J$28:$BP$638,50,0)</f>
        <v>-</v>
      </c>
      <c r="BH581" s="115" t="str">
        <f>VLOOKUP(J581,'[63]ТР нефть'!$J$28:$BP$638,51,0)</f>
        <v>-</v>
      </c>
      <c r="BI581" s="115" t="str">
        <f>VLOOKUP(J581,'[63]ТР нефть'!$J$28:$BP$638,52,0)</f>
        <v>-</v>
      </c>
      <c r="BJ581" s="115" t="str">
        <f>IF(IFERROR(VLOOKUP(J581,'[63]ТР нефть'!$J$28:$BP$638,53,0),"-")=0,"-",IFERROR(VLOOKUP(J581,'[63]ТР нефть'!$J$28:$BP$638,53,0),"-"))</f>
        <v>-</v>
      </c>
      <c r="BK581" s="138" t="str">
        <f>IF(IFERROR(VLOOKUP(J581,'[63]ТР нефть'!$J$28:$BP$638,54,0),"-")=0,"-",IFERROR(VLOOKUP(J581,'[63]ТР нефть'!$J$28:$BP$638,54,0),"-"))</f>
        <v>-</v>
      </c>
      <c r="BL581" s="138" t="str">
        <f>IF(IFERROR(VLOOKUP(J581,'[63]ТР нефть'!$J$28:$BP$638,55,0),"-")=0,"-",IFERROR(VLOOKUP(J581,'[63]ТР нефть'!$J$28:$BP$638,55,0),"-"))</f>
        <v>-</v>
      </c>
      <c r="BM581" s="138" t="str">
        <f>IF(IFERROR(VLOOKUP(J581,'[63]ТР нефть'!$J$28:$BP$638,56,0),"-")=0,"-",IFERROR(VLOOKUP(J581,'[63]ТР нефть'!$J$28:$BP$638,56,0),"-"))</f>
        <v>-</v>
      </c>
      <c r="BN581" s="138" t="str">
        <f>IF(IFERROR(VLOOKUP(J581,'[63]ТР нефть'!$J$28:$BP$638,57,0),"-")=0,"-",IFERROR(VLOOKUP(J581,'[63]ТР нефть'!$J$28:$BP$638,57,0),"-"))</f>
        <v>-</v>
      </c>
      <c r="BO581" s="115" t="str">
        <f>IF(IFERROR(VLOOKUP(J581,'[63]ТР нефть'!$J$28:$BP$638,58,0),"-")=0,"-",IFERROR(VLOOKUP(J581,'[63]ТР нефть'!$J$28:$BP$638,58,0),"-"))</f>
        <v>-</v>
      </c>
      <c r="BP581" s="115" t="str">
        <f>IF(IFERROR(VLOOKUP(J581,'[63]ТР нефть'!$J$28:$BP$638,59,0),"-")=0,"-",IFERROR(VLOOKUP(J581,'[63]ТР нефть'!$J$28:$BP$638,59,0),"-"))</f>
        <v>-</v>
      </c>
      <c r="BQ581" s="138">
        <v>3106</v>
      </c>
      <c r="BR581" s="128">
        <v>1907</v>
      </c>
      <c r="BS581" s="115">
        <f t="shared" si="490"/>
        <v>1199</v>
      </c>
      <c r="BT581" s="128">
        <v>73</v>
      </c>
      <c r="BU581" s="128">
        <v>5.5</v>
      </c>
      <c r="BV581" s="127">
        <v>65</v>
      </c>
      <c r="BW581" s="127" t="s">
        <v>217</v>
      </c>
      <c r="BX581" s="127" t="s">
        <v>195</v>
      </c>
      <c r="BY581" s="139">
        <v>24</v>
      </c>
      <c r="BZ581" s="139">
        <v>0</v>
      </c>
      <c r="CA581" s="80">
        <v>25</v>
      </c>
      <c r="CB581" s="138">
        <v>45</v>
      </c>
      <c r="CC581" s="138">
        <v>24</v>
      </c>
      <c r="CD581" s="135">
        <v>45017</v>
      </c>
      <c r="CE581" s="138">
        <v>92</v>
      </c>
      <c r="CF581" s="138">
        <v>71</v>
      </c>
      <c r="CG581" s="138" t="str">
        <f t="shared" si="474"/>
        <v/>
      </c>
      <c r="CH581" s="138" t="s">
        <v>197</v>
      </c>
      <c r="CI581" s="127"/>
      <c r="CJ581" s="138"/>
      <c r="CK581" s="138">
        <f t="shared" si="488"/>
        <v>27</v>
      </c>
      <c r="CL581" s="99"/>
      <c r="CM581" s="99"/>
      <c r="CN581" s="140">
        <v>52</v>
      </c>
      <c r="CO581" s="141">
        <f t="shared" si="442"/>
        <v>11.703999999999999</v>
      </c>
      <c r="CP581" s="142">
        <v>14</v>
      </c>
      <c r="CQ581" s="143">
        <v>0</v>
      </c>
      <c r="CR581" s="115">
        <v>14</v>
      </c>
      <c r="CS581" s="139">
        <v>10.199999999999999</v>
      </c>
      <c r="CT581" s="138"/>
      <c r="CU581" s="138">
        <f t="shared" si="475"/>
        <v>3.8000000000000007</v>
      </c>
      <c r="CV581" s="115">
        <f t="shared" si="476"/>
        <v>324.67532467532476</v>
      </c>
      <c r="CW581" s="115">
        <f t="shared" si="443"/>
        <v>871.49692412850311</v>
      </c>
      <c r="CX581" s="133">
        <f t="shared" si="477"/>
        <v>0.35</v>
      </c>
      <c r="CY581" s="116"/>
      <c r="CZ581" s="131"/>
      <c r="DA581" s="145" t="str">
        <f t="shared" si="478"/>
        <v>Газлифт</v>
      </c>
      <c r="DB581" s="146">
        <f t="shared" si="468"/>
        <v>11.703999999999999</v>
      </c>
      <c r="DC581" s="142">
        <f t="shared" si="469"/>
        <v>14</v>
      </c>
      <c r="DD581" s="119">
        <f t="shared" si="470"/>
        <v>0</v>
      </c>
      <c r="DE581" s="115">
        <f t="shared" si="471"/>
        <v>3.8000000000000007</v>
      </c>
      <c r="DF581" s="121">
        <f t="shared" si="472"/>
        <v>10.199999999999999</v>
      </c>
      <c r="DG581" s="115">
        <f t="shared" si="446"/>
        <v>324.67532467532476</v>
      </c>
      <c r="DH581" s="115">
        <f t="shared" si="447"/>
        <v>52</v>
      </c>
      <c r="DI581" s="147"/>
      <c r="DJ581" s="111" t="s">
        <v>197</v>
      </c>
      <c r="DK581" s="112">
        <v>43599</v>
      </c>
      <c r="DL581" s="113">
        <f t="shared" ca="1" si="480"/>
        <v>1505</v>
      </c>
      <c r="DM581" s="114"/>
      <c r="DN581" s="114"/>
      <c r="DO581" s="114"/>
      <c r="DP581" s="114"/>
      <c r="DQ581" s="112">
        <v>43599</v>
      </c>
      <c r="DR581" s="114" t="s">
        <v>324</v>
      </c>
      <c r="DS581" s="114"/>
      <c r="DT581" s="115">
        <v>40</v>
      </c>
      <c r="DU581" s="116">
        <f t="shared" si="481"/>
        <v>0.32485029940119764</v>
      </c>
      <c r="DV581" s="117">
        <f t="shared" si="484"/>
        <v>14.121892215568863</v>
      </c>
      <c r="DW581" s="118">
        <f t="shared" si="485"/>
        <v>16.892215568862277</v>
      </c>
      <c r="DX581" s="119">
        <f t="shared" si="486"/>
        <v>0</v>
      </c>
      <c r="DY581" s="115">
        <f t="shared" si="487"/>
        <v>4.5850299401197621</v>
      </c>
      <c r="DZ581" s="117">
        <f t="shared" si="482"/>
        <v>2.4178922155688642</v>
      </c>
      <c r="EA581" s="120">
        <f t="shared" si="482"/>
        <v>2.8922155688622766</v>
      </c>
      <c r="EB581" s="119">
        <f t="shared" si="482"/>
        <v>0</v>
      </c>
      <c r="EC581" s="121">
        <f t="shared" si="464"/>
        <v>0.78502994011976135</v>
      </c>
      <c r="ED581" s="122"/>
      <c r="EE581" s="145">
        <v>65</v>
      </c>
      <c r="EF581" s="148">
        <v>25</v>
      </c>
      <c r="EG581" s="115">
        <v>45</v>
      </c>
      <c r="EH581" s="115">
        <v>24</v>
      </c>
      <c r="EI581" s="128" t="s">
        <v>195</v>
      </c>
      <c r="EJ581" s="121">
        <v>24</v>
      </c>
      <c r="EK581" s="121">
        <v>0</v>
      </c>
      <c r="EL581" s="149">
        <v>8.36</v>
      </c>
      <c r="EM581" s="142">
        <v>10</v>
      </c>
      <c r="EN581" s="119">
        <v>0</v>
      </c>
      <c r="EO581" s="115">
        <v>11</v>
      </c>
      <c r="EP581" s="115">
        <v>1192.3444976076555</v>
      </c>
      <c r="EQ581" s="115">
        <v>73</v>
      </c>
      <c r="ER581" s="115">
        <v>1.032</v>
      </c>
      <c r="ES581" s="115">
        <v>47</v>
      </c>
      <c r="ET581" s="150">
        <v>0.22222222222222221</v>
      </c>
      <c r="EU581" s="145">
        <f t="shared" si="457"/>
        <v>65</v>
      </c>
      <c r="EV581" s="115">
        <f t="shared" si="448"/>
        <v>25</v>
      </c>
      <c r="EW581" s="115">
        <f t="shared" si="448"/>
        <v>45</v>
      </c>
      <c r="EX581" s="115">
        <f t="shared" si="448"/>
        <v>24</v>
      </c>
      <c r="EY581" s="115" t="str">
        <f t="shared" si="489"/>
        <v>Постоянный</v>
      </c>
      <c r="EZ581" s="115">
        <f t="shared" si="489"/>
        <v>24</v>
      </c>
      <c r="FA581" s="115">
        <f t="shared" si="489"/>
        <v>0</v>
      </c>
      <c r="FB581" s="149">
        <f t="shared" si="461"/>
        <v>11.703999999999999</v>
      </c>
      <c r="FC581" s="142">
        <f t="shared" si="461"/>
        <v>14</v>
      </c>
      <c r="FD581" s="119">
        <f t="shared" si="461"/>
        <v>0</v>
      </c>
      <c r="FE581" s="121">
        <f t="shared" si="460"/>
        <v>14</v>
      </c>
      <c r="FF581" s="121">
        <f t="shared" si="462"/>
        <v>324.67532467532476</v>
      </c>
      <c r="FG581" s="121">
        <f t="shared" si="449"/>
        <v>71</v>
      </c>
      <c r="FH581" s="121">
        <f t="shared" si="436"/>
        <v>10.199999999999999</v>
      </c>
      <c r="FI581" s="121">
        <f t="shared" si="483"/>
        <v>52</v>
      </c>
      <c r="FJ581" s="144">
        <f t="shared" si="450"/>
        <v>0.35</v>
      </c>
      <c r="FK581" s="132">
        <f t="shared" si="451"/>
        <v>0</v>
      </c>
      <c r="FL581" s="115">
        <f t="shared" si="451"/>
        <v>0</v>
      </c>
      <c r="FM581" s="115">
        <f t="shared" si="451"/>
        <v>0</v>
      </c>
      <c r="FN581" s="115">
        <f t="shared" si="451"/>
        <v>0</v>
      </c>
      <c r="FO581" s="115">
        <f t="shared" si="439"/>
        <v>0</v>
      </c>
      <c r="FP581" s="115">
        <f t="shared" si="439"/>
        <v>0</v>
      </c>
      <c r="FQ581" s="149">
        <f t="shared" si="439"/>
        <v>3.3439999999999994</v>
      </c>
      <c r="FR581" s="142">
        <f t="shared" si="439"/>
        <v>4</v>
      </c>
      <c r="FS581" s="119">
        <f t="shared" si="439"/>
        <v>0</v>
      </c>
      <c r="FT581" s="121">
        <f t="shared" si="438"/>
        <v>3</v>
      </c>
      <c r="FU581" s="121">
        <f t="shared" si="452"/>
        <v>-2</v>
      </c>
      <c r="FV581" s="121">
        <f t="shared" si="452"/>
        <v>9.1679999999999993</v>
      </c>
      <c r="FW581" s="121">
        <f t="shared" si="453"/>
        <v>-867.66917293233075</v>
      </c>
      <c r="FX581" s="121">
        <f t="shared" si="454"/>
        <v>5</v>
      </c>
      <c r="FY581" s="144">
        <f t="shared" si="454"/>
        <v>0.12777777777777777</v>
      </c>
      <c r="FZ581" s="145" t="s">
        <v>221</v>
      </c>
      <c r="GA581" s="151" t="s">
        <v>1990</v>
      </c>
      <c r="GB581" s="145"/>
      <c r="GC581" s="151"/>
      <c r="GD581" s="997" t="s">
        <v>202</v>
      </c>
      <c r="GE581" s="1004"/>
      <c r="GF581" s="1004">
        <v>0</v>
      </c>
      <c r="GG581" s="1004"/>
      <c r="GH581" s="1004">
        <v>0</v>
      </c>
      <c r="GI581" s="145"/>
      <c r="GJ581" s="996">
        <v>0</v>
      </c>
      <c r="GK581" s="145"/>
      <c r="GL581" s="996">
        <v>0</v>
      </c>
      <c r="GM581" s="1005"/>
      <c r="GN581" s="996">
        <v>0</v>
      </c>
      <c r="GO581" s="1006"/>
      <c r="GP581" s="996">
        <v>0</v>
      </c>
      <c r="GQ581" s="1006" t="s">
        <v>241</v>
      </c>
      <c r="GR581" s="996">
        <v>1.7555999999999994</v>
      </c>
      <c r="GS581" s="1006"/>
      <c r="GT581" s="996">
        <v>0</v>
      </c>
      <c r="GU581" s="1006"/>
      <c r="GV581" s="996">
        <v>0.71640000000000015</v>
      </c>
      <c r="GW581" s="1006" t="s">
        <v>199</v>
      </c>
      <c r="GX581" s="996">
        <v>1.6719999999999997</v>
      </c>
      <c r="GY581" s="1006"/>
      <c r="GZ581" s="996">
        <v>0.8360000000000003</v>
      </c>
      <c r="HA581" s="1006"/>
      <c r="HB581" s="996">
        <v>0</v>
      </c>
      <c r="HC581" s="1006" t="s">
        <v>199</v>
      </c>
      <c r="HD581" s="996">
        <v>-3.6449600000000002</v>
      </c>
      <c r="HE581" s="1006" t="s">
        <v>204</v>
      </c>
      <c r="HF581" s="996">
        <v>0</v>
      </c>
      <c r="HG581" s="1006" t="s">
        <v>199</v>
      </c>
      <c r="HH581" s="996">
        <v>1.9729599999999996</v>
      </c>
      <c r="HI581" s="1006" t="s">
        <v>223</v>
      </c>
      <c r="HJ581" s="996">
        <v>-3.0346800000000007</v>
      </c>
      <c r="HK581" s="1006" t="s">
        <v>199</v>
      </c>
      <c r="HL581" s="996">
        <v>-0.64371999999999829</v>
      </c>
      <c r="HM581" s="1006"/>
      <c r="HN581" s="996">
        <v>0</v>
      </c>
      <c r="HO581" s="1006"/>
      <c r="HP581" s="996">
        <v>0</v>
      </c>
      <c r="HQ581" s="1006"/>
      <c r="HR581" s="996">
        <v>-6.6880000000001161E-2</v>
      </c>
      <c r="HS581" s="1006" t="s">
        <v>643</v>
      </c>
      <c r="HT581" s="996">
        <v>0</v>
      </c>
      <c r="HU581" s="1006"/>
      <c r="HV581" s="996">
        <v>0.31768000000000107</v>
      </c>
      <c r="HW581" s="1006"/>
      <c r="HX581" s="996">
        <v>-0.27588000000000079</v>
      </c>
      <c r="HY581" s="1006"/>
      <c r="HZ581" s="996">
        <v>0</v>
      </c>
      <c r="IA581" s="1006"/>
      <c r="IB581" s="996">
        <v>-0.56011999999999951</v>
      </c>
      <c r="IC581" s="1006" t="s">
        <v>204</v>
      </c>
      <c r="ID581" s="996">
        <v>5.9857599999999991</v>
      </c>
      <c r="IE581" s="1006" t="s">
        <v>199</v>
      </c>
      <c r="IF581" s="996">
        <v>-2.5581599999999991</v>
      </c>
      <c r="IG581" s="1006"/>
      <c r="IH581" s="996">
        <v>0</v>
      </c>
      <c r="II581" s="1006"/>
      <c r="IJ581" s="996">
        <v>0</v>
      </c>
      <c r="IK581" s="1006" t="s">
        <v>199</v>
      </c>
      <c r="IL581" s="996">
        <v>2.508</v>
      </c>
      <c r="IM581" s="1006" t="s">
        <v>199</v>
      </c>
      <c r="IN581" s="996">
        <v>-11.0352</v>
      </c>
      <c r="IO581" s="1006"/>
      <c r="IP581" s="996">
        <v>0</v>
      </c>
      <c r="IQ581" s="1006"/>
      <c r="IR581" s="996">
        <v>0</v>
      </c>
      <c r="IS581" s="1006"/>
      <c r="IT581" s="996">
        <v>0</v>
      </c>
      <c r="IU581" s="1006"/>
      <c r="IV581" s="996">
        <v>0</v>
      </c>
      <c r="IW581" s="1006"/>
      <c r="IX581" s="996">
        <v>0</v>
      </c>
      <c r="IY581" s="1006"/>
      <c r="IZ581" s="996">
        <v>0</v>
      </c>
      <c r="JA581" s="1006"/>
      <c r="JB581" s="996">
        <v>-0.41799999999999926</v>
      </c>
      <c r="JC581" s="1006" t="s">
        <v>204</v>
      </c>
      <c r="JD581" s="996">
        <v>-23.491599999999998</v>
      </c>
      <c r="JE581" s="1006" t="s">
        <v>204</v>
      </c>
      <c r="JF581" s="996">
        <v>21.234400000000001</v>
      </c>
      <c r="JG581" s="1006"/>
      <c r="JH581" s="996">
        <v>0</v>
      </c>
      <c r="JI581" s="1006" t="s">
        <v>199</v>
      </c>
      <c r="JJ581" s="996">
        <v>-4.9324000000000012</v>
      </c>
      <c r="JK581" s="1007"/>
      <c r="JL581" s="1007">
        <v>0</v>
      </c>
      <c r="JM581" s="1007"/>
      <c r="JN581" s="1007">
        <v>0</v>
      </c>
      <c r="JO581" s="1008" t="s">
        <v>203</v>
      </c>
      <c r="JP581" s="1007">
        <v>-12.289200000000001</v>
      </c>
      <c r="JQ581" s="1008">
        <v>0</v>
      </c>
      <c r="JR581" s="1007">
        <v>0</v>
      </c>
      <c r="JS581" s="1008" t="s">
        <v>203</v>
      </c>
      <c r="JT581" s="1007">
        <v>-3.5947999999999993</v>
      </c>
      <c r="JU581" s="1008"/>
      <c r="JV581" s="1007">
        <v>0</v>
      </c>
      <c r="JW581" s="1008" t="s">
        <v>197</v>
      </c>
      <c r="JX581" s="1007">
        <v>0</v>
      </c>
      <c r="JY581" s="1008"/>
      <c r="JZ581" s="1007"/>
      <c r="KA581" s="1008"/>
      <c r="KB581" s="1007"/>
      <c r="KC581" s="1008"/>
      <c r="KD581" s="1007"/>
      <c r="KE581" s="1008"/>
      <c r="KF581" s="1007"/>
      <c r="KG581" s="1008"/>
      <c r="KH581" s="1007"/>
      <c r="KI581" s="1008"/>
      <c r="KJ581" s="1007"/>
      <c r="KK581" s="1008"/>
      <c r="KL581" s="1007"/>
      <c r="KM581" s="1008"/>
      <c r="KN581" s="1007"/>
      <c r="KO581" s="1008"/>
      <c r="KP581" s="1007"/>
      <c r="KQ581" s="1008"/>
      <c r="KR581" s="1007"/>
      <c r="KS581" s="1008"/>
      <c r="KT581" s="1007"/>
      <c r="KU581" s="1008"/>
      <c r="KV581" s="1007"/>
      <c r="KW581" s="1008"/>
      <c r="KX581" s="1007"/>
      <c r="KY581" s="1008"/>
      <c r="KZ581" s="1007"/>
      <c r="LA581" s="1008"/>
      <c r="LB581" s="1007"/>
      <c r="LC581" s="1008"/>
      <c r="LD581" s="1007"/>
      <c r="LE581" s="1008"/>
      <c r="LF581" s="1007"/>
      <c r="LG581" s="1008"/>
      <c r="LH581" s="1007"/>
      <c r="LI581" s="1008"/>
      <c r="LJ581" s="1007"/>
      <c r="LK581" s="1008"/>
      <c r="LL581" s="1007"/>
      <c r="LM581" s="1008"/>
      <c r="LN581" s="1007"/>
      <c r="LO581" s="1008"/>
      <c r="LP581" s="1007"/>
      <c r="LQ581" s="1008"/>
      <c r="LR581" s="1007"/>
      <c r="LS581" s="1008"/>
      <c r="LT581" s="1007"/>
      <c r="LU581" s="1008"/>
      <c r="LV581" s="1007"/>
      <c r="LW581" s="1008"/>
      <c r="LX581" s="1007"/>
      <c r="LY581" s="1009"/>
      <c r="LZ581" s="1010"/>
      <c r="MA581" s="1011"/>
      <c r="MB581" s="1012"/>
      <c r="MC581" s="995"/>
      <c r="MD581" s="996"/>
      <c r="ME581" s="997" t="s">
        <v>202</v>
      </c>
      <c r="MF581" s="997"/>
      <c r="MG581" s="998"/>
      <c r="NR581" s="1000"/>
      <c r="NS581" s="1000"/>
      <c r="NT581" s="1001"/>
      <c r="NU581" s="1000"/>
      <c r="NV581" s="1001"/>
      <c r="NX581" s="1002"/>
      <c r="NZ581" s="1001"/>
      <c r="OA581" s="1001"/>
      <c r="OC581" s="1003"/>
      <c r="OD581" s="1003"/>
      <c r="OE581" s="1001"/>
      <c r="OF581" s="1003"/>
      <c r="OG581" s="1003"/>
      <c r="QX581" s="1000">
        <f>CN581-CA581</f>
        <v>27</v>
      </c>
      <c r="ASU581" s="999" t="s">
        <v>208</v>
      </c>
    </row>
    <row r="582" spans="1:466 1191:1191" ht="21" customHeight="1" x14ac:dyDescent="0.25">
      <c r="A582" s="982">
        <f t="shared" si="441"/>
        <v>3327</v>
      </c>
      <c r="B582" s="124">
        <f>SUBTOTAL(103,$J$29:J582)</f>
        <v>554</v>
      </c>
      <c r="C582" s="126">
        <v>45068</v>
      </c>
      <c r="D582" s="124" t="s">
        <v>176</v>
      </c>
      <c r="E582" s="127" t="s">
        <v>177</v>
      </c>
      <c r="F582" s="128" t="s">
        <v>177</v>
      </c>
      <c r="G582" s="127" t="s">
        <v>178</v>
      </c>
      <c r="H582" s="127" t="s">
        <v>179</v>
      </c>
      <c r="I582" s="127" t="s">
        <v>1362</v>
      </c>
      <c r="J582" s="152">
        <v>3327</v>
      </c>
      <c r="K582" s="127" t="s">
        <v>1362</v>
      </c>
      <c r="L582" s="130">
        <v>43381</v>
      </c>
      <c r="M582" s="127" t="s">
        <v>230</v>
      </c>
      <c r="N582" s="127" t="s">
        <v>184</v>
      </c>
      <c r="O582" s="127" t="s">
        <v>185</v>
      </c>
      <c r="P582" s="127" t="s">
        <v>292</v>
      </c>
      <c r="Q582" s="85" t="str">
        <f t="shared" si="473"/>
        <v/>
      </c>
      <c r="R582" s="130"/>
      <c r="S582" s="128"/>
      <c r="T582" s="131"/>
      <c r="U582" s="132">
        <v>203</v>
      </c>
      <c r="V582" s="121">
        <v>218.2</v>
      </c>
      <c r="W582" s="116">
        <v>0.98</v>
      </c>
      <c r="X582" s="116">
        <v>1.66</v>
      </c>
      <c r="Y582" s="116">
        <f t="shared" si="463"/>
        <v>0.98</v>
      </c>
      <c r="Z582" s="133">
        <v>1.454</v>
      </c>
      <c r="AA582" s="133">
        <v>0.83599999999999997</v>
      </c>
      <c r="AB582" s="133">
        <v>0.72</v>
      </c>
      <c r="AC582" s="121">
        <v>34.299999999999997</v>
      </c>
      <c r="AD582" s="134">
        <v>1.17</v>
      </c>
      <c r="AE582" s="124">
        <v>177.8</v>
      </c>
      <c r="AF582" s="128">
        <v>9.19</v>
      </c>
      <c r="AG582" s="128">
        <v>2150.6</v>
      </c>
      <c r="AH582" s="127">
        <v>2998.6</v>
      </c>
      <c r="AI582" s="127">
        <v>2998.6</v>
      </c>
      <c r="AJ582" s="135"/>
      <c r="AK582" s="128"/>
      <c r="AL582" s="131"/>
      <c r="AM582" s="124" t="s">
        <v>187</v>
      </c>
      <c r="AN582" s="136" t="s">
        <v>1991</v>
      </c>
      <c r="AO582" s="137">
        <v>18.53</v>
      </c>
      <c r="AP582" s="128">
        <v>2239.17</v>
      </c>
      <c r="AQ582" s="128">
        <v>360.87</v>
      </c>
      <c r="AR582" s="128" t="s">
        <v>1992</v>
      </c>
      <c r="AS582" s="128">
        <v>114</v>
      </c>
      <c r="AT582" s="122">
        <v>7.37</v>
      </c>
      <c r="AU582" s="124" t="s">
        <v>189</v>
      </c>
      <c r="AV582" s="115">
        <f>VLOOKUP(J582,'[63]ТР нефть'!$J$28:$BP$638,39,0)</f>
        <v>540.00000644500005</v>
      </c>
      <c r="AW582" s="115" t="str">
        <f>VLOOKUP(J582,'[63]ТР нефть'!$J$28:$BP$638,40,0)</f>
        <v>ГП</v>
      </c>
      <c r="AX582" s="115">
        <f>VLOOKUP(J582,'[63]ТР нефть'!$J$28:$BP$638,41,0)</f>
        <v>984.99996972700001</v>
      </c>
      <c r="AY582" s="115" t="str">
        <f>VLOOKUP(J582,'[63]ТР нефть'!$J$28:$BP$638,42,0)</f>
        <v>ГП</v>
      </c>
      <c r="AZ582" s="115">
        <f>VLOOKUP(J582,'[63]ТР нефть'!$J$28:$BP$638,43,0)</f>
        <v>1340.0000683589999</v>
      </c>
      <c r="BA582" s="115" t="str">
        <f>VLOOKUP(J582,'[63]ТР нефть'!$J$28:$BP$638,44,0)</f>
        <v>ГК 70 1/8</v>
      </c>
      <c r="BB582" s="115">
        <f>VLOOKUP(J582,'[63]ТР нефть'!$J$28:$BP$638,45,0)</f>
        <v>1619.9999449219999</v>
      </c>
      <c r="BC582" s="115" t="str">
        <f>VLOOKUP(J582,'[63]ТР нефть'!$J$28:$BP$638,46,0)</f>
        <v>ГК 69 1/8</v>
      </c>
      <c r="BD582" s="115">
        <f>VLOOKUP(J582,'[63]ТР нефть'!$J$28:$BP$638,47,0)</f>
        <v>1910.000029688</v>
      </c>
      <c r="BE582" s="115" t="str">
        <f>VLOOKUP(J582,'[63]ТР нефть'!$J$28:$BP$638,48,0)</f>
        <v>ЦКсОК 5/16</v>
      </c>
      <c r="BF582" s="115" t="str">
        <f>VLOOKUP(J582,'[63]ТР нефть'!$J$28:$BP$638,49,0)</f>
        <v>-</v>
      </c>
      <c r="BG582" s="115" t="str">
        <f>VLOOKUP(J582,'[63]ТР нефть'!$J$28:$BP$638,50,0)</f>
        <v>-</v>
      </c>
      <c r="BH582" s="115" t="str">
        <f>VLOOKUP(J582,'[63]ТР нефть'!$J$28:$BP$638,51,0)</f>
        <v>-</v>
      </c>
      <c r="BI582" s="115" t="str">
        <f>VLOOKUP(J582,'[63]ТР нефть'!$J$28:$BP$638,52,0)</f>
        <v>-</v>
      </c>
      <c r="BJ582" s="115" t="str">
        <f>IF(IFERROR(VLOOKUP(J582,'[63]ТР нефть'!$J$28:$BP$638,53,0),"-")=0,"-",IFERROR(VLOOKUP(J582,'[63]ТР нефть'!$J$28:$BP$638,53,0),"-"))</f>
        <v>-</v>
      </c>
      <c r="BK582" s="138" t="str">
        <f>IF(IFERROR(VLOOKUP(J582,'[63]ТР нефть'!$J$28:$BP$638,54,0),"-")=0,"-",IFERROR(VLOOKUP(J582,'[63]ТР нефть'!$J$28:$BP$638,54,0),"-"))</f>
        <v>-</v>
      </c>
      <c r="BL582" s="138" t="str">
        <f>IF(IFERROR(VLOOKUP(J582,'[63]ТР нефть'!$J$28:$BP$638,55,0),"-")=0,"-",IFERROR(VLOOKUP(J582,'[63]ТР нефть'!$J$28:$BP$638,55,0),"-"))</f>
        <v>-</v>
      </c>
      <c r="BM582" s="138" t="str">
        <f>IF(IFERROR(VLOOKUP(J582,'[63]ТР нефть'!$J$28:$BP$638,56,0),"-")=0,"-",IFERROR(VLOOKUP(J582,'[63]ТР нефть'!$J$28:$BP$638,56,0),"-"))</f>
        <v>-</v>
      </c>
      <c r="BN582" s="138" t="str">
        <f>IF(IFERROR(VLOOKUP(J582,'[63]ТР нефть'!$J$28:$BP$638,57,0),"-")=0,"-",IFERROR(VLOOKUP(J582,'[63]ТР нефть'!$J$28:$BP$638,57,0),"-"))</f>
        <v>-</v>
      </c>
      <c r="BO582" s="115" t="str">
        <f>IF(IFERROR(VLOOKUP(J582,'[63]ТР нефть'!$J$28:$BP$638,58,0),"-")=0,"-",IFERROR(VLOOKUP(J582,'[63]ТР нефть'!$J$28:$BP$638,58,0),"-"))</f>
        <v>-</v>
      </c>
      <c r="BP582" s="115" t="str">
        <f>IF(IFERROR(VLOOKUP(J582,'[63]ТР нефть'!$J$28:$BP$638,59,0),"-")=0,"-",IFERROR(VLOOKUP(J582,'[63]ТР нефть'!$J$28:$BP$638,59,0),"-"))</f>
        <v>-</v>
      </c>
      <c r="BQ582" s="138">
        <v>3010</v>
      </c>
      <c r="BR582" s="128">
        <v>1894</v>
      </c>
      <c r="BS582" s="115">
        <f t="shared" si="490"/>
        <v>1116</v>
      </c>
      <c r="BT582" s="128">
        <v>73</v>
      </c>
      <c r="BU582" s="128">
        <v>5.5</v>
      </c>
      <c r="BV582" s="127">
        <v>65</v>
      </c>
      <c r="BW582" s="127" t="s">
        <v>217</v>
      </c>
      <c r="BX582" s="127" t="s">
        <v>195</v>
      </c>
      <c r="BY582" s="139">
        <v>24</v>
      </c>
      <c r="BZ582" s="139">
        <v>0</v>
      </c>
      <c r="CA582" s="138">
        <v>26</v>
      </c>
      <c r="CB582" s="138">
        <v>29</v>
      </c>
      <c r="CC582" s="138">
        <v>25</v>
      </c>
      <c r="CD582" s="135">
        <v>45017</v>
      </c>
      <c r="CE582" s="138">
        <v>122</v>
      </c>
      <c r="CF582" s="138">
        <v>72</v>
      </c>
      <c r="CG582" s="138" t="str">
        <f t="shared" si="474"/>
        <v/>
      </c>
      <c r="CH582" s="138" t="s">
        <v>197</v>
      </c>
      <c r="CI582" s="127"/>
      <c r="CJ582" s="138"/>
      <c r="CK582" s="138">
        <f t="shared" si="488"/>
        <v>23</v>
      </c>
      <c r="CL582" s="99"/>
      <c r="CM582" s="99"/>
      <c r="CN582" s="140">
        <v>49</v>
      </c>
      <c r="CO582" s="141">
        <f t="shared" si="442"/>
        <v>10.241</v>
      </c>
      <c r="CP582" s="142">
        <v>12.25</v>
      </c>
      <c r="CQ582" s="143">
        <v>0</v>
      </c>
      <c r="CR582" s="138">
        <v>15.6</v>
      </c>
      <c r="CS582" s="139">
        <v>12</v>
      </c>
      <c r="CT582" s="138"/>
      <c r="CU582" s="138">
        <f t="shared" si="475"/>
        <v>3.5999999999999996</v>
      </c>
      <c r="CV582" s="115">
        <f t="shared" si="476"/>
        <v>351.52817107704323</v>
      </c>
      <c r="CW582" s="115">
        <f t="shared" si="443"/>
        <v>1171.7605702568108</v>
      </c>
      <c r="CX582" s="133">
        <f t="shared" si="477"/>
        <v>0.1678082191780822</v>
      </c>
      <c r="CY582" s="116"/>
      <c r="CZ582" s="131"/>
      <c r="DA582" s="145" t="str">
        <f t="shared" si="478"/>
        <v>Газлифт</v>
      </c>
      <c r="DB582" s="146">
        <f t="shared" si="468"/>
        <v>10.241</v>
      </c>
      <c r="DC582" s="142">
        <f t="shared" si="469"/>
        <v>12.25</v>
      </c>
      <c r="DD582" s="119">
        <f t="shared" si="470"/>
        <v>0</v>
      </c>
      <c r="DE582" s="115">
        <f t="shared" si="471"/>
        <v>3.5999999999999996</v>
      </c>
      <c r="DF582" s="121">
        <f t="shared" si="472"/>
        <v>12</v>
      </c>
      <c r="DG582" s="115">
        <f t="shared" si="446"/>
        <v>351.52817107704323</v>
      </c>
      <c r="DH582" s="115">
        <f t="shared" si="447"/>
        <v>49</v>
      </c>
      <c r="DI582" s="147"/>
      <c r="DJ582" s="111" t="s">
        <v>197</v>
      </c>
      <c r="DK582" s="112">
        <v>43381</v>
      </c>
      <c r="DL582" s="113">
        <f t="shared" ca="1" si="480"/>
        <v>1723</v>
      </c>
      <c r="DM582" s="114"/>
      <c r="DN582" s="114"/>
      <c r="DO582" s="114"/>
      <c r="DP582" s="114"/>
      <c r="DQ582" s="112">
        <v>43381</v>
      </c>
      <c r="DR582" s="114" t="s">
        <v>324</v>
      </c>
      <c r="DS582" s="114"/>
      <c r="DT582" s="115">
        <v>56</v>
      </c>
      <c r="DU582" s="116">
        <f t="shared" si="481"/>
        <v>0.18560606060606061</v>
      </c>
      <c r="DV582" s="117">
        <f t="shared" si="484"/>
        <v>10.241</v>
      </c>
      <c r="DW582" s="118">
        <f t="shared" si="485"/>
        <v>12.25</v>
      </c>
      <c r="DX582" s="119">
        <f t="shared" si="486"/>
        <v>0</v>
      </c>
      <c r="DY582" s="115">
        <f t="shared" si="487"/>
        <v>3.5999999999999996</v>
      </c>
      <c r="DZ582" s="117">
        <f t="shared" si="482"/>
        <v>0</v>
      </c>
      <c r="EA582" s="120">
        <f t="shared" si="482"/>
        <v>0</v>
      </c>
      <c r="EB582" s="119">
        <f t="shared" si="482"/>
        <v>0</v>
      </c>
      <c r="EC582" s="121">
        <f t="shared" si="464"/>
        <v>0</v>
      </c>
      <c r="ED582" s="122" t="s">
        <v>1690</v>
      </c>
      <c r="EE582" s="145">
        <v>65</v>
      </c>
      <c r="EF582" s="115">
        <v>26</v>
      </c>
      <c r="EG582" s="115">
        <v>44</v>
      </c>
      <c r="EH582" s="115">
        <v>25</v>
      </c>
      <c r="EI582" s="128" t="s">
        <v>195</v>
      </c>
      <c r="EJ582" s="121">
        <v>24</v>
      </c>
      <c r="EK582" s="121">
        <v>0</v>
      </c>
      <c r="EL582" s="149">
        <v>11.0352</v>
      </c>
      <c r="EM582" s="142">
        <v>13.2</v>
      </c>
      <c r="EN582" s="119">
        <v>0</v>
      </c>
      <c r="EO582" s="115">
        <v>14</v>
      </c>
      <c r="EP582" s="115">
        <v>181.23821951573149</v>
      </c>
      <c r="EQ582" s="115">
        <v>72</v>
      </c>
      <c r="ER582" s="115">
        <v>12</v>
      </c>
      <c r="ES582" s="115">
        <v>55</v>
      </c>
      <c r="ET582" s="150">
        <v>0.19701492537313431</v>
      </c>
      <c r="EU582" s="145">
        <f t="shared" si="457"/>
        <v>65</v>
      </c>
      <c r="EV582" s="115">
        <f t="shared" si="448"/>
        <v>26</v>
      </c>
      <c r="EW582" s="115">
        <f t="shared" si="448"/>
        <v>29</v>
      </c>
      <c r="EX582" s="115">
        <f t="shared" si="448"/>
        <v>25</v>
      </c>
      <c r="EY582" s="115" t="str">
        <f t="shared" si="489"/>
        <v>Постоянный</v>
      </c>
      <c r="EZ582" s="115">
        <f t="shared" si="489"/>
        <v>24</v>
      </c>
      <c r="FA582" s="115">
        <f t="shared" si="489"/>
        <v>0</v>
      </c>
      <c r="FB582" s="149">
        <f t="shared" si="461"/>
        <v>10.241</v>
      </c>
      <c r="FC582" s="142">
        <f t="shared" si="461"/>
        <v>12.25</v>
      </c>
      <c r="FD582" s="119">
        <f t="shared" si="461"/>
        <v>0</v>
      </c>
      <c r="FE582" s="121">
        <f t="shared" si="460"/>
        <v>15.6</v>
      </c>
      <c r="FF582" s="121">
        <f t="shared" si="462"/>
        <v>351.52817107704323</v>
      </c>
      <c r="FG582" s="121">
        <f t="shared" si="449"/>
        <v>72</v>
      </c>
      <c r="FH582" s="121">
        <f t="shared" si="436"/>
        <v>12</v>
      </c>
      <c r="FI582" s="121">
        <f t="shared" si="483"/>
        <v>49</v>
      </c>
      <c r="FJ582" s="144">
        <f t="shared" si="450"/>
        <v>0.1678082191780822</v>
      </c>
      <c r="FK582" s="132">
        <f t="shared" si="451"/>
        <v>0</v>
      </c>
      <c r="FL582" s="115">
        <f t="shared" si="451"/>
        <v>0</v>
      </c>
      <c r="FM582" s="115">
        <f t="shared" si="451"/>
        <v>-15</v>
      </c>
      <c r="FN582" s="115">
        <f t="shared" si="451"/>
        <v>0</v>
      </c>
      <c r="FO582" s="115">
        <f t="shared" si="439"/>
        <v>0</v>
      </c>
      <c r="FP582" s="115">
        <f t="shared" si="439"/>
        <v>0</v>
      </c>
      <c r="FQ582" s="149">
        <f t="shared" si="439"/>
        <v>-0.79420000000000002</v>
      </c>
      <c r="FR582" s="142">
        <f t="shared" si="439"/>
        <v>-0.94999999999999929</v>
      </c>
      <c r="FS582" s="119">
        <f t="shared" si="439"/>
        <v>0</v>
      </c>
      <c r="FT582" s="121">
        <f t="shared" si="438"/>
        <v>1.5999999999999996</v>
      </c>
      <c r="FU582" s="121">
        <f t="shared" si="452"/>
        <v>0</v>
      </c>
      <c r="FV582" s="121">
        <f t="shared" si="452"/>
        <v>0</v>
      </c>
      <c r="FW582" s="121">
        <f t="shared" si="453"/>
        <v>170.28995156131174</v>
      </c>
      <c r="FX582" s="121">
        <f t="shared" si="454"/>
        <v>-6</v>
      </c>
      <c r="FY582" s="144">
        <f t="shared" si="454"/>
        <v>-2.9206706195052112E-2</v>
      </c>
      <c r="FZ582" s="145"/>
      <c r="GA582" s="151"/>
      <c r="GB582" s="145" t="s">
        <v>221</v>
      </c>
      <c r="GC582" s="151" t="s">
        <v>1993</v>
      </c>
      <c r="GD582" s="997" t="s">
        <v>202</v>
      </c>
      <c r="GE582" s="1004" t="s">
        <v>221</v>
      </c>
      <c r="GF582" s="1004">
        <v>-2.5915999999999997</v>
      </c>
      <c r="GG582" s="1004" t="s">
        <v>221</v>
      </c>
      <c r="GH582" s="1004">
        <v>4.0523662080000005</v>
      </c>
      <c r="GI582" s="145"/>
      <c r="GJ582" s="996">
        <v>0</v>
      </c>
      <c r="GK582" s="145"/>
      <c r="GL582" s="996">
        <v>0</v>
      </c>
      <c r="GM582" s="1005"/>
      <c r="GN582" s="996">
        <v>0</v>
      </c>
      <c r="GO582" s="1006"/>
      <c r="GP582" s="996">
        <v>-0.31310540800000197</v>
      </c>
      <c r="GQ582" s="1006" t="s">
        <v>241</v>
      </c>
      <c r="GR582" s="996">
        <v>-3.1039007999999981</v>
      </c>
      <c r="GS582" s="1006" t="s">
        <v>199</v>
      </c>
      <c r="GT582" s="996">
        <v>3.6508120000000002</v>
      </c>
      <c r="GU582" s="1006"/>
      <c r="GV582" s="996">
        <v>0.395427999999999</v>
      </c>
      <c r="GW582" s="1006" t="s">
        <v>223</v>
      </c>
      <c r="GX582" s="996">
        <v>-1.5047999999999995</v>
      </c>
      <c r="GY582" s="1006"/>
      <c r="GZ582" s="996">
        <v>0.63536000000000037</v>
      </c>
      <c r="HA582" s="1006"/>
      <c r="HB582" s="996">
        <v>-0.61028000000000127</v>
      </c>
      <c r="HC582" s="1006" t="s">
        <v>223</v>
      </c>
      <c r="HD582" s="996">
        <v>-2.1401599999999981</v>
      </c>
      <c r="HE582" s="1006"/>
      <c r="HF582" s="996">
        <v>0</v>
      </c>
      <c r="HG582" s="1006" t="s">
        <v>199</v>
      </c>
      <c r="HH582" s="996">
        <v>0.61027999999999771</v>
      </c>
      <c r="HI582" s="1006"/>
      <c r="HJ582" s="996">
        <v>-0.78082399999999907</v>
      </c>
      <c r="HK582" s="1006" t="s">
        <v>223</v>
      </c>
      <c r="HL582" s="996">
        <v>-1.5766960000000001</v>
      </c>
      <c r="HM582" s="1006"/>
      <c r="HN582" s="996">
        <v>0</v>
      </c>
      <c r="HO582" s="1006"/>
      <c r="HP582" s="996">
        <v>0</v>
      </c>
      <c r="HQ582" s="1006"/>
      <c r="HR582" s="996">
        <v>0</v>
      </c>
      <c r="HS582" s="1006" t="s">
        <v>643</v>
      </c>
      <c r="HT582" s="996">
        <v>0</v>
      </c>
      <c r="HU582" s="1006"/>
      <c r="HV582" s="996">
        <v>0.8360000000000003</v>
      </c>
      <c r="HW582" s="1006" t="s">
        <v>199</v>
      </c>
      <c r="HX582" s="996">
        <v>-1.2456399999999999</v>
      </c>
      <c r="HY582" s="1006"/>
      <c r="HZ582" s="996">
        <v>0</v>
      </c>
      <c r="IA582" s="1006" t="s">
        <v>204</v>
      </c>
      <c r="IB582" s="996">
        <v>-1.1286000000000005</v>
      </c>
      <c r="IC582" s="1006" t="s">
        <v>204</v>
      </c>
      <c r="ID582" s="996">
        <v>3.5613600000000005</v>
      </c>
      <c r="IE582" s="1006"/>
      <c r="IF582" s="996">
        <v>0.16719999999999935</v>
      </c>
      <c r="IG582" s="1006"/>
      <c r="IH582" s="996">
        <v>0</v>
      </c>
      <c r="II582" s="1006"/>
      <c r="IJ582" s="996">
        <v>0</v>
      </c>
      <c r="IK582" s="1006"/>
      <c r="IL582" s="996">
        <v>0</v>
      </c>
      <c r="IM582" s="1006"/>
      <c r="IN582" s="996">
        <v>0</v>
      </c>
      <c r="IO582" s="1006"/>
      <c r="IP582" s="996">
        <v>-0.41799999999999926</v>
      </c>
      <c r="IQ582" s="1006" t="s">
        <v>223</v>
      </c>
      <c r="IR582" s="996">
        <v>-4.18</v>
      </c>
      <c r="IS582" s="1006"/>
      <c r="IT582" s="996">
        <v>0</v>
      </c>
      <c r="IU582" s="1006" t="s">
        <v>199</v>
      </c>
      <c r="IV582" s="996">
        <v>-5.9356000000000009</v>
      </c>
      <c r="IW582" s="1006" t="s">
        <v>199</v>
      </c>
      <c r="IX582" s="996">
        <v>12.475628</v>
      </c>
      <c r="IY582" s="1006"/>
      <c r="IZ582" s="996">
        <v>0</v>
      </c>
      <c r="JA582" s="1006" t="s">
        <v>199</v>
      </c>
      <c r="JB582" s="996">
        <v>-13.228027999999998</v>
      </c>
      <c r="JC582" s="1006"/>
      <c r="JD582" s="996">
        <v>0</v>
      </c>
      <c r="JE582" s="1006"/>
      <c r="JF582" s="996">
        <v>0</v>
      </c>
      <c r="JG582" s="1006"/>
      <c r="JH582" s="996">
        <v>0</v>
      </c>
      <c r="JI582" s="1006"/>
      <c r="JJ582" s="996">
        <v>0</v>
      </c>
      <c r="JK582" s="1007"/>
      <c r="JL582" s="1007">
        <v>0</v>
      </c>
      <c r="JM582" s="1007"/>
      <c r="JN582" s="1007">
        <v>0</v>
      </c>
      <c r="JO582" s="1008"/>
      <c r="JP582" s="1007">
        <v>0</v>
      </c>
      <c r="JQ582" s="1008">
        <v>0</v>
      </c>
      <c r="JR582" s="1007">
        <v>0</v>
      </c>
      <c r="JS582" s="1008" t="s">
        <v>199</v>
      </c>
      <c r="JT582" s="1007">
        <v>1.671999999999997</v>
      </c>
      <c r="JU582" s="1008"/>
      <c r="JV582" s="1007">
        <v>0</v>
      </c>
      <c r="JW582" s="1008" t="s">
        <v>197</v>
      </c>
      <c r="JX582" s="1007">
        <v>0</v>
      </c>
      <c r="JY582" s="1008" t="s">
        <v>204</v>
      </c>
      <c r="JZ582" s="1007">
        <v>-9.195999999999998</v>
      </c>
      <c r="KA582" s="1008" t="s">
        <v>240</v>
      </c>
      <c r="KB582" s="1007">
        <v>-6.7465200000000003</v>
      </c>
      <c r="KC582" s="1008" t="s">
        <v>199</v>
      </c>
      <c r="KD582" s="1007">
        <v>-7.4654799999999994</v>
      </c>
      <c r="KE582" s="1008"/>
      <c r="KF582" s="1007">
        <v>0</v>
      </c>
      <c r="KG582" s="1008"/>
      <c r="KH582" s="1007">
        <v>0</v>
      </c>
      <c r="KI582" s="1008" t="s">
        <v>203</v>
      </c>
      <c r="KJ582" s="1007">
        <v>-1.1704000000000008</v>
      </c>
      <c r="KK582" s="1008"/>
      <c r="KL582" s="1007">
        <v>46.314399999999999</v>
      </c>
      <c r="KM582" s="1008"/>
      <c r="KN582" s="1007"/>
      <c r="KO582" s="1008"/>
      <c r="KP582" s="1007"/>
      <c r="KQ582" s="1008"/>
      <c r="KR582" s="1007"/>
      <c r="KS582" s="1008"/>
      <c r="KT582" s="1007"/>
      <c r="KU582" s="1008"/>
      <c r="KV582" s="1007"/>
      <c r="KW582" s="1008"/>
      <c r="KX582" s="1007"/>
      <c r="KY582" s="1008"/>
      <c r="KZ582" s="1007"/>
      <c r="LA582" s="1008"/>
      <c r="LB582" s="1007"/>
      <c r="LC582" s="1008"/>
      <c r="LD582" s="1007"/>
      <c r="LE582" s="1008"/>
      <c r="LF582" s="1007"/>
      <c r="LG582" s="1008"/>
      <c r="LH582" s="1007"/>
      <c r="LI582" s="1008"/>
      <c r="LJ582" s="1007"/>
      <c r="LK582" s="1008"/>
      <c r="LL582" s="1007"/>
      <c r="LM582" s="1008"/>
      <c r="LN582" s="1007"/>
      <c r="LO582" s="1008"/>
      <c r="LP582" s="1007"/>
      <c r="LQ582" s="1008"/>
      <c r="LR582" s="1007"/>
      <c r="LS582" s="1008"/>
      <c r="LT582" s="1007"/>
      <c r="LU582" s="1008"/>
      <c r="LV582" s="1007"/>
      <c r="LW582" s="1008"/>
      <c r="LX582" s="1007"/>
      <c r="LY582" s="1009"/>
      <c r="LZ582" s="1010"/>
      <c r="MA582" s="1011"/>
      <c r="MB582" s="1012"/>
      <c r="MC582" s="995"/>
      <c r="MD582" s="996"/>
      <c r="ME582" s="997" t="s">
        <v>202</v>
      </c>
      <c r="MF582" s="997"/>
      <c r="MG582" s="998"/>
      <c r="NR582" s="1000"/>
      <c r="NS582" s="1000"/>
      <c r="NT582" s="1001"/>
      <c r="NU582" s="1000"/>
      <c r="NV582" s="1001"/>
      <c r="NX582" s="1002"/>
      <c r="NZ582" s="1001"/>
      <c r="OA582" s="1001"/>
      <c r="OC582" s="1003"/>
      <c r="OD582" s="1003"/>
      <c r="OE582" s="1001"/>
      <c r="OF582" s="1003"/>
      <c r="OG582" s="1003"/>
      <c r="QX582" s="1000">
        <f>CN582-CA582</f>
        <v>23</v>
      </c>
      <c r="ASU582" s="999" t="s">
        <v>208</v>
      </c>
    </row>
    <row r="583" spans="1:466 1191:1191" ht="21" customHeight="1" x14ac:dyDescent="0.25">
      <c r="A583" s="982">
        <f t="shared" si="441"/>
        <v>3398</v>
      </c>
      <c r="B583" s="124">
        <f>SUBTOTAL(103,$J$29:J583)</f>
        <v>555</v>
      </c>
      <c r="C583" s="126">
        <v>45068</v>
      </c>
      <c r="D583" s="124" t="s">
        <v>176</v>
      </c>
      <c r="E583" s="127" t="s">
        <v>177</v>
      </c>
      <c r="F583" s="128" t="s">
        <v>177</v>
      </c>
      <c r="G583" s="127" t="s">
        <v>178</v>
      </c>
      <c r="H583" s="127" t="s">
        <v>179</v>
      </c>
      <c r="I583" s="127" t="s">
        <v>1326</v>
      </c>
      <c r="J583" s="152">
        <v>3398</v>
      </c>
      <c r="K583" s="127" t="s">
        <v>1326</v>
      </c>
      <c r="L583" s="130">
        <v>44089</v>
      </c>
      <c r="M583" s="127" t="s">
        <v>230</v>
      </c>
      <c r="N583" s="127" t="s">
        <v>184</v>
      </c>
      <c r="O583" s="127" t="s">
        <v>185</v>
      </c>
      <c r="P583" s="127" t="s">
        <v>186</v>
      </c>
      <c r="Q583" s="85" t="str">
        <f t="shared" si="473"/>
        <v/>
      </c>
      <c r="R583" s="130"/>
      <c r="S583" s="128"/>
      <c r="T583" s="131"/>
      <c r="U583" s="132">
        <v>203</v>
      </c>
      <c r="V583" s="121">
        <v>218.2</v>
      </c>
      <c r="W583" s="116">
        <v>0.98</v>
      </c>
      <c r="X583" s="116">
        <v>1.66</v>
      </c>
      <c r="Y583" s="116">
        <f t="shared" si="463"/>
        <v>0.9936768241433902</v>
      </c>
      <c r="Z583" s="133">
        <v>1.454</v>
      </c>
      <c r="AA583" s="133">
        <v>0.83599999999999997</v>
      </c>
      <c r="AB583" s="133">
        <v>0.72</v>
      </c>
      <c r="AC583" s="121">
        <v>34.299999999999997</v>
      </c>
      <c r="AD583" s="134">
        <v>1.17</v>
      </c>
      <c r="AE583" s="124">
        <v>177.8</v>
      </c>
      <c r="AF583" s="128">
        <v>9.19</v>
      </c>
      <c r="AG583" s="128">
        <v>2315.36</v>
      </c>
      <c r="AH583" s="127">
        <v>3188</v>
      </c>
      <c r="AI583" s="127">
        <v>3188</v>
      </c>
      <c r="AJ583" s="135"/>
      <c r="AK583" s="128"/>
      <c r="AL583" s="131"/>
      <c r="AM583" s="124" t="s">
        <v>985</v>
      </c>
      <c r="AN583" s="136" t="s">
        <v>1994</v>
      </c>
      <c r="AO583" s="137">
        <v>30.92</v>
      </c>
      <c r="AP583" s="128">
        <v>2387</v>
      </c>
      <c r="AQ583" s="128">
        <v>461.18000000000006</v>
      </c>
      <c r="AR583" s="128" t="s">
        <v>1995</v>
      </c>
      <c r="AS583" s="128">
        <v>114.3</v>
      </c>
      <c r="AT583" s="122">
        <v>7.37</v>
      </c>
      <c r="AU583" s="124" t="s">
        <v>189</v>
      </c>
      <c r="AV583" s="115">
        <f>VLOOKUP(J583,'[63]ТР нефть'!$J$28:$BP$638,39,0)</f>
        <v>490.00000722700003</v>
      </c>
      <c r="AW583" s="115" t="str">
        <f>VLOOKUP(J583,'[63]ТР нефть'!$J$28:$BP$638,40,0)</f>
        <v>ГП</v>
      </c>
      <c r="AX583" s="115">
        <f>VLOOKUP(J583,'[63]ТР нефть'!$J$28:$BP$638,41,0)</f>
        <v>899.99998593800001</v>
      </c>
      <c r="AY583" s="115" t="str">
        <f>VLOOKUP(J583,'[63]ТР нефть'!$J$28:$BP$638,42,0)</f>
        <v>ГП</v>
      </c>
      <c r="AZ583" s="115">
        <f>VLOOKUP(J583,'[63]ТР нефть'!$J$28:$BP$638,43,0)</f>
        <v>1319.9999496089999</v>
      </c>
      <c r="BA583" s="115" t="str">
        <f>VLOOKUP(J583,'[63]ТР нефть'!$J$28:$BP$638,44,0)</f>
        <v>ГК 78 1/8</v>
      </c>
      <c r="BB583" s="115">
        <f>VLOOKUP(J583,'[63]ТР нефть'!$J$28:$BP$638,45,0)</f>
        <v>1619.9999449219999</v>
      </c>
      <c r="BC583" s="115" t="str">
        <f>VLOOKUP(J583,'[63]ТР нефть'!$J$28:$BP$638,46,0)</f>
        <v>ГК 77 1/8</v>
      </c>
      <c r="BD583" s="115">
        <f>VLOOKUP(J583,'[63]ТР нефть'!$J$28:$BP$638,47,0)</f>
        <v>1770</v>
      </c>
      <c r="BE583" s="115" t="str">
        <f>VLOOKUP(J583,'[63]ТР нефть'!$J$28:$BP$638,48,0)</f>
        <v>ГК 76 1/8</v>
      </c>
      <c r="BF583" s="115">
        <f>VLOOKUP(J583,'[63]ТР нефть'!$J$28:$BP$638,49,0)</f>
        <v>2050</v>
      </c>
      <c r="BG583" s="115" t="str">
        <f>VLOOKUP(J583,'[63]ТР нефть'!$J$28:$BP$638,50,0)</f>
        <v>ЦКсОК 5/16</v>
      </c>
      <c r="BH583" s="115" t="str">
        <f>VLOOKUP(J583,'[63]ТР нефть'!$J$28:$BP$638,51,0)</f>
        <v>-</v>
      </c>
      <c r="BI583" s="115" t="str">
        <f>VLOOKUP(J583,'[63]ТР нефть'!$J$28:$BP$638,52,0)</f>
        <v>-</v>
      </c>
      <c r="BJ583" s="115" t="str">
        <f>IF(IFERROR(VLOOKUP(J583,'[63]ТР нефть'!$J$28:$BP$638,53,0),"-")=0,"-",IFERROR(VLOOKUP(J583,'[63]ТР нефть'!$J$28:$BP$638,53,0),"-"))</f>
        <v>-</v>
      </c>
      <c r="BK583" s="138" t="str">
        <f>IF(IFERROR(VLOOKUP(J583,'[63]ТР нефть'!$J$28:$BP$638,54,0),"-")=0,"-",IFERROR(VLOOKUP(J583,'[63]ТР нефть'!$J$28:$BP$638,54,0),"-"))</f>
        <v>-</v>
      </c>
      <c r="BL583" s="138" t="str">
        <f>IF(IFERROR(VLOOKUP(J583,'[63]ТР нефть'!$J$28:$BP$638,55,0),"-")=0,"-",IFERROR(VLOOKUP(J583,'[63]ТР нефть'!$J$28:$BP$638,55,0),"-"))</f>
        <v>-</v>
      </c>
      <c r="BM583" s="138" t="str">
        <f>IF(IFERROR(VLOOKUP(J583,'[63]ТР нефть'!$J$28:$BP$638,56,0),"-")=0,"-",IFERROR(VLOOKUP(J583,'[63]ТР нефть'!$J$28:$BP$638,56,0),"-"))</f>
        <v>-</v>
      </c>
      <c r="BN583" s="138" t="str">
        <f>IF(IFERROR(VLOOKUP(J583,'[63]ТР нефть'!$J$28:$BP$638,57,0),"-")=0,"-",IFERROR(VLOOKUP(J583,'[63]ТР нефть'!$J$28:$BP$638,57,0),"-"))</f>
        <v>-</v>
      </c>
      <c r="BO583" s="115" t="str">
        <f>IF(IFERROR(VLOOKUP(J583,'[63]ТР нефть'!$J$28:$BP$638,58,0),"-")=0,"-",IFERROR(VLOOKUP(J583,'[63]ТР нефть'!$J$28:$BP$638,58,0),"-"))</f>
        <v>-</v>
      </c>
      <c r="BP583" s="115" t="str">
        <f>IF(IFERROR(VLOOKUP(J583,'[63]ТР нефть'!$J$28:$BP$638,59,0),"-")=0,"-",IFERROR(VLOOKUP(J583,'[63]ТР нефть'!$J$28:$BP$638,59,0),"-"))</f>
        <v>-</v>
      </c>
      <c r="BQ583" s="138">
        <v>2250</v>
      </c>
      <c r="BR583" s="128">
        <f>1722.67+176.5</f>
        <v>1899.17</v>
      </c>
      <c r="BS583" s="115">
        <f t="shared" si="490"/>
        <v>350.82999999999993</v>
      </c>
      <c r="BT583" s="128">
        <v>73</v>
      </c>
      <c r="BU583" s="128">
        <v>5.5</v>
      </c>
      <c r="BV583" s="127">
        <v>18</v>
      </c>
      <c r="BW583" s="127" t="s">
        <v>194</v>
      </c>
      <c r="BX583" s="127" t="s">
        <v>195</v>
      </c>
      <c r="BY583" s="139">
        <v>24</v>
      </c>
      <c r="BZ583" s="139">
        <v>0</v>
      </c>
      <c r="CA583" s="138">
        <v>29</v>
      </c>
      <c r="CB583" s="138">
        <v>60</v>
      </c>
      <c r="CC583" s="138">
        <v>28</v>
      </c>
      <c r="CD583" s="135">
        <v>45017</v>
      </c>
      <c r="CE583" s="138">
        <v>141</v>
      </c>
      <c r="CF583" s="138">
        <v>66</v>
      </c>
      <c r="CG583" s="138" t="str">
        <f t="shared" si="474"/>
        <v>В работе</v>
      </c>
      <c r="CH583" s="138" t="s">
        <v>235</v>
      </c>
      <c r="CI583" s="138"/>
      <c r="CJ583" s="138"/>
      <c r="CK583" s="138">
        <f t="shared" si="488"/>
        <v>40</v>
      </c>
      <c r="CL583" s="99"/>
      <c r="CM583" s="99"/>
      <c r="CN583" s="140">
        <v>69</v>
      </c>
      <c r="CO583" s="141">
        <f t="shared" si="442"/>
        <v>13.37091712</v>
      </c>
      <c r="CP583" s="142">
        <v>16.55</v>
      </c>
      <c r="CQ583" s="143">
        <v>3.36</v>
      </c>
      <c r="CR583" s="138">
        <v>13.4</v>
      </c>
      <c r="CS583" s="139">
        <v>9.6</v>
      </c>
      <c r="CT583" s="138"/>
      <c r="CU583" s="138">
        <f t="shared" si="475"/>
        <v>3.8000000000000007</v>
      </c>
      <c r="CV583" s="115">
        <f t="shared" si="476"/>
        <v>284.19890467468554</v>
      </c>
      <c r="CW583" s="115">
        <f t="shared" si="443"/>
        <v>684.98733018892938</v>
      </c>
      <c r="CX583" s="133">
        <f t="shared" si="477"/>
        <v>0.22986111111111113</v>
      </c>
      <c r="CY583" s="116"/>
      <c r="CZ583" s="131"/>
      <c r="DA583" s="145" t="str">
        <f t="shared" si="478"/>
        <v>Газлифт</v>
      </c>
      <c r="DB583" s="146">
        <f t="shared" si="468"/>
        <v>13.37091712</v>
      </c>
      <c r="DC583" s="142">
        <f t="shared" si="469"/>
        <v>16.55</v>
      </c>
      <c r="DD583" s="119">
        <f t="shared" si="470"/>
        <v>3.36</v>
      </c>
      <c r="DE583" s="115">
        <f t="shared" si="471"/>
        <v>3.8000000000000007</v>
      </c>
      <c r="DF583" s="121">
        <f t="shared" si="472"/>
        <v>9.6</v>
      </c>
      <c r="DG583" s="115">
        <f t="shared" si="446"/>
        <v>284.19890467468554</v>
      </c>
      <c r="DH583" s="115">
        <f t="shared" si="447"/>
        <v>69</v>
      </c>
      <c r="DI583" s="147"/>
      <c r="DJ583" s="111"/>
      <c r="DK583" s="112">
        <v>44089</v>
      </c>
      <c r="DL583" s="113">
        <f t="shared" ca="1" si="480"/>
        <v>1015</v>
      </c>
      <c r="DM583" s="114"/>
      <c r="DN583" s="114"/>
      <c r="DO583" s="114"/>
      <c r="DP583" s="114"/>
      <c r="DQ583" s="112"/>
      <c r="DR583" s="114"/>
      <c r="DS583" s="114"/>
      <c r="DT583" s="115">
        <v>60</v>
      </c>
      <c r="DU583" s="116">
        <f t="shared" si="481"/>
        <v>0.22142584097859327</v>
      </c>
      <c r="DV583" s="117">
        <f t="shared" si="484"/>
        <v>14.490271420183488</v>
      </c>
      <c r="DW583" s="118">
        <f t="shared" si="485"/>
        <v>17.935493119266056</v>
      </c>
      <c r="DX583" s="119">
        <f t="shared" si="486"/>
        <v>3.36</v>
      </c>
      <c r="DY583" s="115">
        <f t="shared" si="487"/>
        <v>4.1181192660550465</v>
      </c>
      <c r="DZ583" s="117">
        <f t="shared" si="482"/>
        <v>1.1193543001834882</v>
      </c>
      <c r="EA583" s="120">
        <f t="shared" si="482"/>
        <v>1.3854931192660551</v>
      </c>
      <c r="EB583" s="119">
        <f t="shared" si="482"/>
        <v>0</v>
      </c>
      <c r="EC583" s="121">
        <f t="shared" si="464"/>
        <v>0.31811926605504581</v>
      </c>
      <c r="ED583" s="122"/>
      <c r="EE583" s="145">
        <v>18</v>
      </c>
      <c r="EF583" s="115">
        <v>31</v>
      </c>
      <c r="EG583" s="115">
        <v>60</v>
      </c>
      <c r="EH583" s="115">
        <v>30</v>
      </c>
      <c r="EI583" s="128" t="s">
        <v>195</v>
      </c>
      <c r="EJ583" s="121">
        <v>24</v>
      </c>
      <c r="EK583" s="121">
        <v>0</v>
      </c>
      <c r="EL583" s="149">
        <v>13.85238624</v>
      </c>
      <c r="EM583" s="142">
        <v>16.8</v>
      </c>
      <c r="EN583" s="119">
        <v>1.37</v>
      </c>
      <c r="EO583" s="115">
        <v>13.6</v>
      </c>
      <c r="EP583" s="115">
        <v>288.75891349676948</v>
      </c>
      <c r="EQ583" s="115">
        <v>64</v>
      </c>
      <c r="ER583" s="115">
        <v>9.6</v>
      </c>
      <c r="ES583" s="115">
        <v>71</v>
      </c>
      <c r="ET583" s="150">
        <v>0.24000000000000002</v>
      </c>
      <c r="EU583" s="145">
        <f t="shared" si="457"/>
        <v>18</v>
      </c>
      <c r="EV583" s="115">
        <f t="shared" si="448"/>
        <v>29</v>
      </c>
      <c r="EW583" s="115">
        <f t="shared" si="448"/>
        <v>60</v>
      </c>
      <c r="EX583" s="115">
        <f t="shared" si="448"/>
        <v>28</v>
      </c>
      <c r="EY583" s="115" t="str">
        <f t="shared" si="489"/>
        <v>Постоянный</v>
      </c>
      <c r="EZ583" s="115">
        <f t="shared" si="489"/>
        <v>24</v>
      </c>
      <c r="FA583" s="115">
        <f t="shared" si="489"/>
        <v>0</v>
      </c>
      <c r="FB583" s="149">
        <f t="shared" si="461"/>
        <v>13.37091712</v>
      </c>
      <c r="FC583" s="142">
        <f t="shared" si="461"/>
        <v>16.55</v>
      </c>
      <c r="FD583" s="119">
        <f t="shared" si="461"/>
        <v>3.36</v>
      </c>
      <c r="FE583" s="121">
        <f t="shared" si="460"/>
        <v>13.4</v>
      </c>
      <c r="FF583" s="121">
        <f t="shared" si="462"/>
        <v>284.19890467468554</v>
      </c>
      <c r="FG583" s="121">
        <f t="shared" si="449"/>
        <v>66</v>
      </c>
      <c r="FH583" s="121">
        <f t="shared" ref="FH583:FH625" si="491">CS583</f>
        <v>9.6</v>
      </c>
      <c r="FI583" s="121">
        <f t="shared" si="483"/>
        <v>69</v>
      </c>
      <c r="FJ583" s="144">
        <f t="shared" si="450"/>
        <v>0.22986111111111113</v>
      </c>
      <c r="FK583" s="132">
        <f t="shared" si="451"/>
        <v>0</v>
      </c>
      <c r="FL583" s="115">
        <f t="shared" si="451"/>
        <v>-2</v>
      </c>
      <c r="FM583" s="115">
        <f t="shared" si="451"/>
        <v>0</v>
      </c>
      <c r="FN583" s="115">
        <f t="shared" si="451"/>
        <v>-2</v>
      </c>
      <c r="FO583" s="115">
        <f t="shared" si="439"/>
        <v>0</v>
      </c>
      <c r="FP583" s="115">
        <f t="shared" si="439"/>
        <v>0</v>
      </c>
      <c r="FQ583" s="149">
        <f t="shared" si="439"/>
        <v>-0.48146911999999986</v>
      </c>
      <c r="FR583" s="142">
        <f t="shared" si="439"/>
        <v>-0.25</v>
      </c>
      <c r="FS583" s="119">
        <f t="shared" si="439"/>
        <v>1.9899999999999998</v>
      </c>
      <c r="FT583" s="121">
        <f t="shared" si="438"/>
        <v>-0.19999999999999929</v>
      </c>
      <c r="FU583" s="121">
        <f t="shared" si="452"/>
        <v>2</v>
      </c>
      <c r="FV583" s="121">
        <f t="shared" si="452"/>
        <v>0</v>
      </c>
      <c r="FW583" s="121">
        <f t="shared" si="453"/>
        <v>-4.5600088220839439</v>
      </c>
      <c r="FX583" s="121">
        <f t="shared" si="454"/>
        <v>-2</v>
      </c>
      <c r="FY583" s="144">
        <f t="shared" si="454"/>
        <v>-1.0138888888888892E-2</v>
      </c>
      <c r="FZ583" s="145"/>
      <c r="GA583" s="151"/>
      <c r="GB583" s="145" t="s">
        <v>199</v>
      </c>
      <c r="GC583" s="151" t="s">
        <v>415</v>
      </c>
      <c r="GD583" s="997" t="s">
        <v>202</v>
      </c>
      <c r="GE583" s="1004" t="s">
        <v>199</v>
      </c>
      <c r="GF583" s="1004">
        <v>-1.3962537599999987</v>
      </c>
      <c r="GG583" s="1004"/>
      <c r="GH583" s="1004">
        <v>0</v>
      </c>
      <c r="GI583" s="145"/>
      <c r="GJ583" s="996">
        <v>0</v>
      </c>
      <c r="GK583" s="145" t="s">
        <v>199</v>
      </c>
      <c r="GL583" s="996">
        <v>1.3208799999999989</v>
      </c>
      <c r="GM583" s="1005"/>
      <c r="GN583" s="996">
        <v>-0.45938200000000151</v>
      </c>
      <c r="GO583" s="1006"/>
      <c r="GP583" s="996">
        <v>0</v>
      </c>
      <c r="GQ583" s="1006" t="s">
        <v>240</v>
      </c>
      <c r="GR583" s="996">
        <v>-3.5913958079999979</v>
      </c>
      <c r="GS583" s="1006"/>
      <c r="GT583" s="996">
        <v>-0.56944725199999979</v>
      </c>
      <c r="GU583" s="1006"/>
      <c r="GV583" s="996">
        <v>0.70774506000000059</v>
      </c>
      <c r="GW583" s="1006"/>
      <c r="GX583" s="996">
        <v>0</v>
      </c>
      <c r="GY583" s="1006"/>
      <c r="GZ583" s="996">
        <v>0</v>
      </c>
      <c r="HA583" s="1006"/>
      <c r="HB583" s="996">
        <v>0</v>
      </c>
      <c r="HC583" s="1006"/>
      <c r="HD583" s="996">
        <v>0</v>
      </c>
      <c r="HE583" s="1006" t="s">
        <v>204</v>
      </c>
      <c r="HF583" s="996">
        <v>0</v>
      </c>
      <c r="HG583" s="1006" t="s">
        <v>199</v>
      </c>
      <c r="HH583" s="996">
        <v>13.904201519999999</v>
      </c>
      <c r="HI583" s="1006" t="s">
        <v>204</v>
      </c>
      <c r="HJ583" s="996">
        <v>-1.3727955999999999</v>
      </c>
      <c r="HK583" s="1006" t="s">
        <v>276</v>
      </c>
      <c r="HL583" s="996">
        <v>8.2808399999999995</v>
      </c>
      <c r="HM583" s="1006"/>
      <c r="HN583" s="996">
        <v>0</v>
      </c>
      <c r="HO583" s="1006"/>
      <c r="HP583" s="996">
        <v>0</v>
      </c>
      <c r="HQ583" s="1006"/>
      <c r="HR583" s="996">
        <v>0</v>
      </c>
      <c r="HS583" s="1006"/>
      <c r="HT583" s="996">
        <v>0</v>
      </c>
      <c r="HU583" s="1006" t="s">
        <v>199</v>
      </c>
      <c r="HV583" s="996">
        <v>5.8788431240000012</v>
      </c>
      <c r="HW583" s="1006"/>
      <c r="HX583" s="996">
        <v>0</v>
      </c>
      <c r="HY583" s="1006"/>
      <c r="HZ583" s="996">
        <v>-7.3893204000000878E-2</v>
      </c>
      <c r="IA583" s="1006" t="s">
        <v>199</v>
      </c>
      <c r="IB583" s="996">
        <v>-2.63650992</v>
      </c>
      <c r="IC583" s="1006" t="s">
        <v>199</v>
      </c>
      <c r="ID583" s="996">
        <v>-2.9176399999999987</v>
      </c>
      <c r="IE583" s="1006" t="s">
        <v>199</v>
      </c>
      <c r="IF583" s="996">
        <v>3.2603999999999989</v>
      </c>
      <c r="IG583" s="1006"/>
      <c r="IH583" s="996">
        <v>-0.33440000000000047</v>
      </c>
      <c r="II583" s="1006" t="s">
        <v>199</v>
      </c>
      <c r="IJ583" s="996">
        <v>-5.0159999999999982</v>
      </c>
      <c r="IK583" s="1006"/>
      <c r="IL583" s="996">
        <v>0</v>
      </c>
      <c r="IM583" s="1006" t="s">
        <v>199</v>
      </c>
      <c r="IN583" s="996">
        <v>-9.6139999999999972</v>
      </c>
      <c r="IO583" s="1006" t="s">
        <v>203</v>
      </c>
      <c r="IP583" s="996">
        <v>-16.261036000000001</v>
      </c>
      <c r="IQ583" s="1006" t="s">
        <v>25</v>
      </c>
      <c r="IR583" s="996">
        <v>44.099835999999996</v>
      </c>
      <c r="IS583" s="1006"/>
      <c r="IT583" s="996">
        <v>0</v>
      </c>
      <c r="IU583" s="1006"/>
      <c r="IV583" s="996">
        <v>0</v>
      </c>
      <c r="IW583" s="1006"/>
      <c r="IX583" s="996"/>
      <c r="IY583" s="1006"/>
      <c r="IZ583" s="996"/>
      <c r="JA583" s="1006"/>
      <c r="JB583" s="996"/>
      <c r="JC583" s="1006"/>
      <c r="JD583" s="996"/>
      <c r="JE583" s="1006"/>
      <c r="JF583" s="996"/>
      <c r="JG583" s="1006"/>
      <c r="JH583" s="996"/>
      <c r="JI583" s="1006"/>
      <c r="JJ583" s="996"/>
      <c r="JK583" s="1007"/>
      <c r="JL583" s="1007"/>
      <c r="JM583" s="1007"/>
      <c r="JN583" s="1007"/>
      <c r="JO583" s="1008"/>
      <c r="JP583" s="1007"/>
      <c r="JQ583" s="1008"/>
      <c r="JR583" s="1007"/>
      <c r="JS583" s="1008"/>
      <c r="JT583" s="1007"/>
      <c r="JU583" s="1008"/>
      <c r="JV583" s="1007"/>
      <c r="JW583" s="1008"/>
      <c r="JX583" s="1007"/>
      <c r="JY583" s="1008"/>
      <c r="JZ583" s="1007"/>
      <c r="KA583" s="1008"/>
      <c r="KB583" s="1007"/>
      <c r="KC583" s="1008"/>
      <c r="KD583" s="1007"/>
      <c r="KE583" s="1008"/>
      <c r="KF583" s="1007"/>
      <c r="KG583" s="1008"/>
      <c r="KH583" s="1007"/>
      <c r="KI583" s="1008"/>
      <c r="KJ583" s="1007"/>
      <c r="KK583" s="1008"/>
      <c r="KL583" s="1007"/>
      <c r="KM583" s="1008"/>
      <c r="KN583" s="1007"/>
      <c r="KO583" s="1008"/>
      <c r="KP583" s="1007"/>
      <c r="KQ583" s="1008"/>
      <c r="KR583" s="1007"/>
      <c r="KS583" s="1008"/>
      <c r="KT583" s="1007"/>
      <c r="KU583" s="1008"/>
      <c r="KV583" s="1007"/>
      <c r="KW583" s="1008"/>
      <c r="KX583" s="1007"/>
      <c r="KY583" s="1008"/>
      <c r="KZ583" s="1007"/>
      <c r="LA583" s="1008"/>
      <c r="LB583" s="1007"/>
      <c r="LC583" s="1008"/>
      <c r="LD583" s="1007"/>
      <c r="LE583" s="1008"/>
      <c r="LF583" s="1007"/>
      <c r="LG583" s="1008"/>
      <c r="LH583" s="1007"/>
      <c r="LI583" s="1008"/>
      <c r="LJ583" s="1007"/>
      <c r="LK583" s="1008"/>
      <c r="LL583" s="1007"/>
      <c r="LM583" s="1008"/>
      <c r="LN583" s="1007"/>
      <c r="LO583" s="1008"/>
      <c r="LP583" s="1007"/>
      <c r="LQ583" s="1008"/>
      <c r="LR583" s="1007"/>
      <c r="LS583" s="1008"/>
      <c r="LT583" s="1007"/>
      <c r="LU583" s="1008"/>
      <c r="LV583" s="1007"/>
      <c r="LW583" s="1008"/>
      <c r="LX583" s="1007"/>
      <c r="LY583" s="1009"/>
      <c r="LZ583" s="1010"/>
      <c r="MA583" s="1011"/>
      <c r="MB583" s="1012"/>
      <c r="MC583" s="995"/>
      <c r="MD583" s="996"/>
      <c r="ME583" s="997" t="s">
        <v>202</v>
      </c>
      <c r="MF583" s="997"/>
      <c r="MG583" s="998"/>
      <c r="NR583" s="1000"/>
      <c r="NS583" s="1000"/>
      <c r="NT583" s="1001"/>
      <c r="NU583" s="1000"/>
      <c r="NV583" s="1001"/>
      <c r="NX583" s="1002"/>
      <c r="NZ583" s="1001"/>
      <c r="OA583" s="1001"/>
      <c r="OC583" s="1003"/>
      <c r="OD583" s="1003"/>
      <c r="OE583" s="1001"/>
      <c r="OF583" s="1003"/>
      <c r="OG583" s="1003"/>
      <c r="QX583" s="1000">
        <f>CN583-CA583</f>
        <v>40</v>
      </c>
      <c r="ASU583" s="999" t="s">
        <v>208</v>
      </c>
    </row>
    <row r="584" spans="1:466 1191:1191" ht="21" customHeight="1" x14ac:dyDescent="0.25">
      <c r="A584" s="982">
        <f t="shared" si="441"/>
        <v>3399</v>
      </c>
      <c r="B584" s="124">
        <f>SUBTOTAL(103,$J$29:J584)</f>
        <v>556</v>
      </c>
      <c r="C584" s="126">
        <v>45068</v>
      </c>
      <c r="D584" s="124" t="s">
        <v>176</v>
      </c>
      <c r="E584" s="127" t="s">
        <v>177</v>
      </c>
      <c r="F584" s="128" t="s">
        <v>177</v>
      </c>
      <c r="G584" s="127" t="s">
        <v>178</v>
      </c>
      <c r="H584" s="127" t="s">
        <v>179</v>
      </c>
      <c r="I584" s="127" t="s">
        <v>1393</v>
      </c>
      <c r="J584" s="152">
        <v>3399</v>
      </c>
      <c r="K584" s="127" t="s">
        <v>1393</v>
      </c>
      <c r="L584" s="130">
        <v>43700</v>
      </c>
      <c r="M584" s="127" t="s">
        <v>230</v>
      </c>
      <c r="N584" s="127" t="s">
        <v>184</v>
      </c>
      <c r="O584" s="127" t="s">
        <v>185</v>
      </c>
      <c r="P584" s="127" t="s">
        <v>186</v>
      </c>
      <c r="Q584" s="85" t="str">
        <f t="shared" si="473"/>
        <v/>
      </c>
      <c r="R584" s="130"/>
      <c r="S584" s="128"/>
      <c r="T584" s="131"/>
      <c r="U584" s="132">
        <v>203</v>
      </c>
      <c r="V584" s="121">
        <v>218.2</v>
      </c>
      <c r="W584" s="116">
        <v>0.98</v>
      </c>
      <c r="X584" s="116">
        <v>1.66</v>
      </c>
      <c r="Y584" s="116">
        <f t="shared" si="463"/>
        <v>0.99632533072023521</v>
      </c>
      <c r="Z584" s="133">
        <v>1.454</v>
      </c>
      <c r="AA584" s="133">
        <v>0.83599999999999997</v>
      </c>
      <c r="AB584" s="133">
        <v>0.72</v>
      </c>
      <c r="AC584" s="121">
        <v>34.299999999999997</v>
      </c>
      <c r="AD584" s="134">
        <v>1.17</v>
      </c>
      <c r="AE584" s="124">
        <v>177.8</v>
      </c>
      <c r="AF584" s="128">
        <v>9.19</v>
      </c>
      <c r="AG584" s="128">
        <v>2281</v>
      </c>
      <c r="AH584" s="127">
        <v>3064.45</v>
      </c>
      <c r="AI584" s="127">
        <v>3064.45</v>
      </c>
      <c r="AJ584" s="135"/>
      <c r="AK584" s="128" t="s">
        <v>1996</v>
      </c>
      <c r="AL584" s="131"/>
      <c r="AM584" s="124" t="s">
        <v>187</v>
      </c>
      <c r="AN584" s="136" t="s">
        <v>1997</v>
      </c>
      <c r="AO584" s="137">
        <v>8</v>
      </c>
      <c r="AP584" s="128">
        <v>2447.4899999999998</v>
      </c>
      <c r="AQ584" s="128">
        <v>535.20000000000005</v>
      </c>
      <c r="AR584" s="128" t="s">
        <v>1998</v>
      </c>
      <c r="AS584" s="128">
        <v>114</v>
      </c>
      <c r="AT584" s="122">
        <v>7.37</v>
      </c>
      <c r="AU584" s="124" t="s">
        <v>189</v>
      </c>
      <c r="AV584" s="115">
        <f>VLOOKUP(J584,'[63]ТР нефть'!$J$28:$BP$638,39,0)</f>
        <v>300</v>
      </c>
      <c r="AW584" s="115" t="str">
        <f>VLOOKUP(J584,'[63]ТР нефть'!$J$28:$BP$638,40,0)</f>
        <v>ГП</v>
      </c>
      <c r="AX584" s="115" t="str">
        <f>VLOOKUP(J584,'[63]ТР нефть'!$J$28:$BP$638,41,0)</f>
        <v>-</v>
      </c>
      <c r="AY584" s="115" t="str">
        <f>VLOOKUP(J584,'[63]ТР нефть'!$J$28:$BP$638,42,0)</f>
        <v>-</v>
      </c>
      <c r="AZ584" s="115" t="str">
        <f>VLOOKUP(J584,'[63]ТР нефть'!$J$28:$BP$638,43,0)</f>
        <v>-</v>
      </c>
      <c r="BA584" s="115" t="str">
        <f>VLOOKUP(J584,'[63]ТР нефть'!$J$28:$BP$638,44,0)</f>
        <v>-</v>
      </c>
      <c r="BB584" s="115" t="str">
        <f>VLOOKUP(J584,'[63]ТР нефть'!$J$28:$BP$638,45,0)</f>
        <v>-</v>
      </c>
      <c r="BC584" s="115" t="str">
        <f>VLOOKUP(J584,'[63]ТР нефть'!$J$28:$BP$638,46,0)</f>
        <v>-</v>
      </c>
      <c r="BD584" s="115" t="str">
        <f>VLOOKUP(J584,'[63]ТР нефть'!$J$28:$BP$638,47,0)</f>
        <v>-</v>
      </c>
      <c r="BE584" s="115" t="str">
        <f>VLOOKUP(J584,'[63]ТР нефть'!$J$28:$BP$638,48,0)</f>
        <v>-</v>
      </c>
      <c r="BF584" s="115" t="str">
        <f>VLOOKUP(J584,'[63]ТР нефть'!$J$28:$BP$638,49,0)</f>
        <v>-</v>
      </c>
      <c r="BG584" s="115" t="str">
        <f>VLOOKUP(J584,'[63]ТР нефть'!$J$28:$BP$638,50,0)</f>
        <v>-</v>
      </c>
      <c r="BH584" s="115">
        <f>VLOOKUP(J584,'[63]ТР нефть'!$J$28:$BP$638,51,0)</f>
        <v>1805</v>
      </c>
      <c r="BI584" s="115" t="str">
        <f>VLOOKUP(J584,'[63]ТР нефть'!$J$28:$BP$638,52,0)</f>
        <v>закрыт</v>
      </c>
      <c r="BJ584" s="115" t="str">
        <f>IF(IFERROR(VLOOKUP(J584,'[63]ТР нефть'!$J$28:$BP$638,53,0),"-")=0,"-",IFERROR(VLOOKUP(J584,'[63]ТР нефть'!$J$28:$BP$638,53,0),"-"))</f>
        <v>-</v>
      </c>
      <c r="BK584" s="138" t="str">
        <f>IF(IFERROR(VLOOKUP(J584,'[63]ТР нефть'!$J$28:$BP$638,54,0),"-")=0,"-",IFERROR(VLOOKUP(J584,'[63]ТР нефть'!$J$28:$BP$638,54,0),"-"))</f>
        <v>-</v>
      </c>
      <c r="BL584" s="138" t="str">
        <f>IF(IFERROR(VLOOKUP(J584,'[63]ТР нефть'!$J$28:$BP$638,55,0),"-")=0,"-",IFERROR(VLOOKUP(J584,'[63]ТР нефть'!$J$28:$BP$638,55,0),"-"))</f>
        <v>-</v>
      </c>
      <c r="BM584" s="138" t="str">
        <f>IF(IFERROR(VLOOKUP(J584,'[63]ТР нефть'!$J$28:$BP$638,56,0),"-")=0,"-",IFERROR(VLOOKUP(J584,'[63]ТР нефть'!$J$28:$BP$638,56,0),"-"))</f>
        <v>-</v>
      </c>
      <c r="BN584" s="138" t="str">
        <f>IF(IFERROR(VLOOKUP(J584,'[63]ТР нефть'!$J$28:$BP$638,57,0),"-")=0,"-",IFERROR(VLOOKUP(J584,'[63]ТР нефть'!$J$28:$BP$638,57,0),"-"))</f>
        <v>-</v>
      </c>
      <c r="BO584" s="115">
        <f>IF(IFERROR(VLOOKUP(J584,'[63]ТР нефть'!$J$28:$BP$638,58,0),"-")=0,"-",IFERROR(VLOOKUP(J584,'[63]ТР нефть'!$J$28:$BP$638,58,0),"-"))</f>
        <v>45</v>
      </c>
      <c r="BP584" s="115" t="str">
        <f>IF(IFERROR(VLOOKUP(J584,'[63]ТР нефть'!$J$28:$BP$638,59,0),"-")=0,"-",IFERROR(VLOOKUP(J584,'[63]ТР нефть'!$J$28:$BP$638,59,0),"-"))</f>
        <v>-</v>
      </c>
      <c r="BQ584" s="138">
        <v>2088</v>
      </c>
      <c r="BR584" s="128">
        <v>1847</v>
      </c>
      <c r="BS584" s="115">
        <f t="shared" si="490"/>
        <v>241</v>
      </c>
      <c r="BT584" s="128">
        <v>73</v>
      </c>
      <c r="BU584" s="128">
        <v>5.5</v>
      </c>
      <c r="BV584" s="127">
        <v>65</v>
      </c>
      <c r="BW584" s="127" t="s">
        <v>217</v>
      </c>
      <c r="BX584" s="127" t="s">
        <v>195</v>
      </c>
      <c r="BY584" s="139">
        <v>24</v>
      </c>
      <c r="BZ584" s="139">
        <v>0</v>
      </c>
      <c r="CA584" s="138">
        <v>30</v>
      </c>
      <c r="CB584" s="138">
        <v>60</v>
      </c>
      <c r="CC584" s="138">
        <v>29</v>
      </c>
      <c r="CD584" s="135">
        <v>45017</v>
      </c>
      <c r="CE584" s="138">
        <v>119</v>
      </c>
      <c r="CF584" s="138">
        <v>66</v>
      </c>
      <c r="CG584" s="138" t="str">
        <f t="shared" si="474"/>
        <v/>
      </c>
      <c r="CH584" s="138" t="s">
        <v>197</v>
      </c>
      <c r="CI584" s="127"/>
      <c r="CJ584" s="138">
        <f>IF((BR584-(100*(CM584-CB584))/(9.8*(AB584+AA584)/2))&gt;0,BR584-(100*(CM584-CB584))/(9.8*(AB584+AA584)/2),0)</f>
        <v>2633.9471696133464</v>
      </c>
      <c r="CK584" s="138">
        <f t="shared" si="488"/>
        <v>62</v>
      </c>
      <c r="CL584" s="99"/>
      <c r="CM584" s="99"/>
      <c r="CN584" s="140">
        <v>92</v>
      </c>
      <c r="CO584" s="141">
        <f t="shared" si="442"/>
        <v>14.847359999999998</v>
      </c>
      <c r="CP584" s="142">
        <v>18.5</v>
      </c>
      <c r="CQ584" s="143">
        <v>4</v>
      </c>
      <c r="CR584" s="138">
        <v>20</v>
      </c>
      <c r="CS584" s="139">
        <v>7.2</v>
      </c>
      <c r="CT584" s="138"/>
      <c r="CU584" s="138">
        <f t="shared" si="475"/>
        <v>12.8</v>
      </c>
      <c r="CV584" s="115">
        <f t="shared" si="476"/>
        <v>862.10612526402008</v>
      </c>
      <c r="CW584" s="115">
        <f t="shared" si="443"/>
        <v>458.47374091648902</v>
      </c>
      <c r="CX584" s="133">
        <f t="shared" si="477"/>
        <v>0.68518518518518523</v>
      </c>
      <c r="CY584" s="116"/>
      <c r="CZ584" s="131"/>
      <c r="DA584" s="145" t="str">
        <f t="shared" si="478"/>
        <v>Газлифт</v>
      </c>
      <c r="DB584" s="146">
        <f t="shared" si="468"/>
        <v>14.847359999999998</v>
      </c>
      <c r="DC584" s="142">
        <f t="shared" si="469"/>
        <v>18.5</v>
      </c>
      <c r="DD584" s="119">
        <f t="shared" si="470"/>
        <v>4</v>
      </c>
      <c r="DE584" s="115">
        <f t="shared" si="471"/>
        <v>12.8</v>
      </c>
      <c r="DF584" s="121">
        <f t="shared" si="472"/>
        <v>7.2</v>
      </c>
      <c r="DG584" s="115">
        <f t="shared" si="446"/>
        <v>862.10612526402008</v>
      </c>
      <c r="DH584" s="115">
        <f t="shared" si="447"/>
        <v>92</v>
      </c>
      <c r="DI584" s="147"/>
      <c r="DJ584" s="111">
        <v>44056</v>
      </c>
      <c r="DK584" s="112">
        <v>43745</v>
      </c>
      <c r="DL584" s="113">
        <f t="shared" ca="1" si="480"/>
        <v>1359</v>
      </c>
      <c r="DM584" s="114">
        <v>16.8</v>
      </c>
      <c r="DN584" s="114">
        <v>54</v>
      </c>
      <c r="DO584" s="114">
        <v>38</v>
      </c>
      <c r="DP584" s="114"/>
      <c r="DQ584" s="112"/>
      <c r="DR584" s="114"/>
      <c r="DS584" s="114"/>
      <c r="DT584" s="115">
        <v>50.739534161019982</v>
      </c>
      <c r="DU584" s="116">
        <f t="shared" si="481"/>
        <v>0.5677560681479743</v>
      </c>
      <c r="DV584" s="117">
        <f t="shared" si="484"/>
        <v>31.10344850760913</v>
      </c>
      <c r="DW584" s="118">
        <f t="shared" si="485"/>
        <v>38.755293694688412</v>
      </c>
      <c r="DX584" s="119">
        <f t="shared" si="486"/>
        <v>4</v>
      </c>
      <c r="DY584" s="115">
        <f t="shared" si="487"/>
        <v>26.814473475243876</v>
      </c>
      <c r="DZ584" s="117">
        <f t="shared" si="482"/>
        <v>16.256088507609132</v>
      </c>
      <c r="EA584" s="120">
        <f t="shared" si="482"/>
        <v>20.255293694688412</v>
      </c>
      <c r="EB584" s="119">
        <f t="shared" si="482"/>
        <v>0</v>
      </c>
      <c r="EC584" s="121">
        <f t="shared" si="464"/>
        <v>14.014473475243875</v>
      </c>
      <c r="ED584" s="122"/>
      <c r="EE584" s="145">
        <v>65</v>
      </c>
      <c r="EF584" s="115">
        <v>30</v>
      </c>
      <c r="EG584" s="115">
        <v>60</v>
      </c>
      <c r="EH584" s="115">
        <v>29</v>
      </c>
      <c r="EI584" s="128" t="s">
        <v>195</v>
      </c>
      <c r="EJ584" s="121">
        <v>24</v>
      </c>
      <c r="EK584" s="121">
        <v>0</v>
      </c>
      <c r="EL584" s="149">
        <v>6.5458799999999995</v>
      </c>
      <c r="EM584" s="142">
        <v>8.6999999999999993</v>
      </c>
      <c r="EN584" s="119">
        <v>10</v>
      </c>
      <c r="EO584" s="115">
        <v>12</v>
      </c>
      <c r="EP584" s="115">
        <v>733.28566976479863</v>
      </c>
      <c r="EQ584" s="115">
        <v>66</v>
      </c>
      <c r="ER584" s="115">
        <v>7.2</v>
      </c>
      <c r="ES584" s="115">
        <v>92</v>
      </c>
      <c r="ET584" s="150">
        <v>0.32222222222222219</v>
      </c>
      <c r="EU584" s="145">
        <f t="shared" si="457"/>
        <v>65</v>
      </c>
      <c r="EV584" s="115">
        <f t="shared" si="448"/>
        <v>30</v>
      </c>
      <c r="EW584" s="115">
        <f t="shared" si="448"/>
        <v>60</v>
      </c>
      <c r="EX584" s="115">
        <f t="shared" si="448"/>
        <v>29</v>
      </c>
      <c r="EY584" s="115" t="str">
        <f t="shared" si="489"/>
        <v>Постоянный</v>
      </c>
      <c r="EZ584" s="115">
        <f t="shared" si="489"/>
        <v>24</v>
      </c>
      <c r="FA584" s="115">
        <f t="shared" si="489"/>
        <v>0</v>
      </c>
      <c r="FB584" s="149">
        <f t="shared" si="461"/>
        <v>14.847359999999998</v>
      </c>
      <c r="FC584" s="142">
        <f t="shared" si="461"/>
        <v>18.5</v>
      </c>
      <c r="FD584" s="119">
        <f t="shared" si="461"/>
        <v>4</v>
      </c>
      <c r="FE584" s="121">
        <f t="shared" si="460"/>
        <v>20</v>
      </c>
      <c r="FF584" s="121">
        <f t="shared" si="462"/>
        <v>862.10612526402008</v>
      </c>
      <c r="FG584" s="121">
        <f t="shared" si="449"/>
        <v>66</v>
      </c>
      <c r="FH584" s="121">
        <f t="shared" si="491"/>
        <v>7.2</v>
      </c>
      <c r="FI584" s="121">
        <f t="shared" si="483"/>
        <v>92</v>
      </c>
      <c r="FJ584" s="144">
        <f t="shared" si="450"/>
        <v>0.68518518518518523</v>
      </c>
      <c r="FK584" s="132">
        <f t="shared" si="451"/>
        <v>0</v>
      </c>
      <c r="FL584" s="115">
        <f t="shared" si="451"/>
        <v>0</v>
      </c>
      <c r="FM584" s="115">
        <f t="shared" si="451"/>
        <v>0</v>
      </c>
      <c r="FN584" s="115">
        <f t="shared" si="451"/>
        <v>0</v>
      </c>
      <c r="FO584" s="121">
        <f t="shared" ref="FO584:FT647" si="492">EZ584-EJ584</f>
        <v>0</v>
      </c>
      <c r="FP584" s="121">
        <f t="shared" si="492"/>
        <v>0</v>
      </c>
      <c r="FQ584" s="149">
        <f t="shared" si="492"/>
        <v>8.301479999999998</v>
      </c>
      <c r="FR584" s="142">
        <f t="shared" si="492"/>
        <v>9.8000000000000007</v>
      </c>
      <c r="FS584" s="119">
        <f t="shared" si="492"/>
        <v>-6</v>
      </c>
      <c r="FT584" s="121">
        <f t="shared" si="438"/>
        <v>8</v>
      </c>
      <c r="FU584" s="121">
        <f t="shared" si="452"/>
        <v>0</v>
      </c>
      <c r="FV584" s="121">
        <f t="shared" si="452"/>
        <v>0</v>
      </c>
      <c r="FW584" s="121">
        <f t="shared" si="453"/>
        <v>128.82045549922145</v>
      </c>
      <c r="FX584" s="121">
        <f t="shared" si="454"/>
        <v>0</v>
      </c>
      <c r="FY584" s="144">
        <f t="shared" si="454"/>
        <v>0.36296296296296304</v>
      </c>
      <c r="FZ584" s="145" t="s">
        <v>221</v>
      </c>
      <c r="GA584" s="163" t="s">
        <v>1703</v>
      </c>
      <c r="GB584" s="145" t="s">
        <v>199</v>
      </c>
      <c r="GC584" s="163" t="s">
        <v>1961</v>
      </c>
      <c r="GD584" s="997" t="s">
        <v>202</v>
      </c>
      <c r="GE584" s="1004" t="s">
        <v>199</v>
      </c>
      <c r="GF584" s="1004">
        <v>-3.4627120000000007</v>
      </c>
      <c r="GG584" s="1004"/>
      <c r="GH584" s="1004">
        <v>0</v>
      </c>
      <c r="GI584" s="145" t="s">
        <v>308</v>
      </c>
      <c r="GJ584" s="996">
        <v>10.008592</v>
      </c>
      <c r="GK584" s="145"/>
      <c r="GL584" s="996">
        <v>-7.9394919999999995</v>
      </c>
      <c r="GM584" s="1005"/>
      <c r="GN584" s="996">
        <v>0</v>
      </c>
      <c r="GO584" s="1006"/>
      <c r="GP584" s="996">
        <v>0</v>
      </c>
      <c r="GQ584" s="1006" t="s">
        <v>240</v>
      </c>
      <c r="GR584" s="996">
        <v>-0.72815600000000025</v>
      </c>
      <c r="GS584" s="1006" t="s">
        <v>199</v>
      </c>
      <c r="GT584" s="996">
        <v>5.9590180319999995</v>
      </c>
      <c r="GU584" s="1006"/>
      <c r="GV584" s="996">
        <v>-0.49137003200000029</v>
      </c>
      <c r="GW584" s="1006"/>
      <c r="GX584" s="996">
        <v>0</v>
      </c>
      <c r="GY584" s="1006"/>
      <c r="GZ584" s="996">
        <v>-0.70223999999999975</v>
      </c>
      <c r="HA584" s="1006"/>
      <c r="HB584" s="996">
        <v>0.34510080000000087</v>
      </c>
      <c r="HC584" s="1006"/>
      <c r="HD584" s="996">
        <v>0.72230400000000117</v>
      </c>
      <c r="HE584" s="1006"/>
      <c r="HF584" s="996">
        <v>-0.12080200000000119</v>
      </c>
      <c r="HG584" s="1006" t="s">
        <v>223</v>
      </c>
      <c r="HH584" s="996">
        <v>-1.5378888800000023</v>
      </c>
      <c r="HI584" s="1006"/>
      <c r="HJ584" s="996">
        <v>0</v>
      </c>
      <c r="HK584" s="1006"/>
      <c r="HL584" s="996">
        <v>-0.11652167999999818</v>
      </c>
      <c r="HM584" s="1006"/>
      <c r="HN584" s="996">
        <v>-0.11882903999999961</v>
      </c>
      <c r="HO584" s="1006"/>
      <c r="HP584" s="996">
        <v>0.65508960000000194</v>
      </c>
      <c r="HQ584" s="1006" t="s">
        <v>223</v>
      </c>
      <c r="HR584" s="996">
        <v>-2.0048325000000027</v>
      </c>
      <c r="HS584" s="1006"/>
      <c r="HT584" s="996">
        <v>-0.38111149999999938</v>
      </c>
      <c r="HU584" s="1006"/>
      <c r="HV584" s="996">
        <v>0</v>
      </c>
      <c r="HW584" s="1006"/>
      <c r="HX584" s="996">
        <v>-0.41408083199999979</v>
      </c>
      <c r="HY584" s="1006"/>
      <c r="HZ584" s="996">
        <v>-0.74824340800000044</v>
      </c>
      <c r="IA584" s="1006"/>
      <c r="IB584" s="996">
        <v>-0.35378182400000213</v>
      </c>
      <c r="IC584" s="1006"/>
      <c r="ID584" s="996">
        <v>-0.51930313599999423</v>
      </c>
      <c r="IE584" s="1006" t="s">
        <v>223</v>
      </c>
      <c r="IF584" s="996">
        <v>-3.282219600000003</v>
      </c>
      <c r="IG584" s="1006"/>
      <c r="IH584" s="996">
        <v>-0.91959999999999908</v>
      </c>
      <c r="II584" s="1006"/>
      <c r="IJ584" s="996">
        <v>0</v>
      </c>
      <c r="IK584" s="1006" t="s">
        <v>223</v>
      </c>
      <c r="IL584" s="996">
        <v>-5.8520000000000003</v>
      </c>
      <c r="IM584" s="1006"/>
      <c r="IN584" s="996">
        <v>0</v>
      </c>
      <c r="IO584" s="1006"/>
      <c r="IP584" s="996">
        <v>0</v>
      </c>
      <c r="IQ584" s="1006" t="s">
        <v>204</v>
      </c>
      <c r="IR584" s="996">
        <v>9.0288000000000004</v>
      </c>
      <c r="IS584" s="1006"/>
      <c r="IT584" s="996">
        <v>0</v>
      </c>
      <c r="IU584" s="1006" t="s">
        <v>199</v>
      </c>
      <c r="IV584" s="996">
        <v>-5.8185600000000015</v>
      </c>
      <c r="IW584" s="1006"/>
      <c r="IX584" s="996">
        <v>0</v>
      </c>
      <c r="IY584" s="1006"/>
      <c r="IZ584" s="996">
        <v>0</v>
      </c>
      <c r="JA584" s="1006"/>
      <c r="JB584" s="996">
        <v>0</v>
      </c>
      <c r="JC584" s="1006"/>
      <c r="JD584" s="996">
        <v>0</v>
      </c>
      <c r="JE584" s="1006" t="s">
        <v>223</v>
      </c>
      <c r="JF584" s="996">
        <v>-15.583039999999997</v>
      </c>
      <c r="JG584" s="1006" t="s">
        <v>223</v>
      </c>
      <c r="JH584" s="996">
        <v>-8.5272000000000006</v>
      </c>
      <c r="JI584" s="1006" t="s">
        <v>203</v>
      </c>
      <c r="JJ584" s="996">
        <v>-2.0900000000000034</v>
      </c>
      <c r="JK584" s="1007" t="s">
        <v>203</v>
      </c>
      <c r="JL584" s="1007">
        <v>-2.1736000000000004</v>
      </c>
      <c r="JM584" s="1007" t="s">
        <v>342</v>
      </c>
      <c r="JN584" s="1007">
        <v>50.243600000000001</v>
      </c>
      <c r="JO584" s="1008"/>
      <c r="JP584" s="1007"/>
      <c r="JQ584" s="1008"/>
      <c r="JR584" s="1007"/>
      <c r="JS584" s="1008"/>
      <c r="JT584" s="1007"/>
      <c r="JU584" s="1008"/>
      <c r="JV584" s="1007"/>
      <c r="JW584" s="1008"/>
      <c r="JX584" s="1007"/>
      <c r="JY584" s="1008"/>
      <c r="JZ584" s="1007"/>
      <c r="KA584" s="1008"/>
      <c r="KB584" s="1007"/>
      <c r="KC584" s="1008"/>
      <c r="KD584" s="1007"/>
      <c r="KE584" s="1008"/>
      <c r="KF584" s="1007"/>
      <c r="KG584" s="1008"/>
      <c r="KH584" s="1007"/>
      <c r="KI584" s="1008"/>
      <c r="KJ584" s="1007"/>
      <c r="KK584" s="1008"/>
      <c r="KL584" s="1007"/>
      <c r="KM584" s="1008"/>
      <c r="KN584" s="1007"/>
      <c r="KO584" s="1008"/>
      <c r="KP584" s="1007"/>
      <c r="KQ584" s="1008"/>
      <c r="KR584" s="1007"/>
      <c r="KS584" s="1008"/>
      <c r="KT584" s="1007"/>
      <c r="KU584" s="1008"/>
      <c r="KV584" s="1007"/>
      <c r="KW584" s="1008"/>
      <c r="KX584" s="1007"/>
      <c r="KY584" s="1008"/>
      <c r="KZ584" s="1007"/>
      <c r="LA584" s="1008"/>
      <c r="LB584" s="1007"/>
      <c r="LC584" s="1008"/>
      <c r="LD584" s="1007"/>
      <c r="LE584" s="1008"/>
      <c r="LF584" s="1007"/>
      <c r="LG584" s="1008"/>
      <c r="LH584" s="1007"/>
      <c r="LI584" s="1008"/>
      <c r="LJ584" s="1007"/>
      <c r="LK584" s="1008"/>
      <c r="LL584" s="1007"/>
      <c r="LM584" s="1008"/>
      <c r="LN584" s="1007"/>
      <c r="LO584" s="1008"/>
      <c r="LP584" s="1007"/>
      <c r="LQ584" s="1008"/>
      <c r="LR584" s="1007"/>
      <c r="LS584" s="1008"/>
      <c r="LT584" s="1007"/>
      <c r="LU584" s="1008"/>
      <c r="LV584" s="1007"/>
      <c r="LW584" s="1008"/>
      <c r="LX584" s="1007"/>
      <c r="LY584" s="1009"/>
      <c r="LZ584" s="1010"/>
      <c r="MA584" s="1011"/>
      <c r="MB584" s="1012"/>
      <c r="MC584" s="995"/>
      <c r="MD584" s="996"/>
      <c r="ME584" s="997" t="s">
        <v>202</v>
      </c>
      <c r="MF584" s="997"/>
      <c r="MG584" s="998"/>
      <c r="NR584" s="1000"/>
      <c r="NS584" s="1000"/>
      <c r="NT584" s="1001"/>
      <c r="NU584" s="1000"/>
      <c r="NV584" s="1001"/>
      <c r="NX584" s="1002"/>
      <c r="NZ584" s="1001"/>
      <c r="OA584" s="1001"/>
      <c r="OC584" s="1003"/>
      <c r="OD584" s="1003"/>
      <c r="OE584" s="1001"/>
      <c r="OF584" s="1003"/>
      <c r="OG584" s="1003"/>
      <c r="QX584" s="1000">
        <f>CN584-CA584</f>
        <v>62</v>
      </c>
      <c r="ASU584" s="999" t="s">
        <v>225</v>
      </c>
    </row>
    <row r="585" spans="1:466 1191:1191" ht="21" customHeight="1" x14ac:dyDescent="0.25">
      <c r="A585" s="982">
        <f t="shared" si="441"/>
        <v>3400</v>
      </c>
      <c r="B585" s="124">
        <f>SUBTOTAL(103,$J$29:J585)</f>
        <v>557</v>
      </c>
      <c r="C585" s="126">
        <v>45068</v>
      </c>
      <c r="D585" s="124" t="s">
        <v>176</v>
      </c>
      <c r="E585" s="127" t="s">
        <v>177</v>
      </c>
      <c r="F585" s="128" t="s">
        <v>177</v>
      </c>
      <c r="G585" s="127" t="s">
        <v>178</v>
      </c>
      <c r="H585" s="127" t="s">
        <v>179</v>
      </c>
      <c r="I585" s="127" t="s">
        <v>1822</v>
      </c>
      <c r="J585" s="152">
        <v>3400</v>
      </c>
      <c r="K585" s="127" t="s">
        <v>1822</v>
      </c>
      <c r="L585" s="130">
        <v>43758</v>
      </c>
      <c r="M585" s="127" t="s">
        <v>230</v>
      </c>
      <c r="N585" s="127" t="s">
        <v>1368</v>
      </c>
      <c r="O585" s="127" t="s">
        <v>185</v>
      </c>
      <c r="P585" s="127" t="s">
        <v>186</v>
      </c>
      <c r="Q585" s="85" t="str">
        <f t="shared" si="473"/>
        <v/>
      </c>
      <c r="R585" s="130"/>
      <c r="S585" s="128"/>
      <c r="T585" s="131"/>
      <c r="U585" s="132">
        <v>203</v>
      </c>
      <c r="V585" s="121">
        <v>218.2</v>
      </c>
      <c r="W585" s="116">
        <v>0.98</v>
      </c>
      <c r="X585" s="116">
        <v>1.66</v>
      </c>
      <c r="Y585" s="116">
        <f t="shared" si="463"/>
        <v>1.1173076923076921</v>
      </c>
      <c r="Z585" s="133">
        <v>1.454</v>
      </c>
      <c r="AA585" s="133">
        <v>0.83599999999999997</v>
      </c>
      <c r="AB585" s="133">
        <v>0.72</v>
      </c>
      <c r="AC585" s="121">
        <v>34.299999999999997</v>
      </c>
      <c r="AD585" s="134">
        <v>1.17</v>
      </c>
      <c r="AE585" s="124">
        <v>177.8</v>
      </c>
      <c r="AF585" s="128">
        <v>9.19</v>
      </c>
      <c r="AG585" s="128">
        <v>2254</v>
      </c>
      <c r="AH585" s="127">
        <v>2915</v>
      </c>
      <c r="AI585" s="127">
        <v>2915</v>
      </c>
      <c r="AJ585" s="135"/>
      <c r="AK585" s="128"/>
      <c r="AL585" s="131"/>
      <c r="AM585" s="124" t="s">
        <v>232</v>
      </c>
      <c r="AN585" s="136" t="s">
        <v>1999</v>
      </c>
      <c r="AO585" s="137">
        <v>38.75</v>
      </c>
      <c r="AP585" s="128">
        <v>2254</v>
      </c>
      <c r="AQ585" s="128">
        <v>428.1</v>
      </c>
      <c r="AR585" s="128"/>
      <c r="AS585" s="128"/>
      <c r="AT585" s="122"/>
      <c r="AU585" s="124" t="s">
        <v>189</v>
      </c>
      <c r="AV585" s="115">
        <f>VLOOKUP(J585,'[63]ТР нефть'!$J$28:$BP$638,39,0)</f>
        <v>449.88479999999998</v>
      </c>
      <c r="AW585" s="115" t="str">
        <f>VLOOKUP(J585,'[63]ТР нефть'!$J$28:$BP$638,40,0)</f>
        <v>ГП</v>
      </c>
      <c r="AX585" s="115">
        <f>VLOOKUP(J585,'[63]ТР нефть'!$J$28:$BP$638,41,0)</f>
        <v>840.02880000000005</v>
      </c>
      <c r="AY585" s="115" t="str">
        <f>VLOOKUP(J585,'[63]ТР нефть'!$J$28:$BP$638,42,0)</f>
        <v>ГП</v>
      </c>
      <c r="AZ585" s="115">
        <f>VLOOKUP(J585,'[63]ТР нефть'!$J$28:$BP$638,43,0)</f>
        <v>1170.1271999999999</v>
      </c>
      <c r="BA585" s="115" t="str">
        <f>VLOOKUP(J585,'[63]ТР нефть'!$J$28:$BP$638,44,0)</f>
        <v>ГП</v>
      </c>
      <c r="BB585" s="115">
        <f>VLOOKUP(J585,'[63]ТР нефть'!$J$28:$BP$638,45,0)</f>
        <v>1441.0944</v>
      </c>
      <c r="BC585" s="115" t="str">
        <f>VLOOKUP(J585,'[63]ТР нефть'!$J$28:$BP$638,46,0)</f>
        <v>ГК 88 3/16</v>
      </c>
      <c r="BD585" s="115">
        <f>VLOOKUP(J585,'[63]ТР нефть'!$J$28:$BP$638,47,0)</f>
        <v>1680.0576000000001</v>
      </c>
      <c r="BE585" s="115" t="str">
        <f>VLOOKUP(J585,'[63]ТР нефть'!$J$28:$BP$638,48,0)</f>
        <v>ГК 90 3/16</v>
      </c>
      <c r="BF585" s="115">
        <f>VLOOKUP(J585,'[63]ТР нефть'!$J$28:$BP$638,49,0)</f>
        <v>1890</v>
      </c>
      <c r="BG585" s="115" t="str">
        <f>VLOOKUP(J585,'[63]ТР нефть'!$J$28:$BP$638,50,0)</f>
        <v>ЦКсОК 5/16</v>
      </c>
      <c r="BH585" s="115">
        <f>VLOOKUP(J585,'[63]ТР нефть'!$J$28:$BP$638,51,0)</f>
        <v>1900</v>
      </c>
      <c r="BI585" s="115" t="str">
        <f>VLOOKUP(J585,'[63]ТР нефть'!$J$28:$BP$638,52,0)</f>
        <v>закрыт</v>
      </c>
      <c r="BJ585" s="115" t="str">
        <f>IF(IFERROR(VLOOKUP(J585,'[63]ТР нефть'!$J$28:$BP$638,53,0),"-")=0,"-",IFERROR(VLOOKUP(J585,'[63]ТР нефть'!$J$28:$BP$638,53,0),"-"))</f>
        <v>-</v>
      </c>
      <c r="BK585" s="138" t="str">
        <f>IF(IFERROR(VLOOKUP(J585,'[63]ТР нефть'!$J$28:$BP$638,54,0),"-")=0,"-",IFERROR(VLOOKUP(J585,'[63]ТР нефть'!$J$28:$BP$638,54,0),"-"))</f>
        <v>-</v>
      </c>
      <c r="BL585" s="138" t="str">
        <f>IF(IFERROR(VLOOKUP(J585,'[63]ТР нефть'!$J$28:$BP$638,55,0),"-")=0,"-",IFERROR(VLOOKUP(J585,'[63]ТР нефть'!$J$28:$BP$638,55,0),"-"))</f>
        <v>-</v>
      </c>
      <c r="BM585" s="138" t="str">
        <f>IF(IFERROR(VLOOKUP(J585,'[63]ТР нефть'!$J$28:$BP$638,56,0),"-")=0,"-",IFERROR(VLOOKUP(J585,'[63]ТР нефть'!$J$28:$BP$638,56,0),"-"))</f>
        <v>-</v>
      </c>
      <c r="BN585" s="138" t="str">
        <f>IF(IFERROR(VLOOKUP(J585,'[63]ТР нефть'!$J$28:$BP$638,57,0),"-")=0,"-",IFERROR(VLOOKUP(J585,'[63]ТР нефть'!$J$28:$BP$638,57,0),"-"))</f>
        <v>-</v>
      </c>
      <c r="BO585" s="115" t="str">
        <f>IF(IFERROR(VLOOKUP(J585,'[63]ТР нефть'!$J$28:$BP$638,58,0),"-")=0,"-",IFERROR(VLOOKUP(J585,'[63]ТР нефть'!$J$28:$BP$638,58,0),"-"))</f>
        <v>-</v>
      </c>
      <c r="BP585" s="115" t="str">
        <f>IF(IFERROR(VLOOKUP(J585,'[63]ТР нефть'!$J$28:$BP$638,59,0),"-")=0,"-",IFERROR(VLOOKUP(J585,'[63]ТР нефть'!$J$28:$BP$638,59,0),"-"))</f>
        <v>-</v>
      </c>
      <c r="BQ585" s="138">
        <v>2302.5</v>
      </c>
      <c r="BR585" s="128">
        <v>1836</v>
      </c>
      <c r="BS585" s="115">
        <f t="shared" si="490"/>
        <v>466.5</v>
      </c>
      <c r="BT585" s="128">
        <v>73</v>
      </c>
      <c r="BU585" s="128">
        <v>5.5</v>
      </c>
      <c r="BV585" s="127">
        <v>65</v>
      </c>
      <c r="BW585" s="127" t="s">
        <v>217</v>
      </c>
      <c r="BX585" s="127" t="s">
        <v>195</v>
      </c>
      <c r="BY585" s="139">
        <v>24</v>
      </c>
      <c r="BZ585" s="139">
        <v>0</v>
      </c>
      <c r="CA585" s="138">
        <v>24</v>
      </c>
      <c r="CB585" s="138">
        <v>45</v>
      </c>
      <c r="CC585" s="138">
        <v>23</v>
      </c>
      <c r="CD585" s="135">
        <v>45017</v>
      </c>
      <c r="CE585" s="138">
        <v>121</v>
      </c>
      <c r="CF585" s="138">
        <v>68</v>
      </c>
      <c r="CG585" s="138" t="str">
        <f t="shared" si="474"/>
        <v/>
      </c>
      <c r="CH585" s="138" t="s">
        <v>197</v>
      </c>
      <c r="CI585" s="127">
        <v>6</v>
      </c>
      <c r="CJ585" s="138"/>
      <c r="CK585" s="138">
        <f t="shared" si="488"/>
        <v>30</v>
      </c>
      <c r="CL585" s="99"/>
      <c r="CM585" s="99"/>
      <c r="CN585" s="140">
        <v>54</v>
      </c>
      <c r="CO585" s="141">
        <f t="shared" si="442"/>
        <v>9.3631999999999991</v>
      </c>
      <c r="CP585" s="142">
        <v>16</v>
      </c>
      <c r="CQ585" s="143">
        <v>30</v>
      </c>
      <c r="CR585" s="138">
        <v>31.7</v>
      </c>
      <c r="CS585" s="139">
        <v>12.5</v>
      </c>
      <c r="CT585" s="138"/>
      <c r="CU585" s="138">
        <f t="shared" si="475"/>
        <v>19.2</v>
      </c>
      <c r="CV585" s="115">
        <f t="shared" si="476"/>
        <v>2050.5809979494193</v>
      </c>
      <c r="CW585" s="115">
        <f t="shared" si="443"/>
        <v>837.71177353634994</v>
      </c>
      <c r="CX585" s="133">
        <f t="shared" si="477"/>
        <v>0.23880597014925373</v>
      </c>
      <c r="CY585" s="116"/>
      <c r="CZ585" s="131"/>
      <c r="DA585" s="145" t="str">
        <f t="shared" si="478"/>
        <v>Газлифт</v>
      </c>
      <c r="DB585" s="146">
        <f t="shared" si="468"/>
        <v>9.3631999999999991</v>
      </c>
      <c r="DC585" s="142">
        <f t="shared" si="469"/>
        <v>16</v>
      </c>
      <c r="DD585" s="119">
        <f t="shared" si="470"/>
        <v>30</v>
      </c>
      <c r="DE585" s="115">
        <f t="shared" si="471"/>
        <v>19.2</v>
      </c>
      <c r="DF585" s="121">
        <f t="shared" si="472"/>
        <v>12.5</v>
      </c>
      <c r="DG585" s="115">
        <f t="shared" si="446"/>
        <v>2050.5809979494193</v>
      </c>
      <c r="DH585" s="115">
        <f t="shared" si="447"/>
        <v>54</v>
      </c>
      <c r="DI585" s="147"/>
      <c r="DJ585" s="111" t="s">
        <v>197</v>
      </c>
      <c r="DK585" s="112">
        <v>43758</v>
      </c>
      <c r="DL585" s="113">
        <f t="shared" ca="1" si="480"/>
        <v>1346</v>
      </c>
      <c r="DM585" s="114"/>
      <c r="DN585" s="114"/>
      <c r="DO585" s="114"/>
      <c r="DP585" s="114"/>
      <c r="DQ585" s="112"/>
      <c r="DR585" s="114"/>
      <c r="DS585" s="114"/>
      <c r="DT585" s="115">
        <v>60</v>
      </c>
      <c r="DU585" s="116">
        <f t="shared" si="481"/>
        <v>0.26229508196721313</v>
      </c>
      <c r="DV585" s="117">
        <f t="shared" si="484"/>
        <v>9.3631999999999991</v>
      </c>
      <c r="DW585" s="118">
        <f t="shared" si="485"/>
        <v>16</v>
      </c>
      <c r="DX585" s="119">
        <f t="shared" si="486"/>
        <v>30</v>
      </c>
      <c r="DY585" s="115">
        <f t="shared" si="487"/>
        <v>19.2</v>
      </c>
      <c r="DZ585" s="117">
        <f t="shared" si="482"/>
        <v>0</v>
      </c>
      <c r="EA585" s="120">
        <f t="shared" si="482"/>
        <v>0</v>
      </c>
      <c r="EB585" s="119">
        <f t="shared" si="482"/>
        <v>0</v>
      </c>
      <c r="EC585" s="121">
        <f t="shared" si="464"/>
        <v>0</v>
      </c>
      <c r="ED585" s="122"/>
      <c r="EE585" s="145">
        <v>65</v>
      </c>
      <c r="EF585" s="115">
        <v>20</v>
      </c>
      <c r="EG585" s="115">
        <v>44</v>
      </c>
      <c r="EH585" s="115">
        <v>19</v>
      </c>
      <c r="EI585" s="128" t="s">
        <v>195</v>
      </c>
      <c r="EJ585" s="121">
        <v>24</v>
      </c>
      <c r="EK585" s="121">
        <v>0</v>
      </c>
      <c r="EL585" s="149">
        <v>9.4342600000000001</v>
      </c>
      <c r="EM585" s="142">
        <v>18.5</v>
      </c>
      <c r="EN585" s="119">
        <v>39</v>
      </c>
      <c r="EO585" s="138">
        <v>31.7</v>
      </c>
      <c r="EP585" s="115">
        <v>2035.1357711150636</v>
      </c>
      <c r="EQ585" s="115">
        <v>66</v>
      </c>
      <c r="ER585" s="115">
        <v>12.5</v>
      </c>
      <c r="ES585" s="115">
        <v>53</v>
      </c>
      <c r="ET585" s="150">
        <v>0.27205882352941174</v>
      </c>
      <c r="EU585" s="145">
        <f t="shared" si="457"/>
        <v>65</v>
      </c>
      <c r="EV585" s="115">
        <f t="shared" si="448"/>
        <v>24</v>
      </c>
      <c r="EW585" s="115">
        <f t="shared" si="448"/>
        <v>45</v>
      </c>
      <c r="EX585" s="115">
        <f t="shared" si="448"/>
        <v>23</v>
      </c>
      <c r="EY585" s="115" t="str">
        <f t="shared" si="489"/>
        <v>Постоянный</v>
      </c>
      <c r="EZ585" s="115">
        <f t="shared" si="489"/>
        <v>24</v>
      </c>
      <c r="FA585" s="115">
        <f t="shared" si="489"/>
        <v>0</v>
      </c>
      <c r="FB585" s="149">
        <f t="shared" si="461"/>
        <v>9.3631999999999991</v>
      </c>
      <c r="FC585" s="142">
        <f t="shared" si="461"/>
        <v>16</v>
      </c>
      <c r="FD585" s="119">
        <f t="shared" si="461"/>
        <v>30</v>
      </c>
      <c r="FE585" s="121">
        <f t="shared" si="460"/>
        <v>31.7</v>
      </c>
      <c r="FF585" s="121">
        <f t="shared" si="462"/>
        <v>2050.5809979494193</v>
      </c>
      <c r="FG585" s="121">
        <f t="shared" si="449"/>
        <v>68</v>
      </c>
      <c r="FH585" s="121">
        <f t="shared" si="491"/>
        <v>12.5</v>
      </c>
      <c r="FI585" s="121">
        <f t="shared" si="483"/>
        <v>54</v>
      </c>
      <c r="FJ585" s="144">
        <f t="shared" si="450"/>
        <v>0.23880597014925373</v>
      </c>
      <c r="FK585" s="132">
        <f t="shared" si="451"/>
        <v>0</v>
      </c>
      <c r="FL585" s="115">
        <f t="shared" si="451"/>
        <v>4</v>
      </c>
      <c r="FM585" s="115">
        <f t="shared" si="451"/>
        <v>1</v>
      </c>
      <c r="FN585" s="115">
        <f t="shared" si="451"/>
        <v>4</v>
      </c>
      <c r="FO585" s="115">
        <f t="shared" si="492"/>
        <v>0</v>
      </c>
      <c r="FP585" s="115">
        <f t="shared" si="492"/>
        <v>0</v>
      </c>
      <c r="FQ585" s="149">
        <f t="shared" si="492"/>
        <v>-7.1060000000001011E-2</v>
      </c>
      <c r="FR585" s="142">
        <f t="shared" si="492"/>
        <v>-2.5</v>
      </c>
      <c r="FS585" s="119">
        <f t="shared" si="492"/>
        <v>-9</v>
      </c>
      <c r="FT585" s="121">
        <f t="shared" si="438"/>
        <v>0</v>
      </c>
      <c r="FU585" s="121">
        <f t="shared" si="452"/>
        <v>2</v>
      </c>
      <c r="FV585" s="121">
        <f t="shared" si="452"/>
        <v>0</v>
      </c>
      <c r="FW585" s="121">
        <f t="shared" si="453"/>
        <v>15.445226834355708</v>
      </c>
      <c r="FX585" s="121">
        <f t="shared" si="454"/>
        <v>1</v>
      </c>
      <c r="FY585" s="144">
        <f t="shared" si="454"/>
        <v>-3.3252853380158015E-2</v>
      </c>
      <c r="FZ585" s="145"/>
      <c r="GA585" s="151"/>
      <c r="GB585" s="145"/>
      <c r="GC585" s="151"/>
      <c r="GD585" s="997" t="s">
        <v>220</v>
      </c>
      <c r="GE585" s="1004"/>
      <c r="GF585" s="1004">
        <v>-0.77329999999999899</v>
      </c>
      <c r="GG585" s="1004" t="s">
        <v>199</v>
      </c>
      <c r="GH585" s="1004">
        <v>2.9013547199999987</v>
      </c>
      <c r="GI585" s="145" t="s">
        <v>223</v>
      </c>
      <c r="GJ585" s="996">
        <v>-2.5081003199999987</v>
      </c>
      <c r="GK585" s="145"/>
      <c r="GL585" s="996">
        <v>0</v>
      </c>
      <c r="GM585" s="1005"/>
      <c r="GN585" s="996">
        <v>1.4305599999998364E-2</v>
      </c>
      <c r="GO585" s="1006"/>
      <c r="GP585" s="996">
        <v>0</v>
      </c>
      <c r="GQ585" s="1006"/>
      <c r="GR585" s="996">
        <v>0</v>
      </c>
      <c r="GS585" s="1006" t="s">
        <v>146</v>
      </c>
      <c r="GT585" s="996">
        <v>-10.179219349199998</v>
      </c>
      <c r="GU585" s="1006"/>
      <c r="GV585" s="996">
        <v>0.17556000000000083</v>
      </c>
      <c r="GW585" s="1006" t="s">
        <v>223</v>
      </c>
      <c r="GX585" s="996">
        <v>-2.8488372000000055</v>
      </c>
      <c r="GY585" s="1006" t="s">
        <v>199</v>
      </c>
      <c r="GZ585" s="996">
        <v>2.6808012000000048</v>
      </c>
      <c r="HA585" s="1006"/>
      <c r="HB585" s="996">
        <v>0</v>
      </c>
      <c r="HC585" s="1006" t="s">
        <v>223</v>
      </c>
      <c r="HD585" s="996">
        <v>-7.812420000000003</v>
      </c>
      <c r="HE585" s="1006" t="s">
        <v>199</v>
      </c>
      <c r="HF585" s="996">
        <v>10.375596000000002</v>
      </c>
      <c r="HG585" s="1006" t="s">
        <v>199</v>
      </c>
      <c r="HH585" s="996">
        <v>-3.5049299999999981</v>
      </c>
      <c r="HI585" s="1006"/>
      <c r="HJ585" s="996">
        <v>0</v>
      </c>
      <c r="HK585" s="1006"/>
      <c r="HL585" s="996">
        <v>0.8360000000000003</v>
      </c>
      <c r="HM585" s="1006"/>
      <c r="HN585" s="996">
        <v>0</v>
      </c>
      <c r="HO585" s="1006"/>
      <c r="HP585" s="996">
        <v>0</v>
      </c>
      <c r="HQ585" s="1006" t="s">
        <v>199</v>
      </c>
      <c r="HR585" s="996">
        <v>-13.655290880000001</v>
      </c>
      <c r="HS585" s="1006" t="s">
        <v>643</v>
      </c>
      <c r="HT585" s="996">
        <v>0</v>
      </c>
      <c r="HU585" s="1006"/>
      <c r="HV585" s="996">
        <v>-2.1669120000002096E-2</v>
      </c>
      <c r="HW585" s="1006"/>
      <c r="HX585" s="996">
        <v>8.5873920000000936E-2</v>
      </c>
      <c r="HY585" s="1006"/>
      <c r="HZ585" s="996">
        <v>0</v>
      </c>
      <c r="IA585" s="1006" t="s">
        <v>199</v>
      </c>
      <c r="IB585" s="996">
        <v>-14.29118592</v>
      </c>
      <c r="IC585" s="1006" t="s">
        <v>199</v>
      </c>
      <c r="ID585" s="996">
        <v>15.631695200000003</v>
      </c>
      <c r="IE585" s="1006" t="s">
        <v>204</v>
      </c>
      <c r="IF585" s="996">
        <v>-13.916223199999997</v>
      </c>
      <c r="IG585" s="1006" t="s">
        <v>204</v>
      </c>
      <c r="IH585" s="996">
        <v>-17.238320000000002</v>
      </c>
      <c r="II585" s="1006" t="s">
        <v>1382</v>
      </c>
      <c r="IJ585" s="996">
        <v>40.565980400000001</v>
      </c>
      <c r="IK585" s="1006" t="s">
        <v>199</v>
      </c>
      <c r="IL585" s="996">
        <v>-17.109576000000001</v>
      </c>
      <c r="IM585" s="1006" t="s">
        <v>199</v>
      </c>
      <c r="IN585" s="996">
        <v>8.7546755999999988</v>
      </c>
      <c r="IO585" s="1006" t="s">
        <v>199</v>
      </c>
      <c r="IP585" s="996">
        <v>13.554903999999999</v>
      </c>
      <c r="IQ585" s="1006"/>
      <c r="IR585" s="996">
        <v>-0.55510400000000004</v>
      </c>
      <c r="IS585" s="1006" t="s">
        <v>199</v>
      </c>
      <c r="IT585" s="996">
        <v>-39.646497440000005</v>
      </c>
      <c r="IU585" s="1006" t="s">
        <v>644</v>
      </c>
      <c r="IV585" s="996">
        <v>-10.647262559999994</v>
      </c>
      <c r="IW585" s="1006" t="s">
        <v>146</v>
      </c>
      <c r="IX585" s="996">
        <v>-4.6548479999999941</v>
      </c>
      <c r="IY585" s="1006" t="s">
        <v>223</v>
      </c>
      <c r="IZ585" s="996">
        <v>3.745037559999993</v>
      </c>
      <c r="JA585" s="1006"/>
      <c r="JB585" s="996">
        <v>-15.091229559999995</v>
      </c>
      <c r="JC585" s="1006" t="s">
        <v>204</v>
      </c>
      <c r="JD585" s="996">
        <v>-14.746705599999984</v>
      </c>
      <c r="JE585" s="1006" t="s">
        <v>204</v>
      </c>
      <c r="JF585" s="996">
        <v>-16.277254400000018</v>
      </c>
      <c r="JG585" s="1006"/>
      <c r="JH585" s="996">
        <v>85.731799999999993</v>
      </c>
      <c r="JI585" s="1006"/>
      <c r="JJ585" s="996">
        <v>0</v>
      </c>
      <c r="JK585" s="1007"/>
      <c r="JL585" s="1007">
        <v>0</v>
      </c>
      <c r="JM585" s="1007" t="s">
        <v>342</v>
      </c>
      <c r="JN585" s="1007">
        <v>21.5</v>
      </c>
      <c r="JO585" s="1008"/>
      <c r="JP585" s="1007"/>
      <c r="JQ585" s="1008"/>
      <c r="JR585" s="1007"/>
      <c r="JS585" s="1008"/>
      <c r="JT585" s="1007"/>
      <c r="JU585" s="1008"/>
      <c r="JV585" s="1007"/>
      <c r="JW585" s="1008"/>
      <c r="JX585" s="1007"/>
      <c r="JY585" s="1008"/>
      <c r="JZ585" s="1007"/>
      <c r="KA585" s="1008"/>
      <c r="KB585" s="1007"/>
      <c r="KC585" s="1008"/>
      <c r="KD585" s="1007"/>
      <c r="KE585" s="1008"/>
      <c r="KF585" s="1007"/>
      <c r="KG585" s="1008"/>
      <c r="KH585" s="1007"/>
      <c r="KI585" s="1008"/>
      <c r="KJ585" s="1007"/>
      <c r="KK585" s="1008"/>
      <c r="KL585" s="1007"/>
      <c r="KM585" s="1008"/>
      <c r="KN585" s="1007"/>
      <c r="KO585" s="1008"/>
      <c r="KP585" s="1007"/>
      <c r="KQ585" s="1008"/>
      <c r="KR585" s="1007"/>
      <c r="KS585" s="1008"/>
      <c r="KT585" s="1007"/>
      <c r="KU585" s="1008"/>
      <c r="KV585" s="1007"/>
      <c r="KW585" s="1008"/>
      <c r="KX585" s="1007"/>
      <c r="KY585" s="1008"/>
      <c r="KZ585" s="1007"/>
      <c r="LA585" s="1008"/>
      <c r="LB585" s="1007"/>
      <c r="LC585" s="1008"/>
      <c r="LD585" s="1007"/>
      <c r="LE585" s="1008"/>
      <c r="LF585" s="1007"/>
      <c r="LG585" s="1008"/>
      <c r="LH585" s="1007"/>
      <c r="LI585" s="1008"/>
      <c r="LJ585" s="1007"/>
      <c r="LK585" s="1008"/>
      <c r="LL585" s="1007"/>
      <c r="LM585" s="1008"/>
      <c r="LN585" s="1007"/>
      <c r="LO585" s="1008"/>
      <c r="LP585" s="1007"/>
      <c r="LQ585" s="1008"/>
      <c r="LR585" s="1007"/>
      <c r="LS585" s="1008"/>
      <c r="LT585" s="1007"/>
      <c r="LU585" s="1008"/>
      <c r="LV585" s="1007"/>
      <c r="LW585" s="1008"/>
      <c r="LX585" s="1007"/>
      <c r="LY585" s="1009"/>
      <c r="LZ585" s="1010"/>
      <c r="MA585" s="1011"/>
      <c r="MB585" s="1012"/>
      <c r="MC585" s="995"/>
      <c r="MD585" s="996"/>
      <c r="ME585" s="997" t="s">
        <v>220</v>
      </c>
      <c r="MF585" s="997"/>
      <c r="MG585" s="998"/>
      <c r="NR585" s="1000"/>
      <c r="NS585" s="1000"/>
      <c r="NT585" s="1001"/>
      <c r="NU585" s="1000"/>
      <c r="NV585" s="1001"/>
      <c r="NX585" s="1002"/>
      <c r="NZ585" s="1001"/>
      <c r="OA585" s="1001"/>
      <c r="OC585" s="1003"/>
      <c r="OD585" s="1003"/>
      <c r="OE585" s="1001"/>
      <c r="OF585" s="1003"/>
      <c r="OG585" s="1003"/>
      <c r="QX585" s="1000">
        <f>CN585-CA585</f>
        <v>30</v>
      </c>
      <c r="ASU585" s="999" t="s">
        <v>208</v>
      </c>
    </row>
    <row r="586" spans="1:466 1191:1191" ht="21" customHeight="1" x14ac:dyDescent="0.25">
      <c r="A586" s="982">
        <f t="shared" si="441"/>
        <v>3401</v>
      </c>
      <c r="B586" s="124">
        <f>SUBTOTAL(103,$J$29:J586)</f>
        <v>558</v>
      </c>
      <c r="C586" s="126">
        <v>45068</v>
      </c>
      <c r="D586" s="124" t="s">
        <v>176</v>
      </c>
      <c r="E586" s="127" t="s">
        <v>177</v>
      </c>
      <c r="F586" s="128" t="s">
        <v>177</v>
      </c>
      <c r="G586" s="127" t="s">
        <v>178</v>
      </c>
      <c r="H586" s="127" t="s">
        <v>179</v>
      </c>
      <c r="I586" s="127" t="s">
        <v>1367</v>
      </c>
      <c r="J586" s="129">
        <v>3401</v>
      </c>
      <c r="K586" s="127" t="s">
        <v>1367</v>
      </c>
      <c r="L586" s="130">
        <v>44267</v>
      </c>
      <c r="M586" s="127" t="s">
        <v>230</v>
      </c>
      <c r="N586" s="127" t="s">
        <v>1368</v>
      </c>
      <c r="O586" s="127" t="s">
        <v>185</v>
      </c>
      <c r="P586" s="127" t="s">
        <v>186</v>
      </c>
      <c r="Q586" s="85">
        <f t="shared" si="473"/>
        <v>-4</v>
      </c>
      <c r="R586" s="130">
        <v>44202</v>
      </c>
      <c r="S586" s="128" t="s">
        <v>1318</v>
      </c>
      <c r="T586" s="131" t="s">
        <v>2000</v>
      </c>
      <c r="U586" s="132">
        <v>203</v>
      </c>
      <c r="V586" s="121">
        <v>218.2</v>
      </c>
      <c r="W586" s="116">
        <v>0.98</v>
      </c>
      <c r="X586" s="116">
        <v>1.66</v>
      </c>
      <c r="Y586" s="116">
        <f t="shared" si="463"/>
        <v>1.3356321839080458</v>
      </c>
      <c r="Z586" s="133">
        <v>1.454</v>
      </c>
      <c r="AA586" s="133">
        <v>0.83599999999999997</v>
      </c>
      <c r="AB586" s="133">
        <v>0.72</v>
      </c>
      <c r="AC586" s="121">
        <v>34.299999999999997</v>
      </c>
      <c r="AD586" s="134">
        <v>1.17</v>
      </c>
      <c r="AE586" s="124">
        <v>177.8</v>
      </c>
      <c r="AF586" s="128">
        <v>9.1999999999999993</v>
      </c>
      <c r="AG586" s="128">
        <v>2229</v>
      </c>
      <c r="AH586" s="127">
        <v>3140</v>
      </c>
      <c r="AI586" s="127">
        <v>3140</v>
      </c>
      <c r="AJ586" s="135">
        <v>44110</v>
      </c>
      <c r="AK586" s="128"/>
      <c r="AL586" s="131"/>
      <c r="AM586" s="124" t="s">
        <v>187</v>
      </c>
      <c r="AN586" s="136" t="s">
        <v>2001</v>
      </c>
      <c r="AO586" s="137">
        <v>1.01</v>
      </c>
      <c r="AP586" s="128">
        <v>2614.71</v>
      </c>
      <c r="AQ586" s="128">
        <v>779.21</v>
      </c>
      <c r="AR586" s="128" t="s">
        <v>2002</v>
      </c>
      <c r="AS586" s="128">
        <v>114.3</v>
      </c>
      <c r="AT586" s="122">
        <v>7.37</v>
      </c>
      <c r="AU586" s="124" t="s">
        <v>883</v>
      </c>
      <c r="AV586" s="115">
        <f>VLOOKUP(J586,'[63]ТР нефть'!$J$28:$BP$638,39,0)</f>
        <v>450</v>
      </c>
      <c r="AW586" s="115" t="str">
        <f>VLOOKUP(J586,'[63]ТР нефть'!$J$28:$BP$638,40,0)</f>
        <v>ГК 74 1/8</v>
      </c>
      <c r="AX586" s="115">
        <f>VLOOKUP(J586,'[63]ТР нефть'!$J$28:$BP$638,41,0)</f>
        <v>900</v>
      </c>
      <c r="AY586" s="115" t="str">
        <f>VLOOKUP(J586,'[63]ТР нефть'!$J$28:$BP$638,42,0)</f>
        <v>ГК 74 3/16</v>
      </c>
      <c r="AZ586" s="115">
        <f>VLOOKUP(J586,'[63]ТР нефть'!$J$28:$BP$638,43,0)</f>
        <v>1230</v>
      </c>
      <c r="BA586" s="115" t="str">
        <f>VLOOKUP(J586,'[63]ТР нефть'!$J$28:$BP$638,44,0)</f>
        <v>ГК 74 5/32</v>
      </c>
      <c r="BB586" s="115">
        <f>VLOOKUP(J586,'[63]ТР нефть'!$J$28:$BP$638,45,0)</f>
        <v>1510</v>
      </c>
      <c r="BC586" s="115" t="str">
        <f>VLOOKUP(J586,'[63]ТР нефть'!$J$28:$BP$638,46,0)</f>
        <v>ГК 73 1/4</v>
      </c>
      <c r="BD586" s="115">
        <f>VLOOKUP(J586,'[63]ТР нефть'!$J$28:$BP$638,47,0)</f>
        <v>1750</v>
      </c>
      <c r="BE586" s="115" t="str">
        <f>VLOOKUP(J586,'[63]ТР нефть'!$J$28:$BP$638,48,0)</f>
        <v>ГК 72 1/4</v>
      </c>
      <c r="BF586" s="115">
        <f>VLOOKUP(J586,'[63]ТР нефть'!$J$28:$BP$638,49,0)</f>
        <v>1990</v>
      </c>
      <c r="BG586" s="115" t="str">
        <f>VLOOKUP(J586,'[63]ТР нефть'!$J$28:$BP$638,50,0)</f>
        <v>-</v>
      </c>
      <c r="BH586" s="115" t="str">
        <f>VLOOKUP(J586,'[63]ТР нефть'!$J$28:$BP$638,51,0)</f>
        <v>-</v>
      </c>
      <c r="BI586" s="115" t="str">
        <f>VLOOKUP(J586,'[63]ТР нефть'!$J$28:$BP$638,52,0)</f>
        <v>-</v>
      </c>
      <c r="BJ586" s="115" t="str">
        <f>IF(IFERROR(VLOOKUP(J586,'[63]ТР нефть'!$J$28:$BP$638,53,0),"-")=0,"-",IFERROR(VLOOKUP(J586,'[63]ТР нефть'!$J$28:$BP$638,53,0),"-"))</f>
        <v>-</v>
      </c>
      <c r="BK586" s="138" t="str">
        <f>IF(IFERROR(VLOOKUP(J586,'[63]ТР нефть'!$J$28:$BP$638,54,0),"-")=0,"-",IFERROR(VLOOKUP(J586,'[63]ТР нефть'!$J$28:$BP$638,54,0),"-"))</f>
        <v>D1050N</v>
      </c>
      <c r="BL586" s="138" t="str">
        <f>IF(IFERROR(VLOOKUP(J586,'[63]ТР нефть'!$J$28:$BP$638,55,0),"-")=0,"-",IFERROR(VLOOKUP(J586,'[63]ТР нефть'!$J$28:$BP$638,55,0),"-"))</f>
        <v>-</v>
      </c>
      <c r="BM586" s="138">
        <f>IF(IFERROR(VLOOKUP(J586,'[63]ТР нефть'!$J$28:$BP$638,56,0),"-")=0,"-",IFERROR(VLOOKUP(J586,'[63]ТР нефть'!$J$28:$BP$638,56,0),"-"))</f>
        <v>1338</v>
      </c>
      <c r="BN586" s="138">
        <f>IF(IFERROR(VLOOKUP(J586,'[63]ТР нефть'!$J$28:$BP$638,57,0),"-")=0,"-",IFERROR(VLOOKUP(J586,'[63]ТР нефть'!$J$28:$BP$638,57,0),"-"))</f>
        <v>48</v>
      </c>
      <c r="BO586" s="115">
        <f>IF(IFERROR(VLOOKUP(J586,'[63]ТР нефть'!$J$28:$BP$638,58,0),"-")=0,"-",IFERROR(VLOOKUP(J586,'[63]ТР нефть'!$J$28:$BP$638,58,0),"-"))</f>
        <v>80</v>
      </c>
      <c r="BP586" s="115" t="str">
        <f>IF(IFERROR(VLOOKUP(J586,'[63]ТР нефть'!$J$28:$BP$638,59,0),"-")=0,"-",IFERROR(VLOOKUP(J586,'[63]ТР нефть'!$J$28:$BP$638,59,0),"-"))</f>
        <v>-</v>
      </c>
      <c r="BQ586" s="138">
        <v>1940</v>
      </c>
      <c r="BR586" s="128">
        <v>1669.35</v>
      </c>
      <c r="BS586" s="115">
        <v>270.65000000000009</v>
      </c>
      <c r="BT586" s="128">
        <v>73</v>
      </c>
      <c r="BU586" s="128">
        <v>5.5</v>
      </c>
      <c r="BV586" s="127">
        <v>18</v>
      </c>
      <c r="BW586" s="127" t="s">
        <v>217</v>
      </c>
      <c r="BX586" s="127" t="s">
        <v>218</v>
      </c>
      <c r="BY586" s="139">
        <v>5</v>
      </c>
      <c r="BZ586" s="139">
        <v>19</v>
      </c>
      <c r="CA586" s="138">
        <v>35</v>
      </c>
      <c r="CB586" s="138">
        <v>34</v>
      </c>
      <c r="CC586" s="138">
        <v>43</v>
      </c>
      <c r="CD586" s="135">
        <v>45017</v>
      </c>
      <c r="CE586" s="138">
        <v>127</v>
      </c>
      <c r="CF586" s="138"/>
      <c r="CG586" s="138" t="str">
        <f t="shared" si="474"/>
        <v/>
      </c>
      <c r="CH586" s="138" t="s">
        <v>197</v>
      </c>
      <c r="CI586" s="138"/>
      <c r="CJ586" s="138">
        <f>IF((BR586-(100*(CM586-CB586))/(9.8*(AB586+AA586)/2))&gt;0,BR586-(100*(CM586-CB586))/(9.8*(AB586+AA586)/2),0)</f>
        <v>1485.7289937568858</v>
      </c>
      <c r="CK586" s="138">
        <f t="shared" si="488"/>
        <v>29.503056437500007</v>
      </c>
      <c r="CL586" s="99"/>
      <c r="CM586" s="127">
        <v>48</v>
      </c>
      <c r="CN586" s="154">
        <f>IF(CM586=0,0,(((AP586-AQ586-BR586)*((AD586*(CQ586/100))+(AB586*((100-CQ586)/100)))*9.81/100+CM586)))</f>
        <v>64.503056437500007</v>
      </c>
      <c r="CO586" s="141">
        <f t="shared" si="442"/>
        <v>4.0963999999999992</v>
      </c>
      <c r="CP586" s="142">
        <v>14</v>
      </c>
      <c r="CQ586" s="143">
        <v>65</v>
      </c>
      <c r="CR586" s="115">
        <v>15.36</v>
      </c>
      <c r="CS586" s="139"/>
      <c r="CT586" s="138"/>
      <c r="CU586" s="138">
        <f t="shared" si="475"/>
        <v>15.36</v>
      </c>
      <c r="CV586" s="115">
        <f t="shared" si="476"/>
        <v>3749.6338248217953</v>
      </c>
      <c r="CW586" s="115" t="str">
        <f t="shared" si="443"/>
        <v/>
      </c>
      <c r="CX586" s="133">
        <f t="shared" si="477"/>
        <v>0.22401095480772298</v>
      </c>
      <c r="CY586" s="116"/>
      <c r="CZ586" s="131"/>
      <c r="DA586" s="145" t="str">
        <f t="shared" si="478"/>
        <v>ЭЦН</v>
      </c>
      <c r="DB586" s="146">
        <f t="shared" si="468"/>
        <v>6.1445999999999996</v>
      </c>
      <c r="DC586" s="142">
        <f t="shared" si="469"/>
        <v>21</v>
      </c>
      <c r="DD586" s="119">
        <f t="shared" si="470"/>
        <v>65</v>
      </c>
      <c r="DE586" s="115">
        <f t="shared" si="471"/>
        <v>15.36</v>
      </c>
      <c r="DF586" s="121">
        <f t="shared" si="472"/>
        <v>0</v>
      </c>
      <c r="DG586" s="115">
        <f t="shared" si="446"/>
        <v>3749.6338248217953</v>
      </c>
      <c r="DH586" s="115">
        <f t="shared" si="447"/>
        <v>64.503056437500007</v>
      </c>
      <c r="DI586" s="147"/>
      <c r="DJ586" s="111"/>
      <c r="DK586" s="112">
        <v>44267</v>
      </c>
      <c r="DL586" s="113">
        <f t="shared" ca="1" si="480"/>
        <v>837</v>
      </c>
      <c r="DM586" s="114"/>
      <c r="DN586" s="114"/>
      <c r="DO586" s="114"/>
      <c r="DP586" s="114"/>
      <c r="DQ586" s="112"/>
      <c r="DR586" s="114"/>
      <c r="DS586" s="114"/>
      <c r="DT586" s="115">
        <v>60</v>
      </c>
      <c r="DU586" s="116">
        <f t="shared" si="481"/>
        <v>0.21949261141653256</v>
      </c>
      <c r="DV586" s="117">
        <f t="shared" si="484"/>
        <v>4.3029770527319871</v>
      </c>
      <c r="DW586" s="118">
        <f t="shared" si="485"/>
        <v>14.706004964907681</v>
      </c>
      <c r="DX586" s="119">
        <f t="shared" si="486"/>
        <v>65</v>
      </c>
      <c r="DY586" s="115">
        <f t="shared" si="487"/>
        <v>16.134588304355859</v>
      </c>
      <c r="DZ586" s="117">
        <f t="shared" si="482"/>
        <v>0.2065770527319879</v>
      </c>
      <c r="EA586" s="120">
        <f t="shared" si="482"/>
        <v>0.70600496490768094</v>
      </c>
      <c r="EB586" s="119">
        <f t="shared" si="482"/>
        <v>0</v>
      </c>
      <c r="EC586" s="121">
        <f t="shared" si="464"/>
        <v>0.77458830435585924</v>
      </c>
      <c r="ED586" s="122"/>
      <c r="EE586" s="145">
        <v>18</v>
      </c>
      <c r="EF586" s="115">
        <v>35</v>
      </c>
      <c r="EG586" s="115">
        <v>34</v>
      </c>
      <c r="EH586" s="115">
        <v>34</v>
      </c>
      <c r="EI586" s="128" t="s">
        <v>218</v>
      </c>
      <c r="EJ586" s="121">
        <v>5</v>
      </c>
      <c r="EK586" s="121">
        <v>19</v>
      </c>
      <c r="EL586" s="149">
        <v>6.1445999999999996</v>
      </c>
      <c r="EM586" s="142">
        <v>21</v>
      </c>
      <c r="EN586" s="119">
        <v>65</v>
      </c>
      <c r="EO586" s="115">
        <v>15.36</v>
      </c>
      <c r="EP586" s="115">
        <v>2499.7558832145301</v>
      </c>
      <c r="EQ586" s="115">
        <v>0</v>
      </c>
      <c r="ER586" s="115">
        <v>0</v>
      </c>
      <c r="ES586" s="115">
        <v>64.503056437500007</v>
      </c>
      <c r="ET586" s="150">
        <v>0.3360164322115845</v>
      </c>
      <c r="EU586" s="145">
        <f t="shared" si="457"/>
        <v>18</v>
      </c>
      <c r="EV586" s="115">
        <f t="shared" si="448"/>
        <v>35</v>
      </c>
      <c r="EW586" s="115">
        <f t="shared" si="448"/>
        <v>34</v>
      </c>
      <c r="EX586" s="115">
        <f t="shared" si="448"/>
        <v>43</v>
      </c>
      <c r="EY586" s="115" t="str">
        <f t="shared" si="489"/>
        <v>Периодический</v>
      </c>
      <c r="EZ586" s="115">
        <f t="shared" si="489"/>
        <v>5</v>
      </c>
      <c r="FA586" s="115">
        <f t="shared" si="489"/>
        <v>19</v>
      </c>
      <c r="FB586" s="149">
        <f t="shared" si="461"/>
        <v>4.0963999999999992</v>
      </c>
      <c r="FC586" s="142">
        <f t="shared" si="461"/>
        <v>14</v>
      </c>
      <c r="FD586" s="119">
        <f t="shared" si="461"/>
        <v>65</v>
      </c>
      <c r="FE586" s="121">
        <f t="shared" si="460"/>
        <v>15.36</v>
      </c>
      <c r="FF586" s="121">
        <f t="shared" si="462"/>
        <v>3749.6338248217953</v>
      </c>
      <c r="FG586" s="121">
        <f t="shared" si="449"/>
        <v>0</v>
      </c>
      <c r="FH586" s="121">
        <f t="shared" si="491"/>
        <v>0</v>
      </c>
      <c r="FI586" s="121">
        <f t="shared" si="483"/>
        <v>64.503056437500007</v>
      </c>
      <c r="FJ586" s="144">
        <f t="shared" si="450"/>
        <v>0.22401095480772298</v>
      </c>
      <c r="FK586" s="132">
        <f t="shared" si="451"/>
        <v>0</v>
      </c>
      <c r="FL586" s="115">
        <f t="shared" si="451"/>
        <v>0</v>
      </c>
      <c r="FM586" s="115">
        <f t="shared" si="451"/>
        <v>0</v>
      </c>
      <c r="FN586" s="115">
        <f t="shared" si="451"/>
        <v>9</v>
      </c>
      <c r="FO586" s="115">
        <f t="shared" si="492"/>
        <v>0</v>
      </c>
      <c r="FP586" s="115">
        <f t="shared" si="492"/>
        <v>0</v>
      </c>
      <c r="FQ586" s="149">
        <f t="shared" si="492"/>
        <v>-2.0482000000000005</v>
      </c>
      <c r="FR586" s="142">
        <f t="shared" si="492"/>
        <v>-7</v>
      </c>
      <c r="FS586" s="119">
        <f t="shared" si="492"/>
        <v>0</v>
      </c>
      <c r="FT586" s="121">
        <f t="shared" si="438"/>
        <v>0</v>
      </c>
      <c r="FU586" s="121">
        <f t="shared" si="452"/>
        <v>0</v>
      </c>
      <c r="FV586" s="121">
        <f t="shared" si="452"/>
        <v>0</v>
      </c>
      <c r="FW586" s="121">
        <f t="shared" si="453"/>
        <v>1249.8779416072653</v>
      </c>
      <c r="FX586" s="121">
        <f t="shared" si="454"/>
        <v>0</v>
      </c>
      <c r="FY586" s="144">
        <f t="shared" si="454"/>
        <v>-0.11200547740386152</v>
      </c>
      <c r="FZ586" s="145" t="s">
        <v>199</v>
      </c>
      <c r="GA586" s="151" t="s">
        <v>415</v>
      </c>
      <c r="GB586" s="145"/>
      <c r="GC586" s="151"/>
      <c r="GD586" s="997" t="s">
        <v>220</v>
      </c>
      <c r="GE586" s="1004"/>
      <c r="GF586" s="1004">
        <v>0</v>
      </c>
      <c r="GG586" s="1004"/>
      <c r="GH586" s="1004">
        <v>0</v>
      </c>
      <c r="GI586" s="145" t="s">
        <v>206</v>
      </c>
      <c r="GJ586" s="996">
        <v>3.3968351999999995</v>
      </c>
      <c r="GK586" s="145" t="s">
        <v>204</v>
      </c>
      <c r="GL586" s="996">
        <v>-9.2195860679999964</v>
      </c>
      <c r="GM586" s="1005"/>
      <c r="GN586" s="996">
        <v>0</v>
      </c>
      <c r="GO586" s="1006" t="s">
        <v>199</v>
      </c>
      <c r="GP586" s="996">
        <v>3.1973095879999978</v>
      </c>
      <c r="GQ586" s="1006" t="s">
        <v>240</v>
      </c>
      <c r="GR586" s="996">
        <v>-1.2285187200000003</v>
      </c>
      <c r="GS586" s="1006"/>
      <c r="GT586" s="996">
        <v>0</v>
      </c>
      <c r="GU586" s="1006"/>
      <c r="GV586" s="996">
        <v>0</v>
      </c>
      <c r="GW586" s="1006" t="s">
        <v>223</v>
      </c>
      <c r="GX586" s="996">
        <v>-1.3041599999999995</v>
      </c>
      <c r="GY586" s="1006"/>
      <c r="GZ586" s="996">
        <v>-0.62598008000000149</v>
      </c>
      <c r="HA586" s="1006"/>
      <c r="HB586" s="996">
        <v>0</v>
      </c>
      <c r="HC586" s="1006"/>
      <c r="HD586" s="996">
        <v>0</v>
      </c>
      <c r="HE586" s="1006"/>
      <c r="HF586" s="996">
        <v>0</v>
      </c>
      <c r="HG586" s="1006" t="s">
        <v>223</v>
      </c>
      <c r="HH586" s="996">
        <v>-6.7735896799999988</v>
      </c>
      <c r="HI586" s="1006" t="s">
        <v>223</v>
      </c>
      <c r="HJ586" s="996">
        <v>-6.5762435199999913</v>
      </c>
      <c r="HK586" s="1006" t="s">
        <v>308</v>
      </c>
      <c r="HL586" s="996">
        <v>15.808325279999991</v>
      </c>
      <c r="HM586" s="1006"/>
      <c r="HN586" s="996">
        <v>-0.36115200000000058</v>
      </c>
      <c r="HO586" s="1006" t="s">
        <v>199</v>
      </c>
      <c r="HP586" s="996">
        <v>1.4448588000000004</v>
      </c>
      <c r="HQ586" s="1006" t="s">
        <v>349</v>
      </c>
      <c r="HR586" s="996">
        <v>1.3237224000000003</v>
      </c>
      <c r="HS586" s="1006"/>
      <c r="HT586" s="996">
        <v>9.7989231999998871E-2</v>
      </c>
      <c r="HU586" s="1006" t="s">
        <v>349</v>
      </c>
      <c r="HV586" s="996">
        <v>2.7137295680000006</v>
      </c>
      <c r="HW586" s="1006" t="s">
        <v>1233</v>
      </c>
      <c r="HX586" s="996">
        <v>-4.4629224639999991</v>
      </c>
      <c r="HY586" s="1006"/>
      <c r="HZ586" s="996">
        <v>0</v>
      </c>
      <c r="IA586" s="1006"/>
      <c r="IB586" s="996">
        <v>-0.94451313440000106</v>
      </c>
      <c r="IC586" s="1006"/>
      <c r="ID586" s="996">
        <v>0</v>
      </c>
      <c r="IE586" s="1006" t="s">
        <v>25</v>
      </c>
      <c r="IF586" s="996">
        <v>9.6584955984</v>
      </c>
      <c r="IG586" s="1006"/>
      <c r="IH586" s="996">
        <v>0</v>
      </c>
      <c r="II586" s="1006"/>
      <c r="IJ586" s="996">
        <v>0</v>
      </c>
      <c r="IK586" s="1006"/>
      <c r="IL586" s="996"/>
      <c r="IM586" s="1006"/>
      <c r="IN586" s="996"/>
      <c r="IO586" s="1006"/>
      <c r="IP586" s="996"/>
      <c r="IQ586" s="1006"/>
      <c r="IR586" s="996"/>
      <c r="IS586" s="1006"/>
      <c r="IT586" s="996"/>
      <c r="IU586" s="1006"/>
      <c r="IV586" s="996"/>
      <c r="IW586" s="1006"/>
      <c r="IX586" s="996"/>
      <c r="IY586" s="1006"/>
      <c r="IZ586" s="996"/>
      <c r="JA586" s="1006"/>
      <c r="JB586" s="996"/>
      <c r="JC586" s="1006"/>
      <c r="JD586" s="996"/>
      <c r="JE586" s="1006"/>
      <c r="JF586" s="996"/>
      <c r="JG586" s="1006"/>
      <c r="JH586" s="996"/>
      <c r="JI586" s="1006"/>
      <c r="JJ586" s="996"/>
      <c r="JK586" s="1007"/>
      <c r="JL586" s="1007"/>
      <c r="JM586" s="1007"/>
      <c r="JN586" s="1007"/>
      <c r="JO586" s="1008"/>
      <c r="JP586" s="1007"/>
      <c r="JQ586" s="1008"/>
      <c r="JR586" s="1007"/>
      <c r="JS586" s="1008"/>
      <c r="JT586" s="1007"/>
      <c r="JU586" s="1008"/>
      <c r="JV586" s="1007"/>
      <c r="JW586" s="1008"/>
      <c r="JX586" s="1007"/>
      <c r="JY586" s="1008"/>
      <c r="JZ586" s="1007"/>
      <c r="KA586" s="1008"/>
      <c r="KB586" s="1007"/>
      <c r="KC586" s="1008"/>
      <c r="KD586" s="1007"/>
      <c r="KE586" s="1008"/>
      <c r="KF586" s="1007"/>
      <c r="KG586" s="1008"/>
      <c r="KH586" s="1007"/>
      <c r="KI586" s="1008"/>
      <c r="KJ586" s="1007"/>
      <c r="KK586" s="1008"/>
      <c r="KL586" s="1007"/>
      <c r="KM586" s="1008"/>
      <c r="KN586" s="1007"/>
      <c r="KO586" s="1008"/>
      <c r="KP586" s="1007"/>
      <c r="KQ586" s="1008"/>
      <c r="KR586" s="1007"/>
      <c r="KS586" s="1008"/>
      <c r="KT586" s="1007"/>
      <c r="KU586" s="1008"/>
      <c r="KV586" s="1007"/>
      <c r="KW586" s="1008"/>
      <c r="KX586" s="1007"/>
      <c r="KY586" s="1008"/>
      <c r="KZ586" s="1007"/>
      <c r="LA586" s="1008"/>
      <c r="LB586" s="1007"/>
      <c r="LC586" s="1008"/>
      <c r="LD586" s="1007"/>
      <c r="LE586" s="1008"/>
      <c r="LF586" s="1007"/>
      <c r="LG586" s="1008"/>
      <c r="LH586" s="1007"/>
      <c r="LI586" s="1008"/>
      <c r="LJ586" s="1007"/>
      <c r="LK586" s="1008"/>
      <c r="LL586" s="1007"/>
      <c r="LM586" s="1008"/>
      <c r="LN586" s="1007"/>
      <c r="LO586" s="1008"/>
      <c r="LP586" s="1007"/>
      <c r="LQ586" s="1008"/>
      <c r="LR586" s="1007"/>
      <c r="LS586" s="1008"/>
      <c r="LT586" s="1007"/>
      <c r="LU586" s="1008"/>
      <c r="LV586" s="1007"/>
      <c r="LW586" s="1008"/>
      <c r="LX586" s="1007"/>
      <c r="LY586" s="1009"/>
      <c r="LZ586" s="1010"/>
      <c r="MA586" s="1011"/>
      <c r="MB586" s="1012"/>
      <c r="MC586" s="995"/>
      <c r="MD586" s="996"/>
      <c r="ME586" s="997" t="s">
        <v>220</v>
      </c>
      <c r="MF586" s="997"/>
      <c r="MG586" s="998"/>
      <c r="NR586" s="1000"/>
      <c r="NS586" s="1000"/>
      <c r="NT586" s="1001"/>
      <c r="NU586" s="1000"/>
      <c r="NV586" s="1001"/>
      <c r="NX586" s="1002"/>
      <c r="NZ586" s="1001"/>
      <c r="OA586" s="1001"/>
      <c r="OC586" s="1003"/>
      <c r="OD586" s="1003"/>
      <c r="OE586" s="1001"/>
      <c r="OF586" s="1003"/>
      <c r="OG586" s="1003"/>
      <c r="OH586" s="1003"/>
      <c r="OI586" s="1016"/>
      <c r="QX586" s="1000">
        <f>CN586-CA586</f>
        <v>29.503056437500007</v>
      </c>
      <c r="ASU586" s="999" t="s">
        <v>225</v>
      </c>
    </row>
    <row r="587" spans="1:466 1191:1191" ht="21" customHeight="1" x14ac:dyDescent="0.25">
      <c r="A587" s="982">
        <f t="shared" si="441"/>
        <v>3402</v>
      </c>
      <c r="B587" s="124">
        <f>SUBTOTAL(103,$J$29:J587)</f>
        <v>559</v>
      </c>
      <c r="C587" s="126">
        <v>45068</v>
      </c>
      <c r="D587" s="124" t="s">
        <v>176</v>
      </c>
      <c r="E587" s="127" t="s">
        <v>177</v>
      </c>
      <c r="F587" s="128" t="s">
        <v>177</v>
      </c>
      <c r="G587" s="127" t="s">
        <v>178</v>
      </c>
      <c r="H587" s="127" t="s">
        <v>179</v>
      </c>
      <c r="I587" s="127" t="s">
        <v>1822</v>
      </c>
      <c r="J587" s="152">
        <v>3402</v>
      </c>
      <c r="K587" s="127" t="s">
        <v>1822</v>
      </c>
      <c r="L587" s="130">
        <v>43907</v>
      </c>
      <c r="M587" s="127" t="s">
        <v>230</v>
      </c>
      <c r="N587" s="127" t="s">
        <v>1368</v>
      </c>
      <c r="O587" s="127" t="s">
        <v>185</v>
      </c>
      <c r="P587" s="127" t="s">
        <v>186</v>
      </c>
      <c r="Q587" s="85" t="str">
        <f t="shared" si="473"/>
        <v/>
      </c>
      <c r="R587" s="130"/>
      <c r="S587" s="128"/>
      <c r="T587" s="131"/>
      <c r="U587" s="132">
        <v>203</v>
      </c>
      <c r="V587" s="121">
        <v>218.2</v>
      </c>
      <c r="W587" s="116">
        <v>0.98</v>
      </c>
      <c r="X587" s="116">
        <v>1.66</v>
      </c>
      <c r="Y587" s="116">
        <f t="shared" si="463"/>
        <v>1.0533540533540533</v>
      </c>
      <c r="Z587" s="133">
        <v>1.454</v>
      </c>
      <c r="AA587" s="133">
        <v>0.83599999999999997</v>
      </c>
      <c r="AB587" s="133">
        <v>0.72</v>
      </c>
      <c r="AC587" s="121">
        <v>34.299999999999997</v>
      </c>
      <c r="AD587" s="134">
        <v>1.17</v>
      </c>
      <c r="AE587" s="124">
        <v>177.8</v>
      </c>
      <c r="AF587" s="128">
        <v>9.19</v>
      </c>
      <c r="AG587" s="128">
        <v>2450</v>
      </c>
      <c r="AH587" s="127">
        <v>3155</v>
      </c>
      <c r="AI587" s="127">
        <v>3155</v>
      </c>
      <c r="AJ587" s="135"/>
      <c r="AK587" s="128"/>
      <c r="AL587" s="131"/>
      <c r="AM587" s="124" t="s">
        <v>232</v>
      </c>
      <c r="AN587" s="136" t="s">
        <v>2003</v>
      </c>
      <c r="AO587" s="137">
        <f>1723.73-1715.23</f>
        <v>8.5</v>
      </c>
      <c r="AP587" s="128">
        <v>2450</v>
      </c>
      <c r="AQ587" s="128">
        <f>AP587-1723.73+140.1</f>
        <v>866.37</v>
      </c>
      <c r="AR587" s="128"/>
      <c r="AS587" s="128"/>
      <c r="AT587" s="122"/>
      <c r="AU587" s="124" t="s">
        <v>189</v>
      </c>
      <c r="AV587" s="115">
        <f>VLOOKUP(J587,'[63]ТР нефть'!$J$28:$BP$638,39,0)</f>
        <v>393.00001171899999</v>
      </c>
      <c r="AW587" s="115" t="str">
        <f>VLOOKUP(J587,'[63]ТР нефть'!$J$28:$BP$638,40,0)</f>
        <v>ГП</v>
      </c>
      <c r="AX587" s="115">
        <f>VLOOKUP(J587,'[63]ТР нефть'!$J$28:$BP$638,41,0)</f>
        <v>793.00000546900003</v>
      </c>
      <c r="AY587" s="115" t="str">
        <f>VLOOKUP(J587,'[63]ТР нефть'!$J$28:$BP$638,42,0)</f>
        <v>ГК 77 1/8</v>
      </c>
      <c r="AZ587" s="115">
        <f>VLOOKUP(J587,'[63]ТР нефть'!$J$28:$BP$638,43,0)</f>
        <v>1102.999985742</v>
      </c>
      <c r="BA587" s="115" t="str">
        <f>VLOOKUP(J587,'[63]ТР нефть'!$J$28:$BP$638,44,0)</f>
        <v xml:space="preserve">ГК 76 1/8 </v>
      </c>
      <c r="BB587" s="115">
        <f>VLOOKUP(J587,'[63]ТР нефть'!$J$28:$BP$638,45,0)</f>
        <v>1368.999972656</v>
      </c>
      <c r="BC587" s="115" t="str">
        <f>VLOOKUP(J587,'[63]ТР нефть'!$J$28:$BP$638,46,0)</f>
        <v>ГК 75 1/8</v>
      </c>
      <c r="BD587" s="115">
        <f>VLOOKUP(J587,'[63]ТР нефть'!$J$28:$BP$638,47,0)</f>
        <v>1619.9999449219999</v>
      </c>
      <c r="BE587" s="115" t="str">
        <f>VLOOKUP(J587,'[63]ТР нефть'!$J$28:$BP$638,48,0)</f>
        <v>ГК 74 1/8</v>
      </c>
      <c r="BF587" s="115">
        <f>VLOOKUP(J587,'[63]ТР нефть'!$J$28:$BP$638,49,0)</f>
        <v>1895</v>
      </c>
      <c r="BG587" s="115" t="str">
        <f>VLOOKUP(J587,'[63]ТР нефть'!$J$28:$BP$638,50,0)</f>
        <v>ЦКсОК 5/16</v>
      </c>
      <c r="BH587" s="115">
        <f>VLOOKUP(J587,'[63]ТР нефть'!$J$28:$BP$638,51,0)</f>
        <v>1916</v>
      </c>
      <c r="BI587" s="115" t="str">
        <f>VLOOKUP(J587,'[63]ТР нефть'!$J$28:$BP$638,52,0)</f>
        <v>закрыт</v>
      </c>
      <c r="BJ587" s="115" t="str">
        <f>IF(IFERROR(VLOOKUP(J587,'[63]ТР нефть'!$J$28:$BP$638,53,0),"-")=0,"-",IFERROR(VLOOKUP(J587,'[63]ТР нефть'!$J$28:$BP$638,53,0),"-"))</f>
        <v>-</v>
      </c>
      <c r="BK587" s="138" t="str">
        <f>IF(IFERROR(VLOOKUP(J587,'[63]ТР нефть'!$J$28:$BP$638,54,0),"-")=0,"-",IFERROR(VLOOKUP(J587,'[63]ТР нефть'!$J$28:$BP$638,54,0),"-"))</f>
        <v>-</v>
      </c>
      <c r="BL587" s="138" t="str">
        <f>IF(IFERROR(VLOOKUP(J587,'[63]ТР нефть'!$J$28:$BP$638,55,0),"-")=0,"-",IFERROR(VLOOKUP(J587,'[63]ТР нефть'!$J$28:$BP$638,55,0),"-"))</f>
        <v>-</v>
      </c>
      <c r="BM587" s="138" t="str">
        <f>IF(IFERROR(VLOOKUP(J587,'[63]ТР нефть'!$J$28:$BP$638,56,0),"-")=0,"-",IFERROR(VLOOKUP(J587,'[63]ТР нефть'!$J$28:$BP$638,56,0),"-"))</f>
        <v>-</v>
      </c>
      <c r="BN587" s="138" t="str">
        <f>IF(IFERROR(VLOOKUP(J587,'[63]ТР нефть'!$J$28:$BP$638,57,0),"-")=0,"-",IFERROR(VLOOKUP(J587,'[63]ТР нефть'!$J$28:$BP$638,57,0),"-"))</f>
        <v>-</v>
      </c>
      <c r="BO587" s="115" t="str">
        <f>IF(IFERROR(VLOOKUP(J587,'[63]ТР нефть'!$J$28:$BP$638,58,0),"-")=0,"-",IFERROR(VLOOKUP(J587,'[63]ТР нефть'!$J$28:$BP$638,58,0),"-"))</f>
        <v>-</v>
      </c>
      <c r="BP587" s="115" t="str">
        <f>IF(IFERROR(VLOOKUP(J587,'[63]ТР нефть'!$J$28:$BP$638,59,0),"-")=0,"-",IFERROR(VLOOKUP(J587,'[63]ТР нефть'!$J$28:$BP$638,59,0),"-"))</f>
        <v>-</v>
      </c>
      <c r="BQ587" s="138">
        <v>2452</v>
      </c>
      <c r="BR587" s="128">
        <f>1723.86+140.1</f>
        <v>1863.9599999999998</v>
      </c>
      <c r="BS587" s="115">
        <f>BQ587-BR587</f>
        <v>588.04000000000019</v>
      </c>
      <c r="BT587" s="128">
        <v>73</v>
      </c>
      <c r="BU587" s="128">
        <v>5.5</v>
      </c>
      <c r="BV587" s="127">
        <v>12</v>
      </c>
      <c r="BW587" s="127" t="s">
        <v>217</v>
      </c>
      <c r="BX587" s="127" t="s">
        <v>195</v>
      </c>
      <c r="BY587" s="139">
        <v>24</v>
      </c>
      <c r="BZ587" s="139">
        <v>0</v>
      </c>
      <c r="CA587" s="138">
        <v>23</v>
      </c>
      <c r="CB587" s="138">
        <v>36</v>
      </c>
      <c r="CC587" s="138">
        <v>22</v>
      </c>
      <c r="CD587" s="135">
        <v>45017</v>
      </c>
      <c r="CE587" s="138">
        <v>104</v>
      </c>
      <c r="CF587" s="138">
        <v>66</v>
      </c>
      <c r="CG587" s="138" t="str">
        <f t="shared" si="474"/>
        <v/>
      </c>
      <c r="CH587" s="138" t="s">
        <v>197</v>
      </c>
      <c r="CI587" s="127">
        <v>6</v>
      </c>
      <c r="CJ587" s="138"/>
      <c r="CK587" s="138">
        <f t="shared" si="488"/>
        <v>19</v>
      </c>
      <c r="CL587" s="99"/>
      <c r="CM587" s="99"/>
      <c r="CN587" s="140">
        <v>42</v>
      </c>
      <c r="CO587" s="141">
        <f t="shared" si="442"/>
        <v>7.6326799999999988</v>
      </c>
      <c r="CP587" s="142">
        <v>11</v>
      </c>
      <c r="CQ587" s="143">
        <v>17</v>
      </c>
      <c r="CR587" s="115">
        <v>19</v>
      </c>
      <c r="CS587" s="139">
        <v>9</v>
      </c>
      <c r="CT587" s="138"/>
      <c r="CU587" s="138">
        <f t="shared" si="475"/>
        <v>10</v>
      </c>
      <c r="CV587" s="115">
        <f t="shared" si="476"/>
        <v>1310.1558037281795</v>
      </c>
      <c r="CW587" s="115">
        <f t="shared" si="443"/>
        <v>918.54168240094543</v>
      </c>
      <c r="CX587" s="133">
        <f t="shared" si="477"/>
        <v>0.17741935483870969</v>
      </c>
      <c r="CY587" s="116"/>
      <c r="CZ587" s="131"/>
      <c r="DA587" s="145" t="str">
        <f t="shared" si="478"/>
        <v>Газлифт</v>
      </c>
      <c r="DB587" s="146">
        <f t="shared" si="468"/>
        <v>7.6326799999999988</v>
      </c>
      <c r="DC587" s="142">
        <f t="shared" si="469"/>
        <v>11</v>
      </c>
      <c r="DD587" s="119">
        <f t="shared" si="470"/>
        <v>17</v>
      </c>
      <c r="DE587" s="115">
        <f t="shared" si="471"/>
        <v>10</v>
      </c>
      <c r="DF587" s="121">
        <f t="shared" si="472"/>
        <v>9</v>
      </c>
      <c r="DG587" s="115">
        <f t="shared" si="446"/>
        <v>1310.1558037281795</v>
      </c>
      <c r="DH587" s="115">
        <f t="shared" si="447"/>
        <v>42</v>
      </c>
      <c r="DI587" s="147"/>
      <c r="DJ587" s="111"/>
      <c r="DK587" s="112">
        <v>43907</v>
      </c>
      <c r="DL587" s="113">
        <f t="shared" ca="1" si="480"/>
        <v>1197</v>
      </c>
      <c r="DM587" s="114"/>
      <c r="DN587" s="114"/>
      <c r="DO587" s="114"/>
      <c r="DP587" s="114"/>
      <c r="DQ587" s="112"/>
      <c r="DR587" s="114"/>
      <c r="DS587" s="114"/>
      <c r="DT587" s="115">
        <v>60</v>
      </c>
      <c r="DU587" s="116">
        <f t="shared" si="481"/>
        <v>0.25</v>
      </c>
      <c r="DV587" s="117">
        <f t="shared" si="484"/>
        <v>7.6326799999999988</v>
      </c>
      <c r="DW587" s="118">
        <f t="shared" si="485"/>
        <v>11</v>
      </c>
      <c r="DX587" s="119">
        <f t="shared" si="486"/>
        <v>17</v>
      </c>
      <c r="DY587" s="115">
        <f t="shared" si="487"/>
        <v>10</v>
      </c>
      <c r="DZ587" s="117">
        <f t="shared" si="482"/>
        <v>0</v>
      </c>
      <c r="EA587" s="120">
        <f t="shared" si="482"/>
        <v>0</v>
      </c>
      <c r="EB587" s="119">
        <f t="shared" si="482"/>
        <v>0</v>
      </c>
      <c r="EC587" s="121">
        <f t="shared" si="464"/>
        <v>0</v>
      </c>
      <c r="ED587" s="122"/>
      <c r="EE587" s="145">
        <v>12</v>
      </c>
      <c r="EF587" s="115">
        <v>19</v>
      </c>
      <c r="EG587" s="115">
        <v>36</v>
      </c>
      <c r="EH587" s="115">
        <v>18</v>
      </c>
      <c r="EI587" s="128" t="s">
        <v>195</v>
      </c>
      <c r="EJ587" s="121">
        <v>24</v>
      </c>
      <c r="EK587" s="121">
        <v>0</v>
      </c>
      <c r="EL587" s="149">
        <v>7.6326799999999988</v>
      </c>
      <c r="EM587" s="142">
        <v>11</v>
      </c>
      <c r="EN587" s="119">
        <v>17</v>
      </c>
      <c r="EO587" s="115">
        <v>19</v>
      </c>
      <c r="EP587" s="115">
        <v>1310.1558037281795</v>
      </c>
      <c r="EQ587" s="115">
        <v>66</v>
      </c>
      <c r="ER587" s="115">
        <v>9</v>
      </c>
      <c r="ES587" s="115">
        <v>42</v>
      </c>
      <c r="ET587" s="150">
        <v>0.17741935483870969</v>
      </c>
      <c r="EU587" s="145">
        <f t="shared" si="457"/>
        <v>12</v>
      </c>
      <c r="EV587" s="115">
        <f t="shared" si="448"/>
        <v>23</v>
      </c>
      <c r="EW587" s="115">
        <f t="shared" si="448"/>
        <v>36</v>
      </c>
      <c r="EX587" s="115">
        <f t="shared" si="448"/>
        <v>22</v>
      </c>
      <c r="EY587" s="115" t="str">
        <f t="shared" si="489"/>
        <v>Постоянный</v>
      </c>
      <c r="EZ587" s="115">
        <f t="shared" si="489"/>
        <v>24</v>
      </c>
      <c r="FA587" s="115">
        <f t="shared" si="489"/>
        <v>0</v>
      </c>
      <c r="FB587" s="149">
        <f t="shared" si="461"/>
        <v>7.6326799999999988</v>
      </c>
      <c r="FC587" s="142">
        <f t="shared" si="461"/>
        <v>11</v>
      </c>
      <c r="FD587" s="119">
        <f t="shared" si="461"/>
        <v>17</v>
      </c>
      <c r="FE587" s="121">
        <f t="shared" si="460"/>
        <v>19</v>
      </c>
      <c r="FF587" s="121">
        <f t="shared" si="462"/>
        <v>1310.1558037281795</v>
      </c>
      <c r="FG587" s="121">
        <f t="shared" si="449"/>
        <v>66</v>
      </c>
      <c r="FH587" s="121">
        <f t="shared" si="491"/>
        <v>9</v>
      </c>
      <c r="FI587" s="121">
        <f t="shared" si="483"/>
        <v>42</v>
      </c>
      <c r="FJ587" s="144">
        <f t="shared" si="450"/>
        <v>0.17741935483870969</v>
      </c>
      <c r="FK587" s="132">
        <f t="shared" si="451"/>
        <v>0</v>
      </c>
      <c r="FL587" s="115">
        <f t="shared" si="451"/>
        <v>4</v>
      </c>
      <c r="FM587" s="115">
        <f t="shared" si="451"/>
        <v>0</v>
      </c>
      <c r="FN587" s="115">
        <f t="shared" si="451"/>
        <v>4</v>
      </c>
      <c r="FO587" s="115">
        <f t="shared" si="492"/>
        <v>0</v>
      </c>
      <c r="FP587" s="115">
        <f t="shared" si="492"/>
        <v>0</v>
      </c>
      <c r="FQ587" s="149">
        <f t="shared" si="492"/>
        <v>0</v>
      </c>
      <c r="FR587" s="142">
        <f t="shared" si="492"/>
        <v>0</v>
      </c>
      <c r="FS587" s="119">
        <f t="shared" si="492"/>
        <v>0</v>
      </c>
      <c r="FT587" s="121">
        <f t="shared" si="438"/>
        <v>0</v>
      </c>
      <c r="FU587" s="121">
        <f t="shared" si="452"/>
        <v>0</v>
      </c>
      <c r="FV587" s="121">
        <f t="shared" si="452"/>
        <v>0</v>
      </c>
      <c r="FW587" s="121">
        <f t="shared" si="453"/>
        <v>0</v>
      </c>
      <c r="FX587" s="121">
        <f t="shared" si="454"/>
        <v>0</v>
      </c>
      <c r="FY587" s="144">
        <f t="shared" si="454"/>
        <v>0</v>
      </c>
      <c r="FZ587" s="145"/>
      <c r="GA587" s="151"/>
      <c r="GB587" s="145"/>
      <c r="GC587" s="151"/>
      <c r="GD587" s="997" t="s">
        <v>220</v>
      </c>
      <c r="GE587" s="1004"/>
      <c r="GF587" s="1004">
        <v>0.44307999999999925</v>
      </c>
      <c r="GG587" s="1004" t="s">
        <v>223</v>
      </c>
      <c r="GH587" s="1004">
        <v>-2.2229239999999999</v>
      </c>
      <c r="GI587" s="145"/>
      <c r="GJ587" s="996">
        <v>0</v>
      </c>
      <c r="GK587" s="145" t="s">
        <v>223</v>
      </c>
      <c r="GL587" s="996">
        <v>-2.6439336000000004</v>
      </c>
      <c r="GM587" s="1005"/>
      <c r="GN587" s="996">
        <v>0</v>
      </c>
      <c r="GO587" s="1006" t="s">
        <v>240</v>
      </c>
      <c r="GP587" s="996">
        <v>-9.4826476800000012</v>
      </c>
      <c r="GQ587" s="1006"/>
      <c r="GR587" s="996">
        <v>-0.85923327599999766</v>
      </c>
      <c r="GS587" s="1006" t="s">
        <v>204</v>
      </c>
      <c r="GT587" s="996">
        <v>-17.609277444</v>
      </c>
      <c r="GU587" s="1006"/>
      <c r="GV587" s="996">
        <v>0</v>
      </c>
      <c r="GW587" s="1006" t="s">
        <v>199</v>
      </c>
      <c r="GX587" s="996">
        <v>-1.6669839999999994</v>
      </c>
      <c r="GY587" s="1006" t="s">
        <v>199</v>
      </c>
      <c r="GZ587" s="996">
        <v>2.0837300000000027</v>
      </c>
      <c r="HA587" s="1006" t="s">
        <v>223</v>
      </c>
      <c r="HB587" s="996">
        <v>-1.6669839999999994</v>
      </c>
      <c r="HC587" s="1006" t="s">
        <v>223</v>
      </c>
      <c r="HD587" s="996">
        <v>-10.585348400000001</v>
      </c>
      <c r="HE587" s="1006" t="s">
        <v>199</v>
      </c>
      <c r="HF587" s="996">
        <v>8.9183644000000015</v>
      </c>
      <c r="HG587" s="1006"/>
      <c r="HH587" s="996">
        <v>0.58344440000000475</v>
      </c>
      <c r="HI587" s="1006"/>
      <c r="HJ587" s="996">
        <v>0</v>
      </c>
      <c r="HK587" s="1006" t="s">
        <v>199</v>
      </c>
      <c r="HL587" s="996">
        <v>-8.5363734279999992</v>
      </c>
      <c r="HM587" s="1006" t="s">
        <v>199</v>
      </c>
      <c r="HN587" s="996">
        <v>5.591312627999999</v>
      </c>
      <c r="HO587" s="1006"/>
      <c r="HP587" s="996">
        <v>0</v>
      </c>
      <c r="HQ587" s="1006" t="s">
        <v>199</v>
      </c>
      <c r="HR587" s="996">
        <v>-6.1772040000000015</v>
      </c>
      <c r="HS587" s="1006"/>
      <c r="HT587" s="996">
        <v>0</v>
      </c>
      <c r="HU587" s="1006" t="s">
        <v>199</v>
      </c>
      <c r="HV587" s="996">
        <v>-12.556719999999999</v>
      </c>
      <c r="HW587" s="1006" t="s">
        <v>199</v>
      </c>
      <c r="HX587" s="996">
        <v>15.465999999999999</v>
      </c>
      <c r="HY587" s="1006"/>
      <c r="HZ587" s="996">
        <v>0</v>
      </c>
      <c r="IA587" s="1006" t="s">
        <v>199</v>
      </c>
      <c r="IB587" s="996">
        <v>-5.016</v>
      </c>
      <c r="IC587" s="1006" t="s">
        <v>199</v>
      </c>
      <c r="ID587" s="996">
        <v>9.2294400000000003</v>
      </c>
      <c r="IE587" s="1006" t="s">
        <v>204</v>
      </c>
      <c r="IF587" s="996">
        <v>-33.473439999999997</v>
      </c>
      <c r="IG587" s="1006"/>
      <c r="IH587" s="996">
        <v>0</v>
      </c>
      <c r="II587" s="1006" t="s">
        <v>1382</v>
      </c>
      <c r="IJ587" s="996">
        <v>20.064</v>
      </c>
      <c r="IK587" s="1006" t="s">
        <v>199</v>
      </c>
      <c r="IL587" s="996">
        <v>-7.9420000000000002</v>
      </c>
      <c r="IM587" s="1006" t="s">
        <v>199</v>
      </c>
      <c r="IN587" s="996">
        <v>-8.7779999999999987</v>
      </c>
      <c r="IO587" s="1006" t="s">
        <v>199</v>
      </c>
      <c r="IP587" s="996">
        <v>-3.3440000000000012</v>
      </c>
      <c r="IQ587" s="1006"/>
      <c r="IR587" s="996">
        <v>0</v>
      </c>
      <c r="IS587" s="1006" t="s">
        <v>203</v>
      </c>
      <c r="IT587" s="996">
        <v>-4.1465600000000009</v>
      </c>
      <c r="IU587" s="1006" t="s">
        <v>644</v>
      </c>
      <c r="IV587" s="996">
        <v>-33.473439999999997</v>
      </c>
      <c r="IW587" s="1006"/>
      <c r="IX587" s="996">
        <v>0</v>
      </c>
      <c r="IY587" s="1006" t="s">
        <v>203</v>
      </c>
      <c r="IZ587" s="996">
        <v>-20.899999999999991</v>
      </c>
      <c r="JA587" s="1006"/>
      <c r="JB587" s="996">
        <v>73.935839999999985</v>
      </c>
      <c r="JC587" s="1006"/>
      <c r="JD587" s="996"/>
      <c r="JE587" s="1006"/>
      <c r="JF587" s="996"/>
      <c r="JG587" s="1006"/>
      <c r="JH587" s="996"/>
      <c r="JI587" s="1006"/>
      <c r="JJ587" s="996"/>
      <c r="JK587" s="1007"/>
      <c r="JL587" s="1007"/>
      <c r="JM587" s="1007"/>
      <c r="JN587" s="1007"/>
      <c r="JO587" s="1008"/>
      <c r="JP587" s="1007"/>
      <c r="JQ587" s="1008"/>
      <c r="JR587" s="1007"/>
      <c r="JS587" s="1008"/>
      <c r="JT587" s="1007"/>
      <c r="JU587" s="1008"/>
      <c r="JV587" s="1007"/>
      <c r="JW587" s="1008"/>
      <c r="JX587" s="1007"/>
      <c r="JY587" s="1008"/>
      <c r="JZ587" s="1007"/>
      <c r="KA587" s="1008"/>
      <c r="KB587" s="1007"/>
      <c r="KC587" s="1008"/>
      <c r="KD587" s="1007"/>
      <c r="KE587" s="1008"/>
      <c r="KF587" s="1007"/>
      <c r="KG587" s="1008"/>
      <c r="KH587" s="1007"/>
      <c r="KI587" s="1008"/>
      <c r="KJ587" s="1007"/>
      <c r="KK587" s="1008"/>
      <c r="KL587" s="1007"/>
      <c r="KM587" s="1008"/>
      <c r="KN587" s="1007"/>
      <c r="KO587" s="1008"/>
      <c r="KP587" s="1007"/>
      <c r="KQ587" s="1008"/>
      <c r="KR587" s="1007"/>
      <c r="KS587" s="1008"/>
      <c r="KT587" s="1007"/>
      <c r="KU587" s="1008"/>
      <c r="KV587" s="1007"/>
      <c r="KW587" s="1008"/>
      <c r="KX587" s="1007"/>
      <c r="KY587" s="1008"/>
      <c r="KZ587" s="1007"/>
      <c r="LA587" s="1008"/>
      <c r="LB587" s="1007"/>
      <c r="LC587" s="1008"/>
      <c r="LD587" s="1007"/>
      <c r="LE587" s="1008"/>
      <c r="LF587" s="1007"/>
      <c r="LG587" s="1008"/>
      <c r="LH587" s="1007"/>
      <c r="LI587" s="1008"/>
      <c r="LJ587" s="1007"/>
      <c r="LK587" s="1008"/>
      <c r="LL587" s="1007"/>
      <c r="LM587" s="1008"/>
      <c r="LN587" s="1007"/>
      <c r="LO587" s="1008"/>
      <c r="LP587" s="1007"/>
      <c r="LQ587" s="1008"/>
      <c r="LR587" s="1007"/>
      <c r="LS587" s="1008"/>
      <c r="LT587" s="1007"/>
      <c r="LU587" s="1008"/>
      <c r="LV587" s="1007"/>
      <c r="LW587" s="1008"/>
      <c r="LX587" s="1007"/>
      <c r="LY587" s="1009"/>
      <c r="LZ587" s="1010"/>
      <c r="MA587" s="1011"/>
      <c r="MB587" s="1012"/>
      <c r="MC587" s="995"/>
      <c r="MD587" s="996"/>
      <c r="ME587" s="997" t="s">
        <v>220</v>
      </c>
      <c r="MF587" s="997"/>
      <c r="MG587" s="998"/>
      <c r="NR587" s="1000"/>
      <c r="NS587" s="1000"/>
      <c r="NT587" s="1001"/>
      <c r="NU587" s="1000"/>
      <c r="NV587" s="1001"/>
      <c r="NX587" s="1002"/>
      <c r="NZ587" s="1001"/>
      <c r="OA587" s="1001"/>
      <c r="OC587" s="1003"/>
      <c r="OD587" s="1003"/>
      <c r="OE587" s="1001"/>
      <c r="OF587" s="1003"/>
      <c r="OG587" s="1003"/>
      <c r="OH587" s="1003"/>
      <c r="OI587" s="1016"/>
      <c r="QX587" s="1000">
        <f>CN587-CA587</f>
        <v>19</v>
      </c>
      <c r="ASU587" s="999" t="s">
        <v>208</v>
      </c>
    </row>
    <row r="588" spans="1:466 1191:1191" ht="21" customHeight="1" x14ac:dyDescent="0.25">
      <c r="A588" s="982">
        <f t="shared" si="441"/>
        <v>3403</v>
      </c>
      <c r="B588" s="124">
        <f>SUBTOTAL(103,$J$29:J588)</f>
        <v>560</v>
      </c>
      <c r="C588" s="126">
        <v>45068</v>
      </c>
      <c r="D588" s="124" t="s">
        <v>176</v>
      </c>
      <c r="E588" s="127" t="s">
        <v>177</v>
      </c>
      <c r="F588" s="128" t="s">
        <v>177</v>
      </c>
      <c r="G588" s="127" t="s">
        <v>178</v>
      </c>
      <c r="H588" s="127" t="s">
        <v>179</v>
      </c>
      <c r="I588" s="127" t="s">
        <v>2004</v>
      </c>
      <c r="J588" s="152">
        <v>3403</v>
      </c>
      <c r="K588" s="127" t="s">
        <v>2004</v>
      </c>
      <c r="L588" s="130">
        <v>44198</v>
      </c>
      <c r="M588" s="127" t="s">
        <v>230</v>
      </c>
      <c r="N588" s="127" t="s">
        <v>1368</v>
      </c>
      <c r="O588" s="127" t="s">
        <v>185</v>
      </c>
      <c r="P588" s="127" t="s">
        <v>186</v>
      </c>
      <c r="Q588" s="85" t="str">
        <f t="shared" si="473"/>
        <v/>
      </c>
      <c r="R588" s="130"/>
      <c r="S588" s="128"/>
      <c r="T588" s="131"/>
      <c r="U588" s="132">
        <v>203</v>
      </c>
      <c r="V588" s="121">
        <v>218.2</v>
      </c>
      <c r="W588" s="116">
        <v>0.98</v>
      </c>
      <c r="X588" s="116">
        <v>1.66</v>
      </c>
      <c r="Y588" s="116">
        <f t="shared" si="463"/>
        <v>0.98</v>
      </c>
      <c r="Z588" s="133">
        <v>1.454</v>
      </c>
      <c r="AA588" s="133">
        <v>0.83599999999999997</v>
      </c>
      <c r="AB588" s="133">
        <v>0.72</v>
      </c>
      <c r="AC588" s="121">
        <v>34.299999999999997</v>
      </c>
      <c r="AD588" s="134">
        <v>1.17</v>
      </c>
      <c r="AE588" s="124">
        <v>177.8</v>
      </c>
      <c r="AF588" s="128">
        <v>9.19</v>
      </c>
      <c r="AG588" s="128">
        <v>2020</v>
      </c>
      <c r="AH588" s="127">
        <v>2767.9</v>
      </c>
      <c r="AI588" s="127">
        <v>2767.9</v>
      </c>
      <c r="AJ588" s="135"/>
      <c r="AK588" s="128"/>
      <c r="AL588" s="131"/>
      <c r="AM588" s="124" t="s">
        <v>187</v>
      </c>
      <c r="AN588" s="136" t="s">
        <v>2005</v>
      </c>
      <c r="AO588" s="137"/>
      <c r="AP588" s="128"/>
      <c r="AQ588" s="128"/>
      <c r="AR588" s="128"/>
      <c r="AS588" s="128"/>
      <c r="AT588" s="122"/>
      <c r="AU588" s="124" t="s">
        <v>189</v>
      </c>
      <c r="AV588" s="115">
        <f>VLOOKUP(J588,'[63]ТР нефть'!$J$28:$BP$638,39,0)</f>
        <v>446.00001386700001</v>
      </c>
      <c r="AW588" s="115" t="str">
        <f>VLOOKUP(J588,'[63]ТР нефть'!$J$28:$BP$638,40,0)</f>
        <v>ГК 76 1/8</v>
      </c>
      <c r="AX588" s="115">
        <f>VLOOKUP(J588,'[63]ТР нефть'!$J$28:$BP$638,41,0)</f>
        <v>868.99998046899998</v>
      </c>
      <c r="AY588" s="115" t="str">
        <f>VLOOKUP(J588,'[63]ТР нефть'!$J$28:$BP$638,42,0)</f>
        <v>ГК 77 1/8</v>
      </c>
      <c r="AZ588" s="115">
        <f>VLOOKUP(J588,'[63]ТР нефть'!$J$28:$BP$638,43,0)</f>
        <v>1239.999995508</v>
      </c>
      <c r="BA588" s="115" t="str">
        <f>VLOOKUP(J588,'[63]ТР нефть'!$J$28:$BP$638,44,0)</f>
        <v>ГК 77 1/8</v>
      </c>
      <c r="BB588" s="115">
        <f>VLOOKUP(J588,'[63]ТР нефть'!$J$28:$BP$638,45,0)</f>
        <v>1482.999935156</v>
      </c>
      <c r="BC588" s="115" t="str">
        <f>VLOOKUP(J588,'[63]ТР нефть'!$J$28:$BP$638,46,0)</f>
        <v xml:space="preserve"> ГК 78 1/8</v>
      </c>
      <c r="BD588" s="115">
        <f>VLOOKUP(J588,'[63]ТР нефть'!$J$28:$BP$638,47,0)</f>
        <v>1680.9999796879999</v>
      </c>
      <c r="BE588" s="115" t="str">
        <f>VLOOKUP(J588,'[63]ТР нефть'!$J$28:$BP$638,48,0)</f>
        <v>ГК 77 1/8</v>
      </c>
      <c r="BF588" s="115">
        <f>VLOOKUP(J588,'[63]ТР нефть'!$J$28:$BP$638,49,0)</f>
        <v>1840</v>
      </c>
      <c r="BG588" s="115" t="str">
        <f>VLOOKUP(J588,'[63]ТР нефть'!$J$28:$BP$638,50,0)</f>
        <v>ЦКсОК 5/16</v>
      </c>
      <c r="BH588" s="115" t="str">
        <f>VLOOKUP(J588,'[63]ТР нефть'!$J$28:$BP$638,51,0)</f>
        <v>-</v>
      </c>
      <c r="BI588" s="115" t="str">
        <f>VLOOKUP(J588,'[63]ТР нефть'!$J$28:$BP$638,52,0)</f>
        <v>-</v>
      </c>
      <c r="BJ588" s="115" t="str">
        <f>IF(IFERROR(VLOOKUP(J588,'[63]ТР нефть'!$J$28:$BP$638,53,0),"-")=0,"-",IFERROR(VLOOKUP(J588,'[63]ТР нефть'!$J$28:$BP$638,53,0),"-"))</f>
        <v>-</v>
      </c>
      <c r="BK588" s="138" t="str">
        <f>IF(IFERROR(VLOOKUP(J588,'[63]ТР нефть'!$J$28:$BP$638,54,0),"-")=0,"-",IFERROR(VLOOKUP(J588,'[63]ТР нефть'!$J$28:$BP$638,54,0),"-"))</f>
        <v>-</v>
      </c>
      <c r="BL588" s="138" t="str">
        <f>IF(IFERROR(VLOOKUP(J588,'[63]ТР нефть'!$J$28:$BP$638,55,0),"-")=0,"-",IFERROR(VLOOKUP(J588,'[63]ТР нефть'!$J$28:$BP$638,55,0),"-"))</f>
        <v>-</v>
      </c>
      <c r="BM588" s="138" t="str">
        <f>IF(IFERROR(VLOOKUP(J588,'[63]ТР нефть'!$J$28:$BP$638,56,0),"-")=0,"-",IFERROR(VLOOKUP(J588,'[63]ТР нефть'!$J$28:$BP$638,56,0),"-"))</f>
        <v>-</v>
      </c>
      <c r="BN588" s="138" t="str">
        <f>IF(IFERROR(VLOOKUP(J588,'[63]ТР нефть'!$J$28:$BP$638,57,0),"-")=0,"-",IFERROR(VLOOKUP(J588,'[63]ТР нефть'!$J$28:$BP$638,57,0),"-"))</f>
        <v>-</v>
      </c>
      <c r="BO588" s="115" t="str">
        <f>IF(IFERROR(VLOOKUP(J588,'[63]ТР нефть'!$J$28:$BP$638,58,0),"-")=0,"-",IFERROR(VLOOKUP(J588,'[63]ТР нефть'!$J$28:$BP$638,58,0),"-"))</f>
        <v>-</v>
      </c>
      <c r="BP588" s="115" t="str">
        <f>IF(IFERROR(VLOOKUP(J588,'[63]ТР нефть'!$J$28:$BP$638,59,0),"-")=0,"-",IFERROR(VLOOKUP(J588,'[63]ТР нефть'!$J$28:$BP$638,59,0),"-"))</f>
        <v>-</v>
      </c>
      <c r="BQ588" s="138">
        <v>1857</v>
      </c>
      <c r="BR588" s="128"/>
      <c r="BS588" s="115" t="s">
        <v>197</v>
      </c>
      <c r="BT588" s="128"/>
      <c r="BU588" s="128"/>
      <c r="BV588" s="127">
        <v>65</v>
      </c>
      <c r="BW588" s="127" t="s">
        <v>217</v>
      </c>
      <c r="BX588" s="127" t="s">
        <v>195</v>
      </c>
      <c r="BY588" s="139">
        <v>24</v>
      </c>
      <c r="BZ588" s="139">
        <v>0</v>
      </c>
      <c r="CA588" s="138">
        <v>37</v>
      </c>
      <c r="CB588" s="138">
        <v>55</v>
      </c>
      <c r="CC588" s="138">
        <v>36</v>
      </c>
      <c r="CD588" s="135">
        <v>45017</v>
      </c>
      <c r="CE588" s="138">
        <v>118</v>
      </c>
      <c r="CF588" s="138">
        <v>66</v>
      </c>
      <c r="CG588" s="138" t="str">
        <f t="shared" si="474"/>
        <v/>
      </c>
      <c r="CH588" s="138" t="s">
        <v>197</v>
      </c>
      <c r="CI588" s="127">
        <v>6</v>
      </c>
      <c r="CJ588" s="138"/>
      <c r="CK588" s="138">
        <f t="shared" si="488"/>
        <v>22</v>
      </c>
      <c r="CL588" s="99"/>
      <c r="CM588" s="99"/>
      <c r="CN588" s="140">
        <v>59</v>
      </c>
      <c r="CO588" s="141">
        <f t="shared" si="442"/>
        <v>15.048</v>
      </c>
      <c r="CP588" s="142">
        <v>18</v>
      </c>
      <c r="CQ588" s="143">
        <v>0</v>
      </c>
      <c r="CR588" s="138">
        <v>16</v>
      </c>
      <c r="CS588" s="139">
        <v>12</v>
      </c>
      <c r="CT588" s="138"/>
      <c r="CU588" s="138">
        <f t="shared" si="475"/>
        <v>4</v>
      </c>
      <c r="CV588" s="115">
        <f t="shared" si="476"/>
        <v>265.8160552897395</v>
      </c>
      <c r="CW588" s="115">
        <f t="shared" si="443"/>
        <v>797.44816586921854</v>
      </c>
      <c r="CX588" s="133">
        <f t="shared" si="477"/>
        <v>0.30508474576271188</v>
      </c>
      <c r="CY588" s="116"/>
      <c r="CZ588" s="131"/>
      <c r="DA588" s="145" t="str">
        <f t="shared" si="478"/>
        <v>Газлифт</v>
      </c>
      <c r="DB588" s="146">
        <f t="shared" si="468"/>
        <v>15.048</v>
      </c>
      <c r="DC588" s="142">
        <f t="shared" si="469"/>
        <v>18</v>
      </c>
      <c r="DD588" s="119">
        <f t="shared" si="470"/>
        <v>0</v>
      </c>
      <c r="DE588" s="115">
        <f t="shared" si="471"/>
        <v>4</v>
      </c>
      <c r="DF588" s="121">
        <f t="shared" si="472"/>
        <v>12</v>
      </c>
      <c r="DG588" s="115">
        <f t="shared" si="446"/>
        <v>265.8160552897395</v>
      </c>
      <c r="DH588" s="115">
        <f t="shared" si="447"/>
        <v>59</v>
      </c>
      <c r="DI588" s="147"/>
      <c r="DJ588" s="111"/>
      <c r="DK588" s="112">
        <v>44198</v>
      </c>
      <c r="DL588" s="113">
        <f t="shared" ca="1" si="480"/>
        <v>906</v>
      </c>
      <c r="DM588" s="114"/>
      <c r="DN588" s="114"/>
      <c r="DO588" s="114"/>
      <c r="DP588" s="114"/>
      <c r="DQ588" s="112"/>
      <c r="DR588" s="114"/>
      <c r="DS588" s="114"/>
      <c r="DT588" s="115">
        <v>60</v>
      </c>
      <c r="DU588" s="116">
        <f t="shared" si="481"/>
        <v>0.31034482758620691</v>
      </c>
      <c r="DV588" s="117">
        <f t="shared" si="484"/>
        <v>15.048</v>
      </c>
      <c r="DW588" s="118">
        <f t="shared" si="485"/>
        <v>18</v>
      </c>
      <c r="DX588" s="119">
        <f t="shared" si="486"/>
        <v>0</v>
      </c>
      <c r="DY588" s="115">
        <f t="shared" si="487"/>
        <v>4</v>
      </c>
      <c r="DZ588" s="117">
        <f t="shared" si="482"/>
        <v>0</v>
      </c>
      <c r="EA588" s="120">
        <f t="shared" si="482"/>
        <v>0</v>
      </c>
      <c r="EB588" s="119">
        <f t="shared" si="482"/>
        <v>0</v>
      </c>
      <c r="EC588" s="121">
        <f t="shared" si="464"/>
        <v>0</v>
      </c>
      <c r="ED588" s="122"/>
      <c r="EE588" s="145">
        <v>65</v>
      </c>
      <c r="EF588" s="115">
        <v>36</v>
      </c>
      <c r="EG588" s="115">
        <v>52</v>
      </c>
      <c r="EH588" s="115">
        <v>35</v>
      </c>
      <c r="EI588" s="128" t="s">
        <v>195</v>
      </c>
      <c r="EJ588" s="121">
        <v>24</v>
      </c>
      <c r="EK588" s="121">
        <v>0</v>
      </c>
      <c r="EL588" s="149">
        <v>18.391999999999999</v>
      </c>
      <c r="EM588" s="142">
        <v>22</v>
      </c>
      <c r="EN588" s="119">
        <v>0</v>
      </c>
      <c r="EO588" s="115">
        <v>16</v>
      </c>
      <c r="EP588" s="115">
        <v>217.48586341887778</v>
      </c>
      <c r="EQ588" s="115">
        <v>66</v>
      </c>
      <c r="ER588" s="115">
        <v>12</v>
      </c>
      <c r="ES588" s="115">
        <v>61</v>
      </c>
      <c r="ET588" s="150">
        <v>0.38596491228070173</v>
      </c>
      <c r="EU588" s="145">
        <f t="shared" si="457"/>
        <v>65</v>
      </c>
      <c r="EV588" s="115">
        <f t="shared" si="448"/>
        <v>37</v>
      </c>
      <c r="EW588" s="115">
        <f t="shared" si="448"/>
        <v>55</v>
      </c>
      <c r="EX588" s="115">
        <f t="shared" si="448"/>
        <v>36</v>
      </c>
      <c r="EY588" s="115" t="str">
        <f t="shared" si="489"/>
        <v>Постоянный</v>
      </c>
      <c r="EZ588" s="115">
        <f t="shared" si="489"/>
        <v>24</v>
      </c>
      <c r="FA588" s="115">
        <f t="shared" si="489"/>
        <v>0</v>
      </c>
      <c r="FB588" s="149">
        <f t="shared" si="461"/>
        <v>15.048</v>
      </c>
      <c r="FC588" s="142">
        <f t="shared" si="461"/>
        <v>18</v>
      </c>
      <c r="FD588" s="119">
        <f t="shared" si="461"/>
        <v>0</v>
      </c>
      <c r="FE588" s="121">
        <f t="shared" si="460"/>
        <v>16</v>
      </c>
      <c r="FF588" s="121">
        <f t="shared" si="462"/>
        <v>265.8160552897395</v>
      </c>
      <c r="FG588" s="121">
        <f t="shared" si="449"/>
        <v>66</v>
      </c>
      <c r="FH588" s="121">
        <f t="shared" si="491"/>
        <v>12</v>
      </c>
      <c r="FI588" s="121">
        <f t="shared" si="483"/>
        <v>59</v>
      </c>
      <c r="FJ588" s="144">
        <f t="shared" si="450"/>
        <v>0.30508474576271188</v>
      </c>
      <c r="FK588" s="132">
        <f t="shared" si="451"/>
        <v>0</v>
      </c>
      <c r="FL588" s="115">
        <f t="shared" si="451"/>
        <v>1</v>
      </c>
      <c r="FM588" s="115">
        <f t="shared" si="451"/>
        <v>3</v>
      </c>
      <c r="FN588" s="115">
        <f t="shared" si="451"/>
        <v>1</v>
      </c>
      <c r="FO588" s="115">
        <f t="shared" si="492"/>
        <v>0</v>
      </c>
      <c r="FP588" s="115">
        <f t="shared" si="492"/>
        <v>0</v>
      </c>
      <c r="FQ588" s="149">
        <f t="shared" si="492"/>
        <v>-3.3439999999999994</v>
      </c>
      <c r="FR588" s="142">
        <f t="shared" si="492"/>
        <v>-4</v>
      </c>
      <c r="FS588" s="119">
        <f t="shared" si="492"/>
        <v>0</v>
      </c>
      <c r="FT588" s="121">
        <f t="shared" si="438"/>
        <v>0</v>
      </c>
      <c r="FU588" s="121">
        <f t="shared" si="452"/>
        <v>0</v>
      </c>
      <c r="FV588" s="121">
        <f t="shared" si="452"/>
        <v>0</v>
      </c>
      <c r="FW588" s="121">
        <f t="shared" si="453"/>
        <v>48.330191870861711</v>
      </c>
      <c r="FX588" s="121">
        <f t="shared" si="454"/>
        <v>-2</v>
      </c>
      <c r="FY588" s="144">
        <f t="shared" si="454"/>
        <v>-8.0880166517989849E-2</v>
      </c>
      <c r="FZ588" s="223" t="s">
        <v>240</v>
      </c>
      <c r="GA588" s="136" t="s">
        <v>361</v>
      </c>
      <c r="GB588" s="145" t="s">
        <v>223</v>
      </c>
      <c r="GC588" s="151" t="s">
        <v>1176</v>
      </c>
      <c r="GD588" s="997" t="s">
        <v>220</v>
      </c>
      <c r="GE588" s="1004" t="s">
        <v>223</v>
      </c>
      <c r="GF588" s="1004">
        <v>-3.3440000000000012</v>
      </c>
      <c r="GG588" s="1004" t="s">
        <v>199</v>
      </c>
      <c r="GH588" s="1004">
        <v>-2.5079999999999991</v>
      </c>
      <c r="GI588" s="145" t="s">
        <v>223</v>
      </c>
      <c r="GJ588" s="996">
        <v>-1.7982359999999993</v>
      </c>
      <c r="GK588" s="145"/>
      <c r="GL588" s="996">
        <v>0</v>
      </c>
      <c r="GM588" s="1005"/>
      <c r="GN588" s="996">
        <v>0</v>
      </c>
      <c r="GO588" s="1006" t="s">
        <v>199</v>
      </c>
      <c r="GP588" s="996">
        <v>3.8046359999999986</v>
      </c>
      <c r="GQ588" s="1006" t="s">
        <v>221</v>
      </c>
      <c r="GR588" s="996">
        <v>-5.9690399999999997</v>
      </c>
      <c r="GS588" s="1006" t="s">
        <v>221</v>
      </c>
      <c r="GT588" s="996">
        <v>6.4706399999999995</v>
      </c>
      <c r="GU588" s="1006" t="s">
        <v>223</v>
      </c>
      <c r="GV588" s="996">
        <v>1.6720000000000006</v>
      </c>
      <c r="GW588" s="1006" t="s">
        <v>223</v>
      </c>
      <c r="GX588" s="996">
        <v>-4.18</v>
      </c>
      <c r="GY588" s="1006" t="s">
        <v>223</v>
      </c>
      <c r="GZ588" s="996">
        <v>-1.6720000000000006</v>
      </c>
      <c r="HA588" s="1006"/>
      <c r="HB588" s="996">
        <v>0.52667999999999893</v>
      </c>
      <c r="HC588" s="1006"/>
      <c r="HD588" s="996">
        <v>0</v>
      </c>
      <c r="HE588" s="1006"/>
      <c r="HF588" s="996">
        <v>0</v>
      </c>
      <c r="HG588" s="1006"/>
      <c r="HH588" s="996">
        <v>0</v>
      </c>
      <c r="HI588" s="1006"/>
      <c r="HJ588" s="996">
        <v>0</v>
      </c>
      <c r="HK588" s="1006" t="s">
        <v>199</v>
      </c>
      <c r="HL588" s="996">
        <v>-15.883999999999997</v>
      </c>
      <c r="HM588" s="1006"/>
      <c r="HN588" s="996">
        <v>0</v>
      </c>
      <c r="HO588" s="1006"/>
      <c r="HP588" s="996">
        <v>0</v>
      </c>
      <c r="HQ588" s="1006"/>
      <c r="HR588" s="996">
        <v>0</v>
      </c>
      <c r="HS588" s="1006" t="s">
        <v>203</v>
      </c>
      <c r="HT588" s="996">
        <v>-1.5884</v>
      </c>
      <c r="HU588" s="1006" t="s">
        <v>199</v>
      </c>
      <c r="HV588" s="996">
        <v>-4.0128000000000057</v>
      </c>
      <c r="HW588" s="1006"/>
      <c r="HX588" s="996">
        <v>0</v>
      </c>
      <c r="HY588" s="1006" t="s">
        <v>199</v>
      </c>
      <c r="HZ588" s="996">
        <v>2.2572000000000045</v>
      </c>
      <c r="IA588" s="1006"/>
      <c r="IB588" s="996">
        <v>0</v>
      </c>
      <c r="IC588" s="1006"/>
      <c r="ID588" s="996">
        <v>0</v>
      </c>
      <c r="IE588" s="1006"/>
      <c r="IF588" s="996">
        <v>0</v>
      </c>
      <c r="IG588" s="1006" t="s">
        <v>221</v>
      </c>
      <c r="IH588" s="996">
        <v>14.629999999999999</v>
      </c>
      <c r="II588" s="1006" t="s">
        <v>25</v>
      </c>
      <c r="IJ588" s="996">
        <v>27.169999999999998</v>
      </c>
      <c r="IK588" s="1006"/>
      <c r="IL588" s="996"/>
      <c r="IM588" s="1006"/>
      <c r="IN588" s="996"/>
      <c r="IO588" s="1006"/>
      <c r="IP588" s="996"/>
      <c r="IQ588" s="1006"/>
      <c r="IR588" s="996"/>
      <c r="IS588" s="1006"/>
      <c r="IT588" s="996"/>
      <c r="IU588" s="1006"/>
      <c r="IV588" s="996"/>
      <c r="IW588" s="1006"/>
      <c r="IX588" s="996"/>
      <c r="IY588" s="1006"/>
      <c r="IZ588" s="996"/>
      <c r="JA588" s="1006"/>
      <c r="JB588" s="996"/>
      <c r="JC588" s="1006"/>
      <c r="JD588" s="996"/>
      <c r="JE588" s="1006"/>
      <c r="JF588" s="996"/>
      <c r="JG588" s="1006"/>
      <c r="JH588" s="996"/>
      <c r="JI588" s="1006"/>
      <c r="JJ588" s="996"/>
      <c r="JK588" s="1007"/>
      <c r="JL588" s="1007"/>
      <c r="JM588" s="1007"/>
      <c r="JN588" s="1007"/>
      <c r="JO588" s="1008"/>
      <c r="JP588" s="1007"/>
      <c r="JQ588" s="1008"/>
      <c r="JR588" s="1007"/>
      <c r="JS588" s="1008"/>
      <c r="JT588" s="1007"/>
      <c r="JU588" s="1008"/>
      <c r="JV588" s="1007"/>
      <c r="JW588" s="1008"/>
      <c r="JX588" s="1007"/>
      <c r="JY588" s="1008"/>
      <c r="JZ588" s="1007"/>
      <c r="KA588" s="1008"/>
      <c r="KB588" s="1007"/>
      <c r="KC588" s="1008"/>
      <c r="KD588" s="1007"/>
      <c r="KE588" s="1008"/>
      <c r="KF588" s="1007"/>
      <c r="KG588" s="1008"/>
      <c r="KH588" s="1007"/>
      <c r="KI588" s="1008"/>
      <c r="KJ588" s="1007"/>
      <c r="KK588" s="1008"/>
      <c r="KL588" s="1007"/>
      <c r="KM588" s="1008"/>
      <c r="KN588" s="1007"/>
      <c r="KO588" s="1008"/>
      <c r="KP588" s="1007"/>
      <c r="KQ588" s="1008"/>
      <c r="KR588" s="1007"/>
      <c r="KS588" s="1008"/>
      <c r="KT588" s="1007"/>
      <c r="KU588" s="1008"/>
      <c r="KV588" s="1007"/>
      <c r="KW588" s="1008"/>
      <c r="KX588" s="1007"/>
      <c r="KY588" s="1008"/>
      <c r="KZ588" s="1007"/>
      <c r="LA588" s="1008"/>
      <c r="LB588" s="1007"/>
      <c r="LC588" s="1008"/>
      <c r="LD588" s="1007"/>
      <c r="LE588" s="1008"/>
      <c r="LF588" s="1007"/>
      <c r="LG588" s="1008"/>
      <c r="LH588" s="1007"/>
      <c r="LI588" s="1008"/>
      <c r="LJ588" s="1007"/>
      <c r="LK588" s="1008"/>
      <c r="LL588" s="1007"/>
      <c r="LM588" s="1008"/>
      <c r="LN588" s="1007"/>
      <c r="LO588" s="1008"/>
      <c r="LP588" s="1007"/>
      <c r="LQ588" s="1008"/>
      <c r="LR588" s="1007"/>
      <c r="LS588" s="1008"/>
      <c r="LT588" s="1007"/>
      <c r="LU588" s="1008"/>
      <c r="LV588" s="1007"/>
      <c r="LW588" s="1008"/>
      <c r="LX588" s="1007"/>
      <c r="LY588" s="1009"/>
      <c r="LZ588" s="1010"/>
      <c r="MA588" s="1011"/>
      <c r="MB588" s="1012"/>
      <c r="MC588" s="995"/>
      <c r="MD588" s="996"/>
      <c r="ME588" s="997" t="s">
        <v>220</v>
      </c>
      <c r="MF588" s="997"/>
      <c r="MG588" s="998"/>
      <c r="NR588" s="1000"/>
      <c r="NS588" s="1000"/>
      <c r="NT588" s="1001"/>
      <c r="NU588" s="1000"/>
      <c r="NV588" s="1001"/>
      <c r="NX588" s="1002"/>
      <c r="NZ588" s="1001"/>
      <c r="OA588" s="1001"/>
      <c r="OC588" s="1003"/>
      <c r="OD588" s="1003"/>
      <c r="OE588" s="1001"/>
      <c r="OF588" s="1003"/>
      <c r="OG588" s="1003"/>
      <c r="OH588" s="1003"/>
      <c r="OI588" s="1016"/>
      <c r="QX588" s="1000">
        <f>CN588-CA588</f>
        <v>22</v>
      </c>
      <c r="ASU588" s="999" t="s">
        <v>208</v>
      </c>
    </row>
    <row r="589" spans="1:466 1191:1191" ht="21" customHeight="1" x14ac:dyDescent="0.25">
      <c r="A589" s="982">
        <f t="shared" si="441"/>
        <v>3405</v>
      </c>
      <c r="B589" s="124">
        <f>SUBTOTAL(103,$J$29:J589)</f>
        <v>561</v>
      </c>
      <c r="C589" s="126">
        <v>45068</v>
      </c>
      <c r="D589" s="145" t="s">
        <v>176</v>
      </c>
      <c r="E589" s="128" t="s">
        <v>177</v>
      </c>
      <c r="F589" s="128" t="s">
        <v>177</v>
      </c>
      <c r="G589" s="128" t="s">
        <v>178</v>
      </c>
      <c r="H589" s="128" t="s">
        <v>179</v>
      </c>
      <c r="I589" s="128" t="s">
        <v>2004</v>
      </c>
      <c r="J589" s="152">
        <v>3405</v>
      </c>
      <c r="K589" s="127" t="s">
        <v>2004</v>
      </c>
      <c r="L589" s="130">
        <v>44235</v>
      </c>
      <c r="M589" s="128" t="s">
        <v>230</v>
      </c>
      <c r="N589" s="128" t="s">
        <v>1368</v>
      </c>
      <c r="O589" s="127" t="s">
        <v>702</v>
      </c>
      <c r="P589" s="127" t="s">
        <v>292</v>
      </c>
      <c r="Q589" s="127">
        <v>-4</v>
      </c>
      <c r="R589" s="130"/>
      <c r="S589" s="128"/>
      <c r="T589" s="131"/>
      <c r="U589" s="132">
        <v>203</v>
      </c>
      <c r="V589" s="121">
        <v>218.2</v>
      </c>
      <c r="W589" s="116">
        <v>0.98</v>
      </c>
      <c r="X589" s="116">
        <v>1.66</v>
      </c>
      <c r="Y589" s="116">
        <f t="shared" si="463"/>
        <v>1.1385778275475924</v>
      </c>
      <c r="Z589" s="133">
        <v>1.454</v>
      </c>
      <c r="AA589" s="133">
        <v>0.83599999999999997</v>
      </c>
      <c r="AB589" s="133">
        <v>0.72</v>
      </c>
      <c r="AC589" s="121">
        <v>34.299999999999997</v>
      </c>
      <c r="AD589" s="134">
        <v>1.17</v>
      </c>
      <c r="AE589" s="145" t="s">
        <v>2006</v>
      </c>
      <c r="AF589" s="128">
        <v>9.19</v>
      </c>
      <c r="AG589" s="128">
        <v>2132.2399999999998</v>
      </c>
      <c r="AH589" s="128">
        <v>1116</v>
      </c>
      <c r="AI589" s="128">
        <v>1116</v>
      </c>
      <c r="AJ589" s="135"/>
      <c r="AK589" s="128"/>
      <c r="AL589" s="131"/>
      <c r="AM589" s="145" t="s">
        <v>232</v>
      </c>
      <c r="AN589" s="131" t="s">
        <v>2007</v>
      </c>
      <c r="AO589" s="137">
        <v>58.2</v>
      </c>
      <c r="AP589" s="128">
        <v>2132.14</v>
      </c>
      <c r="AQ589" s="128">
        <v>375.87</v>
      </c>
      <c r="AR589" s="128"/>
      <c r="AS589" s="128"/>
      <c r="AT589" s="122"/>
      <c r="AU589" s="124" t="s">
        <v>883</v>
      </c>
      <c r="AV589" s="128">
        <f>VLOOKUP(J589,'[63]ТР нефть'!$J$28:$BP$638,39,0)</f>
        <v>390</v>
      </c>
      <c r="AW589" s="128" t="str">
        <f>VLOOKUP(J589,'[63]ТР нефть'!$J$28:$BP$638,40,0)</f>
        <v>ГП</v>
      </c>
      <c r="AX589" s="128">
        <f>VLOOKUP(J589,'[63]ТР нефть'!$J$28:$BP$638,41,0)</f>
        <v>720</v>
      </c>
      <c r="AY589" s="128" t="str">
        <f>VLOOKUP(J589,'[63]ТР нефть'!$J$28:$BP$638,42,0)</f>
        <v>ГК 77 1/8</v>
      </c>
      <c r="AZ589" s="128">
        <f>VLOOKUP(J589,'[63]ТР нефть'!$J$28:$BP$638,43,0)</f>
        <v>990</v>
      </c>
      <c r="BA589" s="128" t="str">
        <f>VLOOKUP(J589,'[63]ТР нефть'!$J$28:$BP$638,44,0)</f>
        <v>ГК 77 1/8</v>
      </c>
      <c r="BB589" s="128">
        <f>VLOOKUP(J589,'[63]ТР нефть'!$J$28:$BP$638,45,0)</f>
        <v>1290</v>
      </c>
      <c r="BC589" s="128" t="str">
        <f>VLOOKUP(J589,'[63]ТР нефть'!$J$28:$BP$638,46,0)</f>
        <v>ГК 76 5-32</v>
      </c>
      <c r="BD589" s="128">
        <f>VLOOKUP(J589,'[63]ТР нефть'!$J$28:$BP$638,47,0)</f>
        <v>1574</v>
      </c>
      <c r="BE589" s="128" t="str">
        <f>VLOOKUP(J589,'[63]ТР нефть'!$J$28:$BP$638,48,0)</f>
        <v>ГК 75 5/32</v>
      </c>
      <c r="BF589" s="128">
        <f>VLOOKUP(J589,'[63]ТР нефть'!$J$28:$BP$638,49,0)</f>
        <v>1823</v>
      </c>
      <c r="BG589" s="128" t="str">
        <f>VLOOKUP(J589,'[63]ТР нефть'!$J$28:$BP$638,50,0)</f>
        <v>ЦКсОК 5/16</v>
      </c>
      <c r="BH589" s="128" t="str">
        <f>VLOOKUP(J589,'[63]ТР нефть'!$J$28:$BP$638,51,0)</f>
        <v>-</v>
      </c>
      <c r="BI589" s="128" t="str">
        <f>VLOOKUP(J589,'[63]ТР нефть'!$J$28:$BP$638,52,0)</f>
        <v>-</v>
      </c>
      <c r="BJ589" s="128" t="str">
        <f>IF(IFERROR(VLOOKUP(J589,'[63]ТР нефть'!$J$28:$BP$638,53,0),"-")=0,"-",IFERROR(VLOOKUP(J589,'[63]ТР нефть'!$J$28:$BP$638,53,0),"-"))</f>
        <v>-</v>
      </c>
      <c r="BK589" s="128" t="str">
        <f>IF(IFERROR(VLOOKUP(J589,'[63]ТР нефть'!$J$28:$BP$638,54,0),"-")=0,"-",IFERROR(VLOOKUP(J589,'[63]ТР нефть'!$J$28:$BP$638,54,0),"-"))</f>
        <v>ВНН-124</v>
      </c>
      <c r="BL589" s="128" t="str">
        <f>IF(IFERROR(VLOOKUP(J589,'[63]ТР нефть'!$J$28:$BP$638,55,0),"-")=0,"-",IFERROR(VLOOKUP(J589,'[63]ТР нефть'!$J$28:$BP$638,55,0),"-"))</f>
        <v>-</v>
      </c>
      <c r="BM589" s="128">
        <f>IF(IFERROR(VLOOKUP(J589,'[63]ТР нефть'!$J$28:$BP$638,56,0),"-")=0,"-",IFERROR(VLOOKUP(J589,'[63]ТР нефть'!$J$28:$BP$638,56,0),"-"))</f>
        <v>1300</v>
      </c>
      <c r="BN589" s="128">
        <f>IF(IFERROR(VLOOKUP(J589,'[63]ТР нефть'!$J$28:$BP$638,57,0),"-")=0,"-",IFERROR(VLOOKUP(J589,'[63]ТР нефть'!$J$28:$BP$638,57,0),"-"))</f>
        <v>170</v>
      </c>
      <c r="BO589" s="128" t="str">
        <f>IF(IFERROR(VLOOKUP(J589,'[63]ТР нефть'!$J$28:$BP$638,58,0),"-")=0,"-",IFERROR(VLOOKUP(J589,'[63]ТР нефть'!$J$28:$BP$638,58,0),"-"))</f>
        <v>-</v>
      </c>
      <c r="BP589" s="128" t="str">
        <f>IF(IFERROR(VLOOKUP(J589,'[63]ТР нефть'!$J$28:$BP$638,59,0),"-")=0,"-",IFERROR(VLOOKUP(J589,'[63]ТР нефть'!$J$28:$BP$638,59,0),"-"))</f>
        <v>-</v>
      </c>
      <c r="BQ589" s="115">
        <v>1850</v>
      </c>
      <c r="BR589" s="128">
        <v>1588</v>
      </c>
      <c r="BS589" s="115">
        <v>260</v>
      </c>
      <c r="BT589" s="128">
        <v>73</v>
      </c>
      <c r="BU589" s="128">
        <v>5.5</v>
      </c>
      <c r="BV589" s="128">
        <v>18</v>
      </c>
      <c r="BW589" s="128" t="s">
        <v>217</v>
      </c>
      <c r="BX589" s="127" t="s">
        <v>218</v>
      </c>
      <c r="BY589" s="121">
        <v>10</v>
      </c>
      <c r="BZ589" s="121">
        <v>14</v>
      </c>
      <c r="CA589" s="115">
        <v>33</v>
      </c>
      <c r="CB589" s="115">
        <v>30</v>
      </c>
      <c r="CC589" s="115">
        <v>32</v>
      </c>
      <c r="CD589" s="135">
        <v>45017</v>
      </c>
      <c r="CE589" s="115">
        <v>195</v>
      </c>
      <c r="CF589" s="138"/>
      <c r="CG589" s="115"/>
      <c r="CH589" s="115"/>
      <c r="CI589" s="128"/>
      <c r="CJ589" s="115">
        <f>IF((BR589-(100*(CM589-CB589))/(9.8*(AB589+AA589)/2))&gt;0,BR589-(100*(CM589-CB589))/(9.8*(AB589+AA589)/2),0)</f>
        <v>1128.9474843922144</v>
      </c>
      <c r="CK589" s="115">
        <f t="shared" si="488"/>
        <v>46.410861550999996</v>
      </c>
      <c r="CL589" s="115"/>
      <c r="CM589" s="128">
        <v>65</v>
      </c>
      <c r="CN589" s="150">
        <f>IF(CM589=0,0,(((AP589-AQ589-BR589)*((AD589*(CQ589/100))+(AB589*((100-CQ589)/100)))*9.81/100+CM589)))</f>
        <v>79.410861550999996</v>
      </c>
      <c r="CO589" s="141">
        <f t="shared" si="442"/>
        <v>2.3173919999999999</v>
      </c>
      <c r="CP589" s="142">
        <v>4.2</v>
      </c>
      <c r="CQ589" s="143">
        <v>34</v>
      </c>
      <c r="CR589" s="115">
        <v>2.2629999999999999</v>
      </c>
      <c r="CS589" s="139"/>
      <c r="CT589" s="138"/>
      <c r="CU589" s="138">
        <f t="shared" si="475"/>
        <v>2.2629999999999999</v>
      </c>
      <c r="CV589" s="115">
        <f t="shared" si="476"/>
        <v>976.52878753357231</v>
      </c>
      <c r="CW589" s="115" t="str">
        <f t="shared" si="443"/>
        <v/>
      </c>
      <c r="CX589" s="133">
        <f t="shared" si="477"/>
        <v>3.6335593952481232E-2</v>
      </c>
      <c r="CY589" s="116"/>
      <c r="CZ589" s="131"/>
      <c r="DA589" s="145" t="str">
        <f t="shared" si="478"/>
        <v>ЭЦН</v>
      </c>
      <c r="DB589" s="146">
        <f t="shared" si="468"/>
        <v>2.3173919999999999</v>
      </c>
      <c r="DC589" s="142">
        <f t="shared" si="469"/>
        <v>4.2</v>
      </c>
      <c r="DD589" s="119">
        <f t="shared" si="470"/>
        <v>34</v>
      </c>
      <c r="DE589" s="115">
        <f t="shared" si="471"/>
        <v>2.2629999999999999</v>
      </c>
      <c r="DF589" s="121">
        <f t="shared" si="472"/>
        <v>0</v>
      </c>
      <c r="DG589" s="115">
        <f t="shared" si="446"/>
        <v>976.52878753357231</v>
      </c>
      <c r="DH589" s="115">
        <f t="shared" si="447"/>
        <v>79.410861550999996</v>
      </c>
      <c r="DI589" s="147"/>
      <c r="DJ589" s="111"/>
      <c r="DK589" s="112">
        <v>44235</v>
      </c>
      <c r="DL589" s="113">
        <f t="shared" ca="1" si="480"/>
        <v>869</v>
      </c>
      <c r="DM589" s="114"/>
      <c r="DN589" s="114"/>
      <c r="DO589" s="114"/>
      <c r="DP589" s="114"/>
      <c r="DQ589" s="112"/>
      <c r="DR589" s="114"/>
      <c r="DS589" s="114"/>
      <c r="DT589" s="115">
        <v>60</v>
      </c>
      <c r="DU589" s="116">
        <f t="shared" si="481"/>
        <v>3.4153073519159333E-2</v>
      </c>
      <c r="DV589" s="117">
        <f t="shared" si="484"/>
        <v>2.5439804790657323</v>
      </c>
      <c r="DW589" s="118">
        <f t="shared" si="485"/>
        <v>4.6106649250865095</v>
      </c>
      <c r="DX589" s="119">
        <f t="shared" si="486"/>
        <v>34</v>
      </c>
      <c r="DY589" s="115">
        <f t="shared" si="487"/>
        <v>2.484270172731136</v>
      </c>
      <c r="DZ589" s="117">
        <f t="shared" si="482"/>
        <v>0.22658847906573243</v>
      </c>
      <c r="EA589" s="120">
        <f t="shared" si="482"/>
        <v>0.41066492508650931</v>
      </c>
      <c r="EB589" s="119">
        <f t="shared" si="482"/>
        <v>0</v>
      </c>
      <c r="EC589" s="121">
        <f t="shared" si="464"/>
        <v>0.22127017273113614</v>
      </c>
      <c r="ED589" s="122"/>
      <c r="EE589" s="145">
        <v>18</v>
      </c>
      <c r="EF589" s="115">
        <v>33</v>
      </c>
      <c r="EG589" s="115">
        <v>30</v>
      </c>
      <c r="EH589" s="115">
        <v>32</v>
      </c>
      <c r="EI589" s="128" t="s">
        <v>218</v>
      </c>
      <c r="EJ589" s="121">
        <v>10</v>
      </c>
      <c r="EK589" s="121">
        <v>14</v>
      </c>
      <c r="EL589" s="149">
        <v>2.3173919999999999</v>
      </c>
      <c r="EM589" s="142">
        <v>4.2</v>
      </c>
      <c r="EN589" s="119">
        <v>34</v>
      </c>
      <c r="EO589" s="115">
        <v>2.2629999999999999</v>
      </c>
      <c r="EP589" s="115">
        <v>976.52878753357231</v>
      </c>
      <c r="EQ589" s="115">
        <v>0</v>
      </c>
      <c r="ER589" s="115">
        <v>0</v>
      </c>
      <c r="ES589" s="115">
        <v>79.410861550999996</v>
      </c>
      <c r="ET589" s="150">
        <v>3.6335593952481232E-2</v>
      </c>
      <c r="EU589" s="145">
        <f t="shared" si="457"/>
        <v>18</v>
      </c>
      <c r="EV589" s="115">
        <f t="shared" si="448"/>
        <v>33</v>
      </c>
      <c r="EW589" s="115">
        <f t="shared" si="448"/>
        <v>30</v>
      </c>
      <c r="EX589" s="115">
        <f t="shared" si="448"/>
        <v>32</v>
      </c>
      <c r="EY589" s="115" t="str">
        <f t="shared" si="489"/>
        <v>Периодический</v>
      </c>
      <c r="EZ589" s="115">
        <f t="shared" si="489"/>
        <v>10</v>
      </c>
      <c r="FA589" s="115">
        <f t="shared" si="489"/>
        <v>14</v>
      </c>
      <c r="FB589" s="149">
        <f t="shared" si="461"/>
        <v>2.3173919999999999</v>
      </c>
      <c r="FC589" s="142">
        <f t="shared" si="461"/>
        <v>4.2</v>
      </c>
      <c r="FD589" s="119">
        <f t="shared" si="461"/>
        <v>34</v>
      </c>
      <c r="FE589" s="121">
        <f t="shared" si="460"/>
        <v>2.2629999999999999</v>
      </c>
      <c r="FF589" s="121">
        <f t="shared" si="462"/>
        <v>976.52878753357231</v>
      </c>
      <c r="FG589" s="121">
        <f t="shared" si="449"/>
        <v>0</v>
      </c>
      <c r="FH589" s="121">
        <f t="shared" si="491"/>
        <v>0</v>
      </c>
      <c r="FI589" s="121">
        <f t="shared" si="483"/>
        <v>79.410861550999996</v>
      </c>
      <c r="FJ589" s="144">
        <f t="shared" si="450"/>
        <v>3.6335593952481232E-2</v>
      </c>
      <c r="FK589" s="132">
        <f t="shared" si="451"/>
        <v>0</v>
      </c>
      <c r="FL589" s="115">
        <f t="shared" si="451"/>
        <v>0</v>
      </c>
      <c r="FM589" s="115">
        <f t="shared" si="451"/>
        <v>0</v>
      </c>
      <c r="FN589" s="115">
        <f t="shared" si="451"/>
        <v>0</v>
      </c>
      <c r="FO589" s="115">
        <f t="shared" si="492"/>
        <v>0</v>
      </c>
      <c r="FP589" s="115">
        <f t="shared" si="492"/>
        <v>0</v>
      </c>
      <c r="FQ589" s="149">
        <f t="shared" si="492"/>
        <v>0</v>
      </c>
      <c r="FR589" s="142">
        <f t="shared" si="492"/>
        <v>0</v>
      </c>
      <c r="FS589" s="119">
        <f t="shared" si="492"/>
        <v>0</v>
      </c>
      <c r="FT589" s="121">
        <f t="shared" si="438"/>
        <v>0</v>
      </c>
      <c r="FU589" s="121">
        <f t="shared" si="452"/>
        <v>0</v>
      </c>
      <c r="FV589" s="121">
        <f t="shared" si="452"/>
        <v>0</v>
      </c>
      <c r="FW589" s="121">
        <f t="shared" si="453"/>
        <v>0</v>
      </c>
      <c r="FX589" s="121">
        <f t="shared" si="454"/>
        <v>0</v>
      </c>
      <c r="FY589" s="144">
        <f t="shared" si="454"/>
        <v>0</v>
      </c>
      <c r="FZ589" s="1052"/>
      <c r="GA589" s="151"/>
      <c r="GB589" s="1052"/>
      <c r="GC589" s="151"/>
      <c r="GD589" s="997" t="s">
        <v>220</v>
      </c>
      <c r="GE589" s="1004"/>
      <c r="GF589" s="1004">
        <v>0</v>
      </c>
      <c r="GG589" s="1004"/>
      <c r="GH589" s="1004">
        <v>0</v>
      </c>
      <c r="GI589" s="1052"/>
      <c r="GJ589" s="996">
        <v>0</v>
      </c>
      <c r="GK589" s="1052"/>
      <c r="GL589" s="996">
        <v>0</v>
      </c>
      <c r="GM589" s="1005"/>
      <c r="GN589" s="996">
        <v>0</v>
      </c>
      <c r="GO589" s="1006"/>
      <c r="GP589" s="996">
        <v>0</v>
      </c>
      <c r="GQ589" s="1006" t="s">
        <v>240</v>
      </c>
      <c r="GR589" s="996">
        <v>1.2138720000000001</v>
      </c>
      <c r="GS589" s="1006"/>
      <c r="GT589" s="996">
        <v>-0.55175999999999981</v>
      </c>
      <c r="GU589" s="1006" t="s">
        <v>223</v>
      </c>
      <c r="GV589" s="996">
        <v>-3.3168299999999995</v>
      </c>
      <c r="GW589" s="1006"/>
      <c r="GX589" s="996">
        <v>0.24999743999999868</v>
      </c>
      <c r="GY589" s="1006"/>
      <c r="GZ589" s="996">
        <v>0</v>
      </c>
      <c r="HA589" s="1006"/>
      <c r="HB589" s="996">
        <v>0</v>
      </c>
      <c r="HC589" s="1006"/>
      <c r="HD589" s="996">
        <v>0</v>
      </c>
      <c r="HE589" s="1006"/>
      <c r="HF589" s="996">
        <v>0</v>
      </c>
      <c r="HG589" s="1006"/>
      <c r="HH589" s="996">
        <v>0</v>
      </c>
      <c r="HI589" s="1006"/>
      <c r="HJ589" s="996">
        <v>0</v>
      </c>
      <c r="HK589" s="1006" t="s">
        <v>197</v>
      </c>
      <c r="HL589" s="996">
        <v>0</v>
      </c>
      <c r="HM589" s="1006"/>
      <c r="HN589" s="996">
        <v>0</v>
      </c>
      <c r="HO589" s="1006"/>
      <c r="HP589" s="996">
        <v>0</v>
      </c>
      <c r="HQ589" s="1006"/>
      <c r="HR589" s="996">
        <v>0</v>
      </c>
      <c r="HS589" s="1006"/>
      <c r="HT589" s="996">
        <v>0</v>
      </c>
      <c r="HU589" s="1006"/>
      <c r="HV589" s="996">
        <v>0</v>
      </c>
      <c r="HW589" s="1006" t="s">
        <v>199</v>
      </c>
      <c r="HX589" s="996">
        <v>-2.8018874399999998</v>
      </c>
      <c r="HY589" s="1006" t="s">
        <v>199</v>
      </c>
      <c r="HZ589" s="996">
        <v>4.2886800000000003</v>
      </c>
      <c r="IA589" s="1006" t="s">
        <v>199</v>
      </c>
      <c r="IB589" s="996">
        <v>-6.1797120000000003</v>
      </c>
      <c r="IC589" s="1006"/>
      <c r="ID589" s="996">
        <v>0</v>
      </c>
      <c r="IE589" s="1006"/>
      <c r="IF589" s="996">
        <v>0</v>
      </c>
      <c r="IG589" s="1006" t="s">
        <v>25</v>
      </c>
      <c r="IH589" s="996">
        <v>9.4150320000000001</v>
      </c>
      <c r="II589" s="1006"/>
      <c r="IJ589" s="996">
        <v>0</v>
      </c>
      <c r="IK589" s="1006"/>
      <c r="IL589" s="996"/>
      <c r="IM589" s="1006"/>
      <c r="IN589" s="996"/>
      <c r="IO589" s="1006"/>
      <c r="IP589" s="996"/>
      <c r="IQ589" s="1006"/>
      <c r="IR589" s="996"/>
      <c r="IS589" s="1006"/>
      <c r="IT589" s="996"/>
      <c r="IU589" s="1006"/>
      <c r="IV589" s="996"/>
      <c r="IW589" s="1006"/>
      <c r="IX589" s="996"/>
      <c r="IY589" s="1006"/>
      <c r="IZ589" s="996"/>
      <c r="JA589" s="1006"/>
      <c r="JB589" s="996"/>
      <c r="JC589" s="1006"/>
      <c r="JD589" s="996"/>
      <c r="JE589" s="1006"/>
      <c r="JF589" s="996"/>
      <c r="JG589" s="1006"/>
      <c r="JH589" s="996"/>
      <c r="JI589" s="1006"/>
      <c r="JJ589" s="996"/>
      <c r="JK589" s="1007"/>
      <c r="JL589" s="1007"/>
      <c r="JM589" s="1007"/>
      <c r="JN589" s="1007"/>
      <c r="JO589" s="1008"/>
      <c r="JP589" s="1007"/>
      <c r="JQ589" s="1008"/>
      <c r="JR589" s="1007"/>
      <c r="JS589" s="1008"/>
      <c r="JT589" s="1007"/>
      <c r="JU589" s="1008"/>
      <c r="JV589" s="1007"/>
      <c r="JW589" s="1008"/>
      <c r="JX589" s="1007"/>
      <c r="JY589" s="1008"/>
      <c r="JZ589" s="1007"/>
      <c r="KA589" s="1008"/>
      <c r="KB589" s="1007"/>
      <c r="KC589" s="1008"/>
      <c r="KD589" s="1007"/>
      <c r="KE589" s="1008"/>
      <c r="KF589" s="1007"/>
      <c r="KG589" s="1008"/>
      <c r="KH589" s="1007"/>
      <c r="KI589" s="1008"/>
      <c r="KJ589" s="1007"/>
      <c r="KK589" s="1008"/>
      <c r="KL589" s="1007"/>
      <c r="KM589" s="1008"/>
      <c r="KN589" s="1007"/>
      <c r="KO589" s="1008"/>
      <c r="KP589" s="1007"/>
      <c r="KQ589" s="1008"/>
      <c r="KR589" s="1007"/>
      <c r="KS589" s="1008"/>
      <c r="KT589" s="1007"/>
      <c r="KU589" s="1008"/>
      <c r="KV589" s="1007"/>
      <c r="KW589" s="1008"/>
      <c r="KX589" s="1007"/>
      <c r="KY589" s="1008"/>
      <c r="KZ589" s="1007"/>
      <c r="LA589" s="1008"/>
      <c r="LB589" s="1007"/>
      <c r="LC589" s="1008"/>
      <c r="LD589" s="1007"/>
      <c r="LE589" s="1008"/>
      <c r="LF589" s="1007"/>
      <c r="LG589" s="1008"/>
      <c r="LH589" s="1007"/>
      <c r="LI589" s="1008"/>
      <c r="LJ589" s="1007"/>
      <c r="LK589" s="1008"/>
      <c r="LL589" s="1007"/>
      <c r="LM589" s="1008"/>
      <c r="LN589" s="1007"/>
      <c r="LO589" s="1008"/>
      <c r="LP589" s="1007"/>
      <c r="LQ589" s="1008"/>
      <c r="LR589" s="1007"/>
      <c r="LS589" s="1008"/>
      <c r="LT589" s="1007"/>
      <c r="LU589" s="1008"/>
      <c r="LV589" s="1007"/>
      <c r="LW589" s="1008"/>
      <c r="LX589" s="1007"/>
      <c r="LY589" s="1009"/>
      <c r="LZ589" s="1010"/>
      <c r="MA589" s="1011"/>
      <c r="MB589" s="1012"/>
      <c r="MC589" s="995"/>
      <c r="MD589" s="996"/>
      <c r="ME589" s="997" t="s">
        <v>220</v>
      </c>
      <c r="MF589" s="997">
        <f>CN589-CA589</f>
        <v>46.410861550999996</v>
      </c>
      <c r="MG589" s="998"/>
      <c r="NR589" s="1000"/>
      <c r="NS589" s="1000"/>
      <c r="NT589" s="1001"/>
      <c r="NU589" s="1000"/>
      <c r="NV589" s="1001"/>
      <c r="NX589" s="1002"/>
      <c r="NZ589" s="1001"/>
      <c r="OA589" s="1001"/>
      <c r="OC589" s="1003"/>
      <c r="OD589" s="1003"/>
      <c r="OE589" s="1001"/>
      <c r="OF589" s="1003"/>
      <c r="OG589" s="1003"/>
      <c r="OH589" s="1003"/>
      <c r="OI589" s="1016"/>
      <c r="ASU589" s="999" t="s">
        <v>582</v>
      </c>
    </row>
    <row r="590" spans="1:466 1191:1191" ht="21" customHeight="1" x14ac:dyDescent="0.25">
      <c r="A590" s="982">
        <f t="shared" si="441"/>
        <v>3406</v>
      </c>
      <c r="B590" s="124">
        <f>SUBTOTAL(103,$J$29:J590)</f>
        <v>562</v>
      </c>
      <c r="C590" s="126">
        <v>45068</v>
      </c>
      <c r="D590" s="124" t="s">
        <v>176</v>
      </c>
      <c r="E590" s="127" t="s">
        <v>177</v>
      </c>
      <c r="F590" s="128" t="s">
        <v>177</v>
      </c>
      <c r="G590" s="127" t="s">
        <v>178</v>
      </c>
      <c r="H590" s="127" t="s">
        <v>179</v>
      </c>
      <c r="I590" s="127" t="s">
        <v>2004</v>
      </c>
      <c r="J590" s="152">
        <v>3406</v>
      </c>
      <c r="K590" s="127" t="s">
        <v>2004</v>
      </c>
      <c r="L590" s="130">
        <v>44191</v>
      </c>
      <c r="M590" s="127" t="s">
        <v>230</v>
      </c>
      <c r="N590" s="127" t="s">
        <v>1368</v>
      </c>
      <c r="O590" s="127" t="s">
        <v>185</v>
      </c>
      <c r="P590" s="127" t="s">
        <v>186</v>
      </c>
      <c r="Q590" s="85" t="str">
        <f t="shared" ref="Q590:Q598" si="493">IF(R590="","",-4)</f>
        <v/>
      </c>
      <c r="R590" s="130"/>
      <c r="S590" s="128"/>
      <c r="T590" s="131"/>
      <c r="U590" s="132">
        <v>203</v>
      </c>
      <c r="V590" s="121">
        <v>218.2</v>
      </c>
      <c r="W590" s="116">
        <v>0.98</v>
      </c>
      <c r="X590" s="116">
        <v>1.66</v>
      </c>
      <c r="Y590" s="116">
        <f t="shared" si="463"/>
        <v>1.0218592964824118</v>
      </c>
      <c r="Z590" s="133">
        <v>1.454</v>
      </c>
      <c r="AA590" s="133">
        <v>0.83599999999999997</v>
      </c>
      <c r="AB590" s="133">
        <v>0.72</v>
      </c>
      <c r="AC590" s="121">
        <v>34.299999999999997</v>
      </c>
      <c r="AD590" s="134">
        <v>1.17</v>
      </c>
      <c r="AE590" s="124">
        <v>177.8</v>
      </c>
      <c r="AF590" s="128">
        <v>9.1999999999999993</v>
      </c>
      <c r="AG590" s="128">
        <v>2300</v>
      </c>
      <c r="AH590" s="127">
        <v>3095</v>
      </c>
      <c r="AI590" s="127">
        <v>3095</v>
      </c>
      <c r="AJ590" s="135"/>
      <c r="AK590" s="128"/>
      <c r="AL590" s="131"/>
      <c r="AM590" s="124" t="s">
        <v>187</v>
      </c>
      <c r="AN590" s="136" t="s">
        <v>2008</v>
      </c>
      <c r="AO590" s="137"/>
      <c r="AP590" s="128"/>
      <c r="AQ590" s="128"/>
      <c r="AR590" s="128"/>
      <c r="AS590" s="128"/>
      <c r="AT590" s="122"/>
      <c r="AU590" s="124" t="s">
        <v>189</v>
      </c>
      <c r="AV590" s="115">
        <f>VLOOKUP(J590,'[63]ТР нефть'!$J$28:$BP$638,39,0)</f>
        <v>479.99998505899998</v>
      </c>
      <c r="AW590" s="115" t="str">
        <f>VLOOKUP(J590,'[63]ТР нефть'!$J$28:$BP$638,40,0)</f>
        <v>ГП</v>
      </c>
      <c r="AX590" s="115">
        <f>VLOOKUP(J590,'[63]ТР нефть'!$J$28:$BP$638,41,0)</f>
        <v>1020.000028711</v>
      </c>
      <c r="AY590" s="115" t="str">
        <f>VLOOKUP(J590,'[63]ТР нефть'!$J$28:$BP$638,42,0)</f>
        <v>ГП</v>
      </c>
      <c r="AZ590" s="115">
        <f>VLOOKUP(J590,'[63]ТР нефть'!$J$28:$BP$638,43,0)</f>
        <v>1410</v>
      </c>
      <c r="BA590" s="115" t="str">
        <f>VLOOKUP(J590,'[63]ТР нефть'!$J$28:$BP$638,44,0)</f>
        <v>ГК 76 1/8</v>
      </c>
      <c r="BB590" s="115">
        <f>VLOOKUP(J590,'[63]ТР нефть'!$J$28:$BP$638,45,0)</f>
        <v>1649.999974219</v>
      </c>
      <c r="BC590" s="115" t="str">
        <f>VLOOKUP(J590,'[63]ТР нефть'!$J$28:$BP$638,46,0)</f>
        <v>ГК 74 1/8</v>
      </c>
      <c r="BD590" s="115">
        <f>VLOOKUP(J590,'[63]ТР нефть'!$J$28:$BP$638,47,0)</f>
        <v>1899.9999703129999</v>
      </c>
      <c r="BE590" s="115" t="str">
        <f>VLOOKUP(J590,'[63]ТР нефть'!$J$28:$BP$638,48,0)</f>
        <v>ЦКсОК 5/16</v>
      </c>
      <c r="BF590" s="115" t="str">
        <f>VLOOKUP(J590,'[63]ТР нефть'!$J$28:$BP$638,49,0)</f>
        <v>-</v>
      </c>
      <c r="BG590" s="115" t="str">
        <f>VLOOKUP(J590,'[63]ТР нефть'!$J$28:$BP$638,50,0)</f>
        <v>-</v>
      </c>
      <c r="BH590" s="115" t="str">
        <f>VLOOKUP(J590,'[63]ТР нефть'!$J$28:$BP$638,51,0)</f>
        <v>-</v>
      </c>
      <c r="BI590" s="115" t="str">
        <f>VLOOKUP(J590,'[63]ТР нефть'!$J$28:$BP$638,52,0)</f>
        <v>-</v>
      </c>
      <c r="BJ590" s="115" t="str">
        <f>IF(IFERROR(VLOOKUP(J590,'[63]ТР нефть'!$J$28:$BP$638,53,0),"-")=0,"-",IFERROR(VLOOKUP(J590,'[63]ТР нефть'!$J$28:$BP$638,53,0),"-"))</f>
        <v>-</v>
      </c>
      <c r="BK590" s="138" t="str">
        <f>IF(IFERROR(VLOOKUP(J590,'[63]ТР нефть'!$J$28:$BP$638,54,0),"-")=0,"-",IFERROR(VLOOKUP(J590,'[63]ТР нефть'!$J$28:$BP$638,54,0),"-"))</f>
        <v>-</v>
      </c>
      <c r="BL590" s="138" t="str">
        <f>IF(IFERROR(VLOOKUP(J590,'[63]ТР нефть'!$J$28:$BP$638,55,0),"-")=0,"-",IFERROR(VLOOKUP(J590,'[63]ТР нефть'!$J$28:$BP$638,55,0),"-"))</f>
        <v>-</v>
      </c>
      <c r="BM590" s="138" t="str">
        <f>IF(IFERROR(VLOOKUP(J590,'[63]ТР нефть'!$J$28:$BP$638,56,0),"-")=0,"-",IFERROR(VLOOKUP(J590,'[63]ТР нефть'!$J$28:$BP$638,56,0),"-"))</f>
        <v>-</v>
      </c>
      <c r="BN590" s="138" t="str">
        <f>IF(IFERROR(VLOOKUP(J590,'[63]ТР нефть'!$J$28:$BP$638,57,0),"-")=0,"-",IFERROR(VLOOKUP(J590,'[63]ТР нефть'!$J$28:$BP$638,57,0),"-"))</f>
        <v>-</v>
      </c>
      <c r="BO590" s="115" t="str">
        <f>IF(IFERROR(VLOOKUP(J590,'[63]ТР нефть'!$J$28:$BP$638,58,0),"-")=0,"-",IFERROR(VLOOKUP(J590,'[63]ТР нефть'!$J$28:$BP$638,58,0),"-"))</f>
        <v>-</v>
      </c>
      <c r="BP590" s="115" t="str">
        <f>IF(IFERROR(VLOOKUP(J590,'[63]ТР нефть'!$J$28:$BP$638,59,0),"-")=0,"-",IFERROR(VLOOKUP(J590,'[63]ТР нефть'!$J$28:$BP$638,59,0),"-"))</f>
        <v>-</v>
      </c>
      <c r="BQ590" s="138">
        <v>2085.5</v>
      </c>
      <c r="BR590" s="128"/>
      <c r="BS590" s="115"/>
      <c r="BT590" s="128"/>
      <c r="BU590" s="128"/>
      <c r="BV590" s="127">
        <v>12</v>
      </c>
      <c r="BW590" s="127" t="s">
        <v>217</v>
      </c>
      <c r="BX590" s="127" t="s">
        <v>195</v>
      </c>
      <c r="BY590" s="139">
        <v>24</v>
      </c>
      <c r="BZ590" s="139">
        <v>0</v>
      </c>
      <c r="CA590" s="138">
        <v>38</v>
      </c>
      <c r="CB590" s="138">
        <v>59</v>
      </c>
      <c r="CC590" s="138">
        <v>37</v>
      </c>
      <c r="CD590" s="135">
        <v>45017</v>
      </c>
      <c r="CE590" s="138">
        <v>111</v>
      </c>
      <c r="CF590" s="138">
        <v>65</v>
      </c>
      <c r="CG590" s="138" t="str">
        <f t="shared" ref="CG590:CG595" si="494">IF(CH590&lt;&gt;"","В работе","")</f>
        <v>В работе</v>
      </c>
      <c r="CH590" s="138" t="s">
        <v>235</v>
      </c>
      <c r="CI590" s="127">
        <v>6</v>
      </c>
      <c r="CJ590" s="138"/>
      <c r="CK590" s="138">
        <f t="shared" si="488"/>
        <v>37</v>
      </c>
      <c r="CL590" s="99"/>
      <c r="CM590" s="99"/>
      <c r="CN590" s="140">
        <v>75</v>
      </c>
      <c r="CO590" s="141">
        <f t="shared" si="442"/>
        <v>9.7812000000000001</v>
      </c>
      <c r="CP590" s="142">
        <v>13</v>
      </c>
      <c r="CQ590" s="143">
        <v>10</v>
      </c>
      <c r="CR590" s="138">
        <v>11.8</v>
      </c>
      <c r="CS590" s="139">
        <v>7.5</v>
      </c>
      <c r="CT590" s="138"/>
      <c r="CU590" s="138">
        <f t="shared" si="475"/>
        <v>4.3000000000000007</v>
      </c>
      <c r="CV590" s="115">
        <f t="shared" si="476"/>
        <v>439.61886067149231</v>
      </c>
      <c r="CW590" s="115">
        <f t="shared" si="443"/>
        <v>664.50481101483183</v>
      </c>
      <c r="CX590" s="133">
        <f t="shared" si="477"/>
        <v>0.3611111111111111</v>
      </c>
      <c r="CY590" s="116"/>
      <c r="CZ590" s="131"/>
      <c r="DA590" s="145" t="str">
        <f t="shared" si="478"/>
        <v>Газлифт</v>
      </c>
      <c r="DB590" s="146">
        <f t="shared" si="468"/>
        <v>12.038399999999999</v>
      </c>
      <c r="DC590" s="142">
        <f t="shared" si="469"/>
        <v>16</v>
      </c>
      <c r="DD590" s="119">
        <f t="shared" si="470"/>
        <v>10</v>
      </c>
      <c r="DE590" s="115">
        <f t="shared" si="471"/>
        <v>4.3000000000000007</v>
      </c>
      <c r="DF590" s="121">
        <f t="shared" si="472"/>
        <v>7.5</v>
      </c>
      <c r="DG590" s="115">
        <f t="shared" si="446"/>
        <v>439.61886067149231</v>
      </c>
      <c r="DH590" s="115">
        <f t="shared" si="447"/>
        <v>75</v>
      </c>
      <c r="DI590" s="147"/>
      <c r="DJ590" s="111"/>
      <c r="DK590" s="112">
        <v>44191</v>
      </c>
      <c r="DL590" s="113">
        <f t="shared" ca="1" si="480"/>
        <v>913</v>
      </c>
      <c r="DM590" s="114"/>
      <c r="DN590" s="114"/>
      <c r="DO590" s="114"/>
      <c r="DP590" s="114"/>
      <c r="DQ590" s="112"/>
      <c r="DR590" s="114"/>
      <c r="DS590" s="114"/>
      <c r="DT590" s="115">
        <v>60</v>
      </c>
      <c r="DU590" s="116">
        <f t="shared" si="481"/>
        <v>0.33576998050682255</v>
      </c>
      <c r="DV590" s="117">
        <f t="shared" si="484"/>
        <v>12.884299999999996</v>
      </c>
      <c r="DW590" s="118">
        <f t="shared" si="485"/>
        <v>17.12426900584795</v>
      </c>
      <c r="DX590" s="119">
        <f t="shared" si="486"/>
        <v>10</v>
      </c>
      <c r="DY590" s="115">
        <f t="shared" si="487"/>
        <v>5.6641812865497068</v>
      </c>
      <c r="DZ590" s="117">
        <f t="shared" si="482"/>
        <v>3.103099999999996</v>
      </c>
      <c r="EA590" s="120">
        <f t="shared" si="482"/>
        <v>4.1242690058479496</v>
      </c>
      <c r="EB590" s="119">
        <f t="shared" si="482"/>
        <v>0</v>
      </c>
      <c r="EC590" s="121">
        <f t="shared" si="464"/>
        <v>1.3641812865497061</v>
      </c>
      <c r="ED590" s="122"/>
      <c r="EE590" s="145">
        <v>12</v>
      </c>
      <c r="EF590" s="148">
        <v>36</v>
      </c>
      <c r="EG590" s="115">
        <v>62</v>
      </c>
      <c r="EH590" s="115">
        <v>35</v>
      </c>
      <c r="EI590" s="128" t="s">
        <v>195</v>
      </c>
      <c r="EJ590" s="121">
        <v>24</v>
      </c>
      <c r="EK590" s="121">
        <v>0</v>
      </c>
      <c r="EL590" s="149">
        <v>12.038399999999999</v>
      </c>
      <c r="EM590" s="142">
        <v>16</v>
      </c>
      <c r="EN590" s="119">
        <v>10</v>
      </c>
      <c r="EO590" s="115">
        <v>14</v>
      </c>
      <c r="EP590" s="115">
        <v>415.33758639021801</v>
      </c>
      <c r="EQ590" s="115">
        <v>66</v>
      </c>
      <c r="ER590" s="115">
        <v>9</v>
      </c>
      <c r="ES590" s="115">
        <v>71</v>
      </c>
      <c r="ET590" s="150">
        <v>0.4</v>
      </c>
      <c r="EU590" s="145">
        <f t="shared" si="457"/>
        <v>12</v>
      </c>
      <c r="EV590" s="115">
        <f t="shared" si="448"/>
        <v>38</v>
      </c>
      <c r="EW590" s="115">
        <f t="shared" si="448"/>
        <v>59</v>
      </c>
      <c r="EX590" s="115">
        <f t="shared" si="448"/>
        <v>37</v>
      </c>
      <c r="EY590" s="115" t="str">
        <f t="shared" si="489"/>
        <v>Постоянный</v>
      </c>
      <c r="EZ590" s="115">
        <f t="shared" si="489"/>
        <v>24</v>
      </c>
      <c r="FA590" s="115">
        <f t="shared" si="489"/>
        <v>0</v>
      </c>
      <c r="FB590" s="149">
        <f t="shared" si="461"/>
        <v>9.7812000000000001</v>
      </c>
      <c r="FC590" s="142">
        <f t="shared" si="461"/>
        <v>13</v>
      </c>
      <c r="FD590" s="119">
        <f t="shared" si="461"/>
        <v>10</v>
      </c>
      <c r="FE590" s="121">
        <f t="shared" si="460"/>
        <v>11.8</v>
      </c>
      <c r="FF590" s="121">
        <f t="shared" si="462"/>
        <v>439.61886067149231</v>
      </c>
      <c r="FG590" s="121">
        <f t="shared" si="449"/>
        <v>65</v>
      </c>
      <c r="FH590" s="121">
        <f t="shared" si="491"/>
        <v>7.5</v>
      </c>
      <c r="FI590" s="121">
        <f t="shared" si="483"/>
        <v>75</v>
      </c>
      <c r="FJ590" s="144">
        <f t="shared" si="450"/>
        <v>0.3611111111111111</v>
      </c>
      <c r="FK590" s="132">
        <f t="shared" si="451"/>
        <v>0</v>
      </c>
      <c r="FL590" s="115">
        <f t="shared" si="451"/>
        <v>2</v>
      </c>
      <c r="FM590" s="115">
        <f t="shared" si="451"/>
        <v>-3</v>
      </c>
      <c r="FN590" s="115">
        <f t="shared" si="451"/>
        <v>2</v>
      </c>
      <c r="FO590" s="115">
        <f t="shared" si="492"/>
        <v>0</v>
      </c>
      <c r="FP590" s="115">
        <f t="shared" si="492"/>
        <v>0</v>
      </c>
      <c r="FQ590" s="149">
        <f t="shared" si="492"/>
        <v>-2.2571999999999992</v>
      </c>
      <c r="FR590" s="142">
        <f t="shared" si="492"/>
        <v>-3</v>
      </c>
      <c r="FS590" s="119">
        <f t="shared" si="492"/>
        <v>0</v>
      </c>
      <c r="FT590" s="121">
        <f t="shared" si="438"/>
        <v>-2.1999999999999993</v>
      </c>
      <c r="FU590" s="121">
        <f t="shared" si="452"/>
        <v>-1</v>
      </c>
      <c r="FV590" s="121">
        <f t="shared" si="452"/>
        <v>-1.5</v>
      </c>
      <c r="FW590" s="121">
        <f t="shared" si="453"/>
        <v>24.281274281274307</v>
      </c>
      <c r="FX590" s="121">
        <f t="shared" si="454"/>
        <v>4</v>
      </c>
      <c r="FY590" s="144">
        <f t="shared" si="454"/>
        <v>-3.8888888888888917E-2</v>
      </c>
      <c r="FZ590" s="145" t="s">
        <v>199</v>
      </c>
      <c r="GA590" s="151" t="s">
        <v>2009</v>
      </c>
      <c r="GB590" s="145" t="s">
        <v>199</v>
      </c>
      <c r="GC590" s="151" t="s">
        <v>1093</v>
      </c>
      <c r="GD590" s="997" t="s">
        <v>220</v>
      </c>
      <c r="GE590" s="1004" t="s">
        <v>199</v>
      </c>
      <c r="GF590" s="1004">
        <v>-1.2038399999999996</v>
      </c>
      <c r="GG590" s="1004" t="s">
        <v>204</v>
      </c>
      <c r="GH590" s="1004">
        <v>-2.1283891199999996</v>
      </c>
      <c r="GI590" s="145" t="s">
        <v>199</v>
      </c>
      <c r="GJ590" s="996">
        <v>3.1717171199999985</v>
      </c>
      <c r="GK590" s="145" t="s">
        <v>199</v>
      </c>
      <c r="GL590" s="996">
        <v>-3.2042475520000018</v>
      </c>
      <c r="GM590" s="1005"/>
      <c r="GN590" s="996">
        <v>0</v>
      </c>
      <c r="GO590" s="1006" t="s">
        <v>199</v>
      </c>
      <c r="GP590" s="996">
        <v>7.1828434480000034</v>
      </c>
      <c r="GQ590" s="1006"/>
      <c r="GR590" s="996">
        <v>0</v>
      </c>
      <c r="GS590" s="1006"/>
      <c r="GT590" s="996">
        <v>-0.908803896000002</v>
      </c>
      <c r="GU590" s="1006"/>
      <c r="GV590" s="996">
        <v>0</v>
      </c>
      <c r="GW590" s="1006"/>
      <c r="GX590" s="996">
        <v>0.31684400000000146</v>
      </c>
      <c r="GY590" s="1006"/>
      <c r="GZ590" s="996">
        <v>0.23491600000000012</v>
      </c>
      <c r="HA590" s="1006"/>
      <c r="HB590" s="996">
        <v>0</v>
      </c>
      <c r="HC590" s="1006"/>
      <c r="HD590" s="996">
        <v>0</v>
      </c>
      <c r="HE590" s="1006"/>
      <c r="HF590" s="996">
        <v>0</v>
      </c>
      <c r="HG590" s="1006"/>
      <c r="HH590" s="996">
        <v>0</v>
      </c>
      <c r="HI590" s="1006"/>
      <c r="HJ590" s="996">
        <v>0</v>
      </c>
      <c r="HK590" s="1006" t="s">
        <v>199</v>
      </c>
      <c r="HL590" s="996">
        <v>-14.579840000000001</v>
      </c>
      <c r="HM590" s="1006" t="s">
        <v>221</v>
      </c>
      <c r="HN590" s="996">
        <v>-16.017759999999999</v>
      </c>
      <c r="HO590" s="1006" t="s">
        <v>199</v>
      </c>
      <c r="HP590" s="996">
        <v>24.244</v>
      </c>
      <c r="HQ590" s="1006"/>
      <c r="HR590" s="996">
        <v>0.19228000000000023</v>
      </c>
      <c r="HS590" s="1006"/>
      <c r="HT590" s="996">
        <v>0</v>
      </c>
      <c r="HU590" s="1006" t="s">
        <v>2010</v>
      </c>
      <c r="HV590" s="996">
        <v>-0.52149680000000131</v>
      </c>
      <c r="HW590" s="1006" t="s">
        <v>199</v>
      </c>
      <c r="HX590" s="996">
        <v>1.7922168000000003</v>
      </c>
      <c r="HY590" s="1006"/>
      <c r="HZ590" s="996">
        <v>0</v>
      </c>
      <c r="IA590" s="1006"/>
      <c r="IB590" s="996">
        <v>0</v>
      </c>
      <c r="IC590" s="1006"/>
      <c r="ID590" s="996">
        <v>0</v>
      </c>
      <c r="IE590" s="1006" t="s">
        <v>199</v>
      </c>
      <c r="IF590" s="996">
        <v>4.8446200000000008</v>
      </c>
      <c r="IG590" s="1006" t="s">
        <v>199</v>
      </c>
      <c r="IH590" s="996">
        <v>-21.753138</v>
      </c>
      <c r="II590" s="1006" t="s">
        <v>223</v>
      </c>
      <c r="IJ590" s="996">
        <v>8.8210540000000002</v>
      </c>
      <c r="IK590" s="1006"/>
      <c r="IL590" s="996"/>
      <c r="IM590" s="1006"/>
      <c r="IN590" s="996"/>
      <c r="IO590" s="1006"/>
      <c r="IP590" s="996"/>
      <c r="IQ590" s="1006"/>
      <c r="IR590" s="996"/>
      <c r="IS590" s="1006"/>
      <c r="IT590" s="996"/>
      <c r="IU590" s="1006"/>
      <c r="IV590" s="996"/>
      <c r="IW590" s="1006"/>
      <c r="IX590" s="996"/>
      <c r="IY590" s="1006"/>
      <c r="IZ590" s="996"/>
      <c r="JA590" s="1006"/>
      <c r="JB590" s="996"/>
      <c r="JC590" s="1006"/>
      <c r="JD590" s="996"/>
      <c r="JE590" s="1006"/>
      <c r="JF590" s="996"/>
      <c r="JG590" s="1006"/>
      <c r="JH590" s="996"/>
      <c r="JI590" s="1006"/>
      <c r="JJ590" s="996"/>
      <c r="JK590" s="1007"/>
      <c r="JL590" s="1007"/>
      <c r="JM590" s="1007"/>
      <c r="JN590" s="1007"/>
      <c r="JO590" s="1008"/>
      <c r="JP590" s="1007"/>
      <c r="JQ590" s="1008"/>
      <c r="JR590" s="1007"/>
      <c r="JS590" s="1008"/>
      <c r="JT590" s="1007"/>
      <c r="JU590" s="1008"/>
      <c r="JV590" s="1007"/>
      <c r="JW590" s="1008"/>
      <c r="JX590" s="1007"/>
      <c r="JY590" s="1008"/>
      <c r="JZ590" s="1007"/>
      <c r="KA590" s="1008"/>
      <c r="KB590" s="1007"/>
      <c r="KC590" s="1008"/>
      <c r="KD590" s="1007"/>
      <c r="KE590" s="1008"/>
      <c r="KF590" s="1007"/>
      <c r="KG590" s="1008"/>
      <c r="KH590" s="1007"/>
      <c r="KI590" s="1008"/>
      <c r="KJ590" s="1007"/>
      <c r="KK590" s="1008"/>
      <c r="KL590" s="1007"/>
      <c r="KM590" s="1008"/>
      <c r="KN590" s="1007"/>
      <c r="KO590" s="1008"/>
      <c r="KP590" s="1007"/>
      <c r="KQ590" s="1008"/>
      <c r="KR590" s="1007"/>
      <c r="KS590" s="1008"/>
      <c r="KT590" s="1007"/>
      <c r="KU590" s="1008"/>
      <c r="KV590" s="1007"/>
      <c r="KW590" s="1008"/>
      <c r="KX590" s="1007"/>
      <c r="KY590" s="1008"/>
      <c r="KZ590" s="1007"/>
      <c r="LA590" s="1008"/>
      <c r="LB590" s="1007"/>
      <c r="LC590" s="1008"/>
      <c r="LD590" s="1007"/>
      <c r="LE590" s="1008"/>
      <c r="LF590" s="1007"/>
      <c r="LG590" s="1008"/>
      <c r="LH590" s="1007"/>
      <c r="LI590" s="1008"/>
      <c r="LJ590" s="1007"/>
      <c r="LK590" s="1008"/>
      <c r="LL590" s="1007"/>
      <c r="LM590" s="1008"/>
      <c r="LN590" s="1007"/>
      <c r="LO590" s="1008"/>
      <c r="LP590" s="1007"/>
      <c r="LQ590" s="1008"/>
      <c r="LR590" s="1007"/>
      <c r="LS590" s="1008"/>
      <c r="LT590" s="1007"/>
      <c r="LU590" s="1008"/>
      <c r="LV590" s="1007"/>
      <c r="LW590" s="1008"/>
      <c r="LX590" s="1007"/>
      <c r="LY590" s="1009"/>
      <c r="LZ590" s="1010"/>
      <c r="MA590" s="1011"/>
      <c r="MB590" s="1012"/>
      <c r="MC590" s="995"/>
      <c r="MD590" s="996"/>
      <c r="ME590" s="997" t="s">
        <v>220</v>
      </c>
      <c r="MF590" s="997"/>
      <c r="MG590" s="998"/>
      <c r="NR590" s="1000"/>
      <c r="NS590" s="1000"/>
      <c r="NT590" s="1001"/>
      <c r="NU590" s="1000"/>
      <c r="NV590" s="1001"/>
      <c r="NX590" s="1002"/>
      <c r="NZ590" s="1001"/>
      <c r="OA590" s="1001"/>
      <c r="OC590" s="1003"/>
      <c r="OD590" s="1003"/>
      <c r="OE590" s="1001"/>
      <c r="OF590" s="1003"/>
      <c r="OG590" s="1003"/>
      <c r="QX590" s="1000">
        <f>CN590-CA590</f>
        <v>37</v>
      </c>
      <c r="ASU590" s="999" t="s">
        <v>208</v>
      </c>
    </row>
    <row r="591" spans="1:466 1191:1191" ht="21" customHeight="1" x14ac:dyDescent="0.25">
      <c r="A591" s="982">
        <f t="shared" si="441"/>
        <v>3407</v>
      </c>
      <c r="B591" s="124">
        <f>SUBTOTAL(103,$J$29:J591)</f>
        <v>563</v>
      </c>
      <c r="C591" s="126">
        <v>45068</v>
      </c>
      <c r="D591" s="124" t="s">
        <v>176</v>
      </c>
      <c r="E591" s="127" t="s">
        <v>177</v>
      </c>
      <c r="F591" s="128" t="s">
        <v>177</v>
      </c>
      <c r="G591" s="127" t="s">
        <v>178</v>
      </c>
      <c r="H591" s="127" t="s">
        <v>179</v>
      </c>
      <c r="I591" s="127" t="s">
        <v>1817</v>
      </c>
      <c r="J591" s="129">
        <v>3407</v>
      </c>
      <c r="K591" s="127" t="s">
        <v>1817</v>
      </c>
      <c r="L591" s="130">
        <v>44427</v>
      </c>
      <c r="M591" s="127" t="s">
        <v>230</v>
      </c>
      <c r="N591" s="127" t="s">
        <v>1368</v>
      </c>
      <c r="O591" s="127" t="s">
        <v>185</v>
      </c>
      <c r="P591" s="127" t="s">
        <v>186</v>
      </c>
      <c r="Q591" s="85" t="str">
        <f t="shared" si="493"/>
        <v/>
      </c>
      <c r="R591" s="130"/>
      <c r="S591" s="128"/>
      <c r="T591" s="131"/>
      <c r="U591" s="132">
        <v>203</v>
      </c>
      <c r="V591" s="121">
        <v>218.2</v>
      </c>
      <c r="W591" s="116">
        <v>0.98</v>
      </c>
      <c r="X591" s="116">
        <v>1.66</v>
      </c>
      <c r="Y591" s="116">
        <f t="shared" si="463"/>
        <v>1.0306639635073491</v>
      </c>
      <c r="Z591" s="133">
        <v>1.454</v>
      </c>
      <c r="AA591" s="133">
        <v>0.83599999999999997</v>
      </c>
      <c r="AB591" s="133">
        <v>0.72</v>
      </c>
      <c r="AC591" s="121">
        <v>34.299999999999997</v>
      </c>
      <c r="AD591" s="134">
        <v>1.17</v>
      </c>
      <c r="AE591" s="124">
        <v>177.8</v>
      </c>
      <c r="AF591" s="128">
        <v>9.19</v>
      </c>
      <c r="AG591" s="128">
        <v>2120</v>
      </c>
      <c r="AH591" s="127">
        <v>2984</v>
      </c>
      <c r="AI591" s="127">
        <v>2984</v>
      </c>
      <c r="AJ591" s="135">
        <v>44404</v>
      </c>
      <c r="AK591" s="128" t="s">
        <v>1018</v>
      </c>
      <c r="AL591" s="131"/>
      <c r="AM591" s="124" t="s">
        <v>232</v>
      </c>
      <c r="AN591" s="136" t="s">
        <v>2011</v>
      </c>
      <c r="AO591" s="137">
        <v>50.039999999999964</v>
      </c>
      <c r="AP591" s="128">
        <v>2120</v>
      </c>
      <c r="AQ591" s="128">
        <v>342.22</v>
      </c>
      <c r="AR591" s="128"/>
      <c r="AS591" s="128"/>
      <c r="AT591" s="122"/>
      <c r="AU591" s="124" t="s">
        <v>883</v>
      </c>
      <c r="AV591" s="115">
        <f>VLOOKUP(J591,'[63]ТР нефть'!$J$28:$BP$638,39,0)</f>
        <v>340</v>
      </c>
      <c r="AW591" s="115" t="str">
        <f>VLOOKUP(J591,'[63]ТР нефть'!$J$28:$BP$638,40,0)</f>
        <v>ГП</v>
      </c>
      <c r="AX591" s="115">
        <f>VLOOKUP(J591,'[63]ТР нефть'!$J$28:$BP$638,41,0)</f>
        <v>780</v>
      </c>
      <c r="AY591" s="115" t="str">
        <f>VLOOKUP(J591,'[63]ТР нефть'!$J$28:$BP$638,42,0)</f>
        <v>ГП</v>
      </c>
      <c r="AZ591" s="115">
        <f>VLOOKUP(J591,'[63]ТР нефть'!$J$28:$BP$638,43,0)</f>
        <v>1080</v>
      </c>
      <c r="BA591" s="115" t="str">
        <f>VLOOKUP(J591,'[63]ТР нефть'!$J$28:$BP$638,44,0)</f>
        <v>ГП</v>
      </c>
      <c r="BB591" s="115">
        <f>VLOOKUP(J591,'[63]ТР нефть'!$J$28:$BP$638,45,0)</f>
        <v>1370</v>
      </c>
      <c r="BC591" s="115" t="str">
        <f>VLOOKUP(J591,'[63]ТР нефть'!$J$28:$BP$638,46,0)</f>
        <v>ГП</v>
      </c>
      <c r="BD591" s="115">
        <f>VLOOKUP(J591,'[63]ТР нефть'!$J$28:$BP$638,47,0)</f>
        <v>1640</v>
      </c>
      <c r="BE591" s="115" t="str">
        <f>VLOOKUP(J591,'[63]ТР нефть'!$J$28:$BP$638,48,0)</f>
        <v>ГП</v>
      </c>
      <c r="BF591" s="115">
        <f>VLOOKUP(J591,'[63]ТР нефть'!$J$28:$BP$638,49,0)</f>
        <v>2000</v>
      </c>
      <c r="BG591" s="115" t="str">
        <f>VLOOKUP(J591,'[63]ТР нефть'!$J$28:$BP$638,50,0)</f>
        <v>ЦКсОК 5/16</v>
      </c>
      <c r="BH591" s="115" t="str">
        <f>VLOOKUP(J591,'[63]ТР нефть'!$J$28:$BP$638,51,0)</f>
        <v>-</v>
      </c>
      <c r="BI591" s="115" t="str">
        <f>VLOOKUP(J591,'[63]ТР нефть'!$J$28:$BP$638,52,0)</f>
        <v>-</v>
      </c>
      <c r="BJ591" s="115" t="str">
        <f>IF(IFERROR(VLOOKUP(J591,'[63]ТР нефть'!$J$28:$BP$638,53,0),"-")=0,"-",IFERROR(VLOOKUP(J591,'[63]ТР нефть'!$J$28:$BP$638,53,0),"-"))</f>
        <v>-</v>
      </c>
      <c r="BK591" s="138" t="s">
        <v>1813</v>
      </c>
      <c r="BL591" s="138" t="str">
        <f>IF(IFERROR(VLOOKUP(J591,'[63]ТР нефть'!$J$28:$BP$638,55,0),"-")=0,"-",IFERROR(VLOOKUP(J591,'[63]ТР нефть'!$J$28:$BP$638,55,0),"-"))</f>
        <v>-</v>
      </c>
      <c r="BM591" s="138">
        <f>IF(IFERROR(VLOOKUP(J591,'[63]ТР нефть'!$J$28:$BP$638,56,0),"-")=0,"-",IFERROR(VLOOKUP(J591,'[63]ТР нефть'!$J$28:$BP$638,56,0),"-"))</f>
        <v>1500</v>
      </c>
      <c r="BN591" s="138">
        <f>IF(IFERROR(VLOOKUP(J591,'[63]ТР нефть'!$J$28:$BP$638,57,0),"-")=0,"-",IFERROR(VLOOKUP(J591,'[63]ТР нефть'!$J$28:$BP$638,57,0),"-"))</f>
        <v>40</v>
      </c>
      <c r="BO591" s="115" t="str">
        <f>IF(IFERROR(VLOOKUP(J591,'[63]ТР нефть'!$J$28:$BP$638,58,0),"-")=0,"-",IFERROR(VLOOKUP(J591,'[63]ТР нефть'!$J$28:$BP$638,58,0),"-"))</f>
        <v>-</v>
      </c>
      <c r="BP591" s="115" t="str">
        <f>IF(IFERROR(VLOOKUP(J591,'[63]ТР нефть'!$J$28:$BP$638,59,0),"-")=0,"-",IFERROR(VLOOKUP(J591,'[63]ТР нефть'!$J$28:$BP$638,59,0),"-"))</f>
        <v>-</v>
      </c>
      <c r="BQ591" s="138">
        <v>1963</v>
      </c>
      <c r="BR591" s="128">
        <v>1685.1</v>
      </c>
      <c r="BS591" s="115">
        <v>284.89999999999998</v>
      </c>
      <c r="BT591" s="128">
        <v>73</v>
      </c>
      <c r="BU591" s="128">
        <v>5.5</v>
      </c>
      <c r="BV591" s="127">
        <v>65</v>
      </c>
      <c r="BW591" s="127" t="s">
        <v>217</v>
      </c>
      <c r="BX591" s="127" t="s">
        <v>218</v>
      </c>
      <c r="BY591" s="139">
        <v>0.75</v>
      </c>
      <c r="BZ591" s="139">
        <v>1.8</v>
      </c>
      <c r="CA591" s="138">
        <v>42</v>
      </c>
      <c r="CB591" s="138">
        <v>42</v>
      </c>
      <c r="CC591" s="138">
        <v>42</v>
      </c>
      <c r="CD591" s="135">
        <v>45017</v>
      </c>
      <c r="CE591" s="138">
        <v>131</v>
      </c>
      <c r="CF591" s="138"/>
      <c r="CG591" s="138" t="str">
        <f t="shared" si="494"/>
        <v/>
      </c>
      <c r="CH591" s="138" t="s">
        <v>197</v>
      </c>
      <c r="CI591" s="127"/>
      <c r="CJ591" s="138">
        <f>IF((BR591-(100*(CM591-CB591))/(9.8*(AB591+AA591)/2))&gt;0,BR591-(100*(CM591-CB591))/(9.8*(AB591+AA591)/2),0)</f>
        <v>1081.7738366297676</v>
      </c>
      <c r="CK591" s="138">
        <f t="shared" si="488"/>
        <v>53.037136791999998</v>
      </c>
      <c r="CL591" s="99"/>
      <c r="CM591" s="127">
        <v>88</v>
      </c>
      <c r="CN591" s="154">
        <f>IF(CM591=0,0,(((AP591-AQ591-BR591)*((AD591*(CQ591/100))+(AB591*((100-CQ591)/100)))*9.81/100+CM591)))</f>
        <v>95.037136791999998</v>
      </c>
      <c r="CO591" s="141">
        <f t="shared" si="442"/>
        <v>7.3568000000000007</v>
      </c>
      <c r="CP591" s="142">
        <v>10</v>
      </c>
      <c r="CQ591" s="143">
        <v>12</v>
      </c>
      <c r="CR591" s="138">
        <v>4</v>
      </c>
      <c r="CS591" s="139"/>
      <c r="CT591" s="138"/>
      <c r="CU591" s="138">
        <f t="shared" si="475"/>
        <v>4</v>
      </c>
      <c r="CV591" s="115">
        <f t="shared" si="476"/>
        <v>543.7146585471944</v>
      </c>
      <c r="CW591" s="115" t="str">
        <f t="shared" si="443"/>
        <v/>
      </c>
      <c r="CX591" s="133">
        <f t="shared" si="477"/>
        <v>0.27806462300186052</v>
      </c>
      <c r="CY591" s="116"/>
      <c r="CZ591" s="131"/>
      <c r="DA591" s="145" t="str">
        <f t="shared" si="478"/>
        <v>ЭЦН</v>
      </c>
      <c r="DB591" s="146">
        <f t="shared" si="468"/>
        <v>8.3265599999999989</v>
      </c>
      <c r="DC591" s="142">
        <f t="shared" si="469"/>
        <v>12</v>
      </c>
      <c r="DD591" s="119">
        <f t="shared" si="470"/>
        <v>17</v>
      </c>
      <c r="DE591" s="115">
        <f t="shared" si="471"/>
        <v>4</v>
      </c>
      <c r="DF591" s="121">
        <f t="shared" si="472"/>
        <v>0</v>
      </c>
      <c r="DG591" s="115">
        <f t="shared" si="446"/>
        <v>543.7146585471944</v>
      </c>
      <c r="DH591" s="115">
        <f t="shared" si="447"/>
        <v>95.037136791999998</v>
      </c>
      <c r="DI591" s="147"/>
      <c r="DJ591" s="111"/>
      <c r="DK591" s="112">
        <v>44427</v>
      </c>
      <c r="DL591" s="113">
        <f t="shared" ca="1" si="480"/>
        <v>677</v>
      </c>
      <c r="DM591" s="114"/>
      <c r="DN591" s="114"/>
      <c r="DO591" s="114"/>
      <c r="DP591" s="114"/>
      <c r="DQ591" s="112">
        <v>44427</v>
      </c>
      <c r="DR591" s="114" t="s">
        <v>324</v>
      </c>
      <c r="DS591" s="114"/>
      <c r="DT591" s="115">
        <v>60</v>
      </c>
      <c r="DU591" s="116">
        <f t="shared" si="481"/>
        <v>0.24041751134900169</v>
      </c>
      <c r="DV591" s="117">
        <f t="shared" si="484"/>
        <v>12.557795187195582</v>
      </c>
      <c r="DW591" s="118">
        <f t="shared" si="485"/>
        <v>17.06964330577912</v>
      </c>
      <c r="DX591" s="119">
        <f t="shared" si="486"/>
        <v>12</v>
      </c>
      <c r="DY591" s="115">
        <f t="shared" si="487"/>
        <v>6.8278573223116474</v>
      </c>
      <c r="DZ591" s="117">
        <f t="shared" si="482"/>
        <v>5.2009951871955815</v>
      </c>
      <c r="EA591" s="120">
        <f t="shared" si="482"/>
        <v>7.0696433057791204</v>
      </c>
      <c r="EB591" s="119">
        <f t="shared" si="482"/>
        <v>0</v>
      </c>
      <c r="EC591" s="121">
        <f t="shared" si="464"/>
        <v>2.8278573223116474</v>
      </c>
      <c r="ED591" s="122"/>
      <c r="EE591" s="145">
        <v>65</v>
      </c>
      <c r="EF591" s="115">
        <v>41</v>
      </c>
      <c r="EG591" s="115">
        <v>41</v>
      </c>
      <c r="EH591" s="115">
        <v>40</v>
      </c>
      <c r="EI591" s="128" t="s">
        <v>218</v>
      </c>
      <c r="EJ591" s="121">
        <v>3</v>
      </c>
      <c r="EK591" s="121">
        <v>21</v>
      </c>
      <c r="EL591" s="149">
        <v>8.3265599999999989</v>
      </c>
      <c r="EM591" s="142">
        <v>12</v>
      </c>
      <c r="EN591" s="119">
        <v>17</v>
      </c>
      <c r="EO591" s="115">
        <v>6</v>
      </c>
      <c r="EP591" s="115">
        <v>720.58569205049878</v>
      </c>
      <c r="EQ591" s="115">
        <v>0</v>
      </c>
      <c r="ER591" s="115">
        <v>0</v>
      </c>
      <c r="ES591" s="115">
        <v>92.241704722000009</v>
      </c>
      <c r="ET591" s="150">
        <v>0.30961114037467607</v>
      </c>
      <c r="EU591" s="145">
        <f t="shared" si="457"/>
        <v>65</v>
      </c>
      <c r="EV591" s="115">
        <f t="shared" si="448"/>
        <v>42</v>
      </c>
      <c r="EW591" s="115">
        <f t="shared" si="448"/>
        <v>42</v>
      </c>
      <c r="EX591" s="115">
        <f t="shared" si="448"/>
        <v>42</v>
      </c>
      <c r="EY591" s="115" t="str">
        <f t="shared" si="489"/>
        <v>Периодический</v>
      </c>
      <c r="EZ591" s="115">
        <f t="shared" si="489"/>
        <v>0.75</v>
      </c>
      <c r="FA591" s="115">
        <f t="shared" si="489"/>
        <v>1.8</v>
      </c>
      <c r="FB591" s="149">
        <f t="shared" si="461"/>
        <v>7.3568000000000007</v>
      </c>
      <c r="FC591" s="142">
        <f t="shared" si="461"/>
        <v>10</v>
      </c>
      <c r="FD591" s="119">
        <f t="shared" si="461"/>
        <v>12</v>
      </c>
      <c r="FE591" s="121">
        <f t="shared" si="460"/>
        <v>4</v>
      </c>
      <c r="FF591" s="121">
        <f t="shared" si="462"/>
        <v>543.7146585471944</v>
      </c>
      <c r="FG591" s="121">
        <f t="shared" si="449"/>
        <v>0</v>
      </c>
      <c r="FH591" s="121">
        <f t="shared" si="491"/>
        <v>0</v>
      </c>
      <c r="FI591" s="121">
        <f t="shared" si="483"/>
        <v>95.037136791999998</v>
      </c>
      <c r="FJ591" s="144">
        <f t="shared" si="450"/>
        <v>0.27806462300186052</v>
      </c>
      <c r="FK591" s="132">
        <f t="shared" si="451"/>
        <v>0</v>
      </c>
      <c r="FL591" s="115">
        <f t="shared" si="451"/>
        <v>1</v>
      </c>
      <c r="FM591" s="115">
        <f t="shared" si="451"/>
        <v>1</v>
      </c>
      <c r="FN591" s="115">
        <f t="shared" si="451"/>
        <v>2</v>
      </c>
      <c r="FO591" s="115">
        <f t="shared" si="492"/>
        <v>-2.25</v>
      </c>
      <c r="FP591" s="115">
        <f t="shared" si="492"/>
        <v>-19.2</v>
      </c>
      <c r="FQ591" s="149">
        <f t="shared" si="492"/>
        <v>-0.96975999999999818</v>
      </c>
      <c r="FR591" s="142">
        <f t="shared" si="492"/>
        <v>-2</v>
      </c>
      <c r="FS591" s="119">
        <f t="shared" si="492"/>
        <v>-5</v>
      </c>
      <c r="FT591" s="121">
        <f t="shared" si="438"/>
        <v>-2</v>
      </c>
      <c r="FU591" s="121">
        <f t="shared" si="452"/>
        <v>0</v>
      </c>
      <c r="FV591" s="121">
        <f t="shared" si="452"/>
        <v>0</v>
      </c>
      <c r="FW591" s="121">
        <f t="shared" si="453"/>
        <v>-176.87103350330437</v>
      </c>
      <c r="FX591" s="121">
        <f t="shared" si="454"/>
        <v>2.7954320699999897</v>
      </c>
      <c r="FY591" s="144">
        <f t="shared" si="454"/>
        <v>-3.1546517372815552E-2</v>
      </c>
      <c r="FZ591" s="145" t="s">
        <v>199</v>
      </c>
      <c r="GA591" s="151" t="s">
        <v>415</v>
      </c>
      <c r="GB591" s="145" t="s">
        <v>199</v>
      </c>
      <c r="GC591" s="151" t="s">
        <v>2012</v>
      </c>
      <c r="GD591" s="997" t="s">
        <v>220</v>
      </c>
      <c r="GE591" s="1004" t="s">
        <v>199</v>
      </c>
      <c r="GF591" s="1004">
        <v>2.6790455999999985</v>
      </c>
      <c r="GG591" s="1004"/>
      <c r="GH591" s="1004">
        <v>0.33648030240000093</v>
      </c>
      <c r="GI591" s="145" t="s">
        <v>199</v>
      </c>
      <c r="GJ591" s="996">
        <v>-3.075965902400001</v>
      </c>
      <c r="GK591" s="145"/>
      <c r="GL591" s="996">
        <v>0</v>
      </c>
      <c r="GM591" s="1005"/>
      <c r="GN591" s="996">
        <v>0</v>
      </c>
      <c r="GO591" s="1006"/>
      <c r="GP591" s="996">
        <v>0</v>
      </c>
      <c r="GQ591" s="1006" t="s">
        <v>199</v>
      </c>
      <c r="GR591" s="996">
        <v>-5.7948134199999988</v>
      </c>
      <c r="GS591" s="1006"/>
      <c r="GT591" s="996">
        <v>7.6353802799998149E-2</v>
      </c>
      <c r="GU591" s="1006" t="s">
        <v>223</v>
      </c>
      <c r="GV591" s="996">
        <v>-7.4926499999999976</v>
      </c>
      <c r="GW591" s="1006"/>
      <c r="GX591" s="996">
        <v>0</v>
      </c>
      <c r="GY591" s="1006" t="s">
        <v>223</v>
      </c>
      <c r="GZ591" s="996">
        <v>-7.1929440000000042</v>
      </c>
      <c r="HA591" s="1006"/>
      <c r="HB591" s="996">
        <v>0</v>
      </c>
      <c r="HC591" s="1006"/>
      <c r="HD591" s="996">
        <v>0</v>
      </c>
      <c r="HE591" s="1006" t="s">
        <v>199</v>
      </c>
      <c r="HF591" s="996">
        <v>-31.706762999999995</v>
      </c>
      <c r="HG591" s="1006" t="s">
        <v>363</v>
      </c>
      <c r="HH591" s="996">
        <v>-4.9668432000000067</v>
      </c>
      <c r="HI591" s="1006" t="s">
        <v>199</v>
      </c>
      <c r="HJ591" s="996">
        <v>16.107379200000004</v>
      </c>
      <c r="HK591" s="1006" t="s">
        <v>199</v>
      </c>
      <c r="HL591" s="996">
        <v>-9.1751835999999969</v>
      </c>
      <c r="HM591" s="1006"/>
      <c r="HN591" s="996">
        <v>0</v>
      </c>
      <c r="HO591" s="1006" t="s">
        <v>221</v>
      </c>
      <c r="HP591" s="996">
        <v>-17.811314400000001</v>
      </c>
      <c r="HQ591" s="1006" t="s">
        <v>203</v>
      </c>
      <c r="HR591" s="996">
        <v>21.427439088</v>
      </c>
      <c r="HS591" s="1006"/>
      <c r="HT591" s="996">
        <v>-0.17886780120000623</v>
      </c>
      <c r="HU591" s="1006" t="s">
        <v>25</v>
      </c>
      <c r="HV591" s="996">
        <v>30.311310713200001</v>
      </c>
      <c r="HW591" s="1006"/>
      <c r="HX591" s="996"/>
      <c r="HY591" s="1006"/>
      <c r="HZ591" s="996"/>
      <c r="IA591" s="1006"/>
      <c r="IB591" s="996"/>
      <c r="IC591" s="1006"/>
      <c r="ID591" s="996"/>
      <c r="IE591" s="1006"/>
      <c r="IF591" s="996"/>
      <c r="IG591" s="1006"/>
      <c r="IH591" s="996"/>
      <c r="II591" s="1006"/>
      <c r="IJ591" s="996"/>
      <c r="IK591" s="1006"/>
      <c r="IL591" s="996"/>
      <c r="IM591" s="1006"/>
      <c r="IN591" s="996"/>
      <c r="IO591" s="1006"/>
      <c r="IP591" s="996"/>
      <c r="IQ591" s="1006"/>
      <c r="IR591" s="996"/>
      <c r="IS591" s="1006"/>
      <c r="IT591" s="996"/>
      <c r="IU591" s="1006"/>
      <c r="IV591" s="996"/>
      <c r="IW591" s="1006"/>
      <c r="IX591" s="996"/>
      <c r="IY591" s="1006"/>
      <c r="IZ591" s="996"/>
      <c r="JA591" s="1006"/>
      <c r="JB591" s="996"/>
      <c r="JC591" s="1006"/>
      <c r="JD591" s="996"/>
      <c r="JE591" s="1006"/>
      <c r="JF591" s="996"/>
      <c r="JG591" s="1006"/>
      <c r="JH591" s="996"/>
      <c r="JI591" s="1006"/>
      <c r="JJ591" s="996"/>
      <c r="JK591" s="1007"/>
      <c r="JL591" s="1007"/>
      <c r="JM591" s="1007"/>
      <c r="JN591" s="1007"/>
      <c r="JO591" s="1008"/>
      <c r="JP591" s="1007"/>
      <c r="JQ591" s="1008"/>
      <c r="JR591" s="1007"/>
      <c r="JS591" s="1008"/>
      <c r="JT591" s="1007"/>
      <c r="JU591" s="1008"/>
      <c r="JV591" s="1007"/>
      <c r="JW591" s="1008"/>
      <c r="JX591" s="1007"/>
      <c r="JY591" s="1008"/>
      <c r="JZ591" s="1007"/>
      <c r="KA591" s="1008"/>
      <c r="KB591" s="1007"/>
      <c r="KC591" s="1008"/>
      <c r="KD591" s="1007"/>
      <c r="KE591" s="1008"/>
      <c r="KF591" s="1007"/>
      <c r="KG591" s="1008"/>
      <c r="KH591" s="1007"/>
      <c r="KI591" s="1008"/>
      <c r="KJ591" s="1007"/>
      <c r="KK591" s="1008"/>
      <c r="KL591" s="1007"/>
      <c r="KM591" s="1008"/>
      <c r="KN591" s="1007"/>
      <c r="KO591" s="1008"/>
      <c r="KP591" s="1007"/>
      <c r="KQ591" s="1008"/>
      <c r="KR591" s="1007"/>
      <c r="KS591" s="1008"/>
      <c r="KT591" s="1007"/>
      <c r="KU591" s="1008"/>
      <c r="KV591" s="1007"/>
      <c r="KW591" s="1008"/>
      <c r="KX591" s="1007"/>
      <c r="KY591" s="1008"/>
      <c r="KZ591" s="1007"/>
      <c r="LA591" s="1008"/>
      <c r="LB591" s="1007"/>
      <c r="LC591" s="1008"/>
      <c r="LD591" s="1007"/>
      <c r="LE591" s="1008"/>
      <c r="LF591" s="1007"/>
      <c r="LG591" s="1008"/>
      <c r="LH591" s="1007"/>
      <c r="LI591" s="1008"/>
      <c r="LJ591" s="1007"/>
      <c r="LK591" s="1008"/>
      <c r="LL591" s="1007"/>
      <c r="LM591" s="1008"/>
      <c r="LN591" s="1007"/>
      <c r="LO591" s="1008"/>
      <c r="LP591" s="1007"/>
      <c r="LQ591" s="1008"/>
      <c r="LR591" s="1007"/>
      <c r="LS591" s="1008"/>
      <c r="LT591" s="1007"/>
      <c r="LU591" s="1008"/>
      <c r="LV591" s="1007"/>
      <c r="LW591" s="1008"/>
      <c r="LX591" s="1007"/>
      <c r="LY591" s="1009"/>
      <c r="LZ591" s="1010"/>
      <c r="MA591" s="1011"/>
      <c r="MB591" s="1012"/>
      <c r="MC591" s="995"/>
      <c r="MD591" s="996"/>
      <c r="ME591" s="997" t="s">
        <v>220</v>
      </c>
      <c r="MF591" s="997"/>
      <c r="MG591" s="998"/>
      <c r="NR591" s="1000"/>
      <c r="NS591" s="1000"/>
      <c r="NT591" s="1001"/>
      <c r="NU591" s="1000"/>
      <c r="NV591" s="1001"/>
      <c r="NX591" s="1002"/>
      <c r="NZ591" s="1001"/>
      <c r="OA591" s="1001"/>
      <c r="OC591" s="1003"/>
      <c r="OD591" s="1003"/>
      <c r="OE591" s="1001"/>
      <c r="OF591" s="1003"/>
      <c r="OG591" s="1003"/>
      <c r="QX591" s="1000">
        <f>CN591-CA591</f>
        <v>53.037136791999998</v>
      </c>
      <c r="ASU591" s="999" t="s">
        <v>208</v>
      </c>
    </row>
    <row r="592" spans="1:466 1191:1191" ht="21" customHeight="1" x14ac:dyDescent="0.25">
      <c r="A592" s="982">
        <f t="shared" si="441"/>
        <v>3408</v>
      </c>
      <c r="B592" s="124">
        <f>SUBTOTAL(103,$J$29:J592)</f>
        <v>564</v>
      </c>
      <c r="C592" s="126">
        <v>45068</v>
      </c>
      <c r="D592" s="124" t="s">
        <v>176</v>
      </c>
      <c r="E592" s="127" t="s">
        <v>177</v>
      </c>
      <c r="F592" s="128" t="s">
        <v>177</v>
      </c>
      <c r="G592" s="127" t="s">
        <v>178</v>
      </c>
      <c r="H592" s="127" t="s">
        <v>179</v>
      </c>
      <c r="I592" s="127" t="s">
        <v>1817</v>
      </c>
      <c r="J592" s="152">
        <v>3408</v>
      </c>
      <c r="K592" s="127" t="s">
        <v>1817</v>
      </c>
      <c r="L592" s="130">
        <v>44386</v>
      </c>
      <c r="M592" s="127" t="s">
        <v>230</v>
      </c>
      <c r="N592" s="127" t="s">
        <v>1368</v>
      </c>
      <c r="O592" s="127" t="s">
        <v>185</v>
      </c>
      <c r="P592" s="127" t="s">
        <v>186</v>
      </c>
      <c r="Q592" s="85" t="str">
        <f t="shared" si="493"/>
        <v/>
      </c>
      <c r="R592" s="130"/>
      <c r="S592" s="128"/>
      <c r="T592" s="131"/>
      <c r="U592" s="132">
        <v>203</v>
      </c>
      <c r="V592" s="121">
        <v>218.2</v>
      </c>
      <c r="W592" s="116">
        <v>0.98</v>
      </c>
      <c r="X592" s="116">
        <v>1.66</v>
      </c>
      <c r="Y592" s="116">
        <f t="shared" si="463"/>
        <v>1.5936520376175547</v>
      </c>
      <c r="Z592" s="133">
        <v>1.454</v>
      </c>
      <c r="AA592" s="133">
        <v>0.83599999999999997</v>
      </c>
      <c r="AB592" s="133">
        <v>0.72</v>
      </c>
      <c r="AC592" s="121">
        <v>34.299999999999997</v>
      </c>
      <c r="AD592" s="134">
        <v>1.17</v>
      </c>
      <c r="AE592" s="124">
        <v>177.8</v>
      </c>
      <c r="AF592" s="128">
        <v>9.19</v>
      </c>
      <c r="AG592" s="128">
        <v>1921</v>
      </c>
      <c r="AH592" s="127">
        <v>2816</v>
      </c>
      <c r="AI592" s="127">
        <v>2816</v>
      </c>
      <c r="AJ592" s="135">
        <v>44364</v>
      </c>
      <c r="AK592" s="128" t="s">
        <v>1018</v>
      </c>
      <c r="AL592" s="131"/>
      <c r="AM592" s="124" t="s">
        <v>232</v>
      </c>
      <c r="AN592" s="136" t="s">
        <v>2013</v>
      </c>
      <c r="AO592" s="137">
        <v>73.346000000000004</v>
      </c>
      <c r="AP592" s="128">
        <v>1921</v>
      </c>
      <c r="AQ592" s="128">
        <v>165.74599999999987</v>
      </c>
      <c r="AR592" s="128"/>
      <c r="AS592" s="128"/>
      <c r="AT592" s="122"/>
      <c r="AU592" s="124" t="s">
        <v>883</v>
      </c>
      <c r="AV592" s="115">
        <f>VLOOKUP(J592,'[63]ТР нефть'!$J$28:$BP$638,39,0)</f>
        <v>330</v>
      </c>
      <c r="AW592" s="115" t="str">
        <f>VLOOKUP(J592,'[63]ТР нефть'!$J$28:$BP$638,40,0)</f>
        <v>ГП</v>
      </c>
      <c r="AX592" s="115">
        <f>VLOOKUP(J592,'[63]ТР нефть'!$J$28:$BP$638,41,0)</f>
        <v>740</v>
      </c>
      <c r="AY592" s="115" t="str">
        <f>VLOOKUP(J592,'[63]ТР нефть'!$J$28:$BP$638,42,0)</f>
        <v>ГП</v>
      </c>
      <c r="AZ592" s="115">
        <f>VLOOKUP(J592,'[63]ТР нефть'!$J$28:$BP$638,43,0)</f>
        <v>1010</v>
      </c>
      <c r="BA592" s="115" t="str">
        <f>VLOOKUP(J592,'[63]ТР нефть'!$J$28:$BP$638,44,0)</f>
        <v>ГП</v>
      </c>
      <c r="BB592" s="115">
        <f>VLOOKUP(J592,'[63]ТР нефть'!$J$28:$BP$638,45,0)</f>
        <v>1300</v>
      </c>
      <c r="BC592" s="115" t="str">
        <f>VLOOKUP(J592,'[63]ТР нефть'!$J$28:$BP$638,46,0)</f>
        <v>ГП</v>
      </c>
      <c r="BD592" s="115">
        <f>VLOOKUP(J592,'[63]ТР нефть'!$J$28:$BP$638,47,0)</f>
        <v>1510</v>
      </c>
      <c r="BE592" s="115" t="str">
        <f>VLOOKUP(J592,'[63]ТР нефть'!$J$28:$BP$638,48,0)</f>
        <v>ГК 81 5/32</v>
      </c>
      <c r="BF592" s="115">
        <f>VLOOKUP(J592,'[63]ТР нефть'!$J$28:$BP$638,49,0)</f>
        <v>1790</v>
      </c>
      <c r="BG592" s="115" t="str">
        <f>VLOOKUP(J592,'[63]ТР нефть'!$J$28:$BP$638,50,0)</f>
        <v>ЦКсОК 5/16</v>
      </c>
      <c r="BH592" s="115" t="str">
        <f>VLOOKUP(J592,'[63]ТР нефть'!$J$28:$BP$638,51,0)</f>
        <v>-</v>
      </c>
      <c r="BI592" s="115" t="str">
        <f>VLOOKUP(J592,'[63]ТР нефть'!$J$28:$BP$638,52,0)</f>
        <v>-</v>
      </c>
      <c r="BJ592" s="115" t="str">
        <f>IF(IFERROR(VLOOKUP(J592,'[63]ТР нефть'!$J$28:$BP$638,53,0),"-")=0,"-",IFERROR(VLOOKUP(J592,'[63]ТР нефть'!$J$28:$BP$638,53,0),"-"))</f>
        <v>-</v>
      </c>
      <c r="BK592" s="138" t="str">
        <f>IF(IFERROR(VLOOKUP(J592,'[63]ТР нефть'!$J$28:$BP$638,54,0),"-")=0,"-",IFERROR(VLOOKUP(J592,'[63]ТР нефть'!$J$28:$BP$638,54,0),"-"))</f>
        <v>D1050N</v>
      </c>
      <c r="BL592" s="138" t="str">
        <f>IF(IFERROR(VLOOKUP(J592,'[63]ТР нефть'!$J$28:$BP$638,55,0),"-")=0,"-",IFERROR(VLOOKUP(J592,'[63]ТР нефть'!$J$28:$BP$638,55,0),"-"))</f>
        <v>-</v>
      </c>
      <c r="BM592" s="138">
        <f>IF(IFERROR(VLOOKUP(J592,'[63]ТР нефть'!$J$28:$BP$638,56,0),"-")=0,"-",IFERROR(VLOOKUP(J592,'[63]ТР нефть'!$J$28:$BP$638,56,0),"-"))</f>
        <v>1338</v>
      </c>
      <c r="BN592" s="138">
        <f>IF(IFERROR(VLOOKUP(J592,'[63]ТР нефть'!$J$28:$BP$638,57,0),"-")=0,"-",IFERROR(VLOOKUP(J592,'[63]ТР нефть'!$J$28:$BP$638,57,0),"-"))</f>
        <v>49</v>
      </c>
      <c r="BO592" s="115">
        <f>IF(IFERROR(VLOOKUP(J592,'[63]ТР нефть'!$J$28:$BP$638,58,0),"-")=0,"-",IFERROR(VLOOKUP(J592,'[63]ТР нефть'!$J$28:$BP$638,58,0),"-"))</f>
        <v>42</v>
      </c>
      <c r="BP592" s="115" t="str">
        <f>IF(IFERROR(VLOOKUP(J592,'[63]ТР нефть'!$J$28:$BP$638,59,0),"-")=0,"-",IFERROR(VLOOKUP(J592,'[63]ТР нефть'!$J$28:$BP$638,59,0),"-"))</f>
        <v>-</v>
      </c>
      <c r="BQ592" s="138">
        <v>1760</v>
      </c>
      <c r="BR592" s="128">
        <v>1655</v>
      </c>
      <c r="BS592" s="115">
        <v>537</v>
      </c>
      <c r="BT592" s="128">
        <v>73</v>
      </c>
      <c r="BU592" s="128">
        <v>5.5</v>
      </c>
      <c r="BV592" s="127">
        <v>18</v>
      </c>
      <c r="BW592" s="127" t="s">
        <v>217</v>
      </c>
      <c r="BX592" s="127" t="s">
        <v>195</v>
      </c>
      <c r="BY592" s="139">
        <v>24</v>
      </c>
      <c r="BZ592" s="139">
        <v>0</v>
      </c>
      <c r="CA592" s="138">
        <v>42</v>
      </c>
      <c r="CB592" s="138">
        <v>41</v>
      </c>
      <c r="CC592" s="138">
        <v>41</v>
      </c>
      <c r="CD592" s="135">
        <v>45017</v>
      </c>
      <c r="CE592" s="138">
        <v>138</v>
      </c>
      <c r="CF592" s="138"/>
      <c r="CG592" s="138" t="str">
        <f t="shared" si="494"/>
        <v/>
      </c>
      <c r="CH592" s="138" t="s">
        <v>197</v>
      </c>
      <c r="CI592" s="127"/>
      <c r="CJ592" s="138">
        <f>IF((BR592-(100*(CM592-CB592))/(9.8*(AB592+AA592)/2))&gt;0,BR592-(100*(CM592-CB592))/(9.8*(AB592+AA592)/2),0)</f>
        <v>1405.8000629557737</v>
      </c>
      <c r="CK592" s="138">
        <f t="shared" si="488"/>
        <v>29.241310588200008</v>
      </c>
      <c r="CL592" s="99"/>
      <c r="CM592" s="127">
        <v>60</v>
      </c>
      <c r="CN592" s="154">
        <f>IF(CM592=0,0,(((AP592-AQ592-BR592)*((AD592*(CQ592/100))+(AB592*((100-CQ592)/100)))*9.81/100+CM592)))</f>
        <v>71.241310588200008</v>
      </c>
      <c r="CO592" s="141">
        <f t="shared" si="442"/>
        <v>6.7214400000000047</v>
      </c>
      <c r="CP592" s="142">
        <v>134</v>
      </c>
      <c r="CQ592" s="143">
        <v>94</v>
      </c>
      <c r="CR592" s="138">
        <v>14.9</v>
      </c>
      <c r="CS592" s="139"/>
      <c r="CT592" s="138"/>
      <c r="CU592" s="138">
        <f t="shared" si="475"/>
        <v>14.9</v>
      </c>
      <c r="CV592" s="115">
        <f t="shared" si="476"/>
        <v>2216.7868790021171</v>
      </c>
      <c r="CW592" s="115" t="str">
        <f t="shared" si="443"/>
        <v/>
      </c>
      <c r="CX592" s="133">
        <f t="shared" si="477"/>
        <v>2.0072293386921212</v>
      </c>
      <c r="CY592" s="116"/>
      <c r="CZ592" s="131"/>
      <c r="DA592" s="145" t="str">
        <f t="shared" si="478"/>
        <v>ЭЦН</v>
      </c>
      <c r="DB592" s="146">
        <f t="shared" si="468"/>
        <v>6.7214400000000047</v>
      </c>
      <c r="DC592" s="142">
        <f t="shared" si="469"/>
        <v>134</v>
      </c>
      <c r="DD592" s="119">
        <f t="shared" si="470"/>
        <v>94</v>
      </c>
      <c r="DE592" s="115">
        <f t="shared" si="471"/>
        <v>14.9</v>
      </c>
      <c r="DF592" s="121">
        <f t="shared" si="472"/>
        <v>0</v>
      </c>
      <c r="DG592" s="115">
        <f t="shared" si="446"/>
        <v>2216.7868790021171</v>
      </c>
      <c r="DH592" s="115">
        <f t="shared" si="447"/>
        <v>71.241310588200008</v>
      </c>
      <c r="DI592" s="147"/>
      <c r="DJ592" s="111"/>
      <c r="DK592" s="112">
        <v>44386</v>
      </c>
      <c r="DL592" s="113">
        <f t="shared" ca="1" si="480"/>
        <v>718</v>
      </c>
      <c r="DM592" s="114"/>
      <c r="DN592" s="114"/>
      <c r="DO592" s="114"/>
      <c r="DP592" s="114"/>
      <c r="DQ592" s="112">
        <v>44386</v>
      </c>
      <c r="DR592" s="114" t="s">
        <v>324</v>
      </c>
      <c r="DS592" s="114"/>
      <c r="DT592" s="115">
        <v>60</v>
      </c>
      <c r="DU592" s="116">
        <f t="shared" si="481"/>
        <v>1.8333333333333333</v>
      </c>
      <c r="DV592" s="117">
        <v>29.9</v>
      </c>
      <c r="DW592" s="118">
        <v>143</v>
      </c>
      <c r="DX592" s="119">
        <v>75</v>
      </c>
      <c r="DY592" s="115">
        <v>8</v>
      </c>
      <c r="DZ592" s="117">
        <f t="shared" si="482"/>
        <v>23.178559999999994</v>
      </c>
      <c r="EA592" s="120">
        <f t="shared" si="482"/>
        <v>9</v>
      </c>
      <c r="EB592" s="119">
        <f t="shared" si="482"/>
        <v>-19</v>
      </c>
      <c r="EC592" s="121">
        <f t="shared" si="464"/>
        <v>-6.9</v>
      </c>
      <c r="ED592" s="122"/>
      <c r="EE592" s="145">
        <v>18</v>
      </c>
      <c r="EF592" s="115">
        <v>41</v>
      </c>
      <c r="EG592" s="115">
        <v>41</v>
      </c>
      <c r="EH592" s="115">
        <v>40</v>
      </c>
      <c r="EI592" s="128" t="s">
        <v>195</v>
      </c>
      <c r="EJ592" s="121">
        <v>24</v>
      </c>
      <c r="EK592" s="121">
        <v>0</v>
      </c>
      <c r="EL592" s="149">
        <v>7.0015000000000001</v>
      </c>
      <c r="EM592" s="142">
        <v>134</v>
      </c>
      <c r="EN592" s="119">
        <v>93.75</v>
      </c>
      <c r="EO592" s="115">
        <v>14.9</v>
      </c>
      <c r="EP592" s="115">
        <v>2128.1154038420336</v>
      </c>
      <c r="EQ592" s="115">
        <v>0</v>
      </c>
      <c r="ER592" s="115">
        <v>0</v>
      </c>
      <c r="ES592" s="115">
        <v>75.230246306125011</v>
      </c>
      <c r="ET592" s="150">
        <v>2.1347861368631689</v>
      </c>
      <c r="EU592" s="145">
        <f t="shared" si="457"/>
        <v>18</v>
      </c>
      <c r="EV592" s="115">
        <f t="shared" si="448"/>
        <v>42</v>
      </c>
      <c r="EW592" s="115">
        <f t="shared" si="448"/>
        <v>41</v>
      </c>
      <c r="EX592" s="115">
        <f t="shared" si="448"/>
        <v>41</v>
      </c>
      <c r="EY592" s="115" t="str">
        <f t="shared" si="489"/>
        <v>Постоянный</v>
      </c>
      <c r="EZ592" s="115">
        <f t="shared" si="489"/>
        <v>24</v>
      </c>
      <c r="FA592" s="115">
        <f t="shared" si="489"/>
        <v>0</v>
      </c>
      <c r="FB592" s="149">
        <f t="shared" si="461"/>
        <v>6.7214400000000047</v>
      </c>
      <c r="FC592" s="142">
        <f t="shared" si="461"/>
        <v>134</v>
      </c>
      <c r="FD592" s="119">
        <f t="shared" si="461"/>
        <v>94</v>
      </c>
      <c r="FE592" s="121">
        <f t="shared" si="460"/>
        <v>14.9</v>
      </c>
      <c r="FF592" s="121">
        <f t="shared" si="462"/>
        <v>2216.7868790021171</v>
      </c>
      <c r="FG592" s="121">
        <f t="shared" si="449"/>
        <v>0</v>
      </c>
      <c r="FH592" s="121">
        <f t="shared" si="491"/>
        <v>0</v>
      </c>
      <c r="FI592" s="121">
        <f t="shared" si="483"/>
        <v>71.241310588200008</v>
      </c>
      <c r="FJ592" s="144">
        <f t="shared" si="450"/>
        <v>2.0072293386921212</v>
      </c>
      <c r="FK592" s="132">
        <f t="shared" si="451"/>
        <v>0</v>
      </c>
      <c r="FL592" s="115">
        <f t="shared" si="451"/>
        <v>1</v>
      </c>
      <c r="FM592" s="115">
        <f t="shared" si="451"/>
        <v>0</v>
      </c>
      <c r="FN592" s="115">
        <f t="shared" si="451"/>
        <v>1</v>
      </c>
      <c r="FO592" s="115">
        <f t="shared" si="492"/>
        <v>0</v>
      </c>
      <c r="FP592" s="115">
        <f t="shared" si="492"/>
        <v>0</v>
      </c>
      <c r="FQ592" s="149">
        <f t="shared" si="492"/>
        <v>-0.28005999999999531</v>
      </c>
      <c r="FR592" s="142">
        <f t="shared" si="492"/>
        <v>0</v>
      </c>
      <c r="FS592" s="119">
        <f t="shared" si="492"/>
        <v>0.25</v>
      </c>
      <c r="FT592" s="121">
        <f t="shared" si="438"/>
        <v>0</v>
      </c>
      <c r="FU592" s="121">
        <f t="shared" si="452"/>
        <v>0</v>
      </c>
      <c r="FV592" s="121">
        <f t="shared" si="452"/>
        <v>0</v>
      </c>
      <c r="FW592" s="121">
        <f t="shared" si="453"/>
        <v>88.671475160083446</v>
      </c>
      <c r="FX592" s="121">
        <f t="shared" si="454"/>
        <v>-3.9889357179250027</v>
      </c>
      <c r="FY592" s="144">
        <f t="shared" si="454"/>
        <v>-0.1275567981710477</v>
      </c>
      <c r="FZ592" s="145"/>
      <c r="GA592" s="151"/>
      <c r="GB592" s="145"/>
      <c r="GC592" s="151"/>
      <c r="GD592" s="997" t="s">
        <v>220</v>
      </c>
      <c r="GE592" s="1004"/>
      <c r="GF592" s="1004">
        <v>-4.702499999999965E-2</v>
      </c>
      <c r="GG592" s="1004"/>
      <c r="GH592" s="1004">
        <v>0</v>
      </c>
      <c r="GI592" s="145"/>
      <c r="GJ592" s="996">
        <v>0</v>
      </c>
      <c r="GK592" s="145"/>
      <c r="GL592" s="996">
        <v>-0.86160249999999916</v>
      </c>
      <c r="GM592" s="1005"/>
      <c r="GN592" s="996">
        <v>-0.61130409999999369</v>
      </c>
      <c r="GO592" s="1006"/>
      <c r="GP592" s="996">
        <v>0.7967915999999855</v>
      </c>
      <c r="GQ592" s="1006" t="s">
        <v>259</v>
      </c>
      <c r="GR592" s="996">
        <v>-12.640319999999992</v>
      </c>
      <c r="GS592" s="1006"/>
      <c r="GT592" s="996">
        <v>0</v>
      </c>
      <c r="GU592" s="1006" t="s">
        <v>146</v>
      </c>
      <c r="GV592" s="996">
        <v>1.2372799999999984</v>
      </c>
      <c r="GW592" s="1006" t="s">
        <v>2014</v>
      </c>
      <c r="GX592" s="996">
        <v>-11.720719999999989</v>
      </c>
      <c r="GY592" s="1006"/>
      <c r="GZ592" s="996">
        <v>-0.41799999999999926</v>
      </c>
      <c r="HA592" s="1006" t="s">
        <v>223</v>
      </c>
      <c r="HB592" s="996">
        <v>-3.7186951999999991</v>
      </c>
      <c r="HC592" s="1006" t="s">
        <v>886</v>
      </c>
      <c r="HD592" s="996">
        <v>7.4944055999999968</v>
      </c>
      <c r="HE592" s="1006" t="s">
        <v>308</v>
      </c>
      <c r="HF592" s="996">
        <v>26.654689599999994</v>
      </c>
      <c r="HG592" s="1006"/>
      <c r="HH592" s="996">
        <v>0</v>
      </c>
      <c r="HI592" s="1006"/>
      <c r="HJ592" s="996">
        <v>0</v>
      </c>
      <c r="HK592" s="1006" t="s">
        <v>199</v>
      </c>
      <c r="HL592" s="996">
        <v>-6.832460799999998</v>
      </c>
      <c r="HM592" s="1006"/>
      <c r="HN592" s="996">
        <v>0</v>
      </c>
      <c r="HO592" s="1006" t="s">
        <v>199</v>
      </c>
      <c r="HP592" s="996">
        <v>-3.081830400000003</v>
      </c>
      <c r="HQ592" s="1006"/>
      <c r="HR592" s="996">
        <v>-0.32755315999999901</v>
      </c>
      <c r="HS592" s="1006"/>
      <c r="HT592" s="996">
        <v>0</v>
      </c>
      <c r="HU592" s="1006" t="s">
        <v>199</v>
      </c>
      <c r="HV592" s="996">
        <v>-27.099767639999996</v>
      </c>
      <c r="HW592" s="1006" t="s">
        <v>25</v>
      </c>
      <c r="HX592" s="996">
        <v>38.177611999999996</v>
      </c>
      <c r="HY592" s="1006"/>
      <c r="HZ592" s="996"/>
      <c r="IA592" s="1006"/>
      <c r="IB592" s="996"/>
      <c r="IC592" s="1006"/>
      <c r="ID592" s="996"/>
      <c r="IE592" s="1006"/>
      <c r="IF592" s="996"/>
      <c r="IG592" s="1006"/>
      <c r="IH592" s="996"/>
      <c r="II592" s="1006"/>
      <c r="IJ592" s="996"/>
      <c r="IK592" s="1006"/>
      <c r="IL592" s="996"/>
      <c r="IM592" s="1006"/>
      <c r="IN592" s="996"/>
      <c r="IO592" s="1006"/>
      <c r="IP592" s="996"/>
      <c r="IQ592" s="1006"/>
      <c r="IR592" s="996"/>
      <c r="IS592" s="1006"/>
      <c r="IT592" s="996"/>
      <c r="IU592" s="1006"/>
      <c r="IV592" s="996"/>
      <c r="IW592" s="1006"/>
      <c r="IX592" s="996"/>
      <c r="IY592" s="1006"/>
      <c r="IZ592" s="996"/>
      <c r="JA592" s="1006"/>
      <c r="JB592" s="996"/>
      <c r="JC592" s="1006"/>
      <c r="JD592" s="996"/>
      <c r="JE592" s="1006"/>
      <c r="JF592" s="996"/>
      <c r="JG592" s="1006"/>
      <c r="JH592" s="996"/>
      <c r="JI592" s="1006"/>
      <c r="JJ592" s="996"/>
      <c r="JK592" s="1007"/>
      <c r="JL592" s="1007"/>
      <c r="JM592" s="1007"/>
      <c r="JN592" s="1007"/>
      <c r="JO592" s="1008"/>
      <c r="JP592" s="1007"/>
      <c r="JQ592" s="1008"/>
      <c r="JR592" s="1007"/>
      <c r="JS592" s="1008"/>
      <c r="JT592" s="1007"/>
      <c r="JU592" s="1008"/>
      <c r="JV592" s="1007"/>
      <c r="JW592" s="1008"/>
      <c r="JX592" s="1007"/>
      <c r="JY592" s="1008"/>
      <c r="JZ592" s="1007"/>
      <c r="KA592" s="1008"/>
      <c r="KB592" s="1007"/>
      <c r="KC592" s="1008"/>
      <c r="KD592" s="1007"/>
      <c r="KE592" s="1008"/>
      <c r="KF592" s="1007"/>
      <c r="KG592" s="1008"/>
      <c r="KH592" s="1007"/>
      <c r="KI592" s="1008"/>
      <c r="KJ592" s="1007"/>
      <c r="KK592" s="1008"/>
      <c r="KL592" s="1007"/>
      <c r="KM592" s="1008"/>
      <c r="KN592" s="1007"/>
      <c r="KO592" s="1008"/>
      <c r="KP592" s="1007"/>
      <c r="KQ592" s="1008"/>
      <c r="KR592" s="1007"/>
      <c r="KS592" s="1008"/>
      <c r="KT592" s="1007"/>
      <c r="KU592" s="1008"/>
      <c r="KV592" s="1007"/>
      <c r="KW592" s="1008"/>
      <c r="KX592" s="1007"/>
      <c r="KY592" s="1008"/>
      <c r="KZ592" s="1007"/>
      <c r="LA592" s="1008"/>
      <c r="LB592" s="1007"/>
      <c r="LC592" s="1008"/>
      <c r="LD592" s="1007"/>
      <c r="LE592" s="1008"/>
      <c r="LF592" s="1007"/>
      <c r="LG592" s="1008"/>
      <c r="LH592" s="1007"/>
      <c r="LI592" s="1008"/>
      <c r="LJ592" s="1007"/>
      <c r="LK592" s="1008"/>
      <c r="LL592" s="1007"/>
      <c r="LM592" s="1008"/>
      <c r="LN592" s="1007"/>
      <c r="LO592" s="1008"/>
      <c r="LP592" s="1007"/>
      <c r="LQ592" s="1008"/>
      <c r="LR592" s="1007"/>
      <c r="LS592" s="1008"/>
      <c r="LT592" s="1007"/>
      <c r="LU592" s="1008"/>
      <c r="LV592" s="1007"/>
      <c r="LW592" s="1008"/>
      <c r="LX592" s="1007"/>
      <c r="LY592" s="1009"/>
      <c r="LZ592" s="1010"/>
      <c r="MA592" s="1011"/>
      <c r="MB592" s="1012"/>
      <c r="MC592" s="995"/>
      <c r="MD592" s="996"/>
      <c r="ME592" s="997" t="s">
        <v>220</v>
      </c>
      <c r="MF592" s="997"/>
      <c r="MG592" s="998"/>
      <c r="NR592" s="1000"/>
      <c r="NS592" s="1000"/>
      <c r="NT592" s="1001"/>
      <c r="NU592" s="1000"/>
      <c r="NV592" s="1001"/>
      <c r="NX592" s="1002"/>
      <c r="NZ592" s="1001"/>
      <c r="OA592" s="1001"/>
      <c r="OC592" s="1003"/>
      <c r="OD592" s="1003"/>
      <c r="OE592" s="1001"/>
      <c r="OF592" s="1003"/>
      <c r="OG592" s="1003"/>
      <c r="OH592" s="1003"/>
      <c r="OI592" s="1016"/>
      <c r="QX592" s="1000">
        <f>CN592-CA592</f>
        <v>29.241310588200008</v>
      </c>
      <c r="ASU592" s="999" t="s">
        <v>208</v>
      </c>
    </row>
    <row r="593" spans="1:466 1191:1191" ht="21" customHeight="1" x14ac:dyDescent="0.25">
      <c r="A593" s="982">
        <f t="shared" si="441"/>
        <v>3409</v>
      </c>
      <c r="B593" s="124">
        <f>SUBTOTAL(103,$J$29:J593)</f>
        <v>565</v>
      </c>
      <c r="C593" s="126">
        <v>45068</v>
      </c>
      <c r="D593" s="124" t="s">
        <v>176</v>
      </c>
      <c r="E593" s="127" t="s">
        <v>177</v>
      </c>
      <c r="F593" s="128" t="s">
        <v>177</v>
      </c>
      <c r="G593" s="127" t="s">
        <v>178</v>
      </c>
      <c r="H593" s="127" t="s">
        <v>179</v>
      </c>
      <c r="I593" s="127" t="s">
        <v>1817</v>
      </c>
      <c r="J593" s="152">
        <v>3409</v>
      </c>
      <c r="K593" s="127" t="s">
        <v>1817</v>
      </c>
      <c r="L593" s="130">
        <v>44389</v>
      </c>
      <c r="M593" s="127" t="s">
        <v>230</v>
      </c>
      <c r="N593" s="127" t="s">
        <v>1368</v>
      </c>
      <c r="O593" s="127" t="s">
        <v>185</v>
      </c>
      <c r="P593" s="127" t="s">
        <v>186</v>
      </c>
      <c r="Q593" s="85" t="str">
        <f t="shared" si="493"/>
        <v/>
      </c>
      <c r="R593" s="130"/>
      <c r="S593" s="128"/>
      <c r="T593" s="131"/>
      <c r="U593" s="132">
        <v>203</v>
      </c>
      <c r="V593" s="121">
        <v>218.2</v>
      </c>
      <c r="W593" s="116">
        <v>0.98</v>
      </c>
      <c r="X593" s="116">
        <v>1.66</v>
      </c>
      <c r="Y593" s="116">
        <f t="shared" si="463"/>
        <v>1.5422828972317026</v>
      </c>
      <c r="Z593" s="133">
        <v>1.454</v>
      </c>
      <c r="AA593" s="133">
        <v>0.83599999999999997</v>
      </c>
      <c r="AB593" s="133">
        <v>0.72</v>
      </c>
      <c r="AC593" s="121">
        <v>34.299999999999997</v>
      </c>
      <c r="AD593" s="134">
        <v>1.17</v>
      </c>
      <c r="AE593" s="124">
        <v>177.8</v>
      </c>
      <c r="AF593" s="128">
        <v>9.1999999999999993</v>
      </c>
      <c r="AG593" s="128">
        <v>2018.35</v>
      </c>
      <c r="AH593" s="127">
        <v>2850</v>
      </c>
      <c r="AI593" s="127">
        <v>2850</v>
      </c>
      <c r="AJ593" s="135">
        <v>44318</v>
      </c>
      <c r="AK593" s="128" t="s">
        <v>1018</v>
      </c>
      <c r="AL593" s="131"/>
      <c r="AM593" s="124" t="s">
        <v>232</v>
      </c>
      <c r="AN593" s="136" t="s">
        <v>2015</v>
      </c>
      <c r="AO593" s="137">
        <v>87.23</v>
      </c>
      <c r="AP593" s="128">
        <v>2018.35</v>
      </c>
      <c r="AQ593" s="128">
        <v>271.02999999999997</v>
      </c>
      <c r="AR593" s="128"/>
      <c r="AS593" s="128"/>
      <c r="AT593" s="122"/>
      <c r="AU593" s="124" t="s">
        <v>883</v>
      </c>
      <c r="AV593" s="115">
        <f>VLOOKUP(J593,'[63]ТР нефть'!$J$28:$BP$638,39,0)</f>
        <v>480</v>
      </c>
      <c r="AW593" s="115" t="str">
        <f>VLOOKUP(J593,'[63]ТР нефть'!$J$28:$BP$638,40,0)</f>
        <v>ГП</v>
      </c>
      <c r="AX593" s="115" t="str">
        <f>VLOOKUP(J593,'[63]ТР нефть'!$J$28:$BP$638,41,0)</f>
        <v>-</v>
      </c>
      <c r="AY593" s="115" t="str">
        <f>VLOOKUP(J593,'[63]ТР нефть'!$J$28:$BP$638,42,0)</f>
        <v>-</v>
      </c>
      <c r="AZ593" s="115" t="str">
        <f>VLOOKUP(J593,'[63]ТР нефть'!$J$28:$BP$638,43,0)</f>
        <v>-</v>
      </c>
      <c r="BA593" s="115" t="str">
        <f>VLOOKUP(J593,'[63]ТР нефть'!$J$28:$BP$638,44,0)</f>
        <v>-</v>
      </c>
      <c r="BB593" s="115" t="str">
        <f>VLOOKUP(J593,'[63]ТР нефть'!$J$28:$BP$638,45,0)</f>
        <v>-</v>
      </c>
      <c r="BC593" s="115" t="str">
        <f>VLOOKUP(J593,'[63]ТР нефть'!$J$28:$BP$638,46,0)</f>
        <v>-</v>
      </c>
      <c r="BD593" s="115" t="str">
        <f>VLOOKUP(J593,'[63]ТР нефть'!$J$28:$BP$638,47,0)</f>
        <v>-</v>
      </c>
      <c r="BE593" s="115" t="str">
        <f>VLOOKUP(J593,'[63]ТР нефть'!$J$28:$BP$638,48,0)</f>
        <v>-</v>
      </c>
      <c r="BF593" s="115" t="str">
        <f>VLOOKUP(J593,'[63]ТР нефть'!$J$28:$BP$638,49,0)</f>
        <v>-</v>
      </c>
      <c r="BG593" s="115" t="str">
        <f>VLOOKUP(J593,'[63]ТР нефть'!$J$28:$BP$638,50,0)</f>
        <v>-</v>
      </c>
      <c r="BH593" s="115" t="str">
        <f>VLOOKUP(J593,'[63]ТР нефть'!$J$28:$BP$638,51,0)</f>
        <v>-</v>
      </c>
      <c r="BI593" s="115" t="str">
        <f>VLOOKUP(J593,'[63]ТР нефть'!$J$28:$BP$638,52,0)</f>
        <v>-</v>
      </c>
      <c r="BJ593" s="115" t="str">
        <f>IF(IFERROR(VLOOKUP(J593,'[63]ТР нефть'!$J$28:$BP$638,53,0),"-")=0,"-",IFERROR(VLOOKUP(J593,'[63]ТР нефть'!$J$28:$BP$638,53,0),"-"))</f>
        <v>-</v>
      </c>
      <c r="BK593" s="138" t="s">
        <v>1813</v>
      </c>
      <c r="BL593" s="138" t="str">
        <f>IF(IFERROR(VLOOKUP(J593,'[63]ТР нефть'!$J$28:$BP$638,55,0),"-")=0,"-",IFERROR(VLOOKUP(J593,'[63]ТР нефть'!$J$28:$BP$638,55,0),"-"))</f>
        <v>-</v>
      </c>
      <c r="BM593" s="138">
        <f>IF(IFERROR(VLOOKUP(J593,'[63]ТР нефть'!$J$28:$BP$638,56,0),"-")=0,"-",IFERROR(VLOOKUP(J593,'[63]ТР нефть'!$J$28:$BP$638,56,0),"-"))</f>
        <v>1855</v>
      </c>
      <c r="BN593" s="138">
        <f>IF(IFERROR(VLOOKUP(J593,'[63]ТР нефть'!$J$28:$BP$638,57,0),"-")=0,"-",IFERROR(VLOOKUP(J593,'[63]ТР нефть'!$J$28:$BP$638,57,0),"-"))</f>
        <v>63</v>
      </c>
      <c r="BO593" s="115">
        <f>IF(IFERROR(VLOOKUP(J593,'[63]ТР нефть'!$J$28:$BP$638,58,0),"-")=0,"-",IFERROR(VLOOKUP(J593,'[63]ТР нефть'!$J$28:$BP$638,58,0),"-"))</f>
        <v>39</v>
      </c>
      <c r="BP593" s="115" t="str">
        <f>IF(IFERROR(VLOOKUP(J593,'[63]ТР нефть'!$J$28:$BP$638,59,0),"-")=0,"-",IFERROR(VLOOKUP(J593,'[63]ТР нефть'!$J$28:$BP$638,59,0),"-"))</f>
        <v>-</v>
      </c>
      <c r="BQ593" s="138">
        <v>1855</v>
      </c>
      <c r="BR593" s="128">
        <v>1643.44</v>
      </c>
      <c r="BS593" s="115">
        <v>206.55999999999995</v>
      </c>
      <c r="BT593" s="128">
        <v>73</v>
      </c>
      <c r="BU593" s="128">
        <v>5.5</v>
      </c>
      <c r="BV593" s="127">
        <v>18</v>
      </c>
      <c r="BW593" s="127" t="s">
        <v>217</v>
      </c>
      <c r="BX593" s="127" t="s">
        <v>218</v>
      </c>
      <c r="BY593" s="139">
        <v>7</v>
      </c>
      <c r="BZ593" s="139">
        <v>17</v>
      </c>
      <c r="CA593" s="138">
        <v>42</v>
      </c>
      <c r="CB593" s="138">
        <v>41</v>
      </c>
      <c r="CC593" s="138">
        <v>41</v>
      </c>
      <c r="CD593" s="135">
        <v>45017</v>
      </c>
      <c r="CE593" s="138">
        <v>156</v>
      </c>
      <c r="CF593" s="138"/>
      <c r="CG593" s="138" t="str">
        <f t="shared" si="494"/>
        <v/>
      </c>
      <c r="CH593" s="138" t="s">
        <v>197</v>
      </c>
      <c r="CI593" s="127"/>
      <c r="CJ593" s="138"/>
      <c r="CK593" s="138">
        <f>CN593-CA593</f>
        <v>32</v>
      </c>
      <c r="CL593" s="99">
        <v>1305</v>
      </c>
      <c r="CM593" s="178"/>
      <c r="CN593" s="154">
        <v>74</v>
      </c>
      <c r="CO593" s="141">
        <f t="shared" si="442"/>
        <v>3.5864399999999992</v>
      </c>
      <c r="CP593" s="142">
        <v>39</v>
      </c>
      <c r="CQ593" s="143">
        <v>89</v>
      </c>
      <c r="CR593" s="138">
        <v>5.5</v>
      </c>
      <c r="CS593" s="139"/>
      <c r="CT593" s="138"/>
      <c r="CU593" s="138">
        <f t="shared" si="475"/>
        <v>5.5</v>
      </c>
      <c r="CV593" s="115">
        <f t="shared" si="476"/>
        <v>1533.5541651331127</v>
      </c>
      <c r="CW593" s="115" t="str">
        <f t="shared" si="443"/>
        <v/>
      </c>
      <c r="CX593" s="133">
        <f t="shared" si="477"/>
        <v>0.47560975609756095</v>
      </c>
      <c r="CY593" s="116"/>
      <c r="CZ593" s="131"/>
      <c r="DA593" s="145" t="str">
        <f t="shared" si="478"/>
        <v>ЭЦН</v>
      </c>
      <c r="DB593" s="146">
        <f t="shared" si="468"/>
        <v>3.5864399999999992</v>
      </c>
      <c r="DC593" s="142">
        <f t="shared" si="469"/>
        <v>39</v>
      </c>
      <c r="DD593" s="119">
        <f t="shared" si="470"/>
        <v>89</v>
      </c>
      <c r="DE593" s="115">
        <f t="shared" si="471"/>
        <v>5.5</v>
      </c>
      <c r="DF593" s="121">
        <f t="shared" si="472"/>
        <v>0</v>
      </c>
      <c r="DG593" s="115">
        <f t="shared" si="446"/>
        <v>1533.5541651331127</v>
      </c>
      <c r="DH593" s="115">
        <f t="shared" si="447"/>
        <v>74</v>
      </c>
      <c r="DI593" s="147"/>
      <c r="DJ593" s="111"/>
      <c r="DK593" s="112">
        <v>44389</v>
      </c>
      <c r="DL593" s="113">
        <f t="shared" ca="1" si="480"/>
        <v>715</v>
      </c>
      <c r="DM593" s="114"/>
      <c r="DN593" s="114"/>
      <c r="DO593" s="114"/>
      <c r="DP593" s="114"/>
      <c r="DQ593" s="112">
        <v>44389</v>
      </c>
      <c r="DR593" s="114" t="s">
        <v>324</v>
      </c>
      <c r="DS593" s="114"/>
      <c r="DT593" s="115">
        <v>60</v>
      </c>
      <c r="DU593" s="116">
        <f t="shared" si="481"/>
        <v>0.45085683198839427</v>
      </c>
      <c r="DV593" s="117">
        <f>DW593*(1-DX593/100)*$AA593</f>
        <v>3.9802362498866617</v>
      </c>
      <c r="DW593" s="118">
        <f>IF(DT593&lt;CN593,IF(MQ593=1,CP593,(1-0.2*(DT593/CE593)-0.8*(DT593/CE593)^2)*(CP593/(1-0.2*(CN593/CE593)-0.8*(CN593/CE593)^2))),CP593)</f>
        <v>43.282255870885848</v>
      </c>
      <c r="DX593" s="119">
        <f>CQ593</f>
        <v>89</v>
      </c>
      <c r="DY593" s="115">
        <f>(CV593*DV593)/1000</f>
        <v>6.1039078792274912</v>
      </c>
      <c r="DZ593" s="117">
        <f t="shared" si="482"/>
        <v>0.39379624988666251</v>
      </c>
      <c r="EA593" s="120">
        <f t="shared" si="482"/>
        <v>4.282255870885848</v>
      </c>
      <c r="EB593" s="119">
        <f t="shared" si="482"/>
        <v>0</v>
      </c>
      <c r="EC593" s="121">
        <f t="shared" si="464"/>
        <v>0.60390787922749123</v>
      </c>
      <c r="ED593" s="122"/>
      <c r="EE593" s="145">
        <v>18</v>
      </c>
      <c r="EF593" s="115">
        <v>41</v>
      </c>
      <c r="EG593" s="115">
        <v>41</v>
      </c>
      <c r="EH593" s="115">
        <v>40</v>
      </c>
      <c r="EI593" s="128" t="s">
        <v>218</v>
      </c>
      <c r="EJ593" s="121">
        <v>7</v>
      </c>
      <c r="EK593" s="121">
        <v>17</v>
      </c>
      <c r="EL593" s="149">
        <v>3.0346799999999994</v>
      </c>
      <c r="EM593" s="142">
        <v>33</v>
      </c>
      <c r="EN593" s="119">
        <v>89</v>
      </c>
      <c r="EO593" s="115">
        <v>5.5</v>
      </c>
      <c r="EP593" s="115">
        <v>1812.3821951573152</v>
      </c>
      <c r="EQ593" s="115">
        <v>0</v>
      </c>
      <c r="ER593" s="115">
        <v>0</v>
      </c>
      <c r="ES593" s="115">
        <v>74.418598673999981</v>
      </c>
      <c r="ET593" s="150">
        <v>0.40450396124150528</v>
      </c>
      <c r="EU593" s="145">
        <f t="shared" si="457"/>
        <v>18</v>
      </c>
      <c r="EV593" s="115">
        <f t="shared" si="448"/>
        <v>42</v>
      </c>
      <c r="EW593" s="115">
        <f t="shared" si="448"/>
        <v>41</v>
      </c>
      <c r="EX593" s="115">
        <f t="shared" si="448"/>
        <v>41</v>
      </c>
      <c r="EY593" s="115" t="str">
        <f t="shared" si="489"/>
        <v>Периодический</v>
      </c>
      <c r="EZ593" s="115">
        <f t="shared" si="489"/>
        <v>7</v>
      </c>
      <c r="FA593" s="115">
        <f t="shared" si="489"/>
        <v>17</v>
      </c>
      <c r="FB593" s="149">
        <f t="shared" si="461"/>
        <v>3.5864399999999992</v>
      </c>
      <c r="FC593" s="142">
        <f t="shared" si="461"/>
        <v>39</v>
      </c>
      <c r="FD593" s="119">
        <f t="shared" si="461"/>
        <v>89</v>
      </c>
      <c r="FE593" s="121">
        <f t="shared" si="460"/>
        <v>5.5</v>
      </c>
      <c r="FF593" s="121">
        <f t="shared" si="462"/>
        <v>1533.5541651331127</v>
      </c>
      <c r="FG593" s="121">
        <f t="shared" si="449"/>
        <v>0</v>
      </c>
      <c r="FH593" s="121">
        <f t="shared" si="491"/>
        <v>0</v>
      </c>
      <c r="FI593" s="121">
        <f t="shared" si="483"/>
        <v>74</v>
      </c>
      <c r="FJ593" s="144">
        <f t="shared" si="450"/>
        <v>0.47560975609756095</v>
      </c>
      <c r="FK593" s="132">
        <f t="shared" si="451"/>
        <v>0</v>
      </c>
      <c r="FL593" s="115">
        <f t="shared" si="451"/>
        <v>1</v>
      </c>
      <c r="FM593" s="115">
        <f t="shared" si="451"/>
        <v>0</v>
      </c>
      <c r="FN593" s="115">
        <f t="shared" si="451"/>
        <v>1</v>
      </c>
      <c r="FO593" s="115">
        <f t="shared" si="492"/>
        <v>0</v>
      </c>
      <c r="FP593" s="115">
        <f t="shared" si="492"/>
        <v>0</v>
      </c>
      <c r="FQ593" s="149">
        <f t="shared" si="492"/>
        <v>0.55175999999999981</v>
      </c>
      <c r="FR593" s="142">
        <f t="shared" si="492"/>
        <v>6</v>
      </c>
      <c r="FS593" s="119">
        <f t="shared" si="492"/>
        <v>0</v>
      </c>
      <c r="FT593" s="121">
        <f t="shared" si="438"/>
        <v>0</v>
      </c>
      <c r="FU593" s="121">
        <f t="shared" si="452"/>
        <v>0</v>
      </c>
      <c r="FV593" s="121">
        <f t="shared" si="452"/>
        <v>0</v>
      </c>
      <c r="FW593" s="121">
        <f t="shared" si="453"/>
        <v>-278.82803002420246</v>
      </c>
      <c r="FX593" s="121">
        <f t="shared" si="454"/>
        <v>-0.41859867399998052</v>
      </c>
      <c r="FY593" s="144">
        <f t="shared" si="454"/>
        <v>7.1105794856055671E-2</v>
      </c>
      <c r="FZ593" s="1052"/>
      <c r="GA593" s="151"/>
      <c r="GB593" s="1052" t="s">
        <v>199</v>
      </c>
      <c r="GC593" s="151" t="s">
        <v>1093</v>
      </c>
      <c r="GD593" s="997" t="s">
        <v>220</v>
      </c>
      <c r="GE593" s="1004" t="s">
        <v>199</v>
      </c>
      <c r="GF593" s="1004">
        <v>-1.1035200000000001</v>
      </c>
      <c r="GG593" s="1004" t="s">
        <v>223</v>
      </c>
      <c r="GH593" s="1004">
        <v>-6.2975879999999975</v>
      </c>
      <c r="GI593" s="1052"/>
      <c r="GJ593" s="996">
        <v>-4.7651999999999362E-2</v>
      </c>
      <c r="GK593" s="1052"/>
      <c r="GL593" s="996">
        <v>-0.71795679999999962</v>
      </c>
      <c r="GM593" s="1005"/>
      <c r="GN593" s="996">
        <v>0.25815679999999297</v>
      </c>
      <c r="GO593" s="1006"/>
      <c r="GP593" s="996">
        <v>0</v>
      </c>
      <c r="GQ593" s="1006"/>
      <c r="GR593" s="996">
        <v>0</v>
      </c>
      <c r="GS593" s="1006"/>
      <c r="GT593" s="996">
        <v>-0.32185999999999915</v>
      </c>
      <c r="GU593" s="1006" t="s">
        <v>223</v>
      </c>
      <c r="GV593" s="996">
        <v>-3.0305000000000017</v>
      </c>
      <c r="GW593" s="1006" t="s">
        <v>223</v>
      </c>
      <c r="GX593" s="996">
        <v>-1.3543200000000013</v>
      </c>
      <c r="GY593" s="1006" t="s">
        <v>223</v>
      </c>
      <c r="GZ593" s="996">
        <v>-2.1401599999999874</v>
      </c>
      <c r="HA593" s="1006"/>
      <c r="HB593" s="996">
        <v>-0.89452000000000353</v>
      </c>
      <c r="HC593" s="1006" t="s">
        <v>204</v>
      </c>
      <c r="HD593" s="996">
        <v>-3.4544088479999999</v>
      </c>
      <c r="HE593" s="1006" t="s">
        <v>146</v>
      </c>
      <c r="HF593" s="996">
        <v>-11.333762352000015</v>
      </c>
      <c r="HG593" s="1006" t="s">
        <v>223</v>
      </c>
      <c r="HH593" s="996">
        <v>-4.3411807999999894</v>
      </c>
      <c r="HI593" s="1006" t="s">
        <v>221</v>
      </c>
      <c r="HJ593" s="996">
        <v>25.244692000000004</v>
      </c>
      <c r="HK593" s="1006" t="s">
        <v>308</v>
      </c>
      <c r="HL593" s="996">
        <v>7.0014999999999965</v>
      </c>
      <c r="HM593" s="1006"/>
      <c r="HN593" s="996">
        <v>0</v>
      </c>
      <c r="HO593" s="1006"/>
      <c r="HP593" s="996">
        <v>0</v>
      </c>
      <c r="HQ593" s="1006" t="s">
        <v>199</v>
      </c>
      <c r="HR593" s="996">
        <v>1.7246813759999999</v>
      </c>
      <c r="HS593" s="1006"/>
      <c r="HT593" s="996">
        <v>0</v>
      </c>
      <c r="HU593" s="1006" t="s">
        <v>199</v>
      </c>
      <c r="HV593" s="996">
        <v>-25.488846552399995</v>
      </c>
      <c r="HW593" s="1006" t="s">
        <v>25</v>
      </c>
      <c r="HX593" s="996">
        <v>29.331925176399995</v>
      </c>
      <c r="HY593" s="1006"/>
      <c r="HZ593" s="996">
        <v>0</v>
      </c>
      <c r="IA593" s="1006"/>
      <c r="IB593" s="996">
        <v>0</v>
      </c>
      <c r="IC593" s="1006"/>
      <c r="ID593" s="996"/>
      <c r="IE593" s="1006"/>
      <c r="IF593" s="996"/>
      <c r="IG593" s="1006"/>
      <c r="IH593" s="996"/>
      <c r="II593" s="1006"/>
      <c r="IJ593" s="996"/>
      <c r="IK593" s="1006"/>
      <c r="IL593" s="996"/>
      <c r="IM593" s="1006"/>
      <c r="IN593" s="996"/>
      <c r="IO593" s="1006"/>
      <c r="IP593" s="996"/>
      <c r="IQ593" s="1006"/>
      <c r="IR593" s="996"/>
      <c r="IS593" s="1006"/>
      <c r="IT593" s="996"/>
      <c r="IU593" s="1006"/>
      <c r="IV593" s="996"/>
      <c r="IW593" s="1006"/>
      <c r="IX593" s="996"/>
      <c r="IY593" s="1006"/>
      <c r="IZ593" s="996"/>
      <c r="JA593" s="1006"/>
      <c r="JB593" s="996"/>
      <c r="JC593" s="1006"/>
      <c r="JD593" s="996"/>
      <c r="JE593" s="1006"/>
      <c r="JF593" s="996"/>
      <c r="JG593" s="1006"/>
      <c r="JH593" s="996"/>
      <c r="JI593" s="1006"/>
      <c r="JJ593" s="996"/>
      <c r="JK593" s="1007"/>
      <c r="JL593" s="1007"/>
      <c r="JM593" s="1007"/>
      <c r="JN593" s="1007"/>
      <c r="JO593" s="1008"/>
      <c r="JP593" s="1007"/>
      <c r="JQ593" s="1008"/>
      <c r="JR593" s="1007"/>
      <c r="JS593" s="1008"/>
      <c r="JT593" s="1007"/>
      <c r="JU593" s="1008"/>
      <c r="JV593" s="1007"/>
      <c r="JW593" s="1008"/>
      <c r="JX593" s="1007"/>
      <c r="JY593" s="1008"/>
      <c r="JZ593" s="1007"/>
      <c r="KA593" s="1008"/>
      <c r="KB593" s="1007"/>
      <c r="KC593" s="1008"/>
      <c r="KD593" s="1007"/>
      <c r="KE593" s="1008"/>
      <c r="KF593" s="1007"/>
      <c r="KG593" s="1008"/>
      <c r="KH593" s="1007"/>
      <c r="KI593" s="1008"/>
      <c r="KJ593" s="1007"/>
      <c r="KK593" s="1008"/>
      <c r="KL593" s="1007"/>
      <c r="KM593" s="1008"/>
      <c r="KN593" s="1007"/>
      <c r="KO593" s="1008"/>
      <c r="KP593" s="1007"/>
      <c r="KQ593" s="1008"/>
      <c r="KR593" s="1007"/>
      <c r="KS593" s="1008"/>
      <c r="KT593" s="1007"/>
      <c r="KU593" s="1008"/>
      <c r="KV593" s="1007"/>
      <c r="KW593" s="1008"/>
      <c r="KX593" s="1007"/>
      <c r="KY593" s="1008"/>
      <c r="KZ593" s="1007"/>
      <c r="LA593" s="1008"/>
      <c r="LB593" s="1007"/>
      <c r="LC593" s="1008"/>
      <c r="LD593" s="1007"/>
      <c r="LE593" s="1008"/>
      <c r="LF593" s="1007"/>
      <c r="LG593" s="1008"/>
      <c r="LH593" s="1007"/>
      <c r="LI593" s="1008"/>
      <c r="LJ593" s="1007"/>
      <c r="LK593" s="1008"/>
      <c r="LL593" s="1007"/>
      <c r="LM593" s="1008"/>
      <c r="LN593" s="1007"/>
      <c r="LO593" s="1008"/>
      <c r="LP593" s="1007"/>
      <c r="LQ593" s="1008"/>
      <c r="LR593" s="1007"/>
      <c r="LS593" s="1008"/>
      <c r="LT593" s="1007"/>
      <c r="LU593" s="1008"/>
      <c r="LV593" s="1007"/>
      <c r="LW593" s="1008"/>
      <c r="LX593" s="1007"/>
      <c r="LY593" s="1009"/>
      <c r="LZ593" s="1010"/>
      <c r="MA593" s="1011"/>
      <c r="MB593" s="1012"/>
      <c r="MC593" s="995"/>
      <c r="MD593" s="996"/>
      <c r="ME593" s="997" t="s">
        <v>220</v>
      </c>
      <c r="MF593" s="997"/>
      <c r="MG593" s="998"/>
      <c r="NR593" s="1000"/>
      <c r="NS593" s="1000"/>
      <c r="NT593" s="1001"/>
      <c r="NU593" s="1000"/>
      <c r="NV593" s="1001"/>
      <c r="NX593" s="1002"/>
      <c r="NZ593" s="1001"/>
      <c r="OA593" s="1001"/>
      <c r="OC593" s="1003"/>
      <c r="OD593" s="1003"/>
      <c r="OE593" s="1001"/>
      <c r="OF593" s="1003"/>
      <c r="OG593" s="1003"/>
      <c r="QX593" s="1000">
        <f>CN593-CA593</f>
        <v>32</v>
      </c>
      <c r="ASU593" s="999" t="s">
        <v>225</v>
      </c>
    </row>
    <row r="594" spans="1:466 1191:1191" ht="21" customHeight="1" x14ac:dyDescent="0.25">
      <c r="A594" s="982" t="str">
        <f t="shared" si="441"/>
        <v>3409-1</v>
      </c>
      <c r="B594" s="124">
        <f>SUBTOTAL(103,$J$29:J594)</f>
        <v>566</v>
      </c>
      <c r="C594" s="126">
        <v>45068</v>
      </c>
      <c r="D594" s="124" t="s">
        <v>176</v>
      </c>
      <c r="E594" s="127" t="s">
        <v>177</v>
      </c>
      <c r="F594" s="128" t="s">
        <v>177</v>
      </c>
      <c r="G594" s="127" t="s">
        <v>178</v>
      </c>
      <c r="H594" s="127" t="s">
        <v>179</v>
      </c>
      <c r="I594" s="127" t="s">
        <v>1817</v>
      </c>
      <c r="J594" s="152" t="s">
        <v>2016</v>
      </c>
      <c r="K594" s="127" t="s">
        <v>1817</v>
      </c>
      <c r="L594" s="130">
        <v>44466</v>
      </c>
      <c r="M594" s="127" t="s">
        <v>230</v>
      </c>
      <c r="N594" s="127" t="s">
        <v>1368</v>
      </c>
      <c r="O594" s="127" t="s">
        <v>185</v>
      </c>
      <c r="P594" s="127" t="s">
        <v>186</v>
      </c>
      <c r="Q594" s="85" t="str">
        <f t="shared" si="493"/>
        <v/>
      </c>
      <c r="R594" s="130"/>
      <c r="S594" s="128"/>
      <c r="T594" s="131"/>
      <c r="U594" s="132">
        <v>203</v>
      </c>
      <c r="V594" s="121">
        <v>218.2</v>
      </c>
      <c r="W594" s="116">
        <v>0.98</v>
      </c>
      <c r="X594" s="116">
        <v>1.66</v>
      </c>
      <c r="Y594" s="116">
        <f t="shared" si="463"/>
        <v>1.3863276123600292</v>
      </c>
      <c r="Z594" s="133">
        <v>1.454</v>
      </c>
      <c r="AA594" s="133">
        <v>0.83599999999999997</v>
      </c>
      <c r="AB594" s="133">
        <v>0.72</v>
      </c>
      <c r="AC594" s="121">
        <v>34.299999999999997</v>
      </c>
      <c r="AD594" s="134">
        <v>1.17</v>
      </c>
      <c r="AE594" s="124">
        <v>177.8</v>
      </c>
      <c r="AF594" s="128">
        <v>9.19</v>
      </c>
      <c r="AG594" s="128">
        <v>2258</v>
      </c>
      <c r="AH594" s="127">
        <v>3212</v>
      </c>
      <c r="AI594" s="127">
        <v>3212</v>
      </c>
      <c r="AJ594" s="135">
        <v>44427</v>
      </c>
      <c r="AK594" s="128" t="s">
        <v>1018</v>
      </c>
      <c r="AL594" s="131"/>
      <c r="AM594" s="124" t="s">
        <v>232</v>
      </c>
      <c r="AN594" s="136" t="s">
        <v>2017</v>
      </c>
      <c r="AO594" s="137">
        <v>34.398523187753199</v>
      </c>
      <c r="AP594" s="128">
        <v>2258</v>
      </c>
      <c r="AQ594" s="128">
        <v>471.05852318775328</v>
      </c>
      <c r="AR594" s="128"/>
      <c r="AS594" s="128"/>
      <c r="AT594" s="122"/>
      <c r="AU594" s="124" t="s">
        <v>883</v>
      </c>
      <c r="AV594" s="115">
        <f>VLOOKUP(J594,'[63]ТР нефть'!$J$28:$BP$638,39,0)</f>
        <v>460</v>
      </c>
      <c r="AW594" s="115" t="str">
        <f>VLOOKUP(J594,'[63]ТР нефть'!$J$28:$BP$638,40,0)</f>
        <v>ГК 73 5/32</v>
      </c>
      <c r="AX594" s="115">
        <f>VLOOKUP(J594,'[63]ТР нефть'!$J$28:$BP$638,41,0)</f>
        <v>890</v>
      </c>
      <c r="AY594" s="115" t="str">
        <f>VLOOKUP(J594,'[63]ТР нефть'!$J$28:$BP$638,42,0)</f>
        <v>ГП</v>
      </c>
      <c r="AZ594" s="115">
        <f>VLOOKUP(J594,'[63]ТР нефть'!$J$28:$BP$638,43,0)</f>
        <v>1280</v>
      </c>
      <c r="BA594" s="115" t="str">
        <f>VLOOKUP(J594,'[63]ТР нефть'!$J$28:$BP$638,44,0)</f>
        <v>ГК 79 1/8</v>
      </c>
      <c r="BB594" s="115">
        <f>VLOOKUP(J594,'[63]ТР нефть'!$J$28:$BP$638,45,0)</f>
        <v>1630</v>
      </c>
      <c r="BC594" s="115" t="str">
        <f>VLOOKUP(J594,'[63]ТР нефть'!$J$28:$BP$638,46,0)</f>
        <v>ГК 77 5/32</v>
      </c>
      <c r="BD594" s="115">
        <f>VLOOKUP(J594,'[63]ТР нефть'!$J$28:$BP$638,47,0)</f>
        <v>2090</v>
      </c>
      <c r="BE594" s="115" t="str">
        <f>VLOOKUP(J594,'[63]ТР нефть'!$J$28:$BP$638,48,0)</f>
        <v>ЦКсОК 5/16</v>
      </c>
      <c r="BF594" s="115" t="str">
        <f>VLOOKUP(J594,'[63]ТР нефть'!$J$28:$BP$638,49,0)</f>
        <v>-</v>
      </c>
      <c r="BG594" s="115" t="str">
        <f>VLOOKUP(J594,'[63]ТР нефть'!$J$28:$BP$638,50,0)</f>
        <v>-</v>
      </c>
      <c r="BH594" s="115" t="str">
        <f>VLOOKUP(J594,'[63]ТР нефть'!$J$28:$BP$638,51,0)</f>
        <v>-</v>
      </c>
      <c r="BI594" s="115" t="str">
        <f>VLOOKUP(J594,'[63]ТР нефть'!$J$28:$BP$638,52,0)</f>
        <v>-</v>
      </c>
      <c r="BJ594" s="115" t="str">
        <f>IF(IFERROR(VLOOKUP(J594,'[63]ТР нефть'!$J$28:$BP$638,53,0),"-")=0,"-",IFERROR(VLOOKUP(J594,'[63]ТР нефть'!$J$28:$BP$638,53,0),"-"))</f>
        <v>-</v>
      </c>
      <c r="BK594" s="138" t="str">
        <f>IF(IFERROR(VLOOKUP(J594,'[63]ТР нефть'!$J$28:$BP$638,54,0),"-")=0,"-",IFERROR(VLOOKUP(J594,'[63]ТР нефть'!$J$28:$BP$638,54,0),"-"))</f>
        <v>D1050N</v>
      </c>
      <c r="BL594" s="138" t="str">
        <f>IF(IFERROR(VLOOKUP(J594,'[63]ТР нефть'!$J$28:$BP$638,55,0),"-")=0,"-",IFERROR(VLOOKUP(J594,'[63]ТР нефть'!$J$28:$BP$638,55,0),"-"))</f>
        <v>-</v>
      </c>
      <c r="BM594" s="138">
        <f>IF(IFERROR(VLOOKUP(J594,'[63]ТР нефть'!$J$28:$BP$638,56,0),"-")=0,"-",IFERROR(VLOOKUP(J594,'[63]ТР нефть'!$J$28:$BP$638,56,0),"-"))</f>
        <v>1327</v>
      </c>
      <c r="BN594" s="138">
        <f>IF(IFERROR(VLOOKUP(J594,'[63]ТР нефть'!$J$28:$BP$638,57,0),"-")=0,"-",IFERROR(VLOOKUP(J594,'[63]ТР нефть'!$J$28:$BP$638,57,0),"-"))</f>
        <v>52</v>
      </c>
      <c r="BO594" s="115">
        <f>IF(IFERROR(VLOOKUP(J594,'[63]ТР нефть'!$J$28:$BP$638,58,0),"-")=0,"-",IFERROR(VLOOKUP(J594,'[63]ТР нефть'!$J$28:$BP$638,58,0),"-"))</f>
        <v>44</v>
      </c>
      <c r="BP594" s="115" t="str">
        <f>IF(IFERROR(VLOOKUP(J594,'[63]ТР нефть'!$J$28:$BP$638,59,0),"-")=0,"-",IFERROR(VLOOKUP(J594,'[63]ТР нефть'!$J$28:$BP$638,59,0),"-"))</f>
        <v>-</v>
      </c>
      <c r="BQ594" s="138">
        <v>2030</v>
      </c>
      <c r="BR594" s="128">
        <v>1654.72</v>
      </c>
      <c r="BS594" s="115">
        <v>379</v>
      </c>
      <c r="BT594" s="128">
        <v>73</v>
      </c>
      <c r="BU594" s="128">
        <v>5.5</v>
      </c>
      <c r="BV594" s="127">
        <v>65</v>
      </c>
      <c r="BW594" s="127" t="s">
        <v>217</v>
      </c>
      <c r="BX594" s="127" t="s">
        <v>218</v>
      </c>
      <c r="BY594" s="139">
        <v>4</v>
      </c>
      <c r="BZ594" s="139">
        <v>20</v>
      </c>
      <c r="CA594" s="138">
        <v>42</v>
      </c>
      <c r="CB594" s="138">
        <v>41</v>
      </c>
      <c r="CC594" s="138">
        <v>41</v>
      </c>
      <c r="CD594" s="135">
        <v>45017</v>
      </c>
      <c r="CE594" s="138">
        <v>168</v>
      </c>
      <c r="CF594" s="138"/>
      <c r="CG594" s="138" t="str">
        <f t="shared" si="494"/>
        <v/>
      </c>
      <c r="CH594" s="138" t="s">
        <v>197</v>
      </c>
      <c r="CI594" s="127"/>
      <c r="CJ594" s="138">
        <f>IF((BR594-(100*(CM594-CB594))/(9.8*(AB594+AA594)/2))&gt;0,BR594-(100*(CM594-CB594))/(9.8*(AB594+AA594)/2),0)</f>
        <v>1471.0989937568859</v>
      </c>
      <c r="CK594" s="138">
        <f t="shared" si="488"/>
        <v>26.515381530871338</v>
      </c>
      <c r="CL594" s="99"/>
      <c r="CM594" s="127">
        <v>55</v>
      </c>
      <c r="CN594" s="154">
        <f>IF(CM594=0,0,(((AP594-AQ594-BR594)*((AD594*(CQ594/100))+(AB594*((100-CQ594)/100)))*9.81/100+CM594)))</f>
        <v>68.515381530871338</v>
      </c>
      <c r="CO594" s="141">
        <f t="shared" si="442"/>
        <v>3.8054719999999995</v>
      </c>
      <c r="CP594" s="142">
        <v>16</v>
      </c>
      <c r="CQ594" s="143">
        <v>71.55</v>
      </c>
      <c r="CR594" s="138">
        <v>2.5</v>
      </c>
      <c r="CS594" s="139"/>
      <c r="CT594" s="138"/>
      <c r="CU594" s="138">
        <f t="shared" si="475"/>
        <v>2.5</v>
      </c>
      <c r="CV594" s="115">
        <f t="shared" si="476"/>
        <v>656.94873066994069</v>
      </c>
      <c r="CW594" s="115" t="str">
        <f t="shared" si="443"/>
        <v/>
      </c>
      <c r="CX594" s="133">
        <f t="shared" si="477"/>
        <v>0.16082888235596945</v>
      </c>
      <c r="CY594" s="116"/>
      <c r="CZ594" s="131"/>
      <c r="DA594" s="145" t="str">
        <f t="shared" si="478"/>
        <v>ЭЦН</v>
      </c>
      <c r="DB594" s="146">
        <f t="shared" si="468"/>
        <v>3.8054719999999995</v>
      </c>
      <c r="DC594" s="142">
        <f t="shared" si="469"/>
        <v>16</v>
      </c>
      <c r="DD594" s="119">
        <f t="shared" si="470"/>
        <v>71.55</v>
      </c>
      <c r="DE594" s="115">
        <f t="shared" si="471"/>
        <v>2.5</v>
      </c>
      <c r="DF594" s="121">
        <f t="shared" si="472"/>
        <v>0</v>
      </c>
      <c r="DG594" s="115">
        <f t="shared" si="446"/>
        <v>656.94873066994069</v>
      </c>
      <c r="DH594" s="115">
        <f t="shared" si="447"/>
        <v>68.515381530871338</v>
      </c>
      <c r="DI594" s="147"/>
      <c r="DJ594" s="111"/>
      <c r="DK594" s="112">
        <v>44466</v>
      </c>
      <c r="DL594" s="113">
        <f t="shared" ca="1" si="480"/>
        <v>638</v>
      </c>
      <c r="DM594" s="114"/>
      <c r="DN594" s="114"/>
      <c r="DO594" s="114"/>
      <c r="DP594" s="114"/>
      <c r="DQ594" s="112"/>
      <c r="DR594" s="114"/>
      <c r="DS594" s="114"/>
      <c r="DT594" s="115">
        <v>60</v>
      </c>
      <c r="DU594" s="116">
        <f t="shared" si="481"/>
        <v>0.70370370370370372</v>
      </c>
      <c r="DV594" s="117">
        <v>15.9</v>
      </c>
      <c r="DW594" s="118">
        <v>76</v>
      </c>
      <c r="DX594" s="119">
        <v>75</v>
      </c>
      <c r="DY594" s="115">
        <v>7</v>
      </c>
      <c r="DZ594" s="117">
        <f t="shared" si="482"/>
        <v>12.094528</v>
      </c>
      <c r="EA594" s="120">
        <f t="shared" si="482"/>
        <v>60</v>
      </c>
      <c r="EB594" s="119">
        <f t="shared" si="482"/>
        <v>3.4500000000000028</v>
      </c>
      <c r="EC594" s="121">
        <f t="shared" si="464"/>
        <v>4.5</v>
      </c>
      <c r="ED594" s="122"/>
      <c r="EE594" s="145">
        <v>65</v>
      </c>
      <c r="EF594" s="115">
        <v>41</v>
      </c>
      <c r="EG594" s="115">
        <v>41</v>
      </c>
      <c r="EH594" s="115">
        <v>40</v>
      </c>
      <c r="EI594" s="128" t="s">
        <v>218</v>
      </c>
      <c r="EJ594" s="121">
        <v>4</v>
      </c>
      <c r="EK594" s="121">
        <v>20</v>
      </c>
      <c r="EL594" s="149">
        <v>1.7600307999999998</v>
      </c>
      <c r="EM594" s="142">
        <v>7.4</v>
      </c>
      <c r="EN594" s="119">
        <v>71.55</v>
      </c>
      <c r="EO594" s="115">
        <v>2.5</v>
      </c>
      <c r="EP594" s="115">
        <v>1420.4296879350068</v>
      </c>
      <c r="EQ594" s="115">
        <v>0</v>
      </c>
      <c r="ER594" s="115">
        <v>0</v>
      </c>
      <c r="ES594" s="115">
        <v>74.515381530871338</v>
      </c>
      <c r="ET594" s="150">
        <v>7.9157407081291084E-2</v>
      </c>
      <c r="EU594" s="145">
        <f t="shared" si="457"/>
        <v>65</v>
      </c>
      <c r="EV594" s="115">
        <f t="shared" si="448"/>
        <v>42</v>
      </c>
      <c r="EW594" s="115">
        <f t="shared" si="448"/>
        <v>41</v>
      </c>
      <c r="EX594" s="115">
        <f t="shared" si="448"/>
        <v>41</v>
      </c>
      <c r="EY594" s="115" t="str">
        <f t="shared" si="489"/>
        <v>Периодический</v>
      </c>
      <c r="EZ594" s="115">
        <f t="shared" si="489"/>
        <v>4</v>
      </c>
      <c r="FA594" s="115">
        <f t="shared" si="489"/>
        <v>20</v>
      </c>
      <c r="FB594" s="149">
        <f t="shared" si="461"/>
        <v>3.8054719999999995</v>
      </c>
      <c r="FC594" s="142">
        <f t="shared" si="461"/>
        <v>16</v>
      </c>
      <c r="FD594" s="119">
        <f t="shared" si="461"/>
        <v>71.55</v>
      </c>
      <c r="FE594" s="121">
        <f t="shared" si="460"/>
        <v>2.5</v>
      </c>
      <c r="FF594" s="121">
        <f t="shared" si="462"/>
        <v>656.94873066994069</v>
      </c>
      <c r="FG594" s="121">
        <f t="shared" si="449"/>
        <v>0</v>
      </c>
      <c r="FH594" s="121">
        <f t="shared" si="491"/>
        <v>0</v>
      </c>
      <c r="FI594" s="121">
        <f t="shared" si="483"/>
        <v>68.515381530871338</v>
      </c>
      <c r="FJ594" s="144">
        <f t="shared" si="450"/>
        <v>0.16082888235596945</v>
      </c>
      <c r="FK594" s="132">
        <f t="shared" si="451"/>
        <v>0</v>
      </c>
      <c r="FL594" s="115">
        <f t="shared" si="451"/>
        <v>1</v>
      </c>
      <c r="FM594" s="115">
        <f t="shared" si="451"/>
        <v>0</v>
      </c>
      <c r="FN594" s="115">
        <f t="shared" si="451"/>
        <v>1</v>
      </c>
      <c r="FO594" s="115">
        <f t="shared" si="492"/>
        <v>0</v>
      </c>
      <c r="FP594" s="115">
        <f t="shared" si="492"/>
        <v>0</v>
      </c>
      <c r="FQ594" s="149">
        <f t="shared" si="492"/>
        <v>2.0454412</v>
      </c>
      <c r="FR594" s="142">
        <f t="shared" si="492"/>
        <v>8.6</v>
      </c>
      <c r="FS594" s="119">
        <f t="shared" si="492"/>
        <v>0</v>
      </c>
      <c r="FT594" s="121">
        <f t="shared" si="438"/>
        <v>0</v>
      </c>
      <c r="FU594" s="121">
        <f t="shared" si="452"/>
        <v>0</v>
      </c>
      <c r="FV594" s="121">
        <f t="shared" si="452"/>
        <v>0</v>
      </c>
      <c r="FW594" s="121">
        <f t="shared" si="453"/>
        <v>-763.48095726506608</v>
      </c>
      <c r="FX594" s="121">
        <f t="shared" si="454"/>
        <v>-6</v>
      </c>
      <c r="FY594" s="144">
        <f t="shared" si="454"/>
        <v>8.1671475274678371E-2</v>
      </c>
      <c r="FZ594" s="145" t="s">
        <v>199</v>
      </c>
      <c r="GA594" s="151" t="s">
        <v>1127</v>
      </c>
      <c r="GB594" s="145" t="s">
        <v>199</v>
      </c>
      <c r="GC594" s="151" t="s">
        <v>1093</v>
      </c>
      <c r="GD594" s="997" t="s">
        <v>220</v>
      </c>
      <c r="GE594" s="1004" t="s">
        <v>199</v>
      </c>
      <c r="GF594" s="1004">
        <v>-1.9845887600000001</v>
      </c>
      <c r="GG594" s="1004" t="s">
        <v>199</v>
      </c>
      <c r="GH594" s="1004">
        <v>1.3833626399999996</v>
      </c>
      <c r="GI594" s="145"/>
      <c r="GJ594" s="996">
        <v>-0.56050037999999969</v>
      </c>
      <c r="GK594" s="145"/>
      <c r="GL594" s="996">
        <v>-6.0503827999999871E-2</v>
      </c>
      <c r="GM594" s="1005"/>
      <c r="GN594" s="996">
        <v>-0.25478437599999948</v>
      </c>
      <c r="GO594" s="1006"/>
      <c r="GP594" s="996">
        <v>-4.8749668000014346E-3</v>
      </c>
      <c r="GQ594" s="1006"/>
      <c r="GR594" s="996">
        <v>-0.73743952919999955</v>
      </c>
      <c r="GS594" s="1006"/>
      <c r="GT594" s="996">
        <v>-0.78584000000000076</v>
      </c>
      <c r="GU594" s="1006" t="s">
        <v>223</v>
      </c>
      <c r="GV594" s="996">
        <v>-1.5817119999999996</v>
      </c>
      <c r="GW594" s="1006"/>
      <c r="GX594" s="996">
        <v>0</v>
      </c>
      <c r="GY594" s="1006" t="s">
        <v>223</v>
      </c>
      <c r="GZ594" s="996">
        <v>-15.379056000000002</v>
      </c>
      <c r="HA594" s="1006" t="s">
        <v>1382</v>
      </c>
      <c r="HB594" s="996">
        <v>20.889968000000003</v>
      </c>
      <c r="HC594" s="1006"/>
      <c r="HD594" s="996">
        <v>0</v>
      </c>
      <c r="HE594" s="1006"/>
      <c r="HF594" s="996">
        <v>0</v>
      </c>
      <c r="HG594" s="1006"/>
      <c r="HH594" s="996">
        <v>0</v>
      </c>
      <c r="HI594" s="1006"/>
      <c r="HJ594" s="996">
        <v>0</v>
      </c>
      <c r="HK594" s="1006" t="s">
        <v>199</v>
      </c>
      <c r="HL594" s="996">
        <v>-2.6654187999999999</v>
      </c>
      <c r="HM594" s="1006"/>
      <c r="HN594" s="996">
        <v>0</v>
      </c>
      <c r="HO594" s="1006"/>
      <c r="HP594" s="996">
        <v>7.7747999999995265E-3</v>
      </c>
      <c r="HQ594" s="1006" t="s">
        <v>349</v>
      </c>
      <c r="HR594" s="996">
        <v>-27.606356000000002</v>
      </c>
      <c r="HS594" s="1006" t="s">
        <v>25</v>
      </c>
      <c r="HT594" s="996">
        <v>31.1</v>
      </c>
      <c r="HU594" s="1006"/>
      <c r="HV594" s="996"/>
      <c r="HW594" s="1006"/>
      <c r="HX594" s="996"/>
      <c r="HY594" s="1006"/>
      <c r="HZ594" s="996"/>
      <c r="IA594" s="1006"/>
      <c r="IB594" s="996"/>
      <c r="IC594" s="1006"/>
      <c r="ID594" s="996"/>
      <c r="IE594" s="1006"/>
      <c r="IF594" s="996"/>
      <c r="IG594" s="1006"/>
      <c r="IH594" s="996"/>
      <c r="II594" s="1006"/>
      <c r="IJ594" s="996"/>
      <c r="IK594" s="1006"/>
      <c r="IL594" s="996"/>
      <c r="IM594" s="1006"/>
      <c r="IN594" s="996"/>
      <c r="IO594" s="1006"/>
      <c r="IP594" s="996"/>
      <c r="IQ594" s="1006"/>
      <c r="IR594" s="996"/>
      <c r="IS594" s="1006"/>
      <c r="IT594" s="996"/>
      <c r="IU594" s="1006"/>
      <c r="IV594" s="996"/>
      <c r="IW594" s="1006"/>
      <c r="IX594" s="996"/>
      <c r="IY594" s="1006"/>
      <c r="IZ594" s="996"/>
      <c r="JA594" s="1006"/>
      <c r="JB594" s="996"/>
      <c r="JC594" s="1006"/>
      <c r="JD594" s="996"/>
      <c r="JE594" s="1006"/>
      <c r="JF594" s="996"/>
      <c r="JG594" s="1006"/>
      <c r="JH594" s="996"/>
      <c r="JI594" s="1006"/>
      <c r="JJ594" s="996"/>
      <c r="JK594" s="1007"/>
      <c r="JL594" s="1007"/>
      <c r="JM594" s="1007"/>
      <c r="JN594" s="1007"/>
      <c r="JO594" s="1008"/>
      <c r="JP594" s="1007"/>
      <c r="JQ594" s="1008"/>
      <c r="JR594" s="1007"/>
      <c r="JS594" s="1008"/>
      <c r="JT594" s="1007"/>
      <c r="JU594" s="1008"/>
      <c r="JV594" s="1007"/>
      <c r="JW594" s="1008"/>
      <c r="JX594" s="1007"/>
      <c r="JY594" s="1008"/>
      <c r="JZ594" s="1007"/>
      <c r="KA594" s="1008"/>
      <c r="KB594" s="1007"/>
      <c r="KC594" s="1008"/>
      <c r="KD594" s="1007"/>
      <c r="KE594" s="1008"/>
      <c r="KF594" s="1007"/>
      <c r="KG594" s="1008"/>
      <c r="KH594" s="1007"/>
      <c r="KI594" s="1008"/>
      <c r="KJ594" s="1007"/>
      <c r="KK594" s="1008"/>
      <c r="KL594" s="1007"/>
      <c r="KM594" s="1008"/>
      <c r="KN594" s="1007"/>
      <c r="KO594" s="1008"/>
      <c r="KP594" s="1007"/>
      <c r="KQ594" s="1008"/>
      <c r="KR594" s="1007"/>
      <c r="KS594" s="1008"/>
      <c r="KT594" s="1007"/>
      <c r="KU594" s="1008"/>
      <c r="KV594" s="1007"/>
      <c r="KW594" s="1008"/>
      <c r="KX594" s="1007"/>
      <c r="KY594" s="1008"/>
      <c r="KZ594" s="1007"/>
      <c r="LA594" s="1008"/>
      <c r="LB594" s="1007"/>
      <c r="LC594" s="1008"/>
      <c r="LD594" s="1007"/>
      <c r="LE594" s="1008"/>
      <c r="LF594" s="1007"/>
      <c r="LG594" s="1008"/>
      <c r="LH594" s="1007"/>
      <c r="LI594" s="1008"/>
      <c r="LJ594" s="1007"/>
      <c r="LK594" s="1008"/>
      <c r="LL594" s="1007"/>
      <c r="LM594" s="1008"/>
      <c r="LN594" s="1007"/>
      <c r="LO594" s="1008"/>
      <c r="LP594" s="1007"/>
      <c r="LQ594" s="1008"/>
      <c r="LR594" s="1007"/>
      <c r="LS594" s="1008"/>
      <c r="LT594" s="1007"/>
      <c r="LU594" s="1008"/>
      <c r="LV594" s="1007"/>
      <c r="LW594" s="1008"/>
      <c r="LX594" s="1007"/>
      <c r="LY594" s="1009"/>
      <c r="LZ594" s="1010"/>
      <c r="MA594" s="1011"/>
      <c r="MB594" s="1012"/>
      <c r="MC594" s="995"/>
      <c r="MD594" s="996"/>
      <c r="ME594" s="997" t="s">
        <v>220</v>
      </c>
      <c r="MF594" s="997"/>
      <c r="MG594" s="998"/>
      <c r="NR594" s="1000"/>
      <c r="NS594" s="1000"/>
      <c r="NT594" s="1001"/>
      <c r="NU594" s="1000"/>
      <c r="NV594" s="1001"/>
      <c r="NX594" s="1002"/>
      <c r="NZ594" s="1001"/>
      <c r="OA594" s="1001"/>
      <c r="OC594" s="1003"/>
      <c r="OD594" s="1003"/>
      <c r="OE594" s="1001"/>
      <c r="OF594" s="1003"/>
      <c r="OG594" s="1003"/>
      <c r="QX594" s="1000">
        <f>CN594-CA594</f>
        <v>26.515381530871338</v>
      </c>
      <c r="ASU594" s="999" t="s">
        <v>225</v>
      </c>
    </row>
    <row r="595" spans="1:466 1191:1191" ht="21" customHeight="1" x14ac:dyDescent="0.25">
      <c r="A595" s="982">
        <f t="shared" si="441"/>
        <v>3410</v>
      </c>
      <c r="B595" s="124">
        <f>SUBTOTAL(103,$J$29:J595)</f>
        <v>567</v>
      </c>
      <c r="C595" s="126">
        <v>45068</v>
      </c>
      <c r="D595" s="124" t="s">
        <v>176</v>
      </c>
      <c r="E595" s="127" t="s">
        <v>177</v>
      </c>
      <c r="F595" s="128" t="s">
        <v>177</v>
      </c>
      <c r="G595" s="127" t="s">
        <v>178</v>
      </c>
      <c r="H595" s="127" t="s">
        <v>179</v>
      </c>
      <c r="I595" s="127" t="s">
        <v>1367</v>
      </c>
      <c r="J595" s="152">
        <v>3410</v>
      </c>
      <c r="K595" s="127" t="s">
        <v>1367</v>
      </c>
      <c r="L595" s="130">
        <v>44188</v>
      </c>
      <c r="M595" s="127" t="s">
        <v>230</v>
      </c>
      <c r="N595" s="127" t="s">
        <v>1368</v>
      </c>
      <c r="O595" s="127" t="s">
        <v>185</v>
      </c>
      <c r="P595" s="127" t="s">
        <v>292</v>
      </c>
      <c r="Q595" s="85" t="str">
        <f t="shared" si="493"/>
        <v/>
      </c>
      <c r="R595" s="130"/>
      <c r="S595" s="128"/>
      <c r="T595" s="131"/>
      <c r="U595" s="132">
        <v>203</v>
      </c>
      <c r="V595" s="121">
        <v>218.2</v>
      </c>
      <c r="W595" s="116">
        <v>0.98</v>
      </c>
      <c r="X595" s="116">
        <v>1.66</v>
      </c>
      <c r="Y595" s="116">
        <f t="shared" si="463"/>
        <v>0.98</v>
      </c>
      <c r="Z595" s="133">
        <v>1.454</v>
      </c>
      <c r="AA595" s="133">
        <v>0.83599999999999997</v>
      </c>
      <c r="AB595" s="133">
        <v>0.72</v>
      </c>
      <c r="AC595" s="121">
        <v>34.299999999999997</v>
      </c>
      <c r="AD595" s="134">
        <v>1.17</v>
      </c>
      <c r="AE595" s="124">
        <v>177.8</v>
      </c>
      <c r="AF595" s="128">
        <v>9.19</v>
      </c>
      <c r="AG595" s="128">
        <v>2043</v>
      </c>
      <c r="AH595" s="127">
        <v>2905</v>
      </c>
      <c r="AI595" s="127">
        <v>2905</v>
      </c>
      <c r="AJ595" s="135">
        <v>44188</v>
      </c>
      <c r="AK595" s="128"/>
      <c r="AL595" s="131"/>
      <c r="AM595" s="124" t="s">
        <v>232</v>
      </c>
      <c r="AN595" s="136" t="s">
        <v>2018</v>
      </c>
      <c r="AO595" s="137">
        <v>63.8</v>
      </c>
      <c r="AP595" s="128">
        <v>2043</v>
      </c>
      <c r="AQ595" s="128">
        <v>268.04000000000002</v>
      </c>
      <c r="AR595" s="128"/>
      <c r="AS595" s="128"/>
      <c r="AT595" s="122"/>
      <c r="AU595" s="124" t="s">
        <v>250</v>
      </c>
      <c r="AV595" s="115">
        <f>VLOOKUP(J595,'[63]ТР нефть'!$J$28:$BP$638,39,0)</f>
        <v>360</v>
      </c>
      <c r="AW595" s="115" t="str">
        <f>VLOOKUP(J595,'[63]ТР нефть'!$J$28:$BP$638,40,0)</f>
        <v>ГП</v>
      </c>
      <c r="AX595" s="115">
        <f>VLOOKUP(J595,'[63]ТР нефть'!$J$28:$BP$638,41,0)</f>
        <v>757</v>
      </c>
      <c r="AY595" s="115" t="str">
        <f>VLOOKUP(J595,'[63]ТР нефть'!$J$28:$BP$638,42,0)</f>
        <v>ГК77 1/8</v>
      </c>
      <c r="AZ595" s="115">
        <f>VLOOKUP(J595,'[63]ТР нефть'!$J$28:$BP$638,43,0)</f>
        <v>1059</v>
      </c>
      <c r="BA595" s="115" t="str">
        <f>VLOOKUP(J595,'[63]ТР нефть'!$J$28:$BP$638,44,0)</f>
        <v>ГК 79 1/8</v>
      </c>
      <c r="BB595" s="115">
        <f>VLOOKUP(J595,'[63]ТР нефть'!$J$28:$BP$638,45,0)</f>
        <v>1352</v>
      </c>
      <c r="BC595" s="115" t="str">
        <f>VLOOKUP(J595,'[63]ТР нефть'!$J$28:$BP$638,46,0)</f>
        <v>ГК 80 5/32</v>
      </c>
      <c r="BD595" s="115">
        <f>VLOOKUP(J595,'[63]ТР нефть'!$J$28:$BP$638,47,0)</f>
        <v>1570</v>
      </c>
      <c r="BE595" s="115" t="str">
        <f>VLOOKUP(J595,'[63]ТР нефть'!$J$28:$BP$638,48,0)</f>
        <v>ГК 79 5/32</v>
      </c>
      <c r="BF595" s="115">
        <f>VLOOKUP(J595,'[63]ТР нефть'!$J$28:$BP$638,49,0)</f>
        <v>1900</v>
      </c>
      <c r="BG595" s="115" t="str">
        <f>VLOOKUP(J595,'[63]ТР нефть'!$J$28:$BP$638,50,0)</f>
        <v>ЦКсОК 5/16</v>
      </c>
      <c r="BH595" s="115" t="str">
        <f>VLOOKUP(J595,'[63]ТР нефть'!$J$28:$BP$638,51,0)</f>
        <v>-</v>
      </c>
      <c r="BI595" s="115" t="str">
        <f>VLOOKUP(J595,'[63]ТР нефть'!$J$28:$BP$638,52,0)</f>
        <v>-</v>
      </c>
      <c r="BJ595" s="115" t="str">
        <f>IF(IFERROR(VLOOKUP(J595,'[63]ТР нефть'!$J$28:$BP$638,53,0),"-")=0,"-",IFERROR(VLOOKUP(J595,'[63]ТР нефть'!$J$28:$BP$638,53,0),"-"))</f>
        <v>-</v>
      </c>
      <c r="BK595" s="138" t="str">
        <f>IF(IFERROR(VLOOKUP(J595,'[63]ТР нефть'!$J$28:$BP$638,54,0),"-")=0,"-",IFERROR(VLOOKUP(J595,'[63]ТР нефть'!$J$28:$BP$638,54,0),"-"))</f>
        <v>-</v>
      </c>
      <c r="BL595" s="138" t="str">
        <f>IF(IFERROR(VLOOKUP(J595,'[63]ТР нефть'!$J$28:$BP$638,55,0),"-")=0,"-",IFERROR(VLOOKUP(J595,'[63]ТР нефть'!$J$28:$BP$638,55,0),"-"))</f>
        <v>-</v>
      </c>
      <c r="BM595" s="138" t="str">
        <f>IF(IFERROR(VLOOKUP(J595,'[63]ТР нефть'!$J$28:$BP$638,56,0),"-")=0,"-",IFERROR(VLOOKUP(J595,'[63]ТР нефть'!$J$28:$BP$638,56,0),"-"))</f>
        <v>-</v>
      </c>
      <c r="BN595" s="138" t="str">
        <f>IF(IFERROR(VLOOKUP(J595,'[63]ТР нефть'!$J$28:$BP$638,57,0),"-")=0,"-",IFERROR(VLOOKUP(J595,'[63]ТР нефть'!$J$28:$BP$638,57,0),"-"))</f>
        <v>-</v>
      </c>
      <c r="BO595" s="115" t="str">
        <f>IF(IFERROR(VLOOKUP(J595,'[63]ТР нефть'!$J$28:$BP$638,58,0),"-")=0,"-",IFERROR(VLOOKUP(J595,'[63]ТР нефть'!$J$28:$BP$638,58,0),"-"))</f>
        <v>-</v>
      </c>
      <c r="BP595" s="115" t="str">
        <f>IF(IFERROR(VLOOKUP(J595,'[63]ТР нефть'!$J$28:$BP$638,59,0),"-")=0,"-",IFERROR(VLOOKUP(J595,'[63]ТР нефть'!$J$28:$BP$638,59,0),"-"))</f>
        <v>-</v>
      </c>
      <c r="BQ595" s="138">
        <v>2100</v>
      </c>
      <c r="BR595" s="128">
        <v>1810.33</v>
      </c>
      <c r="BS595" s="115">
        <v>289.67</v>
      </c>
      <c r="BT595" s="128">
        <v>73</v>
      </c>
      <c r="BU595" s="128">
        <v>5.5</v>
      </c>
      <c r="BV595" s="127">
        <v>4</v>
      </c>
      <c r="BW595" s="127" t="s">
        <v>217</v>
      </c>
      <c r="BX595" s="127" t="s">
        <v>195</v>
      </c>
      <c r="BY595" s="139">
        <v>24</v>
      </c>
      <c r="BZ595" s="139">
        <v>0</v>
      </c>
      <c r="CA595" s="138">
        <v>46</v>
      </c>
      <c r="CB595" s="138">
        <v>45</v>
      </c>
      <c r="CC595" s="138">
        <v>46</v>
      </c>
      <c r="CD595" s="135">
        <v>45017</v>
      </c>
      <c r="CE595" s="138">
        <v>101</v>
      </c>
      <c r="CF595" s="138"/>
      <c r="CG595" s="138" t="str">
        <f t="shared" si="494"/>
        <v/>
      </c>
      <c r="CH595" s="138" t="s">
        <v>197</v>
      </c>
      <c r="CI595" s="127"/>
      <c r="CJ595" s="138"/>
      <c r="CK595" s="138">
        <f t="shared" si="488"/>
        <v>34</v>
      </c>
      <c r="CL595" s="99"/>
      <c r="CM595" s="127"/>
      <c r="CN595" s="154">
        <v>80</v>
      </c>
      <c r="CO595" s="141">
        <f t="shared" si="442"/>
        <v>6.6879999999999997</v>
      </c>
      <c r="CP595" s="142">
        <v>8</v>
      </c>
      <c r="CQ595" s="143">
        <v>0</v>
      </c>
      <c r="CR595" s="138">
        <v>15.3</v>
      </c>
      <c r="CS595" s="139"/>
      <c r="CT595" s="138"/>
      <c r="CU595" s="138">
        <f t="shared" si="475"/>
        <v>15.3</v>
      </c>
      <c r="CV595" s="115">
        <f t="shared" si="476"/>
        <v>2287.6794258373207</v>
      </c>
      <c r="CW595" s="115" t="str">
        <f t="shared" si="443"/>
        <v/>
      </c>
      <c r="CX595" s="133">
        <f t="shared" si="477"/>
        <v>0.38095238095238093</v>
      </c>
      <c r="CY595" s="116"/>
      <c r="CZ595" s="131"/>
      <c r="DA595" s="145" t="str">
        <f t="shared" si="478"/>
        <v>Фон.</v>
      </c>
      <c r="DB595" s="146">
        <f t="shared" si="468"/>
        <v>6.6879999999999997</v>
      </c>
      <c r="DC595" s="142">
        <f t="shared" si="469"/>
        <v>8</v>
      </c>
      <c r="DD595" s="119">
        <f t="shared" si="470"/>
        <v>0</v>
      </c>
      <c r="DE595" s="115">
        <f t="shared" si="471"/>
        <v>15.3</v>
      </c>
      <c r="DF595" s="121">
        <f t="shared" si="472"/>
        <v>0</v>
      </c>
      <c r="DG595" s="115">
        <f t="shared" si="446"/>
        <v>2287.6794258373207</v>
      </c>
      <c r="DH595" s="115">
        <f t="shared" si="447"/>
        <v>80</v>
      </c>
      <c r="DI595" s="147"/>
      <c r="DJ595" s="111"/>
      <c r="DK595" s="112">
        <v>44253</v>
      </c>
      <c r="DL595" s="113">
        <f t="shared" ca="1" si="480"/>
        <v>851</v>
      </c>
      <c r="DM595" s="114"/>
      <c r="DN595" s="114"/>
      <c r="DO595" s="114"/>
      <c r="DP595" s="114"/>
      <c r="DQ595" s="112"/>
      <c r="DR595" s="114"/>
      <c r="DS595" s="114"/>
      <c r="DT595" s="115">
        <v>60</v>
      </c>
      <c r="DU595" s="116">
        <f t="shared" si="481"/>
        <v>0.34401154401154416</v>
      </c>
      <c r="DV595" s="117">
        <f t="shared" ref="DV595:DV607" si="495">DW595*(1-DX595/100)*$AA595</f>
        <v>11.791339682539688</v>
      </c>
      <c r="DW595" s="118">
        <f t="shared" ref="DW595:DW607" si="496">IF(DT595&lt;CN595,IF(MQ595=1,CP595,(1-0.2*(DT595/CE595)-0.8*(DT595/CE595)^2)*(CP595/(1-0.2*(CN595/CE595)-0.8*(CN595/CE595)^2))),CP595)</f>
        <v>14.104473304473311</v>
      </c>
      <c r="DX595" s="119">
        <f t="shared" ref="DX595:DX624" si="497">CQ595</f>
        <v>0</v>
      </c>
      <c r="DY595" s="115">
        <f t="shared" ref="DY595:DY607" si="498">(CV595*DV595)/1000</f>
        <v>26.97480519480521</v>
      </c>
      <c r="DZ595" s="117">
        <f t="shared" si="482"/>
        <v>5.1033396825396879</v>
      </c>
      <c r="EA595" s="120">
        <f t="shared" si="482"/>
        <v>6.104473304473311</v>
      </c>
      <c r="EB595" s="119">
        <f t="shared" si="482"/>
        <v>0</v>
      </c>
      <c r="EC595" s="121">
        <f t="shared" si="464"/>
        <v>11.674805194805209</v>
      </c>
      <c r="ED595" s="122"/>
      <c r="EE595" s="145">
        <v>4</v>
      </c>
      <c r="EF595" s="115">
        <v>50</v>
      </c>
      <c r="EG595" s="115">
        <v>42</v>
      </c>
      <c r="EH595" s="115">
        <v>42</v>
      </c>
      <c r="EI595" s="128" t="s">
        <v>195</v>
      </c>
      <c r="EJ595" s="121">
        <v>24</v>
      </c>
      <c r="EK595" s="121">
        <v>0</v>
      </c>
      <c r="EL595" s="149">
        <v>10.45</v>
      </c>
      <c r="EM595" s="142">
        <v>12.5</v>
      </c>
      <c r="EN595" s="119">
        <v>0</v>
      </c>
      <c r="EO595" s="115">
        <v>15.3</v>
      </c>
      <c r="EP595" s="115">
        <v>1464.1148325358852</v>
      </c>
      <c r="EQ595" s="115">
        <v>0</v>
      </c>
      <c r="ER595" s="115">
        <v>0</v>
      </c>
      <c r="ES595" s="115">
        <v>90</v>
      </c>
      <c r="ET595" s="150">
        <v>1.1363636363636365</v>
      </c>
      <c r="EU595" s="145">
        <f t="shared" si="457"/>
        <v>4</v>
      </c>
      <c r="EV595" s="115">
        <f t="shared" si="448"/>
        <v>46</v>
      </c>
      <c r="EW595" s="115">
        <f t="shared" si="448"/>
        <v>45</v>
      </c>
      <c r="EX595" s="115">
        <f t="shared" si="448"/>
        <v>46</v>
      </c>
      <c r="EY595" s="115" t="str">
        <f t="shared" si="489"/>
        <v>Постоянный</v>
      </c>
      <c r="EZ595" s="115">
        <f t="shared" si="489"/>
        <v>24</v>
      </c>
      <c r="FA595" s="115">
        <f t="shared" si="489"/>
        <v>0</v>
      </c>
      <c r="FB595" s="149">
        <f t="shared" si="461"/>
        <v>6.6879999999999997</v>
      </c>
      <c r="FC595" s="142">
        <f t="shared" si="461"/>
        <v>8</v>
      </c>
      <c r="FD595" s="119">
        <f t="shared" si="461"/>
        <v>0</v>
      </c>
      <c r="FE595" s="121">
        <f t="shared" si="460"/>
        <v>15.3</v>
      </c>
      <c r="FF595" s="121">
        <f t="shared" si="462"/>
        <v>2287.6794258373207</v>
      </c>
      <c r="FG595" s="121">
        <f t="shared" si="449"/>
        <v>0</v>
      </c>
      <c r="FH595" s="121">
        <f t="shared" si="491"/>
        <v>0</v>
      </c>
      <c r="FI595" s="121">
        <f t="shared" si="483"/>
        <v>80</v>
      </c>
      <c r="FJ595" s="144">
        <f t="shared" si="450"/>
        <v>0.38095238095238093</v>
      </c>
      <c r="FK595" s="132">
        <f t="shared" si="451"/>
        <v>0</v>
      </c>
      <c r="FL595" s="115">
        <f t="shared" si="451"/>
        <v>-4</v>
      </c>
      <c r="FM595" s="115">
        <f t="shared" si="451"/>
        <v>3</v>
      </c>
      <c r="FN595" s="115">
        <f t="shared" si="451"/>
        <v>4</v>
      </c>
      <c r="FO595" s="115">
        <f t="shared" si="492"/>
        <v>0</v>
      </c>
      <c r="FP595" s="115">
        <f t="shared" si="492"/>
        <v>0</v>
      </c>
      <c r="FQ595" s="149">
        <f t="shared" si="492"/>
        <v>-3.7619999999999996</v>
      </c>
      <c r="FR595" s="142">
        <f t="shared" si="492"/>
        <v>-4.5</v>
      </c>
      <c r="FS595" s="119">
        <f t="shared" si="492"/>
        <v>0</v>
      </c>
      <c r="FT595" s="121">
        <f t="shared" si="438"/>
        <v>0</v>
      </c>
      <c r="FU595" s="121">
        <f t="shared" si="452"/>
        <v>0</v>
      </c>
      <c r="FV595" s="121">
        <f t="shared" si="452"/>
        <v>0</v>
      </c>
      <c r="FW595" s="121">
        <f t="shared" si="453"/>
        <v>823.56459330143548</v>
      </c>
      <c r="FX595" s="121">
        <f t="shared" si="454"/>
        <v>-10</v>
      </c>
      <c r="FY595" s="144">
        <f t="shared" si="454"/>
        <v>-0.75541125541125553</v>
      </c>
      <c r="FZ595" s="145" t="s">
        <v>240</v>
      </c>
      <c r="GA595" s="136" t="s">
        <v>361</v>
      </c>
      <c r="GB595" s="145" t="s">
        <v>199</v>
      </c>
      <c r="GC595" s="151" t="s">
        <v>2019</v>
      </c>
      <c r="GD595" s="997" t="s">
        <v>220</v>
      </c>
      <c r="GE595" s="1004" t="s">
        <v>199</v>
      </c>
      <c r="GF595" s="1004">
        <v>7.9419999999999993</v>
      </c>
      <c r="GG595" s="1004"/>
      <c r="GH595" s="1004">
        <v>0</v>
      </c>
      <c r="GI595" s="145"/>
      <c r="GJ595" s="996">
        <v>0</v>
      </c>
      <c r="GK595" s="145"/>
      <c r="GL595" s="996">
        <v>0</v>
      </c>
      <c r="GM595" s="1005"/>
      <c r="GN595" s="996">
        <v>0</v>
      </c>
      <c r="GO595" s="1006"/>
      <c r="GP595" s="996">
        <v>0</v>
      </c>
      <c r="GQ595" s="1006"/>
      <c r="GR595" s="996">
        <v>0</v>
      </c>
      <c r="GS595" s="1006"/>
      <c r="GT595" s="996">
        <v>0</v>
      </c>
      <c r="GU595" s="1006" t="s">
        <v>204</v>
      </c>
      <c r="GV595" s="996">
        <v>-2.6814699999999991</v>
      </c>
      <c r="GW595" s="1006"/>
      <c r="GX595" s="996">
        <v>0</v>
      </c>
      <c r="GY595" s="1006"/>
      <c r="GZ595" s="996">
        <v>0</v>
      </c>
      <c r="HA595" s="1006"/>
      <c r="HB595" s="996">
        <v>0</v>
      </c>
      <c r="HC595" s="1006" t="s">
        <v>199</v>
      </c>
      <c r="HD595" s="996">
        <v>-10.675469199999998</v>
      </c>
      <c r="HE595" s="1006" t="s">
        <v>199</v>
      </c>
      <c r="HF595" s="996">
        <v>4.4672328799999992</v>
      </c>
      <c r="HG595" s="1006" t="s">
        <v>199</v>
      </c>
      <c r="HH595" s="996">
        <v>-9.5022936799999993</v>
      </c>
      <c r="HI595" s="1006" t="s">
        <v>199</v>
      </c>
      <c r="HJ595" s="996">
        <v>2.0590679999999999</v>
      </c>
      <c r="HK595" s="1006" t="s">
        <v>199</v>
      </c>
      <c r="HL595" s="996">
        <v>-4.9945482400000003</v>
      </c>
      <c r="HM595" s="1006" t="s">
        <v>199</v>
      </c>
      <c r="HN595" s="996">
        <v>-3.6145797600000016</v>
      </c>
      <c r="HO595" s="1006"/>
      <c r="HP595" s="996">
        <v>0</v>
      </c>
      <c r="HQ595" s="1006" t="s">
        <v>203</v>
      </c>
      <c r="HR595" s="996">
        <v>-3.0163715999999994</v>
      </c>
      <c r="HS595" s="1006"/>
      <c r="HT595" s="996">
        <v>0.36541560000000217</v>
      </c>
      <c r="HU595" s="1006"/>
      <c r="HV595" s="996">
        <v>9.0303047999960029E-3</v>
      </c>
      <c r="HW595" s="1006" t="s">
        <v>203</v>
      </c>
      <c r="HX595" s="996">
        <v>-12.447648584799992</v>
      </c>
      <c r="HY595" s="1006"/>
      <c r="HZ595" s="996">
        <v>0</v>
      </c>
      <c r="IA595" s="1006" t="s">
        <v>199</v>
      </c>
      <c r="IB595" s="996">
        <v>20.574971559999998</v>
      </c>
      <c r="IC595" s="1006"/>
      <c r="ID595" s="996">
        <v>0</v>
      </c>
      <c r="IE595" s="1006" t="s">
        <v>25</v>
      </c>
      <c r="IF595" s="996">
        <v>21.964662719999996</v>
      </c>
      <c r="IG595" s="1006"/>
      <c r="IH595" s="996">
        <v>0</v>
      </c>
      <c r="II595" s="1006"/>
      <c r="IJ595" s="996"/>
      <c r="IK595" s="1006"/>
      <c r="IL595" s="996"/>
      <c r="IM595" s="1006"/>
      <c r="IN595" s="996"/>
      <c r="IO595" s="1006"/>
      <c r="IP595" s="996"/>
      <c r="IQ595" s="1006"/>
      <c r="IR595" s="996"/>
      <c r="IS595" s="1006"/>
      <c r="IT595" s="996"/>
      <c r="IU595" s="1006"/>
      <c r="IV595" s="996"/>
      <c r="IW595" s="1006"/>
      <c r="IX595" s="996"/>
      <c r="IY595" s="1006"/>
      <c r="IZ595" s="996"/>
      <c r="JA595" s="1006"/>
      <c r="JB595" s="996"/>
      <c r="JC595" s="1006"/>
      <c r="JD595" s="996"/>
      <c r="JE595" s="1006"/>
      <c r="JF595" s="996"/>
      <c r="JG595" s="1006"/>
      <c r="JH595" s="996"/>
      <c r="JI595" s="1006"/>
      <c r="JJ595" s="996"/>
      <c r="JK595" s="1007"/>
      <c r="JL595" s="1007"/>
      <c r="JM595" s="1007"/>
      <c r="JN595" s="1007"/>
      <c r="JO595" s="1008"/>
      <c r="JP595" s="1007"/>
      <c r="JQ595" s="1008"/>
      <c r="JR595" s="1007"/>
      <c r="JS595" s="1008"/>
      <c r="JT595" s="1007"/>
      <c r="JU595" s="1008"/>
      <c r="JV595" s="1007"/>
      <c r="JW595" s="1008"/>
      <c r="JX595" s="1007"/>
      <c r="JY595" s="1008"/>
      <c r="JZ595" s="1007"/>
      <c r="KA595" s="1008"/>
      <c r="KB595" s="1007"/>
      <c r="KC595" s="1008"/>
      <c r="KD595" s="1007"/>
      <c r="KE595" s="1008"/>
      <c r="KF595" s="1007"/>
      <c r="KG595" s="1008"/>
      <c r="KH595" s="1007"/>
      <c r="KI595" s="1008"/>
      <c r="KJ595" s="1007"/>
      <c r="KK595" s="1008"/>
      <c r="KL595" s="1007"/>
      <c r="KM595" s="1008"/>
      <c r="KN595" s="1007"/>
      <c r="KO595" s="1008"/>
      <c r="KP595" s="1007"/>
      <c r="KQ595" s="1008"/>
      <c r="KR595" s="1007"/>
      <c r="KS595" s="1008"/>
      <c r="KT595" s="1007"/>
      <c r="KU595" s="1008"/>
      <c r="KV595" s="1007"/>
      <c r="KW595" s="1008"/>
      <c r="KX595" s="1007"/>
      <c r="KY595" s="1008"/>
      <c r="KZ595" s="1007"/>
      <c r="LA595" s="1008"/>
      <c r="LB595" s="1007"/>
      <c r="LC595" s="1008"/>
      <c r="LD595" s="1007"/>
      <c r="LE595" s="1008"/>
      <c r="LF595" s="1007"/>
      <c r="LG595" s="1008"/>
      <c r="LH595" s="1007"/>
      <c r="LI595" s="1008"/>
      <c r="LJ595" s="1007"/>
      <c r="LK595" s="1008"/>
      <c r="LL595" s="1007"/>
      <c r="LM595" s="1008"/>
      <c r="LN595" s="1007"/>
      <c r="LO595" s="1008"/>
      <c r="LP595" s="1007"/>
      <c r="LQ595" s="1008"/>
      <c r="LR595" s="1007"/>
      <c r="LS595" s="1008"/>
      <c r="LT595" s="1007"/>
      <c r="LU595" s="1008"/>
      <c r="LV595" s="1007"/>
      <c r="LW595" s="1008"/>
      <c r="LX595" s="1007"/>
      <c r="LY595" s="1009"/>
      <c r="LZ595" s="1010"/>
      <c r="MA595" s="1011"/>
      <c r="MB595" s="1012"/>
      <c r="MC595" s="995"/>
      <c r="MD595" s="996"/>
      <c r="ME595" s="997" t="s">
        <v>220</v>
      </c>
      <c r="MF595" s="997"/>
      <c r="MG595" s="998"/>
      <c r="NR595" s="1000"/>
      <c r="NS595" s="1000"/>
      <c r="NT595" s="1001"/>
      <c r="NU595" s="1000"/>
      <c r="NV595" s="1001"/>
      <c r="NX595" s="1002"/>
      <c r="NZ595" s="1001"/>
      <c r="OA595" s="1001"/>
      <c r="OC595" s="1003"/>
      <c r="OD595" s="1003"/>
      <c r="OE595" s="1001"/>
      <c r="OF595" s="1003"/>
      <c r="OG595" s="1003"/>
      <c r="QX595" s="1000">
        <f>CN595-CA595</f>
        <v>34</v>
      </c>
      <c r="ASU595" s="999" t="s">
        <v>292</v>
      </c>
    </row>
    <row r="596" spans="1:466 1191:1191" ht="21" customHeight="1" x14ac:dyDescent="0.25">
      <c r="A596" s="982">
        <f t="shared" si="441"/>
        <v>3411</v>
      </c>
      <c r="B596" s="124">
        <f>SUBTOTAL(103,$J$29:J596)</f>
        <v>568</v>
      </c>
      <c r="C596" s="126">
        <v>45068</v>
      </c>
      <c r="D596" s="124" t="s">
        <v>176</v>
      </c>
      <c r="E596" s="127" t="s">
        <v>177</v>
      </c>
      <c r="F596" s="128" t="s">
        <v>177</v>
      </c>
      <c r="G596" s="127" t="s">
        <v>178</v>
      </c>
      <c r="H596" s="127" t="s">
        <v>179</v>
      </c>
      <c r="I596" s="127" t="s">
        <v>1417</v>
      </c>
      <c r="J596" s="152">
        <v>3411</v>
      </c>
      <c r="K596" s="127" t="s">
        <v>2020</v>
      </c>
      <c r="L596" s="130">
        <v>43060</v>
      </c>
      <c r="M596" s="127" t="s">
        <v>230</v>
      </c>
      <c r="N596" s="127" t="s">
        <v>184</v>
      </c>
      <c r="O596" s="127" t="s">
        <v>185</v>
      </c>
      <c r="P596" s="127" t="s">
        <v>186</v>
      </c>
      <c r="Q596" s="85" t="str">
        <f t="shared" si="493"/>
        <v/>
      </c>
      <c r="R596" s="130"/>
      <c r="S596" s="128"/>
      <c r="T596" s="131"/>
      <c r="U596" s="132">
        <v>203</v>
      </c>
      <c r="V596" s="121">
        <v>218.2</v>
      </c>
      <c r="W596" s="116">
        <v>0.98</v>
      </c>
      <c r="X596" s="116">
        <v>1.66</v>
      </c>
      <c r="Y596" s="116">
        <f t="shared" si="463"/>
        <v>0.99219321785801406</v>
      </c>
      <c r="Z596" s="133">
        <v>1.454</v>
      </c>
      <c r="AA596" s="133">
        <v>0.83599999999999997</v>
      </c>
      <c r="AB596" s="133">
        <v>0.72</v>
      </c>
      <c r="AC596" s="121">
        <v>34.299999999999997</v>
      </c>
      <c r="AD596" s="134">
        <v>1.17</v>
      </c>
      <c r="AE596" s="124">
        <v>177.8</v>
      </c>
      <c r="AF596" s="128">
        <v>9.19</v>
      </c>
      <c r="AG596" s="128">
        <v>2197.64</v>
      </c>
      <c r="AH596" s="127" t="s">
        <v>2021</v>
      </c>
      <c r="AI596" s="127" t="s">
        <v>2021</v>
      </c>
      <c r="AJ596" s="135">
        <v>42947</v>
      </c>
      <c r="AK596" s="128" t="s">
        <v>1018</v>
      </c>
      <c r="AL596" s="131"/>
      <c r="AM596" s="124" t="s">
        <v>232</v>
      </c>
      <c r="AN596" s="136" t="s">
        <v>2022</v>
      </c>
      <c r="AO596" s="137" t="s">
        <v>2023</v>
      </c>
      <c r="AP596" s="128">
        <v>2198</v>
      </c>
      <c r="AQ596" s="128">
        <v>387.46</v>
      </c>
      <c r="AR596" s="128"/>
      <c r="AS596" s="128"/>
      <c r="AT596" s="122"/>
      <c r="AU596" s="124" t="s">
        <v>189</v>
      </c>
      <c r="AV596" s="115">
        <f>VLOOKUP(J596,'[63]ТР нефть'!$J$28:$BP$638,39,0)</f>
        <v>500.00002939500001</v>
      </c>
      <c r="AW596" s="115" t="str">
        <f>VLOOKUP(J596,'[63]ТР нефть'!$J$28:$BP$638,40,0)</f>
        <v>ГП</v>
      </c>
      <c r="AX596" s="115">
        <f>VLOOKUP(J596,'[63]ТР нефть'!$J$28:$BP$638,41,0)</f>
        <v>900.00006035199999</v>
      </c>
      <c r="AY596" s="115" t="str">
        <f>VLOOKUP(J596,'[63]ТР нефть'!$J$28:$BP$638,42,0)</f>
        <v>ГП</v>
      </c>
      <c r="AZ596" s="115">
        <f>VLOOKUP(J596,'[63]ТР нефть'!$J$28:$BP$638,43,0)</f>
        <v>1219.999951172</v>
      </c>
      <c r="BA596" s="115" t="str">
        <f>VLOOKUP(J596,'[63]ТР нефть'!$J$28:$BP$638,44,0)</f>
        <v>ГП</v>
      </c>
      <c r="BB596" s="115">
        <f>VLOOKUP(J596,'[63]ТР нефть'!$J$28:$BP$638,45,0)</f>
        <v>1490.0000660159999</v>
      </c>
      <c r="BC596" s="115" t="str">
        <f>VLOOKUP(J596,'[63]ТР нефть'!$J$28:$BP$638,46,0)</f>
        <v>ГК 82 1/8</v>
      </c>
      <c r="BD596" s="115">
        <f>VLOOKUP(J596,'[63]ТР нефть'!$J$28:$BP$638,47,0)</f>
        <v>1710.000032813</v>
      </c>
      <c r="BE596" s="115" t="str">
        <f>VLOOKUP(J596,'[63]ТР нефть'!$J$28:$BP$638,48,0)</f>
        <v>ГП</v>
      </c>
      <c r="BF596" s="115">
        <f>VLOOKUP(J596,'[63]ТР нефть'!$J$28:$BP$638,49,0)</f>
        <v>1910</v>
      </c>
      <c r="BG596" s="115" t="str">
        <f>VLOOKUP(J596,'[63]ТР нефть'!$J$28:$BP$638,50,0)</f>
        <v>ЦКсОК 5/16</v>
      </c>
      <c r="BH596" s="115">
        <f>VLOOKUP(J596,'[63]ТР нефть'!$J$28:$BP$638,51,0)</f>
        <v>1920</v>
      </c>
      <c r="BI596" s="115" t="str">
        <f>VLOOKUP(J596,'[63]ТР нефть'!$J$28:$BP$638,52,0)</f>
        <v>Закрыт</v>
      </c>
      <c r="BJ596" s="115" t="str">
        <f>IF(IFERROR(VLOOKUP(J596,'[63]ТР нефть'!$J$28:$BP$638,53,0),"-")=0,"-",IFERROR(VLOOKUP(J596,'[63]ТР нефть'!$J$28:$BP$638,53,0),"-"))</f>
        <v>-</v>
      </c>
      <c r="BK596" s="138" t="str">
        <f>IF(IFERROR(VLOOKUP(J596,'[63]ТР нефть'!$J$28:$BP$638,54,0),"-")=0,"-",IFERROR(VLOOKUP(J596,'[63]ТР нефть'!$J$28:$BP$638,54,0),"-"))</f>
        <v>-</v>
      </c>
      <c r="BL596" s="138" t="str">
        <f>IF(IFERROR(VLOOKUP(J596,'[63]ТР нефть'!$J$28:$BP$638,55,0),"-")=0,"-",IFERROR(VLOOKUP(J596,'[63]ТР нефть'!$J$28:$BP$638,55,0),"-"))</f>
        <v>-</v>
      </c>
      <c r="BM596" s="138" t="str">
        <f>IF(IFERROR(VLOOKUP(J596,'[63]ТР нефть'!$J$28:$BP$638,56,0),"-")=0,"-",IFERROR(VLOOKUP(J596,'[63]ТР нефть'!$J$28:$BP$638,56,0),"-"))</f>
        <v>-</v>
      </c>
      <c r="BN596" s="138" t="str">
        <f>IF(IFERROR(VLOOKUP(J596,'[63]ТР нефть'!$J$28:$BP$638,57,0),"-")=0,"-",IFERROR(VLOOKUP(J596,'[63]ТР нефть'!$J$28:$BP$638,57,0),"-"))</f>
        <v>-</v>
      </c>
      <c r="BO596" s="115" t="str">
        <f>IF(IFERROR(VLOOKUP(J596,'[63]ТР нефть'!$J$28:$BP$638,58,0),"-")=0,"-",IFERROR(VLOOKUP(J596,'[63]ТР нефть'!$J$28:$BP$638,58,0),"-"))</f>
        <v>-</v>
      </c>
      <c r="BP596" s="115" t="str">
        <f>IF(IFERROR(VLOOKUP(J596,'[63]ТР нефть'!$J$28:$BP$638,59,0),"-")=0,"-",IFERROR(VLOOKUP(J596,'[63]ТР нефть'!$J$28:$BP$638,59,0),"-"))</f>
        <v>-</v>
      </c>
      <c r="BQ596" s="138">
        <v>2210</v>
      </c>
      <c r="BR596" s="128">
        <v>1813.29</v>
      </c>
      <c r="BS596" s="115">
        <f t="shared" ref="BS596:BS607" si="499">BQ596-BR596</f>
        <v>396.71000000000004</v>
      </c>
      <c r="BT596" s="128">
        <v>73</v>
      </c>
      <c r="BU596" s="128">
        <v>5.5</v>
      </c>
      <c r="BV596" s="127">
        <v>65</v>
      </c>
      <c r="BW596" s="127" t="s">
        <v>217</v>
      </c>
      <c r="BX596" s="127" t="s">
        <v>195</v>
      </c>
      <c r="BY596" s="139">
        <v>24</v>
      </c>
      <c r="BZ596" s="139">
        <v>0</v>
      </c>
      <c r="CA596" s="138">
        <v>30</v>
      </c>
      <c r="CB596" s="138">
        <v>57</v>
      </c>
      <c r="CC596" s="138">
        <v>29</v>
      </c>
      <c r="CD596" s="135">
        <v>45017</v>
      </c>
      <c r="CE596" s="138">
        <v>113</v>
      </c>
      <c r="CF596" s="138">
        <v>66</v>
      </c>
      <c r="CG596" s="138" t="s">
        <v>1131</v>
      </c>
      <c r="CH596" s="138" t="s">
        <v>272</v>
      </c>
      <c r="CI596" s="127">
        <v>6</v>
      </c>
      <c r="CJ596" s="138"/>
      <c r="CK596" s="138">
        <f t="shared" si="488"/>
        <v>26</v>
      </c>
      <c r="CL596" s="99"/>
      <c r="CM596" s="99"/>
      <c r="CN596" s="140">
        <v>56</v>
      </c>
      <c r="CO596" s="141">
        <f t="shared" si="442"/>
        <v>8.9201199999999989</v>
      </c>
      <c r="CP596" s="142">
        <v>11</v>
      </c>
      <c r="CQ596" s="143">
        <v>3</v>
      </c>
      <c r="CR596" s="138">
        <v>14</v>
      </c>
      <c r="CS596" s="139">
        <v>3.6</v>
      </c>
      <c r="CT596" s="138"/>
      <c r="CU596" s="138">
        <f t="shared" si="475"/>
        <v>10.4</v>
      </c>
      <c r="CV596" s="115">
        <f t="shared" si="476"/>
        <v>1165.9035977094479</v>
      </c>
      <c r="CW596" s="115">
        <f t="shared" si="443"/>
        <v>387.00272836923506</v>
      </c>
      <c r="CX596" s="133">
        <f t="shared" si="477"/>
        <v>0.19298245614035087</v>
      </c>
      <c r="CY596" s="116"/>
      <c r="CZ596" s="131"/>
      <c r="DA596" s="145" t="str">
        <f t="shared" si="478"/>
        <v>Газлифт</v>
      </c>
      <c r="DB596" s="146">
        <f t="shared" si="468"/>
        <v>8.9201199999999989</v>
      </c>
      <c r="DC596" s="142">
        <f t="shared" si="469"/>
        <v>11</v>
      </c>
      <c r="DD596" s="119">
        <f t="shared" si="470"/>
        <v>3</v>
      </c>
      <c r="DE596" s="115">
        <f t="shared" si="471"/>
        <v>10.4</v>
      </c>
      <c r="DF596" s="121">
        <f t="shared" si="472"/>
        <v>3.6</v>
      </c>
      <c r="DG596" s="115">
        <f t="shared" si="446"/>
        <v>1165.9035977094479</v>
      </c>
      <c r="DH596" s="115">
        <f t="shared" si="447"/>
        <v>56</v>
      </c>
      <c r="DI596" s="147"/>
      <c r="DJ596" s="111">
        <v>43564</v>
      </c>
      <c r="DK596" s="112">
        <v>43060</v>
      </c>
      <c r="DL596" s="113">
        <f t="shared" ca="1" si="480"/>
        <v>2044</v>
      </c>
      <c r="DM596" s="114"/>
      <c r="DN596" s="114"/>
      <c r="DO596" s="114"/>
      <c r="DP596" s="114"/>
      <c r="DQ596" s="112" t="s">
        <v>2024</v>
      </c>
      <c r="DR596" s="114" t="s">
        <v>198</v>
      </c>
      <c r="DS596" s="114"/>
      <c r="DT596" s="115">
        <v>60</v>
      </c>
      <c r="DU596" s="116">
        <f t="shared" si="481"/>
        <v>0.20754716981132076</v>
      </c>
      <c r="DV596" s="117">
        <f t="shared" si="495"/>
        <v>8.9201199999999989</v>
      </c>
      <c r="DW596" s="118">
        <f t="shared" si="496"/>
        <v>11</v>
      </c>
      <c r="DX596" s="119">
        <f t="shared" si="497"/>
        <v>3</v>
      </c>
      <c r="DY596" s="115">
        <f t="shared" si="498"/>
        <v>10.4</v>
      </c>
      <c r="DZ596" s="117">
        <f t="shared" si="482"/>
        <v>0</v>
      </c>
      <c r="EA596" s="120">
        <f t="shared" si="482"/>
        <v>0</v>
      </c>
      <c r="EB596" s="119">
        <f t="shared" si="482"/>
        <v>0</v>
      </c>
      <c r="EC596" s="121">
        <f t="shared" si="464"/>
        <v>0</v>
      </c>
      <c r="ED596" s="122"/>
      <c r="EE596" s="145">
        <v>65</v>
      </c>
      <c r="EF596" s="115">
        <v>30</v>
      </c>
      <c r="EG596" s="115">
        <v>54</v>
      </c>
      <c r="EH596" s="115">
        <v>29</v>
      </c>
      <c r="EI596" s="128" t="s">
        <v>195</v>
      </c>
      <c r="EJ596" s="121">
        <v>24</v>
      </c>
      <c r="EK596" s="121">
        <v>0</v>
      </c>
      <c r="EL596" s="149">
        <v>8.9201199999999989</v>
      </c>
      <c r="EM596" s="142">
        <v>11</v>
      </c>
      <c r="EN596" s="119">
        <v>3</v>
      </c>
      <c r="EO596" s="115">
        <v>14</v>
      </c>
      <c r="EP596" s="115">
        <v>1165.9035977094479</v>
      </c>
      <c r="EQ596" s="115">
        <v>66</v>
      </c>
      <c r="ER596" s="115">
        <v>3.6</v>
      </c>
      <c r="ES596" s="115">
        <v>56</v>
      </c>
      <c r="ET596" s="150">
        <v>0.19298245614035087</v>
      </c>
      <c r="EU596" s="145">
        <f t="shared" si="457"/>
        <v>65</v>
      </c>
      <c r="EV596" s="115">
        <f t="shared" si="448"/>
        <v>30</v>
      </c>
      <c r="EW596" s="115">
        <f t="shared" si="448"/>
        <v>57</v>
      </c>
      <c r="EX596" s="115">
        <f t="shared" si="448"/>
        <v>29</v>
      </c>
      <c r="EY596" s="115" t="str">
        <f t="shared" si="489"/>
        <v>Постоянный</v>
      </c>
      <c r="EZ596" s="115">
        <f t="shared" si="489"/>
        <v>24</v>
      </c>
      <c r="FA596" s="115">
        <f t="shared" si="489"/>
        <v>0</v>
      </c>
      <c r="FB596" s="149">
        <f t="shared" si="461"/>
        <v>8.9201199999999989</v>
      </c>
      <c r="FC596" s="142">
        <f t="shared" si="461"/>
        <v>11</v>
      </c>
      <c r="FD596" s="119">
        <f t="shared" si="461"/>
        <v>3</v>
      </c>
      <c r="FE596" s="121">
        <f t="shared" si="460"/>
        <v>14</v>
      </c>
      <c r="FF596" s="121">
        <f t="shared" si="462"/>
        <v>1165.9035977094479</v>
      </c>
      <c r="FG596" s="121">
        <f t="shared" si="449"/>
        <v>66</v>
      </c>
      <c r="FH596" s="121">
        <f t="shared" si="491"/>
        <v>3.6</v>
      </c>
      <c r="FI596" s="121">
        <f t="shared" si="483"/>
        <v>56</v>
      </c>
      <c r="FJ596" s="144">
        <f t="shared" si="450"/>
        <v>0.19298245614035087</v>
      </c>
      <c r="FK596" s="132">
        <f t="shared" si="451"/>
        <v>0</v>
      </c>
      <c r="FL596" s="115">
        <f t="shared" si="451"/>
        <v>0</v>
      </c>
      <c r="FM596" s="115">
        <f t="shared" si="451"/>
        <v>3</v>
      </c>
      <c r="FN596" s="115">
        <f t="shared" si="451"/>
        <v>0</v>
      </c>
      <c r="FO596" s="115">
        <f t="shared" si="492"/>
        <v>0</v>
      </c>
      <c r="FP596" s="115">
        <f t="shared" si="492"/>
        <v>0</v>
      </c>
      <c r="FQ596" s="149">
        <f t="shared" si="492"/>
        <v>0</v>
      </c>
      <c r="FR596" s="142">
        <f t="shared" si="492"/>
        <v>0</v>
      </c>
      <c r="FS596" s="119">
        <f t="shared" si="492"/>
        <v>0</v>
      </c>
      <c r="FT596" s="121">
        <f t="shared" si="492"/>
        <v>0</v>
      </c>
      <c r="FU596" s="121">
        <f t="shared" si="452"/>
        <v>0</v>
      </c>
      <c r="FV596" s="121">
        <f t="shared" si="452"/>
        <v>0</v>
      </c>
      <c r="FW596" s="121">
        <f t="shared" si="453"/>
        <v>0</v>
      </c>
      <c r="FX596" s="121">
        <f t="shared" si="454"/>
        <v>0</v>
      </c>
      <c r="FY596" s="144">
        <f t="shared" si="454"/>
        <v>0</v>
      </c>
      <c r="FZ596" s="124"/>
      <c r="GA596" s="151"/>
      <c r="GB596" s="1052" t="s">
        <v>204</v>
      </c>
      <c r="GC596" s="151" t="s">
        <v>219</v>
      </c>
      <c r="GD596" s="997" t="s">
        <v>220</v>
      </c>
      <c r="GE596" s="1004" t="s">
        <v>204</v>
      </c>
      <c r="GF596" s="1004">
        <v>2.327089599999999</v>
      </c>
      <c r="GG596" s="1004"/>
      <c r="GH596" s="1004">
        <v>0</v>
      </c>
      <c r="GI596" s="1052"/>
      <c r="GJ596" s="996">
        <v>0</v>
      </c>
      <c r="GK596" s="1052"/>
      <c r="GL596" s="996">
        <v>0</v>
      </c>
      <c r="GM596" s="1005"/>
      <c r="GN596" s="996">
        <v>-0.51296959999999991</v>
      </c>
      <c r="GO596" s="1006"/>
      <c r="GP596" s="996">
        <v>0</v>
      </c>
      <c r="GQ596" s="1006"/>
      <c r="GR596" s="996">
        <v>0</v>
      </c>
      <c r="GS596" s="1006"/>
      <c r="GT596" s="996">
        <v>6.0000000000002274E-3</v>
      </c>
      <c r="GU596" s="1006" t="s">
        <v>203</v>
      </c>
      <c r="GV596" s="996">
        <v>-2.4782384000000004</v>
      </c>
      <c r="GW596" s="1006" t="s">
        <v>203</v>
      </c>
      <c r="GX596" s="996">
        <v>-2.1364815999999998</v>
      </c>
      <c r="GY596" s="1006" t="s">
        <v>199</v>
      </c>
      <c r="GZ596" s="996">
        <v>3.2604000000000006</v>
      </c>
      <c r="HA596" s="1006" t="s">
        <v>203</v>
      </c>
      <c r="HB596" s="996">
        <v>-8.4410919999999994</v>
      </c>
      <c r="HC596" s="1006" t="s">
        <v>199</v>
      </c>
      <c r="HD596" s="996">
        <v>5.9444616000000003</v>
      </c>
      <c r="HE596" s="1006"/>
      <c r="HF596" s="996">
        <v>0</v>
      </c>
      <c r="HG596" s="1006"/>
      <c r="HH596" s="996">
        <v>0</v>
      </c>
      <c r="HI596" s="1006" t="s">
        <v>199</v>
      </c>
      <c r="HJ596" s="996">
        <v>-5.4098396000000051</v>
      </c>
      <c r="HK596" s="1006" t="s">
        <v>308</v>
      </c>
      <c r="HL596" s="996">
        <v>11.726990000000004</v>
      </c>
      <c r="HM596" s="1006"/>
      <c r="HN596" s="996">
        <v>0</v>
      </c>
      <c r="HO596" s="1006"/>
      <c r="HP596" s="996">
        <v>0</v>
      </c>
      <c r="HQ596" s="1006" t="s">
        <v>199</v>
      </c>
      <c r="HR596" s="996">
        <v>-1.92343536</v>
      </c>
      <c r="HS596" s="1006" t="s">
        <v>643</v>
      </c>
      <c r="HT596" s="996">
        <v>0</v>
      </c>
      <c r="HU596" s="1006"/>
      <c r="HV596" s="996">
        <v>0</v>
      </c>
      <c r="HW596" s="1006"/>
      <c r="HX596" s="996">
        <v>0</v>
      </c>
      <c r="HY596" s="1006" t="s">
        <v>221</v>
      </c>
      <c r="HZ596" s="996">
        <v>-18.767564639999996</v>
      </c>
      <c r="IA596" s="1006" t="s">
        <v>221</v>
      </c>
      <c r="IB596" s="996">
        <v>3.9964057056000009</v>
      </c>
      <c r="IC596" s="1006" t="s">
        <v>199</v>
      </c>
      <c r="ID596" s="996">
        <v>17.739594294399996</v>
      </c>
      <c r="IE596" s="1006"/>
      <c r="IF596" s="996">
        <v>0</v>
      </c>
      <c r="IG596" s="1006" t="s">
        <v>199</v>
      </c>
      <c r="IH596" s="996">
        <v>-3.1099199999999998</v>
      </c>
      <c r="II596" s="1006"/>
      <c r="IJ596" s="996">
        <v>0</v>
      </c>
      <c r="IK596" s="1006"/>
      <c r="IL596" s="996">
        <v>0</v>
      </c>
      <c r="IM596" s="1006"/>
      <c r="IN596" s="996">
        <v>0</v>
      </c>
      <c r="IO596" s="1006" t="s">
        <v>199</v>
      </c>
      <c r="IP596" s="996">
        <v>3.0931999999999995</v>
      </c>
      <c r="IQ596" s="1006"/>
      <c r="IR596" s="996">
        <v>0</v>
      </c>
      <c r="IS596" s="1006"/>
      <c r="IT596" s="996">
        <v>0</v>
      </c>
      <c r="IU596" s="1006"/>
      <c r="IV596" s="996">
        <v>0</v>
      </c>
      <c r="IW596" s="1006" t="s">
        <v>199</v>
      </c>
      <c r="IX596" s="996">
        <v>-5.2667999999999999</v>
      </c>
      <c r="IY596" s="1006"/>
      <c r="IZ596" s="996">
        <v>0</v>
      </c>
      <c r="JA596" s="1006"/>
      <c r="JB596" s="996">
        <v>0</v>
      </c>
      <c r="JC596" s="1006"/>
      <c r="JD596" s="996">
        <v>0</v>
      </c>
      <c r="JE596" s="1006"/>
      <c r="JF596" s="996">
        <v>0</v>
      </c>
      <c r="JG596" s="1006"/>
      <c r="JH596" s="996">
        <v>0</v>
      </c>
      <c r="JI596" s="1006" t="s">
        <v>204</v>
      </c>
      <c r="JJ596" s="996">
        <v>3.176800000000001</v>
      </c>
      <c r="JK596" s="1007"/>
      <c r="JL596" s="1007">
        <v>0</v>
      </c>
      <c r="JM596" s="1007"/>
      <c r="JN596" s="1007">
        <v>0</v>
      </c>
      <c r="JO596" s="1008" t="s">
        <v>199</v>
      </c>
      <c r="JP596" s="1007">
        <v>-3.176800000000001</v>
      </c>
      <c r="JQ596" s="1008">
        <v>0</v>
      </c>
      <c r="JR596" s="1007">
        <v>0</v>
      </c>
      <c r="JS596" s="1008" t="s">
        <v>199</v>
      </c>
      <c r="JT596" s="1007">
        <v>-1.6661479999999997</v>
      </c>
      <c r="JU596" s="1008" t="s">
        <v>199</v>
      </c>
      <c r="JV596" s="1007">
        <v>5.010148</v>
      </c>
      <c r="JW596" s="1008" t="s">
        <v>197</v>
      </c>
      <c r="JX596" s="1007">
        <v>0</v>
      </c>
      <c r="JY596" s="1008"/>
      <c r="JZ596" s="1007">
        <v>0</v>
      </c>
      <c r="KA596" s="1008"/>
      <c r="KB596" s="1007">
        <v>0</v>
      </c>
      <c r="KC596" s="1008" t="s">
        <v>207</v>
      </c>
      <c r="KD596" s="1007">
        <v>-10.282800000000002</v>
      </c>
      <c r="KE596" s="1008"/>
      <c r="KF596" s="1007">
        <v>0</v>
      </c>
      <c r="KG596" s="1008"/>
      <c r="KH596" s="1007">
        <v>0</v>
      </c>
      <c r="KI596" s="1008"/>
      <c r="KJ596" s="1007">
        <v>0</v>
      </c>
      <c r="KK596" s="1008" t="s">
        <v>199</v>
      </c>
      <c r="KL596" s="1007">
        <v>4.4308000000000014</v>
      </c>
      <c r="KM596" s="1008" t="s">
        <v>206</v>
      </c>
      <c r="KN596" s="1007">
        <v>-3.1349999999999998</v>
      </c>
      <c r="KO596" s="1008" t="s">
        <v>25</v>
      </c>
      <c r="KP596" s="1007">
        <v>3.1688579999999984</v>
      </c>
      <c r="KQ596" s="1008" t="s">
        <v>206</v>
      </c>
      <c r="KR596" s="1007">
        <v>3.1682226400000015</v>
      </c>
      <c r="KS596" s="1008">
        <v>0</v>
      </c>
      <c r="KT596" s="1007">
        <v>0</v>
      </c>
      <c r="KU596" s="1008" t="s">
        <v>206</v>
      </c>
      <c r="KV596" s="1007">
        <v>-7.5036852000000014</v>
      </c>
      <c r="KW596" s="1008" t="s">
        <v>240</v>
      </c>
      <c r="KX596" s="1007">
        <v>-8.5041765599999977</v>
      </c>
      <c r="KY596" s="1008">
        <v>0</v>
      </c>
      <c r="KZ596" s="1007">
        <v>0</v>
      </c>
      <c r="LA596" s="1008">
        <v>0</v>
      </c>
      <c r="LB596" s="1007">
        <v>0</v>
      </c>
      <c r="LC596" s="1008">
        <v>0</v>
      </c>
      <c r="LD596" s="1007">
        <v>0</v>
      </c>
      <c r="LE596" s="1008" t="s">
        <v>314</v>
      </c>
      <c r="LF596" s="1007">
        <v>2.4243999999999986</v>
      </c>
      <c r="LG596" s="1008" t="s">
        <v>25</v>
      </c>
      <c r="LH596" s="1007">
        <v>22.99</v>
      </c>
      <c r="LI596" s="1008">
        <v>0</v>
      </c>
      <c r="LJ596" s="1007">
        <v>0</v>
      </c>
      <c r="LK596" s="1008">
        <v>0</v>
      </c>
      <c r="LL596" s="1007">
        <v>0</v>
      </c>
      <c r="LM596" s="1008">
        <v>0</v>
      </c>
      <c r="LN596" s="1007">
        <v>0</v>
      </c>
      <c r="LO596" s="1008">
        <v>0</v>
      </c>
      <c r="LP596" s="1007">
        <v>0</v>
      </c>
      <c r="LQ596" s="1008">
        <v>0</v>
      </c>
      <c r="LR596" s="1007">
        <v>0</v>
      </c>
      <c r="LS596" s="1008">
        <v>0</v>
      </c>
      <c r="LT596" s="1007">
        <v>0</v>
      </c>
      <c r="LU596" s="1008">
        <v>0</v>
      </c>
      <c r="LV596" s="1007">
        <v>0</v>
      </c>
      <c r="LW596" s="1008">
        <v>0</v>
      </c>
      <c r="LX596" s="1007">
        <v>0</v>
      </c>
      <c r="LY596" s="1009">
        <v>0</v>
      </c>
      <c r="LZ596" s="1010">
        <v>0</v>
      </c>
      <c r="MA596" s="1011">
        <v>0</v>
      </c>
      <c r="MB596" s="1012">
        <v>0</v>
      </c>
      <c r="MC596" s="995"/>
      <c r="MD596" s="996"/>
      <c r="ME596" s="997" t="s">
        <v>220</v>
      </c>
      <c r="MF596" s="997"/>
      <c r="MG596" s="998"/>
      <c r="NR596" s="1000"/>
      <c r="NS596" s="1000"/>
      <c r="NT596" s="1001"/>
      <c r="NU596" s="1000"/>
      <c r="NV596" s="1001"/>
      <c r="NX596" s="1002"/>
      <c r="NZ596" s="1001"/>
      <c r="OA596" s="1001"/>
      <c r="OC596" s="1003"/>
      <c r="OD596" s="1003"/>
      <c r="OE596" s="1001"/>
      <c r="OF596" s="1003"/>
      <c r="OG596" s="1003"/>
      <c r="QX596" s="1000">
        <f>CN596-CA596</f>
        <v>26</v>
      </c>
      <c r="ASU596" s="999" t="s">
        <v>208</v>
      </c>
    </row>
    <row r="597" spans="1:466 1191:1191" ht="21" customHeight="1" x14ac:dyDescent="0.25">
      <c r="A597" s="982">
        <f t="shared" si="441"/>
        <v>3412</v>
      </c>
      <c r="B597" s="124">
        <f>SUBTOTAL(103,$J$29:J597)</f>
        <v>569</v>
      </c>
      <c r="C597" s="126">
        <v>45068</v>
      </c>
      <c r="D597" s="124" t="s">
        <v>176</v>
      </c>
      <c r="E597" s="127" t="s">
        <v>177</v>
      </c>
      <c r="F597" s="128" t="s">
        <v>177</v>
      </c>
      <c r="G597" s="127" t="s">
        <v>178</v>
      </c>
      <c r="H597" s="127" t="s">
        <v>179</v>
      </c>
      <c r="I597" s="127" t="s">
        <v>1822</v>
      </c>
      <c r="J597" s="152">
        <v>3412</v>
      </c>
      <c r="K597" s="127" t="s">
        <v>1822</v>
      </c>
      <c r="L597" s="130">
        <v>43812</v>
      </c>
      <c r="M597" s="127" t="s">
        <v>230</v>
      </c>
      <c r="N597" s="127" t="s">
        <v>184</v>
      </c>
      <c r="O597" s="127" t="s">
        <v>185</v>
      </c>
      <c r="P597" s="127" t="s">
        <v>186</v>
      </c>
      <c r="Q597" s="85" t="str">
        <f t="shared" si="493"/>
        <v/>
      </c>
      <c r="R597" s="130"/>
      <c r="S597" s="128"/>
      <c r="T597" s="131"/>
      <c r="U597" s="132">
        <v>203</v>
      </c>
      <c r="V597" s="121">
        <v>218.2</v>
      </c>
      <c r="W597" s="116">
        <v>0.98</v>
      </c>
      <c r="X597" s="116">
        <v>1.66</v>
      </c>
      <c r="Y597" s="116">
        <f t="shared" si="463"/>
        <v>1.1018694120834462</v>
      </c>
      <c r="Z597" s="133">
        <v>1.454</v>
      </c>
      <c r="AA597" s="133">
        <v>0.83599999999999997</v>
      </c>
      <c r="AB597" s="133">
        <v>0.72</v>
      </c>
      <c r="AC597" s="121">
        <v>34.299999999999997</v>
      </c>
      <c r="AD597" s="134">
        <v>1.17</v>
      </c>
      <c r="AE597" s="124">
        <v>177.8</v>
      </c>
      <c r="AF597" s="128">
        <v>9.19</v>
      </c>
      <c r="AG597" s="128">
        <v>2327</v>
      </c>
      <c r="AH597" s="127" t="s">
        <v>2025</v>
      </c>
      <c r="AI597" s="127" t="s">
        <v>2025</v>
      </c>
      <c r="AJ597" s="135"/>
      <c r="AK597" s="128"/>
      <c r="AL597" s="131"/>
      <c r="AM597" s="124" t="s">
        <v>232</v>
      </c>
      <c r="AN597" s="136" t="s">
        <v>2026</v>
      </c>
      <c r="AO597" s="137">
        <v>7.21</v>
      </c>
      <c r="AP597" s="128">
        <v>2411</v>
      </c>
      <c r="AQ597" s="128">
        <v>811.18</v>
      </c>
      <c r="AR597" s="128"/>
      <c r="AS597" s="128"/>
      <c r="AT597" s="122"/>
      <c r="AU597" s="124" t="s">
        <v>189</v>
      </c>
      <c r="AV597" s="115">
        <f>VLOOKUP(J597,'[63]ТР нефть'!$J$28:$BP$638,39,0)</f>
        <v>398.00000419899999</v>
      </c>
      <c r="AW597" s="115" t="str">
        <f>VLOOKUP(J597,'[63]ТР нефть'!$J$28:$BP$638,40,0)</f>
        <v>ГП</v>
      </c>
      <c r="AX597" s="115">
        <f>VLOOKUP(J597,'[63]ТР нефть'!$J$28:$BP$638,41,0)</f>
        <v>770.00003261699999</v>
      </c>
      <c r="AY597" s="115" t="str">
        <f>VLOOKUP(J597,'[63]ТР нефть'!$J$28:$BP$638,42,0)</f>
        <v>ГП</v>
      </c>
      <c r="AZ597" s="115">
        <f>VLOOKUP(J597,'[63]ТР нефть'!$J$28:$BP$638,43,0)</f>
        <v>1123.000030078</v>
      </c>
      <c r="BA597" s="115" t="str">
        <f>VLOOKUP(J597,'[63]ТР нефть'!$J$28:$BP$638,44,0)</f>
        <v>ГК 82 5/32</v>
      </c>
      <c r="BB597" s="115">
        <f>VLOOKUP(J597,'[63]ТР нефть'!$J$28:$BP$638,45,0)</f>
        <v>1424.0000015630001</v>
      </c>
      <c r="BC597" s="115" t="str">
        <f>VLOOKUP(J597,'[63]ТР нефть'!$J$28:$BP$638,46,0)</f>
        <v>ГК 82 5/16</v>
      </c>
      <c r="BD597" s="115">
        <f>VLOOKUP(J597,'[63]ТР нефть'!$J$28:$BP$638,47,0)</f>
        <v>1664.0000871090001</v>
      </c>
      <c r="BE597" s="115" t="str">
        <f>VLOOKUP(J597,'[63]ТР нефть'!$J$28:$BP$638,48,0)</f>
        <v>ГК 82 5/16</v>
      </c>
      <c r="BF597" s="115">
        <f>VLOOKUP(J597,'[63]ТР нефть'!$J$28:$BP$638,49,0)</f>
        <v>1831</v>
      </c>
      <c r="BG597" s="115" t="str">
        <f>VLOOKUP(J597,'[63]ТР нефть'!$J$28:$BP$638,50,0)</f>
        <v>ЦКсОК 5/16</v>
      </c>
      <c r="BH597" s="115" t="str">
        <f>VLOOKUP(J597,'[63]ТР нефть'!$J$28:$BP$638,51,0)</f>
        <v>-</v>
      </c>
      <c r="BI597" s="115" t="str">
        <f>VLOOKUP(J597,'[63]ТР нефть'!$J$28:$BP$638,52,0)</f>
        <v>-</v>
      </c>
      <c r="BJ597" s="115" t="str">
        <f>IF(IFERROR(VLOOKUP(J597,'[63]ТР нефть'!$J$28:$BP$638,53,0),"-")=0,"-",IFERROR(VLOOKUP(J597,'[63]ТР нефть'!$J$28:$BP$638,53,0),"-"))</f>
        <v>-</v>
      </c>
      <c r="BK597" s="138" t="str">
        <f>IF(IFERROR(VLOOKUP(J597,'[63]ТР нефть'!$J$28:$BP$638,54,0),"-")=0,"-",IFERROR(VLOOKUP(J597,'[63]ТР нефть'!$J$28:$BP$638,54,0),"-"))</f>
        <v>-</v>
      </c>
      <c r="BL597" s="138" t="str">
        <f>IF(IFERROR(VLOOKUP(J597,'[63]ТР нефть'!$J$28:$BP$638,55,0),"-")=0,"-",IFERROR(VLOOKUP(J597,'[63]ТР нефть'!$J$28:$BP$638,55,0),"-"))</f>
        <v>-</v>
      </c>
      <c r="BM597" s="138" t="str">
        <f>IF(IFERROR(VLOOKUP(J597,'[63]ТР нефть'!$J$28:$BP$638,56,0),"-")=0,"-",IFERROR(VLOOKUP(J597,'[63]ТР нефть'!$J$28:$BP$638,56,0),"-"))</f>
        <v>-</v>
      </c>
      <c r="BN597" s="138" t="str">
        <f>IF(IFERROR(VLOOKUP(J597,'[63]ТР нефть'!$J$28:$BP$638,57,0),"-")=0,"-",IFERROR(VLOOKUP(J597,'[63]ТР нефть'!$J$28:$BP$638,57,0),"-"))</f>
        <v>-</v>
      </c>
      <c r="BO597" s="115" t="str">
        <f>IF(IFERROR(VLOOKUP(J597,'[63]ТР нефть'!$J$28:$BP$638,58,0),"-")=0,"-",IFERROR(VLOOKUP(J597,'[63]ТР нефть'!$J$28:$BP$638,58,0),"-"))</f>
        <v>-</v>
      </c>
      <c r="BP597" s="115" t="str">
        <f>IF(IFERROR(VLOOKUP(J597,'[63]ТР нефть'!$J$28:$BP$638,59,0),"-")=0,"-",IFERROR(VLOOKUP(J597,'[63]ТР нефть'!$J$28:$BP$638,59,0),"-"))</f>
        <v>-</v>
      </c>
      <c r="BQ597" s="138">
        <v>2377</v>
      </c>
      <c r="BR597" s="128">
        <v>1877</v>
      </c>
      <c r="BS597" s="115">
        <f t="shared" si="499"/>
        <v>500</v>
      </c>
      <c r="BT597" s="128">
        <v>73</v>
      </c>
      <c r="BU597" s="128">
        <v>5.5</v>
      </c>
      <c r="BV597" s="127">
        <v>18</v>
      </c>
      <c r="BW597" s="127" t="s">
        <v>217</v>
      </c>
      <c r="BX597" s="127" t="s">
        <v>195</v>
      </c>
      <c r="BY597" s="139">
        <v>24</v>
      </c>
      <c r="BZ597" s="139">
        <v>0</v>
      </c>
      <c r="CA597" s="138">
        <v>22</v>
      </c>
      <c r="CB597" s="138">
        <v>40</v>
      </c>
      <c r="CC597" s="138">
        <v>21</v>
      </c>
      <c r="CD597" s="135">
        <v>45017</v>
      </c>
      <c r="CE597" s="138">
        <v>118</v>
      </c>
      <c r="CF597" s="138">
        <v>68</v>
      </c>
      <c r="CG597" s="138"/>
      <c r="CH597" s="138"/>
      <c r="CI597" s="127"/>
      <c r="CJ597" s="138"/>
      <c r="CK597" s="138">
        <f t="shared" si="488"/>
        <v>36</v>
      </c>
      <c r="CL597" s="99"/>
      <c r="CM597" s="99"/>
      <c r="CN597" s="140">
        <v>58</v>
      </c>
      <c r="CO597" s="141">
        <f t="shared" si="442"/>
        <v>4.5770999999999997</v>
      </c>
      <c r="CP597" s="142">
        <v>7.5</v>
      </c>
      <c r="CQ597" s="143">
        <v>27</v>
      </c>
      <c r="CR597" s="138">
        <v>12</v>
      </c>
      <c r="CS597" s="139">
        <v>10</v>
      </c>
      <c r="CT597" s="138"/>
      <c r="CU597" s="138">
        <f t="shared" si="475"/>
        <v>2</v>
      </c>
      <c r="CV597" s="115">
        <f t="shared" si="476"/>
        <v>436.95789910642111</v>
      </c>
      <c r="CW597" s="115">
        <f t="shared" si="443"/>
        <v>1444.6587354902088</v>
      </c>
      <c r="CX597" s="133">
        <f t="shared" si="477"/>
        <v>0.125</v>
      </c>
      <c r="CY597" s="116"/>
      <c r="CZ597" s="131"/>
      <c r="DA597" s="145" t="str">
        <f t="shared" si="478"/>
        <v>Газлифт</v>
      </c>
      <c r="DB597" s="146">
        <f t="shared" si="468"/>
        <v>4.5770999999999997</v>
      </c>
      <c r="DC597" s="142">
        <f t="shared" si="469"/>
        <v>7.5</v>
      </c>
      <c r="DD597" s="119">
        <f t="shared" si="470"/>
        <v>27</v>
      </c>
      <c r="DE597" s="115">
        <f t="shared" si="471"/>
        <v>2</v>
      </c>
      <c r="DF597" s="121">
        <f t="shared" si="472"/>
        <v>10</v>
      </c>
      <c r="DG597" s="115">
        <f t="shared" si="446"/>
        <v>436.95789910642111</v>
      </c>
      <c r="DH597" s="115">
        <f t="shared" si="447"/>
        <v>58</v>
      </c>
      <c r="DI597" s="147"/>
      <c r="DJ597" s="111"/>
      <c r="DK597" s="112">
        <v>43812</v>
      </c>
      <c r="DL597" s="113">
        <f t="shared" ca="1" si="480"/>
        <v>1292</v>
      </c>
      <c r="DM597" s="114"/>
      <c r="DN597" s="114"/>
      <c r="DO597" s="114"/>
      <c r="DP597" s="114"/>
      <c r="DQ597" s="112" t="s">
        <v>2027</v>
      </c>
      <c r="DR597" s="114" t="s">
        <v>198</v>
      </c>
      <c r="DS597" s="114"/>
      <c r="DT597" s="115">
        <v>60</v>
      </c>
      <c r="DU597" s="116">
        <f t="shared" si="481"/>
        <v>0.12931034482758622</v>
      </c>
      <c r="DV597" s="117">
        <f t="shared" si="495"/>
        <v>4.5770999999999997</v>
      </c>
      <c r="DW597" s="118">
        <f t="shared" si="496"/>
        <v>7.5</v>
      </c>
      <c r="DX597" s="119">
        <f t="shared" si="497"/>
        <v>27</v>
      </c>
      <c r="DY597" s="115">
        <f t="shared" si="498"/>
        <v>2</v>
      </c>
      <c r="DZ597" s="117">
        <f t="shared" si="482"/>
        <v>0</v>
      </c>
      <c r="EA597" s="120">
        <f t="shared" si="482"/>
        <v>0</v>
      </c>
      <c r="EB597" s="119">
        <f t="shared" si="482"/>
        <v>0</v>
      </c>
      <c r="EC597" s="121">
        <f t="shared" si="464"/>
        <v>0</v>
      </c>
      <c r="ED597" s="122"/>
      <c r="EE597" s="145">
        <v>18</v>
      </c>
      <c r="EF597" s="115">
        <v>19</v>
      </c>
      <c r="EG597" s="115">
        <v>42</v>
      </c>
      <c r="EH597" s="115">
        <v>18</v>
      </c>
      <c r="EI597" s="128" t="s">
        <v>195</v>
      </c>
      <c r="EJ597" s="121">
        <v>24</v>
      </c>
      <c r="EK597" s="121">
        <v>0</v>
      </c>
      <c r="EL597" s="149">
        <v>4.8822399999999995</v>
      </c>
      <c r="EM597" s="142">
        <v>8</v>
      </c>
      <c r="EN597" s="119">
        <v>27</v>
      </c>
      <c r="EO597" s="115">
        <v>17</v>
      </c>
      <c r="EP597" s="115">
        <v>860.2608638657664</v>
      </c>
      <c r="EQ597" s="115">
        <v>66</v>
      </c>
      <c r="ER597" s="115">
        <v>12.8</v>
      </c>
      <c r="ES597" s="115">
        <v>58</v>
      </c>
      <c r="ET597" s="150">
        <v>0.13333333333333333</v>
      </c>
      <c r="EU597" s="145">
        <f t="shared" si="457"/>
        <v>18</v>
      </c>
      <c r="EV597" s="115">
        <f t="shared" si="448"/>
        <v>22</v>
      </c>
      <c r="EW597" s="115">
        <f t="shared" si="448"/>
        <v>40</v>
      </c>
      <c r="EX597" s="115">
        <f t="shared" si="448"/>
        <v>21</v>
      </c>
      <c r="EY597" s="115" t="str">
        <f t="shared" si="489"/>
        <v>Постоянный</v>
      </c>
      <c r="EZ597" s="115">
        <f t="shared" si="489"/>
        <v>24</v>
      </c>
      <c r="FA597" s="115">
        <f t="shared" si="489"/>
        <v>0</v>
      </c>
      <c r="FB597" s="149">
        <f t="shared" si="461"/>
        <v>4.5770999999999997</v>
      </c>
      <c r="FC597" s="142">
        <f t="shared" si="461"/>
        <v>7.5</v>
      </c>
      <c r="FD597" s="119">
        <f t="shared" si="461"/>
        <v>27</v>
      </c>
      <c r="FE597" s="121">
        <f t="shared" si="460"/>
        <v>12</v>
      </c>
      <c r="FF597" s="121">
        <f t="shared" si="462"/>
        <v>436.95789910642111</v>
      </c>
      <c r="FG597" s="121">
        <f t="shared" si="449"/>
        <v>68</v>
      </c>
      <c r="FH597" s="121">
        <f t="shared" si="491"/>
        <v>10</v>
      </c>
      <c r="FI597" s="121">
        <f t="shared" si="483"/>
        <v>58</v>
      </c>
      <c r="FJ597" s="144">
        <f t="shared" si="450"/>
        <v>0.125</v>
      </c>
      <c r="FK597" s="132">
        <f t="shared" si="451"/>
        <v>0</v>
      </c>
      <c r="FL597" s="115">
        <f t="shared" si="451"/>
        <v>3</v>
      </c>
      <c r="FM597" s="115">
        <f t="shared" si="451"/>
        <v>-2</v>
      </c>
      <c r="FN597" s="115">
        <f t="shared" si="451"/>
        <v>3</v>
      </c>
      <c r="FO597" s="115">
        <f t="shared" si="492"/>
        <v>0</v>
      </c>
      <c r="FP597" s="115">
        <f t="shared" si="492"/>
        <v>0</v>
      </c>
      <c r="FQ597" s="149">
        <f t="shared" si="492"/>
        <v>-0.30513999999999974</v>
      </c>
      <c r="FR597" s="142">
        <f t="shared" si="492"/>
        <v>-0.5</v>
      </c>
      <c r="FS597" s="119">
        <f t="shared" si="492"/>
        <v>0</v>
      </c>
      <c r="FT597" s="121">
        <f t="shared" si="492"/>
        <v>-5</v>
      </c>
      <c r="FU597" s="121">
        <f t="shared" si="452"/>
        <v>2</v>
      </c>
      <c r="FV597" s="121">
        <f t="shared" si="452"/>
        <v>-2.8000000000000007</v>
      </c>
      <c r="FW597" s="121">
        <f t="shared" si="453"/>
        <v>-423.30296475934529</v>
      </c>
      <c r="FX597" s="121">
        <f t="shared" si="454"/>
        <v>0</v>
      </c>
      <c r="FY597" s="144">
        <f t="shared" si="454"/>
        <v>-8.3333333333333315E-3</v>
      </c>
      <c r="FZ597" s="1052"/>
      <c r="GA597" s="151"/>
      <c r="GB597" s="1052"/>
      <c r="GC597" s="151"/>
      <c r="GD597" s="997" t="s">
        <v>220</v>
      </c>
      <c r="GE597" s="1004"/>
      <c r="GF597" s="1004">
        <v>1.0031999999999992</v>
      </c>
      <c r="GG597" s="1004" t="s">
        <v>223</v>
      </c>
      <c r="GH597" s="1004">
        <v>-1.3091759999999995</v>
      </c>
      <c r="GI597" s="1052"/>
      <c r="GJ597" s="996">
        <v>-0.44725999999999999</v>
      </c>
      <c r="GK597" s="1052"/>
      <c r="GL597" s="996">
        <v>-0.68468400000000074</v>
      </c>
      <c r="GM597" s="1005"/>
      <c r="GN597" s="996">
        <v>0</v>
      </c>
      <c r="GO597" s="1006"/>
      <c r="GP597" s="996">
        <v>0</v>
      </c>
      <c r="GQ597" s="1006"/>
      <c r="GR597" s="996">
        <v>0</v>
      </c>
      <c r="GS597" s="1006" t="s">
        <v>203</v>
      </c>
      <c r="GT597" s="996">
        <v>-1.1787599999999987</v>
      </c>
      <c r="GU597" s="1006" t="s">
        <v>2028</v>
      </c>
      <c r="GV597" s="996">
        <v>-4.5250705786000003</v>
      </c>
      <c r="GW597" s="1006" t="s">
        <v>25</v>
      </c>
      <c r="GX597" s="996">
        <v>12.023990578599999</v>
      </c>
      <c r="GY597" s="1006"/>
      <c r="GZ597" s="996">
        <v>0</v>
      </c>
      <c r="HA597" s="1006"/>
      <c r="HB597" s="996">
        <v>-7.975439999999999</v>
      </c>
      <c r="HC597" s="1006"/>
      <c r="HD597" s="996">
        <v>0</v>
      </c>
      <c r="HE597" s="1006"/>
      <c r="HF597" s="996">
        <v>-0.13376000000000055</v>
      </c>
      <c r="HG597" s="1006" t="s">
        <v>199</v>
      </c>
      <c r="HH597" s="996">
        <v>-4.2019450000000003</v>
      </c>
      <c r="HI597" s="1006"/>
      <c r="HJ597" s="996">
        <v>0</v>
      </c>
      <c r="HK597" s="1006" t="s">
        <v>199</v>
      </c>
      <c r="HL597" s="996">
        <v>-2.7492796320000004</v>
      </c>
      <c r="HM597" s="1006"/>
      <c r="HN597" s="996">
        <v>0</v>
      </c>
      <c r="HO597" s="1006"/>
      <c r="HP597" s="996">
        <v>0</v>
      </c>
      <c r="HQ597" s="1006"/>
      <c r="HR597" s="996">
        <v>0</v>
      </c>
      <c r="HS597" s="1006" t="s">
        <v>643</v>
      </c>
      <c r="HT597" s="996">
        <v>0</v>
      </c>
      <c r="HU597" s="1006" t="s">
        <v>199</v>
      </c>
      <c r="HV597" s="996">
        <v>-6.8730803679999992</v>
      </c>
      <c r="HW597" s="1006" t="s">
        <v>199</v>
      </c>
      <c r="HX597" s="996">
        <v>9.9784959999999998</v>
      </c>
      <c r="HY597" s="1006"/>
      <c r="HZ597" s="996">
        <v>0</v>
      </c>
      <c r="IA597" s="1006"/>
      <c r="IB597" s="996">
        <v>-0.65709600000000012</v>
      </c>
      <c r="IC597" s="1006" t="s">
        <v>199</v>
      </c>
      <c r="ID597" s="996">
        <v>-4.3254640000000002</v>
      </c>
      <c r="IE597" s="1006" t="s">
        <v>363</v>
      </c>
      <c r="IF597" s="996">
        <v>6.4209816000000002</v>
      </c>
      <c r="IG597" s="1006" t="s">
        <v>239</v>
      </c>
      <c r="IH597" s="996">
        <v>-4.9713575999999993</v>
      </c>
      <c r="II597" s="1006"/>
      <c r="IJ597" s="996">
        <v>0</v>
      </c>
      <c r="IK597" s="1006"/>
      <c r="IL597" s="996">
        <v>0</v>
      </c>
      <c r="IM597" s="1006" t="s">
        <v>199</v>
      </c>
      <c r="IN597" s="996">
        <v>-3.5112000000000005</v>
      </c>
      <c r="IO597" s="1006"/>
      <c r="IP597" s="996">
        <v>0</v>
      </c>
      <c r="IQ597" s="1006" t="s">
        <v>204</v>
      </c>
      <c r="IR597" s="996">
        <v>62.060460000000006</v>
      </c>
      <c r="IS597" s="1006"/>
      <c r="IT597" s="996">
        <v>-0.43686852000000087</v>
      </c>
      <c r="IU597" s="1006" t="s">
        <v>25</v>
      </c>
      <c r="IV597" s="996">
        <v>2.8069285200000005</v>
      </c>
      <c r="IW597" s="1006"/>
      <c r="IX597" s="996">
        <v>0</v>
      </c>
      <c r="IY597" s="1006" t="s">
        <v>199</v>
      </c>
      <c r="IZ597" s="996">
        <v>-2.5531038720000003</v>
      </c>
      <c r="JA597" s="1006"/>
      <c r="JB597" s="996">
        <v>0.48400387200000061</v>
      </c>
      <c r="JC597" s="1006"/>
      <c r="JD597" s="996">
        <v>0</v>
      </c>
      <c r="JE597" s="1006" t="s">
        <v>933</v>
      </c>
      <c r="JF597" s="996">
        <v>-14.808067999999997</v>
      </c>
      <c r="JG597" s="1006" t="s">
        <v>223</v>
      </c>
      <c r="JH597" s="996">
        <v>-7.5256720000000001</v>
      </c>
      <c r="JI597" s="1006" t="s">
        <v>25</v>
      </c>
      <c r="JJ597" s="996">
        <v>30.196319999999996</v>
      </c>
      <c r="JK597" s="1007"/>
      <c r="JL597" s="1007"/>
      <c r="JM597" s="1007"/>
      <c r="JN597" s="1007"/>
      <c r="JO597" s="1008"/>
      <c r="JP597" s="1007"/>
      <c r="JQ597" s="1008"/>
      <c r="JR597" s="1007"/>
      <c r="JS597" s="1008"/>
      <c r="JT597" s="1007"/>
      <c r="JU597" s="1008"/>
      <c r="JV597" s="1007"/>
      <c r="JW597" s="1008"/>
      <c r="JX597" s="1007"/>
      <c r="JY597" s="1008"/>
      <c r="JZ597" s="1007"/>
      <c r="KA597" s="1008"/>
      <c r="KB597" s="1007"/>
      <c r="KC597" s="1008"/>
      <c r="KD597" s="1007"/>
      <c r="KE597" s="1008"/>
      <c r="KF597" s="1007"/>
      <c r="KG597" s="1008"/>
      <c r="KH597" s="1007"/>
      <c r="KI597" s="1008"/>
      <c r="KJ597" s="1007"/>
      <c r="KK597" s="1008"/>
      <c r="KL597" s="1007"/>
      <c r="KM597" s="1008"/>
      <c r="KN597" s="1007"/>
      <c r="KO597" s="1008"/>
      <c r="KP597" s="1007"/>
      <c r="KQ597" s="1008"/>
      <c r="KR597" s="1007"/>
      <c r="KS597" s="1008"/>
      <c r="KT597" s="1007"/>
      <c r="KU597" s="1008"/>
      <c r="KV597" s="1007"/>
      <c r="KW597" s="1008"/>
      <c r="KX597" s="1007"/>
      <c r="KY597" s="1008"/>
      <c r="KZ597" s="1007"/>
      <c r="LA597" s="1008"/>
      <c r="LB597" s="1007"/>
      <c r="LC597" s="1008"/>
      <c r="LD597" s="1007"/>
      <c r="LE597" s="1008"/>
      <c r="LF597" s="1007"/>
      <c r="LG597" s="1008"/>
      <c r="LH597" s="1007"/>
      <c r="LI597" s="1008"/>
      <c r="LJ597" s="1007"/>
      <c r="LK597" s="1008"/>
      <c r="LL597" s="1007"/>
      <c r="LM597" s="1008"/>
      <c r="LN597" s="1007"/>
      <c r="LO597" s="1008"/>
      <c r="LP597" s="1007"/>
      <c r="LQ597" s="1008"/>
      <c r="LR597" s="1007"/>
      <c r="LS597" s="1008"/>
      <c r="LT597" s="1007"/>
      <c r="LU597" s="1008"/>
      <c r="LV597" s="1007"/>
      <c r="LW597" s="1008"/>
      <c r="LX597" s="1007"/>
      <c r="LY597" s="1009"/>
      <c r="LZ597" s="1010"/>
      <c r="MA597" s="1011"/>
      <c r="MB597" s="1012"/>
      <c r="MC597" s="995"/>
      <c r="MD597" s="996"/>
      <c r="ME597" s="997" t="s">
        <v>220</v>
      </c>
      <c r="MF597" s="997"/>
      <c r="MG597" s="998"/>
      <c r="NR597" s="1000"/>
      <c r="NS597" s="1000"/>
      <c r="NT597" s="1001"/>
      <c r="NU597" s="1000"/>
      <c r="NV597" s="1001"/>
      <c r="NX597" s="1002"/>
      <c r="NZ597" s="1001"/>
      <c r="OA597" s="1001"/>
      <c r="OC597" s="1003"/>
      <c r="OD597" s="1003"/>
      <c r="OE597" s="1001"/>
      <c r="OF597" s="1003"/>
      <c r="OG597" s="1003"/>
      <c r="OH597" s="1003"/>
      <c r="OI597" s="1016"/>
      <c r="QX597" s="1000">
        <f>CN597-CA597</f>
        <v>36</v>
      </c>
      <c r="ASU597" s="999" t="s">
        <v>455</v>
      </c>
    </row>
    <row r="598" spans="1:466 1191:1191" ht="21" customHeight="1" x14ac:dyDescent="0.25">
      <c r="A598" s="982">
        <f t="shared" si="441"/>
        <v>3413</v>
      </c>
      <c r="B598" s="124">
        <f>SUBTOTAL(103,$J$29:J598)</f>
        <v>570</v>
      </c>
      <c r="C598" s="126">
        <v>45068</v>
      </c>
      <c r="D598" s="124" t="s">
        <v>176</v>
      </c>
      <c r="E598" s="127" t="s">
        <v>177</v>
      </c>
      <c r="F598" s="128" t="s">
        <v>177</v>
      </c>
      <c r="G598" s="127" t="s">
        <v>178</v>
      </c>
      <c r="H598" s="127" t="s">
        <v>179</v>
      </c>
      <c r="I598" s="127" t="s">
        <v>1417</v>
      </c>
      <c r="J598" s="152">
        <v>3413</v>
      </c>
      <c r="K598" s="127" t="s">
        <v>2020</v>
      </c>
      <c r="L598" s="130">
        <v>43069</v>
      </c>
      <c r="M598" s="127" t="s">
        <v>230</v>
      </c>
      <c r="N598" s="127" t="s">
        <v>184</v>
      </c>
      <c r="O598" s="127" t="s">
        <v>185</v>
      </c>
      <c r="P598" s="127" t="s">
        <v>292</v>
      </c>
      <c r="Q598" s="85" t="str">
        <f t="shared" si="493"/>
        <v/>
      </c>
      <c r="R598" s="130"/>
      <c r="S598" s="128"/>
      <c r="T598" s="131"/>
      <c r="U598" s="132">
        <v>203</v>
      </c>
      <c r="V598" s="121">
        <v>218.2</v>
      </c>
      <c r="W598" s="116">
        <v>0.98</v>
      </c>
      <c r="X598" s="116">
        <v>1.66</v>
      </c>
      <c r="Y598" s="116">
        <f t="shared" si="463"/>
        <v>1.0441591784338895</v>
      </c>
      <c r="Z598" s="133">
        <v>1.454</v>
      </c>
      <c r="AA598" s="133">
        <v>0.83599999999999997</v>
      </c>
      <c r="AB598" s="133">
        <v>0.72</v>
      </c>
      <c r="AC598" s="121">
        <v>34.299999999999997</v>
      </c>
      <c r="AD598" s="134">
        <v>1.17</v>
      </c>
      <c r="AE598" s="124">
        <v>177.8</v>
      </c>
      <c r="AF598" s="128">
        <v>9.19</v>
      </c>
      <c r="AG598" s="128">
        <v>2056</v>
      </c>
      <c r="AH598" s="127">
        <v>2051</v>
      </c>
      <c r="AI598" s="127">
        <v>2051</v>
      </c>
      <c r="AJ598" s="135">
        <v>43028</v>
      </c>
      <c r="AK598" s="128" t="s">
        <v>2029</v>
      </c>
      <c r="AL598" s="131"/>
      <c r="AM598" s="124" t="s">
        <v>985</v>
      </c>
      <c r="AN598" s="136" t="s">
        <v>2030</v>
      </c>
      <c r="AO598" s="137">
        <v>12.99</v>
      </c>
      <c r="AP598" s="128">
        <v>1990</v>
      </c>
      <c r="AQ598" s="128">
        <v>193.13</v>
      </c>
      <c r="AR598" s="128"/>
      <c r="AS598" s="128"/>
      <c r="AT598" s="122"/>
      <c r="AU598" s="124" t="s">
        <v>189</v>
      </c>
      <c r="AV598" s="115">
        <f>VLOOKUP(J598,'[63]ТР нефть'!$J$28:$BP$638,39,0)</f>
        <v>500.00002939500001</v>
      </c>
      <c r="AW598" s="115" t="str">
        <f>VLOOKUP(J598,'[63]ТР нефть'!$J$28:$BP$638,40,0)</f>
        <v>ГП</v>
      </c>
      <c r="AX598" s="115">
        <f>VLOOKUP(J598,'[63]ТР нефть'!$J$28:$BP$638,41,0)</f>
        <v>900.00006035199999</v>
      </c>
      <c r="AY598" s="115" t="str">
        <f>VLOOKUP(J598,'[63]ТР нефть'!$J$28:$BP$638,42,0)</f>
        <v>ГП</v>
      </c>
      <c r="AZ598" s="115">
        <f>VLOOKUP(J598,'[63]ТР нефть'!$J$28:$BP$638,43,0)</f>
        <v>1239.999995508</v>
      </c>
      <c r="BA598" s="115" t="str">
        <f>VLOOKUP(J598,'[63]ТР нефть'!$J$28:$BP$638,44,0)</f>
        <v>ГК 86 5/32</v>
      </c>
      <c r="BB598" s="115">
        <f>VLOOKUP(J598,'[63]ТР нефть'!$J$28:$BP$638,45,0)</f>
        <v>1520.000095312</v>
      </c>
      <c r="BC598" s="115" t="str">
        <f>VLOOKUP(J598,'[63]ТР нефть'!$J$28:$BP$638,46,0)</f>
        <v>ГК 86 5/32</v>
      </c>
      <c r="BD598" s="115">
        <f>VLOOKUP(J598,'[63]ТР нефть'!$J$28:$BP$638,47,0)</f>
        <v>1780.000001953</v>
      </c>
      <c r="BE598" s="115" t="str">
        <f>VLOOKUP(J598,'[63]ТР нефть'!$J$28:$BP$638,48,0)</f>
        <v>ЦКсОК 5/16</v>
      </c>
      <c r="BF598" s="115" t="str">
        <f>VLOOKUP(J598,'[63]ТР нефть'!$J$28:$BP$638,49,0)</f>
        <v>-</v>
      </c>
      <c r="BG598" s="115" t="str">
        <f>VLOOKUP(J598,'[63]ТР нефть'!$J$28:$BP$638,50,0)</f>
        <v>-</v>
      </c>
      <c r="BH598" s="115">
        <f>VLOOKUP(J598,'[63]ТР нефть'!$J$28:$BP$638,51,0)</f>
        <v>1830</v>
      </c>
      <c r="BI598" s="115" t="str">
        <f>VLOOKUP(J598,'[63]ТР нефть'!$J$28:$BP$638,52,0)</f>
        <v>закрыт</v>
      </c>
      <c r="BJ598" s="115" t="str">
        <f>IF(IFERROR(VLOOKUP(J598,'[63]ТР нефть'!$J$28:$BP$638,53,0),"-")=0,"-",IFERROR(VLOOKUP(J598,'[63]ТР нефть'!$J$28:$BP$638,53,0),"-"))</f>
        <v>-</v>
      </c>
      <c r="BK598" s="138" t="str">
        <f>IF(IFERROR(VLOOKUP(J598,'[63]ТР нефть'!$J$28:$BP$638,54,0),"-")=0,"-",IFERROR(VLOOKUP(J598,'[63]ТР нефть'!$J$28:$BP$638,54,0),"-"))</f>
        <v>-</v>
      </c>
      <c r="BL598" s="138" t="str">
        <f>IF(IFERROR(VLOOKUP(J598,'[63]ТР нефть'!$J$28:$BP$638,55,0),"-")=0,"-",IFERROR(VLOOKUP(J598,'[63]ТР нефть'!$J$28:$BP$638,55,0),"-"))</f>
        <v>-</v>
      </c>
      <c r="BM598" s="138" t="str">
        <f>IF(IFERROR(VLOOKUP(J598,'[63]ТР нефть'!$J$28:$BP$638,56,0),"-")=0,"-",IFERROR(VLOOKUP(J598,'[63]ТР нефть'!$J$28:$BP$638,56,0),"-"))</f>
        <v>-</v>
      </c>
      <c r="BN598" s="138" t="str">
        <f>IF(IFERROR(VLOOKUP(J598,'[63]ТР нефть'!$J$28:$BP$638,57,0),"-")=0,"-",IFERROR(VLOOKUP(J598,'[63]ТР нефть'!$J$28:$BP$638,57,0),"-"))</f>
        <v>-</v>
      </c>
      <c r="BO598" s="115" t="str">
        <f>IF(IFERROR(VLOOKUP(J598,'[63]ТР нефть'!$J$28:$BP$638,58,0),"-")=0,"-",IFERROR(VLOOKUP(J598,'[63]ТР нефть'!$J$28:$BP$638,58,0),"-"))</f>
        <v>-</v>
      </c>
      <c r="BP598" s="115" t="str">
        <f>IF(IFERROR(VLOOKUP(J598,'[63]ТР нефть'!$J$28:$BP$638,59,0),"-")=0,"-",IFERROR(VLOOKUP(J598,'[63]ТР нефть'!$J$28:$BP$638,59,0),"-"))</f>
        <v>-</v>
      </c>
      <c r="BQ598" s="138">
        <v>1968.05</v>
      </c>
      <c r="BR598" s="128">
        <v>1789.49</v>
      </c>
      <c r="BS598" s="115">
        <f t="shared" si="499"/>
        <v>178.55999999999995</v>
      </c>
      <c r="BT598" s="128">
        <v>73</v>
      </c>
      <c r="BU598" s="128">
        <v>5.5</v>
      </c>
      <c r="BV598" s="127">
        <v>18</v>
      </c>
      <c r="BW598" s="127" t="s">
        <v>217</v>
      </c>
      <c r="BX598" s="127" t="s">
        <v>218</v>
      </c>
      <c r="BY598" s="139">
        <v>24</v>
      </c>
      <c r="BZ598" s="139">
        <v>720</v>
      </c>
      <c r="CA598" s="138">
        <v>25</v>
      </c>
      <c r="CB598" s="138">
        <v>44</v>
      </c>
      <c r="CC598" s="138">
        <v>24</v>
      </c>
      <c r="CD598" s="135">
        <v>45017</v>
      </c>
      <c r="CE598" s="138">
        <v>111</v>
      </c>
      <c r="CF598" s="138">
        <v>77</v>
      </c>
      <c r="CG598" s="138" t="str">
        <f>IF(CH598&lt;&gt;"","В работе","")</f>
        <v>В работе</v>
      </c>
      <c r="CH598" s="138" t="s">
        <v>235</v>
      </c>
      <c r="CI598" s="127">
        <v>6</v>
      </c>
      <c r="CJ598" s="138"/>
      <c r="CK598" s="138">
        <f t="shared" si="488"/>
        <v>21</v>
      </c>
      <c r="CL598" s="99"/>
      <c r="CM598" s="99"/>
      <c r="CN598" s="140">
        <v>46</v>
      </c>
      <c r="CO598" s="141">
        <f t="shared" si="442"/>
        <v>2.1317999999999997</v>
      </c>
      <c r="CP598" s="142">
        <v>3</v>
      </c>
      <c r="CQ598" s="143">
        <v>15</v>
      </c>
      <c r="CR598" s="138">
        <v>6.5</v>
      </c>
      <c r="CS598" s="139">
        <v>5.8</v>
      </c>
      <c r="CT598" s="138"/>
      <c r="CU598" s="138">
        <f t="shared" si="475"/>
        <v>0.70000000000000018</v>
      </c>
      <c r="CV598" s="115">
        <f t="shared" si="476"/>
        <v>328.36100947556071</v>
      </c>
      <c r="CW598" s="115">
        <f t="shared" si="443"/>
        <v>2186.286705115157</v>
      </c>
      <c r="CX598" s="133">
        <f t="shared" si="477"/>
        <v>4.6153846153846156E-2</v>
      </c>
      <c r="CY598" s="116"/>
      <c r="CZ598" s="131"/>
      <c r="DA598" s="145" t="str">
        <f t="shared" si="478"/>
        <v>Газлифт</v>
      </c>
      <c r="DB598" s="146">
        <f t="shared" si="468"/>
        <v>2.1317999999999997</v>
      </c>
      <c r="DC598" s="142">
        <f t="shared" si="469"/>
        <v>3</v>
      </c>
      <c r="DD598" s="119">
        <f t="shared" si="470"/>
        <v>15</v>
      </c>
      <c r="DE598" s="115">
        <f t="shared" si="471"/>
        <v>0.70000000000000018</v>
      </c>
      <c r="DF598" s="121">
        <f t="shared" si="472"/>
        <v>5.8</v>
      </c>
      <c r="DG598" s="115">
        <f t="shared" si="446"/>
        <v>328.36100947556071</v>
      </c>
      <c r="DH598" s="115">
        <f t="shared" si="447"/>
        <v>46</v>
      </c>
      <c r="DI598" s="147"/>
      <c r="DJ598" s="111">
        <v>43528</v>
      </c>
      <c r="DK598" s="112">
        <v>44131</v>
      </c>
      <c r="DL598" s="113">
        <f t="shared" ca="1" si="480"/>
        <v>973</v>
      </c>
      <c r="DM598" s="114"/>
      <c r="DN598" s="114"/>
      <c r="DO598" s="114"/>
      <c r="DP598" s="114"/>
      <c r="DQ598" s="112">
        <v>43069</v>
      </c>
      <c r="DR598" s="114" t="s">
        <v>324</v>
      </c>
      <c r="DS598" s="114"/>
      <c r="DT598" s="115">
        <v>50</v>
      </c>
      <c r="DU598" s="116">
        <f t="shared" si="481"/>
        <v>4.9180327868852458E-2</v>
      </c>
      <c r="DV598" s="117">
        <f t="shared" si="495"/>
        <v>2.1317999999999997</v>
      </c>
      <c r="DW598" s="118">
        <f t="shared" si="496"/>
        <v>3</v>
      </c>
      <c r="DX598" s="119">
        <f t="shared" si="497"/>
        <v>15</v>
      </c>
      <c r="DY598" s="115">
        <f t="shared" si="498"/>
        <v>0.70000000000000018</v>
      </c>
      <c r="DZ598" s="117">
        <f t="shared" si="482"/>
        <v>0</v>
      </c>
      <c r="EA598" s="120">
        <f t="shared" si="482"/>
        <v>0</v>
      </c>
      <c r="EB598" s="119">
        <f t="shared" si="482"/>
        <v>0</v>
      </c>
      <c r="EC598" s="121">
        <f t="shared" si="464"/>
        <v>0</v>
      </c>
      <c r="ED598" s="122"/>
      <c r="EE598" s="145">
        <v>18</v>
      </c>
      <c r="EF598" s="115">
        <v>25</v>
      </c>
      <c r="EG598" s="115">
        <v>44</v>
      </c>
      <c r="EH598" s="115">
        <v>24</v>
      </c>
      <c r="EI598" s="128" t="s">
        <v>218</v>
      </c>
      <c r="EJ598" s="121">
        <v>24</v>
      </c>
      <c r="EK598" s="121">
        <v>720</v>
      </c>
      <c r="EL598" s="149">
        <v>2.1317999999999997</v>
      </c>
      <c r="EM598" s="142">
        <v>3</v>
      </c>
      <c r="EN598" s="119">
        <v>15</v>
      </c>
      <c r="EO598" s="115">
        <v>6.5</v>
      </c>
      <c r="EP598" s="115">
        <v>328.36100947556071</v>
      </c>
      <c r="EQ598" s="115">
        <v>77</v>
      </c>
      <c r="ER598" s="115">
        <v>5.8</v>
      </c>
      <c r="ES598" s="115">
        <v>46</v>
      </c>
      <c r="ET598" s="150">
        <v>4.6153846153846156E-2</v>
      </c>
      <c r="EU598" s="145">
        <f t="shared" si="457"/>
        <v>18</v>
      </c>
      <c r="EV598" s="115">
        <f t="shared" si="448"/>
        <v>25</v>
      </c>
      <c r="EW598" s="115">
        <f t="shared" si="448"/>
        <v>44</v>
      </c>
      <c r="EX598" s="115">
        <f t="shared" si="448"/>
        <v>24</v>
      </c>
      <c r="EY598" s="115" t="str">
        <f t="shared" si="489"/>
        <v>Периодический</v>
      </c>
      <c r="EZ598" s="115">
        <f t="shared" si="489"/>
        <v>24</v>
      </c>
      <c r="FA598" s="115">
        <f t="shared" si="489"/>
        <v>720</v>
      </c>
      <c r="FB598" s="149">
        <f t="shared" si="461"/>
        <v>2.1317999999999997</v>
      </c>
      <c r="FC598" s="142">
        <f t="shared" si="461"/>
        <v>3</v>
      </c>
      <c r="FD598" s="119">
        <f t="shared" si="461"/>
        <v>15</v>
      </c>
      <c r="FE598" s="121">
        <f t="shared" si="460"/>
        <v>6.5</v>
      </c>
      <c r="FF598" s="121">
        <f t="shared" si="462"/>
        <v>328.36100947556071</v>
      </c>
      <c r="FG598" s="121">
        <f t="shared" si="449"/>
        <v>77</v>
      </c>
      <c r="FH598" s="121">
        <f t="shared" si="491"/>
        <v>5.8</v>
      </c>
      <c r="FI598" s="121">
        <f t="shared" si="483"/>
        <v>46</v>
      </c>
      <c r="FJ598" s="144">
        <f t="shared" si="450"/>
        <v>4.6153846153846156E-2</v>
      </c>
      <c r="FK598" s="132">
        <f t="shared" si="451"/>
        <v>0</v>
      </c>
      <c r="FL598" s="115">
        <f t="shared" si="451"/>
        <v>0</v>
      </c>
      <c r="FM598" s="115">
        <f t="shared" si="451"/>
        <v>0</v>
      </c>
      <c r="FN598" s="115">
        <f t="shared" si="451"/>
        <v>0</v>
      </c>
      <c r="FO598" s="115">
        <f t="shared" si="492"/>
        <v>0</v>
      </c>
      <c r="FP598" s="115">
        <f t="shared" si="492"/>
        <v>0</v>
      </c>
      <c r="FQ598" s="149">
        <f t="shared" si="492"/>
        <v>0</v>
      </c>
      <c r="FR598" s="142">
        <f t="shared" si="492"/>
        <v>0</v>
      </c>
      <c r="FS598" s="119">
        <f t="shared" si="492"/>
        <v>0</v>
      </c>
      <c r="FT598" s="121">
        <f t="shared" si="492"/>
        <v>0</v>
      </c>
      <c r="FU598" s="121">
        <f t="shared" si="452"/>
        <v>0</v>
      </c>
      <c r="FV598" s="121">
        <f t="shared" si="452"/>
        <v>0</v>
      </c>
      <c r="FW598" s="121">
        <f t="shared" si="453"/>
        <v>0</v>
      </c>
      <c r="FX598" s="121">
        <f t="shared" si="454"/>
        <v>0</v>
      </c>
      <c r="FY598" s="144">
        <f t="shared" si="454"/>
        <v>0</v>
      </c>
      <c r="FZ598" s="145"/>
      <c r="GA598" s="151" t="s">
        <v>2031</v>
      </c>
      <c r="GB598" s="145"/>
      <c r="GC598" s="151" t="s">
        <v>2032</v>
      </c>
      <c r="GD598" s="997" t="s">
        <v>220</v>
      </c>
      <c r="GE598" s="1004"/>
      <c r="GF598" s="1004">
        <v>0</v>
      </c>
      <c r="GG598" s="1004"/>
      <c r="GH598" s="1004">
        <v>0</v>
      </c>
      <c r="GI598" s="145"/>
      <c r="GJ598" s="996">
        <v>0</v>
      </c>
      <c r="GK598" s="145"/>
      <c r="GL598" s="996">
        <v>0</v>
      </c>
      <c r="GM598" s="1005"/>
      <c r="GN598" s="996">
        <v>0</v>
      </c>
      <c r="GO598" s="1006"/>
      <c r="GP598" s="996">
        <v>0</v>
      </c>
      <c r="GQ598" s="1006"/>
      <c r="GR598" s="996">
        <v>0</v>
      </c>
      <c r="GS598" s="1006"/>
      <c r="GT598" s="996">
        <v>0</v>
      </c>
      <c r="GU598" s="1006"/>
      <c r="GV598" s="996">
        <v>0</v>
      </c>
      <c r="GW598" s="1006"/>
      <c r="GX598" s="996">
        <v>0</v>
      </c>
      <c r="GY598" s="1006"/>
      <c r="GZ598" s="996">
        <v>0</v>
      </c>
      <c r="HA598" s="1006"/>
      <c r="HB598" s="996">
        <v>0</v>
      </c>
      <c r="HC598" s="1006"/>
      <c r="HD598" s="996">
        <v>0</v>
      </c>
      <c r="HE598" s="1006"/>
      <c r="HF598" s="996">
        <v>0</v>
      </c>
      <c r="HG598" s="1006"/>
      <c r="HH598" s="996">
        <v>0</v>
      </c>
      <c r="HI598" s="1006"/>
      <c r="HJ598" s="996">
        <v>0</v>
      </c>
      <c r="HK598" s="1006"/>
      <c r="HL598" s="996">
        <v>-0.83600000000000008</v>
      </c>
      <c r="HM598" s="1006"/>
      <c r="HN598" s="996">
        <v>0</v>
      </c>
      <c r="HO598" s="1006"/>
      <c r="HP598" s="996">
        <v>0</v>
      </c>
      <c r="HQ598" s="1006"/>
      <c r="HR598" s="996">
        <v>0</v>
      </c>
      <c r="HS598" s="1006"/>
      <c r="HT598" s="996">
        <v>0</v>
      </c>
      <c r="HU598" s="1006"/>
      <c r="HV598" s="996">
        <v>-0.83599999999999985</v>
      </c>
      <c r="HW598" s="1006"/>
      <c r="HX598" s="996">
        <v>0</v>
      </c>
      <c r="HY598" s="1006"/>
      <c r="HZ598" s="996">
        <v>0</v>
      </c>
      <c r="IA598" s="1006"/>
      <c r="IB598" s="996">
        <v>0</v>
      </c>
      <c r="IC598" s="1006" t="s">
        <v>206</v>
      </c>
      <c r="ID598" s="996">
        <v>-7.8583999999999996</v>
      </c>
      <c r="IE598" s="1006"/>
      <c r="IF598" s="996">
        <v>0</v>
      </c>
      <c r="IG598" s="1006"/>
      <c r="IH598" s="996">
        <v>0</v>
      </c>
      <c r="II598" s="1006"/>
      <c r="IJ598" s="996">
        <v>0</v>
      </c>
      <c r="IK598" s="1006"/>
      <c r="IL598" s="996">
        <v>0</v>
      </c>
      <c r="IM598" s="1006" t="s">
        <v>204</v>
      </c>
      <c r="IN598" s="996">
        <v>-2.0181039999999992</v>
      </c>
      <c r="IO598" s="1006"/>
      <c r="IP598" s="996">
        <v>0</v>
      </c>
      <c r="IQ598" s="1006" t="s">
        <v>204</v>
      </c>
      <c r="IR598" s="996">
        <v>9.0405039999999985</v>
      </c>
      <c r="IS598" s="1006"/>
      <c r="IT598" s="996">
        <v>0</v>
      </c>
      <c r="IU598" s="1006"/>
      <c r="IV598" s="996">
        <v>0</v>
      </c>
      <c r="IW598" s="1006"/>
      <c r="IX598" s="996">
        <v>0</v>
      </c>
      <c r="IY598" s="1006"/>
      <c r="IZ598" s="996">
        <v>0</v>
      </c>
      <c r="JA598" s="1006"/>
      <c r="JB598" s="996">
        <v>0</v>
      </c>
      <c r="JC598" s="1006"/>
      <c r="JD598" s="996">
        <v>0</v>
      </c>
      <c r="JE598" s="1006"/>
      <c r="JF598" s="996">
        <v>0</v>
      </c>
      <c r="JG598" s="1006"/>
      <c r="JH598" s="996">
        <v>0</v>
      </c>
      <c r="JI598" s="1006"/>
      <c r="JJ598" s="996">
        <v>0</v>
      </c>
      <c r="JK598" s="1007"/>
      <c r="JL598" s="1007">
        <v>0</v>
      </c>
      <c r="JM598" s="1007" t="s">
        <v>199</v>
      </c>
      <c r="JN598" s="1007">
        <v>1.6636399999999998</v>
      </c>
      <c r="JO598" s="1008"/>
      <c r="JP598" s="1007">
        <v>0</v>
      </c>
      <c r="JQ598" s="1008" t="s">
        <v>199</v>
      </c>
      <c r="JR598" s="1007">
        <v>-2.9030099999999992</v>
      </c>
      <c r="JS598" s="1008">
        <v>0</v>
      </c>
      <c r="JT598" s="1007">
        <v>0</v>
      </c>
      <c r="JU598" s="1008"/>
      <c r="JV598" s="1007">
        <v>0</v>
      </c>
      <c r="JW598" s="1008" t="s">
        <v>197</v>
      </c>
      <c r="JX598" s="1007">
        <v>0</v>
      </c>
      <c r="JY598" s="1008"/>
      <c r="JZ598" s="1007">
        <v>0</v>
      </c>
      <c r="KA598" s="1008"/>
      <c r="KB598" s="1007">
        <v>0</v>
      </c>
      <c r="KC598" s="1008"/>
      <c r="KD598" s="1007">
        <v>0</v>
      </c>
      <c r="KE598" s="1008"/>
      <c r="KF598" s="1007">
        <v>0</v>
      </c>
      <c r="KG598" s="1008"/>
      <c r="KH598" s="1007">
        <v>0</v>
      </c>
      <c r="KI598" s="1008"/>
      <c r="KJ598" s="1007">
        <v>0</v>
      </c>
      <c r="KK598" s="1008"/>
      <c r="KL598" s="1007">
        <v>0</v>
      </c>
      <c r="KM598" s="1008"/>
      <c r="KN598" s="1007">
        <v>0</v>
      </c>
      <c r="KO598" s="1008" t="s">
        <v>206</v>
      </c>
      <c r="KP598" s="1007">
        <v>0.83307399999999943</v>
      </c>
      <c r="KQ598" s="1008">
        <v>0</v>
      </c>
      <c r="KR598" s="1007">
        <v>0</v>
      </c>
      <c r="KS598" s="1008">
        <v>0</v>
      </c>
      <c r="KT598" s="1007">
        <v>0</v>
      </c>
      <c r="KU598" s="1008">
        <v>0</v>
      </c>
      <c r="KV598" s="1007">
        <v>0</v>
      </c>
      <c r="KW598" s="1008" t="s">
        <v>204</v>
      </c>
      <c r="KX598" s="1007">
        <v>-0.84770399999999979</v>
      </c>
      <c r="KY598" s="1008">
        <v>0</v>
      </c>
      <c r="KZ598" s="1007">
        <v>0</v>
      </c>
      <c r="LA598" s="1008">
        <v>0</v>
      </c>
      <c r="LB598" s="1007">
        <v>0</v>
      </c>
      <c r="LC598" s="1008">
        <v>0</v>
      </c>
      <c r="LD598" s="1007">
        <v>0</v>
      </c>
      <c r="LE598" s="1008" t="s">
        <v>203</v>
      </c>
      <c r="LF598" s="1007">
        <v>-8.82</v>
      </c>
      <c r="LG598" s="1008">
        <v>0</v>
      </c>
      <c r="LH598" s="1007">
        <v>0</v>
      </c>
      <c r="LI598" s="1008">
        <v>0</v>
      </c>
      <c r="LJ598" s="1007">
        <v>0</v>
      </c>
      <c r="LK598" s="1008">
        <v>0</v>
      </c>
      <c r="LL598" s="1007">
        <v>0</v>
      </c>
      <c r="LM598" s="1008">
        <v>0</v>
      </c>
      <c r="LN598" s="1007">
        <v>0</v>
      </c>
      <c r="LO598" s="1008">
        <v>0</v>
      </c>
      <c r="LP598" s="1007">
        <v>0</v>
      </c>
      <c r="LQ598" s="1008">
        <v>0</v>
      </c>
      <c r="LR598" s="1007">
        <v>0</v>
      </c>
      <c r="LS598" s="1008">
        <v>0</v>
      </c>
      <c r="LT598" s="1007">
        <v>0</v>
      </c>
      <c r="LU598" s="1008">
        <v>0</v>
      </c>
      <c r="LV598" s="1007">
        <v>0</v>
      </c>
      <c r="LW598" s="1008">
        <v>0</v>
      </c>
      <c r="LX598" s="1007">
        <v>0</v>
      </c>
      <c r="LY598" s="1009">
        <v>0</v>
      </c>
      <c r="LZ598" s="1010">
        <v>0</v>
      </c>
      <c r="MA598" s="1011">
        <v>0</v>
      </c>
      <c r="MB598" s="1012">
        <v>0</v>
      </c>
      <c r="MC598" s="995"/>
      <c r="MD598" s="996"/>
      <c r="ME598" s="997" t="s">
        <v>220</v>
      </c>
      <c r="MF598" s="997"/>
      <c r="MG598" s="998"/>
      <c r="NR598" s="1000"/>
      <c r="NS598" s="1000"/>
      <c r="NT598" s="1001"/>
      <c r="NU598" s="1000"/>
      <c r="NV598" s="1001"/>
      <c r="NX598" s="1002"/>
      <c r="NZ598" s="1001"/>
      <c r="OA598" s="1001"/>
      <c r="OC598" s="1003"/>
      <c r="OD598" s="1003"/>
      <c r="OE598" s="1001"/>
      <c r="OF598" s="1003"/>
      <c r="OG598" s="1003"/>
      <c r="QX598" s="1000">
        <f>CN598-CA598</f>
        <v>21</v>
      </c>
      <c r="ASU598" s="999" t="s">
        <v>225</v>
      </c>
    </row>
    <row r="599" spans="1:466 1191:1191" ht="21" customHeight="1" x14ac:dyDescent="0.25">
      <c r="A599" s="982">
        <f t="shared" si="441"/>
        <v>3415</v>
      </c>
      <c r="B599" s="124">
        <f>SUBTOTAL(103,$J$29:J599)</f>
        <v>571</v>
      </c>
      <c r="C599" s="126">
        <v>45068</v>
      </c>
      <c r="D599" s="124" t="s">
        <v>176</v>
      </c>
      <c r="E599" s="127" t="s">
        <v>177</v>
      </c>
      <c r="F599" s="128" t="s">
        <v>177</v>
      </c>
      <c r="G599" s="127" t="s">
        <v>178</v>
      </c>
      <c r="H599" s="127" t="s">
        <v>179</v>
      </c>
      <c r="I599" s="127" t="s">
        <v>1822</v>
      </c>
      <c r="J599" s="152">
        <v>3415</v>
      </c>
      <c r="K599" s="127" t="s">
        <v>1822</v>
      </c>
      <c r="L599" s="130">
        <v>43908</v>
      </c>
      <c r="M599" s="127" t="s">
        <v>230</v>
      </c>
      <c r="N599" s="127" t="s">
        <v>184</v>
      </c>
      <c r="O599" s="127" t="s">
        <v>702</v>
      </c>
      <c r="P599" s="127" t="s">
        <v>292</v>
      </c>
      <c r="Q599" s="127">
        <v>-4</v>
      </c>
      <c r="R599" s="130"/>
      <c r="S599" s="128"/>
      <c r="T599" s="131"/>
      <c r="U599" s="132">
        <v>203</v>
      </c>
      <c r="V599" s="121">
        <v>218.2</v>
      </c>
      <c r="W599" s="116">
        <v>0.98</v>
      </c>
      <c r="X599" s="116">
        <v>1.66</v>
      </c>
      <c r="Y599" s="116">
        <f t="shared" si="463"/>
        <v>1.5522900763358776</v>
      </c>
      <c r="Z599" s="133">
        <v>1.454</v>
      </c>
      <c r="AA599" s="133">
        <v>0.83599999999999997</v>
      </c>
      <c r="AB599" s="133">
        <v>0.72</v>
      </c>
      <c r="AC599" s="121">
        <v>34.299999999999997</v>
      </c>
      <c r="AD599" s="134">
        <v>1.17</v>
      </c>
      <c r="AE599" s="124">
        <v>177.8</v>
      </c>
      <c r="AF599" s="128">
        <v>9.19</v>
      </c>
      <c r="AG599" s="128">
        <v>2243</v>
      </c>
      <c r="AH599" s="127">
        <v>2733</v>
      </c>
      <c r="AI599" s="127">
        <v>2733</v>
      </c>
      <c r="AJ599" s="135"/>
      <c r="AK599" s="128"/>
      <c r="AL599" s="131"/>
      <c r="AM599" s="124" t="s">
        <v>232</v>
      </c>
      <c r="AN599" s="136" t="s">
        <v>2033</v>
      </c>
      <c r="AO599" s="137">
        <f>1930.52-1928.05</f>
        <v>2.4700000000000273</v>
      </c>
      <c r="AP599" s="128">
        <v>2243</v>
      </c>
      <c r="AQ599" s="128">
        <f>AP599-1928.05</f>
        <v>314.95000000000005</v>
      </c>
      <c r="AR599" s="128"/>
      <c r="AS599" s="128"/>
      <c r="AT599" s="122"/>
      <c r="AU599" s="124" t="s">
        <v>192</v>
      </c>
      <c r="AV599" s="128" t="s">
        <v>192</v>
      </c>
      <c r="AW599" s="128" t="s">
        <v>192</v>
      </c>
      <c r="AX599" s="128" t="s">
        <v>192</v>
      </c>
      <c r="AY599" s="128" t="s">
        <v>192</v>
      </c>
      <c r="AZ599" s="128" t="s">
        <v>192</v>
      </c>
      <c r="BA599" s="128" t="s">
        <v>192</v>
      </c>
      <c r="BB599" s="128" t="s">
        <v>192</v>
      </c>
      <c r="BC599" s="128" t="s">
        <v>192</v>
      </c>
      <c r="BD599" s="128" t="s">
        <v>192</v>
      </c>
      <c r="BE599" s="128" t="s">
        <v>192</v>
      </c>
      <c r="BF599" s="128" t="s">
        <v>192</v>
      </c>
      <c r="BG599" s="128" t="s">
        <v>192</v>
      </c>
      <c r="BH599" s="128" t="s">
        <v>192</v>
      </c>
      <c r="BI599" s="128" t="s">
        <v>192</v>
      </c>
      <c r="BJ599" s="128" t="s">
        <v>192</v>
      </c>
      <c r="BK599" s="127" t="s">
        <v>192</v>
      </c>
      <c r="BL599" s="127" t="s">
        <v>192</v>
      </c>
      <c r="BM599" s="127" t="s">
        <v>192</v>
      </c>
      <c r="BN599" s="127" t="s">
        <v>192</v>
      </c>
      <c r="BO599" s="128" t="s">
        <v>192</v>
      </c>
      <c r="BP599" s="128" t="s">
        <v>192</v>
      </c>
      <c r="BQ599" s="138" t="s">
        <v>192</v>
      </c>
      <c r="BR599" s="128" t="s">
        <v>192</v>
      </c>
      <c r="BS599" s="115" t="s">
        <v>192</v>
      </c>
      <c r="BT599" s="128" t="s">
        <v>192</v>
      </c>
      <c r="BU599" s="128" t="s">
        <v>192</v>
      </c>
      <c r="BV599" s="127" t="s">
        <v>192</v>
      </c>
      <c r="BW599" s="127" t="s">
        <v>217</v>
      </c>
      <c r="BX599" s="127" t="s">
        <v>192</v>
      </c>
      <c r="BY599" s="139" t="s">
        <v>192</v>
      </c>
      <c r="BZ599" s="139" t="s">
        <v>192</v>
      </c>
      <c r="CA599" s="138">
        <v>11</v>
      </c>
      <c r="CB599" s="138">
        <v>1</v>
      </c>
      <c r="CC599" s="138">
        <v>10</v>
      </c>
      <c r="CD599" s="135">
        <v>45017</v>
      </c>
      <c r="CE599" s="138">
        <v>165</v>
      </c>
      <c r="CF599" s="138"/>
      <c r="CG599" s="138" t="str">
        <f>IF(CH599&lt;&gt;"","В работе","")</f>
        <v/>
      </c>
      <c r="CH599" s="138"/>
      <c r="CI599" s="127"/>
      <c r="CJ599" s="138" t="e">
        <f>IF((BR599-(100*(CM599-CB599))/(9.8*(AB599+AA599)/2))&gt;0,BR599-(100*(CM599-CB599))/(9.8*(AB599+AA599)/2),0)</f>
        <v>#VALUE!</v>
      </c>
      <c r="CK599" s="138">
        <f t="shared" si="488"/>
        <v>-11</v>
      </c>
      <c r="CL599" s="138"/>
      <c r="CM599" s="127"/>
      <c r="CN599" s="154"/>
      <c r="CO599" s="141">
        <f t="shared" si="442"/>
        <v>0.8777999999999998</v>
      </c>
      <c r="CP599" s="142">
        <v>10.5</v>
      </c>
      <c r="CQ599" s="119">
        <v>90</v>
      </c>
      <c r="CR599" s="138">
        <v>2.5</v>
      </c>
      <c r="CS599" s="139"/>
      <c r="CT599" s="138"/>
      <c r="CU599" s="138">
        <f t="shared" si="475"/>
        <v>2.5</v>
      </c>
      <c r="CV599" s="115">
        <f t="shared" si="476"/>
        <v>2848.0291638186382</v>
      </c>
      <c r="CW599" s="115" t="str">
        <f t="shared" si="443"/>
        <v/>
      </c>
      <c r="CX599" s="133">
        <f t="shared" si="477"/>
        <v>6.363636363636363E-2</v>
      </c>
      <c r="CY599" s="116"/>
      <c r="CZ599" s="131"/>
      <c r="DA599" s="145" t="str">
        <f t="shared" si="478"/>
        <v>-</v>
      </c>
      <c r="DB599" s="146">
        <f t="shared" si="468"/>
        <v>0.8777999999999998</v>
      </c>
      <c r="DC599" s="142">
        <f t="shared" si="469"/>
        <v>10.5</v>
      </c>
      <c r="DD599" s="119">
        <f t="shared" si="470"/>
        <v>90</v>
      </c>
      <c r="DE599" s="115">
        <f t="shared" si="471"/>
        <v>2.5</v>
      </c>
      <c r="DF599" s="121">
        <f t="shared" si="472"/>
        <v>0</v>
      </c>
      <c r="DG599" s="115">
        <f t="shared" si="446"/>
        <v>2848.0291638186382</v>
      </c>
      <c r="DH599" s="115">
        <f t="shared" si="447"/>
        <v>0</v>
      </c>
      <c r="DI599" s="150"/>
      <c r="DJ599" s="111">
        <v>44094</v>
      </c>
      <c r="DK599" s="112">
        <v>44167</v>
      </c>
      <c r="DL599" s="113">
        <f t="shared" ca="1" si="480"/>
        <v>937</v>
      </c>
      <c r="DM599" s="114">
        <v>21.5</v>
      </c>
      <c r="DN599" s="114">
        <v>80</v>
      </c>
      <c r="DO599" s="114">
        <v>37</v>
      </c>
      <c r="DP599" s="114"/>
      <c r="DQ599" s="112"/>
      <c r="DR599" s="114"/>
      <c r="DS599" s="114"/>
      <c r="DT599" s="115">
        <v>60</v>
      </c>
      <c r="DU599" s="116">
        <f t="shared" si="481"/>
        <v>0.1</v>
      </c>
      <c r="DV599" s="117">
        <f t="shared" si="495"/>
        <v>0.8777999999999998</v>
      </c>
      <c r="DW599" s="118">
        <f t="shared" si="496"/>
        <v>10.5</v>
      </c>
      <c r="DX599" s="119">
        <f t="shared" si="497"/>
        <v>90</v>
      </c>
      <c r="DY599" s="115">
        <f t="shared" si="498"/>
        <v>2.5</v>
      </c>
      <c r="DZ599" s="117">
        <f t="shared" si="482"/>
        <v>0</v>
      </c>
      <c r="EA599" s="120">
        <f t="shared" si="482"/>
        <v>0</v>
      </c>
      <c r="EB599" s="119">
        <f t="shared" si="482"/>
        <v>0</v>
      </c>
      <c r="EC599" s="121">
        <f t="shared" si="464"/>
        <v>0</v>
      </c>
      <c r="ED599" s="122"/>
      <c r="EE599" s="145">
        <v>65</v>
      </c>
      <c r="EF599" s="115">
        <v>11</v>
      </c>
      <c r="EG599" s="115">
        <v>1</v>
      </c>
      <c r="EH599" s="115">
        <v>10</v>
      </c>
      <c r="EI599" s="128" t="s">
        <v>218</v>
      </c>
      <c r="EJ599" s="121">
        <v>8</v>
      </c>
      <c r="EK599" s="121">
        <v>16</v>
      </c>
      <c r="EL599" s="149">
        <v>0.8777999999999998</v>
      </c>
      <c r="EM599" s="142">
        <v>10.5</v>
      </c>
      <c r="EN599" s="119">
        <v>90</v>
      </c>
      <c r="EO599" s="115">
        <v>2.5</v>
      </c>
      <c r="EP599" s="115">
        <v>2848.0291638186382</v>
      </c>
      <c r="EQ599" s="115">
        <v>0</v>
      </c>
      <c r="ER599" s="115">
        <v>0</v>
      </c>
      <c r="ES599" s="115"/>
      <c r="ET599" s="150">
        <v>0.11091443531635514</v>
      </c>
      <c r="EU599" s="145" t="str">
        <f t="shared" si="457"/>
        <v>-</v>
      </c>
      <c r="EV599" s="115">
        <f t="shared" si="448"/>
        <v>11</v>
      </c>
      <c r="EW599" s="115">
        <f t="shared" si="448"/>
        <v>1</v>
      </c>
      <c r="EX599" s="115">
        <f t="shared" si="448"/>
        <v>10</v>
      </c>
      <c r="EY599" s="115" t="str">
        <f t="shared" si="489"/>
        <v>-</v>
      </c>
      <c r="EZ599" s="115" t="str">
        <f t="shared" si="489"/>
        <v>-</v>
      </c>
      <c r="FA599" s="115" t="str">
        <f t="shared" si="489"/>
        <v>-</v>
      </c>
      <c r="FB599" s="149">
        <f t="shared" si="461"/>
        <v>0.8777999999999998</v>
      </c>
      <c r="FC599" s="142">
        <f t="shared" si="461"/>
        <v>10.5</v>
      </c>
      <c r="FD599" s="119">
        <f t="shared" si="461"/>
        <v>90</v>
      </c>
      <c r="FE599" s="121">
        <f t="shared" si="460"/>
        <v>2.5</v>
      </c>
      <c r="FF599" s="121">
        <f t="shared" si="462"/>
        <v>2848.0291638186382</v>
      </c>
      <c r="FG599" s="121">
        <f t="shared" si="449"/>
        <v>0</v>
      </c>
      <c r="FH599" s="121">
        <f t="shared" si="491"/>
        <v>0</v>
      </c>
      <c r="FI599" s="121">
        <f t="shared" si="483"/>
        <v>0</v>
      </c>
      <c r="FJ599" s="144">
        <f t="shared" si="450"/>
        <v>6.363636363636363E-2</v>
      </c>
      <c r="FK599" s="132">
        <v>0</v>
      </c>
      <c r="FL599" s="115">
        <f t="shared" si="451"/>
        <v>0</v>
      </c>
      <c r="FM599" s="115">
        <f t="shared" si="451"/>
        <v>0</v>
      </c>
      <c r="FN599" s="115">
        <f t="shared" si="451"/>
        <v>0</v>
      </c>
      <c r="FO599" s="115">
        <v>0</v>
      </c>
      <c r="FP599" s="115">
        <v>0</v>
      </c>
      <c r="FQ599" s="149">
        <f t="shared" si="492"/>
        <v>0</v>
      </c>
      <c r="FR599" s="142">
        <f t="shared" si="492"/>
        <v>0</v>
      </c>
      <c r="FS599" s="119">
        <f t="shared" si="492"/>
        <v>0</v>
      </c>
      <c r="FT599" s="121">
        <f t="shared" si="492"/>
        <v>0</v>
      </c>
      <c r="FU599" s="121">
        <f t="shared" si="452"/>
        <v>0</v>
      </c>
      <c r="FV599" s="121">
        <f t="shared" si="452"/>
        <v>0</v>
      </c>
      <c r="FW599" s="121">
        <f t="shared" si="453"/>
        <v>0</v>
      </c>
      <c r="FX599" s="121">
        <f t="shared" si="454"/>
        <v>0</v>
      </c>
      <c r="FY599" s="144">
        <f t="shared" si="454"/>
        <v>-4.7278071679991512E-2</v>
      </c>
      <c r="FZ599" s="145"/>
      <c r="GA599" s="151"/>
      <c r="GB599" s="145"/>
      <c r="GC599" s="151"/>
      <c r="GD599" s="997" t="s">
        <v>220</v>
      </c>
      <c r="GE599" s="1004"/>
      <c r="GF599" s="1004">
        <v>0</v>
      </c>
      <c r="GG599" s="1004"/>
      <c r="GH599" s="1004">
        <v>0</v>
      </c>
      <c r="GI599" s="145"/>
      <c r="GJ599" s="996">
        <v>0</v>
      </c>
      <c r="GK599" s="145"/>
      <c r="GL599" s="996">
        <v>0</v>
      </c>
      <c r="GM599" s="1005"/>
      <c r="GN599" s="996">
        <v>0</v>
      </c>
      <c r="GO599" s="1006"/>
      <c r="GP599" s="996">
        <v>0</v>
      </c>
      <c r="GQ599" s="1006"/>
      <c r="GR599" s="996">
        <v>0</v>
      </c>
      <c r="GS599" s="1006"/>
      <c r="GT599" s="996">
        <v>0</v>
      </c>
      <c r="GU599" s="1006"/>
      <c r="GV599" s="996">
        <v>-0.62700000000000033</v>
      </c>
      <c r="GW599" s="1006" t="s">
        <v>146</v>
      </c>
      <c r="GX599" s="996">
        <v>-2.7086399999999999</v>
      </c>
      <c r="GY599" s="1006"/>
      <c r="GZ599" s="996">
        <v>0.94840020000000003</v>
      </c>
      <c r="HA599" s="1006"/>
      <c r="HB599" s="996">
        <v>-0.41336019999999918</v>
      </c>
      <c r="HC599" s="1006"/>
      <c r="HD599" s="996">
        <v>0</v>
      </c>
      <c r="HE599" s="1006"/>
      <c r="HF599" s="996">
        <v>0</v>
      </c>
      <c r="HG599" s="1006" t="s">
        <v>223</v>
      </c>
      <c r="HH599" s="996">
        <v>-1.8392000000000013</v>
      </c>
      <c r="HI599" s="1006"/>
      <c r="HJ599" s="996">
        <v>-7.5239999999999974E-2</v>
      </c>
      <c r="HK599" s="1006"/>
      <c r="HL599" s="996">
        <v>6.4873600000002973E-2</v>
      </c>
      <c r="HM599" s="1006"/>
      <c r="HN599" s="996">
        <v>0</v>
      </c>
      <c r="HO599" s="1006" t="s">
        <v>199</v>
      </c>
      <c r="HP599" s="996">
        <v>-5.5389180000000016</v>
      </c>
      <c r="HQ599" s="1006" t="s">
        <v>204</v>
      </c>
      <c r="HR599" s="996">
        <v>1.4779643999999994</v>
      </c>
      <c r="HS599" s="1006"/>
      <c r="HT599" s="996">
        <v>0</v>
      </c>
      <c r="HU599" s="1006"/>
      <c r="HV599" s="996">
        <v>0</v>
      </c>
      <c r="HW599" s="1006"/>
      <c r="HX599" s="996">
        <v>0</v>
      </c>
      <c r="HY599" s="1006"/>
      <c r="HZ599" s="996">
        <v>0</v>
      </c>
      <c r="IA599" s="1006"/>
      <c r="IB599" s="996">
        <v>0</v>
      </c>
      <c r="IC599" s="1006" t="s">
        <v>223</v>
      </c>
      <c r="ID599" s="996">
        <v>-19.102600000000002</v>
      </c>
      <c r="IE599" s="1006" t="s">
        <v>363</v>
      </c>
      <c r="IF599" s="996">
        <v>12.328843956000011</v>
      </c>
      <c r="IG599" s="1006"/>
      <c r="IH599" s="996">
        <v>0</v>
      </c>
      <c r="II599" s="1006"/>
      <c r="IJ599" s="996">
        <v>0</v>
      </c>
      <c r="IK599" s="1006" t="s">
        <v>239</v>
      </c>
      <c r="IL599" s="996">
        <v>12.529170573039991</v>
      </c>
      <c r="IM599" s="1006"/>
      <c r="IN599" s="996">
        <v>0</v>
      </c>
      <c r="IO599" s="1006"/>
      <c r="IP599" s="996">
        <v>0</v>
      </c>
      <c r="IQ599" s="1006" t="s">
        <v>204</v>
      </c>
      <c r="IR599" s="996">
        <v>2.7467054709599994</v>
      </c>
      <c r="IS599" s="1006"/>
      <c r="IT599" s="996">
        <v>0</v>
      </c>
      <c r="IU599" s="1006"/>
      <c r="IV599" s="996">
        <v>0</v>
      </c>
      <c r="IW599" s="1006"/>
      <c r="IX599" s="996">
        <v>0</v>
      </c>
      <c r="IY599" s="1006" t="s">
        <v>199</v>
      </c>
      <c r="IZ599" s="996">
        <v>-26.810519999999997</v>
      </c>
      <c r="JA599" s="1006"/>
      <c r="JB599" s="996">
        <v>0</v>
      </c>
      <c r="JC599" s="1006" t="s">
        <v>25</v>
      </c>
      <c r="JD599" s="996">
        <v>27.9</v>
      </c>
      <c r="JE599" s="1006"/>
      <c r="JF599" s="996"/>
      <c r="JG599" s="1006"/>
      <c r="JH599" s="996"/>
      <c r="JI599" s="1006"/>
      <c r="JJ599" s="996"/>
      <c r="JK599" s="1007"/>
      <c r="JL599" s="1007"/>
      <c r="JM599" s="1007"/>
      <c r="JN599" s="1007"/>
      <c r="JO599" s="1008"/>
      <c r="JP599" s="1007"/>
      <c r="JQ599" s="1008"/>
      <c r="JR599" s="1007"/>
      <c r="JS599" s="1008"/>
      <c r="JT599" s="1007"/>
      <c r="JU599" s="1008"/>
      <c r="JV599" s="1007"/>
      <c r="JW599" s="1008"/>
      <c r="JX599" s="1007"/>
      <c r="JY599" s="1008"/>
      <c r="JZ599" s="1007"/>
      <c r="KA599" s="1008"/>
      <c r="KB599" s="1007"/>
      <c r="KC599" s="1008"/>
      <c r="KD599" s="1007"/>
      <c r="KE599" s="1008"/>
      <c r="KF599" s="1007"/>
      <c r="KG599" s="1008"/>
      <c r="KH599" s="1007"/>
      <c r="KI599" s="1008"/>
      <c r="KJ599" s="1007"/>
      <c r="KK599" s="1008"/>
      <c r="KL599" s="1007"/>
      <c r="KM599" s="1008"/>
      <c r="KN599" s="1007"/>
      <c r="KO599" s="1008"/>
      <c r="KP599" s="1007"/>
      <c r="KQ599" s="1008"/>
      <c r="KR599" s="1007"/>
      <c r="KS599" s="1008"/>
      <c r="KT599" s="1007"/>
      <c r="KU599" s="1008"/>
      <c r="KV599" s="1007"/>
      <c r="KW599" s="1008"/>
      <c r="KX599" s="1007"/>
      <c r="KY599" s="1008"/>
      <c r="KZ599" s="1007"/>
      <c r="LA599" s="1008"/>
      <c r="LB599" s="1007"/>
      <c r="LC599" s="1008"/>
      <c r="LD599" s="1007"/>
      <c r="LE599" s="1008"/>
      <c r="LF599" s="1007"/>
      <c r="LG599" s="1008"/>
      <c r="LH599" s="1007"/>
      <c r="LI599" s="1008"/>
      <c r="LJ599" s="1007"/>
      <c r="LK599" s="1008"/>
      <c r="LL599" s="1007"/>
      <c r="LM599" s="1008"/>
      <c r="LN599" s="1007"/>
      <c r="LO599" s="1008"/>
      <c r="LP599" s="1007"/>
      <c r="LQ599" s="1008"/>
      <c r="LR599" s="1007"/>
      <c r="LS599" s="1008"/>
      <c r="LT599" s="1007"/>
      <c r="LU599" s="1008"/>
      <c r="LV599" s="1007"/>
      <c r="LW599" s="1008"/>
      <c r="LX599" s="1007"/>
      <c r="LY599" s="1009"/>
      <c r="LZ599" s="1010"/>
      <c r="MA599" s="1011"/>
      <c r="MB599" s="1012"/>
      <c r="MC599" s="995"/>
      <c r="MD599" s="996"/>
      <c r="ME599" s="997" t="s">
        <v>220</v>
      </c>
      <c r="MF599" s="997">
        <f>CN599-CA599</f>
        <v>-11</v>
      </c>
      <c r="MG599" s="998"/>
      <c r="NR599" s="1000"/>
      <c r="NS599" s="1000"/>
      <c r="NT599" s="1001"/>
      <c r="NU599" s="1000"/>
      <c r="NV599" s="1001"/>
      <c r="NX599" s="1002"/>
      <c r="NZ599" s="1001"/>
      <c r="OA599" s="1001"/>
      <c r="OC599" s="1003"/>
      <c r="OD599" s="1003"/>
      <c r="OE599" s="1001"/>
      <c r="OF599" s="1003"/>
      <c r="OG599" s="1003"/>
      <c r="ASU599" s="999" t="s">
        <v>225</v>
      </c>
    </row>
    <row r="600" spans="1:466 1191:1191" ht="21" customHeight="1" x14ac:dyDescent="0.25">
      <c r="A600" s="982">
        <f t="shared" si="441"/>
        <v>3418</v>
      </c>
      <c r="B600" s="124">
        <f>SUBTOTAL(103,$J$29:J600)</f>
        <v>572</v>
      </c>
      <c r="C600" s="126">
        <v>45096</v>
      </c>
      <c r="D600" s="124" t="s">
        <v>176</v>
      </c>
      <c r="E600" s="127" t="s">
        <v>177</v>
      </c>
      <c r="F600" s="128" t="s">
        <v>177</v>
      </c>
      <c r="G600" s="127" t="s">
        <v>178</v>
      </c>
      <c r="H600" s="127" t="s">
        <v>421</v>
      </c>
      <c r="I600" s="127" t="s">
        <v>939</v>
      </c>
      <c r="J600" s="152">
        <v>3418</v>
      </c>
      <c r="K600" s="127" t="s">
        <v>1406</v>
      </c>
      <c r="L600" s="130">
        <v>35361</v>
      </c>
      <c r="M600" s="127" t="s">
        <v>230</v>
      </c>
      <c r="N600" s="127" t="s">
        <v>231</v>
      </c>
      <c r="O600" s="127" t="s">
        <v>185</v>
      </c>
      <c r="P600" s="127" t="s">
        <v>208</v>
      </c>
      <c r="Q600" s="85" t="str">
        <f t="shared" ref="Q600:Q612" si="500">IF(R600="","",-4)</f>
        <v/>
      </c>
      <c r="R600" s="130"/>
      <c r="S600" s="128"/>
      <c r="T600" s="131"/>
      <c r="U600" s="132">
        <v>203</v>
      </c>
      <c r="V600" s="121">
        <v>218.2</v>
      </c>
      <c r="W600" s="116">
        <v>0.98</v>
      </c>
      <c r="X600" s="116">
        <v>1.66</v>
      </c>
      <c r="Y600" s="116">
        <f t="shared" si="463"/>
        <v>1.2683611414314673</v>
      </c>
      <c r="Z600" s="133">
        <v>1.454</v>
      </c>
      <c r="AA600" s="133">
        <v>0.83599999999999997</v>
      </c>
      <c r="AB600" s="133">
        <v>0.72</v>
      </c>
      <c r="AC600" s="121">
        <v>34.299999999999997</v>
      </c>
      <c r="AD600" s="134">
        <v>1.17</v>
      </c>
      <c r="AE600" s="124">
        <v>177.8</v>
      </c>
      <c r="AF600" s="128">
        <v>9.19</v>
      </c>
      <c r="AG600" s="128">
        <v>2430</v>
      </c>
      <c r="AH600" s="127">
        <v>3101</v>
      </c>
      <c r="AI600" s="127">
        <v>3101</v>
      </c>
      <c r="AJ600" s="135"/>
      <c r="AK600" s="128"/>
      <c r="AL600" s="131"/>
      <c r="AM600" s="124" t="s">
        <v>232</v>
      </c>
      <c r="AN600" s="136" t="s">
        <v>2034</v>
      </c>
      <c r="AO600" s="137">
        <v>72.88</v>
      </c>
      <c r="AP600" s="128">
        <v>2430</v>
      </c>
      <c r="AQ600" s="128">
        <v>598.05999999999995</v>
      </c>
      <c r="AR600" s="128"/>
      <c r="AS600" s="128"/>
      <c r="AT600" s="122"/>
      <c r="AU600" s="124" t="s">
        <v>189</v>
      </c>
      <c r="AV600" s="115">
        <f>VLOOKUP(J600,'[63]ТР нефть'!$J$28:$BP$638,39,0)</f>
        <v>540.00000644500005</v>
      </c>
      <c r="AW600" s="115" t="str">
        <f>VLOOKUP(J600,'[63]ТР нефть'!$J$28:$BP$638,40,0)</f>
        <v>ГП</v>
      </c>
      <c r="AX600" s="115">
        <f>VLOOKUP(J600,'[63]ТР нефть'!$J$28:$BP$638,41,0)</f>
        <v>970.00002949199995</v>
      </c>
      <c r="AY600" s="115" t="str">
        <f>VLOOKUP(J600,'[63]ТР нефть'!$J$28:$BP$638,42,0)</f>
        <v>ГК 88 1/8</v>
      </c>
      <c r="AZ600" s="115">
        <f>VLOOKUP(J600,'[63]ТР нефть'!$J$28:$BP$638,43,0)</f>
        <v>1310.000039063</v>
      </c>
      <c r="BA600" s="115" t="str">
        <f>VLOOKUP(J600,'[63]ТР нефть'!$J$28:$BP$638,44,0)</f>
        <v>ГК 87 1/8</v>
      </c>
      <c r="BB600" s="115">
        <f>VLOOKUP(J600,'[63]ТР нефть'!$J$28:$BP$638,45,0)</f>
        <v>1680.0000035160001</v>
      </c>
      <c r="BC600" s="115" t="str">
        <f>VLOOKUP(J600,'[63]ТР нефть'!$J$28:$BP$638,46,0)</f>
        <v>ГК 87 5/32</v>
      </c>
      <c r="BD600" s="115">
        <f>VLOOKUP(J600,'[63]ТР нефть'!$J$28:$BP$638,47,0)</f>
        <v>1929.999999609</v>
      </c>
      <c r="BE600" s="115" t="str">
        <f>VLOOKUP(J600,'[63]ТР нефть'!$J$28:$BP$638,48,0)</f>
        <v>ЦКсОК 5/16</v>
      </c>
      <c r="BF600" s="115" t="str">
        <f>VLOOKUP(J600,'[63]ТР нефть'!$J$28:$BP$638,49,0)</f>
        <v>-</v>
      </c>
      <c r="BG600" s="115" t="str">
        <f>VLOOKUP(J600,'[63]ТР нефть'!$J$28:$BP$638,50,0)</f>
        <v>-</v>
      </c>
      <c r="BH600" s="115">
        <f>VLOOKUP(J600,'[63]ТР нефть'!$J$28:$BP$638,51,0)</f>
        <v>1940</v>
      </c>
      <c r="BI600" s="115" t="str">
        <f>VLOOKUP(J600,'[63]ТР нефть'!$J$28:$BP$638,52,0)</f>
        <v>закрыт</v>
      </c>
      <c r="BJ600" s="115" t="str">
        <f>IF(IFERROR(VLOOKUP(J600,'[63]ТР нефть'!$J$28:$BP$638,53,0),"-")=0,"-",IFERROR(VLOOKUP(J600,'[63]ТР нефть'!$J$28:$BP$638,53,0),"-"))</f>
        <v>-</v>
      </c>
      <c r="BK600" s="138" t="str">
        <f>IF(IFERROR(VLOOKUP(J600,'[63]ТР нефть'!$J$28:$BP$638,54,0),"-")=0,"-",IFERROR(VLOOKUP(J600,'[63]ТР нефть'!$J$28:$BP$638,54,0),"-"))</f>
        <v>-</v>
      </c>
      <c r="BL600" s="138" t="str">
        <f>IF(IFERROR(VLOOKUP(J600,'[63]ТР нефть'!$J$28:$BP$638,55,0),"-")=0,"-",IFERROR(VLOOKUP(J600,'[63]ТР нефть'!$J$28:$BP$638,55,0),"-"))</f>
        <v>-</v>
      </c>
      <c r="BM600" s="138" t="str">
        <f>IF(IFERROR(VLOOKUP(J600,'[63]ТР нефть'!$J$28:$BP$638,56,0),"-")=0,"-",IFERROR(VLOOKUP(J600,'[63]ТР нефть'!$J$28:$BP$638,56,0),"-"))</f>
        <v>-</v>
      </c>
      <c r="BN600" s="138" t="str">
        <f>IF(IFERROR(VLOOKUP(J600,'[63]ТР нефть'!$J$28:$BP$638,57,0),"-")=0,"-",IFERROR(VLOOKUP(J600,'[63]ТР нефть'!$J$28:$BP$638,57,0),"-"))</f>
        <v>-</v>
      </c>
      <c r="BO600" s="115" t="str">
        <f>IF(IFERROR(VLOOKUP(J600,'[63]ТР нефть'!$J$28:$BP$638,58,0),"-")=0,"-",IFERROR(VLOOKUP(J600,'[63]ТР нефть'!$J$28:$BP$638,58,0),"-"))</f>
        <v>-</v>
      </c>
      <c r="BP600" s="115" t="str">
        <f>IF(IFERROR(VLOOKUP(J600,'[63]ТР нефть'!$J$28:$BP$638,59,0),"-")=0,"-",IFERROR(VLOOKUP(J600,'[63]ТР нефть'!$J$28:$BP$638,59,0),"-"))</f>
        <v>-</v>
      </c>
      <c r="BQ600" s="138">
        <v>2419</v>
      </c>
      <c r="BR600" s="128">
        <v>1907.2</v>
      </c>
      <c r="BS600" s="115">
        <f t="shared" si="499"/>
        <v>511.79999999999995</v>
      </c>
      <c r="BT600" s="128">
        <v>73</v>
      </c>
      <c r="BU600" s="128">
        <v>5.5</v>
      </c>
      <c r="BV600" s="127">
        <v>18</v>
      </c>
      <c r="BW600" s="127" t="s">
        <v>234</v>
      </c>
      <c r="BX600" s="127" t="s">
        <v>195</v>
      </c>
      <c r="BY600" s="139">
        <v>24</v>
      </c>
      <c r="BZ600" s="139">
        <v>0</v>
      </c>
      <c r="CA600" s="138">
        <v>20</v>
      </c>
      <c r="CB600" s="138">
        <v>64</v>
      </c>
      <c r="CC600" s="138">
        <v>19</v>
      </c>
      <c r="CD600" s="135">
        <v>45017</v>
      </c>
      <c r="CE600" s="138">
        <v>108</v>
      </c>
      <c r="CF600" s="138">
        <v>72</v>
      </c>
      <c r="CG600" s="138" t="s">
        <v>186</v>
      </c>
      <c r="CH600" s="138" t="s">
        <v>235</v>
      </c>
      <c r="CI600" s="127"/>
      <c r="CJ600" s="138"/>
      <c r="CK600" s="138"/>
      <c r="CL600" s="99"/>
      <c r="CM600" s="99"/>
      <c r="CN600" s="140">
        <v>60</v>
      </c>
      <c r="CO600" s="141">
        <f t="shared" si="442"/>
        <v>22.135189999999994</v>
      </c>
      <c r="CP600" s="142">
        <v>59.5</v>
      </c>
      <c r="CQ600" s="143">
        <v>55.5</v>
      </c>
      <c r="CR600" s="138">
        <v>27.5</v>
      </c>
      <c r="CS600" s="139">
        <v>21</v>
      </c>
      <c r="CT600" s="138"/>
      <c r="CU600" s="138">
        <f t="shared" si="475"/>
        <v>6.5</v>
      </c>
      <c r="CV600" s="115">
        <f t="shared" si="476"/>
        <v>293.65006580020327</v>
      </c>
      <c r="CW600" s="115">
        <f t="shared" si="443"/>
        <v>347.8246754940705</v>
      </c>
      <c r="CX600" s="133">
        <f t="shared" si="477"/>
        <v>1.2395833333333333</v>
      </c>
      <c r="CY600" s="116"/>
      <c r="CZ600" s="131"/>
      <c r="DA600" s="145" t="str">
        <f t="shared" si="478"/>
        <v>Газлифт</v>
      </c>
      <c r="DB600" s="146">
        <f t="shared" si="468"/>
        <v>25.368419999999997</v>
      </c>
      <c r="DC600" s="142">
        <f t="shared" si="469"/>
        <v>59.5</v>
      </c>
      <c r="DD600" s="119">
        <f t="shared" si="470"/>
        <v>49</v>
      </c>
      <c r="DE600" s="115">
        <f t="shared" si="471"/>
        <v>6.5</v>
      </c>
      <c r="DF600" s="121">
        <f t="shared" si="472"/>
        <v>21</v>
      </c>
      <c r="DG600" s="115">
        <f t="shared" si="446"/>
        <v>293.65006580020327</v>
      </c>
      <c r="DH600" s="115">
        <f t="shared" si="447"/>
        <v>60</v>
      </c>
      <c r="DI600" s="147"/>
      <c r="DJ600" s="111" t="s">
        <v>197</v>
      </c>
      <c r="DK600" s="112">
        <v>43503</v>
      </c>
      <c r="DL600" s="113">
        <f t="shared" ca="1" si="480"/>
        <v>1601</v>
      </c>
      <c r="DM600" s="114"/>
      <c r="DN600" s="114"/>
      <c r="DO600" s="114"/>
      <c r="DP600" s="114"/>
      <c r="DQ600" s="112">
        <v>43503</v>
      </c>
      <c r="DR600" s="114" t="s">
        <v>324</v>
      </c>
      <c r="DS600" s="114"/>
      <c r="DT600" s="115">
        <v>60</v>
      </c>
      <c r="DU600" s="116">
        <f t="shared" si="481"/>
        <v>1.2395833333333333</v>
      </c>
      <c r="DV600" s="117">
        <f t="shared" si="495"/>
        <v>22.135189999999994</v>
      </c>
      <c r="DW600" s="118">
        <f t="shared" si="496"/>
        <v>59.5</v>
      </c>
      <c r="DX600" s="119">
        <f t="shared" si="497"/>
        <v>55.5</v>
      </c>
      <c r="DY600" s="115">
        <f t="shared" si="498"/>
        <v>6.5</v>
      </c>
      <c r="DZ600" s="117">
        <f t="shared" si="482"/>
        <v>0</v>
      </c>
      <c r="EA600" s="120">
        <f t="shared" si="482"/>
        <v>0</v>
      </c>
      <c r="EB600" s="119">
        <f t="shared" si="482"/>
        <v>0</v>
      </c>
      <c r="EC600" s="121">
        <f t="shared" si="464"/>
        <v>0</v>
      </c>
      <c r="ED600" s="122"/>
      <c r="EE600" s="145">
        <v>18</v>
      </c>
      <c r="EF600" s="115">
        <v>25</v>
      </c>
      <c r="EG600" s="115">
        <v>72</v>
      </c>
      <c r="EH600" s="115">
        <v>24</v>
      </c>
      <c r="EI600" s="128" t="s">
        <v>195</v>
      </c>
      <c r="EJ600" s="121">
        <v>24</v>
      </c>
      <c r="EK600" s="121">
        <v>0</v>
      </c>
      <c r="EL600" s="149">
        <v>17.054399999999998</v>
      </c>
      <c r="EM600" s="142">
        <v>40</v>
      </c>
      <c r="EN600" s="119">
        <v>49</v>
      </c>
      <c r="EO600" s="115">
        <v>30.8</v>
      </c>
      <c r="EP600" s="115">
        <v>562.90458767238977</v>
      </c>
      <c r="EQ600" s="115">
        <v>80</v>
      </c>
      <c r="ER600" s="115">
        <v>21.2</v>
      </c>
      <c r="ES600" s="115">
        <v>71</v>
      </c>
      <c r="ET600" s="150">
        <v>1.0810810810810811</v>
      </c>
      <c r="EU600" s="145">
        <f t="shared" si="457"/>
        <v>18</v>
      </c>
      <c r="EV600" s="115">
        <f t="shared" si="448"/>
        <v>20</v>
      </c>
      <c r="EW600" s="115">
        <f t="shared" si="448"/>
        <v>64</v>
      </c>
      <c r="EX600" s="115">
        <f t="shared" si="448"/>
        <v>19</v>
      </c>
      <c r="EY600" s="115" t="str">
        <f t="shared" si="489"/>
        <v>Постоянный</v>
      </c>
      <c r="EZ600" s="115">
        <f t="shared" si="489"/>
        <v>24</v>
      </c>
      <c r="FA600" s="115">
        <f t="shared" si="489"/>
        <v>0</v>
      </c>
      <c r="FB600" s="149">
        <f t="shared" si="461"/>
        <v>22.135189999999994</v>
      </c>
      <c r="FC600" s="142">
        <f t="shared" si="461"/>
        <v>59.5</v>
      </c>
      <c r="FD600" s="119">
        <f t="shared" si="461"/>
        <v>55.5</v>
      </c>
      <c r="FE600" s="121">
        <f t="shared" si="460"/>
        <v>27.5</v>
      </c>
      <c r="FF600" s="121">
        <f t="shared" si="462"/>
        <v>293.65006580020327</v>
      </c>
      <c r="FG600" s="121">
        <f t="shared" si="449"/>
        <v>72</v>
      </c>
      <c r="FH600" s="121">
        <f t="shared" si="491"/>
        <v>21</v>
      </c>
      <c r="FI600" s="121">
        <f t="shared" si="483"/>
        <v>60</v>
      </c>
      <c r="FJ600" s="144">
        <f t="shared" si="450"/>
        <v>1.2395833333333333</v>
      </c>
      <c r="FK600" s="132">
        <f t="shared" si="451"/>
        <v>0</v>
      </c>
      <c r="FL600" s="115">
        <f t="shared" si="451"/>
        <v>-5</v>
      </c>
      <c r="FM600" s="115">
        <f t="shared" si="451"/>
        <v>-8</v>
      </c>
      <c r="FN600" s="115">
        <f t="shared" si="451"/>
        <v>-5</v>
      </c>
      <c r="FO600" s="115">
        <f t="shared" si="492"/>
        <v>0</v>
      </c>
      <c r="FP600" s="115">
        <f t="shared" si="492"/>
        <v>0</v>
      </c>
      <c r="FQ600" s="149">
        <f t="shared" si="492"/>
        <v>5.0807899999999968</v>
      </c>
      <c r="FR600" s="142">
        <f t="shared" si="492"/>
        <v>19.5</v>
      </c>
      <c r="FS600" s="119">
        <f t="shared" si="492"/>
        <v>6.5</v>
      </c>
      <c r="FT600" s="121">
        <f t="shared" si="492"/>
        <v>-3.3000000000000007</v>
      </c>
      <c r="FU600" s="121">
        <f t="shared" si="452"/>
        <v>-8</v>
      </c>
      <c r="FV600" s="121">
        <f t="shared" si="452"/>
        <v>-0.19999999999999929</v>
      </c>
      <c r="FW600" s="121">
        <f t="shared" si="453"/>
        <v>-269.2545218721865</v>
      </c>
      <c r="FX600" s="121">
        <f t="shared" si="454"/>
        <v>-11</v>
      </c>
      <c r="FY600" s="144">
        <f t="shared" si="454"/>
        <v>0.15850225225225212</v>
      </c>
      <c r="FZ600" s="145" t="s">
        <v>199</v>
      </c>
      <c r="GA600" s="151" t="s">
        <v>2035</v>
      </c>
      <c r="GB600" s="145"/>
      <c r="GC600" s="151" t="s">
        <v>1409</v>
      </c>
      <c r="GD600" s="997" t="s">
        <v>238</v>
      </c>
      <c r="GE600" s="1004"/>
      <c r="GF600" s="1004">
        <v>0</v>
      </c>
      <c r="GG600" s="1004"/>
      <c r="GH600" s="1004">
        <v>0</v>
      </c>
      <c r="GI600" s="145" t="s">
        <v>146</v>
      </c>
      <c r="GJ600" s="996">
        <v>14.298943999999999</v>
      </c>
      <c r="GK600" s="145"/>
      <c r="GL600" s="996">
        <v>0</v>
      </c>
      <c r="GM600" s="1005"/>
      <c r="GN600" s="996">
        <v>0</v>
      </c>
      <c r="GO600" s="1006"/>
      <c r="GP600" s="996">
        <v>0</v>
      </c>
      <c r="GQ600" s="1006" t="s">
        <v>203</v>
      </c>
      <c r="GR600" s="996">
        <v>-2.5916668800000018</v>
      </c>
      <c r="GS600" s="1006"/>
      <c r="GT600" s="996">
        <v>0</v>
      </c>
      <c r="GU600" s="1006"/>
      <c r="GV600" s="996">
        <v>0</v>
      </c>
      <c r="GW600" s="1006"/>
      <c r="GX600" s="997">
        <v>4.7122880000000755E-2</v>
      </c>
      <c r="GY600" s="1006" t="s">
        <v>25</v>
      </c>
      <c r="GZ600" s="996">
        <v>5.3</v>
      </c>
      <c r="HA600" s="1006"/>
      <c r="HB600" s="996">
        <v>-12.038399999999999</v>
      </c>
      <c r="HC600" s="1006"/>
      <c r="HD600" s="996">
        <v>0</v>
      </c>
      <c r="HE600" s="1006" t="s">
        <v>199</v>
      </c>
      <c r="HF600" s="996">
        <v>-7.4838720000000016</v>
      </c>
      <c r="HG600" s="1006"/>
      <c r="HH600" s="996">
        <v>0</v>
      </c>
      <c r="HI600" s="1006"/>
      <c r="HJ600" s="996">
        <v>0</v>
      </c>
      <c r="HK600" s="1006"/>
      <c r="HL600" s="996">
        <v>0</v>
      </c>
      <c r="HM600" s="1006"/>
      <c r="HN600" s="996">
        <v>0</v>
      </c>
      <c r="HO600" s="1006" t="s">
        <v>199</v>
      </c>
      <c r="HP600" s="996">
        <v>-1.0458359999999978</v>
      </c>
      <c r="HQ600" s="1006"/>
      <c r="HR600" s="996">
        <v>0</v>
      </c>
      <c r="HS600" s="1006"/>
      <c r="HT600" s="996">
        <v>0</v>
      </c>
      <c r="HU600" s="1006"/>
      <c r="HV600" s="996">
        <v>0</v>
      </c>
      <c r="HW600" s="1006"/>
      <c r="HX600" s="996">
        <v>0</v>
      </c>
      <c r="HY600" s="1006" t="s">
        <v>204</v>
      </c>
      <c r="HZ600" s="996">
        <v>-2.5519736000000002</v>
      </c>
      <c r="IA600" s="1006"/>
      <c r="IB600" s="996">
        <v>0.6963879999999989</v>
      </c>
      <c r="IC600" s="1006"/>
      <c r="ID600" s="996">
        <v>-0.90530439999999857</v>
      </c>
      <c r="IE600" s="1006" t="s">
        <v>204</v>
      </c>
      <c r="IF600" s="996">
        <v>2.9377040000000001</v>
      </c>
      <c r="IG600" s="1006"/>
      <c r="IH600" s="996">
        <v>0.86969080000000076</v>
      </c>
      <c r="II600" s="1006" t="s">
        <v>223</v>
      </c>
      <c r="IJ600" s="996">
        <v>-3.2472747999999996</v>
      </c>
      <c r="IK600" s="1006" t="s">
        <v>199</v>
      </c>
      <c r="IL600" s="996">
        <v>2.3788380000000018</v>
      </c>
      <c r="IM600" s="1006" t="s">
        <v>199</v>
      </c>
      <c r="IN600" s="996">
        <v>-4.2887050800000033</v>
      </c>
      <c r="IO600" s="1006" t="s">
        <v>199</v>
      </c>
      <c r="IP600" s="996">
        <v>-3.6449349199999972</v>
      </c>
      <c r="IQ600" s="1006"/>
      <c r="IR600" s="996">
        <v>0</v>
      </c>
      <c r="IS600" s="1006"/>
      <c r="IT600" s="996">
        <v>0</v>
      </c>
      <c r="IU600" s="1006" t="s">
        <v>199</v>
      </c>
      <c r="IV600" s="996">
        <v>20.047279999999994</v>
      </c>
      <c r="IW600" s="1006"/>
      <c r="IX600" s="996">
        <v>0</v>
      </c>
      <c r="IY600" s="1006" t="s">
        <v>199</v>
      </c>
      <c r="IZ600" s="996">
        <v>-20.147599999999997</v>
      </c>
      <c r="JA600" s="1006"/>
      <c r="JB600" s="996">
        <v>0</v>
      </c>
      <c r="JC600" s="1006"/>
      <c r="JD600" s="996">
        <v>0</v>
      </c>
      <c r="JE600" s="1006"/>
      <c r="JF600" s="996">
        <v>-9.2436520000003242E-2</v>
      </c>
      <c r="JG600" s="1006"/>
      <c r="JH600" s="996">
        <v>0</v>
      </c>
      <c r="JI600" s="1006"/>
      <c r="JJ600" s="996">
        <v>0</v>
      </c>
      <c r="JK600" s="1007"/>
      <c r="JL600" s="1007">
        <v>0</v>
      </c>
      <c r="JM600" s="1007" t="s">
        <v>204</v>
      </c>
      <c r="JN600" s="1007">
        <v>15.474836520000004</v>
      </c>
      <c r="JO600" s="1008"/>
      <c r="JP600" s="1007">
        <v>0</v>
      </c>
      <c r="JQ600" s="1008">
        <v>0</v>
      </c>
      <c r="JR600" s="1007">
        <v>0</v>
      </c>
      <c r="JS600" s="1008" t="s">
        <v>275</v>
      </c>
      <c r="JT600" s="1007">
        <v>-32.607427600000008</v>
      </c>
      <c r="JU600" s="1008"/>
      <c r="JV600" s="1007">
        <v>0</v>
      </c>
      <c r="JW600" s="1008" t="s">
        <v>1382</v>
      </c>
      <c r="JX600" s="1007">
        <v>21.990227600000004</v>
      </c>
      <c r="JY600" s="1008"/>
      <c r="JZ600" s="1007">
        <v>0</v>
      </c>
      <c r="KA600" s="1008"/>
      <c r="KB600" s="1007">
        <v>0</v>
      </c>
      <c r="KC600" s="1008" t="s">
        <v>324</v>
      </c>
      <c r="KD600" s="1007"/>
      <c r="KE600" s="1008"/>
      <c r="KF600" s="1007"/>
      <c r="KG600" s="1008"/>
      <c r="KH600" s="1007"/>
      <c r="KI600" s="1008"/>
      <c r="KJ600" s="1007"/>
      <c r="KK600" s="1008"/>
      <c r="KL600" s="1007"/>
      <c r="KM600" s="1008"/>
      <c r="KN600" s="1007"/>
      <c r="KO600" s="1008"/>
      <c r="KP600" s="1007"/>
      <c r="KQ600" s="1008"/>
      <c r="KR600" s="1007"/>
      <c r="KS600" s="1008"/>
      <c r="KT600" s="1007"/>
      <c r="KU600" s="1008"/>
      <c r="KV600" s="1007"/>
      <c r="KW600" s="1008"/>
      <c r="KX600" s="1007"/>
      <c r="KY600" s="1008"/>
      <c r="KZ600" s="1007"/>
      <c r="LA600" s="1008"/>
      <c r="LB600" s="1007"/>
      <c r="LC600" s="1008"/>
      <c r="LD600" s="1007"/>
      <c r="LE600" s="1008"/>
      <c r="LF600" s="1007"/>
      <c r="LG600" s="1008"/>
      <c r="LH600" s="1007"/>
      <c r="LI600" s="1008"/>
      <c r="LJ600" s="1007"/>
      <c r="LK600" s="1008"/>
      <c r="LL600" s="1007"/>
      <c r="LM600" s="1008"/>
      <c r="LN600" s="1007"/>
      <c r="LO600" s="1008"/>
      <c r="LP600" s="1007"/>
      <c r="LQ600" s="1008"/>
      <c r="LR600" s="1007"/>
      <c r="LS600" s="1008"/>
      <c r="LT600" s="1007"/>
      <c r="LU600" s="1008"/>
      <c r="LV600" s="1007"/>
      <c r="LW600" s="1008"/>
      <c r="LX600" s="1007"/>
      <c r="LY600" s="1009"/>
      <c r="LZ600" s="1010"/>
      <c r="MA600" s="1011"/>
      <c r="MB600" s="1012"/>
      <c r="MC600" s="995"/>
      <c r="MD600" s="996"/>
      <c r="ME600" s="997" t="s">
        <v>238</v>
      </c>
      <c r="MF600" s="997"/>
      <c r="MG600" s="998"/>
      <c r="NR600" s="1000"/>
      <c r="NS600" s="1000"/>
      <c r="NT600" s="1001"/>
      <c r="NU600" s="1000"/>
      <c r="NV600" s="1001"/>
      <c r="NX600" s="1002"/>
      <c r="NZ600" s="1001"/>
      <c r="OA600" s="1001"/>
      <c r="OC600" s="1003"/>
      <c r="OD600" s="1003"/>
      <c r="OE600" s="1001"/>
      <c r="OF600" s="1003"/>
      <c r="OG600" s="1003"/>
      <c r="QX600" s="1000">
        <f>CN600-CA600</f>
        <v>40</v>
      </c>
      <c r="ASU600" s="999" t="s">
        <v>208</v>
      </c>
    </row>
    <row r="601" spans="1:466 1191:1191" ht="21" customHeight="1" x14ac:dyDescent="0.25">
      <c r="A601" s="982">
        <f t="shared" si="441"/>
        <v>3419</v>
      </c>
      <c r="B601" s="124">
        <f>SUBTOTAL(103,$J$29:J601)</f>
        <v>573</v>
      </c>
      <c r="C601" s="126">
        <v>45068</v>
      </c>
      <c r="D601" s="124" t="s">
        <v>176</v>
      </c>
      <c r="E601" s="127" t="s">
        <v>177</v>
      </c>
      <c r="F601" s="128" t="s">
        <v>177</v>
      </c>
      <c r="G601" s="127" t="s">
        <v>178</v>
      </c>
      <c r="H601" s="127" t="s">
        <v>408</v>
      </c>
      <c r="I601" s="127" t="s">
        <v>634</v>
      </c>
      <c r="J601" s="152">
        <v>3419</v>
      </c>
      <c r="K601" s="127" t="s">
        <v>1323</v>
      </c>
      <c r="L601" s="130">
        <v>42999</v>
      </c>
      <c r="M601" s="127" t="s">
        <v>230</v>
      </c>
      <c r="N601" s="127" t="s">
        <v>245</v>
      </c>
      <c r="O601" s="127" t="s">
        <v>185</v>
      </c>
      <c r="P601" s="127" t="s">
        <v>186</v>
      </c>
      <c r="Q601" s="85" t="str">
        <f t="shared" si="500"/>
        <v/>
      </c>
      <c r="R601" s="130"/>
      <c r="S601" s="128"/>
      <c r="T601" s="131"/>
      <c r="U601" s="132">
        <v>203</v>
      </c>
      <c r="V601" s="121">
        <v>218.2</v>
      </c>
      <c r="W601" s="116">
        <v>0.98</v>
      </c>
      <c r="X601" s="116">
        <v>1.66</v>
      </c>
      <c r="Y601" s="116">
        <f t="shared" si="463"/>
        <v>0.98</v>
      </c>
      <c r="Z601" s="133">
        <v>1.454</v>
      </c>
      <c r="AA601" s="133">
        <v>0.83599999999999997</v>
      </c>
      <c r="AB601" s="133">
        <v>0.72</v>
      </c>
      <c r="AC601" s="121">
        <v>34.299999999999997</v>
      </c>
      <c r="AD601" s="134">
        <v>1.17</v>
      </c>
      <c r="AE601" s="124">
        <v>177.8</v>
      </c>
      <c r="AF601" s="128">
        <v>9.19</v>
      </c>
      <c r="AG601" s="128">
        <v>2278.9499999999998</v>
      </c>
      <c r="AH601" s="127">
        <v>2890</v>
      </c>
      <c r="AI601" s="127">
        <v>2890</v>
      </c>
      <c r="AJ601" s="135">
        <v>42951</v>
      </c>
      <c r="AK601" s="128" t="s">
        <v>1018</v>
      </c>
      <c r="AL601" s="131"/>
      <c r="AM601" s="124" t="s">
        <v>232</v>
      </c>
      <c r="AN601" s="136" t="s">
        <v>2036</v>
      </c>
      <c r="AO601" s="137">
        <v>9.6999999999999993</v>
      </c>
      <c r="AP601" s="128">
        <v>2278.9499999999998</v>
      </c>
      <c r="AQ601" s="128">
        <v>386.9</v>
      </c>
      <c r="AR601" s="128"/>
      <c r="AS601" s="128"/>
      <c r="AT601" s="122"/>
      <c r="AU601" s="124" t="s">
        <v>189</v>
      </c>
      <c r="AV601" s="115">
        <f>VLOOKUP(J601,'[63]ТР нефть'!$J$28:$BP$638,39,0)</f>
        <v>560.00001357400004</v>
      </c>
      <c r="AW601" s="115" t="str">
        <f>VLOOKUP(J601,'[63]ТР нефть'!$J$28:$BP$638,40,0)</f>
        <v>ГК 78 1/8</v>
      </c>
      <c r="AX601" s="115">
        <f>VLOOKUP(J601,'[63]ТР нефть'!$J$28:$BP$638,41,0)</f>
        <v>1020.000028711</v>
      </c>
      <c r="AY601" s="115" t="str">
        <f>VLOOKUP(J601,'[63]ТР нефть'!$J$28:$BP$638,42,0)</f>
        <v>ГК 80 1/8</v>
      </c>
      <c r="AZ601" s="115">
        <f>VLOOKUP(J601,'[63]ТР нефть'!$J$28:$BP$638,43,0)</f>
        <v>1407.9999363280001</v>
      </c>
      <c r="BA601" s="115" t="str">
        <f>VLOOKUP(J601,'[63]ТР нефть'!$J$28:$BP$638,44,0)</f>
        <v>ГК 80 1/8</v>
      </c>
      <c r="BB601" s="115">
        <f>VLOOKUP(J601,'[63]ТР нефть'!$J$28:$BP$638,45,0)</f>
        <v>1752.000073828</v>
      </c>
      <c r="BC601" s="115" t="str">
        <f>VLOOKUP(J601,'[63]ТР нефть'!$J$28:$BP$638,46,0)</f>
        <v>ГК 80 1/8</v>
      </c>
      <c r="BD601" s="115">
        <f>VLOOKUP(J601,'[63]ТР нефть'!$J$28:$BP$638,47,0)</f>
        <v>2042.0000097659999</v>
      </c>
      <c r="BE601" s="115" t="str">
        <f>VLOOKUP(J601,'[63]ТР нефть'!$J$28:$BP$638,48,0)</f>
        <v>ЦКсОК 5/16</v>
      </c>
      <c r="BF601" s="115" t="str">
        <f>VLOOKUP(J601,'[63]ТР нефть'!$J$28:$BP$638,49,0)</f>
        <v>-</v>
      </c>
      <c r="BG601" s="115" t="str">
        <f>VLOOKUP(J601,'[63]ТР нефть'!$J$28:$BP$638,50,0)</f>
        <v>-</v>
      </c>
      <c r="BH601" s="115" t="str">
        <f>VLOOKUP(J601,'[63]ТР нефть'!$J$28:$BP$638,51,0)</f>
        <v>-</v>
      </c>
      <c r="BI601" s="115" t="str">
        <f>VLOOKUP(J601,'[63]ТР нефть'!$J$28:$BP$638,52,0)</f>
        <v>-</v>
      </c>
      <c r="BJ601" s="115" t="str">
        <f>IF(IFERROR(VLOOKUP(J601,'[63]ТР нефть'!$J$28:$BP$638,53,0),"-")=0,"-",IFERROR(VLOOKUP(J601,'[63]ТР нефть'!$J$28:$BP$638,53,0),"-"))</f>
        <v>-</v>
      </c>
      <c r="BK601" s="138" t="str">
        <f>IF(IFERROR(VLOOKUP(J601,'[63]ТР нефть'!$J$28:$BP$638,54,0),"-")=0,"-",IFERROR(VLOOKUP(J601,'[63]ТР нефть'!$J$28:$BP$638,54,0),"-"))</f>
        <v>-</v>
      </c>
      <c r="BL601" s="138" t="str">
        <f>IF(IFERROR(VLOOKUP(J601,'[63]ТР нефть'!$J$28:$BP$638,55,0),"-")=0,"-",IFERROR(VLOOKUP(J601,'[63]ТР нефть'!$J$28:$BP$638,55,0),"-"))</f>
        <v>-</v>
      </c>
      <c r="BM601" s="138" t="str">
        <f>IF(IFERROR(VLOOKUP(J601,'[63]ТР нефть'!$J$28:$BP$638,56,0),"-")=0,"-",IFERROR(VLOOKUP(J601,'[63]ТР нефть'!$J$28:$BP$638,56,0),"-"))</f>
        <v>-</v>
      </c>
      <c r="BN601" s="138" t="str">
        <f>IF(IFERROR(VLOOKUP(J601,'[63]ТР нефть'!$J$28:$BP$638,57,0),"-")=0,"-",IFERROR(VLOOKUP(J601,'[63]ТР нефть'!$J$28:$BP$638,57,0),"-"))</f>
        <v>-</v>
      </c>
      <c r="BO601" s="115" t="str">
        <f>IF(IFERROR(VLOOKUP(J601,'[63]ТР нефть'!$J$28:$BP$638,58,0),"-")=0,"-",IFERROR(VLOOKUP(J601,'[63]ТР нефть'!$J$28:$BP$638,58,0),"-"))</f>
        <v>-</v>
      </c>
      <c r="BP601" s="115" t="str">
        <f>IF(IFERROR(VLOOKUP(J601,'[63]ТР нефть'!$J$28:$BP$638,59,0),"-")=0,"-",IFERROR(VLOOKUP(J601,'[63]ТР нефть'!$J$28:$BP$638,59,0),"-"))</f>
        <v>-</v>
      </c>
      <c r="BQ601" s="138">
        <v>2300</v>
      </c>
      <c r="BR601" s="128">
        <v>1895.3</v>
      </c>
      <c r="BS601" s="115">
        <f t="shared" si="499"/>
        <v>404.70000000000005</v>
      </c>
      <c r="BT601" s="128">
        <v>73</v>
      </c>
      <c r="BU601" s="128">
        <v>5.5</v>
      </c>
      <c r="BV601" s="127">
        <v>65</v>
      </c>
      <c r="BW601" s="127" t="s">
        <v>217</v>
      </c>
      <c r="BX601" s="127" t="s">
        <v>195</v>
      </c>
      <c r="BY601" s="139">
        <v>24</v>
      </c>
      <c r="BZ601" s="139">
        <v>0</v>
      </c>
      <c r="CA601" s="138">
        <v>23</v>
      </c>
      <c r="CB601" s="138">
        <v>47</v>
      </c>
      <c r="CC601" s="138">
        <v>22</v>
      </c>
      <c r="CD601" s="135">
        <v>45017</v>
      </c>
      <c r="CE601" s="138">
        <v>137</v>
      </c>
      <c r="CF601" s="138">
        <v>68</v>
      </c>
      <c r="CG601" s="138" t="str">
        <f>IF(CH601&lt;&gt;"","В работе","")</f>
        <v>В работе</v>
      </c>
      <c r="CH601" s="138" t="s">
        <v>272</v>
      </c>
      <c r="CI601" s="127">
        <v>6</v>
      </c>
      <c r="CJ601" s="138"/>
      <c r="CK601" s="138"/>
      <c r="CL601" s="99"/>
      <c r="CM601" s="99"/>
      <c r="CN601" s="140">
        <v>48</v>
      </c>
      <c r="CO601" s="159">
        <f t="shared" si="442"/>
        <v>11.202399999999999</v>
      </c>
      <c r="CP601" s="160">
        <v>13.4</v>
      </c>
      <c r="CQ601" s="161">
        <v>0</v>
      </c>
      <c r="CR601" s="138">
        <v>29</v>
      </c>
      <c r="CS601" s="139">
        <v>12</v>
      </c>
      <c r="CT601" s="138"/>
      <c r="CU601" s="138">
        <f t="shared" si="475"/>
        <v>17</v>
      </c>
      <c r="CV601" s="115">
        <f t="shared" si="476"/>
        <v>1517.531957437692</v>
      </c>
      <c r="CW601" s="115">
        <f t="shared" si="443"/>
        <v>1071.1990287795472</v>
      </c>
      <c r="CX601" s="133">
        <f t="shared" si="477"/>
        <v>0.15056179775280898</v>
      </c>
      <c r="CY601" s="116"/>
      <c r="CZ601" s="131"/>
      <c r="DA601" s="145" t="str">
        <f t="shared" si="478"/>
        <v>Газлифт</v>
      </c>
      <c r="DB601" s="146">
        <f t="shared" si="468"/>
        <v>11.202399999999999</v>
      </c>
      <c r="DC601" s="142">
        <f t="shared" si="469"/>
        <v>13.4</v>
      </c>
      <c r="DD601" s="119">
        <f t="shared" si="470"/>
        <v>0</v>
      </c>
      <c r="DE601" s="115">
        <f t="shared" si="471"/>
        <v>17</v>
      </c>
      <c r="DF601" s="121">
        <f t="shared" si="472"/>
        <v>12</v>
      </c>
      <c r="DG601" s="115">
        <f t="shared" si="446"/>
        <v>1517.531957437692</v>
      </c>
      <c r="DH601" s="115">
        <f t="shared" si="447"/>
        <v>48</v>
      </c>
      <c r="DI601" s="147"/>
      <c r="DJ601" s="111">
        <v>43549</v>
      </c>
      <c r="DK601" s="112">
        <v>44175.083333333336</v>
      </c>
      <c r="DL601" s="113">
        <f t="shared" ca="1" si="480"/>
        <v>928.91666666666424</v>
      </c>
      <c r="DM601" s="114"/>
      <c r="DN601" s="114"/>
      <c r="DO601" s="114"/>
      <c r="DP601" s="114"/>
      <c r="DQ601" s="112">
        <v>43487</v>
      </c>
      <c r="DR601" s="114" t="s">
        <v>198</v>
      </c>
      <c r="DS601" s="114"/>
      <c r="DT601" s="115">
        <v>51</v>
      </c>
      <c r="DU601" s="116">
        <f t="shared" si="481"/>
        <v>0.1558139534883721</v>
      </c>
      <c r="DV601" s="117">
        <f t="shared" si="495"/>
        <v>11.202399999999999</v>
      </c>
      <c r="DW601" s="118">
        <f t="shared" si="496"/>
        <v>13.4</v>
      </c>
      <c r="DX601" s="119">
        <f t="shared" si="497"/>
        <v>0</v>
      </c>
      <c r="DY601" s="115">
        <f t="shared" si="498"/>
        <v>17</v>
      </c>
      <c r="DZ601" s="117">
        <f t="shared" si="482"/>
        <v>0</v>
      </c>
      <c r="EA601" s="120">
        <f t="shared" si="482"/>
        <v>0</v>
      </c>
      <c r="EB601" s="119">
        <f t="shared" si="482"/>
        <v>0</v>
      </c>
      <c r="EC601" s="121">
        <f t="shared" si="464"/>
        <v>0</v>
      </c>
      <c r="ED601" s="122"/>
      <c r="EE601" s="145">
        <v>65</v>
      </c>
      <c r="EF601" s="115">
        <v>23</v>
      </c>
      <c r="EG601" s="115">
        <v>45</v>
      </c>
      <c r="EH601" s="115">
        <v>22</v>
      </c>
      <c r="EI601" s="128" t="s">
        <v>195</v>
      </c>
      <c r="EJ601" s="121">
        <v>24</v>
      </c>
      <c r="EK601" s="121">
        <v>0</v>
      </c>
      <c r="EL601" s="162">
        <v>5.8519999999999994</v>
      </c>
      <c r="EM601" s="142">
        <v>7</v>
      </c>
      <c r="EN601" s="119">
        <v>0</v>
      </c>
      <c r="EO601" s="115">
        <v>13</v>
      </c>
      <c r="EP601" s="115">
        <v>519.48051948051932</v>
      </c>
      <c r="EQ601" s="115">
        <v>68</v>
      </c>
      <c r="ER601" s="115">
        <v>9.9600000000000009</v>
      </c>
      <c r="ES601" s="115">
        <v>51</v>
      </c>
      <c r="ET601" s="150">
        <v>8.1395348837209308E-2</v>
      </c>
      <c r="EU601" s="145">
        <f t="shared" si="457"/>
        <v>65</v>
      </c>
      <c r="EV601" s="115">
        <f t="shared" si="448"/>
        <v>23</v>
      </c>
      <c r="EW601" s="115">
        <f t="shared" si="448"/>
        <v>47</v>
      </c>
      <c r="EX601" s="115">
        <f t="shared" si="448"/>
        <v>22</v>
      </c>
      <c r="EY601" s="115" t="str">
        <f t="shared" si="489"/>
        <v>Постоянный</v>
      </c>
      <c r="EZ601" s="115">
        <f t="shared" si="489"/>
        <v>24</v>
      </c>
      <c r="FA601" s="115">
        <f t="shared" si="489"/>
        <v>0</v>
      </c>
      <c r="FB601" s="149">
        <f t="shared" si="461"/>
        <v>11.202399999999999</v>
      </c>
      <c r="FC601" s="142">
        <f t="shared" si="461"/>
        <v>13.4</v>
      </c>
      <c r="FD601" s="119">
        <f t="shared" si="461"/>
        <v>0</v>
      </c>
      <c r="FE601" s="121">
        <f t="shared" si="460"/>
        <v>29</v>
      </c>
      <c r="FF601" s="121">
        <f t="shared" si="462"/>
        <v>1517.531957437692</v>
      </c>
      <c r="FG601" s="121">
        <f t="shared" si="449"/>
        <v>68</v>
      </c>
      <c r="FH601" s="121">
        <f t="shared" si="491"/>
        <v>12</v>
      </c>
      <c r="FI601" s="121">
        <f t="shared" si="483"/>
        <v>48</v>
      </c>
      <c r="FJ601" s="144">
        <f t="shared" si="450"/>
        <v>0.15056179775280898</v>
      </c>
      <c r="FK601" s="132">
        <f t="shared" si="451"/>
        <v>0</v>
      </c>
      <c r="FL601" s="115">
        <f t="shared" si="451"/>
        <v>0</v>
      </c>
      <c r="FM601" s="115">
        <f t="shared" si="451"/>
        <v>2</v>
      </c>
      <c r="FN601" s="115">
        <f t="shared" si="451"/>
        <v>0</v>
      </c>
      <c r="FO601" s="115">
        <f t="shared" si="492"/>
        <v>0</v>
      </c>
      <c r="FP601" s="115">
        <f t="shared" si="492"/>
        <v>0</v>
      </c>
      <c r="FQ601" s="149">
        <f t="shared" si="492"/>
        <v>5.3503999999999996</v>
      </c>
      <c r="FR601" s="142">
        <f t="shared" si="492"/>
        <v>6.4</v>
      </c>
      <c r="FS601" s="119">
        <f t="shared" si="492"/>
        <v>0</v>
      </c>
      <c r="FT601" s="121">
        <f t="shared" si="492"/>
        <v>16</v>
      </c>
      <c r="FU601" s="121">
        <f t="shared" si="452"/>
        <v>0</v>
      </c>
      <c r="FV601" s="121">
        <f t="shared" si="452"/>
        <v>2.0399999999999991</v>
      </c>
      <c r="FW601" s="121">
        <f t="shared" si="453"/>
        <v>998.05143795717265</v>
      </c>
      <c r="FX601" s="121">
        <f>CN601-ES601</f>
        <v>-3</v>
      </c>
      <c r="FY601" s="144">
        <f t="shared" si="454"/>
        <v>6.9166448915599671E-2</v>
      </c>
      <c r="FZ601" s="145" t="s">
        <v>204</v>
      </c>
      <c r="GA601" s="151" t="s">
        <v>1325</v>
      </c>
      <c r="GB601" s="145" t="s">
        <v>199</v>
      </c>
      <c r="GC601" s="151" t="s">
        <v>1762</v>
      </c>
      <c r="GD601" s="997" t="s">
        <v>416</v>
      </c>
      <c r="GE601" s="1004" t="s">
        <v>199</v>
      </c>
      <c r="GF601" s="1004">
        <v>-2.3408000000000007</v>
      </c>
      <c r="GG601" s="1004"/>
      <c r="GH601" s="1004">
        <v>0</v>
      </c>
      <c r="GI601" s="145"/>
      <c r="GJ601" s="996">
        <v>-0.58018399999999914</v>
      </c>
      <c r="GK601" s="145"/>
      <c r="GL601" s="996">
        <v>0</v>
      </c>
      <c r="GM601" s="1005"/>
      <c r="GN601" s="996">
        <v>0</v>
      </c>
      <c r="GO601" s="1006"/>
      <c r="GP601" s="996">
        <v>-0.4230160000000005</v>
      </c>
      <c r="GQ601" s="1006"/>
      <c r="GR601" s="996">
        <v>1.0031999999999996</v>
      </c>
      <c r="GS601" s="1006"/>
      <c r="GT601" s="996">
        <v>0</v>
      </c>
      <c r="GU601" s="1006" t="s">
        <v>199</v>
      </c>
      <c r="GV601" s="996">
        <v>-1.9707195199999994</v>
      </c>
      <c r="GW601" s="1006"/>
      <c r="GX601" s="996">
        <v>0</v>
      </c>
      <c r="GY601" s="1006"/>
      <c r="GZ601" s="996">
        <v>-0.23632047999999983</v>
      </c>
      <c r="HA601" s="1006" t="s">
        <v>308</v>
      </c>
      <c r="HB601" s="996">
        <v>0.45812800000000031</v>
      </c>
      <c r="HC601" s="1006"/>
      <c r="HD601" s="996">
        <v>0.12265791999999998</v>
      </c>
      <c r="HE601" s="1006" t="s">
        <v>204</v>
      </c>
      <c r="HF601" s="996">
        <v>0</v>
      </c>
      <c r="HG601" s="1006"/>
      <c r="HH601" s="996">
        <v>5.1999199999999135E-2</v>
      </c>
      <c r="HI601" s="1006" t="s">
        <v>204</v>
      </c>
      <c r="HJ601" s="996">
        <v>1.3258876400000013</v>
      </c>
      <c r="HK601" s="1006"/>
      <c r="HL601" s="996">
        <v>0</v>
      </c>
      <c r="HM601" s="1006" t="s">
        <v>223</v>
      </c>
      <c r="HN601" s="996">
        <v>-1.4089124720000008</v>
      </c>
      <c r="HO601" s="1006"/>
      <c r="HP601" s="996">
        <v>0</v>
      </c>
      <c r="HQ601" s="1006" t="s">
        <v>199</v>
      </c>
      <c r="HR601" s="996">
        <v>-2.0704442879999991</v>
      </c>
      <c r="HS601" s="1006" t="s">
        <v>199</v>
      </c>
      <c r="HT601" s="996">
        <v>1.6767986399999977</v>
      </c>
      <c r="HU601" s="1006" t="s">
        <v>223</v>
      </c>
      <c r="HV601" s="996">
        <v>-2.7844986399999989</v>
      </c>
      <c r="HW601" s="1006" t="s">
        <v>199</v>
      </c>
      <c r="HX601" s="996">
        <v>3.0861253499999997</v>
      </c>
      <c r="HY601" s="1006" t="s">
        <v>199</v>
      </c>
      <c r="HZ601" s="996">
        <v>-3.5258613499999996</v>
      </c>
      <c r="IA601" s="1006" t="s">
        <v>221</v>
      </c>
      <c r="IB601" s="996">
        <v>-6.2536143999999982</v>
      </c>
      <c r="IC601" s="1006"/>
      <c r="ID601" s="996">
        <v>0</v>
      </c>
      <c r="IE601" s="1006" t="s">
        <v>223</v>
      </c>
      <c r="IF601" s="996">
        <v>-4.4981816000000023</v>
      </c>
      <c r="IG601" s="1006" t="s">
        <v>221</v>
      </c>
      <c r="IH601" s="996">
        <v>-2.4470305199999984</v>
      </c>
      <c r="II601" s="1006" t="s">
        <v>221</v>
      </c>
      <c r="IJ601" s="996">
        <v>8.6927865199999985</v>
      </c>
      <c r="IK601" s="1006" t="s">
        <v>25</v>
      </c>
      <c r="IL601" s="996">
        <v>12.17216</v>
      </c>
      <c r="IM601" s="1006"/>
      <c r="IN601" s="996">
        <v>0</v>
      </c>
      <c r="IO601" s="1006"/>
      <c r="IP601" s="996">
        <v>0</v>
      </c>
      <c r="IQ601" s="1006"/>
      <c r="IR601" s="996">
        <v>0</v>
      </c>
      <c r="IS601" s="1006"/>
      <c r="IT601" s="996">
        <v>-0.76075999999999944</v>
      </c>
      <c r="IU601" s="1006"/>
      <c r="IV601" s="996">
        <v>0.71060000000000034</v>
      </c>
      <c r="IW601" s="1006"/>
      <c r="IX601" s="996">
        <v>0</v>
      </c>
      <c r="IY601" s="1006"/>
      <c r="IZ601" s="996">
        <v>0.70223999999999975</v>
      </c>
      <c r="JA601" s="1006"/>
      <c r="JB601" s="996">
        <v>0</v>
      </c>
      <c r="JC601" s="1006"/>
      <c r="JD601" s="996">
        <v>0</v>
      </c>
      <c r="JE601" s="1006" t="s">
        <v>223</v>
      </c>
      <c r="JF601" s="996">
        <v>-2.3240799999999995</v>
      </c>
      <c r="JG601" s="1006" t="s">
        <v>223</v>
      </c>
      <c r="JH601" s="996">
        <v>-2.5581600000000009</v>
      </c>
      <c r="JI601" s="1006"/>
      <c r="JJ601" s="996">
        <v>0</v>
      </c>
      <c r="JK601" s="1007"/>
      <c r="JL601" s="1007">
        <v>0</v>
      </c>
      <c r="JM601" s="1007"/>
      <c r="JN601" s="1007">
        <v>0</v>
      </c>
      <c r="JO601" s="1008"/>
      <c r="JP601" s="1007">
        <v>0</v>
      </c>
      <c r="JQ601" s="1008">
        <v>0</v>
      </c>
      <c r="JR601" s="1007">
        <v>0</v>
      </c>
      <c r="JS601" s="1008" t="s">
        <v>199</v>
      </c>
      <c r="JT601" s="1007">
        <v>-3.7352479999999986</v>
      </c>
      <c r="JU601" s="1008"/>
      <c r="JV601" s="1007">
        <v>0</v>
      </c>
      <c r="JW601" s="1008" t="s">
        <v>197</v>
      </c>
      <c r="JX601" s="1007">
        <v>0</v>
      </c>
      <c r="JY601" s="1008"/>
      <c r="JZ601" s="1007">
        <v>0</v>
      </c>
      <c r="KA601" s="1008"/>
      <c r="KB601" s="1007">
        <v>0</v>
      </c>
      <c r="KC601" s="1008"/>
      <c r="KD601" s="1007">
        <v>0</v>
      </c>
      <c r="KE601" s="1008"/>
      <c r="KF601" s="1007">
        <v>0</v>
      </c>
      <c r="KG601" s="1008"/>
      <c r="KH601" s="1007">
        <v>0</v>
      </c>
      <c r="KI601" s="1008" t="s">
        <v>206</v>
      </c>
      <c r="KJ601" s="1007"/>
      <c r="KK601" s="1008"/>
      <c r="KL601" s="1007"/>
      <c r="KM601" s="1008"/>
      <c r="KN601" s="1007">
        <v>0</v>
      </c>
      <c r="KO601" s="1008"/>
      <c r="KP601" s="1007">
        <v>0</v>
      </c>
      <c r="KQ601" s="1008" t="s">
        <v>207</v>
      </c>
      <c r="KR601" s="1007">
        <v>-7.6744799999999991</v>
      </c>
      <c r="KS601" s="1008">
        <v>0</v>
      </c>
      <c r="KT601" s="1007">
        <v>0</v>
      </c>
      <c r="KU601" s="1008">
        <v>0</v>
      </c>
      <c r="KV601" s="1007">
        <v>0</v>
      </c>
      <c r="KW601" s="1008" t="s">
        <v>240</v>
      </c>
      <c r="KX601" s="1007">
        <v>-5.9690400000000032</v>
      </c>
      <c r="KY601" s="1008">
        <v>0</v>
      </c>
      <c r="KZ601" s="1007">
        <v>0</v>
      </c>
      <c r="LA601" s="1008">
        <v>0</v>
      </c>
      <c r="LB601" s="1007">
        <v>0</v>
      </c>
      <c r="LC601" s="1008">
        <v>0</v>
      </c>
      <c r="LD601" s="1007">
        <v>0</v>
      </c>
      <c r="LE601" s="1008" t="s">
        <v>206</v>
      </c>
      <c r="LF601" s="1007">
        <v>1.2038400000000031</v>
      </c>
      <c r="LG601" s="1008">
        <v>0</v>
      </c>
      <c r="LH601" s="1007">
        <v>0</v>
      </c>
      <c r="LI601" s="1008">
        <v>0</v>
      </c>
      <c r="LJ601" s="1007">
        <v>0</v>
      </c>
      <c r="LK601" s="1008" t="s">
        <v>25</v>
      </c>
      <c r="LL601" s="1007">
        <v>25.8</v>
      </c>
      <c r="LM601" s="1008">
        <v>0</v>
      </c>
      <c r="LN601" s="1007">
        <v>0</v>
      </c>
      <c r="LO601" s="1008">
        <v>0</v>
      </c>
      <c r="LP601" s="1007">
        <v>0</v>
      </c>
      <c r="LQ601" s="1008">
        <v>0</v>
      </c>
      <c r="LR601" s="1007">
        <v>0</v>
      </c>
      <c r="LS601" s="1008">
        <v>0</v>
      </c>
      <c r="LT601" s="1007">
        <v>0</v>
      </c>
      <c r="LU601" s="1008">
        <v>0</v>
      </c>
      <c r="LV601" s="1007">
        <v>0</v>
      </c>
      <c r="LW601" s="1008">
        <v>0</v>
      </c>
      <c r="LX601" s="1007">
        <v>0</v>
      </c>
      <c r="LY601" s="1009">
        <v>0</v>
      </c>
      <c r="LZ601" s="1010">
        <v>0</v>
      </c>
      <c r="MA601" s="1011">
        <v>0</v>
      </c>
      <c r="MB601" s="1012">
        <v>0</v>
      </c>
      <c r="MC601" s="995"/>
      <c r="MD601" s="996"/>
      <c r="ME601" s="997" t="s">
        <v>416</v>
      </c>
      <c r="MF601" s="997"/>
      <c r="MG601" s="998"/>
      <c r="NR601" s="1000"/>
      <c r="NS601" s="1000"/>
      <c r="NT601" s="1001"/>
      <c r="NU601" s="1000"/>
      <c r="NV601" s="1001"/>
      <c r="NX601" s="1002"/>
      <c r="NZ601" s="1001"/>
      <c r="OA601" s="1001"/>
      <c r="OC601" s="1003"/>
      <c r="OD601" s="1003"/>
      <c r="OE601" s="1001"/>
      <c r="OF601" s="1003"/>
      <c r="OG601" s="1003"/>
      <c r="QX601" s="1000">
        <f>CN601-CA601</f>
        <v>25</v>
      </c>
      <c r="ASU601" s="999" t="s">
        <v>208</v>
      </c>
    </row>
    <row r="602" spans="1:466 1191:1191" ht="21" customHeight="1" x14ac:dyDescent="0.25">
      <c r="A602" s="982">
        <f t="shared" si="441"/>
        <v>3432</v>
      </c>
      <c r="B602" s="124">
        <f>SUBTOTAL(103,$J$29:J602)</f>
        <v>574</v>
      </c>
      <c r="C602" s="126">
        <v>45068</v>
      </c>
      <c r="D602" s="124" t="s">
        <v>176</v>
      </c>
      <c r="E602" s="127" t="s">
        <v>177</v>
      </c>
      <c r="F602" s="128" t="s">
        <v>177</v>
      </c>
      <c r="G602" s="127" t="s">
        <v>178</v>
      </c>
      <c r="H602" s="127" t="s">
        <v>179</v>
      </c>
      <c r="I602" s="127" t="s">
        <v>1822</v>
      </c>
      <c r="J602" s="152">
        <v>3432</v>
      </c>
      <c r="K602" s="127" t="s">
        <v>1822</v>
      </c>
      <c r="L602" s="130">
        <v>43946</v>
      </c>
      <c r="M602" s="127" t="s">
        <v>230</v>
      </c>
      <c r="N602" s="127" t="s">
        <v>184</v>
      </c>
      <c r="O602" s="127" t="s">
        <v>185</v>
      </c>
      <c r="P602" s="127" t="s">
        <v>186</v>
      </c>
      <c r="Q602" s="85" t="str">
        <f t="shared" si="500"/>
        <v/>
      </c>
      <c r="R602" s="130"/>
      <c r="S602" s="128"/>
      <c r="T602" s="131"/>
      <c r="U602" s="132">
        <v>203</v>
      </c>
      <c r="V602" s="121">
        <v>218.2</v>
      </c>
      <c r="W602" s="116">
        <v>0.98</v>
      </c>
      <c r="X602" s="116">
        <v>1.66</v>
      </c>
      <c r="Y602" s="116">
        <f t="shared" si="463"/>
        <v>1.4802547770700636</v>
      </c>
      <c r="Z602" s="133">
        <v>1.454</v>
      </c>
      <c r="AA602" s="133">
        <v>0.83599999999999997</v>
      </c>
      <c r="AB602" s="133">
        <v>0.72</v>
      </c>
      <c r="AC602" s="121">
        <v>34.299999999999997</v>
      </c>
      <c r="AD602" s="134">
        <v>1.17</v>
      </c>
      <c r="AE602" s="124">
        <v>177.8</v>
      </c>
      <c r="AF602" s="128">
        <v>9.19</v>
      </c>
      <c r="AG602" s="128">
        <v>2281.1</v>
      </c>
      <c r="AH602" s="127">
        <v>2983</v>
      </c>
      <c r="AI602" s="127">
        <v>2983</v>
      </c>
      <c r="AJ602" s="135"/>
      <c r="AK602" s="128"/>
      <c r="AL602" s="131"/>
      <c r="AM602" s="124" t="s">
        <v>232</v>
      </c>
      <c r="AN602" s="136" t="s">
        <v>2037</v>
      </c>
      <c r="AO602" s="137">
        <v>25.73</v>
      </c>
      <c r="AP602" s="128">
        <v>2281</v>
      </c>
      <c r="AQ602" s="128">
        <v>488.6</v>
      </c>
      <c r="AR602" s="128"/>
      <c r="AS602" s="128"/>
      <c r="AT602" s="122"/>
      <c r="AU602" s="124" t="s">
        <v>883</v>
      </c>
      <c r="AV602" s="115">
        <f>VLOOKUP(J602,'[63]ТР нефть'!$J$28:$BP$638,39,0)</f>
        <v>300</v>
      </c>
      <c r="AW602" s="115" t="str">
        <f>VLOOKUP(J602,'[63]ТР нефть'!$J$28:$BP$638,40,0)</f>
        <v>ГП</v>
      </c>
      <c r="AX602" s="115" t="str">
        <f>VLOOKUP(J602,'[63]ТР нефть'!$J$28:$BP$638,41,0)</f>
        <v>-</v>
      </c>
      <c r="AY602" s="115" t="str">
        <f>VLOOKUP(J602,'[63]ТР нефть'!$J$28:$BP$638,42,0)</f>
        <v>-</v>
      </c>
      <c r="AZ602" s="115" t="str">
        <f>VLOOKUP(J602,'[63]ТР нефть'!$J$28:$BP$638,43,0)</f>
        <v>-</v>
      </c>
      <c r="BA602" s="115" t="str">
        <f>VLOOKUP(J602,'[63]ТР нефть'!$J$28:$BP$638,44,0)</f>
        <v>-</v>
      </c>
      <c r="BB602" s="115" t="str">
        <f>VLOOKUP(J602,'[63]ТР нефть'!$J$28:$BP$638,45,0)</f>
        <v>-</v>
      </c>
      <c r="BC602" s="115" t="str">
        <f>VLOOKUP(J602,'[63]ТР нефть'!$J$28:$BP$638,46,0)</f>
        <v>-</v>
      </c>
      <c r="BD602" s="115" t="str">
        <f>VLOOKUP(J602,'[63]ТР нефть'!$J$28:$BP$638,47,0)</f>
        <v>-</v>
      </c>
      <c r="BE602" s="115" t="str">
        <f>VLOOKUP(J602,'[63]ТР нефть'!$J$28:$BP$638,48,0)</f>
        <v>-</v>
      </c>
      <c r="BF602" s="115" t="str">
        <f>VLOOKUP(J602,'[63]ТР нефть'!$J$28:$BP$638,49,0)</f>
        <v>-</v>
      </c>
      <c r="BG602" s="115" t="str">
        <f>VLOOKUP(J602,'[63]ТР нефть'!$J$28:$BP$638,50,0)</f>
        <v>-</v>
      </c>
      <c r="BH602" s="115">
        <f>VLOOKUP(J602,'[63]ТР нефть'!$J$28:$BP$638,51,0)</f>
        <v>1950</v>
      </c>
      <c r="BI602" s="115" t="str">
        <f>VLOOKUP(J602,'[63]ТР нефть'!$J$28:$BP$638,52,0)</f>
        <v>закрыт</v>
      </c>
      <c r="BJ602" s="115" t="str">
        <f>IF(IFERROR(VLOOKUP(J602,'[63]ТР нефть'!$J$28:$BP$638,53,0),"-")=0,"-",IFERROR(VLOOKUP(J602,'[63]ТР нефть'!$J$28:$BP$638,53,0),"-"))</f>
        <v>-</v>
      </c>
      <c r="BK602" s="138" t="str">
        <f>IF(IFERROR(VLOOKUP(J602,'[63]ТР нефть'!$J$28:$BP$638,54,0),"-")=0,"-",IFERROR(VLOOKUP(J602,'[63]ТР нефть'!$J$28:$BP$638,54,0),"-"))</f>
        <v>D800N</v>
      </c>
      <c r="BL602" s="138" t="str">
        <f>IF(IFERROR(VLOOKUP(J602,'[63]ТР нефть'!$J$28:$BP$638,55,0),"-")=0,"-",IFERROR(VLOOKUP(J602,'[63]ТР нефть'!$J$28:$BP$638,55,0),"-"))</f>
        <v>-</v>
      </c>
      <c r="BM602" s="138">
        <f>IF(IFERROR(VLOOKUP(J602,'[63]ТР нефть'!$J$28:$BP$638,56,0),"-")=0,"-",IFERROR(VLOOKUP(J602,'[63]ТР нефть'!$J$28:$BP$638,56,0),"-"))</f>
        <v>1250</v>
      </c>
      <c r="BN602" s="138">
        <f>IF(IFERROR(VLOOKUP(J602,'[63]ТР нефть'!$J$28:$BP$638,57,0),"-")=0,"-",IFERROR(VLOOKUP(J602,'[63]ТР нефть'!$J$28:$BP$638,57,0),"-"))</f>
        <v>53</v>
      </c>
      <c r="BO602" s="115">
        <f>IF(IFERROR(VLOOKUP(J602,'[63]ТР нефть'!$J$28:$BP$638,58,0),"-")=0,"-",IFERROR(VLOOKUP(J602,'[63]ТР нефть'!$J$28:$BP$638,58,0),"-"))</f>
        <v>63</v>
      </c>
      <c r="BP602" s="115" t="str">
        <f>IF(IFERROR(VLOOKUP(J602,'[63]ТР нефть'!$J$28:$BP$638,59,0),"-")=0,"-",IFERROR(VLOOKUP(J602,'[63]ТР нефть'!$J$28:$BP$638,59,0),"-"))</f>
        <v>-</v>
      </c>
      <c r="BQ602" s="138">
        <v>1978</v>
      </c>
      <c r="BR602" s="128">
        <v>1643</v>
      </c>
      <c r="BS602" s="115">
        <f t="shared" si="499"/>
        <v>335</v>
      </c>
      <c r="BT602" s="128">
        <v>73</v>
      </c>
      <c r="BU602" s="128">
        <v>5.5</v>
      </c>
      <c r="BV602" s="127">
        <v>65</v>
      </c>
      <c r="BW602" s="127" t="s">
        <v>217</v>
      </c>
      <c r="BX602" s="127" t="s">
        <v>218</v>
      </c>
      <c r="BY602" s="127">
        <v>8</v>
      </c>
      <c r="BZ602" s="139">
        <v>16</v>
      </c>
      <c r="CA602" s="138">
        <v>22</v>
      </c>
      <c r="CB602" s="127">
        <v>21</v>
      </c>
      <c r="CC602" s="138">
        <v>21</v>
      </c>
      <c r="CD602" s="135">
        <v>45017</v>
      </c>
      <c r="CE602" s="138">
        <v>147</v>
      </c>
      <c r="CF602" s="138"/>
      <c r="CG602" s="138" t="str">
        <f>IF(CH602&lt;&gt;"","В работе","")</f>
        <v/>
      </c>
      <c r="CH602" s="138" t="s">
        <v>197</v>
      </c>
      <c r="CI602" s="127"/>
      <c r="CJ602" s="138">
        <f>IF((BR602-(100*(CM602-CB602))/(9.8*(AB602+AA602)/2))&gt;0,BR602-(100*(CM602-CB602))/(9.8*(AB602+AA602)/2),0)</f>
        <v>1157.7159120717697</v>
      </c>
      <c r="CK602" s="138">
        <f t="shared" si="488"/>
        <v>51.993512775000013</v>
      </c>
      <c r="CL602" s="99"/>
      <c r="CM602" s="127">
        <v>58</v>
      </c>
      <c r="CN602" s="154">
        <f>IF(CM602=0,0,(((AP602-AQ602-BR602)*((AD602*(CQ602/100))+(AB602*((100-CQ602)/100)))*9.81/100+CM602)))</f>
        <v>73.993512775000013</v>
      </c>
      <c r="CO602" s="141">
        <f t="shared" si="442"/>
        <v>6.1372850000000012</v>
      </c>
      <c r="CP602" s="142">
        <v>41.95</v>
      </c>
      <c r="CQ602" s="143">
        <v>82.5</v>
      </c>
      <c r="CR602" s="138">
        <v>9.4</v>
      </c>
      <c r="CS602" s="139"/>
      <c r="CT602" s="138"/>
      <c r="CU602" s="138">
        <f t="shared" si="475"/>
        <v>9.4</v>
      </c>
      <c r="CV602" s="115">
        <f t="shared" si="476"/>
        <v>1531.6218816626567</v>
      </c>
      <c r="CW602" s="115" t="str">
        <f t="shared" si="443"/>
        <v/>
      </c>
      <c r="CX602" s="133">
        <f t="shared" si="477"/>
        <v>0.57460647121280539</v>
      </c>
      <c r="CY602" s="116"/>
      <c r="CZ602" s="131"/>
      <c r="DA602" s="145" t="str">
        <f t="shared" si="478"/>
        <v>ЭЦН</v>
      </c>
      <c r="DB602" s="146">
        <f t="shared" si="468"/>
        <v>6.1372850000000012</v>
      </c>
      <c r="DC602" s="142">
        <f t="shared" si="469"/>
        <v>41.95</v>
      </c>
      <c r="DD602" s="119">
        <f t="shared" si="470"/>
        <v>82.5</v>
      </c>
      <c r="DE602" s="115">
        <f t="shared" si="471"/>
        <v>9.4</v>
      </c>
      <c r="DF602" s="121">
        <f t="shared" si="472"/>
        <v>0</v>
      </c>
      <c r="DG602" s="115">
        <f t="shared" si="446"/>
        <v>1531.6218816626567</v>
      </c>
      <c r="DH602" s="115">
        <f t="shared" si="447"/>
        <v>73.993512775000013</v>
      </c>
      <c r="DI602" s="147"/>
      <c r="DJ602" s="111">
        <v>44095</v>
      </c>
      <c r="DK602" s="112">
        <v>44116</v>
      </c>
      <c r="DL602" s="113">
        <f t="shared" ca="1" si="480"/>
        <v>988</v>
      </c>
      <c r="DM602" s="114">
        <v>16.2</v>
      </c>
      <c r="DN602" s="114">
        <v>52</v>
      </c>
      <c r="DO602" s="114">
        <v>38</v>
      </c>
      <c r="DP602" s="114"/>
      <c r="DQ602" s="112"/>
      <c r="DR602" s="114"/>
      <c r="DS602" s="114"/>
      <c r="DT602" s="115">
        <v>60</v>
      </c>
      <c r="DU602" s="116">
        <f t="shared" si="481"/>
        <v>0.54340970932753796</v>
      </c>
      <c r="DV602" s="117">
        <f t="shared" si="495"/>
        <v>6.9165731212918375</v>
      </c>
      <c r="DW602" s="118">
        <f t="shared" si="496"/>
        <v>47.276644711495805</v>
      </c>
      <c r="DX602" s="119">
        <f t="shared" si="497"/>
        <v>82.5</v>
      </c>
      <c r="DY602" s="115">
        <f t="shared" si="498"/>
        <v>10.593574738690359</v>
      </c>
      <c r="DZ602" s="117">
        <f t="shared" ref="DZ602:EB617" si="501">DV602-CO602</f>
        <v>0.77928812129183633</v>
      </c>
      <c r="EA602" s="120">
        <f t="shared" si="501"/>
        <v>5.3266447114958027</v>
      </c>
      <c r="EB602" s="119">
        <f t="shared" si="501"/>
        <v>0</v>
      </c>
      <c r="EC602" s="121">
        <f t="shared" si="464"/>
        <v>1.1935747386903586</v>
      </c>
      <c r="ED602" s="122"/>
      <c r="EE602" s="145">
        <v>65</v>
      </c>
      <c r="EF602" s="115">
        <v>19</v>
      </c>
      <c r="EG602" s="115">
        <v>19</v>
      </c>
      <c r="EH602" s="115">
        <v>18</v>
      </c>
      <c r="EI602" s="128" t="s">
        <v>218</v>
      </c>
      <c r="EJ602" s="121">
        <v>8</v>
      </c>
      <c r="EK602" s="121">
        <v>16</v>
      </c>
      <c r="EL602" s="149">
        <v>6.1372850000000012</v>
      </c>
      <c r="EM602" s="142">
        <v>41.95</v>
      </c>
      <c r="EN602" s="119">
        <v>82.5</v>
      </c>
      <c r="EO602" s="115">
        <v>9.4</v>
      </c>
      <c r="EP602" s="115">
        <v>1531.6218816626567</v>
      </c>
      <c r="EQ602" s="115">
        <v>0</v>
      </c>
      <c r="ER602" s="115">
        <v>0</v>
      </c>
      <c r="ES602" s="115">
        <v>73.993512775000013</v>
      </c>
      <c r="ET602" s="150">
        <v>0.57460647121280539</v>
      </c>
      <c r="EU602" s="145">
        <f t="shared" si="457"/>
        <v>65</v>
      </c>
      <c r="EV602" s="115">
        <f t="shared" si="448"/>
        <v>22</v>
      </c>
      <c r="EW602" s="115">
        <f t="shared" si="448"/>
        <v>21</v>
      </c>
      <c r="EX602" s="115">
        <f t="shared" si="448"/>
        <v>21</v>
      </c>
      <c r="EY602" s="115" t="str">
        <f t="shared" si="489"/>
        <v>Периодический</v>
      </c>
      <c r="EZ602" s="115">
        <f t="shared" si="489"/>
        <v>8</v>
      </c>
      <c r="FA602" s="115">
        <f t="shared" si="489"/>
        <v>16</v>
      </c>
      <c r="FB602" s="149">
        <f t="shared" si="461"/>
        <v>6.1372850000000012</v>
      </c>
      <c r="FC602" s="142">
        <f t="shared" si="461"/>
        <v>41.95</v>
      </c>
      <c r="FD602" s="119">
        <f t="shared" si="461"/>
        <v>82.5</v>
      </c>
      <c r="FE602" s="121">
        <f t="shared" si="460"/>
        <v>9.4</v>
      </c>
      <c r="FF602" s="121">
        <f t="shared" si="462"/>
        <v>1531.6218816626567</v>
      </c>
      <c r="FG602" s="121">
        <f t="shared" si="449"/>
        <v>0</v>
      </c>
      <c r="FH602" s="121">
        <f t="shared" si="491"/>
        <v>0</v>
      </c>
      <c r="FI602" s="121">
        <f t="shared" si="483"/>
        <v>73.993512775000013</v>
      </c>
      <c r="FJ602" s="144">
        <f t="shared" si="450"/>
        <v>0.57460647121280539</v>
      </c>
      <c r="FK602" s="132">
        <f t="shared" si="451"/>
        <v>0</v>
      </c>
      <c r="FL602" s="115">
        <f t="shared" si="451"/>
        <v>3</v>
      </c>
      <c r="FM602" s="115">
        <f t="shared" si="451"/>
        <v>2</v>
      </c>
      <c r="FN602" s="115">
        <f t="shared" si="451"/>
        <v>3</v>
      </c>
      <c r="FO602" s="115">
        <f t="shared" si="492"/>
        <v>0</v>
      </c>
      <c r="FP602" s="115">
        <f t="shared" si="492"/>
        <v>0</v>
      </c>
      <c r="FQ602" s="149">
        <f t="shared" si="492"/>
        <v>0</v>
      </c>
      <c r="FR602" s="142">
        <f t="shared" si="492"/>
        <v>0</v>
      </c>
      <c r="FS602" s="119">
        <f t="shared" si="492"/>
        <v>0</v>
      </c>
      <c r="FT602" s="121">
        <f t="shared" si="492"/>
        <v>0</v>
      </c>
      <c r="FU602" s="121">
        <f t="shared" si="452"/>
        <v>0</v>
      </c>
      <c r="FV602" s="121">
        <f t="shared" si="452"/>
        <v>0</v>
      </c>
      <c r="FW602" s="121">
        <f t="shared" si="453"/>
        <v>0</v>
      </c>
      <c r="FX602" s="121">
        <f t="shared" si="454"/>
        <v>0</v>
      </c>
      <c r="FY602" s="144">
        <f t="shared" si="454"/>
        <v>0</v>
      </c>
      <c r="FZ602" s="145"/>
      <c r="GA602" s="151"/>
      <c r="GB602" s="145" t="s">
        <v>199</v>
      </c>
      <c r="GC602" s="151" t="s">
        <v>2038</v>
      </c>
      <c r="GD602" s="997" t="s">
        <v>220</v>
      </c>
      <c r="GE602" s="1004" t="s">
        <v>199</v>
      </c>
      <c r="GF602" s="1004">
        <v>4.6157650000000023</v>
      </c>
      <c r="GG602" s="1004" t="s">
        <v>223</v>
      </c>
      <c r="GH602" s="1004">
        <v>-4.142296400000002</v>
      </c>
      <c r="GI602" s="145"/>
      <c r="GJ602" s="996">
        <v>-6.4307627999998118E-2</v>
      </c>
      <c r="GK602" s="145"/>
      <c r="GL602" s="996">
        <v>0</v>
      </c>
      <c r="GM602" s="1005" t="s">
        <v>240</v>
      </c>
      <c r="GN602" s="996">
        <v>-3.2488439720000022</v>
      </c>
      <c r="GO602" s="1006"/>
      <c r="GP602" s="996">
        <v>0</v>
      </c>
      <c r="GQ602" s="1006" t="s">
        <v>259</v>
      </c>
      <c r="GR602" s="996">
        <v>3.8606480000000039</v>
      </c>
      <c r="GS602" s="1006" t="s">
        <v>204</v>
      </c>
      <c r="GT602" s="996">
        <v>-4.8905999999999983</v>
      </c>
      <c r="GU602" s="1006"/>
      <c r="GV602" s="996">
        <v>-0.86108000000000118</v>
      </c>
      <c r="GW602" s="1006" t="s">
        <v>199</v>
      </c>
      <c r="GX602" s="996">
        <v>10.847099999999998</v>
      </c>
      <c r="GY602" s="1006"/>
      <c r="GZ602" s="996">
        <v>0</v>
      </c>
      <c r="HA602" s="1006"/>
      <c r="HB602" s="996">
        <v>0</v>
      </c>
      <c r="HC602" s="1006"/>
      <c r="HD602" s="996">
        <v>0</v>
      </c>
      <c r="HE602" s="1006"/>
      <c r="HF602" s="996">
        <v>0</v>
      </c>
      <c r="HG602" s="1006"/>
      <c r="HH602" s="996">
        <v>0</v>
      </c>
      <c r="HI602" s="1006"/>
      <c r="HJ602" s="996">
        <v>0</v>
      </c>
      <c r="HK602" s="1006"/>
      <c r="HL602" s="996">
        <v>9.0000000000001884E-4</v>
      </c>
      <c r="HM602" s="1006"/>
      <c r="HN602" s="996">
        <v>0</v>
      </c>
      <c r="HO602" s="1006"/>
      <c r="HP602" s="996">
        <v>0</v>
      </c>
      <c r="HQ602" s="1006"/>
      <c r="HR602" s="996">
        <v>0</v>
      </c>
      <c r="HS602" s="1006"/>
      <c r="HT602" s="996">
        <v>0</v>
      </c>
      <c r="HU602" s="1006"/>
      <c r="HV602" s="996">
        <v>0</v>
      </c>
      <c r="HW602" s="1006" t="s">
        <v>205</v>
      </c>
      <c r="HX602" s="996">
        <v>-11.295697599999999</v>
      </c>
      <c r="HY602" s="1006"/>
      <c r="HZ602" s="996">
        <v>0</v>
      </c>
      <c r="IA602" s="1006"/>
      <c r="IB602" s="996">
        <v>0</v>
      </c>
      <c r="IC602" s="1006"/>
      <c r="ID602" s="996">
        <v>0</v>
      </c>
      <c r="IE602" s="1006" t="s">
        <v>199</v>
      </c>
      <c r="IF602" s="996">
        <v>-21.926942400000012</v>
      </c>
      <c r="IG602" s="1006"/>
      <c r="IH602" s="996">
        <v>0</v>
      </c>
      <c r="II602" s="1006" t="s">
        <v>933</v>
      </c>
      <c r="IJ602" s="996">
        <v>6.3285200000000046</v>
      </c>
      <c r="IK602" s="1006" t="s">
        <v>435</v>
      </c>
      <c r="IL602" s="996">
        <v>-15.407479999999993</v>
      </c>
      <c r="IM602" s="1006"/>
      <c r="IN602" s="996">
        <v>0</v>
      </c>
      <c r="IO602" s="1006" t="s">
        <v>1382</v>
      </c>
      <c r="IP602" s="996">
        <v>34.058639999999997</v>
      </c>
      <c r="IQ602" s="1006" t="s">
        <v>204</v>
      </c>
      <c r="IR602" s="996">
        <v>18.458879999999997</v>
      </c>
      <c r="IS602" s="1006" t="s">
        <v>199</v>
      </c>
      <c r="IT602" s="996">
        <v>-14.398427999999999</v>
      </c>
      <c r="IU602" s="1006" t="s">
        <v>199</v>
      </c>
      <c r="IV602" s="996">
        <v>7.4488770399999975</v>
      </c>
      <c r="IW602" s="1006"/>
      <c r="IX602" s="996">
        <v>0</v>
      </c>
      <c r="IY602" s="1006" t="s">
        <v>199</v>
      </c>
      <c r="IZ602" s="996">
        <v>-16.018364545040001</v>
      </c>
      <c r="JA602" s="1006"/>
      <c r="JB602" s="996">
        <v>0</v>
      </c>
      <c r="JC602" s="1006"/>
      <c r="JD602" s="996"/>
      <c r="JE602" s="1006"/>
      <c r="JF602" s="996"/>
      <c r="JG602" s="1006"/>
      <c r="JH602" s="996"/>
      <c r="JI602" s="1006"/>
      <c r="JJ602" s="996"/>
      <c r="JK602" s="1007"/>
      <c r="JL602" s="1007"/>
      <c r="JM602" s="1007"/>
      <c r="JN602" s="1007"/>
      <c r="JO602" s="1008"/>
      <c r="JP602" s="1007"/>
      <c r="JQ602" s="1008"/>
      <c r="JR602" s="1007"/>
      <c r="JS602" s="1008"/>
      <c r="JT602" s="1007"/>
      <c r="JU602" s="1008"/>
      <c r="JV602" s="1007"/>
      <c r="JW602" s="1008"/>
      <c r="JX602" s="1007"/>
      <c r="JY602" s="1008"/>
      <c r="JZ602" s="1007"/>
      <c r="KA602" s="1008"/>
      <c r="KB602" s="1007"/>
      <c r="KC602" s="1008"/>
      <c r="KD602" s="1007"/>
      <c r="KE602" s="1008"/>
      <c r="KF602" s="1007"/>
      <c r="KG602" s="1008"/>
      <c r="KH602" s="1007"/>
      <c r="KI602" s="1008"/>
      <c r="KJ602" s="1007"/>
      <c r="KK602" s="1008"/>
      <c r="KL602" s="1007"/>
      <c r="KM602" s="1008"/>
      <c r="KN602" s="1007"/>
      <c r="KO602" s="1008"/>
      <c r="KP602" s="1007"/>
      <c r="KQ602" s="1008"/>
      <c r="KR602" s="1007"/>
      <c r="KS602" s="1008"/>
      <c r="KT602" s="1007"/>
      <c r="KU602" s="1008"/>
      <c r="KV602" s="1007"/>
      <c r="KW602" s="1008"/>
      <c r="KX602" s="1007"/>
      <c r="KY602" s="1008"/>
      <c r="KZ602" s="1007"/>
      <c r="LA602" s="1008"/>
      <c r="LB602" s="1007"/>
      <c r="LC602" s="1008"/>
      <c r="LD602" s="1007"/>
      <c r="LE602" s="1008"/>
      <c r="LF602" s="1007"/>
      <c r="LG602" s="1008"/>
      <c r="LH602" s="1007"/>
      <c r="LI602" s="1008"/>
      <c r="LJ602" s="1007"/>
      <c r="LK602" s="1008"/>
      <c r="LL602" s="1007"/>
      <c r="LM602" s="1008"/>
      <c r="LN602" s="1007"/>
      <c r="LO602" s="1008"/>
      <c r="LP602" s="1007"/>
      <c r="LQ602" s="1008"/>
      <c r="LR602" s="1007"/>
      <c r="LS602" s="1008"/>
      <c r="LT602" s="1007"/>
      <c r="LU602" s="1008"/>
      <c r="LV602" s="1007"/>
      <c r="LW602" s="1008"/>
      <c r="LX602" s="1007"/>
      <c r="LY602" s="1009"/>
      <c r="LZ602" s="1010"/>
      <c r="MA602" s="1011"/>
      <c r="MB602" s="1012"/>
      <c r="MC602" s="995"/>
      <c r="MD602" s="996"/>
      <c r="ME602" s="997" t="s">
        <v>220</v>
      </c>
      <c r="MF602" s="997"/>
      <c r="MG602" s="998"/>
      <c r="NR602" s="1000"/>
      <c r="NS602" s="1000"/>
      <c r="NT602" s="1001"/>
      <c r="NU602" s="1000"/>
      <c r="NV602" s="1001"/>
      <c r="NX602" s="1002"/>
      <c r="NZ602" s="1001"/>
      <c r="OA602" s="1001"/>
      <c r="OC602" s="1003"/>
      <c r="OD602" s="1003"/>
      <c r="OE602" s="1001"/>
      <c r="OF602" s="1003"/>
      <c r="OG602" s="1003"/>
      <c r="OH602" s="1003"/>
      <c r="OI602" s="1016"/>
      <c r="QX602" s="1000">
        <f>CN602-CA602</f>
        <v>51.993512775000013</v>
      </c>
      <c r="ASU602" s="999" t="s">
        <v>208</v>
      </c>
    </row>
    <row r="603" spans="1:466 1191:1191" ht="21" customHeight="1" x14ac:dyDescent="0.25">
      <c r="A603" s="982">
        <f t="shared" si="441"/>
        <v>3442</v>
      </c>
      <c r="B603" s="124">
        <f>SUBTOTAL(103,$J$29:J603)</f>
        <v>575</v>
      </c>
      <c r="C603" s="126">
        <v>45068</v>
      </c>
      <c r="D603" s="124" t="s">
        <v>176</v>
      </c>
      <c r="E603" s="127" t="s">
        <v>177</v>
      </c>
      <c r="F603" s="128" t="s">
        <v>177</v>
      </c>
      <c r="G603" s="127" t="s">
        <v>178</v>
      </c>
      <c r="H603" s="127" t="s">
        <v>179</v>
      </c>
      <c r="I603" s="127" t="s">
        <v>1822</v>
      </c>
      <c r="J603" s="152">
        <v>3442</v>
      </c>
      <c r="K603" s="127" t="s">
        <v>1822</v>
      </c>
      <c r="L603" s="130">
        <v>44012</v>
      </c>
      <c r="M603" s="127" t="s">
        <v>230</v>
      </c>
      <c r="N603" s="127" t="s">
        <v>184</v>
      </c>
      <c r="O603" s="127" t="s">
        <v>185</v>
      </c>
      <c r="P603" s="127" t="s">
        <v>186</v>
      </c>
      <c r="Q603" s="85" t="str">
        <f t="shared" si="500"/>
        <v/>
      </c>
      <c r="R603" s="130"/>
      <c r="S603" s="128"/>
      <c r="T603" s="131"/>
      <c r="U603" s="132">
        <v>203</v>
      </c>
      <c r="V603" s="121">
        <v>218.2</v>
      </c>
      <c r="W603" s="116">
        <v>0.98</v>
      </c>
      <c r="X603" s="116">
        <v>1.66</v>
      </c>
      <c r="Y603" s="116">
        <f t="shared" si="463"/>
        <v>1.3356321839080458</v>
      </c>
      <c r="Z603" s="133">
        <v>1.454</v>
      </c>
      <c r="AA603" s="133">
        <v>0.83599999999999997</v>
      </c>
      <c r="AB603" s="133">
        <v>0.72</v>
      </c>
      <c r="AC603" s="121">
        <v>34.299999999999997</v>
      </c>
      <c r="AD603" s="134">
        <v>1.17</v>
      </c>
      <c r="AE603" s="124">
        <v>177.8</v>
      </c>
      <c r="AF603" s="128">
        <v>9.19</v>
      </c>
      <c r="AG603" s="128">
        <v>2466.8000000000002</v>
      </c>
      <c r="AH603" s="127">
        <v>3285</v>
      </c>
      <c r="AI603" s="127">
        <v>3285</v>
      </c>
      <c r="AJ603" s="135"/>
      <c r="AK603" s="128"/>
      <c r="AL603" s="131"/>
      <c r="AM603" s="124" t="s">
        <v>232</v>
      </c>
      <c r="AN603" s="136" t="s">
        <v>2039</v>
      </c>
      <c r="AO603" s="137">
        <v>3.65</v>
      </c>
      <c r="AP603" s="128">
        <v>2466.8000000000002</v>
      </c>
      <c r="AQ603" s="128">
        <v>651</v>
      </c>
      <c r="AR603" s="128"/>
      <c r="AS603" s="128"/>
      <c r="AT603" s="122"/>
      <c r="AU603" s="124" t="s">
        <v>250</v>
      </c>
      <c r="AV603" s="115">
        <f>VLOOKUP(J603,'[63]ТР нефть'!$J$28:$BP$638,39,0)</f>
        <v>310</v>
      </c>
      <c r="AW603" s="115" t="str">
        <f>VLOOKUP(J603,'[63]ТР нефть'!$J$28:$BP$638,40,0)</f>
        <v>ГП</v>
      </c>
      <c r="AX603" s="115">
        <f>VLOOKUP(J603,'[63]ТР нефть'!$J$28:$BP$638,41,0)</f>
        <v>610</v>
      </c>
      <c r="AY603" s="115" t="str">
        <f>VLOOKUP(J603,'[63]ТР нефть'!$J$28:$BP$638,42,0)</f>
        <v>ГП</v>
      </c>
      <c r="AZ603" s="115">
        <f>VLOOKUP(J603,'[63]ТР нефть'!$J$28:$BP$638,43,0)</f>
        <v>910</v>
      </c>
      <c r="BA603" s="115" t="str">
        <f>VLOOKUP(J603,'[63]ТР нефть'!$J$28:$BP$638,44,0)</f>
        <v>ГП</v>
      </c>
      <c r="BB603" s="115">
        <f>VLOOKUP(J603,'[63]ТР нефть'!$J$28:$BP$638,45,0)</f>
        <v>1140</v>
      </c>
      <c r="BC603" s="115" t="str">
        <f>VLOOKUP(J603,'[63]ТР нефть'!$J$28:$BP$638,46,0)</f>
        <v>ГК76 1/8</v>
      </c>
      <c r="BD603" s="115">
        <f>VLOOKUP(J603,'[63]ТР нефть'!$J$28:$BP$638,47,0)</f>
        <v>1420</v>
      </c>
      <c r="BE603" s="115" t="str">
        <f>VLOOKUP(J603,'[63]ТР нефть'!$J$28:$BP$638,48,0)</f>
        <v>ГК76 1/8</v>
      </c>
      <c r="BF603" s="115">
        <f>VLOOKUP(J603,'[63]ТР нефть'!$J$28:$BP$638,49,0)</f>
        <v>1700</v>
      </c>
      <c r="BG603" s="115" t="str">
        <f>VLOOKUP(J603,'[63]ТР нефть'!$J$28:$BP$638,50,0)</f>
        <v>ЦКсОК 5/16</v>
      </c>
      <c r="BH603" s="115">
        <f>VLOOKUP(J603,'[63]ТР нефть'!$J$28:$BP$638,51,0)</f>
        <v>1970</v>
      </c>
      <c r="BI603" s="115" t="str">
        <f>VLOOKUP(J603,'[63]ТР нефть'!$J$28:$BP$638,52,0)</f>
        <v>закрыт</v>
      </c>
      <c r="BJ603" s="115" t="str">
        <f>IF(IFERROR(VLOOKUP(J603,'[63]ТР нефть'!$J$28:$BP$638,53,0),"-")=0,"-",IFERROR(VLOOKUP(J603,'[63]ТР нефть'!$J$28:$BP$638,53,0),"-"))</f>
        <v>-</v>
      </c>
      <c r="BK603" s="138" t="str">
        <f>IF(IFERROR(VLOOKUP(J603,'[63]ТР нефть'!$J$28:$BP$638,54,0),"-")=0,"-",IFERROR(VLOOKUP(J603,'[63]ТР нефть'!$J$28:$BP$638,54,0),"-"))</f>
        <v>-</v>
      </c>
      <c r="BL603" s="138" t="str">
        <f>IF(IFERROR(VLOOKUP(J603,'[63]ТР нефть'!$J$28:$BP$638,55,0),"-")=0,"-",IFERROR(VLOOKUP(J603,'[63]ТР нефть'!$J$28:$BP$638,55,0),"-"))</f>
        <v>-</v>
      </c>
      <c r="BM603" s="138" t="str">
        <f>IF(IFERROR(VLOOKUP(J603,'[63]ТР нефть'!$J$28:$BP$638,56,0),"-")=0,"-",IFERROR(VLOOKUP(J603,'[63]ТР нефть'!$J$28:$BP$638,56,0),"-"))</f>
        <v>-</v>
      </c>
      <c r="BN603" s="138" t="str">
        <f>IF(IFERROR(VLOOKUP(J603,'[63]ТР нефть'!$J$28:$BP$638,57,0),"-")=0,"-",IFERROR(VLOOKUP(J603,'[63]ТР нефть'!$J$28:$BP$638,57,0),"-"))</f>
        <v>-</v>
      </c>
      <c r="BO603" s="115" t="str">
        <f>IF(IFERROR(VLOOKUP(J603,'[63]ТР нефть'!$J$28:$BP$638,58,0),"-")=0,"-",IFERROR(VLOOKUP(J603,'[63]ТР нефть'!$J$28:$BP$638,58,0),"-"))</f>
        <v>-</v>
      </c>
      <c r="BP603" s="115" t="str">
        <f>IF(IFERROR(VLOOKUP(J603,'[63]ТР нефть'!$J$28:$BP$638,59,0),"-")=0,"-",IFERROR(VLOOKUP(J603,'[63]ТР нефть'!$J$28:$BP$638,59,0),"-"))</f>
        <v>-</v>
      </c>
      <c r="BQ603" s="138">
        <v>1940</v>
      </c>
      <c r="BR603" s="128">
        <v>1651</v>
      </c>
      <c r="BS603" s="115">
        <f t="shared" si="499"/>
        <v>289</v>
      </c>
      <c r="BT603" s="128">
        <v>73</v>
      </c>
      <c r="BU603" s="128">
        <v>5.5</v>
      </c>
      <c r="BV603" s="127">
        <v>18</v>
      </c>
      <c r="BW603" s="127" t="s">
        <v>217</v>
      </c>
      <c r="BX603" s="127" t="s">
        <v>195</v>
      </c>
      <c r="BY603" s="139">
        <v>24</v>
      </c>
      <c r="BZ603" s="139">
        <v>0</v>
      </c>
      <c r="CA603" s="138">
        <v>28</v>
      </c>
      <c r="CB603" s="138">
        <v>68</v>
      </c>
      <c r="CC603" s="138">
        <v>28</v>
      </c>
      <c r="CD603" s="135">
        <v>45017</v>
      </c>
      <c r="CE603" s="138">
        <v>146</v>
      </c>
      <c r="CF603" s="138"/>
      <c r="CG603" s="138"/>
      <c r="CH603" s="138"/>
      <c r="CI603" s="138"/>
      <c r="CJ603" s="138"/>
      <c r="CK603" s="138">
        <f t="shared" si="488"/>
        <v>70</v>
      </c>
      <c r="CL603" s="99"/>
      <c r="CM603" s="138"/>
      <c r="CN603" s="154">
        <v>98</v>
      </c>
      <c r="CO603" s="141">
        <f t="shared" si="442"/>
        <v>38.915799999999997</v>
      </c>
      <c r="CP603" s="142">
        <v>133</v>
      </c>
      <c r="CQ603" s="143">
        <v>65</v>
      </c>
      <c r="CR603" s="138">
        <v>111</v>
      </c>
      <c r="CS603" s="139"/>
      <c r="CT603" s="138"/>
      <c r="CU603" s="138">
        <f t="shared" si="475"/>
        <v>111</v>
      </c>
      <c r="CV603" s="115">
        <f t="shared" si="476"/>
        <v>2852.3119144409216</v>
      </c>
      <c r="CW603" s="115" t="str">
        <f t="shared" si="443"/>
        <v/>
      </c>
      <c r="CX603" s="133">
        <f t="shared" si="477"/>
        <v>2.7708333333333335</v>
      </c>
      <c r="CY603" s="116"/>
      <c r="CZ603" s="131"/>
      <c r="DA603" s="145" t="str">
        <f t="shared" si="478"/>
        <v>Фон.</v>
      </c>
      <c r="DB603" s="146">
        <f t="shared" si="468"/>
        <v>38.915799999999997</v>
      </c>
      <c r="DC603" s="142">
        <f t="shared" si="469"/>
        <v>133</v>
      </c>
      <c r="DD603" s="119">
        <f t="shared" si="470"/>
        <v>65</v>
      </c>
      <c r="DE603" s="115">
        <f t="shared" si="471"/>
        <v>111</v>
      </c>
      <c r="DF603" s="121">
        <f t="shared" si="472"/>
        <v>0</v>
      </c>
      <c r="DG603" s="115">
        <f t="shared" si="446"/>
        <v>2852.3119144409216</v>
      </c>
      <c r="DH603" s="115">
        <f t="shared" si="447"/>
        <v>98</v>
      </c>
      <c r="DI603" s="147"/>
      <c r="DJ603" s="111"/>
      <c r="DK603" s="112">
        <v>44131</v>
      </c>
      <c r="DL603" s="113">
        <f t="shared" ca="1" si="480"/>
        <v>973</v>
      </c>
      <c r="DM603" s="114"/>
      <c r="DN603" s="114"/>
      <c r="DO603" s="114"/>
      <c r="DP603" s="114"/>
      <c r="DQ603" s="112"/>
      <c r="DR603" s="114"/>
      <c r="DS603" s="114"/>
      <c r="DT603" s="115">
        <v>60</v>
      </c>
      <c r="DU603" s="116">
        <f t="shared" si="481"/>
        <v>2.3954619726678552</v>
      </c>
      <c r="DV603" s="117">
        <f t="shared" si="495"/>
        <v>60.278446895424835</v>
      </c>
      <c r="DW603" s="118">
        <f t="shared" si="496"/>
        <v>206.00972964943554</v>
      </c>
      <c r="DX603" s="119">
        <f t="shared" si="497"/>
        <v>65</v>
      </c>
      <c r="DY603" s="115">
        <f t="shared" si="498"/>
        <v>171.93293226381465</v>
      </c>
      <c r="DZ603" s="117">
        <f t="shared" si="501"/>
        <v>21.362646895424838</v>
      </c>
      <c r="EA603" s="120">
        <f t="shared" si="501"/>
        <v>73.009729649435542</v>
      </c>
      <c r="EB603" s="119">
        <f t="shared" si="501"/>
        <v>0</v>
      </c>
      <c r="EC603" s="121">
        <f t="shared" si="464"/>
        <v>60.932932263814649</v>
      </c>
      <c r="ED603" s="122"/>
      <c r="EE603" s="145">
        <v>18</v>
      </c>
      <c r="EF603" s="115">
        <v>24</v>
      </c>
      <c r="EG603" s="115">
        <v>65</v>
      </c>
      <c r="EH603" s="115">
        <v>23</v>
      </c>
      <c r="EI603" s="128" t="s">
        <v>195</v>
      </c>
      <c r="EJ603" s="121">
        <v>24</v>
      </c>
      <c r="EK603" s="121">
        <v>0</v>
      </c>
      <c r="EL603" s="149">
        <v>38.915799999999997</v>
      </c>
      <c r="EM603" s="142">
        <v>133</v>
      </c>
      <c r="EN603" s="119">
        <v>65</v>
      </c>
      <c r="EO603" s="115">
        <v>111</v>
      </c>
      <c r="EP603" s="115">
        <v>2852.3119144409216</v>
      </c>
      <c r="EQ603" s="115">
        <v>0</v>
      </c>
      <c r="ER603" s="115">
        <v>0</v>
      </c>
      <c r="ES603" s="115">
        <v>98</v>
      </c>
      <c r="ET603" s="150">
        <v>2.7708333333333335</v>
      </c>
      <c r="EU603" s="145">
        <f t="shared" si="457"/>
        <v>18</v>
      </c>
      <c r="EV603" s="115">
        <f t="shared" si="448"/>
        <v>28</v>
      </c>
      <c r="EW603" s="115">
        <f t="shared" si="448"/>
        <v>68</v>
      </c>
      <c r="EX603" s="115">
        <f t="shared" si="448"/>
        <v>28</v>
      </c>
      <c r="EY603" s="115" t="str">
        <f t="shared" si="489"/>
        <v>Постоянный</v>
      </c>
      <c r="EZ603" s="115">
        <f t="shared" si="489"/>
        <v>24</v>
      </c>
      <c r="FA603" s="115">
        <f t="shared" si="489"/>
        <v>0</v>
      </c>
      <c r="FB603" s="149">
        <f t="shared" si="461"/>
        <v>38.915799999999997</v>
      </c>
      <c r="FC603" s="142">
        <f t="shared" si="461"/>
        <v>133</v>
      </c>
      <c r="FD603" s="119">
        <f t="shared" si="461"/>
        <v>65</v>
      </c>
      <c r="FE603" s="121">
        <f t="shared" si="460"/>
        <v>111</v>
      </c>
      <c r="FF603" s="121">
        <f t="shared" si="462"/>
        <v>2852.3119144409216</v>
      </c>
      <c r="FG603" s="121">
        <f t="shared" si="449"/>
        <v>0</v>
      </c>
      <c r="FH603" s="121">
        <f t="shared" si="491"/>
        <v>0</v>
      </c>
      <c r="FI603" s="121">
        <f t="shared" si="483"/>
        <v>98</v>
      </c>
      <c r="FJ603" s="144">
        <f t="shared" si="450"/>
        <v>2.7708333333333335</v>
      </c>
      <c r="FK603" s="132">
        <f t="shared" si="451"/>
        <v>0</v>
      </c>
      <c r="FL603" s="115">
        <f t="shared" si="451"/>
        <v>4</v>
      </c>
      <c r="FM603" s="115">
        <f t="shared" si="451"/>
        <v>3</v>
      </c>
      <c r="FN603" s="115">
        <f t="shared" si="451"/>
        <v>5</v>
      </c>
      <c r="FO603" s="115">
        <f t="shared" si="492"/>
        <v>0</v>
      </c>
      <c r="FP603" s="115">
        <f t="shared" si="492"/>
        <v>0</v>
      </c>
      <c r="FQ603" s="149">
        <f t="shared" si="492"/>
        <v>0</v>
      </c>
      <c r="FR603" s="142">
        <f t="shared" si="492"/>
        <v>0</v>
      </c>
      <c r="FS603" s="119">
        <f t="shared" si="492"/>
        <v>0</v>
      </c>
      <c r="FT603" s="121">
        <f t="shared" si="492"/>
        <v>0</v>
      </c>
      <c r="FU603" s="121">
        <f t="shared" si="452"/>
        <v>0</v>
      </c>
      <c r="FV603" s="121">
        <f t="shared" si="452"/>
        <v>0</v>
      </c>
      <c r="FW603" s="121">
        <f t="shared" si="453"/>
        <v>0</v>
      </c>
      <c r="FX603" s="121">
        <f t="shared" si="454"/>
        <v>0</v>
      </c>
      <c r="FY603" s="144">
        <f t="shared" si="454"/>
        <v>0</v>
      </c>
      <c r="FZ603" s="145"/>
      <c r="GA603" s="151"/>
      <c r="GB603" s="145" t="s">
        <v>204</v>
      </c>
      <c r="GC603" s="151" t="s">
        <v>2040</v>
      </c>
      <c r="GD603" s="997" t="s">
        <v>220</v>
      </c>
      <c r="GE603" s="1004" t="s">
        <v>204</v>
      </c>
      <c r="GF603" s="1004">
        <v>31.391799999999996</v>
      </c>
      <c r="GG603" s="1004" t="s">
        <v>146</v>
      </c>
      <c r="GH603" s="1004">
        <v>-23.2408</v>
      </c>
      <c r="GI603" s="145"/>
      <c r="GJ603" s="996">
        <v>0</v>
      </c>
      <c r="GK603" s="145" t="s">
        <v>223</v>
      </c>
      <c r="GL603" s="996">
        <v>-6.843161600000002</v>
      </c>
      <c r="GM603" s="1005" t="s">
        <v>240</v>
      </c>
      <c r="GN603" s="996">
        <v>-15.876730980000005</v>
      </c>
      <c r="GO603" s="1006"/>
      <c r="GP603" s="996">
        <v>0</v>
      </c>
      <c r="GQ603" s="1006"/>
      <c r="GR603" s="996">
        <v>-1.9307419999989861E-2</v>
      </c>
      <c r="GS603" s="1006" t="s">
        <v>204</v>
      </c>
      <c r="GT603" s="996">
        <v>-1.8057600000000065</v>
      </c>
      <c r="GU603" s="1006" t="s">
        <v>146</v>
      </c>
      <c r="GV603" s="996">
        <v>10.508854399999997</v>
      </c>
      <c r="GW603" s="1006"/>
      <c r="GX603" s="996">
        <v>0</v>
      </c>
      <c r="GY603" s="1006"/>
      <c r="GZ603" s="996">
        <v>0</v>
      </c>
      <c r="HA603" s="1006" t="s">
        <v>223</v>
      </c>
      <c r="HB603" s="996">
        <v>-1.3026217599999868</v>
      </c>
      <c r="HC603" s="1006" t="s">
        <v>146</v>
      </c>
      <c r="HD603" s="996">
        <v>-12.270227815999995</v>
      </c>
      <c r="HE603" s="1006" t="s">
        <v>221</v>
      </c>
      <c r="HF603" s="996">
        <v>10.119835175999995</v>
      </c>
      <c r="HG603" s="1006" t="s">
        <v>223</v>
      </c>
      <c r="HH603" s="996">
        <v>-3.6650240000000025</v>
      </c>
      <c r="HI603" s="1006"/>
      <c r="HJ603" s="996">
        <v>0</v>
      </c>
      <c r="HK603" s="1006" t="s">
        <v>276</v>
      </c>
      <c r="HL603" s="996">
        <v>37.686880000000002</v>
      </c>
      <c r="HM603" s="1006" t="s">
        <v>308</v>
      </c>
      <c r="HN603" s="996">
        <v>1.6871242432000015</v>
      </c>
      <c r="HO603" s="1006"/>
      <c r="HP603" s="996">
        <v>0</v>
      </c>
      <c r="HQ603" s="1006"/>
      <c r="HR603" s="996">
        <v>0</v>
      </c>
      <c r="HS603" s="1006" t="s">
        <v>146</v>
      </c>
      <c r="HT603" s="996">
        <v>-1.4001463432000014</v>
      </c>
      <c r="HU603" s="1006" t="s">
        <v>204</v>
      </c>
      <c r="HV603" s="996">
        <v>-31.068497899999997</v>
      </c>
      <c r="HW603" s="1006"/>
      <c r="HX603" s="996">
        <v>0.40546000000000504</v>
      </c>
      <c r="HY603" s="1006"/>
      <c r="HZ603" s="996">
        <v>0</v>
      </c>
      <c r="IA603" s="1006"/>
      <c r="IB603" s="996">
        <v>0</v>
      </c>
      <c r="IC603" s="1006" t="s">
        <v>199</v>
      </c>
      <c r="ID603" s="996">
        <v>24.540779999999991</v>
      </c>
      <c r="IE603" s="1006"/>
      <c r="IF603" s="996">
        <v>0</v>
      </c>
      <c r="IG603" s="1006"/>
      <c r="IH603" s="996">
        <v>0</v>
      </c>
      <c r="II603" s="1006"/>
      <c r="IJ603" s="996">
        <v>0</v>
      </c>
      <c r="IK603" s="1006" t="s">
        <v>221</v>
      </c>
      <c r="IL603" s="996">
        <v>-52.751599999999996</v>
      </c>
      <c r="IM603" s="1006"/>
      <c r="IN603" s="996">
        <v>0</v>
      </c>
      <c r="IO603" s="1006"/>
      <c r="IP603" s="996">
        <v>0</v>
      </c>
      <c r="IQ603" s="1006" t="s">
        <v>204</v>
      </c>
      <c r="IR603" s="996">
        <v>34.643839999999997</v>
      </c>
      <c r="IS603" s="1006" t="s">
        <v>199</v>
      </c>
      <c r="IT603" s="996">
        <v>-32.879879999999986</v>
      </c>
      <c r="IU603" s="1006" t="s">
        <v>25</v>
      </c>
      <c r="IV603" s="996">
        <v>60.100039999999986</v>
      </c>
      <c r="IW603" s="1006"/>
      <c r="IX603" s="996"/>
      <c r="IY603" s="1006"/>
      <c r="IZ603" s="996"/>
      <c r="JA603" s="1006"/>
      <c r="JB603" s="996"/>
      <c r="JC603" s="1006"/>
      <c r="JD603" s="996"/>
      <c r="JE603" s="1006"/>
      <c r="JF603" s="996"/>
      <c r="JG603" s="1006"/>
      <c r="JH603" s="996"/>
      <c r="JI603" s="1006"/>
      <c r="JJ603" s="996"/>
      <c r="JK603" s="1007"/>
      <c r="JL603" s="1007"/>
      <c r="JM603" s="1007"/>
      <c r="JN603" s="1007"/>
      <c r="JO603" s="1008"/>
      <c r="JP603" s="1007"/>
      <c r="JQ603" s="1008"/>
      <c r="JR603" s="1007"/>
      <c r="JS603" s="1008"/>
      <c r="JT603" s="1007"/>
      <c r="JU603" s="1008"/>
      <c r="JV603" s="1007"/>
      <c r="JW603" s="1008"/>
      <c r="JX603" s="1007"/>
      <c r="JY603" s="1008"/>
      <c r="JZ603" s="1007"/>
      <c r="KA603" s="1008"/>
      <c r="KB603" s="1007"/>
      <c r="KC603" s="1008"/>
      <c r="KD603" s="1007"/>
      <c r="KE603" s="1008"/>
      <c r="KF603" s="1007"/>
      <c r="KG603" s="1008"/>
      <c r="KH603" s="1007"/>
      <c r="KI603" s="1008"/>
      <c r="KJ603" s="1007"/>
      <c r="KK603" s="1008"/>
      <c r="KL603" s="1007"/>
      <c r="KM603" s="1008"/>
      <c r="KN603" s="1007"/>
      <c r="KO603" s="1008"/>
      <c r="KP603" s="1007"/>
      <c r="KQ603" s="1008"/>
      <c r="KR603" s="1007"/>
      <c r="KS603" s="1008"/>
      <c r="KT603" s="1007"/>
      <c r="KU603" s="1008"/>
      <c r="KV603" s="1007"/>
      <c r="KW603" s="1008"/>
      <c r="KX603" s="1007"/>
      <c r="KY603" s="1008"/>
      <c r="KZ603" s="1007"/>
      <c r="LA603" s="1008"/>
      <c r="LB603" s="1007"/>
      <c r="LC603" s="1008"/>
      <c r="LD603" s="1007"/>
      <c r="LE603" s="1008"/>
      <c r="LF603" s="1007"/>
      <c r="LG603" s="1008"/>
      <c r="LH603" s="1007"/>
      <c r="LI603" s="1008"/>
      <c r="LJ603" s="1007"/>
      <c r="LK603" s="1008"/>
      <c r="LL603" s="1007"/>
      <c r="LM603" s="1008"/>
      <c r="LN603" s="1007"/>
      <c r="LO603" s="1008"/>
      <c r="LP603" s="1007"/>
      <c r="LQ603" s="1008"/>
      <c r="LR603" s="1007"/>
      <c r="LS603" s="1008"/>
      <c r="LT603" s="1007"/>
      <c r="LU603" s="1008"/>
      <c r="LV603" s="1007"/>
      <c r="LW603" s="1008"/>
      <c r="LX603" s="1007"/>
      <c r="LY603" s="1009"/>
      <c r="LZ603" s="1010"/>
      <c r="MA603" s="1011"/>
      <c r="MB603" s="1012"/>
      <c r="MC603" s="995"/>
      <c r="MD603" s="996"/>
      <c r="ME603" s="997" t="s">
        <v>220</v>
      </c>
      <c r="MF603" s="997"/>
      <c r="MG603" s="998"/>
      <c r="NR603" s="1000"/>
      <c r="NS603" s="1000"/>
      <c r="NT603" s="1001"/>
      <c r="NU603" s="1000"/>
      <c r="NV603" s="1001"/>
      <c r="NX603" s="1002"/>
      <c r="NZ603" s="1001"/>
      <c r="OA603" s="1001"/>
      <c r="OC603" s="1003"/>
      <c r="OD603" s="1003"/>
      <c r="OE603" s="1001"/>
      <c r="OF603" s="1003"/>
      <c r="OG603" s="1003"/>
      <c r="QX603" s="1000">
        <f>CN603-CA603</f>
        <v>70</v>
      </c>
      <c r="ASU603" s="999" t="s">
        <v>292</v>
      </c>
    </row>
    <row r="604" spans="1:466 1191:1191" ht="21" customHeight="1" x14ac:dyDescent="0.25">
      <c r="A604" s="982">
        <f t="shared" si="441"/>
        <v>3500</v>
      </c>
      <c r="B604" s="124">
        <f>SUBTOTAL(103,$J$29:J604)</f>
        <v>576</v>
      </c>
      <c r="C604" s="126">
        <v>45068</v>
      </c>
      <c r="D604" s="124" t="s">
        <v>176</v>
      </c>
      <c r="E604" s="127" t="s">
        <v>177</v>
      </c>
      <c r="F604" s="128" t="s">
        <v>177</v>
      </c>
      <c r="G604" s="127" t="s">
        <v>178</v>
      </c>
      <c r="H604" s="127" t="s">
        <v>408</v>
      </c>
      <c r="I604" s="127" t="s">
        <v>975</v>
      </c>
      <c r="J604" s="152">
        <v>3500</v>
      </c>
      <c r="K604" s="127" t="s">
        <v>975</v>
      </c>
      <c r="L604" s="130">
        <v>42792</v>
      </c>
      <c r="M604" s="127" t="s">
        <v>230</v>
      </c>
      <c r="N604" s="127" t="s">
        <v>231</v>
      </c>
      <c r="O604" s="127" t="s">
        <v>185</v>
      </c>
      <c r="P604" s="127" t="s">
        <v>186</v>
      </c>
      <c r="Q604" s="85">
        <f t="shared" si="500"/>
        <v>-4</v>
      </c>
      <c r="R604" s="130">
        <v>42754</v>
      </c>
      <c r="S604" s="128" t="s">
        <v>747</v>
      </c>
      <c r="T604" s="131" t="s">
        <v>2041</v>
      </c>
      <c r="U604" s="132">
        <v>203</v>
      </c>
      <c r="V604" s="121">
        <v>218.2</v>
      </c>
      <c r="W604" s="116">
        <v>0.98</v>
      </c>
      <c r="X604" s="116">
        <v>1.66</v>
      </c>
      <c r="Y604" s="116">
        <f t="shared" si="463"/>
        <v>0.98</v>
      </c>
      <c r="Z604" s="133">
        <v>1.454</v>
      </c>
      <c r="AA604" s="133">
        <v>0.83599999999999997</v>
      </c>
      <c r="AB604" s="133">
        <v>0.72</v>
      </c>
      <c r="AC604" s="121">
        <v>34.299999999999997</v>
      </c>
      <c r="AD604" s="134">
        <v>1.17</v>
      </c>
      <c r="AE604" s="124">
        <v>177.8</v>
      </c>
      <c r="AF604" s="128">
        <v>9.19</v>
      </c>
      <c r="AG604" s="128">
        <v>2114</v>
      </c>
      <c r="AH604" s="138">
        <v>2732</v>
      </c>
      <c r="AI604" s="138">
        <v>2732</v>
      </c>
      <c r="AJ604" s="135"/>
      <c r="AK604" s="128"/>
      <c r="AL604" s="131"/>
      <c r="AM604" s="124" t="s">
        <v>985</v>
      </c>
      <c r="AN604" s="136" t="s">
        <v>2042</v>
      </c>
      <c r="AO604" s="137">
        <v>23.76</v>
      </c>
      <c r="AP604" s="128">
        <v>2180.8200000000002</v>
      </c>
      <c r="AQ604" s="128">
        <v>291.39999999999998</v>
      </c>
      <c r="AR604" s="128" t="s">
        <v>2043</v>
      </c>
      <c r="AS604" s="128">
        <v>114</v>
      </c>
      <c r="AT604" s="122">
        <v>5.51</v>
      </c>
      <c r="AU604" s="124" t="s">
        <v>189</v>
      </c>
      <c r="AV604" s="115">
        <f>VLOOKUP(J604,'[63]ТР нефть'!$J$28:$BP$638,39,0)</f>
        <v>599.99999062500001</v>
      </c>
      <c r="AW604" s="115" t="str">
        <f>VLOOKUP(J604,'[63]ТР нефть'!$J$28:$BP$638,40,0)</f>
        <v>ГП</v>
      </c>
      <c r="AX604" s="115">
        <f>VLOOKUP(J604,'[63]ТР нефть'!$J$28:$BP$638,41,0)</f>
        <v>1109.999967773</v>
      </c>
      <c r="AY604" s="115" t="str">
        <f>VLOOKUP(J604,'[63]ТР нефть'!$J$28:$BP$638,42,0)</f>
        <v>ГК 80 1/8</v>
      </c>
      <c r="AZ604" s="115">
        <f>VLOOKUP(J604,'[63]ТР нефть'!$J$28:$BP$638,43,0)</f>
        <v>1540.000065234</v>
      </c>
      <c r="BA604" s="115" t="str">
        <f>VLOOKUP(J604,'[63]ТР нефть'!$J$28:$BP$638,44,0)</f>
        <v>ГК 80 1/8</v>
      </c>
      <c r="BB604" s="115">
        <f>VLOOKUP(J604,'[63]ТР нефть'!$J$28:$BP$638,45,0)</f>
        <v>1849.9999710940001</v>
      </c>
      <c r="BC604" s="115" t="str">
        <f>VLOOKUP(J604,'[63]ТР нефть'!$J$28:$BP$638,46,0)</f>
        <v>ЦКсОК 5/16</v>
      </c>
      <c r="BD604" s="115" t="str">
        <f>VLOOKUP(J604,'[63]ТР нефть'!$J$28:$BP$638,47,0)</f>
        <v>-</v>
      </c>
      <c r="BE604" s="115" t="str">
        <f>VLOOKUP(J604,'[63]ТР нефть'!$J$28:$BP$638,48,0)</f>
        <v>-</v>
      </c>
      <c r="BF604" s="115" t="str">
        <f>VLOOKUP(J604,'[63]ТР нефть'!$J$28:$BP$638,49,0)</f>
        <v>-</v>
      </c>
      <c r="BG604" s="115" t="str">
        <f>VLOOKUP(J604,'[63]ТР нефть'!$J$28:$BP$638,50,0)</f>
        <v>-</v>
      </c>
      <c r="BH604" s="115" t="str">
        <f>VLOOKUP(J604,'[63]ТР нефть'!$J$28:$BP$638,51,0)</f>
        <v>-</v>
      </c>
      <c r="BI604" s="115" t="str">
        <f>VLOOKUP(J604,'[63]ТР нефть'!$J$28:$BP$638,52,0)</f>
        <v>-</v>
      </c>
      <c r="BJ604" s="115" t="str">
        <f>IF(IFERROR(VLOOKUP(J604,'[63]ТР нефть'!$J$28:$BP$638,53,0),"-")=0,"-",IFERROR(VLOOKUP(J604,'[63]ТР нефть'!$J$28:$BP$638,53,0),"-"))</f>
        <v>-</v>
      </c>
      <c r="BK604" s="138" t="str">
        <f>IF(IFERROR(VLOOKUP(J604,'[63]ТР нефть'!$J$28:$BP$638,54,0),"-")=0,"-",IFERROR(VLOOKUP(J604,'[63]ТР нефть'!$J$28:$BP$638,54,0),"-"))</f>
        <v>-</v>
      </c>
      <c r="BL604" s="138" t="str">
        <f>IF(IFERROR(VLOOKUP(J604,'[63]ТР нефть'!$J$28:$BP$638,55,0),"-")=0,"-",IFERROR(VLOOKUP(J604,'[63]ТР нефть'!$J$28:$BP$638,55,0),"-"))</f>
        <v>-</v>
      </c>
      <c r="BM604" s="138" t="str">
        <f>IF(IFERROR(VLOOKUP(J604,'[63]ТР нефть'!$J$28:$BP$638,56,0),"-")=0,"-",IFERROR(VLOOKUP(J604,'[63]ТР нефть'!$J$28:$BP$638,56,0),"-"))</f>
        <v>-</v>
      </c>
      <c r="BN604" s="138" t="str">
        <f>IF(IFERROR(VLOOKUP(J604,'[63]ТР нефть'!$J$28:$BP$638,57,0),"-")=0,"-",IFERROR(VLOOKUP(J604,'[63]ТР нефть'!$J$28:$BP$638,57,0),"-"))</f>
        <v>-</v>
      </c>
      <c r="BO604" s="115" t="str">
        <f>IF(IFERROR(VLOOKUP(J604,'[63]ТР нефть'!$J$28:$BP$638,58,0),"-")=0,"-",IFERROR(VLOOKUP(J604,'[63]ТР нефть'!$J$28:$BP$638,58,0),"-"))</f>
        <v>-</v>
      </c>
      <c r="BP604" s="115" t="str">
        <f>IF(IFERROR(VLOOKUP(J604,'[63]ТР нефть'!$J$28:$BP$638,59,0),"-")=0,"-",IFERROR(VLOOKUP(J604,'[63]ТР нефть'!$J$28:$BP$638,59,0),"-"))</f>
        <v>-</v>
      </c>
      <c r="BQ604" s="138">
        <v>2732.63</v>
      </c>
      <c r="BR604" s="128">
        <v>1907</v>
      </c>
      <c r="BS604" s="115">
        <f t="shared" si="499"/>
        <v>825.63000000000011</v>
      </c>
      <c r="BT604" s="128">
        <v>73</v>
      </c>
      <c r="BU604" s="128">
        <v>5.5</v>
      </c>
      <c r="BV604" s="127">
        <v>18</v>
      </c>
      <c r="BW604" s="127" t="s">
        <v>217</v>
      </c>
      <c r="BX604" s="127" t="s">
        <v>195</v>
      </c>
      <c r="BY604" s="139">
        <v>24</v>
      </c>
      <c r="BZ604" s="139">
        <v>0</v>
      </c>
      <c r="CA604" s="138">
        <v>24</v>
      </c>
      <c r="CB604" s="138">
        <v>42</v>
      </c>
      <c r="CC604" s="138">
        <v>23</v>
      </c>
      <c r="CD604" s="135">
        <v>45017</v>
      </c>
      <c r="CE604" s="138">
        <v>131</v>
      </c>
      <c r="CF604" s="138">
        <v>57</v>
      </c>
      <c r="CG604" s="138" t="str">
        <f>IF(CH604&lt;&gt;"","В работе","")</f>
        <v>В работе</v>
      </c>
      <c r="CH604" s="138" t="s">
        <v>196</v>
      </c>
      <c r="CI604" s="127">
        <v>6</v>
      </c>
      <c r="CJ604" s="138"/>
      <c r="CK604" s="138"/>
      <c r="CL604" s="99"/>
      <c r="CM604" s="99"/>
      <c r="CN604" s="140">
        <v>50</v>
      </c>
      <c r="CO604" s="159">
        <f t="shared" si="442"/>
        <v>18.057600000000001</v>
      </c>
      <c r="CP604" s="160">
        <v>21.6</v>
      </c>
      <c r="CQ604" s="161">
        <v>0</v>
      </c>
      <c r="CR604" s="1067">
        <v>18</v>
      </c>
      <c r="CS604" s="139">
        <v>6</v>
      </c>
      <c r="CT604" s="138"/>
      <c r="CU604" s="138">
        <f t="shared" si="475"/>
        <v>12</v>
      </c>
      <c r="CV604" s="115">
        <f t="shared" si="476"/>
        <v>664.54013822434877</v>
      </c>
      <c r="CW604" s="115">
        <f t="shared" si="443"/>
        <v>332.27006911217438</v>
      </c>
      <c r="CX604" s="133">
        <f t="shared" si="477"/>
        <v>0.26666666666666666</v>
      </c>
      <c r="CY604" s="116"/>
      <c r="CZ604" s="131"/>
      <c r="DA604" s="145" t="str">
        <f t="shared" si="478"/>
        <v>Газлифт</v>
      </c>
      <c r="DB604" s="146">
        <f t="shared" si="468"/>
        <v>18.057600000000001</v>
      </c>
      <c r="DC604" s="142">
        <f t="shared" si="469"/>
        <v>21.6</v>
      </c>
      <c r="DD604" s="119">
        <f t="shared" si="470"/>
        <v>0</v>
      </c>
      <c r="DE604" s="115">
        <f t="shared" si="471"/>
        <v>12</v>
      </c>
      <c r="DF604" s="121">
        <f t="shared" si="472"/>
        <v>6</v>
      </c>
      <c r="DG604" s="115">
        <f t="shared" si="446"/>
        <v>664.54013822434877</v>
      </c>
      <c r="DH604" s="115">
        <f t="shared" si="447"/>
        <v>50</v>
      </c>
      <c r="DI604" s="147"/>
      <c r="DJ604" s="111" t="s">
        <v>197</v>
      </c>
      <c r="DK604" s="112">
        <v>42755</v>
      </c>
      <c r="DL604" s="113">
        <f t="shared" ca="1" si="480"/>
        <v>2349</v>
      </c>
      <c r="DM604" s="114"/>
      <c r="DN604" s="114"/>
      <c r="DO604" s="114"/>
      <c r="DP604" s="114"/>
      <c r="DQ604" s="112">
        <v>42792</v>
      </c>
      <c r="DR604" s="114" t="s">
        <v>324</v>
      </c>
      <c r="DS604" s="114"/>
      <c r="DT604" s="115">
        <v>60</v>
      </c>
      <c r="DU604" s="116">
        <f t="shared" si="481"/>
        <v>0.3042253521126761</v>
      </c>
      <c r="DV604" s="117">
        <f t="shared" si="495"/>
        <v>18.057600000000001</v>
      </c>
      <c r="DW604" s="118">
        <f t="shared" si="496"/>
        <v>21.6</v>
      </c>
      <c r="DX604" s="119">
        <f t="shared" si="497"/>
        <v>0</v>
      </c>
      <c r="DY604" s="115">
        <f t="shared" si="498"/>
        <v>12</v>
      </c>
      <c r="DZ604" s="117">
        <f t="shared" si="501"/>
        <v>0</v>
      </c>
      <c r="EA604" s="120">
        <f t="shared" si="501"/>
        <v>0</v>
      </c>
      <c r="EB604" s="119">
        <f t="shared" si="501"/>
        <v>0</v>
      </c>
      <c r="EC604" s="121">
        <f t="shared" si="464"/>
        <v>0</v>
      </c>
      <c r="ED604" s="122"/>
      <c r="EE604" s="145">
        <v>18</v>
      </c>
      <c r="EF604" s="115">
        <v>27</v>
      </c>
      <c r="EG604" s="115">
        <v>45</v>
      </c>
      <c r="EH604" s="115">
        <v>26</v>
      </c>
      <c r="EI604" s="128" t="s">
        <v>195</v>
      </c>
      <c r="EJ604" s="121">
        <v>24</v>
      </c>
      <c r="EK604" s="121">
        <v>0</v>
      </c>
      <c r="EL604" s="162">
        <v>17.137999999999998</v>
      </c>
      <c r="EM604" s="142">
        <v>20.5</v>
      </c>
      <c r="EN604" s="119">
        <v>0</v>
      </c>
      <c r="EO604" s="115">
        <v>18.7</v>
      </c>
      <c r="EP604" s="115">
        <v>723.53833586182748</v>
      </c>
      <c r="EQ604" s="115">
        <v>64</v>
      </c>
      <c r="ER604" s="115">
        <v>6.3</v>
      </c>
      <c r="ES604" s="115">
        <v>51</v>
      </c>
      <c r="ET604" s="150">
        <v>0.25624999999999998</v>
      </c>
      <c r="EU604" s="145">
        <f t="shared" si="457"/>
        <v>18</v>
      </c>
      <c r="EV604" s="115">
        <f t="shared" si="448"/>
        <v>24</v>
      </c>
      <c r="EW604" s="115">
        <f t="shared" si="448"/>
        <v>42</v>
      </c>
      <c r="EX604" s="115">
        <f t="shared" si="448"/>
        <v>23</v>
      </c>
      <c r="EY604" s="115" t="str">
        <f t="shared" si="489"/>
        <v>Постоянный</v>
      </c>
      <c r="EZ604" s="115">
        <f t="shared" si="489"/>
        <v>24</v>
      </c>
      <c r="FA604" s="115">
        <f t="shared" si="489"/>
        <v>0</v>
      </c>
      <c r="FB604" s="149">
        <f t="shared" si="461"/>
        <v>18.057600000000001</v>
      </c>
      <c r="FC604" s="142">
        <f t="shared" si="461"/>
        <v>21.6</v>
      </c>
      <c r="FD604" s="119">
        <f t="shared" si="461"/>
        <v>0</v>
      </c>
      <c r="FE604" s="121">
        <f t="shared" si="460"/>
        <v>18</v>
      </c>
      <c r="FF604" s="121">
        <f t="shared" si="462"/>
        <v>664.54013822434877</v>
      </c>
      <c r="FG604" s="121">
        <f t="shared" si="449"/>
        <v>57</v>
      </c>
      <c r="FH604" s="121">
        <f t="shared" si="491"/>
        <v>6</v>
      </c>
      <c r="FI604" s="121">
        <f t="shared" si="483"/>
        <v>50</v>
      </c>
      <c r="FJ604" s="144">
        <f t="shared" si="450"/>
        <v>0.26666666666666666</v>
      </c>
      <c r="FK604" s="132">
        <f t="shared" si="451"/>
        <v>0</v>
      </c>
      <c r="FL604" s="115">
        <f t="shared" si="451"/>
        <v>-3</v>
      </c>
      <c r="FM604" s="115">
        <f t="shared" si="451"/>
        <v>-3</v>
      </c>
      <c r="FN604" s="115">
        <f t="shared" si="451"/>
        <v>-3</v>
      </c>
      <c r="FO604" s="115">
        <f t="shared" si="492"/>
        <v>0</v>
      </c>
      <c r="FP604" s="115">
        <f t="shared" si="492"/>
        <v>0</v>
      </c>
      <c r="FQ604" s="149">
        <f t="shared" si="492"/>
        <v>0.91960000000000264</v>
      </c>
      <c r="FR604" s="142">
        <f t="shared" si="492"/>
        <v>1.1000000000000014</v>
      </c>
      <c r="FS604" s="119">
        <f t="shared" si="492"/>
        <v>0</v>
      </c>
      <c r="FT604" s="121">
        <f t="shared" si="492"/>
        <v>-0.69999999999999929</v>
      </c>
      <c r="FU604" s="121">
        <f t="shared" si="452"/>
        <v>-7</v>
      </c>
      <c r="FV604" s="121">
        <f t="shared" si="452"/>
        <v>-0.29999999999999982</v>
      </c>
      <c r="FW604" s="121">
        <f t="shared" si="453"/>
        <v>-58.998197637478711</v>
      </c>
      <c r="FX604" s="121">
        <f>CN604-ES604</f>
        <v>-1</v>
      </c>
      <c r="FY604" s="144">
        <f t="shared" ref="FY604:FY667" si="502">FJ604-ET604</f>
        <v>1.0416666666666685E-2</v>
      </c>
      <c r="FZ604" s="145" t="s">
        <v>199</v>
      </c>
      <c r="GA604" s="125" t="s">
        <v>200</v>
      </c>
      <c r="GB604" s="145" t="s">
        <v>204</v>
      </c>
      <c r="GC604" s="151" t="s">
        <v>219</v>
      </c>
      <c r="GD604" s="997" t="s">
        <v>416</v>
      </c>
      <c r="GE604" s="1004" t="s">
        <v>204</v>
      </c>
      <c r="GF604" s="1004">
        <v>2.8423999999999978</v>
      </c>
      <c r="GG604" s="1004"/>
      <c r="GH604" s="1004">
        <v>-0.60191999999999979</v>
      </c>
      <c r="GI604" s="145"/>
      <c r="GJ604" s="996">
        <v>0</v>
      </c>
      <c r="GK604" s="145" t="s">
        <v>204</v>
      </c>
      <c r="GL604" s="996">
        <v>0</v>
      </c>
      <c r="GM604" s="1005" t="s">
        <v>204</v>
      </c>
      <c r="GN604" s="996">
        <v>-12.92456</v>
      </c>
      <c r="GO604" s="1006"/>
      <c r="GP604" s="996">
        <v>0</v>
      </c>
      <c r="GQ604" s="1006"/>
      <c r="GR604" s="996">
        <v>0</v>
      </c>
      <c r="GS604" s="1006"/>
      <c r="GT604" s="996">
        <v>0</v>
      </c>
      <c r="GU604" s="1006" t="s">
        <v>199</v>
      </c>
      <c r="GV604" s="996">
        <v>5.2500800000000005</v>
      </c>
      <c r="GW604" s="1006" t="s">
        <v>204</v>
      </c>
      <c r="GX604" s="996">
        <v>6.0191999999999979</v>
      </c>
      <c r="GY604" s="1006"/>
      <c r="GZ604" s="996">
        <v>0.94467999999999996</v>
      </c>
      <c r="HA604" s="1006" t="s">
        <v>199</v>
      </c>
      <c r="HB604" s="996">
        <v>3.0681200000000022</v>
      </c>
      <c r="HC604" s="1006"/>
      <c r="HD604" s="996">
        <v>0.29888337599999915</v>
      </c>
      <c r="HE604" s="1006"/>
      <c r="HF604" s="996">
        <v>0</v>
      </c>
      <c r="HG604" s="1006"/>
      <c r="HH604" s="996">
        <v>0</v>
      </c>
      <c r="HI604" s="1006"/>
      <c r="HJ604" s="996">
        <v>0.12692653599999915</v>
      </c>
      <c r="HK604" s="1006"/>
      <c r="HL604" s="996">
        <v>0</v>
      </c>
      <c r="HM604" s="1006"/>
      <c r="HN604" s="996">
        <v>0</v>
      </c>
      <c r="HO604" s="1006"/>
      <c r="HP604" s="996">
        <v>0</v>
      </c>
      <c r="HQ604" s="1006"/>
      <c r="HR604" s="996">
        <v>0.81046688800000055</v>
      </c>
      <c r="HS604" s="1006"/>
      <c r="HT604" s="996">
        <v>0</v>
      </c>
      <c r="HU604" s="1006" t="s">
        <v>628</v>
      </c>
      <c r="HV604" s="996">
        <v>-3.4934767999999981</v>
      </c>
      <c r="HW604" s="1006"/>
      <c r="HX604" s="996">
        <v>0</v>
      </c>
      <c r="HY604" s="1006" t="s">
        <v>221</v>
      </c>
      <c r="HZ604" s="996">
        <v>4.9994430199999975</v>
      </c>
      <c r="IA604" s="1006"/>
      <c r="IB604" s="996">
        <v>0</v>
      </c>
      <c r="IC604" s="1006" t="s">
        <v>239</v>
      </c>
      <c r="ID604" s="996">
        <v>-7.5375390199999988</v>
      </c>
      <c r="IE604" s="1006"/>
      <c r="IF604" s="996">
        <v>0.4694976000000004</v>
      </c>
      <c r="IG604" s="1006"/>
      <c r="IH604" s="996">
        <v>0</v>
      </c>
      <c r="II604" s="1006"/>
      <c r="IJ604" s="996">
        <v>0</v>
      </c>
      <c r="IK604" s="1006" t="s">
        <v>199</v>
      </c>
      <c r="IL604" s="996">
        <v>-3.3223476000000005</v>
      </c>
      <c r="IM604" s="1006" t="s">
        <v>204</v>
      </c>
      <c r="IN604" s="996">
        <v>9.3201459999999994</v>
      </c>
      <c r="IO604" s="1006"/>
      <c r="IP604" s="996">
        <v>-0.41799999999999926</v>
      </c>
      <c r="IQ604" s="1006" t="s">
        <v>199</v>
      </c>
      <c r="IR604" s="996">
        <v>-1.8559200000000011</v>
      </c>
      <c r="IS604" s="1006" t="s">
        <v>204</v>
      </c>
      <c r="IT604" s="996">
        <v>-1.6051199999999994</v>
      </c>
      <c r="IU604" s="1006" t="s">
        <v>199</v>
      </c>
      <c r="IV604" s="996">
        <v>-1.9562399999999993</v>
      </c>
      <c r="IW604" s="1006" t="s">
        <v>204</v>
      </c>
      <c r="IX604" s="996">
        <v>3.4944799999999994</v>
      </c>
      <c r="IY604" s="1006"/>
      <c r="IZ604" s="996">
        <v>0</v>
      </c>
      <c r="JA604" s="1006"/>
      <c r="JB604" s="996">
        <v>0</v>
      </c>
      <c r="JC604" s="1006"/>
      <c r="JD604" s="996">
        <v>0</v>
      </c>
      <c r="JE604" s="1006"/>
      <c r="JF604" s="996">
        <v>0</v>
      </c>
      <c r="JG604" s="1006"/>
      <c r="JH604" s="996">
        <v>0</v>
      </c>
      <c r="JI604" s="1006"/>
      <c r="JJ604" s="996">
        <v>0</v>
      </c>
      <c r="JK604" s="1007"/>
      <c r="JL604" s="1007">
        <v>0</v>
      </c>
      <c r="JM604" s="1007"/>
      <c r="JN604" s="1007">
        <v>0</v>
      </c>
      <c r="JO604" s="1008"/>
      <c r="JP604" s="1007">
        <v>0</v>
      </c>
      <c r="JQ604" s="1008">
        <v>0</v>
      </c>
      <c r="JR604" s="1007">
        <v>0</v>
      </c>
      <c r="JS604" s="1008" t="s">
        <v>204</v>
      </c>
      <c r="JT604" s="1007">
        <v>-13.543199999999999</v>
      </c>
      <c r="JU604" s="1008"/>
      <c r="JV604" s="1007">
        <v>0</v>
      </c>
      <c r="JW604" s="1008" t="s">
        <v>206</v>
      </c>
      <c r="JX604" s="1007">
        <v>-9.7728399999999986</v>
      </c>
      <c r="JY604" s="1008"/>
      <c r="JZ604" s="1007">
        <v>0</v>
      </c>
      <c r="KA604" s="1008" t="s">
        <v>204</v>
      </c>
      <c r="KB604" s="1007">
        <v>6.4288399999999974</v>
      </c>
      <c r="KC604" s="1008"/>
      <c r="KD604" s="1007">
        <v>0</v>
      </c>
      <c r="KE604" s="1008" t="s">
        <v>206</v>
      </c>
      <c r="KF604" s="1007">
        <v>10.032</v>
      </c>
      <c r="KG604" s="1008"/>
      <c r="KH604" s="1007">
        <v>0</v>
      </c>
      <c r="KI604" s="1008"/>
      <c r="KJ604" s="1007"/>
      <c r="KK604" s="1008"/>
      <c r="KL604" s="1007"/>
      <c r="KM604" s="1008" t="s">
        <v>206</v>
      </c>
      <c r="KN604" s="1007">
        <v>-1.6720000000000006</v>
      </c>
      <c r="KO604" s="1008"/>
      <c r="KP604" s="1007">
        <v>0</v>
      </c>
      <c r="KQ604" s="1008" t="s">
        <v>207</v>
      </c>
      <c r="KR604" s="1007">
        <v>-3.3439999999999976</v>
      </c>
      <c r="KS604" s="1008">
        <v>0</v>
      </c>
      <c r="KT604" s="1007">
        <v>0</v>
      </c>
      <c r="KU604" s="1008">
        <v>0</v>
      </c>
      <c r="KV604" s="1007">
        <v>0</v>
      </c>
      <c r="KW604" s="1008">
        <v>0</v>
      </c>
      <c r="KX604" s="1007">
        <v>0</v>
      </c>
      <c r="KY604" s="1008">
        <v>0</v>
      </c>
      <c r="KZ604" s="1007">
        <v>0</v>
      </c>
      <c r="LA604" s="1008">
        <v>0</v>
      </c>
      <c r="LB604" s="1007">
        <v>0</v>
      </c>
      <c r="LC604" s="1008">
        <v>0</v>
      </c>
      <c r="LD604" s="1007">
        <v>0</v>
      </c>
      <c r="LE604" s="1008" t="s">
        <v>203</v>
      </c>
      <c r="LF604" s="1007">
        <v>-1.0868000000000002</v>
      </c>
      <c r="LG604" s="1008">
        <v>0</v>
      </c>
      <c r="LH604" s="1007">
        <v>0</v>
      </c>
      <c r="LI604" s="1008">
        <v>0</v>
      </c>
      <c r="LJ604" s="1007">
        <v>0</v>
      </c>
      <c r="LK604" s="1008">
        <v>0</v>
      </c>
      <c r="LL604" s="1007">
        <v>0</v>
      </c>
      <c r="LM604" s="1008">
        <v>0</v>
      </c>
      <c r="LN604" s="1007">
        <v>-0.58520000000000005</v>
      </c>
      <c r="LO604" s="1008" t="s">
        <v>203</v>
      </c>
      <c r="LP604" s="1007">
        <v>-2.58</v>
      </c>
      <c r="LQ604" s="1008">
        <v>0</v>
      </c>
      <c r="LR604" s="1007">
        <v>0</v>
      </c>
      <c r="LS604" s="1008">
        <v>0</v>
      </c>
      <c r="LT604" s="1007">
        <v>0</v>
      </c>
      <c r="LU604" s="1008">
        <v>0</v>
      </c>
      <c r="LV604" s="1007">
        <v>0</v>
      </c>
      <c r="LW604" s="1008">
        <v>0</v>
      </c>
      <c r="LX604" s="1007">
        <v>-0.74199999999999999</v>
      </c>
      <c r="LY604" s="1009">
        <v>0</v>
      </c>
      <c r="LZ604" s="1010">
        <v>3.44</v>
      </c>
      <c r="MA604" s="1011">
        <v>0</v>
      </c>
      <c r="MB604" s="1012">
        <v>3.96</v>
      </c>
      <c r="MC604" s="995"/>
      <c r="MD604" s="996"/>
      <c r="ME604" s="997" t="s">
        <v>416</v>
      </c>
      <c r="MF604" s="997"/>
      <c r="MG604" s="998"/>
      <c r="NR604" s="1000"/>
      <c r="NS604" s="1000"/>
      <c r="NT604" s="1001"/>
      <c r="NU604" s="1000"/>
      <c r="NV604" s="1001"/>
      <c r="NX604" s="1002"/>
      <c r="NZ604" s="1001"/>
      <c r="OA604" s="1001"/>
      <c r="OC604" s="1003"/>
      <c r="OD604" s="1003"/>
      <c r="OE604" s="1001"/>
      <c r="OF604" s="1003"/>
      <c r="OG604" s="1003"/>
      <c r="QX604" s="1000">
        <f>CN604-CA604</f>
        <v>26</v>
      </c>
      <c r="ASU604" s="999" t="s">
        <v>208</v>
      </c>
    </row>
    <row r="605" spans="1:466 1191:1191" ht="21" customHeight="1" x14ac:dyDescent="0.25">
      <c r="A605" s="982">
        <f t="shared" ref="A605:A641" si="503">$J605</f>
        <v>3998</v>
      </c>
      <c r="B605" s="124">
        <f>SUBTOTAL(103,$J$29:J605)</f>
        <v>577</v>
      </c>
      <c r="C605" s="126">
        <v>45068</v>
      </c>
      <c r="D605" s="124" t="s">
        <v>176</v>
      </c>
      <c r="E605" s="127" t="s">
        <v>177</v>
      </c>
      <c r="F605" s="128" t="s">
        <v>177</v>
      </c>
      <c r="G605" s="127" t="s">
        <v>178</v>
      </c>
      <c r="H605" s="127" t="s">
        <v>179</v>
      </c>
      <c r="I605" s="127" t="s">
        <v>1822</v>
      </c>
      <c r="J605" s="152">
        <v>3998</v>
      </c>
      <c r="K605" s="127" t="s">
        <v>1822</v>
      </c>
      <c r="L605" s="130">
        <v>43738</v>
      </c>
      <c r="M605" s="127" t="s">
        <v>230</v>
      </c>
      <c r="N605" s="127" t="s">
        <v>184</v>
      </c>
      <c r="O605" s="127" t="s">
        <v>185</v>
      </c>
      <c r="P605" s="127" t="s">
        <v>186</v>
      </c>
      <c r="Q605" s="85" t="str">
        <f t="shared" si="500"/>
        <v/>
      </c>
      <c r="R605" s="130"/>
      <c r="S605" s="128"/>
      <c r="T605" s="131"/>
      <c r="U605" s="132">
        <v>203</v>
      </c>
      <c r="V605" s="121">
        <v>218.2</v>
      </c>
      <c r="W605" s="116">
        <v>0.98</v>
      </c>
      <c r="X605" s="116">
        <v>1.66</v>
      </c>
      <c r="Y605" s="116">
        <f t="shared" si="463"/>
        <v>1.2785287645394527</v>
      </c>
      <c r="Z605" s="133">
        <v>1.454</v>
      </c>
      <c r="AA605" s="133">
        <v>0.83599999999999997</v>
      </c>
      <c r="AB605" s="133">
        <v>0.72</v>
      </c>
      <c r="AC605" s="121">
        <v>34.299999999999997</v>
      </c>
      <c r="AD605" s="134">
        <v>1.17</v>
      </c>
      <c r="AE605" s="124">
        <v>177.8</v>
      </c>
      <c r="AF605" s="128">
        <v>9.19</v>
      </c>
      <c r="AG605" s="128">
        <v>2571</v>
      </c>
      <c r="AH605" s="127">
        <v>3080</v>
      </c>
      <c r="AI605" s="127">
        <v>3080</v>
      </c>
      <c r="AJ605" s="135"/>
      <c r="AK605" s="128"/>
      <c r="AL605" s="131"/>
      <c r="AM605" s="124" t="s">
        <v>232</v>
      </c>
      <c r="AN605" s="136" t="s">
        <v>2044</v>
      </c>
      <c r="AO605" s="137">
        <v>15.83</v>
      </c>
      <c r="AP605" s="128">
        <v>2571</v>
      </c>
      <c r="AQ605" s="128">
        <v>679.7</v>
      </c>
      <c r="AR605" s="128"/>
      <c r="AS605" s="128"/>
      <c r="AT605" s="122"/>
      <c r="AU605" s="124" t="s">
        <v>883</v>
      </c>
      <c r="AV605" s="115">
        <f>VLOOKUP(J605,'[63]ТР нефть'!$J$28:$BP$638,39,0)</f>
        <v>300</v>
      </c>
      <c r="AW605" s="115" t="str">
        <f>VLOOKUP(J605,'[63]ТР нефть'!$J$28:$BP$638,40,0)</f>
        <v>ГП</v>
      </c>
      <c r="AX605" s="115" t="str">
        <f>VLOOKUP(J605,'[63]ТР нефть'!$J$28:$BP$638,41,0)</f>
        <v>-</v>
      </c>
      <c r="AY605" s="115" t="str">
        <f>VLOOKUP(J605,'[63]ТР нефть'!$J$28:$BP$638,42,0)</f>
        <v>-</v>
      </c>
      <c r="AZ605" s="115" t="str">
        <f>VLOOKUP(J605,'[63]ТР нефть'!$J$28:$BP$638,43,0)</f>
        <v>-</v>
      </c>
      <c r="BA605" s="115" t="str">
        <f>VLOOKUP(J605,'[63]ТР нефть'!$J$28:$BP$638,44,0)</f>
        <v>-</v>
      </c>
      <c r="BB605" s="115" t="str">
        <f>VLOOKUP(J605,'[63]ТР нефть'!$J$28:$BP$638,45,0)</f>
        <v>-</v>
      </c>
      <c r="BC605" s="115" t="str">
        <f>VLOOKUP(J605,'[63]ТР нефть'!$J$28:$BP$638,46,0)</f>
        <v>-</v>
      </c>
      <c r="BD605" s="115" t="str">
        <f>VLOOKUP(J605,'[63]ТР нефть'!$J$28:$BP$638,47,0)</f>
        <v>-</v>
      </c>
      <c r="BE605" s="115" t="str">
        <f>VLOOKUP(J605,'[63]ТР нефть'!$J$28:$BP$638,48,0)</f>
        <v>-</v>
      </c>
      <c r="BF605" s="115" t="str">
        <f>VLOOKUP(J605,'[63]ТР нефть'!$J$28:$BP$638,49,0)</f>
        <v>-</v>
      </c>
      <c r="BG605" s="115" t="str">
        <f>VLOOKUP(J605,'[63]ТР нефть'!$J$28:$BP$638,50,0)</f>
        <v>-</v>
      </c>
      <c r="BH605" s="115">
        <f>VLOOKUP(J605,'[63]ТР нефть'!$J$28:$BP$638,51,0)</f>
        <v>2100</v>
      </c>
      <c r="BI605" s="115" t="str">
        <f>VLOOKUP(J605,'[63]ТР нефть'!$J$28:$BP$638,52,0)</f>
        <v>закрыт</v>
      </c>
      <c r="BJ605" s="115" t="str">
        <f>IF(IFERROR(VLOOKUP(J605,'[63]ТР нефть'!$J$28:$BP$638,53,0),"-")=0,"-",IFERROR(VLOOKUP(J605,'[63]ТР нефть'!$J$28:$BP$638,53,0),"-"))</f>
        <v>КЗП 2517м</v>
      </c>
      <c r="BK605" s="138" t="str">
        <f>IF(IFERROR(VLOOKUP(J605,'[63]ТР нефть'!$J$28:$BP$638,54,0),"-")=0,"-",IFERROR(VLOOKUP(J605,'[63]ТР нефть'!$J$28:$BP$638,54,0),"-"))</f>
        <v>D800N</v>
      </c>
      <c r="BL605" s="138" t="str">
        <f>IF(IFERROR(VLOOKUP(J605,'[63]ТР нефть'!$J$28:$BP$638,55,0),"-")=0,"-",IFERROR(VLOOKUP(J605,'[63]ТР нефть'!$J$28:$BP$638,55,0),"-"))</f>
        <v>-</v>
      </c>
      <c r="BM605" s="138">
        <f>IF(IFERROR(VLOOKUP(J605,'[63]ТР нефть'!$J$28:$BP$638,56,0),"-")=0,"-",IFERROR(VLOOKUP(J605,'[63]ТР нефть'!$J$28:$BP$638,56,0),"-"))</f>
        <v>1250</v>
      </c>
      <c r="BN605" s="138">
        <f>IF(IFERROR(VLOOKUP(J605,'[63]ТР нефть'!$J$28:$BP$638,57,0),"-")=0,"-",IFERROR(VLOOKUP(J605,'[63]ТР нефть'!$J$28:$BP$638,57,0),"-"))</f>
        <v>55</v>
      </c>
      <c r="BO605" s="115">
        <f>IF(IFERROR(VLOOKUP(J605,'[63]ТР нефть'!$J$28:$BP$638,58,0),"-")=0,"-",IFERROR(VLOOKUP(J605,'[63]ТР нефть'!$J$28:$BP$638,58,0),"-"))</f>
        <v>100</v>
      </c>
      <c r="BP605" s="115" t="str">
        <f>IF(IFERROR(VLOOKUP(J605,'[63]ТР нефть'!$J$28:$BP$638,59,0),"-")=0,"-",IFERROR(VLOOKUP(J605,'[63]ТР нефть'!$J$28:$BP$638,59,0),"-"))</f>
        <v>-</v>
      </c>
      <c r="BQ605" s="138">
        <v>2135</v>
      </c>
      <c r="BR605" s="128">
        <v>1745.5</v>
      </c>
      <c r="BS605" s="115">
        <f t="shared" si="499"/>
        <v>389.5</v>
      </c>
      <c r="BT605" s="128">
        <v>73</v>
      </c>
      <c r="BU605" s="128">
        <v>5.5</v>
      </c>
      <c r="BV605" s="127">
        <v>65</v>
      </c>
      <c r="BW605" s="127" t="s">
        <v>217</v>
      </c>
      <c r="BX605" s="127" t="s">
        <v>218</v>
      </c>
      <c r="BY605" s="139">
        <v>11</v>
      </c>
      <c r="BZ605" s="139">
        <v>13</v>
      </c>
      <c r="CA605" s="138">
        <v>19</v>
      </c>
      <c r="CB605" s="138">
        <v>18</v>
      </c>
      <c r="CC605" s="138">
        <v>18</v>
      </c>
      <c r="CD605" s="135">
        <v>45017</v>
      </c>
      <c r="CE605" s="138">
        <v>124</v>
      </c>
      <c r="CF605" s="138"/>
      <c r="CG605" s="138" t="str">
        <f>IF(CH605&lt;&gt;"","В работе","")</f>
        <v/>
      </c>
      <c r="CH605" s="138" t="s">
        <v>197</v>
      </c>
      <c r="CI605" s="127"/>
      <c r="CJ605" s="138">
        <f>IF((BR605-(100*(CM605-CB605))/(9.8*(AB605+AA605)/2))&gt;0,BR605-(100*(CM605-CB605))/(9.8*(AB605+AA605)/2),0)</f>
        <v>1352.0264151933268</v>
      </c>
      <c r="CK605" s="138">
        <f t="shared" si="488"/>
        <v>42.966859969999994</v>
      </c>
      <c r="CL605" s="99"/>
      <c r="CM605" s="127">
        <v>48</v>
      </c>
      <c r="CN605" s="154">
        <f>IF(CM605=0,0,(((AP605-AQ605-BR605)*((AD605*(CQ605/100))+(AB605*((100-CQ605)/100)))*9.81/100+CM605)))</f>
        <v>61.966859969999994</v>
      </c>
      <c r="CO605" s="141">
        <f t="shared" ref="CO605:CO641" si="504">CP605*(1-CQ605/100)*0.836</f>
        <v>7.1896000000000013</v>
      </c>
      <c r="CP605" s="142">
        <v>20</v>
      </c>
      <c r="CQ605" s="143">
        <v>57</v>
      </c>
      <c r="CR605" s="138">
        <v>8.8000000000000007</v>
      </c>
      <c r="CS605" s="139"/>
      <c r="CT605" s="138"/>
      <c r="CU605" s="138">
        <f t="shared" si="475"/>
        <v>8.8000000000000007</v>
      </c>
      <c r="CV605" s="115">
        <f t="shared" si="476"/>
        <v>1223.9902080783352</v>
      </c>
      <c r="CW605" s="115" t="str">
        <f t="shared" ref="CW605:CW641" si="505">IF(CP605&lt;&gt;0,IF(AU605=$AU$29,CS605/(CO605+(CP605-CO605/0.836)*1.158)*1000,""),"")</f>
        <v/>
      </c>
      <c r="CX605" s="133">
        <f t="shared" si="477"/>
        <v>0.32240831256208774</v>
      </c>
      <c r="CY605" s="116"/>
      <c r="CZ605" s="131"/>
      <c r="DA605" s="145" t="str">
        <f t="shared" si="478"/>
        <v>ЭЦН</v>
      </c>
      <c r="DB605" s="146">
        <f t="shared" si="468"/>
        <v>7.1896000000000013</v>
      </c>
      <c r="DC605" s="142">
        <f t="shared" si="469"/>
        <v>20</v>
      </c>
      <c r="DD605" s="119">
        <f t="shared" si="470"/>
        <v>57</v>
      </c>
      <c r="DE605" s="115">
        <f t="shared" si="471"/>
        <v>8.8000000000000007</v>
      </c>
      <c r="DF605" s="121">
        <f t="shared" si="472"/>
        <v>0</v>
      </c>
      <c r="DG605" s="115">
        <f t="shared" ref="DG605:DG641" si="506">CV605</f>
        <v>1223.9902080783352</v>
      </c>
      <c r="DH605" s="115">
        <f t="shared" ref="DH605:DH625" si="507">CN605</f>
        <v>61.966859969999994</v>
      </c>
      <c r="DI605" s="147"/>
      <c r="DJ605" s="111">
        <v>44009</v>
      </c>
      <c r="DK605" s="112">
        <v>44116</v>
      </c>
      <c r="DL605" s="113">
        <f t="shared" ca="1" si="480"/>
        <v>988</v>
      </c>
      <c r="DM605" s="114">
        <v>14.7</v>
      </c>
      <c r="DN605" s="114">
        <v>42</v>
      </c>
      <c r="DO605" s="114" t="s">
        <v>192</v>
      </c>
      <c r="DP605" s="114"/>
      <c r="DQ605" s="112"/>
      <c r="DR605" s="114"/>
      <c r="DS605" s="114"/>
      <c r="DT605" s="115">
        <v>60</v>
      </c>
      <c r="DU605" s="116">
        <f t="shared" si="481"/>
        <v>0.31948559890866945</v>
      </c>
      <c r="DV605" s="117">
        <f t="shared" si="495"/>
        <v>7.3503157181240635</v>
      </c>
      <c r="DW605" s="118">
        <f t="shared" si="496"/>
        <v>20.447078330154845</v>
      </c>
      <c r="DX605" s="119">
        <f t="shared" si="497"/>
        <v>57</v>
      </c>
      <c r="DY605" s="115">
        <f t="shared" si="498"/>
        <v>8.9967144652681306</v>
      </c>
      <c r="DZ605" s="117">
        <f t="shared" si="501"/>
        <v>0.16071571812406216</v>
      </c>
      <c r="EA605" s="120">
        <f t="shared" si="501"/>
        <v>0.4470783301548451</v>
      </c>
      <c r="EB605" s="119">
        <f t="shared" si="501"/>
        <v>0</v>
      </c>
      <c r="EC605" s="121">
        <f t="shared" si="464"/>
        <v>0.19671446526812986</v>
      </c>
      <c r="ED605" s="122" t="s">
        <v>2045</v>
      </c>
      <c r="EE605" s="145">
        <v>65</v>
      </c>
      <c r="EF605" s="115">
        <v>18</v>
      </c>
      <c r="EG605" s="115">
        <v>18</v>
      </c>
      <c r="EH605" s="115">
        <v>17</v>
      </c>
      <c r="EI605" s="128" t="s">
        <v>218</v>
      </c>
      <c r="EJ605" s="121">
        <v>11</v>
      </c>
      <c r="EK605" s="121">
        <v>13</v>
      </c>
      <c r="EL605" s="149">
        <v>9.705960000000001</v>
      </c>
      <c r="EM605" s="142">
        <v>27</v>
      </c>
      <c r="EN605" s="119">
        <v>57</v>
      </c>
      <c r="EO605" s="115">
        <v>8.8000000000000007</v>
      </c>
      <c r="EP605" s="115">
        <v>906.65941339135941</v>
      </c>
      <c r="EQ605" s="115">
        <v>0</v>
      </c>
      <c r="ER605" s="115">
        <v>0</v>
      </c>
      <c r="ES605" s="115">
        <v>61.966859969999994</v>
      </c>
      <c r="ET605" s="150">
        <v>0.43525122195881849</v>
      </c>
      <c r="EU605" s="145">
        <f t="shared" si="457"/>
        <v>65</v>
      </c>
      <c r="EV605" s="115">
        <f t="shared" ref="EV605:EX625" si="508">CA605</f>
        <v>19</v>
      </c>
      <c r="EW605" s="115">
        <f t="shared" si="508"/>
        <v>18</v>
      </c>
      <c r="EX605" s="115">
        <f t="shared" si="508"/>
        <v>18</v>
      </c>
      <c r="EY605" s="115" t="str">
        <f t="shared" si="489"/>
        <v>Периодический</v>
      </c>
      <c r="EZ605" s="115">
        <f t="shared" si="489"/>
        <v>11</v>
      </c>
      <c r="FA605" s="115">
        <f t="shared" si="489"/>
        <v>13</v>
      </c>
      <c r="FB605" s="149">
        <f t="shared" si="461"/>
        <v>7.1896000000000013</v>
      </c>
      <c r="FC605" s="142">
        <f t="shared" si="461"/>
        <v>20</v>
      </c>
      <c r="FD605" s="119">
        <f t="shared" si="461"/>
        <v>57</v>
      </c>
      <c r="FE605" s="121">
        <f t="shared" si="460"/>
        <v>8.8000000000000007</v>
      </c>
      <c r="FF605" s="121">
        <f t="shared" si="462"/>
        <v>1223.9902080783352</v>
      </c>
      <c r="FG605" s="121">
        <f t="shared" ref="FG605:FG625" si="509">CF605</f>
        <v>0</v>
      </c>
      <c r="FH605" s="121">
        <f t="shared" si="491"/>
        <v>0</v>
      </c>
      <c r="FI605" s="121">
        <f t="shared" si="483"/>
        <v>61.966859969999994</v>
      </c>
      <c r="FJ605" s="144">
        <f t="shared" ref="FJ605:FJ625" si="510">CX605</f>
        <v>0.32240831256208774</v>
      </c>
      <c r="FK605" s="132">
        <f t="shared" ref="FK605:FN625" si="511">EU605-EE605</f>
        <v>0</v>
      </c>
      <c r="FL605" s="115">
        <f t="shared" si="511"/>
        <v>1</v>
      </c>
      <c r="FM605" s="115">
        <f t="shared" si="511"/>
        <v>0</v>
      </c>
      <c r="FN605" s="115">
        <f t="shared" si="511"/>
        <v>1</v>
      </c>
      <c r="FO605" s="115">
        <f t="shared" si="492"/>
        <v>0</v>
      </c>
      <c r="FP605" s="115">
        <f t="shared" si="492"/>
        <v>0</v>
      </c>
      <c r="FQ605" s="149">
        <f t="shared" si="492"/>
        <v>-2.5163599999999997</v>
      </c>
      <c r="FR605" s="142">
        <f t="shared" si="492"/>
        <v>-7</v>
      </c>
      <c r="FS605" s="119">
        <f t="shared" si="492"/>
        <v>0</v>
      </c>
      <c r="FT605" s="121">
        <f t="shared" si="492"/>
        <v>0</v>
      </c>
      <c r="FU605" s="121">
        <f t="shared" ref="FU605:FV625" si="512">FG605-EQ605</f>
        <v>0</v>
      </c>
      <c r="FV605" s="121">
        <f t="shared" si="512"/>
        <v>0</v>
      </c>
      <c r="FW605" s="121">
        <f t="shared" ref="FW605:FW625" si="513">FF605-EP605</f>
        <v>317.33079468697576</v>
      </c>
      <c r="FX605" s="121">
        <f t="shared" ref="FX605:FX625" si="514">FI605-ES605</f>
        <v>0</v>
      </c>
      <c r="FY605" s="144">
        <f t="shared" si="502"/>
        <v>-0.11284290939673075</v>
      </c>
      <c r="FZ605" s="145" t="s">
        <v>222</v>
      </c>
      <c r="GA605" s="151" t="s">
        <v>2046</v>
      </c>
      <c r="GB605" s="145" t="s">
        <v>199</v>
      </c>
      <c r="GC605" s="151" t="s">
        <v>2038</v>
      </c>
      <c r="GD605" s="997" t="s">
        <v>220</v>
      </c>
      <c r="GE605" s="1004" t="s">
        <v>199</v>
      </c>
      <c r="GF605" s="1004">
        <v>4.3137600000000003</v>
      </c>
      <c r="GG605" s="1004"/>
      <c r="GH605" s="1004">
        <v>0</v>
      </c>
      <c r="GI605" s="145" t="s">
        <v>146</v>
      </c>
      <c r="GJ605" s="996">
        <v>-1.2603745000000002</v>
      </c>
      <c r="GK605" s="145" t="s">
        <v>223</v>
      </c>
      <c r="GL605" s="996">
        <v>-2.9247652279999992</v>
      </c>
      <c r="GM605" s="1005"/>
      <c r="GN605" s="996">
        <v>0</v>
      </c>
      <c r="GO605" s="1006"/>
      <c r="GP605" s="996">
        <v>-0.28761744</v>
      </c>
      <c r="GQ605" s="1006" t="s">
        <v>199</v>
      </c>
      <c r="GR605" s="996">
        <v>2.0972130080000015</v>
      </c>
      <c r="GS605" s="1006" t="s">
        <v>204</v>
      </c>
      <c r="GT605" s="996">
        <v>1.6064241599999995</v>
      </c>
      <c r="GU605" s="1006"/>
      <c r="GV605" s="996">
        <v>0.28005999999999975</v>
      </c>
      <c r="GW605" s="1006"/>
      <c r="GX605" s="996">
        <v>0</v>
      </c>
      <c r="GY605" s="1006"/>
      <c r="GZ605" s="996">
        <v>0</v>
      </c>
      <c r="HA605" s="1006"/>
      <c r="HB605" s="996">
        <v>0</v>
      </c>
      <c r="HC605" s="1006"/>
      <c r="HD605" s="996">
        <v>0</v>
      </c>
      <c r="HE605" s="1006"/>
      <c r="HF605" s="996">
        <v>0</v>
      </c>
      <c r="HG605" s="1006"/>
      <c r="HH605" s="996">
        <v>0</v>
      </c>
      <c r="HI605" s="1006"/>
      <c r="HJ605" s="996">
        <v>3.7118399999997109E-2</v>
      </c>
      <c r="HK605" s="1006" t="s">
        <v>199</v>
      </c>
      <c r="HL605" s="996">
        <v>-3.9997583999999975</v>
      </c>
      <c r="HM605" s="1006"/>
      <c r="HN605" s="996">
        <v>0</v>
      </c>
      <c r="HO605" s="1006"/>
      <c r="HP605" s="996">
        <v>0.52447295999999888</v>
      </c>
      <c r="HQ605" s="1006"/>
      <c r="HR605" s="996">
        <v>0.88000704000000063</v>
      </c>
      <c r="HS605" s="1006"/>
      <c r="HT605" s="996">
        <v>0</v>
      </c>
      <c r="HU605" s="1006"/>
      <c r="HV605" s="996">
        <v>2.0398399999999999</v>
      </c>
      <c r="HW605" s="1006" t="s">
        <v>204</v>
      </c>
      <c r="HX605" s="996">
        <v>-2.5982880000000002</v>
      </c>
      <c r="HY605" s="1006"/>
      <c r="HZ605" s="996">
        <v>0</v>
      </c>
      <c r="IA605" s="1006"/>
      <c r="IB605" s="996">
        <v>0</v>
      </c>
      <c r="IC605" s="1006"/>
      <c r="ID605" s="996">
        <v>0</v>
      </c>
      <c r="IE605" s="1006"/>
      <c r="IF605" s="996">
        <v>0</v>
      </c>
      <c r="IG605" s="1006"/>
      <c r="IH605" s="996">
        <v>0</v>
      </c>
      <c r="II605" s="1006" t="s">
        <v>199</v>
      </c>
      <c r="IJ605" s="996">
        <v>-7.0996381821199996</v>
      </c>
      <c r="IK605" s="1006"/>
      <c r="IL605" s="996">
        <v>0</v>
      </c>
      <c r="IM605" s="1006"/>
      <c r="IN605" s="996">
        <v>0</v>
      </c>
      <c r="IO605" s="1006"/>
      <c r="IP605" s="996">
        <v>0.14461978211999948</v>
      </c>
      <c r="IQ605" s="1006"/>
      <c r="IR605" s="996">
        <v>0</v>
      </c>
      <c r="IS605" s="1006"/>
      <c r="IT605" s="996">
        <v>0</v>
      </c>
      <c r="IU605" s="1006"/>
      <c r="IV605" s="996">
        <v>0</v>
      </c>
      <c r="IW605" s="1006"/>
      <c r="IX605" s="996">
        <v>0</v>
      </c>
      <c r="IY605" s="1006"/>
      <c r="IZ605" s="996">
        <v>0</v>
      </c>
      <c r="JA605" s="1006" t="s">
        <v>223</v>
      </c>
      <c r="JB605" s="996">
        <v>-4.0734936000000026</v>
      </c>
      <c r="JC605" s="1006" t="s">
        <v>146</v>
      </c>
      <c r="JD605" s="996">
        <v>-6.1412559999999914</v>
      </c>
      <c r="JE605" s="1006"/>
      <c r="JF605" s="996">
        <v>0.75467391999999478</v>
      </c>
      <c r="JG605" s="1006" t="s">
        <v>224</v>
      </c>
      <c r="JH605" s="996">
        <v>6.0219420799999988</v>
      </c>
      <c r="JI605" s="1006"/>
      <c r="JJ605" s="996">
        <v>0</v>
      </c>
      <c r="JK605" s="1007" t="s">
        <v>199</v>
      </c>
      <c r="JL605" s="1007">
        <v>-4.7568399999999968</v>
      </c>
      <c r="JM605" s="1007"/>
      <c r="JN605" s="1007">
        <v>0</v>
      </c>
      <c r="JO605" s="1067"/>
      <c r="JP605" s="1007">
        <v>0</v>
      </c>
      <c r="JQ605" s="1008"/>
      <c r="JR605" s="1007"/>
      <c r="JS605" s="1008"/>
      <c r="JT605" s="1007"/>
      <c r="JU605" s="1008"/>
      <c r="JV605" s="1007"/>
      <c r="JW605" s="1008"/>
      <c r="JX605" s="1007"/>
      <c r="JY605" s="1008"/>
      <c r="JZ605" s="1007"/>
      <c r="KA605" s="1008"/>
      <c r="KB605" s="1007"/>
      <c r="KC605" s="1008"/>
      <c r="KD605" s="1007"/>
      <c r="KE605" s="1008"/>
      <c r="KF605" s="1007"/>
      <c r="KG605" s="1008"/>
      <c r="KH605" s="1007"/>
      <c r="KI605" s="1008"/>
      <c r="KJ605" s="1007"/>
      <c r="KK605" s="1008"/>
      <c r="KL605" s="1007"/>
      <c r="KM605" s="1008"/>
      <c r="KN605" s="1007"/>
      <c r="KO605" s="1008"/>
      <c r="KP605" s="1007"/>
      <c r="KQ605" s="1008"/>
      <c r="KR605" s="1007"/>
      <c r="KS605" s="1008"/>
      <c r="KT605" s="1007"/>
      <c r="KU605" s="1008"/>
      <c r="KV605" s="1007"/>
      <c r="KW605" s="1008"/>
      <c r="KX605" s="1007"/>
      <c r="KY605" s="1008"/>
      <c r="KZ605" s="1007"/>
      <c r="LA605" s="1008"/>
      <c r="LB605" s="1007"/>
      <c r="LC605" s="1008"/>
      <c r="LD605" s="1007"/>
      <c r="LE605" s="1008"/>
      <c r="LF605" s="1007"/>
      <c r="LG605" s="1008"/>
      <c r="LH605" s="1007"/>
      <c r="LI605" s="1008"/>
      <c r="LJ605" s="1007"/>
      <c r="LK605" s="1008"/>
      <c r="LL605" s="1007"/>
      <c r="LM605" s="1008"/>
      <c r="LN605" s="1007"/>
      <c r="LO605" s="1008"/>
      <c r="LP605" s="1007"/>
      <c r="LQ605" s="1008"/>
      <c r="LR605" s="1007"/>
      <c r="LS605" s="1008"/>
      <c r="LT605" s="1007"/>
      <c r="LU605" s="1008"/>
      <c r="LV605" s="1007"/>
      <c r="LW605" s="1008"/>
      <c r="LX605" s="1007"/>
      <c r="LY605" s="1009"/>
      <c r="LZ605" s="1010"/>
      <c r="MA605" s="1011"/>
      <c r="MB605" s="1012"/>
      <c r="MC605" s="995"/>
      <c r="MD605" s="996"/>
      <c r="ME605" s="997" t="s">
        <v>220</v>
      </c>
      <c r="MF605" s="997"/>
      <c r="MG605" s="998"/>
      <c r="NR605" s="1000"/>
      <c r="NS605" s="1000"/>
      <c r="NT605" s="1001"/>
      <c r="NU605" s="1000"/>
      <c r="NV605" s="1001"/>
      <c r="NX605" s="1002"/>
      <c r="NZ605" s="1001"/>
      <c r="OA605" s="1001"/>
      <c r="OC605" s="1003"/>
      <c r="OD605" s="1003"/>
      <c r="OE605" s="1001"/>
      <c r="OF605" s="1003"/>
      <c r="OG605" s="1003"/>
      <c r="QX605" s="1000">
        <f>CN605-CA605</f>
        <v>42.966859969999994</v>
      </c>
      <c r="ASU605" s="999" t="s">
        <v>208</v>
      </c>
    </row>
    <row r="606" spans="1:466 1191:1191" ht="21" customHeight="1" x14ac:dyDescent="0.25">
      <c r="A606" s="982">
        <f t="shared" si="503"/>
        <v>3999</v>
      </c>
      <c r="B606" s="124">
        <f>SUBTOTAL(103,$J$29:J606)</f>
        <v>578</v>
      </c>
      <c r="C606" s="126">
        <v>45068</v>
      </c>
      <c r="D606" s="124" t="s">
        <v>176</v>
      </c>
      <c r="E606" s="127" t="s">
        <v>177</v>
      </c>
      <c r="F606" s="128" t="s">
        <v>177</v>
      </c>
      <c r="G606" s="127" t="s">
        <v>178</v>
      </c>
      <c r="H606" s="127" t="s">
        <v>408</v>
      </c>
      <c r="I606" s="127" t="s">
        <v>632</v>
      </c>
      <c r="J606" s="152">
        <v>3999</v>
      </c>
      <c r="K606" s="127" t="s">
        <v>182</v>
      </c>
      <c r="L606" s="130">
        <v>35367</v>
      </c>
      <c r="M606" s="127" t="s">
        <v>230</v>
      </c>
      <c r="N606" s="127" t="s">
        <v>465</v>
      </c>
      <c r="O606" s="127" t="s">
        <v>185</v>
      </c>
      <c r="P606" s="127" t="s">
        <v>186</v>
      </c>
      <c r="Q606" s="85" t="str">
        <f t="shared" si="500"/>
        <v/>
      </c>
      <c r="R606" s="130"/>
      <c r="S606" s="128"/>
      <c r="T606" s="131"/>
      <c r="U606" s="132">
        <v>203</v>
      </c>
      <c r="V606" s="121">
        <v>218.2</v>
      </c>
      <c r="W606" s="116">
        <v>0.98</v>
      </c>
      <c r="X606" s="116">
        <v>1.66</v>
      </c>
      <c r="Y606" s="116">
        <f t="shared" si="463"/>
        <v>0.98160841861363191</v>
      </c>
      <c r="Z606" s="133">
        <v>1.454</v>
      </c>
      <c r="AA606" s="133">
        <v>0.83599999999999997</v>
      </c>
      <c r="AB606" s="133">
        <v>0.72</v>
      </c>
      <c r="AC606" s="121">
        <v>34.299999999999997</v>
      </c>
      <c r="AD606" s="134">
        <v>1.17</v>
      </c>
      <c r="AE606" s="124">
        <v>177.8</v>
      </c>
      <c r="AF606" s="128">
        <v>9.19</v>
      </c>
      <c r="AG606" s="128">
        <v>2218.06</v>
      </c>
      <c r="AH606" s="127">
        <v>2816</v>
      </c>
      <c r="AI606" s="127">
        <v>2816</v>
      </c>
      <c r="AJ606" s="135"/>
      <c r="AK606" s="128"/>
      <c r="AL606" s="131"/>
      <c r="AM606" s="124" t="s">
        <v>232</v>
      </c>
      <c r="AN606" s="136" t="s">
        <v>2047</v>
      </c>
      <c r="AO606" s="137">
        <v>79.66</v>
      </c>
      <c r="AP606" s="128">
        <v>2218</v>
      </c>
      <c r="AQ606" s="128">
        <v>339</v>
      </c>
      <c r="AR606" s="128"/>
      <c r="AS606" s="128"/>
      <c r="AT606" s="122"/>
      <c r="AU606" s="124" t="s">
        <v>189</v>
      </c>
      <c r="AV606" s="115">
        <f>VLOOKUP(J606,'[63]ТР нефть'!$J$28:$BP$638,39,0)</f>
        <v>519.99999931599996</v>
      </c>
      <c r="AW606" s="115" t="str">
        <f>VLOOKUP(J606,'[63]ТР нефть'!$J$28:$BP$638,40,0)</f>
        <v>ГП</v>
      </c>
      <c r="AX606" s="115">
        <f>VLOOKUP(J606,'[63]ТР нефть'!$J$28:$BP$638,41,0)</f>
        <v>945.00002988300002</v>
      </c>
      <c r="AY606" s="115" t="str">
        <f>VLOOKUP(J606,'[63]ТР нефть'!$J$28:$BP$638,42,0)</f>
        <v>ГП</v>
      </c>
      <c r="AZ606" s="115">
        <f>VLOOKUP(J606,'[63]ТР нефть'!$J$28:$BP$638,43,0)</f>
        <v>1295.0000988280001</v>
      </c>
      <c r="BA606" s="115" t="str">
        <f>VLOOKUP(J606,'[63]ТР нефть'!$J$28:$BP$638,44,0)</f>
        <v>ГК 87 5/32</v>
      </c>
      <c r="BB606" s="115">
        <f>VLOOKUP(J606,'[63]ТР нефть'!$J$28:$BP$638,45,0)</f>
        <v>1565.000064844</v>
      </c>
      <c r="BC606" s="115" t="str">
        <f>VLOOKUP(J606,'[63]ТР нефть'!$J$28:$BP$638,46,0)</f>
        <v>ГК 86 1/8</v>
      </c>
      <c r="BD606" s="115">
        <f>VLOOKUP(J606,'[63]ТР нефть'!$J$28:$BP$638,47,0)</f>
        <v>1900.0001191409999</v>
      </c>
      <c r="BE606" s="115" t="str">
        <f>VLOOKUP(J606,'[63]ТР нефть'!$J$28:$BP$638,48,0)</f>
        <v>ЦКсОК 5/16</v>
      </c>
      <c r="BF606" s="115" t="str">
        <f>VLOOKUP(J606,'[63]ТР нефть'!$J$28:$BP$638,49,0)</f>
        <v>-</v>
      </c>
      <c r="BG606" s="115" t="str">
        <f>VLOOKUP(J606,'[63]ТР нефть'!$J$28:$BP$638,50,0)</f>
        <v>-</v>
      </c>
      <c r="BH606" s="115">
        <f>VLOOKUP(J606,'[63]ТР нефть'!$J$28:$BP$638,51,0)</f>
        <v>1950</v>
      </c>
      <c r="BI606" s="115" t="str">
        <f>VLOOKUP(J606,'[63]ТР нефть'!$J$28:$BP$638,52,0)</f>
        <v>закрыт</v>
      </c>
      <c r="BJ606" s="115" t="str">
        <f>IF(IFERROR(VLOOKUP(J606,'[63]ТР нефть'!$J$28:$BP$638,53,0),"-")=0,"-",IFERROR(VLOOKUP(J606,'[63]ТР нефть'!$J$28:$BP$638,53,0),"-"))</f>
        <v>-</v>
      </c>
      <c r="BK606" s="138" t="str">
        <f>IF(IFERROR(VLOOKUP(J606,'[63]ТР нефть'!$J$28:$BP$638,54,0),"-")=0,"-",IFERROR(VLOOKUP(J606,'[63]ТР нефть'!$J$28:$BP$638,54,0),"-"))</f>
        <v>-</v>
      </c>
      <c r="BL606" s="138" t="str">
        <f>IF(IFERROR(VLOOKUP(J606,'[63]ТР нефть'!$J$28:$BP$638,55,0),"-")=0,"-",IFERROR(VLOOKUP(J606,'[63]ТР нефть'!$J$28:$BP$638,55,0),"-"))</f>
        <v>-</v>
      </c>
      <c r="BM606" s="138" t="str">
        <f>IF(IFERROR(VLOOKUP(J606,'[63]ТР нефть'!$J$28:$BP$638,56,0),"-")=0,"-",IFERROR(VLOOKUP(J606,'[63]ТР нефть'!$J$28:$BP$638,56,0),"-"))</f>
        <v>-</v>
      </c>
      <c r="BN606" s="138" t="str">
        <f>IF(IFERROR(VLOOKUP(J606,'[63]ТР нефть'!$J$28:$BP$638,57,0),"-")=0,"-",IFERROR(VLOOKUP(J606,'[63]ТР нефть'!$J$28:$BP$638,57,0),"-"))</f>
        <v>-</v>
      </c>
      <c r="BO606" s="115" t="str">
        <f>IF(IFERROR(VLOOKUP(J606,'[63]ТР нефть'!$J$28:$BP$638,58,0),"-")=0,"-",IFERROR(VLOOKUP(J606,'[63]ТР нефть'!$J$28:$BP$638,58,0),"-"))</f>
        <v>-</v>
      </c>
      <c r="BP606" s="115" t="str">
        <f>IF(IFERROR(VLOOKUP(J606,'[63]ТР нефть'!$J$28:$BP$638,59,0),"-")=0,"-",IFERROR(VLOOKUP(J606,'[63]ТР нефть'!$J$28:$BP$638,59,0),"-"))</f>
        <v>-</v>
      </c>
      <c r="BQ606" s="138">
        <v>1971</v>
      </c>
      <c r="BR606" s="128">
        <v>1785.546</v>
      </c>
      <c r="BS606" s="115">
        <f t="shared" si="499"/>
        <v>185.45399999999995</v>
      </c>
      <c r="BT606" s="128">
        <v>73</v>
      </c>
      <c r="BU606" s="128">
        <v>5.5</v>
      </c>
      <c r="BV606" s="127">
        <v>18</v>
      </c>
      <c r="BW606" s="127" t="s">
        <v>217</v>
      </c>
      <c r="BX606" s="127" t="s">
        <v>218</v>
      </c>
      <c r="BY606" s="139">
        <v>24</v>
      </c>
      <c r="BZ606" s="139">
        <v>24</v>
      </c>
      <c r="CA606" s="138">
        <v>21</v>
      </c>
      <c r="CB606" s="138">
        <v>37</v>
      </c>
      <c r="CC606" s="138">
        <v>21</v>
      </c>
      <c r="CD606" s="135">
        <v>45017</v>
      </c>
      <c r="CE606" s="138">
        <v>91</v>
      </c>
      <c r="CF606" s="138">
        <v>67</v>
      </c>
      <c r="CG606" s="138" t="str">
        <f>IF(CH606&lt;&gt;"","В работе","")</f>
        <v>В работе</v>
      </c>
      <c r="CH606" s="138" t="s">
        <v>235</v>
      </c>
      <c r="CI606" s="127">
        <v>6</v>
      </c>
      <c r="CJ606" s="138"/>
      <c r="CK606" s="138"/>
      <c r="CL606" s="99"/>
      <c r="CM606" s="99"/>
      <c r="CN606" s="140">
        <v>39</v>
      </c>
      <c r="CO606" s="159">
        <f t="shared" si="504"/>
        <v>1.8318432000000002</v>
      </c>
      <c r="CP606" s="160">
        <v>2.2000000000000002</v>
      </c>
      <c r="CQ606" s="161">
        <v>0.4</v>
      </c>
      <c r="CR606" s="138">
        <v>8.5</v>
      </c>
      <c r="CS606" s="139">
        <v>3.1</v>
      </c>
      <c r="CT606" s="138"/>
      <c r="CU606" s="138">
        <f t="shared" si="475"/>
        <v>5.4</v>
      </c>
      <c r="CV606" s="115">
        <f t="shared" si="476"/>
        <v>2947.850558388403</v>
      </c>
      <c r="CW606" s="115">
        <f t="shared" si="505"/>
        <v>1682.9226133551526</v>
      </c>
      <c r="CX606" s="133">
        <f t="shared" si="477"/>
        <v>4.230769230769231E-2</v>
      </c>
      <c r="CY606" s="116"/>
      <c r="CZ606" s="131"/>
      <c r="DA606" s="145" t="str">
        <f t="shared" si="478"/>
        <v>Газлифт</v>
      </c>
      <c r="DB606" s="146">
        <f t="shared" si="468"/>
        <v>1.8318432000000002</v>
      </c>
      <c r="DC606" s="142">
        <f t="shared" si="469"/>
        <v>2.2000000000000002</v>
      </c>
      <c r="DD606" s="119">
        <f t="shared" si="470"/>
        <v>0.4</v>
      </c>
      <c r="DE606" s="115">
        <f t="shared" si="471"/>
        <v>5.4</v>
      </c>
      <c r="DF606" s="121">
        <f t="shared" si="472"/>
        <v>3.1</v>
      </c>
      <c r="DG606" s="115">
        <f t="shared" si="506"/>
        <v>2947.850558388403</v>
      </c>
      <c r="DH606" s="115">
        <f t="shared" si="507"/>
        <v>39</v>
      </c>
      <c r="DI606" s="147"/>
      <c r="DJ606" s="111">
        <v>43565</v>
      </c>
      <c r="DK606" s="112">
        <v>43301.083333333336</v>
      </c>
      <c r="DL606" s="113">
        <f t="shared" ca="1" si="480"/>
        <v>1802.9166666666642</v>
      </c>
      <c r="DM606" s="114"/>
      <c r="DN606" s="114"/>
      <c r="DO606" s="114"/>
      <c r="DP606" s="114"/>
      <c r="DQ606" s="112">
        <v>43590</v>
      </c>
      <c r="DR606" s="114" t="s">
        <v>198</v>
      </c>
      <c r="DS606" s="114"/>
      <c r="DT606" s="115">
        <v>51</v>
      </c>
      <c r="DU606" s="116">
        <f t="shared" si="481"/>
        <v>5.5000000000000007E-2</v>
      </c>
      <c r="DV606" s="117">
        <f t="shared" si="495"/>
        <v>1.8318432000000002</v>
      </c>
      <c r="DW606" s="118">
        <f t="shared" si="496"/>
        <v>2.2000000000000002</v>
      </c>
      <c r="DX606" s="119">
        <f t="shared" si="497"/>
        <v>0.4</v>
      </c>
      <c r="DY606" s="115">
        <f t="shared" si="498"/>
        <v>5.4</v>
      </c>
      <c r="DZ606" s="117">
        <f t="shared" si="501"/>
        <v>0</v>
      </c>
      <c r="EA606" s="120">
        <f t="shared" si="501"/>
        <v>0</v>
      </c>
      <c r="EB606" s="119">
        <f t="shared" si="501"/>
        <v>0</v>
      </c>
      <c r="EC606" s="121">
        <f t="shared" si="464"/>
        <v>0</v>
      </c>
      <c r="ED606" s="122"/>
      <c r="EE606" s="145">
        <v>18</v>
      </c>
      <c r="EF606" s="115">
        <v>21</v>
      </c>
      <c r="EG606" s="115">
        <v>37</v>
      </c>
      <c r="EH606" s="115">
        <v>21</v>
      </c>
      <c r="EI606" s="128" t="s">
        <v>218</v>
      </c>
      <c r="EJ606" s="121">
        <v>24</v>
      </c>
      <c r="EK606" s="121">
        <v>24</v>
      </c>
      <c r="EL606" s="162">
        <v>1.8318432000000002</v>
      </c>
      <c r="EM606" s="142">
        <v>2.2000000000000002</v>
      </c>
      <c r="EN606" s="119">
        <v>0.4</v>
      </c>
      <c r="EO606" s="115">
        <v>8.5</v>
      </c>
      <c r="EP606" s="115">
        <v>2947.850558388403</v>
      </c>
      <c r="EQ606" s="115">
        <v>67</v>
      </c>
      <c r="ER606" s="115">
        <v>3.1</v>
      </c>
      <c r="ES606" s="115">
        <v>39</v>
      </c>
      <c r="ET606" s="150">
        <v>4.230769230769231E-2</v>
      </c>
      <c r="EU606" s="145">
        <f t="shared" si="457"/>
        <v>18</v>
      </c>
      <c r="EV606" s="115">
        <f t="shared" si="508"/>
        <v>21</v>
      </c>
      <c r="EW606" s="115">
        <f t="shared" si="508"/>
        <v>37</v>
      </c>
      <c r="EX606" s="115">
        <f t="shared" si="508"/>
        <v>21</v>
      </c>
      <c r="EY606" s="115" t="str">
        <f t="shared" si="489"/>
        <v>Периодический</v>
      </c>
      <c r="EZ606" s="115">
        <f t="shared" si="489"/>
        <v>24</v>
      </c>
      <c r="FA606" s="115">
        <f t="shared" si="489"/>
        <v>24</v>
      </c>
      <c r="FB606" s="149">
        <f t="shared" si="461"/>
        <v>1.8318432000000002</v>
      </c>
      <c r="FC606" s="142">
        <f t="shared" si="461"/>
        <v>2.2000000000000002</v>
      </c>
      <c r="FD606" s="119">
        <f t="shared" si="461"/>
        <v>0.4</v>
      </c>
      <c r="FE606" s="121">
        <f t="shared" si="460"/>
        <v>8.5</v>
      </c>
      <c r="FF606" s="121">
        <f t="shared" si="462"/>
        <v>2947.850558388403</v>
      </c>
      <c r="FG606" s="121">
        <f t="shared" si="509"/>
        <v>67</v>
      </c>
      <c r="FH606" s="121">
        <f t="shared" si="491"/>
        <v>3.1</v>
      </c>
      <c r="FI606" s="121">
        <f t="shared" si="483"/>
        <v>39</v>
      </c>
      <c r="FJ606" s="144">
        <f t="shared" si="510"/>
        <v>4.230769230769231E-2</v>
      </c>
      <c r="FK606" s="132">
        <f t="shared" si="511"/>
        <v>0</v>
      </c>
      <c r="FL606" s="115">
        <f t="shared" si="511"/>
        <v>0</v>
      </c>
      <c r="FM606" s="115">
        <f t="shared" si="511"/>
        <v>0</v>
      </c>
      <c r="FN606" s="115">
        <f t="shared" si="511"/>
        <v>0</v>
      </c>
      <c r="FO606" s="115">
        <f t="shared" si="492"/>
        <v>0</v>
      </c>
      <c r="FP606" s="115">
        <f t="shared" si="492"/>
        <v>0</v>
      </c>
      <c r="FQ606" s="149">
        <f t="shared" si="492"/>
        <v>0</v>
      </c>
      <c r="FR606" s="142">
        <f t="shared" si="492"/>
        <v>0</v>
      </c>
      <c r="FS606" s="119">
        <f t="shared" si="492"/>
        <v>0</v>
      </c>
      <c r="FT606" s="121">
        <f t="shared" si="492"/>
        <v>0</v>
      </c>
      <c r="FU606" s="121">
        <f t="shared" si="512"/>
        <v>0</v>
      </c>
      <c r="FV606" s="121">
        <f t="shared" si="512"/>
        <v>0</v>
      </c>
      <c r="FW606" s="121">
        <f t="shared" si="513"/>
        <v>0</v>
      </c>
      <c r="FX606" s="121">
        <f>CN606-ES606</f>
        <v>0</v>
      </c>
      <c r="FY606" s="144">
        <f t="shared" si="502"/>
        <v>0</v>
      </c>
      <c r="FZ606" s="145"/>
      <c r="GA606" s="151" t="s">
        <v>2048</v>
      </c>
      <c r="GB606" s="145"/>
      <c r="GC606" s="151"/>
      <c r="GD606" s="997" t="s">
        <v>416</v>
      </c>
      <c r="GE606" s="1004"/>
      <c r="GF606" s="1004">
        <v>-0.16372223999999957</v>
      </c>
      <c r="GG606" s="1004"/>
      <c r="GH606" s="1004">
        <v>1.2439680000000175E-2</v>
      </c>
      <c r="GI606" s="145"/>
      <c r="GJ606" s="996">
        <v>0</v>
      </c>
      <c r="GK606" s="145"/>
      <c r="GL606" s="996">
        <v>0</v>
      </c>
      <c r="GM606" s="1005"/>
      <c r="GN606" s="996">
        <v>0</v>
      </c>
      <c r="GO606" s="1006" t="s">
        <v>199</v>
      </c>
      <c r="GP606" s="996">
        <v>-8.0151332799999988</v>
      </c>
      <c r="GQ606" s="1006"/>
      <c r="GR606" s="996">
        <v>0</v>
      </c>
      <c r="GS606" s="1006"/>
      <c r="GT606" s="996">
        <v>0</v>
      </c>
      <c r="GU606" s="1006"/>
      <c r="GV606" s="996">
        <v>0</v>
      </c>
      <c r="GW606" s="1006"/>
      <c r="GX606" s="996">
        <v>0</v>
      </c>
      <c r="GY606" s="1006"/>
      <c r="GZ606" s="996">
        <v>0</v>
      </c>
      <c r="HA606" s="1006"/>
      <c r="HB606" s="996">
        <v>0</v>
      </c>
      <c r="HC606" s="1006" t="s">
        <v>199</v>
      </c>
      <c r="HD606" s="996">
        <v>6.5842858399999997</v>
      </c>
      <c r="HE606" s="1006"/>
      <c r="HF606" s="996">
        <v>0</v>
      </c>
      <c r="HG606" s="1006"/>
      <c r="HH606" s="996">
        <v>0</v>
      </c>
      <c r="HI606" s="1006"/>
      <c r="HJ606" s="996">
        <v>0</v>
      </c>
      <c r="HK606" s="1006"/>
      <c r="HL606" s="996">
        <v>0</v>
      </c>
      <c r="HM606" s="1006"/>
      <c r="HN606" s="996">
        <v>-7.1394399999999969E-3</v>
      </c>
      <c r="HO606" s="1006" t="s">
        <v>204</v>
      </c>
      <c r="HP606" s="996">
        <v>-1.6199673600000004</v>
      </c>
      <c r="HQ606" s="1006"/>
      <c r="HR606" s="996">
        <v>-0.59591999999999956</v>
      </c>
      <c r="HS606" s="1006"/>
      <c r="HT606" s="996">
        <v>0</v>
      </c>
      <c r="HU606" s="1006"/>
      <c r="HV606" s="996">
        <v>0</v>
      </c>
      <c r="HW606" s="1006"/>
      <c r="HX606" s="996">
        <v>0</v>
      </c>
      <c r="HY606" s="1006"/>
      <c r="HZ606" s="996">
        <v>-0.77748000000000017</v>
      </c>
      <c r="IA606" s="1006"/>
      <c r="IB606" s="996">
        <v>0</v>
      </c>
      <c r="IC606" s="1006"/>
      <c r="ID606" s="996">
        <v>0</v>
      </c>
      <c r="IE606" s="1006"/>
      <c r="IF606" s="996">
        <v>0</v>
      </c>
      <c r="IG606" s="1006" t="s">
        <v>199</v>
      </c>
      <c r="IH606" s="996">
        <v>2.09</v>
      </c>
      <c r="II606" s="1006" t="s">
        <v>199</v>
      </c>
      <c r="IJ606" s="996">
        <v>-1.5047999999999997</v>
      </c>
      <c r="IK606" s="1006"/>
      <c r="IL606" s="996">
        <v>0</v>
      </c>
      <c r="IM606" s="1006" t="s">
        <v>199</v>
      </c>
      <c r="IN606" s="996">
        <v>1.1703999999999999</v>
      </c>
      <c r="IO606" s="1006"/>
      <c r="IP606" s="996">
        <v>-0.85272000000000014</v>
      </c>
      <c r="IQ606" s="1006" t="s">
        <v>199</v>
      </c>
      <c r="IR606" s="996">
        <v>-1.6928999999999998</v>
      </c>
      <c r="IS606" s="1006"/>
      <c r="IT606" s="996">
        <v>0</v>
      </c>
      <c r="IU606" s="1006"/>
      <c r="IV606" s="996">
        <v>0</v>
      </c>
      <c r="IW606" s="1006"/>
      <c r="IX606" s="996">
        <v>0</v>
      </c>
      <c r="IY606" s="1006"/>
      <c r="IZ606" s="996">
        <v>0</v>
      </c>
      <c r="JA606" s="1006"/>
      <c r="JB606" s="996">
        <v>0</v>
      </c>
      <c r="JC606" s="1006" t="s">
        <v>223</v>
      </c>
      <c r="JD606" s="996">
        <v>-2.05926864</v>
      </c>
      <c r="JE606" s="1006"/>
      <c r="JF606" s="996">
        <v>0</v>
      </c>
      <c r="JG606" s="1006"/>
      <c r="JH606" s="996">
        <v>0</v>
      </c>
      <c r="JI606" s="1006"/>
      <c r="JJ606" s="996">
        <v>0</v>
      </c>
      <c r="JK606" s="1007"/>
      <c r="JL606" s="1007">
        <v>0</v>
      </c>
      <c r="JM606" s="1007"/>
      <c r="JN606" s="1007">
        <v>0</v>
      </c>
      <c r="JO606" s="1067"/>
      <c r="JP606" s="1007">
        <v>0</v>
      </c>
      <c r="JQ606" s="1008">
        <v>0</v>
      </c>
      <c r="JR606" s="1007">
        <v>0</v>
      </c>
      <c r="JS606" s="1008">
        <v>0</v>
      </c>
      <c r="JT606" s="1007">
        <v>0</v>
      </c>
      <c r="JU606" s="1008"/>
      <c r="JV606" s="1007">
        <v>1.1288640000000072E-2</v>
      </c>
      <c r="JW606" s="1008" t="s">
        <v>25</v>
      </c>
      <c r="JX606" s="1007">
        <v>2.6490449039999984</v>
      </c>
      <c r="JY606" s="1008"/>
      <c r="JZ606" s="1007">
        <v>0</v>
      </c>
      <c r="KA606" s="1008" t="s">
        <v>199</v>
      </c>
      <c r="KB606" s="1007">
        <v>2.9009200000000011</v>
      </c>
      <c r="KC606" s="1008" t="s">
        <v>199</v>
      </c>
      <c r="KD606" s="1007">
        <v>-2.9009200000000011</v>
      </c>
      <c r="KE606" s="1008" t="s">
        <v>199</v>
      </c>
      <c r="KF606" s="1007">
        <v>-12.71556</v>
      </c>
      <c r="KG606" s="1008"/>
      <c r="KH606" s="1007">
        <v>0</v>
      </c>
      <c r="KI606" s="1008" t="s">
        <v>207</v>
      </c>
      <c r="KJ606" s="1007"/>
      <c r="KK606" s="1008"/>
      <c r="KL606" s="1007"/>
      <c r="KM606" s="1008" t="s">
        <v>207</v>
      </c>
      <c r="KN606" s="1007">
        <v>-10.031999999999998</v>
      </c>
      <c r="KO606" s="1008"/>
      <c r="KP606" s="1007">
        <v>0</v>
      </c>
      <c r="KQ606" s="1008">
        <v>0</v>
      </c>
      <c r="KR606" s="1007">
        <v>20.649199999999997</v>
      </c>
      <c r="KS606" s="1008">
        <v>0</v>
      </c>
      <c r="KT606" s="1007">
        <v>0</v>
      </c>
      <c r="KU606" s="1008">
        <v>0</v>
      </c>
      <c r="KV606" s="1007">
        <v>0</v>
      </c>
      <c r="KW606" s="1008" t="s">
        <v>156</v>
      </c>
      <c r="KX606" s="1007">
        <v>0</v>
      </c>
      <c r="KY606" s="1008">
        <v>0</v>
      </c>
      <c r="KZ606" s="1007">
        <v>0</v>
      </c>
      <c r="LA606" s="1008">
        <v>0</v>
      </c>
      <c r="LB606" s="1007">
        <v>0</v>
      </c>
      <c r="LC606" s="1008">
        <v>0</v>
      </c>
      <c r="LD606" s="1007">
        <v>0</v>
      </c>
      <c r="LE606" s="1008">
        <v>0</v>
      </c>
      <c r="LF606" s="1007">
        <v>0</v>
      </c>
      <c r="LG606" s="1008">
        <v>0</v>
      </c>
      <c r="LH606" s="1007">
        <v>0</v>
      </c>
      <c r="LI606" s="1008">
        <v>0</v>
      </c>
      <c r="LJ606" s="1007">
        <v>0</v>
      </c>
      <c r="LK606" s="1008">
        <v>0</v>
      </c>
      <c r="LL606" s="1007">
        <v>0</v>
      </c>
      <c r="LM606" s="1008">
        <v>0</v>
      </c>
      <c r="LN606" s="1007">
        <v>0</v>
      </c>
      <c r="LO606" s="1008">
        <v>0</v>
      </c>
      <c r="LP606" s="1007">
        <v>0</v>
      </c>
      <c r="LQ606" s="1008">
        <v>0</v>
      </c>
      <c r="LR606" s="1007">
        <v>0</v>
      </c>
      <c r="LS606" s="1008">
        <v>0</v>
      </c>
      <c r="LT606" s="1007">
        <v>0</v>
      </c>
      <c r="LU606" s="1008">
        <v>0</v>
      </c>
      <c r="LV606" s="1007">
        <v>0</v>
      </c>
      <c r="LW606" s="1008">
        <v>0</v>
      </c>
      <c r="LX606" s="1007">
        <v>0</v>
      </c>
      <c r="LY606" s="1009">
        <v>0</v>
      </c>
      <c r="LZ606" s="1010">
        <v>0</v>
      </c>
      <c r="MA606" s="1011">
        <v>0</v>
      </c>
      <c r="MB606" s="1012">
        <v>0</v>
      </c>
      <c r="MC606" s="995"/>
      <c r="MD606" s="996"/>
      <c r="ME606" s="997" t="s">
        <v>416</v>
      </c>
      <c r="MF606" s="997"/>
      <c r="MG606" s="998"/>
      <c r="NR606" s="1000"/>
      <c r="NS606" s="1000"/>
      <c r="NT606" s="1001"/>
      <c r="NU606" s="1000"/>
      <c r="NV606" s="1001"/>
      <c r="NX606" s="1002"/>
      <c r="NZ606" s="1001"/>
      <c r="OA606" s="1001"/>
      <c r="OC606" s="1003"/>
      <c r="OD606" s="1003"/>
      <c r="OE606" s="1001"/>
      <c r="OF606" s="1003"/>
      <c r="OG606" s="1003"/>
      <c r="QX606" s="1000">
        <f>CN606-CA606</f>
        <v>18</v>
      </c>
      <c r="ASU606" s="999" t="s">
        <v>208</v>
      </c>
    </row>
    <row r="607" spans="1:466 1191:1191" ht="21" customHeight="1" x14ac:dyDescent="0.25">
      <c r="A607" s="982">
        <f t="shared" si="503"/>
        <v>5090</v>
      </c>
      <c r="B607" s="124">
        <f>SUBTOTAL(103,$J$29:J607)</f>
        <v>579</v>
      </c>
      <c r="C607" s="126">
        <v>45068</v>
      </c>
      <c r="D607" s="177" t="s">
        <v>176</v>
      </c>
      <c r="E607" s="178" t="s">
        <v>177</v>
      </c>
      <c r="F607" s="178" t="s">
        <v>177</v>
      </c>
      <c r="G607" s="178" t="s">
        <v>178</v>
      </c>
      <c r="H607" s="178" t="s">
        <v>179</v>
      </c>
      <c r="I607" s="178" t="s">
        <v>2049</v>
      </c>
      <c r="J607" s="152">
        <v>5090</v>
      </c>
      <c r="K607" s="178" t="s">
        <v>2049</v>
      </c>
      <c r="L607" s="130">
        <v>44754</v>
      </c>
      <c r="M607" s="127" t="s">
        <v>230</v>
      </c>
      <c r="N607" s="127" t="s">
        <v>184</v>
      </c>
      <c r="O607" s="127" t="s">
        <v>185</v>
      </c>
      <c r="P607" s="127" t="s">
        <v>186</v>
      </c>
      <c r="Q607" s="85" t="str">
        <f t="shared" si="500"/>
        <v/>
      </c>
      <c r="R607" s="130"/>
      <c r="S607" s="128"/>
      <c r="T607" s="131"/>
      <c r="U607" s="132">
        <v>203</v>
      </c>
      <c r="V607" s="121">
        <v>218.2</v>
      </c>
      <c r="W607" s="116">
        <v>0.98</v>
      </c>
      <c r="X607" s="116">
        <v>1.66</v>
      </c>
      <c r="Y607" s="116">
        <f t="shared" si="463"/>
        <v>0.99219321785801406</v>
      </c>
      <c r="Z607" s="133">
        <v>1.454</v>
      </c>
      <c r="AA607" s="133">
        <v>0.83599999999999997</v>
      </c>
      <c r="AB607" s="133">
        <v>0.72</v>
      </c>
      <c r="AC607" s="121">
        <v>34.299999999999997</v>
      </c>
      <c r="AD607" s="134">
        <v>1.17</v>
      </c>
      <c r="AE607" s="124">
        <v>177.8</v>
      </c>
      <c r="AF607" s="128">
        <v>9.1999999999999993</v>
      </c>
      <c r="AG607" s="128">
        <v>2230</v>
      </c>
      <c r="AH607" s="127">
        <v>3158</v>
      </c>
      <c r="AI607" s="127">
        <v>3158</v>
      </c>
      <c r="AJ607" s="135"/>
      <c r="AK607" s="128"/>
      <c r="AL607" s="131"/>
      <c r="AM607" s="124" t="s">
        <v>1921</v>
      </c>
      <c r="AN607" s="136" t="s">
        <v>2050</v>
      </c>
      <c r="AO607" s="137">
        <v>74</v>
      </c>
      <c r="AP607" s="128">
        <v>2230</v>
      </c>
      <c r="AQ607" s="128">
        <v>452</v>
      </c>
      <c r="AR607" s="128"/>
      <c r="AS607" s="128"/>
      <c r="AT607" s="122"/>
      <c r="AU607" s="124" t="s">
        <v>189</v>
      </c>
      <c r="AV607" s="115">
        <f>VLOOKUP(J607,'[63]ТР нефть'!$J$28:$BP$638,39,0)</f>
        <v>460.00001513699999</v>
      </c>
      <c r="AW607" s="115" t="str">
        <f>VLOOKUP(J607,'[63]ТР нефть'!$J$28:$BP$638,40,0)</f>
        <v>ГП</v>
      </c>
      <c r="AX607" s="115">
        <f>VLOOKUP(J607,'[63]ТР нефть'!$J$28:$BP$638,41,0)</f>
        <v>961.99999687499997</v>
      </c>
      <c r="AY607" s="115" t="str">
        <f>VLOOKUP(J607,'[63]ТР нефть'!$J$28:$BP$638,42,0)</f>
        <v>ГП</v>
      </c>
      <c r="AZ607" s="115">
        <f>VLOOKUP(J607,'[63]ТР нефть'!$J$28:$BP$638,43,0)</f>
        <v>1399.9999781250001</v>
      </c>
      <c r="BA607" s="115" t="str">
        <f>VLOOKUP(J607,'[63]ТР нефть'!$J$28:$BP$638,44,0)</f>
        <v>ГП</v>
      </c>
      <c r="BB607" s="115">
        <f>VLOOKUP(J607,'[63]ТР нефть'!$J$28:$BP$638,45,0)</f>
        <v>1747</v>
      </c>
      <c r="BC607" s="115" t="str">
        <f>VLOOKUP(J607,'[63]ТР нефть'!$J$28:$BP$638,46,0)</f>
        <v>ГК 79 5/32</v>
      </c>
      <c r="BD607" s="115">
        <f>VLOOKUP(J607,'[63]ТР нефть'!$J$28:$BP$638,47,0)</f>
        <v>1969.999939453</v>
      </c>
      <c r="BE607" s="115" t="str">
        <f>VLOOKUP(J607,'[63]ТР нефть'!$J$28:$BP$638,48,0)</f>
        <v>ЦКсОК 5/16</v>
      </c>
      <c r="BF607" s="115" t="str">
        <f>VLOOKUP(J607,'[63]ТР нефть'!$J$28:$BP$638,49,0)</f>
        <v>-</v>
      </c>
      <c r="BG607" s="115" t="str">
        <f>VLOOKUP(J607,'[63]ТР нефть'!$J$28:$BP$638,50,0)</f>
        <v>-</v>
      </c>
      <c r="BH607" s="115">
        <f>VLOOKUP(J607,'[63]ТР нефть'!$J$28:$BP$638,51,0)</f>
        <v>1989</v>
      </c>
      <c r="BI607" s="115" t="str">
        <f>VLOOKUP(J607,'[63]ТР нефть'!$J$28:$BP$638,52,0)</f>
        <v>Закрыт</v>
      </c>
      <c r="BJ607" s="115" t="str">
        <f>IF(IFERROR(VLOOKUP(J607,'[63]ТР нефть'!$J$28:$BP$638,53,0),"-")=0,"-",IFERROR(VLOOKUP(J607,'[63]ТР нефть'!$J$28:$BP$638,53,0),"-"))</f>
        <v>-</v>
      </c>
      <c r="BK607" s="138" t="str">
        <f>IF(IFERROR(VLOOKUP(J607,'[63]ТР нефть'!$J$28:$BP$638,54,0),"-")=0,"-",IFERROR(VLOOKUP(J607,'[63]ТР нефть'!$J$28:$BP$638,54,0),"-"))</f>
        <v>-</v>
      </c>
      <c r="BL607" s="138" t="str">
        <f>IF(IFERROR(VLOOKUP(J607,'[63]ТР нефть'!$J$28:$BP$638,55,0),"-")=0,"-",IFERROR(VLOOKUP(J607,'[63]ТР нефть'!$J$28:$BP$638,55,0),"-"))</f>
        <v>-</v>
      </c>
      <c r="BM607" s="138" t="str">
        <f>IF(IFERROR(VLOOKUP(J607,'[63]ТР нефть'!$J$28:$BP$638,56,0),"-")=0,"-",IFERROR(VLOOKUP(J607,'[63]ТР нефть'!$J$28:$BP$638,56,0),"-"))</f>
        <v>-</v>
      </c>
      <c r="BN607" s="138" t="str">
        <f>IF(IFERROR(VLOOKUP(J607,'[63]ТР нефть'!$J$28:$BP$638,57,0),"-")=0,"-",IFERROR(VLOOKUP(J607,'[63]ТР нефть'!$J$28:$BP$638,57,0),"-"))</f>
        <v>-</v>
      </c>
      <c r="BO607" s="115" t="str">
        <f>IF(IFERROR(VLOOKUP(J607,'[63]ТР нефть'!$J$28:$BP$638,58,0),"-")=0,"-",IFERROR(VLOOKUP(J607,'[63]ТР нефть'!$J$28:$BP$638,58,0),"-"))</f>
        <v>-</v>
      </c>
      <c r="BP607" s="115" t="str">
        <f>IF(IFERROR(VLOOKUP(J607,'[63]ТР нефть'!$J$28:$BP$638,59,0),"-")=0,"-",IFERROR(VLOOKUP(J607,'[63]ТР нефть'!$J$28:$BP$638,59,0),"-"))</f>
        <v>-</v>
      </c>
      <c r="BQ607" s="138">
        <v>2246</v>
      </c>
      <c r="BR607" s="128">
        <v>1784</v>
      </c>
      <c r="BS607" s="115">
        <f t="shared" si="499"/>
        <v>462</v>
      </c>
      <c r="BT607" s="128">
        <v>73</v>
      </c>
      <c r="BU607" s="128">
        <v>5.51</v>
      </c>
      <c r="BV607" s="127">
        <v>65</v>
      </c>
      <c r="BW607" s="127" t="s">
        <v>217</v>
      </c>
      <c r="BX607" s="178" t="s">
        <v>195</v>
      </c>
      <c r="BY607" s="180">
        <v>24</v>
      </c>
      <c r="BZ607" s="180">
        <v>0</v>
      </c>
      <c r="CA607" s="181">
        <v>25</v>
      </c>
      <c r="CB607" s="181">
        <v>40</v>
      </c>
      <c r="CC607" s="181">
        <v>24</v>
      </c>
      <c r="CD607" s="135">
        <v>45017</v>
      </c>
      <c r="CE607" s="138">
        <v>88</v>
      </c>
      <c r="CF607" s="138">
        <v>76</v>
      </c>
      <c r="CG607" s="138"/>
      <c r="CH607" s="138"/>
      <c r="CI607" s="127"/>
      <c r="CJ607" s="138"/>
      <c r="CK607" s="138">
        <f t="shared" si="488"/>
        <v>20</v>
      </c>
      <c r="CL607" s="99"/>
      <c r="CM607" s="99"/>
      <c r="CN607" s="224">
        <v>45</v>
      </c>
      <c r="CO607" s="141">
        <f t="shared" si="504"/>
        <v>12.97472</v>
      </c>
      <c r="CP607" s="142">
        <v>16</v>
      </c>
      <c r="CQ607" s="143">
        <v>3</v>
      </c>
      <c r="CR607" s="138">
        <v>25</v>
      </c>
      <c r="CS607" s="139">
        <v>7.8</v>
      </c>
      <c r="CT607" s="138"/>
      <c r="CU607" s="138">
        <f t="shared" si="475"/>
        <v>17.2</v>
      </c>
      <c r="CV607" s="181">
        <f t="shared" si="476"/>
        <v>1325.6548118186752</v>
      </c>
      <c r="CW607" s="181">
        <f t="shared" si="505"/>
        <v>576.47281413333963</v>
      </c>
      <c r="CX607" s="183">
        <f t="shared" si="477"/>
        <v>0.37209302325581395</v>
      </c>
      <c r="CY607" s="184"/>
      <c r="CZ607" s="151"/>
      <c r="DA607" s="145" t="str">
        <f t="shared" si="478"/>
        <v>Газлифт</v>
      </c>
      <c r="DB607" s="146">
        <f t="shared" si="468"/>
        <v>12.97472</v>
      </c>
      <c r="DC607" s="142">
        <f t="shared" si="469"/>
        <v>16</v>
      </c>
      <c r="DD607" s="119">
        <f t="shared" si="470"/>
        <v>3</v>
      </c>
      <c r="DE607" s="115">
        <f t="shared" si="471"/>
        <v>17.2</v>
      </c>
      <c r="DF607" s="121">
        <f t="shared" si="472"/>
        <v>7.8</v>
      </c>
      <c r="DG607" s="115">
        <f t="shared" si="506"/>
        <v>1325.6548118186752</v>
      </c>
      <c r="DH607" s="115">
        <f t="shared" si="507"/>
        <v>45</v>
      </c>
      <c r="DI607" s="147"/>
      <c r="DJ607" s="111"/>
      <c r="DK607" s="112"/>
      <c r="DL607" s="113"/>
      <c r="DM607" s="114"/>
      <c r="DN607" s="114"/>
      <c r="DO607" s="114"/>
      <c r="DP607" s="114"/>
      <c r="DQ607" s="112"/>
      <c r="DR607" s="114"/>
      <c r="DS607" s="114"/>
      <c r="DT607" s="115">
        <v>60</v>
      </c>
      <c r="DU607" s="116">
        <f t="shared" si="481"/>
        <v>0.5714285714285714</v>
      </c>
      <c r="DV607" s="117">
        <f t="shared" si="495"/>
        <v>12.97472</v>
      </c>
      <c r="DW607" s="118">
        <f t="shared" si="496"/>
        <v>16</v>
      </c>
      <c r="DX607" s="119">
        <f t="shared" si="497"/>
        <v>3</v>
      </c>
      <c r="DY607" s="115">
        <f t="shared" si="498"/>
        <v>17.2</v>
      </c>
      <c r="DZ607" s="117">
        <f t="shared" si="501"/>
        <v>0</v>
      </c>
      <c r="EA607" s="120">
        <f t="shared" si="501"/>
        <v>0</v>
      </c>
      <c r="EB607" s="119">
        <f t="shared" si="501"/>
        <v>0</v>
      </c>
      <c r="EC607" s="121">
        <f t="shared" si="464"/>
        <v>0</v>
      </c>
      <c r="ED607" s="122"/>
      <c r="EE607" s="177">
        <v>65</v>
      </c>
      <c r="EF607" s="181">
        <v>27</v>
      </c>
      <c r="EG607" s="181">
        <v>42</v>
      </c>
      <c r="EH607" s="181">
        <v>26</v>
      </c>
      <c r="EI607" s="178" t="s">
        <v>195</v>
      </c>
      <c r="EJ607" s="180">
        <v>24</v>
      </c>
      <c r="EK607" s="180">
        <v>0</v>
      </c>
      <c r="EL607" s="180">
        <v>12.893628</v>
      </c>
      <c r="EM607" s="181">
        <v>15.9</v>
      </c>
      <c r="EN607" s="181">
        <v>3</v>
      </c>
      <c r="EO607" s="181">
        <v>25.5</v>
      </c>
      <c r="EP607" s="181">
        <v>1233.1672668080698</v>
      </c>
      <c r="EQ607" s="181">
        <v>76</v>
      </c>
      <c r="ER607" s="181">
        <v>9.6</v>
      </c>
      <c r="ES607" s="181">
        <v>45</v>
      </c>
      <c r="ET607" s="182">
        <v>0.36976744186046512</v>
      </c>
      <c r="EU607" s="177">
        <f t="shared" si="457"/>
        <v>65</v>
      </c>
      <c r="EV607" s="181">
        <f t="shared" si="508"/>
        <v>25</v>
      </c>
      <c r="EW607" s="181">
        <f t="shared" si="508"/>
        <v>40</v>
      </c>
      <c r="EX607" s="181">
        <f t="shared" si="508"/>
        <v>24</v>
      </c>
      <c r="EY607" s="181" t="str">
        <f t="shared" si="489"/>
        <v>Постоянный</v>
      </c>
      <c r="EZ607" s="181">
        <f t="shared" si="489"/>
        <v>24</v>
      </c>
      <c r="FA607" s="181">
        <f t="shared" si="489"/>
        <v>0</v>
      </c>
      <c r="FB607" s="180">
        <f t="shared" si="461"/>
        <v>12.97472</v>
      </c>
      <c r="FC607" s="181">
        <f t="shared" si="461"/>
        <v>16</v>
      </c>
      <c r="FD607" s="181">
        <f t="shared" si="461"/>
        <v>3</v>
      </c>
      <c r="FE607" s="180">
        <f t="shared" si="460"/>
        <v>25</v>
      </c>
      <c r="FF607" s="180">
        <f t="shared" si="462"/>
        <v>1325.6548118186752</v>
      </c>
      <c r="FG607" s="180">
        <f t="shared" si="509"/>
        <v>76</v>
      </c>
      <c r="FH607" s="180">
        <f t="shared" si="491"/>
        <v>7.8</v>
      </c>
      <c r="FI607" s="180">
        <f t="shared" si="483"/>
        <v>45</v>
      </c>
      <c r="FJ607" s="188">
        <f t="shared" si="510"/>
        <v>0.37209302325581395</v>
      </c>
      <c r="FK607" s="189">
        <f t="shared" si="511"/>
        <v>0</v>
      </c>
      <c r="FL607" s="181">
        <f t="shared" si="511"/>
        <v>-2</v>
      </c>
      <c r="FM607" s="181">
        <f t="shared" si="511"/>
        <v>-2</v>
      </c>
      <c r="FN607" s="181">
        <f t="shared" si="511"/>
        <v>-2</v>
      </c>
      <c r="FO607" s="181">
        <f t="shared" si="492"/>
        <v>0</v>
      </c>
      <c r="FP607" s="181">
        <f t="shared" si="492"/>
        <v>0</v>
      </c>
      <c r="FQ607" s="149">
        <f t="shared" si="492"/>
        <v>8.1091999999999942E-2</v>
      </c>
      <c r="FR607" s="142">
        <f t="shared" si="492"/>
        <v>9.9999999999999645E-2</v>
      </c>
      <c r="FS607" s="119">
        <f t="shared" si="492"/>
        <v>0</v>
      </c>
      <c r="FT607" s="180">
        <f t="shared" si="492"/>
        <v>-0.5</v>
      </c>
      <c r="FU607" s="180">
        <f t="shared" si="512"/>
        <v>0</v>
      </c>
      <c r="FV607" s="180">
        <f t="shared" si="512"/>
        <v>-1.7999999999999998</v>
      </c>
      <c r="FW607" s="180">
        <f t="shared" si="513"/>
        <v>92.487545010605345</v>
      </c>
      <c r="FX607" s="180">
        <f t="shared" si="514"/>
        <v>0</v>
      </c>
      <c r="FY607" s="188">
        <f t="shared" si="502"/>
        <v>2.3255813953488302E-3</v>
      </c>
      <c r="FZ607" s="177"/>
      <c r="GA607" s="151"/>
      <c r="GB607" s="177" t="s">
        <v>223</v>
      </c>
      <c r="GC607" s="151" t="s">
        <v>2051</v>
      </c>
      <c r="GD607" s="997" t="s">
        <v>220</v>
      </c>
      <c r="GE607" s="1004" t="s">
        <v>223</v>
      </c>
      <c r="GF607" s="1004">
        <v>-1.1762520000000016</v>
      </c>
      <c r="GG607" s="1004"/>
      <c r="GH607" s="1004">
        <v>0</v>
      </c>
      <c r="GI607" s="177" t="s">
        <v>223</v>
      </c>
      <c r="GJ607" s="996">
        <v>-4.2042506879999983</v>
      </c>
      <c r="GK607" s="177"/>
      <c r="GL607" s="996">
        <v>0</v>
      </c>
      <c r="GM607" s="1005"/>
      <c r="GN607" s="996">
        <v>-0.19277491200000085</v>
      </c>
      <c r="GO607" s="1006"/>
      <c r="GP607" s="996">
        <v>0</v>
      </c>
      <c r="GQ607" s="1006" t="s">
        <v>203</v>
      </c>
      <c r="GR607" s="996">
        <v>3.2257151123999996</v>
      </c>
      <c r="GS607" s="1006" t="s">
        <v>203</v>
      </c>
      <c r="GT607" s="996">
        <v>-0.82254951239999841</v>
      </c>
      <c r="GU607" s="1006"/>
      <c r="GV607" s="996">
        <v>0.24929519999999883</v>
      </c>
      <c r="GW607" s="1006" t="s">
        <v>203</v>
      </c>
      <c r="GX607" s="996">
        <v>-11.222296799999995</v>
      </c>
      <c r="GY607" s="1006" t="s">
        <v>25</v>
      </c>
      <c r="GZ607" s="996">
        <v>27.036741599999996</v>
      </c>
      <c r="HA607" s="1006"/>
      <c r="HB607" s="996"/>
      <c r="HC607" s="1006"/>
      <c r="HD607" s="996"/>
      <c r="HE607" s="1006"/>
      <c r="HF607" s="996"/>
      <c r="HG607" s="1006"/>
      <c r="HH607" s="996"/>
      <c r="HI607" s="1006"/>
      <c r="HJ607" s="996"/>
      <c r="HK607" s="1006"/>
      <c r="HL607" s="996"/>
      <c r="HM607" s="1006"/>
      <c r="HN607" s="996"/>
      <c r="HO607" s="1006"/>
      <c r="HP607" s="996"/>
      <c r="HQ607" s="1006"/>
      <c r="HR607" s="996"/>
      <c r="HS607" s="1006"/>
      <c r="HT607" s="996"/>
      <c r="HU607" s="1006"/>
      <c r="HV607" s="996"/>
      <c r="HW607" s="1006"/>
      <c r="HX607" s="996"/>
      <c r="HY607" s="1006"/>
      <c r="HZ607" s="996"/>
      <c r="IA607" s="1006"/>
      <c r="IB607" s="996"/>
      <c r="IC607" s="1006"/>
      <c r="ID607" s="996"/>
      <c r="IE607" s="1006"/>
      <c r="IF607" s="996"/>
      <c r="IG607" s="1006"/>
      <c r="IH607" s="996"/>
      <c r="II607" s="1006"/>
      <c r="IJ607" s="996"/>
      <c r="IK607" s="1006"/>
      <c r="IL607" s="996"/>
      <c r="IM607" s="1006"/>
      <c r="IN607" s="996"/>
      <c r="IO607" s="1006"/>
      <c r="IP607" s="996"/>
      <c r="IQ607" s="1006"/>
      <c r="IR607" s="996"/>
      <c r="IS607" s="1006"/>
      <c r="IT607" s="996"/>
      <c r="IU607" s="1006"/>
      <c r="IV607" s="996"/>
      <c r="IW607" s="1006"/>
      <c r="IX607" s="996"/>
      <c r="IY607" s="1006"/>
      <c r="IZ607" s="996"/>
      <c r="JA607" s="1006"/>
      <c r="JB607" s="996"/>
      <c r="JC607" s="1006"/>
      <c r="JD607" s="996"/>
      <c r="JE607" s="1006"/>
      <c r="JF607" s="996"/>
      <c r="JG607" s="1006"/>
      <c r="JH607" s="996"/>
      <c r="JI607" s="1006"/>
      <c r="JJ607" s="996"/>
      <c r="JK607" s="1035"/>
      <c r="JL607" s="1035"/>
      <c r="JM607" s="1035"/>
      <c r="JN607" s="1035"/>
      <c r="JO607" s="1049"/>
      <c r="JP607" s="1035"/>
      <c r="JQ607" s="1036"/>
      <c r="JR607" s="1035"/>
      <c r="JS607" s="1036"/>
      <c r="JT607" s="1035"/>
      <c r="JU607" s="1036"/>
      <c r="JV607" s="1035"/>
      <c r="JW607" s="1036"/>
      <c r="JX607" s="1035"/>
      <c r="JY607" s="1036"/>
      <c r="JZ607" s="1035"/>
      <c r="KA607" s="1036"/>
      <c r="KB607" s="1035"/>
      <c r="KC607" s="1036"/>
      <c r="KD607" s="1035"/>
      <c r="KE607" s="1036"/>
      <c r="KF607" s="1035"/>
      <c r="KG607" s="1036"/>
      <c r="KH607" s="1035"/>
      <c r="KI607" s="1036"/>
      <c r="KJ607" s="1035"/>
      <c r="KK607" s="1036"/>
      <c r="KL607" s="1035"/>
      <c r="KM607" s="1036"/>
      <c r="KN607" s="1035"/>
      <c r="KO607" s="1036"/>
      <c r="KP607" s="1035"/>
      <c r="KQ607" s="1036"/>
      <c r="KR607" s="1035"/>
      <c r="KS607" s="1036"/>
      <c r="KT607" s="1035"/>
      <c r="KU607" s="1036"/>
      <c r="KV607" s="1035"/>
      <c r="KW607" s="1036"/>
      <c r="KX607" s="1035"/>
      <c r="KY607" s="1036"/>
      <c r="KZ607" s="1035"/>
      <c r="LA607" s="1036"/>
      <c r="LB607" s="1035"/>
      <c r="LC607" s="1036"/>
      <c r="LD607" s="1035"/>
      <c r="LE607" s="1036"/>
      <c r="LF607" s="1035"/>
      <c r="LG607" s="1036"/>
      <c r="LH607" s="1035"/>
      <c r="LI607" s="1036"/>
      <c r="LJ607" s="1035"/>
      <c r="LK607" s="1036"/>
      <c r="LL607" s="1035"/>
      <c r="LM607" s="1036"/>
      <c r="LN607" s="1035"/>
      <c r="LO607" s="1036"/>
      <c r="LP607" s="1035"/>
      <c r="LQ607" s="1036"/>
      <c r="LR607" s="1035"/>
      <c r="LS607" s="1036"/>
      <c r="LT607" s="1035"/>
      <c r="LU607" s="1036"/>
      <c r="LV607" s="1035"/>
      <c r="LW607" s="1036"/>
      <c r="LX607" s="1035"/>
      <c r="LY607" s="1009"/>
      <c r="LZ607" s="1010"/>
      <c r="MA607" s="1011"/>
      <c r="MB607" s="1012"/>
      <c r="MC607" s="995"/>
      <c r="MD607" s="996"/>
      <c r="ME607" s="997" t="s">
        <v>220</v>
      </c>
      <c r="MF607" s="997"/>
      <c r="MG607" s="998"/>
      <c r="NR607" s="1000"/>
      <c r="NS607" s="1000"/>
      <c r="NT607" s="1001"/>
      <c r="NU607" s="1000"/>
      <c r="NV607" s="1001"/>
      <c r="NX607" s="1002"/>
      <c r="NZ607" s="1001"/>
      <c r="OA607" s="1001"/>
      <c r="OC607" s="1003"/>
      <c r="OD607" s="1003"/>
      <c r="OE607" s="1001"/>
      <c r="OF607" s="1003"/>
      <c r="OG607" s="1003"/>
      <c r="QX607" s="1000">
        <f>CN607-CA607</f>
        <v>20</v>
      </c>
      <c r="ASU607" s="999" t="s">
        <v>208</v>
      </c>
    </row>
    <row r="608" spans="1:466 1191:1191" ht="21" customHeight="1" x14ac:dyDescent="0.25">
      <c r="A608" s="982">
        <f t="shared" si="503"/>
        <v>5112</v>
      </c>
      <c r="B608" s="124">
        <f>SUBTOTAL(103,$J$29:J608)</f>
        <v>580</v>
      </c>
      <c r="C608" s="126">
        <v>45068</v>
      </c>
      <c r="D608" s="124" t="s">
        <v>176</v>
      </c>
      <c r="E608" s="127" t="s">
        <v>177</v>
      </c>
      <c r="F608" s="128" t="s">
        <v>177</v>
      </c>
      <c r="G608" s="127" t="s">
        <v>178</v>
      </c>
      <c r="H608" s="127" t="s">
        <v>179</v>
      </c>
      <c r="I608" s="127" t="s">
        <v>2049</v>
      </c>
      <c r="J608" s="152">
        <v>5112</v>
      </c>
      <c r="K608" s="127" t="s">
        <v>2049</v>
      </c>
      <c r="L608" s="130">
        <v>44794</v>
      </c>
      <c r="M608" s="127" t="s">
        <v>230</v>
      </c>
      <c r="N608" s="127" t="s">
        <v>184</v>
      </c>
      <c r="O608" s="127" t="s">
        <v>185</v>
      </c>
      <c r="P608" s="127" t="s">
        <v>186</v>
      </c>
      <c r="Q608" s="85" t="str">
        <f t="shared" si="500"/>
        <v/>
      </c>
      <c r="R608" s="130"/>
      <c r="S608" s="128"/>
      <c r="T608" s="131"/>
      <c r="U608" s="132">
        <v>203</v>
      </c>
      <c r="V608" s="121">
        <v>218.2</v>
      </c>
      <c r="W608" s="116">
        <v>0.98</v>
      </c>
      <c r="X608" s="116">
        <v>1.66</v>
      </c>
      <c r="Y608" s="116">
        <f>(W608*X608)/((CQ608/100)*W608+(1-CQ608/100)*X608)</f>
        <v>0.99013998782714552</v>
      </c>
      <c r="Z608" s="133">
        <v>1.454</v>
      </c>
      <c r="AA608" s="133">
        <v>0.83599999999999997</v>
      </c>
      <c r="AB608" s="133">
        <v>0.72</v>
      </c>
      <c r="AC608" s="121">
        <v>34.299999999999997</v>
      </c>
      <c r="AD608" s="134">
        <v>1.17</v>
      </c>
      <c r="AE608" s="124">
        <v>177.8</v>
      </c>
      <c r="AF608" s="128">
        <v>9.1999999999999993</v>
      </c>
      <c r="AG608" s="128">
        <v>2202</v>
      </c>
      <c r="AH608" s="127">
        <v>3024</v>
      </c>
      <c r="AI608" s="127">
        <v>3024</v>
      </c>
      <c r="AJ608" s="135"/>
      <c r="AK608" s="128"/>
      <c r="AL608" s="131"/>
      <c r="AM608" s="124" t="s">
        <v>1921</v>
      </c>
      <c r="AN608" s="136" t="s">
        <v>2052</v>
      </c>
      <c r="AO608" s="137">
        <v>822</v>
      </c>
      <c r="AP608" s="128">
        <v>2202</v>
      </c>
      <c r="AQ608" s="128"/>
      <c r="AR608" s="128"/>
      <c r="AS608" s="128"/>
      <c r="AT608" s="122"/>
      <c r="AU608" s="124" t="s">
        <v>189</v>
      </c>
      <c r="AV608" s="115">
        <f>VLOOKUP(J608,'[63]ТР нефть'!$J$28:$BP$638,39,0)</f>
        <v>502</v>
      </c>
      <c r="AW608" s="115" t="str">
        <f>VLOOKUP(J608,'[63]ТР нефть'!$J$28:$BP$638,40,0)</f>
        <v>ГП</v>
      </c>
      <c r="AX608" s="115">
        <f>VLOOKUP(J608,'[63]ТР нефть'!$J$28:$BP$638,41,0)</f>
        <v>1002</v>
      </c>
      <c r="AY608" s="115" t="str">
        <f>VLOOKUP(J608,'[63]ТР нефть'!$J$28:$BP$638,42,0)</f>
        <v>ГП</v>
      </c>
      <c r="AZ608" s="115">
        <f>VLOOKUP(J608,'[63]ТР нефть'!$J$28:$BP$638,43,0)</f>
        <v>1423</v>
      </c>
      <c r="BA608" s="115" t="str">
        <f>VLOOKUP(J608,'[63]ТР нефть'!$J$28:$BP$638,44,0)</f>
        <v>ГК 96 1/6</v>
      </c>
      <c r="BB608" s="115">
        <f>VLOOKUP(J608,'[63]ТР нефть'!$J$28:$BP$638,45,0)</f>
        <v>1774</v>
      </c>
      <c r="BC608" s="115" t="str">
        <f>VLOOKUP(J608,'[63]ТР нефть'!$J$28:$BP$638,46,0)</f>
        <v>ГК 82 5/32</v>
      </c>
      <c r="BD608" s="115">
        <f>VLOOKUP(J608,'[63]ТР нефть'!$J$28:$BP$638,47,0)</f>
        <v>2030</v>
      </c>
      <c r="BE608" s="115" t="str">
        <f>VLOOKUP(J608,'[63]ТР нефть'!$J$28:$BP$638,48,0)</f>
        <v>ЦКсОК 5/16</v>
      </c>
      <c r="BF608" s="115" t="str">
        <f>VLOOKUP(J608,'[63]ТР нефть'!$J$28:$BP$638,49,0)</f>
        <v>-</v>
      </c>
      <c r="BG608" s="115" t="str">
        <f>VLOOKUP(J608,'[63]ТР нефть'!$J$28:$BP$638,50,0)</f>
        <v>-</v>
      </c>
      <c r="BH608" s="115" t="str">
        <f>VLOOKUP(J608,'[63]ТР нефть'!$J$28:$BP$638,51,0)</f>
        <v>-</v>
      </c>
      <c r="BI608" s="115" t="str">
        <f>VLOOKUP(J608,'[63]ТР нефть'!$J$28:$BP$638,52,0)</f>
        <v>-</v>
      </c>
      <c r="BJ608" s="115" t="str">
        <f>IF(IFERROR(VLOOKUP(J608,'[63]ТР нефть'!$J$28:$BP$638,53,0),"-")=0,"-",IFERROR(VLOOKUP(J608,'[63]ТР нефть'!$J$28:$BP$638,53,0),"-"))</f>
        <v>-</v>
      </c>
      <c r="BK608" s="138" t="str">
        <f>IF(IFERROR(VLOOKUP(J608,'[63]ТР нефть'!$J$28:$BP$638,54,0),"-")=0,"-",IFERROR(VLOOKUP(J608,'[63]ТР нефть'!$J$28:$BP$638,54,0),"-"))</f>
        <v>-</v>
      </c>
      <c r="BL608" s="138" t="str">
        <f>IF(IFERROR(VLOOKUP(J608,'[63]ТР нефть'!$J$28:$BP$638,55,0),"-")=0,"-",IFERROR(VLOOKUP(J608,'[63]ТР нефть'!$J$28:$BP$638,55,0),"-"))</f>
        <v>-</v>
      </c>
      <c r="BM608" s="138" t="str">
        <f>IF(IFERROR(VLOOKUP(J608,'[63]ТР нефть'!$J$28:$BP$638,56,0),"-")=0,"-",IFERROR(VLOOKUP(J608,'[63]ТР нефть'!$J$28:$BP$638,56,0),"-"))</f>
        <v>-</v>
      </c>
      <c r="BN608" s="138" t="str">
        <f>IF(IFERROR(VLOOKUP(J608,'[63]ТР нефть'!$J$28:$BP$638,57,0),"-")=0,"-",IFERROR(VLOOKUP(J608,'[63]ТР нефть'!$J$28:$BP$638,57,0),"-"))</f>
        <v>-</v>
      </c>
      <c r="BO608" s="115" t="str">
        <f>IF(IFERROR(VLOOKUP(J608,'[63]ТР нефть'!$J$28:$BP$638,58,0),"-")=0,"-",IFERROR(VLOOKUP(J608,'[63]ТР нефть'!$J$28:$BP$638,58,0),"-"))</f>
        <v>-</v>
      </c>
      <c r="BP608" s="115" t="str">
        <f>IF(IFERROR(VLOOKUP(J608,'[63]ТР нефть'!$J$28:$BP$638,59,0),"-")=0,"-",IFERROR(VLOOKUP(J608,'[63]ТР нефть'!$J$28:$BP$638,59,0),"-"))</f>
        <v>-</v>
      </c>
      <c r="BQ608" s="138">
        <v>2280</v>
      </c>
      <c r="BR608" s="128"/>
      <c r="BS608" s="115"/>
      <c r="BT608" s="128"/>
      <c r="BU608" s="128"/>
      <c r="BV608" s="127">
        <v>65</v>
      </c>
      <c r="BW608" s="127" t="s">
        <v>217</v>
      </c>
      <c r="BX608" s="127" t="s">
        <v>195</v>
      </c>
      <c r="BY608" s="139">
        <v>24</v>
      </c>
      <c r="BZ608" s="139">
        <v>0</v>
      </c>
      <c r="CA608" s="138">
        <v>25</v>
      </c>
      <c r="CB608" s="138">
        <v>45</v>
      </c>
      <c r="CC608" s="138">
        <v>24</v>
      </c>
      <c r="CD608" s="135">
        <v>45017</v>
      </c>
      <c r="CE608" s="138">
        <v>118.1</v>
      </c>
      <c r="CF608" s="138">
        <v>76</v>
      </c>
      <c r="CG608" s="138"/>
      <c r="CH608" s="138"/>
      <c r="CI608" s="127"/>
      <c r="CJ608" s="138"/>
      <c r="CK608" s="138">
        <f t="shared" si="488"/>
        <v>22</v>
      </c>
      <c r="CL608" s="99"/>
      <c r="CM608" s="99"/>
      <c r="CN608" s="140">
        <v>47</v>
      </c>
      <c r="CO608" s="141">
        <f t="shared" si="504"/>
        <v>11.4114</v>
      </c>
      <c r="CP608" s="142">
        <v>14</v>
      </c>
      <c r="CQ608" s="143">
        <v>2.5</v>
      </c>
      <c r="CR608" s="138">
        <v>19.399999999999999</v>
      </c>
      <c r="CS608" s="139">
        <v>9.6</v>
      </c>
      <c r="CT608" s="138"/>
      <c r="CU608" s="138">
        <f t="shared" si="475"/>
        <v>9.7999999999999989</v>
      </c>
      <c r="CV608" s="115">
        <f t="shared" si="476"/>
        <v>858.79033247454277</v>
      </c>
      <c r="CW608" s="115">
        <f t="shared" si="505"/>
        <v>812.40955596740196</v>
      </c>
      <c r="CX608" s="133">
        <f t="shared" si="477"/>
        <v>0.19690576652601971</v>
      </c>
      <c r="CY608" s="116"/>
      <c r="CZ608" s="131"/>
      <c r="DA608" s="145" t="str">
        <f t="shared" si="478"/>
        <v>Газлифт</v>
      </c>
      <c r="DB608" s="146">
        <f t="shared" si="468"/>
        <v>11.4114</v>
      </c>
      <c r="DC608" s="142">
        <f t="shared" si="469"/>
        <v>14</v>
      </c>
      <c r="DD608" s="119">
        <f t="shared" si="470"/>
        <v>2.5</v>
      </c>
      <c r="DE608" s="115">
        <f t="shared" si="471"/>
        <v>9.7999999999999989</v>
      </c>
      <c r="DF608" s="121">
        <f t="shared" si="472"/>
        <v>9.6</v>
      </c>
      <c r="DG608" s="115">
        <f t="shared" si="506"/>
        <v>858.79033247454277</v>
      </c>
      <c r="DH608" s="115">
        <f t="shared" si="507"/>
        <v>47</v>
      </c>
      <c r="DI608" s="147"/>
      <c r="DJ608" s="111"/>
      <c r="DK608" s="112"/>
      <c r="DL608" s="113"/>
      <c r="DM608" s="114"/>
      <c r="DN608" s="114"/>
      <c r="DO608" s="114"/>
      <c r="DP608" s="114"/>
      <c r="DQ608" s="112"/>
      <c r="DR608" s="114"/>
      <c r="DS608" s="114"/>
      <c r="DT608" s="115"/>
      <c r="DU608" s="116"/>
      <c r="DV608" s="117"/>
      <c r="DW608" s="118"/>
      <c r="DX608" s="119">
        <f t="shared" si="497"/>
        <v>2.5</v>
      </c>
      <c r="DY608" s="115"/>
      <c r="DZ608" s="117"/>
      <c r="EA608" s="120"/>
      <c r="EB608" s="119">
        <f t="shared" si="501"/>
        <v>0</v>
      </c>
      <c r="EC608" s="121"/>
      <c r="ED608" s="122"/>
      <c r="EE608" s="145">
        <v>65</v>
      </c>
      <c r="EF608" s="115">
        <v>27</v>
      </c>
      <c r="EG608" s="115">
        <v>44</v>
      </c>
      <c r="EH608" s="115">
        <v>26</v>
      </c>
      <c r="EI608" s="128" t="s">
        <v>195</v>
      </c>
      <c r="EJ608" s="121">
        <v>24</v>
      </c>
      <c r="EK608" s="121">
        <v>0</v>
      </c>
      <c r="EL608" s="149">
        <v>12.840959999999999</v>
      </c>
      <c r="EM608" s="142">
        <v>16</v>
      </c>
      <c r="EN608" s="119">
        <v>4</v>
      </c>
      <c r="EO608" s="115">
        <v>19.399999999999999</v>
      </c>
      <c r="EP608" s="115">
        <v>763.18281499202544</v>
      </c>
      <c r="EQ608" s="115">
        <v>76</v>
      </c>
      <c r="ER608" s="115">
        <v>9.6</v>
      </c>
      <c r="ES608" s="115">
        <v>50</v>
      </c>
      <c r="ET608" s="150">
        <v>0.23494860499265788</v>
      </c>
      <c r="EU608" s="145">
        <f t="shared" si="457"/>
        <v>65</v>
      </c>
      <c r="EV608" s="115">
        <f t="shared" si="508"/>
        <v>25</v>
      </c>
      <c r="EW608" s="115">
        <f t="shared" si="508"/>
        <v>45</v>
      </c>
      <c r="EX608" s="115">
        <f t="shared" si="508"/>
        <v>24</v>
      </c>
      <c r="EY608" s="115" t="str">
        <f t="shared" si="489"/>
        <v>Постоянный</v>
      </c>
      <c r="EZ608" s="115">
        <f t="shared" si="489"/>
        <v>24</v>
      </c>
      <c r="FA608" s="115">
        <f t="shared" si="489"/>
        <v>0</v>
      </c>
      <c r="FB608" s="149">
        <f t="shared" si="461"/>
        <v>11.4114</v>
      </c>
      <c r="FC608" s="142">
        <f t="shared" si="461"/>
        <v>14</v>
      </c>
      <c r="FD608" s="119">
        <f t="shared" si="461"/>
        <v>2.5</v>
      </c>
      <c r="FE608" s="121">
        <f t="shared" si="460"/>
        <v>19.399999999999999</v>
      </c>
      <c r="FF608" s="121">
        <f t="shared" si="462"/>
        <v>858.79033247454277</v>
      </c>
      <c r="FG608" s="121">
        <f t="shared" si="509"/>
        <v>76</v>
      </c>
      <c r="FH608" s="121">
        <f t="shared" si="491"/>
        <v>9.6</v>
      </c>
      <c r="FI608" s="121">
        <f t="shared" si="483"/>
        <v>47</v>
      </c>
      <c r="FJ608" s="144">
        <f t="shared" si="510"/>
        <v>0.19690576652601971</v>
      </c>
      <c r="FK608" s="132">
        <f t="shared" si="511"/>
        <v>0</v>
      </c>
      <c r="FL608" s="115">
        <f t="shared" si="511"/>
        <v>-2</v>
      </c>
      <c r="FM608" s="115">
        <f t="shared" si="511"/>
        <v>1</v>
      </c>
      <c r="FN608" s="115">
        <f t="shared" si="511"/>
        <v>-2</v>
      </c>
      <c r="FO608" s="115">
        <f t="shared" si="492"/>
        <v>0</v>
      </c>
      <c r="FP608" s="115">
        <f t="shared" si="492"/>
        <v>0</v>
      </c>
      <c r="FQ608" s="149">
        <f t="shared" si="492"/>
        <v>-1.4295599999999986</v>
      </c>
      <c r="FR608" s="142">
        <f t="shared" si="492"/>
        <v>-2</v>
      </c>
      <c r="FS608" s="119">
        <f t="shared" si="492"/>
        <v>-1.5</v>
      </c>
      <c r="FT608" s="121">
        <f t="shared" si="492"/>
        <v>0</v>
      </c>
      <c r="FU608" s="121">
        <f t="shared" si="512"/>
        <v>0</v>
      </c>
      <c r="FV608" s="121">
        <f t="shared" si="512"/>
        <v>0</v>
      </c>
      <c r="FW608" s="121">
        <f t="shared" si="513"/>
        <v>95.607517482517324</v>
      </c>
      <c r="FX608" s="121">
        <f t="shared" si="514"/>
        <v>-3</v>
      </c>
      <c r="FY608" s="144">
        <f t="shared" si="502"/>
        <v>-3.8042838466638168E-2</v>
      </c>
      <c r="FZ608" s="145" t="s">
        <v>223</v>
      </c>
      <c r="GA608" s="151" t="s">
        <v>2053</v>
      </c>
      <c r="GB608" s="145"/>
      <c r="GC608" s="151"/>
      <c r="GD608" s="997" t="s">
        <v>220</v>
      </c>
      <c r="GE608" s="1004"/>
      <c r="GF608" s="1004">
        <v>0.61028000000000127</v>
      </c>
      <c r="GG608" s="1004"/>
      <c r="GH608" s="1004">
        <v>0</v>
      </c>
      <c r="GI608" s="145" t="s">
        <v>223</v>
      </c>
      <c r="GJ608" s="996">
        <v>-4.6884468400000028</v>
      </c>
      <c r="GK608" s="145"/>
      <c r="GL608" s="996">
        <v>0</v>
      </c>
      <c r="GM608" s="1005" t="s">
        <v>2054</v>
      </c>
      <c r="GN608" s="996">
        <v>0</v>
      </c>
      <c r="GO608" s="1006"/>
      <c r="GP608" s="996">
        <v>0</v>
      </c>
      <c r="GQ608" s="1006" t="s">
        <v>203</v>
      </c>
      <c r="GR608" s="996">
        <v>3.2254468400000018</v>
      </c>
      <c r="GS608" s="1006" t="s">
        <v>203</v>
      </c>
      <c r="GT608" s="996">
        <v>-4.5645600000000019</v>
      </c>
      <c r="GU608" s="1006" t="s">
        <v>203</v>
      </c>
      <c r="GV608" s="996">
        <v>-5.6417599999999979</v>
      </c>
      <c r="GW608" s="1006"/>
      <c r="GX608" s="996"/>
      <c r="GY608" s="1006"/>
      <c r="GZ608" s="996"/>
      <c r="HA608" s="1006"/>
      <c r="HB608" s="996"/>
      <c r="HC608" s="1006"/>
      <c r="HD608" s="996"/>
      <c r="HE608" s="1006"/>
      <c r="HF608" s="996"/>
      <c r="HG608" s="1006"/>
      <c r="HH608" s="996"/>
      <c r="HI608" s="1006"/>
      <c r="HJ608" s="996"/>
      <c r="HK608" s="1006"/>
      <c r="HL608" s="996"/>
      <c r="HM608" s="1006"/>
      <c r="HN608" s="996"/>
      <c r="HO608" s="1006"/>
      <c r="HP608" s="996"/>
      <c r="HQ608" s="1006"/>
      <c r="HR608" s="996"/>
      <c r="HS608" s="1006"/>
      <c r="HT608" s="996"/>
      <c r="HU608" s="1006"/>
      <c r="HV608" s="996"/>
      <c r="HW608" s="1006"/>
      <c r="HX608" s="996"/>
      <c r="HY608" s="1006"/>
      <c r="HZ608" s="996"/>
      <c r="IA608" s="1006"/>
      <c r="IB608" s="996"/>
      <c r="IC608" s="1006"/>
      <c r="ID608" s="996"/>
      <c r="IE608" s="1006"/>
      <c r="IF608" s="996"/>
      <c r="IG608" s="1006"/>
      <c r="IH608" s="996"/>
      <c r="II608" s="1006"/>
      <c r="IJ608" s="996"/>
      <c r="IK608" s="1006"/>
      <c r="IL608" s="996"/>
      <c r="IM608" s="1006"/>
      <c r="IN608" s="996"/>
      <c r="IO608" s="1006"/>
      <c r="IP608" s="996"/>
      <c r="IQ608" s="1006"/>
      <c r="IR608" s="996"/>
      <c r="IS608" s="1006"/>
      <c r="IT608" s="996"/>
      <c r="IU608" s="1006"/>
      <c r="IV608" s="996"/>
      <c r="IW608" s="1006"/>
      <c r="IX608" s="996"/>
      <c r="IY608" s="1006"/>
      <c r="IZ608" s="996"/>
      <c r="JA608" s="1006"/>
      <c r="JB608" s="996"/>
      <c r="JC608" s="1006"/>
      <c r="JD608" s="996"/>
      <c r="JE608" s="1006"/>
      <c r="JF608" s="996"/>
      <c r="JG608" s="1006"/>
      <c r="JH608" s="996"/>
      <c r="JI608" s="1006"/>
      <c r="JJ608" s="996"/>
      <c r="JK608" s="1007"/>
      <c r="JL608" s="1007"/>
      <c r="JM608" s="1007"/>
      <c r="JN608" s="1007"/>
      <c r="JO608" s="1067"/>
      <c r="JP608" s="1007"/>
      <c r="JQ608" s="1008"/>
      <c r="JR608" s="1007"/>
      <c r="JS608" s="1008"/>
      <c r="JT608" s="1007"/>
      <c r="JU608" s="1008"/>
      <c r="JV608" s="1007"/>
      <c r="JW608" s="1008"/>
      <c r="JX608" s="1007"/>
      <c r="JY608" s="1008"/>
      <c r="JZ608" s="1007"/>
      <c r="KA608" s="1008"/>
      <c r="KB608" s="1007"/>
      <c r="KC608" s="1008"/>
      <c r="KD608" s="1007"/>
      <c r="KE608" s="1008"/>
      <c r="KF608" s="1007"/>
      <c r="KG608" s="1008"/>
      <c r="KH608" s="1007"/>
      <c r="KI608" s="1008"/>
      <c r="KJ608" s="1007"/>
      <c r="KK608" s="1008"/>
      <c r="KL608" s="1007"/>
      <c r="KM608" s="1008"/>
      <c r="KN608" s="1007"/>
      <c r="KO608" s="1008"/>
      <c r="KP608" s="1007"/>
      <c r="KQ608" s="1008"/>
      <c r="KR608" s="1007"/>
      <c r="KS608" s="1008"/>
      <c r="KT608" s="1007"/>
      <c r="KU608" s="1008"/>
      <c r="KV608" s="1007"/>
      <c r="KW608" s="1008"/>
      <c r="KX608" s="1007"/>
      <c r="KY608" s="1008"/>
      <c r="KZ608" s="1007"/>
      <c r="LA608" s="1008"/>
      <c r="LB608" s="1007"/>
      <c r="LC608" s="1008"/>
      <c r="LD608" s="1007"/>
      <c r="LE608" s="1008"/>
      <c r="LF608" s="1007"/>
      <c r="LG608" s="1008"/>
      <c r="LH608" s="1007"/>
      <c r="LI608" s="1008"/>
      <c r="LJ608" s="1007"/>
      <c r="LK608" s="1008"/>
      <c r="LL608" s="1007"/>
      <c r="LM608" s="1008"/>
      <c r="LN608" s="1007"/>
      <c r="LO608" s="1008"/>
      <c r="LP608" s="1007"/>
      <c r="LQ608" s="1008"/>
      <c r="LR608" s="1007"/>
      <c r="LS608" s="1008"/>
      <c r="LT608" s="1007"/>
      <c r="LU608" s="1008"/>
      <c r="LV608" s="1007"/>
      <c r="LW608" s="1008"/>
      <c r="LX608" s="1007"/>
      <c r="LY608" s="1009"/>
      <c r="LZ608" s="1010"/>
      <c r="MA608" s="1011"/>
      <c r="MB608" s="1012"/>
      <c r="MC608" s="995"/>
      <c r="MD608" s="996"/>
      <c r="ME608" s="997" t="s">
        <v>220</v>
      </c>
      <c r="MF608" s="997"/>
      <c r="MG608" s="998"/>
      <c r="NR608" s="1000"/>
      <c r="NS608" s="1000"/>
      <c r="NT608" s="1001"/>
      <c r="NU608" s="1000"/>
      <c r="NV608" s="1001"/>
      <c r="NX608" s="1002"/>
      <c r="NZ608" s="1001"/>
      <c r="OA608" s="1001"/>
      <c r="OC608" s="1003"/>
      <c r="OD608" s="1003"/>
      <c r="OE608" s="1001"/>
      <c r="OF608" s="1003"/>
      <c r="OG608" s="1003"/>
      <c r="OH608" s="1003"/>
      <c r="OI608" s="1016"/>
      <c r="QX608" s="1000">
        <f>CN608-CA608</f>
        <v>22</v>
      </c>
    </row>
    <row r="609" spans="1:466 1191:1191" ht="21" customHeight="1" x14ac:dyDescent="0.25">
      <c r="A609" s="982">
        <f t="shared" si="503"/>
        <v>5121</v>
      </c>
      <c r="B609" s="124">
        <f>SUBTOTAL(103,$J$29:J609)</f>
        <v>581</v>
      </c>
      <c r="C609" s="126">
        <v>45068</v>
      </c>
      <c r="D609" s="124" t="s">
        <v>176</v>
      </c>
      <c r="E609" s="127" t="s">
        <v>177</v>
      </c>
      <c r="F609" s="128" t="s">
        <v>177</v>
      </c>
      <c r="G609" s="127" t="s">
        <v>178</v>
      </c>
      <c r="H609" s="127" t="s">
        <v>179</v>
      </c>
      <c r="I609" s="127" t="s">
        <v>2049</v>
      </c>
      <c r="J609" s="152">
        <v>5121</v>
      </c>
      <c r="K609" s="127" t="s">
        <v>2049</v>
      </c>
      <c r="L609" s="130">
        <v>44779</v>
      </c>
      <c r="M609" s="127" t="s">
        <v>230</v>
      </c>
      <c r="N609" s="127" t="s">
        <v>184</v>
      </c>
      <c r="O609" s="127" t="s">
        <v>185</v>
      </c>
      <c r="P609" s="127" t="s">
        <v>186</v>
      </c>
      <c r="Q609" s="85" t="str">
        <f t="shared" si="500"/>
        <v/>
      </c>
      <c r="R609" s="130"/>
      <c r="S609" s="128"/>
      <c r="T609" s="131"/>
      <c r="U609" s="132">
        <v>203</v>
      </c>
      <c r="V609" s="121">
        <v>218.2</v>
      </c>
      <c r="W609" s="116">
        <v>0.98</v>
      </c>
      <c r="X609" s="116">
        <v>1.66</v>
      </c>
      <c r="Y609" s="116">
        <f>(W609*X609)/((CQ609/100)*W609+(1-CQ609/100)*X609)</f>
        <v>0.99219321785801406</v>
      </c>
      <c r="Z609" s="133">
        <v>1.454</v>
      </c>
      <c r="AA609" s="133">
        <v>0.83599999999999997</v>
      </c>
      <c r="AB609" s="133">
        <v>0.72</v>
      </c>
      <c r="AC609" s="121">
        <v>34.299999999999997</v>
      </c>
      <c r="AD609" s="134">
        <v>1.17</v>
      </c>
      <c r="AE609" s="124">
        <v>177.8</v>
      </c>
      <c r="AF609" s="128">
        <v>9.1999999999999993</v>
      </c>
      <c r="AG609" s="128">
        <v>2358</v>
      </c>
      <c r="AH609" s="127">
        <v>3365.6</v>
      </c>
      <c r="AI609" s="127">
        <v>3365.6</v>
      </c>
      <c r="AJ609" s="135"/>
      <c r="AK609" s="128"/>
      <c r="AL609" s="131"/>
      <c r="AM609" s="124" t="s">
        <v>985</v>
      </c>
      <c r="AN609" s="136" t="s">
        <v>2055</v>
      </c>
      <c r="AO609" s="137">
        <v>39</v>
      </c>
      <c r="AP609" s="128">
        <v>2653</v>
      </c>
      <c r="AQ609" s="128">
        <v>824.53</v>
      </c>
      <c r="AR609" s="128" t="s">
        <v>2056</v>
      </c>
      <c r="AS609" s="128">
        <v>114</v>
      </c>
      <c r="AT609" s="122">
        <v>7.4</v>
      </c>
      <c r="AU609" s="124" t="s">
        <v>189</v>
      </c>
      <c r="AV609" s="115">
        <f>VLOOKUP(J609,'[63]ТР нефть'!$J$28:$BP$638,39,0)</f>
        <v>403</v>
      </c>
      <c r="AW609" s="115" t="str">
        <f>VLOOKUP(J609,'[63]ТР нефть'!$J$28:$BP$638,40,0)</f>
        <v>ГП</v>
      </c>
      <c r="AX609" s="115">
        <f>VLOOKUP(J609,'[63]ТР нефть'!$J$28:$BP$638,41,0)</f>
        <v>901</v>
      </c>
      <c r="AY609" s="115" t="str">
        <f>VLOOKUP(J609,'[63]ТР нефть'!$J$28:$BP$638,42,0)</f>
        <v>ГП</v>
      </c>
      <c r="AZ609" s="115">
        <f>VLOOKUP(J609,'[63]ТР нефть'!$J$28:$BP$638,43,0)</f>
        <v>1323</v>
      </c>
      <c r="BA609" s="115" t="str">
        <f>VLOOKUP(J609,'[63]ТР нефть'!$J$28:$BP$638,44,0)</f>
        <v>ГК 81 1/8</v>
      </c>
      <c r="BB609" s="115">
        <f>VLOOKUP(J609,'[63]ТР нефть'!$J$28:$BP$638,45,0)</f>
        <v>1723</v>
      </c>
      <c r="BC609" s="115" t="str">
        <f>VLOOKUP(J609,'[63]ТР нефть'!$J$28:$BP$638,46,0)</f>
        <v>ГК 80 5/32</v>
      </c>
      <c r="BD609" s="115">
        <f>VLOOKUP(J609,'[63]ТР нефть'!$J$28:$BP$638,47,0)</f>
        <v>2040</v>
      </c>
      <c r="BE609" s="115" t="str">
        <f>VLOOKUP(J609,'[63]ТР нефть'!$J$28:$BP$638,48,0)</f>
        <v>ЦКсОК 5/16</v>
      </c>
      <c r="BF609" s="115" t="str">
        <f>VLOOKUP(J609,'[63]ТР нефть'!$J$28:$BP$638,49,0)</f>
        <v>-</v>
      </c>
      <c r="BG609" s="115" t="str">
        <f>VLOOKUP(J609,'[63]ТР нефть'!$J$28:$BP$638,50,0)</f>
        <v>-</v>
      </c>
      <c r="BH609" s="115">
        <f>VLOOKUP(J609,'[63]ТР нефть'!$J$28:$BP$638,51,0)</f>
        <v>2055</v>
      </c>
      <c r="BI609" s="115" t="str">
        <f>VLOOKUP(J609,'[63]ТР нефть'!$J$28:$BP$638,52,0)</f>
        <v>Закрыт</v>
      </c>
      <c r="BJ609" s="115" t="str">
        <f>IF(IFERROR(VLOOKUP(J609,'[63]ТР нефть'!$J$28:$BP$638,53,0),"-")=0,"-",IFERROR(VLOOKUP(J609,'[63]ТР нефть'!$J$28:$BP$638,53,0),"-"))</f>
        <v>-</v>
      </c>
      <c r="BK609" s="138" t="str">
        <f>IF(IFERROR(VLOOKUP(J609,'[63]ТР нефть'!$J$28:$BP$638,54,0),"-")=0,"-",IFERROR(VLOOKUP(J609,'[63]ТР нефть'!$J$28:$BP$638,54,0),"-"))</f>
        <v>-</v>
      </c>
      <c r="BL609" s="138" t="str">
        <f>IF(IFERROR(VLOOKUP(J609,'[63]ТР нефть'!$J$28:$BP$638,55,0),"-")=0,"-",IFERROR(VLOOKUP(J609,'[63]ТР нефть'!$J$28:$BP$638,55,0),"-"))</f>
        <v>-</v>
      </c>
      <c r="BM609" s="138" t="str">
        <f>IF(IFERROR(VLOOKUP(J609,'[63]ТР нефть'!$J$28:$BP$638,56,0),"-")=0,"-",IFERROR(VLOOKUP(J609,'[63]ТР нефть'!$J$28:$BP$638,56,0),"-"))</f>
        <v>-</v>
      </c>
      <c r="BN609" s="138" t="str">
        <f>IF(IFERROR(VLOOKUP(J609,'[63]ТР нефть'!$J$28:$BP$638,57,0),"-")=0,"-",IFERROR(VLOOKUP(J609,'[63]ТР нефть'!$J$28:$BP$638,57,0),"-"))</f>
        <v>-</v>
      </c>
      <c r="BO609" s="115" t="str">
        <f>IF(IFERROR(VLOOKUP(J609,'[63]ТР нефть'!$J$28:$BP$638,58,0),"-")=0,"-",IFERROR(VLOOKUP(J609,'[63]ТР нефть'!$J$28:$BP$638,58,0),"-"))</f>
        <v>-</v>
      </c>
      <c r="BP609" s="115" t="str">
        <f>IF(IFERROR(VLOOKUP(J609,'[63]ТР нефть'!$J$28:$BP$638,59,0),"-")=0,"-",IFERROR(VLOOKUP(J609,'[63]ТР нефть'!$J$28:$BP$638,59,0),"-"))</f>
        <v>-</v>
      </c>
      <c r="BQ609" s="138">
        <v>2320</v>
      </c>
      <c r="BR609" s="128">
        <v>1787</v>
      </c>
      <c r="BS609" s="115">
        <v>532</v>
      </c>
      <c r="BT609" s="128">
        <v>73</v>
      </c>
      <c r="BU609" s="128">
        <v>5.51</v>
      </c>
      <c r="BV609" s="127">
        <v>18</v>
      </c>
      <c r="BW609" s="127" t="s">
        <v>234</v>
      </c>
      <c r="BX609" s="127" t="s">
        <v>195</v>
      </c>
      <c r="BY609" s="139">
        <v>24</v>
      </c>
      <c r="BZ609" s="139">
        <v>0</v>
      </c>
      <c r="CA609" s="138">
        <v>25</v>
      </c>
      <c r="CB609" s="138">
        <v>42</v>
      </c>
      <c r="CC609" s="138">
        <v>24</v>
      </c>
      <c r="CD609" s="135">
        <v>45017</v>
      </c>
      <c r="CE609" s="138">
        <v>103.1</v>
      </c>
      <c r="CF609" s="138">
        <v>75</v>
      </c>
      <c r="CG609" s="138"/>
      <c r="CH609" s="138"/>
      <c r="CI609" s="127"/>
      <c r="CJ609" s="138"/>
      <c r="CK609" s="138">
        <f>CN609-CA609</f>
        <v>24</v>
      </c>
      <c r="CL609" s="99"/>
      <c r="CM609" s="99"/>
      <c r="CN609" s="140">
        <v>49</v>
      </c>
      <c r="CO609" s="141">
        <f t="shared" si="504"/>
        <v>7.2982800000000001</v>
      </c>
      <c r="CP609" s="142">
        <v>9</v>
      </c>
      <c r="CQ609" s="143">
        <v>3</v>
      </c>
      <c r="CR609" s="138">
        <v>16</v>
      </c>
      <c r="CS609" s="139">
        <v>10</v>
      </c>
      <c r="CT609" s="138"/>
      <c r="CU609" s="138">
        <f t="shared" si="475"/>
        <v>6</v>
      </c>
      <c r="CV609" s="115">
        <f t="shared" si="476"/>
        <v>822.11151120537988</v>
      </c>
      <c r="CW609" s="115">
        <f t="shared" si="505"/>
        <v>1313.8981518708597</v>
      </c>
      <c r="CX609" s="133">
        <f t="shared" si="477"/>
        <v>0.16635859519408505</v>
      </c>
      <c r="CY609" s="116"/>
      <c r="CZ609" s="131"/>
      <c r="DA609" s="145" t="str">
        <f t="shared" si="478"/>
        <v>Газлифт</v>
      </c>
      <c r="DB609" s="146">
        <f t="shared" si="468"/>
        <v>7.2982800000000001</v>
      </c>
      <c r="DC609" s="142">
        <f t="shared" si="469"/>
        <v>9</v>
      </c>
      <c r="DD609" s="119">
        <f t="shared" si="470"/>
        <v>3</v>
      </c>
      <c r="DE609" s="115">
        <f t="shared" si="471"/>
        <v>6</v>
      </c>
      <c r="DF609" s="121">
        <f t="shared" si="472"/>
        <v>10</v>
      </c>
      <c r="DG609" s="115">
        <f t="shared" si="506"/>
        <v>822.11151120537988</v>
      </c>
      <c r="DH609" s="115">
        <f t="shared" si="507"/>
        <v>49</v>
      </c>
      <c r="DI609" s="147"/>
      <c r="DJ609" s="111"/>
      <c r="DK609" s="112"/>
      <c r="DL609" s="113"/>
      <c r="DM609" s="114"/>
      <c r="DN609" s="114"/>
      <c r="DO609" s="114"/>
      <c r="DP609" s="114"/>
      <c r="DQ609" s="112"/>
      <c r="DR609" s="114"/>
      <c r="DS609" s="114"/>
      <c r="DT609" s="115">
        <v>60</v>
      </c>
      <c r="DU609" s="116">
        <f t="shared" ref="DU609:DU624" si="515">DW609/(CE609-DT609)</f>
        <v>0.20881670533642693</v>
      </c>
      <c r="DV609" s="117">
        <f t="shared" ref="DV609:DV624" si="516">DW609*(1-DX609/100)*$AA609</f>
        <v>7.2982800000000001</v>
      </c>
      <c r="DW609" s="118">
        <f t="shared" ref="DW609:DW624" si="517">IF(DT609&lt;CN609,IF(MQ609=1,CP609,(1-0.2*(DT609/CE609)-0.8*(DT609/CE609)^2)*(CP609/(1-0.2*(CN609/CE609)-0.8*(CN609/CE609)^2))),CP609)</f>
        <v>9</v>
      </c>
      <c r="DX609" s="119">
        <f t="shared" si="497"/>
        <v>3</v>
      </c>
      <c r="DY609" s="115">
        <f t="shared" ref="DY609:DY624" si="518">(CV609*DV609)/1000</f>
        <v>6</v>
      </c>
      <c r="DZ609" s="117">
        <f t="shared" ref="DZ609:EB624" si="519">DV609-CO609</f>
        <v>0</v>
      </c>
      <c r="EA609" s="120">
        <f t="shared" si="519"/>
        <v>0</v>
      </c>
      <c r="EB609" s="119">
        <f t="shared" si="501"/>
        <v>0</v>
      </c>
      <c r="EC609" s="121">
        <f t="shared" ref="EC609:EC624" si="520">DY609-CU609</f>
        <v>0</v>
      </c>
      <c r="ED609" s="122"/>
      <c r="EE609" s="145">
        <v>18</v>
      </c>
      <c r="EF609" s="115">
        <v>28</v>
      </c>
      <c r="EG609" s="115">
        <v>42</v>
      </c>
      <c r="EH609" s="115">
        <v>27</v>
      </c>
      <c r="EI609" s="128" t="s">
        <v>195</v>
      </c>
      <c r="EJ609" s="121">
        <v>24</v>
      </c>
      <c r="EK609" s="121">
        <v>0</v>
      </c>
      <c r="EL609" s="149">
        <v>7.0625280000000004</v>
      </c>
      <c r="EM609" s="142">
        <v>8.8000000000000007</v>
      </c>
      <c r="EN609" s="119">
        <v>4</v>
      </c>
      <c r="EO609" s="115">
        <v>14</v>
      </c>
      <c r="EP609" s="115">
        <v>453.09554878932852</v>
      </c>
      <c r="EQ609" s="115">
        <v>76</v>
      </c>
      <c r="ER609" s="115">
        <v>10.8</v>
      </c>
      <c r="ES609" s="115">
        <v>50</v>
      </c>
      <c r="ET609" s="150">
        <v>0.16572504708097932</v>
      </c>
      <c r="EU609" s="145">
        <f t="shared" ref="EU609:EU625" si="521">BV609</f>
        <v>18</v>
      </c>
      <c r="EV609" s="115">
        <f t="shared" si="508"/>
        <v>25</v>
      </c>
      <c r="EW609" s="115">
        <f t="shared" si="508"/>
        <v>42</v>
      </c>
      <c r="EX609" s="115">
        <f t="shared" si="508"/>
        <v>24</v>
      </c>
      <c r="EY609" s="115" t="str">
        <f t="shared" si="489"/>
        <v>Постоянный</v>
      </c>
      <c r="EZ609" s="115">
        <f t="shared" si="489"/>
        <v>24</v>
      </c>
      <c r="FA609" s="115">
        <f t="shared" si="489"/>
        <v>0</v>
      </c>
      <c r="FB609" s="149">
        <f t="shared" si="461"/>
        <v>7.2982800000000001</v>
      </c>
      <c r="FC609" s="142">
        <f t="shared" si="461"/>
        <v>9</v>
      </c>
      <c r="FD609" s="119">
        <f t="shared" si="461"/>
        <v>3</v>
      </c>
      <c r="FE609" s="121">
        <f t="shared" si="460"/>
        <v>16</v>
      </c>
      <c r="FF609" s="121">
        <f t="shared" si="462"/>
        <v>822.11151120537988</v>
      </c>
      <c r="FG609" s="121">
        <f t="shared" si="509"/>
        <v>75</v>
      </c>
      <c r="FH609" s="121">
        <f t="shared" si="491"/>
        <v>10</v>
      </c>
      <c r="FI609" s="121">
        <f t="shared" si="483"/>
        <v>49</v>
      </c>
      <c r="FJ609" s="144">
        <f t="shared" si="510"/>
        <v>0.16635859519408505</v>
      </c>
      <c r="FK609" s="132">
        <f t="shared" si="511"/>
        <v>0</v>
      </c>
      <c r="FL609" s="115">
        <f t="shared" si="511"/>
        <v>-3</v>
      </c>
      <c r="FM609" s="115">
        <f t="shared" si="511"/>
        <v>0</v>
      </c>
      <c r="FN609" s="115">
        <f t="shared" si="511"/>
        <v>-3</v>
      </c>
      <c r="FO609" s="115">
        <f t="shared" si="492"/>
        <v>0</v>
      </c>
      <c r="FP609" s="115">
        <f t="shared" si="492"/>
        <v>0</v>
      </c>
      <c r="FQ609" s="149">
        <f t="shared" si="492"/>
        <v>0.23575199999999974</v>
      </c>
      <c r="FR609" s="142">
        <f t="shared" si="492"/>
        <v>0.19999999999999929</v>
      </c>
      <c r="FS609" s="119">
        <f t="shared" si="492"/>
        <v>-1</v>
      </c>
      <c r="FT609" s="121">
        <f t="shared" si="492"/>
        <v>2</v>
      </c>
      <c r="FU609" s="121">
        <f t="shared" si="512"/>
        <v>-1</v>
      </c>
      <c r="FV609" s="121">
        <f t="shared" si="512"/>
        <v>-0.80000000000000071</v>
      </c>
      <c r="FW609" s="121">
        <f t="shared" si="513"/>
        <v>369.01596241605137</v>
      </c>
      <c r="FX609" s="121">
        <f t="shared" si="514"/>
        <v>-1</v>
      </c>
      <c r="FY609" s="144">
        <f t="shared" si="502"/>
        <v>6.3354811310573078E-4</v>
      </c>
      <c r="FZ609" s="145"/>
      <c r="GA609" s="151"/>
      <c r="GB609" s="145"/>
      <c r="GC609" s="151"/>
      <c r="GD609" s="997" t="s">
        <v>220</v>
      </c>
      <c r="GE609" s="1004"/>
      <c r="GF609" s="1004">
        <v>-0.67047199999999929</v>
      </c>
      <c r="GG609" s="1004"/>
      <c r="GH609" s="1004">
        <v>0</v>
      </c>
      <c r="GI609" s="145" t="s">
        <v>223</v>
      </c>
      <c r="GJ609" s="996">
        <v>-5.8854400000000018</v>
      </c>
      <c r="GK609" s="145"/>
      <c r="GL609" s="996">
        <v>-0.8979475999999984</v>
      </c>
      <c r="GM609" s="1005"/>
      <c r="GN609" s="996">
        <v>-0.51990840000000027</v>
      </c>
      <c r="GO609" s="1006"/>
      <c r="GP609" s="996">
        <v>0</v>
      </c>
      <c r="GQ609" s="1006" t="s">
        <v>203</v>
      </c>
      <c r="GR609" s="996">
        <v>4.5205496160000003</v>
      </c>
      <c r="GS609" s="1006" t="s">
        <v>203</v>
      </c>
      <c r="GT609" s="996">
        <v>-4.5322536160000002</v>
      </c>
      <c r="GU609" s="1006" t="s">
        <v>203</v>
      </c>
      <c r="GV609" s="996">
        <v>-8.5848631000000015</v>
      </c>
      <c r="GW609" s="1006" t="s">
        <v>25</v>
      </c>
      <c r="GX609" s="996">
        <v>23.632863100000002</v>
      </c>
      <c r="GY609" s="1006"/>
      <c r="GZ609" s="996">
        <v>0</v>
      </c>
      <c r="HA609" s="1006"/>
      <c r="HB609" s="996"/>
      <c r="HC609" s="1006"/>
      <c r="HD609" s="996"/>
      <c r="HE609" s="1006"/>
      <c r="HF609" s="996"/>
      <c r="HG609" s="1006"/>
      <c r="HH609" s="996"/>
      <c r="HI609" s="1006"/>
      <c r="HJ609" s="996"/>
      <c r="HK609" s="1006"/>
      <c r="HL609" s="996"/>
      <c r="HM609" s="1006"/>
      <c r="HN609" s="996"/>
      <c r="HO609" s="1006"/>
      <c r="HP609" s="996"/>
      <c r="HQ609" s="1006"/>
      <c r="HR609" s="996"/>
      <c r="HS609" s="1006"/>
      <c r="HT609" s="996"/>
      <c r="HU609" s="1006"/>
      <c r="HV609" s="996"/>
      <c r="HW609" s="1006"/>
      <c r="HX609" s="996"/>
      <c r="HY609" s="1006"/>
      <c r="HZ609" s="996"/>
      <c r="IA609" s="1006"/>
      <c r="IB609" s="996"/>
      <c r="IC609" s="1006"/>
      <c r="ID609" s="996"/>
      <c r="IE609" s="1006"/>
      <c r="IF609" s="996"/>
      <c r="IG609" s="1006"/>
      <c r="IH609" s="996"/>
      <c r="II609" s="1006"/>
      <c r="IJ609" s="996"/>
      <c r="IK609" s="1006"/>
      <c r="IL609" s="996"/>
      <c r="IM609" s="1006"/>
      <c r="IN609" s="996"/>
      <c r="IO609" s="1006"/>
      <c r="IP609" s="996"/>
      <c r="IQ609" s="1006"/>
      <c r="IR609" s="996"/>
      <c r="IS609" s="1006"/>
      <c r="IT609" s="996"/>
      <c r="IU609" s="1006"/>
      <c r="IV609" s="996"/>
      <c r="IW609" s="1006"/>
      <c r="IX609" s="996"/>
      <c r="IY609" s="1006"/>
      <c r="IZ609" s="996"/>
      <c r="JA609" s="1006"/>
      <c r="JB609" s="996"/>
      <c r="JC609" s="1006"/>
      <c r="JD609" s="996"/>
      <c r="JE609" s="1006"/>
      <c r="JF609" s="996"/>
      <c r="JG609" s="1006"/>
      <c r="JH609" s="996"/>
      <c r="JI609" s="1006"/>
      <c r="JJ609" s="996"/>
      <c r="JK609" s="1007"/>
      <c r="JL609" s="1007"/>
      <c r="JM609" s="1007"/>
      <c r="JN609" s="1007"/>
      <c r="JO609" s="1067"/>
      <c r="JP609" s="1007"/>
      <c r="JQ609" s="1008"/>
      <c r="JR609" s="1007"/>
      <c r="JS609" s="1008"/>
      <c r="JT609" s="1007"/>
      <c r="JU609" s="1008"/>
      <c r="JV609" s="1007"/>
      <c r="JW609" s="1008"/>
      <c r="JX609" s="1007"/>
      <c r="JY609" s="1008"/>
      <c r="JZ609" s="1007"/>
      <c r="KA609" s="1008"/>
      <c r="KB609" s="1007"/>
      <c r="KC609" s="1008"/>
      <c r="KD609" s="1007"/>
      <c r="KE609" s="1008"/>
      <c r="KF609" s="1007"/>
      <c r="KG609" s="1008"/>
      <c r="KH609" s="1007"/>
      <c r="KI609" s="1008"/>
      <c r="KJ609" s="1007"/>
      <c r="KK609" s="1008"/>
      <c r="KL609" s="1007"/>
      <c r="KM609" s="1008"/>
      <c r="KN609" s="1007"/>
      <c r="KO609" s="1008"/>
      <c r="KP609" s="1007"/>
      <c r="KQ609" s="1008"/>
      <c r="KR609" s="1007"/>
      <c r="KS609" s="1008"/>
      <c r="KT609" s="1007"/>
      <c r="KU609" s="1008"/>
      <c r="KV609" s="1007"/>
      <c r="KW609" s="1008"/>
      <c r="KX609" s="1007"/>
      <c r="KY609" s="1008"/>
      <c r="KZ609" s="1007"/>
      <c r="LA609" s="1008"/>
      <c r="LB609" s="1007"/>
      <c r="LC609" s="1008"/>
      <c r="LD609" s="1007"/>
      <c r="LE609" s="1008"/>
      <c r="LF609" s="1007"/>
      <c r="LG609" s="1008"/>
      <c r="LH609" s="1007"/>
      <c r="LI609" s="1008"/>
      <c r="LJ609" s="1007"/>
      <c r="LK609" s="1008"/>
      <c r="LL609" s="1007"/>
      <c r="LM609" s="1008"/>
      <c r="LN609" s="1007"/>
      <c r="LO609" s="1008"/>
      <c r="LP609" s="1007"/>
      <c r="LQ609" s="1008"/>
      <c r="LR609" s="1007"/>
      <c r="LS609" s="1008"/>
      <c r="LT609" s="1007"/>
      <c r="LU609" s="1008"/>
      <c r="LV609" s="1007"/>
      <c r="LW609" s="1008"/>
      <c r="LX609" s="1007"/>
      <c r="LY609" s="1009"/>
      <c r="LZ609" s="1010"/>
      <c r="MA609" s="1011"/>
      <c r="MB609" s="1012"/>
      <c r="MC609" s="995"/>
      <c r="MD609" s="996"/>
      <c r="ME609" s="997" t="s">
        <v>220</v>
      </c>
      <c r="MF609" s="997"/>
      <c r="MG609" s="998"/>
      <c r="NR609" s="1000"/>
      <c r="NS609" s="1000"/>
      <c r="NT609" s="1001"/>
      <c r="NU609" s="1000"/>
      <c r="NV609" s="1001"/>
      <c r="NX609" s="1002"/>
      <c r="NZ609" s="1001"/>
      <c r="OA609" s="1001"/>
      <c r="OC609" s="1003"/>
      <c r="OD609" s="1003"/>
      <c r="OE609" s="1001"/>
      <c r="OF609" s="1003"/>
      <c r="OG609" s="1003"/>
      <c r="OH609" s="1003"/>
      <c r="OI609" s="1016"/>
      <c r="QX609" s="1000">
        <f>CN609-CA609</f>
        <v>24</v>
      </c>
      <c r="ASU609" s="999" t="s">
        <v>2057</v>
      </c>
    </row>
    <row r="610" spans="1:466 1191:1191" ht="21" customHeight="1" x14ac:dyDescent="0.25">
      <c r="A610" s="982">
        <f t="shared" si="503"/>
        <v>5125</v>
      </c>
      <c r="B610" s="124">
        <f>SUBTOTAL(103,$J$29:J610)</f>
        <v>582</v>
      </c>
      <c r="C610" s="126">
        <v>45068</v>
      </c>
      <c r="D610" s="124" t="s">
        <v>176</v>
      </c>
      <c r="E610" s="127" t="s">
        <v>177</v>
      </c>
      <c r="F610" s="128" t="s">
        <v>177</v>
      </c>
      <c r="G610" s="127" t="s">
        <v>178</v>
      </c>
      <c r="H610" s="127" t="s">
        <v>179</v>
      </c>
      <c r="I610" s="127" t="s">
        <v>2058</v>
      </c>
      <c r="J610" s="152">
        <v>5125</v>
      </c>
      <c r="K610" s="127" t="s">
        <v>2058</v>
      </c>
      <c r="L610" s="130">
        <v>44594</v>
      </c>
      <c r="M610" s="127" t="s">
        <v>230</v>
      </c>
      <c r="N610" s="127" t="s">
        <v>184</v>
      </c>
      <c r="O610" s="127" t="s">
        <v>185</v>
      </c>
      <c r="P610" s="127" t="s">
        <v>186</v>
      </c>
      <c r="Q610" s="85" t="str">
        <f t="shared" si="500"/>
        <v/>
      </c>
      <c r="R610" s="130"/>
      <c r="S610" s="128"/>
      <c r="T610" s="131"/>
      <c r="U610" s="132">
        <v>203</v>
      </c>
      <c r="V610" s="121">
        <v>218.2</v>
      </c>
      <c r="W610" s="116">
        <v>0.98</v>
      </c>
      <c r="X610" s="116">
        <v>1.66</v>
      </c>
      <c r="Y610" s="116">
        <f>(W610*X610)/((CQ610/100)*W610+(1-CQ610/100)*X610)</f>
        <v>1.0132037867463877</v>
      </c>
      <c r="Z610" s="133">
        <v>1.454</v>
      </c>
      <c r="AA610" s="133">
        <v>0.83599999999999997</v>
      </c>
      <c r="AB610" s="133">
        <v>0.72</v>
      </c>
      <c r="AC610" s="121">
        <v>34.299999999999997</v>
      </c>
      <c r="AD610" s="134">
        <v>1.17</v>
      </c>
      <c r="AE610" s="124">
        <v>177.8</v>
      </c>
      <c r="AF610" s="128">
        <v>9.1999999999999993</v>
      </c>
      <c r="AG610" s="128">
        <v>2152</v>
      </c>
      <c r="AH610" s="127">
        <v>2763</v>
      </c>
      <c r="AI610" s="127">
        <v>2763</v>
      </c>
      <c r="AJ610" s="135">
        <v>44554</v>
      </c>
      <c r="AK610" s="128" t="s">
        <v>1018</v>
      </c>
      <c r="AL610" s="131"/>
      <c r="AM610" s="124" t="s">
        <v>232</v>
      </c>
      <c r="AN610" s="136" t="s">
        <v>2059</v>
      </c>
      <c r="AO610" s="137">
        <v>37.43</v>
      </c>
      <c r="AP610" s="128">
        <v>2152</v>
      </c>
      <c r="AQ610" s="128">
        <v>347</v>
      </c>
      <c r="AR610" s="128"/>
      <c r="AS610" s="128"/>
      <c r="AT610" s="122"/>
      <c r="AU610" s="124" t="s">
        <v>189</v>
      </c>
      <c r="AV610" s="115">
        <f>VLOOKUP(J610,'[63]ТР нефть'!$J$28:$BP$638,39,0)</f>
        <v>499.99999218800002</v>
      </c>
      <c r="AW610" s="115" t="str">
        <f>VLOOKUP(J610,'[63]ТР нефть'!$J$28:$BP$638,40,0)</f>
        <v>ГП</v>
      </c>
      <c r="AX610" s="115">
        <f>VLOOKUP(J610,'[63]ТР нефть'!$J$28:$BP$638,41,0)</f>
        <v>976.00003535200005</v>
      </c>
      <c r="AY610" s="115" t="str">
        <f>VLOOKUP(J610,'[63]ТР нефть'!$J$28:$BP$638,42,0)</f>
        <v>ГК 74 1/8</v>
      </c>
      <c r="AZ610" s="115">
        <f>VLOOKUP(J610,'[63]ТР нефть'!$J$28:$BP$638,43,0)</f>
        <v>1330.9999851560001</v>
      </c>
      <c r="BA610" s="115" t="str">
        <f>VLOOKUP(J610,'[63]ТР нефть'!$J$28:$BP$638,44,0)</f>
        <v>ГК 73 1/8</v>
      </c>
      <c r="BB610" s="115">
        <f>VLOOKUP(J610,'[63]ТР нефть'!$J$28:$BP$638,45,0)</f>
        <v>1578.0000527340001</v>
      </c>
      <c r="BC610" s="115" t="str">
        <f>VLOOKUP(J610,'[63]ТР нефть'!$J$28:$BP$638,46,0)</f>
        <v>ГК 71 1/8</v>
      </c>
      <c r="BD610" s="115">
        <f>VLOOKUP(J610,'[63]ТР нефть'!$J$28:$BP$638,47,0)</f>
        <v>1779.000025781</v>
      </c>
      <c r="BE610" s="115" t="str">
        <f>VLOOKUP(J610,'[63]ТР нефть'!$J$28:$BP$638,48,0)</f>
        <v>ГК 72 1/8</v>
      </c>
      <c r="BF610" s="115">
        <f>VLOOKUP(J610,'[63]ТР нефть'!$J$28:$BP$638,49,0)</f>
        <v>1940</v>
      </c>
      <c r="BG610" s="115" t="str">
        <f>VLOOKUP(J610,'[63]ТР нефть'!$J$28:$BP$638,50,0)</f>
        <v>ЦКсОК 5/16</v>
      </c>
      <c r="BH610" s="115" t="str">
        <f>VLOOKUP(J610,'[63]ТР нефть'!$J$28:$BP$638,51,0)</f>
        <v>-</v>
      </c>
      <c r="BI610" s="115" t="str">
        <f>VLOOKUP(J610,'[63]ТР нефть'!$J$28:$BP$638,52,0)</f>
        <v>-</v>
      </c>
      <c r="BJ610" s="115" t="str">
        <f>IF(IFERROR(VLOOKUP(J610,'[63]ТР нефть'!$J$28:$BP$638,53,0),"-")=0,"-",IFERROR(VLOOKUP(J610,'[63]ТР нефть'!$J$28:$BP$638,53,0),"-"))</f>
        <v>-</v>
      </c>
      <c r="BK610" s="138" t="str">
        <f>IF(IFERROR(VLOOKUP(J610,'[63]ТР нефть'!$J$28:$BP$638,54,0),"-")=0,"-",IFERROR(VLOOKUP(J610,'[63]ТР нефть'!$J$28:$BP$638,54,0),"-"))</f>
        <v>-</v>
      </c>
      <c r="BL610" s="138" t="str">
        <f>IF(IFERROR(VLOOKUP(J610,'[63]ТР нефть'!$J$28:$BP$638,55,0),"-")=0,"-",IFERROR(VLOOKUP(J610,'[63]ТР нефть'!$J$28:$BP$638,55,0),"-"))</f>
        <v>-</v>
      </c>
      <c r="BM610" s="138" t="str">
        <f>IF(IFERROR(VLOOKUP(J610,'[63]ТР нефть'!$J$28:$BP$638,56,0),"-")=0,"-",IFERROR(VLOOKUP(J610,'[63]ТР нефть'!$J$28:$BP$638,56,0),"-"))</f>
        <v>-</v>
      </c>
      <c r="BN610" s="138" t="str">
        <f>IF(IFERROR(VLOOKUP(J610,'[63]ТР нефть'!$J$28:$BP$638,57,0),"-")=0,"-",IFERROR(VLOOKUP(J610,'[63]ТР нефть'!$J$28:$BP$638,57,0),"-"))</f>
        <v>-</v>
      </c>
      <c r="BO610" s="115" t="str">
        <f>IF(IFERROR(VLOOKUP(J610,'[63]ТР нефть'!$J$28:$BP$638,58,0),"-")=0,"-",IFERROR(VLOOKUP(J610,'[63]ТР нефть'!$J$28:$BP$638,58,0),"-"))</f>
        <v>-</v>
      </c>
      <c r="BP610" s="115" t="str">
        <f>IF(IFERROR(VLOOKUP(J610,'[63]ТР нефть'!$J$28:$BP$638,59,0),"-")=0,"-",IFERROR(VLOOKUP(J610,'[63]ТР нефть'!$J$28:$BP$638,59,0),"-"))</f>
        <v>-</v>
      </c>
      <c r="BQ610" s="138">
        <v>2172</v>
      </c>
      <c r="BR610" s="128"/>
      <c r="BS610" s="115"/>
      <c r="BT610" s="128"/>
      <c r="BU610" s="128"/>
      <c r="BV610" s="127">
        <v>12</v>
      </c>
      <c r="BW610" s="127" t="s">
        <v>217</v>
      </c>
      <c r="BX610" s="127" t="s">
        <v>195</v>
      </c>
      <c r="BY610" s="139">
        <v>24</v>
      </c>
      <c r="BZ610" s="139">
        <v>0</v>
      </c>
      <c r="CA610" s="138">
        <v>30</v>
      </c>
      <c r="CB610" s="138">
        <v>40</v>
      </c>
      <c r="CC610" s="138">
        <v>29</v>
      </c>
      <c r="CD610" s="135">
        <v>45017</v>
      </c>
      <c r="CE610" s="138">
        <v>103</v>
      </c>
      <c r="CF610" s="138">
        <v>66</v>
      </c>
      <c r="CG610" s="138"/>
      <c r="CH610" s="138"/>
      <c r="CI610" s="127"/>
      <c r="CJ610" s="138"/>
      <c r="CK610" s="138">
        <f t="shared" si="488"/>
        <v>18</v>
      </c>
      <c r="CL610" s="99"/>
      <c r="CM610" s="99"/>
      <c r="CN610" s="140">
        <v>48</v>
      </c>
      <c r="CO610" s="141">
        <f t="shared" si="504"/>
        <v>7.3835519999999999</v>
      </c>
      <c r="CP610" s="142">
        <v>9.6</v>
      </c>
      <c r="CQ610" s="143">
        <v>8</v>
      </c>
      <c r="CR610" s="138">
        <v>26.5</v>
      </c>
      <c r="CS610" s="139">
        <v>8.4</v>
      </c>
      <c r="CT610" s="138"/>
      <c r="CU610" s="138">
        <f t="shared" si="475"/>
        <v>18.100000000000001</v>
      </c>
      <c r="CV610" s="115">
        <f t="shared" si="476"/>
        <v>2451.3946674987865</v>
      </c>
      <c r="CW610" s="115">
        <f t="shared" si="505"/>
        <v>1015.3639064240625</v>
      </c>
      <c r="CX610" s="133">
        <f t="shared" si="477"/>
        <v>0.17454545454545453</v>
      </c>
      <c r="CY610" s="116"/>
      <c r="CZ610" s="131"/>
      <c r="DA610" s="145" t="str">
        <f t="shared" si="478"/>
        <v>Газлифт</v>
      </c>
      <c r="DB610" s="146">
        <f t="shared" si="468"/>
        <v>7.3835519999999999</v>
      </c>
      <c r="DC610" s="142">
        <f t="shared" si="469"/>
        <v>9.6</v>
      </c>
      <c r="DD610" s="119">
        <f t="shared" si="470"/>
        <v>8</v>
      </c>
      <c r="DE610" s="115">
        <f t="shared" si="471"/>
        <v>18.100000000000001</v>
      </c>
      <c r="DF610" s="121">
        <f t="shared" si="472"/>
        <v>8.4</v>
      </c>
      <c r="DG610" s="115">
        <f t="shared" si="506"/>
        <v>2451.3946674987865</v>
      </c>
      <c r="DH610" s="115">
        <f t="shared" si="507"/>
        <v>48</v>
      </c>
      <c r="DI610" s="147"/>
      <c r="DJ610" s="111"/>
      <c r="DK610" s="112">
        <v>44594</v>
      </c>
      <c r="DL610" s="113">
        <f ca="1">TODAY()-DK610</f>
        <v>510</v>
      </c>
      <c r="DM610" s="114"/>
      <c r="DN610" s="114"/>
      <c r="DO610" s="114"/>
      <c r="DP610" s="114"/>
      <c r="DQ610" s="112">
        <v>44594</v>
      </c>
      <c r="DR610" s="114" t="s">
        <v>324</v>
      </c>
      <c r="DS610" s="114"/>
      <c r="DT610" s="115">
        <v>60</v>
      </c>
      <c r="DU610" s="116">
        <f t="shared" si="515"/>
        <v>0.22325581395348837</v>
      </c>
      <c r="DV610" s="117">
        <f t="shared" si="516"/>
        <v>7.3835519999999999</v>
      </c>
      <c r="DW610" s="118">
        <f t="shared" si="517"/>
        <v>9.6</v>
      </c>
      <c r="DX610" s="119">
        <f t="shared" si="497"/>
        <v>8</v>
      </c>
      <c r="DY610" s="115">
        <f t="shared" si="518"/>
        <v>18.100000000000001</v>
      </c>
      <c r="DZ610" s="117">
        <f t="shared" si="519"/>
        <v>0</v>
      </c>
      <c r="EA610" s="120">
        <f t="shared" si="519"/>
        <v>0</v>
      </c>
      <c r="EB610" s="119">
        <f t="shared" si="501"/>
        <v>0</v>
      </c>
      <c r="EC610" s="121">
        <f t="shared" si="520"/>
        <v>0</v>
      </c>
      <c r="ED610" s="122"/>
      <c r="EE610" s="145">
        <v>12</v>
      </c>
      <c r="EF610" s="115">
        <v>30</v>
      </c>
      <c r="EG610" s="115">
        <v>40</v>
      </c>
      <c r="EH610" s="115">
        <v>29</v>
      </c>
      <c r="EI610" s="128" t="s">
        <v>195</v>
      </c>
      <c r="EJ610" s="121">
        <v>24</v>
      </c>
      <c r="EK610" s="121">
        <v>0</v>
      </c>
      <c r="EL610" s="149">
        <v>7.3835519999999999</v>
      </c>
      <c r="EM610" s="142">
        <v>9.6</v>
      </c>
      <c r="EN610" s="119">
        <v>8</v>
      </c>
      <c r="EO610" s="115">
        <v>26.5</v>
      </c>
      <c r="EP610" s="115">
        <v>2451.3946674987865</v>
      </c>
      <c r="EQ610" s="115">
        <v>66</v>
      </c>
      <c r="ER610" s="115">
        <v>8.4</v>
      </c>
      <c r="ES610" s="115">
        <v>48</v>
      </c>
      <c r="ET610" s="150">
        <v>0.17454545454545453</v>
      </c>
      <c r="EU610" s="145">
        <f t="shared" si="521"/>
        <v>12</v>
      </c>
      <c r="EV610" s="115">
        <f t="shared" si="508"/>
        <v>30</v>
      </c>
      <c r="EW610" s="115">
        <f t="shared" si="508"/>
        <v>40</v>
      </c>
      <c r="EX610" s="115">
        <f t="shared" si="508"/>
        <v>29</v>
      </c>
      <c r="EY610" s="115" t="str">
        <f t="shared" si="489"/>
        <v>Постоянный</v>
      </c>
      <c r="EZ610" s="115">
        <f t="shared" si="489"/>
        <v>24</v>
      </c>
      <c r="FA610" s="115">
        <f t="shared" si="489"/>
        <v>0</v>
      </c>
      <c r="FB610" s="149">
        <f t="shared" si="461"/>
        <v>7.3835519999999999</v>
      </c>
      <c r="FC610" s="142">
        <f t="shared" si="461"/>
        <v>9.6</v>
      </c>
      <c r="FD610" s="119">
        <f t="shared" si="461"/>
        <v>8</v>
      </c>
      <c r="FE610" s="121">
        <f t="shared" si="460"/>
        <v>26.5</v>
      </c>
      <c r="FF610" s="121">
        <f t="shared" si="462"/>
        <v>2451.3946674987865</v>
      </c>
      <c r="FG610" s="121">
        <f t="shared" si="509"/>
        <v>66</v>
      </c>
      <c r="FH610" s="121">
        <f t="shared" si="491"/>
        <v>8.4</v>
      </c>
      <c r="FI610" s="121">
        <f t="shared" si="483"/>
        <v>48</v>
      </c>
      <c r="FJ610" s="144">
        <f t="shared" si="510"/>
        <v>0.17454545454545453</v>
      </c>
      <c r="FK610" s="132">
        <f t="shared" si="511"/>
        <v>0</v>
      </c>
      <c r="FL610" s="115">
        <f t="shared" si="511"/>
        <v>0</v>
      </c>
      <c r="FM610" s="115">
        <f t="shared" si="511"/>
        <v>0</v>
      </c>
      <c r="FN610" s="115">
        <f t="shared" si="511"/>
        <v>0</v>
      </c>
      <c r="FO610" s="115">
        <f t="shared" si="492"/>
        <v>0</v>
      </c>
      <c r="FP610" s="115">
        <f t="shared" si="492"/>
        <v>0</v>
      </c>
      <c r="FQ610" s="149">
        <f t="shared" si="492"/>
        <v>0</v>
      </c>
      <c r="FR610" s="142">
        <f t="shared" si="492"/>
        <v>0</v>
      </c>
      <c r="FS610" s="119">
        <f t="shared" si="492"/>
        <v>0</v>
      </c>
      <c r="FT610" s="121">
        <f t="shared" si="492"/>
        <v>0</v>
      </c>
      <c r="FU610" s="121">
        <f t="shared" si="512"/>
        <v>0</v>
      </c>
      <c r="FV610" s="121">
        <f t="shared" si="512"/>
        <v>0</v>
      </c>
      <c r="FW610" s="121">
        <f t="shared" si="513"/>
        <v>0</v>
      </c>
      <c r="FX610" s="121">
        <f t="shared" si="514"/>
        <v>0</v>
      </c>
      <c r="FY610" s="144">
        <f t="shared" si="502"/>
        <v>0</v>
      </c>
      <c r="FZ610" s="145"/>
      <c r="GA610" s="151"/>
      <c r="GB610" s="145" t="s">
        <v>204</v>
      </c>
      <c r="GC610" s="151" t="s">
        <v>219</v>
      </c>
      <c r="GD610" s="997" t="s">
        <v>220</v>
      </c>
      <c r="GE610" s="1004" t="s">
        <v>204</v>
      </c>
      <c r="GF610" s="1004">
        <v>2.0364960000000005</v>
      </c>
      <c r="GG610" s="1004"/>
      <c r="GH610" s="1004">
        <v>0</v>
      </c>
      <c r="GI610" s="145"/>
      <c r="GJ610" s="996">
        <v>0</v>
      </c>
      <c r="GK610" s="145"/>
      <c r="GL610" s="996">
        <v>-0.527199156</v>
      </c>
      <c r="GM610" s="1005" t="s">
        <v>240</v>
      </c>
      <c r="GN610" s="996">
        <v>-2.7345606816000005</v>
      </c>
      <c r="GO610" s="1006" t="s">
        <v>2060</v>
      </c>
      <c r="GP610" s="996">
        <v>2.4791802375999996</v>
      </c>
      <c r="GQ610" s="1006"/>
      <c r="GR610" s="996">
        <v>0</v>
      </c>
      <c r="GS610" s="1006"/>
      <c r="GT610" s="996">
        <v>-5.2584399999998865E-2</v>
      </c>
      <c r="GU610" s="1006"/>
      <c r="GV610" s="996">
        <v>0.27303759999999944</v>
      </c>
      <c r="GW610" s="1006"/>
      <c r="GX610" s="996">
        <v>0</v>
      </c>
      <c r="GY610" s="1006" t="s">
        <v>204</v>
      </c>
      <c r="GZ610" s="996">
        <v>-16.960433599999998</v>
      </c>
      <c r="HA610" s="1006" t="s">
        <v>204</v>
      </c>
      <c r="HB610" s="996">
        <v>18.225936959999999</v>
      </c>
      <c r="HC610" s="1006" t="s">
        <v>2061</v>
      </c>
      <c r="HD610" s="996">
        <v>-21.062401359999999</v>
      </c>
      <c r="HE610" s="1006"/>
      <c r="HF610" s="996">
        <v>0</v>
      </c>
      <c r="HG610" s="1006" t="s">
        <v>435</v>
      </c>
      <c r="HH610" s="996">
        <v>-8.693919600000001</v>
      </c>
      <c r="HI610" s="1006" t="s">
        <v>308</v>
      </c>
      <c r="HJ610" s="996">
        <v>0</v>
      </c>
      <c r="HK610" s="1006" t="s">
        <v>308</v>
      </c>
      <c r="HL610" s="996">
        <v>34.461258899999997</v>
      </c>
      <c r="HM610" s="1006"/>
      <c r="HN610" s="996"/>
      <c r="HO610" s="1006"/>
      <c r="HP610" s="996"/>
      <c r="HQ610" s="1006"/>
      <c r="HR610" s="996"/>
      <c r="HS610" s="1006"/>
      <c r="HT610" s="996"/>
      <c r="HU610" s="1006"/>
      <c r="HV610" s="996"/>
      <c r="HW610" s="1006"/>
      <c r="HX610" s="996"/>
      <c r="HY610" s="1006"/>
      <c r="HZ610" s="996"/>
      <c r="IA610" s="1006"/>
      <c r="IB610" s="996"/>
      <c r="IC610" s="1006"/>
      <c r="ID610" s="996"/>
      <c r="IE610" s="1006"/>
      <c r="IF610" s="996"/>
      <c r="IG610" s="1006"/>
      <c r="IH610" s="996"/>
      <c r="II610" s="1006"/>
      <c r="IJ610" s="996"/>
      <c r="IK610" s="1006"/>
      <c r="IL610" s="996"/>
      <c r="IM610" s="1006"/>
      <c r="IN610" s="996"/>
      <c r="IO610" s="1006"/>
      <c r="IP610" s="996"/>
      <c r="IQ610" s="1006"/>
      <c r="IR610" s="996"/>
      <c r="IS610" s="1006"/>
      <c r="IT610" s="996"/>
      <c r="IU610" s="1006"/>
      <c r="IV610" s="996"/>
      <c r="IW610" s="1006"/>
      <c r="IX610" s="996"/>
      <c r="IY610" s="1006"/>
      <c r="IZ610" s="996"/>
      <c r="JA610" s="1006"/>
      <c r="JB610" s="996"/>
      <c r="JC610" s="1006"/>
      <c r="JD610" s="996"/>
      <c r="JE610" s="1006"/>
      <c r="JF610" s="996"/>
      <c r="JG610" s="1006"/>
      <c r="JH610" s="996"/>
      <c r="JI610" s="1006"/>
      <c r="JJ610" s="996"/>
      <c r="JK610" s="1007"/>
      <c r="JL610" s="1007"/>
      <c r="JM610" s="1007"/>
      <c r="JN610" s="1007"/>
      <c r="JO610" s="1067"/>
      <c r="JP610" s="1007"/>
      <c r="JQ610" s="1008"/>
      <c r="JR610" s="1007"/>
      <c r="JS610" s="1008"/>
      <c r="JT610" s="1007"/>
      <c r="JU610" s="1008"/>
      <c r="JV610" s="1007"/>
      <c r="JW610" s="1008"/>
      <c r="JX610" s="1007"/>
      <c r="JY610" s="1008"/>
      <c r="JZ610" s="1007"/>
      <c r="KA610" s="1008"/>
      <c r="KB610" s="1007"/>
      <c r="KC610" s="1008"/>
      <c r="KD610" s="1007"/>
      <c r="KE610" s="1008"/>
      <c r="KF610" s="1007"/>
      <c r="KG610" s="1008"/>
      <c r="KH610" s="1007"/>
      <c r="KI610" s="1008"/>
      <c r="KJ610" s="1007"/>
      <c r="KK610" s="1008"/>
      <c r="KL610" s="1007"/>
      <c r="KM610" s="1008"/>
      <c r="KN610" s="1007"/>
      <c r="KO610" s="1008"/>
      <c r="KP610" s="1007"/>
      <c r="KQ610" s="1008"/>
      <c r="KR610" s="1007"/>
      <c r="KS610" s="1008"/>
      <c r="KT610" s="1007"/>
      <c r="KU610" s="1008"/>
      <c r="KV610" s="1007"/>
      <c r="KW610" s="1008"/>
      <c r="KX610" s="1007"/>
      <c r="KY610" s="1008"/>
      <c r="KZ610" s="1007"/>
      <c r="LA610" s="1008"/>
      <c r="LB610" s="1007"/>
      <c r="LC610" s="1008"/>
      <c r="LD610" s="1007"/>
      <c r="LE610" s="1008"/>
      <c r="LF610" s="1007"/>
      <c r="LG610" s="1008"/>
      <c r="LH610" s="1007"/>
      <c r="LI610" s="1008"/>
      <c r="LJ610" s="1007"/>
      <c r="LK610" s="1008"/>
      <c r="LL610" s="1007"/>
      <c r="LM610" s="1008"/>
      <c r="LN610" s="1007"/>
      <c r="LO610" s="1008"/>
      <c r="LP610" s="1007"/>
      <c r="LQ610" s="1008"/>
      <c r="LR610" s="1007"/>
      <c r="LS610" s="1008"/>
      <c r="LT610" s="1007"/>
      <c r="LU610" s="1008"/>
      <c r="LV610" s="1007"/>
      <c r="LW610" s="1008"/>
      <c r="LX610" s="1007"/>
      <c r="LY610" s="1009"/>
      <c r="LZ610" s="1010"/>
      <c r="MA610" s="1011"/>
      <c r="MB610" s="1012"/>
      <c r="MC610" s="995"/>
      <c r="MD610" s="996"/>
      <c r="ME610" s="997" t="s">
        <v>220</v>
      </c>
      <c r="MF610" s="997"/>
      <c r="MG610" s="998"/>
      <c r="NR610" s="1000"/>
      <c r="NS610" s="1000"/>
      <c r="NT610" s="1001"/>
      <c r="NU610" s="1000"/>
      <c r="NV610" s="1001"/>
      <c r="NX610" s="1002"/>
      <c r="NZ610" s="1001"/>
      <c r="OA610" s="1001"/>
      <c r="OC610" s="1003"/>
      <c r="OD610" s="1003"/>
      <c r="OE610" s="1001"/>
      <c r="OF610" s="1003"/>
      <c r="OG610" s="1003"/>
      <c r="OH610" s="1003"/>
      <c r="OI610" s="1016"/>
      <c r="QX610" s="1000">
        <f>CN610-CA610</f>
        <v>18</v>
      </c>
      <c r="ASU610" s="999" t="s">
        <v>208</v>
      </c>
    </row>
    <row r="611" spans="1:466 1191:1191" ht="21" customHeight="1" x14ac:dyDescent="0.25">
      <c r="A611" s="982">
        <f t="shared" si="503"/>
        <v>5179</v>
      </c>
      <c r="B611" s="124">
        <f>SUBTOTAL(103,$J$29:J611)</f>
        <v>583</v>
      </c>
      <c r="C611" s="126">
        <v>45068</v>
      </c>
      <c r="D611" s="124" t="s">
        <v>176</v>
      </c>
      <c r="E611" s="127" t="s">
        <v>177</v>
      </c>
      <c r="F611" s="128" t="s">
        <v>177</v>
      </c>
      <c r="G611" s="127" t="s">
        <v>178</v>
      </c>
      <c r="H611" s="127" t="s">
        <v>179</v>
      </c>
      <c r="I611" s="127" t="s">
        <v>2062</v>
      </c>
      <c r="J611" s="152">
        <v>5179</v>
      </c>
      <c r="K611" s="127" t="s">
        <v>2062</v>
      </c>
      <c r="L611" s="130">
        <v>44371</v>
      </c>
      <c r="M611" s="127" t="s">
        <v>230</v>
      </c>
      <c r="N611" s="127" t="s">
        <v>184</v>
      </c>
      <c r="O611" s="127" t="s">
        <v>185</v>
      </c>
      <c r="P611" s="127" t="s">
        <v>292</v>
      </c>
      <c r="Q611" s="85" t="str">
        <f t="shared" si="500"/>
        <v/>
      </c>
      <c r="R611" s="130"/>
      <c r="S611" s="128"/>
      <c r="T611" s="131"/>
      <c r="U611" s="132">
        <v>203</v>
      </c>
      <c r="V611" s="121">
        <v>218.2</v>
      </c>
      <c r="W611" s="116">
        <v>0.98</v>
      </c>
      <c r="X611" s="116">
        <v>1.66</v>
      </c>
      <c r="Y611" s="116">
        <f>(W611*X611)/((CQ611/100)*W611+(1-CQ611/100)*X611)</f>
        <v>1.6485610052695578</v>
      </c>
      <c r="Z611" s="133">
        <v>1.454</v>
      </c>
      <c r="AA611" s="133">
        <v>0.83599999999999997</v>
      </c>
      <c r="AB611" s="133">
        <v>0.72</v>
      </c>
      <c r="AC611" s="121">
        <v>34.299999999999997</v>
      </c>
      <c r="AD611" s="134">
        <v>1.17</v>
      </c>
      <c r="AE611" s="124">
        <v>177.8</v>
      </c>
      <c r="AF611" s="128">
        <v>9.19</v>
      </c>
      <c r="AG611" s="128">
        <v>2024.5</v>
      </c>
      <c r="AH611" s="127">
        <v>2933</v>
      </c>
      <c r="AI611" s="127">
        <v>2933</v>
      </c>
      <c r="AJ611" s="135">
        <v>44351</v>
      </c>
      <c r="AK611" s="128" t="s">
        <v>1018</v>
      </c>
      <c r="AL611" s="131"/>
      <c r="AM611" s="124" t="s">
        <v>232</v>
      </c>
      <c r="AN611" s="136" t="s">
        <v>2063</v>
      </c>
      <c r="AO611" s="137">
        <v>131.33962495676246</v>
      </c>
      <c r="AP611" s="128">
        <v>2024.5</v>
      </c>
      <c r="AQ611" s="128">
        <v>279.82201271186455</v>
      </c>
      <c r="AR611" s="128"/>
      <c r="AS611" s="128"/>
      <c r="AT611" s="122"/>
      <c r="AU611" s="124" t="s">
        <v>189</v>
      </c>
      <c r="AV611" s="115">
        <f>VLOOKUP(J611,'[63]ТР нефть'!$J$28:$BP$638,39,0)</f>
        <v>460.00001513699999</v>
      </c>
      <c r="AW611" s="115" t="str">
        <f>VLOOKUP(J611,'[63]ТР нефть'!$J$28:$BP$638,40,0)</f>
        <v>ГК 78 1/8</v>
      </c>
      <c r="AX611" s="115">
        <f>VLOOKUP(J611,'[63]ТР нефть'!$J$28:$BP$638,41,0)</f>
        <v>809.99997246099997</v>
      </c>
      <c r="AY611" s="115" t="str">
        <f>VLOOKUP(J611,'[63]ТР нефть'!$J$28:$BP$638,42,0)</f>
        <v>ГК 81 1/8</v>
      </c>
      <c r="AZ611" s="115">
        <f>VLOOKUP(J611,'[63]ТР нефть'!$J$28:$BP$638,43,0)</f>
        <v>1080.0000128910001</v>
      </c>
      <c r="BA611" s="115" t="str">
        <f>VLOOKUP(J611,'[63]ТР нефть'!$J$28:$BP$638,44,0)</f>
        <v>ГК 83 1/8</v>
      </c>
      <c r="BB611" s="115">
        <f>VLOOKUP(J611,'[63]ТР нефть'!$J$28:$BP$638,45,0)</f>
        <v>1360.0000382809999</v>
      </c>
      <c r="BC611" s="115" t="str">
        <f>VLOOKUP(J611,'[63]ТР нефть'!$J$28:$BP$638,46,0)</f>
        <v>ГК 85 1 /8</v>
      </c>
      <c r="BD611" s="115">
        <f>VLOOKUP(J611,'[63]ТР нефть'!$J$28:$BP$638,47,0)</f>
        <v>1599.9999749999999</v>
      </c>
      <c r="BE611" s="115" t="str">
        <f>VLOOKUP(J611,'[63]ТР нефть'!$J$28:$BP$638,48,0)</f>
        <v>ГК 87 5/32</v>
      </c>
      <c r="BF611" s="115">
        <f>VLOOKUP(J611,'[63]ТР нефть'!$J$28:$BP$638,49,0)</f>
        <v>1890</v>
      </c>
      <c r="BG611" s="115" t="str">
        <f>VLOOKUP(J611,'[63]ТР нефть'!$J$28:$BP$638,50,0)</f>
        <v>ЦКсОК 5/16</v>
      </c>
      <c r="BH611" s="115" t="str">
        <f>VLOOKUP(J611,'[63]ТР нефть'!$J$28:$BP$638,51,0)</f>
        <v>-</v>
      </c>
      <c r="BI611" s="115" t="str">
        <f>VLOOKUP(J611,'[63]ТР нефть'!$J$28:$BP$638,52,0)</f>
        <v>-</v>
      </c>
      <c r="BJ611" s="115" t="str">
        <f>IF(IFERROR(VLOOKUP(J611,'[63]ТР нефть'!$J$28:$BP$638,53,0),"-")=0,"-",IFERROR(VLOOKUP(J611,'[63]ТР нефть'!$J$28:$BP$638,53,0),"-"))</f>
        <v>-</v>
      </c>
      <c r="BK611" s="138" t="str">
        <f>IF(IFERROR(VLOOKUP(J611,'[63]ТР нефть'!$J$28:$BP$638,54,0),"-")=0,"-",IFERROR(VLOOKUP(J611,'[63]ТР нефть'!$J$28:$BP$638,54,0),"-"))</f>
        <v>-</v>
      </c>
      <c r="BL611" s="138" t="str">
        <f>IF(IFERROR(VLOOKUP(J611,'[63]ТР нефть'!$J$28:$BP$638,55,0),"-")=0,"-",IFERROR(VLOOKUP(J611,'[63]ТР нефть'!$J$28:$BP$638,55,0),"-"))</f>
        <v>-</v>
      </c>
      <c r="BM611" s="138" t="str">
        <f>IF(IFERROR(VLOOKUP(J611,'[63]ТР нефть'!$J$28:$BP$638,56,0),"-")=0,"-",IFERROR(VLOOKUP(J611,'[63]ТР нефть'!$J$28:$BP$638,56,0),"-"))</f>
        <v>-</v>
      </c>
      <c r="BN611" s="138" t="str">
        <f>IF(IFERROR(VLOOKUP(J611,'[63]ТР нефть'!$J$28:$BP$638,57,0),"-")=0,"-",IFERROR(VLOOKUP(J611,'[63]ТР нефть'!$J$28:$BP$638,57,0),"-"))</f>
        <v>-</v>
      </c>
      <c r="BO611" s="115" t="str">
        <f>IF(IFERROR(VLOOKUP(J611,'[63]ТР нефть'!$J$28:$BP$638,58,0),"-")=0,"-",IFERROR(VLOOKUP(J611,'[63]ТР нефть'!$J$28:$BP$638,58,0),"-"))</f>
        <v>-</v>
      </c>
      <c r="BP611" s="115" t="str">
        <f>IF(IFERROR(VLOOKUP(J611,'[63]ТР нефть'!$J$28:$BP$638,59,0),"-")=0,"-",IFERROR(VLOOKUP(J611,'[63]ТР нефть'!$J$28:$BP$638,59,0),"-"))</f>
        <v>-</v>
      </c>
      <c r="BQ611" s="138">
        <v>2074</v>
      </c>
      <c r="BR611" s="128">
        <v>1767.5507074973602</v>
      </c>
      <c r="BS611" s="115">
        <v>306.44929250263976</v>
      </c>
      <c r="BT611" s="128">
        <v>73</v>
      </c>
      <c r="BU611" s="128">
        <v>5.5</v>
      </c>
      <c r="BV611" s="127">
        <v>18</v>
      </c>
      <c r="BW611" s="127" t="s">
        <v>217</v>
      </c>
      <c r="BX611" s="127" t="s">
        <v>218</v>
      </c>
      <c r="BY611" s="139">
        <v>24</v>
      </c>
      <c r="BZ611" s="139">
        <v>720</v>
      </c>
      <c r="CA611" s="138">
        <v>41</v>
      </c>
      <c r="CB611" s="138">
        <v>75</v>
      </c>
      <c r="CC611" s="138">
        <v>38</v>
      </c>
      <c r="CD611" s="135">
        <v>45017</v>
      </c>
      <c r="CE611" s="138">
        <v>137.19999999999999</v>
      </c>
      <c r="CF611" s="138">
        <v>76</v>
      </c>
      <c r="CG611" s="138" t="str">
        <f>IF(CH611&lt;&gt;"","В работе","")</f>
        <v/>
      </c>
      <c r="CH611" s="138" t="s">
        <v>197</v>
      </c>
      <c r="CI611" s="127">
        <v>5</v>
      </c>
      <c r="CJ611" s="138"/>
      <c r="CK611" s="138">
        <f t="shared" si="488"/>
        <v>79</v>
      </c>
      <c r="CL611" s="99"/>
      <c r="CM611" s="99"/>
      <c r="CN611" s="140">
        <v>120</v>
      </c>
      <c r="CO611" s="141">
        <f t="shared" si="504"/>
        <v>4.8488000000000038E-2</v>
      </c>
      <c r="CP611" s="142">
        <v>5.8</v>
      </c>
      <c r="CQ611" s="143">
        <v>99</v>
      </c>
      <c r="CR611" s="138">
        <v>9.11</v>
      </c>
      <c r="CS611" s="139">
        <v>9.1</v>
      </c>
      <c r="CT611" s="138"/>
      <c r="CU611" s="138">
        <f t="shared" si="475"/>
        <v>9.9999999999997868E-3</v>
      </c>
      <c r="CV611" s="115">
        <f t="shared" si="476"/>
        <v>206.23659462134506</v>
      </c>
      <c r="CW611" s="115">
        <f t="shared" si="505"/>
        <v>1358.6704976197884</v>
      </c>
      <c r="CX611" s="133">
        <f t="shared" si="477"/>
        <v>0.33720930232558161</v>
      </c>
      <c r="CY611" s="116"/>
      <c r="CZ611" s="131"/>
      <c r="DA611" s="145" t="str">
        <f t="shared" si="478"/>
        <v>Газлифт</v>
      </c>
      <c r="DB611" s="146">
        <f t="shared" si="468"/>
        <v>4.8488000000000038E-2</v>
      </c>
      <c r="DC611" s="142">
        <f t="shared" si="469"/>
        <v>5.8</v>
      </c>
      <c r="DD611" s="119">
        <f t="shared" si="470"/>
        <v>99</v>
      </c>
      <c r="DE611" s="115">
        <f t="shared" si="471"/>
        <v>9.9999999999997868E-3</v>
      </c>
      <c r="DF611" s="121">
        <f t="shared" si="472"/>
        <v>9.1</v>
      </c>
      <c r="DG611" s="115">
        <f t="shared" si="506"/>
        <v>206.23659462134506</v>
      </c>
      <c r="DH611" s="115">
        <f t="shared" si="507"/>
        <v>120</v>
      </c>
      <c r="DI611" s="147"/>
      <c r="DJ611" s="111"/>
      <c r="DK611" s="112">
        <v>44371</v>
      </c>
      <c r="DL611" s="113">
        <f ca="1">TODAY()-DK611</f>
        <v>733</v>
      </c>
      <c r="DM611" s="114"/>
      <c r="DN611" s="114"/>
      <c r="DO611" s="114"/>
      <c r="DP611" s="114"/>
      <c r="DQ611" s="112"/>
      <c r="DR611" s="114"/>
      <c r="DS611" s="114"/>
      <c r="DT611" s="115">
        <v>60</v>
      </c>
      <c r="DU611" s="116">
        <f t="shared" si="515"/>
        <v>0.26780086959990451</v>
      </c>
      <c r="DV611" s="117">
        <f t="shared" si="516"/>
        <v>0.17283653883282168</v>
      </c>
      <c r="DW611" s="118">
        <f t="shared" si="517"/>
        <v>20.674227133112623</v>
      </c>
      <c r="DX611" s="119">
        <f t="shared" si="497"/>
        <v>99</v>
      </c>
      <c r="DY611" s="115">
        <f t="shared" si="518"/>
        <v>3.5645219195021005E-2</v>
      </c>
      <c r="DZ611" s="117">
        <f t="shared" si="519"/>
        <v>0.12434853883282165</v>
      </c>
      <c r="EA611" s="120">
        <f t="shared" si="519"/>
        <v>14.874227133112623</v>
      </c>
      <c r="EB611" s="119">
        <f t="shared" si="501"/>
        <v>0</v>
      </c>
      <c r="EC611" s="121">
        <f t="shared" si="520"/>
        <v>2.5645219195021218E-2</v>
      </c>
      <c r="ED611" s="122"/>
      <c r="EE611" s="145">
        <v>18</v>
      </c>
      <c r="EF611" s="115">
        <v>41</v>
      </c>
      <c r="EG611" s="115">
        <v>75</v>
      </c>
      <c r="EH611" s="115">
        <v>38</v>
      </c>
      <c r="EI611" s="128" t="s">
        <v>218</v>
      </c>
      <c r="EJ611" s="121">
        <v>24</v>
      </c>
      <c r="EK611" s="121">
        <v>720</v>
      </c>
      <c r="EL611" s="149">
        <v>4.8488000000000038E-2</v>
      </c>
      <c r="EM611" s="142">
        <v>5.8</v>
      </c>
      <c r="EN611" s="119">
        <v>99</v>
      </c>
      <c r="EO611" s="115">
        <v>9.11</v>
      </c>
      <c r="EP611" s="115">
        <v>206.23659462134506</v>
      </c>
      <c r="EQ611" s="115">
        <v>76</v>
      </c>
      <c r="ER611" s="115">
        <v>9.1</v>
      </c>
      <c r="ES611" s="115">
        <v>120</v>
      </c>
      <c r="ET611" s="150">
        <v>0.33720930232558161</v>
      </c>
      <c r="EU611" s="145">
        <f t="shared" si="521"/>
        <v>18</v>
      </c>
      <c r="EV611" s="115">
        <f t="shared" si="508"/>
        <v>41</v>
      </c>
      <c r="EW611" s="115">
        <f t="shared" si="508"/>
        <v>75</v>
      </c>
      <c r="EX611" s="115">
        <f t="shared" si="508"/>
        <v>38</v>
      </c>
      <c r="EY611" s="115" t="str">
        <f t="shared" si="489"/>
        <v>Периодический</v>
      </c>
      <c r="EZ611" s="115">
        <f t="shared" si="489"/>
        <v>24</v>
      </c>
      <c r="FA611" s="115">
        <f t="shared" si="489"/>
        <v>720</v>
      </c>
      <c r="FB611" s="149">
        <f t="shared" si="461"/>
        <v>4.8488000000000038E-2</v>
      </c>
      <c r="FC611" s="142">
        <f t="shared" si="461"/>
        <v>5.8</v>
      </c>
      <c r="FD611" s="119">
        <f t="shared" si="461"/>
        <v>99</v>
      </c>
      <c r="FE611" s="121">
        <f t="shared" si="460"/>
        <v>9.11</v>
      </c>
      <c r="FF611" s="121">
        <f t="shared" si="462"/>
        <v>206.23659462134506</v>
      </c>
      <c r="FG611" s="121">
        <f t="shared" si="509"/>
        <v>76</v>
      </c>
      <c r="FH611" s="121">
        <f t="shared" si="491"/>
        <v>9.1</v>
      </c>
      <c r="FI611" s="121">
        <f t="shared" si="483"/>
        <v>120</v>
      </c>
      <c r="FJ611" s="144">
        <f t="shared" si="510"/>
        <v>0.33720930232558161</v>
      </c>
      <c r="FK611" s="132">
        <f t="shared" si="511"/>
        <v>0</v>
      </c>
      <c r="FL611" s="115">
        <f t="shared" si="511"/>
        <v>0</v>
      </c>
      <c r="FM611" s="115">
        <f t="shared" si="511"/>
        <v>0</v>
      </c>
      <c r="FN611" s="115">
        <f t="shared" si="511"/>
        <v>0</v>
      </c>
      <c r="FO611" s="115">
        <f t="shared" si="492"/>
        <v>0</v>
      </c>
      <c r="FP611" s="115">
        <f t="shared" si="492"/>
        <v>0</v>
      </c>
      <c r="FQ611" s="149">
        <f t="shared" si="492"/>
        <v>0</v>
      </c>
      <c r="FR611" s="142">
        <f t="shared" si="492"/>
        <v>0</v>
      </c>
      <c r="FS611" s="119">
        <f t="shared" si="492"/>
        <v>0</v>
      </c>
      <c r="FT611" s="121">
        <f t="shared" si="492"/>
        <v>0</v>
      </c>
      <c r="FU611" s="121">
        <f t="shared" si="512"/>
        <v>0</v>
      </c>
      <c r="FV611" s="121">
        <f t="shared" si="512"/>
        <v>0</v>
      </c>
      <c r="FW611" s="121">
        <f t="shared" si="513"/>
        <v>0</v>
      </c>
      <c r="FX611" s="121">
        <f t="shared" si="514"/>
        <v>0</v>
      </c>
      <c r="FY611" s="144">
        <f t="shared" si="502"/>
        <v>0</v>
      </c>
      <c r="FZ611" s="145"/>
      <c r="GA611" s="151" t="s">
        <v>2064</v>
      </c>
      <c r="GB611" s="145"/>
      <c r="GC611" s="151" t="s">
        <v>2065</v>
      </c>
      <c r="GD611" s="997" t="s">
        <v>220</v>
      </c>
      <c r="GE611" s="1004"/>
      <c r="GF611" s="1004">
        <v>0</v>
      </c>
      <c r="GG611" s="1004"/>
      <c r="GH611" s="1004">
        <v>0</v>
      </c>
      <c r="GI611" s="145"/>
      <c r="GJ611" s="996">
        <v>4.7652000000000132E-2</v>
      </c>
      <c r="GK611" s="145"/>
      <c r="GL611" s="996">
        <v>0</v>
      </c>
      <c r="GM611" s="1005"/>
      <c r="GN611" s="996">
        <v>0</v>
      </c>
      <c r="GO611" s="1006"/>
      <c r="GP611" s="996">
        <v>0</v>
      </c>
      <c r="GQ611" s="1006"/>
      <c r="GR611" s="996">
        <v>0</v>
      </c>
      <c r="GS611" s="1006"/>
      <c r="GT611" s="996">
        <v>0</v>
      </c>
      <c r="GU611" s="1006"/>
      <c r="GV611" s="996">
        <v>0</v>
      </c>
      <c r="GW611" s="1006"/>
      <c r="GX611" s="996">
        <v>0</v>
      </c>
      <c r="GY611" s="1006"/>
      <c r="GZ611" s="996">
        <v>0</v>
      </c>
      <c r="HA611" s="1006"/>
      <c r="HB611" s="996">
        <v>0</v>
      </c>
      <c r="HC611" s="1006"/>
      <c r="HD611" s="996">
        <v>0</v>
      </c>
      <c r="HE611" s="1006"/>
      <c r="HF611" s="996">
        <v>0</v>
      </c>
      <c r="HG611" s="1006"/>
      <c r="HH611" s="996">
        <v>0</v>
      </c>
      <c r="HI611" s="1006"/>
      <c r="HJ611" s="996">
        <v>0</v>
      </c>
      <c r="HK611" s="1006"/>
      <c r="HL611" s="996">
        <v>0</v>
      </c>
      <c r="HM611" s="1006"/>
      <c r="HN611" s="996">
        <v>0</v>
      </c>
      <c r="HO611" s="1006"/>
      <c r="HP611" s="996">
        <v>-1.939519999999785E-3</v>
      </c>
      <c r="HQ611" s="1006"/>
      <c r="HR611" s="996">
        <v>0</v>
      </c>
      <c r="HS611" s="1006"/>
      <c r="HT611" s="996">
        <v>0</v>
      </c>
      <c r="HU611" s="1006" t="s">
        <v>886</v>
      </c>
      <c r="HV611" s="996">
        <v>-35.744561899639997</v>
      </c>
      <c r="HW611" s="1006"/>
      <c r="HX611" s="996">
        <v>5.4196399972283871E-6</v>
      </c>
      <c r="HY611" s="1006"/>
      <c r="HZ611" s="996"/>
      <c r="IA611" s="1006"/>
      <c r="IB611" s="996"/>
      <c r="IC611" s="1006"/>
      <c r="ID611" s="996"/>
      <c r="IE611" s="1006"/>
      <c r="IF611" s="996"/>
      <c r="IG611" s="1006"/>
      <c r="IH611" s="996"/>
      <c r="II611" s="1006"/>
      <c r="IJ611" s="996"/>
      <c r="IK611" s="1006"/>
      <c r="IL611" s="996"/>
      <c r="IM611" s="1006"/>
      <c r="IN611" s="996"/>
      <c r="IO611" s="1006"/>
      <c r="IP611" s="996"/>
      <c r="IQ611" s="1006"/>
      <c r="IR611" s="996"/>
      <c r="IS611" s="1006"/>
      <c r="IT611" s="996"/>
      <c r="IU611" s="1006"/>
      <c r="IV611" s="996"/>
      <c r="IW611" s="1006"/>
      <c r="IX611" s="996"/>
      <c r="IY611" s="1006"/>
      <c r="IZ611" s="996"/>
      <c r="JA611" s="1006"/>
      <c r="JB611" s="996"/>
      <c r="JC611" s="1006"/>
      <c r="JD611" s="996"/>
      <c r="JE611" s="1006"/>
      <c r="JF611" s="996"/>
      <c r="JG611" s="1006"/>
      <c r="JH611" s="996"/>
      <c r="JI611" s="1006"/>
      <c r="JJ611" s="996"/>
      <c r="JK611" s="1007"/>
      <c r="JL611" s="1007"/>
      <c r="JM611" s="1007"/>
      <c r="JN611" s="1007"/>
      <c r="JO611" s="1067"/>
      <c r="JP611" s="1007"/>
      <c r="JQ611" s="1008"/>
      <c r="JR611" s="1007"/>
      <c r="JS611" s="1008"/>
      <c r="JT611" s="1007"/>
      <c r="JU611" s="1008"/>
      <c r="JV611" s="1007"/>
      <c r="JW611" s="1008"/>
      <c r="JX611" s="1007"/>
      <c r="JY611" s="1008"/>
      <c r="JZ611" s="1007"/>
      <c r="KA611" s="1008"/>
      <c r="KB611" s="1007"/>
      <c r="KC611" s="1008"/>
      <c r="KD611" s="1007"/>
      <c r="KE611" s="1008"/>
      <c r="KF611" s="1007"/>
      <c r="KG611" s="1008"/>
      <c r="KH611" s="1007"/>
      <c r="KI611" s="1008"/>
      <c r="KJ611" s="1007"/>
      <c r="KK611" s="1008"/>
      <c r="KL611" s="1007"/>
      <c r="KM611" s="1008"/>
      <c r="KN611" s="1007"/>
      <c r="KO611" s="1008"/>
      <c r="KP611" s="1007"/>
      <c r="KQ611" s="1008"/>
      <c r="KR611" s="1007"/>
      <c r="KS611" s="1008"/>
      <c r="KT611" s="1007"/>
      <c r="KU611" s="1008"/>
      <c r="KV611" s="1007"/>
      <c r="KW611" s="1008"/>
      <c r="KX611" s="1007"/>
      <c r="KY611" s="1008"/>
      <c r="KZ611" s="1007"/>
      <c r="LA611" s="1008"/>
      <c r="LB611" s="1007"/>
      <c r="LC611" s="1008"/>
      <c r="LD611" s="1007"/>
      <c r="LE611" s="1008"/>
      <c r="LF611" s="1007"/>
      <c r="LG611" s="1008"/>
      <c r="LH611" s="1007"/>
      <c r="LI611" s="1008"/>
      <c r="LJ611" s="1007"/>
      <c r="LK611" s="1008"/>
      <c r="LL611" s="1007"/>
      <c r="LM611" s="1008"/>
      <c r="LN611" s="1007"/>
      <c r="LO611" s="1008"/>
      <c r="LP611" s="1007"/>
      <c r="LQ611" s="1008"/>
      <c r="LR611" s="1007"/>
      <c r="LS611" s="1008"/>
      <c r="LT611" s="1007"/>
      <c r="LU611" s="1008"/>
      <c r="LV611" s="1007"/>
      <c r="LW611" s="1008"/>
      <c r="LX611" s="1007"/>
      <c r="LY611" s="1009"/>
      <c r="LZ611" s="1010"/>
      <c r="MA611" s="1011"/>
      <c r="MB611" s="1012"/>
      <c r="MC611" s="995"/>
      <c r="MD611" s="996"/>
      <c r="ME611" s="997" t="s">
        <v>220</v>
      </c>
      <c r="MF611" s="997"/>
      <c r="MG611" s="998"/>
      <c r="NR611" s="1000"/>
      <c r="NS611" s="1000"/>
      <c r="NT611" s="1001"/>
      <c r="NU611" s="1000"/>
      <c r="NV611" s="1001"/>
      <c r="NX611" s="1002"/>
      <c r="NZ611" s="1001"/>
      <c r="OA611" s="1001"/>
      <c r="OC611" s="1003"/>
      <c r="OD611" s="1003"/>
      <c r="OE611" s="1001"/>
      <c r="OF611" s="1003"/>
      <c r="OG611" s="1003"/>
      <c r="QX611" s="1000">
        <f>CN611-CA611</f>
        <v>79</v>
      </c>
      <c r="ASU611" s="999" t="s">
        <v>225</v>
      </c>
    </row>
    <row r="612" spans="1:466 1191:1191" ht="21" customHeight="1" x14ac:dyDescent="0.25">
      <c r="A612" s="982">
        <f t="shared" si="503"/>
        <v>5180</v>
      </c>
      <c r="B612" s="124">
        <f>SUBTOTAL(103,$J$29:J612)</f>
        <v>584</v>
      </c>
      <c r="C612" s="126">
        <v>45068</v>
      </c>
      <c r="D612" s="124" t="s">
        <v>176</v>
      </c>
      <c r="E612" s="127" t="s">
        <v>177</v>
      </c>
      <c r="F612" s="128" t="s">
        <v>177</v>
      </c>
      <c r="G612" s="127" t="s">
        <v>178</v>
      </c>
      <c r="H612" s="127" t="s">
        <v>179</v>
      </c>
      <c r="I612" s="127" t="s">
        <v>2049</v>
      </c>
      <c r="J612" s="152">
        <v>5180</v>
      </c>
      <c r="K612" s="127" t="s">
        <v>2049</v>
      </c>
      <c r="L612" s="130">
        <v>44802</v>
      </c>
      <c r="M612" s="127" t="s">
        <v>230</v>
      </c>
      <c r="N612" s="127" t="s">
        <v>184</v>
      </c>
      <c r="O612" s="127" t="s">
        <v>185</v>
      </c>
      <c r="P612" s="127" t="s">
        <v>186</v>
      </c>
      <c r="Q612" s="85" t="str">
        <f t="shared" si="500"/>
        <v/>
      </c>
      <c r="R612" s="130"/>
      <c r="S612" s="128"/>
      <c r="T612" s="131"/>
      <c r="U612" s="132">
        <v>203</v>
      </c>
      <c r="V612" s="121">
        <v>218.2</v>
      </c>
      <c r="W612" s="116">
        <v>0.98</v>
      </c>
      <c r="X612" s="116">
        <v>1.66</v>
      </c>
      <c r="Y612" s="116">
        <v>1.658848961944773</v>
      </c>
      <c r="Z612" s="133">
        <v>1.454</v>
      </c>
      <c r="AA612" s="133">
        <v>0.83599999999999997</v>
      </c>
      <c r="AB612" s="133">
        <v>0.72</v>
      </c>
      <c r="AC612" s="121">
        <v>34.299999999999997</v>
      </c>
      <c r="AD612" s="134">
        <v>1.17</v>
      </c>
      <c r="AE612" s="124">
        <v>178</v>
      </c>
      <c r="AF612" s="128">
        <v>9.19</v>
      </c>
      <c r="AG612" s="128">
        <v>2358</v>
      </c>
      <c r="AH612" s="127">
        <v>3117</v>
      </c>
      <c r="AI612" s="127">
        <v>3117</v>
      </c>
      <c r="AJ612" s="135">
        <v>44690</v>
      </c>
      <c r="AK612" s="128" t="s">
        <v>1018</v>
      </c>
      <c r="AL612" s="131"/>
      <c r="AM612" s="124" t="s">
        <v>232</v>
      </c>
      <c r="AN612" s="136" t="s">
        <v>2066</v>
      </c>
      <c r="AO612" s="137">
        <v>39</v>
      </c>
      <c r="AP612" s="128">
        <v>2543</v>
      </c>
      <c r="AQ612" s="128">
        <v>717</v>
      </c>
      <c r="AR612" s="128" t="s">
        <v>2067</v>
      </c>
      <c r="AS612" s="128">
        <v>114</v>
      </c>
      <c r="AT612" s="122">
        <v>7.37</v>
      </c>
      <c r="AU612" s="124" t="s">
        <v>189</v>
      </c>
      <c r="AV612" s="115">
        <f>VLOOKUP(J612,'[63]ТР нефть'!$J$28:$BP$638,39,0)</f>
        <v>534.00000058600006</v>
      </c>
      <c r="AW612" s="115" t="str">
        <f>VLOOKUP(J612,'[63]ТР нефть'!$J$28:$BP$638,40,0)</f>
        <v>ГП</v>
      </c>
      <c r="AX612" s="115">
        <f>VLOOKUP(J612,'[63]ТР нефть'!$J$28:$BP$638,41,0)</f>
        <v>1059.9999685549999</v>
      </c>
      <c r="AY612" s="115" t="str">
        <f>VLOOKUP(J612,'[63]ТР нефть'!$J$28:$BP$638,42,0)</f>
        <v>ГП</v>
      </c>
      <c r="AZ612" s="115">
        <f>VLOOKUP(J612,'[63]ТР нефть'!$J$28:$BP$638,43,0)</f>
        <v>1488.9999410160001</v>
      </c>
      <c r="BA612" s="115" t="str">
        <f>VLOOKUP(J612,'[63]ТР нефть'!$J$28:$BP$638,44,0)</f>
        <v>ГК77 1/8</v>
      </c>
      <c r="BB612" s="115">
        <f>VLOOKUP(J612,'[63]ТР нефть'!$J$28:$BP$638,45,0)</f>
        <v>1859.0000542969999</v>
      </c>
      <c r="BC612" s="115" t="str">
        <f>VLOOKUP(J612,'[63]ТР нефть'!$J$28:$BP$638,46,0)</f>
        <v>ГК77 1/8</v>
      </c>
      <c r="BD612" s="115">
        <f>VLOOKUP(J612,'[63]ТР нефть'!$J$28:$BP$638,47,0)</f>
        <v>2079.9999972659998</v>
      </c>
      <c r="BE612" s="115" t="str">
        <f>VLOOKUP(J612,'[63]ТР нефть'!$J$28:$BP$638,48,0)</f>
        <v>ЦКсОК 5/16</v>
      </c>
      <c r="BF612" s="115" t="str">
        <f>VLOOKUP(J612,'[63]ТР нефть'!$J$28:$BP$638,49,0)</f>
        <v>-</v>
      </c>
      <c r="BG612" s="115" t="str">
        <f>VLOOKUP(J612,'[63]ТР нефть'!$J$28:$BP$638,50,0)</f>
        <v>-</v>
      </c>
      <c r="BH612" s="115">
        <f>VLOOKUP(J612,'[63]ТР нефть'!$J$28:$BP$638,51,0)</f>
        <v>2100</v>
      </c>
      <c r="BI612" s="115" t="str">
        <f>VLOOKUP(J612,'[63]ТР нефть'!$J$28:$BP$638,52,0)</f>
        <v>закрыт</v>
      </c>
      <c r="BJ612" s="115" t="str">
        <f>IF(IFERROR(VLOOKUP(J612,'[63]ТР нефть'!$J$28:$BP$638,53,0),"-")=0,"-",IFERROR(VLOOKUP(J612,'[63]ТР нефть'!$J$28:$BP$638,53,0),"-"))</f>
        <v>-</v>
      </c>
      <c r="BK612" s="138" t="str">
        <f>IF(IFERROR(VLOOKUP(J612,'[63]ТР нефть'!$J$28:$BP$638,54,0),"-")=0,"-",IFERROR(VLOOKUP(J612,'[63]ТР нефть'!$J$28:$BP$638,54,0),"-"))</f>
        <v>-</v>
      </c>
      <c r="BL612" s="138" t="str">
        <f>IF(IFERROR(VLOOKUP(J612,'[63]ТР нефть'!$J$28:$BP$638,55,0),"-")=0,"-",IFERROR(VLOOKUP(J612,'[63]ТР нефть'!$J$28:$BP$638,55,0),"-"))</f>
        <v>-</v>
      </c>
      <c r="BM612" s="138" t="str">
        <f>IF(IFERROR(VLOOKUP(J612,'[63]ТР нефть'!$J$28:$BP$638,56,0),"-")=0,"-",IFERROR(VLOOKUP(J612,'[63]ТР нефть'!$J$28:$BP$638,56,0),"-"))</f>
        <v>-</v>
      </c>
      <c r="BN612" s="138" t="str">
        <f>IF(IFERROR(VLOOKUP(J612,'[63]ТР нефть'!$J$28:$BP$638,57,0),"-")=0,"-",IFERROR(VLOOKUP(J612,'[63]ТР нефть'!$J$28:$BP$638,57,0),"-"))</f>
        <v>-</v>
      </c>
      <c r="BO612" s="115" t="str">
        <f>IF(IFERROR(VLOOKUP(J612,'[63]ТР нефть'!$J$28:$BP$638,58,0),"-")=0,"-",IFERROR(VLOOKUP(J612,'[63]ТР нефть'!$J$28:$BP$638,58,0),"-"))</f>
        <v>-</v>
      </c>
      <c r="BP612" s="115" t="str">
        <f>IF(IFERROR(VLOOKUP(J612,'[63]ТР нефть'!$J$28:$BP$638,59,0),"-")=0,"-",IFERROR(VLOOKUP(J612,'[63]ТР нефть'!$J$28:$BP$638,59,0),"-"))</f>
        <v>-</v>
      </c>
      <c r="BQ612" s="138">
        <v>2055</v>
      </c>
      <c r="BR612" s="128">
        <v>1804</v>
      </c>
      <c r="BS612" s="115">
        <v>518</v>
      </c>
      <c r="BT612" s="128">
        <v>73</v>
      </c>
      <c r="BU612" s="128">
        <v>5.5</v>
      </c>
      <c r="BV612" s="127">
        <v>18</v>
      </c>
      <c r="BW612" s="127" t="s">
        <v>217</v>
      </c>
      <c r="BX612" s="127" t="s">
        <v>195</v>
      </c>
      <c r="BY612" s="139">
        <v>24</v>
      </c>
      <c r="BZ612" s="139">
        <v>0</v>
      </c>
      <c r="CA612" s="138">
        <v>25</v>
      </c>
      <c r="CB612" s="138">
        <v>40</v>
      </c>
      <c r="CC612" s="138">
        <v>24</v>
      </c>
      <c r="CD612" s="135">
        <v>45017</v>
      </c>
      <c r="CE612" s="138">
        <v>118.8</v>
      </c>
      <c r="CF612" s="138">
        <v>75</v>
      </c>
      <c r="CG612" s="138"/>
      <c r="CH612" s="138"/>
      <c r="CI612" s="127"/>
      <c r="CJ612" s="138"/>
      <c r="CK612" s="138">
        <f t="shared" si="488"/>
        <v>30</v>
      </c>
      <c r="CL612" s="99"/>
      <c r="CM612" s="99"/>
      <c r="CN612" s="140">
        <v>55</v>
      </c>
      <c r="CO612" s="141">
        <f t="shared" si="504"/>
        <v>4.1298399999999997</v>
      </c>
      <c r="CP612" s="142">
        <v>5.2</v>
      </c>
      <c r="CQ612" s="143">
        <v>5</v>
      </c>
      <c r="CR612" s="138">
        <v>9.1999999999999993</v>
      </c>
      <c r="CS612" s="139">
        <v>7.2</v>
      </c>
      <c r="CT612" s="138"/>
      <c r="CU612" s="138">
        <f t="shared" si="475"/>
        <v>1.9999999999999991</v>
      </c>
      <c r="CV612" s="115">
        <f t="shared" si="476"/>
        <v>484.28026267361429</v>
      </c>
      <c r="CW612" s="115">
        <f t="shared" si="505"/>
        <v>1624.9447067426177</v>
      </c>
      <c r="CX612" s="133">
        <f t="shared" si="477"/>
        <v>8.1504702194357376E-2</v>
      </c>
      <c r="CY612" s="116"/>
      <c r="CZ612" s="131"/>
      <c r="DA612" s="145" t="str">
        <f t="shared" si="478"/>
        <v>Газлифт</v>
      </c>
      <c r="DB612" s="146">
        <f t="shared" si="468"/>
        <v>4.1298399999999997</v>
      </c>
      <c r="DC612" s="142">
        <f t="shared" si="469"/>
        <v>5.2</v>
      </c>
      <c r="DD612" s="119">
        <f t="shared" si="470"/>
        <v>5</v>
      </c>
      <c r="DE612" s="115">
        <f t="shared" si="471"/>
        <v>1.9999999999999991</v>
      </c>
      <c r="DF612" s="121">
        <f t="shared" si="472"/>
        <v>7.2</v>
      </c>
      <c r="DG612" s="115">
        <f t="shared" si="506"/>
        <v>484.28026267361429</v>
      </c>
      <c r="DH612" s="115">
        <f t="shared" si="507"/>
        <v>55</v>
      </c>
      <c r="DI612" s="147"/>
      <c r="DJ612" s="111"/>
      <c r="DK612" s="112"/>
      <c r="DL612" s="113"/>
      <c r="DM612" s="114"/>
      <c r="DN612" s="114"/>
      <c r="DO612" s="114"/>
      <c r="DP612" s="114"/>
      <c r="DQ612" s="112"/>
      <c r="DR612" s="114"/>
      <c r="DS612" s="114"/>
      <c r="DT612" s="115"/>
      <c r="DU612" s="116">
        <f t="shared" si="515"/>
        <v>5.9476404303990517E-2</v>
      </c>
      <c r="DV612" s="117">
        <f t="shared" si="516"/>
        <v>5.6116558434296362</v>
      </c>
      <c r="DW612" s="118">
        <f t="shared" si="517"/>
        <v>7.0657968313140733</v>
      </c>
      <c r="DX612" s="119">
        <f t="shared" si="497"/>
        <v>5</v>
      </c>
      <c r="DY612" s="115">
        <f t="shared" si="518"/>
        <v>2.7176141658900268</v>
      </c>
      <c r="DZ612" s="117">
        <f t="shared" si="519"/>
        <v>1.4818158434296365</v>
      </c>
      <c r="EA612" s="120">
        <f t="shared" si="519"/>
        <v>1.8657968313140731</v>
      </c>
      <c r="EB612" s="119">
        <f t="shared" si="501"/>
        <v>0</v>
      </c>
      <c r="EC612" s="121">
        <f t="shared" si="520"/>
        <v>0.71761416589002769</v>
      </c>
      <c r="ED612" s="122"/>
      <c r="EE612" s="145">
        <v>18</v>
      </c>
      <c r="EF612" s="115">
        <v>27</v>
      </c>
      <c r="EG612" s="115">
        <v>44</v>
      </c>
      <c r="EH612" s="115">
        <v>26</v>
      </c>
      <c r="EI612" s="128" t="s">
        <v>195</v>
      </c>
      <c r="EJ612" s="121">
        <v>24</v>
      </c>
      <c r="EK612" s="121">
        <v>0</v>
      </c>
      <c r="EL612" s="149">
        <v>3.9820351999999999</v>
      </c>
      <c r="EM612" s="142">
        <v>5.2</v>
      </c>
      <c r="EN612" s="119">
        <v>8.4</v>
      </c>
      <c r="EO612" s="115">
        <v>13.3</v>
      </c>
      <c r="EP612" s="115">
        <v>828.72195604900753</v>
      </c>
      <c r="EQ612" s="115">
        <v>76</v>
      </c>
      <c r="ER612" s="115">
        <v>10</v>
      </c>
      <c r="ES612" s="115">
        <v>56</v>
      </c>
      <c r="ET612" s="150">
        <v>8.2802547770700646E-2</v>
      </c>
      <c r="EU612" s="145">
        <f t="shared" si="521"/>
        <v>18</v>
      </c>
      <c r="EV612" s="115">
        <f t="shared" si="508"/>
        <v>25</v>
      </c>
      <c r="EW612" s="115">
        <f t="shared" si="508"/>
        <v>40</v>
      </c>
      <c r="EX612" s="115">
        <f t="shared" si="508"/>
        <v>24</v>
      </c>
      <c r="EY612" s="115" t="str">
        <f t="shared" si="489"/>
        <v>Постоянный</v>
      </c>
      <c r="EZ612" s="115">
        <f t="shared" si="489"/>
        <v>24</v>
      </c>
      <c r="FA612" s="115">
        <f t="shared" si="489"/>
        <v>0</v>
      </c>
      <c r="FB612" s="149">
        <f t="shared" si="461"/>
        <v>4.1298399999999997</v>
      </c>
      <c r="FC612" s="142">
        <f t="shared" si="461"/>
        <v>5.2</v>
      </c>
      <c r="FD612" s="119">
        <f t="shared" si="461"/>
        <v>5</v>
      </c>
      <c r="FE612" s="121">
        <f t="shared" si="460"/>
        <v>9.1999999999999993</v>
      </c>
      <c r="FF612" s="121">
        <f t="shared" si="462"/>
        <v>484.28026267361429</v>
      </c>
      <c r="FG612" s="121">
        <f t="shared" si="509"/>
        <v>75</v>
      </c>
      <c r="FH612" s="121">
        <f t="shared" si="491"/>
        <v>7.2</v>
      </c>
      <c r="FI612" s="121">
        <f t="shared" si="483"/>
        <v>55</v>
      </c>
      <c r="FJ612" s="144">
        <f t="shared" si="510"/>
        <v>8.1504702194357376E-2</v>
      </c>
      <c r="FK612" s="132">
        <f t="shared" si="511"/>
        <v>0</v>
      </c>
      <c r="FL612" s="115">
        <f t="shared" si="511"/>
        <v>-2</v>
      </c>
      <c r="FM612" s="115">
        <f t="shared" si="511"/>
        <v>-4</v>
      </c>
      <c r="FN612" s="115">
        <f t="shared" si="511"/>
        <v>-2</v>
      </c>
      <c r="FO612" s="115">
        <f t="shared" si="492"/>
        <v>0</v>
      </c>
      <c r="FP612" s="115">
        <f t="shared" si="492"/>
        <v>0</v>
      </c>
      <c r="FQ612" s="149">
        <f t="shared" si="492"/>
        <v>0.14780479999999985</v>
      </c>
      <c r="FR612" s="142">
        <f t="shared" si="492"/>
        <v>0</v>
      </c>
      <c r="FS612" s="119">
        <f t="shared" si="492"/>
        <v>-3.4000000000000004</v>
      </c>
      <c r="FT612" s="121">
        <f t="shared" si="492"/>
        <v>-4.1000000000000014</v>
      </c>
      <c r="FU612" s="121">
        <f t="shared" si="512"/>
        <v>-1</v>
      </c>
      <c r="FV612" s="121">
        <f t="shared" si="512"/>
        <v>-2.8</v>
      </c>
      <c r="FW612" s="121">
        <f t="shared" si="513"/>
        <v>-344.44169337539324</v>
      </c>
      <c r="FX612" s="121">
        <f t="shared" si="514"/>
        <v>-1</v>
      </c>
      <c r="FY612" s="144">
        <f t="shared" si="502"/>
        <v>-1.2978455763432706E-3</v>
      </c>
      <c r="FZ612" s="177"/>
      <c r="GA612" s="151"/>
      <c r="GB612" s="145" t="s">
        <v>223</v>
      </c>
      <c r="GC612" s="151" t="s">
        <v>2068</v>
      </c>
      <c r="GD612" s="997" t="s">
        <v>220</v>
      </c>
      <c r="GE612" s="1004" t="s">
        <v>223</v>
      </c>
      <c r="GF612" s="1004">
        <v>-2.2378047999999997</v>
      </c>
      <c r="GG612" s="1004"/>
      <c r="GH612" s="1004">
        <v>0.24745599999999968</v>
      </c>
      <c r="GI612" s="145" t="s">
        <v>199</v>
      </c>
      <c r="GJ612" s="996">
        <v>-1.5826817599999998</v>
      </c>
      <c r="GK612" s="145"/>
      <c r="GL612" s="996">
        <v>-0.70845983999999973</v>
      </c>
      <c r="GM612" s="1005" t="s">
        <v>240</v>
      </c>
      <c r="GN612" s="996">
        <v>-3.6243943999999999</v>
      </c>
      <c r="GO612" s="1006" t="s">
        <v>199</v>
      </c>
      <c r="GP612" s="996">
        <v>3.4132876799999998</v>
      </c>
      <c r="GQ612" s="1006" t="s">
        <v>203</v>
      </c>
      <c r="GR612" s="996">
        <v>1.2669747200000003</v>
      </c>
      <c r="GS612" s="1006" t="s">
        <v>203</v>
      </c>
      <c r="GT612" s="996">
        <v>-3.3259424000000006</v>
      </c>
      <c r="GU612" s="1006" t="s">
        <v>203</v>
      </c>
      <c r="GV612" s="996">
        <v>-15.166399999999999</v>
      </c>
      <c r="GW612" s="1006"/>
      <c r="GX612" s="996">
        <v>0</v>
      </c>
      <c r="GY612" s="1006"/>
      <c r="GZ612" s="996">
        <v>0</v>
      </c>
      <c r="HA612" s="1006"/>
      <c r="HB612" s="996">
        <v>0</v>
      </c>
      <c r="HC612" s="1006"/>
      <c r="HD612" s="996"/>
      <c r="HE612" s="1006"/>
      <c r="HF612" s="996"/>
      <c r="HG612" s="1006"/>
      <c r="HH612" s="996"/>
      <c r="HI612" s="1006"/>
      <c r="HJ612" s="996"/>
      <c r="HK612" s="1006"/>
      <c r="HL612" s="996"/>
      <c r="HM612" s="1006"/>
      <c r="HN612" s="996"/>
      <c r="HO612" s="1006"/>
      <c r="HP612" s="996"/>
      <c r="HQ612" s="1006"/>
      <c r="HR612" s="996"/>
      <c r="HS612" s="1006"/>
      <c r="HT612" s="996"/>
      <c r="HU612" s="1006"/>
      <c r="HV612" s="996"/>
      <c r="HW612" s="1006"/>
      <c r="HX612" s="996"/>
      <c r="HY612" s="1006"/>
      <c r="HZ612" s="996"/>
      <c r="IA612" s="1006"/>
      <c r="IB612" s="996"/>
      <c r="IC612" s="1006"/>
      <c r="ID612" s="996"/>
      <c r="IE612" s="1006"/>
      <c r="IF612" s="996"/>
      <c r="IG612" s="1006"/>
      <c r="IH612" s="996"/>
      <c r="II612" s="1006"/>
      <c r="IJ612" s="996"/>
      <c r="IK612" s="1006"/>
      <c r="IL612" s="996"/>
      <c r="IM612" s="1006"/>
      <c r="IN612" s="996"/>
      <c r="IO612" s="1006"/>
      <c r="IP612" s="996"/>
      <c r="IQ612" s="1006"/>
      <c r="IR612" s="996"/>
      <c r="IS612" s="1006"/>
      <c r="IT612" s="996"/>
      <c r="IU612" s="1006"/>
      <c r="IV612" s="996"/>
      <c r="IW612" s="1006"/>
      <c r="IX612" s="996"/>
      <c r="IY612" s="1006"/>
      <c r="IZ612" s="996"/>
      <c r="JA612" s="1006"/>
      <c r="JB612" s="996"/>
      <c r="JC612" s="1006"/>
      <c r="JD612" s="996"/>
      <c r="JE612" s="1006"/>
      <c r="JF612" s="996"/>
      <c r="JG612" s="1006"/>
      <c r="JH612" s="996"/>
      <c r="JI612" s="1006"/>
      <c r="JJ612" s="996"/>
      <c r="JK612" s="1007"/>
      <c r="JL612" s="1007"/>
      <c r="JM612" s="1007"/>
      <c r="JN612" s="1007"/>
      <c r="JO612" s="1067"/>
      <c r="JP612" s="1007"/>
      <c r="JQ612" s="1008"/>
      <c r="JR612" s="1007"/>
      <c r="JS612" s="1008"/>
      <c r="JT612" s="1007"/>
      <c r="JU612" s="1008"/>
      <c r="JV612" s="1007"/>
      <c r="JW612" s="1008"/>
      <c r="JX612" s="1007"/>
      <c r="JY612" s="1008"/>
      <c r="JZ612" s="1007"/>
      <c r="KA612" s="1008"/>
      <c r="KB612" s="1007"/>
      <c r="KC612" s="1008"/>
      <c r="KD612" s="1007"/>
      <c r="KE612" s="1008"/>
      <c r="KF612" s="1007"/>
      <c r="KG612" s="1008"/>
      <c r="KH612" s="1007"/>
      <c r="KI612" s="1008"/>
      <c r="KJ612" s="1007"/>
      <c r="KK612" s="1008"/>
      <c r="KL612" s="1007"/>
      <c r="KM612" s="1008"/>
      <c r="KN612" s="1007"/>
      <c r="KO612" s="1008"/>
      <c r="KP612" s="1007"/>
      <c r="KQ612" s="1008"/>
      <c r="KR612" s="1007"/>
      <c r="KS612" s="1008"/>
      <c r="KT612" s="1007"/>
      <c r="KU612" s="1008"/>
      <c r="KV612" s="1007"/>
      <c r="KW612" s="1008"/>
      <c r="KX612" s="1007"/>
      <c r="KY612" s="1008"/>
      <c r="KZ612" s="1007"/>
      <c r="LA612" s="1008"/>
      <c r="LB612" s="1007"/>
      <c r="LC612" s="1008"/>
      <c r="LD612" s="1007"/>
      <c r="LE612" s="1008"/>
      <c r="LF612" s="1007"/>
      <c r="LG612" s="1008"/>
      <c r="LH612" s="1007"/>
      <c r="LI612" s="1008"/>
      <c r="LJ612" s="1007"/>
      <c r="LK612" s="1008"/>
      <c r="LL612" s="1007"/>
      <c r="LM612" s="1008"/>
      <c r="LN612" s="1007"/>
      <c r="LO612" s="1008"/>
      <c r="LP612" s="1007"/>
      <c r="LQ612" s="1008"/>
      <c r="LR612" s="1007"/>
      <c r="LS612" s="1008"/>
      <c r="LT612" s="1007"/>
      <c r="LU612" s="1008"/>
      <c r="LV612" s="1007"/>
      <c r="LW612" s="1008"/>
      <c r="LX612" s="1007"/>
      <c r="LY612" s="1009"/>
      <c r="LZ612" s="1010"/>
      <c r="MA612" s="1011"/>
      <c r="MB612" s="1012"/>
      <c r="MC612" s="995"/>
      <c r="MD612" s="996"/>
      <c r="ME612" s="997" t="s">
        <v>220</v>
      </c>
      <c r="MF612" s="997"/>
      <c r="MG612" s="998"/>
      <c r="NR612" s="1000"/>
      <c r="NS612" s="1000"/>
      <c r="NT612" s="1001"/>
      <c r="NU612" s="1000"/>
      <c r="NV612" s="1001"/>
      <c r="NX612" s="1002"/>
      <c r="NZ612" s="1001"/>
      <c r="OA612" s="1001"/>
      <c r="OC612" s="1003"/>
      <c r="OD612" s="1003"/>
      <c r="OE612" s="1001"/>
      <c r="OF612" s="1003"/>
      <c r="OG612" s="1003"/>
      <c r="QX612" s="1000">
        <f>CN612-CA612</f>
        <v>30</v>
      </c>
      <c r="ASU612" s="999" t="s">
        <v>2057</v>
      </c>
    </row>
    <row r="613" spans="1:466 1191:1191" ht="21" customHeight="1" x14ac:dyDescent="0.25">
      <c r="A613" s="982">
        <f t="shared" si="503"/>
        <v>5185</v>
      </c>
      <c r="B613" s="124">
        <f>SUBTOTAL(103,$J$29:J613)</f>
        <v>585</v>
      </c>
      <c r="C613" s="126">
        <v>45068</v>
      </c>
      <c r="D613" s="124" t="s">
        <v>176</v>
      </c>
      <c r="E613" s="127" t="s">
        <v>177</v>
      </c>
      <c r="F613" s="128" t="s">
        <v>177</v>
      </c>
      <c r="G613" s="127" t="s">
        <v>178</v>
      </c>
      <c r="H613" s="127" t="s">
        <v>179</v>
      </c>
      <c r="I613" s="127" t="s">
        <v>2062</v>
      </c>
      <c r="J613" s="152">
        <v>5185</v>
      </c>
      <c r="K613" s="127" t="s">
        <v>2062</v>
      </c>
      <c r="L613" s="130">
        <v>44398</v>
      </c>
      <c r="M613" s="127" t="s">
        <v>230</v>
      </c>
      <c r="N613" s="127" t="s">
        <v>184</v>
      </c>
      <c r="O613" s="127" t="s">
        <v>702</v>
      </c>
      <c r="P613" s="127" t="s">
        <v>292</v>
      </c>
      <c r="Q613" s="127">
        <v>-4</v>
      </c>
      <c r="R613" s="130"/>
      <c r="S613" s="128"/>
      <c r="T613" s="131"/>
      <c r="U613" s="132">
        <v>203</v>
      </c>
      <c r="V613" s="121">
        <v>218.2</v>
      </c>
      <c r="W613" s="116">
        <v>0.98</v>
      </c>
      <c r="X613" s="116">
        <v>1.66</v>
      </c>
      <c r="Y613" s="116">
        <f t="shared" ref="Y613:Y626" si="522">(W613*X613)/((CQ613/100)*W613+(1-CQ613/100)*X613)</f>
        <v>1.6429004241567358</v>
      </c>
      <c r="Z613" s="133">
        <v>1.454</v>
      </c>
      <c r="AA613" s="133">
        <v>0.83599999999999997</v>
      </c>
      <c r="AB613" s="133">
        <v>0.72</v>
      </c>
      <c r="AC613" s="121">
        <v>34.299999999999997</v>
      </c>
      <c r="AD613" s="134">
        <v>1.17</v>
      </c>
      <c r="AE613" s="124">
        <v>177.8</v>
      </c>
      <c r="AF613" s="128">
        <v>9.1999999999999993</v>
      </c>
      <c r="AG613" s="128">
        <v>2044.5</v>
      </c>
      <c r="AH613" s="127">
        <v>2635</v>
      </c>
      <c r="AI613" s="127">
        <v>2635</v>
      </c>
      <c r="AJ613" s="135">
        <v>44331</v>
      </c>
      <c r="AK613" s="128" t="s">
        <v>1018</v>
      </c>
      <c r="AL613" s="131"/>
      <c r="AM613" s="124" t="s">
        <v>232</v>
      </c>
      <c r="AN613" s="136" t="s">
        <v>2069</v>
      </c>
      <c r="AO613" s="137">
        <v>126.60061111111122</v>
      </c>
      <c r="AP613" s="128">
        <v>2044.5</v>
      </c>
      <c r="AQ613" s="128">
        <v>286.85061111111122</v>
      </c>
      <c r="AR613" s="128"/>
      <c r="AS613" s="128"/>
      <c r="AT613" s="122"/>
      <c r="AU613" s="124" t="s">
        <v>883</v>
      </c>
      <c r="AV613" s="128">
        <f>VLOOKUP(J613,'[63]ТР нефть'!$J$28:$BP$638,39,0)</f>
        <v>300</v>
      </c>
      <c r="AW613" s="128" t="str">
        <f>VLOOKUP(J613,'[63]ТР нефть'!$J$28:$BP$638,40,0)</f>
        <v>ГП</v>
      </c>
      <c r="AX613" s="128" t="str">
        <f>VLOOKUP(J613,'[63]ТР нефть'!$J$28:$BP$638,41,0)</f>
        <v>-</v>
      </c>
      <c r="AY613" s="128" t="str">
        <f>VLOOKUP(J613,'[63]ТР нефть'!$J$28:$BP$638,42,0)</f>
        <v>-</v>
      </c>
      <c r="AZ613" s="128" t="str">
        <f>VLOOKUP(J613,'[63]ТР нефть'!$J$28:$BP$638,43,0)</f>
        <v>-</v>
      </c>
      <c r="BA613" s="128" t="str">
        <f>VLOOKUP(J613,'[63]ТР нефть'!$J$28:$BP$638,44,0)</f>
        <v>-</v>
      </c>
      <c r="BB613" s="128" t="str">
        <f>VLOOKUP(J613,'[63]ТР нефть'!$J$28:$BP$638,45,0)</f>
        <v>-</v>
      </c>
      <c r="BC613" s="128" t="str">
        <f>VLOOKUP(J613,'[63]ТР нефть'!$J$28:$BP$638,46,0)</f>
        <v>-</v>
      </c>
      <c r="BD613" s="128" t="str">
        <f>VLOOKUP(J613,'[63]ТР нефть'!$J$28:$BP$638,47,0)</f>
        <v>-</v>
      </c>
      <c r="BE613" s="128" t="str">
        <f>VLOOKUP(J613,'[63]ТР нефть'!$J$28:$BP$638,48,0)</f>
        <v>-</v>
      </c>
      <c r="BF613" s="128" t="str">
        <f>VLOOKUP(J613,'[63]ТР нефть'!$J$28:$BP$638,49,0)</f>
        <v>-</v>
      </c>
      <c r="BG613" s="128" t="str">
        <f>VLOOKUP(J613,'[63]ТР нефть'!$J$28:$BP$638,50,0)</f>
        <v>-</v>
      </c>
      <c r="BH613" s="128">
        <f>VLOOKUP(J613,'[63]ТР нефть'!$J$28:$BP$638,51,0)</f>
        <v>1910</v>
      </c>
      <c r="BI613" s="128" t="str">
        <f>VLOOKUP(J613,'[63]ТР нефть'!$J$28:$BP$638,52,0)</f>
        <v>закрыт</v>
      </c>
      <c r="BJ613" s="128" t="str">
        <f>IF(IFERROR(VLOOKUP(J613,'[63]ТР нефть'!$J$28:$BP$638,53,0),"-")=0,"-",IFERROR(VLOOKUP(J613,'[63]ТР нефть'!$J$28:$BP$638,53,0),"-"))</f>
        <v>-</v>
      </c>
      <c r="BK613" s="127" t="str">
        <f>IF(IFERROR(VLOOKUP(J613,'[63]ТР нефть'!$J$28:$BP$638,54,0),"-")=0,"-",IFERROR(VLOOKUP(J613,'[63]ТР нефть'!$J$28:$BP$638,54,0),"-"))</f>
        <v>D1050N</v>
      </c>
      <c r="BL613" s="127" t="str">
        <f>IF(IFERROR(VLOOKUP(J613,'[63]ТР нефть'!$J$28:$BP$638,55,0),"-")=0,"-",IFERROR(VLOOKUP(J613,'[63]ТР нефть'!$J$28:$BP$638,55,0),"-"))</f>
        <v>-</v>
      </c>
      <c r="BM613" s="127">
        <f>IF(IFERROR(VLOOKUP(J613,'[63]ТР нефть'!$J$28:$BP$638,56,0),"-")=0,"-",IFERROR(VLOOKUP(J613,'[63]ТР нефть'!$J$28:$BP$638,56,0),"-"))</f>
        <v>1312</v>
      </c>
      <c r="BN613" s="127">
        <f>IF(IFERROR(VLOOKUP(J613,'[63]ТР нефть'!$J$28:$BP$638,57,0),"-")=0,"-",IFERROR(VLOOKUP(J613,'[63]ТР нефть'!$J$28:$BP$638,57,0),"-"))</f>
        <v>56</v>
      </c>
      <c r="BO613" s="128">
        <f>IF(IFERROR(VLOOKUP(J613,'[63]ТР нефть'!$J$28:$BP$638,58,0),"-")=0,"-",IFERROR(VLOOKUP(J613,'[63]ТР нефть'!$J$28:$BP$638,58,0),"-"))</f>
        <v>90</v>
      </c>
      <c r="BP613" s="128" t="str">
        <f>IF(IFERROR(VLOOKUP(J613,'[63]ТР нефть'!$J$28:$BP$638,59,0),"-")=0,"-",IFERROR(VLOOKUP(J613,'[63]ТР нефть'!$J$28:$BP$638,59,0),"-"))</f>
        <v>-</v>
      </c>
      <c r="BQ613" s="138">
        <v>1920</v>
      </c>
      <c r="BR613" s="128">
        <v>1678.69</v>
      </c>
      <c r="BS613" s="115">
        <v>241.30999999999995</v>
      </c>
      <c r="BT613" s="128">
        <v>73</v>
      </c>
      <c r="BU613" s="128">
        <v>5.5</v>
      </c>
      <c r="BV613" s="127">
        <v>18</v>
      </c>
      <c r="BW613" s="127" t="s">
        <v>217</v>
      </c>
      <c r="BX613" s="127" t="s">
        <v>218</v>
      </c>
      <c r="BY613" s="139">
        <v>24</v>
      </c>
      <c r="BZ613" s="139">
        <v>720</v>
      </c>
      <c r="CA613" s="138">
        <v>29</v>
      </c>
      <c r="CB613" s="138">
        <v>37</v>
      </c>
      <c r="CC613" s="138">
        <v>28</v>
      </c>
      <c r="CD613" s="135">
        <v>45017</v>
      </c>
      <c r="CE613" s="138">
        <v>138</v>
      </c>
      <c r="CF613" s="138"/>
      <c r="CG613" s="138" t="str">
        <f>IF(CH613&lt;&gt;"","В работе","")</f>
        <v/>
      </c>
      <c r="CH613" s="138" t="s">
        <v>197</v>
      </c>
      <c r="CI613" s="127"/>
      <c r="CJ613" s="138">
        <f>IF((BR613-(100*(CM613-CB613))/(9.8*(AB613+AA613)/2))&gt;0,BR613-(100*(CM613-CB613))/(9.8*(AB613+AA613)/2),0)</f>
        <v>957.32176118776567</v>
      </c>
      <c r="CK613" s="138">
        <f t="shared" si="488"/>
        <v>72.010436845162474</v>
      </c>
      <c r="CL613" s="138"/>
      <c r="CM613" s="127">
        <v>92</v>
      </c>
      <c r="CN613" s="154">
        <f>IF(CM613=0,0,(((AP613-AQ613-BR613)*((AD613*(CQ613/100))+(AB613*((100-CQ613)/100)))*9.81/100+CM613)))</f>
        <v>101.01043684516247</v>
      </c>
      <c r="CO613" s="141">
        <f t="shared" si="504"/>
        <v>5.3396129032258113E-2</v>
      </c>
      <c r="CP613" s="142">
        <v>4.258064516129032</v>
      </c>
      <c r="CQ613" s="119">
        <v>98.5</v>
      </c>
      <c r="CR613" s="138">
        <v>1.935483870967742E-2</v>
      </c>
      <c r="CS613" s="139"/>
      <c r="CT613" s="138"/>
      <c r="CU613" s="138">
        <f t="shared" si="475"/>
        <v>1.935483870967742E-2</v>
      </c>
      <c r="CV613" s="115">
        <f t="shared" si="476"/>
        <v>362.47643903146263</v>
      </c>
      <c r="CW613" s="115" t="str">
        <f t="shared" si="505"/>
        <v/>
      </c>
      <c r="CX613" s="133">
        <f t="shared" si="477"/>
        <v>0.11511529612568995</v>
      </c>
      <c r="CY613" s="116"/>
      <c r="CZ613" s="131"/>
      <c r="DA613" s="145" t="str">
        <f t="shared" si="478"/>
        <v>ЭЦН</v>
      </c>
      <c r="DB613" s="146">
        <f t="shared" si="468"/>
        <v>5.3396129032258113E-2</v>
      </c>
      <c r="DC613" s="142">
        <f t="shared" si="469"/>
        <v>4.258064516129032</v>
      </c>
      <c r="DD613" s="119">
        <f t="shared" si="470"/>
        <v>98.5</v>
      </c>
      <c r="DE613" s="115">
        <f t="shared" si="471"/>
        <v>1.935483870967742E-2</v>
      </c>
      <c r="DF613" s="121">
        <f t="shared" si="472"/>
        <v>0</v>
      </c>
      <c r="DG613" s="115">
        <f t="shared" si="506"/>
        <v>362.47643903146263</v>
      </c>
      <c r="DH613" s="115">
        <f t="shared" si="507"/>
        <v>101.01043684516247</v>
      </c>
      <c r="DI613" s="150"/>
      <c r="DJ613" s="111"/>
      <c r="DK613" s="112">
        <v>44398</v>
      </c>
      <c r="DL613" s="113">
        <f ca="1">TODAY()-DK613</f>
        <v>706</v>
      </c>
      <c r="DM613" s="114"/>
      <c r="DN613" s="114"/>
      <c r="DO613" s="114"/>
      <c r="DP613" s="114"/>
      <c r="DQ613" s="112"/>
      <c r="DR613" s="114"/>
      <c r="DS613" s="114"/>
      <c r="DT613" s="115">
        <v>60</v>
      </c>
      <c r="DU613" s="116">
        <f t="shared" si="515"/>
        <v>9.7854789959530925E-2</v>
      </c>
      <c r="DV613" s="117">
        <f t="shared" si="516"/>
        <v>9.5713727155216463E-2</v>
      </c>
      <c r="DW613" s="118">
        <f t="shared" si="517"/>
        <v>7.6326736168434124</v>
      </c>
      <c r="DX613" s="119">
        <f t="shared" si="497"/>
        <v>98.5</v>
      </c>
      <c r="DY613" s="115">
        <f t="shared" si="518"/>
        <v>3.469397098565187E-2</v>
      </c>
      <c r="DZ613" s="117">
        <f t="shared" si="519"/>
        <v>4.231759812295835E-2</v>
      </c>
      <c r="EA613" s="120">
        <f t="shared" si="519"/>
        <v>3.3746091007143804</v>
      </c>
      <c r="EB613" s="119">
        <f t="shared" si="501"/>
        <v>0</v>
      </c>
      <c r="EC613" s="121">
        <f t="shared" si="520"/>
        <v>1.533913227597445E-2</v>
      </c>
      <c r="ED613" s="122"/>
      <c r="EE613" s="145">
        <v>18</v>
      </c>
      <c r="EF613" s="115">
        <v>29</v>
      </c>
      <c r="EG613" s="115">
        <v>37</v>
      </c>
      <c r="EH613" s="115">
        <v>28</v>
      </c>
      <c r="EI613" s="128" t="s">
        <v>218</v>
      </c>
      <c r="EJ613" s="121">
        <v>24</v>
      </c>
      <c r="EK613" s="121">
        <v>720</v>
      </c>
      <c r="EL613" s="149">
        <v>5.3396129032258113E-2</v>
      </c>
      <c r="EM613" s="142">
        <v>4.258064516129032</v>
      </c>
      <c r="EN613" s="119">
        <v>98.5</v>
      </c>
      <c r="EO613" s="115">
        <v>1.935483870967742E-2</v>
      </c>
      <c r="EP613" s="115">
        <v>362.47643903146263</v>
      </c>
      <c r="EQ613" s="115">
        <v>0</v>
      </c>
      <c r="ER613" s="115">
        <v>0</v>
      </c>
      <c r="ES613" s="115">
        <v>101.01043684516247</v>
      </c>
      <c r="ET613" s="150">
        <v>0.11511529612568995</v>
      </c>
      <c r="EU613" s="145">
        <f t="shared" si="521"/>
        <v>18</v>
      </c>
      <c r="EV613" s="115">
        <f t="shared" si="508"/>
        <v>29</v>
      </c>
      <c r="EW613" s="115">
        <f t="shared" si="508"/>
        <v>37</v>
      </c>
      <c r="EX613" s="115">
        <f t="shared" si="508"/>
        <v>28</v>
      </c>
      <c r="EY613" s="115" t="str">
        <f t="shared" si="489"/>
        <v>Периодический</v>
      </c>
      <c r="EZ613" s="115">
        <f t="shared" si="489"/>
        <v>24</v>
      </c>
      <c r="FA613" s="115">
        <f t="shared" si="489"/>
        <v>720</v>
      </c>
      <c r="FB613" s="149">
        <f t="shared" si="461"/>
        <v>5.3396129032258113E-2</v>
      </c>
      <c r="FC613" s="142">
        <f t="shared" si="461"/>
        <v>4.258064516129032</v>
      </c>
      <c r="FD613" s="119">
        <f t="shared" si="461"/>
        <v>98.5</v>
      </c>
      <c r="FE613" s="121">
        <f t="shared" si="460"/>
        <v>1.935483870967742E-2</v>
      </c>
      <c r="FF613" s="121">
        <f t="shared" si="462"/>
        <v>362.47643903146263</v>
      </c>
      <c r="FG613" s="121">
        <f t="shared" si="509"/>
        <v>0</v>
      </c>
      <c r="FH613" s="121">
        <f t="shared" si="491"/>
        <v>0</v>
      </c>
      <c r="FI613" s="121">
        <f t="shared" si="483"/>
        <v>101.01043684516247</v>
      </c>
      <c r="FJ613" s="144">
        <f t="shared" si="510"/>
        <v>0.11511529612568995</v>
      </c>
      <c r="FK613" s="132">
        <f t="shared" si="511"/>
        <v>0</v>
      </c>
      <c r="FL613" s="115">
        <f t="shared" si="511"/>
        <v>0</v>
      </c>
      <c r="FM613" s="115">
        <f t="shared" si="511"/>
        <v>0</v>
      </c>
      <c r="FN613" s="115">
        <f t="shared" si="511"/>
        <v>0</v>
      </c>
      <c r="FO613" s="115">
        <f t="shared" si="492"/>
        <v>0</v>
      </c>
      <c r="FP613" s="115">
        <f t="shared" si="492"/>
        <v>0</v>
      </c>
      <c r="FQ613" s="149">
        <f t="shared" si="492"/>
        <v>0</v>
      </c>
      <c r="FR613" s="142">
        <f t="shared" si="492"/>
        <v>0</v>
      </c>
      <c r="FS613" s="119">
        <f t="shared" si="492"/>
        <v>0</v>
      </c>
      <c r="FT613" s="121">
        <f t="shared" si="492"/>
        <v>0</v>
      </c>
      <c r="FU613" s="121">
        <f t="shared" si="512"/>
        <v>0</v>
      </c>
      <c r="FV613" s="121">
        <f t="shared" si="512"/>
        <v>0</v>
      </c>
      <c r="FW613" s="121">
        <f t="shared" si="513"/>
        <v>0</v>
      </c>
      <c r="FX613" s="121">
        <f t="shared" si="514"/>
        <v>0</v>
      </c>
      <c r="FY613" s="144">
        <f t="shared" si="502"/>
        <v>0</v>
      </c>
      <c r="FZ613" s="145"/>
      <c r="GA613" s="151"/>
      <c r="GB613" s="145"/>
      <c r="GC613" s="151"/>
      <c r="GD613" s="997" t="s">
        <v>220</v>
      </c>
      <c r="GE613" s="1004"/>
      <c r="GF613" s="1004">
        <v>0</v>
      </c>
      <c r="GG613" s="1004"/>
      <c r="GH613" s="1004">
        <v>0</v>
      </c>
      <c r="GI613" s="145"/>
      <c r="GJ613" s="996">
        <v>0</v>
      </c>
      <c r="GK613" s="145"/>
      <c r="GL613" s="996">
        <v>5.3396129032258113E-2</v>
      </c>
      <c r="GM613" s="1005"/>
      <c r="GN613" s="996">
        <v>-5.3396129032258113E-2</v>
      </c>
      <c r="GO613" s="1006"/>
      <c r="GP613" s="996">
        <v>0</v>
      </c>
      <c r="GQ613" s="1006"/>
      <c r="GR613" s="996">
        <v>0</v>
      </c>
      <c r="GS613" s="1006"/>
      <c r="GT613" s="996">
        <v>0</v>
      </c>
      <c r="GU613" s="1006"/>
      <c r="GV613" s="996">
        <v>0</v>
      </c>
      <c r="GW613" s="1006" t="s">
        <v>199</v>
      </c>
      <c r="GX613" s="996">
        <v>-2.2288838709677439</v>
      </c>
      <c r="GY613" s="1006"/>
      <c r="GZ613" s="996">
        <v>0.26333999999999991</v>
      </c>
      <c r="HA613" s="1006" t="s">
        <v>199</v>
      </c>
      <c r="HB613" s="996">
        <v>0.40128000000000053</v>
      </c>
      <c r="HC613" s="1006" t="s">
        <v>886</v>
      </c>
      <c r="HD613" s="996">
        <v>-35.438039999999994</v>
      </c>
      <c r="HE613" s="1006" t="s">
        <v>223</v>
      </c>
      <c r="HF613" s="996">
        <v>-1.26603840000001</v>
      </c>
      <c r="HG613" s="1006"/>
      <c r="HH613" s="996">
        <v>0</v>
      </c>
      <c r="HI613" s="1006"/>
      <c r="HJ613" s="996">
        <v>0</v>
      </c>
      <c r="HK613" s="1006" t="s">
        <v>886</v>
      </c>
      <c r="HL613" s="996">
        <v>7.1085080000000289</v>
      </c>
      <c r="HM613" s="1006" t="s">
        <v>886</v>
      </c>
      <c r="HN613" s="996">
        <v>-34.19323600000002</v>
      </c>
      <c r="HO613" s="1006" t="s">
        <v>886</v>
      </c>
      <c r="HP613" s="996">
        <v>36.450603199999996</v>
      </c>
      <c r="HQ613" s="1006"/>
      <c r="HR613" s="996">
        <v>0</v>
      </c>
      <c r="HS613" s="1006"/>
      <c r="HT613" s="996">
        <v>0.52787130000000815</v>
      </c>
      <c r="HU613" s="1006" t="s">
        <v>886</v>
      </c>
      <c r="HV613" s="996">
        <v>-8.9661065000000058</v>
      </c>
      <c r="HW613" s="1006" t="s">
        <v>25</v>
      </c>
      <c r="HX613" s="996">
        <v>31.041</v>
      </c>
      <c r="HY613" s="1006"/>
      <c r="HZ613" s="996"/>
      <c r="IA613" s="1006"/>
      <c r="IB613" s="996"/>
      <c r="IC613" s="1006"/>
      <c r="ID613" s="996"/>
      <c r="IE613" s="1006"/>
      <c r="IF613" s="996"/>
      <c r="IG613" s="1006"/>
      <c r="IH613" s="996"/>
      <c r="II613" s="1006"/>
      <c r="IJ613" s="996"/>
      <c r="IK613" s="1006"/>
      <c r="IL613" s="996"/>
      <c r="IM613" s="1006"/>
      <c r="IN613" s="996"/>
      <c r="IO613" s="1006"/>
      <c r="IP613" s="996"/>
      <c r="IQ613" s="1006"/>
      <c r="IR613" s="996"/>
      <c r="IS613" s="1006"/>
      <c r="IT613" s="996"/>
      <c r="IU613" s="1006"/>
      <c r="IV613" s="996"/>
      <c r="IW613" s="1006"/>
      <c r="IX613" s="996"/>
      <c r="IY613" s="1006"/>
      <c r="IZ613" s="996"/>
      <c r="JA613" s="1006"/>
      <c r="JB613" s="996"/>
      <c r="JC613" s="1006"/>
      <c r="JD613" s="996"/>
      <c r="JE613" s="1006"/>
      <c r="JF613" s="996"/>
      <c r="JG613" s="1006"/>
      <c r="JH613" s="996"/>
      <c r="JI613" s="1006"/>
      <c r="JJ613" s="996"/>
      <c r="JK613" s="1007"/>
      <c r="JL613" s="1007"/>
      <c r="JM613" s="1007"/>
      <c r="JN613" s="1007"/>
      <c r="JO613" s="1067"/>
      <c r="JP613" s="1007"/>
      <c r="JQ613" s="1008"/>
      <c r="JR613" s="1007"/>
      <c r="JS613" s="1008"/>
      <c r="JT613" s="1007"/>
      <c r="JU613" s="1008"/>
      <c r="JV613" s="1007"/>
      <c r="JW613" s="1008"/>
      <c r="JX613" s="1007"/>
      <c r="JY613" s="1008"/>
      <c r="JZ613" s="1007"/>
      <c r="KA613" s="1008"/>
      <c r="KB613" s="1007"/>
      <c r="KC613" s="1008"/>
      <c r="KD613" s="1007"/>
      <c r="KE613" s="1008"/>
      <c r="KF613" s="1007"/>
      <c r="KG613" s="1008"/>
      <c r="KH613" s="1007"/>
      <c r="KI613" s="1008"/>
      <c r="KJ613" s="1007"/>
      <c r="KK613" s="1008"/>
      <c r="KL613" s="1007"/>
      <c r="KM613" s="1008"/>
      <c r="KN613" s="1007"/>
      <c r="KO613" s="1008"/>
      <c r="KP613" s="1007"/>
      <c r="KQ613" s="1008"/>
      <c r="KR613" s="1007"/>
      <c r="KS613" s="1008"/>
      <c r="KT613" s="1007"/>
      <c r="KU613" s="1008"/>
      <c r="KV613" s="1007"/>
      <c r="KW613" s="1008"/>
      <c r="KX613" s="1007"/>
      <c r="KY613" s="1008"/>
      <c r="KZ613" s="1007"/>
      <c r="LA613" s="1008"/>
      <c r="LB613" s="1007"/>
      <c r="LC613" s="1008"/>
      <c r="LD613" s="1007"/>
      <c r="LE613" s="1008"/>
      <c r="LF613" s="1007"/>
      <c r="LG613" s="1008"/>
      <c r="LH613" s="1007"/>
      <c r="LI613" s="1008"/>
      <c r="LJ613" s="1007"/>
      <c r="LK613" s="1008"/>
      <c r="LL613" s="1007"/>
      <c r="LM613" s="1008"/>
      <c r="LN613" s="1007"/>
      <c r="LO613" s="1008"/>
      <c r="LP613" s="1007"/>
      <c r="LQ613" s="1008"/>
      <c r="LR613" s="1007"/>
      <c r="LS613" s="1008"/>
      <c r="LT613" s="1007"/>
      <c r="LU613" s="1008"/>
      <c r="LV613" s="1007"/>
      <c r="LW613" s="1008"/>
      <c r="LX613" s="1007"/>
      <c r="LY613" s="1009"/>
      <c r="LZ613" s="1010"/>
      <c r="MA613" s="1011"/>
      <c r="MB613" s="1012"/>
      <c r="MC613" s="995"/>
      <c r="MD613" s="996"/>
      <c r="ME613" s="997" t="s">
        <v>220</v>
      </c>
      <c r="MF613" s="997">
        <f>CN613-CA613</f>
        <v>72.010436845162474</v>
      </c>
      <c r="MG613" s="998"/>
      <c r="NR613" s="1000"/>
      <c r="NS613" s="1000"/>
      <c r="NT613" s="1001"/>
      <c r="NU613" s="1000"/>
      <c r="NV613" s="1001"/>
      <c r="NX613" s="1002"/>
      <c r="NZ613" s="1001"/>
      <c r="OA613" s="1001"/>
      <c r="OC613" s="1003"/>
      <c r="OD613" s="1003"/>
      <c r="OE613" s="1001"/>
      <c r="OF613" s="1003"/>
      <c r="OG613" s="1003"/>
      <c r="ASU613" s="999" t="s">
        <v>208</v>
      </c>
    </row>
    <row r="614" spans="1:466 1191:1191" ht="21" customHeight="1" x14ac:dyDescent="0.25">
      <c r="A614" s="982">
        <f t="shared" si="503"/>
        <v>5188</v>
      </c>
      <c r="B614" s="124">
        <f>SUBTOTAL(103,$J$29:J614)</f>
        <v>586</v>
      </c>
      <c r="C614" s="126">
        <v>45068</v>
      </c>
      <c r="D614" s="124" t="s">
        <v>176</v>
      </c>
      <c r="E614" s="127" t="s">
        <v>177</v>
      </c>
      <c r="F614" s="128" t="s">
        <v>177</v>
      </c>
      <c r="G614" s="127" t="s">
        <v>178</v>
      </c>
      <c r="H614" s="127" t="s">
        <v>179</v>
      </c>
      <c r="I614" s="127" t="s">
        <v>2062</v>
      </c>
      <c r="J614" s="152">
        <v>5188</v>
      </c>
      <c r="K614" s="127" t="s">
        <v>2062</v>
      </c>
      <c r="L614" s="130">
        <v>44341</v>
      </c>
      <c r="M614" s="127" t="s">
        <v>183</v>
      </c>
      <c r="N614" s="127" t="s">
        <v>184</v>
      </c>
      <c r="O614" s="127" t="s">
        <v>185</v>
      </c>
      <c r="P614" s="127" t="s">
        <v>186</v>
      </c>
      <c r="Q614" s="85" t="str">
        <f t="shared" ref="Q614:Q641" si="523">IF(R614="","",-4)</f>
        <v/>
      </c>
      <c r="R614" s="130"/>
      <c r="S614" s="128"/>
      <c r="T614" s="131"/>
      <c r="U614" s="132">
        <v>203</v>
      </c>
      <c r="V614" s="121">
        <v>218.2</v>
      </c>
      <c r="W614" s="116">
        <v>0.98</v>
      </c>
      <c r="X614" s="116">
        <v>1.66</v>
      </c>
      <c r="Y614" s="116">
        <f t="shared" si="522"/>
        <v>1.3980749398418699</v>
      </c>
      <c r="Z614" s="133">
        <v>1.454</v>
      </c>
      <c r="AA614" s="133">
        <v>0.83599999999999997</v>
      </c>
      <c r="AB614" s="133">
        <v>0.72</v>
      </c>
      <c r="AC614" s="121">
        <v>34.299999999999997</v>
      </c>
      <c r="AD614" s="134">
        <v>1.17</v>
      </c>
      <c r="AE614" s="124">
        <v>177.8</v>
      </c>
      <c r="AF614" s="128">
        <v>9.19</v>
      </c>
      <c r="AG614" s="128">
        <v>2051</v>
      </c>
      <c r="AH614" s="127">
        <v>2782</v>
      </c>
      <c r="AI614" s="127">
        <v>2782</v>
      </c>
      <c r="AJ614" s="135"/>
      <c r="AK614" s="128"/>
      <c r="AL614" s="131"/>
      <c r="AM614" s="124" t="s">
        <v>232</v>
      </c>
      <c r="AN614" s="136" t="s">
        <v>2070</v>
      </c>
      <c r="AO614" s="137">
        <v>72.187860852648996</v>
      </c>
      <c r="AP614" s="128">
        <v>2051</v>
      </c>
      <c r="AQ614" s="128">
        <v>301.41178861788626</v>
      </c>
      <c r="AR614" s="128"/>
      <c r="AS614" s="128"/>
      <c r="AT614" s="122"/>
      <c r="AU614" s="124" t="s">
        <v>883</v>
      </c>
      <c r="AV614" s="115">
        <f>VLOOKUP(J614,'[63]ТР нефть'!$J$28:$BP$638,39,0)</f>
        <v>300</v>
      </c>
      <c r="AW614" s="115" t="str">
        <f>VLOOKUP(J614,'[63]ТР нефть'!$J$28:$BP$638,40,0)</f>
        <v>ГП</v>
      </c>
      <c r="AX614" s="115" t="str">
        <f>VLOOKUP(J614,'[63]ТР нефть'!$J$28:$BP$638,41,0)</f>
        <v>-</v>
      </c>
      <c r="AY614" s="115" t="str">
        <f>VLOOKUP(J614,'[63]ТР нефть'!$J$28:$BP$638,42,0)</f>
        <v>-</v>
      </c>
      <c r="AZ614" s="115" t="str">
        <f>VLOOKUP(J614,'[63]ТР нефть'!$J$28:$BP$638,43,0)</f>
        <v>-</v>
      </c>
      <c r="BA614" s="115" t="str">
        <f>VLOOKUP(J614,'[63]ТР нефть'!$J$28:$BP$638,44,0)</f>
        <v>-</v>
      </c>
      <c r="BB614" s="115" t="str">
        <f>VLOOKUP(J614,'[63]ТР нефть'!$J$28:$BP$638,45,0)</f>
        <v>-</v>
      </c>
      <c r="BC614" s="115" t="str">
        <f>VLOOKUP(J614,'[63]ТР нефть'!$J$28:$BP$638,46,0)</f>
        <v>-</v>
      </c>
      <c r="BD614" s="115" t="str">
        <f>VLOOKUP(J614,'[63]ТР нефть'!$J$28:$BP$638,47,0)</f>
        <v>-</v>
      </c>
      <c r="BE614" s="115" t="str">
        <f>VLOOKUP(J614,'[63]ТР нефть'!$J$28:$BP$638,48,0)</f>
        <v>-</v>
      </c>
      <c r="BF614" s="115" t="str">
        <f>VLOOKUP(J614,'[63]ТР нефть'!$J$28:$BP$638,49,0)</f>
        <v>-</v>
      </c>
      <c r="BG614" s="115" t="str">
        <f>VLOOKUP(J614,'[63]ТР нефть'!$J$28:$BP$638,50,0)</f>
        <v>-</v>
      </c>
      <c r="BH614" s="115">
        <f>VLOOKUP(J614,'[63]ТР нефть'!$J$28:$BP$638,51,0)</f>
        <v>1900</v>
      </c>
      <c r="BI614" s="115" t="str">
        <f>VLOOKUP(J614,'[63]ТР нефть'!$J$28:$BP$638,52,0)</f>
        <v>закрыт</v>
      </c>
      <c r="BJ614" s="115" t="str">
        <f>IF(IFERROR(VLOOKUP(J614,'[63]ТР нефть'!$J$28:$BP$638,53,0),"-")=0,"-",IFERROR(VLOOKUP(J614,'[63]ТР нефть'!$J$28:$BP$638,53,0),"-"))</f>
        <v>-</v>
      </c>
      <c r="BK614" s="138" t="str">
        <f>IF(IFERROR(VLOOKUP(J614,'[63]ТР нефть'!$J$28:$BP$638,54,0),"-")=0,"-",IFERROR(VLOOKUP(J614,'[63]ТР нефть'!$J$28:$BP$638,54,0),"-"))</f>
        <v>D1050N</v>
      </c>
      <c r="BL614" s="138" t="str">
        <f>IF(IFERROR(VLOOKUP(J614,'[63]ТР нефть'!$J$28:$BP$638,55,0),"-")=0,"-",IFERROR(VLOOKUP(J614,'[63]ТР нефть'!$J$28:$BP$638,55,0),"-"))</f>
        <v>-</v>
      </c>
      <c r="BM614" s="138">
        <f>IF(IFERROR(VLOOKUP(J614,'[63]ТР нефть'!$J$28:$BP$638,56,0),"-")=0,"-",IFERROR(VLOOKUP(J614,'[63]ТР нефть'!$J$28:$BP$638,56,0),"-"))</f>
        <v>1350</v>
      </c>
      <c r="BN614" s="138">
        <f>IF(IFERROR(VLOOKUP(J614,'[63]ТР нефть'!$J$28:$BP$638,57,0),"-")=0,"-",IFERROR(VLOOKUP(J614,'[63]ТР нефть'!$J$28:$BP$638,57,0),"-"))</f>
        <v>43</v>
      </c>
      <c r="BO614" s="115">
        <f>IF(IFERROR(VLOOKUP(J614,'[63]ТР нефть'!$J$28:$BP$638,58,0),"-")=0,"-",IFERROR(VLOOKUP(J614,'[63]ТР нефть'!$J$28:$BP$638,58,0),"-"))</f>
        <v>100</v>
      </c>
      <c r="BP614" s="115" t="str">
        <f>IF(IFERROR(VLOOKUP(J614,'[63]ТР нефть'!$J$28:$BP$638,59,0),"-")=0,"-",IFERROR(VLOOKUP(J614,'[63]ТР нефть'!$J$28:$BP$638,59,0),"-"))</f>
        <v>-</v>
      </c>
      <c r="BQ614" s="138">
        <v>1910</v>
      </c>
      <c r="BR614" s="128">
        <v>1653.49</v>
      </c>
      <c r="BS614" s="115">
        <v>256.51</v>
      </c>
      <c r="BT614" s="128">
        <v>73</v>
      </c>
      <c r="BU614" s="128">
        <v>5.5</v>
      </c>
      <c r="BV614" s="127">
        <v>18</v>
      </c>
      <c r="BW614" s="127" t="s">
        <v>217</v>
      </c>
      <c r="BX614" s="127" t="s">
        <v>195</v>
      </c>
      <c r="BY614" s="139">
        <v>24</v>
      </c>
      <c r="BZ614" s="139">
        <v>0</v>
      </c>
      <c r="CA614" s="138">
        <v>25</v>
      </c>
      <c r="CB614" s="138">
        <v>24</v>
      </c>
      <c r="CC614" s="138">
        <v>24</v>
      </c>
      <c r="CD614" s="135">
        <v>45017</v>
      </c>
      <c r="CE614" s="138">
        <v>159</v>
      </c>
      <c r="CF614" s="138"/>
      <c r="CG614" s="138" t="str">
        <f>IF(CH614&lt;&gt;"","В работе","")</f>
        <v/>
      </c>
      <c r="CH614" s="138" t="s">
        <v>197</v>
      </c>
      <c r="CI614" s="127"/>
      <c r="CJ614" s="138">
        <f>IF((BR614-(100*(CM614-CB614))/(9.8*(AB614+AA614)/2))&gt;0,BR614-(100*(CM614-CB614))/(9.8*(AB614+AA614)/2),0)</f>
        <v>971.469119668433</v>
      </c>
      <c r="CK614" s="138">
        <f t="shared" si="488"/>
        <v>62</v>
      </c>
      <c r="CL614" s="99"/>
      <c r="CM614" s="127">
        <v>76</v>
      </c>
      <c r="CN614" s="154">
        <v>87</v>
      </c>
      <c r="CO614" s="141">
        <f t="shared" si="504"/>
        <v>22.120560000000001</v>
      </c>
      <c r="CP614" s="142">
        <v>98</v>
      </c>
      <c r="CQ614" s="143">
        <v>73</v>
      </c>
      <c r="CR614" s="138">
        <v>28.9</v>
      </c>
      <c r="CS614" s="139"/>
      <c r="CT614" s="138"/>
      <c r="CU614" s="138">
        <f t="shared" si="475"/>
        <v>28.9</v>
      </c>
      <c r="CV614" s="115">
        <f t="shared" si="476"/>
        <v>1306.4768703866448</v>
      </c>
      <c r="CW614" s="115" t="str">
        <f t="shared" si="505"/>
        <v/>
      </c>
      <c r="CX614" s="133">
        <f t="shared" si="477"/>
        <v>1.3611111111111112</v>
      </c>
      <c r="CY614" s="116"/>
      <c r="CZ614" s="131"/>
      <c r="DA614" s="145" t="str">
        <f t="shared" si="478"/>
        <v>ЭЦН</v>
      </c>
      <c r="DB614" s="146">
        <f t="shared" si="468"/>
        <v>22.120560000000001</v>
      </c>
      <c r="DC614" s="142">
        <f t="shared" si="469"/>
        <v>98</v>
      </c>
      <c r="DD614" s="119">
        <f t="shared" si="470"/>
        <v>73</v>
      </c>
      <c r="DE614" s="115">
        <f t="shared" si="471"/>
        <v>28.9</v>
      </c>
      <c r="DF614" s="121">
        <f t="shared" si="472"/>
        <v>0</v>
      </c>
      <c r="DG614" s="115">
        <f t="shared" si="506"/>
        <v>1306.4768703866448</v>
      </c>
      <c r="DH614" s="115">
        <f t="shared" si="507"/>
        <v>87</v>
      </c>
      <c r="DI614" s="147"/>
      <c r="DJ614" s="111"/>
      <c r="DK614" s="112">
        <v>44341</v>
      </c>
      <c r="DL614" s="113">
        <f ca="1">TODAY()-DK614</f>
        <v>763</v>
      </c>
      <c r="DM614" s="114"/>
      <c r="DN614" s="114"/>
      <c r="DO614" s="114"/>
      <c r="DP614" s="114"/>
      <c r="DQ614" s="112"/>
      <c r="DR614" s="114"/>
      <c r="DS614" s="114"/>
      <c r="DT614" s="115">
        <v>60</v>
      </c>
      <c r="DU614" s="116">
        <f t="shared" si="515"/>
        <v>1.2325021872265967</v>
      </c>
      <c r="DV614" s="117">
        <f t="shared" si="516"/>
        <v>27.541838976377953</v>
      </c>
      <c r="DW614" s="118">
        <f t="shared" si="517"/>
        <v>122.01771653543307</v>
      </c>
      <c r="DX614" s="119">
        <f t="shared" si="497"/>
        <v>73</v>
      </c>
      <c r="DY614" s="115">
        <f t="shared" si="518"/>
        <v>35.982775590551178</v>
      </c>
      <c r="DZ614" s="117">
        <f t="shared" si="519"/>
        <v>5.4212789763779519</v>
      </c>
      <c r="EA614" s="120">
        <f t="shared" si="519"/>
        <v>24.017716535433067</v>
      </c>
      <c r="EB614" s="119">
        <f t="shared" si="501"/>
        <v>0</v>
      </c>
      <c r="EC614" s="121">
        <f t="shared" si="520"/>
        <v>7.0827755905511793</v>
      </c>
      <c r="ED614" s="122"/>
      <c r="EE614" s="145">
        <v>18</v>
      </c>
      <c r="EF614" s="115">
        <v>30</v>
      </c>
      <c r="EG614" s="115">
        <v>30</v>
      </c>
      <c r="EH614" s="115">
        <v>29</v>
      </c>
      <c r="EI614" s="128" t="s">
        <v>195</v>
      </c>
      <c r="EJ614" s="121">
        <v>24</v>
      </c>
      <c r="EK614" s="121">
        <v>0</v>
      </c>
      <c r="EL614" s="149">
        <v>22.120560000000001</v>
      </c>
      <c r="EM614" s="142">
        <v>98</v>
      </c>
      <c r="EN614" s="119">
        <v>73</v>
      </c>
      <c r="EO614" s="115">
        <v>28.9</v>
      </c>
      <c r="EP614" s="115">
        <v>1306.4768703866448</v>
      </c>
      <c r="EQ614" s="115">
        <v>0</v>
      </c>
      <c r="ER614" s="115">
        <v>0</v>
      </c>
      <c r="ES614" s="115">
        <v>86.88445541160975</v>
      </c>
      <c r="ET614" s="150">
        <v>1.3589303188286099</v>
      </c>
      <c r="EU614" s="145">
        <f t="shared" si="521"/>
        <v>18</v>
      </c>
      <c r="EV614" s="115">
        <f t="shared" si="508"/>
        <v>25</v>
      </c>
      <c r="EW614" s="115">
        <f t="shared" si="508"/>
        <v>24</v>
      </c>
      <c r="EX614" s="115">
        <f t="shared" si="508"/>
        <v>24</v>
      </c>
      <c r="EY614" s="115" t="str">
        <f t="shared" si="489"/>
        <v>Постоянный</v>
      </c>
      <c r="EZ614" s="115">
        <f t="shared" si="489"/>
        <v>24</v>
      </c>
      <c r="FA614" s="115">
        <f t="shared" si="489"/>
        <v>0</v>
      </c>
      <c r="FB614" s="149">
        <f t="shared" si="461"/>
        <v>22.120560000000001</v>
      </c>
      <c r="FC614" s="142">
        <f t="shared" si="461"/>
        <v>98</v>
      </c>
      <c r="FD614" s="119">
        <f t="shared" si="461"/>
        <v>73</v>
      </c>
      <c r="FE614" s="121">
        <f t="shared" si="460"/>
        <v>28.9</v>
      </c>
      <c r="FF614" s="121">
        <f t="shared" si="462"/>
        <v>1306.4768703866448</v>
      </c>
      <c r="FG614" s="121">
        <f t="shared" si="509"/>
        <v>0</v>
      </c>
      <c r="FH614" s="121">
        <f t="shared" si="491"/>
        <v>0</v>
      </c>
      <c r="FI614" s="121">
        <f t="shared" si="483"/>
        <v>87</v>
      </c>
      <c r="FJ614" s="144">
        <f t="shared" si="510"/>
        <v>1.3611111111111112</v>
      </c>
      <c r="FK614" s="132">
        <f t="shared" si="511"/>
        <v>0</v>
      </c>
      <c r="FL614" s="115">
        <f t="shared" si="511"/>
        <v>-5</v>
      </c>
      <c r="FM614" s="115">
        <f t="shared" si="511"/>
        <v>-6</v>
      </c>
      <c r="FN614" s="115">
        <f t="shared" si="511"/>
        <v>-5</v>
      </c>
      <c r="FO614" s="115">
        <f t="shared" si="492"/>
        <v>0</v>
      </c>
      <c r="FP614" s="115">
        <f t="shared" si="492"/>
        <v>0</v>
      </c>
      <c r="FQ614" s="149">
        <f t="shared" si="492"/>
        <v>0</v>
      </c>
      <c r="FR614" s="142">
        <f t="shared" si="492"/>
        <v>0</v>
      </c>
      <c r="FS614" s="119">
        <f t="shared" si="492"/>
        <v>0</v>
      </c>
      <c r="FT614" s="121">
        <f t="shared" si="492"/>
        <v>0</v>
      </c>
      <c r="FU614" s="121">
        <f t="shared" si="512"/>
        <v>0</v>
      </c>
      <c r="FV614" s="121">
        <f t="shared" si="512"/>
        <v>0</v>
      </c>
      <c r="FW614" s="121">
        <f t="shared" si="513"/>
        <v>0</v>
      </c>
      <c r="FX614" s="121">
        <f t="shared" si="514"/>
        <v>0.11554458839025017</v>
      </c>
      <c r="FY614" s="144">
        <f t="shared" si="502"/>
        <v>2.1807922825012316E-3</v>
      </c>
      <c r="FZ614" s="145"/>
      <c r="GA614" s="151" t="s">
        <v>219</v>
      </c>
      <c r="GB614" s="145"/>
      <c r="GC614" s="151"/>
      <c r="GD614" s="997" t="s">
        <v>220</v>
      </c>
      <c r="GE614" s="1004"/>
      <c r="GF614" s="1004">
        <v>1.0366399999999985</v>
      </c>
      <c r="GG614" s="1004" t="s">
        <v>223</v>
      </c>
      <c r="GH614" s="1004">
        <v>-1.9562399999999975</v>
      </c>
      <c r="GI614" s="145" t="s">
        <v>204</v>
      </c>
      <c r="GJ614" s="996">
        <v>3.0940360000000027</v>
      </c>
      <c r="GK614" s="145" t="s">
        <v>223</v>
      </c>
      <c r="GL614" s="996">
        <v>-5.0502760000000038</v>
      </c>
      <c r="GM614" s="1005"/>
      <c r="GN614" s="996">
        <v>-0.86943999999999733</v>
      </c>
      <c r="GO614" s="1006"/>
      <c r="GP614" s="996">
        <v>0.91291200000000217</v>
      </c>
      <c r="GQ614" s="1006"/>
      <c r="GR614" s="996">
        <v>0.39124799999999382</v>
      </c>
      <c r="GS614" s="1006"/>
      <c r="GT614" s="996">
        <v>0.10868000000000322</v>
      </c>
      <c r="GU614" s="1006" t="s">
        <v>223</v>
      </c>
      <c r="GV614" s="996">
        <v>-2.4076800000000027</v>
      </c>
      <c r="GW614" s="1006"/>
      <c r="GX614" s="996">
        <v>0</v>
      </c>
      <c r="GY614" s="1006" t="s">
        <v>223</v>
      </c>
      <c r="GZ614" s="996">
        <v>-2.579895999999998</v>
      </c>
      <c r="HA614" s="1006" t="s">
        <v>146</v>
      </c>
      <c r="HB614" s="996">
        <v>2.5096719999999948</v>
      </c>
      <c r="HC614" s="1006" t="s">
        <v>886</v>
      </c>
      <c r="HD614" s="996">
        <v>7.1749616399999923</v>
      </c>
      <c r="HE614" s="1006"/>
      <c r="HF614" s="996">
        <v>-0.63903840000000045</v>
      </c>
      <c r="HG614" s="1006" t="s">
        <v>199</v>
      </c>
      <c r="HH614" s="996">
        <v>9.3091944000000062</v>
      </c>
      <c r="HI614" s="1006"/>
      <c r="HJ614" s="996">
        <v>0</v>
      </c>
      <c r="HK614" s="1006" t="s">
        <v>199</v>
      </c>
      <c r="HL614" s="996">
        <v>-6.6110879999999952</v>
      </c>
      <c r="HM614" s="1006" t="s">
        <v>886</v>
      </c>
      <c r="HN614" s="996">
        <v>-27.620604000000007</v>
      </c>
      <c r="HO614" s="1006" t="s">
        <v>203</v>
      </c>
      <c r="HP614" s="996">
        <v>-9.4785680000000099</v>
      </c>
      <c r="HQ614" s="1006"/>
      <c r="HR614" s="996">
        <v>2.0900000000025898E-2</v>
      </c>
      <c r="HS614" s="1006" t="s">
        <v>203</v>
      </c>
      <c r="HT614" s="996">
        <v>-9.1622256000000277</v>
      </c>
      <c r="HU614" s="1006" t="s">
        <v>1002</v>
      </c>
      <c r="HV614" s="996">
        <v>-138.54225439999999</v>
      </c>
      <c r="HW614" s="1006"/>
      <c r="HX614" s="996">
        <v>0</v>
      </c>
      <c r="HY614" s="1006" t="s">
        <v>204</v>
      </c>
      <c r="HZ614" s="996">
        <v>175.4</v>
      </c>
      <c r="IA614" s="1006"/>
      <c r="IB614" s="996"/>
      <c r="IC614" s="1006"/>
      <c r="ID614" s="996"/>
      <c r="IE614" s="1006"/>
      <c r="IF614" s="996"/>
      <c r="IG614" s="1006"/>
      <c r="IH614" s="996"/>
      <c r="II614" s="1006"/>
      <c r="IJ614" s="996"/>
      <c r="IK614" s="1006"/>
      <c r="IL614" s="996"/>
      <c r="IM614" s="1006"/>
      <c r="IN614" s="996"/>
      <c r="IO614" s="1006"/>
      <c r="IP614" s="996"/>
      <c r="IQ614" s="1006"/>
      <c r="IR614" s="996"/>
      <c r="IS614" s="1006"/>
      <c r="IT614" s="996"/>
      <c r="IU614" s="1006"/>
      <c r="IV614" s="996"/>
      <c r="IW614" s="1006"/>
      <c r="IX614" s="996"/>
      <c r="IY614" s="1006"/>
      <c r="IZ614" s="996"/>
      <c r="JA614" s="1006"/>
      <c r="JB614" s="996"/>
      <c r="JC614" s="1006"/>
      <c r="JD614" s="996"/>
      <c r="JE614" s="1006"/>
      <c r="JF614" s="996"/>
      <c r="JG614" s="1006"/>
      <c r="JH614" s="996"/>
      <c r="JI614" s="1006"/>
      <c r="JJ614" s="996"/>
      <c r="JK614" s="1007"/>
      <c r="JL614" s="1007"/>
      <c r="JM614" s="1007"/>
      <c r="JN614" s="1007"/>
      <c r="JO614" s="1067"/>
      <c r="JP614" s="1007"/>
      <c r="JQ614" s="1008"/>
      <c r="JR614" s="1007"/>
      <c r="JS614" s="1008"/>
      <c r="JT614" s="1007"/>
      <c r="JU614" s="1008"/>
      <c r="JV614" s="1007"/>
      <c r="JW614" s="1008"/>
      <c r="JX614" s="1007"/>
      <c r="JY614" s="1008"/>
      <c r="JZ614" s="1007"/>
      <c r="KA614" s="1008"/>
      <c r="KB614" s="1007"/>
      <c r="KC614" s="1008"/>
      <c r="KD614" s="1007"/>
      <c r="KE614" s="1008"/>
      <c r="KF614" s="1007"/>
      <c r="KG614" s="1008"/>
      <c r="KH614" s="1007"/>
      <c r="KI614" s="1008"/>
      <c r="KJ614" s="1007"/>
      <c r="KK614" s="1008"/>
      <c r="KL614" s="1007"/>
      <c r="KM614" s="1008"/>
      <c r="KN614" s="1007"/>
      <c r="KO614" s="1008"/>
      <c r="KP614" s="1007"/>
      <c r="KQ614" s="1008"/>
      <c r="KR614" s="1007"/>
      <c r="KS614" s="1008"/>
      <c r="KT614" s="1007"/>
      <c r="KU614" s="1008"/>
      <c r="KV614" s="1007"/>
      <c r="KW614" s="1008"/>
      <c r="KX614" s="1007"/>
      <c r="KY614" s="1008"/>
      <c r="KZ614" s="1007"/>
      <c r="LA614" s="1008"/>
      <c r="LB614" s="1007"/>
      <c r="LC614" s="1008"/>
      <c r="LD614" s="1007"/>
      <c r="LE614" s="1008"/>
      <c r="LF614" s="1007"/>
      <c r="LG614" s="1008"/>
      <c r="LH614" s="1007"/>
      <c r="LI614" s="1008"/>
      <c r="LJ614" s="1007"/>
      <c r="LK614" s="1008"/>
      <c r="LL614" s="1007"/>
      <c r="LM614" s="1008"/>
      <c r="LN614" s="1007"/>
      <c r="LO614" s="1008"/>
      <c r="LP614" s="1007"/>
      <c r="LQ614" s="1008"/>
      <c r="LR614" s="1007"/>
      <c r="LS614" s="1008"/>
      <c r="LT614" s="1007"/>
      <c r="LU614" s="1008"/>
      <c r="LV614" s="1007"/>
      <c r="LW614" s="1008"/>
      <c r="LX614" s="1007"/>
      <c r="LY614" s="1009"/>
      <c r="LZ614" s="1010"/>
      <c r="MA614" s="1011"/>
      <c r="MB614" s="1012"/>
      <c r="MC614" s="995"/>
      <c r="MD614" s="996"/>
      <c r="ME614" s="997" t="s">
        <v>220</v>
      </c>
      <c r="MF614" s="997"/>
      <c r="MG614" s="998"/>
      <c r="NR614" s="1000"/>
      <c r="NS614" s="1000"/>
      <c r="NT614" s="1001"/>
      <c r="NU614" s="1000"/>
      <c r="NV614" s="1001"/>
      <c r="NX614" s="1002"/>
      <c r="NZ614" s="1001"/>
      <c r="OA614" s="1001"/>
      <c r="OC614" s="1003"/>
      <c r="OD614" s="1003"/>
      <c r="OE614" s="1001"/>
      <c r="OF614" s="1003"/>
      <c r="OG614" s="1003"/>
      <c r="OH614" s="1003"/>
      <c r="OI614" s="1016"/>
      <c r="QX614" s="1000">
        <f>CN614-CA614</f>
        <v>62</v>
      </c>
      <c r="ASU614" s="999" t="s">
        <v>208</v>
      </c>
    </row>
    <row r="615" spans="1:466 1191:1191" ht="21" customHeight="1" x14ac:dyDescent="0.25">
      <c r="A615" s="982">
        <f t="shared" si="503"/>
        <v>5193</v>
      </c>
      <c r="B615" s="124">
        <f>SUBTOTAL(103,$J$29:J615)</f>
        <v>587</v>
      </c>
      <c r="C615" s="126">
        <v>45068</v>
      </c>
      <c r="D615" s="124" t="s">
        <v>176</v>
      </c>
      <c r="E615" s="127" t="s">
        <v>177</v>
      </c>
      <c r="F615" s="128" t="s">
        <v>177</v>
      </c>
      <c r="G615" s="127" t="s">
        <v>178</v>
      </c>
      <c r="H615" s="127" t="s">
        <v>179</v>
      </c>
      <c r="I615" s="127" t="s">
        <v>2062</v>
      </c>
      <c r="J615" s="152">
        <v>5193</v>
      </c>
      <c r="K615" s="127" t="s">
        <v>2062</v>
      </c>
      <c r="L615" s="130">
        <v>44423</v>
      </c>
      <c r="M615" s="127" t="s">
        <v>230</v>
      </c>
      <c r="N615" s="127" t="s">
        <v>184</v>
      </c>
      <c r="O615" s="127" t="s">
        <v>185</v>
      </c>
      <c r="P615" s="127" t="s">
        <v>186</v>
      </c>
      <c r="Q615" s="85" t="str">
        <f t="shared" si="523"/>
        <v/>
      </c>
      <c r="R615" s="130"/>
      <c r="S615" s="128"/>
      <c r="T615" s="131"/>
      <c r="U615" s="132">
        <v>203</v>
      </c>
      <c r="V615" s="121">
        <v>218.2</v>
      </c>
      <c r="W615" s="116">
        <v>0.98</v>
      </c>
      <c r="X615" s="116">
        <v>1.66</v>
      </c>
      <c r="Y615" s="116">
        <f t="shared" si="522"/>
        <v>1.3980749398418699</v>
      </c>
      <c r="Z615" s="133">
        <v>1.454</v>
      </c>
      <c r="AA615" s="133">
        <v>0.83599999999999997</v>
      </c>
      <c r="AB615" s="133">
        <v>0.72</v>
      </c>
      <c r="AC615" s="121">
        <v>34.299999999999997</v>
      </c>
      <c r="AD615" s="134">
        <v>1.17</v>
      </c>
      <c r="AE615" s="124">
        <v>177.8</v>
      </c>
      <c r="AF615" s="128">
        <v>9.1999999999999993</v>
      </c>
      <c r="AG615" s="128">
        <v>2422</v>
      </c>
      <c r="AH615" s="127">
        <v>3035</v>
      </c>
      <c r="AI615" s="127">
        <v>3035</v>
      </c>
      <c r="AJ615" s="135"/>
      <c r="AK615" s="128"/>
      <c r="AL615" s="131"/>
      <c r="AM615" s="124" t="s">
        <v>232</v>
      </c>
      <c r="AN615" s="136" t="s">
        <v>2071</v>
      </c>
      <c r="AO615" s="137">
        <v>47.88</v>
      </c>
      <c r="AP615" s="128">
        <v>2422</v>
      </c>
      <c r="AQ615" s="128">
        <v>610.98</v>
      </c>
      <c r="AR615" s="128"/>
      <c r="AS615" s="128"/>
      <c r="AT615" s="122"/>
      <c r="AU615" s="124" t="s">
        <v>883</v>
      </c>
      <c r="AV615" s="115">
        <f>VLOOKUP(J615,'[63]ТР нефть'!$J$28:$BP$638,39,0)</f>
        <v>490</v>
      </c>
      <c r="AW615" s="115" t="str">
        <f>VLOOKUP(J615,'[63]ТР нефть'!$J$28:$BP$638,40,0)</f>
        <v>ГП</v>
      </c>
      <c r="AX615" s="115">
        <f>VLOOKUP(J615,'[63]ТР нефть'!$J$28:$BP$638,41,0)</f>
        <v>970</v>
      </c>
      <c r="AY615" s="115" t="str">
        <f>VLOOKUP(J615,'[63]ТР нефть'!$J$28:$BP$638,42,0)</f>
        <v>ГП</v>
      </c>
      <c r="AZ615" s="115">
        <f>VLOOKUP(J615,'[63]ТР нефть'!$J$28:$BP$638,43,0)</f>
        <v>1450</v>
      </c>
      <c r="BA615" s="115" t="str">
        <f>VLOOKUP(J615,'[63]ТР нефть'!$J$28:$BP$638,44,0)</f>
        <v>ГП</v>
      </c>
      <c r="BB615" s="115">
        <f>VLOOKUP(J615,'[63]ТР нефть'!$J$28:$BP$638,45,0)</f>
        <v>1800</v>
      </c>
      <c r="BC615" s="115" t="str">
        <f>VLOOKUP(J615,'[63]ТР нефть'!$J$28:$BP$638,46,0)</f>
        <v>ГК 81 5/32</v>
      </c>
      <c r="BD615" s="115">
        <f>VLOOKUP(J615,'[63]ТР нефть'!$J$28:$BP$638,47,0)</f>
        <v>2030</v>
      </c>
      <c r="BE615" s="115" t="str">
        <f>VLOOKUP(J615,'[63]ТР нефть'!$J$28:$BP$638,48,0)</f>
        <v>ЦКсОК 5/16</v>
      </c>
      <c r="BF615" s="115" t="str">
        <f>VLOOKUP(J615,'[63]ТР нефть'!$J$28:$BP$638,49,0)</f>
        <v>-</v>
      </c>
      <c r="BG615" s="115" t="str">
        <f>VLOOKUP(J615,'[63]ТР нефть'!$J$28:$BP$638,50,0)</f>
        <v>-</v>
      </c>
      <c r="BH615" s="115" t="str">
        <f>VLOOKUP(J615,'[63]ТР нефть'!$J$28:$BP$638,51,0)</f>
        <v>-</v>
      </c>
      <c r="BI615" s="115" t="str">
        <f>VLOOKUP(J615,'[63]ТР нефть'!$J$28:$BP$638,52,0)</f>
        <v>-</v>
      </c>
      <c r="BJ615" s="115" t="str">
        <f>IF(IFERROR(VLOOKUP(J615,'[63]ТР нефть'!$J$28:$BP$638,53,0),"-")=0,"-",IFERROR(VLOOKUP(J615,'[63]ТР нефть'!$J$28:$BP$638,53,0),"-"))</f>
        <v>-</v>
      </c>
      <c r="BK615" s="138" t="str">
        <f>IF(IFERROR(VLOOKUP(J615,'[63]ТР нефть'!$J$28:$BP$638,54,0),"-")=0,"-",IFERROR(VLOOKUP(J615,'[63]ТР нефть'!$J$28:$BP$638,54,0),"-"))</f>
        <v>D1050N</v>
      </c>
      <c r="BL615" s="138" t="str">
        <f>IF(IFERROR(VLOOKUP(J615,'[63]ТР нефть'!$J$28:$BP$638,55,0),"-")=0,"-",IFERROR(VLOOKUP(J615,'[63]ТР нефть'!$J$28:$BP$638,55,0),"-"))</f>
        <v>-</v>
      </c>
      <c r="BM615" s="138">
        <f>IF(IFERROR(VLOOKUP(J615,'[63]ТР нефть'!$J$28:$BP$638,56,0),"-")=0,"-",IFERROR(VLOOKUP(J615,'[63]ТР нефть'!$J$28:$BP$638,56,0),"-"))</f>
        <v>1606</v>
      </c>
      <c r="BN615" s="138">
        <f>IF(IFERROR(VLOOKUP(J615,'[63]ТР нефть'!$J$28:$BP$638,57,0),"-")=0,"-",IFERROR(VLOOKUP(J615,'[63]ТР нефть'!$J$28:$BP$638,57,0),"-"))</f>
        <v>43</v>
      </c>
      <c r="BO615" s="115">
        <f>IF(IFERROR(VLOOKUP(J615,'[63]ТР нефть'!$J$28:$BP$638,58,0),"-")=0,"-",IFERROR(VLOOKUP(J615,'[63]ТР нефть'!$J$28:$BP$638,58,0),"-"))</f>
        <v>90</v>
      </c>
      <c r="BP615" s="115" t="str">
        <f>IF(IFERROR(VLOOKUP(J615,'[63]ТР нефть'!$J$28:$BP$638,59,0),"-")=0,"-",IFERROR(VLOOKUP(J615,'[63]ТР нефть'!$J$28:$BP$638,59,0),"-"))</f>
        <v>-</v>
      </c>
      <c r="BQ615" s="138">
        <v>2000</v>
      </c>
      <c r="BR615" s="128">
        <v>1623.5</v>
      </c>
      <c r="BS615" s="115">
        <v>376.5</v>
      </c>
      <c r="BT615" s="128">
        <v>73</v>
      </c>
      <c r="BU615" s="128">
        <v>5.5</v>
      </c>
      <c r="BV615" s="127">
        <v>18</v>
      </c>
      <c r="BW615" s="127" t="s">
        <v>217</v>
      </c>
      <c r="BX615" s="127" t="s">
        <v>195</v>
      </c>
      <c r="BY615" s="139">
        <v>24</v>
      </c>
      <c r="BZ615" s="139">
        <v>0</v>
      </c>
      <c r="CA615" s="138">
        <v>25</v>
      </c>
      <c r="CB615" s="138">
        <v>25</v>
      </c>
      <c r="CC615" s="138">
        <v>24</v>
      </c>
      <c r="CD615" s="135">
        <v>45017</v>
      </c>
      <c r="CE615" s="138">
        <v>119</v>
      </c>
      <c r="CF615" s="138"/>
      <c r="CG615" s="138" t="str">
        <f>IF(CH615&lt;&gt;"","В работе","")</f>
        <v/>
      </c>
      <c r="CH615" s="138" t="s">
        <v>197</v>
      </c>
      <c r="CI615" s="127"/>
      <c r="CJ615" s="138">
        <f>IF((BR615-(100*(CM615-CB615))/(9.8*(AB615+AA615)/2))&gt;0,BR615-(100*(CM615-CB615))/(9.8*(AB615+AA615)/2),0)</f>
        <v>1334.9527044751062</v>
      </c>
      <c r="CK615" s="138">
        <f t="shared" si="488"/>
        <v>41.287904032</v>
      </c>
      <c r="CL615" s="99"/>
      <c r="CM615" s="127">
        <v>47</v>
      </c>
      <c r="CN615" s="154">
        <f>IF(CM615=0,0,(((AP615-AQ615-BR615)*((AD615*(CQ615/100))+(AB615*((100-CQ615)/100)))*9.81/100+CM615)))</f>
        <v>66.287904032</v>
      </c>
      <c r="CO615" s="141">
        <f t="shared" si="504"/>
        <v>13.768920000000001</v>
      </c>
      <c r="CP615" s="142">
        <v>61</v>
      </c>
      <c r="CQ615" s="143">
        <v>73</v>
      </c>
      <c r="CR615" s="138">
        <v>3.5</v>
      </c>
      <c r="CS615" s="139"/>
      <c r="CT615" s="138"/>
      <c r="CU615" s="138">
        <f t="shared" si="475"/>
        <v>3.5</v>
      </c>
      <c r="CV615" s="115">
        <f t="shared" si="476"/>
        <v>254.19568128800222</v>
      </c>
      <c r="CW615" s="115" t="str">
        <f t="shared" si="505"/>
        <v/>
      </c>
      <c r="CX615" s="133">
        <f t="shared" si="477"/>
        <v>1.1572296430221889</v>
      </c>
      <c r="CY615" s="116"/>
      <c r="CZ615" s="131"/>
      <c r="DA615" s="145" t="str">
        <f t="shared" si="478"/>
        <v>ЭЦН</v>
      </c>
      <c r="DB615" s="146">
        <f t="shared" si="468"/>
        <v>13.768920000000001</v>
      </c>
      <c r="DC615" s="142">
        <f t="shared" si="469"/>
        <v>61</v>
      </c>
      <c r="DD615" s="119">
        <f t="shared" si="470"/>
        <v>73</v>
      </c>
      <c r="DE615" s="115">
        <f t="shared" si="471"/>
        <v>3.5</v>
      </c>
      <c r="DF615" s="121">
        <f t="shared" si="472"/>
        <v>0</v>
      </c>
      <c r="DG615" s="115">
        <f t="shared" si="506"/>
        <v>254.19568128800222</v>
      </c>
      <c r="DH615" s="115">
        <f t="shared" si="507"/>
        <v>66.287904032</v>
      </c>
      <c r="DI615" s="147"/>
      <c r="DJ615" s="111"/>
      <c r="DK615" s="112">
        <v>44423</v>
      </c>
      <c r="DL615" s="113">
        <f ca="1">TODAY()-DK615</f>
        <v>681</v>
      </c>
      <c r="DM615" s="114"/>
      <c r="DN615" s="114"/>
      <c r="DO615" s="114"/>
      <c r="DP615" s="114"/>
      <c r="DQ615" s="112"/>
      <c r="DR615" s="114"/>
      <c r="DS615" s="114"/>
      <c r="DT615" s="115">
        <v>60</v>
      </c>
      <c r="DU615" s="116">
        <f t="shared" si="515"/>
        <v>1.1233911950003634</v>
      </c>
      <c r="DV615" s="117">
        <f t="shared" si="516"/>
        <v>14.960739771593442</v>
      </c>
      <c r="DW615" s="118">
        <f t="shared" si="517"/>
        <v>66.280080505021445</v>
      </c>
      <c r="DX615" s="119">
        <f t="shared" si="497"/>
        <v>73</v>
      </c>
      <c r="DY615" s="115">
        <f t="shared" si="518"/>
        <v>3.8029554388127056</v>
      </c>
      <c r="DZ615" s="117">
        <f t="shared" si="519"/>
        <v>1.1918197715934404</v>
      </c>
      <c r="EA615" s="120">
        <f t="shared" si="519"/>
        <v>5.280080505021445</v>
      </c>
      <c r="EB615" s="119">
        <f t="shared" si="501"/>
        <v>0</v>
      </c>
      <c r="EC615" s="121">
        <f t="shared" si="520"/>
        <v>0.30295543881270559</v>
      </c>
      <c r="ED615" s="122"/>
      <c r="EE615" s="145">
        <v>18</v>
      </c>
      <c r="EF615" s="115">
        <v>29</v>
      </c>
      <c r="EG615" s="115">
        <v>29</v>
      </c>
      <c r="EH615" s="115">
        <v>28</v>
      </c>
      <c r="EI615" s="128" t="s">
        <v>195</v>
      </c>
      <c r="EJ615" s="121">
        <v>24</v>
      </c>
      <c r="EK615" s="121">
        <v>0</v>
      </c>
      <c r="EL615" s="149">
        <v>28.992479999999997</v>
      </c>
      <c r="EM615" s="142">
        <v>86.7</v>
      </c>
      <c r="EN615" s="119">
        <v>60</v>
      </c>
      <c r="EO615" s="115">
        <v>15.9</v>
      </c>
      <c r="EP615" s="115">
        <v>548.41807254846776</v>
      </c>
      <c r="EQ615" s="115">
        <v>0</v>
      </c>
      <c r="ER615" s="115">
        <v>0</v>
      </c>
      <c r="ES615" s="115">
        <v>70.211754880000001</v>
      </c>
      <c r="ET615" s="150">
        <v>1.7770674019274912</v>
      </c>
      <c r="EU615" s="145">
        <f t="shared" si="521"/>
        <v>18</v>
      </c>
      <c r="EV615" s="115">
        <f t="shared" si="508"/>
        <v>25</v>
      </c>
      <c r="EW615" s="115">
        <f t="shared" si="508"/>
        <v>25</v>
      </c>
      <c r="EX615" s="115">
        <f t="shared" si="508"/>
        <v>24</v>
      </c>
      <c r="EY615" s="115" t="str">
        <f t="shared" si="489"/>
        <v>Постоянный</v>
      </c>
      <c r="EZ615" s="115">
        <f t="shared" si="489"/>
        <v>24</v>
      </c>
      <c r="FA615" s="115">
        <f t="shared" si="489"/>
        <v>0</v>
      </c>
      <c r="FB615" s="149">
        <f t="shared" si="461"/>
        <v>13.768920000000001</v>
      </c>
      <c r="FC615" s="142">
        <f t="shared" si="461"/>
        <v>61</v>
      </c>
      <c r="FD615" s="119">
        <f t="shared" si="461"/>
        <v>73</v>
      </c>
      <c r="FE615" s="121">
        <f t="shared" si="460"/>
        <v>3.5</v>
      </c>
      <c r="FF615" s="121">
        <f t="shared" si="462"/>
        <v>254.19568128800222</v>
      </c>
      <c r="FG615" s="121">
        <f t="shared" si="509"/>
        <v>0</v>
      </c>
      <c r="FH615" s="121">
        <f t="shared" si="491"/>
        <v>0</v>
      </c>
      <c r="FI615" s="121">
        <f t="shared" si="483"/>
        <v>66.287904032</v>
      </c>
      <c r="FJ615" s="144">
        <f t="shared" si="510"/>
        <v>1.1572296430221889</v>
      </c>
      <c r="FK615" s="132">
        <f t="shared" si="511"/>
        <v>0</v>
      </c>
      <c r="FL615" s="115">
        <f t="shared" si="511"/>
        <v>-4</v>
      </c>
      <c r="FM615" s="115">
        <f t="shared" si="511"/>
        <v>-4</v>
      </c>
      <c r="FN615" s="115">
        <f t="shared" si="511"/>
        <v>-4</v>
      </c>
      <c r="FO615" s="115">
        <f t="shared" si="492"/>
        <v>0</v>
      </c>
      <c r="FP615" s="115">
        <f t="shared" si="492"/>
        <v>0</v>
      </c>
      <c r="FQ615" s="149">
        <f t="shared" si="492"/>
        <v>-15.223559999999996</v>
      </c>
      <c r="FR615" s="142">
        <f t="shared" si="492"/>
        <v>-25.700000000000003</v>
      </c>
      <c r="FS615" s="119">
        <f t="shared" si="492"/>
        <v>13</v>
      </c>
      <c r="FT615" s="121">
        <f t="shared" si="492"/>
        <v>-12.4</v>
      </c>
      <c r="FU615" s="121">
        <f t="shared" si="512"/>
        <v>0</v>
      </c>
      <c r="FV615" s="121">
        <f t="shared" si="512"/>
        <v>0</v>
      </c>
      <c r="FW615" s="121">
        <f t="shared" si="513"/>
        <v>-294.22239126046554</v>
      </c>
      <c r="FX615" s="121">
        <f t="shared" si="514"/>
        <v>-3.9238508480000007</v>
      </c>
      <c r="FY615" s="144">
        <f t="shared" si="502"/>
        <v>-0.61983775890530235</v>
      </c>
      <c r="FZ615" s="145" t="s">
        <v>223</v>
      </c>
      <c r="GA615" s="151" t="s">
        <v>2072</v>
      </c>
      <c r="GB615" s="145" t="s">
        <v>146</v>
      </c>
      <c r="GC615" s="151" t="s">
        <v>1006</v>
      </c>
      <c r="GD615" s="997" t="s">
        <v>220</v>
      </c>
      <c r="GE615" s="1004" t="s">
        <v>146</v>
      </c>
      <c r="GF615" s="1004">
        <v>-4.7837592000000022</v>
      </c>
      <c r="GG615" s="1004"/>
      <c r="GH615" s="1004">
        <v>0</v>
      </c>
      <c r="GI615" s="145"/>
      <c r="GJ615" s="996">
        <v>0</v>
      </c>
      <c r="GK615" s="145" t="s">
        <v>204</v>
      </c>
      <c r="GL615" s="996">
        <v>3.7526367999999977</v>
      </c>
      <c r="GM615" s="1005"/>
      <c r="GN615" s="996">
        <v>-0.82822453119999651</v>
      </c>
      <c r="GO615" s="1006" t="s">
        <v>206</v>
      </c>
      <c r="GP615" s="996">
        <v>-7.8661754688000052</v>
      </c>
      <c r="GQ615" s="1006"/>
      <c r="GR615" s="996">
        <v>0.41875240000000957</v>
      </c>
      <c r="GS615" s="1006" t="s">
        <v>204</v>
      </c>
      <c r="GT615" s="996">
        <v>25.341249999999995</v>
      </c>
      <c r="GU615" s="1006" t="s">
        <v>223</v>
      </c>
      <c r="GV615" s="996">
        <v>2.1736000000000022</v>
      </c>
      <c r="GW615" s="1006" t="s">
        <v>223</v>
      </c>
      <c r="GX615" s="996">
        <v>-5.2667999999999964</v>
      </c>
      <c r="GY615" s="1006" t="s">
        <v>199</v>
      </c>
      <c r="GZ615" s="996">
        <v>-2.6967019200000131</v>
      </c>
      <c r="HA615" s="1006" t="s">
        <v>146</v>
      </c>
      <c r="HB615" s="996">
        <v>-8.1187972799999919</v>
      </c>
      <c r="HC615" s="1006" t="s">
        <v>886</v>
      </c>
      <c r="HD615" s="996">
        <v>0</v>
      </c>
      <c r="HE615" s="1006" t="s">
        <v>199</v>
      </c>
      <c r="HF615" s="996">
        <v>5.5988592000000033</v>
      </c>
      <c r="HG615" s="1006"/>
      <c r="HH615" s="996">
        <v>0</v>
      </c>
      <c r="HI615" s="1006"/>
      <c r="HJ615" s="996">
        <v>0</v>
      </c>
      <c r="HK615" s="1006"/>
      <c r="HL615" s="996">
        <v>0</v>
      </c>
      <c r="HM615" s="1006" t="s">
        <v>204</v>
      </c>
      <c r="HN615" s="996">
        <v>4.1313782399999965</v>
      </c>
      <c r="HO615" s="1006"/>
      <c r="HP615" s="996">
        <v>0</v>
      </c>
      <c r="HQ615" s="1006" t="s">
        <v>886</v>
      </c>
      <c r="HR615" s="996">
        <v>-17.275640210400002</v>
      </c>
      <c r="HS615" s="1006"/>
      <c r="HT615" s="996">
        <v>0</v>
      </c>
      <c r="HU615" s="1006" t="s">
        <v>25</v>
      </c>
      <c r="HV615" s="996">
        <v>34.412101970400002</v>
      </c>
      <c r="HW615" s="1006"/>
      <c r="HX615" s="996">
        <v>0</v>
      </c>
      <c r="HY615" s="1006"/>
      <c r="HZ615" s="996">
        <v>0</v>
      </c>
      <c r="IA615" s="1006"/>
      <c r="IB615" s="996">
        <v>0</v>
      </c>
      <c r="IC615" s="1006"/>
      <c r="ID615" s="996"/>
      <c r="IE615" s="1006"/>
      <c r="IF615" s="996"/>
      <c r="IG615" s="1006"/>
      <c r="IH615" s="996"/>
      <c r="II615" s="1006"/>
      <c r="IJ615" s="996"/>
      <c r="IK615" s="1006"/>
      <c r="IL615" s="996"/>
      <c r="IM615" s="1006"/>
      <c r="IN615" s="996"/>
      <c r="IO615" s="1006"/>
      <c r="IP615" s="996"/>
      <c r="IQ615" s="1006"/>
      <c r="IR615" s="996"/>
      <c r="IS615" s="1006"/>
      <c r="IT615" s="996"/>
      <c r="IU615" s="1006"/>
      <c r="IV615" s="996"/>
      <c r="IW615" s="1006"/>
      <c r="IX615" s="996"/>
      <c r="IY615" s="1006"/>
      <c r="IZ615" s="996"/>
      <c r="JA615" s="1006"/>
      <c r="JB615" s="996"/>
      <c r="JC615" s="1006"/>
      <c r="JD615" s="996"/>
      <c r="JE615" s="1006"/>
      <c r="JF615" s="996"/>
      <c r="JG615" s="1006"/>
      <c r="JH615" s="996"/>
      <c r="JI615" s="1006"/>
      <c r="JJ615" s="996"/>
      <c r="JK615" s="1007"/>
      <c r="JL615" s="1007"/>
      <c r="JM615" s="1007"/>
      <c r="JN615" s="1007"/>
      <c r="JO615" s="1067"/>
      <c r="JP615" s="1007"/>
      <c r="JQ615" s="1008"/>
      <c r="JR615" s="1007"/>
      <c r="JS615" s="1008"/>
      <c r="JT615" s="1007"/>
      <c r="JU615" s="1008"/>
      <c r="JV615" s="1007"/>
      <c r="JW615" s="1008"/>
      <c r="JX615" s="1007"/>
      <c r="JY615" s="1008"/>
      <c r="JZ615" s="1007"/>
      <c r="KA615" s="1008"/>
      <c r="KB615" s="1007"/>
      <c r="KC615" s="1008"/>
      <c r="KD615" s="1007"/>
      <c r="KE615" s="1008"/>
      <c r="KF615" s="1007"/>
      <c r="KG615" s="1008"/>
      <c r="KH615" s="1007"/>
      <c r="KI615" s="1008"/>
      <c r="KJ615" s="1007"/>
      <c r="KK615" s="1008"/>
      <c r="KL615" s="1007"/>
      <c r="KM615" s="1008"/>
      <c r="KN615" s="1007"/>
      <c r="KO615" s="1008"/>
      <c r="KP615" s="1007"/>
      <c r="KQ615" s="1008"/>
      <c r="KR615" s="1007"/>
      <c r="KS615" s="1008"/>
      <c r="KT615" s="1007"/>
      <c r="KU615" s="1008"/>
      <c r="KV615" s="1007"/>
      <c r="KW615" s="1008"/>
      <c r="KX615" s="1007"/>
      <c r="KY615" s="1008"/>
      <c r="KZ615" s="1007"/>
      <c r="LA615" s="1008"/>
      <c r="LB615" s="1007"/>
      <c r="LC615" s="1008"/>
      <c r="LD615" s="1007"/>
      <c r="LE615" s="1008"/>
      <c r="LF615" s="1007"/>
      <c r="LG615" s="1008"/>
      <c r="LH615" s="1007"/>
      <c r="LI615" s="1008"/>
      <c r="LJ615" s="1007"/>
      <c r="LK615" s="1008"/>
      <c r="LL615" s="1007"/>
      <c r="LM615" s="1008"/>
      <c r="LN615" s="1007"/>
      <c r="LO615" s="1008"/>
      <c r="LP615" s="1007"/>
      <c r="LQ615" s="1008"/>
      <c r="LR615" s="1007"/>
      <c r="LS615" s="1008"/>
      <c r="LT615" s="1007"/>
      <c r="LU615" s="1008"/>
      <c r="LV615" s="1007"/>
      <c r="LW615" s="1008"/>
      <c r="LX615" s="1007"/>
      <c r="LY615" s="1009"/>
      <c r="LZ615" s="1010"/>
      <c r="MA615" s="1011"/>
      <c r="MB615" s="1012"/>
      <c r="MC615" s="995"/>
      <c r="MD615" s="996"/>
      <c r="ME615" s="997" t="s">
        <v>220</v>
      </c>
      <c r="MF615" s="997"/>
      <c r="MG615" s="998"/>
      <c r="NR615" s="1000"/>
      <c r="NS615" s="1000"/>
      <c r="NT615" s="1001"/>
      <c r="NU615" s="1000"/>
      <c r="NV615" s="1001"/>
      <c r="NX615" s="1002"/>
      <c r="NZ615" s="1001"/>
      <c r="OA615" s="1001"/>
      <c r="OC615" s="1003"/>
      <c r="OD615" s="1003"/>
      <c r="OE615" s="1001"/>
      <c r="OF615" s="1003"/>
      <c r="OG615" s="1003"/>
      <c r="QX615" s="1000">
        <f>CN615-CA615</f>
        <v>41.287904032</v>
      </c>
      <c r="ASU615" s="999" t="s">
        <v>208</v>
      </c>
    </row>
    <row r="616" spans="1:466 1191:1191" ht="21" customHeight="1" x14ac:dyDescent="0.25">
      <c r="A616" s="982">
        <f t="shared" si="503"/>
        <v>5196</v>
      </c>
      <c r="B616" s="124">
        <f>SUBTOTAL(103,$J$29:J616)</f>
        <v>588</v>
      </c>
      <c r="C616" s="126">
        <v>45068</v>
      </c>
      <c r="D616" s="124" t="s">
        <v>176</v>
      </c>
      <c r="E616" s="127" t="s">
        <v>177</v>
      </c>
      <c r="F616" s="128" t="s">
        <v>177</v>
      </c>
      <c r="G616" s="127" t="s">
        <v>178</v>
      </c>
      <c r="H616" s="127" t="s">
        <v>179</v>
      </c>
      <c r="I616" s="127" t="s">
        <v>2062</v>
      </c>
      <c r="J616" s="152">
        <v>5196</v>
      </c>
      <c r="K616" s="127" t="s">
        <v>2062</v>
      </c>
      <c r="L616" s="130">
        <v>44289</v>
      </c>
      <c r="M616" s="127" t="s">
        <v>230</v>
      </c>
      <c r="N616" s="127" t="s">
        <v>184</v>
      </c>
      <c r="O616" s="127" t="s">
        <v>185</v>
      </c>
      <c r="P616" s="127" t="s">
        <v>186</v>
      </c>
      <c r="Q616" s="85" t="str">
        <f t="shared" si="523"/>
        <v/>
      </c>
      <c r="R616" s="130"/>
      <c r="S616" s="128"/>
      <c r="T616" s="131"/>
      <c r="U616" s="132">
        <v>203</v>
      </c>
      <c r="V616" s="121">
        <v>218.2</v>
      </c>
      <c r="W616" s="116">
        <v>0.98</v>
      </c>
      <c r="X616" s="116">
        <v>1.66</v>
      </c>
      <c r="Y616" s="116">
        <f t="shared" si="522"/>
        <v>0.98809523809523803</v>
      </c>
      <c r="Z616" s="133">
        <v>1.454</v>
      </c>
      <c r="AA616" s="133">
        <v>0.83599999999999997</v>
      </c>
      <c r="AB616" s="133">
        <v>0.72</v>
      </c>
      <c r="AC616" s="121">
        <v>34.299999999999997</v>
      </c>
      <c r="AD616" s="134">
        <v>1.17</v>
      </c>
      <c r="AE616" s="124">
        <v>177.8</v>
      </c>
      <c r="AF616" s="128">
        <v>9.1999999999999993</v>
      </c>
      <c r="AG616" s="128">
        <v>2205</v>
      </c>
      <c r="AH616" s="127">
        <v>3434</v>
      </c>
      <c r="AI616" s="127">
        <v>3434</v>
      </c>
      <c r="AJ616" s="135"/>
      <c r="AK616" s="128"/>
      <c r="AL616" s="131"/>
      <c r="AM616" s="124" t="s">
        <v>232</v>
      </c>
      <c r="AN616" s="136" t="s">
        <v>2073</v>
      </c>
      <c r="AO616" s="137">
        <v>50.29</v>
      </c>
      <c r="AP616" s="128">
        <v>2205</v>
      </c>
      <c r="AQ616" s="128">
        <v>428.18</v>
      </c>
      <c r="AR616" s="128"/>
      <c r="AS616" s="128"/>
      <c r="AT616" s="122"/>
      <c r="AU616" s="124" t="s">
        <v>189</v>
      </c>
      <c r="AV616" s="115">
        <f>VLOOKUP(J616,'[63]ТР нефть'!$J$28:$BP$638,39,0)</f>
        <v>499.99999218800002</v>
      </c>
      <c r="AW616" s="115" t="str">
        <f>VLOOKUP(J616,'[63]ТР нефть'!$J$28:$BP$638,40,0)</f>
        <v>ГК79 1/8</v>
      </c>
      <c r="AX616" s="115">
        <f>VLOOKUP(J616,'[63]ТР нефть'!$J$28:$BP$638,41,0)</f>
        <v>949.99998515599998</v>
      </c>
      <c r="AY616" s="115" t="str">
        <f>VLOOKUP(J616,'[63]ТР нефть'!$J$28:$BP$638,42,0)</f>
        <v>ГК79 1/8</v>
      </c>
      <c r="AZ616" s="115">
        <f>VLOOKUP(J616,'[63]ТР нефть'!$J$28:$BP$638,43,0)</f>
        <v>1430.000007422</v>
      </c>
      <c r="BA616" s="115" t="str">
        <f>VLOOKUP(J616,'[63]ТР нефть'!$J$28:$BP$638,44,0)</f>
        <v>ГК78 1/8</v>
      </c>
      <c r="BB616" s="115">
        <f>VLOOKUP(J616,'[63]ТР нефть'!$J$28:$BP$638,45,0)</f>
        <v>1690.000062891</v>
      </c>
      <c r="BC616" s="115" t="str">
        <f>VLOOKUP(J616,'[63]ТР нефть'!$J$28:$BP$638,46,0)</f>
        <v>ГК78 5/32</v>
      </c>
      <c r="BD616" s="115">
        <f>VLOOKUP(J616,'[63]ТР нефть'!$J$28:$BP$638,47,0)</f>
        <v>1919.999940234</v>
      </c>
      <c r="BE616" s="115" t="str">
        <f>VLOOKUP(J616,'[63]ТР нефть'!$J$28:$BP$638,48,0)</f>
        <v>ЦКсОК 5/16</v>
      </c>
      <c r="BF616" s="115" t="str">
        <f>VLOOKUP(J616,'[63]ТР нефть'!$J$28:$BP$638,49,0)</f>
        <v>-</v>
      </c>
      <c r="BG616" s="115" t="str">
        <f>VLOOKUP(J616,'[63]ТР нефть'!$J$28:$BP$638,50,0)</f>
        <v>-</v>
      </c>
      <c r="BH616" s="115" t="str">
        <f>VLOOKUP(J616,'[63]ТР нефть'!$J$28:$BP$638,51,0)</f>
        <v>-</v>
      </c>
      <c r="BI616" s="115" t="str">
        <f>VLOOKUP(J616,'[63]ТР нефть'!$J$28:$BP$638,52,0)</f>
        <v>-</v>
      </c>
      <c r="BJ616" s="115" t="str">
        <f>IF(IFERROR(VLOOKUP(J616,'[63]ТР нефть'!$J$28:$BP$638,53,0),"-")=0,"-",IFERROR(VLOOKUP(J616,'[63]ТР нефть'!$J$28:$BP$638,53,0),"-"))</f>
        <v>-</v>
      </c>
      <c r="BK616" s="138" t="str">
        <f>IF(IFERROR(VLOOKUP(J616,'[63]ТР нефть'!$J$28:$BP$638,54,0),"-")=0,"-",IFERROR(VLOOKUP(J616,'[63]ТР нефть'!$J$28:$BP$638,54,0),"-"))</f>
        <v>-</v>
      </c>
      <c r="BL616" s="138" t="str">
        <f>IF(IFERROR(VLOOKUP(J616,'[63]ТР нефть'!$J$28:$BP$638,55,0),"-")=0,"-",IFERROR(VLOOKUP(J616,'[63]ТР нефть'!$J$28:$BP$638,55,0),"-"))</f>
        <v>-</v>
      </c>
      <c r="BM616" s="138" t="str">
        <f>IF(IFERROR(VLOOKUP(J616,'[63]ТР нефть'!$J$28:$BP$638,56,0),"-")=0,"-",IFERROR(VLOOKUP(J616,'[63]ТР нефть'!$J$28:$BP$638,56,0),"-"))</f>
        <v>-</v>
      </c>
      <c r="BN616" s="138" t="str">
        <f>IF(IFERROR(VLOOKUP(J616,'[63]ТР нефть'!$J$28:$BP$638,57,0),"-")=0,"-",IFERROR(VLOOKUP(J616,'[63]ТР нефть'!$J$28:$BP$638,57,0),"-"))</f>
        <v>-</v>
      </c>
      <c r="BO616" s="115" t="str">
        <f>IF(IFERROR(VLOOKUP(J616,'[63]ТР нефть'!$J$28:$BP$638,58,0),"-")=0,"-",IFERROR(VLOOKUP(J616,'[63]ТР нефть'!$J$28:$BP$638,58,0),"-"))</f>
        <v>-</v>
      </c>
      <c r="BP616" s="115" t="str">
        <f>IF(IFERROR(VLOOKUP(J616,'[63]ТР нефть'!$J$28:$BP$638,59,0),"-")=0,"-",IFERROR(VLOOKUP(J616,'[63]ТР нефть'!$J$28:$BP$638,59,0),"-"))</f>
        <v>-</v>
      </c>
      <c r="BQ616" s="138">
        <v>2432</v>
      </c>
      <c r="BR616" s="128">
        <v>1813.26</v>
      </c>
      <c r="BS616" s="115">
        <v>619.1400000000001</v>
      </c>
      <c r="BT616" s="128">
        <v>73</v>
      </c>
      <c r="BU616" s="128">
        <v>5.5</v>
      </c>
      <c r="BV616" s="127">
        <v>18</v>
      </c>
      <c r="BW616" s="127" t="s">
        <v>217</v>
      </c>
      <c r="BX616" s="127" t="s">
        <v>195</v>
      </c>
      <c r="BY616" s="139">
        <v>24</v>
      </c>
      <c r="BZ616" s="139">
        <v>0</v>
      </c>
      <c r="CA616" s="138">
        <v>28</v>
      </c>
      <c r="CB616" s="138">
        <v>42</v>
      </c>
      <c r="CC616" s="138">
        <v>27</v>
      </c>
      <c r="CD616" s="135">
        <v>45017</v>
      </c>
      <c r="CE616" s="138">
        <v>125</v>
      </c>
      <c r="CF616" s="138">
        <v>76</v>
      </c>
      <c r="CG616" s="138" t="str">
        <f>IF(CH616&lt;&gt;"","В работе","")</f>
        <v/>
      </c>
      <c r="CH616" s="138" t="s">
        <v>197</v>
      </c>
      <c r="CI616" s="127"/>
      <c r="CJ616" s="138"/>
      <c r="CK616" s="138">
        <f t="shared" si="488"/>
        <v>25</v>
      </c>
      <c r="CL616" s="99"/>
      <c r="CM616" s="99"/>
      <c r="CN616" s="140">
        <v>53</v>
      </c>
      <c r="CO616" s="141">
        <f t="shared" si="504"/>
        <v>23.759119999999996</v>
      </c>
      <c r="CP616" s="142">
        <v>29</v>
      </c>
      <c r="CQ616" s="143">
        <v>2</v>
      </c>
      <c r="CR616" s="138">
        <v>16.5</v>
      </c>
      <c r="CS616" s="139">
        <v>12.5</v>
      </c>
      <c r="CT616" s="138"/>
      <c r="CU616" s="138">
        <f t="shared" si="475"/>
        <v>4</v>
      </c>
      <c r="CV616" s="115">
        <f t="shared" si="476"/>
        <v>168.35640377253031</v>
      </c>
      <c r="CW616" s="115">
        <f t="shared" si="505"/>
        <v>511.65006737408083</v>
      </c>
      <c r="CX616" s="133">
        <f t="shared" si="477"/>
        <v>0.40277777777777779</v>
      </c>
      <c r="CY616" s="116"/>
      <c r="CZ616" s="131"/>
      <c r="DA616" s="145" t="str">
        <f t="shared" si="478"/>
        <v>Газлифт</v>
      </c>
      <c r="DB616" s="146">
        <f t="shared" si="468"/>
        <v>23.759119999999996</v>
      </c>
      <c r="DC616" s="142">
        <f t="shared" si="469"/>
        <v>29</v>
      </c>
      <c r="DD616" s="119">
        <f t="shared" si="470"/>
        <v>2</v>
      </c>
      <c r="DE616" s="115">
        <f t="shared" si="471"/>
        <v>4</v>
      </c>
      <c r="DF616" s="121">
        <f t="shared" si="472"/>
        <v>12.5</v>
      </c>
      <c r="DG616" s="115">
        <f t="shared" si="506"/>
        <v>168.35640377253031</v>
      </c>
      <c r="DH616" s="115">
        <f t="shared" si="507"/>
        <v>53</v>
      </c>
      <c r="DI616" s="147"/>
      <c r="DJ616" s="111"/>
      <c r="DK616" s="112">
        <v>44289</v>
      </c>
      <c r="DL616" s="113">
        <f ca="1">TODAY()-DK616</f>
        <v>815</v>
      </c>
      <c r="DM616" s="114"/>
      <c r="DN616" s="114"/>
      <c r="DO616" s="114"/>
      <c r="DP616" s="114"/>
      <c r="DQ616" s="112"/>
      <c r="DR616" s="114"/>
      <c r="DS616" s="114"/>
      <c r="DT616" s="115">
        <v>60</v>
      </c>
      <c r="DU616" s="116">
        <f t="shared" si="515"/>
        <v>0.44615384615384618</v>
      </c>
      <c r="DV616" s="117">
        <f t="shared" si="516"/>
        <v>23.759119999999996</v>
      </c>
      <c r="DW616" s="118">
        <f t="shared" si="517"/>
        <v>29</v>
      </c>
      <c r="DX616" s="119">
        <f t="shared" si="497"/>
        <v>2</v>
      </c>
      <c r="DY616" s="115">
        <f t="shared" si="518"/>
        <v>3.9999999999999996</v>
      </c>
      <c r="DZ616" s="117">
        <f t="shared" si="519"/>
        <v>0</v>
      </c>
      <c r="EA616" s="120">
        <f t="shared" si="519"/>
        <v>0</v>
      </c>
      <c r="EB616" s="119">
        <f t="shared" si="501"/>
        <v>0</v>
      </c>
      <c r="EC616" s="121">
        <f t="shared" si="520"/>
        <v>0</v>
      </c>
      <c r="ED616" s="122"/>
      <c r="EE616" s="145">
        <v>18</v>
      </c>
      <c r="EF616" s="115">
        <v>29</v>
      </c>
      <c r="EG616" s="115">
        <v>44</v>
      </c>
      <c r="EH616" s="115">
        <v>28</v>
      </c>
      <c r="EI616" s="128" t="s">
        <v>195</v>
      </c>
      <c r="EJ616" s="121">
        <v>24</v>
      </c>
      <c r="EK616" s="121">
        <v>0</v>
      </c>
      <c r="EL616" s="149">
        <v>23.759119999999996</v>
      </c>
      <c r="EM616" s="142">
        <v>29</v>
      </c>
      <c r="EN616" s="119">
        <v>2</v>
      </c>
      <c r="EO616" s="115">
        <v>16.399999999999999</v>
      </c>
      <c r="EP616" s="115">
        <v>101.01384226351814</v>
      </c>
      <c r="EQ616" s="115">
        <v>76</v>
      </c>
      <c r="ER616" s="115">
        <v>14</v>
      </c>
      <c r="ES616" s="115">
        <v>54</v>
      </c>
      <c r="ET616" s="150">
        <v>0.40845070422535212</v>
      </c>
      <c r="EU616" s="145">
        <f t="shared" si="521"/>
        <v>18</v>
      </c>
      <c r="EV616" s="115">
        <f t="shared" si="508"/>
        <v>28</v>
      </c>
      <c r="EW616" s="115">
        <f t="shared" si="508"/>
        <v>42</v>
      </c>
      <c r="EX616" s="115">
        <f t="shared" si="508"/>
        <v>27</v>
      </c>
      <c r="EY616" s="115" t="str">
        <f t="shared" si="489"/>
        <v>Постоянный</v>
      </c>
      <c r="EZ616" s="115">
        <f t="shared" si="489"/>
        <v>24</v>
      </c>
      <c r="FA616" s="115">
        <f t="shared" si="489"/>
        <v>0</v>
      </c>
      <c r="FB616" s="149">
        <f t="shared" si="461"/>
        <v>23.759119999999996</v>
      </c>
      <c r="FC616" s="142">
        <f t="shared" si="461"/>
        <v>29</v>
      </c>
      <c r="FD616" s="119">
        <f t="shared" si="461"/>
        <v>2</v>
      </c>
      <c r="FE616" s="121">
        <f t="shared" si="460"/>
        <v>16.5</v>
      </c>
      <c r="FF616" s="121">
        <f t="shared" si="462"/>
        <v>168.35640377253031</v>
      </c>
      <c r="FG616" s="121">
        <f t="shared" si="509"/>
        <v>76</v>
      </c>
      <c r="FH616" s="121">
        <f t="shared" si="491"/>
        <v>12.5</v>
      </c>
      <c r="FI616" s="121">
        <f t="shared" si="483"/>
        <v>53</v>
      </c>
      <c r="FJ616" s="144">
        <f t="shared" si="510"/>
        <v>0.40277777777777779</v>
      </c>
      <c r="FK616" s="132">
        <f t="shared" si="511"/>
        <v>0</v>
      </c>
      <c r="FL616" s="115">
        <f t="shared" si="511"/>
        <v>-1</v>
      </c>
      <c r="FM616" s="115">
        <f t="shared" si="511"/>
        <v>-2</v>
      </c>
      <c r="FN616" s="115">
        <f t="shared" si="511"/>
        <v>-1</v>
      </c>
      <c r="FO616" s="115">
        <f t="shared" si="492"/>
        <v>0</v>
      </c>
      <c r="FP616" s="115">
        <f t="shared" si="492"/>
        <v>0</v>
      </c>
      <c r="FQ616" s="149">
        <f t="shared" si="492"/>
        <v>0</v>
      </c>
      <c r="FR616" s="142">
        <f t="shared" si="492"/>
        <v>0</v>
      </c>
      <c r="FS616" s="119">
        <f t="shared" si="492"/>
        <v>0</v>
      </c>
      <c r="FT616" s="121">
        <f t="shared" si="492"/>
        <v>0.10000000000000142</v>
      </c>
      <c r="FU616" s="121">
        <f t="shared" si="512"/>
        <v>0</v>
      </c>
      <c r="FV616" s="121">
        <f t="shared" si="512"/>
        <v>-1.5</v>
      </c>
      <c r="FW616" s="121">
        <f t="shared" si="513"/>
        <v>67.342561509012171</v>
      </c>
      <c r="FX616" s="121">
        <f t="shared" si="514"/>
        <v>-1</v>
      </c>
      <c r="FY616" s="144">
        <f t="shared" si="502"/>
        <v>-5.6729264475743335E-3</v>
      </c>
      <c r="FZ616" s="145"/>
      <c r="GA616" s="151"/>
      <c r="GB616" s="145"/>
      <c r="GC616" s="151"/>
      <c r="GD616" s="997" t="s">
        <v>220</v>
      </c>
      <c r="GE616" s="1004"/>
      <c r="GF616" s="1004">
        <v>0.79762759999999844</v>
      </c>
      <c r="GG616" s="1004"/>
      <c r="GH616" s="1004">
        <v>0</v>
      </c>
      <c r="GI616" s="145" t="s">
        <v>199</v>
      </c>
      <c r="GJ616" s="996">
        <v>2.7888123999999976</v>
      </c>
      <c r="GK616" s="145" t="s">
        <v>199</v>
      </c>
      <c r="GL616" s="996">
        <v>-2.7854901359999999</v>
      </c>
      <c r="GM616" s="1005"/>
      <c r="GN616" s="996">
        <v>0</v>
      </c>
      <c r="GO616" s="1006" t="s">
        <v>199</v>
      </c>
      <c r="GP616" s="996">
        <v>3.3883810663999974</v>
      </c>
      <c r="GQ616" s="1006"/>
      <c r="GR616" s="996">
        <v>0.15987546960000287</v>
      </c>
      <c r="GS616" s="1006"/>
      <c r="GT616" s="996">
        <v>-4.1422963999999993</v>
      </c>
      <c r="GU616" s="1006"/>
      <c r="GV616" s="996">
        <v>0.4476779999999998</v>
      </c>
      <c r="GW616" s="1006" t="s">
        <v>199</v>
      </c>
      <c r="GX616" s="996">
        <v>3.6466320000000003</v>
      </c>
      <c r="GY616" s="1006" t="s">
        <v>199</v>
      </c>
      <c r="GZ616" s="996">
        <v>-7.7296560000000021</v>
      </c>
      <c r="HA616" s="1006" t="s">
        <v>223</v>
      </c>
      <c r="HB616" s="996">
        <v>-7.799043999999995</v>
      </c>
      <c r="HC616" s="1006" t="s">
        <v>199</v>
      </c>
      <c r="HD616" s="996">
        <v>9.4068809999999985</v>
      </c>
      <c r="HE616" s="1006"/>
      <c r="HF616" s="996">
        <v>0</v>
      </c>
      <c r="HG616" s="1006"/>
      <c r="HH616" s="996">
        <v>0</v>
      </c>
      <c r="HI616" s="1006"/>
      <c r="HJ616" s="996">
        <v>0</v>
      </c>
      <c r="HK616" s="1006"/>
      <c r="HL616" s="996">
        <v>0</v>
      </c>
      <c r="HM616" s="1006" t="s">
        <v>204</v>
      </c>
      <c r="HN616" s="996">
        <v>3.9414473999999977</v>
      </c>
      <c r="HO616" s="1006"/>
      <c r="HP616" s="996">
        <v>0</v>
      </c>
      <c r="HQ616" s="1006"/>
      <c r="HR616" s="996">
        <v>0</v>
      </c>
      <c r="HS616" s="1006" t="s">
        <v>203</v>
      </c>
      <c r="HT616" s="996">
        <v>-10.129728399999998</v>
      </c>
      <c r="HU616" s="1006"/>
      <c r="HV616" s="996">
        <v>0</v>
      </c>
      <c r="HW616" s="1006" t="s">
        <v>205</v>
      </c>
      <c r="HX616" s="996">
        <v>-2.4244000000000021</v>
      </c>
      <c r="HY616" s="1006"/>
      <c r="HZ616" s="996">
        <v>0</v>
      </c>
      <c r="IA616" s="1006"/>
      <c r="IB616" s="996">
        <v>0</v>
      </c>
      <c r="IC616" s="1006" t="s">
        <v>25</v>
      </c>
      <c r="ID616" s="996"/>
      <c r="IE616" s="1006"/>
      <c r="IF616" s="996"/>
      <c r="IG616" s="1006"/>
      <c r="IH616" s="996"/>
      <c r="II616" s="1006"/>
      <c r="IJ616" s="996"/>
      <c r="IK616" s="1006"/>
      <c r="IL616" s="996"/>
      <c r="IM616" s="1006"/>
      <c r="IN616" s="996"/>
      <c r="IO616" s="1006"/>
      <c r="IP616" s="996"/>
      <c r="IQ616" s="1006"/>
      <c r="IR616" s="996"/>
      <c r="IS616" s="1006"/>
      <c r="IT616" s="996"/>
      <c r="IU616" s="1006"/>
      <c r="IV616" s="996"/>
      <c r="IW616" s="1006"/>
      <c r="IX616" s="996"/>
      <c r="IY616" s="1006"/>
      <c r="IZ616" s="996"/>
      <c r="JA616" s="1006"/>
      <c r="JB616" s="996"/>
      <c r="JC616" s="1006"/>
      <c r="JD616" s="996"/>
      <c r="JE616" s="1006"/>
      <c r="JF616" s="996"/>
      <c r="JG616" s="1006"/>
      <c r="JH616" s="996"/>
      <c r="JI616" s="1006"/>
      <c r="JJ616" s="996"/>
      <c r="JK616" s="1007"/>
      <c r="JL616" s="1007"/>
      <c r="JM616" s="1007"/>
      <c r="JN616" s="1007"/>
      <c r="JO616" s="1067"/>
      <c r="JP616" s="1007"/>
      <c r="JQ616" s="1008"/>
      <c r="JR616" s="1007"/>
      <c r="JS616" s="1008"/>
      <c r="JT616" s="1007"/>
      <c r="JU616" s="1008"/>
      <c r="JV616" s="1007"/>
      <c r="JW616" s="1008"/>
      <c r="JX616" s="1007"/>
      <c r="JY616" s="1008"/>
      <c r="JZ616" s="1007"/>
      <c r="KA616" s="1008"/>
      <c r="KB616" s="1007"/>
      <c r="KC616" s="1008"/>
      <c r="KD616" s="1007"/>
      <c r="KE616" s="1008"/>
      <c r="KF616" s="1007"/>
      <c r="KG616" s="1008"/>
      <c r="KH616" s="1007"/>
      <c r="KI616" s="1008"/>
      <c r="KJ616" s="1007"/>
      <c r="KK616" s="1008"/>
      <c r="KL616" s="1007"/>
      <c r="KM616" s="1008"/>
      <c r="KN616" s="1007"/>
      <c r="KO616" s="1008"/>
      <c r="KP616" s="1007"/>
      <c r="KQ616" s="1008"/>
      <c r="KR616" s="1007"/>
      <c r="KS616" s="1008"/>
      <c r="KT616" s="1007"/>
      <c r="KU616" s="1008"/>
      <c r="KV616" s="1007"/>
      <c r="KW616" s="1008"/>
      <c r="KX616" s="1007"/>
      <c r="KY616" s="1008"/>
      <c r="KZ616" s="1007"/>
      <c r="LA616" s="1008"/>
      <c r="LB616" s="1007"/>
      <c r="LC616" s="1008"/>
      <c r="LD616" s="1007"/>
      <c r="LE616" s="1008"/>
      <c r="LF616" s="1007"/>
      <c r="LG616" s="1008"/>
      <c r="LH616" s="1007"/>
      <c r="LI616" s="1008"/>
      <c r="LJ616" s="1007"/>
      <c r="LK616" s="1008"/>
      <c r="LL616" s="1007"/>
      <c r="LM616" s="1008"/>
      <c r="LN616" s="1007"/>
      <c r="LO616" s="1008"/>
      <c r="LP616" s="1007"/>
      <c r="LQ616" s="1008"/>
      <c r="LR616" s="1007"/>
      <c r="LS616" s="1008"/>
      <c r="LT616" s="1007"/>
      <c r="LU616" s="1008"/>
      <c r="LV616" s="1007"/>
      <c r="LW616" s="1008"/>
      <c r="LX616" s="1007"/>
      <c r="LY616" s="1009"/>
      <c r="LZ616" s="1010"/>
      <c r="MA616" s="1011"/>
      <c r="MB616" s="1012"/>
      <c r="MC616" s="995"/>
      <c r="MD616" s="996"/>
      <c r="ME616" s="997" t="s">
        <v>220</v>
      </c>
      <c r="MF616" s="997"/>
      <c r="MG616" s="998"/>
      <c r="NR616" s="1000"/>
      <c r="NS616" s="1000"/>
      <c r="NT616" s="1001"/>
      <c r="NU616" s="1000"/>
      <c r="NV616" s="1001"/>
      <c r="NX616" s="1002"/>
      <c r="NZ616" s="1001"/>
      <c r="OA616" s="1001"/>
      <c r="OC616" s="1003"/>
      <c r="OD616" s="1003"/>
      <c r="OE616" s="1001"/>
      <c r="OF616" s="1003"/>
      <c r="OG616" s="1003"/>
      <c r="QX616" s="1000">
        <f>CN616-CA616</f>
        <v>25</v>
      </c>
      <c r="ASU616" s="999" t="s">
        <v>208</v>
      </c>
    </row>
    <row r="617" spans="1:466 1191:1191" ht="21" customHeight="1" x14ac:dyDescent="0.25">
      <c r="A617" s="982">
        <f t="shared" si="503"/>
        <v>5899</v>
      </c>
      <c r="B617" s="124">
        <f>SUBTOTAL(103,$J$29:J617)</f>
        <v>589</v>
      </c>
      <c r="C617" s="126">
        <v>45068</v>
      </c>
      <c r="D617" s="124" t="s">
        <v>176</v>
      </c>
      <c r="E617" s="127" t="s">
        <v>177</v>
      </c>
      <c r="F617" s="128" t="s">
        <v>177</v>
      </c>
      <c r="G617" s="127" t="s">
        <v>178</v>
      </c>
      <c r="H617" s="127" t="s">
        <v>179</v>
      </c>
      <c r="I617" s="127" t="s">
        <v>2058</v>
      </c>
      <c r="J617" s="152">
        <v>5899</v>
      </c>
      <c r="K617" s="127" t="s">
        <v>2058</v>
      </c>
      <c r="L617" s="130">
        <v>44620</v>
      </c>
      <c r="M617" s="127" t="s">
        <v>230</v>
      </c>
      <c r="N617" s="127" t="s">
        <v>184</v>
      </c>
      <c r="O617" s="127" t="s">
        <v>185</v>
      </c>
      <c r="P617" s="127" t="s">
        <v>186</v>
      </c>
      <c r="Q617" s="85" t="str">
        <f t="shared" si="523"/>
        <v/>
      </c>
      <c r="R617" s="130"/>
      <c r="S617" s="128"/>
      <c r="T617" s="131"/>
      <c r="U617" s="132">
        <v>203</v>
      </c>
      <c r="V617" s="121">
        <v>218.2</v>
      </c>
      <c r="W617" s="116">
        <v>0.98</v>
      </c>
      <c r="X617" s="116">
        <v>1.66</v>
      </c>
      <c r="Y617" s="116">
        <f t="shared" si="522"/>
        <v>1.4488778054862843</v>
      </c>
      <c r="Z617" s="133">
        <v>1.454</v>
      </c>
      <c r="AA617" s="133">
        <v>0.83599999999999997</v>
      </c>
      <c r="AB617" s="133">
        <v>0.72</v>
      </c>
      <c r="AC617" s="121">
        <v>34.299999999999997</v>
      </c>
      <c r="AD617" s="134">
        <v>1.17</v>
      </c>
      <c r="AE617" s="124">
        <v>177.8</v>
      </c>
      <c r="AF617" s="128">
        <v>9.19</v>
      </c>
      <c r="AG617" s="128">
        <v>2153.3200000000002</v>
      </c>
      <c r="AH617" s="127">
        <v>2734</v>
      </c>
      <c r="AI617" s="127">
        <v>2734</v>
      </c>
      <c r="AJ617" s="135">
        <v>44576</v>
      </c>
      <c r="AK617" s="128" t="s">
        <v>1018</v>
      </c>
      <c r="AL617" s="131"/>
      <c r="AM617" s="124" t="s">
        <v>232</v>
      </c>
      <c r="AN617" s="136" t="s">
        <v>2074</v>
      </c>
      <c r="AO617" s="137">
        <v>83.24</v>
      </c>
      <c r="AP617" s="128">
        <v>2153.3200000000002</v>
      </c>
      <c r="AQ617" s="128">
        <v>351.65</v>
      </c>
      <c r="AR617" s="128"/>
      <c r="AS617" s="128"/>
      <c r="AT617" s="122"/>
      <c r="AU617" s="124" t="s">
        <v>883</v>
      </c>
      <c r="AV617" s="115">
        <f>VLOOKUP(J617,'[63]ТР нефть'!$J$28:$BP$638,39,0)</f>
        <v>300</v>
      </c>
      <c r="AW617" s="115" t="str">
        <f>VLOOKUP(J617,'[63]ТР нефть'!$J$28:$BP$638,40,0)</f>
        <v>ГП</v>
      </c>
      <c r="AX617" s="115" t="str">
        <f>VLOOKUP(J617,'[63]ТР нефть'!$J$28:$BP$638,41,0)</f>
        <v>-</v>
      </c>
      <c r="AY617" s="115" t="str">
        <f>VLOOKUP(J617,'[63]ТР нефть'!$J$28:$BP$638,42,0)</f>
        <v>-</v>
      </c>
      <c r="AZ617" s="115" t="str">
        <f>VLOOKUP(J617,'[63]ТР нефть'!$J$28:$BP$638,43,0)</f>
        <v>-</v>
      </c>
      <c r="BA617" s="115" t="str">
        <f>VLOOKUP(J617,'[63]ТР нефть'!$J$28:$BP$638,44,0)</f>
        <v>-</v>
      </c>
      <c r="BB617" s="115" t="str">
        <f>VLOOKUP(J617,'[63]ТР нефть'!$J$28:$BP$638,45,0)</f>
        <v>-</v>
      </c>
      <c r="BC617" s="115" t="str">
        <f>VLOOKUP(J617,'[63]ТР нефть'!$J$28:$BP$638,46,0)</f>
        <v>-</v>
      </c>
      <c r="BD617" s="115" t="str">
        <f>VLOOKUP(J617,'[63]ТР нефть'!$J$28:$BP$638,47,0)</f>
        <v>-</v>
      </c>
      <c r="BE617" s="115" t="str">
        <f>VLOOKUP(J617,'[63]ТР нефть'!$J$28:$BP$638,48,0)</f>
        <v>-</v>
      </c>
      <c r="BF617" s="115" t="str">
        <f>VLOOKUP(J617,'[63]ТР нефть'!$J$28:$BP$638,49,0)</f>
        <v>-</v>
      </c>
      <c r="BG617" s="115" t="str">
        <f>VLOOKUP(J617,'[63]ТР нефть'!$J$28:$BP$638,50,0)</f>
        <v>-</v>
      </c>
      <c r="BH617" s="115">
        <f>VLOOKUP(J617,'[63]ТР нефть'!$J$28:$BP$638,51,0)</f>
        <v>1923</v>
      </c>
      <c r="BI617" s="115" t="str">
        <f>VLOOKUP(J617,'[63]ТР нефть'!$J$28:$BP$638,52,0)</f>
        <v>закрыт</v>
      </c>
      <c r="BJ617" s="115" t="str">
        <f>IF(IFERROR(VLOOKUP(J617,'[63]ТР нефть'!$J$28:$BP$638,53,0),"-")=0,"-",IFERROR(VLOOKUP(J617,'[63]ТР нефть'!$J$28:$BP$638,53,0),"-"))</f>
        <v>-</v>
      </c>
      <c r="BK617" s="1018" t="str">
        <f>IF(IFERROR(VLOOKUP(J617,'[63]ТР нефть'!$J$28:$BP$638,54,0),"-")=0,"-",IFERROR(VLOOKUP(J617,'[63]ТР нефть'!$J$28:$BP$638,54,0),"-"))</f>
        <v>D150N</v>
      </c>
      <c r="BL617" s="1018" t="str">
        <f>IF(IFERROR(VLOOKUP(J617,'[63]ТР нефть'!$J$28:$BP$638,55,0),"-")=0,"-",IFERROR(VLOOKUP(J617,'[63]ТР нефть'!$J$28:$BP$638,55,0),"-"))</f>
        <v>-</v>
      </c>
      <c r="BM617" s="138">
        <f>IF(IFERROR(VLOOKUP(J617,'[63]ТР нефть'!$J$28:$BP$638,56,0),"-")=0,"-",IFERROR(VLOOKUP(J617,'[63]ТР нефть'!$J$28:$BP$638,56,0),"-"))</f>
        <v>2200</v>
      </c>
      <c r="BN617" s="138">
        <f>IF(IFERROR(VLOOKUP(J617,'[63]ТР нефть'!$J$28:$BP$638,57,0),"-")=0,"-",IFERROR(VLOOKUP(J617,'[63]ТР нефть'!$J$28:$BP$638,57,0),"-"))</f>
        <v>50</v>
      </c>
      <c r="BO617" s="115">
        <f>IF(IFERROR(VLOOKUP(J617,'[63]ТР нефть'!$J$28:$BP$638,58,0),"-")=0,"-",IFERROR(VLOOKUP(J617,'[63]ТР нефть'!$J$28:$BP$638,58,0),"-"))</f>
        <v>50</v>
      </c>
      <c r="BP617" s="115" t="str">
        <f>IF(IFERROR(VLOOKUP(J617,'[63]ТР нефть'!$J$28:$BP$638,59,0),"-")=0,"-",IFERROR(VLOOKUP(J617,'[63]ТР нефть'!$J$28:$BP$638,59,0),"-"))</f>
        <v>-</v>
      </c>
      <c r="BQ617" s="138">
        <v>1935</v>
      </c>
      <c r="BR617" s="128">
        <v>1673</v>
      </c>
      <c r="BS617" s="115">
        <f>BQ617-BR617</f>
        <v>262</v>
      </c>
      <c r="BT617" s="128">
        <v>73</v>
      </c>
      <c r="BU617" s="128">
        <v>5.5</v>
      </c>
      <c r="BV617" s="127">
        <v>18</v>
      </c>
      <c r="BW617" s="127" t="s">
        <v>217</v>
      </c>
      <c r="BX617" s="127" t="s">
        <v>218</v>
      </c>
      <c r="BY617" s="139">
        <v>12</v>
      </c>
      <c r="BZ617" s="139">
        <v>12</v>
      </c>
      <c r="CA617" s="138">
        <v>32</v>
      </c>
      <c r="CB617" s="138">
        <v>32</v>
      </c>
      <c r="CC617" s="138">
        <v>31</v>
      </c>
      <c r="CD617" s="135">
        <v>45017</v>
      </c>
      <c r="CE617" s="138">
        <v>147</v>
      </c>
      <c r="CF617" s="138"/>
      <c r="CG617" s="138"/>
      <c r="CH617" s="138"/>
      <c r="CI617" s="127"/>
      <c r="CJ617" s="138">
        <f>IF((BR617-(100*(CM617-CB617))/(9.8*(AB617+AA617)/2))&gt;0,BR617-(100*(CM617-CB617))/(9.8*(AB617+AA617)/2),0)</f>
        <v>1410.6842767955511</v>
      </c>
      <c r="CK617" s="138">
        <f t="shared" si="488"/>
        <v>33.575527788500011</v>
      </c>
      <c r="CL617" s="99"/>
      <c r="CM617" s="127">
        <v>52</v>
      </c>
      <c r="CN617" s="154">
        <f>IF(CM617=0,0,(((AP617-AQ617-BR617)*((AD617*(CQ617/100))+(AB617*((100-CQ617)/100)))*9.81/100+CM617)))</f>
        <v>65.575527788500011</v>
      </c>
      <c r="CO617" s="141">
        <f t="shared" si="504"/>
        <v>13.166999999999996</v>
      </c>
      <c r="CP617" s="142">
        <v>75</v>
      </c>
      <c r="CQ617" s="143">
        <v>79</v>
      </c>
      <c r="CR617" s="138">
        <v>12</v>
      </c>
      <c r="CS617" s="139"/>
      <c r="CT617" s="138"/>
      <c r="CU617" s="138">
        <f t="shared" si="475"/>
        <v>12</v>
      </c>
      <c r="CV617" s="115">
        <f t="shared" si="476"/>
        <v>911.36933242196426</v>
      </c>
      <c r="CW617" s="115" t="str">
        <f t="shared" si="505"/>
        <v/>
      </c>
      <c r="CX617" s="133">
        <f t="shared" si="477"/>
        <v>0.92109900086533658</v>
      </c>
      <c r="CY617" s="116"/>
      <c r="CZ617" s="131"/>
      <c r="DA617" s="145" t="str">
        <f t="shared" si="478"/>
        <v>ЭЦН</v>
      </c>
      <c r="DB617" s="146">
        <f t="shared" si="468"/>
        <v>13.166999999999996</v>
      </c>
      <c r="DC617" s="142">
        <f t="shared" si="469"/>
        <v>75</v>
      </c>
      <c r="DD617" s="119">
        <f t="shared" si="470"/>
        <v>79</v>
      </c>
      <c r="DE617" s="115">
        <f t="shared" si="471"/>
        <v>12</v>
      </c>
      <c r="DF617" s="121">
        <f t="shared" si="472"/>
        <v>0</v>
      </c>
      <c r="DG617" s="115">
        <f t="shared" si="506"/>
        <v>911.36933242196426</v>
      </c>
      <c r="DH617" s="115">
        <f t="shared" si="507"/>
        <v>65.575527788500011</v>
      </c>
      <c r="DI617" s="147"/>
      <c r="DJ617" s="111"/>
      <c r="DK617" s="112">
        <v>44620</v>
      </c>
      <c r="DL617" s="113">
        <f ca="1">TODAY()-DK617</f>
        <v>484</v>
      </c>
      <c r="DM617" s="114"/>
      <c r="DN617" s="114"/>
      <c r="DO617" s="114"/>
      <c r="DP617" s="114"/>
      <c r="DQ617" s="112">
        <v>44620</v>
      </c>
      <c r="DR617" s="114" t="s">
        <v>324</v>
      </c>
      <c r="DS617" s="114"/>
      <c r="DT617" s="115">
        <v>60</v>
      </c>
      <c r="DU617" s="116">
        <f t="shared" si="515"/>
        <v>0.900500977386406</v>
      </c>
      <c r="DV617" s="117">
        <f t="shared" si="516"/>
        <v>13.753999788326295</v>
      </c>
      <c r="DW617" s="118">
        <f t="shared" si="517"/>
        <v>78.343585032617327</v>
      </c>
      <c r="DX617" s="119">
        <f t="shared" si="497"/>
        <v>79</v>
      </c>
      <c r="DY617" s="115">
        <f t="shared" si="518"/>
        <v>12.534973605218772</v>
      </c>
      <c r="DZ617" s="117">
        <f t="shared" si="519"/>
        <v>0.58699978832629895</v>
      </c>
      <c r="EA617" s="120">
        <f t="shared" si="519"/>
        <v>3.3435850326173266</v>
      </c>
      <c r="EB617" s="119">
        <f t="shared" si="501"/>
        <v>0</v>
      </c>
      <c r="EC617" s="121">
        <f t="shared" si="520"/>
        <v>0.53497360521877191</v>
      </c>
      <c r="ED617" s="122"/>
      <c r="EE617" s="145">
        <v>18</v>
      </c>
      <c r="EF617" s="115">
        <v>31</v>
      </c>
      <c r="EG617" s="115">
        <v>31</v>
      </c>
      <c r="EH617" s="115">
        <v>30</v>
      </c>
      <c r="EI617" s="128" t="s">
        <v>218</v>
      </c>
      <c r="EJ617" s="121">
        <v>12</v>
      </c>
      <c r="EK617" s="121">
        <v>12</v>
      </c>
      <c r="EL617" s="149">
        <v>12.539999999999997</v>
      </c>
      <c r="EM617" s="142">
        <v>75</v>
      </c>
      <c r="EN617" s="119">
        <v>80</v>
      </c>
      <c r="EO617" s="115">
        <v>12</v>
      </c>
      <c r="EP617" s="115">
        <v>956.93779904306245</v>
      </c>
      <c r="EQ617" s="115">
        <v>0</v>
      </c>
      <c r="ER617" s="115">
        <v>0</v>
      </c>
      <c r="ES617" s="115">
        <v>63.632329160000012</v>
      </c>
      <c r="ET617" s="150">
        <v>0.8996293076718036</v>
      </c>
      <c r="EU617" s="145">
        <f t="shared" si="521"/>
        <v>18</v>
      </c>
      <c r="EV617" s="115">
        <f t="shared" si="508"/>
        <v>32</v>
      </c>
      <c r="EW617" s="115">
        <f t="shared" si="508"/>
        <v>32</v>
      </c>
      <c r="EX617" s="115">
        <f t="shared" si="508"/>
        <v>31</v>
      </c>
      <c r="EY617" s="115" t="str">
        <f t="shared" si="489"/>
        <v>Периодический</v>
      </c>
      <c r="EZ617" s="115">
        <f t="shared" si="489"/>
        <v>12</v>
      </c>
      <c r="FA617" s="115">
        <f t="shared" si="489"/>
        <v>12</v>
      </c>
      <c r="FB617" s="149">
        <f t="shared" si="461"/>
        <v>13.166999999999996</v>
      </c>
      <c r="FC617" s="142">
        <f t="shared" si="461"/>
        <v>75</v>
      </c>
      <c r="FD617" s="119">
        <f t="shared" si="461"/>
        <v>79</v>
      </c>
      <c r="FE617" s="121">
        <f t="shared" si="461"/>
        <v>12</v>
      </c>
      <c r="FF617" s="121">
        <f t="shared" si="462"/>
        <v>911.36933242196426</v>
      </c>
      <c r="FG617" s="121">
        <f t="shared" si="509"/>
        <v>0</v>
      </c>
      <c r="FH617" s="121">
        <f t="shared" si="491"/>
        <v>0</v>
      </c>
      <c r="FI617" s="121">
        <f t="shared" si="483"/>
        <v>65.575527788500011</v>
      </c>
      <c r="FJ617" s="144">
        <f t="shared" si="510"/>
        <v>0.92109900086533658</v>
      </c>
      <c r="FK617" s="132">
        <f t="shared" si="511"/>
        <v>0</v>
      </c>
      <c r="FL617" s="115">
        <f t="shared" si="511"/>
        <v>1</v>
      </c>
      <c r="FM617" s="115">
        <f t="shared" si="511"/>
        <v>1</v>
      </c>
      <c r="FN617" s="115">
        <f t="shared" si="511"/>
        <v>1</v>
      </c>
      <c r="FO617" s="115">
        <f t="shared" si="492"/>
        <v>0</v>
      </c>
      <c r="FP617" s="115">
        <f t="shared" si="492"/>
        <v>0</v>
      </c>
      <c r="FQ617" s="149">
        <f t="shared" si="492"/>
        <v>0.62699999999999889</v>
      </c>
      <c r="FR617" s="142">
        <f t="shared" si="492"/>
        <v>0</v>
      </c>
      <c r="FS617" s="119">
        <f t="shared" si="492"/>
        <v>-1</v>
      </c>
      <c r="FT617" s="121">
        <f t="shared" si="492"/>
        <v>0</v>
      </c>
      <c r="FU617" s="121">
        <f t="shared" si="512"/>
        <v>0</v>
      </c>
      <c r="FV617" s="121">
        <f t="shared" si="512"/>
        <v>0</v>
      </c>
      <c r="FW617" s="121">
        <f t="shared" si="513"/>
        <v>-45.568466621098196</v>
      </c>
      <c r="FX617" s="121">
        <f t="shared" si="514"/>
        <v>1.9431986284999994</v>
      </c>
      <c r="FY617" s="144">
        <f t="shared" si="502"/>
        <v>2.1469693193532979E-2</v>
      </c>
      <c r="FZ617" s="145"/>
      <c r="GA617" s="151"/>
      <c r="GB617" s="145"/>
      <c r="GC617" s="151"/>
      <c r="GD617" s="997" t="s">
        <v>220</v>
      </c>
      <c r="GE617" s="1004"/>
      <c r="GF617" s="1004">
        <v>-0.24954600000000049</v>
      </c>
      <c r="GG617" s="1004" t="s">
        <v>146</v>
      </c>
      <c r="GH617" s="1004">
        <v>-1.5530162999999959</v>
      </c>
      <c r="GI617" s="145"/>
      <c r="GJ617" s="996">
        <v>0</v>
      </c>
      <c r="GK617" s="145"/>
      <c r="GL617" s="996">
        <v>0</v>
      </c>
      <c r="GM617" s="1005" t="s">
        <v>240</v>
      </c>
      <c r="GN617" s="996">
        <v>-2.5090031999999933</v>
      </c>
      <c r="GO617" s="1006"/>
      <c r="GP617" s="996">
        <v>0.34376319999999438</v>
      </c>
      <c r="GQ617" s="1006" t="s">
        <v>349</v>
      </c>
      <c r="GR617" s="996">
        <v>-2.340799999999998</v>
      </c>
      <c r="GS617" s="1006"/>
      <c r="GT617" s="996">
        <v>0</v>
      </c>
      <c r="GU617" s="1006" t="s">
        <v>203</v>
      </c>
      <c r="GV617" s="996">
        <v>3.2269599999999983</v>
      </c>
      <c r="GW617" s="1006" t="s">
        <v>203</v>
      </c>
      <c r="GX617" s="996">
        <v>-8.7947199999999981</v>
      </c>
      <c r="GY617" s="1006" t="s">
        <v>349</v>
      </c>
      <c r="GZ617" s="996">
        <v>-15.706584079999992</v>
      </c>
      <c r="HA617" s="1006" t="s">
        <v>203</v>
      </c>
      <c r="HB617" s="996">
        <v>-14.044231519999997</v>
      </c>
      <c r="HC617" s="1006" t="s">
        <v>199</v>
      </c>
      <c r="HD617" s="996">
        <v>5.3730555999999865</v>
      </c>
      <c r="HE617" s="1006" t="s">
        <v>221</v>
      </c>
      <c r="HF617" s="996">
        <v>24.423749864800005</v>
      </c>
      <c r="HG617" s="1006"/>
      <c r="HH617" s="996">
        <v>0</v>
      </c>
      <c r="HI617" s="1006" t="s">
        <v>25</v>
      </c>
      <c r="HJ617" s="996">
        <v>26.003770135199996</v>
      </c>
      <c r="HK617" s="1006"/>
      <c r="HL617" s="996"/>
      <c r="HM617" s="1006"/>
      <c r="HN617" s="996"/>
      <c r="HO617" s="1006"/>
      <c r="HP617" s="996"/>
      <c r="HQ617" s="1006"/>
      <c r="HR617" s="996"/>
      <c r="HS617" s="1006"/>
      <c r="HT617" s="996"/>
      <c r="HU617" s="1006"/>
      <c r="HV617" s="996"/>
      <c r="HW617" s="1006"/>
      <c r="HX617" s="996"/>
      <c r="HY617" s="1006"/>
      <c r="HZ617" s="996"/>
      <c r="IA617" s="1006"/>
      <c r="IB617" s="996"/>
      <c r="IC617" s="1006"/>
      <c r="ID617" s="996"/>
      <c r="IE617" s="1006"/>
      <c r="IF617" s="996"/>
      <c r="IG617" s="1006"/>
      <c r="IH617" s="996"/>
      <c r="II617" s="1006"/>
      <c r="IJ617" s="996"/>
      <c r="IK617" s="1006"/>
      <c r="IL617" s="996"/>
      <c r="IM617" s="1006"/>
      <c r="IN617" s="996"/>
      <c r="IO617" s="1006"/>
      <c r="IP617" s="996"/>
      <c r="IQ617" s="1006"/>
      <c r="IR617" s="996"/>
      <c r="IS617" s="1006"/>
      <c r="IT617" s="996"/>
      <c r="IU617" s="1006"/>
      <c r="IV617" s="996"/>
      <c r="IW617" s="1006"/>
      <c r="IX617" s="996"/>
      <c r="IY617" s="1006"/>
      <c r="IZ617" s="996"/>
      <c r="JA617" s="1006"/>
      <c r="JB617" s="996"/>
      <c r="JC617" s="1006"/>
      <c r="JD617" s="996"/>
      <c r="JE617" s="1006"/>
      <c r="JF617" s="996"/>
      <c r="JG617" s="1006"/>
      <c r="JH617" s="996"/>
      <c r="JI617" s="1006"/>
      <c r="JJ617" s="996"/>
      <c r="JK617" s="1007"/>
      <c r="JL617" s="1007"/>
      <c r="JM617" s="1007"/>
      <c r="JN617" s="1007"/>
      <c r="JO617" s="1067"/>
      <c r="JP617" s="1007"/>
      <c r="JQ617" s="1008"/>
      <c r="JR617" s="1007"/>
      <c r="JS617" s="1008"/>
      <c r="JT617" s="1007"/>
      <c r="JU617" s="1008"/>
      <c r="JV617" s="1007"/>
      <c r="JW617" s="1008"/>
      <c r="JX617" s="1007"/>
      <c r="JY617" s="1008"/>
      <c r="JZ617" s="1007"/>
      <c r="KA617" s="1008"/>
      <c r="KB617" s="1007"/>
      <c r="KC617" s="1008"/>
      <c r="KD617" s="1007"/>
      <c r="KE617" s="1008"/>
      <c r="KF617" s="1007"/>
      <c r="KG617" s="1008"/>
      <c r="KH617" s="1007"/>
      <c r="KI617" s="1008"/>
      <c r="KJ617" s="1007"/>
      <c r="KK617" s="1008"/>
      <c r="KL617" s="1007"/>
      <c r="KM617" s="1008"/>
      <c r="KN617" s="1007"/>
      <c r="KO617" s="1008"/>
      <c r="KP617" s="1007"/>
      <c r="KQ617" s="1008"/>
      <c r="KR617" s="1007"/>
      <c r="KS617" s="1008"/>
      <c r="KT617" s="1007"/>
      <c r="KU617" s="1008"/>
      <c r="KV617" s="1007"/>
      <c r="KW617" s="1008"/>
      <c r="KX617" s="1007"/>
      <c r="KY617" s="1008"/>
      <c r="KZ617" s="1007"/>
      <c r="LA617" s="1008"/>
      <c r="LB617" s="1007"/>
      <c r="LC617" s="1008"/>
      <c r="LD617" s="1007"/>
      <c r="LE617" s="1008"/>
      <c r="LF617" s="1007"/>
      <c r="LG617" s="1008"/>
      <c r="LH617" s="1007"/>
      <c r="LI617" s="1008"/>
      <c r="LJ617" s="1007"/>
      <c r="LK617" s="1008"/>
      <c r="LL617" s="1007"/>
      <c r="LM617" s="1008"/>
      <c r="LN617" s="1007"/>
      <c r="LO617" s="1008"/>
      <c r="LP617" s="1007"/>
      <c r="LQ617" s="1008"/>
      <c r="LR617" s="1007"/>
      <c r="LS617" s="1008"/>
      <c r="LT617" s="1007"/>
      <c r="LU617" s="1008"/>
      <c r="LV617" s="1007"/>
      <c r="LW617" s="1008"/>
      <c r="LX617" s="1007"/>
      <c r="LY617" s="1009"/>
      <c r="LZ617" s="1010"/>
      <c r="MA617" s="1011"/>
      <c r="MB617" s="1012"/>
      <c r="MC617" s="995"/>
      <c r="MD617" s="996"/>
      <c r="ME617" s="997" t="s">
        <v>220</v>
      </c>
      <c r="MF617" s="997"/>
      <c r="MG617" s="998"/>
      <c r="NR617" s="1000"/>
      <c r="NS617" s="1000"/>
      <c r="NT617" s="1001"/>
      <c r="NU617" s="1000"/>
      <c r="NV617" s="1001"/>
      <c r="NX617" s="1002"/>
      <c r="NZ617" s="1001"/>
      <c r="OA617" s="1001"/>
      <c r="OC617" s="1003"/>
      <c r="OD617" s="1003"/>
      <c r="OE617" s="1001"/>
      <c r="OF617" s="1003"/>
      <c r="OG617" s="1003"/>
      <c r="OH617" s="1003"/>
      <c r="OI617" s="1016"/>
      <c r="QX617" s="1000">
        <f>CN617-CA617</f>
        <v>33.575527788500011</v>
      </c>
      <c r="ASU617" s="999" t="s">
        <v>225</v>
      </c>
    </row>
    <row r="618" spans="1:466 1191:1191" ht="21" customHeight="1" x14ac:dyDescent="0.25">
      <c r="A618" s="982">
        <f t="shared" si="503"/>
        <v>5900</v>
      </c>
      <c r="B618" s="124">
        <f>SUBTOTAL(103,$J$29:J618)</f>
        <v>590</v>
      </c>
      <c r="C618" s="126">
        <v>45068</v>
      </c>
      <c r="D618" s="124" t="s">
        <v>176</v>
      </c>
      <c r="E618" s="127" t="s">
        <v>177</v>
      </c>
      <c r="F618" s="128" t="s">
        <v>177</v>
      </c>
      <c r="G618" s="127" t="s">
        <v>178</v>
      </c>
      <c r="H618" s="127" t="s">
        <v>179</v>
      </c>
      <c r="I618" s="127" t="s">
        <v>2058</v>
      </c>
      <c r="J618" s="152">
        <v>5900</v>
      </c>
      <c r="K618" s="127" t="s">
        <v>2058</v>
      </c>
      <c r="L618" s="130">
        <v>44639</v>
      </c>
      <c r="M618" s="127" t="s">
        <v>230</v>
      </c>
      <c r="N618" s="127" t="s">
        <v>184</v>
      </c>
      <c r="O618" s="127" t="s">
        <v>185</v>
      </c>
      <c r="P618" s="127" t="s">
        <v>186</v>
      </c>
      <c r="Q618" s="85" t="str">
        <f t="shared" si="523"/>
        <v/>
      </c>
      <c r="R618" s="130"/>
      <c r="S618" s="128"/>
      <c r="T618" s="131"/>
      <c r="U618" s="132">
        <v>203</v>
      </c>
      <c r="V618" s="121">
        <v>218.2</v>
      </c>
      <c r="W618" s="116">
        <v>0.98</v>
      </c>
      <c r="X618" s="116">
        <v>1.66</v>
      </c>
      <c r="Y618" s="116">
        <f t="shared" si="522"/>
        <v>1.5422828972317026</v>
      </c>
      <c r="Z618" s="133">
        <v>1.454</v>
      </c>
      <c r="AA618" s="133">
        <v>0.83599999999999997</v>
      </c>
      <c r="AB618" s="133">
        <v>0.72</v>
      </c>
      <c r="AC618" s="121">
        <v>34.299999999999997</v>
      </c>
      <c r="AD618" s="134">
        <v>1.17</v>
      </c>
      <c r="AE618" s="124">
        <v>177.8</v>
      </c>
      <c r="AF618" s="128">
        <v>9.1999999999999993</v>
      </c>
      <c r="AG618" s="128">
        <v>2321</v>
      </c>
      <c r="AH618" s="127">
        <v>2875</v>
      </c>
      <c r="AI618" s="127">
        <v>2875</v>
      </c>
      <c r="AJ618" s="135">
        <v>44611</v>
      </c>
      <c r="AK618" s="128" t="s">
        <v>1018</v>
      </c>
      <c r="AL618" s="131"/>
      <c r="AM618" s="124" t="s">
        <v>232</v>
      </c>
      <c r="AN618" s="136" t="s">
        <v>2075</v>
      </c>
      <c r="AO618" s="137">
        <v>82.58</v>
      </c>
      <c r="AP618" s="128">
        <v>2321</v>
      </c>
      <c r="AQ618" s="128">
        <v>516.05999999999995</v>
      </c>
      <c r="AR618" s="128"/>
      <c r="AS618" s="128"/>
      <c r="AT618" s="122"/>
      <c r="AU618" s="225" t="s">
        <v>883</v>
      </c>
      <c r="AV618" s="115">
        <v>300</v>
      </c>
      <c r="AW618" s="115" t="str">
        <f>VLOOKUP(J618,'[63]ТР нефть'!$J$28:$BP$638,40,0)</f>
        <v>ГП</v>
      </c>
      <c r="AX618" s="115" t="s">
        <v>192</v>
      </c>
      <c r="AY618" s="115" t="s">
        <v>192</v>
      </c>
      <c r="AZ618" s="115" t="s">
        <v>192</v>
      </c>
      <c r="BA618" s="115" t="s">
        <v>192</v>
      </c>
      <c r="BB618" s="115" t="s">
        <v>192</v>
      </c>
      <c r="BC618" s="115" t="s">
        <v>192</v>
      </c>
      <c r="BD618" s="115" t="s">
        <v>192</v>
      </c>
      <c r="BE618" s="115" t="s">
        <v>192</v>
      </c>
      <c r="BF618" s="115" t="s">
        <v>192</v>
      </c>
      <c r="BG618" s="115" t="s">
        <v>192</v>
      </c>
      <c r="BH618" s="115" t="str">
        <f>VLOOKUP(J618,'[63]ТР нефть'!$J$28:$BP$638,51,0)</f>
        <v>-</v>
      </c>
      <c r="BI618" s="115" t="str">
        <f>VLOOKUP(J618,'[63]ТР нефть'!$J$28:$BP$638,52,0)</f>
        <v>-</v>
      </c>
      <c r="BJ618" s="115" t="str">
        <f>IF(IFERROR(VLOOKUP(J618,'[63]ТР нефть'!$J$28:$BP$638,53,0),"-")=0,"-",IFERROR(VLOOKUP(J618,'[63]ТР нефть'!$J$28:$BP$638,53,0),"-"))</f>
        <v>-</v>
      </c>
      <c r="BK618" s="218" t="s">
        <v>2076</v>
      </c>
      <c r="BL618" s="138" t="str">
        <f>IF(IFERROR(VLOOKUP(J618,'[63]ТР нефть'!$J$28:$BP$638,55,0),"-")=0,"-",IFERROR(VLOOKUP(J618,'[63]ТР нефть'!$J$28:$BP$638,55,0),"-"))</f>
        <v>-</v>
      </c>
      <c r="BM618" s="218" t="str">
        <f>IF(IFERROR(VLOOKUP(J618,'[63]ТР нефть'!$J$28:$BP$638,56,0),"-")=0,"-",IFERROR(VLOOKUP(J618,'[63]ТР нефть'!$J$28:$BP$638,56,0),"-"))</f>
        <v>-</v>
      </c>
      <c r="BN618" s="218" t="str">
        <f>IF(IFERROR(VLOOKUP(J618,'[63]ТР нефть'!$J$28:$BP$638,57,0),"-")=0,"-",IFERROR(VLOOKUP(J618,'[63]ТР нефть'!$J$28:$BP$638,57,0),"-"))</f>
        <v>-</v>
      </c>
      <c r="BO618" s="115" t="str">
        <f>IF(IFERROR(VLOOKUP(J618,'[63]ТР нефть'!$J$28:$BP$638,58,0),"-")=0,"-",IFERROR(VLOOKUP(J618,'[63]ТР нефть'!$J$28:$BP$638,58,0),"-"))</f>
        <v>-</v>
      </c>
      <c r="BP618" s="115" t="str">
        <f>IF(IFERROR(VLOOKUP(J618,'[63]ТР нефть'!$J$28:$BP$638,59,0),"-")=0,"-",IFERROR(VLOOKUP(J618,'[63]ТР нефть'!$J$28:$BP$638,59,0),"-"))</f>
        <v>-</v>
      </c>
      <c r="BQ618" s="218">
        <v>1941</v>
      </c>
      <c r="BR618" s="128">
        <v>1606.78</v>
      </c>
      <c r="BS618" s="115">
        <v>333.7</v>
      </c>
      <c r="BT618" s="128">
        <v>73</v>
      </c>
      <c r="BU618" s="128">
        <v>5.51</v>
      </c>
      <c r="BV618" s="226">
        <v>65</v>
      </c>
      <c r="BW618" s="127" t="s">
        <v>217</v>
      </c>
      <c r="BX618" s="127" t="s">
        <v>195</v>
      </c>
      <c r="BY618" s="139">
        <v>24</v>
      </c>
      <c r="BZ618" s="139">
        <v>0</v>
      </c>
      <c r="CA618" s="138">
        <v>30</v>
      </c>
      <c r="CB618" s="138">
        <v>30</v>
      </c>
      <c r="CC618" s="138">
        <v>30</v>
      </c>
      <c r="CD618" s="135">
        <v>45017</v>
      </c>
      <c r="CE618" s="138">
        <v>156</v>
      </c>
      <c r="CF618" s="138"/>
      <c r="CG618" s="138"/>
      <c r="CH618" s="138"/>
      <c r="CI618" s="127"/>
      <c r="CJ618" s="138"/>
      <c r="CK618" s="138">
        <f t="shared" si="488"/>
        <v>44.781955268000004</v>
      </c>
      <c r="CL618" s="99"/>
      <c r="CM618" s="99">
        <v>53</v>
      </c>
      <c r="CN618" s="154">
        <f>IF(CM618=0,0,(((AP618-AQ618-BR618)*((AD618*(CQ618/100))+(AB618*((100-CQ618)/100)))*9.81/100+CM618)))</f>
        <v>74.781955268000004</v>
      </c>
      <c r="CO618" s="141">
        <f t="shared" si="504"/>
        <v>12.046759999999997</v>
      </c>
      <c r="CP618" s="142">
        <v>131</v>
      </c>
      <c r="CQ618" s="143">
        <v>89</v>
      </c>
      <c r="CR618" s="138">
        <v>11.5</v>
      </c>
      <c r="CS618" s="139"/>
      <c r="CT618" s="138"/>
      <c r="CU618" s="138">
        <f t="shared" si="475"/>
        <v>11.5</v>
      </c>
      <c r="CV618" s="115">
        <f t="shared" si="476"/>
        <v>954.61352264011259</v>
      </c>
      <c r="CW618" s="115" t="str">
        <f t="shared" si="505"/>
        <v/>
      </c>
      <c r="CX618" s="133">
        <f t="shared" si="477"/>
        <v>1.6129420553310347</v>
      </c>
      <c r="CY618" s="116"/>
      <c r="CZ618" s="131"/>
      <c r="DA618" s="145" t="str">
        <f t="shared" si="478"/>
        <v>ЭЦН</v>
      </c>
      <c r="DB618" s="146">
        <f t="shared" si="468"/>
        <v>12.046759999999997</v>
      </c>
      <c r="DC618" s="142">
        <f t="shared" si="469"/>
        <v>131</v>
      </c>
      <c r="DD618" s="119">
        <f t="shared" si="470"/>
        <v>89</v>
      </c>
      <c r="DE618" s="115">
        <f t="shared" si="471"/>
        <v>11.5</v>
      </c>
      <c r="DF618" s="121">
        <f t="shared" si="472"/>
        <v>0</v>
      </c>
      <c r="DG618" s="115">
        <f t="shared" si="506"/>
        <v>954.61352264011259</v>
      </c>
      <c r="DH618" s="115">
        <f t="shared" si="507"/>
        <v>74.781955268000004</v>
      </c>
      <c r="DI618" s="147"/>
      <c r="DJ618" s="111"/>
      <c r="DK618" s="112"/>
      <c r="DL618" s="113"/>
      <c r="DM618" s="114"/>
      <c r="DN618" s="114"/>
      <c r="DO618" s="114"/>
      <c r="DP618" s="114"/>
      <c r="DQ618" s="112"/>
      <c r="DR618" s="114"/>
      <c r="DS618" s="114"/>
      <c r="DT618" s="115">
        <v>60</v>
      </c>
      <c r="DU618" s="116">
        <f t="shared" si="515"/>
        <v>1.5245653613149568</v>
      </c>
      <c r="DV618" s="117">
        <f t="shared" si="516"/>
        <v>13.459106940146247</v>
      </c>
      <c r="DW618" s="118">
        <f t="shared" si="517"/>
        <v>146.35827468623586</v>
      </c>
      <c r="DX618" s="119">
        <f t="shared" si="497"/>
        <v>89</v>
      </c>
      <c r="DY618" s="115">
        <f t="shared" si="518"/>
        <v>12.848245487722995</v>
      </c>
      <c r="DZ618" s="117">
        <f t="shared" si="519"/>
        <v>1.4123469401462501</v>
      </c>
      <c r="EA618" s="120">
        <f t="shared" si="519"/>
        <v>15.358274686235859</v>
      </c>
      <c r="EB618" s="119">
        <f t="shared" si="519"/>
        <v>0</v>
      </c>
      <c r="EC618" s="121">
        <f t="shared" si="520"/>
        <v>1.3482454877229948</v>
      </c>
      <c r="ED618" s="122"/>
      <c r="EE618" s="145">
        <v>65</v>
      </c>
      <c r="EF618" s="115">
        <v>27</v>
      </c>
      <c r="EG618" s="115">
        <v>70</v>
      </c>
      <c r="EH618" s="115">
        <v>26</v>
      </c>
      <c r="EI618" s="128" t="s">
        <v>195</v>
      </c>
      <c r="EJ618" s="121">
        <v>24</v>
      </c>
      <c r="EK618" s="121">
        <v>0</v>
      </c>
      <c r="EL618" s="149">
        <v>3.8950912</v>
      </c>
      <c r="EM618" s="142">
        <v>11.2</v>
      </c>
      <c r="EN618" s="119">
        <v>58.4</v>
      </c>
      <c r="EO618" s="115">
        <v>14</v>
      </c>
      <c r="EP618" s="115">
        <v>1745.7871076292129</v>
      </c>
      <c r="EQ618" s="115">
        <v>72</v>
      </c>
      <c r="ER618" s="115">
        <v>7.2</v>
      </c>
      <c r="ES618" s="115">
        <v>122</v>
      </c>
      <c r="ET618" s="150">
        <v>0.32941176470588235</v>
      </c>
      <c r="EU618" s="145">
        <f t="shared" si="521"/>
        <v>65</v>
      </c>
      <c r="EV618" s="115">
        <f t="shared" si="508"/>
        <v>30</v>
      </c>
      <c r="EW618" s="115">
        <f t="shared" si="508"/>
        <v>30</v>
      </c>
      <c r="EX618" s="115">
        <f t="shared" si="508"/>
        <v>30</v>
      </c>
      <c r="EY618" s="115" t="str">
        <f t="shared" si="489"/>
        <v>Постоянный</v>
      </c>
      <c r="EZ618" s="115">
        <f t="shared" si="489"/>
        <v>24</v>
      </c>
      <c r="FA618" s="115">
        <f t="shared" si="489"/>
        <v>0</v>
      </c>
      <c r="FB618" s="149">
        <f t="shared" ref="FB618:FE633" si="524">CO618</f>
        <v>12.046759999999997</v>
      </c>
      <c r="FC618" s="142">
        <f t="shared" si="524"/>
        <v>131</v>
      </c>
      <c r="FD618" s="119">
        <f t="shared" si="524"/>
        <v>89</v>
      </c>
      <c r="FE618" s="121">
        <f t="shared" si="524"/>
        <v>11.5</v>
      </c>
      <c r="FF618" s="121">
        <f t="shared" si="462"/>
        <v>954.61352264011259</v>
      </c>
      <c r="FG618" s="121">
        <f t="shared" si="509"/>
        <v>0</v>
      </c>
      <c r="FH618" s="121">
        <f t="shared" si="491"/>
        <v>0</v>
      </c>
      <c r="FI618" s="121">
        <f t="shared" si="483"/>
        <v>74.781955268000004</v>
      </c>
      <c r="FJ618" s="144">
        <f t="shared" si="510"/>
        <v>1.6129420553310347</v>
      </c>
      <c r="FK618" s="132">
        <f t="shared" si="511"/>
        <v>0</v>
      </c>
      <c r="FL618" s="115">
        <f t="shared" si="511"/>
        <v>3</v>
      </c>
      <c r="FM618" s="115">
        <f t="shared" si="511"/>
        <v>-40</v>
      </c>
      <c r="FN618" s="115">
        <f t="shared" si="511"/>
        <v>4</v>
      </c>
      <c r="FO618" s="115">
        <f t="shared" si="492"/>
        <v>0</v>
      </c>
      <c r="FP618" s="115">
        <f t="shared" si="492"/>
        <v>0</v>
      </c>
      <c r="FQ618" s="149">
        <f t="shared" si="492"/>
        <v>8.1516687999999977</v>
      </c>
      <c r="FR618" s="142">
        <f t="shared" si="492"/>
        <v>119.8</v>
      </c>
      <c r="FS618" s="119">
        <f t="shared" si="492"/>
        <v>30.6</v>
      </c>
      <c r="FT618" s="121">
        <f t="shared" si="492"/>
        <v>-2.5</v>
      </c>
      <c r="FU618" s="121">
        <f t="shared" si="512"/>
        <v>-72</v>
      </c>
      <c r="FV618" s="121">
        <f t="shared" si="512"/>
        <v>-7.2</v>
      </c>
      <c r="FW618" s="121">
        <f t="shared" si="513"/>
        <v>-791.17358498910028</v>
      </c>
      <c r="FX618" s="121">
        <f t="shared" si="514"/>
        <v>-47.218044731999996</v>
      </c>
      <c r="FY618" s="144">
        <f t="shared" si="502"/>
        <v>1.2835302906251524</v>
      </c>
      <c r="FZ618" s="145"/>
      <c r="GA618" s="151" t="s">
        <v>2077</v>
      </c>
      <c r="GB618" s="145"/>
      <c r="GC618" s="151" t="s">
        <v>2078</v>
      </c>
      <c r="GD618" s="997" t="s">
        <v>220</v>
      </c>
      <c r="GE618" s="1004"/>
      <c r="GF618" s="1004">
        <v>0</v>
      </c>
      <c r="GG618" s="1004"/>
      <c r="GH618" s="1004">
        <v>0</v>
      </c>
      <c r="GI618" s="145"/>
      <c r="GJ618" s="996">
        <v>0</v>
      </c>
      <c r="GK618" s="145" t="s">
        <v>199</v>
      </c>
      <c r="GL618" s="996">
        <v>-4.8829088000000009</v>
      </c>
      <c r="GM618" s="1005" t="s">
        <v>259</v>
      </c>
      <c r="GN618" s="996">
        <v>3.1963624000000026</v>
      </c>
      <c r="GO618" s="1006"/>
      <c r="GP618" s="996">
        <v>0</v>
      </c>
      <c r="GQ618" s="1006" t="s">
        <v>199</v>
      </c>
      <c r="GR618" s="996">
        <v>1.3847353519999999</v>
      </c>
      <c r="GS618" s="1006"/>
      <c r="GT618" s="996">
        <v>-0.50559775200000168</v>
      </c>
      <c r="GU618" s="1006" t="s">
        <v>199</v>
      </c>
      <c r="GV618" s="996">
        <v>-13.020700000000001</v>
      </c>
      <c r="GW618" s="1006"/>
      <c r="GX618" s="996">
        <v>-8.8615999999999957</v>
      </c>
      <c r="GY618" s="1006" t="s">
        <v>349</v>
      </c>
      <c r="GZ618" s="996">
        <v>-2.1661596000000038</v>
      </c>
      <c r="HA618" s="1006" t="s">
        <v>349</v>
      </c>
      <c r="HB618" s="996">
        <v>-3.8530403999999976</v>
      </c>
      <c r="HC618" s="1006"/>
      <c r="HD618" s="996">
        <v>0</v>
      </c>
      <c r="HE618" s="1006"/>
      <c r="HF618" s="996">
        <v>0.47544239599999827</v>
      </c>
      <c r="HG618" s="1006" t="s">
        <v>25</v>
      </c>
      <c r="HH618" s="996">
        <v>32.128557604000001</v>
      </c>
      <c r="HI618" s="1006"/>
      <c r="HJ618" s="996"/>
      <c r="HK618" s="1006"/>
      <c r="HL618" s="996"/>
      <c r="HM618" s="1006"/>
      <c r="HN618" s="996"/>
      <c r="HO618" s="1006"/>
      <c r="HP618" s="996"/>
      <c r="HQ618" s="1006"/>
      <c r="HR618" s="996"/>
      <c r="HS618" s="1006"/>
      <c r="HT618" s="996"/>
      <c r="HU618" s="1006"/>
      <c r="HV618" s="996"/>
      <c r="HW618" s="1006"/>
      <c r="HX618" s="996"/>
      <c r="HY618" s="1006"/>
      <c r="HZ618" s="996"/>
      <c r="IA618" s="1006"/>
      <c r="IB618" s="996"/>
      <c r="IC618" s="1006"/>
      <c r="ID618" s="996"/>
      <c r="IE618" s="1006"/>
      <c r="IF618" s="996"/>
      <c r="IG618" s="1006"/>
      <c r="IH618" s="996"/>
      <c r="II618" s="1006"/>
      <c r="IJ618" s="996"/>
      <c r="IK618" s="1006"/>
      <c r="IL618" s="996"/>
      <c r="IM618" s="1006"/>
      <c r="IN618" s="996"/>
      <c r="IO618" s="1006"/>
      <c r="IP618" s="996"/>
      <c r="IQ618" s="1006"/>
      <c r="IR618" s="996"/>
      <c r="IS618" s="1006"/>
      <c r="IT618" s="996"/>
      <c r="IU618" s="1006"/>
      <c r="IV618" s="996"/>
      <c r="IW618" s="1006"/>
      <c r="IX618" s="996"/>
      <c r="IY618" s="1006"/>
      <c r="IZ618" s="996"/>
      <c r="JA618" s="1006"/>
      <c r="JB618" s="996"/>
      <c r="JC618" s="1006"/>
      <c r="JD618" s="996"/>
      <c r="JE618" s="1006"/>
      <c r="JF618" s="996"/>
      <c r="JG618" s="1006"/>
      <c r="JH618" s="996"/>
      <c r="JI618" s="1006"/>
      <c r="JJ618" s="996"/>
      <c r="JK618" s="1007"/>
      <c r="JL618" s="1007"/>
      <c r="JM618" s="1007"/>
      <c r="JN618" s="1007"/>
      <c r="JO618" s="1067"/>
      <c r="JP618" s="1007"/>
      <c r="JQ618" s="1008"/>
      <c r="JR618" s="1007"/>
      <c r="JS618" s="1008"/>
      <c r="JT618" s="1007"/>
      <c r="JU618" s="1008"/>
      <c r="JV618" s="1007"/>
      <c r="JW618" s="1008"/>
      <c r="JX618" s="1007"/>
      <c r="JY618" s="1008"/>
      <c r="JZ618" s="1007"/>
      <c r="KA618" s="1008"/>
      <c r="KB618" s="1007"/>
      <c r="KC618" s="1008"/>
      <c r="KD618" s="1007"/>
      <c r="KE618" s="1008"/>
      <c r="KF618" s="1007"/>
      <c r="KG618" s="1008"/>
      <c r="KH618" s="1007"/>
      <c r="KI618" s="1008"/>
      <c r="KJ618" s="1007"/>
      <c r="KK618" s="1008"/>
      <c r="KL618" s="1007"/>
      <c r="KM618" s="1008"/>
      <c r="KN618" s="1007"/>
      <c r="KO618" s="1008"/>
      <c r="KP618" s="1007"/>
      <c r="KQ618" s="1008"/>
      <c r="KR618" s="1007"/>
      <c r="KS618" s="1008"/>
      <c r="KT618" s="1007"/>
      <c r="KU618" s="1008"/>
      <c r="KV618" s="1007"/>
      <c r="KW618" s="1008"/>
      <c r="KX618" s="1007"/>
      <c r="KY618" s="1008"/>
      <c r="KZ618" s="1007"/>
      <c r="LA618" s="1008"/>
      <c r="LB618" s="1007"/>
      <c r="LC618" s="1008"/>
      <c r="LD618" s="1007"/>
      <c r="LE618" s="1008"/>
      <c r="LF618" s="1007"/>
      <c r="LG618" s="1008"/>
      <c r="LH618" s="1007"/>
      <c r="LI618" s="1008"/>
      <c r="LJ618" s="1007"/>
      <c r="LK618" s="1008"/>
      <c r="LL618" s="1007"/>
      <c r="LM618" s="1008"/>
      <c r="LN618" s="1007"/>
      <c r="LO618" s="1008"/>
      <c r="LP618" s="1007"/>
      <c r="LQ618" s="1008"/>
      <c r="LR618" s="1007"/>
      <c r="LS618" s="1008"/>
      <c r="LT618" s="1007"/>
      <c r="LU618" s="1008"/>
      <c r="LV618" s="1007"/>
      <c r="LW618" s="1008"/>
      <c r="LX618" s="1007"/>
      <c r="LY618" s="1009"/>
      <c r="LZ618" s="1010"/>
      <c r="MA618" s="1011"/>
      <c r="MB618" s="1012"/>
      <c r="MC618" s="995"/>
      <c r="MD618" s="996"/>
      <c r="ME618" s="997" t="s">
        <v>220</v>
      </c>
      <c r="MF618" s="997"/>
      <c r="MG618" s="998"/>
      <c r="NR618" s="1000"/>
      <c r="NS618" s="1000"/>
      <c r="NT618" s="1001"/>
      <c r="NU618" s="1000"/>
      <c r="NV618" s="1001"/>
      <c r="NX618" s="1002"/>
      <c r="NZ618" s="1001"/>
      <c r="OA618" s="1001"/>
      <c r="OC618" s="1003"/>
      <c r="OD618" s="1003"/>
      <c r="OE618" s="1001"/>
      <c r="OF618" s="1003"/>
      <c r="OG618" s="1003"/>
      <c r="OH618" s="1003"/>
      <c r="OI618" s="1016"/>
      <c r="QX618" s="1000">
        <f>CN618-CA618</f>
        <v>44.781955268000004</v>
      </c>
      <c r="ASU618" s="999" t="s">
        <v>208</v>
      </c>
    </row>
    <row r="619" spans="1:466 1191:1191" ht="21" customHeight="1" x14ac:dyDescent="0.25">
      <c r="A619" s="982">
        <f t="shared" si="503"/>
        <v>5901</v>
      </c>
      <c r="B619" s="124">
        <f>SUBTOTAL(103,$J$29:J619)</f>
        <v>591</v>
      </c>
      <c r="C619" s="126">
        <v>45068</v>
      </c>
      <c r="D619" s="124" t="s">
        <v>176</v>
      </c>
      <c r="E619" s="127" t="s">
        <v>177</v>
      </c>
      <c r="F619" s="128" t="s">
        <v>177</v>
      </c>
      <c r="G619" s="127" t="s">
        <v>178</v>
      </c>
      <c r="H619" s="127" t="s">
        <v>179</v>
      </c>
      <c r="I619" s="127" t="s">
        <v>2058</v>
      </c>
      <c r="J619" s="152">
        <v>5901</v>
      </c>
      <c r="K619" s="127" t="s">
        <v>2058</v>
      </c>
      <c r="L619" s="130">
        <v>44581</v>
      </c>
      <c r="M619" s="127" t="s">
        <v>230</v>
      </c>
      <c r="N619" s="127" t="s">
        <v>245</v>
      </c>
      <c r="O619" s="127" t="s">
        <v>185</v>
      </c>
      <c r="P619" s="127" t="s">
        <v>186</v>
      </c>
      <c r="Q619" s="85" t="str">
        <f t="shared" si="523"/>
        <v/>
      </c>
      <c r="R619" s="130"/>
      <c r="S619" s="128"/>
      <c r="T619" s="131"/>
      <c r="U619" s="132">
        <v>203</v>
      </c>
      <c r="V619" s="121">
        <v>218.2</v>
      </c>
      <c r="W619" s="116">
        <v>0.98</v>
      </c>
      <c r="X619" s="116">
        <v>1.66</v>
      </c>
      <c r="Y619" s="116">
        <f t="shared" si="522"/>
        <v>1.0046936758893281</v>
      </c>
      <c r="Z619" s="133">
        <v>1.454</v>
      </c>
      <c r="AA619" s="133">
        <v>0.83599999999999997</v>
      </c>
      <c r="AB619" s="133">
        <v>0.72</v>
      </c>
      <c r="AC619" s="121">
        <v>34.299999999999997</v>
      </c>
      <c r="AD619" s="134">
        <v>1.17</v>
      </c>
      <c r="AE619" s="124">
        <v>177.8</v>
      </c>
      <c r="AF619" s="128">
        <v>9.1999999999999993</v>
      </c>
      <c r="AG619" s="128">
        <v>2055</v>
      </c>
      <c r="AH619" s="127">
        <v>2637</v>
      </c>
      <c r="AI619" s="127">
        <v>2637</v>
      </c>
      <c r="AJ619" s="135">
        <v>44527</v>
      </c>
      <c r="AK619" s="128" t="s">
        <v>1018</v>
      </c>
      <c r="AL619" s="131"/>
      <c r="AM619" s="124" t="s">
        <v>232</v>
      </c>
      <c r="AN619" s="136" t="s">
        <v>2079</v>
      </c>
      <c r="AO619" s="137">
        <v>79</v>
      </c>
      <c r="AP619" s="128">
        <v>2055</v>
      </c>
      <c r="AQ619" s="128">
        <v>250</v>
      </c>
      <c r="AR619" s="128"/>
      <c r="AS619" s="128"/>
      <c r="AT619" s="122"/>
      <c r="AU619" s="124" t="s">
        <v>189</v>
      </c>
      <c r="AV619" s="115">
        <f>VLOOKUP(J619,'[63]ТР нефть'!$J$28:$BP$638,39,0)</f>
        <v>455.999998828</v>
      </c>
      <c r="AW619" s="115" t="str">
        <f>VLOOKUP(J619,'[63]ТР нефть'!$J$28:$BP$638,40,0)</f>
        <v>ГП</v>
      </c>
      <c r="AX619" s="115">
        <f>VLOOKUP(J619,'[63]ТР нефть'!$J$28:$BP$638,41,0)</f>
        <v>868.00000429700003</v>
      </c>
      <c r="AY619" s="115" t="str">
        <f>VLOOKUP(J619,'[63]ТР нефть'!$J$28:$BP$638,42,0)</f>
        <v>ГП</v>
      </c>
      <c r="AZ619" s="115">
        <f>VLOOKUP(J619,'[63]ТР нефть'!$J$28:$BP$638,43,0)</f>
        <v>1202.99998418</v>
      </c>
      <c r="BA619" s="115" t="str">
        <f>VLOOKUP(J619,'[63]ТР нефть'!$J$28:$BP$638,44,0)</f>
        <v>ГК79 1/8</v>
      </c>
      <c r="BB619" s="115">
        <f>VLOOKUP(J619,'[63]ТР нефть'!$J$28:$BP$638,45,0)</f>
        <v>1451.9999296880001</v>
      </c>
      <c r="BC619" s="115" t="str">
        <f>VLOOKUP(J619,'[63]ТР нефть'!$J$28:$BP$638,46,0)</f>
        <v>ГК78 1/6</v>
      </c>
      <c r="BD619" s="115">
        <f>VLOOKUP(J619,'[63]ТР нефть'!$J$28:$BP$638,47,0)</f>
        <v>1667.9999917969999</v>
      </c>
      <c r="BE619" s="115" t="str">
        <f>VLOOKUP(J619,'[63]ТР нефть'!$J$28:$BP$638,48,0)</f>
        <v>ГП</v>
      </c>
      <c r="BF619" s="115">
        <f>VLOOKUP(J619,'[63]ТР нефть'!$J$28:$BP$638,49,0)</f>
        <v>1890</v>
      </c>
      <c r="BG619" s="115" t="str">
        <f>VLOOKUP(J619,'[63]ТР нефть'!$J$28:$BP$638,50,0)</f>
        <v>ЦКсОК 5/16</v>
      </c>
      <c r="BH619" s="115" t="str">
        <f>VLOOKUP(J619,'[63]ТР нефть'!$J$28:$BP$638,51,0)</f>
        <v>-</v>
      </c>
      <c r="BI619" s="115" t="str">
        <f>VLOOKUP(J619,'[63]ТР нефть'!$J$28:$BP$638,52,0)</f>
        <v>-</v>
      </c>
      <c r="BJ619" s="115" t="str">
        <f>IF(IFERROR(VLOOKUP(J619,'[63]ТР нефть'!$J$28:$BP$638,53,0),"-")=0,"-",IFERROR(VLOOKUP(J619,'[63]ТР нефть'!$J$28:$BP$638,53,0),"-"))</f>
        <v>-</v>
      </c>
      <c r="BK619" s="138" t="str">
        <f>IF(IFERROR(VLOOKUP(J619,'[63]ТР нефть'!$J$28:$BP$638,54,0),"-")=0,"-",IFERROR(VLOOKUP(J619,'[63]ТР нефть'!$J$28:$BP$638,54,0),"-"))</f>
        <v>-</v>
      </c>
      <c r="BL619" s="138" t="str">
        <f>IF(IFERROR(VLOOKUP(J619,'[63]ТР нефть'!$J$28:$BP$638,55,0),"-")=0,"-",IFERROR(VLOOKUP(J619,'[63]ТР нефть'!$J$28:$BP$638,55,0),"-"))</f>
        <v>-</v>
      </c>
      <c r="BM619" s="138" t="str">
        <f>IF(IFERROR(VLOOKUP(J619,'[63]ТР нефть'!$J$28:$BP$638,56,0),"-")=0,"-",IFERROR(VLOOKUP(J619,'[63]ТР нефть'!$J$28:$BP$638,56,0),"-"))</f>
        <v>-</v>
      </c>
      <c r="BN619" s="138" t="str">
        <f>IF(IFERROR(VLOOKUP(J619,'[63]ТР нефть'!$J$28:$BP$638,57,0),"-")=0,"-",IFERROR(VLOOKUP(J619,'[63]ТР нефть'!$J$28:$BP$638,57,0),"-"))</f>
        <v>-</v>
      </c>
      <c r="BO619" s="115" t="str">
        <f>IF(IFERROR(VLOOKUP(J619,'[63]ТР нефть'!$J$28:$BP$638,58,0),"-")=0,"-",IFERROR(VLOOKUP(J619,'[63]ТР нефть'!$J$28:$BP$638,58,0),"-"))</f>
        <v>-</v>
      </c>
      <c r="BP619" s="115" t="str">
        <f>IF(IFERROR(VLOOKUP(J619,'[63]ТР нефть'!$J$28:$BP$638,59,0),"-")=0,"-",IFERROR(VLOOKUP(J619,'[63]ТР нефть'!$J$28:$BP$638,59,0),"-"))</f>
        <v>-</v>
      </c>
      <c r="BQ619" s="138">
        <v>2070</v>
      </c>
      <c r="BR619" s="128"/>
      <c r="BS619" s="115"/>
      <c r="BT619" s="128"/>
      <c r="BU619" s="128"/>
      <c r="BV619" s="127">
        <v>18</v>
      </c>
      <c r="BW619" s="127" t="s">
        <v>217</v>
      </c>
      <c r="BX619" s="127" t="s">
        <v>195</v>
      </c>
      <c r="BY619" s="139">
        <v>24</v>
      </c>
      <c r="BZ619" s="139">
        <v>0</v>
      </c>
      <c r="CA619" s="138">
        <v>32</v>
      </c>
      <c r="CB619" s="138">
        <v>43</v>
      </c>
      <c r="CC619" s="138">
        <v>31</v>
      </c>
      <c r="CD619" s="135">
        <v>45017</v>
      </c>
      <c r="CE619" s="138">
        <v>145</v>
      </c>
      <c r="CF619" s="138">
        <v>68</v>
      </c>
      <c r="CG619" s="138"/>
      <c r="CH619" s="138"/>
      <c r="CI619" s="127"/>
      <c r="CJ619" s="138"/>
      <c r="CK619" s="138">
        <f t="shared" si="488"/>
        <v>25</v>
      </c>
      <c r="CL619" s="99"/>
      <c r="CM619" s="99"/>
      <c r="CN619" s="140">
        <v>57</v>
      </c>
      <c r="CO619" s="141">
        <f t="shared" si="504"/>
        <v>7.8583999999999987</v>
      </c>
      <c r="CP619" s="142">
        <v>10</v>
      </c>
      <c r="CQ619" s="143">
        <v>6</v>
      </c>
      <c r="CR619" s="138">
        <v>18</v>
      </c>
      <c r="CS619" s="139">
        <v>8.5</v>
      </c>
      <c r="CT619" s="138"/>
      <c r="CU619" s="138">
        <f t="shared" si="475"/>
        <v>9.5</v>
      </c>
      <c r="CV619" s="115">
        <f t="shared" si="476"/>
        <v>1208.8974854932303</v>
      </c>
      <c r="CW619" s="115">
        <f t="shared" si="505"/>
        <v>993.78010569143703</v>
      </c>
      <c r="CX619" s="133">
        <f t="shared" si="477"/>
        <v>0.11363636363636363</v>
      </c>
      <c r="CY619" s="116"/>
      <c r="CZ619" s="131"/>
      <c r="DA619" s="145" t="str">
        <f t="shared" si="478"/>
        <v>Газлифт</v>
      </c>
      <c r="DB619" s="146">
        <f t="shared" si="468"/>
        <v>7.8583999999999987</v>
      </c>
      <c r="DC619" s="142">
        <f t="shared" si="469"/>
        <v>10</v>
      </c>
      <c r="DD619" s="119">
        <f t="shared" si="470"/>
        <v>6</v>
      </c>
      <c r="DE619" s="115">
        <f t="shared" si="471"/>
        <v>9.5</v>
      </c>
      <c r="DF619" s="121">
        <f t="shared" si="472"/>
        <v>8.5</v>
      </c>
      <c r="DG619" s="115">
        <f t="shared" si="506"/>
        <v>1208.8974854932303</v>
      </c>
      <c r="DH619" s="115">
        <f t="shared" si="507"/>
        <v>57</v>
      </c>
      <c r="DI619" s="147"/>
      <c r="DJ619" s="111"/>
      <c r="DK619" s="112">
        <v>44581</v>
      </c>
      <c r="DL619" s="113">
        <f t="shared" ref="DL619:DL624" ca="1" si="525">TODAY()-DK619</f>
        <v>523</v>
      </c>
      <c r="DM619" s="114"/>
      <c r="DN619" s="114"/>
      <c r="DO619" s="114"/>
      <c r="DP619" s="114"/>
      <c r="DQ619" s="112">
        <v>44581</v>
      </c>
      <c r="DR619" s="114" t="s">
        <v>324</v>
      </c>
      <c r="DS619" s="114"/>
      <c r="DT619" s="115">
        <v>59</v>
      </c>
      <c r="DU619" s="116">
        <f t="shared" si="515"/>
        <v>0.11627906976744186</v>
      </c>
      <c r="DV619" s="117">
        <f t="shared" si="516"/>
        <v>7.8583999999999987</v>
      </c>
      <c r="DW619" s="118">
        <f t="shared" si="517"/>
        <v>10</v>
      </c>
      <c r="DX619" s="119">
        <f t="shared" si="497"/>
        <v>6</v>
      </c>
      <c r="DY619" s="115">
        <f t="shared" si="518"/>
        <v>9.5</v>
      </c>
      <c r="DZ619" s="117">
        <f t="shared" si="519"/>
        <v>0</v>
      </c>
      <c r="EA619" s="120">
        <f t="shared" si="519"/>
        <v>0</v>
      </c>
      <c r="EB619" s="119">
        <f t="shared" si="519"/>
        <v>0</v>
      </c>
      <c r="EC619" s="121">
        <f t="shared" si="520"/>
        <v>0</v>
      </c>
      <c r="ED619" s="122"/>
      <c r="EE619" s="145">
        <v>18</v>
      </c>
      <c r="EF619" s="115">
        <v>31</v>
      </c>
      <c r="EG619" s="115">
        <v>42</v>
      </c>
      <c r="EH619" s="115">
        <v>30</v>
      </c>
      <c r="EI619" s="128" t="s">
        <v>195</v>
      </c>
      <c r="EJ619" s="121">
        <v>24</v>
      </c>
      <c r="EK619" s="121">
        <v>0</v>
      </c>
      <c r="EL619" s="149">
        <v>7.8583999999999987</v>
      </c>
      <c r="EM619" s="142">
        <v>10</v>
      </c>
      <c r="EN619" s="119">
        <v>6</v>
      </c>
      <c r="EO619" s="115">
        <v>21</v>
      </c>
      <c r="EP619" s="115">
        <v>1654.2807696223153</v>
      </c>
      <c r="EQ619" s="115">
        <v>66</v>
      </c>
      <c r="ER619" s="115">
        <v>8</v>
      </c>
      <c r="ES619" s="115">
        <v>51</v>
      </c>
      <c r="ET619" s="150">
        <v>0.10638297872340426</v>
      </c>
      <c r="EU619" s="145">
        <f t="shared" si="521"/>
        <v>18</v>
      </c>
      <c r="EV619" s="115">
        <f t="shared" si="508"/>
        <v>32</v>
      </c>
      <c r="EW619" s="115">
        <f t="shared" si="508"/>
        <v>43</v>
      </c>
      <c r="EX619" s="115">
        <f t="shared" si="508"/>
        <v>31</v>
      </c>
      <c r="EY619" s="115" t="str">
        <f t="shared" si="489"/>
        <v>Постоянный</v>
      </c>
      <c r="EZ619" s="115">
        <f t="shared" si="489"/>
        <v>24</v>
      </c>
      <c r="FA619" s="115">
        <f t="shared" si="489"/>
        <v>0</v>
      </c>
      <c r="FB619" s="149">
        <f t="shared" si="524"/>
        <v>7.8583999999999987</v>
      </c>
      <c r="FC619" s="142">
        <f t="shared" si="524"/>
        <v>10</v>
      </c>
      <c r="FD619" s="119">
        <f t="shared" si="524"/>
        <v>6</v>
      </c>
      <c r="FE619" s="121">
        <f t="shared" si="524"/>
        <v>18</v>
      </c>
      <c r="FF619" s="121">
        <f t="shared" si="462"/>
        <v>1208.8974854932303</v>
      </c>
      <c r="FG619" s="121">
        <f t="shared" si="509"/>
        <v>68</v>
      </c>
      <c r="FH619" s="121">
        <f t="shared" si="491"/>
        <v>8.5</v>
      </c>
      <c r="FI619" s="121">
        <f t="shared" si="483"/>
        <v>57</v>
      </c>
      <c r="FJ619" s="144">
        <f t="shared" si="510"/>
        <v>0.11363636363636363</v>
      </c>
      <c r="FK619" s="132">
        <f t="shared" si="511"/>
        <v>0</v>
      </c>
      <c r="FL619" s="115">
        <f t="shared" si="511"/>
        <v>1</v>
      </c>
      <c r="FM619" s="115">
        <f t="shared" si="511"/>
        <v>1</v>
      </c>
      <c r="FN619" s="115">
        <f t="shared" si="511"/>
        <v>1</v>
      </c>
      <c r="FO619" s="115">
        <f t="shared" si="492"/>
        <v>0</v>
      </c>
      <c r="FP619" s="115">
        <f t="shared" si="492"/>
        <v>0</v>
      </c>
      <c r="FQ619" s="149">
        <f t="shared" si="492"/>
        <v>0</v>
      </c>
      <c r="FR619" s="142">
        <f t="shared" si="492"/>
        <v>0</v>
      </c>
      <c r="FS619" s="119">
        <f t="shared" si="492"/>
        <v>0</v>
      </c>
      <c r="FT619" s="121">
        <f t="shared" si="492"/>
        <v>-3</v>
      </c>
      <c r="FU619" s="121">
        <f t="shared" si="512"/>
        <v>2</v>
      </c>
      <c r="FV619" s="121">
        <f t="shared" si="512"/>
        <v>0.5</v>
      </c>
      <c r="FW619" s="121">
        <f t="shared" si="513"/>
        <v>-445.38328412908504</v>
      </c>
      <c r="FX619" s="121">
        <f t="shared" si="514"/>
        <v>6</v>
      </c>
      <c r="FY619" s="144">
        <f t="shared" si="502"/>
        <v>7.2533849129593764E-3</v>
      </c>
      <c r="FZ619" s="145"/>
      <c r="GA619" s="151"/>
      <c r="GB619" s="145"/>
      <c r="GC619" s="151"/>
      <c r="GD619" s="997" t="s">
        <v>220</v>
      </c>
      <c r="GE619" s="1004"/>
      <c r="GF619" s="1004">
        <v>-0.80826988000000011</v>
      </c>
      <c r="GG619" s="1004"/>
      <c r="GH619" s="1004">
        <v>0</v>
      </c>
      <c r="GI619" s="145" t="s">
        <v>223</v>
      </c>
      <c r="GJ619" s="996">
        <v>-3.5974501200000013</v>
      </c>
      <c r="GK619" s="145"/>
      <c r="GL619" s="996">
        <v>0</v>
      </c>
      <c r="GM619" s="1005"/>
      <c r="GN619" s="996">
        <v>-3.5880000000000578E-2</v>
      </c>
      <c r="GO619" s="1006" t="s">
        <v>199</v>
      </c>
      <c r="GP619" s="996">
        <v>1.380620476399999</v>
      </c>
      <c r="GQ619" s="1006"/>
      <c r="GR619" s="996">
        <v>2.1963726400000105E-2</v>
      </c>
      <c r="GS619" s="1006"/>
      <c r="GT619" s="996">
        <v>0.70483686679999913</v>
      </c>
      <c r="GU619" s="1006" t="s">
        <v>203</v>
      </c>
      <c r="GV619" s="996">
        <v>-1.2147079999999999</v>
      </c>
      <c r="GW619" s="1006"/>
      <c r="GX619" s="996">
        <v>-0.69137200000000032</v>
      </c>
      <c r="GY619" s="1006" t="s">
        <v>204</v>
      </c>
      <c r="GZ619" s="996">
        <v>-7.8124199999999977</v>
      </c>
      <c r="HA619" s="1006" t="s">
        <v>203</v>
      </c>
      <c r="HB619" s="996">
        <v>-4.3171040000000005</v>
      </c>
      <c r="HC619" s="1006"/>
      <c r="HD619" s="996">
        <v>0.38790399999999892</v>
      </c>
      <c r="HE619" s="1006"/>
      <c r="HF619" s="996">
        <v>-0.77975392000000099</v>
      </c>
      <c r="HG619" s="1006" t="s">
        <v>221</v>
      </c>
      <c r="HH619" s="996">
        <v>6.9908995200000046</v>
      </c>
      <c r="HI619" s="1006" t="s">
        <v>203</v>
      </c>
      <c r="HJ619" s="996">
        <v>-15.2399456</v>
      </c>
      <c r="HK619" s="1006" t="s">
        <v>308</v>
      </c>
      <c r="HL619" s="996">
        <v>29.000839999999997</v>
      </c>
      <c r="HM619" s="1006"/>
      <c r="HN619" s="996"/>
      <c r="HO619" s="1006"/>
      <c r="HP619" s="996"/>
      <c r="HQ619" s="1006"/>
      <c r="HR619" s="996"/>
      <c r="HS619" s="1006"/>
      <c r="HT619" s="996"/>
      <c r="HU619" s="1006"/>
      <c r="HV619" s="996"/>
      <c r="HW619" s="1006"/>
      <c r="HX619" s="996"/>
      <c r="HY619" s="1006"/>
      <c r="HZ619" s="996"/>
      <c r="IA619" s="1006"/>
      <c r="IB619" s="996"/>
      <c r="IC619" s="1006"/>
      <c r="ID619" s="996"/>
      <c r="IE619" s="1006"/>
      <c r="IF619" s="996"/>
      <c r="IG619" s="1006"/>
      <c r="IH619" s="996"/>
      <c r="II619" s="1006"/>
      <c r="IJ619" s="996"/>
      <c r="IK619" s="1006"/>
      <c r="IL619" s="996"/>
      <c r="IM619" s="1006"/>
      <c r="IN619" s="996"/>
      <c r="IO619" s="1006"/>
      <c r="IP619" s="996"/>
      <c r="IQ619" s="1006"/>
      <c r="IR619" s="996"/>
      <c r="IS619" s="1006"/>
      <c r="IT619" s="996"/>
      <c r="IU619" s="1006"/>
      <c r="IV619" s="996"/>
      <c r="IW619" s="1006"/>
      <c r="IX619" s="996"/>
      <c r="IY619" s="1006"/>
      <c r="IZ619" s="996"/>
      <c r="JA619" s="1006"/>
      <c r="JB619" s="996"/>
      <c r="JC619" s="1006"/>
      <c r="JD619" s="996"/>
      <c r="JE619" s="1006"/>
      <c r="JF619" s="996"/>
      <c r="JG619" s="1006"/>
      <c r="JH619" s="996"/>
      <c r="JI619" s="1006"/>
      <c r="JJ619" s="996"/>
      <c r="JK619" s="1007"/>
      <c r="JL619" s="1007"/>
      <c r="JM619" s="1007"/>
      <c r="JN619" s="1007"/>
      <c r="JO619" s="1067"/>
      <c r="JP619" s="1007"/>
      <c r="JQ619" s="1008"/>
      <c r="JR619" s="1007"/>
      <c r="JS619" s="1008"/>
      <c r="JT619" s="1007"/>
      <c r="JU619" s="1008"/>
      <c r="JV619" s="1007"/>
      <c r="JW619" s="1008"/>
      <c r="JX619" s="1007"/>
      <c r="JY619" s="1008"/>
      <c r="JZ619" s="1007"/>
      <c r="KA619" s="1008"/>
      <c r="KB619" s="1007"/>
      <c r="KC619" s="1008"/>
      <c r="KD619" s="1007"/>
      <c r="KE619" s="1008"/>
      <c r="KF619" s="1007"/>
      <c r="KG619" s="1008"/>
      <c r="KH619" s="1007"/>
      <c r="KI619" s="1008"/>
      <c r="KJ619" s="1007"/>
      <c r="KK619" s="1008"/>
      <c r="KL619" s="1007"/>
      <c r="KM619" s="1008"/>
      <c r="KN619" s="1007"/>
      <c r="KO619" s="1008"/>
      <c r="KP619" s="1007"/>
      <c r="KQ619" s="1008"/>
      <c r="KR619" s="1007"/>
      <c r="KS619" s="1008"/>
      <c r="KT619" s="1007"/>
      <c r="KU619" s="1008"/>
      <c r="KV619" s="1007"/>
      <c r="KW619" s="1008"/>
      <c r="KX619" s="1007"/>
      <c r="KY619" s="1008"/>
      <c r="KZ619" s="1007"/>
      <c r="LA619" s="1008"/>
      <c r="LB619" s="1007"/>
      <c r="LC619" s="1008"/>
      <c r="LD619" s="1007"/>
      <c r="LE619" s="1008"/>
      <c r="LF619" s="1007"/>
      <c r="LG619" s="1008"/>
      <c r="LH619" s="1007"/>
      <c r="LI619" s="1008"/>
      <c r="LJ619" s="1007"/>
      <c r="LK619" s="1008"/>
      <c r="LL619" s="1007"/>
      <c r="LM619" s="1008"/>
      <c r="LN619" s="1007"/>
      <c r="LO619" s="1008"/>
      <c r="LP619" s="1007"/>
      <c r="LQ619" s="1008"/>
      <c r="LR619" s="1007"/>
      <c r="LS619" s="1008"/>
      <c r="LT619" s="1007"/>
      <c r="LU619" s="1008"/>
      <c r="LV619" s="1007"/>
      <c r="LW619" s="1008"/>
      <c r="LX619" s="1007"/>
      <c r="LY619" s="1009"/>
      <c r="LZ619" s="1010"/>
      <c r="MA619" s="1011"/>
      <c r="MB619" s="1012"/>
      <c r="MC619" s="995"/>
      <c r="MD619" s="996"/>
      <c r="ME619" s="997" t="s">
        <v>220</v>
      </c>
      <c r="MF619" s="997"/>
      <c r="MG619" s="998"/>
      <c r="NR619" s="1000"/>
      <c r="NS619" s="1000"/>
      <c r="NT619" s="1001"/>
      <c r="NU619" s="1000"/>
      <c r="NV619" s="1001"/>
      <c r="NX619" s="1002"/>
      <c r="NZ619" s="1001"/>
      <c r="OA619" s="1001"/>
      <c r="OC619" s="1003"/>
      <c r="OD619" s="1003"/>
      <c r="OE619" s="1001"/>
      <c r="OF619" s="1003"/>
      <c r="OG619" s="1003"/>
      <c r="QX619" s="1000">
        <f>CN619-CA619</f>
        <v>25</v>
      </c>
      <c r="ASU619" s="999" t="s">
        <v>208</v>
      </c>
    </row>
    <row r="620" spans="1:466 1191:1191" ht="21" customHeight="1" x14ac:dyDescent="0.25">
      <c r="A620" s="982">
        <f t="shared" si="503"/>
        <v>5902</v>
      </c>
      <c r="B620" s="124">
        <f>SUBTOTAL(103,$J$29:J620)</f>
        <v>592</v>
      </c>
      <c r="C620" s="126">
        <v>45068</v>
      </c>
      <c r="D620" s="124" t="s">
        <v>176</v>
      </c>
      <c r="E620" s="127" t="s">
        <v>177</v>
      </c>
      <c r="F620" s="128" t="s">
        <v>177</v>
      </c>
      <c r="G620" s="127" t="s">
        <v>178</v>
      </c>
      <c r="H620" s="127" t="s">
        <v>179</v>
      </c>
      <c r="I620" s="127" t="s">
        <v>2062</v>
      </c>
      <c r="J620" s="152">
        <v>5902</v>
      </c>
      <c r="K620" s="127" t="s">
        <v>2062</v>
      </c>
      <c r="L620" s="130">
        <v>44410</v>
      </c>
      <c r="M620" s="127" t="s">
        <v>230</v>
      </c>
      <c r="N620" s="127" t="s">
        <v>184</v>
      </c>
      <c r="O620" s="127" t="s">
        <v>185</v>
      </c>
      <c r="P620" s="127" t="s">
        <v>186</v>
      </c>
      <c r="Q620" s="85" t="str">
        <f t="shared" si="523"/>
        <v/>
      </c>
      <c r="R620" s="130"/>
      <c r="S620" s="128"/>
      <c r="T620" s="131"/>
      <c r="U620" s="132">
        <v>203</v>
      </c>
      <c r="V620" s="121">
        <v>218.2</v>
      </c>
      <c r="W620" s="116">
        <v>0.98</v>
      </c>
      <c r="X620" s="116">
        <v>1.66</v>
      </c>
      <c r="Y620" s="116">
        <f t="shared" si="522"/>
        <v>1.414608695652174</v>
      </c>
      <c r="Z620" s="133">
        <v>1.454</v>
      </c>
      <c r="AA620" s="133">
        <v>0.83599999999999997</v>
      </c>
      <c r="AB620" s="133">
        <v>0.72</v>
      </c>
      <c r="AC620" s="121">
        <v>34.299999999999997</v>
      </c>
      <c r="AD620" s="134">
        <v>1.17</v>
      </c>
      <c r="AE620" s="124">
        <v>177.8</v>
      </c>
      <c r="AF620" s="128">
        <v>9.1999999999999993</v>
      </c>
      <c r="AG620" s="128">
        <v>2164</v>
      </c>
      <c r="AH620" s="127">
        <v>2811</v>
      </c>
      <c r="AI620" s="127">
        <v>2811</v>
      </c>
      <c r="AJ620" s="135">
        <v>44287</v>
      </c>
      <c r="AK620" s="128"/>
      <c r="AL620" s="131"/>
      <c r="AM620" s="124" t="s">
        <v>232</v>
      </c>
      <c r="AN620" s="136" t="s">
        <v>2080</v>
      </c>
      <c r="AO620" s="137">
        <v>64.75</v>
      </c>
      <c r="AP620" s="128">
        <v>2164</v>
      </c>
      <c r="AQ620" s="128">
        <v>347.36</v>
      </c>
      <c r="AR620" s="128"/>
      <c r="AS620" s="128"/>
      <c r="AT620" s="122"/>
      <c r="AU620" s="124" t="s">
        <v>883</v>
      </c>
      <c r="AV620" s="115">
        <f>VLOOKUP(J620,'[63]ТР нефть'!$J$28:$BP$638,39,0)</f>
        <v>300</v>
      </c>
      <c r="AW620" s="115" t="str">
        <f>VLOOKUP(J620,'[63]ТР нефть'!$J$28:$BP$638,40,0)</f>
        <v>ГП</v>
      </c>
      <c r="AX620" s="115" t="str">
        <f>VLOOKUP(J620,'[63]ТР нефть'!$J$28:$BP$638,41,0)</f>
        <v>-</v>
      </c>
      <c r="AY620" s="115" t="str">
        <f>VLOOKUP(J620,'[63]ТР нефть'!$J$28:$BP$638,42,0)</f>
        <v>-</v>
      </c>
      <c r="AZ620" s="115" t="str">
        <f>VLOOKUP(J620,'[63]ТР нефть'!$J$28:$BP$638,43,0)</f>
        <v>-</v>
      </c>
      <c r="BA620" s="115" t="str">
        <f>VLOOKUP(J620,'[63]ТР нефть'!$J$28:$BP$638,44,0)</f>
        <v>-</v>
      </c>
      <c r="BB620" s="115" t="str">
        <f>VLOOKUP(J620,'[63]ТР нефть'!$J$28:$BP$638,45,0)</f>
        <v>-</v>
      </c>
      <c r="BC620" s="115" t="str">
        <f>VLOOKUP(J620,'[63]ТР нефть'!$J$28:$BP$638,46,0)</f>
        <v>-</v>
      </c>
      <c r="BD620" s="115" t="str">
        <f>VLOOKUP(J620,'[63]ТР нефть'!$J$28:$BP$638,47,0)</f>
        <v>-</v>
      </c>
      <c r="BE620" s="115" t="str">
        <f>VLOOKUP(J620,'[63]ТР нефть'!$J$28:$BP$638,48,0)</f>
        <v>-</v>
      </c>
      <c r="BF620" s="115" t="str">
        <f>VLOOKUP(J620,'[63]ТР нефть'!$J$28:$BP$638,49,0)</f>
        <v>-</v>
      </c>
      <c r="BG620" s="115" t="str">
        <f>VLOOKUP(J620,'[63]ТР нефть'!$J$28:$BP$638,50,0)</f>
        <v>-</v>
      </c>
      <c r="BH620" s="115">
        <f>VLOOKUP(J620,'[63]ТР нефть'!$J$28:$BP$638,51,0)</f>
        <v>1780</v>
      </c>
      <c r="BI620" s="115" t="str">
        <f>VLOOKUP(J620,'[63]ТР нефть'!$J$28:$BP$638,52,0)</f>
        <v>закрыт</v>
      </c>
      <c r="BJ620" s="115" t="str">
        <f>IF(IFERROR(VLOOKUP(J620,'[63]ТР нефть'!$J$28:$BP$638,53,0),"-")=0,"-",IFERROR(VLOOKUP(J620,'[63]ТР нефть'!$J$28:$BP$638,53,0),"-"))</f>
        <v>-</v>
      </c>
      <c r="BK620" s="138" t="str">
        <f>IF(IFERROR(VLOOKUP(J620,'[63]ТР нефть'!$J$28:$BP$638,54,0),"-")=0,"-",IFERROR(VLOOKUP(J620,'[63]ТР нефть'!$J$28:$BP$638,54,0),"-"))</f>
        <v>D1050N</v>
      </c>
      <c r="BL620" s="138" t="str">
        <f>IF(IFERROR(VLOOKUP(J620,'[63]ТР нефть'!$J$28:$BP$638,55,0),"-")=0,"-",IFERROR(VLOOKUP(J620,'[63]ТР нефть'!$J$28:$BP$638,55,0),"-"))</f>
        <v>-</v>
      </c>
      <c r="BM620" s="138">
        <f>IF(IFERROR(VLOOKUP(J620,'[63]ТР нефть'!$J$28:$BP$638,56,0),"-")=0,"-",IFERROR(VLOOKUP(J620,'[63]ТР нефть'!$J$28:$BP$638,56,0),"-"))</f>
        <v>1338</v>
      </c>
      <c r="BN620" s="138">
        <f>IF(IFERROR(VLOOKUP(J620,'[63]ТР нефть'!$J$28:$BP$638,57,0),"-")=0,"-",IFERROR(VLOOKUP(J620,'[63]ТР нефть'!$J$28:$BP$638,57,0),"-"))</f>
        <v>46</v>
      </c>
      <c r="BO620" s="115">
        <f>IF(IFERROR(VLOOKUP(J620,'[63]ТР нефть'!$J$28:$BP$638,58,0),"-")=0,"-",IFERROR(VLOOKUP(J620,'[63]ТР нефть'!$J$28:$BP$638,58,0),"-"))</f>
        <v>80</v>
      </c>
      <c r="BP620" s="115" t="str">
        <f>IF(IFERROR(VLOOKUP(J620,'[63]ТР нефть'!$J$28:$BP$638,59,0),"-")=0,"-",IFERROR(VLOOKUP(J620,'[63]ТР нефть'!$J$28:$BP$638,59,0),"-"))</f>
        <v>-</v>
      </c>
      <c r="BQ620" s="138">
        <v>1790</v>
      </c>
      <c r="BR620" s="128">
        <v>1642.8</v>
      </c>
      <c r="BS620" s="115">
        <v>147.20000000000005</v>
      </c>
      <c r="BT620" s="128">
        <v>73</v>
      </c>
      <c r="BU620" s="128">
        <v>5.5</v>
      </c>
      <c r="BV620" s="127">
        <v>18</v>
      </c>
      <c r="BW620" s="127" t="s">
        <v>217</v>
      </c>
      <c r="BX620" s="127" t="s">
        <v>218</v>
      </c>
      <c r="BY620" s="139">
        <v>18</v>
      </c>
      <c r="BZ620" s="139">
        <v>6</v>
      </c>
      <c r="CA620" s="138">
        <v>35</v>
      </c>
      <c r="CB620" s="138">
        <v>33</v>
      </c>
      <c r="CC620" s="138">
        <v>32</v>
      </c>
      <c r="CD620" s="135">
        <v>45017</v>
      </c>
      <c r="CE620" s="138">
        <v>145</v>
      </c>
      <c r="CF620" s="138"/>
      <c r="CG620" s="138" t="str">
        <f>IF(CH620&lt;&gt;"","В работе","")</f>
        <v/>
      </c>
      <c r="CH620" s="138" t="s">
        <v>197</v>
      </c>
      <c r="CI620" s="127"/>
      <c r="CJ620" s="138">
        <f>IF((BR620-(100*(CM620-CB620))/(9.8*(AB620+AA620)/2))&gt;0,BR620-(100*(CM620-CB620))/(9.8*(AB620+AA620)/2),0)</f>
        <v>1393.6000629557736</v>
      </c>
      <c r="CK620" s="138">
        <f t="shared" si="488"/>
        <v>35.034291979999992</v>
      </c>
      <c r="CL620" s="99"/>
      <c r="CM620" s="127">
        <v>52</v>
      </c>
      <c r="CN620" s="154">
        <f>IF(CM620=0,0,(((AP620-AQ620-BR620)*((AD620*(CQ620/100))+(AB620*((100-CQ620)/100)))*9.81/100+CM620)))</f>
        <v>70.034291979999992</v>
      </c>
      <c r="CO620" s="141">
        <f t="shared" si="504"/>
        <v>7.524</v>
      </c>
      <c r="CP620" s="142">
        <v>36</v>
      </c>
      <c r="CQ620" s="143">
        <v>75</v>
      </c>
      <c r="CR620" s="138">
        <v>3.3</v>
      </c>
      <c r="CS620" s="139"/>
      <c r="CT620" s="138"/>
      <c r="CU620" s="138">
        <f t="shared" si="475"/>
        <v>3.3</v>
      </c>
      <c r="CV620" s="115">
        <f t="shared" si="476"/>
        <v>438.59649122807019</v>
      </c>
      <c r="CW620" s="115" t="str">
        <f t="shared" si="505"/>
        <v/>
      </c>
      <c r="CX620" s="133">
        <f t="shared" si="477"/>
        <v>0.48021956906477298</v>
      </c>
      <c r="CY620" s="116"/>
      <c r="CZ620" s="131"/>
      <c r="DA620" s="145" t="str">
        <f t="shared" si="478"/>
        <v>ЭЦН</v>
      </c>
      <c r="DB620" s="146">
        <f t="shared" si="468"/>
        <v>7.524</v>
      </c>
      <c r="DC620" s="142">
        <f t="shared" si="469"/>
        <v>36</v>
      </c>
      <c r="DD620" s="119">
        <f t="shared" si="470"/>
        <v>75</v>
      </c>
      <c r="DE620" s="115">
        <f t="shared" si="471"/>
        <v>3.3</v>
      </c>
      <c r="DF620" s="121">
        <f t="shared" si="472"/>
        <v>0</v>
      </c>
      <c r="DG620" s="115">
        <f t="shared" si="506"/>
        <v>438.59649122807019</v>
      </c>
      <c r="DH620" s="115">
        <f t="shared" si="507"/>
        <v>70.034291979999992</v>
      </c>
      <c r="DI620" s="147"/>
      <c r="DJ620" s="111"/>
      <c r="DK620" s="112">
        <v>44410</v>
      </c>
      <c r="DL620" s="113">
        <f t="shared" ca="1" si="525"/>
        <v>694</v>
      </c>
      <c r="DM620" s="114"/>
      <c r="DN620" s="114"/>
      <c r="DO620" s="114"/>
      <c r="DP620" s="114"/>
      <c r="DQ620" s="112"/>
      <c r="DR620" s="114"/>
      <c r="DS620" s="114"/>
      <c r="DT620" s="115">
        <v>60</v>
      </c>
      <c r="DU620" s="116">
        <f t="shared" si="515"/>
        <v>0.46104342664641118</v>
      </c>
      <c r="DV620" s="117">
        <f t="shared" si="516"/>
        <v>8.1904364743734934</v>
      </c>
      <c r="DW620" s="118">
        <f t="shared" si="517"/>
        <v>39.18869126494495</v>
      </c>
      <c r="DX620" s="119">
        <f t="shared" si="497"/>
        <v>75</v>
      </c>
      <c r="DY620" s="115">
        <f t="shared" si="518"/>
        <v>3.5922966992866199</v>
      </c>
      <c r="DZ620" s="117">
        <f t="shared" si="519"/>
        <v>0.6664364743734934</v>
      </c>
      <c r="EA620" s="120">
        <f t="shared" si="519"/>
        <v>3.1886912649449499</v>
      </c>
      <c r="EB620" s="119">
        <f t="shared" si="519"/>
        <v>0</v>
      </c>
      <c r="EC620" s="121">
        <f t="shared" si="520"/>
        <v>0.29229669928662005</v>
      </c>
      <c r="ED620" s="122"/>
      <c r="EE620" s="145">
        <v>18</v>
      </c>
      <c r="EF620" s="115">
        <v>30</v>
      </c>
      <c r="EG620" s="115">
        <v>29</v>
      </c>
      <c r="EH620" s="115">
        <v>29</v>
      </c>
      <c r="EI620" s="128" t="s">
        <v>218</v>
      </c>
      <c r="EJ620" s="121">
        <v>18</v>
      </c>
      <c r="EK620" s="121">
        <v>6</v>
      </c>
      <c r="EL620" s="149">
        <v>7.1895999999999978</v>
      </c>
      <c r="EM620" s="142">
        <v>40</v>
      </c>
      <c r="EN620" s="119">
        <v>78.5</v>
      </c>
      <c r="EO620" s="115">
        <v>3.6</v>
      </c>
      <c r="EP620" s="115">
        <v>500.72326694113735</v>
      </c>
      <c r="EQ620" s="115">
        <v>0</v>
      </c>
      <c r="ER620" s="115">
        <v>0</v>
      </c>
      <c r="ES620" s="115">
        <v>70.302887817999988</v>
      </c>
      <c r="ET620" s="150">
        <v>0.53549593594113432</v>
      </c>
      <c r="EU620" s="145">
        <f t="shared" si="521"/>
        <v>18</v>
      </c>
      <c r="EV620" s="115">
        <f t="shared" si="508"/>
        <v>35</v>
      </c>
      <c r="EW620" s="115">
        <f t="shared" si="508"/>
        <v>33</v>
      </c>
      <c r="EX620" s="115">
        <f t="shared" si="508"/>
        <v>32</v>
      </c>
      <c r="EY620" s="115" t="str">
        <f t="shared" si="489"/>
        <v>Периодический</v>
      </c>
      <c r="EZ620" s="115">
        <f t="shared" si="489"/>
        <v>18</v>
      </c>
      <c r="FA620" s="115">
        <f t="shared" si="489"/>
        <v>6</v>
      </c>
      <c r="FB620" s="149">
        <f t="shared" si="524"/>
        <v>7.524</v>
      </c>
      <c r="FC620" s="142">
        <f t="shared" si="524"/>
        <v>36</v>
      </c>
      <c r="FD620" s="119">
        <f t="shared" si="524"/>
        <v>75</v>
      </c>
      <c r="FE620" s="121">
        <f t="shared" si="524"/>
        <v>3.3</v>
      </c>
      <c r="FF620" s="121">
        <f t="shared" si="462"/>
        <v>438.59649122807019</v>
      </c>
      <c r="FG620" s="121">
        <f t="shared" si="509"/>
        <v>0</v>
      </c>
      <c r="FH620" s="121">
        <f t="shared" si="491"/>
        <v>0</v>
      </c>
      <c r="FI620" s="121">
        <f t="shared" si="483"/>
        <v>70.034291979999992</v>
      </c>
      <c r="FJ620" s="144">
        <f t="shared" si="510"/>
        <v>0.48021956906477298</v>
      </c>
      <c r="FK620" s="132">
        <f t="shared" si="511"/>
        <v>0</v>
      </c>
      <c r="FL620" s="115">
        <f t="shared" si="511"/>
        <v>5</v>
      </c>
      <c r="FM620" s="115">
        <f t="shared" si="511"/>
        <v>4</v>
      </c>
      <c r="FN620" s="115">
        <f t="shared" si="511"/>
        <v>3</v>
      </c>
      <c r="FO620" s="115">
        <f t="shared" si="492"/>
        <v>0</v>
      </c>
      <c r="FP620" s="115">
        <f t="shared" si="492"/>
        <v>0</v>
      </c>
      <c r="FQ620" s="149">
        <f t="shared" si="492"/>
        <v>0.33440000000000225</v>
      </c>
      <c r="FR620" s="142">
        <f t="shared" si="492"/>
        <v>-4</v>
      </c>
      <c r="FS620" s="119">
        <f t="shared" si="492"/>
        <v>-3.5</v>
      </c>
      <c r="FT620" s="121">
        <f t="shared" si="492"/>
        <v>-0.30000000000000027</v>
      </c>
      <c r="FU620" s="121">
        <f t="shared" si="512"/>
        <v>0</v>
      </c>
      <c r="FV620" s="121">
        <f t="shared" si="512"/>
        <v>0</v>
      </c>
      <c r="FW620" s="121">
        <f t="shared" si="513"/>
        <v>-62.126775713067161</v>
      </c>
      <c r="FX620" s="121">
        <f t="shared" si="514"/>
        <v>-0.26859583799999598</v>
      </c>
      <c r="FY620" s="144">
        <f t="shared" si="502"/>
        <v>-5.5276366876361338E-2</v>
      </c>
      <c r="FZ620" s="145"/>
      <c r="GA620" s="151"/>
      <c r="GB620" s="145" t="s">
        <v>146</v>
      </c>
      <c r="GC620" s="151" t="s">
        <v>1117</v>
      </c>
      <c r="GD620" s="997" t="s">
        <v>220</v>
      </c>
      <c r="GE620" s="1004" t="s">
        <v>146</v>
      </c>
      <c r="GF620" s="1004">
        <v>2.8423999999999978</v>
      </c>
      <c r="GG620" s="1004"/>
      <c r="GH620" s="1004">
        <v>0.90622400000000036</v>
      </c>
      <c r="GI620" s="145"/>
      <c r="GJ620" s="996">
        <v>0.53169599999999972</v>
      </c>
      <c r="GK620" s="145"/>
      <c r="GL620" s="996">
        <v>0</v>
      </c>
      <c r="GM620" s="1005"/>
      <c r="GN620" s="996">
        <v>-0.20063999999999993</v>
      </c>
      <c r="GO620" s="1006"/>
      <c r="GP620" s="996">
        <v>-0.14155152000000015</v>
      </c>
      <c r="GQ620" s="1006"/>
      <c r="GR620" s="996">
        <v>-0.30527375999999995</v>
      </c>
      <c r="GS620" s="1006"/>
      <c r="GT620" s="996">
        <v>-0.15509471999999969</v>
      </c>
      <c r="GU620" s="1006"/>
      <c r="GV620" s="996">
        <v>0.40127999999999986</v>
      </c>
      <c r="GW620" s="1006"/>
      <c r="GX620" s="996">
        <v>0.16051200000000021</v>
      </c>
      <c r="GY620" s="1006" t="s">
        <v>223</v>
      </c>
      <c r="GZ620" s="996">
        <v>-0.85606400000000038</v>
      </c>
      <c r="HA620" s="1006" t="s">
        <v>204</v>
      </c>
      <c r="HB620" s="996">
        <v>-8.9829203200000016</v>
      </c>
      <c r="HC620" s="1006" t="s">
        <v>886</v>
      </c>
      <c r="HD620" s="996">
        <v>12.448040000000001</v>
      </c>
      <c r="HE620" s="1006"/>
      <c r="HF620" s="996">
        <v>0.22822800000000054</v>
      </c>
      <c r="HG620" s="1006" t="s">
        <v>223</v>
      </c>
      <c r="HH620" s="996">
        <v>-3.3966680000000009</v>
      </c>
      <c r="HI620" s="1006" t="s">
        <v>221</v>
      </c>
      <c r="HJ620" s="996">
        <v>-3.6365999999999961</v>
      </c>
      <c r="HK620" s="1006" t="s">
        <v>197</v>
      </c>
      <c r="HL620" s="996">
        <v>0</v>
      </c>
      <c r="HM620" s="1006"/>
      <c r="HN620" s="996">
        <v>0</v>
      </c>
      <c r="HO620" s="1006"/>
      <c r="HP620" s="996">
        <v>0</v>
      </c>
      <c r="HQ620" s="1006" t="s">
        <v>886</v>
      </c>
      <c r="HR620" s="996">
        <v>10.424919999999995</v>
      </c>
      <c r="HS620" s="1006" t="s">
        <v>886</v>
      </c>
      <c r="HT620" s="996">
        <v>-22.11690067752</v>
      </c>
      <c r="HU620" s="1006" t="s">
        <v>25</v>
      </c>
      <c r="HV620" s="996">
        <v>23.60498067752</v>
      </c>
      <c r="HW620" s="1006"/>
      <c r="HX620" s="996">
        <v>0</v>
      </c>
      <c r="HY620" s="1006"/>
      <c r="HZ620" s="996">
        <v>0</v>
      </c>
      <c r="IA620" s="1006"/>
      <c r="IB620" s="996">
        <v>0</v>
      </c>
      <c r="IC620" s="1006"/>
      <c r="ID620" s="996"/>
      <c r="IE620" s="1006"/>
      <c r="IF620" s="996"/>
      <c r="IG620" s="1006"/>
      <c r="IH620" s="996"/>
      <c r="II620" s="1006"/>
      <c r="IJ620" s="996"/>
      <c r="IK620" s="1006"/>
      <c r="IL620" s="996"/>
      <c r="IM620" s="1006"/>
      <c r="IN620" s="996"/>
      <c r="IO620" s="1006"/>
      <c r="IP620" s="996"/>
      <c r="IQ620" s="1006"/>
      <c r="IR620" s="996"/>
      <c r="IS620" s="1006"/>
      <c r="IT620" s="996"/>
      <c r="IU620" s="1006"/>
      <c r="IV620" s="996"/>
      <c r="IW620" s="1006"/>
      <c r="IX620" s="996"/>
      <c r="IY620" s="1006"/>
      <c r="IZ620" s="996"/>
      <c r="JA620" s="1006"/>
      <c r="JB620" s="996"/>
      <c r="JC620" s="1006"/>
      <c r="JD620" s="996"/>
      <c r="JE620" s="1006"/>
      <c r="JF620" s="996"/>
      <c r="JG620" s="1006"/>
      <c r="JH620" s="996"/>
      <c r="JI620" s="1006"/>
      <c r="JJ620" s="996"/>
      <c r="JK620" s="1007"/>
      <c r="JL620" s="1007"/>
      <c r="JM620" s="1007"/>
      <c r="JN620" s="1007"/>
      <c r="JO620" s="1067"/>
      <c r="JP620" s="1007"/>
      <c r="JQ620" s="1008"/>
      <c r="JR620" s="1007"/>
      <c r="JS620" s="1008"/>
      <c r="JT620" s="1007"/>
      <c r="JU620" s="1008"/>
      <c r="JV620" s="1007"/>
      <c r="JW620" s="1008"/>
      <c r="JX620" s="1007"/>
      <c r="JY620" s="1008"/>
      <c r="JZ620" s="1007"/>
      <c r="KA620" s="1008"/>
      <c r="KB620" s="1007"/>
      <c r="KC620" s="1008"/>
      <c r="KD620" s="1007"/>
      <c r="KE620" s="1008"/>
      <c r="KF620" s="1007"/>
      <c r="KG620" s="1008"/>
      <c r="KH620" s="1007"/>
      <c r="KI620" s="1008"/>
      <c r="KJ620" s="1007"/>
      <c r="KK620" s="1008"/>
      <c r="KL620" s="1007"/>
      <c r="KM620" s="1008"/>
      <c r="KN620" s="1007"/>
      <c r="KO620" s="1008"/>
      <c r="KP620" s="1007"/>
      <c r="KQ620" s="1008"/>
      <c r="KR620" s="1007"/>
      <c r="KS620" s="1008"/>
      <c r="KT620" s="1007"/>
      <c r="KU620" s="1008"/>
      <c r="KV620" s="1007"/>
      <c r="KW620" s="1008"/>
      <c r="KX620" s="1007"/>
      <c r="KY620" s="1008"/>
      <c r="KZ620" s="1007"/>
      <c r="LA620" s="1008"/>
      <c r="LB620" s="1007"/>
      <c r="LC620" s="1008"/>
      <c r="LD620" s="1007"/>
      <c r="LE620" s="1008"/>
      <c r="LF620" s="1007"/>
      <c r="LG620" s="1008"/>
      <c r="LH620" s="1007"/>
      <c r="LI620" s="1008"/>
      <c r="LJ620" s="1007"/>
      <c r="LK620" s="1008"/>
      <c r="LL620" s="1007"/>
      <c r="LM620" s="1008"/>
      <c r="LN620" s="1007"/>
      <c r="LO620" s="1008"/>
      <c r="LP620" s="1007"/>
      <c r="LQ620" s="1008"/>
      <c r="LR620" s="1007"/>
      <c r="LS620" s="1008"/>
      <c r="LT620" s="1007"/>
      <c r="LU620" s="1008"/>
      <c r="LV620" s="1007"/>
      <c r="LW620" s="1008"/>
      <c r="LX620" s="1007"/>
      <c r="LY620" s="1009"/>
      <c r="LZ620" s="1010"/>
      <c r="MA620" s="1011"/>
      <c r="MB620" s="1012"/>
      <c r="MC620" s="995"/>
      <c r="MD620" s="996"/>
      <c r="ME620" s="997" t="s">
        <v>220</v>
      </c>
      <c r="MF620" s="997"/>
      <c r="MG620" s="998"/>
      <c r="NR620" s="1000"/>
      <c r="NS620" s="1000"/>
      <c r="NT620" s="1001"/>
      <c r="NU620" s="1000"/>
      <c r="NV620" s="1001"/>
      <c r="NX620" s="1002"/>
      <c r="NZ620" s="1001"/>
      <c r="OA620" s="1001"/>
      <c r="OC620" s="1003"/>
      <c r="OD620" s="1003"/>
      <c r="OE620" s="1001"/>
      <c r="OF620" s="1003"/>
      <c r="OG620" s="1003"/>
      <c r="OH620" s="1003"/>
      <c r="OI620" s="1016"/>
      <c r="QX620" s="1000">
        <f>CN620-CA620</f>
        <v>35.034291979999992</v>
      </c>
      <c r="ASU620" s="999" t="s">
        <v>225</v>
      </c>
    </row>
    <row r="621" spans="1:466 1191:1191" ht="21" customHeight="1" x14ac:dyDescent="0.25">
      <c r="A621" s="982">
        <f t="shared" si="503"/>
        <v>5913</v>
      </c>
      <c r="B621" s="124">
        <f>SUBTOTAL(103,$J$29:J621)</f>
        <v>593</v>
      </c>
      <c r="C621" s="126">
        <v>45068</v>
      </c>
      <c r="D621" s="124" t="s">
        <v>176</v>
      </c>
      <c r="E621" s="127" t="s">
        <v>177</v>
      </c>
      <c r="F621" s="128" t="s">
        <v>177</v>
      </c>
      <c r="G621" s="127" t="s">
        <v>178</v>
      </c>
      <c r="H621" s="127" t="s">
        <v>179</v>
      </c>
      <c r="I621" s="127" t="s">
        <v>2081</v>
      </c>
      <c r="J621" s="152">
        <v>5913</v>
      </c>
      <c r="K621" s="127" t="s">
        <v>2081</v>
      </c>
      <c r="L621" s="130">
        <v>44471</v>
      </c>
      <c r="M621" s="127" t="s">
        <v>230</v>
      </c>
      <c r="N621" s="127" t="s">
        <v>184</v>
      </c>
      <c r="O621" s="127" t="s">
        <v>185</v>
      </c>
      <c r="P621" s="127" t="s">
        <v>186</v>
      </c>
      <c r="Q621" s="85" t="str">
        <f t="shared" si="523"/>
        <v/>
      </c>
      <c r="R621" s="130"/>
      <c r="S621" s="128"/>
      <c r="T621" s="131"/>
      <c r="U621" s="132">
        <v>203</v>
      </c>
      <c r="V621" s="121">
        <v>218.2</v>
      </c>
      <c r="W621" s="116">
        <v>0.98</v>
      </c>
      <c r="X621" s="116">
        <v>1.66</v>
      </c>
      <c r="Y621" s="116">
        <f t="shared" si="522"/>
        <v>0.98</v>
      </c>
      <c r="Z621" s="133">
        <v>1.454</v>
      </c>
      <c r="AA621" s="133">
        <v>0.83599999999999997</v>
      </c>
      <c r="AB621" s="133">
        <v>0.72</v>
      </c>
      <c r="AC621" s="121">
        <v>34.299999999999997</v>
      </c>
      <c r="AD621" s="134">
        <v>1.17</v>
      </c>
      <c r="AE621" s="124">
        <v>177.8</v>
      </c>
      <c r="AF621" s="128">
        <v>9.1999999999999993</v>
      </c>
      <c r="AG621" s="128">
        <v>2054</v>
      </c>
      <c r="AH621" s="127">
        <v>3223</v>
      </c>
      <c r="AI621" s="127">
        <v>3223</v>
      </c>
      <c r="AJ621" s="135">
        <v>44451</v>
      </c>
      <c r="AK621" s="128" t="s">
        <v>1018</v>
      </c>
      <c r="AL621" s="131"/>
      <c r="AM621" s="124" t="s">
        <v>232</v>
      </c>
      <c r="AN621" s="136" t="s">
        <v>2082</v>
      </c>
      <c r="AO621" s="137">
        <v>75.3</v>
      </c>
      <c r="AP621" s="128">
        <v>2054</v>
      </c>
      <c r="AQ621" s="128">
        <v>263.86</v>
      </c>
      <c r="AR621" s="128"/>
      <c r="AS621" s="128"/>
      <c r="AT621" s="122"/>
      <c r="AU621" s="124" t="s">
        <v>189</v>
      </c>
      <c r="AV621" s="115">
        <f>VLOOKUP(J621,'[63]ТР нефть'!$J$28:$BP$638,39,0)</f>
        <v>490.00000722700003</v>
      </c>
      <c r="AW621" s="115" t="str">
        <f>VLOOKUP(J621,'[63]ТР нефть'!$J$28:$BP$638,40,0)</f>
        <v>ГП</v>
      </c>
      <c r="AX621" s="115">
        <f>VLOOKUP(J621,'[63]ТР нефть'!$J$28:$BP$638,41,0)</f>
        <v>849.99998671900005</v>
      </c>
      <c r="AY621" s="115" t="str">
        <f>VLOOKUP(J621,'[63]ТР нефть'!$J$28:$BP$638,42,0)</f>
        <v>ГП</v>
      </c>
      <c r="AZ621" s="115">
        <f>VLOOKUP(J621,'[63]ТР нефть'!$J$28:$BP$638,43,0)</f>
        <v>1200</v>
      </c>
      <c r="BA621" s="115" t="str">
        <f>VLOOKUP(J621,'[63]ТР нефть'!$J$28:$BP$638,44,0)</f>
        <v>ГК79 1/8</v>
      </c>
      <c r="BB621" s="115">
        <f>VLOOKUP(J621,'[63]ТР нефть'!$J$28:$BP$638,45,0)</f>
        <v>1430.000007422</v>
      </c>
      <c r="BC621" s="115" t="str">
        <f>VLOOKUP(J621,'[63]ТР нефть'!$J$28:$BP$638,46,0)</f>
        <v>ГК77 1/8</v>
      </c>
      <c r="BD621" s="115">
        <f>VLOOKUP(J621,'[63]ТР нефть'!$J$28:$BP$638,47,0)</f>
        <v>1669.999944141</v>
      </c>
      <c r="BE621" s="115" t="str">
        <f>VLOOKUP(J621,'[63]ТР нефть'!$J$28:$BP$638,48,0)</f>
        <v>ГП</v>
      </c>
      <c r="BF621" s="115">
        <f>VLOOKUP(J621,'[63]ТР нефть'!$J$28:$BP$638,49,0)</f>
        <v>1950</v>
      </c>
      <c r="BG621" s="115" t="str">
        <f>VLOOKUP(J621,'[63]ТР нефть'!$J$28:$BP$638,50,0)</f>
        <v>ЦКсОК 5/16</v>
      </c>
      <c r="BH621" s="115" t="str">
        <f>VLOOKUP(J621,'[63]ТР нефть'!$J$28:$BP$638,51,0)</f>
        <v>-</v>
      </c>
      <c r="BI621" s="115" t="str">
        <f>VLOOKUP(J621,'[63]ТР нефть'!$J$28:$BP$638,52,0)</f>
        <v>-</v>
      </c>
      <c r="BJ621" s="115" t="str">
        <f>IF(IFERROR(VLOOKUP(J621,'[63]ТР нефть'!$J$28:$BP$638,53,0),"-")=0,"-",IFERROR(VLOOKUP(J621,'[63]ТР нефть'!$J$28:$BP$638,53,0),"-"))</f>
        <v>-</v>
      </c>
      <c r="BK621" s="138" t="str">
        <f>IF(IFERROR(VLOOKUP(J621,'[63]ТР нефть'!$J$28:$BP$638,54,0),"-")=0,"-",IFERROR(VLOOKUP(J621,'[63]ТР нефть'!$J$28:$BP$638,54,0),"-"))</f>
        <v>-</v>
      </c>
      <c r="BL621" s="138" t="str">
        <f>IF(IFERROR(VLOOKUP(J621,'[63]ТР нефть'!$J$28:$BP$638,55,0),"-")=0,"-",IFERROR(VLOOKUP(J621,'[63]ТР нефть'!$J$28:$BP$638,55,0),"-"))</f>
        <v>-</v>
      </c>
      <c r="BM621" s="138" t="str">
        <f>IF(IFERROR(VLOOKUP(J621,'[63]ТР нефть'!$J$28:$BP$638,56,0),"-")=0,"-",IFERROR(VLOOKUP(J621,'[63]ТР нефть'!$J$28:$BP$638,56,0),"-"))</f>
        <v>-</v>
      </c>
      <c r="BN621" s="138" t="str">
        <f>IF(IFERROR(VLOOKUP(J621,'[63]ТР нефть'!$J$28:$BP$638,57,0),"-")=0,"-",IFERROR(VLOOKUP(J621,'[63]ТР нефть'!$J$28:$BP$638,57,0),"-"))</f>
        <v>-</v>
      </c>
      <c r="BO621" s="115" t="str">
        <f>IF(IFERROR(VLOOKUP(J621,'[63]ТР нефть'!$J$28:$BP$638,58,0),"-")=0,"-",IFERROR(VLOOKUP(J621,'[63]ТР нефть'!$J$28:$BP$638,58,0),"-"))</f>
        <v>-</v>
      </c>
      <c r="BP621" s="115" t="str">
        <f>IF(IFERROR(VLOOKUP(J621,'[63]ТР нефть'!$J$28:$BP$638,59,0),"-")=0,"-",IFERROR(VLOOKUP(J621,'[63]ТР нефть'!$J$28:$BP$638,59,0),"-"))</f>
        <v>-</v>
      </c>
      <c r="BQ621" s="138">
        <v>2111</v>
      </c>
      <c r="BR621" s="128">
        <v>1817.4512500000001</v>
      </c>
      <c r="BS621" s="115">
        <v>293.54874999999993</v>
      </c>
      <c r="BT621" s="128">
        <v>73</v>
      </c>
      <c r="BU621" s="128">
        <v>5.5</v>
      </c>
      <c r="BV621" s="127">
        <v>18</v>
      </c>
      <c r="BW621" s="127" t="s">
        <v>217</v>
      </c>
      <c r="BX621" s="127" t="s">
        <v>195</v>
      </c>
      <c r="BY621" s="139">
        <v>24</v>
      </c>
      <c r="BZ621" s="139">
        <v>0</v>
      </c>
      <c r="CA621" s="138">
        <v>34</v>
      </c>
      <c r="CB621" s="138">
        <v>56</v>
      </c>
      <c r="CC621" s="138">
        <v>33</v>
      </c>
      <c r="CD621" s="135">
        <v>45017</v>
      </c>
      <c r="CE621" s="138">
        <v>103</v>
      </c>
      <c r="CF621" s="138">
        <v>69</v>
      </c>
      <c r="CG621" s="138" t="str">
        <f>IF(CH621&lt;&gt;"","В работе","")</f>
        <v/>
      </c>
      <c r="CH621" s="138" t="s">
        <v>197</v>
      </c>
      <c r="CI621" s="127">
        <v>3</v>
      </c>
      <c r="CJ621" s="138"/>
      <c r="CK621" s="138">
        <f t="shared" si="488"/>
        <v>21</v>
      </c>
      <c r="CL621" s="99"/>
      <c r="CM621" s="99"/>
      <c r="CN621" s="140">
        <v>55</v>
      </c>
      <c r="CO621" s="141">
        <f t="shared" si="504"/>
        <v>16.72</v>
      </c>
      <c r="CP621" s="142">
        <v>20</v>
      </c>
      <c r="CQ621" s="143">
        <v>0</v>
      </c>
      <c r="CR621" s="138">
        <v>18</v>
      </c>
      <c r="CS621" s="139">
        <v>10</v>
      </c>
      <c r="CT621" s="138"/>
      <c r="CU621" s="138">
        <f t="shared" si="475"/>
        <v>8</v>
      </c>
      <c r="CV621" s="115">
        <f t="shared" si="476"/>
        <v>478.46889952153111</v>
      </c>
      <c r="CW621" s="115">
        <f t="shared" si="505"/>
        <v>598.08612440191393</v>
      </c>
      <c r="CX621" s="133">
        <f t="shared" si="477"/>
        <v>0.41666666666666669</v>
      </c>
      <c r="CY621" s="116"/>
      <c r="CZ621" s="131"/>
      <c r="DA621" s="145" t="str">
        <f t="shared" si="478"/>
        <v>Газлифт</v>
      </c>
      <c r="DB621" s="146">
        <f t="shared" si="468"/>
        <v>16.72</v>
      </c>
      <c r="DC621" s="142">
        <f t="shared" si="469"/>
        <v>20</v>
      </c>
      <c r="DD621" s="119">
        <f t="shared" si="470"/>
        <v>0</v>
      </c>
      <c r="DE621" s="115">
        <f t="shared" si="471"/>
        <v>8</v>
      </c>
      <c r="DF621" s="121">
        <f t="shared" si="472"/>
        <v>10</v>
      </c>
      <c r="DG621" s="115">
        <f t="shared" si="506"/>
        <v>478.46889952153111</v>
      </c>
      <c r="DH621" s="115">
        <f t="shared" si="507"/>
        <v>55</v>
      </c>
      <c r="DI621" s="147"/>
      <c r="DJ621" s="111"/>
      <c r="DK621" s="112">
        <v>44471</v>
      </c>
      <c r="DL621" s="113">
        <f t="shared" ca="1" si="525"/>
        <v>633</v>
      </c>
      <c r="DM621" s="114"/>
      <c r="DN621" s="114"/>
      <c r="DO621" s="114"/>
      <c r="DP621" s="114"/>
      <c r="DQ621" s="112">
        <v>44471</v>
      </c>
      <c r="DR621" s="114" t="s">
        <v>324</v>
      </c>
      <c r="DS621" s="114"/>
      <c r="DT621" s="115">
        <v>60</v>
      </c>
      <c r="DU621" s="116">
        <f t="shared" si="515"/>
        <v>0.46511627906976744</v>
      </c>
      <c r="DV621" s="117">
        <f t="shared" si="516"/>
        <v>16.72</v>
      </c>
      <c r="DW621" s="118">
        <f t="shared" si="517"/>
        <v>20</v>
      </c>
      <c r="DX621" s="119">
        <f t="shared" si="497"/>
        <v>0</v>
      </c>
      <c r="DY621" s="115">
        <f t="shared" si="518"/>
        <v>8</v>
      </c>
      <c r="DZ621" s="117">
        <f t="shared" si="519"/>
        <v>0</v>
      </c>
      <c r="EA621" s="120">
        <f t="shared" si="519"/>
        <v>0</v>
      </c>
      <c r="EB621" s="119">
        <f t="shared" si="519"/>
        <v>0</v>
      </c>
      <c r="EC621" s="121">
        <f t="shared" si="520"/>
        <v>0</v>
      </c>
      <c r="ED621" s="122"/>
      <c r="EE621" s="145">
        <v>18</v>
      </c>
      <c r="EF621" s="115">
        <v>32</v>
      </c>
      <c r="EG621" s="115">
        <v>56</v>
      </c>
      <c r="EH621" s="115">
        <v>31</v>
      </c>
      <c r="EI621" s="128" t="s">
        <v>195</v>
      </c>
      <c r="EJ621" s="121">
        <v>24</v>
      </c>
      <c r="EK621" s="121">
        <v>0</v>
      </c>
      <c r="EL621" s="149">
        <v>18.224799999999998</v>
      </c>
      <c r="EM621" s="142">
        <v>21.8</v>
      </c>
      <c r="EN621" s="119">
        <v>0</v>
      </c>
      <c r="EO621" s="115">
        <v>19</v>
      </c>
      <c r="EP621" s="115">
        <v>493.83257978139682</v>
      </c>
      <c r="EQ621" s="115">
        <v>66</v>
      </c>
      <c r="ER621" s="115">
        <v>10</v>
      </c>
      <c r="ES621" s="115">
        <v>57</v>
      </c>
      <c r="ET621" s="150">
        <v>0.47391304347826091</v>
      </c>
      <c r="EU621" s="145">
        <f t="shared" si="521"/>
        <v>18</v>
      </c>
      <c r="EV621" s="115">
        <f t="shared" si="508"/>
        <v>34</v>
      </c>
      <c r="EW621" s="115">
        <f t="shared" si="508"/>
        <v>56</v>
      </c>
      <c r="EX621" s="115">
        <f t="shared" si="508"/>
        <v>33</v>
      </c>
      <c r="EY621" s="115" t="str">
        <f t="shared" si="489"/>
        <v>Постоянный</v>
      </c>
      <c r="EZ621" s="115">
        <f t="shared" si="489"/>
        <v>24</v>
      </c>
      <c r="FA621" s="115">
        <f t="shared" si="489"/>
        <v>0</v>
      </c>
      <c r="FB621" s="149">
        <f t="shared" si="524"/>
        <v>16.72</v>
      </c>
      <c r="FC621" s="142">
        <f t="shared" si="524"/>
        <v>20</v>
      </c>
      <c r="FD621" s="119">
        <f t="shared" si="524"/>
        <v>0</v>
      </c>
      <c r="FE621" s="121">
        <f t="shared" si="524"/>
        <v>18</v>
      </c>
      <c r="FF621" s="121">
        <f t="shared" si="462"/>
        <v>478.46889952153111</v>
      </c>
      <c r="FG621" s="121">
        <f t="shared" si="509"/>
        <v>69</v>
      </c>
      <c r="FH621" s="121">
        <f t="shared" si="491"/>
        <v>10</v>
      </c>
      <c r="FI621" s="121">
        <f t="shared" si="483"/>
        <v>55</v>
      </c>
      <c r="FJ621" s="144">
        <f t="shared" si="510"/>
        <v>0.41666666666666669</v>
      </c>
      <c r="FK621" s="132">
        <f t="shared" si="511"/>
        <v>0</v>
      </c>
      <c r="FL621" s="115">
        <f t="shared" si="511"/>
        <v>2</v>
      </c>
      <c r="FM621" s="115">
        <f t="shared" si="511"/>
        <v>0</v>
      </c>
      <c r="FN621" s="115">
        <f t="shared" si="511"/>
        <v>2</v>
      </c>
      <c r="FO621" s="115">
        <f t="shared" si="492"/>
        <v>0</v>
      </c>
      <c r="FP621" s="115">
        <f t="shared" si="492"/>
        <v>0</v>
      </c>
      <c r="FQ621" s="149">
        <f t="shared" si="492"/>
        <v>-1.5047999999999995</v>
      </c>
      <c r="FR621" s="142">
        <f t="shared" si="492"/>
        <v>-1.8000000000000007</v>
      </c>
      <c r="FS621" s="119">
        <f t="shared" si="492"/>
        <v>0</v>
      </c>
      <c r="FT621" s="121">
        <f t="shared" si="492"/>
        <v>-1</v>
      </c>
      <c r="FU621" s="121">
        <f t="shared" si="512"/>
        <v>3</v>
      </c>
      <c r="FV621" s="121">
        <f t="shared" si="512"/>
        <v>0</v>
      </c>
      <c r="FW621" s="121">
        <f t="shared" si="513"/>
        <v>-15.363680259865703</v>
      </c>
      <c r="FX621" s="121">
        <f t="shared" si="514"/>
        <v>-2</v>
      </c>
      <c r="FY621" s="144">
        <f t="shared" si="502"/>
        <v>-5.7246376811594224E-2</v>
      </c>
      <c r="FZ621" s="145" t="s">
        <v>240</v>
      </c>
      <c r="GA621" s="151" t="s">
        <v>361</v>
      </c>
      <c r="GB621" s="145"/>
      <c r="GC621" s="151"/>
      <c r="GD621" s="997" t="s">
        <v>220</v>
      </c>
      <c r="GE621" s="1004"/>
      <c r="GF621" s="1004">
        <v>0.6687999999999974</v>
      </c>
      <c r="GG621" s="1004"/>
      <c r="GH621" s="1004">
        <v>0</v>
      </c>
      <c r="GI621" s="145"/>
      <c r="GJ621" s="996">
        <v>0</v>
      </c>
      <c r="GK621" s="145"/>
      <c r="GL621" s="996">
        <v>0</v>
      </c>
      <c r="GM621" s="1005"/>
      <c r="GN621" s="996">
        <v>0</v>
      </c>
      <c r="GO621" s="1006"/>
      <c r="GP621" s="996">
        <v>0</v>
      </c>
      <c r="GQ621" s="1006"/>
      <c r="GR621" s="996">
        <v>0</v>
      </c>
      <c r="GS621" s="1006" t="s">
        <v>204</v>
      </c>
      <c r="GT621" s="996">
        <v>4.5980000000000008</v>
      </c>
      <c r="GU621" s="1006"/>
      <c r="GV621" s="996">
        <v>0</v>
      </c>
      <c r="GW621" s="1006"/>
      <c r="GX621" s="996">
        <v>0</v>
      </c>
      <c r="GY621" s="1006" t="s">
        <v>199</v>
      </c>
      <c r="GZ621" s="996">
        <v>-3.4276</v>
      </c>
      <c r="HA621" s="1006"/>
      <c r="HB621" s="996">
        <v>0</v>
      </c>
      <c r="HC621" s="1006" t="s">
        <v>204</v>
      </c>
      <c r="HD621" s="996">
        <v>-12.431988799999996</v>
      </c>
      <c r="HE621" s="1006"/>
      <c r="HF621" s="996">
        <v>0</v>
      </c>
      <c r="HG621" s="1006"/>
      <c r="HH621" s="996">
        <v>0</v>
      </c>
      <c r="HI621" s="1006" t="s">
        <v>223</v>
      </c>
      <c r="HJ621" s="996">
        <v>-2.1144112000000028</v>
      </c>
      <c r="HK621" s="1006"/>
      <c r="HL621" s="996">
        <v>0</v>
      </c>
      <c r="HM621" s="1006" t="s">
        <v>203</v>
      </c>
      <c r="HN621" s="996">
        <v>-7.5407200000000039</v>
      </c>
      <c r="HO621" s="1006" t="s">
        <v>221</v>
      </c>
      <c r="HP621" s="996">
        <v>11.610334560000005</v>
      </c>
      <c r="HQ621" s="1006" t="s">
        <v>25</v>
      </c>
      <c r="HR621" s="996">
        <v>26.862385439999997</v>
      </c>
      <c r="HS621" s="1006"/>
      <c r="HT621" s="996"/>
      <c r="HU621" s="1006"/>
      <c r="HV621" s="996"/>
      <c r="HW621" s="1006"/>
      <c r="HX621" s="996"/>
      <c r="HY621" s="1006"/>
      <c r="HZ621" s="996"/>
      <c r="IA621" s="1006"/>
      <c r="IB621" s="996"/>
      <c r="IC621" s="1006"/>
      <c r="ID621" s="996"/>
      <c r="IE621" s="1006"/>
      <c r="IF621" s="996"/>
      <c r="IG621" s="1006"/>
      <c r="IH621" s="996"/>
      <c r="II621" s="1006"/>
      <c r="IJ621" s="996"/>
      <c r="IK621" s="1006"/>
      <c r="IL621" s="996"/>
      <c r="IM621" s="1006"/>
      <c r="IN621" s="996"/>
      <c r="IO621" s="1006"/>
      <c r="IP621" s="996"/>
      <c r="IQ621" s="1006"/>
      <c r="IR621" s="996"/>
      <c r="IS621" s="1006"/>
      <c r="IT621" s="996"/>
      <c r="IU621" s="1006"/>
      <c r="IV621" s="996"/>
      <c r="IW621" s="1006"/>
      <c r="IX621" s="996"/>
      <c r="IY621" s="1006"/>
      <c r="IZ621" s="996"/>
      <c r="JA621" s="1006"/>
      <c r="JB621" s="996"/>
      <c r="JC621" s="1006"/>
      <c r="JD621" s="996"/>
      <c r="JE621" s="1006"/>
      <c r="JF621" s="996"/>
      <c r="JG621" s="1006"/>
      <c r="JH621" s="996"/>
      <c r="JI621" s="1006"/>
      <c r="JJ621" s="996"/>
      <c r="JK621" s="1007"/>
      <c r="JL621" s="1007"/>
      <c r="JM621" s="1007"/>
      <c r="JN621" s="1007"/>
      <c r="JO621" s="1067"/>
      <c r="JP621" s="1007"/>
      <c r="JQ621" s="1008"/>
      <c r="JR621" s="1007"/>
      <c r="JS621" s="1008"/>
      <c r="JT621" s="1007"/>
      <c r="JU621" s="1008"/>
      <c r="JV621" s="1007"/>
      <c r="JW621" s="1008"/>
      <c r="JX621" s="1007"/>
      <c r="JY621" s="1008"/>
      <c r="JZ621" s="1007"/>
      <c r="KA621" s="1008"/>
      <c r="KB621" s="1007"/>
      <c r="KC621" s="1008"/>
      <c r="KD621" s="1007"/>
      <c r="KE621" s="1008"/>
      <c r="KF621" s="1007"/>
      <c r="KG621" s="1008"/>
      <c r="KH621" s="1007"/>
      <c r="KI621" s="1008"/>
      <c r="KJ621" s="1007"/>
      <c r="KK621" s="1008"/>
      <c r="KL621" s="1007"/>
      <c r="KM621" s="1008"/>
      <c r="KN621" s="1007"/>
      <c r="KO621" s="1008"/>
      <c r="KP621" s="1007"/>
      <c r="KQ621" s="1008"/>
      <c r="KR621" s="1007"/>
      <c r="KS621" s="1008"/>
      <c r="KT621" s="1007"/>
      <c r="KU621" s="1008"/>
      <c r="KV621" s="1007"/>
      <c r="KW621" s="1008"/>
      <c r="KX621" s="1007"/>
      <c r="KY621" s="1008"/>
      <c r="KZ621" s="1007"/>
      <c r="LA621" s="1008"/>
      <c r="LB621" s="1007"/>
      <c r="LC621" s="1008"/>
      <c r="LD621" s="1007"/>
      <c r="LE621" s="1008"/>
      <c r="LF621" s="1007"/>
      <c r="LG621" s="1008"/>
      <c r="LH621" s="1007"/>
      <c r="LI621" s="1008"/>
      <c r="LJ621" s="1007"/>
      <c r="LK621" s="1008"/>
      <c r="LL621" s="1007"/>
      <c r="LM621" s="1008"/>
      <c r="LN621" s="1007"/>
      <c r="LO621" s="1008"/>
      <c r="LP621" s="1007"/>
      <c r="LQ621" s="1008"/>
      <c r="LR621" s="1007"/>
      <c r="LS621" s="1008"/>
      <c r="LT621" s="1007"/>
      <c r="LU621" s="1008"/>
      <c r="LV621" s="1007"/>
      <c r="LW621" s="1008"/>
      <c r="LX621" s="1007"/>
      <c r="LY621" s="1009"/>
      <c r="LZ621" s="1010"/>
      <c r="MA621" s="1011"/>
      <c r="MB621" s="1012"/>
      <c r="MC621" s="995"/>
      <c r="MD621" s="996"/>
      <c r="ME621" s="997" t="s">
        <v>220</v>
      </c>
      <c r="MF621" s="997"/>
      <c r="MG621" s="998"/>
      <c r="NR621" s="1000"/>
      <c r="NS621" s="1000"/>
      <c r="NT621" s="1001"/>
      <c r="NU621" s="1000"/>
      <c r="NV621" s="1001"/>
      <c r="NX621" s="1002"/>
      <c r="NZ621" s="1001"/>
      <c r="OA621" s="1001"/>
      <c r="OC621" s="1003"/>
      <c r="OD621" s="1003"/>
      <c r="OE621" s="1001"/>
      <c r="OF621" s="1003"/>
      <c r="OG621" s="1003"/>
      <c r="QX621" s="1000">
        <f>CN621-CA621</f>
        <v>21</v>
      </c>
      <c r="ASU621" s="999" t="s">
        <v>208</v>
      </c>
    </row>
    <row r="622" spans="1:466 1191:1191" ht="21" customHeight="1" x14ac:dyDescent="0.25">
      <c r="A622" s="982">
        <f t="shared" si="503"/>
        <v>5914</v>
      </c>
      <c r="B622" s="124">
        <f>SUBTOTAL(103,$J$29:J622)</f>
        <v>594</v>
      </c>
      <c r="C622" s="126">
        <v>45068</v>
      </c>
      <c r="D622" s="124" t="s">
        <v>176</v>
      </c>
      <c r="E622" s="127" t="s">
        <v>177</v>
      </c>
      <c r="F622" s="128" t="s">
        <v>177</v>
      </c>
      <c r="G622" s="127" t="s">
        <v>178</v>
      </c>
      <c r="H622" s="127" t="s">
        <v>179</v>
      </c>
      <c r="I622" s="127" t="s">
        <v>2081</v>
      </c>
      <c r="J622" s="152">
        <v>5914</v>
      </c>
      <c r="K622" s="127" t="s">
        <v>2081</v>
      </c>
      <c r="L622" s="130">
        <v>44428</v>
      </c>
      <c r="M622" s="127" t="s">
        <v>230</v>
      </c>
      <c r="N622" s="127" t="s">
        <v>184</v>
      </c>
      <c r="O622" s="127" t="s">
        <v>185</v>
      </c>
      <c r="P622" s="127" t="s">
        <v>186</v>
      </c>
      <c r="Q622" s="85" t="str">
        <f t="shared" si="523"/>
        <v/>
      </c>
      <c r="R622" s="130"/>
      <c r="S622" s="128"/>
      <c r="T622" s="131"/>
      <c r="U622" s="132">
        <v>203</v>
      </c>
      <c r="V622" s="121">
        <v>218.2</v>
      </c>
      <c r="W622" s="116">
        <v>0.98</v>
      </c>
      <c r="X622" s="116">
        <v>1.66</v>
      </c>
      <c r="Y622" s="116">
        <f t="shared" si="522"/>
        <v>1.0089307864053585</v>
      </c>
      <c r="Z622" s="133">
        <v>1.454</v>
      </c>
      <c r="AA622" s="133">
        <v>0.83599999999999997</v>
      </c>
      <c r="AB622" s="133">
        <v>0.72</v>
      </c>
      <c r="AC622" s="121">
        <v>34.299999999999997</v>
      </c>
      <c r="AD622" s="134">
        <v>1.17</v>
      </c>
      <c r="AE622" s="124">
        <v>177.8</v>
      </c>
      <c r="AF622" s="128">
        <v>9.1999999999999993</v>
      </c>
      <c r="AG622" s="128">
        <v>1964.7</v>
      </c>
      <c r="AH622" s="127">
        <v>2900</v>
      </c>
      <c r="AI622" s="127">
        <v>2900</v>
      </c>
      <c r="AJ622" s="135">
        <v>44403</v>
      </c>
      <c r="AK622" s="128" t="s">
        <v>1018</v>
      </c>
      <c r="AL622" s="131"/>
      <c r="AM622" s="124" t="s">
        <v>232</v>
      </c>
      <c r="AN622" s="136" t="s">
        <v>2083</v>
      </c>
      <c r="AO622" s="137">
        <v>90.114074295985574</v>
      </c>
      <c r="AP622" s="128">
        <v>1964.7</v>
      </c>
      <c r="AQ622" s="128">
        <v>174.00407429598567</v>
      </c>
      <c r="AR622" s="128"/>
      <c r="AS622" s="128"/>
      <c r="AT622" s="122"/>
      <c r="AU622" s="124" t="s">
        <v>189</v>
      </c>
      <c r="AV622" s="115">
        <f>VLOOKUP(J622,'[63]ТР нефть'!$J$28:$BP$638,39,0)</f>
        <v>445.00000048800001</v>
      </c>
      <c r="AW622" s="115" t="str">
        <f>VLOOKUP(J622,'[63]ТР нефть'!$J$28:$BP$638,40,0)</f>
        <v>ГП</v>
      </c>
      <c r="AX622" s="115">
        <f>VLOOKUP(J622,'[63]ТР нефть'!$J$28:$BP$638,41,0)</f>
        <v>790.99997871100004</v>
      </c>
      <c r="AY622" s="115" t="str">
        <f>VLOOKUP(J622,'[63]ТР нефть'!$J$28:$BP$638,42,0)</f>
        <v>ГП</v>
      </c>
      <c r="AZ622" s="115">
        <f>VLOOKUP(J622,'[63]ТР нефть'!$J$28:$BP$638,43,0)</f>
        <v>1102.999985742</v>
      </c>
      <c r="BA622" s="115" t="str">
        <f>VLOOKUP(J622,'[63]ТР нефть'!$J$28:$BP$638,44,0)</f>
        <v>ГК77 1/8</v>
      </c>
      <c r="BB622" s="115">
        <f>VLOOKUP(J622,'[63]ТР нефть'!$J$28:$BP$638,45,0)</f>
        <v>1434.0000609379999</v>
      </c>
      <c r="BC622" s="115" t="str">
        <f>VLOOKUP(J622,'[63]ТР нефть'!$J$28:$BP$638,46,0)</f>
        <v>ГК77 1/8</v>
      </c>
      <c r="BD622" s="115">
        <f>VLOOKUP(J622,'[63]ТР нефть'!$J$28:$BP$638,47,0)</f>
        <v>1849.9999710940001</v>
      </c>
      <c r="BE622" s="115" t="str">
        <f>VLOOKUP(J622,'[63]ТР нефть'!$J$28:$BP$638,48,0)</f>
        <v>ЦКсОК 5/16</v>
      </c>
      <c r="BF622" s="115" t="str">
        <f>VLOOKUP(J622,'[63]ТР нефть'!$J$28:$BP$638,49,0)</f>
        <v>-</v>
      </c>
      <c r="BG622" s="115" t="str">
        <f>VLOOKUP(J622,'[63]ТР нефть'!$J$28:$BP$638,50,0)</f>
        <v>-</v>
      </c>
      <c r="BH622" s="115" t="str">
        <f>VLOOKUP(J622,'[63]ТР нефть'!$J$28:$BP$638,51,0)</f>
        <v>-</v>
      </c>
      <c r="BI622" s="115" t="str">
        <f>VLOOKUP(J622,'[63]ТР нефть'!$J$28:$BP$638,52,0)</f>
        <v>-</v>
      </c>
      <c r="BJ622" s="115" t="str">
        <f>IF(IFERROR(VLOOKUP(J622,'[63]ТР нефть'!$J$28:$BP$638,53,0),"-")=0,"-",IFERROR(VLOOKUP(J622,'[63]ТР нефть'!$J$28:$BP$638,53,0),"-"))</f>
        <v>-</v>
      </c>
      <c r="BK622" s="138" t="str">
        <f>IF(IFERROR(VLOOKUP(J622,'[63]ТР нефть'!$J$28:$BP$638,54,0),"-")=0,"-",IFERROR(VLOOKUP(J622,'[63]ТР нефть'!$J$28:$BP$638,54,0),"-"))</f>
        <v>-</v>
      </c>
      <c r="BL622" s="138" t="str">
        <f>IF(IFERROR(VLOOKUP(J622,'[63]ТР нефть'!$J$28:$BP$638,55,0),"-")=0,"-",IFERROR(VLOOKUP(J622,'[63]ТР нефть'!$J$28:$BP$638,55,0),"-"))</f>
        <v>-</v>
      </c>
      <c r="BM622" s="138" t="str">
        <f>IF(IFERROR(VLOOKUP(J622,'[63]ТР нефть'!$J$28:$BP$638,56,0),"-")=0,"-",IFERROR(VLOOKUP(J622,'[63]ТР нефть'!$J$28:$BP$638,56,0),"-"))</f>
        <v>-</v>
      </c>
      <c r="BN622" s="138" t="str">
        <f>IF(IFERROR(VLOOKUP(J622,'[63]ТР нефть'!$J$28:$BP$638,57,0),"-")=0,"-",IFERROR(VLOOKUP(J622,'[63]ТР нефть'!$J$28:$BP$638,57,0),"-"))</f>
        <v>-</v>
      </c>
      <c r="BO622" s="115" t="str">
        <f>IF(IFERROR(VLOOKUP(J622,'[63]ТР нефть'!$J$28:$BP$638,58,0),"-")=0,"-",IFERROR(VLOOKUP(J622,'[63]ТР нефть'!$J$28:$BP$638,58,0),"-"))</f>
        <v>-</v>
      </c>
      <c r="BP622" s="115" t="str">
        <f>IF(IFERROR(VLOOKUP(J622,'[63]ТР нефть'!$J$28:$BP$638,59,0),"-")=0,"-",IFERROR(VLOOKUP(J622,'[63]ТР нефть'!$J$28:$BP$638,59,0),"-"))</f>
        <v>-</v>
      </c>
      <c r="BQ622" s="138">
        <v>2090</v>
      </c>
      <c r="BR622" s="128">
        <v>1840.2010498409331</v>
      </c>
      <c r="BS622" s="115">
        <v>249.79895015906686</v>
      </c>
      <c r="BT622" s="128">
        <v>73</v>
      </c>
      <c r="BU622" s="128">
        <v>5.5</v>
      </c>
      <c r="BV622" s="127">
        <v>18</v>
      </c>
      <c r="BW622" s="127" t="s">
        <v>217</v>
      </c>
      <c r="BX622" s="127" t="s">
        <v>195</v>
      </c>
      <c r="BY622" s="139">
        <v>24</v>
      </c>
      <c r="BZ622" s="139">
        <v>0</v>
      </c>
      <c r="CA622" s="138">
        <v>34</v>
      </c>
      <c r="CB622" s="138">
        <v>55</v>
      </c>
      <c r="CC622" s="138">
        <v>33</v>
      </c>
      <c r="CD622" s="135">
        <v>45017</v>
      </c>
      <c r="CE622" s="138">
        <v>112</v>
      </c>
      <c r="CF622" s="138">
        <v>68</v>
      </c>
      <c r="CG622" s="138" t="str">
        <f>IF(CH622&lt;&gt;"","В работе","")</f>
        <v/>
      </c>
      <c r="CH622" s="138" t="s">
        <v>197</v>
      </c>
      <c r="CI622" s="127">
        <v>6</v>
      </c>
      <c r="CJ622" s="138"/>
      <c r="CK622" s="138">
        <f t="shared" si="488"/>
        <v>23</v>
      </c>
      <c r="CL622" s="99"/>
      <c r="CM622" s="99"/>
      <c r="CN622" s="140">
        <v>57</v>
      </c>
      <c r="CO622" s="141">
        <f t="shared" si="504"/>
        <v>11.506703999999999</v>
      </c>
      <c r="CP622" s="142">
        <v>14.8</v>
      </c>
      <c r="CQ622" s="143">
        <v>7</v>
      </c>
      <c r="CR622" s="138">
        <v>18.3</v>
      </c>
      <c r="CS622" s="139">
        <v>8.4</v>
      </c>
      <c r="CT622" s="138"/>
      <c r="CU622" s="138">
        <f t="shared" si="475"/>
        <v>9.9</v>
      </c>
      <c r="CV622" s="115">
        <f t="shared" si="476"/>
        <v>860.36800807598775</v>
      </c>
      <c r="CW622" s="115">
        <f t="shared" si="505"/>
        <v>661.08459427349635</v>
      </c>
      <c r="CX622" s="133">
        <f t="shared" si="477"/>
        <v>0.2690909090909091</v>
      </c>
      <c r="CY622" s="116"/>
      <c r="CZ622" s="131"/>
      <c r="DA622" s="145" t="str">
        <f t="shared" si="478"/>
        <v>Газлифт</v>
      </c>
      <c r="DB622" s="146">
        <f t="shared" si="468"/>
        <v>13.237223999999999</v>
      </c>
      <c r="DC622" s="142">
        <f t="shared" si="469"/>
        <v>17.399999999999999</v>
      </c>
      <c r="DD622" s="119">
        <f t="shared" si="470"/>
        <v>9</v>
      </c>
      <c r="DE622" s="115">
        <f t="shared" si="471"/>
        <v>9.9</v>
      </c>
      <c r="DF622" s="121">
        <f t="shared" si="472"/>
        <v>8.4</v>
      </c>
      <c r="DG622" s="115">
        <f t="shared" si="506"/>
        <v>860.36800807598775</v>
      </c>
      <c r="DH622" s="115">
        <f t="shared" si="507"/>
        <v>57</v>
      </c>
      <c r="DI622" s="147"/>
      <c r="DJ622" s="111"/>
      <c r="DK622" s="112">
        <v>44428</v>
      </c>
      <c r="DL622" s="113">
        <f t="shared" ca="1" si="525"/>
        <v>676</v>
      </c>
      <c r="DM622" s="114"/>
      <c r="DN622" s="114"/>
      <c r="DO622" s="114"/>
      <c r="DP622" s="114"/>
      <c r="DQ622" s="112">
        <v>44428</v>
      </c>
      <c r="DR622" s="114" t="s">
        <v>324</v>
      </c>
      <c r="DS622" s="114"/>
      <c r="DT622" s="115">
        <v>60</v>
      </c>
      <c r="DU622" s="116">
        <f t="shared" si="515"/>
        <v>0.2846153846153846</v>
      </c>
      <c r="DV622" s="117">
        <f t="shared" si="516"/>
        <v>11.506703999999999</v>
      </c>
      <c r="DW622" s="118">
        <f t="shared" si="517"/>
        <v>14.8</v>
      </c>
      <c r="DX622" s="119">
        <f t="shared" si="497"/>
        <v>7</v>
      </c>
      <c r="DY622" s="115">
        <f t="shared" si="518"/>
        <v>9.9</v>
      </c>
      <c r="DZ622" s="117">
        <f t="shared" si="519"/>
        <v>0</v>
      </c>
      <c r="EA622" s="120">
        <f t="shared" si="519"/>
        <v>0</v>
      </c>
      <c r="EB622" s="119">
        <f t="shared" si="519"/>
        <v>0</v>
      </c>
      <c r="EC622" s="121">
        <f t="shared" si="520"/>
        <v>0</v>
      </c>
      <c r="ED622" s="122"/>
      <c r="EE622" s="145">
        <v>18</v>
      </c>
      <c r="EF622" s="115">
        <v>32</v>
      </c>
      <c r="EG622" s="115">
        <v>50</v>
      </c>
      <c r="EH622" s="115">
        <v>31</v>
      </c>
      <c r="EI622" s="128" t="s">
        <v>195</v>
      </c>
      <c r="EJ622" s="121">
        <v>24</v>
      </c>
      <c r="EK622" s="121">
        <v>0</v>
      </c>
      <c r="EL622" s="149">
        <v>13.237223999999999</v>
      </c>
      <c r="EM622" s="142">
        <v>17.399999999999999</v>
      </c>
      <c r="EN622" s="119">
        <v>9</v>
      </c>
      <c r="EO622" s="115">
        <v>18.5</v>
      </c>
      <c r="EP622" s="115">
        <v>563.56226955138038</v>
      </c>
      <c r="EQ622" s="115">
        <v>67</v>
      </c>
      <c r="ER622" s="115">
        <v>11.04</v>
      </c>
      <c r="ES622" s="115">
        <v>54</v>
      </c>
      <c r="ET622" s="150">
        <v>0.3</v>
      </c>
      <c r="EU622" s="145">
        <f t="shared" si="521"/>
        <v>18</v>
      </c>
      <c r="EV622" s="115">
        <f t="shared" si="508"/>
        <v>34</v>
      </c>
      <c r="EW622" s="115">
        <f t="shared" si="508"/>
        <v>55</v>
      </c>
      <c r="EX622" s="115">
        <f t="shared" si="508"/>
        <v>33</v>
      </c>
      <c r="EY622" s="115" t="str">
        <f t="shared" si="489"/>
        <v>Постоянный</v>
      </c>
      <c r="EZ622" s="115">
        <f t="shared" si="489"/>
        <v>24</v>
      </c>
      <c r="FA622" s="115">
        <f t="shared" si="489"/>
        <v>0</v>
      </c>
      <c r="FB622" s="149">
        <f t="shared" si="524"/>
        <v>11.506703999999999</v>
      </c>
      <c r="FC622" s="142">
        <f t="shared" si="524"/>
        <v>14.8</v>
      </c>
      <c r="FD622" s="119">
        <f t="shared" si="524"/>
        <v>7</v>
      </c>
      <c r="FE622" s="121">
        <f t="shared" si="524"/>
        <v>18.3</v>
      </c>
      <c r="FF622" s="121">
        <f t="shared" si="462"/>
        <v>860.36800807598775</v>
      </c>
      <c r="FG622" s="121">
        <f t="shared" si="509"/>
        <v>68</v>
      </c>
      <c r="FH622" s="121">
        <f t="shared" si="491"/>
        <v>8.4</v>
      </c>
      <c r="FI622" s="121">
        <f t="shared" si="483"/>
        <v>57</v>
      </c>
      <c r="FJ622" s="144">
        <f t="shared" si="510"/>
        <v>0.2690909090909091</v>
      </c>
      <c r="FK622" s="132">
        <f t="shared" si="511"/>
        <v>0</v>
      </c>
      <c r="FL622" s="115">
        <f t="shared" si="511"/>
        <v>2</v>
      </c>
      <c r="FM622" s="115">
        <f t="shared" si="511"/>
        <v>5</v>
      </c>
      <c r="FN622" s="115">
        <f t="shared" si="511"/>
        <v>2</v>
      </c>
      <c r="FO622" s="115">
        <f t="shared" si="492"/>
        <v>0</v>
      </c>
      <c r="FP622" s="115">
        <f t="shared" si="492"/>
        <v>0</v>
      </c>
      <c r="FQ622" s="149">
        <f t="shared" si="492"/>
        <v>-1.7305200000000003</v>
      </c>
      <c r="FR622" s="142">
        <f t="shared" si="492"/>
        <v>-2.5999999999999979</v>
      </c>
      <c r="FS622" s="119">
        <f t="shared" si="492"/>
        <v>-2</v>
      </c>
      <c r="FT622" s="121">
        <f t="shared" si="492"/>
        <v>-0.19999999999999929</v>
      </c>
      <c r="FU622" s="121">
        <f t="shared" si="512"/>
        <v>1</v>
      </c>
      <c r="FV622" s="121">
        <f t="shared" si="512"/>
        <v>-2.6399999999999988</v>
      </c>
      <c r="FW622" s="121">
        <f t="shared" si="513"/>
        <v>296.80573852460736</v>
      </c>
      <c r="FX622" s="121">
        <f t="shared" si="514"/>
        <v>3</v>
      </c>
      <c r="FY622" s="144">
        <f t="shared" si="502"/>
        <v>-3.0909090909090886E-2</v>
      </c>
      <c r="FZ622" s="145" t="s">
        <v>199</v>
      </c>
      <c r="GA622" s="151" t="s">
        <v>415</v>
      </c>
      <c r="GB622" s="145"/>
      <c r="GC622" s="151"/>
      <c r="GD622" s="997" t="s">
        <v>220</v>
      </c>
      <c r="GE622" s="1004"/>
      <c r="GF622" s="1004">
        <v>0</v>
      </c>
      <c r="GG622" s="1004"/>
      <c r="GH622" s="1004">
        <v>0</v>
      </c>
      <c r="GI622" s="145"/>
      <c r="GJ622" s="996">
        <v>0</v>
      </c>
      <c r="GK622" s="145"/>
      <c r="GL622" s="996">
        <v>-6.9220799999998306E-2</v>
      </c>
      <c r="GM622" s="1005"/>
      <c r="GN622" s="996">
        <v>0</v>
      </c>
      <c r="GO622" s="1006"/>
      <c r="GP622" s="996">
        <v>6.4447999999970307E-3</v>
      </c>
      <c r="GQ622" s="1006"/>
      <c r="GR622" s="996">
        <v>0</v>
      </c>
      <c r="GS622" s="1006" t="s">
        <v>199</v>
      </c>
      <c r="GT622" s="996">
        <v>5.5008799999999987</v>
      </c>
      <c r="GU622" s="1006" t="s">
        <v>199</v>
      </c>
      <c r="GV622" s="996">
        <v>-6.6880000000000006</v>
      </c>
      <c r="GW622" s="1006" t="s">
        <v>199</v>
      </c>
      <c r="GX622" s="996">
        <v>-2.0899999999999981</v>
      </c>
      <c r="GY622" s="1006" t="s">
        <v>199</v>
      </c>
      <c r="GZ622" s="996">
        <v>-1.6720000000000006</v>
      </c>
      <c r="HA622" s="1006"/>
      <c r="HB622" s="996">
        <v>0</v>
      </c>
      <c r="HC622" s="1006" t="s">
        <v>204</v>
      </c>
      <c r="HD622" s="996">
        <v>-3.8957599999999992</v>
      </c>
      <c r="HE622" s="1006"/>
      <c r="HF622" s="996">
        <v>0</v>
      </c>
      <c r="HG622" s="1006"/>
      <c r="HH622" s="996">
        <v>-0.62934080000000137</v>
      </c>
      <c r="HI622" s="1006" t="s">
        <v>146</v>
      </c>
      <c r="HJ622" s="996">
        <v>-1.4104992000000003</v>
      </c>
      <c r="HK622" s="1006"/>
      <c r="HL622" s="996">
        <v>0</v>
      </c>
      <c r="HM622" s="1006"/>
      <c r="HN622" s="996">
        <v>0</v>
      </c>
      <c r="HO622" s="1006" t="s">
        <v>199</v>
      </c>
      <c r="HP622" s="996">
        <v>-15.812940000000001</v>
      </c>
      <c r="HQ622" s="1006" t="s">
        <v>203</v>
      </c>
      <c r="HR622" s="996">
        <v>14.106078800000006</v>
      </c>
      <c r="HS622" s="1006"/>
      <c r="HT622" s="996">
        <v>0</v>
      </c>
      <c r="HU622" s="1006" t="s">
        <v>25</v>
      </c>
      <c r="HV622" s="996">
        <v>26.452461199999995</v>
      </c>
      <c r="HW622" s="1006"/>
      <c r="HX622" s="996"/>
      <c r="HY622" s="1006"/>
      <c r="HZ622" s="996"/>
      <c r="IA622" s="1006"/>
      <c r="IB622" s="996"/>
      <c r="IC622" s="1006"/>
      <c r="ID622" s="996"/>
      <c r="IE622" s="1006"/>
      <c r="IF622" s="996"/>
      <c r="IG622" s="1006"/>
      <c r="IH622" s="996"/>
      <c r="II622" s="1006"/>
      <c r="IJ622" s="996"/>
      <c r="IK622" s="1006"/>
      <c r="IL622" s="996"/>
      <c r="IM622" s="1006"/>
      <c r="IN622" s="996"/>
      <c r="IO622" s="1006"/>
      <c r="IP622" s="996"/>
      <c r="IQ622" s="1006"/>
      <c r="IR622" s="996"/>
      <c r="IS622" s="1006"/>
      <c r="IT622" s="996"/>
      <c r="IU622" s="1006"/>
      <c r="IV622" s="996"/>
      <c r="IW622" s="1006"/>
      <c r="IX622" s="996"/>
      <c r="IY622" s="1006"/>
      <c r="IZ622" s="996"/>
      <c r="JA622" s="1006"/>
      <c r="JB622" s="996"/>
      <c r="JC622" s="1006"/>
      <c r="JD622" s="996"/>
      <c r="JE622" s="1006"/>
      <c r="JF622" s="996"/>
      <c r="JG622" s="1006"/>
      <c r="JH622" s="996"/>
      <c r="JI622" s="1006"/>
      <c r="JJ622" s="996"/>
      <c r="JK622" s="1007"/>
      <c r="JL622" s="1007"/>
      <c r="JM622" s="1007"/>
      <c r="JN622" s="1007"/>
      <c r="JO622" s="1067"/>
      <c r="JP622" s="1007"/>
      <c r="JQ622" s="1008"/>
      <c r="JR622" s="1007"/>
      <c r="JS622" s="1008"/>
      <c r="JT622" s="1007"/>
      <c r="JU622" s="1008"/>
      <c r="JV622" s="1007"/>
      <c r="JW622" s="1008"/>
      <c r="JX622" s="1007"/>
      <c r="JY622" s="1008"/>
      <c r="JZ622" s="1007"/>
      <c r="KA622" s="1008"/>
      <c r="KB622" s="1007"/>
      <c r="KC622" s="1008"/>
      <c r="KD622" s="1007"/>
      <c r="KE622" s="1008"/>
      <c r="KF622" s="1007"/>
      <c r="KG622" s="1008"/>
      <c r="KH622" s="1007"/>
      <c r="KI622" s="1008"/>
      <c r="KJ622" s="1007"/>
      <c r="KK622" s="1008"/>
      <c r="KL622" s="1007"/>
      <c r="KM622" s="1008"/>
      <c r="KN622" s="1007"/>
      <c r="KO622" s="1008"/>
      <c r="KP622" s="1007"/>
      <c r="KQ622" s="1008"/>
      <c r="KR622" s="1007"/>
      <c r="KS622" s="1008"/>
      <c r="KT622" s="1007"/>
      <c r="KU622" s="1008"/>
      <c r="KV622" s="1007"/>
      <c r="KW622" s="1008"/>
      <c r="KX622" s="1007"/>
      <c r="KY622" s="1008"/>
      <c r="KZ622" s="1007"/>
      <c r="LA622" s="1008"/>
      <c r="LB622" s="1007"/>
      <c r="LC622" s="1008"/>
      <c r="LD622" s="1007"/>
      <c r="LE622" s="1008"/>
      <c r="LF622" s="1007"/>
      <c r="LG622" s="1008"/>
      <c r="LH622" s="1007"/>
      <c r="LI622" s="1008"/>
      <c r="LJ622" s="1007"/>
      <c r="LK622" s="1008"/>
      <c r="LL622" s="1007"/>
      <c r="LM622" s="1008"/>
      <c r="LN622" s="1007"/>
      <c r="LO622" s="1008"/>
      <c r="LP622" s="1007"/>
      <c r="LQ622" s="1008"/>
      <c r="LR622" s="1007"/>
      <c r="LS622" s="1008"/>
      <c r="LT622" s="1007"/>
      <c r="LU622" s="1008"/>
      <c r="LV622" s="1007"/>
      <c r="LW622" s="1008"/>
      <c r="LX622" s="1007"/>
      <c r="LY622" s="1009"/>
      <c r="LZ622" s="1010"/>
      <c r="MA622" s="1011"/>
      <c r="MB622" s="1012"/>
      <c r="MC622" s="995"/>
      <c r="MD622" s="996"/>
      <c r="ME622" s="997" t="s">
        <v>220</v>
      </c>
      <c r="MF622" s="997"/>
      <c r="MG622" s="998"/>
      <c r="NR622" s="1000"/>
      <c r="NS622" s="1000"/>
      <c r="NT622" s="1001"/>
      <c r="NU622" s="1000"/>
      <c r="NV622" s="1001"/>
      <c r="NX622" s="1002"/>
      <c r="NZ622" s="1001"/>
      <c r="OA622" s="1001"/>
      <c r="OC622" s="1003"/>
      <c r="OD622" s="1003"/>
      <c r="OE622" s="1001"/>
      <c r="OF622" s="1003"/>
      <c r="OG622" s="1003"/>
      <c r="QX622" s="1000">
        <f>CN622-CA622</f>
        <v>23</v>
      </c>
      <c r="ASU622" s="999" t="s">
        <v>208</v>
      </c>
    </row>
    <row r="623" spans="1:466 1191:1191" ht="21" customHeight="1" x14ac:dyDescent="0.25">
      <c r="A623" s="982">
        <f t="shared" si="503"/>
        <v>5915</v>
      </c>
      <c r="B623" s="124">
        <f>SUBTOTAL(103,$J$29:J623)</f>
        <v>595</v>
      </c>
      <c r="C623" s="126">
        <v>45068</v>
      </c>
      <c r="D623" s="124" t="s">
        <v>176</v>
      </c>
      <c r="E623" s="127" t="s">
        <v>177</v>
      </c>
      <c r="F623" s="128" t="s">
        <v>177</v>
      </c>
      <c r="G623" s="127" t="s">
        <v>178</v>
      </c>
      <c r="H623" s="127" t="s">
        <v>179</v>
      </c>
      <c r="I623" s="127" t="s">
        <v>2081</v>
      </c>
      <c r="J623" s="152">
        <v>5915</v>
      </c>
      <c r="K623" s="127" t="s">
        <v>2081</v>
      </c>
      <c r="L623" s="130">
        <v>44476</v>
      </c>
      <c r="M623" s="127" t="s">
        <v>230</v>
      </c>
      <c r="N623" s="127" t="s">
        <v>184</v>
      </c>
      <c r="O623" s="127" t="s">
        <v>185</v>
      </c>
      <c r="P623" s="127" t="s">
        <v>186</v>
      </c>
      <c r="Q623" s="85" t="str">
        <f t="shared" si="523"/>
        <v/>
      </c>
      <c r="R623" s="130"/>
      <c r="S623" s="128"/>
      <c r="T623" s="131"/>
      <c r="U623" s="132">
        <v>203</v>
      </c>
      <c r="V623" s="121">
        <v>218.2</v>
      </c>
      <c r="W623" s="116">
        <v>0.98</v>
      </c>
      <c r="X623" s="116">
        <v>1.66</v>
      </c>
      <c r="Y623" s="116">
        <f t="shared" si="522"/>
        <v>1.6542607280862314</v>
      </c>
      <c r="Z623" s="133">
        <v>1.454</v>
      </c>
      <c r="AA623" s="133">
        <v>0.83599999999999997</v>
      </c>
      <c r="AB623" s="133">
        <v>0.72</v>
      </c>
      <c r="AC623" s="121">
        <v>34.299999999999997</v>
      </c>
      <c r="AD623" s="134">
        <v>1.17</v>
      </c>
      <c r="AE623" s="124">
        <v>177.8</v>
      </c>
      <c r="AF623" s="128">
        <v>9.1999999999999993</v>
      </c>
      <c r="AG623" s="128">
        <v>2405.5</v>
      </c>
      <c r="AH623" s="127">
        <v>3350</v>
      </c>
      <c r="AI623" s="127">
        <v>3350</v>
      </c>
      <c r="AJ623" s="135">
        <v>44428</v>
      </c>
      <c r="AK623" s="128" t="s">
        <v>1018</v>
      </c>
      <c r="AL623" s="131"/>
      <c r="AM623" s="124" t="s">
        <v>232</v>
      </c>
      <c r="AN623" s="136" t="s">
        <v>2084</v>
      </c>
      <c r="AO623" s="137">
        <v>27.88</v>
      </c>
      <c r="AP623" s="128">
        <v>2405.5</v>
      </c>
      <c r="AQ623" s="128">
        <v>593.97</v>
      </c>
      <c r="AR623" s="128"/>
      <c r="AS623" s="128"/>
      <c r="AT623" s="122"/>
      <c r="AU623" s="124" t="s">
        <v>883</v>
      </c>
      <c r="AV623" s="115">
        <f>VLOOKUP(J623,'[63]ТР нефть'!$J$28:$BP$638,39,0)</f>
        <v>300</v>
      </c>
      <c r="AW623" s="115" t="str">
        <f>VLOOKUP(J623,'[63]ТР нефть'!$J$28:$BP$638,40,0)</f>
        <v>ГП</v>
      </c>
      <c r="AX623" s="115" t="str">
        <f>VLOOKUP(J623,'[63]ТР нефть'!$J$28:$BP$638,41,0)</f>
        <v>-</v>
      </c>
      <c r="AY623" s="115" t="str">
        <f>VLOOKUP(J623,'[63]ТР нефть'!$J$28:$BP$638,42,0)</f>
        <v>-</v>
      </c>
      <c r="AZ623" s="115" t="str">
        <f>VLOOKUP(J623,'[63]ТР нефть'!$J$28:$BP$638,43,0)</f>
        <v>-</v>
      </c>
      <c r="BA623" s="115" t="str">
        <f>VLOOKUP(J623,'[63]ТР нефть'!$J$28:$BP$638,44,0)</f>
        <v>-</v>
      </c>
      <c r="BB623" s="115" t="str">
        <f>VLOOKUP(J623,'[63]ТР нефть'!$J$28:$BP$638,45,0)</f>
        <v>-</v>
      </c>
      <c r="BC623" s="115" t="str">
        <f>VLOOKUP(J623,'[63]ТР нефть'!$J$28:$BP$638,46,0)</f>
        <v>-</v>
      </c>
      <c r="BD623" s="115" t="str">
        <f>VLOOKUP(J623,'[63]ТР нефть'!$J$28:$BP$638,47,0)</f>
        <v>-</v>
      </c>
      <c r="BE623" s="115" t="str">
        <f>VLOOKUP(J623,'[63]ТР нефть'!$J$28:$BP$638,48,0)</f>
        <v>-</v>
      </c>
      <c r="BF623" s="115" t="str">
        <f>VLOOKUP(J623,'[63]ТР нефть'!$J$28:$BP$638,49,0)</f>
        <v>-</v>
      </c>
      <c r="BG623" s="115" t="str">
        <f>VLOOKUP(J623,'[63]ТР нефть'!$J$28:$BP$638,50,0)</f>
        <v>-</v>
      </c>
      <c r="BH623" s="115">
        <f>VLOOKUP(J623,'[63]ТР нефть'!$J$28:$BP$638,51,0)</f>
        <v>2040</v>
      </c>
      <c r="BI623" s="115" t="str">
        <f>VLOOKUP(J623,'[63]ТР нефть'!$J$28:$BP$638,52,0)</f>
        <v>закрыт</v>
      </c>
      <c r="BJ623" s="115" t="str">
        <f>IF(IFERROR(VLOOKUP(J623,'[63]ТР нефть'!$J$28:$BP$638,53,0),"-")=0,"-",IFERROR(VLOOKUP(J623,'[63]ТР нефть'!$J$28:$BP$638,53,0),"-"))</f>
        <v>-</v>
      </c>
      <c r="BK623" s="138" t="str">
        <f>IF(IFERROR(VLOOKUP(J623,'[63]ТР нефть'!$J$28:$BP$638,54,0),"-")=0,"-",IFERROR(VLOOKUP(J623,'[63]ТР нефть'!$J$28:$BP$638,54,0),"-"))</f>
        <v>D1050N</v>
      </c>
      <c r="BL623" s="138" t="str">
        <f>IF(IFERROR(VLOOKUP(J623,'[63]ТР нефть'!$J$28:$BP$638,55,0),"-")=0,"-",IFERROR(VLOOKUP(J623,'[63]ТР нефть'!$J$28:$BP$638,55,0),"-"))</f>
        <v>-</v>
      </c>
      <c r="BM623" s="138">
        <f>IF(IFERROR(VLOOKUP(J623,'[63]ТР нефть'!$J$28:$BP$638,56,0),"-")=0,"-",IFERROR(VLOOKUP(J623,'[63]ТР нефть'!$J$28:$BP$638,56,0),"-"))</f>
        <v>1338</v>
      </c>
      <c r="BN623" s="138">
        <f>IF(IFERROR(VLOOKUP(J623,'[63]ТР нефть'!$J$28:$BP$638,57,0),"-")=0,"-",IFERROR(VLOOKUP(J623,'[63]ТР нефть'!$J$28:$BP$638,57,0),"-"))</f>
        <v>60</v>
      </c>
      <c r="BO623" s="115">
        <f>IF(IFERROR(VLOOKUP(J623,'[63]ТР нефть'!$J$28:$BP$638,58,0),"-")=0,"-",IFERROR(VLOOKUP(J623,'[63]ТР нефть'!$J$28:$BP$638,58,0),"-"))</f>
        <v>90</v>
      </c>
      <c r="BP623" s="115" t="str">
        <f>IF(IFERROR(VLOOKUP(J623,'[63]ТР нефть'!$J$28:$BP$638,59,0),"-")=0,"-",IFERROR(VLOOKUP(J623,'[63]ТР нефть'!$J$28:$BP$638,59,0),"-"))</f>
        <v>-</v>
      </c>
      <c r="BQ623" s="138">
        <v>2050</v>
      </c>
      <c r="BR623" s="128">
        <v>1655.29</v>
      </c>
      <c r="BS623" s="115">
        <v>394.71000000000004</v>
      </c>
      <c r="BT623" s="128">
        <v>73</v>
      </c>
      <c r="BU623" s="128">
        <v>5.5</v>
      </c>
      <c r="BV623" s="127">
        <v>65</v>
      </c>
      <c r="BW623" s="127" t="s">
        <v>217</v>
      </c>
      <c r="BX623" s="127" t="s">
        <v>195</v>
      </c>
      <c r="BY623" s="139">
        <v>24</v>
      </c>
      <c r="BZ623" s="139">
        <v>0</v>
      </c>
      <c r="CA623" s="138">
        <v>36</v>
      </c>
      <c r="CB623" s="138">
        <v>33</v>
      </c>
      <c r="CC623" s="138">
        <v>34</v>
      </c>
      <c r="CD623" s="135">
        <v>45017</v>
      </c>
      <c r="CE623" s="138">
        <v>131</v>
      </c>
      <c r="CF623" s="138"/>
      <c r="CG623" s="138" t="str">
        <f>IF(CH623&lt;&gt;"","В работе","")</f>
        <v/>
      </c>
      <c r="CH623" s="138" t="s">
        <v>197</v>
      </c>
      <c r="CI623" s="127"/>
      <c r="CJ623" s="138">
        <f>IF((BR623-(100*(CM623-CB623))/(9.8*(AB623+AA623)/2))&gt;0,BR623-(100*(CM623-CB623))/(9.8*(AB623+AA623)/2),0)</f>
        <v>1025.7322643093225</v>
      </c>
      <c r="CK623" s="138">
        <f t="shared" si="488"/>
        <v>62.898272406000004</v>
      </c>
      <c r="CL623" s="99"/>
      <c r="CM623" s="127">
        <v>81</v>
      </c>
      <c r="CN623" s="154">
        <f>IF(CM623=0,0,(((AP623-AQ623-BR623)*((AD623*(CQ623/100))+(AB623*((100-CQ623)/100)))*9.81/100+CM623)))</f>
        <v>98.898272406000004</v>
      </c>
      <c r="CO623" s="141">
        <f t="shared" si="504"/>
        <v>1.0115600000000009</v>
      </c>
      <c r="CP623" s="142">
        <v>242</v>
      </c>
      <c r="CQ623" s="227">
        <v>99.5</v>
      </c>
      <c r="CR623" s="138">
        <v>5.5</v>
      </c>
      <c r="CS623" s="139"/>
      <c r="CT623" s="138"/>
      <c r="CU623" s="138">
        <f t="shared" si="475"/>
        <v>5.5</v>
      </c>
      <c r="CV623" s="115">
        <f>(CR623-CS623)*1000/CO623</f>
        <v>5437.146585471939</v>
      </c>
      <c r="CW623" s="115" t="str">
        <f t="shared" si="505"/>
        <v/>
      </c>
      <c r="CX623" s="133">
        <f t="shared" si="477"/>
        <v>7.5385350925858345</v>
      </c>
      <c r="CY623" s="116"/>
      <c r="CZ623" s="131"/>
      <c r="DA623" s="145" t="str">
        <f t="shared" si="478"/>
        <v>ЭЦН</v>
      </c>
      <c r="DB623" s="146">
        <f t="shared" si="468"/>
        <v>1.0115600000000009</v>
      </c>
      <c r="DC623" s="142">
        <f t="shared" si="469"/>
        <v>242</v>
      </c>
      <c r="DD623" s="119">
        <f t="shared" si="470"/>
        <v>99.5</v>
      </c>
      <c r="DE623" s="115">
        <f t="shared" si="471"/>
        <v>5.5</v>
      </c>
      <c r="DF623" s="121">
        <f t="shared" si="472"/>
        <v>0</v>
      </c>
      <c r="DG623" s="115">
        <f t="shared" si="506"/>
        <v>5437.146585471939</v>
      </c>
      <c r="DH623" s="115">
        <f t="shared" si="507"/>
        <v>98.898272406000004</v>
      </c>
      <c r="DI623" s="147"/>
      <c r="DJ623" s="111"/>
      <c r="DK623" s="112">
        <v>44476</v>
      </c>
      <c r="DL623" s="113">
        <f t="shared" ca="1" si="525"/>
        <v>628</v>
      </c>
      <c r="DM623" s="114"/>
      <c r="DN623" s="114"/>
      <c r="DO623" s="114"/>
      <c r="DP623" s="114"/>
      <c r="DQ623" s="112">
        <v>44476</v>
      </c>
      <c r="DR623" s="114" t="s">
        <v>324</v>
      </c>
      <c r="DS623" s="114"/>
      <c r="DT623" s="115">
        <v>60</v>
      </c>
      <c r="DU623" s="116">
        <f t="shared" si="515"/>
        <v>6.4220762296076233</v>
      </c>
      <c r="DV623" s="117">
        <f t="shared" si="516"/>
        <v>1.905943783422952</v>
      </c>
      <c r="DW623" s="118">
        <f t="shared" si="517"/>
        <v>455.96741230214127</v>
      </c>
      <c r="DX623" s="119">
        <f t="shared" si="497"/>
        <v>99.5</v>
      </c>
      <c r="DY623" s="115">
        <f t="shared" si="518"/>
        <v>10.362895734139572</v>
      </c>
      <c r="DZ623" s="117">
        <f t="shared" si="519"/>
        <v>0.89438378342295111</v>
      </c>
      <c r="EA623" s="120">
        <f t="shared" si="519"/>
        <v>213.96741230214127</v>
      </c>
      <c r="EB623" s="119">
        <f t="shared" si="519"/>
        <v>0</v>
      </c>
      <c r="EC623" s="121">
        <f t="shared" si="520"/>
        <v>4.8628957341395722</v>
      </c>
      <c r="ED623" s="122"/>
      <c r="EE623" s="145">
        <v>65</v>
      </c>
      <c r="EF623" s="115">
        <v>34</v>
      </c>
      <c r="EG623" s="115">
        <v>31</v>
      </c>
      <c r="EH623" s="115">
        <v>31</v>
      </c>
      <c r="EI623" s="128" t="s">
        <v>195</v>
      </c>
      <c r="EJ623" s="121">
        <v>24</v>
      </c>
      <c r="EK623" s="121">
        <v>0</v>
      </c>
      <c r="EL623" s="149">
        <v>1.0115600000000009</v>
      </c>
      <c r="EM623" s="142">
        <v>242</v>
      </c>
      <c r="EN623" s="207">
        <v>99.5</v>
      </c>
      <c r="EO623" s="115">
        <v>5.5</v>
      </c>
      <c r="EP623" s="115">
        <v>5437.146585471939</v>
      </c>
      <c r="EQ623" s="115">
        <v>0</v>
      </c>
      <c r="ER623" s="115">
        <v>0</v>
      </c>
      <c r="ES623" s="115">
        <v>98.898272406000004</v>
      </c>
      <c r="ET623" s="150">
        <v>7.5385350925858345</v>
      </c>
      <c r="EU623" s="145">
        <f t="shared" si="521"/>
        <v>65</v>
      </c>
      <c r="EV623" s="115">
        <f t="shared" si="508"/>
        <v>36</v>
      </c>
      <c r="EW623" s="115">
        <f t="shared" si="508"/>
        <v>33</v>
      </c>
      <c r="EX623" s="115">
        <f t="shared" si="508"/>
        <v>34</v>
      </c>
      <c r="EY623" s="115" t="str">
        <f t="shared" si="489"/>
        <v>Постоянный</v>
      </c>
      <c r="EZ623" s="115">
        <f t="shared" si="489"/>
        <v>24</v>
      </c>
      <c r="FA623" s="115">
        <f t="shared" si="489"/>
        <v>0</v>
      </c>
      <c r="FB623" s="149">
        <f t="shared" si="524"/>
        <v>1.0115600000000009</v>
      </c>
      <c r="FC623" s="142">
        <f t="shared" si="524"/>
        <v>242</v>
      </c>
      <c r="FD623" s="119">
        <f t="shared" si="524"/>
        <v>99.5</v>
      </c>
      <c r="FE623" s="121">
        <f t="shared" si="524"/>
        <v>5.5</v>
      </c>
      <c r="FF623" s="121">
        <f t="shared" si="462"/>
        <v>5437.146585471939</v>
      </c>
      <c r="FG623" s="121">
        <f t="shared" si="509"/>
        <v>0</v>
      </c>
      <c r="FH623" s="121">
        <f t="shared" si="491"/>
        <v>0</v>
      </c>
      <c r="FI623" s="121">
        <f t="shared" si="483"/>
        <v>98.898272406000004</v>
      </c>
      <c r="FJ623" s="144">
        <f t="shared" si="510"/>
        <v>7.5385350925858345</v>
      </c>
      <c r="FK623" s="132">
        <f t="shared" si="511"/>
        <v>0</v>
      </c>
      <c r="FL623" s="115">
        <f t="shared" si="511"/>
        <v>2</v>
      </c>
      <c r="FM623" s="115">
        <f t="shared" si="511"/>
        <v>2</v>
      </c>
      <c r="FN623" s="115">
        <f t="shared" si="511"/>
        <v>3</v>
      </c>
      <c r="FO623" s="115">
        <f t="shared" si="492"/>
        <v>0</v>
      </c>
      <c r="FP623" s="115">
        <f t="shared" si="492"/>
        <v>0</v>
      </c>
      <c r="FQ623" s="149">
        <f t="shared" si="492"/>
        <v>0</v>
      </c>
      <c r="FR623" s="142">
        <f t="shared" si="492"/>
        <v>0</v>
      </c>
      <c r="FS623" s="119">
        <f t="shared" si="492"/>
        <v>0</v>
      </c>
      <c r="FT623" s="121">
        <f t="shared" si="492"/>
        <v>0</v>
      </c>
      <c r="FU623" s="121">
        <f t="shared" si="512"/>
        <v>0</v>
      </c>
      <c r="FV623" s="121">
        <f t="shared" si="512"/>
        <v>0</v>
      </c>
      <c r="FW623" s="121">
        <f t="shared" si="513"/>
        <v>0</v>
      </c>
      <c r="FX623" s="121">
        <f t="shared" si="514"/>
        <v>0</v>
      </c>
      <c r="FY623" s="144">
        <f t="shared" si="502"/>
        <v>0</v>
      </c>
      <c r="FZ623" s="145"/>
      <c r="GA623" s="151"/>
      <c r="GB623" s="145"/>
      <c r="GC623" s="131"/>
      <c r="GD623" s="997" t="s">
        <v>220</v>
      </c>
      <c r="GE623" s="1004"/>
      <c r="GF623" s="1004">
        <v>-4.597999999999991E-2</v>
      </c>
      <c r="GG623" s="1004"/>
      <c r="GH623" s="1004">
        <v>-0.83182000000000089</v>
      </c>
      <c r="GI623" s="145"/>
      <c r="GJ623" s="996">
        <v>0</v>
      </c>
      <c r="GK623" s="145"/>
      <c r="GL623" s="996">
        <v>0</v>
      </c>
      <c r="GM623" s="1005"/>
      <c r="GN623" s="996">
        <v>0</v>
      </c>
      <c r="GO623" s="1006"/>
      <c r="GP623" s="996">
        <v>1.5048000000000394E-2</v>
      </c>
      <c r="GQ623" s="1006"/>
      <c r="GR623" s="996">
        <v>0</v>
      </c>
      <c r="GS623" s="1006"/>
      <c r="GT623" s="996">
        <v>-4.8488000000000309E-2</v>
      </c>
      <c r="GU623" s="1006" t="s">
        <v>204</v>
      </c>
      <c r="GV623" s="996">
        <v>1.0232640000000008</v>
      </c>
      <c r="GW623" s="1006" t="s">
        <v>204</v>
      </c>
      <c r="GX623" s="996">
        <v>-1.5758600000000014</v>
      </c>
      <c r="GY623" s="1006"/>
      <c r="GZ623" s="996">
        <v>0.78667600000000082</v>
      </c>
      <c r="HA623" s="1006" t="s">
        <v>204</v>
      </c>
      <c r="HB623" s="996">
        <v>-14.894510399999989</v>
      </c>
      <c r="HC623" s="1006"/>
      <c r="HD623" s="996">
        <v>0.26451040000000248</v>
      </c>
      <c r="HE623" s="1006"/>
      <c r="HF623" s="996">
        <v>0</v>
      </c>
      <c r="HG623" s="1006" t="s">
        <v>204</v>
      </c>
      <c r="HH623" s="996">
        <v>-17.338640000000016</v>
      </c>
      <c r="HI623" s="1006"/>
      <c r="HJ623" s="996">
        <v>0</v>
      </c>
      <c r="HK623" s="1006" t="s">
        <v>204</v>
      </c>
      <c r="HL623" s="996">
        <v>33.557667000000016</v>
      </c>
      <c r="HM623" s="1006"/>
      <c r="HN623" s="996">
        <v>0</v>
      </c>
      <c r="HO623" s="1006" t="s">
        <v>349</v>
      </c>
      <c r="HP623" s="996">
        <v>-47.444773992000009</v>
      </c>
      <c r="HQ623" s="1006" t="s">
        <v>25</v>
      </c>
      <c r="HR623" s="996">
        <v>47.544466991999997</v>
      </c>
      <c r="HS623" s="1006"/>
      <c r="HT623" s="996"/>
      <c r="HU623" s="1006"/>
      <c r="HV623" s="996"/>
      <c r="HW623" s="1006"/>
      <c r="HX623" s="996"/>
      <c r="HY623" s="1006"/>
      <c r="HZ623" s="996"/>
      <c r="IA623" s="1006"/>
      <c r="IB623" s="996"/>
      <c r="IC623" s="1006"/>
      <c r="ID623" s="996"/>
      <c r="IE623" s="1006"/>
      <c r="IF623" s="996"/>
      <c r="IG623" s="1006"/>
      <c r="IH623" s="996"/>
      <c r="II623" s="1006"/>
      <c r="IJ623" s="996"/>
      <c r="IK623" s="1006"/>
      <c r="IL623" s="996"/>
      <c r="IM623" s="1006"/>
      <c r="IN623" s="996"/>
      <c r="IO623" s="1006"/>
      <c r="IP623" s="996"/>
      <c r="IQ623" s="1006"/>
      <c r="IR623" s="996"/>
      <c r="IS623" s="1006"/>
      <c r="IT623" s="996"/>
      <c r="IU623" s="1006"/>
      <c r="IV623" s="996"/>
      <c r="IW623" s="1006"/>
      <c r="IX623" s="996"/>
      <c r="IY623" s="1006"/>
      <c r="IZ623" s="996"/>
      <c r="JA623" s="1006"/>
      <c r="JB623" s="996"/>
      <c r="JC623" s="1006"/>
      <c r="JD623" s="996"/>
      <c r="JE623" s="1006"/>
      <c r="JF623" s="996"/>
      <c r="JG623" s="1006"/>
      <c r="JH623" s="996"/>
      <c r="JI623" s="1006"/>
      <c r="JJ623" s="996"/>
      <c r="JK623" s="1007"/>
      <c r="JL623" s="1007"/>
      <c r="JM623" s="1007"/>
      <c r="JN623" s="1007"/>
      <c r="JO623" s="1067"/>
      <c r="JP623" s="1007"/>
      <c r="JQ623" s="1008"/>
      <c r="JR623" s="1007"/>
      <c r="JS623" s="1008"/>
      <c r="JT623" s="1007"/>
      <c r="JU623" s="1008"/>
      <c r="JV623" s="1007"/>
      <c r="JW623" s="1008"/>
      <c r="JX623" s="1007"/>
      <c r="JY623" s="1008"/>
      <c r="JZ623" s="1007"/>
      <c r="KA623" s="1008"/>
      <c r="KB623" s="1007"/>
      <c r="KC623" s="1008"/>
      <c r="KD623" s="1007"/>
      <c r="KE623" s="1008"/>
      <c r="KF623" s="1007"/>
      <c r="KG623" s="1008"/>
      <c r="KH623" s="1007"/>
      <c r="KI623" s="1008"/>
      <c r="KJ623" s="1007"/>
      <c r="KK623" s="1008"/>
      <c r="KL623" s="1007"/>
      <c r="KM623" s="1008"/>
      <c r="KN623" s="1007"/>
      <c r="KO623" s="1008"/>
      <c r="KP623" s="1007"/>
      <c r="KQ623" s="1008"/>
      <c r="KR623" s="1007"/>
      <c r="KS623" s="1008"/>
      <c r="KT623" s="1007"/>
      <c r="KU623" s="1008"/>
      <c r="KV623" s="1007"/>
      <c r="KW623" s="1008"/>
      <c r="KX623" s="1007"/>
      <c r="KY623" s="1008"/>
      <c r="KZ623" s="1007"/>
      <c r="LA623" s="1008"/>
      <c r="LB623" s="1007"/>
      <c r="LC623" s="1008"/>
      <c r="LD623" s="1007"/>
      <c r="LE623" s="1008"/>
      <c r="LF623" s="1007"/>
      <c r="LG623" s="1008"/>
      <c r="LH623" s="1007"/>
      <c r="LI623" s="1008"/>
      <c r="LJ623" s="1007"/>
      <c r="LK623" s="1008"/>
      <c r="LL623" s="1007"/>
      <c r="LM623" s="1008"/>
      <c r="LN623" s="1007"/>
      <c r="LO623" s="1008"/>
      <c r="LP623" s="1007"/>
      <c r="LQ623" s="1008"/>
      <c r="LR623" s="1007"/>
      <c r="LS623" s="1008"/>
      <c r="LT623" s="1007"/>
      <c r="LU623" s="1008"/>
      <c r="LV623" s="1007"/>
      <c r="LW623" s="1008"/>
      <c r="LX623" s="1007"/>
      <c r="LY623" s="1009"/>
      <c r="LZ623" s="1010"/>
      <c r="MA623" s="1011"/>
      <c r="MB623" s="1012"/>
      <c r="MC623" s="995"/>
      <c r="MD623" s="996"/>
      <c r="ME623" s="997" t="s">
        <v>220</v>
      </c>
      <c r="MF623" s="997"/>
      <c r="MG623" s="998"/>
      <c r="NR623" s="1000"/>
      <c r="NS623" s="1000"/>
      <c r="NT623" s="1001"/>
      <c r="NU623" s="1000"/>
      <c r="NV623" s="1001"/>
      <c r="NX623" s="1002"/>
      <c r="NZ623" s="1001"/>
      <c r="OA623" s="1001"/>
      <c r="OC623" s="1003"/>
      <c r="OD623" s="1003"/>
      <c r="OE623" s="1001"/>
      <c r="OF623" s="1003"/>
      <c r="OG623" s="1003"/>
      <c r="QX623" s="1000">
        <f>CN623-CA623</f>
        <v>62.898272406000004</v>
      </c>
      <c r="ASU623" s="999" t="s">
        <v>208</v>
      </c>
    </row>
    <row r="624" spans="1:466 1191:1191" ht="21" customHeight="1" x14ac:dyDescent="0.25">
      <c r="A624" s="982">
        <f t="shared" si="503"/>
        <v>5916</v>
      </c>
      <c r="B624" s="124">
        <f>SUBTOTAL(103,$J$29:J624)</f>
        <v>596</v>
      </c>
      <c r="C624" s="126">
        <v>45068</v>
      </c>
      <c r="D624" s="124" t="s">
        <v>176</v>
      </c>
      <c r="E624" s="127" t="s">
        <v>177</v>
      </c>
      <c r="F624" s="128" t="s">
        <v>177</v>
      </c>
      <c r="G624" s="127" t="s">
        <v>178</v>
      </c>
      <c r="H624" s="127" t="s">
        <v>179</v>
      </c>
      <c r="I624" s="127" t="s">
        <v>2081</v>
      </c>
      <c r="J624" s="152">
        <v>5916</v>
      </c>
      <c r="K624" s="127" t="s">
        <v>2081</v>
      </c>
      <c r="L624" s="130">
        <v>44509</v>
      </c>
      <c r="M624" s="127" t="s">
        <v>230</v>
      </c>
      <c r="N624" s="127" t="s">
        <v>184</v>
      </c>
      <c r="O624" s="127" t="s">
        <v>185</v>
      </c>
      <c r="P624" s="127" t="s">
        <v>186</v>
      </c>
      <c r="Q624" s="85" t="str">
        <f t="shared" si="523"/>
        <v/>
      </c>
      <c r="R624" s="130"/>
      <c r="S624" s="128"/>
      <c r="T624" s="131"/>
      <c r="U624" s="132">
        <v>203</v>
      </c>
      <c r="V624" s="121">
        <v>218.2</v>
      </c>
      <c r="W624" s="116">
        <v>0.98</v>
      </c>
      <c r="X624" s="116">
        <v>1.66</v>
      </c>
      <c r="Y624" s="116">
        <f t="shared" si="522"/>
        <v>1.035123441079155</v>
      </c>
      <c r="Z624" s="133">
        <v>1.454</v>
      </c>
      <c r="AA624" s="133">
        <v>0.83599999999999997</v>
      </c>
      <c r="AB624" s="133">
        <v>0.72</v>
      </c>
      <c r="AC624" s="121">
        <v>34.299999999999997</v>
      </c>
      <c r="AD624" s="134">
        <v>1.17</v>
      </c>
      <c r="AE624" s="124">
        <v>177.8</v>
      </c>
      <c r="AF624" s="128">
        <v>9.1999999999999993</v>
      </c>
      <c r="AG624" s="128">
        <v>2367</v>
      </c>
      <c r="AH624" s="127">
        <v>2949</v>
      </c>
      <c r="AI624" s="127">
        <v>2949</v>
      </c>
      <c r="AJ624" s="135">
        <v>44395</v>
      </c>
      <c r="AK624" s="128"/>
      <c r="AL624" s="131"/>
      <c r="AM624" s="124" t="s">
        <v>1921</v>
      </c>
      <c r="AN624" s="136" t="s">
        <v>2085</v>
      </c>
      <c r="AO624" s="137">
        <v>582.428</v>
      </c>
      <c r="AP624" s="128">
        <v>2367</v>
      </c>
      <c r="AQ624" s="128"/>
      <c r="AR624" s="128"/>
      <c r="AS624" s="128"/>
      <c r="AT624" s="122"/>
      <c r="AU624" s="124" t="s">
        <v>189</v>
      </c>
      <c r="AV624" s="115">
        <f>VLOOKUP(J624,'[63]ТР нефть'!$J$28:$BP$638,39,0)</f>
        <v>320.00000244099999</v>
      </c>
      <c r="AW624" s="115" t="str">
        <f>VLOOKUP(J624,'[63]ТР нефть'!$J$28:$BP$638,40,0)</f>
        <v>ГП</v>
      </c>
      <c r="AX624" s="115">
        <f>VLOOKUP(J624,'[63]ТР нефть'!$J$28:$BP$638,41,0)</f>
        <v>649.99998984399997</v>
      </c>
      <c r="AY624" s="115" t="str">
        <f>VLOOKUP(J624,'[63]ТР нефть'!$J$28:$BP$638,42,0)</f>
        <v>ГП</v>
      </c>
      <c r="AZ624" s="115">
        <f>VLOOKUP(J624,'[63]ТР нефть'!$J$28:$BP$638,43,0)</f>
        <v>970.00002949199995</v>
      </c>
      <c r="BA624" s="115" t="str">
        <f>VLOOKUP(J624,'[63]ТР нефть'!$J$28:$BP$638,44,0)</f>
        <v>ГП</v>
      </c>
      <c r="BB624" s="115">
        <f>VLOOKUP(J624,'[63]ТР нефть'!$J$28:$BP$638,45,0)</f>
        <v>1280.0000097659999</v>
      </c>
      <c r="BC624" s="115" t="str">
        <f>VLOOKUP(J624,'[63]ТР нефть'!$J$28:$BP$638,46,0)</f>
        <v>ГК 80 1/88</v>
      </c>
      <c r="BD624" s="115">
        <f>VLOOKUP(J624,'[63]ТР нефть'!$J$28:$BP$638,47,0)</f>
        <v>1599.9999749999999</v>
      </c>
      <c r="BE624" s="115" t="str">
        <f>VLOOKUP(J624,'[63]ТР нефть'!$J$28:$BP$638,48,0)</f>
        <v>ГК 77 5/32</v>
      </c>
      <c r="BF624" s="115">
        <f>VLOOKUP(J624,'[63]ТР нефть'!$J$28:$BP$638,49,0)</f>
        <v>2120</v>
      </c>
      <c r="BG624" s="115" t="str">
        <f>VLOOKUP(J624,'[63]ТР нефть'!$J$28:$BP$638,50,0)</f>
        <v>ЦКсОК 5/16</v>
      </c>
      <c r="BH624" s="115" t="str">
        <f>VLOOKUP(J624,'[63]ТР нефть'!$J$28:$BP$638,51,0)</f>
        <v>-</v>
      </c>
      <c r="BI624" s="115" t="str">
        <f>VLOOKUP(J624,'[63]ТР нефть'!$J$28:$BP$638,52,0)</f>
        <v>-</v>
      </c>
      <c r="BJ624" s="115" t="str">
        <f>IF(IFERROR(VLOOKUP(J624,'[63]ТР нефть'!$J$28:$BP$638,53,0),"-")=0,"-",IFERROR(VLOOKUP(J624,'[63]ТР нефть'!$J$28:$BP$638,53,0),"-"))</f>
        <v>-</v>
      </c>
      <c r="BK624" s="138" t="str">
        <f>IF(IFERROR(VLOOKUP(J624,'[63]ТР нефть'!$J$28:$BP$638,54,0),"-")=0,"-",IFERROR(VLOOKUP(J624,'[63]ТР нефть'!$J$28:$BP$638,54,0),"-"))</f>
        <v>-</v>
      </c>
      <c r="BL624" s="138" t="str">
        <f>IF(IFERROR(VLOOKUP(J624,'[63]ТР нефть'!$J$28:$BP$638,55,0),"-")=0,"-",IFERROR(VLOOKUP(J624,'[63]ТР нефть'!$J$28:$BP$638,55,0),"-"))</f>
        <v>-</v>
      </c>
      <c r="BM624" s="138" t="str">
        <f>IF(IFERROR(VLOOKUP(J624,'[63]ТР нефть'!$J$28:$BP$638,56,0),"-")=0,"-",IFERROR(VLOOKUP(J624,'[63]ТР нефть'!$J$28:$BP$638,56,0),"-"))</f>
        <v>-</v>
      </c>
      <c r="BN624" s="138" t="str">
        <f>IF(IFERROR(VLOOKUP(J624,'[63]ТР нефть'!$J$28:$BP$638,57,0),"-")=0,"-",IFERROR(VLOOKUP(J624,'[63]ТР нефть'!$J$28:$BP$638,57,0),"-"))</f>
        <v>-</v>
      </c>
      <c r="BO624" s="115" t="str">
        <f>IF(IFERROR(VLOOKUP(J624,'[63]ТР нефть'!$J$28:$BP$638,58,0),"-")=0,"-",IFERROR(VLOOKUP(J624,'[63]ТР нефть'!$J$28:$BP$638,58,0),"-"))</f>
        <v>-</v>
      </c>
      <c r="BP624" s="115" t="str">
        <f>IF(IFERROR(VLOOKUP(J624,'[63]ТР нефть'!$J$28:$BP$638,59,0),"-")=0,"-",IFERROR(VLOOKUP(J624,'[63]ТР нефть'!$J$28:$BP$638,59,0),"-"))</f>
        <v>-</v>
      </c>
      <c r="BQ624" s="138">
        <v>2391</v>
      </c>
      <c r="BR624" s="128">
        <v>1850</v>
      </c>
      <c r="BS624" s="115">
        <v>538.26</v>
      </c>
      <c r="BT624" s="128">
        <v>73</v>
      </c>
      <c r="BU624" s="128">
        <v>5.5</v>
      </c>
      <c r="BV624" s="127">
        <v>8</v>
      </c>
      <c r="BW624" s="127" t="s">
        <v>217</v>
      </c>
      <c r="BX624" s="127" t="s">
        <v>195</v>
      </c>
      <c r="BY624" s="139">
        <v>24</v>
      </c>
      <c r="BZ624" s="139">
        <v>0</v>
      </c>
      <c r="CA624" s="138">
        <v>35</v>
      </c>
      <c r="CB624" s="138">
        <v>46</v>
      </c>
      <c r="CC624" s="138">
        <v>33</v>
      </c>
      <c r="CD624" s="135">
        <v>45017</v>
      </c>
      <c r="CE624" s="138">
        <v>137</v>
      </c>
      <c r="CF624" s="138">
        <v>70</v>
      </c>
      <c r="CG624" s="138"/>
      <c r="CH624" s="138"/>
      <c r="CI624" s="127">
        <v>4</v>
      </c>
      <c r="CJ624" s="138"/>
      <c r="CK624" s="138">
        <f t="shared" si="488"/>
        <v>55</v>
      </c>
      <c r="CL624" s="99"/>
      <c r="CM624" s="99"/>
      <c r="CN624" s="140">
        <v>90</v>
      </c>
      <c r="CO624" s="141">
        <f t="shared" si="504"/>
        <v>5.8185599999999997</v>
      </c>
      <c r="CP624" s="142">
        <v>8</v>
      </c>
      <c r="CQ624" s="143">
        <v>13</v>
      </c>
      <c r="CR624" s="138">
        <v>15</v>
      </c>
      <c r="CS624" s="139">
        <v>6</v>
      </c>
      <c r="CT624" s="138"/>
      <c r="CU624" s="138">
        <f t="shared" si="475"/>
        <v>9</v>
      </c>
      <c r="CV624" s="115">
        <f t="shared" si="476"/>
        <v>1546.7744596601221</v>
      </c>
      <c r="CW624" s="115">
        <f t="shared" si="505"/>
        <v>854.35035199234494</v>
      </c>
      <c r="CX624" s="133">
        <f t="shared" si="477"/>
        <v>0.1702127659574468</v>
      </c>
      <c r="CY624" s="116"/>
      <c r="CZ624" s="131"/>
      <c r="DA624" s="145" t="str">
        <f t="shared" si="478"/>
        <v>Газлифт</v>
      </c>
      <c r="DB624" s="146">
        <f t="shared" si="468"/>
        <v>5.457408</v>
      </c>
      <c r="DC624" s="142">
        <f t="shared" si="469"/>
        <v>8</v>
      </c>
      <c r="DD624" s="119">
        <f t="shared" si="470"/>
        <v>18.399999999999999</v>
      </c>
      <c r="DE624" s="115">
        <f t="shared" si="471"/>
        <v>9</v>
      </c>
      <c r="DF624" s="121">
        <f t="shared" si="472"/>
        <v>6</v>
      </c>
      <c r="DG624" s="115">
        <f t="shared" si="506"/>
        <v>1546.7744596601221</v>
      </c>
      <c r="DH624" s="115">
        <f t="shared" si="507"/>
        <v>90</v>
      </c>
      <c r="DI624" s="147"/>
      <c r="DJ624" s="111"/>
      <c r="DK624" s="112">
        <v>44509</v>
      </c>
      <c r="DL624" s="113">
        <f t="shared" ca="1" si="525"/>
        <v>595</v>
      </c>
      <c r="DM624" s="114"/>
      <c r="DN624" s="114"/>
      <c r="DO624" s="114"/>
      <c r="DP624" s="114"/>
      <c r="DQ624" s="112">
        <v>44509</v>
      </c>
      <c r="DR624" s="114" t="s">
        <v>324</v>
      </c>
      <c r="DS624" s="114"/>
      <c r="DT624" s="115">
        <v>57</v>
      </c>
      <c r="DU624" s="116">
        <f t="shared" si="515"/>
        <v>0.1487122060470325</v>
      </c>
      <c r="DV624" s="117">
        <f t="shared" si="516"/>
        <v>8.6529089361702134</v>
      </c>
      <c r="DW624" s="118">
        <f t="shared" si="517"/>
        <v>11.8969764837626</v>
      </c>
      <c r="DX624" s="119">
        <f t="shared" si="497"/>
        <v>13</v>
      </c>
      <c r="DY624" s="115">
        <f t="shared" si="518"/>
        <v>13.384098544232923</v>
      </c>
      <c r="DZ624" s="117">
        <f t="shared" si="519"/>
        <v>2.8343489361702137</v>
      </c>
      <c r="EA624" s="120">
        <f t="shared" si="519"/>
        <v>3.8969764837626002</v>
      </c>
      <c r="EB624" s="119">
        <f t="shared" si="519"/>
        <v>0</v>
      </c>
      <c r="EC624" s="121">
        <f t="shared" si="520"/>
        <v>4.3840985442329234</v>
      </c>
      <c r="ED624" s="122"/>
      <c r="EE624" s="145">
        <v>8</v>
      </c>
      <c r="EF624" s="115">
        <v>31</v>
      </c>
      <c r="EG624" s="115">
        <v>68</v>
      </c>
      <c r="EH624" s="115">
        <v>30</v>
      </c>
      <c r="EI624" s="128" t="s">
        <v>195</v>
      </c>
      <c r="EJ624" s="121">
        <v>24</v>
      </c>
      <c r="EK624" s="121">
        <v>0</v>
      </c>
      <c r="EL624" s="149">
        <v>3.4108800000000001</v>
      </c>
      <c r="EM624" s="142">
        <v>5</v>
      </c>
      <c r="EN624" s="119">
        <v>18.399999999999999</v>
      </c>
      <c r="EO624" s="115">
        <v>16</v>
      </c>
      <c r="EP624" s="115">
        <v>1172.7178909841448</v>
      </c>
      <c r="EQ624" s="115">
        <v>68</v>
      </c>
      <c r="ER624" s="115">
        <v>12</v>
      </c>
      <c r="ES624" s="115">
        <v>103</v>
      </c>
      <c r="ET624" s="150">
        <v>0.14705882352941177</v>
      </c>
      <c r="EU624" s="145">
        <f t="shared" si="521"/>
        <v>8</v>
      </c>
      <c r="EV624" s="115">
        <f t="shared" si="508"/>
        <v>35</v>
      </c>
      <c r="EW624" s="115">
        <f t="shared" si="508"/>
        <v>46</v>
      </c>
      <c r="EX624" s="115">
        <f t="shared" si="508"/>
        <v>33</v>
      </c>
      <c r="EY624" s="115" t="str">
        <f t="shared" si="489"/>
        <v>Постоянный</v>
      </c>
      <c r="EZ624" s="115">
        <f t="shared" si="489"/>
        <v>24</v>
      </c>
      <c r="FA624" s="115">
        <f t="shared" si="489"/>
        <v>0</v>
      </c>
      <c r="FB624" s="149">
        <f t="shared" si="524"/>
        <v>5.8185599999999997</v>
      </c>
      <c r="FC624" s="142">
        <f t="shared" si="524"/>
        <v>8</v>
      </c>
      <c r="FD624" s="119">
        <f t="shared" si="524"/>
        <v>13</v>
      </c>
      <c r="FE624" s="121">
        <f t="shared" si="524"/>
        <v>15</v>
      </c>
      <c r="FF624" s="121">
        <f t="shared" si="462"/>
        <v>1546.7744596601221</v>
      </c>
      <c r="FG624" s="121">
        <f t="shared" si="509"/>
        <v>70</v>
      </c>
      <c r="FH624" s="121">
        <f t="shared" si="491"/>
        <v>6</v>
      </c>
      <c r="FI624" s="121">
        <f t="shared" si="483"/>
        <v>90</v>
      </c>
      <c r="FJ624" s="144">
        <f t="shared" si="510"/>
        <v>0.1702127659574468</v>
      </c>
      <c r="FK624" s="132">
        <f t="shared" si="511"/>
        <v>0</v>
      </c>
      <c r="FL624" s="115">
        <f t="shared" si="511"/>
        <v>4</v>
      </c>
      <c r="FM624" s="115">
        <f t="shared" si="511"/>
        <v>-22</v>
      </c>
      <c r="FN624" s="115">
        <f t="shared" si="511"/>
        <v>3</v>
      </c>
      <c r="FO624" s="115">
        <f t="shared" si="492"/>
        <v>0</v>
      </c>
      <c r="FP624" s="115">
        <f t="shared" si="492"/>
        <v>0</v>
      </c>
      <c r="FQ624" s="149">
        <f t="shared" si="492"/>
        <v>2.4076799999999996</v>
      </c>
      <c r="FR624" s="142">
        <f t="shared" si="492"/>
        <v>3</v>
      </c>
      <c r="FS624" s="119">
        <f t="shared" si="492"/>
        <v>-5.3999999999999986</v>
      </c>
      <c r="FT624" s="121">
        <f t="shared" si="492"/>
        <v>-1</v>
      </c>
      <c r="FU624" s="121">
        <f t="shared" si="512"/>
        <v>2</v>
      </c>
      <c r="FV624" s="121">
        <f t="shared" si="512"/>
        <v>-6</v>
      </c>
      <c r="FW624" s="121">
        <f t="shared" si="513"/>
        <v>374.05656867597736</v>
      </c>
      <c r="FX624" s="121">
        <f t="shared" si="514"/>
        <v>-13</v>
      </c>
      <c r="FY624" s="144">
        <f t="shared" si="502"/>
        <v>2.3153942428035035E-2</v>
      </c>
      <c r="FZ624" s="145" t="s">
        <v>199</v>
      </c>
      <c r="GA624" s="151" t="s">
        <v>2086</v>
      </c>
      <c r="GB624" s="145"/>
      <c r="GC624" s="151"/>
      <c r="GD624" s="997" t="s">
        <v>220</v>
      </c>
      <c r="GE624" s="1004"/>
      <c r="GF624" s="1004">
        <v>0.68217600000000012</v>
      </c>
      <c r="GG624" s="1004"/>
      <c r="GH624" s="1004">
        <v>0</v>
      </c>
      <c r="GI624" s="145" t="s">
        <v>199</v>
      </c>
      <c r="GJ624" s="996">
        <v>-1.9373798400000006</v>
      </c>
      <c r="GK624" s="145"/>
      <c r="GL624" s="996">
        <v>-0.11583615999999974</v>
      </c>
      <c r="GM624" s="1005" t="s">
        <v>199</v>
      </c>
      <c r="GN624" s="996">
        <v>1.6787866480000004</v>
      </c>
      <c r="GO624" s="1006"/>
      <c r="GP624" s="996">
        <v>0</v>
      </c>
      <c r="GQ624" s="1006" t="s">
        <v>199</v>
      </c>
      <c r="GR624" s="996">
        <v>-2.3818089767999999</v>
      </c>
      <c r="GS624" s="1006" t="s">
        <v>146</v>
      </c>
      <c r="GT624" s="996">
        <v>-6.2399576712</v>
      </c>
      <c r="GU624" s="1006" t="s">
        <v>199</v>
      </c>
      <c r="GV624" s="996">
        <v>-4.356145200000002</v>
      </c>
      <c r="GW624" s="1006"/>
      <c r="GX624" s="996">
        <v>0</v>
      </c>
      <c r="GY624" s="1006"/>
      <c r="GZ624" s="996">
        <v>-0.14978571035999977</v>
      </c>
      <c r="HA624" s="1006" t="s">
        <v>199</v>
      </c>
      <c r="HB624" s="996">
        <v>14.327258910360001</v>
      </c>
      <c r="HC624" s="1006" t="s">
        <v>2087</v>
      </c>
      <c r="HD624" s="996">
        <v>-13.449149999999999</v>
      </c>
      <c r="HE624" s="1006"/>
      <c r="HF624" s="996">
        <v>0</v>
      </c>
      <c r="HG624" s="1006"/>
      <c r="HH624" s="996">
        <v>0</v>
      </c>
      <c r="HI624" s="1006" t="s">
        <v>199</v>
      </c>
      <c r="HJ624" s="996">
        <v>-15.592486799999998</v>
      </c>
      <c r="HK624" s="1006" t="s">
        <v>223</v>
      </c>
      <c r="HL624" s="996">
        <v>-8.36</v>
      </c>
      <c r="HM624" s="1006" t="s">
        <v>203</v>
      </c>
      <c r="HN624" s="996">
        <v>-15.110916289920002</v>
      </c>
      <c r="HO624" s="1006" t="s">
        <v>25</v>
      </c>
      <c r="HP624" s="996">
        <v>33.502916289920002</v>
      </c>
      <c r="HQ624" s="1006"/>
      <c r="HR624" s="996"/>
      <c r="HS624" s="1006"/>
      <c r="HT624" s="996"/>
      <c r="HU624" s="1006"/>
      <c r="HV624" s="996"/>
      <c r="HW624" s="1006"/>
      <c r="HX624" s="996"/>
      <c r="HY624" s="1006"/>
      <c r="HZ624" s="996"/>
      <c r="IA624" s="1006"/>
      <c r="IB624" s="996"/>
      <c r="IC624" s="1006"/>
      <c r="ID624" s="996"/>
      <c r="IE624" s="1006"/>
      <c r="IF624" s="996"/>
      <c r="IG624" s="1006"/>
      <c r="IH624" s="996"/>
      <c r="II624" s="1006"/>
      <c r="IJ624" s="996"/>
      <c r="IK624" s="1006"/>
      <c r="IL624" s="996"/>
      <c r="IM624" s="1006"/>
      <c r="IN624" s="996"/>
      <c r="IO624" s="1006"/>
      <c r="IP624" s="996"/>
      <c r="IQ624" s="1006"/>
      <c r="IR624" s="996"/>
      <c r="IS624" s="1006"/>
      <c r="IT624" s="996"/>
      <c r="IU624" s="1006"/>
      <c r="IV624" s="996"/>
      <c r="IW624" s="1006"/>
      <c r="IX624" s="996"/>
      <c r="IY624" s="1006"/>
      <c r="IZ624" s="996"/>
      <c r="JA624" s="1006"/>
      <c r="JB624" s="996"/>
      <c r="JC624" s="1006"/>
      <c r="JD624" s="996"/>
      <c r="JE624" s="1006"/>
      <c r="JF624" s="996"/>
      <c r="JG624" s="1006"/>
      <c r="JH624" s="996"/>
      <c r="JI624" s="1006"/>
      <c r="JJ624" s="996"/>
      <c r="JK624" s="1007"/>
      <c r="JL624" s="1007"/>
      <c r="JM624" s="1007"/>
      <c r="JN624" s="1007"/>
      <c r="JO624" s="1067"/>
      <c r="JP624" s="1007"/>
      <c r="JQ624" s="1008"/>
      <c r="JR624" s="1007"/>
      <c r="JS624" s="1008"/>
      <c r="JT624" s="1007"/>
      <c r="JU624" s="1008"/>
      <c r="JV624" s="1007"/>
      <c r="JW624" s="1008"/>
      <c r="JX624" s="1007"/>
      <c r="JY624" s="1008"/>
      <c r="JZ624" s="1007"/>
      <c r="KA624" s="1008"/>
      <c r="KB624" s="1007"/>
      <c r="KC624" s="1008"/>
      <c r="KD624" s="1007"/>
      <c r="KE624" s="1008"/>
      <c r="KF624" s="1007"/>
      <c r="KG624" s="1008"/>
      <c r="KH624" s="1007"/>
      <c r="KI624" s="1008"/>
      <c r="KJ624" s="1007"/>
      <c r="KK624" s="1008"/>
      <c r="KL624" s="1007"/>
      <c r="KM624" s="1008"/>
      <c r="KN624" s="1007"/>
      <c r="KO624" s="1008"/>
      <c r="KP624" s="1007"/>
      <c r="KQ624" s="1008"/>
      <c r="KR624" s="1007"/>
      <c r="KS624" s="1008"/>
      <c r="KT624" s="1007"/>
      <c r="KU624" s="1008"/>
      <c r="KV624" s="1007"/>
      <c r="KW624" s="1008"/>
      <c r="KX624" s="1007"/>
      <c r="KY624" s="1008"/>
      <c r="KZ624" s="1007"/>
      <c r="LA624" s="1008"/>
      <c r="LB624" s="1007"/>
      <c r="LC624" s="1008"/>
      <c r="LD624" s="1007"/>
      <c r="LE624" s="1008"/>
      <c r="LF624" s="1007"/>
      <c r="LG624" s="1008"/>
      <c r="LH624" s="1007"/>
      <c r="LI624" s="1008"/>
      <c r="LJ624" s="1007"/>
      <c r="LK624" s="1008"/>
      <c r="LL624" s="1007"/>
      <c r="LM624" s="1008"/>
      <c r="LN624" s="1007"/>
      <c r="LO624" s="1008"/>
      <c r="LP624" s="1007"/>
      <c r="LQ624" s="1008"/>
      <c r="LR624" s="1007"/>
      <c r="LS624" s="1008"/>
      <c r="LT624" s="1007"/>
      <c r="LU624" s="1008"/>
      <c r="LV624" s="1007"/>
      <c r="LW624" s="1008"/>
      <c r="LX624" s="1007"/>
      <c r="LY624" s="1009"/>
      <c r="LZ624" s="1010"/>
      <c r="MA624" s="1011"/>
      <c r="MB624" s="1012"/>
      <c r="MC624" s="995"/>
      <c r="MD624" s="996"/>
      <c r="ME624" s="997" t="s">
        <v>220</v>
      </c>
      <c r="MF624" s="997"/>
      <c r="MG624" s="998"/>
      <c r="NR624" s="1000"/>
      <c r="NS624" s="1000"/>
      <c r="NT624" s="1001"/>
      <c r="NU624" s="1000"/>
      <c r="NV624" s="1001"/>
      <c r="NX624" s="1002"/>
      <c r="NZ624" s="1001"/>
      <c r="OA624" s="1001"/>
      <c r="OC624" s="1003"/>
      <c r="OD624" s="1003"/>
      <c r="OE624" s="1001"/>
      <c r="OF624" s="1003"/>
      <c r="OG624" s="1003"/>
      <c r="QX624" s="1000">
        <f>CN624-CA624</f>
        <v>55</v>
      </c>
      <c r="ASU624" s="999" t="s">
        <v>208</v>
      </c>
    </row>
    <row r="625" spans="1:466 1191:1191" ht="21" customHeight="1" x14ac:dyDescent="0.25">
      <c r="A625" s="982">
        <f t="shared" si="503"/>
        <v>6305</v>
      </c>
      <c r="B625" s="124">
        <f>SUBTOTAL(103,$J$29:J625)</f>
        <v>597</v>
      </c>
      <c r="C625" s="126">
        <v>45068</v>
      </c>
      <c r="D625" s="124" t="s">
        <v>176</v>
      </c>
      <c r="E625" s="127" t="s">
        <v>177</v>
      </c>
      <c r="F625" s="128" t="s">
        <v>177</v>
      </c>
      <c r="G625" s="127" t="s">
        <v>178</v>
      </c>
      <c r="H625" s="127" t="s">
        <v>179</v>
      </c>
      <c r="I625" s="127" t="s">
        <v>2004</v>
      </c>
      <c r="J625" s="152">
        <v>6305</v>
      </c>
      <c r="K625" s="127" t="s">
        <v>2004</v>
      </c>
      <c r="L625" s="130">
        <v>44971</v>
      </c>
      <c r="M625" s="127" t="s">
        <v>230</v>
      </c>
      <c r="N625" s="127" t="s">
        <v>1368</v>
      </c>
      <c r="O625" s="127" t="s">
        <v>185</v>
      </c>
      <c r="P625" s="127" t="s">
        <v>186</v>
      </c>
      <c r="Q625" s="85" t="str">
        <f t="shared" si="523"/>
        <v/>
      </c>
      <c r="R625" s="130"/>
      <c r="S625" s="128"/>
      <c r="T625" s="131"/>
      <c r="U625" s="132">
        <v>203</v>
      </c>
      <c r="V625" s="121">
        <v>218.2</v>
      </c>
      <c r="W625" s="116">
        <v>0.98</v>
      </c>
      <c r="X625" s="116">
        <v>1.66</v>
      </c>
      <c r="Y625" s="116">
        <f t="shared" si="522"/>
        <v>0.98</v>
      </c>
      <c r="Z625" s="133">
        <v>1.454</v>
      </c>
      <c r="AA625" s="133">
        <v>0.83599999999999997</v>
      </c>
      <c r="AB625" s="133">
        <v>0.72</v>
      </c>
      <c r="AC625" s="121">
        <v>34.299999999999997</v>
      </c>
      <c r="AD625" s="134">
        <v>1.17</v>
      </c>
      <c r="AE625" s="124">
        <v>178</v>
      </c>
      <c r="AF625" s="128">
        <v>9.1999999999999993</v>
      </c>
      <c r="AG625" s="128">
        <v>2300</v>
      </c>
      <c r="AH625" s="127">
        <v>3100</v>
      </c>
      <c r="AI625" s="127">
        <v>3100</v>
      </c>
      <c r="AJ625" s="135">
        <v>44931</v>
      </c>
      <c r="AK625" s="128" t="s">
        <v>1018</v>
      </c>
      <c r="AL625" s="131"/>
      <c r="AM625" s="124" t="s">
        <v>1921</v>
      </c>
      <c r="AN625" s="136" t="s">
        <v>2088</v>
      </c>
      <c r="AO625" s="137">
        <v>800</v>
      </c>
      <c r="AP625" s="128">
        <v>2300</v>
      </c>
      <c r="AQ625" s="128"/>
      <c r="AR625" s="128"/>
      <c r="AS625" s="128"/>
      <c r="AT625" s="122"/>
      <c r="AU625" s="124" t="s">
        <v>189</v>
      </c>
      <c r="AV625" s="115">
        <f>VLOOKUP(J625,'[63]ТР нефть'!$J$28:$BP$638,39,0)</f>
        <v>460.00001513699999</v>
      </c>
      <c r="AW625" s="115" t="str">
        <f>VLOOKUP(J625,'[63]ТР нефть'!$J$28:$BP$638,40,0)</f>
        <v>ГП</v>
      </c>
      <c r="AX625" s="115">
        <f>VLOOKUP(J625,'[63]ТР нефть'!$J$28:$BP$638,41,0)</f>
        <v>1020.000028711</v>
      </c>
      <c r="AY625" s="115" t="str">
        <f>VLOOKUP(J625,'[63]ТР нефть'!$J$28:$BP$638,42,0)</f>
        <v>ГК77 1/8</v>
      </c>
      <c r="AZ625" s="115">
        <f>VLOOKUP(J625,'[63]ТР нефть'!$J$28:$BP$638,43,0)</f>
        <v>1419.9999480470001</v>
      </c>
      <c r="BA625" s="115" t="str">
        <f>VLOOKUP(J625,'[63]ТР нефть'!$J$28:$BP$638,44,0)</f>
        <v>ГК76 1/8</v>
      </c>
      <c r="BB625" s="115">
        <f>VLOOKUP(J625,'[63]ТР нефть'!$J$28:$BP$638,45,0)</f>
        <v>1760</v>
      </c>
      <c r="BC625" s="115" t="str">
        <f>VLOOKUP(J625,'[63]ТР нефть'!$J$28:$BP$638,46,0)</f>
        <v>ГК 75 5/32</v>
      </c>
      <c r="BD625" s="115">
        <f>VLOOKUP(J625,'[63]ТР нефть'!$J$28:$BP$638,47,0)</f>
        <v>1969.999939453</v>
      </c>
      <c r="BE625" s="115" t="str">
        <f>VLOOKUP(J625,'[63]ТР нефть'!$J$28:$BP$638,48,0)</f>
        <v>ЦКсОК 5/16</v>
      </c>
      <c r="BF625" s="115" t="str">
        <f>VLOOKUP(J625,'[63]ТР нефть'!$J$28:$BP$638,49,0)</f>
        <v>-</v>
      </c>
      <c r="BG625" s="115" t="str">
        <f>VLOOKUP(J625,'[63]ТР нефть'!$J$28:$BP$638,50,0)</f>
        <v>-</v>
      </c>
      <c r="BH625" s="115" t="str">
        <f>VLOOKUP(J625,'[63]ТР нефть'!$J$28:$BP$638,51,0)</f>
        <v>-</v>
      </c>
      <c r="BI625" s="115" t="str">
        <f>VLOOKUP(J625,'[63]ТР нефть'!$J$28:$BP$638,52,0)</f>
        <v>-</v>
      </c>
      <c r="BJ625" s="115" t="str">
        <f>IF(IFERROR(VLOOKUP(J625,'[63]ТР нефть'!$J$28:$BP$638,53,0),"-")=0,"-",IFERROR(VLOOKUP(J625,'[63]ТР нефть'!$J$28:$BP$638,53,0),"-"))</f>
        <v>-</v>
      </c>
      <c r="BK625" s="138" t="str">
        <f>IF(IFERROR(VLOOKUP(J625,'[63]ТР нефть'!$J$28:$BP$638,54,0),"-")=0,"-",IFERROR(VLOOKUP(J625,'[63]ТР нефть'!$J$28:$BP$638,54,0),"-"))</f>
        <v>-</v>
      </c>
      <c r="BL625" s="138" t="str">
        <f>IF(IFERROR(VLOOKUP(J625,'[63]ТР нефть'!$J$28:$BP$638,55,0),"-")=0,"-",IFERROR(VLOOKUP(J625,'[63]ТР нефть'!$J$28:$BP$638,55,0),"-"))</f>
        <v>-</v>
      </c>
      <c r="BM625" s="138" t="str">
        <f>IF(IFERROR(VLOOKUP(J625,'[63]ТР нефть'!$J$28:$BP$638,56,0),"-")=0,"-",IFERROR(VLOOKUP(J625,'[63]ТР нефть'!$J$28:$BP$638,56,0),"-"))</f>
        <v>-</v>
      </c>
      <c r="BN625" s="138" t="str">
        <f>IF(IFERROR(VLOOKUP(J625,'[63]ТР нефть'!$J$28:$BP$638,57,0),"-")=0,"-",IFERROR(VLOOKUP(J625,'[63]ТР нефть'!$J$28:$BP$638,57,0),"-"))</f>
        <v>-</v>
      </c>
      <c r="BO625" s="115" t="str">
        <f>IF(IFERROR(VLOOKUP(J625,'[63]ТР нефть'!$J$28:$BP$638,58,0),"-")=0,"-",IFERROR(VLOOKUP(J625,'[63]ТР нефть'!$J$28:$BP$638,58,0),"-"))</f>
        <v>-</v>
      </c>
      <c r="BP625" s="115" t="str">
        <f>IF(IFERROR(VLOOKUP(J625,'[63]ТР нефть'!$J$28:$BP$638,59,0),"-")=0,"-",IFERROR(VLOOKUP(J625,'[63]ТР нефть'!$J$28:$BP$638,59,0),"-"))</f>
        <v>-</v>
      </c>
      <c r="BQ625" s="138">
        <v>2350</v>
      </c>
      <c r="BR625" s="128"/>
      <c r="BS625" s="228">
        <f t="shared" ref="BS625:BS633" si="526">BQ625-BR625</f>
        <v>2350</v>
      </c>
      <c r="BT625" s="128">
        <v>73</v>
      </c>
      <c r="BU625" s="128">
        <v>5.5</v>
      </c>
      <c r="BV625" s="127">
        <v>18</v>
      </c>
      <c r="BW625" s="127" t="s">
        <v>234</v>
      </c>
      <c r="BX625" s="127" t="s">
        <v>195</v>
      </c>
      <c r="BY625" s="139">
        <v>24</v>
      </c>
      <c r="BZ625" s="139">
        <v>0</v>
      </c>
      <c r="CA625" s="138">
        <v>38</v>
      </c>
      <c r="CB625" s="138">
        <v>47</v>
      </c>
      <c r="CC625" s="138">
        <v>37</v>
      </c>
      <c r="CD625" s="135">
        <v>45017</v>
      </c>
      <c r="CE625" s="138">
        <v>138</v>
      </c>
      <c r="CF625" s="138">
        <v>64</v>
      </c>
      <c r="CG625" s="138"/>
      <c r="CH625" s="138"/>
      <c r="CI625" s="127"/>
      <c r="CJ625" s="138"/>
      <c r="CK625" s="138">
        <f t="shared" si="488"/>
        <v>33</v>
      </c>
      <c r="CL625" s="99"/>
      <c r="CM625" s="99"/>
      <c r="CN625" s="140">
        <v>71</v>
      </c>
      <c r="CO625" s="141">
        <f t="shared" si="504"/>
        <v>9.7811999999999983</v>
      </c>
      <c r="CP625" s="142">
        <v>11.7</v>
      </c>
      <c r="CQ625" s="143">
        <v>0</v>
      </c>
      <c r="CR625" s="138">
        <v>16.2</v>
      </c>
      <c r="CS625" s="139">
        <v>12</v>
      </c>
      <c r="CT625" s="138"/>
      <c r="CU625" s="138">
        <f t="shared" si="475"/>
        <v>4.1999999999999993</v>
      </c>
      <c r="CV625" s="115">
        <f t="shared" si="476"/>
        <v>429.3951662372715</v>
      </c>
      <c r="CW625" s="115">
        <f t="shared" si="505"/>
        <v>1226.8433321064902</v>
      </c>
      <c r="CX625" s="133">
        <f t="shared" si="477"/>
        <v>0.17462686567164179</v>
      </c>
      <c r="CY625" s="116"/>
      <c r="CZ625" s="131"/>
      <c r="DA625" s="145" t="str">
        <f t="shared" si="478"/>
        <v>Газлифт</v>
      </c>
      <c r="DB625" s="146">
        <f t="shared" ref="DB625" si="527">IFERROR(DC625*(1-DD625/100)*$AA625,"-")</f>
        <v>9.7811999999999983</v>
      </c>
      <c r="DC625" s="142">
        <f t="shared" ref="DC625:DC657" si="528">IFERROR(IF(AND(FZ625="Технология",FQ625&lt;$JC$24),EM625,CP625),"-")</f>
        <v>11.7</v>
      </c>
      <c r="DD625" s="119">
        <f t="shared" ref="DD625:DD657" si="529">IFERROR(IF(AND(FZ625="Технология",FQ625&lt;$JC$29),EN625,CQ625),"-")</f>
        <v>0</v>
      </c>
      <c r="DE625" s="115">
        <f t="shared" ref="DE625:DE657" si="530">CU625</f>
        <v>4.1999999999999993</v>
      </c>
      <c r="DF625" s="121">
        <f t="shared" ref="DF625:DF657" si="531">CS625</f>
        <v>12</v>
      </c>
      <c r="DG625" s="115">
        <f t="shared" si="506"/>
        <v>429.3951662372715</v>
      </c>
      <c r="DH625" s="115">
        <f t="shared" si="507"/>
        <v>71</v>
      </c>
      <c r="DI625" s="147"/>
      <c r="DJ625" s="111"/>
      <c r="DK625" s="112"/>
      <c r="DL625" s="113"/>
      <c r="DM625" s="114"/>
      <c r="DN625" s="114"/>
      <c r="DO625" s="114"/>
      <c r="DP625" s="114"/>
      <c r="DQ625" s="112"/>
      <c r="DR625" s="114"/>
      <c r="DS625" s="114"/>
      <c r="DT625" s="115"/>
      <c r="DU625" s="116"/>
      <c r="DV625" s="117"/>
      <c r="DW625" s="118"/>
      <c r="DX625" s="119"/>
      <c r="DY625" s="115"/>
      <c r="DZ625" s="117"/>
      <c r="EA625" s="120"/>
      <c r="EB625" s="119"/>
      <c r="EC625" s="121"/>
      <c r="ED625" s="122"/>
      <c r="EE625" s="145">
        <v>18</v>
      </c>
      <c r="EF625" s="115">
        <v>36</v>
      </c>
      <c r="EG625" s="115">
        <v>64</v>
      </c>
      <c r="EH625" s="115">
        <v>35</v>
      </c>
      <c r="EI625" s="128" t="s">
        <v>195</v>
      </c>
      <c r="EJ625" s="121">
        <v>24</v>
      </c>
      <c r="EK625" s="121">
        <v>0</v>
      </c>
      <c r="EL625" s="149">
        <v>6.6879999999999997</v>
      </c>
      <c r="EM625" s="142">
        <v>8</v>
      </c>
      <c r="EN625" s="119">
        <v>0</v>
      </c>
      <c r="EO625" s="115">
        <v>16.2</v>
      </c>
      <c r="EP625" s="115">
        <v>627.99043062200951</v>
      </c>
      <c r="EQ625" s="115">
        <v>65</v>
      </c>
      <c r="ER625" s="115">
        <v>12</v>
      </c>
      <c r="ES625" s="115">
        <v>71</v>
      </c>
      <c r="ET625" s="150">
        <v>0.11940298507462686</v>
      </c>
      <c r="EU625" s="145">
        <f t="shared" si="521"/>
        <v>18</v>
      </c>
      <c r="EV625" s="115">
        <f t="shared" si="508"/>
        <v>38</v>
      </c>
      <c r="EW625" s="115">
        <f t="shared" si="508"/>
        <v>47</v>
      </c>
      <c r="EX625" s="115">
        <f t="shared" si="508"/>
        <v>37</v>
      </c>
      <c r="EY625" s="115" t="str">
        <f t="shared" si="489"/>
        <v>Постоянный</v>
      </c>
      <c r="EZ625" s="115">
        <f t="shared" si="489"/>
        <v>24</v>
      </c>
      <c r="FA625" s="115">
        <f t="shared" si="489"/>
        <v>0</v>
      </c>
      <c r="FB625" s="149">
        <f t="shared" si="524"/>
        <v>9.7811999999999983</v>
      </c>
      <c r="FC625" s="142">
        <f t="shared" si="524"/>
        <v>11.7</v>
      </c>
      <c r="FD625" s="119">
        <f t="shared" si="524"/>
        <v>0</v>
      </c>
      <c r="FE625" s="121">
        <f t="shared" si="524"/>
        <v>16.2</v>
      </c>
      <c r="FF625" s="121">
        <f t="shared" si="462"/>
        <v>429.3951662372715</v>
      </c>
      <c r="FG625" s="121">
        <f t="shared" si="509"/>
        <v>64</v>
      </c>
      <c r="FH625" s="121">
        <f t="shared" si="491"/>
        <v>12</v>
      </c>
      <c r="FI625" s="121">
        <f t="shared" si="483"/>
        <v>71</v>
      </c>
      <c r="FJ625" s="144">
        <f t="shared" si="510"/>
        <v>0.17462686567164179</v>
      </c>
      <c r="FK625" s="132">
        <f t="shared" si="511"/>
        <v>0</v>
      </c>
      <c r="FL625" s="115">
        <f t="shared" si="511"/>
        <v>2</v>
      </c>
      <c r="FM625" s="115">
        <f t="shared" si="511"/>
        <v>-17</v>
      </c>
      <c r="FN625" s="115">
        <f t="shared" si="511"/>
        <v>2</v>
      </c>
      <c r="FO625" s="115">
        <f t="shared" si="492"/>
        <v>0</v>
      </c>
      <c r="FP625" s="115">
        <f t="shared" si="492"/>
        <v>0</v>
      </c>
      <c r="FQ625" s="149">
        <f t="shared" si="492"/>
        <v>3.0931999999999986</v>
      </c>
      <c r="FR625" s="142">
        <f t="shared" si="492"/>
        <v>3.6999999999999993</v>
      </c>
      <c r="FS625" s="119">
        <f t="shared" si="492"/>
        <v>0</v>
      </c>
      <c r="FT625" s="121">
        <f t="shared" si="492"/>
        <v>0</v>
      </c>
      <c r="FU625" s="121">
        <f t="shared" si="512"/>
        <v>-1</v>
      </c>
      <c r="FV625" s="121">
        <f t="shared" si="512"/>
        <v>0</v>
      </c>
      <c r="FW625" s="121">
        <f t="shared" si="513"/>
        <v>-198.59526438473802</v>
      </c>
      <c r="FX625" s="121">
        <f t="shared" si="514"/>
        <v>0</v>
      </c>
      <c r="FY625" s="144">
        <f t="shared" si="502"/>
        <v>5.5223880597014927E-2</v>
      </c>
      <c r="FZ625" s="145" t="s">
        <v>199</v>
      </c>
      <c r="GA625" s="151" t="s">
        <v>2089</v>
      </c>
      <c r="GB625" s="145" t="s">
        <v>199</v>
      </c>
      <c r="GC625" s="151" t="s">
        <v>2090</v>
      </c>
      <c r="GD625" s="997" t="s">
        <v>220</v>
      </c>
      <c r="GE625" s="1004" t="s">
        <v>199</v>
      </c>
      <c r="GF625" s="1004">
        <v>-3.3440000000000003</v>
      </c>
      <c r="GG625" s="1004"/>
      <c r="GH625" s="1004">
        <v>0</v>
      </c>
      <c r="GI625" s="145" t="s">
        <v>435</v>
      </c>
      <c r="GJ625" s="996">
        <v>-5.3612579679999985</v>
      </c>
      <c r="GK625" s="145"/>
      <c r="GL625" s="996"/>
      <c r="GM625" s="1005"/>
      <c r="GN625" s="996"/>
      <c r="GO625" s="1006"/>
      <c r="GP625" s="996"/>
      <c r="GQ625" s="1006"/>
      <c r="GR625" s="996"/>
      <c r="GS625" s="1006"/>
      <c r="GT625" s="996"/>
      <c r="GU625" s="1006"/>
      <c r="GV625" s="996"/>
      <c r="GW625" s="1006"/>
      <c r="GX625" s="996"/>
      <c r="GY625" s="1006"/>
      <c r="GZ625" s="996"/>
      <c r="HA625" s="1006"/>
      <c r="HB625" s="996"/>
      <c r="HC625" s="1006"/>
      <c r="HD625" s="996"/>
      <c r="HE625" s="1006"/>
      <c r="HF625" s="996"/>
      <c r="HG625" s="1006"/>
      <c r="HH625" s="996"/>
      <c r="HI625" s="1006"/>
      <c r="HJ625" s="996"/>
      <c r="HK625" s="1006"/>
      <c r="HL625" s="996"/>
      <c r="HM625" s="1006"/>
      <c r="HN625" s="996"/>
      <c r="HO625" s="1006"/>
      <c r="HP625" s="996"/>
      <c r="HQ625" s="1006"/>
      <c r="HR625" s="996"/>
      <c r="HS625" s="1006"/>
      <c r="HT625" s="996"/>
      <c r="HU625" s="1006"/>
      <c r="HV625" s="996"/>
      <c r="HW625" s="1006"/>
      <c r="HX625" s="996"/>
      <c r="HY625" s="1006"/>
      <c r="HZ625" s="996"/>
      <c r="IA625" s="1006"/>
      <c r="IB625" s="996"/>
      <c r="IC625" s="1006"/>
      <c r="ID625" s="996"/>
      <c r="IE625" s="1006"/>
      <c r="IF625" s="996"/>
      <c r="IG625" s="1006"/>
      <c r="IH625" s="996"/>
      <c r="II625" s="1006"/>
      <c r="IJ625" s="996"/>
      <c r="IK625" s="1006"/>
      <c r="IL625" s="996"/>
      <c r="IM625" s="1006"/>
      <c r="IN625" s="996"/>
      <c r="IO625" s="1006"/>
      <c r="IP625" s="996"/>
      <c r="IQ625" s="1006"/>
      <c r="IR625" s="996"/>
      <c r="IS625" s="1006"/>
      <c r="IT625" s="996"/>
      <c r="IU625" s="1006"/>
      <c r="IV625" s="996"/>
      <c r="IW625" s="1006"/>
      <c r="IX625" s="996"/>
      <c r="IY625" s="1006"/>
      <c r="IZ625" s="996"/>
      <c r="JA625" s="1006"/>
      <c r="JB625" s="996"/>
      <c r="JC625" s="1006"/>
      <c r="JD625" s="996"/>
      <c r="JE625" s="1006"/>
      <c r="JF625" s="996"/>
      <c r="JG625" s="1006"/>
      <c r="JH625" s="996"/>
      <c r="JI625" s="1006"/>
      <c r="JJ625" s="996"/>
      <c r="JK625" s="1007"/>
      <c r="JL625" s="1007"/>
      <c r="JM625" s="1007"/>
      <c r="JN625" s="1007"/>
      <c r="JO625" s="1067"/>
      <c r="JP625" s="1007"/>
      <c r="JQ625" s="1008"/>
      <c r="JR625" s="1007"/>
      <c r="JS625" s="1008"/>
      <c r="JT625" s="1007"/>
      <c r="JU625" s="1008"/>
      <c r="JV625" s="1007"/>
      <c r="JW625" s="1008"/>
      <c r="JX625" s="1007"/>
      <c r="JY625" s="1008"/>
      <c r="JZ625" s="1007"/>
      <c r="KA625" s="1008"/>
      <c r="KB625" s="1007"/>
      <c r="KC625" s="1008"/>
      <c r="KD625" s="1007"/>
      <c r="KE625" s="1008"/>
      <c r="KF625" s="1007"/>
      <c r="KG625" s="1008"/>
      <c r="KH625" s="1007"/>
      <c r="KI625" s="1008"/>
      <c r="KJ625" s="1007"/>
      <c r="KK625" s="1008"/>
      <c r="KL625" s="1007"/>
      <c r="KM625" s="1008"/>
      <c r="KN625" s="1007"/>
      <c r="KO625" s="1008"/>
      <c r="KP625" s="1007"/>
      <c r="KQ625" s="1008"/>
      <c r="KR625" s="1007"/>
      <c r="KS625" s="1008"/>
      <c r="KT625" s="1007"/>
      <c r="KU625" s="1008"/>
      <c r="KV625" s="1007"/>
      <c r="KW625" s="1008"/>
      <c r="KX625" s="1007"/>
      <c r="KY625" s="1008"/>
      <c r="KZ625" s="1007"/>
      <c r="LA625" s="1008"/>
      <c r="LB625" s="1007"/>
      <c r="LC625" s="1008"/>
      <c r="LD625" s="1007"/>
      <c r="LE625" s="1008"/>
      <c r="LF625" s="1007"/>
      <c r="LG625" s="1008"/>
      <c r="LH625" s="1007"/>
      <c r="LI625" s="1008"/>
      <c r="LJ625" s="1007"/>
      <c r="LK625" s="1008"/>
      <c r="LL625" s="1007"/>
      <c r="LM625" s="1008"/>
      <c r="LN625" s="1007"/>
      <c r="LO625" s="1008"/>
      <c r="LP625" s="1007"/>
      <c r="LQ625" s="1008"/>
      <c r="LR625" s="1007"/>
      <c r="LS625" s="1008"/>
      <c r="LT625" s="1007"/>
      <c r="LU625" s="1008"/>
      <c r="LV625" s="1007"/>
      <c r="LW625" s="1008"/>
      <c r="LX625" s="1007"/>
      <c r="LY625" s="1009"/>
      <c r="LZ625" s="1010"/>
      <c r="MA625" s="1011"/>
      <c r="MB625" s="1012"/>
      <c r="MC625" s="995"/>
      <c r="MD625" s="996"/>
      <c r="ME625" s="997" t="s">
        <v>220</v>
      </c>
      <c r="MF625" s="997"/>
      <c r="MG625" s="998"/>
      <c r="NR625" s="1000"/>
      <c r="NS625" s="1000"/>
      <c r="NT625" s="1001"/>
      <c r="NU625" s="1000"/>
      <c r="NV625" s="1001"/>
      <c r="NX625" s="1002"/>
      <c r="NZ625" s="1001"/>
      <c r="OA625" s="1001"/>
      <c r="OC625" s="1003"/>
      <c r="OD625" s="1003"/>
      <c r="OE625" s="1001"/>
      <c r="OF625" s="1003"/>
      <c r="OG625" s="1003"/>
      <c r="QX625" s="1000">
        <f>CN625-CA625</f>
        <v>33</v>
      </c>
    </row>
    <row r="626" spans="1:466 1191:1191" ht="21" customHeight="1" x14ac:dyDescent="0.25">
      <c r="A626" s="982">
        <f t="shared" si="503"/>
        <v>6306</v>
      </c>
      <c r="B626" s="124">
        <f>SUBTOTAL(103,$J$29:J626)</f>
        <v>598</v>
      </c>
      <c r="C626" s="126">
        <v>45068</v>
      </c>
      <c r="D626" s="124" t="s">
        <v>176</v>
      </c>
      <c r="E626" s="127" t="s">
        <v>177</v>
      </c>
      <c r="F626" s="128" t="s">
        <v>177</v>
      </c>
      <c r="G626" s="127" t="s">
        <v>178</v>
      </c>
      <c r="H626" s="127" t="s">
        <v>179</v>
      </c>
      <c r="I626" s="127" t="s">
        <v>2004</v>
      </c>
      <c r="J626" s="152">
        <v>6306</v>
      </c>
      <c r="K626" s="127" t="s">
        <v>2004</v>
      </c>
      <c r="L626" s="130">
        <v>45026</v>
      </c>
      <c r="M626" s="127" t="s">
        <v>230</v>
      </c>
      <c r="N626" s="127" t="s">
        <v>1368</v>
      </c>
      <c r="O626" s="127" t="s">
        <v>185</v>
      </c>
      <c r="P626" s="127" t="s">
        <v>186</v>
      </c>
      <c r="Q626" s="85" t="str">
        <f t="shared" si="523"/>
        <v/>
      </c>
      <c r="R626" s="130"/>
      <c r="S626" s="128"/>
      <c r="T626" s="131"/>
      <c r="U626" s="132">
        <v>203</v>
      </c>
      <c r="V626" s="121">
        <v>218.2</v>
      </c>
      <c r="W626" s="116">
        <v>0.98</v>
      </c>
      <c r="X626" s="116">
        <v>1.66</v>
      </c>
      <c r="Y626" s="116">
        <f t="shared" si="522"/>
        <v>0.98</v>
      </c>
      <c r="Z626" s="133">
        <v>1.454</v>
      </c>
      <c r="AA626" s="133">
        <v>0.83599999999999997</v>
      </c>
      <c r="AB626" s="133">
        <v>0.72</v>
      </c>
      <c r="AC626" s="121">
        <v>34.299999999999997</v>
      </c>
      <c r="AD626" s="134">
        <v>1.17</v>
      </c>
      <c r="AE626" s="124">
        <v>178</v>
      </c>
      <c r="AF626" s="128">
        <v>9.1999999999999993</v>
      </c>
      <c r="AG626" s="128">
        <v>2120.6</v>
      </c>
      <c r="AH626" s="127">
        <v>2831</v>
      </c>
      <c r="AI626" s="127">
        <v>2831</v>
      </c>
      <c r="AJ626" s="135">
        <v>44962</v>
      </c>
      <c r="AK626" s="128" t="s">
        <v>1018</v>
      </c>
      <c r="AL626" s="131"/>
      <c r="AM626" s="124" t="s">
        <v>1921</v>
      </c>
      <c r="AN626" s="136" t="s">
        <v>2091</v>
      </c>
      <c r="AO626" s="137">
        <v>710.4</v>
      </c>
      <c r="AP626" s="128">
        <v>2120.6</v>
      </c>
      <c r="AQ626" s="128"/>
      <c r="AR626" s="128"/>
      <c r="AS626" s="128"/>
      <c r="AT626" s="122"/>
      <c r="AU626" s="124" t="s">
        <v>189</v>
      </c>
      <c r="AV626" s="115">
        <f>VLOOKUP(J626,'[63]ТР нефть'!$J$28:$BP$638,39,0)</f>
        <v>540</v>
      </c>
      <c r="AW626" s="115" t="str">
        <f>VLOOKUP(J626,'[63]ТР нефть'!$J$28:$BP$638,40,0)</f>
        <v>ГП</v>
      </c>
      <c r="AX626" s="115">
        <f>VLOOKUP(J626,'[63]ТР нефть'!$J$28:$BP$638,41,0)</f>
        <v>1030</v>
      </c>
      <c r="AY626" s="115" t="str">
        <f>VLOOKUP(J626,'[63]ТР нефть'!$J$28:$BP$638,42,0)</f>
        <v>ГК75 1/8</v>
      </c>
      <c r="AZ626" s="115">
        <f>VLOOKUP(J626,'[63]ТР нефть'!$J$28:$BP$638,43,0)</f>
        <v>1380</v>
      </c>
      <c r="BA626" s="115" t="str">
        <f>VLOOKUP(J626,'[63]ТР нефть'!$J$28:$BP$638,44,0)</f>
        <v>ГК74 1/8</v>
      </c>
      <c r="BB626" s="115">
        <f>VLOOKUP(J626,'[63]ТР нефть'!$J$28:$BP$638,45,0)</f>
        <v>1630</v>
      </c>
      <c r="BC626" s="115" t="str">
        <f>VLOOKUP(J626,'[63]ТР нефть'!$J$28:$BP$638,46,0)</f>
        <v>ГК 73 5/32</v>
      </c>
      <c r="BD626" s="115">
        <f>VLOOKUP(J626,'[63]ТР нефть'!$J$28:$BP$638,47,0)</f>
        <v>1890</v>
      </c>
      <c r="BE626" s="115" t="str">
        <f>VLOOKUP(J626,'[63]ТР нефть'!$J$28:$BP$638,48,0)</f>
        <v>ЦКсОК 5/16</v>
      </c>
      <c r="BF626" s="115" t="str">
        <f>VLOOKUP(J626,'[63]ТР нефть'!$J$28:$BP$638,49,0)</f>
        <v>-</v>
      </c>
      <c r="BG626" s="115" t="str">
        <f>VLOOKUP(J626,'[63]ТР нефть'!$J$28:$BP$638,50,0)</f>
        <v>-</v>
      </c>
      <c r="BH626" s="115" t="str">
        <f>VLOOKUP(J626,'[63]ТР нефть'!$J$28:$BP$638,51,0)</f>
        <v>-</v>
      </c>
      <c r="BI626" s="115" t="str">
        <f>VLOOKUP(J626,'[63]ТР нефть'!$J$28:$BP$638,52,0)</f>
        <v>-</v>
      </c>
      <c r="BJ626" s="115" t="str">
        <f>IF(IFERROR(VLOOKUP(J626,'[63]ТР нефть'!$J$28:$BP$638,53,0),"-")=0,"-",IFERROR(VLOOKUP(J626,'[63]ТР нефть'!$J$28:$BP$638,53,0),"-"))</f>
        <v>-</v>
      </c>
      <c r="BK626" s="138" t="str">
        <f>IF(IFERROR(VLOOKUP(J626,'[63]ТР нефть'!$J$28:$BP$638,54,0),"-")=0,"-",IFERROR(VLOOKUP(J626,'[63]ТР нефть'!$J$28:$BP$638,54,0),"-"))</f>
        <v>-</v>
      </c>
      <c r="BL626" s="138" t="str">
        <f>IF(IFERROR(VLOOKUP(J626,'[63]ТР нефть'!$J$28:$BP$638,55,0),"-")=0,"-",IFERROR(VLOOKUP(J626,'[63]ТР нефть'!$J$28:$BP$638,55,0),"-"))</f>
        <v>-</v>
      </c>
      <c r="BM626" s="138" t="str">
        <f>IF(IFERROR(VLOOKUP(J626,'[63]ТР нефть'!$J$28:$BP$638,56,0),"-")=0,"-",IFERROR(VLOOKUP(J626,'[63]ТР нефть'!$J$28:$BP$638,56,0),"-"))</f>
        <v>-</v>
      </c>
      <c r="BN626" s="138" t="str">
        <f>IF(IFERROR(VLOOKUP(J626,'[63]ТР нефть'!$J$28:$BP$638,57,0),"-")=0,"-",IFERROR(VLOOKUP(J626,'[63]ТР нефть'!$J$28:$BP$638,57,0),"-"))</f>
        <v>-</v>
      </c>
      <c r="BO626" s="115" t="str">
        <f>IF(IFERROR(VLOOKUP(J626,'[63]ТР нефть'!$J$28:$BP$638,58,0),"-")=0,"-",IFERROR(VLOOKUP(J626,'[63]ТР нефть'!$J$28:$BP$638,58,0),"-"))</f>
        <v>-</v>
      </c>
      <c r="BP626" s="115" t="str">
        <f>IF(IFERROR(VLOOKUP(J626,'[63]ТР нефть'!$J$28:$BP$638,59,0),"-")=0,"-",IFERROR(VLOOKUP(J626,'[63]ТР нефть'!$J$28:$BP$638,59,0),"-"))</f>
        <v>-</v>
      </c>
      <c r="BQ626" s="138">
        <v>2169</v>
      </c>
      <c r="BR626" s="128"/>
      <c r="BS626" s="128">
        <f t="shared" si="526"/>
        <v>2169</v>
      </c>
      <c r="BT626" s="128">
        <v>73</v>
      </c>
      <c r="BU626" s="128">
        <v>5.5</v>
      </c>
      <c r="BV626" s="127">
        <v>65</v>
      </c>
      <c r="BW626" s="127"/>
      <c r="BX626" s="127" t="s">
        <v>195</v>
      </c>
      <c r="BY626" s="139">
        <v>24</v>
      </c>
      <c r="BZ626" s="139">
        <v>0</v>
      </c>
      <c r="CA626" s="138">
        <v>38</v>
      </c>
      <c r="CB626" s="138">
        <v>55</v>
      </c>
      <c r="CC626" s="138">
        <v>37</v>
      </c>
      <c r="CD626" s="135">
        <v>45017</v>
      </c>
      <c r="CE626" s="138">
        <v>160</v>
      </c>
      <c r="CF626" s="138">
        <v>64</v>
      </c>
      <c r="CG626" s="138"/>
      <c r="CH626" s="138"/>
      <c r="CI626" s="127"/>
      <c r="CJ626" s="138"/>
      <c r="CK626" s="138">
        <f t="shared" si="488"/>
        <v>22</v>
      </c>
      <c r="CL626" s="99"/>
      <c r="CM626" s="99"/>
      <c r="CN626" s="140">
        <v>60</v>
      </c>
      <c r="CO626" s="141">
        <f t="shared" si="504"/>
        <v>14.0448</v>
      </c>
      <c r="CP626" s="142">
        <v>16.8</v>
      </c>
      <c r="CQ626" s="143">
        <v>0</v>
      </c>
      <c r="CR626" s="138">
        <v>16</v>
      </c>
      <c r="CS626" s="139">
        <v>12</v>
      </c>
      <c r="CT626" s="138"/>
      <c r="CU626" s="138">
        <f>IF(CR626&lt;&gt;"0",CR626-CS626,"0")</f>
        <v>4</v>
      </c>
      <c r="CV626" s="115">
        <f>(CR626-CS626)*1000/CO626</f>
        <v>284.80291638186372</v>
      </c>
      <c r="CW626" s="115">
        <f t="shared" si="505"/>
        <v>854.40874914559117</v>
      </c>
      <c r="CX626" s="133">
        <f>IF(CP626&lt;&gt;0,CP626/(CE626-CN626),0)</f>
        <v>0.16800000000000001</v>
      </c>
      <c r="CY626" s="116"/>
      <c r="CZ626" s="131"/>
      <c r="DA626" s="145" t="str">
        <f t="shared" si="478"/>
        <v>Газлифт</v>
      </c>
      <c r="DB626" s="146">
        <v>23</v>
      </c>
      <c r="DC626" s="142">
        <v>27.511961722488039</v>
      </c>
      <c r="DD626" s="119">
        <v>0</v>
      </c>
      <c r="DE626" s="115">
        <v>35</v>
      </c>
      <c r="DF626" s="121">
        <f>CS626</f>
        <v>12</v>
      </c>
      <c r="DG626" s="115">
        <f t="shared" si="506"/>
        <v>284.80291638186372</v>
      </c>
      <c r="DH626" s="115">
        <f>CN626</f>
        <v>60</v>
      </c>
      <c r="DI626" s="147"/>
      <c r="DJ626" s="111"/>
      <c r="DK626" s="112"/>
      <c r="DL626" s="113"/>
      <c r="DM626" s="114"/>
      <c r="DN626" s="114"/>
      <c r="DO626" s="114"/>
      <c r="DP626" s="114"/>
      <c r="DQ626" s="112"/>
      <c r="DR626" s="114"/>
      <c r="DS626" s="114"/>
      <c r="DT626" s="115"/>
      <c r="DU626" s="116"/>
      <c r="DV626" s="117"/>
      <c r="DW626" s="118"/>
      <c r="DX626" s="119"/>
      <c r="DY626" s="115"/>
      <c r="DZ626" s="117"/>
      <c r="EA626" s="120"/>
      <c r="EB626" s="119"/>
      <c r="EC626" s="121"/>
      <c r="ED626" s="122"/>
      <c r="EE626" s="145">
        <v>65</v>
      </c>
      <c r="EF626" s="115">
        <v>36</v>
      </c>
      <c r="EG626" s="115">
        <v>52</v>
      </c>
      <c r="EH626" s="115">
        <v>35</v>
      </c>
      <c r="EI626" s="128" t="s">
        <v>195</v>
      </c>
      <c r="EJ626" s="121">
        <v>24</v>
      </c>
      <c r="EK626" s="121">
        <v>0</v>
      </c>
      <c r="EL626" s="149">
        <v>15.048</v>
      </c>
      <c r="EM626" s="142">
        <v>18</v>
      </c>
      <c r="EN626" s="119">
        <v>0</v>
      </c>
      <c r="EO626" s="115">
        <v>18</v>
      </c>
      <c r="EP626" s="115">
        <v>398.72408293460927</v>
      </c>
      <c r="EQ626" s="115">
        <v>64</v>
      </c>
      <c r="ER626" s="115">
        <v>12</v>
      </c>
      <c r="ES626" s="115">
        <v>60</v>
      </c>
      <c r="ET626" s="150">
        <v>0.18</v>
      </c>
      <c r="EU626" s="145">
        <f>BV626</f>
        <v>65</v>
      </c>
      <c r="EV626" s="115">
        <f t="shared" ref="EV626:EX639" si="532">CA626</f>
        <v>38</v>
      </c>
      <c r="EW626" s="115">
        <f t="shared" si="532"/>
        <v>55</v>
      </c>
      <c r="EX626" s="115">
        <f t="shared" si="532"/>
        <v>37</v>
      </c>
      <c r="EY626" s="115" t="str">
        <f t="shared" ref="EY626:FA639" si="533">BX626</f>
        <v>Постоянный</v>
      </c>
      <c r="EZ626" s="115">
        <f t="shared" si="533"/>
        <v>24</v>
      </c>
      <c r="FA626" s="115">
        <f t="shared" si="533"/>
        <v>0</v>
      </c>
      <c r="FB626" s="149">
        <f t="shared" si="524"/>
        <v>14.0448</v>
      </c>
      <c r="FC626" s="142">
        <f t="shared" si="524"/>
        <v>16.8</v>
      </c>
      <c r="FD626" s="119">
        <f t="shared" si="524"/>
        <v>0</v>
      </c>
      <c r="FE626" s="121">
        <f t="shared" si="524"/>
        <v>16</v>
      </c>
      <c r="FF626" s="121">
        <f>CV626</f>
        <v>284.80291638186372</v>
      </c>
      <c r="FG626" s="121">
        <f>CF626</f>
        <v>64</v>
      </c>
      <c r="FH626" s="121">
        <f>CS626</f>
        <v>12</v>
      </c>
      <c r="FI626" s="121">
        <f>CN626</f>
        <v>60</v>
      </c>
      <c r="FJ626" s="144">
        <f>CX626</f>
        <v>0.16800000000000001</v>
      </c>
      <c r="FK626" s="132">
        <f t="shared" ref="FK626:FN641" si="534">EU626-EE626</f>
        <v>0</v>
      </c>
      <c r="FL626" s="115">
        <f t="shared" si="534"/>
        <v>2</v>
      </c>
      <c r="FM626" s="115">
        <f t="shared" si="534"/>
        <v>3</v>
      </c>
      <c r="FN626" s="115">
        <f t="shared" si="534"/>
        <v>2</v>
      </c>
      <c r="FO626" s="115">
        <f t="shared" si="492"/>
        <v>0</v>
      </c>
      <c r="FP626" s="115">
        <f t="shared" si="492"/>
        <v>0</v>
      </c>
      <c r="FQ626" s="149">
        <f t="shared" si="492"/>
        <v>-1.0031999999999996</v>
      </c>
      <c r="FR626" s="142">
        <f t="shared" si="492"/>
        <v>-1.1999999999999993</v>
      </c>
      <c r="FS626" s="119">
        <f t="shared" si="492"/>
        <v>0</v>
      </c>
      <c r="FT626" s="121">
        <f t="shared" si="492"/>
        <v>-2</v>
      </c>
      <c r="FU626" s="121">
        <f>FG626-EQ626</f>
        <v>0</v>
      </c>
      <c r="FV626" s="121">
        <f>FH626-ER626</f>
        <v>0</v>
      </c>
      <c r="FW626" s="121">
        <f>FF626-EP626</f>
        <v>-113.92116655274555</v>
      </c>
      <c r="FX626" s="121">
        <f>FI626-ES626</f>
        <v>0</v>
      </c>
      <c r="FY626" s="144">
        <f>FJ626-ET626</f>
        <v>-1.1999999999999983E-2</v>
      </c>
      <c r="FZ626" s="145" t="s">
        <v>199</v>
      </c>
      <c r="GA626" s="151" t="s">
        <v>415</v>
      </c>
      <c r="GB626" s="145" t="s">
        <v>203</v>
      </c>
      <c r="GC626" s="151" t="s">
        <v>2092</v>
      </c>
      <c r="GD626" s="997" t="s">
        <v>220</v>
      </c>
      <c r="GE626" s="1004" t="s">
        <v>203</v>
      </c>
      <c r="GF626" s="1004">
        <v>-9.3623640000000012</v>
      </c>
      <c r="GG626" s="1004" t="s">
        <v>25</v>
      </c>
      <c r="GH626" s="1004">
        <v>24.410364000000001</v>
      </c>
      <c r="GI626" s="145"/>
      <c r="GJ626" s="996"/>
      <c r="GK626" s="145"/>
      <c r="GL626" s="996"/>
      <c r="GM626" s="1005"/>
      <c r="GN626" s="996"/>
      <c r="GO626" s="1006"/>
      <c r="GP626" s="996"/>
      <c r="GQ626" s="1006"/>
      <c r="GR626" s="996"/>
      <c r="GS626" s="1006"/>
      <c r="GT626" s="996"/>
      <c r="GU626" s="1006"/>
      <c r="GV626" s="996"/>
      <c r="GW626" s="1006"/>
      <c r="GX626" s="996"/>
      <c r="GY626" s="1006"/>
      <c r="GZ626" s="996"/>
      <c r="HA626" s="1006"/>
      <c r="HB626" s="996"/>
      <c r="HC626" s="1006"/>
      <c r="HD626" s="996"/>
      <c r="HE626" s="1006"/>
      <c r="HF626" s="996"/>
      <c r="HG626" s="1006"/>
      <c r="HH626" s="996"/>
      <c r="HI626" s="1006"/>
      <c r="HJ626" s="996"/>
      <c r="HK626" s="1006"/>
      <c r="HL626" s="996"/>
      <c r="HM626" s="1006"/>
      <c r="HN626" s="996"/>
      <c r="HO626" s="1006"/>
      <c r="HP626" s="996"/>
      <c r="HQ626" s="1006"/>
      <c r="HR626" s="996"/>
      <c r="HS626" s="1006"/>
      <c r="HT626" s="996"/>
      <c r="HU626" s="1006"/>
      <c r="HV626" s="996"/>
      <c r="HW626" s="1006"/>
      <c r="HX626" s="996"/>
      <c r="HY626" s="1006"/>
      <c r="HZ626" s="996"/>
      <c r="IA626" s="1006"/>
      <c r="IB626" s="996"/>
      <c r="IC626" s="1006"/>
      <c r="ID626" s="996"/>
      <c r="IE626" s="1006"/>
      <c r="IF626" s="996"/>
      <c r="IG626" s="1006"/>
      <c r="IH626" s="996"/>
      <c r="II626" s="1006"/>
      <c r="IJ626" s="996"/>
      <c r="IK626" s="1006"/>
      <c r="IL626" s="996"/>
      <c r="IM626" s="1006"/>
      <c r="IN626" s="996"/>
      <c r="IO626" s="1006"/>
      <c r="IP626" s="996"/>
      <c r="IQ626" s="1006"/>
      <c r="IR626" s="996"/>
      <c r="IS626" s="1006"/>
      <c r="IT626" s="996"/>
      <c r="IU626" s="1006"/>
      <c r="IV626" s="996"/>
      <c r="IW626" s="1006"/>
      <c r="IX626" s="996"/>
      <c r="IY626" s="1006"/>
      <c r="IZ626" s="996"/>
      <c r="JA626" s="1006"/>
      <c r="JB626" s="996"/>
      <c r="JC626" s="1006"/>
      <c r="JD626" s="996"/>
      <c r="JE626" s="1006"/>
      <c r="JF626" s="996"/>
      <c r="JG626" s="1006"/>
      <c r="JH626" s="996"/>
      <c r="JI626" s="1006"/>
      <c r="JJ626" s="996"/>
      <c r="JK626" s="1007"/>
      <c r="JL626" s="1007"/>
      <c r="JM626" s="1007"/>
      <c r="JN626" s="1007"/>
      <c r="JO626" s="1067"/>
      <c r="JP626" s="1007"/>
      <c r="JQ626" s="1008"/>
      <c r="JR626" s="1007"/>
      <c r="JS626" s="1008"/>
      <c r="JT626" s="1007"/>
      <c r="JU626" s="1008"/>
      <c r="JV626" s="1007"/>
      <c r="JW626" s="1008"/>
      <c r="JX626" s="1007"/>
      <c r="JY626" s="1008"/>
      <c r="JZ626" s="1007"/>
      <c r="KA626" s="1008"/>
      <c r="KB626" s="1007"/>
      <c r="KC626" s="1008"/>
      <c r="KD626" s="1007"/>
      <c r="KE626" s="1008"/>
      <c r="KF626" s="1007"/>
      <c r="KG626" s="1008"/>
      <c r="KH626" s="1007"/>
      <c r="KI626" s="1008"/>
      <c r="KJ626" s="1007"/>
      <c r="KK626" s="1008"/>
      <c r="KL626" s="1007"/>
      <c r="KM626" s="1008"/>
      <c r="KN626" s="1007"/>
      <c r="KO626" s="1008"/>
      <c r="KP626" s="1007"/>
      <c r="KQ626" s="1008"/>
      <c r="KR626" s="1007"/>
      <c r="KS626" s="1008"/>
      <c r="KT626" s="1007"/>
      <c r="KU626" s="1008"/>
      <c r="KV626" s="1007"/>
      <c r="KW626" s="1008"/>
      <c r="KX626" s="1007"/>
      <c r="KY626" s="1008"/>
      <c r="KZ626" s="1007"/>
      <c r="LA626" s="1008"/>
      <c r="LB626" s="1007"/>
      <c r="LC626" s="1008"/>
      <c r="LD626" s="1007"/>
      <c r="LE626" s="1008"/>
      <c r="LF626" s="1007"/>
      <c r="LG626" s="1008"/>
      <c r="LH626" s="1007"/>
      <c r="LI626" s="1008"/>
      <c r="LJ626" s="1007"/>
      <c r="LK626" s="1008"/>
      <c r="LL626" s="1007"/>
      <c r="LM626" s="1008"/>
      <c r="LN626" s="1007"/>
      <c r="LO626" s="1008"/>
      <c r="LP626" s="1007"/>
      <c r="LQ626" s="1008"/>
      <c r="LR626" s="1007"/>
      <c r="LS626" s="1008"/>
      <c r="LT626" s="1007"/>
      <c r="LU626" s="1008"/>
      <c r="LV626" s="1007"/>
      <c r="LW626" s="1008"/>
      <c r="LX626" s="1007"/>
      <c r="LY626" s="1009"/>
      <c r="LZ626" s="1010"/>
      <c r="MA626" s="1011"/>
      <c r="MB626" s="1012"/>
      <c r="MC626" s="995"/>
      <c r="MD626" s="996"/>
      <c r="ME626" s="997" t="s">
        <v>202</v>
      </c>
      <c r="MF626" s="997"/>
      <c r="MG626" s="998"/>
      <c r="NR626" s="1000"/>
      <c r="NS626" s="1000"/>
      <c r="NT626" s="1001"/>
      <c r="NU626" s="1000"/>
      <c r="NV626" s="1001"/>
      <c r="NX626" s="1002"/>
      <c r="NZ626" s="1001"/>
      <c r="OA626" s="1001"/>
      <c r="OC626" s="1003"/>
      <c r="OD626" s="1003"/>
      <c r="OE626" s="1001"/>
      <c r="OF626" s="1003"/>
      <c r="OG626" s="1003"/>
      <c r="QX626" s="1000">
        <f>CN626-CA626</f>
        <v>22</v>
      </c>
    </row>
    <row r="627" spans="1:466 1191:1191" ht="21" customHeight="1" x14ac:dyDescent="0.25">
      <c r="A627" s="982"/>
      <c r="B627" s="124">
        <f>SUBTOTAL(103,$J$29:J627)</f>
        <v>599</v>
      </c>
      <c r="C627" s="126">
        <v>45068</v>
      </c>
      <c r="D627" s="124" t="s">
        <v>176</v>
      </c>
      <c r="E627" s="127" t="s">
        <v>177</v>
      </c>
      <c r="F627" s="128" t="s">
        <v>178</v>
      </c>
      <c r="G627" s="127" t="s">
        <v>178</v>
      </c>
      <c r="H627" s="127" t="s">
        <v>179</v>
      </c>
      <c r="I627" s="127" t="s">
        <v>2004</v>
      </c>
      <c r="J627" s="152">
        <v>6307</v>
      </c>
      <c r="K627" s="127" t="s">
        <v>2004</v>
      </c>
      <c r="L627" s="130" t="s">
        <v>192</v>
      </c>
      <c r="M627" s="127" t="s">
        <v>230</v>
      </c>
      <c r="N627" s="127" t="s">
        <v>1368</v>
      </c>
      <c r="O627" s="127" t="s">
        <v>185</v>
      </c>
      <c r="P627" s="124" t="s">
        <v>1921</v>
      </c>
      <c r="Q627" s="85"/>
      <c r="R627" s="130"/>
      <c r="S627" s="128"/>
      <c r="T627" s="131"/>
      <c r="U627" s="132"/>
      <c r="V627" s="121"/>
      <c r="W627" s="116"/>
      <c r="X627" s="116"/>
      <c r="Y627" s="116"/>
      <c r="Z627" s="133"/>
      <c r="AA627" s="133"/>
      <c r="AB627" s="133"/>
      <c r="AC627" s="121"/>
      <c r="AD627" s="134"/>
      <c r="AE627" s="124"/>
      <c r="AF627" s="128"/>
      <c r="AG627" s="128"/>
      <c r="AH627" s="127"/>
      <c r="AI627" s="127"/>
      <c r="AJ627" s="135"/>
      <c r="AK627" s="128"/>
      <c r="AL627" s="131"/>
      <c r="AM627" s="124" t="s">
        <v>1921</v>
      </c>
      <c r="AN627" s="136" t="s">
        <v>2093</v>
      </c>
      <c r="AO627" s="137"/>
      <c r="AP627" s="128"/>
      <c r="AQ627" s="128"/>
      <c r="AR627" s="128"/>
      <c r="AS627" s="128"/>
      <c r="AT627" s="122"/>
      <c r="AU627" s="124" t="s">
        <v>189</v>
      </c>
      <c r="AV627" s="115"/>
      <c r="AW627" s="115"/>
      <c r="AX627" s="115"/>
      <c r="AY627" s="115"/>
      <c r="AZ627" s="115"/>
      <c r="BA627" s="115"/>
      <c r="BB627" s="115"/>
      <c r="BC627" s="115"/>
      <c r="BD627" s="115"/>
      <c r="BE627" s="115"/>
      <c r="BF627" s="115"/>
      <c r="BG627" s="115"/>
      <c r="BH627" s="115"/>
      <c r="BI627" s="115"/>
      <c r="BJ627" s="115"/>
      <c r="BK627" s="138"/>
      <c r="BL627" s="138"/>
      <c r="BM627" s="138"/>
      <c r="BN627" s="138"/>
      <c r="BO627" s="115"/>
      <c r="BP627" s="115"/>
      <c r="BQ627" s="138"/>
      <c r="BR627" s="128"/>
      <c r="BS627" s="128"/>
      <c r="BT627" s="128"/>
      <c r="BU627" s="128"/>
      <c r="BV627" s="127">
        <v>65</v>
      </c>
      <c r="BW627" s="127"/>
      <c r="BX627" s="127" t="s">
        <v>195</v>
      </c>
      <c r="BY627" s="139">
        <v>24</v>
      </c>
      <c r="BZ627" s="139">
        <v>0</v>
      </c>
      <c r="CA627" s="138">
        <v>39</v>
      </c>
      <c r="CB627" s="138">
        <v>55</v>
      </c>
      <c r="CC627" s="138">
        <v>39</v>
      </c>
      <c r="CD627" s="135">
        <v>45017</v>
      </c>
      <c r="CE627" s="138">
        <v>160</v>
      </c>
      <c r="CF627" s="138">
        <v>64</v>
      </c>
      <c r="CG627" s="138"/>
      <c r="CH627" s="138"/>
      <c r="CI627" s="127"/>
      <c r="CJ627" s="138"/>
      <c r="CK627" s="138">
        <f t="shared" si="488"/>
        <v>26</v>
      </c>
      <c r="CL627" s="99"/>
      <c r="CM627" s="99"/>
      <c r="CN627" s="140">
        <v>65</v>
      </c>
      <c r="CO627" s="141">
        <f>CP627*(1-CQ627/100)*0.836</f>
        <v>21.736000000000001</v>
      </c>
      <c r="CP627" s="142">
        <v>26</v>
      </c>
      <c r="CQ627" s="143">
        <v>0</v>
      </c>
      <c r="CR627" s="138">
        <v>24</v>
      </c>
      <c r="CS627" s="139">
        <v>16.8</v>
      </c>
      <c r="CT627" s="138"/>
      <c r="CU627" s="138">
        <f>IF(CR627&lt;&gt;"0",CR627-CS627,"0")</f>
        <v>7.1999999999999993</v>
      </c>
      <c r="CV627" s="115">
        <f>(CR627-CS627)*1000/CO627</f>
        <v>331.24769966875226</v>
      </c>
      <c r="CW627" s="115">
        <f>IF(CP627&lt;&gt;0,IF(AU627=$AU$29,CS627/(CO627+(CP627-CO627/0.836)*1.158)*1000,""),"")</f>
        <v>772.91129922708876</v>
      </c>
      <c r="CX627" s="133">
        <f>IF(CP627&lt;&gt;0,CP627/(CE627-CN627),0)</f>
        <v>0.27368421052631581</v>
      </c>
      <c r="CY627" s="116"/>
      <c r="CZ627" s="229" t="s">
        <v>2094</v>
      </c>
      <c r="DA627" s="145"/>
      <c r="DB627" s="146"/>
      <c r="DC627" s="142"/>
      <c r="DD627" s="119"/>
      <c r="DE627" s="115"/>
      <c r="DF627" s="121">
        <f>CS627</f>
        <v>16.8</v>
      </c>
      <c r="DG627" s="115">
        <f>CV627</f>
        <v>331.24769966875226</v>
      </c>
      <c r="DH627" s="115">
        <f>CN627</f>
        <v>65</v>
      </c>
      <c r="DI627" s="147"/>
      <c r="DJ627" s="111"/>
      <c r="DK627" s="112"/>
      <c r="DL627" s="113"/>
      <c r="DM627" s="114"/>
      <c r="DN627" s="114"/>
      <c r="DO627" s="114"/>
      <c r="DP627" s="114"/>
      <c r="DQ627" s="112"/>
      <c r="DR627" s="114"/>
      <c r="DS627" s="114"/>
      <c r="DT627" s="115"/>
      <c r="DU627" s="116"/>
      <c r="DV627" s="117"/>
      <c r="DW627" s="118"/>
      <c r="DX627" s="119"/>
      <c r="DY627" s="115"/>
      <c r="DZ627" s="117"/>
      <c r="EA627" s="120"/>
      <c r="EB627" s="119"/>
      <c r="EC627" s="121"/>
      <c r="ED627" s="122"/>
      <c r="EE627" s="145">
        <v>65</v>
      </c>
      <c r="EF627" s="115">
        <v>36</v>
      </c>
      <c r="EG627" s="115">
        <v>57</v>
      </c>
      <c r="EH627" s="115">
        <v>35</v>
      </c>
      <c r="EI627" s="128" t="s">
        <v>195</v>
      </c>
      <c r="EJ627" s="121">
        <v>24</v>
      </c>
      <c r="EK627" s="121">
        <v>0</v>
      </c>
      <c r="EL627" s="149">
        <v>25.497999999999998</v>
      </c>
      <c r="EM627" s="142">
        <v>30.5</v>
      </c>
      <c r="EN627" s="119">
        <v>0</v>
      </c>
      <c r="EO627" s="115">
        <v>26</v>
      </c>
      <c r="EP627" s="115">
        <v>360.81261275394149</v>
      </c>
      <c r="EQ627" s="115">
        <v>64</v>
      </c>
      <c r="ER627" s="115">
        <v>16.8</v>
      </c>
      <c r="ES627" s="115">
        <v>73</v>
      </c>
      <c r="ET627" s="150">
        <v>0.35057471264367818</v>
      </c>
      <c r="EU627" s="145">
        <f>BV627</f>
        <v>65</v>
      </c>
      <c r="EV627" s="115">
        <f t="shared" si="532"/>
        <v>39</v>
      </c>
      <c r="EW627" s="115">
        <f t="shared" si="532"/>
        <v>55</v>
      </c>
      <c r="EX627" s="115">
        <f t="shared" si="532"/>
        <v>39</v>
      </c>
      <c r="EY627" s="115" t="str">
        <f t="shared" si="533"/>
        <v>Постоянный</v>
      </c>
      <c r="EZ627" s="115">
        <f t="shared" si="533"/>
        <v>24</v>
      </c>
      <c r="FA627" s="115">
        <f t="shared" si="533"/>
        <v>0</v>
      </c>
      <c r="FB627" s="149">
        <f t="shared" si="524"/>
        <v>21.736000000000001</v>
      </c>
      <c r="FC627" s="142">
        <f t="shared" si="524"/>
        <v>26</v>
      </c>
      <c r="FD627" s="119">
        <f t="shared" si="524"/>
        <v>0</v>
      </c>
      <c r="FE627" s="121">
        <f t="shared" si="524"/>
        <v>24</v>
      </c>
      <c r="FF627" s="121">
        <f>CV627</f>
        <v>331.24769966875226</v>
      </c>
      <c r="FG627" s="121">
        <f>CF627</f>
        <v>64</v>
      </c>
      <c r="FH627" s="121">
        <f>CS627</f>
        <v>16.8</v>
      </c>
      <c r="FI627" s="121">
        <f>CN627</f>
        <v>65</v>
      </c>
      <c r="FJ627" s="144">
        <f>CX627</f>
        <v>0.27368421052631581</v>
      </c>
      <c r="FK627" s="132">
        <f t="shared" si="534"/>
        <v>0</v>
      </c>
      <c r="FL627" s="115">
        <f t="shared" si="534"/>
        <v>3</v>
      </c>
      <c r="FM627" s="115">
        <f t="shared" si="534"/>
        <v>-2</v>
      </c>
      <c r="FN627" s="115">
        <f t="shared" si="534"/>
        <v>4</v>
      </c>
      <c r="FO627" s="115">
        <f t="shared" si="492"/>
        <v>0</v>
      </c>
      <c r="FP627" s="115">
        <f t="shared" si="492"/>
        <v>0</v>
      </c>
      <c r="FQ627" s="149">
        <f t="shared" si="492"/>
        <v>-3.7619999999999969</v>
      </c>
      <c r="FR627" s="142">
        <f t="shared" si="492"/>
        <v>-4.5</v>
      </c>
      <c r="FS627" s="119">
        <f t="shared" si="492"/>
        <v>0</v>
      </c>
      <c r="FT627" s="121">
        <f t="shared" si="492"/>
        <v>-2</v>
      </c>
      <c r="FU627" s="121">
        <f>FG627-EQ627</f>
        <v>0</v>
      </c>
      <c r="FV627" s="121">
        <f>FH627-ER627</f>
        <v>0</v>
      </c>
      <c r="FW627" s="121">
        <f>FF627-EP627</f>
        <v>-29.564913085189232</v>
      </c>
      <c r="FX627" s="121">
        <f>FI627-ES627</f>
        <v>-8</v>
      </c>
      <c r="FY627" s="144">
        <f>FJ627-ET627</f>
        <v>-7.6890502117362369E-2</v>
      </c>
      <c r="FZ627" s="145" t="s">
        <v>203</v>
      </c>
      <c r="GA627" s="151" t="s">
        <v>2095</v>
      </c>
      <c r="GB627" s="145" t="s">
        <v>25</v>
      </c>
      <c r="GC627" s="151" t="s">
        <v>2096</v>
      </c>
      <c r="GD627" s="997" t="s">
        <v>220</v>
      </c>
      <c r="GE627" s="1004" t="s">
        <v>25</v>
      </c>
      <c r="GF627" s="1004">
        <v>2.1192600000000006</v>
      </c>
      <c r="GG627" s="1004"/>
      <c r="GH627" s="1004"/>
      <c r="GI627" s="145"/>
      <c r="GJ627" s="996"/>
      <c r="GK627" s="145"/>
      <c r="GL627" s="996"/>
      <c r="GM627" s="1005"/>
      <c r="GN627" s="996"/>
      <c r="GO627" s="1006"/>
      <c r="GP627" s="996"/>
      <c r="GQ627" s="1006"/>
      <c r="GR627" s="996"/>
      <c r="GS627" s="1006"/>
      <c r="GT627" s="996"/>
      <c r="GU627" s="1006"/>
      <c r="GV627" s="996"/>
      <c r="GW627" s="1006"/>
      <c r="GX627" s="996"/>
      <c r="GY627" s="1006"/>
      <c r="GZ627" s="996"/>
      <c r="HA627" s="1006"/>
      <c r="HB627" s="996"/>
      <c r="HC627" s="1006"/>
      <c r="HD627" s="996"/>
      <c r="HE627" s="1006"/>
      <c r="HF627" s="996"/>
      <c r="HG627" s="1006"/>
      <c r="HH627" s="996"/>
      <c r="HI627" s="1006"/>
      <c r="HJ627" s="996"/>
      <c r="HK627" s="1006"/>
      <c r="HL627" s="996"/>
      <c r="HM627" s="1006"/>
      <c r="HN627" s="996"/>
      <c r="HO627" s="1006"/>
      <c r="HP627" s="996"/>
      <c r="HQ627" s="1006"/>
      <c r="HR627" s="996"/>
      <c r="HS627" s="1006"/>
      <c r="HT627" s="996"/>
      <c r="HU627" s="1006"/>
      <c r="HV627" s="996"/>
      <c r="HW627" s="1006"/>
      <c r="HX627" s="996"/>
      <c r="HY627" s="1006"/>
      <c r="HZ627" s="996"/>
      <c r="IA627" s="1006"/>
      <c r="IB627" s="996"/>
      <c r="IC627" s="1006"/>
      <c r="ID627" s="996"/>
      <c r="IE627" s="1006"/>
      <c r="IF627" s="996"/>
      <c r="IG627" s="1006"/>
      <c r="IH627" s="996"/>
      <c r="II627" s="1006"/>
      <c r="IJ627" s="996"/>
      <c r="IK627" s="1006"/>
      <c r="IL627" s="996"/>
      <c r="IM627" s="1006"/>
      <c r="IN627" s="996"/>
      <c r="IO627" s="1006"/>
      <c r="IP627" s="996"/>
      <c r="IQ627" s="1006"/>
      <c r="IR627" s="996"/>
      <c r="IS627" s="1006"/>
      <c r="IT627" s="996"/>
      <c r="IU627" s="1006"/>
      <c r="IV627" s="996"/>
      <c r="IW627" s="1006"/>
      <c r="IX627" s="996"/>
      <c r="IY627" s="1006"/>
      <c r="IZ627" s="996"/>
      <c r="JA627" s="1006"/>
      <c r="JB627" s="996"/>
      <c r="JC627" s="1006"/>
      <c r="JD627" s="996"/>
      <c r="JE627" s="1006"/>
      <c r="JF627" s="996"/>
      <c r="JG627" s="1006"/>
      <c r="JH627" s="996"/>
      <c r="JI627" s="1006"/>
      <c r="JJ627" s="996"/>
      <c r="JK627" s="1007"/>
      <c r="JL627" s="1007"/>
      <c r="JM627" s="1007"/>
      <c r="JN627" s="1007"/>
      <c r="JO627" s="1067"/>
      <c r="JP627" s="1007"/>
      <c r="JQ627" s="1008"/>
      <c r="JR627" s="1007"/>
      <c r="JS627" s="1008"/>
      <c r="JT627" s="1007"/>
      <c r="JU627" s="1008"/>
      <c r="JV627" s="1007"/>
      <c r="JW627" s="1008"/>
      <c r="JX627" s="1007"/>
      <c r="JY627" s="1008"/>
      <c r="JZ627" s="1007"/>
      <c r="KA627" s="1008"/>
      <c r="KB627" s="1007"/>
      <c r="KC627" s="1008"/>
      <c r="KD627" s="1007"/>
      <c r="KE627" s="1008"/>
      <c r="KF627" s="1007"/>
      <c r="KG627" s="1008"/>
      <c r="KH627" s="1007"/>
      <c r="KI627" s="1008"/>
      <c r="KJ627" s="1007"/>
      <c r="KK627" s="1008"/>
      <c r="KL627" s="1007"/>
      <c r="KM627" s="1008"/>
      <c r="KN627" s="1007"/>
      <c r="KO627" s="1008"/>
      <c r="KP627" s="1007"/>
      <c r="KQ627" s="1008"/>
      <c r="KR627" s="1007"/>
      <c r="KS627" s="1008"/>
      <c r="KT627" s="1007"/>
      <c r="KU627" s="1008"/>
      <c r="KV627" s="1007"/>
      <c r="KW627" s="1008"/>
      <c r="KX627" s="1007"/>
      <c r="KY627" s="1008"/>
      <c r="KZ627" s="1007"/>
      <c r="LA627" s="1008"/>
      <c r="LB627" s="1007"/>
      <c r="LC627" s="1008"/>
      <c r="LD627" s="1007"/>
      <c r="LE627" s="1008"/>
      <c r="LF627" s="1007"/>
      <c r="LG627" s="1008"/>
      <c r="LH627" s="1007"/>
      <c r="LI627" s="1008"/>
      <c r="LJ627" s="1007"/>
      <c r="LK627" s="1008"/>
      <c r="LL627" s="1007"/>
      <c r="LM627" s="1008"/>
      <c r="LN627" s="1007"/>
      <c r="LO627" s="1008"/>
      <c r="LP627" s="1007"/>
      <c r="LQ627" s="1008"/>
      <c r="LR627" s="1007"/>
      <c r="LS627" s="1008"/>
      <c r="LT627" s="1007"/>
      <c r="LU627" s="1008"/>
      <c r="LV627" s="1007"/>
      <c r="LW627" s="1008"/>
      <c r="LX627" s="1007"/>
      <c r="LY627" s="1009"/>
      <c r="LZ627" s="1010"/>
      <c r="MA627" s="1011"/>
      <c r="MB627" s="1012"/>
      <c r="MC627" s="995"/>
      <c r="MD627" s="996"/>
      <c r="ME627" s="997"/>
      <c r="MF627" s="997"/>
      <c r="MG627" s="998"/>
      <c r="NR627" s="1000"/>
      <c r="NS627" s="1000"/>
      <c r="NT627" s="1001"/>
      <c r="NU627" s="1000"/>
      <c r="NV627" s="1001"/>
      <c r="NX627" s="1002"/>
      <c r="NZ627" s="1001"/>
      <c r="OA627" s="1001"/>
      <c r="OC627" s="1003"/>
      <c r="OD627" s="1003"/>
      <c r="OE627" s="1001"/>
      <c r="OF627" s="1003"/>
      <c r="OG627" s="1003"/>
      <c r="QX627" s="1000">
        <f>CN627-CA627</f>
        <v>26</v>
      </c>
    </row>
    <row r="628" spans="1:466 1191:1191" ht="21" customHeight="1" x14ac:dyDescent="0.25">
      <c r="A628" s="982">
        <f t="shared" si="503"/>
        <v>6366</v>
      </c>
      <c r="B628" s="124">
        <f>SUBTOTAL(103,$J$29:J628)</f>
        <v>600</v>
      </c>
      <c r="C628" s="126">
        <v>45068</v>
      </c>
      <c r="D628" s="124" t="s">
        <v>176</v>
      </c>
      <c r="E628" s="127" t="s">
        <v>177</v>
      </c>
      <c r="F628" s="128" t="s">
        <v>177</v>
      </c>
      <c r="G628" s="127" t="s">
        <v>178</v>
      </c>
      <c r="H628" s="127" t="s">
        <v>179</v>
      </c>
      <c r="I628" s="127" t="s">
        <v>2097</v>
      </c>
      <c r="J628" s="152">
        <v>6366</v>
      </c>
      <c r="K628" s="127" t="s">
        <v>2097</v>
      </c>
      <c r="L628" s="130" t="s">
        <v>192</v>
      </c>
      <c r="M628" s="127" t="s">
        <v>230</v>
      </c>
      <c r="N628" s="127" t="s">
        <v>184</v>
      </c>
      <c r="O628" s="127" t="s">
        <v>185</v>
      </c>
      <c r="P628" s="127"/>
      <c r="Q628" s="85" t="str">
        <f t="shared" si="523"/>
        <v/>
      </c>
      <c r="R628" s="130"/>
      <c r="S628" s="128"/>
      <c r="T628" s="131"/>
      <c r="U628" s="132">
        <v>203</v>
      </c>
      <c r="V628" s="121">
        <v>218.2</v>
      </c>
      <c r="W628" s="116">
        <v>0.98</v>
      </c>
      <c r="X628" s="116">
        <v>1.66</v>
      </c>
      <c r="Y628" s="116">
        <f t="shared" ref="Y628:Y632" si="535">(W628*X628)/((CQ628/100)*W628+(1-CQ628/100)*X628)</f>
        <v>0.98</v>
      </c>
      <c r="Z628" s="133">
        <v>1.454</v>
      </c>
      <c r="AA628" s="133">
        <v>0.83599999999999997</v>
      </c>
      <c r="AB628" s="133">
        <v>0.72</v>
      </c>
      <c r="AC628" s="121">
        <v>34.299999999999997</v>
      </c>
      <c r="AD628" s="134">
        <v>1.17</v>
      </c>
      <c r="AE628" s="124">
        <v>178</v>
      </c>
      <c r="AF628" s="128">
        <v>9.1999999999999993</v>
      </c>
      <c r="AG628" s="128">
        <v>2269</v>
      </c>
      <c r="AH628" s="127">
        <v>3111</v>
      </c>
      <c r="AI628" s="127">
        <v>3111</v>
      </c>
      <c r="AJ628" s="135">
        <v>44917</v>
      </c>
      <c r="AK628" s="128"/>
      <c r="AL628" s="131"/>
      <c r="AM628" s="124" t="s">
        <v>985</v>
      </c>
      <c r="AN628" s="136" t="s">
        <v>2098</v>
      </c>
      <c r="AO628" s="137" t="s">
        <v>2099</v>
      </c>
      <c r="AP628" s="128">
        <v>2375.21</v>
      </c>
      <c r="AQ628" s="128">
        <v>452</v>
      </c>
      <c r="AR628" s="128" t="s">
        <v>2100</v>
      </c>
      <c r="AS628" s="128">
        <v>114</v>
      </c>
      <c r="AT628" s="122">
        <v>7.37</v>
      </c>
      <c r="AU628" s="124" t="s">
        <v>250</v>
      </c>
      <c r="AV628" s="115">
        <f>VLOOKUP(J628,'[63]ТР нефть'!$J$28:$BP$638,39,0)</f>
        <v>550</v>
      </c>
      <c r="AW628" s="115" t="str">
        <f>VLOOKUP(J628,'[63]ТР нефть'!$J$28:$BP$638,40,0)</f>
        <v>ГП</v>
      </c>
      <c r="AX628" s="115">
        <f>VLOOKUP(J628,'[63]ТР нефть'!$J$28:$BP$638,41,0)</f>
        <v>1096</v>
      </c>
      <c r="AY628" s="115" t="str">
        <f>VLOOKUP(J628,'[63]ТР нефть'!$J$28:$BP$638,42,0)</f>
        <v>ГП</v>
      </c>
      <c r="AZ628" s="115">
        <f>VLOOKUP(J628,'[63]ТР нефть'!$J$28:$BP$638,43,0)</f>
        <v>1533</v>
      </c>
      <c r="BA628" s="115" t="str">
        <f>VLOOKUP(J628,'[63]ТР нефть'!$J$28:$BP$638,44,0)</f>
        <v>ГП</v>
      </c>
      <c r="BB628" s="115">
        <f>VLOOKUP(J628,'[63]ТР нефть'!$J$28:$BP$638,45,0)</f>
        <v>1875</v>
      </c>
      <c r="BC628" s="115" t="str">
        <f>VLOOKUP(J628,'[63]ТР нефть'!$J$28:$BP$638,46,0)</f>
        <v>ГК79 5/32</v>
      </c>
      <c r="BD628" s="115">
        <f>VLOOKUP(J628,'[63]ТР нефть'!$J$28:$BP$638,47,0)</f>
        <v>2150</v>
      </c>
      <c r="BE628" s="115" t="str">
        <f>VLOOKUP(J628,'[63]ТР нефть'!$J$28:$BP$638,48,0)</f>
        <v>ЦКсОК 5/16</v>
      </c>
      <c r="BF628" s="115" t="str">
        <f>VLOOKUP(J628,'[63]ТР нефть'!$J$28:$BP$638,49,0)</f>
        <v>-</v>
      </c>
      <c r="BG628" s="115" t="str">
        <f>VLOOKUP(J628,'[63]ТР нефть'!$J$28:$BP$638,50,0)</f>
        <v>-</v>
      </c>
      <c r="BH628" s="115">
        <f>VLOOKUP(J628,'[63]ТР нефть'!$J$28:$BP$638,51,0)</f>
        <v>2160</v>
      </c>
      <c r="BI628" s="115" t="str">
        <f>VLOOKUP(J628,'[63]ТР нефть'!$J$28:$BP$638,52,0)</f>
        <v>закрыт</v>
      </c>
      <c r="BJ628" s="115" t="str">
        <f>IF(IFERROR(VLOOKUP(J628,'[63]ТР нефть'!$J$28:$BP$638,53,0),"-")=0,"-",IFERROR(VLOOKUP(J628,'[63]ТР нефть'!$J$28:$BP$638,53,0),"-"))</f>
        <v>-</v>
      </c>
      <c r="BK628" s="138" t="str">
        <f>IF(IFERROR(VLOOKUP(J628,'[63]ТР нефть'!$J$28:$BP$638,54,0),"-")=0,"-",IFERROR(VLOOKUP(J628,'[63]ТР нефть'!$J$28:$BP$638,54,0),"-"))</f>
        <v>-</v>
      </c>
      <c r="BL628" s="138" t="str">
        <f>IF(IFERROR(VLOOKUP(J628,'[63]ТР нефть'!$J$28:$BP$638,55,0),"-")=0,"-",IFERROR(VLOOKUP(J628,'[63]ТР нефть'!$J$28:$BP$638,55,0),"-"))</f>
        <v>-</v>
      </c>
      <c r="BM628" s="138" t="str">
        <f>IF(IFERROR(VLOOKUP(J628,'[63]ТР нефть'!$J$28:$BP$638,56,0),"-")=0,"-",IFERROR(VLOOKUP(J628,'[63]ТР нефть'!$J$28:$BP$638,56,0),"-"))</f>
        <v>-</v>
      </c>
      <c r="BN628" s="138" t="str">
        <f>IF(IFERROR(VLOOKUP(J628,'[63]ТР нефть'!$J$28:$BP$638,57,0),"-")=0,"-",IFERROR(VLOOKUP(J628,'[63]ТР нефть'!$J$28:$BP$638,57,0),"-"))</f>
        <v>-</v>
      </c>
      <c r="BO628" s="115" t="str">
        <f>IF(IFERROR(VLOOKUP(J628,'[63]ТР нефть'!$J$28:$BP$638,58,0),"-")=0,"-",IFERROR(VLOOKUP(J628,'[63]ТР нефть'!$J$28:$BP$638,58,0),"-"))</f>
        <v>-</v>
      </c>
      <c r="BP628" s="115" t="str">
        <f>IF(IFERROR(VLOOKUP(J628,'[63]ТР нефть'!$J$28:$BP$638,59,0),"-")=0,"-",IFERROR(VLOOKUP(J628,'[63]ТР нефть'!$J$28:$BP$638,59,0),"-"))</f>
        <v>-</v>
      </c>
      <c r="BQ628" s="138">
        <v>3005</v>
      </c>
      <c r="BR628" s="128">
        <v>1944.4</v>
      </c>
      <c r="BS628" s="128">
        <f t="shared" si="526"/>
        <v>1060.5999999999999</v>
      </c>
      <c r="BT628" s="128">
        <v>73</v>
      </c>
      <c r="BU628" s="128">
        <v>5.5</v>
      </c>
      <c r="BV628" s="127">
        <v>65</v>
      </c>
      <c r="BW628" s="127"/>
      <c r="BX628" s="127" t="s">
        <v>195</v>
      </c>
      <c r="BY628" s="139">
        <v>24</v>
      </c>
      <c r="BZ628" s="139">
        <v>0</v>
      </c>
      <c r="CA628" s="138">
        <v>31</v>
      </c>
      <c r="CB628" s="138">
        <v>67</v>
      </c>
      <c r="CC628" s="138">
        <v>30</v>
      </c>
      <c r="CD628" s="135">
        <v>45017</v>
      </c>
      <c r="CE628" s="138">
        <v>200</v>
      </c>
      <c r="CF628" s="138">
        <v>66</v>
      </c>
      <c r="CG628" s="138"/>
      <c r="CH628" s="138"/>
      <c r="CI628" s="127"/>
      <c r="CJ628" s="138"/>
      <c r="CK628" s="138">
        <f t="shared" si="488"/>
        <v>54</v>
      </c>
      <c r="CL628" s="99"/>
      <c r="CM628" s="99"/>
      <c r="CN628" s="140">
        <v>85</v>
      </c>
      <c r="CO628" s="141">
        <f t="shared" si="504"/>
        <v>18.391999999999999</v>
      </c>
      <c r="CP628" s="142">
        <v>22</v>
      </c>
      <c r="CQ628" s="119">
        <v>0</v>
      </c>
      <c r="CR628" s="138">
        <v>16.399999999999999</v>
      </c>
      <c r="CS628" s="139">
        <v>7.2</v>
      </c>
      <c r="CT628" s="138"/>
      <c r="CU628" s="138">
        <v>16</v>
      </c>
      <c r="CV628" s="204">
        <f>(CR628-CS628)*1000/CO628</f>
        <v>500.21748586341891</v>
      </c>
      <c r="CW628" s="115" t="str">
        <f>IF(CP628&lt;&gt;0,IF(AU628=$AU$29,CS628/(CO628+(CP628-CO628/0.836)*1.158)*1000,""),"")</f>
        <v/>
      </c>
      <c r="CX628" s="133">
        <f>IF(CP628&lt;&gt;0,CP628/(CE628-CN628),0)</f>
        <v>0.19130434782608696</v>
      </c>
      <c r="CY628" s="116"/>
      <c r="CZ628" s="131"/>
      <c r="DA628" s="145" t="str">
        <f t="shared" si="478"/>
        <v>Фон.</v>
      </c>
      <c r="DB628" s="146">
        <v>36</v>
      </c>
      <c r="DC628" s="142">
        <v>43</v>
      </c>
      <c r="DD628" s="119">
        <v>0</v>
      </c>
      <c r="DE628" s="115">
        <v>54</v>
      </c>
      <c r="DF628" s="121"/>
      <c r="DG628" s="115">
        <f t="shared" si="506"/>
        <v>500.21748586341891</v>
      </c>
      <c r="DH628" s="115"/>
      <c r="DI628" s="150"/>
      <c r="DJ628" s="111"/>
      <c r="DK628" s="112"/>
      <c r="DL628" s="113"/>
      <c r="DM628" s="114"/>
      <c r="DN628" s="114"/>
      <c r="DO628" s="114"/>
      <c r="DP628" s="114"/>
      <c r="DQ628" s="112"/>
      <c r="DR628" s="114"/>
      <c r="DS628" s="114"/>
      <c r="DT628" s="115"/>
      <c r="DU628" s="116"/>
      <c r="DV628" s="117"/>
      <c r="DW628" s="118"/>
      <c r="DX628" s="119"/>
      <c r="DY628" s="115"/>
      <c r="DZ628" s="117"/>
      <c r="EA628" s="120"/>
      <c r="EB628" s="119"/>
      <c r="EC628" s="121"/>
      <c r="ED628" s="122"/>
      <c r="EE628" s="145">
        <v>65</v>
      </c>
      <c r="EF628" s="115">
        <v>32</v>
      </c>
      <c r="EG628" s="115">
        <v>65</v>
      </c>
      <c r="EH628" s="115">
        <v>31</v>
      </c>
      <c r="EI628" s="128" t="s">
        <v>195</v>
      </c>
      <c r="EJ628" s="121">
        <v>24</v>
      </c>
      <c r="EK628" s="121">
        <v>0</v>
      </c>
      <c r="EL628" s="149">
        <v>19.106780000000001</v>
      </c>
      <c r="EM628" s="142">
        <v>25</v>
      </c>
      <c r="EN628" s="119">
        <v>8.58</v>
      </c>
      <c r="EO628" s="115">
        <v>16.399999999999999</v>
      </c>
      <c r="EP628" s="115">
        <v>481.5044711877145</v>
      </c>
      <c r="EQ628" s="115">
        <v>66</v>
      </c>
      <c r="ER628" s="115">
        <v>7.2</v>
      </c>
      <c r="ES628" s="115">
        <v>98</v>
      </c>
      <c r="ET628" s="150">
        <v>0.24509803921568626</v>
      </c>
      <c r="EU628" s="145">
        <f>BV628</f>
        <v>65</v>
      </c>
      <c r="EV628" s="115">
        <f t="shared" si="532"/>
        <v>31</v>
      </c>
      <c r="EW628" s="115">
        <f t="shared" si="532"/>
        <v>67</v>
      </c>
      <c r="EX628" s="115">
        <f t="shared" si="532"/>
        <v>30</v>
      </c>
      <c r="EY628" s="115" t="str">
        <f t="shared" si="533"/>
        <v>Постоянный</v>
      </c>
      <c r="EZ628" s="115">
        <f t="shared" si="533"/>
        <v>24</v>
      </c>
      <c r="FA628" s="115">
        <f t="shared" si="533"/>
        <v>0</v>
      </c>
      <c r="FB628" s="149">
        <f t="shared" si="524"/>
        <v>18.391999999999999</v>
      </c>
      <c r="FC628" s="142">
        <f t="shared" si="524"/>
        <v>22</v>
      </c>
      <c r="FD628" s="119">
        <f t="shared" si="524"/>
        <v>0</v>
      </c>
      <c r="FE628" s="121">
        <f t="shared" si="524"/>
        <v>16.399999999999999</v>
      </c>
      <c r="FF628" s="121">
        <f>CV628</f>
        <v>500.21748586341891</v>
      </c>
      <c r="FG628" s="121">
        <f>CF628</f>
        <v>66</v>
      </c>
      <c r="FH628" s="121">
        <f>CS628</f>
        <v>7.2</v>
      </c>
      <c r="FI628" s="121">
        <f>CN628</f>
        <v>85</v>
      </c>
      <c r="FJ628" s="144">
        <f>CX628</f>
        <v>0.19130434782608696</v>
      </c>
      <c r="FK628" s="132">
        <f t="shared" si="534"/>
        <v>0</v>
      </c>
      <c r="FL628" s="115">
        <f t="shared" si="534"/>
        <v>-1</v>
      </c>
      <c r="FM628" s="115">
        <f t="shared" si="534"/>
        <v>2</v>
      </c>
      <c r="FN628" s="115">
        <f t="shared" si="534"/>
        <v>-1</v>
      </c>
      <c r="FO628" s="115">
        <f t="shared" si="492"/>
        <v>0</v>
      </c>
      <c r="FP628" s="115">
        <f t="shared" si="492"/>
        <v>0</v>
      </c>
      <c r="FQ628" s="149">
        <f t="shared" si="492"/>
        <v>-0.71478000000000108</v>
      </c>
      <c r="FR628" s="142">
        <f t="shared" si="492"/>
        <v>-3</v>
      </c>
      <c r="FS628" s="119">
        <f t="shared" si="492"/>
        <v>-8.58</v>
      </c>
      <c r="FT628" s="121">
        <f t="shared" ref="FO628:FT641" si="536">FE628-EO628</f>
        <v>0</v>
      </c>
      <c r="FU628" s="121">
        <f t="shared" ref="FU628:FV641" si="537">FG628-EQ628</f>
        <v>0</v>
      </c>
      <c r="FV628" s="121">
        <f t="shared" si="537"/>
        <v>0</v>
      </c>
      <c r="FW628" s="121">
        <f>FF628-EP628</f>
        <v>18.713014675704414</v>
      </c>
      <c r="FX628" s="121">
        <f t="shared" ref="FX628:FY641" si="538">FI628-ES628</f>
        <v>-13</v>
      </c>
      <c r="FY628" s="144">
        <f t="shared" si="538"/>
        <v>-5.3793691389599302E-2</v>
      </c>
      <c r="FZ628" s="145"/>
      <c r="GA628" s="151"/>
      <c r="GB628" s="145" t="s">
        <v>203</v>
      </c>
      <c r="GC628" s="151" t="s">
        <v>2101</v>
      </c>
      <c r="GD628" s="997" t="s">
        <v>202</v>
      </c>
      <c r="GE628" s="1004" t="s">
        <v>203</v>
      </c>
      <c r="GF628" s="1004">
        <v>-16.893219999999999</v>
      </c>
      <c r="GG628" s="1004"/>
      <c r="GH628" s="1004"/>
      <c r="GI628" s="145"/>
      <c r="GJ628" s="996"/>
      <c r="GK628" s="145"/>
      <c r="GL628" s="996"/>
      <c r="GM628" s="1005"/>
      <c r="GN628" s="996"/>
      <c r="GO628" s="1006"/>
      <c r="GP628" s="996"/>
      <c r="GQ628" s="1006"/>
      <c r="GR628" s="996"/>
      <c r="GS628" s="1006"/>
      <c r="GT628" s="996"/>
      <c r="GU628" s="1006"/>
      <c r="GV628" s="996"/>
      <c r="GW628" s="1006"/>
      <c r="GX628" s="996"/>
      <c r="GY628" s="1006"/>
      <c r="GZ628" s="996"/>
      <c r="HA628" s="1006"/>
      <c r="HB628" s="996"/>
      <c r="HC628" s="1006"/>
      <c r="HD628" s="996"/>
      <c r="HE628" s="1006"/>
      <c r="HF628" s="996"/>
      <c r="HG628" s="1006"/>
      <c r="HH628" s="996"/>
      <c r="HI628" s="1006"/>
      <c r="HJ628" s="996"/>
      <c r="HK628" s="1006"/>
      <c r="HL628" s="996"/>
      <c r="HM628" s="1006"/>
      <c r="HN628" s="996"/>
      <c r="HO628" s="1006"/>
      <c r="HP628" s="996"/>
      <c r="HQ628" s="1006"/>
      <c r="HR628" s="996"/>
      <c r="HS628" s="1006"/>
      <c r="HT628" s="996"/>
      <c r="HU628" s="1006"/>
      <c r="HV628" s="996"/>
      <c r="HW628" s="1006"/>
      <c r="HX628" s="996"/>
      <c r="HY628" s="1006"/>
      <c r="HZ628" s="996"/>
      <c r="IA628" s="1006"/>
      <c r="IB628" s="996"/>
      <c r="IC628" s="1006"/>
      <c r="ID628" s="996"/>
      <c r="IE628" s="1006"/>
      <c r="IF628" s="996"/>
      <c r="IG628" s="1006"/>
      <c r="IH628" s="996"/>
      <c r="II628" s="1006"/>
      <c r="IJ628" s="996"/>
      <c r="IK628" s="1006"/>
      <c r="IL628" s="996"/>
      <c r="IM628" s="1006"/>
      <c r="IN628" s="996"/>
      <c r="IO628" s="1006"/>
      <c r="IP628" s="996"/>
      <c r="IQ628" s="1006"/>
      <c r="IR628" s="996"/>
      <c r="IS628" s="1006"/>
      <c r="IT628" s="996"/>
      <c r="IU628" s="1006"/>
      <c r="IV628" s="996"/>
      <c r="IW628" s="1006"/>
      <c r="IX628" s="996"/>
      <c r="IY628" s="1006"/>
      <c r="IZ628" s="996"/>
      <c r="JA628" s="1006"/>
      <c r="JB628" s="996"/>
      <c r="JC628" s="1006"/>
      <c r="JD628" s="996"/>
      <c r="JE628" s="1006"/>
      <c r="JF628" s="996"/>
      <c r="JG628" s="1006"/>
      <c r="JH628" s="996"/>
      <c r="JI628" s="1006"/>
      <c r="JJ628" s="996"/>
      <c r="JK628" s="1007"/>
      <c r="JL628" s="1007"/>
      <c r="JM628" s="1007"/>
      <c r="JN628" s="1007"/>
      <c r="JO628" s="1067"/>
      <c r="JP628" s="1007"/>
      <c r="JQ628" s="1008"/>
      <c r="JR628" s="1007"/>
      <c r="JS628" s="1008"/>
      <c r="JT628" s="1007"/>
      <c r="JU628" s="1008"/>
      <c r="JV628" s="1007"/>
      <c r="JW628" s="1008"/>
      <c r="JX628" s="1007"/>
      <c r="JY628" s="1008"/>
      <c r="JZ628" s="1007"/>
      <c r="KA628" s="1008"/>
      <c r="KB628" s="1007"/>
      <c r="KC628" s="1008"/>
      <c r="KD628" s="1007"/>
      <c r="KE628" s="1008"/>
      <c r="KF628" s="1007"/>
      <c r="KG628" s="1008"/>
      <c r="KH628" s="1007"/>
      <c r="KI628" s="1008"/>
      <c r="KJ628" s="1007"/>
      <c r="KK628" s="1008"/>
      <c r="KL628" s="1007"/>
      <c r="KM628" s="1008"/>
      <c r="KN628" s="1007"/>
      <c r="KO628" s="1008"/>
      <c r="KP628" s="1007"/>
      <c r="KQ628" s="1008"/>
      <c r="KR628" s="1007"/>
      <c r="KS628" s="1008"/>
      <c r="KT628" s="1007"/>
      <c r="KU628" s="1008"/>
      <c r="KV628" s="1007"/>
      <c r="KW628" s="1008"/>
      <c r="KX628" s="1007"/>
      <c r="KY628" s="1008"/>
      <c r="KZ628" s="1007"/>
      <c r="LA628" s="1008"/>
      <c r="LB628" s="1007"/>
      <c r="LC628" s="1008"/>
      <c r="LD628" s="1007"/>
      <c r="LE628" s="1008"/>
      <c r="LF628" s="1007"/>
      <c r="LG628" s="1008"/>
      <c r="LH628" s="1007"/>
      <c r="LI628" s="1008"/>
      <c r="LJ628" s="1007"/>
      <c r="LK628" s="1008"/>
      <c r="LL628" s="1007"/>
      <c r="LM628" s="1008"/>
      <c r="LN628" s="1007"/>
      <c r="LO628" s="1008"/>
      <c r="LP628" s="1007"/>
      <c r="LQ628" s="1008"/>
      <c r="LR628" s="1007"/>
      <c r="LS628" s="1008"/>
      <c r="LT628" s="1007"/>
      <c r="LU628" s="1008"/>
      <c r="LV628" s="1007"/>
      <c r="LW628" s="1008"/>
      <c r="LX628" s="1007"/>
      <c r="LY628" s="1009"/>
      <c r="LZ628" s="1010"/>
      <c r="MA628" s="1011"/>
      <c r="MB628" s="1012"/>
      <c r="MC628" s="995"/>
      <c r="MD628" s="996"/>
      <c r="ME628" s="997" t="s">
        <v>202</v>
      </c>
      <c r="MF628" s="997"/>
      <c r="MG628" s="998"/>
      <c r="NR628" s="1000"/>
      <c r="NS628" s="1000"/>
      <c r="NT628" s="1001"/>
      <c r="NU628" s="1000"/>
      <c r="NV628" s="1001"/>
      <c r="NX628" s="1002"/>
      <c r="NZ628" s="1001"/>
      <c r="OA628" s="1001"/>
      <c r="OC628" s="1003"/>
      <c r="OD628" s="1003"/>
      <c r="OE628" s="1001"/>
      <c r="OF628" s="1003"/>
      <c r="OG628" s="1003"/>
      <c r="QX628" s="1000">
        <f>CN628-CA628</f>
        <v>54</v>
      </c>
    </row>
    <row r="629" spans="1:466 1191:1191" ht="21" customHeight="1" x14ac:dyDescent="0.25">
      <c r="A629" s="982">
        <f t="shared" si="503"/>
        <v>6367</v>
      </c>
      <c r="B629" s="124">
        <f>SUBTOTAL(103,$J$29:J629)</f>
        <v>601</v>
      </c>
      <c r="C629" s="126">
        <v>45068</v>
      </c>
      <c r="D629" s="124" t="s">
        <v>176</v>
      </c>
      <c r="E629" s="127" t="s">
        <v>177</v>
      </c>
      <c r="F629" s="128" t="s">
        <v>177</v>
      </c>
      <c r="G629" s="127" t="s">
        <v>178</v>
      </c>
      <c r="H629" s="127" t="s">
        <v>179</v>
      </c>
      <c r="I629" s="127" t="s">
        <v>2097</v>
      </c>
      <c r="J629" s="152">
        <v>6367</v>
      </c>
      <c r="K629" s="127" t="s">
        <v>2097</v>
      </c>
      <c r="L629" s="130" t="s">
        <v>192</v>
      </c>
      <c r="M629" s="127" t="s">
        <v>230</v>
      </c>
      <c r="N629" s="127" t="s">
        <v>184</v>
      </c>
      <c r="O629" s="127" t="s">
        <v>185</v>
      </c>
      <c r="P629" s="127"/>
      <c r="Q629" s="85" t="str">
        <f t="shared" si="523"/>
        <v/>
      </c>
      <c r="R629" s="130"/>
      <c r="S629" s="128"/>
      <c r="T629" s="131"/>
      <c r="U629" s="132">
        <v>203</v>
      </c>
      <c r="V629" s="121">
        <v>218.2</v>
      </c>
      <c r="W629" s="116">
        <v>0.98</v>
      </c>
      <c r="X629" s="116">
        <v>1.66</v>
      </c>
      <c r="Y629" s="116">
        <f t="shared" si="535"/>
        <v>0.98</v>
      </c>
      <c r="Z629" s="133">
        <v>1.454</v>
      </c>
      <c r="AA629" s="133">
        <v>0.83599999999999997</v>
      </c>
      <c r="AB629" s="133">
        <v>0.72</v>
      </c>
      <c r="AC629" s="121">
        <v>34.299999999999997</v>
      </c>
      <c r="AD629" s="134">
        <v>1.17</v>
      </c>
      <c r="AE629" s="124">
        <v>178</v>
      </c>
      <c r="AF629" s="128">
        <v>9.1999999999999993</v>
      </c>
      <c r="AG629" s="128">
        <v>3306</v>
      </c>
      <c r="AH629" s="127">
        <v>3211</v>
      </c>
      <c r="AI629" s="127">
        <v>3211</v>
      </c>
      <c r="AJ629" s="135">
        <v>44891</v>
      </c>
      <c r="AK629" s="128"/>
      <c r="AL629" s="131"/>
      <c r="AM629" s="124" t="s">
        <v>985</v>
      </c>
      <c r="AN629" s="136" t="s">
        <v>2102</v>
      </c>
      <c r="AO629" s="137" t="s">
        <v>2103</v>
      </c>
      <c r="AP629" s="128">
        <v>2642.99</v>
      </c>
      <c r="AQ629" s="128">
        <v>727</v>
      </c>
      <c r="AR629" s="128" t="s">
        <v>2104</v>
      </c>
      <c r="AS629" s="128">
        <v>114</v>
      </c>
      <c r="AT629" s="122">
        <v>7.37</v>
      </c>
      <c r="AU629" s="124" t="s">
        <v>189</v>
      </c>
      <c r="AV629" s="115">
        <f>VLOOKUP(J629,'[63]ТР нефть'!$J$28:$BP$638,39,0)</f>
        <v>550</v>
      </c>
      <c r="AW629" s="115" t="str">
        <f>VLOOKUP(J629,'[63]ТР нефть'!$J$28:$BP$638,40,0)</f>
        <v>ГП</v>
      </c>
      <c r="AX629" s="115">
        <f>VLOOKUP(J629,'[63]ТР нефть'!$J$28:$BP$638,41,0)</f>
        <v>1050</v>
      </c>
      <c r="AY629" s="115" t="str">
        <f>VLOOKUP(J629,'[63]ТР нефть'!$J$28:$BP$638,42,0)</f>
        <v>ГП</v>
      </c>
      <c r="AZ629" s="115">
        <f>VLOOKUP(J629,'[63]ТР нефть'!$J$28:$BP$638,43,0)</f>
        <v>1500</v>
      </c>
      <c r="BA629" s="115" t="str">
        <f>VLOOKUP(J629,'[63]ТР нефть'!$J$28:$BP$638,44,0)</f>
        <v>ГК82 5/32</v>
      </c>
      <c r="BB629" s="115">
        <f>VLOOKUP(J629,'[63]ТР нефть'!$J$28:$BP$638,45,0)</f>
        <v>1929</v>
      </c>
      <c r="BC629" s="115" t="str">
        <f>VLOOKUP(J629,'[63]ТР нефть'!$J$28:$BP$638,46,0)</f>
        <v>ГК81 5/32</v>
      </c>
      <c r="BD629" s="115">
        <f>VLOOKUP(J629,'[63]ТР нефть'!$J$28:$BP$638,47,0)</f>
        <v>2190</v>
      </c>
      <c r="BE629" s="115" t="str">
        <f>VLOOKUP(J629,'[63]ТР нефть'!$J$28:$BP$638,48,0)</f>
        <v>ЦКсОК 5/16</v>
      </c>
      <c r="BF629" s="115" t="str">
        <f>VLOOKUP(J629,'[63]ТР нефть'!$J$28:$BP$638,49,0)</f>
        <v>-</v>
      </c>
      <c r="BG629" s="115" t="str">
        <f>VLOOKUP(J629,'[63]ТР нефть'!$J$28:$BP$638,50,0)</f>
        <v>-</v>
      </c>
      <c r="BH629" s="115">
        <f>VLOOKUP(J629,'[63]ТР нефть'!$J$28:$BP$638,51,0)</f>
        <v>2200</v>
      </c>
      <c r="BI629" s="115" t="str">
        <f>VLOOKUP(J629,'[63]ТР нефть'!$J$28:$BP$638,52,0)</f>
        <v>закрыт</v>
      </c>
      <c r="BJ629" s="115" t="str">
        <f>IF(IFERROR(VLOOKUP(J629,'[63]ТР нефть'!$J$28:$BP$638,53,0),"-")=0,"-",IFERROR(VLOOKUP(J629,'[63]ТР нефть'!$J$28:$BP$638,53,0),"-"))</f>
        <v>-</v>
      </c>
      <c r="BK629" s="138" t="str">
        <f>IF(IFERROR(VLOOKUP(J629,'[63]ТР нефть'!$J$28:$BP$638,54,0),"-")=0,"-",IFERROR(VLOOKUP(J629,'[63]ТР нефть'!$J$28:$BP$638,54,0),"-"))</f>
        <v>-</v>
      </c>
      <c r="BL629" s="138" t="str">
        <f>IF(IFERROR(VLOOKUP(J629,'[63]ТР нефть'!$J$28:$BP$638,55,0),"-")=0,"-",IFERROR(VLOOKUP(J629,'[63]ТР нефть'!$J$28:$BP$638,55,0),"-"))</f>
        <v>-</v>
      </c>
      <c r="BM629" s="138" t="str">
        <f>IF(IFERROR(VLOOKUP(J629,'[63]ТР нефть'!$J$28:$BP$638,56,0),"-")=0,"-",IFERROR(VLOOKUP(J629,'[63]ТР нефть'!$J$28:$BP$638,56,0),"-"))</f>
        <v>-</v>
      </c>
      <c r="BN629" s="138" t="str">
        <f>IF(IFERROR(VLOOKUP(J629,'[63]ТР нефть'!$J$28:$BP$638,57,0),"-")=0,"-",IFERROR(VLOOKUP(J629,'[63]ТР нефть'!$J$28:$BP$638,57,0),"-"))</f>
        <v>-</v>
      </c>
      <c r="BO629" s="115" t="str">
        <f>IF(IFERROR(VLOOKUP(J629,'[63]ТР нефть'!$J$28:$BP$638,58,0),"-")=0,"-",IFERROR(VLOOKUP(J629,'[63]ТР нефть'!$J$28:$BP$638,58,0),"-"))</f>
        <v>-</v>
      </c>
      <c r="BP629" s="115" t="str">
        <f>IF(IFERROR(VLOOKUP(J629,'[63]ТР нефть'!$J$28:$BP$638,59,0),"-")=0,"-",IFERROR(VLOOKUP(J629,'[63]ТР нефть'!$J$28:$BP$638,59,0),"-"))</f>
        <v>-</v>
      </c>
      <c r="BQ629" s="138">
        <v>2431</v>
      </c>
      <c r="BR629" s="128">
        <v>1883</v>
      </c>
      <c r="BS629" s="128">
        <f t="shared" si="526"/>
        <v>548</v>
      </c>
      <c r="BT629" s="128">
        <v>73</v>
      </c>
      <c r="BU629" s="128">
        <v>5.5</v>
      </c>
      <c r="BV629" s="127">
        <v>65</v>
      </c>
      <c r="BW629" s="127"/>
      <c r="BX629" s="127" t="s">
        <v>195</v>
      </c>
      <c r="BY629" s="139">
        <v>24</v>
      </c>
      <c r="BZ629" s="139">
        <v>0</v>
      </c>
      <c r="CA629" s="138">
        <v>30</v>
      </c>
      <c r="CB629" s="138">
        <v>60</v>
      </c>
      <c r="CC629" s="138">
        <v>29</v>
      </c>
      <c r="CD629" s="135">
        <v>45017</v>
      </c>
      <c r="CE629" s="138">
        <v>180</v>
      </c>
      <c r="CF629" s="138">
        <v>63</v>
      </c>
      <c r="CG629" s="138"/>
      <c r="CH629" s="138"/>
      <c r="CI629" s="127"/>
      <c r="CJ629" s="138"/>
      <c r="CK629" s="138">
        <f t="shared" si="488"/>
        <v>39</v>
      </c>
      <c r="CL629" s="99"/>
      <c r="CM629" s="99"/>
      <c r="CN629" s="140">
        <v>69</v>
      </c>
      <c r="CO629" s="141">
        <f t="shared" si="504"/>
        <v>23.407999999999998</v>
      </c>
      <c r="CP629" s="142">
        <v>28</v>
      </c>
      <c r="CQ629" s="143">
        <v>0</v>
      </c>
      <c r="CR629" s="138">
        <v>32</v>
      </c>
      <c r="CS629" s="139">
        <v>8</v>
      </c>
      <c r="CT629" s="138"/>
      <c r="CU629" s="138">
        <f>IF(CR629&lt;&gt;"0",CR629-CS629,"0")</f>
        <v>24</v>
      </c>
      <c r="CV629" s="115">
        <f>(CR629-CS629)*1000/CO629</f>
        <v>1025.2904989747096</v>
      </c>
      <c r="CW629" s="115">
        <f>IF(CP629&lt;&gt;0,IF(AU629=$AU$29,CS629/(CO629+(CP629-CO629/0.836)*1.158)*1000,""),"")</f>
        <v>341.76349965823653</v>
      </c>
      <c r="CX629" s="133">
        <f>IF(CP629&lt;&gt;0,CP629/(CE629-CN629),0)</f>
        <v>0.25225225225225223</v>
      </c>
      <c r="CY629" s="116"/>
      <c r="CZ629" s="131"/>
      <c r="DA629" s="145" t="str">
        <f t="shared" si="478"/>
        <v>Газлифт</v>
      </c>
      <c r="DB629" s="146">
        <v>32</v>
      </c>
      <c r="DC629" s="142">
        <v>38</v>
      </c>
      <c r="DD629" s="119">
        <v>0</v>
      </c>
      <c r="DE629" s="115">
        <v>38</v>
      </c>
      <c r="DF629" s="121"/>
      <c r="DG629" s="115">
        <f t="shared" si="506"/>
        <v>1025.2904989747096</v>
      </c>
      <c r="DH629" s="115"/>
      <c r="DI629" s="147"/>
      <c r="DJ629" s="111"/>
      <c r="DK629" s="112"/>
      <c r="DL629" s="113"/>
      <c r="DM629" s="114"/>
      <c r="DN629" s="114"/>
      <c r="DO629" s="114"/>
      <c r="DP629" s="114"/>
      <c r="DQ629" s="112"/>
      <c r="DR629" s="114"/>
      <c r="DS629" s="114"/>
      <c r="DT629" s="115"/>
      <c r="DU629" s="116"/>
      <c r="DV629" s="117"/>
      <c r="DW629" s="118"/>
      <c r="DX629" s="119"/>
      <c r="DY629" s="115"/>
      <c r="DZ629" s="117"/>
      <c r="EA629" s="120"/>
      <c r="EB629" s="119"/>
      <c r="EC629" s="121"/>
      <c r="ED629" s="122"/>
      <c r="EE629" s="145">
        <v>65</v>
      </c>
      <c r="EF629" s="115">
        <v>32</v>
      </c>
      <c r="EG629" s="115">
        <v>54</v>
      </c>
      <c r="EH629" s="115">
        <v>31</v>
      </c>
      <c r="EI629" s="128" t="s">
        <v>195</v>
      </c>
      <c r="EJ629" s="121">
        <v>24</v>
      </c>
      <c r="EK629" s="121">
        <v>0</v>
      </c>
      <c r="EL629" s="149">
        <v>19.636636800000002</v>
      </c>
      <c r="EM629" s="142">
        <v>24</v>
      </c>
      <c r="EN629" s="119">
        <v>2.13</v>
      </c>
      <c r="EO629" s="115">
        <v>15.17</v>
      </c>
      <c r="EP629" s="115">
        <v>365.13380947189489</v>
      </c>
      <c r="EQ629" s="115">
        <v>66</v>
      </c>
      <c r="ER629" s="115">
        <v>8</v>
      </c>
      <c r="ES629" s="115">
        <v>73</v>
      </c>
      <c r="ET629" s="150">
        <v>0.22429906542056074</v>
      </c>
      <c r="EU629" s="145">
        <f>BV629</f>
        <v>65</v>
      </c>
      <c r="EV629" s="115">
        <f t="shared" si="532"/>
        <v>30</v>
      </c>
      <c r="EW629" s="115">
        <f t="shared" si="532"/>
        <v>60</v>
      </c>
      <c r="EX629" s="115">
        <f t="shared" si="532"/>
        <v>29</v>
      </c>
      <c r="EY629" s="115" t="str">
        <f t="shared" si="533"/>
        <v>Постоянный</v>
      </c>
      <c r="EZ629" s="115">
        <f t="shared" si="533"/>
        <v>24</v>
      </c>
      <c r="FA629" s="115">
        <f t="shared" si="533"/>
        <v>0</v>
      </c>
      <c r="FB629" s="149">
        <f t="shared" si="524"/>
        <v>23.407999999999998</v>
      </c>
      <c r="FC629" s="142">
        <f t="shared" si="524"/>
        <v>28</v>
      </c>
      <c r="FD629" s="119">
        <f t="shared" si="524"/>
        <v>0</v>
      </c>
      <c r="FE629" s="121">
        <f t="shared" si="524"/>
        <v>32</v>
      </c>
      <c r="FF629" s="121">
        <f>CV629</f>
        <v>1025.2904989747096</v>
      </c>
      <c r="FG629" s="121">
        <f>CF629</f>
        <v>63</v>
      </c>
      <c r="FH629" s="121">
        <f>CS629</f>
        <v>8</v>
      </c>
      <c r="FI629" s="121">
        <f>CN629</f>
        <v>69</v>
      </c>
      <c r="FJ629" s="144">
        <f>CX629</f>
        <v>0.25225225225225223</v>
      </c>
      <c r="FK629" s="132">
        <f t="shared" si="534"/>
        <v>0</v>
      </c>
      <c r="FL629" s="115">
        <f t="shared" si="534"/>
        <v>-2</v>
      </c>
      <c r="FM629" s="115">
        <f t="shared" si="534"/>
        <v>6</v>
      </c>
      <c r="FN629" s="115">
        <f t="shared" si="534"/>
        <v>-2</v>
      </c>
      <c r="FO629" s="115">
        <f t="shared" si="536"/>
        <v>0</v>
      </c>
      <c r="FP629" s="115">
        <f t="shared" si="536"/>
        <v>0</v>
      </c>
      <c r="FQ629" s="149">
        <f t="shared" si="536"/>
        <v>3.7713631999999961</v>
      </c>
      <c r="FR629" s="142">
        <f t="shared" si="536"/>
        <v>4</v>
      </c>
      <c r="FS629" s="119">
        <f t="shared" si="536"/>
        <v>-2.13</v>
      </c>
      <c r="FT629" s="121">
        <f t="shared" si="536"/>
        <v>16.829999999999998</v>
      </c>
      <c r="FU629" s="121">
        <f t="shared" si="537"/>
        <v>-3</v>
      </c>
      <c r="FV629" s="121">
        <f t="shared" si="537"/>
        <v>0</v>
      </c>
      <c r="FW629" s="121">
        <f>FF629-EP629</f>
        <v>660.15668950281474</v>
      </c>
      <c r="FX629" s="121">
        <f t="shared" si="538"/>
        <v>-4</v>
      </c>
      <c r="FY629" s="144">
        <f t="shared" si="538"/>
        <v>2.7953186831691484E-2</v>
      </c>
      <c r="FZ629" s="145" t="s">
        <v>199</v>
      </c>
      <c r="GA629" s="151" t="s">
        <v>200</v>
      </c>
      <c r="GB629" s="145" t="s">
        <v>203</v>
      </c>
      <c r="GC629" s="151" t="s">
        <v>2105</v>
      </c>
      <c r="GD629" s="997" t="s">
        <v>202</v>
      </c>
      <c r="GE629" s="1004" t="s">
        <v>203</v>
      </c>
      <c r="GF629" s="1004">
        <v>-15.563363200000001</v>
      </c>
      <c r="GG629" s="1004"/>
      <c r="GH629" s="1004"/>
      <c r="GI629" s="145"/>
      <c r="GJ629" s="996"/>
      <c r="GK629" s="145"/>
      <c r="GL629" s="996"/>
      <c r="GM629" s="1005"/>
      <c r="GN629" s="996"/>
      <c r="GO629" s="1006"/>
      <c r="GP629" s="996"/>
      <c r="GQ629" s="1006"/>
      <c r="GR629" s="996"/>
      <c r="GS629" s="1006"/>
      <c r="GT629" s="996"/>
      <c r="GU629" s="1006"/>
      <c r="GV629" s="996"/>
      <c r="GW629" s="1006"/>
      <c r="GX629" s="996"/>
      <c r="GY629" s="1006"/>
      <c r="GZ629" s="996"/>
      <c r="HA629" s="1006"/>
      <c r="HB629" s="996"/>
      <c r="HC629" s="1006"/>
      <c r="HD629" s="996"/>
      <c r="HE629" s="1006"/>
      <c r="HF629" s="996"/>
      <c r="HG629" s="1006"/>
      <c r="HH629" s="996"/>
      <c r="HI629" s="1006"/>
      <c r="HJ629" s="996"/>
      <c r="HK629" s="1006"/>
      <c r="HL629" s="996"/>
      <c r="HM629" s="1006"/>
      <c r="HN629" s="996"/>
      <c r="HO629" s="1006"/>
      <c r="HP629" s="996"/>
      <c r="HQ629" s="1006"/>
      <c r="HR629" s="996"/>
      <c r="HS629" s="1006"/>
      <c r="HT629" s="996"/>
      <c r="HU629" s="1006"/>
      <c r="HV629" s="996"/>
      <c r="HW629" s="1006"/>
      <c r="HX629" s="996"/>
      <c r="HY629" s="1006"/>
      <c r="HZ629" s="996"/>
      <c r="IA629" s="1006"/>
      <c r="IB629" s="996"/>
      <c r="IC629" s="1006"/>
      <c r="ID629" s="996"/>
      <c r="IE629" s="1006"/>
      <c r="IF629" s="996"/>
      <c r="IG629" s="1006"/>
      <c r="IH629" s="996"/>
      <c r="II629" s="1006"/>
      <c r="IJ629" s="996"/>
      <c r="IK629" s="1006"/>
      <c r="IL629" s="996"/>
      <c r="IM629" s="1006"/>
      <c r="IN629" s="996"/>
      <c r="IO629" s="1006"/>
      <c r="IP629" s="996"/>
      <c r="IQ629" s="1006"/>
      <c r="IR629" s="996"/>
      <c r="IS629" s="1006"/>
      <c r="IT629" s="996"/>
      <c r="IU629" s="1006"/>
      <c r="IV629" s="996"/>
      <c r="IW629" s="1006"/>
      <c r="IX629" s="996"/>
      <c r="IY629" s="1006"/>
      <c r="IZ629" s="996"/>
      <c r="JA629" s="1006"/>
      <c r="JB629" s="996"/>
      <c r="JC629" s="1006"/>
      <c r="JD629" s="996"/>
      <c r="JE629" s="1006"/>
      <c r="JF629" s="996"/>
      <c r="JG629" s="1006"/>
      <c r="JH629" s="996"/>
      <c r="JI629" s="1006"/>
      <c r="JJ629" s="996"/>
      <c r="JK629" s="1007"/>
      <c r="JL629" s="1007"/>
      <c r="JM629" s="1007"/>
      <c r="JN629" s="1007"/>
      <c r="JO629" s="1067"/>
      <c r="JP629" s="1007"/>
      <c r="JQ629" s="1008"/>
      <c r="JR629" s="1007"/>
      <c r="JS629" s="1008"/>
      <c r="JT629" s="1007"/>
      <c r="JU629" s="1008"/>
      <c r="JV629" s="1007"/>
      <c r="JW629" s="1008"/>
      <c r="JX629" s="1007"/>
      <c r="JY629" s="1008"/>
      <c r="JZ629" s="1007"/>
      <c r="KA629" s="1008"/>
      <c r="KB629" s="1007"/>
      <c r="KC629" s="1008"/>
      <c r="KD629" s="1007"/>
      <c r="KE629" s="1008"/>
      <c r="KF629" s="1007"/>
      <c r="KG629" s="1008"/>
      <c r="KH629" s="1007"/>
      <c r="KI629" s="1008"/>
      <c r="KJ629" s="1007"/>
      <c r="KK629" s="1008"/>
      <c r="KL629" s="1007"/>
      <c r="KM629" s="1008"/>
      <c r="KN629" s="1007"/>
      <c r="KO629" s="1008"/>
      <c r="KP629" s="1007"/>
      <c r="KQ629" s="1008"/>
      <c r="KR629" s="1007"/>
      <c r="KS629" s="1008"/>
      <c r="KT629" s="1007"/>
      <c r="KU629" s="1008"/>
      <c r="KV629" s="1007"/>
      <c r="KW629" s="1008"/>
      <c r="KX629" s="1007"/>
      <c r="KY629" s="1008"/>
      <c r="KZ629" s="1007"/>
      <c r="LA629" s="1008"/>
      <c r="LB629" s="1007"/>
      <c r="LC629" s="1008"/>
      <c r="LD629" s="1007"/>
      <c r="LE629" s="1008"/>
      <c r="LF629" s="1007"/>
      <c r="LG629" s="1008"/>
      <c r="LH629" s="1007"/>
      <c r="LI629" s="1008"/>
      <c r="LJ629" s="1007"/>
      <c r="LK629" s="1008"/>
      <c r="LL629" s="1007"/>
      <c r="LM629" s="1008"/>
      <c r="LN629" s="1007"/>
      <c r="LO629" s="1008"/>
      <c r="LP629" s="1007"/>
      <c r="LQ629" s="1008"/>
      <c r="LR629" s="1007"/>
      <c r="LS629" s="1008"/>
      <c r="LT629" s="1007"/>
      <c r="LU629" s="1008"/>
      <c r="LV629" s="1007"/>
      <c r="LW629" s="1008"/>
      <c r="LX629" s="1007"/>
      <c r="LY629" s="1009"/>
      <c r="LZ629" s="1010"/>
      <c r="MA629" s="1011"/>
      <c r="MB629" s="1012"/>
      <c r="MC629" s="995"/>
      <c r="MD629" s="996"/>
      <c r="ME629" s="997" t="s">
        <v>202</v>
      </c>
      <c r="MF629" s="997"/>
      <c r="MG629" s="998"/>
      <c r="NR629" s="1000"/>
      <c r="NS629" s="1000"/>
      <c r="NT629" s="1001"/>
      <c r="NU629" s="1000"/>
      <c r="NV629" s="1001"/>
      <c r="NX629" s="1002"/>
      <c r="NZ629" s="1001"/>
      <c r="OA629" s="1001"/>
      <c r="OC629" s="1003"/>
      <c r="OD629" s="1003"/>
      <c r="OE629" s="1001"/>
      <c r="OF629" s="1003"/>
      <c r="OG629" s="1003"/>
      <c r="QX629" s="1000">
        <f>CN629-CA629</f>
        <v>39</v>
      </c>
    </row>
    <row r="630" spans="1:466 1191:1191" ht="21" customHeight="1" x14ac:dyDescent="0.25">
      <c r="A630" s="982">
        <f t="shared" si="503"/>
        <v>6368</v>
      </c>
      <c r="B630" s="124">
        <f>SUBTOTAL(103,$J$29:J630)</f>
        <v>602</v>
      </c>
      <c r="C630" s="126">
        <v>45068</v>
      </c>
      <c r="D630" s="124" t="s">
        <v>176</v>
      </c>
      <c r="E630" s="127" t="s">
        <v>177</v>
      </c>
      <c r="F630" s="128" t="s">
        <v>177</v>
      </c>
      <c r="G630" s="127" t="s">
        <v>178</v>
      </c>
      <c r="H630" s="127" t="s">
        <v>179</v>
      </c>
      <c r="I630" s="127" t="s">
        <v>2097</v>
      </c>
      <c r="J630" s="129">
        <v>6368</v>
      </c>
      <c r="K630" s="127" t="s">
        <v>2097</v>
      </c>
      <c r="L630" s="130">
        <v>44985</v>
      </c>
      <c r="M630" s="127" t="s">
        <v>230</v>
      </c>
      <c r="N630" s="127" t="s">
        <v>184</v>
      </c>
      <c r="O630" s="127" t="s">
        <v>185</v>
      </c>
      <c r="P630" s="127" t="s">
        <v>186</v>
      </c>
      <c r="Q630" s="85" t="str">
        <f t="shared" si="523"/>
        <v/>
      </c>
      <c r="R630" s="130"/>
      <c r="S630" s="128"/>
      <c r="T630" s="131"/>
      <c r="U630" s="132">
        <v>203</v>
      </c>
      <c r="V630" s="121">
        <v>218.2</v>
      </c>
      <c r="W630" s="116">
        <v>0.98</v>
      </c>
      <c r="X630" s="116">
        <v>1.66</v>
      </c>
      <c r="Y630" s="116">
        <f t="shared" si="535"/>
        <v>0.98</v>
      </c>
      <c r="Z630" s="133">
        <v>1.454</v>
      </c>
      <c r="AA630" s="133">
        <v>0.83599999999999997</v>
      </c>
      <c r="AB630" s="133">
        <v>0.72</v>
      </c>
      <c r="AC630" s="121">
        <v>34.299999999999997</v>
      </c>
      <c r="AD630" s="134">
        <v>1.17</v>
      </c>
      <c r="AE630" s="124">
        <v>178</v>
      </c>
      <c r="AF630" s="128">
        <v>9.1999999999999993</v>
      </c>
      <c r="AG630" s="128">
        <v>2166</v>
      </c>
      <c r="AH630" s="127">
        <v>3178</v>
      </c>
      <c r="AI630" s="127">
        <v>3178</v>
      </c>
      <c r="AJ630" s="135">
        <v>44866</v>
      </c>
      <c r="AK630" s="128"/>
      <c r="AL630" s="131"/>
      <c r="AM630" s="124" t="s">
        <v>985</v>
      </c>
      <c r="AN630" s="136" t="s">
        <v>2106</v>
      </c>
      <c r="AO630" s="137" t="s">
        <v>2107</v>
      </c>
      <c r="AP630" s="128">
        <v>2292.34</v>
      </c>
      <c r="AQ630" s="128">
        <v>370</v>
      </c>
      <c r="AR630" s="128" t="s">
        <v>2108</v>
      </c>
      <c r="AS630" s="128">
        <v>114</v>
      </c>
      <c r="AT630" s="122">
        <v>7.37</v>
      </c>
      <c r="AU630" s="124" t="s">
        <v>189</v>
      </c>
      <c r="AV630" s="115">
        <f>VLOOKUP(J630,'[63]ТР нефть'!$J$28:$BP$638,39,0)</f>
        <v>480</v>
      </c>
      <c r="AW630" s="115" t="str">
        <f>VLOOKUP(J630,'[63]ТР нефть'!$J$28:$BP$638,40,0)</f>
        <v>ГП</v>
      </c>
      <c r="AX630" s="115">
        <f>VLOOKUP(J630,'[63]ТР нефть'!$J$28:$BP$638,41,0)</f>
        <v>880</v>
      </c>
      <c r="AY630" s="115" t="str">
        <f>VLOOKUP(J630,'[63]ТР нефть'!$J$28:$BP$638,42,0)</f>
        <v>ГП</v>
      </c>
      <c r="AZ630" s="115">
        <f>VLOOKUP(J630,'[63]ТР нефть'!$J$28:$BP$638,43,0)</f>
        <v>1210</v>
      </c>
      <c r="BA630" s="115" t="str">
        <f>VLOOKUP(J630,'[63]ТР нефть'!$J$28:$BP$638,44,0)</f>
        <v>ГП</v>
      </c>
      <c r="BB630" s="115">
        <f>VLOOKUP(J630,'[63]ТР нефть'!$J$28:$BP$638,45,0)</f>
        <v>1480</v>
      </c>
      <c r="BC630" s="115" t="str">
        <f>VLOOKUP(J630,'[63]ТР нефть'!$J$28:$BP$638,46,0)</f>
        <v>ГП</v>
      </c>
      <c r="BD630" s="115">
        <f>VLOOKUP(J630,'[63]ТР нефть'!$J$28:$BP$638,47,0)</f>
        <v>1710</v>
      </c>
      <c r="BE630" s="115" t="str">
        <f>VLOOKUP(J630,'[63]ТР нефть'!$J$28:$BP$638,48,0)</f>
        <v>ГК90 3/16</v>
      </c>
      <c r="BF630" s="115">
        <f>VLOOKUP(J630,'[63]ТР нефть'!$J$28:$BP$638,49,0)</f>
        <v>1910</v>
      </c>
      <c r="BG630" s="115" t="str">
        <f>VLOOKUP(J630,'[63]ТР нефть'!$J$28:$BP$638,50,0)</f>
        <v>ЦКсОК 5/16</v>
      </c>
      <c r="BH630" s="115">
        <f>VLOOKUP(J630,'[63]ТР нефть'!$J$28:$BP$638,51,0)</f>
        <v>1930</v>
      </c>
      <c r="BI630" s="115" t="str">
        <f>VLOOKUP(J630,'[63]ТР нефть'!$J$28:$BP$638,52,0)</f>
        <v>закрыт</v>
      </c>
      <c r="BJ630" s="115" t="str">
        <f>IF(IFERROR(VLOOKUP(J630,'[63]ТР нефть'!$J$28:$BP$638,53,0),"-")=0,"-",IFERROR(VLOOKUP(J630,'[63]ТР нефть'!$J$28:$BP$638,53,0),"-"))</f>
        <v>-</v>
      </c>
      <c r="BK630" s="138" t="str">
        <f>IF(IFERROR(VLOOKUP(J630,'[63]ТР нефть'!$J$28:$BP$638,54,0),"-")=0,"-",IFERROR(VLOOKUP(J630,'[63]ТР нефть'!$J$28:$BP$638,54,0),"-"))</f>
        <v>-</v>
      </c>
      <c r="BL630" s="138" t="str">
        <f>IF(IFERROR(VLOOKUP(J630,'[63]ТР нефть'!$J$28:$BP$638,55,0),"-")=0,"-",IFERROR(VLOOKUP(J630,'[63]ТР нефть'!$J$28:$BP$638,55,0),"-"))</f>
        <v>-</v>
      </c>
      <c r="BM630" s="138" t="str">
        <f>IF(IFERROR(VLOOKUP(J630,'[63]ТР нефть'!$J$28:$BP$638,56,0),"-")=0,"-",IFERROR(VLOOKUP(J630,'[63]ТР нефть'!$J$28:$BP$638,56,0),"-"))</f>
        <v>-</v>
      </c>
      <c r="BN630" s="138" t="str">
        <f>IF(IFERROR(VLOOKUP(J630,'[63]ТР нефть'!$J$28:$BP$638,57,0),"-")=0,"-",IFERROR(VLOOKUP(J630,'[63]ТР нефть'!$J$28:$BP$638,57,0),"-"))</f>
        <v>-</v>
      </c>
      <c r="BO630" s="115" t="str">
        <f>IF(IFERROR(VLOOKUP(J630,'[63]ТР нефть'!$J$28:$BP$638,58,0),"-")=0,"-",IFERROR(VLOOKUP(J630,'[63]ТР нефть'!$J$28:$BP$638,58,0),"-"))</f>
        <v>-</v>
      </c>
      <c r="BP630" s="115" t="str">
        <f>IF(IFERROR(VLOOKUP(J630,'[63]ТР нефть'!$J$28:$BP$638,59,0),"-")=0,"-",IFERROR(VLOOKUP(J630,'[63]ТР нефть'!$J$28:$BP$638,59,0),"-"))</f>
        <v>-</v>
      </c>
      <c r="BQ630" s="138">
        <v>3137</v>
      </c>
      <c r="BR630" s="128">
        <v>1947</v>
      </c>
      <c r="BS630" s="128">
        <f t="shared" si="526"/>
        <v>1190</v>
      </c>
      <c r="BT630" s="128">
        <v>73</v>
      </c>
      <c r="BU630" s="128">
        <v>5.5</v>
      </c>
      <c r="BV630" s="127">
        <v>65</v>
      </c>
      <c r="BW630" s="127"/>
      <c r="BX630" s="127" t="s">
        <v>195</v>
      </c>
      <c r="BY630" s="139">
        <v>24</v>
      </c>
      <c r="BZ630" s="139">
        <v>0</v>
      </c>
      <c r="CA630" s="138">
        <v>31</v>
      </c>
      <c r="CB630" s="138">
        <v>55</v>
      </c>
      <c r="CC630" s="138">
        <v>30</v>
      </c>
      <c r="CD630" s="135">
        <v>45017</v>
      </c>
      <c r="CE630" s="138">
        <v>180</v>
      </c>
      <c r="CF630" s="138">
        <v>62</v>
      </c>
      <c r="CG630" s="138"/>
      <c r="CH630" s="138"/>
      <c r="CI630" s="127"/>
      <c r="CJ630" s="138"/>
      <c r="CK630" s="138">
        <f t="shared" si="488"/>
        <v>39</v>
      </c>
      <c r="CL630" s="99"/>
      <c r="CM630" s="99"/>
      <c r="CN630" s="140">
        <v>70</v>
      </c>
      <c r="CO630" s="141">
        <f t="shared" si="504"/>
        <v>27.587999999999997</v>
      </c>
      <c r="CP630" s="142">
        <v>33</v>
      </c>
      <c r="CQ630" s="143">
        <v>0</v>
      </c>
      <c r="CR630" s="138">
        <v>21</v>
      </c>
      <c r="CS630" s="139">
        <v>12</v>
      </c>
      <c r="CT630" s="138">
        <f>IF(CQ630&lt;&gt;"0",CQ630-CR630,"0")</f>
        <v>-21</v>
      </c>
      <c r="CU630" s="138">
        <f>IF(CR630&lt;&gt;"0",CR630-CS630,"0")</f>
        <v>9</v>
      </c>
      <c r="CV630" s="115">
        <f t="shared" ref="CV630:CV641" si="539">(CR630-CS630)*1000/CO630</f>
        <v>326.22879512831668</v>
      </c>
      <c r="CW630" s="115">
        <f t="shared" si="505"/>
        <v>434.97172683775557</v>
      </c>
      <c r="CX630" s="133">
        <f t="shared" ref="CX630:CX641" si="540">IF(CP630&lt;&gt;0,CP630/(CE630-CN630),0)</f>
        <v>0.3</v>
      </c>
      <c r="CY630" s="116"/>
      <c r="CZ630" s="131"/>
      <c r="DA630" s="145" t="str">
        <f t="shared" si="478"/>
        <v>Газлифт</v>
      </c>
      <c r="DB630" s="146">
        <f t="shared" ref="DB630:DB641" si="541">IFERROR(DC630*(1-DD630/100)*$AA630,"-")</f>
        <v>27.587999999999997</v>
      </c>
      <c r="DC630" s="142">
        <f t="shared" ref="DC630:DC641" si="542">IFERROR(IF(AND(FZ630="Технология",FQ630&lt;$JC$24),EM630,CP630),"-")</f>
        <v>33</v>
      </c>
      <c r="DD630" s="119">
        <f t="shared" ref="DD630:DD641" si="543">IFERROR(IF(AND(FZ630="Технология",FQ630&lt;$JC$29),EN630,CQ630),"-")</f>
        <v>0</v>
      </c>
      <c r="DE630" s="115">
        <f t="shared" ref="DE630:DE641" si="544">CU630</f>
        <v>9</v>
      </c>
      <c r="DF630" s="121">
        <f t="shared" ref="DF630:DF641" si="545">CS630</f>
        <v>12</v>
      </c>
      <c r="DG630" s="115">
        <f t="shared" si="506"/>
        <v>326.22879512831668</v>
      </c>
      <c r="DH630" s="115"/>
      <c r="DI630" s="147"/>
      <c r="DJ630" s="111"/>
      <c r="DK630" s="112"/>
      <c r="DL630" s="113"/>
      <c r="DM630" s="114"/>
      <c r="DN630" s="114"/>
      <c r="DO630" s="114"/>
      <c r="DP630" s="114"/>
      <c r="DQ630" s="112"/>
      <c r="DR630" s="114"/>
      <c r="DS630" s="114"/>
      <c r="DT630" s="115"/>
      <c r="DU630" s="116"/>
      <c r="DV630" s="117"/>
      <c r="DW630" s="118"/>
      <c r="DX630" s="119"/>
      <c r="DY630" s="115"/>
      <c r="DZ630" s="117"/>
      <c r="EA630" s="120"/>
      <c r="EB630" s="119"/>
      <c r="EC630" s="121"/>
      <c r="ED630" s="122"/>
      <c r="EE630" s="145">
        <v>65</v>
      </c>
      <c r="EF630" s="115">
        <v>31</v>
      </c>
      <c r="EG630" s="115">
        <v>62</v>
      </c>
      <c r="EH630" s="115">
        <v>30</v>
      </c>
      <c r="EI630" s="128" t="s">
        <v>195</v>
      </c>
      <c r="EJ630" s="121">
        <v>24</v>
      </c>
      <c r="EK630" s="121">
        <v>0</v>
      </c>
      <c r="EL630" s="149">
        <v>54.339999999999996</v>
      </c>
      <c r="EM630" s="142">
        <v>65</v>
      </c>
      <c r="EN630" s="119">
        <v>0</v>
      </c>
      <c r="EO630" s="115">
        <v>33</v>
      </c>
      <c r="EP630" s="115">
        <v>147.22119985277882</v>
      </c>
      <c r="EQ630" s="115">
        <v>64</v>
      </c>
      <c r="ER630" s="115">
        <v>25</v>
      </c>
      <c r="ES630" s="115">
        <v>107</v>
      </c>
      <c r="ET630" s="121">
        <v>0.8904109589041096</v>
      </c>
      <c r="EU630" s="145">
        <f>BV630</f>
        <v>65</v>
      </c>
      <c r="EV630" s="115">
        <f t="shared" si="532"/>
        <v>31</v>
      </c>
      <c r="EW630" s="115">
        <f t="shared" si="532"/>
        <v>55</v>
      </c>
      <c r="EX630" s="115">
        <f t="shared" si="532"/>
        <v>30</v>
      </c>
      <c r="EY630" s="115" t="str">
        <f t="shared" si="533"/>
        <v>Постоянный</v>
      </c>
      <c r="EZ630" s="115">
        <f t="shared" si="533"/>
        <v>24</v>
      </c>
      <c r="FA630" s="115">
        <f t="shared" si="533"/>
        <v>0</v>
      </c>
      <c r="FB630" s="149">
        <f t="shared" si="524"/>
        <v>27.587999999999997</v>
      </c>
      <c r="FC630" s="142">
        <f t="shared" si="524"/>
        <v>33</v>
      </c>
      <c r="FD630" s="119">
        <f t="shared" si="524"/>
        <v>0</v>
      </c>
      <c r="FE630" s="121">
        <f t="shared" si="524"/>
        <v>21</v>
      </c>
      <c r="FF630" s="121">
        <f>CV630</f>
        <v>326.22879512831668</v>
      </c>
      <c r="FG630" s="121">
        <f>CF630</f>
        <v>62</v>
      </c>
      <c r="FH630" s="121">
        <f>CS630</f>
        <v>12</v>
      </c>
      <c r="FI630" s="121">
        <f>CN630</f>
        <v>70</v>
      </c>
      <c r="FJ630" s="144">
        <f>CX630</f>
        <v>0.3</v>
      </c>
      <c r="FK630" s="132">
        <f t="shared" si="534"/>
        <v>0</v>
      </c>
      <c r="FL630" s="115">
        <f t="shared" si="534"/>
        <v>0</v>
      </c>
      <c r="FM630" s="115">
        <f t="shared" si="534"/>
        <v>-7</v>
      </c>
      <c r="FN630" s="115">
        <f t="shared" si="534"/>
        <v>0</v>
      </c>
      <c r="FO630" s="115">
        <f t="shared" si="536"/>
        <v>0</v>
      </c>
      <c r="FP630" s="115">
        <f t="shared" si="536"/>
        <v>0</v>
      </c>
      <c r="FQ630" s="149">
        <f t="shared" si="536"/>
        <v>-26.751999999999999</v>
      </c>
      <c r="FR630" s="142">
        <f t="shared" si="536"/>
        <v>-32</v>
      </c>
      <c r="FS630" s="119">
        <f t="shared" si="536"/>
        <v>0</v>
      </c>
      <c r="FT630" s="121">
        <f t="shared" si="536"/>
        <v>-12</v>
      </c>
      <c r="FU630" s="121">
        <f t="shared" si="537"/>
        <v>-2</v>
      </c>
      <c r="FV630" s="121">
        <f t="shared" si="537"/>
        <v>-13</v>
      </c>
      <c r="FW630" s="121">
        <f>FF630-EP630</f>
        <v>179.00759527553785</v>
      </c>
      <c r="FX630" s="121">
        <f t="shared" si="538"/>
        <v>-37</v>
      </c>
      <c r="FY630" s="144">
        <f t="shared" si="538"/>
        <v>-0.59041095890410955</v>
      </c>
      <c r="FZ630" s="145" t="s">
        <v>2109</v>
      </c>
      <c r="GA630" s="151" t="s">
        <v>2110</v>
      </c>
      <c r="GB630" s="145" t="s">
        <v>221</v>
      </c>
      <c r="GC630" s="151" t="s">
        <v>780</v>
      </c>
      <c r="GD630" s="997" t="s">
        <v>202</v>
      </c>
      <c r="GE630" s="1004" t="s">
        <v>221</v>
      </c>
      <c r="GF630" s="1004">
        <v>17.9433188</v>
      </c>
      <c r="GG630" s="1004"/>
      <c r="GH630" s="1004">
        <v>0</v>
      </c>
      <c r="GI630" s="145" t="s">
        <v>308</v>
      </c>
      <c r="GJ630" s="996"/>
      <c r="GK630" s="145"/>
      <c r="GL630" s="996"/>
      <c r="GM630" s="1005"/>
      <c r="GN630" s="996"/>
      <c r="GO630" s="1006"/>
      <c r="GP630" s="996"/>
      <c r="GQ630" s="1006"/>
      <c r="GR630" s="996"/>
      <c r="GS630" s="1006"/>
      <c r="GT630" s="996"/>
      <c r="GU630" s="1006"/>
      <c r="GV630" s="996"/>
      <c r="GW630" s="1006"/>
      <c r="GX630" s="996"/>
      <c r="GY630" s="1006"/>
      <c r="GZ630" s="996"/>
      <c r="HA630" s="1006"/>
      <c r="HB630" s="996"/>
      <c r="HC630" s="1006"/>
      <c r="HD630" s="996"/>
      <c r="HE630" s="1006"/>
      <c r="HF630" s="996"/>
      <c r="HG630" s="1006"/>
      <c r="HH630" s="996"/>
      <c r="HI630" s="1006"/>
      <c r="HJ630" s="996"/>
      <c r="HK630" s="1006"/>
      <c r="HL630" s="996"/>
      <c r="HM630" s="1006"/>
      <c r="HN630" s="996"/>
      <c r="HO630" s="1006"/>
      <c r="HP630" s="996"/>
      <c r="HQ630" s="1006"/>
      <c r="HR630" s="996"/>
      <c r="HS630" s="1006"/>
      <c r="HT630" s="996"/>
      <c r="HU630" s="1006"/>
      <c r="HV630" s="996"/>
      <c r="HW630" s="1006"/>
      <c r="HX630" s="996"/>
      <c r="HY630" s="1006"/>
      <c r="HZ630" s="996"/>
      <c r="IA630" s="1006"/>
      <c r="IB630" s="996"/>
      <c r="IC630" s="1006"/>
      <c r="ID630" s="996"/>
      <c r="IE630" s="1006"/>
      <c r="IF630" s="996"/>
      <c r="IG630" s="1006"/>
      <c r="IH630" s="996"/>
      <c r="II630" s="1006"/>
      <c r="IJ630" s="996"/>
      <c r="IK630" s="1006"/>
      <c r="IL630" s="996"/>
      <c r="IM630" s="1006"/>
      <c r="IN630" s="996"/>
      <c r="IO630" s="1006"/>
      <c r="IP630" s="996"/>
      <c r="IQ630" s="1006"/>
      <c r="IR630" s="996"/>
      <c r="IS630" s="1006"/>
      <c r="IT630" s="996"/>
      <c r="IU630" s="1006"/>
      <c r="IV630" s="996"/>
      <c r="IW630" s="1006"/>
      <c r="IX630" s="996"/>
      <c r="IY630" s="1006"/>
      <c r="IZ630" s="996"/>
      <c r="JA630" s="1006"/>
      <c r="JB630" s="996"/>
      <c r="JC630" s="1006"/>
      <c r="JD630" s="996"/>
      <c r="JE630" s="1006"/>
      <c r="JF630" s="996"/>
      <c r="JG630" s="1006"/>
      <c r="JH630" s="996"/>
      <c r="JI630" s="1006"/>
      <c r="JJ630" s="996"/>
      <c r="JK630" s="1007"/>
      <c r="JL630" s="1007"/>
      <c r="JM630" s="1007"/>
      <c r="JN630" s="1007"/>
      <c r="JO630" s="1067"/>
      <c r="JP630" s="1007"/>
      <c r="JQ630" s="1008"/>
      <c r="JR630" s="1007"/>
      <c r="JS630" s="1008"/>
      <c r="JT630" s="1007"/>
      <c r="JU630" s="1008"/>
      <c r="JV630" s="1007"/>
      <c r="JW630" s="1008"/>
      <c r="JX630" s="1007"/>
      <c r="JY630" s="1008"/>
      <c r="JZ630" s="1007"/>
      <c r="KA630" s="1008"/>
      <c r="KB630" s="1007"/>
      <c r="KC630" s="1008"/>
      <c r="KD630" s="1007"/>
      <c r="KE630" s="1008"/>
      <c r="KF630" s="1007"/>
      <c r="KG630" s="1008"/>
      <c r="KH630" s="1007"/>
      <c r="KI630" s="1008"/>
      <c r="KJ630" s="1007"/>
      <c r="KK630" s="1008"/>
      <c r="KL630" s="1007"/>
      <c r="KM630" s="1008"/>
      <c r="KN630" s="1007"/>
      <c r="KO630" s="1008"/>
      <c r="KP630" s="1007"/>
      <c r="KQ630" s="1008"/>
      <c r="KR630" s="1007"/>
      <c r="KS630" s="1008"/>
      <c r="KT630" s="1007"/>
      <c r="KU630" s="1008"/>
      <c r="KV630" s="1007"/>
      <c r="KW630" s="1008"/>
      <c r="KX630" s="1007"/>
      <c r="KY630" s="1008"/>
      <c r="KZ630" s="1007"/>
      <c r="LA630" s="1008"/>
      <c r="LB630" s="1007"/>
      <c r="LC630" s="1008"/>
      <c r="LD630" s="1007"/>
      <c r="LE630" s="1008"/>
      <c r="LF630" s="1007"/>
      <c r="LG630" s="1008"/>
      <c r="LH630" s="1007"/>
      <c r="LI630" s="1008"/>
      <c r="LJ630" s="1007"/>
      <c r="LK630" s="1008"/>
      <c r="LL630" s="1007"/>
      <c r="LM630" s="1008"/>
      <c r="LN630" s="1007"/>
      <c r="LO630" s="1008"/>
      <c r="LP630" s="1007"/>
      <c r="LQ630" s="1008"/>
      <c r="LR630" s="1007"/>
      <c r="LS630" s="1008"/>
      <c r="LT630" s="1007"/>
      <c r="LU630" s="1008"/>
      <c r="LV630" s="1007"/>
      <c r="LW630" s="1008"/>
      <c r="LX630" s="1007"/>
      <c r="LY630" s="1009"/>
      <c r="LZ630" s="1010"/>
      <c r="MA630" s="1011"/>
      <c r="MB630" s="1012"/>
      <c r="MC630" s="995"/>
      <c r="MD630" s="996"/>
      <c r="ME630" s="997" t="s">
        <v>202</v>
      </c>
      <c r="MF630" s="997"/>
      <c r="MG630" s="998"/>
      <c r="NR630" s="1000"/>
      <c r="NS630" s="1000"/>
      <c r="NT630" s="1001"/>
      <c r="NU630" s="1000"/>
      <c r="NV630" s="1001"/>
      <c r="NX630" s="1002"/>
      <c r="NZ630" s="1001"/>
      <c r="OA630" s="1001"/>
      <c r="OC630" s="1003"/>
      <c r="OD630" s="1003"/>
      <c r="OE630" s="1001"/>
      <c r="OF630" s="1003"/>
      <c r="OG630" s="1003"/>
      <c r="QX630" s="1000">
        <f>CN630-CA630</f>
        <v>39</v>
      </c>
    </row>
    <row r="631" spans="1:466 1191:1191" ht="21" customHeight="1" x14ac:dyDescent="0.25">
      <c r="A631" s="982">
        <f t="shared" si="503"/>
        <v>6369</v>
      </c>
      <c r="B631" s="124">
        <f>SUBTOTAL(103,$J$29:J631)</f>
        <v>603</v>
      </c>
      <c r="C631" s="126">
        <v>45068</v>
      </c>
      <c r="D631" s="124" t="s">
        <v>176</v>
      </c>
      <c r="E631" s="127" t="s">
        <v>177</v>
      </c>
      <c r="F631" s="128" t="s">
        <v>177</v>
      </c>
      <c r="G631" s="127" t="s">
        <v>178</v>
      </c>
      <c r="H631" s="127" t="s">
        <v>179</v>
      </c>
      <c r="I631" s="127" t="s">
        <v>2097</v>
      </c>
      <c r="J631" s="152">
        <v>6369</v>
      </c>
      <c r="K631" s="127" t="s">
        <v>2097</v>
      </c>
      <c r="L631" s="130">
        <v>44923</v>
      </c>
      <c r="M631" s="127" t="s">
        <v>230</v>
      </c>
      <c r="N631" s="127" t="s">
        <v>184</v>
      </c>
      <c r="O631" s="127" t="s">
        <v>185</v>
      </c>
      <c r="P631" s="127" t="s">
        <v>186</v>
      </c>
      <c r="Q631" s="85" t="str">
        <f t="shared" si="523"/>
        <v/>
      </c>
      <c r="R631" s="130"/>
      <c r="S631" s="128"/>
      <c r="T631" s="131"/>
      <c r="U631" s="132">
        <v>203</v>
      </c>
      <c r="V631" s="121">
        <v>218.2</v>
      </c>
      <c r="W631" s="116">
        <v>0.98</v>
      </c>
      <c r="X631" s="116">
        <v>1.66</v>
      </c>
      <c r="Y631" s="116">
        <f t="shared" si="535"/>
        <v>0.98128631266045119</v>
      </c>
      <c r="Z631" s="133">
        <v>1.454</v>
      </c>
      <c r="AA631" s="133">
        <v>0.83599999999999997</v>
      </c>
      <c r="AB631" s="133">
        <v>0.72</v>
      </c>
      <c r="AC631" s="121">
        <v>34.299999999999997</v>
      </c>
      <c r="AD631" s="134">
        <v>1.17</v>
      </c>
      <c r="AE631" s="124">
        <v>178</v>
      </c>
      <c r="AF631" s="128">
        <v>9.1999999999999993</v>
      </c>
      <c r="AG631" s="128">
        <v>2234</v>
      </c>
      <c r="AH631" s="127">
        <v>3300</v>
      </c>
      <c r="AI631" s="127">
        <v>3300</v>
      </c>
      <c r="AJ631" s="135">
        <v>44844</v>
      </c>
      <c r="AK631" s="128"/>
      <c r="AL631" s="131"/>
      <c r="AM631" s="124" t="s">
        <v>985</v>
      </c>
      <c r="AN631" s="136" t="s">
        <v>2111</v>
      </c>
      <c r="AO631" s="137" t="s">
        <v>2112</v>
      </c>
      <c r="AP631" s="128">
        <v>2299.38</v>
      </c>
      <c r="AQ631" s="128">
        <v>390</v>
      </c>
      <c r="AR631" s="128" t="s">
        <v>2113</v>
      </c>
      <c r="AS631" s="128">
        <v>114</v>
      </c>
      <c r="AT631" s="122">
        <v>7.37</v>
      </c>
      <c r="AU631" s="124" t="s">
        <v>189</v>
      </c>
      <c r="AV631" s="115">
        <f>VLOOKUP(J631,'[63]ТР нефть'!$J$28:$BP$638,39,0)</f>
        <v>520</v>
      </c>
      <c r="AW631" s="115" t="str">
        <f>VLOOKUP(J631,'[63]ТР нефть'!$J$28:$BP$638,40,0)</f>
        <v>ГК70 1/8</v>
      </c>
      <c r="AX631" s="115">
        <f>VLOOKUP(J631,'[63]ТР нефть'!$J$28:$BP$638,41,0)</f>
        <v>980</v>
      </c>
      <c r="AY631" s="115" t="str">
        <f>VLOOKUP(J631,'[63]ТР нефть'!$J$28:$BP$638,42,0)</f>
        <v>ГК69 1/8</v>
      </c>
      <c r="AZ631" s="115">
        <f>VLOOKUP(J631,'[63]ТР нефть'!$J$28:$BP$638,43,0)</f>
        <v>1370</v>
      </c>
      <c r="BA631" s="115" t="str">
        <f>VLOOKUP(J631,'[63]ТР нефть'!$J$28:$BP$638,44,0)</f>
        <v>ГК68 5/16</v>
      </c>
      <c r="BB631" s="115">
        <f>VLOOKUP(J631,'[63]ТР нефть'!$J$28:$BP$638,45,0)</f>
        <v>1675.9999499999999</v>
      </c>
      <c r="BC631" s="115" t="str">
        <f>VLOOKUP(J631,'[63]ТР нефть'!$J$28:$BP$638,46,0)</f>
        <v>ГК67 3/16</v>
      </c>
      <c r="BD631" s="115">
        <f>VLOOKUP(J631,'[63]ТР нефть'!$J$28:$BP$638,47,0)</f>
        <v>1980</v>
      </c>
      <c r="BE631" s="115" t="str">
        <f>VLOOKUP(J631,'[63]ТР нефть'!$J$28:$BP$638,48,0)</f>
        <v>ЦКсОК 5/16</v>
      </c>
      <c r="BF631" s="115" t="str">
        <f>VLOOKUP(J631,'[63]ТР нефть'!$J$28:$BP$638,49,0)</f>
        <v>-</v>
      </c>
      <c r="BG631" s="115" t="str">
        <f>VLOOKUP(J631,'[63]ТР нефть'!$J$28:$BP$638,50,0)</f>
        <v>-</v>
      </c>
      <c r="BH631" s="115">
        <f>VLOOKUP(J631,'[63]ТР нефть'!$J$28:$BP$638,51,0)</f>
        <v>1989</v>
      </c>
      <c r="BI631" s="115" t="str">
        <f>VLOOKUP(J631,'[63]ТР нефть'!$J$28:$BP$638,52,0)</f>
        <v>закрыт</v>
      </c>
      <c r="BJ631" s="115" t="str">
        <f>IF(IFERROR(VLOOKUP(J631,'[63]ТР нефть'!$J$28:$BP$638,53,0),"-")=0,"-",IFERROR(VLOOKUP(J631,'[63]ТР нефть'!$J$28:$BP$638,53,0),"-"))</f>
        <v>-</v>
      </c>
      <c r="BK631" s="138" t="str">
        <f>IF(IFERROR(VLOOKUP(J631,'[63]ТР нефть'!$J$28:$BP$638,54,0),"-")=0,"-",IFERROR(VLOOKUP(J631,'[63]ТР нефть'!$J$28:$BP$638,54,0),"-"))</f>
        <v>-</v>
      </c>
      <c r="BL631" s="138" t="str">
        <f>IF(IFERROR(VLOOKUP(J631,'[63]ТР нефть'!$J$28:$BP$638,55,0),"-")=0,"-",IFERROR(VLOOKUP(J631,'[63]ТР нефть'!$J$28:$BP$638,55,0),"-"))</f>
        <v>-</v>
      </c>
      <c r="BM631" s="138" t="str">
        <f>IF(IFERROR(VLOOKUP(J631,'[63]ТР нефть'!$J$28:$BP$638,56,0),"-")=0,"-",IFERROR(VLOOKUP(J631,'[63]ТР нефть'!$J$28:$BP$638,56,0),"-"))</f>
        <v>-</v>
      </c>
      <c r="BN631" s="138" t="str">
        <f>IF(IFERROR(VLOOKUP(J631,'[63]ТР нефть'!$J$28:$BP$638,57,0),"-")=0,"-",IFERROR(VLOOKUP(J631,'[63]ТР нефть'!$J$28:$BP$638,57,0),"-"))</f>
        <v>-</v>
      </c>
      <c r="BO631" s="115" t="str">
        <f>IF(IFERROR(VLOOKUP(J631,'[63]ТР нефть'!$J$28:$BP$638,58,0),"-")=0,"-",IFERROR(VLOOKUP(J631,'[63]ТР нефть'!$J$28:$BP$638,58,0),"-"))</f>
        <v>-</v>
      </c>
      <c r="BP631" s="115" t="str">
        <f>IF(IFERROR(VLOOKUP(J631,'[63]ТР нефть'!$J$28:$BP$638,59,0),"-")=0,"-",IFERROR(VLOOKUP(J631,'[63]ТР нефть'!$J$28:$BP$638,59,0),"-"))</f>
        <v>-</v>
      </c>
      <c r="BQ631" s="138">
        <v>2198</v>
      </c>
      <c r="BR631" s="128">
        <v>1880</v>
      </c>
      <c r="BS631" s="128">
        <f t="shared" si="526"/>
        <v>318</v>
      </c>
      <c r="BT631" s="128">
        <v>73</v>
      </c>
      <c r="BU631" s="128">
        <v>5.5</v>
      </c>
      <c r="BV631" s="127">
        <v>65</v>
      </c>
      <c r="BW631" s="127"/>
      <c r="BX631" s="127" t="s">
        <v>195</v>
      </c>
      <c r="BY631" s="139">
        <v>24</v>
      </c>
      <c r="BZ631" s="139">
        <v>0</v>
      </c>
      <c r="CA631" s="138">
        <v>31</v>
      </c>
      <c r="CB631" s="138">
        <v>56</v>
      </c>
      <c r="CC631" s="138">
        <v>30</v>
      </c>
      <c r="CD631" s="135">
        <v>45017</v>
      </c>
      <c r="CE631" s="138">
        <v>183</v>
      </c>
      <c r="CF631" s="138">
        <v>65</v>
      </c>
      <c r="CG631" s="138"/>
      <c r="CH631" s="138"/>
      <c r="CI631" s="127"/>
      <c r="CJ631" s="138"/>
      <c r="CK631" s="138">
        <f t="shared" si="488"/>
        <v>40</v>
      </c>
      <c r="CL631" s="99"/>
      <c r="CM631" s="99"/>
      <c r="CN631" s="140">
        <v>71</v>
      </c>
      <c r="CO631" s="141">
        <f t="shared" si="504"/>
        <v>29.166367999999999</v>
      </c>
      <c r="CP631" s="142">
        <v>35</v>
      </c>
      <c r="CQ631" s="143">
        <v>0.32</v>
      </c>
      <c r="CR631" s="138">
        <v>21</v>
      </c>
      <c r="CS631" s="139">
        <v>14.4</v>
      </c>
      <c r="CT631" s="138"/>
      <c r="CU631" s="138">
        <f t="shared" ref="CU631:CU641" si="546">IF(CR631&lt;&gt;"0",CR631-CS631,"0")</f>
        <v>6.6</v>
      </c>
      <c r="CV631" s="115">
        <f t="shared" si="539"/>
        <v>226.2880314751566</v>
      </c>
      <c r="CW631" s="115">
        <f t="shared" si="505"/>
        <v>491.53360669883847</v>
      </c>
      <c r="CX631" s="133">
        <f t="shared" si="540"/>
        <v>0.3125</v>
      </c>
      <c r="CY631" s="116"/>
      <c r="CZ631" s="131"/>
      <c r="DA631" s="145" t="str">
        <f t="shared" si="478"/>
        <v>Газлифт</v>
      </c>
      <c r="DB631" s="146">
        <f t="shared" si="541"/>
        <v>29.166367999999999</v>
      </c>
      <c r="DC631" s="142">
        <f t="shared" si="542"/>
        <v>35</v>
      </c>
      <c r="DD631" s="119">
        <f t="shared" si="543"/>
        <v>0.32</v>
      </c>
      <c r="DE631" s="115">
        <f t="shared" si="544"/>
        <v>6.6</v>
      </c>
      <c r="DF631" s="121">
        <f t="shared" si="545"/>
        <v>14.4</v>
      </c>
      <c r="DG631" s="115">
        <f t="shared" si="506"/>
        <v>226.2880314751566</v>
      </c>
      <c r="DH631" s="115">
        <f t="shared" ref="DH631:DH641" si="547">CN631</f>
        <v>71</v>
      </c>
      <c r="DI631" s="147"/>
      <c r="DJ631" s="111"/>
      <c r="DK631" s="112"/>
      <c r="DL631" s="113"/>
      <c r="DM631" s="114"/>
      <c r="DN631" s="114"/>
      <c r="DO631" s="114"/>
      <c r="DP631" s="114"/>
      <c r="DQ631" s="112"/>
      <c r="DR631" s="114"/>
      <c r="DS631" s="114"/>
      <c r="DT631" s="115"/>
      <c r="DU631" s="116"/>
      <c r="DV631" s="117"/>
      <c r="DW631" s="118"/>
      <c r="DX631" s="119">
        <f>CQ631</f>
        <v>0.32</v>
      </c>
      <c r="DY631" s="115"/>
      <c r="DZ631" s="117"/>
      <c r="EA631" s="120"/>
      <c r="EB631" s="119">
        <f>DX631-CQ631</f>
        <v>0</v>
      </c>
      <c r="EC631" s="121"/>
      <c r="ED631" s="122"/>
      <c r="EE631" s="145">
        <v>65</v>
      </c>
      <c r="EF631" s="115">
        <v>32</v>
      </c>
      <c r="EG631" s="115">
        <v>58</v>
      </c>
      <c r="EH631" s="115">
        <v>31</v>
      </c>
      <c r="EI631" s="128" t="s">
        <v>195</v>
      </c>
      <c r="EJ631" s="121">
        <v>24</v>
      </c>
      <c r="EK631" s="121">
        <v>0</v>
      </c>
      <c r="EL631" s="149">
        <v>20.833120000000001</v>
      </c>
      <c r="EM631" s="142">
        <v>25</v>
      </c>
      <c r="EN631" s="119">
        <v>0.32</v>
      </c>
      <c r="EO631" s="115">
        <v>10</v>
      </c>
      <c r="EP631" s="115">
        <v>96.000983050066424</v>
      </c>
      <c r="EQ631" s="115">
        <v>64</v>
      </c>
      <c r="ER631" s="115">
        <v>8</v>
      </c>
      <c r="ES631" s="115">
        <v>83</v>
      </c>
      <c r="ET631" s="150">
        <v>0.25</v>
      </c>
      <c r="EU631" s="145">
        <f t="shared" ref="EU631:EU639" si="548">BV631</f>
        <v>65</v>
      </c>
      <c r="EV631" s="115">
        <f t="shared" si="532"/>
        <v>31</v>
      </c>
      <c r="EW631" s="115">
        <f t="shared" si="532"/>
        <v>56</v>
      </c>
      <c r="EX631" s="115">
        <f t="shared" si="532"/>
        <v>30</v>
      </c>
      <c r="EY631" s="115" t="str">
        <f t="shared" si="533"/>
        <v>Постоянный</v>
      </c>
      <c r="EZ631" s="115">
        <f t="shared" si="533"/>
        <v>24</v>
      </c>
      <c r="FA631" s="115">
        <f t="shared" si="533"/>
        <v>0</v>
      </c>
      <c r="FB631" s="149">
        <f t="shared" si="524"/>
        <v>29.166367999999999</v>
      </c>
      <c r="FC631" s="142">
        <f t="shared" si="524"/>
        <v>35</v>
      </c>
      <c r="FD631" s="119">
        <f t="shared" si="524"/>
        <v>0.32</v>
      </c>
      <c r="FE631" s="121">
        <f t="shared" si="524"/>
        <v>21</v>
      </c>
      <c r="FF631" s="121">
        <f t="shared" ref="FF631:FF639" si="549">CV631</f>
        <v>226.2880314751566</v>
      </c>
      <c r="FG631" s="121">
        <f t="shared" ref="FG631:FG639" si="550">CF631</f>
        <v>65</v>
      </c>
      <c r="FH631" s="121">
        <f t="shared" ref="FH631:FH639" si="551">CS631</f>
        <v>14.4</v>
      </c>
      <c r="FI631" s="121">
        <f t="shared" ref="FI631:FI639" si="552">CN631</f>
        <v>71</v>
      </c>
      <c r="FJ631" s="144">
        <f t="shared" ref="FJ631:FJ639" si="553">CX631</f>
        <v>0.3125</v>
      </c>
      <c r="FK631" s="132">
        <f t="shared" si="534"/>
        <v>0</v>
      </c>
      <c r="FL631" s="115">
        <f t="shared" si="534"/>
        <v>-1</v>
      </c>
      <c r="FM631" s="115">
        <f t="shared" si="534"/>
        <v>-2</v>
      </c>
      <c r="FN631" s="115">
        <f t="shared" si="534"/>
        <v>-1</v>
      </c>
      <c r="FO631" s="115">
        <f t="shared" si="536"/>
        <v>0</v>
      </c>
      <c r="FP631" s="115">
        <f t="shared" si="536"/>
        <v>0</v>
      </c>
      <c r="FQ631" s="149">
        <f t="shared" si="536"/>
        <v>8.3332479999999975</v>
      </c>
      <c r="FR631" s="142">
        <f t="shared" si="536"/>
        <v>10</v>
      </c>
      <c r="FS631" s="119">
        <f t="shared" si="536"/>
        <v>0</v>
      </c>
      <c r="FT631" s="121">
        <f t="shared" si="536"/>
        <v>11</v>
      </c>
      <c r="FU631" s="121">
        <f t="shared" si="537"/>
        <v>1</v>
      </c>
      <c r="FV631" s="121">
        <f t="shared" si="537"/>
        <v>6.4</v>
      </c>
      <c r="FW631" s="121">
        <f t="shared" ref="FW631:FW641" si="554">FF631-EP631</f>
        <v>130.28704842509018</v>
      </c>
      <c r="FX631" s="121">
        <f t="shared" si="538"/>
        <v>-12</v>
      </c>
      <c r="FY631" s="144">
        <f t="shared" si="538"/>
        <v>6.25E-2</v>
      </c>
      <c r="FZ631" s="145" t="s">
        <v>199</v>
      </c>
      <c r="GA631" s="151" t="s">
        <v>2114</v>
      </c>
      <c r="GB631" s="145"/>
      <c r="GC631" s="151"/>
      <c r="GD631" s="997" t="s">
        <v>202</v>
      </c>
      <c r="GE631" s="1004"/>
      <c r="GF631" s="1004">
        <v>0.61864000000000274</v>
      </c>
      <c r="GG631" s="1004"/>
      <c r="GH631" s="1004">
        <v>0</v>
      </c>
      <c r="GI631" s="145"/>
      <c r="GJ631" s="996">
        <v>0</v>
      </c>
      <c r="GK631" s="145" t="s">
        <v>223</v>
      </c>
      <c r="GL631" s="996">
        <v>-3.3055440000000011</v>
      </c>
      <c r="GM631" s="1005" t="s">
        <v>240</v>
      </c>
      <c r="GN631" s="996">
        <v>-8.3799759999999992</v>
      </c>
      <c r="GO631" s="1006"/>
      <c r="GP631" s="996"/>
      <c r="GQ631" s="1006"/>
      <c r="GR631" s="996"/>
      <c r="GS631" s="1006"/>
      <c r="GT631" s="996"/>
      <c r="GU631" s="1006"/>
      <c r="GV631" s="996"/>
      <c r="GW631" s="1006"/>
      <c r="GX631" s="996"/>
      <c r="GY631" s="1006"/>
      <c r="GZ631" s="996"/>
      <c r="HA631" s="1006"/>
      <c r="HB631" s="996"/>
      <c r="HC631" s="1006"/>
      <c r="HD631" s="996"/>
      <c r="HE631" s="1006"/>
      <c r="HF631" s="996"/>
      <c r="HG631" s="1006"/>
      <c r="HH631" s="996"/>
      <c r="HI631" s="1006"/>
      <c r="HJ631" s="996"/>
      <c r="HK631" s="1006"/>
      <c r="HL631" s="996"/>
      <c r="HM631" s="1006"/>
      <c r="HN631" s="996"/>
      <c r="HO631" s="1006"/>
      <c r="HP631" s="996"/>
      <c r="HQ631" s="1006"/>
      <c r="HR631" s="996"/>
      <c r="HS631" s="1006"/>
      <c r="HT631" s="996"/>
      <c r="HU631" s="1006"/>
      <c r="HV631" s="996"/>
      <c r="HW631" s="1006"/>
      <c r="HX631" s="996"/>
      <c r="HY631" s="1006"/>
      <c r="HZ631" s="996"/>
      <c r="IA631" s="1006"/>
      <c r="IB631" s="996"/>
      <c r="IC631" s="1006"/>
      <c r="ID631" s="996"/>
      <c r="IE631" s="1006"/>
      <c r="IF631" s="996"/>
      <c r="IG631" s="1006"/>
      <c r="IH631" s="996"/>
      <c r="II631" s="1006"/>
      <c r="IJ631" s="996"/>
      <c r="IK631" s="1006"/>
      <c r="IL631" s="996"/>
      <c r="IM631" s="1006"/>
      <c r="IN631" s="996"/>
      <c r="IO631" s="1006"/>
      <c r="IP631" s="996"/>
      <c r="IQ631" s="1006"/>
      <c r="IR631" s="996"/>
      <c r="IS631" s="1006"/>
      <c r="IT631" s="996"/>
      <c r="IU631" s="1006"/>
      <c r="IV631" s="996"/>
      <c r="IW631" s="1006"/>
      <c r="IX631" s="996"/>
      <c r="IY631" s="1006"/>
      <c r="IZ631" s="996"/>
      <c r="JA631" s="1006"/>
      <c r="JB631" s="996"/>
      <c r="JC631" s="1006"/>
      <c r="JD631" s="996"/>
      <c r="JE631" s="1006"/>
      <c r="JF631" s="996"/>
      <c r="JG631" s="1006"/>
      <c r="JH631" s="996"/>
      <c r="JI631" s="1006"/>
      <c r="JJ631" s="996"/>
      <c r="JK631" s="1007"/>
      <c r="JL631" s="1007"/>
      <c r="JM631" s="1007"/>
      <c r="JN631" s="1007"/>
      <c r="JO631" s="1067"/>
      <c r="JP631" s="1007"/>
      <c r="JQ631" s="1008"/>
      <c r="JR631" s="1007"/>
      <c r="JS631" s="1008"/>
      <c r="JT631" s="1007"/>
      <c r="JU631" s="1008"/>
      <c r="JV631" s="1007"/>
      <c r="JW631" s="1008"/>
      <c r="JX631" s="1007"/>
      <c r="JY631" s="1008"/>
      <c r="JZ631" s="1007"/>
      <c r="KA631" s="1008"/>
      <c r="KB631" s="1007"/>
      <c r="KC631" s="1008"/>
      <c r="KD631" s="1007"/>
      <c r="KE631" s="1008"/>
      <c r="KF631" s="1007"/>
      <c r="KG631" s="1008"/>
      <c r="KH631" s="1007"/>
      <c r="KI631" s="1008"/>
      <c r="KJ631" s="1007"/>
      <c r="KK631" s="1008"/>
      <c r="KL631" s="1007"/>
      <c r="KM631" s="1008"/>
      <c r="KN631" s="1007"/>
      <c r="KO631" s="1008"/>
      <c r="KP631" s="1007"/>
      <c r="KQ631" s="1008"/>
      <c r="KR631" s="1007"/>
      <c r="KS631" s="1008"/>
      <c r="KT631" s="1007"/>
      <c r="KU631" s="1008"/>
      <c r="KV631" s="1007"/>
      <c r="KW631" s="1008"/>
      <c r="KX631" s="1007"/>
      <c r="KY631" s="1008"/>
      <c r="KZ631" s="1007"/>
      <c r="LA631" s="1008"/>
      <c r="LB631" s="1007"/>
      <c r="LC631" s="1008"/>
      <c r="LD631" s="1007"/>
      <c r="LE631" s="1008"/>
      <c r="LF631" s="1007"/>
      <c r="LG631" s="1008"/>
      <c r="LH631" s="1007"/>
      <c r="LI631" s="1008"/>
      <c r="LJ631" s="1007"/>
      <c r="LK631" s="1008"/>
      <c r="LL631" s="1007"/>
      <c r="LM631" s="1008"/>
      <c r="LN631" s="1007"/>
      <c r="LO631" s="1008"/>
      <c r="LP631" s="1007"/>
      <c r="LQ631" s="1008"/>
      <c r="LR631" s="1007"/>
      <c r="LS631" s="1008"/>
      <c r="LT631" s="1007"/>
      <c r="LU631" s="1008"/>
      <c r="LV631" s="1007"/>
      <c r="LW631" s="1008"/>
      <c r="LX631" s="1007"/>
      <c r="LY631" s="1009"/>
      <c r="LZ631" s="1010"/>
      <c r="MA631" s="1011"/>
      <c r="MB631" s="1012"/>
      <c r="MC631" s="995"/>
      <c r="MD631" s="996"/>
      <c r="ME631" s="997" t="s">
        <v>202</v>
      </c>
      <c r="MF631" s="997"/>
      <c r="MG631" s="998"/>
      <c r="NR631" s="1000"/>
      <c r="NS631" s="1000"/>
      <c r="NT631" s="1001"/>
      <c r="NU631" s="1000"/>
      <c r="NV631" s="1001"/>
      <c r="NX631" s="1002"/>
      <c r="NZ631" s="1001"/>
      <c r="OA631" s="1001"/>
      <c r="OC631" s="1003"/>
      <c r="OD631" s="1003"/>
      <c r="OE631" s="1001"/>
      <c r="OF631" s="1003"/>
      <c r="OG631" s="1003"/>
      <c r="QX631" s="1000">
        <f>CN631-CA631</f>
        <v>40</v>
      </c>
    </row>
    <row r="632" spans="1:466 1191:1191" ht="21" customHeight="1" x14ac:dyDescent="0.25">
      <c r="A632" s="982">
        <f t="shared" si="503"/>
        <v>6370</v>
      </c>
      <c r="B632" s="124">
        <f>SUBTOTAL(103,$J$29:J632)</f>
        <v>604</v>
      </c>
      <c r="C632" s="126">
        <v>45068</v>
      </c>
      <c r="D632" s="124" t="s">
        <v>176</v>
      </c>
      <c r="E632" s="127" t="s">
        <v>177</v>
      </c>
      <c r="F632" s="128" t="s">
        <v>177</v>
      </c>
      <c r="G632" s="127" t="s">
        <v>178</v>
      </c>
      <c r="H632" s="127" t="s">
        <v>179</v>
      </c>
      <c r="I632" s="127" t="s">
        <v>2097</v>
      </c>
      <c r="J632" s="152">
        <v>6370</v>
      </c>
      <c r="K632" s="127" t="s">
        <v>2097</v>
      </c>
      <c r="L632" s="130">
        <v>44957</v>
      </c>
      <c r="M632" s="127" t="s">
        <v>230</v>
      </c>
      <c r="N632" s="127" t="s">
        <v>184</v>
      </c>
      <c r="O632" s="127" t="s">
        <v>185</v>
      </c>
      <c r="P632" s="127" t="s">
        <v>186</v>
      </c>
      <c r="Q632" s="85" t="str">
        <f t="shared" si="523"/>
        <v/>
      </c>
      <c r="R632" s="130"/>
      <c r="S632" s="128"/>
      <c r="T632" s="131"/>
      <c r="U632" s="230">
        <v>203</v>
      </c>
      <c r="V632" s="231">
        <v>218.2</v>
      </c>
      <c r="W632" s="232">
        <v>0.98</v>
      </c>
      <c r="X632" s="232">
        <v>1.66</v>
      </c>
      <c r="Y632" s="232">
        <f t="shared" si="535"/>
        <v>0.98</v>
      </c>
      <c r="Z632" s="233">
        <v>1.454</v>
      </c>
      <c r="AA632" s="233">
        <v>0.83599999999999997</v>
      </c>
      <c r="AB632" s="233">
        <v>0.72</v>
      </c>
      <c r="AC632" s="231">
        <v>34.299999999999997</v>
      </c>
      <c r="AD632" s="234">
        <v>1.17</v>
      </c>
      <c r="AE632" s="235">
        <v>178</v>
      </c>
      <c r="AF632" s="236">
        <v>9.1999999999999993</v>
      </c>
      <c r="AG632" s="236">
        <v>2514</v>
      </c>
      <c r="AH632" s="237">
        <v>3820</v>
      </c>
      <c r="AI632" s="237">
        <v>3820</v>
      </c>
      <c r="AJ632" s="238">
        <v>44822</v>
      </c>
      <c r="AK632" s="236"/>
      <c r="AL632" s="239"/>
      <c r="AM632" s="235" t="s">
        <v>985</v>
      </c>
      <c r="AN632" s="206" t="s">
        <v>2115</v>
      </c>
      <c r="AO632" s="137" t="s">
        <v>2116</v>
      </c>
      <c r="AP632" s="128">
        <v>2772.12</v>
      </c>
      <c r="AQ632" s="128">
        <v>860.5</v>
      </c>
      <c r="AR632" s="128" t="s">
        <v>2117</v>
      </c>
      <c r="AS632" s="128">
        <v>114</v>
      </c>
      <c r="AT632" s="122">
        <v>7.37</v>
      </c>
      <c r="AU632" s="235" t="s">
        <v>189</v>
      </c>
      <c r="AV632" s="115">
        <f>VLOOKUP(J632,'[63]ТР нефть'!$J$28:$BP$638,39,0)</f>
        <v>520</v>
      </c>
      <c r="AW632" s="115" t="str">
        <f>VLOOKUP(J632,'[63]ТР нефть'!$J$28:$BP$638,40,0)</f>
        <v>ГК69 1/8</v>
      </c>
      <c r="AX632" s="115">
        <f>VLOOKUP(J632,'[63]ТР нефть'!$J$28:$BP$638,41,0)</f>
        <v>1050</v>
      </c>
      <c r="AY632" s="115" t="str">
        <f>VLOOKUP(J632,'[63]ТР нефть'!$J$28:$BP$638,42,0)</f>
        <v>ГК69 1/8</v>
      </c>
      <c r="AZ632" s="115">
        <f>VLOOKUP(J632,'[63]ТР нефть'!$J$28:$BP$638,43,0)</f>
        <v>1490</v>
      </c>
      <c r="BA632" s="115" t="str">
        <f>VLOOKUP(J632,'[63]ТР нефть'!$J$28:$BP$638,44,0)</f>
        <v>ГК70 5/32</v>
      </c>
      <c r="BB632" s="115">
        <f>VLOOKUP(J632,'[63]ТР нефть'!$J$28:$BP$638,45,0)</f>
        <v>1900</v>
      </c>
      <c r="BC632" s="115" t="str">
        <f>VLOOKUP(J632,'[63]ТР нефть'!$J$28:$BP$638,46,0)</f>
        <v>ЦКсОК 5/16</v>
      </c>
      <c r="BD632" s="115" t="str">
        <f>VLOOKUP(J632,'[63]ТР нефть'!$J$28:$BP$638,47,0)</f>
        <v>-</v>
      </c>
      <c r="BE632" s="115" t="str">
        <f>VLOOKUP(J632,'[63]ТР нефть'!$J$28:$BP$638,48,0)</f>
        <v>-</v>
      </c>
      <c r="BF632" s="115" t="str">
        <f>VLOOKUP(J632,'[63]ТР нефть'!$J$28:$BP$638,49,0)</f>
        <v>-</v>
      </c>
      <c r="BG632" s="115" t="str">
        <f>VLOOKUP(J632,'[63]ТР нефть'!$J$28:$BP$638,50,0)</f>
        <v>-</v>
      </c>
      <c r="BH632" s="115" t="str">
        <f>VLOOKUP(J632,'[63]ТР нефть'!$J$28:$BP$638,51,0)</f>
        <v>-</v>
      </c>
      <c r="BI632" s="115" t="str">
        <f>VLOOKUP(J632,'[63]ТР нефть'!$J$28:$BP$638,52,0)</f>
        <v>-</v>
      </c>
      <c r="BJ632" s="115" t="str">
        <f>IF(IFERROR(VLOOKUP(J632,'[63]ТР нефть'!$J$28:$BP$638,53,0),"-")=0,"-",IFERROR(VLOOKUP(J632,'[63]ТР нефть'!$J$28:$BP$638,53,0),"-"))</f>
        <v>-</v>
      </c>
      <c r="BK632" s="173" t="str">
        <f>IF(IFERROR(VLOOKUP(J632,'[63]ТР нефть'!$J$28:$BP$638,54,0),"-")=0,"-",IFERROR(VLOOKUP(J632,'[63]ТР нефть'!$J$28:$BP$638,54,0),"-"))</f>
        <v>-</v>
      </c>
      <c r="BL632" s="138" t="str">
        <f>IF(IFERROR(VLOOKUP(J632,'[63]ТР нефть'!$J$28:$BP$638,55,0),"-")=0,"-",IFERROR(VLOOKUP(J632,'[63]ТР нефть'!$J$28:$BP$638,55,0),"-"))</f>
        <v>-</v>
      </c>
      <c r="BM632" s="173" t="str">
        <f>IF(IFERROR(VLOOKUP(J632,'[63]ТР нефть'!$J$28:$BP$638,56,0),"-")=0,"-",IFERROR(VLOOKUP(J632,'[63]ТР нефть'!$J$28:$BP$638,56,0),"-"))</f>
        <v>-</v>
      </c>
      <c r="BN632" s="173" t="str">
        <f>IF(IFERROR(VLOOKUP(J632,'[63]ТР нефть'!$J$28:$BP$638,57,0),"-")=0,"-",IFERROR(VLOOKUP(J632,'[63]ТР нефть'!$J$28:$BP$638,57,0),"-"))</f>
        <v>-</v>
      </c>
      <c r="BO632" s="115" t="str">
        <f>IF(IFERROR(VLOOKUP(J632,'[63]ТР нефть'!$J$28:$BP$638,58,0),"-")=0,"-",IFERROR(VLOOKUP(J632,'[63]ТР нефть'!$J$28:$BP$638,58,0),"-"))</f>
        <v>-</v>
      </c>
      <c r="BP632" s="115" t="str">
        <f>IF(IFERROR(VLOOKUP(J632,'[63]ТР нефть'!$J$28:$BP$638,59,0),"-")=0,"-",IFERROR(VLOOKUP(J632,'[63]ТР нефть'!$J$28:$BP$638,59,0),"-"))</f>
        <v>-</v>
      </c>
      <c r="BQ632" s="173">
        <v>2479</v>
      </c>
      <c r="BR632" s="128">
        <v>1865</v>
      </c>
      <c r="BS632" s="128">
        <f t="shared" si="526"/>
        <v>614</v>
      </c>
      <c r="BT632" s="128">
        <v>73</v>
      </c>
      <c r="BU632" s="128">
        <v>5.5</v>
      </c>
      <c r="BV632" s="237">
        <v>65</v>
      </c>
      <c r="BW632" s="127"/>
      <c r="BX632" s="237" t="s">
        <v>195</v>
      </c>
      <c r="BY632" s="139">
        <v>24</v>
      </c>
      <c r="BZ632" s="139">
        <v>0</v>
      </c>
      <c r="CA632" s="138">
        <v>30</v>
      </c>
      <c r="CB632" s="138">
        <v>53</v>
      </c>
      <c r="CC632" s="138">
        <v>29</v>
      </c>
      <c r="CD632" s="135">
        <v>45017</v>
      </c>
      <c r="CE632" s="138">
        <v>180</v>
      </c>
      <c r="CF632" s="138">
        <v>65</v>
      </c>
      <c r="CG632" s="138"/>
      <c r="CH632" s="138"/>
      <c r="CI632" s="127"/>
      <c r="CJ632" s="138"/>
      <c r="CK632" s="138">
        <f t="shared" si="488"/>
        <v>95</v>
      </c>
      <c r="CL632" s="99"/>
      <c r="CM632" s="99"/>
      <c r="CN632" s="140">
        <v>125</v>
      </c>
      <c r="CO632" s="141">
        <f t="shared" si="504"/>
        <v>30.096</v>
      </c>
      <c r="CP632" s="142">
        <v>36</v>
      </c>
      <c r="CQ632" s="143">
        <v>0</v>
      </c>
      <c r="CR632" s="138">
        <v>16</v>
      </c>
      <c r="CS632" s="139">
        <v>10.6</v>
      </c>
      <c r="CT632" s="138">
        <f>IF(CQ632&lt;&gt;"0",CQ632-CR632,"0")</f>
        <v>-16</v>
      </c>
      <c r="CU632" s="138">
        <f t="shared" si="546"/>
        <v>5.4</v>
      </c>
      <c r="CV632" s="115">
        <f t="shared" si="539"/>
        <v>179.42583732057417</v>
      </c>
      <c r="CW632" s="115">
        <f t="shared" si="505"/>
        <v>352.20627325890479</v>
      </c>
      <c r="CX632" s="133">
        <f t="shared" si="540"/>
        <v>0.65454545454545454</v>
      </c>
      <c r="CY632" s="116"/>
      <c r="CZ632" s="131"/>
      <c r="DA632" s="145" t="str">
        <f t="shared" si="478"/>
        <v>Газлифт</v>
      </c>
      <c r="DB632" s="146">
        <f t="shared" si="541"/>
        <v>37.477043999999999</v>
      </c>
      <c r="DC632" s="142">
        <f t="shared" si="542"/>
        <v>45</v>
      </c>
      <c r="DD632" s="119">
        <f t="shared" si="543"/>
        <v>0.38</v>
      </c>
      <c r="DE632" s="115">
        <f t="shared" si="544"/>
        <v>5.4</v>
      </c>
      <c r="DF632" s="121">
        <f t="shared" si="545"/>
        <v>10.6</v>
      </c>
      <c r="DG632" s="115">
        <f t="shared" si="506"/>
        <v>179.42583732057417</v>
      </c>
      <c r="DH632" s="115">
        <f t="shared" si="547"/>
        <v>125</v>
      </c>
      <c r="DI632" s="147"/>
      <c r="DJ632" s="111"/>
      <c r="DK632" s="112"/>
      <c r="DL632" s="113"/>
      <c r="DM632" s="114"/>
      <c r="DN632" s="114"/>
      <c r="DO632" s="114"/>
      <c r="DP632" s="114"/>
      <c r="DQ632" s="112"/>
      <c r="DR632" s="114"/>
      <c r="DS632" s="114"/>
      <c r="DT632" s="115"/>
      <c r="DU632" s="116"/>
      <c r="DV632" s="117"/>
      <c r="DW632" s="118"/>
      <c r="DX632" s="119"/>
      <c r="DY632" s="115"/>
      <c r="DZ632" s="117"/>
      <c r="EA632" s="120"/>
      <c r="EB632" s="119"/>
      <c r="EC632" s="121"/>
      <c r="ED632" s="122"/>
      <c r="EE632" s="145">
        <v>65</v>
      </c>
      <c r="EF632" s="115">
        <v>31</v>
      </c>
      <c r="EG632" s="115">
        <v>54</v>
      </c>
      <c r="EH632" s="115">
        <v>30</v>
      </c>
      <c r="EI632" s="128" t="s">
        <v>195</v>
      </c>
      <c r="EJ632" s="121">
        <v>24</v>
      </c>
      <c r="EK632" s="121">
        <v>0</v>
      </c>
      <c r="EL632" s="149">
        <v>38</v>
      </c>
      <c r="EM632" s="142">
        <v>45</v>
      </c>
      <c r="EN632" s="119">
        <v>0.38</v>
      </c>
      <c r="EO632" s="115">
        <v>17</v>
      </c>
      <c r="EP632" s="115">
        <v>315.3545019573728</v>
      </c>
      <c r="EQ632" s="115">
        <v>64</v>
      </c>
      <c r="ER632" s="115">
        <v>7</v>
      </c>
      <c r="ES632" s="115">
        <v>128</v>
      </c>
      <c r="ET632" s="150">
        <v>0.42307692307692307</v>
      </c>
      <c r="EU632" s="145">
        <f t="shared" si="548"/>
        <v>65</v>
      </c>
      <c r="EV632" s="115">
        <f t="shared" si="532"/>
        <v>30</v>
      </c>
      <c r="EW632" s="115">
        <f t="shared" si="532"/>
        <v>53</v>
      </c>
      <c r="EX632" s="115">
        <f t="shared" si="532"/>
        <v>29</v>
      </c>
      <c r="EY632" s="115" t="str">
        <f t="shared" si="533"/>
        <v>Постоянный</v>
      </c>
      <c r="EZ632" s="115">
        <f t="shared" si="533"/>
        <v>24</v>
      </c>
      <c r="FA632" s="115">
        <f t="shared" si="533"/>
        <v>0</v>
      </c>
      <c r="FB632" s="149">
        <f t="shared" si="524"/>
        <v>30.096</v>
      </c>
      <c r="FC632" s="142">
        <f t="shared" si="524"/>
        <v>36</v>
      </c>
      <c r="FD632" s="119">
        <f t="shared" si="524"/>
        <v>0</v>
      </c>
      <c r="FE632" s="121">
        <f t="shared" si="524"/>
        <v>16</v>
      </c>
      <c r="FF632" s="121">
        <f t="shared" si="549"/>
        <v>179.42583732057417</v>
      </c>
      <c r="FG632" s="121">
        <f t="shared" si="550"/>
        <v>65</v>
      </c>
      <c r="FH632" s="121">
        <f t="shared" si="551"/>
        <v>10.6</v>
      </c>
      <c r="FI632" s="121">
        <f t="shared" si="552"/>
        <v>125</v>
      </c>
      <c r="FJ632" s="144">
        <f t="shared" si="553"/>
        <v>0.65454545454545454</v>
      </c>
      <c r="FK632" s="132">
        <f t="shared" si="534"/>
        <v>0</v>
      </c>
      <c r="FL632" s="115">
        <f t="shared" si="534"/>
        <v>-1</v>
      </c>
      <c r="FM632" s="115">
        <f t="shared" si="534"/>
        <v>-1</v>
      </c>
      <c r="FN632" s="115">
        <f t="shared" si="534"/>
        <v>-1</v>
      </c>
      <c r="FO632" s="115">
        <f t="shared" si="536"/>
        <v>0</v>
      </c>
      <c r="FP632" s="115">
        <f t="shared" si="536"/>
        <v>0</v>
      </c>
      <c r="FQ632" s="149">
        <f t="shared" si="536"/>
        <v>-7.9039999999999999</v>
      </c>
      <c r="FR632" s="142">
        <f t="shared" si="536"/>
        <v>-9</v>
      </c>
      <c r="FS632" s="119">
        <f t="shared" si="536"/>
        <v>-0.38</v>
      </c>
      <c r="FT632" s="121">
        <f t="shared" si="536"/>
        <v>-1</v>
      </c>
      <c r="FU632" s="121">
        <f t="shared" si="537"/>
        <v>1</v>
      </c>
      <c r="FV632" s="121">
        <f t="shared" si="537"/>
        <v>3.5999999999999996</v>
      </c>
      <c r="FW632" s="121">
        <f t="shared" si="554"/>
        <v>-135.92866463679863</v>
      </c>
      <c r="FX632" s="121">
        <f t="shared" si="538"/>
        <v>-3</v>
      </c>
      <c r="FY632" s="144">
        <f t="shared" si="538"/>
        <v>0.23146853146853147</v>
      </c>
      <c r="FZ632" s="145" t="s">
        <v>199</v>
      </c>
      <c r="GA632" s="151" t="s">
        <v>1396</v>
      </c>
      <c r="GB632" s="145"/>
      <c r="GC632" s="151"/>
      <c r="GD632" s="997" t="s">
        <v>202</v>
      </c>
      <c r="GE632" s="1004"/>
      <c r="GF632" s="1004">
        <v>3.3439999999998804E-2</v>
      </c>
      <c r="GG632" s="1004" t="s">
        <v>203</v>
      </c>
      <c r="GH632" s="1004">
        <v>-10.867999999999999</v>
      </c>
      <c r="GI632" s="145"/>
      <c r="GJ632" s="996">
        <v>0</v>
      </c>
      <c r="GK632" s="145" t="s">
        <v>203</v>
      </c>
      <c r="GL632" s="996">
        <v>-4.1734399999999994</v>
      </c>
      <c r="GM632" s="1005"/>
      <c r="GN632" s="996"/>
      <c r="GO632" s="1006"/>
      <c r="GP632" s="996"/>
      <c r="GQ632" s="1006"/>
      <c r="GR632" s="996"/>
      <c r="GS632" s="1006"/>
      <c r="GT632" s="996"/>
      <c r="GU632" s="1006"/>
      <c r="GV632" s="996"/>
      <c r="GW632" s="1006"/>
      <c r="GX632" s="996"/>
      <c r="GY632" s="1006"/>
      <c r="GZ632" s="996"/>
      <c r="HA632" s="1006"/>
      <c r="HB632" s="996"/>
      <c r="HC632" s="1006"/>
      <c r="HD632" s="996"/>
      <c r="HE632" s="1006"/>
      <c r="HF632" s="996"/>
      <c r="HG632" s="1006"/>
      <c r="HH632" s="996"/>
      <c r="HI632" s="1006"/>
      <c r="HJ632" s="996"/>
      <c r="HK632" s="1006"/>
      <c r="HL632" s="996"/>
      <c r="HM632" s="1006"/>
      <c r="HN632" s="996"/>
      <c r="HO632" s="1006"/>
      <c r="HP632" s="996"/>
      <c r="HQ632" s="1006"/>
      <c r="HR632" s="996"/>
      <c r="HS632" s="1006"/>
      <c r="HT632" s="996"/>
      <c r="HU632" s="1006"/>
      <c r="HV632" s="996"/>
      <c r="HW632" s="1006"/>
      <c r="HX632" s="996"/>
      <c r="HY632" s="1006"/>
      <c r="HZ632" s="996"/>
      <c r="IA632" s="1006"/>
      <c r="IB632" s="996"/>
      <c r="IC632" s="1006"/>
      <c r="ID632" s="996"/>
      <c r="IE632" s="1006"/>
      <c r="IF632" s="996"/>
      <c r="IG632" s="1006"/>
      <c r="IH632" s="996"/>
      <c r="II632" s="1006"/>
      <c r="IJ632" s="996"/>
      <c r="IK632" s="1006"/>
      <c r="IL632" s="996"/>
      <c r="IM632" s="1006"/>
      <c r="IN632" s="996"/>
      <c r="IO632" s="1006"/>
      <c r="IP632" s="996"/>
      <c r="IQ632" s="1006"/>
      <c r="IR632" s="996"/>
      <c r="IS632" s="1006"/>
      <c r="IT632" s="996"/>
      <c r="IU632" s="1006"/>
      <c r="IV632" s="996"/>
      <c r="IW632" s="1006"/>
      <c r="IX632" s="996"/>
      <c r="IY632" s="1006"/>
      <c r="IZ632" s="996"/>
      <c r="JA632" s="1006"/>
      <c r="JB632" s="996"/>
      <c r="JC632" s="1006"/>
      <c r="JD632" s="996"/>
      <c r="JE632" s="1006"/>
      <c r="JF632" s="996"/>
      <c r="JG632" s="1006"/>
      <c r="JH632" s="996"/>
      <c r="JI632" s="1006"/>
      <c r="JJ632" s="996"/>
      <c r="JK632" s="1007"/>
      <c r="JL632" s="1007"/>
      <c r="JM632" s="1007"/>
      <c r="JN632" s="1007"/>
      <c r="JO632" s="1067"/>
      <c r="JP632" s="1007"/>
      <c r="JQ632" s="1008"/>
      <c r="JR632" s="1007"/>
      <c r="JS632" s="1008"/>
      <c r="JT632" s="1007"/>
      <c r="JU632" s="1008"/>
      <c r="JV632" s="1007"/>
      <c r="JW632" s="1008"/>
      <c r="JX632" s="1007"/>
      <c r="JY632" s="1008"/>
      <c r="JZ632" s="1007"/>
      <c r="KA632" s="1008"/>
      <c r="KB632" s="1007"/>
      <c r="KC632" s="1008"/>
      <c r="KD632" s="1007"/>
      <c r="KE632" s="1008"/>
      <c r="KF632" s="1007"/>
      <c r="KG632" s="1008"/>
      <c r="KH632" s="1007"/>
      <c r="KI632" s="1008"/>
      <c r="KJ632" s="1007"/>
      <c r="KK632" s="1008"/>
      <c r="KL632" s="1007"/>
      <c r="KM632" s="1008"/>
      <c r="KN632" s="1007"/>
      <c r="KO632" s="1008"/>
      <c r="KP632" s="1007"/>
      <c r="KQ632" s="1008"/>
      <c r="KR632" s="1007"/>
      <c r="KS632" s="1008"/>
      <c r="KT632" s="1007"/>
      <c r="KU632" s="1008"/>
      <c r="KV632" s="1007"/>
      <c r="KW632" s="1008"/>
      <c r="KX632" s="1007"/>
      <c r="KY632" s="1008"/>
      <c r="KZ632" s="1007"/>
      <c r="LA632" s="1008"/>
      <c r="LB632" s="1007"/>
      <c r="LC632" s="1008"/>
      <c r="LD632" s="1007"/>
      <c r="LE632" s="1008"/>
      <c r="LF632" s="1007"/>
      <c r="LG632" s="1008"/>
      <c r="LH632" s="1007"/>
      <c r="LI632" s="1008"/>
      <c r="LJ632" s="1007"/>
      <c r="LK632" s="1008"/>
      <c r="LL632" s="1007"/>
      <c r="LM632" s="1008"/>
      <c r="LN632" s="1007"/>
      <c r="LO632" s="1008"/>
      <c r="LP632" s="1007"/>
      <c r="LQ632" s="1008"/>
      <c r="LR632" s="1007"/>
      <c r="LS632" s="1008"/>
      <c r="LT632" s="1007"/>
      <c r="LU632" s="1008"/>
      <c r="LV632" s="1007"/>
      <c r="LW632" s="1008"/>
      <c r="LX632" s="1007"/>
      <c r="LY632" s="1009"/>
      <c r="LZ632" s="1010"/>
      <c r="MA632" s="1011"/>
      <c r="MB632" s="1012"/>
      <c r="MC632" s="995"/>
      <c r="MD632" s="996"/>
      <c r="ME632" s="997" t="s">
        <v>202</v>
      </c>
      <c r="MF632" s="997"/>
      <c r="MG632" s="998"/>
      <c r="NR632" s="1000"/>
      <c r="NS632" s="1000"/>
      <c r="NT632" s="1001"/>
      <c r="NU632" s="1000"/>
      <c r="NV632" s="1001"/>
      <c r="NX632" s="1002"/>
      <c r="NZ632" s="1001"/>
      <c r="OA632" s="1001"/>
      <c r="OC632" s="1003"/>
      <c r="OD632" s="1003"/>
      <c r="OE632" s="1001"/>
      <c r="OF632" s="1003"/>
      <c r="OG632" s="1003"/>
      <c r="QX632" s="1000">
        <f>CN632-CA632</f>
        <v>95</v>
      </c>
    </row>
    <row r="633" spans="1:466 1191:1191" ht="21" customHeight="1" x14ac:dyDescent="0.25">
      <c r="A633" s="982">
        <f t="shared" si="503"/>
        <v>6399</v>
      </c>
      <c r="B633" s="124">
        <f>SUBTOTAL(103,$J$29:J633)</f>
        <v>605</v>
      </c>
      <c r="C633" s="126">
        <v>45068</v>
      </c>
      <c r="D633" s="124" t="s">
        <v>176</v>
      </c>
      <c r="E633" s="127" t="s">
        <v>177</v>
      </c>
      <c r="F633" s="128" t="s">
        <v>177</v>
      </c>
      <c r="G633" s="127" t="s">
        <v>178</v>
      </c>
      <c r="H633" s="127" t="s">
        <v>179</v>
      </c>
      <c r="I633" s="127" t="s">
        <v>2049</v>
      </c>
      <c r="J633" s="152">
        <v>6399</v>
      </c>
      <c r="K633" s="127" t="s">
        <v>2049</v>
      </c>
      <c r="L633" s="130">
        <v>44770</v>
      </c>
      <c r="M633" s="127" t="s">
        <v>230</v>
      </c>
      <c r="N633" s="127" t="s">
        <v>184</v>
      </c>
      <c r="O633" s="127" t="s">
        <v>185</v>
      </c>
      <c r="P633" s="127" t="s">
        <v>186</v>
      </c>
      <c r="Q633" s="85" t="str">
        <f t="shared" si="523"/>
        <v/>
      </c>
      <c r="R633" s="130"/>
      <c r="S633" s="128"/>
      <c r="T633" s="131"/>
      <c r="U633" s="132">
        <v>203</v>
      </c>
      <c r="V633" s="121">
        <v>218.2</v>
      </c>
      <c r="W633" s="116">
        <v>0.98</v>
      </c>
      <c r="X633" s="116">
        <v>1.66</v>
      </c>
      <c r="Y633" s="116">
        <f>(W633*X633)/((CQ633/100)*W633+(1-CQ633/100)*X633)</f>
        <v>0.99219321785801406</v>
      </c>
      <c r="Z633" s="133">
        <v>1.454</v>
      </c>
      <c r="AA633" s="133">
        <v>0.83599999999999997</v>
      </c>
      <c r="AB633" s="133">
        <v>0.72</v>
      </c>
      <c r="AC633" s="121">
        <v>34.299999999999997</v>
      </c>
      <c r="AD633" s="134">
        <v>1.17</v>
      </c>
      <c r="AE633" s="124">
        <v>178</v>
      </c>
      <c r="AF633" s="128">
        <v>9.19</v>
      </c>
      <c r="AG633" s="128">
        <v>2240</v>
      </c>
      <c r="AH633" s="127">
        <v>3017</v>
      </c>
      <c r="AI633" s="127">
        <v>3017</v>
      </c>
      <c r="AJ633" s="135">
        <v>44751</v>
      </c>
      <c r="AK633" s="128" t="s">
        <v>1018</v>
      </c>
      <c r="AL633" s="131"/>
      <c r="AM633" s="124" t="s">
        <v>1921</v>
      </c>
      <c r="AN633" s="136" t="s">
        <v>2118</v>
      </c>
      <c r="AO633" s="137">
        <v>777</v>
      </c>
      <c r="AP633" s="128">
        <v>2240</v>
      </c>
      <c r="AQ633" s="128">
        <v>396.5</v>
      </c>
      <c r="AR633" s="128"/>
      <c r="AS633" s="128"/>
      <c r="AT633" s="122"/>
      <c r="AU633" s="124" t="s">
        <v>189</v>
      </c>
      <c r="AV633" s="115">
        <f>VLOOKUP(J633,'[63]ТР нефть'!$J$28:$BP$638,39,0)</f>
        <v>523</v>
      </c>
      <c r="AW633" s="115" t="str">
        <f>VLOOKUP(J633,'[63]ТР нефть'!$J$28:$BP$638,40,0)</f>
        <v>ГП</v>
      </c>
      <c r="AX633" s="115">
        <f>VLOOKUP(J633,'[63]ТР нефть'!$J$28:$BP$638,41,0)</f>
        <v>1043</v>
      </c>
      <c r="AY633" s="115" t="str">
        <f>VLOOKUP(J633,'[63]ТР нефть'!$J$28:$BP$638,42,0)</f>
        <v>ГП</v>
      </c>
      <c r="AZ633" s="115">
        <f>VLOOKUP(J633,'[63]ТР нефть'!$J$28:$BP$638,43,0)</f>
        <v>1466</v>
      </c>
      <c r="BA633" s="115" t="str">
        <f>VLOOKUP(J633,'[63]ТР нефть'!$J$28:$BP$638,44,0)</f>
        <v>ГК82 1/8</v>
      </c>
      <c r="BB633" s="115">
        <f>VLOOKUP(J633,'[63]ТР нефть'!$J$28:$BP$638,45,0)</f>
        <v>1799</v>
      </c>
      <c r="BC633" s="115" t="str">
        <f>VLOOKUP(J633,'[63]ТР нефть'!$J$28:$BP$638,46,0)</f>
        <v>ГК81 5/32</v>
      </c>
      <c r="BD633" s="115">
        <f>VLOOKUP(J633,'[63]ТР нефть'!$J$28:$BP$638,47,0)</f>
        <v>2030</v>
      </c>
      <c r="BE633" s="115" t="str">
        <f>VLOOKUP(J633,'[63]ТР нефть'!$J$28:$BP$638,48,0)</f>
        <v>ЦКсОК 5/16</v>
      </c>
      <c r="BF633" s="115" t="str">
        <f>VLOOKUP(J633,'[63]ТР нефть'!$J$28:$BP$638,49,0)</f>
        <v>-</v>
      </c>
      <c r="BG633" s="115" t="str">
        <f>VLOOKUP(J633,'[63]ТР нефть'!$J$28:$BP$638,50,0)</f>
        <v>-</v>
      </c>
      <c r="BH633" s="115">
        <f>VLOOKUP(J633,'[63]ТР нефть'!$J$28:$BP$638,51,0)</f>
        <v>2051</v>
      </c>
      <c r="BI633" s="115" t="str">
        <f>VLOOKUP(J633,'[63]ТР нефть'!$J$28:$BP$638,52,0)</f>
        <v>закрыт</v>
      </c>
      <c r="BJ633" s="115" t="str">
        <f>IF(IFERROR(VLOOKUP(J633,'[63]ТР нефть'!$J$28:$BP$638,53,0),"-")=0,"-",IFERROR(VLOOKUP(J633,'[63]ТР нефть'!$J$28:$BP$638,53,0),"-"))</f>
        <v>-</v>
      </c>
      <c r="BK633" s="138" t="str">
        <f>IF(IFERROR(VLOOKUP(J633,'[63]ТР нефть'!$J$28:$BP$638,54,0),"-")=0,"-",IFERROR(VLOOKUP(J633,'[63]ТР нефть'!$J$28:$BP$638,54,0),"-"))</f>
        <v>-</v>
      </c>
      <c r="BL633" s="138" t="str">
        <f>IF(IFERROR(VLOOKUP(J633,'[63]ТР нефть'!$J$28:$BP$638,55,0),"-")=0,"-",IFERROR(VLOOKUP(J633,'[63]ТР нефть'!$J$28:$BP$638,55,0),"-"))</f>
        <v>-</v>
      </c>
      <c r="BM633" s="138" t="str">
        <f>IF(IFERROR(VLOOKUP(J633,'[63]ТР нефть'!$J$28:$BP$638,56,0),"-")=0,"-",IFERROR(VLOOKUP(J633,'[63]ТР нефть'!$J$28:$BP$638,56,0),"-"))</f>
        <v>-</v>
      </c>
      <c r="BN633" s="138" t="str">
        <f>IF(IFERROR(VLOOKUP(J633,'[63]ТР нефть'!$J$28:$BP$638,57,0),"-")=0,"-",IFERROR(VLOOKUP(J633,'[63]ТР нефть'!$J$28:$BP$638,57,0),"-"))</f>
        <v>-</v>
      </c>
      <c r="BO633" s="115" t="str">
        <f>IF(IFERROR(VLOOKUP(J633,'[63]ТР нефть'!$J$28:$BP$638,58,0),"-")=0,"-",IFERROR(VLOOKUP(J633,'[63]ТР нефть'!$J$28:$BP$638,58,0),"-"))</f>
        <v>-</v>
      </c>
      <c r="BP633" s="115" t="str">
        <f>IF(IFERROR(VLOOKUP(J633,'[63]ТР нефть'!$J$28:$BP$638,59,0),"-")=0,"-",IFERROR(VLOOKUP(J633,'[63]ТР нефть'!$J$28:$BP$638,59,0),"-"))</f>
        <v>-</v>
      </c>
      <c r="BQ633" s="138">
        <v>2282</v>
      </c>
      <c r="BR633" s="128">
        <v>1854.5</v>
      </c>
      <c r="BS633" s="128">
        <f t="shared" si="526"/>
        <v>427.5</v>
      </c>
      <c r="BT633" s="128">
        <v>73</v>
      </c>
      <c r="BU633" s="128">
        <v>5.5</v>
      </c>
      <c r="BV633" s="127">
        <v>65</v>
      </c>
      <c r="BW633" s="127" t="s">
        <v>234</v>
      </c>
      <c r="BX633" s="127" t="s">
        <v>195</v>
      </c>
      <c r="BY633" s="139">
        <v>24</v>
      </c>
      <c r="BZ633" s="139">
        <v>0</v>
      </c>
      <c r="CA633" s="138">
        <v>26</v>
      </c>
      <c r="CB633" s="138">
        <v>50</v>
      </c>
      <c r="CC633" s="138">
        <v>25</v>
      </c>
      <c r="CD633" s="135">
        <v>45017</v>
      </c>
      <c r="CE633" s="138">
        <v>114</v>
      </c>
      <c r="CF633" s="138">
        <v>76</v>
      </c>
      <c r="CG633" s="138"/>
      <c r="CH633" s="138"/>
      <c r="CI633" s="127"/>
      <c r="CJ633" s="138"/>
      <c r="CK633" s="138">
        <f t="shared" si="488"/>
        <v>22</v>
      </c>
      <c r="CL633" s="99"/>
      <c r="CM633" s="99"/>
      <c r="CN633" s="140">
        <v>48</v>
      </c>
      <c r="CO633" s="141">
        <f t="shared" si="504"/>
        <v>12.163799999999998</v>
      </c>
      <c r="CP633" s="142">
        <v>15</v>
      </c>
      <c r="CQ633" s="143">
        <v>3</v>
      </c>
      <c r="CR633" s="138">
        <v>20</v>
      </c>
      <c r="CS633" s="139">
        <v>11</v>
      </c>
      <c r="CT633" s="138"/>
      <c r="CU633" s="138">
        <f t="shared" si="546"/>
        <v>9</v>
      </c>
      <c r="CV633" s="115">
        <f t="shared" si="539"/>
        <v>739.90036008484196</v>
      </c>
      <c r="CW633" s="115">
        <f t="shared" si="505"/>
        <v>867.1727802347674</v>
      </c>
      <c r="CX633" s="133">
        <f t="shared" si="540"/>
        <v>0.22727272727272727</v>
      </c>
      <c r="CY633" s="116"/>
      <c r="CZ633" s="131"/>
      <c r="DA633" s="145" t="str">
        <f t="shared" ref="DA633:DA665" si="555">AU633</f>
        <v>Газлифт</v>
      </c>
      <c r="DB633" s="146">
        <f t="shared" si="541"/>
        <v>12.163799999999998</v>
      </c>
      <c r="DC633" s="142">
        <f t="shared" si="542"/>
        <v>15</v>
      </c>
      <c r="DD633" s="119">
        <f t="shared" si="543"/>
        <v>3</v>
      </c>
      <c r="DE633" s="115">
        <f t="shared" si="544"/>
        <v>9</v>
      </c>
      <c r="DF633" s="121">
        <f t="shared" si="545"/>
        <v>11</v>
      </c>
      <c r="DG633" s="115">
        <f t="shared" si="506"/>
        <v>739.90036008484196</v>
      </c>
      <c r="DH633" s="115">
        <f t="shared" si="547"/>
        <v>48</v>
      </c>
      <c r="DI633" s="147"/>
      <c r="DJ633" s="111"/>
      <c r="DK633" s="112"/>
      <c r="DL633" s="113"/>
      <c r="DM633" s="114"/>
      <c r="DN633" s="114"/>
      <c r="DO633" s="114"/>
      <c r="DP633" s="114"/>
      <c r="DQ633" s="112"/>
      <c r="DR633" s="114"/>
      <c r="DS633" s="114"/>
      <c r="DT633" s="115"/>
      <c r="DU633" s="116"/>
      <c r="DV633" s="117"/>
      <c r="DW633" s="118"/>
      <c r="DX633" s="119">
        <f t="shared" ref="DX633:DX641" si="556">CQ633</f>
        <v>3</v>
      </c>
      <c r="DY633" s="115"/>
      <c r="DZ633" s="117"/>
      <c r="EA633" s="120"/>
      <c r="EB633" s="119">
        <f t="shared" ref="EB633:EB641" si="557">DX633-CQ633</f>
        <v>0</v>
      </c>
      <c r="EC633" s="121"/>
      <c r="ED633" s="122"/>
      <c r="EE633" s="145">
        <v>65</v>
      </c>
      <c r="EF633" s="115">
        <v>27</v>
      </c>
      <c r="EG633" s="115">
        <v>52</v>
      </c>
      <c r="EH633" s="115">
        <v>26</v>
      </c>
      <c r="EI633" s="128" t="s">
        <v>195</v>
      </c>
      <c r="EJ633" s="121">
        <v>24</v>
      </c>
      <c r="EK633" s="121">
        <v>0</v>
      </c>
      <c r="EL633" s="149">
        <v>12.650352</v>
      </c>
      <c r="EM633" s="142">
        <v>15.6</v>
      </c>
      <c r="EN633" s="119">
        <v>3</v>
      </c>
      <c r="EO633" s="115">
        <v>22</v>
      </c>
      <c r="EP633" s="115">
        <v>869.5410214672288</v>
      </c>
      <c r="EQ633" s="115">
        <v>76</v>
      </c>
      <c r="ER633" s="115">
        <v>11</v>
      </c>
      <c r="ES633" s="115">
        <v>48</v>
      </c>
      <c r="ET633" s="150">
        <v>0.23636363636363636</v>
      </c>
      <c r="EU633" s="145">
        <f t="shared" si="548"/>
        <v>65</v>
      </c>
      <c r="EV633" s="115">
        <f t="shared" si="532"/>
        <v>26</v>
      </c>
      <c r="EW633" s="115">
        <f t="shared" si="532"/>
        <v>50</v>
      </c>
      <c r="EX633" s="115">
        <f t="shared" si="532"/>
        <v>25</v>
      </c>
      <c r="EY633" s="115" t="str">
        <f t="shared" si="533"/>
        <v>Постоянный</v>
      </c>
      <c r="EZ633" s="115">
        <f t="shared" si="533"/>
        <v>24</v>
      </c>
      <c r="FA633" s="115">
        <f t="shared" si="533"/>
        <v>0</v>
      </c>
      <c r="FB633" s="149">
        <f t="shared" si="524"/>
        <v>12.163799999999998</v>
      </c>
      <c r="FC633" s="142">
        <f t="shared" si="524"/>
        <v>15</v>
      </c>
      <c r="FD633" s="119">
        <f t="shared" si="524"/>
        <v>3</v>
      </c>
      <c r="FE633" s="121">
        <f t="shared" si="524"/>
        <v>20</v>
      </c>
      <c r="FF633" s="121">
        <f t="shared" si="549"/>
        <v>739.90036008484196</v>
      </c>
      <c r="FG633" s="121">
        <f t="shared" si="550"/>
        <v>76</v>
      </c>
      <c r="FH633" s="121">
        <f t="shared" si="551"/>
        <v>11</v>
      </c>
      <c r="FI633" s="121">
        <f t="shared" si="552"/>
        <v>48</v>
      </c>
      <c r="FJ633" s="144">
        <f t="shared" si="553"/>
        <v>0.22727272727272727</v>
      </c>
      <c r="FK633" s="132">
        <f t="shared" si="534"/>
        <v>0</v>
      </c>
      <c r="FL633" s="115">
        <f t="shared" si="534"/>
        <v>-1</v>
      </c>
      <c r="FM633" s="115">
        <f t="shared" si="534"/>
        <v>-2</v>
      </c>
      <c r="FN633" s="115">
        <f t="shared" si="534"/>
        <v>-1</v>
      </c>
      <c r="FO633" s="115">
        <f t="shared" si="536"/>
        <v>0</v>
      </c>
      <c r="FP633" s="115">
        <f t="shared" si="536"/>
        <v>0</v>
      </c>
      <c r="FQ633" s="149">
        <f t="shared" si="536"/>
        <v>-0.48655200000000143</v>
      </c>
      <c r="FR633" s="142">
        <f t="shared" si="536"/>
        <v>-0.59999999999999964</v>
      </c>
      <c r="FS633" s="119">
        <f t="shared" si="536"/>
        <v>0</v>
      </c>
      <c r="FT633" s="121">
        <f t="shared" si="536"/>
        <v>-2</v>
      </c>
      <c r="FU633" s="121">
        <f t="shared" si="537"/>
        <v>0</v>
      </c>
      <c r="FV633" s="121">
        <f t="shared" si="537"/>
        <v>0</v>
      </c>
      <c r="FW633" s="121">
        <f t="shared" si="554"/>
        <v>-129.64066138238684</v>
      </c>
      <c r="FX633" s="121">
        <f t="shared" si="538"/>
        <v>0</v>
      </c>
      <c r="FY633" s="144">
        <f t="shared" si="538"/>
        <v>-9.0909090909090939E-3</v>
      </c>
      <c r="FZ633" s="145"/>
      <c r="GA633" s="151"/>
      <c r="GB633" s="145"/>
      <c r="GC633" s="151"/>
      <c r="GD633" s="997" t="s">
        <v>220</v>
      </c>
      <c r="GE633" s="1004"/>
      <c r="GF633" s="1004">
        <v>0.70850999999999864</v>
      </c>
      <c r="GG633" s="1004" t="s">
        <v>223</v>
      </c>
      <c r="GH633" s="1004">
        <v>-1.2021454279999997</v>
      </c>
      <c r="GI633" s="145" t="s">
        <v>223</v>
      </c>
      <c r="GJ633" s="996">
        <v>-0.81453737199999843</v>
      </c>
      <c r="GK633" s="145" t="s">
        <v>199</v>
      </c>
      <c r="GL633" s="996">
        <v>-3.1018943999999991</v>
      </c>
      <c r="GM633" s="1005"/>
      <c r="GN633" s="996">
        <v>0</v>
      </c>
      <c r="GO633" s="1006"/>
      <c r="GP633" s="996">
        <v>0</v>
      </c>
      <c r="GQ633" s="1006" t="s">
        <v>203</v>
      </c>
      <c r="GR633" s="996">
        <v>1.7621793199999978</v>
      </c>
      <c r="GS633" s="1006" t="s">
        <v>203</v>
      </c>
      <c r="GT633" s="996">
        <v>-1.9129101199999994</v>
      </c>
      <c r="GU633" s="1006" t="s">
        <v>203</v>
      </c>
      <c r="GV633" s="996">
        <v>-2.920081119999999</v>
      </c>
      <c r="GW633" s="1006" t="s">
        <v>203</v>
      </c>
      <c r="GX633" s="996">
        <v>-8.9189328800000034</v>
      </c>
      <c r="GY633" s="1006"/>
      <c r="GZ633" s="996"/>
      <c r="HA633" s="1006"/>
      <c r="HB633" s="996"/>
      <c r="HC633" s="1006"/>
      <c r="HD633" s="996"/>
      <c r="HE633" s="1006"/>
      <c r="HF633" s="996"/>
      <c r="HG633" s="1006"/>
      <c r="HH633" s="996"/>
      <c r="HI633" s="1006"/>
      <c r="HJ633" s="996"/>
      <c r="HK633" s="1006"/>
      <c r="HL633" s="996"/>
      <c r="HM633" s="1006"/>
      <c r="HN633" s="996"/>
      <c r="HO633" s="1006"/>
      <c r="HP633" s="996"/>
      <c r="HQ633" s="1006"/>
      <c r="HR633" s="996"/>
      <c r="HS633" s="1006"/>
      <c r="HT633" s="996"/>
      <c r="HU633" s="1006"/>
      <c r="HV633" s="996"/>
      <c r="HW633" s="1006"/>
      <c r="HX633" s="996"/>
      <c r="HY633" s="1006"/>
      <c r="HZ633" s="996"/>
      <c r="IA633" s="1006"/>
      <c r="IB633" s="996"/>
      <c r="IC633" s="1006"/>
      <c r="ID633" s="996"/>
      <c r="IE633" s="1006"/>
      <c r="IF633" s="996"/>
      <c r="IG633" s="1006"/>
      <c r="IH633" s="996"/>
      <c r="II633" s="1006"/>
      <c r="IJ633" s="996"/>
      <c r="IK633" s="1006"/>
      <c r="IL633" s="996"/>
      <c r="IM633" s="1006"/>
      <c r="IN633" s="996"/>
      <c r="IO633" s="1006"/>
      <c r="IP633" s="996"/>
      <c r="IQ633" s="1006"/>
      <c r="IR633" s="996"/>
      <c r="IS633" s="1006"/>
      <c r="IT633" s="996"/>
      <c r="IU633" s="1006"/>
      <c r="IV633" s="996"/>
      <c r="IW633" s="1006"/>
      <c r="IX633" s="996"/>
      <c r="IY633" s="1006"/>
      <c r="IZ633" s="996"/>
      <c r="JA633" s="1006"/>
      <c r="JB633" s="996"/>
      <c r="JC633" s="1006"/>
      <c r="JD633" s="996"/>
      <c r="JE633" s="1006"/>
      <c r="JF633" s="996"/>
      <c r="JG633" s="1006"/>
      <c r="JH633" s="996"/>
      <c r="JI633" s="1006"/>
      <c r="JJ633" s="996"/>
      <c r="JK633" s="1007"/>
      <c r="JL633" s="1007"/>
      <c r="JM633" s="1007"/>
      <c r="JN633" s="1007"/>
      <c r="JO633" s="1067"/>
      <c r="JP633" s="1007"/>
      <c r="JQ633" s="1008"/>
      <c r="JR633" s="1007"/>
      <c r="JS633" s="1008"/>
      <c r="JT633" s="1007"/>
      <c r="JU633" s="1008"/>
      <c r="JV633" s="1007"/>
      <c r="JW633" s="1008"/>
      <c r="JX633" s="1007"/>
      <c r="JY633" s="1008"/>
      <c r="JZ633" s="1007"/>
      <c r="KA633" s="1008"/>
      <c r="KB633" s="1007"/>
      <c r="KC633" s="1008"/>
      <c r="KD633" s="1007"/>
      <c r="KE633" s="1008"/>
      <c r="KF633" s="1007"/>
      <c r="KG633" s="1008"/>
      <c r="KH633" s="1007"/>
      <c r="KI633" s="1008"/>
      <c r="KJ633" s="1007"/>
      <c r="KK633" s="1008"/>
      <c r="KL633" s="1007"/>
      <c r="KM633" s="1008"/>
      <c r="KN633" s="1007"/>
      <c r="KO633" s="1008"/>
      <c r="KP633" s="1007"/>
      <c r="KQ633" s="1008"/>
      <c r="KR633" s="1007"/>
      <c r="KS633" s="1008"/>
      <c r="KT633" s="1007"/>
      <c r="KU633" s="1008"/>
      <c r="KV633" s="1007"/>
      <c r="KW633" s="1008"/>
      <c r="KX633" s="1007"/>
      <c r="KY633" s="1008"/>
      <c r="KZ633" s="1007"/>
      <c r="LA633" s="1008"/>
      <c r="LB633" s="1007"/>
      <c r="LC633" s="1008"/>
      <c r="LD633" s="1007"/>
      <c r="LE633" s="1008"/>
      <c r="LF633" s="1007"/>
      <c r="LG633" s="1008"/>
      <c r="LH633" s="1007"/>
      <c r="LI633" s="1008"/>
      <c r="LJ633" s="1007"/>
      <c r="LK633" s="1008"/>
      <c r="LL633" s="1007"/>
      <c r="LM633" s="1008"/>
      <c r="LN633" s="1007"/>
      <c r="LO633" s="1008"/>
      <c r="LP633" s="1007"/>
      <c r="LQ633" s="1008"/>
      <c r="LR633" s="1007"/>
      <c r="LS633" s="1008"/>
      <c r="LT633" s="1007"/>
      <c r="LU633" s="1008"/>
      <c r="LV633" s="1007"/>
      <c r="LW633" s="1008"/>
      <c r="LX633" s="1007"/>
      <c r="LY633" s="1009"/>
      <c r="LZ633" s="1010"/>
      <c r="MA633" s="1011"/>
      <c r="MB633" s="1012"/>
      <c r="MC633" s="995"/>
      <c r="MD633" s="996"/>
      <c r="ME633" s="997" t="s">
        <v>220</v>
      </c>
      <c r="MF633" s="997"/>
      <c r="MG633" s="998"/>
      <c r="NR633" s="1000"/>
      <c r="NS633" s="1000"/>
      <c r="NT633" s="1001"/>
      <c r="NU633" s="1000"/>
      <c r="NV633" s="1001"/>
      <c r="NX633" s="1002"/>
      <c r="NZ633" s="1001"/>
      <c r="OA633" s="1001"/>
      <c r="OC633" s="1003"/>
      <c r="OD633" s="1003"/>
      <c r="OE633" s="1001"/>
      <c r="OF633" s="1003"/>
      <c r="OG633" s="1003"/>
      <c r="QX633" s="1000">
        <f>CN633-CA633</f>
        <v>22</v>
      </c>
    </row>
    <row r="634" spans="1:466 1191:1191" ht="21" customHeight="1" x14ac:dyDescent="0.25">
      <c r="A634" s="982">
        <f t="shared" si="503"/>
        <v>6904</v>
      </c>
      <c r="B634" s="124">
        <f>SUBTOTAL(103,$J$29:J634)</f>
        <v>606</v>
      </c>
      <c r="C634" s="126">
        <v>45068</v>
      </c>
      <c r="D634" s="124" t="s">
        <v>176</v>
      </c>
      <c r="E634" s="127" t="s">
        <v>177</v>
      </c>
      <c r="F634" s="128" t="s">
        <v>177</v>
      </c>
      <c r="G634" s="127" t="s">
        <v>178</v>
      </c>
      <c r="H634" s="127" t="s">
        <v>179</v>
      </c>
      <c r="I634" s="127" t="s">
        <v>2119</v>
      </c>
      <c r="J634" s="152">
        <v>6904</v>
      </c>
      <c r="K634" s="127" t="s">
        <v>2119</v>
      </c>
      <c r="L634" s="130">
        <v>44529</v>
      </c>
      <c r="M634" s="127" t="s">
        <v>230</v>
      </c>
      <c r="N634" s="127" t="s">
        <v>184</v>
      </c>
      <c r="O634" s="127" t="s">
        <v>185</v>
      </c>
      <c r="P634" s="127" t="s">
        <v>186</v>
      </c>
      <c r="Q634" s="85" t="str">
        <f t="shared" si="523"/>
        <v/>
      </c>
      <c r="R634" s="130"/>
      <c r="S634" s="128"/>
      <c r="T634" s="131"/>
      <c r="U634" s="132">
        <v>203</v>
      </c>
      <c r="V634" s="121">
        <v>218.2</v>
      </c>
      <c r="W634" s="116">
        <v>0.98</v>
      </c>
      <c r="X634" s="116">
        <v>1.66</v>
      </c>
      <c r="Y634" s="116">
        <f>(W634*X634)/((CQ634/100)*W634+(1-CQ634/100)*X634)</f>
        <v>0.98838099450521399</v>
      </c>
      <c r="Z634" s="133">
        <v>1.454</v>
      </c>
      <c r="AA634" s="133">
        <v>0.83599999999999997</v>
      </c>
      <c r="AB634" s="133">
        <v>0.72</v>
      </c>
      <c r="AC634" s="121">
        <v>34.299999999999997</v>
      </c>
      <c r="AD634" s="134">
        <v>1.17</v>
      </c>
      <c r="AE634" s="124">
        <v>177.8</v>
      </c>
      <c r="AF634" s="128">
        <v>9.1999999999999993</v>
      </c>
      <c r="AG634" s="128">
        <v>2319</v>
      </c>
      <c r="AH634" s="127">
        <v>3709</v>
      </c>
      <c r="AI634" s="127">
        <v>3709</v>
      </c>
      <c r="AJ634" s="135">
        <v>44483</v>
      </c>
      <c r="AK634" s="128" t="s">
        <v>1018</v>
      </c>
      <c r="AL634" s="131"/>
      <c r="AM634" s="124" t="s">
        <v>985</v>
      </c>
      <c r="AN634" s="136" t="s">
        <v>2120</v>
      </c>
      <c r="AO634" s="137">
        <v>47.954912552994074</v>
      </c>
      <c r="AP634" s="128">
        <v>2416.16</v>
      </c>
      <c r="AQ634" s="128">
        <v>584.72227513227517</v>
      </c>
      <c r="AR634" s="128" t="s">
        <v>2121</v>
      </c>
      <c r="AS634" s="128">
        <v>114</v>
      </c>
      <c r="AT634" s="122">
        <v>7.37</v>
      </c>
      <c r="AU634" s="124" t="s">
        <v>189</v>
      </c>
      <c r="AV634" s="115">
        <f>VLOOKUP(J634,'[63]ТР нефть'!$J$28:$BP$638,39,0)</f>
        <v>380</v>
      </c>
      <c r="AW634" s="115" t="str">
        <f>VLOOKUP(J634,'[63]ТР нефть'!$J$28:$BP$638,40,0)</f>
        <v>ГП</v>
      </c>
      <c r="AX634" s="115">
        <f>VLOOKUP(J634,'[63]ТР нефть'!$J$28:$BP$638,41,0)</f>
        <v>759.70001015599996</v>
      </c>
      <c r="AY634" s="115" t="str">
        <f>VLOOKUP(J634,'[63]ТР нефть'!$J$28:$BP$638,42,0)</f>
        <v>ГП</v>
      </c>
      <c r="AZ634" s="115">
        <f>VLOOKUP(J634,'[63]ТР нефть'!$J$28:$BP$638,43,0)</f>
        <v>1050</v>
      </c>
      <c r="BA634" s="115" t="str">
        <f>VLOOKUP(J634,'[63]ТР нефть'!$J$28:$BP$638,44,0)</f>
        <v>ГП</v>
      </c>
      <c r="BB634" s="115">
        <f>VLOOKUP(J634,'[63]ТР нефть'!$J$28:$BP$638,45,0)</f>
        <v>1320</v>
      </c>
      <c r="BC634" s="115" t="str">
        <f>VLOOKUP(J634,'[63]ТР нефть'!$J$28:$BP$638,46,0)</f>
        <v>ГП</v>
      </c>
      <c r="BD634" s="115">
        <f>VLOOKUP(J634,'[63]ТР нефть'!$J$28:$BP$638,47,0)</f>
        <v>1613</v>
      </c>
      <c r="BE634" s="115" t="str">
        <f>VLOOKUP(J634,'[63]ТР нефть'!$J$28:$BP$638,48,0)</f>
        <v>ГК93 1/8</v>
      </c>
      <c r="BF634" s="115">
        <f>VLOOKUP(J634,'[63]ТР нефть'!$J$28:$BP$638,49,0)</f>
        <v>2080</v>
      </c>
      <c r="BG634" s="115" t="str">
        <f>VLOOKUP(J634,'[63]ТР нефть'!$J$28:$BP$638,50,0)</f>
        <v>ЦКсОК 5/16</v>
      </c>
      <c r="BH634" s="115">
        <f>VLOOKUP(J634,'[63]ТР нефть'!$J$28:$BP$638,51,0)</f>
        <v>2110</v>
      </c>
      <c r="BI634" s="115" t="str">
        <f>VLOOKUP(J634,'[63]ТР нефть'!$J$28:$BP$638,52,0)</f>
        <v>закрыт</v>
      </c>
      <c r="BJ634" s="115" t="str">
        <f>IF(IFERROR(VLOOKUP(J634,'[63]ТР нефть'!$J$28:$BP$638,53,0),"-")=0,"-",IFERROR(VLOOKUP(J634,'[63]ТР нефть'!$J$28:$BP$638,53,0),"-"))</f>
        <v>-</v>
      </c>
      <c r="BK634" s="138" t="str">
        <f>IF(IFERROR(VLOOKUP(J634,'[63]ТР нефть'!$J$28:$BP$638,54,0),"-")=0,"-",IFERROR(VLOOKUP(J634,'[63]ТР нефть'!$J$28:$BP$638,54,0),"-"))</f>
        <v>-</v>
      </c>
      <c r="BL634" s="138" t="str">
        <f>IF(IFERROR(VLOOKUP(J634,'[63]ТР нефть'!$J$28:$BP$638,55,0),"-")=0,"-",IFERROR(VLOOKUP(J634,'[63]ТР нефть'!$J$28:$BP$638,55,0),"-"))</f>
        <v>-</v>
      </c>
      <c r="BM634" s="138" t="str">
        <f>IF(IFERROR(VLOOKUP(J634,'[63]ТР нефть'!$J$28:$BP$638,56,0),"-")=0,"-",IFERROR(VLOOKUP(J634,'[63]ТР нефть'!$J$28:$BP$638,56,0),"-"))</f>
        <v>-</v>
      </c>
      <c r="BN634" s="138" t="str">
        <f>IF(IFERROR(VLOOKUP(J634,'[63]ТР нефть'!$J$28:$BP$638,57,0),"-")=0,"-",IFERROR(VLOOKUP(J634,'[63]ТР нефть'!$J$28:$BP$638,57,0),"-"))</f>
        <v>-</v>
      </c>
      <c r="BO634" s="115" t="str">
        <f>IF(IFERROR(VLOOKUP(J634,'[63]ТР нефть'!$J$28:$BP$638,58,0),"-")=0,"-",IFERROR(VLOOKUP(J634,'[63]ТР нефть'!$J$28:$BP$638,58,0),"-"))</f>
        <v>-</v>
      </c>
      <c r="BP634" s="115" t="str">
        <f>IF(IFERROR(VLOOKUP(J634,'[63]ТР нефть'!$J$28:$BP$638,59,0),"-")=0,"-",IFERROR(VLOOKUP(J634,'[63]ТР нефть'!$J$28:$BP$638,59,0),"-"))</f>
        <v>-</v>
      </c>
      <c r="BQ634" s="138">
        <v>2245</v>
      </c>
      <c r="BR634" s="128">
        <v>1775</v>
      </c>
      <c r="BS634" s="115">
        <v>467</v>
      </c>
      <c r="BT634" s="128">
        <v>73</v>
      </c>
      <c r="BU634" s="128">
        <v>5.51</v>
      </c>
      <c r="BV634" s="127">
        <v>18</v>
      </c>
      <c r="BW634" s="127" t="s">
        <v>217</v>
      </c>
      <c r="BX634" s="127" t="s">
        <v>195</v>
      </c>
      <c r="BY634" s="139">
        <v>24</v>
      </c>
      <c r="BZ634" s="139">
        <v>0</v>
      </c>
      <c r="CA634" s="138">
        <v>28</v>
      </c>
      <c r="CB634" s="138">
        <v>44</v>
      </c>
      <c r="CC634" s="138">
        <v>27</v>
      </c>
      <c r="CD634" s="135">
        <v>45017</v>
      </c>
      <c r="CE634" s="138">
        <v>101</v>
      </c>
      <c r="CF634" s="138">
        <v>70</v>
      </c>
      <c r="CG634" s="138"/>
      <c r="CH634" s="138"/>
      <c r="CI634" s="127">
        <v>2</v>
      </c>
      <c r="CJ634" s="138"/>
      <c r="CK634" s="138">
        <f t="shared" si="488"/>
        <v>25</v>
      </c>
      <c r="CL634" s="99"/>
      <c r="CM634" s="99"/>
      <c r="CN634" s="140">
        <v>53</v>
      </c>
      <c r="CO634" s="141">
        <f t="shared" si="504"/>
        <v>7.5319921599999988</v>
      </c>
      <c r="CP634" s="142">
        <v>9.1999999999999993</v>
      </c>
      <c r="CQ634" s="143">
        <v>2.0699999999999998</v>
      </c>
      <c r="CR634" s="138">
        <v>15</v>
      </c>
      <c r="CS634" s="139">
        <v>8.5</v>
      </c>
      <c r="CT634" s="138"/>
      <c r="CU634" s="138">
        <f t="shared" si="546"/>
        <v>6.5</v>
      </c>
      <c r="CV634" s="115">
        <f t="shared" si="539"/>
        <v>862.98549731894582</v>
      </c>
      <c r="CW634" s="115">
        <f t="shared" si="505"/>
        <v>1096.4174433627641</v>
      </c>
      <c r="CX634" s="133">
        <f t="shared" si="540"/>
        <v>0.19166666666666665</v>
      </c>
      <c r="CY634" s="116"/>
      <c r="CZ634" s="131"/>
      <c r="DA634" s="145" t="str">
        <f t="shared" si="555"/>
        <v>Газлифт</v>
      </c>
      <c r="DB634" s="146">
        <f t="shared" si="541"/>
        <v>7.5319921599999988</v>
      </c>
      <c r="DC634" s="142">
        <f t="shared" si="542"/>
        <v>9.1999999999999993</v>
      </c>
      <c r="DD634" s="119">
        <f t="shared" si="543"/>
        <v>2.0699999999999998</v>
      </c>
      <c r="DE634" s="115">
        <f t="shared" si="544"/>
        <v>6.5</v>
      </c>
      <c r="DF634" s="121">
        <f t="shared" si="545"/>
        <v>8.5</v>
      </c>
      <c r="DG634" s="115">
        <f t="shared" si="506"/>
        <v>862.98549731894582</v>
      </c>
      <c r="DH634" s="115">
        <f t="shared" si="547"/>
        <v>53</v>
      </c>
      <c r="DI634" s="147"/>
      <c r="DJ634" s="111"/>
      <c r="DK634" s="112">
        <v>44529</v>
      </c>
      <c r="DL634" s="113">
        <f ca="1">TODAY()-DK634</f>
        <v>575</v>
      </c>
      <c r="DM634" s="114"/>
      <c r="DN634" s="114"/>
      <c r="DO634" s="114"/>
      <c r="DP634" s="114"/>
      <c r="DQ634" s="112">
        <v>44529</v>
      </c>
      <c r="DR634" s="114" t="s">
        <v>324</v>
      </c>
      <c r="DS634" s="114"/>
      <c r="DT634" s="115">
        <v>60</v>
      </c>
      <c r="DU634" s="116">
        <f t="shared" ref="DU634:DU641" si="558">DW634/(CE634-DT634)</f>
        <v>0.224390243902439</v>
      </c>
      <c r="DV634" s="117">
        <f t="shared" ref="DV634:DV641" si="559">DW634*(1-DX634/100)*$AA634</f>
        <v>7.5319921599999988</v>
      </c>
      <c r="DW634" s="118">
        <f t="shared" ref="DW634:DW641" si="560">IF(DT634&lt;CN634,IF(MQ634=1,CP634,(1-0.2*(DT634/CE634)-0.8*(DT634/CE634)^2)*(CP634/(1-0.2*(CN634/CE634)-0.8*(CN634/CE634)^2))),CP634)</f>
        <v>9.1999999999999993</v>
      </c>
      <c r="DX634" s="119">
        <f t="shared" si="556"/>
        <v>2.0699999999999998</v>
      </c>
      <c r="DY634" s="115">
        <f t="shared" ref="DY634:DY641" si="561">(CV634*DV634)/1000</f>
        <v>6.5</v>
      </c>
      <c r="DZ634" s="117">
        <f t="shared" ref="DZ634:EA641" si="562">DV634-CO634</f>
        <v>0</v>
      </c>
      <c r="EA634" s="120">
        <f t="shared" si="562"/>
        <v>0</v>
      </c>
      <c r="EB634" s="119">
        <f t="shared" si="557"/>
        <v>0</v>
      </c>
      <c r="EC634" s="121">
        <f t="shared" ref="EC634:EC641" si="563">DY634-CU634</f>
        <v>0</v>
      </c>
      <c r="ED634" s="122"/>
      <c r="EE634" s="145">
        <v>18</v>
      </c>
      <c r="EF634" s="115">
        <v>33</v>
      </c>
      <c r="EG634" s="115">
        <v>44</v>
      </c>
      <c r="EH634" s="115">
        <v>32</v>
      </c>
      <c r="EI634" s="128" t="s">
        <v>195</v>
      </c>
      <c r="EJ634" s="121">
        <v>24</v>
      </c>
      <c r="EK634" s="121">
        <v>0</v>
      </c>
      <c r="EL634" s="149">
        <v>7.5319921599999988</v>
      </c>
      <c r="EM634" s="142">
        <v>9.1999999999999993</v>
      </c>
      <c r="EN634" s="119">
        <v>2.0699999999999998</v>
      </c>
      <c r="EO634" s="115">
        <v>17</v>
      </c>
      <c r="EP634" s="115">
        <v>1394.0534956690663</v>
      </c>
      <c r="EQ634" s="115">
        <v>70</v>
      </c>
      <c r="ER634" s="115">
        <v>6.5</v>
      </c>
      <c r="ES634" s="115">
        <v>57</v>
      </c>
      <c r="ET634" s="150">
        <v>0.20909090909090908</v>
      </c>
      <c r="EU634" s="145">
        <f t="shared" si="548"/>
        <v>18</v>
      </c>
      <c r="EV634" s="115">
        <f t="shared" si="532"/>
        <v>28</v>
      </c>
      <c r="EW634" s="115">
        <f t="shared" si="532"/>
        <v>44</v>
      </c>
      <c r="EX634" s="115">
        <f t="shared" si="532"/>
        <v>27</v>
      </c>
      <c r="EY634" s="115" t="str">
        <f t="shared" si="533"/>
        <v>Постоянный</v>
      </c>
      <c r="EZ634" s="115">
        <f t="shared" si="533"/>
        <v>24</v>
      </c>
      <c r="FA634" s="115">
        <f t="shared" si="533"/>
        <v>0</v>
      </c>
      <c r="FB634" s="149">
        <f t="shared" ref="FB634:FE642" si="564">CO634</f>
        <v>7.5319921599999988</v>
      </c>
      <c r="FC634" s="142">
        <f t="shared" si="564"/>
        <v>9.1999999999999993</v>
      </c>
      <c r="FD634" s="119">
        <f t="shared" si="564"/>
        <v>2.0699999999999998</v>
      </c>
      <c r="FE634" s="121">
        <f t="shared" si="564"/>
        <v>15</v>
      </c>
      <c r="FF634" s="121">
        <f t="shared" si="549"/>
        <v>862.98549731894582</v>
      </c>
      <c r="FG634" s="121">
        <f t="shared" si="550"/>
        <v>70</v>
      </c>
      <c r="FH634" s="121">
        <f t="shared" si="551"/>
        <v>8.5</v>
      </c>
      <c r="FI634" s="121">
        <f t="shared" si="552"/>
        <v>53</v>
      </c>
      <c r="FJ634" s="144">
        <f t="shared" si="553"/>
        <v>0.19166666666666665</v>
      </c>
      <c r="FK634" s="132">
        <f t="shared" si="534"/>
        <v>0</v>
      </c>
      <c r="FL634" s="115">
        <f t="shared" si="534"/>
        <v>-5</v>
      </c>
      <c r="FM634" s="115">
        <f t="shared" si="534"/>
        <v>0</v>
      </c>
      <c r="FN634" s="115">
        <f t="shared" si="534"/>
        <v>-5</v>
      </c>
      <c r="FO634" s="115">
        <f t="shared" si="536"/>
        <v>0</v>
      </c>
      <c r="FP634" s="115">
        <f t="shared" si="536"/>
        <v>0</v>
      </c>
      <c r="FQ634" s="149">
        <f t="shared" si="536"/>
        <v>0</v>
      </c>
      <c r="FR634" s="142">
        <f t="shared" si="536"/>
        <v>0</v>
      </c>
      <c r="FS634" s="119">
        <f t="shared" si="536"/>
        <v>0</v>
      </c>
      <c r="FT634" s="121">
        <f t="shared" si="536"/>
        <v>-2</v>
      </c>
      <c r="FU634" s="121">
        <f t="shared" si="537"/>
        <v>0</v>
      </c>
      <c r="FV634" s="121">
        <f t="shared" si="537"/>
        <v>2</v>
      </c>
      <c r="FW634" s="121">
        <f t="shared" si="554"/>
        <v>-531.06799835012043</v>
      </c>
      <c r="FX634" s="121">
        <f t="shared" si="538"/>
        <v>-4</v>
      </c>
      <c r="FY634" s="144">
        <f t="shared" si="538"/>
        <v>-1.7424242424242425E-2</v>
      </c>
      <c r="FZ634" s="145"/>
      <c r="GA634" s="151"/>
      <c r="GB634" s="145"/>
      <c r="GC634" s="151"/>
      <c r="GD634" s="997" t="s">
        <v>202</v>
      </c>
      <c r="GE634" s="1004"/>
      <c r="GF634" s="1004">
        <v>-0.49360784000000013</v>
      </c>
      <c r="GG634" s="1004"/>
      <c r="GH634" s="1004">
        <v>0.93272520000000014</v>
      </c>
      <c r="GI634" s="145"/>
      <c r="GJ634" s="996">
        <v>0</v>
      </c>
      <c r="GK634" s="145"/>
      <c r="GL634" s="996">
        <v>0</v>
      </c>
      <c r="GM634" s="1005"/>
      <c r="GN634" s="996">
        <v>0</v>
      </c>
      <c r="GO634" s="1006"/>
      <c r="GP634" s="996">
        <v>0</v>
      </c>
      <c r="GQ634" s="1006" t="s">
        <v>240</v>
      </c>
      <c r="GR634" s="996">
        <v>-1.8503020800000005</v>
      </c>
      <c r="GS634" s="1006" t="s">
        <v>199</v>
      </c>
      <c r="GT634" s="996">
        <v>1.2447859424000001</v>
      </c>
      <c r="GU634" s="1006" t="s">
        <v>223</v>
      </c>
      <c r="GV634" s="996">
        <v>-6.5136090624000005</v>
      </c>
      <c r="GW634" s="1006" t="s">
        <v>223</v>
      </c>
      <c r="GX634" s="996">
        <v>-1.4211999999999989</v>
      </c>
      <c r="GY634" s="1006"/>
      <c r="GZ634" s="996">
        <v>1.0459028800000016</v>
      </c>
      <c r="HA634" s="1006" t="s">
        <v>204</v>
      </c>
      <c r="HB634" s="996">
        <v>-1.6127028800000023</v>
      </c>
      <c r="HC634" s="1006" t="s">
        <v>2061</v>
      </c>
      <c r="HD634" s="996">
        <v>-14.531351999999998</v>
      </c>
      <c r="HE634" s="1006" t="s">
        <v>199</v>
      </c>
      <c r="HF634" s="996">
        <v>-4.2978425599999994</v>
      </c>
      <c r="HG634" s="1006" t="s">
        <v>223</v>
      </c>
      <c r="HH634" s="996">
        <v>-0.98691189431999859</v>
      </c>
      <c r="HI634" s="1006" t="s">
        <v>275</v>
      </c>
      <c r="HJ634" s="996">
        <v>-10.423565161679999</v>
      </c>
      <c r="HK634" s="1006" t="s">
        <v>221</v>
      </c>
      <c r="HL634" s="996">
        <v>5.0743996159999973</v>
      </c>
      <c r="HM634" s="1006" t="s">
        <v>308</v>
      </c>
      <c r="HN634" s="996">
        <v>29.234919999999999</v>
      </c>
      <c r="HO634" s="1006"/>
      <c r="HP634" s="996"/>
      <c r="HQ634" s="1006"/>
      <c r="HR634" s="996"/>
      <c r="HS634" s="1006"/>
      <c r="HT634" s="996"/>
      <c r="HU634" s="1006"/>
      <c r="HV634" s="996"/>
      <c r="HW634" s="1006"/>
      <c r="HX634" s="996"/>
      <c r="HY634" s="1006"/>
      <c r="HZ634" s="996"/>
      <c r="IA634" s="1006"/>
      <c r="IB634" s="996"/>
      <c r="IC634" s="1006"/>
      <c r="ID634" s="996"/>
      <c r="IE634" s="1006"/>
      <c r="IF634" s="996"/>
      <c r="IG634" s="1006"/>
      <c r="IH634" s="996"/>
      <c r="II634" s="1006"/>
      <c r="IJ634" s="996"/>
      <c r="IK634" s="1006"/>
      <c r="IL634" s="996"/>
      <c r="IM634" s="1006"/>
      <c r="IN634" s="996"/>
      <c r="IO634" s="1006"/>
      <c r="IP634" s="996"/>
      <c r="IQ634" s="1006"/>
      <c r="IR634" s="996"/>
      <c r="IS634" s="1006"/>
      <c r="IT634" s="996"/>
      <c r="IU634" s="1006"/>
      <c r="IV634" s="996"/>
      <c r="IW634" s="1006"/>
      <c r="IX634" s="996"/>
      <c r="IY634" s="1006"/>
      <c r="IZ634" s="996"/>
      <c r="JA634" s="1006"/>
      <c r="JB634" s="996"/>
      <c r="JC634" s="1006"/>
      <c r="JD634" s="996"/>
      <c r="JE634" s="1006"/>
      <c r="JF634" s="996"/>
      <c r="JG634" s="1006"/>
      <c r="JH634" s="996"/>
      <c r="JI634" s="1006"/>
      <c r="JJ634" s="996"/>
      <c r="JK634" s="1007"/>
      <c r="JL634" s="1007"/>
      <c r="JM634" s="1007"/>
      <c r="JN634" s="1007"/>
      <c r="JO634" s="1067"/>
      <c r="JP634" s="1007"/>
      <c r="JQ634" s="1008"/>
      <c r="JR634" s="1007"/>
      <c r="JS634" s="1008"/>
      <c r="JT634" s="1007"/>
      <c r="JU634" s="1008"/>
      <c r="JV634" s="1007"/>
      <c r="JW634" s="1008"/>
      <c r="JX634" s="1007"/>
      <c r="JY634" s="1008"/>
      <c r="JZ634" s="1007"/>
      <c r="KA634" s="1008"/>
      <c r="KB634" s="1007"/>
      <c r="KC634" s="1008"/>
      <c r="KD634" s="1007"/>
      <c r="KE634" s="1008"/>
      <c r="KF634" s="1007"/>
      <c r="KG634" s="1008"/>
      <c r="KH634" s="1007"/>
      <c r="KI634" s="1008"/>
      <c r="KJ634" s="1007"/>
      <c r="KK634" s="1008"/>
      <c r="KL634" s="1007"/>
      <c r="KM634" s="1008"/>
      <c r="KN634" s="1007"/>
      <c r="KO634" s="1008"/>
      <c r="KP634" s="1007"/>
      <c r="KQ634" s="1008"/>
      <c r="KR634" s="1007"/>
      <c r="KS634" s="1008"/>
      <c r="KT634" s="1007"/>
      <c r="KU634" s="1008"/>
      <c r="KV634" s="1007"/>
      <c r="KW634" s="1008"/>
      <c r="KX634" s="1007"/>
      <c r="KY634" s="1008"/>
      <c r="KZ634" s="1007"/>
      <c r="LA634" s="1008"/>
      <c r="LB634" s="1007"/>
      <c r="LC634" s="1008"/>
      <c r="LD634" s="1007"/>
      <c r="LE634" s="1008"/>
      <c r="LF634" s="1007"/>
      <c r="LG634" s="1008"/>
      <c r="LH634" s="1007"/>
      <c r="LI634" s="1008"/>
      <c r="LJ634" s="1007"/>
      <c r="LK634" s="1008"/>
      <c r="LL634" s="1007"/>
      <c r="LM634" s="1008"/>
      <c r="LN634" s="1007"/>
      <c r="LO634" s="1008"/>
      <c r="LP634" s="1007"/>
      <c r="LQ634" s="1008"/>
      <c r="LR634" s="1007"/>
      <c r="LS634" s="1008"/>
      <c r="LT634" s="1007"/>
      <c r="LU634" s="1008"/>
      <c r="LV634" s="1007"/>
      <c r="LW634" s="1008"/>
      <c r="LX634" s="1007"/>
      <c r="LY634" s="1009"/>
      <c r="LZ634" s="1010"/>
      <c r="MA634" s="1011"/>
      <c r="MB634" s="1012"/>
      <c r="MC634" s="995"/>
      <c r="MD634" s="996"/>
      <c r="ME634" s="997" t="s">
        <v>202</v>
      </c>
      <c r="MF634" s="997"/>
      <c r="MG634" s="998"/>
      <c r="NR634" s="1000"/>
      <c r="NS634" s="1000"/>
      <c r="NT634" s="1001"/>
      <c r="NU634" s="1000"/>
      <c r="NV634" s="1001"/>
      <c r="NX634" s="1002"/>
      <c r="NZ634" s="1001"/>
      <c r="OA634" s="1001"/>
      <c r="OC634" s="1003"/>
      <c r="OD634" s="1003"/>
      <c r="OE634" s="1001"/>
      <c r="OF634" s="1003"/>
      <c r="OG634" s="1003"/>
      <c r="QX634" s="1000">
        <f>CN634-CA634</f>
        <v>25</v>
      </c>
      <c r="ASU634" s="999" t="s">
        <v>208</v>
      </c>
    </row>
    <row r="635" spans="1:466 1191:1191" ht="21" customHeight="1" x14ac:dyDescent="0.25">
      <c r="A635" s="982">
        <f t="shared" si="503"/>
        <v>6905</v>
      </c>
      <c r="B635" s="124">
        <f>SUBTOTAL(103,$J$29:J635)</f>
        <v>607</v>
      </c>
      <c r="C635" s="126">
        <v>45068</v>
      </c>
      <c r="D635" s="124" t="s">
        <v>176</v>
      </c>
      <c r="E635" s="127" t="s">
        <v>177</v>
      </c>
      <c r="F635" s="128" t="s">
        <v>177</v>
      </c>
      <c r="G635" s="127" t="s">
        <v>178</v>
      </c>
      <c r="H635" s="127" t="s">
        <v>179</v>
      </c>
      <c r="I635" s="127" t="s">
        <v>2119</v>
      </c>
      <c r="J635" s="152">
        <v>6905</v>
      </c>
      <c r="K635" s="127" t="s">
        <v>2119</v>
      </c>
      <c r="L635" s="130">
        <v>44544</v>
      </c>
      <c r="M635" s="127" t="s">
        <v>230</v>
      </c>
      <c r="N635" s="127" t="s">
        <v>184</v>
      </c>
      <c r="O635" s="127" t="s">
        <v>185</v>
      </c>
      <c r="P635" s="127" t="s">
        <v>186</v>
      </c>
      <c r="Q635" s="85" t="str">
        <f t="shared" si="523"/>
        <v/>
      </c>
      <c r="R635" s="130"/>
      <c r="S635" s="128"/>
      <c r="T635" s="131"/>
      <c r="U635" s="132">
        <v>203</v>
      </c>
      <c r="V635" s="121">
        <v>218.2</v>
      </c>
      <c r="W635" s="116">
        <v>0.98</v>
      </c>
      <c r="X635" s="116">
        <v>1.66</v>
      </c>
      <c r="Y635" s="116">
        <f>(W635*X635)/((CQ635/100)*W635+(1-CQ635/100)*X635)</f>
        <v>0.98</v>
      </c>
      <c r="Z635" s="133">
        <v>1.454</v>
      </c>
      <c r="AA635" s="133">
        <v>0.83599999999999997</v>
      </c>
      <c r="AB635" s="133">
        <v>0.72</v>
      </c>
      <c r="AC635" s="121">
        <v>34.299999999999997</v>
      </c>
      <c r="AD635" s="134">
        <v>1.17</v>
      </c>
      <c r="AE635" s="124">
        <v>177.8</v>
      </c>
      <c r="AF635" s="128">
        <v>9.1999999999999993</v>
      </c>
      <c r="AG635" s="128">
        <v>2213</v>
      </c>
      <c r="AH635" s="127">
        <v>3114</v>
      </c>
      <c r="AI635" s="127">
        <v>3114</v>
      </c>
      <c r="AJ635" s="135">
        <v>44508</v>
      </c>
      <c r="AK635" s="128" t="s">
        <v>1018</v>
      </c>
      <c r="AL635" s="131"/>
      <c r="AM635" s="124" t="s">
        <v>985</v>
      </c>
      <c r="AN635" s="136" t="s">
        <v>2122</v>
      </c>
      <c r="AO635" s="137">
        <v>24.74596460169073</v>
      </c>
      <c r="AP635" s="128">
        <v>2298.36</v>
      </c>
      <c r="AQ635" s="128">
        <v>482.29847780126875</v>
      </c>
      <c r="AR635" s="128" t="s">
        <v>2123</v>
      </c>
      <c r="AS635" s="128">
        <v>114</v>
      </c>
      <c r="AT635" s="122">
        <v>7.37</v>
      </c>
      <c r="AU635" s="124" t="s">
        <v>250</v>
      </c>
      <c r="AV635" s="115">
        <f>VLOOKUP(J635,'[63]ТР нефть'!$J$28:$BP$638,39,0)</f>
        <v>429.99998584000002</v>
      </c>
      <c r="AW635" s="115" t="str">
        <f>VLOOKUP(J635,'[63]ТР нефть'!$J$28:$BP$638,40,0)</f>
        <v>ГП</v>
      </c>
      <c r="AX635" s="115">
        <f>VLOOKUP(J635,'[63]ТР нефть'!$J$28:$BP$638,41,0)</f>
        <v>874.99998632799998</v>
      </c>
      <c r="AY635" s="115" t="str">
        <f>VLOOKUP(J635,'[63]ТР нефть'!$J$28:$BP$638,42,0)</f>
        <v>ГП</v>
      </c>
      <c r="AZ635" s="115">
        <f>VLOOKUP(J635,'[63]ТР нефть'!$J$28:$BP$638,43,0)</f>
        <v>1249.9999804690001</v>
      </c>
      <c r="BA635" s="115" t="str">
        <f>VLOOKUP(J635,'[63]ТР нефть'!$J$28:$BP$638,44,0)</f>
        <v>ГП</v>
      </c>
      <c r="BB635" s="115">
        <f>VLOOKUP(J635,'[63]ТР нефть'!$J$28:$BP$638,45,0)</f>
        <v>1560.000035156</v>
      </c>
      <c r="BC635" s="115" t="str">
        <f>VLOOKUP(J635,'[63]ТР нефть'!$J$28:$BP$638,46,0)</f>
        <v>ГК89 1/8</v>
      </c>
      <c r="BD635" s="115">
        <f>VLOOKUP(J635,'[63]ТР нефть'!$J$28:$BP$638,47,0)</f>
        <v>1860.000030469</v>
      </c>
      <c r="BE635" s="115" t="str">
        <f>VLOOKUP(J635,'[63]ТР нефть'!$J$28:$BP$638,48,0)</f>
        <v>ГК92 1/8</v>
      </c>
      <c r="BF635" s="115">
        <f>VLOOKUP(J635,'[63]ТР нефть'!$J$28:$BP$638,49,0)</f>
        <v>2050</v>
      </c>
      <c r="BG635" s="115" t="str">
        <f>VLOOKUP(J635,'[63]ТР нефть'!$J$28:$BP$638,50,0)</f>
        <v>ЦКсОК 5/16</v>
      </c>
      <c r="BH635" s="115">
        <f>VLOOKUP(J635,'[63]ТР нефть'!$J$28:$BP$638,51,0)</f>
        <v>2060</v>
      </c>
      <c r="BI635" s="115" t="str">
        <f>VLOOKUP(J635,'[63]ТР нефть'!$J$28:$BP$638,52,0)</f>
        <v>закрыт</v>
      </c>
      <c r="BJ635" s="115" t="str">
        <f>IF(IFERROR(VLOOKUP(J635,'[63]ТР нефть'!$J$28:$BP$638,53,0),"-")=0,"-",IFERROR(VLOOKUP(J635,'[63]ТР нефть'!$J$28:$BP$638,53,0),"-"))</f>
        <v>-</v>
      </c>
      <c r="BK635" s="138" t="str">
        <f>IF(IFERROR(VLOOKUP(J635,'[63]ТР нефть'!$J$28:$BP$638,54,0),"-")=0,"-",IFERROR(VLOOKUP(J635,'[63]ТР нефть'!$J$28:$BP$638,54,0),"-"))</f>
        <v>-</v>
      </c>
      <c r="BL635" s="138" t="str">
        <f>IF(IFERROR(VLOOKUP(J635,'[63]ТР нефть'!$J$28:$BP$638,55,0),"-")=0,"-",IFERROR(VLOOKUP(J635,'[63]ТР нефть'!$J$28:$BP$638,55,0),"-"))</f>
        <v>-</v>
      </c>
      <c r="BM635" s="138" t="str">
        <f>IF(IFERROR(VLOOKUP(J635,'[63]ТР нефть'!$J$28:$BP$638,56,0),"-")=0,"-",IFERROR(VLOOKUP(J635,'[63]ТР нефть'!$J$28:$BP$638,56,0),"-"))</f>
        <v>-</v>
      </c>
      <c r="BN635" s="138" t="str">
        <f>IF(IFERROR(VLOOKUP(J635,'[63]ТР нефть'!$J$28:$BP$638,57,0),"-")=0,"-",IFERROR(VLOOKUP(J635,'[63]ТР нефть'!$J$28:$BP$638,57,0),"-"))</f>
        <v>-</v>
      </c>
      <c r="BO635" s="115" t="str">
        <f>IF(IFERROR(VLOOKUP(J635,'[63]ТР нефть'!$J$28:$BP$638,58,0),"-")=0,"-",IFERROR(VLOOKUP(J635,'[63]ТР нефть'!$J$28:$BP$638,58,0),"-"))</f>
        <v>-</v>
      </c>
      <c r="BP635" s="115" t="str">
        <f>IF(IFERROR(VLOOKUP(J635,'[63]ТР нефть'!$J$28:$BP$638,59,0),"-")=0,"-",IFERROR(VLOOKUP(J635,'[63]ТР нефть'!$J$28:$BP$638,59,0),"-"))</f>
        <v>-</v>
      </c>
      <c r="BQ635" s="138">
        <v>2206</v>
      </c>
      <c r="BR635" s="128">
        <v>1785.1882492276004</v>
      </c>
      <c r="BS635" s="115">
        <v>420.81175077239959</v>
      </c>
      <c r="BT635" s="128">
        <v>73</v>
      </c>
      <c r="BU635" s="128">
        <v>5.51</v>
      </c>
      <c r="BV635" s="127">
        <v>18</v>
      </c>
      <c r="BW635" s="127" t="s">
        <v>234</v>
      </c>
      <c r="BX635" s="127" t="s">
        <v>195</v>
      </c>
      <c r="BY635" s="139">
        <v>24</v>
      </c>
      <c r="BZ635" s="139">
        <v>0</v>
      </c>
      <c r="CA635" s="138">
        <v>32</v>
      </c>
      <c r="CB635" s="138">
        <v>48</v>
      </c>
      <c r="CC635" s="138">
        <v>31</v>
      </c>
      <c r="CD635" s="135">
        <v>45017</v>
      </c>
      <c r="CE635" s="138">
        <v>93</v>
      </c>
      <c r="CF635" s="138"/>
      <c r="CG635" s="138"/>
      <c r="CH635" s="138"/>
      <c r="CI635" s="127"/>
      <c r="CJ635" s="138"/>
      <c r="CK635" s="138">
        <f t="shared" si="488"/>
        <v>28</v>
      </c>
      <c r="CL635" s="99"/>
      <c r="CM635" s="127"/>
      <c r="CN635" s="154">
        <v>60</v>
      </c>
      <c r="CO635" s="141">
        <f t="shared" si="504"/>
        <v>20.9</v>
      </c>
      <c r="CP635" s="142">
        <v>25</v>
      </c>
      <c r="CQ635" s="143">
        <v>0</v>
      </c>
      <c r="CR635" s="138">
        <v>86</v>
      </c>
      <c r="CS635" s="139"/>
      <c r="CT635" s="138"/>
      <c r="CU635" s="138">
        <f t="shared" si="546"/>
        <v>86</v>
      </c>
      <c r="CV635" s="115">
        <f t="shared" si="539"/>
        <v>4114.832535885168</v>
      </c>
      <c r="CW635" s="115" t="str">
        <f t="shared" si="505"/>
        <v/>
      </c>
      <c r="CX635" s="133">
        <f t="shared" si="540"/>
        <v>0.75757575757575757</v>
      </c>
      <c r="CY635" s="116"/>
      <c r="CZ635" s="131"/>
      <c r="DA635" s="145" t="str">
        <f t="shared" si="555"/>
        <v>Фон.</v>
      </c>
      <c r="DB635" s="146">
        <f t="shared" si="541"/>
        <v>20.9</v>
      </c>
      <c r="DC635" s="142">
        <f t="shared" si="542"/>
        <v>25</v>
      </c>
      <c r="DD635" s="119">
        <f t="shared" si="543"/>
        <v>0</v>
      </c>
      <c r="DE635" s="115">
        <f t="shared" si="544"/>
        <v>86</v>
      </c>
      <c r="DF635" s="121">
        <f t="shared" si="545"/>
        <v>0</v>
      </c>
      <c r="DG635" s="115">
        <f t="shared" si="506"/>
        <v>4114.832535885168</v>
      </c>
      <c r="DH635" s="115">
        <f t="shared" si="547"/>
        <v>60</v>
      </c>
      <c r="DI635" s="147"/>
      <c r="DJ635" s="111"/>
      <c r="DK635" s="112">
        <v>44544</v>
      </c>
      <c r="DL635" s="113">
        <f ca="1">TODAY()-DK635</f>
        <v>560</v>
      </c>
      <c r="DM635" s="114"/>
      <c r="DN635" s="114"/>
      <c r="DO635" s="114"/>
      <c r="DP635" s="114"/>
      <c r="DQ635" s="112">
        <v>44544</v>
      </c>
      <c r="DR635" s="114" t="s">
        <v>324</v>
      </c>
      <c r="DS635" s="114"/>
      <c r="DT635" s="115">
        <v>60</v>
      </c>
      <c r="DU635" s="116">
        <f t="shared" si="558"/>
        <v>0.75757575757575757</v>
      </c>
      <c r="DV635" s="117">
        <f t="shared" si="559"/>
        <v>20.9</v>
      </c>
      <c r="DW635" s="118">
        <f t="shared" si="560"/>
        <v>25</v>
      </c>
      <c r="DX635" s="119">
        <f t="shared" si="556"/>
        <v>0</v>
      </c>
      <c r="DY635" s="115">
        <f t="shared" si="561"/>
        <v>86</v>
      </c>
      <c r="DZ635" s="117">
        <f t="shared" si="562"/>
        <v>0</v>
      </c>
      <c r="EA635" s="120">
        <f t="shared" si="562"/>
        <v>0</v>
      </c>
      <c r="EB635" s="119">
        <f t="shared" si="557"/>
        <v>0</v>
      </c>
      <c r="EC635" s="121">
        <f t="shared" si="563"/>
        <v>0</v>
      </c>
      <c r="ED635" s="122"/>
      <c r="EE635" s="145">
        <v>18</v>
      </c>
      <c r="EF635" s="115">
        <v>32</v>
      </c>
      <c r="EG635" s="115">
        <v>48</v>
      </c>
      <c r="EH635" s="115">
        <v>31</v>
      </c>
      <c r="EI635" s="128" t="s">
        <v>195</v>
      </c>
      <c r="EJ635" s="121">
        <v>24</v>
      </c>
      <c r="EK635" s="121">
        <v>0</v>
      </c>
      <c r="EL635" s="149">
        <v>20.9</v>
      </c>
      <c r="EM635" s="142">
        <v>25</v>
      </c>
      <c r="EN635" s="119">
        <v>0</v>
      </c>
      <c r="EO635" s="115">
        <v>86</v>
      </c>
      <c r="EP635" s="115">
        <v>4114.832535885168</v>
      </c>
      <c r="EQ635" s="115">
        <v>0</v>
      </c>
      <c r="ER635" s="115">
        <v>0</v>
      </c>
      <c r="ES635" s="115">
        <v>60</v>
      </c>
      <c r="ET635" s="150">
        <v>0.75757575757575757</v>
      </c>
      <c r="EU635" s="145">
        <f t="shared" si="548"/>
        <v>18</v>
      </c>
      <c r="EV635" s="115">
        <f t="shared" si="532"/>
        <v>32</v>
      </c>
      <c r="EW635" s="115">
        <f t="shared" si="532"/>
        <v>48</v>
      </c>
      <c r="EX635" s="115">
        <f t="shared" si="532"/>
        <v>31</v>
      </c>
      <c r="EY635" s="115" t="str">
        <f t="shared" si="533"/>
        <v>Постоянный</v>
      </c>
      <c r="EZ635" s="115">
        <f t="shared" si="533"/>
        <v>24</v>
      </c>
      <c r="FA635" s="115">
        <f t="shared" si="533"/>
        <v>0</v>
      </c>
      <c r="FB635" s="149">
        <f t="shared" si="564"/>
        <v>20.9</v>
      </c>
      <c r="FC635" s="142">
        <f t="shared" si="564"/>
        <v>25</v>
      </c>
      <c r="FD635" s="119">
        <f t="shared" si="564"/>
        <v>0</v>
      </c>
      <c r="FE635" s="121">
        <f t="shared" si="564"/>
        <v>86</v>
      </c>
      <c r="FF635" s="121">
        <f t="shared" si="549"/>
        <v>4114.832535885168</v>
      </c>
      <c r="FG635" s="121">
        <f t="shared" si="550"/>
        <v>0</v>
      </c>
      <c r="FH635" s="121">
        <f t="shared" si="551"/>
        <v>0</v>
      </c>
      <c r="FI635" s="121">
        <f t="shared" si="552"/>
        <v>60</v>
      </c>
      <c r="FJ635" s="144">
        <f t="shared" si="553"/>
        <v>0.75757575757575757</v>
      </c>
      <c r="FK635" s="132">
        <f t="shared" si="534"/>
        <v>0</v>
      </c>
      <c r="FL635" s="115">
        <f t="shared" si="534"/>
        <v>0</v>
      </c>
      <c r="FM635" s="115">
        <f t="shared" si="534"/>
        <v>0</v>
      </c>
      <c r="FN635" s="115">
        <f t="shared" si="534"/>
        <v>0</v>
      </c>
      <c r="FO635" s="115">
        <f t="shared" si="536"/>
        <v>0</v>
      </c>
      <c r="FP635" s="115">
        <f t="shared" si="536"/>
        <v>0</v>
      </c>
      <c r="FQ635" s="149">
        <f t="shared" si="536"/>
        <v>0</v>
      </c>
      <c r="FR635" s="142">
        <f t="shared" si="536"/>
        <v>0</v>
      </c>
      <c r="FS635" s="119">
        <f t="shared" si="536"/>
        <v>0</v>
      </c>
      <c r="FT635" s="121">
        <f t="shared" si="536"/>
        <v>0</v>
      </c>
      <c r="FU635" s="121">
        <f t="shared" si="537"/>
        <v>0</v>
      </c>
      <c r="FV635" s="121">
        <f t="shared" si="537"/>
        <v>0</v>
      </c>
      <c r="FW635" s="121">
        <f t="shared" si="554"/>
        <v>0</v>
      </c>
      <c r="FX635" s="121">
        <f t="shared" si="538"/>
        <v>0</v>
      </c>
      <c r="FY635" s="144">
        <f t="shared" si="538"/>
        <v>0</v>
      </c>
      <c r="FZ635" s="145"/>
      <c r="GA635" s="151"/>
      <c r="GB635" s="145" t="s">
        <v>221</v>
      </c>
      <c r="GC635" s="151" t="s">
        <v>780</v>
      </c>
      <c r="GD635" s="997" t="s">
        <v>202</v>
      </c>
      <c r="GE635" s="1004" t="s">
        <v>221</v>
      </c>
      <c r="GF635" s="1004">
        <v>8.7251818543999988</v>
      </c>
      <c r="GG635" s="1004"/>
      <c r="GH635" s="1004">
        <v>0</v>
      </c>
      <c r="GI635" s="145"/>
      <c r="GJ635" s="996">
        <v>0</v>
      </c>
      <c r="GK635" s="145"/>
      <c r="GL635" s="996">
        <v>0</v>
      </c>
      <c r="GM635" s="1005"/>
      <c r="GN635" s="996">
        <v>0</v>
      </c>
      <c r="GO635" s="1006"/>
      <c r="GP635" s="996">
        <v>0</v>
      </c>
      <c r="GQ635" s="1006"/>
      <c r="GR635" s="996">
        <v>0</v>
      </c>
      <c r="GS635" s="1006" t="s">
        <v>223</v>
      </c>
      <c r="GT635" s="996">
        <v>-2.5466402543999997</v>
      </c>
      <c r="GU635" s="1006" t="s">
        <v>204</v>
      </c>
      <c r="GV635" s="996">
        <v>-17.8825416</v>
      </c>
      <c r="GW635" s="1006" t="s">
        <v>1376</v>
      </c>
      <c r="GX635" s="996">
        <v>-19.144399999999997</v>
      </c>
      <c r="GY635" s="1006"/>
      <c r="GZ635" s="996">
        <v>0.31767999999999574</v>
      </c>
      <c r="HA635" s="1006" t="s">
        <v>204</v>
      </c>
      <c r="HB635" s="996">
        <v>-2.269280000000002</v>
      </c>
      <c r="HC635" s="1006" t="s">
        <v>2061</v>
      </c>
      <c r="HD635" s="996">
        <v>-29.427199999999999</v>
      </c>
      <c r="HE635" s="1006" t="s">
        <v>204</v>
      </c>
      <c r="HF635" s="996">
        <v>8.0388489279999931</v>
      </c>
      <c r="HG635" s="1006" t="s">
        <v>223</v>
      </c>
      <c r="HH635" s="996">
        <v>-1.8218154301599938</v>
      </c>
      <c r="HI635" s="1006" t="s">
        <v>223</v>
      </c>
      <c r="HJ635" s="996">
        <v>-4.2397463618400053</v>
      </c>
      <c r="HK635" s="1006" t="s">
        <v>221</v>
      </c>
      <c r="HL635" s="996">
        <v>6.937665715200005</v>
      </c>
      <c r="HM635" s="1006" t="s">
        <v>308</v>
      </c>
      <c r="HN635" s="996">
        <v>33.470247148799999</v>
      </c>
      <c r="HO635" s="1006"/>
      <c r="HP635" s="996"/>
      <c r="HQ635" s="1006"/>
      <c r="HR635" s="996"/>
      <c r="HS635" s="1006"/>
      <c r="HT635" s="996"/>
      <c r="HU635" s="1006"/>
      <c r="HV635" s="996"/>
      <c r="HW635" s="1006"/>
      <c r="HX635" s="996"/>
      <c r="HY635" s="1006"/>
      <c r="HZ635" s="996"/>
      <c r="IA635" s="1006"/>
      <c r="IB635" s="996"/>
      <c r="IC635" s="1006"/>
      <c r="ID635" s="996"/>
      <c r="IE635" s="1006"/>
      <c r="IF635" s="996"/>
      <c r="IG635" s="1006"/>
      <c r="IH635" s="996"/>
      <c r="II635" s="1006"/>
      <c r="IJ635" s="996"/>
      <c r="IK635" s="1006"/>
      <c r="IL635" s="996"/>
      <c r="IM635" s="1006"/>
      <c r="IN635" s="996"/>
      <c r="IO635" s="1006"/>
      <c r="IP635" s="996"/>
      <c r="IQ635" s="1006"/>
      <c r="IR635" s="996"/>
      <c r="IS635" s="1006"/>
      <c r="IT635" s="996"/>
      <c r="IU635" s="1006"/>
      <c r="IV635" s="996"/>
      <c r="IW635" s="1006"/>
      <c r="IX635" s="996"/>
      <c r="IY635" s="1006"/>
      <c r="IZ635" s="996"/>
      <c r="JA635" s="1006"/>
      <c r="JB635" s="996"/>
      <c r="JC635" s="1006"/>
      <c r="JD635" s="996"/>
      <c r="JE635" s="1006"/>
      <c r="JF635" s="996"/>
      <c r="JG635" s="1006"/>
      <c r="JH635" s="996"/>
      <c r="JI635" s="1006"/>
      <c r="JJ635" s="996"/>
      <c r="JK635" s="1007"/>
      <c r="JL635" s="1007"/>
      <c r="JM635" s="1007"/>
      <c r="JN635" s="1007"/>
      <c r="JO635" s="1067"/>
      <c r="JP635" s="1007"/>
      <c r="JQ635" s="1008"/>
      <c r="JR635" s="1007"/>
      <c r="JS635" s="1008"/>
      <c r="JT635" s="1007"/>
      <c r="JU635" s="1008"/>
      <c r="JV635" s="1007"/>
      <c r="JW635" s="1008"/>
      <c r="JX635" s="1007"/>
      <c r="JY635" s="1008"/>
      <c r="JZ635" s="1007"/>
      <c r="KA635" s="1008"/>
      <c r="KB635" s="1007"/>
      <c r="KC635" s="1008"/>
      <c r="KD635" s="1007"/>
      <c r="KE635" s="1008"/>
      <c r="KF635" s="1007"/>
      <c r="KG635" s="1008"/>
      <c r="KH635" s="1007"/>
      <c r="KI635" s="1008"/>
      <c r="KJ635" s="1007"/>
      <c r="KK635" s="1008"/>
      <c r="KL635" s="1007"/>
      <c r="KM635" s="1008"/>
      <c r="KN635" s="1007"/>
      <c r="KO635" s="1008"/>
      <c r="KP635" s="1007"/>
      <c r="KQ635" s="1008"/>
      <c r="KR635" s="1007"/>
      <c r="KS635" s="1008"/>
      <c r="KT635" s="1007"/>
      <c r="KU635" s="1008"/>
      <c r="KV635" s="1007"/>
      <c r="KW635" s="1008"/>
      <c r="KX635" s="1007"/>
      <c r="KY635" s="1008"/>
      <c r="KZ635" s="1007"/>
      <c r="LA635" s="1008"/>
      <c r="LB635" s="1007"/>
      <c r="LC635" s="1008"/>
      <c r="LD635" s="1007"/>
      <c r="LE635" s="1008"/>
      <c r="LF635" s="1007"/>
      <c r="LG635" s="1008"/>
      <c r="LH635" s="1007"/>
      <c r="LI635" s="1008"/>
      <c r="LJ635" s="1007"/>
      <c r="LK635" s="1008"/>
      <c r="LL635" s="1007"/>
      <c r="LM635" s="1008"/>
      <c r="LN635" s="1007"/>
      <c r="LO635" s="1008"/>
      <c r="LP635" s="1007"/>
      <c r="LQ635" s="1008"/>
      <c r="LR635" s="1007"/>
      <c r="LS635" s="1008"/>
      <c r="LT635" s="1007"/>
      <c r="LU635" s="1008"/>
      <c r="LV635" s="1007"/>
      <c r="LW635" s="1008"/>
      <c r="LX635" s="1007"/>
      <c r="LY635" s="1009"/>
      <c r="LZ635" s="1010"/>
      <c r="MA635" s="1011"/>
      <c r="MB635" s="1012"/>
      <c r="MC635" s="995"/>
      <c r="MD635" s="996"/>
      <c r="ME635" s="997" t="s">
        <v>202</v>
      </c>
      <c r="MF635" s="997"/>
      <c r="MG635" s="998"/>
      <c r="NR635" s="1000"/>
      <c r="NS635" s="1000"/>
      <c r="NT635" s="1001"/>
      <c r="NU635" s="1000"/>
      <c r="NV635" s="1001"/>
      <c r="NX635" s="1002"/>
      <c r="NZ635" s="1001"/>
      <c r="OA635" s="1001"/>
      <c r="OC635" s="1003"/>
      <c r="OD635" s="1003"/>
      <c r="OE635" s="1001"/>
      <c r="OF635" s="1003"/>
      <c r="OG635" s="1003"/>
      <c r="QX635" s="1000">
        <f>CN635-CA635</f>
        <v>28</v>
      </c>
      <c r="ASU635" s="999" t="s">
        <v>208</v>
      </c>
    </row>
    <row r="636" spans="1:466 1191:1191" ht="21" customHeight="1" x14ac:dyDescent="0.25">
      <c r="A636" s="982">
        <f t="shared" si="503"/>
        <v>6906</v>
      </c>
      <c r="B636" s="124">
        <f>SUBTOTAL(103,$J$29:J636)</f>
        <v>608</v>
      </c>
      <c r="C636" s="126">
        <v>45068</v>
      </c>
      <c r="D636" s="124" t="s">
        <v>176</v>
      </c>
      <c r="E636" s="127" t="s">
        <v>177</v>
      </c>
      <c r="F636" s="128" t="s">
        <v>177</v>
      </c>
      <c r="G636" s="127" t="s">
        <v>178</v>
      </c>
      <c r="H636" s="127" t="s">
        <v>179</v>
      </c>
      <c r="I636" s="127" t="s">
        <v>2119</v>
      </c>
      <c r="J636" s="152">
        <v>6906</v>
      </c>
      <c r="K636" s="127" t="s">
        <v>2119</v>
      </c>
      <c r="L636" s="130">
        <v>44578</v>
      </c>
      <c r="M636" s="127" t="s">
        <v>230</v>
      </c>
      <c r="N636" s="127" t="s">
        <v>184</v>
      </c>
      <c r="O636" s="127" t="s">
        <v>185</v>
      </c>
      <c r="P636" s="127" t="s">
        <v>292</v>
      </c>
      <c r="Q636" s="85" t="str">
        <f t="shared" si="523"/>
        <v/>
      </c>
      <c r="R636" s="130"/>
      <c r="S636" s="128"/>
      <c r="T636" s="131"/>
      <c r="U636" s="132">
        <v>203</v>
      </c>
      <c r="V636" s="121">
        <v>218.2</v>
      </c>
      <c r="W636" s="116">
        <v>0.98</v>
      </c>
      <c r="X636" s="116">
        <v>1.66</v>
      </c>
      <c r="Y636" s="116">
        <f>(W636*X636)/((CQ636/100)*W636+(1-CQ636/100)*X636)</f>
        <v>0.99757168436802457</v>
      </c>
      <c r="Z636" s="133">
        <v>1.454</v>
      </c>
      <c r="AA636" s="133">
        <v>0.83599999999999997</v>
      </c>
      <c r="AB636" s="133">
        <v>0.72</v>
      </c>
      <c r="AC636" s="121">
        <v>34.299999999999997</v>
      </c>
      <c r="AD636" s="134">
        <v>1.17</v>
      </c>
      <c r="AE636" s="124">
        <v>177.8</v>
      </c>
      <c r="AF636" s="128">
        <v>9.1999999999999993</v>
      </c>
      <c r="AG636" s="128">
        <v>2060</v>
      </c>
      <c r="AH636" s="127">
        <v>3470</v>
      </c>
      <c r="AI636" s="127">
        <v>3470</v>
      </c>
      <c r="AJ636" s="135">
        <v>44539</v>
      </c>
      <c r="AK636" s="128" t="s">
        <v>1018</v>
      </c>
      <c r="AL636" s="131"/>
      <c r="AM636" s="124" t="s">
        <v>985</v>
      </c>
      <c r="AN636" s="136" t="s">
        <v>2124</v>
      </c>
      <c r="AO636" s="137">
        <v>9.68</v>
      </c>
      <c r="AP636" s="128">
        <v>2209.29</v>
      </c>
      <c r="AQ636" s="128">
        <v>365.59</v>
      </c>
      <c r="AR636" s="128" t="s">
        <v>2125</v>
      </c>
      <c r="AS636" s="128">
        <v>114</v>
      </c>
      <c r="AT636" s="122">
        <v>7.37</v>
      </c>
      <c r="AU636" s="124" t="s">
        <v>189</v>
      </c>
      <c r="AV636" s="115">
        <f>VLOOKUP(J636,'[63]ТР нефть'!$J$28:$BP$638,39,0)</f>
        <v>397</v>
      </c>
      <c r="AW636" s="115" t="str">
        <f>VLOOKUP(J636,'[63]ТР нефть'!$J$28:$BP$638,40,0)</f>
        <v>ГП</v>
      </c>
      <c r="AX636" s="115">
        <f>VLOOKUP(J636,'[63]ТР нефть'!$J$28:$BP$638,41,0)</f>
        <v>830</v>
      </c>
      <c r="AY636" s="115" t="str">
        <f>VLOOKUP(J636,'[63]ТР нефть'!$J$28:$BP$638,42,0)</f>
        <v>ГП</v>
      </c>
      <c r="AZ636" s="115">
        <f>VLOOKUP(J636,'[63]ТР нефть'!$J$28:$BP$638,43,0)</f>
        <v>1173</v>
      </c>
      <c r="BA636" s="115" t="str">
        <f>VLOOKUP(J636,'[63]ТР нефть'!$J$28:$BP$638,44,0)</f>
        <v>ГК77 1/8</v>
      </c>
      <c r="BB636" s="115">
        <f>VLOOKUP(J636,'[63]ТР нефть'!$J$28:$BP$638,45,0)</f>
        <v>1431</v>
      </c>
      <c r="BC636" s="115" t="str">
        <f>VLOOKUP(J636,'[63]ТР нефть'!$J$28:$BP$638,46,0)</f>
        <v>ГК76 1/8</v>
      </c>
      <c r="BD636" s="115">
        <f>VLOOKUP(J636,'[63]ТР нефть'!$J$28:$BP$638,47,0)</f>
        <v>1650</v>
      </c>
      <c r="BE636" s="115" t="str">
        <f>VLOOKUP(J636,'[63]ТР нефть'!$J$28:$BP$638,48,0)</f>
        <v>ГК75 1/8</v>
      </c>
      <c r="BF636" s="115">
        <f>VLOOKUP(J636,'[63]ТР нефть'!$J$28:$BP$638,49,0)</f>
        <v>1840</v>
      </c>
      <c r="BG636" s="115" t="str">
        <f>VLOOKUP(J636,'[63]ТР нефть'!$J$28:$BP$638,50,0)</f>
        <v>ЦКсОК 5/16</v>
      </c>
      <c r="BH636" s="115">
        <f>VLOOKUP(J636,'[63]ТР нефть'!$J$28:$BP$638,51,0)</f>
        <v>1850</v>
      </c>
      <c r="BI636" s="115" t="str">
        <f>VLOOKUP(J636,'[63]ТР нефть'!$J$28:$BP$638,52,0)</f>
        <v>закрыт</v>
      </c>
      <c r="BJ636" s="115" t="str">
        <f>IF(IFERROR(VLOOKUP(J636,'[63]ТР нефть'!$J$28:$BP$638,53,0),"-")=0,"-",IFERROR(VLOOKUP(J636,'[63]ТР нефть'!$J$28:$BP$638,53,0),"-"))</f>
        <v>-</v>
      </c>
      <c r="BK636" s="138" t="str">
        <f>IF(IFERROR(VLOOKUP(J636,'[63]ТР нефть'!$J$28:$BP$638,54,0),"-")=0,"-",IFERROR(VLOOKUP(J636,'[63]ТР нефть'!$J$28:$BP$638,54,0),"-"))</f>
        <v>-</v>
      </c>
      <c r="BL636" s="138" t="str">
        <f>IF(IFERROR(VLOOKUP(J636,'[63]ТР нефть'!$J$28:$BP$638,55,0),"-")=0,"-",IFERROR(VLOOKUP(J636,'[63]ТР нефть'!$J$28:$BP$638,55,0),"-"))</f>
        <v>-</v>
      </c>
      <c r="BM636" s="138" t="str">
        <f>IF(IFERROR(VLOOKUP(J636,'[63]ТР нефть'!$J$28:$BP$638,56,0),"-")=0,"-",IFERROR(VLOOKUP(J636,'[63]ТР нефть'!$J$28:$BP$638,56,0),"-"))</f>
        <v>-</v>
      </c>
      <c r="BN636" s="138" t="str">
        <f>IF(IFERROR(VLOOKUP(J636,'[63]ТР нефть'!$J$28:$BP$638,57,0),"-")=0,"-",IFERROR(VLOOKUP(J636,'[63]ТР нефть'!$J$28:$BP$638,57,0),"-"))</f>
        <v>-</v>
      </c>
      <c r="BO636" s="115" t="str">
        <f>IF(IFERROR(VLOOKUP(J636,'[63]ТР нефть'!$J$28:$BP$638,58,0),"-")=0,"-",IFERROR(VLOOKUP(J636,'[63]ТР нефть'!$J$28:$BP$638,58,0),"-"))</f>
        <v>-</v>
      </c>
      <c r="BP636" s="115" t="str">
        <f>IF(IFERROR(VLOOKUP(J636,'[63]ТР нефть'!$J$28:$BP$638,59,0),"-")=0,"-",IFERROR(VLOOKUP(J636,'[63]ТР нефть'!$J$28:$BP$638,59,0),"-"))</f>
        <v>-</v>
      </c>
      <c r="BQ636" s="138">
        <v>2028</v>
      </c>
      <c r="BR636" s="128">
        <v>1797.6133900364518</v>
      </c>
      <c r="BS636" s="115">
        <v>230.38660996354815</v>
      </c>
      <c r="BT636" s="128">
        <v>73</v>
      </c>
      <c r="BU636" s="128">
        <v>5.51</v>
      </c>
      <c r="BV636" s="127">
        <v>12</v>
      </c>
      <c r="BW636" s="127" t="s">
        <v>217</v>
      </c>
      <c r="BX636" s="127" t="s">
        <v>195</v>
      </c>
      <c r="BY636" s="139">
        <v>24</v>
      </c>
      <c r="BZ636" s="139">
        <v>0</v>
      </c>
      <c r="CA636" s="138">
        <v>31</v>
      </c>
      <c r="CB636" s="138">
        <v>51</v>
      </c>
      <c r="CC636" s="138">
        <v>28</v>
      </c>
      <c r="CD636" s="135">
        <v>45017</v>
      </c>
      <c r="CE636" s="138">
        <v>87.1</v>
      </c>
      <c r="CF636" s="138"/>
      <c r="CG636" s="138"/>
      <c r="CH636" s="138"/>
      <c r="CI636" s="127"/>
      <c r="CJ636" s="138"/>
      <c r="CK636" s="138">
        <f t="shared" si="488"/>
        <v>23</v>
      </c>
      <c r="CL636" s="99"/>
      <c r="CM636" s="127"/>
      <c r="CN636" s="154">
        <v>54</v>
      </c>
      <c r="CO636" s="141">
        <f t="shared" si="504"/>
        <v>13.600883999999999</v>
      </c>
      <c r="CP636" s="142">
        <v>17</v>
      </c>
      <c r="CQ636" s="143">
        <v>4.3</v>
      </c>
      <c r="CR636" s="138">
        <v>23</v>
      </c>
      <c r="CS636" s="139">
        <v>9.6</v>
      </c>
      <c r="CT636" s="138"/>
      <c r="CU636" s="138">
        <f t="shared" si="546"/>
        <v>13.4</v>
      </c>
      <c r="CV636" s="115">
        <f t="shared" si="539"/>
        <v>985.23007769200888</v>
      </c>
      <c r="CW636" s="115">
        <f t="shared" si="505"/>
        <v>664.48024977812577</v>
      </c>
      <c r="CX636" s="133">
        <f t="shared" si="540"/>
        <v>0.51359516616314205</v>
      </c>
      <c r="CY636" s="116"/>
      <c r="CZ636" s="131"/>
      <c r="DA636" s="145" t="str">
        <f t="shared" si="555"/>
        <v>Газлифт</v>
      </c>
      <c r="DB636" s="146">
        <f t="shared" si="541"/>
        <v>13.600883999999999</v>
      </c>
      <c r="DC636" s="142">
        <f t="shared" si="542"/>
        <v>17</v>
      </c>
      <c r="DD636" s="119">
        <f t="shared" si="543"/>
        <v>4.3</v>
      </c>
      <c r="DE636" s="115">
        <f t="shared" si="544"/>
        <v>13.4</v>
      </c>
      <c r="DF636" s="121">
        <f t="shared" si="545"/>
        <v>9.6</v>
      </c>
      <c r="DG636" s="115">
        <f t="shared" si="506"/>
        <v>985.23007769200888</v>
      </c>
      <c r="DH636" s="115">
        <f t="shared" si="547"/>
        <v>54</v>
      </c>
      <c r="DI636" s="147"/>
      <c r="DJ636" s="111"/>
      <c r="DK636" s="112">
        <v>44578</v>
      </c>
      <c r="DL636" s="113">
        <f ca="1">TODAY()-DK636</f>
        <v>526</v>
      </c>
      <c r="DM636" s="114"/>
      <c r="DN636" s="114"/>
      <c r="DO636" s="114"/>
      <c r="DP636" s="114"/>
      <c r="DQ636" s="112">
        <v>44578</v>
      </c>
      <c r="DR636" s="114" t="s">
        <v>324</v>
      </c>
      <c r="DS636" s="114"/>
      <c r="DT636" s="115">
        <v>60</v>
      </c>
      <c r="DU636" s="116">
        <f t="shared" si="558"/>
        <v>0.62730627306273079</v>
      </c>
      <c r="DV636" s="117">
        <f t="shared" si="559"/>
        <v>13.600883999999999</v>
      </c>
      <c r="DW636" s="118">
        <f t="shared" si="560"/>
        <v>17</v>
      </c>
      <c r="DX636" s="119">
        <f t="shared" si="556"/>
        <v>4.3</v>
      </c>
      <c r="DY636" s="115">
        <f t="shared" si="561"/>
        <v>13.4</v>
      </c>
      <c r="DZ636" s="117">
        <f t="shared" si="562"/>
        <v>0</v>
      </c>
      <c r="EA636" s="120">
        <f t="shared" si="562"/>
        <v>0</v>
      </c>
      <c r="EB636" s="119">
        <f t="shared" si="557"/>
        <v>0</v>
      </c>
      <c r="EC636" s="121">
        <f t="shared" si="563"/>
        <v>0</v>
      </c>
      <c r="ED636" s="122"/>
      <c r="EE636" s="145">
        <v>12</v>
      </c>
      <c r="EF636" s="115">
        <v>32</v>
      </c>
      <c r="EG636" s="115">
        <v>48</v>
      </c>
      <c r="EH636" s="115">
        <v>31</v>
      </c>
      <c r="EI636" s="128" t="s">
        <v>195</v>
      </c>
      <c r="EJ636" s="121">
        <v>24</v>
      </c>
      <c r="EK636" s="121">
        <v>0</v>
      </c>
      <c r="EL636" s="149">
        <v>15.121568</v>
      </c>
      <c r="EM636" s="142">
        <v>19</v>
      </c>
      <c r="EN636" s="119">
        <v>4.8</v>
      </c>
      <c r="EO636" s="115">
        <v>23</v>
      </c>
      <c r="EP636" s="115">
        <v>1521.006287178684</v>
      </c>
      <c r="EQ636" s="115">
        <v>0</v>
      </c>
      <c r="ER636" s="115">
        <v>0</v>
      </c>
      <c r="ES636" s="115">
        <v>56</v>
      </c>
      <c r="ET636" s="150">
        <v>0.61093247588424449</v>
      </c>
      <c r="EU636" s="145">
        <f t="shared" si="548"/>
        <v>12</v>
      </c>
      <c r="EV636" s="115">
        <f t="shared" si="532"/>
        <v>31</v>
      </c>
      <c r="EW636" s="115">
        <f t="shared" si="532"/>
        <v>51</v>
      </c>
      <c r="EX636" s="115">
        <f t="shared" si="532"/>
        <v>28</v>
      </c>
      <c r="EY636" s="115" t="str">
        <f t="shared" si="533"/>
        <v>Постоянный</v>
      </c>
      <c r="EZ636" s="115">
        <f t="shared" si="533"/>
        <v>24</v>
      </c>
      <c r="FA636" s="115">
        <f t="shared" si="533"/>
        <v>0</v>
      </c>
      <c r="FB636" s="149">
        <f t="shared" si="564"/>
        <v>13.600883999999999</v>
      </c>
      <c r="FC636" s="142">
        <f t="shared" si="564"/>
        <v>17</v>
      </c>
      <c r="FD636" s="119">
        <f t="shared" si="564"/>
        <v>4.3</v>
      </c>
      <c r="FE636" s="121">
        <f t="shared" si="564"/>
        <v>23</v>
      </c>
      <c r="FF636" s="121">
        <f t="shared" si="549"/>
        <v>985.23007769200888</v>
      </c>
      <c r="FG636" s="121">
        <f t="shared" si="550"/>
        <v>0</v>
      </c>
      <c r="FH636" s="121">
        <f t="shared" si="551"/>
        <v>9.6</v>
      </c>
      <c r="FI636" s="121">
        <f t="shared" si="552"/>
        <v>54</v>
      </c>
      <c r="FJ636" s="144">
        <f t="shared" si="553"/>
        <v>0.51359516616314205</v>
      </c>
      <c r="FK636" s="132">
        <f t="shared" si="534"/>
        <v>0</v>
      </c>
      <c r="FL636" s="115">
        <f t="shared" si="534"/>
        <v>-1</v>
      </c>
      <c r="FM636" s="115">
        <f t="shared" si="534"/>
        <v>3</v>
      </c>
      <c r="FN636" s="115">
        <f t="shared" si="534"/>
        <v>-3</v>
      </c>
      <c r="FO636" s="115">
        <f t="shared" si="536"/>
        <v>0</v>
      </c>
      <c r="FP636" s="115">
        <f t="shared" si="536"/>
        <v>0</v>
      </c>
      <c r="FQ636" s="149">
        <f t="shared" si="536"/>
        <v>-1.520684000000001</v>
      </c>
      <c r="FR636" s="142">
        <f t="shared" si="536"/>
        <v>-2</v>
      </c>
      <c r="FS636" s="119">
        <f t="shared" si="536"/>
        <v>-0.5</v>
      </c>
      <c r="FT636" s="121">
        <f t="shared" si="536"/>
        <v>0</v>
      </c>
      <c r="FU636" s="121">
        <f t="shared" si="537"/>
        <v>0</v>
      </c>
      <c r="FV636" s="121">
        <f t="shared" si="537"/>
        <v>9.6</v>
      </c>
      <c r="FW636" s="121">
        <f t="shared" si="554"/>
        <v>-535.77620948667516</v>
      </c>
      <c r="FX636" s="121">
        <f t="shared" si="538"/>
        <v>-2</v>
      </c>
      <c r="FY636" s="144">
        <f t="shared" si="538"/>
        <v>-9.7337309721102439E-2</v>
      </c>
      <c r="FZ636" s="145" t="s">
        <v>223</v>
      </c>
      <c r="GA636" s="151" t="s">
        <v>361</v>
      </c>
      <c r="GB636" s="145"/>
      <c r="GC636" s="151"/>
      <c r="GD636" s="997" t="s">
        <v>202</v>
      </c>
      <c r="GE636" s="1004"/>
      <c r="GF636" s="1004">
        <v>-0.92963199999999802</v>
      </c>
      <c r="GG636" s="1004" t="s">
        <v>204</v>
      </c>
      <c r="GH636" s="1004">
        <v>3.0416940399999977</v>
      </c>
      <c r="GI636" s="145"/>
      <c r="GJ636" s="996">
        <v>0</v>
      </c>
      <c r="GK636" s="145" t="s">
        <v>223</v>
      </c>
      <c r="GL636" s="996">
        <v>-5.9493856400000009</v>
      </c>
      <c r="GM636" s="1005"/>
      <c r="GN636" s="996">
        <v>0</v>
      </c>
      <c r="GO636" s="1006"/>
      <c r="GP636" s="996">
        <v>0</v>
      </c>
      <c r="GQ636" s="1006"/>
      <c r="GR636" s="996">
        <v>0</v>
      </c>
      <c r="GS636" s="1006" t="s">
        <v>199</v>
      </c>
      <c r="GT636" s="996">
        <v>1.5606222279999997</v>
      </c>
      <c r="GU636" s="1006"/>
      <c r="GV636" s="996">
        <v>0.59717737200000087</v>
      </c>
      <c r="GW636" s="1006" t="s">
        <v>203</v>
      </c>
      <c r="GX636" s="996">
        <v>-2.8932287999999993</v>
      </c>
      <c r="GY636" s="1006" t="s">
        <v>199</v>
      </c>
      <c r="GZ636" s="996">
        <v>0</v>
      </c>
      <c r="HA636" s="1006" t="s">
        <v>25</v>
      </c>
      <c r="HB636" s="996">
        <v>-1.1680591999999983</v>
      </c>
      <c r="HC636" s="1006" t="s">
        <v>363</v>
      </c>
      <c r="HD636" s="996">
        <v>2.5034855999999976</v>
      </c>
      <c r="HE636" s="1006" t="s">
        <v>203</v>
      </c>
      <c r="HF636" s="996">
        <v>-13.318543391999999</v>
      </c>
      <c r="HG636" s="1006" t="s">
        <v>203</v>
      </c>
      <c r="HH636" s="996">
        <v>-2.4359499419199935</v>
      </c>
      <c r="HI636" s="1006" t="s">
        <v>203</v>
      </c>
      <c r="HJ636" s="996">
        <v>-1.7857380340799978</v>
      </c>
      <c r="HK636" s="1006" t="s">
        <v>308</v>
      </c>
      <c r="HL636" s="996">
        <v>35.89912576799999</v>
      </c>
      <c r="HM636" s="1006"/>
      <c r="HN636" s="996"/>
      <c r="HO636" s="1006"/>
      <c r="HP636" s="996"/>
      <c r="HQ636" s="1006"/>
      <c r="HR636" s="996"/>
      <c r="HS636" s="1006"/>
      <c r="HT636" s="996"/>
      <c r="HU636" s="1006"/>
      <c r="HV636" s="996"/>
      <c r="HW636" s="1006"/>
      <c r="HX636" s="996"/>
      <c r="HY636" s="1006"/>
      <c r="HZ636" s="996"/>
      <c r="IA636" s="1006"/>
      <c r="IB636" s="996"/>
      <c r="IC636" s="1006"/>
      <c r="ID636" s="996"/>
      <c r="IE636" s="1006"/>
      <c r="IF636" s="996"/>
      <c r="IG636" s="1006"/>
      <c r="IH636" s="996"/>
      <c r="II636" s="1006"/>
      <c r="IJ636" s="996"/>
      <c r="IK636" s="1006"/>
      <c r="IL636" s="996"/>
      <c r="IM636" s="1006"/>
      <c r="IN636" s="996"/>
      <c r="IO636" s="1006"/>
      <c r="IP636" s="996"/>
      <c r="IQ636" s="1006"/>
      <c r="IR636" s="996"/>
      <c r="IS636" s="1006"/>
      <c r="IT636" s="996"/>
      <c r="IU636" s="1006"/>
      <c r="IV636" s="996"/>
      <c r="IW636" s="1006"/>
      <c r="IX636" s="996"/>
      <c r="IY636" s="1006"/>
      <c r="IZ636" s="996"/>
      <c r="JA636" s="1006"/>
      <c r="JB636" s="996"/>
      <c r="JC636" s="1006"/>
      <c r="JD636" s="996"/>
      <c r="JE636" s="1006"/>
      <c r="JF636" s="996"/>
      <c r="JG636" s="1006"/>
      <c r="JH636" s="996"/>
      <c r="JI636" s="1006"/>
      <c r="JJ636" s="996"/>
      <c r="JK636" s="1007"/>
      <c r="JL636" s="1007"/>
      <c r="JM636" s="1007"/>
      <c r="JN636" s="1007"/>
      <c r="JO636" s="1067"/>
      <c r="JP636" s="1007"/>
      <c r="JQ636" s="1008"/>
      <c r="JR636" s="1007"/>
      <c r="JS636" s="1008"/>
      <c r="JT636" s="1007"/>
      <c r="JU636" s="1008"/>
      <c r="JV636" s="1007"/>
      <c r="JW636" s="1008"/>
      <c r="JX636" s="1007"/>
      <c r="JY636" s="1008"/>
      <c r="JZ636" s="1007"/>
      <c r="KA636" s="1008"/>
      <c r="KB636" s="1007"/>
      <c r="KC636" s="1008"/>
      <c r="KD636" s="1007"/>
      <c r="KE636" s="1008"/>
      <c r="KF636" s="1007"/>
      <c r="KG636" s="1008"/>
      <c r="KH636" s="1007"/>
      <c r="KI636" s="1008"/>
      <c r="KJ636" s="1007"/>
      <c r="KK636" s="1008"/>
      <c r="KL636" s="1007"/>
      <c r="KM636" s="1008"/>
      <c r="KN636" s="1007"/>
      <c r="KO636" s="1008"/>
      <c r="KP636" s="1007"/>
      <c r="KQ636" s="1008"/>
      <c r="KR636" s="1007"/>
      <c r="KS636" s="1008"/>
      <c r="KT636" s="1007"/>
      <c r="KU636" s="1008"/>
      <c r="KV636" s="1007"/>
      <c r="KW636" s="1008"/>
      <c r="KX636" s="1007"/>
      <c r="KY636" s="1008"/>
      <c r="KZ636" s="1007"/>
      <c r="LA636" s="1008"/>
      <c r="LB636" s="1007"/>
      <c r="LC636" s="1008"/>
      <c r="LD636" s="1007"/>
      <c r="LE636" s="1008"/>
      <c r="LF636" s="1007"/>
      <c r="LG636" s="1008"/>
      <c r="LH636" s="1007"/>
      <c r="LI636" s="1008"/>
      <c r="LJ636" s="1007"/>
      <c r="LK636" s="1008"/>
      <c r="LL636" s="1007"/>
      <c r="LM636" s="1008"/>
      <c r="LN636" s="1007"/>
      <c r="LO636" s="1008"/>
      <c r="LP636" s="1007"/>
      <c r="LQ636" s="1008"/>
      <c r="LR636" s="1007"/>
      <c r="LS636" s="1008"/>
      <c r="LT636" s="1007"/>
      <c r="LU636" s="1008"/>
      <c r="LV636" s="1007"/>
      <c r="LW636" s="1008"/>
      <c r="LX636" s="1007"/>
      <c r="LY636" s="1009"/>
      <c r="LZ636" s="1010"/>
      <c r="MA636" s="1011"/>
      <c r="MB636" s="1012"/>
      <c r="MC636" s="995"/>
      <c r="MD636" s="996"/>
      <c r="ME636" s="997" t="s">
        <v>202</v>
      </c>
      <c r="MF636" s="997"/>
      <c r="MG636" s="998"/>
      <c r="NR636" s="1000"/>
      <c r="NS636" s="1000"/>
      <c r="NT636" s="1001"/>
      <c r="NU636" s="1000"/>
      <c r="NV636" s="1001"/>
      <c r="NX636" s="1002"/>
      <c r="NZ636" s="1001"/>
      <c r="OA636" s="1001"/>
      <c r="OC636" s="1003"/>
      <c r="OD636" s="1003"/>
      <c r="OE636" s="1001"/>
      <c r="OF636" s="1003"/>
      <c r="OG636" s="1003"/>
      <c r="QX636" s="1000">
        <f>CN636-CA636</f>
        <v>23</v>
      </c>
      <c r="ASU636" s="999" t="s">
        <v>208</v>
      </c>
    </row>
    <row r="637" spans="1:466 1191:1191" ht="21" customHeight="1" x14ac:dyDescent="0.25">
      <c r="A637" s="982">
        <f t="shared" si="503"/>
        <v>6907</v>
      </c>
      <c r="B637" s="124">
        <f>SUBTOTAL(103,$J$29:J637)</f>
        <v>609</v>
      </c>
      <c r="C637" s="126">
        <v>45068</v>
      </c>
      <c r="D637" s="124" t="s">
        <v>176</v>
      </c>
      <c r="E637" s="127" t="s">
        <v>177</v>
      </c>
      <c r="F637" s="128" t="s">
        <v>177</v>
      </c>
      <c r="G637" s="127" t="s">
        <v>178</v>
      </c>
      <c r="H637" s="127" t="s">
        <v>179</v>
      </c>
      <c r="I637" s="127" t="s">
        <v>2119</v>
      </c>
      <c r="J637" s="152">
        <v>6907</v>
      </c>
      <c r="K637" s="127" t="s">
        <v>2119</v>
      </c>
      <c r="L637" s="130">
        <v>44655</v>
      </c>
      <c r="M637" s="127" t="s">
        <v>230</v>
      </c>
      <c r="N637" s="127" t="s">
        <v>184</v>
      </c>
      <c r="O637" s="127" t="s">
        <v>185</v>
      </c>
      <c r="P637" s="127" t="s">
        <v>186</v>
      </c>
      <c r="Q637" s="85">
        <f t="shared" si="523"/>
        <v>-4</v>
      </c>
      <c r="R637" s="130">
        <v>44584</v>
      </c>
      <c r="S637" s="128" t="s">
        <v>2126</v>
      </c>
      <c r="T637" s="131" t="s">
        <v>2127</v>
      </c>
      <c r="U637" s="132">
        <v>203</v>
      </c>
      <c r="V637" s="121">
        <v>218.2</v>
      </c>
      <c r="W637" s="116">
        <v>0.98</v>
      </c>
      <c r="X637" s="116">
        <v>1.66</v>
      </c>
      <c r="Y637" s="116">
        <f>(W637*X637)/((CQ637/100)*W637+(1-CQ637/100)*X637)</f>
        <v>0.98</v>
      </c>
      <c r="Z637" s="133">
        <v>1.454</v>
      </c>
      <c r="AA637" s="133">
        <v>0.83599999999999997</v>
      </c>
      <c r="AB637" s="133">
        <v>0.72</v>
      </c>
      <c r="AC637" s="121">
        <v>34.299999999999997</v>
      </c>
      <c r="AD637" s="134">
        <v>1.17</v>
      </c>
      <c r="AE637" s="124">
        <v>177.8</v>
      </c>
      <c r="AF637" s="128">
        <v>9.1999999999999993</v>
      </c>
      <c r="AG637" s="128">
        <v>2056</v>
      </c>
      <c r="AH637" s="127">
        <v>3140</v>
      </c>
      <c r="AI637" s="127">
        <v>3140</v>
      </c>
      <c r="AJ637" s="135">
        <v>44568</v>
      </c>
      <c r="AK637" s="128" t="s">
        <v>1018</v>
      </c>
      <c r="AL637" s="131"/>
      <c r="AM637" s="124" t="s">
        <v>187</v>
      </c>
      <c r="AN637" s="136" t="s">
        <v>2128</v>
      </c>
      <c r="AO637" s="137">
        <v>7.78</v>
      </c>
      <c r="AP637" s="128">
        <v>2723.14</v>
      </c>
      <c r="AQ637" s="128">
        <v>895.93</v>
      </c>
      <c r="AR637" s="128" t="s">
        <v>2129</v>
      </c>
      <c r="AS637" s="128">
        <v>114</v>
      </c>
      <c r="AT637" s="122">
        <v>7.37</v>
      </c>
      <c r="AU637" s="124" t="s">
        <v>250</v>
      </c>
      <c r="AV637" s="115">
        <f>VLOOKUP(J637,'[63]ТР нефть'!$J$28:$BP$638,39,0)</f>
        <v>408</v>
      </c>
      <c r="AW637" s="115" t="str">
        <f>VLOOKUP(J637,'[63]ТР нефть'!$J$28:$BP$638,40,0)</f>
        <v>ГП</v>
      </c>
      <c r="AX637" s="115">
        <f>VLOOKUP(J637,'[63]ТР нефть'!$J$28:$BP$638,41,0)</f>
        <v>892</v>
      </c>
      <c r="AY637" s="115" t="str">
        <f>VLOOKUP(J637,'[63]ТР нефть'!$J$28:$BP$638,42,0)</f>
        <v>ГП</v>
      </c>
      <c r="AZ637" s="115">
        <f>VLOOKUP(J637,'[63]ТР нефть'!$J$28:$BP$638,43,0)</f>
        <v>1265</v>
      </c>
      <c r="BA637" s="115" t="str">
        <f>VLOOKUP(J637,'[63]ТР нефть'!$J$28:$BP$638,44,0)</f>
        <v>ГК73 1/8</v>
      </c>
      <c r="BB637" s="115">
        <f>VLOOKUP(J637,'[63]ТР нефть'!$J$28:$BP$638,45,0)</f>
        <v>1530</v>
      </c>
      <c r="BC637" s="115" t="str">
        <f>VLOOKUP(J637,'[63]ТР нефть'!$J$28:$BP$638,46,0)</f>
        <v>ГК72 1/8</v>
      </c>
      <c r="BD637" s="115">
        <f>VLOOKUP(J637,'[63]ТР нефть'!$J$28:$BP$638,47,0)</f>
        <v>1747</v>
      </c>
      <c r="BE637" s="115" t="str">
        <f>VLOOKUP(J637,'[63]ТР нефть'!$J$28:$BP$638,48,0)</f>
        <v>ГК71 1/8</v>
      </c>
      <c r="BF637" s="115" t="str">
        <f>VLOOKUP(J637,'[63]ТР нефть'!$J$28:$BP$638,49,0)</f>
        <v>-</v>
      </c>
      <c r="BG637" s="115" t="str">
        <f>VLOOKUP(J637,'[63]ТР нефть'!$J$28:$BP$638,50,0)</f>
        <v>-</v>
      </c>
      <c r="BH637" s="115">
        <f>VLOOKUP(J637,'[63]ТР нефть'!$J$28:$BP$638,51,0)</f>
        <v>1890</v>
      </c>
      <c r="BI637" s="115" t="str">
        <f>VLOOKUP(J637,'[63]ТР нефть'!$J$28:$BP$638,52,0)</f>
        <v>закрыт</v>
      </c>
      <c r="BJ637" s="115" t="str">
        <f>IF(IFERROR(VLOOKUP(J637,'[63]ТР нефть'!$J$28:$BP$638,53,0),"-")=0,"-",IFERROR(VLOOKUP(J637,'[63]ТР нефть'!$J$28:$BP$638,53,0),"-"))</f>
        <v>-</v>
      </c>
      <c r="BK637" s="138" t="str">
        <f>IF(IFERROR(VLOOKUP(J637,'[63]ТР нефть'!$J$28:$BP$638,54,0),"-")=0,"-",IFERROR(VLOOKUP(J637,'[63]ТР нефть'!$J$28:$BP$638,54,0),"-"))</f>
        <v>-</v>
      </c>
      <c r="BL637" s="138" t="str">
        <f>IF(IFERROR(VLOOKUP(J637,'[63]ТР нефть'!$J$28:$BP$638,55,0),"-")=0,"-",IFERROR(VLOOKUP(J637,'[63]ТР нефть'!$J$28:$BP$638,55,0),"-"))</f>
        <v>-</v>
      </c>
      <c r="BM637" s="138" t="str">
        <f>IF(IFERROR(VLOOKUP(J637,'[63]ТР нефть'!$J$28:$BP$638,56,0),"-")=0,"-",IFERROR(VLOOKUP(J637,'[63]ТР нефть'!$J$28:$BP$638,56,0),"-"))</f>
        <v>-</v>
      </c>
      <c r="BN637" s="138" t="str">
        <f>IF(IFERROR(VLOOKUP(J637,'[63]ТР нефть'!$J$28:$BP$638,57,0),"-")=0,"-",IFERROR(VLOOKUP(J637,'[63]ТР нефть'!$J$28:$BP$638,57,0),"-"))</f>
        <v>-</v>
      </c>
      <c r="BO637" s="115" t="str">
        <f>IF(IFERROR(VLOOKUP(J637,'[63]ТР нефть'!$J$28:$BP$638,58,0),"-")=0,"-",IFERROR(VLOOKUP(J637,'[63]ТР нефть'!$J$28:$BP$638,58,0),"-"))</f>
        <v>-</v>
      </c>
      <c r="BP637" s="115" t="str">
        <f>IF(IFERROR(VLOOKUP(J637,'[63]ТР нефть'!$J$28:$BP$638,59,0),"-")=0,"-",IFERROR(VLOOKUP(J637,'[63]ТР нефть'!$J$28:$BP$638,59,0),"-"))</f>
        <v>-</v>
      </c>
      <c r="BQ637" s="138">
        <v>2020.04</v>
      </c>
      <c r="BR637" s="128">
        <v>1798.48</v>
      </c>
      <c r="BS637" s="115">
        <v>221.56</v>
      </c>
      <c r="BT637" s="128">
        <v>73</v>
      </c>
      <c r="BU637" s="128">
        <v>5.51</v>
      </c>
      <c r="BV637" s="127">
        <v>18</v>
      </c>
      <c r="BW637" s="127" t="s">
        <v>217</v>
      </c>
      <c r="BX637" s="127" t="s">
        <v>195</v>
      </c>
      <c r="BY637" s="139">
        <v>24</v>
      </c>
      <c r="BZ637" s="139">
        <v>0</v>
      </c>
      <c r="CA637" s="138">
        <v>27</v>
      </c>
      <c r="CB637" s="138">
        <v>38</v>
      </c>
      <c r="CC637" s="138">
        <v>26</v>
      </c>
      <c r="CD637" s="135">
        <v>45017</v>
      </c>
      <c r="CE637" s="138">
        <v>143</v>
      </c>
      <c r="CF637" s="138"/>
      <c r="CG637" s="138"/>
      <c r="CH637" s="138"/>
      <c r="CI637" s="127"/>
      <c r="CJ637" s="138"/>
      <c r="CK637" s="138">
        <f t="shared" ref="CK637:CK641" si="565">CN637-CA637</f>
        <v>24</v>
      </c>
      <c r="CL637" s="99"/>
      <c r="CM637" s="127"/>
      <c r="CN637" s="150">
        <v>51</v>
      </c>
      <c r="CO637" s="141">
        <f t="shared" si="504"/>
        <v>14.212</v>
      </c>
      <c r="CP637" s="142">
        <v>17</v>
      </c>
      <c r="CQ637" s="143">
        <v>0</v>
      </c>
      <c r="CR637" s="138">
        <v>51.8</v>
      </c>
      <c r="CS637" s="139"/>
      <c r="CT637" s="138"/>
      <c r="CU637" s="138">
        <f t="shared" si="546"/>
        <v>51.8</v>
      </c>
      <c r="CV637" s="115">
        <f t="shared" si="539"/>
        <v>3644.8072051787221</v>
      </c>
      <c r="CW637" s="115" t="str">
        <f t="shared" si="505"/>
        <v/>
      </c>
      <c r="CX637" s="133">
        <f t="shared" si="540"/>
        <v>0.18478260869565216</v>
      </c>
      <c r="CY637" s="116"/>
      <c r="CZ637" s="131"/>
      <c r="DA637" s="145" t="str">
        <f t="shared" si="555"/>
        <v>Фон.</v>
      </c>
      <c r="DB637" s="146">
        <f t="shared" si="541"/>
        <v>14.212</v>
      </c>
      <c r="DC637" s="142">
        <f t="shared" si="542"/>
        <v>17</v>
      </c>
      <c r="DD637" s="119">
        <f t="shared" si="543"/>
        <v>0</v>
      </c>
      <c r="DE637" s="115">
        <f t="shared" si="544"/>
        <v>51.8</v>
      </c>
      <c r="DF637" s="121">
        <f t="shared" si="545"/>
        <v>0</v>
      </c>
      <c r="DG637" s="115">
        <f t="shared" si="506"/>
        <v>3644.8072051787221</v>
      </c>
      <c r="DH637" s="115">
        <f t="shared" si="547"/>
        <v>51</v>
      </c>
      <c r="DI637" s="147"/>
      <c r="DJ637" s="111"/>
      <c r="DK637" s="112"/>
      <c r="DL637" s="113"/>
      <c r="DM637" s="114"/>
      <c r="DN637" s="114"/>
      <c r="DO637" s="114"/>
      <c r="DP637" s="114"/>
      <c r="DQ637" s="112"/>
      <c r="DR637" s="114"/>
      <c r="DS637" s="114"/>
      <c r="DT637" s="115">
        <v>60</v>
      </c>
      <c r="DU637" s="116">
        <f t="shared" si="558"/>
        <v>0.20481927710843373</v>
      </c>
      <c r="DV637" s="117">
        <f t="shared" si="559"/>
        <v>14.212</v>
      </c>
      <c r="DW637" s="118">
        <f t="shared" si="560"/>
        <v>17</v>
      </c>
      <c r="DX637" s="119">
        <f t="shared" si="556"/>
        <v>0</v>
      </c>
      <c r="DY637" s="115">
        <f t="shared" si="561"/>
        <v>51.8</v>
      </c>
      <c r="DZ637" s="117">
        <f t="shared" si="562"/>
        <v>0</v>
      </c>
      <c r="EA637" s="120">
        <f t="shared" si="562"/>
        <v>0</v>
      </c>
      <c r="EB637" s="119">
        <f t="shared" si="557"/>
        <v>0</v>
      </c>
      <c r="EC637" s="121">
        <f t="shared" si="563"/>
        <v>0</v>
      </c>
      <c r="ED637" s="122"/>
      <c r="EE637" s="145">
        <v>18</v>
      </c>
      <c r="EF637" s="115">
        <v>32</v>
      </c>
      <c r="EG637" s="115">
        <v>37</v>
      </c>
      <c r="EH637" s="115">
        <v>31</v>
      </c>
      <c r="EI637" s="128" t="s">
        <v>195</v>
      </c>
      <c r="EJ637" s="121">
        <v>24</v>
      </c>
      <c r="EK637" s="121">
        <v>0</v>
      </c>
      <c r="EL637" s="149">
        <v>14.212</v>
      </c>
      <c r="EM637" s="142">
        <v>17</v>
      </c>
      <c r="EN637" s="119">
        <v>0</v>
      </c>
      <c r="EO637" s="115">
        <v>51.8</v>
      </c>
      <c r="EP637" s="115">
        <v>3644.8072051787221</v>
      </c>
      <c r="EQ637" s="115">
        <v>0</v>
      </c>
      <c r="ER637" s="115">
        <v>0</v>
      </c>
      <c r="ES637" s="115">
        <v>51</v>
      </c>
      <c r="ET637" s="150">
        <v>0.18478260869565216</v>
      </c>
      <c r="EU637" s="145">
        <f t="shared" si="548"/>
        <v>18</v>
      </c>
      <c r="EV637" s="115">
        <f t="shared" si="532"/>
        <v>27</v>
      </c>
      <c r="EW637" s="115">
        <f t="shared" si="532"/>
        <v>38</v>
      </c>
      <c r="EX637" s="115">
        <f t="shared" si="532"/>
        <v>26</v>
      </c>
      <c r="EY637" s="115" t="str">
        <f t="shared" si="533"/>
        <v>Постоянный</v>
      </c>
      <c r="EZ637" s="115">
        <f t="shared" si="533"/>
        <v>24</v>
      </c>
      <c r="FA637" s="115">
        <f t="shared" si="533"/>
        <v>0</v>
      </c>
      <c r="FB637" s="149">
        <f t="shared" si="564"/>
        <v>14.212</v>
      </c>
      <c r="FC637" s="142">
        <f t="shared" si="564"/>
        <v>17</v>
      </c>
      <c r="FD637" s="119">
        <f t="shared" si="564"/>
        <v>0</v>
      </c>
      <c r="FE637" s="121">
        <f t="shared" si="564"/>
        <v>51.8</v>
      </c>
      <c r="FF637" s="121">
        <f t="shared" si="549"/>
        <v>3644.8072051787221</v>
      </c>
      <c r="FG637" s="121">
        <f t="shared" si="550"/>
        <v>0</v>
      </c>
      <c r="FH637" s="121">
        <f t="shared" si="551"/>
        <v>0</v>
      </c>
      <c r="FI637" s="121">
        <f t="shared" si="552"/>
        <v>51</v>
      </c>
      <c r="FJ637" s="144">
        <f t="shared" si="553"/>
        <v>0.18478260869565216</v>
      </c>
      <c r="FK637" s="132">
        <f t="shared" si="534"/>
        <v>0</v>
      </c>
      <c r="FL637" s="115">
        <f t="shared" si="534"/>
        <v>-5</v>
      </c>
      <c r="FM637" s="115">
        <f t="shared" si="534"/>
        <v>1</v>
      </c>
      <c r="FN637" s="115">
        <f t="shared" si="534"/>
        <v>-5</v>
      </c>
      <c r="FO637" s="115">
        <f t="shared" si="536"/>
        <v>0</v>
      </c>
      <c r="FP637" s="115">
        <f t="shared" si="536"/>
        <v>0</v>
      </c>
      <c r="FQ637" s="149">
        <f t="shared" si="536"/>
        <v>0</v>
      </c>
      <c r="FR637" s="142">
        <f t="shared" si="536"/>
        <v>0</v>
      </c>
      <c r="FS637" s="119">
        <f t="shared" si="536"/>
        <v>0</v>
      </c>
      <c r="FT637" s="121">
        <f t="shared" si="536"/>
        <v>0</v>
      </c>
      <c r="FU637" s="121">
        <f t="shared" si="537"/>
        <v>0</v>
      </c>
      <c r="FV637" s="121">
        <f t="shared" si="537"/>
        <v>0</v>
      </c>
      <c r="FW637" s="121">
        <f t="shared" si="554"/>
        <v>0</v>
      </c>
      <c r="FX637" s="121">
        <f t="shared" si="538"/>
        <v>0</v>
      </c>
      <c r="FY637" s="144">
        <f t="shared" si="538"/>
        <v>0</v>
      </c>
      <c r="FZ637" s="145"/>
      <c r="GA637" s="151"/>
      <c r="GB637" s="145" t="s">
        <v>221</v>
      </c>
      <c r="GC637" s="151" t="s">
        <v>780</v>
      </c>
      <c r="GD637" s="997" t="s">
        <v>202</v>
      </c>
      <c r="GE637" s="1004" t="s">
        <v>221</v>
      </c>
      <c r="GF637" s="1004">
        <v>3.4595411355999985</v>
      </c>
      <c r="GG637" s="1004"/>
      <c r="GH637" s="1004">
        <v>0</v>
      </c>
      <c r="GI637" s="145"/>
      <c r="GJ637" s="996">
        <v>0</v>
      </c>
      <c r="GK637" s="145"/>
      <c r="GL637" s="996">
        <v>0</v>
      </c>
      <c r="GM637" s="1005"/>
      <c r="GN637" s="996">
        <v>0</v>
      </c>
      <c r="GO637" s="1006"/>
      <c r="GP637" s="996">
        <v>0</v>
      </c>
      <c r="GQ637" s="1006"/>
      <c r="GR637" s="996">
        <v>0</v>
      </c>
      <c r="GS637" s="1006"/>
      <c r="GT637" s="996">
        <v>0.28741404120000169</v>
      </c>
      <c r="GU637" s="1006" t="s">
        <v>223</v>
      </c>
      <c r="GV637" s="996">
        <v>-1.1921391767999996</v>
      </c>
      <c r="GW637" s="1006" t="s">
        <v>203</v>
      </c>
      <c r="GX637" s="996">
        <v>-14.821276800000001</v>
      </c>
      <c r="GY637" s="1006"/>
      <c r="GZ637" s="996">
        <v>0</v>
      </c>
      <c r="HA637" s="1006"/>
      <c r="HB637" s="996">
        <v>12.148584800000002</v>
      </c>
      <c r="HC637" s="1006" t="s">
        <v>2061</v>
      </c>
      <c r="HD637" s="996">
        <v>-21.090608000000003</v>
      </c>
      <c r="HE637" s="1006" t="s">
        <v>25</v>
      </c>
      <c r="HF637" s="996">
        <v>35.420484000000002</v>
      </c>
      <c r="HG637" s="1006"/>
      <c r="HH637" s="996">
        <v>0</v>
      </c>
      <c r="HI637" s="1006"/>
      <c r="HJ637" s="996"/>
      <c r="HK637" s="1006"/>
      <c r="HL637" s="996"/>
      <c r="HM637" s="1006"/>
      <c r="HN637" s="996"/>
      <c r="HO637" s="1006"/>
      <c r="HP637" s="996"/>
      <c r="HQ637" s="1006"/>
      <c r="HR637" s="996"/>
      <c r="HS637" s="1006"/>
      <c r="HT637" s="996"/>
      <c r="HU637" s="1006"/>
      <c r="HV637" s="996"/>
      <c r="HW637" s="1006"/>
      <c r="HX637" s="996"/>
      <c r="HY637" s="1006"/>
      <c r="HZ637" s="996"/>
      <c r="IA637" s="1006"/>
      <c r="IB637" s="996"/>
      <c r="IC637" s="1006"/>
      <c r="ID637" s="996"/>
      <c r="IE637" s="1006"/>
      <c r="IF637" s="996"/>
      <c r="IG637" s="1006"/>
      <c r="IH637" s="996"/>
      <c r="II637" s="1006"/>
      <c r="IJ637" s="996"/>
      <c r="IK637" s="1006"/>
      <c r="IL637" s="996"/>
      <c r="IM637" s="1006"/>
      <c r="IN637" s="996"/>
      <c r="IO637" s="1006"/>
      <c r="IP637" s="996"/>
      <c r="IQ637" s="1006"/>
      <c r="IR637" s="996"/>
      <c r="IS637" s="1006"/>
      <c r="IT637" s="996"/>
      <c r="IU637" s="1006"/>
      <c r="IV637" s="996"/>
      <c r="IW637" s="1006"/>
      <c r="IX637" s="996"/>
      <c r="IY637" s="1006"/>
      <c r="IZ637" s="996"/>
      <c r="JA637" s="1006"/>
      <c r="JB637" s="996"/>
      <c r="JC637" s="1006"/>
      <c r="JD637" s="996"/>
      <c r="JE637" s="1006"/>
      <c r="JF637" s="996"/>
      <c r="JG637" s="1006"/>
      <c r="JH637" s="996"/>
      <c r="JI637" s="1006"/>
      <c r="JJ637" s="996"/>
      <c r="JK637" s="1007"/>
      <c r="JL637" s="1007"/>
      <c r="JM637" s="1007"/>
      <c r="JN637" s="1007"/>
      <c r="JO637" s="1067"/>
      <c r="JP637" s="1007"/>
      <c r="JQ637" s="1008"/>
      <c r="JR637" s="1007"/>
      <c r="JS637" s="1008"/>
      <c r="JT637" s="1007"/>
      <c r="JU637" s="1008"/>
      <c r="JV637" s="1007"/>
      <c r="JW637" s="1008"/>
      <c r="JX637" s="1007"/>
      <c r="JY637" s="1008"/>
      <c r="JZ637" s="1007"/>
      <c r="KA637" s="1008"/>
      <c r="KB637" s="1007"/>
      <c r="KC637" s="1008"/>
      <c r="KD637" s="1007"/>
      <c r="KE637" s="1008"/>
      <c r="KF637" s="1007"/>
      <c r="KG637" s="1008"/>
      <c r="KH637" s="1007"/>
      <c r="KI637" s="1008"/>
      <c r="KJ637" s="1007"/>
      <c r="KK637" s="1008"/>
      <c r="KL637" s="1007"/>
      <c r="KM637" s="1008"/>
      <c r="KN637" s="1007"/>
      <c r="KO637" s="1008"/>
      <c r="KP637" s="1007"/>
      <c r="KQ637" s="1008"/>
      <c r="KR637" s="1007"/>
      <c r="KS637" s="1008"/>
      <c r="KT637" s="1007"/>
      <c r="KU637" s="1008"/>
      <c r="KV637" s="1007"/>
      <c r="KW637" s="1008"/>
      <c r="KX637" s="1007"/>
      <c r="KY637" s="1008"/>
      <c r="KZ637" s="1007"/>
      <c r="LA637" s="1008"/>
      <c r="LB637" s="1007"/>
      <c r="LC637" s="1008"/>
      <c r="LD637" s="1007"/>
      <c r="LE637" s="1008"/>
      <c r="LF637" s="1007"/>
      <c r="LG637" s="1008"/>
      <c r="LH637" s="1007"/>
      <c r="LI637" s="1008"/>
      <c r="LJ637" s="1007"/>
      <c r="LK637" s="1008"/>
      <c r="LL637" s="1007"/>
      <c r="LM637" s="1008"/>
      <c r="LN637" s="1007"/>
      <c r="LO637" s="1008"/>
      <c r="LP637" s="1007"/>
      <c r="LQ637" s="1008"/>
      <c r="LR637" s="1007"/>
      <c r="LS637" s="1008"/>
      <c r="LT637" s="1007"/>
      <c r="LU637" s="1008"/>
      <c r="LV637" s="1007"/>
      <c r="LW637" s="1008"/>
      <c r="LX637" s="1007"/>
      <c r="LY637" s="1009"/>
      <c r="LZ637" s="1010"/>
      <c r="MA637" s="1011"/>
      <c r="MB637" s="1012"/>
      <c r="MC637" s="995"/>
      <c r="MD637" s="996"/>
      <c r="ME637" s="997" t="s">
        <v>202</v>
      </c>
      <c r="MF637" s="997"/>
      <c r="MG637" s="998"/>
      <c r="NR637" s="1000"/>
      <c r="NS637" s="1000"/>
      <c r="NT637" s="1001"/>
      <c r="NU637" s="1000"/>
      <c r="NV637" s="1001"/>
      <c r="NX637" s="1002"/>
      <c r="NZ637" s="1001"/>
      <c r="OA637" s="1001"/>
      <c r="OC637" s="1003"/>
      <c r="OD637" s="1003"/>
      <c r="OE637" s="1001"/>
      <c r="OF637" s="1003"/>
      <c r="OG637" s="1003"/>
      <c r="QX637" s="1000">
        <f>CN637-CA637</f>
        <v>24</v>
      </c>
      <c r="ASU637" s="999" t="s">
        <v>208</v>
      </c>
    </row>
    <row r="638" spans="1:466 1191:1191" ht="21" customHeight="1" x14ac:dyDescent="0.25">
      <c r="A638" s="982">
        <f t="shared" si="503"/>
        <v>6908</v>
      </c>
      <c r="B638" s="124">
        <f>SUBTOTAL(103,$J$29:J638)</f>
        <v>610</v>
      </c>
      <c r="C638" s="126">
        <v>45068</v>
      </c>
      <c r="D638" s="124" t="s">
        <v>176</v>
      </c>
      <c r="E638" s="127" t="s">
        <v>177</v>
      </c>
      <c r="F638" s="128" t="s">
        <v>177</v>
      </c>
      <c r="G638" s="127" t="s">
        <v>178</v>
      </c>
      <c r="H638" s="127" t="s">
        <v>179</v>
      </c>
      <c r="I638" s="127" t="s">
        <v>2119</v>
      </c>
      <c r="J638" s="152">
        <v>6908</v>
      </c>
      <c r="K638" s="127" t="s">
        <v>2119</v>
      </c>
      <c r="L638" s="130">
        <v>44734</v>
      </c>
      <c r="M638" s="127" t="s">
        <v>230</v>
      </c>
      <c r="N638" s="127" t="s">
        <v>184</v>
      </c>
      <c r="O638" s="127" t="s">
        <v>185</v>
      </c>
      <c r="P638" s="127" t="s">
        <v>186</v>
      </c>
      <c r="Q638" s="85" t="str">
        <f t="shared" si="523"/>
        <v/>
      </c>
      <c r="R638" s="130"/>
      <c r="S638" s="128"/>
      <c r="T638" s="131"/>
      <c r="U638" s="132">
        <v>203</v>
      </c>
      <c r="V638" s="121">
        <v>218.2</v>
      </c>
      <c r="W638" s="116">
        <v>0.98</v>
      </c>
      <c r="X638" s="116">
        <v>1.66</v>
      </c>
      <c r="Y638" s="116">
        <v>0.98</v>
      </c>
      <c r="Z638" s="133">
        <v>1.454</v>
      </c>
      <c r="AA638" s="133">
        <v>0.83599999999999997</v>
      </c>
      <c r="AB638" s="133">
        <v>0.72</v>
      </c>
      <c r="AC638" s="121">
        <v>34.299999999999997</v>
      </c>
      <c r="AD638" s="134">
        <v>1.17</v>
      </c>
      <c r="AE638" s="124">
        <v>177.8</v>
      </c>
      <c r="AF638" s="128">
        <v>9.1999999999999993</v>
      </c>
      <c r="AG638" s="128">
        <v>2011</v>
      </c>
      <c r="AH638" s="127">
        <v>3054</v>
      </c>
      <c r="AI638" s="127">
        <v>3054</v>
      </c>
      <c r="AJ638" s="135">
        <v>44592</v>
      </c>
      <c r="AK638" s="128" t="s">
        <v>1018</v>
      </c>
      <c r="AL638" s="131"/>
      <c r="AM638" s="124" t="s">
        <v>985</v>
      </c>
      <c r="AN638" s="136" t="s">
        <v>2130</v>
      </c>
      <c r="AO638" s="137">
        <v>35</v>
      </c>
      <c r="AP638" s="128">
        <v>2058</v>
      </c>
      <c r="AQ638" s="128">
        <v>230</v>
      </c>
      <c r="AR638" s="128" t="s">
        <v>2131</v>
      </c>
      <c r="AS638" s="128">
        <v>114</v>
      </c>
      <c r="AT638" s="122">
        <v>7.37</v>
      </c>
      <c r="AU638" s="124" t="s">
        <v>250</v>
      </c>
      <c r="AV638" s="115">
        <f>VLOOKUP(J638,'[63]ТР нефть'!$J$28:$BP$638,39,0)</f>
        <v>471</v>
      </c>
      <c r="AW638" s="115" t="str">
        <f>VLOOKUP(J638,'[63]ТР нефть'!$J$28:$BP$638,40,0)</f>
        <v>ГП</v>
      </c>
      <c r="AX638" s="115">
        <f>VLOOKUP(J638,'[63]ТР нефть'!$J$28:$BP$638,41,0)</f>
        <v>853</v>
      </c>
      <c r="AY638" s="115" t="str">
        <f>VLOOKUP(J638,'[63]ТР нефть'!$J$28:$BP$638,42,0)</f>
        <v>ГП</v>
      </c>
      <c r="AZ638" s="115">
        <f>VLOOKUP(J638,'[63]ТР нефть'!$J$28:$BP$638,43,0)</f>
        <v>1155</v>
      </c>
      <c r="BA638" s="115" t="str">
        <f>VLOOKUP(J638,'[63]ТР нефть'!$J$28:$BP$638,44,0)</f>
        <v>ГК87 1/8</v>
      </c>
      <c r="BB638" s="115">
        <f>VLOOKUP(J638,'[63]ТР нефть'!$J$28:$BP$638,45,0)</f>
        <v>1401</v>
      </c>
      <c r="BC638" s="115" t="str">
        <f>VLOOKUP(J638,'[63]ТР нефть'!$J$28:$BP$638,46,0)</f>
        <v>ГК86 5/32</v>
      </c>
      <c r="BD638" s="115">
        <f>VLOOKUP(J638,'[63]ТР нефть'!$J$28:$BP$638,47,0)</f>
        <v>1624</v>
      </c>
      <c r="BE638" s="115" t="str">
        <f>VLOOKUP(J638,'[63]ТР нефть'!$J$28:$BP$638,48,0)</f>
        <v>ГК79 5/32</v>
      </c>
      <c r="BF638" s="115">
        <f>VLOOKUP(J638,'[63]ТР нефть'!$J$28:$BP$638,49,0)</f>
        <v>1820</v>
      </c>
      <c r="BG638" s="115" t="str">
        <f>VLOOKUP(J638,'[63]ТР нефть'!$J$28:$BP$638,50,0)</f>
        <v>ЦКсОК 5/16</v>
      </c>
      <c r="BH638" s="115">
        <f>VLOOKUP(J638,'[63]ТР нефть'!$J$28:$BP$638,51,0)</f>
        <v>1830</v>
      </c>
      <c r="BI638" s="115" t="str">
        <f>VLOOKUP(J638,'[63]ТР нефть'!$J$28:$BP$638,52,0)</f>
        <v>закрыт</v>
      </c>
      <c r="BJ638" s="115" t="str">
        <f>IF(IFERROR(VLOOKUP(J638,'[63]ТР нефть'!$J$28:$BP$638,53,0),"-")=0,"-",IFERROR(VLOOKUP(J638,'[63]ТР нефть'!$J$28:$BP$638,53,0),"-"))</f>
        <v>-</v>
      </c>
      <c r="BK638" s="138" t="str">
        <f>IF(IFERROR(VLOOKUP(J638,'[63]ТР нефть'!$J$28:$BP$638,54,0),"-")=0,"-",IFERROR(VLOOKUP(J638,'[63]ТР нефть'!$J$28:$BP$638,54,0),"-"))</f>
        <v>-</v>
      </c>
      <c r="BL638" s="138" t="str">
        <f>IF(IFERROR(VLOOKUP(J638,'[63]ТР нефть'!$J$28:$BP$638,55,0),"-")=0,"-",IFERROR(VLOOKUP(J638,'[63]ТР нефть'!$J$28:$BP$638,55,0),"-"))</f>
        <v>-</v>
      </c>
      <c r="BM638" s="138" t="str">
        <f>IF(IFERROR(VLOOKUP(J638,'[63]ТР нефть'!$J$28:$BP$638,56,0),"-")=0,"-",IFERROR(VLOOKUP(J638,'[63]ТР нефть'!$J$28:$BP$638,56,0),"-"))</f>
        <v>-</v>
      </c>
      <c r="BN638" s="138" t="str">
        <f>IF(IFERROR(VLOOKUP(J638,'[63]ТР нефть'!$J$28:$BP$638,57,0),"-")=0,"-",IFERROR(VLOOKUP(J638,'[63]ТР нефть'!$J$28:$BP$638,57,0),"-"))</f>
        <v>-</v>
      </c>
      <c r="BO638" s="115" t="str">
        <f>IF(IFERROR(VLOOKUP(J638,'[63]ТР нефть'!$J$28:$BP$638,58,0),"-")=0,"-",IFERROR(VLOOKUP(J638,'[63]ТР нефть'!$J$28:$BP$638,58,0),"-"))</f>
        <v>-</v>
      </c>
      <c r="BP638" s="115" t="str">
        <f>IF(IFERROR(VLOOKUP(J638,'[63]ТР нефть'!$J$28:$BP$638,59,0),"-")=0,"-",IFERROR(VLOOKUP(J638,'[63]ТР нефть'!$J$28:$BP$638,59,0),"-"))</f>
        <v>-</v>
      </c>
      <c r="BQ638" s="138">
        <v>1982.5</v>
      </c>
      <c r="BR638" s="128">
        <v>1802.5</v>
      </c>
      <c r="BS638" s="115">
        <f>BQ638-BR638</f>
        <v>180</v>
      </c>
      <c r="BT638" s="128">
        <v>73</v>
      </c>
      <c r="BU638" s="128">
        <v>5.51</v>
      </c>
      <c r="BV638" s="127">
        <v>18</v>
      </c>
      <c r="BW638" s="127" t="s">
        <v>234</v>
      </c>
      <c r="BX638" s="127" t="s">
        <v>195</v>
      </c>
      <c r="BY638" s="139">
        <v>24</v>
      </c>
      <c r="BZ638" s="139">
        <v>0</v>
      </c>
      <c r="CA638" s="138">
        <v>29</v>
      </c>
      <c r="CB638" s="138">
        <v>70</v>
      </c>
      <c r="CC638" s="138">
        <v>28</v>
      </c>
      <c r="CD638" s="135">
        <v>45017</v>
      </c>
      <c r="CE638" s="138">
        <v>170</v>
      </c>
      <c r="CF638" s="138"/>
      <c r="CG638" s="138"/>
      <c r="CH638" s="138"/>
      <c r="CI638" s="127"/>
      <c r="CJ638" s="138"/>
      <c r="CK638" s="138">
        <f t="shared" si="565"/>
        <v>27</v>
      </c>
      <c r="CL638" s="99"/>
      <c r="CM638" s="127"/>
      <c r="CN638" s="154">
        <v>56</v>
      </c>
      <c r="CO638" s="141">
        <f t="shared" si="504"/>
        <v>18.872114799999999</v>
      </c>
      <c r="CP638" s="142">
        <v>23.8</v>
      </c>
      <c r="CQ638" s="143">
        <v>5.15</v>
      </c>
      <c r="CR638" s="138">
        <v>18</v>
      </c>
      <c r="CS638" s="139"/>
      <c r="CT638" s="138"/>
      <c r="CU638" s="138">
        <f t="shared" si="546"/>
        <v>18</v>
      </c>
      <c r="CV638" s="115">
        <f t="shared" si="539"/>
        <v>953.78817852464533</v>
      </c>
      <c r="CW638" s="115" t="str">
        <f t="shared" si="505"/>
        <v/>
      </c>
      <c r="CX638" s="133">
        <f t="shared" si="540"/>
        <v>0.20877192982456141</v>
      </c>
      <c r="CY638" s="116"/>
      <c r="CZ638" s="131"/>
      <c r="DA638" s="145" t="str">
        <f t="shared" si="555"/>
        <v>Фон.</v>
      </c>
      <c r="DB638" s="146">
        <f t="shared" si="541"/>
        <v>18.872114799999999</v>
      </c>
      <c r="DC638" s="142">
        <f t="shared" si="542"/>
        <v>23.8</v>
      </c>
      <c r="DD638" s="119">
        <f t="shared" si="543"/>
        <v>5.15</v>
      </c>
      <c r="DE638" s="115">
        <f t="shared" si="544"/>
        <v>18</v>
      </c>
      <c r="DF638" s="121">
        <f t="shared" si="545"/>
        <v>0</v>
      </c>
      <c r="DG638" s="115">
        <f t="shared" si="506"/>
        <v>953.78817852464533</v>
      </c>
      <c r="DH638" s="115">
        <f t="shared" si="547"/>
        <v>56</v>
      </c>
      <c r="DI638" s="147"/>
      <c r="DJ638" s="111"/>
      <c r="DK638" s="112"/>
      <c r="DL638" s="113"/>
      <c r="DM638" s="114"/>
      <c r="DN638" s="114"/>
      <c r="DO638" s="114"/>
      <c r="DP638" s="114"/>
      <c r="DQ638" s="112"/>
      <c r="DR638" s="114"/>
      <c r="DS638" s="114"/>
      <c r="DT638" s="115">
        <v>60</v>
      </c>
      <c r="DU638" s="116">
        <f t="shared" si="558"/>
        <v>0.21636363636363637</v>
      </c>
      <c r="DV638" s="117">
        <f t="shared" si="559"/>
        <v>18.872114799999999</v>
      </c>
      <c r="DW638" s="118">
        <f t="shared" si="560"/>
        <v>23.8</v>
      </c>
      <c r="DX638" s="119">
        <f t="shared" si="556"/>
        <v>5.15</v>
      </c>
      <c r="DY638" s="115">
        <f t="shared" si="561"/>
        <v>18</v>
      </c>
      <c r="DZ638" s="117">
        <f t="shared" si="562"/>
        <v>0</v>
      </c>
      <c r="EA638" s="120">
        <f t="shared" si="562"/>
        <v>0</v>
      </c>
      <c r="EB638" s="119">
        <f t="shared" si="557"/>
        <v>0</v>
      </c>
      <c r="EC638" s="121">
        <f t="shared" si="563"/>
        <v>0</v>
      </c>
      <c r="ED638" s="122"/>
      <c r="EE638" s="145">
        <v>18</v>
      </c>
      <c r="EF638" s="115">
        <v>33</v>
      </c>
      <c r="EG638" s="115">
        <v>50</v>
      </c>
      <c r="EH638" s="115">
        <v>32</v>
      </c>
      <c r="EI638" s="128" t="s">
        <v>195</v>
      </c>
      <c r="EJ638" s="121">
        <v>24</v>
      </c>
      <c r="EK638" s="121">
        <v>0</v>
      </c>
      <c r="EL638" s="149">
        <v>18.872114799999999</v>
      </c>
      <c r="EM638" s="142">
        <v>23.8</v>
      </c>
      <c r="EN638" s="119">
        <v>5.15</v>
      </c>
      <c r="EO638" s="115">
        <v>18.8</v>
      </c>
      <c r="EP638" s="115">
        <v>996.17876423685175</v>
      </c>
      <c r="EQ638" s="115">
        <v>0</v>
      </c>
      <c r="ER638" s="115">
        <v>0</v>
      </c>
      <c r="ES638" s="115">
        <v>61</v>
      </c>
      <c r="ET638" s="150">
        <v>0.21834862385321102</v>
      </c>
      <c r="EU638" s="145">
        <f t="shared" si="548"/>
        <v>18</v>
      </c>
      <c r="EV638" s="115">
        <f t="shared" si="532"/>
        <v>29</v>
      </c>
      <c r="EW638" s="115">
        <f t="shared" si="532"/>
        <v>70</v>
      </c>
      <c r="EX638" s="115">
        <f t="shared" si="532"/>
        <v>28</v>
      </c>
      <c r="EY638" s="115" t="str">
        <f t="shared" si="533"/>
        <v>Постоянный</v>
      </c>
      <c r="EZ638" s="115">
        <f t="shared" si="533"/>
        <v>24</v>
      </c>
      <c r="FA638" s="115">
        <f t="shared" si="533"/>
        <v>0</v>
      </c>
      <c r="FB638" s="149">
        <f t="shared" si="564"/>
        <v>18.872114799999999</v>
      </c>
      <c r="FC638" s="142">
        <f t="shared" si="564"/>
        <v>23.8</v>
      </c>
      <c r="FD638" s="119">
        <f t="shared" si="564"/>
        <v>5.15</v>
      </c>
      <c r="FE638" s="121">
        <f t="shared" si="564"/>
        <v>18</v>
      </c>
      <c r="FF638" s="121">
        <f t="shared" si="549"/>
        <v>953.78817852464533</v>
      </c>
      <c r="FG638" s="121">
        <f t="shared" si="550"/>
        <v>0</v>
      </c>
      <c r="FH638" s="121">
        <f t="shared" si="551"/>
        <v>0</v>
      </c>
      <c r="FI638" s="121">
        <f t="shared" si="552"/>
        <v>56</v>
      </c>
      <c r="FJ638" s="144">
        <f t="shared" si="553"/>
        <v>0.20877192982456141</v>
      </c>
      <c r="FK638" s="132">
        <f t="shared" si="534"/>
        <v>0</v>
      </c>
      <c r="FL638" s="115">
        <f t="shared" si="534"/>
        <v>-4</v>
      </c>
      <c r="FM638" s="115">
        <f t="shared" si="534"/>
        <v>20</v>
      </c>
      <c r="FN638" s="115">
        <f t="shared" si="534"/>
        <v>-4</v>
      </c>
      <c r="FO638" s="115">
        <f t="shared" si="536"/>
        <v>0</v>
      </c>
      <c r="FP638" s="115">
        <f t="shared" si="536"/>
        <v>0</v>
      </c>
      <c r="FQ638" s="149">
        <f t="shared" si="536"/>
        <v>0</v>
      </c>
      <c r="FR638" s="142">
        <f t="shared" si="536"/>
        <v>0</v>
      </c>
      <c r="FS638" s="119">
        <f t="shared" si="536"/>
        <v>0</v>
      </c>
      <c r="FT638" s="121">
        <f t="shared" si="536"/>
        <v>-0.80000000000000071</v>
      </c>
      <c r="FU638" s="121">
        <f t="shared" si="537"/>
        <v>0</v>
      </c>
      <c r="FV638" s="121">
        <f t="shared" si="537"/>
        <v>0</v>
      </c>
      <c r="FW638" s="121">
        <f t="shared" si="554"/>
        <v>-42.390585712206416</v>
      </c>
      <c r="FX638" s="121">
        <f t="shared" si="538"/>
        <v>-5</v>
      </c>
      <c r="FY638" s="144">
        <f t="shared" si="538"/>
        <v>-9.5766940286496072E-3</v>
      </c>
      <c r="FZ638" s="145"/>
      <c r="GA638" s="151"/>
      <c r="GB638" s="145" t="s">
        <v>199</v>
      </c>
      <c r="GC638" s="151" t="s">
        <v>415</v>
      </c>
      <c r="GD638" s="997" t="s">
        <v>202</v>
      </c>
      <c r="GE638" s="1004" t="s">
        <v>199</v>
      </c>
      <c r="GF638" s="1004">
        <v>-2.5712851999999984</v>
      </c>
      <c r="GG638" s="1004" t="s">
        <v>203</v>
      </c>
      <c r="GH638" s="1004">
        <v>-1.9682545739999995</v>
      </c>
      <c r="GI638" s="145"/>
      <c r="GJ638" s="996">
        <v>0</v>
      </c>
      <c r="GK638" s="145"/>
      <c r="GL638" s="996">
        <v>0</v>
      </c>
      <c r="GM638" s="1005"/>
      <c r="GN638" s="996">
        <v>0</v>
      </c>
      <c r="GO638" s="1006" t="s">
        <v>203</v>
      </c>
      <c r="GP638" s="996">
        <v>-6.4210054260000042</v>
      </c>
      <c r="GQ638" s="1006"/>
      <c r="GR638" s="996">
        <v>0</v>
      </c>
      <c r="GS638" s="1006" t="s">
        <v>203</v>
      </c>
      <c r="GT638" s="996">
        <v>-2.7731624799999999</v>
      </c>
      <c r="GU638" s="1006" t="s">
        <v>223</v>
      </c>
      <c r="GV638" s="996">
        <v>-2.7569775199999924</v>
      </c>
      <c r="GW638" s="1006"/>
      <c r="GX638" s="996">
        <v>6.2799999999995748E-2</v>
      </c>
      <c r="GY638" s="1006" t="s">
        <v>204</v>
      </c>
      <c r="GZ638" s="996">
        <v>0</v>
      </c>
      <c r="HA638" s="1006"/>
      <c r="HB638" s="996">
        <v>35.362799999999993</v>
      </c>
      <c r="HC638" s="1006"/>
      <c r="HD638" s="996"/>
      <c r="HE638" s="1006"/>
      <c r="HF638" s="996"/>
      <c r="HG638" s="1006"/>
      <c r="HH638" s="996"/>
      <c r="HI638" s="1006"/>
      <c r="HJ638" s="996"/>
      <c r="HK638" s="1006"/>
      <c r="HL638" s="996"/>
      <c r="HM638" s="1006"/>
      <c r="HN638" s="996"/>
      <c r="HO638" s="1006"/>
      <c r="HP638" s="996"/>
      <c r="HQ638" s="1006"/>
      <c r="HR638" s="996"/>
      <c r="HS638" s="1006"/>
      <c r="HT638" s="996"/>
      <c r="HU638" s="1006"/>
      <c r="HV638" s="996"/>
      <c r="HW638" s="1006"/>
      <c r="HX638" s="996"/>
      <c r="HY638" s="1006"/>
      <c r="HZ638" s="996"/>
      <c r="IA638" s="1006"/>
      <c r="IB638" s="996"/>
      <c r="IC638" s="1006"/>
      <c r="ID638" s="996"/>
      <c r="IE638" s="1006"/>
      <c r="IF638" s="996"/>
      <c r="IG638" s="1006"/>
      <c r="IH638" s="996"/>
      <c r="II638" s="1006"/>
      <c r="IJ638" s="996"/>
      <c r="IK638" s="1006"/>
      <c r="IL638" s="996"/>
      <c r="IM638" s="1006"/>
      <c r="IN638" s="996"/>
      <c r="IO638" s="1006"/>
      <c r="IP638" s="996"/>
      <c r="IQ638" s="1006"/>
      <c r="IR638" s="996"/>
      <c r="IS638" s="1006"/>
      <c r="IT638" s="996"/>
      <c r="IU638" s="1006"/>
      <c r="IV638" s="996"/>
      <c r="IW638" s="1006"/>
      <c r="IX638" s="996"/>
      <c r="IY638" s="1006"/>
      <c r="IZ638" s="996"/>
      <c r="JA638" s="1006"/>
      <c r="JB638" s="996"/>
      <c r="JC638" s="1006"/>
      <c r="JD638" s="996"/>
      <c r="JE638" s="1006"/>
      <c r="JF638" s="996"/>
      <c r="JG638" s="1006"/>
      <c r="JH638" s="996"/>
      <c r="JI638" s="1006"/>
      <c r="JJ638" s="996"/>
      <c r="JK638" s="1007"/>
      <c r="JL638" s="1007"/>
      <c r="JM638" s="1007"/>
      <c r="JN638" s="1007"/>
      <c r="JO638" s="1067"/>
      <c r="JP638" s="1007"/>
      <c r="JQ638" s="1008"/>
      <c r="JR638" s="1007"/>
      <c r="JS638" s="1008"/>
      <c r="JT638" s="1007"/>
      <c r="JU638" s="1008"/>
      <c r="JV638" s="1007"/>
      <c r="JW638" s="1008"/>
      <c r="JX638" s="1007"/>
      <c r="JY638" s="1008"/>
      <c r="JZ638" s="1007"/>
      <c r="KA638" s="1008"/>
      <c r="KB638" s="1007"/>
      <c r="KC638" s="1008"/>
      <c r="KD638" s="1007"/>
      <c r="KE638" s="1008"/>
      <c r="KF638" s="1007"/>
      <c r="KG638" s="1008"/>
      <c r="KH638" s="1007"/>
      <c r="KI638" s="1008"/>
      <c r="KJ638" s="1007"/>
      <c r="KK638" s="1008"/>
      <c r="KL638" s="1007"/>
      <c r="KM638" s="1008"/>
      <c r="KN638" s="1007"/>
      <c r="KO638" s="1008"/>
      <c r="KP638" s="1007"/>
      <c r="KQ638" s="1008"/>
      <c r="KR638" s="1007"/>
      <c r="KS638" s="1008"/>
      <c r="KT638" s="1007"/>
      <c r="KU638" s="1008"/>
      <c r="KV638" s="1007"/>
      <c r="KW638" s="1008"/>
      <c r="KX638" s="1007"/>
      <c r="KY638" s="1008"/>
      <c r="KZ638" s="1007"/>
      <c r="LA638" s="1008"/>
      <c r="LB638" s="1007"/>
      <c r="LC638" s="1008"/>
      <c r="LD638" s="1007"/>
      <c r="LE638" s="1008"/>
      <c r="LF638" s="1007"/>
      <c r="LG638" s="1008"/>
      <c r="LH638" s="1007"/>
      <c r="LI638" s="1008"/>
      <c r="LJ638" s="1007"/>
      <c r="LK638" s="1008"/>
      <c r="LL638" s="1007"/>
      <c r="LM638" s="1008"/>
      <c r="LN638" s="1007"/>
      <c r="LO638" s="1008"/>
      <c r="LP638" s="1007"/>
      <c r="LQ638" s="1008"/>
      <c r="LR638" s="1007"/>
      <c r="LS638" s="1008"/>
      <c r="LT638" s="1007"/>
      <c r="LU638" s="1008"/>
      <c r="LV638" s="1007"/>
      <c r="LW638" s="1008"/>
      <c r="LX638" s="1007"/>
      <c r="LY638" s="1009"/>
      <c r="LZ638" s="1010"/>
      <c r="MA638" s="1011"/>
      <c r="MB638" s="1012"/>
      <c r="MC638" s="995"/>
      <c r="MD638" s="996"/>
      <c r="ME638" s="997" t="s">
        <v>202</v>
      </c>
      <c r="MF638" s="997"/>
      <c r="MG638" s="998"/>
      <c r="NR638" s="1000"/>
      <c r="NS638" s="1000"/>
      <c r="NT638" s="1001"/>
      <c r="NU638" s="1000"/>
      <c r="NV638" s="1001"/>
      <c r="NX638" s="1002"/>
      <c r="NZ638" s="1001"/>
      <c r="OA638" s="1001"/>
      <c r="OC638" s="1003"/>
      <c r="OD638" s="1003"/>
      <c r="OE638" s="1001"/>
      <c r="OF638" s="1003"/>
      <c r="OG638" s="1003"/>
      <c r="QX638" s="1000">
        <f>CN638-CA638</f>
        <v>27</v>
      </c>
      <c r="ASU638" s="999" t="s">
        <v>208</v>
      </c>
    </row>
    <row r="639" spans="1:466 1191:1191" ht="21" customHeight="1" x14ac:dyDescent="0.25">
      <c r="A639" s="982">
        <f t="shared" si="503"/>
        <v>6910</v>
      </c>
      <c r="B639" s="124">
        <f>SUBTOTAL(103,$J$29:J639)</f>
        <v>611</v>
      </c>
      <c r="C639" s="126">
        <v>45068</v>
      </c>
      <c r="D639" s="124" t="s">
        <v>176</v>
      </c>
      <c r="E639" s="127" t="s">
        <v>177</v>
      </c>
      <c r="F639" s="128" t="s">
        <v>177</v>
      </c>
      <c r="G639" s="127" t="s">
        <v>178</v>
      </c>
      <c r="H639" s="127" t="s">
        <v>179</v>
      </c>
      <c r="I639" s="127" t="s">
        <v>2119</v>
      </c>
      <c r="J639" s="129">
        <v>6910</v>
      </c>
      <c r="K639" s="127" t="s">
        <v>2119</v>
      </c>
      <c r="L639" s="130">
        <v>44738</v>
      </c>
      <c r="M639" s="127" t="s">
        <v>230</v>
      </c>
      <c r="N639" s="127" t="s">
        <v>184</v>
      </c>
      <c r="O639" s="127" t="s">
        <v>185</v>
      </c>
      <c r="P639" s="127" t="s">
        <v>186</v>
      </c>
      <c r="Q639" s="85" t="str">
        <f t="shared" si="523"/>
        <v/>
      </c>
      <c r="R639" s="130"/>
      <c r="S639" s="128"/>
      <c r="T639" s="131"/>
      <c r="U639" s="132">
        <v>203</v>
      </c>
      <c r="V639" s="121">
        <v>218.2</v>
      </c>
      <c r="W639" s="116">
        <v>0.98</v>
      </c>
      <c r="X639" s="116">
        <v>1.66</v>
      </c>
      <c r="Y639" s="116">
        <v>0.98</v>
      </c>
      <c r="Z639" s="133">
        <v>1.454</v>
      </c>
      <c r="AA639" s="133">
        <v>0.83599999999999997</v>
      </c>
      <c r="AB639" s="133">
        <v>0.72</v>
      </c>
      <c r="AC639" s="121">
        <v>34.299999999999997</v>
      </c>
      <c r="AD639" s="134">
        <v>1.17</v>
      </c>
      <c r="AE639" s="124">
        <v>177.8</v>
      </c>
      <c r="AF639" s="128">
        <v>9.1999999999999993</v>
      </c>
      <c r="AG639" s="128">
        <v>2172</v>
      </c>
      <c r="AH639" s="127">
        <v>3140</v>
      </c>
      <c r="AI639" s="127">
        <v>3140</v>
      </c>
      <c r="AJ639" s="135">
        <v>44615</v>
      </c>
      <c r="AK639" s="128" t="s">
        <v>1018</v>
      </c>
      <c r="AL639" s="131"/>
      <c r="AM639" s="124" t="s">
        <v>985</v>
      </c>
      <c r="AN639" s="136" t="s">
        <v>2132</v>
      </c>
      <c r="AO639" s="137">
        <v>25.8</v>
      </c>
      <c r="AP639" s="128">
        <v>2278</v>
      </c>
      <c r="AQ639" s="128">
        <v>458.31</v>
      </c>
      <c r="AR639" s="128" t="s">
        <v>2133</v>
      </c>
      <c r="AS639" s="128">
        <v>114</v>
      </c>
      <c r="AT639" s="122">
        <v>7.37</v>
      </c>
      <c r="AU639" s="124" t="s">
        <v>250</v>
      </c>
      <c r="AV639" s="115">
        <f>VLOOKUP(J639,'[63]ТР нефть'!$J$28:$BP$638,39,0)</f>
        <v>524.99999179700001</v>
      </c>
      <c r="AW639" s="115" t="str">
        <f>VLOOKUP(J639,'[63]ТР нефть'!$J$28:$BP$638,40,0)</f>
        <v>ГП</v>
      </c>
      <c r="AX639" s="115">
        <f>VLOOKUP(J639,'[63]ТР нефть'!$J$28:$BP$638,41,0)</f>
        <v>1011.000019922</v>
      </c>
      <c r="AY639" s="115" t="str">
        <f>VLOOKUP(J639,'[63]ТР нефть'!$J$28:$BP$638,42,0)</f>
        <v>ГП</v>
      </c>
      <c r="AZ639" s="115">
        <f>VLOOKUP(J639,'[63]ТР нефть'!$J$28:$BP$638,43,0)</f>
        <v>1357.999937109</v>
      </c>
      <c r="BA639" s="115" t="str">
        <f>VLOOKUP(J639,'[63]ТР нефть'!$J$28:$BP$638,44,0)</f>
        <v>ГК79 1/8</v>
      </c>
      <c r="BB639" s="115">
        <f>VLOOKUP(J639,'[63]ТР нефть'!$J$28:$BP$638,45,0)</f>
        <v>1603.0000523440001</v>
      </c>
      <c r="BC639" s="115" t="str">
        <f>VLOOKUP(J639,'[63]ТР нефть'!$J$28:$BP$638,46,0)</f>
        <v>ГК78 1/8</v>
      </c>
      <c r="BD639" s="115">
        <f>VLOOKUP(J639,'[63]ТР нефть'!$J$28:$BP$638,47,0)</f>
        <v>1822.0000429690001</v>
      </c>
      <c r="BE639" s="115" t="str">
        <f>VLOOKUP(J639,'[63]ТР нефть'!$J$28:$BP$638,48,0)</f>
        <v>ГК77 1/8</v>
      </c>
      <c r="BF639" s="115" t="str">
        <f>VLOOKUP(J639,'[63]ТР нефть'!$J$28:$BP$638,49,0)</f>
        <v>-</v>
      </c>
      <c r="BG639" s="115" t="str">
        <f>VLOOKUP(J639,'[63]ТР нефть'!$J$28:$BP$638,50,0)</f>
        <v>-</v>
      </c>
      <c r="BH639" s="115">
        <f>VLOOKUP(J639,'[63]ТР нефть'!$J$28:$BP$638,51,0)</f>
        <v>1950</v>
      </c>
      <c r="BI639" s="115" t="str">
        <f>VLOOKUP(J639,'[63]ТР нефть'!$J$28:$BP$638,52,0)</f>
        <v>закрыт</v>
      </c>
      <c r="BJ639" s="115" t="str">
        <f>IF(IFERROR(VLOOKUP(J639,'[63]ТР нефть'!$J$28:$BP$638,53,0),"-")=0,"-",IFERROR(VLOOKUP(J639,'[63]ТР нефть'!$J$28:$BP$638,53,0),"-"))</f>
        <v>-</v>
      </c>
      <c r="BK639" s="138" t="str">
        <f>IF(IFERROR(VLOOKUP(J639,'[63]ТР нефть'!$J$28:$BP$638,54,0),"-")=0,"-",IFERROR(VLOOKUP(J639,'[63]ТР нефть'!$J$28:$BP$638,54,0),"-"))</f>
        <v>-</v>
      </c>
      <c r="BL639" s="138" t="str">
        <f>IF(IFERROR(VLOOKUP(J639,'[63]ТР нефть'!$J$28:$BP$638,55,0),"-")=0,"-",IFERROR(VLOOKUP(J639,'[63]ТР нефть'!$J$28:$BP$638,55,0),"-"))</f>
        <v>-</v>
      </c>
      <c r="BM639" s="138" t="str">
        <f>IF(IFERROR(VLOOKUP(J639,'[63]ТР нефть'!$J$28:$BP$638,56,0),"-")=0,"-",IFERROR(VLOOKUP(J639,'[63]ТР нефть'!$J$28:$BP$638,56,0),"-"))</f>
        <v>-</v>
      </c>
      <c r="BN639" s="138" t="str">
        <f>IF(IFERROR(VLOOKUP(J639,'[63]ТР нефть'!$J$28:$BP$638,57,0),"-")=0,"-",IFERROR(VLOOKUP(J639,'[63]ТР нефть'!$J$28:$BP$638,57,0),"-"))</f>
        <v>-</v>
      </c>
      <c r="BO639" s="115" t="str">
        <f>IF(IFERROR(VLOOKUP(J639,'[63]ТР нефть'!$J$28:$BP$638,58,0),"-")=0,"-",IFERROR(VLOOKUP(J639,'[63]ТР нефть'!$J$28:$BP$638,58,0),"-"))</f>
        <v>-</v>
      </c>
      <c r="BP639" s="115" t="str">
        <f>IF(IFERROR(VLOOKUP(J639,'[63]ТР нефть'!$J$28:$BP$638,59,0),"-")=0,"-",IFERROR(VLOOKUP(J639,'[63]ТР нефть'!$J$28:$BP$638,59,0),"-"))</f>
        <v>-</v>
      </c>
      <c r="BQ639" s="138">
        <v>2145.6</v>
      </c>
      <c r="BR639" s="128">
        <v>1799</v>
      </c>
      <c r="BS639" s="115">
        <f>BQ639-BR639</f>
        <v>346.59999999999991</v>
      </c>
      <c r="BT639" s="128">
        <v>73</v>
      </c>
      <c r="BU639" s="128">
        <v>5.51</v>
      </c>
      <c r="BV639" s="127">
        <v>65</v>
      </c>
      <c r="BW639" s="127" t="s">
        <v>217</v>
      </c>
      <c r="BX639" s="127" t="s">
        <v>195</v>
      </c>
      <c r="BY639" s="139">
        <v>24</v>
      </c>
      <c r="BZ639" s="139">
        <v>0</v>
      </c>
      <c r="CA639" s="138">
        <v>33</v>
      </c>
      <c r="CB639" s="138">
        <v>51</v>
      </c>
      <c r="CC639" s="138">
        <v>32</v>
      </c>
      <c r="CD639" s="135">
        <v>45017</v>
      </c>
      <c r="CE639" s="138">
        <v>166</v>
      </c>
      <c r="CF639" s="138"/>
      <c r="CG639" s="138"/>
      <c r="CH639" s="138"/>
      <c r="CI639" s="127">
        <v>3</v>
      </c>
      <c r="CJ639" s="138"/>
      <c r="CK639" s="138">
        <f t="shared" si="565"/>
        <v>34</v>
      </c>
      <c r="CL639" s="99"/>
      <c r="CM639" s="127"/>
      <c r="CN639" s="154">
        <v>67</v>
      </c>
      <c r="CO639" s="141">
        <f t="shared" si="504"/>
        <v>32.603999999999999</v>
      </c>
      <c r="CP639" s="142">
        <v>39</v>
      </c>
      <c r="CQ639" s="143">
        <v>0</v>
      </c>
      <c r="CR639" s="138">
        <v>100</v>
      </c>
      <c r="CS639" s="139"/>
      <c r="CT639" s="138"/>
      <c r="CU639" s="138">
        <f t="shared" si="546"/>
        <v>100</v>
      </c>
      <c r="CV639" s="115">
        <f t="shared" si="539"/>
        <v>3067.108330266225</v>
      </c>
      <c r="CW639" s="115" t="str">
        <f t="shared" si="505"/>
        <v/>
      </c>
      <c r="CX639" s="133">
        <f t="shared" si="540"/>
        <v>0.39393939393939392</v>
      </c>
      <c r="CY639" s="116"/>
      <c r="CZ639" s="131"/>
      <c r="DA639" s="145" t="str">
        <f t="shared" si="555"/>
        <v>Фон.</v>
      </c>
      <c r="DB639" s="146">
        <f t="shared" si="541"/>
        <v>32.603999999999999</v>
      </c>
      <c r="DC639" s="142">
        <f t="shared" si="542"/>
        <v>39</v>
      </c>
      <c r="DD639" s="119">
        <f t="shared" si="543"/>
        <v>0</v>
      </c>
      <c r="DE639" s="115">
        <f t="shared" si="544"/>
        <v>100</v>
      </c>
      <c r="DF639" s="121">
        <f t="shared" si="545"/>
        <v>0</v>
      </c>
      <c r="DG639" s="115">
        <f t="shared" si="506"/>
        <v>3067.108330266225</v>
      </c>
      <c r="DH639" s="115">
        <f t="shared" si="547"/>
        <v>67</v>
      </c>
      <c r="DI639" s="147"/>
      <c r="DJ639" s="111"/>
      <c r="DK639" s="112"/>
      <c r="DL639" s="113"/>
      <c r="DM639" s="114"/>
      <c r="DN639" s="114"/>
      <c r="DO639" s="114"/>
      <c r="DP639" s="114"/>
      <c r="DQ639" s="112"/>
      <c r="DR639" s="114"/>
      <c r="DS639" s="114"/>
      <c r="DT639" s="115">
        <v>60</v>
      </c>
      <c r="DU639" s="116">
        <f t="shared" si="558"/>
        <v>0.38389358061489209</v>
      </c>
      <c r="DV639" s="117">
        <f t="shared" si="559"/>
        <v>34.019113539769279</v>
      </c>
      <c r="DW639" s="118">
        <f t="shared" si="560"/>
        <v>40.692719545178562</v>
      </c>
      <c r="DX639" s="119">
        <f t="shared" si="556"/>
        <v>0</v>
      </c>
      <c r="DY639" s="115">
        <f t="shared" si="561"/>
        <v>104.34030652609889</v>
      </c>
      <c r="DZ639" s="117">
        <f t="shared" si="562"/>
        <v>1.4151135397692798</v>
      </c>
      <c r="EA639" s="120">
        <f t="shared" si="562"/>
        <v>1.6927195451785622</v>
      </c>
      <c r="EB639" s="119">
        <f t="shared" si="557"/>
        <v>0</v>
      </c>
      <c r="EC639" s="121">
        <f t="shared" si="563"/>
        <v>4.3403065260988853</v>
      </c>
      <c r="ED639" s="122"/>
      <c r="EE639" s="145">
        <v>65</v>
      </c>
      <c r="EF639" s="115">
        <v>33</v>
      </c>
      <c r="EG639" s="115">
        <v>51</v>
      </c>
      <c r="EH639" s="115">
        <v>32</v>
      </c>
      <c r="EI639" s="128" t="s">
        <v>195</v>
      </c>
      <c r="EJ639" s="121">
        <v>24</v>
      </c>
      <c r="EK639" s="121">
        <v>0</v>
      </c>
      <c r="EL639" s="149">
        <v>32.603999999999999</v>
      </c>
      <c r="EM639" s="142">
        <v>39</v>
      </c>
      <c r="EN639" s="119">
        <v>0</v>
      </c>
      <c r="EO639" s="115">
        <v>100</v>
      </c>
      <c r="EP639" s="115">
        <v>3067.108330266225</v>
      </c>
      <c r="EQ639" s="115">
        <v>0</v>
      </c>
      <c r="ER639" s="115">
        <v>0</v>
      </c>
      <c r="ES639" s="115">
        <v>67</v>
      </c>
      <c r="ET639" s="150">
        <v>0.39393939393939392</v>
      </c>
      <c r="EU639" s="145">
        <f t="shared" si="548"/>
        <v>65</v>
      </c>
      <c r="EV639" s="115">
        <f t="shared" si="532"/>
        <v>33</v>
      </c>
      <c r="EW639" s="115">
        <f t="shared" si="532"/>
        <v>51</v>
      </c>
      <c r="EX639" s="115">
        <f t="shared" si="532"/>
        <v>32</v>
      </c>
      <c r="EY639" s="115" t="str">
        <f t="shared" si="533"/>
        <v>Постоянный</v>
      </c>
      <c r="EZ639" s="115">
        <f t="shared" si="533"/>
        <v>24</v>
      </c>
      <c r="FA639" s="115">
        <f t="shared" si="533"/>
        <v>0</v>
      </c>
      <c r="FB639" s="149">
        <f t="shared" si="564"/>
        <v>32.603999999999999</v>
      </c>
      <c r="FC639" s="142">
        <f t="shared" si="564"/>
        <v>39</v>
      </c>
      <c r="FD639" s="119">
        <f t="shared" si="564"/>
        <v>0</v>
      </c>
      <c r="FE639" s="121">
        <f t="shared" si="564"/>
        <v>100</v>
      </c>
      <c r="FF639" s="121">
        <f t="shared" si="549"/>
        <v>3067.108330266225</v>
      </c>
      <c r="FG639" s="121">
        <f t="shared" si="550"/>
        <v>0</v>
      </c>
      <c r="FH639" s="121">
        <f t="shared" si="551"/>
        <v>0</v>
      </c>
      <c r="FI639" s="121">
        <f t="shared" si="552"/>
        <v>67</v>
      </c>
      <c r="FJ639" s="144">
        <f t="shared" si="553"/>
        <v>0.39393939393939392</v>
      </c>
      <c r="FK639" s="132">
        <f t="shared" si="534"/>
        <v>0</v>
      </c>
      <c r="FL639" s="115">
        <f t="shared" si="534"/>
        <v>0</v>
      </c>
      <c r="FM639" s="115">
        <f t="shared" si="534"/>
        <v>0</v>
      </c>
      <c r="FN639" s="115">
        <f t="shared" si="534"/>
        <v>0</v>
      </c>
      <c r="FO639" s="115">
        <f t="shared" si="536"/>
        <v>0</v>
      </c>
      <c r="FP639" s="115">
        <f t="shared" si="536"/>
        <v>0</v>
      </c>
      <c r="FQ639" s="149">
        <f t="shared" si="536"/>
        <v>0</v>
      </c>
      <c r="FR639" s="142">
        <f t="shared" si="536"/>
        <v>0</v>
      </c>
      <c r="FS639" s="119">
        <f t="shared" si="536"/>
        <v>0</v>
      </c>
      <c r="FT639" s="121">
        <f t="shared" si="536"/>
        <v>0</v>
      </c>
      <c r="FU639" s="121">
        <f t="shared" si="537"/>
        <v>0</v>
      </c>
      <c r="FV639" s="121">
        <f t="shared" si="537"/>
        <v>0</v>
      </c>
      <c r="FW639" s="121">
        <f t="shared" si="554"/>
        <v>0</v>
      </c>
      <c r="FX639" s="121">
        <f t="shared" si="538"/>
        <v>0</v>
      </c>
      <c r="FY639" s="144">
        <f t="shared" si="538"/>
        <v>0</v>
      </c>
      <c r="FZ639" s="145"/>
      <c r="GA639" s="151"/>
      <c r="GB639" s="145" t="s">
        <v>221</v>
      </c>
      <c r="GC639" s="151" t="s">
        <v>780</v>
      </c>
      <c r="GD639" s="997" t="s">
        <v>202</v>
      </c>
      <c r="GE639" s="1004" t="s">
        <v>221</v>
      </c>
      <c r="GF639" s="1004">
        <v>10.032542564</v>
      </c>
      <c r="GG639" s="1004"/>
      <c r="GH639" s="1004">
        <v>0</v>
      </c>
      <c r="GI639" s="145"/>
      <c r="GJ639" s="996">
        <v>0</v>
      </c>
      <c r="GK639" s="145"/>
      <c r="GL639" s="996">
        <v>0</v>
      </c>
      <c r="GM639" s="1005"/>
      <c r="GN639" s="996">
        <v>0</v>
      </c>
      <c r="GO639" s="1006"/>
      <c r="GP639" s="996">
        <v>0</v>
      </c>
      <c r="GQ639" s="1006"/>
      <c r="GR639" s="996">
        <v>0</v>
      </c>
      <c r="GS639" s="1006"/>
      <c r="GT639" s="996">
        <v>0</v>
      </c>
      <c r="GU639" s="1006" t="s">
        <v>223</v>
      </c>
      <c r="GV639" s="996">
        <v>-9.5309425639999965</v>
      </c>
      <c r="GW639" s="1006"/>
      <c r="GX639" s="996">
        <v>0.10239999999999583</v>
      </c>
      <c r="GY639" s="1006" t="s">
        <v>25</v>
      </c>
      <c r="GZ639" s="996">
        <v>14.797199999999997</v>
      </c>
      <c r="HA639" s="1006"/>
      <c r="HB639" s="996">
        <v>32.018799999999999</v>
      </c>
      <c r="HC639" s="1006"/>
      <c r="HD639" s="996"/>
      <c r="HE639" s="1006"/>
      <c r="HF639" s="996"/>
      <c r="HG639" s="1006"/>
      <c r="HH639" s="996"/>
      <c r="HI639" s="1006"/>
      <c r="HJ639" s="996"/>
      <c r="HK639" s="1006"/>
      <c r="HL639" s="996"/>
      <c r="HM639" s="1006"/>
      <c r="HN639" s="996"/>
      <c r="HO639" s="1006"/>
      <c r="HP639" s="996"/>
      <c r="HQ639" s="1006"/>
      <c r="HR639" s="996"/>
      <c r="HS639" s="1006"/>
      <c r="HT639" s="996"/>
      <c r="HU639" s="1006"/>
      <c r="HV639" s="996"/>
      <c r="HW639" s="1006"/>
      <c r="HX639" s="996"/>
      <c r="HY639" s="1006"/>
      <c r="HZ639" s="996"/>
      <c r="IA639" s="1006"/>
      <c r="IB639" s="996"/>
      <c r="IC639" s="1006"/>
      <c r="ID639" s="996"/>
      <c r="IE639" s="1006"/>
      <c r="IF639" s="996"/>
      <c r="IG639" s="1006"/>
      <c r="IH639" s="996"/>
      <c r="II639" s="1006"/>
      <c r="IJ639" s="996"/>
      <c r="IK639" s="1006"/>
      <c r="IL639" s="996"/>
      <c r="IM639" s="1006"/>
      <c r="IN639" s="996"/>
      <c r="IO639" s="1006"/>
      <c r="IP639" s="996"/>
      <c r="IQ639" s="1006"/>
      <c r="IR639" s="996"/>
      <c r="IS639" s="1006"/>
      <c r="IT639" s="996"/>
      <c r="IU639" s="1006"/>
      <c r="IV639" s="996"/>
      <c r="IW639" s="1006"/>
      <c r="IX639" s="996"/>
      <c r="IY639" s="1006"/>
      <c r="IZ639" s="996"/>
      <c r="JA639" s="1006"/>
      <c r="JB639" s="996"/>
      <c r="JC639" s="1006"/>
      <c r="JD639" s="996"/>
      <c r="JE639" s="1006"/>
      <c r="JF639" s="996"/>
      <c r="JG639" s="1006"/>
      <c r="JH639" s="996"/>
      <c r="JI639" s="1006"/>
      <c r="JJ639" s="996"/>
      <c r="JK639" s="1007"/>
      <c r="JL639" s="1007"/>
      <c r="JM639" s="1007"/>
      <c r="JN639" s="1007"/>
      <c r="JO639" s="1067"/>
      <c r="JP639" s="1007"/>
      <c r="JQ639" s="1008"/>
      <c r="JR639" s="1007"/>
      <c r="JS639" s="1008"/>
      <c r="JT639" s="1007"/>
      <c r="JU639" s="1008"/>
      <c r="JV639" s="1007"/>
      <c r="JW639" s="1008"/>
      <c r="JX639" s="1007"/>
      <c r="JY639" s="1008"/>
      <c r="JZ639" s="1007"/>
      <c r="KA639" s="1008"/>
      <c r="KB639" s="1007"/>
      <c r="KC639" s="1008"/>
      <c r="KD639" s="1007"/>
      <c r="KE639" s="1008"/>
      <c r="KF639" s="1007"/>
      <c r="KG639" s="1008"/>
      <c r="KH639" s="1007"/>
      <c r="KI639" s="1008"/>
      <c r="KJ639" s="1007"/>
      <c r="KK639" s="1008"/>
      <c r="KL639" s="1007"/>
      <c r="KM639" s="1008"/>
      <c r="KN639" s="1007"/>
      <c r="KO639" s="1008"/>
      <c r="KP639" s="1007"/>
      <c r="KQ639" s="1008"/>
      <c r="KR639" s="1007"/>
      <c r="KS639" s="1008"/>
      <c r="KT639" s="1007"/>
      <c r="KU639" s="1008"/>
      <c r="KV639" s="1007"/>
      <c r="KW639" s="1008"/>
      <c r="KX639" s="1007"/>
      <c r="KY639" s="1008"/>
      <c r="KZ639" s="1007"/>
      <c r="LA639" s="1008"/>
      <c r="LB639" s="1007"/>
      <c r="LC639" s="1008"/>
      <c r="LD639" s="1007"/>
      <c r="LE639" s="1008"/>
      <c r="LF639" s="1007"/>
      <c r="LG639" s="1008"/>
      <c r="LH639" s="1007"/>
      <c r="LI639" s="1008"/>
      <c r="LJ639" s="1007"/>
      <c r="LK639" s="1008"/>
      <c r="LL639" s="1007"/>
      <c r="LM639" s="1008"/>
      <c r="LN639" s="1007"/>
      <c r="LO639" s="1008"/>
      <c r="LP639" s="1007"/>
      <c r="LQ639" s="1008"/>
      <c r="LR639" s="1007"/>
      <c r="LS639" s="1008"/>
      <c r="LT639" s="1007"/>
      <c r="LU639" s="1008"/>
      <c r="LV639" s="1007"/>
      <c r="LW639" s="1008"/>
      <c r="LX639" s="1007"/>
      <c r="LY639" s="1009"/>
      <c r="LZ639" s="1010"/>
      <c r="MA639" s="1011"/>
      <c r="MB639" s="1012"/>
      <c r="MC639" s="995"/>
      <c r="MD639" s="996"/>
      <c r="ME639" s="997" t="s">
        <v>202</v>
      </c>
      <c r="MF639" s="997"/>
      <c r="MG639" s="998"/>
      <c r="NR639" s="1000"/>
      <c r="NS639" s="1000"/>
      <c r="NT639" s="1001"/>
      <c r="NU639" s="1000"/>
      <c r="NV639" s="1001"/>
      <c r="NX639" s="1002"/>
      <c r="NZ639" s="1001"/>
      <c r="OA639" s="1001"/>
      <c r="OC639" s="1003"/>
      <c r="OD639" s="1003"/>
      <c r="OE639" s="1001"/>
      <c r="OF639" s="1003"/>
      <c r="OG639" s="1003"/>
      <c r="QX639" s="1000">
        <f>CN639-CA639</f>
        <v>34</v>
      </c>
      <c r="ASU639" s="999" t="s">
        <v>208</v>
      </c>
    </row>
    <row r="640" spans="1:466 1191:1191" ht="21" customHeight="1" x14ac:dyDescent="0.25">
      <c r="A640" s="982">
        <f t="shared" si="503"/>
        <v>6911</v>
      </c>
      <c r="B640" s="240">
        <v>612</v>
      </c>
      <c r="C640" s="126">
        <v>45068</v>
      </c>
      <c r="D640" s="124" t="s">
        <v>176</v>
      </c>
      <c r="E640" s="127" t="s">
        <v>177</v>
      </c>
      <c r="F640" s="128" t="s">
        <v>177</v>
      </c>
      <c r="G640" s="127" t="s">
        <v>178</v>
      </c>
      <c r="H640" s="127" t="s">
        <v>179</v>
      </c>
      <c r="I640" s="127" t="s">
        <v>1132</v>
      </c>
      <c r="J640" s="241">
        <v>6911</v>
      </c>
      <c r="K640" s="127" t="s">
        <v>2134</v>
      </c>
      <c r="L640" s="242" t="s">
        <v>192</v>
      </c>
      <c r="M640" s="243" t="s">
        <v>230</v>
      </c>
      <c r="N640" s="127" t="s">
        <v>184</v>
      </c>
      <c r="O640" s="243" t="s">
        <v>2135</v>
      </c>
      <c r="P640" s="243"/>
      <c r="Q640" s="85"/>
      <c r="R640" s="130"/>
      <c r="S640" s="128"/>
      <c r="T640" s="131"/>
      <c r="U640" s="132"/>
      <c r="V640" s="121"/>
      <c r="W640" s="116"/>
      <c r="X640" s="116"/>
      <c r="Y640" s="244"/>
      <c r="Z640" s="245"/>
      <c r="AA640" s="133"/>
      <c r="AB640" s="133"/>
      <c r="AC640" s="121"/>
      <c r="AD640" s="134"/>
      <c r="AE640" s="124">
        <v>177.8</v>
      </c>
      <c r="AF640" s="128">
        <v>9.1999999999999993</v>
      </c>
      <c r="AG640" s="228">
        <v>2052</v>
      </c>
      <c r="AH640" s="243"/>
      <c r="AI640" s="243"/>
      <c r="AJ640" s="246"/>
      <c r="AK640" s="228"/>
      <c r="AL640" s="247"/>
      <c r="AM640" s="240" t="s">
        <v>985</v>
      </c>
      <c r="AN640" s="248" t="s">
        <v>2136</v>
      </c>
      <c r="AO640" s="249"/>
      <c r="AP640" s="228"/>
      <c r="AQ640" s="228"/>
      <c r="AR640" s="228"/>
      <c r="AS640" s="228"/>
      <c r="AT640" s="250"/>
      <c r="AU640" s="240" t="s">
        <v>189</v>
      </c>
      <c r="AV640" s="251"/>
      <c r="AW640" s="251"/>
      <c r="AX640" s="251"/>
      <c r="AY640" s="251"/>
      <c r="AZ640" s="251"/>
      <c r="BA640" s="251"/>
      <c r="BB640" s="251"/>
      <c r="BC640" s="251"/>
      <c r="BD640" s="251"/>
      <c r="BE640" s="251"/>
      <c r="BF640" s="251"/>
      <c r="BG640" s="251"/>
      <c r="BH640" s="251"/>
      <c r="BI640" s="251"/>
      <c r="BJ640" s="251"/>
      <c r="BK640" s="252"/>
      <c r="BL640" s="252"/>
      <c r="BM640" s="252"/>
      <c r="BN640" s="252"/>
      <c r="BO640" s="251"/>
      <c r="BP640" s="251"/>
      <c r="BQ640" s="252">
        <v>2022</v>
      </c>
      <c r="BR640" s="228"/>
      <c r="BS640" s="251"/>
      <c r="BT640" s="228"/>
      <c r="BU640" s="228"/>
      <c r="BV640" s="243"/>
      <c r="BW640" s="243"/>
      <c r="BX640" s="243"/>
      <c r="BY640" s="253"/>
      <c r="BZ640" s="253"/>
      <c r="CA640" s="252"/>
      <c r="CB640" s="252"/>
      <c r="CC640" s="252"/>
      <c r="CD640" s="135"/>
      <c r="CE640" s="252"/>
      <c r="CF640" s="252"/>
      <c r="CG640" s="252"/>
      <c r="CH640" s="252"/>
      <c r="CI640" s="243"/>
      <c r="CJ640" s="252"/>
      <c r="CK640" s="252">
        <f t="shared" si="565"/>
        <v>0</v>
      </c>
      <c r="CL640" s="99"/>
      <c r="CM640" s="85"/>
      <c r="CN640" s="254"/>
      <c r="CO640" s="255"/>
      <c r="CP640" s="256"/>
      <c r="CQ640" s="257"/>
      <c r="CR640" s="252"/>
      <c r="CS640" s="253"/>
      <c r="CT640" s="252"/>
      <c r="CU640" s="252"/>
      <c r="CV640" s="251"/>
      <c r="CW640" s="251"/>
      <c r="CX640" s="245"/>
      <c r="CY640" s="244"/>
      <c r="CZ640" s="247"/>
      <c r="DA640" s="145" t="str">
        <f>AU640</f>
        <v>Газлифт</v>
      </c>
      <c r="DB640" s="258">
        <v>35.4</v>
      </c>
      <c r="DC640" s="256">
        <v>42.3</v>
      </c>
      <c r="DD640" s="259"/>
      <c r="DE640" s="251"/>
      <c r="DF640" s="260"/>
      <c r="DG640" s="251"/>
      <c r="DH640" s="251"/>
      <c r="DI640" s="261" t="s">
        <v>2137</v>
      </c>
      <c r="DJ640" s="111"/>
      <c r="DK640" s="112"/>
      <c r="DL640" s="113"/>
      <c r="DM640" s="114"/>
      <c r="DN640" s="114"/>
      <c r="DO640" s="114"/>
      <c r="DP640" s="114"/>
      <c r="DQ640" s="112"/>
      <c r="DR640" s="114"/>
      <c r="DS640" s="114"/>
      <c r="DT640" s="115"/>
      <c r="DU640" s="116"/>
      <c r="DV640" s="117"/>
      <c r="DW640" s="118"/>
      <c r="DX640" s="119"/>
      <c r="DY640" s="115"/>
      <c r="DZ640" s="117"/>
      <c r="EA640" s="120"/>
      <c r="EB640" s="119"/>
      <c r="EC640" s="121"/>
      <c r="ED640" s="122"/>
      <c r="EE640" s="145"/>
      <c r="EF640" s="115"/>
      <c r="EG640" s="115"/>
      <c r="EH640" s="115"/>
      <c r="EI640" s="128"/>
      <c r="EJ640" s="121"/>
      <c r="EK640" s="121"/>
      <c r="EL640" s="149"/>
      <c r="EM640" s="142"/>
      <c r="EN640" s="119"/>
      <c r="EO640" s="115"/>
      <c r="EP640" s="115"/>
      <c r="EQ640" s="115"/>
      <c r="ER640" s="115"/>
      <c r="ES640" s="115"/>
      <c r="ET640" s="150"/>
      <c r="EU640" s="145"/>
      <c r="EV640" s="115"/>
      <c r="EW640" s="115"/>
      <c r="EX640" s="115"/>
      <c r="EY640" s="115"/>
      <c r="EZ640" s="115"/>
      <c r="FA640" s="115"/>
      <c r="FB640" s="149"/>
      <c r="FC640" s="142"/>
      <c r="FD640" s="119"/>
      <c r="FE640" s="121"/>
      <c r="FF640" s="121"/>
      <c r="FG640" s="121"/>
      <c r="FH640" s="121"/>
      <c r="FI640" s="121"/>
      <c r="FJ640" s="144"/>
      <c r="FK640" s="132"/>
      <c r="FL640" s="115"/>
      <c r="FM640" s="115"/>
      <c r="FN640" s="115"/>
      <c r="FO640" s="115"/>
      <c r="FP640" s="115"/>
      <c r="FQ640" s="149"/>
      <c r="FR640" s="142"/>
      <c r="FS640" s="119"/>
      <c r="FT640" s="121"/>
      <c r="FU640" s="121"/>
      <c r="FV640" s="121"/>
      <c r="FW640" s="121"/>
      <c r="FX640" s="121"/>
      <c r="FY640" s="144"/>
      <c r="FZ640" s="145"/>
      <c r="GA640" s="151"/>
      <c r="GB640" s="145"/>
      <c r="GC640" s="151"/>
      <c r="GD640" s="997" t="s">
        <v>202</v>
      </c>
      <c r="GE640" s="1004"/>
      <c r="GF640" s="1004"/>
      <c r="GG640" s="1004"/>
      <c r="GH640" s="1004"/>
      <c r="GI640" s="145"/>
      <c r="GJ640" s="996"/>
      <c r="GK640" s="145"/>
      <c r="GL640" s="996"/>
      <c r="GM640" s="1005"/>
      <c r="GN640" s="996"/>
      <c r="GO640" s="1006"/>
      <c r="GP640" s="996"/>
      <c r="GQ640" s="1006"/>
      <c r="GR640" s="996"/>
      <c r="GS640" s="1006"/>
      <c r="GT640" s="996"/>
      <c r="GU640" s="1006"/>
      <c r="GV640" s="996"/>
      <c r="GW640" s="1006"/>
      <c r="GX640" s="996"/>
      <c r="GY640" s="1006"/>
      <c r="GZ640" s="996"/>
      <c r="HA640" s="1006"/>
      <c r="HB640" s="996"/>
      <c r="HC640" s="1006"/>
      <c r="HD640" s="996"/>
      <c r="HE640" s="1006"/>
      <c r="HF640" s="996"/>
      <c r="HG640" s="1006"/>
      <c r="HH640" s="996"/>
      <c r="HI640" s="1006"/>
      <c r="HJ640" s="996"/>
      <c r="HK640" s="1006"/>
      <c r="HL640" s="996"/>
      <c r="HM640" s="1006"/>
      <c r="HN640" s="996"/>
      <c r="HO640" s="1006"/>
      <c r="HP640" s="996"/>
      <c r="HQ640" s="1006"/>
      <c r="HR640" s="996"/>
      <c r="HS640" s="1006"/>
      <c r="HT640" s="996"/>
      <c r="HU640" s="1006"/>
      <c r="HV640" s="996"/>
      <c r="HW640" s="1006"/>
      <c r="HX640" s="996"/>
      <c r="HY640" s="1006"/>
      <c r="HZ640" s="996"/>
      <c r="IA640" s="1006"/>
      <c r="IB640" s="996"/>
      <c r="IC640" s="1006"/>
      <c r="ID640" s="996"/>
      <c r="IE640" s="1006"/>
      <c r="IF640" s="996"/>
      <c r="IG640" s="1006"/>
      <c r="IH640" s="996"/>
      <c r="II640" s="1006"/>
      <c r="IJ640" s="996"/>
      <c r="IK640" s="1006"/>
      <c r="IL640" s="996"/>
      <c r="IM640" s="1006"/>
      <c r="IN640" s="996"/>
      <c r="IO640" s="1006"/>
      <c r="IP640" s="996"/>
      <c r="IQ640" s="1006"/>
      <c r="IR640" s="996"/>
      <c r="IS640" s="1006"/>
      <c r="IT640" s="996"/>
      <c r="IU640" s="1006"/>
      <c r="IV640" s="996"/>
      <c r="IW640" s="1006"/>
      <c r="IX640" s="996"/>
      <c r="IY640" s="1006"/>
      <c r="IZ640" s="996"/>
      <c r="JA640" s="1006"/>
      <c r="JB640" s="996"/>
      <c r="JC640" s="1006"/>
      <c r="JD640" s="996"/>
      <c r="JE640" s="1006"/>
      <c r="JF640" s="996"/>
      <c r="JG640" s="1006"/>
      <c r="JH640" s="996"/>
      <c r="JI640" s="1006"/>
      <c r="JJ640" s="996"/>
      <c r="JK640" s="1007"/>
      <c r="JL640" s="1007"/>
      <c r="JM640" s="1007"/>
      <c r="JN640" s="1007"/>
      <c r="JO640" s="1067"/>
      <c r="JP640" s="1007"/>
      <c r="JQ640" s="1008"/>
      <c r="JR640" s="1007"/>
      <c r="JS640" s="1008"/>
      <c r="JT640" s="1007"/>
      <c r="JU640" s="1008"/>
      <c r="JV640" s="1007"/>
      <c r="JW640" s="1008"/>
      <c r="JX640" s="1007"/>
      <c r="JY640" s="1008"/>
      <c r="JZ640" s="1007"/>
      <c r="KA640" s="1008"/>
      <c r="KB640" s="1007"/>
      <c r="KC640" s="1008"/>
      <c r="KD640" s="1007"/>
      <c r="KE640" s="1008"/>
      <c r="KF640" s="1007"/>
      <c r="KG640" s="1008"/>
      <c r="KH640" s="1007"/>
      <c r="KI640" s="1008"/>
      <c r="KJ640" s="1007"/>
      <c r="KK640" s="1008"/>
      <c r="KL640" s="1007"/>
      <c r="KM640" s="1008"/>
      <c r="KN640" s="1007"/>
      <c r="KO640" s="1008"/>
      <c r="KP640" s="1007"/>
      <c r="KQ640" s="1008"/>
      <c r="KR640" s="1007"/>
      <c r="KS640" s="1008"/>
      <c r="KT640" s="1007"/>
      <c r="KU640" s="1008"/>
      <c r="KV640" s="1007"/>
      <c r="KW640" s="1008"/>
      <c r="KX640" s="1007"/>
      <c r="KY640" s="1008"/>
      <c r="KZ640" s="1007"/>
      <c r="LA640" s="1008"/>
      <c r="LB640" s="1007"/>
      <c r="LC640" s="1008"/>
      <c r="LD640" s="1007"/>
      <c r="LE640" s="1008"/>
      <c r="LF640" s="1007"/>
      <c r="LG640" s="1008"/>
      <c r="LH640" s="1007"/>
      <c r="LI640" s="1008"/>
      <c r="LJ640" s="1007"/>
      <c r="LK640" s="1008"/>
      <c r="LL640" s="1007"/>
      <c r="LM640" s="1008"/>
      <c r="LN640" s="1007"/>
      <c r="LO640" s="1008"/>
      <c r="LP640" s="1007"/>
      <c r="LQ640" s="1008"/>
      <c r="LR640" s="1007"/>
      <c r="LS640" s="1008"/>
      <c r="LT640" s="1007"/>
      <c r="LU640" s="1008"/>
      <c r="LV640" s="1007"/>
      <c r="LW640" s="1008"/>
      <c r="LX640" s="1007"/>
      <c r="LY640" s="1009"/>
      <c r="LZ640" s="1010"/>
      <c r="MA640" s="1011"/>
      <c r="MB640" s="1012"/>
      <c r="MC640" s="995"/>
      <c r="MD640" s="996"/>
      <c r="ME640" s="997"/>
      <c r="MF640" s="997"/>
      <c r="MG640" s="998"/>
      <c r="NR640" s="1000"/>
      <c r="NS640" s="1000"/>
      <c r="NT640" s="1001"/>
      <c r="NU640" s="1000"/>
      <c r="NV640" s="1001"/>
      <c r="NX640" s="1002"/>
      <c r="NZ640" s="1001"/>
      <c r="OA640" s="1001"/>
      <c r="OC640" s="1003"/>
      <c r="OD640" s="1003"/>
      <c r="OE640" s="1001"/>
      <c r="OF640" s="1003"/>
      <c r="OG640" s="1003"/>
      <c r="QX640" s="1000"/>
    </row>
    <row r="641" spans="1:466" s="1029" customFormat="1" ht="21" customHeight="1" thickBot="1" x14ac:dyDescent="0.3">
      <c r="A641" s="982">
        <f t="shared" si="503"/>
        <v>20020</v>
      </c>
      <c r="B641" s="262">
        <f>SUBTOTAL(103,$J$29:J641)</f>
        <v>613</v>
      </c>
      <c r="C641" s="126">
        <v>45096</v>
      </c>
      <c r="D641" s="262" t="s">
        <v>176</v>
      </c>
      <c r="E641" s="263" t="s">
        <v>177</v>
      </c>
      <c r="F641" s="264" t="s">
        <v>177</v>
      </c>
      <c r="G641" s="263" t="s">
        <v>178</v>
      </c>
      <c r="H641" s="263" t="s">
        <v>421</v>
      </c>
      <c r="I641" s="263" t="s">
        <v>760</v>
      </c>
      <c r="J641" s="265">
        <v>20020</v>
      </c>
      <c r="K641" s="263" t="s">
        <v>182</v>
      </c>
      <c r="L641" s="266">
        <v>44052</v>
      </c>
      <c r="M641" s="263" t="s">
        <v>230</v>
      </c>
      <c r="N641" s="263" t="s">
        <v>1229</v>
      </c>
      <c r="O641" s="263" t="s">
        <v>185</v>
      </c>
      <c r="P641" s="127" t="s">
        <v>292</v>
      </c>
      <c r="Q641" s="85" t="str">
        <f t="shared" si="523"/>
        <v/>
      </c>
      <c r="R641" s="130"/>
      <c r="S641" s="128"/>
      <c r="T641" s="131"/>
      <c r="U641" s="169">
        <v>203</v>
      </c>
      <c r="V641" s="139">
        <v>218.2</v>
      </c>
      <c r="W641" s="165">
        <v>0.98</v>
      </c>
      <c r="X641" s="165">
        <v>1.66</v>
      </c>
      <c r="Y641" s="267">
        <v>88</v>
      </c>
      <c r="Z641" s="267">
        <v>43</v>
      </c>
      <c r="AA641" s="164">
        <v>0.83599999999999997</v>
      </c>
      <c r="AB641" s="164">
        <v>0.72</v>
      </c>
      <c r="AC641" s="139">
        <v>34.299999999999997</v>
      </c>
      <c r="AD641" s="193">
        <v>1.17</v>
      </c>
      <c r="AE641" s="268">
        <v>177.8</v>
      </c>
      <c r="AF641" s="80">
        <v>9.19</v>
      </c>
      <c r="AG641" s="269">
        <v>2298</v>
      </c>
      <c r="AH641" s="267">
        <v>3320</v>
      </c>
      <c r="AI641" s="267">
        <v>3320</v>
      </c>
      <c r="AJ641" s="270"/>
      <c r="AK641" s="264"/>
      <c r="AL641" s="271"/>
      <c r="AM641" s="262" t="s">
        <v>232</v>
      </c>
      <c r="AN641" s="272" t="s">
        <v>2138</v>
      </c>
      <c r="AO641" s="273">
        <v>88</v>
      </c>
      <c r="AP641" s="264">
        <v>2297</v>
      </c>
      <c r="AQ641" s="264">
        <v>399</v>
      </c>
      <c r="AR641" s="264"/>
      <c r="AS641" s="264"/>
      <c r="AT641" s="274"/>
      <c r="AU641" s="262" t="s">
        <v>189</v>
      </c>
      <c r="AV641" s="269">
        <f>VLOOKUP(J641,'[63]ТР нефть'!$J$28:$BP$638,39,0)</f>
        <v>621.00001113300004</v>
      </c>
      <c r="AW641" s="269" t="str">
        <f>VLOOKUP(J641,'[63]ТР нефть'!$J$28:$BP$638,40,0)</f>
        <v>ГП</v>
      </c>
      <c r="AX641" s="269">
        <f>VLOOKUP(J641,'[63]ТР нефть'!$J$28:$BP$638,41,0)</f>
        <v>1205.0000109380001</v>
      </c>
      <c r="AY641" s="269" t="str">
        <f>VLOOKUP(J641,'[63]ТР нефть'!$J$28:$BP$638,42,0)</f>
        <v>ГП</v>
      </c>
      <c r="AZ641" s="269">
        <f>VLOOKUP(J641,'[63]ТР нефть'!$J$28:$BP$638,43,0)</f>
        <v>1686.9999855470001</v>
      </c>
      <c r="BA641" s="269" t="str">
        <f>VLOOKUP(J641,'[63]ТР нефть'!$J$28:$BP$638,44,0)</f>
        <v>ГП</v>
      </c>
      <c r="BB641" s="269">
        <f>VLOOKUP(J641,'[63]ТР нефть'!$J$28:$BP$638,45,0)</f>
        <v>1990.000058203</v>
      </c>
      <c r="BC641" s="269" t="str">
        <f>VLOOKUP(J641,'[63]ТР нефть'!$J$28:$BP$638,46,0)</f>
        <v>ЦКсОК 5/16</v>
      </c>
      <c r="BD641" s="269" t="str">
        <f>VLOOKUP(J641,'[63]ТР нефть'!$J$28:$BP$638,47,0)</f>
        <v>-</v>
      </c>
      <c r="BE641" s="269" t="str">
        <f>VLOOKUP(J641,'[63]ТР нефть'!$J$28:$BP$638,48,0)</f>
        <v>-</v>
      </c>
      <c r="BF641" s="269" t="str">
        <f>VLOOKUP(J641,'[63]ТР нефть'!$J$28:$BP$638,49,0)</f>
        <v>-</v>
      </c>
      <c r="BG641" s="269" t="str">
        <f>VLOOKUP(J641,'[63]ТР нефть'!$J$28:$BP$638,50,0)</f>
        <v>-</v>
      </c>
      <c r="BH641" s="269">
        <f>VLOOKUP(J641,'[63]ТР нефть'!$J$28:$BP$638,51,0)</f>
        <v>2000</v>
      </c>
      <c r="BI641" s="269" t="str">
        <f>VLOOKUP(J641,'[63]ТР нефть'!$J$28:$BP$638,52,0)</f>
        <v>закрыт</v>
      </c>
      <c r="BJ641" s="269" t="str">
        <f>IF(IFERROR(VLOOKUP(J641,'[63]ТР нефть'!$J$28:$BP$638,53,0),"-")=0,"-",IFERROR(VLOOKUP(J641,'[63]ТР нефть'!$J$28:$BP$638,53,0),"-"))</f>
        <v>-</v>
      </c>
      <c r="BK641" s="267" t="str">
        <f>IF(IFERROR(VLOOKUP(J641,'[63]ТР нефть'!$J$28:$BP$638,54,0),"-")=0,"-",IFERROR(VLOOKUP(J641,'[63]ТР нефть'!$J$28:$BP$638,54,0),"-"))</f>
        <v>-</v>
      </c>
      <c r="BL641" s="267" t="str">
        <f>IF(IFERROR(VLOOKUP(J641,'[63]ТР нефть'!$J$28:$BP$638,55,0),"-")=0,"-",IFERROR(VLOOKUP(J641,'[63]ТР нефть'!$J$28:$BP$638,55,0),"-"))</f>
        <v>-</v>
      </c>
      <c r="BM641" s="267" t="str">
        <f>IF(IFERROR(VLOOKUP(J641,'[63]ТР нефть'!$J$28:$BP$638,56,0),"-")=0,"-",IFERROR(VLOOKUP(J641,'[63]ТР нефть'!$J$28:$BP$638,56,0),"-"))</f>
        <v>-</v>
      </c>
      <c r="BN641" s="267" t="str">
        <f>IF(IFERROR(VLOOKUP(J641,'[63]ТР нефть'!$J$28:$BP$638,57,0),"-")=0,"-",IFERROR(VLOOKUP(J641,'[63]ТР нефть'!$J$28:$BP$638,57,0),"-"))</f>
        <v>-</v>
      </c>
      <c r="BO641" s="269" t="str">
        <f>IF(IFERROR(VLOOKUP(J641,'[63]ТР нефть'!$J$28:$BP$638,58,0),"-")=0,"-",IFERROR(VLOOKUP(J641,'[63]ТР нефть'!$J$28:$BP$638,58,0),"-"))</f>
        <v>-</v>
      </c>
      <c r="BP641" s="269" t="str">
        <f>IF(IFERROR(VLOOKUP(J641,'[63]ТР нефть'!$J$28:$BP$638,59,0),"-")=0,"-",IFERROR(VLOOKUP(J641,'[63]ТР нефть'!$J$28:$BP$638,59,0),"-"))</f>
        <v>-</v>
      </c>
      <c r="BQ641" s="267">
        <v>2297</v>
      </c>
      <c r="BR641" s="269">
        <v>1894.01</v>
      </c>
      <c r="BS641" s="264">
        <f>BQ641-BR641</f>
        <v>402.99</v>
      </c>
      <c r="BT641" s="264">
        <v>88.9</v>
      </c>
      <c r="BU641" s="264">
        <v>7.34</v>
      </c>
      <c r="BV641" s="263">
        <v>18</v>
      </c>
      <c r="BW641" s="263" t="s">
        <v>234</v>
      </c>
      <c r="BX641" s="67" t="s">
        <v>218</v>
      </c>
      <c r="BY641" s="275">
        <v>24</v>
      </c>
      <c r="BZ641" s="267">
        <v>720</v>
      </c>
      <c r="CA641" s="269">
        <v>20</v>
      </c>
      <c r="CB641" s="269">
        <v>56</v>
      </c>
      <c r="CC641" s="269">
        <v>19</v>
      </c>
      <c r="CD641" s="276">
        <f>CD635</f>
        <v>45017</v>
      </c>
      <c r="CE641" s="267">
        <v>107.3</v>
      </c>
      <c r="CF641" s="267">
        <v>81</v>
      </c>
      <c r="CG641" s="267"/>
      <c r="CH641" s="267"/>
      <c r="CI641" s="267"/>
      <c r="CJ641" s="267"/>
      <c r="CK641" s="267"/>
      <c r="CL641" s="267"/>
      <c r="CM641" s="267"/>
      <c r="CN641" s="277">
        <v>45</v>
      </c>
      <c r="CO641" s="278">
        <f t="shared" si="504"/>
        <v>0.83385983999999991</v>
      </c>
      <c r="CP641" s="279">
        <v>1</v>
      </c>
      <c r="CQ641" s="280">
        <v>0.25600000000000001</v>
      </c>
      <c r="CR641" s="267">
        <v>3</v>
      </c>
      <c r="CS641" s="275">
        <v>2</v>
      </c>
      <c r="CT641" s="275">
        <v>0.25600000000000001</v>
      </c>
      <c r="CU641" s="267">
        <f t="shared" si="546"/>
        <v>1</v>
      </c>
      <c r="CV641" s="269">
        <f t="shared" si="539"/>
        <v>1199.2423091151627</v>
      </c>
      <c r="CW641" s="269">
        <f t="shared" si="505"/>
        <v>2389.98790092525</v>
      </c>
      <c r="CX641" s="281">
        <f t="shared" si="540"/>
        <v>1.605136436597111E-2</v>
      </c>
      <c r="CY641" s="270"/>
      <c r="CZ641" s="271"/>
      <c r="DA641" s="282" t="str">
        <f t="shared" si="555"/>
        <v>Газлифт</v>
      </c>
      <c r="DB641" s="283">
        <f t="shared" si="541"/>
        <v>0.83385983999999991</v>
      </c>
      <c r="DC641" s="279">
        <f t="shared" si="542"/>
        <v>1</v>
      </c>
      <c r="DD641" s="284">
        <f t="shared" si="543"/>
        <v>0.25600000000000001</v>
      </c>
      <c r="DE641" s="269">
        <f t="shared" si="544"/>
        <v>1</v>
      </c>
      <c r="DF641" s="285">
        <f t="shared" si="545"/>
        <v>2</v>
      </c>
      <c r="DG641" s="269">
        <f t="shared" si="506"/>
        <v>1199.2423091151627</v>
      </c>
      <c r="DH641" s="269">
        <f t="shared" si="547"/>
        <v>45</v>
      </c>
      <c r="DI641" s="286"/>
      <c r="DJ641" s="111" t="s">
        <v>197</v>
      </c>
      <c r="DK641" s="112">
        <v>44052</v>
      </c>
      <c r="DL641" s="113">
        <f ca="1">TODAY()-DK641</f>
        <v>1052</v>
      </c>
      <c r="DM641" s="114"/>
      <c r="DN641" s="114"/>
      <c r="DO641" s="114"/>
      <c r="DP641" s="114"/>
      <c r="DQ641" s="112">
        <v>44052</v>
      </c>
      <c r="DR641" s="114" t="s">
        <v>324</v>
      </c>
      <c r="DS641" s="114"/>
      <c r="DT641" s="115">
        <v>51</v>
      </c>
      <c r="DU641" s="116">
        <f t="shared" si="558"/>
        <v>1.7761989342806397E-2</v>
      </c>
      <c r="DV641" s="117">
        <f t="shared" si="559"/>
        <v>0.83385983999999991</v>
      </c>
      <c r="DW641" s="118">
        <f t="shared" si="560"/>
        <v>1</v>
      </c>
      <c r="DX641" s="119">
        <f t="shared" si="556"/>
        <v>0.25600000000000001</v>
      </c>
      <c r="DY641" s="115">
        <f t="shared" si="561"/>
        <v>1</v>
      </c>
      <c r="DZ641" s="117">
        <f t="shared" si="562"/>
        <v>0</v>
      </c>
      <c r="EA641" s="120">
        <f t="shared" si="562"/>
        <v>0</v>
      </c>
      <c r="EB641" s="119">
        <f t="shared" si="557"/>
        <v>0</v>
      </c>
      <c r="EC641" s="121">
        <f t="shared" si="563"/>
        <v>0</v>
      </c>
      <c r="ED641" s="122"/>
      <c r="EE641" s="145">
        <v>18</v>
      </c>
      <c r="EF641" s="115">
        <v>86</v>
      </c>
      <c r="EG641" s="115">
        <v>88</v>
      </c>
      <c r="EH641" s="115">
        <v>18</v>
      </c>
      <c r="EI641" s="128" t="s">
        <v>218</v>
      </c>
      <c r="EJ641" s="121">
        <v>24</v>
      </c>
      <c r="EK641" s="115">
        <v>720</v>
      </c>
      <c r="EL641" s="149">
        <v>0.58370188799999989</v>
      </c>
      <c r="EM641" s="142">
        <v>0.7</v>
      </c>
      <c r="EN641" s="119">
        <v>0.25600000000000001</v>
      </c>
      <c r="EO641" s="115">
        <v>0.25600000000000001</v>
      </c>
      <c r="EP641" s="115">
        <v>438.58004447640241</v>
      </c>
      <c r="EQ641" s="115">
        <v>0</v>
      </c>
      <c r="ER641" s="115">
        <v>0</v>
      </c>
      <c r="ES641" s="115">
        <v>43</v>
      </c>
      <c r="ET641" s="150">
        <v>6.2499999999999995E-3</v>
      </c>
      <c r="EU641" s="145">
        <v>18</v>
      </c>
      <c r="EV641" s="115">
        <v>86</v>
      </c>
      <c r="EW641" s="115">
        <v>88</v>
      </c>
      <c r="EX641" s="115">
        <v>18</v>
      </c>
      <c r="EY641" s="115" t="s">
        <v>218</v>
      </c>
      <c r="EZ641" s="115">
        <v>24</v>
      </c>
      <c r="FA641" s="115">
        <v>720</v>
      </c>
      <c r="FB641" s="149">
        <v>0.58370188799999989</v>
      </c>
      <c r="FC641" s="142">
        <v>0.7</v>
      </c>
      <c r="FD641" s="119">
        <v>0.25600000000000001</v>
      </c>
      <c r="FE641" s="121">
        <v>0.25600000000000001</v>
      </c>
      <c r="FF641" s="121">
        <v>438.58004447640241</v>
      </c>
      <c r="FG641" s="115">
        <v>0</v>
      </c>
      <c r="FH641" s="121">
        <v>0</v>
      </c>
      <c r="FI641" s="121">
        <v>43</v>
      </c>
      <c r="FJ641" s="144">
        <v>6.2499999999999995E-3</v>
      </c>
      <c r="FK641" s="132">
        <f t="shared" si="534"/>
        <v>0</v>
      </c>
      <c r="FL641" s="115">
        <f t="shared" si="534"/>
        <v>0</v>
      </c>
      <c r="FM641" s="115">
        <f t="shared" si="534"/>
        <v>0</v>
      </c>
      <c r="FN641" s="115">
        <f t="shared" si="534"/>
        <v>0</v>
      </c>
      <c r="FO641" s="115">
        <f t="shared" si="536"/>
        <v>0</v>
      </c>
      <c r="FP641" s="115">
        <f t="shared" si="536"/>
        <v>0</v>
      </c>
      <c r="FQ641" s="149">
        <f t="shared" si="536"/>
        <v>0</v>
      </c>
      <c r="FR641" s="142">
        <f t="shared" si="536"/>
        <v>0</v>
      </c>
      <c r="FS641" s="119">
        <f t="shared" si="536"/>
        <v>0</v>
      </c>
      <c r="FT641" s="121">
        <f t="shared" si="536"/>
        <v>0</v>
      </c>
      <c r="FU641" s="121">
        <f t="shared" si="537"/>
        <v>0</v>
      </c>
      <c r="FV641" s="121">
        <f t="shared" si="537"/>
        <v>0</v>
      </c>
      <c r="FW641" s="121">
        <f t="shared" si="554"/>
        <v>0</v>
      </c>
      <c r="FX641" s="121">
        <f t="shared" si="538"/>
        <v>0</v>
      </c>
      <c r="FY641" s="144">
        <f t="shared" si="538"/>
        <v>0</v>
      </c>
      <c r="FZ641" s="145"/>
      <c r="GA641" s="151" t="s">
        <v>292</v>
      </c>
      <c r="GB641" s="145"/>
      <c r="GC641" s="151" t="s">
        <v>2139</v>
      </c>
      <c r="GD641" s="997" t="s">
        <v>238</v>
      </c>
      <c r="GE641" s="1004"/>
      <c r="GF641" s="1004">
        <v>0</v>
      </c>
      <c r="GG641" s="1004"/>
      <c r="GH641" s="1004">
        <v>0</v>
      </c>
      <c r="GI641" s="145"/>
      <c r="GJ641" s="996">
        <v>0</v>
      </c>
      <c r="GK641" s="145"/>
      <c r="GL641" s="996">
        <v>0</v>
      </c>
      <c r="GM641" s="1005"/>
      <c r="GN641" s="996">
        <v>0</v>
      </c>
      <c r="GO641" s="1006"/>
      <c r="GP641" s="996">
        <v>0</v>
      </c>
      <c r="GQ641" s="1006"/>
      <c r="GR641" s="996">
        <v>0</v>
      </c>
      <c r="GS641" s="1006"/>
      <c r="GT641" s="996">
        <v>0</v>
      </c>
      <c r="GU641" s="1006"/>
      <c r="GV641" s="996">
        <v>0</v>
      </c>
      <c r="GW641" s="1006"/>
      <c r="GX641" s="997">
        <v>0</v>
      </c>
      <c r="GY641" s="1006"/>
      <c r="GZ641" s="996">
        <v>0</v>
      </c>
      <c r="HA641" s="1006"/>
      <c r="HB641" s="996">
        <v>-0.90643734719999991</v>
      </c>
      <c r="HC641" s="1006"/>
      <c r="HD641" s="996">
        <v>0</v>
      </c>
      <c r="HE641" s="1006"/>
      <c r="HF641" s="996">
        <v>0</v>
      </c>
      <c r="HG641" s="1006"/>
      <c r="HH641" s="996">
        <v>0</v>
      </c>
      <c r="HI641" s="1006"/>
      <c r="HJ641" s="996">
        <v>0</v>
      </c>
      <c r="HK641" s="1006"/>
      <c r="HL641" s="996">
        <v>0.40333923519999981</v>
      </c>
      <c r="HM641" s="1006"/>
      <c r="HN641" s="996">
        <v>-0.83599999999999985</v>
      </c>
      <c r="HO641" s="1006"/>
      <c r="HP641" s="996">
        <v>0</v>
      </c>
      <c r="HQ641" s="1006"/>
      <c r="HR641" s="996">
        <v>0</v>
      </c>
      <c r="HS641" s="1006"/>
      <c r="HT641" s="996">
        <v>-0.82220599999999977</v>
      </c>
      <c r="HU641" s="1006" t="s">
        <v>204</v>
      </c>
      <c r="HV641" s="996">
        <v>1.8306963751999996</v>
      </c>
      <c r="HW641" s="1006"/>
      <c r="HX641" s="996">
        <v>0</v>
      </c>
      <c r="HY641" s="1006" t="s">
        <v>199</v>
      </c>
      <c r="HZ641" s="996">
        <v>0.9143096248</v>
      </c>
      <c r="IA641" s="1006"/>
      <c r="IB641" s="996">
        <v>0</v>
      </c>
      <c r="IC641" s="1006"/>
      <c r="ID641" s="996">
        <v>0</v>
      </c>
      <c r="IE641" s="1006"/>
      <c r="IF641" s="996">
        <v>0</v>
      </c>
      <c r="IG641" s="1006"/>
      <c r="IH641" s="996">
        <v>0</v>
      </c>
      <c r="II641" s="1006"/>
      <c r="IJ641" s="996">
        <v>0</v>
      </c>
      <c r="IK641" s="1006"/>
      <c r="IL641" s="996">
        <v>0</v>
      </c>
      <c r="IM641" s="1006"/>
      <c r="IN641" s="996">
        <v>0</v>
      </c>
      <c r="IO641" s="1006" t="s">
        <v>203</v>
      </c>
      <c r="IP641" s="996">
        <v>-8.6525999999999996</v>
      </c>
      <c r="IQ641" s="1006" t="s">
        <v>25</v>
      </c>
      <c r="IR641" s="996">
        <v>10.032</v>
      </c>
      <c r="IS641" s="1006"/>
      <c r="IT641" s="996" t="e">
        <v>#VALUE!</v>
      </c>
      <c r="IU641" s="1006"/>
      <c r="IV641" s="996" t="e">
        <v>#VALUE!</v>
      </c>
      <c r="IW641" s="1006">
        <v>0</v>
      </c>
      <c r="IX641" s="996">
        <v>0</v>
      </c>
      <c r="IY641" s="1006"/>
      <c r="IZ641" s="996"/>
      <c r="JA641" s="1006"/>
      <c r="JB641" s="996"/>
      <c r="JC641" s="1006"/>
      <c r="JD641" s="996"/>
      <c r="JE641" s="1006"/>
      <c r="JF641" s="996"/>
      <c r="JG641" s="1006"/>
      <c r="JH641" s="996"/>
      <c r="JI641" s="1006"/>
      <c r="JJ641" s="996"/>
      <c r="JK641" s="1007"/>
      <c r="JL641" s="1007"/>
      <c r="JM641" s="1007"/>
      <c r="JN641" s="1007"/>
      <c r="JO641" s="1067"/>
      <c r="JP641" s="1007"/>
      <c r="JQ641" s="1008"/>
      <c r="JR641" s="1007"/>
      <c r="JS641" s="1008"/>
      <c r="JT641" s="1007"/>
      <c r="JU641" s="1008"/>
      <c r="JV641" s="1007"/>
      <c r="JW641" s="1008"/>
      <c r="JX641" s="1007"/>
      <c r="JY641" s="1008"/>
      <c r="JZ641" s="1007"/>
      <c r="KA641" s="1008"/>
      <c r="KB641" s="1007"/>
      <c r="KC641" s="1008"/>
      <c r="KD641" s="1007"/>
      <c r="KE641" s="1008"/>
      <c r="KF641" s="1007"/>
      <c r="KG641" s="1008"/>
      <c r="KH641" s="1007"/>
      <c r="KI641" s="1008"/>
      <c r="KJ641" s="1007"/>
      <c r="KK641" s="1008"/>
      <c r="KL641" s="1007"/>
      <c r="KM641" s="1008"/>
      <c r="KN641" s="1007"/>
      <c r="KO641" s="1008"/>
      <c r="KP641" s="1007"/>
      <c r="KQ641" s="1008"/>
      <c r="KR641" s="1007"/>
      <c r="KS641" s="1008"/>
      <c r="KT641" s="1007"/>
      <c r="KU641" s="1008"/>
      <c r="KV641" s="1007"/>
      <c r="KW641" s="1008"/>
      <c r="KX641" s="1007"/>
      <c r="KY641" s="1008"/>
      <c r="KZ641" s="1007"/>
      <c r="LA641" s="1008"/>
      <c r="LB641" s="1007"/>
      <c r="LC641" s="1008"/>
      <c r="LD641" s="1007"/>
      <c r="LE641" s="1008"/>
      <c r="LF641" s="1007"/>
      <c r="LG641" s="1008"/>
      <c r="LH641" s="1007"/>
      <c r="LI641" s="1008"/>
      <c r="LJ641" s="1007"/>
      <c r="LK641" s="1008"/>
      <c r="LL641" s="1007"/>
      <c r="LM641" s="1008"/>
      <c r="LN641" s="1007"/>
      <c r="LO641" s="1008"/>
      <c r="LP641" s="1007"/>
      <c r="LQ641" s="1008"/>
      <c r="LR641" s="1007"/>
      <c r="LS641" s="1008"/>
      <c r="LT641" s="1007"/>
      <c r="LU641" s="1008"/>
      <c r="LV641" s="1007"/>
      <c r="LW641" s="1008"/>
      <c r="LX641" s="1007"/>
      <c r="LY641" s="1009"/>
      <c r="LZ641" s="1010"/>
      <c r="MA641" s="1011"/>
      <c r="MB641" s="1012"/>
      <c r="MC641" s="995"/>
      <c r="MD641" s="996"/>
      <c r="ME641" s="997" t="s">
        <v>238</v>
      </c>
      <c r="MF641" s="997"/>
      <c r="MG641" s="998"/>
      <c r="MH641" s="878"/>
      <c r="MI641" s="878"/>
      <c r="MJ641" s="878"/>
      <c r="MK641" s="878"/>
      <c r="ML641" s="878"/>
      <c r="MM641" s="878"/>
      <c r="MN641" s="878"/>
      <c r="MO641" s="878"/>
      <c r="MP641" s="878"/>
      <c r="MQ641" s="878"/>
      <c r="MR641" s="878"/>
      <c r="MS641" s="878"/>
      <c r="MT641" s="878"/>
      <c r="MU641" s="878"/>
      <c r="MV641" s="878"/>
      <c r="MW641" s="878"/>
      <c r="MX641" s="878"/>
      <c r="MY641" s="878"/>
      <c r="MZ641" s="878"/>
      <c r="NA641" s="878"/>
      <c r="NB641" s="878"/>
      <c r="NC641" s="878"/>
      <c r="ND641" s="878"/>
      <c r="NE641" s="878"/>
      <c r="NF641" s="878"/>
      <c r="NG641" s="878"/>
      <c r="NH641" s="878"/>
      <c r="NI641" s="878"/>
      <c r="NJ641" s="878"/>
      <c r="NK641" s="878"/>
      <c r="NL641" s="878"/>
      <c r="NM641" s="878"/>
      <c r="NR641" s="1027"/>
      <c r="NS641" s="1027"/>
      <c r="NT641" s="1028"/>
      <c r="NU641" s="1027"/>
      <c r="NV641" s="1028"/>
      <c r="NX641" s="1030"/>
      <c r="NZ641" s="1028"/>
      <c r="OA641" s="1028"/>
      <c r="OC641" s="1031"/>
      <c r="OD641" s="1031"/>
      <c r="OE641" s="1028"/>
      <c r="OF641" s="1031"/>
      <c r="OG641" s="1031"/>
      <c r="QX641" s="1000">
        <f t="shared" ref="QX641:QX646" si="566">CN641-CA641</f>
        <v>25</v>
      </c>
    </row>
    <row r="642" spans="1:466" ht="21" customHeight="1" thickBot="1" x14ac:dyDescent="0.3">
      <c r="B642" s="1068"/>
      <c r="C642" s="1068"/>
      <c r="D642" s="1068"/>
      <c r="E642" s="1068"/>
      <c r="F642" s="1068"/>
      <c r="G642" s="1068"/>
      <c r="H642" s="1068"/>
      <c r="I642" s="1068"/>
      <c r="J642" s="1069"/>
      <c r="K642" s="1068"/>
      <c r="L642" s="1068"/>
      <c r="M642" s="1068"/>
      <c r="N642" s="1068"/>
      <c r="O642" s="1068"/>
      <c r="P642" s="1068"/>
      <c r="Q642" s="1068"/>
      <c r="R642" s="1068"/>
      <c r="S642" s="1068"/>
      <c r="T642" s="1068"/>
      <c r="U642" s="1068"/>
      <c r="V642" s="1068"/>
      <c r="W642" s="1068"/>
      <c r="X642" s="1068"/>
      <c r="Y642" s="1068"/>
      <c r="Z642" s="1068"/>
      <c r="AA642" s="1068"/>
      <c r="AB642" s="1068"/>
      <c r="AC642" s="1068"/>
      <c r="AD642" s="1068"/>
      <c r="AE642" s="1068"/>
      <c r="AF642" s="1068"/>
      <c r="AG642" s="1068"/>
      <c r="AH642" s="1068"/>
      <c r="AI642" s="1068"/>
      <c r="AJ642" s="1068"/>
      <c r="AK642" s="1068"/>
      <c r="AL642" s="1068"/>
      <c r="AM642" s="1068"/>
      <c r="AN642" s="1068"/>
      <c r="AO642" s="1068"/>
      <c r="AP642" s="1068"/>
      <c r="AQ642" s="1068"/>
      <c r="AR642" s="1068"/>
      <c r="AS642" s="1068"/>
      <c r="AT642" s="1068"/>
      <c r="AU642" s="1068"/>
      <c r="AV642" s="1068"/>
      <c r="AW642" s="1068"/>
      <c r="AX642" s="1068"/>
      <c r="AY642" s="1068"/>
      <c r="AZ642" s="1068"/>
      <c r="BA642" s="1068"/>
      <c r="BB642" s="1068"/>
      <c r="BC642" s="1068"/>
      <c r="BD642" s="1068"/>
      <c r="BE642" s="1068"/>
      <c r="BF642" s="1068"/>
      <c r="BG642" s="1068"/>
      <c r="BH642" s="1068"/>
      <c r="BI642" s="1068"/>
      <c r="BJ642" s="1068"/>
      <c r="BK642" s="1068"/>
      <c r="BL642" s="1068"/>
      <c r="BM642" s="1068"/>
      <c r="BN642" s="1068"/>
      <c r="BO642" s="1068"/>
      <c r="BP642" s="1068"/>
      <c r="BQ642" s="1068"/>
      <c r="BR642" s="1068"/>
      <c r="BS642" s="1068"/>
      <c r="BT642" s="1068"/>
      <c r="BU642" s="1068"/>
      <c r="BV642" s="1068"/>
      <c r="BW642" s="1068"/>
      <c r="BX642" s="1068"/>
      <c r="BY642" s="1068"/>
      <c r="BZ642" s="1068"/>
      <c r="CA642" s="1068"/>
      <c r="CB642" s="1068"/>
      <c r="CC642" s="1068"/>
      <c r="CD642" s="1068"/>
      <c r="CE642" s="1068"/>
      <c r="CF642" s="1068"/>
      <c r="CG642" s="1068"/>
      <c r="CH642" s="1068"/>
      <c r="CI642" s="1068"/>
      <c r="CJ642" s="1068"/>
      <c r="CK642" s="1068"/>
      <c r="CL642" s="99"/>
      <c r="CM642" s="1068"/>
      <c r="CN642" s="1070" t="s">
        <v>2140</v>
      </c>
      <c r="CO642" s="1071">
        <f>SUBTOTAL(9,CO29:CO641)</f>
        <v>4980.1307787052974</v>
      </c>
      <c r="CP642" s="1072">
        <f>SUBTOTAL(9,CP29:CP641)</f>
        <v>9296.1988978494574</v>
      </c>
      <c r="CQ642" s="1073">
        <f>(CP642-CO642/0.836)/CP642*100</f>
        <v>35.919032086553543</v>
      </c>
      <c r="CR642" s="1074">
        <f>SUBTOTAL(9,CR29:CR641)</f>
        <v>13717.800688172045</v>
      </c>
      <c r="CS642" s="1074">
        <f>SUBTOTAL(9,CS29:CS641)</f>
        <v>4009.1599999999994</v>
      </c>
      <c r="CT642" s="1074">
        <f>SUBTOTAL(9,CT29:CT641)</f>
        <v>-36.744</v>
      </c>
      <c r="CU642" s="1075">
        <f>SUBTOTAL(9,CU29:CU641)</f>
        <v>9717.3806881720357</v>
      </c>
      <c r="CV642" s="1068"/>
      <c r="CW642" s="1068"/>
      <c r="CX642" s="1068"/>
      <c r="CY642" s="1068"/>
      <c r="CZ642" s="1068"/>
      <c r="DA642" s="1076" t="s">
        <v>2140</v>
      </c>
      <c r="DB642" s="1077">
        <f>SUBTOTAL(9,DB29:DB641)</f>
        <v>5115.3526792958583</v>
      </c>
      <c r="DC642" s="1072">
        <f>SUBTOTAL(9,DC29:DC641)</f>
        <v>9456.5238595719438</v>
      </c>
      <c r="DD642" s="1078">
        <f>(DC642-DB642/0.836)/DC642*100</f>
        <v>35.29500894110803</v>
      </c>
      <c r="DE642" s="1074">
        <f>SUBTOTAL(9,DE29:DE641)</f>
        <v>9796.7806881720371</v>
      </c>
      <c r="DF642" s="1075">
        <f>SUBTOTAL(9,DF29:DF641)</f>
        <v>3994.1599999999994</v>
      </c>
      <c r="DG642" s="1079"/>
      <c r="DH642" s="1079"/>
      <c r="DI642" s="1068"/>
      <c r="DJ642" s="999"/>
      <c r="DK642" s="999"/>
      <c r="DL642" s="999"/>
      <c r="DM642" s="999"/>
      <c r="DN642" s="999"/>
      <c r="DO642" s="999"/>
      <c r="DP642" s="999"/>
      <c r="DQ642" s="999"/>
      <c r="DR642" s="999"/>
      <c r="DS642" s="999"/>
      <c r="DT642" s="999"/>
      <c r="DU642" s="999"/>
      <c r="DV642" s="1080"/>
      <c r="DW642" s="1081"/>
      <c r="DX642" s="1082"/>
      <c r="DY642" s="999"/>
      <c r="DZ642" s="1080"/>
      <c r="EA642" s="1081"/>
      <c r="EB642" s="1082"/>
      <c r="EC642" s="999"/>
      <c r="ED642" s="999"/>
      <c r="EE642" s="999"/>
      <c r="EF642" s="999"/>
      <c r="EG642" s="999"/>
      <c r="EH642" s="999"/>
      <c r="EI642" s="999"/>
      <c r="EJ642" s="999"/>
      <c r="EK642" s="999"/>
      <c r="EL642" s="1083">
        <f>SUBTOTAL(9,EL29:EL641)</f>
        <v>4870.5636383559204</v>
      </c>
      <c r="EM642" s="1074">
        <f>SUBTOTAL(9,EM29:EM641)</f>
        <v>8820.0732311827906</v>
      </c>
      <c r="EN642" s="1078">
        <f>(EM642-EL642/0.836)/EM642*100</f>
        <v>33.945751837560749</v>
      </c>
      <c r="EO642" s="1074">
        <f>SUBTOTAL(9,EO29:EO641)</f>
        <v>14275.192021505371</v>
      </c>
      <c r="EP642" s="1084"/>
      <c r="EQ642" s="1084"/>
      <c r="ER642" s="1075">
        <f>SUBTOTAL(9,ER29:ER641)</f>
        <v>3892.3527483870935</v>
      </c>
      <c r="ES642" s="999"/>
      <c r="ET642" s="999"/>
      <c r="EU642" s="999"/>
      <c r="EV642" s="999"/>
      <c r="EW642" s="999"/>
      <c r="EX642" s="999"/>
      <c r="EY642" s="999"/>
      <c r="EZ642" s="999"/>
      <c r="FA642" s="999"/>
      <c r="FB642" s="1085">
        <f>SUBTOTAL(9,FB29:FB641)</f>
        <v>4979.880620753298</v>
      </c>
      <c r="FC642" s="1074">
        <f>SUBTOTAL(9,FC29:FC641)</f>
        <v>9295.8988978494581</v>
      </c>
      <c r="FD642" s="1078">
        <f>(FC642-FB642/0.836)/FC642*100</f>
        <v>35.920183014478155</v>
      </c>
      <c r="FE642" s="1074">
        <f>SUBTOTAL(9,FE29:FE641)</f>
        <v>13715.056688172044</v>
      </c>
      <c r="FF642" s="1084"/>
      <c r="FG642" s="1084"/>
      <c r="FH642" s="1075">
        <f>SUBTOTAL(9,FH29:FH641)</f>
        <v>4011.9599999999991</v>
      </c>
      <c r="FI642" s="999"/>
      <c r="FJ642" s="999"/>
      <c r="FK642" s="999"/>
      <c r="FL642" s="999"/>
      <c r="FM642" s="999"/>
      <c r="FN642" s="999"/>
      <c r="FO642" s="999"/>
      <c r="FP642" s="999"/>
      <c r="FQ642" s="1086">
        <f>SUBTOTAL(9,FQ29:FQ641)</f>
        <v>109.31698239737339</v>
      </c>
      <c r="FR642" s="1087">
        <f>SUBTOTAL(9,FR29:FR641)</f>
        <v>475.82566666666673</v>
      </c>
      <c r="FS642" s="1078">
        <f>(FR642-FQ642/0.836)/FR642*100</f>
        <v>72.518939219325858</v>
      </c>
      <c r="FT642" s="1074">
        <f>SUBTOTAL(9,FT29:FT641)</f>
        <v>-560.13533333333373</v>
      </c>
      <c r="FU642" s="1084"/>
      <c r="FV642" s="1084"/>
      <c r="FW642" s="1075">
        <f>SUBTOTAL(9,FW29:FW641)</f>
        <v>40143.354141570315</v>
      </c>
      <c r="FX642" s="999"/>
      <c r="FY642" s="999"/>
      <c r="FZ642" s="999"/>
      <c r="GA642" s="999"/>
      <c r="GB642" s="999"/>
      <c r="GC642" s="999"/>
      <c r="GD642" s="999"/>
      <c r="GE642" s="999"/>
      <c r="GF642" s="999"/>
      <c r="GG642" s="999"/>
      <c r="GH642" s="999"/>
      <c r="GI642" s="1029"/>
      <c r="GJ642" s="1029"/>
      <c r="GK642" s="1029"/>
      <c r="GL642" s="1029"/>
      <c r="GM642" s="1029"/>
      <c r="GN642" s="1029"/>
      <c r="GO642" s="1029"/>
      <c r="GP642" s="1029"/>
      <c r="GQ642" s="1029"/>
      <c r="GR642" s="1029"/>
      <c r="GS642" s="1029"/>
      <c r="GT642" s="1029"/>
      <c r="GU642" s="1029"/>
      <c r="GV642" s="1029"/>
      <c r="GW642" s="1029"/>
      <c r="GX642" s="1027"/>
      <c r="GY642" s="1029"/>
      <c r="GZ642" s="1029"/>
      <c r="HA642" s="1029"/>
      <c r="HB642" s="1029"/>
      <c r="HC642" s="1029"/>
      <c r="HD642" s="1029"/>
      <c r="HE642" s="999"/>
      <c r="HF642" s="999"/>
      <c r="HG642" s="999"/>
      <c r="HH642" s="999"/>
      <c r="HI642" s="999"/>
      <c r="HJ642" s="999"/>
      <c r="HK642" s="999"/>
      <c r="HL642" s="999"/>
      <c r="HM642" s="999"/>
      <c r="HN642" s="999"/>
      <c r="HO642" s="999"/>
      <c r="HP642" s="999"/>
      <c r="HQ642" s="999"/>
      <c r="HR642" s="999"/>
      <c r="HS642" s="999"/>
      <c r="HT642" s="999"/>
      <c r="HU642" s="999"/>
      <c r="HV642" s="999"/>
      <c r="HW642" s="999"/>
      <c r="HX642" s="999"/>
      <c r="HY642" s="999"/>
      <c r="HZ642" s="999"/>
      <c r="IA642" s="999"/>
      <c r="IB642" s="999"/>
      <c r="IC642" s="999"/>
      <c r="ID642" s="999"/>
      <c r="IE642" s="999"/>
      <c r="IF642" s="999"/>
      <c r="IG642" s="999"/>
      <c r="IH642" s="999"/>
      <c r="II642" s="999"/>
      <c r="IJ642" s="999"/>
      <c r="IK642" s="999"/>
      <c r="IL642" s="999"/>
      <c r="IM642" s="999"/>
      <c r="IN642" s="999"/>
      <c r="IO642" s="999"/>
      <c r="IP642" s="999"/>
      <c r="IQ642" s="999"/>
      <c r="IR642" s="999"/>
      <c r="IS642" s="999"/>
      <c r="IT642" s="999"/>
      <c r="IU642" s="999"/>
      <c r="IV642" s="999"/>
      <c r="IW642" s="999"/>
      <c r="IX642" s="999"/>
      <c r="IY642" s="999"/>
      <c r="IZ642" s="999"/>
      <c r="JA642" s="999"/>
      <c r="JB642" s="999"/>
      <c r="JC642" s="999"/>
      <c r="JD642" s="999"/>
      <c r="JE642" s="999"/>
      <c r="JF642" s="1088"/>
      <c r="JG642" s="999"/>
      <c r="JH642" s="999"/>
      <c r="JI642" s="999"/>
      <c r="JJ642" s="999"/>
      <c r="JK642" s="999"/>
      <c r="JL642" s="999"/>
      <c r="JM642" s="999"/>
      <c r="JN642" s="999"/>
      <c r="JO642" s="999"/>
      <c r="JP642" s="999"/>
      <c r="JQ642" s="999"/>
      <c r="JR642" s="999"/>
      <c r="JS642" s="999"/>
      <c r="JT642" s="999"/>
      <c r="JU642" s="999"/>
      <c r="JV642" s="999"/>
      <c r="JW642" s="999"/>
      <c r="JX642" s="999"/>
      <c r="JY642" s="999"/>
      <c r="JZ642" s="999"/>
      <c r="KA642" s="999"/>
      <c r="KB642" s="999"/>
      <c r="KC642" s="999"/>
      <c r="KD642" s="999"/>
      <c r="KE642" s="999"/>
      <c r="KF642" s="999"/>
      <c r="KG642" s="999"/>
      <c r="KH642" s="999"/>
      <c r="KI642" s="999"/>
      <c r="KJ642" s="999"/>
      <c r="KK642" s="999"/>
      <c r="KL642" s="999"/>
      <c r="KM642" s="999"/>
      <c r="KN642" s="999"/>
      <c r="KO642" s="999"/>
      <c r="KP642" s="999"/>
      <c r="KQ642" s="999"/>
      <c r="KR642" s="999"/>
      <c r="KS642" s="999"/>
      <c r="KT642" s="999"/>
      <c r="KU642" s="999"/>
      <c r="KV642" s="999"/>
      <c r="KW642" s="999"/>
      <c r="KX642" s="999"/>
      <c r="KY642" s="999"/>
      <c r="KZ642" s="999"/>
      <c r="LA642" s="999"/>
      <c r="LB642" s="999"/>
      <c r="LC642" s="999"/>
      <c r="LD642" s="999"/>
      <c r="LE642" s="999"/>
      <c r="LF642" s="999"/>
      <c r="LG642" s="999"/>
      <c r="LH642" s="999"/>
      <c r="LI642" s="999"/>
      <c r="LJ642" s="999"/>
      <c r="LK642" s="999"/>
      <c r="LL642" s="999"/>
      <c r="LM642" s="999"/>
      <c r="LN642" s="999"/>
      <c r="LO642" s="999"/>
      <c r="LP642" s="999"/>
      <c r="LQ642" s="999"/>
      <c r="LR642" s="999"/>
      <c r="LS642" s="999"/>
      <c r="LT642" s="999"/>
      <c r="LU642" s="999"/>
      <c r="LV642" s="999"/>
      <c r="LW642" s="999"/>
      <c r="LX642" s="999"/>
      <c r="LY642" s="1089"/>
      <c r="LZ642" s="1088"/>
      <c r="MA642" s="999"/>
      <c r="MB642" s="999"/>
      <c r="MC642" s="999"/>
      <c r="MD642" s="999"/>
      <c r="ME642" s="999"/>
      <c r="MF642" s="997"/>
      <c r="QX642" s="1000" t="e">
        <f t="shared" si="566"/>
        <v>#VALUE!</v>
      </c>
    </row>
    <row r="643" spans="1:466" s="1023" customFormat="1" ht="21" customHeight="1" x14ac:dyDescent="0.25">
      <c r="J643" s="1090"/>
      <c r="CN643" s="1091"/>
      <c r="CO643" s="1092"/>
      <c r="CP643" s="1080"/>
      <c r="CQ643" s="1093"/>
      <c r="CV643" s="1068"/>
      <c r="CW643" s="1068"/>
      <c r="CX643" s="1068"/>
      <c r="CY643" s="1068"/>
      <c r="CZ643" s="1068"/>
      <c r="DB643" s="1094"/>
      <c r="DC643" s="1080"/>
      <c r="DI643" s="1068"/>
      <c r="DK643" s="1095"/>
      <c r="DL643" s="1096"/>
      <c r="DM643" s="1089"/>
      <c r="EL643" s="1091"/>
      <c r="GX643" s="1044"/>
      <c r="HF643" s="1089"/>
      <c r="IE643" s="1068"/>
      <c r="IF643" s="1068"/>
      <c r="IG643" s="1068"/>
      <c r="IH643" s="1068"/>
      <c r="II643" s="1068"/>
      <c r="IJ643" s="1068"/>
      <c r="IK643" s="1068"/>
      <c r="IL643" s="1068"/>
      <c r="IM643" s="1068"/>
      <c r="IN643" s="1068"/>
      <c r="IO643" s="1068"/>
      <c r="IP643" s="1068"/>
      <c r="IQ643" s="1089"/>
      <c r="MG643" s="878"/>
      <c r="MH643" s="878"/>
      <c r="MI643" s="878"/>
      <c r="MJ643" s="878"/>
      <c r="MK643" s="878"/>
      <c r="ML643" s="878"/>
      <c r="MM643" s="878"/>
      <c r="MN643" s="878"/>
      <c r="MO643" s="878"/>
      <c r="MP643" s="878"/>
      <c r="MQ643" s="878"/>
      <c r="MR643" s="878"/>
      <c r="MS643" s="878"/>
      <c r="MT643" s="878"/>
      <c r="MU643" s="878"/>
      <c r="MV643" s="878"/>
      <c r="MW643" s="878"/>
      <c r="MX643" s="878"/>
      <c r="MY643" s="878"/>
      <c r="MZ643" s="878"/>
      <c r="NA643" s="878"/>
      <c r="NB643" s="878"/>
      <c r="NC643" s="878"/>
      <c r="ND643" s="878"/>
      <c r="NE643" s="878"/>
      <c r="NF643" s="878"/>
      <c r="NG643" s="878"/>
      <c r="NH643" s="878"/>
      <c r="NI643" s="878"/>
      <c r="NJ643" s="878"/>
      <c r="NK643" s="878"/>
      <c r="NL643" s="878"/>
      <c r="NM643" s="878"/>
      <c r="QX643" s="1000">
        <f t="shared" si="566"/>
        <v>0</v>
      </c>
    </row>
    <row r="644" spans="1:466" s="1068" customFormat="1" ht="21" customHeight="1" x14ac:dyDescent="0.25">
      <c r="J644" s="1069"/>
      <c r="O644" s="1097" t="s">
        <v>2141</v>
      </c>
      <c r="P644" s="1098"/>
      <c r="Q644" s="1098"/>
      <c r="R644" s="1098"/>
      <c r="S644" s="1098"/>
      <c r="T644" s="1098"/>
      <c r="U644" s="1098"/>
      <c r="V644" s="1098"/>
      <c r="W644" s="1098"/>
      <c r="X644" s="1098"/>
      <c r="Y644" s="1098"/>
      <c r="Z644" s="1098"/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917"/>
      <c r="AN644" s="917"/>
      <c r="AU644" s="923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923"/>
      <c r="BL644" s="1099"/>
      <c r="BM644" s="923"/>
      <c r="BN644" s="923"/>
      <c r="BO644" s="1099"/>
      <c r="BP644" s="1099"/>
      <c r="BQ644" s="923"/>
      <c r="BR644" s="1098"/>
      <c r="BS644" s="1098"/>
      <c r="BT644" s="1098"/>
      <c r="BU644" s="1098"/>
      <c r="BV644" s="876"/>
      <c r="BW644" s="1098"/>
      <c r="BX644" s="876"/>
      <c r="BY644" s="876"/>
      <c r="BZ644" s="876"/>
      <c r="CA644" s="876"/>
      <c r="CB644" s="876"/>
      <c r="CC644" s="876"/>
      <c r="CD644" s="1098"/>
      <c r="CE644" s="876"/>
      <c r="CF644" s="876"/>
      <c r="CG644" s="876"/>
      <c r="CH644" s="876"/>
      <c r="CI644" s="1098"/>
      <c r="CJ644" s="1098"/>
      <c r="CK644" s="1098"/>
      <c r="CL644" s="1098"/>
      <c r="CM644" s="876"/>
      <c r="CN644" s="1100" t="s">
        <v>2142</v>
      </c>
      <c r="CO644" s="873"/>
      <c r="CP644" s="874"/>
      <c r="CQ644" s="875"/>
      <c r="CR644" s="870"/>
      <c r="CS644" s="870"/>
      <c r="CU644" s="870"/>
      <c r="CV644" s="870"/>
      <c r="CW644" s="870"/>
      <c r="CX644" s="870"/>
      <c r="CZ644" s="870"/>
      <c r="DA644" s="870"/>
      <c r="DB644" s="876"/>
      <c r="DC644" s="874"/>
      <c r="DD644" s="870"/>
      <c r="DE644" s="870"/>
      <c r="DF644" s="870"/>
      <c r="DI644" s="870"/>
      <c r="DU644" s="1023"/>
      <c r="EL644" s="1101"/>
      <c r="GX644" s="1102"/>
      <c r="LY644" s="1023"/>
      <c r="MG644" s="878"/>
      <c r="MH644" s="878"/>
      <c r="MI644" s="878"/>
      <c r="MJ644" s="878"/>
      <c r="MK644" s="878"/>
      <c r="ML644" s="878"/>
      <c r="MM644" s="878"/>
      <c r="MN644" s="878"/>
      <c r="MO644" s="878"/>
      <c r="MP644" s="878"/>
      <c r="MQ644" s="878"/>
      <c r="MR644" s="878"/>
      <c r="MS644" s="878"/>
      <c r="MT644" s="878"/>
      <c r="MU644" s="878"/>
      <c r="MV644" s="878"/>
      <c r="MW644" s="878"/>
      <c r="MX644" s="878"/>
      <c r="MY644" s="878"/>
      <c r="MZ644" s="878"/>
      <c r="NA644" s="878"/>
      <c r="NB644" s="878"/>
      <c r="NC644" s="878"/>
      <c r="ND644" s="878"/>
      <c r="NE644" s="878"/>
      <c r="NF644" s="878"/>
      <c r="NG644" s="878"/>
      <c r="NH644" s="878"/>
      <c r="NI644" s="878"/>
      <c r="NJ644" s="878"/>
      <c r="NK644" s="878"/>
      <c r="NL644" s="878"/>
      <c r="NM644" s="878"/>
      <c r="QX644" s="1000" t="e">
        <f t="shared" si="566"/>
        <v>#VALUE!</v>
      </c>
    </row>
    <row r="645" spans="1:466" s="1068" customFormat="1" ht="21" hidden="1" customHeight="1" x14ac:dyDescent="0.25">
      <c r="J645" s="1069"/>
      <c r="O645" s="1097" t="s">
        <v>2143</v>
      </c>
      <c r="P645" s="1094"/>
      <c r="Q645" s="1094"/>
      <c r="R645" s="1094"/>
      <c r="S645" s="1094"/>
      <c r="T645" s="1094"/>
      <c r="U645" s="1094"/>
      <c r="V645" s="1094"/>
      <c r="W645" s="1094"/>
      <c r="X645" s="1094"/>
      <c r="Y645" s="1094"/>
      <c r="Z645" s="1094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910"/>
      <c r="AN645" s="910"/>
      <c r="AU645" s="910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876"/>
      <c r="BL645" s="1098"/>
      <c r="BM645" s="876"/>
      <c r="BN645" s="876"/>
      <c r="BO645" s="1098"/>
      <c r="BP645" s="1098"/>
      <c r="BQ645" s="876"/>
      <c r="BR645" s="1098"/>
      <c r="BS645" s="1098"/>
      <c r="BT645" s="1098"/>
      <c r="BU645" s="1098"/>
      <c r="BV645" s="876"/>
      <c r="BW645" s="1098"/>
      <c r="BX645" s="876"/>
      <c r="BY645" s="876"/>
      <c r="BZ645" s="876"/>
      <c r="CA645" s="876"/>
      <c r="CB645" s="876"/>
      <c r="CC645" s="876"/>
      <c r="CD645" s="1098"/>
      <c r="CE645" s="876"/>
      <c r="CF645" s="876"/>
      <c r="CG645" s="876"/>
      <c r="CH645" s="876"/>
      <c r="CI645" s="1098"/>
      <c r="CJ645" s="1098"/>
      <c r="CK645" s="1098"/>
      <c r="CL645" s="1098"/>
      <c r="CM645" s="876"/>
      <c r="CN645" s="1103" t="s">
        <v>2144</v>
      </c>
      <c r="CO645" s="1104"/>
      <c r="CP645" s="874"/>
      <c r="CQ645" s="875"/>
      <c r="CR645" s="870"/>
      <c r="CS645" s="870"/>
      <c r="CU645" s="870"/>
      <c r="CV645" s="870"/>
      <c r="CW645" s="870"/>
      <c r="CX645" s="870"/>
      <c r="CY645" s="1023"/>
      <c r="CZ645" s="877"/>
      <c r="DA645" s="877"/>
      <c r="DB645" s="910"/>
      <c r="DC645" s="874"/>
      <c r="DD645" s="877"/>
      <c r="DE645" s="877"/>
      <c r="DF645" s="877"/>
      <c r="DG645" s="1023"/>
      <c r="DH645" s="1023"/>
      <c r="DI645" s="877"/>
      <c r="DJ645" s="1023"/>
      <c r="DK645" s="1023"/>
      <c r="DL645" s="1023"/>
      <c r="DM645" s="1023"/>
      <c r="DN645" s="1023"/>
      <c r="DO645" s="1023"/>
      <c r="DP645" s="1023"/>
      <c r="DQ645" s="1023"/>
      <c r="DR645" s="1023"/>
      <c r="DS645" s="1023"/>
      <c r="DT645" s="1023"/>
      <c r="GX645" s="1102"/>
      <c r="LY645" s="1023"/>
      <c r="MG645" s="878"/>
      <c r="MH645" s="878"/>
      <c r="MI645" s="878"/>
      <c r="MJ645" s="878"/>
      <c r="MK645" s="878"/>
      <c r="ML645" s="878"/>
      <c r="MM645" s="878"/>
      <c r="MN645" s="878"/>
      <c r="MO645" s="878"/>
      <c r="MP645" s="878"/>
      <c r="MQ645" s="878"/>
      <c r="MR645" s="878"/>
      <c r="MS645" s="878"/>
      <c r="MT645" s="878"/>
      <c r="MU645" s="878"/>
      <c r="MV645" s="878"/>
      <c r="MW645" s="878"/>
      <c r="MX645" s="878"/>
      <c r="MY645" s="878"/>
      <c r="MZ645" s="878"/>
      <c r="NA645" s="878"/>
      <c r="NB645" s="878"/>
      <c r="NC645" s="878"/>
      <c r="ND645" s="878"/>
      <c r="NE645" s="878"/>
      <c r="NF645" s="878"/>
      <c r="NG645" s="878"/>
      <c r="NH645" s="878"/>
      <c r="NI645" s="878"/>
      <c r="NJ645" s="878"/>
      <c r="NK645" s="878"/>
      <c r="NL645" s="878"/>
      <c r="NM645" s="878"/>
      <c r="QX645" s="1000" t="e">
        <f t="shared" si="566"/>
        <v>#VALUE!</v>
      </c>
    </row>
    <row r="646" spans="1:466" s="1068" customFormat="1" ht="21" hidden="1" customHeight="1" x14ac:dyDescent="0.25">
      <c r="J646" s="1069"/>
      <c r="O646" s="1097"/>
      <c r="P646" s="1094"/>
      <c r="Q646" s="1094"/>
      <c r="R646" s="1094"/>
      <c r="S646" s="1094"/>
      <c r="T646" s="1094"/>
      <c r="U646" s="1094"/>
      <c r="V646" s="1094"/>
      <c r="W646" s="1094"/>
      <c r="X646" s="1094"/>
      <c r="Y646" s="1094"/>
      <c r="Z646" s="1094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910"/>
      <c r="AN646" s="910"/>
      <c r="AU646" s="910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876"/>
      <c r="BL646" s="1098"/>
      <c r="BM646" s="876"/>
      <c r="BN646" s="876"/>
      <c r="BO646" s="1098"/>
      <c r="BP646" s="1098"/>
      <c r="BQ646" s="876"/>
      <c r="BR646" s="1098"/>
      <c r="BS646" s="1098"/>
      <c r="BT646" s="1098"/>
      <c r="BU646" s="1098"/>
      <c r="BV646" s="876"/>
      <c r="BW646" s="1098"/>
      <c r="BX646" s="876"/>
      <c r="BY646" s="876"/>
      <c r="BZ646" s="876"/>
      <c r="CA646" s="876"/>
      <c r="CB646" s="876"/>
      <c r="CC646" s="876"/>
      <c r="CD646" s="1098"/>
      <c r="CE646" s="876"/>
      <c r="CF646" s="876"/>
      <c r="CG646" s="876"/>
      <c r="CH646" s="876"/>
      <c r="CI646" s="1098"/>
      <c r="CJ646" s="1098"/>
      <c r="CK646" s="1098"/>
      <c r="CL646" s="1098"/>
      <c r="CM646" s="876"/>
      <c r="CN646" s="1103"/>
      <c r="CO646" s="1104"/>
      <c r="CP646" s="874"/>
      <c r="CQ646" s="875"/>
      <c r="CR646" s="870"/>
      <c r="CS646" s="870"/>
      <c r="CU646" s="870"/>
      <c r="CV646" s="870"/>
      <c r="CW646" s="870"/>
      <c r="CX646" s="870"/>
      <c r="CY646" s="1023"/>
      <c r="CZ646" s="870"/>
      <c r="DA646" s="870"/>
      <c r="DB646" s="876"/>
      <c r="DC646" s="874"/>
      <c r="DD646" s="870"/>
      <c r="DE646" s="870"/>
      <c r="DF646" s="870"/>
      <c r="DI646" s="870"/>
      <c r="DU646" s="1023"/>
      <c r="GX646" s="1102"/>
      <c r="LY646" s="1023"/>
      <c r="MG646" s="878"/>
      <c r="MH646" s="878"/>
      <c r="MI646" s="878"/>
      <c r="MJ646" s="878"/>
      <c r="MK646" s="878"/>
      <c r="ML646" s="878"/>
      <c r="MM646" s="878"/>
      <c r="MN646" s="878"/>
      <c r="MO646" s="878"/>
      <c r="MP646" s="878"/>
      <c r="MQ646" s="878"/>
      <c r="MR646" s="878"/>
      <c r="MS646" s="878"/>
      <c r="MT646" s="878"/>
      <c r="MU646" s="878"/>
      <c r="MV646" s="878"/>
      <c r="MW646" s="878"/>
      <c r="MX646" s="878"/>
      <c r="MY646" s="878"/>
      <c r="MZ646" s="878"/>
      <c r="NA646" s="878"/>
      <c r="NB646" s="878"/>
      <c r="NC646" s="878"/>
      <c r="ND646" s="878"/>
      <c r="NE646" s="878"/>
      <c r="NF646" s="878"/>
      <c r="NG646" s="878"/>
      <c r="NH646" s="878"/>
      <c r="NI646" s="878"/>
      <c r="NJ646" s="878"/>
      <c r="NK646" s="878"/>
      <c r="NL646" s="878"/>
      <c r="NM646" s="878"/>
      <c r="QX646" s="1000">
        <f t="shared" si="566"/>
        <v>0</v>
      </c>
    </row>
    <row r="647" spans="1:466" ht="21" customHeight="1" x14ac:dyDescent="0.25">
      <c r="B647" s="1105"/>
      <c r="C647" s="1105"/>
      <c r="D647" s="1105"/>
      <c r="E647" s="1105"/>
      <c r="F647" s="1079"/>
      <c r="G647" s="1105"/>
      <c r="H647" s="1105"/>
      <c r="I647" s="1105"/>
      <c r="J647" s="1106"/>
      <c r="K647" s="1023"/>
      <c r="L647" s="1105"/>
      <c r="M647" s="1105"/>
      <c r="N647" s="1105"/>
      <c r="O647" s="1107"/>
      <c r="P647" s="1105"/>
      <c r="Q647" s="1105"/>
      <c r="R647" s="1105"/>
      <c r="S647" s="1105"/>
      <c r="T647" s="1105"/>
      <c r="U647" s="1079"/>
      <c r="V647" s="1079"/>
      <c r="W647" s="1079"/>
      <c r="X647" s="1079"/>
      <c r="Y647" s="1079"/>
      <c r="Z647" s="1079"/>
      <c r="AA647" s="1079"/>
      <c r="AB647" s="1079"/>
      <c r="AC647" s="1079"/>
      <c r="AD647" s="1079"/>
      <c r="AE647" s="1105"/>
      <c r="AF647" s="1079"/>
      <c r="AG647" s="1079"/>
      <c r="AH647" s="1105"/>
      <c r="AI647" s="1105"/>
      <c r="AJ647" s="1079"/>
      <c r="AK647" s="1079"/>
      <c r="AL647" s="1079"/>
      <c r="AM647" s="1105"/>
      <c r="AN647" s="1105"/>
      <c r="AO647" s="1079"/>
      <c r="AP647" s="1079"/>
      <c r="AQ647" s="1079"/>
      <c r="AR647" s="1079"/>
      <c r="AS647" s="1079"/>
      <c r="AT647" s="1079"/>
      <c r="AU647" s="1105"/>
      <c r="AV647" s="1079"/>
      <c r="AW647" s="1079"/>
      <c r="AX647" s="1079"/>
      <c r="AY647" s="1079"/>
      <c r="AZ647" s="1079"/>
      <c r="BA647" s="1079"/>
      <c r="BB647" s="1079"/>
      <c r="BC647" s="1079"/>
      <c r="BD647" s="1079"/>
      <c r="BE647" s="1079"/>
      <c r="BF647" s="1079"/>
      <c r="BG647" s="1079"/>
      <c r="BH647" s="1079"/>
      <c r="BI647" s="1079"/>
      <c r="BJ647" s="1079"/>
      <c r="BK647" s="1105"/>
      <c r="BL647" s="1105"/>
      <c r="BM647" s="1105"/>
      <c r="BN647" s="1105"/>
      <c r="BO647" s="1079"/>
      <c r="BP647" s="1079"/>
      <c r="BQ647" s="1105"/>
      <c r="BR647" s="1079"/>
      <c r="BS647" s="1079"/>
      <c r="BT647" s="1079"/>
      <c r="BU647" s="1079"/>
      <c r="BV647" s="1105"/>
      <c r="BW647" s="1105"/>
      <c r="BX647" s="1105"/>
      <c r="BY647" s="1105"/>
      <c r="BZ647" s="1105"/>
      <c r="CA647" s="1105"/>
      <c r="CB647" s="1105"/>
      <c r="CC647" s="1105"/>
      <c r="CD647" s="999"/>
      <c r="CE647" s="1105"/>
      <c r="CF647" s="1105"/>
      <c r="CG647" s="1105"/>
      <c r="CH647" s="1105"/>
      <c r="CI647" s="1105"/>
      <c r="CJ647" s="1105"/>
      <c r="CK647" s="1105"/>
      <c r="CL647" s="1105"/>
      <c r="CM647" s="1105"/>
      <c r="CN647" s="1108"/>
      <c r="CO647" s="1109"/>
      <c r="CP647" s="1110"/>
      <c r="CQ647" s="1111"/>
      <c r="CR647" s="1105"/>
      <c r="CS647" s="1105"/>
      <c r="CT647" s="1105"/>
      <c r="CU647" s="1105"/>
      <c r="CV647" s="1079"/>
      <c r="CW647" s="1079"/>
      <c r="CX647" s="1079"/>
      <c r="CY647" s="1079"/>
      <c r="CZ647" s="1079"/>
      <c r="DA647" s="1079"/>
      <c r="DB647" s="1112"/>
      <c r="DC647" s="1110"/>
      <c r="DD647" s="1079"/>
      <c r="DE647" s="1079"/>
      <c r="DF647" s="1079"/>
      <c r="DG647" s="1079"/>
      <c r="DH647" s="1079"/>
      <c r="DI647" s="1079"/>
      <c r="DJ647" s="999"/>
      <c r="DK647" s="999"/>
      <c r="DL647" s="999"/>
      <c r="DM647" s="999"/>
      <c r="DN647" s="999"/>
      <c r="DO647" s="999"/>
      <c r="DP647" s="999"/>
      <c r="DQ647" s="999"/>
      <c r="DR647" s="999"/>
      <c r="DS647" s="999"/>
      <c r="DT647" s="999"/>
      <c r="DU647" s="999"/>
      <c r="DV647" s="1080"/>
      <c r="DW647" s="1081"/>
      <c r="DX647" s="1082"/>
      <c r="DY647" s="999"/>
      <c r="DZ647" s="1080"/>
      <c r="EA647" s="1081"/>
      <c r="EB647" s="1082"/>
      <c r="EC647" s="999"/>
      <c r="ED647" s="999"/>
      <c r="EE647" s="999"/>
      <c r="EF647" s="999"/>
      <c r="EG647" s="999"/>
      <c r="EH647" s="999"/>
      <c r="EI647" s="999"/>
      <c r="EJ647" s="999"/>
      <c r="EK647" s="999"/>
      <c r="EL647" s="1113"/>
      <c r="EM647" s="1081"/>
      <c r="EN647" s="1082"/>
      <c r="EO647" s="999"/>
      <c r="EP647" s="999"/>
      <c r="EQ647" s="999"/>
      <c r="ER647" s="999"/>
      <c r="ES647" s="999"/>
      <c r="ET647" s="999"/>
      <c r="EU647" s="999"/>
      <c r="EV647" s="999"/>
      <c r="EW647" s="999"/>
      <c r="EX647" s="999"/>
      <c r="EY647" s="999"/>
      <c r="EZ647" s="999"/>
      <c r="FA647" s="999"/>
      <c r="FB647" s="1080"/>
      <c r="FC647" s="1081"/>
      <c r="FD647" s="1082"/>
      <c r="FE647" s="999"/>
      <c r="FF647" s="999"/>
      <c r="FG647" s="999"/>
      <c r="FH647" s="999"/>
      <c r="FI647" s="999"/>
      <c r="FJ647" s="999"/>
      <c r="FK647" s="999"/>
      <c r="FL647" s="999"/>
      <c r="FM647" s="999"/>
      <c r="FN647" s="999"/>
      <c r="FO647" s="999"/>
      <c r="FP647" s="999"/>
      <c r="FQ647" s="999"/>
      <c r="FR647" s="999"/>
      <c r="FS647" s="999"/>
      <c r="FT647" s="999"/>
      <c r="FU647" s="999"/>
      <c r="FV647" s="999"/>
      <c r="FW647" s="999"/>
      <c r="FX647" s="999"/>
      <c r="FY647" s="999"/>
      <c r="FZ647" s="999"/>
      <c r="GA647" s="999"/>
      <c r="GB647" s="999"/>
      <c r="GC647" s="999"/>
      <c r="GD647" s="999"/>
      <c r="GE647" s="999"/>
      <c r="GF647" s="999"/>
      <c r="GG647" s="999"/>
      <c r="GH647" s="999"/>
      <c r="GI647" s="1029"/>
      <c r="GJ647" s="1029"/>
      <c r="GK647" s="1029"/>
      <c r="GL647" s="1029"/>
      <c r="GM647" s="1029"/>
      <c r="GN647" s="1029"/>
      <c r="GO647" s="1029"/>
      <c r="GP647" s="1029"/>
      <c r="GQ647" s="1029"/>
      <c r="GR647" s="1029"/>
      <c r="GS647" s="1029"/>
      <c r="GT647" s="1029"/>
      <c r="GU647" s="1029"/>
      <c r="GV647" s="1029"/>
      <c r="GW647" s="1029"/>
      <c r="GX647" s="1027"/>
      <c r="GY647" s="1029"/>
      <c r="GZ647" s="1029"/>
      <c r="HA647" s="1029"/>
      <c r="HB647" s="1029"/>
      <c r="HC647" s="1029"/>
      <c r="HD647" s="1029"/>
      <c r="HE647" s="999"/>
      <c r="HF647" s="999"/>
      <c r="HG647" s="999"/>
      <c r="HH647" s="999"/>
      <c r="HI647" s="999"/>
      <c r="HJ647" s="999"/>
      <c r="HK647" s="999"/>
      <c r="HL647" s="999"/>
      <c r="HM647" s="999"/>
      <c r="HN647" s="999"/>
      <c r="HO647" s="999"/>
      <c r="HP647" s="999"/>
      <c r="HQ647" s="999"/>
      <c r="HR647" s="999"/>
      <c r="HS647" s="999"/>
      <c r="HT647" s="999"/>
      <c r="HU647" s="999"/>
      <c r="HV647" s="999"/>
      <c r="HW647" s="999"/>
      <c r="HX647" s="999"/>
      <c r="HY647" s="999"/>
      <c r="HZ647" s="999"/>
      <c r="IA647" s="999"/>
      <c r="IB647" s="999"/>
      <c r="IC647" s="999"/>
      <c r="ID647" s="999"/>
      <c r="IE647" s="999"/>
      <c r="IF647" s="999"/>
      <c r="IG647" s="999"/>
      <c r="IH647" s="999"/>
      <c r="II647" s="999"/>
      <c r="IJ647" s="999"/>
      <c r="IK647" s="999"/>
      <c r="IL647" s="999"/>
      <c r="IM647" s="999"/>
      <c r="IN647" s="999"/>
      <c r="IO647" s="999"/>
      <c r="IP647" s="999"/>
      <c r="IQ647" s="999"/>
      <c r="IR647" s="999"/>
      <c r="IS647" s="999"/>
      <c r="IT647" s="999"/>
      <c r="IU647" s="999"/>
      <c r="IV647" s="999"/>
      <c r="IW647" s="999"/>
      <c r="IX647" s="999"/>
      <c r="IY647" s="999"/>
      <c r="IZ647" s="999"/>
      <c r="JA647" s="999"/>
      <c r="JB647" s="999"/>
      <c r="JC647" s="999"/>
      <c r="JD647" s="999"/>
      <c r="JE647" s="999"/>
      <c r="JF647" s="1088"/>
      <c r="JG647" s="999"/>
      <c r="JH647" s="999"/>
      <c r="JI647" s="999"/>
      <c r="JJ647" s="999"/>
      <c r="JK647" s="999"/>
      <c r="JL647" s="999"/>
      <c r="JM647" s="999"/>
      <c r="JN647" s="999"/>
      <c r="JO647" s="999"/>
      <c r="JP647" s="999"/>
      <c r="JQ647" s="999"/>
      <c r="JR647" s="999"/>
      <c r="JS647" s="999"/>
      <c r="JT647" s="999"/>
      <c r="JU647" s="999"/>
      <c r="JV647" s="999"/>
      <c r="JW647" s="999"/>
      <c r="JX647" s="999"/>
      <c r="JY647" s="999"/>
      <c r="JZ647" s="999"/>
      <c r="KA647" s="999"/>
      <c r="KB647" s="999"/>
      <c r="KC647" s="999"/>
      <c r="KD647" s="999"/>
      <c r="KE647" s="999"/>
      <c r="KF647" s="999"/>
      <c r="KG647" s="999"/>
      <c r="KH647" s="999"/>
      <c r="KI647" s="999"/>
      <c r="KJ647" s="999"/>
      <c r="KK647" s="999"/>
      <c r="KL647" s="999"/>
      <c r="KM647" s="999"/>
      <c r="KN647" s="999"/>
      <c r="KO647" s="999"/>
      <c r="KP647" s="999"/>
      <c r="KQ647" s="999"/>
      <c r="KR647" s="999"/>
      <c r="KS647" s="999"/>
      <c r="KT647" s="999"/>
      <c r="KU647" s="999"/>
      <c r="KV647" s="999"/>
      <c r="KW647" s="999"/>
      <c r="KX647" s="999"/>
      <c r="KY647" s="999"/>
      <c r="KZ647" s="999"/>
      <c r="LA647" s="999"/>
      <c r="LB647" s="999"/>
      <c r="LC647" s="999"/>
      <c r="LD647" s="999"/>
      <c r="LE647" s="999"/>
      <c r="LF647" s="999"/>
      <c r="LG647" s="999"/>
      <c r="LH647" s="999"/>
      <c r="LI647" s="999"/>
      <c r="LJ647" s="999"/>
      <c r="LK647" s="999"/>
      <c r="LL647" s="999"/>
      <c r="LM647" s="999"/>
      <c r="LN647" s="999"/>
      <c r="LO647" s="999"/>
      <c r="LP647" s="999"/>
      <c r="LQ647" s="999"/>
      <c r="LR647" s="999"/>
      <c r="LS647" s="999"/>
      <c r="LT647" s="999"/>
      <c r="LU647" s="999"/>
      <c r="LV647" s="999"/>
      <c r="LW647" s="999"/>
      <c r="LX647" s="999"/>
      <c r="LY647" s="1089"/>
      <c r="LZ647" s="1088"/>
      <c r="MA647" s="999"/>
      <c r="MB647" s="999"/>
      <c r="MC647" s="999"/>
      <c r="MD647" s="999"/>
      <c r="ME647" s="999"/>
      <c r="MF647" s="999"/>
    </row>
    <row r="648" spans="1:466" ht="21" customHeight="1" x14ac:dyDescent="0.25">
      <c r="B648" s="1105"/>
      <c r="C648" s="1105"/>
      <c r="D648" s="1105"/>
      <c r="E648" s="1105"/>
      <c r="F648" s="1079"/>
      <c r="G648" s="1105"/>
      <c r="H648" s="1105"/>
      <c r="I648" s="1105"/>
      <c r="J648" s="1106"/>
      <c r="K648" s="1023"/>
      <c r="L648" s="1105"/>
      <c r="M648" s="1105"/>
      <c r="N648" s="1105"/>
      <c r="O648" s="1097" t="s">
        <v>2145</v>
      </c>
      <c r="P648" s="1105"/>
      <c r="Q648" s="1105"/>
      <c r="R648" s="1105"/>
      <c r="S648" s="1105"/>
      <c r="T648" s="1105"/>
      <c r="U648" s="1079"/>
      <c r="V648" s="1079"/>
      <c r="W648" s="1079"/>
      <c r="X648" s="1079"/>
      <c r="Y648" s="1079"/>
      <c r="Z648" s="1079"/>
      <c r="AA648" s="1079"/>
      <c r="AB648" s="1079"/>
      <c r="AC648" s="1079"/>
      <c r="AD648" s="1079"/>
      <c r="AE648" s="1105"/>
      <c r="AF648" s="1079"/>
      <c r="AG648" s="1079"/>
      <c r="AH648" s="1105"/>
      <c r="AI648" s="1105"/>
      <c r="AJ648" s="1079"/>
      <c r="AK648" s="1079"/>
      <c r="AL648" s="1079"/>
      <c r="AM648" s="1105"/>
      <c r="AN648" s="1105"/>
      <c r="AO648" s="1079"/>
      <c r="AP648" s="1079"/>
      <c r="AQ648" s="1079"/>
      <c r="AR648" s="1079"/>
      <c r="AS648" s="1079"/>
      <c r="AT648" s="1079"/>
      <c r="AU648" s="1105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105"/>
      <c r="BL648" s="1105"/>
      <c r="BM648" s="1105"/>
      <c r="BN648" s="1105"/>
      <c r="BO648" s="1079"/>
      <c r="BP648" s="1079"/>
      <c r="BQ648" s="1105"/>
      <c r="BR648" s="1079"/>
      <c r="BS648" s="1079"/>
      <c r="BT648" s="1079"/>
      <c r="BU648" s="1079"/>
      <c r="BV648" s="1105"/>
      <c r="BW648" s="1105"/>
      <c r="BX648" s="1105"/>
      <c r="BY648" s="1105"/>
      <c r="BZ648" s="1105"/>
      <c r="CA648" s="1105"/>
      <c r="CB648" s="1105"/>
      <c r="CC648" s="1105"/>
      <c r="CD648" s="999"/>
      <c r="CE648" s="1105"/>
      <c r="CF648" s="1105"/>
      <c r="CG648" s="1105"/>
      <c r="CH648" s="1105"/>
      <c r="CI648" s="1105"/>
      <c r="CJ648" s="1105"/>
      <c r="CK648" s="1105"/>
      <c r="CL648" s="1105"/>
      <c r="CM648" s="1105"/>
      <c r="CN648" s="1100" t="s">
        <v>2146</v>
      </c>
      <c r="CO648" s="1109"/>
      <c r="CP648" s="1110"/>
      <c r="CQ648" s="1111"/>
      <c r="CR648" s="1105"/>
      <c r="CS648" s="1105"/>
      <c r="CT648" s="1105"/>
      <c r="CU648" s="1105"/>
      <c r="CV648" s="1079"/>
      <c r="CW648" s="1079"/>
      <c r="CX648" s="1079"/>
      <c r="CY648" s="1079"/>
      <c r="CZ648" s="1079"/>
      <c r="DA648" s="1079"/>
      <c r="DB648" s="1112"/>
      <c r="DC648" s="1110"/>
      <c r="DD648" s="1079"/>
      <c r="DE648" s="1079"/>
      <c r="DF648" s="1079"/>
      <c r="DG648" s="1079"/>
      <c r="DH648" s="1079"/>
      <c r="DI648" s="1079"/>
      <c r="DJ648" s="999"/>
      <c r="DK648" s="999"/>
      <c r="DL648" s="999"/>
      <c r="DM648" s="999"/>
      <c r="DN648" s="999"/>
      <c r="DO648" s="999"/>
      <c r="DP648" s="999"/>
      <c r="DQ648" s="999"/>
      <c r="DR648" s="999"/>
      <c r="DS648" s="999"/>
      <c r="DT648" s="999"/>
      <c r="DU648" s="999"/>
      <c r="DV648" s="1080"/>
      <c r="DW648" s="1081"/>
      <c r="DX648" s="1082"/>
      <c r="DY648" s="999"/>
      <c r="DZ648" s="1080"/>
      <c r="EA648" s="1081"/>
      <c r="EB648" s="1082"/>
      <c r="EC648" s="999"/>
      <c r="ED648" s="999"/>
      <c r="EE648" s="999"/>
      <c r="EF648" s="999"/>
      <c r="EG648" s="999"/>
      <c r="EH648" s="999"/>
      <c r="EI648" s="999"/>
      <c r="EJ648" s="999"/>
      <c r="EK648" s="999"/>
      <c r="EL648" s="1113"/>
      <c r="EM648" s="1081"/>
      <c r="EN648" s="1082"/>
      <c r="EO648" s="999"/>
      <c r="EP648" s="999"/>
      <c r="EQ648" s="999"/>
      <c r="ER648" s="999"/>
      <c r="ES648" s="999"/>
      <c r="ET648" s="999"/>
      <c r="EU648" s="999"/>
      <c r="EV648" s="999"/>
      <c r="EW648" s="999"/>
      <c r="EX648" s="999"/>
      <c r="EY648" s="999"/>
      <c r="EZ648" s="999"/>
      <c r="FA648" s="999"/>
      <c r="FB648" s="1080"/>
      <c r="FC648" s="1081"/>
      <c r="FD648" s="1082"/>
      <c r="FE648" s="999"/>
      <c r="FF648" s="999"/>
      <c r="FG648" s="999"/>
      <c r="FH648" s="999"/>
      <c r="FI648" s="999"/>
      <c r="FJ648" s="999"/>
      <c r="FK648" s="999"/>
      <c r="FL648" s="999"/>
      <c r="FM648" s="999"/>
      <c r="FN648" s="999"/>
      <c r="FO648" s="999"/>
      <c r="FP648" s="999"/>
      <c r="FQ648" s="999"/>
      <c r="FR648" s="999"/>
      <c r="FS648" s="999"/>
      <c r="FT648" s="999"/>
      <c r="FU648" s="999"/>
      <c r="FV648" s="999"/>
      <c r="FW648" s="999"/>
      <c r="FX648" s="999"/>
      <c r="FY648" s="999"/>
      <c r="FZ648" s="999"/>
      <c r="GA648" s="999"/>
      <c r="GB648" s="999"/>
      <c r="GC648" s="999"/>
      <c r="GD648" s="999"/>
      <c r="GE648" s="999"/>
      <c r="GF648" s="999"/>
      <c r="GG648" s="999"/>
      <c r="GH648" s="999"/>
      <c r="GI648" s="1029"/>
      <c r="GJ648" s="1029"/>
      <c r="GK648" s="1029"/>
      <c r="GL648" s="1029"/>
      <c r="GM648" s="1029"/>
      <c r="GN648" s="1029"/>
      <c r="GO648" s="1029"/>
      <c r="GP648" s="1029"/>
      <c r="GQ648" s="1029"/>
      <c r="GR648" s="1029"/>
      <c r="GS648" s="1029"/>
      <c r="GT648" s="1029"/>
      <c r="GU648" s="1029"/>
      <c r="GV648" s="1029"/>
      <c r="GW648" s="1029"/>
      <c r="GX648" s="1027"/>
      <c r="GY648" s="1029"/>
      <c r="GZ648" s="1029"/>
      <c r="HA648" s="1029"/>
      <c r="HB648" s="1029"/>
      <c r="HC648" s="1029"/>
      <c r="HD648" s="1029"/>
      <c r="HE648" s="999"/>
      <c r="HF648" s="999"/>
      <c r="HG648" s="999"/>
      <c r="HH648" s="999"/>
      <c r="HI648" s="999"/>
      <c r="HJ648" s="999"/>
      <c r="HK648" s="999"/>
      <c r="HL648" s="999"/>
      <c r="HM648" s="999"/>
      <c r="HN648" s="999"/>
      <c r="HO648" s="999"/>
      <c r="HP648" s="999"/>
      <c r="HQ648" s="999"/>
      <c r="HR648" s="999"/>
      <c r="HS648" s="999"/>
      <c r="HT648" s="999"/>
      <c r="HU648" s="999"/>
      <c r="HV648" s="999"/>
      <c r="HW648" s="999"/>
      <c r="HX648" s="999"/>
      <c r="HY648" s="999"/>
      <c r="HZ648" s="999"/>
      <c r="IA648" s="999"/>
      <c r="IB648" s="999"/>
      <c r="IC648" s="999"/>
      <c r="ID648" s="999"/>
      <c r="IE648" s="999"/>
      <c r="IF648" s="999"/>
      <c r="IG648" s="999"/>
      <c r="IH648" s="999"/>
      <c r="II648" s="999"/>
      <c r="IJ648" s="999"/>
      <c r="IK648" s="999"/>
      <c r="IL648" s="999"/>
      <c r="IM648" s="999"/>
      <c r="IN648" s="999"/>
      <c r="IO648" s="999"/>
      <c r="IP648" s="999"/>
      <c r="IQ648" s="999"/>
      <c r="IR648" s="999"/>
      <c r="IS648" s="999"/>
      <c r="IT648" s="999"/>
      <c r="IU648" s="999"/>
      <c r="IV648" s="999"/>
      <c r="IW648" s="999"/>
      <c r="IX648" s="999"/>
      <c r="IY648" s="999"/>
      <c r="IZ648" s="999"/>
      <c r="JA648" s="999"/>
      <c r="JB648" s="999"/>
      <c r="JC648" s="999"/>
      <c r="JD648" s="999"/>
      <c r="JE648" s="999"/>
      <c r="JF648" s="1088"/>
      <c r="JG648" s="999"/>
      <c r="JH648" s="999"/>
      <c r="JI648" s="999"/>
      <c r="JJ648" s="999"/>
      <c r="JK648" s="999"/>
      <c r="JL648" s="999"/>
      <c r="JM648" s="999"/>
      <c r="JN648" s="999"/>
      <c r="JO648" s="999"/>
      <c r="JP648" s="999"/>
      <c r="JQ648" s="999"/>
      <c r="JR648" s="999"/>
      <c r="JS648" s="999"/>
      <c r="JT648" s="999"/>
      <c r="JU648" s="999"/>
      <c r="JV648" s="999"/>
      <c r="JW648" s="999"/>
      <c r="JX648" s="999"/>
      <c r="JY648" s="999"/>
      <c r="JZ648" s="999"/>
      <c r="KA648" s="999"/>
      <c r="KB648" s="999"/>
      <c r="KC648" s="999"/>
      <c r="KD648" s="999"/>
      <c r="KE648" s="999"/>
      <c r="KF648" s="999"/>
      <c r="KG648" s="999"/>
      <c r="KH648" s="999"/>
      <c r="KI648" s="999"/>
      <c r="KJ648" s="999"/>
      <c r="KK648" s="999"/>
      <c r="KL648" s="999"/>
      <c r="KM648" s="999"/>
      <c r="KN648" s="999"/>
      <c r="KO648" s="999"/>
      <c r="KP648" s="999"/>
      <c r="KQ648" s="999"/>
      <c r="KR648" s="999"/>
      <c r="KS648" s="999"/>
      <c r="KT648" s="999"/>
      <c r="KU648" s="999"/>
      <c r="KV648" s="999"/>
      <c r="KW648" s="999"/>
      <c r="KX648" s="999"/>
      <c r="KY648" s="999"/>
      <c r="KZ648" s="999"/>
      <c r="LA648" s="999"/>
      <c r="LB648" s="999"/>
      <c r="LC648" s="999"/>
      <c r="LD648" s="999"/>
      <c r="LE648" s="999"/>
      <c r="LF648" s="999"/>
      <c r="LG648" s="999"/>
      <c r="LH648" s="999"/>
      <c r="LI648" s="999"/>
      <c r="LJ648" s="999"/>
      <c r="LK648" s="999"/>
      <c r="LL648" s="999"/>
      <c r="LM648" s="999"/>
      <c r="LN648" s="999"/>
      <c r="LO648" s="999"/>
      <c r="LP648" s="999"/>
      <c r="LQ648" s="999"/>
      <c r="LR648" s="999"/>
      <c r="LS648" s="999"/>
      <c r="LT648" s="999"/>
      <c r="LU648" s="999"/>
      <c r="LV648" s="999"/>
      <c r="LW648" s="999"/>
      <c r="LX648" s="999"/>
      <c r="LY648" s="1089"/>
      <c r="LZ648" s="1088"/>
      <c r="MA648" s="999"/>
      <c r="MB648" s="999"/>
      <c r="MC648" s="999"/>
      <c r="MD648" s="999"/>
      <c r="ME648" s="999"/>
      <c r="MF648" s="999"/>
    </row>
    <row r="649" spans="1:466" ht="21" customHeight="1" x14ac:dyDescent="0.25">
      <c r="B649" s="1105"/>
      <c r="C649" s="1105"/>
      <c r="D649" s="1105"/>
      <c r="E649" s="1105"/>
      <c r="F649" s="1079"/>
      <c r="G649" s="1105"/>
      <c r="H649" s="1105"/>
      <c r="I649" s="1105"/>
      <c r="J649" s="1106"/>
      <c r="K649" s="1023"/>
      <c r="L649" s="1105"/>
      <c r="M649" s="1105"/>
      <c r="N649" s="1105"/>
      <c r="O649" s="1107"/>
      <c r="P649" s="1105"/>
      <c r="Q649" s="1105"/>
      <c r="R649" s="1105"/>
      <c r="S649" s="1105"/>
      <c r="T649" s="1105"/>
      <c r="U649" s="1079"/>
      <c r="V649" s="1079"/>
      <c r="W649" s="1079"/>
      <c r="X649" s="1079"/>
      <c r="Y649" s="1079"/>
      <c r="Z649" s="1079"/>
      <c r="AA649" s="1079"/>
      <c r="AB649" s="1079"/>
      <c r="AC649" s="1079"/>
      <c r="AD649" s="1079"/>
      <c r="AE649" s="1105"/>
      <c r="AF649" s="1079"/>
      <c r="AG649" s="1079"/>
      <c r="AH649" s="1105"/>
      <c r="AI649" s="1105"/>
      <c r="AJ649" s="1079"/>
      <c r="AK649" s="1079"/>
      <c r="AL649" s="1079"/>
      <c r="AM649" s="1105"/>
      <c r="AN649" s="1105"/>
      <c r="AO649" s="1079"/>
      <c r="AP649" s="1079"/>
      <c r="AQ649" s="1079"/>
      <c r="AR649" s="1079"/>
      <c r="AS649" s="1079"/>
      <c r="AT649" s="1079"/>
      <c r="AU649" s="1105"/>
      <c r="AV649" s="1079"/>
      <c r="AW649" s="1079"/>
      <c r="AX649" s="1079"/>
      <c r="AY649" s="1079"/>
      <c r="AZ649" s="1079"/>
      <c r="BA649" s="1079"/>
      <c r="BB649" s="1079"/>
      <c r="BC649" s="1079"/>
      <c r="BD649" s="1079"/>
      <c r="BE649" s="1079"/>
      <c r="BF649" s="1079"/>
      <c r="BG649" s="1079"/>
      <c r="BH649" s="1079"/>
      <c r="BI649" s="1079"/>
      <c r="BJ649" s="1079"/>
      <c r="BK649" s="1105"/>
      <c r="BL649" s="1105"/>
      <c r="BM649" s="1105"/>
      <c r="BN649" s="1105"/>
      <c r="BO649" s="1079"/>
      <c r="BP649" s="1079"/>
      <c r="BQ649" s="1105"/>
      <c r="BR649" s="1079"/>
      <c r="BS649" s="1079"/>
      <c r="BT649" s="1079"/>
      <c r="BU649" s="1079"/>
      <c r="BV649" s="1105"/>
      <c r="BW649" s="1105"/>
      <c r="BX649" s="1105"/>
      <c r="BY649" s="1105"/>
      <c r="BZ649" s="1105"/>
      <c r="CA649" s="1105"/>
      <c r="CB649" s="1105"/>
      <c r="CC649" s="1105"/>
      <c r="CD649" s="999"/>
      <c r="CE649" s="1105"/>
      <c r="CF649" s="1105"/>
      <c r="CG649" s="1105"/>
      <c r="CH649" s="1105"/>
      <c r="CI649" s="1105"/>
      <c r="CJ649" s="1105"/>
      <c r="CK649" s="1105"/>
      <c r="CL649" s="1105"/>
      <c r="CM649" s="1105"/>
      <c r="CN649" s="1108"/>
      <c r="CO649" s="1109"/>
      <c r="CP649" s="1110"/>
      <c r="CQ649" s="1111"/>
      <c r="CR649" s="1105"/>
      <c r="CS649" s="1105"/>
      <c r="CT649" s="1105"/>
      <c r="CU649" s="1105"/>
      <c r="CV649" s="1079"/>
      <c r="CW649" s="1079"/>
      <c r="CX649" s="1079"/>
      <c r="CY649" s="1079"/>
      <c r="CZ649" s="1079"/>
      <c r="DA649" s="1079"/>
      <c r="DB649" s="1112"/>
      <c r="DC649" s="1110"/>
      <c r="DD649" s="1079"/>
      <c r="DE649" s="1079"/>
      <c r="DF649" s="1079"/>
      <c r="DG649" s="1079"/>
      <c r="DH649" s="1079"/>
      <c r="DI649" s="1079"/>
      <c r="DJ649" s="999"/>
      <c r="DK649" s="999"/>
      <c r="DL649" s="999"/>
      <c r="DM649" s="999"/>
      <c r="DN649" s="999"/>
      <c r="DO649" s="999"/>
      <c r="DP649" s="999"/>
      <c r="DQ649" s="999"/>
      <c r="DR649" s="999"/>
      <c r="DS649" s="999"/>
      <c r="DT649" s="999"/>
      <c r="DU649" s="999"/>
      <c r="DV649" s="1080"/>
      <c r="DW649" s="1081"/>
      <c r="DX649" s="1082"/>
      <c r="DY649" s="999"/>
      <c r="DZ649" s="1080"/>
      <c r="EA649" s="1081"/>
      <c r="EB649" s="1082"/>
      <c r="EC649" s="999"/>
      <c r="ED649" s="999"/>
      <c r="EE649" s="999"/>
      <c r="EF649" s="999"/>
      <c r="EG649" s="999"/>
      <c r="EH649" s="999"/>
      <c r="EI649" s="999"/>
      <c r="EJ649" s="999"/>
      <c r="EK649" s="999"/>
      <c r="EL649" s="1113"/>
      <c r="EM649" s="1081"/>
      <c r="EN649" s="1082"/>
      <c r="EO649" s="999"/>
      <c r="EP649" s="999"/>
      <c r="EQ649" s="999"/>
      <c r="ER649" s="999"/>
      <c r="ES649" s="999"/>
      <c r="ET649" s="999"/>
      <c r="EU649" s="999"/>
      <c r="EV649" s="999"/>
      <c r="EW649" s="999"/>
      <c r="EX649" s="999"/>
      <c r="EY649" s="999"/>
      <c r="EZ649" s="999"/>
      <c r="FA649" s="999"/>
      <c r="FB649" s="1080"/>
      <c r="FC649" s="1081"/>
      <c r="FD649" s="1082"/>
      <c r="FE649" s="999"/>
      <c r="FF649" s="999"/>
      <c r="FG649" s="999"/>
      <c r="FH649" s="999"/>
      <c r="FI649" s="999"/>
      <c r="FJ649" s="999"/>
      <c r="FK649" s="999"/>
      <c r="FL649" s="999"/>
      <c r="FM649" s="999"/>
      <c r="FN649" s="999"/>
      <c r="FO649" s="999"/>
      <c r="FP649" s="999"/>
      <c r="FQ649" s="999"/>
      <c r="FR649" s="999"/>
      <c r="FS649" s="999"/>
      <c r="FT649" s="999"/>
      <c r="FU649" s="999"/>
      <c r="FV649" s="999"/>
      <c r="FW649" s="999"/>
      <c r="FX649" s="999"/>
      <c r="FY649" s="999"/>
      <c r="FZ649" s="999"/>
      <c r="GA649" s="999"/>
      <c r="GB649" s="999"/>
      <c r="GC649" s="999"/>
      <c r="GD649" s="999"/>
      <c r="GE649" s="999"/>
      <c r="GF649" s="999"/>
      <c r="GG649" s="999"/>
      <c r="GH649" s="999"/>
      <c r="GI649" s="1029"/>
      <c r="GJ649" s="1029"/>
      <c r="GK649" s="1029"/>
      <c r="GL649" s="1029"/>
      <c r="GM649" s="1029"/>
      <c r="GN649" s="1029"/>
      <c r="GO649" s="1029"/>
      <c r="GP649" s="1029"/>
      <c r="GQ649" s="1029"/>
      <c r="GR649" s="1029"/>
      <c r="GS649" s="1029"/>
      <c r="GT649" s="1029"/>
      <c r="GU649" s="1029"/>
      <c r="GV649" s="1029"/>
      <c r="GW649" s="1029"/>
      <c r="GX649" s="1027"/>
      <c r="GY649" s="1029"/>
      <c r="GZ649" s="1029"/>
      <c r="HA649" s="1029"/>
      <c r="HB649" s="1029"/>
      <c r="HC649" s="1029"/>
      <c r="HD649" s="1029"/>
      <c r="HE649" s="999"/>
      <c r="HF649" s="999"/>
      <c r="HG649" s="999"/>
      <c r="HH649" s="999"/>
      <c r="HI649" s="999"/>
      <c r="HJ649" s="999"/>
      <c r="HK649" s="999"/>
      <c r="HL649" s="999"/>
      <c r="HM649" s="999"/>
      <c r="HN649" s="999"/>
      <c r="HO649" s="999"/>
      <c r="HP649" s="999"/>
      <c r="HQ649" s="999"/>
      <c r="HR649" s="999"/>
      <c r="HS649" s="999"/>
      <c r="HT649" s="999"/>
      <c r="HU649" s="999"/>
      <c r="HV649" s="999"/>
      <c r="HW649" s="999"/>
      <c r="HX649" s="999"/>
      <c r="HY649" s="999"/>
      <c r="HZ649" s="999"/>
      <c r="IA649" s="999"/>
      <c r="IB649" s="999"/>
      <c r="IC649" s="999"/>
      <c r="ID649" s="999"/>
      <c r="IE649" s="999"/>
      <c r="IF649" s="999"/>
      <c r="IG649" s="999"/>
      <c r="IH649" s="999"/>
      <c r="II649" s="999"/>
      <c r="IJ649" s="999"/>
      <c r="IK649" s="999"/>
      <c r="IL649" s="999"/>
      <c r="IM649" s="999"/>
      <c r="IN649" s="999"/>
      <c r="IO649" s="999"/>
      <c r="IP649" s="999"/>
      <c r="IQ649" s="999"/>
      <c r="IR649" s="999"/>
      <c r="IS649" s="999"/>
      <c r="IT649" s="999"/>
      <c r="IU649" s="999"/>
      <c r="IV649" s="999"/>
      <c r="IW649" s="999"/>
      <c r="IX649" s="999"/>
      <c r="IY649" s="999"/>
      <c r="IZ649" s="999"/>
      <c r="JA649" s="999"/>
      <c r="JB649" s="999"/>
      <c r="JC649" s="999"/>
      <c r="JD649" s="999"/>
      <c r="JE649" s="999"/>
      <c r="JF649" s="1088"/>
      <c r="JG649" s="999"/>
      <c r="JH649" s="999"/>
      <c r="JI649" s="999"/>
      <c r="JJ649" s="999"/>
      <c r="JK649" s="999"/>
      <c r="JL649" s="999"/>
      <c r="JM649" s="999"/>
      <c r="JN649" s="999"/>
      <c r="JO649" s="999"/>
      <c r="JP649" s="999"/>
      <c r="JQ649" s="999"/>
      <c r="JR649" s="999"/>
      <c r="JS649" s="999"/>
      <c r="JT649" s="999"/>
      <c r="JU649" s="999"/>
      <c r="JV649" s="999"/>
      <c r="JW649" s="999"/>
      <c r="JX649" s="999"/>
      <c r="JY649" s="999"/>
      <c r="JZ649" s="999"/>
      <c r="KA649" s="999"/>
      <c r="KB649" s="999"/>
      <c r="KC649" s="999"/>
      <c r="KD649" s="999"/>
      <c r="KE649" s="999"/>
      <c r="KF649" s="999"/>
      <c r="KG649" s="999"/>
      <c r="KH649" s="999"/>
      <c r="KI649" s="999"/>
      <c r="KJ649" s="999"/>
      <c r="KK649" s="999"/>
      <c r="KL649" s="999"/>
      <c r="KM649" s="999"/>
      <c r="KN649" s="999"/>
      <c r="KO649" s="999"/>
      <c r="KP649" s="999"/>
      <c r="KQ649" s="999"/>
      <c r="KR649" s="999"/>
      <c r="KS649" s="999"/>
      <c r="KT649" s="999"/>
      <c r="KU649" s="999"/>
      <c r="KV649" s="999"/>
      <c r="KW649" s="999"/>
      <c r="KX649" s="999"/>
      <c r="KY649" s="999"/>
      <c r="KZ649" s="999"/>
      <c r="LA649" s="999"/>
      <c r="LB649" s="999"/>
      <c r="LC649" s="999"/>
      <c r="LD649" s="999"/>
      <c r="LE649" s="999"/>
      <c r="LF649" s="999"/>
      <c r="LG649" s="999"/>
      <c r="LH649" s="999"/>
      <c r="LI649" s="999"/>
      <c r="LJ649" s="999"/>
      <c r="LK649" s="999"/>
      <c r="LL649" s="999"/>
      <c r="LM649" s="999"/>
      <c r="LN649" s="999"/>
      <c r="LO649" s="999"/>
      <c r="LP649" s="999"/>
      <c r="LQ649" s="999"/>
      <c r="LR649" s="999"/>
      <c r="LS649" s="999"/>
      <c r="LT649" s="999"/>
      <c r="LU649" s="999"/>
      <c r="LV649" s="999"/>
      <c r="LW649" s="999"/>
      <c r="LX649" s="999"/>
      <c r="LY649" s="1089"/>
      <c r="LZ649" s="1088"/>
      <c r="MA649" s="999"/>
      <c r="MB649" s="999"/>
      <c r="MC649" s="999"/>
      <c r="MD649" s="999"/>
      <c r="ME649" s="999"/>
      <c r="MF649" s="999"/>
    </row>
    <row r="650" spans="1:466" ht="21" customHeight="1" x14ac:dyDescent="0.25">
      <c r="B650" s="1105"/>
      <c r="C650" s="1105"/>
      <c r="D650" s="1105"/>
      <c r="E650" s="1105"/>
      <c r="F650" s="1079"/>
      <c r="G650" s="1105"/>
      <c r="H650" s="1105"/>
      <c r="I650" s="1105"/>
      <c r="J650" s="1029"/>
      <c r="K650" s="1023"/>
      <c r="L650" s="1105"/>
      <c r="M650" s="1105"/>
      <c r="N650" s="1105"/>
      <c r="O650" s="1097" t="s">
        <v>2147</v>
      </c>
      <c r="P650" s="1105"/>
      <c r="Q650" s="1105"/>
      <c r="R650" s="1105"/>
      <c r="S650" s="1105"/>
      <c r="T650" s="1105"/>
      <c r="U650" s="1079"/>
      <c r="V650" s="1079"/>
      <c r="W650" s="1079"/>
      <c r="X650" s="1079"/>
      <c r="Y650" s="1079"/>
      <c r="Z650" s="1079"/>
      <c r="AA650" s="1079"/>
      <c r="AB650" s="1079"/>
      <c r="AC650" s="1079"/>
      <c r="AD650" s="1079"/>
      <c r="AE650" s="1105"/>
      <c r="AF650" s="1079"/>
      <c r="AG650" s="1079"/>
      <c r="AH650" s="1105"/>
      <c r="AI650" s="1105"/>
      <c r="AJ650" s="1079"/>
      <c r="AK650" s="1079"/>
      <c r="AL650" s="1079"/>
      <c r="AM650" s="1105"/>
      <c r="AN650" s="1105"/>
      <c r="AO650" s="1079"/>
      <c r="AP650" s="1079"/>
      <c r="AQ650" s="1079"/>
      <c r="AR650" s="1079"/>
      <c r="AS650" s="1079"/>
      <c r="AT650" s="1079"/>
      <c r="AU650" s="1105"/>
      <c r="AV650" s="1079"/>
      <c r="AW650" s="1079"/>
      <c r="AX650" s="1079"/>
      <c r="AY650" s="1079"/>
      <c r="AZ650" s="1079"/>
      <c r="BA650" s="1079"/>
      <c r="BB650" s="1079"/>
      <c r="BC650" s="1079"/>
      <c r="BD650" s="1079"/>
      <c r="BE650" s="1079"/>
      <c r="BF650" s="1079"/>
      <c r="BG650" s="1079"/>
      <c r="BH650" s="1079"/>
      <c r="BI650" s="1079"/>
      <c r="BJ650" s="1079"/>
      <c r="BK650" s="1105"/>
      <c r="BL650" s="1105"/>
      <c r="BM650" s="1105"/>
      <c r="BN650" s="1105"/>
      <c r="BO650" s="1079"/>
      <c r="BP650" s="1079"/>
      <c r="BQ650" s="1105"/>
      <c r="BR650" s="1079"/>
      <c r="BS650" s="1079"/>
      <c r="BT650" s="1079"/>
      <c r="BU650" s="1079"/>
      <c r="BV650" s="1105"/>
      <c r="BW650" s="1105"/>
      <c r="BX650" s="1105"/>
      <c r="BY650" s="1105"/>
      <c r="BZ650" s="1105"/>
      <c r="CA650" s="1105"/>
      <c r="CB650" s="1105"/>
      <c r="CC650" s="1105"/>
      <c r="CD650" s="999"/>
      <c r="CE650" s="1105"/>
      <c r="CF650" s="1105"/>
      <c r="CG650" s="1105"/>
      <c r="CH650" s="1105"/>
      <c r="CI650" s="1105"/>
      <c r="CJ650" s="1105"/>
      <c r="CK650" s="1105"/>
      <c r="CL650" s="1105"/>
      <c r="CM650" s="1105"/>
      <c r="CN650" s="1100" t="s">
        <v>2148</v>
      </c>
      <c r="CO650" s="1109"/>
      <c r="CP650" s="1110"/>
      <c r="CQ650" s="1111"/>
      <c r="CR650" s="1105"/>
      <c r="CS650" s="1105"/>
      <c r="CT650" s="1105"/>
      <c r="CU650" s="1105"/>
      <c r="CV650" s="1079"/>
      <c r="CW650" s="1079"/>
      <c r="CX650" s="1079"/>
      <c r="CY650" s="1079"/>
      <c r="CZ650" s="1079"/>
      <c r="DA650" s="1079"/>
      <c r="DB650" s="1112"/>
      <c r="DC650" s="1110"/>
      <c r="DD650" s="1079"/>
      <c r="DE650" s="1079"/>
      <c r="DF650" s="1079"/>
      <c r="DG650" s="1079"/>
      <c r="DH650" s="1079"/>
      <c r="DI650" s="1079"/>
      <c r="DJ650" s="999"/>
      <c r="DK650" s="999"/>
      <c r="DL650" s="999"/>
      <c r="DM650" s="999"/>
      <c r="DN650" s="999"/>
      <c r="DO650" s="999"/>
      <c r="DP650" s="999"/>
      <c r="DQ650" s="999"/>
      <c r="DR650" s="999"/>
      <c r="DS650" s="999"/>
      <c r="DT650" s="999"/>
      <c r="DU650" s="999"/>
      <c r="DV650" s="1080"/>
      <c r="DW650" s="1081"/>
      <c r="DX650" s="1082"/>
      <c r="DY650" s="999"/>
      <c r="DZ650" s="1080"/>
      <c r="EA650" s="1081"/>
      <c r="EB650" s="1082"/>
      <c r="EC650" s="999"/>
      <c r="ED650" s="999"/>
      <c r="EE650" s="999"/>
      <c r="EF650" s="999"/>
      <c r="EG650" s="999"/>
      <c r="EH650" s="999"/>
      <c r="EI650" s="999"/>
      <c r="EJ650" s="999"/>
      <c r="EK650" s="999"/>
      <c r="EL650" s="1113"/>
      <c r="EM650" s="1081"/>
      <c r="EN650" s="1082"/>
      <c r="EO650" s="999"/>
      <c r="EP650" s="999"/>
      <c r="EQ650" s="999"/>
      <c r="ER650" s="999"/>
      <c r="ES650" s="999"/>
      <c r="ET650" s="999"/>
      <c r="EU650" s="999"/>
      <c r="EV650" s="999"/>
      <c r="EW650" s="999"/>
      <c r="EX650" s="999"/>
      <c r="EY650" s="999"/>
      <c r="EZ650" s="999"/>
      <c r="FA650" s="999"/>
      <c r="FB650" s="1080"/>
      <c r="FC650" s="1081"/>
      <c r="FD650" s="1082"/>
      <c r="FE650" s="999"/>
      <c r="FF650" s="999"/>
      <c r="FG650" s="999"/>
      <c r="FH650" s="999"/>
      <c r="FI650" s="999"/>
      <c r="FJ650" s="999"/>
      <c r="FK650" s="999"/>
      <c r="FL650" s="999"/>
      <c r="FM650" s="999"/>
      <c r="FN650" s="999"/>
      <c r="FO650" s="999"/>
      <c r="FP650" s="999"/>
      <c r="FQ650" s="999"/>
      <c r="FR650" s="999"/>
      <c r="FS650" s="999"/>
      <c r="FT650" s="999"/>
      <c r="FU650" s="999"/>
      <c r="FV650" s="999"/>
      <c r="FW650" s="999"/>
      <c r="FX650" s="999"/>
      <c r="FY650" s="999"/>
      <c r="FZ650" s="999"/>
      <c r="GA650" s="999"/>
      <c r="GB650" s="999"/>
      <c r="GC650" s="999"/>
      <c r="GD650" s="999"/>
      <c r="GE650" s="999"/>
      <c r="GF650" s="999"/>
      <c r="GG650" s="999"/>
      <c r="GH650" s="999"/>
      <c r="GI650" s="1029"/>
      <c r="GJ650" s="1029"/>
      <c r="GK650" s="1029"/>
      <c r="GL650" s="1029"/>
      <c r="GM650" s="1029"/>
      <c r="GN650" s="1029"/>
      <c r="GO650" s="1029"/>
      <c r="GP650" s="1029"/>
      <c r="GQ650" s="1029"/>
      <c r="GR650" s="1029"/>
      <c r="GS650" s="1029"/>
      <c r="GT650" s="1029"/>
      <c r="GU650" s="1029"/>
      <c r="GV650" s="1029"/>
      <c r="GW650" s="1029"/>
      <c r="GX650" s="1027"/>
      <c r="GY650" s="1029"/>
      <c r="GZ650" s="1029"/>
      <c r="HA650" s="1029"/>
      <c r="HB650" s="1029"/>
      <c r="HC650" s="1029"/>
      <c r="HD650" s="1029"/>
      <c r="HE650" s="999"/>
      <c r="HF650" s="999"/>
      <c r="HG650" s="999"/>
      <c r="HH650" s="999"/>
      <c r="HI650" s="999"/>
      <c r="HJ650" s="999"/>
      <c r="HK650" s="999"/>
      <c r="HL650" s="999"/>
      <c r="HM650" s="999"/>
      <c r="HN650" s="999"/>
      <c r="HO650" s="999"/>
      <c r="HP650" s="999"/>
      <c r="HQ650" s="999"/>
      <c r="HR650" s="999"/>
      <c r="HS650" s="999"/>
      <c r="HT650" s="999"/>
      <c r="HU650" s="999"/>
      <c r="HV650" s="999"/>
      <c r="HW650" s="999"/>
      <c r="HX650" s="999"/>
      <c r="HY650" s="999"/>
      <c r="HZ650" s="999"/>
      <c r="IA650" s="999"/>
      <c r="IB650" s="999"/>
      <c r="IC650" s="999"/>
      <c r="ID650" s="999"/>
      <c r="IE650" s="999"/>
      <c r="IF650" s="999"/>
      <c r="IG650" s="999"/>
      <c r="IH650" s="999"/>
      <c r="II650" s="999"/>
      <c r="IJ650" s="999"/>
      <c r="IK650" s="999"/>
      <c r="IL650" s="999"/>
      <c r="IM650" s="999"/>
      <c r="IN650" s="999"/>
      <c r="IO650" s="999"/>
      <c r="IP650" s="999"/>
      <c r="IQ650" s="999"/>
      <c r="IR650" s="999"/>
      <c r="IS650" s="999"/>
      <c r="IT650" s="999"/>
      <c r="IU650" s="999"/>
      <c r="IV650" s="999"/>
      <c r="IW650" s="999"/>
      <c r="IX650" s="999"/>
      <c r="IY650" s="999"/>
      <c r="IZ650" s="999"/>
      <c r="JA650" s="999"/>
      <c r="JB650" s="999"/>
      <c r="JC650" s="999"/>
      <c r="JD650" s="999"/>
      <c r="JE650" s="999"/>
      <c r="JF650" s="1088"/>
      <c r="JG650" s="999"/>
      <c r="JH650" s="999"/>
      <c r="JI650" s="999"/>
      <c r="JJ650" s="999"/>
      <c r="JK650" s="999"/>
      <c r="JL650" s="999"/>
      <c r="JM650" s="999"/>
      <c r="JN650" s="999"/>
      <c r="JO650" s="999"/>
      <c r="JP650" s="999"/>
      <c r="JQ650" s="999"/>
      <c r="JR650" s="999"/>
      <c r="JS650" s="999"/>
      <c r="JT650" s="999"/>
      <c r="JU650" s="999"/>
      <c r="JV650" s="999"/>
      <c r="JW650" s="999"/>
      <c r="JX650" s="999"/>
      <c r="JY650" s="999"/>
      <c r="JZ650" s="999"/>
      <c r="KA650" s="999"/>
      <c r="KB650" s="999"/>
      <c r="KC650" s="999"/>
      <c r="KD650" s="999"/>
      <c r="KE650" s="999"/>
      <c r="KF650" s="999"/>
      <c r="KG650" s="999"/>
      <c r="KH650" s="999"/>
      <c r="KI650" s="999"/>
      <c r="KJ650" s="999"/>
      <c r="KK650" s="999"/>
      <c r="KL650" s="999"/>
      <c r="KM650" s="999"/>
      <c r="KN650" s="999"/>
      <c r="KO650" s="999"/>
      <c r="KP650" s="999"/>
      <c r="KQ650" s="999"/>
      <c r="KR650" s="999"/>
      <c r="KS650" s="999"/>
      <c r="KT650" s="999"/>
      <c r="KU650" s="999"/>
      <c r="KV650" s="999"/>
      <c r="KW650" s="999"/>
      <c r="KX650" s="999"/>
      <c r="KY650" s="999"/>
      <c r="KZ650" s="999"/>
      <c r="LA650" s="999"/>
      <c r="LB650" s="999"/>
      <c r="LC650" s="999"/>
      <c r="LD650" s="999"/>
      <c r="LE650" s="999"/>
      <c r="LF650" s="999"/>
      <c r="LG650" s="999"/>
      <c r="LH650" s="999"/>
      <c r="LI650" s="999"/>
      <c r="LJ650" s="999"/>
      <c r="LK650" s="999"/>
      <c r="LL650" s="999"/>
      <c r="LM650" s="999"/>
      <c r="LN650" s="999"/>
      <c r="LO650" s="999"/>
      <c r="LP650" s="999"/>
      <c r="LQ650" s="999"/>
      <c r="LR650" s="999"/>
      <c r="LS650" s="999"/>
      <c r="LT650" s="999"/>
      <c r="LU650" s="999"/>
      <c r="LV650" s="999"/>
      <c r="LW650" s="999"/>
      <c r="LX650" s="999"/>
      <c r="LY650" s="1089"/>
      <c r="LZ650" s="1088"/>
      <c r="MA650" s="999"/>
      <c r="MB650" s="999"/>
      <c r="MC650" s="999"/>
      <c r="MD650" s="999"/>
      <c r="ME650" s="999"/>
      <c r="MF650" s="999"/>
    </row>
  </sheetData>
  <autoFilter ref="A28:ASU641"/>
  <dataConsolidate/>
  <mergeCells count="12">
    <mergeCell ref="EE25:ET25"/>
    <mergeCell ref="EU25:FJ25"/>
    <mergeCell ref="FK25:FY25"/>
    <mergeCell ref="AU644:BQ644"/>
    <mergeCell ref="B22:DI22"/>
    <mergeCell ref="B23:DI23"/>
    <mergeCell ref="D25:T25"/>
    <mergeCell ref="U25:AD25"/>
    <mergeCell ref="AE25:AT25"/>
    <mergeCell ref="AU25:CN25"/>
    <mergeCell ref="CO25:CZ25"/>
    <mergeCell ref="DA25:DI25"/>
  </mergeCells>
  <conditionalFormatting sqref="J554">
    <cfRule type="duplicateValues" dxfId="16" priority="12"/>
    <cfRule type="duplicateValues" dxfId="15" priority="13"/>
  </conditionalFormatting>
  <conditionalFormatting sqref="J27">
    <cfRule type="duplicateValues" dxfId="14" priority="10"/>
    <cfRule type="duplicateValues" dxfId="13" priority="11"/>
  </conditionalFormatting>
  <conditionalFormatting sqref="J27">
    <cfRule type="duplicateValues" dxfId="12" priority="9"/>
  </conditionalFormatting>
  <conditionalFormatting sqref="J1:J626 J628:J1048576">
    <cfRule type="duplicateValues" dxfId="11" priority="7"/>
    <cfRule type="duplicateValues" dxfId="10" priority="8"/>
  </conditionalFormatting>
  <conditionalFormatting sqref="J643:J646 J555:J626 J29:J553 J26 J628:J641">
    <cfRule type="duplicateValues" dxfId="9" priority="14"/>
    <cfRule type="duplicateValues" dxfId="8" priority="15"/>
  </conditionalFormatting>
  <conditionalFormatting sqref="J643:J646 J29:J626 J26 J628:J641">
    <cfRule type="duplicateValues" dxfId="7" priority="16"/>
  </conditionalFormatting>
  <conditionalFormatting sqref="J1:J626 J628:J650">
    <cfRule type="duplicateValues" dxfId="6" priority="17"/>
  </conditionalFormatting>
  <conditionalFormatting sqref="J627">
    <cfRule type="duplicateValues" dxfId="5" priority="1"/>
    <cfRule type="duplicateValues" dxfId="4" priority="2"/>
  </conditionalFormatting>
  <conditionalFormatting sqref="J627">
    <cfRule type="duplicateValues" dxfId="3" priority="3"/>
    <cfRule type="duplicateValues" dxfId="2" priority="4"/>
  </conditionalFormatting>
  <conditionalFormatting sqref="J627">
    <cfRule type="duplicateValues" dxfId="1" priority="5"/>
  </conditionalFormatting>
  <conditionalFormatting sqref="J627">
    <cfRule type="duplicateValues" dxfId="0" priority="6"/>
  </conditionalFormatting>
  <dataValidations count="2">
    <dataValidation type="list" allowBlank="1" showInputMessage="1" sqref="GI556:GI570 GS480 GA556:GA570 GA572:GA641 DI479 GC481:GC554 GK480 GI229:GI554 GI29:GI227 GI572:GI641 GA29:GA227 FZ480:GC480 GA481:GA554 GC556:GC570 GC229:GC479 GC29:GC227 GC572:GC641 GA229:GA368 GA370:GA479">
      <formula1>#REF!</formula1>
    </dataValidation>
    <dataValidation allowBlank="1" showInputMessage="1" sqref="GS29:GS479 GB29:GB392 GS481:GS641 GK394:GK479 GB394:GB479 GK481:GK641 GK29:GK392 FZ394:FZ479 GB481:GB641 FZ481:FZ641 FZ29:FZ392"/>
  </dataValidations>
  <pageMargins left="0.70866141732283472" right="0.70866141732283472" top="0.74803149606299213" bottom="0.74803149606299213" header="0.31496062992125984" footer="0.31496062992125984"/>
  <pageSetup paperSize="8" scale="16" fitToHeight="0" orientation="landscape" r:id="rId1"/>
  <rowBreaks count="9" manualBreakCount="9">
    <brk id="79" min="1" max="127" man="1"/>
    <brk id="160" min="1" max="127" man="1"/>
    <brk id="247" min="1" max="127" man="1"/>
    <brk id="320" min="1" max="127" man="1"/>
    <brk id="402" min="1" max="127" man="1"/>
    <brk id="453" min="1" max="127" man="1"/>
    <brk id="456" min="1" max="127" man="1"/>
    <brk id="523" min="1" max="127" man="1"/>
    <brk id="585" min="1" max="127" man="1"/>
  </rowBreaks>
  <colBreaks count="1" manualBreakCount="1">
    <brk id="7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G502"/>
  <sheetViews>
    <sheetView tabSelected="1" view="pageBreakPreview" topLeftCell="A10" zoomScale="40" zoomScaleNormal="70" zoomScaleSheetLayoutView="40" workbookViewId="0">
      <selection activeCell="L20" sqref="L20"/>
    </sheetView>
  </sheetViews>
  <sheetFormatPr defaultColWidth="8" defaultRowHeight="21" outlineLevelRow="2" x14ac:dyDescent="0.25"/>
  <cols>
    <col min="1" max="1" width="32.7109375" style="1121" customWidth="1"/>
    <col min="2" max="3" width="18.28515625" style="1121" customWidth="1"/>
    <col min="4" max="4" width="28.28515625" style="1121" customWidth="1"/>
    <col min="5" max="6" width="23.42578125" style="1121" customWidth="1"/>
    <col min="7" max="11" width="18.28515625" style="1121" customWidth="1"/>
    <col min="12" max="14" width="25.85546875" style="1121" customWidth="1"/>
    <col min="15" max="26" width="18.28515625" style="1121" customWidth="1"/>
    <col min="27" max="29" width="25.85546875" style="1121" customWidth="1"/>
    <col min="30" max="40" width="18.28515625" style="1121" customWidth="1"/>
    <col min="41" max="42" width="25.85546875" style="1121" customWidth="1"/>
    <col min="43" max="48" width="18.28515625" style="1121" customWidth="1"/>
    <col min="49" max="49" width="18.28515625" style="1161" customWidth="1"/>
    <col min="50" max="50" width="25.85546875" style="1121" customWidth="1"/>
    <col min="51" max="51" width="96" style="1121" customWidth="1"/>
    <col min="52" max="52" width="18.28515625" style="1162" customWidth="1"/>
    <col min="53" max="53" width="18.28515625" style="1143" customWidth="1"/>
    <col min="54" max="54" width="18.28515625" style="1121" customWidth="1"/>
    <col min="55" max="55" width="25.85546875" style="1121" customWidth="1"/>
    <col min="56" max="56" width="79.5703125" style="1121" customWidth="1"/>
    <col min="57" max="16384" width="8" style="1121"/>
  </cols>
  <sheetData>
    <row r="1" spans="1:57" s="1117" customFormat="1" ht="30.75" customHeight="1" x14ac:dyDescent="0.25">
      <c r="A1" s="287"/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9"/>
      <c r="X1" s="288"/>
      <c r="Y1" s="288"/>
      <c r="Z1" s="288"/>
      <c r="AA1" s="288"/>
      <c r="AB1" s="288"/>
      <c r="AC1" s="288"/>
      <c r="AD1" s="288"/>
      <c r="AE1" s="288"/>
      <c r="AF1" s="288"/>
      <c r="AG1" s="288"/>
      <c r="AH1" s="288"/>
      <c r="AI1" s="288"/>
      <c r="AJ1" s="288"/>
      <c r="AK1" s="288"/>
      <c r="AL1" s="288"/>
      <c r="AM1" s="288"/>
      <c r="AN1" s="288"/>
      <c r="AO1" s="288"/>
      <c r="AP1" s="288"/>
      <c r="AQ1" s="288"/>
      <c r="AR1" s="288"/>
      <c r="AS1" s="288"/>
      <c r="AT1" s="288"/>
      <c r="AU1" s="288"/>
      <c r="AV1" s="288"/>
      <c r="AW1" s="288"/>
      <c r="AX1" s="288"/>
      <c r="AY1" s="288"/>
      <c r="AZ1" s="290"/>
      <c r="BA1" s="290"/>
      <c r="BB1" s="1115"/>
      <c r="BC1" s="290"/>
      <c r="BD1" s="291" t="s">
        <v>0</v>
      </c>
      <c r="BE1" s="1116"/>
    </row>
    <row r="2" spans="1:57" s="1117" customFormat="1" ht="53.25" customHeight="1" x14ac:dyDescent="0.25">
      <c r="A2" s="287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9"/>
      <c r="X2" s="288"/>
      <c r="Y2" s="288"/>
      <c r="Z2" s="288"/>
      <c r="AA2" s="288"/>
      <c r="AB2" s="288"/>
      <c r="AC2" s="288"/>
      <c r="AD2" s="288"/>
      <c r="AE2" s="288"/>
      <c r="AF2" s="288"/>
      <c r="AG2" s="288"/>
      <c r="AH2" s="288"/>
      <c r="AI2" s="288"/>
      <c r="AJ2" s="288"/>
      <c r="AK2" s="288"/>
      <c r="AL2" s="288"/>
      <c r="AM2" s="288"/>
      <c r="AN2" s="288"/>
      <c r="AO2" s="288"/>
      <c r="AP2" s="288"/>
      <c r="AQ2" s="288"/>
      <c r="AR2" s="288"/>
      <c r="AS2" s="288"/>
      <c r="AT2" s="288"/>
      <c r="AU2" s="288"/>
      <c r="AV2" s="288"/>
      <c r="AW2" s="1118"/>
      <c r="AX2" s="288"/>
      <c r="AY2" s="288"/>
      <c r="AZ2" s="290"/>
      <c r="BA2" s="290"/>
      <c r="BB2" s="292"/>
      <c r="BC2" s="290"/>
      <c r="BD2" s="293" t="s">
        <v>2</v>
      </c>
      <c r="BE2" s="1116"/>
    </row>
    <row r="3" spans="1:57" s="1117" customFormat="1" ht="53.25" customHeight="1" x14ac:dyDescent="0.25">
      <c r="A3" s="287"/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9"/>
      <c r="X3" s="288"/>
      <c r="Y3" s="288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8"/>
      <c r="AK3" s="288"/>
      <c r="AL3" s="288"/>
      <c r="AM3" s="288"/>
      <c r="AN3" s="288"/>
      <c r="AO3" s="288"/>
      <c r="AP3" s="288"/>
      <c r="AQ3" s="288"/>
      <c r="AR3" s="288"/>
      <c r="AS3" s="288"/>
      <c r="AT3" s="288"/>
      <c r="AU3" s="288"/>
      <c r="AV3" s="288"/>
      <c r="AW3" s="1119"/>
      <c r="AX3" s="288"/>
      <c r="AY3" s="288"/>
      <c r="AZ3" s="290"/>
      <c r="BA3" s="290"/>
      <c r="BB3" s="1120"/>
      <c r="BC3" s="290"/>
      <c r="BD3" s="294" t="s">
        <v>4</v>
      </c>
      <c r="BE3" s="1116"/>
    </row>
    <row r="4" spans="1:57" s="1117" customFormat="1" ht="60.75" customHeight="1" x14ac:dyDescent="0.25">
      <c r="A4" s="287"/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9"/>
      <c r="X4" s="288"/>
      <c r="Y4" s="288"/>
      <c r="Z4" s="288"/>
      <c r="AA4" s="288"/>
      <c r="AB4" s="288"/>
      <c r="AC4" s="288"/>
      <c r="AD4" s="288"/>
      <c r="AE4" s="288"/>
      <c r="AF4" s="288"/>
      <c r="AG4" s="288"/>
      <c r="AH4" s="288"/>
      <c r="AI4" s="288"/>
      <c r="AJ4" s="288"/>
      <c r="AK4" s="288"/>
      <c r="AL4" s="288"/>
      <c r="AM4" s="288"/>
      <c r="AN4" s="288"/>
      <c r="AO4" s="288"/>
      <c r="AP4" s="288"/>
      <c r="AQ4" s="288"/>
      <c r="AR4" s="288"/>
      <c r="AS4" s="288"/>
      <c r="AT4" s="288"/>
      <c r="AU4" s="288"/>
      <c r="AV4" s="288"/>
      <c r="AW4" s="759"/>
      <c r="AX4" s="288"/>
      <c r="AY4" s="288"/>
      <c r="AZ4" s="290"/>
      <c r="BA4" s="290"/>
      <c r="BB4" s="1115"/>
      <c r="BC4" s="290"/>
      <c r="BD4" s="293" t="s">
        <v>5</v>
      </c>
      <c r="BE4" s="1116"/>
    </row>
    <row r="5" spans="1:57" s="1117" customFormat="1" ht="70.5" customHeight="1" x14ac:dyDescent="0.25">
      <c r="A5" s="287"/>
      <c r="B5" s="288"/>
      <c r="C5" s="288"/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9"/>
      <c r="X5" s="288"/>
      <c r="Y5" s="288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8"/>
      <c r="AK5" s="288"/>
      <c r="AL5" s="288"/>
      <c r="AM5" s="288"/>
      <c r="AN5" s="288"/>
      <c r="AO5" s="288"/>
      <c r="AP5" s="288"/>
      <c r="AQ5" s="288"/>
      <c r="AR5" s="288"/>
      <c r="AS5" s="288"/>
      <c r="AT5" s="288"/>
      <c r="AU5" s="288"/>
      <c r="AV5" s="288"/>
      <c r="AW5" s="1119"/>
      <c r="AX5" s="288"/>
      <c r="AY5" s="288"/>
      <c r="AZ5" s="290"/>
      <c r="BA5" s="290"/>
      <c r="BB5" s="295"/>
      <c r="BC5" s="290"/>
      <c r="BD5" s="293" t="s">
        <v>2149</v>
      </c>
      <c r="BE5" s="1116"/>
    </row>
    <row r="6" spans="1:57" s="1117" customFormat="1" ht="30.75" customHeight="1" x14ac:dyDescent="0.25">
      <c r="A6" s="287"/>
      <c r="B6" s="288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9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1119"/>
      <c r="AX6" s="288"/>
      <c r="AY6" s="288"/>
      <c r="AZ6" s="290"/>
      <c r="BA6" s="290"/>
      <c r="BB6" s="1115"/>
      <c r="BC6" s="290"/>
      <c r="BD6" s="291"/>
      <c r="BE6" s="1116"/>
    </row>
    <row r="7" spans="1:57" s="1117" customFormat="1" ht="51.75" customHeight="1" x14ac:dyDescent="0.25">
      <c r="A7" s="287"/>
      <c r="B7" s="288"/>
      <c r="C7" s="288"/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9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759"/>
      <c r="AX7" s="288"/>
      <c r="AY7" s="288"/>
      <c r="AZ7" s="290"/>
      <c r="BA7" s="290"/>
      <c r="BB7" s="1115"/>
      <c r="BC7" s="290"/>
      <c r="BD7" s="293" t="s">
        <v>2150</v>
      </c>
      <c r="BE7" s="1116"/>
    </row>
    <row r="8" spans="1:57" s="1117" customFormat="1" ht="60.75" customHeight="1" x14ac:dyDescent="0.25">
      <c r="A8" s="287"/>
      <c r="B8" s="759"/>
      <c r="C8" s="759"/>
      <c r="D8" s="759"/>
      <c r="E8" s="759"/>
      <c r="F8" s="759"/>
      <c r="G8" s="759"/>
      <c r="H8" s="759"/>
      <c r="I8" s="759"/>
      <c r="J8" s="759"/>
      <c r="K8" s="759"/>
      <c r="L8" s="759"/>
      <c r="M8" s="759"/>
      <c r="N8" s="759"/>
      <c r="O8" s="759"/>
      <c r="P8" s="759"/>
      <c r="Q8" s="759"/>
      <c r="R8" s="759"/>
      <c r="S8" s="759"/>
      <c r="T8" s="759"/>
      <c r="U8" s="759"/>
      <c r="V8" s="759"/>
      <c r="W8" s="759"/>
      <c r="X8" s="759"/>
      <c r="Y8" s="759"/>
      <c r="Z8" s="759"/>
      <c r="AA8" s="759"/>
      <c r="AB8" s="759"/>
      <c r="AC8" s="759"/>
      <c r="AD8" s="759"/>
      <c r="AE8" s="759"/>
      <c r="AF8" s="759"/>
      <c r="AG8" s="759"/>
      <c r="AH8" s="759"/>
      <c r="AI8" s="759"/>
      <c r="AJ8" s="759"/>
      <c r="AK8" s="759"/>
      <c r="AL8" s="759"/>
      <c r="AM8" s="759"/>
      <c r="AN8" s="759"/>
      <c r="AO8" s="759"/>
      <c r="AP8" s="759"/>
      <c r="AQ8" s="759"/>
      <c r="AR8" s="759"/>
      <c r="AS8" s="759"/>
      <c r="AT8" s="759"/>
      <c r="AU8" s="759"/>
      <c r="AV8" s="759"/>
      <c r="AW8" s="759"/>
      <c r="AX8" s="288"/>
      <c r="AY8" s="288"/>
      <c r="AZ8" s="290"/>
      <c r="BA8" s="290"/>
      <c r="BB8" s="295"/>
      <c r="BC8" s="290"/>
      <c r="BD8" s="293" t="s">
        <v>2151</v>
      </c>
      <c r="BE8" s="1116"/>
    </row>
    <row r="9" spans="1:57" s="1117" customFormat="1" ht="59.25" customHeight="1" x14ac:dyDescent="0.25">
      <c r="A9" s="287"/>
      <c r="B9" s="296"/>
      <c r="C9" s="296"/>
      <c r="D9" s="296"/>
      <c r="E9" s="296"/>
      <c r="F9" s="296"/>
      <c r="G9" s="296"/>
      <c r="H9" s="296"/>
      <c r="I9" s="296"/>
      <c r="J9" s="296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96"/>
      <c r="Y9" s="296"/>
      <c r="Z9" s="296"/>
      <c r="AA9" s="296"/>
      <c r="AB9" s="296"/>
      <c r="AC9" s="296"/>
      <c r="AD9" s="289"/>
      <c r="AE9" s="289"/>
      <c r="AF9" s="289"/>
      <c r="AG9" s="289"/>
      <c r="AH9" s="289"/>
      <c r="AI9" s="289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90"/>
      <c r="BA9" s="290"/>
      <c r="BB9" s="297"/>
      <c r="BC9" s="290"/>
      <c r="BD9" s="294" t="s">
        <v>4</v>
      </c>
      <c r="BE9" s="1116"/>
    </row>
    <row r="10" spans="1:57" s="1117" customFormat="1" ht="48" customHeight="1" x14ac:dyDescent="0.25">
      <c r="A10" s="287"/>
      <c r="B10" s="298"/>
      <c r="C10" s="298"/>
      <c r="D10" s="298"/>
      <c r="E10" s="298"/>
      <c r="F10" s="298"/>
      <c r="G10" s="298"/>
      <c r="H10" s="298"/>
      <c r="I10" s="298"/>
      <c r="J10" s="298"/>
      <c r="K10" s="298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8"/>
      <c r="X10" s="298"/>
      <c r="Y10" s="298"/>
      <c r="Z10" s="298"/>
      <c r="AA10" s="298"/>
      <c r="AB10" s="298"/>
      <c r="AC10" s="299"/>
      <c r="AD10" s="299"/>
      <c r="AE10" s="299"/>
      <c r="AF10" s="299"/>
      <c r="AG10" s="299"/>
      <c r="AH10" s="298"/>
      <c r="AI10" s="299"/>
      <c r="AJ10" s="299"/>
      <c r="AK10" s="299"/>
      <c r="AL10" s="299"/>
      <c r="AM10" s="299"/>
      <c r="AN10" s="298"/>
      <c r="AO10" s="298"/>
      <c r="AP10" s="298"/>
      <c r="AQ10" s="298"/>
      <c r="AR10" s="298"/>
      <c r="AS10" s="298"/>
      <c r="AT10" s="298"/>
      <c r="AU10" s="298"/>
      <c r="AV10" s="298"/>
      <c r="AW10" s="298"/>
      <c r="AX10" s="288"/>
      <c r="AY10" s="288"/>
      <c r="AZ10" s="290"/>
      <c r="BA10" s="290"/>
      <c r="BB10" s="297"/>
      <c r="BC10" s="290"/>
      <c r="BD10" s="293" t="s">
        <v>11</v>
      </c>
      <c r="BE10" s="1116"/>
    </row>
    <row r="11" spans="1:57" s="1117" customFormat="1" ht="51.75" customHeight="1" x14ac:dyDescent="0.25">
      <c r="A11" s="287"/>
      <c r="B11" s="296"/>
      <c r="C11" s="296"/>
      <c r="D11" s="296"/>
      <c r="E11" s="296"/>
      <c r="F11" s="296"/>
      <c r="G11" s="296"/>
      <c r="H11" s="296"/>
      <c r="I11" s="296"/>
      <c r="J11" s="296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96"/>
      <c r="Y11" s="296"/>
      <c r="Z11" s="296"/>
      <c r="AA11" s="296"/>
      <c r="AB11" s="296"/>
      <c r="AC11" s="296"/>
      <c r="AD11" s="289"/>
      <c r="AE11" s="289"/>
      <c r="AF11" s="289"/>
      <c r="AG11" s="289"/>
      <c r="AH11" s="289"/>
      <c r="AI11" s="289"/>
      <c r="AJ11" s="288"/>
      <c r="AK11" s="28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90"/>
      <c r="BA11" s="290"/>
      <c r="BB11" s="297"/>
      <c r="BC11" s="290"/>
      <c r="BD11" s="293" t="s">
        <v>2149</v>
      </c>
      <c r="BE11" s="1116"/>
    </row>
    <row r="12" spans="1:57" s="1117" customFormat="1" ht="36.75" customHeight="1" x14ac:dyDescent="0.25">
      <c r="A12" s="300"/>
      <c r="B12" s="772" t="s">
        <v>2152</v>
      </c>
      <c r="C12" s="772"/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  <c r="X12" s="772"/>
      <c r="Y12" s="772"/>
      <c r="Z12" s="772"/>
      <c r="AA12" s="772"/>
      <c r="AB12" s="772"/>
      <c r="AC12" s="772"/>
      <c r="AD12" s="772"/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1116"/>
    </row>
    <row r="13" spans="1:57" s="1117" customFormat="1" ht="36.75" customHeight="1" x14ac:dyDescent="0.25">
      <c r="A13" s="300"/>
      <c r="B13" s="772" t="s">
        <v>2153</v>
      </c>
      <c r="C13" s="772"/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2"/>
      <c r="P13" s="772"/>
      <c r="Q13" s="772"/>
      <c r="R13" s="772"/>
      <c r="S13" s="772"/>
      <c r="T13" s="772"/>
      <c r="U13" s="772"/>
      <c r="V13" s="772"/>
      <c r="W13" s="772"/>
      <c r="X13" s="772"/>
      <c r="Y13" s="772"/>
      <c r="Z13" s="772"/>
      <c r="AA13" s="772"/>
      <c r="AB13" s="772"/>
      <c r="AC13" s="772"/>
      <c r="AD13" s="772"/>
      <c r="AE13" s="772"/>
      <c r="AF13" s="772"/>
      <c r="AG13" s="772"/>
      <c r="AH13" s="772"/>
      <c r="AI13" s="772"/>
      <c r="AJ13" s="772"/>
      <c r="AK13" s="772"/>
      <c r="AL13" s="772"/>
      <c r="AM13" s="772"/>
      <c r="AN13" s="772"/>
      <c r="AO13" s="772"/>
      <c r="AP13" s="772"/>
      <c r="AQ13" s="772"/>
      <c r="AR13" s="772"/>
      <c r="AS13" s="772"/>
      <c r="AT13" s="772"/>
      <c r="AU13" s="772"/>
      <c r="AV13" s="772"/>
      <c r="AW13" s="772"/>
      <c r="AX13" s="772"/>
      <c r="AY13" s="772"/>
      <c r="AZ13" s="772"/>
      <c r="BA13" s="772"/>
      <c r="BB13" s="772"/>
      <c r="BC13" s="772"/>
      <c r="BD13" s="772"/>
      <c r="BE13" s="1116"/>
    </row>
    <row r="14" spans="1:57" s="1117" customFormat="1" ht="36.75" customHeight="1" x14ac:dyDescent="0.25">
      <c r="A14" s="300"/>
      <c r="B14" s="772" t="s">
        <v>2154</v>
      </c>
      <c r="C14" s="772"/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  <c r="X14" s="772"/>
      <c r="Y14" s="772"/>
      <c r="Z14" s="772"/>
      <c r="AA14" s="772"/>
      <c r="AB14" s="772"/>
      <c r="AC14" s="772"/>
      <c r="AD14" s="772"/>
      <c r="AE14" s="772"/>
      <c r="AF14" s="772"/>
      <c r="AG14" s="772"/>
      <c r="AH14" s="772"/>
      <c r="AI14" s="772"/>
      <c r="AJ14" s="772"/>
      <c r="AK14" s="772"/>
      <c r="AL14" s="772"/>
      <c r="AM14" s="772"/>
      <c r="AN14" s="772"/>
      <c r="AO14" s="772"/>
      <c r="AP14" s="772"/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1116"/>
    </row>
    <row r="15" spans="1:57" s="1122" customFormat="1" ht="36.75" customHeight="1" thickBot="1" x14ac:dyDescent="0.3">
      <c r="A15" s="301"/>
      <c r="B15" s="302"/>
      <c r="C15" s="302"/>
      <c r="D15" s="302"/>
      <c r="E15" s="302"/>
      <c r="F15" s="302"/>
      <c r="G15" s="302"/>
      <c r="H15" s="302"/>
      <c r="I15" s="302"/>
      <c r="J15" s="302"/>
      <c r="K15" s="302"/>
      <c r="L15" s="302"/>
      <c r="M15" s="302"/>
      <c r="N15" s="302"/>
      <c r="O15" s="302"/>
      <c r="P15" s="302"/>
      <c r="Q15" s="302"/>
      <c r="R15" s="302"/>
      <c r="S15" s="302"/>
      <c r="T15" s="302"/>
      <c r="U15" s="302"/>
      <c r="V15" s="302"/>
      <c r="W15" s="302"/>
      <c r="X15" s="302"/>
      <c r="Y15" s="302"/>
      <c r="Z15" s="302"/>
      <c r="AA15" s="302"/>
      <c r="AB15" s="302"/>
      <c r="AC15" s="302"/>
      <c r="AD15" s="302"/>
      <c r="AE15" s="302"/>
      <c r="AF15" s="302"/>
      <c r="AG15" s="302"/>
      <c r="AH15" s="302"/>
      <c r="AI15" s="302"/>
      <c r="AJ15" s="302"/>
      <c r="AK15" s="302"/>
      <c r="AL15" s="302"/>
      <c r="AM15" s="302"/>
      <c r="AN15" s="302"/>
      <c r="AO15" s="302"/>
      <c r="AP15" s="302"/>
      <c r="AQ15" s="302"/>
      <c r="AR15" s="302"/>
      <c r="AS15" s="302"/>
      <c r="AT15" s="302"/>
      <c r="AU15" s="302"/>
      <c r="AV15" s="302"/>
      <c r="AW15" s="302"/>
      <c r="AX15" s="302"/>
      <c r="AY15" s="302"/>
      <c r="AZ15" s="302"/>
      <c r="BA15" s="302"/>
      <c r="BB15" s="302"/>
      <c r="BC15" s="302"/>
      <c r="BD15" s="302"/>
      <c r="BE15" s="1121"/>
    </row>
    <row r="16" spans="1:57" ht="36.75" hidden="1" customHeight="1" outlineLevel="1" thickBot="1" x14ac:dyDescent="0.3">
      <c r="A16" s="301"/>
      <c r="B16" s="303" t="s">
        <v>2155</v>
      </c>
      <c r="C16" s="304"/>
      <c r="D16" s="304"/>
      <c r="E16" s="304"/>
      <c r="F16" s="304"/>
      <c r="G16" s="305" t="s">
        <v>167</v>
      </c>
      <c r="H16" s="304"/>
      <c r="I16" s="304"/>
      <c r="J16" s="306" t="s">
        <v>170</v>
      </c>
      <c r="K16" s="301"/>
      <c r="L16" s="301"/>
      <c r="M16" s="301"/>
      <c r="N16" s="301"/>
      <c r="O16" s="307"/>
      <c r="P16" s="307"/>
      <c r="Q16" s="301"/>
      <c r="R16" s="301"/>
      <c r="S16" s="301"/>
      <c r="T16" s="301"/>
      <c r="U16" s="301"/>
      <c r="V16" s="301"/>
      <c r="W16" s="301"/>
      <c r="X16" s="301"/>
      <c r="Y16" s="301"/>
      <c r="Z16" s="301"/>
      <c r="AA16" s="301"/>
      <c r="AB16" s="301"/>
      <c r="AC16" s="301"/>
      <c r="AD16" s="301"/>
      <c r="AE16" s="301"/>
      <c r="AF16" s="301"/>
      <c r="AG16" s="301"/>
      <c r="AH16" s="301"/>
      <c r="AI16" s="301"/>
      <c r="AJ16" s="301"/>
      <c r="AK16" s="301"/>
      <c r="AL16" s="301"/>
      <c r="AM16" s="301"/>
      <c r="AN16" s="301"/>
      <c r="AO16" s="301"/>
      <c r="AP16" s="301"/>
      <c r="AQ16" s="301"/>
      <c r="AR16" s="301"/>
      <c r="AS16" s="301"/>
      <c r="AT16" s="301"/>
      <c r="AU16" s="301"/>
      <c r="AV16" s="301"/>
      <c r="AW16" s="308"/>
      <c r="AX16" s="301"/>
      <c r="AY16" s="301"/>
      <c r="AZ16" s="309"/>
      <c r="BA16" s="310"/>
      <c r="BB16" s="301"/>
      <c r="BC16" s="301"/>
      <c r="BD16" s="301"/>
    </row>
    <row r="17" spans="1:56" ht="36.75" hidden="1" customHeight="1" collapsed="1" thickBot="1" x14ac:dyDescent="0.3">
      <c r="A17" s="301"/>
      <c r="B17" s="311"/>
      <c r="C17" s="311"/>
      <c r="D17" s="311"/>
      <c r="E17" s="311"/>
      <c r="F17" s="311"/>
      <c r="G17" s="311"/>
      <c r="H17" s="311"/>
      <c r="I17" s="311"/>
      <c r="J17" s="311"/>
      <c r="K17" s="301"/>
      <c r="L17" s="301"/>
      <c r="M17" s="301"/>
      <c r="N17" s="301"/>
      <c r="O17" s="307"/>
      <c r="P17" s="307"/>
      <c r="Q17" s="301"/>
      <c r="R17" s="301"/>
      <c r="S17" s="301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301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8"/>
      <c r="AX17" s="301"/>
      <c r="AY17" s="301"/>
      <c r="AZ17" s="309"/>
      <c r="BA17" s="310"/>
      <c r="BB17" s="301"/>
      <c r="BC17" s="301"/>
      <c r="BD17" s="301"/>
    </row>
    <row r="18" spans="1:56" ht="36.75" customHeight="1" x14ac:dyDescent="0.25">
      <c r="A18" s="301"/>
      <c r="B18" s="773" t="s">
        <v>2156</v>
      </c>
      <c r="C18" s="774"/>
      <c r="D18" s="774"/>
      <c r="E18" s="777" t="s">
        <v>2157</v>
      </c>
      <c r="F18" s="778"/>
      <c r="G18" s="779" t="s">
        <v>2158</v>
      </c>
      <c r="H18" s="778"/>
      <c r="I18" s="780" t="s">
        <v>2159</v>
      </c>
      <c r="J18" s="781"/>
      <c r="K18" s="301"/>
      <c r="L18" s="301"/>
      <c r="M18" s="301"/>
      <c r="N18" s="301"/>
      <c r="O18" s="312"/>
      <c r="P18" s="312"/>
      <c r="Q18" s="301"/>
      <c r="R18" s="301"/>
      <c r="S18" s="301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301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8"/>
      <c r="AX18" s="301"/>
      <c r="AY18" s="301"/>
      <c r="AZ18" s="309"/>
      <c r="BA18" s="310"/>
      <c r="BB18" s="1123"/>
      <c r="BC18" s="1124"/>
      <c r="BD18" s="1124"/>
    </row>
    <row r="19" spans="1:56" ht="51.75" customHeight="1" thickBot="1" x14ac:dyDescent="0.3">
      <c r="A19" s="301"/>
      <c r="B19" s="775"/>
      <c r="C19" s="776"/>
      <c r="D19" s="776"/>
      <c r="E19" s="313" t="s">
        <v>2160</v>
      </c>
      <c r="F19" s="314" t="s">
        <v>2161</v>
      </c>
      <c r="G19" s="314" t="s">
        <v>2160</v>
      </c>
      <c r="H19" s="314" t="s">
        <v>2161</v>
      </c>
      <c r="I19" s="315" t="s">
        <v>2160</v>
      </c>
      <c r="J19" s="316" t="s">
        <v>2161</v>
      </c>
      <c r="K19" s="301"/>
      <c r="L19" s="301"/>
      <c r="M19" s="301"/>
      <c r="N19" s="301"/>
      <c r="O19" s="317"/>
      <c r="P19" s="317"/>
      <c r="Q19" s="317"/>
      <c r="R19" s="317"/>
      <c r="S19" s="301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301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8"/>
      <c r="AX19" s="301"/>
      <c r="AY19" s="301"/>
      <c r="AZ19" s="309"/>
      <c r="BA19" s="310"/>
      <c r="BB19" s="318"/>
      <c r="BC19" s="1125"/>
      <c r="BD19" s="1125"/>
    </row>
    <row r="20" spans="1:56" ht="42.75" customHeight="1" x14ac:dyDescent="0.25">
      <c r="A20" s="301"/>
      <c r="B20" s="785" t="s">
        <v>2162</v>
      </c>
      <c r="C20" s="786"/>
      <c r="D20" s="787"/>
      <c r="E20" s="319">
        <f>SUM(E21:E22)</f>
        <v>-132.1939739649022</v>
      </c>
      <c r="F20" s="320">
        <f>SUM(F21:F22)</f>
        <v>-218.78789619245089</v>
      </c>
      <c r="G20" s="321">
        <f>SUM(G21,G22)</f>
        <v>-116.90956873999998</v>
      </c>
      <c r="H20" s="322">
        <f>SUM(H21,H22)</f>
        <v>-166.166</v>
      </c>
      <c r="I20" s="321">
        <f>G20-E20</f>
        <v>15.284405224902216</v>
      </c>
      <c r="J20" s="323">
        <f>H20-F20</f>
        <v>52.62189619245089</v>
      </c>
      <c r="K20" s="301"/>
      <c r="L20" s="301"/>
      <c r="M20" s="301"/>
      <c r="N20" s="301"/>
      <c r="O20" s="317"/>
      <c r="P20" s="312"/>
      <c r="Q20" s="317"/>
      <c r="R20" s="301"/>
      <c r="S20" s="301"/>
      <c r="T20" s="301"/>
      <c r="U20" s="301"/>
      <c r="V20" s="301"/>
      <c r="W20" s="301"/>
      <c r="X20" s="301"/>
      <c r="Y20" s="301"/>
      <c r="Z20" s="301"/>
      <c r="AA20" s="301"/>
      <c r="AB20" s="301"/>
      <c r="AC20" s="301"/>
      <c r="AD20" s="301"/>
      <c r="AE20" s="301"/>
      <c r="AF20" s="301"/>
      <c r="AG20" s="301"/>
      <c r="AH20" s="301"/>
      <c r="AI20" s="301"/>
      <c r="AJ20" s="301"/>
      <c r="AK20" s="301"/>
      <c r="AL20" s="301"/>
      <c r="AM20" s="301"/>
      <c r="AN20" s="301"/>
      <c r="AO20" s="301"/>
      <c r="AP20" s="301"/>
      <c r="AQ20" s="301"/>
      <c r="AR20" s="301"/>
      <c r="AS20" s="301"/>
      <c r="AT20" s="301"/>
      <c r="AU20" s="301"/>
      <c r="AV20" s="301"/>
      <c r="AW20" s="308"/>
      <c r="AX20" s="301"/>
      <c r="AY20" s="301"/>
      <c r="AZ20" s="309"/>
      <c r="BA20" s="310"/>
      <c r="BB20" s="1126"/>
      <c r="BC20" s="302"/>
      <c r="BD20" s="302"/>
    </row>
    <row r="21" spans="1:56" ht="42.75" customHeight="1" x14ac:dyDescent="0.25">
      <c r="A21" s="301"/>
      <c r="B21" s="788" t="s">
        <v>2163</v>
      </c>
      <c r="C21" s="789"/>
      <c r="D21" s="790"/>
      <c r="E21" s="324">
        <v>-81.332203036702197</v>
      </c>
      <c r="F21" s="325">
        <v>-153.11428335991499</v>
      </c>
      <c r="G21" s="326">
        <f>AQ173</f>
        <v>-74.340889199999992</v>
      </c>
      <c r="H21" s="327">
        <f>AR173</f>
        <v>-120.53</v>
      </c>
      <c r="I21" s="326">
        <f>G21-E21</f>
        <v>6.9913138367022043</v>
      </c>
      <c r="J21" s="328">
        <f t="shared" ref="J21:J22" si="0">H21-F21</f>
        <v>32.584283359914991</v>
      </c>
      <c r="K21" s="301"/>
      <c r="L21" s="301"/>
      <c r="M21" s="301"/>
      <c r="N21" s="301"/>
      <c r="O21" s="307"/>
      <c r="P21" s="307"/>
      <c r="Q21" s="301"/>
      <c r="R21" s="301"/>
      <c r="S21" s="301"/>
      <c r="T21" s="301"/>
      <c r="U21" s="301"/>
      <c r="V21" s="301"/>
      <c r="W21" s="301"/>
      <c r="X21" s="301"/>
      <c r="Y21" s="301"/>
      <c r="Z21" s="301"/>
      <c r="AA21" s="301"/>
      <c r="AB21" s="301"/>
      <c r="AC21" s="301"/>
      <c r="AD21" s="301"/>
      <c r="AE21" s="301"/>
      <c r="AF21" s="301"/>
      <c r="AG21" s="301"/>
      <c r="AH21" s="301"/>
      <c r="AI21" s="301"/>
      <c r="AJ21" s="301"/>
      <c r="AK21" s="301"/>
      <c r="AL21" s="301"/>
      <c r="AM21" s="301"/>
      <c r="AN21" s="301"/>
      <c r="AO21" s="301"/>
      <c r="AP21" s="301"/>
      <c r="AQ21" s="301"/>
      <c r="AR21" s="301"/>
      <c r="AS21" s="301"/>
      <c r="AT21" s="301"/>
      <c r="AU21" s="301"/>
      <c r="AV21" s="301"/>
      <c r="AW21" s="308"/>
      <c r="AX21" s="301"/>
      <c r="AY21" s="301"/>
      <c r="AZ21" s="309"/>
      <c r="BA21" s="310"/>
      <c r="BB21" s="1123"/>
      <c r="BC21" s="1125"/>
      <c r="BD21" s="1125"/>
    </row>
    <row r="22" spans="1:56" ht="42.75" customHeight="1" thickBot="1" x14ac:dyDescent="0.3">
      <c r="A22" s="301"/>
      <c r="B22" s="791" t="s">
        <v>2164</v>
      </c>
      <c r="C22" s="792"/>
      <c r="D22" s="793"/>
      <c r="E22" s="329">
        <v>-50.861770928200002</v>
      </c>
      <c r="F22" s="330">
        <v>-65.673612832535895</v>
      </c>
      <c r="G22" s="331">
        <f>AQ176</f>
        <v>-42.568679539999991</v>
      </c>
      <c r="H22" s="332">
        <f>AR176</f>
        <v>-45.636000000000003</v>
      </c>
      <c r="I22" s="331">
        <f t="shared" ref="I22" si="1">G22-E22</f>
        <v>8.2930913882000112</v>
      </c>
      <c r="J22" s="333">
        <f t="shared" si="0"/>
        <v>20.037612832535892</v>
      </c>
      <c r="K22" s="301"/>
      <c r="L22" s="301"/>
      <c r="M22" s="301"/>
      <c r="N22" s="301"/>
      <c r="O22" s="301"/>
      <c r="P22" s="301"/>
      <c r="Q22" s="301"/>
      <c r="R22" s="301"/>
      <c r="S22" s="301"/>
      <c r="T22" s="301"/>
      <c r="U22" s="301"/>
      <c r="V22" s="301"/>
      <c r="W22" s="301"/>
      <c r="X22" s="301"/>
      <c r="Y22" s="301"/>
      <c r="Z22" s="301"/>
      <c r="AA22" s="301"/>
      <c r="AB22" s="301"/>
      <c r="AC22" s="301"/>
      <c r="AD22" s="301"/>
      <c r="AE22" s="301"/>
      <c r="AF22" s="301"/>
      <c r="AG22" s="301"/>
      <c r="AH22" s="301"/>
      <c r="AI22" s="301"/>
      <c r="AJ22" s="301"/>
      <c r="AK22" s="301"/>
      <c r="AL22" s="301"/>
      <c r="AM22" s="301"/>
      <c r="AN22" s="301"/>
      <c r="AO22" s="301"/>
      <c r="AP22" s="301"/>
      <c r="AQ22" s="301"/>
      <c r="AR22" s="301"/>
      <c r="AS22" s="301"/>
      <c r="AT22" s="301"/>
      <c r="AU22" s="301"/>
      <c r="AV22" s="301"/>
      <c r="AW22" s="308"/>
      <c r="AX22" s="301"/>
      <c r="AY22" s="301"/>
      <c r="AZ22" s="309"/>
      <c r="BA22" s="310"/>
      <c r="BB22" s="334"/>
      <c r="BC22" s="301"/>
      <c r="BD22" s="301"/>
    </row>
    <row r="23" spans="1:56" ht="42.75" customHeight="1" x14ac:dyDescent="0.25">
      <c r="A23" s="301"/>
      <c r="B23" s="794" t="s">
        <v>2165</v>
      </c>
      <c r="C23" s="795"/>
      <c r="D23" s="796"/>
      <c r="E23" s="335"/>
      <c r="F23" s="336"/>
      <c r="G23" s="337"/>
      <c r="H23" s="336"/>
      <c r="I23" s="338"/>
      <c r="J23" s="339"/>
      <c r="K23" s="301"/>
      <c r="L23" s="301"/>
      <c r="M23" s="301"/>
      <c r="N23" s="301"/>
      <c r="O23" s="301"/>
      <c r="P23" s="301"/>
      <c r="Q23" s="301"/>
      <c r="R23" s="301"/>
      <c r="S23" s="301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301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8"/>
      <c r="AX23" s="301"/>
      <c r="AY23" s="301"/>
      <c r="AZ23" s="309"/>
      <c r="BA23" s="310"/>
      <c r="BB23" s="1123"/>
      <c r="BC23" s="301"/>
      <c r="BD23" s="301"/>
    </row>
    <row r="24" spans="1:56" ht="42.75" customHeight="1" x14ac:dyDescent="0.25">
      <c r="A24" s="301"/>
      <c r="B24" s="788" t="s">
        <v>2166</v>
      </c>
      <c r="C24" s="789"/>
      <c r="D24" s="790"/>
      <c r="E24" s="340"/>
      <c r="F24" s="341"/>
      <c r="G24" s="326">
        <f>AQ174</f>
        <v>-65.2330872</v>
      </c>
      <c r="H24" s="327">
        <f>AR174</f>
        <v>-103.73</v>
      </c>
      <c r="I24" s="342"/>
      <c r="J24" s="343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8"/>
      <c r="AX24" s="301"/>
      <c r="AY24" s="301"/>
      <c r="AZ24" s="309"/>
      <c r="BA24" s="310"/>
      <c r="BB24" s="1123"/>
      <c r="BC24" s="301"/>
      <c r="BD24" s="301"/>
    </row>
    <row r="25" spans="1:56" ht="42.75" customHeight="1" thickBot="1" x14ac:dyDescent="0.3">
      <c r="A25" s="301"/>
      <c r="B25" s="791" t="s">
        <v>2167</v>
      </c>
      <c r="C25" s="792"/>
      <c r="D25" s="793"/>
      <c r="E25" s="344"/>
      <c r="F25" s="345"/>
      <c r="G25" s="331">
        <f>AQ175</f>
        <v>-9.1078019999999906</v>
      </c>
      <c r="H25" s="332">
        <f>AR175</f>
        <v>-16.799999999999994</v>
      </c>
      <c r="I25" s="346"/>
      <c r="J25" s="347"/>
      <c r="K25" s="301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301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8"/>
      <c r="AX25" s="301"/>
      <c r="AY25" s="301"/>
      <c r="AZ25" s="309"/>
      <c r="BA25" s="310"/>
      <c r="BB25" s="334"/>
      <c r="BC25" s="301"/>
      <c r="BD25" s="301"/>
    </row>
    <row r="26" spans="1:56" ht="42.75" customHeight="1" x14ac:dyDescent="0.25">
      <c r="A26" s="301"/>
      <c r="B26" s="794" t="s">
        <v>2168</v>
      </c>
      <c r="C26" s="795"/>
      <c r="D26" s="796"/>
      <c r="E26" s="335"/>
      <c r="F26" s="336"/>
      <c r="G26" s="348"/>
      <c r="H26" s="336"/>
      <c r="I26" s="338"/>
      <c r="J26" s="339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8"/>
      <c r="AX26" s="301"/>
      <c r="AY26" s="301"/>
      <c r="AZ26" s="309"/>
      <c r="BA26" s="310"/>
      <c r="BB26" s="349"/>
      <c r="BC26" s="301"/>
      <c r="BD26" s="301"/>
    </row>
    <row r="27" spans="1:56" ht="42.75" customHeight="1" x14ac:dyDescent="0.25">
      <c r="A27" s="301"/>
      <c r="B27" s="788" t="s">
        <v>2169</v>
      </c>
      <c r="C27" s="789"/>
      <c r="D27" s="790"/>
      <c r="E27" s="340"/>
      <c r="F27" s="341"/>
      <c r="G27" s="326">
        <f>AQ177</f>
        <v>-42.568679539999991</v>
      </c>
      <c r="H27" s="327">
        <f>AR177</f>
        <v>-45.636000000000003</v>
      </c>
      <c r="I27" s="342"/>
      <c r="J27" s="343"/>
      <c r="K27" s="301"/>
      <c r="L27" s="301"/>
      <c r="M27" s="301"/>
      <c r="N27" s="301"/>
      <c r="O27" s="301"/>
      <c r="P27" s="301"/>
      <c r="Q27" s="301"/>
      <c r="R27" s="301"/>
      <c r="S27" s="301"/>
      <c r="T27" s="301"/>
      <c r="U27" s="301"/>
      <c r="V27" s="301"/>
      <c r="W27" s="301"/>
      <c r="X27" s="301"/>
      <c r="Y27" s="301"/>
      <c r="Z27" s="301"/>
      <c r="AA27" s="301"/>
      <c r="AB27" s="301"/>
      <c r="AC27" s="301"/>
      <c r="AD27" s="301"/>
      <c r="AE27" s="301"/>
      <c r="AF27" s="301"/>
      <c r="AG27" s="301"/>
      <c r="AH27" s="301"/>
      <c r="AI27" s="301"/>
      <c r="AJ27" s="301"/>
      <c r="AK27" s="301"/>
      <c r="AL27" s="301"/>
      <c r="AM27" s="301"/>
      <c r="AN27" s="301"/>
      <c r="AO27" s="301"/>
      <c r="AP27" s="301"/>
      <c r="AQ27" s="301"/>
      <c r="AR27" s="301"/>
      <c r="AS27" s="301"/>
      <c r="AT27" s="301"/>
      <c r="AU27" s="301"/>
      <c r="AV27" s="301"/>
      <c r="AW27" s="308"/>
      <c r="AX27" s="301"/>
      <c r="AY27" s="301"/>
      <c r="AZ27" s="309"/>
      <c r="BA27" s="310"/>
      <c r="BB27" s="349"/>
      <c r="BC27" s="301"/>
      <c r="BD27" s="301"/>
    </row>
    <row r="28" spans="1:56" ht="42.75" customHeight="1" x14ac:dyDescent="0.25">
      <c r="A28" s="301"/>
      <c r="B28" s="788" t="s">
        <v>2170</v>
      </c>
      <c r="C28" s="789"/>
      <c r="D28" s="790"/>
      <c r="E28" s="340"/>
      <c r="F28" s="341"/>
      <c r="G28" s="326">
        <f>AQ178</f>
        <v>0</v>
      </c>
      <c r="H28" s="327">
        <f>AR178</f>
        <v>0</v>
      </c>
      <c r="I28" s="342"/>
      <c r="J28" s="343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8"/>
      <c r="AX28" s="301"/>
      <c r="AY28" s="301"/>
      <c r="AZ28" s="309"/>
      <c r="BA28" s="310"/>
      <c r="BB28" s="349"/>
      <c r="BC28" s="301"/>
      <c r="BD28" s="301"/>
    </row>
    <row r="29" spans="1:56" ht="42.75" customHeight="1" x14ac:dyDescent="0.25">
      <c r="A29" s="301"/>
      <c r="B29" s="788" t="s">
        <v>2171</v>
      </c>
      <c r="C29" s="789"/>
      <c r="D29" s="790"/>
      <c r="E29" s="340"/>
      <c r="F29" s="341"/>
      <c r="G29" s="326"/>
      <c r="H29" s="327"/>
      <c r="I29" s="342"/>
      <c r="J29" s="343"/>
      <c r="K29" s="301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301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8"/>
      <c r="AX29" s="301"/>
      <c r="AY29" s="301"/>
      <c r="AZ29" s="309"/>
      <c r="BA29" s="310"/>
      <c r="BB29" s="349"/>
      <c r="BC29" s="301"/>
      <c r="BD29" s="301"/>
    </row>
    <row r="30" spans="1:56" ht="42.75" customHeight="1" thickBot="1" x14ac:dyDescent="0.3">
      <c r="A30" s="301"/>
      <c r="B30" s="791" t="s">
        <v>2172</v>
      </c>
      <c r="C30" s="792"/>
      <c r="D30" s="793"/>
      <c r="E30" s="344"/>
      <c r="F30" s="345"/>
      <c r="G30" s="350"/>
      <c r="H30" s="345"/>
      <c r="I30" s="346"/>
      <c r="J30" s="347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8"/>
      <c r="AX30" s="301"/>
      <c r="AY30" s="301"/>
      <c r="AZ30" s="309"/>
      <c r="BA30" s="310"/>
      <c r="BB30" s="1127"/>
      <c r="BC30" s="301"/>
      <c r="BD30" s="301"/>
    </row>
    <row r="31" spans="1:56" ht="42.75" customHeight="1" thickBot="1" x14ac:dyDescent="0.3">
      <c r="A31" s="301"/>
      <c r="B31" s="782" t="s">
        <v>2173</v>
      </c>
      <c r="C31" s="783"/>
      <c r="D31" s="784"/>
      <c r="E31" s="351"/>
      <c r="F31" s="352"/>
      <c r="G31" s="353"/>
      <c r="H31" s="352"/>
      <c r="I31" s="354"/>
      <c r="J31" s="355"/>
      <c r="K31" s="301"/>
      <c r="L31" s="301"/>
      <c r="M31" s="301"/>
      <c r="N31" s="301"/>
      <c r="O31" s="301"/>
      <c r="P31" s="301"/>
      <c r="Q31" s="301"/>
      <c r="R31" s="301"/>
      <c r="S31" s="301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301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8"/>
      <c r="AX31" s="301"/>
      <c r="AY31" s="301"/>
      <c r="AZ31" s="309"/>
      <c r="BA31" s="310"/>
      <c r="BB31" s="301"/>
      <c r="BC31" s="301"/>
      <c r="BD31" s="301"/>
    </row>
    <row r="32" spans="1:56" ht="42.75" customHeight="1" x14ac:dyDescent="0.25">
      <c r="A32" s="301"/>
      <c r="B32" s="788" t="s">
        <v>2174</v>
      </c>
      <c r="C32" s="789"/>
      <c r="D32" s="790"/>
      <c r="E32" s="340"/>
      <c r="F32" s="341"/>
      <c r="G32" s="326">
        <f>AQ465</f>
        <v>2.8719760000059935E-3</v>
      </c>
      <c r="H32" s="327">
        <f>AR465</f>
        <v>6.9530000000000012</v>
      </c>
      <c r="I32" s="342"/>
      <c r="J32" s="343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01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V32" s="301"/>
      <c r="AW32" s="308"/>
      <c r="AX32" s="301"/>
      <c r="AY32" s="301"/>
      <c r="AZ32" s="309"/>
      <c r="BA32" s="310"/>
      <c r="BB32" s="301"/>
      <c r="BC32" s="301"/>
      <c r="BD32" s="301"/>
    </row>
    <row r="33" spans="1:57" ht="42.75" customHeight="1" thickBot="1" x14ac:dyDescent="0.3">
      <c r="A33" s="301"/>
      <c r="B33" s="791" t="s">
        <v>2175</v>
      </c>
      <c r="C33" s="792"/>
      <c r="D33" s="793"/>
      <c r="E33" s="344"/>
      <c r="F33" s="345"/>
      <c r="G33" s="331">
        <f>AQ402</f>
        <v>178.60927609184</v>
      </c>
      <c r="H33" s="332">
        <f>AR402</f>
        <v>451.39600000000019</v>
      </c>
      <c r="I33" s="346"/>
      <c r="J33" s="347"/>
      <c r="K33" s="301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8"/>
      <c r="AX33" s="301"/>
      <c r="AY33" s="301"/>
      <c r="AZ33" s="309"/>
      <c r="BA33" s="310"/>
      <c r="BB33" s="301"/>
      <c r="BC33" s="301"/>
      <c r="BD33" s="301"/>
    </row>
    <row r="34" spans="1:57" s="1122" customFormat="1" ht="36.75" customHeight="1" x14ac:dyDescent="0.25">
      <c r="A34" s="301"/>
      <c r="B34" s="797" t="s">
        <v>2176</v>
      </c>
      <c r="C34" s="797"/>
      <c r="D34" s="797"/>
      <c r="E34" s="797"/>
      <c r="F34" s="797"/>
      <c r="G34" s="797"/>
      <c r="H34" s="797"/>
      <c r="I34" s="797"/>
      <c r="J34" s="797"/>
      <c r="K34" s="797"/>
      <c r="L34" s="797"/>
      <c r="M34" s="797"/>
      <c r="N34" s="797"/>
      <c r="O34" s="797"/>
      <c r="P34" s="797"/>
      <c r="Q34" s="797"/>
      <c r="R34" s="797"/>
      <c r="S34" s="797"/>
      <c r="T34" s="797"/>
      <c r="U34" s="797"/>
      <c r="V34" s="797"/>
      <c r="W34" s="797"/>
      <c r="X34" s="797"/>
      <c r="Y34" s="797"/>
      <c r="Z34" s="797"/>
      <c r="AA34" s="797"/>
      <c r="AB34" s="797"/>
      <c r="AC34" s="797"/>
      <c r="AD34" s="797"/>
      <c r="AE34" s="797"/>
      <c r="AF34" s="797"/>
      <c r="AG34" s="797"/>
      <c r="AH34" s="797"/>
      <c r="AI34" s="797"/>
      <c r="AJ34" s="797"/>
      <c r="AK34" s="797"/>
      <c r="AL34" s="797"/>
      <c r="AM34" s="797"/>
      <c r="AN34" s="797"/>
      <c r="AO34" s="797"/>
      <c r="AP34" s="797"/>
      <c r="AQ34" s="797"/>
      <c r="AR34" s="797"/>
      <c r="AS34" s="797"/>
      <c r="AT34" s="797"/>
      <c r="AU34" s="797"/>
      <c r="AV34" s="797"/>
      <c r="AW34" s="797"/>
      <c r="AX34" s="797"/>
      <c r="AY34" s="797"/>
      <c r="AZ34" s="797"/>
      <c r="BA34" s="797"/>
      <c r="BB34" s="797"/>
      <c r="BC34" s="797"/>
      <c r="BD34" s="797"/>
      <c r="BE34" s="301"/>
    </row>
    <row r="35" spans="1:57" s="1122" customFormat="1" ht="36.75" customHeight="1" thickBot="1" x14ac:dyDescent="0.3">
      <c r="A35" s="301"/>
      <c r="B35" s="356"/>
      <c r="C35" s="356"/>
      <c r="D35" s="356"/>
      <c r="E35" s="356"/>
      <c r="F35" s="356"/>
      <c r="G35" s="356"/>
      <c r="H35" s="356"/>
      <c r="I35" s="356"/>
      <c r="J35" s="356"/>
      <c r="K35" s="356"/>
      <c r="L35" s="356"/>
      <c r="M35" s="356"/>
      <c r="N35" s="356"/>
      <c r="O35" s="356"/>
      <c r="P35" s="356"/>
      <c r="Q35" s="356"/>
      <c r="R35" s="356"/>
      <c r="S35" s="356"/>
      <c r="T35" s="356"/>
      <c r="U35" s="356"/>
      <c r="V35" s="356"/>
      <c r="W35" s="356"/>
      <c r="X35" s="356"/>
      <c r="Y35" s="356"/>
      <c r="Z35" s="356"/>
      <c r="AA35" s="356"/>
      <c r="AB35" s="356"/>
      <c r="AC35" s="356"/>
      <c r="AD35" s="356"/>
      <c r="AE35" s="356"/>
      <c r="AF35" s="356"/>
      <c r="AG35" s="356"/>
      <c r="AH35" s="356"/>
      <c r="AI35" s="356"/>
      <c r="AJ35" s="356"/>
      <c r="AK35" s="356"/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01"/>
      <c r="BA35" s="301"/>
      <c r="BB35" s="301"/>
      <c r="BC35" s="301"/>
      <c r="BD35" s="301"/>
      <c r="BE35" s="301"/>
    </row>
    <row r="36" spans="1:57" s="1128" customFormat="1" ht="36.75" customHeight="1" thickBot="1" x14ac:dyDescent="0.3">
      <c r="A36" s="357"/>
      <c r="B36" s="798" t="s">
        <v>2177</v>
      </c>
      <c r="C36" s="799"/>
      <c r="D36" s="358"/>
      <c r="E36" s="358"/>
      <c r="F36" s="358"/>
      <c r="G36" s="359"/>
      <c r="H36" s="359"/>
      <c r="I36" s="359"/>
      <c r="J36" s="360"/>
      <c r="K36" s="359"/>
      <c r="L36" s="359"/>
      <c r="M36" s="359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60"/>
      <c r="Y36" s="360"/>
      <c r="Z36" s="359"/>
      <c r="AA36" s="359"/>
      <c r="AB36" s="359"/>
      <c r="AC36" s="359"/>
      <c r="AD36" s="359"/>
      <c r="AE36" s="359"/>
      <c r="AF36" s="359"/>
      <c r="AG36" s="359"/>
      <c r="AH36" s="359"/>
      <c r="AI36" s="359"/>
      <c r="AJ36" s="359"/>
      <c r="AK36" s="359"/>
      <c r="AL36" s="359"/>
      <c r="AM36" s="359"/>
      <c r="AN36" s="359"/>
      <c r="AO36" s="359"/>
      <c r="AP36" s="359"/>
      <c r="AQ36" s="359"/>
      <c r="AR36" s="359"/>
      <c r="AS36" s="359"/>
      <c r="AT36" s="359"/>
      <c r="AU36" s="359"/>
      <c r="AV36" s="359"/>
      <c r="AW36" s="361"/>
      <c r="AX36" s="359"/>
      <c r="AY36" s="359"/>
      <c r="AZ36" s="362"/>
      <c r="BA36" s="363"/>
      <c r="BB36" s="364"/>
      <c r="BC36" s="357"/>
      <c r="BD36" s="357"/>
    </row>
    <row r="37" spans="1:57" s="1136" customFormat="1" ht="36.75" customHeight="1" x14ac:dyDescent="0.25">
      <c r="A37" s="365"/>
      <c r="B37" s="800"/>
      <c r="C37" s="801"/>
      <c r="D37" s="801"/>
      <c r="E37" s="801"/>
      <c r="F37" s="802"/>
      <c r="G37" s="1129" t="s">
        <v>2178</v>
      </c>
      <c r="H37" s="1130"/>
      <c r="I37" s="1130"/>
      <c r="J37" s="1130"/>
      <c r="K37" s="1130"/>
      <c r="L37" s="1130"/>
      <c r="M37" s="1130"/>
      <c r="N37" s="1130"/>
      <c r="O37" s="1130"/>
      <c r="P37" s="1130"/>
      <c r="Q37" s="1130"/>
      <c r="R37" s="1130"/>
      <c r="S37" s="1130"/>
      <c r="T37" s="1130"/>
      <c r="U37" s="1131"/>
      <c r="V37" s="1132" t="s">
        <v>2179</v>
      </c>
      <c r="W37" s="1130"/>
      <c r="X37" s="1130"/>
      <c r="Y37" s="1130"/>
      <c r="Z37" s="1130"/>
      <c r="AA37" s="1130"/>
      <c r="AB37" s="1130"/>
      <c r="AC37" s="1130"/>
      <c r="AD37" s="1130"/>
      <c r="AE37" s="1130"/>
      <c r="AF37" s="1130"/>
      <c r="AG37" s="1130"/>
      <c r="AH37" s="1130"/>
      <c r="AI37" s="1130"/>
      <c r="AJ37" s="1131"/>
      <c r="AK37" s="1133" t="s">
        <v>2180</v>
      </c>
      <c r="AL37" s="1134"/>
      <c r="AM37" s="1134"/>
      <c r="AN37" s="1134"/>
      <c r="AO37" s="1134"/>
      <c r="AP37" s="1134"/>
      <c r="AQ37" s="1134"/>
      <c r="AR37" s="1134"/>
      <c r="AS37" s="1134"/>
      <c r="AT37" s="1134"/>
      <c r="AU37" s="1134"/>
      <c r="AV37" s="1134"/>
      <c r="AW37" s="1135"/>
      <c r="AX37" s="800" t="s">
        <v>2181</v>
      </c>
      <c r="AY37" s="804" t="s">
        <v>2182</v>
      </c>
      <c r="AZ37" s="806" t="s">
        <v>2183</v>
      </c>
      <c r="BA37" s="807"/>
      <c r="BB37" s="807"/>
      <c r="BC37" s="807"/>
      <c r="BD37" s="804"/>
    </row>
    <row r="38" spans="1:57" s="1136" customFormat="1" ht="72" customHeight="1" thickBot="1" x14ac:dyDescent="0.3">
      <c r="A38" s="365"/>
      <c r="B38" s="755" t="s">
        <v>2184</v>
      </c>
      <c r="C38" s="366" t="s">
        <v>2185</v>
      </c>
      <c r="D38" s="366" t="s">
        <v>33</v>
      </c>
      <c r="E38" s="366" t="s">
        <v>36</v>
      </c>
      <c r="F38" s="367" t="s">
        <v>2186</v>
      </c>
      <c r="G38" s="755" t="s">
        <v>2187</v>
      </c>
      <c r="H38" s="366" t="s">
        <v>2188</v>
      </c>
      <c r="I38" s="366" t="s">
        <v>2189</v>
      </c>
      <c r="J38" s="366" t="s">
        <v>2190</v>
      </c>
      <c r="K38" s="366" t="s">
        <v>2191</v>
      </c>
      <c r="L38" s="366" t="s">
        <v>103</v>
      </c>
      <c r="M38" s="366" t="s">
        <v>2192</v>
      </c>
      <c r="N38" s="366" t="s">
        <v>2193</v>
      </c>
      <c r="O38" s="368" t="s">
        <v>2194</v>
      </c>
      <c r="P38" s="369" t="s">
        <v>2195</v>
      </c>
      <c r="Q38" s="370" t="s">
        <v>2196</v>
      </c>
      <c r="R38" s="366" t="s">
        <v>2197</v>
      </c>
      <c r="S38" s="366" t="s">
        <v>2198</v>
      </c>
      <c r="T38" s="366" t="s">
        <v>2199</v>
      </c>
      <c r="U38" s="371" t="s">
        <v>2200</v>
      </c>
      <c r="V38" s="757" t="s">
        <v>2187</v>
      </c>
      <c r="W38" s="366" t="s">
        <v>2188</v>
      </c>
      <c r="X38" s="366" t="s">
        <v>2189</v>
      </c>
      <c r="Y38" s="366" t="s">
        <v>2190</v>
      </c>
      <c r="Z38" s="366" t="s">
        <v>2191</v>
      </c>
      <c r="AA38" s="366" t="s">
        <v>103</v>
      </c>
      <c r="AB38" s="366" t="s">
        <v>2192</v>
      </c>
      <c r="AC38" s="366" t="s">
        <v>2193</v>
      </c>
      <c r="AD38" s="368" t="s">
        <v>2194</v>
      </c>
      <c r="AE38" s="369" t="s">
        <v>2195</v>
      </c>
      <c r="AF38" s="370" t="s">
        <v>2196</v>
      </c>
      <c r="AG38" s="366" t="s">
        <v>2197</v>
      </c>
      <c r="AH38" s="366" t="s">
        <v>2198</v>
      </c>
      <c r="AI38" s="366" t="s">
        <v>2199</v>
      </c>
      <c r="AJ38" s="371" t="s">
        <v>2200</v>
      </c>
      <c r="AK38" s="755" t="s">
        <v>2188</v>
      </c>
      <c r="AL38" s="366" t="s">
        <v>2189</v>
      </c>
      <c r="AM38" s="366" t="s">
        <v>2190</v>
      </c>
      <c r="AN38" s="366" t="s">
        <v>2191</v>
      </c>
      <c r="AO38" s="366" t="s">
        <v>2192</v>
      </c>
      <c r="AP38" s="366" t="s">
        <v>2193</v>
      </c>
      <c r="AQ38" s="368" t="s">
        <v>2194</v>
      </c>
      <c r="AR38" s="369" t="s">
        <v>2195</v>
      </c>
      <c r="AS38" s="370" t="s">
        <v>2196</v>
      </c>
      <c r="AT38" s="366" t="s">
        <v>2197</v>
      </c>
      <c r="AU38" s="366" t="s">
        <v>2198</v>
      </c>
      <c r="AV38" s="366" t="s">
        <v>2199</v>
      </c>
      <c r="AW38" s="371" t="s">
        <v>2200</v>
      </c>
      <c r="AX38" s="803"/>
      <c r="AY38" s="805"/>
      <c r="AZ38" s="372" t="s">
        <v>2194</v>
      </c>
      <c r="BA38" s="369" t="s">
        <v>2195</v>
      </c>
      <c r="BB38" s="370" t="s">
        <v>2196</v>
      </c>
      <c r="BC38" s="366" t="s">
        <v>2201</v>
      </c>
      <c r="BD38" s="756" t="s">
        <v>2202</v>
      </c>
    </row>
    <row r="39" spans="1:57" s="1136" customFormat="1" ht="36.75" customHeight="1" thickBot="1" x14ac:dyDescent="0.3">
      <c r="A39" s="365"/>
      <c r="B39" s="808" t="s">
        <v>2203</v>
      </c>
      <c r="C39" s="809"/>
      <c r="D39" s="809"/>
      <c r="E39" s="809"/>
      <c r="F39" s="809"/>
      <c r="G39" s="809"/>
      <c r="H39" s="809"/>
      <c r="I39" s="809"/>
      <c r="J39" s="809"/>
      <c r="K39" s="809"/>
      <c r="L39" s="809"/>
      <c r="M39" s="809"/>
      <c r="N39" s="809"/>
      <c r="O39" s="809"/>
      <c r="P39" s="809"/>
      <c r="Q39" s="809"/>
      <c r="R39" s="809"/>
      <c r="S39" s="809"/>
      <c r="T39" s="809"/>
      <c r="U39" s="809"/>
      <c r="V39" s="809"/>
      <c r="W39" s="809"/>
      <c r="X39" s="809"/>
      <c r="Y39" s="809"/>
      <c r="Z39" s="809"/>
      <c r="AA39" s="809"/>
      <c r="AB39" s="809"/>
      <c r="AC39" s="809"/>
      <c r="AD39" s="809"/>
      <c r="AE39" s="809"/>
      <c r="AF39" s="809"/>
      <c r="AG39" s="809"/>
      <c r="AH39" s="809"/>
      <c r="AI39" s="809"/>
      <c r="AJ39" s="809"/>
      <c r="AK39" s="809"/>
      <c r="AL39" s="809"/>
      <c r="AM39" s="809"/>
      <c r="AN39" s="809"/>
      <c r="AO39" s="809"/>
      <c r="AP39" s="809"/>
      <c r="AQ39" s="809"/>
      <c r="AR39" s="809"/>
      <c r="AS39" s="809"/>
      <c r="AT39" s="809"/>
      <c r="AU39" s="809"/>
      <c r="AV39" s="809"/>
      <c r="AW39" s="809"/>
      <c r="AX39" s="809"/>
      <c r="AY39" s="809"/>
      <c r="AZ39" s="809"/>
      <c r="BA39" s="809"/>
      <c r="BB39" s="809"/>
      <c r="BC39" s="809"/>
      <c r="BD39" s="810"/>
    </row>
    <row r="40" spans="1:57" ht="40.5" customHeight="1" x14ac:dyDescent="0.25">
      <c r="A40" s="373"/>
      <c r="B40" s="374">
        <f>SUBTOTAL(3,$C$40:C40)</f>
        <v>1</v>
      </c>
      <c r="C40" s="375" t="s">
        <v>355</v>
      </c>
      <c r="D40" s="376" t="str">
        <f>VLOOKUP($C40,'ТР нефть'!$A$29:$GC$641,5,0)</f>
        <v>ВУ ОНГКМ</v>
      </c>
      <c r="E40" s="376" t="str">
        <f>VLOOKUP($C40,'ТР нефть'!$A$29:$GC$641,8,0)</f>
        <v>ТЛ-1</v>
      </c>
      <c r="F40" s="377" t="str">
        <f>VLOOKUP($C40,'ТР нефть'!$A$29:$GC$641,11,0)</f>
        <v>Куст скважины-20</v>
      </c>
      <c r="G40" s="374" t="str">
        <f>VLOOKUP($C40,'ТР нефть'!$A$29:$GC$641,47,0)</f>
        <v>Газлифт</v>
      </c>
      <c r="H40" s="378">
        <f>VLOOKUP($C40,'ТР нефть'!$A$29:$GC$641,135,0)</f>
        <v>18</v>
      </c>
      <c r="I40" s="379">
        <f>VLOOKUP($C40,'ТР нефть'!$A$29:$GC$641,136,0)</f>
        <v>19</v>
      </c>
      <c r="J40" s="379">
        <f>VLOOKUP($C40,'ТР нефть'!$A$29:$GC$641,137,0)</f>
        <v>35</v>
      </c>
      <c r="K40" s="379">
        <f>VLOOKUP($C40,'ТР нефть'!$A$29:$GC$641,138,0)</f>
        <v>18</v>
      </c>
      <c r="L40" s="379" t="str">
        <f>VLOOKUP($C40,'ТР нефть'!$A$29:$GC$641,139,0)</f>
        <v>Постоянный</v>
      </c>
      <c r="M40" s="379">
        <f>VLOOKUP($C40,'ТР нефть'!$A$29:$GC$641,140,0)</f>
        <v>24</v>
      </c>
      <c r="N40" s="379">
        <f>VLOOKUP($C40,'ТР нефть'!$A$29:$GC$641,141,0)</f>
        <v>0</v>
      </c>
      <c r="O40" s="380">
        <f>VLOOKUP($C40,'ТР нефть'!$A$29:$GC$641,142,0)</f>
        <v>5.3608499999999992</v>
      </c>
      <c r="P40" s="381">
        <f>VLOOKUP($C40,'ТР нефть'!$A$29:$GC$641,143,0)</f>
        <v>7.5</v>
      </c>
      <c r="Q40" s="382">
        <f>VLOOKUP($C40,'ТР нефть'!$A$29:$GC$641,144,0)</f>
        <v>14.5</v>
      </c>
      <c r="R40" s="379">
        <f>VLOOKUP($C40,'ТР нефть'!$A$29:$GC$641,145,0)</f>
        <v>15.9</v>
      </c>
      <c r="S40" s="379">
        <f>VLOOKUP($C40,'ТР нефть'!$A$29:$GC$641,146,0)</f>
        <v>615.57402277623908</v>
      </c>
      <c r="T40" s="379">
        <f>VLOOKUP($C40,'ТР нефть'!$A$29:$GC$641,149,0)</f>
        <v>40</v>
      </c>
      <c r="U40" s="383">
        <f>VLOOKUP($C40,'ТР нефть'!$A$29:$GC$641,150,0)</f>
        <v>0.1388888888888889</v>
      </c>
      <c r="V40" s="384" t="str">
        <f>VLOOKUP($C40,'ТР нефть'!$A$29:$GC$641,47,0)</f>
        <v>Газлифт</v>
      </c>
      <c r="W40" s="378">
        <f>VLOOKUP($C40,'ТР нефть'!$A$29:$GC$641,74,0)</f>
        <v>18</v>
      </c>
      <c r="X40" s="379">
        <f>VLOOKUP($C40,'ТР нефть'!$A$29:$GC$641,79,0)</f>
        <v>16</v>
      </c>
      <c r="Y40" s="379">
        <f>VLOOKUP($C40,'ТР нефть'!$A$29:$GC$641,80,0)</f>
        <v>33</v>
      </c>
      <c r="Z40" s="379">
        <f>VLOOKUP($C40,'ТР нефть'!$A$29:$GC$641,81,0)</f>
        <v>15</v>
      </c>
      <c r="AA40" s="379" t="str">
        <f>VLOOKUP($C40,'ТР нефть'!$A$29:$GC$641,76,0)</f>
        <v>Постоянный</v>
      </c>
      <c r="AB40" s="379">
        <f>VLOOKUP($C40,'ТР нефть'!$A$29:$GC$641,77,0)</f>
        <v>24</v>
      </c>
      <c r="AC40" s="379">
        <f>VLOOKUP($C40,'ТР нефть'!$A$29:$GC$641,78,0)</f>
        <v>0</v>
      </c>
      <c r="AD40" s="380">
        <f>VLOOKUP($C40,'ТР нефть'!$A$29:$GC$641,93,0)</f>
        <v>3.8838888000000003</v>
      </c>
      <c r="AE40" s="381">
        <f>VLOOKUP($C40,'ТР нефть'!$A$29:$GC$641,94,0)</f>
        <v>5.8</v>
      </c>
      <c r="AF40" s="382">
        <f>VLOOKUP($C40,'ТР нефть'!$A$29:$GC$641,95,0)</f>
        <v>19.899999999999999</v>
      </c>
      <c r="AG40" s="379">
        <f>VLOOKUP($C40,'ТР нефть'!$A$29:$GC$641,99,0)</f>
        <v>4.6999999999999993</v>
      </c>
      <c r="AH40" s="379">
        <f>VLOOKUP($C40,'ТР нефть'!$A$29:$GC$641,100,0)</f>
        <v>1210.1273342326378</v>
      </c>
      <c r="AI40" s="379">
        <f>VLOOKUP($C40,'ТР нефть'!$A$29:$GC$641,92,0)</f>
        <v>39</v>
      </c>
      <c r="AJ40" s="385">
        <f>VLOOKUP($C40,'ТР нефть'!$A$29:$GC$641,102,0)</f>
        <v>0.10545454545454545</v>
      </c>
      <c r="AK40" s="386">
        <f t="shared" ref="AK40:AN55" si="2">W40-H40</f>
        <v>0</v>
      </c>
      <c r="AL40" s="379">
        <f t="shared" si="2"/>
        <v>-3</v>
      </c>
      <c r="AM40" s="379">
        <f t="shared" si="2"/>
        <v>-2</v>
      </c>
      <c r="AN40" s="379">
        <f t="shared" si="2"/>
        <v>-3</v>
      </c>
      <c r="AO40" s="379">
        <f t="shared" ref="AO40:AW55" si="3">AB40-M40</f>
        <v>0</v>
      </c>
      <c r="AP40" s="379">
        <f t="shared" si="3"/>
        <v>0</v>
      </c>
      <c r="AQ40" s="380">
        <f t="shared" si="3"/>
        <v>-1.476961199999999</v>
      </c>
      <c r="AR40" s="381">
        <f t="shared" si="3"/>
        <v>-1.7000000000000002</v>
      </c>
      <c r="AS40" s="382">
        <f t="shared" si="3"/>
        <v>5.3999999999999986</v>
      </c>
      <c r="AT40" s="379">
        <f t="shared" si="3"/>
        <v>-11.200000000000001</v>
      </c>
      <c r="AU40" s="379">
        <f t="shared" si="3"/>
        <v>594.55331145639877</v>
      </c>
      <c r="AV40" s="379">
        <f t="shared" si="3"/>
        <v>-1</v>
      </c>
      <c r="AW40" s="387">
        <f t="shared" si="3"/>
        <v>-3.3434343434343441E-2</v>
      </c>
      <c r="AX40" s="374" t="str">
        <f>VLOOKUP($C40,'ТР нефть'!$A$29:$GC$641,182,0)</f>
        <v>ИПП База</v>
      </c>
      <c r="AY40" s="387" t="str">
        <f>VLOOKUP($C40,'ТР нефть'!$A$29:$GC$641,183,0)</f>
        <v>Снижение энергетики пласта что подтверждается дебитом и изменением Рзаб</v>
      </c>
      <c r="AZ40" s="388">
        <f t="shared" ref="AZ40:BB55" si="4">AD40</f>
        <v>3.8838888000000003</v>
      </c>
      <c r="BA40" s="389">
        <f t="shared" si="4"/>
        <v>5.8</v>
      </c>
      <c r="BB40" s="379">
        <f t="shared" si="4"/>
        <v>19.899999999999999</v>
      </c>
      <c r="BC40" s="390"/>
      <c r="BD40" s="391"/>
    </row>
    <row r="41" spans="1:57" ht="40.5" customHeight="1" x14ac:dyDescent="0.25">
      <c r="A41" s="373"/>
      <c r="B41" s="392">
        <f>SUBTOTAL(3,$C$40:C41)</f>
        <v>2</v>
      </c>
      <c r="C41" s="393" t="s">
        <v>364</v>
      </c>
      <c r="D41" s="394" t="str">
        <f>VLOOKUP($C41,'ТР нефть'!$A$29:$GC$641,5,0)</f>
        <v>ВУ ОНГКМ</v>
      </c>
      <c r="E41" s="394" t="str">
        <f>VLOOKUP($C41,'ТР нефть'!$A$29:$GC$641,8,0)</f>
        <v>ТЛ-1</v>
      </c>
      <c r="F41" s="395" t="str">
        <f>VLOOKUP($C41,'ТР нефть'!$A$29:$GC$641,11,0)</f>
        <v>Без куста</v>
      </c>
      <c r="G41" s="392" t="str">
        <f>VLOOKUP($C41,'ТР нефть'!$A$29:$GC$641,47,0)</f>
        <v>Газлифт</v>
      </c>
      <c r="H41" s="396">
        <f>VLOOKUP($C41,'ТР нефть'!$A$29:$GC$641,135,0)</f>
        <v>65</v>
      </c>
      <c r="I41" s="397">
        <f>VLOOKUP($C41,'ТР нефть'!$A$29:$GC$641,136,0)</f>
        <v>15</v>
      </c>
      <c r="J41" s="397">
        <f>VLOOKUP($C41,'ТР нефть'!$A$29:$GC$641,137,0)</f>
        <v>33</v>
      </c>
      <c r="K41" s="397">
        <f>VLOOKUP($C41,'ТР нефть'!$A$29:$GC$641,138,0)</f>
        <v>14</v>
      </c>
      <c r="L41" s="397" t="str">
        <f>VLOOKUP($C41,'ТР нефть'!$A$29:$GC$641,139,0)</f>
        <v>Постоянный</v>
      </c>
      <c r="M41" s="397">
        <f>VLOOKUP($C41,'ТР нефть'!$A$29:$GC$641,140,0)</f>
        <v>24</v>
      </c>
      <c r="N41" s="397">
        <f>VLOOKUP($C41,'ТР нефть'!$A$29:$GC$641,141,0)</f>
        <v>0</v>
      </c>
      <c r="O41" s="398">
        <f>VLOOKUP($C41,'ТР нефть'!$A$29:$GC$641,142,0)</f>
        <v>10.324599999999998</v>
      </c>
      <c r="P41" s="399">
        <f>VLOOKUP($C41,'ТР нефть'!$A$29:$GC$641,143,0)</f>
        <v>13</v>
      </c>
      <c r="Q41" s="400">
        <f>VLOOKUP($C41,'ТР нефть'!$A$29:$GC$641,144,0)</f>
        <v>5</v>
      </c>
      <c r="R41" s="397">
        <f>VLOOKUP($C41,'ТР нефть'!$A$29:$GC$641,145,0)</f>
        <v>15.5</v>
      </c>
      <c r="S41" s="397">
        <f>VLOOKUP($C41,'ТР нефть'!$A$29:$GC$641,146,0)</f>
        <v>503.65147318055904</v>
      </c>
      <c r="T41" s="397">
        <f>VLOOKUP($C41,'ТР нефть'!$A$29:$GC$641,149,0)</f>
        <v>38</v>
      </c>
      <c r="U41" s="401">
        <f>VLOOKUP($C41,'ТР нефть'!$A$29:$GC$641,150,0)</f>
        <v>0.61904761904761907</v>
      </c>
      <c r="V41" s="402" t="str">
        <f>VLOOKUP($C41,'ТР нефть'!$A$29:$GC$641,47,0)</f>
        <v>Газлифт</v>
      </c>
      <c r="W41" s="396">
        <f>VLOOKUP($C41,'ТР нефть'!$A$29:$GC$641,74,0)</f>
        <v>65</v>
      </c>
      <c r="X41" s="397">
        <f>VLOOKUP($C41,'ТР нефть'!$A$29:$GC$641,79,0)</f>
        <v>15</v>
      </c>
      <c r="Y41" s="397">
        <f>VLOOKUP($C41,'ТР нефть'!$A$29:$GC$641,80,0)</f>
        <v>37</v>
      </c>
      <c r="Z41" s="397">
        <f>VLOOKUP($C41,'ТР нефть'!$A$29:$GC$641,81,0)</f>
        <v>14</v>
      </c>
      <c r="AA41" s="397" t="str">
        <f>VLOOKUP($C41,'ТР нефть'!$A$29:$GC$641,76,0)</f>
        <v>Постоянный</v>
      </c>
      <c r="AB41" s="397">
        <f>VLOOKUP($C41,'ТР нефть'!$A$29:$GC$641,77,0)</f>
        <v>24</v>
      </c>
      <c r="AC41" s="397">
        <f>VLOOKUP($C41,'ТР нефть'!$A$29:$GC$641,78,0)</f>
        <v>0</v>
      </c>
      <c r="AD41" s="398">
        <f>VLOOKUP($C41,'ТР нефть'!$A$29:$GC$641,93,0)</f>
        <v>6.8618879999999995</v>
      </c>
      <c r="AE41" s="399">
        <f>VLOOKUP($C41,'ТР нефть'!$A$29:$GC$641,94,0)</f>
        <v>9</v>
      </c>
      <c r="AF41" s="400">
        <f>VLOOKUP($C41,'ТР нефть'!$A$29:$GC$641,95,0)</f>
        <v>8.8000000000000007</v>
      </c>
      <c r="AG41" s="397">
        <f>VLOOKUP($C41,'ТР нефть'!$A$29:$GC$641,99,0)</f>
        <v>4.5999999999999996</v>
      </c>
      <c r="AH41" s="397">
        <f>VLOOKUP($C41,'ТР нефть'!$A$29:$GC$641,100,0)</f>
        <v>670.36943768245715</v>
      </c>
      <c r="AI41" s="397">
        <f>VLOOKUP($C41,'ТР нефть'!$A$29:$GC$641,92,0)</f>
        <v>32</v>
      </c>
      <c r="AJ41" s="403">
        <f>VLOOKUP($C41,'ТР нефть'!$A$29:$GC$641,102,0)</f>
        <v>0.33333333333333331</v>
      </c>
      <c r="AK41" s="404">
        <f t="shared" si="2"/>
        <v>0</v>
      </c>
      <c r="AL41" s="397">
        <f t="shared" si="2"/>
        <v>0</v>
      </c>
      <c r="AM41" s="397">
        <f t="shared" si="2"/>
        <v>4</v>
      </c>
      <c r="AN41" s="397">
        <f t="shared" si="2"/>
        <v>0</v>
      </c>
      <c r="AO41" s="397">
        <f t="shared" si="3"/>
        <v>0</v>
      </c>
      <c r="AP41" s="397">
        <f t="shared" si="3"/>
        <v>0</v>
      </c>
      <c r="AQ41" s="405">
        <v>-1</v>
      </c>
      <c r="AR41" s="399">
        <v>-1</v>
      </c>
      <c r="AS41" s="400">
        <f t="shared" si="3"/>
        <v>3.8000000000000007</v>
      </c>
      <c r="AT41" s="397">
        <f t="shared" si="3"/>
        <v>-10.9</v>
      </c>
      <c r="AU41" s="397">
        <f t="shared" si="3"/>
        <v>166.71796450189811</v>
      </c>
      <c r="AV41" s="397">
        <f t="shared" si="3"/>
        <v>-6</v>
      </c>
      <c r="AW41" s="406">
        <f t="shared" si="3"/>
        <v>-0.28571428571428575</v>
      </c>
      <c r="AX41" s="392" t="str">
        <f>VLOOKUP($C41,'ТР нефть'!$A$29:$GC$641,182,0)</f>
        <v>ИПП БАЗА/Уточнение</v>
      </c>
      <c r="AY41" s="406" t="str">
        <f>VLOOKUP($C41,'ТР нефть'!$A$29:$GC$641,183,0)</f>
        <v>Снижение энергетики пласта что подтверждается дебитом и изменением Рзаб(ИППБАЗА -1тн/сут). ТР выведен по замерам от конца мая, июня. Подбор оптимального режима работы скважины.</v>
      </c>
      <c r="AZ41" s="407">
        <f t="shared" si="4"/>
        <v>6.8618879999999995</v>
      </c>
      <c r="BA41" s="408">
        <f t="shared" si="4"/>
        <v>9</v>
      </c>
      <c r="BB41" s="397">
        <f t="shared" si="4"/>
        <v>8.8000000000000007</v>
      </c>
      <c r="BC41" s="409"/>
      <c r="BD41" s="410"/>
    </row>
    <row r="42" spans="1:57" s="1137" customFormat="1" ht="40.5" customHeight="1" x14ac:dyDescent="0.25">
      <c r="A42" s="411"/>
      <c r="B42" s="392">
        <f>SUBTOTAL(3,$C$40:C42)</f>
        <v>3</v>
      </c>
      <c r="C42" s="393" t="s">
        <v>395</v>
      </c>
      <c r="D42" s="412" t="str">
        <f>VLOOKUP($C42,'ТР нефть'!$A$29:$GC$641,5,0)</f>
        <v>ВУ ОНГКМ</v>
      </c>
      <c r="E42" s="412" t="str">
        <f>VLOOKUP($C42,'ТР нефть'!$A$29:$GC$641,8,0)</f>
        <v>ТЛ-1</v>
      </c>
      <c r="F42" s="413" t="str">
        <f>VLOOKUP($C42,'ТР нефть'!$A$29:$GC$641,11,0)</f>
        <v>Куст скважины-29</v>
      </c>
      <c r="G42" s="392" t="str">
        <f>VLOOKUP($C42,'ТР нефть'!$A$29:$GC$641,47,0)</f>
        <v>Газлифт</v>
      </c>
      <c r="H42" s="396">
        <f>VLOOKUP($C42,'ТР нефть'!$A$29:$GC$641,135,0)</f>
        <v>18</v>
      </c>
      <c r="I42" s="397">
        <f>VLOOKUP($C42,'ТР нефть'!$A$29:$GC$641,136,0)</f>
        <v>16</v>
      </c>
      <c r="J42" s="397">
        <f>VLOOKUP($C42,'ТР нефть'!$A$29:$GC$641,137,0)</f>
        <v>30</v>
      </c>
      <c r="K42" s="397">
        <f>VLOOKUP($C42,'ТР нефть'!$A$29:$GC$641,138,0)</f>
        <v>15</v>
      </c>
      <c r="L42" s="397" t="str">
        <f>VLOOKUP($C42,'ТР нефть'!$A$29:$GC$641,139,0)</f>
        <v>Постоянный</v>
      </c>
      <c r="M42" s="397">
        <f>VLOOKUP($C42,'ТР нефть'!$A$29:$GC$641,140,0)</f>
        <v>24</v>
      </c>
      <c r="N42" s="397">
        <f>VLOOKUP($C42,'ТР нефть'!$A$29:$GC$641,141,0)</f>
        <v>0</v>
      </c>
      <c r="O42" s="398">
        <f>VLOOKUP($C42,'ТР нефть'!$A$29:$GC$641,142,0)</f>
        <v>9.8611216000000006</v>
      </c>
      <c r="P42" s="399">
        <f>VLOOKUP($C42,'ТР нефть'!$A$29:$GC$641,143,0)</f>
        <v>14.8</v>
      </c>
      <c r="Q42" s="400">
        <f>VLOOKUP($C42,'ТР нефть'!$A$29:$GC$641,144,0)</f>
        <v>20.3</v>
      </c>
      <c r="R42" s="397">
        <f>VLOOKUP($C42,'ТР нефть'!$A$29:$GC$641,145,0)</f>
        <v>16.5</v>
      </c>
      <c r="S42" s="397">
        <f>VLOOKUP($C42,'ТР нефть'!$A$29:$GC$641,146,0)</f>
        <v>943.09758841225516</v>
      </c>
      <c r="T42" s="397">
        <f>VLOOKUP($C42,'ТР нефть'!$A$29:$GC$641,149,0)</f>
        <v>32</v>
      </c>
      <c r="U42" s="401">
        <f>VLOOKUP($C42,'ТР нефть'!$A$29:$GC$641,150,0)</f>
        <v>0.41111111111111115</v>
      </c>
      <c r="V42" s="402" t="str">
        <f>VLOOKUP($C42,'ТР нефть'!$A$29:$GC$641,47,0)</f>
        <v>Газлифт</v>
      </c>
      <c r="W42" s="396">
        <f>VLOOKUP($C42,'ТР нефть'!$A$29:$GC$641,74,0)</f>
        <v>18</v>
      </c>
      <c r="X42" s="397">
        <f>VLOOKUP($C42,'ТР нефть'!$A$29:$GC$641,79,0)</f>
        <v>16</v>
      </c>
      <c r="Y42" s="397">
        <f>VLOOKUP($C42,'ТР нефть'!$A$29:$GC$641,80,0)</f>
        <v>30</v>
      </c>
      <c r="Z42" s="397">
        <f>VLOOKUP($C42,'ТР нефть'!$A$29:$GC$641,81,0)</f>
        <v>15</v>
      </c>
      <c r="AA42" s="397" t="str">
        <f>VLOOKUP($C42,'ТР нефть'!$A$29:$GC$641,76,0)</f>
        <v>Постоянный</v>
      </c>
      <c r="AB42" s="397">
        <f>VLOOKUP($C42,'ТР нефть'!$A$29:$GC$641,77,0)</f>
        <v>24</v>
      </c>
      <c r="AC42" s="397">
        <f>VLOOKUP($C42,'ТР нефть'!$A$29:$GC$641,78,0)</f>
        <v>0</v>
      </c>
      <c r="AD42" s="398">
        <f>VLOOKUP($C42,'ТР нефть'!$A$29:$GC$641,93,0)</f>
        <v>6.0191999999999988</v>
      </c>
      <c r="AE42" s="399">
        <f>VLOOKUP($C42,'ТР нефть'!$A$29:$GC$641,94,0)</f>
        <v>7.5</v>
      </c>
      <c r="AF42" s="400">
        <f>VLOOKUP($C42,'ТР нефть'!$A$29:$GC$641,95,0)</f>
        <v>4</v>
      </c>
      <c r="AG42" s="397">
        <f>VLOOKUP($C42,'ТР нефть'!$A$29:$GC$641,99,0)</f>
        <v>6.3999999999999995</v>
      </c>
      <c r="AH42" s="397">
        <f>VLOOKUP($C42,'ТР нефть'!$A$29:$GC$641,100,0)</f>
        <v>1063.264221158958</v>
      </c>
      <c r="AI42" s="397">
        <f>VLOOKUP($C42,'ТР нефть'!$A$29:$GC$641,92,0)</f>
        <v>31</v>
      </c>
      <c r="AJ42" s="403">
        <f>VLOOKUP($C42,'ТР нефть'!$A$29:$GC$641,102,0)</f>
        <v>0.20270270270270271</v>
      </c>
      <c r="AK42" s="414">
        <f t="shared" si="2"/>
        <v>0</v>
      </c>
      <c r="AL42" s="415">
        <f t="shared" si="2"/>
        <v>0</v>
      </c>
      <c r="AM42" s="415">
        <f t="shared" si="2"/>
        <v>0</v>
      </c>
      <c r="AN42" s="415">
        <f t="shared" si="2"/>
        <v>0</v>
      </c>
      <c r="AO42" s="415">
        <f t="shared" si="3"/>
        <v>0</v>
      </c>
      <c r="AP42" s="415">
        <f t="shared" si="3"/>
        <v>0</v>
      </c>
      <c r="AQ42" s="405">
        <v>-2.2000000000000002</v>
      </c>
      <c r="AR42" s="416">
        <v>-5</v>
      </c>
      <c r="AS42" s="417">
        <f t="shared" si="3"/>
        <v>-16.3</v>
      </c>
      <c r="AT42" s="415">
        <f t="shared" si="3"/>
        <v>-10.100000000000001</v>
      </c>
      <c r="AU42" s="397">
        <f t="shared" si="3"/>
        <v>120.16663274670282</v>
      </c>
      <c r="AV42" s="418">
        <f t="shared" si="3"/>
        <v>-1</v>
      </c>
      <c r="AW42" s="401">
        <f t="shared" si="3"/>
        <v>-0.20840840840840844</v>
      </c>
      <c r="AX42" s="392" t="str">
        <f>VLOOKUP($C42,'ТР нефть'!$A$29:$GC$641,182,0)</f>
        <v>Довывод/ИПП База</v>
      </c>
      <c r="AY42" s="406" t="str">
        <f>VLOOKUP($C42,'ТР нефть'!$A$29:$GC$641,183,0)</f>
        <v>Снижение эффекта от проведения ТО - довывод - 1,6 т.   ИПП База - 2,2 т. Снижение энергетики пласта что подтверждается дебитом и изменением Рзаб</v>
      </c>
      <c r="AZ42" s="419">
        <f t="shared" si="4"/>
        <v>6.0191999999999988</v>
      </c>
      <c r="BA42" s="420">
        <f t="shared" si="4"/>
        <v>7.5</v>
      </c>
      <c r="BB42" s="415">
        <f t="shared" si="4"/>
        <v>4</v>
      </c>
      <c r="BC42" s="421"/>
      <c r="BD42" s="422"/>
      <c r="BE42" s="1121"/>
    </row>
    <row r="43" spans="1:57" ht="40.5" customHeight="1" x14ac:dyDescent="0.25">
      <c r="A43" s="373"/>
      <c r="B43" s="392">
        <f>SUBTOTAL(3,$C$40:C43)</f>
        <v>4</v>
      </c>
      <c r="C43" s="393" t="s">
        <v>418</v>
      </c>
      <c r="D43" s="394" t="str">
        <f>VLOOKUP($C43,'ТР нефть'!$A$29:$GC$641,5,0)</f>
        <v>ВУ ОНГКМ</v>
      </c>
      <c r="E43" s="394" t="str">
        <f>VLOOKUP($C43,'ТР нефть'!$A$29:$GC$641,8,0)</f>
        <v>ТЛ-4</v>
      </c>
      <c r="F43" s="395" t="str">
        <f>VLOOKUP($C43,'ТР нефть'!$A$29:$GC$641,11,0)</f>
        <v>Без куста</v>
      </c>
      <c r="G43" s="392" t="str">
        <f>VLOOKUP($C43,'ТР нефть'!$A$29:$GC$641,47,0)</f>
        <v>Газлифт</v>
      </c>
      <c r="H43" s="396">
        <f>VLOOKUP($C43,'ТР нефть'!$A$29:$GC$641,135,0)</f>
        <v>18</v>
      </c>
      <c r="I43" s="397">
        <f>VLOOKUP($C43,'ТР нефть'!$A$29:$GC$641,136,0)</f>
        <v>19</v>
      </c>
      <c r="J43" s="397">
        <f>VLOOKUP($C43,'ТР нефть'!$A$29:$GC$641,137,0)</f>
        <v>66</v>
      </c>
      <c r="K43" s="397">
        <f>VLOOKUP($C43,'ТР нефть'!$A$29:$GC$641,138,0)</f>
        <v>18</v>
      </c>
      <c r="L43" s="397" t="str">
        <f>VLOOKUP($C43,'ТР нефть'!$A$29:$GC$641,139,0)</f>
        <v>Постоянный</v>
      </c>
      <c r="M43" s="397">
        <f>VLOOKUP($C43,'ТР нефть'!$A$29:$GC$641,140,0)</f>
        <v>24</v>
      </c>
      <c r="N43" s="397">
        <f>VLOOKUP($C43,'ТР нефть'!$A$29:$GC$641,141,0)</f>
        <v>0</v>
      </c>
      <c r="O43" s="398">
        <f>VLOOKUP($C43,'ТР нефть'!$A$29:$GC$641,142,0)</f>
        <v>10.3703292</v>
      </c>
      <c r="P43" s="399">
        <f>VLOOKUP($C43,'ТР нефть'!$A$29:$GC$641,143,0)</f>
        <v>12.53</v>
      </c>
      <c r="Q43" s="400">
        <f>VLOOKUP($C43,'ТР нефть'!$A$29:$GC$641,144,0)</f>
        <v>1</v>
      </c>
      <c r="R43" s="397">
        <f>VLOOKUP($C43,'ТР нефть'!$A$29:$GC$641,145,0)</f>
        <v>15.8</v>
      </c>
      <c r="S43" s="397">
        <f>VLOOKUP($C43,'ТР нефть'!$A$29:$GC$641,146,0)</f>
        <v>482.14477125759902</v>
      </c>
      <c r="T43" s="397">
        <f>VLOOKUP($C43,'ТР нефть'!$A$29:$GC$641,149,0)</f>
        <v>54</v>
      </c>
      <c r="U43" s="401">
        <f>VLOOKUP($C43,'ТР нефть'!$A$29:$GC$641,150,0)</f>
        <v>0.20209677419354838</v>
      </c>
      <c r="V43" s="402" t="str">
        <f>VLOOKUP($C43,'ТР нефть'!$A$29:$GC$641,47,0)</f>
        <v>Газлифт</v>
      </c>
      <c r="W43" s="396">
        <f>VLOOKUP($C43,'ТР нефть'!$A$29:$GC$641,74,0)</f>
        <v>18</v>
      </c>
      <c r="X43" s="397">
        <f>VLOOKUP($C43,'ТР нефть'!$A$29:$GC$641,79,0)</f>
        <v>21</v>
      </c>
      <c r="Y43" s="397">
        <f>VLOOKUP($C43,'ТР нефть'!$A$29:$GC$641,80,0)</f>
        <v>36</v>
      </c>
      <c r="Z43" s="397">
        <f>VLOOKUP($C43,'ТР нефть'!$A$29:$GC$641,81,0)</f>
        <v>20</v>
      </c>
      <c r="AA43" s="397" t="str">
        <f>VLOOKUP($C43,'ТР нефть'!$A$29:$GC$641,76,0)</f>
        <v>Постоянный</v>
      </c>
      <c r="AB43" s="397">
        <f>VLOOKUP($C43,'ТР нефть'!$A$29:$GC$641,77,0)</f>
        <v>24</v>
      </c>
      <c r="AC43" s="397">
        <f>VLOOKUP($C43,'ТР нефть'!$A$29:$GC$641,78,0)</f>
        <v>0</v>
      </c>
      <c r="AD43" s="398">
        <f>VLOOKUP($C43,'ТР нефть'!$A$29:$GC$641,93,0)</f>
        <v>8.6074559999999991</v>
      </c>
      <c r="AE43" s="399">
        <f>VLOOKUP($C43,'ТР нефть'!$A$29:$GC$641,94,0)</f>
        <v>10.4</v>
      </c>
      <c r="AF43" s="400">
        <f>VLOOKUP($C43,'ТР нефть'!$A$29:$GC$641,95,0)</f>
        <v>1</v>
      </c>
      <c r="AG43" s="397">
        <f>VLOOKUP($C43,'ТР нефть'!$A$29:$GC$641,99,0)</f>
        <v>5</v>
      </c>
      <c r="AH43" s="397">
        <f>VLOOKUP($C43,'ТР нефть'!$A$29:$GC$641,100,0)</f>
        <v>580.89172921708814</v>
      </c>
      <c r="AI43" s="397">
        <f>VLOOKUP($C43,'ТР нефть'!$A$29:$GC$641,92,0)</f>
        <v>43</v>
      </c>
      <c r="AJ43" s="403">
        <f>VLOOKUP($C43,'ТР нефть'!$A$29:$GC$641,102,0)</f>
        <v>0.14246575342465753</v>
      </c>
      <c r="AK43" s="404">
        <f t="shared" si="2"/>
        <v>0</v>
      </c>
      <c r="AL43" s="397">
        <f t="shared" si="2"/>
        <v>2</v>
      </c>
      <c r="AM43" s="397">
        <f t="shared" si="2"/>
        <v>-30</v>
      </c>
      <c r="AN43" s="397">
        <f t="shared" si="2"/>
        <v>2</v>
      </c>
      <c r="AO43" s="397">
        <f t="shared" si="3"/>
        <v>0</v>
      </c>
      <c r="AP43" s="397">
        <f t="shared" si="3"/>
        <v>0</v>
      </c>
      <c r="AQ43" s="398">
        <f t="shared" si="3"/>
        <v>-1.7628732000000014</v>
      </c>
      <c r="AR43" s="399">
        <f t="shared" si="3"/>
        <v>-2.129999999999999</v>
      </c>
      <c r="AS43" s="400">
        <f t="shared" si="3"/>
        <v>0</v>
      </c>
      <c r="AT43" s="397">
        <f t="shared" si="3"/>
        <v>-10.8</v>
      </c>
      <c r="AU43" s="397">
        <f t="shared" si="3"/>
        <v>98.746957959489123</v>
      </c>
      <c r="AV43" s="418">
        <f t="shared" si="3"/>
        <v>-11</v>
      </c>
      <c r="AW43" s="406">
        <f t="shared" si="3"/>
        <v>-5.9631020768890847E-2</v>
      </c>
      <c r="AX43" s="392" t="str">
        <f>VLOOKUP($C43,'ТР нефть'!$A$29:$GC$641,182,0)</f>
        <v>ИПП База</v>
      </c>
      <c r="AY43" s="406" t="str">
        <f>VLOOKUP($C43,'ТР нефть'!$A$29:$GC$641,183,0)</f>
        <v>Снижение энергетики пласта что подтверждается дебитом и изменением Рзаб</v>
      </c>
      <c r="AZ43" s="407">
        <f t="shared" si="4"/>
        <v>8.6074559999999991</v>
      </c>
      <c r="BA43" s="408">
        <f t="shared" si="4"/>
        <v>10.4</v>
      </c>
      <c r="BB43" s="397">
        <f t="shared" si="4"/>
        <v>1</v>
      </c>
      <c r="BC43" s="409"/>
      <c r="BD43" s="422"/>
    </row>
    <row r="44" spans="1:57" ht="40.5" customHeight="1" x14ac:dyDescent="0.25">
      <c r="A44" s="373"/>
      <c r="B44" s="392">
        <f>SUBTOTAL(3,$C$40:C44)</f>
        <v>5</v>
      </c>
      <c r="C44" s="393" t="s">
        <v>436</v>
      </c>
      <c r="D44" s="394" t="str">
        <f>VLOOKUP($C44,'ТР нефть'!$A$29:$GC$641,5,0)</f>
        <v>ВУ ОНГКМ</v>
      </c>
      <c r="E44" s="394" t="str">
        <f>VLOOKUP($C44,'ТР нефть'!$A$29:$GC$641,8,0)</f>
        <v>ТЛ-1</v>
      </c>
      <c r="F44" s="395" t="str">
        <f>VLOOKUP($C44,'ТР нефть'!$A$29:$GC$641,11,0)</f>
        <v>Без куста</v>
      </c>
      <c r="G44" s="392" t="str">
        <f>VLOOKUP($C44,'ТР нефть'!$A$29:$GC$641,47,0)</f>
        <v>Газлифт</v>
      </c>
      <c r="H44" s="396">
        <f>VLOOKUP($C44,'ТР нефть'!$A$29:$GC$641,135,0)</f>
        <v>18</v>
      </c>
      <c r="I44" s="397">
        <f>VLOOKUP($C44,'ТР нефть'!$A$29:$GC$641,136,0)</f>
        <v>21</v>
      </c>
      <c r="J44" s="397">
        <f>VLOOKUP($C44,'ТР нефть'!$A$29:$GC$641,137,0)</f>
        <v>38</v>
      </c>
      <c r="K44" s="397">
        <f>VLOOKUP($C44,'ТР нефть'!$A$29:$GC$641,138,0)</f>
        <v>20</v>
      </c>
      <c r="L44" s="397" t="str">
        <f>VLOOKUP($C44,'ТР нефть'!$A$29:$GC$641,139,0)</f>
        <v>Постоянный</v>
      </c>
      <c r="M44" s="397">
        <f>VLOOKUP($C44,'ТР нефть'!$A$29:$GC$641,140,0)</f>
        <v>24</v>
      </c>
      <c r="N44" s="397">
        <f>VLOOKUP($C44,'ТР нефть'!$A$29:$GC$641,141,0)</f>
        <v>0</v>
      </c>
      <c r="O44" s="398">
        <f>VLOOKUP($C44,'ТР нефть'!$A$29:$GC$641,142,0)</f>
        <v>9.3631999999999991</v>
      </c>
      <c r="P44" s="399">
        <f>VLOOKUP($C44,'ТР нефть'!$A$29:$GC$641,143,0)</f>
        <v>11.2</v>
      </c>
      <c r="Q44" s="400">
        <f>VLOOKUP($C44,'ТР нефть'!$A$29:$GC$641,144,0)</f>
        <v>0</v>
      </c>
      <c r="R44" s="397">
        <f>VLOOKUP($C44,'ТР нефть'!$A$29:$GC$641,145,0)</f>
        <v>15.8</v>
      </c>
      <c r="S44" s="397">
        <f>VLOOKUP($C44,'ТР нефть'!$A$29:$GC$641,146,0)</f>
        <v>405.84415584415598</v>
      </c>
      <c r="T44" s="397">
        <f>VLOOKUP($C44,'ТР нефть'!$A$29:$GC$641,149,0)</f>
        <v>41</v>
      </c>
      <c r="U44" s="401">
        <f>VLOOKUP($C44,'ТР нефть'!$A$29:$GC$641,150,0)</f>
        <v>0.32653061224489799</v>
      </c>
      <c r="V44" s="402" t="str">
        <f>VLOOKUP($C44,'ТР нефть'!$A$29:$GC$641,47,0)</f>
        <v>Газлифт</v>
      </c>
      <c r="W44" s="396">
        <f>VLOOKUP($C44,'ТР нефть'!$A$29:$GC$641,74,0)</f>
        <v>18</v>
      </c>
      <c r="X44" s="397">
        <f>VLOOKUP($C44,'ТР нефть'!$A$29:$GC$641,79,0)</f>
        <v>18</v>
      </c>
      <c r="Y44" s="397">
        <f>VLOOKUP($C44,'ТР нефть'!$A$29:$GC$641,80,0)</f>
        <v>35</v>
      </c>
      <c r="Z44" s="397">
        <f>VLOOKUP($C44,'ТР нефть'!$A$29:$GC$641,81,0)</f>
        <v>16</v>
      </c>
      <c r="AA44" s="397" t="str">
        <f>VLOOKUP($C44,'ТР нефть'!$A$29:$GC$641,76,0)</f>
        <v>Постоянный</v>
      </c>
      <c r="AB44" s="397">
        <f>VLOOKUP($C44,'ТР нефть'!$A$29:$GC$641,77,0)</f>
        <v>24</v>
      </c>
      <c r="AC44" s="397">
        <f>VLOOKUP($C44,'ТР нефть'!$A$29:$GC$641,78,0)</f>
        <v>0</v>
      </c>
      <c r="AD44" s="398">
        <f>VLOOKUP($C44,'ТР нефть'!$A$29:$GC$641,93,0)</f>
        <v>7.8583999999999996</v>
      </c>
      <c r="AE44" s="399">
        <f>VLOOKUP($C44,'ТР нефть'!$A$29:$GC$641,94,0)</f>
        <v>9.4</v>
      </c>
      <c r="AF44" s="400">
        <f>VLOOKUP($C44,'ТР нефть'!$A$29:$GC$641,95,0)</f>
        <v>0</v>
      </c>
      <c r="AG44" s="397">
        <f>VLOOKUP($C44,'ТР нефть'!$A$29:$GC$641,99,0)</f>
        <v>4.8000000000000007</v>
      </c>
      <c r="AH44" s="397">
        <f>VLOOKUP($C44,'ТР нефть'!$A$29:$GC$641,100,0)</f>
        <v>610.81136109131648</v>
      </c>
      <c r="AI44" s="397">
        <f>VLOOKUP($C44,'ТР нефть'!$A$29:$GC$641,92,0)</f>
        <v>37</v>
      </c>
      <c r="AJ44" s="403">
        <f>VLOOKUP($C44,'ТР нефть'!$A$29:$GC$641,102,0)</f>
        <v>0.24543080939947784</v>
      </c>
      <c r="AK44" s="404">
        <f t="shared" si="2"/>
        <v>0</v>
      </c>
      <c r="AL44" s="397">
        <f t="shared" si="2"/>
        <v>-3</v>
      </c>
      <c r="AM44" s="397">
        <f t="shared" si="2"/>
        <v>-3</v>
      </c>
      <c r="AN44" s="397">
        <f t="shared" si="2"/>
        <v>-4</v>
      </c>
      <c r="AO44" s="397">
        <f t="shared" si="3"/>
        <v>0</v>
      </c>
      <c r="AP44" s="397">
        <f t="shared" si="3"/>
        <v>0</v>
      </c>
      <c r="AQ44" s="398">
        <f t="shared" si="3"/>
        <v>-1.5047999999999995</v>
      </c>
      <c r="AR44" s="399">
        <f t="shared" si="3"/>
        <v>-1.7999999999999989</v>
      </c>
      <c r="AS44" s="400">
        <f t="shared" si="3"/>
        <v>0</v>
      </c>
      <c r="AT44" s="397">
        <f t="shared" si="3"/>
        <v>-11</v>
      </c>
      <c r="AU44" s="397">
        <f t="shared" si="3"/>
        <v>204.96720524716051</v>
      </c>
      <c r="AV44" s="397">
        <f t="shared" si="3"/>
        <v>-4</v>
      </c>
      <c r="AW44" s="406">
        <f t="shared" si="3"/>
        <v>-8.1099802845420149E-2</v>
      </c>
      <c r="AX44" s="392" t="str">
        <f>VLOOKUP($C44,'ТР нефть'!$A$29:$GC$641,182,0)</f>
        <v>ИПП База</v>
      </c>
      <c r="AY44" s="406" t="str">
        <f>VLOOKUP($C44,'ТР нефть'!$A$29:$GC$641,183,0)</f>
        <v>Снижение энергетики пласта что подтверждается дебитом и изменением Рзаб</v>
      </c>
      <c r="AZ44" s="407">
        <f t="shared" si="4"/>
        <v>7.8583999999999996</v>
      </c>
      <c r="BA44" s="408">
        <f t="shared" si="4"/>
        <v>9.4</v>
      </c>
      <c r="BB44" s="397">
        <f t="shared" si="4"/>
        <v>0</v>
      </c>
      <c r="BC44" s="409"/>
      <c r="BD44" s="410"/>
    </row>
    <row r="45" spans="1:57" ht="40.5" customHeight="1" x14ac:dyDescent="0.25">
      <c r="A45" s="373"/>
      <c r="B45" s="392">
        <f>SUBTOTAL(3,$C$40:C45)</f>
        <v>6</v>
      </c>
      <c r="C45" s="393">
        <v>1118</v>
      </c>
      <c r="D45" s="394" t="str">
        <f>VLOOKUP($C45,'ТР нефть'!$A$29:$GC$641,5,0)</f>
        <v>ВУ ОНГКМ</v>
      </c>
      <c r="E45" s="394" t="str">
        <f>VLOOKUP($C45,'ТР нефть'!$A$29:$GC$641,8,0)</f>
        <v>ТЛ-4</v>
      </c>
      <c r="F45" s="395" t="str">
        <f>VLOOKUP($C45,'ТР нефть'!$A$29:$GC$641,11,0)</f>
        <v>К-8</v>
      </c>
      <c r="G45" s="392" t="str">
        <f>VLOOKUP($C45,'ТР нефть'!$A$29:$GC$641,47,0)</f>
        <v>Газлифт</v>
      </c>
      <c r="H45" s="396">
        <f>VLOOKUP($C45,'ТР нефть'!$A$29:$GC$641,135,0)</f>
        <v>18</v>
      </c>
      <c r="I45" s="397">
        <f>VLOOKUP($C45,'ТР нефть'!$A$29:$GC$641,136,0)</f>
        <v>24</v>
      </c>
      <c r="J45" s="397">
        <f>VLOOKUP($C45,'ТР нефть'!$A$29:$GC$641,137,0)</f>
        <v>36</v>
      </c>
      <c r="K45" s="397">
        <f>VLOOKUP($C45,'ТР нефть'!$A$29:$GC$641,138,0)</f>
        <v>23</v>
      </c>
      <c r="L45" s="397" t="str">
        <f>VLOOKUP($C45,'ТР нефть'!$A$29:$GC$641,139,0)</f>
        <v>Постоянный</v>
      </c>
      <c r="M45" s="397">
        <f>VLOOKUP($C45,'ТР нефть'!$A$29:$GC$641,140,0)</f>
        <v>24</v>
      </c>
      <c r="N45" s="397">
        <f>VLOOKUP($C45,'ТР нефть'!$A$29:$GC$641,141,0)</f>
        <v>0</v>
      </c>
      <c r="O45" s="398">
        <f>VLOOKUP($C45,'ТР нефть'!$A$29:$GC$641,142,0)</f>
        <v>4.0127999999999995</v>
      </c>
      <c r="P45" s="399">
        <f>VLOOKUP($C45,'ТР нефть'!$A$29:$GC$641,143,0)</f>
        <v>4.8</v>
      </c>
      <c r="Q45" s="400">
        <f>VLOOKUP($C45,'ТР нефть'!$A$29:$GC$641,144,0)</f>
        <v>0</v>
      </c>
      <c r="R45" s="397">
        <f>VLOOKUP($C45,'ТР нефть'!$A$29:$GC$641,145,0)</f>
        <v>8.6999999999999993</v>
      </c>
      <c r="S45" s="397">
        <f>VLOOKUP($C45,'ТР нефть'!$A$29:$GC$641,146,0)</f>
        <v>971.88995215311002</v>
      </c>
      <c r="T45" s="397">
        <f>VLOOKUP($C45,'ТР нефть'!$A$29:$GC$641,149,0)</f>
        <v>46</v>
      </c>
      <c r="U45" s="401">
        <f>VLOOKUP($C45,'ТР нефть'!$A$29:$GC$641,150,0)</f>
        <v>6.2337662337662338E-2</v>
      </c>
      <c r="V45" s="402" t="str">
        <f>VLOOKUP($C45,'ТР нефть'!$A$29:$GC$641,47,0)</f>
        <v>Газлифт</v>
      </c>
      <c r="W45" s="396">
        <f>VLOOKUP($C45,'ТР нефть'!$A$29:$GC$641,74,0)</f>
        <v>18</v>
      </c>
      <c r="X45" s="397">
        <f>VLOOKUP($C45,'ТР нефть'!$A$29:$GC$641,79,0)</f>
        <v>23</v>
      </c>
      <c r="Y45" s="397">
        <f>VLOOKUP($C45,'ТР нефть'!$A$29:$GC$641,80,0)</f>
        <v>35</v>
      </c>
      <c r="Z45" s="397">
        <f>VLOOKUP($C45,'ТР нефть'!$A$29:$GC$641,81,0)</f>
        <v>22</v>
      </c>
      <c r="AA45" s="397" t="str">
        <f>VLOOKUP($C45,'ТР нефть'!$A$29:$GC$641,76,0)</f>
        <v>Постоянный</v>
      </c>
      <c r="AB45" s="397">
        <f>VLOOKUP($C45,'ТР нефть'!$A$29:$GC$641,77,0)</f>
        <v>24</v>
      </c>
      <c r="AC45" s="397">
        <f>VLOOKUP($C45,'ТР нефть'!$A$29:$GC$641,78,0)</f>
        <v>0</v>
      </c>
      <c r="AD45" s="398">
        <f>VLOOKUP($C45,'ТР нефть'!$A$29:$GC$641,93,0)</f>
        <v>2.9259999999999997</v>
      </c>
      <c r="AE45" s="399">
        <f>VLOOKUP($C45,'ТР нефть'!$A$29:$GC$641,94,0)</f>
        <v>3.5</v>
      </c>
      <c r="AF45" s="400">
        <f>VLOOKUP($C45,'ТР нефть'!$A$29:$GC$641,95,0)</f>
        <v>0</v>
      </c>
      <c r="AG45" s="397">
        <f>VLOOKUP($C45,'ТР нефть'!$A$29:$GC$641,99,0)</f>
        <v>1.5</v>
      </c>
      <c r="AH45" s="397">
        <f>VLOOKUP($C45,'ТР нефть'!$A$29:$GC$641,100,0)</f>
        <v>512.64524948735482</v>
      </c>
      <c r="AI45" s="397">
        <f>VLOOKUP($C45,'ТР нефть'!$A$29:$GC$641,92,0)</f>
        <v>42</v>
      </c>
      <c r="AJ45" s="403">
        <f>VLOOKUP($C45,'ТР нефть'!$A$29:$GC$641,102,0)</f>
        <v>4.3209876543209874E-2</v>
      </c>
      <c r="AK45" s="404">
        <f t="shared" si="2"/>
        <v>0</v>
      </c>
      <c r="AL45" s="397">
        <f t="shared" si="2"/>
        <v>-1</v>
      </c>
      <c r="AM45" s="397">
        <f t="shared" si="2"/>
        <v>-1</v>
      </c>
      <c r="AN45" s="397">
        <f t="shared" si="2"/>
        <v>-1</v>
      </c>
      <c r="AO45" s="397">
        <f t="shared" si="3"/>
        <v>0</v>
      </c>
      <c r="AP45" s="397">
        <f t="shared" si="3"/>
        <v>0</v>
      </c>
      <c r="AQ45" s="398">
        <f t="shared" si="3"/>
        <v>-1.0867999999999998</v>
      </c>
      <c r="AR45" s="399">
        <f t="shared" si="3"/>
        <v>-1.2999999999999998</v>
      </c>
      <c r="AS45" s="400">
        <f t="shared" si="3"/>
        <v>0</v>
      </c>
      <c r="AT45" s="397">
        <f t="shared" si="3"/>
        <v>-7.1999999999999993</v>
      </c>
      <c r="AU45" s="397">
        <f t="shared" si="3"/>
        <v>-459.2447026657552</v>
      </c>
      <c r="AV45" s="397">
        <f t="shared" si="3"/>
        <v>-4</v>
      </c>
      <c r="AW45" s="406">
        <f t="shared" si="3"/>
        <v>-1.9127785794452463E-2</v>
      </c>
      <c r="AX45" s="392" t="str">
        <f>VLOOKUP($C45,'ТР нефть'!$A$29:$GC$641,182,0)</f>
        <v>ИПП БАЗА</v>
      </c>
      <c r="AY45" s="406" t="str">
        <f>VLOOKUP($C45,'ТР нефть'!$A$29:$GC$641,183,0)</f>
        <v>Снижение энергетики пласта что подтверждается дебитом и изменением Рзаб</v>
      </c>
      <c r="AZ45" s="407">
        <f t="shared" si="4"/>
        <v>2.9259999999999997</v>
      </c>
      <c r="BA45" s="408">
        <f t="shared" si="4"/>
        <v>3.5</v>
      </c>
      <c r="BB45" s="397">
        <f t="shared" si="4"/>
        <v>0</v>
      </c>
      <c r="BC45" s="409"/>
      <c r="BD45" s="410"/>
    </row>
    <row r="46" spans="1:57" ht="40.5" customHeight="1" x14ac:dyDescent="0.25">
      <c r="A46" s="373"/>
      <c r="B46" s="392">
        <f>SUBTOTAL(3,$C$40:C46)</f>
        <v>7</v>
      </c>
      <c r="C46" s="393" t="s">
        <v>1073</v>
      </c>
      <c r="D46" s="394" t="str">
        <f>VLOOKUP($C46,'ТР нефть'!$A$29:$GC$641,5,0)</f>
        <v>ВУ ОНГКМ</v>
      </c>
      <c r="E46" s="394" t="str">
        <f>VLOOKUP($C46,'ТР нефть'!$A$29:$GC$641,8,0)</f>
        <v>ТЛ-4</v>
      </c>
      <c r="F46" s="395" t="str">
        <f>VLOOKUP($C46,'ТР нефть'!$A$29:$GC$641,11,0)</f>
        <v>Куст скважины-1123</v>
      </c>
      <c r="G46" s="392" t="str">
        <f>VLOOKUP($C46,'ТР нефть'!$A$29:$GC$641,47,0)</f>
        <v>Газлифт</v>
      </c>
      <c r="H46" s="396">
        <f>VLOOKUP($C46,'ТР нефть'!$A$29:$GC$641,135,0)</f>
        <v>18</v>
      </c>
      <c r="I46" s="397">
        <f>VLOOKUP($C46,'ТР нефть'!$A$29:$GC$641,136,0)</f>
        <v>25</v>
      </c>
      <c r="J46" s="397">
        <f>VLOOKUP($C46,'ТР нефть'!$A$29:$GC$641,137,0)</f>
        <v>38</v>
      </c>
      <c r="K46" s="397">
        <f>VLOOKUP($C46,'ТР нефть'!$A$29:$GC$641,138,0)</f>
        <v>24</v>
      </c>
      <c r="L46" s="397" t="str">
        <f>VLOOKUP($C46,'ТР нефть'!$A$29:$GC$641,139,0)</f>
        <v>Постоянный</v>
      </c>
      <c r="M46" s="397">
        <f>VLOOKUP($C46,'ТР нефть'!$A$29:$GC$641,140,0)</f>
        <v>24</v>
      </c>
      <c r="N46" s="397">
        <f>VLOOKUP($C46,'ТР нефть'!$A$29:$GC$641,141,0)</f>
        <v>0</v>
      </c>
      <c r="O46" s="398">
        <f>VLOOKUP($C46,'ТР нефть'!$A$29:$GC$641,142,0)</f>
        <v>15.311340000000001</v>
      </c>
      <c r="P46" s="399">
        <f>VLOOKUP($C46,'ТР нефть'!$A$29:$GC$641,143,0)</f>
        <v>18.5</v>
      </c>
      <c r="Q46" s="400">
        <f>VLOOKUP($C46,'ТР нефть'!$A$29:$GC$641,144,0)</f>
        <v>1</v>
      </c>
      <c r="R46" s="397">
        <f>VLOOKUP($C46,'ТР нефть'!$A$29:$GC$641,145,0)</f>
        <v>25</v>
      </c>
      <c r="S46" s="397">
        <f>VLOOKUP($C46,'ТР нефть'!$A$29:$GC$641,146,0)</f>
        <v>1002.5249259699019</v>
      </c>
      <c r="T46" s="397">
        <f>VLOOKUP($C46,'ТР нефть'!$A$29:$GC$641,149,0)</f>
        <v>45</v>
      </c>
      <c r="U46" s="401">
        <f>VLOOKUP($C46,'ТР нефть'!$A$29:$GC$641,150,0)</f>
        <v>0.51388888888888884</v>
      </c>
      <c r="V46" s="402" t="str">
        <f>VLOOKUP($C46,'ТР нефть'!$A$29:$GC$641,47,0)</f>
        <v>Газлифт</v>
      </c>
      <c r="W46" s="396">
        <f>VLOOKUP($C46,'ТР нефть'!$A$29:$GC$641,74,0)</f>
        <v>18</v>
      </c>
      <c r="X46" s="397">
        <f>VLOOKUP($C46,'ТР нефть'!$A$29:$GC$641,79,0)</f>
        <v>23</v>
      </c>
      <c r="Y46" s="397">
        <f>VLOOKUP($C46,'ТР нефть'!$A$29:$GC$641,80,0)</f>
        <v>37</v>
      </c>
      <c r="Z46" s="397">
        <f>VLOOKUP($C46,'ТР нефть'!$A$29:$GC$641,81,0)</f>
        <v>22</v>
      </c>
      <c r="AA46" s="397" t="str">
        <f>VLOOKUP($C46,'ТР нефть'!$A$29:$GC$641,76,0)</f>
        <v>Постоянный</v>
      </c>
      <c r="AB46" s="397">
        <f>VLOOKUP($C46,'ТР нефть'!$A$29:$GC$641,77,0)</f>
        <v>24</v>
      </c>
      <c r="AC46" s="397">
        <f>VLOOKUP($C46,'ТР нефть'!$A$29:$GC$641,78,0)</f>
        <v>0</v>
      </c>
      <c r="AD46" s="398">
        <f>VLOOKUP($C46,'ТР нефть'!$A$29:$GC$641,93,0)</f>
        <v>14.328203999999999</v>
      </c>
      <c r="AE46" s="399">
        <f>VLOOKUP($C46,'ТР нефть'!$A$29:$GC$641,94,0)</f>
        <v>17.399999999999999</v>
      </c>
      <c r="AF46" s="400">
        <f>VLOOKUP($C46,'ТР нефть'!$A$29:$GC$641,95,0)</f>
        <v>1.5</v>
      </c>
      <c r="AG46" s="397">
        <f>VLOOKUP($C46,'ТР нефть'!$A$29:$GC$641,99,0)</f>
        <v>5.4</v>
      </c>
      <c r="AH46" s="397">
        <f>VLOOKUP($C46,'ТР нефть'!$A$29:$GC$641,100,0)</f>
        <v>376.87905616084197</v>
      </c>
      <c r="AI46" s="397">
        <f>VLOOKUP($C46,'ТР нефть'!$A$29:$GC$641,92,0)</f>
        <v>44</v>
      </c>
      <c r="AJ46" s="403">
        <f>VLOOKUP($C46,'ТР нефть'!$A$29:$GC$641,102,0)</f>
        <v>0.47027027027027024</v>
      </c>
      <c r="AK46" s="404">
        <f t="shared" si="2"/>
        <v>0</v>
      </c>
      <c r="AL46" s="397">
        <f t="shared" si="2"/>
        <v>-2</v>
      </c>
      <c r="AM46" s="397">
        <f t="shared" si="2"/>
        <v>-1</v>
      </c>
      <c r="AN46" s="397">
        <f t="shared" si="2"/>
        <v>-2</v>
      </c>
      <c r="AO46" s="397">
        <f t="shared" si="3"/>
        <v>0</v>
      </c>
      <c r="AP46" s="397">
        <f t="shared" si="3"/>
        <v>0</v>
      </c>
      <c r="AQ46" s="398">
        <f t="shared" si="3"/>
        <v>-0.98313600000000179</v>
      </c>
      <c r="AR46" s="399">
        <f t="shared" si="3"/>
        <v>-1.1000000000000014</v>
      </c>
      <c r="AS46" s="400">
        <f t="shared" si="3"/>
        <v>0.5</v>
      </c>
      <c r="AT46" s="397">
        <f t="shared" si="3"/>
        <v>-19.600000000000001</v>
      </c>
      <c r="AU46" s="397">
        <f t="shared" si="3"/>
        <v>-625.64586980905995</v>
      </c>
      <c r="AV46" s="397">
        <f t="shared" si="3"/>
        <v>-1</v>
      </c>
      <c r="AW46" s="406">
        <f t="shared" si="3"/>
        <v>-4.3618618618618599E-2</v>
      </c>
      <c r="AX46" s="392" t="str">
        <f>VLOOKUP($C46,'ТР нефть'!$A$29:$GC$641,182,0)</f>
        <v>ИПП база</v>
      </c>
      <c r="AY46" s="406" t="str">
        <f>VLOOKUP($C46,'ТР нефть'!$A$29:$GC$641,183,0)</f>
        <v>В 2022 г проведено РВП. С момента запуска снижение энергетики пласта что подтверждается дебитом и изменением Рзаб</v>
      </c>
      <c r="AZ46" s="407">
        <f t="shared" si="4"/>
        <v>14.328203999999999</v>
      </c>
      <c r="BA46" s="408">
        <f t="shared" si="4"/>
        <v>17.399999999999999</v>
      </c>
      <c r="BB46" s="397">
        <f t="shared" si="4"/>
        <v>1.5</v>
      </c>
      <c r="BC46" s="409"/>
      <c r="BD46" s="410"/>
    </row>
    <row r="47" spans="1:57" ht="40.5" customHeight="1" x14ac:dyDescent="0.25">
      <c r="A47" s="373"/>
      <c r="B47" s="392">
        <f>SUBTOTAL(3,$C$40:C47)</f>
        <v>8</v>
      </c>
      <c r="C47" s="393">
        <v>1135</v>
      </c>
      <c r="D47" s="394" t="str">
        <f>VLOOKUP($C47,'ТР нефть'!$A$29:$GC$641,5,0)</f>
        <v>ВУ ОНГКМ</v>
      </c>
      <c r="E47" s="394" t="str">
        <f>VLOOKUP($C47,'ТР нефть'!$A$29:$GC$641,8,0)</f>
        <v>ТЛ-4</v>
      </c>
      <c r="F47" s="395" t="str">
        <f>VLOOKUP($C47,'ТР нефть'!$A$29:$GC$641,11,0)</f>
        <v>К-7</v>
      </c>
      <c r="G47" s="392" t="str">
        <f>VLOOKUP($C47,'ТР нефть'!$A$29:$GC$641,47,0)</f>
        <v>Газлифт</v>
      </c>
      <c r="H47" s="396">
        <f>VLOOKUP($C47,'ТР нефть'!$A$29:$GC$641,135,0)</f>
        <v>18</v>
      </c>
      <c r="I47" s="397">
        <f>VLOOKUP($C47,'ТР нефть'!$A$29:$GC$641,136,0)</f>
        <v>25</v>
      </c>
      <c r="J47" s="397">
        <f>VLOOKUP($C47,'ТР нефть'!$A$29:$GC$641,137,0)</f>
        <v>46</v>
      </c>
      <c r="K47" s="397">
        <f>VLOOKUP($C47,'ТР нефть'!$A$29:$GC$641,138,0)</f>
        <v>24</v>
      </c>
      <c r="L47" s="397" t="str">
        <f>VLOOKUP($C47,'ТР нефть'!$A$29:$GC$641,139,0)</f>
        <v>Постоянный</v>
      </c>
      <c r="M47" s="397">
        <f>VLOOKUP($C47,'ТР нефть'!$A$29:$GC$641,140,0)</f>
        <v>24</v>
      </c>
      <c r="N47" s="397">
        <f>VLOOKUP($C47,'ТР нефть'!$A$29:$GC$641,141,0)</f>
        <v>0</v>
      </c>
      <c r="O47" s="398">
        <f>VLOOKUP($C47,'ТР нефть'!$A$29:$GC$641,142,0)</f>
        <v>7.5407200000000012</v>
      </c>
      <c r="P47" s="399">
        <f>VLOOKUP($C47,'ТР нефть'!$A$29:$GC$641,143,0)</f>
        <v>11</v>
      </c>
      <c r="Q47" s="400">
        <f>VLOOKUP($C47,'ТР нефть'!$A$29:$GC$641,144,0)</f>
        <v>18</v>
      </c>
      <c r="R47" s="397">
        <f>VLOOKUP($C47,'ТР нефть'!$A$29:$GC$641,145,0)</f>
        <v>14</v>
      </c>
      <c r="S47" s="397">
        <f>VLOOKUP($C47,'ТР нефть'!$A$29:$GC$641,146,0)</f>
        <v>265.22666270594846</v>
      </c>
      <c r="T47" s="397">
        <f>VLOOKUP($C47,'ТР нефть'!$A$29:$GC$641,149,0)</f>
        <v>66</v>
      </c>
      <c r="U47" s="401">
        <f>VLOOKUP($C47,'ТР нефть'!$A$29:$GC$641,150,0)</f>
        <v>0.1864406779661017</v>
      </c>
      <c r="V47" s="402" t="str">
        <f>VLOOKUP($C47,'ТР нефть'!$A$29:$GC$641,47,0)</f>
        <v>Газлифт</v>
      </c>
      <c r="W47" s="396">
        <f>VLOOKUP($C47,'ТР нефть'!$A$29:$GC$641,74,0)</f>
        <v>18</v>
      </c>
      <c r="X47" s="397">
        <f>VLOOKUP($C47,'ТР нефть'!$A$29:$GC$641,79,0)</f>
        <v>22</v>
      </c>
      <c r="Y47" s="397">
        <f>VLOOKUP($C47,'ТР нефть'!$A$29:$GC$641,80,0)</f>
        <v>44</v>
      </c>
      <c r="Z47" s="397">
        <f>VLOOKUP($C47,'ТР нефть'!$A$29:$GC$641,81,0)</f>
        <v>21</v>
      </c>
      <c r="AA47" s="397" t="str">
        <f>VLOOKUP($C47,'ТР нефть'!$A$29:$GC$641,76,0)</f>
        <v>Постоянный</v>
      </c>
      <c r="AB47" s="397">
        <f>VLOOKUP($C47,'ТР нефть'!$A$29:$GC$641,77,0)</f>
        <v>24</v>
      </c>
      <c r="AC47" s="397">
        <f>VLOOKUP($C47,'ТР нефть'!$A$29:$GC$641,78,0)</f>
        <v>0</v>
      </c>
      <c r="AD47" s="398">
        <f>VLOOKUP($C47,'ТР нефть'!$A$29:$GC$641,93,0)</f>
        <v>6.6044</v>
      </c>
      <c r="AE47" s="399">
        <f>VLOOKUP($C47,'ТР нефть'!$A$29:$GC$641,94,0)</f>
        <v>10</v>
      </c>
      <c r="AF47" s="400">
        <f>VLOOKUP($C47,'ТР нефть'!$A$29:$GC$641,95,0)</f>
        <v>21</v>
      </c>
      <c r="AG47" s="397">
        <f>VLOOKUP($C47,'ТР нефть'!$A$29:$GC$641,99,0)</f>
        <v>2</v>
      </c>
      <c r="AH47" s="397">
        <f>VLOOKUP($C47,'ТР нефть'!$A$29:$GC$641,100,0)</f>
        <v>302.82841741869055</v>
      </c>
      <c r="AI47" s="397">
        <f>VLOOKUP($C47,'ТР нефть'!$A$29:$GC$641,92,0)</f>
        <v>63</v>
      </c>
      <c r="AJ47" s="403">
        <f>VLOOKUP($C47,'ТР нефть'!$A$29:$GC$641,102,0)</f>
        <v>0.16129032258064516</v>
      </c>
      <c r="AK47" s="404">
        <f t="shared" si="2"/>
        <v>0</v>
      </c>
      <c r="AL47" s="397">
        <f t="shared" si="2"/>
        <v>-3</v>
      </c>
      <c r="AM47" s="397">
        <f t="shared" si="2"/>
        <v>-2</v>
      </c>
      <c r="AN47" s="397">
        <f t="shared" si="2"/>
        <v>-3</v>
      </c>
      <c r="AO47" s="397">
        <f t="shared" si="3"/>
        <v>0</v>
      </c>
      <c r="AP47" s="397">
        <f t="shared" si="3"/>
        <v>0</v>
      </c>
      <c r="AQ47" s="398">
        <f t="shared" si="3"/>
        <v>-0.93632000000000115</v>
      </c>
      <c r="AR47" s="399">
        <f t="shared" si="3"/>
        <v>-1</v>
      </c>
      <c r="AS47" s="400">
        <f t="shared" si="3"/>
        <v>3</v>
      </c>
      <c r="AT47" s="397">
        <f t="shared" si="3"/>
        <v>-12</v>
      </c>
      <c r="AU47" s="397">
        <f t="shared" si="3"/>
        <v>37.601754712742093</v>
      </c>
      <c r="AV47" s="397">
        <f t="shared" si="3"/>
        <v>-3</v>
      </c>
      <c r="AW47" s="406">
        <f t="shared" si="3"/>
        <v>-2.5150355385456541E-2</v>
      </c>
      <c r="AX47" s="392" t="str">
        <f>VLOOKUP($C47,'ТР нефть'!$A$29:$GC$641,182,0)</f>
        <v>ИПП БАЗА</v>
      </c>
      <c r="AY47" s="406" t="str">
        <f>VLOOKUP($C47,'ТР нефть'!$A$29:$GC$641,183,0)</f>
        <v>ОПЗ 2022г. Снижение энергетики пласта что подтверждается дебитом и изменением Рзаб</v>
      </c>
      <c r="AZ47" s="407">
        <f t="shared" si="4"/>
        <v>6.6044</v>
      </c>
      <c r="BA47" s="408">
        <f t="shared" si="4"/>
        <v>10</v>
      </c>
      <c r="BB47" s="397">
        <f t="shared" si="4"/>
        <v>21</v>
      </c>
      <c r="BC47" s="409"/>
      <c r="BD47" s="410"/>
    </row>
    <row r="48" spans="1:57" ht="40.5" customHeight="1" x14ac:dyDescent="0.25">
      <c r="A48" s="373"/>
      <c r="B48" s="392">
        <f>SUBTOTAL(3,$C$40:C48)</f>
        <v>9</v>
      </c>
      <c r="C48" s="393" t="s">
        <v>1174</v>
      </c>
      <c r="D48" s="394" t="str">
        <f>VLOOKUP($C48,'ТР нефть'!$A$29:$GC$641,5,0)</f>
        <v>ВУ ОНГКМ</v>
      </c>
      <c r="E48" s="394" t="str">
        <f>VLOOKUP($C48,'ТР нефть'!$A$29:$GC$641,8,0)</f>
        <v>ТЛ-4</v>
      </c>
      <c r="F48" s="395" t="str">
        <f>VLOOKUP($C48,'ТР нефть'!$A$29:$GC$641,11,0)</f>
        <v>К-10</v>
      </c>
      <c r="G48" s="392" t="str">
        <f>VLOOKUP($C48,'ТР нефть'!$A$29:$GC$641,47,0)</f>
        <v>ЭЦН</v>
      </c>
      <c r="H48" s="396">
        <f>VLOOKUP($C48,'ТР нефть'!$A$29:$GC$641,135,0)</f>
        <v>10</v>
      </c>
      <c r="I48" s="397">
        <f>VLOOKUP($C48,'ТР нефть'!$A$29:$GC$641,136,0)</f>
        <v>31</v>
      </c>
      <c r="J48" s="397">
        <f>VLOOKUP($C48,'ТР нефть'!$A$29:$GC$641,137,0)</f>
        <v>31</v>
      </c>
      <c r="K48" s="397">
        <f>VLOOKUP($C48,'ТР нефть'!$A$29:$GC$641,138,0)</f>
        <v>30</v>
      </c>
      <c r="L48" s="397" t="str">
        <f>VLOOKUP($C48,'ТР нефть'!$A$29:$GC$641,139,0)</f>
        <v>Постоянный</v>
      </c>
      <c r="M48" s="397">
        <f>VLOOKUP($C48,'ТР нефть'!$A$29:$GC$641,140,0)</f>
        <v>24</v>
      </c>
      <c r="N48" s="397">
        <f>VLOOKUP($C48,'ТР нефть'!$A$29:$GC$641,141,0)</f>
        <v>0</v>
      </c>
      <c r="O48" s="398">
        <f>VLOOKUP($C48,'ТР нефть'!$A$29:$GC$641,142,0)</f>
        <v>24.22728</v>
      </c>
      <c r="P48" s="399">
        <f>VLOOKUP($C48,'ТР нефть'!$A$29:$GC$641,143,0)</f>
        <v>80.5</v>
      </c>
      <c r="Q48" s="400">
        <f>VLOOKUP($C48,'ТР нефть'!$A$29:$GC$641,144,0)</f>
        <v>64</v>
      </c>
      <c r="R48" s="397">
        <f>VLOOKUP($C48,'ТР нефть'!$A$29:$GC$641,145,0)</f>
        <v>15.8</v>
      </c>
      <c r="S48" s="397">
        <f>VLOOKUP($C48,'ТР нефть'!$A$29:$GC$641,146,0)</f>
        <v>652.15740272948506</v>
      </c>
      <c r="T48" s="397">
        <f>VLOOKUP($C48,'ТР нефть'!$A$29:$GC$641,149,0)</f>
        <v>88.834807679999997</v>
      </c>
      <c r="U48" s="401">
        <f>VLOOKUP($C48,'ТР нефть'!$A$29:$GC$641,150,0)</f>
        <v>2.2258971910812169</v>
      </c>
      <c r="V48" s="402" t="str">
        <f>VLOOKUP($C48,'ТР нефть'!$A$29:$GC$641,47,0)</f>
        <v>ЭЦН</v>
      </c>
      <c r="W48" s="396">
        <f>VLOOKUP($C48,'ТР нефть'!$A$29:$GC$641,74,0)</f>
        <v>10</v>
      </c>
      <c r="X48" s="397">
        <f>VLOOKUP($C48,'ТР нефть'!$A$29:$GC$641,79,0)</f>
        <v>32</v>
      </c>
      <c r="Y48" s="397">
        <f>VLOOKUP($C48,'ТР нефть'!$A$29:$GC$641,80,0)</f>
        <v>31</v>
      </c>
      <c r="Z48" s="397">
        <f>VLOOKUP($C48,'ТР нефть'!$A$29:$GC$641,81,0)</f>
        <v>31</v>
      </c>
      <c r="AA48" s="397" t="str">
        <f>VLOOKUP($C48,'ТР нефть'!$A$29:$GC$641,76,0)</f>
        <v>Постоянный</v>
      </c>
      <c r="AB48" s="397">
        <f>VLOOKUP($C48,'ТР нефть'!$A$29:$GC$641,77,0)</f>
        <v>24</v>
      </c>
      <c r="AC48" s="397">
        <f>VLOOKUP($C48,'ТР нефть'!$A$29:$GC$641,78,0)</f>
        <v>0</v>
      </c>
      <c r="AD48" s="398">
        <f>VLOOKUP($C48,'ТР нефть'!$A$29:$GC$641,93,0)</f>
        <v>22.2376</v>
      </c>
      <c r="AE48" s="399">
        <f>VLOOKUP($C48,'ТР нефть'!$A$29:$GC$641,94,0)</f>
        <v>66.5</v>
      </c>
      <c r="AF48" s="400">
        <f>VLOOKUP($C48,'ТР нефть'!$A$29:$GC$641,95,0)</f>
        <v>60</v>
      </c>
      <c r="AG48" s="397">
        <f>VLOOKUP($C48,'ТР нефть'!$A$29:$GC$641,99,0)</f>
        <v>15</v>
      </c>
      <c r="AH48" s="397">
        <f>VLOOKUP($C48,'ТР нефть'!$A$29:$GC$641,100,0)</f>
        <v>674.53322300967727</v>
      </c>
      <c r="AI48" s="397">
        <f>VLOOKUP($C48,'ТР нефть'!$A$29:$GC$641,92,0)</f>
        <v>86.319900399999995</v>
      </c>
      <c r="AJ48" s="403">
        <f>VLOOKUP($C48,'ТР нефть'!$A$29:$GC$641,102,0)</f>
        <v>1.7192303196654641</v>
      </c>
      <c r="AK48" s="404">
        <f t="shared" si="2"/>
        <v>0</v>
      </c>
      <c r="AL48" s="397">
        <f t="shared" si="2"/>
        <v>1</v>
      </c>
      <c r="AM48" s="397">
        <f t="shared" si="2"/>
        <v>0</v>
      </c>
      <c r="AN48" s="397">
        <f t="shared" si="2"/>
        <v>1</v>
      </c>
      <c r="AO48" s="397">
        <f t="shared" si="3"/>
        <v>0</v>
      </c>
      <c r="AP48" s="397">
        <f t="shared" si="3"/>
        <v>0</v>
      </c>
      <c r="AQ48" s="398">
        <f>AD48-O48</f>
        <v>-1.9896799999999999</v>
      </c>
      <c r="AR48" s="399">
        <f t="shared" si="3"/>
        <v>-14</v>
      </c>
      <c r="AS48" s="400">
        <f t="shared" si="3"/>
        <v>-4</v>
      </c>
      <c r="AT48" s="397">
        <f t="shared" si="3"/>
        <v>-0.80000000000000071</v>
      </c>
      <c r="AU48" s="397">
        <f t="shared" si="3"/>
        <v>22.375820280192215</v>
      </c>
      <c r="AV48" s="397">
        <f t="shared" si="3"/>
        <v>-2.5149072800000027</v>
      </c>
      <c r="AW48" s="406">
        <f t="shared" si="3"/>
        <v>-0.50666687141575273</v>
      </c>
      <c r="AX48" s="392" t="str">
        <f>VLOOKUP($C48,'ТР нефть'!$A$29:$GC$641,182,0)</f>
        <v>ИПП База</v>
      </c>
      <c r="AY48" s="406" t="str">
        <f>VLOOKUP($C48,'ТР нефть'!$A$29:$GC$641,183,0)</f>
        <v>Снижение энергетики пласта что подтверждается дебитом и изменением Рзаб</v>
      </c>
      <c r="AZ48" s="407">
        <f t="shared" si="4"/>
        <v>22.2376</v>
      </c>
      <c r="BA48" s="408">
        <f t="shared" si="4"/>
        <v>66.5</v>
      </c>
      <c r="BB48" s="397">
        <f t="shared" si="4"/>
        <v>60</v>
      </c>
      <c r="BC48" s="409"/>
      <c r="BD48" s="410"/>
    </row>
    <row r="49" spans="1:56" ht="40.5" customHeight="1" x14ac:dyDescent="0.25">
      <c r="A49" s="373"/>
      <c r="B49" s="392">
        <f>SUBTOTAL(3,$C$40:C49)</f>
        <v>10</v>
      </c>
      <c r="C49" s="393">
        <v>1319</v>
      </c>
      <c r="D49" s="394" t="str">
        <f>VLOOKUP($C49,'ТР нефть'!$A$29:$GC$641,5,0)</f>
        <v>ВУ ОНГКМ</v>
      </c>
      <c r="E49" s="394" t="str">
        <f>VLOOKUP($C49,'ТР нефть'!$A$29:$GC$641,8,0)</f>
        <v>ТЛ-4</v>
      </c>
      <c r="F49" s="395" t="str">
        <f>VLOOKUP($C49,'ТР нефть'!$A$29:$GC$641,11,0)</f>
        <v>К-1526</v>
      </c>
      <c r="G49" s="392" t="str">
        <f>VLOOKUP($C49,'ТР нефть'!$A$29:$GC$641,47,0)</f>
        <v>Газлифт</v>
      </c>
      <c r="H49" s="396">
        <f>VLOOKUP($C49,'ТР нефть'!$A$29:$GC$641,135,0)</f>
        <v>18</v>
      </c>
      <c r="I49" s="397">
        <f>VLOOKUP($C49,'ТР нефть'!$A$29:$GC$641,136,0)</f>
        <v>15</v>
      </c>
      <c r="J49" s="397">
        <f>VLOOKUP($C49,'ТР нефть'!$A$29:$GC$641,137,0)</f>
        <v>32</v>
      </c>
      <c r="K49" s="397">
        <f>VLOOKUP($C49,'ТР нефть'!$A$29:$GC$641,138,0)</f>
        <v>15</v>
      </c>
      <c r="L49" s="397" t="str">
        <f>VLOOKUP($C49,'ТР нефть'!$A$29:$GC$641,139,0)</f>
        <v>Постоянный</v>
      </c>
      <c r="M49" s="397">
        <f>VLOOKUP($C49,'ТР нефть'!$A$29:$GC$641,140,0)</f>
        <v>24</v>
      </c>
      <c r="N49" s="397">
        <f>VLOOKUP($C49,'ТР нефть'!$A$29:$GC$641,141,0)</f>
        <v>0</v>
      </c>
      <c r="O49" s="398">
        <f>VLOOKUP($C49,'ТР нефть'!$A$29:$GC$641,142,0)</f>
        <v>10.868</v>
      </c>
      <c r="P49" s="399">
        <f>VLOOKUP($C49,'ТР нефть'!$A$29:$GC$641,143,0)</f>
        <v>13</v>
      </c>
      <c r="Q49" s="400">
        <f>VLOOKUP($C49,'ТР нефть'!$A$29:$GC$641,144,0)</f>
        <v>0</v>
      </c>
      <c r="R49" s="397">
        <f>VLOOKUP($C49,'ТР нефть'!$A$29:$GC$641,145,0)</f>
        <v>15</v>
      </c>
      <c r="S49" s="397">
        <f>VLOOKUP($C49,'ТР нефть'!$A$29:$GC$641,146,0)</f>
        <v>797.75487670224516</v>
      </c>
      <c r="T49" s="397">
        <f>VLOOKUP($C49,'ТР нефть'!$A$29:$GC$641,149,0)</f>
        <v>42</v>
      </c>
      <c r="U49" s="401">
        <f>VLOOKUP($C49,'ТР нефть'!$A$29:$GC$641,150,0)</f>
        <v>0.16883116883116883</v>
      </c>
      <c r="V49" s="402" t="str">
        <f>VLOOKUP($C49,'ТР нефть'!$A$29:$GC$641,47,0)</f>
        <v>Газлифт</v>
      </c>
      <c r="W49" s="396">
        <f>VLOOKUP($C49,'ТР нефть'!$A$29:$GC$641,74,0)</f>
        <v>18</v>
      </c>
      <c r="X49" s="397">
        <f>VLOOKUP($C49,'ТР нефть'!$A$29:$GC$641,79,0)</f>
        <v>16</v>
      </c>
      <c r="Y49" s="397">
        <f>VLOOKUP($C49,'ТР нефть'!$A$29:$GC$641,80,0)</f>
        <v>32</v>
      </c>
      <c r="Z49" s="397">
        <f>VLOOKUP($C49,'ТР нефть'!$A$29:$GC$641,81,0)</f>
        <v>15</v>
      </c>
      <c r="AA49" s="397" t="str">
        <f>VLOOKUP($C49,'ТР нефть'!$A$29:$GC$641,76,0)</f>
        <v>Постоянный</v>
      </c>
      <c r="AB49" s="397">
        <f>VLOOKUP($C49,'ТР нефть'!$A$29:$GC$641,77,0)</f>
        <v>24</v>
      </c>
      <c r="AC49" s="397">
        <f>VLOOKUP($C49,'ТР нефть'!$A$29:$GC$641,78,0)</f>
        <v>0</v>
      </c>
      <c r="AD49" s="398">
        <f>VLOOKUP($C49,'ТР нефть'!$A$29:$GC$641,93,0)</f>
        <v>9.613999999999999</v>
      </c>
      <c r="AE49" s="399">
        <f>VLOOKUP($C49,'ТР нефть'!$A$29:$GC$641,94,0)</f>
        <v>11.5</v>
      </c>
      <c r="AF49" s="400">
        <f>VLOOKUP($C49,'ТР нефть'!$A$29:$GC$641,95,0)</f>
        <v>0</v>
      </c>
      <c r="AG49" s="397">
        <f>VLOOKUP($C49,'ТР нефть'!$A$29:$GC$641,99,0)</f>
        <v>7.82</v>
      </c>
      <c r="AH49" s="397">
        <f>VLOOKUP($C49,'ТР нефть'!$A$29:$GC$641,100,0)</f>
        <v>813.39712918660291</v>
      </c>
      <c r="AI49" s="397">
        <f>VLOOKUP($C49,'ТР нефть'!$A$29:$GC$641,92,0)</f>
        <v>42</v>
      </c>
      <c r="AJ49" s="403">
        <f>VLOOKUP($C49,'ТР нефть'!$A$29:$GC$641,102,0)</f>
        <v>0.14935064935064934</v>
      </c>
      <c r="AK49" s="404">
        <f t="shared" si="2"/>
        <v>0</v>
      </c>
      <c r="AL49" s="397">
        <f t="shared" si="2"/>
        <v>1</v>
      </c>
      <c r="AM49" s="397">
        <f t="shared" si="2"/>
        <v>0</v>
      </c>
      <c r="AN49" s="397">
        <f t="shared" si="2"/>
        <v>0</v>
      </c>
      <c r="AO49" s="397">
        <f t="shared" si="3"/>
        <v>0</v>
      </c>
      <c r="AP49" s="397">
        <f t="shared" si="3"/>
        <v>0</v>
      </c>
      <c r="AQ49" s="398">
        <f t="shared" si="3"/>
        <v>-1.2540000000000013</v>
      </c>
      <c r="AR49" s="399">
        <f t="shared" si="3"/>
        <v>-1.5</v>
      </c>
      <c r="AS49" s="400">
        <f t="shared" si="3"/>
        <v>0</v>
      </c>
      <c r="AT49" s="397">
        <f t="shared" si="3"/>
        <v>-7.18</v>
      </c>
      <c r="AU49" s="397">
        <f t="shared" si="3"/>
        <v>15.642252484357755</v>
      </c>
      <c r="AV49" s="397">
        <f t="shared" si="3"/>
        <v>0</v>
      </c>
      <c r="AW49" s="406">
        <f t="shared" si="3"/>
        <v>-1.9480519480519487E-2</v>
      </c>
      <c r="AX49" s="392" t="str">
        <f>VLOOKUP($C49,'ТР нефть'!$A$29:$GC$641,182,0)</f>
        <v>ИПП База</v>
      </c>
      <c r="AY49" s="406" t="str">
        <f>VLOOKUP($C49,'ТР нефть'!$A$29:$GC$641,183,0)</f>
        <v>Снижение энергетики пласта</v>
      </c>
      <c r="AZ49" s="407">
        <f t="shared" si="4"/>
        <v>9.613999999999999</v>
      </c>
      <c r="BA49" s="408">
        <f t="shared" si="4"/>
        <v>11.5</v>
      </c>
      <c r="BB49" s="397">
        <f t="shared" si="4"/>
        <v>0</v>
      </c>
      <c r="BC49" s="409"/>
      <c r="BD49" s="410"/>
    </row>
    <row r="50" spans="1:56" ht="40.5" customHeight="1" x14ac:dyDescent="0.25">
      <c r="A50" s="373"/>
      <c r="B50" s="392">
        <f>SUBTOTAL(3,$C$40:C50)</f>
        <v>11</v>
      </c>
      <c r="C50" s="393">
        <v>1358</v>
      </c>
      <c r="D50" s="394" t="str">
        <f>VLOOKUP($C50,'ТР нефть'!$A$29:$GC$641,5,0)</f>
        <v>ВУ ОНГКМ</v>
      </c>
      <c r="E50" s="394" t="str">
        <f>VLOOKUP($C50,'ТР нефть'!$A$29:$GC$641,8,0)</f>
        <v>ТЛ-4</v>
      </c>
      <c r="F50" s="395" t="str">
        <f>VLOOKUP($C50,'ТР нефть'!$A$29:$GC$641,11,0)</f>
        <v>К-97</v>
      </c>
      <c r="G50" s="392" t="str">
        <f>VLOOKUP($C50,'ТР нефть'!$A$29:$GC$641,47,0)</f>
        <v>Газлифт</v>
      </c>
      <c r="H50" s="396">
        <f>VLOOKUP($C50,'ТР нефть'!$A$29:$GC$641,135,0)</f>
        <v>65</v>
      </c>
      <c r="I50" s="397">
        <f>VLOOKUP($C50,'ТР нефть'!$A$29:$GC$641,136,0)</f>
        <v>25</v>
      </c>
      <c r="J50" s="397">
        <f>VLOOKUP($C50,'ТР нефть'!$A$29:$GC$641,137,0)</f>
        <v>48</v>
      </c>
      <c r="K50" s="397">
        <f>VLOOKUP($C50,'ТР нефть'!$A$29:$GC$641,138,0)</f>
        <v>24</v>
      </c>
      <c r="L50" s="397" t="str">
        <f>VLOOKUP($C50,'ТР нефть'!$A$29:$GC$641,139,0)</f>
        <v>Постоянный</v>
      </c>
      <c r="M50" s="397">
        <f>VLOOKUP($C50,'ТР нефть'!$A$29:$GC$641,140,0)</f>
        <v>24</v>
      </c>
      <c r="N50" s="397">
        <f>VLOOKUP($C50,'ТР нефть'!$A$29:$GC$641,141,0)</f>
        <v>0</v>
      </c>
      <c r="O50" s="398">
        <f>VLOOKUP($C50,'ТР нефть'!$A$29:$GC$641,142,0)</f>
        <v>20.064</v>
      </c>
      <c r="P50" s="399">
        <f>VLOOKUP($C50,'ТР нефть'!$A$29:$GC$641,143,0)</f>
        <v>24</v>
      </c>
      <c r="Q50" s="400">
        <f>VLOOKUP($C50,'ТР нефть'!$A$29:$GC$641,144,0)</f>
        <v>0</v>
      </c>
      <c r="R50" s="397">
        <f>VLOOKUP($C50,'ТР нефть'!$A$29:$GC$641,145,0)</f>
        <v>20</v>
      </c>
      <c r="S50" s="397">
        <f>VLOOKUP($C50,'ТР нефть'!$A$29:$GC$641,146,0)</f>
        <v>224.28229665071771</v>
      </c>
      <c r="T50" s="397">
        <f>VLOOKUP($C50,'ТР нефть'!$A$29:$GC$641,149,0)</f>
        <v>46</v>
      </c>
      <c r="U50" s="401">
        <f>VLOOKUP($C50,'ТР нефть'!$A$29:$GC$641,150,0)</f>
        <v>0.38095238095238093</v>
      </c>
      <c r="V50" s="402" t="str">
        <f>VLOOKUP($C50,'ТР нефть'!$A$29:$GC$641,47,0)</f>
        <v>Газлифт</v>
      </c>
      <c r="W50" s="396">
        <f>VLOOKUP($C50,'ТР нефть'!$A$29:$GC$641,74,0)</f>
        <v>65</v>
      </c>
      <c r="X50" s="397">
        <f>VLOOKUP($C50,'ТР нефть'!$A$29:$GC$641,79,0)</f>
        <v>25</v>
      </c>
      <c r="Y50" s="397">
        <f>VLOOKUP($C50,'ТР нефть'!$A$29:$GC$641,80,0)</f>
        <v>43</v>
      </c>
      <c r="Z50" s="397">
        <f>VLOOKUP($C50,'ТР нефть'!$A$29:$GC$641,81,0)</f>
        <v>24</v>
      </c>
      <c r="AA50" s="397" t="str">
        <f>VLOOKUP($C50,'ТР нефть'!$A$29:$GC$641,76,0)</f>
        <v>Постоянный</v>
      </c>
      <c r="AB50" s="397">
        <f>VLOOKUP($C50,'ТР нефть'!$A$29:$GC$641,77,0)</f>
        <v>24</v>
      </c>
      <c r="AC50" s="397">
        <f>VLOOKUP($C50,'ТР нефть'!$A$29:$GC$641,78,0)</f>
        <v>0</v>
      </c>
      <c r="AD50" s="398">
        <f>VLOOKUP($C50,'ТР нефть'!$A$29:$GC$641,93,0)</f>
        <v>14.546399999999998</v>
      </c>
      <c r="AE50" s="399">
        <f>VLOOKUP($C50,'ТР нефть'!$A$29:$GC$641,94,0)</f>
        <v>17.399999999999999</v>
      </c>
      <c r="AF50" s="400">
        <f>VLOOKUP($C50,'ТР нефть'!$A$29:$GC$641,95,0)</f>
        <v>0</v>
      </c>
      <c r="AG50" s="397">
        <f>VLOOKUP($C50,'ТР нефть'!$A$29:$GC$641,99,0)</f>
        <v>4.5</v>
      </c>
      <c r="AH50" s="397">
        <f>VLOOKUP($C50,'ТР нефть'!$A$29:$GC$641,100,0)</f>
        <v>309.35489193202443</v>
      </c>
      <c r="AI50" s="397">
        <f>VLOOKUP($C50,'ТР нефть'!$A$29:$GC$641,92,0)</f>
        <v>45</v>
      </c>
      <c r="AJ50" s="403">
        <f>VLOOKUP($C50,'ТР нефть'!$A$29:$GC$641,102,0)</f>
        <v>0.27187499999999998</v>
      </c>
      <c r="AK50" s="404">
        <f t="shared" si="2"/>
        <v>0</v>
      </c>
      <c r="AL50" s="397">
        <f t="shared" si="2"/>
        <v>0</v>
      </c>
      <c r="AM50" s="397">
        <f t="shared" si="2"/>
        <v>-5</v>
      </c>
      <c r="AN50" s="397">
        <f t="shared" si="2"/>
        <v>0</v>
      </c>
      <c r="AO50" s="397">
        <f t="shared" si="3"/>
        <v>0</v>
      </c>
      <c r="AP50" s="397">
        <f t="shared" si="3"/>
        <v>0</v>
      </c>
      <c r="AQ50" s="398">
        <f t="shared" si="3"/>
        <v>-5.5176000000000016</v>
      </c>
      <c r="AR50" s="399">
        <f t="shared" si="3"/>
        <v>-6.6000000000000014</v>
      </c>
      <c r="AS50" s="400">
        <f t="shared" si="3"/>
        <v>0</v>
      </c>
      <c r="AT50" s="397">
        <f t="shared" si="3"/>
        <v>-15.5</v>
      </c>
      <c r="AU50" s="397">
        <f t="shared" si="3"/>
        <v>85.072595281306718</v>
      </c>
      <c r="AV50" s="397">
        <f t="shared" si="3"/>
        <v>-1</v>
      </c>
      <c r="AW50" s="406">
        <f t="shared" si="3"/>
        <v>-0.10907738095238095</v>
      </c>
      <c r="AX50" s="392" t="str">
        <f>VLOOKUP($C50,'ТР нефть'!$A$29:$GC$641,182,0)</f>
        <v>ИПП БАЗА</v>
      </c>
      <c r="AY50" s="406" t="str">
        <f>VLOOKUP($C50,'ТР нефть'!$A$29:$GC$641,183,0)</f>
        <v xml:space="preserve">Скв РВП от авг 22 г. С момента запуска отмечается устойчивая динамика снижения дебита и Рзаб </v>
      </c>
      <c r="AZ50" s="407">
        <f t="shared" si="4"/>
        <v>14.546399999999998</v>
      </c>
      <c r="BA50" s="408">
        <f t="shared" si="4"/>
        <v>17.399999999999999</v>
      </c>
      <c r="BB50" s="397">
        <f t="shared" si="4"/>
        <v>0</v>
      </c>
      <c r="BC50" s="409"/>
      <c r="BD50" s="410"/>
    </row>
    <row r="51" spans="1:56" ht="40.5" customHeight="1" x14ac:dyDescent="0.25">
      <c r="A51" s="373"/>
      <c r="B51" s="392">
        <f>SUBTOTAL(3,$C$40:C51)</f>
        <v>12</v>
      </c>
      <c r="C51" s="393">
        <v>1359</v>
      </c>
      <c r="D51" s="394" t="str">
        <f>VLOOKUP($C51,'ТР нефть'!$A$29:$GC$641,5,0)</f>
        <v>ВУ ОНГКМ</v>
      </c>
      <c r="E51" s="394" t="str">
        <f>VLOOKUP($C51,'ТР нефть'!$A$29:$GC$641,8,0)</f>
        <v>ТЛ-3</v>
      </c>
      <c r="F51" s="395" t="str">
        <f>VLOOKUP($C51,'ТР нефть'!$A$29:$GC$641,11,0)</f>
        <v>К-1362</v>
      </c>
      <c r="G51" s="392" t="str">
        <f>VLOOKUP($C51,'ТР нефть'!$A$29:$GC$641,47,0)</f>
        <v>Газлифт</v>
      </c>
      <c r="H51" s="396">
        <f>VLOOKUP($C51,'ТР нефть'!$A$29:$GC$641,135,0)</f>
        <v>65</v>
      </c>
      <c r="I51" s="397">
        <f>VLOOKUP($C51,'ТР нефть'!$A$29:$GC$641,136,0)</f>
        <v>17</v>
      </c>
      <c r="J51" s="397">
        <f>VLOOKUP($C51,'ТР нефть'!$A$29:$GC$641,137,0)</f>
        <v>39</v>
      </c>
      <c r="K51" s="397">
        <f>VLOOKUP($C51,'ТР нефть'!$A$29:$GC$641,138,0)</f>
        <v>16</v>
      </c>
      <c r="L51" s="397" t="str">
        <f>VLOOKUP($C51,'ТР нефть'!$A$29:$GC$641,139,0)</f>
        <v>Постоянный</v>
      </c>
      <c r="M51" s="397">
        <f>VLOOKUP($C51,'ТР нефть'!$A$29:$GC$641,140,0)</f>
        <v>24</v>
      </c>
      <c r="N51" s="397">
        <f>VLOOKUP($C51,'ТР нефть'!$A$29:$GC$641,141,0)</f>
        <v>0</v>
      </c>
      <c r="O51" s="398">
        <f>VLOOKUP($C51,'ТР нефть'!$A$29:$GC$641,142,0)</f>
        <v>10.032</v>
      </c>
      <c r="P51" s="399">
        <f>VLOOKUP($C51,'ТР нефть'!$A$29:$GC$641,143,0)</f>
        <v>12</v>
      </c>
      <c r="Q51" s="400">
        <f>VLOOKUP($C51,'ТР нефть'!$A$29:$GC$641,144,0)</f>
        <v>0</v>
      </c>
      <c r="R51" s="397">
        <f>VLOOKUP($C51,'ТР нефть'!$A$29:$GC$641,145,0)</f>
        <v>22</v>
      </c>
      <c r="S51" s="397">
        <f>VLOOKUP($C51,'ТР нефть'!$A$29:$GC$641,146,0)</f>
        <v>1445.3748006379585</v>
      </c>
      <c r="T51" s="397">
        <f>VLOOKUP($C51,'ТР нефть'!$A$29:$GC$641,149,0)</f>
        <v>39</v>
      </c>
      <c r="U51" s="401">
        <f>VLOOKUP($C51,'ТР нефть'!$A$29:$GC$641,150,0)</f>
        <v>0.14285714285714285</v>
      </c>
      <c r="V51" s="402" t="str">
        <f>VLOOKUP($C51,'ТР нефть'!$A$29:$GC$641,47,0)</f>
        <v>Газлифт</v>
      </c>
      <c r="W51" s="396">
        <f>VLOOKUP($C51,'ТР нефть'!$A$29:$GC$641,74,0)</f>
        <v>65</v>
      </c>
      <c r="X51" s="397">
        <f>VLOOKUP($C51,'ТР нефть'!$A$29:$GC$641,79,0)</f>
        <v>19</v>
      </c>
      <c r="Y51" s="397">
        <f>VLOOKUP($C51,'ТР нефть'!$A$29:$GC$641,80,0)</f>
        <v>40</v>
      </c>
      <c r="Z51" s="397">
        <f>VLOOKUP($C51,'ТР нефть'!$A$29:$GC$641,81,0)</f>
        <v>18</v>
      </c>
      <c r="AA51" s="397" t="str">
        <f>VLOOKUP($C51,'ТР нефть'!$A$29:$GC$641,76,0)</f>
        <v>Постоянный</v>
      </c>
      <c r="AB51" s="397">
        <f>VLOOKUP($C51,'ТР нефть'!$A$29:$GC$641,77,0)</f>
        <v>24</v>
      </c>
      <c r="AC51" s="397">
        <f>VLOOKUP($C51,'ТР нефть'!$A$29:$GC$641,78,0)</f>
        <v>0</v>
      </c>
      <c r="AD51" s="398">
        <f>VLOOKUP($C51,'ТР нефть'!$A$29:$GC$641,93,0)</f>
        <v>7.9419999999999993</v>
      </c>
      <c r="AE51" s="399">
        <f>VLOOKUP($C51,'ТР нефть'!$A$29:$GC$641,94,0)</f>
        <v>9.5</v>
      </c>
      <c r="AF51" s="400">
        <f>VLOOKUP($C51,'ТР нефть'!$A$29:$GC$641,95,0)</f>
        <v>0</v>
      </c>
      <c r="AG51" s="397">
        <f>VLOOKUP($C51,'ТР нефть'!$A$29:$GC$641,99,0)</f>
        <v>8.2999999999999989</v>
      </c>
      <c r="AH51" s="397">
        <f>VLOOKUP($C51,'ТР нефть'!$A$29:$GC$641,100,0)</f>
        <v>1045.07680684966</v>
      </c>
      <c r="AI51" s="397">
        <f>VLOOKUP($C51,'ТР нефть'!$A$29:$GC$641,92,0)</f>
        <v>37</v>
      </c>
      <c r="AJ51" s="403">
        <f>VLOOKUP($C51,'ТР нефть'!$A$29:$GC$641,102,0)</f>
        <v>0.11046511627906977</v>
      </c>
      <c r="AK51" s="404">
        <f t="shared" si="2"/>
        <v>0</v>
      </c>
      <c r="AL51" s="397">
        <f t="shared" si="2"/>
        <v>2</v>
      </c>
      <c r="AM51" s="397">
        <f t="shared" si="2"/>
        <v>1</v>
      </c>
      <c r="AN51" s="397">
        <f t="shared" si="2"/>
        <v>2</v>
      </c>
      <c r="AO51" s="397">
        <f t="shared" si="3"/>
        <v>0</v>
      </c>
      <c r="AP51" s="397">
        <f t="shared" si="3"/>
        <v>0</v>
      </c>
      <c r="AQ51" s="398">
        <f t="shared" si="3"/>
        <v>-2.0900000000000007</v>
      </c>
      <c r="AR51" s="399">
        <f t="shared" si="3"/>
        <v>-2.5</v>
      </c>
      <c r="AS51" s="400">
        <f t="shared" si="3"/>
        <v>0</v>
      </c>
      <c r="AT51" s="397">
        <f t="shared" si="3"/>
        <v>-13.700000000000001</v>
      </c>
      <c r="AU51" s="397">
        <f t="shared" si="3"/>
        <v>-400.29799378829853</v>
      </c>
      <c r="AV51" s="397">
        <f t="shared" si="3"/>
        <v>-2</v>
      </c>
      <c r="AW51" s="406">
        <f t="shared" si="3"/>
        <v>-3.239202657807308E-2</v>
      </c>
      <c r="AX51" s="392" t="str">
        <f>VLOOKUP($C51,'ТР нефть'!$A$29:$GC$641,182,0)</f>
        <v>ИПП БАЗА</v>
      </c>
      <c r="AY51" s="406" t="str">
        <f>VLOOKUP($C51,'ТР нефть'!$A$29:$GC$641,183,0)</f>
        <v>Снижение энергетики пласта что подтверждается дебитом и изменением Рзаб</v>
      </c>
      <c r="AZ51" s="407">
        <f t="shared" si="4"/>
        <v>7.9419999999999993</v>
      </c>
      <c r="BA51" s="408">
        <f t="shared" si="4"/>
        <v>9.5</v>
      </c>
      <c r="BB51" s="397">
        <f t="shared" si="4"/>
        <v>0</v>
      </c>
      <c r="BC51" s="409"/>
      <c r="BD51" s="410"/>
    </row>
    <row r="52" spans="1:56" ht="40.5" customHeight="1" x14ac:dyDescent="0.25">
      <c r="A52" s="373"/>
      <c r="B52" s="392">
        <f>SUBTOTAL(3,$C$40:C52)</f>
        <v>13</v>
      </c>
      <c r="C52" s="393">
        <v>1361</v>
      </c>
      <c r="D52" s="394" t="str">
        <f>VLOOKUP($C52,'ТР нефть'!$A$29:$GC$641,5,0)</f>
        <v>ВУ ОНГКМ</v>
      </c>
      <c r="E52" s="394" t="str">
        <f>VLOOKUP($C52,'ТР нефть'!$A$29:$GC$641,8,0)</f>
        <v>ТЛ-3</v>
      </c>
      <c r="F52" s="395" t="str">
        <f>VLOOKUP($C52,'ТР нефть'!$A$29:$GC$641,11,0)</f>
        <v>К-1362</v>
      </c>
      <c r="G52" s="392" t="str">
        <f>VLOOKUP($C52,'ТР нефть'!$A$29:$GC$641,47,0)</f>
        <v>Газлифт</v>
      </c>
      <c r="H52" s="396">
        <f>VLOOKUP($C52,'ТР нефть'!$A$29:$GC$641,135,0)</f>
        <v>65</v>
      </c>
      <c r="I52" s="397">
        <f>VLOOKUP($C52,'ТР нефть'!$A$29:$GC$641,136,0)</f>
        <v>16</v>
      </c>
      <c r="J52" s="397">
        <f>VLOOKUP($C52,'ТР нефть'!$A$29:$GC$641,137,0)</f>
        <v>35</v>
      </c>
      <c r="K52" s="397">
        <f>VLOOKUP($C52,'ТР нефть'!$A$29:$GC$641,138,0)</f>
        <v>15</v>
      </c>
      <c r="L52" s="397" t="str">
        <f>VLOOKUP($C52,'ТР нефть'!$A$29:$GC$641,139,0)</f>
        <v>Постоянный</v>
      </c>
      <c r="M52" s="397">
        <f>VLOOKUP($C52,'ТР нефть'!$A$29:$GC$641,140,0)</f>
        <v>24</v>
      </c>
      <c r="N52" s="397">
        <f>VLOOKUP($C52,'ТР нефть'!$A$29:$GC$641,141,0)</f>
        <v>0</v>
      </c>
      <c r="O52" s="398">
        <f>VLOOKUP($C52,'ТР нефть'!$A$29:$GC$641,142,0)</f>
        <v>7.2731999999999992</v>
      </c>
      <c r="P52" s="399">
        <f>VLOOKUP($C52,'ТР нефть'!$A$29:$GC$641,143,0)</f>
        <v>8.6999999999999993</v>
      </c>
      <c r="Q52" s="400">
        <f>VLOOKUP($C52,'ТР нефть'!$A$29:$GC$641,144,0)</f>
        <v>0</v>
      </c>
      <c r="R52" s="397">
        <f>VLOOKUP($C52,'ТР нефть'!$A$29:$GC$641,145,0)</f>
        <v>12</v>
      </c>
      <c r="S52" s="397">
        <f>VLOOKUP($C52,'ТР нефть'!$A$29:$GC$641,146,0)</f>
        <v>329.97855139415947</v>
      </c>
      <c r="T52" s="397">
        <f>VLOOKUP($C52,'ТР нефть'!$A$29:$GC$641,149,0)</f>
        <v>49</v>
      </c>
      <c r="U52" s="401">
        <f>VLOOKUP($C52,'ТР нефть'!$A$29:$GC$641,150,0)</f>
        <v>9.4565217391304343E-2</v>
      </c>
      <c r="V52" s="402" t="str">
        <f>VLOOKUP($C52,'ТР нефть'!$A$29:$GC$641,47,0)</f>
        <v>Газлифт</v>
      </c>
      <c r="W52" s="396">
        <f>VLOOKUP($C52,'ТР нефть'!$A$29:$GC$641,74,0)</f>
        <v>65</v>
      </c>
      <c r="X52" s="397">
        <f>VLOOKUP($C52,'ТР нефть'!$A$29:$GC$641,79,0)</f>
        <v>19</v>
      </c>
      <c r="Y52" s="397">
        <f>VLOOKUP($C52,'ТР нефть'!$A$29:$GC$641,80,0)</f>
        <v>31</v>
      </c>
      <c r="Z52" s="397">
        <f>VLOOKUP($C52,'ТР нефть'!$A$29:$GC$641,81,0)</f>
        <v>18</v>
      </c>
      <c r="AA52" s="397" t="str">
        <f>VLOOKUP($C52,'ТР нефть'!$A$29:$GC$641,76,0)</f>
        <v>Постоянный</v>
      </c>
      <c r="AB52" s="397">
        <f>VLOOKUP($C52,'ТР нефть'!$A$29:$GC$641,77,0)</f>
        <v>24</v>
      </c>
      <c r="AC52" s="397">
        <f>VLOOKUP($C52,'ТР нефть'!$A$29:$GC$641,78,0)</f>
        <v>0</v>
      </c>
      <c r="AD52" s="398">
        <f>VLOOKUP($C52,'ТР нефть'!$A$29:$GC$641,93,0)</f>
        <v>6.0191999999999997</v>
      </c>
      <c r="AE52" s="399">
        <f>VLOOKUP($C52,'ТР нефть'!$A$29:$GC$641,94,0)</f>
        <v>7.2</v>
      </c>
      <c r="AF52" s="400">
        <f>VLOOKUP($C52,'ТР нефть'!$A$29:$GC$641,95,0)</f>
        <v>0</v>
      </c>
      <c r="AG52" s="397">
        <f>VLOOKUP($C52,'ТР нефть'!$A$29:$GC$641,99,0)</f>
        <v>4</v>
      </c>
      <c r="AH52" s="397">
        <f>VLOOKUP($C52,'ТР нефть'!$A$29:$GC$641,100,0)</f>
        <v>664.54013822434877</v>
      </c>
      <c r="AI52" s="397">
        <f>VLOOKUP($C52,'ТР нефть'!$A$29:$GC$641,92,0)</f>
        <v>45</v>
      </c>
      <c r="AJ52" s="403">
        <f>VLOOKUP($C52,'ТР нефть'!$A$29:$GC$641,102,0)</f>
        <v>7.4999999999999997E-2</v>
      </c>
      <c r="AK52" s="404">
        <f t="shared" si="2"/>
        <v>0</v>
      </c>
      <c r="AL52" s="397">
        <f t="shared" si="2"/>
        <v>3</v>
      </c>
      <c r="AM52" s="397">
        <f t="shared" si="2"/>
        <v>-4</v>
      </c>
      <c r="AN52" s="397">
        <f t="shared" si="2"/>
        <v>3</v>
      </c>
      <c r="AO52" s="397">
        <f t="shared" si="3"/>
        <v>0</v>
      </c>
      <c r="AP52" s="397">
        <f t="shared" si="3"/>
        <v>0</v>
      </c>
      <c r="AQ52" s="398">
        <f t="shared" si="3"/>
        <v>-1.2539999999999996</v>
      </c>
      <c r="AR52" s="399">
        <f t="shared" si="3"/>
        <v>-1.4999999999999991</v>
      </c>
      <c r="AS52" s="400">
        <f t="shared" si="3"/>
        <v>0</v>
      </c>
      <c r="AT52" s="397">
        <f t="shared" si="3"/>
        <v>-8</v>
      </c>
      <c r="AU52" s="397">
        <f t="shared" si="3"/>
        <v>334.5615868301893</v>
      </c>
      <c r="AV52" s="397">
        <f t="shared" si="3"/>
        <v>-4</v>
      </c>
      <c r="AW52" s="406">
        <f t="shared" si="3"/>
        <v>-1.9565217391304346E-2</v>
      </c>
      <c r="AX52" s="392" t="str">
        <f>VLOOKUP($C52,'ТР нефть'!$A$29:$GC$641,182,0)</f>
        <v>ИПП БАЗА</v>
      </c>
      <c r="AY52" s="406" t="str">
        <f>VLOOKUP($C52,'ТР нефть'!$A$29:$GC$641,183,0)</f>
        <v>Снижение энергетики пласта что подтверждается дебитом и изменением Рзаб</v>
      </c>
      <c r="AZ52" s="407">
        <f t="shared" si="4"/>
        <v>6.0191999999999997</v>
      </c>
      <c r="BA52" s="408">
        <f t="shared" si="4"/>
        <v>7.2</v>
      </c>
      <c r="BB52" s="397">
        <f t="shared" si="4"/>
        <v>0</v>
      </c>
      <c r="BC52" s="409"/>
      <c r="BD52" s="410"/>
    </row>
    <row r="53" spans="1:56" ht="40.5" customHeight="1" x14ac:dyDescent="0.25">
      <c r="A53" s="373"/>
      <c r="B53" s="392">
        <f>SUBTOTAL(3,$C$40:C53)</f>
        <v>14</v>
      </c>
      <c r="C53" s="393">
        <v>1400</v>
      </c>
      <c r="D53" s="394" t="str">
        <f>VLOOKUP($C53,'ТР нефть'!$A$29:$GC$641,5,0)</f>
        <v>ВУ ОНГКМ</v>
      </c>
      <c r="E53" s="394" t="str">
        <f>VLOOKUP($C53,'ТР нефть'!$A$29:$GC$641,8,0)</f>
        <v>ТЛ-4</v>
      </c>
      <c r="F53" s="395" t="str">
        <f>VLOOKUP($C53,'ТР нефть'!$A$29:$GC$641,11,0)</f>
        <v>К-1401</v>
      </c>
      <c r="G53" s="392" t="str">
        <f>VLOOKUP($C53,'ТР нефть'!$A$29:$GC$641,47,0)</f>
        <v>Газлифт</v>
      </c>
      <c r="H53" s="396">
        <f>VLOOKUP($C53,'ТР нефть'!$A$29:$GC$641,135,0)</f>
        <v>18</v>
      </c>
      <c r="I53" s="397">
        <f>VLOOKUP($C53,'ТР нефть'!$A$29:$GC$641,136,0)</f>
        <v>18</v>
      </c>
      <c r="J53" s="397">
        <f>VLOOKUP($C53,'ТР нефть'!$A$29:$GC$641,137,0)</f>
        <v>38</v>
      </c>
      <c r="K53" s="397">
        <f>VLOOKUP($C53,'ТР нефть'!$A$29:$GC$641,138,0)</f>
        <v>17</v>
      </c>
      <c r="L53" s="397" t="str">
        <f>VLOOKUP($C53,'ТР нефть'!$A$29:$GC$641,139,0)</f>
        <v>Постоянный</v>
      </c>
      <c r="M53" s="397">
        <f>VLOOKUP($C53,'ТР нефть'!$A$29:$GC$641,140,0)</f>
        <v>24</v>
      </c>
      <c r="N53" s="397">
        <f>VLOOKUP($C53,'ТР нефть'!$A$29:$GC$641,141,0)</f>
        <v>0</v>
      </c>
      <c r="O53" s="398">
        <f>VLOOKUP($C53,'ТР нефть'!$A$29:$GC$641,142,0)</f>
        <v>5.3524899999999995</v>
      </c>
      <c r="P53" s="399">
        <f>VLOOKUP($C53,'ТР нефть'!$A$29:$GC$641,143,0)</f>
        <v>6.5</v>
      </c>
      <c r="Q53" s="400">
        <f>VLOOKUP($C53,'ТР нефть'!$A$29:$GC$641,144,0)</f>
        <v>1.5</v>
      </c>
      <c r="R53" s="397">
        <f>VLOOKUP($C53,'ТР нефть'!$A$29:$GC$641,145,0)</f>
        <v>13</v>
      </c>
      <c r="S53" s="397">
        <f>VLOOKUP($C53,'ТР нефть'!$A$29:$GC$641,146,0)</f>
        <v>1083.6078161752755</v>
      </c>
      <c r="T53" s="397">
        <f>VLOOKUP($C53,'ТР нефть'!$A$29:$GC$641,149,0)</f>
        <v>46</v>
      </c>
      <c r="U53" s="401">
        <f>VLOOKUP($C53,'ТР нефть'!$A$29:$GC$641,150,0)</f>
        <v>0.13541666666666666</v>
      </c>
      <c r="V53" s="402" t="str">
        <f>VLOOKUP($C53,'ТР нефть'!$A$29:$GC$641,47,0)</f>
        <v>Газлифт</v>
      </c>
      <c r="W53" s="396">
        <f>VLOOKUP($C53,'ТР нефть'!$A$29:$GC$641,74,0)</f>
        <v>18</v>
      </c>
      <c r="X53" s="397">
        <f>VLOOKUP($C53,'ТР нефть'!$A$29:$GC$641,79,0)</f>
        <v>18</v>
      </c>
      <c r="Y53" s="397">
        <f>VLOOKUP($C53,'ТР нефть'!$A$29:$GC$641,80,0)</f>
        <v>32</v>
      </c>
      <c r="Z53" s="397">
        <f>VLOOKUP($C53,'ТР нефть'!$A$29:$GC$641,81,0)</f>
        <v>17</v>
      </c>
      <c r="AA53" s="397" t="str">
        <f>VLOOKUP($C53,'ТР нефть'!$A$29:$GC$641,76,0)</f>
        <v>Постоянный</v>
      </c>
      <c r="AB53" s="397">
        <f>VLOOKUP($C53,'ТР нефть'!$A$29:$GC$641,77,0)</f>
        <v>24</v>
      </c>
      <c r="AC53" s="397">
        <f>VLOOKUP($C53,'ТР нефть'!$A$29:$GC$641,78,0)</f>
        <v>0</v>
      </c>
      <c r="AD53" s="398">
        <f>VLOOKUP($C53,'ТР нефть'!$A$29:$GC$641,93,0)</f>
        <v>4.3200299999999991</v>
      </c>
      <c r="AE53" s="399">
        <f>VLOOKUP($C53,'ТР нефть'!$A$29:$GC$641,94,0)</f>
        <v>5.3</v>
      </c>
      <c r="AF53" s="400">
        <f>VLOOKUP($C53,'ТР нефть'!$A$29:$GC$641,95,0)</f>
        <v>2.5</v>
      </c>
      <c r="AG53" s="397">
        <f>VLOOKUP($C53,'ТР нефть'!$A$29:$GC$641,99,0)</f>
        <v>5.8</v>
      </c>
      <c r="AH53" s="397">
        <f>VLOOKUP($C53,'ТР нефть'!$A$29:$GC$641,100,0)</f>
        <v>1342.5832690976686</v>
      </c>
      <c r="AI53" s="397">
        <f>VLOOKUP($C53,'ТР нефть'!$A$29:$GC$641,92,0)</f>
        <v>42</v>
      </c>
      <c r="AJ53" s="403">
        <f>VLOOKUP($C53,'ТР нефть'!$A$29:$GC$641,102,0)</f>
        <v>0.10192307692307692</v>
      </c>
      <c r="AK53" s="404">
        <f t="shared" si="2"/>
        <v>0</v>
      </c>
      <c r="AL53" s="397">
        <f t="shared" si="2"/>
        <v>0</v>
      </c>
      <c r="AM53" s="397">
        <f t="shared" si="2"/>
        <v>-6</v>
      </c>
      <c r="AN53" s="397">
        <f t="shared" si="2"/>
        <v>0</v>
      </c>
      <c r="AO53" s="397">
        <f t="shared" si="3"/>
        <v>0</v>
      </c>
      <c r="AP53" s="397">
        <f t="shared" si="3"/>
        <v>0</v>
      </c>
      <c r="AQ53" s="398">
        <f t="shared" si="3"/>
        <v>-1.0324600000000004</v>
      </c>
      <c r="AR53" s="399">
        <f t="shared" si="3"/>
        <v>-1.2000000000000002</v>
      </c>
      <c r="AS53" s="400">
        <f t="shared" si="3"/>
        <v>1</v>
      </c>
      <c r="AT53" s="397">
        <f t="shared" si="3"/>
        <v>-7.2</v>
      </c>
      <c r="AU53" s="397">
        <f t="shared" si="3"/>
        <v>258.97545292239306</v>
      </c>
      <c r="AV53" s="397">
        <f t="shared" si="3"/>
        <v>-4</v>
      </c>
      <c r="AW53" s="406">
        <f t="shared" si="3"/>
        <v>-3.3493589743589736E-2</v>
      </c>
      <c r="AX53" s="392" t="str">
        <f>VLOOKUP($C53,'ТР нефть'!$A$29:$GC$641,182,0)</f>
        <v>ИПП база</v>
      </c>
      <c r="AY53" s="406" t="str">
        <f>VLOOKUP($C53,'ТР нефть'!$A$29:$GC$641,183,0)</f>
        <v>ОПЗ март 22г. Снижение энергетики пласта что подтверждается дебитом и изменением Рзаб</v>
      </c>
      <c r="AZ53" s="407">
        <f t="shared" si="4"/>
        <v>4.3200299999999991</v>
      </c>
      <c r="BA53" s="408">
        <f t="shared" si="4"/>
        <v>5.3</v>
      </c>
      <c r="BB53" s="397">
        <f t="shared" si="4"/>
        <v>2.5</v>
      </c>
      <c r="BC53" s="409"/>
      <c r="BD53" s="410"/>
    </row>
    <row r="54" spans="1:56" ht="40.5" customHeight="1" x14ac:dyDescent="0.25">
      <c r="A54" s="373"/>
      <c r="B54" s="392">
        <f>SUBTOTAL(3,$C$40:C54)</f>
        <v>15</v>
      </c>
      <c r="C54" s="393">
        <v>1426</v>
      </c>
      <c r="D54" s="394" t="str">
        <f>VLOOKUP($C54,'ТР нефть'!$A$29:$GC$641,5,0)</f>
        <v>ВУ ОНГКМ</v>
      </c>
      <c r="E54" s="394" t="str">
        <f>VLOOKUP($C54,'ТР нефть'!$A$29:$GC$641,8,0)</f>
        <v>ТЛ-4</v>
      </c>
      <c r="F54" s="395" t="str">
        <f>VLOOKUP($C54,'ТР нефть'!$A$29:$GC$641,11,0)</f>
        <v>Без куста</v>
      </c>
      <c r="G54" s="392" t="str">
        <f>VLOOKUP($C54,'ТР нефть'!$A$29:$GC$641,47,0)</f>
        <v>Газлифт</v>
      </c>
      <c r="H54" s="396">
        <f>VLOOKUP($C54,'ТР нефть'!$A$29:$GC$641,135,0)</f>
        <v>18</v>
      </c>
      <c r="I54" s="397">
        <f>VLOOKUP($C54,'ТР нефть'!$A$29:$GC$641,136,0)</f>
        <v>26</v>
      </c>
      <c r="J54" s="397">
        <f>VLOOKUP($C54,'ТР нефть'!$A$29:$GC$641,137,0)</f>
        <v>38</v>
      </c>
      <c r="K54" s="397">
        <f>VLOOKUP($C54,'ТР нефть'!$A$29:$GC$641,138,0)</f>
        <v>25</v>
      </c>
      <c r="L54" s="397" t="str">
        <f>VLOOKUP($C54,'ТР нефть'!$A$29:$GC$641,139,0)</f>
        <v>Постоянный</v>
      </c>
      <c r="M54" s="397">
        <f>VLOOKUP($C54,'ТР нефть'!$A$29:$GC$641,140,0)</f>
        <v>24</v>
      </c>
      <c r="N54" s="397">
        <f>VLOOKUP($C54,'ТР нефть'!$A$29:$GC$641,141,0)</f>
        <v>0</v>
      </c>
      <c r="O54" s="398">
        <f>VLOOKUP($C54,'ТР нефть'!$A$29:$GC$641,142,0)</f>
        <v>11.48</v>
      </c>
      <c r="P54" s="399">
        <f>VLOOKUP($C54,'ТР нефть'!$A$29:$GC$641,143,0)</f>
        <v>13.7</v>
      </c>
      <c r="Q54" s="400">
        <f>VLOOKUP($C54,'ТР нефть'!$A$29:$GC$641,144,0)</f>
        <v>0</v>
      </c>
      <c r="R54" s="397">
        <f>VLOOKUP($C54,'ТР нефть'!$A$29:$GC$641,145,0)</f>
        <v>23.4</v>
      </c>
      <c r="S54" s="397">
        <f>VLOOKUP($C54,'ТР нефть'!$A$29:$GC$641,146,0)</f>
        <v>2269.9070851366487</v>
      </c>
      <c r="T54" s="397">
        <f>VLOOKUP($C54,'ТР нефть'!$A$29:$GC$641,149,0)</f>
        <v>50</v>
      </c>
      <c r="U54" s="401">
        <f>VLOOKUP($C54,'ТР нефть'!$A$29:$GC$641,150,0)</f>
        <v>0.16444444444444445</v>
      </c>
      <c r="V54" s="402" t="str">
        <f>VLOOKUP($C54,'ТР нефть'!$A$29:$GC$641,47,0)</f>
        <v>Газлифт</v>
      </c>
      <c r="W54" s="396">
        <f>VLOOKUP($C54,'ТР нефть'!$A$29:$GC$641,74,0)</f>
        <v>18</v>
      </c>
      <c r="X54" s="397">
        <f>VLOOKUP($C54,'ТР нефть'!$A$29:$GC$641,79,0)</f>
        <v>25</v>
      </c>
      <c r="Y54" s="397">
        <f>VLOOKUP($C54,'ТР нефть'!$A$29:$GC$641,80,0)</f>
        <v>40</v>
      </c>
      <c r="Z54" s="397">
        <f>VLOOKUP($C54,'ТР нефть'!$A$29:$GC$641,81,0)</f>
        <v>24</v>
      </c>
      <c r="AA54" s="397" t="str">
        <f>VLOOKUP($C54,'ТР нефть'!$A$29:$GC$641,76,0)</f>
        <v>Постоянный</v>
      </c>
      <c r="AB54" s="397">
        <f>VLOOKUP($C54,'ТР нефть'!$A$29:$GC$641,77,0)</f>
        <v>24</v>
      </c>
      <c r="AC54" s="397">
        <f>VLOOKUP($C54,'ТР нефть'!$A$29:$GC$641,78,0)</f>
        <v>0</v>
      </c>
      <c r="AD54" s="398">
        <f>VLOOKUP($C54,'ТР нефть'!$A$29:$GC$641,93,0)</f>
        <v>6.6879999999999997</v>
      </c>
      <c r="AE54" s="399">
        <f>VLOOKUP($C54,'ТР нефть'!$A$29:$GC$641,94,0)</f>
        <v>8</v>
      </c>
      <c r="AF54" s="400">
        <f>VLOOKUP($C54,'ТР нефть'!$A$29:$GC$641,95,0)</f>
        <v>0</v>
      </c>
      <c r="AG54" s="397">
        <f>VLOOKUP($C54,'ТР нефть'!$A$29:$GC$641,99,0)</f>
        <v>8</v>
      </c>
      <c r="AH54" s="397">
        <f>VLOOKUP($C54,'ТР нефть'!$A$29:$GC$641,100,0)</f>
        <v>1196.1722488038279</v>
      </c>
      <c r="AI54" s="397">
        <f>VLOOKUP($C54,'ТР нефть'!$A$29:$GC$641,92,0)</f>
        <v>46</v>
      </c>
      <c r="AJ54" s="403">
        <f>VLOOKUP($C54,'ТР нефть'!$A$29:$GC$641,102,0)</f>
        <v>0.18604651162790697</v>
      </c>
      <c r="AK54" s="404">
        <f t="shared" si="2"/>
        <v>0</v>
      </c>
      <c r="AL54" s="397">
        <f t="shared" si="2"/>
        <v>-1</v>
      </c>
      <c r="AM54" s="397">
        <f t="shared" si="2"/>
        <v>2</v>
      </c>
      <c r="AN54" s="397">
        <f t="shared" si="2"/>
        <v>-1</v>
      </c>
      <c r="AO54" s="397">
        <f t="shared" si="3"/>
        <v>0</v>
      </c>
      <c r="AP54" s="397">
        <f t="shared" si="3"/>
        <v>0</v>
      </c>
      <c r="AQ54" s="398">
        <f t="shared" si="3"/>
        <v>-4.7920000000000007</v>
      </c>
      <c r="AR54" s="399">
        <f t="shared" si="3"/>
        <v>-5.6999999999999993</v>
      </c>
      <c r="AS54" s="400">
        <f t="shared" si="3"/>
        <v>0</v>
      </c>
      <c r="AT54" s="397">
        <f t="shared" si="3"/>
        <v>-15.399999999999999</v>
      </c>
      <c r="AU54" s="397">
        <f t="shared" si="3"/>
        <v>-1073.7348363328208</v>
      </c>
      <c r="AV54" s="397">
        <f t="shared" si="3"/>
        <v>-4</v>
      </c>
      <c r="AW54" s="406">
        <f t="shared" si="3"/>
        <v>2.1602067183462526E-2</v>
      </c>
      <c r="AX54" s="392" t="str">
        <f>VLOOKUP($C54,'ТР нефть'!$A$29:$GC$641,182,0)</f>
        <v>ИПП база</v>
      </c>
      <c r="AY54" s="406" t="str">
        <f>VLOOKUP($C54,'ТР нефть'!$A$29:$GC$641,183,0)</f>
        <v>В мае 23 г проведено Бп ОПЗ, отмечаетс снижение эффекта от ОПЗ, снижение Рзаб, дебита жидкости.</v>
      </c>
      <c r="AZ54" s="407">
        <f t="shared" si="4"/>
        <v>6.6879999999999997</v>
      </c>
      <c r="BA54" s="408">
        <f t="shared" si="4"/>
        <v>8</v>
      </c>
      <c r="BB54" s="397">
        <f t="shared" si="4"/>
        <v>0</v>
      </c>
      <c r="BC54" s="409"/>
      <c r="BD54" s="410"/>
    </row>
    <row r="55" spans="1:56" ht="40.5" customHeight="1" x14ac:dyDescent="0.25">
      <c r="A55" s="373"/>
      <c r="B55" s="392">
        <f>SUBTOTAL(3,$C$40:C55)</f>
        <v>16</v>
      </c>
      <c r="C55" s="393">
        <v>1530</v>
      </c>
      <c r="D55" s="394" t="str">
        <f>VLOOKUP($C55,'ТР нефть'!$A$29:$GC$641,5,0)</f>
        <v>ВУ ОНГКМ</v>
      </c>
      <c r="E55" s="394" t="str">
        <f>VLOOKUP($C55,'ТР нефть'!$A$29:$GC$641,8,0)</f>
        <v>ТЛ-4</v>
      </c>
      <c r="F55" s="395" t="str">
        <f>VLOOKUP($C55,'ТР нефть'!$A$29:$GC$641,11,0)</f>
        <v>К-1526</v>
      </c>
      <c r="G55" s="392" t="str">
        <f>VLOOKUP($C55,'ТР нефть'!$A$29:$GC$641,47,0)</f>
        <v>Газлифт</v>
      </c>
      <c r="H55" s="396">
        <f>VLOOKUP($C55,'ТР нефть'!$A$29:$GC$641,135,0)</f>
        <v>18</v>
      </c>
      <c r="I55" s="397">
        <f>VLOOKUP($C55,'ТР нефть'!$A$29:$GC$641,136,0)</f>
        <v>14</v>
      </c>
      <c r="J55" s="397">
        <f>VLOOKUP($C55,'ТР нефть'!$A$29:$GC$641,137,0)</f>
        <v>35</v>
      </c>
      <c r="K55" s="397">
        <f>VLOOKUP($C55,'ТР нефть'!$A$29:$GC$641,138,0)</f>
        <v>13</v>
      </c>
      <c r="L55" s="397" t="str">
        <f>VLOOKUP($C55,'ТР нефть'!$A$29:$GC$641,139,0)</f>
        <v>Постоянный</v>
      </c>
      <c r="M55" s="397">
        <f>VLOOKUP($C55,'ТР нефть'!$A$29:$GC$641,140,0)</f>
        <v>24</v>
      </c>
      <c r="N55" s="397">
        <f>VLOOKUP($C55,'ТР нефть'!$A$29:$GC$641,141,0)</f>
        <v>0</v>
      </c>
      <c r="O55" s="398">
        <f>VLOOKUP($C55,'ТР нефть'!$A$29:$GC$641,142,0)</f>
        <v>12.610892799999998</v>
      </c>
      <c r="P55" s="399">
        <f>VLOOKUP($C55,'ТР нефть'!$A$29:$GC$641,143,0)</f>
        <v>16</v>
      </c>
      <c r="Q55" s="400">
        <f>VLOOKUP($C55,'ТР нефть'!$A$29:$GC$641,144,0)</f>
        <v>5.72</v>
      </c>
      <c r="R55" s="397">
        <f>VLOOKUP($C55,'ТР нефть'!$A$29:$GC$641,145,0)</f>
        <v>14.5</v>
      </c>
      <c r="S55" s="397">
        <f>VLOOKUP($C55,'ТР нефть'!$A$29:$GC$641,146,0)</f>
        <v>483.7088140183065</v>
      </c>
      <c r="T55" s="397">
        <f>VLOOKUP($C55,'ТР нефть'!$A$29:$GC$641,149,0)</f>
        <v>49</v>
      </c>
      <c r="U55" s="401">
        <f>VLOOKUP($C55,'ТР нефть'!$A$29:$GC$641,150,0)</f>
        <v>0.31936127744510984</v>
      </c>
      <c r="V55" s="402" t="str">
        <f>VLOOKUP($C55,'ТР нефть'!$A$29:$GC$641,47,0)</f>
        <v>Газлифт</v>
      </c>
      <c r="W55" s="396">
        <f>VLOOKUP($C55,'ТР нефть'!$A$29:$GC$641,74,0)</f>
        <v>18</v>
      </c>
      <c r="X55" s="397">
        <f>VLOOKUP($C55,'ТР нефть'!$A$29:$GC$641,79,0)</f>
        <v>14</v>
      </c>
      <c r="Y55" s="397">
        <f>VLOOKUP($C55,'ТР нефть'!$A$29:$GC$641,80,0)</f>
        <v>37</v>
      </c>
      <c r="Z55" s="397">
        <f>VLOOKUP($C55,'ТР нефть'!$A$29:$GC$641,81,0)</f>
        <v>13</v>
      </c>
      <c r="AA55" s="397" t="str">
        <f>VLOOKUP($C55,'ТР нефть'!$A$29:$GC$641,76,0)</f>
        <v>Постоянный</v>
      </c>
      <c r="AB55" s="397">
        <f>VLOOKUP($C55,'ТР нефть'!$A$29:$GC$641,77,0)</f>
        <v>24</v>
      </c>
      <c r="AC55" s="397">
        <f>VLOOKUP($C55,'ТР нефть'!$A$29:$GC$641,78,0)</f>
        <v>0</v>
      </c>
      <c r="AD55" s="398">
        <f>VLOOKUP($C55,'ТР нефть'!$A$29:$GC$641,93,0)</f>
        <v>10.324599999999998</v>
      </c>
      <c r="AE55" s="399">
        <f>VLOOKUP($C55,'ТР нефть'!$A$29:$GC$641,94,0)</f>
        <v>13</v>
      </c>
      <c r="AF55" s="400">
        <f>VLOOKUP($C55,'ТР нефть'!$A$29:$GC$641,95,0)</f>
        <v>5</v>
      </c>
      <c r="AG55" s="397">
        <f>VLOOKUP($C55,'ТР нефть'!$A$29:$GC$641,99,0)</f>
        <v>4.5999999999999996</v>
      </c>
      <c r="AH55" s="397">
        <f>VLOOKUP($C55,'ТР нефть'!$A$29:$GC$641,100,0)</f>
        <v>445.53784165972536</v>
      </c>
      <c r="AI55" s="397">
        <f>VLOOKUP($C55,'ТР нефть'!$A$29:$GC$641,92,0)</f>
        <v>46</v>
      </c>
      <c r="AJ55" s="403">
        <f>VLOOKUP($C55,'ТР нефть'!$A$29:$GC$641,102,0)</f>
        <v>0.24482109227871943</v>
      </c>
      <c r="AK55" s="404">
        <f t="shared" si="2"/>
        <v>0</v>
      </c>
      <c r="AL55" s="397">
        <f t="shared" si="2"/>
        <v>0</v>
      </c>
      <c r="AM55" s="397">
        <f t="shared" si="2"/>
        <v>2</v>
      </c>
      <c r="AN55" s="397">
        <f t="shared" si="2"/>
        <v>0</v>
      </c>
      <c r="AO55" s="397">
        <f t="shared" si="3"/>
        <v>0</v>
      </c>
      <c r="AP55" s="397">
        <f t="shared" si="3"/>
        <v>0</v>
      </c>
      <c r="AQ55" s="398">
        <f t="shared" si="3"/>
        <v>-2.2862928</v>
      </c>
      <c r="AR55" s="399">
        <f t="shared" si="3"/>
        <v>-3</v>
      </c>
      <c r="AS55" s="400">
        <f t="shared" si="3"/>
        <v>-0.71999999999999975</v>
      </c>
      <c r="AT55" s="397">
        <f t="shared" si="3"/>
        <v>-9.9</v>
      </c>
      <c r="AU55" s="397">
        <f t="shared" si="3"/>
        <v>-38.170972358581139</v>
      </c>
      <c r="AV55" s="397">
        <f t="shared" si="3"/>
        <v>-3</v>
      </c>
      <c r="AW55" s="406">
        <f t="shared" si="3"/>
        <v>-7.454018516639041E-2</v>
      </c>
      <c r="AX55" s="392" t="str">
        <f>VLOOKUP($C55,'ТР нефть'!$A$29:$GC$641,182,0)</f>
        <v>ИПП база</v>
      </c>
      <c r="AY55" s="406" t="str">
        <f>VLOOKUP($C55,'ТР нефть'!$A$29:$GC$641,183,0)</f>
        <v>Снижение энергетики пласта что подтверждаеться дебитом и изменением Рзаб</v>
      </c>
      <c r="AZ55" s="407">
        <f t="shared" si="4"/>
        <v>10.324599999999998</v>
      </c>
      <c r="BA55" s="408">
        <f t="shared" si="4"/>
        <v>13</v>
      </c>
      <c r="BB55" s="397">
        <f t="shared" si="4"/>
        <v>5</v>
      </c>
      <c r="BC55" s="409"/>
      <c r="BD55" s="410"/>
    </row>
    <row r="56" spans="1:56" ht="40.5" customHeight="1" x14ac:dyDescent="0.25">
      <c r="A56" s="373"/>
      <c r="B56" s="392">
        <f>SUBTOTAL(3,$C$40:C56)</f>
        <v>17</v>
      </c>
      <c r="C56" s="393">
        <v>1536</v>
      </c>
      <c r="D56" s="394" t="str">
        <f>VLOOKUP($C56,'ТР нефть'!$A$29:$GC$641,5,0)</f>
        <v>ВУ ОНГКМ</v>
      </c>
      <c r="E56" s="394" t="str">
        <f>VLOOKUP($C56,'ТР нефть'!$A$29:$GC$641,8,0)</f>
        <v>ТЛ-4</v>
      </c>
      <c r="F56" s="395" t="str">
        <f>VLOOKUP($C56,'ТР нефть'!$A$29:$GC$641,11,0)</f>
        <v>К-1324</v>
      </c>
      <c r="G56" s="392" t="str">
        <f>VLOOKUP($C56,'ТР нефть'!$A$29:$GC$641,47,0)</f>
        <v>Газлифт</v>
      </c>
      <c r="H56" s="396">
        <f>VLOOKUP($C56,'ТР нефть'!$A$29:$GC$641,135,0)</f>
        <v>65</v>
      </c>
      <c r="I56" s="397">
        <f>VLOOKUP($C56,'ТР нефть'!$A$29:$GC$641,136,0)</f>
        <v>29</v>
      </c>
      <c r="J56" s="397">
        <f>VLOOKUP($C56,'ТР нефть'!$A$29:$GC$641,137,0)</f>
        <v>43</v>
      </c>
      <c r="K56" s="397">
        <f>VLOOKUP($C56,'ТР нефть'!$A$29:$GC$641,138,0)</f>
        <v>28</v>
      </c>
      <c r="L56" s="397" t="str">
        <f>VLOOKUP($C56,'ТР нефть'!$A$29:$GC$641,139,0)</f>
        <v>Постоянный</v>
      </c>
      <c r="M56" s="397">
        <f>VLOOKUP($C56,'ТР нефть'!$A$29:$GC$641,140,0)</f>
        <v>24</v>
      </c>
      <c r="N56" s="397">
        <f>VLOOKUP($C56,'ТР нефть'!$A$29:$GC$641,141,0)</f>
        <v>0</v>
      </c>
      <c r="O56" s="398">
        <f>VLOOKUP($C56,'ТР нефть'!$A$29:$GC$641,142,0)</f>
        <v>15.048</v>
      </c>
      <c r="P56" s="399">
        <f>VLOOKUP($C56,'ТР нефть'!$A$29:$GC$641,143,0)</f>
        <v>18</v>
      </c>
      <c r="Q56" s="400">
        <f>VLOOKUP($C56,'ТР нефть'!$A$29:$GC$641,144,0)</f>
        <v>0</v>
      </c>
      <c r="R56" s="397">
        <f>VLOOKUP($C56,'ТР нефть'!$A$29:$GC$641,145,0)</f>
        <v>20</v>
      </c>
      <c r="S56" s="397">
        <f>VLOOKUP($C56,'ТР нефть'!$A$29:$GC$641,146,0)</f>
        <v>691.12174375332268</v>
      </c>
      <c r="T56" s="397">
        <f>VLOOKUP($C56,'ТР нефть'!$A$29:$GC$641,149,0)</f>
        <v>55</v>
      </c>
      <c r="U56" s="401">
        <f>VLOOKUP($C56,'ТР нефть'!$A$29:$GC$641,150,0)</f>
        <v>0.41860465116279072</v>
      </c>
      <c r="V56" s="402" t="str">
        <f>VLOOKUP($C56,'ТР нефть'!$A$29:$GC$641,47,0)</f>
        <v>Газлифт</v>
      </c>
      <c r="W56" s="396">
        <f>VLOOKUP($C56,'ТР нефть'!$A$29:$GC$641,74,0)</f>
        <v>65</v>
      </c>
      <c r="X56" s="397">
        <f>VLOOKUP($C56,'ТР нефть'!$A$29:$GC$641,79,0)</f>
        <v>27</v>
      </c>
      <c r="Y56" s="397">
        <f>VLOOKUP($C56,'ТР нефть'!$A$29:$GC$641,80,0)</f>
        <v>43</v>
      </c>
      <c r="Z56" s="397">
        <f>VLOOKUP($C56,'ТР нефть'!$A$29:$GC$641,81,0)</f>
        <v>26</v>
      </c>
      <c r="AA56" s="397" t="str">
        <f>VLOOKUP($C56,'ТР нефть'!$A$29:$GC$641,76,0)</f>
        <v>Постоянный</v>
      </c>
      <c r="AB56" s="397">
        <f>VLOOKUP($C56,'ТР нефть'!$A$29:$GC$641,77,0)</f>
        <v>24</v>
      </c>
      <c r="AC56" s="397">
        <f>VLOOKUP($C56,'ТР нефть'!$A$29:$GC$641,78,0)</f>
        <v>0</v>
      </c>
      <c r="AD56" s="398">
        <f>VLOOKUP($C56,'ТР нефть'!$A$29:$GC$641,93,0)</f>
        <v>13.2088</v>
      </c>
      <c r="AE56" s="399">
        <f>VLOOKUP($C56,'ТР нефть'!$A$29:$GC$641,94,0)</f>
        <v>15.8</v>
      </c>
      <c r="AF56" s="400">
        <f>VLOOKUP($C56,'ТР нефть'!$A$29:$GC$641,95,0)</f>
        <v>0</v>
      </c>
      <c r="AG56" s="397">
        <f>VLOOKUP($C56,'ТР нефть'!$A$29:$GC$641,99,0)</f>
        <v>7.6</v>
      </c>
      <c r="AH56" s="397">
        <f>VLOOKUP($C56,'ТР нефть'!$A$29:$GC$641,100,0)</f>
        <v>575.37399309551211</v>
      </c>
      <c r="AI56" s="397">
        <f>VLOOKUP($C56,'ТР нефть'!$A$29:$GC$641,92,0)</f>
        <v>55</v>
      </c>
      <c r="AJ56" s="403">
        <f>VLOOKUP($C56,'ТР нефть'!$A$29:$GC$641,102,0)</f>
        <v>0.36744186046511629</v>
      </c>
      <c r="AK56" s="404">
        <f t="shared" ref="AK56:AN72" si="5">W56-H56</f>
        <v>0</v>
      </c>
      <c r="AL56" s="397">
        <f t="shared" si="5"/>
        <v>-2</v>
      </c>
      <c r="AM56" s="397">
        <f t="shared" si="5"/>
        <v>0</v>
      </c>
      <c r="AN56" s="397">
        <f t="shared" si="5"/>
        <v>-2</v>
      </c>
      <c r="AO56" s="397">
        <f t="shared" ref="AO56:AW72" si="6">AB56-M56</f>
        <v>0</v>
      </c>
      <c r="AP56" s="397">
        <f t="shared" si="6"/>
        <v>0</v>
      </c>
      <c r="AQ56" s="398">
        <f t="shared" si="6"/>
        <v>-1.8391999999999999</v>
      </c>
      <c r="AR56" s="399">
        <f t="shared" si="6"/>
        <v>-2.1999999999999993</v>
      </c>
      <c r="AS56" s="400">
        <f t="shared" si="6"/>
        <v>0</v>
      </c>
      <c r="AT56" s="397">
        <f t="shared" si="6"/>
        <v>-12.4</v>
      </c>
      <c r="AU56" s="397">
        <f t="shared" si="6"/>
        <v>-115.74775065781057</v>
      </c>
      <c r="AV56" s="397">
        <f t="shared" si="6"/>
        <v>0</v>
      </c>
      <c r="AW56" s="406">
        <f t="shared" si="6"/>
        <v>-5.1162790697674432E-2</v>
      </c>
      <c r="AX56" s="392" t="str">
        <f>VLOOKUP($C56,'ТР нефть'!$A$29:$GC$641,182,0)</f>
        <v>ИПП База</v>
      </c>
      <c r="AY56" s="406" t="str">
        <f>VLOOKUP($C56,'ТР нефть'!$A$29:$GC$641,183,0)</f>
        <v>Снижение энергетики пласта что подтверждаеться дебитом и изменением Рзаб</v>
      </c>
      <c r="AZ56" s="407">
        <f t="shared" ref="AZ56:BB72" si="7">AD56</f>
        <v>13.2088</v>
      </c>
      <c r="BA56" s="408">
        <f t="shared" si="7"/>
        <v>15.8</v>
      </c>
      <c r="BB56" s="397">
        <f t="shared" si="7"/>
        <v>0</v>
      </c>
      <c r="BC56" s="409"/>
      <c r="BD56" s="410"/>
    </row>
    <row r="57" spans="1:56" ht="40.5" customHeight="1" x14ac:dyDescent="0.25">
      <c r="A57" s="373"/>
      <c r="B57" s="392">
        <f>SUBTOTAL(3,$C$40:C57)</f>
        <v>18</v>
      </c>
      <c r="C57" s="393">
        <v>1547</v>
      </c>
      <c r="D57" s="394" t="str">
        <f>VLOOKUP($C57,'ТР нефть'!$A$29:$GC$641,5,0)</f>
        <v>ВУ ОНГКМ</v>
      </c>
      <c r="E57" s="394" t="str">
        <f>VLOOKUP($C57,'ТР нефть'!$A$29:$GC$641,8,0)</f>
        <v>ТЛ-4</v>
      </c>
      <c r="F57" s="395" t="str">
        <f>VLOOKUP($C57,'ТР нефть'!$A$29:$GC$641,11,0)</f>
        <v>К-1324</v>
      </c>
      <c r="G57" s="392" t="str">
        <f>VLOOKUP($C57,'ТР нефть'!$A$29:$GC$641,47,0)</f>
        <v>Газлифт</v>
      </c>
      <c r="H57" s="396">
        <f>VLOOKUP($C57,'ТР нефть'!$A$29:$GC$641,135,0)</f>
        <v>65</v>
      </c>
      <c r="I57" s="397">
        <f>VLOOKUP($C57,'ТР нефть'!$A$29:$GC$641,136,0)</f>
        <v>29</v>
      </c>
      <c r="J57" s="397">
        <f>VLOOKUP($C57,'ТР нефть'!$A$29:$GC$641,137,0)</f>
        <v>51</v>
      </c>
      <c r="K57" s="397">
        <f>VLOOKUP($C57,'ТР нефть'!$A$29:$GC$641,138,0)</f>
        <v>28</v>
      </c>
      <c r="L57" s="397" t="str">
        <f>VLOOKUP($C57,'ТР нефть'!$A$29:$GC$641,139,0)</f>
        <v>Постоянный</v>
      </c>
      <c r="M57" s="397">
        <f>VLOOKUP($C57,'ТР нефть'!$A$29:$GC$641,140,0)</f>
        <v>24</v>
      </c>
      <c r="N57" s="397">
        <f>VLOOKUP($C57,'ТР нефть'!$A$29:$GC$641,141,0)</f>
        <v>0</v>
      </c>
      <c r="O57" s="398">
        <f>VLOOKUP($C57,'ТР нефть'!$A$29:$GC$641,142,0)</f>
        <v>16.72</v>
      </c>
      <c r="P57" s="399">
        <f>VLOOKUP($C57,'ТР нефть'!$A$29:$GC$641,143,0)</f>
        <v>20</v>
      </c>
      <c r="Q57" s="400">
        <f>VLOOKUP($C57,'ТР нефть'!$A$29:$GC$641,144,0)</f>
        <v>0</v>
      </c>
      <c r="R57" s="397">
        <f>VLOOKUP($C57,'ТР нефть'!$A$29:$GC$641,145,0)</f>
        <v>17.5</v>
      </c>
      <c r="S57" s="397">
        <f>VLOOKUP($C57,'ТР нефть'!$A$29:$GC$641,146,0)</f>
        <v>472.48803827751198</v>
      </c>
      <c r="T57" s="397">
        <f>VLOOKUP($C57,'ТР нефть'!$A$29:$GC$641,149,0)</f>
        <v>64</v>
      </c>
      <c r="U57" s="401">
        <f>VLOOKUP($C57,'ТР нефть'!$A$29:$GC$641,150,0)</f>
        <v>0.86956521739130432</v>
      </c>
      <c r="V57" s="402" t="str">
        <f>VLOOKUP($C57,'ТР нефть'!$A$29:$GC$641,47,0)</f>
        <v>Газлифт</v>
      </c>
      <c r="W57" s="396">
        <f>VLOOKUP($C57,'ТР нефть'!$A$29:$GC$641,74,0)</f>
        <v>65</v>
      </c>
      <c r="X57" s="397">
        <f>VLOOKUP($C57,'ТР нефть'!$A$29:$GC$641,79,0)</f>
        <v>27</v>
      </c>
      <c r="Y57" s="397">
        <f>VLOOKUP($C57,'ТР нефть'!$A$29:$GC$641,80,0)</f>
        <v>47</v>
      </c>
      <c r="Z57" s="397">
        <f>VLOOKUP($C57,'ТР нефть'!$A$29:$GC$641,81,0)</f>
        <v>26</v>
      </c>
      <c r="AA57" s="397" t="str">
        <f>VLOOKUP($C57,'ТР нефть'!$A$29:$GC$641,76,0)</f>
        <v>Постоянный</v>
      </c>
      <c r="AB57" s="397">
        <f>VLOOKUP($C57,'ТР нефть'!$A$29:$GC$641,77,0)</f>
        <v>24</v>
      </c>
      <c r="AC57" s="397">
        <f>VLOOKUP($C57,'ТР нефть'!$A$29:$GC$641,78,0)</f>
        <v>0</v>
      </c>
      <c r="AD57" s="398">
        <f>VLOOKUP($C57,'ТР нефть'!$A$29:$GC$641,93,0)</f>
        <v>15.048</v>
      </c>
      <c r="AE57" s="399">
        <f>VLOOKUP($C57,'ТР нефть'!$A$29:$GC$641,94,0)</f>
        <v>18</v>
      </c>
      <c r="AF57" s="400">
        <f>VLOOKUP($C57,'ТР нефть'!$A$29:$GC$641,95,0)</f>
        <v>0</v>
      </c>
      <c r="AG57" s="397">
        <f>VLOOKUP($C57,'ТР нефть'!$A$29:$GC$641,99,0)</f>
        <v>8.4</v>
      </c>
      <c r="AH57" s="397">
        <f>VLOOKUP($C57,'ТР нефть'!$A$29:$GC$641,100,0)</f>
        <v>558.2137161084529</v>
      </c>
      <c r="AI57" s="397">
        <f>VLOOKUP($C57,'ТР нефть'!$A$29:$GC$641,92,0)</f>
        <v>57</v>
      </c>
      <c r="AJ57" s="403">
        <f>VLOOKUP($C57,'ТР нефть'!$A$29:$GC$641,102,0)</f>
        <v>0.6</v>
      </c>
      <c r="AK57" s="404">
        <f t="shared" si="5"/>
        <v>0</v>
      </c>
      <c r="AL57" s="397">
        <f t="shared" si="5"/>
        <v>-2</v>
      </c>
      <c r="AM57" s="397">
        <f t="shared" si="5"/>
        <v>-4</v>
      </c>
      <c r="AN57" s="397">
        <f t="shared" si="5"/>
        <v>-2</v>
      </c>
      <c r="AO57" s="397">
        <f t="shared" si="6"/>
        <v>0</v>
      </c>
      <c r="AP57" s="397">
        <f t="shared" si="6"/>
        <v>0</v>
      </c>
      <c r="AQ57" s="405">
        <f t="shared" si="6"/>
        <v>-1.6719999999999988</v>
      </c>
      <c r="AR57" s="416">
        <f t="shared" si="6"/>
        <v>-2</v>
      </c>
      <c r="AS57" s="400">
        <f t="shared" si="6"/>
        <v>0</v>
      </c>
      <c r="AT57" s="397">
        <f t="shared" si="6"/>
        <v>-9.1</v>
      </c>
      <c r="AU57" s="397">
        <f t="shared" si="6"/>
        <v>85.725677830940924</v>
      </c>
      <c r="AV57" s="397">
        <f t="shared" si="6"/>
        <v>-7</v>
      </c>
      <c r="AW57" s="406">
        <f t="shared" si="6"/>
        <v>-0.26956521739130435</v>
      </c>
      <c r="AX57" s="392" t="str">
        <f>VLOOKUP($C57,'ТР нефть'!$A$29:$GC$641,182,0)</f>
        <v>ИПП База</v>
      </c>
      <c r="AY57" s="406" t="str">
        <f>VLOOKUP($C57,'ТР нефть'!$A$29:$GC$641,183,0)</f>
        <v>Снижение энергетики пласта что подтверждается дебитом и изменением Рзаб</v>
      </c>
      <c r="AZ57" s="407">
        <f t="shared" si="7"/>
        <v>15.048</v>
      </c>
      <c r="BA57" s="408">
        <f t="shared" si="7"/>
        <v>18</v>
      </c>
      <c r="BB57" s="397">
        <f t="shared" si="7"/>
        <v>0</v>
      </c>
      <c r="BC57" s="409"/>
      <c r="BD57" s="410"/>
    </row>
    <row r="58" spans="1:56" ht="40.5" hidden="1" customHeight="1" outlineLevel="1" x14ac:dyDescent="0.25">
      <c r="A58" s="373"/>
      <c r="B58" s="392">
        <f>SUBTOTAL(3,$C$40:C58)</f>
        <v>19</v>
      </c>
      <c r="C58" s="393">
        <v>1352</v>
      </c>
      <c r="D58" s="394" t="str">
        <f>VLOOKUP($C58,'ТР нефть'!$A$29:$GC$641,5,0)</f>
        <v>ВУ ОНГКМ</v>
      </c>
      <c r="E58" s="394" t="str">
        <f>VLOOKUP($C58,'ТР нефть'!$A$29:$GC$641,8,0)</f>
        <v>ТЛ-4</v>
      </c>
      <c r="F58" s="395" t="str">
        <f>VLOOKUP($C58,'ТР нефть'!$A$29:$GC$641,11,0)</f>
        <v>К-68</v>
      </c>
      <c r="G58" s="392" t="str">
        <f>VLOOKUP($C58,'ТР нефть'!$A$29:$GC$641,47,0)</f>
        <v>Газлифт</v>
      </c>
      <c r="H58" s="396">
        <f>VLOOKUP($C58,'ТР нефть'!$A$29:$GC$641,135,0)</f>
        <v>65</v>
      </c>
      <c r="I58" s="397">
        <f>VLOOKUP($C58,'ТР нефть'!$A$29:$GC$641,136,0)</f>
        <v>25</v>
      </c>
      <c r="J58" s="397">
        <f>VLOOKUP($C58,'ТР нефть'!$A$29:$GC$641,137,0)</f>
        <v>39</v>
      </c>
      <c r="K58" s="397">
        <f>VLOOKUP($C58,'ТР нефть'!$A$29:$GC$641,138,0)</f>
        <v>24</v>
      </c>
      <c r="L58" s="397" t="str">
        <f>VLOOKUP($C58,'ТР нефть'!$A$29:$GC$641,139,0)</f>
        <v>Периодический</v>
      </c>
      <c r="M58" s="397">
        <f>VLOOKUP($C58,'ТР нефть'!$A$29:$GC$641,140,0)</f>
        <v>24</v>
      </c>
      <c r="N58" s="397">
        <f>VLOOKUP($C58,'ТР нефть'!$A$29:$GC$641,141,0)</f>
        <v>24</v>
      </c>
      <c r="O58" s="398">
        <f>VLOOKUP($C58,'ТР нефть'!$A$29:$GC$641,142,0)</f>
        <v>5.4340000000000002</v>
      </c>
      <c r="P58" s="399">
        <f>VLOOKUP($C58,'ТР нефть'!$A$29:$GC$641,143,0)</f>
        <v>6.5</v>
      </c>
      <c r="Q58" s="400">
        <f>VLOOKUP($C58,'ТР нефть'!$A$29:$GC$641,144,0)</f>
        <v>0</v>
      </c>
      <c r="R58" s="397">
        <f>VLOOKUP($C58,'ТР нефть'!$A$29:$GC$641,145,0)</f>
        <v>16</v>
      </c>
      <c r="S58" s="397">
        <f>VLOOKUP($C58,'ТР нефть'!$A$29:$GC$641,146,0)</f>
        <v>2171.512697828487</v>
      </c>
      <c r="T58" s="397">
        <f>VLOOKUP($C58,'ТР нефть'!$A$29:$GC$641,149,0)</f>
        <v>44</v>
      </c>
      <c r="U58" s="401">
        <f>VLOOKUP($C58,'ТР нефть'!$A$29:$GC$641,150,0)</f>
        <v>0.1326530612244898</v>
      </c>
      <c r="V58" s="402" t="str">
        <f>VLOOKUP($C58,'ТР нефть'!$A$29:$GC$641,47,0)</f>
        <v>Газлифт</v>
      </c>
      <c r="W58" s="396">
        <f>VLOOKUP($C58,'ТР нефть'!$A$29:$GC$641,74,0)</f>
        <v>65</v>
      </c>
      <c r="X58" s="397">
        <f>VLOOKUP($C58,'ТР нефть'!$A$29:$GC$641,79,0)</f>
        <v>24</v>
      </c>
      <c r="Y58" s="397">
        <f>VLOOKUP($C58,'ТР нефть'!$A$29:$GC$641,80,0)</f>
        <v>35</v>
      </c>
      <c r="Z58" s="397">
        <f>VLOOKUP($C58,'ТР нефть'!$A$29:$GC$641,81,0)</f>
        <v>23</v>
      </c>
      <c r="AA58" s="397" t="str">
        <f>VLOOKUP($C58,'ТР нефть'!$A$29:$GC$641,76,0)</f>
        <v>Периодический</v>
      </c>
      <c r="AB58" s="397">
        <f>VLOOKUP($C58,'ТР нефть'!$A$29:$GC$641,77,0)</f>
        <v>24</v>
      </c>
      <c r="AC58" s="397">
        <f>VLOOKUP($C58,'ТР нефть'!$A$29:$GC$641,78,0)</f>
        <v>24</v>
      </c>
      <c r="AD58" s="398">
        <f>VLOOKUP($C58,'ТР нефть'!$A$29:$GC$641,93,0)</f>
        <v>4.18</v>
      </c>
      <c r="AE58" s="399">
        <f>VLOOKUP($C58,'ТР нефть'!$A$29:$GC$641,94,0)</f>
        <v>5</v>
      </c>
      <c r="AF58" s="400">
        <f>VLOOKUP($C58,'ТР нефть'!$A$29:$GC$641,95,0)</f>
        <v>0</v>
      </c>
      <c r="AG58" s="397">
        <f>VLOOKUP($C58,'ТР нефть'!$A$29:$GC$641,99,0)</f>
        <v>8.1999999999999993</v>
      </c>
      <c r="AH58" s="397">
        <f>VLOOKUP($C58,'ТР нефть'!$A$29:$GC$641,100,0)</f>
        <v>1961.7224880382776</v>
      </c>
      <c r="AI58" s="397">
        <f>VLOOKUP($C58,'ТР нефть'!$A$29:$GC$641,92,0)</f>
        <v>42</v>
      </c>
      <c r="AJ58" s="403">
        <f>VLOOKUP($C58,'ТР нефть'!$A$29:$GC$641,102,0)</f>
        <v>9.8039215686274508E-2</v>
      </c>
      <c r="AK58" s="404">
        <f t="shared" si="5"/>
        <v>0</v>
      </c>
      <c r="AL58" s="397">
        <f t="shared" si="5"/>
        <v>-1</v>
      </c>
      <c r="AM58" s="397">
        <f t="shared" si="5"/>
        <v>-4</v>
      </c>
      <c r="AN58" s="397">
        <f t="shared" si="5"/>
        <v>-1</v>
      </c>
      <c r="AO58" s="397">
        <f t="shared" si="6"/>
        <v>0</v>
      </c>
      <c r="AP58" s="397">
        <f t="shared" si="6"/>
        <v>0</v>
      </c>
      <c r="AQ58" s="405">
        <f t="shared" si="6"/>
        <v>-1.2540000000000004</v>
      </c>
      <c r="AR58" s="416">
        <f t="shared" si="6"/>
        <v>-1.5</v>
      </c>
      <c r="AS58" s="400">
        <f t="shared" si="6"/>
        <v>0</v>
      </c>
      <c r="AT58" s="397">
        <f t="shared" si="6"/>
        <v>-7.8000000000000007</v>
      </c>
      <c r="AU58" s="397">
        <f t="shared" si="6"/>
        <v>-209.79020979020947</v>
      </c>
      <c r="AV58" s="397">
        <f t="shared" si="6"/>
        <v>-2</v>
      </c>
      <c r="AW58" s="406">
        <f t="shared" si="6"/>
        <v>-3.4613845538215296E-2</v>
      </c>
      <c r="AX58" s="392" t="str">
        <f>VLOOKUP($C58,'ТР нефть'!$A$29:$GC$641,182,0)</f>
        <v>ИПП База</v>
      </c>
      <c r="AY58" s="406" t="str">
        <f>VLOOKUP($C58,'ТР нефть'!$A$29:$GC$641,183,0)</f>
        <v>Снижение энергетики пласта что подтверждается дебитом и изменением Рзаб</v>
      </c>
      <c r="AZ58" s="407">
        <f t="shared" si="7"/>
        <v>4.18</v>
      </c>
      <c r="BA58" s="408">
        <f t="shared" si="7"/>
        <v>5</v>
      </c>
      <c r="BB58" s="397">
        <f t="shared" si="7"/>
        <v>0</v>
      </c>
      <c r="BC58" s="409"/>
      <c r="BD58" s="410"/>
    </row>
    <row r="59" spans="1:56" ht="40.5" hidden="1" customHeight="1" outlineLevel="1" x14ac:dyDescent="0.25">
      <c r="A59" s="373"/>
      <c r="B59" s="392">
        <f>SUBTOTAL(3,$C$40:C59)</f>
        <v>20</v>
      </c>
      <c r="C59" s="393">
        <v>3403</v>
      </c>
      <c r="D59" s="394" t="str">
        <f>VLOOKUP($C59,'ТР нефть'!$A$29:$GC$641,5,0)</f>
        <v>ВУ ОНГКМ</v>
      </c>
      <c r="E59" s="394" t="str">
        <f>VLOOKUP($C59,'ТР нефть'!$A$29:$GC$641,8,0)</f>
        <v>ТЛ-4</v>
      </c>
      <c r="F59" s="395" t="str">
        <f>VLOOKUP($C59,'ТР нефть'!$A$29:$GC$641,11,0)</f>
        <v>К-64</v>
      </c>
      <c r="G59" s="392" t="str">
        <f>VLOOKUP($C59,'ТР нефть'!$A$29:$GC$641,47,0)</f>
        <v>Газлифт</v>
      </c>
      <c r="H59" s="396">
        <f>VLOOKUP($C59,'ТР нефть'!$A$29:$GC$641,135,0)</f>
        <v>65</v>
      </c>
      <c r="I59" s="397">
        <f>VLOOKUP($C59,'ТР нефть'!$A$29:$GC$641,136,0)</f>
        <v>36</v>
      </c>
      <c r="J59" s="397">
        <f>VLOOKUP($C59,'ТР нефть'!$A$29:$GC$641,137,0)</f>
        <v>52</v>
      </c>
      <c r="K59" s="397">
        <f>VLOOKUP($C59,'ТР нефть'!$A$29:$GC$641,138,0)</f>
        <v>35</v>
      </c>
      <c r="L59" s="397" t="str">
        <f>VLOOKUP($C59,'ТР нефть'!$A$29:$GC$641,139,0)</f>
        <v>Постоянный</v>
      </c>
      <c r="M59" s="397">
        <f>VLOOKUP($C59,'ТР нефть'!$A$29:$GC$641,140,0)</f>
        <v>24</v>
      </c>
      <c r="N59" s="397">
        <f>VLOOKUP($C59,'ТР нефть'!$A$29:$GC$641,141,0)</f>
        <v>0</v>
      </c>
      <c r="O59" s="398">
        <f>VLOOKUP($C59,'ТР нефть'!$A$29:$GC$641,142,0)</f>
        <v>18.391999999999999</v>
      </c>
      <c r="P59" s="399">
        <f>VLOOKUP($C59,'ТР нефть'!$A$29:$GC$641,143,0)</f>
        <v>22</v>
      </c>
      <c r="Q59" s="400">
        <f>VLOOKUP($C59,'ТР нефть'!$A$29:$GC$641,144,0)</f>
        <v>0</v>
      </c>
      <c r="R59" s="397">
        <f>VLOOKUP($C59,'ТР нефть'!$A$29:$GC$641,145,0)</f>
        <v>16</v>
      </c>
      <c r="S59" s="397">
        <f>VLOOKUP($C59,'ТР нефть'!$A$29:$GC$641,146,0)</f>
        <v>217.48586341887778</v>
      </c>
      <c r="T59" s="397">
        <f>VLOOKUP($C59,'ТР нефть'!$A$29:$GC$641,149,0)</f>
        <v>61</v>
      </c>
      <c r="U59" s="401">
        <f>VLOOKUP($C59,'ТР нефть'!$A$29:$GC$641,150,0)</f>
        <v>0.38596491228070173</v>
      </c>
      <c r="V59" s="402" t="str">
        <f>VLOOKUP($C59,'ТР нефть'!$A$29:$GC$641,47,0)</f>
        <v>Газлифт</v>
      </c>
      <c r="W59" s="396">
        <f>VLOOKUP($C59,'ТР нефть'!$A$29:$GC$641,74,0)</f>
        <v>65</v>
      </c>
      <c r="X59" s="397">
        <f>VLOOKUP($C59,'ТР нефть'!$A$29:$GC$641,79,0)</f>
        <v>37</v>
      </c>
      <c r="Y59" s="397">
        <f>VLOOKUP($C59,'ТР нефть'!$A$29:$GC$641,80,0)</f>
        <v>55</v>
      </c>
      <c r="Z59" s="397">
        <f>VLOOKUP($C59,'ТР нефть'!$A$29:$GC$641,81,0)</f>
        <v>36</v>
      </c>
      <c r="AA59" s="397" t="str">
        <f>VLOOKUP($C59,'ТР нефть'!$A$29:$GC$641,76,0)</f>
        <v>Постоянный</v>
      </c>
      <c r="AB59" s="397">
        <f>VLOOKUP($C59,'ТР нефть'!$A$29:$GC$641,77,0)</f>
        <v>24</v>
      </c>
      <c r="AC59" s="397">
        <f>VLOOKUP($C59,'ТР нефть'!$A$29:$GC$641,78,0)</f>
        <v>0</v>
      </c>
      <c r="AD59" s="398">
        <f>VLOOKUP($C59,'ТР нефть'!$A$29:$GC$641,93,0)</f>
        <v>15.048</v>
      </c>
      <c r="AE59" s="399">
        <f>VLOOKUP($C59,'ТР нефть'!$A$29:$GC$641,94,0)</f>
        <v>18</v>
      </c>
      <c r="AF59" s="400">
        <f>VLOOKUP($C59,'ТР нефть'!$A$29:$GC$641,95,0)</f>
        <v>0</v>
      </c>
      <c r="AG59" s="397">
        <f>VLOOKUP($C59,'ТР нефть'!$A$29:$GC$641,99,0)</f>
        <v>4</v>
      </c>
      <c r="AH59" s="397">
        <f>VLOOKUP($C59,'ТР нефть'!$A$29:$GC$641,100,0)</f>
        <v>265.8160552897395</v>
      </c>
      <c r="AI59" s="397">
        <f>VLOOKUP($C59,'ТР нефть'!$A$29:$GC$641,92,0)</f>
        <v>59</v>
      </c>
      <c r="AJ59" s="403">
        <f>VLOOKUP($C59,'ТР нефть'!$A$29:$GC$641,102,0)</f>
        <v>0.30508474576271188</v>
      </c>
      <c r="AK59" s="404">
        <f t="shared" si="5"/>
        <v>0</v>
      </c>
      <c r="AL59" s="397">
        <f t="shared" si="5"/>
        <v>1</v>
      </c>
      <c r="AM59" s="397">
        <f t="shared" si="5"/>
        <v>3</v>
      </c>
      <c r="AN59" s="397">
        <f t="shared" si="5"/>
        <v>1</v>
      </c>
      <c r="AO59" s="397">
        <f t="shared" si="6"/>
        <v>0</v>
      </c>
      <c r="AP59" s="397">
        <f t="shared" si="6"/>
        <v>0</v>
      </c>
      <c r="AQ59" s="405">
        <f t="shared" si="6"/>
        <v>-3.3439999999999994</v>
      </c>
      <c r="AR59" s="416">
        <f t="shared" si="6"/>
        <v>-4</v>
      </c>
      <c r="AS59" s="400">
        <f t="shared" si="6"/>
        <v>0</v>
      </c>
      <c r="AT59" s="397">
        <f t="shared" si="6"/>
        <v>-12</v>
      </c>
      <c r="AU59" s="397">
        <f t="shared" si="6"/>
        <v>48.330191870861711</v>
      </c>
      <c r="AV59" s="397">
        <f t="shared" si="6"/>
        <v>-2</v>
      </c>
      <c r="AW59" s="406">
        <f t="shared" si="6"/>
        <v>-8.0880166517989849E-2</v>
      </c>
      <c r="AX59" s="392" t="str">
        <f>VLOOKUP($C59,'ТР нефть'!$A$29:$GC$641,182,0)</f>
        <v>ИПП БАЗА</v>
      </c>
      <c r="AY59" s="406" t="str">
        <f>VLOOKUP($C59,'ТР нефть'!$A$29:$GC$641,183,0)</f>
        <v>Снижение энергетики пласта что подтверждается дебитом и изменением Рзаб</v>
      </c>
      <c r="AZ59" s="407">
        <f t="shared" si="7"/>
        <v>15.048</v>
      </c>
      <c r="BA59" s="408">
        <f t="shared" si="7"/>
        <v>18</v>
      </c>
      <c r="BB59" s="397">
        <f t="shared" si="7"/>
        <v>0</v>
      </c>
      <c r="BC59" s="409"/>
      <c r="BD59" s="410"/>
    </row>
    <row r="60" spans="1:56" ht="40.5" hidden="1" customHeight="1" outlineLevel="1" x14ac:dyDescent="0.25">
      <c r="A60" s="373"/>
      <c r="B60" s="392">
        <f>SUBTOTAL(3,$C$40:C60)</f>
        <v>21</v>
      </c>
      <c r="C60" s="393">
        <v>3410</v>
      </c>
      <c r="D60" s="394" t="str">
        <f>VLOOKUP($C60,'ТР нефть'!$A$29:$GC$641,5,0)</f>
        <v>ВУ ОНГКМ</v>
      </c>
      <c r="E60" s="394" t="str">
        <f>VLOOKUP($C60,'ТР нефть'!$A$29:$GC$641,8,0)</f>
        <v>ТЛ-4</v>
      </c>
      <c r="F60" s="395" t="str">
        <f>VLOOKUP($C60,'ТР нефть'!$A$29:$GC$641,11,0)</f>
        <v>К-1609</v>
      </c>
      <c r="G60" s="392" t="str">
        <f>VLOOKUP($C60,'ТР нефть'!$A$29:$GC$641,47,0)</f>
        <v>Фон.</v>
      </c>
      <c r="H60" s="396">
        <f>VLOOKUP($C60,'ТР нефть'!$A$29:$GC$641,135,0)</f>
        <v>4</v>
      </c>
      <c r="I60" s="397">
        <f>VLOOKUP($C60,'ТР нефть'!$A$29:$GC$641,136,0)</f>
        <v>50</v>
      </c>
      <c r="J60" s="397">
        <f>VLOOKUP($C60,'ТР нефть'!$A$29:$GC$641,137,0)</f>
        <v>42</v>
      </c>
      <c r="K60" s="397">
        <f>VLOOKUP($C60,'ТР нефть'!$A$29:$GC$641,138,0)</f>
        <v>42</v>
      </c>
      <c r="L60" s="397" t="str">
        <f>VLOOKUP($C60,'ТР нефть'!$A$29:$GC$641,139,0)</f>
        <v>Постоянный</v>
      </c>
      <c r="M60" s="397">
        <f>VLOOKUP($C60,'ТР нефть'!$A$29:$GC$641,140,0)</f>
        <v>24</v>
      </c>
      <c r="N60" s="397">
        <f>VLOOKUP($C60,'ТР нефть'!$A$29:$GC$641,141,0)</f>
        <v>0</v>
      </c>
      <c r="O60" s="398">
        <f>VLOOKUP($C60,'ТР нефть'!$A$29:$GC$641,142,0)</f>
        <v>10.45</v>
      </c>
      <c r="P60" s="399">
        <f>VLOOKUP($C60,'ТР нефть'!$A$29:$GC$641,143,0)</f>
        <v>12.5</v>
      </c>
      <c r="Q60" s="400">
        <f>VLOOKUP($C60,'ТР нефть'!$A$29:$GC$641,144,0)</f>
        <v>0</v>
      </c>
      <c r="R60" s="397">
        <f>VLOOKUP($C60,'ТР нефть'!$A$29:$GC$641,145,0)</f>
        <v>15.3</v>
      </c>
      <c r="S60" s="397">
        <f>VLOOKUP($C60,'ТР нефть'!$A$29:$GC$641,146,0)</f>
        <v>1464.1148325358852</v>
      </c>
      <c r="T60" s="397">
        <f>VLOOKUP($C60,'ТР нефть'!$A$29:$GC$641,149,0)</f>
        <v>90</v>
      </c>
      <c r="U60" s="401">
        <f>VLOOKUP($C60,'ТР нефть'!$A$29:$GC$641,150,0)</f>
        <v>1.1363636363636365</v>
      </c>
      <c r="V60" s="402" t="str">
        <f>VLOOKUP($C60,'ТР нефть'!$A$29:$GC$641,47,0)</f>
        <v>Фон.</v>
      </c>
      <c r="W60" s="396">
        <f>VLOOKUP($C60,'ТР нефть'!$A$29:$GC$641,74,0)</f>
        <v>4</v>
      </c>
      <c r="X60" s="397">
        <f>VLOOKUP($C60,'ТР нефть'!$A$29:$GC$641,79,0)</f>
        <v>46</v>
      </c>
      <c r="Y60" s="397">
        <f>VLOOKUP($C60,'ТР нефть'!$A$29:$GC$641,80,0)</f>
        <v>45</v>
      </c>
      <c r="Z60" s="397">
        <f>VLOOKUP($C60,'ТР нефть'!$A$29:$GC$641,81,0)</f>
        <v>46</v>
      </c>
      <c r="AA60" s="397" t="str">
        <f>VLOOKUP($C60,'ТР нефть'!$A$29:$GC$641,76,0)</f>
        <v>Постоянный</v>
      </c>
      <c r="AB60" s="397">
        <f>VLOOKUP($C60,'ТР нефть'!$A$29:$GC$641,77,0)</f>
        <v>24</v>
      </c>
      <c r="AC60" s="397">
        <f>VLOOKUP($C60,'ТР нефть'!$A$29:$GC$641,78,0)</f>
        <v>0</v>
      </c>
      <c r="AD60" s="398">
        <f>VLOOKUP($C60,'ТР нефть'!$A$29:$GC$641,93,0)</f>
        <v>6.6879999999999997</v>
      </c>
      <c r="AE60" s="399">
        <f>VLOOKUP($C60,'ТР нефть'!$A$29:$GC$641,94,0)</f>
        <v>8</v>
      </c>
      <c r="AF60" s="400">
        <f>VLOOKUP($C60,'ТР нефть'!$A$29:$GC$641,95,0)</f>
        <v>0</v>
      </c>
      <c r="AG60" s="397">
        <f>VLOOKUP($C60,'ТР нефть'!$A$29:$GC$641,99,0)</f>
        <v>15.3</v>
      </c>
      <c r="AH60" s="397">
        <f>VLOOKUP($C60,'ТР нефть'!$A$29:$GC$641,100,0)</f>
        <v>2287.6794258373207</v>
      </c>
      <c r="AI60" s="397">
        <f>VLOOKUP($C60,'ТР нефть'!$A$29:$GC$641,92,0)</f>
        <v>80</v>
      </c>
      <c r="AJ60" s="403">
        <f>VLOOKUP($C60,'ТР нефть'!$A$29:$GC$641,102,0)</f>
        <v>0.38095238095238093</v>
      </c>
      <c r="AK60" s="404">
        <f t="shared" si="5"/>
        <v>0</v>
      </c>
      <c r="AL60" s="397">
        <f t="shared" si="5"/>
        <v>-4</v>
      </c>
      <c r="AM60" s="397">
        <f t="shared" si="5"/>
        <v>3</v>
      </c>
      <c r="AN60" s="397">
        <f t="shared" si="5"/>
        <v>4</v>
      </c>
      <c r="AO60" s="397">
        <f t="shared" si="6"/>
        <v>0</v>
      </c>
      <c r="AP60" s="397">
        <f t="shared" si="6"/>
        <v>0</v>
      </c>
      <c r="AQ60" s="405">
        <f t="shared" si="6"/>
        <v>-3.7619999999999996</v>
      </c>
      <c r="AR60" s="416">
        <f t="shared" si="6"/>
        <v>-4.5</v>
      </c>
      <c r="AS60" s="400">
        <f t="shared" si="6"/>
        <v>0</v>
      </c>
      <c r="AT60" s="397">
        <f t="shared" si="6"/>
        <v>0</v>
      </c>
      <c r="AU60" s="397">
        <f t="shared" si="6"/>
        <v>823.56459330143548</v>
      </c>
      <c r="AV60" s="397">
        <f t="shared" si="6"/>
        <v>-10</v>
      </c>
      <c r="AW60" s="406">
        <f t="shared" si="6"/>
        <v>-0.75541125541125553</v>
      </c>
      <c r="AX60" s="392" t="str">
        <f>VLOOKUP($C60,'ТР нефть'!$A$29:$GC$641,182,0)</f>
        <v>ИПП БАЗА</v>
      </c>
      <c r="AY60" s="406" t="str">
        <f>VLOOKUP($C60,'ТР нефть'!$A$29:$GC$641,183,0)</f>
        <v>Снижение энергетики пласта что подтверждается дебитом и изменением Рзаб</v>
      </c>
      <c r="AZ60" s="407">
        <f t="shared" si="7"/>
        <v>6.6879999999999997</v>
      </c>
      <c r="BA60" s="408">
        <f t="shared" si="7"/>
        <v>8</v>
      </c>
      <c r="BB60" s="397">
        <f t="shared" si="7"/>
        <v>0</v>
      </c>
      <c r="BC60" s="409"/>
      <c r="BD60" s="410"/>
    </row>
    <row r="61" spans="1:56" ht="40.5" hidden="1" customHeight="1" outlineLevel="1" x14ac:dyDescent="0.25">
      <c r="A61" s="373"/>
      <c r="B61" s="392">
        <f>SUBTOTAL(3,$C$40:C61)</f>
        <v>22</v>
      </c>
      <c r="C61" s="393">
        <v>3998</v>
      </c>
      <c r="D61" s="394" t="str">
        <f>VLOOKUP($C61,'ТР нефть'!$A$29:$GC$641,5,0)</f>
        <v>ВУ ОНГКМ</v>
      </c>
      <c r="E61" s="394" t="str">
        <f>VLOOKUP($C61,'ТР нефть'!$A$29:$GC$641,8,0)</f>
        <v>ТЛ-4</v>
      </c>
      <c r="F61" s="395" t="str">
        <f>VLOOKUP($C61,'ТР нефть'!$A$29:$GC$641,11,0)</f>
        <v>К-3400</v>
      </c>
      <c r="G61" s="392" t="str">
        <f>VLOOKUP($C61,'ТР нефть'!$A$29:$GC$641,47,0)</f>
        <v>ЭЦН</v>
      </c>
      <c r="H61" s="396">
        <f>VLOOKUP($C61,'ТР нефть'!$A$29:$GC$641,135,0)</f>
        <v>65</v>
      </c>
      <c r="I61" s="397">
        <f>VLOOKUP($C61,'ТР нефть'!$A$29:$GC$641,136,0)</f>
        <v>18</v>
      </c>
      <c r="J61" s="397">
        <f>VLOOKUP($C61,'ТР нефть'!$A$29:$GC$641,137,0)</f>
        <v>18</v>
      </c>
      <c r="K61" s="397">
        <f>VLOOKUP($C61,'ТР нефть'!$A$29:$GC$641,138,0)</f>
        <v>17</v>
      </c>
      <c r="L61" s="397" t="str">
        <f>VLOOKUP($C61,'ТР нефть'!$A$29:$GC$641,139,0)</f>
        <v>Периодический</v>
      </c>
      <c r="M61" s="397">
        <f>VLOOKUP($C61,'ТР нефть'!$A$29:$GC$641,140,0)</f>
        <v>11</v>
      </c>
      <c r="N61" s="397">
        <f>VLOOKUP($C61,'ТР нефть'!$A$29:$GC$641,141,0)</f>
        <v>13</v>
      </c>
      <c r="O61" s="398">
        <f>VLOOKUP($C61,'ТР нефть'!$A$29:$GC$641,142,0)</f>
        <v>9.705960000000001</v>
      </c>
      <c r="P61" s="399">
        <f>VLOOKUP($C61,'ТР нефть'!$A$29:$GC$641,143,0)</f>
        <v>27</v>
      </c>
      <c r="Q61" s="400">
        <f>VLOOKUP($C61,'ТР нефть'!$A$29:$GC$641,144,0)</f>
        <v>57</v>
      </c>
      <c r="R61" s="397">
        <f>VLOOKUP($C61,'ТР нефть'!$A$29:$GC$641,145,0)</f>
        <v>8.8000000000000007</v>
      </c>
      <c r="S61" s="397">
        <f>VLOOKUP($C61,'ТР нефть'!$A$29:$GC$641,146,0)</f>
        <v>906.65941339135941</v>
      </c>
      <c r="T61" s="397">
        <f>VLOOKUP($C61,'ТР нефть'!$A$29:$GC$641,149,0)</f>
        <v>61.966859969999994</v>
      </c>
      <c r="U61" s="401">
        <f>VLOOKUP($C61,'ТР нефть'!$A$29:$GC$641,150,0)</f>
        <v>0.43525122195881849</v>
      </c>
      <c r="V61" s="402" t="str">
        <f>VLOOKUP($C61,'ТР нефть'!$A$29:$GC$641,47,0)</f>
        <v>ЭЦН</v>
      </c>
      <c r="W61" s="396">
        <f>VLOOKUP($C61,'ТР нефть'!$A$29:$GC$641,74,0)</f>
        <v>65</v>
      </c>
      <c r="X61" s="397">
        <f>VLOOKUP($C61,'ТР нефть'!$A$29:$GC$641,79,0)</f>
        <v>19</v>
      </c>
      <c r="Y61" s="397">
        <f>VLOOKUP($C61,'ТР нефть'!$A$29:$GC$641,80,0)</f>
        <v>18</v>
      </c>
      <c r="Z61" s="397">
        <f>VLOOKUP($C61,'ТР нефть'!$A$29:$GC$641,81,0)</f>
        <v>18</v>
      </c>
      <c r="AA61" s="397" t="str">
        <f>VLOOKUP($C61,'ТР нефть'!$A$29:$GC$641,76,0)</f>
        <v>Периодический</v>
      </c>
      <c r="AB61" s="397">
        <f>VLOOKUP($C61,'ТР нефть'!$A$29:$GC$641,77,0)</f>
        <v>11</v>
      </c>
      <c r="AC61" s="397">
        <f>VLOOKUP($C61,'ТР нефть'!$A$29:$GC$641,78,0)</f>
        <v>13</v>
      </c>
      <c r="AD61" s="398">
        <f>VLOOKUP($C61,'ТР нефть'!$A$29:$GC$641,93,0)</f>
        <v>7.1896000000000013</v>
      </c>
      <c r="AE61" s="399">
        <f>VLOOKUP($C61,'ТР нефть'!$A$29:$GC$641,94,0)</f>
        <v>20</v>
      </c>
      <c r="AF61" s="400">
        <f>VLOOKUP($C61,'ТР нефть'!$A$29:$GC$641,95,0)</f>
        <v>57</v>
      </c>
      <c r="AG61" s="397">
        <f>VLOOKUP($C61,'ТР нефть'!$A$29:$GC$641,99,0)</f>
        <v>8.8000000000000007</v>
      </c>
      <c r="AH61" s="397">
        <f>VLOOKUP($C61,'ТР нефть'!$A$29:$GC$641,100,0)</f>
        <v>1223.9902080783352</v>
      </c>
      <c r="AI61" s="397">
        <f>VLOOKUP($C61,'ТР нефть'!$A$29:$GC$641,92,0)</f>
        <v>61.966859969999994</v>
      </c>
      <c r="AJ61" s="403">
        <f>VLOOKUP($C61,'ТР нефть'!$A$29:$GC$641,102,0)</f>
        <v>0.32240831256208774</v>
      </c>
      <c r="AK61" s="404">
        <f t="shared" si="5"/>
        <v>0</v>
      </c>
      <c r="AL61" s="397">
        <f t="shared" si="5"/>
        <v>1</v>
      </c>
      <c r="AM61" s="397">
        <f t="shared" si="5"/>
        <v>0</v>
      </c>
      <c r="AN61" s="397">
        <f t="shared" si="5"/>
        <v>1</v>
      </c>
      <c r="AO61" s="397">
        <f t="shared" si="6"/>
        <v>0</v>
      </c>
      <c r="AP61" s="397">
        <f t="shared" si="6"/>
        <v>0</v>
      </c>
      <c r="AQ61" s="405">
        <f t="shared" si="6"/>
        <v>-2.5163599999999997</v>
      </c>
      <c r="AR61" s="416">
        <f t="shared" si="6"/>
        <v>-7</v>
      </c>
      <c r="AS61" s="400">
        <f t="shared" si="6"/>
        <v>0</v>
      </c>
      <c r="AT61" s="397">
        <f t="shared" si="6"/>
        <v>0</v>
      </c>
      <c r="AU61" s="397">
        <f t="shared" si="6"/>
        <v>317.33079468697576</v>
      </c>
      <c r="AV61" s="397">
        <f t="shared" si="6"/>
        <v>0</v>
      </c>
      <c r="AW61" s="406">
        <f t="shared" si="6"/>
        <v>-0.11284290939673075</v>
      </c>
      <c r="AX61" s="392" t="str">
        <f>VLOOKUP($C61,'ТР нефть'!$A$29:$GC$641,182,0)</f>
        <v>ИПП база</v>
      </c>
      <c r="AY61" s="406" t="str">
        <f>VLOOKUP($C61,'ТР нефть'!$A$29:$GC$641,183,0)</f>
        <v xml:space="preserve">Снижение энергетики пласта отмечается динамика снижения время работы с 10,3 до 9,6 ч/сут. </v>
      </c>
      <c r="AZ61" s="407">
        <f t="shared" si="7"/>
        <v>7.1896000000000013</v>
      </c>
      <c r="BA61" s="408">
        <f t="shared" si="7"/>
        <v>20</v>
      </c>
      <c r="BB61" s="397">
        <f t="shared" si="7"/>
        <v>57</v>
      </c>
      <c r="BC61" s="409"/>
      <c r="BD61" s="410"/>
    </row>
    <row r="62" spans="1:56" ht="40.5" hidden="1" customHeight="1" outlineLevel="1" x14ac:dyDescent="0.25">
      <c r="A62" s="373"/>
      <c r="B62" s="392">
        <f>SUBTOTAL(3,$C$40:C62)</f>
        <v>23</v>
      </c>
      <c r="C62" s="393">
        <v>5112</v>
      </c>
      <c r="D62" s="394" t="str">
        <f>VLOOKUP($C62,'ТР нефть'!$A$29:$GC$641,5,0)</f>
        <v>ВУ ОНГКМ</v>
      </c>
      <c r="E62" s="394" t="str">
        <f>VLOOKUP($C62,'ТР нефть'!$A$29:$GC$641,8,0)</f>
        <v>ТЛ-4</v>
      </c>
      <c r="F62" s="395" t="str">
        <f>VLOOKUP($C62,'ТР нефть'!$A$29:$GC$641,11,0)</f>
        <v>К-6277</v>
      </c>
      <c r="G62" s="392" t="str">
        <f>VLOOKUP($C62,'ТР нефть'!$A$29:$GC$641,47,0)</f>
        <v>Газлифт</v>
      </c>
      <c r="H62" s="396">
        <f>VLOOKUP($C62,'ТР нефть'!$A$29:$GC$641,135,0)</f>
        <v>65</v>
      </c>
      <c r="I62" s="397">
        <f>VLOOKUP($C62,'ТР нефть'!$A$29:$GC$641,136,0)</f>
        <v>27</v>
      </c>
      <c r="J62" s="397">
        <f>VLOOKUP($C62,'ТР нефть'!$A$29:$GC$641,137,0)</f>
        <v>44</v>
      </c>
      <c r="K62" s="397">
        <f>VLOOKUP($C62,'ТР нефть'!$A$29:$GC$641,138,0)</f>
        <v>26</v>
      </c>
      <c r="L62" s="397" t="str">
        <f>VLOOKUP($C62,'ТР нефть'!$A$29:$GC$641,139,0)</f>
        <v>Постоянный</v>
      </c>
      <c r="M62" s="397">
        <f>VLOOKUP($C62,'ТР нефть'!$A$29:$GC$641,140,0)</f>
        <v>24</v>
      </c>
      <c r="N62" s="397">
        <f>VLOOKUP($C62,'ТР нефть'!$A$29:$GC$641,141,0)</f>
        <v>0</v>
      </c>
      <c r="O62" s="398">
        <f>VLOOKUP($C62,'ТР нефть'!$A$29:$GC$641,142,0)</f>
        <v>12.840959999999999</v>
      </c>
      <c r="P62" s="399">
        <f>VLOOKUP($C62,'ТР нефть'!$A$29:$GC$641,143,0)</f>
        <v>16</v>
      </c>
      <c r="Q62" s="400">
        <f>VLOOKUP($C62,'ТР нефть'!$A$29:$GC$641,144,0)</f>
        <v>4</v>
      </c>
      <c r="R62" s="397">
        <f>VLOOKUP($C62,'ТР нефть'!$A$29:$GC$641,145,0)</f>
        <v>19.399999999999999</v>
      </c>
      <c r="S62" s="397">
        <f>VLOOKUP($C62,'ТР нефть'!$A$29:$GC$641,146,0)</f>
        <v>763.18281499202544</v>
      </c>
      <c r="T62" s="397">
        <f>VLOOKUP($C62,'ТР нефть'!$A$29:$GC$641,149,0)</f>
        <v>50</v>
      </c>
      <c r="U62" s="401">
        <f>VLOOKUP($C62,'ТР нефть'!$A$29:$GC$641,150,0)</f>
        <v>0.23494860499265788</v>
      </c>
      <c r="V62" s="402" t="str">
        <f>VLOOKUP($C62,'ТР нефть'!$A$29:$GC$641,47,0)</f>
        <v>Газлифт</v>
      </c>
      <c r="W62" s="396">
        <f>VLOOKUP($C62,'ТР нефть'!$A$29:$GC$641,74,0)</f>
        <v>65</v>
      </c>
      <c r="X62" s="397">
        <f>VLOOKUP($C62,'ТР нефть'!$A$29:$GC$641,79,0)</f>
        <v>25</v>
      </c>
      <c r="Y62" s="397">
        <f>VLOOKUP($C62,'ТР нефть'!$A$29:$GC$641,80,0)</f>
        <v>45</v>
      </c>
      <c r="Z62" s="397">
        <f>VLOOKUP($C62,'ТР нефть'!$A$29:$GC$641,81,0)</f>
        <v>24</v>
      </c>
      <c r="AA62" s="397" t="str">
        <f>VLOOKUP($C62,'ТР нефть'!$A$29:$GC$641,76,0)</f>
        <v>Постоянный</v>
      </c>
      <c r="AB62" s="397">
        <f>VLOOKUP($C62,'ТР нефть'!$A$29:$GC$641,77,0)</f>
        <v>24</v>
      </c>
      <c r="AC62" s="397">
        <f>VLOOKUP($C62,'ТР нефть'!$A$29:$GC$641,78,0)</f>
        <v>0</v>
      </c>
      <c r="AD62" s="398">
        <f>VLOOKUP($C62,'ТР нефть'!$A$29:$GC$641,93,0)</f>
        <v>11.4114</v>
      </c>
      <c r="AE62" s="399">
        <f>VLOOKUP($C62,'ТР нефть'!$A$29:$GC$641,94,0)</f>
        <v>14</v>
      </c>
      <c r="AF62" s="400">
        <f>VLOOKUP($C62,'ТР нефть'!$A$29:$GC$641,95,0)</f>
        <v>2.5</v>
      </c>
      <c r="AG62" s="397">
        <f>VLOOKUP($C62,'ТР нефть'!$A$29:$GC$641,99,0)</f>
        <v>9.7999999999999989</v>
      </c>
      <c r="AH62" s="397">
        <f>VLOOKUP($C62,'ТР нефть'!$A$29:$GC$641,100,0)</f>
        <v>858.79033247454277</v>
      </c>
      <c r="AI62" s="397">
        <f>VLOOKUP($C62,'ТР нефть'!$A$29:$GC$641,92,0)</f>
        <v>47</v>
      </c>
      <c r="AJ62" s="403">
        <f>VLOOKUP($C62,'ТР нефть'!$A$29:$GC$641,102,0)</f>
        <v>0.19690576652601971</v>
      </c>
      <c r="AK62" s="404">
        <f t="shared" si="5"/>
        <v>0</v>
      </c>
      <c r="AL62" s="397">
        <f t="shared" si="5"/>
        <v>-2</v>
      </c>
      <c r="AM62" s="397">
        <f t="shared" si="5"/>
        <v>1</v>
      </c>
      <c r="AN62" s="397">
        <f t="shared" si="5"/>
        <v>-2</v>
      </c>
      <c r="AO62" s="397">
        <f t="shared" si="6"/>
        <v>0</v>
      </c>
      <c r="AP62" s="397">
        <f t="shared" si="6"/>
        <v>0</v>
      </c>
      <c r="AQ62" s="405">
        <f t="shared" si="6"/>
        <v>-1.4295599999999986</v>
      </c>
      <c r="AR62" s="416">
        <f t="shared" si="6"/>
        <v>-2</v>
      </c>
      <c r="AS62" s="400">
        <f t="shared" si="6"/>
        <v>-1.5</v>
      </c>
      <c r="AT62" s="397">
        <f t="shared" si="6"/>
        <v>-9.6</v>
      </c>
      <c r="AU62" s="397">
        <f t="shared" si="6"/>
        <v>95.607517482517324</v>
      </c>
      <c r="AV62" s="397">
        <f t="shared" si="6"/>
        <v>-3</v>
      </c>
      <c r="AW62" s="406">
        <f t="shared" si="6"/>
        <v>-3.8042838466638168E-2</v>
      </c>
      <c r="AX62" s="392" t="str">
        <f>VLOOKUP($C62,'ТР нефть'!$A$29:$GC$641,182,0)</f>
        <v>ИПП База</v>
      </c>
      <c r="AY62" s="406" t="str">
        <f>VLOOKUP($C62,'ТР нефть'!$A$29:$GC$641,183,0)</f>
        <v>ВНС от 22 г, отмечается динамика снижения Рзаб и дебита жидкости.</v>
      </c>
      <c r="AZ62" s="407">
        <f t="shared" si="7"/>
        <v>11.4114</v>
      </c>
      <c r="BA62" s="408">
        <f t="shared" si="7"/>
        <v>14</v>
      </c>
      <c r="BB62" s="397">
        <f t="shared" si="7"/>
        <v>2.5</v>
      </c>
      <c r="BC62" s="409"/>
      <c r="BD62" s="410"/>
    </row>
    <row r="63" spans="1:56" ht="40.5" hidden="1" customHeight="1" outlineLevel="1" x14ac:dyDescent="0.25">
      <c r="A63" s="373"/>
      <c r="B63" s="392">
        <f>SUBTOTAL(3,$C$40:C63)</f>
        <v>24</v>
      </c>
      <c r="C63" s="423">
        <v>5193</v>
      </c>
      <c r="D63" s="394" t="str">
        <f>VLOOKUP($C63,'ТР нефть'!$A$29:$GC$641,5,0)</f>
        <v>ВУ ОНГКМ</v>
      </c>
      <c r="E63" s="394" t="str">
        <f>VLOOKUP($C63,'ТР нефть'!$A$29:$GC$641,8,0)</f>
        <v>ТЛ-4</v>
      </c>
      <c r="F63" s="395" t="str">
        <f>VLOOKUP($C63,'ТР нефть'!$A$29:$GC$641,11,0)</f>
        <v>К-5193</v>
      </c>
      <c r="G63" s="392" t="str">
        <f>VLOOKUP($C63,'ТР нефть'!$A$29:$GC$641,47,0)</f>
        <v>ЭЦН</v>
      </c>
      <c r="H63" s="396">
        <f>VLOOKUP($C63,'ТР нефть'!$A$29:$GC$641,135,0)</f>
        <v>18</v>
      </c>
      <c r="I63" s="397">
        <f>VLOOKUP($C63,'ТР нефть'!$A$29:$GC$641,136,0)</f>
        <v>29</v>
      </c>
      <c r="J63" s="397">
        <f>VLOOKUP($C63,'ТР нефть'!$A$29:$GC$641,137,0)</f>
        <v>29</v>
      </c>
      <c r="K63" s="397">
        <f>VLOOKUP($C63,'ТР нефть'!$A$29:$GC$641,138,0)</f>
        <v>28</v>
      </c>
      <c r="L63" s="397" t="str">
        <f>VLOOKUP($C63,'ТР нефть'!$A$29:$GC$641,139,0)</f>
        <v>Постоянный</v>
      </c>
      <c r="M63" s="397">
        <f>VLOOKUP($C63,'ТР нефть'!$A$29:$GC$641,140,0)</f>
        <v>24</v>
      </c>
      <c r="N63" s="397">
        <f>VLOOKUP($C63,'ТР нефть'!$A$29:$GC$641,141,0)</f>
        <v>0</v>
      </c>
      <c r="O63" s="398">
        <f>VLOOKUP($C63,'ТР нефть'!$A$29:$GC$641,142,0)</f>
        <v>28.992479999999997</v>
      </c>
      <c r="P63" s="399">
        <f>VLOOKUP($C63,'ТР нефть'!$A$29:$GC$641,143,0)</f>
        <v>86.7</v>
      </c>
      <c r="Q63" s="400">
        <f>VLOOKUP($C63,'ТР нефть'!$A$29:$GC$641,144,0)</f>
        <v>60</v>
      </c>
      <c r="R63" s="397">
        <f>VLOOKUP($C63,'ТР нефть'!$A$29:$GC$641,145,0)</f>
        <v>15.9</v>
      </c>
      <c r="S63" s="397">
        <f>VLOOKUP($C63,'ТР нефть'!$A$29:$GC$641,146,0)</f>
        <v>548.41807254846776</v>
      </c>
      <c r="T63" s="397">
        <f>VLOOKUP($C63,'ТР нефть'!$A$29:$GC$641,149,0)</f>
        <v>70.211754880000001</v>
      </c>
      <c r="U63" s="401">
        <f>VLOOKUP($C63,'ТР нефть'!$A$29:$GC$641,150,0)</f>
        <v>1.7770674019274912</v>
      </c>
      <c r="V63" s="402" t="str">
        <f>VLOOKUP($C63,'ТР нефть'!$A$29:$GC$641,47,0)</f>
        <v>ЭЦН</v>
      </c>
      <c r="W63" s="396">
        <f>VLOOKUP($C63,'ТР нефть'!$A$29:$GC$641,74,0)</f>
        <v>18</v>
      </c>
      <c r="X63" s="397">
        <f>VLOOKUP($C63,'ТР нефть'!$A$29:$GC$641,79,0)</f>
        <v>25</v>
      </c>
      <c r="Y63" s="397">
        <f>VLOOKUP($C63,'ТР нефть'!$A$29:$GC$641,80,0)</f>
        <v>25</v>
      </c>
      <c r="Z63" s="397">
        <f>VLOOKUP($C63,'ТР нефть'!$A$29:$GC$641,81,0)</f>
        <v>24</v>
      </c>
      <c r="AA63" s="397" t="str">
        <f>VLOOKUP($C63,'ТР нефть'!$A$29:$GC$641,76,0)</f>
        <v>Постоянный</v>
      </c>
      <c r="AB63" s="397">
        <f>VLOOKUP($C63,'ТР нефть'!$A$29:$GC$641,77,0)</f>
        <v>24</v>
      </c>
      <c r="AC63" s="397">
        <f>VLOOKUP($C63,'ТР нефть'!$A$29:$GC$641,78,0)</f>
        <v>0</v>
      </c>
      <c r="AD63" s="398">
        <f>VLOOKUP($C63,'ТР нефть'!$A$29:$GC$641,93,0)</f>
        <v>13.768920000000001</v>
      </c>
      <c r="AE63" s="399">
        <f>VLOOKUP($C63,'ТР нефть'!$A$29:$GC$641,94,0)</f>
        <v>61</v>
      </c>
      <c r="AF63" s="400">
        <f>VLOOKUP($C63,'ТР нефть'!$A$29:$GC$641,95,0)</f>
        <v>73</v>
      </c>
      <c r="AG63" s="397">
        <f>VLOOKUP($C63,'ТР нефть'!$A$29:$GC$641,99,0)</f>
        <v>3.5</v>
      </c>
      <c r="AH63" s="397">
        <f>VLOOKUP($C63,'ТР нефть'!$A$29:$GC$641,100,0)</f>
        <v>254.19568128800222</v>
      </c>
      <c r="AI63" s="397">
        <f>VLOOKUP($C63,'ТР нефть'!$A$29:$GC$641,92,0)</f>
        <v>66.287904032</v>
      </c>
      <c r="AJ63" s="403">
        <f>VLOOKUP($C63,'ТР нефть'!$A$29:$GC$641,102,0)</f>
        <v>1.1572296430221889</v>
      </c>
      <c r="AK63" s="404">
        <f t="shared" si="5"/>
        <v>0</v>
      </c>
      <c r="AL63" s="397">
        <f t="shared" si="5"/>
        <v>-4</v>
      </c>
      <c r="AM63" s="397">
        <f t="shared" si="5"/>
        <v>-4</v>
      </c>
      <c r="AN63" s="397">
        <f t="shared" si="5"/>
        <v>-4</v>
      </c>
      <c r="AO63" s="397">
        <f t="shared" si="6"/>
        <v>0</v>
      </c>
      <c r="AP63" s="397">
        <f t="shared" si="6"/>
        <v>0</v>
      </c>
      <c r="AQ63" s="405">
        <f t="shared" si="6"/>
        <v>-15.223559999999996</v>
      </c>
      <c r="AR63" s="416">
        <f t="shared" si="6"/>
        <v>-25.700000000000003</v>
      </c>
      <c r="AS63" s="400">
        <f t="shared" si="6"/>
        <v>13</v>
      </c>
      <c r="AT63" s="397">
        <f t="shared" si="6"/>
        <v>-12.4</v>
      </c>
      <c r="AU63" s="397">
        <f t="shared" si="6"/>
        <v>-294.22239126046554</v>
      </c>
      <c r="AV63" s="397">
        <f t="shared" si="6"/>
        <v>-3.9238508480000007</v>
      </c>
      <c r="AW63" s="406">
        <f t="shared" si="6"/>
        <v>-0.61983775890530235</v>
      </c>
      <c r="AX63" s="392" t="str">
        <f>VLOOKUP($C63,'ТР нефть'!$A$29:$GC$641,182,0)</f>
        <v>ИПП База</v>
      </c>
      <c r="AY63" s="406" t="str">
        <f>VLOOKUP($C63,'ТР нефть'!$A$29:$GC$641,183,0)</f>
        <v>Снижаеться энергетика пласта что подтверждаеться Рзаб, ЭЦН работает  в периодике, ТР выведен по замеру от 14.06.23 г.</v>
      </c>
      <c r="AZ63" s="407">
        <f t="shared" si="7"/>
        <v>13.768920000000001</v>
      </c>
      <c r="BA63" s="408">
        <f t="shared" si="7"/>
        <v>61</v>
      </c>
      <c r="BB63" s="397">
        <f t="shared" si="7"/>
        <v>73</v>
      </c>
      <c r="BC63" s="409"/>
      <c r="BD63" s="410"/>
    </row>
    <row r="64" spans="1:56" ht="40.5" hidden="1" customHeight="1" outlineLevel="1" x14ac:dyDescent="0.25">
      <c r="A64" s="373"/>
      <c r="B64" s="392">
        <f>SUBTOTAL(3,$C$40:C64)</f>
        <v>25</v>
      </c>
      <c r="C64" s="423">
        <v>5913</v>
      </c>
      <c r="D64" s="394" t="str">
        <f>VLOOKUP($C64,'ТР нефть'!$A$29:$GC$641,5,0)</f>
        <v>ВУ ОНГКМ</v>
      </c>
      <c r="E64" s="394" t="str">
        <f>VLOOKUP($C64,'ТР нефть'!$A$29:$GC$641,8,0)</f>
        <v>ТЛ-4</v>
      </c>
      <c r="F64" s="395" t="str">
        <f>VLOOKUP($C64,'ТР нефть'!$A$29:$GC$641,11,0)</f>
        <v>К-5914</v>
      </c>
      <c r="G64" s="392" t="str">
        <f>VLOOKUP($C64,'ТР нефть'!$A$29:$GC$641,47,0)</f>
        <v>Газлифт</v>
      </c>
      <c r="H64" s="396">
        <f>VLOOKUP($C64,'ТР нефть'!$A$29:$GC$641,135,0)</f>
        <v>18</v>
      </c>
      <c r="I64" s="397">
        <f>VLOOKUP($C64,'ТР нефть'!$A$29:$GC$641,136,0)</f>
        <v>32</v>
      </c>
      <c r="J64" s="397">
        <f>VLOOKUP($C64,'ТР нефть'!$A$29:$GC$641,137,0)</f>
        <v>56</v>
      </c>
      <c r="K64" s="397">
        <f>VLOOKUP($C64,'ТР нефть'!$A$29:$GC$641,138,0)</f>
        <v>31</v>
      </c>
      <c r="L64" s="397" t="str">
        <f>VLOOKUP($C64,'ТР нефть'!$A$29:$GC$641,139,0)</f>
        <v>Постоянный</v>
      </c>
      <c r="M64" s="397">
        <f>VLOOKUP($C64,'ТР нефть'!$A$29:$GC$641,140,0)</f>
        <v>24</v>
      </c>
      <c r="N64" s="397">
        <f>VLOOKUP($C64,'ТР нефть'!$A$29:$GC$641,141,0)</f>
        <v>0</v>
      </c>
      <c r="O64" s="398">
        <f>VLOOKUP($C64,'ТР нефть'!$A$29:$GC$641,142,0)</f>
        <v>18.224799999999998</v>
      </c>
      <c r="P64" s="399">
        <f>VLOOKUP($C64,'ТР нефть'!$A$29:$GC$641,143,0)</f>
        <v>21.8</v>
      </c>
      <c r="Q64" s="400">
        <f>VLOOKUP($C64,'ТР нефть'!$A$29:$GC$641,144,0)</f>
        <v>0</v>
      </c>
      <c r="R64" s="397">
        <f>VLOOKUP($C64,'ТР нефть'!$A$29:$GC$641,145,0)</f>
        <v>19</v>
      </c>
      <c r="S64" s="397">
        <f>VLOOKUP($C64,'ТР нефть'!$A$29:$GC$641,146,0)</f>
        <v>493.83257978139682</v>
      </c>
      <c r="T64" s="397">
        <f>VLOOKUP($C64,'ТР нефть'!$A$29:$GC$641,149,0)</f>
        <v>57</v>
      </c>
      <c r="U64" s="401">
        <f>VLOOKUP($C64,'ТР нефть'!$A$29:$GC$641,150,0)</f>
        <v>0.47391304347826091</v>
      </c>
      <c r="V64" s="402" t="str">
        <f>VLOOKUP($C64,'ТР нефть'!$A$29:$GC$641,47,0)</f>
        <v>Газлифт</v>
      </c>
      <c r="W64" s="396">
        <f>VLOOKUP($C64,'ТР нефть'!$A$29:$GC$641,74,0)</f>
        <v>18</v>
      </c>
      <c r="X64" s="397">
        <f>VLOOKUP($C64,'ТР нефть'!$A$29:$GC$641,79,0)</f>
        <v>34</v>
      </c>
      <c r="Y64" s="397">
        <f>VLOOKUP($C64,'ТР нефть'!$A$29:$GC$641,80,0)</f>
        <v>56</v>
      </c>
      <c r="Z64" s="397">
        <f>VLOOKUP($C64,'ТР нефть'!$A$29:$GC$641,81,0)</f>
        <v>33</v>
      </c>
      <c r="AA64" s="397" t="str">
        <f>VLOOKUP($C64,'ТР нефть'!$A$29:$GC$641,76,0)</f>
        <v>Постоянный</v>
      </c>
      <c r="AB64" s="397">
        <f>VLOOKUP($C64,'ТР нефть'!$A$29:$GC$641,77,0)</f>
        <v>24</v>
      </c>
      <c r="AC64" s="397">
        <f>VLOOKUP($C64,'ТР нефть'!$A$29:$GC$641,78,0)</f>
        <v>0</v>
      </c>
      <c r="AD64" s="398">
        <f>VLOOKUP($C64,'ТР нефть'!$A$29:$GC$641,93,0)</f>
        <v>16.72</v>
      </c>
      <c r="AE64" s="399">
        <f>VLOOKUP($C64,'ТР нефть'!$A$29:$GC$641,94,0)</f>
        <v>20</v>
      </c>
      <c r="AF64" s="400">
        <f>VLOOKUP($C64,'ТР нефть'!$A$29:$GC$641,95,0)</f>
        <v>0</v>
      </c>
      <c r="AG64" s="397">
        <f>VLOOKUP($C64,'ТР нефть'!$A$29:$GC$641,99,0)</f>
        <v>8</v>
      </c>
      <c r="AH64" s="397">
        <f>VLOOKUP($C64,'ТР нефть'!$A$29:$GC$641,100,0)</f>
        <v>478.46889952153111</v>
      </c>
      <c r="AI64" s="397">
        <f>VLOOKUP($C64,'ТР нефть'!$A$29:$GC$641,92,0)</f>
        <v>55</v>
      </c>
      <c r="AJ64" s="403">
        <f>VLOOKUP($C64,'ТР нефть'!$A$29:$GC$641,102,0)</f>
        <v>0.41666666666666669</v>
      </c>
      <c r="AK64" s="404">
        <f t="shared" si="5"/>
        <v>0</v>
      </c>
      <c r="AL64" s="397">
        <f t="shared" si="5"/>
        <v>2</v>
      </c>
      <c r="AM64" s="397">
        <f t="shared" si="5"/>
        <v>0</v>
      </c>
      <c r="AN64" s="397">
        <f t="shared" si="5"/>
        <v>2</v>
      </c>
      <c r="AO64" s="397">
        <f t="shared" si="6"/>
        <v>0</v>
      </c>
      <c r="AP64" s="397">
        <f t="shared" si="6"/>
        <v>0</v>
      </c>
      <c r="AQ64" s="405">
        <f t="shared" si="6"/>
        <v>-1.5047999999999995</v>
      </c>
      <c r="AR64" s="416">
        <f t="shared" si="6"/>
        <v>-1.8000000000000007</v>
      </c>
      <c r="AS64" s="400">
        <f t="shared" si="6"/>
        <v>0</v>
      </c>
      <c r="AT64" s="397">
        <f t="shared" si="6"/>
        <v>-11</v>
      </c>
      <c r="AU64" s="397">
        <f t="shared" si="6"/>
        <v>-15.363680259865703</v>
      </c>
      <c r="AV64" s="397">
        <f t="shared" si="6"/>
        <v>-2</v>
      </c>
      <c r="AW64" s="406">
        <f t="shared" si="6"/>
        <v>-5.7246376811594224E-2</v>
      </c>
      <c r="AX64" s="392" t="str">
        <f>VLOOKUP($C64,'ТР нефть'!$A$29:$GC$641,182,0)</f>
        <v>ИПП БАЗА</v>
      </c>
      <c r="AY64" s="406" t="str">
        <f>VLOOKUP($C64,'ТР нефть'!$A$29:$GC$641,183,0)</f>
        <v>Снижение энергетики пласта что подтверждается дебитом и изменением Рзаб</v>
      </c>
      <c r="AZ64" s="407">
        <f t="shared" si="7"/>
        <v>16.72</v>
      </c>
      <c r="BA64" s="408">
        <f t="shared" si="7"/>
        <v>20</v>
      </c>
      <c r="BB64" s="397">
        <f t="shared" si="7"/>
        <v>0</v>
      </c>
      <c r="BC64" s="409"/>
      <c r="BD64" s="410"/>
    </row>
    <row r="65" spans="1:56" ht="40.5" hidden="1" customHeight="1" outlineLevel="1" thickBot="1" x14ac:dyDescent="0.3">
      <c r="A65" s="373"/>
      <c r="B65" s="424">
        <f>SUBTOTAL(3,$C$40:C65)</f>
        <v>26</v>
      </c>
      <c r="C65" s="425">
        <v>6906</v>
      </c>
      <c r="D65" s="426" t="str">
        <f>VLOOKUP($C65,'ТР нефть'!$A$29:$GC$641,5,0)</f>
        <v>ВУ ОНГКМ</v>
      </c>
      <c r="E65" s="426" t="str">
        <f>VLOOKUP($C65,'ТР нефть'!$A$29:$GC$641,8,0)</f>
        <v>ТЛ-4</v>
      </c>
      <c r="F65" s="427" t="str">
        <f>VLOOKUP($C65,'ТР нефть'!$A$29:$GC$641,11,0)</f>
        <v>К-6909</v>
      </c>
      <c r="G65" s="424" t="str">
        <f>VLOOKUP($C65,'ТР нефть'!$A$29:$GC$641,47,0)</f>
        <v>Газлифт</v>
      </c>
      <c r="H65" s="428">
        <f>VLOOKUP($C65,'ТР нефть'!$A$29:$GC$641,135,0)</f>
        <v>12</v>
      </c>
      <c r="I65" s="429">
        <f>VLOOKUP($C65,'ТР нефть'!$A$29:$GC$641,136,0)</f>
        <v>32</v>
      </c>
      <c r="J65" s="429">
        <f>VLOOKUP($C65,'ТР нефть'!$A$29:$GC$641,137,0)</f>
        <v>48</v>
      </c>
      <c r="K65" s="429">
        <f>VLOOKUP($C65,'ТР нефть'!$A$29:$GC$641,138,0)</f>
        <v>31</v>
      </c>
      <c r="L65" s="429" t="str">
        <f>VLOOKUP($C65,'ТР нефть'!$A$29:$GC$641,139,0)</f>
        <v>Постоянный</v>
      </c>
      <c r="M65" s="429">
        <f>VLOOKUP($C65,'ТР нефть'!$A$29:$GC$641,140,0)</f>
        <v>24</v>
      </c>
      <c r="N65" s="429">
        <f>VLOOKUP($C65,'ТР нефть'!$A$29:$GC$641,141,0)</f>
        <v>0</v>
      </c>
      <c r="O65" s="430">
        <f>VLOOKUP($C65,'ТР нефть'!$A$29:$GC$641,142,0)</f>
        <v>15.121568</v>
      </c>
      <c r="P65" s="431">
        <f>VLOOKUP($C65,'ТР нефть'!$A$29:$GC$641,143,0)</f>
        <v>19</v>
      </c>
      <c r="Q65" s="432">
        <f>VLOOKUP($C65,'ТР нефть'!$A$29:$GC$641,144,0)</f>
        <v>4.8</v>
      </c>
      <c r="R65" s="429">
        <f>VLOOKUP($C65,'ТР нефть'!$A$29:$GC$641,145,0)</f>
        <v>23</v>
      </c>
      <c r="S65" s="429">
        <f>VLOOKUP($C65,'ТР нефть'!$A$29:$GC$641,146,0)</f>
        <v>1521.006287178684</v>
      </c>
      <c r="T65" s="429">
        <f>VLOOKUP($C65,'ТР нефть'!$A$29:$GC$641,149,0)</f>
        <v>56</v>
      </c>
      <c r="U65" s="433">
        <f>VLOOKUP($C65,'ТР нефть'!$A$29:$GC$641,150,0)</f>
        <v>0.61093247588424449</v>
      </c>
      <c r="V65" s="434" t="str">
        <f>VLOOKUP($C65,'ТР нефть'!$A$29:$GC$641,47,0)</f>
        <v>Газлифт</v>
      </c>
      <c r="W65" s="428">
        <f>VLOOKUP($C65,'ТР нефть'!$A$29:$GC$641,74,0)</f>
        <v>12</v>
      </c>
      <c r="X65" s="429">
        <f>VLOOKUP($C65,'ТР нефть'!$A$29:$GC$641,79,0)</f>
        <v>31</v>
      </c>
      <c r="Y65" s="429">
        <f>VLOOKUP($C65,'ТР нефть'!$A$29:$GC$641,80,0)</f>
        <v>51</v>
      </c>
      <c r="Z65" s="429">
        <f>VLOOKUP($C65,'ТР нефть'!$A$29:$GC$641,81,0)</f>
        <v>28</v>
      </c>
      <c r="AA65" s="429" t="str">
        <f>VLOOKUP($C65,'ТР нефть'!$A$29:$GC$641,76,0)</f>
        <v>Постоянный</v>
      </c>
      <c r="AB65" s="429">
        <f>VLOOKUP($C65,'ТР нефть'!$A$29:$GC$641,77,0)</f>
        <v>24</v>
      </c>
      <c r="AC65" s="429">
        <f>VLOOKUP($C65,'ТР нефть'!$A$29:$GC$641,78,0)</f>
        <v>0</v>
      </c>
      <c r="AD65" s="430">
        <f>VLOOKUP($C65,'ТР нефть'!$A$29:$GC$641,93,0)</f>
        <v>13.600883999999999</v>
      </c>
      <c r="AE65" s="431">
        <f>VLOOKUP($C65,'ТР нефть'!$A$29:$GC$641,94,0)</f>
        <v>17</v>
      </c>
      <c r="AF65" s="432">
        <f>VLOOKUP($C65,'ТР нефть'!$A$29:$GC$641,95,0)</f>
        <v>4.3</v>
      </c>
      <c r="AG65" s="429">
        <f>VLOOKUP($C65,'ТР нефть'!$A$29:$GC$641,99,0)</f>
        <v>13.4</v>
      </c>
      <c r="AH65" s="429">
        <f>VLOOKUP($C65,'ТР нефть'!$A$29:$GC$641,100,0)</f>
        <v>985.23007769200888</v>
      </c>
      <c r="AI65" s="429">
        <f>VLOOKUP($C65,'ТР нефть'!$A$29:$GC$641,92,0)</f>
        <v>54</v>
      </c>
      <c r="AJ65" s="435">
        <f>VLOOKUP($C65,'ТР нефть'!$A$29:$GC$641,102,0)</f>
        <v>0.51359516616314205</v>
      </c>
      <c r="AK65" s="436">
        <f t="shared" si="5"/>
        <v>0</v>
      </c>
      <c r="AL65" s="429">
        <f t="shared" si="5"/>
        <v>-1</v>
      </c>
      <c r="AM65" s="429">
        <f t="shared" si="5"/>
        <v>3</v>
      </c>
      <c r="AN65" s="429">
        <f t="shared" si="5"/>
        <v>-3</v>
      </c>
      <c r="AO65" s="429">
        <f t="shared" si="6"/>
        <v>0</v>
      </c>
      <c r="AP65" s="429">
        <f t="shared" si="6"/>
        <v>0</v>
      </c>
      <c r="AQ65" s="437">
        <f t="shared" si="6"/>
        <v>-1.520684000000001</v>
      </c>
      <c r="AR65" s="438">
        <f t="shared" si="6"/>
        <v>-2</v>
      </c>
      <c r="AS65" s="432">
        <f t="shared" si="6"/>
        <v>-0.5</v>
      </c>
      <c r="AT65" s="429">
        <f t="shared" si="6"/>
        <v>-9.6</v>
      </c>
      <c r="AU65" s="429">
        <f t="shared" si="6"/>
        <v>-535.77620948667516</v>
      </c>
      <c r="AV65" s="429">
        <f t="shared" si="6"/>
        <v>-2</v>
      </c>
      <c r="AW65" s="439">
        <f t="shared" si="6"/>
        <v>-9.7337309721102439E-2</v>
      </c>
      <c r="AX65" s="424" t="str">
        <f>VLOOKUP($C65,'ТР нефть'!$A$29:$GC$641,182,0)</f>
        <v>ИПП База</v>
      </c>
      <c r="AY65" s="439" t="str">
        <f>VLOOKUP($C65,'ТР нефть'!$A$29:$GC$641,183,0)</f>
        <v>Снижение энергетики пласта что подтверждается дебитом и изменением Рзаб</v>
      </c>
      <c r="AZ65" s="440">
        <f t="shared" si="7"/>
        <v>13.600883999999999</v>
      </c>
      <c r="BA65" s="441">
        <f t="shared" si="7"/>
        <v>17</v>
      </c>
      <c r="BB65" s="429">
        <f t="shared" si="7"/>
        <v>4.3</v>
      </c>
      <c r="BC65" s="442"/>
      <c r="BD65" s="443"/>
    </row>
    <row r="66" spans="1:56" ht="40.5" hidden="1" customHeight="1" outlineLevel="1" x14ac:dyDescent="0.25">
      <c r="A66" s="373"/>
      <c r="B66" s="444">
        <f>SUBTOTAL(3,$C$40:C66)</f>
        <v>26</v>
      </c>
      <c r="C66" s="445"/>
      <c r="D66" s="446"/>
      <c r="E66" s="446"/>
      <c r="F66" s="447"/>
      <c r="G66" s="444"/>
      <c r="H66" s="448"/>
      <c r="I66" s="449"/>
      <c r="J66" s="449"/>
      <c r="K66" s="449"/>
      <c r="L66" s="449"/>
      <c r="M66" s="449"/>
      <c r="N66" s="449"/>
      <c r="O66" s="450"/>
      <c r="P66" s="451"/>
      <c r="Q66" s="452"/>
      <c r="R66" s="449"/>
      <c r="S66" s="449"/>
      <c r="T66" s="449"/>
      <c r="U66" s="453"/>
      <c r="V66" s="454"/>
      <c r="W66" s="448"/>
      <c r="X66" s="449"/>
      <c r="Y66" s="449"/>
      <c r="Z66" s="449"/>
      <c r="AA66" s="449"/>
      <c r="AB66" s="449"/>
      <c r="AC66" s="449"/>
      <c r="AD66" s="450"/>
      <c r="AE66" s="451"/>
      <c r="AF66" s="452"/>
      <c r="AG66" s="449"/>
      <c r="AH66" s="449"/>
      <c r="AI66" s="449"/>
      <c r="AJ66" s="455"/>
      <c r="AK66" s="456"/>
      <c r="AL66" s="449"/>
      <c r="AM66" s="449"/>
      <c r="AN66" s="449"/>
      <c r="AO66" s="449"/>
      <c r="AP66" s="449"/>
      <c r="AQ66" s="450"/>
      <c r="AR66" s="451"/>
      <c r="AS66" s="452"/>
      <c r="AT66" s="449"/>
      <c r="AU66" s="449"/>
      <c r="AV66" s="449"/>
      <c r="AW66" s="457"/>
      <c r="AX66" s="444"/>
      <c r="AY66" s="457"/>
      <c r="AZ66" s="458"/>
      <c r="BA66" s="459"/>
      <c r="BB66" s="449"/>
      <c r="BC66" s="460"/>
      <c r="BD66" s="461"/>
    </row>
    <row r="67" spans="1:56" ht="40.5" hidden="1" customHeight="1" outlineLevel="1" x14ac:dyDescent="0.25">
      <c r="A67" s="373"/>
      <c r="B67" s="392">
        <f>SUBTOTAL(3,$C$40:C67)</f>
        <v>26</v>
      </c>
      <c r="C67" s="423"/>
      <c r="D67" s="394"/>
      <c r="E67" s="394"/>
      <c r="F67" s="462"/>
      <c r="G67" s="392"/>
      <c r="H67" s="396"/>
      <c r="I67" s="397"/>
      <c r="J67" s="397"/>
      <c r="K67" s="397"/>
      <c r="L67" s="397"/>
      <c r="M67" s="397"/>
      <c r="N67" s="397"/>
      <c r="O67" s="398"/>
      <c r="P67" s="399"/>
      <c r="Q67" s="400"/>
      <c r="R67" s="397"/>
      <c r="S67" s="397"/>
      <c r="T67" s="397"/>
      <c r="U67" s="401"/>
      <c r="V67" s="402"/>
      <c r="W67" s="396"/>
      <c r="X67" s="397"/>
      <c r="Y67" s="397"/>
      <c r="Z67" s="397"/>
      <c r="AA67" s="397"/>
      <c r="AB67" s="397"/>
      <c r="AC67" s="397"/>
      <c r="AD67" s="398"/>
      <c r="AE67" s="399"/>
      <c r="AF67" s="400"/>
      <c r="AG67" s="397"/>
      <c r="AH67" s="397"/>
      <c r="AI67" s="397"/>
      <c r="AJ67" s="403"/>
      <c r="AK67" s="404"/>
      <c r="AL67" s="397"/>
      <c r="AM67" s="397"/>
      <c r="AN67" s="397"/>
      <c r="AO67" s="397"/>
      <c r="AP67" s="397"/>
      <c r="AQ67" s="398"/>
      <c r="AR67" s="399"/>
      <c r="AS67" s="400"/>
      <c r="AT67" s="397"/>
      <c r="AU67" s="397"/>
      <c r="AV67" s="397"/>
      <c r="AW67" s="406"/>
      <c r="AX67" s="392"/>
      <c r="AY67" s="406"/>
      <c r="AZ67" s="463"/>
      <c r="BA67" s="408"/>
      <c r="BB67" s="397"/>
      <c r="BC67" s="409"/>
      <c r="BD67" s="410"/>
    </row>
    <row r="68" spans="1:56" ht="40.5" hidden="1" customHeight="1" outlineLevel="1" thickBot="1" x14ac:dyDescent="0.3">
      <c r="A68" s="373"/>
      <c r="B68" s="424">
        <f>SUBTOTAL(3,$C$40:C68)</f>
        <v>26</v>
      </c>
      <c r="C68" s="464"/>
      <c r="D68" s="426"/>
      <c r="E68" s="426"/>
      <c r="F68" s="465"/>
      <c r="G68" s="424"/>
      <c r="H68" s="428"/>
      <c r="I68" s="429"/>
      <c r="J68" s="429"/>
      <c r="K68" s="429"/>
      <c r="L68" s="429"/>
      <c r="M68" s="429"/>
      <c r="N68" s="429"/>
      <c r="O68" s="430"/>
      <c r="P68" s="431"/>
      <c r="Q68" s="432"/>
      <c r="R68" s="429"/>
      <c r="S68" s="429"/>
      <c r="T68" s="429"/>
      <c r="U68" s="433"/>
      <c r="V68" s="434"/>
      <c r="W68" s="428"/>
      <c r="X68" s="429"/>
      <c r="Y68" s="429"/>
      <c r="Z68" s="429"/>
      <c r="AA68" s="429"/>
      <c r="AB68" s="429"/>
      <c r="AC68" s="429"/>
      <c r="AD68" s="430"/>
      <c r="AE68" s="431"/>
      <c r="AF68" s="432"/>
      <c r="AG68" s="429"/>
      <c r="AH68" s="429"/>
      <c r="AI68" s="429"/>
      <c r="AJ68" s="435"/>
      <c r="AK68" s="436"/>
      <c r="AL68" s="429"/>
      <c r="AM68" s="429"/>
      <c r="AN68" s="429"/>
      <c r="AO68" s="429"/>
      <c r="AP68" s="429"/>
      <c r="AQ68" s="430"/>
      <c r="AR68" s="431"/>
      <c r="AS68" s="432"/>
      <c r="AT68" s="429"/>
      <c r="AU68" s="429"/>
      <c r="AV68" s="429"/>
      <c r="AW68" s="439"/>
      <c r="AX68" s="424"/>
      <c r="AY68" s="439"/>
      <c r="AZ68" s="466"/>
      <c r="BA68" s="441"/>
      <c r="BB68" s="429"/>
      <c r="BC68" s="442"/>
      <c r="BD68" s="443"/>
    </row>
    <row r="69" spans="1:56" ht="40.5" hidden="1" customHeight="1" outlineLevel="1" thickBot="1" x14ac:dyDescent="0.3">
      <c r="A69" s="373"/>
      <c r="B69" s="467"/>
      <c r="C69" s="468"/>
      <c r="D69" s="469"/>
      <c r="E69" s="469"/>
      <c r="F69" s="470"/>
      <c r="G69" s="467"/>
      <c r="H69" s="471"/>
      <c r="I69" s="472"/>
      <c r="J69" s="472"/>
      <c r="K69" s="472"/>
      <c r="L69" s="472"/>
      <c r="M69" s="472"/>
      <c r="N69" s="472"/>
      <c r="O69" s="473"/>
      <c r="P69" s="474"/>
      <c r="Q69" s="475"/>
      <c r="R69" s="472"/>
      <c r="S69" s="472"/>
      <c r="T69" s="472"/>
      <c r="U69" s="476"/>
      <c r="V69" s="477"/>
      <c r="W69" s="471"/>
      <c r="X69" s="472"/>
      <c r="Y69" s="472"/>
      <c r="Z69" s="472"/>
      <c r="AA69" s="472"/>
      <c r="AB69" s="472"/>
      <c r="AC69" s="472"/>
      <c r="AD69" s="473"/>
      <c r="AE69" s="474"/>
      <c r="AF69" s="475"/>
      <c r="AG69" s="472"/>
      <c r="AH69" s="472"/>
      <c r="AI69" s="472"/>
      <c r="AJ69" s="478"/>
      <c r="AK69" s="479"/>
      <c r="AL69" s="472"/>
      <c r="AM69" s="472"/>
      <c r="AN69" s="472"/>
      <c r="AO69" s="472"/>
      <c r="AP69" s="472"/>
      <c r="AQ69" s="473"/>
      <c r="AR69" s="474"/>
      <c r="AS69" s="475"/>
      <c r="AT69" s="472"/>
      <c r="AU69" s="472"/>
      <c r="AV69" s="472"/>
      <c r="AW69" s="480"/>
      <c r="AX69" s="467"/>
      <c r="AY69" s="480"/>
      <c r="AZ69" s="481"/>
      <c r="BA69" s="482"/>
      <c r="BB69" s="472"/>
      <c r="BC69" s="483"/>
      <c r="BD69" s="484"/>
    </row>
    <row r="70" spans="1:56" ht="40.5" hidden="1" customHeight="1" outlineLevel="1" x14ac:dyDescent="0.25">
      <c r="A70" s="373"/>
      <c r="B70" s="444"/>
      <c r="C70" s="485"/>
      <c r="D70" s="446"/>
      <c r="E70" s="446"/>
      <c r="F70" s="447"/>
      <c r="G70" s="444"/>
      <c r="H70" s="448"/>
      <c r="I70" s="449"/>
      <c r="J70" s="449"/>
      <c r="K70" s="449"/>
      <c r="L70" s="449"/>
      <c r="M70" s="449"/>
      <c r="N70" s="449"/>
      <c r="O70" s="450"/>
      <c r="P70" s="451"/>
      <c r="Q70" s="452"/>
      <c r="R70" s="449"/>
      <c r="S70" s="449"/>
      <c r="T70" s="449"/>
      <c r="U70" s="453"/>
      <c r="V70" s="454"/>
      <c r="W70" s="448"/>
      <c r="X70" s="449"/>
      <c r="Y70" s="449"/>
      <c r="Z70" s="449"/>
      <c r="AA70" s="449"/>
      <c r="AB70" s="449"/>
      <c r="AC70" s="449"/>
      <c r="AD70" s="450"/>
      <c r="AE70" s="451"/>
      <c r="AF70" s="452"/>
      <c r="AG70" s="449"/>
      <c r="AH70" s="449"/>
      <c r="AI70" s="449"/>
      <c r="AJ70" s="455"/>
      <c r="AK70" s="456"/>
      <c r="AL70" s="449"/>
      <c r="AM70" s="449"/>
      <c r="AN70" s="449"/>
      <c r="AO70" s="449"/>
      <c r="AP70" s="449"/>
      <c r="AQ70" s="450"/>
      <c r="AR70" s="451"/>
      <c r="AS70" s="452"/>
      <c r="AT70" s="449"/>
      <c r="AU70" s="449"/>
      <c r="AV70" s="449"/>
      <c r="AW70" s="457"/>
      <c r="AX70" s="444"/>
      <c r="AY70" s="457"/>
      <c r="AZ70" s="458"/>
      <c r="BA70" s="459"/>
      <c r="BB70" s="449"/>
      <c r="BC70" s="460"/>
      <c r="BD70" s="461"/>
    </row>
    <row r="71" spans="1:56" ht="40.5" hidden="1" customHeight="1" outlineLevel="1" x14ac:dyDescent="0.25">
      <c r="A71" s="373"/>
      <c r="B71" s="392">
        <f>SUBTOTAL(3,$C$40:C71)</f>
        <v>26</v>
      </c>
      <c r="C71" s="393"/>
      <c r="D71" s="394"/>
      <c r="E71" s="394"/>
      <c r="F71" s="462"/>
      <c r="G71" s="392"/>
      <c r="H71" s="396"/>
      <c r="I71" s="397"/>
      <c r="J71" s="397"/>
      <c r="K71" s="397"/>
      <c r="L71" s="397"/>
      <c r="M71" s="397"/>
      <c r="N71" s="397"/>
      <c r="O71" s="398"/>
      <c r="P71" s="399"/>
      <c r="Q71" s="400"/>
      <c r="R71" s="397"/>
      <c r="S71" s="397"/>
      <c r="T71" s="397"/>
      <c r="U71" s="401"/>
      <c r="V71" s="402"/>
      <c r="W71" s="396"/>
      <c r="X71" s="397"/>
      <c r="Y71" s="397"/>
      <c r="Z71" s="397"/>
      <c r="AA71" s="397"/>
      <c r="AB71" s="397"/>
      <c r="AC71" s="397"/>
      <c r="AD71" s="398"/>
      <c r="AE71" s="399"/>
      <c r="AF71" s="400"/>
      <c r="AG71" s="397"/>
      <c r="AH71" s="397"/>
      <c r="AI71" s="397"/>
      <c r="AJ71" s="403"/>
      <c r="AK71" s="404"/>
      <c r="AL71" s="397"/>
      <c r="AM71" s="397"/>
      <c r="AN71" s="397"/>
      <c r="AO71" s="397"/>
      <c r="AP71" s="397"/>
      <c r="AQ71" s="398"/>
      <c r="AR71" s="399"/>
      <c r="AS71" s="400"/>
      <c r="AT71" s="397"/>
      <c r="AU71" s="397"/>
      <c r="AV71" s="397"/>
      <c r="AW71" s="406"/>
      <c r="AX71" s="392"/>
      <c r="AY71" s="406"/>
      <c r="AZ71" s="463"/>
      <c r="BA71" s="408"/>
      <c r="BB71" s="397"/>
      <c r="BC71" s="409"/>
      <c r="BD71" s="410"/>
    </row>
    <row r="72" spans="1:56" ht="40.5" hidden="1" customHeight="1" outlineLevel="1" x14ac:dyDescent="0.25">
      <c r="A72" s="373"/>
      <c r="B72" s="392">
        <f>SUBTOTAL(3,$C$40:C72)</f>
        <v>26</v>
      </c>
      <c r="C72" s="393"/>
      <c r="D72" s="394"/>
      <c r="E72" s="394"/>
      <c r="F72" s="462"/>
      <c r="G72" s="392"/>
      <c r="H72" s="396"/>
      <c r="I72" s="397"/>
      <c r="J72" s="397"/>
      <c r="K72" s="397"/>
      <c r="L72" s="397"/>
      <c r="M72" s="397"/>
      <c r="N72" s="397"/>
      <c r="O72" s="398"/>
      <c r="P72" s="399"/>
      <c r="Q72" s="400"/>
      <c r="R72" s="397"/>
      <c r="S72" s="397"/>
      <c r="T72" s="397"/>
      <c r="U72" s="401"/>
      <c r="V72" s="402"/>
      <c r="W72" s="396"/>
      <c r="X72" s="397"/>
      <c r="Y72" s="397"/>
      <c r="Z72" s="397"/>
      <c r="AA72" s="397"/>
      <c r="AB72" s="397"/>
      <c r="AC72" s="397"/>
      <c r="AD72" s="398"/>
      <c r="AE72" s="399"/>
      <c r="AF72" s="400"/>
      <c r="AG72" s="397"/>
      <c r="AH72" s="397"/>
      <c r="AI72" s="397"/>
      <c r="AJ72" s="403"/>
      <c r="AK72" s="404"/>
      <c r="AL72" s="397"/>
      <c r="AM72" s="397"/>
      <c r="AN72" s="397"/>
      <c r="AO72" s="397"/>
      <c r="AP72" s="397"/>
      <c r="AQ72" s="398"/>
      <c r="AR72" s="399"/>
      <c r="AS72" s="400"/>
      <c r="AT72" s="397"/>
      <c r="AU72" s="397"/>
      <c r="AV72" s="397"/>
      <c r="AW72" s="406"/>
      <c r="AX72" s="392"/>
      <c r="AY72" s="406"/>
      <c r="AZ72" s="463"/>
      <c r="BA72" s="408"/>
      <c r="BB72" s="397"/>
      <c r="BC72" s="409"/>
      <c r="BD72" s="410"/>
    </row>
    <row r="73" spans="1:56" ht="40.5" hidden="1" customHeight="1" outlineLevel="1" x14ac:dyDescent="0.25">
      <c r="A73" s="373"/>
      <c r="B73" s="392">
        <f>SUBTOTAL(3,$C$40:C73)</f>
        <v>26</v>
      </c>
      <c r="C73" s="393"/>
      <c r="D73" s="394"/>
      <c r="E73" s="394"/>
      <c r="F73" s="462"/>
      <c r="G73" s="392"/>
      <c r="H73" s="396"/>
      <c r="I73" s="397"/>
      <c r="J73" s="397"/>
      <c r="K73" s="397"/>
      <c r="L73" s="397"/>
      <c r="M73" s="397"/>
      <c r="N73" s="397"/>
      <c r="O73" s="398"/>
      <c r="P73" s="399"/>
      <c r="Q73" s="400"/>
      <c r="R73" s="397"/>
      <c r="S73" s="397"/>
      <c r="T73" s="397"/>
      <c r="U73" s="401"/>
      <c r="V73" s="402"/>
      <c r="W73" s="396"/>
      <c r="X73" s="397"/>
      <c r="Y73" s="397"/>
      <c r="Z73" s="397"/>
      <c r="AA73" s="397"/>
      <c r="AB73" s="397"/>
      <c r="AC73" s="397"/>
      <c r="AD73" s="398"/>
      <c r="AE73" s="399"/>
      <c r="AF73" s="400"/>
      <c r="AG73" s="397"/>
      <c r="AH73" s="397"/>
      <c r="AI73" s="397"/>
      <c r="AJ73" s="403"/>
      <c r="AK73" s="404"/>
      <c r="AL73" s="397"/>
      <c r="AM73" s="397"/>
      <c r="AN73" s="397"/>
      <c r="AO73" s="397"/>
      <c r="AP73" s="397"/>
      <c r="AQ73" s="398"/>
      <c r="AR73" s="399"/>
      <c r="AS73" s="400"/>
      <c r="AT73" s="397"/>
      <c r="AU73" s="397"/>
      <c r="AV73" s="397"/>
      <c r="AW73" s="406"/>
      <c r="AX73" s="392"/>
      <c r="AY73" s="406"/>
      <c r="AZ73" s="463"/>
      <c r="BA73" s="408"/>
      <c r="BB73" s="397"/>
      <c r="BC73" s="409"/>
      <c r="BD73" s="410"/>
    </row>
    <row r="74" spans="1:56" ht="40.5" hidden="1" customHeight="1" outlineLevel="1" x14ac:dyDescent="0.25">
      <c r="A74" s="373"/>
      <c r="B74" s="392">
        <f>SUBTOTAL(3,$C$40:C74)</f>
        <v>26</v>
      </c>
      <c r="C74" s="393"/>
      <c r="D74" s="394"/>
      <c r="E74" s="394"/>
      <c r="F74" s="462"/>
      <c r="G74" s="392"/>
      <c r="H74" s="396"/>
      <c r="I74" s="397"/>
      <c r="J74" s="397"/>
      <c r="K74" s="397"/>
      <c r="L74" s="397"/>
      <c r="M74" s="397"/>
      <c r="N74" s="397"/>
      <c r="O74" s="398"/>
      <c r="P74" s="399"/>
      <c r="Q74" s="400"/>
      <c r="R74" s="397"/>
      <c r="S74" s="397"/>
      <c r="T74" s="397"/>
      <c r="U74" s="401"/>
      <c r="V74" s="402"/>
      <c r="W74" s="396"/>
      <c r="X74" s="397"/>
      <c r="Y74" s="397"/>
      <c r="Z74" s="397"/>
      <c r="AA74" s="397"/>
      <c r="AB74" s="397"/>
      <c r="AC74" s="397"/>
      <c r="AD74" s="398"/>
      <c r="AE74" s="399"/>
      <c r="AF74" s="400"/>
      <c r="AG74" s="397"/>
      <c r="AH74" s="397"/>
      <c r="AI74" s="397"/>
      <c r="AJ74" s="403"/>
      <c r="AK74" s="404"/>
      <c r="AL74" s="397"/>
      <c r="AM74" s="397"/>
      <c r="AN74" s="397"/>
      <c r="AO74" s="397"/>
      <c r="AP74" s="397"/>
      <c r="AQ74" s="398"/>
      <c r="AR74" s="399"/>
      <c r="AS74" s="400"/>
      <c r="AT74" s="397"/>
      <c r="AU74" s="397"/>
      <c r="AV74" s="397"/>
      <c r="AW74" s="406"/>
      <c r="AX74" s="392"/>
      <c r="AY74" s="406"/>
      <c r="AZ74" s="463"/>
      <c r="BA74" s="408"/>
      <c r="BB74" s="397"/>
      <c r="BC74" s="409"/>
      <c r="BD74" s="410"/>
    </row>
    <row r="75" spans="1:56" ht="40.5" hidden="1" customHeight="1" outlineLevel="1" x14ac:dyDescent="0.25">
      <c r="A75" s="373"/>
      <c r="B75" s="392">
        <f>SUBTOTAL(3,$C$40:C75)</f>
        <v>26</v>
      </c>
      <c r="C75" s="393"/>
      <c r="D75" s="394"/>
      <c r="E75" s="394"/>
      <c r="F75" s="462"/>
      <c r="G75" s="392"/>
      <c r="H75" s="396"/>
      <c r="I75" s="397"/>
      <c r="J75" s="397"/>
      <c r="K75" s="397"/>
      <c r="L75" s="397"/>
      <c r="M75" s="397"/>
      <c r="N75" s="397"/>
      <c r="O75" s="398"/>
      <c r="P75" s="399"/>
      <c r="Q75" s="400"/>
      <c r="R75" s="397"/>
      <c r="S75" s="397"/>
      <c r="T75" s="397"/>
      <c r="U75" s="401"/>
      <c r="V75" s="402"/>
      <c r="W75" s="396"/>
      <c r="X75" s="397"/>
      <c r="Y75" s="397"/>
      <c r="Z75" s="397"/>
      <c r="AA75" s="397"/>
      <c r="AB75" s="397"/>
      <c r="AC75" s="397"/>
      <c r="AD75" s="398"/>
      <c r="AE75" s="399"/>
      <c r="AF75" s="400"/>
      <c r="AG75" s="397"/>
      <c r="AH75" s="397"/>
      <c r="AI75" s="397"/>
      <c r="AJ75" s="403"/>
      <c r="AK75" s="404"/>
      <c r="AL75" s="397"/>
      <c r="AM75" s="397"/>
      <c r="AN75" s="397"/>
      <c r="AO75" s="397"/>
      <c r="AP75" s="397"/>
      <c r="AQ75" s="398"/>
      <c r="AR75" s="399"/>
      <c r="AS75" s="400"/>
      <c r="AT75" s="397"/>
      <c r="AU75" s="397"/>
      <c r="AV75" s="397"/>
      <c r="AW75" s="406"/>
      <c r="AX75" s="392"/>
      <c r="AY75" s="406"/>
      <c r="AZ75" s="463"/>
      <c r="BA75" s="408"/>
      <c r="BB75" s="397"/>
      <c r="BC75" s="409"/>
      <c r="BD75" s="410"/>
    </row>
    <row r="76" spans="1:56" ht="36.75" hidden="1" customHeight="1" outlineLevel="1" x14ac:dyDescent="0.25">
      <c r="A76" s="373"/>
      <c r="B76" s="392">
        <f>SUBTOTAL(3,$C$40:C76)</f>
        <v>26</v>
      </c>
      <c r="C76" s="393"/>
      <c r="D76" s="394"/>
      <c r="E76" s="394"/>
      <c r="F76" s="462"/>
      <c r="G76" s="392"/>
      <c r="H76" s="396"/>
      <c r="I76" s="397"/>
      <c r="J76" s="397"/>
      <c r="K76" s="397"/>
      <c r="L76" s="397"/>
      <c r="M76" s="397"/>
      <c r="N76" s="397"/>
      <c r="O76" s="398"/>
      <c r="P76" s="399"/>
      <c r="Q76" s="400"/>
      <c r="R76" s="397"/>
      <c r="S76" s="397"/>
      <c r="T76" s="397"/>
      <c r="U76" s="401"/>
      <c r="V76" s="402"/>
      <c r="W76" s="396"/>
      <c r="X76" s="397"/>
      <c r="Y76" s="397"/>
      <c r="Z76" s="397"/>
      <c r="AA76" s="397"/>
      <c r="AB76" s="397"/>
      <c r="AC76" s="397"/>
      <c r="AD76" s="398"/>
      <c r="AE76" s="399"/>
      <c r="AF76" s="400"/>
      <c r="AG76" s="397"/>
      <c r="AH76" s="397"/>
      <c r="AI76" s="397"/>
      <c r="AJ76" s="403"/>
      <c r="AK76" s="404"/>
      <c r="AL76" s="397"/>
      <c r="AM76" s="397"/>
      <c r="AN76" s="397"/>
      <c r="AO76" s="397"/>
      <c r="AP76" s="397"/>
      <c r="AQ76" s="398"/>
      <c r="AR76" s="399"/>
      <c r="AS76" s="400"/>
      <c r="AT76" s="397"/>
      <c r="AU76" s="397"/>
      <c r="AV76" s="397"/>
      <c r="AW76" s="406"/>
      <c r="AX76" s="392"/>
      <c r="AY76" s="406"/>
      <c r="AZ76" s="463"/>
      <c r="BA76" s="408"/>
      <c r="BB76" s="397"/>
      <c r="BC76" s="409"/>
      <c r="BD76" s="410"/>
    </row>
    <row r="77" spans="1:56" ht="36.75" hidden="1" customHeight="1" outlineLevel="1" x14ac:dyDescent="0.25">
      <c r="A77" s="373"/>
      <c r="B77" s="392">
        <f>SUBTOTAL(3,$C$40:C77)</f>
        <v>26</v>
      </c>
      <c r="C77" s="393"/>
      <c r="D77" s="394"/>
      <c r="E77" s="394"/>
      <c r="F77" s="462"/>
      <c r="G77" s="392"/>
      <c r="H77" s="396"/>
      <c r="I77" s="397"/>
      <c r="J77" s="397"/>
      <c r="K77" s="397"/>
      <c r="L77" s="397"/>
      <c r="M77" s="397"/>
      <c r="N77" s="397"/>
      <c r="O77" s="398"/>
      <c r="P77" s="399"/>
      <c r="Q77" s="400"/>
      <c r="R77" s="397"/>
      <c r="S77" s="397"/>
      <c r="T77" s="397"/>
      <c r="U77" s="401"/>
      <c r="V77" s="402"/>
      <c r="W77" s="396"/>
      <c r="X77" s="397"/>
      <c r="Y77" s="397"/>
      <c r="Z77" s="397"/>
      <c r="AA77" s="397"/>
      <c r="AB77" s="397"/>
      <c r="AC77" s="397"/>
      <c r="AD77" s="398"/>
      <c r="AE77" s="399"/>
      <c r="AF77" s="400"/>
      <c r="AG77" s="397"/>
      <c r="AH77" s="397"/>
      <c r="AI77" s="397"/>
      <c r="AJ77" s="403"/>
      <c r="AK77" s="404"/>
      <c r="AL77" s="397"/>
      <c r="AM77" s="397"/>
      <c r="AN77" s="397"/>
      <c r="AO77" s="397"/>
      <c r="AP77" s="397"/>
      <c r="AQ77" s="398"/>
      <c r="AR77" s="399"/>
      <c r="AS77" s="400"/>
      <c r="AT77" s="397"/>
      <c r="AU77" s="397"/>
      <c r="AV77" s="397"/>
      <c r="AW77" s="406"/>
      <c r="AX77" s="392"/>
      <c r="AY77" s="406"/>
      <c r="AZ77" s="463"/>
      <c r="BA77" s="408"/>
      <c r="BB77" s="397"/>
      <c r="BC77" s="409"/>
      <c r="BD77" s="410"/>
    </row>
    <row r="78" spans="1:56" ht="36.75" hidden="1" customHeight="1" outlineLevel="1" x14ac:dyDescent="0.25">
      <c r="A78" s="373"/>
      <c r="B78" s="392">
        <f>SUBTOTAL(3,$C$40:C78)</f>
        <v>26</v>
      </c>
      <c r="C78" s="393"/>
      <c r="D78" s="394"/>
      <c r="E78" s="394"/>
      <c r="F78" s="462"/>
      <c r="G78" s="392"/>
      <c r="H78" s="396"/>
      <c r="I78" s="397"/>
      <c r="J78" s="397"/>
      <c r="K78" s="397"/>
      <c r="L78" s="397"/>
      <c r="M78" s="397"/>
      <c r="N78" s="397"/>
      <c r="O78" s="398"/>
      <c r="P78" s="399"/>
      <c r="Q78" s="400"/>
      <c r="R78" s="397"/>
      <c r="S78" s="397"/>
      <c r="T78" s="397"/>
      <c r="U78" s="401"/>
      <c r="V78" s="402"/>
      <c r="W78" s="396"/>
      <c r="X78" s="397"/>
      <c r="Y78" s="397"/>
      <c r="Z78" s="397"/>
      <c r="AA78" s="397"/>
      <c r="AB78" s="397"/>
      <c r="AC78" s="397"/>
      <c r="AD78" s="398"/>
      <c r="AE78" s="399"/>
      <c r="AF78" s="400"/>
      <c r="AG78" s="397"/>
      <c r="AH78" s="397"/>
      <c r="AI78" s="397"/>
      <c r="AJ78" s="403"/>
      <c r="AK78" s="404"/>
      <c r="AL78" s="397"/>
      <c r="AM78" s="397"/>
      <c r="AN78" s="397"/>
      <c r="AO78" s="397"/>
      <c r="AP78" s="397"/>
      <c r="AQ78" s="398"/>
      <c r="AR78" s="399"/>
      <c r="AS78" s="400"/>
      <c r="AT78" s="397"/>
      <c r="AU78" s="397"/>
      <c r="AV78" s="397"/>
      <c r="AW78" s="406"/>
      <c r="AX78" s="392"/>
      <c r="AY78" s="406"/>
      <c r="AZ78" s="463"/>
      <c r="BA78" s="408"/>
      <c r="BB78" s="397"/>
      <c r="BC78" s="409"/>
      <c r="BD78" s="410"/>
    </row>
    <row r="79" spans="1:56" ht="36.75" hidden="1" customHeight="1" outlineLevel="1" x14ac:dyDescent="0.25">
      <c r="A79" s="373"/>
      <c r="B79" s="392">
        <f>SUBTOTAL(3,$C$40:C79)</f>
        <v>26</v>
      </c>
      <c r="C79" s="393"/>
      <c r="D79" s="394"/>
      <c r="E79" s="394"/>
      <c r="F79" s="462"/>
      <c r="G79" s="392"/>
      <c r="H79" s="396"/>
      <c r="I79" s="397"/>
      <c r="J79" s="397"/>
      <c r="K79" s="397"/>
      <c r="L79" s="397"/>
      <c r="M79" s="397"/>
      <c r="N79" s="397"/>
      <c r="O79" s="398"/>
      <c r="P79" s="399"/>
      <c r="Q79" s="400"/>
      <c r="R79" s="397"/>
      <c r="S79" s="397"/>
      <c r="T79" s="397"/>
      <c r="U79" s="401"/>
      <c r="V79" s="402"/>
      <c r="W79" s="396"/>
      <c r="X79" s="397"/>
      <c r="Y79" s="397"/>
      <c r="Z79" s="397"/>
      <c r="AA79" s="397"/>
      <c r="AB79" s="397"/>
      <c r="AC79" s="397"/>
      <c r="AD79" s="398"/>
      <c r="AE79" s="399"/>
      <c r="AF79" s="400"/>
      <c r="AG79" s="397"/>
      <c r="AH79" s="397"/>
      <c r="AI79" s="397"/>
      <c r="AJ79" s="403"/>
      <c r="AK79" s="404"/>
      <c r="AL79" s="397"/>
      <c r="AM79" s="397"/>
      <c r="AN79" s="397"/>
      <c r="AO79" s="397"/>
      <c r="AP79" s="397"/>
      <c r="AQ79" s="398"/>
      <c r="AR79" s="399"/>
      <c r="AS79" s="400"/>
      <c r="AT79" s="397"/>
      <c r="AU79" s="397"/>
      <c r="AV79" s="397"/>
      <c r="AW79" s="406"/>
      <c r="AX79" s="392"/>
      <c r="AY79" s="406"/>
      <c r="AZ79" s="463"/>
      <c r="BA79" s="408"/>
      <c r="BB79" s="397"/>
      <c r="BC79" s="409"/>
      <c r="BD79" s="410"/>
    </row>
    <row r="80" spans="1:56" ht="36.75" hidden="1" customHeight="1" outlineLevel="1" thickBot="1" x14ac:dyDescent="0.3">
      <c r="A80" s="373"/>
      <c r="B80" s="424">
        <f>SUBTOTAL(3,$C$40:C80)</f>
        <v>26</v>
      </c>
      <c r="C80" s="464"/>
      <c r="D80" s="426"/>
      <c r="E80" s="426"/>
      <c r="F80" s="465"/>
      <c r="G80" s="424"/>
      <c r="H80" s="428"/>
      <c r="I80" s="429"/>
      <c r="J80" s="429"/>
      <c r="K80" s="429"/>
      <c r="L80" s="429"/>
      <c r="M80" s="429"/>
      <c r="N80" s="429"/>
      <c r="O80" s="430"/>
      <c r="P80" s="431"/>
      <c r="Q80" s="432"/>
      <c r="R80" s="429"/>
      <c r="S80" s="429"/>
      <c r="T80" s="429"/>
      <c r="U80" s="433"/>
      <c r="V80" s="434"/>
      <c r="W80" s="428"/>
      <c r="X80" s="429"/>
      <c r="Y80" s="429"/>
      <c r="Z80" s="429"/>
      <c r="AA80" s="429"/>
      <c r="AB80" s="429"/>
      <c r="AC80" s="429"/>
      <c r="AD80" s="430"/>
      <c r="AE80" s="431"/>
      <c r="AF80" s="432"/>
      <c r="AG80" s="429"/>
      <c r="AH80" s="429"/>
      <c r="AI80" s="429"/>
      <c r="AJ80" s="435"/>
      <c r="AK80" s="436"/>
      <c r="AL80" s="429"/>
      <c r="AM80" s="429"/>
      <c r="AN80" s="429"/>
      <c r="AO80" s="429"/>
      <c r="AP80" s="429"/>
      <c r="AQ80" s="430"/>
      <c r="AR80" s="431"/>
      <c r="AS80" s="432"/>
      <c r="AT80" s="429"/>
      <c r="AU80" s="429"/>
      <c r="AV80" s="429"/>
      <c r="AW80" s="439"/>
      <c r="AX80" s="424"/>
      <c r="AY80" s="439"/>
      <c r="AZ80" s="466"/>
      <c r="BA80" s="441"/>
      <c r="BB80" s="429"/>
      <c r="BC80" s="442"/>
      <c r="BD80" s="443"/>
    </row>
    <row r="81" spans="1:57" ht="36.75" hidden="1" customHeight="1" outlineLevel="1" x14ac:dyDescent="0.25">
      <c r="A81" s="373"/>
      <c r="B81" s="444">
        <f>SUBTOTAL(3,$C$40:C81)</f>
        <v>26</v>
      </c>
      <c r="C81" s="485"/>
      <c r="D81" s="446"/>
      <c r="E81" s="446"/>
      <c r="F81" s="446"/>
      <c r="G81" s="448"/>
      <c r="H81" s="448"/>
      <c r="I81" s="449"/>
      <c r="J81" s="449"/>
      <c r="K81" s="449"/>
      <c r="L81" s="449"/>
      <c r="M81" s="449"/>
      <c r="N81" s="449"/>
      <c r="O81" s="450"/>
      <c r="P81" s="451"/>
      <c r="Q81" s="452"/>
      <c r="R81" s="449"/>
      <c r="S81" s="449"/>
      <c r="T81" s="449"/>
      <c r="U81" s="486"/>
      <c r="V81" s="487"/>
      <c r="W81" s="448"/>
      <c r="X81" s="449"/>
      <c r="Y81" s="449"/>
      <c r="Z81" s="449"/>
      <c r="AA81" s="449"/>
      <c r="AB81" s="449"/>
      <c r="AC81" s="449"/>
      <c r="AD81" s="450"/>
      <c r="AE81" s="451"/>
      <c r="AF81" s="452"/>
      <c r="AG81" s="449"/>
      <c r="AH81" s="449"/>
      <c r="AI81" s="449"/>
      <c r="AJ81" s="487"/>
      <c r="AK81" s="449"/>
      <c r="AL81" s="449"/>
      <c r="AM81" s="449"/>
      <c r="AN81" s="449"/>
      <c r="AO81" s="449"/>
      <c r="AP81" s="449"/>
      <c r="AQ81" s="450"/>
      <c r="AR81" s="451"/>
      <c r="AS81" s="452"/>
      <c r="AT81" s="449"/>
      <c r="AU81" s="449"/>
      <c r="AV81" s="449"/>
      <c r="AW81" s="488"/>
      <c r="AX81" s="448"/>
      <c r="AY81" s="488"/>
      <c r="AZ81" s="489"/>
      <c r="BA81" s="459"/>
      <c r="BB81" s="449"/>
      <c r="BC81" s="460"/>
      <c r="BD81" s="461"/>
    </row>
    <row r="82" spans="1:57" ht="36.75" hidden="1" customHeight="1" outlineLevel="1" x14ac:dyDescent="0.25">
      <c r="A82" s="373"/>
      <c r="B82" s="392">
        <f>SUBTOTAL(3,$C$40:C82)</f>
        <v>26</v>
      </c>
      <c r="C82" s="490"/>
      <c r="D82" s="394"/>
      <c r="E82" s="394"/>
      <c r="F82" s="394"/>
      <c r="G82" s="396"/>
      <c r="H82" s="396"/>
      <c r="I82" s="397"/>
      <c r="J82" s="397"/>
      <c r="K82" s="397"/>
      <c r="L82" s="397"/>
      <c r="M82" s="397"/>
      <c r="N82" s="397"/>
      <c r="O82" s="398"/>
      <c r="P82" s="399"/>
      <c r="Q82" s="400"/>
      <c r="R82" s="397"/>
      <c r="S82" s="397"/>
      <c r="T82" s="397"/>
      <c r="U82" s="491"/>
      <c r="V82" s="492"/>
      <c r="W82" s="396"/>
      <c r="X82" s="397"/>
      <c r="Y82" s="397"/>
      <c r="Z82" s="397"/>
      <c r="AA82" s="397"/>
      <c r="AB82" s="397"/>
      <c r="AC82" s="397"/>
      <c r="AD82" s="398"/>
      <c r="AE82" s="399"/>
      <c r="AF82" s="400"/>
      <c r="AG82" s="397"/>
      <c r="AH82" s="397"/>
      <c r="AI82" s="397"/>
      <c r="AJ82" s="492"/>
      <c r="AK82" s="397"/>
      <c r="AL82" s="397"/>
      <c r="AM82" s="397"/>
      <c r="AN82" s="397"/>
      <c r="AO82" s="397"/>
      <c r="AP82" s="397"/>
      <c r="AQ82" s="398"/>
      <c r="AR82" s="399"/>
      <c r="AS82" s="400"/>
      <c r="AT82" s="397"/>
      <c r="AU82" s="397"/>
      <c r="AV82" s="397"/>
      <c r="AW82" s="493"/>
      <c r="AX82" s="396"/>
      <c r="AY82" s="493"/>
      <c r="AZ82" s="494"/>
      <c r="BA82" s="408"/>
      <c r="BB82" s="397"/>
      <c r="BC82" s="409"/>
      <c r="BD82" s="410"/>
    </row>
    <row r="83" spans="1:57" ht="36.75" hidden="1" customHeight="1" outlineLevel="1" x14ac:dyDescent="0.25">
      <c r="A83" s="373"/>
      <c r="B83" s="392">
        <f>SUBTOTAL(3,$C$40:C83)</f>
        <v>26</v>
      </c>
      <c r="C83" s="490"/>
      <c r="D83" s="394"/>
      <c r="E83" s="394"/>
      <c r="F83" s="394"/>
      <c r="G83" s="396"/>
      <c r="H83" s="396"/>
      <c r="I83" s="397"/>
      <c r="J83" s="397"/>
      <c r="K83" s="397"/>
      <c r="L83" s="397"/>
      <c r="M83" s="397"/>
      <c r="N83" s="397"/>
      <c r="O83" s="398"/>
      <c r="P83" s="399"/>
      <c r="Q83" s="400"/>
      <c r="R83" s="397"/>
      <c r="S83" s="397"/>
      <c r="T83" s="397"/>
      <c r="U83" s="491"/>
      <c r="V83" s="492"/>
      <c r="W83" s="396"/>
      <c r="X83" s="397"/>
      <c r="Y83" s="397"/>
      <c r="Z83" s="397"/>
      <c r="AA83" s="397"/>
      <c r="AB83" s="397"/>
      <c r="AC83" s="397"/>
      <c r="AD83" s="398"/>
      <c r="AE83" s="399"/>
      <c r="AF83" s="400"/>
      <c r="AG83" s="397"/>
      <c r="AH83" s="397"/>
      <c r="AI83" s="397"/>
      <c r="AJ83" s="492"/>
      <c r="AK83" s="397"/>
      <c r="AL83" s="397"/>
      <c r="AM83" s="397"/>
      <c r="AN83" s="397"/>
      <c r="AO83" s="397"/>
      <c r="AP83" s="397"/>
      <c r="AQ83" s="398"/>
      <c r="AR83" s="399"/>
      <c r="AS83" s="400"/>
      <c r="AT83" s="397"/>
      <c r="AU83" s="397"/>
      <c r="AV83" s="397"/>
      <c r="AW83" s="493"/>
      <c r="AX83" s="396"/>
      <c r="AY83" s="493"/>
      <c r="AZ83" s="494"/>
      <c r="BA83" s="408"/>
      <c r="BB83" s="397"/>
      <c r="BC83" s="409"/>
      <c r="BD83" s="410"/>
    </row>
    <row r="84" spans="1:57" ht="52.5" hidden="1" customHeight="1" outlineLevel="1" thickBot="1" x14ac:dyDescent="0.3">
      <c r="A84" s="373"/>
      <c r="B84" s="424">
        <f>SUBTOTAL(3,$C$40:C84)</f>
        <v>26</v>
      </c>
      <c r="C84" s="495"/>
      <c r="D84" s="426"/>
      <c r="E84" s="426"/>
      <c r="F84" s="426"/>
      <c r="G84" s="428"/>
      <c r="H84" s="428"/>
      <c r="I84" s="429"/>
      <c r="J84" s="429"/>
      <c r="K84" s="429"/>
      <c r="L84" s="429"/>
      <c r="M84" s="429"/>
      <c r="N84" s="429"/>
      <c r="O84" s="430"/>
      <c r="P84" s="431"/>
      <c r="Q84" s="432"/>
      <c r="R84" s="429"/>
      <c r="S84" s="429"/>
      <c r="T84" s="429"/>
      <c r="U84" s="496"/>
      <c r="V84" s="497"/>
      <c r="W84" s="428"/>
      <c r="X84" s="429"/>
      <c r="Y84" s="429"/>
      <c r="Z84" s="429"/>
      <c r="AA84" s="429"/>
      <c r="AB84" s="429"/>
      <c r="AC84" s="429"/>
      <c r="AD84" s="430"/>
      <c r="AE84" s="431"/>
      <c r="AF84" s="432"/>
      <c r="AG84" s="429"/>
      <c r="AH84" s="429"/>
      <c r="AI84" s="429"/>
      <c r="AJ84" s="497"/>
      <c r="AK84" s="429"/>
      <c r="AL84" s="429"/>
      <c r="AM84" s="429"/>
      <c r="AN84" s="429"/>
      <c r="AO84" s="429"/>
      <c r="AP84" s="429"/>
      <c r="AQ84" s="430"/>
      <c r="AR84" s="431"/>
      <c r="AS84" s="432"/>
      <c r="AT84" s="429"/>
      <c r="AU84" s="429"/>
      <c r="AV84" s="429"/>
      <c r="AW84" s="498"/>
      <c r="AX84" s="428"/>
      <c r="AY84" s="498"/>
      <c r="AZ84" s="499"/>
      <c r="BA84" s="441"/>
      <c r="BB84" s="429"/>
      <c r="BC84" s="442"/>
      <c r="BD84" s="443"/>
    </row>
    <row r="85" spans="1:57" s="1128" customFormat="1" ht="29.25" customHeight="1" collapsed="1" thickBot="1" x14ac:dyDescent="0.3">
      <c r="A85" s="359"/>
      <c r="B85" s="758"/>
      <c r="C85" s="500"/>
      <c r="D85" s="500"/>
      <c r="E85" s="500"/>
      <c r="F85" s="500"/>
      <c r="G85" s="758"/>
      <c r="H85" s="758"/>
      <c r="I85" s="758"/>
      <c r="J85" s="501"/>
      <c r="K85" s="758"/>
      <c r="L85" s="758"/>
      <c r="M85" s="758"/>
      <c r="N85" s="758"/>
      <c r="O85" s="502">
        <f>SUBTOTAL(9,O40:O84)</f>
        <v>324.98259160000003</v>
      </c>
      <c r="P85" s="503">
        <f>SUBTOTAL(9,P40:P84)</f>
        <v>517.23</v>
      </c>
      <c r="Q85" s="758"/>
      <c r="R85" s="758"/>
      <c r="S85" s="758"/>
      <c r="T85" s="758"/>
      <c r="U85" s="758"/>
      <c r="V85" s="758"/>
      <c r="W85" s="758"/>
      <c r="X85" s="501"/>
      <c r="Y85" s="501"/>
      <c r="Z85" s="758"/>
      <c r="AA85" s="758"/>
      <c r="AB85" s="758"/>
      <c r="AC85" s="758"/>
      <c r="AD85" s="502">
        <f>SUBTOTAL(9,AD40:AD84)</f>
        <v>255.64487080000004</v>
      </c>
      <c r="AE85" s="503">
        <f>SUBTOTAL(9,AE40:AE84)</f>
        <v>408.20000000000005</v>
      </c>
      <c r="AF85" s="758"/>
      <c r="AG85" s="758"/>
      <c r="AH85" s="758"/>
      <c r="AI85" s="758"/>
      <c r="AJ85" s="758"/>
      <c r="AK85" s="758"/>
      <c r="AL85" s="758"/>
      <c r="AM85" s="758"/>
      <c r="AN85" s="758"/>
      <c r="AO85" s="758"/>
      <c r="AP85" s="758"/>
      <c r="AQ85" s="504">
        <f>SUBTOTAL(9,AQ40:AQ84)</f>
        <v>-65.2330872</v>
      </c>
      <c r="AR85" s="503">
        <f>SUBTOTAL(9,AR40:AR84)</f>
        <v>-103.73</v>
      </c>
      <c r="AS85" s="758"/>
      <c r="AT85" s="505"/>
      <c r="AU85" s="505"/>
      <c r="AV85" s="505"/>
      <c r="AW85" s="501"/>
      <c r="AX85" s="506"/>
      <c r="AY85" s="758"/>
      <c r="AZ85" s="502">
        <f>SUBTOTAL(9,AZ40:AZ82)</f>
        <v>255.64487080000004</v>
      </c>
      <c r="BA85" s="503">
        <f>SUBTOTAL(9,BA40:BA82)</f>
        <v>408.20000000000005</v>
      </c>
      <c r="BB85" s="758"/>
      <c r="BC85" s="758"/>
      <c r="BD85" s="758"/>
    </row>
    <row r="86" spans="1:57" s="1138" customFormat="1" ht="36.75" customHeight="1" thickBot="1" x14ac:dyDescent="0.3">
      <c r="A86" s="507"/>
      <c r="B86" s="507"/>
      <c r="C86" s="508"/>
      <c r="D86" s="508"/>
      <c r="E86" s="508"/>
      <c r="F86" s="508"/>
      <c r="G86" s="507"/>
      <c r="H86" s="507"/>
      <c r="I86" s="507"/>
      <c r="J86" s="509"/>
      <c r="K86" s="507"/>
      <c r="L86" s="507"/>
      <c r="M86" s="507"/>
      <c r="N86" s="507"/>
      <c r="O86" s="507"/>
      <c r="P86" s="507"/>
      <c r="Q86" s="507"/>
      <c r="R86" s="507"/>
      <c r="S86" s="507"/>
      <c r="T86" s="509"/>
      <c r="U86" s="509"/>
      <c r="V86" s="509"/>
      <c r="W86" s="509"/>
      <c r="X86" s="509"/>
      <c r="Y86" s="509"/>
      <c r="Z86" s="507"/>
      <c r="AA86" s="507"/>
      <c r="AB86" s="507"/>
      <c r="AC86" s="507"/>
      <c r="AD86" s="507"/>
      <c r="AE86" s="507"/>
      <c r="AF86" s="507"/>
      <c r="AG86" s="507"/>
      <c r="AH86" s="507"/>
      <c r="AI86" s="507"/>
      <c r="AJ86" s="507"/>
      <c r="AK86" s="507"/>
      <c r="AL86" s="507"/>
      <c r="AM86" s="507"/>
      <c r="AN86" s="507"/>
      <c r="AO86" s="510"/>
      <c r="AP86" s="510"/>
      <c r="AQ86" s="507"/>
      <c r="AR86" s="510"/>
      <c r="AS86" s="510"/>
      <c r="AT86" s="510"/>
      <c r="AU86" s="510"/>
      <c r="AV86" s="511"/>
      <c r="AW86" s="511"/>
      <c r="AX86" s="511"/>
      <c r="AY86" s="507"/>
      <c r="AZ86" s="507"/>
      <c r="BA86" s="507"/>
      <c r="BB86" s="507"/>
      <c r="BC86" s="507"/>
      <c r="BD86" s="507"/>
      <c r="BE86" s="507"/>
    </row>
    <row r="87" spans="1:57" s="1136" customFormat="1" ht="36.75" customHeight="1" x14ac:dyDescent="0.25">
      <c r="A87" s="365"/>
      <c r="B87" s="800"/>
      <c r="C87" s="801"/>
      <c r="D87" s="801"/>
      <c r="E87" s="801"/>
      <c r="F87" s="802"/>
      <c r="G87" s="1129" t="str">
        <f>G37</f>
        <v>Режим за май 2023 г.</v>
      </c>
      <c r="H87" s="1130"/>
      <c r="I87" s="1130"/>
      <c r="J87" s="1130"/>
      <c r="K87" s="1130"/>
      <c r="L87" s="1130"/>
      <c r="M87" s="1130"/>
      <c r="N87" s="1130"/>
      <c r="O87" s="1130"/>
      <c r="P87" s="1130"/>
      <c r="Q87" s="1130"/>
      <c r="R87" s="1130"/>
      <c r="S87" s="1130"/>
      <c r="T87" s="1130"/>
      <c r="U87" s="1131"/>
      <c r="V87" s="1129" t="str">
        <f>V37</f>
        <v>Режим за июнь 2023 г.</v>
      </c>
      <c r="W87" s="1130"/>
      <c r="X87" s="1130"/>
      <c r="Y87" s="1130"/>
      <c r="Z87" s="1130"/>
      <c r="AA87" s="1130"/>
      <c r="AB87" s="1130"/>
      <c r="AC87" s="1130"/>
      <c r="AD87" s="1130"/>
      <c r="AE87" s="1130"/>
      <c r="AF87" s="1130"/>
      <c r="AG87" s="1130"/>
      <c r="AH87" s="1130"/>
      <c r="AI87" s="1130"/>
      <c r="AJ87" s="1131"/>
      <c r="AK87" s="1133" t="s">
        <v>2180</v>
      </c>
      <c r="AL87" s="1134"/>
      <c r="AM87" s="1134"/>
      <c r="AN87" s="1134"/>
      <c r="AO87" s="1134"/>
      <c r="AP87" s="1134"/>
      <c r="AQ87" s="1134"/>
      <c r="AR87" s="1134"/>
      <c r="AS87" s="1134"/>
      <c r="AT87" s="1134"/>
      <c r="AU87" s="1134"/>
      <c r="AV87" s="1134"/>
      <c r="AW87" s="1135"/>
      <c r="AX87" s="800" t="s">
        <v>2181</v>
      </c>
      <c r="AY87" s="804" t="s">
        <v>2182</v>
      </c>
      <c r="AZ87" s="806" t="s">
        <v>2183</v>
      </c>
      <c r="BA87" s="807"/>
      <c r="BB87" s="807"/>
      <c r="BC87" s="807"/>
      <c r="BD87" s="804"/>
    </row>
    <row r="88" spans="1:57" s="1136" customFormat="1" ht="72" customHeight="1" thickBot="1" x14ac:dyDescent="0.3">
      <c r="A88" s="365"/>
      <c r="B88" s="755" t="s">
        <v>2184</v>
      </c>
      <c r="C88" s="366" t="s">
        <v>2185</v>
      </c>
      <c r="D88" s="366" t="s">
        <v>33</v>
      </c>
      <c r="E88" s="366" t="s">
        <v>36</v>
      </c>
      <c r="F88" s="367" t="s">
        <v>2186</v>
      </c>
      <c r="G88" s="755" t="s">
        <v>2187</v>
      </c>
      <c r="H88" s="366" t="s">
        <v>2188</v>
      </c>
      <c r="I88" s="366" t="s">
        <v>2189</v>
      </c>
      <c r="J88" s="366" t="s">
        <v>2190</v>
      </c>
      <c r="K88" s="366" t="s">
        <v>2191</v>
      </c>
      <c r="L88" s="366" t="s">
        <v>103</v>
      </c>
      <c r="M88" s="366" t="s">
        <v>2192</v>
      </c>
      <c r="N88" s="366" t="s">
        <v>2193</v>
      </c>
      <c r="O88" s="368" t="s">
        <v>2194</v>
      </c>
      <c r="P88" s="369" t="s">
        <v>2195</v>
      </c>
      <c r="Q88" s="370" t="s">
        <v>2196</v>
      </c>
      <c r="R88" s="366" t="s">
        <v>2197</v>
      </c>
      <c r="S88" s="366" t="s">
        <v>2198</v>
      </c>
      <c r="T88" s="366" t="s">
        <v>2199</v>
      </c>
      <c r="U88" s="371" t="s">
        <v>2200</v>
      </c>
      <c r="V88" s="755" t="s">
        <v>2187</v>
      </c>
      <c r="W88" s="366" t="s">
        <v>2188</v>
      </c>
      <c r="X88" s="366" t="s">
        <v>2189</v>
      </c>
      <c r="Y88" s="366" t="s">
        <v>2190</v>
      </c>
      <c r="Z88" s="366" t="s">
        <v>2191</v>
      </c>
      <c r="AA88" s="366" t="s">
        <v>103</v>
      </c>
      <c r="AB88" s="366" t="s">
        <v>2192</v>
      </c>
      <c r="AC88" s="366" t="s">
        <v>2193</v>
      </c>
      <c r="AD88" s="368" t="s">
        <v>2194</v>
      </c>
      <c r="AE88" s="369" t="s">
        <v>2195</v>
      </c>
      <c r="AF88" s="370" t="s">
        <v>2196</v>
      </c>
      <c r="AG88" s="366" t="s">
        <v>2197</v>
      </c>
      <c r="AH88" s="366" t="s">
        <v>2198</v>
      </c>
      <c r="AI88" s="366" t="s">
        <v>2199</v>
      </c>
      <c r="AJ88" s="371" t="s">
        <v>2200</v>
      </c>
      <c r="AK88" s="755" t="s">
        <v>2188</v>
      </c>
      <c r="AL88" s="366" t="s">
        <v>2189</v>
      </c>
      <c r="AM88" s="366" t="s">
        <v>2190</v>
      </c>
      <c r="AN88" s="366" t="s">
        <v>2191</v>
      </c>
      <c r="AO88" s="366" t="s">
        <v>2192</v>
      </c>
      <c r="AP88" s="366" t="s">
        <v>2193</v>
      </c>
      <c r="AQ88" s="368" t="s">
        <v>2194</v>
      </c>
      <c r="AR88" s="369" t="s">
        <v>2195</v>
      </c>
      <c r="AS88" s="370" t="s">
        <v>2196</v>
      </c>
      <c r="AT88" s="366" t="s">
        <v>2197</v>
      </c>
      <c r="AU88" s="366" t="s">
        <v>2198</v>
      </c>
      <c r="AV88" s="366" t="s">
        <v>2199</v>
      </c>
      <c r="AW88" s="371" t="s">
        <v>2200</v>
      </c>
      <c r="AX88" s="803"/>
      <c r="AY88" s="805"/>
      <c r="AZ88" s="372" t="s">
        <v>2194</v>
      </c>
      <c r="BA88" s="369" t="s">
        <v>2195</v>
      </c>
      <c r="BB88" s="370" t="s">
        <v>2196</v>
      </c>
      <c r="BC88" s="366" t="s">
        <v>2201</v>
      </c>
      <c r="BD88" s="756" t="s">
        <v>2202</v>
      </c>
    </row>
    <row r="89" spans="1:57" s="1136" customFormat="1" ht="36.75" customHeight="1" thickBot="1" x14ac:dyDescent="0.3">
      <c r="A89" s="360"/>
      <c r="B89" s="808" t="s">
        <v>2204</v>
      </c>
      <c r="C89" s="809"/>
      <c r="D89" s="809"/>
      <c r="E89" s="809"/>
      <c r="F89" s="809"/>
      <c r="G89" s="809"/>
      <c r="H89" s="809"/>
      <c r="I89" s="809"/>
      <c r="J89" s="809"/>
      <c r="K89" s="809"/>
      <c r="L89" s="809"/>
      <c r="M89" s="809"/>
      <c r="N89" s="809"/>
      <c r="O89" s="809"/>
      <c r="P89" s="809"/>
      <c r="Q89" s="809"/>
      <c r="R89" s="809"/>
      <c r="S89" s="809"/>
      <c r="T89" s="809"/>
      <c r="U89" s="809"/>
      <c r="V89" s="809"/>
      <c r="W89" s="809"/>
      <c r="X89" s="809"/>
      <c r="Y89" s="809"/>
      <c r="Z89" s="809"/>
      <c r="AA89" s="809"/>
      <c r="AB89" s="809"/>
      <c r="AC89" s="809"/>
      <c r="AD89" s="809"/>
      <c r="AE89" s="809"/>
      <c r="AF89" s="809"/>
      <c r="AG89" s="809"/>
      <c r="AH89" s="809"/>
      <c r="AI89" s="809"/>
      <c r="AJ89" s="809"/>
      <c r="AK89" s="809"/>
      <c r="AL89" s="809"/>
      <c r="AM89" s="809"/>
      <c r="AN89" s="809"/>
      <c r="AO89" s="809"/>
      <c r="AP89" s="809"/>
      <c r="AQ89" s="809"/>
      <c r="AR89" s="809"/>
      <c r="AS89" s="809"/>
      <c r="AT89" s="809"/>
      <c r="AU89" s="809"/>
      <c r="AV89" s="809"/>
      <c r="AW89" s="809"/>
      <c r="AX89" s="809"/>
      <c r="AY89" s="809"/>
      <c r="AZ89" s="809"/>
      <c r="BA89" s="809"/>
      <c r="BB89" s="809"/>
      <c r="BC89" s="809"/>
      <c r="BD89" s="810"/>
    </row>
    <row r="90" spans="1:57" ht="40.5" customHeight="1" x14ac:dyDescent="0.25">
      <c r="A90" s="373"/>
      <c r="B90" s="374">
        <f>SUBTOTAL(3,$C$90:C90)</f>
        <v>1</v>
      </c>
      <c r="C90" s="375">
        <v>1074</v>
      </c>
      <c r="D90" s="376" t="str">
        <f>VLOOKUP($C90,'ТР нефть'!$A$29:$GC$641,5,0)</f>
        <v>ВУ ОНГКМ</v>
      </c>
      <c r="E90" s="376" t="str">
        <f>VLOOKUP($C90,'ТР нефть'!$A$29:$GC$641,8,0)</f>
        <v>ТЛ-4</v>
      </c>
      <c r="F90" s="377" t="str">
        <f>VLOOKUP($C90,'ТР нефть'!$A$29:$GC$641,11,0)</f>
        <v>К-15</v>
      </c>
      <c r="G90" s="374" t="str">
        <f>VLOOKUP($C90,'ТР нефть'!$A$29:$GC$641,47,0)</f>
        <v>ЭЦН</v>
      </c>
      <c r="H90" s="378">
        <f>VLOOKUP($C90,'ТР нефть'!$A$29:$GC$641,135,0)</f>
        <v>65</v>
      </c>
      <c r="I90" s="379">
        <f>VLOOKUP($C90,'ТР нефть'!$A$29:$GC$641,136,0)</f>
        <v>27</v>
      </c>
      <c r="J90" s="379">
        <f>VLOOKUP($C90,'ТР нефть'!$A$29:$GC$641,137,0)</f>
        <v>30</v>
      </c>
      <c r="K90" s="379">
        <f>VLOOKUP($C90,'ТР нефть'!$A$29:$GC$641,138,0)</f>
        <v>26</v>
      </c>
      <c r="L90" s="379" t="str">
        <f>VLOOKUP($C90,'ТР нефть'!$A$29:$GC$641,139,0)</f>
        <v>Постоянный</v>
      </c>
      <c r="M90" s="379">
        <f>VLOOKUP($C90,'ТР нефть'!$A$29:$GC$641,140,0)</f>
        <v>24</v>
      </c>
      <c r="N90" s="379">
        <f>VLOOKUP($C90,'ТР нефть'!$A$29:$GC$641,141,0)</f>
        <v>0</v>
      </c>
      <c r="O90" s="380">
        <f>VLOOKUP($C90,'ТР нефть'!$A$29:$GC$641,142,0)</f>
        <v>8.6007679999999951</v>
      </c>
      <c r="P90" s="381">
        <f>VLOOKUP($C90,'ТР нефть'!$A$29:$GC$641,143,0)</f>
        <v>128.6</v>
      </c>
      <c r="Q90" s="382">
        <f>VLOOKUP($C90,'ТР нефть'!$A$29:$GC$641,144,0)</f>
        <v>92</v>
      </c>
      <c r="R90" s="379">
        <f>VLOOKUP($C90,'ТР нефть'!$A$29:$GC$641,145,0)</f>
        <v>21.5</v>
      </c>
      <c r="S90" s="379">
        <f>VLOOKUP($C90,'ТР нефть'!$A$29:$GC$641,146,0)</f>
        <v>2499.776764121531</v>
      </c>
      <c r="T90" s="379">
        <f>VLOOKUP($C90,'ТР нефть'!$A$29:$GC$641,149,0)</f>
        <v>77.015711800000005</v>
      </c>
      <c r="U90" s="383">
        <f>VLOOKUP($C90,'ТР нефть'!$A$29:$GC$641,150,0)</f>
        <v>10.73071657272061</v>
      </c>
      <c r="V90" s="384" t="str">
        <f>VLOOKUP($C90,'ТР нефть'!$A$29:$GC$641,47,0)</f>
        <v>ЭЦН</v>
      </c>
      <c r="W90" s="378">
        <f>VLOOKUP($C90,'ТР нефть'!$A$29:$GC$641,74,0)</f>
        <v>65</v>
      </c>
      <c r="X90" s="379">
        <f>VLOOKUP($C90,'ТР нефть'!$A$29:$GC$641,79,0)</f>
        <v>28</v>
      </c>
      <c r="Y90" s="379">
        <f>VLOOKUP($C90,'ТР нефть'!$A$29:$GC$641,80,0)</f>
        <v>27</v>
      </c>
      <c r="Z90" s="379">
        <f>VLOOKUP($C90,'ТР нефть'!$A$29:$GC$641,81,0)</f>
        <v>27</v>
      </c>
      <c r="AA90" s="379" t="str">
        <f>VLOOKUP($C90,'ТР нефть'!$A$29:$GC$641,76,0)</f>
        <v>Постоянный</v>
      </c>
      <c r="AB90" s="379">
        <f>VLOOKUP($C90,'ТР нефть'!$A$29:$GC$641,77,0)</f>
        <v>24</v>
      </c>
      <c r="AC90" s="379">
        <f>VLOOKUP($C90,'ТР нефть'!$A$29:$GC$641,78,0)</f>
        <v>0</v>
      </c>
      <c r="AD90" s="380">
        <f>VLOOKUP($C90,'ТР нефть'!$A$29:$GC$641,93,0)</f>
        <v>4.6648800000000046</v>
      </c>
      <c r="AE90" s="381">
        <f>VLOOKUP($C90,'ТР нефть'!$A$29:$GC$641,94,0)</f>
        <v>124</v>
      </c>
      <c r="AF90" s="382">
        <f>VLOOKUP($C90,'ТР нефть'!$A$29:$GC$641,95,0)</f>
        <v>95.5</v>
      </c>
      <c r="AG90" s="379">
        <f>VLOOKUP($C90,'ТР нефть'!$A$29:$GC$641,99,0)</f>
        <v>29</v>
      </c>
      <c r="AH90" s="379">
        <f>VLOOKUP($C90,'ТР нефть'!$A$29:$GC$641,100,0)</f>
        <v>6216.6658091955142</v>
      </c>
      <c r="AI90" s="379">
        <f>VLOOKUP($C90,'ТР нефть'!$A$29:$GC$641,92,0)</f>
        <v>70.196485574999997</v>
      </c>
      <c r="AJ90" s="385">
        <f>VLOOKUP($C90,'ТР нефть'!$A$29:$GC$641,102,0)</f>
        <v>3.3692434523527162</v>
      </c>
      <c r="AK90" s="386">
        <f t="shared" ref="AK90:AN91" si="8">W90-H90</f>
        <v>0</v>
      </c>
      <c r="AL90" s="379">
        <f t="shared" si="8"/>
        <v>1</v>
      </c>
      <c r="AM90" s="379">
        <f t="shared" si="8"/>
        <v>-3</v>
      </c>
      <c r="AN90" s="379">
        <f t="shared" si="8"/>
        <v>1</v>
      </c>
      <c r="AO90" s="379">
        <f>AB90-M90</f>
        <v>0</v>
      </c>
      <c r="AP90" s="379">
        <f t="shared" ref="AP90:AQ91" si="9">AC90-N90</f>
        <v>0</v>
      </c>
      <c r="AQ90" s="380">
        <f>AD90-O90</f>
        <v>-3.9358879999999905</v>
      </c>
      <c r="AR90" s="381">
        <f t="shared" ref="AR90:AW91" si="10">AE90-P90</f>
        <v>-4.5999999999999943</v>
      </c>
      <c r="AS90" s="382">
        <f t="shared" si="10"/>
        <v>3.5</v>
      </c>
      <c r="AT90" s="379">
        <f t="shared" si="10"/>
        <v>7.5</v>
      </c>
      <c r="AU90" s="379">
        <f t="shared" si="10"/>
        <v>3716.8890450739832</v>
      </c>
      <c r="AV90" s="379">
        <f t="shared" si="10"/>
        <v>-6.8192262250000084</v>
      </c>
      <c r="AW90" s="387">
        <f t="shared" si="10"/>
        <v>-7.3614731203678936</v>
      </c>
      <c r="AX90" s="374" t="str">
        <f>VLOOKUP($C90,'ТР нефть'!$A$29:$GC$641,182,0)</f>
        <v>% БАЗА</v>
      </c>
      <c r="AY90" s="387" t="str">
        <f>VLOOKUP($C90,'ТР нефть'!$A$29:$GC$641,183,0)</f>
        <v>Отмечается устойчивая динамика увеличения обводненности продукции с 92 до 95%, что подтверждается результатами лаб. Пробs ХАЛ и данными массомера.</v>
      </c>
      <c r="AZ90" s="388">
        <f t="shared" ref="AZ90:BB91" si="11">AD90</f>
        <v>4.6648800000000046</v>
      </c>
      <c r="BA90" s="389">
        <f t="shared" si="11"/>
        <v>124</v>
      </c>
      <c r="BB90" s="379">
        <f t="shared" si="11"/>
        <v>95.5</v>
      </c>
      <c r="BC90" s="390"/>
      <c r="BD90" s="391"/>
    </row>
    <row r="91" spans="1:57" ht="40.5" customHeight="1" x14ac:dyDescent="0.25">
      <c r="A91" s="373"/>
      <c r="B91" s="392">
        <f>SUBTOTAL(3,$C$90:C91)</f>
        <v>2</v>
      </c>
      <c r="C91" s="393">
        <v>1200</v>
      </c>
      <c r="D91" s="394" t="str">
        <f>VLOOKUP($C91,'ТР нефть'!$A$29:$GC$641,5,0)</f>
        <v>ВУ ОНГКМ</v>
      </c>
      <c r="E91" s="394" t="str">
        <f>VLOOKUP($C91,'ТР нефть'!$A$29:$GC$641,8,0)</f>
        <v>ТЛ-4</v>
      </c>
      <c r="F91" s="395" t="str">
        <f>VLOOKUP($C91,'ТР нефть'!$A$29:$GC$641,11,0)</f>
        <v>К-10</v>
      </c>
      <c r="G91" s="392" t="str">
        <f>VLOOKUP($C91,'ТР нефть'!$A$29:$GC$641,47,0)</f>
        <v>ЭЦН</v>
      </c>
      <c r="H91" s="396">
        <f>VLOOKUP($C91,'ТР нефть'!$A$29:$GC$641,135,0)</f>
        <v>65</v>
      </c>
      <c r="I91" s="397">
        <f>VLOOKUP($C91,'ТР нефть'!$A$29:$GC$641,136,0)</f>
        <v>34</v>
      </c>
      <c r="J91" s="397">
        <f>VLOOKUP($C91,'ТР нефть'!$A$29:$GC$641,137,0)</f>
        <v>32</v>
      </c>
      <c r="K91" s="397">
        <f>VLOOKUP($C91,'ТР нефть'!$A$29:$GC$641,138,0)</f>
        <v>30</v>
      </c>
      <c r="L91" s="397" t="str">
        <f>VLOOKUP($C91,'ТР нефть'!$A$29:$GC$641,139,0)</f>
        <v>Постоянный</v>
      </c>
      <c r="M91" s="397">
        <f>VLOOKUP($C91,'ТР нефть'!$A$29:$GC$641,140,0)</f>
        <v>24</v>
      </c>
      <c r="N91" s="397">
        <f>VLOOKUP($C91,'ТР нефть'!$A$29:$GC$641,141,0)</f>
        <v>0</v>
      </c>
      <c r="O91" s="398">
        <f>VLOOKUP($C91,'ТР нефть'!$A$29:$GC$641,142,0)</f>
        <v>9.3736499999999943</v>
      </c>
      <c r="P91" s="399">
        <f>VLOOKUP($C91,'ТР нефть'!$A$29:$GC$641,143,0)</f>
        <v>149.5</v>
      </c>
      <c r="Q91" s="400">
        <f>VLOOKUP($C91,'ТР нефть'!$A$29:$GC$641,144,0)</f>
        <v>92.5</v>
      </c>
      <c r="R91" s="397">
        <f>VLOOKUP($C91,'ТР нефть'!$A$29:$GC$641,145,0)</f>
        <v>32.6</v>
      </c>
      <c r="S91" s="397">
        <f>VLOOKUP($C91,'ТР нефть'!$A$29:$GC$641,146,0)</f>
        <v>3477.834141449704</v>
      </c>
      <c r="T91" s="397">
        <f>VLOOKUP($C91,'ТР нефть'!$A$29:$GC$641,149,0)</f>
        <v>105.94158036249999</v>
      </c>
      <c r="U91" s="401">
        <f>VLOOKUP($C91,'ТР нефть'!$A$29:$GC$641,150,0)</f>
        <v>12.397976226924113</v>
      </c>
      <c r="V91" s="402" t="str">
        <f>VLOOKUP($C91,'ТР нефть'!$A$29:$GC$641,47,0)</f>
        <v>ЭЦН</v>
      </c>
      <c r="W91" s="396">
        <f>VLOOKUP($C91,'ТР нефть'!$A$29:$GC$641,74,0)</f>
        <v>65</v>
      </c>
      <c r="X91" s="397">
        <f>VLOOKUP($C91,'ТР нефть'!$A$29:$GC$641,79,0)</f>
        <v>33</v>
      </c>
      <c r="Y91" s="397">
        <f>VLOOKUP($C91,'ТР нефть'!$A$29:$GC$641,80,0)</f>
        <v>33</v>
      </c>
      <c r="Z91" s="397">
        <f>VLOOKUP($C91,'ТР нефть'!$A$29:$GC$641,81,0)</f>
        <v>31</v>
      </c>
      <c r="AA91" s="397" t="str">
        <f>VLOOKUP($C91,'ТР нефть'!$A$29:$GC$641,76,0)</f>
        <v>Постоянный</v>
      </c>
      <c r="AB91" s="397">
        <f>VLOOKUP($C91,'ТР нефть'!$A$29:$GC$641,77,0)</f>
        <v>24</v>
      </c>
      <c r="AC91" s="397">
        <f>VLOOKUP($C91,'ТР нефть'!$A$29:$GC$641,78,0)</f>
        <v>0</v>
      </c>
      <c r="AD91" s="398">
        <f>VLOOKUP($C91,'ТР нефть'!$A$29:$GC$641,93,0)</f>
        <v>8.3683599999999938</v>
      </c>
      <c r="AE91" s="399">
        <f>VLOOKUP($C91,'ТР нефть'!$A$29:$GC$641,94,0)</f>
        <v>143</v>
      </c>
      <c r="AF91" s="400">
        <f>VLOOKUP($C91,'ТР нефть'!$A$29:$GC$641,95,0)</f>
        <v>93</v>
      </c>
      <c r="AG91" s="397">
        <f>VLOOKUP($C91,'ТР нефть'!$A$29:$GC$641,99,0)</f>
        <v>47</v>
      </c>
      <c r="AH91" s="397">
        <f>VLOOKUP($C91,'ТР нефть'!$A$29:$GC$641,100,0)</f>
        <v>5616.3931762017928</v>
      </c>
      <c r="AI91" s="397">
        <f>VLOOKUP($C91,'ТР нефть'!$A$29:$GC$641,92,0)</f>
        <v>105.03651418499999</v>
      </c>
      <c r="AJ91" s="403">
        <f>VLOOKUP($C91,'ТР нефть'!$A$29:$GC$641,102,0)</f>
        <v>11.030983644424952</v>
      </c>
      <c r="AK91" s="404">
        <f t="shared" si="8"/>
        <v>0</v>
      </c>
      <c r="AL91" s="397">
        <f t="shared" si="8"/>
        <v>-1</v>
      </c>
      <c r="AM91" s="397">
        <f t="shared" si="8"/>
        <v>1</v>
      </c>
      <c r="AN91" s="397">
        <f t="shared" si="8"/>
        <v>1</v>
      </c>
      <c r="AO91" s="397">
        <f t="shared" ref="AO91:AW92" si="12">AB91-M91</f>
        <v>0</v>
      </c>
      <c r="AP91" s="397">
        <f t="shared" si="9"/>
        <v>0</v>
      </c>
      <c r="AQ91" s="398">
        <f t="shared" si="9"/>
        <v>-1.0052900000000005</v>
      </c>
      <c r="AR91" s="399">
        <f t="shared" si="10"/>
        <v>-6.5</v>
      </c>
      <c r="AS91" s="400">
        <f t="shared" si="10"/>
        <v>0.5</v>
      </c>
      <c r="AT91" s="397">
        <f t="shared" si="10"/>
        <v>14.399999999999999</v>
      </c>
      <c r="AU91" s="397">
        <f t="shared" si="10"/>
        <v>2138.5590347520888</v>
      </c>
      <c r="AV91" s="397">
        <f t="shared" si="10"/>
        <v>-0.90506617750000373</v>
      </c>
      <c r="AW91" s="406">
        <f t="shared" si="10"/>
        <v>-1.3669925824991616</v>
      </c>
      <c r="AX91" s="392" t="str">
        <f>VLOOKUP($C91,'ТР нефть'!$A$29:$GC$641,182,0)</f>
        <v>% БАЗА</v>
      </c>
      <c r="AY91" s="406" t="str">
        <f>VLOOKUP($C91,'ТР нефть'!$A$29:$GC$641,183,0)</f>
        <v>Снижение дебита нефти на фоне роста обводненности</v>
      </c>
      <c r="AZ91" s="407">
        <f t="shared" si="11"/>
        <v>8.3683599999999938</v>
      </c>
      <c r="BA91" s="408">
        <f t="shared" si="11"/>
        <v>143</v>
      </c>
      <c r="BB91" s="397">
        <f t="shared" si="11"/>
        <v>93</v>
      </c>
      <c r="BC91" s="409"/>
      <c r="BD91" s="512"/>
    </row>
    <row r="92" spans="1:57" ht="40.5" customHeight="1" thickBot="1" x14ac:dyDescent="0.3">
      <c r="A92" s="373"/>
      <c r="B92" s="424">
        <f>SUBTOTAL(3,$C$90:C92)</f>
        <v>3</v>
      </c>
      <c r="C92" s="425">
        <v>1449</v>
      </c>
      <c r="D92" s="426" t="str">
        <f>VLOOKUP($C92,'ТР нефть'!$A$29:$GC$641,5,0)</f>
        <v>ВУ ОНГКМ</v>
      </c>
      <c r="E92" s="426" t="str">
        <f>VLOOKUP($C92,'ТР нефть'!$A$29:$GC$641,8,0)</f>
        <v>ТЛ-4</v>
      </c>
      <c r="F92" s="427" t="str">
        <f>VLOOKUP($C92,'ТР нефть'!$A$29:$GC$641,11,0)</f>
        <v>К-98</v>
      </c>
      <c r="G92" s="424" t="str">
        <f>VLOOKUP($C92,'ТР нефть'!$A$29:$GC$641,47,0)</f>
        <v>Газлифт</v>
      </c>
      <c r="H92" s="428">
        <f>VLOOKUP($C92,'ТР нефть'!$A$29:$GC$641,135,0)</f>
        <v>65</v>
      </c>
      <c r="I92" s="429">
        <f>VLOOKUP($C92,'ТР нефть'!$A$29:$GC$641,136,0)</f>
        <v>24</v>
      </c>
      <c r="J92" s="429">
        <f>VLOOKUP($C92,'ТР нефть'!$A$29:$GC$641,137,0)</f>
        <v>48</v>
      </c>
      <c r="K92" s="429">
        <f>VLOOKUP($C92,'ТР нефть'!$A$29:$GC$641,138,0)</f>
        <v>23</v>
      </c>
      <c r="L92" s="429" t="str">
        <f>VLOOKUP($C92,'ТР нефть'!$A$29:$GC$641,139,0)</f>
        <v>Постоянный</v>
      </c>
      <c r="M92" s="429">
        <f>VLOOKUP($C92,'ТР нефть'!$A$29:$GC$641,140,0)</f>
        <v>24</v>
      </c>
      <c r="N92" s="429">
        <f>VLOOKUP($C92,'ТР нефть'!$A$29:$GC$641,141,0)</f>
        <v>0</v>
      </c>
      <c r="O92" s="430">
        <f>VLOOKUP($C92,'ТР нефть'!$A$29:$GC$641,142,0)</f>
        <v>10.052064</v>
      </c>
      <c r="P92" s="431">
        <f>VLOOKUP($C92,'ТР нефть'!$A$29:$GC$641,143,0)</f>
        <v>16.7</v>
      </c>
      <c r="Q92" s="432">
        <f>VLOOKUP($C92,'ТР нефть'!$A$29:$GC$641,144,0)</f>
        <v>28</v>
      </c>
      <c r="R92" s="429">
        <f>VLOOKUP($C92,'ТР нефть'!$A$29:$GC$641,145,0)</f>
        <v>28</v>
      </c>
      <c r="S92" s="429">
        <f>VLOOKUP($C92,'ТР нефть'!$A$29:$GC$641,146,0)</f>
        <v>1711.0913738710776</v>
      </c>
      <c r="T92" s="429">
        <f>VLOOKUP($C92,'ТР нефть'!$A$29:$GC$641,149,0)</f>
        <v>60</v>
      </c>
      <c r="U92" s="433">
        <f>VLOOKUP($C92,'ТР нефть'!$A$29:$GC$641,150,0)</f>
        <v>0.15754716981132075</v>
      </c>
      <c r="V92" s="434" t="str">
        <f>VLOOKUP($C92,'ТР нефть'!$A$29:$GC$641,47,0)</f>
        <v>Газлифт</v>
      </c>
      <c r="W92" s="428">
        <f>VLOOKUP($C92,'ТР нефть'!$A$29:$GC$641,74,0)</f>
        <v>65</v>
      </c>
      <c r="X92" s="429">
        <f>VLOOKUP($C92,'ТР нефть'!$A$29:$GC$641,79,0)</f>
        <v>20</v>
      </c>
      <c r="Y92" s="429">
        <f>VLOOKUP($C92,'ТР нефть'!$A$29:$GC$641,80,0)</f>
        <v>48</v>
      </c>
      <c r="Z92" s="429">
        <f>VLOOKUP($C92,'ТР нефть'!$A$29:$GC$641,81,0)</f>
        <v>19</v>
      </c>
      <c r="AA92" s="429" t="str">
        <f>VLOOKUP($C92,'ТР нефть'!$A$29:$GC$641,76,0)</f>
        <v>Постоянный</v>
      </c>
      <c r="AB92" s="429">
        <f>VLOOKUP($C92,'ТР нефть'!$A$29:$GC$641,77,0)</f>
        <v>24</v>
      </c>
      <c r="AC92" s="429">
        <f>VLOOKUP($C92,'ТР нефть'!$A$29:$GC$641,78,0)</f>
        <v>0</v>
      </c>
      <c r="AD92" s="430">
        <f>VLOOKUP($C92,'ТР нефть'!$A$29:$GC$641,93,0)</f>
        <v>5.88544</v>
      </c>
      <c r="AE92" s="431">
        <f>VLOOKUP($C92,'ТР нефть'!$A$29:$GC$641,94,0)</f>
        <v>11</v>
      </c>
      <c r="AF92" s="432">
        <f>VLOOKUP($C92,'ТР нефть'!$A$29:$GC$641,95,0)</f>
        <v>36</v>
      </c>
      <c r="AG92" s="429">
        <f>VLOOKUP($C92,'ТР нефть'!$A$29:$GC$641,99,0)</f>
        <v>16</v>
      </c>
      <c r="AH92" s="429">
        <f>VLOOKUP($C92,'ТР нефть'!$A$29:$GC$641,100,0)</f>
        <v>2718.5732927359722</v>
      </c>
      <c r="AI92" s="429">
        <f>VLOOKUP($C92,'ТР нефть'!$A$29:$GC$641,92,0)</f>
        <v>60</v>
      </c>
      <c r="AJ92" s="435">
        <f>VLOOKUP($C92,'ТР нефть'!$A$29:$GC$641,102,0)</f>
        <v>0.10377358490566038</v>
      </c>
      <c r="AK92" s="436">
        <f>W92-H92</f>
        <v>0</v>
      </c>
      <c r="AL92" s="429">
        <f>X92-I92</f>
        <v>-4</v>
      </c>
      <c r="AM92" s="429">
        <f>Y92-J92</f>
        <v>0</v>
      </c>
      <c r="AN92" s="429">
        <f>Z92-K92</f>
        <v>-4</v>
      </c>
      <c r="AO92" s="429">
        <f t="shared" si="12"/>
        <v>0</v>
      </c>
      <c r="AP92" s="429">
        <f t="shared" si="12"/>
        <v>0</v>
      </c>
      <c r="AQ92" s="430">
        <f t="shared" si="12"/>
        <v>-4.1666239999999997</v>
      </c>
      <c r="AR92" s="431">
        <f t="shared" si="12"/>
        <v>-5.6999999999999993</v>
      </c>
      <c r="AS92" s="432">
        <f t="shared" si="12"/>
        <v>8</v>
      </c>
      <c r="AT92" s="429">
        <f t="shared" si="12"/>
        <v>-12</v>
      </c>
      <c r="AU92" s="429">
        <f t="shared" si="12"/>
        <v>1007.4819188648946</v>
      </c>
      <c r="AV92" s="429">
        <f t="shared" si="12"/>
        <v>0</v>
      </c>
      <c r="AW92" s="439">
        <f t="shared" si="12"/>
        <v>-5.3773584905660365E-2</v>
      </c>
      <c r="AX92" s="424" t="str">
        <f>VLOOKUP($C92,'ТР нефть'!$A$29:$GC$641,182,0)</f>
        <v>% база</v>
      </c>
      <c r="AY92" s="439" t="str">
        <f>VLOOKUP($C92,'ТР нефть'!$A$29:$GC$641,183,0)</f>
        <v>Отмечается динамика увеличения обводненности проукции, что подтверждается показаниями обв. по массомеру.</v>
      </c>
      <c r="AZ92" s="440">
        <f>AD92</f>
        <v>5.88544</v>
      </c>
      <c r="BA92" s="441">
        <f>AE92</f>
        <v>11</v>
      </c>
      <c r="BB92" s="429">
        <f>AF92</f>
        <v>36</v>
      </c>
      <c r="BC92" s="442"/>
      <c r="BD92" s="513"/>
    </row>
    <row r="93" spans="1:57" s="1139" customFormat="1" ht="40.5" hidden="1" customHeight="1" x14ac:dyDescent="0.25">
      <c r="A93" s="373"/>
      <c r="B93" s="444"/>
      <c r="C93" s="485"/>
      <c r="D93" s="446"/>
      <c r="E93" s="446"/>
      <c r="F93" s="514"/>
      <c r="G93" s="444"/>
      <c r="H93" s="448"/>
      <c r="I93" s="449"/>
      <c r="J93" s="449"/>
      <c r="K93" s="449"/>
      <c r="L93" s="449"/>
      <c r="M93" s="449"/>
      <c r="N93" s="449"/>
      <c r="O93" s="450"/>
      <c r="P93" s="451"/>
      <c r="Q93" s="452"/>
      <c r="R93" s="449"/>
      <c r="S93" s="449"/>
      <c r="T93" s="449"/>
      <c r="U93" s="453"/>
      <c r="V93" s="515"/>
      <c r="W93" s="448"/>
      <c r="X93" s="449"/>
      <c r="Y93" s="449"/>
      <c r="Z93" s="449"/>
      <c r="AA93" s="449"/>
      <c r="AB93" s="449"/>
      <c r="AC93" s="449"/>
      <c r="AD93" s="450"/>
      <c r="AE93" s="451"/>
      <c r="AF93" s="452"/>
      <c r="AG93" s="449"/>
      <c r="AH93" s="449"/>
      <c r="AI93" s="449"/>
      <c r="AJ93" s="455"/>
      <c r="AK93" s="456"/>
      <c r="AL93" s="449"/>
      <c r="AM93" s="449"/>
      <c r="AN93" s="449"/>
      <c r="AO93" s="449"/>
      <c r="AP93" s="449"/>
      <c r="AQ93" s="450"/>
      <c r="AR93" s="451"/>
      <c r="AS93" s="452"/>
      <c r="AT93" s="449"/>
      <c r="AU93" s="449"/>
      <c r="AV93" s="449"/>
      <c r="AW93" s="457"/>
      <c r="AX93" s="444"/>
      <c r="AY93" s="457"/>
      <c r="AZ93" s="458"/>
      <c r="BA93" s="459"/>
      <c r="BB93" s="449"/>
      <c r="BC93" s="460"/>
      <c r="BD93" s="461"/>
    </row>
    <row r="94" spans="1:57" ht="40.5" hidden="1" customHeight="1" x14ac:dyDescent="0.25">
      <c r="A94" s="373"/>
      <c r="B94" s="444"/>
      <c r="C94" s="516"/>
      <c r="D94" s="446"/>
      <c r="E94" s="446"/>
      <c r="F94" s="514"/>
      <c r="G94" s="392"/>
      <c r="H94" s="396"/>
      <c r="I94" s="397"/>
      <c r="J94" s="397"/>
      <c r="K94" s="397"/>
      <c r="L94" s="397"/>
      <c r="M94" s="397"/>
      <c r="N94" s="397"/>
      <c r="O94" s="398"/>
      <c r="P94" s="399"/>
      <c r="Q94" s="400"/>
      <c r="R94" s="397"/>
      <c r="S94" s="397"/>
      <c r="T94" s="397"/>
      <c r="U94" s="401"/>
      <c r="V94" s="515"/>
      <c r="W94" s="448"/>
      <c r="X94" s="449"/>
      <c r="Y94" s="449"/>
      <c r="Z94" s="449"/>
      <c r="AA94" s="449"/>
      <c r="AB94" s="449"/>
      <c r="AC94" s="449"/>
      <c r="AD94" s="450"/>
      <c r="AE94" s="451"/>
      <c r="AF94" s="452"/>
      <c r="AG94" s="449"/>
      <c r="AH94" s="449"/>
      <c r="AI94" s="449"/>
      <c r="AJ94" s="455"/>
      <c r="AK94" s="456"/>
      <c r="AL94" s="449"/>
      <c r="AM94" s="449"/>
      <c r="AN94" s="449"/>
      <c r="AO94" s="449"/>
      <c r="AP94" s="449"/>
      <c r="AQ94" s="450"/>
      <c r="AR94" s="451"/>
      <c r="AS94" s="452"/>
      <c r="AT94" s="449"/>
      <c r="AU94" s="449"/>
      <c r="AV94" s="449"/>
      <c r="AW94" s="457"/>
      <c r="AX94" s="392"/>
      <c r="AY94" s="406"/>
      <c r="AZ94" s="458"/>
      <c r="BA94" s="459"/>
      <c r="BB94" s="449"/>
      <c r="BC94" s="460"/>
      <c r="BD94" s="461"/>
    </row>
    <row r="95" spans="1:57" ht="40.5" hidden="1" customHeight="1" thickBot="1" x14ac:dyDescent="0.3">
      <c r="A95" s="373"/>
      <c r="B95" s="424"/>
      <c r="C95" s="495"/>
      <c r="D95" s="426"/>
      <c r="E95" s="426"/>
      <c r="F95" s="427"/>
      <c r="G95" s="424"/>
      <c r="H95" s="428"/>
      <c r="I95" s="429"/>
      <c r="J95" s="429"/>
      <c r="K95" s="429"/>
      <c r="L95" s="429"/>
      <c r="M95" s="429"/>
      <c r="N95" s="429"/>
      <c r="O95" s="430"/>
      <c r="P95" s="431"/>
      <c r="Q95" s="432"/>
      <c r="R95" s="429"/>
      <c r="S95" s="429"/>
      <c r="T95" s="429"/>
      <c r="U95" s="433"/>
      <c r="V95" s="517"/>
      <c r="W95" s="428"/>
      <c r="X95" s="429"/>
      <c r="Y95" s="429"/>
      <c r="Z95" s="429"/>
      <c r="AA95" s="429"/>
      <c r="AB95" s="429"/>
      <c r="AC95" s="429"/>
      <c r="AD95" s="430"/>
      <c r="AE95" s="431"/>
      <c r="AF95" s="432"/>
      <c r="AG95" s="429"/>
      <c r="AH95" s="429"/>
      <c r="AI95" s="429"/>
      <c r="AJ95" s="435"/>
      <c r="AK95" s="436"/>
      <c r="AL95" s="429"/>
      <c r="AM95" s="429"/>
      <c r="AN95" s="429"/>
      <c r="AO95" s="429"/>
      <c r="AP95" s="429"/>
      <c r="AQ95" s="430"/>
      <c r="AR95" s="431"/>
      <c r="AS95" s="432"/>
      <c r="AT95" s="429"/>
      <c r="AU95" s="429"/>
      <c r="AV95" s="429"/>
      <c r="AW95" s="439"/>
      <c r="AX95" s="424"/>
      <c r="AY95" s="439"/>
      <c r="AZ95" s="466"/>
      <c r="BA95" s="441"/>
      <c r="BB95" s="429"/>
      <c r="BC95" s="442"/>
      <c r="BD95" s="443"/>
    </row>
    <row r="96" spans="1:57" ht="40.5" hidden="1" customHeight="1" outlineLevel="1" thickBot="1" x14ac:dyDescent="0.3">
      <c r="A96" s="373"/>
      <c r="B96" s="467">
        <f>SUBTOTAL(3,$C$90:C96)</f>
        <v>3</v>
      </c>
      <c r="C96" s="518"/>
      <c r="D96" s="469"/>
      <c r="E96" s="469"/>
      <c r="F96" s="519"/>
      <c r="G96" s="467"/>
      <c r="H96" s="471"/>
      <c r="I96" s="472"/>
      <c r="J96" s="472"/>
      <c r="K96" s="472"/>
      <c r="L96" s="472"/>
      <c r="M96" s="472"/>
      <c r="N96" s="472"/>
      <c r="O96" s="473"/>
      <c r="P96" s="474"/>
      <c r="Q96" s="475"/>
      <c r="R96" s="472"/>
      <c r="S96" s="472"/>
      <c r="T96" s="472"/>
      <c r="U96" s="476"/>
      <c r="V96" s="520"/>
      <c r="W96" s="471"/>
      <c r="X96" s="472"/>
      <c r="Y96" s="472"/>
      <c r="Z96" s="472"/>
      <c r="AA96" s="472"/>
      <c r="AB96" s="472"/>
      <c r="AC96" s="472"/>
      <c r="AD96" s="473"/>
      <c r="AE96" s="474"/>
      <c r="AF96" s="475"/>
      <c r="AG96" s="472"/>
      <c r="AH96" s="472"/>
      <c r="AI96" s="472"/>
      <c r="AJ96" s="478"/>
      <c r="AK96" s="479"/>
      <c r="AL96" s="472"/>
      <c r="AM96" s="472"/>
      <c r="AN96" s="472"/>
      <c r="AO96" s="472"/>
      <c r="AP96" s="472"/>
      <c r="AQ96" s="473"/>
      <c r="AR96" s="474"/>
      <c r="AS96" s="475"/>
      <c r="AT96" s="472"/>
      <c r="AU96" s="472"/>
      <c r="AV96" s="472"/>
      <c r="AW96" s="521"/>
      <c r="AX96" s="471"/>
      <c r="AY96" s="522"/>
      <c r="AZ96" s="481"/>
      <c r="BA96" s="482"/>
      <c r="BB96" s="472"/>
      <c r="BC96" s="483"/>
      <c r="BD96" s="484"/>
    </row>
    <row r="97" spans="1:57" ht="40.5" hidden="1" customHeight="1" outlineLevel="1" x14ac:dyDescent="0.25">
      <c r="A97" s="373"/>
      <c r="B97" s="444">
        <f>SUBTOTAL(3,$C$90:C97)</f>
        <v>3</v>
      </c>
      <c r="C97" s="516"/>
      <c r="D97" s="446"/>
      <c r="E97" s="446"/>
      <c r="F97" s="514"/>
      <c r="G97" s="444"/>
      <c r="H97" s="448"/>
      <c r="I97" s="449"/>
      <c r="J97" s="449"/>
      <c r="K97" s="449"/>
      <c r="L97" s="449"/>
      <c r="M97" s="449"/>
      <c r="N97" s="449"/>
      <c r="O97" s="450"/>
      <c r="P97" s="451"/>
      <c r="Q97" s="452"/>
      <c r="R97" s="449"/>
      <c r="S97" s="449"/>
      <c r="T97" s="449"/>
      <c r="U97" s="453"/>
      <c r="V97" s="515"/>
      <c r="W97" s="448"/>
      <c r="X97" s="449"/>
      <c r="Y97" s="449"/>
      <c r="Z97" s="449"/>
      <c r="AA97" s="449"/>
      <c r="AB97" s="449"/>
      <c r="AC97" s="449"/>
      <c r="AD97" s="450"/>
      <c r="AE97" s="451"/>
      <c r="AF97" s="452"/>
      <c r="AG97" s="449"/>
      <c r="AH97" s="449"/>
      <c r="AI97" s="449"/>
      <c r="AJ97" s="455"/>
      <c r="AK97" s="456"/>
      <c r="AL97" s="449"/>
      <c r="AM97" s="449"/>
      <c r="AN97" s="449"/>
      <c r="AO97" s="449"/>
      <c r="AP97" s="449"/>
      <c r="AQ97" s="450"/>
      <c r="AR97" s="451"/>
      <c r="AS97" s="452"/>
      <c r="AT97" s="449"/>
      <c r="AU97" s="449"/>
      <c r="AV97" s="449"/>
      <c r="AW97" s="523"/>
      <c r="AX97" s="448"/>
      <c r="AY97" s="488"/>
      <c r="AZ97" s="458"/>
      <c r="BA97" s="459"/>
      <c r="BB97" s="449"/>
      <c r="BC97" s="460"/>
      <c r="BD97" s="461"/>
    </row>
    <row r="98" spans="1:57" ht="40.5" hidden="1" customHeight="1" outlineLevel="1" x14ac:dyDescent="0.25">
      <c r="A98" s="373"/>
      <c r="B98" s="392">
        <f>SUBTOTAL(3,$C$90:C98)</f>
        <v>3</v>
      </c>
      <c r="C98" s="490"/>
      <c r="D98" s="394"/>
      <c r="E98" s="394"/>
      <c r="F98" s="395"/>
      <c r="G98" s="392"/>
      <c r="H98" s="396"/>
      <c r="I98" s="397"/>
      <c r="J98" s="397"/>
      <c r="K98" s="397"/>
      <c r="L98" s="397"/>
      <c r="M98" s="397"/>
      <c r="N98" s="397"/>
      <c r="O98" s="398"/>
      <c r="P98" s="399"/>
      <c r="Q98" s="400"/>
      <c r="R98" s="397"/>
      <c r="S98" s="397"/>
      <c r="T98" s="397"/>
      <c r="U98" s="401"/>
      <c r="V98" s="524"/>
      <c r="W98" s="396"/>
      <c r="X98" s="397"/>
      <c r="Y98" s="397"/>
      <c r="Z98" s="397"/>
      <c r="AA98" s="397"/>
      <c r="AB98" s="397"/>
      <c r="AC98" s="397"/>
      <c r="AD98" s="398"/>
      <c r="AE98" s="399"/>
      <c r="AF98" s="400"/>
      <c r="AG98" s="397"/>
      <c r="AH98" s="397"/>
      <c r="AI98" s="397"/>
      <c r="AJ98" s="403"/>
      <c r="AK98" s="404"/>
      <c r="AL98" s="397"/>
      <c r="AM98" s="397"/>
      <c r="AN98" s="397"/>
      <c r="AO98" s="397"/>
      <c r="AP98" s="397"/>
      <c r="AQ98" s="398"/>
      <c r="AR98" s="399"/>
      <c r="AS98" s="400"/>
      <c r="AT98" s="397"/>
      <c r="AU98" s="397"/>
      <c r="AV98" s="397"/>
      <c r="AW98" s="525"/>
      <c r="AX98" s="396"/>
      <c r="AY98" s="493"/>
      <c r="AZ98" s="463"/>
      <c r="BA98" s="408"/>
      <c r="BB98" s="397"/>
      <c r="BC98" s="409"/>
      <c r="BD98" s="410"/>
    </row>
    <row r="99" spans="1:57" ht="40.5" hidden="1" customHeight="1" outlineLevel="1" x14ac:dyDescent="0.25">
      <c r="A99" s="373"/>
      <c r="B99" s="392">
        <f>SUBTOTAL(3,$C$90:C99)</f>
        <v>3</v>
      </c>
      <c r="C99" s="490"/>
      <c r="D99" s="394"/>
      <c r="E99" s="394"/>
      <c r="F99" s="395"/>
      <c r="G99" s="392"/>
      <c r="H99" s="396"/>
      <c r="I99" s="397"/>
      <c r="J99" s="397"/>
      <c r="K99" s="397"/>
      <c r="L99" s="397"/>
      <c r="M99" s="397"/>
      <c r="N99" s="397"/>
      <c r="O99" s="398"/>
      <c r="P99" s="399"/>
      <c r="Q99" s="400"/>
      <c r="R99" s="397"/>
      <c r="S99" s="397"/>
      <c r="T99" s="397"/>
      <c r="U99" s="401"/>
      <c r="V99" s="524"/>
      <c r="W99" s="396"/>
      <c r="X99" s="397"/>
      <c r="Y99" s="397"/>
      <c r="Z99" s="397"/>
      <c r="AA99" s="397"/>
      <c r="AB99" s="397"/>
      <c r="AC99" s="397"/>
      <c r="AD99" s="398"/>
      <c r="AE99" s="399"/>
      <c r="AF99" s="400"/>
      <c r="AG99" s="397"/>
      <c r="AH99" s="397"/>
      <c r="AI99" s="397"/>
      <c r="AJ99" s="403"/>
      <c r="AK99" s="404"/>
      <c r="AL99" s="397"/>
      <c r="AM99" s="397"/>
      <c r="AN99" s="397"/>
      <c r="AO99" s="397"/>
      <c r="AP99" s="397"/>
      <c r="AQ99" s="398"/>
      <c r="AR99" s="399"/>
      <c r="AS99" s="400"/>
      <c r="AT99" s="397"/>
      <c r="AU99" s="397"/>
      <c r="AV99" s="397"/>
      <c r="AW99" s="525"/>
      <c r="AX99" s="396"/>
      <c r="AY99" s="493"/>
      <c r="AZ99" s="463"/>
      <c r="BA99" s="408"/>
      <c r="BB99" s="397"/>
      <c r="BC99" s="409"/>
      <c r="BD99" s="410"/>
    </row>
    <row r="100" spans="1:57" ht="40.5" hidden="1" customHeight="1" outlineLevel="1" x14ac:dyDescent="0.25">
      <c r="A100" s="373"/>
      <c r="B100" s="392">
        <f>SUBTOTAL(3,$C$90:C100)</f>
        <v>3</v>
      </c>
      <c r="C100" s="490"/>
      <c r="D100" s="394"/>
      <c r="E100" s="394"/>
      <c r="F100" s="395"/>
      <c r="G100" s="392"/>
      <c r="H100" s="396"/>
      <c r="I100" s="397"/>
      <c r="J100" s="397"/>
      <c r="K100" s="397"/>
      <c r="L100" s="397"/>
      <c r="M100" s="397"/>
      <c r="N100" s="397"/>
      <c r="O100" s="398"/>
      <c r="P100" s="399"/>
      <c r="Q100" s="400"/>
      <c r="R100" s="397"/>
      <c r="S100" s="397"/>
      <c r="T100" s="397"/>
      <c r="U100" s="401"/>
      <c r="V100" s="524"/>
      <c r="W100" s="396"/>
      <c r="X100" s="397"/>
      <c r="Y100" s="397"/>
      <c r="Z100" s="397"/>
      <c r="AA100" s="397"/>
      <c r="AB100" s="397"/>
      <c r="AC100" s="397"/>
      <c r="AD100" s="398"/>
      <c r="AE100" s="399"/>
      <c r="AF100" s="400"/>
      <c r="AG100" s="397"/>
      <c r="AH100" s="397"/>
      <c r="AI100" s="397"/>
      <c r="AJ100" s="403"/>
      <c r="AK100" s="404"/>
      <c r="AL100" s="397"/>
      <c r="AM100" s="397"/>
      <c r="AN100" s="397"/>
      <c r="AO100" s="397"/>
      <c r="AP100" s="397"/>
      <c r="AQ100" s="398"/>
      <c r="AR100" s="399"/>
      <c r="AS100" s="400"/>
      <c r="AT100" s="397"/>
      <c r="AU100" s="397"/>
      <c r="AV100" s="397"/>
      <c r="AW100" s="525"/>
      <c r="AX100" s="396"/>
      <c r="AY100" s="493"/>
      <c r="AZ100" s="463"/>
      <c r="BA100" s="408"/>
      <c r="BB100" s="397"/>
      <c r="BC100" s="409"/>
      <c r="BD100" s="410"/>
    </row>
    <row r="101" spans="1:57" ht="40.5" hidden="1" customHeight="1" outlineLevel="1" x14ac:dyDescent="0.25">
      <c r="A101" s="373"/>
      <c r="B101" s="392">
        <f>SUBTOTAL(3,$C$90:C101)</f>
        <v>3</v>
      </c>
      <c r="C101" s="490"/>
      <c r="D101" s="394"/>
      <c r="E101" s="394"/>
      <c r="F101" s="395"/>
      <c r="G101" s="392"/>
      <c r="H101" s="396"/>
      <c r="I101" s="397"/>
      <c r="J101" s="397"/>
      <c r="K101" s="397"/>
      <c r="L101" s="397"/>
      <c r="M101" s="397"/>
      <c r="N101" s="397"/>
      <c r="O101" s="398"/>
      <c r="P101" s="399"/>
      <c r="Q101" s="400"/>
      <c r="R101" s="397"/>
      <c r="S101" s="397"/>
      <c r="T101" s="397"/>
      <c r="U101" s="401"/>
      <c r="V101" s="524"/>
      <c r="W101" s="396"/>
      <c r="X101" s="397"/>
      <c r="Y101" s="397"/>
      <c r="Z101" s="397"/>
      <c r="AA101" s="397"/>
      <c r="AB101" s="397"/>
      <c r="AC101" s="397"/>
      <c r="AD101" s="398"/>
      <c r="AE101" s="399"/>
      <c r="AF101" s="400"/>
      <c r="AG101" s="397"/>
      <c r="AH101" s="397"/>
      <c r="AI101" s="397"/>
      <c r="AJ101" s="403"/>
      <c r="AK101" s="404"/>
      <c r="AL101" s="397"/>
      <c r="AM101" s="397"/>
      <c r="AN101" s="397"/>
      <c r="AO101" s="397"/>
      <c r="AP101" s="397"/>
      <c r="AQ101" s="398"/>
      <c r="AR101" s="399"/>
      <c r="AS101" s="400"/>
      <c r="AT101" s="397"/>
      <c r="AU101" s="397"/>
      <c r="AV101" s="397"/>
      <c r="AW101" s="525"/>
      <c r="AX101" s="396"/>
      <c r="AY101" s="493"/>
      <c r="AZ101" s="463"/>
      <c r="BA101" s="408"/>
      <c r="BB101" s="397"/>
      <c r="BC101" s="409"/>
      <c r="BD101" s="410"/>
    </row>
    <row r="102" spans="1:57" ht="40.5" hidden="1" customHeight="1" outlineLevel="1" x14ac:dyDescent="0.25">
      <c r="A102" s="373"/>
      <c r="B102" s="392">
        <f>SUBTOTAL(3,$C$90:C102)</f>
        <v>3</v>
      </c>
      <c r="C102" s="490"/>
      <c r="D102" s="394"/>
      <c r="E102" s="394"/>
      <c r="F102" s="395"/>
      <c r="G102" s="392"/>
      <c r="H102" s="396"/>
      <c r="I102" s="397"/>
      <c r="J102" s="397"/>
      <c r="K102" s="397"/>
      <c r="L102" s="397"/>
      <c r="M102" s="397"/>
      <c r="N102" s="397"/>
      <c r="O102" s="398"/>
      <c r="P102" s="399"/>
      <c r="Q102" s="400"/>
      <c r="R102" s="397"/>
      <c r="S102" s="397"/>
      <c r="T102" s="397"/>
      <c r="U102" s="401"/>
      <c r="V102" s="524"/>
      <c r="W102" s="396"/>
      <c r="X102" s="397"/>
      <c r="Y102" s="397"/>
      <c r="Z102" s="397"/>
      <c r="AA102" s="397"/>
      <c r="AB102" s="397"/>
      <c r="AC102" s="397"/>
      <c r="AD102" s="398"/>
      <c r="AE102" s="399"/>
      <c r="AF102" s="400"/>
      <c r="AG102" s="397"/>
      <c r="AH102" s="397"/>
      <c r="AI102" s="397"/>
      <c r="AJ102" s="403"/>
      <c r="AK102" s="404"/>
      <c r="AL102" s="397"/>
      <c r="AM102" s="397"/>
      <c r="AN102" s="397"/>
      <c r="AO102" s="397"/>
      <c r="AP102" s="397"/>
      <c r="AQ102" s="398"/>
      <c r="AR102" s="399"/>
      <c r="AS102" s="400"/>
      <c r="AT102" s="397"/>
      <c r="AU102" s="397"/>
      <c r="AV102" s="397"/>
      <c r="AW102" s="525"/>
      <c r="AX102" s="396"/>
      <c r="AY102" s="493"/>
      <c r="AZ102" s="463"/>
      <c r="BA102" s="408"/>
      <c r="BB102" s="397"/>
      <c r="BC102" s="409"/>
      <c r="BD102" s="410"/>
    </row>
    <row r="103" spans="1:57" ht="40.5" hidden="1" customHeight="1" outlineLevel="1" x14ac:dyDescent="0.25">
      <c r="A103" s="373"/>
      <c r="B103" s="392">
        <f>SUBTOTAL(3,$C$90:C103)</f>
        <v>3</v>
      </c>
      <c r="C103" s="490"/>
      <c r="D103" s="394"/>
      <c r="E103" s="394"/>
      <c r="F103" s="395"/>
      <c r="G103" s="392"/>
      <c r="H103" s="396"/>
      <c r="I103" s="397"/>
      <c r="J103" s="397"/>
      <c r="K103" s="397"/>
      <c r="L103" s="397"/>
      <c r="M103" s="397"/>
      <c r="N103" s="397"/>
      <c r="O103" s="398"/>
      <c r="P103" s="399"/>
      <c r="Q103" s="400"/>
      <c r="R103" s="397"/>
      <c r="S103" s="397"/>
      <c r="T103" s="397"/>
      <c r="U103" s="401"/>
      <c r="V103" s="524"/>
      <c r="W103" s="396"/>
      <c r="X103" s="397"/>
      <c r="Y103" s="397"/>
      <c r="Z103" s="397"/>
      <c r="AA103" s="397"/>
      <c r="AB103" s="397"/>
      <c r="AC103" s="397"/>
      <c r="AD103" s="398"/>
      <c r="AE103" s="399"/>
      <c r="AF103" s="400"/>
      <c r="AG103" s="397"/>
      <c r="AH103" s="397"/>
      <c r="AI103" s="397"/>
      <c r="AJ103" s="403"/>
      <c r="AK103" s="404"/>
      <c r="AL103" s="397"/>
      <c r="AM103" s="397"/>
      <c r="AN103" s="397"/>
      <c r="AO103" s="397"/>
      <c r="AP103" s="397"/>
      <c r="AQ103" s="398"/>
      <c r="AR103" s="399"/>
      <c r="AS103" s="400"/>
      <c r="AT103" s="397"/>
      <c r="AU103" s="397"/>
      <c r="AV103" s="397"/>
      <c r="AW103" s="525"/>
      <c r="AX103" s="396"/>
      <c r="AY103" s="493"/>
      <c r="AZ103" s="463"/>
      <c r="BA103" s="408"/>
      <c r="BB103" s="397"/>
      <c r="BC103" s="409"/>
      <c r="BD103" s="410"/>
    </row>
    <row r="104" spans="1:57" ht="40.5" hidden="1" customHeight="1" outlineLevel="1" thickBot="1" x14ac:dyDescent="0.3">
      <c r="A104" s="373"/>
      <c r="B104" s="392">
        <f>SUBTOTAL(3,$C$90:C104)</f>
        <v>3</v>
      </c>
      <c r="C104" s="490"/>
      <c r="D104" s="394"/>
      <c r="E104" s="394"/>
      <c r="F104" s="395"/>
      <c r="G104" s="392"/>
      <c r="H104" s="396"/>
      <c r="I104" s="397"/>
      <c r="J104" s="397"/>
      <c r="K104" s="397"/>
      <c r="L104" s="397"/>
      <c r="M104" s="397"/>
      <c r="N104" s="397"/>
      <c r="O104" s="398"/>
      <c r="P104" s="399"/>
      <c r="Q104" s="400"/>
      <c r="R104" s="397"/>
      <c r="S104" s="397"/>
      <c r="T104" s="397"/>
      <c r="U104" s="401"/>
      <c r="V104" s="524"/>
      <c r="W104" s="396"/>
      <c r="X104" s="397"/>
      <c r="Y104" s="397"/>
      <c r="Z104" s="397"/>
      <c r="AA104" s="397"/>
      <c r="AB104" s="397"/>
      <c r="AC104" s="397"/>
      <c r="AD104" s="398"/>
      <c r="AE104" s="399"/>
      <c r="AF104" s="400"/>
      <c r="AG104" s="397"/>
      <c r="AH104" s="397"/>
      <c r="AI104" s="397"/>
      <c r="AJ104" s="403"/>
      <c r="AK104" s="404"/>
      <c r="AL104" s="397"/>
      <c r="AM104" s="397"/>
      <c r="AN104" s="397"/>
      <c r="AO104" s="397"/>
      <c r="AP104" s="397"/>
      <c r="AQ104" s="398"/>
      <c r="AR104" s="399"/>
      <c r="AS104" s="400"/>
      <c r="AT104" s="397"/>
      <c r="AU104" s="397"/>
      <c r="AV104" s="397"/>
      <c r="AW104" s="525"/>
      <c r="AX104" s="396"/>
      <c r="AY104" s="493"/>
      <c r="AZ104" s="463"/>
      <c r="BA104" s="408"/>
      <c r="BB104" s="397"/>
      <c r="BC104" s="409"/>
      <c r="BD104" s="410"/>
    </row>
    <row r="105" spans="1:57" ht="40.5" hidden="1" customHeight="1" outlineLevel="1" thickBot="1" x14ac:dyDescent="0.3">
      <c r="A105" s="373"/>
      <c r="B105" s="424">
        <f>SUBTOTAL(3,$C$90:C105)</f>
        <v>3</v>
      </c>
      <c r="C105" s="495"/>
      <c r="D105" s="426"/>
      <c r="E105" s="426"/>
      <c r="F105" s="427"/>
      <c r="G105" s="424"/>
      <c r="H105" s="526"/>
      <c r="I105" s="527"/>
      <c r="J105" s="527"/>
      <c r="K105" s="527"/>
      <c r="L105" s="527"/>
      <c r="M105" s="527"/>
      <c r="N105" s="527"/>
      <c r="O105" s="528"/>
      <c r="P105" s="529"/>
      <c r="Q105" s="530"/>
      <c r="R105" s="527"/>
      <c r="S105" s="527"/>
      <c r="T105" s="527"/>
      <c r="U105" s="531"/>
      <c r="V105" s="434"/>
      <c r="W105" s="428"/>
      <c r="X105" s="429"/>
      <c r="Y105" s="429"/>
      <c r="Z105" s="429"/>
      <c r="AA105" s="429"/>
      <c r="AB105" s="429"/>
      <c r="AC105" s="429"/>
      <c r="AD105" s="430"/>
      <c r="AE105" s="431"/>
      <c r="AF105" s="432"/>
      <c r="AG105" s="429"/>
      <c r="AH105" s="429"/>
      <c r="AI105" s="429"/>
      <c r="AJ105" s="435"/>
      <c r="AK105" s="436"/>
      <c r="AL105" s="429"/>
      <c r="AM105" s="429"/>
      <c r="AN105" s="429"/>
      <c r="AO105" s="429"/>
      <c r="AP105" s="429"/>
      <c r="AQ105" s="430"/>
      <c r="AR105" s="431"/>
      <c r="AS105" s="432"/>
      <c r="AT105" s="429"/>
      <c r="AU105" s="429"/>
      <c r="AV105" s="429"/>
      <c r="AW105" s="439"/>
      <c r="AX105" s="532"/>
      <c r="AY105" s="533"/>
      <c r="AZ105" s="466"/>
      <c r="BA105" s="441"/>
      <c r="BB105" s="429"/>
      <c r="BC105" s="442"/>
      <c r="BD105" s="443"/>
    </row>
    <row r="106" spans="1:57" s="1128" customFormat="1" ht="29.25" customHeight="1" collapsed="1" thickBot="1" x14ac:dyDescent="0.3">
      <c r="A106" s="359"/>
      <c r="B106" s="758"/>
      <c r="C106" s="500"/>
      <c r="D106" s="500"/>
      <c r="E106" s="500"/>
      <c r="F106" s="500"/>
      <c r="G106" s="758"/>
      <c r="H106" s="758"/>
      <c r="I106" s="758"/>
      <c r="J106" s="501"/>
      <c r="K106" s="758"/>
      <c r="L106" s="758"/>
      <c r="M106" s="758"/>
      <c r="N106" s="758"/>
      <c r="O106" s="534">
        <f t="shared" ref="O106:P106" si="13">SUBTOTAL(9,O90:O96)</f>
        <v>28.026481999999987</v>
      </c>
      <c r="P106" s="535">
        <f t="shared" si="13"/>
        <v>294.8</v>
      </c>
      <c r="Q106" s="758"/>
      <c r="R106" s="758"/>
      <c r="S106" s="758"/>
      <c r="T106" s="758"/>
      <c r="U106" s="758"/>
      <c r="V106" s="758"/>
      <c r="W106" s="758"/>
      <c r="X106" s="501"/>
      <c r="Y106" s="501"/>
      <c r="Z106" s="758"/>
      <c r="AA106" s="758"/>
      <c r="AB106" s="758"/>
      <c r="AC106" s="758"/>
      <c r="AD106" s="536">
        <f>SUBTOTAL(9,AD90:AD96)</f>
        <v>18.918679999999998</v>
      </c>
      <c r="AE106" s="503">
        <f>SUBTOTAL(9,AE90:AE96)</f>
        <v>278</v>
      </c>
      <c r="AF106" s="758"/>
      <c r="AG106" s="758"/>
      <c r="AH106" s="758"/>
      <c r="AI106" s="758"/>
      <c r="AJ106" s="758"/>
      <c r="AK106" s="758"/>
      <c r="AL106" s="758"/>
      <c r="AM106" s="758"/>
      <c r="AN106" s="758"/>
      <c r="AO106" s="758"/>
      <c r="AP106" s="758"/>
      <c r="AQ106" s="537">
        <f t="shared" ref="AQ106:AR106" si="14">SUBTOTAL(9,AQ90:AQ96)</f>
        <v>-9.1078019999999906</v>
      </c>
      <c r="AR106" s="503">
        <f t="shared" si="14"/>
        <v>-16.799999999999994</v>
      </c>
      <c r="AS106" s="758"/>
      <c r="AT106" s="505"/>
      <c r="AU106" s="505"/>
      <c r="AV106" s="505"/>
      <c r="AW106" s="501"/>
      <c r="AX106" s="506"/>
      <c r="AY106" s="758"/>
      <c r="AZ106" s="538">
        <f>SUBTOTAL(9,AZ90:AZ95)</f>
        <v>18.918679999999998</v>
      </c>
      <c r="BA106" s="539">
        <f>SUBTOTAL(9,BA90:BA95)</f>
        <v>278</v>
      </c>
      <c r="BB106" s="758"/>
      <c r="BC106" s="758"/>
      <c r="BD106" s="758"/>
    </row>
    <row r="107" spans="1:57" s="1138" customFormat="1" ht="36.75" customHeight="1" thickBot="1" x14ac:dyDescent="0.3">
      <c r="A107" s="507"/>
      <c r="B107" s="507"/>
      <c r="C107" s="508"/>
      <c r="D107" s="508"/>
      <c r="E107" s="508"/>
      <c r="F107" s="508"/>
      <c r="G107" s="507"/>
      <c r="H107" s="507"/>
      <c r="I107" s="507"/>
      <c r="J107" s="509"/>
      <c r="K107" s="507"/>
      <c r="L107" s="507"/>
      <c r="M107" s="507"/>
      <c r="N107" s="507"/>
      <c r="O107" s="507"/>
      <c r="P107" s="507"/>
      <c r="Q107" s="507"/>
      <c r="R107" s="507"/>
      <c r="S107" s="507"/>
      <c r="T107" s="509"/>
      <c r="U107" s="509"/>
      <c r="V107" s="509"/>
      <c r="W107" s="509"/>
      <c r="X107" s="509"/>
      <c r="Y107" s="509"/>
      <c r="Z107" s="507"/>
      <c r="AA107" s="507"/>
      <c r="AB107" s="507"/>
      <c r="AC107" s="507"/>
      <c r="AD107" s="507"/>
      <c r="AE107" s="507"/>
      <c r="AF107" s="507"/>
      <c r="AG107" s="507"/>
      <c r="AH107" s="507"/>
      <c r="AI107" s="507"/>
      <c r="AJ107" s="507"/>
      <c r="AK107" s="507"/>
      <c r="AL107" s="507"/>
      <c r="AM107" s="507"/>
      <c r="AN107" s="507"/>
      <c r="AO107" s="510"/>
      <c r="AP107" s="510"/>
      <c r="AQ107" s="507"/>
      <c r="AR107" s="510"/>
      <c r="AS107" s="510"/>
      <c r="AT107" s="510"/>
      <c r="AU107" s="510"/>
      <c r="AV107" s="511"/>
      <c r="AW107" s="511"/>
      <c r="AX107" s="511"/>
      <c r="AY107" s="507"/>
      <c r="AZ107" s="507"/>
      <c r="BA107" s="507"/>
      <c r="BB107" s="507"/>
      <c r="BC107" s="507"/>
      <c r="BD107" s="507"/>
      <c r="BE107" s="507"/>
    </row>
    <row r="108" spans="1:57" s="1128" customFormat="1" ht="36.75" customHeight="1" thickBot="1" x14ac:dyDescent="0.3">
      <c r="A108" s="359"/>
      <c r="B108" s="811" t="s">
        <v>25</v>
      </c>
      <c r="C108" s="812"/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40"/>
      <c r="O108" s="540"/>
      <c r="P108" s="540"/>
      <c r="Q108" s="540"/>
      <c r="R108" s="540"/>
      <c r="S108" s="540"/>
      <c r="T108" s="540"/>
      <c r="U108" s="540"/>
      <c r="V108" s="540"/>
      <c r="W108" s="540"/>
      <c r="X108" s="540"/>
      <c r="Y108" s="540"/>
      <c r="Z108" s="540"/>
      <c r="AA108" s="540"/>
      <c r="AB108" s="540"/>
      <c r="AC108" s="540"/>
      <c r="AD108" s="540"/>
      <c r="AE108" s="540"/>
      <c r="AF108" s="540"/>
      <c r="AG108" s="540"/>
      <c r="AH108" s="540"/>
      <c r="AI108" s="540"/>
      <c r="AJ108" s="540"/>
      <c r="AK108" s="540"/>
      <c r="AL108" s="540"/>
      <c r="AM108" s="540"/>
      <c r="AN108" s="540"/>
      <c r="AO108" s="540"/>
      <c r="AP108" s="540"/>
      <c r="AQ108" s="540"/>
      <c r="AR108" s="540"/>
      <c r="AS108" s="540"/>
      <c r="AT108" s="540"/>
      <c r="AU108" s="540"/>
      <c r="AV108" s="540"/>
      <c r="AW108" s="540"/>
      <c r="AX108" s="540"/>
      <c r="AY108" s="540"/>
      <c r="AZ108" s="540"/>
      <c r="BA108" s="540"/>
      <c r="BB108" s="540"/>
      <c r="BC108" s="540"/>
      <c r="BD108" s="540"/>
    </row>
    <row r="109" spans="1:57" s="1136" customFormat="1" ht="36.75" customHeight="1" x14ac:dyDescent="0.25">
      <c r="A109" s="365"/>
      <c r="B109" s="813"/>
      <c r="C109" s="814"/>
      <c r="D109" s="814"/>
      <c r="E109" s="814"/>
      <c r="F109" s="815"/>
      <c r="G109" s="1129" t="str">
        <f>G87</f>
        <v>Режим за май 2023 г.</v>
      </c>
      <c r="H109" s="1130"/>
      <c r="I109" s="1130"/>
      <c r="J109" s="1130"/>
      <c r="K109" s="1130"/>
      <c r="L109" s="1130"/>
      <c r="M109" s="1130"/>
      <c r="N109" s="1130"/>
      <c r="O109" s="1130"/>
      <c r="P109" s="1130"/>
      <c r="Q109" s="1130"/>
      <c r="R109" s="1130"/>
      <c r="S109" s="1130"/>
      <c r="T109" s="1130"/>
      <c r="U109" s="1131"/>
      <c r="V109" s="1129" t="str">
        <f>V87</f>
        <v>Режим за июнь 2023 г.</v>
      </c>
      <c r="W109" s="1130"/>
      <c r="X109" s="1130"/>
      <c r="Y109" s="1130"/>
      <c r="Z109" s="1130"/>
      <c r="AA109" s="1130"/>
      <c r="AB109" s="1130"/>
      <c r="AC109" s="1130"/>
      <c r="AD109" s="1130"/>
      <c r="AE109" s="1130"/>
      <c r="AF109" s="1130"/>
      <c r="AG109" s="1130"/>
      <c r="AH109" s="1130"/>
      <c r="AI109" s="1130"/>
      <c r="AJ109" s="1131"/>
      <c r="AK109" s="1133" t="s">
        <v>2180</v>
      </c>
      <c r="AL109" s="1134"/>
      <c r="AM109" s="1134"/>
      <c r="AN109" s="1134"/>
      <c r="AO109" s="1134"/>
      <c r="AP109" s="1134"/>
      <c r="AQ109" s="1134"/>
      <c r="AR109" s="1134"/>
      <c r="AS109" s="1134"/>
      <c r="AT109" s="1134"/>
      <c r="AU109" s="1134"/>
      <c r="AV109" s="1134"/>
      <c r="AW109" s="1135"/>
      <c r="AX109" s="800" t="s">
        <v>2181</v>
      </c>
      <c r="AY109" s="816" t="s">
        <v>2182</v>
      </c>
      <c r="AZ109" s="818" t="s">
        <v>2183</v>
      </c>
      <c r="BA109" s="807"/>
      <c r="BB109" s="807"/>
      <c r="BC109" s="807"/>
      <c r="BD109" s="804"/>
    </row>
    <row r="110" spans="1:57" s="1136" customFormat="1" ht="60" customHeight="1" thickBot="1" x14ac:dyDescent="0.3">
      <c r="A110" s="365"/>
      <c r="B110" s="541" t="s">
        <v>2184</v>
      </c>
      <c r="C110" s="542" t="s">
        <v>2185</v>
      </c>
      <c r="D110" s="542" t="s">
        <v>33</v>
      </c>
      <c r="E110" s="542" t="s">
        <v>36</v>
      </c>
      <c r="F110" s="543" t="s">
        <v>2186</v>
      </c>
      <c r="G110" s="541" t="s">
        <v>2187</v>
      </c>
      <c r="H110" s="542" t="s">
        <v>2188</v>
      </c>
      <c r="I110" s="542" t="s">
        <v>2189</v>
      </c>
      <c r="J110" s="542" t="s">
        <v>2190</v>
      </c>
      <c r="K110" s="542" t="s">
        <v>2191</v>
      </c>
      <c r="L110" s="542" t="s">
        <v>103</v>
      </c>
      <c r="M110" s="542" t="s">
        <v>2192</v>
      </c>
      <c r="N110" s="542" t="s">
        <v>2193</v>
      </c>
      <c r="O110" s="544" t="s">
        <v>2194</v>
      </c>
      <c r="P110" s="545" t="s">
        <v>2195</v>
      </c>
      <c r="Q110" s="546" t="s">
        <v>2196</v>
      </c>
      <c r="R110" s="542" t="s">
        <v>2197</v>
      </c>
      <c r="S110" s="542" t="s">
        <v>2198</v>
      </c>
      <c r="T110" s="542" t="s">
        <v>2199</v>
      </c>
      <c r="U110" s="543" t="s">
        <v>2200</v>
      </c>
      <c r="V110" s="541" t="s">
        <v>2187</v>
      </c>
      <c r="W110" s="542" t="s">
        <v>2188</v>
      </c>
      <c r="X110" s="542" t="s">
        <v>2189</v>
      </c>
      <c r="Y110" s="542" t="s">
        <v>2190</v>
      </c>
      <c r="Z110" s="542" t="s">
        <v>2191</v>
      </c>
      <c r="AA110" s="542" t="s">
        <v>103</v>
      </c>
      <c r="AB110" s="542" t="s">
        <v>2192</v>
      </c>
      <c r="AC110" s="542" t="s">
        <v>2193</v>
      </c>
      <c r="AD110" s="544" t="s">
        <v>2194</v>
      </c>
      <c r="AE110" s="545" t="s">
        <v>2195</v>
      </c>
      <c r="AF110" s="546" t="s">
        <v>2196</v>
      </c>
      <c r="AG110" s="542" t="s">
        <v>2197</v>
      </c>
      <c r="AH110" s="542" t="s">
        <v>2198</v>
      </c>
      <c r="AI110" s="542" t="s">
        <v>2199</v>
      </c>
      <c r="AJ110" s="543" t="s">
        <v>2200</v>
      </c>
      <c r="AK110" s="542" t="s">
        <v>2188</v>
      </c>
      <c r="AL110" s="542" t="s">
        <v>2189</v>
      </c>
      <c r="AM110" s="542" t="s">
        <v>2190</v>
      </c>
      <c r="AN110" s="542" t="s">
        <v>2191</v>
      </c>
      <c r="AO110" s="542" t="s">
        <v>2192</v>
      </c>
      <c r="AP110" s="542" t="s">
        <v>2193</v>
      </c>
      <c r="AQ110" s="544" t="s">
        <v>2194</v>
      </c>
      <c r="AR110" s="545" t="s">
        <v>2195</v>
      </c>
      <c r="AS110" s="546" t="s">
        <v>2196</v>
      </c>
      <c r="AT110" s="542" t="s">
        <v>2197</v>
      </c>
      <c r="AU110" s="542" t="s">
        <v>2198</v>
      </c>
      <c r="AV110" s="542" t="s">
        <v>2199</v>
      </c>
      <c r="AW110" s="543" t="s">
        <v>2200</v>
      </c>
      <c r="AX110" s="803"/>
      <c r="AY110" s="817"/>
      <c r="AZ110" s="547" t="s">
        <v>2194</v>
      </c>
      <c r="BA110" s="545" t="s">
        <v>2195</v>
      </c>
      <c r="BB110" s="546" t="s">
        <v>2196</v>
      </c>
      <c r="BC110" s="542" t="s">
        <v>2201</v>
      </c>
      <c r="BD110" s="548" t="s">
        <v>2202</v>
      </c>
    </row>
    <row r="111" spans="1:57" s="1136" customFormat="1" ht="36.75" customHeight="1" thickBot="1" x14ac:dyDescent="0.3">
      <c r="A111" s="360"/>
      <c r="B111" s="821" t="s">
        <v>2205</v>
      </c>
      <c r="C111" s="822"/>
      <c r="D111" s="822"/>
      <c r="E111" s="822"/>
      <c r="F111" s="822"/>
      <c r="G111" s="822"/>
      <c r="H111" s="822"/>
      <c r="I111" s="822"/>
      <c r="J111" s="822"/>
      <c r="K111" s="822"/>
      <c r="L111" s="822"/>
      <c r="M111" s="822"/>
      <c r="N111" s="822"/>
      <c r="O111" s="822"/>
      <c r="P111" s="822"/>
      <c r="Q111" s="822"/>
      <c r="R111" s="822"/>
      <c r="S111" s="822"/>
      <c r="T111" s="822"/>
      <c r="U111" s="822"/>
      <c r="V111" s="822"/>
      <c r="W111" s="822"/>
      <c r="X111" s="822"/>
      <c r="Y111" s="822"/>
      <c r="Z111" s="822"/>
      <c r="AA111" s="822"/>
      <c r="AB111" s="822"/>
      <c r="AC111" s="822"/>
      <c r="AD111" s="822"/>
      <c r="AE111" s="822"/>
      <c r="AF111" s="822"/>
      <c r="AG111" s="822"/>
      <c r="AH111" s="822"/>
      <c r="AI111" s="822"/>
      <c r="AJ111" s="822"/>
      <c r="AK111" s="822"/>
      <c r="AL111" s="822"/>
      <c r="AM111" s="822"/>
      <c r="AN111" s="822"/>
      <c r="AO111" s="822"/>
      <c r="AP111" s="822"/>
      <c r="AQ111" s="822"/>
      <c r="AR111" s="822"/>
      <c r="AS111" s="822"/>
      <c r="AT111" s="822"/>
      <c r="AU111" s="822"/>
      <c r="AV111" s="822"/>
      <c r="AW111" s="822"/>
      <c r="AX111" s="822"/>
      <c r="AY111" s="822"/>
      <c r="AZ111" s="822"/>
      <c r="BA111" s="822"/>
      <c r="BB111" s="822"/>
      <c r="BC111" s="822"/>
      <c r="BD111" s="823"/>
    </row>
    <row r="112" spans="1:57" s="1140" customFormat="1" ht="36.75" hidden="1" customHeight="1" outlineLevel="1" thickBot="1" x14ac:dyDescent="0.3">
      <c r="A112" s="360"/>
      <c r="B112" s="824" t="s">
        <v>2206</v>
      </c>
      <c r="C112" s="825"/>
      <c r="D112" s="825"/>
      <c r="E112" s="825"/>
      <c r="F112" s="825"/>
      <c r="G112" s="825"/>
      <c r="H112" s="825"/>
      <c r="I112" s="825"/>
      <c r="J112" s="825"/>
      <c r="K112" s="825"/>
      <c r="L112" s="825"/>
      <c r="M112" s="825"/>
      <c r="N112" s="825"/>
      <c r="O112" s="825"/>
      <c r="P112" s="825"/>
      <c r="Q112" s="825"/>
      <c r="R112" s="825"/>
      <c r="S112" s="825"/>
      <c r="T112" s="825"/>
      <c r="U112" s="825"/>
      <c r="V112" s="825"/>
      <c r="W112" s="825"/>
      <c r="X112" s="825"/>
      <c r="Y112" s="825"/>
      <c r="Z112" s="825"/>
      <c r="AA112" s="825"/>
      <c r="AB112" s="825"/>
      <c r="AC112" s="825"/>
      <c r="AD112" s="825"/>
      <c r="AE112" s="825"/>
      <c r="AF112" s="825"/>
      <c r="AG112" s="825"/>
      <c r="AH112" s="825"/>
      <c r="AI112" s="825"/>
      <c r="AJ112" s="825"/>
      <c r="AK112" s="825"/>
      <c r="AL112" s="825"/>
      <c r="AM112" s="825"/>
      <c r="AN112" s="825"/>
      <c r="AO112" s="825"/>
      <c r="AP112" s="825"/>
      <c r="AQ112" s="825"/>
      <c r="AR112" s="825"/>
      <c r="AS112" s="825"/>
      <c r="AT112" s="825"/>
      <c r="AU112" s="825"/>
      <c r="AV112" s="825"/>
      <c r="AW112" s="825"/>
      <c r="AX112" s="825"/>
      <c r="AY112" s="825"/>
      <c r="AZ112" s="825"/>
      <c r="BA112" s="825"/>
      <c r="BB112" s="825"/>
      <c r="BC112" s="825"/>
      <c r="BD112" s="826"/>
    </row>
    <row r="113" spans="1:56" s="1128" customFormat="1" ht="40.5" hidden="1" customHeight="1" outlineLevel="1" x14ac:dyDescent="0.25">
      <c r="A113" s="758"/>
      <c r="B113" s="549">
        <f>SUBTOTAL(3,$C$113:C113)</f>
        <v>0</v>
      </c>
      <c r="C113" s="550"/>
      <c r="D113" s="551"/>
      <c r="E113" s="551"/>
      <c r="F113" s="552"/>
      <c r="G113" s="549"/>
      <c r="H113" s="553"/>
      <c r="I113" s="554"/>
      <c r="J113" s="554"/>
      <c r="K113" s="554"/>
      <c r="L113" s="554"/>
      <c r="M113" s="554"/>
      <c r="N113" s="554"/>
      <c r="O113" s="555"/>
      <c r="P113" s="556"/>
      <c r="Q113" s="557"/>
      <c r="R113" s="554"/>
      <c r="S113" s="554"/>
      <c r="T113" s="554"/>
      <c r="U113" s="558"/>
      <c r="V113" s="559"/>
      <c r="W113" s="553"/>
      <c r="X113" s="554"/>
      <c r="Y113" s="554"/>
      <c r="Z113" s="554"/>
      <c r="AA113" s="554"/>
      <c r="AB113" s="554"/>
      <c r="AC113" s="554"/>
      <c r="AD113" s="555"/>
      <c r="AE113" s="556"/>
      <c r="AF113" s="557"/>
      <c r="AG113" s="554"/>
      <c r="AH113" s="554"/>
      <c r="AI113" s="554"/>
      <c r="AJ113" s="560"/>
      <c r="AK113" s="561"/>
      <c r="AL113" s="554"/>
      <c r="AM113" s="554"/>
      <c r="AN113" s="554"/>
      <c r="AO113" s="554"/>
      <c r="AP113" s="554"/>
      <c r="AQ113" s="555"/>
      <c r="AR113" s="556"/>
      <c r="AS113" s="557"/>
      <c r="AT113" s="554"/>
      <c r="AU113" s="554"/>
      <c r="AV113" s="554"/>
      <c r="AW113" s="562"/>
      <c r="AX113" s="563"/>
      <c r="AY113" s="564"/>
      <c r="AZ113" s="565"/>
      <c r="BA113" s="566"/>
      <c r="BB113" s="554"/>
      <c r="BC113" s="567"/>
      <c r="BD113" s="568"/>
    </row>
    <row r="114" spans="1:56" s="1128" customFormat="1" ht="40.5" hidden="1" customHeight="1" outlineLevel="1" x14ac:dyDescent="0.25">
      <c r="A114" s="758"/>
      <c r="B114" s="569">
        <f>SUBTOTAL(3,$C$113:C114)</f>
        <v>0</v>
      </c>
      <c r="C114" s="570"/>
      <c r="D114" s="571"/>
      <c r="E114" s="571"/>
      <c r="F114" s="572"/>
      <c r="G114" s="569"/>
      <c r="H114" s="573"/>
      <c r="I114" s="574"/>
      <c r="J114" s="574"/>
      <c r="K114" s="574"/>
      <c r="L114" s="574"/>
      <c r="M114" s="574"/>
      <c r="N114" s="574"/>
      <c r="O114" s="575"/>
      <c r="P114" s="576"/>
      <c r="Q114" s="577"/>
      <c r="R114" s="574"/>
      <c r="S114" s="574"/>
      <c r="T114" s="574"/>
      <c r="U114" s="578"/>
      <c r="V114" s="579"/>
      <c r="W114" s="573"/>
      <c r="X114" s="574"/>
      <c r="Y114" s="574"/>
      <c r="Z114" s="574"/>
      <c r="AA114" s="574"/>
      <c r="AB114" s="574"/>
      <c r="AC114" s="574"/>
      <c r="AD114" s="575"/>
      <c r="AE114" s="576"/>
      <c r="AF114" s="577"/>
      <c r="AG114" s="574"/>
      <c r="AH114" s="574"/>
      <c r="AI114" s="574"/>
      <c r="AJ114" s="580"/>
      <c r="AK114" s="581"/>
      <c r="AL114" s="574"/>
      <c r="AM114" s="574"/>
      <c r="AN114" s="574"/>
      <c r="AO114" s="574"/>
      <c r="AP114" s="574"/>
      <c r="AQ114" s="575"/>
      <c r="AR114" s="576"/>
      <c r="AS114" s="577"/>
      <c r="AT114" s="574"/>
      <c r="AU114" s="574"/>
      <c r="AV114" s="574"/>
      <c r="AW114" s="582"/>
      <c r="AX114" s="583"/>
      <c r="AY114" s="584"/>
      <c r="AZ114" s="585"/>
      <c r="BA114" s="586"/>
      <c r="BB114" s="574"/>
      <c r="BC114" s="587"/>
      <c r="BD114" s="588"/>
    </row>
    <row r="115" spans="1:56" s="1128" customFormat="1" ht="40.5" hidden="1" customHeight="1" outlineLevel="1" x14ac:dyDescent="0.25">
      <c r="A115" s="758"/>
      <c r="B115" s="569">
        <f>SUBTOTAL(3,$C$113:C115)</f>
        <v>0</v>
      </c>
      <c r="C115" s="589"/>
      <c r="D115" s="571"/>
      <c r="E115" s="571"/>
      <c r="F115" s="572"/>
      <c r="G115" s="569"/>
      <c r="H115" s="573"/>
      <c r="I115" s="574"/>
      <c r="J115" s="574"/>
      <c r="K115" s="574"/>
      <c r="L115" s="574"/>
      <c r="M115" s="574"/>
      <c r="N115" s="574"/>
      <c r="O115" s="575"/>
      <c r="P115" s="576"/>
      <c r="Q115" s="577"/>
      <c r="R115" s="574"/>
      <c r="S115" s="574"/>
      <c r="T115" s="574"/>
      <c r="U115" s="578"/>
      <c r="V115" s="579"/>
      <c r="W115" s="573"/>
      <c r="X115" s="574"/>
      <c r="Y115" s="574"/>
      <c r="Z115" s="574"/>
      <c r="AA115" s="574"/>
      <c r="AB115" s="574"/>
      <c r="AC115" s="574"/>
      <c r="AD115" s="575"/>
      <c r="AE115" s="576"/>
      <c r="AF115" s="577"/>
      <c r="AG115" s="574"/>
      <c r="AH115" s="574"/>
      <c r="AI115" s="574"/>
      <c r="AJ115" s="580"/>
      <c r="AK115" s="581"/>
      <c r="AL115" s="574"/>
      <c r="AM115" s="574"/>
      <c r="AN115" s="574"/>
      <c r="AO115" s="574"/>
      <c r="AP115" s="574"/>
      <c r="AQ115" s="575"/>
      <c r="AR115" s="576"/>
      <c r="AS115" s="577"/>
      <c r="AT115" s="574"/>
      <c r="AU115" s="574"/>
      <c r="AV115" s="590"/>
      <c r="AW115" s="582"/>
      <c r="AX115" s="583"/>
      <c r="AY115" s="584"/>
      <c r="AZ115" s="585"/>
      <c r="BA115" s="586"/>
      <c r="BB115" s="574"/>
      <c r="BC115" s="587"/>
      <c r="BD115" s="591"/>
    </row>
    <row r="116" spans="1:56" s="1128" customFormat="1" ht="40.5" hidden="1" customHeight="1" outlineLevel="1" x14ac:dyDescent="0.25">
      <c r="A116" s="758"/>
      <c r="B116" s="569">
        <f>SUBTOTAL(3,$C$113:C116)</f>
        <v>0</v>
      </c>
      <c r="C116" s="589"/>
      <c r="D116" s="571"/>
      <c r="E116" s="571"/>
      <c r="F116" s="572"/>
      <c r="G116" s="569"/>
      <c r="H116" s="573"/>
      <c r="I116" s="574"/>
      <c r="J116" s="574"/>
      <c r="K116" s="574"/>
      <c r="L116" s="574"/>
      <c r="M116" s="574"/>
      <c r="N116" s="574"/>
      <c r="O116" s="575"/>
      <c r="P116" s="576"/>
      <c r="Q116" s="577"/>
      <c r="R116" s="574"/>
      <c r="S116" s="574"/>
      <c r="T116" s="574"/>
      <c r="U116" s="578"/>
      <c r="V116" s="579"/>
      <c r="W116" s="573"/>
      <c r="X116" s="574"/>
      <c r="Y116" s="574"/>
      <c r="Z116" s="574"/>
      <c r="AA116" s="574"/>
      <c r="AB116" s="574"/>
      <c r="AC116" s="574"/>
      <c r="AD116" s="575"/>
      <c r="AE116" s="576"/>
      <c r="AF116" s="577"/>
      <c r="AG116" s="574"/>
      <c r="AH116" s="574"/>
      <c r="AI116" s="574"/>
      <c r="AJ116" s="580"/>
      <c r="AK116" s="581"/>
      <c r="AL116" s="574"/>
      <c r="AM116" s="574"/>
      <c r="AN116" s="574"/>
      <c r="AO116" s="574"/>
      <c r="AP116" s="574"/>
      <c r="AQ116" s="575"/>
      <c r="AR116" s="576"/>
      <c r="AS116" s="577"/>
      <c r="AT116" s="574"/>
      <c r="AU116" s="574"/>
      <c r="AV116" s="574"/>
      <c r="AW116" s="582"/>
      <c r="AX116" s="583"/>
      <c r="AY116" s="584"/>
      <c r="AZ116" s="585"/>
      <c r="BA116" s="586"/>
      <c r="BB116" s="574"/>
      <c r="BC116" s="587"/>
      <c r="BD116" s="588"/>
    </row>
    <row r="117" spans="1:56" s="1128" customFormat="1" ht="40.5" hidden="1" customHeight="1" outlineLevel="1" x14ac:dyDescent="0.25">
      <c r="A117" s="758"/>
      <c r="B117" s="569">
        <f>SUBTOTAL(3,$C$113:C117)</f>
        <v>0</v>
      </c>
      <c r="C117" s="589"/>
      <c r="D117" s="571"/>
      <c r="E117" s="571"/>
      <c r="F117" s="572"/>
      <c r="G117" s="569"/>
      <c r="H117" s="573"/>
      <c r="I117" s="574"/>
      <c r="J117" s="574"/>
      <c r="K117" s="574"/>
      <c r="L117" s="574"/>
      <c r="M117" s="574"/>
      <c r="N117" s="574"/>
      <c r="O117" s="575"/>
      <c r="P117" s="576"/>
      <c r="Q117" s="577"/>
      <c r="R117" s="574"/>
      <c r="S117" s="574"/>
      <c r="T117" s="574"/>
      <c r="U117" s="578"/>
      <c r="V117" s="579"/>
      <c r="W117" s="573"/>
      <c r="X117" s="574"/>
      <c r="Y117" s="574"/>
      <c r="Z117" s="574"/>
      <c r="AA117" s="574"/>
      <c r="AB117" s="574"/>
      <c r="AC117" s="574"/>
      <c r="AD117" s="575"/>
      <c r="AE117" s="576"/>
      <c r="AF117" s="577"/>
      <c r="AG117" s="574"/>
      <c r="AH117" s="574"/>
      <c r="AI117" s="574"/>
      <c r="AJ117" s="580"/>
      <c r="AK117" s="581"/>
      <c r="AL117" s="574"/>
      <c r="AM117" s="574"/>
      <c r="AN117" s="574"/>
      <c r="AO117" s="574"/>
      <c r="AP117" s="574"/>
      <c r="AQ117" s="575"/>
      <c r="AR117" s="576"/>
      <c r="AS117" s="577"/>
      <c r="AT117" s="574"/>
      <c r="AU117" s="574"/>
      <c r="AV117" s="574"/>
      <c r="AW117" s="582"/>
      <c r="AX117" s="583"/>
      <c r="AY117" s="584"/>
      <c r="AZ117" s="585"/>
      <c r="BA117" s="586"/>
      <c r="BB117" s="574"/>
      <c r="BC117" s="587"/>
      <c r="BD117" s="588"/>
    </row>
    <row r="118" spans="1:56" s="1128" customFormat="1" ht="40.5" hidden="1" customHeight="1" outlineLevel="1" x14ac:dyDescent="0.25">
      <c r="A118" s="758"/>
      <c r="B118" s="569"/>
      <c r="C118" s="589"/>
      <c r="D118" s="571"/>
      <c r="E118" s="571"/>
      <c r="F118" s="572"/>
      <c r="G118" s="569"/>
      <c r="H118" s="573"/>
      <c r="I118" s="574"/>
      <c r="J118" s="574"/>
      <c r="K118" s="574"/>
      <c r="L118" s="574"/>
      <c r="M118" s="574"/>
      <c r="N118" s="574"/>
      <c r="O118" s="575"/>
      <c r="P118" s="576"/>
      <c r="Q118" s="577"/>
      <c r="R118" s="574"/>
      <c r="S118" s="574"/>
      <c r="T118" s="574"/>
      <c r="U118" s="578"/>
      <c r="V118" s="579"/>
      <c r="W118" s="573"/>
      <c r="X118" s="574"/>
      <c r="Y118" s="574"/>
      <c r="Z118" s="574"/>
      <c r="AA118" s="574"/>
      <c r="AB118" s="574"/>
      <c r="AC118" s="574"/>
      <c r="AD118" s="575"/>
      <c r="AE118" s="576"/>
      <c r="AF118" s="577"/>
      <c r="AG118" s="574"/>
      <c r="AH118" s="574"/>
      <c r="AI118" s="574"/>
      <c r="AJ118" s="580"/>
      <c r="AK118" s="581"/>
      <c r="AL118" s="574"/>
      <c r="AM118" s="574"/>
      <c r="AN118" s="574"/>
      <c r="AO118" s="574"/>
      <c r="AP118" s="574"/>
      <c r="AQ118" s="575"/>
      <c r="AR118" s="576"/>
      <c r="AS118" s="577"/>
      <c r="AT118" s="574"/>
      <c r="AU118" s="574"/>
      <c r="AV118" s="574"/>
      <c r="AW118" s="582"/>
      <c r="AX118" s="583"/>
      <c r="AY118" s="584"/>
      <c r="AZ118" s="585"/>
      <c r="BA118" s="586"/>
      <c r="BB118" s="574"/>
      <c r="BC118" s="587"/>
      <c r="BD118" s="588"/>
    </row>
    <row r="119" spans="1:56" s="1128" customFormat="1" ht="40.5" hidden="1" customHeight="1" outlineLevel="1" x14ac:dyDescent="0.25">
      <c r="A119" s="758"/>
      <c r="B119" s="569"/>
      <c r="C119" s="589"/>
      <c r="D119" s="571"/>
      <c r="E119" s="571"/>
      <c r="F119" s="572"/>
      <c r="G119" s="569"/>
      <c r="H119" s="573"/>
      <c r="I119" s="574"/>
      <c r="J119" s="574"/>
      <c r="K119" s="574"/>
      <c r="L119" s="574"/>
      <c r="M119" s="574"/>
      <c r="N119" s="574"/>
      <c r="O119" s="575"/>
      <c r="P119" s="576"/>
      <c r="Q119" s="577"/>
      <c r="R119" s="574"/>
      <c r="S119" s="574"/>
      <c r="T119" s="574"/>
      <c r="U119" s="578"/>
      <c r="V119" s="579"/>
      <c r="W119" s="573"/>
      <c r="X119" s="574"/>
      <c r="Y119" s="574"/>
      <c r="Z119" s="574"/>
      <c r="AA119" s="574"/>
      <c r="AB119" s="574"/>
      <c r="AC119" s="574"/>
      <c r="AD119" s="575"/>
      <c r="AE119" s="576"/>
      <c r="AF119" s="577"/>
      <c r="AG119" s="574"/>
      <c r="AH119" s="574"/>
      <c r="AI119" s="574"/>
      <c r="AJ119" s="580"/>
      <c r="AK119" s="581"/>
      <c r="AL119" s="574"/>
      <c r="AM119" s="574"/>
      <c r="AN119" s="574"/>
      <c r="AO119" s="574"/>
      <c r="AP119" s="574"/>
      <c r="AQ119" s="575"/>
      <c r="AR119" s="576"/>
      <c r="AS119" s="577"/>
      <c r="AT119" s="574"/>
      <c r="AU119" s="574"/>
      <c r="AV119" s="574"/>
      <c r="AW119" s="582"/>
      <c r="AX119" s="583"/>
      <c r="AY119" s="584"/>
      <c r="AZ119" s="585"/>
      <c r="BA119" s="586"/>
      <c r="BB119" s="574"/>
      <c r="BC119" s="587"/>
      <c r="BD119" s="588"/>
    </row>
    <row r="120" spans="1:56" s="1128" customFormat="1" ht="40.5" hidden="1" customHeight="1" outlineLevel="1" x14ac:dyDescent="0.25">
      <c r="A120" s="758"/>
      <c r="B120" s="569"/>
      <c r="C120" s="589"/>
      <c r="D120" s="571"/>
      <c r="E120" s="571"/>
      <c r="F120" s="572"/>
      <c r="G120" s="569"/>
      <c r="H120" s="573"/>
      <c r="I120" s="574"/>
      <c r="J120" s="574"/>
      <c r="K120" s="574"/>
      <c r="L120" s="574"/>
      <c r="M120" s="574"/>
      <c r="N120" s="574"/>
      <c r="O120" s="575"/>
      <c r="P120" s="576"/>
      <c r="Q120" s="577"/>
      <c r="R120" s="574"/>
      <c r="S120" s="574"/>
      <c r="T120" s="574"/>
      <c r="U120" s="578"/>
      <c r="V120" s="579"/>
      <c r="W120" s="573"/>
      <c r="X120" s="574"/>
      <c r="Y120" s="574"/>
      <c r="Z120" s="574"/>
      <c r="AA120" s="574"/>
      <c r="AB120" s="574"/>
      <c r="AC120" s="574"/>
      <c r="AD120" s="575"/>
      <c r="AE120" s="576"/>
      <c r="AF120" s="577"/>
      <c r="AG120" s="574"/>
      <c r="AH120" s="574"/>
      <c r="AI120" s="574"/>
      <c r="AJ120" s="580"/>
      <c r="AK120" s="581"/>
      <c r="AL120" s="574"/>
      <c r="AM120" s="574"/>
      <c r="AN120" s="574"/>
      <c r="AO120" s="574"/>
      <c r="AP120" s="574"/>
      <c r="AQ120" s="575"/>
      <c r="AR120" s="576"/>
      <c r="AS120" s="577"/>
      <c r="AT120" s="574"/>
      <c r="AU120" s="574"/>
      <c r="AV120" s="574"/>
      <c r="AW120" s="582"/>
      <c r="AX120" s="583"/>
      <c r="AY120" s="584"/>
      <c r="AZ120" s="585"/>
      <c r="BA120" s="586"/>
      <c r="BB120" s="574"/>
      <c r="BC120" s="587"/>
      <c r="BD120" s="588"/>
    </row>
    <row r="121" spans="1:56" s="1128" customFormat="1" ht="40.5" hidden="1" customHeight="1" outlineLevel="1" x14ac:dyDescent="0.25">
      <c r="A121" s="758"/>
      <c r="B121" s="569"/>
      <c r="C121" s="589"/>
      <c r="D121" s="571"/>
      <c r="E121" s="571"/>
      <c r="F121" s="572"/>
      <c r="G121" s="569"/>
      <c r="H121" s="573"/>
      <c r="I121" s="574"/>
      <c r="J121" s="574"/>
      <c r="K121" s="574"/>
      <c r="L121" s="574"/>
      <c r="M121" s="574"/>
      <c r="N121" s="574"/>
      <c r="O121" s="575"/>
      <c r="P121" s="576"/>
      <c r="Q121" s="577"/>
      <c r="R121" s="574"/>
      <c r="S121" s="574"/>
      <c r="T121" s="574"/>
      <c r="U121" s="578"/>
      <c r="V121" s="579"/>
      <c r="W121" s="573"/>
      <c r="X121" s="574"/>
      <c r="Y121" s="574"/>
      <c r="Z121" s="574"/>
      <c r="AA121" s="574"/>
      <c r="AB121" s="574"/>
      <c r="AC121" s="574"/>
      <c r="AD121" s="575"/>
      <c r="AE121" s="576"/>
      <c r="AF121" s="577"/>
      <c r="AG121" s="574"/>
      <c r="AH121" s="574"/>
      <c r="AI121" s="574"/>
      <c r="AJ121" s="580"/>
      <c r="AK121" s="581"/>
      <c r="AL121" s="574"/>
      <c r="AM121" s="574"/>
      <c r="AN121" s="574"/>
      <c r="AO121" s="574"/>
      <c r="AP121" s="574"/>
      <c r="AQ121" s="575"/>
      <c r="AR121" s="576"/>
      <c r="AS121" s="577"/>
      <c r="AT121" s="574"/>
      <c r="AU121" s="574"/>
      <c r="AV121" s="574"/>
      <c r="AW121" s="582"/>
      <c r="AX121" s="583"/>
      <c r="AY121" s="584"/>
      <c r="AZ121" s="585"/>
      <c r="BA121" s="586"/>
      <c r="BB121" s="574"/>
      <c r="BC121" s="587"/>
      <c r="BD121" s="588"/>
    </row>
    <row r="122" spans="1:56" s="1128" customFormat="1" ht="40.5" hidden="1" customHeight="1" outlineLevel="1" x14ac:dyDescent="0.25">
      <c r="A122" s="758"/>
      <c r="B122" s="569"/>
      <c r="C122" s="589"/>
      <c r="D122" s="571"/>
      <c r="E122" s="571"/>
      <c r="F122" s="572"/>
      <c r="G122" s="569"/>
      <c r="H122" s="573"/>
      <c r="I122" s="574"/>
      <c r="J122" s="574"/>
      <c r="K122" s="574"/>
      <c r="L122" s="574"/>
      <c r="M122" s="574"/>
      <c r="N122" s="574"/>
      <c r="O122" s="575"/>
      <c r="P122" s="576"/>
      <c r="Q122" s="577"/>
      <c r="R122" s="574"/>
      <c r="S122" s="574"/>
      <c r="T122" s="574"/>
      <c r="U122" s="578"/>
      <c r="V122" s="579"/>
      <c r="W122" s="573"/>
      <c r="X122" s="574"/>
      <c r="Y122" s="574"/>
      <c r="Z122" s="574"/>
      <c r="AA122" s="574"/>
      <c r="AB122" s="574"/>
      <c r="AC122" s="574"/>
      <c r="AD122" s="575"/>
      <c r="AE122" s="576"/>
      <c r="AF122" s="577"/>
      <c r="AG122" s="574"/>
      <c r="AH122" s="574"/>
      <c r="AI122" s="574"/>
      <c r="AJ122" s="580"/>
      <c r="AK122" s="581"/>
      <c r="AL122" s="574"/>
      <c r="AM122" s="574"/>
      <c r="AN122" s="574"/>
      <c r="AO122" s="574"/>
      <c r="AP122" s="574"/>
      <c r="AQ122" s="575"/>
      <c r="AR122" s="576"/>
      <c r="AS122" s="577"/>
      <c r="AT122" s="574"/>
      <c r="AU122" s="574"/>
      <c r="AV122" s="590"/>
      <c r="AW122" s="582"/>
      <c r="AX122" s="583"/>
      <c r="AY122" s="584"/>
      <c r="AZ122" s="585"/>
      <c r="BA122" s="586"/>
      <c r="BB122" s="574"/>
      <c r="BC122" s="587"/>
      <c r="BD122" s="591"/>
    </row>
    <row r="123" spans="1:56" s="1128" customFormat="1" ht="40.5" hidden="1" customHeight="1" outlineLevel="1" x14ac:dyDescent="0.25">
      <c r="A123" s="758"/>
      <c r="B123" s="569"/>
      <c r="C123" s="589"/>
      <c r="D123" s="571"/>
      <c r="E123" s="571"/>
      <c r="F123" s="572"/>
      <c r="G123" s="569"/>
      <c r="H123" s="573"/>
      <c r="I123" s="574"/>
      <c r="J123" s="574"/>
      <c r="K123" s="574"/>
      <c r="L123" s="574"/>
      <c r="M123" s="574"/>
      <c r="N123" s="574"/>
      <c r="O123" s="575"/>
      <c r="P123" s="576"/>
      <c r="Q123" s="577"/>
      <c r="R123" s="574"/>
      <c r="S123" s="574"/>
      <c r="T123" s="574"/>
      <c r="U123" s="578"/>
      <c r="V123" s="579"/>
      <c r="W123" s="573"/>
      <c r="X123" s="574"/>
      <c r="Y123" s="574"/>
      <c r="Z123" s="574"/>
      <c r="AA123" s="574"/>
      <c r="AB123" s="574"/>
      <c r="AC123" s="574"/>
      <c r="AD123" s="575"/>
      <c r="AE123" s="576"/>
      <c r="AF123" s="577"/>
      <c r="AG123" s="574"/>
      <c r="AH123" s="574"/>
      <c r="AI123" s="574"/>
      <c r="AJ123" s="580"/>
      <c r="AK123" s="581"/>
      <c r="AL123" s="574"/>
      <c r="AM123" s="574"/>
      <c r="AN123" s="574"/>
      <c r="AO123" s="574"/>
      <c r="AP123" s="574"/>
      <c r="AQ123" s="575"/>
      <c r="AR123" s="576"/>
      <c r="AS123" s="577"/>
      <c r="AT123" s="574"/>
      <c r="AU123" s="574"/>
      <c r="AV123" s="574"/>
      <c r="AW123" s="582"/>
      <c r="AX123" s="583"/>
      <c r="AY123" s="584"/>
      <c r="AZ123" s="585"/>
      <c r="BA123" s="586"/>
      <c r="BB123" s="574"/>
      <c r="BC123" s="587"/>
      <c r="BD123" s="588"/>
    </row>
    <row r="124" spans="1:56" s="1128" customFormat="1" ht="40.5" hidden="1" customHeight="1" outlineLevel="1" x14ac:dyDescent="0.25">
      <c r="A124" s="758"/>
      <c r="B124" s="569"/>
      <c r="C124" s="589"/>
      <c r="D124" s="571"/>
      <c r="E124" s="571"/>
      <c r="F124" s="572"/>
      <c r="G124" s="569"/>
      <c r="H124" s="573"/>
      <c r="I124" s="574"/>
      <c r="J124" s="574"/>
      <c r="K124" s="574"/>
      <c r="L124" s="574"/>
      <c r="M124" s="574"/>
      <c r="N124" s="574"/>
      <c r="O124" s="575"/>
      <c r="P124" s="576"/>
      <c r="Q124" s="577"/>
      <c r="R124" s="574"/>
      <c r="S124" s="574"/>
      <c r="T124" s="574"/>
      <c r="U124" s="578"/>
      <c r="V124" s="579"/>
      <c r="W124" s="573"/>
      <c r="X124" s="574"/>
      <c r="Y124" s="574"/>
      <c r="Z124" s="574"/>
      <c r="AA124" s="574"/>
      <c r="AB124" s="574"/>
      <c r="AC124" s="574"/>
      <c r="AD124" s="575"/>
      <c r="AE124" s="576"/>
      <c r="AF124" s="577"/>
      <c r="AG124" s="574"/>
      <c r="AH124" s="574"/>
      <c r="AI124" s="574"/>
      <c r="AJ124" s="580"/>
      <c r="AK124" s="581"/>
      <c r="AL124" s="574"/>
      <c r="AM124" s="574"/>
      <c r="AN124" s="574"/>
      <c r="AO124" s="574"/>
      <c r="AP124" s="574"/>
      <c r="AQ124" s="575"/>
      <c r="AR124" s="576"/>
      <c r="AS124" s="577"/>
      <c r="AT124" s="574"/>
      <c r="AU124" s="574"/>
      <c r="AV124" s="574"/>
      <c r="AW124" s="582"/>
      <c r="AX124" s="583"/>
      <c r="AY124" s="584"/>
      <c r="AZ124" s="585"/>
      <c r="BA124" s="586"/>
      <c r="BB124" s="574"/>
      <c r="BC124" s="587"/>
      <c r="BD124" s="588"/>
    </row>
    <row r="125" spans="1:56" s="1128" customFormat="1" ht="40.5" hidden="1" customHeight="1" outlineLevel="1" x14ac:dyDescent="0.25">
      <c r="A125" s="758"/>
      <c r="B125" s="569"/>
      <c r="C125" s="589"/>
      <c r="D125" s="571"/>
      <c r="E125" s="571"/>
      <c r="F125" s="572"/>
      <c r="G125" s="569"/>
      <c r="H125" s="573"/>
      <c r="I125" s="574"/>
      <c r="J125" s="574"/>
      <c r="K125" s="574"/>
      <c r="L125" s="574"/>
      <c r="M125" s="574"/>
      <c r="N125" s="574"/>
      <c r="O125" s="575"/>
      <c r="P125" s="576"/>
      <c r="Q125" s="577"/>
      <c r="R125" s="574"/>
      <c r="S125" s="574"/>
      <c r="T125" s="574"/>
      <c r="U125" s="578"/>
      <c r="V125" s="579"/>
      <c r="W125" s="573"/>
      <c r="X125" s="574"/>
      <c r="Y125" s="574"/>
      <c r="Z125" s="574"/>
      <c r="AA125" s="574"/>
      <c r="AB125" s="574"/>
      <c r="AC125" s="574"/>
      <c r="AD125" s="575"/>
      <c r="AE125" s="576"/>
      <c r="AF125" s="577"/>
      <c r="AG125" s="574"/>
      <c r="AH125" s="574"/>
      <c r="AI125" s="574"/>
      <c r="AJ125" s="580"/>
      <c r="AK125" s="581"/>
      <c r="AL125" s="574"/>
      <c r="AM125" s="574"/>
      <c r="AN125" s="574"/>
      <c r="AO125" s="574"/>
      <c r="AP125" s="574"/>
      <c r="AQ125" s="575"/>
      <c r="AR125" s="576"/>
      <c r="AS125" s="577"/>
      <c r="AT125" s="574"/>
      <c r="AU125" s="574"/>
      <c r="AV125" s="574"/>
      <c r="AW125" s="582"/>
      <c r="AX125" s="583"/>
      <c r="AY125" s="584"/>
      <c r="AZ125" s="585"/>
      <c r="BA125" s="586"/>
      <c r="BB125" s="574"/>
      <c r="BC125" s="587"/>
      <c r="BD125" s="588"/>
    </row>
    <row r="126" spans="1:56" s="1128" customFormat="1" ht="40.5" hidden="1" customHeight="1" outlineLevel="1" x14ac:dyDescent="0.25">
      <c r="A126" s="758"/>
      <c r="B126" s="569"/>
      <c r="C126" s="589"/>
      <c r="D126" s="571"/>
      <c r="E126" s="571"/>
      <c r="F126" s="572"/>
      <c r="G126" s="569"/>
      <c r="H126" s="573"/>
      <c r="I126" s="574"/>
      <c r="J126" s="574"/>
      <c r="K126" s="574"/>
      <c r="L126" s="574"/>
      <c r="M126" s="574"/>
      <c r="N126" s="574"/>
      <c r="O126" s="575"/>
      <c r="P126" s="576"/>
      <c r="Q126" s="577"/>
      <c r="R126" s="574"/>
      <c r="S126" s="574"/>
      <c r="T126" s="574"/>
      <c r="U126" s="578"/>
      <c r="V126" s="579"/>
      <c r="W126" s="573"/>
      <c r="X126" s="574"/>
      <c r="Y126" s="574"/>
      <c r="Z126" s="574"/>
      <c r="AA126" s="574"/>
      <c r="AB126" s="574"/>
      <c r="AC126" s="574"/>
      <c r="AD126" s="575"/>
      <c r="AE126" s="576"/>
      <c r="AF126" s="577"/>
      <c r="AG126" s="574"/>
      <c r="AH126" s="574"/>
      <c r="AI126" s="574"/>
      <c r="AJ126" s="580"/>
      <c r="AK126" s="581"/>
      <c r="AL126" s="574"/>
      <c r="AM126" s="574"/>
      <c r="AN126" s="574"/>
      <c r="AO126" s="574"/>
      <c r="AP126" s="574"/>
      <c r="AQ126" s="575"/>
      <c r="AR126" s="576"/>
      <c r="AS126" s="577"/>
      <c r="AT126" s="574"/>
      <c r="AU126" s="574"/>
      <c r="AV126" s="574"/>
      <c r="AW126" s="582"/>
      <c r="AX126" s="583"/>
      <c r="AY126" s="584"/>
      <c r="AZ126" s="585"/>
      <c r="BA126" s="586"/>
      <c r="BB126" s="574"/>
      <c r="BC126" s="587"/>
      <c r="BD126" s="588"/>
    </row>
    <row r="127" spans="1:56" s="1128" customFormat="1" ht="40.5" hidden="1" customHeight="1" outlineLevel="1" x14ac:dyDescent="0.25">
      <c r="A127" s="758"/>
      <c r="B127" s="569"/>
      <c r="C127" s="589"/>
      <c r="D127" s="571"/>
      <c r="E127" s="571"/>
      <c r="F127" s="572"/>
      <c r="G127" s="569"/>
      <c r="H127" s="573"/>
      <c r="I127" s="574"/>
      <c r="J127" s="574"/>
      <c r="K127" s="574"/>
      <c r="L127" s="574"/>
      <c r="M127" s="574"/>
      <c r="N127" s="574"/>
      <c r="O127" s="575"/>
      <c r="P127" s="576"/>
      <c r="Q127" s="577"/>
      <c r="R127" s="574"/>
      <c r="S127" s="574"/>
      <c r="T127" s="574"/>
      <c r="U127" s="578"/>
      <c r="V127" s="579"/>
      <c r="W127" s="573"/>
      <c r="X127" s="574"/>
      <c r="Y127" s="574"/>
      <c r="Z127" s="574"/>
      <c r="AA127" s="574"/>
      <c r="AB127" s="574"/>
      <c r="AC127" s="574"/>
      <c r="AD127" s="575"/>
      <c r="AE127" s="576"/>
      <c r="AF127" s="577"/>
      <c r="AG127" s="574"/>
      <c r="AH127" s="574"/>
      <c r="AI127" s="574"/>
      <c r="AJ127" s="580"/>
      <c r="AK127" s="581"/>
      <c r="AL127" s="574"/>
      <c r="AM127" s="574"/>
      <c r="AN127" s="574"/>
      <c r="AO127" s="574"/>
      <c r="AP127" s="574"/>
      <c r="AQ127" s="575"/>
      <c r="AR127" s="576"/>
      <c r="AS127" s="577"/>
      <c r="AT127" s="574"/>
      <c r="AU127" s="574"/>
      <c r="AV127" s="574"/>
      <c r="AW127" s="582"/>
      <c r="AX127" s="583"/>
      <c r="AY127" s="584"/>
      <c r="AZ127" s="585"/>
      <c r="BA127" s="586"/>
      <c r="BB127" s="574"/>
      <c r="BC127" s="587"/>
      <c r="BD127" s="588"/>
    </row>
    <row r="128" spans="1:56" s="1128" customFormat="1" ht="40.5" hidden="1" customHeight="1" outlineLevel="1" x14ac:dyDescent="0.25">
      <c r="A128" s="758"/>
      <c r="B128" s="569"/>
      <c r="C128" s="589"/>
      <c r="D128" s="571"/>
      <c r="E128" s="571"/>
      <c r="F128" s="572"/>
      <c r="G128" s="569"/>
      <c r="H128" s="573"/>
      <c r="I128" s="574"/>
      <c r="J128" s="574"/>
      <c r="K128" s="574"/>
      <c r="L128" s="574"/>
      <c r="M128" s="574"/>
      <c r="N128" s="574"/>
      <c r="O128" s="575"/>
      <c r="P128" s="576"/>
      <c r="Q128" s="577"/>
      <c r="R128" s="574"/>
      <c r="S128" s="574"/>
      <c r="T128" s="574"/>
      <c r="U128" s="578"/>
      <c r="V128" s="579"/>
      <c r="W128" s="573"/>
      <c r="X128" s="574"/>
      <c r="Y128" s="574"/>
      <c r="Z128" s="574"/>
      <c r="AA128" s="574"/>
      <c r="AB128" s="574"/>
      <c r="AC128" s="574"/>
      <c r="AD128" s="575"/>
      <c r="AE128" s="576"/>
      <c r="AF128" s="577"/>
      <c r="AG128" s="574"/>
      <c r="AH128" s="574"/>
      <c r="AI128" s="574"/>
      <c r="AJ128" s="580"/>
      <c r="AK128" s="581"/>
      <c r="AL128" s="574"/>
      <c r="AM128" s="574"/>
      <c r="AN128" s="574"/>
      <c r="AO128" s="574"/>
      <c r="AP128" s="574"/>
      <c r="AQ128" s="575"/>
      <c r="AR128" s="576"/>
      <c r="AS128" s="577"/>
      <c r="AT128" s="574"/>
      <c r="AU128" s="574"/>
      <c r="AV128" s="574"/>
      <c r="AW128" s="582"/>
      <c r="AX128" s="583"/>
      <c r="AY128" s="584"/>
      <c r="AZ128" s="585"/>
      <c r="BA128" s="586"/>
      <c r="BB128" s="574"/>
      <c r="BC128" s="587"/>
      <c r="BD128" s="588"/>
    </row>
    <row r="129" spans="1:56" s="1128" customFormat="1" ht="40.5" hidden="1" customHeight="1" outlineLevel="1" x14ac:dyDescent="0.25">
      <c r="A129" s="758"/>
      <c r="B129" s="569"/>
      <c r="C129" s="589"/>
      <c r="D129" s="571"/>
      <c r="E129" s="571"/>
      <c r="F129" s="572"/>
      <c r="G129" s="569"/>
      <c r="H129" s="573"/>
      <c r="I129" s="574"/>
      <c r="J129" s="574"/>
      <c r="K129" s="574"/>
      <c r="L129" s="574"/>
      <c r="M129" s="574"/>
      <c r="N129" s="574"/>
      <c r="O129" s="575"/>
      <c r="P129" s="576"/>
      <c r="Q129" s="577"/>
      <c r="R129" s="574"/>
      <c r="S129" s="574"/>
      <c r="T129" s="574"/>
      <c r="U129" s="578"/>
      <c r="V129" s="579"/>
      <c r="W129" s="573"/>
      <c r="X129" s="574"/>
      <c r="Y129" s="574"/>
      <c r="Z129" s="574"/>
      <c r="AA129" s="574"/>
      <c r="AB129" s="574"/>
      <c r="AC129" s="574"/>
      <c r="AD129" s="575"/>
      <c r="AE129" s="576"/>
      <c r="AF129" s="577"/>
      <c r="AG129" s="574"/>
      <c r="AH129" s="574"/>
      <c r="AI129" s="574"/>
      <c r="AJ129" s="580"/>
      <c r="AK129" s="581"/>
      <c r="AL129" s="574"/>
      <c r="AM129" s="574"/>
      <c r="AN129" s="574"/>
      <c r="AO129" s="574"/>
      <c r="AP129" s="574"/>
      <c r="AQ129" s="575"/>
      <c r="AR129" s="576"/>
      <c r="AS129" s="577"/>
      <c r="AT129" s="574"/>
      <c r="AU129" s="574"/>
      <c r="AV129" s="574"/>
      <c r="AW129" s="582"/>
      <c r="AX129" s="583"/>
      <c r="AY129" s="584"/>
      <c r="AZ129" s="585"/>
      <c r="BA129" s="586"/>
      <c r="BB129" s="574"/>
      <c r="BC129" s="587"/>
      <c r="BD129" s="588"/>
    </row>
    <row r="130" spans="1:56" s="1128" customFormat="1" ht="40.5" hidden="1" customHeight="1" outlineLevel="1" x14ac:dyDescent="0.25">
      <c r="A130" s="758"/>
      <c r="B130" s="569"/>
      <c r="C130" s="589"/>
      <c r="D130" s="571"/>
      <c r="E130" s="571"/>
      <c r="F130" s="572"/>
      <c r="G130" s="569"/>
      <c r="H130" s="573"/>
      <c r="I130" s="574"/>
      <c r="J130" s="574"/>
      <c r="K130" s="574"/>
      <c r="L130" s="574"/>
      <c r="M130" s="574"/>
      <c r="N130" s="574"/>
      <c r="O130" s="575"/>
      <c r="P130" s="576"/>
      <c r="Q130" s="577"/>
      <c r="R130" s="574"/>
      <c r="S130" s="574"/>
      <c r="T130" s="574"/>
      <c r="U130" s="578"/>
      <c r="V130" s="579"/>
      <c r="W130" s="573"/>
      <c r="X130" s="574"/>
      <c r="Y130" s="574"/>
      <c r="Z130" s="574"/>
      <c r="AA130" s="574"/>
      <c r="AB130" s="574"/>
      <c r="AC130" s="574"/>
      <c r="AD130" s="575"/>
      <c r="AE130" s="576"/>
      <c r="AF130" s="577"/>
      <c r="AG130" s="574"/>
      <c r="AH130" s="574"/>
      <c r="AI130" s="574"/>
      <c r="AJ130" s="580"/>
      <c r="AK130" s="581"/>
      <c r="AL130" s="574"/>
      <c r="AM130" s="574"/>
      <c r="AN130" s="574"/>
      <c r="AO130" s="574"/>
      <c r="AP130" s="574"/>
      <c r="AQ130" s="575"/>
      <c r="AR130" s="576"/>
      <c r="AS130" s="577"/>
      <c r="AT130" s="574"/>
      <c r="AU130" s="574"/>
      <c r="AV130" s="574"/>
      <c r="AW130" s="582"/>
      <c r="AX130" s="583"/>
      <c r="AY130" s="584"/>
      <c r="AZ130" s="585"/>
      <c r="BA130" s="586"/>
      <c r="BB130" s="574"/>
      <c r="BC130" s="587"/>
      <c r="BD130" s="588"/>
    </row>
    <row r="131" spans="1:56" s="1128" customFormat="1" ht="40.5" hidden="1" customHeight="1" outlineLevel="1" x14ac:dyDescent="0.25">
      <c r="A131" s="758"/>
      <c r="B131" s="569"/>
      <c r="C131" s="589"/>
      <c r="D131" s="571"/>
      <c r="E131" s="571"/>
      <c r="F131" s="572"/>
      <c r="G131" s="569"/>
      <c r="H131" s="573"/>
      <c r="I131" s="574"/>
      <c r="J131" s="574"/>
      <c r="K131" s="574"/>
      <c r="L131" s="574"/>
      <c r="M131" s="574"/>
      <c r="N131" s="574"/>
      <c r="O131" s="575"/>
      <c r="P131" s="576"/>
      <c r="Q131" s="577"/>
      <c r="R131" s="574"/>
      <c r="S131" s="574"/>
      <c r="T131" s="574"/>
      <c r="U131" s="578"/>
      <c r="V131" s="579"/>
      <c r="W131" s="573"/>
      <c r="X131" s="574"/>
      <c r="Y131" s="574"/>
      <c r="Z131" s="574"/>
      <c r="AA131" s="574"/>
      <c r="AB131" s="574"/>
      <c r="AC131" s="574"/>
      <c r="AD131" s="575"/>
      <c r="AE131" s="576"/>
      <c r="AF131" s="577"/>
      <c r="AG131" s="574"/>
      <c r="AH131" s="574"/>
      <c r="AI131" s="574"/>
      <c r="AJ131" s="580"/>
      <c r="AK131" s="581"/>
      <c r="AL131" s="574"/>
      <c r="AM131" s="574"/>
      <c r="AN131" s="574"/>
      <c r="AO131" s="574"/>
      <c r="AP131" s="574"/>
      <c r="AQ131" s="575"/>
      <c r="AR131" s="576"/>
      <c r="AS131" s="577"/>
      <c r="AT131" s="574"/>
      <c r="AU131" s="574"/>
      <c r="AV131" s="574"/>
      <c r="AW131" s="582"/>
      <c r="AX131" s="583"/>
      <c r="AY131" s="584"/>
      <c r="AZ131" s="585"/>
      <c r="BA131" s="586"/>
      <c r="BB131" s="574"/>
      <c r="BC131" s="587"/>
      <c r="BD131" s="588"/>
    </row>
    <row r="132" spans="1:56" s="1128" customFormat="1" ht="40.5" hidden="1" customHeight="1" outlineLevel="1" x14ac:dyDescent="0.25">
      <c r="A132" s="758"/>
      <c r="B132" s="569"/>
      <c r="C132" s="589"/>
      <c r="D132" s="571"/>
      <c r="E132" s="571"/>
      <c r="F132" s="572"/>
      <c r="G132" s="569"/>
      <c r="H132" s="573"/>
      <c r="I132" s="574"/>
      <c r="J132" s="574"/>
      <c r="K132" s="574"/>
      <c r="L132" s="574"/>
      <c r="M132" s="574"/>
      <c r="N132" s="574"/>
      <c r="O132" s="575"/>
      <c r="P132" s="576"/>
      <c r="Q132" s="577"/>
      <c r="R132" s="574"/>
      <c r="S132" s="574"/>
      <c r="T132" s="574"/>
      <c r="U132" s="578"/>
      <c r="V132" s="579"/>
      <c r="W132" s="573"/>
      <c r="X132" s="574"/>
      <c r="Y132" s="574"/>
      <c r="Z132" s="574"/>
      <c r="AA132" s="574"/>
      <c r="AB132" s="574"/>
      <c r="AC132" s="574"/>
      <c r="AD132" s="575"/>
      <c r="AE132" s="576"/>
      <c r="AF132" s="577"/>
      <c r="AG132" s="574"/>
      <c r="AH132" s="574"/>
      <c r="AI132" s="574"/>
      <c r="AJ132" s="580"/>
      <c r="AK132" s="581"/>
      <c r="AL132" s="574"/>
      <c r="AM132" s="574"/>
      <c r="AN132" s="574"/>
      <c r="AO132" s="574"/>
      <c r="AP132" s="574"/>
      <c r="AQ132" s="575"/>
      <c r="AR132" s="576"/>
      <c r="AS132" s="577"/>
      <c r="AT132" s="574"/>
      <c r="AU132" s="574"/>
      <c r="AV132" s="574"/>
      <c r="AW132" s="582"/>
      <c r="AX132" s="583"/>
      <c r="AY132" s="584"/>
      <c r="AZ132" s="585"/>
      <c r="BA132" s="586"/>
      <c r="BB132" s="574"/>
      <c r="BC132" s="587"/>
      <c r="BD132" s="588"/>
    </row>
    <row r="133" spans="1:56" s="1128" customFormat="1" ht="40.5" hidden="1" customHeight="1" outlineLevel="1" x14ac:dyDescent="0.25">
      <c r="A133" s="758"/>
      <c r="B133" s="569"/>
      <c r="C133" s="589"/>
      <c r="D133" s="571"/>
      <c r="E133" s="571"/>
      <c r="F133" s="572"/>
      <c r="G133" s="569"/>
      <c r="H133" s="573"/>
      <c r="I133" s="574"/>
      <c r="J133" s="574"/>
      <c r="K133" s="574"/>
      <c r="L133" s="574"/>
      <c r="M133" s="574"/>
      <c r="N133" s="574"/>
      <c r="O133" s="575"/>
      <c r="P133" s="576"/>
      <c r="Q133" s="577"/>
      <c r="R133" s="574"/>
      <c r="S133" s="574"/>
      <c r="T133" s="574"/>
      <c r="U133" s="578"/>
      <c r="V133" s="579"/>
      <c r="W133" s="573"/>
      <c r="X133" s="574"/>
      <c r="Y133" s="574"/>
      <c r="Z133" s="574"/>
      <c r="AA133" s="574"/>
      <c r="AB133" s="574"/>
      <c r="AC133" s="574"/>
      <c r="AD133" s="575"/>
      <c r="AE133" s="576"/>
      <c r="AF133" s="577"/>
      <c r="AG133" s="574"/>
      <c r="AH133" s="574"/>
      <c r="AI133" s="574"/>
      <c r="AJ133" s="580"/>
      <c r="AK133" s="581"/>
      <c r="AL133" s="574"/>
      <c r="AM133" s="574"/>
      <c r="AN133" s="574"/>
      <c r="AO133" s="574"/>
      <c r="AP133" s="574"/>
      <c r="AQ133" s="575"/>
      <c r="AR133" s="576"/>
      <c r="AS133" s="577"/>
      <c r="AT133" s="574"/>
      <c r="AU133" s="574"/>
      <c r="AV133" s="574"/>
      <c r="AW133" s="582"/>
      <c r="AX133" s="583"/>
      <c r="AY133" s="584"/>
      <c r="AZ133" s="585"/>
      <c r="BA133" s="586"/>
      <c r="BB133" s="574"/>
      <c r="BC133" s="587"/>
      <c r="BD133" s="588"/>
    </row>
    <row r="134" spans="1:56" s="1128" customFormat="1" ht="40.5" hidden="1" customHeight="1" outlineLevel="1" x14ac:dyDescent="0.25">
      <c r="A134" s="758"/>
      <c r="B134" s="569"/>
      <c r="C134" s="589"/>
      <c r="D134" s="571"/>
      <c r="E134" s="571"/>
      <c r="F134" s="572"/>
      <c r="G134" s="569"/>
      <c r="H134" s="573"/>
      <c r="I134" s="574"/>
      <c r="J134" s="574"/>
      <c r="K134" s="574"/>
      <c r="L134" s="574"/>
      <c r="M134" s="574"/>
      <c r="N134" s="574"/>
      <c r="O134" s="575"/>
      <c r="P134" s="576"/>
      <c r="Q134" s="577"/>
      <c r="R134" s="574"/>
      <c r="S134" s="574"/>
      <c r="T134" s="574"/>
      <c r="U134" s="578"/>
      <c r="V134" s="579"/>
      <c r="W134" s="573"/>
      <c r="X134" s="574"/>
      <c r="Y134" s="574"/>
      <c r="Z134" s="574"/>
      <c r="AA134" s="574"/>
      <c r="AB134" s="574"/>
      <c r="AC134" s="574"/>
      <c r="AD134" s="575"/>
      <c r="AE134" s="576"/>
      <c r="AF134" s="577"/>
      <c r="AG134" s="574"/>
      <c r="AH134" s="574"/>
      <c r="AI134" s="574"/>
      <c r="AJ134" s="580"/>
      <c r="AK134" s="581"/>
      <c r="AL134" s="574"/>
      <c r="AM134" s="574"/>
      <c r="AN134" s="574"/>
      <c r="AO134" s="574"/>
      <c r="AP134" s="574"/>
      <c r="AQ134" s="575"/>
      <c r="AR134" s="576"/>
      <c r="AS134" s="577"/>
      <c r="AT134" s="574"/>
      <c r="AU134" s="574"/>
      <c r="AV134" s="574"/>
      <c r="AW134" s="582"/>
      <c r="AX134" s="583"/>
      <c r="AY134" s="584"/>
      <c r="AZ134" s="585"/>
      <c r="BA134" s="586"/>
      <c r="BB134" s="574"/>
      <c r="BC134" s="587"/>
      <c r="BD134" s="588"/>
    </row>
    <row r="135" spans="1:56" s="1128" customFormat="1" ht="40.5" hidden="1" customHeight="1" outlineLevel="1" x14ac:dyDescent="0.25">
      <c r="A135" s="758"/>
      <c r="B135" s="569"/>
      <c r="C135" s="589"/>
      <c r="D135" s="571"/>
      <c r="E135" s="571"/>
      <c r="F135" s="572"/>
      <c r="G135" s="569"/>
      <c r="H135" s="573"/>
      <c r="I135" s="574"/>
      <c r="J135" s="574"/>
      <c r="K135" s="574"/>
      <c r="L135" s="574"/>
      <c r="M135" s="574"/>
      <c r="N135" s="574"/>
      <c r="O135" s="575"/>
      <c r="P135" s="576"/>
      <c r="Q135" s="577"/>
      <c r="R135" s="574"/>
      <c r="S135" s="574"/>
      <c r="T135" s="574"/>
      <c r="U135" s="578"/>
      <c r="V135" s="579"/>
      <c r="W135" s="573"/>
      <c r="X135" s="574"/>
      <c r="Y135" s="574"/>
      <c r="Z135" s="574"/>
      <c r="AA135" s="574"/>
      <c r="AB135" s="574"/>
      <c r="AC135" s="574"/>
      <c r="AD135" s="575"/>
      <c r="AE135" s="576"/>
      <c r="AF135" s="577"/>
      <c r="AG135" s="574"/>
      <c r="AH135" s="574"/>
      <c r="AI135" s="574"/>
      <c r="AJ135" s="580"/>
      <c r="AK135" s="581"/>
      <c r="AL135" s="574"/>
      <c r="AM135" s="574"/>
      <c r="AN135" s="574"/>
      <c r="AO135" s="574"/>
      <c r="AP135" s="574"/>
      <c r="AQ135" s="575"/>
      <c r="AR135" s="576"/>
      <c r="AS135" s="577"/>
      <c r="AT135" s="574"/>
      <c r="AU135" s="574"/>
      <c r="AV135" s="574"/>
      <c r="AW135" s="582"/>
      <c r="AX135" s="583"/>
      <c r="AY135" s="584"/>
      <c r="AZ135" s="585"/>
      <c r="BA135" s="586"/>
      <c r="BB135" s="574"/>
      <c r="BC135" s="587"/>
      <c r="BD135" s="588"/>
    </row>
    <row r="136" spans="1:56" s="1128" customFormat="1" ht="40.5" hidden="1" customHeight="1" outlineLevel="1" x14ac:dyDescent="0.25">
      <c r="A136" s="758"/>
      <c r="B136" s="569"/>
      <c r="C136" s="589"/>
      <c r="D136" s="571"/>
      <c r="E136" s="571"/>
      <c r="F136" s="572"/>
      <c r="G136" s="569"/>
      <c r="H136" s="573"/>
      <c r="I136" s="574"/>
      <c r="J136" s="574"/>
      <c r="K136" s="574"/>
      <c r="L136" s="574"/>
      <c r="M136" s="574"/>
      <c r="N136" s="574"/>
      <c r="O136" s="575"/>
      <c r="P136" s="576"/>
      <c r="Q136" s="577"/>
      <c r="R136" s="574"/>
      <c r="S136" s="574"/>
      <c r="T136" s="574"/>
      <c r="U136" s="578"/>
      <c r="V136" s="579"/>
      <c r="W136" s="573"/>
      <c r="X136" s="574"/>
      <c r="Y136" s="574"/>
      <c r="Z136" s="574"/>
      <c r="AA136" s="574"/>
      <c r="AB136" s="574"/>
      <c r="AC136" s="574"/>
      <c r="AD136" s="575"/>
      <c r="AE136" s="576"/>
      <c r="AF136" s="577"/>
      <c r="AG136" s="574"/>
      <c r="AH136" s="574"/>
      <c r="AI136" s="574"/>
      <c r="AJ136" s="580"/>
      <c r="AK136" s="581"/>
      <c r="AL136" s="574"/>
      <c r="AM136" s="574"/>
      <c r="AN136" s="574"/>
      <c r="AO136" s="574"/>
      <c r="AP136" s="574"/>
      <c r="AQ136" s="575"/>
      <c r="AR136" s="576"/>
      <c r="AS136" s="577"/>
      <c r="AT136" s="574"/>
      <c r="AU136" s="574"/>
      <c r="AV136" s="574"/>
      <c r="AW136" s="582"/>
      <c r="AX136" s="583"/>
      <c r="AY136" s="584"/>
      <c r="AZ136" s="585"/>
      <c r="BA136" s="586"/>
      <c r="BB136" s="574"/>
      <c r="BC136" s="587"/>
      <c r="BD136" s="588"/>
    </row>
    <row r="137" spans="1:56" s="1128" customFormat="1" ht="40.5" hidden="1" customHeight="1" outlineLevel="1" x14ac:dyDescent="0.25">
      <c r="A137" s="758"/>
      <c r="B137" s="569"/>
      <c r="C137" s="589"/>
      <c r="D137" s="571"/>
      <c r="E137" s="571"/>
      <c r="F137" s="572"/>
      <c r="G137" s="569"/>
      <c r="H137" s="573"/>
      <c r="I137" s="574"/>
      <c r="J137" s="574"/>
      <c r="K137" s="574"/>
      <c r="L137" s="574"/>
      <c r="M137" s="574"/>
      <c r="N137" s="574"/>
      <c r="O137" s="575"/>
      <c r="P137" s="576"/>
      <c r="Q137" s="577"/>
      <c r="R137" s="574"/>
      <c r="S137" s="574"/>
      <c r="T137" s="574"/>
      <c r="U137" s="578"/>
      <c r="V137" s="579"/>
      <c r="W137" s="573"/>
      <c r="X137" s="574"/>
      <c r="Y137" s="574"/>
      <c r="Z137" s="574"/>
      <c r="AA137" s="574"/>
      <c r="AB137" s="574"/>
      <c r="AC137" s="574"/>
      <c r="AD137" s="575"/>
      <c r="AE137" s="576"/>
      <c r="AF137" s="577"/>
      <c r="AG137" s="574"/>
      <c r="AH137" s="574"/>
      <c r="AI137" s="574"/>
      <c r="AJ137" s="580"/>
      <c r="AK137" s="581"/>
      <c r="AL137" s="574"/>
      <c r="AM137" s="574"/>
      <c r="AN137" s="574"/>
      <c r="AO137" s="574"/>
      <c r="AP137" s="574"/>
      <c r="AQ137" s="575"/>
      <c r="AR137" s="576"/>
      <c r="AS137" s="577"/>
      <c r="AT137" s="574"/>
      <c r="AU137" s="574"/>
      <c r="AV137" s="574"/>
      <c r="AW137" s="582"/>
      <c r="AX137" s="583"/>
      <c r="AY137" s="584"/>
      <c r="AZ137" s="585"/>
      <c r="BA137" s="586"/>
      <c r="BB137" s="574"/>
      <c r="BC137" s="587"/>
      <c r="BD137" s="588"/>
    </row>
    <row r="138" spans="1:56" s="1128" customFormat="1" ht="40.5" hidden="1" customHeight="1" outlineLevel="1" x14ac:dyDescent="0.25">
      <c r="A138" s="758"/>
      <c r="B138" s="569"/>
      <c r="C138" s="589"/>
      <c r="D138" s="571"/>
      <c r="E138" s="571"/>
      <c r="F138" s="572"/>
      <c r="G138" s="569"/>
      <c r="H138" s="573"/>
      <c r="I138" s="574"/>
      <c r="J138" s="574"/>
      <c r="K138" s="574"/>
      <c r="L138" s="574"/>
      <c r="M138" s="574"/>
      <c r="N138" s="574"/>
      <c r="O138" s="575"/>
      <c r="P138" s="576"/>
      <c r="Q138" s="577"/>
      <c r="R138" s="574"/>
      <c r="S138" s="574"/>
      <c r="T138" s="574"/>
      <c r="U138" s="578"/>
      <c r="V138" s="579"/>
      <c r="W138" s="573"/>
      <c r="X138" s="574"/>
      <c r="Y138" s="574"/>
      <c r="Z138" s="574"/>
      <c r="AA138" s="574"/>
      <c r="AB138" s="574"/>
      <c r="AC138" s="574"/>
      <c r="AD138" s="575"/>
      <c r="AE138" s="576"/>
      <c r="AF138" s="577"/>
      <c r="AG138" s="574"/>
      <c r="AH138" s="574"/>
      <c r="AI138" s="574"/>
      <c r="AJ138" s="580"/>
      <c r="AK138" s="581"/>
      <c r="AL138" s="574"/>
      <c r="AM138" s="574"/>
      <c r="AN138" s="574"/>
      <c r="AO138" s="574"/>
      <c r="AP138" s="574"/>
      <c r="AQ138" s="575"/>
      <c r="AR138" s="576"/>
      <c r="AS138" s="577"/>
      <c r="AT138" s="574"/>
      <c r="AU138" s="574"/>
      <c r="AV138" s="574"/>
      <c r="AW138" s="582"/>
      <c r="AX138" s="583"/>
      <c r="AY138" s="584"/>
      <c r="AZ138" s="585"/>
      <c r="BA138" s="586"/>
      <c r="BB138" s="574"/>
      <c r="BC138" s="587"/>
      <c r="BD138" s="588"/>
    </row>
    <row r="139" spans="1:56" s="1128" customFormat="1" ht="40.5" hidden="1" customHeight="1" outlineLevel="1" x14ac:dyDescent="0.25">
      <c r="A139" s="758"/>
      <c r="B139" s="569"/>
      <c r="C139" s="589"/>
      <c r="D139" s="571"/>
      <c r="E139" s="571"/>
      <c r="F139" s="592"/>
      <c r="G139" s="569"/>
      <c r="H139" s="573"/>
      <c r="I139" s="574"/>
      <c r="J139" s="574"/>
      <c r="K139" s="574"/>
      <c r="L139" s="574"/>
      <c r="M139" s="574"/>
      <c r="N139" s="574"/>
      <c r="O139" s="575"/>
      <c r="P139" s="576"/>
      <c r="Q139" s="577"/>
      <c r="R139" s="574"/>
      <c r="S139" s="574"/>
      <c r="T139" s="574"/>
      <c r="U139" s="580"/>
      <c r="V139" s="579"/>
      <c r="W139" s="573"/>
      <c r="X139" s="574"/>
      <c r="Y139" s="574"/>
      <c r="Z139" s="574"/>
      <c r="AA139" s="574"/>
      <c r="AB139" s="574"/>
      <c r="AC139" s="574"/>
      <c r="AD139" s="575"/>
      <c r="AE139" s="576"/>
      <c r="AF139" s="577"/>
      <c r="AG139" s="574"/>
      <c r="AH139" s="574"/>
      <c r="AI139" s="574"/>
      <c r="AJ139" s="580"/>
      <c r="AK139" s="581"/>
      <c r="AL139" s="574"/>
      <c r="AM139" s="574"/>
      <c r="AN139" s="574"/>
      <c r="AO139" s="574"/>
      <c r="AP139" s="574"/>
      <c r="AQ139" s="575"/>
      <c r="AR139" s="576"/>
      <c r="AS139" s="577"/>
      <c r="AT139" s="574"/>
      <c r="AU139" s="574"/>
      <c r="AV139" s="574"/>
      <c r="AW139" s="582"/>
      <c r="AX139" s="583"/>
      <c r="AY139" s="593"/>
      <c r="AZ139" s="585"/>
      <c r="BA139" s="586"/>
      <c r="BB139" s="574"/>
      <c r="BC139" s="587"/>
      <c r="BD139" s="588"/>
    </row>
    <row r="140" spans="1:56" s="1128" customFormat="1" ht="40.5" hidden="1" customHeight="1" outlineLevel="1" x14ac:dyDescent="0.25">
      <c r="A140" s="758"/>
      <c r="B140" s="569"/>
      <c r="C140" s="589"/>
      <c r="D140" s="571"/>
      <c r="E140" s="571"/>
      <c r="F140" s="592"/>
      <c r="G140" s="569"/>
      <c r="H140" s="573"/>
      <c r="I140" s="574"/>
      <c r="J140" s="574"/>
      <c r="K140" s="574"/>
      <c r="L140" s="574"/>
      <c r="M140" s="574"/>
      <c r="N140" s="574"/>
      <c r="O140" s="575"/>
      <c r="P140" s="576"/>
      <c r="Q140" s="577"/>
      <c r="R140" s="574"/>
      <c r="S140" s="574"/>
      <c r="T140" s="574"/>
      <c r="U140" s="580"/>
      <c r="V140" s="579"/>
      <c r="W140" s="573"/>
      <c r="X140" s="574"/>
      <c r="Y140" s="574"/>
      <c r="Z140" s="574"/>
      <c r="AA140" s="574"/>
      <c r="AB140" s="574"/>
      <c r="AC140" s="574"/>
      <c r="AD140" s="575"/>
      <c r="AE140" s="576"/>
      <c r="AF140" s="577"/>
      <c r="AG140" s="574"/>
      <c r="AH140" s="574"/>
      <c r="AI140" s="574"/>
      <c r="AJ140" s="580"/>
      <c r="AK140" s="581"/>
      <c r="AL140" s="574"/>
      <c r="AM140" s="574"/>
      <c r="AN140" s="574"/>
      <c r="AO140" s="574"/>
      <c r="AP140" s="574"/>
      <c r="AQ140" s="575"/>
      <c r="AR140" s="576"/>
      <c r="AS140" s="577"/>
      <c r="AT140" s="574"/>
      <c r="AU140" s="574"/>
      <c r="AV140" s="574"/>
      <c r="AW140" s="582"/>
      <c r="AX140" s="583"/>
      <c r="AY140" s="593"/>
      <c r="AZ140" s="585"/>
      <c r="BA140" s="586"/>
      <c r="BB140" s="574"/>
      <c r="BC140" s="587"/>
      <c r="BD140" s="588"/>
    </row>
    <row r="141" spans="1:56" s="1128" customFormat="1" ht="40.5" hidden="1" customHeight="1" outlineLevel="1" x14ac:dyDescent="0.25">
      <c r="A141" s="758"/>
      <c r="B141" s="569"/>
      <c r="C141" s="589"/>
      <c r="D141" s="571"/>
      <c r="E141" s="571"/>
      <c r="F141" s="592"/>
      <c r="G141" s="569"/>
      <c r="H141" s="573"/>
      <c r="I141" s="574"/>
      <c r="J141" s="574"/>
      <c r="K141" s="574"/>
      <c r="L141" s="574"/>
      <c r="M141" s="574"/>
      <c r="N141" s="574"/>
      <c r="O141" s="575"/>
      <c r="P141" s="576"/>
      <c r="Q141" s="577"/>
      <c r="R141" s="574"/>
      <c r="S141" s="574"/>
      <c r="T141" s="574"/>
      <c r="U141" s="580"/>
      <c r="V141" s="579"/>
      <c r="W141" s="573"/>
      <c r="X141" s="574"/>
      <c r="Y141" s="574"/>
      <c r="Z141" s="574"/>
      <c r="AA141" s="574"/>
      <c r="AB141" s="574"/>
      <c r="AC141" s="574"/>
      <c r="AD141" s="575"/>
      <c r="AE141" s="576"/>
      <c r="AF141" s="577"/>
      <c r="AG141" s="574"/>
      <c r="AH141" s="574"/>
      <c r="AI141" s="574"/>
      <c r="AJ141" s="580"/>
      <c r="AK141" s="581"/>
      <c r="AL141" s="574"/>
      <c r="AM141" s="574"/>
      <c r="AN141" s="574"/>
      <c r="AO141" s="574"/>
      <c r="AP141" s="574"/>
      <c r="AQ141" s="575"/>
      <c r="AR141" s="576"/>
      <c r="AS141" s="577"/>
      <c r="AT141" s="574"/>
      <c r="AU141" s="574"/>
      <c r="AV141" s="574"/>
      <c r="AW141" s="582"/>
      <c r="AX141" s="583"/>
      <c r="AY141" s="593"/>
      <c r="AZ141" s="585"/>
      <c r="BA141" s="586"/>
      <c r="BB141" s="574"/>
      <c r="BC141" s="587"/>
      <c r="BD141" s="588"/>
    </row>
    <row r="142" spans="1:56" s="1128" customFormat="1" ht="40.5" hidden="1" customHeight="1" outlineLevel="1" thickBot="1" x14ac:dyDescent="0.3">
      <c r="A142" s="758"/>
      <c r="B142" s="594"/>
      <c r="C142" s="595"/>
      <c r="D142" s="596"/>
      <c r="E142" s="596"/>
      <c r="F142" s="597"/>
      <c r="G142" s="594"/>
      <c r="H142" s="598"/>
      <c r="I142" s="599"/>
      <c r="J142" s="599"/>
      <c r="K142" s="599"/>
      <c r="L142" s="599"/>
      <c r="M142" s="599"/>
      <c r="N142" s="599"/>
      <c r="O142" s="600"/>
      <c r="P142" s="601"/>
      <c r="Q142" s="602"/>
      <c r="R142" s="599"/>
      <c r="S142" s="599"/>
      <c r="T142" s="599"/>
      <c r="U142" s="603"/>
      <c r="V142" s="604"/>
      <c r="W142" s="598"/>
      <c r="X142" s="599"/>
      <c r="Y142" s="599"/>
      <c r="Z142" s="599"/>
      <c r="AA142" s="599"/>
      <c r="AB142" s="599"/>
      <c r="AC142" s="599"/>
      <c r="AD142" s="600"/>
      <c r="AE142" s="601"/>
      <c r="AF142" s="602"/>
      <c r="AG142" s="599"/>
      <c r="AH142" s="599"/>
      <c r="AI142" s="599"/>
      <c r="AJ142" s="603"/>
      <c r="AK142" s="605"/>
      <c r="AL142" s="599"/>
      <c r="AM142" s="599"/>
      <c r="AN142" s="599"/>
      <c r="AO142" s="599"/>
      <c r="AP142" s="599"/>
      <c r="AQ142" s="600"/>
      <c r="AR142" s="601"/>
      <c r="AS142" s="602"/>
      <c r="AT142" s="599"/>
      <c r="AU142" s="599"/>
      <c r="AV142" s="599"/>
      <c r="AW142" s="606"/>
      <c r="AX142" s="607"/>
      <c r="AY142" s="608"/>
      <c r="AZ142" s="609"/>
      <c r="BA142" s="610"/>
      <c r="BB142" s="599"/>
      <c r="BC142" s="611"/>
      <c r="BD142" s="612"/>
    </row>
    <row r="143" spans="1:56" s="1128" customFormat="1" ht="29.25" hidden="1" customHeight="1" outlineLevel="1" collapsed="1" thickBot="1" x14ac:dyDescent="0.3">
      <c r="A143" s="758"/>
      <c r="B143" s="758"/>
      <c r="C143" s="500"/>
      <c r="D143" s="500"/>
      <c r="E143" s="500"/>
      <c r="F143" s="500"/>
      <c r="G143" s="758"/>
      <c r="H143" s="758"/>
      <c r="I143" s="758"/>
      <c r="J143" s="501"/>
      <c r="K143" s="758"/>
      <c r="L143" s="758"/>
      <c r="M143" s="758"/>
      <c r="N143" s="758"/>
      <c r="O143" s="613">
        <f>SUBTOTAL(9,O113:O142)</f>
        <v>0</v>
      </c>
      <c r="P143" s="535">
        <f>SUBTOTAL(9,P113:P142)</f>
        <v>0</v>
      </c>
      <c r="Q143" s="758"/>
      <c r="R143" s="758"/>
      <c r="S143" s="758"/>
      <c r="T143" s="758"/>
      <c r="U143" s="758"/>
      <c r="V143" s="758"/>
      <c r="W143" s="758"/>
      <c r="X143" s="758"/>
      <c r="Y143" s="501"/>
      <c r="Z143" s="758"/>
      <c r="AA143" s="758"/>
      <c r="AB143" s="758"/>
      <c r="AC143" s="758"/>
      <c r="AD143" s="613">
        <f>SUBTOTAL(9,AD113:AD142)</f>
        <v>0</v>
      </c>
      <c r="AE143" s="614">
        <f>SUBTOTAL(9,AE113:AE142)</f>
        <v>0</v>
      </c>
      <c r="AF143" s="758"/>
      <c r="AG143" s="758"/>
      <c r="AH143" s="758"/>
      <c r="AI143" s="758"/>
      <c r="AJ143" s="758"/>
      <c r="AK143" s="758"/>
      <c r="AL143" s="758"/>
      <c r="AM143" s="758"/>
      <c r="AN143" s="758"/>
      <c r="AO143" s="758"/>
      <c r="AP143" s="758"/>
      <c r="AQ143" s="537">
        <f>SUBTOTAL(9,AQ113:AQ142)</f>
        <v>0</v>
      </c>
      <c r="AR143" s="615">
        <f>SUBTOTAL(9,AR113:AR142)</f>
        <v>0</v>
      </c>
      <c r="AS143" s="758"/>
      <c r="AT143" s="505"/>
      <c r="AU143" s="505"/>
      <c r="AV143" s="505"/>
      <c r="AW143" s="501"/>
      <c r="AX143" s="506"/>
      <c r="AY143" s="758"/>
      <c r="AZ143" s="616">
        <f>SUBTOTAL(9,AZ112:AZ142)</f>
        <v>0</v>
      </c>
      <c r="BA143" s="617">
        <f>SUBTOTAL(9,BA112:BA142)</f>
        <v>0</v>
      </c>
      <c r="BB143" s="758"/>
      <c r="BC143" s="758"/>
      <c r="BD143" s="758"/>
    </row>
    <row r="144" spans="1:56" s="1128" customFormat="1" ht="36.75" hidden="1" customHeight="1" outlineLevel="1" thickBot="1" x14ac:dyDescent="0.3">
      <c r="A144" s="359"/>
      <c r="B144" s="758"/>
      <c r="C144" s="500"/>
      <c r="D144" s="500"/>
      <c r="E144" s="500"/>
      <c r="F144" s="500"/>
      <c r="G144" s="758"/>
      <c r="H144" s="758"/>
      <c r="I144" s="758"/>
      <c r="J144" s="501"/>
      <c r="K144" s="758"/>
      <c r="L144" s="758"/>
      <c r="M144" s="758"/>
      <c r="N144" s="758"/>
      <c r="O144" s="758"/>
      <c r="P144" s="758"/>
      <c r="Q144" s="758"/>
      <c r="R144" s="758"/>
      <c r="S144" s="758"/>
      <c r="T144" s="500"/>
      <c r="U144" s="500"/>
      <c r="V144" s="758"/>
      <c r="W144" s="758"/>
      <c r="X144" s="501"/>
      <c r="Y144" s="501"/>
      <c r="Z144" s="758"/>
      <c r="AA144" s="758"/>
      <c r="AB144" s="758"/>
      <c r="AC144" s="758"/>
      <c r="AD144" s="758"/>
      <c r="AE144" s="758"/>
      <c r="AF144" s="758"/>
      <c r="AG144" s="758"/>
      <c r="AH144" s="758"/>
      <c r="AI144" s="758"/>
      <c r="AJ144" s="758"/>
      <c r="AK144" s="758"/>
      <c r="AL144" s="758"/>
      <c r="AM144" s="758"/>
      <c r="AN144" s="758"/>
      <c r="AO144" s="758"/>
      <c r="AP144" s="758"/>
      <c r="AQ144" s="505"/>
      <c r="AR144" s="505"/>
      <c r="AS144" s="758"/>
      <c r="AT144" s="505"/>
      <c r="AU144" s="505"/>
      <c r="AV144" s="505"/>
      <c r="AW144" s="501"/>
      <c r="AX144" s="506"/>
      <c r="AY144" s="758"/>
      <c r="AZ144" s="618"/>
      <c r="BA144" s="619"/>
      <c r="BB144" s="758"/>
      <c r="BC144" s="758"/>
      <c r="BD144" s="758"/>
    </row>
    <row r="145" spans="1:56" s="1140" customFormat="1" ht="36.75" customHeight="1" collapsed="1" thickBot="1" x14ac:dyDescent="0.3">
      <c r="A145" s="360"/>
      <c r="B145" s="824" t="s">
        <v>2207</v>
      </c>
      <c r="C145" s="825"/>
      <c r="D145" s="825"/>
      <c r="E145" s="825"/>
      <c r="F145" s="825"/>
      <c r="G145" s="825"/>
      <c r="H145" s="825"/>
      <c r="I145" s="825"/>
      <c r="J145" s="825"/>
      <c r="K145" s="825"/>
      <c r="L145" s="825"/>
      <c r="M145" s="825"/>
      <c r="N145" s="825"/>
      <c r="O145" s="825"/>
      <c r="P145" s="825"/>
      <c r="Q145" s="825"/>
      <c r="R145" s="825"/>
      <c r="S145" s="825"/>
      <c r="T145" s="825"/>
      <c r="U145" s="825"/>
      <c r="V145" s="825"/>
      <c r="W145" s="825"/>
      <c r="X145" s="825"/>
      <c r="Y145" s="825"/>
      <c r="Z145" s="825"/>
      <c r="AA145" s="825"/>
      <c r="AB145" s="825"/>
      <c r="AC145" s="825"/>
      <c r="AD145" s="825"/>
      <c r="AE145" s="825"/>
      <c r="AF145" s="825"/>
      <c r="AG145" s="825"/>
      <c r="AH145" s="825"/>
      <c r="AI145" s="825"/>
      <c r="AJ145" s="825"/>
      <c r="AK145" s="825"/>
      <c r="AL145" s="825"/>
      <c r="AM145" s="825"/>
      <c r="AN145" s="825"/>
      <c r="AO145" s="825"/>
      <c r="AP145" s="825"/>
      <c r="AQ145" s="825"/>
      <c r="AR145" s="825"/>
      <c r="AS145" s="825"/>
      <c r="AT145" s="825"/>
      <c r="AU145" s="825"/>
      <c r="AV145" s="825"/>
      <c r="AW145" s="825"/>
      <c r="AX145" s="825"/>
      <c r="AY145" s="825"/>
      <c r="AZ145" s="825"/>
      <c r="BA145" s="825"/>
      <c r="BB145" s="825"/>
      <c r="BC145" s="825"/>
      <c r="BD145" s="826"/>
    </row>
    <row r="146" spans="1:56" ht="36.75" customHeight="1" x14ac:dyDescent="0.25">
      <c r="A146" s="373"/>
      <c r="B146" s="374">
        <v>1</v>
      </c>
      <c r="C146" s="620" t="s">
        <v>388</v>
      </c>
      <c r="D146" s="376" t="str">
        <f>VLOOKUP($C146,'ТР нефть'!$A$29:$GC$641,5,0)</f>
        <v>ВУ ОНГКМ</v>
      </c>
      <c r="E146" s="376" t="str">
        <f>VLOOKUP($C146,'ТР нефть'!$A$29:$GC$641,8,0)</f>
        <v>ТЛ-1</v>
      </c>
      <c r="F146" s="377" t="str">
        <f>VLOOKUP($C146,'ТР нефть'!$A$29:$GC$641,11,0)</f>
        <v>Куст скважины-29</v>
      </c>
      <c r="G146" s="374" t="str">
        <f>VLOOKUP($C146,'ТР нефть'!$A$29:$GC$641,47,0)</f>
        <v>Газлифт</v>
      </c>
      <c r="H146" s="378">
        <f>VLOOKUP($C146,'ТР нефть'!$A$29:$GC$641,135,0)</f>
        <v>18</v>
      </c>
      <c r="I146" s="379">
        <f>VLOOKUP($C146,'ТР нефть'!$A$29:$GC$641,136,0)</f>
        <v>19</v>
      </c>
      <c r="J146" s="379">
        <f>VLOOKUP($C146,'ТР нефть'!$A$29:$GC$641,137,0)</f>
        <v>60</v>
      </c>
      <c r="K146" s="379">
        <f>VLOOKUP($C146,'ТР нефть'!$A$29:$GC$641,138,0)</f>
        <v>18</v>
      </c>
      <c r="L146" s="379" t="str">
        <f>VLOOKUP($C146,'ТР нефть'!$A$29:$GC$641,139,0)</f>
        <v>Постоянный</v>
      </c>
      <c r="M146" s="379">
        <f>VLOOKUP($C146,'ТР нефть'!$A$29:$GC$641,140,0)</f>
        <v>24</v>
      </c>
      <c r="N146" s="379">
        <f>VLOOKUP($C146,'ТР нефть'!$A$29:$GC$641,141,0)</f>
        <v>0</v>
      </c>
      <c r="O146" s="380">
        <f>VLOOKUP($C146,'ТР нефть'!$A$29:$GC$641,142,0)</f>
        <v>19.323</v>
      </c>
      <c r="P146" s="381">
        <f>VLOOKUP($C146,'ТР нефть'!$A$29:$GC$641,143,0)</f>
        <v>23.114000000000001</v>
      </c>
      <c r="Q146" s="382">
        <f>VLOOKUP($C146,'ТР нефть'!$A$29:$GC$641,144,0)</f>
        <v>0.23</v>
      </c>
      <c r="R146" s="379">
        <f>VLOOKUP($C146,'ТР нефть'!$A$29:$GC$641,145,0)</f>
        <v>1181.5999999999999</v>
      </c>
      <c r="S146" s="379">
        <f>VLOOKUP($C146,'ТР нефть'!$A$29:$GC$641,146,0)</f>
        <v>1181.5999999999999</v>
      </c>
      <c r="T146" s="379">
        <f>VLOOKUP($C146,'ТР нефть'!$A$29:$GC$641,149,0)</f>
        <v>66</v>
      </c>
      <c r="U146" s="383">
        <f>VLOOKUP($C146,'ТР нефть'!$A$29:$GC$641,150,0)</f>
        <v>0.2458936170212766</v>
      </c>
      <c r="V146" s="384" t="str">
        <f>VLOOKUP($C146,'ТР нефть'!$A$29:$GC$641,47,0)</f>
        <v>Газлифт</v>
      </c>
      <c r="W146" s="378">
        <f>VLOOKUP($C146,'ТР нефть'!$A$29:$GC$641,74,0)</f>
        <v>18</v>
      </c>
      <c r="X146" s="379">
        <f>VLOOKUP($C146,'ТР нефть'!$A$29:$GC$641,79,0)</f>
        <v>18</v>
      </c>
      <c r="Y146" s="379">
        <f>VLOOKUP($C146,'ТР нефть'!$A$29:$GC$641,80,0)</f>
        <v>46</v>
      </c>
      <c r="Z146" s="379">
        <f>VLOOKUP($C146,'ТР нефть'!$A$29:$GC$641,81,0)</f>
        <v>16</v>
      </c>
      <c r="AA146" s="379" t="str">
        <f>VLOOKUP($C146,'ТР нефть'!$A$29:$GC$641,76,0)</f>
        <v>Постоянный</v>
      </c>
      <c r="AB146" s="379">
        <f>VLOOKUP($C146,'ТР нефть'!$A$29:$GC$641,77,0)</f>
        <v>24</v>
      </c>
      <c r="AC146" s="379">
        <f>VLOOKUP($C146,'ТР нефть'!$A$29:$GC$641,78,0)</f>
        <v>0</v>
      </c>
      <c r="AD146" s="380">
        <f>VLOOKUP($C146,'ТР нефть'!$A$29:$GC$641,93,0)</f>
        <v>6.0860799999999999</v>
      </c>
      <c r="AE146" s="381">
        <f>VLOOKUP($C146,'ТР нефть'!$A$29:$GC$641,94,0)</f>
        <v>14</v>
      </c>
      <c r="AF146" s="382">
        <f>VLOOKUP($C146,'ТР нефть'!$A$29:$GC$641,95,0)</f>
        <v>48</v>
      </c>
      <c r="AG146" s="379">
        <f>VLOOKUP($C146,'ТР нефть'!$A$29:$GC$641,99,0)</f>
        <v>3</v>
      </c>
      <c r="AH146" s="379">
        <f>VLOOKUP($C146,'ТР нефть'!$A$29:$GC$641,100,0)</f>
        <v>492.92812450707186</v>
      </c>
      <c r="AI146" s="379">
        <f>VLOOKUP($C146,'ТР нефть'!$A$29:$GC$641,92,0)</f>
        <v>55</v>
      </c>
      <c r="AJ146" s="385">
        <f>VLOOKUP($C146,'ТР нефть'!$A$29:$GC$641,102,0)</f>
        <v>0.13333333333333333</v>
      </c>
      <c r="AK146" s="386">
        <f t="shared" ref="AK146:AN153" si="15">W146-H146</f>
        <v>0</v>
      </c>
      <c r="AL146" s="379">
        <f t="shared" si="15"/>
        <v>-1</v>
      </c>
      <c r="AM146" s="379">
        <f t="shared" si="15"/>
        <v>-14</v>
      </c>
      <c r="AN146" s="379">
        <f t="shared" si="15"/>
        <v>-2</v>
      </c>
      <c r="AO146" s="379">
        <f t="shared" ref="AO146:AW153" si="16">AB146-M146</f>
        <v>0</v>
      </c>
      <c r="AP146" s="379">
        <f t="shared" si="16"/>
        <v>0</v>
      </c>
      <c r="AQ146" s="380">
        <f t="shared" si="16"/>
        <v>-13.236920000000001</v>
      </c>
      <c r="AR146" s="381">
        <f t="shared" si="16"/>
        <v>-9.1140000000000008</v>
      </c>
      <c r="AS146" s="382">
        <f t="shared" si="16"/>
        <v>47.77</v>
      </c>
      <c r="AT146" s="379">
        <f t="shared" si="16"/>
        <v>-1178.5999999999999</v>
      </c>
      <c r="AU146" s="379">
        <f t="shared" si="16"/>
        <v>-688.67187549292805</v>
      </c>
      <c r="AV146" s="379">
        <f t="shared" si="16"/>
        <v>-11</v>
      </c>
      <c r="AW146" s="387">
        <f t="shared" si="16"/>
        <v>-0.11256028368794327</v>
      </c>
      <c r="AX146" s="374" t="str">
        <f>VLOOKUP($C146,'ТР нефть'!$A$29:$GC$641,182,0)</f>
        <v>ИПП ГТМ</v>
      </c>
      <c r="AY146" s="387" t="str">
        <f>VLOOKUP($C146,'ТР нефть'!$A$29:$GC$641,183,0)</f>
        <v xml:space="preserve"> Снижение дебита на фоне снижения Рзаб и увеличение % обводненности. ЗБС май 2023, проведение доосвоения скважины. </v>
      </c>
      <c r="AZ146" s="388">
        <f t="shared" ref="AZ146:BB153" si="17">AD146</f>
        <v>6.0860799999999999</v>
      </c>
      <c r="BA146" s="389">
        <f t="shared" si="17"/>
        <v>14</v>
      </c>
      <c r="BB146" s="379">
        <f t="shared" si="17"/>
        <v>48</v>
      </c>
      <c r="BC146" s="390"/>
      <c r="BD146" s="391"/>
    </row>
    <row r="147" spans="1:56" ht="36.75" customHeight="1" x14ac:dyDescent="0.25">
      <c r="A147" s="373"/>
      <c r="B147" s="392">
        <f t="shared" ref="B147:B149" si="18">B146+1</f>
        <v>2</v>
      </c>
      <c r="C147" s="621" t="s">
        <v>903</v>
      </c>
      <c r="D147" s="394" t="str">
        <f>VLOOKUP($C147,'ТР нефть'!$A$29:$GC$641,5,0)</f>
        <v>ВУ ОНГКМ</v>
      </c>
      <c r="E147" s="394" t="str">
        <f>VLOOKUP($C147,'ТР нефть'!$A$29:$GC$641,8,0)</f>
        <v>ТЛ-2</v>
      </c>
      <c r="F147" s="395" t="str">
        <f>VLOOKUP($C147,'ТР нефть'!$A$29:$GC$641,11,0)</f>
        <v>Куст скважины-1080</v>
      </c>
      <c r="G147" s="392" t="str">
        <f>VLOOKUP($C147,'ТР нефть'!$A$29:$GC$641,47,0)</f>
        <v>Газлифт</v>
      </c>
      <c r="H147" s="396">
        <f>VLOOKUP($C147,'ТР нефть'!$A$29:$GC$641,135,0)</f>
        <v>18</v>
      </c>
      <c r="I147" s="397">
        <f>VLOOKUP($C147,'ТР нефть'!$A$29:$GC$641,136,0)</f>
        <v>24</v>
      </c>
      <c r="J147" s="397">
        <f>VLOOKUP($C147,'ТР нефть'!$A$29:$GC$641,137,0)</f>
        <v>49</v>
      </c>
      <c r="K147" s="397">
        <f>VLOOKUP($C147,'ТР нефть'!$A$29:$GC$641,138,0)</f>
        <v>23</v>
      </c>
      <c r="L147" s="397" t="str">
        <f>VLOOKUP($C147,'ТР нефть'!$A$29:$GC$641,139,0)</f>
        <v>Постоянный</v>
      </c>
      <c r="M147" s="397">
        <f>VLOOKUP($C147,'ТР нефть'!$A$29:$GC$641,140,0)</f>
        <v>24</v>
      </c>
      <c r="N147" s="397">
        <f>VLOOKUP($C147,'ТР нефть'!$A$29:$GC$641,141,0)</f>
        <v>0</v>
      </c>
      <c r="O147" s="398">
        <f>VLOOKUP($C147,'ТР нефть'!$A$29:$GC$641,142,0)</f>
        <v>21.1508</v>
      </c>
      <c r="P147" s="399">
        <f>VLOOKUP($C147,'ТР нефть'!$A$29:$GC$641,143,0)</f>
        <v>25.3</v>
      </c>
      <c r="Q147" s="400">
        <f>VLOOKUP($C147,'ТР нефть'!$A$29:$GC$641,144,0)</f>
        <v>0</v>
      </c>
      <c r="R147" s="397">
        <f>VLOOKUP($C147,'ТР нефть'!$A$29:$GC$641,145,0)</f>
        <v>24.7</v>
      </c>
      <c r="S147" s="397">
        <f>VLOOKUP($C147,'ТР нефть'!$A$29:$GC$641,146,0)</f>
        <v>420.78786618000254</v>
      </c>
      <c r="T147" s="397">
        <f>VLOOKUP($C147,'ТР нефть'!$A$29:$GC$641,149,0)</f>
        <v>48</v>
      </c>
      <c r="U147" s="401">
        <f>VLOOKUP($C147,'ТР нефть'!$A$29:$GC$641,150,0)</f>
        <v>0.31546134663341652</v>
      </c>
      <c r="V147" s="402" t="str">
        <f>VLOOKUP($C147,'ТР нефть'!$A$29:$GC$641,47,0)</f>
        <v>Газлифт</v>
      </c>
      <c r="W147" s="396">
        <f>VLOOKUP($C147,'ТР нефть'!$A$29:$GC$641,74,0)</f>
        <v>18</v>
      </c>
      <c r="X147" s="397">
        <f>VLOOKUP($C147,'ТР нефть'!$A$29:$GC$641,79,0)</f>
        <v>25</v>
      </c>
      <c r="Y147" s="397">
        <f>VLOOKUP($C147,'ТР нефть'!$A$29:$GC$641,80,0)</f>
        <v>62</v>
      </c>
      <c r="Z147" s="397">
        <f>VLOOKUP($C147,'ТР нефть'!$A$29:$GC$641,81,0)</f>
        <v>24</v>
      </c>
      <c r="AA147" s="397" t="str">
        <f>VLOOKUP($C147,'ТР нефть'!$A$29:$GC$641,76,0)</f>
        <v>Постоянный</v>
      </c>
      <c r="AB147" s="397">
        <f>VLOOKUP($C147,'ТР нефть'!$A$29:$GC$641,77,0)</f>
        <v>24</v>
      </c>
      <c r="AC147" s="397">
        <f>VLOOKUP($C147,'ТР нефть'!$A$29:$GC$641,78,0)</f>
        <v>0</v>
      </c>
      <c r="AD147" s="398">
        <f>VLOOKUP($C147,'ТР нефть'!$A$29:$GC$641,93,0)</f>
        <v>17.556000000000001</v>
      </c>
      <c r="AE147" s="399">
        <f>VLOOKUP($C147,'ТР нефть'!$A$29:$GC$641,94,0)</f>
        <v>21</v>
      </c>
      <c r="AF147" s="400">
        <f>VLOOKUP($C147,'ТР нефть'!$A$29:$GC$641,95,0)</f>
        <v>0</v>
      </c>
      <c r="AG147" s="397">
        <f>VLOOKUP($C147,'ТР нефть'!$A$29:$GC$641,99,0)</f>
        <v>8</v>
      </c>
      <c r="AH147" s="397">
        <f>VLOOKUP($C147,'ТР нефть'!$A$29:$GC$641,100,0)</f>
        <v>455.68466621098196</v>
      </c>
      <c r="AI147" s="397">
        <f>VLOOKUP($C147,'ТР нефть'!$A$29:$GC$641,92,0)</f>
        <v>47</v>
      </c>
      <c r="AJ147" s="403">
        <f>VLOOKUP($C147,'ТР нефть'!$A$29:$GC$641,102,0)</f>
        <v>0.24361948955916476</v>
      </c>
      <c r="AK147" s="404">
        <f t="shared" si="15"/>
        <v>0</v>
      </c>
      <c r="AL147" s="397">
        <f t="shared" si="15"/>
        <v>1</v>
      </c>
      <c r="AM147" s="397">
        <f t="shared" si="15"/>
        <v>13</v>
      </c>
      <c r="AN147" s="397">
        <f t="shared" si="15"/>
        <v>1</v>
      </c>
      <c r="AO147" s="397">
        <f t="shared" si="16"/>
        <v>0</v>
      </c>
      <c r="AP147" s="397">
        <f t="shared" si="16"/>
        <v>0</v>
      </c>
      <c r="AQ147" s="398">
        <f t="shared" si="16"/>
        <v>-3.5947999999999993</v>
      </c>
      <c r="AR147" s="399">
        <f t="shared" si="16"/>
        <v>-4.3000000000000007</v>
      </c>
      <c r="AS147" s="400">
        <f t="shared" si="16"/>
        <v>0</v>
      </c>
      <c r="AT147" s="397">
        <f t="shared" si="16"/>
        <v>-16.7</v>
      </c>
      <c r="AU147" s="397">
        <f t="shared" si="16"/>
        <v>34.896800030979421</v>
      </c>
      <c r="AV147" s="397">
        <f t="shared" si="16"/>
        <v>-1</v>
      </c>
      <c r="AW147" s="406">
        <f t="shared" si="16"/>
        <v>-7.1841857074251753E-2</v>
      </c>
      <c r="AX147" s="392" t="str">
        <f>VLOOKUP($C147,'ТР нефть'!$A$29:$GC$641,182,0)</f>
        <v>ИПП ГТМ</v>
      </c>
      <c r="AY147" s="406" t="str">
        <f>VLOOKUP($C147,'ТР нефть'!$A$29:$GC$641,183,0)</f>
        <v xml:space="preserve"> ЗБС 03.2023 Снижение энергетики пласта что подтверждается дебитом и изменением Рзаб</v>
      </c>
      <c r="AZ147" s="407">
        <f t="shared" si="17"/>
        <v>17.556000000000001</v>
      </c>
      <c r="BA147" s="408">
        <f t="shared" si="17"/>
        <v>21</v>
      </c>
      <c r="BB147" s="397">
        <f t="shared" si="17"/>
        <v>0</v>
      </c>
      <c r="BC147" s="409"/>
      <c r="BD147" s="512"/>
    </row>
    <row r="148" spans="1:56" ht="36.75" customHeight="1" x14ac:dyDescent="0.25">
      <c r="A148" s="373"/>
      <c r="B148" s="392">
        <f t="shared" si="18"/>
        <v>3</v>
      </c>
      <c r="C148" s="621">
        <v>1241</v>
      </c>
      <c r="D148" s="394" t="str">
        <f>VLOOKUP($C148,'ТР нефть'!$A$29:$GC$641,5,0)</f>
        <v>ВУ ОНГКМ</v>
      </c>
      <c r="E148" s="394" t="str">
        <f>VLOOKUP($C148,'ТР нефть'!$A$29:$GC$641,8,0)</f>
        <v>ТЛ-3</v>
      </c>
      <c r="F148" s="395" t="str">
        <f>VLOOKUP($C148,'ТР нефть'!$A$29:$GC$641,11,0)</f>
        <v>К-26</v>
      </c>
      <c r="G148" s="392" t="str">
        <f>VLOOKUP($C148,'ТР нефть'!$A$29:$GC$641,47,0)</f>
        <v>Газлифт</v>
      </c>
      <c r="H148" s="396">
        <f>VLOOKUP($C148,'ТР нефть'!$A$29:$GC$641,135,0)</f>
        <v>65</v>
      </c>
      <c r="I148" s="397">
        <f>VLOOKUP($C148,'ТР нефть'!$A$29:$GC$641,136,0)</f>
        <v>30</v>
      </c>
      <c r="J148" s="397">
        <f>VLOOKUP($C148,'ТР нефть'!$A$29:$GC$641,137,0)</f>
        <v>46</v>
      </c>
      <c r="K148" s="397">
        <f>VLOOKUP($C148,'ТР нефть'!$A$29:$GC$641,138,0)</f>
        <v>28</v>
      </c>
      <c r="L148" s="397" t="str">
        <f>VLOOKUP($C148,'ТР нефть'!$A$29:$GC$641,139,0)</f>
        <v>Постоянный</v>
      </c>
      <c r="M148" s="397">
        <f>VLOOKUP($C148,'ТР нефть'!$A$29:$GC$641,140,0)</f>
        <v>24</v>
      </c>
      <c r="N148" s="397">
        <f>VLOOKUP($C148,'ТР нефть'!$A$29:$GC$641,141,0)</f>
        <v>0</v>
      </c>
      <c r="O148" s="398">
        <f>VLOOKUP($C148,'ТР нефть'!$A$29:$GC$641,142,0)</f>
        <v>18.09</v>
      </c>
      <c r="P148" s="399">
        <f>VLOOKUP($C148,'ТР нефть'!$A$29:$GC$641,143,0)</f>
        <v>22.672000000000001</v>
      </c>
      <c r="Q148" s="400">
        <f>VLOOKUP($C148,'ТР нефть'!$A$29:$GC$641,144,0)</f>
        <v>4.556</v>
      </c>
      <c r="R148" s="397">
        <f>VLOOKUP($C148,'ТР нефть'!$A$29:$GC$641,145,0)</f>
        <v>20.661999999999999</v>
      </c>
      <c r="S148" s="397">
        <f>VLOOKUP($C148,'ТР нефть'!$A$29:$GC$641,146,0)</f>
        <v>417.8</v>
      </c>
      <c r="T148" s="397">
        <f>VLOOKUP($C148,'ТР нефть'!$A$29:$GC$641,149,0)</f>
        <v>66</v>
      </c>
      <c r="U148" s="401">
        <f>VLOOKUP($C148,'ТР нефть'!$A$29:$GC$641,150,0)</f>
        <v>0.22</v>
      </c>
      <c r="V148" s="402" t="str">
        <f>VLOOKUP($C148,'ТР нефть'!$A$29:$GC$641,47,0)</f>
        <v>Газлифт</v>
      </c>
      <c r="W148" s="396">
        <f>VLOOKUP($C148,'ТР нефть'!$A$29:$GC$641,74,0)</f>
        <v>65</v>
      </c>
      <c r="X148" s="397">
        <f>VLOOKUP($C148,'ТР нефть'!$A$29:$GC$641,79,0)</f>
        <v>26</v>
      </c>
      <c r="Y148" s="397">
        <f>VLOOKUP($C148,'ТР нефть'!$A$29:$GC$641,80,0)</f>
        <v>40</v>
      </c>
      <c r="Z148" s="397">
        <f>VLOOKUP($C148,'ТР нефть'!$A$29:$GC$641,81,0)</f>
        <v>25</v>
      </c>
      <c r="AA148" s="397" t="str">
        <f>VLOOKUP($C148,'ТР нефть'!$A$29:$GC$641,76,0)</f>
        <v>Постоянный</v>
      </c>
      <c r="AB148" s="397">
        <f>VLOOKUP($C148,'ТР нефть'!$A$29:$GC$641,77,0)</f>
        <v>24</v>
      </c>
      <c r="AC148" s="397">
        <f>VLOOKUP($C148,'ТР нефть'!$A$29:$GC$641,78,0)</f>
        <v>0</v>
      </c>
      <c r="AD148" s="398">
        <f>VLOOKUP($C148,'ТР нефть'!$A$29:$GC$641,93,0)</f>
        <v>13.335872</v>
      </c>
      <c r="AE148" s="399">
        <f>VLOOKUP($C148,'ТР нефть'!$A$29:$GC$641,94,0)</f>
        <v>16</v>
      </c>
      <c r="AF148" s="400">
        <f>VLOOKUP($C148,'ТР нефть'!$A$29:$GC$641,95,0)</f>
        <v>0.3</v>
      </c>
      <c r="AG148" s="397">
        <f>VLOOKUP($C148,'ТР нефть'!$A$29:$GC$641,99,0)</f>
        <v>6.8000000000000007</v>
      </c>
      <c r="AH148" s="397">
        <f>VLOOKUP($C148,'ТР нефть'!$A$29:$GC$641,100,0)</f>
        <v>509.90291448508208</v>
      </c>
      <c r="AI148" s="397">
        <f>VLOOKUP($C148,'ТР нефть'!$A$29:$GC$641,92,0)</f>
        <v>65</v>
      </c>
      <c r="AJ148" s="403">
        <f>VLOOKUP($C148,'ТР нефть'!$A$29:$GC$641,102,0)</f>
        <v>0.2807017543859649</v>
      </c>
      <c r="AK148" s="404">
        <f t="shared" si="15"/>
        <v>0</v>
      </c>
      <c r="AL148" s="397">
        <f t="shared" si="15"/>
        <v>-4</v>
      </c>
      <c r="AM148" s="397">
        <f t="shared" si="15"/>
        <v>-6</v>
      </c>
      <c r="AN148" s="397">
        <f t="shared" si="15"/>
        <v>-3</v>
      </c>
      <c r="AO148" s="397">
        <f t="shared" si="16"/>
        <v>0</v>
      </c>
      <c r="AP148" s="397">
        <f t="shared" si="16"/>
        <v>0</v>
      </c>
      <c r="AQ148" s="405">
        <f t="shared" si="16"/>
        <v>-4.7541279999999997</v>
      </c>
      <c r="AR148" s="416">
        <f t="shared" si="16"/>
        <v>-6.6720000000000006</v>
      </c>
      <c r="AS148" s="400">
        <f t="shared" si="16"/>
        <v>-4.2560000000000002</v>
      </c>
      <c r="AT148" s="397">
        <f t="shared" si="16"/>
        <v>-13.861999999999998</v>
      </c>
      <c r="AU148" s="397">
        <f t="shared" si="16"/>
        <v>92.102914485082067</v>
      </c>
      <c r="AV148" s="397">
        <f t="shared" si="16"/>
        <v>-1</v>
      </c>
      <c r="AW148" s="406">
        <f t="shared" si="16"/>
        <v>6.0701754385964896E-2</v>
      </c>
      <c r="AX148" s="392" t="str">
        <f>VLOOKUP($C148,'ТР нефть'!$A$29:$GC$641,182,0)</f>
        <v>ИПП ГТМ</v>
      </c>
      <c r="AY148" s="406" t="str">
        <f>VLOOKUP($C148,'ТР нефть'!$A$29:$GC$641,183,0)</f>
        <v>ОПЗ 05.2023. Снижение энергетики пласта что подтверждается дебитом и изменением Рзаб</v>
      </c>
      <c r="AZ148" s="407">
        <f t="shared" si="17"/>
        <v>13.335872</v>
      </c>
      <c r="BA148" s="408">
        <f t="shared" si="17"/>
        <v>16</v>
      </c>
      <c r="BB148" s="397">
        <f t="shared" si="17"/>
        <v>0.3</v>
      </c>
      <c r="BC148" s="409"/>
      <c r="BD148" s="512"/>
    </row>
    <row r="149" spans="1:56" ht="36.75" customHeight="1" x14ac:dyDescent="0.25">
      <c r="A149" s="373"/>
      <c r="B149" s="392">
        <f t="shared" si="18"/>
        <v>4</v>
      </c>
      <c r="C149" s="621">
        <v>1475</v>
      </c>
      <c r="D149" s="394" t="str">
        <f>VLOOKUP($C149,'ТР нефть'!$A$29:$GC$641,5,0)</f>
        <v>ВУ ОНГКМ</v>
      </c>
      <c r="E149" s="394" t="str">
        <f>VLOOKUP($C149,'ТР нефть'!$A$29:$GC$641,8,0)</f>
        <v>ТЛ-4</v>
      </c>
      <c r="F149" s="395" t="str">
        <f>VLOOKUP($C149,'ТР нефть'!$A$29:$GC$641,11,0)</f>
        <v>К-65</v>
      </c>
      <c r="G149" s="392" t="str">
        <f>VLOOKUP($C149,'ТР нефть'!$A$29:$GC$641,47,0)</f>
        <v>Газлифт</v>
      </c>
      <c r="H149" s="396">
        <f>VLOOKUP($C149,'ТР нефть'!$A$29:$GC$641,135,0)</f>
        <v>65</v>
      </c>
      <c r="I149" s="397">
        <f>VLOOKUP($C149,'ТР нефть'!$A$29:$GC$641,136,0)</f>
        <v>27</v>
      </c>
      <c r="J149" s="397">
        <f>VLOOKUP($C149,'ТР нефть'!$A$29:$GC$641,137,0)</f>
        <v>46</v>
      </c>
      <c r="K149" s="397">
        <f>VLOOKUP($C149,'ТР нефть'!$A$29:$GC$641,138,0)</f>
        <v>26</v>
      </c>
      <c r="L149" s="397" t="str">
        <f>VLOOKUP($C149,'ТР нефть'!$A$29:$GC$641,139,0)</f>
        <v>Постоянный</v>
      </c>
      <c r="M149" s="397">
        <f>VLOOKUP($C149,'ТР нефть'!$A$29:$GC$641,140,0)</f>
        <v>24</v>
      </c>
      <c r="N149" s="397">
        <f>VLOOKUP($C149,'ТР нефть'!$A$29:$GC$641,141,0)</f>
        <v>0</v>
      </c>
      <c r="O149" s="398">
        <f>VLOOKUP($C149,'ТР нефть'!$A$29:$GC$641,142,0)</f>
        <v>16.72</v>
      </c>
      <c r="P149" s="399">
        <f>VLOOKUP($C149,'ТР нефть'!$A$29:$GC$641,143,0)</f>
        <v>20</v>
      </c>
      <c r="Q149" s="400">
        <f>VLOOKUP($C149,'ТР нефть'!$A$29:$GC$641,144,0)</f>
        <v>0</v>
      </c>
      <c r="R149" s="397">
        <f>VLOOKUP($C149,'ТР нефть'!$A$29:$GC$641,145,0)</f>
        <v>16</v>
      </c>
      <c r="S149" s="397">
        <f>VLOOKUP($C149,'ТР нефть'!$A$29:$GC$641,146,0)</f>
        <v>119.61722488038278</v>
      </c>
      <c r="T149" s="397">
        <f>VLOOKUP($C149,'ТР нефть'!$A$29:$GC$641,149,0)</f>
        <v>64</v>
      </c>
      <c r="U149" s="401">
        <f>VLOOKUP($C149,'ТР нефть'!$A$29:$GC$641,150,0)</f>
        <v>0.20833333333333334</v>
      </c>
      <c r="V149" s="402" t="str">
        <f>VLOOKUP($C149,'ТР нефть'!$A$29:$GC$641,47,0)</f>
        <v>Газлифт</v>
      </c>
      <c r="W149" s="396">
        <f>VLOOKUP($C149,'ТР нефть'!$A$29:$GC$641,74,0)</f>
        <v>65</v>
      </c>
      <c r="X149" s="397">
        <f>VLOOKUP($C149,'ТР нефть'!$A$29:$GC$641,79,0)</f>
        <v>25</v>
      </c>
      <c r="Y149" s="397">
        <f>VLOOKUP($C149,'ТР нефть'!$A$29:$GC$641,80,0)</f>
        <v>45</v>
      </c>
      <c r="Z149" s="397">
        <f>VLOOKUP($C149,'ТР нефть'!$A$29:$GC$641,81,0)</f>
        <v>24</v>
      </c>
      <c r="AA149" s="397" t="str">
        <f>VLOOKUP($C149,'ТР нефть'!$A$29:$GC$641,76,0)</f>
        <v>Постоянный</v>
      </c>
      <c r="AB149" s="397">
        <f>VLOOKUP($C149,'ТР нефть'!$A$29:$GC$641,77,0)</f>
        <v>24</v>
      </c>
      <c r="AC149" s="397">
        <f>VLOOKUP($C149,'ТР нефть'!$A$29:$GC$641,78,0)</f>
        <v>0</v>
      </c>
      <c r="AD149" s="398">
        <f>VLOOKUP($C149,'ТР нефть'!$A$29:$GC$641,93,0)</f>
        <v>12.54</v>
      </c>
      <c r="AE149" s="399">
        <f>VLOOKUP($C149,'ТР нефть'!$A$29:$GC$641,94,0)</f>
        <v>15</v>
      </c>
      <c r="AF149" s="400">
        <f>VLOOKUP($C149,'ТР нефть'!$A$29:$GC$641,95,0)</f>
        <v>0</v>
      </c>
      <c r="AG149" s="397">
        <f>VLOOKUP($C149,'ТР нефть'!$A$29:$GC$641,99,0)</f>
        <v>3.5999999999999996</v>
      </c>
      <c r="AH149" s="397">
        <f>VLOOKUP($C149,'ТР нефть'!$A$29:$GC$641,100,0)</f>
        <v>287.08133971291863</v>
      </c>
      <c r="AI149" s="397">
        <f>VLOOKUP($C149,'ТР нефть'!$A$29:$GC$641,92,0)</f>
        <v>61</v>
      </c>
      <c r="AJ149" s="403">
        <f>VLOOKUP($C149,'ТР нефть'!$A$29:$GC$641,102,0)</f>
        <v>0.15151515151515152</v>
      </c>
      <c r="AK149" s="404">
        <f t="shared" si="15"/>
        <v>0</v>
      </c>
      <c r="AL149" s="397">
        <f t="shared" si="15"/>
        <v>-2</v>
      </c>
      <c r="AM149" s="397">
        <f t="shared" si="15"/>
        <v>-1</v>
      </c>
      <c r="AN149" s="397">
        <f t="shared" si="15"/>
        <v>-2</v>
      </c>
      <c r="AO149" s="397">
        <f t="shared" si="16"/>
        <v>0</v>
      </c>
      <c r="AP149" s="397">
        <f t="shared" si="16"/>
        <v>0</v>
      </c>
      <c r="AQ149" s="398">
        <f t="shared" si="16"/>
        <v>-4.18</v>
      </c>
      <c r="AR149" s="399">
        <f t="shared" si="16"/>
        <v>-5</v>
      </c>
      <c r="AS149" s="400">
        <f t="shared" si="16"/>
        <v>0</v>
      </c>
      <c r="AT149" s="397">
        <f t="shared" si="16"/>
        <v>-12.4</v>
      </c>
      <c r="AU149" s="397">
        <f t="shared" si="16"/>
        <v>167.46411483253587</v>
      </c>
      <c r="AV149" s="397">
        <f t="shared" si="16"/>
        <v>-3</v>
      </c>
      <c r="AW149" s="406">
        <f t="shared" si="16"/>
        <v>-5.6818181818181823E-2</v>
      </c>
      <c r="AX149" s="392" t="str">
        <f>VLOOKUP($C149,'ТР нефть'!$A$29:$GC$641,182,0)</f>
        <v>ИПП ГТМ</v>
      </c>
      <c r="AY149" s="406" t="str">
        <f>VLOOKUP($C149,'ТР нефть'!$A$29:$GC$641,183,0)</f>
        <v>ЗБС февраля 2023г Снижение энергетики пласта что подтверждается дебитом и изменением Рзаб</v>
      </c>
      <c r="AZ149" s="407">
        <f t="shared" si="17"/>
        <v>12.54</v>
      </c>
      <c r="BA149" s="408">
        <f t="shared" si="17"/>
        <v>15</v>
      </c>
      <c r="BB149" s="397">
        <f t="shared" si="17"/>
        <v>0</v>
      </c>
      <c r="BC149" s="409"/>
      <c r="BD149" s="512"/>
    </row>
    <row r="150" spans="1:56" ht="36.75" customHeight="1" x14ac:dyDescent="0.25">
      <c r="A150" s="373"/>
      <c r="B150" s="392">
        <f>B149+1</f>
        <v>5</v>
      </c>
      <c r="C150" s="621">
        <v>1485</v>
      </c>
      <c r="D150" s="394" t="str">
        <f>VLOOKUP($C150,'ТР нефть'!$A$29:$GC$641,5,0)</f>
        <v>ВУ ОНГКМ</v>
      </c>
      <c r="E150" s="394" t="str">
        <f>VLOOKUP($C150,'ТР нефть'!$A$29:$GC$641,8,0)</f>
        <v>ТЛ-4</v>
      </c>
      <c r="F150" s="395" t="str">
        <f>VLOOKUP($C150,'ТР нефть'!$A$29:$GC$641,11,0)</f>
        <v>К-88</v>
      </c>
      <c r="G150" s="392" t="str">
        <f>VLOOKUP($C150,'ТР нефть'!$A$29:$GC$641,47,0)</f>
        <v>Газлифт</v>
      </c>
      <c r="H150" s="396">
        <f>VLOOKUP($C150,'ТР нефть'!$A$29:$GC$641,135,0)</f>
        <v>65</v>
      </c>
      <c r="I150" s="397">
        <f>VLOOKUP($C150,'ТР нефть'!$A$29:$GC$641,136,0)</f>
        <v>26</v>
      </c>
      <c r="J150" s="397">
        <f>VLOOKUP($C150,'ТР нефть'!$A$29:$GC$641,137,0)</f>
        <v>53</v>
      </c>
      <c r="K150" s="397">
        <f>VLOOKUP($C150,'ТР нефть'!$A$29:$GC$641,138,0)</f>
        <v>25</v>
      </c>
      <c r="L150" s="397" t="str">
        <f>VLOOKUP($C150,'ТР нефть'!$A$29:$GC$641,139,0)</f>
        <v>Постоянный</v>
      </c>
      <c r="M150" s="397">
        <f>VLOOKUP($C150,'ТР нефть'!$A$29:$GC$641,140,0)</f>
        <v>24</v>
      </c>
      <c r="N150" s="397">
        <f>VLOOKUP($C150,'ТР нефть'!$A$29:$GC$641,141,0)</f>
        <v>0</v>
      </c>
      <c r="O150" s="398">
        <f>VLOOKUP($C150,'ТР нефть'!$A$29:$GC$641,142,0)</f>
        <v>21.736000000000001</v>
      </c>
      <c r="P150" s="399">
        <f>VLOOKUP($C150,'ТР нефть'!$A$29:$GC$641,143,0)</f>
        <v>26</v>
      </c>
      <c r="Q150" s="400">
        <f>VLOOKUP($C150,'ТР нефть'!$A$29:$GC$641,144,0)</f>
        <v>0</v>
      </c>
      <c r="R150" s="397">
        <f>VLOOKUP($C150,'ТР нефть'!$A$29:$GC$641,145,0)</f>
        <v>17.5</v>
      </c>
      <c r="S150" s="397">
        <f>VLOOKUP($C150,'ТР нефть'!$A$29:$GC$641,146,0)</f>
        <v>253.03643724696354</v>
      </c>
      <c r="T150" s="397">
        <f>VLOOKUP($C150,'ТР нефть'!$A$29:$GC$641,149,0)</f>
        <v>63</v>
      </c>
      <c r="U150" s="401">
        <f>VLOOKUP($C150,'ТР нефть'!$A$29:$GC$641,150,0)</f>
        <v>0.4</v>
      </c>
      <c r="V150" s="402" t="str">
        <f>VLOOKUP($C150,'ТР нефть'!$A$29:$GC$641,47,0)</f>
        <v>Газлифт</v>
      </c>
      <c r="W150" s="396">
        <f>VLOOKUP($C150,'ТР нефть'!$A$29:$GC$641,74,0)</f>
        <v>65</v>
      </c>
      <c r="X150" s="397">
        <f>VLOOKUP($C150,'ТР нефть'!$A$29:$GC$641,79,0)</f>
        <v>25</v>
      </c>
      <c r="Y150" s="397">
        <f>VLOOKUP($C150,'ТР нефть'!$A$29:$GC$641,80,0)</f>
        <v>54</v>
      </c>
      <c r="Z150" s="397">
        <f>VLOOKUP($C150,'ТР нефть'!$A$29:$GC$641,81,0)</f>
        <v>24</v>
      </c>
      <c r="AA150" s="397" t="str">
        <f>VLOOKUP($C150,'ТР нефть'!$A$29:$GC$641,76,0)</f>
        <v>Постоянный</v>
      </c>
      <c r="AB150" s="397">
        <f>VLOOKUP($C150,'ТР нефть'!$A$29:$GC$641,77,0)</f>
        <v>24</v>
      </c>
      <c r="AC150" s="397">
        <f>VLOOKUP($C150,'ТР нефть'!$A$29:$GC$641,78,0)</f>
        <v>0</v>
      </c>
      <c r="AD150" s="398">
        <f>VLOOKUP($C150,'ТР нефть'!$A$29:$GC$641,93,0)</f>
        <v>20.064</v>
      </c>
      <c r="AE150" s="399">
        <f>VLOOKUP($C150,'ТР нефть'!$A$29:$GC$641,94,0)</f>
        <v>24</v>
      </c>
      <c r="AF150" s="400">
        <f>VLOOKUP($C150,'ТР нефть'!$A$29:$GC$641,95,0)</f>
        <v>0</v>
      </c>
      <c r="AG150" s="397">
        <f>VLOOKUP($C150,'ТР нефть'!$A$29:$GC$641,99,0)</f>
        <v>4.1999999999999993</v>
      </c>
      <c r="AH150" s="397">
        <f>VLOOKUP($C150,'ТР нефть'!$A$29:$GC$641,100,0)</f>
        <v>209.33014354066981</v>
      </c>
      <c r="AI150" s="397">
        <f>VLOOKUP($C150,'ТР нефть'!$A$29:$GC$641,92,0)</f>
        <v>62</v>
      </c>
      <c r="AJ150" s="403">
        <f>VLOOKUP($C150,'ТР нефть'!$A$29:$GC$641,102,0)</f>
        <v>0.36363636363636365</v>
      </c>
      <c r="AK150" s="404">
        <f t="shared" si="15"/>
        <v>0</v>
      </c>
      <c r="AL150" s="397">
        <f t="shared" si="15"/>
        <v>-1</v>
      </c>
      <c r="AM150" s="397">
        <f t="shared" si="15"/>
        <v>1</v>
      </c>
      <c r="AN150" s="397">
        <f t="shared" si="15"/>
        <v>-1</v>
      </c>
      <c r="AO150" s="397">
        <f t="shared" si="16"/>
        <v>0</v>
      </c>
      <c r="AP150" s="397">
        <f t="shared" si="16"/>
        <v>0</v>
      </c>
      <c r="AQ150" s="398">
        <f t="shared" si="16"/>
        <v>-1.6720000000000006</v>
      </c>
      <c r="AR150" s="399">
        <f t="shared" si="16"/>
        <v>-2</v>
      </c>
      <c r="AS150" s="400">
        <f t="shared" si="16"/>
        <v>0</v>
      </c>
      <c r="AT150" s="397">
        <f t="shared" si="16"/>
        <v>-13.3</v>
      </c>
      <c r="AU150" s="397">
        <f t="shared" si="16"/>
        <v>-43.706293706293735</v>
      </c>
      <c r="AV150" s="397">
        <f t="shared" si="16"/>
        <v>-1</v>
      </c>
      <c r="AW150" s="406">
        <f t="shared" si="16"/>
        <v>-3.6363636363636376E-2</v>
      </c>
      <c r="AX150" s="392" t="str">
        <f>VLOOKUP($C150,'ТР нефть'!$A$29:$GC$641,182,0)</f>
        <v>ИПП ГТМ</v>
      </c>
      <c r="AY150" s="406" t="str">
        <f>VLOOKUP($C150,'ТР нефть'!$A$29:$GC$641,183,0)</f>
        <v>ЗБС-31.03.2023. Снижение энергетики пласта что подтверждается дебитом и изменением Рзаб</v>
      </c>
      <c r="AZ150" s="407">
        <f t="shared" si="17"/>
        <v>20.064</v>
      </c>
      <c r="BA150" s="408">
        <f t="shared" si="17"/>
        <v>24</v>
      </c>
      <c r="BB150" s="397">
        <f t="shared" si="17"/>
        <v>0</v>
      </c>
      <c r="BC150" s="409"/>
      <c r="BD150" s="512"/>
    </row>
    <row r="151" spans="1:56" ht="36.75" customHeight="1" x14ac:dyDescent="0.25">
      <c r="A151" s="373"/>
      <c r="B151" s="392">
        <f>B150+1</f>
        <v>6</v>
      </c>
      <c r="C151" s="622">
        <v>1574</v>
      </c>
      <c r="D151" s="394" t="str">
        <f>VLOOKUP($C151,'ТР нефть'!$A$29:$GC$641,5,0)</f>
        <v>ВУ ОНГКМ</v>
      </c>
      <c r="E151" s="394" t="str">
        <f>VLOOKUP($C151,'ТР нефть'!$A$29:$GC$641,8,0)</f>
        <v>ТЛ-2</v>
      </c>
      <c r="F151" s="395" t="str">
        <f>VLOOKUP($C151,'ТР нефть'!$A$29:$GC$641,11,0)</f>
        <v>К-127</v>
      </c>
      <c r="G151" s="392" t="str">
        <f>VLOOKUP($C151,'ТР нефть'!$A$29:$GC$641,47,0)</f>
        <v>Газлифт</v>
      </c>
      <c r="H151" s="396">
        <f>VLOOKUP($C151,'ТР нефть'!$A$29:$GC$641,135,0)</f>
        <v>18</v>
      </c>
      <c r="I151" s="397">
        <f>VLOOKUP($C151,'ТР нефть'!$A$29:$GC$641,136,0)</f>
        <v>27</v>
      </c>
      <c r="J151" s="397">
        <f>VLOOKUP($C151,'ТР нефть'!$A$29:$GC$641,137,0)</f>
        <v>60</v>
      </c>
      <c r="K151" s="397">
        <f>VLOOKUP($C151,'ТР нефть'!$A$29:$GC$641,138,0)</f>
        <v>26</v>
      </c>
      <c r="L151" s="397" t="str">
        <f>VLOOKUP($C151,'ТР нефть'!$A$29:$GC$641,139,0)</f>
        <v>Постоянный</v>
      </c>
      <c r="M151" s="397">
        <f>VLOOKUP($C151,'ТР нефть'!$A$29:$GC$641,140,0)</f>
        <v>24</v>
      </c>
      <c r="N151" s="397">
        <f>VLOOKUP($C151,'ТР нефть'!$A$29:$GC$641,141,0)</f>
        <v>0</v>
      </c>
      <c r="O151" s="398">
        <f>VLOOKUP($C151,'ТР нефть'!$A$29:$GC$641,142,0)</f>
        <v>16.70559154</v>
      </c>
      <c r="P151" s="399">
        <f>VLOOKUP($C151,'ТР нефть'!$A$29:$GC$641,143,0)</f>
        <v>21.05</v>
      </c>
      <c r="Q151" s="400">
        <f>VLOOKUP($C151,'ТР нефть'!$A$29:$GC$641,144,0)</f>
        <v>5.07</v>
      </c>
      <c r="R151" s="397">
        <f>VLOOKUP($C151,'ТР нефть'!$A$29:$GC$641,145,0)</f>
        <v>24.236999999999998</v>
      </c>
      <c r="S151" s="397">
        <f>VLOOKUP($C151,'ТР нефть'!$A$29:$GC$641,146,0)</f>
        <v>612.78883632994643</v>
      </c>
      <c r="T151" s="397">
        <f>VLOOKUP($C151,'ТР нефть'!$A$29:$GC$641,149,0)</f>
        <v>61</v>
      </c>
      <c r="U151" s="401">
        <f>VLOOKUP($C151,'ТР нефть'!$A$29:$GC$641,150,0)</f>
        <v>0.24195402298850577</v>
      </c>
      <c r="V151" s="402" t="str">
        <f>VLOOKUP($C151,'ТР нефть'!$A$29:$GC$641,47,0)</f>
        <v>Газлифт</v>
      </c>
      <c r="W151" s="396">
        <f>VLOOKUP($C151,'ТР нефть'!$A$29:$GC$641,74,0)</f>
        <v>18</v>
      </c>
      <c r="X151" s="397">
        <f>VLOOKUP($C151,'ТР нефть'!$A$29:$GC$641,79,0)</f>
        <v>23</v>
      </c>
      <c r="Y151" s="397">
        <f>VLOOKUP($C151,'ТР нефть'!$A$29:$GC$641,80,0)</f>
        <v>55</v>
      </c>
      <c r="Z151" s="397">
        <f>VLOOKUP($C151,'ТР нефть'!$A$29:$GC$641,81,0)</f>
        <v>22</v>
      </c>
      <c r="AA151" s="397" t="str">
        <f>VLOOKUP($C151,'ТР нефть'!$A$29:$GC$641,76,0)</f>
        <v>Постоянный</v>
      </c>
      <c r="AB151" s="397">
        <f>VLOOKUP($C151,'ТР нефть'!$A$29:$GC$641,77,0)</f>
        <v>24</v>
      </c>
      <c r="AC151" s="397">
        <f>VLOOKUP($C151,'ТР нефть'!$A$29:$GC$641,78,0)</f>
        <v>0</v>
      </c>
      <c r="AD151" s="398">
        <f>VLOOKUP($C151,'ТР нефть'!$A$29:$GC$641,93,0)</f>
        <v>14.136759999999999</v>
      </c>
      <c r="AE151" s="399">
        <f>VLOOKUP($C151,'ТР нефть'!$A$29:$GC$641,94,0)</f>
        <v>19</v>
      </c>
      <c r="AF151" s="400">
        <f>VLOOKUP($C151,'ТР нефть'!$A$29:$GC$641,95,0)</f>
        <v>11</v>
      </c>
      <c r="AG151" s="397">
        <f>VLOOKUP($C151,'ТР нефть'!$A$29:$GC$641,99,0)</f>
        <v>19</v>
      </c>
      <c r="AH151" s="397">
        <f>VLOOKUP($C151,'ТР нефть'!$A$29:$GC$641,100,0)</f>
        <v>1344.0137627009301</v>
      </c>
      <c r="AI151" s="397">
        <f>VLOOKUP($C151,'ТР нефть'!$A$29:$GC$641,92,0)</f>
        <v>51</v>
      </c>
      <c r="AJ151" s="403">
        <f>VLOOKUP($C151,'ТР нефть'!$A$29:$GC$641,102,0)</f>
        <v>0.1743119266055046</v>
      </c>
      <c r="AK151" s="404">
        <f t="shared" si="15"/>
        <v>0</v>
      </c>
      <c r="AL151" s="397">
        <f t="shared" si="15"/>
        <v>-4</v>
      </c>
      <c r="AM151" s="397">
        <f t="shared" si="15"/>
        <v>-5</v>
      </c>
      <c r="AN151" s="397">
        <f t="shared" si="15"/>
        <v>-4</v>
      </c>
      <c r="AO151" s="397">
        <f t="shared" si="16"/>
        <v>0</v>
      </c>
      <c r="AP151" s="397">
        <f t="shared" si="16"/>
        <v>0</v>
      </c>
      <c r="AQ151" s="405">
        <f t="shared" si="16"/>
        <v>-2.5688315400000015</v>
      </c>
      <c r="AR151" s="416">
        <f t="shared" si="16"/>
        <v>-2.0500000000000007</v>
      </c>
      <c r="AS151" s="400">
        <f t="shared" si="16"/>
        <v>5.93</v>
      </c>
      <c r="AT151" s="397">
        <f t="shared" si="16"/>
        <v>-5.2369999999999983</v>
      </c>
      <c r="AU151" s="397">
        <f t="shared" si="16"/>
        <v>731.22492637098367</v>
      </c>
      <c r="AV151" s="397">
        <f t="shared" si="16"/>
        <v>-10</v>
      </c>
      <c r="AW151" s="406">
        <f t="shared" si="16"/>
        <v>-6.7642096383001171E-2</v>
      </c>
      <c r="AX151" s="392" t="str">
        <f>VLOOKUP($C151,'ТР нефть'!$A$29:$GC$641,182,0)</f>
        <v>ИПП ГТМ</v>
      </c>
      <c r="AY151" s="406" t="str">
        <f>VLOOKUP($C151,'ТР нефть'!$A$29:$GC$641,183,0)</f>
        <v>ЗБС 03.2023 Снижение энергетики пласта что подтверждается дебитом и изменением Рзаб</v>
      </c>
      <c r="AZ151" s="407">
        <f t="shared" si="17"/>
        <v>14.136759999999999</v>
      </c>
      <c r="BA151" s="408">
        <f t="shared" si="17"/>
        <v>19</v>
      </c>
      <c r="BB151" s="397">
        <f t="shared" si="17"/>
        <v>11</v>
      </c>
      <c r="BC151" s="409"/>
      <c r="BD151" s="512"/>
    </row>
    <row r="152" spans="1:56" ht="36.75" customHeight="1" x14ac:dyDescent="0.25">
      <c r="A152" s="373"/>
      <c r="B152" s="392">
        <f>B151+1</f>
        <v>7</v>
      </c>
      <c r="C152" s="622">
        <v>6307</v>
      </c>
      <c r="D152" s="394" t="s">
        <v>177</v>
      </c>
      <c r="E152" s="394" t="s">
        <v>179</v>
      </c>
      <c r="F152" s="395" t="s">
        <v>2004</v>
      </c>
      <c r="G152" s="392" t="s">
        <v>189</v>
      </c>
      <c r="H152" s="396">
        <v>65</v>
      </c>
      <c r="I152" s="397">
        <v>36</v>
      </c>
      <c r="J152" s="397">
        <v>57</v>
      </c>
      <c r="K152" s="397">
        <v>35</v>
      </c>
      <c r="L152" s="397" t="s">
        <v>195</v>
      </c>
      <c r="M152" s="397">
        <v>24</v>
      </c>
      <c r="N152" s="397">
        <v>0</v>
      </c>
      <c r="O152" s="398">
        <v>25.497999999999998</v>
      </c>
      <c r="P152" s="399">
        <v>30.5</v>
      </c>
      <c r="Q152" s="400">
        <v>0</v>
      </c>
      <c r="R152" s="397">
        <v>26</v>
      </c>
      <c r="S152" s="397">
        <v>360.81261275394149</v>
      </c>
      <c r="T152" s="397">
        <v>73</v>
      </c>
      <c r="U152" s="401">
        <v>0.35057471264367818</v>
      </c>
      <c r="V152" s="392" t="s">
        <v>189</v>
      </c>
      <c r="W152" s="396">
        <v>65</v>
      </c>
      <c r="X152" s="397">
        <v>39</v>
      </c>
      <c r="Y152" s="397">
        <v>55</v>
      </c>
      <c r="Z152" s="397">
        <v>39</v>
      </c>
      <c r="AA152" s="397" t="s">
        <v>195</v>
      </c>
      <c r="AB152" s="397">
        <v>24</v>
      </c>
      <c r="AC152" s="397">
        <v>0</v>
      </c>
      <c r="AD152" s="398">
        <v>21.736000000000001</v>
      </c>
      <c r="AE152" s="399">
        <v>26</v>
      </c>
      <c r="AF152" s="400">
        <v>0</v>
      </c>
      <c r="AG152" s="397">
        <v>7.1999999999999993</v>
      </c>
      <c r="AH152" s="397">
        <v>331.24769966875226</v>
      </c>
      <c r="AI152" s="397">
        <v>73</v>
      </c>
      <c r="AJ152" s="403">
        <v>0.2988505747126437</v>
      </c>
      <c r="AK152" s="404">
        <f t="shared" si="15"/>
        <v>0</v>
      </c>
      <c r="AL152" s="397">
        <f t="shared" si="15"/>
        <v>3</v>
      </c>
      <c r="AM152" s="397">
        <f t="shared" si="15"/>
        <v>-2</v>
      </c>
      <c r="AN152" s="397">
        <f t="shared" si="15"/>
        <v>4</v>
      </c>
      <c r="AO152" s="397">
        <f t="shared" si="16"/>
        <v>0</v>
      </c>
      <c r="AP152" s="397">
        <f t="shared" si="16"/>
        <v>0</v>
      </c>
      <c r="AQ152" s="405">
        <f t="shared" si="16"/>
        <v>-3.7619999999999969</v>
      </c>
      <c r="AR152" s="416">
        <f t="shared" si="16"/>
        <v>-4.5</v>
      </c>
      <c r="AS152" s="400">
        <f t="shared" si="16"/>
        <v>0</v>
      </c>
      <c r="AT152" s="397">
        <f t="shared" si="16"/>
        <v>-18.8</v>
      </c>
      <c r="AU152" s="397">
        <f t="shared" si="16"/>
        <v>-29.564913085189232</v>
      </c>
      <c r="AV152" s="397">
        <f t="shared" si="16"/>
        <v>0</v>
      </c>
      <c r="AW152" s="406">
        <f t="shared" si="16"/>
        <v>-5.1724137931034475E-2</v>
      </c>
      <c r="AX152" s="392" t="s">
        <v>203</v>
      </c>
      <c r="AY152" s="406" t="s">
        <v>2096</v>
      </c>
      <c r="AZ152" s="407">
        <f t="shared" si="17"/>
        <v>21.736000000000001</v>
      </c>
      <c r="BA152" s="408">
        <f t="shared" si="17"/>
        <v>26</v>
      </c>
      <c r="BB152" s="397">
        <f t="shared" si="17"/>
        <v>0</v>
      </c>
      <c r="BC152" s="409"/>
      <c r="BD152" s="512"/>
    </row>
    <row r="153" spans="1:56" ht="36.75" customHeight="1" thickBot="1" x14ac:dyDescent="0.3">
      <c r="A153" s="373"/>
      <c r="B153" s="424">
        <f>B152+1</f>
        <v>8</v>
      </c>
      <c r="C153" s="464">
        <v>6368</v>
      </c>
      <c r="D153" s="426" t="str">
        <f>VLOOKUP($C153,'ТР нефть'!$A$29:$GC$641,5,0)</f>
        <v>ВУ ОНГКМ</v>
      </c>
      <c r="E153" s="426" t="str">
        <f>VLOOKUP($C153,'ТР нефть'!$A$29:$GC$641,8,0)</f>
        <v>ТЛ-4</v>
      </c>
      <c r="F153" s="427" t="str">
        <f>VLOOKUP($C153,'ТР нефть'!$A$29:$GC$641,11,0)</f>
        <v>К-6370</v>
      </c>
      <c r="G153" s="424" t="str">
        <f>VLOOKUP($C153,'ТР нефть'!$A$29:$GC$641,47,0)</f>
        <v>Газлифт</v>
      </c>
      <c r="H153" s="428">
        <f>VLOOKUP($C153,'ТР нефть'!$A$29:$GC$641,135,0)</f>
        <v>65</v>
      </c>
      <c r="I153" s="429">
        <f>VLOOKUP($C153,'ТР нефть'!$A$29:$GC$641,136,0)</f>
        <v>31</v>
      </c>
      <c r="J153" s="429">
        <f>VLOOKUP($C153,'ТР нефть'!$A$29:$GC$641,137,0)</f>
        <v>62</v>
      </c>
      <c r="K153" s="429">
        <f>VLOOKUP($C153,'ТР нефть'!$A$29:$GC$641,138,0)</f>
        <v>30</v>
      </c>
      <c r="L153" s="429" t="str">
        <f>VLOOKUP($C153,'ТР нефть'!$A$29:$GC$641,139,0)</f>
        <v>Постоянный</v>
      </c>
      <c r="M153" s="429">
        <f>VLOOKUP($C153,'ТР нефть'!$A$29:$GC$641,140,0)</f>
        <v>24</v>
      </c>
      <c r="N153" s="429">
        <f>VLOOKUP($C153,'ТР нефть'!$A$29:$GC$641,141,0)</f>
        <v>0</v>
      </c>
      <c r="O153" s="430">
        <f>VLOOKUP($C153,'ТР нефть'!$A$29:$GC$641,142,0)</f>
        <v>54.339999999999996</v>
      </c>
      <c r="P153" s="431">
        <f>VLOOKUP($C153,'ТР нефть'!$A$29:$GC$641,143,0)</f>
        <v>65</v>
      </c>
      <c r="Q153" s="432">
        <f>VLOOKUP($C153,'ТР нефть'!$A$29:$GC$641,144,0)</f>
        <v>0</v>
      </c>
      <c r="R153" s="429">
        <f>VLOOKUP($C153,'ТР нефть'!$A$29:$GC$641,145,0)</f>
        <v>33</v>
      </c>
      <c r="S153" s="429">
        <f>VLOOKUP($C153,'ТР нефть'!$A$29:$GC$641,146,0)</f>
        <v>147.22119985277882</v>
      </c>
      <c r="T153" s="429">
        <f>VLOOKUP($C153,'ТР нефть'!$A$29:$GC$641,149,0)</f>
        <v>107</v>
      </c>
      <c r="U153" s="433">
        <f>VLOOKUP($C153,'ТР нефть'!$A$29:$GC$641,150,0)</f>
        <v>0.8904109589041096</v>
      </c>
      <c r="V153" s="434" t="str">
        <f>VLOOKUP($C153,'ТР нефть'!$A$29:$GC$641,47,0)</f>
        <v>Газлифт</v>
      </c>
      <c r="W153" s="428">
        <f>VLOOKUP($C153,'ТР нефть'!$A$29:$GC$641,74,0)</f>
        <v>65</v>
      </c>
      <c r="X153" s="429">
        <f>VLOOKUP($C153,'ТР нефть'!$A$29:$GC$641,79,0)</f>
        <v>31</v>
      </c>
      <c r="Y153" s="429">
        <f>VLOOKUP($C153,'ТР нефть'!$A$29:$GC$641,80,0)</f>
        <v>55</v>
      </c>
      <c r="Z153" s="429">
        <f>VLOOKUP($C153,'ТР нефть'!$A$29:$GC$641,81,0)</f>
        <v>30</v>
      </c>
      <c r="AA153" s="429" t="str">
        <f>VLOOKUP($C153,'ТР нефть'!$A$29:$GC$641,76,0)</f>
        <v>Постоянный</v>
      </c>
      <c r="AB153" s="429">
        <f>VLOOKUP($C153,'ТР нефть'!$A$29:$GC$641,77,0)</f>
        <v>24</v>
      </c>
      <c r="AC153" s="429">
        <f>VLOOKUP($C153,'ТР нефть'!$A$29:$GC$641,78,0)</f>
        <v>0</v>
      </c>
      <c r="AD153" s="430">
        <f>VLOOKUP($C153,'ТР нефть'!$A$29:$GC$641,93,0)</f>
        <v>27.587999999999997</v>
      </c>
      <c r="AE153" s="431">
        <f>VLOOKUP($C153,'ТР нефть'!$A$29:$GC$641,94,0)</f>
        <v>33</v>
      </c>
      <c r="AF153" s="432">
        <f>VLOOKUP($C153,'ТР нефть'!$A$29:$GC$641,95,0)</f>
        <v>0</v>
      </c>
      <c r="AG153" s="429">
        <f>VLOOKUP($C153,'ТР нефть'!$A$29:$GC$641,99,0)</f>
        <v>9</v>
      </c>
      <c r="AH153" s="429">
        <f>VLOOKUP($C153,'ТР нефть'!$A$29:$GC$641,100,0)</f>
        <v>326.22879512831668</v>
      </c>
      <c r="AI153" s="429">
        <f>VLOOKUP($C153,'ТР нефть'!$A$29:$GC$641,92,0)</f>
        <v>70</v>
      </c>
      <c r="AJ153" s="435">
        <f>VLOOKUP($C153,'ТР нефть'!$A$29:$GC$641,102,0)</f>
        <v>0.3</v>
      </c>
      <c r="AK153" s="436">
        <f t="shared" si="15"/>
        <v>0</v>
      </c>
      <c r="AL153" s="429">
        <f t="shared" si="15"/>
        <v>0</v>
      </c>
      <c r="AM153" s="429">
        <f t="shared" si="15"/>
        <v>-7</v>
      </c>
      <c r="AN153" s="429">
        <f t="shared" si="15"/>
        <v>0</v>
      </c>
      <c r="AO153" s="429">
        <f t="shared" si="16"/>
        <v>0</v>
      </c>
      <c r="AP153" s="429">
        <f t="shared" si="16"/>
        <v>0</v>
      </c>
      <c r="AQ153" s="437">
        <v>-8.8000000000000007</v>
      </c>
      <c r="AR153" s="438">
        <v>-12</v>
      </c>
      <c r="AS153" s="432">
        <f t="shared" si="16"/>
        <v>0</v>
      </c>
      <c r="AT153" s="429">
        <f t="shared" si="16"/>
        <v>-24</v>
      </c>
      <c r="AU153" s="429">
        <f t="shared" si="16"/>
        <v>179.00759527553785</v>
      </c>
      <c r="AV153" s="429">
        <f t="shared" si="16"/>
        <v>-37</v>
      </c>
      <c r="AW153" s="439">
        <f t="shared" si="16"/>
        <v>-0.59041095890410955</v>
      </c>
      <c r="AX153" s="424" t="str">
        <f>VLOOKUP($C153,'ТР нефть'!$A$29:$GC$641,182,0)</f>
        <v>ИПП ГТМ /Довывод</v>
      </c>
      <c r="AY153" s="439" t="str">
        <f>VLOOKUP($C153,'ТР нефть'!$A$29:$GC$641,183,0)</f>
        <v>Снижение энергетики пласта что подтверждается дебитом и изменением Рзаб (-8,8тн). Выход скв. на режим (-18тн)</v>
      </c>
      <c r="AZ153" s="440">
        <f t="shared" si="17"/>
        <v>27.587999999999997</v>
      </c>
      <c r="BA153" s="441">
        <f t="shared" si="17"/>
        <v>33</v>
      </c>
      <c r="BB153" s="429">
        <f t="shared" si="17"/>
        <v>0</v>
      </c>
      <c r="BC153" s="442"/>
      <c r="BD153" s="513"/>
    </row>
    <row r="154" spans="1:56" s="1128" customFormat="1" ht="36.75" customHeight="1" thickBot="1" x14ac:dyDescent="0.3">
      <c r="A154" s="758"/>
      <c r="B154" s="758"/>
      <c r="C154" s="500"/>
      <c r="D154" s="500"/>
      <c r="E154" s="500"/>
      <c r="F154" s="500"/>
      <c r="G154" s="758"/>
      <c r="H154" s="758"/>
      <c r="I154" s="758"/>
      <c r="J154" s="501"/>
      <c r="K154" s="758"/>
      <c r="L154" s="758"/>
      <c r="M154" s="758"/>
      <c r="N154" s="758"/>
      <c r="O154" s="502">
        <f>SUBTOTAL(9,O146:O153)</f>
        <v>193.56339154</v>
      </c>
      <c r="P154" s="535">
        <f>SUBTOTAL(9,P146:P153)</f>
        <v>233.636</v>
      </c>
      <c r="Q154" s="758"/>
      <c r="R154" s="758"/>
      <c r="S154" s="758"/>
      <c r="T154" s="758"/>
      <c r="U154" s="758"/>
      <c r="V154" s="758"/>
      <c r="W154" s="758"/>
      <c r="X154" s="758"/>
      <c r="Y154" s="501"/>
      <c r="Z154" s="758"/>
      <c r="AA154" s="758"/>
      <c r="AB154" s="758"/>
      <c r="AC154" s="758"/>
      <c r="AD154" s="502">
        <f>SUBTOTAL(9,AD146:AD153)</f>
        <v>133.04271199999999</v>
      </c>
      <c r="AE154" s="535">
        <f>SUBTOTAL(9,AE146:AE153)</f>
        <v>168</v>
      </c>
      <c r="AF154" s="758"/>
      <c r="AG154" s="758"/>
      <c r="AH154" s="758"/>
      <c r="AI154" s="758"/>
      <c r="AJ154" s="758"/>
      <c r="AK154" s="758"/>
      <c r="AL154" s="758"/>
      <c r="AM154" s="758"/>
      <c r="AN154" s="758"/>
      <c r="AO154" s="758"/>
      <c r="AP154" s="758"/>
      <c r="AQ154" s="534">
        <f>SUBTOTAL(9,AQ146:AQ153)</f>
        <v>-42.568679539999991</v>
      </c>
      <c r="AR154" s="535">
        <f>SUBTOTAL(9,AR146:AR153)</f>
        <v>-45.636000000000003</v>
      </c>
      <c r="AS154" s="758"/>
      <c r="AT154" s="505"/>
      <c r="AU154" s="505"/>
      <c r="AV154" s="505"/>
      <c r="AW154" s="501"/>
      <c r="AX154" s="506"/>
      <c r="AY154" s="758"/>
      <c r="AZ154" s="538">
        <f>SUBTOTAL(9,AZ146:AZ153)</f>
        <v>133.04271199999999</v>
      </c>
      <c r="BA154" s="503">
        <f>SUBTOTAL(9,BA146:BA153)</f>
        <v>168</v>
      </c>
      <c r="BB154" s="758"/>
      <c r="BC154" s="758"/>
      <c r="BD154" s="758"/>
    </row>
    <row r="155" spans="1:56" ht="36.75" customHeight="1" collapsed="1" x14ac:dyDescent="0.25">
      <c r="A155" s="623"/>
      <c r="B155" s="373"/>
      <c r="C155" s="624"/>
      <c r="D155" s="624"/>
      <c r="E155" s="624"/>
      <c r="F155" s="624"/>
      <c r="G155" s="373"/>
      <c r="H155" s="373"/>
      <c r="I155" s="373"/>
      <c r="J155" s="625"/>
      <c r="K155" s="373"/>
      <c r="L155" s="373"/>
      <c r="M155" s="373"/>
      <c r="N155" s="373"/>
      <c r="O155" s="373"/>
      <c r="P155" s="373"/>
      <c r="Q155" s="373"/>
      <c r="R155" s="373"/>
      <c r="S155" s="373"/>
      <c r="T155" s="624"/>
      <c r="U155" s="624"/>
      <c r="V155" s="373"/>
      <c r="W155" s="373"/>
      <c r="X155" s="625"/>
      <c r="Y155" s="625"/>
      <c r="Z155" s="373"/>
      <c r="AA155" s="373"/>
      <c r="AB155" s="373"/>
      <c r="AC155" s="373"/>
      <c r="AD155" s="373"/>
      <c r="AE155" s="373"/>
      <c r="AF155" s="373"/>
      <c r="AG155" s="373"/>
      <c r="AH155" s="373"/>
      <c r="AI155" s="373"/>
      <c r="AJ155" s="373"/>
      <c r="AK155" s="373"/>
      <c r="AL155" s="373"/>
      <c r="AM155" s="373"/>
      <c r="AN155" s="373"/>
      <c r="AO155" s="373"/>
      <c r="AP155" s="373"/>
      <c r="AQ155" s="626"/>
      <c r="AR155" s="626"/>
      <c r="AS155" s="373"/>
      <c r="AT155" s="626"/>
      <c r="AU155" s="626"/>
      <c r="AV155" s="626"/>
      <c r="AW155" s="625"/>
      <c r="AX155" s="627"/>
      <c r="AY155" s="373"/>
      <c r="AZ155" s="628"/>
      <c r="BA155" s="629"/>
      <c r="BB155" s="373"/>
      <c r="BC155" s="373"/>
      <c r="BD155" s="373"/>
    </row>
    <row r="156" spans="1:56" s="1136" customFormat="1" ht="36.75" hidden="1" customHeight="1" outlineLevel="1" x14ac:dyDescent="0.25">
      <c r="A156" s="365"/>
      <c r="B156" s="800"/>
      <c r="C156" s="801"/>
      <c r="D156" s="801"/>
      <c r="E156" s="801"/>
      <c r="F156" s="827"/>
      <c r="G156" s="1129" t="s">
        <v>2208</v>
      </c>
      <c r="H156" s="1130"/>
      <c r="I156" s="1130"/>
      <c r="J156" s="1130"/>
      <c r="K156" s="1130"/>
      <c r="L156" s="1130"/>
      <c r="M156" s="1130"/>
      <c r="N156" s="1130"/>
      <c r="O156" s="1130"/>
      <c r="P156" s="1130"/>
      <c r="Q156" s="1130"/>
      <c r="R156" s="1130"/>
      <c r="S156" s="1130"/>
      <c r="T156" s="1130"/>
      <c r="U156" s="1131"/>
      <c r="V156" s="1129" t="s">
        <v>2209</v>
      </c>
      <c r="W156" s="1130"/>
      <c r="X156" s="1130"/>
      <c r="Y156" s="1130"/>
      <c r="Z156" s="1130"/>
      <c r="AA156" s="1130"/>
      <c r="AB156" s="1130"/>
      <c r="AC156" s="1130"/>
      <c r="AD156" s="1130"/>
      <c r="AE156" s="1130"/>
      <c r="AF156" s="1130"/>
      <c r="AG156" s="1130"/>
      <c r="AH156" s="1130"/>
      <c r="AI156" s="1130"/>
      <c r="AJ156" s="1131"/>
      <c r="AK156" s="1133" t="s">
        <v>2180</v>
      </c>
      <c r="AL156" s="1134"/>
      <c r="AM156" s="1134"/>
      <c r="AN156" s="1134"/>
      <c r="AO156" s="1134"/>
      <c r="AP156" s="1134"/>
      <c r="AQ156" s="1134"/>
      <c r="AR156" s="1134"/>
      <c r="AS156" s="1134"/>
      <c r="AT156" s="1134"/>
      <c r="AU156" s="1134"/>
      <c r="AV156" s="1134"/>
      <c r="AW156" s="1135"/>
      <c r="AX156" s="828" t="s">
        <v>2181</v>
      </c>
      <c r="AY156" s="830" t="s">
        <v>2182</v>
      </c>
      <c r="AZ156" s="806" t="s">
        <v>2183</v>
      </c>
      <c r="BA156" s="807"/>
      <c r="BB156" s="807"/>
      <c r="BC156" s="807"/>
      <c r="BD156" s="804"/>
    </row>
    <row r="157" spans="1:56" s="1136" customFormat="1" ht="66.75" hidden="1" customHeight="1" outlineLevel="1" thickBot="1" x14ac:dyDescent="0.3">
      <c r="A157" s="365"/>
      <c r="B157" s="755" t="s">
        <v>2184</v>
      </c>
      <c r="C157" s="366" t="s">
        <v>2185</v>
      </c>
      <c r="D157" s="366" t="s">
        <v>33</v>
      </c>
      <c r="E157" s="366" t="s">
        <v>36</v>
      </c>
      <c r="F157" s="371" t="s">
        <v>2186</v>
      </c>
      <c r="G157" s="755" t="s">
        <v>2187</v>
      </c>
      <c r="H157" s="366" t="s">
        <v>2188</v>
      </c>
      <c r="I157" s="366" t="s">
        <v>2189</v>
      </c>
      <c r="J157" s="366" t="s">
        <v>2190</v>
      </c>
      <c r="K157" s="366" t="s">
        <v>2191</v>
      </c>
      <c r="L157" s="366" t="s">
        <v>103</v>
      </c>
      <c r="M157" s="366" t="s">
        <v>2192</v>
      </c>
      <c r="N157" s="366" t="s">
        <v>2193</v>
      </c>
      <c r="O157" s="368" t="s">
        <v>2194</v>
      </c>
      <c r="P157" s="369" t="s">
        <v>2195</v>
      </c>
      <c r="Q157" s="370" t="s">
        <v>2196</v>
      </c>
      <c r="R157" s="366" t="s">
        <v>2197</v>
      </c>
      <c r="S157" s="366" t="s">
        <v>2198</v>
      </c>
      <c r="T157" s="366" t="s">
        <v>2199</v>
      </c>
      <c r="U157" s="371" t="s">
        <v>2200</v>
      </c>
      <c r="V157" s="755" t="s">
        <v>2187</v>
      </c>
      <c r="W157" s="366" t="s">
        <v>2188</v>
      </c>
      <c r="X157" s="366" t="s">
        <v>2189</v>
      </c>
      <c r="Y157" s="366" t="s">
        <v>2190</v>
      </c>
      <c r="Z157" s="366" t="s">
        <v>2191</v>
      </c>
      <c r="AA157" s="366" t="s">
        <v>103</v>
      </c>
      <c r="AB157" s="366" t="s">
        <v>2192</v>
      </c>
      <c r="AC157" s="366" t="s">
        <v>2193</v>
      </c>
      <c r="AD157" s="368" t="s">
        <v>2194</v>
      </c>
      <c r="AE157" s="369" t="s">
        <v>2195</v>
      </c>
      <c r="AF157" s="370" t="s">
        <v>2196</v>
      </c>
      <c r="AG157" s="366" t="s">
        <v>2197</v>
      </c>
      <c r="AH157" s="366" t="s">
        <v>2198</v>
      </c>
      <c r="AI157" s="366" t="s">
        <v>2199</v>
      </c>
      <c r="AJ157" s="371" t="s">
        <v>2200</v>
      </c>
      <c r="AK157" s="755" t="s">
        <v>2188</v>
      </c>
      <c r="AL157" s="366" t="s">
        <v>2189</v>
      </c>
      <c r="AM157" s="366" t="s">
        <v>2190</v>
      </c>
      <c r="AN157" s="366" t="s">
        <v>2191</v>
      </c>
      <c r="AO157" s="366" t="s">
        <v>2192</v>
      </c>
      <c r="AP157" s="366" t="s">
        <v>2193</v>
      </c>
      <c r="AQ157" s="368" t="s">
        <v>2194</v>
      </c>
      <c r="AR157" s="369" t="s">
        <v>2195</v>
      </c>
      <c r="AS157" s="370" t="s">
        <v>2196</v>
      </c>
      <c r="AT157" s="366" t="s">
        <v>2197</v>
      </c>
      <c r="AU157" s="366" t="s">
        <v>2198</v>
      </c>
      <c r="AV157" s="366" t="s">
        <v>2199</v>
      </c>
      <c r="AW157" s="371" t="s">
        <v>2200</v>
      </c>
      <c r="AX157" s="829"/>
      <c r="AY157" s="831"/>
      <c r="AZ157" s="372" t="s">
        <v>2194</v>
      </c>
      <c r="BA157" s="369" t="s">
        <v>2195</v>
      </c>
      <c r="BB157" s="370" t="s">
        <v>2196</v>
      </c>
      <c r="BC157" s="366" t="s">
        <v>2201</v>
      </c>
      <c r="BD157" s="756" t="s">
        <v>2202</v>
      </c>
    </row>
    <row r="158" spans="1:56" s="1136" customFormat="1" ht="36.75" hidden="1" customHeight="1" outlineLevel="1" x14ac:dyDescent="0.25">
      <c r="A158" s="360"/>
      <c r="B158" s="832" t="s">
        <v>2210</v>
      </c>
      <c r="C158" s="833"/>
      <c r="D158" s="833"/>
      <c r="E158" s="833"/>
      <c r="F158" s="833"/>
      <c r="G158" s="833"/>
      <c r="H158" s="833"/>
      <c r="I158" s="833"/>
      <c r="J158" s="833"/>
      <c r="K158" s="833"/>
      <c r="L158" s="833"/>
      <c r="M158" s="833"/>
      <c r="N158" s="833"/>
      <c r="O158" s="833"/>
      <c r="P158" s="833"/>
      <c r="Q158" s="833"/>
      <c r="R158" s="833"/>
      <c r="S158" s="833"/>
      <c r="T158" s="833"/>
      <c r="U158" s="833"/>
      <c r="V158" s="833"/>
      <c r="W158" s="833"/>
      <c r="X158" s="833"/>
      <c r="Y158" s="833"/>
      <c r="Z158" s="833"/>
      <c r="AA158" s="833"/>
      <c r="AB158" s="833"/>
      <c r="AC158" s="833"/>
      <c r="AD158" s="833"/>
      <c r="AE158" s="833"/>
      <c r="AF158" s="833"/>
      <c r="AG158" s="833"/>
      <c r="AH158" s="833"/>
      <c r="AI158" s="833"/>
      <c r="AJ158" s="833"/>
      <c r="AK158" s="833"/>
      <c r="AL158" s="833"/>
      <c r="AM158" s="833"/>
      <c r="AN158" s="833"/>
      <c r="AO158" s="833"/>
      <c r="AP158" s="833"/>
      <c r="AQ158" s="833"/>
      <c r="AR158" s="833"/>
      <c r="AS158" s="833"/>
      <c r="AT158" s="833"/>
      <c r="AU158" s="833"/>
      <c r="AV158" s="833"/>
      <c r="AW158" s="833"/>
      <c r="AX158" s="833"/>
      <c r="AY158" s="833"/>
      <c r="AZ158" s="833"/>
      <c r="BA158" s="833"/>
      <c r="BB158" s="833"/>
      <c r="BC158" s="833"/>
      <c r="BD158" s="834"/>
    </row>
    <row r="159" spans="1:56" s="1140" customFormat="1" ht="36.75" hidden="1" customHeight="1" outlineLevel="1" thickBot="1" x14ac:dyDescent="0.3">
      <c r="A159" s="360"/>
      <c r="B159" s="835" t="s">
        <v>2211</v>
      </c>
      <c r="C159" s="836"/>
      <c r="D159" s="836"/>
      <c r="E159" s="836"/>
      <c r="F159" s="836"/>
      <c r="G159" s="836"/>
      <c r="H159" s="836"/>
      <c r="I159" s="836"/>
      <c r="J159" s="836"/>
      <c r="K159" s="836"/>
      <c r="L159" s="836"/>
      <c r="M159" s="836"/>
      <c r="N159" s="836"/>
      <c r="O159" s="836"/>
      <c r="P159" s="836"/>
      <c r="Q159" s="836"/>
      <c r="R159" s="836"/>
      <c r="S159" s="836"/>
      <c r="T159" s="836"/>
      <c r="U159" s="836"/>
      <c r="V159" s="836"/>
      <c r="W159" s="836"/>
      <c r="X159" s="836"/>
      <c r="Y159" s="836"/>
      <c r="Z159" s="836"/>
      <c r="AA159" s="836"/>
      <c r="AB159" s="836"/>
      <c r="AC159" s="836"/>
      <c r="AD159" s="836"/>
      <c r="AE159" s="836"/>
      <c r="AF159" s="836"/>
      <c r="AG159" s="836"/>
      <c r="AH159" s="836"/>
      <c r="AI159" s="836"/>
      <c r="AJ159" s="836"/>
      <c r="AK159" s="836"/>
      <c r="AL159" s="836"/>
      <c r="AM159" s="836"/>
      <c r="AN159" s="836"/>
      <c r="AO159" s="836"/>
      <c r="AP159" s="836"/>
      <c r="AQ159" s="836"/>
      <c r="AR159" s="836"/>
      <c r="AS159" s="836"/>
      <c r="AT159" s="836"/>
      <c r="AU159" s="836"/>
      <c r="AV159" s="836"/>
      <c r="AW159" s="836"/>
      <c r="AX159" s="836"/>
      <c r="AY159" s="836"/>
      <c r="AZ159" s="836"/>
      <c r="BA159" s="836"/>
      <c r="BB159" s="836"/>
      <c r="BC159" s="836"/>
      <c r="BD159" s="837"/>
    </row>
    <row r="160" spans="1:56" ht="40.5" hidden="1" customHeight="1" outlineLevel="1" x14ac:dyDescent="0.25">
      <c r="A160" s="373"/>
      <c r="B160" s="374"/>
      <c r="C160" s="375"/>
      <c r="D160" s="376"/>
      <c r="E160" s="376"/>
      <c r="F160" s="377"/>
      <c r="G160" s="374"/>
      <c r="H160" s="378"/>
      <c r="I160" s="379"/>
      <c r="J160" s="379"/>
      <c r="K160" s="379"/>
      <c r="L160" s="379"/>
      <c r="M160" s="379"/>
      <c r="N160" s="379"/>
      <c r="O160" s="380"/>
      <c r="P160" s="381"/>
      <c r="Q160" s="382"/>
      <c r="R160" s="379"/>
      <c r="S160" s="379"/>
      <c r="T160" s="379"/>
      <c r="U160" s="383"/>
      <c r="V160" s="384"/>
      <c r="W160" s="378"/>
      <c r="X160" s="379"/>
      <c r="Y160" s="379"/>
      <c r="Z160" s="379"/>
      <c r="AA160" s="379"/>
      <c r="AB160" s="379"/>
      <c r="AC160" s="379"/>
      <c r="AD160" s="380"/>
      <c r="AE160" s="381"/>
      <c r="AF160" s="382"/>
      <c r="AG160" s="379"/>
      <c r="AH160" s="379"/>
      <c r="AI160" s="379"/>
      <c r="AJ160" s="385"/>
      <c r="AK160" s="386"/>
      <c r="AL160" s="379"/>
      <c r="AM160" s="379"/>
      <c r="AN160" s="379"/>
      <c r="AO160" s="379"/>
      <c r="AP160" s="379"/>
      <c r="AQ160" s="380"/>
      <c r="AR160" s="381"/>
      <c r="AS160" s="382"/>
      <c r="AT160" s="379"/>
      <c r="AU160" s="379"/>
      <c r="AV160" s="379"/>
      <c r="AW160" s="387"/>
      <c r="AX160" s="630"/>
      <c r="AY160" s="631"/>
      <c r="AZ160" s="388"/>
      <c r="BA160" s="389"/>
      <c r="BB160" s="379"/>
      <c r="BC160" s="390"/>
      <c r="BD160" s="391"/>
    </row>
    <row r="161" spans="1:56" ht="40.5" hidden="1" customHeight="1" outlineLevel="1" x14ac:dyDescent="0.25">
      <c r="A161" s="373"/>
      <c r="B161" s="392"/>
      <c r="C161" s="393"/>
      <c r="D161" s="394"/>
      <c r="E161" s="394"/>
      <c r="F161" s="395"/>
      <c r="G161" s="392"/>
      <c r="H161" s="396"/>
      <c r="I161" s="397"/>
      <c r="J161" s="397"/>
      <c r="K161" s="397"/>
      <c r="L161" s="397"/>
      <c r="M161" s="397"/>
      <c r="N161" s="397"/>
      <c r="O161" s="398"/>
      <c r="P161" s="399"/>
      <c r="Q161" s="400"/>
      <c r="R161" s="397"/>
      <c r="S161" s="397"/>
      <c r="T161" s="397"/>
      <c r="U161" s="401"/>
      <c r="V161" s="402"/>
      <c r="W161" s="396"/>
      <c r="X161" s="397"/>
      <c r="Y161" s="397"/>
      <c r="Z161" s="397"/>
      <c r="AA161" s="397"/>
      <c r="AB161" s="397"/>
      <c r="AC161" s="397"/>
      <c r="AD161" s="398"/>
      <c r="AE161" s="399"/>
      <c r="AF161" s="400"/>
      <c r="AG161" s="397"/>
      <c r="AH161" s="397"/>
      <c r="AI161" s="397"/>
      <c r="AJ161" s="403"/>
      <c r="AK161" s="404"/>
      <c r="AL161" s="397"/>
      <c r="AM161" s="397"/>
      <c r="AN161" s="397"/>
      <c r="AO161" s="397"/>
      <c r="AP161" s="397"/>
      <c r="AQ161" s="398"/>
      <c r="AR161" s="399"/>
      <c r="AS161" s="400"/>
      <c r="AT161" s="397"/>
      <c r="AU161" s="397"/>
      <c r="AV161" s="415"/>
      <c r="AW161" s="406"/>
      <c r="AX161" s="632"/>
      <c r="AY161" s="633"/>
      <c r="AZ161" s="407"/>
      <c r="BA161" s="408"/>
      <c r="BB161" s="397"/>
      <c r="BC161" s="409"/>
      <c r="BD161" s="422"/>
    </row>
    <row r="162" spans="1:56" ht="40.5" hidden="1" customHeight="1" outlineLevel="1" x14ac:dyDescent="0.25">
      <c r="A162" s="373"/>
      <c r="B162" s="392"/>
      <c r="C162" s="393"/>
      <c r="D162" s="394"/>
      <c r="E162" s="394"/>
      <c r="F162" s="395"/>
      <c r="G162" s="392"/>
      <c r="H162" s="396"/>
      <c r="I162" s="397"/>
      <c r="J162" s="397"/>
      <c r="K162" s="397"/>
      <c r="L162" s="397"/>
      <c r="M162" s="397"/>
      <c r="N162" s="397"/>
      <c r="O162" s="398"/>
      <c r="P162" s="399"/>
      <c r="Q162" s="400"/>
      <c r="R162" s="397"/>
      <c r="S162" s="397"/>
      <c r="T162" s="397"/>
      <c r="U162" s="401"/>
      <c r="V162" s="402"/>
      <c r="W162" s="396"/>
      <c r="X162" s="397"/>
      <c r="Y162" s="397"/>
      <c r="Z162" s="397"/>
      <c r="AA162" s="397"/>
      <c r="AB162" s="397"/>
      <c r="AC162" s="397"/>
      <c r="AD162" s="398"/>
      <c r="AE162" s="399"/>
      <c r="AF162" s="400"/>
      <c r="AG162" s="397"/>
      <c r="AH162" s="397"/>
      <c r="AI162" s="397"/>
      <c r="AJ162" s="403"/>
      <c r="AK162" s="404"/>
      <c r="AL162" s="397"/>
      <c r="AM162" s="397"/>
      <c r="AN162" s="397"/>
      <c r="AO162" s="397"/>
      <c r="AP162" s="397"/>
      <c r="AQ162" s="398"/>
      <c r="AR162" s="399"/>
      <c r="AS162" s="400"/>
      <c r="AT162" s="397"/>
      <c r="AU162" s="397"/>
      <c r="AV162" s="397"/>
      <c r="AW162" s="406"/>
      <c r="AX162" s="632"/>
      <c r="AY162" s="633"/>
      <c r="AZ162" s="407"/>
      <c r="BA162" s="408"/>
      <c r="BB162" s="397"/>
      <c r="BC162" s="409"/>
      <c r="BD162" s="512"/>
    </row>
    <row r="163" spans="1:56" ht="40.5" hidden="1" customHeight="1" outlineLevel="1" x14ac:dyDescent="0.25">
      <c r="A163" s="373"/>
      <c r="B163" s="444"/>
      <c r="C163" s="485"/>
      <c r="D163" s="446"/>
      <c r="E163" s="446"/>
      <c r="F163" s="514"/>
      <c r="G163" s="444"/>
      <c r="H163" s="448"/>
      <c r="I163" s="449"/>
      <c r="J163" s="449"/>
      <c r="K163" s="449"/>
      <c r="L163" s="449"/>
      <c r="M163" s="449"/>
      <c r="N163" s="449"/>
      <c r="O163" s="450"/>
      <c r="P163" s="451"/>
      <c r="Q163" s="452"/>
      <c r="R163" s="449"/>
      <c r="S163" s="449"/>
      <c r="T163" s="449"/>
      <c r="U163" s="453"/>
      <c r="V163" s="454"/>
      <c r="W163" s="448"/>
      <c r="X163" s="449"/>
      <c r="Y163" s="449"/>
      <c r="Z163" s="449"/>
      <c r="AA163" s="449"/>
      <c r="AB163" s="449"/>
      <c r="AC163" s="449"/>
      <c r="AD163" s="450"/>
      <c r="AE163" s="451"/>
      <c r="AF163" s="452"/>
      <c r="AG163" s="449"/>
      <c r="AH163" s="449"/>
      <c r="AI163" s="449"/>
      <c r="AJ163" s="455"/>
      <c r="AK163" s="456"/>
      <c r="AL163" s="449"/>
      <c r="AM163" s="449"/>
      <c r="AN163" s="449"/>
      <c r="AO163" s="449"/>
      <c r="AP163" s="449"/>
      <c r="AQ163" s="450"/>
      <c r="AR163" s="451"/>
      <c r="AS163" s="452"/>
      <c r="AT163" s="449"/>
      <c r="AU163" s="449"/>
      <c r="AV163" s="449"/>
      <c r="AW163" s="457"/>
      <c r="AX163" s="634"/>
      <c r="AY163" s="635"/>
      <c r="AZ163" s="636"/>
      <c r="BA163" s="459"/>
      <c r="BB163" s="449"/>
      <c r="BC163" s="460"/>
      <c r="BD163" s="461"/>
    </row>
    <row r="164" spans="1:56" ht="40.5" hidden="1" customHeight="1" outlineLevel="1" thickBot="1" x14ac:dyDescent="0.3">
      <c r="A164" s="373"/>
      <c r="B164" s="424"/>
      <c r="C164" s="464"/>
      <c r="D164" s="426"/>
      <c r="E164" s="426"/>
      <c r="F164" s="427"/>
      <c r="G164" s="424"/>
      <c r="H164" s="428"/>
      <c r="I164" s="429"/>
      <c r="J164" s="429"/>
      <c r="K164" s="429"/>
      <c r="L164" s="429"/>
      <c r="M164" s="429"/>
      <c r="N164" s="429"/>
      <c r="O164" s="430"/>
      <c r="P164" s="431"/>
      <c r="Q164" s="432"/>
      <c r="R164" s="429"/>
      <c r="S164" s="429"/>
      <c r="T164" s="429"/>
      <c r="U164" s="435"/>
      <c r="V164" s="434"/>
      <c r="W164" s="428"/>
      <c r="X164" s="429"/>
      <c r="Y164" s="429"/>
      <c r="Z164" s="429"/>
      <c r="AA164" s="429"/>
      <c r="AB164" s="429"/>
      <c r="AC164" s="429"/>
      <c r="AD164" s="430"/>
      <c r="AE164" s="431"/>
      <c r="AF164" s="432"/>
      <c r="AG164" s="429"/>
      <c r="AH164" s="429"/>
      <c r="AI164" s="429"/>
      <c r="AJ164" s="435"/>
      <c r="AK164" s="436"/>
      <c r="AL164" s="429"/>
      <c r="AM164" s="429"/>
      <c r="AN164" s="429"/>
      <c r="AO164" s="429"/>
      <c r="AP164" s="429"/>
      <c r="AQ164" s="430"/>
      <c r="AR164" s="431"/>
      <c r="AS164" s="432"/>
      <c r="AT164" s="429"/>
      <c r="AU164" s="429"/>
      <c r="AV164" s="429"/>
      <c r="AW164" s="439"/>
      <c r="AX164" s="532"/>
      <c r="AY164" s="533"/>
      <c r="AZ164" s="440"/>
      <c r="BA164" s="441"/>
      <c r="BB164" s="429"/>
      <c r="BC164" s="442"/>
      <c r="BD164" s="443"/>
    </row>
    <row r="165" spans="1:56" s="1128" customFormat="1" ht="29.25" hidden="1" customHeight="1" outlineLevel="1" collapsed="1" thickBot="1" x14ac:dyDescent="0.3">
      <c r="A165" s="359"/>
      <c r="B165" s="1141"/>
      <c r="C165" s="500"/>
      <c r="D165" s="500"/>
      <c r="E165" s="500"/>
      <c r="F165" s="500"/>
      <c r="G165" s="758"/>
      <c r="H165" s="758"/>
      <c r="I165" s="758"/>
      <c r="J165" s="501"/>
      <c r="K165" s="758"/>
      <c r="L165" s="758"/>
      <c r="M165" s="758"/>
      <c r="N165" s="758"/>
      <c r="O165" s="502">
        <f>SUBTOTAL(9,O160:O164)</f>
        <v>0</v>
      </c>
      <c r="P165" s="503">
        <f>SUBTOTAL(9,P160:P164)</f>
        <v>0</v>
      </c>
      <c r="Q165" s="758"/>
      <c r="R165" s="758"/>
      <c r="S165" s="758"/>
      <c r="T165" s="758"/>
      <c r="U165" s="758"/>
      <c r="V165" s="758"/>
      <c r="W165" s="758"/>
      <c r="X165" s="501"/>
      <c r="Y165" s="501"/>
      <c r="Z165" s="758"/>
      <c r="AA165" s="758"/>
      <c r="AB165" s="758"/>
      <c r="AC165" s="758"/>
      <c r="AD165" s="613">
        <f>SUBTOTAL(9,AD160:AD164)</f>
        <v>0</v>
      </c>
      <c r="AE165" s="617">
        <f>SUBTOTAL(9,AE160:AE164)</f>
        <v>0</v>
      </c>
      <c r="AF165" s="758"/>
      <c r="AG165" s="758"/>
      <c r="AH165" s="758"/>
      <c r="AI165" s="758"/>
      <c r="AJ165" s="758"/>
      <c r="AK165" s="758"/>
      <c r="AL165" s="758"/>
      <c r="AM165" s="758"/>
      <c r="AN165" s="758"/>
      <c r="AO165" s="758"/>
      <c r="AP165" s="758"/>
      <c r="AQ165" s="613">
        <f>SUBTOTAL(9,AQ160:AQ164)</f>
        <v>0</v>
      </c>
      <c r="AR165" s="617">
        <f>SUBTOTAL(9,AR160:AR164)</f>
        <v>0</v>
      </c>
      <c r="AS165" s="758"/>
      <c r="AT165" s="505"/>
      <c r="AU165" s="505"/>
      <c r="AV165" s="505"/>
      <c r="AW165" s="501"/>
      <c r="AX165" s="506"/>
      <c r="AY165" s="758"/>
      <c r="AZ165" s="502">
        <f>SUBTOTAL(9,AZ160:AZ164)</f>
        <v>0</v>
      </c>
      <c r="BA165" s="503">
        <f>SUBTOTAL(9,BA160:BA164)</f>
        <v>0</v>
      </c>
      <c r="BB165" s="758"/>
      <c r="BC165" s="758"/>
      <c r="BD165" s="758"/>
    </row>
    <row r="166" spans="1:56" ht="36.75" customHeight="1" collapsed="1" thickBot="1" x14ac:dyDescent="0.3">
      <c r="A166" s="373"/>
      <c r="B166" s="373"/>
      <c r="C166" s="373"/>
      <c r="D166" s="637"/>
      <c r="E166" s="637"/>
      <c r="F166" s="637"/>
      <c r="G166" s="373"/>
      <c r="H166" s="373"/>
      <c r="I166" s="627"/>
      <c r="J166" s="627"/>
      <c r="K166" s="627"/>
      <c r="L166" s="627"/>
      <c r="M166" s="627"/>
      <c r="N166" s="627"/>
      <c r="O166" s="638"/>
      <c r="P166" s="639"/>
      <c r="Q166" s="640"/>
      <c r="R166" s="627"/>
      <c r="S166" s="627"/>
      <c r="T166" s="627"/>
      <c r="U166" s="641"/>
      <c r="V166" s="641"/>
      <c r="W166" s="373"/>
      <c r="X166" s="627"/>
      <c r="Y166" s="627"/>
      <c r="Z166" s="627"/>
      <c r="AA166" s="627"/>
      <c r="AB166" s="627"/>
      <c r="AC166" s="627"/>
      <c r="AD166" s="638"/>
      <c r="AE166" s="639"/>
      <c r="AF166" s="640"/>
      <c r="AG166" s="627"/>
      <c r="AH166" s="627"/>
      <c r="AI166" s="627"/>
      <c r="AJ166" s="641"/>
      <c r="AK166" s="627"/>
      <c r="AL166" s="627"/>
      <c r="AM166" s="627"/>
      <c r="AN166" s="627"/>
      <c r="AO166" s="627"/>
      <c r="AP166" s="627"/>
      <c r="AQ166" s="638"/>
      <c r="AR166" s="639"/>
      <c r="AS166" s="640"/>
      <c r="AT166" s="627"/>
      <c r="AU166" s="627"/>
      <c r="AV166" s="627"/>
      <c r="AW166" s="625"/>
      <c r="AX166" s="373"/>
      <c r="AY166" s="625"/>
      <c r="AZ166" s="642"/>
      <c r="BA166" s="643"/>
      <c r="BB166" s="627"/>
      <c r="BC166" s="644"/>
      <c r="BD166" s="627"/>
    </row>
    <row r="167" spans="1:56" s="1142" customFormat="1" ht="36.75" hidden="1" customHeight="1" outlineLevel="1" thickBot="1" x14ac:dyDescent="0.3">
      <c r="A167" s="356"/>
      <c r="B167" s="838" t="s">
        <v>2212</v>
      </c>
      <c r="C167" s="839"/>
      <c r="D167" s="839"/>
      <c r="E167" s="839"/>
      <c r="F167" s="839"/>
      <c r="G167" s="839"/>
      <c r="H167" s="839"/>
      <c r="I167" s="839"/>
      <c r="J167" s="839"/>
      <c r="K167" s="839"/>
      <c r="L167" s="839"/>
      <c r="M167" s="839"/>
      <c r="N167" s="839"/>
      <c r="O167" s="839"/>
      <c r="P167" s="839"/>
      <c r="Q167" s="839"/>
      <c r="R167" s="839"/>
      <c r="S167" s="839"/>
      <c r="T167" s="839"/>
      <c r="U167" s="839"/>
      <c r="V167" s="839"/>
      <c r="W167" s="839"/>
      <c r="X167" s="839"/>
      <c r="Y167" s="839"/>
      <c r="Z167" s="839"/>
      <c r="AA167" s="839"/>
      <c r="AB167" s="839"/>
      <c r="AC167" s="839"/>
      <c r="AD167" s="839"/>
      <c r="AE167" s="839"/>
      <c r="AF167" s="839"/>
      <c r="AG167" s="839"/>
      <c r="AH167" s="839"/>
      <c r="AI167" s="839"/>
      <c r="AJ167" s="839"/>
      <c r="AK167" s="839"/>
      <c r="AL167" s="839"/>
      <c r="AM167" s="839"/>
      <c r="AN167" s="839"/>
      <c r="AO167" s="839"/>
      <c r="AP167" s="839"/>
      <c r="AQ167" s="839"/>
      <c r="AR167" s="839"/>
      <c r="AS167" s="839"/>
      <c r="AT167" s="839"/>
      <c r="AU167" s="839"/>
      <c r="AV167" s="839"/>
      <c r="AW167" s="839"/>
      <c r="AX167" s="839"/>
      <c r="AY167" s="839"/>
      <c r="AZ167" s="839"/>
      <c r="BA167" s="839"/>
      <c r="BB167" s="839"/>
      <c r="BC167" s="839"/>
      <c r="BD167" s="840"/>
    </row>
    <row r="168" spans="1:56" ht="36.75" hidden="1" customHeight="1" outlineLevel="1" x14ac:dyDescent="0.25">
      <c r="A168" s="373"/>
      <c r="B168" s="374"/>
      <c r="C168" s="620"/>
      <c r="D168" s="376"/>
      <c r="E168" s="376"/>
      <c r="F168" s="645"/>
      <c r="G168" s="374"/>
      <c r="H168" s="378"/>
      <c r="I168" s="379"/>
      <c r="J168" s="379"/>
      <c r="K168" s="379"/>
      <c r="L168" s="379"/>
      <c r="M168" s="379"/>
      <c r="N168" s="379"/>
      <c r="O168" s="380"/>
      <c r="P168" s="381"/>
      <c r="Q168" s="382"/>
      <c r="R168" s="379"/>
      <c r="S168" s="379"/>
      <c r="T168" s="379"/>
      <c r="U168" s="383"/>
      <c r="V168" s="384"/>
      <c r="W168" s="378"/>
      <c r="X168" s="379"/>
      <c r="Y168" s="379"/>
      <c r="Z168" s="379"/>
      <c r="AA168" s="379"/>
      <c r="AB168" s="379"/>
      <c r="AC168" s="379"/>
      <c r="AD168" s="380"/>
      <c r="AE168" s="381"/>
      <c r="AF168" s="382"/>
      <c r="AG168" s="379"/>
      <c r="AH168" s="379"/>
      <c r="AI168" s="379"/>
      <c r="AJ168" s="385"/>
      <c r="AK168" s="386"/>
      <c r="AL168" s="379"/>
      <c r="AM168" s="379"/>
      <c r="AN168" s="379"/>
      <c r="AO168" s="379"/>
      <c r="AP168" s="379"/>
      <c r="AQ168" s="380"/>
      <c r="AR168" s="381"/>
      <c r="AS168" s="382"/>
      <c r="AT168" s="379"/>
      <c r="AU168" s="379"/>
      <c r="AV168" s="379"/>
      <c r="AW168" s="387"/>
      <c r="AX168" s="646"/>
      <c r="AY168" s="631"/>
      <c r="AZ168" s="388"/>
      <c r="BA168" s="389"/>
      <c r="BB168" s="379"/>
      <c r="BC168" s="390"/>
      <c r="BD168" s="391"/>
    </row>
    <row r="169" spans="1:56" ht="36.75" hidden="1" customHeight="1" outlineLevel="1" x14ac:dyDescent="0.25">
      <c r="A169" s="373"/>
      <c r="B169" s="392"/>
      <c r="C169" s="393"/>
      <c r="D169" s="394"/>
      <c r="E169" s="394"/>
      <c r="F169" s="462"/>
      <c r="G169" s="392"/>
      <c r="H169" s="396"/>
      <c r="I169" s="397"/>
      <c r="J169" s="397"/>
      <c r="K169" s="397"/>
      <c r="L169" s="397"/>
      <c r="M169" s="397"/>
      <c r="N169" s="397"/>
      <c r="O169" s="398"/>
      <c r="P169" s="399"/>
      <c r="Q169" s="400"/>
      <c r="R169" s="397"/>
      <c r="S169" s="397"/>
      <c r="T169" s="397"/>
      <c r="U169" s="403"/>
      <c r="V169" s="402"/>
      <c r="W169" s="396"/>
      <c r="X169" s="397"/>
      <c r="Y169" s="397"/>
      <c r="Z169" s="397"/>
      <c r="AA169" s="397"/>
      <c r="AB169" s="397"/>
      <c r="AC169" s="397"/>
      <c r="AD169" s="398"/>
      <c r="AE169" s="399"/>
      <c r="AF169" s="400"/>
      <c r="AG169" s="397"/>
      <c r="AH169" s="397"/>
      <c r="AI169" s="397"/>
      <c r="AJ169" s="403"/>
      <c r="AK169" s="404"/>
      <c r="AL169" s="397"/>
      <c r="AM169" s="397"/>
      <c r="AN169" s="397"/>
      <c r="AO169" s="397"/>
      <c r="AP169" s="397"/>
      <c r="AQ169" s="398"/>
      <c r="AR169" s="399"/>
      <c r="AS169" s="400"/>
      <c r="AT169" s="397"/>
      <c r="AU169" s="397"/>
      <c r="AV169" s="397"/>
      <c r="AW169" s="406"/>
      <c r="AX169" s="647"/>
      <c r="AY169" s="633"/>
      <c r="AZ169" s="407"/>
      <c r="BA169" s="408"/>
      <c r="BB169" s="397"/>
      <c r="BC169" s="409"/>
      <c r="BD169" s="410"/>
    </row>
    <row r="170" spans="1:56" ht="36.75" hidden="1" customHeight="1" outlineLevel="1" thickBot="1" x14ac:dyDescent="0.3">
      <c r="A170" s="373"/>
      <c r="B170" s="424"/>
      <c r="C170" s="464"/>
      <c r="D170" s="426"/>
      <c r="E170" s="426"/>
      <c r="F170" s="465"/>
      <c r="G170" s="424"/>
      <c r="H170" s="428"/>
      <c r="I170" s="429"/>
      <c r="J170" s="429"/>
      <c r="K170" s="429"/>
      <c r="L170" s="429"/>
      <c r="M170" s="429"/>
      <c r="N170" s="429"/>
      <c r="O170" s="430"/>
      <c r="P170" s="431"/>
      <c r="Q170" s="432"/>
      <c r="R170" s="429"/>
      <c r="S170" s="429"/>
      <c r="T170" s="429"/>
      <c r="U170" s="435"/>
      <c r="V170" s="434"/>
      <c r="W170" s="428"/>
      <c r="X170" s="429"/>
      <c r="Y170" s="429"/>
      <c r="Z170" s="429"/>
      <c r="AA170" s="429"/>
      <c r="AB170" s="429"/>
      <c r="AC170" s="429"/>
      <c r="AD170" s="430"/>
      <c r="AE170" s="431"/>
      <c r="AF170" s="432"/>
      <c r="AG170" s="429"/>
      <c r="AH170" s="429"/>
      <c r="AI170" s="429"/>
      <c r="AJ170" s="435"/>
      <c r="AK170" s="436"/>
      <c r="AL170" s="429"/>
      <c r="AM170" s="429"/>
      <c r="AN170" s="429"/>
      <c r="AO170" s="429"/>
      <c r="AP170" s="429"/>
      <c r="AQ170" s="430"/>
      <c r="AR170" s="431"/>
      <c r="AS170" s="432"/>
      <c r="AT170" s="429"/>
      <c r="AU170" s="429"/>
      <c r="AV170" s="429"/>
      <c r="AW170" s="439"/>
      <c r="AX170" s="648"/>
      <c r="AY170" s="533"/>
      <c r="AZ170" s="440"/>
      <c r="BA170" s="441"/>
      <c r="BB170" s="429"/>
      <c r="BC170" s="442"/>
      <c r="BD170" s="443"/>
    </row>
    <row r="171" spans="1:56" ht="36.75" hidden="1" customHeight="1" outlineLevel="1" collapsed="1" thickBot="1" x14ac:dyDescent="0.3">
      <c r="A171" s="373"/>
      <c r="B171" s="373"/>
      <c r="C171" s="624"/>
      <c r="D171" s="624"/>
      <c r="E171" s="624"/>
      <c r="F171" s="624"/>
      <c r="G171" s="373"/>
      <c r="H171" s="373"/>
      <c r="I171" s="373"/>
      <c r="J171" s="625"/>
      <c r="K171" s="373"/>
      <c r="L171" s="373"/>
      <c r="M171" s="373"/>
      <c r="N171" s="373"/>
      <c r="O171" s="649"/>
      <c r="P171" s="650"/>
      <c r="Q171" s="373"/>
      <c r="R171" s="373"/>
      <c r="S171" s="373"/>
      <c r="T171" s="373"/>
      <c r="U171" s="373"/>
      <c r="V171" s="373"/>
      <c r="W171" s="373"/>
      <c r="X171" s="373"/>
      <c r="Y171" s="625"/>
      <c r="Z171" s="373"/>
      <c r="AA171" s="373"/>
      <c r="AB171" s="373"/>
      <c r="AC171" s="373"/>
      <c r="AD171" s="649"/>
      <c r="AE171" s="650"/>
      <c r="AF171" s="373"/>
      <c r="AG171" s="373"/>
      <c r="AH171" s="373"/>
      <c r="AI171" s="373"/>
      <c r="AJ171" s="373"/>
      <c r="AK171" s="373"/>
      <c r="AL171" s="373"/>
      <c r="AM171" s="373"/>
      <c r="AN171" s="373"/>
      <c r="AO171" s="373"/>
      <c r="AP171" s="373"/>
      <c r="AQ171" s="649"/>
      <c r="AR171" s="650"/>
      <c r="AS171" s="373"/>
      <c r="AT171" s="626"/>
      <c r="AU171" s="626"/>
      <c r="AV171" s="626"/>
      <c r="AW171" s="625"/>
      <c r="AX171" s="627"/>
      <c r="AY171" s="373"/>
      <c r="AZ171" s="651"/>
      <c r="BA171" s="652"/>
      <c r="BB171" s="373"/>
      <c r="BC171" s="373"/>
      <c r="BD171" s="373"/>
    </row>
    <row r="172" spans="1:56" s="1128" customFormat="1" ht="36.75" customHeight="1" collapsed="1" thickBot="1" x14ac:dyDescent="0.3">
      <c r="A172" s="357"/>
      <c r="B172" s="758"/>
      <c r="C172" s="500"/>
      <c r="D172" s="500"/>
      <c r="E172" s="500"/>
      <c r="F172" s="500"/>
      <c r="G172" s="758"/>
      <c r="H172" s="758"/>
      <c r="I172" s="501"/>
      <c r="J172" s="841" t="s">
        <v>2140</v>
      </c>
      <c r="K172" s="841"/>
      <c r="L172" s="758"/>
      <c r="M172" s="758"/>
      <c r="N172" s="758"/>
      <c r="O172" s="758"/>
      <c r="P172" s="758"/>
      <c r="Q172" s="758"/>
      <c r="R172" s="758"/>
      <c r="S172" s="758"/>
      <c r="T172" s="500"/>
      <c r="U172" s="811" t="s">
        <v>2213</v>
      </c>
      <c r="V172" s="812"/>
      <c r="W172" s="758"/>
      <c r="X172" s="758"/>
      <c r="Y172" s="758"/>
      <c r="Z172" s="758"/>
      <c r="AA172" s="758"/>
      <c r="AB172" s="758"/>
      <c r="AC172" s="758"/>
      <c r="AD172" s="758"/>
      <c r="AE172" s="758"/>
      <c r="AF172" s="758"/>
      <c r="AG172" s="758"/>
      <c r="AH172" s="758"/>
      <c r="AI172" s="758"/>
      <c r="AJ172" s="758"/>
      <c r="AK172" s="758"/>
      <c r="AL172" s="758"/>
      <c r="AM172" s="758"/>
      <c r="AN172" s="758"/>
      <c r="AO172" s="758"/>
      <c r="AP172" s="758"/>
      <c r="AQ172" s="758"/>
      <c r="AR172" s="758"/>
      <c r="AS172" s="653"/>
      <c r="AT172" s="758"/>
      <c r="AU172" s="758"/>
      <c r="AV172" s="758"/>
      <c r="AW172" s="501"/>
      <c r="AX172" s="758"/>
      <c r="AY172" s="758"/>
      <c r="AZ172" s="618"/>
      <c r="BA172" s="619"/>
      <c r="BB172" s="758"/>
      <c r="BC172" s="758"/>
      <c r="BD172" s="758"/>
    </row>
    <row r="173" spans="1:56" s="1128" customFormat="1" ht="36.75" customHeight="1" x14ac:dyDescent="0.25">
      <c r="A173" s="357"/>
      <c r="B173" s="758"/>
      <c r="C173" s="500"/>
      <c r="D173" s="500"/>
      <c r="E173" s="500"/>
      <c r="F173" s="500"/>
      <c r="G173" s="758"/>
      <c r="H173" s="758"/>
      <c r="I173" s="758"/>
      <c r="J173" s="758"/>
      <c r="K173" s="758"/>
      <c r="L173" s="758"/>
      <c r="M173" s="758"/>
      <c r="N173" s="758"/>
      <c r="O173" s="654"/>
      <c r="P173" s="655"/>
      <c r="Q173" s="653"/>
      <c r="R173" s="758"/>
      <c r="S173" s="655"/>
      <c r="T173" s="655"/>
      <c r="U173" s="819" t="s">
        <v>2214</v>
      </c>
      <c r="V173" s="820"/>
      <c r="W173" s="656"/>
      <c r="X173" s="656"/>
      <c r="Y173" s="656"/>
      <c r="Z173" s="656"/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7">
        <f>SUM(AQ174:AQ175)</f>
        <v>-74.340889199999992</v>
      </c>
      <c r="AR173" s="658">
        <f>SUM(AR174:AR175)</f>
        <v>-120.53</v>
      </c>
      <c r="AS173" s="659"/>
      <c r="AT173" s="501"/>
      <c r="AU173" s="501"/>
      <c r="AV173" s="501"/>
      <c r="AW173" s="501"/>
      <c r="AX173" s="758"/>
      <c r="AY173" s="758"/>
      <c r="AZ173" s="618"/>
      <c r="BA173" s="619"/>
      <c r="BB173" s="758"/>
      <c r="BC173" s="758"/>
      <c r="BD173" s="758"/>
    </row>
    <row r="174" spans="1:56" s="1128" customFormat="1" ht="36.75" customHeight="1" x14ac:dyDescent="0.25">
      <c r="A174" s="357"/>
      <c r="B174" s="758"/>
      <c r="C174" s="500"/>
      <c r="D174" s="500"/>
      <c r="E174" s="500"/>
      <c r="F174" s="500"/>
      <c r="G174" s="758"/>
      <c r="H174" s="758"/>
      <c r="I174" s="758"/>
      <c r="J174" s="758"/>
      <c r="K174" s="758"/>
      <c r="L174" s="758"/>
      <c r="M174" s="758"/>
      <c r="N174" s="758"/>
      <c r="O174" s="654"/>
      <c r="P174" s="655"/>
      <c r="Q174" s="653"/>
      <c r="R174" s="758"/>
      <c r="S174" s="655"/>
      <c r="T174" s="655"/>
      <c r="U174" s="842" t="s">
        <v>2215</v>
      </c>
      <c r="V174" s="843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655"/>
      <c r="AL174" s="655"/>
      <c r="AM174" s="655"/>
      <c r="AN174" s="655"/>
      <c r="AO174" s="655"/>
      <c r="AP174" s="655"/>
      <c r="AQ174" s="660">
        <f>AQ85</f>
        <v>-65.2330872</v>
      </c>
      <c r="AR174" s="661">
        <f>AR85</f>
        <v>-103.73</v>
      </c>
      <c r="AS174" s="659"/>
      <c r="AT174" s="501"/>
      <c r="AU174" s="501"/>
      <c r="AV174" s="501"/>
      <c r="AW174" s="501"/>
      <c r="AX174" s="758"/>
      <c r="AY174" s="758"/>
      <c r="AZ174" s="618"/>
      <c r="BA174" s="619"/>
      <c r="BB174" s="758"/>
      <c r="BC174" s="758"/>
      <c r="BD174" s="758"/>
    </row>
    <row r="175" spans="1:56" s="1128" customFormat="1" ht="36.75" customHeight="1" thickBot="1" x14ac:dyDescent="0.3">
      <c r="A175" s="357"/>
      <c r="B175" s="758"/>
      <c r="C175" s="500"/>
      <c r="D175" s="500"/>
      <c r="E175" s="500"/>
      <c r="F175" s="500"/>
      <c r="G175" s="758"/>
      <c r="H175" s="758"/>
      <c r="I175" s="758"/>
      <c r="J175" s="758"/>
      <c r="K175" s="758"/>
      <c r="L175" s="758"/>
      <c r="M175" s="758"/>
      <c r="N175" s="758"/>
      <c r="O175" s="654"/>
      <c r="P175" s="655"/>
      <c r="Q175" s="653"/>
      <c r="R175" s="758"/>
      <c r="S175" s="655"/>
      <c r="T175" s="655"/>
      <c r="U175" s="844" t="s">
        <v>2216</v>
      </c>
      <c r="V175" s="845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662"/>
      <c r="AL175" s="662"/>
      <c r="AM175" s="662"/>
      <c r="AN175" s="662"/>
      <c r="AO175" s="662"/>
      <c r="AP175" s="662"/>
      <c r="AQ175" s="663">
        <f>AQ106</f>
        <v>-9.1078019999999906</v>
      </c>
      <c r="AR175" s="503">
        <f>AR106</f>
        <v>-16.799999999999994</v>
      </c>
      <c r="AS175" s="659"/>
      <c r="AT175" s="501"/>
      <c r="AU175" s="501"/>
      <c r="AV175" s="501"/>
      <c r="AW175" s="501"/>
      <c r="AX175" s="758"/>
      <c r="AY175" s="758"/>
      <c r="AZ175" s="618"/>
      <c r="BA175" s="619"/>
      <c r="BB175" s="758"/>
      <c r="BC175" s="758"/>
      <c r="BD175" s="758"/>
    </row>
    <row r="176" spans="1:56" s="1128" customFormat="1" ht="36.75" customHeight="1" x14ac:dyDescent="0.25">
      <c r="A176" s="357"/>
      <c r="B176" s="758"/>
      <c r="C176" s="500"/>
      <c r="D176" s="500"/>
      <c r="E176" s="500"/>
      <c r="F176" s="500"/>
      <c r="G176" s="758"/>
      <c r="H176" s="758"/>
      <c r="I176" s="758"/>
      <c r="J176" s="758"/>
      <c r="K176" s="758"/>
      <c r="L176" s="758"/>
      <c r="M176" s="758"/>
      <c r="N176" s="758"/>
      <c r="O176" s="654"/>
      <c r="P176" s="655"/>
      <c r="Q176" s="653"/>
      <c r="R176" s="758"/>
      <c r="S176" s="655"/>
      <c r="T176" s="655"/>
      <c r="U176" s="819" t="s">
        <v>2217</v>
      </c>
      <c r="V176" s="820"/>
      <c r="W176" s="656"/>
      <c r="X176" s="656"/>
      <c r="Y176" s="656"/>
      <c r="Z176" s="656"/>
      <c r="AA176" s="656"/>
      <c r="AB176" s="656"/>
      <c r="AC176" s="656"/>
      <c r="AD176" s="656"/>
      <c r="AE176" s="656"/>
      <c r="AF176" s="656"/>
      <c r="AG176" s="656"/>
      <c r="AH176" s="656"/>
      <c r="AI176" s="656"/>
      <c r="AJ176" s="656"/>
      <c r="AK176" s="656"/>
      <c r="AL176" s="656"/>
      <c r="AM176" s="656"/>
      <c r="AN176" s="656"/>
      <c r="AO176" s="656"/>
      <c r="AP176" s="656"/>
      <c r="AQ176" s="657">
        <f>SUM(AQ177:AQ178)</f>
        <v>-42.568679539999991</v>
      </c>
      <c r="AR176" s="658">
        <f>SUM(AR177:AR178)</f>
        <v>-45.636000000000003</v>
      </c>
      <c r="AS176" s="659"/>
      <c r="AT176" s="501"/>
      <c r="AU176" s="501"/>
      <c r="AV176" s="501"/>
      <c r="AW176" s="501"/>
      <c r="AX176" s="758"/>
      <c r="AY176" s="758"/>
      <c r="AZ176" s="618"/>
      <c r="BA176" s="619"/>
      <c r="BB176" s="758"/>
      <c r="BC176" s="758"/>
      <c r="BD176" s="758"/>
    </row>
    <row r="177" spans="1:58" s="1128" customFormat="1" ht="36.75" customHeight="1" x14ac:dyDescent="0.25">
      <c r="A177" s="357"/>
      <c r="B177" s="758"/>
      <c r="C177" s="500"/>
      <c r="D177" s="500"/>
      <c r="E177" s="500"/>
      <c r="F177" s="500"/>
      <c r="G177" s="758"/>
      <c r="H177" s="758"/>
      <c r="I177" s="758"/>
      <c r="J177" s="758"/>
      <c r="K177" s="758"/>
      <c r="L177" s="758"/>
      <c r="M177" s="758"/>
      <c r="N177" s="758"/>
      <c r="O177" s="654"/>
      <c r="P177" s="655"/>
      <c r="Q177" s="653"/>
      <c r="R177" s="758"/>
      <c r="S177" s="655"/>
      <c r="T177" s="655"/>
      <c r="U177" s="842" t="s">
        <v>2215</v>
      </c>
      <c r="V177" s="843"/>
      <c r="W177" s="655"/>
      <c r="X177" s="655"/>
      <c r="Y177" s="655"/>
      <c r="Z177" s="655"/>
      <c r="AA177" s="655"/>
      <c r="AB177" s="655"/>
      <c r="AC177" s="655"/>
      <c r="AD177" s="655"/>
      <c r="AE177" s="655"/>
      <c r="AF177" s="655"/>
      <c r="AG177" s="655"/>
      <c r="AH177" s="655"/>
      <c r="AI177" s="655"/>
      <c r="AJ177" s="655"/>
      <c r="AK177" s="655"/>
      <c r="AL177" s="655"/>
      <c r="AM177" s="655"/>
      <c r="AN177" s="655"/>
      <c r="AO177" s="655"/>
      <c r="AP177" s="655"/>
      <c r="AQ177" s="660">
        <f>AQ143+AQ154</f>
        <v>-42.568679539999991</v>
      </c>
      <c r="AR177" s="661">
        <f>AR143+AR154</f>
        <v>-45.636000000000003</v>
      </c>
      <c r="AS177" s="659"/>
      <c r="AT177" s="501"/>
      <c r="AU177" s="501"/>
      <c r="AV177" s="501"/>
      <c r="AW177" s="501"/>
      <c r="AX177" s="758"/>
      <c r="AY177" s="758"/>
      <c r="AZ177" s="618"/>
      <c r="BA177" s="619"/>
      <c r="BB177" s="758"/>
      <c r="BC177" s="758"/>
      <c r="BD177" s="758"/>
    </row>
    <row r="178" spans="1:58" s="1128" customFormat="1" ht="36.75" customHeight="1" thickBot="1" x14ac:dyDescent="0.3">
      <c r="A178" s="357"/>
      <c r="B178" s="758"/>
      <c r="C178" s="500"/>
      <c r="D178" s="500"/>
      <c r="E178" s="500"/>
      <c r="F178" s="500"/>
      <c r="G178" s="758"/>
      <c r="H178" s="758"/>
      <c r="I178" s="758"/>
      <c r="J178" s="758"/>
      <c r="K178" s="758"/>
      <c r="L178" s="758"/>
      <c r="M178" s="758"/>
      <c r="N178" s="758"/>
      <c r="O178" s="654"/>
      <c r="P178" s="655"/>
      <c r="Q178" s="653"/>
      <c r="R178" s="758"/>
      <c r="S178" s="655"/>
      <c r="T178" s="655"/>
      <c r="U178" s="844" t="s">
        <v>2216</v>
      </c>
      <c r="V178" s="845"/>
      <c r="W178" s="662"/>
      <c r="X178" s="662"/>
      <c r="Y178" s="662"/>
      <c r="Z178" s="662"/>
      <c r="AA178" s="662"/>
      <c r="AB178" s="662"/>
      <c r="AC178" s="662"/>
      <c r="AD178" s="662"/>
      <c r="AE178" s="662"/>
      <c r="AF178" s="662"/>
      <c r="AG178" s="662"/>
      <c r="AH178" s="662"/>
      <c r="AI178" s="662"/>
      <c r="AJ178" s="662"/>
      <c r="AK178" s="662"/>
      <c r="AL178" s="662"/>
      <c r="AM178" s="662"/>
      <c r="AN178" s="662"/>
      <c r="AO178" s="662"/>
      <c r="AP178" s="662"/>
      <c r="AQ178" s="663">
        <f>AQ165+AQ171</f>
        <v>0</v>
      </c>
      <c r="AR178" s="503">
        <f>AR165+AR171</f>
        <v>0</v>
      </c>
      <c r="AS178" s="659"/>
      <c r="AT178" s="501"/>
      <c r="AU178" s="501"/>
      <c r="AV178" s="501"/>
      <c r="AW178" s="501"/>
      <c r="AX178" s="758"/>
      <c r="AY178" s="758"/>
      <c r="AZ178" s="618"/>
      <c r="BA178" s="619"/>
      <c r="BB178" s="758"/>
      <c r="BC178" s="758"/>
      <c r="BD178" s="758"/>
    </row>
    <row r="179" spans="1:58" s="1128" customFormat="1" ht="36.75" customHeight="1" thickBot="1" x14ac:dyDescent="0.3">
      <c r="A179" s="357"/>
      <c r="B179" s="758"/>
      <c r="C179" s="500"/>
      <c r="D179" s="500"/>
      <c r="E179" s="500"/>
      <c r="F179" s="500"/>
      <c r="G179" s="758"/>
      <c r="H179" s="758"/>
      <c r="I179" s="758"/>
      <c r="J179" s="500"/>
      <c r="K179" s="500"/>
      <c r="L179" s="500"/>
      <c r="M179" s="500"/>
      <c r="N179" s="500"/>
      <c r="O179" s="654"/>
      <c r="P179" s="655"/>
      <c r="Q179" s="653"/>
      <c r="R179" s="500"/>
      <c r="S179" s="655"/>
      <c r="T179" s="655"/>
      <c r="U179" s="846" t="s">
        <v>2218</v>
      </c>
      <c r="V179" s="847"/>
      <c r="W179" s="662"/>
      <c r="X179" s="662"/>
      <c r="Y179" s="662"/>
      <c r="Z179" s="662"/>
      <c r="AA179" s="662"/>
      <c r="AB179" s="662"/>
      <c r="AC179" s="662"/>
      <c r="AD179" s="662"/>
      <c r="AE179" s="662"/>
      <c r="AF179" s="662"/>
      <c r="AG179" s="662"/>
      <c r="AH179" s="662"/>
      <c r="AI179" s="662"/>
      <c r="AJ179" s="662"/>
      <c r="AK179" s="662"/>
      <c r="AL179" s="662"/>
      <c r="AM179" s="662"/>
      <c r="AN179" s="662"/>
      <c r="AO179" s="662"/>
      <c r="AP179" s="662"/>
      <c r="AQ179" s="663">
        <f>AQ177+AQ175+AQ174+AQ178</f>
        <v>-116.90956873999998</v>
      </c>
      <c r="AR179" s="503">
        <f>AR174+AR175+AR177+AR178</f>
        <v>-166.166</v>
      </c>
      <c r="AS179" s="659"/>
      <c r="AT179" s="501"/>
      <c r="AU179" s="501"/>
      <c r="AV179" s="501"/>
      <c r="AW179" s="501"/>
      <c r="AX179" s="758"/>
      <c r="AY179" s="758"/>
      <c r="AZ179" s="618"/>
      <c r="BA179" s="619"/>
      <c r="BB179" s="758"/>
      <c r="BC179" s="758"/>
      <c r="BD179" s="758"/>
    </row>
    <row r="180" spans="1:58" ht="36.75" customHeight="1" collapsed="1" thickBot="1" x14ac:dyDescent="0.3">
      <c r="A180" s="373"/>
      <c r="B180" s="373"/>
      <c r="C180" s="373"/>
      <c r="D180" s="637"/>
      <c r="E180" s="637"/>
      <c r="F180" s="637"/>
      <c r="G180" s="373"/>
      <c r="H180" s="373"/>
      <c r="I180" s="627"/>
      <c r="J180" s="627"/>
      <c r="K180" s="627"/>
      <c r="L180" s="627"/>
      <c r="M180" s="627"/>
      <c r="N180" s="627"/>
      <c r="O180" s="638"/>
      <c r="P180" s="639"/>
      <c r="Q180" s="640"/>
      <c r="R180" s="627"/>
      <c r="S180" s="627"/>
      <c r="T180" s="627"/>
      <c r="U180" s="641"/>
      <c r="V180" s="641"/>
      <c r="W180" s="373"/>
      <c r="X180" s="627"/>
      <c r="Y180" s="627"/>
      <c r="Z180" s="627"/>
      <c r="AA180" s="627"/>
      <c r="AB180" s="627"/>
      <c r="AC180" s="627"/>
      <c r="AD180" s="638"/>
      <c r="AE180" s="639"/>
      <c r="AF180" s="640"/>
      <c r="AG180" s="627"/>
      <c r="AH180" s="627"/>
      <c r="AI180" s="627"/>
      <c r="AJ180" s="641"/>
      <c r="AK180" s="627"/>
      <c r="AL180" s="627"/>
      <c r="AM180" s="627"/>
      <c r="AN180" s="627"/>
      <c r="AO180" s="627"/>
      <c r="AP180" s="627"/>
      <c r="AQ180" s="638"/>
      <c r="AR180" s="639"/>
      <c r="AS180" s="640"/>
      <c r="AT180" s="627"/>
      <c r="AU180" s="627"/>
      <c r="AV180" s="627"/>
      <c r="AW180" s="625"/>
      <c r="AX180" s="373"/>
      <c r="AY180" s="625"/>
      <c r="AZ180" s="642"/>
      <c r="BA180" s="643"/>
      <c r="BB180" s="627"/>
      <c r="BC180" s="644"/>
      <c r="BD180" s="627"/>
    </row>
    <row r="181" spans="1:58" s="1136" customFormat="1" ht="36.75" customHeight="1" x14ac:dyDescent="0.25">
      <c r="A181" s="365"/>
      <c r="B181" s="800"/>
      <c r="C181" s="801"/>
      <c r="D181" s="801"/>
      <c r="E181" s="801"/>
      <c r="F181" s="802"/>
      <c r="G181" s="1129" t="str">
        <f>G109</f>
        <v>Режим за май 2023 г.</v>
      </c>
      <c r="H181" s="1130"/>
      <c r="I181" s="1130"/>
      <c r="J181" s="1130"/>
      <c r="K181" s="1130"/>
      <c r="L181" s="1130"/>
      <c r="M181" s="1130"/>
      <c r="N181" s="1130"/>
      <c r="O181" s="1130"/>
      <c r="P181" s="1130"/>
      <c r="Q181" s="1130"/>
      <c r="R181" s="1130"/>
      <c r="S181" s="1130"/>
      <c r="T181" s="1130"/>
      <c r="U181" s="1131"/>
      <c r="V181" s="1129" t="str">
        <f>V109</f>
        <v>Режим за июнь 2023 г.</v>
      </c>
      <c r="W181" s="1130"/>
      <c r="X181" s="1130"/>
      <c r="Y181" s="1130"/>
      <c r="Z181" s="1130"/>
      <c r="AA181" s="1130"/>
      <c r="AB181" s="1130"/>
      <c r="AC181" s="1130"/>
      <c r="AD181" s="1130"/>
      <c r="AE181" s="1130"/>
      <c r="AF181" s="1130"/>
      <c r="AG181" s="1130"/>
      <c r="AH181" s="1130"/>
      <c r="AI181" s="1130"/>
      <c r="AJ181" s="1131"/>
      <c r="AK181" s="1133" t="s">
        <v>2180</v>
      </c>
      <c r="AL181" s="1134"/>
      <c r="AM181" s="1134"/>
      <c r="AN181" s="1134"/>
      <c r="AO181" s="1134"/>
      <c r="AP181" s="1134"/>
      <c r="AQ181" s="1134"/>
      <c r="AR181" s="1134"/>
      <c r="AS181" s="1134"/>
      <c r="AT181" s="1134"/>
      <c r="AU181" s="1134"/>
      <c r="AV181" s="1134"/>
      <c r="AW181" s="1135"/>
      <c r="AX181" s="800" t="s">
        <v>2181</v>
      </c>
      <c r="AY181" s="804" t="s">
        <v>2182</v>
      </c>
      <c r="AZ181" s="806" t="s">
        <v>2183</v>
      </c>
      <c r="BA181" s="807"/>
      <c r="BB181" s="807"/>
      <c r="BC181" s="807"/>
      <c r="BD181" s="804"/>
    </row>
    <row r="182" spans="1:58" s="1136" customFormat="1" ht="72" customHeight="1" thickBot="1" x14ac:dyDescent="0.3">
      <c r="A182" s="365"/>
      <c r="B182" s="755" t="s">
        <v>2184</v>
      </c>
      <c r="C182" s="366" t="s">
        <v>2185</v>
      </c>
      <c r="D182" s="366" t="s">
        <v>33</v>
      </c>
      <c r="E182" s="366" t="s">
        <v>36</v>
      </c>
      <c r="F182" s="367" t="s">
        <v>2186</v>
      </c>
      <c r="G182" s="755" t="s">
        <v>2187</v>
      </c>
      <c r="H182" s="366" t="s">
        <v>2188</v>
      </c>
      <c r="I182" s="366" t="s">
        <v>2189</v>
      </c>
      <c r="J182" s="366" t="s">
        <v>2190</v>
      </c>
      <c r="K182" s="366" t="s">
        <v>2191</v>
      </c>
      <c r="L182" s="366" t="s">
        <v>103</v>
      </c>
      <c r="M182" s="366" t="s">
        <v>2192</v>
      </c>
      <c r="N182" s="366" t="s">
        <v>2193</v>
      </c>
      <c r="O182" s="368" t="s">
        <v>2194</v>
      </c>
      <c r="P182" s="369" t="s">
        <v>2195</v>
      </c>
      <c r="Q182" s="370" t="s">
        <v>2196</v>
      </c>
      <c r="R182" s="366" t="s">
        <v>2197</v>
      </c>
      <c r="S182" s="366" t="s">
        <v>2198</v>
      </c>
      <c r="T182" s="366" t="s">
        <v>2199</v>
      </c>
      <c r="U182" s="371" t="s">
        <v>2200</v>
      </c>
      <c r="V182" s="755" t="s">
        <v>2187</v>
      </c>
      <c r="W182" s="366" t="s">
        <v>2188</v>
      </c>
      <c r="X182" s="366" t="s">
        <v>2189</v>
      </c>
      <c r="Y182" s="366" t="s">
        <v>2190</v>
      </c>
      <c r="Z182" s="366" t="s">
        <v>2191</v>
      </c>
      <c r="AA182" s="366" t="s">
        <v>103</v>
      </c>
      <c r="AB182" s="366" t="s">
        <v>2192</v>
      </c>
      <c r="AC182" s="366" t="s">
        <v>2193</v>
      </c>
      <c r="AD182" s="368" t="s">
        <v>2194</v>
      </c>
      <c r="AE182" s="369" t="s">
        <v>2195</v>
      </c>
      <c r="AF182" s="370" t="s">
        <v>2196</v>
      </c>
      <c r="AG182" s="366" t="s">
        <v>2197</v>
      </c>
      <c r="AH182" s="366" t="s">
        <v>2198</v>
      </c>
      <c r="AI182" s="366" t="s">
        <v>2199</v>
      </c>
      <c r="AJ182" s="371" t="s">
        <v>2200</v>
      </c>
      <c r="AK182" s="755" t="s">
        <v>2188</v>
      </c>
      <c r="AL182" s="366" t="s">
        <v>2189</v>
      </c>
      <c r="AM182" s="366" t="s">
        <v>2190</v>
      </c>
      <c r="AN182" s="366" t="s">
        <v>2191</v>
      </c>
      <c r="AO182" s="366" t="s">
        <v>2192</v>
      </c>
      <c r="AP182" s="366" t="s">
        <v>2193</v>
      </c>
      <c r="AQ182" s="368" t="s">
        <v>2194</v>
      </c>
      <c r="AR182" s="369" t="s">
        <v>2195</v>
      </c>
      <c r="AS182" s="370" t="s">
        <v>2196</v>
      </c>
      <c r="AT182" s="366" t="s">
        <v>2197</v>
      </c>
      <c r="AU182" s="366" t="s">
        <v>2198</v>
      </c>
      <c r="AV182" s="366" t="s">
        <v>2199</v>
      </c>
      <c r="AW182" s="371" t="s">
        <v>2200</v>
      </c>
      <c r="AX182" s="803"/>
      <c r="AY182" s="805"/>
      <c r="AZ182" s="372" t="s">
        <v>2194</v>
      </c>
      <c r="BA182" s="369" t="s">
        <v>2195</v>
      </c>
      <c r="BB182" s="370" t="s">
        <v>2196</v>
      </c>
      <c r="BC182" s="366" t="s">
        <v>2201</v>
      </c>
      <c r="BD182" s="756" t="s">
        <v>2202</v>
      </c>
    </row>
    <row r="183" spans="1:58" s="1128" customFormat="1" ht="36.75" customHeight="1" x14ac:dyDescent="0.25">
      <c r="A183" s="359"/>
      <c r="B183" s="850" t="s">
        <v>2219</v>
      </c>
      <c r="C183" s="851"/>
      <c r="D183" s="851"/>
      <c r="E183" s="851"/>
      <c r="F183" s="851"/>
      <c r="G183" s="851"/>
      <c r="H183" s="851"/>
      <c r="I183" s="851"/>
      <c r="J183" s="851"/>
      <c r="K183" s="851"/>
      <c r="L183" s="851"/>
      <c r="M183" s="851"/>
      <c r="N183" s="851"/>
      <c r="O183" s="851"/>
      <c r="P183" s="851"/>
      <c r="Q183" s="851"/>
      <c r="R183" s="851"/>
      <c r="S183" s="851"/>
      <c r="T183" s="851"/>
      <c r="U183" s="851"/>
      <c r="V183" s="851"/>
      <c r="W183" s="851"/>
      <c r="X183" s="851"/>
      <c r="Y183" s="851"/>
      <c r="Z183" s="851"/>
      <c r="AA183" s="851"/>
      <c r="AB183" s="851"/>
      <c r="AC183" s="851"/>
      <c r="AD183" s="851"/>
      <c r="AE183" s="851"/>
      <c r="AF183" s="851"/>
      <c r="AG183" s="851"/>
      <c r="AH183" s="851"/>
      <c r="AI183" s="851"/>
      <c r="AJ183" s="851"/>
      <c r="AK183" s="851"/>
      <c r="AL183" s="851"/>
      <c r="AM183" s="851"/>
      <c r="AN183" s="851"/>
      <c r="AO183" s="851"/>
      <c r="AP183" s="851"/>
      <c r="AQ183" s="851"/>
      <c r="AR183" s="851"/>
      <c r="AS183" s="851"/>
      <c r="AT183" s="851"/>
      <c r="AU183" s="851"/>
      <c r="AV183" s="851"/>
      <c r="AW183" s="851"/>
      <c r="AX183" s="851"/>
      <c r="AY183" s="851"/>
      <c r="AZ183" s="851"/>
      <c r="BA183" s="851"/>
      <c r="BB183" s="851"/>
      <c r="BC183" s="851"/>
      <c r="BD183" s="852"/>
    </row>
    <row r="184" spans="1:58" s="1128" customFormat="1" ht="36.75" customHeight="1" thickBot="1" x14ac:dyDescent="0.3">
      <c r="A184" s="359"/>
      <c r="B184" s="808" t="s">
        <v>2220</v>
      </c>
      <c r="C184" s="809"/>
      <c r="D184" s="809"/>
      <c r="E184" s="809"/>
      <c r="F184" s="809"/>
      <c r="G184" s="809"/>
      <c r="H184" s="809"/>
      <c r="I184" s="809"/>
      <c r="J184" s="809"/>
      <c r="K184" s="809"/>
      <c r="L184" s="809"/>
      <c r="M184" s="809"/>
      <c r="N184" s="809"/>
      <c r="O184" s="809"/>
      <c r="P184" s="809"/>
      <c r="Q184" s="809"/>
      <c r="R184" s="809"/>
      <c r="S184" s="809"/>
      <c r="T184" s="809"/>
      <c r="U184" s="809"/>
      <c r="V184" s="809"/>
      <c r="W184" s="809"/>
      <c r="X184" s="809"/>
      <c r="Y184" s="809"/>
      <c r="Z184" s="809"/>
      <c r="AA184" s="809"/>
      <c r="AB184" s="809"/>
      <c r="AC184" s="809"/>
      <c r="AD184" s="809"/>
      <c r="AE184" s="809"/>
      <c r="AF184" s="809"/>
      <c r="AG184" s="809"/>
      <c r="AH184" s="809"/>
      <c r="AI184" s="809"/>
      <c r="AJ184" s="809"/>
      <c r="AK184" s="809"/>
      <c r="AL184" s="809"/>
      <c r="AM184" s="809"/>
      <c r="AN184" s="809"/>
      <c r="AO184" s="809"/>
      <c r="AP184" s="809"/>
      <c r="AQ184" s="809"/>
      <c r="AR184" s="809"/>
      <c r="AS184" s="809"/>
      <c r="AT184" s="809"/>
      <c r="AU184" s="809"/>
      <c r="AV184" s="809"/>
      <c r="AW184" s="809"/>
      <c r="AX184" s="809"/>
      <c r="AY184" s="809"/>
      <c r="AZ184" s="809"/>
      <c r="BA184" s="809"/>
      <c r="BB184" s="809"/>
      <c r="BC184" s="809"/>
      <c r="BD184" s="810"/>
    </row>
    <row r="185" spans="1:58" ht="41.25" customHeight="1" x14ac:dyDescent="0.25">
      <c r="A185" s="373"/>
      <c r="B185" s="374">
        <v>1</v>
      </c>
      <c r="C185" s="664" t="s">
        <v>489</v>
      </c>
      <c r="D185" s="376" t="str">
        <f>VLOOKUP($C185,'ТР нефть'!$A$29:$GC$641,5,0)</f>
        <v>ВУ ОНГКМ</v>
      </c>
      <c r="E185" s="376" t="str">
        <f>VLOOKUP($C185,'ТР нефть'!$A$29:$GC$641,8,0)</f>
        <v>ТЛ-1</v>
      </c>
      <c r="F185" s="377" t="str">
        <f>VLOOKUP($C185,'ТР нефть'!$A$29:$GC$641,11,0)</f>
        <v>Куст скважины-95</v>
      </c>
      <c r="G185" s="374" t="str">
        <f>VLOOKUP($C185,'ТР нефть'!$A$29:$GC$641,47,0)</f>
        <v>Газлифт</v>
      </c>
      <c r="H185" s="378">
        <f>VLOOKUP($C185,'ТР нефть'!$A$29:$GC$641,135,0)</f>
        <v>65</v>
      </c>
      <c r="I185" s="379">
        <f>VLOOKUP($C185,'ТР нефть'!$A$29:$GC$641,136,0)</f>
        <v>17</v>
      </c>
      <c r="J185" s="379">
        <f>VLOOKUP($C185,'ТР нефть'!$A$29:$GC$641,137,0)</f>
        <v>32</v>
      </c>
      <c r="K185" s="379">
        <f>VLOOKUP($C185,'ТР нефть'!$A$29:$GC$641,138,0)</f>
        <v>16</v>
      </c>
      <c r="L185" s="379" t="str">
        <f>VLOOKUP($C185,'ТР нефть'!$A$29:$GC$641,139,0)</f>
        <v>Постоянный</v>
      </c>
      <c r="M185" s="379">
        <f>VLOOKUP($C185,'ТР нефть'!$A$29:$GC$641,140,0)</f>
        <v>24</v>
      </c>
      <c r="N185" s="379">
        <f>VLOOKUP($C185,'ТР нефть'!$A$29:$GC$641,141,0)</f>
        <v>0</v>
      </c>
      <c r="O185" s="380">
        <f>VLOOKUP($C185,'ТР нефть'!$A$29:$GC$641,142,0)</f>
        <v>11.453199999999999</v>
      </c>
      <c r="P185" s="381">
        <f>VLOOKUP($C185,'ТР нефть'!$A$29:$GC$641,143,0)</f>
        <v>13.7</v>
      </c>
      <c r="Q185" s="382">
        <f>VLOOKUP($C185,'ТР нефть'!$A$29:$GC$641,144,0)</f>
        <v>0</v>
      </c>
      <c r="R185" s="379">
        <f>VLOOKUP($C185,'ТР нефть'!$A$29:$GC$641,145,0)</f>
        <v>8.5</v>
      </c>
      <c r="S185" s="379">
        <f>VLOOKUP($C185,'ТР нефть'!$A$29:$GC$641,146,0)</f>
        <v>218.27960744595399</v>
      </c>
      <c r="T185" s="379">
        <f>VLOOKUP($C185,'ТР нефть'!$A$29:$GC$641,149,0)</f>
        <v>37</v>
      </c>
      <c r="U185" s="385">
        <f>VLOOKUP($C185,'ТР нефть'!$A$29:$GC$641,150,0)</f>
        <v>0.48928571428571427</v>
      </c>
      <c r="V185" s="384" t="str">
        <f>VLOOKUP($C185,'ТР нефть'!$A$29:$GC$641,47,0)</f>
        <v>Газлифт</v>
      </c>
      <c r="W185" s="378">
        <f>VLOOKUP($C185,'ТР нефть'!$A$29:$GC$641,74,0)</f>
        <v>65</v>
      </c>
      <c r="X185" s="379">
        <f>VLOOKUP($C185,'ТР нефть'!$A$29:$GC$641,79,0)</f>
        <v>16</v>
      </c>
      <c r="Y185" s="379">
        <f>VLOOKUP($C185,'ТР нефть'!$A$29:$GC$641,80,0)</f>
        <v>31</v>
      </c>
      <c r="Z185" s="379">
        <f>VLOOKUP($C185,'ТР нефть'!$A$29:$GC$641,81,0)</f>
        <v>15</v>
      </c>
      <c r="AA185" s="379" t="str">
        <f>VLOOKUP($C185,'ТР нефть'!$A$29:$GC$641,76,0)</f>
        <v>Постоянный</v>
      </c>
      <c r="AB185" s="379">
        <f>VLOOKUP($C185,'ТР нефть'!$A$29:$GC$641,77,0)</f>
        <v>24</v>
      </c>
      <c r="AC185" s="379">
        <f>VLOOKUP($C185,'ТР нефть'!$A$29:$GC$641,78,0)</f>
        <v>0</v>
      </c>
      <c r="AD185" s="380">
        <f>VLOOKUP($C185,'ТР нефть'!$A$29:$GC$641,93,0)</f>
        <v>8.5873919999999977</v>
      </c>
      <c r="AE185" s="381">
        <f>VLOOKUP($C185,'ТР нефть'!$A$29:$GC$641,94,0)</f>
        <v>10.7</v>
      </c>
      <c r="AF185" s="382">
        <f>VLOOKUP($C185,'ТР нефть'!$A$29:$GC$641,95,0)</f>
        <v>4</v>
      </c>
      <c r="AG185" s="379">
        <f>VLOOKUP($C185,'ТР нефть'!$A$29:$GC$641,99,0)</f>
        <v>3.0999999999999996</v>
      </c>
      <c r="AH185" s="379">
        <f>VLOOKUP($C185,'ТР нефть'!$A$29:$GC$641,100,0)</f>
        <v>360.99435078775957</v>
      </c>
      <c r="AI185" s="379">
        <f>VLOOKUP($C185,'ТР нефть'!$A$29:$GC$641,92,0)</f>
        <v>37</v>
      </c>
      <c r="AJ185" s="385">
        <f>VLOOKUP($C185,'ТР нефть'!$A$29:$GC$641,102,0)</f>
        <v>0.38214285714285712</v>
      </c>
      <c r="AK185" s="386">
        <f t="shared" ref="AK185:AN200" si="19">W185-H185</f>
        <v>0</v>
      </c>
      <c r="AL185" s="379">
        <f t="shared" si="19"/>
        <v>-1</v>
      </c>
      <c r="AM185" s="379">
        <f t="shared" si="19"/>
        <v>-1</v>
      </c>
      <c r="AN185" s="379">
        <f t="shared" si="19"/>
        <v>-1</v>
      </c>
      <c r="AO185" s="379">
        <f t="shared" ref="AO185:AW200" si="20">AB185-M185</f>
        <v>0</v>
      </c>
      <c r="AP185" s="379">
        <f t="shared" si="20"/>
        <v>0</v>
      </c>
      <c r="AQ185" s="380">
        <f t="shared" si="20"/>
        <v>-2.8658080000000012</v>
      </c>
      <c r="AR185" s="381">
        <f t="shared" si="20"/>
        <v>-3</v>
      </c>
      <c r="AS185" s="382">
        <f t="shared" si="20"/>
        <v>4</v>
      </c>
      <c r="AT185" s="379">
        <f t="shared" si="20"/>
        <v>-5.4</v>
      </c>
      <c r="AU185" s="379">
        <f t="shared" si="20"/>
        <v>142.71474334180559</v>
      </c>
      <c r="AV185" s="379">
        <f t="shared" si="20"/>
        <v>0</v>
      </c>
      <c r="AW185" s="665">
        <f t="shared" si="20"/>
        <v>-0.10714285714285715</v>
      </c>
      <c r="AX185" s="386" t="str">
        <f>VLOOKUP($C185,'ТР нефть'!$A$29:$GC$641,182,0)</f>
        <v>Технология</v>
      </c>
      <c r="AY185" s="387" t="str">
        <f>VLOOKUP($C185,'ТР нефть'!$A$29:$GC$641,183,0)</f>
        <v>Снижение дебита на фоне регулировки расхода г/г., мониторинг скважины</v>
      </c>
      <c r="AZ185" s="666">
        <f>O185</f>
        <v>11.453199999999999</v>
      </c>
      <c r="BA185" s="389">
        <f t="shared" ref="BA185:BB200" si="21">P185</f>
        <v>13.7</v>
      </c>
      <c r="BB185" s="667">
        <f t="shared" si="21"/>
        <v>0</v>
      </c>
      <c r="BC185" s="390">
        <v>45101</v>
      </c>
      <c r="BD185" s="387" t="s">
        <v>2221</v>
      </c>
      <c r="BF185" s="1143" t="s">
        <v>2222</v>
      </c>
    </row>
    <row r="186" spans="1:58" ht="41.25" customHeight="1" x14ac:dyDescent="0.25">
      <c r="A186" s="373"/>
      <c r="B186" s="392">
        <f t="shared" ref="B186:B206" si="22">B185+1</f>
        <v>2</v>
      </c>
      <c r="C186" s="668">
        <v>175</v>
      </c>
      <c r="D186" s="394" t="str">
        <f>VLOOKUP($C186,'ТР нефть'!$A$29:$GC$641,5,0)</f>
        <v>ВУ ОНГКМ</v>
      </c>
      <c r="E186" s="394" t="str">
        <f>VLOOKUP($C186,'ТР нефть'!$A$29:$GC$641,8,0)</f>
        <v>ТЛ-1</v>
      </c>
      <c r="F186" s="395" t="str">
        <f>VLOOKUP($C186,'ТР нефть'!$A$29:$GC$641,11,0)</f>
        <v>Без куста</v>
      </c>
      <c r="G186" s="392" t="str">
        <f>VLOOKUP($C186,'ТР нефть'!$A$29:$GC$641,47,0)</f>
        <v>Газлифт</v>
      </c>
      <c r="H186" s="396">
        <f>VLOOKUP($C186,'ТР нефть'!$A$29:$GC$641,135,0)</f>
        <v>65</v>
      </c>
      <c r="I186" s="397">
        <f>VLOOKUP($C186,'ТР нефть'!$A$29:$GC$641,136,0)</f>
        <v>20</v>
      </c>
      <c r="J186" s="397">
        <f>VLOOKUP($C186,'ТР нефть'!$A$29:$GC$641,137,0)</f>
        <v>42</v>
      </c>
      <c r="K186" s="397">
        <f>VLOOKUP($C186,'ТР нефть'!$A$29:$GC$641,138,0)</f>
        <v>19</v>
      </c>
      <c r="L186" s="397" t="str">
        <f>VLOOKUP($C186,'ТР нефть'!$A$29:$GC$641,139,0)</f>
        <v>Периодический</v>
      </c>
      <c r="M186" s="397">
        <f>VLOOKUP($C186,'ТР нефть'!$A$29:$GC$641,140,0)</f>
        <v>24</v>
      </c>
      <c r="N186" s="397">
        <f>VLOOKUP($C186,'ТР нефть'!$A$29:$GC$641,141,0)</f>
        <v>72</v>
      </c>
      <c r="O186" s="398">
        <f>VLOOKUP($C186,'ТР нефть'!$A$29:$GC$641,142,0)</f>
        <v>1.6719999999999999</v>
      </c>
      <c r="P186" s="399">
        <f>VLOOKUP($C186,'ТР нефть'!$A$29:$GC$641,143,0)</f>
        <v>2</v>
      </c>
      <c r="Q186" s="400">
        <f>VLOOKUP($C186,'ТР нефть'!$A$29:$GC$641,144,0)</f>
        <v>0</v>
      </c>
      <c r="R186" s="397">
        <f>VLOOKUP($C186,'ТР нефть'!$A$29:$GC$641,145,0)</f>
        <v>3</v>
      </c>
      <c r="S186" s="397">
        <f>VLOOKUP($C186,'ТР нефть'!$A$29:$GC$641,146,0)</f>
        <v>1315.7894736842106</v>
      </c>
      <c r="T186" s="397">
        <f>VLOOKUP($C186,'ТР нефть'!$A$29:$GC$641,149,0)</f>
        <v>44</v>
      </c>
      <c r="U186" s="403">
        <f>VLOOKUP($C186,'ТР нефть'!$A$29:$GC$641,150,0)</f>
        <v>3.8461538461538464E-2</v>
      </c>
      <c r="V186" s="402" t="str">
        <f>VLOOKUP($C186,'ТР нефть'!$A$29:$GC$641,47,0)</f>
        <v>Газлифт</v>
      </c>
      <c r="W186" s="396">
        <f>VLOOKUP($C186,'ТР нефть'!$A$29:$GC$641,74,0)</f>
        <v>65</v>
      </c>
      <c r="X186" s="397">
        <f>VLOOKUP($C186,'ТР нефть'!$A$29:$GC$641,79,0)</f>
        <v>20</v>
      </c>
      <c r="Y186" s="397">
        <f>VLOOKUP($C186,'ТР нефть'!$A$29:$GC$641,80,0)</f>
        <v>42</v>
      </c>
      <c r="Z186" s="397">
        <f>VLOOKUP($C186,'ТР нефть'!$A$29:$GC$641,81,0)</f>
        <v>19</v>
      </c>
      <c r="AA186" s="397" t="str">
        <f>VLOOKUP($C186,'ТР нефть'!$A$29:$GC$641,76,0)</f>
        <v>Периодический</v>
      </c>
      <c r="AB186" s="397">
        <f>VLOOKUP($C186,'ТР нефть'!$A$29:$GC$641,77,0)</f>
        <v>24</v>
      </c>
      <c r="AC186" s="397">
        <f>VLOOKUP($C186,'ТР нефть'!$A$29:$GC$641,78,0)</f>
        <v>72</v>
      </c>
      <c r="AD186" s="398">
        <f>VLOOKUP($C186,'ТР нефть'!$A$29:$GC$641,93,0)</f>
        <v>0.29259999999999997</v>
      </c>
      <c r="AE186" s="399">
        <f>VLOOKUP($C186,'ТР нефть'!$A$29:$GC$641,94,0)</f>
        <v>0.35</v>
      </c>
      <c r="AF186" s="400">
        <f>VLOOKUP($C186,'ТР нефть'!$A$29:$GC$641,95,0)</f>
        <v>0</v>
      </c>
      <c r="AG186" s="397">
        <f>VLOOKUP($C186,'ТР нефть'!$A$29:$GC$641,99,0)</f>
        <v>0.72500000000000009</v>
      </c>
      <c r="AH186" s="397">
        <f>VLOOKUP($C186,'ТР нефть'!$A$29:$GC$641,100,0)</f>
        <v>2477.7853725222153</v>
      </c>
      <c r="AI186" s="397">
        <f>VLOOKUP($C186,'ТР нефть'!$A$29:$GC$641,92,0)</f>
        <v>38</v>
      </c>
      <c r="AJ186" s="403">
        <f>VLOOKUP($C186,'ТР нефть'!$A$29:$GC$641,102,0)</f>
        <v>6.0344827586206896E-3</v>
      </c>
      <c r="AK186" s="404">
        <f t="shared" si="19"/>
        <v>0</v>
      </c>
      <c r="AL186" s="397">
        <f t="shared" si="19"/>
        <v>0</v>
      </c>
      <c r="AM186" s="397">
        <f t="shared" si="19"/>
        <v>0</v>
      </c>
      <c r="AN186" s="397">
        <f t="shared" si="19"/>
        <v>0</v>
      </c>
      <c r="AO186" s="397">
        <f t="shared" si="20"/>
        <v>0</v>
      </c>
      <c r="AP186" s="397">
        <f t="shared" si="20"/>
        <v>0</v>
      </c>
      <c r="AQ186" s="398">
        <f t="shared" si="20"/>
        <v>-1.3794</v>
      </c>
      <c r="AR186" s="399">
        <f t="shared" si="20"/>
        <v>-1.65</v>
      </c>
      <c r="AS186" s="400">
        <f t="shared" si="20"/>
        <v>0</v>
      </c>
      <c r="AT186" s="397">
        <f t="shared" si="20"/>
        <v>-2.2749999999999999</v>
      </c>
      <c r="AU186" s="397">
        <f t="shared" si="20"/>
        <v>1161.9958988380047</v>
      </c>
      <c r="AV186" s="397">
        <f t="shared" si="20"/>
        <v>-6</v>
      </c>
      <c r="AW186" s="525">
        <f t="shared" si="20"/>
        <v>-3.2427055702917776E-2</v>
      </c>
      <c r="AX186" s="404" t="str">
        <f>VLOOKUP($C186,'ТР нефть'!$A$29:$GC$641,182,0)</f>
        <v>Технология</v>
      </c>
      <c r="AY186" s="406" t="str">
        <f>VLOOKUP($C186,'ТР нефть'!$A$29:$GC$641,183,0)</f>
        <v>Снижение дебита на фоне неоптимальной работы скважины. Планируется проведение ПРГС</v>
      </c>
      <c r="AZ186" s="463">
        <f t="shared" ref="AZ186:BB206" si="23">O186</f>
        <v>1.6719999999999999</v>
      </c>
      <c r="BA186" s="408">
        <f t="shared" si="21"/>
        <v>2</v>
      </c>
      <c r="BB186" s="669">
        <f t="shared" si="21"/>
        <v>0</v>
      </c>
      <c r="BC186" s="409">
        <v>45112</v>
      </c>
      <c r="BD186" s="406" t="s">
        <v>2223</v>
      </c>
      <c r="BF186" s="1143" t="s">
        <v>2222</v>
      </c>
    </row>
    <row r="187" spans="1:58" ht="41.25" customHeight="1" x14ac:dyDescent="0.25">
      <c r="A187" s="373"/>
      <c r="B187" s="392">
        <f t="shared" si="22"/>
        <v>3</v>
      </c>
      <c r="C187" s="668" t="s">
        <v>893</v>
      </c>
      <c r="D187" s="394" t="str">
        <f>VLOOKUP($C187,'ТР нефть'!$A$29:$GC$641,5,0)</f>
        <v>ВУ ОНГКМ</v>
      </c>
      <c r="E187" s="394" t="str">
        <f>VLOOKUP($C187,'ТР нефть'!$A$29:$GC$641,8,0)</f>
        <v>ТЛ-2</v>
      </c>
      <c r="F187" s="395" t="str">
        <f>VLOOKUP($C187,'ТР нефть'!$A$29:$GC$641,11,0)</f>
        <v>Куст скважины-1078</v>
      </c>
      <c r="G187" s="392" t="str">
        <f>VLOOKUP($C187,'ТР нефть'!$A$29:$GC$641,47,0)</f>
        <v>Фон.</v>
      </c>
      <c r="H187" s="396">
        <f>VLOOKUP($C187,'ТР нефть'!$A$29:$GC$641,135,0)</f>
        <v>65</v>
      </c>
      <c r="I187" s="397">
        <f>VLOOKUP($C187,'ТР нефть'!$A$29:$GC$641,136,0)</f>
        <v>21</v>
      </c>
      <c r="J187" s="397">
        <f>VLOOKUP($C187,'ТР нефть'!$A$29:$GC$641,137,0)</f>
        <v>35</v>
      </c>
      <c r="K187" s="397">
        <f>VLOOKUP($C187,'ТР нефть'!$A$29:$GC$641,138,0)</f>
        <v>20</v>
      </c>
      <c r="L187" s="397" t="str">
        <f>VLOOKUP($C187,'ТР нефть'!$A$29:$GC$641,139,0)</f>
        <v>Постоянный</v>
      </c>
      <c r="M187" s="397">
        <f>VLOOKUP($C187,'ТР нефть'!$A$29:$GC$641,140,0)</f>
        <v>24</v>
      </c>
      <c r="N187" s="397">
        <f>VLOOKUP($C187,'ТР нефть'!$A$29:$GC$641,141,0)</f>
        <v>0</v>
      </c>
      <c r="O187" s="398">
        <f>VLOOKUP($C187,'ТР нефть'!$A$29:$GC$641,142,0)</f>
        <v>10.172447999999999</v>
      </c>
      <c r="P187" s="399">
        <f>VLOOKUP($C187,'ТР нефть'!$A$29:$GC$641,143,0)</f>
        <v>15.6</v>
      </c>
      <c r="Q187" s="400">
        <f>VLOOKUP($C187,'ТР нефть'!$A$29:$GC$641,144,0)</f>
        <v>22</v>
      </c>
      <c r="R187" s="397">
        <f>VLOOKUP($C187,'ТР нефть'!$A$29:$GC$641,145,0)</f>
        <v>34</v>
      </c>
      <c r="S187" s="397">
        <f>VLOOKUP($C187,'ТР нефть'!$A$29:$GC$641,146,0)</f>
        <v>3342.3616419567838</v>
      </c>
      <c r="T187" s="397">
        <f>VLOOKUP($C187,'ТР нефть'!$A$29:$GC$641,149,0)</f>
        <v>43</v>
      </c>
      <c r="U187" s="403">
        <f>VLOOKUP($C187,'ТР нефть'!$A$29:$GC$641,150,0)</f>
        <v>0.39</v>
      </c>
      <c r="V187" s="402" t="str">
        <f>VLOOKUP($C187,'ТР нефть'!$A$29:$GC$641,47,0)</f>
        <v>Фон.</v>
      </c>
      <c r="W187" s="396">
        <f>VLOOKUP($C187,'ТР нефть'!$A$29:$GC$641,74,0)</f>
        <v>65</v>
      </c>
      <c r="X187" s="397">
        <f>VLOOKUP($C187,'ТР нефть'!$A$29:$GC$641,79,0)</f>
        <v>24</v>
      </c>
      <c r="Y187" s="397">
        <f>VLOOKUP($C187,'ТР нефть'!$A$29:$GC$641,80,0)</f>
        <v>27</v>
      </c>
      <c r="Z187" s="397">
        <f>VLOOKUP($C187,'ТР нефть'!$A$29:$GC$641,81,0)</f>
        <v>23</v>
      </c>
      <c r="AA187" s="397" t="str">
        <f>VLOOKUP($C187,'ТР нефть'!$A$29:$GC$641,76,0)</f>
        <v>Постоянный</v>
      </c>
      <c r="AB187" s="397">
        <f>VLOOKUP($C187,'ТР нефть'!$A$29:$GC$641,77,0)</f>
        <v>24</v>
      </c>
      <c r="AC187" s="397">
        <f>VLOOKUP($C187,'ТР нефть'!$A$29:$GC$641,78,0)</f>
        <v>0</v>
      </c>
      <c r="AD187" s="398">
        <f>VLOOKUP($C187,'ТР нефть'!$A$29:$GC$641,93,0)</f>
        <v>7.6033364000000008</v>
      </c>
      <c r="AE187" s="399">
        <f>VLOOKUP($C187,'ТР нефть'!$A$29:$GC$641,94,0)</f>
        <v>10.3</v>
      </c>
      <c r="AF187" s="400">
        <f>VLOOKUP($C187,'ТР нефть'!$A$29:$GC$641,95,0)</f>
        <v>11.7</v>
      </c>
      <c r="AG187" s="397">
        <f>VLOOKUP($C187,'ТР нефть'!$A$29:$GC$641,99,0)</f>
        <v>32</v>
      </c>
      <c r="AH187" s="397">
        <f>VLOOKUP($C187,'ТР нефть'!$A$29:$GC$641,100,0)</f>
        <v>4208.6787058376103</v>
      </c>
      <c r="AI187" s="397">
        <f>VLOOKUP($C187,'ТР нефть'!$A$29:$GC$641,92,0)</f>
        <v>43</v>
      </c>
      <c r="AJ187" s="403">
        <f>VLOOKUP($C187,'ТР нефть'!$A$29:$GC$641,102,0)</f>
        <v>0.25750000000000001</v>
      </c>
      <c r="AK187" s="404">
        <f t="shared" si="19"/>
        <v>0</v>
      </c>
      <c r="AL187" s="397">
        <f t="shared" si="19"/>
        <v>3</v>
      </c>
      <c r="AM187" s="397">
        <f t="shared" si="19"/>
        <v>-8</v>
      </c>
      <c r="AN187" s="397">
        <f t="shared" si="19"/>
        <v>3</v>
      </c>
      <c r="AO187" s="397">
        <f t="shared" si="20"/>
        <v>0</v>
      </c>
      <c r="AP187" s="397">
        <f t="shared" si="20"/>
        <v>0</v>
      </c>
      <c r="AQ187" s="398">
        <f t="shared" si="20"/>
        <v>-2.5691115999999985</v>
      </c>
      <c r="AR187" s="399">
        <f t="shared" si="20"/>
        <v>-5.2999999999999989</v>
      </c>
      <c r="AS187" s="400">
        <f t="shared" si="20"/>
        <v>-10.3</v>
      </c>
      <c r="AT187" s="397">
        <f t="shared" si="20"/>
        <v>-2</v>
      </c>
      <c r="AU187" s="397">
        <f t="shared" si="20"/>
        <v>866.31706388082648</v>
      </c>
      <c r="AV187" s="397">
        <f t="shared" si="20"/>
        <v>0</v>
      </c>
      <c r="AW187" s="525">
        <f t="shared" si="20"/>
        <v>-0.13250000000000001</v>
      </c>
      <c r="AX187" s="404" t="str">
        <f>VLOOKUP($C187,'ТР нефть'!$A$29:$GC$641,182,0)</f>
        <v>Технология</v>
      </c>
      <c r="AY187" s="406" t="str">
        <f>VLOOKUP($C187,'ТР нефть'!$A$29:$GC$641,183,0)</f>
        <v>Снижение дебита на фоне роста Рлин</v>
      </c>
      <c r="AZ187" s="463">
        <f t="shared" si="23"/>
        <v>10.172447999999999</v>
      </c>
      <c r="BA187" s="408">
        <f t="shared" si="21"/>
        <v>15.6</v>
      </c>
      <c r="BB187" s="669">
        <f t="shared" si="21"/>
        <v>22</v>
      </c>
      <c r="BC187" s="409" t="s">
        <v>192</v>
      </c>
      <c r="BD187" s="406" t="s">
        <v>192</v>
      </c>
      <c r="BF187" s="1143"/>
    </row>
    <row r="188" spans="1:58" ht="41.25" customHeight="1" x14ac:dyDescent="0.25">
      <c r="A188" s="373"/>
      <c r="B188" s="392">
        <f t="shared" si="22"/>
        <v>4</v>
      </c>
      <c r="C188" s="668">
        <v>1081</v>
      </c>
      <c r="D188" s="394" t="str">
        <f>VLOOKUP($C188,'ТР нефть'!$A$29:$GC$641,5,0)</f>
        <v>ВУ ОНГКМ</v>
      </c>
      <c r="E188" s="394" t="str">
        <f>VLOOKUP($C188,'ТР нефть'!$A$29:$GC$641,8,0)</f>
        <v>ТЛ-2</v>
      </c>
      <c r="F188" s="395" t="str">
        <f>VLOOKUP($C188,'ТР нефть'!$A$29:$GC$641,11,0)</f>
        <v>Куст скважины-1081</v>
      </c>
      <c r="G188" s="392" t="str">
        <f>VLOOKUP($C188,'ТР нефть'!$A$29:$GC$641,47,0)</f>
        <v>Фон.</v>
      </c>
      <c r="H188" s="396">
        <f>VLOOKUP($C188,'ТР нефть'!$A$29:$GC$641,135,0)</f>
        <v>65</v>
      </c>
      <c r="I188" s="397">
        <f>VLOOKUP($C188,'ТР нефть'!$A$29:$GC$641,136,0)</f>
        <v>24</v>
      </c>
      <c r="J188" s="397">
        <f>VLOOKUP($C188,'ТР нефть'!$A$29:$GC$641,137,0)</f>
        <v>32</v>
      </c>
      <c r="K188" s="397">
        <f>VLOOKUP($C188,'ТР нефть'!$A$29:$GC$641,138,0)</f>
        <v>23</v>
      </c>
      <c r="L188" s="397" t="str">
        <f>VLOOKUP($C188,'ТР нефть'!$A$29:$GC$641,139,0)</f>
        <v>Постоянный</v>
      </c>
      <c r="M188" s="397">
        <f>VLOOKUP($C188,'ТР нефть'!$A$29:$GC$641,140,0)</f>
        <v>24</v>
      </c>
      <c r="N188" s="397">
        <f>VLOOKUP($C188,'ТР нефть'!$A$29:$GC$641,141,0)</f>
        <v>0</v>
      </c>
      <c r="O188" s="398">
        <f>VLOOKUP($C188,'ТР нефть'!$A$29:$GC$641,142,0)</f>
        <v>7.1059999999999999</v>
      </c>
      <c r="P188" s="399">
        <f>VLOOKUP($C188,'ТР нефть'!$A$29:$GC$641,143,0)</f>
        <v>8.5</v>
      </c>
      <c r="Q188" s="400">
        <f>VLOOKUP($C188,'ТР нефть'!$A$29:$GC$641,144,0)</f>
        <v>0</v>
      </c>
      <c r="R188" s="397">
        <f>VLOOKUP($C188,'ТР нефть'!$A$29:$GC$641,145,0)</f>
        <v>15.135</v>
      </c>
      <c r="S188" s="397">
        <f>VLOOKUP($C188,'ТР нефть'!$A$29:$GC$641,146,0)</f>
        <v>2129.8902336054039</v>
      </c>
      <c r="T188" s="397">
        <f>VLOOKUP($C188,'ТР нефть'!$A$29:$GC$641,149,0)</f>
        <v>48</v>
      </c>
      <c r="U188" s="403">
        <f>VLOOKUP($C188,'ТР нефть'!$A$29:$GC$641,150,0)</f>
        <v>0.22972972972972974</v>
      </c>
      <c r="V188" s="402" t="str">
        <f>VLOOKUP($C188,'ТР нефть'!$A$29:$GC$641,47,0)</f>
        <v>Фон.</v>
      </c>
      <c r="W188" s="396">
        <f>VLOOKUP($C188,'ТР нефть'!$A$29:$GC$641,74,0)</f>
        <v>65</v>
      </c>
      <c r="X188" s="397">
        <f>VLOOKUP($C188,'ТР нефть'!$A$29:$GC$641,79,0)</f>
        <v>25</v>
      </c>
      <c r="Y188" s="397">
        <f>VLOOKUP($C188,'ТР нефть'!$A$29:$GC$641,80,0)</f>
        <v>34</v>
      </c>
      <c r="Z188" s="397">
        <f>VLOOKUP($C188,'ТР нефть'!$A$29:$GC$641,81,0)</f>
        <v>24</v>
      </c>
      <c r="AA188" s="397" t="str">
        <f>VLOOKUP($C188,'ТР нефть'!$A$29:$GC$641,76,0)</f>
        <v>Постоянный</v>
      </c>
      <c r="AB188" s="397">
        <f>VLOOKUP($C188,'ТР нефть'!$A$29:$GC$641,77,0)</f>
        <v>24</v>
      </c>
      <c r="AC188" s="397">
        <f>VLOOKUP($C188,'ТР нефть'!$A$29:$GC$641,78,0)</f>
        <v>0</v>
      </c>
      <c r="AD188" s="398">
        <f>VLOOKUP($C188,'ТР нефть'!$A$29:$GC$641,93,0)</f>
        <v>6.1696799999999996</v>
      </c>
      <c r="AE188" s="399">
        <f>VLOOKUP($C188,'ТР нефть'!$A$29:$GC$641,94,0)</f>
        <v>7.5</v>
      </c>
      <c r="AF188" s="400">
        <f>VLOOKUP($C188,'ТР нефть'!$A$29:$GC$641,95,0)</f>
        <v>1.6</v>
      </c>
      <c r="AG188" s="397">
        <f>VLOOKUP($C188,'ТР нефть'!$A$29:$GC$641,99,0)</f>
        <v>11</v>
      </c>
      <c r="AH188" s="397">
        <f>VLOOKUP($C188,'ТР нефть'!$A$29:$GC$641,100,0)</f>
        <v>1782.912565967765</v>
      </c>
      <c r="AI188" s="397">
        <f>VLOOKUP($C188,'ТР нефть'!$A$29:$GC$641,92,0)</f>
        <v>52</v>
      </c>
      <c r="AJ188" s="403">
        <f>VLOOKUP($C188,'ТР нефть'!$A$29:$GC$641,102,0)</f>
        <v>0.25862068965517243</v>
      </c>
      <c r="AK188" s="404">
        <f t="shared" si="19"/>
        <v>0</v>
      </c>
      <c r="AL188" s="397">
        <f t="shared" si="19"/>
        <v>1</v>
      </c>
      <c r="AM188" s="397">
        <f t="shared" si="19"/>
        <v>2</v>
      </c>
      <c r="AN188" s="397">
        <f t="shared" si="19"/>
        <v>1</v>
      </c>
      <c r="AO188" s="397">
        <f t="shared" si="20"/>
        <v>0</v>
      </c>
      <c r="AP188" s="397">
        <f t="shared" si="20"/>
        <v>0</v>
      </c>
      <c r="AQ188" s="398">
        <f t="shared" si="20"/>
        <v>-0.93632000000000026</v>
      </c>
      <c r="AR188" s="399">
        <f t="shared" si="20"/>
        <v>-1</v>
      </c>
      <c r="AS188" s="400">
        <f t="shared" si="20"/>
        <v>1.6</v>
      </c>
      <c r="AT188" s="397">
        <f t="shared" si="20"/>
        <v>-4.1349999999999998</v>
      </c>
      <c r="AU188" s="397">
        <f t="shared" si="20"/>
        <v>-346.97766763763889</v>
      </c>
      <c r="AV188" s="397">
        <f t="shared" si="20"/>
        <v>4</v>
      </c>
      <c r="AW188" s="525">
        <f t="shared" si="20"/>
        <v>2.8890959925442689E-2</v>
      </c>
      <c r="AX188" s="404" t="str">
        <f>VLOOKUP($C188,'ТР нефть'!$A$29:$GC$641,182,0)</f>
        <v>Технология</v>
      </c>
      <c r="AY188" s="406" t="str">
        <f>VLOOKUP($C188,'ТР нефть'!$A$29:$GC$641,183,0)</f>
        <v>Снижение дебита на фоне роста Рлин</v>
      </c>
      <c r="AZ188" s="463">
        <f t="shared" si="23"/>
        <v>7.1059999999999999</v>
      </c>
      <c r="BA188" s="408">
        <f t="shared" si="21"/>
        <v>8.5</v>
      </c>
      <c r="BB188" s="669">
        <f t="shared" si="21"/>
        <v>0</v>
      </c>
      <c r="BC188" s="409" t="s">
        <v>192</v>
      </c>
      <c r="BD188" s="406" t="s">
        <v>192</v>
      </c>
      <c r="BF188" s="1143"/>
    </row>
    <row r="189" spans="1:58" ht="41.25" customHeight="1" x14ac:dyDescent="0.25">
      <c r="A189" s="373"/>
      <c r="B189" s="392">
        <f>B188+1</f>
        <v>5</v>
      </c>
      <c r="C189" s="668" t="s">
        <v>1193</v>
      </c>
      <c r="D189" s="394" t="str">
        <f>VLOOKUP($C189,'ТР нефть'!$A$29:$GC$641,5,0)</f>
        <v>ВУ ОНГКМ</v>
      </c>
      <c r="E189" s="394" t="str">
        <f>VLOOKUP($C189,'ТР нефть'!$A$29:$GC$641,8,0)</f>
        <v>ТЛ-4</v>
      </c>
      <c r="F189" s="395" t="str">
        <f>VLOOKUP($C189,'ТР нефть'!$A$29:$GC$641,11,0)</f>
        <v>К-7</v>
      </c>
      <c r="G189" s="392" t="str">
        <f>VLOOKUP($C189,'ТР нефть'!$A$29:$GC$641,47,0)</f>
        <v>Газлифт</v>
      </c>
      <c r="H189" s="396">
        <f>VLOOKUP($C189,'ТР нефть'!$A$29:$GC$641,135,0)</f>
        <v>18</v>
      </c>
      <c r="I189" s="397">
        <f>VLOOKUP($C189,'ТР нефть'!$A$29:$GC$641,136,0)</f>
        <v>22</v>
      </c>
      <c r="J189" s="397">
        <f>VLOOKUP($C189,'ТР нефть'!$A$29:$GC$641,137,0)</f>
        <v>40</v>
      </c>
      <c r="K189" s="397">
        <f>VLOOKUP($C189,'ТР нефть'!$A$29:$GC$641,138,0)</f>
        <v>21</v>
      </c>
      <c r="L189" s="397" t="str">
        <f>VLOOKUP($C189,'ТР нефть'!$A$29:$GC$641,139,0)</f>
        <v>Постоянный</v>
      </c>
      <c r="M189" s="397">
        <f>VLOOKUP($C189,'ТР нефть'!$A$29:$GC$641,140,0)</f>
        <v>24</v>
      </c>
      <c r="N189" s="397">
        <f>VLOOKUP($C189,'ТР нефть'!$A$29:$GC$641,141,0)</f>
        <v>0</v>
      </c>
      <c r="O189" s="398">
        <f>VLOOKUP($C189,'ТР нефть'!$A$29:$GC$641,142,0)</f>
        <v>9.7541687760000002</v>
      </c>
      <c r="P189" s="399">
        <f>VLOOKUP($C189,'ТР нефть'!$A$29:$GC$641,143,0)</f>
        <v>11.67</v>
      </c>
      <c r="Q189" s="400">
        <f>VLOOKUP($C189,'ТР нефть'!$A$29:$GC$641,144,0)</f>
        <v>0.02</v>
      </c>
      <c r="R189" s="397">
        <f>VLOOKUP($C189,'ТР нефть'!$A$29:$GC$641,145,0)</f>
        <v>14.5</v>
      </c>
      <c r="S189" s="397">
        <f>VLOOKUP($C189,'ТР нефть'!$A$29:$GC$641,146,0)</f>
        <v>502.34931469059501</v>
      </c>
      <c r="T189" s="397">
        <f>VLOOKUP($C189,'ТР нефть'!$A$29:$GC$641,149,0)</f>
        <v>45</v>
      </c>
      <c r="U189" s="403">
        <f>VLOOKUP($C189,'ТР нефть'!$A$29:$GC$641,150,0)</f>
        <v>0.16436619718309858</v>
      </c>
      <c r="V189" s="402" t="str">
        <f>VLOOKUP($C189,'ТР нефть'!$A$29:$GC$641,47,0)</f>
        <v>Газлифт</v>
      </c>
      <c r="W189" s="396">
        <f>VLOOKUP($C189,'ТР нефть'!$A$29:$GC$641,74,0)</f>
        <v>18</v>
      </c>
      <c r="X189" s="397">
        <f>VLOOKUP($C189,'ТР нефть'!$A$29:$GC$641,79,0)</f>
        <v>23</v>
      </c>
      <c r="Y189" s="397">
        <f>VLOOKUP($C189,'ТР нефть'!$A$29:$GC$641,80,0)</f>
        <v>37</v>
      </c>
      <c r="Z189" s="397">
        <f>VLOOKUP($C189,'ТР нефть'!$A$29:$GC$641,81,0)</f>
        <v>22</v>
      </c>
      <c r="AA189" s="397" t="str">
        <f>VLOOKUP($C189,'ТР нефть'!$A$29:$GC$641,76,0)</f>
        <v>Постоянный</v>
      </c>
      <c r="AB189" s="397">
        <f>VLOOKUP($C189,'ТР нефть'!$A$29:$GC$641,77,0)</f>
        <v>24</v>
      </c>
      <c r="AC189" s="397">
        <f>VLOOKUP($C189,'ТР нефть'!$A$29:$GC$641,78,0)</f>
        <v>0</v>
      </c>
      <c r="AD189" s="398">
        <f>VLOOKUP($C189,'ТР нефть'!$A$29:$GC$641,93,0)</f>
        <v>8.3583280000000002</v>
      </c>
      <c r="AE189" s="399">
        <f>VLOOKUP($C189,'ТР нефть'!$A$29:$GC$641,94,0)</f>
        <v>10</v>
      </c>
      <c r="AF189" s="400">
        <f>VLOOKUP($C189,'ТР нефть'!$A$29:$GC$641,95,0)</f>
        <v>0.02</v>
      </c>
      <c r="AG189" s="397">
        <f>VLOOKUP($C189,'ТР нефть'!$A$29:$GC$641,99,0)</f>
        <v>3.0999999999999996</v>
      </c>
      <c r="AH189" s="397">
        <f>VLOOKUP($C189,'ТР нефть'!$A$29:$GC$641,100,0)</f>
        <v>370.88757464411538</v>
      </c>
      <c r="AI189" s="397">
        <f>VLOOKUP($C189,'ТР нефть'!$A$29:$GC$641,92,0)</f>
        <v>45</v>
      </c>
      <c r="AJ189" s="403">
        <f>VLOOKUP($C189,'ТР нефть'!$A$29:$GC$641,102,0)</f>
        <v>0.14084507042253522</v>
      </c>
      <c r="AK189" s="404">
        <f t="shared" si="19"/>
        <v>0</v>
      </c>
      <c r="AL189" s="397">
        <f t="shared" si="19"/>
        <v>1</v>
      </c>
      <c r="AM189" s="397">
        <f t="shared" si="19"/>
        <v>-3</v>
      </c>
      <c r="AN189" s="397">
        <f t="shared" si="19"/>
        <v>1</v>
      </c>
      <c r="AO189" s="397">
        <f t="shared" si="20"/>
        <v>0</v>
      </c>
      <c r="AP189" s="397">
        <f t="shared" si="20"/>
        <v>0</v>
      </c>
      <c r="AQ189" s="398">
        <f t="shared" si="20"/>
        <v>-1.395840776</v>
      </c>
      <c r="AR189" s="399">
        <f t="shared" si="20"/>
        <v>-1.67</v>
      </c>
      <c r="AS189" s="400">
        <f t="shared" si="20"/>
        <v>0</v>
      </c>
      <c r="AT189" s="397">
        <f t="shared" si="20"/>
        <v>-11.4</v>
      </c>
      <c r="AU189" s="397">
        <f t="shared" si="20"/>
        <v>-131.46174004647963</v>
      </c>
      <c r="AV189" s="397">
        <f t="shared" si="20"/>
        <v>0</v>
      </c>
      <c r="AW189" s="525">
        <f t="shared" si="20"/>
        <v>-2.3521126760563366E-2</v>
      </c>
      <c r="AX189" s="404" t="str">
        <f>VLOOKUP($C189,'ТР нефть'!$A$29:$GC$641,182,0)</f>
        <v>Технология</v>
      </c>
      <c r="AY189" s="406" t="str">
        <f>VLOOKUP($C189,'ТР нефть'!$A$29:$GC$641,183,0)</f>
        <v>Снижение дебита на фоне роста Рлин</v>
      </c>
      <c r="AZ189" s="463">
        <f t="shared" si="23"/>
        <v>9.7541687760000002</v>
      </c>
      <c r="BA189" s="408">
        <f t="shared" si="21"/>
        <v>11.67</v>
      </c>
      <c r="BB189" s="669">
        <f t="shared" si="21"/>
        <v>0.02</v>
      </c>
      <c r="BC189" s="409" t="s">
        <v>192</v>
      </c>
      <c r="BD189" s="406" t="s">
        <v>192</v>
      </c>
      <c r="BF189" s="1143"/>
    </row>
    <row r="190" spans="1:58" ht="41.25" customHeight="1" x14ac:dyDescent="0.25">
      <c r="A190" s="373"/>
      <c r="B190" s="392">
        <f t="shared" si="22"/>
        <v>6</v>
      </c>
      <c r="C190" s="668">
        <v>1250</v>
      </c>
      <c r="D190" s="394" t="str">
        <f>VLOOKUP($C190,'ТР нефть'!$A$29:$GC$641,5,0)</f>
        <v>ВУ ОНГКМ</v>
      </c>
      <c r="E190" s="394" t="str">
        <f>VLOOKUP($C190,'ТР нефть'!$A$29:$GC$641,8,0)</f>
        <v>ТЛ-2</v>
      </c>
      <c r="F190" s="395" t="str">
        <f>VLOOKUP($C190,'ТР нефть'!$A$29:$GC$641,11,0)</f>
        <v>К-61</v>
      </c>
      <c r="G190" s="392" t="str">
        <f>VLOOKUP($C190,'ТР нефть'!$A$29:$GC$641,47,0)</f>
        <v>Газлифт</v>
      </c>
      <c r="H190" s="396">
        <f>VLOOKUP($C190,'ТР нефть'!$A$29:$GC$641,135,0)</f>
        <v>18</v>
      </c>
      <c r="I190" s="397">
        <f>VLOOKUP($C190,'ТР нефть'!$A$29:$GC$641,136,0)</f>
        <v>22</v>
      </c>
      <c r="J190" s="397">
        <f>VLOOKUP($C190,'ТР нефть'!$A$29:$GC$641,137,0)</f>
        <v>36</v>
      </c>
      <c r="K190" s="397">
        <f>VLOOKUP($C190,'ТР нефть'!$A$29:$GC$641,138,0)</f>
        <v>20</v>
      </c>
      <c r="L190" s="397" t="str">
        <f>VLOOKUP($C190,'ТР нефть'!$A$29:$GC$641,139,0)</f>
        <v>Постоянный</v>
      </c>
      <c r="M190" s="397">
        <f>VLOOKUP($C190,'ТР нефть'!$A$29:$GC$641,140,0)</f>
        <v>24</v>
      </c>
      <c r="N190" s="397">
        <f>VLOOKUP($C190,'ТР нефть'!$A$29:$GC$641,141,0)</f>
        <v>0</v>
      </c>
      <c r="O190" s="398">
        <f>VLOOKUP($C190,'ТР нефть'!$A$29:$GC$641,142,0)</f>
        <v>9.5304000000000002</v>
      </c>
      <c r="P190" s="399">
        <f>VLOOKUP($C190,'ТР нефть'!$A$29:$GC$641,143,0)</f>
        <v>11.4</v>
      </c>
      <c r="Q190" s="400">
        <f>VLOOKUP($C190,'ТР нефть'!$A$29:$GC$641,144,0)</f>
        <v>0</v>
      </c>
      <c r="R190" s="397">
        <f>VLOOKUP($C190,'ТР нефть'!$A$29:$GC$641,145,0)</f>
        <v>15.5</v>
      </c>
      <c r="S190" s="397">
        <f>VLOOKUP($C190,'ТР нефть'!$A$29:$GC$641,146,0)</f>
        <v>703.01351464786353</v>
      </c>
      <c r="T190" s="397">
        <f>VLOOKUP($C190,'ТР нефть'!$A$29:$GC$641,149,0)</f>
        <v>42</v>
      </c>
      <c r="U190" s="403">
        <f>VLOOKUP($C190,'ТР нефть'!$A$29:$GC$641,150,0)</f>
        <v>0.4956521739130435</v>
      </c>
      <c r="V190" s="402" t="str">
        <f>VLOOKUP($C190,'ТР нефть'!$A$29:$GC$641,47,0)</f>
        <v>Газлифт</v>
      </c>
      <c r="W190" s="396">
        <f>VLOOKUP($C190,'ТР нефть'!$A$29:$GC$641,74,0)</f>
        <v>18</v>
      </c>
      <c r="X190" s="397">
        <f>VLOOKUP($C190,'ТР нефть'!$A$29:$GC$641,79,0)</f>
        <v>21</v>
      </c>
      <c r="Y190" s="397">
        <f>VLOOKUP($C190,'ТР нефть'!$A$29:$GC$641,80,0)</f>
        <v>35</v>
      </c>
      <c r="Z190" s="397">
        <f>VLOOKUP($C190,'ТР нефть'!$A$29:$GC$641,81,0)</f>
        <v>20</v>
      </c>
      <c r="AA190" s="397" t="str">
        <f>VLOOKUP($C190,'ТР нефть'!$A$29:$GC$641,76,0)</f>
        <v>Постоянный</v>
      </c>
      <c r="AB190" s="397">
        <f>VLOOKUP($C190,'ТР нефть'!$A$29:$GC$641,77,0)</f>
        <v>24</v>
      </c>
      <c r="AC190" s="397">
        <f>VLOOKUP($C190,'ТР нефть'!$A$29:$GC$641,78,0)</f>
        <v>0</v>
      </c>
      <c r="AD190" s="398">
        <f>VLOOKUP($C190,'ТР нефть'!$A$29:$GC$641,93,0)</f>
        <v>7.0224000000000002</v>
      </c>
      <c r="AE190" s="399">
        <f>VLOOKUP($C190,'ТР нефть'!$A$29:$GC$641,94,0)</f>
        <v>8.4</v>
      </c>
      <c r="AF190" s="400">
        <f>VLOOKUP($C190,'ТР нефть'!$A$29:$GC$641,95,0)</f>
        <v>0</v>
      </c>
      <c r="AG190" s="397">
        <f>VLOOKUP($C190,'ТР нефть'!$A$29:$GC$641,99,0)</f>
        <v>4.2</v>
      </c>
      <c r="AH190" s="397">
        <f>VLOOKUP($C190,'ТР нефть'!$A$29:$GC$641,100,0)</f>
        <v>598.08612440191382</v>
      </c>
      <c r="AI190" s="397">
        <f>VLOOKUP($C190,'ТР нефть'!$A$29:$GC$641,92,0)</f>
        <v>42</v>
      </c>
      <c r="AJ190" s="403">
        <f>VLOOKUP($C190,'ТР нефть'!$A$29:$GC$641,102,0)</f>
        <v>0.36521739130434783</v>
      </c>
      <c r="AK190" s="404">
        <f t="shared" si="19"/>
        <v>0</v>
      </c>
      <c r="AL190" s="397">
        <f t="shared" si="19"/>
        <v>-1</v>
      </c>
      <c r="AM190" s="397">
        <f t="shared" si="19"/>
        <v>-1</v>
      </c>
      <c r="AN190" s="397">
        <f t="shared" si="19"/>
        <v>0</v>
      </c>
      <c r="AO190" s="397">
        <f t="shared" si="20"/>
        <v>0</v>
      </c>
      <c r="AP190" s="397">
        <f t="shared" si="20"/>
        <v>0</v>
      </c>
      <c r="AQ190" s="398">
        <f t="shared" si="20"/>
        <v>-2.508</v>
      </c>
      <c r="AR190" s="399">
        <f t="shared" si="20"/>
        <v>-3</v>
      </c>
      <c r="AS190" s="400">
        <f t="shared" si="20"/>
        <v>0</v>
      </c>
      <c r="AT190" s="397">
        <f t="shared" si="20"/>
        <v>-11.3</v>
      </c>
      <c r="AU190" s="397">
        <f t="shared" si="20"/>
        <v>-104.92739024594971</v>
      </c>
      <c r="AV190" s="397">
        <f t="shared" si="20"/>
        <v>0</v>
      </c>
      <c r="AW190" s="525">
        <f t="shared" si="20"/>
        <v>-0.13043478260869568</v>
      </c>
      <c r="AX190" s="404" t="str">
        <f>VLOOKUP($C190,'ТР нефть'!$A$29:$GC$641,182,0)</f>
        <v>Технология</v>
      </c>
      <c r="AY190" s="406" t="str">
        <f>VLOOKUP($C190,'ТР нефть'!$A$29:$GC$641,183,0)</f>
        <v>Снижение дебита обусловлено снижением расхода г/г( тренд на рост  Рзаб)</v>
      </c>
      <c r="AZ190" s="463">
        <f t="shared" si="23"/>
        <v>9.5304000000000002</v>
      </c>
      <c r="BA190" s="408">
        <f t="shared" si="21"/>
        <v>11.4</v>
      </c>
      <c r="BB190" s="669">
        <f t="shared" si="21"/>
        <v>0</v>
      </c>
      <c r="BC190" s="409">
        <v>45101</v>
      </c>
      <c r="BD190" s="406" t="s">
        <v>2224</v>
      </c>
      <c r="BF190" s="1143"/>
    </row>
    <row r="191" spans="1:58" ht="41.25" customHeight="1" x14ac:dyDescent="0.25">
      <c r="A191" s="373"/>
      <c r="B191" s="392">
        <f t="shared" si="22"/>
        <v>7</v>
      </c>
      <c r="C191" s="423">
        <v>1262</v>
      </c>
      <c r="D191" s="394" t="str">
        <f>VLOOKUP($C191,'ТР нефть'!$A$29:$GC$641,5,0)</f>
        <v>ВУ ОНГКМ</v>
      </c>
      <c r="E191" s="394" t="str">
        <f>VLOOKUP($C191,'ТР нефть'!$A$29:$GC$641,8,0)</f>
        <v>ТЛ-3</v>
      </c>
      <c r="F191" s="395" t="str">
        <f>VLOOKUP($C191,'ТР нефть'!$A$29:$GC$641,11,0)</f>
        <v>К-60</v>
      </c>
      <c r="G191" s="392" t="str">
        <f>VLOOKUP($C191,'ТР нефть'!$A$29:$GC$641,47,0)</f>
        <v>Газлифт</v>
      </c>
      <c r="H191" s="396">
        <f>VLOOKUP($C191,'ТР нефть'!$A$29:$GC$641,135,0)</f>
        <v>18</v>
      </c>
      <c r="I191" s="397">
        <f>VLOOKUP($C191,'ТР нефть'!$A$29:$GC$641,136,0)</f>
        <v>28</v>
      </c>
      <c r="J191" s="397">
        <f>VLOOKUP($C191,'ТР нефть'!$A$29:$GC$641,137,0)</f>
        <v>68</v>
      </c>
      <c r="K191" s="397">
        <f>VLOOKUP($C191,'ТР нефть'!$A$29:$GC$641,138,0)</f>
        <v>27</v>
      </c>
      <c r="L191" s="397" t="str">
        <f>VLOOKUP($C191,'ТР нефть'!$A$29:$GC$641,139,0)</f>
        <v>Постоянный</v>
      </c>
      <c r="M191" s="397">
        <f>VLOOKUP($C191,'ТР нефть'!$A$29:$GC$641,140,0)</f>
        <v>24</v>
      </c>
      <c r="N191" s="397">
        <f>VLOOKUP($C191,'ТР нефть'!$A$29:$GC$641,141,0)</f>
        <v>0</v>
      </c>
      <c r="O191" s="398">
        <f>VLOOKUP($C191,'ТР нефть'!$A$29:$GC$641,142,0)</f>
        <v>8.9451999999999998</v>
      </c>
      <c r="P191" s="399">
        <f>VLOOKUP($C191,'ТР нефть'!$A$29:$GC$641,143,0)</f>
        <v>10.7</v>
      </c>
      <c r="Q191" s="400">
        <f>VLOOKUP($C191,'ТР нефть'!$A$29:$GC$641,144,0)</f>
        <v>0</v>
      </c>
      <c r="R191" s="397">
        <f>VLOOKUP($C191,'ТР нефть'!$A$29:$GC$641,145,0)</f>
        <v>20.100000000000001</v>
      </c>
      <c r="S191" s="397">
        <f>VLOOKUP($C191,'ТР нефть'!$A$29:$GC$641,146,0)</f>
        <v>1643.3394446183431</v>
      </c>
      <c r="T191" s="397">
        <f>VLOOKUP($C191,'ТР нефть'!$A$29:$GC$641,149,0)</f>
        <v>51</v>
      </c>
      <c r="U191" s="403">
        <f>VLOOKUP($C191,'ТР нефть'!$A$29:$GC$641,150,0)</f>
        <v>0.28918918918918918</v>
      </c>
      <c r="V191" s="402" t="str">
        <f>VLOOKUP($C191,'ТР нефть'!$A$29:$GC$641,47,0)</f>
        <v>Газлифт</v>
      </c>
      <c r="W191" s="396">
        <f>VLOOKUP($C191,'ТР нефть'!$A$29:$GC$641,74,0)</f>
        <v>18</v>
      </c>
      <c r="X191" s="397">
        <f>VLOOKUP($C191,'ТР нефть'!$A$29:$GC$641,79,0)</f>
        <v>22</v>
      </c>
      <c r="Y191" s="397">
        <f>VLOOKUP($C191,'ТР нефть'!$A$29:$GC$641,80,0)</f>
        <v>32</v>
      </c>
      <c r="Z191" s="397">
        <f>VLOOKUP($C191,'ТР нефть'!$A$29:$GC$641,81,0)</f>
        <v>21</v>
      </c>
      <c r="AA191" s="397" t="str">
        <f>VLOOKUP($C191,'ТР нефть'!$A$29:$GC$641,76,0)</f>
        <v>Постоянный</v>
      </c>
      <c r="AB191" s="397">
        <f>VLOOKUP($C191,'ТР нефть'!$A$29:$GC$641,77,0)</f>
        <v>24</v>
      </c>
      <c r="AC191" s="397">
        <f>VLOOKUP($C191,'ТР нефть'!$A$29:$GC$641,78,0)</f>
        <v>0</v>
      </c>
      <c r="AD191" s="398">
        <f>VLOOKUP($C191,'ТР нефть'!$A$29:$GC$641,93,0)</f>
        <v>8.1091999999999995</v>
      </c>
      <c r="AE191" s="399">
        <f>VLOOKUP($C191,'ТР нефть'!$A$29:$GC$641,94,0)</f>
        <v>9.6999999999999993</v>
      </c>
      <c r="AF191" s="400">
        <f>VLOOKUP($C191,'ТР нефть'!$A$29:$GC$641,95,0)</f>
        <v>0</v>
      </c>
      <c r="AG191" s="397">
        <f>VLOOKUP($C191,'ТР нефть'!$A$29:$GC$641,99,0)</f>
        <v>15.6</v>
      </c>
      <c r="AH191" s="397">
        <f>VLOOKUP($C191,'ТР нефть'!$A$29:$GC$641,100,0)</f>
        <v>1923.740936220589</v>
      </c>
      <c r="AI191" s="397">
        <f>VLOOKUP($C191,'ТР нефть'!$A$29:$GC$641,92,0)</f>
        <v>42</v>
      </c>
      <c r="AJ191" s="403">
        <f>VLOOKUP($C191,'ТР нефть'!$A$29:$GC$641,102,0)</f>
        <v>0.21086956521739128</v>
      </c>
      <c r="AK191" s="404">
        <f t="shared" si="19"/>
        <v>0</v>
      </c>
      <c r="AL191" s="397">
        <f t="shared" si="19"/>
        <v>-6</v>
      </c>
      <c r="AM191" s="397">
        <f t="shared" si="19"/>
        <v>-36</v>
      </c>
      <c r="AN191" s="397">
        <f t="shared" si="19"/>
        <v>-6</v>
      </c>
      <c r="AO191" s="397">
        <f t="shared" si="20"/>
        <v>0</v>
      </c>
      <c r="AP191" s="397">
        <f t="shared" si="20"/>
        <v>0</v>
      </c>
      <c r="AQ191" s="398">
        <f t="shared" si="20"/>
        <v>-0.8360000000000003</v>
      </c>
      <c r="AR191" s="399">
        <f t="shared" si="20"/>
        <v>-1</v>
      </c>
      <c r="AS191" s="400">
        <f t="shared" si="20"/>
        <v>0</v>
      </c>
      <c r="AT191" s="397">
        <f t="shared" si="20"/>
        <v>-4.5000000000000018</v>
      </c>
      <c r="AU191" s="397">
        <f t="shared" si="20"/>
        <v>280.40149160224587</v>
      </c>
      <c r="AV191" s="397">
        <f t="shared" si="20"/>
        <v>-9</v>
      </c>
      <c r="AW191" s="525">
        <f t="shared" si="20"/>
        <v>-7.8319623971797897E-2</v>
      </c>
      <c r="AX191" s="404" t="str">
        <f>VLOOKUP($C191,'ТР нефть'!$A$29:$GC$641,182,0)</f>
        <v>Технология</v>
      </c>
      <c r="AY191" s="406" t="str">
        <f>VLOOKUP($C191,'ТР нефть'!$A$29:$GC$641,183,0)</f>
        <v>Снижение дебита на фоне роста Рлин(предыдущий режим был выведен после проведения ТО-по завышенному замеру)</v>
      </c>
      <c r="AZ191" s="463">
        <f t="shared" si="23"/>
        <v>8.9451999999999998</v>
      </c>
      <c r="BA191" s="408">
        <f t="shared" si="21"/>
        <v>10.7</v>
      </c>
      <c r="BB191" s="669">
        <f t="shared" si="21"/>
        <v>0</v>
      </c>
      <c r="BC191" s="409">
        <v>45101</v>
      </c>
      <c r="BD191" s="406" t="s">
        <v>2225</v>
      </c>
      <c r="BF191" s="1143"/>
    </row>
    <row r="192" spans="1:58" ht="41.25" customHeight="1" x14ac:dyDescent="0.25">
      <c r="A192" s="373"/>
      <c r="B192" s="392">
        <f t="shared" si="22"/>
        <v>8</v>
      </c>
      <c r="C192" s="668">
        <v>1516</v>
      </c>
      <c r="D192" s="394" t="str">
        <f>VLOOKUP($C192,'ТР нефть'!$A$29:$GC$641,5,0)</f>
        <v>ВУ ОНГКМ</v>
      </c>
      <c r="E192" s="394" t="str">
        <f>VLOOKUP($C192,'ТР нефть'!$A$29:$GC$641,8,0)</f>
        <v>ТЛ-4</v>
      </c>
      <c r="F192" s="395" t="str">
        <f>VLOOKUP($C192,'ТР нефть'!$A$29:$GC$641,11,0)</f>
        <v>К-1512</v>
      </c>
      <c r="G192" s="392" t="str">
        <f>VLOOKUP($C192,'ТР нефть'!$A$29:$GC$641,47,0)</f>
        <v>Газлифт</v>
      </c>
      <c r="H192" s="396">
        <f>VLOOKUP($C192,'ТР нефть'!$A$29:$GC$641,135,0)</f>
        <v>18</v>
      </c>
      <c r="I192" s="397">
        <f>VLOOKUP($C192,'ТР нефть'!$A$29:$GC$641,136,0)</f>
        <v>32</v>
      </c>
      <c r="J192" s="397">
        <f>VLOOKUP($C192,'ТР нефть'!$A$29:$GC$641,137,0)</f>
        <v>65</v>
      </c>
      <c r="K192" s="397">
        <f>VLOOKUP($C192,'ТР нефть'!$A$29:$GC$641,138,0)</f>
        <v>31</v>
      </c>
      <c r="L192" s="397" t="str">
        <f>VLOOKUP($C192,'ТР нефть'!$A$29:$GC$641,139,0)</f>
        <v>Постоянный</v>
      </c>
      <c r="M192" s="397">
        <f>VLOOKUP($C192,'ТР нефть'!$A$29:$GC$641,140,0)</f>
        <v>24</v>
      </c>
      <c r="N192" s="397">
        <f>VLOOKUP($C192,'ТР нефть'!$A$29:$GC$641,141,0)</f>
        <v>0</v>
      </c>
      <c r="O192" s="398">
        <f>VLOOKUP($C192,'ТР нефть'!$A$29:$GC$641,142,0)</f>
        <v>9.5872479999999989</v>
      </c>
      <c r="P192" s="399">
        <f>VLOOKUP($C192,'ТР нефть'!$A$29:$GC$641,143,0)</f>
        <v>12.2</v>
      </c>
      <c r="Q192" s="400">
        <f>VLOOKUP($C192,'ТР нефть'!$A$29:$GC$641,144,0)</f>
        <v>6</v>
      </c>
      <c r="R192" s="397">
        <f>VLOOKUP($C192,'ТР нефть'!$A$29:$GC$641,145,0)</f>
        <v>20</v>
      </c>
      <c r="S192" s="397">
        <f>VLOOKUP($C192,'ТР нефть'!$A$29:$GC$641,146,0)</f>
        <v>584.10922508732438</v>
      </c>
      <c r="T192" s="397">
        <f>VLOOKUP($C192,'ТР нефть'!$A$29:$GC$641,149,0)</f>
        <v>64</v>
      </c>
      <c r="U192" s="403">
        <f>VLOOKUP($C192,'ТР нефть'!$A$29:$GC$641,150,0)</f>
        <v>0.15641025641025641</v>
      </c>
      <c r="V192" s="402" t="str">
        <f>VLOOKUP($C192,'ТР нефть'!$A$29:$GC$641,47,0)</f>
        <v>Газлифт</v>
      </c>
      <c r="W192" s="396">
        <f>VLOOKUP($C192,'ТР нефть'!$A$29:$GC$641,74,0)</f>
        <v>18</v>
      </c>
      <c r="X192" s="397">
        <f>VLOOKUP($C192,'ТР нефть'!$A$29:$GC$641,79,0)</f>
        <v>30</v>
      </c>
      <c r="Y192" s="397">
        <f>VLOOKUP($C192,'ТР нефть'!$A$29:$GC$641,80,0)</f>
        <v>66</v>
      </c>
      <c r="Z192" s="397">
        <f>VLOOKUP($C192,'ТР нефть'!$A$29:$GC$641,81,0)</f>
        <v>29</v>
      </c>
      <c r="AA192" s="397" t="str">
        <f>VLOOKUP($C192,'ТР нефть'!$A$29:$GC$641,76,0)</f>
        <v>Постоянный</v>
      </c>
      <c r="AB192" s="397">
        <f>VLOOKUP($C192,'ТР нефть'!$A$29:$GC$641,77,0)</f>
        <v>24</v>
      </c>
      <c r="AC192" s="397">
        <f>VLOOKUP($C192,'ТР нефть'!$A$29:$GC$641,78,0)</f>
        <v>0</v>
      </c>
      <c r="AD192" s="398">
        <f>VLOOKUP($C192,'ТР нефть'!$A$29:$GC$641,93,0)</f>
        <v>7.2832319999999999</v>
      </c>
      <c r="AE192" s="399">
        <f>VLOOKUP($C192,'ТР нефть'!$A$29:$GC$641,94,0)</f>
        <v>8.8000000000000007</v>
      </c>
      <c r="AF192" s="400">
        <f>VLOOKUP($C192,'ТР нефть'!$A$29:$GC$641,95,0)</f>
        <v>1</v>
      </c>
      <c r="AG192" s="397">
        <f>VLOOKUP($C192,'ТР нефть'!$A$29:$GC$641,99,0)</f>
        <v>1.7999999999999998</v>
      </c>
      <c r="AH192" s="397">
        <f>VLOOKUP($C192,'ТР нефть'!$A$29:$GC$641,100,0)</f>
        <v>247.14302661236107</v>
      </c>
      <c r="AI192" s="397">
        <f>VLOOKUP($C192,'ТР нефть'!$A$29:$GC$641,92,0)</f>
        <v>74</v>
      </c>
      <c r="AJ192" s="403">
        <f>VLOOKUP($C192,'ТР нефть'!$A$29:$GC$641,102,0)</f>
        <v>0.12941176470588237</v>
      </c>
      <c r="AK192" s="404">
        <f t="shared" si="19"/>
        <v>0</v>
      </c>
      <c r="AL192" s="397">
        <f t="shared" si="19"/>
        <v>-2</v>
      </c>
      <c r="AM192" s="397">
        <f t="shared" si="19"/>
        <v>1</v>
      </c>
      <c r="AN192" s="397">
        <f t="shared" si="19"/>
        <v>-2</v>
      </c>
      <c r="AO192" s="397">
        <f t="shared" si="20"/>
        <v>0</v>
      </c>
      <c r="AP192" s="397">
        <f t="shared" si="20"/>
        <v>0</v>
      </c>
      <c r="AQ192" s="398">
        <f t="shared" si="20"/>
        <v>-2.304015999999999</v>
      </c>
      <c r="AR192" s="399">
        <f t="shared" si="20"/>
        <v>-3.3999999999999986</v>
      </c>
      <c r="AS192" s="400">
        <f t="shared" si="20"/>
        <v>-5</v>
      </c>
      <c r="AT192" s="397">
        <f t="shared" si="20"/>
        <v>-18.2</v>
      </c>
      <c r="AU192" s="397">
        <f t="shared" si="20"/>
        <v>-336.96619847496333</v>
      </c>
      <c r="AV192" s="397">
        <f t="shared" si="20"/>
        <v>10</v>
      </c>
      <c r="AW192" s="525">
        <f t="shared" si="20"/>
        <v>-2.6998491704374045E-2</v>
      </c>
      <c r="AX192" s="404" t="str">
        <f>VLOOKUP($C192,'ТР нефть'!$A$29:$GC$641,182,0)</f>
        <v>Технология</v>
      </c>
      <c r="AY192" s="406" t="str">
        <f>VLOOKUP($C192,'ТР нефть'!$A$29:$GC$641,183,0)</f>
        <v>Неоптимальная работа ПО</v>
      </c>
      <c r="AZ192" s="463">
        <f t="shared" si="23"/>
        <v>9.5872479999999989</v>
      </c>
      <c r="BA192" s="408">
        <f t="shared" si="21"/>
        <v>12.2</v>
      </c>
      <c r="BB192" s="669">
        <f t="shared" si="21"/>
        <v>6</v>
      </c>
      <c r="BC192" s="409">
        <v>45098</v>
      </c>
      <c r="BD192" s="406" t="s">
        <v>2223</v>
      </c>
      <c r="BF192" s="1143" t="s">
        <v>2222</v>
      </c>
    </row>
    <row r="193" spans="1:58" ht="41.25" customHeight="1" x14ac:dyDescent="0.25">
      <c r="A193" s="373"/>
      <c r="B193" s="392">
        <f>B192+1</f>
        <v>9</v>
      </c>
      <c r="C193" s="668">
        <v>1378</v>
      </c>
      <c r="D193" s="394" t="str">
        <f>VLOOKUP($C193,'ТР нефть'!$A$29:$GC$641,5,0)</f>
        <v>ВУ ОНГКМ</v>
      </c>
      <c r="E193" s="394" t="str">
        <f>VLOOKUP($C193,'ТР нефть'!$A$29:$GC$641,8,0)</f>
        <v>ТЛ-4</v>
      </c>
      <c r="F193" s="395" t="str">
        <f>VLOOKUP($C193,'ТР нефть'!$A$29:$GC$641,11,0)</f>
        <v>К-32-1</v>
      </c>
      <c r="G193" s="392" t="str">
        <f>VLOOKUP($C193,'ТР нефть'!$A$29:$GC$641,47,0)</f>
        <v>Газлифт</v>
      </c>
      <c r="H193" s="396">
        <f>VLOOKUP($C193,'ТР нефть'!$A$29:$GC$641,135,0)</f>
        <v>18</v>
      </c>
      <c r="I193" s="397">
        <f>VLOOKUP($C193,'ТР нефть'!$A$29:$GC$641,136,0)</f>
        <v>25</v>
      </c>
      <c r="J193" s="397">
        <f>VLOOKUP($C193,'ТР нефть'!$A$29:$GC$641,137,0)</f>
        <v>38</v>
      </c>
      <c r="K193" s="397">
        <f>VLOOKUP($C193,'ТР нефть'!$A$29:$GC$641,138,0)</f>
        <v>23</v>
      </c>
      <c r="L193" s="397" t="str">
        <f>VLOOKUP($C193,'ТР нефть'!$A$29:$GC$641,139,0)</f>
        <v>Периодический</v>
      </c>
      <c r="M193" s="397">
        <f>VLOOKUP($C193,'ТР нефть'!$A$29:$GC$641,140,0)</f>
        <v>24</v>
      </c>
      <c r="N193" s="397">
        <f>VLOOKUP($C193,'ТР нефть'!$A$29:$GC$641,141,0)</f>
        <v>24</v>
      </c>
      <c r="O193" s="398">
        <f>VLOOKUP($C193,'ТР нефть'!$A$29:$GC$641,142,0)</f>
        <v>5.3253199999999996</v>
      </c>
      <c r="P193" s="399">
        <f>VLOOKUP($C193,'ТР нефть'!$A$29:$GC$641,143,0)</f>
        <v>6.5</v>
      </c>
      <c r="Q193" s="400">
        <f>VLOOKUP($C193,'ТР нефть'!$A$29:$GC$641,144,0)</f>
        <v>2</v>
      </c>
      <c r="R193" s="397">
        <f>VLOOKUP($C193,'ТР нефть'!$A$29:$GC$641,145,0)</f>
        <v>18</v>
      </c>
      <c r="S193" s="397">
        <f>VLOOKUP($C193,'ТР нефть'!$A$29:$GC$641,146,0)</f>
        <v>1990.4907122952238</v>
      </c>
      <c r="T193" s="397">
        <f>VLOOKUP($C193,'ТР нефть'!$A$29:$GC$641,149,0)</f>
        <v>49</v>
      </c>
      <c r="U193" s="403">
        <f>VLOOKUP($C193,'ТР нефть'!$A$29:$GC$641,150,0)</f>
        <v>6.8421052631578952E-2</v>
      </c>
      <c r="V193" s="402" t="str">
        <f>VLOOKUP($C193,'ТР нефть'!$A$29:$GC$641,47,0)</f>
        <v>Газлифт</v>
      </c>
      <c r="W193" s="396">
        <f>VLOOKUP($C193,'ТР нефть'!$A$29:$GC$641,74,0)</f>
        <v>18</v>
      </c>
      <c r="X193" s="397">
        <f>VLOOKUP($C193,'ТР нефть'!$A$29:$GC$641,79,0)</f>
        <v>25</v>
      </c>
      <c r="Y193" s="397">
        <f>VLOOKUP($C193,'ТР нефть'!$A$29:$GC$641,80,0)</f>
        <v>44</v>
      </c>
      <c r="Z193" s="397">
        <f>VLOOKUP($C193,'ТР нефть'!$A$29:$GC$641,81,0)</f>
        <v>24</v>
      </c>
      <c r="AA193" s="397" t="str">
        <f>VLOOKUP($C193,'ТР нефть'!$A$29:$GC$641,76,0)</f>
        <v>Постоянный</v>
      </c>
      <c r="AB193" s="397">
        <f>VLOOKUP($C193,'ТР нефть'!$A$29:$GC$641,77,0)</f>
        <v>24</v>
      </c>
      <c r="AC193" s="397">
        <f>VLOOKUP($C193,'ТР нефть'!$A$29:$GC$641,78,0)</f>
        <v>0</v>
      </c>
      <c r="AD193" s="398">
        <f>VLOOKUP($C193,'ТР нефть'!$A$29:$GC$641,93,0)</f>
        <v>3.2771199999999996</v>
      </c>
      <c r="AE193" s="399">
        <f>VLOOKUP($C193,'ТР нефть'!$A$29:$GC$641,94,0)</f>
        <v>4</v>
      </c>
      <c r="AF193" s="400">
        <f>VLOOKUP($C193,'ТР нефть'!$A$29:$GC$641,95,0)</f>
        <v>2</v>
      </c>
      <c r="AG193" s="397">
        <f>VLOOKUP($C193,'ТР нефть'!$A$29:$GC$641,99,0)</f>
        <v>10.6</v>
      </c>
      <c r="AH193" s="397">
        <f>VLOOKUP($C193,'ТР нефть'!$A$29:$GC$641,100,0)</f>
        <v>3234.5474074797389</v>
      </c>
      <c r="AI193" s="397">
        <f>VLOOKUP($C193,'ТР нефть'!$A$29:$GC$641,92,0)</f>
        <v>61</v>
      </c>
      <c r="AJ193" s="403">
        <f>VLOOKUP($C193,'ТР нефть'!$A$29:$GC$641,102,0)</f>
        <v>4.8192771084337352E-2</v>
      </c>
      <c r="AK193" s="404">
        <f t="shared" si="19"/>
        <v>0</v>
      </c>
      <c r="AL193" s="397">
        <f t="shared" si="19"/>
        <v>0</v>
      </c>
      <c r="AM193" s="397">
        <f t="shared" si="19"/>
        <v>6</v>
      </c>
      <c r="AN193" s="397">
        <f t="shared" si="19"/>
        <v>1</v>
      </c>
      <c r="AO193" s="397">
        <f t="shared" si="20"/>
        <v>0</v>
      </c>
      <c r="AP193" s="397">
        <f t="shared" si="20"/>
        <v>-24</v>
      </c>
      <c r="AQ193" s="398">
        <f t="shared" si="20"/>
        <v>-2.0482</v>
      </c>
      <c r="AR193" s="399">
        <f t="shared" si="20"/>
        <v>-2.5</v>
      </c>
      <c r="AS193" s="400">
        <f t="shared" si="20"/>
        <v>0</v>
      </c>
      <c r="AT193" s="397">
        <f t="shared" si="20"/>
        <v>-7.4</v>
      </c>
      <c r="AU193" s="397">
        <f t="shared" si="20"/>
        <v>1244.0566951845151</v>
      </c>
      <c r="AV193" s="397">
        <f t="shared" si="20"/>
        <v>12</v>
      </c>
      <c r="AW193" s="525">
        <f t="shared" si="20"/>
        <v>-2.02282815472416E-2</v>
      </c>
      <c r="AX193" s="404" t="str">
        <f>VLOOKUP($C193,'ТР нефть'!$A$29:$GC$641,182,0)</f>
        <v>Технология</v>
      </c>
      <c r="AY193" s="406" t="str">
        <f>VLOOKUP($C193,'ТР нефть'!$A$29:$GC$641,183,0)</f>
        <v>Снижение дебита на фоне роста Рлин</v>
      </c>
      <c r="AZ193" s="463">
        <f t="shared" si="23"/>
        <v>5.3253199999999996</v>
      </c>
      <c r="BA193" s="408">
        <f t="shared" si="21"/>
        <v>6.5</v>
      </c>
      <c r="BB193" s="669">
        <f t="shared" si="21"/>
        <v>2</v>
      </c>
      <c r="BC193" s="409" t="s">
        <v>192</v>
      </c>
      <c r="BD193" s="406" t="s">
        <v>192</v>
      </c>
      <c r="BF193" s="1143" t="s">
        <v>2222</v>
      </c>
    </row>
    <row r="194" spans="1:58" ht="41.25" customHeight="1" x14ac:dyDescent="0.25">
      <c r="A194" s="373"/>
      <c r="B194" s="392">
        <f t="shared" si="22"/>
        <v>10</v>
      </c>
      <c r="C194" s="668">
        <v>1387</v>
      </c>
      <c r="D194" s="394" t="str">
        <f>VLOOKUP($C194,'ТР нефть'!$A$29:$GC$641,5,0)</f>
        <v>ВУ ОНГКМ</v>
      </c>
      <c r="E194" s="394" t="str">
        <f>VLOOKUP($C194,'ТР нефть'!$A$29:$GC$641,8,0)</f>
        <v>ТЛ-4</v>
      </c>
      <c r="F194" s="395" t="str">
        <f>VLOOKUP($C194,'ТР нефть'!$A$29:$GC$641,11,0)</f>
        <v>К-124</v>
      </c>
      <c r="G194" s="392" t="str">
        <f>VLOOKUP($C194,'ТР нефть'!$A$29:$GC$641,47,0)</f>
        <v>Газлифт</v>
      </c>
      <c r="H194" s="396">
        <f>VLOOKUP($C194,'ТР нефть'!$A$29:$GC$641,135,0)</f>
        <v>18</v>
      </c>
      <c r="I194" s="397">
        <f>VLOOKUP($C194,'ТР нефть'!$A$29:$GC$641,136,0)</f>
        <v>18</v>
      </c>
      <c r="J194" s="397">
        <f>VLOOKUP($C194,'ТР нефть'!$A$29:$GC$641,137,0)</f>
        <v>62</v>
      </c>
      <c r="K194" s="397">
        <f>VLOOKUP($C194,'ТР нефть'!$A$29:$GC$641,138,0)</f>
        <v>17</v>
      </c>
      <c r="L194" s="397" t="str">
        <f>VLOOKUP($C194,'ТР нефть'!$A$29:$GC$641,139,0)</f>
        <v>Периодический</v>
      </c>
      <c r="M194" s="397">
        <f>VLOOKUP($C194,'ТР нефть'!$A$29:$GC$641,140,0)</f>
        <v>24</v>
      </c>
      <c r="N194" s="397">
        <f>VLOOKUP($C194,'ТР нефть'!$A$29:$GC$641,141,0)</f>
        <v>24</v>
      </c>
      <c r="O194" s="398">
        <f>VLOOKUP($C194,'ТР нефть'!$A$29:$GC$641,142,0)</f>
        <v>1.9876903200000002</v>
      </c>
      <c r="P194" s="399">
        <f>VLOOKUP($C194,'ТР нефть'!$A$29:$GC$641,143,0)</f>
        <v>6.3</v>
      </c>
      <c r="Q194" s="400">
        <f>VLOOKUP($C194,'ТР нефть'!$A$29:$GC$641,144,0)</f>
        <v>62.26</v>
      </c>
      <c r="R194" s="397">
        <f>VLOOKUP($C194,'ТР нефть'!$A$29:$GC$641,145,0)</f>
        <v>6</v>
      </c>
      <c r="S194" s="397">
        <f>VLOOKUP($C194,'ТР нефть'!$A$29:$GC$641,146,0)</f>
        <v>1510.2956279426867</v>
      </c>
      <c r="T194" s="397">
        <f>VLOOKUP($C194,'ТР нефть'!$A$29:$GC$641,149,0)</f>
        <v>82.23</v>
      </c>
      <c r="U194" s="403">
        <f>VLOOKUP($C194,'ТР нефть'!$A$29:$GC$641,150,0)</f>
        <v>0.11502647434727041</v>
      </c>
      <c r="V194" s="402" t="str">
        <f>VLOOKUP($C194,'ТР нефть'!$A$29:$GC$641,47,0)</f>
        <v>Газлифт</v>
      </c>
      <c r="W194" s="396">
        <f>VLOOKUP($C194,'ТР нефть'!$A$29:$GC$641,74,0)</f>
        <v>18</v>
      </c>
      <c r="X194" s="397">
        <f>VLOOKUP($C194,'ТР нефть'!$A$29:$GC$641,79,0)</f>
        <v>18</v>
      </c>
      <c r="Y194" s="397">
        <f>VLOOKUP($C194,'ТР нефть'!$A$29:$GC$641,80,0)</f>
        <v>65</v>
      </c>
      <c r="Z194" s="397">
        <f>VLOOKUP($C194,'ТР нефть'!$A$29:$GC$641,81,0)</f>
        <v>17</v>
      </c>
      <c r="AA194" s="397" t="str">
        <f>VLOOKUP($C194,'ТР нефть'!$A$29:$GC$641,76,0)</f>
        <v>Постоянный</v>
      </c>
      <c r="AB194" s="397">
        <f>VLOOKUP($C194,'ТР нефть'!$A$29:$GC$641,77,0)</f>
        <v>24</v>
      </c>
      <c r="AC194" s="397">
        <f>VLOOKUP($C194,'ТР нефть'!$A$29:$GC$641,78,0)</f>
        <v>0</v>
      </c>
      <c r="AD194" s="398">
        <f>VLOOKUP($C194,'ТР нефть'!$A$29:$GC$641,93,0)</f>
        <v>0.63101280000000004</v>
      </c>
      <c r="AE194" s="399">
        <f>VLOOKUP($C194,'ТР нефть'!$A$29:$GC$641,94,0)</f>
        <v>2</v>
      </c>
      <c r="AF194" s="400">
        <f>VLOOKUP($C194,'ТР нефть'!$A$29:$GC$641,95,0)</f>
        <v>62.26</v>
      </c>
      <c r="AG194" s="397">
        <f>VLOOKUP($C194,'ТР нефть'!$A$29:$GC$641,99,0)</f>
        <v>1</v>
      </c>
      <c r="AH194" s="397">
        <f>VLOOKUP($C194,'ТР нефть'!$A$29:$GC$641,100,0)</f>
        <v>1584.7539067353307</v>
      </c>
      <c r="AI194" s="397">
        <f>VLOOKUP($C194,'ТР нефть'!$A$29:$GC$641,92,0)</f>
        <v>144</v>
      </c>
      <c r="AJ194" s="403">
        <f>VLOOKUP($C194,'ТР нефть'!$A$29:$GC$641,102,0)</f>
        <v>0.33333333333333331</v>
      </c>
      <c r="AK194" s="404">
        <f t="shared" si="19"/>
        <v>0</v>
      </c>
      <c r="AL194" s="397">
        <f t="shared" si="19"/>
        <v>0</v>
      </c>
      <c r="AM194" s="397">
        <f t="shared" si="19"/>
        <v>3</v>
      </c>
      <c r="AN194" s="397">
        <f t="shared" si="19"/>
        <v>0</v>
      </c>
      <c r="AO194" s="397">
        <f t="shared" si="20"/>
        <v>0</v>
      </c>
      <c r="AP194" s="397">
        <f t="shared" si="20"/>
        <v>-24</v>
      </c>
      <c r="AQ194" s="398">
        <f t="shared" si="20"/>
        <v>-1.3566775200000003</v>
      </c>
      <c r="AR194" s="399">
        <f t="shared" si="20"/>
        <v>-4.3</v>
      </c>
      <c r="AS194" s="400">
        <f t="shared" si="20"/>
        <v>0</v>
      </c>
      <c r="AT194" s="397">
        <f t="shared" si="20"/>
        <v>-5</v>
      </c>
      <c r="AU194" s="397">
        <f t="shared" si="20"/>
        <v>74.458278792644023</v>
      </c>
      <c r="AV194" s="397">
        <f t="shared" si="20"/>
        <v>61.769999999999996</v>
      </c>
      <c r="AW194" s="525">
        <f t="shared" si="20"/>
        <v>0.21830685898606289</v>
      </c>
      <c r="AX194" s="404" t="str">
        <f>VLOOKUP($C194,'ТР нефть'!$A$29:$GC$641,182,0)</f>
        <v>Технология</v>
      </c>
      <c r="AY194" s="406" t="str">
        <f>VLOOKUP($C194,'ТР нефть'!$A$29:$GC$641,183,0)</f>
        <v>Рост Рзаб. Неоптимальная работа ПО.</v>
      </c>
      <c r="AZ194" s="463">
        <f t="shared" si="23"/>
        <v>1.9876903200000002</v>
      </c>
      <c r="BA194" s="408">
        <f t="shared" si="21"/>
        <v>6.3</v>
      </c>
      <c r="BB194" s="669">
        <f t="shared" si="21"/>
        <v>62.26</v>
      </c>
      <c r="BC194" s="409">
        <v>45095</v>
      </c>
      <c r="BD194" s="406" t="s">
        <v>2223</v>
      </c>
      <c r="BF194" s="1143" t="s">
        <v>2222</v>
      </c>
    </row>
    <row r="195" spans="1:58" ht="41.25" customHeight="1" x14ac:dyDescent="0.25">
      <c r="A195" s="373"/>
      <c r="B195" s="392">
        <f t="shared" si="22"/>
        <v>11</v>
      </c>
      <c r="C195" s="668">
        <v>1408</v>
      </c>
      <c r="D195" s="394" t="str">
        <f>VLOOKUP($C195,'ТР нефть'!$A$29:$GC$641,5,0)</f>
        <v>ВУ ОНГКМ</v>
      </c>
      <c r="E195" s="394" t="str">
        <f>VLOOKUP($C195,'ТР нефть'!$A$29:$GC$641,8,0)</f>
        <v>ТЛ-4</v>
      </c>
      <c r="F195" s="395" t="str">
        <f>VLOOKUP($C195,'ТР нефть'!$A$29:$GC$641,11,0)</f>
        <v>К-124</v>
      </c>
      <c r="G195" s="392" t="str">
        <f>VLOOKUP($C195,'ТР нефть'!$A$29:$GC$641,47,0)</f>
        <v>Газлифт</v>
      </c>
      <c r="H195" s="396">
        <f>VLOOKUP($C195,'ТР нефть'!$A$29:$GC$641,135,0)</f>
        <v>12</v>
      </c>
      <c r="I195" s="397">
        <f>VLOOKUP($C195,'ТР нефть'!$A$29:$GC$641,136,0)</f>
        <v>20</v>
      </c>
      <c r="J195" s="397">
        <f>VLOOKUP($C195,'ТР нефть'!$A$29:$GC$641,137,0)</f>
        <v>38</v>
      </c>
      <c r="K195" s="397">
        <f>VLOOKUP($C195,'ТР нефть'!$A$29:$GC$641,138,0)</f>
        <v>18</v>
      </c>
      <c r="L195" s="397" t="str">
        <f>VLOOKUP($C195,'ТР нефть'!$A$29:$GC$641,139,0)</f>
        <v>Постоянный</v>
      </c>
      <c r="M195" s="397">
        <f>VLOOKUP($C195,'ТР нефть'!$A$29:$GC$641,140,0)</f>
        <v>24</v>
      </c>
      <c r="N195" s="397">
        <f>VLOOKUP($C195,'ТР нефть'!$A$29:$GC$641,141,0)</f>
        <v>0</v>
      </c>
      <c r="O195" s="398">
        <f>VLOOKUP($C195,'ТР нефть'!$A$29:$GC$641,142,0)</f>
        <v>7.6970519999999985</v>
      </c>
      <c r="P195" s="399">
        <f>VLOOKUP($C195,'ТР нефть'!$A$29:$GC$641,143,0)</f>
        <v>9.9</v>
      </c>
      <c r="Q195" s="400">
        <f>VLOOKUP($C195,'ТР нефть'!$A$29:$GC$641,144,0)</f>
        <v>7</v>
      </c>
      <c r="R195" s="397">
        <f>VLOOKUP($C195,'ТР нефть'!$A$29:$GC$641,145,0)</f>
        <v>27</v>
      </c>
      <c r="S195" s="397">
        <f>VLOOKUP($C195,'ТР нефть'!$A$29:$GC$641,146,0)</f>
        <v>2312.5736970466101</v>
      </c>
      <c r="T195" s="397">
        <f>VLOOKUP($C195,'ТР нефть'!$A$29:$GC$641,149,0)</f>
        <v>48</v>
      </c>
      <c r="U195" s="403">
        <f>VLOOKUP($C195,'ТР нефть'!$A$29:$GC$641,150,0)</f>
        <v>0.3413793103448276</v>
      </c>
      <c r="V195" s="402" t="str">
        <f>VLOOKUP($C195,'ТР нефть'!$A$29:$GC$641,47,0)</f>
        <v>Газлифт</v>
      </c>
      <c r="W195" s="396">
        <f>VLOOKUP($C195,'ТР нефть'!$A$29:$GC$641,74,0)</f>
        <v>12</v>
      </c>
      <c r="X195" s="397">
        <f>VLOOKUP($C195,'ТР нефть'!$A$29:$GC$641,79,0)</f>
        <v>18</v>
      </c>
      <c r="Y195" s="397">
        <f>VLOOKUP($C195,'ТР нефть'!$A$29:$GC$641,80,0)</f>
        <v>32</v>
      </c>
      <c r="Z195" s="397">
        <f>VLOOKUP($C195,'ТР нефть'!$A$29:$GC$641,81,0)</f>
        <v>17</v>
      </c>
      <c r="AA195" s="397" t="str">
        <f>VLOOKUP($C195,'ТР нефть'!$A$29:$GC$641,76,0)</f>
        <v>Постоянный</v>
      </c>
      <c r="AB195" s="397">
        <f>VLOOKUP($C195,'ТР нефть'!$A$29:$GC$641,77,0)</f>
        <v>24</v>
      </c>
      <c r="AC195" s="397">
        <f>VLOOKUP($C195,'ТР нефть'!$A$29:$GC$641,78,0)</f>
        <v>0</v>
      </c>
      <c r="AD195" s="398">
        <f>VLOOKUP($C195,'ТР нефть'!$A$29:$GC$641,93,0)</f>
        <v>4.6648800000000001</v>
      </c>
      <c r="AE195" s="399">
        <f>VLOOKUP($C195,'ТР нефть'!$A$29:$GC$641,94,0)</f>
        <v>6</v>
      </c>
      <c r="AF195" s="400">
        <f>VLOOKUP($C195,'ТР нефть'!$A$29:$GC$641,95,0)</f>
        <v>7</v>
      </c>
      <c r="AG195" s="397">
        <f>VLOOKUP($C195,'ТР нефть'!$A$29:$GC$641,99,0)</f>
        <v>17.8</v>
      </c>
      <c r="AH195" s="397">
        <f>VLOOKUP($C195,'ТР нефть'!$A$29:$GC$641,100,0)</f>
        <v>3815.7466001269058</v>
      </c>
      <c r="AI195" s="397">
        <f>VLOOKUP($C195,'ТР нефть'!$A$29:$GC$641,92,0)</f>
        <v>48</v>
      </c>
      <c r="AJ195" s="403">
        <f>VLOOKUP($C195,'ТР нефть'!$A$29:$GC$641,102,0)</f>
        <v>0.20689655172413793</v>
      </c>
      <c r="AK195" s="404">
        <f t="shared" si="19"/>
        <v>0</v>
      </c>
      <c r="AL195" s="397">
        <f t="shared" si="19"/>
        <v>-2</v>
      </c>
      <c r="AM195" s="397">
        <f t="shared" si="19"/>
        <v>-6</v>
      </c>
      <c r="AN195" s="397">
        <f t="shared" si="19"/>
        <v>-1</v>
      </c>
      <c r="AO195" s="397">
        <f t="shared" si="20"/>
        <v>0</v>
      </c>
      <c r="AP195" s="397">
        <f t="shared" si="20"/>
        <v>0</v>
      </c>
      <c r="AQ195" s="398">
        <f t="shared" si="20"/>
        <v>-3.0321719999999983</v>
      </c>
      <c r="AR195" s="399">
        <f t="shared" si="20"/>
        <v>-3.9000000000000004</v>
      </c>
      <c r="AS195" s="400">
        <f t="shared" si="20"/>
        <v>0</v>
      </c>
      <c r="AT195" s="397">
        <f t="shared" si="20"/>
        <v>-9.1999999999999993</v>
      </c>
      <c r="AU195" s="397">
        <f t="shared" si="20"/>
        <v>1503.1729030802958</v>
      </c>
      <c r="AV195" s="397">
        <f t="shared" si="20"/>
        <v>0</v>
      </c>
      <c r="AW195" s="525">
        <f t="shared" si="20"/>
        <v>-0.13448275862068967</v>
      </c>
      <c r="AX195" s="404" t="str">
        <f>VLOOKUP($C195,'ТР нефть'!$A$29:$GC$641,182,0)</f>
        <v>Технология</v>
      </c>
      <c r="AY195" s="406" t="str">
        <f>VLOOKUP($C195,'ТР нефть'!$A$29:$GC$641,183,0)</f>
        <v>Снижение эффекта после запуска с высокого уровня</v>
      </c>
      <c r="AZ195" s="463">
        <f t="shared" si="23"/>
        <v>7.6970519999999985</v>
      </c>
      <c r="BA195" s="408">
        <f t="shared" si="21"/>
        <v>9.9</v>
      </c>
      <c r="BB195" s="669">
        <f t="shared" si="21"/>
        <v>7</v>
      </c>
      <c r="BC195" s="409" t="s">
        <v>192</v>
      </c>
      <c r="BD195" s="406" t="s">
        <v>192</v>
      </c>
      <c r="BF195" s="1143" t="s">
        <v>2222</v>
      </c>
    </row>
    <row r="196" spans="1:58" ht="41.25" customHeight="1" x14ac:dyDescent="0.25">
      <c r="A196" s="373"/>
      <c r="B196" s="392">
        <f t="shared" si="22"/>
        <v>12</v>
      </c>
      <c r="C196" s="668">
        <v>1420</v>
      </c>
      <c r="D196" s="394" t="str">
        <f>VLOOKUP($C196,'ТР нефть'!$A$29:$GC$641,5,0)</f>
        <v>ВУ ОНГКМ</v>
      </c>
      <c r="E196" s="394" t="str">
        <f>VLOOKUP($C196,'ТР нефть'!$A$29:$GC$641,8,0)</f>
        <v>ТЛ-2</v>
      </c>
      <c r="F196" s="395" t="str">
        <f>VLOOKUP($C196,'ТР нефть'!$A$29:$GC$641,11,0)</f>
        <v>К-1420</v>
      </c>
      <c r="G196" s="392" t="str">
        <f>VLOOKUP($C196,'ТР нефть'!$A$29:$GC$641,47,0)</f>
        <v>Газлифт</v>
      </c>
      <c r="H196" s="396">
        <f>VLOOKUP($C196,'ТР нефть'!$A$29:$GC$641,135,0)</f>
        <v>12</v>
      </c>
      <c r="I196" s="397">
        <f>VLOOKUP($C196,'ТР нефть'!$A$29:$GC$641,136,0)</f>
        <v>22</v>
      </c>
      <c r="J196" s="397">
        <f>VLOOKUP($C196,'ТР нефть'!$A$29:$GC$641,137,0)</f>
        <v>38</v>
      </c>
      <c r="K196" s="397">
        <f>VLOOKUP($C196,'ТР нефть'!$A$29:$GC$641,138,0)</f>
        <v>21</v>
      </c>
      <c r="L196" s="397" t="str">
        <f>VLOOKUP($C196,'ТР нефть'!$A$29:$GC$641,139,0)</f>
        <v>Периодический</v>
      </c>
      <c r="M196" s="397">
        <f>VLOOKUP($C196,'ТР нефть'!$A$29:$GC$641,140,0)</f>
        <v>24</v>
      </c>
      <c r="N196" s="397">
        <f>VLOOKUP($C196,'ТР нефть'!$A$29:$GC$641,141,0)</f>
        <v>24</v>
      </c>
      <c r="O196" s="398">
        <f>VLOOKUP($C196,'ТР нефть'!$A$29:$GC$641,142,0)</f>
        <v>7.3399546000000013</v>
      </c>
      <c r="P196" s="399">
        <f>VLOOKUP($C196,'ТР нефть'!$A$29:$GC$641,143,0)</f>
        <v>8.9</v>
      </c>
      <c r="Q196" s="400">
        <f>VLOOKUP($C196,'ТР нефть'!$A$29:$GC$641,144,0)</f>
        <v>1.35</v>
      </c>
      <c r="R196" s="397">
        <f>VLOOKUP($C196,'ТР нефть'!$A$29:$GC$641,145,0)</f>
        <v>8.3000000000000007</v>
      </c>
      <c r="S196" s="397">
        <f>VLOOKUP($C196,'ТР нефть'!$A$29:$GC$641,146,0)</f>
        <v>177.112812114669</v>
      </c>
      <c r="T196" s="397">
        <f>VLOOKUP($C196,'ТР нефть'!$A$29:$GC$641,149,0)</f>
        <v>50</v>
      </c>
      <c r="U196" s="403">
        <f>VLOOKUP($C196,'ТР нефть'!$A$29:$GC$641,150,0)</f>
        <v>8.7254901960784323E-2</v>
      </c>
      <c r="V196" s="402" t="str">
        <f>VLOOKUP($C196,'ТР нефть'!$A$29:$GC$641,47,0)</f>
        <v>Газлифт</v>
      </c>
      <c r="W196" s="396">
        <f>VLOOKUP($C196,'ТР нефть'!$A$29:$GC$641,74,0)</f>
        <v>12</v>
      </c>
      <c r="X196" s="397">
        <f>VLOOKUP($C196,'ТР нефть'!$A$29:$GC$641,79,0)</f>
        <v>24</v>
      </c>
      <c r="Y196" s="397">
        <f>VLOOKUP($C196,'ТР нефть'!$A$29:$GC$641,80,0)</f>
        <v>61</v>
      </c>
      <c r="Z196" s="397">
        <f>VLOOKUP($C196,'ТР нефть'!$A$29:$GC$641,81,0)</f>
        <v>23</v>
      </c>
      <c r="AA196" s="397" t="str">
        <f>VLOOKUP($C196,'ТР нефть'!$A$29:$GC$641,76,0)</f>
        <v>Периодический</v>
      </c>
      <c r="AB196" s="397">
        <f>VLOOKUP($C196,'ТР нефть'!$A$29:$GC$641,77,0)</f>
        <v>24</v>
      </c>
      <c r="AC196" s="397">
        <f>VLOOKUP($C196,'ТР нефть'!$A$29:$GC$641,78,0)</f>
        <v>24</v>
      </c>
      <c r="AD196" s="398">
        <f>VLOOKUP($C196,'ТР нефть'!$A$29:$GC$641,93,0)</f>
        <v>0.25079999999999997</v>
      </c>
      <c r="AE196" s="399">
        <f>VLOOKUP($C196,'ТР нефть'!$A$29:$GC$641,94,0)</f>
        <v>0.3</v>
      </c>
      <c r="AF196" s="400">
        <f>VLOOKUP($C196,'ТР нефть'!$A$29:$GC$641,95,0)</f>
        <v>0</v>
      </c>
      <c r="AG196" s="397">
        <f>VLOOKUP($C196,'ТР нефть'!$A$29:$GC$641,99,0)</f>
        <v>1</v>
      </c>
      <c r="AH196" s="397">
        <f>VLOOKUP($C196,'ТР нефть'!$A$29:$GC$641,100,0)</f>
        <v>3987.2408293460931</v>
      </c>
      <c r="AI196" s="397">
        <f>VLOOKUP($C196,'ТР нефть'!$A$29:$GC$641,92,0)</f>
        <v>50</v>
      </c>
      <c r="AJ196" s="403">
        <f>VLOOKUP($C196,'ТР нефть'!$A$29:$GC$641,102,0)</f>
        <v>2.9411764705882353E-3</v>
      </c>
      <c r="AK196" s="404">
        <f t="shared" si="19"/>
        <v>0</v>
      </c>
      <c r="AL196" s="397">
        <f t="shared" si="19"/>
        <v>2</v>
      </c>
      <c r="AM196" s="397">
        <f t="shared" si="19"/>
        <v>23</v>
      </c>
      <c r="AN196" s="397">
        <f t="shared" si="19"/>
        <v>2</v>
      </c>
      <c r="AO196" s="397">
        <f t="shared" si="20"/>
        <v>0</v>
      </c>
      <c r="AP196" s="397">
        <f t="shared" si="20"/>
        <v>0</v>
      </c>
      <c r="AQ196" s="398">
        <f t="shared" si="20"/>
        <v>-7.0891546000000014</v>
      </c>
      <c r="AR196" s="399">
        <f t="shared" si="20"/>
        <v>-8.6</v>
      </c>
      <c r="AS196" s="400">
        <f t="shared" si="20"/>
        <v>-1.35</v>
      </c>
      <c r="AT196" s="397">
        <f t="shared" si="20"/>
        <v>-7.3000000000000007</v>
      </c>
      <c r="AU196" s="397">
        <f t="shared" si="20"/>
        <v>3810.1280172314241</v>
      </c>
      <c r="AV196" s="397">
        <f t="shared" si="20"/>
        <v>0</v>
      </c>
      <c r="AW196" s="525">
        <f t="shared" si="20"/>
        <v>-8.4313725490196084E-2</v>
      </c>
      <c r="AX196" s="404" t="str">
        <f>VLOOKUP($C196,'ТР нефть'!$A$29:$GC$641,182,0)</f>
        <v>Технология</v>
      </c>
      <c r="AY196" s="406" t="str">
        <f>VLOOKUP($C196,'ТР нефть'!$A$29:$GC$641,183,0)</f>
        <v>Неоптимальная работа ПО,рост Рлин</v>
      </c>
      <c r="AZ196" s="463">
        <f t="shared" si="23"/>
        <v>7.3399546000000013</v>
      </c>
      <c r="BA196" s="408">
        <f t="shared" si="21"/>
        <v>8.9</v>
      </c>
      <c r="BB196" s="669">
        <f t="shared" si="21"/>
        <v>1.35</v>
      </c>
      <c r="BC196" s="409">
        <v>45099</v>
      </c>
      <c r="BD196" s="406" t="s">
        <v>2223</v>
      </c>
      <c r="BF196" s="1143" t="s">
        <v>2222</v>
      </c>
    </row>
    <row r="197" spans="1:58" ht="41.25" customHeight="1" x14ac:dyDescent="0.25">
      <c r="A197" s="373"/>
      <c r="B197" s="392">
        <f t="shared" si="22"/>
        <v>13</v>
      </c>
      <c r="C197" s="668">
        <v>1511</v>
      </c>
      <c r="D197" s="394" t="str">
        <f>VLOOKUP($C197,'ТР нефть'!$A$29:$GC$641,5,0)</f>
        <v>ВУ ОНГКМ</v>
      </c>
      <c r="E197" s="394" t="str">
        <f>VLOOKUP($C197,'ТР нефть'!$A$29:$GC$641,8,0)</f>
        <v>ТЛ-3</v>
      </c>
      <c r="F197" s="395" t="str">
        <f>VLOOKUP($C197,'ТР нефть'!$A$29:$GC$641,11,0)</f>
        <v>Куст скважины-1015-1</v>
      </c>
      <c r="G197" s="392" t="str">
        <f>VLOOKUP($C197,'ТР нефть'!$A$29:$GC$641,47,0)</f>
        <v>Газлифт</v>
      </c>
      <c r="H197" s="396">
        <f>VLOOKUP($C197,'ТР нефть'!$A$29:$GC$641,135,0)</f>
        <v>10</v>
      </c>
      <c r="I197" s="397">
        <f>VLOOKUP($C197,'ТР нефть'!$A$29:$GC$641,136,0)</f>
        <v>19</v>
      </c>
      <c r="J197" s="397">
        <f>VLOOKUP($C197,'ТР нефть'!$A$29:$GC$641,137,0)</f>
        <v>63</v>
      </c>
      <c r="K197" s="397">
        <f>VLOOKUP($C197,'ТР нефть'!$A$29:$GC$641,138,0)</f>
        <v>18</v>
      </c>
      <c r="L197" s="397" t="str">
        <f>VLOOKUP($C197,'ТР нефть'!$A$29:$GC$641,139,0)</f>
        <v>Периодический</v>
      </c>
      <c r="M197" s="397">
        <f>VLOOKUP($C197,'ТР нефть'!$A$29:$GC$641,140,0)</f>
        <v>24</v>
      </c>
      <c r="N197" s="397">
        <f>VLOOKUP($C197,'ТР нефть'!$A$29:$GC$641,141,0)</f>
        <v>48</v>
      </c>
      <c r="O197" s="398">
        <f>VLOOKUP($C197,'ТР нефть'!$A$29:$GC$641,142,0)</f>
        <v>3.2764511999999999</v>
      </c>
      <c r="P197" s="399">
        <f>VLOOKUP($C197,'ТР нефть'!$A$29:$GC$641,143,0)</f>
        <v>4</v>
      </c>
      <c r="Q197" s="400">
        <f>VLOOKUP($C197,'ТР нефть'!$A$29:$GC$641,144,0)</f>
        <v>2.02</v>
      </c>
      <c r="R197" s="397">
        <f>VLOOKUP($C197,'ТР нефть'!$A$29:$GC$641,145,0)</f>
        <v>5.7</v>
      </c>
      <c r="S197" s="397">
        <f>VLOOKUP($C197,'ТР нефть'!$A$29:$GC$641,146,0)</f>
        <v>763.02067309899201</v>
      </c>
      <c r="T197" s="397">
        <f>VLOOKUP($C197,'ТР нефть'!$A$29:$GC$641,149,0)</f>
        <v>59</v>
      </c>
      <c r="U197" s="403">
        <f>VLOOKUP($C197,'ТР нефть'!$A$29:$GC$641,150,0)</f>
        <v>0.18181818181818182</v>
      </c>
      <c r="V197" s="402" t="str">
        <f>VLOOKUP($C197,'ТР нефть'!$A$29:$GC$641,47,0)</f>
        <v>Газлифт</v>
      </c>
      <c r="W197" s="396">
        <f>VLOOKUP($C197,'ТР нефть'!$A$29:$GC$641,74,0)</f>
        <v>10</v>
      </c>
      <c r="X197" s="397">
        <f>VLOOKUP($C197,'ТР нефть'!$A$29:$GC$641,79,0)</f>
        <v>19</v>
      </c>
      <c r="Y197" s="397">
        <f>VLOOKUP($C197,'ТР нефть'!$A$29:$GC$641,80,0)</f>
        <v>63</v>
      </c>
      <c r="Z197" s="397">
        <f>VLOOKUP($C197,'ТР нефть'!$A$29:$GC$641,81,0)</f>
        <v>18</v>
      </c>
      <c r="AA197" s="397" t="str">
        <f>VLOOKUP($C197,'ТР нефть'!$A$29:$GC$641,76,0)</f>
        <v>Периодический</v>
      </c>
      <c r="AB197" s="397">
        <f>VLOOKUP($C197,'ТР нефть'!$A$29:$GC$641,77,0)</f>
        <v>24</v>
      </c>
      <c r="AC197" s="397">
        <f>VLOOKUP($C197,'ТР нефть'!$A$29:$GC$641,78,0)</f>
        <v>48</v>
      </c>
      <c r="AD197" s="398">
        <f>VLOOKUP($C197,'ТР нефть'!$A$29:$GC$641,93,0)</f>
        <v>0.24573383999999998</v>
      </c>
      <c r="AE197" s="399">
        <f>VLOOKUP($C197,'ТР нефть'!$A$29:$GC$641,94,0)</f>
        <v>0.3</v>
      </c>
      <c r="AF197" s="400">
        <f>VLOOKUP($C197,'ТР нефть'!$A$29:$GC$641,95,0)</f>
        <v>2.02</v>
      </c>
      <c r="AG197" s="397">
        <f>VLOOKUP($C197,'ТР нефть'!$A$29:$GC$641,99,0)</f>
        <v>1</v>
      </c>
      <c r="AH197" s="397">
        <f>VLOOKUP($C197,'ТР нефть'!$A$29:$GC$641,100,0)</f>
        <v>4069.443589861291</v>
      </c>
      <c r="AI197" s="397">
        <f>VLOOKUP($C197,'ТР нефть'!$A$29:$GC$641,92,0)</f>
        <v>59</v>
      </c>
      <c r="AJ197" s="403">
        <f>VLOOKUP($C197,'ТР нефть'!$A$29:$GC$641,102,0)</f>
        <v>1.3636363636363636E-2</v>
      </c>
      <c r="AK197" s="404">
        <f t="shared" si="19"/>
        <v>0</v>
      </c>
      <c r="AL197" s="397">
        <f t="shared" si="19"/>
        <v>0</v>
      </c>
      <c r="AM197" s="397">
        <f t="shared" si="19"/>
        <v>0</v>
      </c>
      <c r="AN197" s="397">
        <f t="shared" si="19"/>
        <v>0</v>
      </c>
      <c r="AO197" s="397">
        <f t="shared" si="20"/>
        <v>0</v>
      </c>
      <c r="AP197" s="397">
        <f t="shared" si="20"/>
        <v>0</v>
      </c>
      <c r="AQ197" s="398">
        <f t="shared" si="20"/>
        <v>-3.0307173599999997</v>
      </c>
      <c r="AR197" s="399">
        <f t="shared" si="20"/>
        <v>-3.7</v>
      </c>
      <c r="AS197" s="400">
        <f t="shared" si="20"/>
        <v>0</v>
      </c>
      <c r="AT197" s="397">
        <f t="shared" si="20"/>
        <v>-4.7</v>
      </c>
      <c r="AU197" s="397">
        <f t="shared" si="20"/>
        <v>3306.4229167622989</v>
      </c>
      <c r="AV197" s="397">
        <f t="shared" si="20"/>
        <v>0</v>
      </c>
      <c r="AW197" s="525">
        <f t="shared" si="20"/>
        <v>-0.16818181818181818</v>
      </c>
      <c r="AX197" s="404" t="str">
        <f>VLOOKUP($C197,'ТР нефть'!$A$29:$GC$641,182,0)</f>
        <v>Технология</v>
      </c>
      <c r="AY197" s="406" t="str">
        <f>VLOOKUP($C197,'ТР нефть'!$A$29:$GC$641,183,0)</f>
        <v>Несоблюдение периодического режима</v>
      </c>
      <c r="AZ197" s="463">
        <f t="shared" si="23"/>
        <v>3.2764511999999999</v>
      </c>
      <c r="BA197" s="408">
        <f t="shared" si="21"/>
        <v>4</v>
      </c>
      <c r="BB197" s="669">
        <f t="shared" si="21"/>
        <v>2.02</v>
      </c>
      <c r="BC197" s="409">
        <v>45099</v>
      </c>
      <c r="BD197" s="406" t="s">
        <v>2226</v>
      </c>
      <c r="BF197" s="1143" t="s">
        <v>2222</v>
      </c>
    </row>
    <row r="198" spans="1:58" ht="41.25" customHeight="1" x14ac:dyDescent="0.25">
      <c r="A198" s="373"/>
      <c r="B198" s="392">
        <f t="shared" si="22"/>
        <v>14</v>
      </c>
      <c r="C198" s="668">
        <v>1526</v>
      </c>
      <c r="D198" s="394" t="str">
        <f>VLOOKUP($C198,'ТР нефть'!$A$29:$GC$641,5,0)</f>
        <v>ВУ ОНГКМ</v>
      </c>
      <c r="E198" s="394" t="str">
        <f>VLOOKUP($C198,'ТР нефть'!$A$29:$GC$641,8,0)</f>
        <v>ТЛ-4</v>
      </c>
      <c r="F198" s="395" t="str">
        <f>VLOOKUP($C198,'ТР нефть'!$A$29:$GC$641,11,0)</f>
        <v>К-1526</v>
      </c>
      <c r="G198" s="392" t="str">
        <f>VLOOKUP($C198,'ТР нефть'!$A$29:$GC$641,47,0)</f>
        <v>Газлифт</v>
      </c>
      <c r="H198" s="396">
        <f>VLOOKUP($C198,'ТР нефть'!$A$29:$GC$641,135,0)</f>
        <v>65</v>
      </c>
      <c r="I198" s="397">
        <f>VLOOKUP($C198,'ТР нефть'!$A$29:$GC$641,136,0)</f>
        <v>14</v>
      </c>
      <c r="J198" s="397">
        <f>VLOOKUP($C198,'ТР нефть'!$A$29:$GC$641,137,0)</f>
        <v>59</v>
      </c>
      <c r="K198" s="397">
        <f>VLOOKUP($C198,'ТР нефть'!$A$29:$GC$641,138,0)</f>
        <v>13</v>
      </c>
      <c r="L198" s="397" t="str">
        <f>VLOOKUP($C198,'ТР нефть'!$A$29:$GC$641,139,0)</f>
        <v>Постоянный</v>
      </c>
      <c r="M198" s="397">
        <f>VLOOKUP($C198,'ТР нефть'!$A$29:$GC$641,140,0)</f>
        <v>24</v>
      </c>
      <c r="N198" s="397">
        <f>VLOOKUP($C198,'ТР нефть'!$A$29:$GC$641,141,0)</f>
        <v>0</v>
      </c>
      <c r="O198" s="398">
        <f>VLOOKUP($C198,'ТР нефть'!$A$29:$GC$641,142,0)</f>
        <v>15.315352799999999</v>
      </c>
      <c r="P198" s="399">
        <f>VLOOKUP($C198,'ТР нефть'!$A$29:$GC$641,143,0)</f>
        <v>19</v>
      </c>
      <c r="Q198" s="400">
        <f>VLOOKUP($C198,'ТР нефть'!$A$29:$GC$641,144,0)</f>
        <v>3.58</v>
      </c>
      <c r="R198" s="397">
        <f>VLOOKUP($C198,'ТР нефть'!$A$29:$GC$641,145,0)</f>
        <v>12</v>
      </c>
      <c r="S198" s="397">
        <f>VLOOKUP($C198,'ТР нефть'!$A$29:$GC$641,146,0)</f>
        <v>391.76374702905963</v>
      </c>
      <c r="T198" s="397">
        <f>VLOOKUP($C198,'ТР нефть'!$A$29:$GC$641,149,0)</f>
        <v>48</v>
      </c>
      <c r="U198" s="403">
        <f>VLOOKUP($C198,'ТР нефть'!$A$29:$GC$641,150,0)</f>
        <v>0.26027397260273971</v>
      </c>
      <c r="V198" s="402" t="str">
        <f>VLOOKUP($C198,'ТР нефть'!$A$29:$GC$641,47,0)</f>
        <v>Газлифт</v>
      </c>
      <c r="W198" s="396">
        <f>VLOOKUP($C198,'ТР нефть'!$A$29:$GC$641,74,0)</f>
        <v>65</v>
      </c>
      <c r="X198" s="397">
        <f>VLOOKUP($C198,'ТР нефть'!$A$29:$GC$641,79,0)</f>
        <v>14</v>
      </c>
      <c r="Y198" s="397">
        <f>VLOOKUP($C198,'ТР нефть'!$A$29:$GC$641,80,0)</f>
        <v>60</v>
      </c>
      <c r="Z198" s="397">
        <f>VLOOKUP($C198,'ТР нефть'!$A$29:$GC$641,81,0)</f>
        <v>13</v>
      </c>
      <c r="AA198" s="397" t="str">
        <f>VLOOKUP($C198,'ТР нефть'!$A$29:$GC$641,76,0)</f>
        <v>Постоянный</v>
      </c>
      <c r="AB198" s="397">
        <f>VLOOKUP($C198,'ТР нефть'!$A$29:$GC$641,77,0)</f>
        <v>24</v>
      </c>
      <c r="AC198" s="397">
        <f>VLOOKUP($C198,'ТР нефть'!$A$29:$GC$641,78,0)</f>
        <v>0</v>
      </c>
      <c r="AD198" s="398">
        <f>VLOOKUP($C198,'ТР нефть'!$A$29:$GC$641,93,0)</f>
        <v>12.249072</v>
      </c>
      <c r="AE198" s="399">
        <f>VLOOKUP($C198,'ТР нефть'!$A$29:$GC$641,94,0)</f>
        <v>14.8</v>
      </c>
      <c r="AF198" s="400">
        <f>VLOOKUP($C198,'ТР нефть'!$A$29:$GC$641,95,0)</f>
        <v>1</v>
      </c>
      <c r="AG198" s="397">
        <f>VLOOKUP($C198,'ТР нефть'!$A$29:$GC$641,99,0)</f>
        <v>5.5</v>
      </c>
      <c r="AH198" s="397">
        <f>VLOOKUP($C198,'ТР нефть'!$A$29:$GC$641,100,0)</f>
        <v>449.01360690834377</v>
      </c>
      <c r="AI198" s="397">
        <f>VLOOKUP($C198,'ТР нефть'!$A$29:$GC$641,92,0)</f>
        <v>48</v>
      </c>
      <c r="AJ198" s="403">
        <f>VLOOKUP($C198,'ТР нефть'!$A$29:$GC$641,102,0)</f>
        <v>0.20273972602739726</v>
      </c>
      <c r="AK198" s="404">
        <f t="shared" si="19"/>
        <v>0</v>
      </c>
      <c r="AL198" s="397">
        <f t="shared" si="19"/>
        <v>0</v>
      </c>
      <c r="AM198" s="397">
        <f t="shared" si="19"/>
        <v>1</v>
      </c>
      <c r="AN198" s="397">
        <f t="shared" si="19"/>
        <v>0</v>
      </c>
      <c r="AO198" s="397">
        <f t="shared" si="20"/>
        <v>0</v>
      </c>
      <c r="AP198" s="397">
        <f t="shared" si="20"/>
        <v>0</v>
      </c>
      <c r="AQ198" s="398">
        <f t="shared" si="20"/>
        <v>-3.0662807999999995</v>
      </c>
      <c r="AR198" s="399">
        <f t="shared" si="20"/>
        <v>-4.1999999999999993</v>
      </c>
      <c r="AS198" s="400">
        <f t="shared" si="20"/>
        <v>-2.58</v>
      </c>
      <c r="AT198" s="397">
        <f t="shared" si="20"/>
        <v>-6.5</v>
      </c>
      <c r="AU198" s="397">
        <f t="shared" si="20"/>
        <v>57.249859879284145</v>
      </c>
      <c r="AV198" s="397">
        <f t="shared" si="20"/>
        <v>0</v>
      </c>
      <c r="AW198" s="525">
        <f t="shared" si="20"/>
        <v>-5.7534246575342451E-2</v>
      </c>
      <c r="AX198" s="404" t="str">
        <f>VLOOKUP($C198,'ТР нефть'!$A$29:$GC$641,182,0)</f>
        <v>Технология</v>
      </c>
      <c r="AY198" s="406" t="str">
        <f>VLOOKUP($C198,'ТР нефть'!$A$29:$GC$641,183,0)</f>
        <v xml:space="preserve">Снижение дебита на фоне регулировки расхода г/г. </v>
      </c>
      <c r="AZ198" s="463">
        <f t="shared" si="23"/>
        <v>15.315352799999999</v>
      </c>
      <c r="BA198" s="408">
        <f t="shared" si="21"/>
        <v>19</v>
      </c>
      <c r="BB198" s="669">
        <f t="shared" si="21"/>
        <v>3.58</v>
      </c>
      <c r="BC198" s="409">
        <v>45103</v>
      </c>
      <c r="BD198" s="406" t="s">
        <v>2227</v>
      </c>
      <c r="BF198" s="1143"/>
    </row>
    <row r="199" spans="1:58" ht="41.25" customHeight="1" x14ac:dyDescent="0.25">
      <c r="A199" s="373"/>
      <c r="B199" s="392">
        <f t="shared" si="22"/>
        <v>15</v>
      </c>
      <c r="C199" s="668">
        <v>1545</v>
      </c>
      <c r="D199" s="394" t="str">
        <f>VLOOKUP($C199,'ТР нефть'!$A$29:$GC$641,5,0)</f>
        <v>ВУ ОНГКМ</v>
      </c>
      <c r="E199" s="394" t="str">
        <f>VLOOKUP($C199,'ТР нефть'!$A$29:$GC$641,8,0)</f>
        <v>ТЛ-4</v>
      </c>
      <c r="F199" s="395" t="str">
        <f>VLOOKUP($C199,'ТР нефть'!$A$29:$GC$641,11,0)</f>
        <v>К-82</v>
      </c>
      <c r="G199" s="392" t="str">
        <f>VLOOKUP($C199,'ТР нефть'!$A$29:$GC$641,47,0)</f>
        <v>Газлифт</v>
      </c>
      <c r="H199" s="396">
        <f>VLOOKUP($C199,'ТР нефть'!$A$29:$GC$641,135,0)</f>
        <v>18</v>
      </c>
      <c r="I199" s="397">
        <f>VLOOKUP($C199,'ТР нефть'!$A$29:$GC$641,136,0)</f>
        <v>8</v>
      </c>
      <c r="J199" s="397">
        <f>VLOOKUP($C199,'ТР нефть'!$A$29:$GC$641,137,0)</f>
        <v>48</v>
      </c>
      <c r="K199" s="397">
        <f>VLOOKUP($C199,'ТР нефть'!$A$29:$GC$641,138,0)</f>
        <v>7</v>
      </c>
      <c r="L199" s="397" t="str">
        <f>VLOOKUP($C199,'ТР нефть'!$A$29:$GC$641,139,0)</f>
        <v>Периодический</v>
      </c>
      <c r="M199" s="397">
        <f>VLOOKUP($C199,'ТР нефть'!$A$29:$GC$641,140,0)</f>
        <v>24</v>
      </c>
      <c r="N199" s="397">
        <f>VLOOKUP($C199,'ТР нефть'!$A$29:$GC$641,141,0)</f>
        <v>24</v>
      </c>
      <c r="O199" s="398">
        <f>VLOOKUP($C199,'ТР нефть'!$A$29:$GC$641,142,0)</f>
        <v>6.4084415999999997</v>
      </c>
      <c r="P199" s="399">
        <f>VLOOKUP($C199,'ТР нефть'!$A$29:$GC$641,143,0)</f>
        <v>8</v>
      </c>
      <c r="Q199" s="400">
        <f>VLOOKUP($C199,'ТР нефть'!$A$29:$GC$641,144,0)</f>
        <v>4.18</v>
      </c>
      <c r="R199" s="397">
        <f>VLOOKUP($C199,'ТР нефть'!$A$29:$GC$641,145,0)</f>
        <v>11</v>
      </c>
      <c r="S199" s="397">
        <f>VLOOKUP($C199,'ТР нефть'!$A$29:$GC$641,146,0)</f>
        <v>780.22088864787349</v>
      </c>
      <c r="T199" s="397">
        <f>VLOOKUP($C199,'ТР нефть'!$A$29:$GC$641,149,0)</f>
        <v>49</v>
      </c>
      <c r="U199" s="403">
        <f>VLOOKUP($C199,'ТР нефть'!$A$29:$GC$641,150,0)</f>
        <v>0.56737588652482263</v>
      </c>
      <c r="V199" s="402" t="str">
        <f>VLOOKUP($C199,'ТР нефть'!$A$29:$GC$641,47,0)</f>
        <v>Газлифт</v>
      </c>
      <c r="W199" s="396">
        <f>VLOOKUP($C199,'ТР нефть'!$A$29:$GC$641,74,0)</f>
        <v>18</v>
      </c>
      <c r="X199" s="397">
        <f>VLOOKUP($C199,'ТР нефть'!$A$29:$GC$641,79,0)</f>
        <v>10</v>
      </c>
      <c r="Y199" s="397">
        <f>VLOOKUP($C199,'ТР нефть'!$A$29:$GC$641,80,0)</f>
        <v>39</v>
      </c>
      <c r="Z199" s="397">
        <f>VLOOKUP($C199,'ТР нефть'!$A$29:$GC$641,81,0)</f>
        <v>9</v>
      </c>
      <c r="AA199" s="397" t="str">
        <f>VLOOKUP($C199,'ТР нефть'!$A$29:$GC$641,76,0)</f>
        <v>Периодический</v>
      </c>
      <c r="AB199" s="397">
        <f>VLOOKUP($C199,'ТР нефть'!$A$29:$GC$641,77,0)</f>
        <v>24</v>
      </c>
      <c r="AC199" s="397">
        <f>VLOOKUP($C199,'ТР нефть'!$A$29:$GC$641,78,0)</f>
        <v>24</v>
      </c>
      <c r="AD199" s="398">
        <f>VLOOKUP($C199,'ТР нефть'!$A$29:$GC$641,93,0)</f>
        <v>2.9259999999999997</v>
      </c>
      <c r="AE199" s="399">
        <f>VLOOKUP($C199,'ТР нефть'!$A$29:$GC$641,94,0)</f>
        <v>3.5</v>
      </c>
      <c r="AF199" s="400">
        <f>VLOOKUP($C199,'ТР нефть'!$A$29:$GC$641,95,0)</f>
        <v>0</v>
      </c>
      <c r="AG199" s="397">
        <f>VLOOKUP($C199,'ТР нефть'!$A$29:$GC$641,99,0)</f>
        <v>3</v>
      </c>
      <c r="AH199" s="397">
        <f>VLOOKUP($C199,'ТР нефть'!$A$29:$GC$641,100,0)</f>
        <v>1025.2904989747096</v>
      </c>
      <c r="AI199" s="397">
        <f>VLOOKUP($C199,'ТР нефть'!$A$29:$GC$641,92,0)</f>
        <v>61</v>
      </c>
      <c r="AJ199" s="403">
        <f>VLOOKUP($C199,'ТР нефть'!$A$29:$GC$641,102,0)</f>
        <v>1.6666666666666656</v>
      </c>
      <c r="AK199" s="404">
        <f t="shared" si="19"/>
        <v>0</v>
      </c>
      <c r="AL199" s="397">
        <f t="shared" si="19"/>
        <v>2</v>
      </c>
      <c r="AM199" s="397">
        <f t="shared" si="19"/>
        <v>-9</v>
      </c>
      <c r="AN199" s="397">
        <f t="shared" si="19"/>
        <v>2</v>
      </c>
      <c r="AO199" s="397">
        <f t="shared" si="20"/>
        <v>0</v>
      </c>
      <c r="AP199" s="397">
        <f t="shared" si="20"/>
        <v>0</v>
      </c>
      <c r="AQ199" s="398">
        <f t="shared" si="20"/>
        <v>-3.4824416</v>
      </c>
      <c r="AR199" s="399">
        <f t="shared" si="20"/>
        <v>-4.5</v>
      </c>
      <c r="AS199" s="400">
        <f t="shared" si="20"/>
        <v>-4.18</v>
      </c>
      <c r="AT199" s="397">
        <f t="shared" si="20"/>
        <v>-8</v>
      </c>
      <c r="AU199" s="397">
        <f t="shared" si="20"/>
        <v>245.06961032683614</v>
      </c>
      <c r="AV199" s="397">
        <f t="shared" si="20"/>
        <v>12</v>
      </c>
      <c r="AW199" s="525">
        <f t="shared" si="20"/>
        <v>1.099290780141843</v>
      </c>
      <c r="AX199" s="404" t="str">
        <f>VLOOKUP($C199,'ТР нефть'!$A$29:$GC$641,182,0)</f>
        <v>Технология</v>
      </c>
      <c r="AY199" s="406" t="str">
        <f>VLOOKUP($C199,'ТР нефть'!$A$29:$GC$641,183,0)</f>
        <v>Снижение дебита на фоне роста Рлин</v>
      </c>
      <c r="AZ199" s="463">
        <f t="shared" si="23"/>
        <v>6.4084415999999997</v>
      </c>
      <c r="BA199" s="408">
        <f t="shared" si="21"/>
        <v>8</v>
      </c>
      <c r="BB199" s="669">
        <f t="shared" si="21"/>
        <v>4.18</v>
      </c>
      <c r="BC199" s="409" t="s">
        <v>192</v>
      </c>
      <c r="BD199" s="406" t="s">
        <v>192</v>
      </c>
      <c r="BF199" s="1143"/>
    </row>
    <row r="200" spans="1:58" ht="41.25" customHeight="1" x14ac:dyDescent="0.25">
      <c r="A200" s="373"/>
      <c r="B200" s="392">
        <f t="shared" si="22"/>
        <v>16</v>
      </c>
      <c r="C200" s="668">
        <v>3293</v>
      </c>
      <c r="D200" s="394" t="str">
        <f>VLOOKUP($C200,'ТР нефть'!$A$29:$GC$641,5,0)</f>
        <v>ВУ ОНГКМ</v>
      </c>
      <c r="E200" s="394" t="str">
        <f>VLOOKUP($C200,'ТР нефть'!$A$29:$GC$641,8,0)</f>
        <v>ТЛ-4</v>
      </c>
      <c r="F200" s="395" t="str">
        <f>VLOOKUP($C200,'ТР нефть'!$A$29:$GC$641,11,0)</f>
        <v>К-36</v>
      </c>
      <c r="G200" s="392" t="str">
        <f>VLOOKUP($C200,'ТР нефть'!$A$29:$GC$641,47,0)</f>
        <v>Газлифт</v>
      </c>
      <c r="H200" s="396">
        <f>VLOOKUP($C200,'ТР нефть'!$A$29:$GC$641,135,0)</f>
        <v>18</v>
      </c>
      <c r="I200" s="397">
        <f>VLOOKUP($C200,'ТР нефть'!$A$29:$GC$641,136,0)</f>
        <v>26</v>
      </c>
      <c r="J200" s="397">
        <f>VLOOKUP($C200,'ТР нефть'!$A$29:$GC$641,137,0)</f>
        <v>62</v>
      </c>
      <c r="K200" s="397">
        <f>VLOOKUP($C200,'ТР нефть'!$A$29:$GC$641,138,0)</f>
        <v>25</v>
      </c>
      <c r="L200" s="397" t="str">
        <f>VLOOKUP($C200,'ТР нефть'!$A$29:$GC$641,139,0)</f>
        <v>Постоянный</v>
      </c>
      <c r="M200" s="397">
        <f>VLOOKUP($C200,'ТР нефть'!$A$29:$GC$641,140,0)</f>
        <v>24</v>
      </c>
      <c r="N200" s="397">
        <f>VLOOKUP($C200,'ТР нефть'!$A$29:$GC$641,141,0)</f>
        <v>0</v>
      </c>
      <c r="O200" s="398">
        <f>VLOOKUP($C200,'ТР нефть'!$A$29:$GC$641,142,0)</f>
        <v>12.20770284096</v>
      </c>
      <c r="P200" s="399">
        <f>VLOOKUP($C200,'ТР нефть'!$A$29:$GC$641,143,0)</f>
        <v>15.352</v>
      </c>
      <c r="Q200" s="400">
        <f>VLOOKUP($C200,'ТР нефть'!$A$29:$GC$641,144,0)</f>
        <v>4.8819999999999997</v>
      </c>
      <c r="R200" s="397">
        <f>VLOOKUP($C200,'ТР нефть'!$A$29:$GC$641,145,0)</f>
        <v>9.8000000000000007</v>
      </c>
      <c r="S200" s="397">
        <f>VLOOKUP($C200,'ТР нефть'!$A$29:$GC$641,146,0)</f>
        <v>524.25915697475409</v>
      </c>
      <c r="T200" s="397">
        <f>VLOOKUP($C200,'ТР нефть'!$A$29:$GC$641,149,0)</f>
        <v>104</v>
      </c>
      <c r="U200" s="403">
        <f>VLOOKUP($C200,'ТР нефть'!$A$29:$GC$641,150,0)</f>
        <v>0.61407999999999996</v>
      </c>
      <c r="V200" s="402" t="str">
        <f>VLOOKUP($C200,'ТР нефть'!$A$29:$GC$641,47,0)</f>
        <v>Газлифт</v>
      </c>
      <c r="W200" s="396">
        <f>VLOOKUP($C200,'ТР нефть'!$A$29:$GC$641,74,0)</f>
        <v>18</v>
      </c>
      <c r="X200" s="397">
        <f>VLOOKUP($C200,'ТР нефть'!$A$29:$GC$641,79,0)</f>
        <v>25</v>
      </c>
      <c r="Y200" s="397">
        <f>VLOOKUP($C200,'ТР нефть'!$A$29:$GC$641,80,0)</f>
        <v>62</v>
      </c>
      <c r="Z200" s="397">
        <f>VLOOKUP($C200,'ТР нефть'!$A$29:$GC$641,81,0)</f>
        <v>24</v>
      </c>
      <c r="AA200" s="397" t="str">
        <f>VLOOKUP($C200,'ТР нефть'!$A$29:$GC$641,76,0)</f>
        <v>Постоянный</v>
      </c>
      <c r="AB200" s="397">
        <f>VLOOKUP($C200,'ТР нефть'!$A$29:$GC$641,77,0)</f>
        <v>24</v>
      </c>
      <c r="AC200" s="397">
        <f>VLOOKUP($C200,'ТР нефть'!$A$29:$GC$641,78,0)</f>
        <v>0</v>
      </c>
      <c r="AD200" s="398">
        <f>VLOOKUP($C200,'ТР нефть'!$A$29:$GC$641,93,0)</f>
        <v>0.75239999999999996</v>
      </c>
      <c r="AE200" s="399">
        <f>VLOOKUP($C200,'ТР нефть'!$A$29:$GC$641,94,0)</f>
        <v>0.9</v>
      </c>
      <c r="AF200" s="400">
        <f>VLOOKUP($C200,'ТР нефть'!$A$29:$GC$641,95,0)</f>
        <v>0</v>
      </c>
      <c r="AG200" s="397">
        <f>VLOOKUP($C200,'ТР нефть'!$A$29:$GC$641,99,0)</f>
        <v>2.8000000000000003</v>
      </c>
      <c r="AH200" s="397">
        <f>VLOOKUP($C200,'ТР нефть'!$A$29:$GC$641,100,0)</f>
        <v>3721.4247740563537</v>
      </c>
      <c r="AI200" s="397">
        <f>VLOOKUP($C200,'ТР нефть'!$A$29:$GC$641,92,0)</f>
        <v>111</v>
      </c>
      <c r="AJ200" s="403">
        <f>VLOOKUP($C200,'ТР нефть'!$A$29:$GC$641,102,0)</f>
        <v>0.05</v>
      </c>
      <c r="AK200" s="404">
        <f t="shared" si="19"/>
        <v>0</v>
      </c>
      <c r="AL200" s="397">
        <f t="shared" si="19"/>
        <v>-1</v>
      </c>
      <c r="AM200" s="397">
        <f t="shared" si="19"/>
        <v>0</v>
      </c>
      <c r="AN200" s="397">
        <f t="shared" si="19"/>
        <v>-1</v>
      </c>
      <c r="AO200" s="397">
        <f t="shared" si="20"/>
        <v>0</v>
      </c>
      <c r="AP200" s="397">
        <f t="shared" si="20"/>
        <v>0</v>
      </c>
      <c r="AQ200" s="398">
        <f t="shared" si="20"/>
        <v>-11.45530284096</v>
      </c>
      <c r="AR200" s="399">
        <f t="shared" si="20"/>
        <v>-14.452</v>
      </c>
      <c r="AS200" s="400">
        <f t="shared" si="20"/>
        <v>-4.8819999999999997</v>
      </c>
      <c r="AT200" s="397">
        <f t="shared" si="20"/>
        <v>-7</v>
      </c>
      <c r="AU200" s="397">
        <f t="shared" si="20"/>
        <v>3197.1656170815995</v>
      </c>
      <c r="AV200" s="397">
        <f t="shared" si="20"/>
        <v>7</v>
      </c>
      <c r="AW200" s="525">
        <f t="shared" si="20"/>
        <v>-0.56407999999999991</v>
      </c>
      <c r="AX200" s="404" t="str">
        <f>VLOOKUP($C200,'ТР нефть'!$A$29:$GC$641,182,0)</f>
        <v>Технология</v>
      </c>
      <c r="AY200" s="406" t="str">
        <f>VLOOKUP($C200,'ТР нефть'!$A$29:$GC$641,183,0)</f>
        <v>Неоптимальная работа ПО</v>
      </c>
      <c r="AZ200" s="463">
        <f t="shared" si="23"/>
        <v>12.20770284096</v>
      </c>
      <c r="BA200" s="408">
        <f t="shared" si="21"/>
        <v>15.352</v>
      </c>
      <c r="BB200" s="669">
        <f t="shared" si="21"/>
        <v>4.8819999999999997</v>
      </c>
      <c r="BC200" s="409">
        <v>45097</v>
      </c>
      <c r="BD200" s="406" t="s">
        <v>2223</v>
      </c>
      <c r="BF200" s="1143"/>
    </row>
    <row r="201" spans="1:58" ht="41.25" customHeight="1" x14ac:dyDescent="0.25">
      <c r="A201" s="373"/>
      <c r="B201" s="392">
        <f t="shared" si="22"/>
        <v>17</v>
      </c>
      <c r="C201" s="668">
        <v>3317</v>
      </c>
      <c r="D201" s="394" t="str">
        <f>VLOOKUP($C201,'ТР нефть'!$A$29:$GC$641,5,0)</f>
        <v>ВУ ОНГКМ</v>
      </c>
      <c r="E201" s="394" t="str">
        <f>VLOOKUP($C201,'ТР нефть'!$A$29:$GC$641,8,0)</f>
        <v>ТЛ-4</v>
      </c>
      <c r="F201" s="395" t="str">
        <f>VLOOKUP($C201,'ТР нефть'!$A$29:$GC$641,11,0)</f>
        <v>К-1526</v>
      </c>
      <c r="G201" s="392" t="str">
        <f>VLOOKUP($C201,'ТР нефть'!$A$29:$GC$641,47,0)</f>
        <v>ЭЦН</v>
      </c>
      <c r="H201" s="396">
        <f>VLOOKUP($C201,'ТР нефть'!$A$29:$GC$641,135,0)</f>
        <v>18</v>
      </c>
      <c r="I201" s="397">
        <f>VLOOKUP($C201,'ТР нефть'!$A$29:$GC$641,136,0)</f>
        <v>13</v>
      </c>
      <c r="J201" s="397">
        <f>VLOOKUP($C201,'ТР нефть'!$A$29:$GC$641,137,0)</f>
        <v>12</v>
      </c>
      <c r="K201" s="397">
        <f>VLOOKUP($C201,'ТР нефть'!$A$29:$GC$641,138,0)</f>
        <v>12</v>
      </c>
      <c r="L201" s="397" t="str">
        <f>VLOOKUP($C201,'ТР нефть'!$A$29:$GC$641,139,0)</f>
        <v>Периодический</v>
      </c>
      <c r="M201" s="397">
        <f>VLOOKUP($C201,'ТР нефть'!$A$29:$GC$641,140,0)</f>
        <v>7</v>
      </c>
      <c r="N201" s="397">
        <f>VLOOKUP($C201,'ТР нефть'!$A$29:$GC$641,141,0)</f>
        <v>17</v>
      </c>
      <c r="O201" s="398">
        <f>VLOOKUP($C201,'ТР нефть'!$A$29:$GC$641,142,0)</f>
        <v>8.3946689199999991</v>
      </c>
      <c r="P201" s="399">
        <f>VLOOKUP($C201,'ТР нефть'!$A$29:$GC$641,143,0)</f>
        <v>10.3</v>
      </c>
      <c r="Q201" s="400">
        <f>VLOOKUP($C201,'ТР нефть'!$A$29:$GC$641,144,0)</f>
        <v>2.5099999999999998</v>
      </c>
      <c r="R201" s="397">
        <f>VLOOKUP($C201,'ТР нефть'!$A$29:$GC$641,145,0)</f>
        <v>9.6999999999999993</v>
      </c>
      <c r="S201" s="397">
        <f>VLOOKUP($C201,'ТР нефть'!$A$29:$GC$641,146,0)</f>
        <v>1155.4952425687802</v>
      </c>
      <c r="T201" s="397">
        <f>VLOOKUP($C201,'ТР нефть'!$A$29:$GC$641,149,0)</f>
        <v>57.713825950819995</v>
      </c>
      <c r="U201" s="403">
        <f>VLOOKUP($C201,'ТР нефть'!$A$29:$GC$641,150,0)</f>
        <v>0.20898355773613486</v>
      </c>
      <c r="V201" s="402" t="str">
        <f>VLOOKUP($C201,'ТР нефть'!$A$29:$GC$641,47,0)</f>
        <v>ЭЦН</v>
      </c>
      <c r="W201" s="396">
        <f>VLOOKUP($C201,'ТР нефть'!$A$29:$GC$641,74,0)</f>
        <v>18</v>
      </c>
      <c r="X201" s="397">
        <f>VLOOKUP($C201,'ТР нефть'!$A$29:$GC$641,79,0)</f>
        <v>14</v>
      </c>
      <c r="Y201" s="397">
        <f>VLOOKUP($C201,'ТР нефть'!$A$29:$GC$641,80,0)</f>
        <v>13</v>
      </c>
      <c r="Z201" s="397">
        <f>VLOOKUP($C201,'ТР нефть'!$A$29:$GC$641,81,0)</f>
        <v>13</v>
      </c>
      <c r="AA201" s="397" t="str">
        <f>VLOOKUP($C201,'ТР нефть'!$A$29:$GC$641,76,0)</f>
        <v>Периодический</v>
      </c>
      <c r="AB201" s="397">
        <f>VLOOKUP($C201,'ТР нефть'!$A$29:$GC$641,77,0)</f>
        <v>7</v>
      </c>
      <c r="AC201" s="397">
        <f>VLOOKUP($C201,'ТР нефть'!$A$29:$GC$641,78,0)</f>
        <v>17</v>
      </c>
      <c r="AD201" s="398">
        <f>VLOOKUP($C201,'ТР нефть'!$A$29:$GC$641,93,0)</f>
        <v>6.5542399999999992</v>
      </c>
      <c r="AE201" s="399">
        <f>VLOOKUP($C201,'ТР нефть'!$A$29:$GC$641,94,0)</f>
        <v>8</v>
      </c>
      <c r="AF201" s="400">
        <f>VLOOKUP($C201,'ТР нефть'!$A$29:$GC$641,95,0)</f>
        <v>2</v>
      </c>
      <c r="AG201" s="397">
        <f>VLOOKUP($C201,'ТР нефть'!$A$29:$GC$641,99,0)</f>
        <v>9.5</v>
      </c>
      <c r="AH201" s="397">
        <f>VLOOKUP($C201,'ТР нефть'!$A$29:$GC$641,100,0)</f>
        <v>1449.4434137291282</v>
      </c>
      <c r="AI201" s="397">
        <f>VLOOKUP($C201,'ТР нефть'!$A$29:$GC$641,92,0)</f>
        <v>57.67078828399999</v>
      </c>
      <c r="AJ201" s="403">
        <f>VLOOKUP($C201,'ТР нефть'!$A$29:$GC$641,102,0)</f>
        <v>0.16217571134235634</v>
      </c>
      <c r="AK201" s="404">
        <f t="shared" ref="AK201:AN221" si="24">W201-H201</f>
        <v>0</v>
      </c>
      <c r="AL201" s="397">
        <f t="shared" si="24"/>
        <v>1</v>
      </c>
      <c r="AM201" s="397">
        <f t="shared" si="24"/>
        <v>1</v>
      </c>
      <c r="AN201" s="397">
        <f t="shared" si="24"/>
        <v>1</v>
      </c>
      <c r="AO201" s="397">
        <f t="shared" ref="AO201:AW221" si="25">AB201-M201</f>
        <v>0</v>
      </c>
      <c r="AP201" s="397">
        <f t="shared" si="25"/>
        <v>0</v>
      </c>
      <c r="AQ201" s="398">
        <f t="shared" si="25"/>
        <v>-1.8404289199999999</v>
      </c>
      <c r="AR201" s="399">
        <f t="shared" si="25"/>
        <v>-2.3000000000000007</v>
      </c>
      <c r="AS201" s="400">
        <f t="shared" si="25"/>
        <v>-0.50999999999999979</v>
      </c>
      <c r="AT201" s="397">
        <f t="shared" si="25"/>
        <v>-0.19999999999999929</v>
      </c>
      <c r="AU201" s="397">
        <f t="shared" si="25"/>
        <v>293.94817116034801</v>
      </c>
      <c r="AV201" s="397">
        <f t="shared" si="25"/>
        <v>-4.3037666820005427E-2</v>
      </c>
      <c r="AW201" s="525">
        <f t="shared" si="25"/>
        <v>-4.6807846393778524E-2</v>
      </c>
      <c r="AX201" s="404" t="str">
        <f>VLOOKUP($C201,'ТР нефть'!$A$29:$GC$641,182,0)</f>
        <v>Технология</v>
      </c>
      <c r="AY201" s="406" t="str">
        <f>VLOOKUP($C201,'ТР нефть'!$A$29:$GC$641,183,0)</f>
        <v>Снижение дебита на фоне роста Рлин</v>
      </c>
      <c r="AZ201" s="463">
        <f t="shared" si="23"/>
        <v>8.3946689199999991</v>
      </c>
      <c r="BA201" s="408">
        <f t="shared" si="23"/>
        <v>10.3</v>
      </c>
      <c r="BB201" s="669">
        <f t="shared" si="23"/>
        <v>2.5099999999999998</v>
      </c>
      <c r="BC201" s="409" t="s">
        <v>192</v>
      </c>
      <c r="BD201" s="406" t="s">
        <v>192</v>
      </c>
      <c r="BF201" s="1143"/>
    </row>
    <row r="202" spans="1:58" ht="41.25" customHeight="1" x14ac:dyDescent="0.25">
      <c r="A202" s="373"/>
      <c r="B202" s="392">
        <f t="shared" si="22"/>
        <v>18</v>
      </c>
      <c r="C202" s="668">
        <v>3325</v>
      </c>
      <c r="D202" s="394" t="str">
        <f>VLOOKUP($C202,'ТР нефть'!$A$29:$GC$641,5,0)</f>
        <v>ВУ ОНГКМ</v>
      </c>
      <c r="E202" s="394" t="str">
        <f>VLOOKUP($C202,'ТР нефть'!$A$29:$GC$641,8,0)</f>
        <v>ТЛ-4</v>
      </c>
      <c r="F202" s="395" t="str">
        <f>VLOOKUP($C202,'ТР нефть'!$A$29:$GC$641,11,0)</f>
        <v>К-65</v>
      </c>
      <c r="G202" s="392" t="str">
        <f>VLOOKUP($C202,'ТР нефть'!$A$29:$GC$641,47,0)</f>
        <v>Газлифт</v>
      </c>
      <c r="H202" s="396">
        <f>VLOOKUP($C202,'ТР нефть'!$A$29:$GC$641,135,0)</f>
        <v>65</v>
      </c>
      <c r="I202" s="397">
        <f>VLOOKUP($C202,'ТР нефть'!$A$29:$GC$641,136,0)</f>
        <v>27</v>
      </c>
      <c r="J202" s="397">
        <f>VLOOKUP($C202,'ТР нефть'!$A$29:$GC$641,137,0)</f>
        <v>68</v>
      </c>
      <c r="K202" s="397">
        <f>VLOOKUP($C202,'ТР нефть'!$A$29:$GC$641,138,0)</f>
        <v>26</v>
      </c>
      <c r="L202" s="397" t="str">
        <f>VLOOKUP($C202,'ТР нефть'!$A$29:$GC$641,139,0)</f>
        <v>Постоянный</v>
      </c>
      <c r="M202" s="397">
        <f>VLOOKUP($C202,'ТР нефть'!$A$29:$GC$641,140,0)</f>
        <v>24</v>
      </c>
      <c r="N202" s="397">
        <f>VLOOKUP($C202,'ТР нефть'!$A$29:$GC$641,141,0)</f>
        <v>0</v>
      </c>
      <c r="O202" s="398">
        <f>VLOOKUP($C202,'ТР нефть'!$A$29:$GC$641,142,0)</f>
        <v>6.1719873600000001</v>
      </c>
      <c r="P202" s="399">
        <f>VLOOKUP($C202,'ТР нефть'!$A$29:$GC$641,143,0)</f>
        <v>9.4</v>
      </c>
      <c r="Q202" s="400">
        <f>VLOOKUP($C202,'ТР нефть'!$A$29:$GC$641,144,0)</f>
        <v>21.46</v>
      </c>
      <c r="R202" s="397">
        <f>VLOOKUP($C202,'ТР нефть'!$A$29:$GC$641,145,0)</f>
        <v>11.7</v>
      </c>
      <c r="S202" s="397">
        <f>VLOOKUP($C202,'ТР нефть'!$A$29:$GC$641,146,0)</f>
        <v>729.100650653309</v>
      </c>
      <c r="T202" s="397">
        <f>VLOOKUP($C202,'ТР нефть'!$A$29:$GC$641,149,0)</f>
        <v>74</v>
      </c>
      <c r="U202" s="403">
        <f>VLOOKUP($C202,'ТР нефть'!$A$29:$GC$641,150,0)</f>
        <v>0.26857142857142857</v>
      </c>
      <c r="V202" s="402" t="str">
        <f>VLOOKUP($C202,'ТР нефть'!$A$29:$GC$641,47,0)</f>
        <v>Газлифт</v>
      </c>
      <c r="W202" s="396">
        <f>VLOOKUP($C202,'ТР нефть'!$A$29:$GC$641,74,0)</f>
        <v>65</v>
      </c>
      <c r="X202" s="397">
        <f>VLOOKUP($C202,'ТР нефть'!$A$29:$GC$641,79,0)</f>
        <v>25</v>
      </c>
      <c r="Y202" s="397">
        <f>VLOOKUP($C202,'ТР нефть'!$A$29:$GC$641,80,0)</f>
        <v>66</v>
      </c>
      <c r="Z202" s="397">
        <f>VLOOKUP($C202,'ТР нефть'!$A$29:$GC$641,81,0)</f>
        <v>24</v>
      </c>
      <c r="AA202" s="397" t="str">
        <f>VLOOKUP($C202,'ТР нефть'!$A$29:$GC$641,76,0)</f>
        <v>Постоянный</v>
      </c>
      <c r="AB202" s="397">
        <f>VLOOKUP($C202,'ТР нефть'!$A$29:$GC$641,77,0)</f>
        <v>24</v>
      </c>
      <c r="AC202" s="397">
        <f>VLOOKUP($C202,'ТР нефть'!$A$29:$GC$641,78,0)</f>
        <v>0</v>
      </c>
      <c r="AD202" s="398">
        <f>VLOOKUP($C202,'ТР нефть'!$A$29:$GC$641,93,0)</f>
        <v>3.9291999999999994</v>
      </c>
      <c r="AE202" s="399">
        <f>VLOOKUP($C202,'ТР нефть'!$A$29:$GC$641,94,0)</f>
        <v>5</v>
      </c>
      <c r="AF202" s="400">
        <f>VLOOKUP($C202,'ТР нефть'!$A$29:$GC$641,95,0)</f>
        <v>6</v>
      </c>
      <c r="AG202" s="397">
        <f>VLOOKUP($C202,'ТР нефть'!$A$29:$GC$641,99,0)</f>
        <v>2.1999999999999993</v>
      </c>
      <c r="AH202" s="397">
        <f>VLOOKUP($C202,'ТР нефть'!$A$29:$GC$641,100,0)</f>
        <v>559.91041433370651</v>
      </c>
      <c r="AI202" s="397">
        <f>VLOOKUP($C202,'ТР нефть'!$A$29:$GC$641,92,0)</f>
        <v>93</v>
      </c>
      <c r="AJ202" s="403">
        <f>VLOOKUP($C202,'ТР нефть'!$A$29:$GC$641,102,0)</f>
        <v>8.0645161290322578E-2</v>
      </c>
      <c r="AK202" s="404">
        <f t="shared" si="24"/>
        <v>0</v>
      </c>
      <c r="AL202" s="397">
        <f t="shared" si="24"/>
        <v>-2</v>
      </c>
      <c r="AM202" s="397">
        <f t="shared" si="24"/>
        <v>-2</v>
      </c>
      <c r="AN202" s="397">
        <f t="shared" si="24"/>
        <v>-2</v>
      </c>
      <c r="AO202" s="397">
        <f t="shared" si="25"/>
        <v>0</v>
      </c>
      <c r="AP202" s="397">
        <f t="shared" si="25"/>
        <v>0</v>
      </c>
      <c r="AQ202" s="398">
        <f t="shared" si="25"/>
        <v>-2.2427873600000008</v>
      </c>
      <c r="AR202" s="399">
        <f t="shared" si="25"/>
        <v>-4.4000000000000004</v>
      </c>
      <c r="AS202" s="400">
        <f t="shared" si="25"/>
        <v>-15.46</v>
      </c>
      <c r="AT202" s="397">
        <f t="shared" si="25"/>
        <v>-9.5</v>
      </c>
      <c r="AU202" s="397">
        <f t="shared" si="25"/>
        <v>-169.19023631960249</v>
      </c>
      <c r="AV202" s="397">
        <f t="shared" si="25"/>
        <v>19</v>
      </c>
      <c r="AW202" s="525">
        <f t="shared" si="25"/>
        <v>-0.18792626728110601</v>
      </c>
      <c r="AX202" s="404" t="str">
        <f>VLOOKUP($C202,'ТР нефть'!$A$29:$GC$641,182,0)</f>
        <v>Технология</v>
      </c>
      <c r="AY202" s="406" t="str">
        <f>VLOOKUP($C202,'ТР нефть'!$A$29:$GC$641,183,0)</f>
        <v>Неоптимальная работа ПО</v>
      </c>
      <c r="AZ202" s="463">
        <f t="shared" si="23"/>
        <v>6.1719873600000001</v>
      </c>
      <c r="BA202" s="408">
        <f t="shared" si="23"/>
        <v>9.4</v>
      </c>
      <c r="BB202" s="669">
        <f t="shared" si="23"/>
        <v>21.46</v>
      </c>
      <c r="BC202" s="409">
        <v>45113</v>
      </c>
      <c r="BD202" s="406" t="s">
        <v>2223</v>
      </c>
      <c r="BF202" s="1143"/>
    </row>
    <row r="203" spans="1:58" ht="41.25" customHeight="1" x14ac:dyDescent="0.25">
      <c r="A203" s="373"/>
      <c r="B203" s="392">
        <f t="shared" si="22"/>
        <v>19</v>
      </c>
      <c r="C203" s="668">
        <v>3401</v>
      </c>
      <c r="D203" s="394" t="str">
        <f>VLOOKUP($C203,'ТР нефть'!$A$29:$GC$641,5,0)</f>
        <v>ВУ ОНГКМ</v>
      </c>
      <c r="E203" s="394" t="str">
        <f>VLOOKUP($C203,'ТР нефть'!$A$29:$GC$641,8,0)</f>
        <v>ТЛ-4</v>
      </c>
      <c r="F203" s="395" t="str">
        <f>VLOOKUP($C203,'ТР нефть'!$A$29:$GC$641,11,0)</f>
        <v>К-1609</v>
      </c>
      <c r="G203" s="392" t="str">
        <f>VLOOKUP($C203,'ТР нефть'!$A$29:$GC$641,47,0)</f>
        <v>ЭЦН</v>
      </c>
      <c r="H203" s="396">
        <f>VLOOKUP($C203,'ТР нефть'!$A$29:$GC$641,135,0)</f>
        <v>18</v>
      </c>
      <c r="I203" s="397">
        <f>VLOOKUP($C203,'ТР нефть'!$A$29:$GC$641,136,0)</f>
        <v>35</v>
      </c>
      <c r="J203" s="397">
        <f>VLOOKUP($C203,'ТР нефть'!$A$29:$GC$641,137,0)</f>
        <v>34</v>
      </c>
      <c r="K203" s="397">
        <f>VLOOKUP($C203,'ТР нефть'!$A$29:$GC$641,138,0)</f>
        <v>34</v>
      </c>
      <c r="L203" s="397" t="str">
        <f>VLOOKUP($C203,'ТР нефть'!$A$29:$GC$641,139,0)</f>
        <v>Периодический</v>
      </c>
      <c r="M203" s="397">
        <f>VLOOKUP($C203,'ТР нефть'!$A$29:$GC$641,140,0)</f>
        <v>5</v>
      </c>
      <c r="N203" s="397">
        <f>VLOOKUP($C203,'ТР нефть'!$A$29:$GC$641,141,0)</f>
        <v>19</v>
      </c>
      <c r="O203" s="398">
        <f>VLOOKUP($C203,'ТР нефть'!$A$29:$GC$641,142,0)</f>
        <v>6.1445999999999996</v>
      </c>
      <c r="P203" s="399">
        <f>VLOOKUP($C203,'ТР нефть'!$A$29:$GC$641,143,0)</f>
        <v>21</v>
      </c>
      <c r="Q203" s="400">
        <f>VLOOKUP($C203,'ТР нефть'!$A$29:$GC$641,144,0)</f>
        <v>65</v>
      </c>
      <c r="R203" s="397">
        <f>VLOOKUP($C203,'ТР нефть'!$A$29:$GC$641,145,0)</f>
        <v>15.36</v>
      </c>
      <c r="S203" s="397">
        <f>VLOOKUP($C203,'ТР нефть'!$A$29:$GC$641,146,0)</f>
        <v>2499.7558832145301</v>
      </c>
      <c r="T203" s="397">
        <f>VLOOKUP($C203,'ТР нефть'!$A$29:$GC$641,149,0)</f>
        <v>64.503056437500007</v>
      </c>
      <c r="U203" s="403">
        <f>VLOOKUP($C203,'ТР нефть'!$A$29:$GC$641,150,0)</f>
        <v>0.3360164322115845</v>
      </c>
      <c r="V203" s="402" t="str">
        <f>VLOOKUP($C203,'ТР нефть'!$A$29:$GC$641,47,0)</f>
        <v>ЭЦН</v>
      </c>
      <c r="W203" s="396">
        <f>VLOOKUP($C203,'ТР нефть'!$A$29:$GC$641,74,0)</f>
        <v>18</v>
      </c>
      <c r="X203" s="397">
        <f>VLOOKUP($C203,'ТР нефть'!$A$29:$GC$641,79,0)</f>
        <v>35</v>
      </c>
      <c r="Y203" s="397">
        <f>VLOOKUP($C203,'ТР нефть'!$A$29:$GC$641,80,0)</f>
        <v>34</v>
      </c>
      <c r="Z203" s="397">
        <f>VLOOKUP($C203,'ТР нефть'!$A$29:$GC$641,81,0)</f>
        <v>43</v>
      </c>
      <c r="AA203" s="397" t="str">
        <f>VLOOKUP($C203,'ТР нефть'!$A$29:$GC$641,76,0)</f>
        <v>Периодический</v>
      </c>
      <c r="AB203" s="397">
        <f>VLOOKUP($C203,'ТР нефть'!$A$29:$GC$641,77,0)</f>
        <v>5</v>
      </c>
      <c r="AC203" s="397">
        <f>VLOOKUP($C203,'ТР нефть'!$A$29:$GC$641,78,0)</f>
        <v>19</v>
      </c>
      <c r="AD203" s="398">
        <f>VLOOKUP($C203,'ТР нефть'!$A$29:$GC$641,93,0)</f>
        <v>4.0963999999999992</v>
      </c>
      <c r="AE203" s="399">
        <f>VLOOKUP($C203,'ТР нефть'!$A$29:$GC$641,94,0)</f>
        <v>14</v>
      </c>
      <c r="AF203" s="400">
        <f>VLOOKUP($C203,'ТР нефть'!$A$29:$GC$641,95,0)</f>
        <v>65</v>
      </c>
      <c r="AG203" s="397">
        <f>VLOOKUP($C203,'ТР нефть'!$A$29:$GC$641,99,0)</f>
        <v>15.36</v>
      </c>
      <c r="AH203" s="397">
        <f>VLOOKUP($C203,'ТР нефть'!$A$29:$GC$641,100,0)</f>
        <v>3749.6338248217953</v>
      </c>
      <c r="AI203" s="397">
        <f>VLOOKUP($C203,'ТР нефть'!$A$29:$GC$641,92,0)</f>
        <v>64.503056437500007</v>
      </c>
      <c r="AJ203" s="403">
        <f>VLOOKUP($C203,'ТР нефть'!$A$29:$GC$641,102,0)</f>
        <v>0.22401095480772298</v>
      </c>
      <c r="AK203" s="404">
        <f t="shared" si="24"/>
        <v>0</v>
      </c>
      <c r="AL203" s="397">
        <f t="shared" si="24"/>
        <v>0</v>
      </c>
      <c r="AM203" s="397">
        <f t="shared" si="24"/>
        <v>0</v>
      </c>
      <c r="AN203" s="397">
        <f t="shared" si="24"/>
        <v>9</v>
      </c>
      <c r="AO203" s="397">
        <f t="shared" si="25"/>
        <v>0</v>
      </c>
      <c r="AP203" s="397">
        <f t="shared" si="25"/>
        <v>0</v>
      </c>
      <c r="AQ203" s="398">
        <f t="shared" si="25"/>
        <v>-2.0482000000000005</v>
      </c>
      <c r="AR203" s="399">
        <f t="shared" si="25"/>
        <v>-7</v>
      </c>
      <c r="AS203" s="400">
        <f t="shared" si="25"/>
        <v>0</v>
      </c>
      <c r="AT203" s="397">
        <f t="shared" si="25"/>
        <v>0</v>
      </c>
      <c r="AU203" s="397">
        <f t="shared" si="25"/>
        <v>1249.8779416072653</v>
      </c>
      <c r="AV203" s="397">
        <f t="shared" si="25"/>
        <v>0</v>
      </c>
      <c r="AW203" s="525">
        <f t="shared" si="25"/>
        <v>-0.11200547740386152</v>
      </c>
      <c r="AX203" s="404" t="str">
        <f>VLOOKUP($C203,'ТР нефть'!$A$29:$GC$641,182,0)</f>
        <v>Технология</v>
      </c>
      <c r="AY203" s="406" t="str">
        <f>VLOOKUP($C203,'ТР нефть'!$A$29:$GC$641,183,0)</f>
        <v>Снижение дебита на фоне роста Рлин</v>
      </c>
      <c r="AZ203" s="463">
        <f t="shared" si="23"/>
        <v>6.1445999999999996</v>
      </c>
      <c r="BA203" s="408">
        <f t="shared" si="23"/>
        <v>21</v>
      </c>
      <c r="BB203" s="669">
        <f t="shared" si="23"/>
        <v>65</v>
      </c>
      <c r="BC203" s="409" t="s">
        <v>192</v>
      </c>
      <c r="BD203" s="406" t="s">
        <v>192</v>
      </c>
      <c r="BF203" s="1143"/>
    </row>
    <row r="204" spans="1:58" ht="41.25" customHeight="1" x14ac:dyDescent="0.25">
      <c r="A204" s="373"/>
      <c r="B204" s="392">
        <f t="shared" si="22"/>
        <v>20</v>
      </c>
      <c r="C204" s="668">
        <v>3406</v>
      </c>
      <c r="D204" s="394" t="str">
        <f>VLOOKUP($C204,'ТР нефть'!$A$29:$GC$641,5,0)</f>
        <v>ВУ ОНГКМ</v>
      </c>
      <c r="E204" s="394" t="str">
        <f>VLOOKUP($C204,'ТР нефть'!$A$29:$GC$641,8,0)</f>
        <v>ТЛ-4</v>
      </c>
      <c r="F204" s="395" t="str">
        <f>VLOOKUP($C204,'ТР нефть'!$A$29:$GC$641,11,0)</f>
        <v>К-64</v>
      </c>
      <c r="G204" s="392" t="str">
        <f>VLOOKUP($C204,'ТР нефть'!$A$29:$GC$641,47,0)</f>
        <v>Газлифт</v>
      </c>
      <c r="H204" s="396">
        <f>VLOOKUP($C204,'ТР нефть'!$A$29:$GC$641,135,0)</f>
        <v>12</v>
      </c>
      <c r="I204" s="397">
        <f>VLOOKUP($C204,'ТР нефть'!$A$29:$GC$641,136,0)</f>
        <v>36</v>
      </c>
      <c r="J204" s="397">
        <f>VLOOKUP($C204,'ТР нефть'!$A$29:$GC$641,137,0)</f>
        <v>62</v>
      </c>
      <c r="K204" s="397">
        <f>VLOOKUP($C204,'ТР нефть'!$A$29:$GC$641,138,0)</f>
        <v>35</v>
      </c>
      <c r="L204" s="397" t="str">
        <f>VLOOKUP($C204,'ТР нефть'!$A$29:$GC$641,139,0)</f>
        <v>Постоянный</v>
      </c>
      <c r="M204" s="397">
        <f>VLOOKUP($C204,'ТР нефть'!$A$29:$GC$641,140,0)</f>
        <v>24</v>
      </c>
      <c r="N204" s="397">
        <f>VLOOKUP($C204,'ТР нефть'!$A$29:$GC$641,141,0)</f>
        <v>0</v>
      </c>
      <c r="O204" s="398">
        <f>VLOOKUP($C204,'ТР нефть'!$A$29:$GC$641,142,0)</f>
        <v>12.038399999999999</v>
      </c>
      <c r="P204" s="399">
        <f>VLOOKUP($C204,'ТР нефть'!$A$29:$GC$641,143,0)</f>
        <v>16</v>
      </c>
      <c r="Q204" s="400">
        <f>VLOOKUP($C204,'ТР нефть'!$A$29:$GC$641,144,0)</f>
        <v>10</v>
      </c>
      <c r="R204" s="397">
        <f>VLOOKUP($C204,'ТР нефть'!$A$29:$GC$641,145,0)</f>
        <v>14</v>
      </c>
      <c r="S204" s="397">
        <f>VLOOKUP($C204,'ТР нефть'!$A$29:$GC$641,146,0)</f>
        <v>415.33758639021801</v>
      </c>
      <c r="T204" s="397">
        <f>VLOOKUP($C204,'ТР нефть'!$A$29:$GC$641,149,0)</f>
        <v>71</v>
      </c>
      <c r="U204" s="403">
        <f>VLOOKUP($C204,'ТР нефть'!$A$29:$GC$641,150,0)</f>
        <v>0.4</v>
      </c>
      <c r="V204" s="402" t="str">
        <f>VLOOKUP($C204,'ТР нефть'!$A$29:$GC$641,47,0)</f>
        <v>Газлифт</v>
      </c>
      <c r="W204" s="396">
        <f>VLOOKUP($C204,'ТР нефть'!$A$29:$GC$641,74,0)</f>
        <v>12</v>
      </c>
      <c r="X204" s="397">
        <f>VLOOKUP($C204,'ТР нефть'!$A$29:$GC$641,79,0)</f>
        <v>38</v>
      </c>
      <c r="Y204" s="397">
        <f>VLOOKUP($C204,'ТР нефть'!$A$29:$GC$641,80,0)</f>
        <v>59</v>
      </c>
      <c r="Z204" s="397">
        <f>VLOOKUP($C204,'ТР нефть'!$A$29:$GC$641,81,0)</f>
        <v>37</v>
      </c>
      <c r="AA204" s="397" t="str">
        <f>VLOOKUP($C204,'ТР нефть'!$A$29:$GC$641,76,0)</f>
        <v>Постоянный</v>
      </c>
      <c r="AB204" s="397">
        <f>VLOOKUP($C204,'ТР нефть'!$A$29:$GC$641,77,0)</f>
        <v>24</v>
      </c>
      <c r="AC204" s="397">
        <f>VLOOKUP($C204,'ТР нефть'!$A$29:$GC$641,78,0)</f>
        <v>0</v>
      </c>
      <c r="AD204" s="398">
        <f>VLOOKUP($C204,'ТР нефть'!$A$29:$GC$641,93,0)</f>
        <v>9.7812000000000001</v>
      </c>
      <c r="AE204" s="399">
        <f>VLOOKUP($C204,'ТР нефть'!$A$29:$GC$641,94,0)</f>
        <v>13</v>
      </c>
      <c r="AF204" s="400">
        <f>VLOOKUP($C204,'ТР нефть'!$A$29:$GC$641,95,0)</f>
        <v>10</v>
      </c>
      <c r="AG204" s="397">
        <f>VLOOKUP($C204,'ТР нефть'!$A$29:$GC$641,99,0)</f>
        <v>4.3000000000000007</v>
      </c>
      <c r="AH204" s="397">
        <f>VLOOKUP($C204,'ТР нефть'!$A$29:$GC$641,100,0)</f>
        <v>439.61886067149231</v>
      </c>
      <c r="AI204" s="397">
        <f>VLOOKUP($C204,'ТР нефть'!$A$29:$GC$641,92,0)</f>
        <v>75</v>
      </c>
      <c r="AJ204" s="403">
        <f>VLOOKUP($C204,'ТР нефть'!$A$29:$GC$641,102,0)</f>
        <v>0.3611111111111111</v>
      </c>
      <c r="AK204" s="404">
        <f t="shared" si="24"/>
        <v>0</v>
      </c>
      <c r="AL204" s="397">
        <f t="shared" si="24"/>
        <v>2</v>
      </c>
      <c r="AM204" s="397">
        <f t="shared" si="24"/>
        <v>-3</v>
      </c>
      <c r="AN204" s="397">
        <f t="shared" si="24"/>
        <v>2</v>
      </c>
      <c r="AO204" s="397">
        <f t="shared" si="25"/>
        <v>0</v>
      </c>
      <c r="AP204" s="397">
        <f t="shared" si="25"/>
        <v>0</v>
      </c>
      <c r="AQ204" s="398">
        <f t="shared" si="25"/>
        <v>-2.2571999999999992</v>
      </c>
      <c r="AR204" s="399">
        <f t="shared" si="25"/>
        <v>-3</v>
      </c>
      <c r="AS204" s="400">
        <f t="shared" si="25"/>
        <v>0</v>
      </c>
      <c r="AT204" s="397">
        <f t="shared" si="25"/>
        <v>-9.6999999999999993</v>
      </c>
      <c r="AU204" s="397">
        <f t="shared" si="25"/>
        <v>24.281274281274307</v>
      </c>
      <c r="AV204" s="397">
        <f t="shared" si="25"/>
        <v>4</v>
      </c>
      <c r="AW204" s="525">
        <f t="shared" si="25"/>
        <v>-3.8888888888888917E-2</v>
      </c>
      <c r="AX204" s="404" t="str">
        <f>VLOOKUP($C204,'ТР нефть'!$A$29:$GC$641,182,0)</f>
        <v>Технология</v>
      </c>
      <c r="AY204" s="406" t="str">
        <f>VLOOKUP($C204,'ТР нефть'!$A$29:$GC$641,183,0)</f>
        <v>Снижение дебита на фоне роста Рлин, в  связи с запуском фонтанов 1609;1333</v>
      </c>
      <c r="AZ204" s="463">
        <f t="shared" si="23"/>
        <v>12.038399999999999</v>
      </c>
      <c r="BA204" s="408">
        <f t="shared" si="23"/>
        <v>16</v>
      </c>
      <c r="BB204" s="669">
        <f t="shared" si="23"/>
        <v>10</v>
      </c>
      <c r="BC204" s="409" t="s">
        <v>192</v>
      </c>
      <c r="BD204" s="406" t="s">
        <v>192</v>
      </c>
      <c r="BF204" s="1143"/>
    </row>
    <row r="205" spans="1:58" ht="41.25" customHeight="1" x14ac:dyDescent="0.25">
      <c r="A205" s="373"/>
      <c r="B205" s="392">
        <f t="shared" si="22"/>
        <v>21</v>
      </c>
      <c r="C205" s="668">
        <v>3407</v>
      </c>
      <c r="D205" s="394" t="str">
        <f>VLOOKUP($C205,'ТР нефть'!$A$29:$GC$641,5,0)</f>
        <v>ВУ ОНГКМ</v>
      </c>
      <c r="E205" s="394" t="str">
        <f>VLOOKUP($C205,'ТР нефть'!$A$29:$GC$641,8,0)</f>
        <v>ТЛ-4</v>
      </c>
      <c r="F205" s="395" t="str">
        <f>VLOOKUP($C205,'ТР нефть'!$A$29:$GC$641,11,0)</f>
        <v>К-3409</v>
      </c>
      <c r="G205" s="392" t="str">
        <f>VLOOKUP($C205,'ТР нефть'!$A$29:$GC$641,47,0)</f>
        <v>ЭЦН</v>
      </c>
      <c r="H205" s="396">
        <f>VLOOKUP($C205,'ТР нефть'!$A$29:$GC$641,135,0)</f>
        <v>65</v>
      </c>
      <c r="I205" s="397">
        <f>VLOOKUP($C205,'ТР нефть'!$A$29:$GC$641,136,0)</f>
        <v>41</v>
      </c>
      <c r="J205" s="397">
        <f>VLOOKUP($C205,'ТР нефть'!$A$29:$GC$641,137,0)</f>
        <v>41</v>
      </c>
      <c r="K205" s="397">
        <f>VLOOKUP($C205,'ТР нефть'!$A$29:$GC$641,138,0)</f>
        <v>40</v>
      </c>
      <c r="L205" s="397" t="str">
        <f>VLOOKUP($C205,'ТР нефть'!$A$29:$GC$641,139,0)</f>
        <v>Периодический</v>
      </c>
      <c r="M205" s="397">
        <f>VLOOKUP($C205,'ТР нефть'!$A$29:$GC$641,140,0)</f>
        <v>3</v>
      </c>
      <c r="N205" s="397">
        <f>VLOOKUP($C205,'ТР нефть'!$A$29:$GC$641,141,0)</f>
        <v>21</v>
      </c>
      <c r="O205" s="398">
        <f>VLOOKUP($C205,'ТР нефть'!$A$29:$GC$641,142,0)</f>
        <v>8.3265599999999989</v>
      </c>
      <c r="P205" s="399">
        <f>VLOOKUP($C205,'ТР нефть'!$A$29:$GC$641,143,0)</f>
        <v>12</v>
      </c>
      <c r="Q205" s="400">
        <f>VLOOKUP($C205,'ТР нефть'!$A$29:$GC$641,144,0)</f>
        <v>17</v>
      </c>
      <c r="R205" s="397">
        <f>VLOOKUP($C205,'ТР нефть'!$A$29:$GC$641,145,0)</f>
        <v>6</v>
      </c>
      <c r="S205" s="397">
        <f>VLOOKUP($C205,'ТР нефть'!$A$29:$GC$641,146,0)</f>
        <v>720.58569205049878</v>
      </c>
      <c r="T205" s="397">
        <f>VLOOKUP($C205,'ТР нефть'!$A$29:$GC$641,149,0)</f>
        <v>92.241704722000009</v>
      </c>
      <c r="U205" s="403">
        <f>VLOOKUP($C205,'ТР нефть'!$A$29:$GC$641,150,0)</f>
        <v>0.30961114037467607</v>
      </c>
      <c r="V205" s="402" t="str">
        <f>VLOOKUP($C205,'ТР нефть'!$A$29:$GC$641,47,0)</f>
        <v>ЭЦН</v>
      </c>
      <c r="W205" s="396">
        <f>VLOOKUP($C205,'ТР нефть'!$A$29:$GC$641,74,0)</f>
        <v>65</v>
      </c>
      <c r="X205" s="397">
        <f>VLOOKUP($C205,'ТР нефть'!$A$29:$GC$641,79,0)</f>
        <v>42</v>
      </c>
      <c r="Y205" s="397">
        <f>VLOOKUP($C205,'ТР нефть'!$A$29:$GC$641,80,0)</f>
        <v>42</v>
      </c>
      <c r="Z205" s="397">
        <f>VLOOKUP($C205,'ТР нефть'!$A$29:$GC$641,81,0)</f>
        <v>42</v>
      </c>
      <c r="AA205" s="397" t="str">
        <f>VLOOKUP($C205,'ТР нефть'!$A$29:$GC$641,76,0)</f>
        <v>Периодический</v>
      </c>
      <c r="AB205" s="397">
        <f>VLOOKUP($C205,'ТР нефть'!$A$29:$GC$641,77,0)</f>
        <v>0.75</v>
      </c>
      <c r="AC205" s="397">
        <f>VLOOKUP($C205,'ТР нефть'!$A$29:$GC$641,78,0)</f>
        <v>1.8</v>
      </c>
      <c r="AD205" s="398">
        <f>VLOOKUP($C205,'ТР нефть'!$A$29:$GC$641,93,0)</f>
        <v>7.3568000000000007</v>
      </c>
      <c r="AE205" s="399">
        <f>VLOOKUP($C205,'ТР нефть'!$A$29:$GC$641,94,0)</f>
        <v>10</v>
      </c>
      <c r="AF205" s="400">
        <f>VLOOKUP($C205,'ТР нефть'!$A$29:$GC$641,95,0)</f>
        <v>12</v>
      </c>
      <c r="AG205" s="397">
        <f>VLOOKUP($C205,'ТР нефть'!$A$29:$GC$641,99,0)</f>
        <v>4</v>
      </c>
      <c r="AH205" s="397">
        <f>VLOOKUP($C205,'ТР нефть'!$A$29:$GC$641,100,0)</f>
        <v>543.7146585471944</v>
      </c>
      <c r="AI205" s="397">
        <f>VLOOKUP($C205,'ТР нефть'!$A$29:$GC$641,92,0)</f>
        <v>95.037136791999998</v>
      </c>
      <c r="AJ205" s="403">
        <f>VLOOKUP($C205,'ТР нефть'!$A$29:$GC$641,102,0)</f>
        <v>0.27806462300186052</v>
      </c>
      <c r="AK205" s="404">
        <f t="shared" si="24"/>
        <v>0</v>
      </c>
      <c r="AL205" s="397">
        <f t="shared" si="24"/>
        <v>1</v>
      </c>
      <c r="AM205" s="397">
        <f t="shared" si="24"/>
        <v>1</v>
      </c>
      <c r="AN205" s="397">
        <f t="shared" si="24"/>
        <v>2</v>
      </c>
      <c r="AO205" s="397">
        <f t="shared" si="25"/>
        <v>-2.25</v>
      </c>
      <c r="AP205" s="397">
        <f t="shared" si="25"/>
        <v>-19.2</v>
      </c>
      <c r="AQ205" s="398">
        <f t="shared" si="25"/>
        <v>-0.96975999999999818</v>
      </c>
      <c r="AR205" s="399">
        <f t="shared" si="25"/>
        <v>-2</v>
      </c>
      <c r="AS205" s="400">
        <f t="shared" si="25"/>
        <v>-5</v>
      </c>
      <c r="AT205" s="397">
        <f t="shared" si="25"/>
        <v>-2</v>
      </c>
      <c r="AU205" s="397">
        <f t="shared" si="25"/>
        <v>-176.87103350330437</v>
      </c>
      <c r="AV205" s="397">
        <f t="shared" si="25"/>
        <v>2.7954320699999897</v>
      </c>
      <c r="AW205" s="525">
        <f t="shared" si="25"/>
        <v>-3.1546517372815552E-2</v>
      </c>
      <c r="AX205" s="404" t="str">
        <f>VLOOKUP($C205,'ТР нефть'!$A$29:$GC$641,182,0)</f>
        <v>Технология</v>
      </c>
      <c r="AY205" s="406" t="str">
        <f>VLOOKUP($C205,'ТР нефть'!$A$29:$GC$641,183,0)</f>
        <v>Снижение дебита на фоне роста Рлин</v>
      </c>
      <c r="AZ205" s="463">
        <f t="shared" si="23"/>
        <v>8.3265599999999989</v>
      </c>
      <c r="BA205" s="408">
        <f t="shared" si="23"/>
        <v>12</v>
      </c>
      <c r="BB205" s="669">
        <f t="shared" si="23"/>
        <v>17</v>
      </c>
      <c r="BC205" s="409" t="s">
        <v>192</v>
      </c>
      <c r="BD205" s="406" t="s">
        <v>192</v>
      </c>
      <c r="BF205" s="1143"/>
    </row>
    <row r="206" spans="1:58" ht="41.25" customHeight="1" x14ac:dyDescent="0.25">
      <c r="A206" s="373"/>
      <c r="B206" s="392">
        <f t="shared" si="22"/>
        <v>22</v>
      </c>
      <c r="C206" s="668">
        <v>5914</v>
      </c>
      <c r="D206" s="394" t="str">
        <f>VLOOKUP($C206,'ТР нефть'!$A$29:$GC$641,5,0)</f>
        <v>ВУ ОНГКМ</v>
      </c>
      <c r="E206" s="394" t="str">
        <f>VLOOKUP($C206,'ТР нефть'!$A$29:$GC$641,8,0)</f>
        <v>ТЛ-4</v>
      </c>
      <c r="F206" s="395" t="str">
        <f>VLOOKUP($C206,'ТР нефть'!$A$29:$GC$641,11,0)</f>
        <v>К-5914</v>
      </c>
      <c r="G206" s="392" t="str">
        <f>VLOOKUP($C206,'ТР нефть'!$A$29:$GC$641,47,0)</f>
        <v>Газлифт</v>
      </c>
      <c r="H206" s="396">
        <f>VLOOKUP($C206,'ТР нефть'!$A$29:$GC$641,135,0)</f>
        <v>18</v>
      </c>
      <c r="I206" s="397">
        <f>VLOOKUP($C206,'ТР нефть'!$A$29:$GC$641,136,0)</f>
        <v>32</v>
      </c>
      <c r="J206" s="397">
        <f>VLOOKUP($C206,'ТР нефть'!$A$29:$GC$641,137,0)</f>
        <v>50</v>
      </c>
      <c r="K206" s="397">
        <f>VLOOKUP($C206,'ТР нефть'!$A$29:$GC$641,138,0)</f>
        <v>31</v>
      </c>
      <c r="L206" s="397" t="str">
        <f>VLOOKUP($C206,'ТР нефть'!$A$29:$GC$641,139,0)</f>
        <v>Постоянный</v>
      </c>
      <c r="M206" s="397">
        <f>VLOOKUP($C206,'ТР нефть'!$A$29:$GC$641,140,0)</f>
        <v>24</v>
      </c>
      <c r="N206" s="397">
        <f>VLOOKUP($C206,'ТР нефть'!$A$29:$GC$641,141,0)</f>
        <v>0</v>
      </c>
      <c r="O206" s="398">
        <f>VLOOKUP($C206,'ТР нефть'!$A$29:$GC$641,142,0)</f>
        <v>13.237223999999999</v>
      </c>
      <c r="P206" s="399">
        <f>VLOOKUP($C206,'ТР нефть'!$A$29:$GC$641,143,0)</f>
        <v>17.399999999999999</v>
      </c>
      <c r="Q206" s="400">
        <f>VLOOKUP($C206,'ТР нефть'!$A$29:$GC$641,144,0)</f>
        <v>9</v>
      </c>
      <c r="R206" s="397">
        <f>VLOOKUP($C206,'ТР нефть'!$A$29:$GC$641,145,0)</f>
        <v>18.5</v>
      </c>
      <c r="S206" s="397">
        <f>VLOOKUP($C206,'ТР нефть'!$A$29:$GC$641,146,0)</f>
        <v>563.56226955138038</v>
      </c>
      <c r="T206" s="397">
        <f>VLOOKUP($C206,'ТР нефть'!$A$29:$GC$641,149,0)</f>
        <v>54</v>
      </c>
      <c r="U206" s="403">
        <f>VLOOKUP($C206,'ТР нефть'!$A$29:$GC$641,150,0)</f>
        <v>0.3</v>
      </c>
      <c r="V206" s="402" t="str">
        <f>VLOOKUP($C206,'ТР нефть'!$A$29:$GC$641,47,0)</f>
        <v>Газлифт</v>
      </c>
      <c r="W206" s="396">
        <f>VLOOKUP($C206,'ТР нефть'!$A$29:$GC$641,74,0)</f>
        <v>18</v>
      </c>
      <c r="X206" s="397">
        <f>VLOOKUP($C206,'ТР нефть'!$A$29:$GC$641,79,0)</f>
        <v>34</v>
      </c>
      <c r="Y206" s="397">
        <f>VLOOKUP($C206,'ТР нефть'!$A$29:$GC$641,80,0)</f>
        <v>55</v>
      </c>
      <c r="Z206" s="397">
        <f>VLOOKUP($C206,'ТР нефть'!$A$29:$GC$641,81,0)</f>
        <v>33</v>
      </c>
      <c r="AA206" s="397" t="str">
        <f>VLOOKUP($C206,'ТР нефть'!$A$29:$GC$641,76,0)</f>
        <v>Постоянный</v>
      </c>
      <c r="AB206" s="397">
        <f>VLOOKUP($C206,'ТР нефть'!$A$29:$GC$641,77,0)</f>
        <v>24</v>
      </c>
      <c r="AC206" s="397">
        <f>VLOOKUP($C206,'ТР нефть'!$A$29:$GC$641,78,0)</f>
        <v>0</v>
      </c>
      <c r="AD206" s="398">
        <f>VLOOKUP($C206,'ТР нефть'!$A$29:$GC$641,93,0)</f>
        <v>11.506703999999999</v>
      </c>
      <c r="AE206" s="399">
        <f>VLOOKUP($C206,'ТР нефть'!$A$29:$GC$641,94,0)</f>
        <v>14.8</v>
      </c>
      <c r="AF206" s="400">
        <f>VLOOKUP($C206,'ТР нефть'!$A$29:$GC$641,95,0)</f>
        <v>7</v>
      </c>
      <c r="AG206" s="397">
        <f>VLOOKUP($C206,'ТР нефть'!$A$29:$GC$641,99,0)</f>
        <v>9.9</v>
      </c>
      <c r="AH206" s="397">
        <f>VLOOKUP($C206,'ТР нефть'!$A$29:$GC$641,100,0)</f>
        <v>860.36800807598775</v>
      </c>
      <c r="AI206" s="397">
        <f>VLOOKUP($C206,'ТР нефть'!$A$29:$GC$641,92,0)</f>
        <v>57</v>
      </c>
      <c r="AJ206" s="403">
        <f>VLOOKUP($C206,'ТР нефть'!$A$29:$GC$641,102,0)</f>
        <v>0.2690909090909091</v>
      </c>
      <c r="AK206" s="404">
        <f t="shared" si="24"/>
        <v>0</v>
      </c>
      <c r="AL206" s="397">
        <f t="shared" si="24"/>
        <v>2</v>
      </c>
      <c r="AM206" s="397">
        <f t="shared" si="24"/>
        <v>5</v>
      </c>
      <c r="AN206" s="397">
        <f t="shared" si="24"/>
        <v>2</v>
      </c>
      <c r="AO206" s="397">
        <f t="shared" si="25"/>
        <v>0</v>
      </c>
      <c r="AP206" s="397">
        <f t="shared" si="25"/>
        <v>0</v>
      </c>
      <c r="AQ206" s="398">
        <f t="shared" si="25"/>
        <v>-1.7305200000000003</v>
      </c>
      <c r="AR206" s="399">
        <f t="shared" si="25"/>
        <v>-2.5999999999999979</v>
      </c>
      <c r="AS206" s="400">
        <f t="shared" si="25"/>
        <v>-2</v>
      </c>
      <c r="AT206" s="397">
        <f t="shared" si="25"/>
        <v>-8.6</v>
      </c>
      <c r="AU206" s="397">
        <f t="shared" si="25"/>
        <v>296.80573852460736</v>
      </c>
      <c r="AV206" s="397">
        <f t="shared" si="25"/>
        <v>3</v>
      </c>
      <c r="AW206" s="525">
        <f t="shared" si="25"/>
        <v>-3.0909090909090886E-2</v>
      </c>
      <c r="AX206" s="404" t="str">
        <f>VLOOKUP($C206,'ТР нефть'!$A$29:$GC$641,182,0)</f>
        <v>Технология</v>
      </c>
      <c r="AY206" s="406" t="str">
        <f>VLOOKUP($C206,'ТР нефть'!$A$29:$GC$641,183,0)</f>
        <v>Снижение дебита на фоне роста Рлин</v>
      </c>
      <c r="AZ206" s="463">
        <f t="shared" si="23"/>
        <v>13.237223999999999</v>
      </c>
      <c r="BA206" s="408">
        <f t="shared" si="23"/>
        <v>17.399999999999999</v>
      </c>
      <c r="BB206" s="669">
        <f t="shared" si="23"/>
        <v>9</v>
      </c>
      <c r="BC206" s="409" t="s">
        <v>192</v>
      </c>
      <c r="BD206" s="406" t="s">
        <v>192</v>
      </c>
      <c r="BF206" s="1143"/>
    </row>
    <row r="207" spans="1:58" ht="41.25" customHeight="1" thickBot="1" x14ac:dyDescent="0.3">
      <c r="A207" s="373"/>
      <c r="B207" s="424">
        <f>B206+1</f>
        <v>23</v>
      </c>
      <c r="C207" s="670">
        <v>6306</v>
      </c>
      <c r="D207" s="426" t="str">
        <f>VLOOKUP($C207,'ТР нефть'!$A$29:$GC$641,5,0)</f>
        <v>ВУ ОНГКМ</v>
      </c>
      <c r="E207" s="426" t="str">
        <f>VLOOKUP($C207,'ТР нефть'!$A$29:$GC$641,8,0)</f>
        <v>ТЛ-4</v>
      </c>
      <c r="F207" s="427" t="str">
        <f>VLOOKUP($C207,'ТР нефть'!$A$29:$GC$641,11,0)</f>
        <v>К-64</v>
      </c>
      <c r="G207" s="424" t="str">
        <f>VLOOKUP($C207,'ТР нефть'!$A$29:$GC$641,47,0)</f>
        <v>Газлифт</v>
      </c>
      <c r="H207" s="428">
        <f>VLOOKUP($C207,'ТР нефть'!$A$29:$GC$641,135,0)</f>
        <v>65</v>
      </c>
      <c r="I207" s="429">
        <f>VLOOKUP($C207,'ТР нефть'!$A$29:$GC$641,136,0)</f>
        <v>36</v>
      </c>
      <c r="J207" s="429">
        <f>VLOOKUP($C207,'ТР нефть'!$A$29:$GC$641,137,0)</f>
        <v>52</v>
      </c>
      <c r="K207" s="429">
        <f>VLOOKUP($C207,'ТР нефть'!$A$29:$GC$641,138,0)</f>
        <v>35</v>
      </c>
      <c r="L207" s="429" t="str">
        <f>VLOOKUP($C207,'ТР нефть'!$A$29:$GC$641,139,0)</f>
        <v>Постоянный</v>
      </c>
      <c r="M207" s="429">
        <f>VLOOKUP($C207,'ТР нефть'!$A$29:$GC$641,140,0)</f>
        <v>24</v>
      </c>
      <c r="N207" s="429">
        <f>VLOOKUP($C207,'ТР нефть'!$A$29:$GC$641,141,0)</f>
        <v>0</v>
      </c>
      <c r="O207" s="430">
        <f>VLOOKUP($C207,'ТР нефть'!$A$29:$GC$641,142,0)</f>
        <v>15.048</v>
      </c>
      <c r="P207" s="431">
        <f>VLOOKUP($C207,'ТР нефть'!$A$29:$GC$641,143,0)</f>
        <v>18</v>
      </c>
      <c r="Q207" s="432">
        <f>VLOOKUP($C207,'ТР нефть'!$A$29:$GC$641,144,0)</f>
        <v>0</v>
      </c>
      <c r="R207" s="429">
        <f>VLOOKUP($C207,'ТР нефть'!$A$29:$GC$641,145,0)</f>
        <v>18</v>
      </c>
      <c r="S207" s="429">
        <f>VLOOKUP($C207,'ТР нефть'!$A$29:$GC$641,146,0)</f>
        <v>398.72408293460927</v>
      </c>
      <c r="T207" s="429">
        <f>VLOOKUP($C207,'ТР нефть'!$A$29:$GC$641,149,0)</f>
        <v>60</v>
      </c>
      <c r="U207" s="435">
        <f>VLOOKUP($C207,'ТР нефть'!$A$29:$GC$641,150,0)</f>
        <v>0.18</v>
      </c>
      <c r="V207" s="434" t="str">
        <f>VLOOKUP($C207,'ТР нефть'!$A$29:$GC$641,47,0)</f>
        <v>Газлифт</v>
      </c>
      <c r="W207" s="428">
        <f>VLOOKUP($C207,'ТР нефть'!$A$29:$GC$641,74,0)</f>
        <v>65</v>
      </c>
      <c r="X207" s="429">
        <f>VLOOKUP($C207,'ТР нефть'!$A$29:$GC$641,79,0)</f>
        <v>38</v>
      </c>
      <c r="Y207" s="429">
        <f>VLOOKUP($C207,'ТР нефть'!$A$29:$GC$641,80,0)</f>
        <v>55</v>
      </c>
      <c r="Z207" s="429">
        <f>VLOOKUP($C207,'ТР нефть'!$A$29:$GC$641,81,0)</f>
        <v>37</v>
      </c>
      <c r="AA207" s="429" t="str">
        <f>VLOOKUP($C207,'ТР нефть'!$A$29:$GC$641,76,0)</f>
        <v>Постоянный</v>
      </c>
      <c r="AB207" s="429">
        <f>VLOOKUP($C207,'ТР нефть'!$A$29:$GC$641,77,0)</f>
        <v>24</v>
      </c>
      <c r="AC207" s="429">
        <f>VLOOKUP($C207,'ТР нефть'!$A$29:$GC$641,78,0)</f>
        <v>0</v>
      </c>
      <c r="AD207" s="430">
        <f>VLOOKUP($C207,'ТР нефть'!$A$29:$GC$641,93,0)</f>
        <v>14.0448</v>
      </c>
      <c r="AE207" s="431">
        <f>VLOOKUP($C207,'ТР нефть'!$A$29:$GC$641,94,0)</f>
        <v>16.8</v>
      </c>
      <c r="AF207" s="432">
        <f>VLOOKUP($C207,'ТР нефть'!$A$29:$GC$641,95,0)</f>
        <v>0</v>
      </c>
      <c r="AG207" s="429">
        <f>VLOOKUP($C207,'ТР нефть'!$A$29:$GC$641,99,0)</f>
        <v>4</v>
      </c>
      <c r="AH207" s="429">
        <f>VLOOKUP($C207,'ТР нефть'!$A$29:$GC$641,100,0)</f>
        <v>284.80291638186372</v>
      </c>
      <c r="AI207" s="429">
        <f>VLOOKUP($C207,'ТР нефть'!$A$29:$GC$641,92,0)</f>
        <v>60</v>
      </c>
      <c r="AJ207" s="435">
        <f>VLOOKUP($C207,'ТР нефть'!$A$29:$GC$641,102,0)</f>
        <v>0.16800000000000001</v>
      </c>
      <c r="AK207" s="436">
        <f>W207-H207</f>
        <v>0</v>
      </c>
      <c r="AL207" s="429">
        <f>X207-I207</f>
        <v>2</v>
      </c>
      <c r="AM207" s="429">
        <f>Y207-J207</f>
        <v>3</v>
      </c>
      <c r="AN207" s="429">
        <f>Z207-K207</f>
        <v>2</v>
      </c>
      <c r="AO207" s="429">
        <f t="shared" si="25"/>
        <v>0</v>
      </c>
      <c r="AP207" s="429">
        <f t="shared" si="25"/>
        <v>0</v>
      </c>
      <c r="AQ207" s="430">
        <f t="shared" si="25"/>
        <v>-1.0031999999999996</v>
      </c>
      <c r="AR207" s="431">
        <f t="shared" si="25"/>
        <v>-1.1999999999999993</v>
      </c>
      <c r="AS207" s="432">
        <f t="shared" si="25"/>
        <v>0</v>
      </c>
      <c r="AT207" s="429">
        <f t="shared" si="25"/>
        <v>-14</v>
      </c>
      <c r="AU207" s="429">
        <f t="shared" si="25"/>
        <v>-113.92116655274555</v>
      </c>
      <c r="AV207" s="429">
        <f t="shared" si="25"/>
        <v>0</v>
      </c>
      <c r="AW207" s="671">
        <f t="shared" si="25"/>
        <v>-1.1999999999999983E-2</v>
      </c>
      <c r="AX207" s="436" t="str">
        <f>VLOOKUP($C207,'ТР нефть'!$A$29:$GC$641,182,0)</f>
        <v>Технология</v>
      </c>
      <c r="AY207" s="439" t="str">
        <f>VLOOKUP($C207,'ТР нефть'!$A$29:$GC$641,183,0)</f>
        <v>Снижение дебита на фоне роста Рлин</v>
      </c>
      <c r="AZ207" s="466">
        <f>O207</f>
        <v>15.048</v>
      </c>
      <c r="BA207" s="441">
        <f>P207</f>
        <v>18</v>
      </c>
      <c r="BB207" s="672">
        <f>Q207</f>
        <v>0</v>
      </c>
      <c r="BC207" s="442" t="s">
        <v>192</v>
      </c>
      <c r="BD207" s="439" t="s">
        <v>192</v>
      </c>
      <c r="BF207" s="1143"/>
    </row>
    <row r="208" spans="1:58" ht="41.25" hidden="1" customHeight="1" x14ac:dyDescent="0.25">
      <c r="A208" s="373"/>
      <c r="B208" s="444"/>
      <c r="C208" s="673"/>
      <c r="D208" s="446"/>
      <c r="E208" s="446"/>
      <c r="F208" s="447"/>
      <c r="G208" s="444"/>
      <c r="H208" s="448"/>
      <c r="I208" s="449"/>
      <c r="J208" s="449"/>
      <c r="K208" s="449"/>
      <c r="L208" s="449"/>
      <c r="M208" s="449"/>
      <c r="N208" s="449"/>
      <c r="O208" s="450"/>
      <c r="P208" s="451"/>
      <c r="Q208" s="452"/>
      <c r="R208" s="449"/>
      <c r="S208" s="449"/>
      <c r="T208" s="449"/>
      <c r="U208" s="455"/>
      <c r="V208" s="454"/>
      <c r="W208" s="448"/>
      <c r="X208" s="449"/>
      <c r="Y208" s="449"/>
      <c r="Z208" s="449"/>
      <c r="AA208" s="449"/>
      <c r="AB208" s="449"/>
      <c r="AC208" s="449"/>
      <c r="AD208" s="450"/>
      <c r="AE208" s="451"/>
      <c r="AF208" s="452"/>
      <c r="AG208" s="449"/>
      <c r="AH208" s="449"/>
      <c r="AI208" s="449"/>
      <c r="AJ208" s="455"/>
      <c r="AK208" s="456"/>
      <c r="AL208" s="449"/>
      <c r="AM208" s="449"/>
      <c r="AN208" s="449"/>
      <c r="AO208" s="449"/>
      <c r="AP208" s="449"/>
      <c r="AQ208" s="450"/>
      <c r="AR208" s="451"/>
      <c r="AS208" s="452"/>
      <c r="AT208" s="449"/>
      <c r="AU208" s="449"/>
      <c r="AV208" s="449"/>
      <c r="AW208" s="457"/>
      <c r="AX208" s="456"/>
      <c r="AY208" s="457"/>
      <c r="AZ208" s="458"/>
      <c r="BA208" s="459"/>
      <c r="BB208" s="674"/>
      <c r="BC208" s="460"/>
      <c r="BD208" s="457"/>
      <c r="BF208" s="1143"/>
    </row>
    <row r="209" spans="1:58" ht="41.25" hidden="1" customHeight="1" x14ac:dyDescent="0.25">
      <c r="A209" s="373"/>
      <c r="B209" s="392"/>
      <c r="C209" s="668"/>
      <c r="D209" s="394"/>
      <c r="E209" s="394"/>
      <c r="F209" s="462"/>
      <c r="G209" s="392"/>
      <c r="H209" s="396"/>
      <c r="I209" s="397"/>
      <c r="J209" s="397"/>
      <c r="K209" s="397"/>
      <c r="L209" s="397"/>
      <c r="M209" s="397"/>
      <c r="N209" s="397"/>
      <c r="O209" s="398"/>
      <c r="P209" s="399"/>
      <c r="Q209" s="400"/>
      <c r="R209" s="397"/>
      <c r="S209" s="397"/>
      <c r="T209" s="397"/>
      <c r="U209" s="403"/>
      <c r="V209" s="402"/>
      <c r="W209" s="396"/>
      <c r="X209" s="397"/>
      <c r="Y209" s="397"/>
      <c r="Z209" s="397"/>
      <c r="AA209" s="397"/>
      <c r="AB209" s="397"/>
      <c r="AC209" s="397"/>
      <c r="AD209" s="398"/>
      <c r="AE209" s="399"/>
      <c r="AF209" s="400"/>
      <c r="AG209" s="397"/>
      <c r="AH209" s="397"/>
      <c r="AI209" s="397"/>
      <c r="AJ209" s="403"/>
      <c r="AK209" s="404"/>
      <c r="AL209" s="397"/>
      <c r="AM209" s="397"/>
      <c r="AN209" s="397"/>
      <c r="AO209" s="397"/>
      <c r="AP209" s="397"/>
      <c r="AQ209" s="398"/>
      <c r="AR209" s="399"/>
      <c r="AS209" s="400"/>
      <c r="AT209" s="397"/>
      <c r="AU209" s="397"/>
      <c r="AV209" s="397"/>
      <c r="AW209" s="406"/>
      <c r="AX209" s="404"/>
      <c r="AY209" s="406"/>
      <c r="AZ209" s="463"/>
      <c r="BA209" s="408"/>
      <c r="BB209" s="669"/>
      <c r="BC209" s="409"/>
      <c r="BD209" s="406"/>
      <c r="BF209" s="1143"/>
    </row>
    <row r="210" spans="1:58" ht="41.25" hidden="1" customHeight="1" x14ac:dyDescent="0.25">
      <c r="A210" s="373"/>
      <c r="B210" s="392"/>
      <c r="C210" s="668"/>
      <c r="D210" s="394"/>
      <c r="E210" s="394"/>
      <c r="F210" s="462"/>
      <c r="G210" s="392"/>
      <c r="H210" s="396"/>
      <c r="I210" s="397"/>
      <c r="J210" s="397"/>
      <c r="K210" s="397"/>
      <c r="L210" s="397"/>
      <c r="M210" s="397"/>
      <c r="N210" s="397"/>
      <c r="O210" s="398"/>
      <c r="P210" s="399"/>
      <c r="Q210" s="400"/>
      <c r="R210" s="397"/>
      <c r="S210" s="397"/>
      <c r="T210" s="397"/>
      <c r="U210" s="403"/>
      <c r="V210" s="402"/>
      <c r="W210" s="396"/>
      <c r="X210" s="397"/>
      <c r="Y210" s="397"/>
      <c r="Z210" s="397"/>
      <c r="AA210" s="397"/>
      <c r="AB210" s="397"/>
      <c r="AC210" s="397"/>
      <c r="AD210" s="398"/>
      <c r="AE210" s="399"/>
      <c r="AF210" s="400"/>
      <c r="AG210" s="397"/>
      <c r="AH210" s="397"/>
      <c r="AI210" s="397"/>
      <c r="AJ210" s="403"/>
      <c r="AK210" s="404"/>
      <c r="AL210" s="397"/>
      <c r="AM210" s="397"/>
      <c r="AN210" s="397"/>
      <c r="AO210" s="397"/>
      <c r="AP210" s="397"/>
      <c r="AQ210" s="398"/>
      <c r="AR210" s="399"/>
      <c r="AS210" s="400"/>
      <c r="AT210" s="397"/>
      <c r="AU210" s="397"/>
      <c r="AV210" s="397"/>
      <c r="AW210" s="406"/>
      <c r="AX210" s="404"/>
      <c r="AY210" s="406"/>
      <c r="AZ210" s="463"/>
      <c r="BA210" s="408"/>
      <c r="BB210" s="669"/>
      <c r="BC210" s="409"/>
      <c r="BD210" s="406"/>
      <c r="BF210" s="1143"/>
    </row>
    <row r="211" spans="1:58" ht="41.25" hidden="1" customHeight="1" x14ac:dyDescent="0.25">
      <c r="A211" s="373"/>
      <c r="B211" s="392"/>
      <c r="C211" s="668"/>
      <c r="D211" s="394"/>
      <c r="E211" s="394"/>
      <c r="F211" s="462"/>
      <c r="G211" s="392"/>
      <c r="H211" s="396"/>
      <c r="I211" s="397"/>
      <c r="J211" s="397"/>
      <c r="K211" s="397"/>
      <c r="L211" s="397"/>
      <c r="M211" s="397"/>
      <c r="N211" s="397"/>
      <c r="O211" s="398"/>
      <c r="P211" s="399"/>
      <c r="Q211" s="400"/>
      <c r="R211" s="397"/>
      <c r="S211" s="397"/>
      <c r="T211" s="397"/>
      <c r="U211" s="403"/>
      <c r="V211" s="402"/>
      <c r="W211" s="396"/>
      <c r="X211" s="397"/>
      <c r="Y211" s="397"/>
      <c r="Z211" s="397"/>
      <c r="AA211" s="397"/>
      <c r="AB211" s="397"/>
      <c r="AC211" s="397"/>
      <c r="AD211" s="398"/>
      <c r="AE211" s="399"/>
      <c r="AF211" s="400"/>
      <c r="AG211" s="397"/>
      <c r="AH211" s="397"/>
      <c r="AI211" s="397"/>
      <c r="AJ211" s="403"/>
      <c r="AK211" s="404"/>
      <c r="AL211" s="397"/>
      <c r="AM211" s="397"/>
      <c r="AN211" s="397"/>
      <c r="AO211" s="397"/>
      <c r="AP211" s="397"/>
      <c r="AQ211" s="398"/>
      <c r="AR211" s="399"/>
      <c r="AS211" s="400"/>
      <c r="AT211" s="397"/>
      <c r="AU211" s="397"/>
      <c r="AV211" s="397"/>
      <c r="AW211" s="406"/>
      <c r="AX211" s="404"/>
      <c r="AY211" s="406"/>
      <c r="AZ211" s="463"/>
      <c r="BA211" s="408"/>
      <c r="BB211" s="669"/>
      <c r="BC211" s="409"/>
      <c r="BD211" s="406"/>
      <c r="BF211" s="1143"/>
    </row>
    <row r="212" spans="1:58" ht="41.25" hidden="1" customHeight="1" x14ac:dyDescent="0.25">
      <c r="A212" s="373"/>
      <c r="B212" s="392"/>
      <c r="C212" s="668"/>
      <c r="D212" s="394"/>
      <c r="E212" s="394"/>
      <c r="F212" s="462"/>
      <c r="G212" s="392"/>
      <c r="H212" s="396"/>
      <c r="I212" s="397"/>
      <c r="J212" s="397"/>
      <c r="K212" s="397"/>
      <c r="L212" s="397"/>
      <c r="M212" s="397"/>
      <c r="N212" s="397"/>
      <c r="O212" s="398"/>
      <c r="P212" s="399"/>
      <c r="Q212" s="400"/>
      <c r="R212" s="397"/>
      <c r="S212" s="397"/>
      <c r="T212" s="397"/>
      <c r="U212" s="403"/>
      <c r="V212" s="402"/>
      <c r="W212" s="396"/>
      <c r="X212" s="397"/>
      <c r="Y212" s="397"/>
      <c r="Z212" s="397"/>
      <c r="AA212" s="397"/>
      <c r="AB212" s="397"/>
      <c r="AC212" s="397"/>
      <c r="AD212" s="398"/>
      <c r="AE212" s="399"/>
      <c r="AF212" s="400"/>
      <c r="AG212" s="397"/>
      <c r="AH212" s="397"/>
      <c r="AI212" s="397"/>
      <c r="AJ212" s="403"/>
      <c r="AK212" s="404"/>
      <c r="AL212" s="397"/>
      <c r="AM212" s="397"/>
      <c r="AN212" s="397"/>
      <c r="AO212" s="397"/>
      <c r="AP212" s="397"/>
      <c r="AQ212" s="398"/>
      <c r="AR212" s="399"/>
      <c r="AS212" s="400"/>
      <c r="AT212" s="397"/>
      <c r="AU212" s="397"/>
      <c r="AV212" s="397"/>
      <c r="AW212" s="406"/>
      <c r="AX212" s="404"/>
      <c r="AY212" s="406"/>
      <c r="AZ212" s="463"/>
      <c r="BA212" s="408"/>
      <c r="BB212" s="669"/>
      <c r="BC212" s="409"/>
      <c r="BD212" s="406"/>
      <c r="BF212" s="1143"/>
    </row>
    <row r="213" spans="1:58" ht="41.25" hidden="1" customHeight="1" x14ac:dyDescent="0.25">
      <c r="A213" s="373"/>
      <c r="B213" s="392"/>
      <c r="C213" s="668"/>
      <c r="D213" s="394"/>
      <c r="E213" s="394"/>
      <c r="F213" s="462"/>
      <c r="G213" s="392"/>
      <c r="H213" s="396"/>
      <c r="I213" s="397"/>
      <c r="J213" s="397"/>
      <c r="K213" s="397"/>
      <c r="L213" s="397"/>
      <c r="M213" s="397"/>
      <c r="N213" s="397"/>
      <c r="O213" s="398"/>
      <c r="P213" s="399"/>
      <c r="Q213" s="400"/>
      <c r="R213" s="397"/>
      <c r="S213" s="397"/>
      <c r="T213" s="397"/>
      <c r="U213" s="403"/>
      <c r="V213" s="402"/>
      <c r="W213" s="396"/>
      <c r="X213" s="397"/>
      <c r="Y213" s="397"/>
      <c r="Z213" s="397"/>
      <c r="AA213" s="397"/>
      <c r="AB213" s="397"/>
      <c r="AC213" s="397"/>
      <c r="AD213" s="398"/>
      <c r="AE213" s="399"/>
      <c r="AF213" s="400"/>
      <c r="AG213" s="397"/>
      <c r="AH213" s="397"/>
      <c r="AI213" s="397"/>
      <c r="AJ213" s="403"/>
      <c r="AK213" s="404"/>
      <c r="AL213" s="397"/>
      <c r="AM213" s="397"/>
      <c r="AN213" s="397"/>
      <c r="AO213" s="397"/>
      <c r="AP213" s="397"/>
      <c r="AQ213" s="398"/>
      <c r="AR213" s="399"/>
      <c r="AS213" s="400"/>
      <c r="AT213" s="397"/>
      <c r="AU213" s="397"/>
      <c r="AV213" s="397"/>
      <c r="AW213" s="406"/>
      <c r="AX213" s="404"/>
      <c r="AY213" s="406"/>
      <c r="AZ213" s="463"/>
      <c r="BA213" s="408"/>
      <c r="BB213" s="669"/>
      <c r="BC213" s="409"/>
      <c r="BD213" s="406"/>
      <c r="BF213" s="1143"/>
    </row>
    <row r="214" spans="1:58" ht="41.25" hidden="1" customHeight="1" x14ac:dyDescent="0.25">
      <c r="A214" s="373"/>
      <c r="B214" s="392"/>
      <c r="C214" s="668"/>
      <c r="D214" s="394"/>
      <c r="E214" s="394"/>
      <c r="F214" s="462"/>
      <c r="G214" s="392"/>
      <c r="H214" s="396"/>
      <c r="I214" s="397"/>
      <c r="J214" s="397"/>
      <c r="K214" s="397"/>
      <c r="L214" s="397"/>
      <c r="M214" s="397"/>
      <c r="N214" s="397"/>
      <c r="O214" s="398"/>
      <c r="P214" s="399"/>
      <c r="Q214" s="400"/>
      <c r="R214" s="397"/>
      <c r="S214" s="397"/>
      <c r="T214" s="397"/>
      <c r="U214" s="403"/>
      <c r="V214" s="402"/>
      <c r="W214" s="396"/>
      <c r="X214" s="397"/>
      <c r="Y214" s="397"/>
      <c r="Z214" s="397"/>
      <c r="AA214" s="397"/>
      <c r="AB214" s="397"/>
      <c r="AC214" s="397"/>
      <c r="AD214" s="398"/>
      <c r="AE214" s="399"/>
      <c r="AF214" s="400"/>
      <c r="AG214" s="397"/>
      <c r="AH214" s="397"/>
      <c r="AI214" s="397"/>
      <c r="AJ214" s="403"/>
      <c r="AK214" s="404"/>
      <c r="AL214" s="397"/>
      <c r="AM214" s="397"/>
      <c r="AN214" s="397"/>
      <c r="AO214" s="397"/>
      <c r="AP214" s="397"/>
      <c r="AQ214" s="398"/>
      <c r="AR214" s="399"/>
      <c r="AS214" s="400"/>
      <c r="AT214" s="397"/>
      <c r="AU214" s="397"/>
      <c r="AV214" s="397"/>
      <c r="AW214" s="406"/>
      <c r="AX214" s="404"/>
      <c r="AY214" s="406"/>
      <c r="AZ214" s="463"/>
      <c r="BA214" s="408"/>
      <c r="BB214" s="669"/>
      <c r="BC214" s="409"/>
      <c r="BD214" s="406"/>
      <c r="BF214" s="1143"/>
    </row>
    <row r="215" spans="1:58" ht="41.25" hidden="1" customHeight="1" x14ac:dyDescent="0.25">
      <c r="A215" s="373"/>
      <c r="B215" s="392"/>
      <c r="C215" s="668"/>
      <c r="D215" s="394"/>
      <c r="E215" s="394"/>
      <c r="F215" s="462"/>
      <c r="G215" s="392"/>
      <c r="H215" s="396"/>
      <c r="I215" s="397"/>
      <c r="J215" s="397"/>
      <c r="K215" s="397"/>
      <c r="L215" s="397"/>
      <c r="M215" s="397"/>
      <c r="N215" s="397"/>
      <c r="O215" s="398"/>
      <c r="P215" s="399"/>
      <c r="Q215" s="400"/>
      <c r="R215" s="397"/>
      <c r="S215" s="397"/>
      <c r="T215" s="397"/>
      <c r="U215" s="403"/>
      <c r="V215" s="402"/>
      <c r="W215" s="396"/>
      <c r="X215" s="397"/>
      <c r="Y215" s="397"/>
      <c r="Z215" s="397"/>
      <c r="AA215" s="397"/>
      <c r="AB215" s="397"/>
      <c r="AC215" s="397"/>
      <c r="AD215" s="398"/>
      <c r="AE215" s="399"/>
      <c r="AF215" s="400"/>
      <c r="AG215" s="397"/>
      <c r="AH215" s="397"/>
      <c r="AI215" s="397"/>
      <c r="AJ215" s="403"/>
      <c r="AK215" s="404"/>
      <c r="AL215" s="397"/>
      <c r="AM215" s="397"/>
      <c r="AN215" s="397"/>
      <c r="AO215" s="397"/>
      <c r="AP215" s="397"/>
      <c r="AQ215" s="398"/>
      <c r="AR215" s="399"/>
      <c r="AS215" s="400"/>
      <c r="AT215" s="397"/>
      <c r="AU215" s="397"/>
      <c r="AV215" s="397"/>
      <c r="AW215" s="406"/>
      <c r="AX215" s="404"/>
      <c r="AY215" s="406"/>
      <c r="AZ215" s="463"/>
      <c r="BA215" s="408"/>
      <c r="BB215" s="669"/>
      <c r="BC215" s="409"/>
      <c r="BD215" s="406"/>
      <c r="BF215" s="1143"/>
    </row>
    <row r="216" spans="1:58" ht="41.25" hidden="1" customHeight="1" x14ac:dyDescent="0.25">
      <c r="A216" s="373"/>
      <c r="B216" s="392"/>
      <c r="C216" s="668"/>
      <c r="D216" s="394"/>
      <c r="E216" s="394"/>
      <c r="F216" s="462"/>
      <c r="G216" s="392"/>
      <c r="H216" s="396"/>
      <c r="I216" s="397"/>
      <c r="J216" s="397"/>
      <c r="K216" s="397"/>
      <c r="L216" s="397"/>
      <c r="M216" s="397"/>
      <c r="N216" s="397"/>
      <c r="O216" s="398"/>
      <c r="P216" s="399"/>
      <c r="Q216" s="400"/>
      <c r="R216" s="397"/>
      <c r="S216" s="397"/>
      <c r="T216" s="397"/>
      <c r="U216" s="403"/>
      <c r="V216" s="402"/>
      <c r="W216" s="396"/>
      <c r="X216" s="397"/>
      <c r="Y216" s="397"/>
      <c r="Z216" s="397"/>
      <c r="AA216" s="397"/>
      <c r="AB216" s="397"/>
      <c r="AC216" s="397"/>
      <c r="AD216" s="398"/>
      <c r="AE216" s="399"/>
      <c r="AF216" s="400"/>
      <c r="AG216" s="397"/>
      <c r="AH216" s="397"/>
      <c r="AI216" s="397"/>
      <c r="AJ216" s="403"/>
      <c r="AK216" s="404"/>
      <c r="AL216" s="397"/>
      <c r="AM216" s="397"/>
      <c r="AN216" s="397"/>
      <c r="AO216" s="397"/>
      <c r="AP216" s="397"/>
      <c r="AQ216" s="398"/>
      <c r="AR216" s="399"/>
      <c r="AS216" s="400"/>
      <c r="AT216" s="397"/>
      <c r="AU216" s="397"/>
      <c r="AV216" s="397"/>
      <c r="AW216" s="406"/>
      <c r="AX216" s="404"/>
      <c r="AY216" s="406"/>
      <c r="AZ216" s="463"/>
      <c r="BA216" s="408"/>
      <c r="BB216" s="669"/>
      <c r="BC216" s="409"/>
      <c r="BD216" s="406"/>
      <c r="BF216" s="1143"/>
    </row>
    <row r="217" spans="1:58" ht="41.25" hidden="1" customHeight="1" x14ac:dyDescent="0.25">
      <c r="A217" s="373"/>
      <c r="B217" s="392"/>
      <c r="C217" s="668"/>
      <c r="D217" s="394"/>
      <c r="E217" s="394"/>
      <c r="F217" s="462"/>
      <c r="G217" s="392"/>
      <c r="H217" s="396"/>
      <c r="I217" s="397"/>
      <c r="J217" s="397"/>
      <c r="K217" s="397"/>
      <c r="L217" s="397"/>
      <c r="M217" s="397"/>
      <c r="N217" s="397"/>
      <c r="O217" s="398"/>
      <c r="P217" s="399"/>
      <c r="Q217" s="400"/>
      <c r="R217" s="397"/>
      <c r="S217" s="397"/>
      <c r="T217" s="397"/>
      <c r="U217" s="403"/>
      <c r="V217" s="402"/>
      <c r="W217" s="396"/>
      <c r="X217" s="397"/>
      <c r="Y217" s="397"/>
      <c r="Z217" s="397"/>
      <c r="AA217" s="397"/>
      <c r="AB217" s="397"/>
      <c r="AC217" s="397"/>
      <c r="AD217" s="398"/>
      <c r="AE217" s="399"/>
      <c r="AF217" s="400"/>
      <c r="AG217" s="397"/>
      <c r="AH217" s="397"/>
      <c r="AI217" s="397"/>
      <c r="AJ217" s="403"/>
      <c r="AK217" s="404"/>
      <c r="AL217" s="397"/>
      <c r="AM217" s="397"/>
      <c r="AN217" s="397"/>
      <c r="AO217" s="397"/>
      <c r="AP217" s="397"/>
      <c r="AQ217" s="398"/>
      <c r="AR217" s="399"/>
      <c r="AS217" s="400"/>
      <c r="AT217" s="397"/>
      <c r="AU217" s="397"/>
      <c r="AV217" s="397"/>
      <c r="AW217" s="406"/>
      <c r="AX217" s="404"/>
      <c r="AY217" s="406"/>
      <c r="AZ217" s="463"/>
      <c r="BA217" s="408"/>
      <c r="BB217" s="669"/>
      <c r="BC217" s="409"/>
      <c r="BD217" s="406"/>
      <c r="BF217" s="1143"/>
    </row>
    <row r="218" spans="1:58" ht="41.25" hidden="1" customHeight="1" x14ac:dyDescent="0.25">
      <c r="A218" s="373"/>
      <c r="B218" s="392"/>
      <c r="C218" s="668"/>
      <c r="D218" s="394"/>
      <c r="E218" s="394"/>
      <c r="F218" s="462"/>
      <c r="G218" s="392"/>
      <c r="H218" s="396"/>
      <c r="I218" s="397"/>
      <c r="J218" s="397"/>
      <c r="K218" s="397"/>
      <c r="L218" s="397"/>
      <c r="M218" s="397"/>
      <c r="N218" s="397"/>
      <c r="O218" s="398"/>
      <c r="P218" s="399"/>
      <c r="Q218" s="400"/>
      <c r="R218" s="397"/>
      <c r="S218" s="397"/>
      <c r="T218" s="397"/>
      <c r="U218" s="403"/>
      <c r="V218" s="402"/>
      <c r="W218" s="396"/>
      <c r="X218" s="397"/>
      <c r="Y218" s="397"/>
      <c r="Z218" s="397"/>
      <c r="AA218" s="397"/>
      <c r="AB218" s="397"/>
      <c r="AC218" s="397"/>
      <c r="AD218" s="398"/>
      <c r="AE218" s="399"/>
      <c r="AF218" s="400"/>
      <c r="AG218" s="397"/>
      <c r="AH218" s="397"/>
      <c r="AI218" s="397"/>
      <c r="AJ218" s="403"/>
      <c r="AK218" s="404"/>
      <c r="AL218" s="397"/>
      <c r="AM218" s="397"/>
      <c r="AN218" s="397"/>
      <c r="AO218" s="397"/>
      <c r="AP218" s="397"/>
      <c r="AQ218" s="398"/>
      <c r="AR218" s="399"/>
      <c r="AS218" s="400"/>
      <c r="AT218" s="397"/>
      <c r="AU218" s="397"/>
      <c r="AV218" s="397"/>
      <c r="AW218" s="406"/>
      <c r="AX218" s="404"/>
      <c r="AY218" s="406"/>
      <c r="AZ218" s="463"/>
      <c r="BA218" s="408"/>
      <c r="BB218" s="669"/>
      <c r="BC218" s="409"/>
      <c r="BD218" s="406"/>
      <c r="BF218" s="1143"/>
    </row>
    <row r="219" spans="1:58" ht="41.25" hidden="1" customHeight="1" x14ac:dyDescent="0.25">
      <c r="A219" s="373"/>
      <c r="B219" s="392"/>
      <c r="C219" s="668"/>
      <c r="D219" s="394"/>
      <c r="E219" s="394"/>
      <c r="F219" s="462"/>
      <c r="G219" s="392"/>
      <c r="H219" s="396"/>
      <c r="I219" s="397"/>
      <c r="J219" s="397"/>
      <c r="K219" s="397"/>
      <c r="L219" s="397"/>
      <c r="M219" s="397"/>
      <c r="N219" s="397"/>
      <c r="O219" s="398"/>
      <c r="P219" s="399"/>
      <c r="Q219" s="400"/>
      <c r="R219" s="397"/>
      <c r="S219" s="397"/>
      <c r="T219" s="397"/>
      <c r="U219" s="403"/>
      <c r="V219" s="402"/>
      <c r="W219" s="396"/>
      <c r="X219" s="397"/>
      <c r="Y219" s="397"/>
      <c r="Z219" s="397"/>
      <c r="AA219" s="397"/>
      <c r="AB219" s="397"/>
      <c r="AC219" s="397"/>
      <c r="AD219" s="398"/>
      <c r="AE219" s="399"/>
      <c r="AF219" s="400"/>
      <c r="AG219" s="397"/>
      <c r="AH219" s="397"/>
      <c r="AI219" s="397"/>
      <c r="AJ219" s="403"/>
      <c r="AK219" s="404"/>
      <c r="AL219" s="397"/>
      <c r="AM219" s="397"/>
      <c r="AN219" s="397"/>
      <c r="AO219" s="397"/>
      <c r="AP219" s="397"/>
      <c r="AQ219" s="398"/>
      <c r="AR219" s="399"/>
      <c r="AS219" s="400"/>
      <c r="AT219" s="397"/>
      <c r="AU219" s="397"/>
      <c r="AV219" s="397"/>
      <c r="AW219" s="406"/>
      <c r="AX219" s="404"/>
      <c r="AY219" s="406"/>
      <c r="AZ219" s="463"/>
      <c r="BA219" s="408"/>
      <c r="BB219" s="669"/>
      <c r="BC219" s="409"/>
      <c r="BD219" s="406"/>
      <c r="BF219" s="1143"/>
    </row>
    <row r="220" spans="1:58" ht="41.25" hidden="1" customHeight="1" x14ac:dyDescent="0.25">
      <c r="A220" s="373"/>
      <c r="B220" s="392"/>
      <c r="C220" s="668"/>
      <c r="D220" s="394"/>
      <c r="E220" s="394"/>
      <c r="F220" s="462"/>
      <c r="G220" s="392"/>
      <c r="H220" s="396"/>
      <c r="I220" s="397"/>
      <c r="J220" s="397"/>
      <c r="K220" s="397"/>
      <c r="L220" s="397"/>
      <c r="M220" s="397"/>
      <c r="N220" s="397"/>
      <c r="O220" s="398"/>
      <c r="P220" s="399"/>
      <c r="Q220" s="400"/>
      <c r="R220" s="397"/>
      <c r="S220" s="397"/>
      <c r="T220" s="397"/>
      <c r="U220" s="403"/>
      <c r="V220" s="402"/>
      <c r="W220" s="396"/>
      <c r="X220" s="397"/>
      <c r="Y220" s="397"/>
      <c r="Z220" s="397"/>
      <c r="AA220" s="397"/>
      <c r="AB220" s="397"/>
      <c r="AC220" s="397"/>
      <c r="AD220" s="398"/>
      <c r="AE220" s="399"/>
      <c r="AF220" s="400"/>
      <c r="AG220" s="397"/>
      <c r="AH220" s="397"/>
      <c r="AI220" s="397"/>
      <c r="AJ220" s="403"/>
      <c r="AK220" s="404"/>
      <c r="AL220" s="397"/>
      <c r="AM220" s="397"/>
      <c r="AN220" s="397"/>
      <c r="AO220" s="397"/>
      <c r="AP220" s="397"/>
      <c r="AQ220" s="398"/>
      <c r="AR220" s="399"/>
      <c r="AS220" s="400"/>
      <c r="AT220" s="397"/>
      <c r="AU220" s="397"/>
      <c r="AV220" s="397"/>
      <c r="AW220" s="406"/>
      <c r="AX220" s="404"/>
      <c r="AY220" s="406"/>
      <c r="AZ220" s="463"/>
      <c r="BA220" s="408"/>
      <c r="BB220" s="669"/>
      <c r="BC220" s="409"/>
      <c r="BD220" s="406"/>
      <c r="BF220" s="1143"/>
    </row>
    <row r="221" spans="1:58" ht="41.25" hidden="1" customHeight="1" x14ac:dyDescent="0.25">
      <c r="A221" s="373"/>
      <c r="B221" s="392"/>
      <c r="C221" s="668"/>
      <c r="D221" s="394"/>
      <c r="E221" s="394"/>
      <c r="F221" s="462"/>
      <c r="G221" s="392"/>
      <c r="H221" s="396"/>
      <c r="I221" s="397"/>
      <c r="J221" s="397"/>
      <c r="K221" s="397"/>
      <c r="L221" s="397"/>
      <c r="M221" s="397"/>
      <c r="N221" s="397"/>
      <c r="O221" s="398"/>
      <c r="P221" s="399"/>
      <c r="Q221" s="400"/>
      <c r="R221" s="397"/>
      <c r="S221" s="397"/>
      <c r="T221" s="397"/>
      <c r="U221" s="403"/>
      <c r="V221" s="402"/>
      <c r="W221" s="396"/>
      <c r="X221" s="397"/>
      <c r="Y221" s="397"/>
      <c r="Z221" s="397"/>
      <c r="AA221" s="397"/>
      <c r="AB221" s="397"/>
      <c r="AC221" s="397"/>
      <c r="AD221" s="398"/>
      <c r="AE221" s="399"/>
      <c r="AF221" s="400"/>
      <c r="AG221" s="397"/>
      <c r="AH221" s="397"/>
      <c r="AI221" s="397"/>
      <c r="AJ221" s="403"/>
      <c r="AK221" s="404"/>
      <c r="AL221" s="397"/>
      <c r="AM221" s="397"/>
      <c r="AN221" s="397"/>
      <c r="AO221" s="397"/>
      <c r="AP221" s="397"/>
      <c r="AQ221" s="398"/>
      <c r="AR221" s="399"/>
      <c r="AS221" s="400"/>
      <c r="AT221" s="397"/>
      <c r="AU221" s="397"/>
      <c r="AV221" s="397"/>
      <c r="AW221" s="406"/>
      <c r="AX221" s="404"/>
      <c r="AY221" s="406"/>
      <c r="AZ221" s="463"/>
      <c r="BA221" s="408"/>
      <c r="BB221" s="669"/>
      <c r="BC221" s="409"/>
      <c r="BD221" s="406"/>
      <c r="BF221" s="1143"/>
    </row>
    <row r="222" spans="1:58" ht="41.25" hidden="1" customHeight="1" x14ac:dyDescent="0.25">
      <c r="A222" s="373"/>
      <c r="B222" s="392"/>
      <c r="C222" s="668"/>
      <c r="D222" s="394"/>
      <c r="E222" s="394"/>
      <c r="F222" s="462"/>
      <c r="G222" s="392"/>
      <c r="H222" s="396"/>
      <c r="I222" s="397"/>
      <c r="J222" s="397"/>
      <c r="K222" s="397"/>
      <c r="L222" s="397"/>
      <c r="M222" s="397"/>
      <c r="N222" s="397"/>
      <c r="O222" s="398"/>
      <c r="P222" s="399"/>
      <c r="Q222" s="400"/>
      <c r="R222" s="397"/>
      <c r="S222" s="397"/>
      <c r="T222" s="397"/>
      <c r="U222" s="403"/>
      <c r="V222" s="402"/>
      <c r="W222" s="396"/>
      <c r="X222" s="397"/>
      <c r="Y222" s="397"/>
      <c r="Z222" s="397"/>
      <c r="AA222" s="397"/>
      <c r="AB222" s="397"/>
      <c r="AC222" s="397"/>
      <c r="AD222" s="398"/>
      <c r="AE222" s="399"/>
      <c r="AF222" s="400"/>
      <c r="AG222" s="397"/>
      <c r="AH222" s="397"/>
      <c r="AI222" s="397"/>
      <c r="AJ222" s="403"/>
      <c r="AK222" s="404"/>
      <c r="AL222" s="397"/>
      <c r="AM222" s="397"/>
      <c r="AN222" s="397"/>
      <c r="AO222" s="397"/>
      <c r="AP222" s="397"/>
      <c r="AQ222" s="398"/>
      <c r="AR222" s="399"/>
      <c r="AS222" s="400"/>
      <c r="AT222" s="397"/>
      <c r="AU222" s="397"/>
      <c r="AV222" s="397"/>
      <c r="AW222" s="406"/>
      <c r="AX222" s="404"/>
      <c r="AY222" s="406"/>
      <c r="AZ222" s="463"/>
      <c r="BA222" s="408"/>
      <c r="BB222" s="669"/>
      <c r="BC222" s="409"/>
      <c r="BD222" s="406"/>
      <c r="BF222" s="1143"/>
    </row>
    <row r="223" spans="1:58" ht="41.25" hidden="1" customHeight="1" x14ac:dyDescent="0.25">
      <c r="A223" s="373"/>
      <c r="B223" s="392"/>
      <c r="C223" s="668"/>
      <c r="D223" s="394"/>
      <c r="E223" s="394"/>
      <c r="F223" s="462"/>
      <c r="G223" s="392"/>
      <c r="H223" s="396"/>
      <c r="I223" s="397"/>
      <c r="J223" s="397"/>
      <c r="K223" s="397"/>
      <c r="L223" s="397"/>
      <c r="M223" s="397"/>
      <c r="N223" s="397"/>
      <c r="O223" s="398"/>
      <c r="P223" s="399"/>
      <c r="Q223" s="400"/>
      <c r="R223" s="397"/>
      <c r="S223" s="397"/>
      <c r="T223" s="397"/>
      <c r="U223" s="403"/>
      <c r="V223" s="402"/>
      <c r="W223" s="396"/>
      <c r="X223" s="397"/>
      <c r="Y223" s="397"/>
      <c r="Z223" s="397"/>
      <c r="AA223" s="397"/>
      <c r="AB223" s="397"/>
      <c r="AC223" s="397"/>
      <c r="AD223" s="398"/>
      <c r="AE223" s="399"/>
      <c r="AF223" s="400"/>
      <c r="AG223" s="397"/>
      <c r="AH223" s="397"/>
      <c r="AI223" s="397"/>
      <c r="AJ223" s="403"/>
      <c r="AK223" s="404"/>
      <c r="AL223" s="397"/>
      <c r="AM223" s="397"/>
      <c r="AN223" s="397"/>
      <c r="AO223" s="397"/>
      <c r="AP223" s="397"/>
      <c r="AQ223" s="398"/>
      <c r="AR223" s="399"/>
      <c r="AS223" s="400"/>
      <c r="AT223" s="397"/>
      <c r="AU223" s="397"/>
      <c r="AV223" s="397"/>
      <c r="AW223" s="406"/>
      <c r="AX223" s="404"/>
      <c r="AY223" s="406"/>
      <c r="AZ223" s="463"/>
      <c r="BA223" s="408"/>
      <c r="BB223" s="669"/>
      <c r="BC223" s="409"/>
      <c r="BD223" s="406"/>
      <c r="BF223" s="1143"/>
    </row>
    <row r="224" spans="1:58" ht="41.25" hidden="1" customHeight="1" x14ac:dyDescent="0.25">
      <c r="A224" s="373"/>
      <c r="B224" s="392"/>
      <c r="C224" s="668"/>
      <c r="D224" s="394"/>
      <c r="E224" s="394"/>
      <c r="F224" s="462"/>
      <c r="G224" s="392"/>
      <c r="H224" s="396"/>
      <c r="I224" s="397"/>
      <c r="J224" s="397"/>
      <c r="K224" s="397"/>
      <c r="L224" s="397"/>
      <c r="M224" s="397"/>
      <c r="N224" s="397"/>
      <c r="O224" s="398"/>
      <c r="P224" s="399"/>
      <c r="Q224" s="400"/>
      <c r="R224" s="397"/>
      <c r="S224" s="397"/>
      <c r="T224" s="397"/>
      <c r="U224" s="403"/>
      <c r="V224" s="402"/>
      <c r="W224" s="396"/>
      <c r="X224" s="397"/>
      <c r="Y224" s="397"/>
      <c r="Z224" s="397"/>
      <c r="AA224" s="397"/>
      <c r="AB224" s="397"/>
      <c r="AC224" s="397"/>
      <c r="AD224" s="398"/>
      <c r="AE224" s="399"/>
      <c r="AF224" s="400"/>
      <c r="AG224" s="397"/>
      <c r="AH224" s="397"/>
      <c r="AI224" s="397"/>
      <c r="AJ224" s="403"/>
      <c r="AK224" s="404"/>
      <c r="AL224" s="397"/>
      <c r="AM224" s="397"/>
      <c r="AN224" s="397"/>
      <c r="AO224" s="397"/>
      <c r="AP224" s="397"/>
      <c r="AQ224" s="398"/>
      <c r="AR224" s="399"/>
      <c r="AS224" s="400"/>
      <c r="AT224" s="397"/>
      <c r="AU224" s="397"/>
      <c r="AV224" s="397"/>
      <c r="AW224" s="406"/>
      <c r="AX224" s="404"/>
      <c r="AY224" s="406"/>
      <c r="AZ224" s="463"/>
      <c r="BA224" s="408"/>
      <c r="BB224" s="669"/>
      <c r="BC224" s="409"/>
      <c r="BD224" s="406"/>
      <c r="BF224" s="1143"/>
    </row>
    <row r="225" spans="1:58" ht="41.25" hidden="1" customHeight="1" x14ac:dyDescent="0.25">
      <c r="A225" s="373"/>
      <c r="B225" s="392"/>
      <c r="C225" s="668"/>
      <c r="D225" s="394"/>
      <c r="E225" s="394"/>
      <c r="F225" s="462"/>
      <c r="G225" s="392"/>
      <c r="H225" s="396"/>
      <c r="I225" s="397"/>
      <c r="J225" s="397"/>
      <c r="K225" s="397"/>
      <c r="L225" s="397"/>
      <c r="M225" s="397"/>
      <c r="N225" s="397"/>
      <c r="O225" s="398"/>
      <c r="P225" s="399"/>
      <c r="Q225" s="400"/>
      <c r="R225" s="397"/>
      <c r="S225" s="397"/>
      <c r="T225" s="397"/>
      <c r="U225" s="403"/>
      <c r="V225" s="402"/>
      <c r="W225" s="396"/>
      <c r="X225" s="397"/>
      <c r="Y225" s="397"/>
      <c r="Z225" s="397"/>
      <c r="AA225" s="397"/>
      <c r="AB225" s="397"/>
      <c r="AC225" s="397"/>
      <c r="AD225" s="398"/>
      <c r="AE225" s="399"/>
      <c r="AF225" s="400"/>
      <c r="AG225" s="397"/>
      <c r="AH225" s="397"/>
      <c r="AI225" s="397"/>
      <c r="AJ225" s="403"/>
      <c r="AK225" s="404"/>
      <c r="AL225" s="397"/>
      <c r="AM225" s="397"/>
      <c r="AN225" s="397"/>
      <c r="AO225" s="397"/>
      <c r="AP225" s="397"/>
      <c r="AQ225" s="398"/>
      <c r="AR225" s="399"/>
      <c r="AS225" s="400"/>
      <c r="AT225" s="397"/>
      <c r="AU225" s="397"/>
      <c r="AV225" s="397"/>
      <c r="AW225" s="406"/>
      <c r="AX225" s="404"/>
      <c r="AY225" s="406"/>
      <c r="AZ225" s="463"/>
      <c r="BA225" s="408"/>
      <c r="BB225" s="669"/>
      <c r="BC225" s="409"/>
      <c r="BD225" s="406"/>
      <c r="BF225" s="1143"/>
    </row>
    <row r="226" spans="1:58" ht="41.25" hidden="1" customHeight="1" x14ac:dyDescent="0.25">
      <c r="A226" s="373"/>
      <c r="B226" s="392"/>
      <c r="C226" s="668"/>
      <c r="D226" s="394"/>
      <c r="E226" s="394"/>
      <c r="F226" s="462"/>
      <c r="G226" s="392"/>
      <c r="H226" s="396"/>
      <c r="I226" s="397"/>
      <c r="J226" s="397"/>
      <c r="K226" s="397"/>
      <c r="L226" s="397"/>
      <c r="M226" s="397"/>
      <c r="N226" s="397"/>
      <c r="O226" s="398"/>
      <c r="P226" s="399"/>
      <c r="Q226" s="400"/>
      <c r="R226" s="397"/>
      <c r="S226" s="397"/>
      <c r="T226" s="397"/>
      <c r="U226" s="403"/>
      <c r="V226" s="402"/>
      <c r="W226" s="396"/>
      <c r="X226" s="397"/>
      <c r="Y226" s="397"/>
      <c r="Z226" s="397"/>
      <c r="AA226" s="397"/>
      <c r="AB226" s="397"/>
      <c r="AC226" s="397"/>
      <c r="AD226" s="398"/>
      <c r="AE226" s="399"/>
      <c r="AF226" s="400"/>
      <c r="AG226" s="397"/>
      <c r="AH226" s="397"/>
      <c r="AI226" s="397"/>
      <c r="AJ226" s="403"/>
      <c r="AK226" s="404"/>
      <c r="AL226" s="397"/>
      <c r="AM226" s="397"/>
      <c r="AN226" s="397"/>
      <c r="AO226" s="397"/>
      <c r="AP226" s="397"/>
      <c r="AQ226" s="398"/>
      <c r="AR226" s="399"/>
      <c r="AS226" s="400"/>
      <c r="AT226" s="397"/>
      <c r="AU226" s="397"/>
      <c r="AV226" s="397"/>
      <c r="AW226" s="406"/>
      <c r="AX226" s="404"/>
      <c r="AY226" s="406"/>
      <c r="AZ226" s="463"/>
      <c r="BA226" s="408"/>
      <c r="BB226" s="669"/>
      <c r="BC226" s="409"/>
      <c r="BD226" s="406"/>
      <c r="BF226" s="1143"/>
    </row>
    <row r="227" spans="1:58" ht="41.25" hidden="1" customHeight="1" x14ac:dyDescent="0.25">
      <c r="A227" s="373"/>
      <c r="B227" s="392"/>
      <c r="C227" s="668"/>
      <c r="D227" s="394"/>
      <c r="E227" s="394"/>
      <c r="F227" s="462"/>
      <c r="G227" s="392"/>
      <c r="H227" s="396"/>
      <c r="I227" s="397"/>
      <c r="J227" s="397"/>
      <c r="K227" s="397"/>
      <c r="L227" s="397"/>
      <c r="M227" s="397"/>
      <c r="N227" s="397"/>
      <c r="O227" s="398"/>
      <c r="P227" s="399"/>
      <c r="Q227" s="400"/>
      <c r="R227" s="397"/>
      <c r="S227" s="397"/>
      <c r="T227" s="397"/>
      <c r="U227" s="403"/>
      <c r="V227" s="402"/>
      <c r="W227" s="396"/>
      <c r="X227" s="397"/>
      <c r="Y227" s="397"/>
      <c r="Z227" s="397"/>
      <c r="AA227" s="397"/>
      <c r="AB227" s="397"/>
      <c r="AC227" s="397"/>
      <c r="AD227" s="398"/>
      <c r="AE227" s="399"/>
      <c r="AF227" s="400"/>
      <c r="AG227" s="397"/>
      <c r="AH227" s="397"/>
      <c r="AI227" s="397"/>
      <c r="AJ227" s="403"/>
      <c r="AK227" s="404"/>
      <c r="AL227" s="397"/>
      <c r="AM227" s="397"/>
      <c r="AN227" s="397"/>
      <c r="AO227" s="397"/>
      <c r="AP227" s="397"/>
      <c r="AQ227" s="398"/>
      <c r="AR227" s="399"/>
      <c r="AS227" s="400"/>
      <c r="AT227" s="397"/>
      <c r="AU227" s="397"/>
      <c r="AV227" s="397"/>
      <c r="AW227" s="406"/>
      <c r="AX227" s="404"/>
      <c r="AY227" s="406"/>
      <c r="AZ227" s="463"/>
      <c r="BA227" s="408"/>
      <c r="BB227" s="669"/>
      <c r="BC227" s="409"/>
      <c r="BD227" s="406"/>
      <c r="BF227" s="1143"/>
    </row>
    <row r="228" spans="1:58" ht="41.25" hidden="1" customHeight="1" x14ac:dyDescent="0.25">
      <c r="A228" s="373"/>
      <c r="B228" s="392"/>
      <c r="C228" s="668"/>
      <c r="D228" s="394"/>
      <c r="E228" s="394"/>
      <c r="F228" s="462"/>
      <c r="G228" s="392"/>
      <c r="H228" s="396"/>
      <c r="I228" s="397"/>
      <c r="J228" s="397"/>
      <c r="K228" s="397"/>
      <c r="L228" s="397"/>
      <c r="M228" s="397"/>
      <c r="N228" s="397"/>
      <c r="O228" s="398"/>
      <c r="P228" s="399"/>
      <c r="Q228" s="400"/>
      <c r="R228" s="397"/>
      <c r="S228" s="397"/>
      <c r="T228" s="397"/>
      <c r="U228" s="403"/>
      <c r="V228" s="402"/>
      <c r="W228" s="396"/>
      <c r="X228" s="397"/>
      <c r="Y228" s="397"/>
      <c r="Z228" s="397"/>
      <c r="AA228" s="397"/>
      <c r="AB228" s="397"/>
      <c r="AC228" s="397"/>
      <c r="AD228" s="398"/>
      <c r="AE228" s="399"/>
      <c r="AF228" s="400"/>
      <c r="AG228" s="397"/>
      <c r="AH228" s="397"/>
      <c r="AI228" s="397"/>
      <c r="AJ228" s="403"/>
      <c r="AK228" s="404"/>
      <c r="AL228" s="397"/>
      <c r="AM228" s="397"/>
      <c r="AN228" s="397"/>
      <c r="AO228" s="397"/>
      <c r="AP228" s="397"/>
      <c r="AQ228" s="398"/>
      <c r="AR228" s="399"/>
      <c r="AS228" s="400"/>
      <c r="AT228" s="397"/>
      <c r="AU228" s="397"/>
      <c r="AV228" s="397"/>
      <c r="AW228" s="406"/>
      <c r="AX228" s="404"/>
      <c r="AY228" s="406"/>
      <c r="AZ228" s="463"/>
      <c r="BA228" s="408"/>
      <c r="BB228" s="669"/>
      <c r="BC228" s="409"/>
      <c r="BD228" s="406"/>
      <c r="BF228" s="1143"/>
    </row>
    <row r="229" spans="1:58" ht="41.25" hidden="1" customHeight="1" x14ac:dyDescent="0.25">
      <c r="A229" s="373"/>
      <c r="B229" s="392"/>
      <c r="C229" s="668"/>
      <c r="D229" s="394"/>
      <c r="E229" s="394"/>
      <c r="F229" s="462"/>
      <c r="G229" s="392"/>
      <c r="H229" s="396"/>
      <c r="I229" s="397"/>
      <c r="J229" s="397"/>
      <c r="K229" s="397"/>
      <c r="L229" s="397"/>
      <c r="M229" s="397"/>
      <c r="N229" s="397"/>
      <c r="O229" s="398"/>
      <c r="P229" s="399"/>
      <c r="Q229" s="400"/>
      <c r="R229" s="397"/>
      <c r="S229" s="397"/>
      <c r="T229" s="397"/>
      <c r="U229" s="403"/>
      <c r="V229" s="402"/>
      <c r="W229" s="396"/>
      <c r="X229" s="397"/>
      <c r="Y229" s="397"/>
      <c r="Z229" s="397"/>
      <c r="AA229" s="397"/>
      <c r="AB229" s="397"/>
      <c r="AC229" s="397"/>
      <c r="AD229" s="398"/>
      <c r="AE229" s="399"/>
      <c r="AF229" s="400"/>
      <c r="AG229" s="397"/>
      <c r="AH229" s="397"/>
      <c r="AI229" s="397"/>
      <c r="AJ229" s="403"/>
      <c r="AK229" s="404"/>
      <c r="AL229" s="397"/>
      <c r="AM229" s="397"/>
      <c r="AN229" s="397"/>
      <c r="AO229" s="397"/>
      <c r="AP229" s="397"/>
      <c r="AQ229" s="398"/>
      <c r="AR229" s="399"/>
      <c r="AS229" s="400"/>
      <c r="AT229" s="397"/>
      <c r="AU229" s="397"/>
      <c r="AV229" s="397"/>
      <c r="AW229" s="406"/>
      <c r="AX229" s="404"/>
      <c r="AY229" s="406"/>
      <c r="AZ229" s="463"/>
      <c r="BA229" s="408"/>
      <c r="BB229" s="669"/>
      <c r="BC229" s="409"/>
      <c r="BD229" s="406"/>
      <c r="BF229" s="1143"/>
    </row>
    <row r="230" spans="1:58" ht="41.25" hidden="1" customHeight="1" x14ac:dyDescent="0.25">
      <c r="A230" s="373"/>
      <c r="B230" s="392"/>
      <c r="C230" s="668"/>
      <c r="D230" s="394"/>
      <c r="E230" s="394"/>
      <c r="F230" s="462"/>
      <c r="G230" s="392"/>
      <c r="H230" s="396"/>
      <c r="I230" s="397"/>
      <c r="J230" s="397"/>
      <c r="K230" s="397"/>
      <c r="L230" s="397"/>
      <c r="M230" s="397"/>
      <c r="N230" s="397"/>
      <c r="O230" s="398"/>
      <c r="P230" s="399"/>
      <c r="Q230" s="400"/>
      <c r="R230" s="397"/>
      <c r="S230" s="397"/>
      <c r="T230" s="397"/>
      <c r="U230" s="403"/>
      <c r="V230" s="402"/>
      <c r="W230" s="396"/>
      <c r="X230" s="397"/>
      <c r="Y230" s="397"/>
      <c r="Z230" s="397"/>
      <c r="AA230" s="397"/>
      <c r="AB230" s="397"/>
      <c r="AC230" s="397"/>
      <c r="AD230" s="398"/>
      <c r="AE230" s="399"/>
      <c r="AF230" s="400"/>
      <c r="AG230" s="397"/>
      <c r="AH230" s="397"/>
      <c r="AI230" s="397"/>
      <c r="AJ230" s="403"/>
      <c r="AK230" s="404"/>
      <c r="AL230" s="397"/>
      <c r="AM230" s="397"/>
      <c r="AN230" s="397"/>
      <c r="AO230" s="397"/>
      <c r="AP230" s="397"/>
      <c r="AQ230" s="398"/>
      <c r="AR230" s="399"/>
      <c r="AS230" s="400"/>
      <c r="AT230" s="397"/>
      <c r="AU230" s="397"/>
      <c r="AV230" s="397"/>
      <c r="AW230" s="406"/>
      <c r="AX230" s="404"/>
      <c r="AY230" s="406"/>
      <c r="AZ230" s="463"/>
      <c r="BA230" s="408"/>
      <c r="BB230" s="669"/>
      <c r="BC230" s="409"/>
      <c r="BD230" s="406"/>
      <c r="BF230" s="1143"/>
    </row>
    <row r="231" spans="1:58" ht="41.25" hidden="1" customHeight="1" x14ac:dyDescent="0.25">
      <c r="A231" s="373"/>
      <c r="B231" s="392"/>
      <c r="C231" s="668"/>
      <c r="D231" s="394"/>
      <c r="E231" s="394"/>
      <c r="F231" s="462"/>
      <c r="G231" s="392"/>
      <c r="H231" s="396"/>
      <c r="I231" s="397"/>
      <c r="J231" s="397"/>
      <c r="K231" s="397"/>
      <c r="L231" s="397"/>
      <c r="M231" s="397"/>
      <c r="N231" s="397"/>
      <c r="O231" s="398"/>
      <c r="P231" s="399"/>
      <c r="Q231" s="400"/>
      <c r="R231" s="397"/>
      <c r="S231" s="397"/>
      <c r="T231" s="397"/>
      <c r="U231" s="403"/>
      <c r="V231" s="402"/>
      <c r="W231" s="396"/>
      <c r="X231" s="397"/>
      <c r="Y231" s="397"/>
      <c r="Z231" s="397"/>
      <c r="AA231" s="397"/>
      <c r="AB231" s="397"/>
      <c r="AC231" s="397"/>
      <c r="AD231" s="398"/>
      <c r="AE231" s="399"/>
      <c r="AF231" s="400"/>
      <c r="AG231" s="397"/>
      <c r="AH231" s="397"/>
      <c r="AI231" s="397"/>
      <c r="AJ231" s="403"/>
      <c r="AK231" s="404"/>
      <c r="AL231" s="397"/>
      <c r="AM231" s="397"/>
      <c r="AN231" s="397"/>
      <c r="AO231" s="397"/>
      <c r="AP231" s="397"/>
      <c r="AQ231" s="398"/>
      <c r="AR231" s="399"/>
      <c r="AS231" s="400"/>
      <c r="AT231" s="397"/>
      <c r="AU231" s="397"/>
      <c r="AV231" s="397"/>
      <c r="AW231" s="406"/>
      <c r="AX231" s="404"/>
      <c r="AY231" s="406"/>
      <c r="AZ231" s="463"/>
      <c r="BA231" s="408"/>
      <c r="BB231" s="669"/>
      <c r="BC231" s="409"/>
      <c r="BD231" s="406"/>
      <c r="BF231" s="1143"/>
    </row>
    <row r="232" spans="1:58" ht="41.25" hidden="1" customHeight="1" x14ac:dyDescent="0.25">
      <c r="A232" s="373"/>
      <c r="B232" s="392"/>
      <c r="C232" s="668"/>
      <c r="D232" s="394"/>
      <c r="E232" s="394"/>
      <c r="F232" s="462"/>
      <c r="G232" s="392"/>
      <c r="H232" s="396"/>
      <c r="I232" s="397"/>
      <c r="J232" s="397"/>
      <c r="K232" s="397"/>
      <c r="L232" s="397"/>
      <c r="M232" s="397"/>
      <c r="N232" s="397"/>
      <c r="O232" s="398"/>
      <c r="P232" s="399"/>
      <c r="Q232" s="400"/>
      <c r="R232" s="397"/>
      <c r="S232" s="397"/>
      <c r="T232" s="397"/>
      <c r="U232" s="403"/>
      <c r="V232" s="402"/>
      <c r="W232" s="396"/>
      <c r="X232" s="397"/>
      <c r="Y232" s="397"/>
      <c r="Z232" s="397"/>
      <c r="AA232" s="397"/>
      <c r="AB232" s="397"/>
      <c r="AC232" s="397"/>
      <c r="AD232" s="398"/>
      <c r="AE232" s="399"/>
      <c r="AF232" s="400"/>
      <c r="AG232" s="397"/>
      <c r="AH232" s="397"/>
      <c r="AI232" s="397"/>
      <c r="AJ232" s="403"/>
      <c r="AK232" s="404"/>
      <c r="AL232" s="397"/>
      <c r="AM232" s="397"/>
      <c r="AN232" s="397"/>
      <c r="AO232" s="397"/>
      <c r="AP232" s="397"/>
      <c r="AQ232" s="398"/>
      <c r="AR232" s="399"/>
      <c r="AS232" s="400"/>
      <c r="AT232" s="397"/>
      <c r="AU232" s="397"/>
      <c r="AV232" s="397"/>
      <c r="AW232" s="406"/>
      <c r="AX232" s="404"/>
      <c r="AY232" s="406"/>
      <c r="AZ232" s="463"/>
      <c r="BA232" s="408"/>
      <c r="BB232" s="669"/>
      <c r="BC232" s="409"/>
      <c r="BD232" s="406"/>
      <c r="BF232" s="1143"/>
    </row>
    <row r="233" spans="1:58" ht="41.25" hidden="1" customHeight="1" x14ac:dyDescent="0.25">
      <c r="A233" s="373"/>
      <c r="B233" s="392"/>
      <c r="C233" s="668"/>
      <c r="D233" s="394"/>
      <c r="E233" s="394"/>
      <c r="F233" s="462"/>
      <c r="G233" s="392"/>
      <c r="H233" s="396"/>
      <c r="I233" s="397"/>
      <c r="J233" s="397"/>
      <c r="K233" s="397"/>
      <c r="L233" s="397"/>
      <c r="M233" s="397"/>
      <c r="N233" s="397"/>
      <c r="O233" s="398"/>
      <c r="P233" s="399"/>
      <c r="Q233" s="400"/>
      <c r="R233" s="397"/>
      <c r="S233" s="397"/>
      <c r="T233" s="397"/>
      <c r="U233" s="403"/>
      <c r="V233" s="402"/>
      <c r="W233" s="396"/>
      <c r="X233" s="397"/>
      <c r="Y233" s="397"/>
      <c r="Z233" s="397"/>
      <c r="AA233" s="397"/>
      <c r="AB233" s="397"/>
      <c r="AC233" s="397"/>
      <c r="AD233" s="398"/>
      <c r="AE233" s="399"/>
      <c r="AF233" s="400"/>
      <c r="AG233" s="397"/>
      <c r="AH233" s="397"/>
      <c r="AI233" s="397"/>
      <c r="AJ233" s="403"/>
      <c r="AK233" s="404"/>
      <c r="AL233" s="397"/>
      <c r="AM233" s="397"/>
      <c r="AN233" s="397"/>
      <c r="AO233" s="397"/>
      <c r="AP233" s="397"/>
      <c r="AQ233" s="398"/>
      <c r="AR233" s="399"/>
      <c r="AS233" s="400"/>
      <c r="AT233" s="397"/>
      <c r="AU233" s="397"/>
      <c r="AV233" s="397"/>
      <c r="AW233" s="406"/>
      <c r="AX233" s="404"/>
      <c r="AY233" s="406"/>
      <c r="AZ233" s="463"/>
      <c r="BA233" s="408"/>
      <c r="BB233" s="669"/>
      <c r="BC233" s="409"/>
      <c r="BD233" s="406"/>
      <c r="BF233" s="1143"/>
    </row>
    <row r="234" spans="1:58" ht="41.25" hidden="1" customHeight="1" x14ac:dyDescent="0.25">
      <c r="A234" s="373"/>
      <c r="B234" s="392"/>
      <c r="C234" s="668"/>
      <c r="D234" s="394"/>
      <c r="E234" s="394"/>
      <c r="F234" s="462"/>
      <c r="G234" s="392"/>
      <c r="H234" s="396"/>
      <c r="I234" s="397"/>
      <c r="J234" s="397"/>
      <c r="K234" s="397"/>
      <c r="L234" s="397"/>
      <c r="M234" s="397"/>
      <c r="N234" s="397"/>
      <c r="O234" s="398"/>
      <c r="P234" s="399"/>
      <c r="Q234" s="400"/>
      <c r="R234" s="397"/>
      <c r="S234" s="397"/>
      <c r="T234" s="397"/>
      <c r="U234" s="403"/>
      <c r="V234" s="402"/>
      <c r="W234" s="396"/>
      <c r="X234" s="397"/>
      <c r="Y234" s="397"/>
      <c r="Z234" s="397"/>
      <c r="AA234" s="397"/>
      <c r="AB234" s="397"/>
      <c r="AC234" s="397"/>
      <c r="AD234" s="398"/>
      <c r="AE234" s="399"/>
      <c r="AF234" s="400"/>
      <c r="AG234" s="397"/>
      <c r="AH234" s="397"/>
      <c r="AI234" s="397"/>
      <c r="AJ234" s="403"/>
      <c r="AK234" s="404"/>
      <c r="AL234" s="397"/>
      <c r="AM234" s="397"/>
      <c r="AN234" s="397"/>
      <c r="AO234" s="397"/>
      <c r="AP234" s="397"/>
      <c r="AQ234" s="398"/>
      <c r="AR234" s="399"/>
      <c r="AS234" s="400"/>
      <c r="AT234" s="397"/>
      <c r="AU234" s="397"/>
      <c r="AV234" s="397"/>
      <c r="AW234" s="406"/>
      <c r="AX234" s="404"/>
      <c r="AY234" s="406"/>
      <c r="AZ234" s="463"/>
      <c r="BA234" s="408"/>
      <c r="BB234" s="669"/>
      <c r="BC234" s="409"/>
      <c r="BD234" s="406"/>
      <c r="BF234" s="1143"/>
    </row>
    <row r="235" spans="1:58" ht="41.25" hidden="1" customHeight="1" x14ac:dyDescent="0.25">
      <c r="A235" s="373"/>
      <c r="B235" s="392"/>
      <c r="C235" s="668"/>
      <c r="D235" s="394"/>
      <c r="E235" s="394"/>
      <c r="F235" s="462"/>
      <c r="G235" s="392"/>
      <c r="H235" s="396"/>
      <c r="I235" s="397"/>
      <c r="J235" s="397"/>
      <c r="K235" s="397"/>
      <c r="L235" s="397"/>
      <c r="M235" s="397"/>
      <c r="N235" s="397"/>
      <c r="O235" s="398"/>
      <c r="P235" s="399"/>
      <c r="Q235" s="400"/>
      <c r="R235" s="397"/>
      <c r="S235" s="397"/>
      <c r="T235" s="397"/>
      <c r="U235" s="403"/>
      <c r="V235" s="402"/>
      <c r="W235" s="396"/>
      <c r="X235" s="397"/>
      <c r="Y235" s="397"/>
      <c r="Z235" s="397"/>
      <c r="AA235" s="397"/>
      <c r="AB235" s="397"/>
      <c r="AC235" s="397"/>
      <c r="AD235" s="398"/>
      <c r="AE235" s="399"/>
      <c r="AF235" s="400"/>
      <c r="AG235" s="397"/>
      <c r="AH235" s="397"/>
      <c r="AI235" s="397"/>
      <c r="AJ235" s="403"/>
      <c r="AK235" s="404"/>
      <c r="AL235" s="397"/>
      <c r="AM235" s="397"/>
      <c r="AN235" s="397"/>
      <c r="AO235" s="397"/>
      <c r="AP235" s="397"/>
      <c r="AQ235" s="398"/>
      <c r="AR235" s="399"/>
      <c r="AS235" s="400"/>
      <c r="AT235" s="397"/>
      <c r="AU235" s="397"/>
      <c r="AV235" s="397"/>
      <c r="AW235" s="406"/>
      <c r="AX235" s="404"/>
      <c r="AY235" s="406"/>
      <c r="AZ235" s="463"/>
      <c r="BA235" s="408"/>
      <c r="BB235" s="669"/>
      <c r="BC235" s="409"/>
      <c r="BD235" s="406"/>
      <c r="BF235" s="1143"/>
    </row>
    <row r="236" spans="1:58" ht="41.25" hidden="1" customHeight="1" x14ac:dyDescent="0.25">
      <c r="A236" s="373"/>
      <c r="B236" s="392"/>
      <c r="C236" s="668"/>
      <c r="D236" s="394"/>
      <c r="E236" s="394"/>
      <c r="F236" s="462"/>
      <c r="G236" s="392"/>
      <c r="H236" s="396"/>
      <c r="I236" s="397"/>
      <c r="J236" s="397"/>
      <c r="K236" s="397"/>
      <c r="L236" s="397"/>
      <c r="M236" s="397"/>
      <c r="N236" s="397"/>
      <c r="O236" s="398"/>
      <c r="P236" s="399"/>
      <c r="Q236" s="400"/>
      <c r="R236" s="397"/>
      <c r="S236" s="397"/>
      <c r="T236" s="397"/>
      <c r="U236" s="403"/>
      <c r="V236" s="402"/>
      <c r="W236" s="396"/>
      <c r="X236" s="397"/>
      <c r="Y236" s="397"/>
      <c r="Z236" s="397"/>
      <c r="AA236" s="397"/>
      <c r="AB236" s="397"/>
      <c r="AC236" s="397"/>
      <c r="AD236" s="398"/>
      <c r="AE236" s="399"/>
      <c r="AF236" s="400"/>
      <c r="AG236" s="397"/>
      <c r="AH236" s="397"/>
      <c r="AI236" s="397"/>
      <c r="AJ236" s="403"/>
      <c r="AK236" s="404"/>
      <c r="AL236" s="397"/>
      <c r="AM236" s="397"/>
      <c r="AN236" s="397"/>
      <c r="AO236" s="397"/>
      <c r="AP236" s="397"/>
      <c r="AQ236" s="398"/>
      <c r="AR236" s="399"/>
      <c r="AS236" s="400"/>
      <c r="AT236" s="397"/>
      <c r="AU236" s="397"/>
      <c r="AV236" s="397"/>
      <c r="AW236" s="406"/>
      <c r="AX236" s="404"/>
      <c r="AY236" s="406"/>
      <c r="AZ236" s="463"/>
      <c r="BA236" s="408"/>
      <c r="BB236" s="669"/>
      <c r="BC236" s="409"/>
      <c r="BD236" s="406"/>
      <c r="BF236" s="1143"/>
    </row>
    <row r="237" spans="1:58" ht="41.25" hidden="1" customHeight="1" x14ac:dyDescent="0.25">
      <c r="A237" s="373"/>
      <c r="B237" s="392"/>
      <c r="C237" s="668"/>
      <c r="D237" s="394"/>
      <c r="E237" s="394"/>
      <c r="F237" s="462"/>
      <c r="G237" s="392"/>
      <c r="H237" s="396"/>
      <c r="I237" s="397"/>
      <c r="J237" s="397"/>
      <c r="K237" s="397"/>
      <c r="L237" s="397"/>
      <c r="M237" s="397"/>
      <c r="N237" s="397"/>
      <c r="O237" s="398"/>
      <c r="P237" s="399"/>
      <c r="Q237" s="400"/>
      <c r="R237" s="397"/>
      <c r="S237" s="397"/>
      <c r="T237" s="397"/>
      <c r="U237" s="403"/>
      <c r="V237" s="402"/>
      <c r="W237" s="396"/>
      <c r="X237" s="397"/>
      <c r="Y237" s="397"/>
      <c r="Z237" s="397"/>
      <c r="AA237" s="397"/>
      <c r="AB237" s="397"/>
      <c r="AC237" s="397"/>
      <c r="AD237" s="398"/>
      <c r="AE237" s="399"/>
      <c r="AF237" s="400"/>
      <c r="AG237" s="397"/>
      <c r="AH237" s="397"/>
      <c r="AI237" s="397"/>
      <c r="AJ237" s="403"/>
      <c r="AK237" s="404"/>
      <c r="AL237" s="397"/>
      <c r="AM237" s="397"/>
      <c r="AN237" s="397"/>
      <c r="AO237" s="397"/>
      <c r="AP237" s="397"/>
      <c r="AQ237" s="398"/>
      <c r="AR237" s="399"/>
      <c r="AS237" s="400"/>
      <c r="AT237" s="397"/>
      <c r="AU237" s="397"/>
      <c r="AV237" s="397"/>
      <c r="AW237" s="406"/>
      <c r="AX237" s="404"/>
      <c r="AY237" s="406"/>
      <c r="AZ237" s="463"/>
      <c r="BA237" s="408"/>
      <c r="BB237" s="669"/>
      <c r="BC237" s="409"/>
      <c r="BD237" s="406"/>
      <c r="BF237" s="1143"/>
    </row>
    <row r="238" spans="1:58" ht="41.25" hidden="1" customHeight="1" x14ac:dyDescent="0.25">
      <c r="A238" s="373"/>
      <c r="B238" s="392"/>
      <c r="C238" s="668"/>
      <c r="D238" s="394"/>
      <c r="E238" s="394"/>
      <c r="F238" s="462"/>
      <c r="G238" s="392"/>
      <c r="H238" s="396"/>
      <c r="I238" s="397"/>
      <c r="J238" s="397"/>
      <c r="K238" s="397"/>
      <c r="L238" s="397"/>
      <c r="M238" s="397"/>
      <c r="N238" s="397"/>
      <c r="O238" s="398"/>
      <c r="P238" s="399"/>
      <c r="Q238" s="400"/>
      <c r="R238" s="397"/>
      <c r="S238" s="397"/>
      <c r="T238" s="397"/>
      <c r="U238" s="403"/>
      <c r="V238" s="402"/>
      <c r="W238" s="396"/>
      <c r="X238" s="397"/>
      <c r="Y238" s="397"/>
      <c r="Z238" s="397"/>
      <c r="AA238" s="397"/>
      <c r="AB238" s="397"/>
      <c r="AC238" s="397"/>
      <c r="AD238" s="398"/>
      <c r="AE238" s="399"/>
      <c r="AF238" s="400"/>
      <c r="AG238" s="397"/>
      <c r="AH238" s="397"/>
      <c r="AI238" s="397"/>
      <c r="AJ238" s="403"/>
      <c r="AK238" s="404"/>
      <c r="AL238" s="397"/>
      <c r="AM238" s="397"/>
      <c r="AN238" s="397"/>
      <c r="AO238" s="397"/>
      <c r="AP238" s="397"/>
      <c r="AQ238" s="398"/>
      <c r="AR238" s="399"/>
      <c r="AS238" s="400"/>
      <c r="AT238" s="397"/>
      <c r="AU238" s="397"/>
      <c r="AV238" s="397"/>
      <c r="AW238" s="406"/>
      <c r="AX238" s="404"/>
      <c r="AY238" s="406"/>
      <c r="AZ238" s="463"/>
      <c r="BA238" s="408"/>
      <c r="BB238" s="669"/>
      <c r="BC238" s="409"/>
      <c r="BD238" s="406"/>
      <c r="BF238" s="1143"/>
    </row>
    <row r="239" spans="1:58" ht="41.25" hidden="1" customHeight="1" x14ac:dyDescent="0.25">
      <c r="A239" s="373"/>
      <c r="B239" s="392"/>
      <c r="C239" s="668"/>
      <c r="D239" s="394"/>
      <c r="E239" s="394"/>
      <c r="F239" s="462"/>
      <c r="G239" s="392"/>
      <c r="H239" s="396"/>
      <c r="I239" s="397"/>
      <c r="J239" s="397"/>
      <c r="K239" s="397"/>
      <c r="L239" s="397"/>
      <c r="M239" s="397"/>
      <c r="N239" s="397"/>
      <c r="O239" s="398"/>
      <c r="P239" s="399"/>
      <c r="Q239" s="400"/>
      <c r="R239" s="397"/>
      <c r="S239" s="397"/>
      <c r="T239" s="397"/>
      <c r="U239" s="403"/>
      <c r="V239" s="402"/>
      <c r="W239" s="396"/>
      <c r="X239" s="397"/>
      <c r="Y239" s="397"/>
      <c r="Z239" s="397"/>
      <c r="AA239" s="397"/>
      <c r="AB239" s="397"/>
      <c r="AC239" s="397"/>
      <c r="AD239" s="398"/>
      <c r="AE239" s="399"/>
      <c r="AF239" s="400"/>
      <c r="AG239" s="397"/>
      <c r="AH239" s="397"/>
      <c r="AI239" s="397"/>
      <c r="AJ239" s="403"/>
      <c r="AK239" s="404"/>
      <c r="AL239" s="397"/>
      <c r="AM239" s="397"/>
      <c r="AN239" s="397"/>
      <c r="AO239" s="397"/>
      <c r="AP239" s="397"/>
      <c r="AQ239" s="398"/>
      <c r="AR239" s="399"/>
      <c r="AS239" s="400"/>
      <c r="AT239" s="397"/>
      <c r="AU239" s="397"/>
      <c r="AV239" s="397"/>
      <c r="AW239" s="406"/>
      <c r="AX239" s="404"/>
      <c r="AY239" s="406"/>
      <c r="AZ239" s="463"/>
      <c r="BA239" s="408"/>
      <c r="BB239" s="669"/>
      <c r="BC239" s="409"/>
      <c r="BD239" s="406"/>
      <c r="BF239" s="1143"/>
    </row>
    <row r="240" spans="1:58" ht="41.25" hidden="1" customHeight="1" x14ac:dyDescent="0.25">
      <c r="A240" s="373"/>
      <c r="B240" s="392"/>
      <c r="C240" s="668"/>
      <c r="D240" s="394"/>
      <c r="E240" s="394"/>
      <c r="F240" s="462"/>
      <c r="G240" s="392"/>
      <c r="H240" s="396"/>
      <c r="I240" s="397"/>
      <c r="J240" s="397"/>
      <c r="K240" s="397"/>
      <c r="L240" s="397"/>
      <c r="M240" s="397"/>
      <c r="N240" s="397"/>
      <c r="O240" s="398"/>
      <c r="P240" s="399"/>
      <c r="Q240" s="400"/>
      <c r="R240" s="397"/>
      <c r="S240" s="397"/>
      <c r="T240" s="397"/>
      <c r="U240" s="403"/>
      <c r="V240" s="402"/>
      <c r="W240" s="396"/>
      <c r="X240" s="397"/>
      <c r="Y240" s="397"/>
      <c r="Z240" s="397"/>
      <c r="AA240" s="397"/>
      <c r="AB240" s="397"/>
      <c r="AC240" s="397"/>
      <c r="AD240" s="398"/>
      <c r="AE240" s="399"/>
      <c r="AF240" s="400"/>
      <c r="AG240" s="397"/>
      <c r="AH240" s="397"/>
      <c r="AI240" s="397"/>
      <c r="AJ240" s="403"/>
      <c r="AK240" s="404"/>
      <c r="AL240" s="397"/>
      <c r="AM240" s="397"/>
      <c r="AN240" s="397"/>
      <c r="AO240" s="397"/>
      <c r="AP240" s="397"/>
      <c r="AQ240" s="398"/>
      <c r="AR240" s="399"/>
      <c r="AS240" s="400"/>
      <c r="AT240" s="397"/>
      <c r="AU240" s="397"/>
      <c r="AV240" s="397"/>
      <c r="AW240" s="406"/>
      <c r="AX240" s="404"/>
      <c r="AY240" s="406"/>
      <c r="AZ240" s="463"/>
      <c r="BA240" s="408"/>
      <c r="BB240" s="669"/>
      <c r="BC240" s="409"/>
      <c r="BD240" s="406"/>
      <c r="BF240" s="1143"/>
    </row>
    <row r="241" spans="1:58" ht="41.25" hidden="1" customHeight="1" x14ac:dyDescent="0.25">
      <c r="A241" s="373"/>
      <c r="B241" s="392"/>
      <c r="C241" s="668"/>
      <c r="D241" s="394"/>
      <c r="E241" s="394"/>
      <c r="F241" s="462"/>
      <c r="G241" s="392"/>
      <c r="H241" s="396"/>
      <c r="I241" s="397"/>
      <c r="J241" s="397"/>
      <c r="K241" s="397"/>
      <c r="L241" s="397"/>
      <c r="M241" s="397"/>
      <c r="N241" s="397"/>
      <c r="O241" s="398"/>
      <c r="P241" s="399"/>
      <c r="Q241" s="400"/>
      <c r="R241" s="397"/>
      <c r="S241" s="397"/>
      <c r="T241" s="397"/>
      <c r="U241" s="403"/>
      <c r="V241" s="402"/>
      <c r="W241" s="396"/>
      <c r="X241" s="397"/>
      <c r="Y241" s="397"/>
      <c r="Z241" s="397"/>
      <c r="AA241" s="397"/>
      <c r="AB241" s="397"/>
      <c r="AC241" s="397"/>
      <c r="AD241" s="398"/>
      <c r="AE241" s="399"/>
      <c r="AF241" s="400"/>
      <c r="AG241" s="397"/>
      <c r="AH241" s="397"/>
      <c r="AI241" s="397"/>
      <c r="AJ241" s="403"/>
      <c r="AK241" s="404"/>
      <c r="AL241" s="397"/>
      <c r="AM241" s="397"/>
      <c r="AN241" s="397"/>
      <c r="AO241" s="397"/>
      <c r="AP241" s="397"/>
      <c r="AQ241" s="398"/>
      <c r="AR241" s="399"/>
      <c r="AS241" s="400"/>
      <c r="AT241" s="397"/>
      <c r="AU241" s="397"/>
      <c r="AV241" s="397"/>
      <c r="AW241" s="406"/>
      <c r="AX241" s="404"/>
      <c r="AY241" s="406"/>
      <c r="AZ241" s="463"/>
      <c r="BA241" s="408"/>
      <c r="BB241" s="669"/>
      <c r="BC241" s="409"/>
      <c r="BD241" s="406"/>
      <c r="BF241" s="1143"/>
    </row>
    <row r="242" spans="1:58" ht="41.25" hidden="1" customHeight="1" x14ac:dyDescent="0.25">
      <c r="A242" s="373"/>
      <c r="B242" s="392"/>
      <c r="C242" s="668"/>
      <c r="D242" s="394"/>
      <c r="E242" s="394"/>
      <c r="F242" s="462"/>
      <c r="G242" s="392"/>
      <c r="H242" s="396"/>
      <c r="I242" s="397"/>
      <c r="J242" s="397"/>
      <c r="K242" s="397"/>
      <c r="L242" s="397"/>
      <c r="M242" s="397"/>
      <c r="N242" s="397"/>
      <c r="O242" s="398"/>
      <c r="P242" s="399"/>
      <c r="Q242" s="400"/>
      <c r="R242" s="397"/>
      <c r="S242" s="397"/>
      <c r="T242" s="397"/>
      <c r="U242" s="403"/>
      <c r="V242" s="402"/>
      <c r="W242" s="396"/>
      <c r="X242" s="397"/>
      <c r="Y242" s="397"/>
      <c r="Z242" s="397"/>
      <c r="AA242" s="397"/>
      <c r="AB242" s="397"/>
      <c r="AC242" s="397"/>
      <c r="AD242" s="398"/>
      <c r="AE242" s="399"/>
      <c r="AF242" s="400"/>
      <c r="AG242" s="397"/>
      <c r="AH242" s="397"/>
      <c r="AI242" s="397"/>
      <c r="AJ242" s="403"/>
      <c r="AK242" s="404"/>
      <c r="AL242" s="397"/>
      <c r="AM242" s="397"/>
      <c r="AN242" s="397"/>
      <c r="AO242" s="397"/>
      <c r="AP242" s="397"/>
      <c r="AQ242" s="398"/>
      <c r="AR242" s="399"/>
      <c r="AS242" s="400"/>
      <c r="AT242" s="397"/>
      <c r="AU242" s="397"/>
      <c r="AV242" s="397"/>
      <c r="AW242" s="406"/>
      <c r="AX242" s="404"/>
      <c r="AY242" s="406"/>
      <c r="AZ242" s="463"/>
      <c r="BA242" s="408"/>
      <c r="BB242" s="669"/>
      <c r="BC242" s="409"/>
      <c r="BD242" s="406"/>
      <c r="BF242" s="1143"/>
    </row>
    <row r="243" spans="1:58" ht="41.25" hidden="1" customHeight="1" x14ac:dyDescent="0.25">
      <c r="A243" s="373"/>
      <c r="B243" s="392"/>
      <c r="C243" s="668"/>
      <c r="D243" s="394"/>
      <c r="E243" s="394"/>
      <c r="F243" s="462"/>
      <c r="G243" s="392"/>
      <c r="H243" s="396"/>
      <c r="I243" s="397"/>
      <c r="J243" s="397"/>
      <c r="K243" s="397"/>
      <c r="L243" s="397"/>
      <c r="M243" s="397"/>
      <c r="N243" s="397"/>
      <c r="O243" s="398"/>
      <c r="P243" s="399"/>
      <c r="Q243" s="400"/>
      <c r="R243" s="397"/>
      <c r="S243" s="397"/>
      <c r="T243" s="397"/>
      <c r="U243" s="403"/>
      <c r="V243" s="402"/>
      <c r="W243" s="396"/>
      <c r="X243" s="397"/>
      <c r="Y243" s="397"/>
      <c r="Z243" s="397"/>
      <c r="AA243" s="397"/>
      <c r="AB243" s="397"/>
      <c r="AC243" s="397"/>
      <c r="AD243" s="398"/>
      <c r="AE243" s="399"/>
      <c r="AF243" s="400"/>
      <c r="AG243" s="397"/>
      <c r="AH243" s="397"/>
      <c r="AI243" s="397"/>
      <c r="AJ243" s="403"/>
      <c r="AK243" s="404"/>
      <c r="AL243" s="397"/>
      <c r="AM243" s="397"/>
      <c r="AN243" s="397"/>
      <c r="AO243" s="397"/>
      <c r="AP243" s="397"/>
      <c r="AQ243" s="398"/>
      <c r="AR243" s="399"/>
      <c r="AS243" s="400"/>
      <c r="AT243" s="397"/>
      <c r="AU243" s="397"/>
      <c r="AV243" s="397"/>
      <c r="AW243" s="406"/>
      <c r="AX243" s="404"/>
      <c r="AY243" s="406"/>
      <c r="AZ243" s="463"/>
      <c r="BA243" s="408"/>
      <c r="BB243" s="669"/>
      <c r="BC243" s="409"/>
      <c r="BD243" s="406"/>
      <c r="BF243" s="1143"/>
    </row>
    <row r="244" spans="1:58" ht="41.25" hidden="1" customHeight="1" x14ac:dyDescent="0.25">
      <c r="A244" s="373"/>
      <c r="B244" s="392"/>
      <c r="C244" s="668"/>
      <c r="D244" s="394"/>
      <c r="E244" s="394"/>
      <c r="F244" s="462"/>
      <c r="G244" s="392"/>
      <c r="H244" s="396"/>
      <c r="I244" s="397"/>
      <c r="J244" s="397"/>
      <c r="K244" s="397"/>
      <c r="L244" s="397"/>
      <c r="M244" s="397"/>
      <c r="N244" s="397"/>
      <c r="O244" s="398"/>
      <c r="P244" s="399"/>
      <c r="Q244" s="400"/>
      <c r="R244" s="397"/>
      <c r="S244" s="397"/>
      <c r="T244" s="397"/>
      <c r="U244" s="403"/>
      <c r="V244" s="402"/>
      <c r="W244" s="396"/>
      <c r="X244" s="397"/>
      <c r="Y244" s="397"/>
      <c r="Z244" s="397"/>
      <c r="AA244" s="397"/>
      <c r="AB244" s="397"/>
      <c r="AC244" s="397"/>
      <c r="AD244" s="398"/>
      <c r="AE244" s="399"/>
      <c r="AF244" s="400"/>
      <c r="AG244" s="397"/>
      <c r="AH244" s="397"/>
      <c r="AI244" s="397"/>
      <c r="AJ244" s="403"/>
      <c r="AK244" s="404"/>
      <c r="AL244" s="397"/>
      <c r="AM244" s="397"/>
      <c r="AN244" s="397"/>
      <c r="AO244" s="397"/>
      <c r="AP244" s="397"/>
      <c r="AQ244" s="398"/>
      <c r="AR244" s="399"/>
      <c r="AS244" s="400"/>
      <c r="AT244" s="397"/>
      <c r="AU244" s="397"/>
      <c r="AV244" s="397"/>
      <c r="AW244" s="406"/>
      <c r="AX244" s="404"/>
      <c r="AY244" s="406"/>
      <c r="AZ244" s="463"/>
      <c r="BA244" s="408"/>
      <c r="BB244" s="669"/>
      <c r="BC244" s="409"/>
      <c r="BD244" s="406"/>
      <c r="BF244" s="1143"/>
    </row>
    <row r="245" spans="1:58" ht="41.25" hidden="1" customHeight="1" x14ac:dyDescent="0.25">
      <c r="A245" s="373"/>
      <c r="B245" s="392"/>
      <c r="C245" s="668"/>
      <c r="D245" s="394"/>
      <c r="E245" s="394"/>
      <c r="F245" s="462"/>
      <c r="G245" s="392"/>
      <c r="H245" s="396"/>
      <c r="I245" s="397"/>
      <c r="J245" s="397"/>
      <c r="K245" s="397"/>
      <c r="L245" s="397"/>
      <c r="M245" s="397"/>
      <c r="N245" s="397"/>
      <c r="O245" s="398"/>
      <c r="P245" s="399"/>
      <c r="Q245" s="400"/>
      <c r="R245" s="397"/>
      <c r="S245" s="397"/>
      <c r="T245" s="397"/>
      <c r="U245" s="403"/>
      <c r="V245" s="402"/>
      <c r="W245" s="396"/>
      <c r="X245" s="397"/>
      <c r="Y245" s="397"/>
      <c r="Z245" s="397"/>
      <c r="AA245" s="397"/>
      <c r="AB245" s="397"/>
      <c r="AC245" s="397"/>
      <c r="AD245" s="398"/>
      <c r="AE245" s="399"/>
      <c r="AF245" s="400"/>
      <c r="AG245" s="397"/>
      <c r="AH245" s="397"/>
      <c r="AI245" s="397"/>
      <c r="AJ245" s="403"/>
      <c r="AK245" s="404"/>
      <c r="AL245" s="397"/>
      <c r="AM245" s="397"/>
      <c r="AN245" s="397"/>
      <c r="AO245" s="397"/>
      <c r="AP245" s="397"/>
      <c r="AQ245" s="398"/>
      <c r="AR245" s="399"/>
      <c r="AS245" s="400"/>
      <c r="AT245" s="397"/>
      <c r="AU245" s="397"/>
      <c r="AV245" s="397"/>
      <c r="AW245" s="406"/>
      <c r="AX245" s="404"/>
      <c r="AY245" s="406"/>
      <c r="AZ245" s="463"/>
      <c r="BA245" s="408"/>
      <c r="BB245" s="669"/>
      <c r="BC245" s="409"/>
      <c r="BD245" s="406"/>
      <c r="BF245" s="1143"/>
    </row>
    <row r="246" spans="1:58" ht="41.25" hidden="1" customHeight="1" x14ac:dyDescent="0.25">
      <c r="A246" s="373"/>
      <c r="B246" s="392"/>
      <c r="C246" s="668"/>
      <c r="D246" s="394"/>
      <c r="E246" s="394"/>
      <c r="F246" s="462"/>
      <c r="G246" s="392"/>
      <c r="H246" s="396"/>
      <c r="I246" s="397"/>
      <c r="J246" s="397"/>
      <c r="K246" s="397"/>
      <c r="L246" s="397"/>
      <c r="M246" s="397"/>
      <c r="N246" s="397"/>
      <c r="O246" s="398"/>
      <c r="P246" s="399"/>
      <c r="Q246" s="400"/>
      <c r="R246" s="397"/>
      <c r="S246" s="397"/>
      <c r="T246" s="397"/>
      <c r="U246" s="403"/>
      <c r="V246" s="402"/>
      <c r="W246" s="396"/>
      <c r="X246" s="397"/>
      <c r="Y246" s="397"/>
      <c r="Z246" s="397"/>
      <c r="AA246" s="397"/>
      <c r="AB246" s="397"/>
      <c r="AC246" s="397"/>
      <c r="AD246" s="398"/>
      <c r="AE246" s="399"/>
      <c r="AF246" s="400"/>
      <c r="AG246" s="397"/>
      <c r="AH246" s="397"/>
      <c r="AI246" s="397"/>
      <c r="AJ246" s="403"/>
      <c r="AK246" s="404"/>
      <c r="AL246" s="397"/>
      <c r="AM246" s="397"/>
      <c r="AN246" s="397"/>
      <c r="AO246" s="397"/>
      <c r="AP246" s="397"/>
      <c r="AQ246" s="398"/>
      <c r="AR246" s="399"/>
      <c r="AS246" s="400"/>
      <c r="AT246" s="397"/>
      <c r="AU246" s="397"/>
      <c r="AV246" s="397"/>
      <c r="AW246" s="406"/>
      <c r="AX246" s="404"/>
      <c r="AY246" s="406"/>
      <c r="AZ246" s="463"/>
      <c r="BA246" s="408"/>
      <c r="BB246" s="669"/>
      <c r="BC246" s="409"/>
      <c r="BD246" s="406"/>
      <c r="BF246" s="1143"/>
    </row>
    <row r="247" spans="1:58" ht="41.25" hidden="1" customHeight="1" x14ac:dyDescent="0.25">
      <c r="A247" s="373"/>
      <c r="B247" s="392"/>
      <c r="C247" s="668"/>
      <c r="D247" s="394"/>
      <c r="E247" s="394"/>
      <c r="F247" s="462"/>
      <c r="G247" s="392"/>
      <c r="H247" s="396"/>
      <c r="I247" s="397"/>
      <c r="J247" s="397"/>
      <c r="K247" s="397"/>
      <c r="L247" s="397"/>
      <c r="M247" s="397"/>
      <c r="N247" s="397"/>
      <c r="O247" s="398"/>
      <c r="P247" s="399"/>
      <c r="Q247" s="400"/>
      <c r="R247" s="397"/>
      <c r="S247" s="397"/>
      <c r="T247" s="397"/>
      <c r="U247" s="403"/>
      <c r="V247" s="402"/>
      <c r="W247" s="396"/>
      <c r="X247" s="397"/>
      <c r="Y247" s="397"/>
      <c r="Z247" s="397"/>
      <c r="AA247" s="397"/>
      <c r="AB247" s="397"/>
      <c r="AC247" s="397"/>
      <c r="AD247" s="398"/>
      <c r="AE247" s="399"/>
      <c r="AF247" s="400"/>
      <c r="AG247" s="397"/>
      <c r="AH247" s="397"/>
      <c r="AI247" s="397"/>
      <c r="AJ247" s="403"/>
      <c r="AK247" s="404"/>
      <c r="AL247" s="397"/>
      <c r="AM247" s="397"/>
      <c r="AN247" s="397"/>
      <c r="AO247" s="397"/>
      <c r="AP247" s="397"/>
      <c r="AQ247" s="398"/>
      <c r="AR247" s="399"/>
      <c r="AS247" s="400"/>
      <c r="AT247" s="397"/>
      <c r="AU247" s="397"/>
      <c r="AV247" s="397"/>
      <c r="AW247" s="406"/>
      <c r="AX247" s="404"/>
      <c r="AY247" s="406"/>
      <c r="AZ247" s="463"/>
      <c r="BA247" s="408"/>
      <c r="BB247" s="669"/>
      <c r="BC247" s="409"/>
      <c r="BD247" s="406"/>
      <c r="BF247" s="1143"/>
    </row>
    <row r="248" spans="1:58" ht="41.25" hidden="1" customHeight="1" x14ac:dyDescent="0.25">
      <c r="A248" s="373"/>
      <c r="B248" s="392"/>
      <c r="C248" s="668"/>
      <c r="D248" s="394"/>
      <c r="E248" s="394"/>
      <c r="F248" s="462"/>
      <c r="G248" s="392"/>
      <c r="H248" s="396"/>
      <c r="I248" s="397"/>
      <c r="J248" s="397"/>
      <c r="K248" s="397"/>
      <c r="L248" s="397"/>
      <c r="M248" s="397"/>
      <c r="N248" s="397"/>
      <c r="O248" s="398"/>
      <c r="P248" s="399"/>
      <c r="Q248" s="400"/>
      <c r="R248" s="397"/>
      <c r="S248" s="397"/>
      <c r="T248" s="397"/>
      <c r="U248" s="403"/>
      <c r="V248" s="402"/>
      <c r="W248" s="396"/>
      <c r="X248" s="397"/>
      <c r="Y248" s="397"/>
      <c r="Z248" s="397"/>
      <c r="AA248" s="397"/>
      <c r="AB248" s="397"/>
      <c r="AC248" s="397"/>
      <c r="AD248" s="398"/>
      <c r="AE248" s="399"/>
      <c r="AF248" s="400"/>
      <c r="AG248" s="397"/>
      <c r="AH248" s="397"/>
      <c r="AI248" s="397"/>
      <c r="AJ248" s="403"/>
      <c r="AK248" s="404"/>
      <c r="AL248" s="397"/>
      <c r="AM248" s="397"/>
      <c r="AN248" s="397"/>
      <c r="AO248" s="397"/>
      <c r="AP248" s="397"/>
      <c r="AQ248" s="398"/>
      <c r="AR248" s="399"/>
      <c r="AS248" s="400"/>
      <c r="AT248" s="397"/>
      <c r="AU248" s="397"/>
      <c r="AV248" s="397"/>
      <c r="AW248" s="406"/>
      <c r="AX248" s="404"/>
      <c r="AY248" s="406"/>
      <c r="AZ248" s="463"/>
      <c r="BA248" s="408"/>
      <c r="BB248" s="669"/>
      <c r="BC248" s="409"/>
      <c r="BD248" s="406"/>
      <c r="BF248" s="1143"/>
    </row>
    <row r="249" spans="1:58" ht="41.25" hidden="1" customHeight="1" x14ac:dyDescent="0.25">
      <c r="A249" s="373"/>
      <c r="B249" s="392"/>
      <c r="C249" s="668"/>
      <c r="D249" s="394"/>
      <c r="E249" s="394"/>
      <c r="F249" s="462"/>
      <c r="G249" s="392"/>
      <c r="H249" s="396"/>
      <c r="I249" s="397"/>
      <c r="J249" s="397"/>
      <c r="K249" s="397"/>
      <c r="L249" s="397"/>
      <c r="M249" s="397"/>
      <c r="N249" s="397"/>
      <c r="O249" s="398"/>
      <c r="P249" s="399"/>
      <c r="Q249" s="400"/>
      <c r="R249" s="397"/>
      <c r="S249" s="397"/>
      <c r="T249" s="397"/>
      <c r="U249" s="403"/>
      <c r="V249" s="402"/>
      <c r="W249" s="396"/>
      <c r="X249" s="397"/>
      <c r="Y249" s="397"/>
      <c r="Z249" s="397"/>
      <c r="AA249" s="397"/>
      <c r="AB249" s="397"/>
      <c r="AC249" s="397"/>
      <c r="AD249" s="398"/>
      <c r="AE249" s="399"/>
      <c r="AF249" s="400"/>
      <c r="AG249" s="397"/>
      <c r="AH249" s="397"/>
      <c r="AI249" s="397"/>
      <c r="AJ249" s="403"/>
      <c r="AK249" s="404"/>
      <c r="AL249" s="397"/>
      <c r="AM249" s="397"/>
      <c r="AN249" s="397"/>
      <c r="AO249" s="397"/>
      <c r="AP249" s="397"/>
      <c r="AQ249" s="398"/>
      <c r="AR249" s="399"/>
      <c r="AS249" s="400"/>
      <c r="AT249" s="397"/>
      <c r="AU249" s="397"/>
      <c r="AV249" s="397"/>
      <c r="AW249" s="406"/>
      <c r="AX249" s="404"/>
      <c r="AY249" s="406"/>
      <c r="AZ249" s="463"/>
      <c r="BA249" s="408"/>
      <c r="BB249" s="669"/>
      <c r="BC249" s="409"/>
      <c r="BD249" s="406"/>
      <c r="BF249" s="1143"/>
    </row>
    <row r="250" spans="1:58" ht="41.25" hidden="1" customHeight="1" x14ac:dyDescent="0.25">
      <c r="A250" s="373"/>
      <c r="B250" s="392"/>
      <c r="C250" s="668"/>
      <c r="D250" s="394"/>
      <c r="E250" s="394"/>
      <c r="F250" s="462"/>
      <c r="G250" s="392"/>
      <c r="H250" s="396"/>
      <c r="I250" s="397"/>
      <c r="J250" s="397"/>
      <c r="K250" s="397"/>
      <c r="L250" s="397"/>
      <c r="M250" s="397"/>
      <c r="N250" s="397"/>
      <c r="O250" s="398"/>
      <c r="P250" s="399"/>
      <c r="Q250" s="400"/>
      <c r="R250" s="397"/>
      <c r="S250" s="397"/>
      <c r="T250" s="397"/>
      <c r="U250" s="403"/>
      <c r="V250" s="402"/>
      <c r="W250" s="396"/>
      <c r="X250" s="397"/>
      <c r="Y250" s="397"/>
      <c r="Z250" s="397"/>
      <c r="AA250" s="397"/>
      <c r="AB250" s="397"/>
      <c r="AC250" s="397"/>
      <c r="AD250" s="398"/>
      <c r="AE250" s="399"/>
      <c r="AF250" s="400"/>
      <c r="AG250" s="397"/>
      <c r="AH250" s="397"/>
      <c r="AI250" s="397"/>
      <c r="AJ250" s="403"/>
      <c r="AK250" s="404"/>
      <c r="AL250" s="397"/>
      <c r="AM250" s="397"/>
      <c r="AN250" s="397"/>
      <c r="AO250" s="397"/>
      <c r="AP250" s="397"/>
      <c r="AQ250" s="398"/>
      <c r="AR250" s="399"/>
      <c r="AS250" s="400"/>
      <c r="AT250" s="397"/>
      <c r="AU250" s="397"/>
      <c r="AV250" s="397"/>
      <c r="AW250" s="406"/>
      <c r="AX250" s="404"/>
      <c r="AY250" s="406"/>
      <c r="AZ250" s="463"/>
      <c r="BA250" s="408"/>
      <c r="BB250" s="669"/>
      <c r="BC250" s="409"/>
      <c r="BD250" s="406"/>
      <c r="BF250" s="1143"/>
    </row>
    <row r="251" spans="1:58" ht="41.25" hidden="1" customHeight="1" x14ac:dyDescent="0.25">
      <c r="A251" s="373"/>
      <c r="B251" s="392"/>
      <c r="C251" s="668"/>
      <c r="D251" s="394"/>
      <c r="E251" s="394"/>
      <c r="F251" s="462"/>
      <c r="G251" s="392"/>
      <c r="H251" s="396"/>
      <c r="I251" s="397"/>
      <c r="J251" s="397"/>
      <c r="K251" s="397"/>
      <c r="L251" s="397"/>
      <c r="M251" s="397"/>
      <c r="N251" s="397"/>
      <c r="O251" s="398"/>
      <c r="P251" s="399"/>
      <c r="Q251" s="400"/>
      <c r="R251" s="397"/>
      <c r="S251" s="397"/>
      <c r="T251" s="397"/>
      <c r="U251" s="403"/>
      <c r="V251" s="402"/>
      <c r="W251" s="396"/>
      <c r="X251" s="397"/>
      <c r="Y251" s="397"/>
      <c r="Z251" s="397"/>
      <c r="AA251" s="397"/>
      <c r="AB251" s="397"/>
      <c r="AC251" s="397"/>
      <c r="AD251" s="398"/>
      <c r="AE251" s="399"/>
      <c r="AF251" s="400"/>
      <c r="AG251" s="397"/>
      <c r="AH251" s="397"/>
      <c r="AI251" s="397"/>
      <c r="AJ251" s="403"/>
      <c r="AK251" s="404"/>
      <c r="AL251" s="397"/>
      <c r="AM251" s="397"/>
      <c r="AN251" s="397"/>
      <c r="AO251" s="397"/>
      <c r="AP251" s="397"/>
      <c r="AQ251" s="398"/>
      <c r="AR251" s="399"/>
      <c r="AS251" s="400"/>
      <c r="AT251" s="397"/>
      <c r="AU251" s="397"/>
      <c r="AV251" s="397"/>
      <c r="AW251" s="406"/>
      <c r="AX251" s="404"/>
      <c r="AY251" s="406"/>
      <c r="AZ251" s="463"/>
      <c r="BA251" s="408"/>
      <c r="BB251" s="669"/>
      <c r="BC251" s="409"/>
      <c r="BD251" s="406"/>
      <c r="BF251" s="1143"/>
    </row>
    <row r="252" spans="1:58" ht="41.25" hidden="1" customHeight="1" x14ac:dyDescent="0.25">
      <c r="A252" s="373"/>
      <c r="B252" s="392"/>
      <c r="C252" s="668"/>
      <c r="D252" s="394"/>
      <c r="E252" s="394"/>
      <c r="F252" s="462"/>
      <c r="G252" s="392"/>
      <c r="H252" s="396"/>
      <c r="I252" s="397"/>
      <c r="J252" s="397"/>
      <c r="K252" s="397"/>
      <c r="L252" s="397"/>
      <c r="M252" s="397"/>
      <c r="N252" s="397"/>
      <c r="O252" s="398"/>
      <c r="P252" s="399"/>
      <c r="Q252" s="400"/>
      <c r="R252" s="397"/>
      <c r="S252" s="397"/>
      <c r="T252" s="397"/>
      <c r="U252" s="403"/>
      <c r="V252" s="402"/>
      <c r="W252" s="396"/>
      <c r="X252" s="397"/>
      <c r="Y252" s="397"/>
      <c r="Z252" s="397"/>
      <c r="AA252" s="397"/>
      <c r="AB252" s="397"/>
      <c r="AC252" s="397"/>
      <c r="AD252" s="398"/>
      <c r="AE252" s="399"/>
      <c r="AF252" s="400"/>
      <c r="AG252" s="397"/>
      <c r="AH252" s="397"/>
      <c r="AI252" s="397"/>
      <c r="AJ252" s="403"/>
      <c r="AK252" s="404"/>
      <c r="AL252" s="397"/>
      <c r="AM252" s="397"/>
      <c r="AN252" s="397"/>
      <c r="AO252" s="397"/>
      <c r="AP252" s="397"/>
      <c r="AQ252" s="398"/>
      <c r="AR252" s="399"/>
      <c r="AS252" s="400"/>
      <c r="AT252" s="397"/>
      <c r="AU252" s="397"/>
      <c r="AV252" s="397"/>
      <c r="AW252" s="406"/>
      <c r="AX252" s="404"/>
      <c r="AY252" s="406"/>
      <c r="AZ252" s="463"/>
      <c r="BA252" s="408"/>
      <c r="BB252" s="669"/>
      <c r="BC252" s="409"/>
      <c r="BD252" s="406"/>
      <c r="BF252" s="1143"/>
    </row>
    <row r="253" spans="1:58" ht="41.25" hidden="1" customHeight="1" x14ac:dyDescent="0.25">
      <c r="A253" s="373"/>
      <c r="B253" s="392"/>
      <c r="C253" s="668"/>
      <c r="D253" s="394"/>
      <c r="E253" s="394"/>
      <c r="F253" s="462"/>
      <c r="G253" s="392"/>
      <c r="H253" s="396"/>
      <c r="I253" s="397"/>
      <c r="J253" s="397"/>
      <c r="K253" s="397"/>
      <c r="L253" s="397"/>
      <c r="M253" s="397"/>
      <c r="N253" s="397"/>
      <c r="O253" s="398"/>
      <c r="P253" s="399"/>
      <c r="Q253" s="400"/>
      <c r="R253" s="397"/>
      <c r="S253" s="397"/>
      <c r="T253" s="397"/>
      <c r="U253" s="403"/>
      <c r="V253" s="402"/>
      <c r="W253" s="396"/>
      <c r="X253" s="397"/>
      <c r="Y253" s="397"/>
      <c r="Z253" s="397"/>
      <c r="AA253" s="397"/>
      <c r="AB253" s="397"/>
      <c r="AC253" s="397"/>
      <c r="AD253" s="398"/>
      <c r="AE253" s="399"/>
      <c r="AF253" s="400"/>
      <c r="AG253" s="397"/>
      <c r="AH253" s="397"/>
      <c r="AI253" s="397"/>
      <c r="AJ253" s="403"/>
      <c r="AK253" s="404"/>
      <c r="AL253" s="397"/>
      <c r="AM253" s="397"/>
      <c r="AN253" s="397"/>
      <c r="AO253" s="397"/>
      <c r="AP253" s="397"/>
      <c r="AQ253" s="398"/>
      <c r="AR253" s="399"/>
      <c r="AS253" s="400"/>
      <c r="AT253" s="397"/>
      <c r="AU253" s="397"/>
      <c r="AV253" s="397"/>
      <c r="AW253" s="406"/>
      <c r="AX253" s="404"/>
      <c r="AY253" s="406"/>
      <c r="AZ253" s="463"/>
      <c r="BA253" s="408"/>
      <c r="BB253" s="669"/>
      <c r="BC253" s="409"/>
      <c r="BD253" s="406"/>
      <c r="BF253" s="1143"/>
    </row>
    <row r="254" spans="1:58" ht="41.25" hidden="1" customHeight="1" x14ac:dyDescent="0.25">
      <c r="A254" s="373"/>
      <c r="B254" s="392"/>
      <c r="C254" s="668"/>
      <c r="D254" s="394"/>
      <c r="E254" s="394"/>
      <c r="F254" s="462"/>
      <c r="G254" s="392"/>
      <c r="H254" s="396"/>
      <c r="I254" s="397"/>
      <c r="J254" s="397"/>
      <c r="K254" s="397"/>
      <c r="L254" s="397"/>
      <c r="M254" s="397"/>
      <c r="N254" s="397"/>
      <c r="O254" s="398"/>
      <c r="P254" s="399"/>
      <c r="Q254" s="400"/>
      <c r="R254" s="397"/>
      <c r="S254" s="397"/>
      <c r="T254" s="397"/>
      <c r="U254" s="403"/>
      <c r="V254" s="402"/>
      <c r="W254" s="396"/>
      <c r="X254" s="397"/>
      <c r="Y254" s="397"/>
      <c r="Z254" s="397"/>
      <c r="AA254" s="397"/>
      <c r="AB254" s="397"/>
      <c r="AC254" s="397"/>
      <c r="AD254" s="398"/>
      <c r="AE254" s="399"/>
      <c r="AF254" s="400"/>
      <c r="AG254" s="397"/>
      <c r="AH254" s="397"/>
      <c r="AI254" s="397"/>
      <c r="AJ254" s="403"/>
      <c r="AK254" s="404"/>
      <c r="AL254" s="397"/>
      <c r="AM254" s="397"/>
      <c r="AN254" s="397"/>
      <c r="AO254" s="397"/>
      <c r="AP254" s="397"/>
      <c r="AQ254" s="398"/>
      <c r="AR254" s="399"/>
      <c r="AS254" s="400"/>
      <c r="AT254" s="397"/>
      <c r="AU254" s="397"/>
      <c r="AV254" s="397"/>
      <c r="AW254" s="406"/>
      <c r="AX254" s="404"/>
      <c r="AY254" s="406"/>
      <c r="AZ254" s="463"/>
      <c r="BA254" s="408"/>
      <c r="BB254" s="669"/>
      <c r="BC254" s="409"/>
      <c r="BD254" s="406"/>
      <c r="BF254" s="1143"/>
    </row>
    <row r="255" spans="1:58" ht="41.25" hidden="1" customHeight="1" x14ac:dyDescent="0.25">
      <c r="A255" s="373"/>
      <c r="B255" s="392"/>
      <c r="C255" s="668"/>
      <c r="D255" s="394"/>
      <c r="E255" s="394"/>
      <c r="F255" s="462"/>
      <c r="G255" s="392"/>
      <c r="H255" s="396"/>
      <c r="I255" s="397"/>
      <c r="J255" s="397"/>
      <c r="K255" s="397"/>
      <c r="L255" s="397"/>
      <c r="M255" s="397"/>
      <c r="N255" s="397"/>
      <c r="O255" s="398"/>
      <c r="P255" s="399"/>
      <c r="Q255" s="400"/>
      <c r="R255" s="397"/>
      <c r="S255" s="397"/>
      <c r="T255" s="397"/>
      <c r="U255" s="403"/>
      <c r="V255" s="402"/>
      <c r="W255" s="396"/>
      <c r="X255" s="397"/>
      <c r="Y255" s="397"/>
      <c r="Z255" s="397"/>
      <c r="AA255" s="397"/>
      <c r="AB255" s="397"/>
      <c r="AC255" s="397"/>
      <c r="AD255" s="398"/>
      <c r="AE255" s="399"/>
      <c r="AF255" s="400"/>
      <c r="AG255" s="397"/>
      <c r="AH255" s="397"/>
      <c r="AI255" s="397"/>
      <c r="AJ255" s="403"/>
      <c r="AK255" s="404"/>
      <c r="AL255" s="397"/>
      <c r="AM255" s="397"/>
      <c r="AN255" s="397"/>
      <c r="AO255" s="397"/>
      <c r="AP255" s="397"/>
      <c r="AQ255" s="398"/>
      <c r="AR255" s="399"/>
      <c r="AS255" s="400"/>
      <c r="AT255" s="397"/>
      <c r="AU255" s="397"/>
      <c r="AV255" s="397"/>
      <c r="AW255" s="406"/>
      <c r="AX255" s="404"/>
      <c r="AY255" s="406"/>
      <c r="AZ255" s="463"/>
      <c r="BA255" s="408"/>
      <c r="BB255" s="669"/>
      <c r="BC255" s="409"/>
      <c r="BD255" s="406"/>
      <c r="BF255" s="1143"/>
    </row>
    <row r="256" spans="1:58" ht="41.25" hidden="1" customHeight="1" x14ac:dyDescent="0.25">
      <c r="A256" s="373"/>
      <c r="B256" s="392"/>
      <c r="C256" s="668"/>
      <c r="D256" s="394"/>
      <c r="E256" s="394"/>
      <c r="F256" s="462"/>
      <c r="G256" s="392"/>
      <c r="H256" s="396"/>
      <c r="I256" s="397"/>
      <c r="J256" s="397"/>
      <c r="K256" s="397"/>
      <c r="L256" s="397"/>
      <c r="M256" s="397"/>
      <c r="N256" s="397"/>
      <c r="O256" s="398"/>
      <c r="P256" s="399"/>
      <c r="Q256" s="400"/>
      <c r="R256" s="397"/>
      <c r="S256" s="397"/>
      <c r="T256" s="397"/>
      <c r="U256" s="403"/>
      <c r="V256" s="402"/>
      <c r="W256" s="396"/>
      <c r="X256" s="397"/>
      <c r="Y256" s="397"/>
      <c r="Z256" s="397"/>
      <c r="AA256" s="397"/>
      <c r="AB256" s="397"/>
      <c r="AC256" s="397"/>
      <c r="AD256" s="398"/>
      <c r="AE256" s="399"/>
      <c r="AF256" s="400"/>
      <c r="AG256" s="397"/>
      <c r="AH256" s="397"/>
      <c r="AI256" s="397"/>
      <c r="AJ256" s="403"/>
      <c r="AK256" s="404"/>
      <c r="AL256" s="397"/>
      <c r="AM256" s="397"/>
      <c r="AN256" s="397"/>
      <c r="AO256" s="397"/>
      <c r="AP256" s="397"/>
      <c r="AQ256" s="398"/>
      <c r="AR256" s="399"/>
      <c r="AS256" s="400"/>
      <c r="AT256" s="397"/>
      <c r="AU256" s="397"/>
      <c r="AV256" s="397"/>
      <c r="AW256" s="406"/>
      <c r="AX256" s="404"/>
      <c r="AY256" s="406"/>
      <c r="AZ256" s="463"/>
      <c r="BA256" s="408"/>
      <c r="BB256" s="669"/>
      <c r="BC256" s="409"/>
      <c r="BD256" s="406"/>
      <c r="BF256" s="1143"/>
    </row>
    <row r="257" spans="1:58" ht="41.25" hidden="1" customHeight="1" x14ac:dyDescent="0.25">
      <c r="A257" s="373"/>
      <c r="B257" s="392"/>
      <c r="C257" s="668"/>
      <c r="D257" s="394"/>
      <c r="E257" s="394"/>
      <c r="F257" s="462"/>
      <c r="G257" s="392"/>
      <c r="H257" s="396"/>
      <c r="I257" s="397"/>
      <c r="J257" s="397"/>
      <c r="K257" s="397"/>
      <c r="L257" s="397"/>
      <c r="M257" s="397"/>
      <c r="N257" s="397"/>
      <c r="O257" s="398"/>
      <c r="P257" s="399"/>
      <c r="Q257" s="400"/>
      <c r="R257" s="397"/>
      <c r="S257" s="397"/>
      <c r="T257" s="397"/>
      <c r="U257" s="403"/>
      <c r="V257" s="402"/>
      <c r="W257" s="396"/>
      <c r="X257" s="397"/>
      <c r="Y257" s="397"/>
      <c r="Z257" s="397"/>
      <c r="AA257" s="397"/>
      <c r="AB257" s="397"/>
      <c r="AC257" s="397"/>
      <c r="AD257" s="398"/>
      <c r="AE257" s="399"/>
      <c r="AF257" s="400"/>
      <c r="AG257" s="397"/>
      <c r="AH257" s="397"/>
      <c r="AI257" s="397"/>
      <c r="AJ257" s="403"/>
      <c r="AK257" s="404"/>
      <c r="AL257" s="397"/>
      <c r="AM257" s="397"/>
      <c r="AN257" s="397"/>
      <c r="AO257" s="397"/>
      <c r="AP257" s="397"/>
      <c r="AQ257" s="398"/>
      <c r="AR257" s="399"/>
      <c r="AS257" s="400"/>
      <c r="AT257" s="397"/>
      <c r="AU257" s="397"/>
      <c r="AV257" s="397"/>
      <c r="AW257" s="406"/>
      <c r="AX257" s="404"/>
      <c r="AY257" s="406"/>
      <c r="AZ257" s="463"/>
      <c r="BA257" s="408"/>
      <c r="BB257" s="669"/>
      <c r="BC257" s="409"/>
      <c r="BD257" s="406"/>
      <c r="BF257" s="1143"/>
    </row>
    <row r="258" spans="1:58" ht="41.25" hidden="1" customHeight="1" x14ac:dyDescent="0.25">
      <c r="A258" s="373"/>
      <c r="B258" s="392"/>
      <c r="C258" s="668"/>
      <c r="D258" s="394"/>
      <c r="E258" s="394"/>
      <c r="F258" s="462"/>
      <c r="G258" s="392"/>
      <c r="H258" s="396"/>
      <c r="I258" s="397"/>
      <c r="J258" s="397"/>
      <c r="K258" s="397"/>
      <c r="L258" s="397"/>
      <c r="M258" s="397"/>
      <c r="N258" s="397"/>
      <c r="O258" s="398"/>
      <c r="P258" s="399"/>
      <c r="Q258" s="400"/>
      <c r="R258" s="397"/>
      <c r="S258" s="397"/>
      <c r="T258" s="397"/>
      <c r="U258" s="403"/>
      <c r="V258" s="402"/>
      <c r="W258" s="396"/>
      <c r="X258" s="397"/>
      <c r="Y258" s="397"/>
      <c r="Z258" s="397"/>
      <c r="AA258" s="397"/>
      <c r="AB258" s="397"/>
      <c r="AC258" s="397"/>
      <c r="AD258" s="398"/>
      <c r="AE258" s="399"/>
      <c r="AF258" s="400"/>
      <c r="AG258" s="397"/>
      <c r="AH258" s="397"/>
      <c r="AI258" s="397"/>
      <c r="AJ258" s="403"/>
      <c r="AK258" s="404"/>
      <c r="AL258" s="397"/>
      <c r="AM258" s="397"/>
      <c r="AN258" s="397"/>
      <c r="AO258" s="397"/>
      <c r="AP258" s="397"/>
      <c r="AQ258" s="398"/>
      <c r="AR258" s="399"/>
      <c r="AS258" s="400"/>
      <c r="AT258" s="397"/>
      <c r="AU258" s="397"/>
      <c r="AV258" s="397"/>
      <c r="AW258" s="406"/>
      <c r="AX258" s="404"/>
      <c r="AY258" s="406"/>
      <c r="AZ258" s="463"/>
      <c r="BA258" s="408"/>
      <c r="BB258" s="669"/>
      <c r="BC258" s="409"/>
      <c r="BD258" s="406"/>
      <c r="BF258" s="1143"/>
    </row>
    <row r="259" spans="1:58" ht="41.25" hidden="1" customHeight="1" x14ac:dyDescent="0.25">
      <c r="A259" s="373"/>
      <c r="B259" s="392"/>
      <c r="C259" s="668"/>
      <c r="D259" s="394"/>
      <c r="E259" s="394"/>
      <c r="F259" s="462"/>
      <c r="G259" s="392"/>
      <c r="H259" s="396"/>
      <c r="I259" s="397"/>
      <c r="J259" s="397"/>
      <c r="K259" s="397"/>
      <c r="L259" s="397"/>
      <c r="M259" s="397"/>
      <c r="N259" s="397"/>
      <c r="O259" s="398"/>
      <c r="P259" s="399"/>
      <c r="Q259" s="400"/>
      <c r="R259" s="397"/>
      <c r="S259" s="397"/>
      <c r="T259" s="397"/>
      <c r="U259" s="403"/>
      <c r="V259" s="402"/>
      <c r="W259" s="396"/>
      <c r="X259" s="397"/>
      <c r="Y259" s="397"/>
      <c r="Z259" s="397"/>
      <c r="AA259" s="397"/>
      <c r="AB259" s="397"/>
      <c r="AC259" s="397"/>
      <c r="AD259" s="398"/>
      <c r="AE259" s="399"/>
      <c r="AF259" s="400"/>
      <c r="AG259" s="397"/>
      <c r="AH259" s="397"/>
      <c r="AI259" s="397"/>
      <c r="AJ259" s="403"/>
      <c r="AK259" s="404"/>
      <c r="AL259" s="397"/>
      <c r="AM259" s="397"/>
      <c r="AN259" s="397"/>
      <c r="AO259" s="397"/>
      <c r="AP259" s="397"/>
      <c r="AQ259" s="398"/>
      <c r="AR259" s="399"/>
      <c r="AS259" s="400"/>
      <c r="AT259" s="397"/>
      <c r="AU259" s="397"/>
      <c r="AV259" s="397"/>
      <c r="AW259" s="406"/>
      <c r="AX259" s="404"/>
      <c r="AY259" s="406"/>
      <c r="AZ259" s="463"/>
      <c r="BA259" s="408"/>
      <c r="BB259" s="669"/>
      <c r="BC259" s="409"/>
      <c r="BD259" s="406"/>
      <c r="BF259" s="1143"/>
    </row>
    <row r="260" spans="1:58" ht="41.25" hidden="1" customHeight="1" x14ac:dyDescent="0.25">
      <c r="A260" s="373"/>
      <c r="B260" s="392"/>
      <c r="C260" s="668"/>
      <c r="D260" s="394"/>
      <c r="E260" s="394"/>
      <c r="F260" s="462"/>
      <c r="G260" s="392"/>
      <c r="H260" s="396"/>
      <c r="I260" s="397"/>
      <c r="J260" s="397"/>
      <c r="K260" s="397"/>
      <c r="L260" s="397"/>
      <c r="M260" s="397"/>
      <c r="N260" s="397"/>
      <c r="O260" s="398"/>
      <c r="P260" s="399"/>
      <c r="Q260" s="400"/>
      <c r="R260" s="397"/>
      <c r="S260" s="397"/>
      <c r="T260" s="397"/>
      <c r="U260" s="403"/>
      <c r="V260" s="402"/>
      <c r="W260" s="396"/>
      <c r="X260" s="397"/>
      <c r="Y260" s="397"/>
      <c r="Z260" s="397"/>
      <c r="AA260" s="397"/>
      <c r="AB260" s="397"/>
      <c r="AC260" s="397"/>
      <c r="AD260" s="398"/>
      <c r="AE260" s="399"/>
      <c r="AF260" s="400"/>
      <c r="AG260" s="397"/>
      <c r="AH260" s="397"/>
      <c r="AI260" s="397"/>
      <c r="AJ260" s="403"/>
      <c r="AK260" s="404"/>
      <c r="AL260" s="397"/>
      <c r="AM260" s="397"/>
      <c r="AN260" s="397"/>
      <c r="AO260" s="397"/>
      <c r="AP260" s="397"/>
      <c r="AQ260" s="398"/>
      <c r="AR260" s="399"/>
      <c r="AS260" s="400"/>
      <c r="AT260" s="397"/>
      <c r="AU260" s="397"/>
      <c r="AV260" s="397"/>
      <c r="AW260" s="406"/>
      <c r="AX260" s="404"/>
      <c r="AY260" s="406"/>
      <c r="AZ260" s="463"/>
      <c r="BA260" s="408"/>
      <c r="BB260" s="669"/>
      <c r="BC260" s="409"/>
      <c r="BD260" s="406"/>
      <c r="BF260" s="1143"/>
    </row>
    <row r="261" spans="1:58" ht="41.25" hidden="1" customHeight="1" x14ac:dyDescent="0.25">
      <c r="A261" s="373"/>
      <c r="B261" s="392"/>
      <c r="C261" s="668"/>
      <c r="D261" s="394"/>
      <c r="E261" s="394"/>
      <c r="F261" s="462"/>
      <c r="G261" s="392"/>
      <c r="H261" s="396"/>
      <c r="I261" s="397"/>
      <c r="J261" s="397"/>
      <c r="K261" s="397"/>
      <c r="L261" s="397"/>
      <c r="M261" s="397"/>
      <c r="N261" s="397"/>
      <c r="O261" s="398"/>
      <c r="P261" s="399"/>
      <c r="Q261" s="400"/>
      <c r="R261" s="397"/>
      <c r="S261" s="397"/>
      <c r="T261" s="397"/>
      <c r="U261" s="403"/>
      <c r="V261" s="402"/>
      <c r="W261" s="396"/>
      <c r="X261" s="397"/>
      <c r="Y261" s="397"/>
      <c r="Z261" s="397"/>
      <c r="AA261" s="397"/>
      <c r="AB261" s="397"/>
      <c r="AC261" s="397"/>
      <c r="AD261" s="398"/>
      <c r="AE261" s="399"/>
      <c r="AF261" s="400"/>
      <c r="AG261" s="397"/>
      <c r="AH261" s="397"/>
      <c r="AI261" s="397"/>
      <c r="AJ261" s="403"/>
      <c r="AK261" s="404"/>
      <c r="AL261" s="397"/>
      <c r="AM261" s="397"/>
      <c r="AN261" s="397"/>
      <c r="AO261" s="397"/>
      <c r="AP261" s="397"/>
      <c r="AQ261" s="398"/>
      <c r="AR261" s="399"/>
      <c r="AS261" s="400"/>
      <c r="AT261" s="397"/>
      <c r="AU261" s="397"/>
      <c r="AV261" s="397"/>
      <c r="AW261" s="406"/>
      <c r="AX261" s="404"/>
      <c r="AY261" s="406"/>
      <c r="AZ261" s="463"/>
      <c r="BA261" s="408"/>
      <c r="BB261" s="669"/>
      <c r="BC261" s="409"/>
      <c r="BD261" s="406"/>
      <c r="BF261" s="1143"/>
    </row>
    <row r="262" spans="1:58" ht="41.25" hidden="1" customHeight="1" x14ac:dyDescent="0.25">
      <c r="A262" s="373"/>
      <c r="B262" s="392"/>
      <c r="C262" s="668"/>
      <c r="D262" s="394"/>
      <c r="E262" s="394"/>
      <c r="F262" s="462"/>
      <c r="G262" s="392"/>
      <c r="H262" s="396"/>
      <c r="I262" s="397"/>
      <c r="J262" s="397"/>
      <c r="K262" s="397"/>
      <c r="L262" s="397"/>
      <c r="M262" s="397"/>
      <c r="N262" s="397"/>
      <c r="O262" s="398"/>
      <c r="P262" s="399"/>
      <c r="Q262" s="400"/>
      <c r="R262" s="397"/>
      <c r="S262" s="397"/>
      <c r="T262" s="397"/>
      <c r="U262" s="403"/>
      <c r="V262" s="402"/>
      <c r="W262" s="396"/>
      <c r="X262" s="397"/>
      <c r="Y262" s="397"/>
      <c r="Z262" s="397"/>
      <c r="AA262" s="397"/>
      <c r="AB262" s="397"/>
      <c r="AC262" s="397"/>
      <c r="AD262" s="398"/>
      <c r="AE262" s="399"/>
      <c r="AF262" s="400"/>
      <c r="AG262" s="397"/>
      <c r="AH262" s="397"/>
      <c r="AI262" s="397"/>
      <c r="AJ262" s="403"/>
      <c r="AK262" s="404"/>
      <c r="AL262" s="397"/>
      <c r="AM262" s="397"/>
      <c r="AN262" s="397"/>
      <c r="AO262" s="397"/>
      <c r="AP262" s="397"/>
      <c r="AQ262" s="398"/>
      <c r="AR262" s="399"/>
      <c r="AS262" s="400"/>
      <c r="AT262" s="397"/>
      <c r="AU262" s="397"/>
      <c r="AV262" s="397"/>
      <c r="AW262" s="406"/>
      <c r="AX262" s="404"/>
      <c r="AY262" s="406"/>
      <c r="AZ262" s="463"/>
      <c r="BA262" s="408"/>
      <c r="BB262" s="669"/>
      <c r="BC262" s="409"/>
      <c r="BD262" s="406"/>
      <c r="BF262" s="1143"/>
    </row>
    <row r="263" spans="1:58" ht="41.25" hidden="1" customHeight="1" x14ac:dyDescent="0.25">
      <c r="A263" s="373"/>
      <c r="B263" s="392"/>
      <c r="C263" s="668"/>
      <c r="D263" s="394"/>
      <c r="E263" s="394"/>
      <c r="F263" s="462"/>
      <c r="G263" s="392"/>
      <c r="H263" s="396"/>
      <c r="I263" s="397"/>
      <c r="J263" s="397"/>
      <c r="K263" s="397"/>
      <c r="L263" s="397"/>
      <c r="M263" s="397"/>
      <c r="N263" s="397"/>
      <c r="O263" s="398"/>
      <c r="P263" s="399"/>
      <c r="Q263" s="400"/>
      <c r="R263" s="397"/>
      <c r="S263" s="397"/>
      <c r="T263" s="397"/>
      <c r="U263" s="403"/>
      <c r="V263" s="402"/>
      <c r="W263" s="396"/>
      <c r="X263" s="397"/>
      <c r="Y263" s="397"/>
      <c r="Z263" s="397"/>
      <c r="AA263" s="397"/>
      <c r="AB263" s="397"/>
      <c r="AC263" s="397"/>
      <c r="AD263" s="398"/>
      <c r="AE263" s="399"/>
      <c r="AF263" s="400"/>
      <c r="AG263" s="397"/>
      <c r="AH263" s="397"/>
      <c r="AI263" s="397"/>
      <c r="AJ263" s="403"/>
      <c r="AK263" s="404"/>
      <c r="AL263" s="397"/>
      <c r="AM263" s="397"/>
      <c r="AN263" s="397"/>
      <c r="AO263" s="397"/>
      <c r="AP263" s="397"/>
      <c r="AQ263" s="398"/>
      <c r="AR263" s="399"/>
      <c r="AS263" s="400"/>
      <c r="AT263" s="397"/>
      <c r="AU263" s="397"/>
      <c r="AV263" s="397"/>
      <c r="AW263" s="406"/>
      <c r="AX263" s="404"/>
      <c r="AY263" s="406"/>
      <c r="AZ263" s="463"/>
      <c r="BA263" s="408"/>
      <c r="BB263" s="669"/>
      <c r="BC263" s="409"/>
      <c r="BD263" s="406"/>
      <c r="BF263" s="1143"/>
    </row>
    <row r="264" spans="1:58" ht="41.25" hidden="1" customHeight="1" x14ac:dyDescent="0.25">
      <c r="A264" s="373"/>
      <c r="B264" s="392"/>
      <c r="C264" s="668"/>
      <c r="D264" s="394"/>
      <c r="E264" s="394"/>
      <c r="F264" s="462"/>
      <c r="G264" s="392"/>
      <c r="H264" s="396"/>
      <c r="I264" s="397"/>
      <c r="J264" s="397"/>
      <c r="K264" s="397"/>
      <c r="L264" s="397"/>
      <c r="M264" s="397"/>
      <c r="N264" s="397"/>
      <c r="O264" s="398"/>
      <c r="P264" s="399"/>
      <c r="Q264" s="400"/>
      <c r="R264" s="397"/>
      <c r="S264" s="397"/>
      <c r="T264" s="397"/>
      <c r="U264" s="403"/>
      <c r="V264" s="402"/>
      <c r="W264" s="396"/>
      <c r="X264" s="397"/>
      <c r="Y264" s="397"/>
      <c r="Z264" s="397"/>
      <c r="AA264" s="397"/>
      <c r="AB264" s="397"/>
      <c r="AC264" s="397"/>
      <c r="AD264" s="398"/>
      <c r="AE264" s="399"/>
      <c r="AF264" s="400"/>
      <c r="AG264" s="397"/>
      <c r="AH264" s="397"/>
      <c r="AI264" s="397"/>
      <c r="AJ264" s="403"/>
      <c r="AK264" s="404"/>
      <c r="AL264" s="397"/>
      <c r="AM264" s="397"/>
      <c r="AN264" s="397"/>
      <c r="AO264" s="397"/>
      <c r="AP264" s="397"/>
      <c r="AQ264" s="398"/>
      <c r="AR264" s="399"/>
      <c r="AS264" s="400"/>
      <c r="AT264" s="397"/>
      <c r="AU264" s="397"/>
      <c r="AV264" s="397"/>
      <c r="AW264" s="406"/>
      <c r="AX264" s="404"/>
      <c r="AY264" s="406"/>
      <c r="AZ264" s="463"/>
      <c r="BA264" s="408"/>
      <c r="BB264" s="669"/>
      <c r="BC264" s="409"/>
      <c r="BD264" s="406"/>
      <c r="BF264" s="1143"/>
    </row>
    <row r="265" spans="1:58" ht="41.25" hidden="1" customHeight="1" x14ac:dyDescent="0.25">
      <c r="A265" s="373"/>
      <c r="B265" s="392"/>
      <c r="C265" s="668"/>
      <c r="D265" s="394"/>
      <c r="E265" s="394"/>
      <c r="F265" s="462"/>
      <c r="G265" s="392"/>
      <c r="H265" s="396"/>
      <c r="I265" s="397"/>
      <c r="J265" s="397"/>
      <c r="K265" s="397"/>
      <c r="L265" s="397"/>
      <c r="M265" s="397"/>
      <c r="N265" s="397"/>
      <c r="O265" s="398"/>
      <c r="P265" s="399"/>
      <c r="Q265" s="400"/>
      <c r="R265" s="397"/>
      <c r="S265" s="397"/>
      <c r="T265" s="397"/>
      <c r="U265" s="403"/>
      <c r="V265" s="402"/>
      <c r="W265" s="396"/>
      <c r="X265" s="397"/>
      <c r="Y265" s="397"/>
      <c r="Z265" s="397"/>
      <c r="AA265" s="397"/>
      <c r="AB265" s="397"/>
      <c r="AC265" s="397"/>
      <c r="AD265" s="398"/>
      <c r="AE265" s="399"/>
      <c r="AF265" s="400"/>
      <c r="AG265" s="397"/>
      <c r="AH265" s="397"/>
      <c r="AI265" s="397"/>
      <c r="AJ265" s="403"/>
      <c r="AK265" s="404"/>
      <c r="AL265" s="397"/>
      <c r="AM265" s="397"/>
      <c r="AN265" s="397"/>
      <c r="AO265" s="397"/>
      <c r="AP265" s="397"/>
      <c r="AQ265" s="398"/>
      <c r="AR265" s="399"/>
      <c r="AS265" s="400"/>
      <c r="AT265" s="397"/>
      <c r="AU265" s="397"/>
      <c r="AV265" s="397"/>
      <c r="AW265" s="406"/>
      <c r="AX265" s="404"/>
      <c r="AY265" s="406"/>
      <c r="AZ265" s="463"/>
      <c r="BA265" s="408"/>
      <c r="BB265" s="669"/>
      <c r="BC265" s="409"/>
      <c r="BD265" s="406"/>
      <c r="BF265" s="1143"/>
    </row>
    <row r="266" spans="1:58" ht="41.25" hidden="1" customHeight="1" x14ac:dyDescent="0.25">
      <c r="A266" s="373"/>
      <c r="B266" s="392"/>
      <c r="C266" s="668"/>
      <c r="D266" s="394"/>
      <c r="E266" s="394"/>
      <c r="F266" s="462"/>
      <c r="G266" s="392"/>
      <c r="H266" s="396"/>
      <c r="I266" s="397"/>
      <c r="J266" s="397"/>
      <c r="K266" s="397"/>
      <c r="L266" s="397"/>
      <c r="M266" s="397"/>
      <c r="N266" s="397"/>
      <c r="O266" s="398"/>
      <c r="P266" s="399"/>
      <c r="Q266" s="400"/>
      <c r="R266" s="397"/>
      <c r="S266" s="397"/>
      <c r="T266" s="397"/>
      <c r="U266" s="403"/>
      <c r="V266" s="402"/>
      <c r="W266" s="396"/>
      <c r="X266" s="397"/>
      <c r="Y266" s="397"/>
      <c r="Z266" s="397"/>
      <c r="AA266" s="397"/>
      <c r="AB266" s="397"/>
      <c r="AC266" s="397"/>
      <c r="AD266" s="398"/>
      <c r="AE266" s="399"/>
      <c r="AF266" s="400"/>
      <c r="AG266" s="397"/>
      <c r="AH266" s="397"/>
      <c r="AI266" s="397"/>
      <c r="AJ266" s="403"/>
      <c r="AK266" s="404"/>
      <c r="AL266" s="397"/>
      <c r="AM266" s="397"/>
      <c r="AN266" s="397"/>
      <c r="AO266" s="397"/>
      <c r="AP266" s="397"/>
      <c r="AQ266" s="398"/>
      <c r="AR266" s="399"/>
      <c r="AS266" s="400"/>
      <c r="AT266" s="397"/>
      <c r="AU266" s="397"/>
      <c r="AV266" s="397"/>
      <c r="AW266" s="406"/>
      <c r="AX266" s="404"/>
      <c r="AY266" s="406"/>
      <c r="AZ266" s="463"/>
      <c r="BA266" s="408"/>
      <c r="BB266" s="669"/>
      <c r="BC266" s="409"/>
      <c r="BD266" s="406"/>
      <c r="BF266" s="1143"/>
    </row>
    <row r="267" spans="1:58" ht="41.25" hidden="1" customHeight="1" x14ac:dyDescent="0.25">
      <c r="A267" s="373"/>
      <c r="B267" s="392"/>
      <c r="C267" s="668"/>
      <c r="D267" s="394"/>
      <c r="E267" s="394"/>
      <c r="F267" s="462"/>
      <c r="G267" s="392"/>
      <c r="H267" s="396"/>
      <c r="I267" s="397"/>
      <c r="J267" s="397"/>
      <c r="K267" s="397"/>
      <c r="L267" s="397"/>
      <c r="M267" s="397"/>
      <c r="N267" s="397"/>
      <c r="O267" s="398"/>
      <c r="P267" s="399"/>
      <c r="Q267" s="400"/>
      <c r="R267" s="397"/>
      <c r="S267" s="397"/>
      <c r="T267" s="397"/>
      <c r="U267" s="403"/>
      <c r="V267" s="402"/>
      <c r="W267" s="396"/>
      <c r="X267" s="397"/>
      <c r="Y267" s="397"/>
      <c r="Z267" s="397"/>
      <c r="AA267" s="397"/>
      <c r="AB267" s="397"/>
      <c r="AC267" s="397"/>
      <c r="AD267" s="398"/>
      <c r="AE267" s="399"/>
      <c r="AF267" s="400"/>
      <c r="AG267" s="397"/>
      <c r="AH267" s="397"/>
      <c r="AI267" s="397"/>
      <c r="AJ267" s="403"/>
      <c r="AK267" s="404"/>
      <c r="AL267" s="397"/>
      <c r="AM267" s="397"/>
      <c r="AN267" s="397"/>
      <c r="AO267" s="397"/>
      <c r="AP267" s="397"/>
      <c r="AQ267" s="398"/>
      <c r="AR267" s="399"/>
      <c r="AS267" s="400"/>
      <c r="AT267" s="397"/>
      <c r="AU267" s="397"/>
      <c r="AV267" s="397"/>
      <c r="AW267" s="406"/>
      <c r="AX267" s="404"/>
      <c r="AY267" s="406"/>
      <c r="AZ267" s="463"/>
      <c r="BA267" s="408"/>
      <c r="BB267" s="669"/>
      <c r="BC267" s="409"/>
      <c r="BD267" s="406"/>
      <c r="BF267" s="1143"/>
    </row>
    <row r="268" spans="1:58" ht="41.25" hidden="1" customHeight="1" x14ac:dyDescent="0.25">
      <c r="A268" s="373"/>
      <c r="B268" s="392"/>
      <c r="C268" s="668"/>
      <c r="D268" s="394"/>
      <c r="E268" s="394"/>
      <c r="F268" s="462"/>
      <c r="G268" s="392"/>
      <c r="H268" s="396"/>
      <c r="I268" s="397"/>
      <c r="J268" s="397"/>
      <c r="K268" s="397"/>
      <c r="L268" s="397"/>
      <c r="M268" s="397"/>
      <c r="N268" s="397"/>
      <c r="O268" s="398"/>
      <c r="P268" s="399"/>
      <c r="Q268" s="400"/>
      <c r="R268" s="397"/>
      <c r="S268" s="397"/>
      <c r="T268" s="397"/>
      <c r="U268" s="403"/>
      <c r="V268" s="402"/>
      <c r="W268" s="396"/>
      <c r="X268" s="397"/>
      <c r="Y268" s="397"/>
      <c r="Z268" s="397"/>
      <c r="AA268" s="397"/>
      <c r="AB268" s="397"/>
      <c r="AC268" s="397"/>
      <c r="AD268" s="398"/>
      <c r="AE268" s="399"/>
      <c r="AF268" s="400"/>
      <c r="AG268" s="397"/>
      <c r="AH268" s="397"/>
      <c r="AI268" s="397"/>
      <c r="AJ268" s="403"/>
      <c r="AK268" s="404"/>
      <c r="AL268" s="397"/>
      <c r="AM268" s="397"/>
      <c r="AN268" s="397"/>
      <c r="AO268" s="397"/>
      <c r="AP268" s="397"/>
      <c r="AQ268" s="398"/>
      <c r="AR268" s="399"/>
      <c r="AS268" s="400"/>
      <c r="AT268" s="397"/>
      <c r="AU268" s="397"/>
      <c r="AV268" s="397"/>
      <c r="AW268" s="406"/>
      <c r="AX268" s="404"/>
      <c r="AY268" s="406"/>
      <c r="AZ268" s="463"/>
      <c r="BA268" s="408"/>
      <c r="BB268" s="669"/>
      <c r="BC268" s="409"/>
      <c r="BD268" s="406"/>
      <c r="BF268" s="1143"/>
    </row>
    <row r="269" spans="1:58" ht="41.25" hidden="1" customHeight="1" x14ac:dyDescent="0.25">
      <c r="A269" s="373"/>
      <c r="B269" s="392"/>
      <c r="C269" s="668"/>
      <c r="D269" s="394"/>
      <c r="E269" s="394"/>
      <c r="F269" s="462"/>
      <c r="G269" s="392"/>
      <c r="H269" s="396"/>
      <c r="I269" s="397"/>
      <c r="J269" s="397"/>
      <c r="K269" s="397"/>
      <c r="L269" s="397"/>
      <c r="M269" s="397"/>
      <c r="N269" s="397"/>
      <c r="O269" s="398"/>
      <c r="P269" s="399"/>
      <c r="Q269" s="400"/>
      <c r="R269" s="397"/>
      <c r="S269" s="397"/>
      <c r="T269" s="397"/>
      <c r="U269" s="403"/>
      <c r="V269" s="402"/>
      <c r="W269" s="396"/>
      <c r="X269" s="397"/>
      <c r="Y269" s="397"/>
      <c r="Z269" s="397"/>
      <c r="AA269" s="397"/>
      <c r="AB269" s="397"/>
      <c r="AC269" s="397"/>
      <c r="AD269" s="398"/>
      <c r="AE269" s="399"/>
      <c r="AF269" s="400"/>
      <c r="AG269" s="397"/>
      <c r="AH269" s="397"/>
      <c r="AI269" s="397"/>
      <c r="AJ269" s="403"/>
      <c r="AK269" s="404"/>
      <c r="AL269" s="397"/>
      <c r="AM269" s="397"/>
      <c r="AN269" s="397"/>
      <c r="AO269" s="397"/>
      <c r="AP269" s="397"/>
      <c r="AQ269" s="398"/>
      <c r="AR269" s="399"/>
      <c r="AS269" s="400"/>
      <c r="AT269" s="397"/>
      <c r="AU269" s="397"/>
      <c r="AV269" s="397"/>
      <c r="AW269" s="406"/>
      <c r="AX269" s="404"/>
      <c r="AY269" s="406"/>
      <c r="AZ269" s="463"/>
      <c r="BA269" s="408"/>
      <c r="BB269" s="669"/>
      <c r="BC269" s="409"/>
      <c r="BD269" s="406"/>
      <c r="BF269" s="1143"/>
    </row>
    <row r="270" spans="1:58" ht="41.25" hidden="1" customHeight="1" x14ac:dyDescent="0.25">
      <c r="A270" s="373"/>
      <c r="B270" s="392"/>
      <c r="C270" s="668"/>
      <c r="D270" s="394"/>
      <c r="E270" s="394"/>
      <c r="F270" s="462"/>
      <c r="G270" s="392"/>
      <c r="H270" s="396"/>
      <c r="I270" s="397"/>
      <c r="J270" s="397"/>
      <c r="K270" s="397"/>
      <c r="L270" s="397"/>
      <c r="M270" s="397"/>
      <c r="N270" s="397"/>
      <c r="O270" s="398"/>
      <c r="P270" s="399"/>
      <c r="Q270" s="400"/>
      <c r="R270" s="397"/>
      <c r="S270" s="397"/>
      <c r="T270" s="397"/>
      <c r="U270" s="403"/>
      <c r="V270" s="402"/>
      <c r="W270" s="396"/>
      <c r="X270" s="397"/>
      <c r="Y270" s="397"/>
      <c r="Z270" s="397"/>
      <c r="AA270" s="397"/>
      <c r="AB270" s="397"/>
      <c r="AC270" s="397"/>
      <c r="AD270" s="398"/>
      <c r="AE270" s="399"/>
      <c r="AF270" s="400"/>
      <c r="AG270" s="397"/>
      <c r="AH270" s="397"/>
      <c r="AI270" s="397"/>
      <c r="AJ270" s="403"/>
      <c r="AK270" s="404"/>
      <c r="AL270" s="397"/>
      <c r="AM270" s="397"/>
      <c r="AN270" s="397"/>
      <c r="AO270" s="397"/>
      <c r="AP270" s="397"/>
      <c r="AQ270" s="398"/>
      <c r="AR270" s="399"/>
      <c r="AS270" s="400"/>
      <c r="AT270" s="397"/>
      <c r="AU270" s="397"/>
      <c r="AV270" s="397"/>
      <c r="AW270" s="406"/>
      <c r="AX270" s="404"/>
      <c r="AY270" s="406"/>
      <c r="AZ270" s="463"/>
      <c r="BA270" s="408"/>
      <c r="BB270" s="669"/>
      <c r="BC270" s="409"/>
      <c r="BD270" s="406"/>
      <c r="BF270" s="1143"/>
    </row>
    <row r="271" spans="1:58" ht="41.25" hidden="1" customHeight="1" x14ac:dyDescent="0.25">
      <c r="A271" s="373"/>
      <c r="B271" s="392"/>
      <c r="C271" s="668"/>
      <c r="D271" s="394"/>
      <c r="E271" s="394"/>
      <c r="F271" s="462"/>
      <c r="G271" s="392"/>
      <c r="H271" s="396"/>
      <c r="I271" s="397"/>
      <c r="J271" s="397"/>
      <c r="K271" s="397"/>
      <c r="L271" s="397"/>
      <c r="M271" s="397"/>
      <c r="N271" s="397"/>
      <c r="O271" s="398"/>
      <c r="P271" s="399"/>
      <c r="Q271" s="400"/>
      <c r="R271" s="397"/>
      <c r="S271" s="397"/>
      <c r="T271" s="397"/>
      <c r="U271" s="403"/>
      <c r="V271" s="402"/>
      <c r="W271" s="396"/>
      <c r="X271" s="397"/>
      <c r="Y271" s="397"/>
      <c r="Z271" s="397"/>
      <c r="AA271" s="397"/>
      <c r="AB271" s="397"/>
      <c r="AC271" s="397"/>
      <c r="AD271" s="398"/>
      <c r="AE271" s="399"/>
      <c r="AF271" s="400"/>
      <c r="AG271" s="397"/>
      <c r="AH271" s="397"/>
      <c r="AI271" s="397"/>
      <c r="AJ271" s="403"/>
      <c r="AK271" s="404"/>
      <c r="AL271" s="397"/>
      <c r="AM271" s="397"/>
      <c r="AN271" s="397"/>
      <c r="AO271" s="397"/>
      <c r="AP271" s="397"/>
      <c r="AQ271" s="398"/>
      <c r="AR271" s="399"/>
      <c r="AS271" s="400"/>
      <c r="AT271" s="397"/>
      <c r="AU271" s="397"/>
      <c r="AV271" s="397"/>
      <c r="AW271" s="406"/>
      <c r="AX271" s="404"/>
      <c r="AY271" s="406"/>
      <c r="AZ271" s="463"/>
      <c r="BA271" s="408"/>
      <c r="BB271" s="669"/>
      <c r="BC271" s="409"/>
      <c r="BD271" s="406"/>
      <c r="BF271" s="1143"/>
    </row>
    <row r="272" spans="1:58" ht="41.25" hidden="1" customHeight="1" x14ac:dyDescent="0.25">
      <c r="A272" s="373"/>
      <c r="B272" s="392"/>
      <c r="C272" s="668"/>
      <c r="D272" s="394"/>
      <c r="E272" s="394"/>
      <c r="F272" s="462"/>
      <c r="G272" s="392"/>
      <c r="H272" s="396"/>
      <c r="I272" s="397"/>
      <c r="J272" s="397"/>
      <c r="K272" s="397"/>
      <c r="L272" s="397"/>
      <c r="M272" s="397"/>
      <c r="N272" s="397"/>
      <c r="O272" s="398"/>
      <c r="P272" s="399"/>
      <c r="Q272" s="400"/>
      <c r="R272" s="397"/>
      <c r="S272" s="397"/>
      <c r="T272" s="397"/>
      <c r="U272" s="403"/>
      <c r="V272" s="402"/>
      <c r="W272" s="396"/>
      <c r="X272" s="397"/>
      <c r="Y272" s="397"/>
      <c r="Z272" s="397"/>
      <c r="AA272" s="397"/>
      <c r="AB272" s="397"/>
      <c r="AC272" s="397"/>
      <c r="AD272" s="398"/>
      <c r="AE272" s="399"/>
      <c r="AF272" s="400"/>
      <c r="AG272" s="397"/>
      <c r="AH272" s="397"/>
      <c r="AI272" s="397"/>
      <c r="AJ272" s="403"/>
      <c r="AK272" s="404"/>
      <c r="AL272" s="397"/>
      <c r="AM272" s="397"/>
      <c r="AN272" s="397"/>
      <c r="AO272" s="397"/>
      <c r="AP272" s="397"/>
      <c r="AQ272" s="398"/>
      <c r="AR272" s="399"/>
      <c r="AS272" s="400"/>
      <c r="AT272" s="397"/>
      <c r="AU272" s="397"/>
      <c r="AV272" s="397"/>
      <c r="AW272" s="406"/>
      <c r="AX272" s="404"/>
      <c r="AY272" s="406"/>
      <c r="AZ272" s="463"/>
      <c r="BA272" s="408"/>
      <c r="BB272" s="669"/>
      <c r="BC272" s="409"/>
      <c r="BD272" s="406"/>
      <c r="BF272" s="1143"/>
    </row>
    <row r="273" spans="1:58" ht="41.25" hidden="1" customHeight="1" x14ac:dyDescent="0.25">
      <c r="A273" s="373"/>
      <c r="B273" s="392"/>
      <c r="C273" s="668"/>
      <c r="D273" s="394"/>
      <c r="E273" s="394"/>
      <c r="F273" s="462"/>
      <c r="G273" s="392"/>
      <c r="H273" s="396"/>
      <c r="I273" s="397"/>
      <c r="J273" s="397"/>
      <c r="K273" s="397"/>
      <c r="L273" s="397"/>
      <c r="M273" s="397"/>
      <c r="N273" s="397"/>
      <c r="O273" s="398"/>
      <c r="P273" s="399"/>
      <c r="Q273" s="400"/>
      <c r="R273" s="397"/>
      <c r="S273" s="397"/>
      <c r="T273" s="397"/>
      <c r="U273" s="403"/>
      <c r="V273" s="402"/>
      <c r="W273" s="396"/>
      <c r="X273" s="397"/>
      <c r="Y273" s="397"/>
      <c r="Z273" s="397"/>
      <c r="AA273" s="397"/>
      <c r="AB273" s="397"/>
      <c r="AC273" s="397"/>
      <c r="AD273" s="398"/>
      <c r="AE273" s="399"/>
      <c r="AF273" s="400"/>
      <c r="AG273" s="397"/>
      <c r="AH273" s="397"/>
      <c r="AI273" s="397"/>
      <c r="AJ273" s="403"/>
      <c r="AK273" s="404"/>
      <c r="AL273" s="397"/>
      <c r="AM273" s="397"/>
      <c r="AN273" s="397"/>
      <c r="AO273" s="397"/>
      <c r="AP273" s="397"/>
      <c r="AQ273" s="398"/>
      <c r="AR273" s="399"/>
      <c r="AS273" s="400"/>
      <c r="AT273" s="397"/>
      <c r="AU273" s="397"/>
      <c r="AV273" s="397"/>
      <c r="AW273" s="406"/>
      <c r="AX273" s="404"/>
      <c r="AY273" s="406"/>
      <c r="AZ273" s="463"/>
      <c r="BA273" s="408"/>
      <c r="BB273" s="669"/>
      <c r="BC273" s="409"/>
      <c r="BD273" s="406"/>
      <c r="BF273" s="1143"/>
    </row>
    <row r="274" spans="1:58" ht="41.25" hidden="1" customHeight="1" x14ac:dyDescent="0.25">
      <c r="A274" s="373"/>
      <c r="B274" s="392"/>
      <c r="C274" s="668"/>
      <c r="D274" s="394"/>
      <c r="E274" s="394"/>
      <c r="F274" s="462"/>
      <c r="G274" s="392"/>
      <c r="H274" s="396"/>
      <c r="I274" s="397"/>
      <c r="J274" s="397"/>
      <c r="K274" s="397"/>
      <c r="L274" s="397"/>
      <c r="M274" s="397"/>
      <c r="N274" s="397"/>
      <c r="O274" s="398"/>
      <c r="P274" s="399"/>
      <c r="Q274" s="400"/>
      <c r="R274" s="397"/>
      <c r="S274" s="397"/>
      <c r="T274" s="397"/>
      <c r="U274" s="403"/>
      <c r="V274" s="402"/>
      <c r="W274" s="396"/>
      <c r="X274" s="397"/>
      <c r="Y274" s="397"/>
      <c r="Z274" s="397"/>
      <c r="AA274" s="397"/>
      <c r="AB274" s="397"/>
      <c r="AC274" s="397"/>
      <c r="AD274" s="398"/>
      <c r="AE274" s="399"/>
      <c r="AF274" s="400"/>
      <c r="AG274" s="397"/>
      <c r="AH274" s="397"/>
      <c r="AI274" s="397"/>
      <c r="AJ274" s="403"/>
      <c r="AK274" s="404"/>
      <c r="AL274" s="397"/>
      <c r="AM274" s="397"/>
      <c r="AN274" s="397"/>
      <c r="AO274" s="397"/>
      <c r="AP274" s="397"/>
      <c r="AQ274" s="398"/>
      <c r="AR274" s="399"/>
      <c r="AS274" s="400"/>
      <c r="AT274" s="397"/>
      <c r="AU274" s="397"/>
      <c r="AV274" s="397"/>
      <c r="AW274" s="406"/>
      <c r="AX274" s="404"/>
      <c r="AY274" s="406"/>
      <c r="AZ274" s="463"/>
      <c r="BA274" s="408"/>
      <c r="BB274" s="669"/>
      <c r="BC274" s="409"/>
      <c r="BD274" s="406"/>
      <c r="BF274" s="1143"/>
    </row>
    <row r="275" spans="1:58" ht="41.25" hidden="1" customHeight="1" x14ac:dyDescent="0.25">
      <c r="A275" s="373"/>
      <c r="B275" s="392"/>
      <c r="C275" s="668"/>
      <c r="D275" s="394"/>
      <c r="E275" s="394"/>
      <c r="F275" s="462"/>
      <c r="G275" s="392"/>
      <c r="H275" s="396"/>
      <c r="I275" s="397"/>
      <c r="J275" s="397"/>
      <c r="K275" s="397"/>
      <c r="L275" s="397"/>
      <c r="M275" s="397"/>
      <c r="N275" s="397"/>
      <c r="O275" s="398"/>
      <c r="P275" s="399"/>
      <c r="Q275" s="400"/>
      <c r="R275" s="397"/>
      <c r="S275" s="397"/>
      <c r="T275" s="397"/>
      <c r="U275" s="403"/>
      <c r="V275" s="402"/>
      <c r="W275" s="396"/>
      <c r="X275" s="397"/>
      <c r="Y275" s="397"/>
      <c r="Z275" s="397"/>
      <c r="AA275" s="397"/>
      <c r="AB275" s="397"/>
      <c r="AC275" s="397"/>
      <c r="AD275" s="398"/>
      <c r="AE275" s="399"/>
      <c r="AF275" s="400"/>
      <c r="AG275" s="397"/>
      <c r="AH275" s="397"/>
      <c r="AI275" s="397"/>
      <c r="AJ275" s="403"/>
      <c r="AK275" s="404"/>
      <c r="AL275" s="397"/>
      <c r="AM275" s="397"/>
      <c r="AN275" s="397"/>
      <c r="AO275" s="397"/>
      <c r="AP275" s="397"/>
      <c r="AQ275" s="398"/>
      <c r="AR275" s="399"/>
      <c r="AS275" s="400"/>
      <c r="AT275" s="397"/>
      <c r="AU275" s="397"/>
      <c r="AV275" s="397"/>
      <c r="AW275" s="406"/>
      <c r="AX275" s="404"/>
      <c r="AY275" s="406"/>
      <c r="AZ275" s="463"/>
      <c r="BA275" s="408"/>
      <c r="BB275" s="669"/>
      <c r="BC275" s="409"/>
      <c r="BD275" s="406"/>
      <c r="BF275" s="1143"/>
    </row>
    <row r="276" spans="1:58" ht="41.25" hidden="1" customHeight="1" x14ac:dyDescent="0.25">
      <c r="A276" s="373"/>
      <c r="B276" s="392"/>
      <c r="C276" s="668"/>
      <c r="D276" s="394"/>
      <c r="E276" s="394"/>
      <c r="F276" s="462"/>
      <c r="G276" s="392"/>
      <c r="H276" s="396"/>
      <c r="I276" s="397"/>
      <c r="J276" s="397"/>
      <c r="K276" s="397"/>
      <c r="L276" s="397"/>
      <c r="M276" s="397"/>
      <c r="N276" s="397"/>
      <c r="O276" s="398"/>
      <c r="P276" s="399"/>
      <c r="Q276" s="400"/>
      <c r="R276" s="397"/>
      <c r="S276" s="397"/>
      <c r="T276" s="397"/>
      <c r="U276" s="403"/>
      <c r="V276" s="402"/>
      <c r="W276" s="396"/>
      <c r="X276" s="397"/>
      <c r="Y276" s="397"/>
      <c r="Z276" s="397"/>
      <c r="AA276" s="397"/>
      <c r="AB276" s="397"/>
      <c r="AC276" s="397"/>
      <c r="AD276" s="398"/>
      <c r="AE276" s="399"/>
      <c r="AF276" s="400"/>
      <c r="AG276" s="397"/>
      <c r="AH276" s="397"/>
      <c r="AI276" s="397"/>
      <c r="AJ276" s="403"/>
      <c r="AK276" s="404"/>
      <c r="AL276" s="397"/>
      <c r="AM276" s="397"/>
      <c r="AN276" s="397"/>
      <c r="AO276" s="397"/>
      <c r="AP276" s="397"/>
      <c r="AQ276" s="398"/>
      <c r="AR276" s="399"/>
      <c r="AS276" s="400"/>
      <c r="AT276" s="397"/>
      <c r="AU276" s="397"/>
      <c r="AV276" s="397"/>
      <c r="AW276" s="406"/>
      <c r="AX276" s="404"/>
      <c r="AY276" s="406"/>
      <c r="AZ276" s="463"/>
      <c r="BA276" s="408"/>
      <c r="BB276" s="669"/>
      <c r="BC276" s="409"/>
      <c r="BD276" s="406"/>
      <c r="BF276" s="1143"/>
    </row>
    <row r="277" spans="1:58" ht="41.25" hidden="1" customHeight="1" x14ac:dyDescent="0.25">
      <c r="A277" s="373"/>
      <c r="B277" s="392"/>
      <c r="C277" s="668"/>
      <c r="D277" s="394"/>
      <c r="E277" s="394"/>
      <c r="F277" s="462"/>
      <c r="G277" s="392"/>
      <c r="H277" s="396"/>
      <c r="I277" s="397"/>
      <c r="J277" s="397"/>
      <c r="K277" s="397"/>
      <c r="L277" s="397"/>
      <c r="M277" s="397"/>
      <c r="N277" s="397"/>
      <c r="O277" s="398"/>
      <c r="P277" s="399"/>
      <c r="Q277" s="400"/>
      <c r="R277" s="397"/>
      <c r="S277" s="397"/>
      <c r="T277" s="397"/>
      <c r="U277" s="403"/>
      <c r="V277" s="402"/>
      <c r="W277" s="396"/>
      <c r="X277" s="397"/>
      <c r="Y277" s="397"/>
      <c r="Z277" s="397"/>
      <c r="AA277" s="397"/>
      <c r="AB277" s="397"/>
      <c r="AC277" s="397"/>
      <c r="AD277" s="398"/>
      <c r="AE277" s="399"/>
      <c r="AF277" s="400"/>
      <c r="AG277" s="397"/>
      <c r="AH277" s="397"/>
      <c r="AI277" s="397"/>
      <c r="AJ277" s="403"/>
      <c r="AK277" s="404"/>
      <c r="AL277" s="397"/>
      <c r="AM277" s="397"/>
      <c r="AN277" s="397"/>
      <c r="AO277" s="397"/>
      <c r="AP277" s="397"/>
      <c r="AQ277" s="398"/>
      <c r="AR277" s="399"/>
      <c r="AS277" s="400"/>
      <c r="AT277" s="397"/>
      <c r="AU277" s="397"/>
      <c r="AV277" s="397"/>
      <c r="AW277" s="406"/>
      <c r="AX277" s="404"/>
      <c r="AY277" s="406"/>
      <c r="AZ277" s="463"/>
      <c r="BA277" s="408"/>
      <c r="BB277" s="669"/>
      <c r="BC277" s="409"/>
      <c r="BD277" s="406"/>
      <c r="BF277" s="1143"/>
    </row>
    <row r="278" spans="1:58" ht="41.25" hidden="1" customHeight="1" x14ac:dyDescent="0.25">
      <c r="A278" s="373"/>
      <c r="B278" s="392"/>
      <c r="C278" s="668"/>
      <c r="D278" s="394"/>
      <c r="E278" s="394"/>
      <c r="F278" s="462"/>
      <c r="G278" s="392"/>
      <c r="H278" s="396"/>
      <c r="I278" s="397"/>
      <c r="J278" s="397"/>
      <c r="K278" s="397"/>
      <c r="L278" s="397"/>
      <c r="M278" s="397"/>
      <c r="N278" s="397"/>
      <c r="O278" s="398"/>
      <c r="P278" s="399"/>
      <c r="Q278" s="400"/>
      <c r="R278" s="397"/>
      <c r="S278" s="397"/>
      <c r="T278" s="397"/>
      <c r="U278" s="403"/>
      <c r="V278" s="402"/>
      <c r="W278" s="396"/>
      <c r="X278" s="397"/>
      <c r="Y278" s="397"/>
      <c r="Z278" s="397"/>
      <c r="AA278" s="397"/>
      <c r="AB278" s="397"/>
      <c r="AC278" s="397"/>
      <c r="AD278" s="398"/>
      <c r="AE278" s="399"/>
      <c r="AF278" s="400"/>
      <c r="AG278" s="397"/>
      <c r="AH278" s="397"/>
      <c r="AI278" s="397"/>
      <c r="AJ278" s="403"/>
      <c r="AK278" s="404"/>
      <c r="AL278" s="397"/>
      <c r="AM278" s="397"/>
      <c r="AN278" s="397"/>
      <c r="AO278" s="397"/>
      <c r="AP278" s="397"/>
      <c r="AQ278" s="398"/>
      <c r="AR278" s="399"/>
      <c r="AS278" s="400"/>
      <c r="AT278" s="397"/>
      <c r="AU278" s="397"/>
      <c r="AV278" s="397"/>
      <c r="AW278" s="406"/>
      <c r="AX278" s="404"/>
      <c r="AY278" s="406"/>
      <c r="AZ278" s="463"/>
      <c r="BA278" s="408"/>
      <c r="BB278" s="669"/>
      <c r="BC278" s="409"/>
      <c r="BD278" s="406"/>
      <c r="BF278" s="1143"/>
    </row>
    <row r="279" spans="1:58" ht="41.25" hidden="1" customHeight="1" x14ac:dyDescent="0.25">
      <c r="A279" s="373"/>
      <c r="B279" s="392"/>
      <c r="C279" s="668"/>
      <c r="D279" s="394"/>
      <c r="E279" s="394"/>
      <c r="F279" s="462"/>
      <c r="G279" s="392"/>
      <c r="H279" s="396"/>
      <c r="I279" s="397"/>
      <c r="J279" s="397"/>
      <c r="K279" s="397"/>
      <c r="L279" s="397"/>
      <c r="M279" s="397"/>
      <c r="N279" s="397"/>
      <c r="O279" s="398"/>
      <c r="P279" s="399"/>
      <c r="Q279" s="400"/>
      <c r="R279" s="397"/>
      <c r="S279" s="397"/>
      <c r="T279" s="397"/>
      <c r="U279" s="403"/>
      <c r="V279" s="402"/>
      <c r="W279" s="396"/>
      <c r="X279" s="397"/>
      <c r="Y279" s="397"/>
      <c r="Z279" s="397"/>
      <c r="AA279" s="397"/>
      <c r="AB279" s="397"/>
      <c r="AC279" s="397"/>
      <c r="AD279" s="398"/>
      <c r="AE279" s="399"/>
      <c r="AF279" s="400"/>
      <c r="AG279" s="397"/>
      <c r="AH279" s="397"/>
      <c r="AI279" s="397"/>
      <c r="AJ279" s="403"/>
      <c r="AK279" s="404"/>
      <c r="AL279" s="397"/>
      <c r="AM279" s="397"/>
      <c r="AN279" s="397"/>
      <c r="AO279" s="397"/>
      <c r="AP279" s="397"/>
      <c r="AQ279" s="398"/>
      <c r="AR279" s="399"/>
      <c r="AS279" s="400"/>
      <c r="AT279" s="397"/>
      <c r="AU279" s="397"/>
      <c r="AV279" s="397"/>
      <c r="AW279" s="406"/>
      <c r="AX279" s="404"/>
      <c r="AY279" s="406"/>
      <c r="AZ279" s="463"/>
      <c r="BA279" s="408"/>
      <c r="BB279" s="669"/>
      <c r="BC279" s="409"/>
      <c r="BD279" s="406"/>
      <c r="BF279" s="1143"/>
    </row>
    <row r="280" spans="1:58" ht="41.25" hidden="1" customHeight="1" x14ac:dyDescent="0.25">
      <c r="A280" s="373"/>
      <c r="B280" s="392"/>
      <c r="C280" s="668"/>
      <c r="D280" s="394"/>
      <c r="E280" s="394"/>
      <c r="F280" s="462"/>
      <c r="G280" s="392"/>
      <c r="H280" s="396"/>
      <c r="I280" s="397"/>
      <c r="J280" s="397"/>
      <c r="K280" s="397"/>
      <c r="L280" s="397"/>
      <c r="M280" s="397"/>
      <c r="N280" s="397"/>
      <c r="O280" s="398"/>
      <c r="P280" s="399"/>
      <c r="Q280" s="400"/>
      <c r="R280" s="397"/>
      <c r="S280" s="397"/>
      <c r="T280" s="397"/>
      <c r="U280" s="403"/>
      <c r="V280" s="402"/>
      <c r="W280" s="396"/>
      <c r="X280" s="397"/>
      <c r="Y280" s="397"/>
      <c r="Z280" s="397"/>
      <c r="AA280" s="397"/>
      <c r="AB280" s="397"/>
      <c r="AC280" s="397"/>
      <c r="AD280" s="398"/>
      <c r="AE280" s="399"/>
      <c r="AF280" s="400"/>
      <c r="AG280" s="397"/>
      <c r="AH280" s="397"/>
      <c r="AI280" s="397"/>
      <c r="AJ280" s="403"/>
      <c r="AK280" s="404"/>
      <c r="AL280" s="397"/>
      <c r="AM280" s="397"/>
      <c r="AN280" s="397"/>
      <c r="AO280" s="397"/>
      <c r="AP280" s="397"/>
      <c r="AQ280" s="398"/>
      <c r="AR280" s="399"/>
      <c r="AS280" s="400"/>
      <c r="AT280" s="397"/>
      <c r="AU280" s="397"/>
      <c r="AV280" s="397"/>
      <c r="AW280" s="406"/>
      <c r="AX280" s="404"/>
      <c r="AY280" s="406"/>
      <c r="AZ280" s="463"/>
      <c r="BA280" s="408"/>
      <c r="BB280" s="669"/>
      <c r="BC280" s="409"/>
      <c r="BD280" s="406"/>
      <c r="BF280" s="1143"/>
    </row>
    <row r="281" spans="1:58" ht="41.25" hidden="1" customHeight="1" x14ac:dyDescent="0.25">
      <c r="A281" s="373"/>
      <c r="B281" s="392"/>
      <c r="C281" s="668"/>
      <c r="D281" s="394"/>
      <c r="E281" s="394"/>
      <c r="F281" s="462"/>
      <c r="G281" s="392"/>
      <c r="H281" s="396"/>
      <c r="I281" s="397"/>
      <c r="J281" s="397"/>
      <c r="K281" s="397"/>
      <c r="L281" s="397"/>
      <c r="M281" s="397"/>
      <c r="N281" s="397"/>
      <c r="O281" s="398"/>
      <c r="P281" s="399"/>
      <c r="Q281" s="400"/>
      <c r="R281" s="397"/>
      <c r="S281" s="397"/>
      <c r="T281" s="397"/>
      <c r="U281" s="403"/>
      <c r="V281" s="402"/>
      <c r="W281" s="396"/>
      <c r="X281" s="397"/>
      <c r="Y281" s="397"/>
      <c r="Z281" s="397"/>
      <c r="AA281" s="397"/>
      <c r="AB281" s="397"/>
      <c r="AC281" s="397"/>
      <c r="AD281" s="398"/>
      <c r="AE281" s="399"/>
      <c r="AF281" s="400"/>
      <c r="AG281" s="397"/>
      <c r="AH281" s="397"/>
      <c r="AI281" s="397"/>
      <c r="AJ281" s="403"/>
      <c r="AK281" s="404"/>
      <c r="AL281" s="397"/>
      <c r="AM281" s="397"/>
      <c r="AN281" s="397"/>
      <c r="AO281" s="397"/>
      <c r="AP281" s="397"/>
      <c r="AQ281" s="398"/>
      <c r="AR281" s="399"/>
      <c r="AS281" s="400"/>
      <c r="AT281" s="397"/>
      <c r="AU281" s="397"/>
      <c r="AV281" s="397"/>
      <c r="AW281" s="406"/>
      <c r="AX281" s="404"/>
      <c r="AY281" s="406"/>
      <c r="AZ281" s="463"/>
      <c r="BA281" s="408"/>
      <c r="BB281" s="669"/>
      <c r="BC281" s="409"/>
      <c r="BD281" s="406"/>
      <c r="BF281" s="1143"/>
    </row>
    <row r="282" spans="1:58" ht="41.25" hidden="1" customHeight="1" x14ac:dyDescent="0.25">
      <c r="A282" s="373"/>
      <c r="B282" s="392"/>
      <c r="C282" s="668"/>
      <c r="D282" s="394"/>
      <c r="E282" s="394"/>
      <c r="F282" s="462"/>
      <c r="G282" s="392"/>
      <c r="H282" s="396"/>
      <c r="I282" s="397"/>
      <c r="J282" s="397"/>
      <c r="K282" s="397"/>
      <c r="L282" s="397"/>
      <c r="M282" s="397"/>
      <c r="N282" s="397"/>
      <c r="O282" s="398"/>
      <c r="P282" s="399"/>
      <c r="Q282" s="400"/>
      <c r="R282" s="397"/>
      <c r="S282" s="397"/>
      <c r="T282" s="397"/>
      <c r="U282" s="403"/>
      <c r="V282" s="402"/>
      <c r="W282" s="396"/>
      <c r="X282" s="397"/>
      <c r="Y282" s="397"/>
      <c r="Z282" s="397"/>
      <c r="AA282" s="397"/>
      <c r="AB282" s="397"/>
      <c r="AC282" s="397"/>
      <c r="AD282" s="398"/>
      <c r="AE282" s="399"/>
      <c r="AF282" s="400"/>
      <c r="AG282" s="397"/>
      <c r="AH282" s="397"/>
      <c r="AI282" s="397"/>
      <c r="AJ282" s="403"/>
      <c r="AK282" s="404"/>
      <c r="AL282" s="397"/>
      <c r="AM282" s="397"/>
      <c r="AN282" s="397"/>
      <c r="AO282" s="397"/>
      <c r="AP282" s="397"/>
      <c r="AQ282" s="398"/>
      <c r="AR282" s="399"/>
      <c r="AS282" s="400"/>
      <c r="AT282" s="397"/>
      <c r="AU282" s="397"/>
      <c r="AV282" s="397"/>
      <c r="AW282" s="406"/>
      <c r="AX282" s="404"/>
      <c r="AY282" s="406"/>
      <c r="AZ282" s="463"/>
      <c r="BA282" s="408"/>
      <c r="BB282" s="669"/>
      <c r="BC282" s="409"/>
      <c r="BD282" s="406"/>
      <c r="BF282" s="1143"/>
    </row>
    <row r="283" spans="1:58" ht="41.25" hidden="1" customHeight="1" x14ac:dyDescent="0.25">
      <c r="A283" s="373"/>
      <c r="B283" s="392"/>
      <c r="C283" s="668"/>
      <c r="D283" s="394"/>
      <c r="E283" s="394"/>
      <c r="F283" s="462"/>
      <c r="G283" s="392"/>
      <c r="H283" s="396"/>
      <c r="I283" s="397"/>
      <c r="J283" s="397"/>
      <c r="K283" s="397"/>
      <c r="L283" s="397"/>
      <c r="M283" s="397"/>
      <c r="N283" s="397"/>
      <c r="O283" s="398"/>
      <c r="P283" s="399"/>
      <c r="Q283" s="400"/>
      <c r="R283" s="397"/>
      <c r="S283" s="397"/>
      <c r="T283" s="397"/>
      <c r="U283" s="403"/>
      <c r="V283" s="402"/>
      <c r="W283" s="396"/>
      <c r="X283" s="397"/>
      <c r="Y283" s="397"/>
      <c r="Z283" s="397"/>
      <c r="AA283" s="397"/>
      <c r="AB283" s="397"/>
      <c r="AC283" s="397"/>
      <c r="AD283" s="398"/>
      <c r="AE283" s="399"/>
      <c r="AF283" s="400"/>
      <c r="AG283" s="397"/>
      <c r="AH283" s="397"/>
      <c r="AI283" s="397"/>
      <c r="AJ283" s="403"/>
      <c r="AK283" s="404"/>
      <c r="AL283" s="397"/>
      <c r="AM283" s="397"/>
      <c r="AN283" s="397"/>
      <c r="AO283" s="397"/>
      <c r="AP283" s="397"/>
      <c r="AQ283" s="398"/>
      <c r="AR283" s="399"/>
      <c r="AS283" s="400"/>
      <c r="AT283" s="397"/>
      <c r="AU283" s="397"/>
      <c r="AV283" s="397"/>
      <c r="AW283" s="406"/>
      <c r="AX283" s="404"/>
      <c r="AY283" s="406"/>
      <c r="AZ283" s="463"/>
      <c r="BA283" s="408"/>
      <c r="BB283" s="669"/>
      <c r="BC283" s="409"/>
      <c r="BD283" s="406"/>
      <c r="BF283" s="1143"/>
    </row>
    <row r="284" spans="1:58" ht="41.25" hidden="1" customHeight="1" x14ac:dyDescent="0.25">
      <c r="A284" s="373"/>
      <c r="B284" s="392"/>
      <c r="C284" s="668"/>
      <c r="D284" s="394"/>
      <c r="E284" s="394"/>
      <c r="F284" s="462"/>
      <c r="G284" s="392"/>
      <c r="H284" s="396"/>
      <c r="I284" s="397"/>
      <c r="J284" s="397"/>
      <c r="K284" s="397"/>
      <c r="L284" s="397"/>
      <c r="M284" s="397"/>
      <c r="N284" s="397"/>
      <c r="O284" s="398"/>
      <c r="P284" s="399"/>
      <c r="Q284" s="400"/>
      <c r="R284" s="397"/>
      <c r="S284" s="397"/>
      <c r="T284" s="397"/>
      <c r="U284" s="403"/>
      <c r="V284" s="402"/>
      <c r="W284" s="396"/>
      <c r="X284" s="397"/>
      <c r="Y284" s="397"/>
      <c r="Z284" s="397"/>
      <c r="AA284" s="397"/>
      <c r="AB284" s="397"/>
      <c r="AC284" s="397"/>
      <c r="AD284" s="398"/>
      <c r="AE284" s="399"/>
      <c r="AF284" s="400"/>
      <c r="AG284" s="397"/>
      <c r="AH284" s="397"/>
      <c r="AI284" s="397"/>
      <c r="AJ284" s="403"/>
      <c r="AK284" s="404"/>
      <c r="AL284" s="397"/>
      <c r="AM284" s="397"/>
      <c r="AN284" s="397"/>
      <c r="AO284" s="397"/>
      <c r="AP284" s="397"/>
      <c r="AQ284" s="398"/>
      <c r="AR284" s="399"/>
      <c r="AS284" s="400"/>
      <c r="AT284" s="397"/>
      <c r="AU284" s="397"/>
      <c r="AV284" s="397"/>
      <c r="AW284" s="406"/>
      <c r="AX284" s="404"/>
      <c r="AY284" s="406"/>
      <c r="AZ284" s="463"/>
      <c r="BA284" s="408"/>
      <c r="BB284" s="669"/>
      <c r="BC284" s="409"/>
      <c r="BD284" s="406"/>
      <c r="BF284" s="1143"/>
    </row>
    <row r="285" spans="1:58" ht="41.25" hidden="1" customHeight="1" x14ac:dyDescent="0.25">
      <c r="A285" s="373"/>
      <c r="B285" s="392"/>
      <c r="C285" s="668"/>
      <c r="D285" s="394"/>
      <c r="E285" s="394"/>
      <c r="F285" s="462"/>
      <c r="G285" s="392"/>
      <c r="H285" s="396"/>
      <c r="I285" s="397"/>
      <c r="J285" s="397"/>
      <c r="K285" s="397"/>
      <c r="L285" s="397"/>
      <c r="M285" s="397"/>
      <c r="N285" s="397"/>
      <c r="O285" s="398"/>
      <c r="P285" s="399"/>
      <c r="Q285" s="400"/>
      <c r="R285" s="397"/>
      <c r="S285" s="397"/>
      <c r="T285" s="397"/>
      <c r="U285" s="403"/>
      <c r="V285" s="402"/>
      <c r="W285" s="396"/>
      <c r="X285" s="397"/>
      <c r="Y285" s="397"/>
      <c r="Z285" s="397"/>
      <c r="AA285" s="397"/>
      <c r="AB285" s="397"/>
      <c r="AC285" s="397"/>
      <c r="AD285" s="398"/>
      <c r="AE285" s="399"/>
      <c r="AF285" s="400"/>
      <c r="AG285" s="397"/>
      <c r="AH285" s="397"/>
      <c r="AI285" s="397"/>
      <c r="AJ285" s="403"/>
      <c r="AK285" s="404"/>
      <c r="AL285" s="397"/>
      <c r="AM285" s="397"/>
      <c r="AN285" s="397"/>
      <c r="AO285" s="397"/>
      <c r="AP285" s="397"/>
      <c r="AQ285" s="398"/>
      <c r="AR285" s="399"/>
      <c r="AS285" s="400"/>
      <c r="AT285" s="397"/>
      <c r="AU285" s="397"/>
      <c r="AV285" s="397"/>
      <c r="AW285" s="406"/>
      <c r="AX285" s="404"/>
      <c r="AY285" s="406"/>
      <c r="AZ285" s="463"/>
      <c r="BA285" s="408"/>
      <c r="BB285" s="669"/>
      <c r="BC285" s="409"/>
      <c r="BD285" s="406"/>
      <c r="BF285" s="1143"/>
    </row>
    <row r="286" spans="1:58" ht="41.25" hidden="1" customHeight="1" x14ac:dyDescent="0.25">
      <c r="A286" s="373"/>
      <c r="B286" s="392"/>
      <c r="C286" s="668"/>
      <c r="D286" s="394"/>
      <c r="E286" s="394"/>
      <c r="F286" s="462"/>
      <c r="G286" s="392"/>
      <c r="H286" s="396"/>
      <c r="I286" s="397"/>
      <c r="J286" s="397"/>
      <c r="K286" s="397"/>
      <c r="L286" s="397"/>
      <c r="M286" s="397"/>
      <c r="N286" s="397"/>
      <c r="O286" s="398"/>
      <c r="P286" s="399"/>
      <c r="Q286" s="400"/>
      <c r="R286" s="397"/>
      <c r="S286" s="397"/>
      <c r="T286" s="397"/>
      <c r="U286" s="403"/>
      <c r="V286" s="402"/>
      <c r="W286" s="396"/>
      <c r="X286" s="397"/>
      <c r="Y286" s="397"/>
      <c r="Z286" s="397"/>
      <c r="AA286" s="397"/>
      <c r="AB286" s="397"/>
      <c r="AC286" s="397"/>
      <c r="AD286" s="398"/>
      <c r="AE286" s="399"/>
      <c r="AF286" s="400"/>
      <c r="AG286" s="397"/>
      <c r="AH286" s="397"/>
      <c r="AI286" s="397"/>
      <c r="AJ286" s="403"/>
      <c r="AK286" s="404"/>
      <c r="AL286" s="397"/>
      <c r="AM286" s="397"/>
      <c r="AN286" s="397"/>
      <c r="AO286" s="397"/>
      <c r="AP286" s="397"/>
      <c r="AQ286" s="398"/>
      <c r="AR286" s="399"/>
      <c r="AS286" s="400"/>
      <c r="AT286" s="397"/>
      <c r="AU286" s="397"/>
      <c r="AV286" s="397"/>
      <c r="AW286" s="406"/>
      <c r="AX286" s="404"/>
      <c r="AY286" s="406"/>
      <c r="AZ286" s="463"/>
      <c r="BA286" s="408"/>
      <c r="BB286" s="669"/>
      <c r="BC286" s="409"/>
      <c r="BD286" s="406"/>
      <c r="BF286" s="1143"/>
    </row>
    <row r="287" spans="1:58" ht="41.25" hidden="1" customHeight="1" x14ac:dyDescent="0.25">
      <c r="A287" s="373"/>
      <c r="B287" s="392"/>
      <c r="C287" s="668"/>
      <c r="D287" s="394"/>
      <c r="E287" s="394"/>
      <c r="F287" s="462"/>
      <c r="G287" s="392"/>
      <c r="H287" s="396"/>
      <c r="I287" s="397"/>
      <c r="J287" s="397"/>
      <c r="K287" s="397"/>
      <c r="L287" s="397"/>
      <c r="M287" s="397"/>
      <c r="N287" s="397"/>
      <c r="O287" s="398"/>
      <c r="P287" s="399"/>
      <c r="Q287" s="400"/>
      <c r="R287" s="397"/>
      <c r="S287" s="397"/>
      <c r="T287" s="397"/>
      <c r="U287" s="403"/>
      <c r="V287" s="402"/>
      <c r="W287" s="396"/>
      <c r="X287" s="397"/>
      <c r="Y287" s="397"/>
      <c r="Z287" s="397"/>
      <c r="AA287" s="397"/>
      <c r="AB287" s="397"/>
      <c r="AC287" s="397"/>
      <c r="AD287" s="398"/>
      <c r="AE287" s="399"/>
      <c r="AF287" s="400"/>
      <c r="AG287" s="397"/>
      <c r="AH287" s="397"/>
      <c r="AI287" s="397"/>
      <c r="AJ287" s="403"/>
      <c r="AK287" s="404"/>
      <c r="AL287" s="397"/>
      <c r="AM287" s="397"/>
      <c r="AN287" s="397"/>
      <c r="AO287" s="397"/>
      <c r="AP287" s="397"/>
      <c r="AQ287" s="398"/>
      <c r="AR287" s="399"/>
      <c r="AS287" s="400"/>
      <c r="AT287" s="397"/>
      <c r="AU287" s="397"/>
      <c r="AV287" s="397"/>
      <c r="AW287" s="406"/>
      <c r="AX287" s="404"/>
      <c r="AY287" s="406"/>
      <c r="AZ287" s="463"/>
      <c r="BA287" s="408"/>
      <c r="BB287" s="669"/>
      <c r="BC287" s="409"/>
      <c r="BD287" s="406"/>
      <c r="BF287" s="1143"/>
    </row>
    <row r="288" spans="1:58" ht="41.25" hidden="1" customHeight="1" x14ac:dyDescent="0.25">
      <c r="A288" s="373"/>
      <c r="B288" s="392"/>
      <c r="C288" s="668"/>
      <c r="D288" s="394"/>
      <c r="E288" s="394"/>
      <c r="F288" s="462"/>
      <c r="G288" s="392"/>
      <c r="H288" s="396"/>
      <c r="I288" s="397"/>
      <c r="J288" s="397"/>
      <c r="K288" s="397"/>
      <c r="L288" s="397"/>
      <c r="M288" s="397"/>
      <c r="N288" s="397"/>
      <c r="O288" s="398"/>
      <c r="P288" s="399"/>
      <c r="Q288" s="400"/>
      <c r="R288" s="397"/>
      <c r="S288" s="397"/>
      <c r="T288" s="397"/>
      <c r="U288" s="403"/>
      <c r="V288" s="402"/>
      <c r="W288" s="396"/>
      <c r="X288" s="397"/>
      <c r="Y288" s="397"/>
      <c r="Z288" s="397"/>
      <c r="AA288" s="397"/>
      <c r="AB288" s="397"/>
      <c r="AC288" s="397"/>
      <c r="AD288" s="398"/>
      <c r="AE288" s="399"/>
      <c r="AF288" s="400"/>
      <c r="AG288" s="397"/>
      <c r="AH288" s="397"/>
      <c r="AI288" s="397"/>
      <c r="AJ288" s="403"/>
      <c r="AK288" s="404"/>
      <c r="AL288" s="397"/>
      <c r="AM288" s="397"/>
      <c r="AN288" s="397"/>
      <c r="AO288" s="397"/>
      <c r="AP288" s="397"/>
      <c r="AQ288" s="398"/>
      <c r="AR288" s="399"/>
      <c r="AS288" s="400"/>
      <c r="AT288" s="397"/>
      <c r="AU288" s="397"/>
      <c r="AV288" s="397"/>
      <c r="AW288" s="406"/>
      <c r="AX288" s="404"/>
      <c r="AY288" s="406"/>
      <c r="AZ288" s="463"/>
      <c r="BA288" s="408"/>
      <c r="BB288" s="669"/>
      <c r="BC288" s="409"/>
      <c r="BD288" s="406"/>
      <c r="BF288" s="1143"/>
    </row>
    <row r="289" spans="1:58" ht="41.25" hidden="1" customHeight="1" x14ac:dyDescent="0.25">
      <c r="A289" s="373"/>
      <c r="B289" s="392"/>
      <c r="C289" s="668"/>
      <c r="D289" s="394"/>
      <c r="E289" s="394"/>
      <c r="F289" s="462"/>
      <c r="G289" s="392"/>
      <c r="H289" s="396"/>
      <c r="I289" s="397"/>
      <c r="J289" s="397"/>
      <c r="K289" s="397"/>
      <c r="L289" s="397"/>
      <c r="M289" s="397"/>
      <c r="N289" s="397"/>
      <c r="O289" s="398"/>
      <c r="P289" s="399"/>
      <c r="Q289" s="400"/>
      <c r="R289" s="397"/>
      <c r="S289" s="397"/>
      <c r="T289" s="397"/>
      <c r="U289" s="403"/>
      <c r="V289" s="402"/>
      <c r="W289" s="396"/>
      <c r="X289" s="397"/>
      <c r="Y289" s="397"/>
      <c r="Z289" s="397"/>
      <c r="AA289" s="397"/>
      <c r="AB289" s="397"/>
      <c r="AC289" s="397"/>
      <c r="AD289" s="398"/>
      <c r="AE289" s="399"/>
      <c r="AF289" s="400"/>
      <c r="AG289" s="397"/>
      <c r="AH289" s="397"/>
      <c r="AI289" s="397"/>
      <c r="AJ289" s="403"/>
      <c r="AK289" s="404"/>
      <c r="AL289" s="397"/>
      <c r="AM289" s="397"/>
      <c r="AN289" s="397"/>
      <c r="AO289" s="397"/>
      <c r="AP289" s="397"/>
      <c r="AQ289" s="398"/>
      <c r="AR289" s="399"/>
      <c r="AS289" s="400"/>
      <c r="AT289" s="397"/>
      <c r="AU289" s="397"/>
      <c r="AV289" s="397"/>
      <c r="AW289" s="406"/>
      <c r="AX289" s="404"/>
      <c r="AY289" s="406"/>
      <c r="AZ289" s="463"/>
      <c r="BA289" s="408"/>
      <c r="BB289" s="669"/>
      <c r="BC289" s="409"/>
      <c r="BD289" s="406"/>
      <c r="BF289" s="1143"/>
    </row>
    <row r="290" spans="1:58" ht="41.25" hidden="1" customHeight="1" x14ac:dyDescent="0.25">
      <c r="A290" s="373"/>
      <c r="B290" s="392"/>
      <c r="C290" s="668"/>
      <c r="D290" s="394"/>
      <c r="E290" s="394"/>
      <c r="F290" s="462"/>
      <c r="G290" s="392"/>
      <c r="H290" s="396"/>
      <c r="I290" s="397"/>
      <c r="J290" s="397"/>
      <c r="K290" s="397"/>
      <c r="L290" s="397"/>
      <c r="M290" s="397"/>
      <c r="N290" s="397"/>
      <c r="O290" s="398"/>
      <c r="P290" s="399"/>
      <c r="Q290" s="400"/>
      <c r="R290" s="397"/>
      <c r="S290" s="397"/>
      <c r="T290" s="397"/>
      <c r="U290" s="403"/>
      <c r="V290" s="402"/>
      <c r="W290" s="396"/>
      <c r="X290" s="397"/>
      <c r="Y290" s="397"/>
      <c r="Z290" s="397"/>
      <c r="AA290" s="397"/>
      <c r="AB290" s="397"/>
      <c r="AC290" s="397"/>
      <c r="AD290" s="398"/>
      <c r="AE290" s="399"/>
      <c r="AF290" s="400"/>
      <c r="AG290" s="397"/>
      <c r="AH290" s="397"/>
      <c r="AI290" s="397"/>
      <c r="AJ290" s="403"/>
      <c r="AK290" s="404"/>
      <c r="AL290" s="397"/>
      <c r="AM290" s="397"/>
      <c r="AN290" s="397"/>
      <c r="AO290" s="397"/>
      <c r="AP290" s="397"/>
      <c r="AQ290" s="398"/>
      <c r="AR290" s="399"/>
      <c r="AS290" s="400"/>
      <c r="AT290" s="397"/>
      <c r="AU290" s="397"/>
      <c r="AV290" s="397"/>
      <c r="AW290" s="406"/>
      <c r="AX290" s="404"/>
      <c r="AY290" s="406"/>
      <c r="AZ290" s="463"/>
      <c r="BA290" s="408"/>
      <c r="BB290" s="669"/>
      <c r="BC290" s="409"/>
      <c r="BD290" s="406"/>
      <c r="BF290" s="1143"/>
    </row>
    <row r="291" spans="1:58" ht="41.25" hidden="1" customHeight="1" x14ac:dyDescent="0.25">
      <c r="A291" s="373"/>
      <c r="B291" s="392"/>
      <c r="C291" s="668"/>
      <c r="D291" s="394"/>
      <c r="E291" s="394"/>
      <c r="F291" s="462"/>
      <c r="G291" s="392"/>
      <c r="H291" s="396"/>
      <c r="I291" s="397"/>
      <c r="J291" s="397"/>
      <c r="K291" s="397"/>
      <c r="L291" s="397"/>
      <c r="M291" s="397"/>
      <c r="N291" s="397"/>
      <c r="O291" s="398"/>
      <c r="P291" s="399"/>
      <c r="Q291" s="400"/>
      <c r="R291" s="397"/>
      <c r="S291" s="397"/>
      <c r="T291" s="397"/>
      <c r="U291" s="403"/>
      <c r="V291" s="402"/>
      <c r="W291" s="396"/>
      <c r="X291" s="397"/>
      <c r="Y291" s="397"/>
      <c r="Z291" s="397"/>
      <c r="AA291" s="397"/>
      <c r="AB291" s="397"/>
      <c r="AC291" s="397"/>
      <c r="AD291" s="398"/>
      <c r="AE291" s="399"/>
      <c r="AF291" s="400"/>
      <c r="AG291" s="397"/>
      <c r="AH291" s="397"/>
      <c r="AI291" s="397"/>
      <c r="AJ291" s="403"/>
      <c r="AK291" s="404"/>
      <c r="AL291" s="397"/>
      <c r="AM291" s="397"/>
      <c r="AN291" s="397"/>
      <c r="AO291" s="397"/>
      <c r="AP291" s="397"/>
      <c r="AQ291" s="398"/>
      <c r="AR291" s="399"/>
      <c r="AS291" s="400"/>
      <c r="AT291" s="397"/>
      <c r="AU291" s="397"/>
      <c r="AV291" s="397"/>
      <c r="AW291" s="406"/>
      <c r="AX291" s="404"/>
      <c r="AY291" s="406"/>
      <c r="AZ291" s="463"/>
      <c r="BA291" s="408"/>
      <c r="BB291" s="669"/>
      <c r="BC291" s="409"/>
      <c r="BD291" s="406"/>
      <c r="BF291" s="1143"/>
    </row>
    <row r="292" spans="1:58" ht="41.25" hidden="1" customHeight="1" x14ac:dyDescent="0.25">
      <c r="A292" s="373"/>
      <c r="B292" s="392"/>
      <c r="C292" s="668"/>
      <c r="D292" s="394"/>
      <c r="E292" s="394"/>
      <c r="F292" s="462"/>
      <c r="G292" s="392"/>
      <c r="H292" s="396"/>
      <c r="I292" s="397"/>
      <c r="J292" s="397"/>
      <c r="K292" s="397"/>
      <c r="L292" s="397"/>
      <c r="M292" s="397"/>
      <c r="N292" s="397"/>
      <c r="O292" s="398"/>
      <c r="P292" s="399"/>
      <c r="Q292" s="400"/>
      <c r="R292" s="397"/>
      <c r="S292" s="397"/>
      <c r="T292" s="397"/>
      <c r="U292" s="403"/>
      <c r="V292" s="402"/>
      <c r="W292" s="396"/>
      <c r="X292" s="397"/>
      <c r="Y292" s="397"/>
      <c r="Z292" s="397"/>
      <c r="AA292" s="397"/>
      <c r="AB292" s="397"/>
      <c r="AC292" s="397"/>
      <c r="AD292" s="398"/>
      <c r="AE292" s="399"/>
      <c r="AF292" s="400"/>
      <c r="AG292" s="397"/>
      <c r="AH292" s="397"/>
      <c r="AI292" s="397"/>
      <c r="AJ292" s="403"/>
      <c r="AK292" s="404"/>
      <c r="AL292" s="397"/>
      <c r="AM292" s="397"/>
      <c r="AN292" s="397"/>
      <c r="AO292" s="397"/>
      <c r="AP292" s="397"/>
      <c r="AQ292" s="398"/>
      <c r="AR292" s="399"/>
      <c r="AS292" s="400"/>
      <c r="AT292" s="397"/>
      <c r="AU292" s="397"/>
      <c r="AV292" s="397"/>
      <c r="AW292" s="406"/>
      <c r="AX292" s="404"/>
      <c r="AY292" s="406"/>
      <c r="AZ292" s="463"/>
      <c r="BA292" s="408"/>
      <c r="BB292" s="669"/>
      <c r="BC292" s="409"/>
      <c r="BD292" s="406"/>
      <c r="BF292" s="1143"/>
    </row>
    <row r="293" spans="1:58" ht="41.25" hidden="1" customHeight="1" x14ac:dyDescent="0.25">
      <c r="A293" s="373"/>
      <c r="B293" s="392"/>
      <c r="C293" s="668"/>
      <c r="D293" s="394"/>
      <c r="E293" s="394"/>
      <c r="F293" s="462"/>
      <c r="G293" s="392"/>
      <c r="H293" s="396"/>
      <c r="I293" s="397"/>
      <c r="J293" s="397"/>
      <c r="K293" s="397"/>
      <c r="L293" s="397"/>
      <c r="M293" s="397"/>
      <c r="N293" s="397"/>
      <c r="O293" s="398"/>
      <c r="P293" s="399"/>
      <c r="Q293" s="400"/>
      <c r="R293" s="397"/>
      <c r="S293" s="397"/>
      <c r="T293" s="397"/>
      <c r="U293" s="403"/>
      <c r="V293" s="402"/>
      <c r="W293" s="396"/>
      <c r="X293" s="397"/>
      <c r="Y293" s="397"/>
      <c r="Z293" s="397"/>
      <c r="AA293" s="397"/>
      <c r="AB293" s="397"/>
      <c r="AC293" s="397"/>
      <c r="AD293" s="398"/>
      <c r="AE293" s="399"/>
      <c r="AF293" s="400"/>
      <c r="AG293" s="397"/>
      <c r="AH293" s="397"/>
      <c r="AI293" s="397"/>
      <c r="AJ293" s="403"/>
      <c r="AK293" s="404"/>
      <c r="AL293" s="397"/>
      <c r="AM293" s="397"/>
      <c r="AN293" s="397"/>
      <c r="AO293" s="397"/>
      <c r="AP293" s="397"/>
      <c r="AQ293" s="398"/>
      <c r="AR293" s="399"/>
      <c r="AS293" s="400"/>
      <c r="AT293" s="397"/>
      <c r="AU293" s="397"/>
      <c r="AV293" s="397"/>
      <c r="AW293" s="406"/>
      <c r="AX293" s="404"/>
      <c r="AY293" s="406"/>
      <c r="AZ293" s="463"/>
      <c r="BA293" s="408"/>
      <c r="BB293" s="669"/>
      <c r="BC293" s="409"/>
      <c r="BD293" s="406"/>
      <c r="BF293" s="1143"/>
    </row>
    <row r="294" spans="1:58" ht="41.25" hidden="1" customHeight="1" x14ac:dyDescent="0.25">
      <c r="A294" s="373"/>
      <c r="B294" s="392"/>
      <c r="C294" s="668"/>
      <c r="D294" s="394"/>
      <c r="E294" s="394"/>
      <c r="F294" s="462"/>
      <c r="G294" s="392"/>
      <c r="H294" s="396"/>
      <c r="I294" s="397"/>
      <c r="J294" s="397"/>
      <c r="K294" s="397"/>
      <c r="L294" s="397"/>
      <c r="M294" s="397"/>
      <c r="N294" s="397"/>
      <c r="O294" s="398"/>
      <c r="P294" s="399"/>
      <c r="Q294" s="400"/>
      <c r="R294" s="397"/>
      <c r="S294" s="397"/>
      <c r="T294" s="397"/>
      <c r="U294" s="403"/>
      <c r="V294" s="402"/>
      <c r="W294" s="396"/>
      <c r="X294" s="397"/>
      <c r="Y294" s="397"/>
      <c r="Z294" s="397"/>
      <c r="AA294" s="397"/>
      <c r="AB294" s="397"/>
      <c r="AC294" s="397"/>
      <c r="AD294" s="398"/>
      <c r="AE294" s="399"/>
      <c r="AF294" s="400"/>
      <c r="AG294" s="397"/>
      <c r="AH294" s="397"/>
      <c r="AI294" s="397"/>
      <c r="AJ294" s="403"/>
      <c r="AK294" s="404"/>
      <c r="AL294" s="397"/>
      <c r="AM294" s="397"/>
      <c r="AN294" s="397"/>
      <c r="AO294" s="397"/>
      <c r="AP294" s="397"/>
      <c r="AQ294" s="398"/>
      <c r="AR294" s="399"/>
      <c r="AS294" s="400"/>
      <c r="AT294" s="397"/>
      <c r="AU294" s="397"/>
      <c r="AV294" s="397"/>
      <c r="AW294" s="406"/>
      <c r="AX294" s="404"/>
      <c r="AY294" s="406"/>
      <c r="AZ294" s="463"/>
      <c r="BA294" s="408"/>
      <c r="BB294" s="669"/>
      <c r="BC294" s="409"/>
      <c r="BD294" s="406"/>
      <c r="BF294" s="1143"/>
    </row>
    <row r="295" spans="1:58" ht="41.25" hidden="1" customHeight="1" x14ac:dyDescent="0.25">
      <c r="A295" s="373"/>
      <c r="B295" s="392"/>
      <c r="C295" s="668"/>
      <c r="D295" s="394"/>
      <c r="E295" s="394"/>
      <c r="F295" s="462"/>
      <c r="G295" s="392"/>
      <c r="H295" s="396"/>
      <c r="I295" s="397"/>
      <c r="J295" s="397"/>
      <c r="K295" s="397"/>
      <c r="L295" s="397"/>
      <c r="M295" s="397"/>
      <c r="N295" s="397"/>
      <c r="O295" s="398"/>
      <c r="P295" s="399"/>
      <c r="Q295" s="400"/>
      <c r="R295" s="397"/>
      <c r="S295" s="397"/>
      <c r="T295" s="397"/>
      <c r="U295" s="403"/>
      <c r="V295" s="402"/>
      <c r="W295" s="396"/>
      <c r="X295" s="397"/>
      <c r="Y295" s="397"/>
      <c r="Z295" s="397"/>
      <c r="AA295" s="397"/>
      <c r="AB295" s="397"/>
      <c r="AC295" s="397"/>
      <c r="AD295" s="398"/>
      <c r="AE295" s="399"/>
      <c r="AF295" s="400"/>
      <c r="AG295" s="397"/>
      <c r="AH295" s="397"/>
      <c r="AI295" s="397"/>
      <c r="AJ295" s="403"/>
      <c r="AK295" s="404"/>
      <c r="AL295" s="397"/>
      <c r="AM295" s="397"/>
      <c r="AN295" s="397"/>
      <c r="AO295" s="397"/>
      <c r="AP295" s="397"/>
      <c r="AQ295" s="398"/>
      <c r="AR295" s="399"/>
      <c r="AS295" s="400"/>
      <c r="AT295" s="397"/>
      <c r="AU295" s="397"/>
      <c r="AV295" s="397"/>
      <c r="AW295" s="406"/>
      <c r="AX295" s="404"/>
      <c r="AY295" s="406"/>
      <c r="AZ295" s="463"/>
      <c r="BA295" s="408"/>
      <c r="BB295" s="669"/>
      <c r="BC295" s="409"/>
      <c r="BD295" s="406"/>
      <c r="BF295" s="1143"/>
    </row>
    <row r="296" spans="1:58" ht="41.25" hidden="1" customHeight="1" x14ac:dyDescent="0.25">
      <c r="A296" s="373"/>
      <c r="B296" s="392"/>
      <c r="C296" s="668"/>
      <c r="D296" s="394"/>
      <c r="E296" s="394"/>
      <c r="F296" s="462"/>
      <c r="G296" s="392"/>
      <c r="H296" s="396"/>
      <c r="I296" s="397"/>
      <c r="J296" s="397"/>
      <c r="K296" s="397"/>
      <c r="L296" s="397"/>
      <c r="M296" s="397"/>
      <c r="N296" s="397"/>
      <c r="O296" s="398"/>
      <c r="P296" s="399"/>
      <c r="Q296" s="400"/>
      <c r="R296" s="397"/>
      <c r="S296" s="397"/>
      <c r="T296" s="397"/>
      <c r="U296" s="403"/>
      <c r="V296" s="402"/>
      <c r="W296" s="396"/>
      <c r="X296" s="397"/>
      <c r="Y296" s="397"/>
      <c r="Z296" s="397"/>
      <c r="AA296" s="397"/>
      <c r="AB296" s="397"/>
      <c r="AC296" s="397"/>
      <c r="AD296" s="398"/>
      <c r="AE296" s="399"/>
      <c r="AF296" s="400"/>
      <c r="AG296" s="397"/>
      <c r="AH296" s="397"/>
      <c r="AI296" s="397"/>
      <c r="AJ296" s="403"/>
      <c r="AK296" s="404"/>
      <c r="AL296" s="397"/>
      <c r="AM296" s="397"/>
      <c r="AN296" s="397"/>
      <c r="AO296" s="397"/>
      <c r="AP296" s="397"/>
      <c r="AQ296" s="398"/>
      <c r="AR296" s="399"/>
      <c r="AS296" s="400"/>
      <c r="AT296" s="397"/>
      <c r="AU296" s="397"/>
      <c r="AV296" s="397"/>
      <c r="AW296" s="406"/>
      <c r="AX296" s="404"/>
      <c r="AY296" s="406"/>
      <c r="AZ296" s="463"/>
      <c r="BA296" s="408"/>
      <c r="BB296" s="669"/>
      <c r="BC296" s="409"/>
      <c r="BD296" s="406"/>
      <c r="BF296" s="1143"/>
    </row>
    <row r="297" spans="1:58" ht="41.25" hidden="1" customHeight="1" x14ac:dyDescent="0.25">
      <c r="A297" s="373"/>
      <c r="B297" s="392"/>
      <c r="C297" s="668"/>
      <c r="D297" s="394"/>
      <c r="E297" s="394"/>
      <c r="F297" s="462"/>
      <c r="G297" s="392"/>
      <c r="H297" s="396"/>
      <c r="I297" s="397"/>
      <c r="J297" s="397"/>
      <c r="K297" s="397"/>
      <c r="L297" s="397"/>
      <c r="M297" s="397"/>
      <c r="N297" s="397"/>
      <c r="O297" s="398"/>
      <c r="P297" s="399"/>
      <c r="Q297" s="400"/>
      <c r="R297" s="397"/>
      <c r="S297" s="397"/>
      <c r="T297" s="397"/>
      <c r="U297" s="403"/>
      <c r="V297" s="402"/>
      <c r="W297" s="396"/>
      <c r="X297" s="397"/>
      <c r="Y297" s="397"/>
      <c r="Z297" s="397"/>
      <c r="AA297" s="397"/>
      <c r="AB297" s="397"/>
      <c r="AC297" s="397"/>
      <c r="AD297" s="398"/>
      <c r="AE297" s="399"/>
      <c r="AF297" s="400"/>
      <c r="AG297" s="397"/>
      <c r="AH297" s="397"/>
      <c r="AI297" s="397"/>
      <c r="AJ297" s="403"/>
      <c r="AK297" s="404"/>
      <c r="AL297" s="397"/>
      <c r="AM297" s="397"/>
      <c r="AN297" s="397"/>
      <c r="AO297" s="397"/>
      <c r="AP297" s="397"/>
      <c r="AQ297" s="398"/>
      <c r="AR297" s="399"/>
      <c r="AS297" s="400"/>
      <c r="AT297" s="397"/>
      <c r="AU297" s="397"/>
      <c r="AV297" s="397"/>
      <c r="AW297" s="406"/>
      <c r="AX297" s="404"/>
      <c r="AY297" s="406"/>
      <c r="AZ297" s="463"/>
      <c r="BA297" s="408"/>
      <c r="BB297" s="669"/>
      <c r="BC297" s="409"/>
      <c r="BD297" s="406"/>
      <c r="BF297" s="1143"/>
    </row>
    <row r="298" spans="1:58" ht="41.25" hidden="1" customHeight="1" x14ac:dyDescent="0.25">
      <c r="A298" s="373"/>
      <c r="B298" s="392"/>
      <c r="C298" s="668"/>
      <c r="D298" s="394"/>
      <c r="E298" s="394"/>
      <c r="F298" s="462"/>
      <c r="G298" s="392"/>
      <c r="H298" s="396"/>
      <c r="I298" s="397"/>
      <c r="J298" s="397"/>
      <c r="K298" s="397"/>
      <c r="L298" s="397"/>
      <c r="M298" s="397"/>
      <c r="N298" s="397"/>
      <c r="O298" s="398"/>
      <c r="P298" s="399"/>
      <c r="Q298" s="400"/>
      <c r="R298" s="397"/>
      <c r="S298" s="397"/>
      <c r="T298" s="397"/>
      <c r="U298" s="403"/>
      <c r="V298" s="402"/>
      <c r="W298" s="396"/>
      <c r="X298" s="397"/>
      <c r="Y298" s="397"/>
      <c r="Z298" s="397"/>
      <c r="AA298" s="397"/>
      <c r="AB298" s="397"/>
      <c r="AC298" s="397"/>
      <c r="AD298" s="398"/>
      <c r="AE298" s="399"/>
      <c r="AF298" s="400"/>
      <c r="AG298" s="397"/>
      <c r="AH298" s="397"/>
      <c r="AI298" s="397"/>
      <c r="AJ298" s="403"/>
      <c r="AK298" s="404"/>
      <c r="AL298" s="397"/>
      <c r="AM298" s="397"/>
      <c r="AN298" s="397"/>
      <c r="AO298" s="397"/>
      <c r="AP298" s="397"/>
      <c r="AQ298" s="398"/>
      <c r="AR298" s="399"/>
      <c r="AS298" s="400"/>
      <c r="AT298" s="397"/>
      <c r="AU298" s="397"/>
      <c r="AV298" s="397"/>
      <c r="AW298" s="406"/>
      <c r="AX298" s="404"/>
      <c r="AY298" s="406"/>
      <c r="AZ298" s="463"/>
      <c r="BA298" s="408"/>
      <c r="BB298" s="669"/>
      <c r="BC298" s="409"/>
      <c r="BD298" s="406"/>
      <c r="BF298" s="1143"/>
    </row>
    <row r="299" spans="1:58" ht="41.25" hidden="1" customHeight="1" x14ac:dyDescent="0.25">
      <c r="A299" s="373"/>
      <c r="B299" s="392"/>
      <c r="C299" s="668"/>
      <c r="D299" s="394"/>
      <c r="E299" s="394"/>
      <c r="F299" s="462"/>
      <c r="G299" s="392"/>
      <c r="H299" s="396"/>
      <c r="I299" s="397"/>
      <c r="J299" s="397"/>
      <c r="K299" s="397"/>
      <c r="L299" s="397"/>
      <c r="M299" s="397"/>
      <c r="N299" s="397"/>
      <c r="O299" s="398"/>
      <c r="P299" s="399"/>
      <c r="Q299" s="400"/>
      <c r="R299" s="397"/>
      <c r="S299" s="397"/>
      <c r="T299" s="397"/>
      <c r="U299" s="403"/>
      <c r="V299" s="402"/>
      <c r="W299" s="396"/>
      <c r="X299" s="397"/>
      <c r="Y299" s="397"/>
      <c r="Z299" s="397"/>
      <c r="AA299" s="397"/>
      <c r="AB299" s="397"/>
      <c r="AC299" s="397"/>
      <c r="AD299" s="398"/>
      <c r="AE299" s="399"/>
      <c r="AF299" s="400"/>
      <c r="AG299" s="397"/>
      <c r="AH299" s="397"/>
      <c r="AI299" s="397"/>
      <c r="AJ299" s="403"/>
      <c r="AK299" s="404"/>
      <c r="AL299" s="397"/>
      <c r="AM299" s="397"/>
      <c r="AN299" s="397"/>
      <c r="AO299" s="397"/>
      <c r="AP299" s="397"/>
      <c r="AQ299" s="398"/>
      <c r="AR299" s="399"/>
      <c r="AS299" s="400"/>
      <c r="AT299" s="397"/>
      <c r="AU299" s="397"/>
      <c r="AV299" s="397"/>
      <c r="AW299" s="406"/>
      <c r="AX299" s="404"/>
      <c r="AY299" s="406"/>
      <c r="AZ299" s="463"/>
      <c r="BA299" s="408"/>
      <c r="BB299" s="669"/>
      <c r="BC299" s="409"/>
      <c r="BD299" s="406"/>
      <c r="BF299" s="1143"/>
    </row>
    <row r="300" spans="1:58" ht="41.25" hidden="1" customHeight="1" x14ac:dyDescent="0.25">
      <c r="A300" s="373"/>
      <c r="B300" s="392"/>
      <c r="C300" s="668"/>
      <c r="D300" s="394"/>
      <c r="E300" s="394"/>
      <c r="F300" s="462"/>
      <c r="G300" s="392"/>
      <c r="H300" s="396"/>
      <c r="I300" s="397"/>
      <c r="J300" s="397"/>
      <c r="K300" s="397"/>
      <c r="L300" s="397"/>
      <c r="M300" s="397"/>
      <c r="N300" s="397"/>
      <c r="O300" s="398"/>
      <c r="P300" s="399"/>
      <c r="Q300" s="400"/>
      <c r="R300" s="397"/>
      <c r="S300" s="397"/>
      <c r="T300" s="397"/>
      <c r="U300" s="403"/>
      <c r="V300" s="402"/>
      <c r="W300" s="396"/>
      <c r="X300" s="397"/>
      <c r="Y300" s="397"/>
      <c r="Z300" s="397"/>
      <c r="AA300" s="397"/>
      <c r="AB300" s="397"/>
      <c r="AC300" s="397"/>
      <c r="AD300" s="398"/>
      <c r="AE300" s="399"/>
      <c r="AF300" s="400"/>
      <c r="AG300" s="397"/>
      <c r="AH300" s="397"/>
      <c r="AI300" s="397"/>
      <c r="AJ300" s="403"/>
      <c r="AK300" s="404"/>
      <c r="AL300" s="397"/>
      <c r="AM300" s="397"/>
      <c r="AN300" s="397"/>
      <c r="AO300" s="397"/>
      <c r="AP300" s="397"/>
      <c r="AQ300" s="398"/>
      <c r="AR300" s="399"/>
      <c r="AS300" s="400"/>
      <c r="AT300" s="397"/>
      <c r="AU300" s="397"/>
      <c r="AV300" s="397"/>
      <c r="AW300" s="406"/>
      <c r="AX300" s="404"/>
      <c r="AY300" s="406"/>
      <c r="AZ300" s="463"/>
      <c r="BA300" s="408"/>
      <c r="BB300" s="669"/>
      <c r="BC300" s="409"/>
      <c r="BD300" s="406"/>
      <c r="BF300" s="1143"/>
    </row>
    <row r="301" spans="1:58" ht="41.25" hidden="1" customHeight="1" x14ac:dyDescent="0.25">
      <c r="A301" s="373"/>
      <c r="B301" s="392"/>
      <c r="C301" s="668"/>
      <c r="D301" s="394"/>
      <c r="E301" s="394"/>
      <c r="F301" s="462"/>
      <c r="G301" s="392"/>
      <c r="H301" s="396"/>
      <c r="I301" s="397"/>
      <c r="J301" s="397"/>
      <c r="K301" s="397"/>
      <c r="L301" s="397"/>
      <c r="M301" s="397"/>
      <c r="N301" s="397"/>
      <c r="O301" s="398"/>
      <c r="P301" s="399"/>
      <c r="Q301" s="400"/>
      <c r="R301" s="397"/>
      <c r="S301" s="397"/>
      <c r="T301" s="397"/>
      <c r="U301" s="403"/>
      <c r="V301" s="402"/>
      <c r="W301" s="396"/>
      <c r="X301" s="397"/>
      <c r="Y301" s="397"/>
      <c r="Z301" s="397"/>
      <c r="AA301" s="397"/>
      <c r="AB301" s="397"/>
      <c r="AC301" s="397"/>
      <c r="AD301" s="398"/>
      <c r="AE301" s="399"/>
      <c r="AF301" s="400"/>
      <c r="AG301" s="397"/>
      <c r="AH301" s="397"/>
      <c r="AI301" s="397"/>
      <c r="AJ301" s="403"/>
      <c r="AK301" s="404"/>
      <c r="AL301" s="397"/>
      <c r="AM301" s="397"/>
      <c r="AN301" s="397"/>
      <c r="AO301" s="397"/>
      <c r="AP301" s="397"/>
      <c r="AQ301" s="398"/>
      <c r="AR301" s="399"/>
      <c r="AS301" s="400"/>
      <c r="AT301" s="397"/>
      <c r="AU301" s="397"/>
      <c r="AV301" s="397"/>
      <c r="AW301" s="406"/>
      <c r="AX301" s="404"/>
      <c r="AY301" s="406"/>
      <c r="AZ301" s="463"/>
      <c r="BA301" s="408"/>
      <c r="BB301" s="669"/>
      <c r="BC301" s="409"/>
      <c r="BD301" s="406"/>
      <c r="BF301" s="1143"/>
    </row>
    <row r="302" spans="1:58" ht="41.25" hidden="1" customHeight="1" x14ac:dyDescent="0.25">
      <c r="A302" s="373"/>
      <c r="B302" s="392"/>
      <c r="C302" s="668"/>
      <c r="D302" s="394"/>
      <c r="E302" s="394"/>
      <c r="F302" s="462"/>
      <c r="G302" s="392"/>
      <c r="H302" s="396"/>
      <c r="I302" s="397"/>
      <c r="J302" s="397"/>
      <c r="K302" s="397"/>
      <c r="L302" s="397"/>
      <c r="M302" s="397"/>
      <c r="N302" s="397"/>
      <c r="O302" s="398"/>
      <c r="P302" s="399"/>
      <c r="Q302" s="400"/>
      <c r="R302" s="397"/>
      <c r="S302" s="397"/>
      <c r="T302" s="397"/>
      <c r="U302" s="403"/>
      <c r="V302" s="402"/>
      <c r="W302" s="396"/>
      <c r="X302" s="397"/>
      <c r="Y302" s="397"/>
      <c r="Z302" s="397"/>
      <c r="AA302" s="397"/>
      <c r="AB302" s="397"/>
      <c r="AC302" s="397"/>
      <c r="AD302" s="398"/>
      <c r="AE302" s="399"/>
      <c r="AF302" s="400"/>
      <c r="AG302" s="397"/>
      <c r="AH302" s="397"/>
      <c r="AI302" s="397"/>
      <c r="AJ302" s="403"/>
      <c r="AK302" s="404"/>
      <c r="AL302" s="397"/>
      <c r="AM302" s="397"/>
      <c r="AN302" s="397"/>
      <c r="AO302" s="397"/>
      <c r="AP302" s="397"/>
      <c r="AQ302" s="398"/>
      <c r="AR302" s="399"/>
      <c r="AS302" s="400"/>
      <c r="AT302" s="397"/>
      <c r="AU302" s="397"/>
      <c r="AV302" s="397"/>
      <c r="AW302" s="406"/>
      <c r="AX302" s="404"/>
      <c r="AY302" s="406"/>
      <c r="AZ302" s="463"/>
      <c r="BA302" s="408"/>
      <c r="BB302" s="669"/>
      <c r="BC302" s="409"/>
      <c r="BD302" s="406"/>
      <c r="BF302" s="1143"/>
    </row>
    <row r="303" spans="1:58" ht="41.25" hidden="1" customHeight="1" x14ac:dyDescent="0.25">
      <c r="A303" s="373"/>
      <c r="B303" s="392"/>
      <c r="C303" s="668"/>
      <c r="D303" s="394"/>
      <c r="E303" s="394"/>
      <c r="F303" s="462"/>
      <c r="G303" s="392"/>
      <c r="H303" s="396"/>
      <c r="I303" s="397"/>
      <c r="J303" s="397"/>
      <c r="K303" s="397"/>
      <c r="L303" s="397"/>
      <c r="M303" s="397"/>
      <c r="N303" s="397"/>
      <c r="O303" s="398"/>
      <c r="P303" s="399"/>
      <c r="Q303" s="400"/>
      <c r="R303" s="397"/>
      <c r="S303" s="397"/>
      <c r="T303" s="397"/>
      <c r="U303" s="403"/>
      <c r="V303" s="402"/>
      <c r="W303" s="396"/>
      <c r="X303" s="397"/>
      <c r="Y303" s="397"/>
      <c r="Z303" s="397"/>
      <c r="AA303" s="397"/>
      <c r="AB303" s="397"/>
      <c r="AC303" s="397"/>
      <c r="AD303" s="398"/>
      <c r="AE303" s="399"/>
      <c r="AF303" s="400"/>
      <c r="AG303" s="397"/>
      <c r="AH303" s="397"/>
      <c r="AI303" s="397"/>
      <c r="AJ303" s="403"/>
      <c r="AK303" s="404"/>
      <c r="AL303" s="397"/>
      <c r="AM303" s="397"/>
      <c r="AN303" s="397"/>
      <c r="AO303" s="397"/>
      <c r="AP303" s="397"/>
      <c r="AQ303" s="398"/>
      <c r="AR303" s="399"/>
      <c r="AS303" s="400"/>
      <c r="AT303" s="397"/>
      <c r="AU303" s="397"/>
      <c r="AV303" s="397"/>
      <c r="AW303" s="406"/>
      <c r="AX303" s="404"/>
      <c r="AY303" s="406"/>
      <c r="AZ303" s="463"/>
      <c r="BA303" s="408"/>
      <c r="BB303" s="669"/>
      <c r="BC303" s="409"/>
      <c r="BD303" s="406"/>
      <c r="BF303" s="1143"/>
    </row>
    <row r="304" spans="1:58" ht="41.25" hidden="1" customHeight="1" x14ac:dyDescent="0.25">
      <c r="A304" s="373"/>
      <c r="B304" s="392"/>
      <c r="C304" s="668"/>
      <c r="D304" s="394"/>
      <c r="E304" s="394"/>
      <c r="F304" s="462"/>
      <c r="G304" s="392"/>
      <c r="H304" s="396"/>
      <c r="I304" s="397"/>
      <c r="J304" s="397"/>
      <c r="K304" s="397"/>
      <c r="L304" s="397"/>
      <c r="M304" s="397"/>
      <c r="N304" s="397"/>
      <c r="O304" s="398"/>
      <c r="P304" s="399"/>
      <c r="Q304" s="400"/>
      <c r="R304" s="397"/>
      <c r="S304" s="397"/>
      <c r="T304" s="397"/>
      <c r="U304" s="403"/>
      <c r="V304" s="402"/>
      <c r="W304" s="396"/>
      <c r="X304" s="397"/>
      <c r="Y304" s="397"/>
      <c r="Z304" s="397"/>
      <c r="AA304" s="397"/>
      <c r="AB304" s="397"/>
      <c r="AC304" s="397"/>
      <c r="AD304" s="398"/>
      <c r="AE304" s="399"/>
      <c r="AF304" s="400"/>
      <c r="AG304" s="397"/>
      <c r="AH304" s="397"/>
      <c r="AI304" s="397"/>
      <c r="AJ304" s="403"/>
      <c r="AK304" s="404"/>
      <c r="AL304" s="397"/>
      <c r="AM304" s="397"/>
      <c r="AN304" s="397"/>
      <c r="AO304" s="397"/>
      <c r="AP304" s="397"/>
      <c r="AQ304" s="398"/>
      <c r="AR304" s="399"/>
      <c r="AS304" s="400"/>
      <c r="AT304" s="397"/>
      <c r="AU304" s="397"/>
      <c r="AV304" s="397"/>
      <c r="AW304" s="406"/>
      <c r="AX304" s="404"/>
      <c r="AY304" s="406"/>
      <c r="AZ304" s="463"/>
      <c r="BA304" s="408"/>
      <c r="BB304" s="669"/>
      <c r="BC304" s="409"/>
      <c r="BD304" s="406"/>
      <c r="BF304" s="1143"/>
    </row>
    <row r="305" spans="1:58" ht="41.25" hidden="1" customHeight="1" x14ac:dyDescent="0.25">
      <c r="A305" s="373"/>
      <c r="B305" s="392"/>
      <c r="C305" s="668"/>
      <c r="D305" s="394"/>
      <c r="E305" s="394"/>
      <c r="F305" s="462"/>
      <c r="G305" s="392"/>
      <c r="H305" s="396"/>
      <c r="I305" s="397"/>
      <c r="J305" s="397"/>
      <c r="K305" s="397"/>
      <c r="L305" s="397"/>
      <c r="M305" s="397"/>
      <c r="N305" s="397"/>
      <c r="O305" s="398"/>
      <c r="P305" s="399"/>
      <c r="Q305" s="400"/>
      <c r="R305" s="397"/>
      <c r="S305" s="397"/>
      <c r="T305" s="397"/>
      <c r="U305" s="403"/>
      <c r="V305" s="402"/>
      <c r="W305" s="396"/>
      <c r="X305" s="397"/>
      <c r="Y305" s="397"/>
      <c r="Z305" s="397"/>
      <c r="AA305" s="397"/>
      <c r="AB305" s="397"/>
      <c r="AC305" s="397"/>
      <c r="AD305" s="398"/>
      <c r="AE305" s="399"/>
      <c r="AF305" s="400"/>
      <c r="AG305" s="397"/>
      <c r="AH305" s="397"/>
      <c r="AI305" s="397"/>
      <c r="AJ305" s="403"/>
      <c r="AK305" s="404"/>
      <c r="AL305" s="397"/>
      <c r="AM305" s="397"/>
      <c r="AN305" s="397"/>
      <c r="AO305" s="397"/>
      <c r="AP305" s="397"/>
      <c r="AQ305" s="398"/>
      <c r="AR305" s="399"/>
      <c r="AS305" s="400"/>
      <c r="AT305" s="397"/>
      <c r="AU305" s="397"/>
      <c r="AV305" s="397"/>
      <c r="AW305" s="406"/>
      <c r="AX305" s="404"/>
      <c r="AY305" s="406"/>
      <c r="AZ305" s="463"/>
      <c r="BA305" s="408"/>
      <c r="BB305" s="669"/>
      <c r="BC305" s="409"/>
      <c r="BD305" s="406"/>
      <c r="BF305" s="1143"/>
    </row>
    <row r="306" spans="1:58" ht="41.25" hidden="1" customHeight="1" x14ac:dyDescent="0.25">
      <c r="A306" s="373"/>
      <c r="B306" s="392"/>
      <c r="C306" s="668"/>
      <c r="D306" s="394"/>
      <c r="E306" s="394"/>
      <c r="F306" s="462"/>
      <c r="G306" s="392"/>
      <c r="H306" s="396"/>
      <c r="I306" s="397"/>
      <c r="J306" s="397"/>
      <c r="K306" s="397"/>
      <c r="L306" s="397"/>
      <c r="M306" s="397"/>
      <c r="N306" s="397"/>
      <c r="O306" s="398"/>
      <c r="P306" s="399"/>
      <c r="Q306" s="400"/>
      <c r="R306" s="397"/>
      <c r="S306" s="397"/>
      <c r="T306" s="397"/>
      <c r="U306" s="403"/>
      <c r="V306" s="402"/>
      <c r="W306" s="396"/>
      <c r="X306" s="397"/>
      <c r="Y306" s="397"/>
      <c r="Z306" s="397"/>
      <c r="AA306" s="397"/>
      <c r="AB306" s="397"/>
      <c r="AC306" s="397"/>
      <c r="AD306" s="398"/>
      <c r="AE306" s="399"/>
      <c r="AF306" s="400"/>
      <c r="AG306" s="397"/>
      <c r="AH306" s="397"/>
      <c r="AI306" s="397"/>
      <c r="AJ306" s="403"/>
      <c r="AK306" s="404"/>
      <c r="AL306" s="397"/>
      <c r="AM306" s="397"/>
      <c r="AN306" s="397"/>
      <c r="AO306" s="397"/>
      <c r="AP306" s="397"/>
      <c r="AQ306" s="398"/>
      <c r="AR306" s="399"/>
      <c r="AS306" s="400"/>
      <c r="AT306" s="397"/>
      <c r="AU306" s="397"/>
      <c r="AV306" s="397"/>
      <c r="AW306" s="406"/>
      <c r="AX306" s="404"/>
      <c r="AY306" s="406"/>
      <c r="AZ306" s="463"/>
      <c r="BA306" s="408"/>
      <c r="BB306" s="669"/>
      <c r="BC306" s="409"/>
      <c r="BD306" s="406"/>
      <c r="BF306" s="1143"/>
    </row>
    <row r="307" spans="1:58" ht="41.25" hidden="1" customHeight="1" x14ac:dyDescent="0.25">
      <c r="A307" s="373"/>
      <c r="B307" s="392"/>
      <c r="C307" s="668"/>
      <c r="D307" s="394"/>
      <c r="E307" s="394"/>
      <c r="F307" s="462"/>
      <c r="G307" s="392"/>
      <c r="H307" s="396"/>
      <c r="I307" s="397"/>
      <c r="J307" s="397"/>
      <c r="K307" s="397"/>
      <c r="L307" s="397"/>
      <c r="M307" s="397"/>
      <c r="N307" s="397"/>
      <c r="O307" s="398"/>
      <c r="P307" s="399"/>
      <c r="Q307" s="400"/>
      <c r="R307" s="397"/>
      <c r="S307" s="397"/>
      <c r="T307" s="397"/>
      <c r="U307" s="403"/>
      <c r="V307" s="402"/>
      <c r="W307" s="396"/>
      <c r="X307" s="397"/>
      <c r="Y307" s="397"/>
      <c r="Z307" s="397"/>
      <c r="AA307" s="397"/>
      <c r="AB307" s="397"/>
      <c r="AC307" s="397"/>
      <c r="AD307" s="398"/>
      <c r="AE307" s="399"/>
      <c r="AF307" s="400"/>
      <c r="AG307" s="397"/>
      <c r="AH307" s="397"/>
      <c r="AI307" s="397"/>
      <c r="AJ307" s="403"/>
      <c r="AK307" s="404"/>
      <c r="AL307" s="397"/>
      <c r="AM307" s="397"/>
      <c r="AN307" s="397"/>
      <c r="AO307" s="397"/>
      <c r="AP307" s="397"/>
      <c r="AQ307" s="398"/>
      <c r="AR307" s="399"/>
      <c r="AS307" s="400"/>
      <c r="AT307" s="397"/>
      <c r="AU307" s="397"/>
      <c r="AV307" s="397"/>
      <c r="AW307" s="406"/>
      <c r="AX307" s="404"/>
      <c r="AY307" s="406"/>
      <c r="AZ307" s="463"/>
      <c r="BA307" s="408"/>
      <c r="BB307" s="669"/>
      <c r="BC307" s="409"/>
      <c r="BD307" s="406"/>
      <c r="BF307" s="1143"/>
    </row>
    <row r="308" spans="1:58" ht="41.25" hidden="1" customHeight="1" x14ac:dyDescent="0.25">
      <c r="A308" s="373"/>
      <c r="B308" s="392"/>
      <c r="C308" s="668"/>
      <c r="D308" s="394"/>
      <c r="E308" s="394"/>
      <c r="F308" s="462"/>
      <c r="G308" s="392"/>
      <c r="H308" s="396"/>
      <c r="I308" s="397"/>
      <c r="J308" s="397"/>
      <c r="K308" s="397"/>
      <c r="L308" s="397"/>
      <c r="M308" s="397"/>
      <c r="N308" s="397"/>
      <c r="O308" s="398"/>
      <c r="P308" s="399"/>
      <c r="Q308" s="400"/>
      <c r="R308" s="397"/>
      <c r="S308" s="397"/>
      <c r="T308" s="397"/>
      <c r="U308" s="403"/>
      <c r="V308" s="402"/>
      <c r="W308" s="396"/>
      <c r="X308" s="397"/>
      <c r="Y308" s="397"/>
      <c r="Z308" s="397"/>
      <c r="AA308" s="397"/>
      <c r="AB308" s="397"/>
      <c r="AC308" s="397"/>
      <c r="AD308" s="398"/>
      <c r="AE308" s="399"/>
      <c r="AF308" s="400"/>
      <c r="AG308" s="397"/>
      <c r="AH308" s="397"/>
      <c r="AI308" s="397"/>
      <c r="AJ308" s="403"/>
      <c r="AK308" s="404"/>
      <c r="AL308" s="397"/>
      <c r="AM308" s="397"/>
      <c r="AN308" s="397"/>
      <c r="AO308" s="397"/>
      <c r="AP308" s="397"/>
      <c r="AQ308" s="398"/>
      <c r="AR308" s="399"/>
      <c r="AS308" s="400"/>
      <c r="AT308" s="397"/>
      <c r="AU308" s="397"/>
      <c r="AV308" s="397"/>
      <c r="AW308" s="406"/>
      <c r="AX308" s="404"/>
      <c r="AY308" s="406"/>
      <c r="AZ308" s="463"/>
      <c r="BA308" s="408"/>
      <c r="BB308" s="669"/>
      <c r="BC308" s="409"/>
      <c r="BD308" s="406"/>
      <c r="BF308" s="1143"/>
    </row>
    <row r="309" spans="1:58" ht="41.25" hidden="1" customHeight="1" x14ac:dyDescent="0.25">
      <c r="A309" s="373"/>
      <c r="B309" s="392"/>
      <c r="C309" s="668"/>
      <c r="D309" s="394"/>
      <c r="E309" s="394"/>
      <c r="F309" s="462"/>
      <c r="G309" s="392"/>
      <c r="H309" s="396"/>
      <c r="I309" s="397"/>
      <c r="J309" s="397"/>
      <c r="K309" s="397"/>
      <c r="L309" s="397"/>
      <c r="M309" s="397"/>
      <c r="N309" s="397"/>
      <c r="O309" s="398"/>
      <c r="P309" s="399"/>
      <c r="Q309" s="400"/>
      <c r="R309" s="397"/>
      <c r="S309" s="397"/>
      <c r="T309" s="397"/>
      <c r="U309" s="403"/>
      <c r="V309" s="402"/>
      <c r="W309" s="396"/>
      <c r="X309" s="397"/>
      <c r="Y309" s="397"/>
      <c r="Z309" s="397"/>
      <c r="AA309" s="397"/>
      <c r="AB309" s="397"/>
      <c r="AC309" s="397"/>
      <c r="AD309" s="398"/>
      <c r="AE309" s="399"/>
      <c r="AF309" s="400"/>
      <c r="AG309" s="397"/>
      <c r="AH309" s="397"/>
      <c r="AI309" s="397"/>
      <c r="AJ309" s="403"/>
      <c r="AK309" s="404"/>
      <c r="AL309" s="397"/>
      <c r="AM309" s="397"/>
      <c r="AN309" s="397"/>
      <c r="AO309" s="397"/>
      <c r="AP309" s="397"/>
      <c r="AQ309" s="398"/>
      <c r="AR309" s="399"/>
      <c r="AS309" s="400"/>
      <c r="AT309" s="397"/>
      <c r="AU309" s="397"/>
      <c r="AV309" s="397"/>
      <c r="AW309" s="406"/>
      <c r="AX309" s="404"/>
      <c r="AY309" s="406"/>
      <c r="AZ309" s="463"/>
      <c r="BA309" s="408"/>
      <c r="BB309" s="669"/>
      <c r="BC309" s="409"/>
      <c r="BD309" s="406"/>
      <c r="BF309" s="1143"/>
    </row>
    <row r="310" spans="1:58" ht="41.25" hidden="1" customHeight="1" x14ac:dyDescent="0.25">
      <c r="A310" s="373"/>
      <c r="B310" s="392"/>
      <c r="C310" s="668"/>
      <c r="D310" s="394"/>
      <c r="E310" s="394"/>
      <c r="F310" s="462"/>
      <c r="G310" s="392"/>
      <c r="H310" s="396"/>
      <c r="I310" s="397"/>
      <c r="J310" s="397"/>
      <c r="K310" s="397"/>
      <c r="L310" s="397"/>
      <c r="M310" s="397"/>
      <c r="N310" s="397"/>
      <c r="O310" s="398"/>
      <c r="P310" s="399"/>
      <c r="Q310" s="400"/>
      <c r="R310" s="397"/>
      <c r="S310" s="397"/>
      <c r="T310" s="397"/>
      <c r="U310" s="403"/>
      <c r="V310" s="402"/>
      <c r="W310" s="396"/>
      <c r="X310" s="397"/>
      <c r="Y310" s="397"/>
      <c r="Z310" s="397"/>
      <c r="AA310" s="397"/>
      <c r="AB310" s="397"/>
      <c r="AC310" s="397"/>
      <c r="AD310" s="398"/>
      <c r="AE310" s="399"/>
      <c r="AF310" s="400"/>
      <c r="AG310" s="397"/>
      <c r="AH310" s="397"/>
      <c r="AI310" s="397"/>
      <c r="AJ310" s="403"/>
      <c r="AK310" s="404"/>
      <c r="AL310" s="397"/>
      <c r="AM310" s="397"/>
      <c r="AN310" s="397"/>
      <c r="AO310" s="397"/>
      <c r="AP310" s="397"/>
      <c r="AQ310" s="398"/>
      <c r="AR310" s="399"/>
      <c r="AS310" s="400"/>
      <c r="AT310" s="397"/>
      <c r="AU310" s="397"/>
      <c r="AV310" s="397"/>
      <c r="AW310" s="406"/>
      <c r="AX310" s="404"/>
      <c r="AY310" s="406"/>
      <c r="AZ310" s="463"/>
      <c r="BA310" s="408"/>
      <c r="BB310" s="669"/>
      <c r="BC310" s="409"/>
      <c r="BD310" s="406"/>
      <c r="BF310" s="1143"/>
    </row>
    <row r="311" spans="1:58" ht="41.25" hidden="1" customHeight="1" thickBot="1" x14ac:dyDescent="0.3">
      <c r="A311" s="373"/>
      <c r="B311" s="392"/>
      <c r="C311" s="670"/>
      <c r="D311" s="426"/>
      <c r="E311" s="426"/>
      <c r="F311" s="465"/>
      <c r="G311" s="424"/>
      <c r="H311" s="428"/>
      <c r="I311" s="429"/>
      <c r="J311" s="429"/>
      <c r="K311" s="429"/>
      <c r="L311" s="429"/>
      <c r="M311" s="429"/>
      <c r="N311" s="429"/>
      <c r="O311" s="430"/>
      <c r="P311" s="431"/>
      <c r="Q311" s="432"/>
      <c r="R311" s="429"/>
      <c r="S311" s="429"/>
      <c r="T311" s="429"/>
      <c r="U311" s="435"/>
      <c r="V311" s="434"/>
      <c r="W311" s="428"/>
      <c r="X311" s="429"/>
      <c r="Y311" s="429"/>
      <c r="Z311" s="429"/>
      <c r="AA311" s="429"/>
      <c r="AB311" s="429"/>
      <c r="AC311" s="429"/>
      <c r="AD311" s="430"/>
      <c r="AE311" s="431"/>
      <c r="AF311" s="432"/>
      <c r="AG311" s="429"/>
      <c r="AH311" s="429"/>
      <c r="AI311" s="429"/>
      <c r="AJ311" s="435"/>
      <c r="AK311" s="436"/>
      <c r="AL311" s="429"/>
      <c r="AM311" s="429"/>
      <c r="AN311" s="429"/>
      <c r="AO311" s="429"/>
      <c r="AP311" s="429"/>
      <c r="AQ311" s="430"/>
      <c r="AR311" s="431"/>
      <c r="AS311" s="432"/>
      <c r="AT311" s="429"/>
      <c r="AU311" s="429"/>
      <c r="AV311" s="429"/>
      <c r="AW311" s="439"/>
      <c r="AX311" s="436"/>
      <c r="AY311" s="439"/>
      <c r="AZ311" s="466"/>
      <c r="BA311" s="441"/>
      <c r="BB311" s="429"/>
      <c r="BC311" s="442"/>
      <c r="BD311" s="439"/>
    </row>
    <row r="312" spans="1:58" s="1128" customFormat="1" ht="29.25" customHeight="1" thickBot="1" x14ac:dyDescent="0.3">
      <c r="A312" s="359"/>
      <c r="B312" s="1141"/>
      <c r="C312" s="500"/>
      <c r="D312" s="500"/>
      <c r="E312" s="500"/>
      <c r="F312" s="500"/>
      <c r="G312" s="758"/>
      <c r="H312" s="758"/>
      <c r="I312" s="758"/>
      <c r="J312" s="501"/>
      <c r="K312" s="758"/>
      <c r="L312" s="758"/>
      <c r="M312" s="758"/>
      <c r="N312" s="758"/>
      <c r="O312" s="502">
        <f>SUBTOTAL(9,O185:O311)</f>
        <v>197.14007041695999</v>
      </c>
      <c r="P312" s="503">
        <f>SUBTOTAL(9,P185:P311)</f>
        <v>267.822</v>
      </c>
      <c r="Q312" s="758"/>
      <c r="R312" s="758"/>
      <c r="S312" s="758"/>
      <c r="T312" s="758"/>
      <c r="U312" s="758"/>
      <c r="V312" s="758"/>
      <c r="W312" s="758"/>
      <c r="X312" s="501"/>
      <c r="Y312" s="501"/>
      <c r="Z312" s="758"/>
      <c r="AA312" s="758"/>
      <c r="AB312" s="758"/>
      <c r="AC312" s="758"/>
      <c r="AD312" s="502">
        <f>SUBTOTAL(9,AD185:AD311)</f>
        <v>135.69253103999998</v>
      </c>
      <c r="AE312" s="503">
        <f>SUBTOTAL(9,AE185:AE311)</f>
        <v>179.15000000000003</v>
      </c>
      <c r="AF312" s="758"/>
      <c r="AG312" s="758"/>
      <c r="AH312" s="758"/>
      <c r="AI312" s="758"/>
      <c r="AJ312" s="758"/>
      <c r="AK312" s="758"/>
      <c r="AL312" s="758"/>
      <c r="AM312" s="758"/>
      <c r="AN312" s="758"/>
      <c r="AO312" s="758"/>
      <c r="AP312" s="758"/>
      <c r="AQ312" s="534">
        <f>SUBTOTAL(9,AQ185:AQ311)</f>
        <v>-61.447539376960002</v>
      </c>
      <c r="AR312" s="503">
        <f>SUBTOTAL(9,AR185:AR311)</f>
        <v>-88.671999999999997</v>
      </c>
      <c r="AS312" s="758"/>
      <c r="AT312" s="505"/>
      <c r="AU312" s="505"/>
      <c r="AV312" s="505"/>
      <c r="AW312" s="501"/>
      <c r="AX312" s="506"/>
      <c r="AY312" s="758"/>
      <c r="AZ312" s="502">
        <f>SUBTOTAL(9,AZ185:AZ255)</f>
        <v>197.14007041695999</v>
      </c>
      <c r="BA312" s="503">
        <f>SUBTOTAL(9,BA185:BA255)</f>
        <v>267.822</v>
      </c>
      <c r="BB312" s="758"/>
      <c r="BC312" s="758"/>
      <c r="BD312" s="758"/>
    </row>
    <row r="313" spans="1:58" ht="36.75" customHeight="1" thickBot="1" x14ac:dyDescent="0.3">
      <c r="A313" s="301"/>
      <c r="B313" s="373"/>
      <c r="C313" s="624"/>
      <c r="D313" s="624"/>
      <c r="E313" s="624"/>
      <c r="F313" s="624"/>
      <c r="G313" s="373"/>
      <c r="H313" s="373"/>
      <c r="I313" s="373"/>
      <c r="J313" s="624"/>
      <c r="K313" s="624"/>
      <c r="L313" s="624"/>
      <c r="M313" s="624"/>
      <c r="N313" s="624"/>
      <c r="O313" s="675"/>
      <c r="P313" s="676"/>
      <c r="Q313" s="677"/>
      <c r="R313" s="624"/>
      <c r="S313" s="624"/>
      <c r="T313" s="373"/>
      <c r="U313" s="373"/>
      <c r="V313" s="624"/>
      <c r="W313" s="373"/>
      <c r="X313" s="373"/>
      <c r="Y313" s="624"/>
      <c r="Z313" s="624"/>
      <c r="AA313" s="624"/>
      <c r="AB313" s="624"/>
      <c r="AC313" s="624"/>
      <c r="AD313" s="675"/>
      <c r="AE313" s="676"/>
      <c r="AF313" s="677"/>
      <c r="AG313" s="624"/>
      <c r="AH313" s="624"/>
      <c r="AI313" s="624"/>
      <c r="AJ313" s="373"/>
      <c r="AK313" s="373"/>
      <c r="AL313" s="373"/>
      <c r="AM313" s="373"/>
      <c r="AN313" s="373"/>
      <c r="AO313" s="373"/>
      <c r="AP313" s="373"/>
      <c r="AQ313" s="638"/>
      <c r="AR313" s="678"/>
      <c r="AS313" s="679"/>
      <c r="AT313" s="625"/>
      <c r="AU313" s="625"/>
      <c r="AV313" s="625"/>
      <c r="AW313" s="625"/>
      <c r="AX313" s="373"/>
      <c r="AY313" s="373"/>
      <c r="AZ313" s="628"/>
      <c r="BA313" s="629"/>
      <c r="BB313" s="373"/>
      <c r="BC313" s="373"/>
      <c r="BD313" s="373"/>
    </row>
    <row r="314" spans="1:58" s="1136" customFormat="1" ht="36.75" customHeight="1" x14ac:dyDescent="0.25">
      <c r="A314" s="365"/>
      <c r="B314" s="800"/>
      <c r="C314" s="801"/>
      <c r="D314" s="801"/>
      <c r="E314" s="801"/>
      <c r="F314" s="802"/>
      <c r="G314" s="1129" t="str">
        <f>G181</f>
        <v>Режим за май 2023 г.</v>
      </c>
      <c r="H314" s="1130"/>
      <c r="I314" s="1130"/>
      <c r="J314" s="1130"/>
      <c r="K314" s="1130"/>
      <c r="L314" s="1130"/>
      <c r="M314" s="1130"/>
      <c r="N314" s="1130"/>
      <c r="O314" s="1130"/>
      <c r="P314" s="1130"/>
      <c r="Q314" s="1130"/>
      <c r="R314" s="1130"/>
      <c r="S314" s="1130"/>
      <c r="T314" s="1130"/>
      <c r="U314" s="1131"/>
      <c r="V314" s="1129" t="str">
        <f>V181</f>
        <v>Режим за июнь 2023 г.</v>
      </c>
      <c r="W314" s="1130"/>
      <c r="X314" s="1130"/>
      <c r="Y314" s="1130"/>
      <c r="Z314" s="1130"/>
      <c r="AA314" s="1130"/>
      <c r="AB314" s="1130"/>
      <c r="AC314" s="1130"/>
      <c r="AD314" s="1130"/>
      <c r="AE314" s="1130"/>
      <c r="AF314" s="1130"/>
      <c r="AG314" s="1130"/>
      <c r="AH314" s="1130"/>
      <c r="AI314" s="1130"/>
      <c r="AJ314" s="1131"/>
      <c r="AK314" s="1133" t="s">
        <v>2180</v>
      </c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5"/>
      <c r="AX314" s="853" t="s">
        <v>2181</v>
      </c>
      <c r="AY314" s="855" t="s">
        <v>2182</v>
      </c>
      <c r="AZ314" s="818" t="s">
        <v>2183</v>
      </c>
      <c r="BA314" s="807"/>
      <c r="BB314" s="807"/>
      <c r="BC314" s="807"/>
      <c r="BD314" s="804"/>
    </row>
    <row r="315" spans="1:58" s="1136" customFormat="1" ht="72" customHeight="1" thickBot="1" x14ac:dyDescent="0.3">
      <c r="A315" s="365"/>
      <c r="B315" s="755" t="s">
        <v>2184</v>
      </c>
      <c r="C315" s="366" t="s">
        <v>2185</v>
      </c>
      <c r="D315" s="366" t="s">
        <v>33</v>
      </c>
      <c r="E315" s="366" t="s">
        <v>36</v>
      </c>
      <c r="F315" s="367" t="s">
        <v>2186</v>
      </c>
      <c r="G315" s="755" t="s">
        <v>2187</v>
      </c>
      <c r="H315" s="366" t="s">
        <v>2188</v>
      </c>
      <c r="I315" s="366" t="s">
        <v>2189</v>
      </c>
      <c r="J315" s="366" t="s">
        <v>2190</v>
      </c>
      <c r="K315" s="366" t="s">
        <v>2191</v>
      </c>
      <c r="L315" s="366" t="s">
        <v>103</v>
      </c>
      <c r="M315" s="366" t="s">
        <v>2192</v>
      </c>
      <c r="N315" s="366" t="s">
        <v>2193</v>
      </c>
      <c r="O315" s="368" t="s">
        <v>2194</v>
      </c>
      <c r="P315" s="369" t="s">
        <v>2195</v>
      </c>
      <c r="Q315" s="370" t="s">
        <v>2196</v>
      </c>
      <c r="R315" s="366" t="s">
        <v>2197</v>
      </c>
      <c r="S315" s="366" t="s">
        <v>2198</v>
      </c>
      <c r="T315" s="366" t="s">
        <v>2199</v>
      </c>
      <c r="U315" s="371" t="s">
        <v>2200</v>
      </c>
      <c r="V315" s="755" t="s">
        <v>2187</v>
      </c>
      <c r="W315" s="366" t="s">
        <v>2188</v>
      </c>
      <c r="X315" s="366" t="s">
        <v>2189</v>
      </c>
      <c r="Y315" s="366" t="s">
        <v>2190</v>
      </c>
      <c r="Z315" s="366" t="s">
        <v>2191</v>
      </c>
      <c r="AA315" s="366" t="s">
        <v>103</v>
      </c>
      <c r="AB315" s="366" t="s">
        <v>2192</v>
      </c>
      <c r="AC315" s="366" t="s">
        <v>2193</v>
      </c>
      <c r="AD315" s="368" t="s">
        <v>2194</v>
      </c>
      <c r="AE315" s="369" t="s">
        <v>2195</v>
      </c>
      <c r="AF315" s="370" t="s">
        <v>2196</v>
      </c>
      <c r="AG315" s="366" t="s">
        <v>2197</v>
      </c>
      <c r="AH315" s="366" t="s">
        <v>2198</v>
      </c>
      <c r="AI315" s="366" t="s">
        <v>2199</v>
      </c>
      <c r="AJ315" s="371" t="s">
        <v>2200</v>
      </c>
      <c r="AK315" s="755" t="s">
        <v>2188</v>
      </c>
      <c r="AL315" s="366" t="s">
        <v>2189</v>
      </c>
      <c r="AM315" s="366" t="s">
        <v>2190</v>
      </c>
      <c r="AN315" s="366" t="s">
        <v>2191</v>
      </c>
      <c r="AO315" s="366" t="s">
        <v>2192</v>
      </c>
      <c r="AP315" s="366" t="s">
        <v>2193</v>
      </c>
      <c r="AQ315" s="368" t="s">
        <v>2194</v>
      </c>
      <c r="AR315" s="369" t="s">
        <v>2195</v>
      </c>
      <c r="AS315" s="370" t="s">
        <v>2196</v>
      </c>
      <c r="AT315" s="366" t="s">
        <v>2197</v>
      </c>
      <c r="AU315" s="366" t="s">
        <v>2198</v>
      </c>
      <c r="AV315" s="366" t="s">
        <v>2199</v>
      </c>
      <c r="AW315" s="371" t="s">
        <v>2200</v>
      </c>
      <c r="AX315" s="854"/>
      <c r="AY315" s="856"/>
      <c r="AZ315" s="680" t="s">
        <v>2194</v>
      </c>
      <c r="BA315" s="369" t="s">
        <v>2195</v>
      </c>
      <c r="BB315" s="370" t="s">
        <v>2196</v>
      </c>
      <c r="BC315" s="366" t="s">
        <v>2201</v>
      </c>
      <c r="BD315" s="756" t="s">
        <v>2202</v>
      </c>
    </row>
    <row r="316" spans="1:58" s="1128" customFormat="1" ht="36.75" customHeight="1" x14ac:dyDescent="0.25">
      <c r="A316" s="359"/>
      <c r="B316" s="850" t="s">
        <v>2219</v>
      </c>
      <c r="C316" s="851"/>
      <c r="D316" s="851"/>
      <c r="E316" s="851"/>
      <c r="F316" s="851"/>
      <c r="G316" s="851"/>
      <c r="H316" s="851"/>
      <c r="I316" s="851"/>
      <c r="J316" s="851"/>
      <c r="K316" s="851"/>
      <c r="L316" s="851"/>
      <c r="M316" s="851"/>
      <c r="N316" s="851"/>
      <c r="O316" s="851"/>
      <c r="P316" s="851"/>
      <c r="Q316" s="851"/>
      <c r="R316" s="851"/>
      <c r="S316" s="851"/>
      <c r="T316" s="851"/>
      <c r="U316" s="851"/>
      <c r="V316" s="851"/>
      <c r="W316" s="851"/>
      <c r="X316" s="851"/>
      <c r="Y316" s="851"/>
      <c r="Z316" s="851"/>
      <c r="AA316" s="851"/>
      <c r="AB316" s="851"/>
      <c r="AC316" s="851"/>
      <c r="AD316" s="851"/>
      <c r="AE316" s="851"/>
      <c r="AF316" s="851"/>
      <c r="AG316" s="851"/>
      <c r="AH316" s="851"/>
      <c r="AI316" s="851"/>
      <c r="AJ316" s="851"/>
      <c r="AK316" s="851"/>
      <c r="AL316" s="851"/>
      <c r="AM316" s="851"/>
      <c r="AN316" s="851"/>
      <c r="AO316" s="851"/>
      <c r="AP316" s="851"/>
      <c r="AQ316" s="851"/>
      <c r="AR316" s="851"/>
      <c r="AS316" s="851"/>
      <c r="AT316" s="851"/>
      <c r="AU316" s="851"/>
      <c r="AV316" s="851"/>
      <c r="AW316" s="851"/>
      <c r="AX316" s="851"/>
      <c r="AY316" s="851"/>
      <c r="AZ316" s="851"/>
      <c r="BA316" s="851"/>
      <c r="BB316" s="851"/>
      <c r="BC316" s="851"/>
      <c r="BD316" s="852"/>
    </row>
    <row r="317" spans="1:58" s="1128" customFormat="1" ht="36.75" customHeight="1" thickBot="1" x14ac:dyDescent="0.3">
      <c r="A317" s="359"/>
      <c r="B317" s="857" t="s">
        <v>2228</v>
      </c>
      <c r="C317" s="858"/>
      <c r="D317" s="858"/>
      <c r="E317" s="858"/>
      <c r="F317" s="858"/>
      <c r="G317" s="858"/>
      <c r="H317" s="858"/>
      <c r="I317" s="858"/>
      <c r="J317" s="858"/>
      <c r="K317" s="858"/>
      <c r="L317" s="858"/>
      <c r="M317" s="858"/>
      <c r="N317" s="858"/>
      <c r="O317" s="858"/>
      <c r="P317" s="858"/>
      <c r="Q317" s="858"/>
      <c r="R317" s="858"/>
      <c r="S317" s="858"/>
      <c r="T317" s="858"/>
      <c r="U317" s="858"/>
      <c r="V317" s="858"/>
      <c r="W317" s="858"/>
      <c r="X317" s="858"/>
      <c r="Y317" s="858"/>
      <c r="Z317" s="858"/>
      <c r="AA317" s="858"/>
      <c r="AB317" s="858"/>
      <c r="AC317" s="858"/>
      <c r="AD317" s="858"/>
      <c r="AE317" s="858"/>
      <c r="AF317" s="858"/>
      <c r="AG317" s="858"/>
      <c r="AH317" s="858"/>
      <c r="AI317" s="858"/>
      <c r="AJ317" s="858"/>
      <c r="AK317" s="858"/>
      <c r="AL317" s="858"/>
      <c r="AM317" s="858"/>
      <c r="AN317" s="858"/>
      <c r="AO317" s="858"/>
      <c r="AP317" s="858"/>
      <c r="AQ317" s="858"/>
      <c r="AR317" s="858"/>
      <c r="AS317" s="858"/>
      <c r="AT317" s="858"/>
      <c r="AU317" s="858"/>
      <c r="AV317" s="858"/>
      <c r="AW317" s="858"/>
      <c r="AX317" s="858"/>
      <c r="AY317" s="858"/>
      <c r="AZ317" s="858"/>
      <c r="BA317" s="858"/>
      <c r="BB317" s="858"/>
      <c r="BC317" s="858"/>
      <c r="BD317" s="859"/>
    </row>
    <row r="318" spans="1:58" ht="36.75" hidden="1" customHeight="1" thickBot="1" x14ac:dyDescent="0.3">
      <c r="A318" s="373"/>
      <c r="B318" s="681"/>
      <c r="C318" s="682"/>
      <c r="D318" s="683"/>
      <c r="E318" s="683"/>
      <c r="F318" s="683"/>
      <c r="G318" s="684"/>
      <c r="H318" s="684"/>
      <c r="I318" s="685"/>
      <c r="J318" s="685"/>
      <c r="K318" s="685"/>
      <c r="L318" s="685"/>
      <c r="M318" s="685"/>
      <c r="N318" s="685"/>
      <c r="O318" s="686"/>
      <c r="P318" s="687"/>
      <c r="Q318" s="688"/>
      <c r="R318" s="685"/>
      <c r="S318" s="685"/>
      <c r="T318" s="685"/>
      <c r="U318" s="689"/>
      <c r="V318" s="689"/>
      <c r="W318" s="684"/>
      <c r="X318" s="685"/>
      <c r="Y318" s="685"/>
      <c r="Z318" s="685"/>
      <c r="AA318" s="685"/>
      <c r="AB318" s="685"/>
      <c r="AC318" s="685"/>
      <c r="AD318" s="686"/>
      <c r="AE318" s="687"/>
      <c r="AF318" s="688"/>
      <c r="AG318" s="685"/>
      <c r="AH318" s="685"/>
      <c r="AI318" s="685"/>
      <c r="AJ318" s="689"/>
      <c r="AK318" s="685"/>
      <c r="AL318" s="685"/>
      <c r="AM318" s="685"/>
      <c r="AN318" s="685"/>
      <c r="AO318" s="685"/>
      <c r="AP318" s="685"/>
      <c r="AQ318" s="686"/>
      <c r="AR318" s="687"/>
      <c r="AS318" s="688"/>
      <c r="AT318" s="685"/>
      <c r="AU318" s="685"/>
      <c r="AV318" s="685"/>
      <c r="AW318" s="690"/>
      <c r="AX318" s="684"/>
      <c r="AY318" s="691"/>
      <c r="AZ318" s="692"/>
      <c r="BA318" s="693"/>
      <c r="BB318" s="685"/>
      <c r="BC318" s="694"/>
      <c r="BD318" s="695"/>
    </row>
    <row r="319" spans="1:58" ht="40.5" customHeight="1" x14ac:dyDescent="0.25">
      <c r="A319" s="373"/>
      <c r="B319" s="374">
        <f>B318+1</f>
        <v>1</v>
      </c>
      <c r="C319" s="696" t="s">
        <v>181</v>
      </c>
      <c r="D319" s="376" t="str">
        <f>VLOOKUP($C319,'ТР нефть'!$A$29:$GC$641,5,0)</f>
        <v>ВУ ОНГКМ</v>
      </c>
      <c r="E319" s="376" t="str">
        <f>VLOOKUP($C319,'ТР нефть'!$A$29:$GC$641,8,0)</f>
        <v>ТЛ-4</v>
      </c>
      <c r="F319" s="645" t="str">
        <f>VLOOKUP($C319,'ТР нефть'!$A$29:$GC$641,11,0)</f>
        <v>Без куста</v>
      </c>
      <c r="G319" s="374" t="str">
        <f>VLOOKUP($C319,'ТР нефть'!$A$29:$GC$641,47,0)</f>
        <v>Газлифт</v>
      </c>
      <c r="H319" s="378">
        <f>VLOOKUP($C319,'ТР нефть'!$A$29:$GC$641,135,0)</f>
        <v>18</v>
      </c>
      <c r="I319" s="379">
        <f>VLOOKUP($C319,'ТР нефть'!$A$29:$GC$641,136,0)</f>
        <v>27</v>
      </c>
      <c r="J319" s="379">
        <f>VLOOKUP($C319,'ТР нефть'!$A$29:$GC$641,137,0)</f>
        <v>40</v>
      </c>
      <c r="K319" s="379">
        <f>VLOOKUP($C319,'ТР нефть'!$A$29:$GC$641,138,0)</f>
        <v>26</v>
      </c>
      <c r="L319" s="379" t="str">
        <f>VLOOKUP($C319,'ТР нефть'!$A$29:$GC$641,139,0)</f>
        <v>Постоянный</v>
      </c>
      <c r="M319" s="379">
        <f>VLOOKUP($C319,'ТР нефть'!$A$29:$GC$641,140,0)</f>
        <v>24</v>
      </c>
      <c r="N319" s="379">
        <f>VLOOKUP($C319,'ТР нефть'!$A$29:$GC$641,141,0)</f>
        <v>0</v>
      </c>
      <c r="O319" s="380">
        <f>VLOOKUP($C319,'ТР нефть'!$A$29:$GC$641,142,0)</f>
        <v>7.1680311999999988</v>
      </c>
      <c r="P319" s="381">
        <f>VLOOKUP($C319,'ТР нефть'!$A$29:$GC$641,143,0)</f>
        <v>8.6</v>
      </c>
      <c r="Q319" s="382">
        <f>VLOOKUP($C319,'ТР нефть'!$A$29:$GC$641,144,0)</f>
        <v>0.3</v>
      </c>
      <c r="R319" s="379">
        <f>VLOOKUP($C319,'ТР нефть'!$A$29:$GC$641,145,0)</f>
        <v>13.9</v>
      </c>
      <c r="S319" s="379">
        <f>VLOOKUP($C319,'ТР нефть'!$A$29:$GC$641,146,0)</f>
        <v>834.25976159255572</v>
      </c>
      <c r="T319" s="379">
        <f>VLOOKUP($C319,'ТР нефть'!$A$29:$GC$641,149,0)</f>
        <v>49</v>
      </c>
      <c r="U319" s="385">
        <f>VLOOKUP($C319,'ТР нефть'!$A$29:$GC$641,150,0)</f>
        <v>0.14262023217247097</v>
      </c>
      <c r="V319" s="384" t="str">
        <f>VLOOKUP($C319,'ТР нефть'!$A$29:$GC$641,47,0)</f>
        <v>Газлифт</v>
      </c>
      <c r="W319" s="378">
        <f>VLOOKUP($C319,'ТР нефть'!$A$29:$GC$641,74,0)</f>
        <v>18</v>
      </c>
      <c r="X319" s="379">
        <f>VLOOKUP($C319,'ТР нефть'!$A$29:$GC$641,79,0)</f>
        <v>25</v>
      </c>
      <c r="Y319" s="379">
        <f>VLOOKUP($C319,'ТР нефть'!$A$29:$GC$641,80,0)</f>
        <v>39</v>
      </c>
      <c r="Z319" s="379">
        <f>VLOOKUP($C319,'ТР нефть'!$A$29:$GC$641,81,0)</f>
        <v>24</v>
      </c>
      <c r="AA319" s="379" t="str">
        <f>VLOOKUP($C319,'ТР нефть'!$A$29:$GC$641,76,0)</f>
        <v>Постоянный</v>
      </c>
      <c r="AB319" s="379">
        <f>VLOOKUP($C319,'ТР нефть'!$A$29:$GC$641,77,0)</f>
        <v>24</v>
      </c>
      <c r="AC319" s="379">
        <f>VLOOKUP($C319,'ТР нефть'!$A$29:$GC$641,78,0)</f>
        <v>0</v>
      </c>
      <c r="AD319" s="380">
        <f>VLOOKUP($C319,'ТР нефть'!$A$29:$GC$641,93,0)</f>
        <v>8.3349200000000003</v>
      </c>
      <c r="AE319" s="381">
        <f>VLOOKUP($C319,'ТР нефть'!$A$29:$GC$641,94,0)</f>
        <v>10</v>
      </c>
      <c r="AF319" s="382">
        <f>VLOOKUP($C319,'ТР нефть'!$A$29:$GC$641,95,0)</f>
        <v>0.3</v>
      </c>
      <c r="AG319" s="379">
        <f>VLOOKUP($C319,'ТР нефть'!$A$29:$GC$641,99,0)</f>
        <v>7.2</v>
      </c>
      <c r="AH319" s="379">
        <f>VLOOKUP($C319,'ТР нефть'!$A$29:$GC$641,100,0)</f>
        <v>863.83552571590371</v>
      </c>
      <c r="AI319" s="379">
        <f>VLOOKUP($C319,'ТР нефть'!$A$29:$GC$641,92,0)</f>
        <v>48</v>
      </c>
      <c r="AJ319" s="385">
        <f>VLOOKUP($C319,'ТР нефть'!$A$29:$GC$641,102,0)</f>
        <v>0.16313213703099511</v>
      </c>
      <c r="AK319" s="386">
        <f t="shared" ref="AK319:AN334" si="26">W319-H319</f>
        <v>0</v>
      </c>
      <c r="AL319" s="379">
        <f t="shared" si="26"/>
        <v>-2</v>
      </c>
      <c r="AM319" s="379">
        <f t="shared" si="26"/>
        <v>-1</v>
      </c>
      <c r="AN319" s="379">
        <f t="shared" si="26"/>
        <v>-2</v>
      </c>
      <c r="AO319" s="379">
        <f t="shared" ref="AO319:AW334" si="27">AB319-M319</f>
        <v>0</v>
      </c>
      <c r="AP319" s="379">
        <f t="shared" si="27"/>
        <v>0</v>
      </c>
      <c r="AQ319" s="380">
        <f t="shared" si="27"/>
        <v>1.1668888000000015</v>
      </c>
      <c r="AR319" s="381">
        <f t="shared" si="27"/>
        <v>1.4000000000000004</v>
      </c>
      <c r="AS319" s="382">
        <f t="shared" si="27"/>
        <v>0</v>
      </c>
      <c r="AT319" s="379">
        <f t="shared" si="27"/>
        <v>-6.7</v>
      </c>
      <c r="AU319" s="379">
        <f t="shared" si="27"/>
        <v>29.575764123347994</v>
      </c>
      <c r="AV319" s="379">
        <f t="shared" si="27"/>
        <v>-1</v>
      </c>
      <c r="AW319" s="387">
        <f t="shared" si="27"/>
        <v>2.0511904858524138E-2</v>
      </c>
      <c r="AX319" s="374" t="str">
        <f>VLOOKUP($C319,'ТР нефть'!$A$29:$GC$641,182,0)</f>
        <v>Технология</v>
      </c>
      <c r="AY319" s="387" t="str">
        <f>VLOOKUP($C319,'ТР нефть'!$A$29:$GC$641,183,0)</f>
        <v>Увеличение дебита на фоне снижения Рлин</v>
      </c>
      <c r="AZ319" s="388">
        <f t="shared" ref="AZ319:BB334" si="28">AD319</f>
        <v>8.3349200000000003</v>
      </c>
      <c r="BA319" s="389">
        <f t="shared" si="28"/>
        <v>10</v>
      </c>
      <c r="BB319" s="379">
        <f t="shared" si="28"/>
        <v>0.3</v>
      </c>
      <c r="BC319" s="390"/>
      <c r="BD319" s="697"/>
    </row>
    <row r="320" spans="1:58" ht="40.5" customHeight="1" x14ac:dyDescent="0.25">
      <c r="A320" s="373"/>
      <c r="B320" s="392">
        <f t="shared" ref="B320:B383" si="29">B319+1</f>
        <v>2</v>
      </c>
      <c r="C320" s="490" t="s">
        <v>228</v>
      </c>
      <c r="D320" s="394" t="str">
        <f>VLOOKUP($C320,'ТР нефть'!$A$29:$GC$641,5,0)</f>
        <v>ВУ ОНГКМ</v>
      </c>
      <c r="E320" s="394" t="str">
        <f>VLOOKUP($C320,'ТР нефть'!$A$29:$GC$641,8,0)</f>
        <v>ТЛ-1</v>
      </c>
      <c r="F320" s="462" t="str">
        <f>VLOOKUP($C320,'ТР нефть'!$A$29:$GC$641,11,0)</f>
        <v>Куст скважины-2</v>
      </c>
      <c r="G320" s="392" t="str">
        <f>VLOOKUP($C320,'ТР нефть'!$A$29:$GC$641,47,0)</f>
        <v>Газлифт</v>
      </c>
      <c r="H320" s="396">
        <f>VLOOKUP($C320,'ТР нефть'!$A$29:$GC$641,135,0)</f>
        <v>18</v>
      </c>
      <c r="I320" s="397">
        <f>VLOOKUP($C320,'ТР нефть'!$A$29:$GC$641,136,0)</f>
        <v>15</v>
      </c>
      <c r="J320" s="397">
        <f>VLOOKUP($C320,'ТР нефть'!$A$29:$GC$641,137,0)</f>
        <v>50</v>
      </c>
      <c r="K320" s="397">
        <f>VLOOKUP($C320,'ТР нефть'!$A$29:$GC$641,138,0)</f>
        <v>14</v>
      </c>
      <c r="L320" s="397" t="str">
        <f>VLOOKUP($C320,'ТР нефть'!$A$29:$GC$641,139,0)</f>
        <v>Периодический</v>
      </c>
      <c r="M320" s="397">
        <f>VLOOKUP($C320,'ТР нефть'!$A$29:$GC$641,140,0)</f>
        <v>24</v>
      </c>
      <c r="N320" s="397">
        <f>VLOOKUP($C320,'ТР нефть'!$A$29:$GC$641,141,0)</f>
        <v>72</v>
      </c>
      <c r="O320" s="398">
        <f>VLOOKUP($C320,'ТР нефть'!$A$29:$GC$641,142,0)</f>
        <v>2.5932719999999998</v>
      </c>
      <c r="P320" s="399">
        <f>VLOOKUP($C320,'ТР нефть'!$A$29:$GC$641,143,0)</f>
        <v>4.7</v>
      </c>
      <c r="Q320" s="400">
        <f>VLOOKUP($C320,'ТР нефть'!$A$29:$GC$641,144,0)</f>
        <v>34</v>
      </c>
      <c r="R320" s="397">
        <f>VLOOKUP($C320,'ТР нефть'!$A$29:$GC$641,145,0)</f>
        <v>6.2</v>
      </c>
      <c r="S320" s="397">
        <f>VLOOKUP($C320,'ТР нефть'!$A$29:$GC$641,146,0)</f>
        <v>1696.6982252536566</v>
      </c>
      <c r="T320" s="397">
        <f>VLOOKUP($C320,'ТР нефть'!$A$29:$GC$641,149,0)</f>
        <v>51</v>
      </c>
      <c r="U320" s="403">
        <f>VLOOKUP($C320,'ТР нефть'!$A$29:$GC$641,150,0)</f>
        <v>7.3437500000000003E-2</v>
      </c>
      <c r="V320" s="402" t="str">
        <f>VLOOKUP($C320,'ТР нефть'!$A$29:$GC$641,47,0)</f>
        <v>Газлифт</v>
      </c>
      <c r="W320" s="396">
        <f>VLOOKUP($C320,'ТР нефть'!$A$29:$GC$641,74,0)</f>
        <v>18</v>
      </c>
      <c r="X320" s="397">
        <f>VLOOKUP($C320,'ТР нефть'!$A$29:$GC$641,79,0)</f>
        <v>17</v>
      </c>
      <c r="Y320" s="397">
        <f>VLOOKUP($C320,'ТР нефть'!$A$29:$GC$641,80,0)</f>
        <v>49</v>
      </c>
      <c r="Z320" s="397">
        <f>VLOOKUP($C320,'ТР нефть'!$A$29:$GC$641,81,0)</f>
        <v>14</v>
      </c>
      <c r="AA320" s="397" t="str">
        <f>VLOOKUP($C320,'ТР нефть'!$A$29:$GC$641,76,0)</f>
        <v>Постоянный</v>
      </c>
      <c r="AB320" s="397">
        <f>VLOOKUP($C320,'ТР нефть'!$A$29:$GC$641,77,0)</f>
        <v>24</v>
      </c>
      <c r="AC320" s="397">
        <f>VLOOKUP($C320,'ТР нефть'!$A$29:$GC$641,78,0)</f>
        <v>0</v>
      </c>
      <c r="AD320" s="398">
        <f>VLOOKUP($C320,'ТР нефть'!$A$29:$GC$641,93,0)</f>
        <v>8.8082632000000007</v>
      </c>
      <c r="AE320" s="399">
        <f>VLOOKUP($C320,'ТР нефть'!$A$29:$GC$641,94,0)</f>
        <v>13.9</v>
      </c>
      <c r="AF320" s="400">
        <f>VLOOKUP($C320,'ТР нефть'!$A$29:$GC$641,95,0)</f>
        <v>24.2</v>
      </c>
      <c r="AG320" s="397">
        <f>VLOOKUP($C320,'ТР нефть'!$A$29:$GC$641,99,0)</f>
        <v>11.100000000000001</v>
      </c>
      <c r="AH320" s="397">
        <f>VLOOKUP($C320,'ТР нефть'!$A$29:$GC$641,100,0)</f>
        <v>1260.1803270365492</v>
      </c>
      <c r="AI320" s="397">
        <f>VLOOKUP($C320,'ТР нефть'!$A$29:$GC$641,92,0)</f>
        <v>59</v>
      </c>
      <c r="AJ320" s="403">
        <f>VLOOKUP($C320,'ТР нефть'!$A$29:$GC$641,102,0)</f>
        <v>0.24821428571428572</v>
      </c>
      <c r="AK320" s="404">
        <f t="shared" si="26"/>
        <v>0</v>
      </c>
      <c r="AL320" s="397">
        <f t="shared" si="26"/>
        <v>2</v>
      </c>
      <c r="AM320" s="397">
        <f t="shared" si="26"/>
        <v>-1</v>
      </c>
      <c r="AN320" s="397">
        <f t="shared" si="26"/>
        <v>0</v>
      </c>
      <c r="AO320" s="397">
        <f t="shared" si="27"/>
        <v>0</v>
      </c>
      <c r="AP320" s="397">
        <f t="shared" si="27"/>
        <v>-72</v>
      </c>
      <c r="AQ320" s="398">
        <f t="shared" si="27"/>
        <v>6.2149912000000009</v>
      </c>
      <c r="AR320" s="399">
        <f t="shared" si="27"/>
        <v>9.1999999999999993</v>
      </c>
      <c r="AS320" s="400">
        <f t="shared" si="27"/>
        <v>-9.8000000000000007</v>
      </c>
      <c r="AT320" s="397">
        <f t="shared" si="27"/>
        <v>4.9000000000000012</v>
      </c>
      <c r="AU320" s="397">
        <f t="shared" si="27"/>
        <v>-436.51789821710736</v>
      </c>
      <c r="AV320" s="397">
        <f t="shared" si="27"/>
        <v>8</v>
      </c>
      <c r="AW320" s="406">
        <f t="shared" si="27"/>
        <v>0.17477678571428573</v>
      </c>
      <c r="AX320" s="392" t="str">
        <f>VLOOKUP($C320,'ТР нефть'!$A$29:$GC$641,182,0)</f>
        <v>Технология</v>
      </c>
      <c r="AY320" s="406" t="str">
        <f>VLOOKUP($C320,'ТР нефть'!$A$29:$GC$641,183,0)</f>
        <v xml:space="preserve">Увеличение дебита на фоне перевода скважины в постоянный режим работы. ТР выведен по замеру от 16.06. Рассмотреть увеличение расхода для поддержания необходимого значения Рзат. </v>
      </c>
      <c r="AZ320" s="407">
        <f t="shared" si="28"/>
        <v>8.8082632000000007</v>
      </c>
      <c r="BA320" s="408">
        <f t="shared" si="28"/>
        <v>13.9</v>
      </c>
      <c r="BB320" s="397">
        <f t="shared" si="28"/>
        <v>24.2</v>
      </c>
      <c r="BC320" s="409"/>
      <c r="BD320" s="410"/>
    </row>
    <row r="321" spans="1:56" ht="66.75" customHeight="1" x14ac:dyDescent="0.25">
      <c r="A321" s="373"/>
      <c r="B321" s="392">
        <f t="shared" si="29"/>
        <v>3</v>
      </c>
      <c r="C321" s="490" t="s">
        <v>300</v>
      </c>
      <c r="D321" s="394" t="str">
        <f>VLOOKUP($C321,'ТР нефть'!$A$29:$GC$641,5,0)</f>
        <v>ВУ ОНГКМ</v>
      </c>
      <c r="E321" s="394" t="str">
        <f>VLOOKUP($C321,'ТР нефть'!$A$29:$GC$641,8,0)</f>
        <v>ТЛ-1</v>
      </c>
      <c r="F321" s="462" t="str">
        <f>VLOOKUP($C321,'ТР нефть'!$A$29:$GC$641,11,0)</f>
        <v>Куст скважины-5</v>
      </c>
      <c r="G321" s="392" t="str">
        <f>VLOOKUP($C321,'ТР нефть'!$A$29:$GC$641,47,0)</f>
        <v>Газлифт</v>
      </c>
      <c r="H321" s="396">
        <f>VLOOKUP($C321,'ТР нефть'!$A$29:$GC$641,135,0)</f>
        <v>65</v>
      </c>
      <c r="I321" s="397">
        <f>VLOOKUP($C321,'ТР нефть'!$A$29:$GC$641,136,0)</f>
        <v>20</v>
      </c>
      <c r="J321" s="397">
        <f>VLOOKUP($C321,'ТР нефть'!$A$29:$GC$641,137,0)</f>
        <v>35</v>
      </c>
      <c r="K321" s="397">
        <f>VLOOKUP($C321,'ТР нефть'!$A$29:$GC$641,138,0)</f>
        <v>19</v>
      </c>
      <c r="L321" s="397" t="str">
        <f>VLOOKUP($C321,'ТР нефть'!$A$29:$GC$641,139,0)</f>
        <v>Постоянный</v>
      </c>
      <c r="M321" s="397">
        <f>VLOOKUP($C321,'ТР нефть'!$A$29:$GC$641,140,0)</f>
        <v>24</v>
      </c>
      <c r="N321" s="397">
        <f>VLOOKUP($C321,'ТР нефть'!$A$29:$GC$641,141,0)</f>
        <v>0</v>
      </c>
      <c r="O321" s="398">
        <f>VLOOKUP($C321,'ТР нефть'!$A$29:$GC$641,142,0)</f>
        <v>7.0917880000000002</v>
      </c>
      <c r="P321" s="399">
        <f>VLOOKUP($C321,'ТР нефть'!$A$29:$GC$641,143,0)</f>
        <v>8.5</v>
      </c>
      <c r="Q321" s="400">
        <f>VLOOKUP($C321,'ТР нефть'!$A$29:$GC$641,144,0)</f>
        <v>0.2</v>
      </c>
      <c r="R321" s="397">
        <f>VLOOKUP($C321,'ТР нефть'!$A$29:$GC$641,145,0)</f>
        <v>16.3</v>
      </c>
      <c r="S321" s="397">
        <f>VLOOKUP($C321,'ТР нефть'!$A$29:$GC$641,146,0)</f>
        <v>1311.375918174655</v>
      </c>
      <c r="T321" s="397">
        <f>VLOOKUP($C321,'ТР нефть'!$A$29:$GC$641,149,0)</f>
        <v>42</v>
      </c>
      <c r="U321" s="403">
        <f>VLOOKUP($C321,'ТР нефть'!$A$29:$GC$641,150,0)</f>
        <v>0.12318840579710146</v>
      </c>
      <c r="V321" s="402" t="str">
        <f>VLOOKUP($C321,'ТР нефть'!$A$29:$GC$641,47,0)</f>
        <v>Газлифт</v>
      </c>
      <c r="W321" s="396">
        <f>VLOOKUP($C321,'ТР нефть'!$A$29:$GC$641,74,0)</f>
        <v>65</v>
      </c>
      <c r="X321" s="397">
        <f>VLOOKUP($C321,'ТР нефть'!$A$29:$GC$641,79,0)</f>
        <v>19</v>
      </c>
      <c r="Y321" s="397">
        <f>VLOOKUP($C321,'ТР нефть'!$A$29:$GC$641,80,0)</f>
        <v>32</v>
      </c>
      <c r="Z321" s="397">
        <f>VLOOKUP($C321,'ТР нефть'!$A$29:$GC$641,81,0)</f>
        <v>18</v>
      </c>
      <c r="AA321" s="397" t="str">
        <f>VLOOKUP($C321,'ТР нефть'!$A$29:$GC$641,76,0)</f>
        <v>Постоянный</v>
      </c>
      <c r="AB321" s="397">
        <f>VLOOKUP($C321,'ТР нефть'!$A$29:$GC$641,77,0)</f>
        <v>24</v>
      </c>
      <c r="AC321" s="397">
        <f>VLOOKUP($C321,'ТР нефть'!$A$29:$GC$641,78,0)</f>
        <v>0</v>
      </c>
      <c r="AD321" s="398">
        <f>VLOOKUP($C321,'ТР нефть'!$A$29:$GC$641,93,0)</f>
        <v>8.7604439999999997</v>
      </c>
      <c r="AE321" s="399">
        <f>VLOOKUP($C321,'ТР нефть'!$A$29:$GC$641,94,0)</f>
        <v>10.5</v>
      </c>
      <c r="AF321" s="400">
        <f>VLOOKUP($C321,'ТР нефть'!$A$29:$GC$641,95,0)</f>
        <v>0.2</v>
      </c>
      <c r="AG321" s="397">
        <f>VLOOKUP($C321,'ТР нефть'!$A$29:$GC$641,99,0)</f>
        <v>9.8000000000000007</v>
      </c>
      <c r="AH321" s="397">
        <f>VLOOKUP($C321,'ТР нефть'!$A$29:$GC$641,100,0)</f>
        <v>1118.6647617403867</v>
      </c>
      <c r="AI321" s="397">
        <f>VLOOKUP($C321,'ТР нефть'!$A$29:$GC$641,92,0)</f>
        <v>39</v>
      </c>
      <c r="AJ321" s="403">
        <f>VLOOKUP($C321,'ТР нефть'!$A$29:$GC$641,102,0)</f>
        <v>0.14583333333333334</v>
      </c>
      <c r="AK321" s="404">
        <f t="shared" si="26"/>
        <v>0</v>
      </c>
      <c r="AL321" s="397">
        <f t="shared" si="26"/>
        <v>-1</v>
      </c>
      <c r="AM321" s="397">
        <f t="shared" si="26"/>
        <v>-3</v>
      </c>
      <c r="AN321" s="397">
        <f t="shared" si="26"/>
        <v>-1</v>
      </c>
      <c r="AO321" s="397">
        <f t="shared" si="27"/>
        <v>0</v>
      </c>
      <c r="AP321" s="397">
        <f t="shared" si="27"/>
        <v>0</v>
      </c>
      <c r="AQ321" s="398">
        <f t="shared" si="27"/>
        <v>1.6686559999999995</v>
      </c>
      <c r="AR321" s="399">
        <f t="shared" si="27"/>
        <v>2</v>
      </c>
      <c r="AS321" s="400">
        <f t="shared" si="27"/>
        <v>0</v>
      </c>
      <c r="AT321" s="397">
        <f t="shared" si="27"/>
        <v>-6.5</v>
      </c>
      <c r="AU321" s="397">
        <f t="shared" si="27"/>
        <v>-192.71115643426833</v>
      </c>
      <c r="AV321" s="397">
        <f t="shared" si="27"/>
        <v>-3</v>
      </c>
      <c r="AW321" s="406">
        <f t="shared" si="27"/>
        <v>2.2644927536231887E-2</v>
      </c>
      <c r="AX321" s="392" t="str">
        <f>VLOOKUP($C321,'ТР нефть'!$A$29:$GC$641,182,0)</f>
        <v>Технология</v>
      </c>
      <c r="AY321" s="406" t="str">
        <f>VLOOKUP($C321,'ТР нефть'!$A$29:$GC$641,183,0)</f>
        <v>Увеличение дебита на фоне снижения Рлин и Рзаб</v>
      </c>
      <c r="AZ321" s="407">
        <f t="shared" si="28"/>
        <v>8.7604439999999997</v>
      </c>
      <c r="BA321" s="408">
        <f t="shared" si="28"/>
        <v>10.5</v>
      </c>
      <c r="BB321" s="397">
        <f t="shared" si="28"/>
        <v>0.2</v>
      </c>
      <c r="BC321" s="698"/>
      <c r="BD321" s="699"/>
    </row>
    <row r="322" spans="1:56" ht="40.5" customHeight="1" x14ac:dyDescent="0.25">
      <c r="A322" s="373"/>
      <c r="B322" s="392">
        <f t="shared" si="29"/>
        <v>4</v>
      </c>
      <c r="C322" s="490" t="s">
        <v>309</v>
      </c>
      <c r="D322" s="394" t="str">
        <f>VLOOKUP($C322,'ТР нефть'!$A$29:$GC$641,5,0)</f>
        <v>ВУ ОНГКМ</v>
      </c>
      <c r="E322" s="394" t="str">
        <f>VLOOKUP($C322,'ТР нефть'!$A$29:$GC$641,8,0)</f>
        <v>ТЛ-1</v>
      </c>
      <c r="F322" s="462" t="str">
        <f>VLOOKUP($C322,'ТР нефть'!$A$29:$GC$641,11,0)</f>
        <v>Без куста</v>
      </c>
      <c r="G322" s="392" t="str">
        <f>VLOOKUP($C322,'ТР нефть'!$A$29:$GC$641,47,0)</f>
        <v>Газлифт</v>
      </c>
      <c r="H322" s="396">
        <f>VLOOKUP($C322,'ТР нефть'!$A$29:$GC$641,135,0)</f>
        <v>18</v>
      </c>
      <c r="I322" s="397">
        <f>VLOOKUP($C322,'ТР нефть'!$A$29:$GC$641,136,0)</f>
        <v>16</v>
      </c>
      <c r="J322" s="397">
        <f>VLOOKUP($C322,'ТР нефть'!$A$29:$GC$641,137,0)</f>
        <v>27</v>
      </c>
      <c r="K322" s="397">
        <f>VLOOKUP($C322,'ТР нефть'!$A$29:$GC$641,138,0)</f>
        <v>15</v>
      </c>
      <c r="L322" s="397" t="str">
        <f>VLOOKUP($C322,'ТР нефть'!$A$29:$GC$641,139,0)</f>
        <v>Постоянный</v>
      </c>
      <c r="M322" s="397">
        <f>VLOOKUP($C322,'ТР нефть'!$A$29:$GC$641,140,0)</f>
        <v>24</v>
      </c>
      <c r="N322" s="397">
        <f>VLOOKUP($C322,'ТР нефть'!$A$29:$GC$641,141,0)</f>
        <v>0</v>
      </c>
      <c r="O322" s="398">
        <f>VLOOKUP($C322,'ТР нефть'!$A$29:$GC$641,142,0)</f>
        <v>6.3313623999999997</v>
      </c>
      <c r="P322" s="399">
        <f>VLOOKUP($C322,'ТР нефть'!$A$29:$GC$641,143,0)</f>
        <v>7.6</v>
      </c>
      <c r="Q322" s="400">
        <f>VLOOKUP($C322,'ТР нефть'!$A$29:$GC$641,144,0)</f>
        <v>0.35</v>
      </c>
      <c r="R322" s="397">
        <f>VLOOKUP($C322,'ТР нефть'!$A$29:$GC$641,145,0)</f>
        <v>18.8</v>
      </c>
      <c r="S322" s="397">
        <f>VLOOKUP($C322,'ТР нефть'!$A$29:$GC$641,146,0)</f>
        <v>1421.4950008232036</v>
      </c>
      <c r="T322" s="397">
        <f>VLOOKUP($C322,'ТР нефть'!$A$29:$GC$641,149,0)</f>
        <v>36</v>
      </c>
      <c r="U322" s="403">
        <f>VLOOKUP($C322,'ТР нефть'!$A$29:$GC$641,150,0)</f>
        <v>0.152</v>
      </c>
      <c r="V322" s="402" t="str">
        <f>VLOOKUP($C322,'ТР нефть'!$A$29:$GC$641,47,0)</f>
        <v>Газлифт</v>
      </c>
      <c r="W322" s="396">
        <f>VLOOKUP($C322,'ТР нефть'!$A$29:$GC$641,74,0)</f>
        <v>18</v>
      </c>
      <c r="X322" s="397">
        <f>VLOOKUP($C322,'ТР нефть'!$A$29:$GC$641,79,0)</f>
        <v>15</v>
      </c>
      <c r="Y322" s="397">
        <f>VLOOKUP($C322,'ТР нефть'!$A$29:$GC$641,80,0)</f>
        <v>28</v>
      </c>
      <c r="Z322" s="397">
        <f>VLOOKUP($C322,'ТР нефть'!$A$29:$GC$641,81,0)</f>
        <v>14</v>
      </c>
      <c r="AA322" s="397" t="str">
        <f>VLOOKUP($C322,'ТР нефть'!$A$29:$GC$641,76,0)</f>
        <v>Постоянный</v>
      </c>
      <c r="AB322" s="397">
        <f>VLOOKUP($C322,'ТР нефть'!$A$29:$GC$641,77,0)</f>
        <v>24</v>
      </c>
      <c r="AC322" s="397">
        <f>VLOOKUP($C322,'ТР нефть'!$A$29:$GC$641,78,0)</f>
        <v>0</v>
      </c>
      <c r="AD322" s="398">
        <f>VLOOKUP($C322,'ТР нефть'!$A$29:$GC$641,93,0)</f>
        <v>9.1638140000000003</v>
      </c>
      <c r="AE322" s="399">
        <f>VLOOKUP($C322,'ТР нефть'!$A$29:$GC$641,94,0)</f>
        <v>11</v>
      </c>
      <c r="AF322" s="400">
        <f>VLOOKUP($C322,'ТР нефть'!$A$29:$GC$641,95,0)</f>
        <v>0.35</v>
      </c>
      <c r="AG322" s="397">
        <f>VLOOKUP($C322,'ТР нефть'!$A$29:$GC$641,99,0)</f>
        <v>14.4</v>
      </c>
      <c r="AH322" s="397">
        <f>VLOOKUP($C322,'ТР нефть'!$A$29:$GC$641,100,0)</f>
        <v>1571.3981100009232</v>
      </c>
      <c r="AI322" s="397">
        <f>VLOOKUP($C322,'ТР нефть'!$A$29:$GC$641,92,0)</f>
        <v>34</v>
      </c>
      <c r="AJ322" s="403">
        <f>VLOOKUP($C322,'ТР нефть'!$A$29:$GC$641,102,0)</f>
        <v>0.21153846153846154</v>
      </c>
      <c r="AK322" s="404">
        <f t="shared" si="26"/>
        <v>0</v>
      </c>
      <c r="AL322" s="397">
        <f t="shared" si="26"/>
        <v>-1</v>
      </c>
      <c r="AM322" s="397">
        <f t="shared" si="26"/>
        <v>1</v>
      </c>
      <c r="AN322" s="397">
        <f t="shared" si="26"/>
        <v>-1</v>
      </c>
      <c r="AO322" s="397">
        <f t="shared" si="27"/>
        <v>0</v>
      </c>
      <c r="AP322" s="397">
        <f t="shared" si="27"/>
        <v>0</v>
      </c>
      <c r="AQ322" s="398">
        <f t="shared" si="27"/>
        <v>2.8324516000000006</v>
      </c>
      <c r="AR322" s="399">
        <f t="shared" si="27"/>
        <v>3.4000000000000004</v>
      </c>
      <c r="AS322" s="400">
        <f t="shared" si="27"/>
        <v>0</v>
      </c>
      <c r="AT322" s="397">
        <f t="shared" si="27"/>
        <v>-4.4000000000000004</v>
      </c>
      <c r="AU322" s="397">
        <f t="shared" si="27"/>
        <v>149.90310917771967</v>
      </c>
      <c r="AV322" s="397">
        <f t="shared" si="27"/>
        <v>-2</v>
      </c>
      <c r="AW322" s="406">
        <f t="shared" si="27"/>
        <v>5.953846153846154E-2</v>
      </c>
      <c r="AX322" s="392" t="str">
        <f>VLOOKUP($C322,'ТР нефть'!$A$29:$GC$641,182,0)</f>
        <v>Технология</v>
      </c>
      <c r="AY322" s="406" t="str">
        <f>VLOOKUP($C322,'ТР нефть'!$A$29:$GC$641,183,0)</f>
        <v>Увеличение дебита на фоне снижения Рлин и Рзаб</v>
      </c>
      <c r="AZ322" s="407">
        <f t="shared" si="28"/>
        <v>9.1638140000000003</v>
      </c>
      <c r="BA322" s="408">
        <f t="shared" si="28"/>
        <v>11</v>
      </c>
      <c r="BB322" s="397">
        <f t="shared" si="28"/>
        <v>0.35</v>
      </c>
      <c r="BC322" s="698"/>
      <c r="BD322" s="699"/>
    </row>
    <row r="323" spans="1:56" ht="40.5" customHeight="1" x14ac:dyDescent="0.25">
      <c r="A323" s="373"/>
      <c r="B323" s="392">
        <f t="shared" si="29"/>
        <v>5</v>
      </c>
      <c r="C323" s="490" t="s">
        <v>376</v>
      </c>
      <c r="D323" s="394" t="str">
        <f>VLOOKUP($C323,'ТР нефть'!$A$29:$GC$641,5,0)</f>
        <v>ВУ ОНГКМ</v>
      </c>
      <c r="E323" s="394" t="str">
        <f>VLOOKUP($C323,'ТР нефть'!$A$29:$GC$641,8,0)</f>
        <v>ТЛ-1</v>
      </c>
      <c r="F323" s="462" t="str">
        <f>VLOOKUP($C323,'ТР нефть'!$A$29:$GC$641,11,0)</f>
        <v>Куст скважины-23</v>
      </c>
      <c r="G323" s="392" t="str">
        <f>VLOOKUP($C323,'ТР нефть'!$A$29:$GC$641,47,0)</f>
        <v>Газлифт</v>
      </c>
      <c r="H323" s="396">
        <f>VLOOKUP($C323,'ТР нефть'!$A$29:$GC$641,135,0)</f>
        <v>65</v>
      </c>
      <c r="I323" s="397">
        <f>VLOOKUP($C323,'ТР нефть'!$A$29:$GC$641,136,0)</f>
        <v>17</v>
      </c>
      <c r="J323" s="397">
        <f>VLOOKUP($C323,'ТР нефть'!$A$29:$GC$641,137,0)</f>
        <v>29</v>
      </c>
      <c r="K323" s="397">
        <f>VLOOKUP($C323,'ТР нефть'!$A$29:$GC$641,138,0)</f>
        <v>16</v>
      </c>
      <c r="L323" s="397" t="str">
        <f>VLOOKUP($C323,'ТР нефть'!$A$29:$GC$641,139,0)</f>
        <v>Постоянный</v>
      </c>
      <c r="M323" s="397">
        <f>VLOOKUP($C323,'ТР нефть'!$A$29:$GC$641,140,0)</f>
        <v>24</v>
      </c>
      <c r="N323" s="397">
        <f>VLOOKUP($C323,'ТР нефть'!$A$29:$GC$641,141,0)</f>
        <v>0</v>
      </c>
      <c r="O323" s="398">
        <f>VLOOKUP($C323,'ТР нефть'!$A$29:$GC$641,142,0)</f>
        <v>5.3504000000000005</v>
      </c>
      <c r="P323" s="399">
        <f>VLOOKUP($C323,'ТР нефть'!$A$29:$GC$641,143,0)</f>
        <v>6.4</v>
      </c>
      <c r="Q323" s="400">
        <f>VLOOKUP($C323,'ТР нефть'!$A$29:$GC$641,144,0)</f>
        <v>0</v>
      </c>
      <c r="R323" s="397">
        <f>VLOOKUP($C323,'ТР нефть'!$A$29:$GC$641,145,0)</f>
        <v>9.8000000000000007</v>
      </c>
      <c r="S323" s="397">
        <f>VLOOKUP($C323,'ТР нефть'!$A$29:$GC$641,146,0)</f>
        <v>728.91746411483257</v>
      </c>
      <c r="T323" s="397">
        <f>VLOOKUP($C323,'ТР нефть'!$A$29:$GC$641,149,0)</f>
        <v>36</v>
      </c>
      <c r="U323" s="403">
        <f>VLOOKUP($C323,'ТР нефть'!$A$29:$GC$641,150,0)</f>
        <v>7.1910112359550568E-2</v>
      </c>
      <c r="V323" s="402" t="str">
        <f>VLOOKUP($C323,'ТР нефть'!$A$29:$GC$641,47,0)</f>
        <v>Газлифт</v>
      </c>
      <c r="W323" s="396">
        <f>VLOOKUP($C323,'ТР нефть'!$A$29:$GC$641,74,0)</f>
        <v>65</v>
      </c>
      <c r="X323" s="397">
        <f>VLOOKUP($C323,'ТР нефть'!$A$29:$GC$641,79,0)</f>
        <v>16</v>
      </c>
      <c r="Y323" s="397">
        <f>VLOOKUP($C323,'ТР нефть'!$A$29:$GC$641,80,0)</f>
        <v>28</v>
      </c>
      <c r="Z323" s="397">
        <f>VLOOKUP($C323,'ТР нефть'!$A$29:$GC$641,81,0)</f>
        <v>15</v>
      </c>
      <c r="AA323" s="397" t="str">
        <f>VLOOKUP($C323,'ТР нефть'!$A$29:$GC$641,76,0)</f>
        <v>Постоянный</v>
      </c>
      <c r="AB323" s="397">
        <f>VLOOKUP($C323,'ТР нефть'!$A$29:$GC$641,77,0)</f>
        <v>24</v>
      </c>
      <c r="AC323" s="397">
        <f>VLOOKUP($C323,'ТР нефть'!$A$29:$GC$641,78,0)</f>
        <v>0</v>
      </c>
      <c r="AD323" s="398">
        <f>VLOOKUP($C323,'ТР нефть'!$A$29:$GC$641,93,0)</f>
        <v>9.0288000000000004</v>
      </c>
      <c r="AE323" s="399">
        <f>VLOOKUP($C323,'ТР нефть'!$A$29:$GC$641,94,0)</f>
        <v>10.8</v>
      </c>
      <c r="AF323" s="400">
        <f>VLOOKUP($C323,'ТР нефть'!$A$29:$GC$641,95,0)</f>
        <v>0</v>
      </c>
      <c r="AG323" s="397">
        <f>VLOOKUP($C323,'ТР нефть'!$A$29:$GC$641,99,0)</f>
        <v>13.3</v>
      </c>
      <c r="AH323" s="397">
        <f>VLOOKUP($C323,'ТР нефть'!$A$29:$GC$641,100,0)</f>
        <v>1473.063973063973</v>
      </c>
      <c r="AI323" s="397">
        <f>VLOOKUP($C323,'ТР нефть'!$A$29:$GC$641,92,0)</f>
        <v>33</v>
      </c>
      <c r="AJ323" s="403">
        <f>VLOOKUP($C323,'ТР нефть'!$A$29:$GC$641,102,0)</f>
        <v>0.11739130434782609</v>
      </c>
      <c r="AK323" s="404">
        <f t="shared" si="26"/>
        <v>0</v>
      </c>
      <c r="AL323" s="397">
        <f t="shared" si="26"/>
        <v>-1</v>
      </c>
      <c r="AM323" s="397">
        <f t="shared" si="26"/>
        <v>-1</v>
      </c>
      <c r="AN323" s="397">
        <f t="shared" si="26"/>
        <v>-1</v>
      </c>
      <c r="AO323" s="397">
        <f t="shared" si="27"/>
        <v>0</v>
      </c>
      <c r="AP323" s="397">
        <f t="shared" si="27"/>
        <v>0</v>
      </c>
      <c r="AQ323" s="398">
        <f t="shared" si="27"/>
        <v>3.6783999999999999</v>
      </c>
      <c r="AR323" s="399">
        <f t="shared" si="27"/>
        <v>4.4000000000000004</v>
      </c>
      <c r="AS323" s="400">
        <f t="shared" si="27"/>
        <v>0</v>
      </c>
      <c r="AT323" s="397">
        <f t="shared" si="27"/>
        <v>3.5</v>
      </c>
      <c r="AU323" s="397">
        <f t="shared" si="27"/>
        <v>744.14650894914041</v>
      </c>
      <c r="AV323" s="397">
        <f t="shared" si="27"/>
        <v>-3</v>
      </c>
      <c r="AW323" s="406">
        <f t="shared" si="27"/>
        <v>4.5481191988275521E-2</v>
      </c>
      <c r="AX323" s="392" t="str">
        <f>VLOOKUP($C323,'ТР нефть'!$A$29:$GC$641,182,0)</f>
        <v>Технология</v>
      </c>
      <c r="AY323" s="406" t="s">
        <v>2229</v>
      </c>
      <c r="AZ323" s="407">
        <f t="shared" si="28"/>
        <v>9.0288000000000004</v>
      </c>
      <c r="BA323" s="408">
        <f t="shared" si="28"/>
        <v>10.8</v>
      </c>
      <c r="BB323" s="397">
        <f t="shared" si="28"/>
        <v>0</v>
      </c>
      <c r="BC323" s="698"/>
      <c r="BD323" s="699"/>
    </row>
    <row r="324" spans="1:56" ht="40.5" customHeight="1" x14ac:dyDescent="0.25">
      <c r="A324" s="373"/>
      <c r="B324" s="392">
        <f t="shared" si="29"/>
        <v>6</v>
      </c>
      <c r="C324" s="490" t="s">
        <v>483</v>
      </c>
      <c r="D324" s="394" t="str">
        <f>VLOOKUP($C324,'ТР нефть'!$A$29:$GC$641,5,0)</f>
        <v>ВУ ОНГКМ</v>
      </c>
      <c r="E324" s="394" t="str">
        <f>VLOOKUP($C324,'ТР нефть'!$A$29:$GC$641,8,0)</f>
        <v>ТЛ-1</v>
      </c>
      <c r="F324" s="462" t="str">
        <f>VLOOKUP($C324,'ТР нефть'!$A$29:$GC$641,11,0)</f>
        <v>Куст скважины-95</v>
      </c>
      <c r="G324" s="392" t="str">
        <f>VLOOKUP($C324,'ТР нефть'!$A$29:$GC$641,47,0)</f>
        <v>Газлифт</v>
      </c>
      <c r="H324" s="396">
        <f>VLOOKUP($C324,'ТР нефть'!$A$29:$GC$641,135,0)</f>
        <v>18</v>
      </c>
      <c r="I324" s="397">
        <f>VLOOKUP($C324,'ТР нефть'!$A$29:$GC$641,136,0)</f>
        <v>18</v>
      </c>
      <c r="J324" s="397">
        <f>VLOOKUP($C324,'ТР нефть'!$A$29:$GC$641,137,0)</f>
        <v>33</v>
      </c>
      <c r="K324" s="397">
        <f>VLOOKUP($C324,'ТР нефть'!$A$29:$GC$641,138,0)</f>
        <v>17</v>
      </c>
      <c r="L324" s="397" t="str">
        <f>VLOOKUP($C324,'ТР нефть'!$A$29:$GC$641,139,0)</f>
        <v>Периодический</v>
      </c>
      <c r="M324" s="397">
        <f>VLOOKUP($C324,'ТР нефть'!$A$29:$GC$641,140,0)</f>
        <v>24</v>
      </c>
      <c r="N324" s="397">
        <f>VLOOKUP($C324,'ТР нефть'!$A$29:$GC$641,141,0)</f>
        <v>24</v>
      </c>
      <c r="O324" s="398">
        <f>VLOOKUP($C324,'ТР нефть'!$A$29:$GC$641,142,0)</f>
        <v>3.3742631999999997</v>
      </c>
      <c r="P324" s="399">
        <f>VLOOKUP($C324,'ТР нефть'!$A$29:$GC$641,143,0)</f>
        <v>4.2</v>
      </c>
      <c r="Q324" s="400">
        <f>VLOOKUP($C324,'ТР нефть'!$A$29:$GC$641,144,0)</f>
        <v>3.9</v>
      </c>
      <c r="R324" s="397">
        <f>VLOOKUP($C324,'ТР нефть'!$A$29:$GC$641,145,0)</f>
        <v>12</v>
      </c>
      <c r="S324" s="397">
        <f>VLOOKUP($C324,'ТР нефть'!$A$29:$GC$641,146,0)</f>
        <v>2133.7991654000198</v>
      </c>
      <c r="T324" s="397">
        <f>VLOOKUP($C324,'ТР нефть'!$A$29:$GC$641,149,0)</f>
        <v>38</v>
      </c>
      <c r="U324" s="403">
        <f>VLOOKUP($C324,'ТР нефть'!$A$29:$GC$641,150,0)</f>
        <v>0.15555555555555556</v>
      </c>
      <c r="V324" s="402" t="str">
        <f>VLOOKUP($C324,'ТР нефть'!$A$29:$GC$641,47,0)</f>
        <v>Газлифт</v>
      </c>
      <c r="W324" s="396">
        <f>VLOOKUP($C324,'ТР нефть'!$A$29:$GC$641,74,0)</f>
        <v>18</v>
      </c>
      <c r="X324" s="397">
        <f>VLOOKUP($C324,'ТР нефть'!$A$29:$GC$641,79,0)</f>
        <v>16</v>
      </c>
      <c r="Y324" s="397">
        <f>VLOOKUP($C324,'ТР нефть'!$A$29:$GC$641,80,0)</f>
        <v>31</v>
      </c>
      <c r="Z324" s="397">
        <f>VLOOKUP($C324,'ТР нефть'!$A$29:$GC$641,81,0)</f>
        <v>15</v>
      </c>
      <c r="AA324" s="397" t="str">
        <f>VLOOKUP($C324,'ТР нефть'!$A$29:$GC$641,76,0)</f>
        <v>Периодический</v>
      </c>
      <c r="AB324" s="397">
        <f>VLOOKUP($C324,'ТР нефть'!$A$29:$GC$641,77,0)</f>
        <v>24</v>
      </c>
      <c r="AC324" s="397">
        <f>VLOOKUP($C324,'ТР нефть'!$A$29:$GC$641,78,0)</f>
        <v>24</v>
      </c>
      <c r="AD324" s="398">
        <f>VLOOKUP($C324,'ТР нефть'!$A$29:$GC$641,93,0)</f>
        <v>4.6237905999999995</v>
      </c>
      <c r="AE324" s="399">
        <f>VLOOKUP($C324,'ТР нефть'!$A$29:$GC$641,94,0)</f>
        <v>6.35</v>
      </c>
      <c r="AF324" s="400">
        <f>VLOOKUP($C324,'ТР нефть'!$A$29:$GC$641,95,0)</f>
        <v>12.9</v>
      </c>
      <c r="AG324" s="397">
        <f>VLOOKUP($C324,'ТР нефть'!$A$29:$GC$641,99,0)</f>
        <v>5.25</v>
      </c>
      <c r="AH324" s="397">
        <f>VLOOKUP($C324,'ТР нефть'!$A$29:$GC$641,100,0)</f>
        <v>1135.4320414077577</v>
      </c>
      <c r="AI324" s="397">
        <f>VLOOKUP($C324,'ТР нефть'!$A$29:$GC$641,92,0)</f>
        <v>38</v>
      </c>
      <c r="AJ324" s="403">
        <f>VLOOKUP($C324,'ТР нефть'!$A$29:$GC$641,102,0)</f>
        <v>0.23518518518518516</v>
      </c>
      <c r="AK324" s="404">
        <f t="shared" si="26"/>
        <v>0</v>
      </c>
      <c r="AL324" s="397">
        <f t="shared" si="26"/>
        <v>-2</v>
      </c>
      <c r="AM324" s="397">
        <f t="shared" si="26"/>
        <v>-2</v>
      </c>
      <c r="AN324" s="397">
        <f t="shared" si="26"/>
        <v>-2</v>
      </c>
      <c r="AO324" s="397">
        <f t="shared" si="27"/>
        <v>0</v>
      </c>
      <c r="AP324" s="397">
        <f t="shared" si="27"/>
        <v>0</v>
      </c>
      <c r="AQ324" s="398">
        <f t="shared" si="27"/>
        <v>1.2495273999999998</v>
      </c>
      <c r="AR324" s="399">
        <f t="shared" si="27"/>
        <v>2.1499999999999995</v>
      </c>
      <c r="AS324" s="400">
        <f t="shared" si="27"/>
        <v>9</v>
      </c>
      <c r="AT324" s="397">
        <f t="shared" si="27"/>
        <v>-6.75</v>
      </c>
      <c r="AU324" s="397">
        <f t="shared" si="27"/>
        <v>-998.36712399226212</v>
      </c>
      <c r="AV324" s="397">
        <f t="shared" si="27"/>
        <v>0</v>
      </c>
      <c r="AW324" s="406">
        <f t="shared" si="27"/>
        <v>7.9629629629629606E-2</v>
      </c>
      <c r="AX324" s="392" t="str">
        <f>VLOOKUP($C324,'ТР нефть'!$A$29:$GC$641,182,0)</f>
        <v>Технология</v>
      </c>
      <c r="AY324" s="406" t="str">
        <f>VLOOKUP($C324,'ТР нефть'!$A$29:$GC$641,183,0)</f>
        <v>Увеличение дебита на фоне снижения Рлин, увеличеня расхода г/г</v>
      </c>
      <c r="AZ324" s="407">
        <f t="shared" si="28"/>
        <v>4.6237905999999995</v>
      </c>
      <c r="BA324" s="408">
        <f t="shared" si="28"/>
        <v>6.35</v>
      </c>
      <c r="BB324" s="397">
        <f t="shared" si="28"/>
        <v>12.9</v>
      </c>
      <c r="BC324" s="698"/>
      <c r="BD324" s="699"/>
    </row>
    <row r="325" spans="1:56" ht="40.5" customHeight="1" x14ac:dyDescent="0.25">
      <c r="A325" s="373"/>
      <c r="B325" s="392">
        <f t="shared" si="29"/>
        <v>7</v>
      </c>
      <c r="C325" s="490" t="s">
        <v>494</v>
      </c>
      <c r="D325" s="394" t="str">
        <f>VLOOKUP($C325,'ТР нефть'!$A$29:$GC$641,5,0)</f>
        <v>ВУ ОНГКМ</v>
      </c>
      <c r="E325" s="394" t="str">
        <f>VLOOKUP($C325,'ТР нефть'!$A$29:$GC$641,8,0)</f>
        <v>ТЛ-1</v>
      </c>
      <c r="F325" s="462" t="str">
        <f>VLOOKUP($C325,'ТР нефть'!$A$29:$GC$641,11,0)</f>
        <v>Куст скважины-105</v>
      </c>
      <c r="G325" s="392" t="str">
        <f>VLOOKUP($C325,'ТР нефть'!$A$29:$GC$641,47,0)</f>
        <v>Газлифт</v>
      </c>
      <c r="H325" s="396">
        <f>VLOOKUP($C325,'ТР нефть'!$A$29:$GC$641,135,0)</f>
        <v>65</v>
      </c>
      <c r="I325" s="397">
        <f>VLOOKUP($C325,'ТР нефть'!$A$29:$GC$641,136,0)</f>
        <v>16</v>
      </c>
      <c r="J325" s="397">
        <f>VLOOKUP($C325,'ТР нефть'!$A$29:$GC$641,137,0)</f>
        <v>35</v>
      </c>
      <c r="K325" s="397">
        <f>VLOOKUP($C325,'ТР нефть'!$A$29:$GC$641,138,0)</f>
        <v>15</v>
      </c>
      <c r="L325" s="397" t="str">
        <f>VLOOKUP($C325,'ТР нефть'!$A$29:$GC$641,139,0)</f>
        <v>Постоянный</v>
      </c>
      <c r="M325" s="397">
        <f>VLOOKUP($C325,'ТР нефть'!$A$29:$GC$641,140,0)</f>
        <v>24</v>
      </c>
      <c r="N325" s="397">
        <f>VLOOKUP($C325,'ТР нефть'!$A$29:$GC$641,141,0)</f>
        <v>0</v>
      </c>
      <c r="O325" s="398">
        <f>VLOOKUP($C325,'ТР нефть'!$A$29:$GC$641,142,0)</f>
        <v>2.5057428000000002</v>
      </c>
      <c r="P325" s="399">
        <f>VLOOKUP($C325,'ТР нефть'!$A$29:$GC$641,143,0)</f>
        <v>3</v>
      </c>
      <c r="Q325" s="400">
        <f>VLOOKUP($C325,'ТР нефть'!$A$29:$GC$641,144,0)</f>
        <v>0.09</v>
      </c>
      <c r="R325" s="397">
        <f>VLOOKUP($C325,'ТР нефть'!$A$29:$GC$641,145,0)</f>
        <v>14</v>
      </c>
      <c r="S325" s="397">
        <f>VLOOKUP($C325,'ТР нефть'!$A$29:$GC$641,146,0)</f>
        <v>1755.9663346134328</v>
      </c>
      <c r="T325" s="397">
        <f>VLOOKUP($C325,'ТР нефть'!$A$29:$GC$641,149,0)</f>
        <v>29</v>
      </c>
      <c r="U325" s="403">
        <f>VLOOKUP($C325,'ТР нефть'!$A$29:$GC$641,150,0)</f>
        <v>0.11538461538461539</v>
      </c>
      <c r="V325" s="402" t="str">
        <f>VLOOKUP($C325,'ТР нефть'!$A$29:$GC$641,47,0)</f>
        <v>Газлифт</v>
      </c>
      <c r="W325" s="396">
        <f>VLOOKUP($C325,'ТР нефть'!$A$29:$GC$641,74,0)</f>
        <v>65</v>
      </c>
      <c r="X325" s="397">
        <f>VLOOKUP($C325,'ТР нефть'!$A$29:$GC$641,79,0)</f>
        <v>16</v>
      </c>
      <c r="Y325" s="397">
        <f>VLOOKUP($C325,'ТР нефть'!$A$29:$GC$641,80,0)</f>
        <v>38</v>
      </c>
      <c r="Z325" s="397">
        <f>VLOOKUP($C325,'ТР нефть'!$A$29:$GC$641,81,0)</f>
        <v>15</v>
      </c>
      <c r="AA325" s="397" t="str">
        <f>VLOOKUP($C325,'ТР нефть'!$A$29:$GC$641,76,0)</f>
        <v>Постоянный</v>
      </c>
      <c r="AB325" s="397">
        <f>VLOOKUP($C325,'ТР нефть'!$A$29:$GC$641,77,0)</f>
        <v>24</v>
      </c>
      <c r="AC325" s="397">
        <f>VLOOKUP($C325,'ТР нефть'!$A$29:$GC$641,78,0)</f>
        <v>0</v>
      </c>
      <c r="AD325" s="398">
        <f>VLOOKUP($C325,'ТР нефть'!$A$29:$GC$641,93,0)</f>
        <v>4.8003119999999999</v>
      </c>
      <c r="AE325" s="399">
        <f>VLOOKUP($C325,'ТР нефть'!$A$29:$GC$641,94,0)</f>
        <v>5.8</v>
      </c>
      <c r="AF325" s="400">
        <f>VLOOKUP($C325,'ТР нефть'!$A$29:$GC$641,95,0)</f>
        <v>1</v>
      </c>
      <c r="AG325" s="397">
        <f>VLOOKUP($C325,'ТР нефть'!$A$29:$GC$641,99,0)</f>
        <v>10.8</v>
      </c>
      <c r="AH325" s="397">
        <f>VLOOKUP($C325,'ТР нефть'!$A$29:$GC$641,100,0)</f>
        <v>2249.8537595056323</v>
      </c>
      <c r="AI325" s="397">
        <f>VLOOKUP($C325,'ТР нефть'!$A$29:$GC$641,92,0)</f>
        <v>26</v>
      </c>
      <c r="AJ325" s="403">
        <f>VLOOKUP($C325,'ТР нефть'!$A$29:$GC$641,102,0)</f>
        <v>0.19999999999999998</v>
      </c>
      <c r="AK325" s="404">
        <f t="shared" si="26"/>
        <v>0</v>
      </c>
      <c r="AL325" s="397">
        <f t="shared" si="26"/>
        <v>0</v>
      </c>
      <c r="AM325" s="397">
        <f t="shared" si="26"/>
        <v>3</v>
      </c>
      <c r="AN325" s="397">
        <f t="shared" si="26"/>
        <v>0</v>
      </c>
      <c r="AO325" s="397">
        <f t="shared" si="27"/>
        <v>0</v>
      </c>
      <c r="AP325" s="397">
        <f t="shared" si="27"/>
        <v>0</v>
      </c>
      <c r="AQ325" s="398">
        <f t="shared" si="27"/>
        <v>2.2945691999999998</v>
      </c>
      <c r="AR325" s="399">
        <f t="shared" si="27"/>
        <v>2.8</v>
      </c>
      <c r="AS325" s="400">
        <f t="shared" si="27"/>
        <v>0.91</v>
      </c>
      <c r="AT325" s="397">
        <f t="shared" si="27"/>
        <v>-3.1999999999999993</v>
      </c>
      <c r="AU325" s="397">
        <f t="shared" si="27"/>
        <v>493.88742489219953</v>
      </c>
      <c r="AV325" s="397">
        <f t="shared" si="27"/>
        <v>-3</v>
      </c>
      <c r="AW325" s="406">
        <f t="shared" si="27"/>
        <v>8.4615384615384592E-2</v>
      </c>
      <c r="AX325" s="392" t="str">
        <f>VLOOKUP($C325,'ТР нефть'!$A$29:$GC$641,182,0)</f>
        <v>Технология</v>
      </c>
      <c r="AY325" s="406" t="str">
        <f>VLOOKUP($C325,'ТР нефть'!$A$29:$GC$641,183,0)</f>
        <v>Увеличение дебита на фоне снижения расхода г/г</v>
      </c>
      <c r="AZ325" s="407">
        <f t="shared" si="28"/>
        <v>4.8003119999999999</v>
      </c>
      <c r="BA325" s="408">
        <f t="shared" si="28"/>
        <v>5.8</v>
      </c>
      <c r="BB325" s="397">
        <f t="shared" si="28"/>
        <v>1</v>
      </c>
      <c r="BC325" s="698"/>
      <c r="BD325" s="699"/>
    </row>
    <row r="326" spans="1:56" ht="40.5" customHeight="1" x14ac:dyDescent="0.25">
      <c r="A326" s="373"/>
      <c r="B326" s="392">
        <f t="shared" si="29"/>
        <v>8</v>
      </c>
      <c r="C326" s="490">
        <v>669</v>
      </c>
      <c r="D326" s="394" t="str">
        <f>VLOOKUP($C326,'ТР нефть'!$A$29:$GC$641,5,0)</f>
        <v>ВУ ОНГКМ</v>
      </c>
      <c r="E326" s="394" t="str">
        <f>VLOOKUP($C326,'ТР нефть'!$A$29:$GC$641,8,0)</f>
        <v>ТЛ-1</v>
      </c>
      <c r="F326" s="462" t="str">
        <f>VLOOKUP($C326,'ТР нефть'!$A$29:$GC$641,11,0)</f>
        <v>Без куста</v>
      </c>
      <c r="G326" s="392" t="str">
        <f>VLOOKUP($C326,'ТР нефть'!$A$29:$GC$641,47,0)</f>
        <v>Газлифт</v>
      </c>
      <c r="H326" s="396">
        <f>VLOOKUP($C326,'ТР нефть'!$A$29:$GC$641,135,0)</f>
        <v>65</v>
      </c>
      <c r="I326" s="397">
        <f>VLOOKUP($C326,'ТР нефть'!$A$29:$GC$641,136,0)</f>
        <v>22</v>
      </c>
      <c r="J326" s="397">
        <f>VLOOKUP($C326,'ТР нефть'!$A$29:$GC$641,137,0)</f>
        <v>39</v>
      </c>
      <c r="K326" s="397">
        <f>VLOOKUP($C326,'ТР нефть'!$A$29:$GC$641,138,0)</f>
        <v>21</v>
      </c>
      <c r="L326" s="397" t="str">
        <f>VLOOKUP($C326,'ТР нефть'!$A$29:$GC$641,139,0)</f>
        <v>Постоянный</v>
      </c>
      <c r="M326" s="397">
        <f>VLOOKUP($C326,'ТР нефть'!$A$29:$GC$641,140,0)</f>
        <v>24</v>
      </c>
      <c r="N326" s="397">
        <f>VLOOKUP($C326,'ТР нефть'!$A$29:$GC$641,141,0)</f>
        <v>0</v>
      </c>
      <c r="O326" s="398">
        <f>VLOOKUP($C326,'ТР нефть'!$A$29:$GC$641,142,0)</f>
        <v>19.975718400000002</v>
      </c>
      <c r="P326" s="399">
        <f>VLOOKUP($C326,'ТР нефть'!$A$29:$GC$641,143,0)</f>
        <v>26.2</v>
      </c>
      <c r="Q326" s="400">
        <f>VLOOKUP($C326,'ТР нефть'!$A$29:$GC$641,144,0)</f>
        <v>8.8000000000000007</v>
      </c>
      <c r="R326" s="397">
        <f>VLOOKUP($C326,'ТР нефть'!$A$29:$GC$641,145,0)</f>
        <v>29.3</v>
      </c>
      <c r="S326" s="397">
        <f>VLOOKUP($C326,'ТР нефть'!$A$29:$GC$641,146,0)</f>
        <v>866.05145575139863</v>
      </c>
      <c r="T326" s="397">
        <f>VLOOKUP($C326,'ТР нефть'!$A$29:$GC$641,149,0)</f>
        <v>50</v>
      </c>
      <c r="U326" s="403">
        <f>VLOOKUP($C326,'ТР нефть'!$A$29:$GC$641,150,0)</f>
        <v>0.74857142857142855</v>
      </c>
      <c r="V326" s="402" t="str">
        <f>VLOOKUP($C326,'ТР нефть'!$A$29:$GC$641,47,0)</f>
        <v>Газлифт</v>
      </c>
      <c r="W326" s="396">
        <f>VLOOKUP($C326,'ТР нефть'!$A$29:$GC$641,74,0)</f>
        <v>65</v>
      </c>
      <c r="X326" s="397">
        <f>VLOOKUP($C326,'ТР нефть'!$A$29:$GC$641,79,0)</f>
        <v>20</v>
      </c>
      <c r="Y326" s="397">
        <f>VLOOKUP($C326,'ТР нефть'!$A$29:$GC$641,80,0)</f>
        <v>40</v>
      </c>
      <c r="Z326" s="397">
        <f>VLOOKUP($C326,'ТР нефть'!$A$29:$GC$641,81,0)</f>
        <v>19</v>
      </c>
      <c r="AA326" s="397" t="str">
        <f>VLOOKUP($C326,'ТР нефть'!$A$29:$GC$641,76,0)</f>
        <v>Постоянный</v>
      </c>
      <c r="AB326" s="397">
        <f>VLOOKUP($C326,'ТР нефть'!$A$29:$GC$641,77,0)</f>
        <v>24</v>
      </c>
      <c r="AC326" s="397">
        <f>VLOOKUP($C326,'ТР нефть'!$A$29:$GC$641,78,0)</f>
        <v>0</v>
      </c>
      <c r="AD326" s="398">
        <f>VLOOKUP($C326,'ТР нефть'!$A$29:$GC$641,93,0)</f>
        <v>23.826000000000001</v>
      </c>
      <c r="AE326" s="399">
        <f>VLOOKUP($C326,'ТР нефть'!$A$29:$GC$641,94,0)</f>
        <v>28.5</v>
      </c>
      <c r="AF326" s="400">
        <f>VLOOKUP($C326,'ТР нефть'!$A$29:$GC$641,95,0)</f>
        <v>0</v>
      </c>
      <c r="AG326" s="397">
        <f>VLOOKUP($C326,'ТР нефть'!$A$29:$GC$641,99,0)</f>
        <v>10</v>
      </c>
      <c r="AH326" s="397">
        <f>VLOOKUP($C326,'ТР нефть'!$A$29:$GC$641,100,0)</f>
        <v>419.70956098379918</v>
      </c>
      <c r="AI326" s="397">
        <f>VLOOKUP($C326,'ТР нефть'!$A$29:$GC$641,92,0)</f>
        <v>50</v>
      </c>
      <c r="AJ326" s="403">
        <f>VLOOKUP($C326,'ТР нефть'!$A$29:$GC$641,102,0)</f>
        <v>0.81428571428571428</v>
      </c>
      <c r="AK326" s="404">
        <f t="shared" si="26"/>
        <v>0</v>
      </c>
      <c r="AL326" s="397">
        <f t="shared" si="26"/>
        <v>-2</v>
      </c>
      <c r="AM326" s="397">
        <f t="shared" si="26"/>
        <v>1</v>
      </c>
      <c r="AN326" s="397">
        <f t="shared" si="26"/>
        <v>-2</v>
      </c>
      <c r="AO326" s="397">
        <f t="shared" si="27"/>
        <v>0</v>
      </c>
      <c r="AP326" s="397">
        <f t="shared" si="27"/>
        <v>0</v>
      </c>
      <c r="AQ326" s="398">
        <f t="shared" si="27"/>
        <v>3.8502815999999989</v>
      </c>
      <c r="AR326" s="399">
        <f t="shared" si="27"/>
        <v>2.3000000000000007</v>
      </c>
      <c r="AS326" s="400">
        <f t="shared" si="27"/>
        <v>-8.8000000000000007</v>
      </c>
      <c r="AT326" s="397">
        <f t="shared" si="27"/>
        <v>-19.3</v>
      </c>
      <c r="AU326" s="397">
        <f t="shared" si="27"/>
        <v>-446.34189476759946</v>
      </c>
      <c r="AV326" s="397">
        <f t="shared" si="27"/>
        <v>0</v>
      </c>
      <c r="AW326" s="406">
        <f t="shared" si="27"/>
        <v>6.5714285714285725E-2</v>
      </c>
      <c r="AX326" s="392" t="str">
        <f>VLOOKUP($C326,'ТР нефть'!$A$29:$GC$641,182,0)</f>
        <v>Технология</v>
      </c>
      <c r="AY326" s="406" t="str">
        <f>VLOOKUP($C326,'ТР нефть'!$A$29:$GC$641,183,0)</f>
        <v>Увеличение дебита на фоне снижения Рлин. Изменение средств измерения</v>
      </c>
      <c r="AZ326" s="407">
        <f t="shared" si="28"/>
        <v>23.826000000000001</v>
      </c>
      <c r="BA326" s="408">
        <f t="shared" si="28"/>
        <v>28.5</v>
      </c>
      <c r="BB326" s="397">
        <f t="shared" si="28"/>
        <v>0</v>
      </c>
      <c r="BC326" s="698"/>
      <c r="BD326" s="699"/>
    </row>
    <row r="327" spans="1:56" ht="40.5" customHeight="1" x14ac:dyDescent="0.25">
      <c r="A327" s="373"/>
      <c r="B327" s="392">
        <f t="shared" si="29"/>
        <v>9</v>
      </c>
      <c r="C327" s="490" t="s">
        <v>591</v>
      </c>
      <c r="D327" s="394" t="str">
        <f>VLOOKUP($C327,'ТР нефть'!$A$29:$GC$641,5,0)</f>
        <v>ВУ ОНГКМ</v>
      </c>
      <c r="E327" s="394" t="str">
        <f>VLOOKUP($C327,'ТР нефть'!$A$29:$GC$641,8,0)</f>
        <v>ТЛ-3</v>
      </c>
      <c r="F327" s="462" t="str">
        <f>VLOOKUP($C327,'ТР нефть'!$A$29:$GC$641,11,0)</f>
        <v>Куст скважины-1015-1</v>
      </c>
      <c r="G327" s="392" t="str">
        <f>VLOOKUP($C327,'ТР нефть'!$A$29:$GC$641,47,0)</f>
        <v>Газлифт</v>
      </c>
      <c r="H327" s="396">
        <f>VLOOKUP($C327,'ТР нефть'!$A$29:$GC$641,135,0)</f>
        <v>65</v>
      </c>
      <c r="I327" s="397">
        <f>VLOOKUP($C327,'ТР нефть'!$A$29:$GC$641,136,0)</f>
        <v>19</v>
      </c>
      <c r="J327" s="397">
        <f>VLOOKUP($C327,'ТР нефть'!$A$29:$GC$641,137,0)</f>
        <v>55</v>
      </c>
      <c r="K327" s="397">
        <f>VLOOKUP($C327,'ТР нефть'!$A$29:$GC$641,138,0)</f>
        <v>18</v>
      </c>
      <c r="L327" s="397" t="str">
        <f>VLOOKUP($C327,'ТР нефть'!$A$29:$GC$641,139,0)</f>
        <v>Периодический</v>
      </c>
      <c r="M327" s="397">
        <f>VLOOKUP($C327,'ТР нефть'!$A$29:$GC$641,140,0)</f>
        <v>24</v>
      </c>
      <c r="N327" s="397">
        <f>VLOOKUP($C327,'ТР нефть'!$A$29:$GC$641,141,0)</f>
        <v>24</v>
      </c>
      <c r="O327" s="398">
        <f>VLOOKUP($C327,'ТР нефть'!$A$29:$GC$641,142,0)</f>
        <v>2.3825999999999996</v>
      </c>
      <c r="P327" s="399">
        <f>VLOOKUP($C327,'ТР нефть'!$A$29:$GC$641,143,0)</f>
        <v>3</v>
      </c>
      <c r="Q327" s="400">
        <f>VLOOKUP($C327,'ТР нефть'!$A$29:$GC$641,144,0)</f>
        <v>5</v>
      </c>
      <c r="R327" s="397">
        <f>VLOOKUP($C327,'ТР нефть'!$A$29:$GC$641,145,0)</f>
        <v>9</v>
      </c>
      <c r="S327" s="397">
        <f>VLOOKUP($C327,'ТР нефть'!$A$29:$GC$641,146,0)</f>
        <v>2518.2573659027958</v>
      </c>
      <c r="T327" s="397">
        <f>VLOOKUP($C327,'ТР нефть'!$A$29:$GC$641,149,0)</f>
        <v>49</v>
      </c>
      <c r="U327" s="403">
        <f>VLOOKUP($C327,'ТР нефть'!$A$29:$GC$641,150,0)</f>
        <v>8.8235294117647065E-2</v>
      </c>
      <c r="V327" s="402" t="str">
        <f>VLOOKUP($C327,'ТР нефть'!$A$29:$GC$641,47,0)</f>
        <v>Газлифт</v>
      </c>
      <c r="W327" s="396">
        <f>VLOOKUP($C327,'ТР нефть'!$A$29:$GC$641,74,0)</f>
        <v>65</v>
      </c>
      <c r="X327" s="397">
        <f>VLOOKUP($C327,'ТР нефть'!$A$29:$GC$641,79,0)</f>
        <v>26</v>
      </c>
      <c r="Y327" s="397">
        <f>VLOOKUP($C327,'ТР нефть'!$A$29:$GC$641,80,0)</f>
        <v>36</v>
      </c>
      <c r="Z327" s="397">
        <f>VLOOKUP($C327,'ТР нефть'!$A$29:$GC$641,81,0)</f>
        <v>25</v>
      </c>
      <c r="AA327" s="397" t="str">
        <f>VLOOKUP($C327,'ТР нефть'!$A$29:$GC$641,76,0)</f>
        <v>Постоянный</v>
      </c>
      <c r="AB327" s="397">
        <f>VLOOKUP($C327,'ТР нефть'!$A$29:$GC$641,77,0)</f>
        <v>24</v>
      </c>
      <c r="AC327" s="397">
        <f>VLOOKUP($C327,'ТР нефть'!$A$29:$GC$641,78,0)</f>
        <v>0</v>
      </c>
      <c r="AD327" s="398">
        <f>VLOOKUP($C327,'ТР нефть'!$A$29:$GC$641,93,0)</f>
        <v>6.6879999999999997</v>
      </c>
      <c r="AE327" s="399">
        <f>VLOOKUP($C327,'ТР нефть'!$A$29:$GC$641,94,0)</f>
        <v>8</v>
      </c>
      <c r="AF327" s="400">
        <f>VLOOKUP($C327,'ТР нефть'!$A$29:$GC$641,95,0)</f>
        <v>0</v>
      </c>
      <c r="AG327" s="397">
        <f>VLOOKUP($C327,'ТР нефть'!$A$29:$GC$641,99,0)</f>
        <v>16</v>
      </c>
      <c r="AH327" s="397">
        <f>VLOOKUP($C327,'ТР нефть'!$A$29:$GC$641,100,0)</f>
        <v>2392.3444976076557</v>
      </c>
      <c r="AI327" s="397">
        <f>VLOOKUP($C327,'ТР нефть'!$A$29:$GC$641,92,0)</f>
        <v>49</v>
      </c>
      <c r="AJ327" s="403">
        <f>VLOOKUP($C327,'ТР нефть'!$A$29:$GC$641,102,0)</f>
        <v>0.23529411764705882</v>
      </c>
      <c r="AK327" s="404">
        <f t="shared" si="26"/>
        <v>0</v>
      </c>
      <c r="AL327" s="397">
        <f t="shared" si="26"/>
        <v>7</v>
      </c>
      <c r="AM327" s="397">
        <f t="shared" si="26"/>
        <v>-19</v>
      </c>
      <c r="AN327" s="397">
        <f t="shared" si="26"/>
        <v>7</v>
      </c>
      <c r="AO327" s="397">
        <f t="shared" si="27"/>
        <v>0</v>
      </c>
      <c r="AP327" s="397">
        <f t="shared" si="27"/>
        <v>-24</v>
      </c>
      <c r="AQ327" s="398">
        <f t="shared" si="27"/>
        <v>4.3054000000000006</v>
      </c>
      <c r="AR327" s="399">
        <f t="shared" si="27"/>
        <v>5</v>
      </c>
      <c r="AS327" s="400">
        <f t="shared" si="27"/>
        <v>-5</v>
      </c>
      <c r="AT327" s="397">
        <f t="shared" si="27"/>
        <v>7</v>
      </c>
      <c r="AU327" s="397">
        <f t="shared" si="27"/>
        <v>-125.91286829514002</v>
      </c>
      <c r="AV327" s="397">
        <f t="shared" si="27"/>
        <v>0</v>
      </c>
      <c r="AW327" s="406">
        <f t="shared" si="27"/>
        <v>0.14705882352941174</v>
      </c>
      <c r="AX327" s="392" t="str">
        <f>VLOOKUP($C327,'ТР нефть'!$A$29:$GC$641,182,0)</f>
        <v>Технология</v>
      </c>
      <c r="AY327" s="406" t="str">
        <f>VLOOKUP($C327,'ТР нефть'!$A$29:$GC$641,183,0)</f>
        <v>Перевод с периодического режима на постоянный</v>
      </c>
      <c r="AZ327" s="407">
        <f t="shared" si="28"/>
        <v>6.6879999999999997</v>
      </c>
      <c r="BA327" s="408">
        <f t="shared" si="28"/>
        <v>8</v>
      </c>
      <c r="BB327" s="397">
        <f t="shared" si="28"/>
        <v>0</v>
      </c>
      <c r="BC327" s="698"/>
      <c r="BD327" s="699"/>
    </row>
    <row r="328" spans="1:56" ht="40.5" customHeight="1" x14ac:dyDescent="0.25">
      <c r="A328" s="373"/>
      <c r="B328" s="392">
        <f t="shared" si="29"/>
        <v>10</v>
      </c>
      <c r="C328" s="490" t="s">
        <v>618</v>
      </c>
      <c r="D328" s="394" t="str">
        <f>VLOOKUP($C328,'ТР нефть'!$A$29:$GC$641,5,0)</f>
        <v>ВУ ОНГКМ</v>
      </c>
      <c r="E328" s="394" t="str">
        <f>VLOOKUP($C328,'ТР нефть'!$A$29:$GC$641,8,0)</f>
        <v>ТЛ-3</v>
      </c>
      <c r="F328" s="462" t="str">
        <f>VLOOKUP($C328,'ТР нефть'!$A$29:$GC$641,11,0)</f>
        <v>Куст скважины-1019</v>
      </c>
      <c r="G328" s="392" t="str">
        <f>VLOOKUP($C328,'ТР нефть'!$A$29:$GC$641,47,0)</f>
        <v>Газлифт</v>
      </c>
      <c r="H328" s="396">
        <f>VLOOKUP($C328,'ТР нефть'!$A$29:$GC$641,135,0)</f>
        <v>18</v>
      </c>
      <c r="I328" s="397">
        <f>VLOOKUP($C328,'ТР нефть'!$A$29:$GC$641,136,0)</f>
        <v>29</v>
      </c>
      <c r="J328" s="397">
        <f>VLOOKUP($C328,'ТР нефть'!$A$29:$GC$641,137,0)</f>
        <v>54</v>
      </c>
      <c r="K328" s="397">
        <f>VLOOKUP($C328,'ТР нефть'!$A$29:$GC$641,138,0)</f>
        <v>28</v>
      </c>
      <c r="L328" s="397" t="str">
        <f>VLOOKUP($C328,'ТР нефть'!$A$29:$GC$641,139,0)</f>
        <v>Постоянный</v>
      </c>
      <c r="M328" s="397">
        <f>VLOOKUP($C328,'ТР нефть'!$A$29:$GC$641,140,0)</f>
        <v>24</v>
      </c>
      <c r="N328" s="397">
        <f>VLOOKUP($C328,'ТР нефть'!$A$29:$GC$641,141,0)</f>
        <v>0</v>
      </c>
      <c r="O328" s="398">
        <f>VLOOKUP($C328,'ТР нефть'!$A$29:$GC$641,142,0)</f>
        <v>23.065373759999996</v>
      </c>
      <c r="P328" s="399">
        <f>VLOOKUP($C328,'ТР нефть'!$A$29:$GC$641,143,0)</f>
        <v>38.479999999999997</v>
      </c>
      <c r="Q328" s="400">
        <f>VLOOKUP($C328,'ТР нефть'!$A$29:$GC$641,144,0)</f>
        <v>28.3</v>
      </c>
      <c r="R328" s="397">
        <f>VLOOKUP($C328,'ТР нефть'!$A$29:$GC$641,145,0)</f>
        <v>48.137</v>
      </c>
      <c r="S328" s="397">
        <f>VLOOKUP($C328,'ТР нефть'!$A$29:$GC$641,146,0)</f>
        <v>1493.8843115456198</v>
      </c>
      <c r="T328" s="397">
        <f>VLOOKUP($C328,'ТР нефть'!$A$29:$GC$641,149,0)</f>
        <v>67</v>
      </c>
      <c r="U328" s="403">
        <f>VLOOKUP($C328,'ТР нефть'!$A$29:$GC$641,150,0)</f>
        <v>0.71259259259259256</v>
      </c>
      <c r="V328" s="402" t="str">
        <f>VLOOKUP($C328,'ТР нефть'!$A$29:$GC$641,47,0)</f>
        <v>Газлифт</v>
      </c>
      <c r="W328" s="396">
        <f>VLOOKUP($C328,'ТР нефть'!$A$29:$GC$641,74,0)</f>
        <v>18</v>
      </c>
      <c r="X328" s="397">
        <f>VLOOKUP($C328,'ТР нефть'!$A$29:$GC$641,79,0)</f>
        <v>25</v>
      </c>
      <c r="Y328" s="397">
        <f>VLOOKUP($C328,'ТР нефть'!$A$29:$GC$641,80,0)</f>
        <v>46</v>
      </c>
      <c r="Z328" s="397">
        <f>VLOOKUP($C328,'ТР нефть'!$A$29:$GC$641,81,0)</f>
        <v>24</v>
      </c>
      <c r="AA328" s="397" t="str">
        <f>VLOOKUP($C328,'ТР нефть'!$A$29:$GC$641,76,0)</f>
        <v>Постоянный</v>
      </c>
      <c r="AB328" s="397">
        <f>VLOOKUP($C328,'ТР нефть'!$A$29:$GC$641,77,0)</f>
        <v>24</v>
      </c>
      <c r="AC328" s="397">
        <f>VLOOKUP($C328,'ТР нефть'!$A$29:$GC$641,78,0)</f>
        <v>0</v>
      </c>
      <c r="AD328" s="398">
        <f>VLOOKUP($C328,'ТР нефть'!$A$29:$GC$641,93,0)</f>
        <v>28.378019999999999</v>
      </c>
      <c r="AE328" s="399">
        <f>VLOOKUP($C328,'ТР нефть'!$A$29:$GC$641,94,0)</f>
        <v>46.5</v>
      </c>
      <c r="AF328" s="400">
        <f>VLOOKUP($C328,'ТР нефть'!$A$29:$GC$641,95,0)</f>
        <v>27</v>
      </c>
      <c r="AG328" s="397">
        <f>VLOOKUP($C328,'ТР нефть'!$A$29:$GC$641,99,0)</f>
        <v>50.32</v>
      </c>
      <c r="AH328" s="397">
        <f>VLOOKUP($C328,'ТР нефть'!$A$29:$GC$641,100,0)</f>
        <v>1773.2033454060572</v>
      </c>
      <c r="AI328" s="397">
        <f>VLOOKUP($C328,'ТР нефть'!$A$29:$GC$641,92,0)</f>
        <v>59</v>
      </c>
      <c r="AJ328" s="403">
        <f>VLOOKUP($C328,'ТР нефть'!$A$29:$GC$641,102,0)</f>
        <v>0.75</v>
      </c>
      <c r="AK328" s="404">
        <f t="shared" si="26"/>
        <v>0</v>
      </c>
      <c r="AL328" s="397">
        <f t="shared" si="26"/>
        <v>-4</v>
      </c>
      <c r="AM328" s="397">
        <f t="shared" si="26"/>
        <v>-8</v>
      </c>
      <c r="AN328" s="397">
        <f t="shared" si="26"/>
        <v>-4</v>
      </c>
      <c r="AO328" s="397">
        <f t="shared" si="27"/>
        <v>0</v>
      </c>
      <c r="AP328" s="397">
        <f t="shared" si="27"/>
        <v>0</v>
      </c>
      <c r="AQ328" s="398">
        <f t="shared" si="27"/>
        <v>5.312646240000003</v>
      </c>
      <c r="AR328" s="399">
        <f t="shared" si="27"/>
        <v>8.0200000000000031</v>
      </c>
      <c r="AS328" s="400">
        <f t="shared" si="27"/>
        <v>-1.3000000000000007</v>
      </c>
      <c r="AT328" s="397">
        <f t="shared" si="27"/>
        <v>2.1829999999999998</v>
      </c>
      <c r="AU328" s="397">
        <f t="shared" si="27"/>
        <v>279.31903386043746</v>
      </c>
      <c r="AV328" s="397">
        <f t="shared" si="27"/>
        <v>-8</v>
      </c>
      <c r="AW328" s="406">
        <f t="shared" si="27"/>
        <v>3.7407407407407445E-2</v>
      </c>
      <c r="AX328" s="392" t="str">
        <f>VLOOKUP($C328,'ТР нефть'!$A$29:$GC$641,182,0)</f>
        <v>Технология</v>
      </c>
      <c r="AY328" s="406" t="str">
        <f>VLOOKUP($C328,'ТР нефть'!$A$29:$GC$641,183,0)</f>
        <v>Увеличение дебита обусловлено снижение Рлин,режим выведен по замеру от 08.06</v>
      </c>
      <c r="AZ328" s="407">
        <f t="shared" si="28"/>
        <v>28.378019999999999</v>
      </c>
      <c r="BA328" s="408">
        <f t="shared" si="28"/>
        <v>46.5</v>
      </c>
      <c r="BB328" s="397">
        <f t="shared" si="28"/>
        <v>27</v>
      </c>
      <c r="BC328" s="698"/>
      <c r="BD328" s="699"/>
    </row>
    <row r="329" spans="1:56" ht="40.5" customHeight="1" x14ac:dyDescent="0.25">
      <c r="A329" s="373"/>
      <c r="B329" s="392">
        <f t="shared" si="29"/>
        <v>11</v>
      </c>
      <c r="C329" s="490" t="s">
        <v>711</v>
      </c>
      <c r="D329" s="394" t="str">
        <f>VLOOKUP($C329,'ТР нефть'!$A$29:$GC$641,5,0)</f>
        <v>ВУ ОНГКМ</v>
      </c>
      <c r="E329" s="394" t="str">
        <f>VLOOKUP($C329,'ТР нефть'!$A$29:$GC$641,8,0)</f>
        <v>ТЛ-3</v>
      </c>
      <c r="F329" s="462" t="str">
        <f>VLOOKUP($C329,'ТР нефть'!$A$29:$GC$641,11,0)</f>
        <v>Куст скважины-1040</v>
      </c>
      <c r="G329" s="392" t="str">
        <f>VLOOKUP($C329,'ТР нефть'!$A$29:$GC$641,47,0)</f>
        <v>Газлифт</v>
      </c>
      <c r="H329" s="396">
        <f>VLOOKUP($C329,'ТР нефть'!$A$29:$GC$641,135,0)</f>
        <v>18</v>
      </c>
      <c r="I329" s="397">
        <f>VLOOKUP($C329,'ТР нефть'!$A$29:$GC$641,136,0)</f>
        <v>28</v>
      </c>
      <c r="J329" s="397">
        <f>VLOOKUP($C329,'ТР нефть'!$A$29:$GC$641,137,0)</f>
        <v>36</v>
      </c>
      <c r="K329" s="397">
        <f>VLOOKUP($C329,'ТР нефть'!$A$29:$GC$641,138,0)</f>
        <v>27</v>
      </c>
      <c r="L329" s="397" t="str">
        <f>VLOOKUP($C329,'ТР нефть'!$A$29:$GC$641,139,0)</f>
        <v>Периодический</v>
      </c>
      <c r="M329" s="397">
        <f>VLOOKUP($C329,'ТР нефть'!$A$29:$GC$641,140,0)</f>
        <v>24</v>
      </c>
      <c r="N329" s="397">
        <f>VLOOKUP($C329,'ТР нефть'!$A$29:$GC$641,141,0)</f>
        <v>24</v>
      </c>
      <c r="O329" s="398">
        <f>VLOOKUP($C329,'ТР нефть'!$A$29:$GC$641,142,0)</f>
        <v>3.6721467200000002</v>
      </c>
      <c r="P329" s="399">
        <f>VLOOKUP($C329,'ТР нефть'!$A$29:$GC$641,143,0)</f>
        <v>4.4000000000000004</v>
      </c>
      <c r="Q329" s="400">
        <f>VLOOKUP($C329,'ТР нефть'!$A$29:$GC$641,144,0)</f>
        <v>0.17</v>
      </c>
      <c r="R329" s="397">
        <f>VLOOKUP($C329,'ТР нефть'!$A$29:$GC$641,145,0)</f>
        <v>8.5</v>
      </c>
      <c r="S329" s="397">
        <f>VLOOKUP($C329,'ТР нефть'!$A$29:$GC$641,146,0)</f>
        <v>1661.1536698076159</v>
      </c>
      <c r="T329" s="397">
        <f>VLOOKUP($C329,'ТР нефть'!$A$29:$GC$641,149,0)</f>
        <v>36</v>
      </c>
      <c r="U329" s="403">
        <f>VLOOKUP($C329,'ТР нефть'!$A$29:$GC$641,150,0)</f>
        <v>0.13750000000000001</v>
      </c>
      <c r="V329" s="402" t="str">
        <f>VLOOKUP($C329,'ТР нефть'!$A$29:$GC$641,47,0)</f>
        <v>Газлифт</v>
      </c>
      <c r="W329" s="396">
        <f>VLOOKUP($C329,'ТР нефть'!$A$29:$GC$641,74,0)</f>
        <v>18</v>
      </c>
      <c r="X329" s="397">
        <f>VLOOKUP($C329,'ТР нефть'!$A$29:$GC$641,79,0)</f>
        <v>25</v>
      </c>
      <c r="Y329" s="397">
        <f>VLOOKUP($C329,'ТР нефть'!$A$29:$GC$641,80,0)</f>
        <v>36</v>
      </c>
      <c r="Z329" s="397">
        <f>VLOOKUP($C329,'ТР нефть'!$A$29:$GC$641,81,0)</f>
        <v>24</v>
      </c>
      <c r="AA329" s="397" t="str">
        <f>VLOOKUP($C329,'ТР нефть'!$A$29:$GC$641,76,0)</f>
        <v>Постоянный</v>
      </c>
      <c r="AB329" s="397">
        <f>VLOOKUP($C329,'ТР нефть'!$A$29:$GC$641,77,0)</f>
        <v>24</v>
      </c>
      <c r="AC329" s="397">
        <f>VLOOKUP($C329,'ТР нефть'!$A$29:$GC$641,78,0)</f>
        <v>0</v>
      </c>
      <c r="AD329" s="398">
        <f>VLOOKUP($C329,'ТР нефть'!$A$29:$GC$641,93,0)</f>
        <v>10.432234999999999</v>
      </c>
      <c r="AE329" s="399">
        <f>VLOOKUP($C329,'ТР нефть'!$A$29:$GC$641,94,0)</f>
        <v>12.5</v>
      </c>
      <c r="AF329" s="400">
        <f>VLOOKUP($C329,'ТР нефть'!$A$29:$GC$641,95,0)</f>
        <v>0.17</v>
      </c>
      <c r="AG329" s="397">
        <f>VLOOKUP($C329,'ТР нефть'!$A$29:$GC$641,99,0)</f>
        <v>19.5</v>
      </c>
      <c r="AH329" s="397">
        <f>VLOOKUP($C329,'ТР нефть'!$A$29:$GC$641,100,0)</f>
        <v>1869.2063589441766</v>
      </c>
      <c r="AI329" s="397">
        <f>VLOOKUP($C329,'ТР нефть'!$A$29:$GC$641,92,0)</f>
        <v>42</v>
      </c>
      <c r="AJ329" s="403">
        <f>VLOOKUP($C329,'ТР нефть'!$A$29:$GC$641,102,0)</f>
        <v>0.48076923076923078</v>
      </c>
      <c r="AK329" s="404">
        <f t="shared" si="26"/>
        <v>0</v>
      </c>
      <c r="AL329" s="397">
        <f t="shared" si="26"/>
        <v>-3</v>
      </c>
      <c r="AM329" s="397">
        <f t="shared" si="26"/>
        <v>0</v>
      </c>
      <c r="AN329" s="397">
        <f t="shared" si="26"/>
        <v>-3</v>
      </c>
      <c r="AO329" s="397">
        <f t="shared" si="27"/>
        <v>0</v>
      </c>
      <c r="AP329" s="397">
        <f t="shared" si="27"/>
        <v>-24</v>
      </c>
      <c r="AQ329" s="398">
        <f t="shared" si="27"/>
        <v>6.760088279999998</v>
      </c>
      <c r="AR329" s="399">
        <f t="shared" si="27"/>
        <v>8.1</v>
      </c>
      <c r="AS329" s="400">
        <f t="shared" si="27"/>
        <v>0</v>
      </c>
      <c r="AT329" s="397">
        <f t="shared" si="27"/>
        <v>11</v>
      </c>
      <c r="AU329" s="397">
        <f t="shared" si="27"/>
        <v>208.05268913656073</v>
      </c>
      <c r="AV329" s="397">
        <f t="shared" si="27"/>
        <v>6</v>
      </c>
      <c r="AW329" s="406">
        <f t="shared" si="27"/>
        <v>0.34326923076923077</v>
      </c>
      <c r="AX329" s="392" t="str">
        <f>VLOOKUP($C329,'ТР нефть'!$A$29:$GC$641,182,0)</f>
        <v>Технология</v>
      </c>
      <c r="AY329" s="406" t="str">
        <f>VLOOKUP($C329,'ТР нефть'!$A$29:$GC$641,183,0)</f>
        <v>Перевод скважины на постоянный режим работы</v>
      </c>
      <c r="AZ329" s="407">
        <f t="shared" si="28"/>
        <v>10.432234999999999</v>
      </c>
      <c r="BA329" s="408">
        <f t="shared" si="28"/>
        <v>12.5</v>
      </c>
      <c r="BB329" s="397">
        <f t="shared" si="28"/>
        <v>0.17</v>
      </c>
      <c r="BC329" s="698"/>
      <c r="BD329" s="699"/>
    </row>
    <row r="330" spans="1:56" ht="40.5" customHeight="1" x14ac:dyDescent="0.25">
      <c r="A330" s="373"/>
      <c r="B330" s="392">
        <f t="shared" si="29"/>
        <v>12</v>
      </c>
      <c r="C330" s="490" t="s">
        <v>752</v>
      </c>
      <c r="D330" s="394" t="str">
        <f>VLOOKUP($C330,'ТР нефть'!$A$29:$GC$641,5,0)</f>
        <v>ВУ ОНГКМ</v>
      </c>
      <c r="E330" s="394" t="str">
        <f>VLOOKUP($C330,'ТР нефть'!$A$29:$GC$641,8,0)</f>
        <v>ТЛ-3</v>
      </c>
      <c r="F330" s="462" t="str">
        <f>VLOOKUP($C330,'ТР нефть'!$A$29:$GC$641,11,0)</f>
        <v>Куст скважины-1050</v>
      </c>
      <c r="G330" s="392" t="str">
        <f>VLOOKUP($C330,'ТР нефть'!$A$29:$GC$641,47,0)</f>
        <v>Газлифт</v>
      </c>
      <c r="H330" s="396">
        <f>VLOOKUP($C330,'ТР нефть'!$A$29:$GC$641,135,0)</f>
        <v>18</v>
      </c>
      <c r="I330" s="397">
        <f>VLOOKUP($C330,'ТР нефть'!$A$29:$GC$641,136,0)</f>
        <v>29</v>
      </c>
      <c r="J330" s="397">
        <f>VLOOKUP($C330,'ТР нефть'!$A$29:$GC$641,137,0)</f>
        <v>40</v>
      </c>
      <c r="K330" s="397">
        <f>VLOOKUP($C330,'ТР нефть'!$A$29:$GC$641,138,0)</f>
        <v>28</v>
      </c>
      <c r="L330" s="397" t="str">
        <f>VLOOKUP($C330,'ТР нефть'!$A$29:$GC$641,139,0)</f>
        <v>Постоянный</v>
      </c>
      <c r="M330" s="397">
        <f>VLOOKUP($C330,'ТР нефть'!$A$29:$GC$641,140,0)</f>
        <v>24</v>
      </c>
      <c r="N330" s="397">
        <f>VLOOKUP($C330,'ТР нефть'!$A$29:$GC$641,141,0)</f>
        <v>0</v>
      </c>
      <c r="O330" s="398">
        <f>VLOOKUP($C330,'ТР нефть'!$A$29:$GC$641,142,0)</f>
        <v>7.4404000000000003</v>
      </c>
      <c r="P330" s="399">
        <f>VLOOKUP($C330,'ТР нефть'!$A$29:$GC$641,143,0)</f>
        <v>8.9</v>
      </c>
      <c r="Q330" s="400">
        <f>VLOOKUP($C330,'ТР нефть'!$A$29:$GC$641,144,0)</f>
        <v>0</v>
      </c>
      <c r="R330" s="397">
        <f>VLOOKUP($C330,'ТР нефть'!$A$29:$GC$641,145,0)</f>
        <v>15</v>
      </c>
      <c r="S330" s="397">
        <f>VLOOKUP($C330,'ТР нефть'!$A$29:$GC$641,146,0)</f>
        <v>1196.709854308908</v>
      </c>
      <c r="T330" s="397">
        <f>VLOOKUP($C330,'ТР нефть'!$A$29:$GC$641,149,0)</f>
        <v>44</v>
      </c>
      <c r="U330" s="403">
        <f>VLOOKUP($C330,'ТР нефть'!$A$29:$GC$641,150,0)</f>
        <v>0.1816326530612245</v>
      </c>
      <c r="V330" s="402" t="str">
        <f>VLOOKUP($C330,'ТР нефть'!$A$29:$GC$641,47,0)</f>
        <v>Газлифт</v>
      </c>
      <c r="W330" s="396">
        <f>VLOOKUP($C330,'ТР нефть'!$A$29:$GC$641,74,0)</f>
        <v>18</v>
      </c>
      <c r="X330" s="397">
        <f>VLOOKUP($C330,'ТР нефть'!$A$29:$GC$641,79,0)</f>
        <v>19</v>
      </c>
      <c r="Y330" s="397">
        <f>VLOOKUP($C330,'ТР нефть'!$A$29:$GC$641,80,0)</f>
        <v>28</v>
      </c>
      <c r="Z330" s="397">
        <f>VLOOKUP($C330,'ТР нефть'!$A$29:$GC$641,81,0)</f>
        <v>18</v>
      </c>
      <c r="AA330" s="397" t="str">
        <f>VLOOKUP($C330,'ТР нефть'!$A$29:$GC$641,76,0)</f>
        <v>Постоянный</v>
      </c>
      <c r="AB330" s="397">
        <f>VLOOKUP($C330,'ТР нефть'!$A$29:$GC$641,77,0)</f>
        <v>24</v>
      </c>
      <c r="AC330" s="397">
        <f>VLOOKUP($C330,'ТР нефть'!$A$29:$GC$641,78,0)</f>
        <v>0</v>
      </c>
      <c r="AD330" s="398">
        <f>VLOOKUP($C330,'ТР нефть'!$A$29:$GC$641,93,0)</f>
        <v>10.868</v>
      </c>
      <c r="AE330" s="399">
        <f>VLOOKUP($C330,'ТР нефть'!$A$29:$GC$641,94,0)</f>
        <v>13</v>
      </c>
      <c r="AF330" s="400">
        <f>VLOOKUP($C330,'ТР нефть'!$A$29:$GC$641,95,0)</f>
        <v>0</v>
      </c>
      <c r="AG330" s="397">
        <f>VLOOKUP($C330,'ТР нефть'!$A$29:$GC$641,99,0)</f>
        <v>8.4</v>
      </c>
      <c r="AH330" s="397">
        <f>VLOOKUP($C330,'ТР нефть'!$A$29:$GC$641,100,0)</f>
        <v>772.91129922708865</v>
      </c>
      <c r="AI330" s="397">
        <f>VLOOKUP($C330,'ТР нефть'!$A$29:$GC$641,92,0)</f>
        <v>36</v>
      </c>
      <c r="AJ330" s="403">
        <f>VLOOKUP($C330,'ТР нефть'!$A$29:$GC$641,102,0)</f>
        <v>0.22807017543859648</v>
      </c>
      <c r="AK330" s="404">
        <f t="shared" si="26"/>
        <v>0</v>
      </c>
      <c r="AL330" s="397">
        <f t="shared" si="26"/>
        <v>-10</v>
      </c>
      <c r="AM330" s="397">
        <f t="shared" si="26"/>
        <v>-12</v>
      </c>
      <c r="AN330" s="397">
        <f t="shared" si="26"/>
        <v>-10</v>
      </c>
      <c r="AO330" s="397">
        <f t="shared" si="27"/>
        <v>0</v>
      </c>
      <c r="AP330" s="397">
        <f t="shared" si="27"/>
        <v>0</v>
      </c>
      <c r="AQ330" s="398">
        <f t="shared" si="27"/>
        <v>3.4276</v>
      </c>
      <c r="AR330" s="399">
        <f t="shared" si="27"/>
        <v>4.0999999999999996</v>
      </c>
      <c r="AS330" s="400">
        <f t="shared" si="27"/>
        <v>0</v>
      </c>
      <c r="AT330" s="397">
        <f t="shared" si="27"/>
        <v>-6.6</v>
      </c>
      <c r="AU330" s="397">
        <f t="shared" si="27"/>
        <v>-423.79855508181936</v>
      </c>
      <c r="AV330" s="397">
        <f t="shared" si="27"/>
        <v>-8</v>
      </c>
      <c r="AW330" s="406">
        <f t="shared" si="27"/>
        <v>4.6437522377371976E-2</v>
      </c>
      <c r="AX330" s="392" t="str">
        <f>VLOOKUP($C330,'ТР нефть'!$A$29:$GC$641,182,0)</f>
        <v>Технология</v>
      </c>
      <c r="AY330" s="406" t="str">
        <f>VLOOKUP($C330,'ТР нефть'!$A$29:$GC$641,183,0)</f>
        <v>Увеличение дебита на фоне снижения Рлин</v>
      </c>
      <c r="AZ330" s="407">
        <f t="shared" si="28"/>
        <v>10.868</v>
      </c>
      <c r="BA330" s="408">
        <f t="shared" si="28"/>
        <v>13</v>
      </c>
      <c r="BB330" s="397">
        <f t="shared" si="28"/>
        <v>0</v>
      </c>
      <c r="BC330" s="698"/>
      <c r="BD330" s="699"/>
    </row>
    <row r="331" spans="1:56" ht="40.5" customHeight="1" x14ac:dyDescent="0.25">
      <c r="A331" s="373"/>
      <c r="B331" s="392">
        <f t="shared" si="29"/>
        <v>13</v>
      </c>
      <c r="C331" s="490" t="s">
        <v>828</v>
      </c>
      <c r="D331" s="394" t="str">
        <f>VLOOKUP($C331,'ТР нефть'!$A$29:$GC$641,5,0)</f>
        <v>ВУ ОНГКМ</v>
      </c>
      <c r="E331" s="394" t="str">
        <f>VLOOKUP($C331,'ТР нефть'!$A$29:$GC$641,8,0)</f>
        <v>ТЛ-1</v>
      </c>
      <c r="F331" s="462" t="str">
        <f>VLOOKUP($C331,'ТР нефть'!$A$29:$GC$641,11,0)</f>
        <v>Куст скважины-1061</v>
      </c>
      <c r="G331" s="392" t="str">
        <f>VLOOKUP($C331,'ТР нефть'!$A$29:$GC$641,47,0)</f>
        <v>Фон.</v>
      </c>
      <c r="H331" s="396">
        <f>VLOOKUP($C331,'ТР нефть'!$A$29:$GC$641,135,0)</f>
        <v>18</v>
      </c>
      <c r="I331" s="397">
        <f>VLOOKUP($C331,'ТР нефть'!$A$29:$GC$641,136,0)</f>
        <v>55</v>
      </c>
      <c r="J331" s="397">
        <f>VLOOKUP($C331,'ТР нефть'!$A$29:$GC$641,137,0)</f>
        <v>58</v>
      </c>
      <c r="K331" s="397">
        <f>VLOOKUP($C331,'ТР нефть'!$A$29:$GC$641,138,0)</f>
        <v>53</v>
      </c>
      <c r="L331" s="397" t="str">
        <f>VLOOKUP($C331,'ТР нефть'!$A$29:$GC$641,139,0)</f>
        <v>Постоянный</v>
      </c>
      <c r="M331" s="397">
        <f>VLOOKUP($C331,'ТР нефть'!$A$29:$GC$641,140,0)</f>
        <v>24</v>
      </c>
      <c r="N331" s="397">
        <f>VLOOKUP($C331,'ТР нефть'!$A$29:$GC$641,141,0)</f>
        <v>0</v>
      </c>
      <c r="O331" s="398">
        <f>VLOOKUP($C331,'ТР нефть'!$A$29:$GC$641,142,0)</f>
        <v>4.18</v>
      </c>
      <c r="P331" s="399">
        <f>VLOOKUP($C331,'ТР нефть'!$A$29:$GC$641,143,0)</f>
        <v>5</v>
      </c>
      <c r="Q331" s="400">
        <f>VLOOKUP($C331,'ТР нефть'!$A$29:$GC$641,144,0)</f>
        <v>0</v>
      </c>
      <c r="R331" s="397">
        <f>VLOOKUP($C331,'ТР нефть'!$A$29:$GC$641,145,0)</f>
        <v>11.2</v>
      </c>
      <c r="S331" s="397">
        <f>VLOOKUP($C331,'ТР нефть'!$A$29:$GC$641,146,0)</f>
        <v>2679.4258373205744</v>
      </c>
      <c r="T331" s="397">
        <f>VLOOKUP($C331,'ТР нефть'!$A$29:$GC$641,149,0)</f>
        <v>56</v>
      </c>
      <c r="U331" s="403">
        <f>VLOOKUP($C331,'ТР нефть'!$A$29:$GC$641,150,0)</f>
        <v>0.16233766233766236</v>
      </c>
      <c r="V331" s="402" t="str">
        <f>VLOOKUP($C331,'ТР нефть'!$A$29:$GC$641,47,0)</f>
        <v>Фон.</v>
      </c>
      <c r="W331" s="396">
        <f>VLOOKUP($C331,'ТР нефть'!$A$29:$GC$641,74,0)</f>
        <v>18</v>
      </c>
      <c r="X331" s="397">
        <f>VLOOKUP($C331,'ТР нефть'!$A$29:$GC$641,79,0)</f>
        <v>25</v>
      </c>
      <c r="Y331" s="397">
        <f>VLOOKUP($C331,'ТР нефть'!$A$29:$GC$641,80,0)</f>
        <v>36</v>
      </c>
      <c r="Z331" s="397">
        <f>VLOOKUP($C331,'ТР нефть'!$A$29:$GC$641,81,0)</f>
        <v>24</v>
      </c>
      <c r="AA331" s="397" t="str">
        <f>VLOOKUP($C331,'ТР нефть'!$A$29:$GC$641,76,0)</f>
        <v>Постоянный</v>
      </c>
      <c r="AB331" s="397">
        <f>VLOOKUP($C331,'ТР нефть'!$A$29:$GC$641,77,0)</f>
        <v>24</v>
      </c>
      <c r="AC331" s="397">
        <f>VLOOKUP($C331,'ТР нефть'!$A$29:$GC$641,78,0)</f>
        <v>0</v>
      </c>
      <c r="AD331" s="398">
        <f>VLOOKUP($C331,'ТР нефть'!$A$29:$GC$641,93,0)</f>
        <v>8.359163999999998</v>
      </c>
      <c r="AE331" s="399">
        <f>VLOOKUP($C331,'ТР нефть'!$A$29:$GC$641,94,0)</f>
        <v>10.1</v>
      </c>
      <c r="AF331" s="400">
        <f>VLOOKUP($C331,'ТР нефть'!$A$29:$GC$641,95,0)</f>
        <v>1</v>
      </c>
      <c r="AG331" s="397">
        <f>VLOOKUP($C331,'ТР нефть'!$A$29:$GC$641,99,0)</f>
        <v>10.7</v>
      </c>
      <c r="AH331" s="397">
        <f>VLOOKUP($C331,'ТР нефть'!$A$29:$GC$641,100,0)</f>
        <v>1280.0323094510411</v>
      </c>
      <c r="AI331" s="397">
        <f>VLOOKUP($C331,'ТР нефть'!$A$29:$GC$641,92,0)</f>
        <v>56</v>
      </c>
      <c r="AJ331" s="403">
        <f>VLOOKUP($C331,'ТР нефть'!$A$29:$GC$641,102,0)</f>
        <v>0.32792207792207795</v>
      </c>
      <c r="AK331" s="404">
        <f t="shared" si="26"/>
        <v>0</v>
      </c>
      <c r="AL331" s="397">
        <f t="shared" si="26"/>
        <v>-30</v>
      </c>
      <c r="AM331" s="397">
        <f t="shared" si="26"/>
        <v>-22</v>
      </c>
      <c r="AN331" s="397">
        <f t="shared" si="26"/>
        <v>-29</v>
      </c>
      <c r="AO331" s="397">
        <f t="shared" si="27"/>
        <v>0</v>
      </c>
      <c r="AP331" s="397">
        <f t="shared" si="27"/>
        <v>0</v>
      </c>
      <c r="AQ331" s="398">
        <f t="shared" si="27"/>
        <v>4.1791639999999983</v>
      </c>
      <c r="AR331" s="399">
        <f t="shared" si="27"/>
        <v>5.0999999999999996</v>
      </c>
      <c r="AS331" s="400">
        <f t="shared" si="27"/>
        <v>1</v>
      </c>
      <c r="AT331" s="397">
        <f t="shared" si="27"/>
        <v>-0.5</v>
      </c>
      <c r="AU331" s="397">
        <f t="shared" si="27"/>
        <v>-1399.3935278695333</v>
      </c>
      <c r="AV331" s="397">
        <f t="shared" si="27"/>
        <v>0</v>
      </c>
      <c r="AW331" s="406">
        <f t="shared" si="27"/>
        <v>0.16558441558441558</v>
      </c>
      <c r="AX331" s="392" t="str">
        <f>VLOOKUP($C331,'ТР нефть'!$A$29:$GC$641,182,0)</f>
        <v>Технология</v>
      </c>
      <c r="AY331" s="406" t="str">
        <f>VLOOKUP($C331,'ТР нефть'!$A$29:$GC$641,183,0)</f>
        <v xml:space="preserve">Увеличение дебита на фоне снижения Рлин. </v>
      </c>
      <c r="AZ331" s="407">
        <f t="shared" si="28"/>
        <v>8.359163999999998</v>
      </c>
      <c r="BA331" s="408">
        <f t="shared" si="28"/>
        <v>10.1</v>
      </c>
      <c r="BB331" s="397">
        <f t="shared" si="28"/>
        <v>1</v>
      </c>
      <c r="BC331" s="698"/>
      <c r="BD331" s="699"/>
    </row>
    <row r="332" spans="1:56" ht="40.5" customHeight="1" x14ac:dyDescent="0.25">
      <c r="A332" s="373"/>
      <c r="B332" s="392">
        <f t="shared" si="29"/>
        <v>14</v>
      </c>
      <c r="C332" s="490">
        <v>1068</v>
      </c>
      <c r="D332" s="394" t="str">
        <f>VLOOKUP($C332,'ТР нефть'!$A$29:$GC$641,5,0)</f>
        <v>ВУ ОНГКМ</v>
      </c>
      <c r="E332" s="394" t="str">
        <f>VLOOKUP($C332,'ТР нефть'!$A$29:$GC$641,8,0)</f>
        <v>ТЛ-2</v>
      </c>
      <c r="F332" s="462" t="str">
        <f>VLOOKUP($C332,'ТР нефть'!$A$29:$GC$641,11,0)</f>
        <v>Куст скважины-1068</v>
      </c>
      <c r="G332" s="392" t="str">
        <f>VLOOKUP($C332,'ТР нефть'!$A$29:$GC$641,47,0)</f>
        <v>Газлифт</v>
      </c>
      <c r="H332" s="396">
        <f>VLOOKUP($C332,'ТР нефть'!$A$29:$GC$641,135,0)</f>
        <v>18</v>
      </c>
      <c r="I332" s="397">
        <f>VLOOKUP($C332,'ТР нефть'!$A$29:$GC$641,136,0)</f>
        <v>21</v>
      </c>
      <c r="J332" s="397">
        <f>VLOOKUP($C332,'ТР нефть'!$A$29:$GC$641,137,0)</f>
        <v>49</v>
      </c>
      <c r="K332" s="397">
        <f>VLOOKUP($C332,'ТР нефть'!$A$29:$GC$641,138,0)</f>
        <v>20</v>
      </c>
      <c r="L332" s="397" t="str">
        <f>VLOOKUP($C332,'ТР нефть'!$A$29:$GC$641,139,0)</f>
        <v>Периодический</v>
      </c>
      <c r="M332" s="397">
        <f>VLOOKUP($C332,'ТР нефть'!$A$29:$GC$641,140,0)</f>
        <v>24</v>
      </c>
      <c r="N332" s="397">
        <f>VLOOKUP($C332,'ТР нефть'!$A$29:$GC$641,141,0)</f>
        <v>24</v>
      </c>
      <c r="O332" s="398">
        <f>VLOOKUP($C332,'ТР нефть'!$A$29:$GC$641,142,0)</f>
        <v>6.2095153999999999</v>
      </c>
      <c r="P332" s="399">
        <f>VLOOKUP($C332,'ТР нефть'!$A$29:$GC$641,143,0)</f>
        <v>7.45</v>
      </c>
      <c r="Q332" s="400">
        <f>VLOOKUP($C332,'ТР нефть'!$A$29:$GC$641,144,0)</f>
        <v>0.3</v>
      </c>
      <c r="R332" s="397">
        <f>VLOOKUP($C332,'ТР нефть'!$A$29:$GC$641,145,0)</f>
        <v>10.5</v>
      </c>
      <c r="S332" s="397">
        <f>VLOOKUP($C332,'ТР нефть'!$A$29:$GC$641,146,0)</f>
        <v>917.94602844531153</v>
      </c>
      <c r="T332" s="397">
        <f>VLOOKUP($C332,'ТР нефть'!$A$29:$GC$641,149,0)</f>
        <v>44</v>
      </c>
      <c r="U332" s="403">
        <f>VLOOKUP($C332,'ТР нефть'!$A$29:$GC$641,150,0)</f>
        <v>0.24032258064516129</v>
      </c>
      <c r="V332" s="402" t="str">
        <f>VLOOKUP($C332,'ТР нефть'!$A$29:$GC$641,47,0)</f>
        <v>Газлифт</v>
      </c>
      <c r="W332" s="396">
        <f>VLOOKUP($C332,'ТР нефть'!$A$29:$GC$641,74,0)</f>
        <v>18</v>
      </c>
      <c r="X332" s="397">
        <f>VLOOKUP($C332,'ТР нефть'!$A$29:$GC$641,79,0)</f>
        <v>21</v>
      </c>
      <c r="Y332" s="397">
        <f>VLOOKUP($C332,'ТР нефть'!$A$29:$GC$641,80,0)</f>
        <v>57</v>
      </c>
      <c r="Z332" s="397">
        <f>VLOOKUP($C332,'ТР нефть'!$A$29:$GC$641,81,0)</f>
        <v>19</v>
      </c>
      <c r="AA332" s="397" t="str">
        <f>VLOOKUP($C332,'ТР нефть'!$A$29:$GC$641,76,0)</f>
        <v>Постоянный</v>
      </c>
      <c r="AB332" s="397">
        <f>VLOOKUP($C332,'ТР нефть'!$A$29:$GC$641,77,0)</f>
        <v>24</v>
      </c>
      <c r="AC332" s="397">
        <f>VLOOKUP($C332,'ТР нефть'!$A$29:$GC$641,78,0)</f>
        <v>0</v>
      </c>
      <c r="AD332" s="398">
        <f>VLOOKUP($C332,'ТР нефть'!$A$29:$GC$641,93,0)</f>
        <v>10.501999199999998</v>
      </c>
      <c r="AE332" s="399">
        <f>VLOOKUP($C332,'ТР нефть'!$A$29:$GC$641,94,0)</f>
        <v>12.6</v>
      </c>
      <c r="AF332" s="400">
        <f>VLOOKUP($C332,'ТР нефть'!$A$29:$GC$641,95,0)</f>
        <v>0.3</v>
      </c>
      <c r="AG332" s="397">
        <f>VLOOKUP($C332,'ТР нефть'!$A$29:$GC$641,99,0)</f>
        <v>8.6999999999999993</v>
      </c>
      <c r="AH332" s="397">
        <f>VLOOKUP($C332,'ТР нефть'!$A$29:$GC$641,100,0)</f>
        <v>828.4136986032147</v>
      </c>
      <c r="AI332" s="397">
        <f>VLOOKUP($C332,'ТР нефть'!$A$29:$GC$641,92,0)</f>
        <v>36</v>
      </c>
      <c r="AJ332" s="403">
        <f>VLOOKUP($C332,'ТР нефть'!$A$29:$GC$641,102,0)</f>
        <v>0.32307692307692309</v>
      </c>
      <c r="AK332" s="404">
        <f t="shared" si="26"/>
        <v>0</v>
      </c>
      <c r="AL332" s="397">
        <f t="shared" si="26"/>
        <v>0</v>
      </c>
      <c r="AM332" s="397">
        <f t="shared" si="26"/>
        <v>8</v>
      </c>
      <c r="AN332" s="397">
        <f t="shared" si="26"/>
        <v>-1</v>
      </c>
      <c r="AO332" s="397">
        <f t="shared" si="27"/>
        <v>0</v>
      </c>
      <c r="AP332" s="397">
        <f t="shared" si="27"/>
        <v>-24</v>
      </c>
      <c r="AQ332" s="398">
        <f t="shared" si="27"/>
        <v>4.2924837999999985</v>
      </c>
      <c r="AR332" s="399">
        <f t="shared" si="27"/>
        <v>5.1499999999999995</v>
      </c>
      <c r="AS332" s="400">
        <f t="shared" si="27"/>
        <v>0</v>
      </c>
      <c r="AT332" s="397">
        <f t="shared" si="27"/>
        <v>-1.8000000000000007</v>
      </c>
      <c r="AU332" s="397">
        <f t="shared" si="27"/>
        <v>-89.532329842096829</v>
      </c>
      <c r="AV332" s="397">
        <f t="shared" si="27"/>
        <v>-8</v>
      </c>
      <c r="AW332" s="406">
        <f t="shared" si="27"/>
        <v>8.2754342431761801E-2</v>
      </c>
      <c r="AX332" s="392" t="str">
        <f>VLOOKUP($C332,'ТР нефть'!$A$29:$GC$641,182,0)</f>
        <v>Технология</v>
      </c>
      <c r="AY332" s="406" t="str">
        <f>VLOOKUP($C332,'ТР нефть'!$A$29:$GC$641,183,0)</f>
        <v>Изменение режима работы с периодического на постоянный</v>
      </c>
      <c r="AZ332" s="407">
        <f t="shared" si="28"/>
        <v>10.501999199999998</v>
      </c>
      <c r="BA332" s="408">
        <f t="shared" si="28"/>
        <v>12.6</v>
      </c>
      <c r="BB332" s="397">
        <f t="shared" si="28"/>
        <v>0.3</v>
      </c>
      <c r="BC332" s="698"/>
      <c r="BD332" s="699"/>
    </row>
    <row r="333" spans="1:56" ht="40.5" customHeight="1" x14ac:dyDescent="0.25">
      <c r="A333" s="373"/>
      <c r="B333" s="392">
        <f t="shared" si="29"/>
        <v>15</v>
      </c>
      <c r="C333" s="490" t="s">
        <v>849</v>
      </c>
      <c r="D333" s="394" t="str">
        <f>VLOOKUP($C333,'ТР нефть'!$A$29:$GC$641,5,0)</f>
        <v>ВУ ОНГКМ</v>
      </c>
      <c r="E333" s="394" t="str">
        <f>VLOOKUP($C333,'ТР нефть'!$A$29:$GC$641,8,0)</f>
        <v>ТЛ-2</v>
      </c>
      <c r="F333" s="462" t="str">
        <f>VLOOKUP($C333,'ТР нефть'!$A$29:$GC$641,11,0)</f>
        <v>Куст скважины-1068</v>
      </c>
      <c r="G333" s="392" t="str">
        <f>VLOOKUP($C333,'ТР нефть'!$A$29:$GC$641,47,0)</f>
        <v>Фон.</v>
      </c>
      <c r="H333" s="396">
        <f>VLOOKUP($C333,'ТР нефть'!$A$29:$GC$641,135,0)</f>
        <v>65</v>
      </c>
      <c r="I333" s="397">
        <f>VLOOKUP($C333,'ТР нефть'!$A$29:$GC$641,136,0)</f>
        <v>25</v>
      </c>
      <c r="J333" s="397">
        <f>VLOOKUP($C333,'ТР нефть'!$A$29:$GC$641,137,0)</f>
        <v>36</v>
      </c>
      <c r="K333" s="397">
        <f>VLOOKUP($C333,'ТР нефть'!$A$29:$GC$641,138,0)</f>
        <v>25</v>
      </c>
      <c r="L333" s="397" t="str">
        <f>VLOOKUP($C333,'ТР нефть'!$A$29:$GC$641,139,0)</f>
        <v>Постоянный</v>
      </c>
      <c r="M333" s="397">
        <f>VLOOKUP($C333,'ТР нефть'!$A$29:$GC$641,140,0)</f>
        <v>24</v>
      </c>
      <c r="N333" s="397">
        <f>VLOOKUP($C333,'ТР нефть'!$A$29:$GC$641,141,0)</f>
        <v>0</v>
      </c>
      <c r="O333" s="398">
        <f>VLOOKUP($C333,'ТР нефть'!$A$29:$GC$641,142,0)</f>
        <v>8.9451999999999998</v>
      </c>
      <c r="P333" s="399">
        <f>VLOOKUP($C333,'ТР нефть'!$A$29:$GC$641,143,0)</f>
        <v>10.7</v>
      </c>
      <c r="Q333" s="400">
        <f>VLOOKUP($C333,'ТР нефть'!$A$29:$GC$641,144,0)</f>
        <v>0</v>
      </c>
      <c r="R333" s="397">
        <f>VLOOKUP($C333,'ТР нефть'!$A$29:$GC$641,145,0)</f>
        <v>25.657</v>
      </c>
      <c r="S333" s="397">
        <f>VLOOKUP($C333,'ТР нефть'!$A$29:$GC$641,146,0)</f>
        <v>2868.2421857532531</v>
      </c>
      <c r="T333" s="397">
        <f>VLOOKUP($C333,'ТР нефть'!$A$29:$GC$641,149,0)</f>
        <v>42</v>
      </c>
      <c r="U333" s="403">
        <f>VLOOKUP($C333,'ТР нефть'!$A$29:$GC$641,150,0)</f>
        <v>0.17774086378737539</v>
      </c>
      <c r="V333" s="402" t="str">
        <f>VLOOKUP($C333,'ТР нефть'!$A$29:$GC$641,47,0)</f>
        <v>Фон.</v>
      </c>
      <c r="W333" s="396">
        <f>VLOOKUP($C333,'ТР нефть'!$A$29:$GC$641,74,0)</f>
        <v>65</v>
      </c>
      <c r="X333" s="397">
        <f>VLOOKUP($C333,'ТР нефть'!$A$29:$GC$641,79,0)</f>
        <v>24</v>
      </c>
      <c r="Y333" s="397">
        <f>VLOOKUP($C333,'ТР нефть'!$A$29:$GC$641,80,0)</f>
        <v>35</v>
      </c>
      <c r="Z333" s="397">
        <f>VLOOKUP($C333,'ТР нефть'!$A$29:$GC$641,81,0)</f>
        <v>23</v>
      </c>
      <c r="AA333" s="397" t="str">
        <f>VLOOKUP($C333,'ТР нефть'!$A$29:$GC$641,76,0)</f>
        <v>Постоянный</v>
      </c>
      <c r="AB333" s="397">
        <f>VLOOKUP($C333,'ТР нефть'!$A$29:$GC$641,77,0)</f>
        <v>24</v>
      </c>
      <c r="AC333" s="397">
        <f>VLOOKUP($C333,'ТР нефть'!$A$29:$GC$641,78,0)</f>
        <v>0</v>
      </c>
      <c r="AD333" s="398">
        <f>VLOOKUP($C333,'ТР нефть'!$A$29:$GC$641,93,0)</f>
        <v>10.366400000000001</v>
      </c>
      <c r="AE333" s="399">
        <f>VLOOKUP($C333,'ТР нефть'!$A$29:$GC$641,94,0)</f>
        <v>12.4</v>
      </c>
      <c r="AF333" s="400">
        <f>VLOOKUP($C333,'ТР нефть'!$A$29:$GC$641,95,0)</f>
        <v>0</v>
      </c>
      <c r="AG333" s="397">
        <f>VLOOKUP($C333,'ТР нефть'!$A$29:$GC$641,99,0)</f>
        <v>31</v>
      </c>
      <c r="AH333" s="397">
        <f>VLOOKUP($C333,'ТР нефть'!$A$29:$GC$641,100,0)</f>
        <v>2990.4306220095691</v>
      </c>
      <c r="AI333" s="397">
        <f>VLOOKUP($C333,'ТР нефть'!$A$29:$GC$641,92,0)</f>
        <v>40</v>
      </c>
      <c r="AJ333" s="403">
        <f>VLOOKUP($C333,'ТР нефть'!$A$29:$GC$641,102,0)</f>
        <v>0.19935691318327975</v>
      </c>
      <c r="AK333" s="404">
        <f t="shared" si="26"/>
        <v>0</v>
      </c>
      <c r="AL333" s="397">
        <f t="shared" si="26"/>
        <v>-1</v>
      </c>
      <c r="AM333" s="397">
        <f t="shared" si="26"/>
        <v>-1</v>
      </c>
      <c r="AN333" s="397">
        <f t="shared" si="26"/>
        <v>-2</v>
      </c>
      <c r="AO333" s="397">
        <f t="shared" si="27"/>
        <v>0</v>
      </c>
      <c r="AP333" s="397">
        <f t="shared" si="27"/>
        <v>0</v>
      </c>
      <c r="AQ333" s="398">
        <f t="shared" si="27"/>
        <v>1.4212000000000007</v>
      </c>
      <c r="AR333" s="399">
        <f t="shared" si="27"/>
        <v>1.7000000000000011</v>
      </c>
      <c r="AS333" s="400">
        <f t="shared" si="27"/>
        <v>0</v>
      </c>
      <c r="AT333" s="397">
        <f t="shared" si="27"/>
        <v>5.343</v>
      </c>
      <c r="AU333" s="397">
        <f t="shared" si="27"/>
        <v>122.18843625631598</v>
      </c>
      <c r="AV333" s="397">
        <f t="shared" si="27"/>
        <v>-2</v>
      </c>
      <c r="AW333" s="406">
        <f t="shared" si="27"/>
        <v>2.1616049395904363E-2</v>
      </c>
      <c r="AX333" s="392" t="str">
        <f>VLOOKUP($C333,'ТР нефть'!$A$29:$GC$641,182,0)</f>
        <v>Технология</v>
      </c>
      <c r="AY333" s="406" t="str">
        <f>VLOOKUP($C333,'ТР нефть'!$A$29:$GC$641,183,0)</f>
        <v>Увеличение дебита на фоне снижения Рлин</v>
      </c>
      <c r="AZ333" s="407">
        <f t="shared" si="28"/>
        <v>10.366400000000001</v>
      </c>
      <c r="BA333" s="408">
        <f t="shared" si="28"/>
        <v>12.4</v>
      </c>
      <c r="BB333" s="397">
        <f t="shared" si="28"/>
        <v>0</v>
      </c>
      <c r="BC333" s="698"/>
      <c r="BD333" s="699"/>
    </row>
    <row r="334" spans="1:56" ht="40.5" customHeight="1" x14ac:dyDescent="0.25">
      <c r="A334" s="373"/>
      <c r="B334" s="392">
        <f t="shared" si="29"/>
        <v>16</v>
      </c>
      <c r="C334" s="490" t="s">
        <v>901</v>
      </c>
      <c r="D334" s="394" t="str">
        <f>VLOOKUP($C334,'ТР нефть'!$A$29:$GC$641,5,0)</f>
        <v>ВУ ОНГКМ</v>
      </c>
      <c r="E334" s="394" t="str">
        <f>VLOOKUP($C334,'ТР нефть'!$A$29:$GC$641,8,0)</f>
        <v>ТЛ-2</v>
      </c>
      <c r="F334" s="462" t="str">
        <f>VLOOKUP($C334,'ТР нефть'!$A$29:$GC$641,11,0)</f>
        <v>Куст скважины-1080</v>
      </c>
      <c r="G334" s="392" t="str">
        <f>VLOOKUP($C334,'ТР нефть'!$A$29:$GC$641,47,0)</f>
        <v>Газлифт</v>
      </c>
      <c r="H334" s="396">
        <f>VLOOKUP($C334,'ТР нефть'!$A$29:$GC$641,135,0)</f>
        <v>18</v>
      </c>
      <c r="I334" s="397">
        <f>VLOOKUP($C334,'ТР нефть'!$A$29:$GC$641,136,0)</f>
        <v>23</v>
      </c>
      <c r="J334" s="397">
        <f>VLOOKUP($C334,'ТР нефть'!$A$29:$GC$641,137,0)</f>
        <v>38</v>
      </c>
      <c r="K334" s="397">
        <f>VLOOKUP($C334,'ТР нефть'!$A$29:$GC$641,138,0)</f>
        <v>23</v>
      </c>
      <c r="L334" s="397" t="str">
        <f>VLOOKUP($C334,'ТР нефть'!$A$29:$GC$641,139,0)</f>
        <v>Постоянный</v>
      </c>
      <c r="M334" s="397">
        <f>VLOOKUP($C334,'ТР нефть'!$A$29:$GC$641,140,0)</f>
        <v>24</v>
      </c>
      <c r="N334" s="397">
        <f>VLOOKUP($C334,'ТР нефть'!$A$29:$GC$641,141,0)</f>
        <v>0</v>
      </c>
      <c r="O334" s="398">
        <f>VLOOKUP($C334,'ТР нефть'!$A$29:$GC$641,142,0)</f>
        <v>7.7538999999999998</v>
      </c>
      <c r="P334" s="399">
        <f>VLOOKUP($C334,'ТР нефть'!$A$29:$GC$641,143,0)</f>
        <v>9.2750000000000004</v>
      </c>
      <c r="Q334" s="400">
        <f>VLOOKUP($C334,'ТР нефть'!$A$29:$GC$641,144,0)</f>
        <v>0</v>
      </c>
      <c r="R334" s="397">
        <f>VLOOKUP($C334,'ТР нефть'!$A$29:$GC$641,145,0)</f>
        <v>14.528</v>
      </c>
      <c r="S334" s="397">
        <f>VLOOKUP($C334,'ТР нефть'!$A$29:$GC$641,146,0)</f>
        <v>635.55114200595847</v>
      </c>
      <c r="T334" s="397">
        <f>VLOOKUP($C334,'ТР нефть'!$A$29:$GC$641,149,0)</f>
        <v>47</v>
      </c>
      <c r="U334" s="403">
        <f>VLOOKUP($C334,'ТР нефть'!$A$29:$GC$641,150,0)</f>
        <v>0.16863636363636364</v>
      </c>
      <c r="V334" s="402" t="str">
        <f>VLOOKUP($C334,'ТР нефть'!$A$29:$GC$641,47,0)</f>
        <v>Газлифт</v>
      </c>
      <c r="W334" s="396">
        <f>VLOOKUP($C334,'ТР нефть'!$A$29:$GC$641,74,0)</f>
        <v>18</v>
      </c>
      <c r="X334" s="397">
        <f>VLOOKUP($C334,'ТР нефть'!$A$29:$GC$641,79,0)</f>
        <v>23</v>
      </c>
      <c r="Y334" s="397">
        <f>VLOOKUP($C334,'ТР нефть'!$A$29:$GC$641,80,0)</f>
        <v>36</v>
      </c>
      <c r="Z334" s="397">
        <f>VLOOKUP($C334,'ТР нефть'!$A$29:$GC$641,81,0)</f>
        <v>21</v>
      </c>
      <c r="AA334" s="397" t="str">
        <f>VLOOKUP($C334,'ТР нефть'!$A$29:$GC$641,76,0)</f>
        <v>Постоянный</v>
      </c>
      <c r="AB334" s="397">
        <f>VLOOKUP($C334,'ТР нефть'!$A$29:$GC$641,77,0)</f>
        <v>24</v>
      </c>
      <c r="AC334" s="397">
        <f>VLOOKUP($C334,'ТР нефть'!$A$29:$GC$641,78,0)</f>
        <v>0</v>
      </c>
      <c r="AD334" s="398">
        <f>VLOOKUP($C334,'ТР нефть'!$A$29:$GC$641,93,0)</f>
        <v>10.868</v>
      </c>
      <c r="AE334" s="399">
        <f>VLOOKUP($C334,'ТР нефть'!$A$29:$GC$641,94,0)</f>
        <v>13</v>
      </c>
      <c r="AF334" s="400">
        <f>VLOOKUP($C334,'ТР нефть'!$A$29:$GC$641,95,0)</f>
        <v>0</v>
      </c>
      <c r="AG334" s="397">
        <f>VLOOKUP($C334,'ТР нефть'!$A$29:$GC$641,99,0)</f>
        <v>9.4</v>
      </c>
      <c r="AH334" s="397">
        <f>VLOOKUP($C334,'ТР нефть'!$A$29:$GC$641,100,0)</f>
        <v>864.92454913507538</v>
      </c>
      <c r="AI334" s="397">
        <f>VLOOKUP($C334,'ТР нефть'!$A$29:$GC$641,92,0)</f>
        <v>43</v>
      </c>
      <c r="AJ334" s="403">
        <f>VLOOKUP($C334,'ТР нефть'!$A$29:$GC$641,102,0)</f>
        <v>0.22033898305084745</v>
      </c>
      <c r="AK334" s="404">
        <f t="shared" si="26"/>
        <v>0</v>
      </c>
      <c r="AL334" s="397">
        <f t="shared" si="26"/>
        <v>0</v>
      </c>
      <c r="AM334" s="397">
        <f t="shared" si="26"/>
        <v>-2</v>
      </c>
      <c r="AN334" s="397">
        <f t="shared" si="26"/>
        <v>-2</v>
      </c>
      <c r="AO334" s="397">
        <f t="shared" si="27"/>
        <v>0</v>
      </c>
      <c r="AP334" s="397">
        <f t="shared" si="27"/>
        <v>0</v>
      </c>
      <c r="AQ334" s="398">
        <f t="shared" si="27"/>
        <v>3.1141000000000005</v>
      </c>
      <c r="AR334" s="399">
        <f t="shared" si="27"/>
        <v>3.7249999999999996</v>
      </c>
      <c r="AS334" s="400">
        <f t="shared" si="27"/>
        <v>0</v>
      </c>
      <c r="AT334" s="397">
        <f t="shared" si="27"/>
        <v>-5.1280000000000001</v>
      </c>
      <c r="AU334" s="397">
        <f t="shared" si="27"/>
        <v>229.37340712911691</v>
      </c>
      <c r="AV334" s="397">
        <f t="shared" si="27"/>
        <v>-4</v>
      </c>
      <c r="AW334" s="406">
        <f t="shared" si="27"/>
        <v>5.1702619414483814E-2</v>
      </c>
      <c r="AX334" s="392" t="str">
        <f>VLOOKUP($C334,'ТР нефть'!$A$29:$GC$641,182,0)</f>
        <v>Технология</v>
      </c>
      <c r="AY334" s="406" t="str">
        <f>VLOOKUP($C334,'ТР нефть'!$A$29:$GC$641,183,0)</f>
        <v>Увеличение дебита на фоне снижения Рлин</v>
      </c>
      <c r="AZ334" s="407">
        <f t="shared" si="28"/>
        <v>10.868</v>
      </c>
      <c r="BA334" s="408">
        <f t="shared" si="28"/>
        <v>13</v>
      </c>
      <c r="BB334" s="397">
        <f t="shared" si="28"/>
        <v>0</v>
      </c>
      <c r="BC334" s="698"/>
      <c r="BD334" s="699"/>
    </row>
    <row r="335" spans="1:56" ht="40.5" customHeight="1" x14ac:dyDescent="0.25">
      <c r="A335" s="373"/>
      <c r="B335" s="392">
        <f t="shared" si="29"/>
        <v>17</v>
      </c>
      <c r="C335" s="490">
        <v>1085</v>
      </c>
      <c r="D335" s="394" t="str">
        <f>VLOOKUP($C335,'ТР нефть'!$A$29:$GC$641,5,0)</f>
        <v>ВУ ОНГКМ</v>
      </c>
      <c r="E335" s="394" t="str">
        <f>VLOOKUP($C335,'ТР нефть'!$A$29:$GC$641,8,0)</f>
        <v>ТЛ-2</v>
      </c>
      <c r="F335" s="462" t="str">
        <f>VLOOKUP($C335,'ТР нефть'!$A$29:$GC$641,11,0)</f>
        <v>Куст скважины-1085</v>
      </c>
      <c r="G335" s="392" t="str">
        <f>VLOOKUP($C335,'ТР нефть'!$A$29:$GC$641,47,0)</f>
        <v>Газлифт</v>
      </c>
      <c r="H335" s="396">
        <f>VLOOKUP($C335,'ТР нефть'!$A$29:$GC$641,135,0)</f>
        <v>65</v>
      </c>
      <c r="I335" s="397">
        <f>VLOOKUP($C335,'ТР нефть'!$A$29:$GC$641,136,0)</f>
        <v>22</v>
      </c>
      <c r="J335" s="397">
        <f>VLOOKUP($C335,'ТР нефть'!$A$29:$GC$641,137,0)</f>
        <v>38</v>
      </c>
      <c r="K335" s="397">
        <f>VLOOKUP($C335,'ТР нефть'!$A$29:$GC$641,138,0)</f>
        <v>22</v>
      </c>
      <c r="L335" s="397" t="str">
        <f>VLOOKUP($C335,'ТР нефть'!$A$29:$GC$641,139,0)</f>
        <v>Постоянный</v>
      </c>
      <c r="M335" s="397">
        <f>VLOOKUP($C335,'ТР нефть'!$A$29:$GC$641,140,0)</f>
        <v>24</v>
      </c>
      <c r="N335" s="397">
        <f>VLOOKUP($C335,'ТР нефть'!$A$29:$GC$641,141,0)</f>
        <v>0</v>
      </c>
      <c r="O335" s="398">
        <f>VLOOKUP($C335,'ТР нефть'!$A$29:$GC$641,142,0)</f>
        <v>8.6108000000000011</v>
      </c>
      <c r="P335" s="399">
        <f>VLOOKUP($C335,'ТР нефть'!$A$29:$GC$641,143,0)</f>
        <v>10.3</v>
      </c>
      <c r="Q335" s="400">
        <f>VLOOKUP($C335,'ТР нефть'!$A$29:$GC$641,144,0)</f>
        <v>0</v>
      </c>
      <c r="R335" s="397">
        <f>VLOOKUP($C335,'ТР нефть'!$A$29:$GC$641,145,0)</f>
        <v>6.2</v>
      </c>
      <c r="S335" s="397">
        <f>VLOOKUP($C335,'ТР нефть'!$A$29:$GC$641,146,0)</f>
        <v>394.85297533330237</v>
      </c>
      <c r="T335" s="397">
        <f>VLOOKUP($C335,'ТР нефть'!$A$29:$GC$641,149,0)</f>
        <v>59</v>
      </c>
      <c r="U335" s="403">
        <f>VLOOKUP($C335,'ТР нефть'!$A$29:$GC$641,150,0)</f>
        <v>0.27105263157894738</v>
      </c>
      <c r="V335" s="402" t="str">
        <f>VLOOKUP($C335,'ТР нефть'!$A$29:$GC$641,47,0)</f>
        <v>Газлифт</v>
      </c>
      <c r="W335" s="396">
        <f>VLOOKUP($C335,'ТР нефть'!$A$29:$GC$641,74,0)</f>
        <v>65</v>
      </c>
      <c r="X335" s="397">
        <f>VLOOKUP($C335,'ТР нефть'!$A$29:$GC$641,79,0)</f>
        <v>26</v>
      </c>
      <c r="Y335" s="397">
        <f>VLOOKUP($C335,'ТР нефть'!$A$29:$GC$641,80,0)</f>
        <v>42</v>
      </c>
      <c r="Z335" s="397">
        <f>VLOOKUP($C335,'ТР нефть'!$A$29:$GC$641,81,0)</f>
        <v>25</v>
      </c>
      <c r="AA335" s="397" t="str">
        <f>VLOOKUP($C335,'ТР нефть'!$A$29:$GC$641,76,0)</f>
        <v>Постоянный</v>
      </c>
      <c r="AB335" s="397">
        <f>VLOOKUP($C335,'ТР нефть'!$A$29:$GC$641,77,0)</f>
        <v>24</v>
      </c>
      <c r="AC335" s="397">
        <f>VLOOKUP($C335,'ТР нефть'!$A$29:$GC$641,78,0)</f>
        <v>0</v>
      </c>
      <c r="AD335" s="398">
        <f>VLOOKUP($C335,'ТР нефть'!$A$29:$GC$641,93,0)</f>
        <v>9.8648000000000007</v>
      </c>
      <c r="AE335" s="399">
        <f>VLOOKUP($C335,'ТР нефть'!$A$29:$GC$641,94,0)</f>
        <v>11.8</v>
      </c>
      <c r="AF335" s="400">
        <f>VLOOKUP($C335,'ТР нефть'!$A$29:$GC$641,95,0)</f>
        <v>0</v>
      </c>
      <c r="AG335" s="397">
        <f>VLOOKUP($C335,'ТР нефть'!$A$29:$GC$641,99,0)</f>
        <v>4</v>
      </c>
      <c r="AH335" s="397">
        <f>VLOOKUP($C335,'ТР нефть'!$A$29:$GC$641,100,0)</f>
        <v>405.48211823858566</v>
      </c>
      <c r="AI335" s="397">
        <f>VLOOKUP($C335,'ТР нефть'!$A$29:$GC$641,92,0)</f>
        <v>52</v>
      </c>
      <c r="AJ335" s="403">
        <f>VLOOKUP($C335,'ТР нефть'!$A$29:$GC$641,102,0)</f>
        <v>0.26222222222222225</v>
      </c>
      <c r="AK335" s="404">
        <f t="shared" ref="AK335:AN351" si="30">W335-H335</f>
        <v>0</v>
      </c>
      <c r="AL335" s="397">
        <f t="shared" si="30"/>
        <v>4</v>
      </c>
      <c r="AM335" s="397">
        <f t="shared" si="30"/>
        <v>4</v>
      </c>
      <c r="AN335" s="397">
        <f t="shared" si="30"/>
        <v>3</v>
      </c>
      <c r="AO335" s="397">
        <f t="shared" ref="AO335:AW351" si="31">AB335-M335</f>
        <v>0</v>
      </c>
      <c r="AP335" s="397">
        <f t="shared" si="31"/>
        <v>0</v>
      </c>
      <c r="AQ335" s="398">
        <f t="shared" si="31"/>
        <v>1.2539999999999996</v>
      </c>
      <c r="AR335" s="399">
        <f t="shared" si="31"/>
        <v>1.5</v>
      </c>
      <c r="AS335" s="400">
        <f t="shared" si="31"/>
        <v>0</v>
      </c>
      <c r="AT335" s="397">
        <f t="shared" si="31"/>
        <v>-2.2000000000000002</v>
      </c>
      <c r="AU335" s="397">
        <f t="shared" si="31"/>
        <v>10.629142905283288</v>
      </c>
      <c r="AV335" s="397">
        <f t="shared" si="31"/>
        <v>-7</v>
      </c>
      <c r="AW335" s="406">
        <f t="shared" si="31"/>
        <v>-8.8304093567251329E-3</v>
      </c>
      <c r="AX335" s="392" t="str">
        <f>VLOOKUP($C335,'ТР нефть'!$A$29:$GC$641,182,0)</f>
        <v>Технология</v>
      </c>
      <c r="AY335" s="406" t="str">
        <f>VLOOKUP($C335,'ТР нефть'!$A$29:$GC$641,183,0)</f>
        <v>Увеличение дебита обусловлено увеличением расхода г/г</v>
      </c>
      <c r="AZ335" s="407">
        <f t="shared" ref="AZ335:BB351" si="32">AD335</f>
        <v>9.8648000000000007</v>
      </c>
      <c r="BA335" s="408">
        <f t="shared" si="32"/>
        <v>11.8</v>
      </c>
      <c r="BB335" s="397">
        <f t="shared" si="32"/>
        <v>0</v>
      </c>
      <c r="BC335" s="698"/>
      <c r="BD335" s="699"/>
    </row>
    <row r="336" spans="1:56" ht="40.5" customHeight="1" x14ac:dyDescent="0.25">
      <c r="A336" s="373"/>
      <c r="B336" s="392">
        <f t="shared" si="29"/>
        <v>18</v>
      </c>
      <c r="C336" s="490" t="s">
        <v>974</v>
      </c>
      <c r="D336" s="394" t="str">
        <f>VLOOKUP($C336,'ТР нефть'!$A$29:$GC$641,5,0)</f>
        <v>ВУ ОНГКМ</v>
      </c>
      <c r="E336" s="394" t="str">
        <f>VLOOKUP($C336,'ТР нефть'!$A$29:$GC$641,8,0)</f>
        <v>ТЛ-2</v>
      </c>
      <c r="F336" s="462" t="str">
        <f>VLOOKUP($C336,'ТР нефть'!$A$29:$GC$641,11,0)</f>
        <v>К-40</v>
      </c>
      <c r="G336" s="392" t="str">
        <f>VLOOKUP($C336,'ТР нефть'!$A$29:$GC$641,47,0)</f>
        <v>Газлифт</v>
      </c>
      <c r="H336" s="396">
        <f>VLOOKUP($C336,'ТР нефть'!$A$29:$GC$641,135,0)</f>
        <v>65</v>
      </c>
      <c r="I336" s="397">
        <f>VLOOKUP($C336,'ТР нефть'!$A$29:$GC$641,136,0)</f>
        <v>24</v>
      </c>
      <c r="J336" s="397">
        <f>VLOOKUP($C336,'ТР нефть'!$A$29:$GC$641,137,0)</f>
        <v>46</v>
      </c>
      <c r="K336" s="397">
        <f>VLOOKUP($C336,'ТР нефть'!$A$29:$GC$641,138,0)</f>
        <v>23</v>
      </c>
      <c r="L336" s="397" t="str">
        <f>VLOOKUP($C336,'ТР нефть'!$A$29:$GC$641,139,0)</f>
        <v>Постоянный</v>
      </c>
      <c r="M336" s="397">
        <f>VLOOKUP($C336,'ТР нефть'!$A$29:$GC$641,140,0)</f>
        <v>24</v>
      </c>
      <c r="N336" s="397">
        <f>VLOOKUP($C336,'ТР нефть'!$A$29:$GC$641,141,0)</f>
        <v>0</v>
      </c>
      <c r="O336" s="398">
        <f>VLOOKUP($C336,'ТР нефть'!$A$29:$GC$641,142,0)</f>
        <v>4.9077380000000002</v>
      </c>
      <c r="P336" s="399">
        <f>VLOOKUP($C336,'ТР нефть'!$A$29:$GC$641,143,0)</f>
        <v>5.9</v>
      </c>
      <c r="Q336" s="400">
        <f>VLOOKUP($C336,'ТР нефть'!$A$29:$GC$641,144,0)</f>
        <v>0.5</v>
      </c>
      <c r="R336" s="397">
        <f>VLOOKUP($C336,'ТР нефть'!$A$29:$GC$641,145,0)</f>
        <v>11.5</v>
      </c>
      <c r="S336" s="397">
        <f>VLOOKUP($C336,'ТР нефть'!$A$29:$GC$641,146,0)</f>
        <v>1120.6792212624227</v>
      </c>
      <c r="T336" s="397">
        <f>VLOOKUP($C336,'ТР нефть'!$A$29:$GC$641,149,0)</f>
        <v>48</v>
      </c>
      <c r="U336" s="403">
        <f>VLOOKUP($C336,'ТР нефть'!$A$29:$GC$641,150,0)</f>
        <v>0.14390243902439026</v>
      </c>
      <c r="V336" s="402" t="str">
        <f>VLOOKUP($C336,'ТР нефть'!$A$29:$GC$641,47,0)</f>
        <v>Газлифт</v>
      </c>
      <c r="W336" s="396">
        <f>VLOOKUP($C336,'ТР нефть'!$A$29:$GC$641,74,0)</f>
        <v>65</v>
      </c>
      <c r="X336" s="397">
        <f>VLOOKUP($C336,'ТР нефть'!$A$29:$GC$641,79,0)</f>
        <v>23</v>
      </c>
      <c r="Y336" s="397">
        <f>VLOOKUP($C336,'ТР нефть'!$A$29:$GC$641,80,0)</f>
        <v>46</v>
      </c>
      <c r="Z336" s="397">
        <f>VLOOKUP($C336,'ТР нефть'!$A$29:$GC$641,81,0)</f>
        <v>22</v>
      </c>
      <c r="AA336" s="397" t="str">
        <f>VLOOKUP($C336,'ТР нефть'!$A$29:$GC$641,76,0)</f>
        <v>Постоянный</v>
      </c>
      <c r="AB336" s="397">
        <f>VLOOKUP($C336,'ТР нефть'!$A$29:$GC$641,77,0)</f>
        <v>24</v>
      </c>
      <c r="AC336" s="397">
        <f>VLOOKUP($C336,'ТР нефть'!$A$29:$GC$641,78,0)</f>
        <v>0</v>
      </c>
      <c r="AD336" s="398">
        <f>VLOOKUP($C336,'ТР нефть'!$A$29:$GC$641,93,0)</f>
        <v>7.8583999999999996</v>
      </c>
      <c r="AE336" s="399">
        <f>VLOOKUP($C336,'ТР нефть'!$A$29:$GC$641,94,0)</f>
        <v>9.4</v>
      </c>
      <c r="AF336" s="400">
        <f>VLOOKUP($C336,'ТР нефть'!$A$29:$GC$641,95,0)</f>
        <v>0</v>
      </c>
      <c r="AG336" s="397">
        <f>VLOOKUP($C336,'ТР нефть'!$A$29:$GC$641,99,0)</f>
        <v>12</v>
      </c>
      <c r="AH336" s="397">
        <f>VLOOKUP($C336,'ТР нефть'!$A$29:$GC$641,100,0)</f>
        <v>1527.0284027282908</v>
      </c>
      <c r="AI336" s="397">
        <f>VLOOKUP($C336,'ТР нефть'!$A$29:$GC$641,92,0)</f>
        <v>48</v>
      </c>
      <c r="AJ336" s="403">
        <f>VLOOKUP($C336,'ТР нефть'!$A$29:$GC$641,102,0)</f>
        <v>0.22926829268292684</v>
      </c>
      <c r="AK336" s="404">
        <f t="shared" si="30"/>
        <v>0</v>
      </c>
      <c r="AL336" s="397">
        <f t="shared" si="30"/>
        <v>-1</v>
      </c>
      <c r="AM336" s="397">
        <f t="shared" si="30"/>
        <v>0</v>
      </c>
      <c r="AN336" s="397">
        <f t="shared" si="30"/>
        <v>-1</v>
      </c>
      <c r="AO336" s="397">
        <f t="shared" si="31"/>
        <v>0</v>
      </c>
      <c r="AP336" s="397">
        <f t="shared" si="31"/>
        <v>0</v>
      </c>
      <c r="AQ336" s="398">
        <f t="shared" si="31"/>
        <v>2.9506619999999995</v>
      </c>
      <c r="AR336" s="399">
        <f t="shared" si="31"/>
        <v>3.5</v>
      </c>
      <c r="AS336" s="400">
        <f t="shared" si="31"/>
        <v>-0.5</v>
      </c>
      <c r="AT336" s="397">
        <f t="shared" si="31"/>
        <v>0.5</v>
      </c>
      <c r="AU336" s="397">
        <f t="shared" si="31"/>
        <v>406.34918146586801</v>
      </c>
      <c r="AV336" s="397">
        <f t="shared" si="31"/>
        <v>0</v>
      </c>
      <c r="AW336" s="406">
        <f t="shared" si="31"/>
        <v>8.5365853658536578E-2</v>
      </c>
      <c r="AX336" s="392" t="str">
        <f>VLOOKUP($C336,'ТР нефть'!$A$29:$GC$641,182,0)</f>
        <v>Технология</v>
      </c>
      <c r="AY336" s="406" t="str">
        <f>VLOOKUP($C336,'ТР нефть'!$A$29:$GC$641,183,0)</f>
        <v>Увеличение дебита на фоне увеличением расхода г/г</v>
      </c>
      <c r="AZ336" s="407">
        <f t="shared" si="32"/>
        <v>7.8583999999999996</v>
      </c>
      <c r="BA336" s="408">
        <f t="shared" si="32"/>
        <v>9.4</v>
      </c>
      <c r="BB336" s="397">
        <f t="shared" si="32"/>
        <v>0</v>
      </c>
      <c r="BC336" s="698"/>
      <c r="BD336" s="699"/>
    </row>
    <row r="337" spans="1:56" ht="40.5" customHeight="1" outlineLevel="1" x14ac:dyDescent="0.25">
      <c r="A337" s="373"/>
      <c r="B337" s="392">
        <f t="shared" si="29"/>
        <v>19</v>
      </c>
      <c r="C337" s="490" t="s">
        <v>987</v>
      </c>
      <c r="D337" s="394" t="str">
        <f>VLOOKUP($C337,'ТР нефть'!$A$29:$GC$641,5,0)</f>
        <v>ВУ ОНГКМ</v>
      </c>
      <c r="E337" s="394" t="str">
        <f>VLOOKUP($C337,'ТР нефть'!$A$29:$GC$641,8,0)</f>
        <v>ТЛ-2</v>
      </c>
      <c r="F337" s="462" t="str">
        <f>VLOOKUP($C337,'ТР нефть'!$A$29:$GC$641,11,0)</f>
        <v>К-1</v>
      </c>
      <c r="G337" s="392" t="str">
        <f>VLOOKUP($C337,'ТР нефть'!$A$29:$GC$641,47,0)</f>
        <v>Газлифт</v>
      </c>
      <c r="H337" s="396">
        <f>VLOOKUP($C337,'ТР нефть'!$A$29:$GC$641,135,0)</f>
        <v>18</v>
      </c>
      <c r="I337" s="397">
        <f>VLOOKUP($C337,'ТР нефть'!$A$29:$GC$641,136,0)</f>
        <v>23</v>
      </c>
      <c r="J337" s="397">
        <f>VLOOKUP($C337,'ТР нефть'!$A$29:$GC$641,137,0)</f>
        <v>34</v>
      </c>
      <c r="K337" s="397">
        <f>VLOOKUP($C337,'ТР нефть'!$A$29:$GC$641,138,0)</f>
        <v>22</v>
      </c>
      <c r="L337" s="397" t="str">
        <f>VLOOKUP($C337,'ТР нефть'!$A$29:$GC$641,139,0)</f>
        <v>Постоянный</v>
      </c>
      <c r="M337" s="397">
        <f>VLOOKUP($C337,'ТР нефть'!$A$29:$GC$641,140,0)</f>
        <v>24</v>
      </c>
      <c r="N337" s="397">
        <f>VLOOKUP($C337,'ТР нефть'!$A$29:$GC$641,141,0)</f>
        <v>0</v>
      </c>
      <c r="O337" s="398">
        <f>VLOOKUP($C337,'ТР нефть'!$A$29:$GC$641,142,0)</f>
        <v>8.3585788000000001</v>
      </c>
      <c r="P337" s="399">
        <f>VLOOKUP($C337,'ТР нефть'!$A$29:$GC$641,143,0)</f>
        <v>10</v>
      </c>
      <c r="Q337" s="400">
        <f>VLOOKUP($C337,'ТР нефть'!$A$29:$GC$641,144,0)</f>
        <v>1.7000000000000001E-2</v>
      </c>
      <c r="R337" s="397">
        <f>VLOOKUP($C337,'ТР нефть'!$A$29:$GC$641,145,0)</f>
        <v>22.7</v>
      </c>
      <c r="S337" s="397">
        <f>VLOOKUP($C337,'ТР нефть'!$A$29:$GC$641,146,0)</f>
        <v>1914.2010122582083</v>
      </c>
      <c r="T337" s="397">
        <f>VLOOKUP($C337,'ТР нефть'!$A$29:$GC$641,149,0)</f>
        <v>43</v>
      </c>
      <c r="U337" s="403">
        <f>VLOOKUP($C337,'ТР нефть'!$A$29:$GC$641,150,0)</f>
        <v>0.17241379310344829</v>
      </c>
      <c r="V337" s="402" t="str">
        <f>VLOOKUP($C337,'ТР нефть'!$A$29:$GC$641,47,0)</f>
        <v>Газлифт</v>
      </c>
      <c r="W337" s="396">
        <f>VLOOKUP($C337,'ТР нефть'!$A$29:$GC$641,74,0)</f>
        <v>18</v>
      </c>
      <c r="X337" s="397">
        <f>VLOOKUP($C337,'ТР нефть'!$A$29:$GC$641,79,0)</f>
        <v>23</v>
      </c>
      <c r="Y337" s="397">
        <f>VLOOKUP($C337,'ТР нефть'!$A$29:$GC$641,80,0)</f>
        <v>34</v>
      </c>
      <c r="Z337" s="397">
        <f>VLOOKUP($C337,'ТР нефть'!$A$29:$GC$641,81,0)</f>
        <v>21</v>
      </c>
      <c r="AA337" s="397" t="str">
        <f>VLOOKUP($C337,'ТР нефть'!$A$29:$GC$641,76,0)</f>
        <v>Постоянный</v>
      </c>
      <c r="AB337" s="397">
        <f>VLOOKUP($C337,'ТР нефть'!$A$29:$GC$641,77,0)</f>
        <v>24</v>
      </c>
      <c r="AC337" s="397">
        <f>VLOOKUP($C337,'ТР нефть'!$A$29:$GC$641,78,0)</f>
        <v>0</v>
      </c>
      <c r="AD337" s="398">
        <f>VLOOKUP($C337,'ТР нефть'!$A$29:$GC$641,93,0)</f>
        <v>10.615395075999999</v>
      </c>
      <c r="AE337" s="399">
        <f>VLOOKUP($C337,'ТР нефть'!$A$29:$GC$641,94,0)</f>
        <v>12.7</v>
      </c>
      <c r="AF337" s="400">
        <f>VLOOKUP($C337,'ТР нефть'!$A$29:$GC$641,95,0)</f>
        <v>1.7000000000000001E-2</v>
      </c>
      <c r="AG337" s="397">
        <f>VLOOKUP($C337,'ТР нефть'!$A$29:$GC$641,99,0)</f>
        <v>21</v>
      </c>
      <c r="AH337" s="397">
        <f>VLOOKUP($C337,'ТР нефть'!$A$29:$GC$641,100,0)</f>
        <v>1978.2589201487392</v>
      </c>
      <c r="AI337" s="397">
        <f>VLOOKUP($C337,'ТР нефть'!$A$29:$GC$641,92,0)</f>
        <v>40</v>
      </c>
      <c r="AJ337" s="403">
        <f>VLOOKUP($C337,'ТР нефть'!$A$29:$GC$641,102,0)</f>
        <v>0.2081967213114754</v>
      </c>
      <c r="AK337" s="404">
        <f t="shared" si="30"/>
        <v>0</v>
      </c>
      <c r="AL337" s="397">
        <f t="shared" si="30"/>
        <v>0</v>
      </c>
      <c r="AM337" s="397">
        <f t="shared" si="30"/>
        <v>0</v>
      </c>
      <c r="AN337" s="397">
        <f t="shared" si="30"/>
        <v>-1</v>
      </c>
      <c r="AO337" s="397">
        <f t="shared" si="31"/>
        <v>0</v>
      </c>
      <c r="AP337" s="397">
        <f t="shared" si="31"/>
        <v>0</v>
      </c>
      <c r="AQ337" s="398">
        <f t="shared" si="31"/>
        <v>2.2568162759999986</v>
      </c>
      <c r="AR337" s="399">
        <f t="shared" si="31"/>
        <v>2.6999999999999993</v>
      </c>
      <c r="AS337" s="400">
        <f t="shared" si="31"/>
        <v>0</v>
      </c>
      <c r="AT337" s="397">
        <f t="shared" si="31"/>
        <v>-1.6999999999999993</v>
      </c>
      <c r="AU337" s="397">
        <f t="shared" si="31"/>
        <v>64.057907890530942</v>
      </c>
      <c r="AV337" s="397">
        <f t="shared" si="31"/>
        <v>-3</v>
      </c>
      <c r="AW337" s="406">
        <f t="shared" si="31"/>
        <v>3.5782928208027115E-2</v>
      </c>
      <c r="AX337" s="392" t="str">
        <f>VLOOKUP($C337,'ТР нефть'!$A$29:$GC$641,182,0)</f>
        <v>Технология</v>
      </c>
      <c r="AY337" s="406" t="str">
        <f>VLOOKUP($C337,'ТР нефть'!$A$29:$GC$641,183,0)</f>
        <v>Увеличение дебита на фоне снижения Рлин</v>
      </c>
      <c r="AZ337" s="407">
        <f t="shared" si="32"/>
        <v>10.615395075999999</v>
      </c>
      <c r="BA337" s="408">
        <f t="shared" si="32"/>
        <v>12.7</v>
      </c>
      <c r="BB337" s="397">
        <f t="shared" si="32"/>
        <v>1.7000000000000001E-2</v>
      </c>
      <c r="BC337" s="698"/>
      <c r="BD337" s="699"/>
    </row>
    <row r="338" spans="1:56" ht="40.5" customHeight="1" outlineLevel="1" x14ac:dyDescent="0.25">
      <c r="A338" s="373"/>
      <c r="B338" s="392">
        <f t="shared" si="29"/>
        <v>20</v>
      </c>
      <c r="C338" s="490" t="s">
        <v>997</v>
      </c>
      <c r="D338" s="394" t="str">
        <f>VLOOKUP($C338,'ТР нефть'!$A$29:$GC$641,5,0)</f>
        <v>ВУ ОНГКМ</v>
      </c>
      <c r="E338" s="394" t="str">
        <f>VLOOKUP($C338,'ТР нефть'!$A$29:$GC$641,8,0)</f>
        <v>ТЛ-2</v>
      </c>
      <c r="F338" s="462" t="str">
        <f>VLOOKUP($C338,'ТР нефть'!$A$29:$GC$641,11,0)</f>
        <v>К-40</v>
      </c>
      <c r="G338" s="392" t="str">
        <f>VLOOKUP($C338,'ТР нефть'!$A$29:$GC$641,47,0)</f>
        <v>Газлифт</v>
      </c>
      <c r="H338" s="396">
        <f>VLOOKUP($C338,'ТР нефть'!$A$29:$GC$641,135,0)</f>
        <v>18</v>
      </c>
      <c r="I338" s="397">
        <f>VLOOKUP($C338,'ТР нефть'!$A$29:$GC$641,136,0)</f>
        <v>23</v>
      </c>
      <c r="J338" s="397">
        <f>VLOOKUP($C338,'ТР нефть'!$A$29:$GC$641,137,0)</f>
        <v>40</v>
      </c>
      <c r="K338" s="397">
        <f>VLOOKUP($C338,'ТР нефть'!$A$29:$GC$641,138,0)</f>
        <v>23</v>
      </c>
      <c r="L338" s="397" t="str">
        <f>VLOOKUP($C338,'ТР нефть'!$A$29:$GC$641,139,0)</f>
        <v>Постоянный</v>
      </c>
      <c r="M338" s="397">
        <f>VLOOKUP($C338,'ТР нефть'!$A$29:$GC$641,140,0)</f>
        <v>24</v>
      </c>
      <c r="N338" s="397">
        <f>VLOOKUP($C338,'ТР нефть'!$A$29:$GC$641,141,0)</f>
        <v>0</v>
      </c>
      <c r="O338" s="398">
        <f>VLOOKUP($C338,'ТР нефть'!$A$29:$GC$641,142,0)</f>
        <v>1.8797879672</v>
      </c>
      <c r="P338" s="399">
        <f>VLOOKUP($C338,'ТР нефть'!$A$29:$GC$641,143,0)</f>
        <v>2.2490000000000001</v>
      </c>
      <c r="Q338" s="400">
        <f>VLOOKUP($C338,'ТР нефть'!$A$29:$GC$641,144,0)</f>
        <v>0.02</v>
      </c>
      <c r="R338" s="397">
        <f>VLOOKUP($C338,'ТР нефть'!$A$29:$GC$641,145,0)</f>
        <v>11.9</v>
      </c>
      <c r="S338" s="397">
        <f>VLOOKUP($C338,'ТР нефть'!$A$29:$GC$641,146,0)</f>
        <v>744.76484817877736</v>
      </c>
      <c r="T338" s="397">
        <f>VLOOKUP($C338,'ТР нефть'!$A$29:$GC$641,149,0)</f>
        <v>50</v>
      </c>
      <c r="U338" s="403">
        <f>VLOOKUP($C338,'ТР нефть'!$A$29:$GC$641,150,0)</f>
        <v>0.11836842105263158</v>
      </c>
      <c r="V338" s="402" t="str">
        <f>VLOOKUP($C338,'ТР нефть'!$A$29:$GC$641,47,0)</f>
        <v>Газлифт</v>
      </c>
      <c r="W338" s="396">
        <f>VLOOKUP($C338,'ТР нефть'!$A$29:$GC$641,74,0)</f>
        <v>18</v>
      </c>
      <c r="X338" s="397">
        <f>VLOOKUP($C338,'ТР нефть'!$A$29:$GC$641,79,0)</f>
        <v>19</v>
      </c>
      <c r="Y338" s="397">
        <f>VLOOKUP($C338,'ТР нефть'!$A$29:$GC$641,80,0)</f>
        <v>36</v>
      </c>
      <c r="Z338" s="397">
        <f>VLOOKUP($C338,'ТР нефть'!$A$29:$GC$641,81,0)</f>
        <v>18</v>
      </c>
      <c r="AA338" s="397" t="str">
        <f>VLOOKUP($C338,'ТР нефть'!$A$29:$GC$641,76,0)</f>
        <v>Постоянный</v>
      </c>
      <c r="AB338" s="397">
        <f>VLOOKUP($C338,'ТР нефть'!$A$29:$GC$641,77,0)</f>
        <v>24</v>
      </c>
      <c r="AC338" s="397">
        <f>VLOOKUP($C338,'ТР нефть'!$A$29:$GC$641,78,0)</f>
        <v>0</v>
      </c>
      <c r="AD338" s="398">
        <f>VLOOKUP($C338,'ТР нефть'!$A$29:$GC$641,93,0)</f>
        <v>5.0588031999999998</v>
      </c>
      <c r="AE338" s="399">
        <f>VLOOKUP($C338,'ТР нефть'!$A$29:$GC$641,94,0)</f>
        <v>6.2</v>
      </c>
      <c r="AF338" s="400">
        <f>VLOOKUP($C338,'ТР нефть'!$A$29:$GC$641,95,0)</f>
        <v>2.4</v>
      </c>
      <c r="AG338" s="397">
        <f>VLOOKUP($C338,'ТР нефть'!$A$29:$GC$641,99,0)</f>
        <v>3.4000000000000004</v>
      </c>
      <c r="AH338" s="397">
        <f>VLOOKUP($C338,'ТР нефть'!$A$29:$GC$641,100,0)</f>
        <v>672.09572414281718</v>
      </c>
      <c r="AI338" s="397">
        <f>VLOOKUP($C338,'ТР нефть'!$A$29:$GC$641,92,0)</f>
        <v>43</v>
      </c>
      <c r="AJ338" s="403">
        <f>VLOOKUP($C338,'ТР нефть'!$A$29:$GC$641,102,0)</f>
        <v>0.23846153846153847</v>
      </c>
      <c r="AK338" s="404">
        <f t="shared" si="30"/>
        <v>0</v>
      </c>
      <c r="AL338" s="397">
        <f t="shared" si="30"/>
        <v>-4</v>
      </c>
      <c r="AM338" s="397">
        <f t="shared" si="30"/>
        <v>-4</v>
      </c>
      <c r="AN338" s="397">
        <f t="shared" si="30"/>
        <v>-5</v>
      </c>
      <c r="AO338" s="397">
        <f t="shared" si="31"/>
        <v>0</v>
      </c>
      <c r="AP338" s="397">
        <f t="shared" si="31"/>
        <v>0</v>
      </c>
      <c r="AQ338" s="398">
        <f t="shared" si="31"/>
        <v>3.1790152327999999</v>
      </c>
      <c r="AR338" s="399">
        <f t="shared" si="31"/>
        <v>3.9510000000000001</v>
      </c>
      <c r="AS338" s="400">
        <f t="shared" si="31"/>
        <v>2.38</v>
      </c>
      <c r="AT338" s="397">
        <f t="shared" si="31"/>
        <v>-8.5</v>
      </c>
      <c r="AU338" s="397">
        <f t="shared" si="31"/>
        <v>-72.669124035960181</v>
      </c>
      <c r="AV338" s="397">
        <f t="shared" si="31"/>
        <v>-7</v>
      </c>
      <c r="AW338" s="406">
        <f t="shared" si="31"/>
        <v>0.12009311740890689</v>
      </c>
      <c r="AX338" s="392" t="str">
        <f>VLOOKUP($C338,'ТР нефть'!$A$29:$GC$641,182,0)</f>
        <v>Технология</v>
      </c>
      <c r="AY338" s="406" t="str">
        <f>VLOOKUP($C338,'ТР нефть'!$A$29:$GC$641,183,0)</f>
        <v>Увеличение дебита на фоне снижения Рлин</v>
      </c>
      <c r="AZ338" s="407">
        <f t="shared" si="32"/>
        <v>5.0588031999999998</v>
      </c>
      <c r="BA338" s="408">
        <f t="shared" si="32"/>
        <v>6.2</v>
      </c>
      <c r="BB338" s="397">
        <f t="shared" si="32"/>
        <v>2.4</v>
      </c>
      <c r="BC338" s="698"/>
      <c r="BD338" s="699"/>
    </row>
    <row r="339" spans="1:56" ht="40.5" customHeight="1" outlineLevel="1" x14ac:dyDescent="0.25">
      <c r="A339" s="373"/>
      <c r="B339" s="392">
        <f t="shared" si="29"/>
        <v>21</v>
      </c>
      <c r="C339" s="490" t="s">
        <v>1017</v>
      </c>
      <c r="D339" s="394" t="str">
        <f>VLOOKUP($C339,'ТР нефть'!$A$29:$GC$641,5,0)</f>
        <v>ВУ ОНГКМ</v>
      </c>
      <c r="E339" s="394" t="str">
        <f>VLOOKUP($C339,'ТР нефть'!$A$29:$GC$641,8,0)</f>
        <v>ТЛ-4</v>
      </c>
      <c r="F339" s="462" t="str">
        <f>VLOOKUP($C339,'ТР нефть'!$A$29:$GC$641,11,0)</f>
        <v>К-1106-1</v>
      </c>
      <c r="G339" s="392" t="str">
        <f>VLOOKUP($C339,'ТР нефть'!$A$29:$GC$641,47,0)</f>
        <v>Газлифт</v>
      </c>
      <c r="H339" s="396">
        <f>VLOOKUP($C339,'ТР нефть'!$A$29:$GC$641,135,0)</f>
        <v>18</v>
      </c>
      <c r="I339" s="397">
        <f>VLOOKUP($C339,'ТР нефть'!$A$29:$GC$641,136,0)</f>
        <v>27</v>
      </c>
      <c r="J339" s="397">
        <f>VLOOKUP($C339,'ТР нефть'!$A$29:$GC$641,137,0)</f>
        <v>67</v>
      </c>
      <c r="K339" s="397">
        <f>VLOOKUP($C339,'ТР нефть'!$A$29:$GC$641,138,0)</f>
        <v>26</v>
      </c>
      <c r="L339" s="397" t="str">
        <f>VLOOKUP($C339,'ТР нефть'!$A$29:$GC$641,139,0)</f>
        <v>Постоянный</v>
      </c>
      <c r="M339" s="397">
        <f>VLOOKUP($C339,'ТР нефть'!$A$29:$GC$641,140,0)</f>
        <v>24</v>
      </c>
      <c r="N339" s="397">
        <f>VLOOKUP($C339,'ТР нефть'!$A$29:$GC$641,141,0)</f>
        <v>0</v>
      </c>
      <c r="O339" s="398">
        <f>VLOOKUP($C339,'ТР нефть'!$A$29:$GC$641,142,0)</f>
        <v>1.6552799999999996</v>
      </c>
      <c r="P339" s="399">
        <f>VLOOKUP($C339,'ТР нефть'!$A$29:$GC$641,143,0)</f>
        <v>9</v>
      </c>
      <c r="Q339" s="400">
        <f>VLOOKUP($C339,'ТР нефть'!$A$29:$GC$641,144,0)</f>
        <v>78</v>
      </c>
      <c r="R339" s="397">
        <f>VLOOKUP($C339,'ТР нефть'!$A$29:$GC$641,145,0)</f>
        <v>28</v>
      </c>
      <c r="S339" s="397">
        <f>VLOOKUP($C339,'ТР нефть'!$A$29:$GC$641,146,0)</f>
        <v>5437.1465854719454</v>
      </c>
      <c r="T339" s="397">
        <f>VLOOKUP($C339,'ТР нефть'!$A$29:$GC$641,149,0)</f>
        <v>79</v>
      </c>
      <c r="U339" s="403">
        <f>VLOOKUP($C339,'ТР нефть'!$A$29:$GC$641,150,0)</f>
        <v>1.125</v>
      </c>
      <c r="V339" s="402" t="str">
        <f>VLOOKUP($C339,'ТР нефть'!$A$29:$GC$641,47,0)</f>
        <v>Газлифт</v>
      </c>
      <c r="W339" s="396">
        <f>VLOOKUP($C339,'ТР нефть'!$A$29:$GC$641,74,0)</f>
        <v>18</v>
      </c>
      <c r="X339" s="397">
        <f>VLOOKUP($C339,'ТР нефть'!$A$29:$GC$641,79,0)</f>
        <v>25</v>
      </c>
      <c r="Y339" s="397">
        <f>VLOOKUP($C339,'ТР нефть'!$A$29:$GC$641,80,0)</f>
        <v>65</v>
      </c>
      <c r="Z339" s="397">
        <f>VLOOKUP($C339,'ТР нефть'!$A$29:$GC$641,81,0)</f>
        <v>24</v>
      </c>
      <c r="AA339" s="397" t="str">
        <f>VLOOKUP($C339,'ТР нефть'!$A$29:$GC$641,76,0)</f>
        <v>Постоянный</v>
      </c>
      <c r="AB339" s="397">
        <f>VLOOKUP($C339,'ТР нефть'!$A$29:$GC$641,77,0)</f>
        <v>24</v>
      </c>
      <c r="AC339" s="397">
        <f>VLOOKUP($C339,'ТР нефть'!$A$29:$GC$641,78,0)</f>
        <v>0</v>
      </c>
      <c r="AD339" s="398">
        <f>VLOOKUP($C339,'ТР нефть'!$A$29:$GC$641,93,0)</f>
        <v>5.4891759999999996</v>
      </c>
      <c r="AE339" s="399">
        <f>VLOOKUP($C339,'ТР нефть'!$A$29:$GC$641,94,0)</f>
        <v>13.4</v>
      </c>
      <c r="AF339" s="400">
        <f>VLOOKUP($C339,'ТР нефть'!$A$29:$GC$641,95,0)</f>
        <v>51</v>
      </c>
      <c r="AG339" s="397">
        <f>VLOOKUP($C339,'ТР нефть'!$A$29:$GC$641,99,0)</f>
        <v>10.4</v>
      </c>
      <c r="AH339" s="397">
        <f>VLOOKUP($C339,'ТР нефть'!$A$29:$GC$641,100,0)</f>
        <v>1894.6377379774306</v>
      </c>
      <c r="AI339" s="397">
        <f>VLOOKUP($C339,'ТР нефть'!$A$29:$GC$641,92,0)</f>
        <v>79</v>
      </c>
      <c r="AJ339" s="403">
        <f>VLOOKUP($C339,'ТР нефть'!$A$29:$GC$641,102,0)</f>
        <v>1.675</v>
      </c>
      <c r="AK339" s="404">
        <f t="shared" si="30"/>
        <v>0</v>
      </c>
      <c r="AL339" s="397">
        <f t="shared" si="30"/>
        <v>-2</v>
      </c>
      <c r="AM339" s="397">
        <f t="shared" si="30"/>
        <v>-2</v>
      </c>
      <c r="AN339" s="397">
        <f t="shared" si="30"/>
        <v>-2</v>
      </c>
      <c r="AO339" s="397">
        <f t="shared" si="31"/>
        <v>0</v>
      </c>
      <c r="AP339" s="397">
        <f t="shared" si="31"/>
        <v>0</v>
      </c>
      <c r="AQ339" s="398">
        <f t="shared" si="31"/>
        <v>3.8338960000000002</v>
      </c>
      <c r="AR339" s="399">
        <f t="shared" si="31"/>
        <v>4.4000000000000004</v>
      </c>
      <c r="AS339" s="400">
        <f t="shared" si="31"/>
        <v>-27</v>
      </c>
      <c r="AT339" s="397">
        <f t="shared" si="31"/>
        <v>-17.600000000000001</v>
      </c>
      <c r="AU339" s="397">
        <f t="shared" si="31"/>
        <v>-3542.5088474945151</v>
      </c>
      <c r="AV339" s="397">
        <f t="shared" si="31"/>
        <v>0</v>
      </c>
      <c r="AW339" s="406">
        <f t="shared" si="31"/>
        <v>0.55000000000000004</v>
      </c>
      <c r="AX339" s="392" t="str">
        <f>VLOOKUP($C339,'ТР нефть'!$A$29:$GC$641,182,0)</f>
        <v>Технология</v>
      </c>
      <c r="AY339" s="406" t="str">
        <f>VLOOKUP($C339,'ТР нефть'!$A$29:$GC$641,183,0)</f>
        <v>НУР после ТКРС и  длительного простоя</v>
      </c>
      <c r="AZ339" s="407">
        <f t="shared" si="32"/>
        <v>5.4891759999999996</v>
      </c>
      <c r="BA339" s="408">
        <f t="shared" si="32"/>
        <v>13.4</v>
      </c>
      <c r="BB339" s="397">
        <f t="shared" si="32"/>
        <v>51</v>
      </c>
      <c r="BC339" s="698"/>
      <c r="BD339" s="699"/>
    </row>
    <row r="340" spans="1:56" ht="40.5" customHeight="1" outlineLevel="1" x14ac:dyDescent="0.25">
      <c r="A340" s="373"/>
      <c r="B340" s="392">
        <f t="shared" si="29"/>
        <v>22</v>
      </c>
      <c r="C340" s="490">
        <v>1108</v>
      </c>
      <c r="D340" s="394" t="str">
        <f>VLOOKUP($C340,'ТР нефть'!$A$29:$GC$641,5,0)</f>
        <v>ВУ ОНГКМ</v>
      </c>
      <c r="E340" s="394" t="str">
        <f>VLOOKUP($C340,'ТР нефть'!$A$29:$GC$641,8,0)</f>
        <v>ТЛ-4</v>
      </c>
      <c r="F340" s="462" t="str">
        <f>VLOOKUP($C340,'ТР нефть'!$A$29:$GC$641,11,0)</f>
        <v>К-15</v>
      </c>
      <c r="G340" s="392" t="str">
        <f>VLOOKUP($C340,'ТР нефть'!$A$29:$GC$641,47,0)</f>
        <v>ЭЦН</v>
      </c>
      <c r="H340" s="396">
        <f>VLOOKUP($C340,'ТР нефть'!$A$29:$GC$641,135,0)</f>
        <v>65</v>
      </c>
      <c r="I340" s="397">
        <f>VLOOKUP($C340,'ТР нефть'!$A$29:$GC$641,136,0)</f>
        <v>31</v>
      </c>
      <c r="J340" s="397">
        <f>VLOOKUP($C340,'ТР нефть'!$A$29:$GC$641,137,0)</f>
        <v>31</v>
      </c>
      <c r="K340" s="397">
        <f>VLOOKUP($C340,'ТР нефть'!$A$29:$GC$641,138,0)</f>
        <v>28</v>
      </c>
      <c r="L340" s="397" t="str">
        <f>VLOOKUP($C340,'ТР нефть'!$A$29:$GC$641,139,0)</f>
        <v>Постоянный</v>
      </c>
      <c r="M340" s="397">
        <f>VLOOKUP($C340,'ТР нефть'!$A$29:$GC$641,140,0)</f>
        <v>24</v>
      </c>
      <c r="N340" s="397">
        <f>VLOOKUP($C340,'ТР нефть'!$A$29:$GC$641,141,0)</f>
        <v>0</v>
      </c>
      <c r="O340" s="398">
        <f>VLOOKUP($C340,'ТР нефть'!$A$29:$GC$641,142,0)</f>
        <v>7.4731712000000066</v>
      </c>
      <c r="P340" s="399">
        <f>VLOOKUP($C340,'ТР нефть'!$A$29:$GC$641,143,0)</f>
        <v>241.6</v>
      </c>
      <c r="Q340" s="400">
        <f>VLOOKUP($C340,'ТР нефть'!$A$29:$GC$641,144,0)</f>
        <v>96.3</v>
      </c>
      <c r="R340" s="397">
        <f>VLOOKUP($C340,'ТР нефть'!$A$29:$GC$641,145,0)</f>
        <v>1.976</v>
      </c>
      <c r="S340" s="397">
        <f>VLOOKUP($C340,'ТР нефть'!$A$29:$GC$641,146,0)</f>
        <v>264.41251606814495</v>
      </c>
      <c r="T340" s="397">
        <f>VLOOKUP($C340,'ТР нефть'!$A$29:$GC$641,149,0)</f>
        <v>134.91989953684998</v>
      </c>
      <c r="U340" s="403">
        <f>VLOOKUP($C340,'ТР нефть'!$A$29:$GC$641,150,0)</f>
        <v>14.145115862828048</v>
      </c>
      <c r="V340" s="402" t="str">
        <f>VLOOKUP($C340,'ТР нефть'!$A$29:$GC$641,47,0)</f>
        <v>ЭЦН</v>
      </c>
      <c r="W340" s="396">
        <f>VLOOKUP($C340,'ТР нефть'!$A$29:$GC$641,74,0)</f>
        <v>65</v>
      </c>
      <c r="X340" s="397">
        <f>VLOOKUP($C340,'ТР нефть'!$A$29:$GC$641,79,0)</f>
        <v>41</v>
      </c>
      <c r="Y340" s="397">
        <f>VLOOKUP($C340,'ТР нефть'!$A$29:$GC$641,80,0)</f>
        <v>30</v>
      </c>
      <c r="Z340" s="397">
        <f>VLOOKUP($C340,'ТР нефть'!$A$29:$GC$641,81,0)</f>
        <v>28</v>
      </c>
      <c r="AA340" s="397" t="str">
        <f>VLOOKUP($C340,'ТР нефть'!$A$29:$GC$641,76,0)</f>
        <v>Постоянный</v>
      </c>
      <c r="AB340" s="397">
        <f>VLOOKUP($C340,'ТР нефть'!$A$29:$GC$641,77,0)</f>
        <v>24</v>
      </c>
      <c r="AC340" s="397">
        <f>VLOOKUP($C340,'ТР нефть'!$A$29:$GC$641,78,0)</f>
        <v>0</v>
      </c>
      <c r="AD340" s="398">
        <f>VLOOKUP($C340,'ТР нефть'!$A$29:$GC$641,93,0)</f>
        <v>10.533600000000011</v>
      </c>
      <c r="AE340" s="399">
        <f>VLOOKUP($C340,'ТР нефть'!$A$29:$GC$641,94,0)</f>
        <v>420</v>
      </c>
      <c r="AF340" s="400">
        <f>VLOOKUP($C340,'ТР нефть'!$A$29:$GC$641,95,0)</f>
        <v>97</v>
      </c>
      <c r="AG340" s="397">
        <f>VLOOKUP($C340,'ТР нефть'!$A$29:$GC$641,99,0)</f>
        <v>10</v>
      </c>
      <c r="AH340" s="397">
        <f>VLOOKUP($C340,'ТР нефть'!$A$29:$GC$641,100,0)</f>
        <v>949.34305460621158</v>
      </c>
      <c r="AI340" s="397">
        <f>VLOOKUP($C340,'ТР нефть'!$A$29:$GC$641,92,0)</f>
        <v>124.02073422149999</v>
      </c>
      <c r="AJ340" s="403">
        <f>VLOOKUP($C340,'ТР нефть'!$A$29:$GC$641,102,0)</f>
        <v>15.011115850035596</v>
      </c>
      <c r="AK340" s="404">
        <f t="shared" si="30"/>
        <v>0</v>
      </c>
      <c r="AL340" s="397">
        <f t="shared" si="30"/>
        <v>10</v>
      </c>
      <c r="AM340" s="397">
        <f t="shared" si="30"/>
        <v>-1</v>
      </c>
      <c r="AN340" s="397">
        <f t="shared" si="30"/>
        <v>0</v>
      </c>
      <c r="AO340" s="397">
        <f t="shared" si="31"/>
        <v>0</v>
      </c>
      <c r="AP340" s="397">
        <f t="shared" si="31"/>
        <v>0</v>
      </c>
      <c r="AQ340" s="398">
        <f t="shared" si="31"/>
        <v>3.0604288000000039</v>
      </c>
      <c r="AR340" s="399">
        <f t="shared" si="31"/>
        <v>178.4</v>
      </c>
      <c r="AS340" s="400">
        <f t="shared" si="31"/>
        <v>0.70000000000000284</v>
      </c>
      <c r="AT340" s="397">
        <f t="shared" si="31"/>
        <v>8.0240000000000009</v>
      </c>
      <c r="AU340" s="397">
        <f t="shared" si="31"/>
        <v>684.93053853806668</v>
      </c>
      <c r="AV340" s="397">
        <f t="shared" si="31"/>
        <v>-10.89916531534999</v>
      </c>
      <c r="AW340" s="406">
        <f t="shared" si="31"/>
        <v>0.86599998720754812</v>
      </c>
      <c r="AX340" s="392" t="str">
        <f>VLOOKUP($C340,'ТР нефть'!$A$29:$GC$641,182,0)</f>
        <v>Технология</v>
      </c>
      <c r="AY340" s="406" t="str">
        <f>VLOOKUP($C340,'ТР нефть'!$A$29:$GC$641,183,0)</f>
        <v>Увеличение F-60 Гц</v>
      </c>
      <c r="AZ340" s="407">
        <f t="shared" si="32"/>
        <v>10.533600000000011</v>
      </c>
      <c r="BA340" s="408">
        <f t="shared" si="32"/>
        <v>420</v>
      </c>
      <c r="BB340" s="397">
        <f t="shared" si="32"/>
        <v>97</v>
      </c>
      <c r="BC340" s="698"/>
      <c r="BD340" s="699"/>
    </row>
    <row r="341" spans="1:56" ht="40.5" customHeight="1" outlineLevel="1" x14ac:dyDescent="0.25">
      <c r="A341" s="373"/>
      <c r="B341" s="392">
        <f t="shared" si="29"/>
        <v>23</v>
      </c>
      <c r="C341" s="490">
        <v>1114</v>
      </c>
      <c r="D341" s="394" t="str">
        <f>VLOOKUP($C341,'ТР нефть'!$A$29:$GC$641,5,0)</f>
        <v>ВУ ОНГКМ</v>
      </c>
      <c r="E341" s="394" t="str">
        <f>VLOOKUP($C341,'ТР нефть'!$A$29:$GC$641,8,0)</f>
        <v>ТЛ-4</v>
      </c>
      <c r="F341" s="462" t="str">
        <f>VLOOKUP($C341,'ТР нефть'!$A$29:$GC$641,11,0)</f>
        <v>К-18</v>
      </c>
      <c r="G341" s="392" t="str">
        <f>VLOOKUP($C341,'ТР нефть'!$A$29:$GC$641,47,0)</f>
        <v>Газлифт</v>
      </c>
      <c r="H341" s="396">
        <f>VLOOKUP($C341,'ТР нефть'!$A$29:$GC$641,135,0)</f>
        <v>65</v>
      </c>
      <c r="I341" s="397">
        <f>VLOOKUP($C341,'ТР нефть'!$A$29:$GC$641,136,0)</f>
        <v>27</v>
      </c>
      <c r="J341" s="397">
        <f>VLOOKUP($C341,'ТР нефть'!$A$29:$GC$641,137,0)</f>
        <v>40</v>
      </c>
      <c r="K341" s="397">
        <f>VLOOKUP($C341,'ТР нефть'!$A$29:$GC$641,138,0)</f>
        <v>26</v>
      </c>
      <c r="L341" s="397" t="str">
        <f>VLOOKUP($C341,'ТР нефть'!$A$29:$GC$641,139,0)</f>
        <v>Постоянный</v>
      </c>
      <c r="M341" s="397">
        <f>VLOOKUP($C341,'ТР нефть'!$A$29:$GC$641,140,0)</f>
        <v>24</v>
      </c>
      <c r="N341" s="397">
        <f>VLOOKUP($C341,'ТР нефть'!$A$29:$GC$641,141,0)</f>
        <v>0</v>
      </c>
      <c r="O341" s="398">
        <f>VLOOKUP($C341,'ТР нефть'!$A$29:$GC$641,142,0)</f>
        <v>5.7841167999999987</v>
      </c>
      <c r="P341" s="399">
        <f>VLOOKUP($C341,'ТР нефть'!$A$29:$GC$641,143,0)</f>
        <v>7</v>
      </c>
      <c r="Q341" s="400">
        <f>VLOOKUP($C341,'ТР нефть'!$A$29:$GC$641,144,0)</f>
        <v>1.1599999999999999</v>
      </c>
      <c r="R341" s="397">
        <f>VLOOKUP($C341,'ТР нефть'!$A$29:$GC$641,145,0)</f>
        <v>21.1</v>
      </c>
      <c r="S341" s="397">
        <f>VLOOKUP($C341,'ТР нефть'!$A$29:$GC$641,146,0)</f>
        <v>1573.2739006930158</v>
      </c>
      <c r="T341" s="397">
        <f>VLOOKUP($C341,'ТР нефть'!$A$29:$GC$641,149,0)</f>
        <v>51</v>
      </c>
      <c r="U341" s="403">
        <f>VLOOKUP($C341,'ТР нефть'!$A$29:$GC$641,150,0)</f>
        <v>0.16666666666666666</v>
      </c>
      <c r="V341" s="402" t="str">
        <f>VLOOKUP($C341,'ТР нефть'!$A$29:$GC$641,47,0)</f>
        <v>Газлифт</v>
      </c>
      <c r="W341" s="396">
        <f>VLOOKUP($C341,'ТР нефть'!$A$29:$GC$641,74,0)</f>
        <v>65</v>
      </c>
      <c r="X341" s="397">
        <f>VLOOKUP($C341,'ТР нефть'!$A$29:$GC$641,79,0)</f>
        <v>23</v>
      </c>
      <c r="Y341" s="397">
        <f>VLOOKUP($C341,'ТР нефть'!$A$29:$GC$641,80,0)</f>
        <v>36</v>
      </c>
      <c r="Z341" s="397">
        <f>VLOOKUP($C341,'ТР нефть'!$A$29:$GC$641,81,0)</f>
        <v>23</v>
      </c>
      <c r="AA341" s="397" t="str">
        <f>VLOOKUP($C341,'ТР нефть'!$A$29:$GC$641,76,0)</f>
        <v>Постоянный</v>
      </c>
      <c r="AB341" s="397">
        <f>VLOOKUP($C341,'ТР нефть'!$A$29:$GC$641,77,0)</f>
        <v>24</v>
      </c>
      <c r="AC341" s="397">
        <f>VLOOKUP($C341,'ТР нефть'!$A$29:$GC$641,78,0)</f>
        <v>0</v>
      </c>
      <c r="AD341" s="398">
        <f>VLOOKUP($C341,'ТР нефть'!$A$29:$GC$641,93,0)</f>
        <v>9.6975999999999996</v>
      </c>
      <c r="AE341" s="399">
        <f>VLOOKUP($C341,'ТР нефть'!$A$29:$GC$641,94,0)</f>
        <v>11.6</v>
      </c>
      <c r="AF341" s="400">
        <f>VLOOKUP($C341,'ТР нефть'!$A$29:$GC$641,95,0)</f>
        <v>0</v>
      </c>
      <c r="AG341" s="397">
        <f>VLOOKUP($C341,'ТР нефть'!$A$29:$GC$641,99,0)</f>
        <v>9.1000000000000014</v>
      </c>
      <c r="AH341" s="397">
        <f>VLOOKUP($C341,'ТР нефть'!$A$29:$GC$641,100,0)</f>
        <v>938.37650552714092</v>
      </c>
      <c r="AI341" s="397">
        <f>VLOOKUP($C341,'ТР нефть'!$A$29:$GC$641,92,0)</f>
        <v>47</v>
      </c>
      <c r="AJ341" s="403">
        <f>VLOOKUP($C341,'ТР нефть'!$A$29:$GC$641,102,0)</f>
        <v>0.25217391304347825</v>
      </c>
      <c r="AK341" s="404">
        <f t="shared" si="30"/>
        <v>0</v>
      </c>
      <c r="AL341" s="397">
        <f t="shared" si="30"/>
        <v>-4</v>
      </c>
      <c r="AM341" s="397">
        <f t="shared" si="30"/>
        <v>-4</v>
      </c>
      <c r="AN341" s="397">
        <f t="shared" si="30"/>
        <v>-3</v>
      </c>
      <c r="AO341" s="397">
        <f t="shared" si="31"/>
        <v>0</v>
      </c>
      <c r="AP341" s="397">
        <f t="shared" si="31"/>
        <v>0</v>
      </c>
      <c r="AQ341" s="398">
        <f t="shared" si="31"/>
        <v>3.9134832000000008</v>
      </c>
      <c r="AR341" s="399">
        <f t="shared" si="31"/>
        <v>4.5999999999999996</v>
      </c>
      <c r="AS341" s="400">
        <f t="shared" si="31"/>
        <v>-1.1599999999999999</v>
      </c>
      <c r="AT341" s="397">
        <f t="shared" si="31"/>
        <v>-12</v>
      </c>
      <c r="AU341" s="397">
        <f t="shared" si="31"/>
        <v>-634.89739516587485</v>
      </c>
      <c r="AV341" s="397">
        <f t="shared" si="31"/>
        <v>-4</v>
      </c>
      <c r="AW341" s="406">
        <f t="shared" si="31"/>
        <v>8.5507246376811591E-2</v>
      </c>
      <c r="AX341" s="392" t="str">
        <f>VLOOKUP($C341,'ТР нефть'!$A$29:$GC$641,182,0)</f>
        <v>Технология</v>
      </c>
      <c r="AY341" s="406" t="str">
        <f>VLOOKUP($C341,'ТР нефть'!$A$29:$GC$641,183,0)</f>
        <v>Увеличение дебита на фоне снижения Рлин</v>
      </c>
      <c r="AZ341" s="407">
        <f t="shared" si="32"/>
        <v>9.6975999999999996</v>
      </c>
      <c r="BA341" s="408">
        <f t="shared" si="32"/>
        <v>11.6</v>
      </c>
      <c r="BB341" s="397">
        <f t="shared" si="32"/>
        <v>0</v>
      </c>
      <c r="BC341" s="698"/>
      <c r="BD341" s="699"/>
    </row>
    <row r="342" spans="1:56" ht="40.5" customHeight="1" outlineLevel="1" x14ac:dyDescent="0.25">
      <c r="A342" s="373"/>
      <c r="B342" s="392">
        <f t="shared" si="29"/>
        <v>24</v>
      </c>
      <c r="C342" s="490" t="s">
        <v>1056</v>
      </c>
      <c r="D342" s="394" t="str">
        <f>VLOOKUP($C342,'ТР нефть'!$A$29:$GC$641,5,0)</f>
        <v>ВУ ОНГКМ</v>
      </c>
      <c r="E342" s="394" t="str">
        <f>VLOOKUP($C342,'ТР нефть'!$A$29:$GC$641,8,0)</f>
        <v>ТЛ-4</v>
      </c>
      <c r="F342" s="462" t="str">
        <f>VLOOKUP($C342,'ТР нефть'!$A$29:$GC$641,11,0)</f>
        <v>К-18</v>
      </c>
      <c r="G342" s="392" t="str">
        <f>VLOOKUP($C342,'ТР нефть'!$A$29:$GC$641,47,0)</f>
        <v>Газлифт</v>
      </c>
      <c r="H342" s="396">
        <f>VLOOKUP($C342,'ТР нефть'!$A$29:$GC$641,135,0)</f>
        <v>18</v>
      </c>
      <c r="I342" s="397">
        <f>VLOOKUP($C342,'ТР нефть'!$A$29:$GC$641,136,0)</f>
        <v>27</v>
      </c>
      <c r="J342" s="397">
        <f>VLOOKUP($C342,'ТР нефть'!$A$29:$GC$641,137,0)</f>
        <v>43</v>
      </c>
      <c r="K342" s="397">
        <f>VLOOKUP($C342,'ТР нефть'!$A$29:$GC$641,138,0)</f>
        <v>26</v>
      </c>
      <c r="L342" s="397" t="str">
        <f>VLOOKUP($C342,'ТР нефть'!$A$29:$GC$641,139,0)</f>
        <v>Постоянный</v>
      </c>
      <c r="M342" s="397">
        <f>VLOOKUP($C342,'ТР нефть'!$A$29:$GC$641,140,0)</f>
        <v>24</v>
      </c>
      <c r="N342" s="397">
        <f>VLOOKUP($C342,'ТР нефть'!$A$29:$GC$641,141,0)</f>
        <v>0</v>
      </c>
      <c r="O342" s="398">
        <f>VLOOKUP($C342,'ТР нефть'!$A$29:$GC$641,142,0)</f>
        <v>5.0561280000000002</v>
      </c>
      <c r="P342" s="399">
        <f>VLOOKUP($C342,'ТР нефть'!$A$29:$GC$641,143,0)</f>
        <v>6.3</v>
      </c>
      <c r="Q342" s="400">
        <f>VLOOKUP($C342,'ТР нефть'!$A$29:$GC$641,144,0)</f>
        <v>4</v>
      </c>
      <c r="R342" s="397">
        <f>VLOOKUP($C342,'ТР нефть'!$A$29:$GC$641,145,0)</f>
        <v>18</v>
      </c>
      <c r="S342" s="397">
        <f>VLOOKUP($C342,'ТР нефть'!$A$29:$GC$641,146,0)</f>
        <v>1756.2846510214931</v>
      </c>
      <c r="T342" s="397">
        <f>VLOOKUP($C342,'ТР нефть'!$A$29:$GC$641,149,0)</f>
        <v>49</v>
      </c>
      <c r="U342" s="403">
        <f>VLOOKUP($C342,'ТР нефть'!$A$29:$GC$641,150,0)</f>
        <v>0.21</v>
      </c>
      <c r="V342" s="402" t="str">
        <f>VLOOKUP($C342,'ТР нефть'!$A$29:$GC$641,47,0)</f>
        <v>Газлифт</v>
      </c>
      <c r="W342" s="396">
        <f>VLOOKUP($C342,'ТР нефть'!$A$29:$GC$641,74,0)</f>
        <v>18</v>
      </c>
      <c r="X342" s="397">
        <f>VLOOKUP($C342,'ТР нефть'!$A$29:$GC$641,79,0)</f>
        <v>25</v>
      </c>
      <c r="Y342" s="397">
        <f>VLOOKUP($C342,'ТР нефть'!$A$29:$GC$641,80,0)</f>
        <v>40</v>
      </c>
      <c r="Z342" s="397">
        <f>VLOOKUP($C342,'ТР нефть'!$A$29:$GC$641,81,0)</f>
        <v>24</v>
      </c>
      <c r="AA342" s="397" t="str">
        <f>VLOOKUP($C342,'ТР нефть'!$A$29:$GC$641,76,0)</f>
        <v>Постоянный</v>
      </c>
      <c r="AB342" s="397">
        <f>VLOOKUP($C342,'ТР нефть'!$A$29:$GC$641,77,0)</f>
        <v>24</v>
      </c>
      <c r="AC342" s="397">
        <f>VLOOKUP($C342,'ТР нефть'!$A$29:$GC$641,78,0)</f>
        <v>0</v>
      </c>
      <c r="AD342" s="398">
        <f>VLOOKUP($C342,'ТР нефть'!$A$29:$GC$641,93,0)</f>
        <v>6.5207999999999995</v>
      </c>
      <c r="AE342" s="399">
        <f>VLOOKUP($C342,'ТР нефть'!$A$29:$GC$641,94,0)</f>
        <v>8</v>
      </c>
      <c r="AF342" s="400">
        <f>VLOOKUP($C342,'ТР нефть'!$A$29:$GC$641,95,0)</f>
        <v>2.5</v>
      </c>
      <c r="AG342" s="397">
        <f>VLOOKUP($C342,'ТР нефть'!$A$29:$GC$641,99,0)</f>
        <v>8.4</v>
      </c>
      <c r="AH342" s="397">
        <f>VLOOKUP($C342,'ТР нефть'!$A$29:$GC$641,100,0)</f>
        <v>1288.1854987118147</v>
      </c>
      <c r="AI342" s="397">
        <f>VLOOKUP($C342,'ТР нефть'!$A$29:$GC$641,92,0)</f>
        <v>49</v>
      </c>
      <c r="AJ342" s="403">
        <f>VLOOKUP($C342,'ТР нефть'!$A$29:$GC$641,102,0)</f>
        <v>0.26666666666666666</v>
      </c>
      <c r="AK342" s="404">
        <f t="shared" si="30"/>
        <v>0</v>
      </c>
      <c r="AL342" s="397">
        <f t="shared" si="30"/>
        <v>-2</v>
      </c>
      <c r="AM342" s="397">
        <f t="shared" si="30"/>
        <v>-3</v>
      </c>
      <c r="AN342" s="397">
        <f t="shared" si="30"/>
        <v>-2</v>
      </c>
      <c r="AO342" s="397">
        <f t="shared" si="31"/>
        <v>0</v>
      </c>
      <c r="AP342" s="397">
        <f t="shared" si="31"/>
        <v>0</v>
      </c>
      <c r="AQ342" s="398">
        <f t="shared" si="31"/>
        <v>1.4646719999999993</v>
      </c>
      <c r="AR342" s="399">
        <f t="shared" si="31"/>
        <v>1.7000000000000002</v>
      </c>
      <c r="AS342" s="400">
        <f t="shared" si="31"/>
        <v>-1.5</v>
      </c>
      <c r="AT342" s="397">
        <f t="shared" si="31"/>
        <v>-9.6</v>
      </c>
      <c r="AU342" s="397">
        <f t="shared" si="31"/>
        <v>-468.0991523096784</v>
      </c>
      <c r="AV342" s="397">
        <f t="shared" si="31"/>
        <v>0</v>
      </c>
      <c r="AW342" s="406">
        <f t="shared" si="31"/>
        <v>5.6666666666666671E-2</v>
      </c>
      <c r="AX342" s="392" t="str">
        <f>VLOOKUP($C342,'ТР нефть'!$A$29:$GC$641,182,0)</f>
        <v>Технология</v>
      </c>
      <c r="AY342" s="406" t="str">
        <f>VLOOKUP($C342,'ТР нефть'!$A$29:$GC$641,183,0)</f>
        <v>Увеличение дебита на фоне снижения Рлин</v>
      </c>
      <c r="AZ342" s="407">
        <f t="shared" si="32"/>
        <v>6.5207999999999995</v>
      </c>
      <c r="BA342" s="408">
        <f t="shared" si="32"/>
        <v>8</v>
      </c>
      <c r="BB342" s="397">
        <f t="shared" si="32"/>
        <v>2.5</v>
      </c>
      <c r="BC342" s="698"/>
      <c r="BD342" s="699"/>
    </row>
    <row r="343" spans="1:56" ht="40.5" customHeight="1" outlineLevel="1" x14ac:dyDescent="0.25">
      <c r="A343" s="373"/>
      <c r="B343" s="392">
        <f t="shared" si="29"/>
        <v>25</v>
      </c>
      <c r="C343" s="490">
        <v>1119</v>
      </c>
      <c r="D343" s="394" t="str">
        <f>VLOOKUP($C343,'ТР нефть'!$A$29:$GC$641,5,0)</f>
        <v>ВУ ОНГКМ</v>
      </c>
      <c r="E343" s="394" t="str">
        <f>VLOOKUP($C343,'ТР нефть'!$A$29:$GC$641,8,0)</f>
        <v>ТЛ-4</v>
      </c>
      <c r="F343" s="462" t="str">
        <f>VLOOKUP($C343,'ТР нефть'!$A$29:$GC$641,11,0)</f>
        <v>К-19</v>
      </c>
      <c r="G343" s="392" t="str">
        <f>VLOOKUP($C343,'ТР нефть'!$A$29:$GC$641,47,0)</f>
        <v>Газлифт</v>
      </c>
      <c r="H343" s="396">
        <f>VLOOKUP($C343,'ТР нефть'!$A$29:$GC$641,135,0)</f>
        <v>65</v>
      </c>
      <c r="I343" s="397">
        <f>VLOOKUP($C343,'ТР нефть'!$A$29:$GC$641,136,0)</f>
        <v>28</v>
      </c>
      <c r="J343" s="397">
        <f>VLOOKUP($C343,'ТР нефть'!$A$29:$GC$641,137,0)</f>
        <v>40</v>
      </c>
      <c r="K343" s="397">
        <f>VLOOKUP($C343,'ТР нефть'!$A$29:$GC$641,138,0)</f>
        <v>27</v>
      </c>
      <c r="L343" s="397" t="str">
        <f>VLOOKUP($C343,'ТР нефть'!$A$29:$GC$641,139,0)</f>
        <v>Постоянный</v>
      </c>
      <c r="M343" s="397">
        <f>VLOOKUP($C343,'ТР нефть'!$A$29:$GC$641,140,0)</f>
        <v>24</v>
      </c>
      <c r="N343" s="397">
        <f>VLOOKUP($C343,'ТР нефть'!$A$29:$GC$641,141,0)</f>
        <v>0</v>
      </c>
      <c r="O343" s="398">
        <f>VLOOKUP($C343,'ТР нефть'!$A$29:$GC$641,142,0)</f>
        <v>10.5336</v>
      </c>
      <c r="P343" s="399">
        <f>VLOOKUP($C343,'ТР нефть'!$A$29:$GC$641,143,0)</f>
        <v>12.6</v>
      </c>
      <c r="Q343" s="400">
        <f>VLOOKUP($C343,'ТР нефть'!$A$29:$GC$641,144,0)</f>
        <v>0</v>
      </c>
      <c r="R343" s="397">
        <f>VLOOKUP($C343,'ТР нефть'!$A$29:$GC$641,145,0)</f>
        <v>17</v>
      </c>
      <c r="S343" s="397">
        <f>VLOOKUP($C343,'ТР нефть'!$A$29:$GC$641,146,0)</f>
        <v>664.54013822434877</v>
      </c>
      <c r="T343" s="397">
        <f>VLOOKUP($C343,'ТР нефть'!$A$29:$GC$641,149,0)</f>
        <v>51</v>
      </c>
      <c r="U343" s="403">
        <f>VLOOKUP($C343,'ТР нефть'!$A$29:$GC$641,150,0)</f>
        <v>0.14318181818181819</v>
      </c>
      <c r="V343" s="402" t="str">
        <f>VLOOKUP($C343,'ТР нефть'!$A$29:$GC$641,47,0)</f>
        <v>Газлифт</v>
      </c>
      <c r="W343" s="396">
        <f>VLOOKUP($C343,'ТР нефть'!$A$29:$GC$641,74,0)</f>
        <v>65</v>
      </c>
      <c r="X343" s="397">
        <f>VLOOKUP($C343,'ТР нефть'!$A$29:$GC$641,79,0)</f>
        <v>25</v>
      </c>
      <c r="Y343" s="397">
        <f>VLOOKUP($C343,'ТР нефть'!$A$29:$GC$641,80,0)</f>
        <v>37</v>
      </c>
      <c r="Z343" s="397">
        <f>VLOOKUP($C343,'ТР нефть'!$A$29:$GC$641,81,0)</f>
        <v>24</v>
      </c>
      <c r="AA343" s="397" t="str">
        <f>VLOOKUP($C343,'ТР нефть'!$A$29:$GC$641,76,0)</f>
        <v>Постоянный</v>
      </c>
      <c r="AB343" s="397">
        <f>VLOOKUP($C343,'ТР нефть'!$A$29:$GC$641,77,0)</f>
        <v>24</v>
      </c>
      <c r="AC343" s="397">
        <f>VLOOKUP($C343,'ТР нефть'!$A$29:$GC$641,78,0)</f>
        <v>0</v>
      </c>
      <c r="AD343" s="398">
        <f>VLOOKUP($C343,'ТР нефть'!$A$29:$GC$641,93,0)</f>
        <v>11.81268</v>
      </c>
      <c r="AE343" s="399">
        <f>VLOOKUP($C343,'ТР нефть'!$A$29:$GC$641,94,0)</f>
        <v>14.13</v>
      </c>
      <c r="AF343" s="400">
        <f>VLOOKUP($C343,'ТР нефть'!$A$29:$GC$641,95,0)</f>
        <v>0</v>
      </c>
      <c r="AG343" s="397">
        <f>VLOOKUP($C343,'ТР нефть'!$A$29:$GC$641,99,0)</f>
        <v>9.4</v>
      </c>
      <c r="AH343" s="397">
        <f>VLOOKUP($C343,'ТР нефть'!$A$29:$GC$641,100,0)</f>
        <v>795.75506997565321</v>
      </c>
      <c r="AI343" s="397">
        <f>VLOOKUP($C343,'ТР нефть'!$A$29:$GC$641,92,0)</f>
        <v>48</v>
      </c>
      <c r="AJ343" s="403">
        <f>VLOOKUP($C343,'ТР нефть'!$A$29:$GC$641,102,0)</f>
        <v>0.15527472527472527</v>
      </c>
      <c r="AK343" s="404">
        <f t="shared" si="30"/>
        <v>0</v>
      </c>
      <c r="AL343" s="397">
        <f t="shared" si="30"/>
        <v>-3</v>
      </c>
      <c r="AM343" s="397">
        <f t="shared" si="30"/>
        <v>-3</v>
      </c>
      <c r="AN343" s="397">
        <f t="shared" si="30"/>
        <v>-3</v>
      </c>
      <c r="AO343" s="397">
        <f t="shared" si="31"/>
        <v>0</v>
      </c>
      <c r="AP343" s="397">
        <f t="shared" si="31"/>
        <v>0</v>
      </c>
      <c r="AQ343" s="398">
        <f t="shared" si="31"/>
        <v>1.2790800000000004</v>
      </c>
      <c r="AR343" s="399">
        <f t="shared" si="31"/>
        <v>1.5300000000000011</v>
      </c>
      <c r="AS343" s="400">
        <f t="shared" si="31"/>
        <v>0</v>
      </c>
      <c r="AT343" s="397">
        <f t="shared" si="31"/>
        <v>-7.6</v>
      </c>
      <c r="AU343" s="397">
        <f t="shared" si="31"/>
        <v>131.21493175130445</v>
      </c>
      <c r="AV343" s="397">
        <f t="shared" si="31"/>
        <v>-3</v>
      </c>
      <c r="AW343" s="406">
        <f t="shared" si="31"/>
        <v>1.2092907092907085E-2</v>
      </c>
      <c r="AX343" s="392" t="str">
        <f>VLOOKUP($C343,'ТР нефть'!$A$29:$GC$641,182,0)</f>
        <v>Технология</v>
      </c>
      <c r="AY343" s="406" t="str">
        <f>VLOOKUP($C343,'ТР нефть'!$A$29:$GC$641,183,0)</f>
        <v>Увеличение дебита на фоне снижения Рлин</v>
      </c>
      <c r="AZ343" s="407">
        <f t="shared" si="32"/>
        <v>11.81268</v>
      </c>
      <c r="BA343" s="408">
        <f t="shared" si="32"/>
        <v>14.13</v>
      </c>
      <c r="BB343" s="397">
        <f t="shared" si="32"/>
        <v>0</v>
      </c>
      <c r="BC343" s="698"/>
      <c r="BD343" s="699"/>
    </row>
    <row r="344" spans="1:56" ht="40.5" customHeight="1" outlineLevel="1" x14ac:dyDescent="0.25">
      <c r="A344" s="373"/>
      <c r="B344" s="392">
        <f t="shared" si="29"/>
        <v>26</v>
      </c>
      <c r="C344" s="490">
        <v>1122</v>
      </c>
      <c r="D344" s="394" t="str">
        <f>VLOOKUP($C344,'ТР нефть'!$A$29:$GC$641,5,0)</f>
        <v>ВУ ОНГКМ</v>
      </c>
      <c r="E344" s="394" t="str">
        <f>VLOOKUP($C344,'ТР нефть'!$A$29:$GC$641,8,0)</f>
        <v>ТЛ-4</v>
      </c>
      <c r="F344" s="462" t="str">
        <f>VLOOKUP($C344,'ТР нефть'!$A$29:$GC$641,11,0)</f>
        <v>К-19</v>
      </c>
      <c r="G344" s="392" t="str">
        <f>VLOOKUP($C344,'ТР нефть'!$A$29:$GC$641,47,0)</f>
        <v>Газлифт</v>
      </c>
      <c r="H344" s="396">
        <f>VLOOKUP($C344,'ТР нефть'!$A$29:$GC$641,135,0)</f>
        <v>65</v>
      </c>
      <c r="I344" s="397">
        <f>VLOOKUP($C344,'ТР нефть'!$A$29:$GC$641,136,0)</f>
        <v>27</v>
      </c>
      <c r="J344" s="397">
        <f>VLOOKUP($C344,'ТР нефть'!$A$29:$GC$641,137,0)</f>
        <v>41</v>
      </c>
      <c r="K344" s="397">
        <f>VLOOKUP($C344,'ТР нефть'!$A$29:$GC$641,138,0)</f>
        <v>26</v>
      </c>
      <c r="L344" s="397" t="str">
        <f>VLOOKUP($C344,'ТР нефть'!$A$29:$GC$641,139,0)</f>
        <v>Постоянный</v>
      </c>
      <c r="M344" s="397">
        <f>VLOOKUP($C344,'ТР нефть'!$A$29:$GC$641,140,0)</f>
        <v>24</v>
      </c>
      <c r="N344" s="397">
        <f>VLOOKUP($C344,'ТР нефть'!$A$29:$GC$641,141,0)</f>
        <v>0</v>
      </c>
      <c r="O344" s="398">
        <f>VLOOKUP($C344,'ТР нефть'!$A$29:$GC$641,142,0)</f>
        <v>4.1507399999999999</v>
      </c>
      <c r="P344" s="399">
        <f>VLOOKUP($C344,'ТР нефть'!$A$29:$GC$641,143,0)</f>
        <v>5</v>
      </c>
      <c r="Q344" s="400">
        <f>VLOOKUP($C344,'ТР нефть'!$A$29:$GC$641,144,0)</f>
        <v>0.7</v>
      </c>
      <c r="R344" s="397">
        <f>VLOOKUP($C344,'ТР нефть'!$A$29:$GC$641,145,0)</f>
        <v>12</v>
      </c>
      <c r="S344" s="397">
        <f>VLOOKUP($C344,'ТР нефть'!$A$29:$GC$641,146,0)</f>
        <v>240.92089603299652</v>
      </c>
      <c r="T344" s="397">
        <f>VLOOKUP($C344,'ТР нефть'!$A$29:$GC$641,149,0)</f>
        <v>50</v>
      </c>
      <c r="U344" s="403">
        <f>VLOOKUP($C344,'ТР нефть'!$A$29:$GC$641,150,0)</f>
        <v>0.13157894736842105</v>
      </c>
      <c r="V344" s="402" t="str">
        <f>VLOOKUP($C344,'ТР нефть'!$A$29:$GC$641,47,0)</f>
        <v>Газлифт</v>
      </c>
      <c r="W344" s="396">
        <f>VLOOKUP($C344,'ТР нефть'!$A$29:$GC$641,74,0)</f>
        <v>65</v>
      </c>
      <c r="X344" s="397">
        <f>VLOOKUP($C344,'ТР нефть'!$A$29:$GC$641,79,0)</f>
        <v>25</v>
      </c>
      <c r="Y344" s="397">
        <f>VLOOKUP($C344,'ТР нефть'!$A$29:$GC$641,80,0)</f>
        <v>39</v>
      </c>
      <c r="Z344" s="397">
        <f>VLOOKUP($C344,'ТР нефть'!$A$29:$GC$641,81,0)</f>
        <v>24</v>
      </c>
      <c r="AA344" s="397" t="str">
        <f>VLOOKUP($C344,'ТР нефть'!$A$29:$GC$641,76,0)</f>
        <v>Постоянный</v>
      </c>
      <c r="AB344" s="397">
        <f>VLOOKUP($C344,'ТР нефть'!$A$29:$GC$641,77,0)</f>
        <v>24</v>
      </c>
      <c r="AC344" s="397">
        <f>VLOOKUP($C344,'ТР нефть'!$A$29:$GC$641,78,0)</f>
        <v>0</v>
      </c>
      <c r="AD344" s="398">
        <f>VLOOKUP($C344,'ТР нефть'!$A$29:$GC$641,93,0)</f>
        <v>5.2193987999999996</v>
      </c>
      <c r="AE344" s="399">
        <f>VLOOKUP($C344,'ТР нефть'!$A$29:$GC$641,94,0)</f>
        <v>6.3</v>
      </c>
      <c r="AF344" s="400">
        <f>VLOOKUP($C344,'ТР нефть'!$A$29:$GC$641,95,0)</f>
        <v>0.9</v>
      </c>
      <c r="AG344" s="397">
        <f>VLOOKUP($C344,'ТР нефть'!$A$29:$GC$641,99,0)</f>
        <v>1.9000000000000004</v>
      </c>
      <c r="AH344" s="397">
        <f>VLOOKUP($C344,'ТР нефть'!$A$29:$GC$641,100,0)</f>
        <v>364.02660015172643</v>
      </c>
      <c r="AI344" s="397">
        <f>VLOOKUP($C344,'ТР нефть'!$A$29:$GC$641,92,0)</f>
        <v>49</v>
      </c>
      <c r="AJ344" s="403">
        <f>VLOOKUP($C344,'ТР нефть'!$A$29:$GC$641,102,0)</f>
        <v>0.16153846153846155</v>
      </c>
      <c r="AK344" s="404">
        <f t="shared" si="30"/>
        <v>0</v>
      </c>
      <c r="AL344" s="397">
        <f t="shared" si="30"/>
        <v>-2</v>
      </c>
      <c r="AM344" s="397">
        <f t="shared" si="30"/>
        <v>-2</v>
      </c>
      <c r="AN344" s="397">
        <f t="shared" si="30"/>
        <v>-2</v>
      </c>
      <c r="AO344" s="397">
        <f t="shared" si="31"/>
        <v>0</v>
      </c>
      <c r="AP344" s="397">
        <f t="shared" si="31"/>
        <v>0</v>
      </c>
      <c r="AQ344" s="398">
        <f t="shared" si="31"/>
        <v>1.0686587999999997</v>
      </c>
      <c r="AR344" s="399">
        <f t="shared" si="31"/>
        <v>1.2999999999999998</v>
      </c>
      <c r="AS344" s="400">
        <f t="shared" si="31"/>
        <v>0.20000000000000007</v>
      </c>
      <c r="AT344" s="397">
        <f t="shared" si="31"/>
        <v>-10.1</v>
      </c>
      <c r="AU344" s="397">
        <f t="shared" si="31"/>
        <v>123.1057041187299</v>
      </c>
      <c r="AV344" s="397">
        <f t="shared" si="31"/>
        <v>-1</v>
      </c>
      <c r="AW344" s="406">
        <f t="shared" si="31"/>
        <v>2.9959514170040502E-2</v>
      </c>
      <c r="AX344" s="392" t="str">
        <f>VLOOKUP($C344,'ТР нефть'!$A$29:$GC$641,182,0)</f>
        <v>Технология</v>
      </c>
      <c r="AY344" s="406" t="str">
        <f>VLOOKUP($C344,'ТР нефть'!$A$29:$GC$641,183,0)</f>
        <v>Увеличение дебита на фоне снижения Рлин</v>
      </c>
      <c r="AZ344" s="407">
        <f t="shared" si="32"/>
        <v>5.2193987999999996</v>
      </c>
      <c r="BA344" s="408">
        <f t="shared" si="32"/>
        <v>6.3</v>
      </c>
      <c r="BB344" s="397">
        <f t="shared" si="32"/>
        <v>0.9</v>
      </c>
      <c r="BC344" s="698"/>
      <c r="BD344" s="699"/>
    </row>
    <row r="345" spans="1:56" ht="40.5" customHeight="1" outlineLevel="1" x14ac:dyDescent="0.25">
      <c r="A345" s="373"/>
      <c r="B345" s="392">
        <f t="shared" si="29"/>
        <v>27</v>
      </c>
      <c r="C345" s="490">
        <v>1129</v>
      </c>
      <c r="D345" s="394" t="str">
        <f>VLOOKUP($C345,'ТР нефть'!$A$29:$GC$641,5,0)</f>
        <v>ВУ ОНГКМ</v>
      </c>
      <c r="E345" s="394" t="str">
        <f>VLOOKUP($C345,'ТР нефть'!$A$29:$GC$641,8,0)</f>
        <v>ТЛ-4</v>
      </c>
      <c r="F345" s="462" t="str">
        <f>VLOOKUP($C345,'ТР нефть'!$A$29:$GC$641,11,0)</f>
        <v>К-6</v>
      </c>
      <c r="G345" s="392" t="str">
        <f>VLOOKUP($C345,'ТР нефть'!$A$29:$GC$641,47,0)</f>
        <v>Газлифт</v>
      </c>
      <c r="H345" s="396">
        <f>VLOOKUP($C345,'ТР нефть'!$A$29:$GC$641,135,0)</f>
        <v>65</v>
      </c>
      <c r="I345" s="397">
        <f>VLOOKUP($C345,'ТР нефть'!$A$29:$GC$641,136,0)</f>
        <v>26</v>
      </c>
      <c r="J345" s="397">
        <f>VLOOKUP($C345,'ТР нефть'!$A$29:$GC$641,137,0)</f>
        <v>38</v>
      </c>
      <c r="K345" s="397">
        <f>VLOOKUP($C345,'ТР нефть'!$A$29:$GC$641,138,0)</f>
        <v>25</v>
      </c>
      <c r="L345" s="397" t="str">
        <f>VLOOKUP($C345,'ТР нефть'!$A$29:$GC$641,139,0)</f>
        <v>Постоянный</v>
      </c>
      <c r="M345" s="397">
        <f>VLOOKUP($C345,'ТР нефть'!$A$29:$GC$641,140,0)</f>
        <v>24</v>
      </c>
      <c r="N345" s="397">
        <f>VLOOKUP($C345,'ТР нефть'!$A$29:$GC$641,141,0)</f>
        <v>0</v>
      </c>
      <c r="O345" s="398">
        <f>VLOOKUP($C345,'ТР нефть'!$A$29:$GC$641,142,0)</f>
        <v>3.6758251200000003</v>
      </c>
      <c r="P345" s="399">
        <f>VLOOKUP($C345,'ТР нефть'!$A$29:$GC$641,143,0)</f>
        <v>4.4000000000000004</v>
      </c>
      <c r="Q345" s="400">
        <f>VLOOKUP($C345,'ТР нефть'!$A$29:$GC$641,144,0)</f>
        <v>7.0000000000000007E-2</v>
      </c>
      <c r="R345" s="397">
        <f>VLOOKUP($C345,'ТР нефть'!$A$29:$GC$641,145,0)</f>
        <v>10</v>
      </c>
      <c r="S345" s="397">
        <f>VLOOKUP($C345,'ТР нефть'!$A$29:$GC$641,146,0)</f>
        <v>1360.2388135374622</v>
      </c>
      <c r="T345" s="397">
        <f>VLOOKUP($C345,'ТР нефть'!$A$29:$GC$641,149,0)</f>
        <v>45</v>
      </c>
      <c r="U345" s="403">
        <f>VLOOKUP($C345,'ТР нефть'!$A$29:$GC$641,150,0)</f>
        <v>0.10731707317073172</v>
      </c>
      <c r="V345" s="402" t="str">
        <f>VLOOKUP($C345,'ТР нефть'!$A$29:$GC$641,47,0)</f>
        <v>Газлифт</v>
      </c>
      <c r="W345" s="396">
        <f>VLOOKUP($C345,'ТР нефть'!$A$29:$GC$641,74,0)</f>
        <v>65</v>
      </c>
      <c r="X345" s="397">
        <f>VLOOKUP($C345,'ТР нефть'!$A$29:$GC$641,79,0)</f>
        <v>24</v>
      </c>
      <c r="Y345" s="397">
        <f>VLOOKUP($C345,'ТР нефть'!$A$29:$GC$641,80,0)</f>
        <v>38</v>
      </c>
      <c r="Z345" s="397">
        <f>VLOOKUP($C345,'ТР нефть'!$A$29:$GC$641,81,0)</f>
        <v>23</v>
      </c>
      <c r="AA345" s="397" t="str">
        <f>VLOOKUP($C345,'ТР нефть'!$A$29:$GC$641,76,0)</f>
        <v>Постоянный</v>
      </c>
      <c r="AB345" s="397">
        <f>VLOOKUP($C345,'ТР нефть'!$A$29:$GC$641,77,0)</f>
        <v>24</v>
      </c>
      <c r="AC345" s="397">
        <f>VLOOKUP($C345,'ТР нефть'!$A$29:$GC$641,78,0)</f>
        <v>0</v>
      </c>
      <c r="AD345" s="398">
        <f>VLOOKUP($C345,'ТР нефть'!$A$29:$GC$641,93,0)</f>
        <v>5.8479035999999995</v>
      </c>
      <c r="AE345" s="399">
        <f>VLOOKUP($C345,'ТР нефть'!$A$29:$GC$641,94,0)</f>
        <v>7</v>
      </c>
      <c r="AF345" s="400">
        <f>VLOOKUP($C345,'ТР нефть'!$A$29:$GC$641,95,0)</f>
        <v>7.0000000000000007E-2</v>
      </c>
      <c r="AG345" s="397">
        <f>VLOOKUP($C345,'ТР нефть'!$A$29:$GC$641,99,0)</f>
        <v>6.5</v>
      </c>
      <c r="AH345" s="397">
        <f>VLOOKUP($C345,'ТР нефть'!$A$29:$GC$641,100,0)</f>
        <v>1111.5094304906122</v>
      </c>
      <c r="AI345" s="397">
        <f>VLOOKUP($C345,'ТР нефть'!$A$29:$GC$641,92,0)</f>
        <v>41</v>
      </c>
      <c r="AJ345" s="403">
        <f>VLOOKUP($C345,'ТР нефть'!$A$29:$GC$641,102,0)</f>
        <v>0.15555555555555556</v>
      </c>
      <c r="AK345" s="404">
        <f t="shared" si="30"/>
        <v>0</v>
      </c>
      <c r="AL345" s="397">
        <f t="shared" si="30"/>
        <v>-2</v>
      </c>
      <c r="AM345" s="397">
        <f t="shared" si="30"/>
        <v>0</v>
      </c>
      <c r="AN345" s="397">
        <f t="shared" si="30"/>
        <v>-2</v>
      </c>
      <c r="AO345" s="397">
        <f t="shared" si="31"/>
        <v>0</v>
      </c>
      <c r="AP345" s="397">
        <f t="shared" si="31"/>
        <v>0</v>
      </c>
      <c r="AQ345" s="398">
        <f t="shared" si="31"/>
        <v>2.1720784799999993</v>
      </c>
      <c r="AR345" s="399">
        <f t="shared" si="31"/>
        <v>2.5999999999999996</v>
      </c>
      <c r="AS345" s="400">
        <f t="shared" si="31"/>
        <v>0</v>
      </c>
      <c r="AT345" s="397">
        <f t="shared" si="31"/>
        <v>-3.5</v>
      </c>
      <c r="AU345" s="397">
        <f t="shared" si="31"/>
        <v>-248.72938304684999</v>
      </c>
      <c r="AV345" s="397">
        <f t="shared" si="31"/>
        <v>-4</v>
      </c>
      <c r="AW345" s="406">
        <f t="shared" si="31"/>
        <v>4.8238482384823839E-2</v>
      </c>
      <c r="AX345" s="392" t="str">
        <f>VLOOKUP($C345,'ТР нефть'!$A$29:$GC$641,182,0)</f>
        <v>Технология</v>
      </c>
      <c r="AY345" s="406" t="str">
        <f>VLOOKUP($C345,'ТР нефть'!$A$29:$GC$641,183,0)</f>
        <v>Увеличение дебита на фоне снижения Рлин</v>
      </c>
      <c r="AZ345" s="407">
        <f t="shared" si="32"/>
        <v>5.8479035999999995</v>
      </c>
      <c r="BA345" s="408">
        <f t="shared" si="32"/>
        <v>7</v>
      </c>
      <c r="BB345" s="397">
        <f t="shared" si="32"/>
        <v>7.0000000000000007E-2</v>
      </c>
      <c r="BC345" s="698"/>
      <c r="BD345" s="699"/>
    </row>
    <row r="346" spans="1:56" ht="40.5" customHeight="1" outlineLevel="1" x14ac:dyDescent="0.25">
      <c r="A346" s="373"/>
      <c r="B346" s="392">
        <f t="shared" si="29"/>
        <v>28</v>
      </c>
      <c r="C346" s="490" t="s">
        <v>1122</v>
      </c>
      <c r="D346" s="394" t="str">
        <f>VLOOKUP($C346,'ТР нефть'!$A$29:$GC$641,5,0)</f>
        <v>ВУ ОНГКМ</v>
      </c>
      <c r="E346" s="394" t="str">
        <f>VLOOKUP($C346,'ТР нефть'!$A$29:$GC$641,8,0)</f>
        <v>ТЛ-4</v>
      </c>
      <c r="F346" s="462" t="str">
        <f>VLOOKUP($C346,'ТР нефть'!$A$29:$GC$641,11,0)</f>
        <v>К-7</v>
      </c>
      <c r="G346" s="392" t="str">
        <f>VLOOKUP($C346,'ТР нефть'!$A$29:$GC$641,47,0)</f>
        <v>Газлифт</v>
      </c>
      <c r="H346" s="396">
        <f>VLOOKUP($C346,'ТР нефть'!$A$29:$GC$641,135,0)</f>
        <v>65</v>
      </c>
      <c r="I346" s="397">
        <f>VLOOKUP($C346,'ТР нефть'!$A$29:$GC$641,136,0)</f>
        <v>25</v>
      </c>
      <c r="J346" s="397">
        <f>VLOOKUP($C346,'ТР нефть'!$A$29:$GC$641,137,0)</f>
        <v>60</v>
      </c>
      <c r="K346" s="397">
        <f>VLOOKUP($C346,'ТР нефть'!$A$29:$GC$641,138,0)</f>
        <v>24</v>
      </c>
      <c r="L346" s="397" t="str">
        <f>VLOOKUP($C346,'ТР нефть'!$A$29:$GC$641,139,0)</f>
        <v>Постоянный</v>
      </c>
      <c r="M346" s="397">
        <f>VLOOKUP($C346,'ТР нефть'!$A$29:$GC$641,140,0)</f>
        <v>24</v>
      </c>
      <c r="N346" s="397">
        <f>VLOOKUP($C346,'ТР нефть'!$A$29:$GC$641,141,0)</f>
        <v>0</v>
      </c>
      <c r="O346" s="398">
        <f>VLOOKUP($C346,'ТР нефть'!$A$29:$GC$641,142,0)</f>
        <v>1.670328</v>
      </c>
      <c r="P346" s="399">
        <f>VLOOKUP($C346,'ТР нефть'!$A$29:$GC$641,143,0)</f>
        <v>2.7</v>
      </c>
      <c r="Q346" s="400">
        <f>VLOOKUP($C346,'ТР нефть'!$A$29:$GC$641,144,0)</f>
        <v>26</v>
      </c>
      <c r="R346" s="397">
        <f>VLOOKUP($C346,'ТР нефть'!$A$29:$GC$641,145,0)</f>
        <v>29</v>
      </c>
      <c r="S346" s="397">
        <f>VLOOKUP($C346,'ТР нефть'!$A$29:$GC$641,146,0)</f>
        <v>1796.0544276333749</v>
      </c>
      <c r="T346" s="397">
        <f>VLOOKUP($C346,'ТР нефть'!$A$29:$GC$641,149,0)</f>
        <v>63</v>
      </c>
      <c r="U346" s="403">
        <f>VLOOKUP($C346,'ТР нефть'!$A$29:$GC$641,150,0)</f>
        <v>4.8214285714285716E-2</v>
      </c>
      <c r="V346" s="402" t="str">
        <f>VLOOKUP($C346,'ТР нефть'!$A$29:$GC$641,47,0)</f>
        <v>Газлифт</v>
      </c>
      <c r="W346" s="396">
        <f>VLOOKUP($C346,'ТР нефть'!$A$29:$GC$641,74,0)</f>
        <v>65</v>
      </c>
      <c r="X346" s="397">
        <f>VLOOKUP($C346,'ТР нефть'!$A$29:$GC$641,79,0)</f>
        <v>25</v>
      </c>
      <c r="Y346" s="397">
        <f>VLOOKUP($C346,'ТР нефть'!$A$29:$GC$641,80,0)</f>
        <v>57</v>
      </c>
      <c r="Z346" s="397">
        <f>VLOOKUP($C346,'ТР нефть'!$A$29:$GC$641,81,0)</f>
        <v>24</v>
      </c>
      <c r="AA346" s="397" t="str">
        <f>VLOOKUP($C346,'ТР нефть'!$A$29:$GC$641,76,0)</f>
        <v>Постоянный</v>
      </c>
      <c r="AB346" s="397">
        <f>VLOOKUP($C346,'ТР нефть'!$A$29:$GC$641,77,0)</f>
        <v>24</v>
      </c>
      <c r="AC346" s="397">
        <f>VLOOKUP($C346,'ТР нефть'!$A$29:$GC$641,78,0)</f>
        <v>0</v>
      </c>
      <c r="AD346" s="398">
        <f>VLOOKUP($C346,'ТР нефть'!$A$29:$GC$641,93,0)</f>
        <v>12.54</v>
      </c>
      <c r="AE346" s="399">
        <f>VLOOKUP($C346,'ТР нефть'!$A$29:$GC$641,94,0)</f>
        <v>30</v>
      </c>
      <c r="AF346" s="400">
        <f>VLOOKUP($C346,'ТР нефть'!$A$29:$GC$641,95,0)</f>
        <v>50</v>
      </c>
      <c r="AG346" s="397">
        <f>VLOOKUP($C346,'ТР нефть'!$A$29:$GC$641,99,0)</f>
        <v>16</v>
      </c>
      <c r="AH346" s="397">
        <f>VLOOKUP($C346,'ТР нефть'!$A$29:$GC$641,100,0)</f>
        <v>1275.9170653907497</v>
      </c>
      <c r="AI346" s="397">
        <f>VLOOKUP($C346,'ТР нефть'!$A$29:$GC$641,92,0)</f>
        <v>67</v>
      </c>
      <c r="AJ346" s="403">
        <f>VLOOKUP($C346,'ТР нефть'!$A$29:$GC$641,102,0)</f>
        <v>0.57692307692307687</v>
      </c>
      <c r="AK346" s="404">
        <f t="shared" si="30"/>
        <v>0</v>
      </c>
      <c r="AL346" s="397">
        <f t="shared" si="30"/>
        <v>0</v>
      </c>
      <c r="AM346" s="397">
        <f t="shared" si="30"/>
        <v>-3</v>
      </c>
      <c r="AN346" s="397">
        <f t="shared" si="30"/>
        <v>0</v>
      </c>
      <c r="AO346" s="397">
        <f t="shared" si="31"/>
        <v>0</v>
      </c>
      <c r="AP346" s="397">
        <f t="shared" si="31"/>
        <v>0</v>
      </c>
      <c r="AQ346" s="398">
        <f t="shared" si="31"/>
        <v>10.869672</v>
      </c>
      <c r="AR346" s="399">
        <f t="shared" si="31"/>
        <v>27.3</v>
      </c>
      <c r="AS346" s="400">
        <f t="shared" si="31"/>
        <v>24</v>
      </c>
      <c r="AT346" s="397">
        <f t="shared" si="31"/>
        <v>-13</v>
      </c>
      <c r="AU346" s="397">
        <f t="shared" si="31"/>
        <v>-520.13736224262516</v>
      </c>
      <c r="AV346" s="397">
        <f t="shared" si="31"/>
        <v>4</v>
      </c>
      <c r="AW346" s="406">
        <f t="shared" si="31"/>
        <v>0.52870879120879111</v>
      </c>
      <c r="AX346" s="392" t="str">
        <f>VLOOKUP($C346,'ТР нефть'!$A$29:$GC$641,182,0)</f>
        <v>Технология</v>
      </c>
      <c r="AY346" s="406" t="str">
        <f>VLOOKUP($C346,'ТР нефть'!$A$29:$GC$641,183,0)</f>
        <v>Возврат потерь предыдущего периода</v>
      </c>
      <c r="AZ346" s="407">
        <f t="shared" si="32"/>
        <v>12.54</v>
      </c>
      <c r="BA346" s="408">
        <f t="shared" si="32"/>
        <v>30</v>
      </c>
      <c r="BB346" s="397">
        <f t="shared" si="32"/>
        <v>50</v>
      </c>
      <c r="BC346" s="698"/>
      <c r="BD346" s="699"/>
    </row>
    <row r="347" spans="1:56" ht="40.5" customHeight="1" outlineLevel="1" x14ac:dyDescent="0.25">
      <c r="A347" s="373"/>
      <c r="B347" s="392">
        <f t="shared" si="29"/>
        <v>29</v>
      </c>
      <c r="C347" s="490" t="s">
        <v>1138</v>
      </c>
      <c r="D347" s="394" t="str">
        <f>VLOOKUP($C347,'ТР нефть'!$A$29:$GC$641,5,0)</f>
        <v>ВУ ОНГКМ</v>
      </c>
      <c r="E347" s="394" t="str">
        <f>VLOOKUP($C347,'ТР нефть'!$A$29:$GC$641,8,0)</f>
        <v>ТЛ-4</v>
      </c>
      <c r="F347" s="462" t="str">
        <f>VLOOKUP($C347,'ТР нефть'!$A$29:$GC$641,11,0)</f>
        <v>К-14</v>
      </c>
      <c r="G347" s="392" t="str">
        <f>VLOOKUP($C347,'ТР нефть'!$A$29:$GC$641,47,0)</f>
        <v>Газлифт</v>
      </c>
      <c r="H347" s="396">
        <f>VLOOKUP($C347,'ТР нефть'!$A$29:$GC$641,135,0)</f>
        <v>65</v>
      </c>
      <c r="I347" s="397">
        <f>VLOOKUP($C347,'ТР нефть'!$A$29:$GC$641,136,0)</f>
        <v>28</v>
      </c>
      <c r="J347" s="397">
        <f>VLOOKUP($C347,'ТР нефть'!$A$29:$GC$641,137,0)</f>
        <v>44</v>
      </c>
      <c r="K347" s="397">
        <f>VLOOKUP($C347,'ТР нефть'!$A$29:$GC$641,138,0)</f>
        <v>27</v>
      </c>
      <c r="L347" s="397" t="str">
        <f>VLOOKUP($C347,'ТР нефть'!$A$29:$GC$641,139,0)</f>
        <v>Постоянный</v>
      </c>
      <c r="M347" s="397">
        <f>VLOOKUP($C347,'ТР нефть'!$A$29:$GC$641,140,0)</f>
        <v>24</v>
      </c>
      <c r="N347" s="397">
        <f>VLOOKUP($C347,'ТР нефть'!$A$29:$GC$641,141,0)</f>
        <v>0</v>
      </c>
      <c r="O347" s="398">
        <f>VLOOKUP($C347,'ТР нефть'!$A$29:$GC$641,142,0)</f>
        <v>10.032</v>
      </c>
      <c r="P347" s="399">
        <f>VLOOKUP($C347,'ТР нефть'!$A$29:$GC$641,143,0)</f>
        <v>12</v>
      </c>
      <c r="Q347" s="400">
        <f>VLOOKUP($C347,'ТР нефть'!$A$29:$GC$641,144,0)</f>
        <v>0</v>
      </c>
      <c r="R347" s="397">
        <f>VLOOKUP($C347,'ТР нефть'!$A$29:$GC$641,145,0)</f>
        <v>8.6999999999999993</v>
      </c>
      <c r="S347" s="397">
        <f>VLOOKUP($C347,'ТР нефть'!$A$29:$GC$641,146,0)</f>
        <v>53.827751196172159</v>
      </c>
      <c r="T347" s="397">
        <f>VLOOKUP($C347,'ТР нефть'!$A$29:$GC$641,149,0)</f>
        <v>60</v>
      </c>
      <c r="U347" s="403">
        <f>VLOOKUP($C347,'ТР нефть'!$A$29:$GC$641,150,0)</f>
        <v>0.36363636363636365</v>
      </c>
      <c r="V347" s="402" t="str">
        <f>VLOOKUP($C347,'ТР нефть'!$A$29:$GC$641,47,0)</f>
        <v>Газлифт</v>
      </c>
      <c r="W347" s="396">
        <f>VLOOKUP($C347,'ТР нефть'!$A$29:$GC$641,74,0)</f>
        <v>65</v>
      </c>
      <c r="X347" s="397">
        <f>VLOOKUP($C347,'ТР нефть'!$A$29:$GC$641,79,0)</f>
        <v>23</v>
      </c>
      <c r="Y347" s="397">
        <f>VLOOKUP($C347,'ТР нефть'!$A$29:$GC$641,80,0)</f>
        <v>42</v>
      </c>
      <c r="Z347" s="397">
        <f>VLOOKUP($C347,'ТР нефть'!$A$29:$GC$641,81,0)</f>
        <v>22</v>
      </c>
      <c r="AA347" s="397" t="str">
        <f>VLOOKUP($C347,'ТР нефть'!$A$29:$GC$641,76,0)</f>
        <v>Постоянный</v>
      </c>
      <c r="AB347" s="397">
        <f>VLOOKUP($C347,'ТР нефть'!$A$29:$GC$641,77,0)</f>
        <v>24</v>
      </c>
      <c r="AC347" s="397">
        <f>VLOOKUP($C347,'ТР нефть'!$A$29:$GC$641,78,0)</f>
        <v>0</v>
      </c>
      <c r="AD347" s="398">
        <f>VLOOKUP($C347,'ТР нефть'!$A$29:$GC$641,93,0)</f>
        <v>11.703999999999999</v>
      </c>
      <c r="AE347" s="399">
        <f>VLOOKUP($C347,'ТР нефть'!$A$29:$GC$641,94,0)</f>
        <v>14</v>
      </c>
      <c r="AF347" s="400">
        <f>VLOOKUP($C347,'ТР нефть'!$A$29:$GC$641,95,0)</f>
        <v>0</v>
      </c>
      <c r="AG347" s="397">
        <f>VLOOKUP($C347,'ТР нефть'!$A$29:$GC$641,99,0)</f>
        <v>1.5999999999999996</v>
      </c>
      <c r="AH347" s="397">
        <f>VLOOKUP($C347,'ТР нефть'!$A$29:$GC$641,100,0)</f>
        <v>136.70539986329459</v>
      </c>
      <c r="AI347" s="397">
        <f>VLOOKUP($C347,'ТР нефть'!$A$29:$GC$641,92,0)</f>
        <v>57</v>
      </c>
      <c r="AJ347" s="403">
        <f>VLOOKUP($C347,'ТР нефть'!$A$29:$GC$641,102,0)</f>
        <v>0.3888888888888889</v>
      </c>
      <c r="AK347" s="404">
        <f t="shared" si="30"/>
        <v>0</v>
      </c>
      <c r="AL347" s="397">
        <f t="shared" si="30"/>
        <v>-5</v>
      </c>
      <c r="AM347" s="397">
        <f t="shared" si="30"/>
        <v>-2</v>
      </c>
      <c r="AN347" s="397">
        <f t="shared" si="30"/>
        <v>-5</v>
      </c>
      <c r="AO347" s="397">
        <f t="shared" si="31"/>
        <v>0</v>
      </c>
      <c r="AP347" s="397">
        <f t="shared" si="31"/>
        <v>0</v>
      </c>
      <c r="AQ347" s="398">
        <f t="shared" si="31"/>
        <v>1.6719999999999988</v>
      </c>
      <c r="AR347" s="399">
        <f t="shared" si="31"/>
        <v>2</v>
      </c>
      <c r="AS347" s="400">
        <f t="shared" si="31"/>
        <v>0</v>
      </c>
      <c r="AT347" s="397">
        <f t="shared" si="31"/>
        <v>-7.1</v>
      </c>
      <c r="AU347" s="397">
        <f t="shared" si="31"/>
        <v>82.877648667122429</v>
      </c>
      <c r="AV347" s="397">
        <f t="shared" si="31"/>
        <v>-3</v>
      </c>
      <c r="AW347" s="406">
        <f t="shared" si="31"/>
        <v>2.5252525252525249E-2</v>
      </c>
      <c r="AX347" s="392" t="str">
        <f>VLOOKUP($C347,'ТР нефть'!$A$29:$GC$641,182,0)</f>
        <v>Технология</v>
      </c>
      <c r="AY347" s="406" t="str">
        <f>VLOOKUP($C347,'ТР нефть'!$A$29:$GC$641,183,0)</f>
        <v>Увеличение дебита на фоне снижения Рлин</v>
      </c>
      <c r="AZ347" s="407">
        <f t="shared" si="32"/>
        <v>11.703999999999999</v>
      </c>
      <c r="BA347" s="408">
        <f t="shared" si="32"/>
        <v>14</v>
      </c>
      <c r="BB347" s="397">
        <f t="shared" si="32"/>
        <v>0</v>
      </c>
      <c r="BC347" s="698"/>
      <c r="BD347" s="699"/>
    </row>
    <row r="348" spans="1:56" ht="40.5" customHeight="1" outlineLevel="1" x14ac:dyDescent="0.25">
      <c r="A348" s="373"/>
      <c r="B348" s="392">
        <f t="shared" si="29"/>
        <v>30</v>
      </c>
      <c r="C348" s="490">
        <v>1162</v>
      </c>
      <c r="D348" s="394" t="str">
        <f>VLOOKUP($C348,'ТР нефть'!$A$29:$GC$641,5,0)</f>
        <v>ВУ ОНГКМ</v>
      </c>
      <c r="E348" s="394" t="str">
        <f>VLOOKUP($C348,'ТР нефть'!$A$29:$GC$641,8,0)</f>
        <v>ТЛ-4</v>
      </c>
      <c r="F348" s="462" t="str">
        <f>VLOOKUP($C348,'ТР нефть'!$A$29:$GC$641,11,0)</f>
        <v>К-6</v>
      </c>
      <c r="G348" s="392" t="str">
        <f>VLOOKUP($C348,'ТР нефть'!$A$29:$GC$641,47,0)</f>
        <v>Газлифт</v>
      </c>
      <c r="H348" s="396">
        <f>VLOOKUP($C348,'ТР нефть'!$A$29:$GC$641,135,0)</f>
        <v>18</v>
      </c>
      <c r="I348" s="397">
        <f>VLOOKUP($C348,'ТР нефть'!$A$29:$GC$641,136,0)</f>
        <v>25</v>
      </c>
      <c r="J348" s="397">
        <f>VLOOKUP($C348,'ТР нефть'!$A$29:$GC$641,137,0)</f>
        <v>42</v>
      </c>
      <c r="K348" s="397">
        <f>VLOOKUP($C348,'ТР нефть'!$A$29:$GC$641,138,0)</f>
        <v>24</v>
      </c>
      <c r="L348" s="397" t="str">
        <f>VLOOKUP($C348,'ТР нефть'!$A$29:$GC$641,139,0)</f>
        <v>Постоянный</v>
      </c>
      <c r="M348" s="397">
        <f>VLOOKUP($C348,'ТР нефть'!$A$29:$GC$641,140,0)</f>
        <v>24</v>
      </c>
      <c r="N348" s="397">
        <f>VLOOKUP($C348,'ТР нефть'!$A$29:$GC$641,141,0)</f>
        <v>0</v>
      </c>
      <c r="O348" s="398">
        <f>VLOOKUP($C348,'ТР нефть'!$A$29:$GC$641,142,0)</f>
        <v>7.1045787999999996</v>
      </c>
      <c r="P348" s="399">
        <f>VLOOKUP($C348,'ТР нефть'!$A$29:$GC$641,143,0)</f>
        <v>8.5</v>
      </c>
      <c r="Q348" s="400">
        <f>VLOOKUP($C348,'ТР нефть'!$A$29:$GC$641,144,0)</f>
        <v>0.02</v>
      </c>
      <c r="R348" s="397">
        <f>VLOOKUP($C348,'ТР нефть'!$A$29:$GC$641,145,0)</f>
        <v>19</v>
      </c>
      <c r="S348" s="397">
        <f>VLOOKUP($C348,'ТР нефть'!$A$29:$GC$641,146,0)</f>
        <v>1604.5989946652433</v>
      </c>
      <c r="T348" s="397">
        <f>VLOOKUP($C348,'ТР нефть'!$A$29:$GC$641,149,0)</f>
        <v>50</v>
      </c>
      <c r="U348" s="403">
        <f>VLOOKUP($C348,'ТР нефть'!$A$29:$GC$641,150,0)</f>
        <v>0.27419354838709675</v>
      </c>
      <c r="V348" s="402" t="str">
        <f>VLOOKUP($C348,'ТР нефть'!$A$29:$GC$641,47,0)</f>
        <v>Газлифт</v>
      </c>
      <c r="W348" s="396">
        <f>VLOOKUP($C348,'ТР нефть'!$A$29:$GC$641,74,0)</f>
        <v>18</v>
      </c>
      <c r="X348" s="397">
        <f>VLOOKUP($C348,'ТР нефть'!$A$29:$GC$641,79,0)</f>
        <v>23</v>
      </c>
      <c r="Y348" s="397">
        <f>VLOOKUP($C348,'ТР нефть'!$A$29:$GC$641,80,0)</f>
        <v>40</v>
      </c>
      <c r="Z348" s="397">
        <f>VLOOKUP($C348,'ТР нефть'!$A$29:$GC$641,81,0)</f>
        <v>22</v>
      </c>
      <c r="AA348" s="397" t="str">
        <f>VLOOKUP($C348,'ТР нефть'!$A$29:$GC$641,76,0)</f>
        <v>Постоянный</v>
      </c>
      <c r="AB348" s="397">
        <f>VLOOKUP($C348,'ТР нефть'!$A$29:$GC$641,77,0)</f>
        <v>24</v>
      </c>
      <c r="AC348" s="397">
        <f>VLOOKUP($C348,'ТР нефть'!$A$29:$GC$641,78,0)</f>
        <v>0</v>
      </c>
      <c r="AD348" s="398">
        <f>VLOOKUP($C348,'ТР нефть'!$A$29:$GC$641,93,0)</f>
        <v>8.3181999999999992</v>
      </c>
      <c r="AE348" s="399">
        <f>VLOOKUP($C348,'ТР нефть'!$A$29:$GC$641,94,0)</f>
        <v>10</v>
      </c>
      <c r="AF348" s="400">
        <f>VLOOKUP($C348,'ТР нефть'!$A$29:$GC$641,95,0)</f>
        <v>0.5</v>
      </c>
      <c r="AG348" s="397">
        <f>VLOOKUP($C348,'ТР нефть'!$A$29:$GC$641,99,0)</f>
        <v>17.8</v>
      </c>
      <c r="AH348" s="397">
        <f>VLOOKUP($C348,'ТР нефть'!$A$29:$GC$641,100,0)</f>
        <v>2139.8860330359935</v>
      </c>
      <c r="AI348" s="397">
        <f>VLOOKUP($C348,'ТР нефть'!$A$29:$GC$641,92,0)</f>
        <v>46</v>
      </c>
      <c r="AJ348" s="403">
        <f>VLOOKUP($C348,'ТР нефть'!$A$29:$GC$641,102,0)</f>
        <v>0.2857142857142857</v>
      </c>
      <c r="AK348" s="404">
        <f t="shared" si="30"/>
        <v>0</v>
      </c>
      <c r="AL348" s="397">
        <f t="shared" si="30"/>
        <v>-2</v>
      </c>
      <c r="AM348" s="397">
        <f t="shared" si="30"/>
        <v>-2</v>
      </c>
      <c r="AN348" s="397">
        <f t="shared" si="30"/>
        <v>-2</v>
      </c>
      <c r="AO348" s="397">
        <f t="shared" si="31"/>
        <v>0</v>
      </c>
      <c r="AP348" s="397">
        <f t="shared" si="31"/>
        <v>0</v>
      </c>
      <c r="AQ348" s="398">
        <f t="shared" si="31"/>
        <v>1.2136211999999995</v>
      </c>
      <c r="AR348" s="399">
        <f t="shared" si="31"/>
        <v>1.5</v>
      </c>
      <c r="AS348" s="400">
        <f t="shared" si="31"/>
        <v>0.48</v>
      </c>
      <c r="AT348" s="397">
        <f t="shared" si="31"/>
        <v>-1.1999999999999993</v>
      </c>
      <c r="AU348" s="397">
        <f t="shared" si="31"/>
        <v>535.28703837075022</v>
      </c>
      <c r="AV348" s="397">
        <f t="shared" si="31"/>
        <v>-4</v>
      </c>
      <c r="AW348" s="406">
        <f t="shared" si="31"/>
        <v>1.1520737327188946E-2</v>
      </c>
      <c r="AX348" s="392" t="str">
        <f>VLOOKUP($C348,'ТР нефть'!$A$29:$GC$641,182,0)</f>
        <v>Технология</v>
      </c>
      <c r="AY348" s="406" t="str">
        <f>VLOOKUP($C348,'ТР нефть'!$A$29:$GC$641,183,0)</f>
        <v>Увеличения  расхода г/г на 50 м3/ч</v>
      </c>
      <c r="AZ348" s="407">
        <f t="shared" si="32"/>
        <v>8.3181999999999992</v>
      </c>
      <c r="BA348" s="408">
        <f t="shared" si="32"/>
        <v>10</v>
      </c>
      <c r="BB348" s="397">
        <f t="shared" si="32"/>
        <v>0.5</v>
      </c>
      <c r="BC348" s="698"/>
      <c r="BD348" s="699"/>
    </row>
    <row r="349" spans="1:56" ht="40.5" customHeight="1" outlineLevel="1" x14ac:dyDescent="0.25">
      <c r="A349" s="373"/>
      <c r="B349" s="392">
        <f t="shared" si="29"/>
        <v>31</v>
      </c>
      <c r="C349" s="490">
        <v>1205</v>
      </c>
      <c r="D349" s="394" t="str">
        <f>VLOOKUP($C349,'ТР нефть'!$A$29:$GC$641,5,0)</f>
        <v>ВУ ОНГКМ</v>
      </c>
      <c r="E349" s="394" t="str">
        <f>VLOOKUP($C349,'ТР нефть'!$A$29:$GC$641,8,0)</f>
        <v>ТЛ-4</v>
      </c>
      <c r="F349" s="462" t="str">
        <f>VLOOKUP($C349,'ТР нефть'!$A$29:$GC$641,11,0)</f>
        <v>К-13</v>
      </c>
      <c r="G349" s="392" t="str">
        <f>VLOOKUP($C349,'ТР нефть'!$A$29:$GC$641,47,0)</f>
        <v>Газлифт</v>
      </c>
      <c r="H349" s="396">
        <f>VLOOKUP($C349,'ТР нефть'!$A$29:$GC$641,135,0)</f>
        <v>18</v>
      </c>
      <c r="I349" s="397">
        <f>VLOOKUP($C349,'ТР нефть'!$A$29:$GC$641,136,0)</f>
        <v>25</v>
      </c>
      <c r="J349" s="397">
        <f>VLOOKUP($C349,'ТР нефть'!$A$29:$GC$641,137,0)</f>
        <v>36</v>
      </c>
      <c r="K349" s="397">
        <f>VLOOKUP($C349,'ТР нефть'!$A$29:$GC$641,138,0)</f>
        <v>24</v>
      </c>
      <c r="L349" s="397" t="str">
        <f>VLOOKUP($C349,'ТР нефть'!$A$29:$GC$641,139,0)</f>
        <v>Периодический</v>
      </c>
      <c r="M349" s="397">
        <f>VLOOKUP($C349,'ТР нефть'!$A$29:$GC$641,140,0)</f>
        <v>24</v>
      </c>
      <c r="N349" s="397">
        <f>VLOOKUP($C349,'ТР нефть'!$A$29:$GC$641,141,0)</f>
        <v>24</v>
      </c>
      <c r="O349" s="398">
        <f>VLOOKUP($C349,'ТР нефть'!$A$29:$GC$641,142,0)</f>
        <v>1.6699936</v>
      </c>
      <c r="P349" s="399">
        <f>VLOOKUP($C349,'ТР нефть'!$A$29:$GC$641,143,0)</f>
        <v>2</v>
      </c>
      <c r="Q349" s="400">
        <f>VLOOKUP($C349,'ТР нефть'!$A$29:$GC$641,144,0)</f>
        <v>0.12</v>
      </c>
      <c r="R349" s="397">
        <f>VLOOKUP($C349,'ТР нефть'!$A$29:$GC$641,145,0)</f>
        <v>6.35</v>
      </c>
      <c r="S349" s="397">
        <f>VLOOKUP($C349,'ТР нефть'!$A$29:$GC$641,146,0)</f>
        <v>1706.5933665853568</v>
      </c>
      <c r="T349" s="397">
        <f>VLOOKUP($C349,'ТР нефть'!$A$29:$GC$641,149,0)</f>
        <v>52</v>
      </c>
      <c r="U349" s="403">
        <f>VLOOKUP($C349,'ТР нефть'!$A$29:$GC$641,150,0)</f>
        <v>5.7142857142857141E-2</v>
      </c>
      <c r="V349" s="402" t="str">
        <f>VLOOKUP($C349,'ТР нефть'!$A$29:$GC$641,47,0)</f>
        <v>Газлифт</v>
      </c>
      <c r="W349" s="396">
        <f>VLOOKUP($C349,'ТР нефть'!$A$29:$GC$641,74,0)</f>
        <v>18</v>
      </c>
      <c r="X349" s="397">
        <f>VLOOKUP($C349,'ТР нефть'!$A$29:$GC$641,79,0)</f>
        <v>23</v>
      </c>
      <c r="Y349" s="397">
        <f>VLOOKUP($C349,'ТР нефть'!$A$29:$GC$641,80,0)</f>
        <v>35</v>
      </c>
      <c r="Z349" s="397">
        <f>VLOOKUP($C349,'ТР нефть'!$A$29:$GC$641,81,0)</f>
        <v>22</v>
      </c>
      <c r="AA349" s="397" t="str">
        <f>VLOOKUP($C349,'ТР нефть'!$A$29:$GC$641,76,0)</f>
        <v>Периодический</v>
      </c>
      <c r="AB349" s="397">
        <f>VLOOKUP($C349,'ТР нефть'!$A$29:$GC$641,77,0)</f>
        <v>24</v>
      </c>
      <c r="AC349" s="397">
        <f>VLOOKUP($C349,'ТР нефть'!$A$29:$GC$641,78,0)</f>
        <v>24</v>
      </c>
      <c r="AD349" s="398">
        <f>VLOOKUP($C349,'ТР нефть'!$A$29:$GC$641,93,0)</f>
        <v>3.2938399999999999</v>
      </c>
      <c r="AE349" s="399">
        <f>VLOOKUP($C349,'ТР нефть'!$A$29:$GC$641,94,0)</f>
        <v>4</v>
      </c>
      <c r="AF349" s="400">
        <f>VLOOKUP($C349,'ТР нефть'!$A$29:$GC$641,95,0)</f>
        <v>1.5</v>
      </c>
      <c r="AG349" s="397">
        <f>VLOOKUP($C349,'ТР нефть'!$A$29:$GC$641,99,0)</f>
        <v>3.3000000000000007</v>
      </c>
      <c r="AH349" s="397">
        <f>VLOOKUP($C349,'ТР нефть'!$A$29:$GC$641,100,0)</f>
        <v>1001.8701576275718</v>
      </c>
      <c r="AI349" s="397">
        <f>VLOOKUP($C349,'ТР нефть'!$A$29:$GC$641,92,0)</f>
        <v>57</v>
      </c>
      <c r="AJ349" s="403">
        <f>VLOOKUP($C349,'ТР нефть'!$A$29:$GC$641,102,0)</f>
        <v>0.13333333333333333</v>
      </c>
      <c r="AK349" s="404">
        <f t="shared" si="30"/>
        <v>0</v>
      </c>
      <c r="AL349" s="397">
        <f t="shared" si="30"/>
        <v>-2</v>
      </c>
      <c r="AM349" s="397">
        <f t="shared" si="30"/>
        <v>-1</v>
      </c>
      <c r="AN349" s="397">
        <f t="shared" si="30"/>
        <v>-2</v>
      </c>
      <c r="AO349" s="397">
        <f t="shared" si="31"/>
        <v>0</v>
      </c>
      <c r="AP349" s="397">
        <f t="shared" si="31"/>
        <v>0</v>
      </c>
      <c r="AQ349" s="398">
        <f t="shared" si="31"/>
        <v>1.6238463999999999</v>
      </c>
      <c r="AR349" s="399">
        <f t="shared" si="31"/>
        <v>2</v>
      </c>
      <c r="AS349" s="400">
        <f t="shared" si="31"/>
        <v>1.38</v>
      </c>
      <c r="AT349" s="397">
        <f t="shared" si="31"/>
        <v>-3.0499999999999989</v>
      </c>
      <c r="AU349" s="397">
        <f t="shared" si="31"/>
        <v>-704.723208957785</v>
      </c>
      <c r="AV349" s="397">
        <f t="shared" si="31"/>
        <v>5</v>
      </c>
      <c r="AW349" s="406">
        <f t="shared" si="31"/>
        <v>7.6190476190476197E-2</v>
      </c>
      <c r="AX349" s="392" t="str">
        <f>VLOOKUP($C349,'ТР нефть'!$A$29:$GC$641,182,0)</f>
        <v>Технология</v>
      </c>
      <c r="AY349" s="406" t="str">
        <f>VLOOKUP($C349,'ТР нефть'!$A$29:$GC$641,183,0)</f>
        <v>Увеличение дебита на фоне регулировки расхода г/г</v>
      </c>
      <c r="AZ349" s="407">
        <f t="shared" si="32"/>
        <v>3.2938399999999999</v>
      </c>
      <c r="BA349" s="408">
        <f t="shared" si="32"/>
        <v>4</v>
      </c>
      <c r="BB349" s="397">
        <f t="shared" si="32"/>
        <v>1.5</v>
      </c>
      <c r="BC349" s="698"/>
      <c r="BD349" s="699"/>
    </row>
    <row r="350" spans="1:56" ht="40.5" customHeight="1" outlineLevel="1" x14ac:dyDescent="0.25">
      <c r="A350" s="373"/>
      <c r="B350" s="392">
        <f t="shared" si="29"/>
        <v>32</v>
      </c>
      <c r="C350" s="490">
        <v>1230</v>
      </c>
      <c r="D350" s="394" t="str">
        <f>VLOOKUP($C350,'ТР нефть'!$A$29:$GC$641,5,0)</f>
        <v>ВУ ОНГКМ</v>
      </c>
      <c r="E350" s="394" t="str">
        <f>VLOOKUP($C350,'ТР нефть'!$A$29:$GC$641,8,0)</f>
        <v>ТЛ-3</v>
      </c>
      <c r="F350" s="462" t="str">
        <f>VLOOKUP($C350,'ТР нефть'!$A$29:$GC$641,11,0)</f>
        <v>К-54</v>
      </c>
      <c r="G350" s="392" t="str">
        <f>VLOOKUP($C350,'ТР нефть'!$A$29:$GC$641,47,0)</f>
        <v>Газлифт</v>
      </c>
      <c r="H350" s="396">
        <f>VLOOKUP($C350,'ТР нефть'!$A$29:$GC$641,135,0)</f>
        <v>12</v>
      </c>
      <c r="I350" s="397">
        <f>VLOOKUP($C350,'ТР нефть'!$A$29:$GC$641,136,0)</f>
        <v>31</v>
      </c>
      <c r="J350" s="397">
        <f>VLOOKUP($C350,'ТР нефть'!$A$29:$GC$641,137,0)</f>
        <v>59</v>
      </c>
      <c r="K350" s="397">
        <f>VLOOKUP($C350,'ТР нефть'!$A$29:$GC$641,138,0)</f>
        <v>30</v>
      </c>
      <c r="L350" s="397" t="str">
        <f>VLOOKUP($C350,'ТР нефть'!$A$29:$GC$641,139,0)</f>
        <v>Постоянный</v>
      </c>
      <c r="M350" s="397">
        <f>VLOOKUP($C350,'ТР нефть'!$A$29:$GC$641,140,0)</f>
        <v>24</v>
      </c>
      <c r="N350" s="397">
        <f>VLOOKUP($C350,'ТР нефть'!$A$29:$GC$641,141,0)</f>
        <v>0</v>
      </c>
      <c r="O350" s="398">
        <f>VLOOKUP($C350,'ТР нефть'!$A$29:$GC$641,142,0)</f>
        <v>2.8710747999999993</v>
      </c>
      <c r="P350" s="399">
        <f>VLOOKUP($C350,'ТР нефть'!$A$29:$GC$641,143,0)</f>
        <v>6.1</v>
      </c>
      <c r="Q350" s="400">
        <f>VLOOKUP($C350,'ТР нефть'!$A$29:$GC$641,144,0)</f>
        <v>43.7</v>
      </c>
      <c r="R350" s="397">
        <f>VLOOKUP($C350,'ТР нефть'!$A$29:$GC$641,145,0)</f>
        <v>8.9</v>
      </c>
      <c r="S350" s="397">
        <f>VLOOKUP($C350,'ТР нефть'!$A$29:$GC$641,146,0)</f>
        <v>452.79210419735529</v>
      </c>
      <c r="T350" s="397">
        <f>VLOOKUP($C350,'ТР нефть'!$A$29:$GC$641,149,0)</f>
        <v>79</v>
      </c>
      <c r="U350" s="403">
        <f>VLOOKUP($C350,'ТР нефть'!$A$29:$GC$641,150,0)</f>
        <v>0.14523809523809522</v>
      </c>
      <c r="V350" s="402" t="str">
        <f>VLOOKUP($C350,'ТР нефть'!$A$29:$GC$641,47,0)</f>
        <v>Газлифт</v>
      </c>
      <c r="W350" s="396">
        <f>VLOOKUP($C350,'ТР нефть'!$A$29:$GC$641,74,0)</f>
        <v>12</v>
      </c>
      <c r="X350" s="397">
        <f>VLOOKUP($C350,'ТР нефть'!$A$29:$GC$641,79,0)</f>
        <v>24</v>
      </c>
      <c r="Y350" s="397">
        <f>VLOOKUP($C350,'ТР нефть'!$A$29:$GC$641,80,0)</f>
        <v>54</v>
      </c>
      <c r="Z350" s="397">
        <f>VLOOKUP($C350,'ТР нефть'!$A$29:$GC$641,81,0)</f>
        <v>23</v>
      </c>
      <c r="AA350" s="397" t="str">
        <f>VLOOKUP($C350,'ТР нефть'!$A$29:$GC$641,76,0)</f>
        <v>Постоянный</v>
      </c>
      <c r="AB350" s="397">
        <f>VLOOKUP($C350,'ТР нефть'!$A$29:$GC$641,77,0)</f>
        <v>24</v>
      </c>
      <c r="AC350" s="397">
        <f>VLOOKUP($C350,'ТР нефть'!$A$29:$GC$641,78,0)</f>
        <v>0</v>
      </c>
      <c r="AD350" s="398">
        <f>VLOOKUP($C350,'ТР нефть'!$A$29:$GC$641,93,0)</f>
        <v>4.8253919999999999</v>
      </c>
      <c r="AE350" s="399">
        <f>VLOOKUP($C350,'ТР нефть'!$A$29:$GC$641,94,0)</f>
        <v>7.8</v>
      </c>
      <c r="AF350" s="400">
        <f>VLOOKUP($C350,'ТР нефть'!$A$29:$GC$641,95,0)</f>
        <v>26</v>
      </c>
      <c r="AG350" s="397">
        <f>VLOOKUP($C350,'ТР нефть'!$A$29:$GC$641,99,0)</f>
        <v>2.9000000000000004</v>
      </c>
      <c r="AH350" s="397">
        <f>VLOOKUP($C350,'ТР нефть'!$A$29:$GC$641,100,0)</f>
        <v>600.98744309270637</v>
      </c>
      <c r="AI350" s="397">
        <f>VLOOKUP($C350,'ТР нефть'!$A$29:$GC$641,92,0)</f>
        <v>54</v>
      </c>
      <c r="AJ350" s="403">
        <f>VLOOKUP($C350,'ТР нефть'!$A$29:$GC$641,102,0)</f>
        <v>0.11641791044776119</v>
      </c>
      <c r="AK350" s="404">
        <f t="shared" si="30"/>
        <v>0</v>
      </c>
      <c r="AL350" s="397">
        <f t="shared" si="30"/>
        <v>-7</v>
      </c>
      <c r="AM350" s="397">
        <f t="shared" si="30"/>
        <v>-5</v>
      </c>
      <c r="AN350" s="397">
        <f t="shared" si="30"/>
        <v>-7</v>
      </c>
      <c r="AO350" s="397">
        <f t="shared" si="31"/>
        <v>0</v>
      </c>
      <c r="AP350" s="397">
        <f t="shared" si="31"/>
        <v>0</v>
      </c>
      <c r="AQ350" s="398">
        <f t="shared" si="31"/>
        <v>1.9543172000000006</v>
      </c>
      <c r="AR350" s="399">
        <f t="shared" si="31"/>
        <v>1.7000000000000002</v>
      </c>
      <c r="AS350" s="400">
        <f t="shared" si="31"/>
        <v>-17.700000000000003</v>
      </c>
      <c r="AT350" s="397">
        <f t="shared" si="31"/>
        <v>-6</v>
      </c>
      <c r="AU350" s="397">
        <f t="shared" si="31"/>
        <v>148.19533889535109</v>
      </c>
      <c r="AV350" s="397">
        <f t="shared" si="31"/>
        <v>-25</v>
      </c>
      <c r="AW350" s="406">
        <f t="shared" si="31"/>
        <v>-2.8820184790334033E-2</v>
      </c>
      <c r="AX350" s="392" t="str">
        <f>VLOOKUP($C350,'ТР нефть'!$A$29:$GC$641,182,0)</f>
        <v>Технология</v>
      </c>
      <c r="AY350" s="406" t="str">
        <f>VLOOKUP($C350,'ТР нефть'!$A$29:$GC$641,183,0)</f>
        <v>Увеличение дебита на фоне снижения Рлин, регулировки расхода г/г</v>
      </c>
      <c r="AZ350" s="407">
        <f t="shared" si="32"/>
        <v>4.8253919999999999</v>
      </c>
      <c r="BA350" s="408">
        <f t="shared" si="32"/>
        <v>7.8</v>
      </c>
      <c r="BB350" s="397">
        <f t="shared" si="32"/>
        <v>26</v>
      </c>
      <c r="BC350" s="698"/>
      <c r="BD350" s="699"/>
    </row>
    <row r="351" spans="1:56" ht="40.5" customHeight="1" outlineLevel="1" x14ac:dyDescent="0.25">
      <c r="A351" s="373"/>
      <c r="B351" s="392">
        <f t="shared" si="29"/>
        <v>33</v>
      </c>
      <c r="C351" s="490">
        <v>1249</v>
      </c>
      <c r="D351" s="394" t="str">
        <f>VLOOKUP($C351,'ТР нефть'!$A$29:$GC$641,5,0)</f>
        <v>ВУ ОНГКМ</v>
      </c>
      <c r="E351" s="394" t="str">
        <f>VLOOKUP($C351,'ТР нефть'!$A$29:$GC$641,8,0)</f>
        <v>ТЛ-2</v>
      </c>
      <c r="F351" s="462" t="str">
        <f>VLOOKUP($C351,'ТР нефть'!$A$29:$GC$641,11,0)</f>
        <v>К-1249</v>
      </c>
      <c r="G351" s="392" t="str">
        <f>VLOOKUP($C351,'ТР нефть'!$A$29:$GC$641,47,0)</f>
        <v>Газлифт</v>
      </c>
      <c r="H351" s="396">
        <f>VLOOKUP($C351,'ТР нефть'!$A$29:$GC$641,135,0)</f>
        <v>12</v>
      </c>
      <c r="I351" s="397">
        <f>VLOOKUP($C351,'ТР нефть'!$A$29:$GC$641,136,0)</f>
        <v>25</v>
      </c>
      <c r="J351" s="397">
        <f>VLOOKUP($C351,'ТР нефть'!$A$29:$GC$641,137,0)</f>
        <v>42</v>
      </c>
      <c r="K351" s="397">
        <f>VLOOKUP($C351,'ТР нефть'!$A$29:$GC$641,138,0)</f>
        <v>24</v>
      </c>
      <c r="L351" s="397" t="str">
        <f>VLOOKUP($C351,'ТР нефть'!$A$29:$GC$641,139,0)</f>
        <v>Постоянный</v>
      </c>
      <c r="M351" s="397">
        <f>VLOOKUP($C351,'ТР нефть'!$A$29:$GC$641,140,0)</f>
        <v>24</v>
      </c>
      <c r="N351" s="397">
        <f>VLOOKUP($C351,'ТР нефть'!$A$29:$GC$641,141,0)</f>
        <v>0</v>
      </c>
      <c r="O351" s="398">
        <f>VLOOKUP($C351,'ТР нефть'!$A$29:$GC$641,142,0)</f>
        <v>6.27</v>
      </c>
      <c r="P351" s="399">
        <f>VLOOKUP($C351,'ТР нефть'!$A$29:$GC$641,143,0)</f>
        <v>7.5</v>
      </c>
      <c r="Q351" s="400">
        <f>VLOOKUP($C351,'ТР нефть'!$A$29:$GC$641,144,0)</f>
        <v>0</v>
      </c>
      <c r="R351" s="397">
        <f>VLOOKUP($C351,'ТР нефть'!$A$29:$GC$641,145,0)</f>
        <v>13.561999999999999</v>
      </c>
      <c r="S351" s="397">
        <f>VLOOKUP($C351,'ТР нефть'!$A$29:$GC$641,146,0)</f>
        <v>626.79425837320571</v>
      </c>
      <c r="T351" s="397">
        <f>VLOOKUP($C351,'ТР нефть'!$A$29:$GC$641,149,0)</f>
        <v>51</v>
      </c>
      <c r="U351" s="403">
        <f>VLOOKUP($C351,'ТР нефть'!$A$29:$GC$641,150,0)</f>
        <v>0.15</v>
      </c>
      <c r="V351" s="402" t="str">
        <f>VLOOKUP($C351,'ТР нефть'!$A$29:$GC$641,47,0)</f>
        <v>Газлифт</v>
      </c>
      <c r="W351" s="396">
        <f>VLOOKUP($C351,'ТР нефть'!$A$29:$GC$641,74,0)</f>
        <v>12</v>
      </c>
      <c r="X351" s="397">
        <f>VLOOKUP($C351,'ТР нефть'!$A$29:$GC$641,79,0)</f>
        <v>24</v>
      </c>
      <c r="Y351" s="397">
        <f>VLOOKUP($C351,'ТР нефть'!$A$29:$GC$641,80,0)</f>
        <v>43</v>
      </c>
      <c r="Z351" s="397">
        <f>VLOOKUP($C351,'ТР нефть'!$A$29:$GC$641,81,0)</f>
        <v>23</v>
      </c>
      <c r="AA351" s="397" t="str">
        <f>VLOOKUP($C351,'ТР нефть'!$A$29:$GC$641,76,0)</f>
        <v>Постоянный</v>
      </c>
      <c r="AB351" s="397">
        <f>VLOOKUP($C351,'ТР нефть'!$A$29:$GC$641,77,0)</f>
        <v>24</v>
      </c>
      <c r="AC351" s="397">
        <f>VLOOKUP($C351,'ТР нефть'!$A$29:$GC$641,78,0)</f>
        <v>0</v>
      </c>
      <c r="AD351" s="398">
        <f>VLOOKUP($C351,'ТР нефть'!$A$29:$GC$641,93,0)</f>
        <v>9.613999999999999</v>
      </c>
      <c r="AE351" s="399">
        <f>VLOOKUP($C351,'ТР нефть'!$A$29:$GC$641,94,0)</f>
        <v>11.5</v>
      </c>
      <c r="AF351" s="400">
        <f>VLOOKUP($C351,'ТР нефть'!$A$29:$GC$641,95,0)</f>
        <v>0</v>
      </c>
      <c r="AG351" s="397">
        <f>VLOOKUP($C351,'ТР нефть'!$A$29:$GC$641,99,0)</f>
        <v>5</v>
      </c>
      <c r="AH351" s="397">
        <f>VLOOKUP($C351,'ТР нефть'!$A$29:$GC$641,100,0)</f>
        <v>520.07489078427295</v>
      </c>
      <c r="AI351" s="397">
        <f>VLOOKUP($C351,'ТР нефть'!$A$29:$GC$641,92,0)</f>
        <v>55</v>
      </c>
      <c r="AJ351" s="403">
        <f>VLOOKUP($C351,'ТР нефть'!$A$29:$GC$641,102,0)</f>
        <v>0.26744186046511625</v>
      </c>
      <c r="AK351" s="404">
        <f t="shared" si="30"/>
        <v>0</v>
      </c>
      <c r="AL351" s="397">
        <f t="shared" si="30"/>
        <v>-1</v>
      </c>
      <c r="AM351" s="397">
        <f t="shared" si="30"/>
        <v>1</v>
      </c>
      <c r="AN351" s="397">
        <f t="shared" si="30"/>
        <v>-1</v>
      </c>
      <c r="AO351" s="397">
        <f t="shared" si="31"/>
        <v>0</v>
      </c>
      <c r="AP351" s="397">
        <f t="shared" si="31"/>
        <v>0</v>
      </c>
      <c r="AQ351" s="398">
        <f t="shared" si="31"/>
        <v>3.3439999999999994</v>
      </c>
      <c r="AR351" s="399">
        <f t="shared" si="31"/>
        <v>4</v>
      </c>
      <c r="AS351" s="400">
        <f t="shared" si="31"/>
        <v>0</v>
      </c>
      <c r="AT351" s="397">
        <f t="shared" si="31"/>
        <v>-8.5619999999999994</v>
      </c>
      <c r="AU351" s="397">
        <f t="shared" si="31"/>
        <v>-106.71936758893276</v>
      </c>
      <c r="AV351" s="397">
        <f t="shared" si="31"/>
        <v>4</v>
      </c>
      <c r="AW351" s="406">
        <f t="shared" si="31"/>
        <v>0.11744186046511626</v>
      </c>
      <c r="AX351" s="392" t="str">
        <f>VLOOKUP($C351,'ТР нефть'!$A$29:$GC$641,182,0)</f>
        <v>Технология</v>
      </c>
      <c r="AY351" s="406" t="str">
        <f>VLOOKUP($C351,'ТР нефть'!$A$29:$GC$641,183,0)</f>
        <v>Увеличение дебита на фоне регулировки расхода г/г</v>
      </c>
      <c r="AZ351" s="407">
        <f t="shared" si="32"/>
        <v>9.613999999999999</v>
      </c>
      <c r="BA351" s="408">
        <f t="shared" si="32"/>
        <v>11.5</v>
      </c>
      <c r="BB351" s="397">
        <f t="shared" si="32"/>
        <v>0</v>
      </c>
      <c r="BC351" s="698"/>
      <c r="BD351" s="699"/>
    </row>
    <row r="352" spans="1:56" ht="40.5" customHeight="1" outlineLevel="1" x14ac:dyDescent="0.25">
      <c r="A352" s="373"/>
      <c r="B352" s="392">
        <f t="shared" si="29"/>
        <v>34</v>
      </c>
      <c r="C352" s="490">
        <v>1288</v>
      </c>
      <c r="D352" s="394" t="str">
        <f>VLOOKUP($C352,'ТР нефть'!$A$29:$GC$641,5,0)</f>
        <v>ВУ ОНГКМ</v>
      </c>
      <c r="E352" s="394" t="str">
        <f>VLOOKUP($C352,'ТР нефть'!$A$29:$GC$641,8,0)</f>
        <v>ТЛ-4</v>
      </c>
      <c r="F352" s="462" t="str">
        <f>VLOOKUP($C352,'ТР нефть'!$A$29:$GC$641,11,0)</f>
        <v>К-65</v>
      </c>
      <c r="G352" s="392" t="str">
        <f>VLOOKUP($C352,'ТР нефть'!$A$29:$GC$641,47,0)</f>
        <v>Газлифт</v>
      </c>
      <c r="H352" s="396">
        <f>VLOOKUP($C352,'ТР нефть'!$A$29:$GC$641,135,0)</f>
        <v>65</v>
      </c>
      <c r="I352" s="397">
        <f>VLOOKUP($C352,'ТР нефть'!$A$29:$GC$641,136,0)</f>
        <v>27</v>
      </c>
      <c r="J352" s="397">
        <f>VLOOKUP($C352,'ТР нефть'!$A$29:$GC$641,137,0)</f>
        <v>53</v>
      </c>
      <c r="K352" s="397">
        <f>VLOOKUP($C352,'ТР нефть'!$A$29:$GC$641,138,0)</f>
        <v>26</v>
      </c>
      <c r="L352" s="397" t="str">
        <f>VLOOKUP($C352,'ТР нефть'!$A$29:$GC$641,139,0)</f>
        <v>Постоянный</v>
      </c>
      <c r="M352" s="397">
        <f>VLOOKUP($C352,'ТР нефть'!$A$29:$GC$641,140,0)</f>
        <v>24</v>
      </c>
      <c r="N352" s="397">
        <f>VLOOKUP($C352,'ТР нефть'!$A$29:$GC$641,141,0)</f>
        <v>0</v>
      </c>
      <c r="O352" s="398">
        <f>VLOOKUP($C352,'ТР нефть'!$A$29:$GC$641,142,0)</f>
        <v>2.5254807599999998</v>
      </c>
      <c r="P352" s="399">
        <f>VLOOKUP($C352,'ТР нефть'!$A$29:$GC$641,143,0)</f>
        <v>3.03</v>
      </c>
      <c r="Q352" s="400">
        <f>VLOOKUP($C352,'ТР нефть'!$A$29:$GC$641,144,0)</f>
        <v>0.3</v>
      </c>
      <c r="R352" s="397">
        <f>VLOOKUP($C352,'ТР нефть'!$A$29:$GC$641,145,0)</f>
        <v>7.2</v>
      </c>
      <c r="S352" s="397">
        <f>VLOOKUP($C352,'ТР нефть'!$A$29:$GC$641,146,0)</f>
        <v>158.38568494974413</v>
      </c>
      <c r="T352" s="397">
        <f>VLOOKUP($C352,'ТР нефть'!$A$29:$GC$641,149,0)</f>
        <v>96</v>
      </c>
      <c r="U352" s="403">
        <f>VLOOKUP($C352,'ТР нефть'!$A$29:$GC$641,150,0)</f>
        <v>4.128065395095367E-2</v>
      </c>
      <c r="V352" s="402" t="str">
        <f>VLOOKUP($C352,'ТР нефть'!$A$29:$GC$641,47,0)</f>
        <v>Газлифт</v>
      </c>
      <c r="W352" s="396">
        <f>VLOOKUP($C352,'ТР нефть'!$A$29:$GC$641,74,0)</f>
        <v>65</v>
      </c>
      <c r="X352" s="397">
        <f>VLOOKUP($C352,'ТР нефть'!$A$29:$GC$641,79,0)</f>
        <v>25</v>
      </c>
      <c r="Y352" s="397">
        <f>VLOOKUP($C352,'ТР нефть'!$A$29:$GC$641,80,0)</f>
        <v>40</v>
      </c>
      <c r="Z352" s="397">
        <f>VLOOKUP($C352,'ТР нефть'!$A$29:$GC$641,81,0)</f>
        <v>24</v>
      </c>
      <c r="AA352" s="397" t="str">
        <f>VLOOKUP($C352,'ТР нефть'!$A$29:$GC$641,76,0)</f>
        <v>Постоянный</v>
      </c>
      <c r="AB352" s="397">
        <f>VLOOKUP($C352,'ТР нефть'!$A$29:$GC$641,77,0)</f>
        <v>24</v>
      </c>
      <c r="AC352" s="397">
        <f>VLOOKUP($C352,'ТР нефть'!$A$29:$GC$641,78,0)</f>
        <v>0</v>
      </c>
      <c r="AD352" s="398">
        <f>VLOOKUP($C352,'ТР нефть'!$A$29:$GC$641,93,0)</f>
        <v>3.5006664000000001</v>
      </c>
      <c r="AE352" s="399">
        <f>VLOOKUP($C352,'ТР нефть'!$A$29:$GC$641,94,0)</f>
        <v>4.2</v>
      </c>
      <c r="AF352" s="400">
        <f>VLOOKUP($C352,'ТР нефть'!$A$29:$GC$641,95,0)</f>
        <v>0.3</v>
      </c>
      <c r="AG352" s="397">
        <f>VLOOKUP($C352,'ТР нефть'!$A$29:$GC$641,99,0)</f>
        <v>10</v>
      </c>
      <c r="AH352" s="397">
        <f>VLOOKUP($C352,'ТР нефть'!$A$29:$GC$641,100,0)</f>
        <v>2856.5989607007396</v>
      </c>
      <c r="AI352" s="397">
        <f>VLOOKUP($C352,'ТР нефть'!$A$29:$GC$641,92,0)</f>
        <v>107</v>
      </c>
      <c r="AJ352" s="403">
        <f>VLOOKUP($C352,'ТР нефть'!$A$29:$GC$641,102,0)</f>
        <v>0.52500000000000002</v>
      </c>
      <c r="AK352" s="404">
        <f t="shared" ref="AK352:AN383" si="33">W352-H352</f>
        <v>0</v>
      </c>
      <c r="AL352" s="397">
        <f t="shared" si="33"/>
        <v>-2</v>
      </c>
      <c r="AM352" s="397">
        <f t="shared" si="33"/>
        <v>-13</v>
      </c>
      <c r="AN352" s="397">
        <f t="shared" si="33"/>
        <v>-2</v>
      </c>
      <c r="AO352" s="397">
        <f t="shared" ref="AO352:AW383" si="34">AB352-M352</f>
        <v>0</v>
      </c>
      <c r="AP352" s="397">
        <f t="shared" si="34"/>
        <v>0</v>
      </c>
      <c r="AQ352" s="398">
        <f t="shared" si="34"/>
        <v>0.9751856400000003</v>
      </c>
      <c r="AR352" s="399">
        <f t="shared" si="34"/>
        <v>1.1700000000000004</v>
      </c>
      <c r="AS352" s="400">
        <f t="shared" si="34"/>
        <v>0</v>
      </c>
      <c r="AT352" s="397">
        <f t="shared" si="34"/>
        <v>2.8</v>
      </c>
      <c r="AU352" s="397">
        <f t="shared" si="34"/>
        <v>2698.2132757509953</v>
      </c>
      <c r="AV352" s="397">
        <f t="shared" si="34"/>
        <v>11</v>
      </c>
      <c r="AW352" s="406">
        <f t="shared" si="34"/>
        <v>0.48371934604904637</v>
      </c>
      <c r="AX352" s="392" t="str">
        <f>VLOOKUP($C352,'ТР нефть'!$A$29:$GC$641,182,0)</f>
        <v>Технология</v>
      </c>
      <c r="AY352" s="406" t="str">
        <f>VLOOKUP($C352,'ТР нефть'!$A$29:$GC$641,183,0)</f>
        <v>Увеличение дебита на фоне снижения Рлин</v>
      </c>
      <c r="AZ352" s="407">
        <f t="shared" ref="AZ352:BB383" si="35">AD352</f>
        <v>3.5006664000000001</v>
      </c>
      <c r="BA352" s="408">
        <f t="shared" si="35"/>
        <v>4.2</v>
      </c>
      <c r="BB352" s="397">
        <f t="shared" si="35"/>
        <v>0.3</v>
      </c>
      <c r="BC352" s="698"/>
      <c r="BD352" s="699"/>
    </row>
    <row r="353" spans="1:56" ht="40.5" customHeight="1" outlineLevel="1" x14ac:dyDescent="0.25">
      <c r="A353" s="373"/>
      <c r="B353" s="392">
        <f t="shared" si="29"/>
        <v>35</v>
      </c>
      <c r="C353" s="490">
        <v>1289</v>
      </c>
      <c r="D353" s="394" t="str">
        <f>VLOOKUP($C353,'ТР нефть'!$A$29:$GC$641,5,0)</f>
        <v>ВУ ОНГКМ</v>
      </c>
      <c r="E353" s="394" t="str">
        <f>VLOOKUP($C353,'ТР нефть'!$A$29:$GC$641,8,0)</f>
        <v>ТЛ-4</v>
      </c>
      <c r="F353" s="462" t="str">
        <f>VLOOKUP($C353,'ТР нефть'!$A$29:$GC$641,11,0)</f>
        <v>К-105</v>
      </c>
      <c r="G353" s="392" t="str">
        <f>VLOOKUP($C353,'ТР нефть'!$A$29:$GC$641,47,0)</f>
        <v>Газлифт</v>
      </c>
      <c r="H353" s="396">
        <f>VLOOKUP($C353,'ТР нефть'!$A$29:$GC$641,135,0)</f>
        <v>18</v>
      </c>
      <c r="I353" s="397">
        <f>VLOOKUP($C353,'ТР нефть'!$A$29:$GC$641,136,0)</f>
        <v>27</v>
      </c>
      <c r="J353" s="397">
        <f>VLOOKUP($C353,'ТР нефть'!$A$29:$GC$641,137,0)</f>
        <v>45</v>
      </c>
      <c r="K353" s="397">
        <f>VLOOKUP($C353,'ТР нефть'!$A$29:$GC$641,138,0)</f>
        <v>26</v>
      </c>
      <c r="L353" s="397" t="str">
        <f>VLOOKUP($C353,'ТР нефть'!$A$29:$GC$641,139,0)</f>
        <v>Постоянный</v>
      </c>
      <c r="M353" s="397">
        <f>VLOOKUP($C353,'ТР нефть'!$A$29:$GC$641,140,0)</f>
        <v>24</v>
      </c>
      <c r="N353" s="397">
        <f>VLOOKUP($C353,'ТР нефть'!$A$29:$GC$641,141,0)</f>
        <v>0</v>
      </c>
      <c r="O353" s="398">
        <f>VLOOKUP($C353,'ТР нефть'!$A$29:$GC$641,142,0)</f>
        <v>7.3126592000000006</v>
      </c>
      <c r="P353" s="399">
        <f>VLOOKUP($C353,'ТР нефть'!$A$29:$GC$641,143,0)</f>
        <v>8.8000000000000007</v>
      </c>
      <c r="Q353" s="400">
        <f>VLOOKUP($C353,'ТР нефть'!$A$29:$GC$641,144,0)</f>
        <v>1</v>
      </c>
      <c r="R353" s="397">
        <f>VLOOKUP($C353,'ТР нефть'!$A$29:$GC$641,145,0)</f>
        <v>11</v>
      </c>
      <c r="S353" s="397">
        <f>VLOOKUP($C353,'ТР нефть'!$A$29:$GC$641,146,0)</f>
        <v>191.44882343211077</v>
      </c>
      <c r="T353" s="397">
        <f>VLOOKUP($C353,'ТР нефть'!$A$29:$GC$641,149,0)</f>
        <v>56</v>
      </c>
      <c r="U353" s="403">
        <f>VLOOKUP($C353,'ТР нефть'!$A$29:$GC$641,150,0)</f>
        <v>0.11891891891891893</v>
      </c>
      <c r="V353" s="402" t="str">
        <f>VLOOKUP($C353,'ТР нефть'!$A$29:$GC$641,47,0)</f>
        <v>Газлифт</v>
      </c>
      <c r="W353" s="396">
        <f>VLOOKUP($C353,'ТР нефть'!$A$29:$GC$641,74,0)</f>
        <v>18</v>
      </c>
      <c r="X353" s="397">
        <f>VLOOKUP($C353,'ТР нефть'!$A$29:$GC$641,79,0)</f>
        <v>25</v>
      </c>
      <c r="Y353" s="397">
        <f>VLOOKUP($C353,'ТР нефть'!$A$29:$GC$641,80,0)</f>
        <v>43</v>
      </c>
      <c r="Z353" s="397">
        <f>VLOOKUP($C353,'ТР нефть'!$A$29:$GC$641,81,0)</f>
        <v>24</v>
      </c>
      <c r="AA353" s="397" t="str">
        <f>VLOOKUP($C353,'ТР нефть'!$A$29:$GC$641,76,0)</f>
        <v>Постоянный</v>
      </c>
      <c r="AB353" s="397">
        <f>VLOOKUP($C353,'ТР нефть'!$A$29:$GC$641,77,0)</f>
        <v>24</v>
      </c>
      <c r="AC353" s="397">
        <f>VLOOKUP($C353,'ТР нефть'!$A$29:$GC$641,78,0)</f>
        <v>0</v>
      </c>
      <c r="AD353" s="398">
        <f>VLOOKUP($C353,'ТР нефть'!$A$29:$GC$641,93,0)</f>
        <v>9.7532943200000002</v>
      </c>
      <c r="AE353" s="399">
        <f>VLOOKUP($C353,'ТР нефть'!$A$29:$GC$641,94,0)</f>
        <v>11.69</v>
      </c>
      <c r="AF353" s="400">
        <f>VLOOKUP($C353,'ТР нефть'!$A$29:$GC$641,95,0)</f>
        <v>0.2</v>
      </c>
      <c r="AG353" s="397">
        <f>VLOOKUP($C353,'ТР нефть'!$A$29:$GC$641,99,0)</f>
        <v>3.4000000000000004</v>
      </c>
      <c r="AH353" s="397">
        <f>VLOOKUP($C353,'ТР нефть'!$A$29:$GC$641,100,0)</f>
        <v>348.60016405205749</v>
      </c>
      <c r="AI353" s="397">
        <f>VLOOKUP($C353,'ТР нефть'!$A$29:$GC$641,92,0)</f>
        <v>51</v>
      </c>
      <c r="AJ353" s="403">
        <f>VLOOKUP($C353,'ТР нефть'!$A$29:$GC$641,102,0)</f>
        <v>0.14797468354430379</v>
      </c>
      <c r="AK353" s="404">
        <f t="shared" si="33"/>
        <v>0</v>
      </c>
      <c r="AL353" s="397">
        <f t="shared" si="33"/>
        <v>-2</v>
      </c>
      <c r="AM353" s="397">
        <f t="shared" si="33"/>
        <v>-2</v>
      </c>
      <c r="AN353" s="397">
        <f t="shared" si="33"/>
        <v>-2</v>
      </c>
      <c r="AO353" s="397">
        <f t="shared" si="34"/>
        <v>0</v>
      </c>
      <c r="AP353" s="397">
        <f t="shared" si="34"/>
        <v>0</v>
      </c>
      <c r="AQ353" s="398">
        <f t="shared" si="34"/>
        <v>2.4406351199999996</v>
      </c>
      <c r="AR353" s="399">
        <f t="shared" si="34"/>
        <v>2.8899999999999988</v>
      </c>
      <c r="AS353" s="400">
        <f t="shared" si="34"/>
        <v>-0.8</v>
      </c>
      <c r="AT353" s="397">
        <f t="shared" si="34"/>
        <v>-7.6</v>
      </c>
      <c r="AU353" s="397">
        <f t="shared" si="34"/>
        <v>157.15134061994672</v>
      </c>
      <c r="AV353" s="397">
        <f t="shared" si="34"/>
        <v>-5</v>
      </c>
      <c r="AW353" s="406">
        <f t="shared" si="34"/>
        <v>2.9055764625384867E-2</v>
      </c>
      <c r="AX353" s="392" t="str">
        <f>VLOOKUP($C353,'ТР нефть'!$A$29:$GC$641,182,0)</f>
        <v>Технология</v>
      </c>
      <c r="AY353" s="406" t="str">
        <f>VLOOKUP($C353,'ТР нефть'!$A$29:$GC$641,183,0)</f>
        <v>Увеличение дебита на фоне снижения Рлин</v>
      </c>
      <c r="AZ353" s="407">
        <f t="shared" si="35"/>
        <v>9.7532943200000002</v>
      </c>
      <c r="BA353" s="408">
        <f t="shared" si="35"/>
        <v>11.69</v>
      </c>
      <c r="BB353" s="397">
        <f t="shared" si="35"/>
        <v>0.2</v>
      </c>
      <c r="BC353" s="698"/>
      <c r="BD353" s="699"/>
    </row>
    <row r="354" spans="1:56" ht="40.5" customHeight="1" outlineLevel="1" x14ac:dyDescent="0.25">
      <c r="A354" s="373"/>
      <c r="B354" s="392">
        <f t="shared" si="29"/>
        <v>36</v>
      </c>
      <c r="C354" s="490">
        <v>1330</v>
      </c>
      <c r="D354" s="394" t="str">
        <f>VLOOKUP($C354,'ТР нефть'!$A$29:$GC$641,5,0)</f>
        <v>ВУ ОНГКМ</v>
      </c>
      <c r="E354" s="394" t="str">
        <f>VLOOKUP($C354,'ТР нефть'!$A$29:$GC$641,8,0)</f>
        <v>ТЛ-4</v>
      </c>
      <c r="F354" s="462" t="str">
        <f>VLOOKUP($C354,'ТР нефть'!$A$29:$GC$641,11,0)</f>
        <v>К-105</v>
      </c>
      <c r="G354" s="392" t="str">
        <f>VLOOKUP($C354,'ТР нефть'!$A$29:$GC$641,47,0)</f>
        <v>Газлифт</v>
      </c>
      <c r="H354" s="396">
        <f>VLOOKUP($C354,'ТР нефть'!$A$29:$GC$641,135,0)</f>
        <v>65</v>
      </c>
      <c r="I354" s="397">
        <f>VLOOKUP($C354,'ТР нефть'!$A$29:$GC$641,136,0)</f>
        <v>27</v>
      </c>
      <c r="J354" s="397">
        <f>VLOOKUP($C354,'ТР нефть'!$A$29:$GC$641,137,0)</f>
        <v>41</v>
      </c>
      <c r="K354" s="397">
        <f>VLOOKUP($C354,'ТР нефть'!$A$29:$GC$641,138,0)</f>
        <v>26</v>
      </c>
      <c r="L354" s="397" t="str">
        <f>VLOOKUP($C354,'ТР нефть'!$A$29:$GC$641,139,0)</f>
        <v>Постоянный</v>
      </c>
      <c r="M354" s="397">
        <f>VLOOKUP($C354,'ТР нефть'!$A$29:$GC$641,140,0)</f>
        <v>24</v>
      </c>
      <c r="N354" s="397">
        <f>VLOOKUP($C354,'ТР нефть'!$A$29:$GC$641,141,0)</f>
        <v>0</v>
      </c>
      <c r="O354" s="398">
        <f>VLOOKUP($C354,'ТР нефть'!$A$29:$GC$641,142,0)</f>
        <v>11.5739184</v>
      </c>
      <c r="P354" s="399">
        <f>VLOOKUP($C354,'ТР нефть'!$A$29:$GC$641,143,0)</f>
        <v>13.9</v>
      </c>
      <c r="Q354" s="400">
        <f>VLOOKUP($C354,'ТР нефть'!$A$29:$GC$641,144,0)</f>
        <v>0.4</v>
      </c>
      <c r="R354" s="397">
        <f>VLOOKUP($C354,'ТР нефть'!$A$29:$GC$641,145,0)</f>
        <v>19.100000000000001</v>
      </c>
      <c r="S354" s="397">
        <f>VLOOKUP($C354,'ТР нефть'!$A$29:$GC$641,146,0)</f>
        <v>613.44825102620405</v>
      </c>
      <c r="T354" s="397">
        <f>VLOOKUP($C354,'ТР нефть'!$A$29:$GC$641,149,0)</f>
        <v>54</v>
      </c>
      <c r="U354" s="403">
        <f>VLOOKUP($C354,'ТР нефть'!$A$29:$GC$641,150,0)</f>
        <v>0.47440273037542668</v>
      </c>
      <c r="V354" s="402" t="str">
        <f>VLOOKUP($C354,'ТР нефть'!$A$29:$GC$641,47,0)</f>
        <v>Газлифт</v>
      </c>
      <c r="W354" s="396">
        <f>VLOOKUP($C354,'ТР нефть'!$A$29:$GC$641,74,0)</f>
        <v>65</v>
      </c>
      <c r="X354" s="397">
        <f>VLOOKUP($C354,'ТР нефть'!$A$29:$GC$641,79,0)</f>
        <v>25</v>
      </c>
      <c r="Y354" s="397">
        <f>VLOOKUP($C354,'ТР нефть'!$A$29:$GC$641,80,0)</f>
        <v>41</v>
      </c>
      <c r="Z354" s="397">
        <f>VLOOKUP($C354,'ТР нефть'!$A$29:$GC$641,81,0)</f>
        <v>24</v>
      </c>
      <c r="AA354" s="397" t="str">
        <f>VLOOKUP($C354,'ТР нефть'!$A$29:$GC$641,76,0)</f>
        <v>Постоянный</v>
      </c>
      <c r="AB354" s="397">
        <f>VLOOKUP($C354,'ТР нефть'!$A$29:$GC$641,77,0)</f>
        <v>24</v>
      </c>
      <c r="AC354" s="397">
        <f>VLOOKUP($C354,'ТР нефть'!$A$29:$GC$641,78,0)</f>
        <v>0</v>
      </c>
      <c r="AD354" s="398">
        <f>VLOOKUP($C354,'ТР нефть'!$A$29:$GC$641,93,0)</f>
        <v>12.53979936</v>
      </c>
      <c r="AE354" s="399">
        <f>VLOOKUP($C354,'ТР нефть'!$A$29:$GC$641,94,0)</f>
        <v>15.06</v>
      </c>
      <c r="AF354" s="400">
        <f>VLOOKUP($C354,'ТР нефть'!$A$29:$GC$641,95,0)</f>
        <v>0.4</v>
      </c>
      <c r="AG354" s="397">
        <f>VLOOKUP($C354,'ТР нефть'!$A$29:$GC$641,99,0)</f>
        <v>6.8000000000000007</v>
      </c>
      <c r="AH354" s="397">
        <f>VLOOKUP($C354,'ТР нефть'!$A$29:$GC$641,100,0)</f>
        <v>542.27342916593534</v>
      </c>
      <c r="AI354" s="397">
        <f>VLOOKUP($C354,'ТР нефть'!$A$29:$GC$641,92,0)</f>
        <v>54</v>
      </c>
      <c r="AJ354" s="403">
        <f>VLOOKUP($C354,'ТР нефть'!$A$29:$GC$641,102,0)</f>
        <v>0.51399317406143352</v>
      </c>
      <c r="AK354" s="404">
        <f t="shared" si="33"/>
        <v>0</v>
      </c>
      <c r="AL354" s="397">
        <f t="shared" si="33"/>
        <v>-2</v>
      </c>
      <c r="AM354" s="397">
        <f t="shared" si="33"/>
        <v>0</v>
      </c>
      <c r="AN354" s="397">
        <f t="shared" si="33"/>
        <v>-2</v>
      </c>
      <c r="AO354" s="397">
        <f t="shared" si="34"/>
        <v>0</v>
      </c>
      <c r="AP354" s="397">
        <f t="shared" si="34"/>
        <v>0</v>
      </c>
      <c r="AQ354" s="398">
        <f t="shared" si="34"/>
        <v>0.96588095999999979</v>
      </c>
      <c r="AR354" s="399">
        <f t="shared" si="34"/>
        <v>1.1600000000000001</v>
      </c>
      <c r="AS354" s="400">
        <f t="shared" si="34"/>
        <v>0</v>
      </c>
      <c r="AT354" s="397">
        <f t="shared" si="34"/>
        <v>-12.3</v>
      </c>
      <c r="AU354" s="397">
        <f t="shared" si="34"/>
        <v>-71.174821860268707</v>
      </c>
      <c r="AV354" s="397">
        <f t="shared" si="34"/>
        <v>0</v>
      </c>
      <c r="AW354" s="406">
        <f t="shared" si="34"/>
        <v>3.9590443686006838E-2</v>
      </c>
      <c r="AX354" s="392" t="str">
        <f>VLOOKUP($C354,'ТР нефть'!$A$29:$GC$641,182,0)</f>
        <v>Технология</v>
      </c>
      <c r="AY354" s="406" t="str">
        <f>VLOOKUP($C354,'ТР нефть'!$A$29:$GC$641,183,0)</f>
        <v>Увеличение дебита на фоне снижения Рлин</v>
      </c>
      <c r="AZ354" s="407">
        <f t="shared" si="35"/>
        <v>12.53979936</v>
      </c>
      <c r="BA354" s="408">
        <f t="shared" si="35"/>
        <v>15.06</v>
      </c>
      <c r="BB354" s="397">
        <f t="shared" si="35"/>
        <v>0.4</v>
      </c>
      <c r="BC354" s="698"/>
      <c r="BD354" s="699"/>
    </row>
    <row r="355" spans="1:56" ht="40.5" customHeight="1" outlineLevel="1" x14ac:dyDescent="0.25">
      <c r="A355" s="373"/>
      <c r="B355" s="392">
        <f t="shared" si="29"/>
        <v>37</v>
      </c>
      <c r="C355" s="490">
        <v>1334</v>
      </c>
      <c r="D355" s="394" t="str">
        <f>VLOOKUP($C355,'ТР нефть'!$A$29:$GC$641,5,0)</f>
        <v>ВУ ОНГКМ</v>
      </c>
      <c r="E355" s="394" t="str">
        <f>VLOOKUP($C355,'ТР нефть'!$A$29:$GC$641,8,0)</f>
        <v>ТЛ-3</v>
      </c>
      <c r="F355" s="462" t="str">
        <f>VLOOKUP($C355,'ТР нефть'!$A$29:$GC$641,11,0)</f>
        <v>К-104</v>
      </c>
      <c r="G355" s="392" t="str">
        <f>VLOOKUP($C355,'ТР нефть'!$A$29:$GC$641,47,0)</f>
        <v>Газлифт</v>
      </c>
      <c r="H355" s="396">
        <f>VLOOKUP($C355,'ТР нефть'!$A$29:$GC$641,135,0)</f>
        <v>65</v>
      </c>
      <c r="I355" s="397">
        <f>VLOOKUP($C355,'ТР нефть'!$A$29:$GC$641,136,0)</f>
        <v>35</v>
      </c>
      <c r="J355" s="397">
        <f>VLOOKUP($C355,'ТР нефть'!$A$29:$GC$641,137,0)</f>
        <v>49</v>
      </c>
      <c r="K355" s="397">
        <f>VLOOKUP($C355,'ТР нефть'!$A$29:$GC$641,138,0)</f>
        <v>34</v>
      </c>
      <c r="L355" s="397" t="str">
        <f>VLOOKUP($C355,'ТР нефть'!$A$29:$GC$641,139,0)</f>
        <v>постоянный</v>
      </c>
      <c r="M355" s="397">
        <f>VLOOKUP($C355,'ТР нефть'!$A$29:$GC$641,140,0)</f>
        <v>24</v>
      </c>
      <c r="N355" s="397">
        <f>VLOOKUP($C355,'ТР нефть'!$A$29:$GC$641,141,0)</f>
        <v>0</v>
      </c>
      <c r="O355" s="398">
        <f>VLOOKUP($C355,'ТР нефть'!$A$29:$GC$641,142,0)</f>
        <v>14.252713199999999</v>
      </c>
      <c r="P355" s="399">
        <f>VLOOKUP($C355,'ТР нефть'!$A$29:$GC$641,143,0)</f>
        <v>17.100000000000001</v>
      </c>
      <c r="Q355" s="400">
        <f>VLOOKUP($C355,'ТР нефть'!$A$29:$GC$641,144,0)</f>
        <v>0.3</v>
      </c>
      <c r="R355" s="397">
        <f>VLOOKUP($C355,'ТР нефть'!$A$29:$GC$641,145,0)</f>
        <v>26.8</v>
      </c>
      <c r="S355" s="397">
        <f>VLOOKUP($C355,'ТР нефть'!$A$29:$GC$641,146,0)</f>
        <v>982.2691163111316</v>
      </c>
      <c r="T355" s="397">
        <f>VLOOKUP($C355,'ТР нефть'!$A$29:$GC$641,149,0)</f>
        <v>55</v>
      </c>
      <c r="U355" s="403">
        <f>VLOOKUP($C355,'ТР нефть'!$A$29:$GC$641,150,0)</f>
        <v>0.21375000000000002</v>
      </c>
      <c r="V355" s="402" t="str">
        <f>VLOOKUP($C355,'ТР нефть'!$A$29:$GC$641,47,0)</f>
        <v>Газлифт</v>
      </c>
      <c r="W355" s="396">
        <f>VLOOKUP($C355,'ТР нефть'!$A$29:$GC$641,74,0)</f>
        <v>65</v>
      </c>
      <c r="X355" s="397">
        <f>VLOOKUP($C355,'ТР нефть'!$A$29:$GC$641,79,0)</f>
        <v>23</v>
      </c>
      <c r="Y355" s="397">
        <f>VLOOKUP($C355,'ТР нефть'!$A$29:$GC$641,80,0)</f>
        <v>52</v>
      </c>
      <c r="Z355" s="397">
        <f>VLOOKUP($C355,'ТР нефть'!$A$29:$GC$641,81,0)</f>
        <v>22</v>
      </c>
      <c r="AA355" s="397" t="str">
        <f>VLOOKUP($C355,'ТР нефть'!$A$29:$GC$641,76,0)</f>
        <v>постоянный</v>
      </c>
      <c r="AB355" s="397">
        <f>VLOOKUP($C355,'ТР нефть'!$A$29:$GC$641,77,0)</f>
        <v>24</v>
      </c>
      <c r="AC355" s="397">
        <f>VLOOKUP($C355,'ТР нефть'!$A$29:$GC$641,78,0)</f>
        <v>0</v>
      </c>
      <c r="AD355" s="398">
        <f>VLOOKUP($C355,'ТР нефть'!$A$29:$GC$641,93,0)</f>
        <v>16.602959999999999</v>
      </c>
      <c r="AE355" s="399">
        <f>VLOOKUP($C355,'ТР нефть'!$A$29:$GC$641,94,0)</f>
        <v>20</v>
      </c>
      <c r="AF355" s="400">
        <f>VLOOKUP($C355,'ТР нефть'!$A$29:$GC$641,95,0)</f>
        <v>0.7</v>
      </c>
      <c r="AG355" s="397">
        <f>VLOOKUP($C355,'ТР нефть'!$A$29:$GC$641,99,0)</f>
        <v>13.3</v>
      </c>
      <c r="AH355" s="397">
        <f>VLOOKUP($C355,'ТР нефть'!$A$29:$GC$641,100,0)</f>
        <v>801.06197930971348</v>
      </c>
      <c r="AI355" s="397">
        <f>VLOOKUP($C355,'ТР нефть'!$A$29:$GC$641,92,0)</f>
        <v>47</v>
      </c>
      <c r="AJ355" s="403">
        <f>VLOOKUP($C355,'ТР нефть'!$A$29:$GC$641,102,0)</f>
        <v>0.22727272727272727</v>
      </c>
      <c r="AK355" s="404">
        <f t="shared" si="33"/>
        <v>0</v>
      </c>
      <c r="AL355" s="397">
        <f t="shared" si="33"/>
        <v>-12</v>
      </c>
      <c r="AM355" s="397">
        <f t="shared" si="33"/>
        <v>3</v>
      </c>
      <c r="AN355" s="397">
        <f t="shared" si="33"/>
        <v>-12</v>
      </c>
      <c r="AO355" s="397">
        <f t="shared" si="34"/>
        <v>0</v>
      </c>
      <c r="AP355" s="397">
        <f t="shared" si="34"/>
        <v>0</v>
      </c>
      <c r="AQ355" s="398">
        <f t="shared" si="34"/>
        <v>2.3502468000000007</v>
      </c>
      <c r="AR355" s="399">
        <f t="shared" si="34"/>
        <v>2.8999999999999986</v>
      </c>
      <c r="AS355" s="400">
        <f t="shared" si="34"/>
        <v>0.39999999999999997</v>
      </c>
      <c r="AT355" s="397">
        <f t="shared" si="34"/>
        <v>-13.5</v>
      </c>
      <c r="AU355" s="397">
        <f t="shared" si="34"/>
        <v>-181.20713700141812</v>
      </c>
      <c r="AV355" s="397">
        <f t="shared" si="34"/>
        <v>-8</v>
      </c>
      <c r="AW355" s="406">
        <f t="shared" si="34"/>
        <v>1.3522727272727242E-2</v>
      </c>
      <c r="AX355" s="392" t="str">
        <f>VLOOKUP($C355,'ТР нефть'!$A$29:$GC$641,182,0)</f>
        <v>Технология</v>
      </c>
      <c r="AY355" s="406" t="str">
        <f>VLOOKUP($C355,'ТР нефть'!$A$29:$GC$641,183,0)</f>
        <v>Увеличение дебита на фоне снижения Рлин и Рзаб</v>
      </c>
      <c r="AZ355" s="407">
        <f t="shared" si="35"/>
        <v>16.602959999999999</v>
      </c>
      <c r="BA355" s="408">
        <f t="shared" si="35"/>
        <v>20</v>
      </c>
      <c r="BB355" s="397">
        <f t="shared" si="35"/>
        <v>0.7</v>
      </c>
      <c r="BC355" s="698"/>
      <c r="BD355" s="699"/>
    </row>
    <row r="356" spans="1:56" ht="40.5" customHeight="1" outlineLevel="1" x14ac:dyDescent="0.25">
      <c r="A356" s="373"/>
      <c r="B356" s="392">
        <f t="shared" si="29"/>
        <v>38</v>
      </c>
      <c r="C356" s="490">
        <v>1350</v>
      </c>
      <c r="D356" s="394" t="str">
        <f>VLOOKUP($C356,'ТР нефть'!$A$29:$GC$641,5,0)</f>
        <v>ВУ ОНГКМ</v>
      </c>
      <c r="E356" s="394" t="str">
        <f>VLOOKUP($C356,'ТР нефть'!$A$29:$GC$641,8,0)</f>
        <v>ТЛ-3</v>
      </c>
      <c r="F356" s="462" t="str">
        <f>VLOOKUP($C356,'ТР нефть'!$A$29:$GC$641,11,0)</f>
        <v>Без куста</v>
      </c>
      <c r="G356" s="392" t="str">
        <f>VLOOKUP($C356,'ТР нефть'!$A$29:$GC$641,47,0)</f>
        <v>Фон.</v>
      </c>
      <c r="H356" s="396">
        <f>VLOOKUP($C356,'ТР нефть'!$A$29:$GC$641,135,0)</f>
        <v>18</v>
      </c>
      <c r="I356" s="397">
        <f>VLOOKUP($C356,'ТР нефть'!$A$29:$GC$641,136,0)</f>
        <v>37</v>
      </c>
      <c r="J356" s="397">
        <f>VLOOKUP($C356,'ТР нефть'!$A$29:$GC$641,137,0)</f>
        <v>86</v>
      </c>
      <c r="K356" s="397">
        <f>VLOOKUP($C356,'ТР нефть'!$A$29:$GC$641,138,0)</f>
        <v>36</v>
      </c>
      <c r="L356" s="397" t="str">
        <f>VLOOKUP($C356,'ТР нефть'!$A$29:$GC$641,139,0)</f>
        <v>Постоянный</v>
      </c>
      <c r="M356" s="397">
        <f>VLOOKUP($C356,'ТР нефть'!$A$29:$GC$641,140,0)</f>
        <v>24</v>
      </c>
      <c r="N356" s="397">
        <f>VLOOKUP($C356,'ТР нефть'!$A$29:$GC$641,141,0)</f>
        <v>0</v>
      </c>
      <c r="O356" s="398">
        <f>VLOOKUP($C356,'ТР нефть'!$A$29:$GC$641,142,0)</f>
        <v>22.404799999999998</v>
      </c>
      <c r="P356" s="399">
        <f>VLOOKUP($C356,'ТР нефть'!$A$29:$GC$641,143,0)</f>
        <v>26.8</v>
      </c>
      <c r="Q356" s="400">
        <f>VLOOKUP($C356,'ТР нефть'!$A$29:$GC$641,144,0)</f>
        <v>0</v>
      </c>
      <c r="R356" s="397">
        <f>VLOOKUP($C356,'ТР нефть'!$A$29:$GC$641,145,0)</f>
        <v>64.599999999999994</v>
      </c>
      <c r="S356" s="397">
        <f>VLOOKUP($C356,'ТР нефть'!$A$29:$GC$641,146,0)</f>
        <v>2883.3107191316144</v>
      </c>
      <c r="T356" s="397">
        <f>VLOOKUP($C356,'ТР нефть'!$A$29:$GC$641,149,0)</f>
        <v>64</v>
      </c>
      <c r="U356" s="403">
        <f>VLOOKUP($C356,'ТР нефть'!$A$29:$GC$641,150,0)</f>
        <v>0.54693877551020409</v>
      </c>
      <c r="V356" s="402" t="str">
        <f>VLOOKUP($C356,'ТР нефть'!$A$29:$GC$641,47,0)</f>
        <v>Фон.</v>
      </c>
      <c r="W356" s="396">
        <f>VLOOKUP($C356,'ТР нефть'!$A$29:$GC$641,74,0)</f>
        <v>18</v>
      </c>
      <c r="X356" s="397">
        <f>VLOOKUP($C356,'ТР нефть'!$A$29:$GC$641,79,0)</f>
        <v>28</v>
      </c>
      <c r="Y356" s="397">
        <f>VLOOKUP($C356,'ТР нефть'!$A$29:$GC$641,80,0)</f>
        <v>55</v>
      </c>
      <c r="Z356" s="397">
        <f>VLOOKUP($C356,'ТР нефть'!$A$29:$GC$641,81,0)</f>
        <v>27</v>
      </c>
      <c r="AA356" s="397" t="str">
        <f>VLOOKUP($C356,'ТР нефть'!$A$29:$GC$641,76,0)</f>
        <v>Постоянный</v>
      </c>
      <c r="AB356" s="397">
        <f>VLOOKUP($C356,'ТР нефть'!$A$29:$GC$641,77,0)</f>
        <v>24</v>
      </c>
      <c r="AC356" s="397">
        <f>VLOOKUP($C356,'ТР нефть'!$A$29:$GC$641,78,0)</f>
        <v>0</v>
      </c>
      <c r="AD356" s="398">
        <f>VLOOKUP($C356,'ТР нефть'!$A$29:$GC$641,93,0)</f>
        <v>27.226346399999997</v>
      </c>
      <c r="AE356" s="399">
        <f>VLOOKUP($C356,'ТР нефть'!$A$29:$GC$641,94,0)</f>
        <v>32.6</v>
      </c>
      <c r="AF356" s="400">
        <f>VLOOKUP($C356,'ТР нефть'!$A$29:$GC$641,95,0)</f>
        <v>0.1</v>
      </c>
      <c r="AG356" s="397">
        <f>VLOOKUP($C356,'ТР нефть'!$A$29:$GC$641,99,0)</f>
        <v>151.4</v>
      </c>
      <c r="AH356" s="397">
        <f>VLOOKUP($C356,'ТР нефть'!$A$29:$GC$641,100,0)</f>
        <v>5560.7901910775663</v>
      </c>
      <c r="AI356" s="397">
        <f>VLOOKUP($C356,'ТР нефть'!$A$29:$GC$641,92,0)</f>
        <v>70</v>
      </c>
      <c r="AJ356" s="403">
        <f>VLOOKUP($C356,'ТР нефть'!$A$29:$GC$641,102,0)</f>
        <v>0.75813953488372099</v>
      </c>
      <c r="AK356" s="404">
        <f t="shared" si="33"/>
        <v>0</v>
      </c>
      <c r="AL356" s="397">
        <f t="shared" si="33"/>
        <v>-9</v>
      </c>
      <c r="AM356" s="397">
        <f t="shared" si="33"/>
        <v>-31</v>
      </c>
      <c r="AN356" s="397">
        <f t="shared" si="33"/>
        <v>-9</v>
      </c>
      <c r="AO356" s="397">
        <f t="shared" si="34"/>
        <v>0</v>
      </c>
      <c r="AP356" s="397">
        <f t="shared" si="34"/>
        <v>0</v>
      </c>
      <c r="AQ356" s="398">
        <f t="shared" si="34"/>
        <v>4.821546399999999</v>
      </c>
      <c r="AR356" s="399">
        <f t="shared" si="34"/>
        <v>5.8000000000000007</v>
      </c>
      <c r="AS356" s="400">
        <f t="shared" si="34"/>
        <v>0.1</v>
      </c>
      <c r="AT356" s="397">
        <f t="shared" si="34"/>
        <v>86.800000000000011</v>
      </c>
      <c r="AU356" s="397">
        <f t="shared" si="34"/>
        <v>2677.4794719459519</v>
      </c>
      <c r="AV356" s="397">
        <f t="shared" si="34"/>
        <v>6</v>
      </c>
      <c r="AW356" s="406">
        <f t="shared" si="34"/>
        <v>0.2112007593735169</v>
      </c>
      <c r="AX356" s="392" t="str">
        <f>VLOOKUP($C356,'ТР нефть'!$A$29:$GC$641,182,0)</f>
        <v>Технология</v>
      </c>
      <c r="AY356" s="406" t="str">
        <f>VLOOKUP($C356,'ТР нефть'!$A$29:$GC$641,183,0)</f>
        <v>Увеличение дебита на фоне снижения Рлин</v>
      </c>
      <c r="AZ356" s="407">
        <f t="shared" si="35"/>
        <v>27.226346399999997</v>
      </c>
      <c r="BA356" s="408">
        <f t="shared" si="35"/>
        <v>32.6</v>
      </c>
      <c r="BB356" s="397">
        <f t="shared" si="35"/>
        <v>0.1</v>
      </c>
      <c r="BC356" s="698"/>
      <c r="BD356" s="699"/>
    </row>
    <row r="357" spans="1:56" ht="40.5" customHeight="1" outlineLevel="1" x14ac:dyDescent="0.25">
      <c r="A357" s="373"/>
      <c r="B357" s="392">
        <f t="shared" si="29"/>
        <v>39</v>
      </c>
      <c r="C357" s="490">
        <v>1367</v>
      </c>
      <c r="D357" s="394" t="str">
        <f>VLOOKUP($C357,'ТР нефть'!$A$29:$GC$641,5,0)</f>
        <v>ВУ ОНГКМ</v>
      </c>
      <c r="E357" s="394" t="str">
        <f>VLOOKUP($C357,'ТР нефть'!$A$29:$GC$641,8,0)</f>
        <v>ТЛ-4</v>
      </c>
      <c r="F357" s="462" t="str">
        <f>VLOOKUP($C357,'ТР нефть'!$A$29:$GC$641,11,0)</f>
        <v>К-26</v>
      </c>
      <c r="G357" s="392" t="str">
        <f>VLOOKUP($C357,'ТР нефть'!$A$29:$GC$641,47,0)</f>
        <v>ЭЦН</v>
      </c>
      <c r="H357" s="396">
        <f>VLOOKUP($C357,'ТР нефть'!$A$29:$GC$641,135,0)</f>
        <v>65</v>
      </c>
      <c r="I357" s="397">
        <f>VLOOKUP($C357,'ТР нефть'!$A$29:$GC$641,136,0)</f>
        <v>25</v>
      </c>
      <c r="J357" s="397">
        <f>VLOOKUP($C357,'ТР нефть'!$A$29:$GC$641,137,0)</f>
        <v>25</v>
      </c>
      <c r="K357" s="397">
        <f>VLOOKUP($C357,'ТР нефть'!$A$29:$GC$641,138,0)</f>
        <v>24</v>
      </c>
      <c r="L357" s="397" t="str">
        <f>VLOOKUP($C357,'ТР нефть'!$A$29:$GC$641,139,0)</f>
        <v>Периодический</v>
      </c>
      <c r="M357" s="397">
        <f>VLOOKUP($C357,'ТР нефть'!$A$29:$GC$641,140,0)</f>
        <v>5</v>
      </c>
      <c r="N357" s="397">
        <f>VLOOKUP($C357,'ТР нефть'!$A$29:$GC$641,141,0)</f>
        <v>19</v>
      </c>
      <c r="O357" s="398">
        <f>VLOOKUP($C357,'ТР нефть'!$A$29:$GC$641,142,0)</f>
        <v>2.8781808</v>
      </c>
      <c r="P357" s="399">
        <f>VLOOKUP($C357,'ТР нефть'!$A$29:$GC$641,143,0)</f>
        <v>3.8</v>
      </c>
      <c r="Q357" s="400">
        <f>VLOOKUP($C357,'ТР нефть'!$A$29:$GC$641,144,0)</f>
        <v>9.4</v>
      </c>
      <c r="R357" s="397">
        <f>VLOOKUP($C357,'ТР нефть'!$A$29:$GC$641,145,0)</f>
        <v>6.2</v>
      </c>
      <c r="S357" s="397">
        <f>VLOOKUP($C357,'ТР нефть'!$A$29:$GC$641,146,0)</f>
        <v>2154.1384752479762</v>
      </c>
      <c r="T357" s="397">
        <f>VLOOKUP($C357,'ТР нефть'!$A$29:$GC$641,149,0)</f>
        <v>107.204362016</v>
      </c>
      <c r="U357" s="403">
        <f>VLOOKUP($C357,'ТР нефть'!$A$29:$GC$641,150,0)</f>
        <v>0.16524873120041211</v>
      </c>
      <c r="V357" s="402" t="str">
        <f>VLOOKUP($C357,'ТР нефть'!$A$29:$GC$641,47,0)</f>
        <v>ЭЦН</v>
      </c>
      <c r="W357" s="396">
        <f>VLOOKUP($C357,'ТР нефть'!$A$29:$GC$641,74,0)</f>
        <v>65</v>
      </c>
      <c r="X357" s="397">
        <f>VLOOKUP($C357,'ТР нефть'!$A$29:$GC$641,79,0)</f>
        <v>22</v>
      </c>
      <c r="Y357" s="397">
        <f>VLOOKUP($C357,'ТР нефть'!$A$29:$GC$641,80,0)</f>
        <v>25</v>
      </c>
      <c r="Z357" s="397">
        <f>VLOOKUP($C357,'ТР нефть'!$A$29:$GC$641,81,0)</f>
        <v>21</v>
      </c>
      <c r="AA357" s="397" t="str">
        <f>VLOOKUP($C357,'ТР нефть'!$A$29:$GC$641,76,0)</f>
        <v>Периодический</v>
      </c>
      <c r="AB357" s="397">
        <f>VLOOKUP($C357,'ТР нефть'!$A$29:$GC$641,77,0)</f>
        <v>5</v>
      </c>
      <c r="AC357" s="397">
        <f>VLOOKUP($C357,'ТР нефть'!$A$29:$GC$641,78,0)</f>
        <v>19</v>
      </c>
      <c r="AD357" s="398">
        <f>VLOOKUP($C357,'ТР нефть'!$A$29:$GC$641,93,0)</f>
        <v>5.8643727999999999</v>
      </c>
      <c r="AE357" s="399">
        <f>VLOOKUP($C357,'ТР нефть'!$A$29:$GC$641,94,0)</f>
        <v>7.6</v>
      </c>
      <c r="AF357" s="400">
        <f>VLOOKUP($C357,'ТР нефть'!$A$29:$GC$641,95,0)</f>
        <v>7.7</v>
      </c>
      <c r="AG357" s="397">
        <f>VLOOKUP($C357,'ТР нефть'!$A$29:$GC$641,99,0)</f>
        <v>12</v>
      </c>
      <c r="AH357" s="397">
        <f>VLOOKUP($C357,'ТР нефть'!$A$29:$GC$641,100,0)</f>
        <v>2046.2546310152725</v>
      </c>
      <c r="AI357" s="397">
        <f>VLOOKUP($C357,'ТР нефть'!$A$29:$GC$641,92,0)</f>
        <v>94.081886128000008</v>
      </c>
      <c r="AJ357" s="403">
        <f>VLOOKUP($C357,'ТР нефть'!$A$29:$GC$641,102,0)</f>
        <v>0.21159240229272142</v>
      </c>
      <c r="AK357" s="404">
        <f t="shared" si="33"/>
        <v>0</v>
      </c>
      <c r="AL357" s="397">
        <f t="shared" si="33"/>
        <v>-3</v>
      </c>
      <c r="AM357" s="397">
        <f t="shared" si="33"/>
        <v>0</v>
      </c>
      <c r="AN357" s="397">
        <f t="shared" si="33"/>
        <v>-3</v>
      </c>
      <c r="AO357" s="397">
        <f t="shared" si="34"/>
        <v>0</v>
      </c>
      <c r="AP357" s="397">
        <f t="shared" si="34"/>
        <v>0</v>
      </c>
      <c r="AQ357" s="398">
        <f t="shared" si="34"/>
        <v>2.986192</v>
      </c>
      <c r="AR357" s="399">
        <f t="shared" si="34"/>
        <v>3.8</v>
      </c>
      <c r="AS357" s="400">
        <f t="shared" si="34"/>
        <v>-1.7000000000000002</v>
      </c>
      <c r="AT357" s="397">
        <f t="shared" si="34"/>
        <v>5.8</v>
      </c>
      <c r="AU357" s="397">
        <f t="shared" si="34"/>
        <v>-107.88384423270372</v>
      </c>
      <c r="AV357" s="397">
        <f t="shared" si="34"/>
        <v>-13.122475887999997</v>
      </c>
      <c r="AW357" s="406">
        <f t="shared" si="34"/>
        <v>4.6343671092309302E-2</v>
      </c>
      <c r="AX357" s="392" t="str">
        <f>VLOOKUP($C357,'ТР нефть'!$A$29:$GC$641,182,0)</f>
        <v>Технология</v>
      </c>
      <c r="AY357" s="406" t="str">
        <f>VLOOKUP($C357,'ТР нефть'!$A$29:$GC$641,183,0)</f>
        <v xml:space="preserve">Увеличение дебита на фоне снижения Рпр и Рзаб </v>
      </c>
      <c r="AZ357" s="407">
        <f t="shared" si="35"/>
        <v>5.8643727999999999</v>
      </c>
      <c r="BA357" s="408">
        <f t="shared" si="35"/>
        <v>7.6</v>
      </c>
      <c r="BB357" s="397">
        <f t="shared" si="35"/>
        <v>7.7</v>
      </c>
      <c r="BC357" s="698"/>
      <c r="BD357" s="699"/>
    </row>
    <row r="358" spans="1:56" ht="40.5" customHeight="1" outlineLevel="1" x14ac:dyDescent="0.25">
      <c r="A358" s="373"/>
      <c r="B358" s="392">
        <f t="shared" si="29"/>
        <v>40</v>
      </c>
      <c r="C358" s="490">
        <v>1374</v>
      </c>
      <c r="D358" s="394" t="str">
        <f>VLOOKUP($C358,'ТР нефть'!$A$29:$GC$641,5,0)</f>
        <v>ВУ ОНГКМ</v>
      </c>
      <c r="E358" s="394" t="str">
        <f>VLOOKUP($C358,'ТР нефть'!$A$29:$GC$641,8,0)</f>
        <v>ТЛ-4</v>
      </c>
      <c r="F358" s="462" t="str">
        <f>VLOOKUP($C358,'ТР нефть'!$A$29:$GC$641,11,0)</f>
        <v>К-91</v>
      </c>
      <c r="G358" s="392" t="str">
        <f>VLOOKUP($C358,'ТР нефть'!$A$29:$GC$641,47,0)</f>
        <v>Газлифт</v>
      </c>
      <c r="H358" s="396">
        <f>VLOOKUP($C358,'ТР нефть'!$A$29:$GC$641,135,0)</f>
        <v>65</v>
      </c>
      <c r="I358" s="397">
        <f>VLOOKUP($C358,'ТР нефть'!$A$29:$GC$641,136,0)</f>
        <v>26</v>
      </c>
      <c r="J358" s="397">
        <f>VLOOKUP($C358,'ТР нефть'!$A$29:$GC$641,137,0)</f>
        <v>39</v>
      </c>
      <c r="K358" s="397">
        <f>VLOOKUP($C358,'ТР нефть'!$A$29:$GC$641,138,0)</f>
        <v>25</v>
      </c>
      <c r="L358" s="397" t="str">
        <f>VLOOKUP($C358,'ТР нефть'!$A$29:$GC$641,139,0)</f>
        <v>Постоянный</v>
      </c>
      <c r="M358" s="397">
        <f>VLOOKUP($C358,'ТР нефть'!$A$29:$GC$641,140,0)</f>
        <v>24</v>
      </c>
      <c r="N358" s="397">
        <f>VLOOKUP($C358,'ТР нефть'!$A$29:$GC$641,141,0)</f>
        <v>0</v>
      </c>
      <c r="O358" s="398">
        <f>VLOOKUP($C358,'ТР нефть'!$A$29:$GC$641,142,0)</f>
        <v>12.707199999999998</v>
      </c>
      <c r="P358" s="399">
        <f>VLOOKUP($C358,'ТР нефть'!$A$29:$GC$641,143,0)</f>
        <v>15.2</v>
      </c>
      <c r="Q358" s="400">
        <f>VLOOKUP($C358,'ТР нефть'!$A$29:$GC$641,144,0)</f>
        <v>0</v>
      </c>
      <c r="R358" s="397">
        <f>VLOOKUP($C358,'ТР нефть'!$A$29:$GC$641,145,0)</f>
        <v>21</v>
      </c>
      <c r="S358" s="397">
        <f>VLOOKUP($C358,'ТР нефть'!$A$29:$GC$641,146,0)</f>
        <v>550.86879879123649</v>
      </c>
      <c r="T358" s="397">
        <f>VLOOKUP($C358,'ТР нефть'!$A$29:$GC$641,149,0)</f>
        <v>46</v>
      </c>
      <c r="U358" s="403">
        <f>VLOOKUP($C358,'ТР нефть'!$A$29:$GC$641,150,0)</f>
        <v>0.31020408163265306</v>
      </c>
      <c r="V358" s="402" t="str">
        <f>VLOOKUP($C358,'ТР нефть'!$A$29:$GC$641,47,0)</f>
        <v>Газлифт</v>
      </c>
      <c r="W358" s="396">
        <f>VLOOKUP($C358,'ТР нефть'!$A$29:$GC$641,74,0)</f>
        <v>65</v>
      </c>
      <c r="X358" s="397">
        <f>VLOOKUP($C358,'ТР нефть'!$A$29:$GC$641,79,0)</f>
        <v>24</v>
      </c>
      <c r="Y358" s="397">
        <f>VLOOKUP($C358,'ТР нефть'!$A$29:$GC$641,80,0)</f>
        <v>40</v>
      </c>
      <c r="Z358" s="397">
        <f>VLOOKUP($C358,'ТР нефть'!$A$29:$GC$641,81,0)</f>
        <v>23</v>
      </c>
      <c r="AA358" s="397" t="str">
        <f>VLOOKUP($C358,'ТР нефть'!$A$29:$GC$641,76,0)</f>
        <v>Постоянный</v>
      </c>
      <c r="AB358" s="397">
        <f>VLOOKUP($C358,'ТР нефть'!$A$29:$GC$641,77,0)</f>
        <v>24</v>
      </c>
      <c r="AC358" s="397">
        <f>VLOOKUP($C358,'ТР нефть'!$A$29:$GC$641,78,0)</f>
        <v>0</v>
      </c>
      <c r="AD358" s="398">
        <f>VLOOKUP($C358,'ТР нефть'!$A$29:$GC$641,93,0)</f>
        <v>14.212</v>
      </c>
      <c r="AE358" s="399">
        <f>VLOOKUP($C358,'ТР нефть'!$A$29:$GC$641,94,0)</f>
        <v>17</v>
      </c>
      <c r="AF358" s="400">
        <f>VLOOKUP($C358,'ТР нефть'!$A$29:$GC$641,95,0)</f>
        <v>0</v>
      </c>
      <c r="AG358" s="397">
        <f>VLOOKUP($C358,'ТР нефть'!$A$29:$GC$641,99,0)</f>
        <v>8.3000000000000007</v>
      </c>
      <c r="AH358" s="397">
        <f>VLOOKUP($C358,'ТР нефть'!$A$29:$GC$641,100,0)</f>
        <v>584.01350971010413</v>
      </c>
      <c r="AI358" s="397">
        <f>VLOOKUP($C358,'ТР нефть'!$A$29:$GC$641,92,0)</f>
        <v>39</v>
      </c>
      <c r="AJ358" s="403">
        <f>VLOOKUP($C358,'ТР нефть'!$A$29:$GC$641,102,0)</f>
        <v>0.30357142857142855</v>
      </c>
      <c r="AK358" s="404">
        <f t="shared" si="33"/>
        <v>0</v>
      </c>
      <c r="AL358" s="397">
        <f t="shared" si="33"/>
        <v>-2</v>
      </c>
      <c r="AM358" s="397">
        <f t="shared" si="33"/>
        <v>1</v>
      </c>
      <c r="AN358" s="397">
        <f t="shared" si="33"/>
        <v>-2</v>
      </c>
      <c r="AO358" s="397">
        <f t="shared" si="34"/>
        <v>0</v>
      </c>
      <c r="AP358" s="397">
        <f t="shared" si="34"/>
        <v>0</v>
      </c>
      <c r="AQ358" s="398">
        <f t="shared" si="34"/>
        <v>1.5048000000000012</v>
      </c>
      <c r="AR358" s="399">
        <f t="shared" si="34"/>
        <v>1.8000000000000007</v>
      </c>
      <c r="AS358" s="400">
        <f t="shared" si="34"/>
        <v>0</v>
      </c>
      <c r="AT358" s="397">
        <f t="shared" si="34"/>
        <v>-12.7</v>
      </c>
      <c r="AU358" s="397">
        <f t="shared" si="34"/>
        <v>33.144710918867645</v>
      </c>
      <c r="AV358" s="397">
        <f t="shared" si="34"/>
        <v>-7</v>
      </c>
      <c r="AW358" s="406">
        <f t="shared" si="34"/>
        <v>-6.6326530612245138E-3</v>
      </c>
      <c r="AX358" s="392" t="str">
        <f>VLOOKUP($C358,'ТР нефть'!$A$29:$GC$641,182,0)</f>
        <v>Технология</v>
      </c>
      <c r="AY358" s="406" t="str">
        <f>VLOOKUP($C358,'ТР нефть'!$A$29:$GC$641,183,0)</f>
        <v>Увеличение дебита на фоне снижения Рлин</v>
      </c>
      <c r="AZ358" s="407">
        <f t="shared" si="35"/>
        <v>14.212</v>
      </c>
      <c r="BA358" s="408">
        <f t="shared" si="35"/>
        <v>17</v>
      </c>
      <c r="BB358" s="397">
        <f t="shared" si="35"/>
        <v>0</v>
      </c>
      <c r="BC358" s="698"/>
      <c r="BD358" s="699"/>
    </row>
    <row r="359" spans="1:56" ht="40.5" customHeight="1" outlineLevel="1" x14ac:dyDescent="0.25">
      <c r="A359" s="373"/>
      <c r="B359" s="392">
        <f t="shared" si="29"/>
        <v>41</v>
      </c>
      <c r="C359" s="490">
        <v>1385</v>
      </c>
      <c r="D359" s="394" t="str">
        <f>VLOOKUP($C359,'ТР нефть'!$A$29:$GC$641,5,0)</f>
        <v>ВУ ОНГКМ</v>
      </c>
      <c r="E359" s="394" t="str">
        <f>VLOOKUP($C359,'ТР нефть'!$A$29:$GC$641,8,0)</f>
        <v>ТЛ-2</v>
      </c>
      <c r="F359" s="462" t="str">
        <f>VLOOKUP($C359,'ТР нефть'!$A$29:$GC$641,11,0)</f>
        <v>К-40</v>
      </c>
      <c r="G359" s="392" t="str">
        <f>VLOOKUP($C359,'ТР нефть'!$A$29:$GC$641,47,0)</f>
        <v>Газлифт</v>
      </c>
      <c r="H359" s="396">
        <f>VLOOKUP($C359,'ТР нефть'!$A$29:$GC$641,135,0)</f>
        <v>18</v>
      </c>
      <c r="I359" s="397">
        <f>VLOOKUP($C359,'ТР нефть'!$A$29:$GC$641,136,0)</f>
        <v>21</v>
      </c>
      <c r="J359" s="397">
        <f>VLOOKUP($C359,'ТР нефть'!$A$29:$GC$641,137,0)</f>
        <v>60</v>
      </c>
      <c r="K359" s="397">
        <f>VLOOKUP($C359,'ТР нефть'!$A$29:$GC$641,138,0)</f>
        <v>19</v>
      </c>
      <c r="L359" s="397" t="str">
        <f>VLOOKUP($C359,'ТР нефть'!$A$29:$GC$641,139,0)</f>
        <v>Постоянный</v>
      </c>
      <c r="M359" s="397">
        <f>VLOOKUP($C359,'ТР нефть'!$A$29:$GC$641,140,0)</f>
        <v>24</v>
      </c>
      <c r="N359" s="397">
        <f>VLOOKUP($C359,'ТР нефть'!$A$29:$GC$641,141,0)</f>
        <v>0</v>
      </c>
      <c r="O359" s="398">
        <f>VLOOKUP($C359,'ТР нефть'!$A$29:$GC$641,142,0)</f>
        <v>3.2185999999999999</v>
      </c>
      <c r="P359" s="399">
        <f>VLOOKUP($C359,'ТР нефть'!$A$29:$GC$641,143,0)</f>
        <v>3.85</v>
      </c>
      <c r="Q359" s="400">
        <f>VLOOKUP($C359,'ТР нефть'!$A$29:$GC$641,144,0)</f>
        <v>0</v>
      </c>
      <c r="R359" s="397">
        <f>VLOOKUP($C359,'ТР нефть'!$A$29:$GC$641,145,0)</f>
        <v>15</v>
      </c>
      <c r="S359" s="397">
        <f>VLOOKUP($C359,'ТР нефть'!$A$29:$GC$641,146,0)</f>
        <v>1677.7480892313429</v>
      </c>
      <c r="T359" s="397">
        <f>VLOOKUP($C359,'ТР нефть'!$A$29:$GC$641,149,0)</f>
        <v>117</v>
      </c>
      <c r="U359" s="403">
        <f>VLOOKUP($C359,'ТР нефть'!$A$29:$GC$641,150,0)</f>
        <v>0.39285714285714296</v>
      </c>
      <c r="V359" s="402" t="str">
        <f>VLOOKUP($C359,'ТР нефть'!$A$29:$GC$641,47,0)</f>
        <v>Газлифт</v>
      </c>
      <c r="W359" s="396">
        <f>VLOOKUP($C359,'ТР нефть'!$A$29:$GC$641,74,0)</f>
        <v>18</v>
      </c>
      <c r="X359" s="397">
        <f>VLOOKUP($C359,'ТР нефть'!$A$29:$GC$641,79,0)</f>
        <v>24</v>
      </c>
      <c r="Y359" s="397">
        <f>VLOOKUP($C359,'ТР нефть'!$A$29:$GC$641,80,0)</f>
        <v>57</v>
      </c>
      <c r="Z359" s="397">
        <f>VLOOKUP($C359,'ТР нефть'!$A$29:$GC$641,81,0)</f>
        <v>20</v>
      </c>
      <c r="AA359" s="397" t="str">
        <f>VLOOKUP($C359,'ТР нефть'!$A$29:$GC$641,76,0)</f>
        <v>Постоянный</v>
      </c>
      <c r="AB359" s="397">
        <f>VLOOKUP($C359,'ТР нефть'!$A$29:$GC$641,77,0)</f>
        <v>24</v>
      </c>
      <c r="AC359" s="397">
        <f>VLOOKUP($C359,'ТР нефть'!$A$29:$GC$641,78,0)</f>
        <v>0</v>
      </c>
      <c r="AD359" s="398">
        <f>VLOOKUP($C359,'ТР нефть'!$A$29:$GC$641,93,0)</f>
        <v>11.703999999999999</v>
      </c>
      <c r="AE359" s="399">
        <f>VLOOKUP($C359,'ТР нефть'!$A$29:$GC$641,94,0)</f>
        <v>14</v>
      </c>
      <c r="AF359" s="400">
        <f>VLOOKUP($C359,'ТР нефть'!$A$29:$GC$641,95,0)</f>
        <v>0</v>
      </c>
      <c r="AG359" s="397">
        <f>VLOOKUP($C359,'ТР нефть'!$A$29:$GC$641,99,0)</f>
        <v>7.4</v>
      </c>
      <c r="AH359" s="397">
        <f>VLOOKUP($C359,'ТР нефть'!$A$29:$GC$641,100,0)</f>
        <v>632.26247436773758</v>
      </c>
      <c r="AI359" s="397">
        <f>VLOOKUP($C359,'ТР нефть'!$A$29:$GC$641,92,0)</f>
        <v>117</v>
      </c>
      <c r="AJ359" s="403">
        <f>VLOOKUP($C359,'ТР нефть'!$A$29:$GC$641,102,0)</f>
        <v>1.428571428571429</v>
      </c>
      <c r="AK359" s="404">
        <f t="shared" si="33"/>
        <v>0</v>
      </c>
      <c r="AL359" s="397">
        <f t="shared" si="33"/>
        <v>3</v>
      </c>
      <c r="AM359" s="397">
        <f t="shared" si="33"/>
        <v>-3</v>
      </c>
      <c r="AN359" s="397">
        <f t="shared" si="33"/>
        <v>1</v>
      </c>
      <c r="AO359" s="397">
        <f t="shared" si="34"/>
        <v>0</v>
      </c>
      <c r="AP359" s="397">
        <f t="shared" si="34"/>
        <v>0</v>
      </c>
      <c r="AQ359" s="398">
        <f t="shared" si="34"/>
        <v>8.4853999999999985</v>
      </c>
      <c r="AR359" s="399">
        <f t="shared" si="34"/>
        <v>10.15</v>
      </c>
      <c r="AS359" s="400">
        <f t="shared" si="34"/>
        <v>0</v>
      </c>
      <c r="AT359" s="397">
        <f t="shared" si="34"/>
        <v>-7.6</v>
      </c>
      <c r="AU359" s="397">
        <f t="shared" si="34"/>
        <v>-1045.4856148636054</v>
      </c>
      <c r="AV359" s="397">
        <f t="shared" si="34"/>
        <v>0</v>
      </c>
      <c r="AW359" s="406">
        <f t="shared" si="34"/>
        <v>1.035714285714286</v>
      </c>
      <c r="AX359" s="392" t="str">
        <f>VLOOKUP($C359,'ТР нефть'!$A$29:$GC$641,182,0)</f>
        <v>Технология</v>
      </c>
      <c r="AY359" s="406" t="str">
        <f>VLOOKUP($C359,'ТР нефть'!$A$29:$GC$641,183,0)</f>
        <v>Вывод на режим после ПРГС</v>
      </c>
      <c r="AZ359" s="407">
        <f t="shared" si="35"/>
        <v>11.703999999999999</v>
      </c>
      <c r="BA359" s="408">
        <f t="shared" si="35"/>
        <v>14</v>
      </c>
      <c r="BB359" s="397">
        <f t="shared" si="35"/>
        <v>0</v>
      </c>
      <c r="BC359" s="698"/>
      <c r="BD359" s="699"/>
    </row>
    <row r="360" spans="1:56" ht="40.5" customHeight="1" outlineLevel="1" x14ac:dyDescent="0.25">
      <c r="A360" s="373"/>
      <c r="B360" s="392">
        <f t="shared" si="29"/>
        <v>42</v>
      </c>
      <c r="C360" s="490">
        <v>1413</v>
      </c>
      <c r="D360" s="394" t="str">
        <f>VLOOKUP($C360,'ТР нефть'!$A$29:$GC$641,5,0)</f>
        <v>ВУ ОНГКМ</v>
      </c>
      <c r="E360" s="394" t="str">
        <f>VLOOKUP($C360,'ТР нефть'!$A$29:$GC$641,8,0)</f>
        <v>ТЛ-4</v>
      </c>
      <c r="F360" s="462" t="str">
        <f>VLOOKUP($C360,'ТР нефть'!$A$29:$GC$641,11,0)</f>
        <v>К-22</v>
      </c>
      <c r="G360" s="392" t="str">
        <f>VLOOKUP($C360,'ТР нефть'!$A$29:$GC$641,47,0)</f>
        <v>Газлифт</v>
      </c>
      <c r="H360" s="396">
        <f>VLOOKUP($C360,'ТР нефть'!$A$29:$GC$641,135,0)</f>
        <v>65</v>
      </c>
      <c r="I360" s="397">
        <f>VLOOKUP($C360,'ТР нефть'!$A$29:$GC$641,136,0)</f>
        <v>27</v>
      </c>
      <c r="J360" s="397">
        <f>VLOOKUP($C360,'ТР нефть'!$A$29:$GC$641,137,0)</f>
        <v>40</v>
      </c>
      <c r="K360" s="397">
        <f>VLOOKUP($C360,'ТР нефть'!$A$29:$GC$641,138,0)</f>
        <v>26</v>
      </c>
      <c r="L360" s="397" t="str">
        <f>VLOOKUP($C360,'ТР нефть'!$A$29:$GC$641,139,0)</f>
        <v>Постоянный</v>
      </c>
      <c r="M360" s="397">
        <f>VLOOKUP($C360,'ТР нефть'!$A$29:$GC$641,140,0)</f>
        <v>24</v>
      </c>
      <c r="N360" s="397">
        <f>VLOOKUP($C360,'ТР нефть'!$A$29:$GC$641,141,0)</f>
        <v>0</v>
      </c>
      <c r="O360" s="398">
        <f>VLOOKUP($C360,'ТР нефть'!$A$29:$GC$641,142,0)</f>
        <v>5.5510399999999995</v>
      </c>
      <c r="P360" s="399">
        <f>VLOOKUP($C360,'ТР нефть'!$A$29:$GC$641,143,0)</f>
        <v>6.64</v>
      </c>
      <c r="Q360" s="400">
        <f>VLOOKUP($C360,'ТР нефть'!$A$29:$GC$641,144,0)</f>
        <v>0</v>
      </c>
      <c r="R360" s="397">
        <f>VLOOKUP($C360,'ТР нефть'!$A$29:$GC$641,145,0)</f>
        <v>15.2</v>
      </c>
      <c r="S360" s="397">
        <f>VLOOKUP($C360,'ТР нефть'!$A$29:$GC$641,146,0)</f>
        <v>1700.582233239177</v>
      </c>
      <c r="T360" s="397">
        <f>VLOOKUP($C360,'ТР нефть'!$A$29:$GC$641,149,0)</f>
        <v>51</v>
      </c>
      <c r="U360" s="403">
        <f>VLOOKUP($C360,'ТР нефть'!$A$29:$GC$641,150,0)</f>
        <v>0.18444444444444444</v>
      </c>
      <c r="V360" s="402" t="str">
        <f>VLOOKUP($C360,'ТР нефть'!$A$29:$GC$641,47,0)</f>
        <v>Газлифт</v>
      </c>
      <c r="W360" s="396">
        <f>VLOOKUP($C360,'ТР нефть'!$A$29:$GC$641,74,0)</f>
        <v>65</v>
      </c>
      <c r="X360" s="397">
        <f>VLOOKUP($C360,'ТР нефть'!$A$29:$GC$641,79,0)</f>
        <v>25</v>
      </c>
      <c r="Y360" s="397">
        <f>VLOOKUP($C360,'ТР нефть'!$A$29:$GC$641,80,0)</f>
        <v>40</v>
      </c>
      <c r="Z360" s="397">
        <f>VLOOKUP($C360,'ТР нефть'!$A$29:$GC$641,81,0)</f>
        <v>24</v>
      </c>
      <c r="AA360" s="397" t="str">
        <f>VLOOKUP($C360,'ТР нефть'!$A$29:$GC$641,76,0)</f>
        <v>Постоянный</v>
      </c>
      <c r="AB360" s="397">
        <f>VLOOKUP($C360,'ТР нефть'!$A$29:$GC$641,77,0)</f>
        <v>24</v>
      </c>
      <c r="AC360" s="397">
        <f>VLOOKUP($C360,'ТР нефть'!$A$29:$GC$641,78,0)</f>
        <v>0</v>
      </c>
      <c r="AD360" s="398">
        <f>VLOOKUP($C360,'ТР нефть'!$A$29:$GC$641,93,0)</f>
        <v>7.1645199999999996</v>
      </c>
      <c r="AE360" s="399">
        <f>VLOOKUP($C360,'ТР нефть'!$A$29:$GC$641,94,0)</f>
        <v>8.57</v>
      </c>
      <c r="AF360" s="400">
        <f>VLOOKUP($C360,'ТР нефть'!$A$29:$GC$641,95,0)</f>
        <v>0</v>
      </c>
      <c r="AG360" s="397">
        <f>VLOOKUP($C360,'ТР нефть'!$A$29:$GC$641,99,0)</f>
        <v>10</v>
      </c>
      <c r="AH360" s="397">
        <f>VLOOKUP($C360,'ТР нефть'!$A$29:$GC$641,100,0)</f>
        <v>1395.7669180908142</v>
      </c>
      <c r="AI360" s="397">
        <f>VLOOKUP($C360,'ТР нефть'!$A$29:$GC$641,92,0)</f>
        <v>47</v>
      </c>
      <c r="AJ360" s="403">
        <f>VLOOKUP($C360,'ТР нефть'!$A$29:$GC$641,102,0)</f>
        <v>0.21425</v>
      </c>
      <c r="AK360" s="404">
        <f t="shared" si="33"/>
        <v>0</v>
      </c>
      <c r="AL360" s="397">
        <f t="shared" si="33"/>
        <v>-2</v>
      </c>
      <c r="AM360" s="397">
        <f t="shared" si="33"/>
        <v>0</v>
      </c>
      <c r="AN360" s="397">
        <f t="shared" si="33"/>
        <v>-2</v>
      </c>
      <c r="AO360" s="397">
        <f t="shared" si="34"/>
        <v>0</v>
      </c>
      <c r="AP360" s="397">
        <f t="shared" si="34"/>
        <v>0</v>
      </c>
      <c r="AQ360" s="398">
        <f t="shared" si="34"/>
        <v>1.61348</v>
      </c>
      <c r="AR360" s="399">
        <f t="shared" si="34"/>
        <v>1.9300000000000006</v>
      </c>
      <c r="AS360" s="400">
        <f t="shared" si="34"/>
        <v>0</v>
      </c>
      <c r="AT360" s="397">
        <f t="shared" si="34"/>
        <v>-5.1999999999999993</v>
      </c>
      <c r="AU360" s="397">
        <f t="shared" si="34"/>
        <v>-304.81531514836274</v>
      </c>
      <c r="AV360" s="397">
        <f t="shared" si="34"/>
        <v>-4</v>
      </c>
      <c r="AW360" s="406">
        <f t="shared" si="34"/>
        <v>2.9805555555555557E-2</v>
      </c>
      <c r="AX360" s="392" t="str">
        <f>VLOOKUP($C360,'ТР нефть'!$A$29:$GC$641,182,0)</f>
        <v>Технология</v>
      </c>
      <c r="AY360" s="406" t="str">
        <f>VLOOKUP($C360,'ТР нефть'!$A$29:$GC$641,183,0)</f>
        <v>Увеличение дебита на фоне снижения Рлин</v>
      </c>
      <c r="AZ360" s="407">
        <f t="shared" si="35"/>
        <v>7.1645199999999996</v>
      </c>
      <c r="BA360" s="408">
        <f t="shared" si="35"/>
        <v>8.57</v>
      </c>
      <c r="BB360" s="397">
        <f t="shared" si="35"/>
        <v>0</v>
      </c>
      <c r="BC360" s="698"/>
      <c r="BD360" s="699"/>
    </row>
    <row r="361" spans="1:56" ht="40.5" customHeight="1" outlineLevel="1" x14ac:dyDescent="0.25">
      <c r="A361" s="373"/>
      <c r="B361" s="392">
        <f t="shared" si="29"/>
        <v>43</v>
      </c>
      <c r="C361" s="490">
        <v>1434</v>
      </c>
      <c r="D361" s="394" t="str">
        <f>VLOOKUP($C361,'ТР нефть'!$A$29:$GC$641,5,0)</f>
        <v>ВУ ОНГКМ</v>
      </c>
      <c r="E361" s="394" t="str">
        <f>VLOOKUP($C361,'ТР нефть'!$A$29:$GC$641,8,0)</f>
        <v>ТЛ-4</v>
      </c>
      <c r="F361" s="462" t="str">
        <f>VLOOKUP($C361,'ТР нефть'!$A$29:$GC$641,11,0)</f>
        <v>К-77</v>
      </c>
      <c r="G361" s="392" t="str">
        <f>VLOOKUP($C361,'ТР нефть'!$A$29:$GC$641,47,0)</f>
        <v>Газлифт</v>
      </c>
      <c r="H361" s="396">
        <f>VLOOKUP($C361,'ТР нефть'!$A$29:$GC$641,135,0)</f>
        <v>65</v>
      </c>
      <c r="I361" s="397">
        <f>VLOOKUP($C361,'ТР нефть'!$A$29:$GC$641,136,0)</f>
        <v>25</v>
      </c>
      <c r="J361" s="397">
        <f>VLOOKUP($C361,'ТР нефть'!$A$29:$GC$641,137,0)</f>
        <v>50</v>
      </c>
      <c r="K361" s="397">
        <f>VLOOKUP($C361,'ТР нефть'!$A$29:$GC$641,138,0)</f>
        <v>24</v>
      </c>
      <c r="L361" s="397" t="str">
        <f>VLOOKUP($C361,'ТР нефть'!$A$29:$GC$641,139,0)</f>
        <v>Постоянный</v>
      </c>
      <c r="M361" s="397">
        <f>VLOOKUP($C361,'ТР нефть'!$A$29:$GC$641,140,0)</f>
        <v>24</v>
      </c>
      <c r="N361" s="397">
        <f>VLOOKUP($C361,'ТР нефть'!$A$29:$GC$641,141,0)</f>
        <v>0</v>
      </c>
      <c r="O361" s="398">
        <f>VLOOKUP($C361,'ТР нефть'!$A$29:$GC$641,142,0)</f>
        <v>10.032</v>
      </c>
      <c r="P361" s="399">
        <f>VLOOKUP($C361,'ТР нефть'!$A$29:$GC$641,143,0)</f>
        <v>16</v>
      </c>
      <c r="Q361" s="400">
        <f>VLOOKUP($C361,'ТР нефть'!$A$29:$GC$641,144,0)</f>
        <v>25</v>
      </c>
      <c r="R361" s="397">
        <f>VLOOKUP($C361,'ТР нефть'!$A$29:$GC$641,145,0)</f>
        <v>29</v>
      </c>
      <c r="S361" s="397">
        <f>VLOOKUP($C361,'ТР нефть'!$A$29:$GC$641,146,0)</f>
        <v>1295.8532695374802</v>
      </c>
      <c r="T361" s="397">
        <f>VLOOKUP($C361,'ТР нефть'!$A$29:$GC$641,149,0)</f>
        <v>57</v>
      </c>
      <c r="U361" s="403">
        <f>VLOOKUP($C361,'ТР нефть'!$A$29:$GC$641,150,0)</f>
        <v>0.53333333333333333</v>
      </c>
      <c r="V361" s="402" t="str">
        <f>VLOOKUP($C361,'ТР нефть'!$A$29:$GC$641,47,0)</f>
        <v>Газлифт</v>
      </c>
      <c r="W361" s="396">
        <f>VLOOKUP($C361,'ТР нефть'!$A$29:$GC$641,74,0)</f>
        <v>65</v>
      </c>
      <c r="X361" s="397">
        <f>VLOOKUP($C361,'ТР нефть'!$A$29:$GC$641,79,0)</f>
        <v>24</v>
      </c>
      <c r="Y361" s="397">
        <f>VLOOKUP($C361,'ТР нефть'!$A$29:$GC$641,80,0)</f>
        <v>50</v>
      </c>
      <c r="Z361" s="397">
        <f>VLOOKUP($C361,'ТР нефть'!$A$29:$GC$641,81,0)</f>
        <v>23</v>
      </c>
      <c r="AA361" s="397" t="str">
        <f>VLOOKUP($C361,'ТР нефть'!$A$29:$GC$641,76,0)</f>
        <v>Постоянный</v>
      </c>
      <c r="AB361" s="397">
        <f>VLOOKUP($C361,'ТР нефть'!$A$29:$GC$641,77,0)</f>
        <v>24</v>
      </c>
      <c r="AC361" s="397">
        <f>VLOOKUP($C361,'ТР нефть'!$A$29:$GC$641,78,0)</f>
        <v>0</v>
      </c>
      <c r="AD361" s="398">
        <f>VLOOKUP($C361,'ТР нефть'!$A$29:$GC$641,93,0)</f>
        <v>13.167</v>
      </c>
      <c r="AE361" s="399">
        <f>VLOOKUP($C361,'ТР нефть'!$A$29:$GC$641,94,0)</f>
        <v>25</v>
      </c>
      <c r="AF361" s="400">
        <f>VLOOKUP($C361,'ТР нефть'!$A$29:$GC$641,95,0)</f>
        <v>37</v>
      </c>
      <c r="AG361" s="397">
        <f>VLOOKUP($C361,'ТР нефть'!$A$29:$GC$641,99,0)</f>
        <v>13</v>
      </c>
      <c r="AH361" s="397">
        <f>VLOOKUP($C361,'ТР нефть'!$A$29:$GC$641,100,0)</f>
        <v>987.31677679046106</v>
      </c>
      <c r="AI361" s="397">
        <f>VLOOKUP($C361,'ТР нефть'!$A$29:$GC$641,92,0)</f>
        <v>57</v>
      </c>
      <c r="AJ361" s="403">
        <f>VLOOKUP($C361,'ТР нефть'!$A$29:$GC$641,102,0)</f>
        <v>0.83333333333333337</v>
      </c>
      <c r="AK361" s="404">
        <f t="shared" si="33"/>
        <v>0</v>
      </c>
      <c r="AL361" s="397">
        <f t="shared" si="33"/>
        <v>-1</v>
      </c>
      <c r="AM361" s="397">
        <f t="shared" si="33"/>
        <v>0</v>
      </c>
      <c r="AN361" s="397">
        <f t="shared" si="33"/>
        <v>-1</v>
      </c>
      <c r="AO361" s="397">
        <f t="shared" si="34"/>
        <v>0</v>
      </c>
      <c r="AP361" s="397">
        <f t="shared" si="34"/>
        <v>0</v>
      </c>
      <c r="AQ361" s="398">
        <f t="shared" si="34"/>
        <v>3.1349999999999998</v>
      </c>
      <c r="AR361" s="399">
        <f t="shared" si="34"/>
        <v>9</v>
      </c>
      <c r="AS361" s="400">
        <f t="shared" si="34"/>
        <v>12</v>
      </c>
      <c r="AT361" s="397">
        <f t="shared" si="34"/>
        <v>-16</v>
      </c>
      <c r="AU361" s="397">
        <f t="shared" si="34"/>
        <v>-308.53649274701911</v>
      </c>
      <c r="AV361" s="397">
        <f t="shared" si="34"/>
        <v>0</v>
      </c>
      <c r="AW361" s="406">
        <f t="shared" si="34"/>
        <v>0.30000000000000004</v>
      </c>
      <c r="AX361" s="392" t="str">
        <f>VLOOKUP($C361,'ТР нефть'!$A$29:$GC$641,182,0)</f>
        <v>Технология</v>
      </c>
      <c r="AY361" s="406" t="str">
        <f>VLOOKUP($C361,'ТР нефть'!$A$29:$GC$641,183,0)</f>
        <v>Возврат потерь от предыщего месяца</v>
      </c>
      <c r="AZ361" s="407">
        <f t="shared" si="35"/>
        <v>13.167</v>
      </c>
      <c r="BA361" s="408">
        <f t="shared" si="35"/>
        <v>25</v>
      </c>
      <c r="BB361" s="397">
        <f t="shared" si="35"/>
        <v>37</v>
      </c>
      <c r="BC361" s="698"/>
      <c r="BD361" s="699"/>
    </row>
    <row r="362" spans="1:56" ht="40.5" customHeight="1" outlineLevel="1" x14ac:dyDescent="0.25">
      <c r="A362" s="373"/>
      <c r="B362" s="392">
        <f t="shared" si="29"/>
        <v>44</v>
      </c>
      <c r="C362" s="490">
        <v>1467</v>
      </c>
      <c r="D362" s="394" t="str">
        <f>VLOOKUP($C362,'ТР нефть'!$A$29:$GC$641,5,0)</f>
        <v>ВУ ОНГКМ</v>
      </c>
      <c r="E362" s="394" t="str">
        <f>VLOOKUP($C362,'ТР нефть'!$A$29:$GC$641,8,0)</f>
        <v>ТЛ-4</v>
      </c>
      <c r="F362" s="462" t="str">
        <f>VLOOKUP($C362,'ТР нефть'!$A$29:$GC$641,11,0)</f>
        <v>К-65</v>
      </c>
      <c r="G362" s="392" t="str">
        <f>VLOOKUP($C362,'ТР нефть'!$A$29:$GC$641,47,0)</f>
        <v>Газлифт</v>
      </c>
      <c r="H362" s="396">
        <f>VLOOKUP($C362,'ТР нефть'!$A$29:$GC$641,135,0)</f>
        <v>65</v>
      </c>
      <c r="I362" s="397">
        <f>VLOOKUP($C362,'ТР нефть'!$A$29:$GC$641,136,0)</f>
        <v>27</v>
      </c>
      <c r="J362" s="397">
        <f>VLOOKUP($C362,'ТР нефть'!$A$29:$GC$641,137,0)</f>
        <v>40</v>
      </c>
      <c r="K362" s="397">
        <f>VLOOKUP($C362,'ТР нефть'!$A$29:$GC$641,138,0)</f>
        <v>26</v>
      </c>
      <c r="L362" s="397" t="str">
        <f>VLOOKUP($C362,'ТР нефть'!$A$29:$GC$641,139,0)</f>
        <v>Постоянный</v>
      </c>
      <c r="M362" s="397">
        <f>VLOOKUP($C362,'ТР нефть'!$A$29:$GC$641,140,0)</f>
        <v>24</v>
      </c>
      <c r="N362" s="397">
        <f>VLOOKUP($C362,'ТР нефть'!$A$29:$GC$641,141,0)</f>
        <v>0</v>
      </c>
      <c r="O362" s="398">
        <f>VLOOKUP($C362,'ТР нефть'!$A$29:$GC$641,142,0)</f>
        <v>9.3631999999999991</v>
      </c>
      <c r="P362" s="399">
        <f>VLOOKUP($C362,'ТР нефть'!$A$29:$GC$641,143,0)</f>
        <v>11.2</v>
      </c>
      <c r="Q362" s="400">
        <f>VLOOKUP($C362,'ТР нефть'!$A$29:$GC$641,144,0)</f>
        <v>0</v>
      </c>
      <c r="R362" s="397">
        <f>VLOOKUP($C362,'ТР нефть'!$A$29:$GC$641,145,0)</f>
        <v>24</v>
      </c>
      <c r="S362" s="397">
        <f>VLOOKUP($C362,'ТР нефть'!$A$29:$GC$641,146,0)</f>
        <v>1589.2002734107998</v>
      </c>
      <c r="T362" s="397">
        <f>VLOOKUP($C362,'ТР нефть'!$A$29:$GC$641,149,0)</f>
        <v>51</v>
      </c>
      <c r="U362" s="403">
        <f>VLOOKUP($C362,'ТР нефть'!$A$29:$GC$641,150,0)</f>
        <v>0.11789473684210526</v>
      </c>
      <c r="V362" s="402" t="str">
        <f>VLOOKUP($C362,'ТР нефть'!$A$29:$GC$641,47,0)</f>
        <v>Газлифт</v>
      </c>
      <c r="W362" s="396">
        <f>VLOOKUP($C362,'ТР нефть'!$A$29:$GC$641,74,0)</f>
        <v>65</v>
      </c>
      <c r="X362" s="397">
        <f>VLOOKUP($C362,'ТР нефть'!$A$29:$GC$641,79,0)</f>
        <v>26</v>
      </c>
      <c r="Y362" s="397">
        <f>VLOOKUP($C362,'ТР нефть'!$A$29:$GC$641,80,0)</f>
        <v>42</v>
      </c>
      <c r="Z362" s="397">
        <f>VLOOKUP($C362,'ТР нефть'!$A$29:$GC$641,81,0)</f>
        <v>25</v>
      </c>
      <c r="AA362" s="397" t="str">
        <f>VLOOKUP($C362,'ТР нефть'!$A$29:$GC$641,76,0)</f>
        <v>Постоянный</v>
      </c>
      <c r="AB362" s="397">
        <f>VLOOKUP($C362,'ТР нефть'!$A$29:$GC$641,77,0)</f>
        <v>24</v>
      </c>
      <c r="AC362" s="397">
        <f>VLOOKUP($C362,'ТР нефть'!$A$29:$GC$641,78,0)</f>
        <v>0</v>
      </c>
      <c r="AD362" s="398">
        <f>VLOOKUP($C362,'ТР нефть'!$A$29:$GC$641,93,0)</f>
        <v>11.703999999999999</v>
      </c>
      <c r="AE362" s="399">
        <f>VLOOKUP($C362,'ТР нефть'!$A$29:$GC$641,94,0)</f>
        <v>14</v>
      </c>
      <c r="AF362" s="400">
        <f>VLOOKUP($C362,'ТР нефть'!$A$29:$GC$641,95,0)</f>
        <v>0</v>
      </c>
      <c r="AG362" s="397">
        <f>VLOOKUP($C362,'ТР нефть'!$A$29:$GC$641,99,0)</f>
        <v>5.7200000000000006</v>
      </c>
      <c r="AH362" s="397">
        <f>VLOOKUP($C362,'ТР нефть'!$A$29:$GC$641,100,0)</f>
        <v>488.72180451127832</v>
      </c>
      <c r="AI362" s="397">
        <f>VLOOKUP($C362,'ТР нефть'!$A$29:$GC$641,92,0)</f>
        <v>50</v>
      </c>
      <c r="AJ362" s="403">
        <f>VLOOKUP($C362,'ТР нефть'!$A$29:$GC$641,102,0)</f>
        <v>0.14583333333333334</v>
      </c>
      <c r="AK362" s="404">
        <f t="shared" si="33"/>
        <v>0</v>
      </c>
      <c r="AL362" s="397">
        <f t="shared" si="33"/>
        <v>-1</v>
      </c>
      <c r="AM362" s="397">
        <f t="shared" si="33"/>
        <v>2</v>
      </c>
      <c r="AN362" s="397">
        <f t="shared" si="33"/>
        <v>-1</v>
      </c>
      <c r="AO362" s="397">
        <f t="shared" si="34"/>
        <v>0</v>
      </c>
      <c r="AP362" s="397">
        <f t="shared" si="34"/>
        <v>0</v>
      </c>
      <c r="AQ362" s="398">
        <f t="shared" si="34"/>
        <v>2.3407999999999998</v>
      </c>
      <c r="AR362" s="399">
        <f t="shared" si="34"/>
        <v>2.8000000000000007</v>
      </c>
      <c r="AS362" s="400">
        <f t="shared" si="34"/>
        <v>0</v>
      </c>
      <c r="AT362" s="397">
        <f t="shared" si="34"/>
        <v>-18.28</v>
      </c>
      <c r="AU362" s="397">
        <f t="shared" si="34"/>
        <v>-1100.4784688995214</v>
      </c>
      <c r="AV362" s="397">
        <f t="shared" si="34"/>
        <v>-1</v>
      </c>
      <c r="AW362" s="406">
        <f t="shared" si="34"/>
        <v>2.7938596491228082E-2</v>
      </c>
      <c r="AX362" s="392" t="str">
        <f>VLOOKUP($C362,'ТР нефть'!$A$29:$GC$641,182,0)</f>
        <v>Технология</v>
      </c>
      <c r="AY362" s="406" t="str">
        <f>VLOOKUP($C362,'ТР нефть'!$A$29:$GC$641,183,0)</f>
        <v>Увеличение дебита на фоне снижения Рлин</v>
      </c>
      <c r="AZ362" s="407">
        <f t="shared" si="35"/>
        <v>11.703999999999999</v>
      </c>
      <c r="BA362" s="408">
        <f t="shared" si="35"/>
        <v>14</v>
      </c>
      <c r="BB362" s="397">
        <f t="shared" si="35"/>
        <v>0</v>
      </c>
      <c r="BC362" s="698"/>
      <c r="BD362" s="699"/>
    </row>
    <row r="363" spans="1:56" ht="40.5" customHeight="1" outlineLevel="1" x14ac:dyDescent="0.25">
      <c r="A363" s="373"/>
      <c r="B363" s="392">
        <f t="shared" si="29"/>
        <v>45</v>
      </c>
      <c r="C363" s="490">
        <v>1472</v>
      </c>
      <c r="D363" s="394" t="str">
        <f>VLOOKUP($C363,'ТР нефть'!$A$29:$GC$641,5,0)</f>
        <v>ВУ ОНГКМ</v>
      </c>
      <c r="E363" s="394" t="str">
        <f>VLOOKUP($C363,'ТР нефть'!$A$29:$GC$641,8,0)</f>
        <v>ТЛ-4</v>
      </c>
      <c r="F363" s="462" t="str">
        <f>VLOOKUP($C363,'ТР нефть'!$A$29:$GC$641,11,0)</f>
        <v>К-22</v>
      </c>
      <c r="G363" s="392" t="str">
        <f>VLOOKUP($C363,'ТР нефть'!$A$29:$GC$641,47,0)</f>
        <v>Газлифт</v>
      </c>
      <c r="H363" s="396">
        <f>VLOOKUP($C363,'ТР нефть'!$A$29:$GC$641,135,0)</f>
        <v>18</v>
      </c>
      <c r="I363" s="397">
        <f>VLOOKUP($C363,'ТР нефть'!$A$29:$GC$641,136,0)</f>
        <v>27</v>
      </c>
      <c r="J363" s="397">
        <f>VLOOKUP($C363,'ТР нефть'!$A$29:$GC$641,137,0)</f>
        <v>46</v>
      </c>
      <c r="K363" s="397">
        <f>VLOOKUP($C363,'ТР нефть'!$A$29:$GC$641,138,0)</f>
        <v>26</v>
      </c>
      <c r="L363" s="397" t="str">
        <f>VLOOKUP($C363,'ТР нефть'!$A$29:$GC$641,139,0)</f>
        <v>Постоянный</v>
      </c>
      <c r="M363" s="397">
        <f>VLOOKUP($C363,'ТР нефть'!$A$29:$GC$641,140,0)</f>
        <v>24</v>
      </c>
      <c r="N363" s="397">
        <f>VLOOKUP($C363,'ТР нефть'!$A$29:$GC$641,141,0)</f>
        <v>0</v>
      </c>
      <c r="O363" s="398">
        <f>VLOOKUP($C363,'ТР нефть'!$A$29:$GC$641,142,0)</f>
        <v>8.36</v>
      </c>
      <c r="P363" s="399">
        <f>VLOOKUP($C363,'ТР нефть'!$A$29:$GC$641,143,0)</f>
        <v>10</v>
      </c>
      <c r="Q363" s="400">
        <f>VLOOKUP($C363,'ТР нефть'!$A$29:$GC$641,144,0)</f>
        <v>0</v>
      </c>
      <c r="R363" s="397">
        <f>VLOOKUP($C363,'ТР нефть'!$A$29:$GC$641,145,0)</f>
        <v>10</v>
      </c>
      <c r="S363" s="397">
        <f>VLOOKUP($C363,'ТР нефть'!$A$29:$GC$641,146,0)</f>
        <v>191.38755980861239</v>
      </c>
      <c r="T363" s="397">
        <f>VLOOKUP($C363,'ТР нефть'!$A$29:$GC$641,149,0)</f>
        <v>58</v>
      </c>
      <c r="U363" s="403">
        <f>VLOOKUP($C363,'ТР нефть'!$A$29:$GC$641,150,0)</f>
        <v>0.14285714285714285</v>
      </c>
      <c r="V363" s="402" t="str">
        <f>VLOOKUP($C363,'ТР нефть'!$A$29:$GC$641,47,0)</f>
        <v>Газлифт</v>
      </c>
      <c r="W363" s="396">
        <f>VLOOKUP($C363,'ТР нефть'!$A$29:$GC$641,74,0)</f>
        <v>18</v>
      </c>
      <c r="X363" s="397">
        <f>VLOOKUP($C363,'ТР нефть'!$A$29:$GC$641,79,0)</f>
        <v>25</v>
      </c>
      <c r="Y363" s="397">
        <f>VLOOKUP($C363,'ТР нефть'!$A$29:$GC$641,80,0)</f>
        <v>43</v>
      </c>
      <c r="Z363" s="397">
        <f>VLOOKUP($C363,'ТР нефть'!$A$29:$GC$641,81,0)</f>
        <v>24</v>
      </c>
      <c r="AA363" s="397" t="str">
        <f>VLOOKUP($C363,'ТР нефть'!$A$29:$GC$641,76,0)</f>
        <v>Постоянный</v>
      </c>
      <c r="AB363" s="397">
        <f>VLOOKUP($C363,'ТР нефть'!$A$29:$GC$641,77,0)</f>
        <v>24</v>
      </c>
      <c r="AC363" s="397">
        <f>VLOOKUP($C363,'ТР нефть'!$A$29:$GC$641,78,0)</f>
        <v>0</v>
      </c>
      <c r="AD363" s="398">
        <f>VLOOKUP($C363,'ТР нефть'!$A$29:$GC$641,93,0)</f>
        <v>10.016952</v>
      </c>
      <c r="AE363" s="399">
        <f>VLOOKUP($C363,'ТР нефть'!$A$29:$GC$641,94,0)</f>
        <v>12</v>
      </c>
      <c r="AF363" s="400">
        <f>VLOOKUP($C363,'ТР нефть'!$A$29:$GC$641,95,0)</f>
        <v>0.15</v>
      </c>
      <c r="AG363" s="397">
        <f>VLOOKUP($C363,'ТР нефть'!$A$29:$GC$641,99,0)</f>
        <v>7.6</v>
      </c>
      <c r="AH363" s="397">
        <f>VLOOKUP($C363,'ТР нефть'!$A$29:$GC$641,100,0)</f>
        <v>758.71382831823496</v>
      </c>
      <c r="AI363" s="397">
        <f>VLOOKUP($C363,'ТР нефть'!$A$29:$GC$641,92,0)</f>
        <v>51</v>
      </c>
      <c r="AJ363" s="403">
        <f>VLOOKUP($C363,'ТР нефть'!$A$29:$GC$641,102,0)</f>
        <v>0.15584415584415584</v>
      </c>
      <c r="AK363" s="404">
        <f t="shared" si="33"/>
        <v>0</v>
      </c>
      <c r="AL363" s="397">
        <f t="shared" si="33"/>
        <v>-2</v>
      </c>
      <c r="AM363" s="397">
        <f t="shared" si="33"/>
        <v>-3</v>
      </c>
      <c r="AN363" s="397">
        <f t="shared" si="33"/>
        <v>-2</v>
      </c>
      <c r="AO363" s="397">
        <f t="shared" si="34"/>
        <v>0</v>
      </c>
      <c r="AP363" s="397">
        <f t="shared" si="34"/>
        <v>0</v>
      </c>
      <c r="AQ363" s="398">
        <f t="shared" si="34"/>
        <v>1.6569520000000004</v>
      </c>
      <c r="AR363" s="399">
        <f t="shared" si="34"/>
        <v>2</v>
      </c>
      <c r="AS363" s="400">
        <f t="shared" si="34"/>
        <v>0.15</v>
      </c>
      <c r="AT363" s="397">
        <f t="shared" si="34"/>
        <v>-2.4000000000000004</v>
      </c>
      <c r="AU363" s="397">
        <f t="shared" si="34"/>
        <v>567.32626850962254</v>
      </c>
      <c r="AV363" s="397">
        <f t="shared" si="34"/>
        <v>-7</v>
      </c>
      <c r="AW363" s="406">
        <f t="shared" si="34"/>
        <v>1.2987012987012991E-2</v>
      </c>
      <c r="AX363" s="392" t="str">
        <f>VLOOKUP($C363,'ТР нефть'!$A$29:$GC$641,182,0)</f>
        <v>Технология</v>
      </c>
      <c r="AY363" s="406" t="str">
        <f>VLOOKUP($C363,'ТР нефть'!$A$29:$GC$641,183,0)</f>
        <v>Увеличение дебита на фоне снижения Рлин</v>
      </c>
      <c r="AZ363" s="407">
        <f t="shared" si="35"/>
        <v>10.016952</v>
      </c>
      <c r="BA363" s="408">
        <f t="shared" si="35"/>
        <v>12</v>
      </c>
      <c r="BB363" s="397">
        <f t="shared" si="35"/>
        <v>0.15</v>
      </c>
      <c r="BC363" s="698"/>
      <c r="BD363" s="699"/>
    </row>
    <row r="364" spans="1:56" ht="40.5" customHeight="1" outlineLevel="1" x14ac:dyDescent="0.25">
      <c r="A364" s="373"/>
      <c r="B364" s="392">
        <f t="shared" si="29"/>
        <v>46</v>
      </c>
      <c r="C364" s="490">
        <v>1477</v>
      </c>
      <c r="D364" s="394" t="str">
        <f>VLOOKUP($C364,'ТР нефть'!$A$29:$GC$641,5,0)</f>
        <v>ВУ ОНГКМ</v>
      </c>
      <c r="E364" s="394" t="str">
        <f>VLOOKUP($C364,'ТР нефть'!$A$29:$GC$641,8,0)</f>
        <v>ТЛ-4</v>
      </c>
      <c r="F364" s="462" t="str">
        <f>VLOOKUP($C364,'ТР нефть'!$A$29:$GC$641,11,0)</f>
        <v>К-88</v>
      </c>
      <c r="G364" s="392" t="str">
        <f>VLOOKUP($C364,'ТР нефть'!$A$29:$GC$641,47,0)</f>
        <v>Газлифт</v>
      </c>
      <c r="H364" s="396">
        <f>VLOOKUP($C364,'ТР нефть'!$A$29:$GC$641,135,0)</f>
        <v>65</v>
      </c>
      <c r="I364" s="397">
        <f>VLOOKUP($C364,'ТР нефть'!$A$29:$GC$641,136,0)</f>
        <v>26</v>
      </c>
      <c r="J364" s="397">
        <f>VLOOKUP($C364,'ТР нефть'!$A$29:$GC$641,137,0)</f>
        <v>58</v>
      </c>
      <c r="K364" s="397">
        <f>VLOOKUP($C364,'ТР нефть'!$A$29:$GC$641,138,0)</f>
        <v>25</v>
      </c>
      <c r="L364" s="397" t="str">
        <f>VLOOKUP($C364,'ТР нефть'!$A$29:$GC$641,139,0)</f>
        <v>Постоянный</v>
      </c>
      <c r="M364" s="397">
        <f>VLOOKUP($C364,'ТР нефть'!$A$29:$GC$641,140,0)</f>
        <v>24</v>
      </c>
      <c r="N364" s="397">
        <f>VLOOKUP($C364,'ТР нефть'!$A$29:$GC$641,141,0)</f>
        <v>0</v>
      </c>
      <c r="O364" s="398">
        <f>VLOOKUP($C364,'ТР нефть'!$A$29:$GC$641,142,0)</f>
        <v>4.5821160000000001</v>
      </c>
      <c r="P364" s="399">
        <f>VLOOKUP($C364,'ТР нефть'!$A$29:$GC$641,143,0)</f>
        <v>6.3</v>
      </c>
      <c r="Q364" s="400">
        <f>VLOOKUP($C364,'ТР нефть'!$A$29:$GC$641,144,0)</f>
        <v>13</v>
      </c>
      <c r="R364" s="397">
        <f>VLOOKUP($C364,'ТР нефть'!$A$29:$GC$641,145,0)</f>
        <v>6.5</v>
      </c>
      <c r="S364" s="397">
        <f>VLOOKUP($C364,'ТР нефть'!$A$29:$GC$641,146,0)</f>
        <v>327.35967400214224</v>
      </c>
      <c r="T364" s="397">
        <f>VLOOKUP($C364,'ТР нефть'!$A$29:$GC$641,149,0)</f>
        <v>78</v>
      </c>
      <c r="U364" s="403">
        <f>VLOOKUP($C364,'ТР нефть'!$A$29:$GC$641,150,0)</f>
        <v>0.3</v>
      </c>
      <c r="V364" s="402" t="str">
        <f>VLOOKUP($C364,'ТР нефть'!$A$29:$GC$641,47,0)</f>
        <v>Газлифт</v>
      </c>
      <c r="W364" s="396">
        <f>VLOOKUP($C364,'ТР нефть'!$A$29:$GC$641,74,0)</f>
        <v>65</v>
      </c>
      <c r="X364" s="397">
        <f>VLOOKUP($C364,'ТР нефть'!$A$29:$GC$641,79,0)</f>
        <v>24</v>
      </c>
      <c r="Y364" s="397">
        <f>VLOOKUP($C364,'ТР нефть'!$A$29:$GC$641,80,0)</f>
        <v>47</v>
      </c>
      <c r="Z364" s="397">
        <f>VLOOKUP($C364,'ТР нефть'!$A$29:$GC$641,81,0)</f>
        <v>23</v>
      </c>
      <c r="AA364" s="397" t="str">
        <f>VLOOKUP($C364,'ТР нефть'!$A$29:$GC$641,76,0)</f>
        <v>Постоянный</v>
      </c>
      <c r="AB364" s="397">
        <f>VLOOKUP($C364,'ТР нефть'!$A$29:$GC$641,77,0)</f>
        <v>24</v>
      </c>
      <c r="AC364" s="397">
        <f>VLOOKUP($C364,'ТР нефть'!$A$29:$GC$641,78,0)</f>
        <v>0</v>
      </c>
      <c r="AD364" s="398">
        <f>VLOOKUP($C364,'ТР нефть'!$A$29:$GC$641,93,0)</f>
        <v>8.8527383999999998</v>
      </c>
      <c r="AE364" s="399">
        <f>VLOOKUP($C364,'ТР нефть'!$A$29:$GC$641,94,0)</f>
        <v>11.1</v>
      </c>
      <c r="AF364" s="400">
        <f>VLOOKUP($C364,'ТР нефть'!$A$29:$GC$641,95,0)</f>
        <v>4.5999999999999996</v>
      </c>
      <c r="AG364" s="397">
        <f>VLOOKUP($C364,'ТР нефть'!$A$29:$GC$641,99,0)</f>
        <v>2</v>
      </c>
      <c r="AH364" s="397">
        <f>VLOOKUP($C364,'ТР нефть'!$A$29:$GC$641,100,0)</f>
        <v>225.91879592872641</v>
      </c>
      <c r="AI364" s="397">
        <f>VLOOKUP($C364,'ТР нефть'!$A$29:$GC$641,92,0)</f>
        <v>63</v>
      </c>
      <c r="AJ364" s="403">
        <f>VLOOKUP($C364,'ТР нефть'!$A$29:$GC$641,102,0)</f>
        <v>0.30833333333333335</v>
      </c>
      <c r="AK364" s="404">
        <f t="shared" si="33"/>
        <v>0</v>
      </c>
      <c r="AL364" s="397">
        <f t="shared" si="33"/>
        <v>-2</v>
      </c>
      <c r="AM364" s="397">
        <f t="shared" si="33"/>
        <v>-11</v>
      </c>
      <c r="AN364" s="397">
        <f t="shared" si="33"/>
        <v>-2</v>
      </c>
      <c r="AO364" s="397">
        <f t="shared" si="34"/>
        <v>0</v>
      </c>
      <c r="AP364" s="397">
        <f t="shared" si="34"/>
        <v>0</v>
      </c>
      <c r="AQ364" s="398">
        <f t="shared" si="34"/>
        <v>4.2706223999999997</v>
      </c>
      <c r="AR364" s="399">
        <f t="shared" si="34"/>
        <v>4.8</v>
      </c>
      <c r="AS364" s="400">
        <f t="shared" si="34"/>
        <v>-8.4</v>
      </c>
      <c r="AT364" s="397">
        <f t="shared" si="34"/>
        <v>-4.5</v>
      </c>
      <c r="AU364" s="397">
        <f t="shared" si="34"/>
        <v>-101.44087807341583</v>
      </c>
      <c r="AV364" s="397">
        <f t="shared" si="34"/>
        <v>-15</v>
      </c>
      <c r="AW364" s="406">
        <f t="shared" si="34"/>
        <v>8.3333333333333592E-3</v>
      </c>
      <c r="AX364" s="392" t="str">
        <f>VLOOKUP($C364,'ТР нефть'!$A$29:$GC$641,182,0)</f>
        <v>Технология</v>
      </c>
      <c r="AY364" s="406" t="str">
        <f>VLOOKUP($C364,'ТР нефть'!$A$29:$GC$641,183,0)</f>
        <v>Увеличение дебита на фоне регулировки расхода г/г</v>
      </c>
      <c r="AZ364" s="407">
        <f t="shared" si="35"/>
        <v>8.8527383999999998</v>
      </c>
      <c r="BA364" s="408">
        <f t="shared" si="35"/>
        <v>11.1</v>
      </c>
      <c r="BB364" s="397">
        <f t="shared" si="35"/>
        <v>4.5999999999999996</v>
      </c>
      <c r="BC364" s="698"/>
      <c r="BD364" s="699"/>
    </row>
    <row r="365" spans="1:56" ht="40.5" customHeight="1" outlineLevel="1" x14ac:dyDescent="0.25">
      <c r="A365" s="373"/>
      <c r="B365" s="392">
        <f t="shared" si="29"/>
        <v>47</v>
      </c>
      <c r="C365" s="490">
        <v>1479</v>
      </c>
      <c r="D365" s="394" t="str">
        <f>VLOOKUP($C365,'ТР нефть'!$A$29:$GC$641,5,0)</f>
        <v>ВУ ОНГКМ</v>
      </c>
      <c r="E365" s="394" t="str">
        <f>VLOOKUP($C365,'ТР нефть'!$A$29:$GC$641,8,0)</f>
        <v>ТЛ-4</v>
      </c>
      <c r="F365" s="462" t="str">
        <f>VLOOKUP($C365,'ТР нефть'!$A$29:$GC$641,11,0)</f>
        <v>К-88</v>
      </c>
      <c r="G365" s="392" t="str">
        <f>VLOOKUP($C365,'ТР нефть'!$A$29:$GC$641,47,0)</f>
        <v>Газлифт</v>
      </c>
      <c r="H365" s="396">
        <f>VLOOKUP($C365,'ТР нефть'!$A$29:$GC$641,135,0)</f>
        <v>18</v>
      </c>
      <c r="I365" s="397">
        <f>VLOOKUP($C365,'ТР нефть'!$A$29:$GC$641,136,0)</f>
        <v>26</v>
      </c>
      <c r="J365" s="397">
        <f>VLOOKUP($C365,'ТР нефть'!$A$29:$GC$641,137,0)</f>
        <v>52</v>
      </c>
      <c r="K365" s="397">
        <f>VLOOKUP($C365,'ТР нефть'!$A$29:$GC$641,138,0)</f>
        <v>25</v>
      </c>
      <c r="L365" s="397" t="str">
        <f>VLOOKUP($C365,'ТР нефть'!$A$29:$GC$641,139,0)</f>
        <v>Постоянный</v>
      </c>
      <c r="M365" s="397">
        <f>VLOOKUP($C365,'ТР нефть'!$A$29:$GC$641,140,0)</f>
        <v>24</v>
      </c>
      <c r="N365" s="397">
        <f>VLOOKUP($C365,'ТР нефть'!$A$29:$GC$641,141,0)</f>
        <v>0</v>
      </c>
      <c r="O365" s="398">
        <f>VLOOKUP($C365,'ТР нефть'!$A$29:$GC$641,142,0)</f>
        <v>9.9300079999999991</v>
      </c>
      <c r="P365" s="399">
        <f>VLOOKUP($C365,'ТР нефть'!$A$29:$GC$641,143,0)</f>
        <v>11.878</v>
      </c>
      <c r="Q365" s="400">
        <f>VLOOKUP($C365,'ТР нефть'!$A$29:$GC$641,144,0)</f>
        <v>0</v>
      </c>
      <c r="R365" s="397">
        <f>VLOOKUP($C365,'ТР нефть'!$A$29:$GC$641,145,0)</f>
        <v>13</v>
      </c>
      <c r="S365" s="397">
        <f>VLOOKUP($C365,'ТР нефть'!$A$29:$GC$641,146,0)</f>
        <v>100.70485340998719</v>
      </c>
      <c r="T365" s="397">
        <f>VLOOKUP($C365,'ТР нефть'!$A$29:$GC$641,149,0)</f>
        <v>62</v>
      </c>
      <c r="U365" s="403">
        <f>VLOOKUP($C365,'ТР нефть'!$A$29:$GC$641,150,0)</f>
        <v>0.16729577464788734</v>
      </c>
      <c r="V365" s="402" t="str">
        <f>VLOOKUP($C365,'ТР нефть'!$A$29:$GC$641,47,0)</f>
        <v>Газлифт</v>
      </c>
      <c r="W365" s="396">
        <f>VLOOKUP($C365,'ТР нефть'!$A$29:$GC$641,74,0)</f>
        <v>18</v>
      </c>
      <c r="X365" s="397">
        <f>VLOOKUP($C365,'ТР нефть'!$A$29:$GC$641,79,0)</f>
        <v>25</v>
      </c>
      <c r="Y365" s="397">
        <f>VLOOKUP($C365,'ТР нефть'!$A$29:$GC$641,80,0)</f>
        <v>55</v>
      </c>
      <c r="Z365" s="397">
        <f>VLOOKUP($C365,'ТР нефть'!$A$29:$GC$641,81,0)</f>
        <v>24</v>
      </c>
      <c r="AA365" s="397" t="str">
        <f>VLOOKUP($C365,'ТР нефть'!$A$29:$GC$641,76,0)</f>
        <v>Постоянный</v>
      </c>
      <c r="AB365" s="397">
        <f>VLOOKUP($C365,'ТР нефть'!$A$29:$GC$641,77,0)</f>
        <v>24</v>
      </c>
      <c r="AC365" s="397">
        <f>VLOOKUP($C365,'ТР нефть'!$A$29:$GC$641,78,0)</f>
        <v>0</v>
      </c>
      <c r="AD365" s="398">
        <f>VLOOKUP($C365,'ТР нефть'!$A$29:$GC$641,93,0)</f>
        <v>11.46992</v>
      </c>
      <c r="AE365" s="399">
        <f>VLOOKUP($C365,'ТР нефть'!$A$29:$GC$641,94,0)</f>
        <v>13.72</v>
      </c>
      <c r="AF365" s="400">
        <f>VLOOKUP($C365,'ТР нефть'!$A$29:$GC$641,95,0)</f>
        <v>0</v>
      </c>
      <c r="AG365" s="397">
        <f>VLOOKUP($C365,'ТР нефть'!$A$29:$GC$641,99,0)</f>
        <v>2.5</v>
      </c>
      <c r="AH365" s="397">
        <f>VLOOKUP($C365,'ТР нефть'!$A$29:$GC$641,100,0)</f>
        <v>217.96141559836511</v>
      </c>
      <c r="AI365" s="397">
        <f>VLOOKUP($C365,'ТР нефть'!$A$29:$GC$641,92,0)</f>
        <v>62</v>
      </c>
      <c r="AJ365" s="403">
        <f>VLOOKUP($C365,'ТР нефть'!$A$29:$GC$641,102,0)</f>
        <v>0.19323943661971832</v>
      </c>
      <c r="AK365" s="404">
        <f t="shared" si="33"/>
        <v>0</v>
      </c>
      <c r="AL365" s="397">
        <f t="shared" si="33"/>
        <v>-1</v>
      </c>
      <c r="AM365" s="397">
        <f t="shared" si="33"/>
        <v>3</v>
      </c>
      <c r="AN365" s="397">
        <f t="shared" si="33"/>
        <v>-1</v>
      </c>
      <c r="AO365" s="397">
        <f t="shared" si="34"/>
        <v>0</v>
      </c>
      <c r="AP365" s="397">
        <f t="shared" si="34"/>
        <v>0</v>
      </c>
      <c r="AQ365" s="398">
        <f t="shared" si="34"/>
        <v>1.5399120000000011</v>
      </c>
      <c r="AR365" s="399">
        <f t="shared" si="34"/>
        <v>1.8420000000000005</v>
      </c>
      <c r="AS365" s="400">
        <f t="shared" si="34"/>
        <v>0</v>
      </c>
      <c r="AT365" s="397">
        <f t="shared" si="34"/>
        <v>-10.5</v>
      </c>
      <c r="AU365" s="397">
        <f t="shared" si="34"/>
        <v>117.25656218837791</v>
      </c>
      <c r="AV365" s="397">
        <f t="shared" si="34"/>
        <v>0</v>
      </c>
      <c r="AW365" s="406">
        <f t="shared" si="34"/>
        <v>2.5943661971830984E-2</v>
      </c>
      <c r="AX365" s="392" t="str">
        <f>VLOOKUP($C365,'ТР нефть'!$A$29:$GC$641,182,0)</f>
        <v>Технология</v>
      </c>
      <c r="AY365" s="406" t="str">
        <f>VLOOKUP($C365,'ТР нефть'!$A$29:$GC$641,183,0)</f>
        <v>Увеличение дебита на фоне снижения Рлин</v>
      </c>
      <c r="AZ365" s="407">
        <f t="shared" si="35"/>
        <v>11.46992</v>
      </c>
      <c r="BA365" s="408">
        <f t="shared" si="35"/>
        <v>13.72</v>
      </c>
      <c r="BB365" s="397">
        <f t="shared" si="35"/>
        <v>0</v>
      </c>
      <c r="BC365" s="698"/>
      <c r="BD365" s="699"/>
    </row>
    <row r="366" spans="1:56" ht="40.5" customHeight="1" outlineLevel="1" x14ac:dyDescent="0.25">
      <c r="A366" s="373"/>
      <c r="B366" s="392">
        <f t="shared" si="29"/>
        <v>48</v>
      </c>
      <c r="C366" s="490">
        <v>1486</v>
      </c>
      <c r="D366" s="394" t="str">
        <f>VLOOKUP($C366,'ТР нефть'!$A$29:$GC$641,5,0)</f>
        <v>ВУ ОНГКМ</v>
      </c>
      <c r="E366" s="394" t="str">
        <f>VLOOKUP($C366,'ТР нефть'!$A$29:$GC$641,8,0)</f>
        <v>ТЛ-4</v>
      </c>
      <c r="F366" s="462" t="str">
        <f>VLOOKUP($C366,'ТР нефть'!$A$29:$GC$641,11,0)</f>
        <v>К-88</v>
      </c>
      <c r="G366" s="392" t="str">
        <f>VLOOKUP($C366,'ТР нефть'!$A$29:$GC$641,47,0)</f>
        <v>Газлифт</v>
      </c>
      <c r="H366" s="396">
        <f>VLOOKUP($C366,'ТР нефть'!$A$29:$GC$641,135,0)</f>
        <v>18</v>
      </c>
      <c r="I366" s="397">
        <f>VLOOKUP($C366,'ТР нефть'!$A$29:$GC$641,136,0)</f>
        <v>26</v>
      </c>
      <c r="J366" s="397">
        <f>VLOOKUP($C366,'ТР нефть'!$A$29:$GC$641,137,0)</f>
        <v>50</v>
      </c>
      <c r="K366" s="397">
        <f>VLOOKUP($C366,'ТР нефть'!$A$29:$GC$641,138,0)</f>
        <v>25</v>
      </c>
      <c r="L366" s="397" t="str">
        <f>VLOOKUP($C366,'ТР нефть'!$A$29:$GC$641,139,0)</f>
        <v>Постоянный</v>
      </c>
      <c r="M366" s="397">
        <f>VLOOKUP($C366,'ТР нефть'!$A$29:$GC$641,140,0)</f>
        <v>24</v>
      </c>
      <c r="N366" s="397">
        <f>VLOOKUP($C366,'ТР нефть'!$A$29:$GC$641,141,0)</f>
        <v>0</v>
      </c>
      <c r="O366" s="398">
        <f>VLOOKUP($C366,'ТР нефть'!$A$29:$GC$641,142,0)</f>
        <v>8.6108000000000011</v>
      </c>
      <c r="P366" s="399">
        <f>VLOOKUP($C366,'ТР нефть'!$A$29:$GC$641,143,0)</f>
        <v>10.3</v>
      </c>
      <c r="Q366" s="400">
        <f>VLOOKUP($C366,'ТР нефть'!$A$29:$GC$641,144,0)</f>
        <v>0</v>
      </c>
      <c r="R366" s="397">
        <f>VLOOKUP($C366,'ТР нефть'!$A$29:$GC$641,145,0)</f>
        <v>17.899999999999999</v>
      </c>
      <c r="S366" s="397">
        <f>VLOOKUP($C366,'ТР нефть'!$A$29:$GC$641,146,0)</f>
        <v>963.90579272541424</v>
      </c>
      <c r="T366" s="397">
        <f>VLOOKUP($C366,'ТР нефть'!$A$29:$GC$641,149,0)</f>
        <v>55</v>
      </c>
      <c r="U366" s="403">
        <f>VLOOKUP($C366,'ТР нефть'!$A$29:$GC$641,150,0)</f>
        <v>0.23953488372093024</v>
      </c>
      <c r="V366" s="402" t="str">
        <f>VLOOKUP($C366,'ТР нефть'!$A$29:$GC$641,47,0)</f>
        <v>Газлифт</v>
      </c>
      <c r="W366" s="396">
        <f>VLOOKUP($C366,'ТР нефть'!$A$29:$GC$641,74,0)</f>
        <v>18</v>
      </c>
      <c r="X366" s="397">
        <f>VLOOKUP($C366,'ТР нефть'!$A$29:$GC$641,79,0)</f>
        <v>25</v>
      </c>
      <c r="Y366" s="397">
        <f>VLOOKUP($C366,'ТР нефть'!$A$29:$GC$641,80,0)</f>
        <v>50</v>
      </c>
      <c r="Z366" s="397">
        <f>VLOOKUP($C366,'ТР нефть'!$A$29:$GC$641,81,0)</f>
        <v>24</v>
      </c>
      <c r="AA366" s="397" t="str">
        <f>VLOOKUP($C366,'ТР нефть'!$A$29:$GC$641,76,0)</f>
        <v>Постоянный</v>
      </c>
      <c r="AB366" s="397">
        <f>VLOOKUP($C366,'ТР нефть'!$A$29:$GC$641,77,0)</f>
        <v>24</v>
      </c>
      <c r="AC366" s="397">
        <f>VLOOKUP($C366,'ТР нефть'!$A$29:$GC$641,78,0)</f>
        <v>0</v>
      </c>
      <c r="AD366" s="398">
        <f>VLOOKUP($C366,'ТР нефть'!$A$29:$GC$641,93,0)</f>
        <v>10.2828</v>
      </c>
      <c r="AE366" s="399">
        <f>VLOOKUP($C366,'ТР нефть'!$A$29:$GC$641,94,0)</f>
        <v>12.3</v>
      </c>
      <c r="AF366" s="400">
        <f>VLOOKUP($C366,'ТР нефть'!$A$29:$GC$641,95,0)</f>
        <v>0</v>
      </c>
      <c r="AG366" s="397">
        <f>VLOOKUP($C366,'ТР нефть'!$A$29:$GC$641,99,0)</f>
        <v>9</v>
      </c>
      <c r="AH366" s="397">
        <f>VLOOKUP($C366,'ТР нефть'!$A$29:$GC$641,100,0)</f>
        <v>875.24798692963009</v>
      </c>
      <c r="AI366" s="397">
        <f>VLOOKUP($C366,'ТР нефть'!$A$29:$GC$641,92,0)</f>
        <v>55</v>
      </c>
      <c r="AJ366" s="403">
        <f>VLOOKUP($C366,'ТР нефть'!$A$29:$GC$641,102,0)</f>
        <v>0.28604651162790701</v>
      </c>
      <c r="AK366" s="404">
        <f t="shared" si="33"/>
        <v>0</v>
      </c>
      <c r="AL366" s="397">
        <f t="shared" si="33"/>
        <v>-1</v>
      </c>
      <c r="AM366" s="397">
        <f t="shared" si="33"/>
        <v>0</v>
      </c>
      <c r="AN366" s="397">
        <f t="shared" si="33"/>
        <v>-1</v>
      </c>
      <c r="AO366" s="397">
        <f t="shared" si="34"/>
        <v>0</v>
      </c>
      <c r="AP366" s="397">
        <f t="shared" si="34"/>
        <v>0</v>
      </c>
      <c r="AQ366" s="398">
        <f t="shared" si="34"/>
        <v>1.6719999999999988</v>
      </c>
      <c r="AR366" s="399">
        <f t="shared" si="34"/>
        <v>2</v>
      </c>
      <c r="AS366" s="400">
        <f t="shared" si="34"/>
        <v>0</v>
      </c>
      <c r="AT366" s="397">
        <f t="shared" si="34"/>
        <v>-8.8999999999999986</v>
      </c>
      <c r="AU366" s="397">
        <f t="shared" si="34"/>
        <v>-88.657805795784157</v>
      </c>
      <c r="AV366" s="397">
        <f t="shared" si="34"/>
        <v>0</v>
      </c>
      <c r="AW366" s="406">
        <f t="shared" si="34"/>
        <v>4.6511627906976771E-2</v>
      </c>
      <c r="AX366" s="392" t="str">
        <f>VLOOKUP($C366,'ТР нефть'!$A$29:$GC$641,182,0)</f>
        <v>Технология</v>
      </c>
      <c r="AY366" s="406" t="str">
        <f>VLOOKUP($C366,'ТР нефть'!$A$29:$GC$641,183,0)</f>
        <v>Увеличение дебита на фоне снижения Рлин</v>
      </c>
      <c r="AZ366" s="407">
        <f t="shared" si="35"/>
        <v>10.2828</v>
      </c>
      <c r="BA366" s="408">
        <f t="shared" si="35"/>
        <v>12.3</v>
      </c>
      <c r="BB366" s="397">
        <f t="shared" si="35"/>
        <v>0</v>
      </c>
      <c r="BC366" s="698"/>
      <c r="BD366" s="699"/>
    </row>
    <row r="367" spans="1:56" ht="40.5" customHeight="1" outlineLevel="2" x14ac:dyDescent="0.25">
      <c r="A367" s="373"/>
      <c r="B367" s="392">
        <f t="shared" si="29"/>
        <v>49</v>
      </c>
      <c r="C367" s="490">
        <v>1490</v>
      </c>
      <c r="D367" s="394" t="str">
        <f>VLOOKUP($C367,'ТР нефть'!$A$29:$GC$641,5,0)</f>
        <v>ВУ ОНГКМ</v>
      </c>
      <c r="E367" s="394" t="str">
        <f>VLOOKUP($C367,'ТР нефть'!$A$29:$GC$641,8,0)</f>
        <v>ТЛ-4</v>
      </c>
      <c r="F367" s="462" t="str">
        <f>VLOOKUP($C367,'ТР нефть'!$A$29:$GC$641,11,0)</f>
        <v>К-39</v>
      </c>
      <c r="G367" s="392" t="str">
        <f>VLOOKUP($C367,'ТР нефть'!$A$29:$GC$641,47,0)</f>
        <v>Газлифт</v>
      </c>
      <c r="H367" s="396">
        <f>VLOOKUP($C367,'ТР нефть'!$A$29:$GC$641,135,0)</f>
        <v>65</v>
      </c>
      <c r="I367" s="397">
        <f>VLOOKUP($C367,'ТР нефть'!$A$29:$GC$641,136,0)</f>
        <v>27</v>
      </c>
      <c r="J367" s="397">
        <f>VLOOKUP($C367,'ТР нефть'!$A$29:$GC$641,137,0)</f>
        <v>50</v>
      </c>
      <c r="K367" s="397">
        <f>VLOOKUP($C367,'ТР нефть'!$A$29:$GC$641,138,0)</f>
        <v>26</v>
      </c>
      <c r="L367" s="397" t="str">
        <f>VLOOKUP($C367,'ТР нефть'!$A$29:$GC$641,139,0)</f>
        <v>Постоянный</v>
      </c>
      <c r="M367" s="397">
        <f>VLOOKUP($C367,'ТР нефть'!$A$29:$GC$641,140,0)</f>
        <v>24</v>
      </c>
      <c r="N367" s="397">
        <f>VLOOKUP($C367,'ТР нефть'!$A$29:$GC$641,141,0)</f>
        <v>0</v>
      </c>
      <c r="O367" s="398">
        <f>VLOOKUP($C367,'ТР нефть'!$A$29:$GC$641,142,0)</f>
        <v>8.4973547999999983</v>
      </c>
      <c r="P367" s="399">
        <f>VLOOKUP($C367,'ТР нефть'!$A$29:$GC$641,143,0)</f>
        <v>10.199999999999999</v>
      </c>
      <c r="Q367" s="400">
        <f>VLOOKUP($C367,'ТР нефть'!$A$29:$GC$641,144,0)</f>
        <v>0.35</v>
      </c>
      <c r="R367" s="397">
        <f>VLOOKUP($C367,'ТР нефть'!$A$29:$GC$641,145,0)</f>
        <v>15</v>
      </c>
      <c r="S367" s="397">
        <f>VLOOKUP($C367,'ТР нефть'!$A$29:$GC$641,146,0)</f>
        <v>776.71230110339764</v>
      </c>
      <c r="T367" s="397">
        <f>VLOOKUP($C367,'ТР нефть'!$A$29:$GC$641,149,0)</f>
        <v>54</v>
      </c>
      <c r="U367" s="403">
        <f>VLOOKUP($C367,'ТР нефть'!$A$29:$GC$641,150,0)</f>
        <v>0.15525114155251141</v>
      </c>
      <c r="V367" s="402" t="str">
        <f>VLOOKUP($C367,'ТР нефть'!$A$29:$GC$641,47,0)</f>
        <v>Газлифт</v>
      </c>
      <c r="W367" s="396">
        <f>VLOOKUP($C367,'ТР нефть'!$A$29:$GC$641,74,0)</f>
        <v>65</v>
      </c>
      <c r="X367" s="397">
        <f>VLOOKUP($C367,'ТР нефть'!$A$29:$GC$641,79,0)</f>
        <v>25</v>
      </c>
      <c r="Y367" s="397">
        <f>VLOOKUP($C367,'ТР нефть'!$A$29:$GC$641,80,0)</f>
        <v>48</v>
      </c>
      <c r="Z367" s="397">
        <f>VLOOKUP($C367,'ТР нефть'!$A$29:$GC$641,81,0)</f>
        <v>24</v>
      </c>
      <c r="AA367" s="397" t="str">
        <f>VLOOKUP($C367,'ТР нефть'!$A$29:$GC$641,76,0)</f>
        <v>Постоянный</v>
      </c>
      <c r="AB367" s="397">
        <f>VLOOKUP($C367,'ТР нефть'!$A$29:$GC$641,77,0)</f>
        <v>24</v>
      </c>
      <c r="AC367" s="397">
        <f>VLOOKUP($C367,'ТР нефть'!$A$29:$GC$641,78,0)</f>
        <v>0</v>
      </c>
      <c r="AD367" s="398">
        <f>VLOOKUP($C367,'ТР нефть'!$A$29:$GC$641,93,0)</f>
        <v>9.9968880000000002</v>
      </c>
      <c r="AE367" s="399">
        <f>VLOOKUP($C367,'ТР нефть'!$A$29:$GC$641,94,0)</f>
        <v>12</v>
      </c>
      <c r="AF367" s="400">
        <f>VLOOKUP($C367,'ТР нефть'!$A$29:$GC$641,95,0)</f>
        <v>0.35</v>
      </c>
      <c r="AG367" s="397">
        <f>VLOOKUP($C367,'ТР нефть'!$A$29:$GC$641,99,0)</f>
        <v>6.6</v>
      </c>
      <c r="AH367" s="397">
        <f>VLOOKUP($C367,'ТР нефть'!$A$29:$GC$641,100,0)</f>
        <v>660.2054559378879</v>
      </c>
      <c r="AI367" s="397">
        <f>VLOOKUP($C367,'ТР нефть'!$A$29:$GC$641,92,0)</f>
        <v>59</v>
      </c>
      <c r="AJ367" s="403">
        <f>VLOOKUP($C367,'ТР нефть'!$A$29:$GC$641,102,0)</f>
        <v>0.19769357495881382</v>
      </c>
      <c r="AK367" s="404">
        <f t="shared" si="33"/>
        <v>0</v>
      </c>
      <c r="AL367" s="397">
        <f t="shared" si="33"/>
        <v>-2</v>
      </c>
      <c r="AM367" s="397">
        <f t="shared" si="33"/>
        <v>-2</v>
      </c>
      <c r="AN367" s="397">
        <f t="shared" si="33"/>
        <v>-2</v>
      </c>
      <c r="AO367" s="397">
        <f t="shared" si="34"/>
        <v>0</v>
      </c>
      <c r="AP367" s="397">
        <f t="shared" si="34"/>
        <v>0</v>
      </c>
      <c r="AQ367" s="398">
        <f t="shared" si="34"/>
        <v>1.4995332000000019</v>
      </c>
      <c r="AR367" s="399">
        <f t="shared" si="34"/>
        <v>1.8000000000000007</v>
      </c>
      <c r="AS367" s="400">
        <f t="shared" si="34"/>
        <v>0</v>
      </c>
      <c r="AT367" s="397">
        <f t="shared" si="34"/>
        <v>-8.4</v>
      </c>
      <c r="AU367" s="397">
        <f t="shared" si="34"/>
        <v>-116.50684516550973</v>
      </c>
      <c r="AV367" s="397">
        <f t="shared" si="34"/>
        <v>5</v>
      </c>
      <c r="AW367" s="406">
        <f t="shared" si="34"/>
        <v>4.244243340630241E-2</v>
      </c>
      <c r="AX367" s="392" t="str">
        <f>VLOOKUP($C367,'ТР нефть'!$A$29:$GC$641,182,0)</f>
        <v>Технология</v>
      </c>
      <c r="AY367" s="406" t="str">
        <f>VLOOKUP($C367,'ТР нефть'!$A$29:$GC$641,183,0)</f>
        <v>Увеличение дебита на фоне снижения Рлин</v>
      </c>
      <c r="AZ367" s="407">
        <f t="shared" si="35"/>
        <v>9.9968880000000002</v>
      </c>
      <c r="BA367" s="408">
        <f t="shared" si="35"/>
        <v>12</v>
      </c>
      <c r="BB367" s="397">
        <f t="shared" si="35"/>
        <v>0.35</v>
      </c>
      <c r="BC367" s="698"/>
      <c r="BD367" s="699"/>
    </row>
    <row r="368" spans="1:56" ht="40.5" customHeight="1" outlineLevel="2" x14ac:dyDescent="0.25">
      <c r="A368" s="373"/>
      <c r="B368" s="392">
        <f t="shared" si="29"/>
        <v>50</v>
      </c>
      <c r="C368" s="490">
        <v>1506</v>
      </c>
      <c r="D368" s="394" t="str">
        <f>VLOOKUP($C368,'ТР нефть'!$A$29:$GC$641,5,0)</f>
        <v>ВУ ОНГКМ</v>
      </c>
      <c r="E368" s="394" t="str">
        <f>VLOOKUP($C368,'ТР нефть'!$A$29:$GC$641,8,0)</f>
        <v>ТЛ-4</v>
      </c>
      <c r="F368" s="462" t="str">
        <f>VLOOKUP($C368,'ТР нефть'!$A$29:$GC$641,11,0)</f>
        <v>К-1601</v>
      </c>
      <c r="G368" s="392" t="str">
        <f>VLOOKUP($C368,'ТР нефть'!$A$29:$GC$641,47,0)</f>
        <v>Газлифт</v>
      </c>
      <c r="H368" s="396">
        <f>VLOOKUP($C368,'ТР нефть'!$A$29:$GC$641,135,0)</f>
        <v>18</v>
      </c>
      <c r="I368" s="397">
        <f>VLOOKUP($C368,'ТР нефть'!$A$29:$GC$641,136,0)</f>
        <v>25</v>
      </c>
      <c r="J368" s="397">
        <f>VLOOKUP($C368,'ТР нефть'!$A$29:$GC$641,137,0)</f>
        <v>46</v>
      </c>
      <c r="K368" s="397">
        <f>VLOOKUP($C368,'ТР нефть'!$A$29:$GC$641,138,0)</f>
        <v>24</v>
      </c>
      <c r="L368" s="397" t="str">
        <f>VLOOKUP($C368,'ТР нефть'!$A$29:$GC$641,139,0)</f>
        <v>Постоянный</v>
      </c>
      <c r="M368" s="397">
        <f>VLOOKUP($C368,'ТР нефть'!$A$29:$GC$641,140,0)</f>
        <v>24</v>
      </c>
      <c r="N368" s="397">
        <f>VLOOKUP($C368,'ТР нефть'!$A$29:$GC$641,141,0)</f>
        <v>0</v>
      </c>
      <c r="O368" s="398">
        <f>VLOOKUP($C368,'ТР нефть'!$A$29:$GC$641,142,0)</f>
        <v>4.18</v>
      </c>
      <c r="P368" s="399">
        <f>VLOOKUP($C368,'ТР нефть'!$A$29:$GC$641,143,0)</f>
        <v>5</v>
      </c>
      <c r="Q368" s="400">
        <f>VLOOKUP($C368,'ТР нефть'!$A$29:$GC$641,144,0)</f>
        <v>0</v>
      </c>
      <c r="R368" s="397">
        <f>VLOOKUP($C368,'ТР нефть'!$A$29:$GC$641,145,0)</f>
        <v>12</v>
      </c>
      <c r="S368" s="397">
        <f>VLOOKUP($C368,'ТР нефть'!$A$29:$GC$641,146,0)</f>
        <v>1148.3253588516748</v>
      </c>
      <c r="T368" s="397">
        <f>VLOOKUP($C368,'ТР нефть'!$A$29:$GC$641,149,0)</f>
        <v>57</v>
      </c>
      <c r="U368" s="403">
        <f>VLOOKUP($C368,'ТР нефть'!$A$29:$GC$641,150,0)</f>
        <v>0.1111111111111111</v>
      </c>
      <c r="V368" s="402" t="str">
        <f>VLOOKUP($C368,'ТР нефть'!$A$29:$GC$641,47,0)</f>
        <v>Газлифт</v>
      </c>
      <c r="W368" s="396">
        <f>VLOOKUP($C368,'ТР нефть'!$A$29:$GC$641,74,0)</f>
        <v>18</v>
      </c>
      <c r="X368" s="397">
        <f>VLOOKUP($C368,'ТР нефть'!$A$29:$GC$641,79,0)</f>
        <v>22</v>
      </c>
      <c r="Y368" s="397">
        <f>VLOOKUP($C368,'ТР нефть'!$A$29:$GC$641,80,0)</f>
        <v>42</v>
      </c>
      <c r="Z368" s="397">
        <f>VLOOKUP($C368,'ТР нефть'!$A$29:$GC$641,81,0)</f>
        <v>21</v>
      </c>
      <c r="AA368" s="397" t="str">
        <f>VLOOKUP($C368,'ТР нефть'!$A$29:$GC$641,76,0)</f>
        <v>Постоянный</v>
      </c>
      <c r="AB368" s="397">
        <f>VLOOKUP($C368,'ТР нефть'!$A$29:$GC$641,77,0)</f>
        <v>24</v>
      </c>
      <c r="AC368" s="397">
        <f>VLOOKUP($C368,'ТР нефть'!$A$29:$GC$641,78,0)</f>
        <v>0</v>
      </c>
      <c r="AD368" s="398">
        <f>VLOOKUP($C368,'ТР нефть'!$A$29:$GC$641,93,0)</f>
        <v>5.8519999999999994</v>
      </c>
      <c r="AE368" s="399">
        <f>VLOOKUP($C368,'ТР нефть'!$A$29:$GC$641,94,0)</f>
        <v>7</v>
      </c>
      <c r="AF368" s="400">
        <f>VLOOKUP($C368,'ТР нефть'!$A$29:$GC$641,95,0)</f>
        <v>0</v>
      </c>
      <c r="AG368" s="397">
        <f>VLOOKUP($C368,'ТР нефть'!$A$29:$GC$641,99,0)</f>
        <v>3.1999999999999993</v>
      </c>
      <c r="AH368" s="397">
        <f>VLOOKUP($C368,'ТР нефть'!$A$29:$GC$641,100,0)</f>
        <v>546.82159945317835</v>
      </c>
      <c r="AI368" s="397">
        <f>VLOOKUP($C368,'ТР нефть'!$A$29:$GC$641,92,0)</f>
        <v>53</v>
      </c>
      <c r="AJ368" s="403">
        <f>VLOOKUP($C368,'ТР нефть'!$A$29:$GC$641,102,0)</f>
        <v>0.14285714285714285</v>
      </c>
      <c r="AK368" s="404">
        <f t="shared" si="33"/>
        <v>0</v>
      </c>
      <c r="AL368" s="397">
        <f t="shared" si="33"/>
        <v>-3</v>
      </c>
      <c r="AM368" s="397">
        <f t="shared" si="33"/>
        <v>-4</v>
      </c>
      <c r="AN368" s="397">
        <f t="shared" si="33"/>
        <v>-3</v>
      </c>
      <c r="AO368" s="397">
        <f t="shared" si="34"/>
        <v>0</v>
      </c>
      <c r="AP368" s="397">
        <f t="shared" si="34"/>
        <v>0</v>
      </c>
      <c r="AQ368" s="398">
        <f t="shared" si="34"/>
        <v>1.6719999999999997</v>
      </c>
      <c r="AR368" s="399">
        <f t="shared" si="34"/>
        <v>2</v>
      </c>
      <c r="AS368" s="400">
        <f t="shared" si="34"/>
        <v>0</v>
      </c>
      <c r="AT368" s="397">
        <f t="shared" si="34"/>
        <v>-8.8000000000000007</v>
      </c>
      <c r="AU368" s="397">
        <f t="shared" si="34"/>
        <v>-601.50375939849641</v>
      </c>
      <c r="AV368" s="397">
        <f t="shared" si="34"/>
        <v>-4</v>
      </c>
      <c r="AW368" s="406">
        <f t="shared" si="34"/>
        <v>3.1746031746031744E-2</v>
      </c>
      <c r="AX368" s="392" t="str">
        <f>VLOOKUP($C368,'ТР нефть'!$A$29:$GC$641,182,0)</f>
        <v>Технология</v>
      </c>
      <c r="AY368" s="406" t="str">
        <f>VLOOKUP($C368,'ТР нефть'!$A$29:$GC$641,183,0)</f>
        <v>Возврат потерь с предыдущего месяца, за счет снижения Рлин. С 24 до 22 атм</v>
      </c>
      <c r="AZ368" s="407">
        <f t="shared" si="35"/>
        <v>5.8519999999999994</v>
      </c>
      <c r="BA368" s="408">
        <f t="shared" si="35"/>
        <v>7</v>
      </c>
      <c r="BB368" s="397">
        <f t="shared" si="35"/>
        <v>0</v>
      </c>
      <c r="BC368" s="698"/>
      <c r="BD368" s="699"/>
    </row>
    <row r="369" spans="1:56" ht="40.5" customHeight="1" outlineLevel="2" x14ac:dyDescent="0.25">
      <c r="A369" s="373"/>
      <c r="B369" s="392">
        <f t="shared" si="29"/>
        <v>51</v>
      </c>
      <c r="C369" s="490">
        <v>1507</v>
      </c>
      <c r="D369" s="394" t="str">
        <f>VLOOKUP($C369,'ТР нефть'!$A$29:$GC$641,5,0)</f>
        <v>ВУ ОНГКМ</v>
      </c>
      <c r="E369" s="394" t="str">
        <f>VLOOKUP($C369,'ТР нефть'!$A$29:$GC$641,8,0)</f>
        <v>ТЛ-4</v>
      </c>
      <c r="F369" s="462" t="str">
        <f>VLOOKUP($C369,'ТР нефть'!$A$29:$GC$641,11,0)</f>
        <v>К-68</v>
      </c>
      <c r="G369" s="392" t="str">
        <f>VLOOKUP($C369,'ТР нефть'!$A$29:$GC$641,47,0)</f>
        <v>Газлифт</v>
      </c>
      <c r="H369" s="396">
        <f>VLOOKUP($C369,'ТР нефть'!$A$29:$GC$641,135,0)</f>
        <v>65</v>
      </c>
      <c r="I369" s="397">
        <f>VLOOKUP($C369,'ТР нефть'!$A$29:$GC$641,136,0)</f>
        <v>26</v>
      </c>
      <c r="J369" s="397">
        <f>VLOOKUP($C369,'ТР нефть'!$A$29:$GC$641,137,0)</f>
        <v>40</v>
      </c>
      <c r="K369" s="397">
        <f>VLOOKUP($C369,'ТР нефть'!$A$29:$GC$641,138,0)</f>
        <v>25</v>
      </c>
      <c r="L369" s="397" t="str">
        <f>VLOOKUP($C369,'ТР нефть'!$A$29:$GC$641,139,0)</f>
        <v>Постоянный</v>
      </c>
      <c r="M369" s="397">
        <f>VLOOKUP($C369,'ТР нефть'!$A$29:$GC$641,140,0)</f>
        <v>24</v>
      </c>
      <c r="N369" s="397">
        <f>VLOOKUP($C369,'ТР нефть'!$A$29:$GC$641,141,0)</f>
        <v>0</v>
      </c>
      <c r="O369" s="398">
        <f>VLOOKUP($C369,'ТР нефть'!$A$29:$GC$641,142,0)</f>
        <v>6.9388000000000005</v>
      </c>
      <c r="P369" s="399">
        <f>VLOOKUP($C369,'ТР нефть'!$A$29:$GC$641,143,0)</f>
        <v>8.3000000000000007</v>
      </c>
      <c r="Q369" s="400">
        <f>VLOOKUP($C369,'ТР нефть'!$A$29:$GC$641,144,0)</f>
        <v>0</v>
      </c>
      <c r="R369" s="397">
        <f>VLOOKUP($C369,'ТР нефть'!$A$29:$GC$641,145,0)</f>
        <v>18</v>
      </c>
      <c r="S369" s="397">
        <f>VLOOKUP($C369,'ТР нефть'!$A$29:$GC$641,146,0)</f>
        <v>1210.5839626448376</v>
      </c>
      <c r="T369" s="397">
        <f>VLOOKUP($C369,'ТР нефть'!$A$29:$GC$641,149,0)</f>
        <v>45</v>
      </c>
      <c r="U369" s="403">
        <f>VLOOKUP($C369,'ТР нефть'!$A$29:$GC$641,150,0)</f>
        <v>0.20243902439024392</v>
      </c>
      <c r="V369" s="402" t="str">
        <f>VLOOKUP($C369,'ТР нефть'!$A$29:$GC$641,47,0)</f>
        <v>Газлифт</v>
      </c>
      <c r="W369" s="396">
        <f>VLOOKUP($C369,'ТР нефть'!$A$29:$GC$641,74,0)</f>
        <v>65</v>
      </c>
      <c r="X369" s="397">
        <f>VLOOKUP($C369,'ТР нефть'!$A$29:$GC$641,79,0)</f>
        <v>23</v>
      </c>
      <c r="Y369" s="397">
        <f>VLOOKUP($C369,'ТР нефть'!$A$29:$GC$641,80,0)</f>
        <v>43</v>
      </c>
      <c r="Z369" s="397">
        <f>VLOOKUP($C369,'ТР нефть'!$A$29:$GC$641,81,0)</f>
        <v>23</v>
      </c>
      <c r="AA369" s="397" t="str">
        <f>VLOOKUP($C369,'ТР нефть'!$A$29:$GC$641,76,0)</f>
        <v>Постоянный</v>
      </c>
      <c r="AB369" s="397">
        <f>VLOOKUP($C369,'ТР нефть'!$A$29:$GC$641,77,0)</f>
        <v>24</v>
      </c>
      <c r="AC369" s="397">
        <f>VLOOKUP($C369,'ТР нефть'!$A$29:$GC$641,78,0)</f>
        <v>0</v>
      </c>
      <c r="AD369" s="398">
        <f>VLOOKUP($C369,'ТР нефть'!$A$29:$GC$641,93,0)</f>
        <v>8.5271999999999988</v>
      </c>
      <c r="AE369" s="399">
        <f>VLOOKUP($C369,'ТР нефть'!$A$29:$GC$641,94,0)</f>
        <v>10.199999999999999</v>
      </c>
      <c r="AF369" s="400">
        <f>VLOOKUP($C369,'ТР нефть'!$A$29:$GC$641,95,0)</f>
        <v>0</v>
      </c>
      <c r="AG369" s="397">
        <f>VLOOKUP($C369,'ТР нефть'!$A$29:$GC$641,99,0)</f>
        <v>8.4</v>
      </c>
      <c r="AH369" s="397">
        <f>VLOOKUP($C369,'ТР нефть'!$A$29:$GC$641,100,0)</f>
        <v>985.08302842668184</v>
      </c>
      <c r="AI369" s="397">
        <f>VLOOKUP($C369,'ТР нефть'!$A$29:$GC$641,92,0)</f>
        <v>49</v>
      </c>
      <c r="AJ369" s="403">
        <f>VLOOKUP($C369,'ТР нефть'!$A$29:$GC$641,102,0)</f>
        <v>0.27567567567567564</v>
      </c>
      <c r="AK369" s="404">
        <f t="shared" si="33"/>
        <v>0</v>
      </c>
      <c r="AL369" s="397">
        <f t="shared" si="33"/>
        <v>-3</v>
      </c>
      <c r="AM369" s="397">
        <f t="shared" si="33"/>
        <v>3</v>
      </c>
      <c r="AN369" s="397">
        <f t="shared" si="33"/>
        <v>-2</v>
      </c>
      <c r="AO369" s="397">
        <f t="shared" si="34"/>
        <v>0</v>
      </c>
      <c r="AP369" s="397">
        <f t="shared" si="34"/>
        <v>0</v>
      </c>
      <c r="AQ369" s="398">
        <f t="shared" si="34"/>
        <v>1.5883999999999983</v>
      </c>
      <c r="AR369" s="399">
        <f t="shared" si="34"/>
        <v>1.8999999999999986</v>
      </c>
      <c r="AS369" s="400">
        <f t="shared" si="34"/>
        <v>0</v>
      </c>
      <c r="AT369" s="397">
        <f t="shared" si="34"/>
        <v>-9.6</v>
      </c>
      <c r="AU369" s="397">
        <f t="shared" si="34"/>
        <v>-225.50093421815575</v>
      </c>
      <c r="AV369" s="397">
        <f t="shared" si="34"/>
        <v>4</v>
      </c>
      <c r="AW369" s="406">
        <f t="shared" si="34"/>
        <v>7.323665128543172E-2</v>
      </c>
      <c r="AX369" s="392" t="str">
        <f>VLOOKUP($C369,'ТР нефть'!$A$29:$GC$641,182,0)</f>
        <v>Технология</v>
      </c>
      <c r="AY369" s="406" t="str">
        <f>VLOOKUP($C369,'ТР нефть'!$A$29:$GC$641,183,0)</f>
        <v>Увеличение дебита на фоне снижения Рлин</v>
      </c>
      <c r="AZ369" s="407">
        <f t="shared" si="35"/>
        <v>8.5271999999999988</v>
      </c>
      <c r="BA369" s="408">
        <f t="shared" si="35"/>
        <v>10.199999999999999</v>
      </c>
      <c r="BB369" s="397">
        <f t="shared" si="35"/>
        <v>0</v>
      </c>
      <c r="BC369" s="698"/>
      <c r="BD369" s="699"/>
    </row>
    <row r="370" spans="1:56" ht="40.5" customHeight="1" outlineLevel="2" x14ac:dyDescent="0.25">
      <c r="A370" s="373"/>
      <c r="B370" s="392">
        <f t="shared" si="29"/>
        <v>52</v>
      </c>
      <c r="C370" s="490">
        <v>3286</v>
      </c>
      <c r="D370" s="394" t="str">
        <f>VLOOKUP($C370,'ТР нефть'!$A$29:$GC$641,5,0)</f>
        <v>ВУ ОНГКМ</v>
      </c>
      <c r="E370" s="394" t="str">
        <f>VLOOKUP($C370,'ТР нефть'!$A$29:$GC$641,8,0)</f>
        <v>ТЛ-4</v>
      </c>
      <c r="F370" s="462" t="str">
        <f>VLOOKUP($C370,'ТР нефть'!$A$29:$GC$641,11,0)</f>
        <v>К-34</v>
      </c>
      <c r="G370" s="392" t="str">
        <f>VLOOKUP($C370,'ТР нефть'!$A$29:$GC$641,47,0)</f>
        <v>Газлифт</v>
      </c>
      <c r="H370" s="396">
        <f>VLOOKUP($C370,'ТР нефть'!$A$29:$GC$641,135,0)</f>
        <v>18</v>
      </c>
      <c r="I370" s="397">
        <f>VLOOKUP($C370,'ТР нефть'!$A$29:$GC$641,136,0)</f>
        <v>26</v>
      </c>
      <c r="J370" s="397">
        <f>VLOOKUP($C370,'ТР нефть'!$A$29:$GC$641,137,0)</f>
        <v>70</v>
      </c>
      <c r="K370" s="397">
        <f>VLOOKUP($C370,'ТР нефть'!$A$29:$GC$641,138,0)</f>
        <v>25</v>
      </c>
      <c r="L370" s="397" t="str">
        <f>VLOOKUP($C370,'ТР нефть'!$A$29:$GC$641,139,0)</f>
        <v>Постоянный</v>
      </c>
      <c r="M370" s="397">
        <f>VLOOKUP($C370,'ТР нефть'!$A$29:$GC$641,140,0)</f>
        <v>24</v>
      </c>
      <c r="N370" s="397">
        <f>VLOOKUP($C370,'ТР нефть'!$A$29:$GC$641,141,0)</f>
        <v>0</v>
      </c>
      <c r="O370" s="398">
        <f>VLOOKUP($C370,'ТР нефть'!$A$29:$GC$641,142,0)</f>
        <v>13.961199999999998</v>
      </c>
      <c r="P370" s="399">
        <f>VLOOKUP($C370,'ТР нефть'!$A$29:$GC$641,143,0)</f>
        <v>16.7</v>
      </c>
      <c r="Q370" s="400">
        <f>VLOOKUP($C370,'ТР нефть'!$A$29:$GC$641,144,0)</f>
        <v>0</v>
      </c>
      <c r="R370" s="397">
        <f>VLOOKUP($C370,'ТР нефть'!$A$29:$GC$641,145,0)</f>
        <v>7.4</v>
      </c>
      <c r="S370" s="397">
        <f>VLOOKUP($C370,'ТР нефть'!$A$29:$GC$641,146,0)</f>
        <v>186.23040999341038</v>
      </c>
      <c r="T370" s="397">
        <f>VLOOKUP($C370,'ТР нефть'!$A$29:$GC$641,149,0)</f>
        <v>64</v>
      </c>
      <c r="U370" s="403">
        <f>VLOOKUP($C370,'ТР нефть'!$A$29:$GC$641,150,0)</f>
        <v>0.34081632653061222</v>
      </c>
      <c r="V370" s="402" t="str">
        <f>VLOOKUP($C370,'ТР нефть'!$A$29:$GC$641,47,0)</f>
        <v>Газлифт</v>
      </c>
      <c r="W370" s="396">
        <f>VLOOKUP($C370,'ТР нефть'!$A$29:$GC$641,74,0)</f>
        <v>18</v>
      </c>
      <c r="X370" s="397">
        <f>VLOOKUP($C370,'ТР нефть'!$A$29:$GC$641,79,0)</f>
        <v>26</v>
      </c>
      <c r="Y370" s="397">
        <f>VLOOKUP($C370,'ТР нефть'!$A$29:$GC$641,80,0)</f>
        <v>72</v>
      </c>
      <c r="Z370" s="397">
        <f>VLOOKUP($C370,'ТР нефть'!$A$29:$GC$641,81,0)</f>
        <v>24</v>
      </c>
      <c r="AA370" s="397" t="str">
        <f>VLOOKUP($C370,'ТР нефть'!$A$29:$GC$641,76,0)</f>
        <v>Постоянный</v>
      </c>
      <c r="AB370" s="397">
        <f>VLOOKUP($C370,'ТР нефть'!$A$29:$GC$641,77,0)</f>
        <v>24</v>
      </c>
      <c r="AC370" s="397">
        <f>VLOOKUP($C370,'ТР нефть'!$A$29:$GC$641,78,0)</f>
        <v>0</v>
      </c>
      <c r="AD370" s="398">
        <f>VLOOKUP($C370,'ТР нефть'!$A$29:$GC$641,93,0)</f>
        <v>15.048</v>
      </c>
      <c r="AE370" s="399">
        <f>VLOOKUP($C370,'ТР нефть'!$A$29:$GC$641,94,0)</f>
        <v>18</v>
      </c>
      <c r="AF370" s="400">
        <f>VLOOKUP($C370,'ТР нефть'!$A$29:$GC$641,95,0)</f>
        <v>0</v>
      </c>
      <c r="AG370" s="397">
        <f>VLOOKUP($C370,'ТР нефть'!$A$29:$GC$641,99,0)</f>
        <v>4.2</v>
      </c>
      <c r="AH370" s="397">
        <f>VLOOKUP($C370,'ТР нефть'!$A$29:$GC$641,100,0)</f>
        <v>279.10685805422645</v>
      </c>
      <c r="AI370" s="397">
        <f>VLOOKUP($C370,'ТР нефть'!$A$29:$GC$641,92,0)</f>
        <v>64</v>
      </c>
      <c r="AJ370" s="403">
        <f>VLOOKUP($C370,'ТР нефть'!$A$29:$GC$641,102,0)</f>
        <v>0.36734693877551022</v>
      </c>
      <c r="AK370" s="404">
        <f t="shared" si="33"/>
        <v>0</v>
      </c>
      <c r="AL370" s="397">
        <f t="shared" si="33"/>
        <v>0</v>
      </c>
      <c r="AM370" s="397">
        <f t="shared" si="33"/>
        <v>2</v>
      </c>
      <c r="AN370" s="397">
        <f t="shared" si="33"/>
        <v>-1</v>
      </c>
      <c r="AO370" s="397">
        <f t="shared" si="34"/>
        <v>0</v>
      </c>
      <c r="AP370" s="397">
        <f t="shared" si="34"/>
        <v>0</v>
      </c>
      <c r="AQ370" s="398">
        <f t="shared" si="34"/>
        <v>1.086800000000002</v>
      </c>
      <c r="AR370" s="399">
        <f t="shared" si="34"/>
        <v>1.3000000000000007</v>
      </c>
      <c r="AS370" s="400">
        <f t="shared" si="34"/>
        <v>0</v>
      </c>
      <c r="AT370" s="397">
        <f t="shared" si="34"/>
        <v>-3.2</v>
      </c>
      <c r="AU370" s="397">
        <f t="shared" si="34"/>
        <v>92.876448060816074</v>
      </c>
      <c r="AV370" s="397">
        <f t="shared" si="34"/>
        <v>0</v>
      </c>
      <c r="AW370" s="406">
        <f t="shared" si="34"/>
        <v>2.6530612244898E-2</v>
      </c>
      <c r="AX370" s="392" t="str">
        <f>VLOOKUP($C370,'ТР нефть'!$A$29:$GC$641,182,0)</f>
        <v>Технология</v>
      </c>
      <c r="AY370" s="406" t="str">
        <f>VLOOKUP($C370,'ТР нефть'!$A$29:$GC$641,183,0)</f>
        <v>Увеличение дебита на фоне снижения Рлин</v>
      </c>
      <c r="AZ370" s="407">
        <f t="shared" si="35"/>
        <v>15.048</v>
      </c>
      <c r="BA370" s="408">
        <f t="shared" si="35"/>
        <v>18</v>
      </c>
      <c r="BB370" s="397">
        <f t="shared" si="35"/>
        <v>0</v>
      </c>
      <c r="BC370" s="698"/>
      <c r="BD370" s="699"/>
    </row>
    <row r="371" spans="1:56" ht="40.5" customHeight="1" outlineLevel="2" x14ac:dyDescent="0.25">
      <c r="A371" s="373"/>
      <c r="B371" s="392">
        <f t="shared" si="29"/>
        <v>53</v>
      </c>
      <c r="C371" s="490" t="s">
        <v>1665</v>
      </c>
      <c r="D371" s="394" t="str">
        <f>VLOOKUP($C371,'ТР нефть'!$A$29:$GC$641,5,0)</f>
        <v>ВУ ОНГКМ</v>
      </c>
      <c r="E371" s="394" t="str">
        <f>VLOOKUP($C371,'ТР нефть'!$A$29:$GC$641,8,0)</f>
        <v>ТЛ-4</v>
      </c>
      <c r="F371" s="462" t="str">
        <f>VLOOKUP($C371,'ТР нефть'!$A$29:$GC$641,11,0)</f>
        <v>К-14</v>
      </c>
      <c r="G371" s="392" t="str">
        <f>VLOOKUP($C371,'ТР нефть'!$A$29:$GC$641,47,0)</f>
        <v>Газлифт</v>
      </c>
      <c r="H371" s="396">
        <f>VLOOKUP($C371,'ТР нефть'!$A$29:$GC$641,135,0)</f>
        <v>18</v>
      </c>
      <c r="I371" s="397">
        <f>VLOOKUP($C371,'ТР нефть'!$A$29:$GC$641,136,0)</f>
        <v>27</v>
      </c>
      <c r="J371" s="397">
        <f>VLOOKUP($C371,'ТР нефть'!$A$29:$GC$641,137,0)</f>
        <v>48</v>
      </c>
      <c r="K371" s="397">
        <f>VLOOKUP($C371,'ТР нефть'!$A$29:$GC$641,138,0)</f>
        <v>26</v>
      </c>
      <c r="L371" s="397" t="str">
        <f>VLOOKUP($C371,'ТР нефть'!$A$29:$GC$641,139,0)</f>
        <v>Периодический</v>
      </c>
      <c r="M371" s="397">
        <f>VLOOKUP($C371,'ТР нефть'!$A$29:$GC$641,140,0)</f>
        <v>24</v>
      </c>
      <c r="N371" s="397">
        <f>VLOOKUP($C371,'ТР нефть'!$A$29:$GC$641,141,0)</f>
        <v>24</v>
      </c>
      <c r="O371" s="398">
        <f>VLOOKUP($C371,'ТР нефть'!$A$29:$GC$641,142,0)</f>
        <v>2.5072476000000004</v>
      </c>
      <c r="P371" s="399">
        <f>VLOOKUP($C371,'ТР нефть'!$A$29:$GC$641,143,0)</f>
        <v>3</v>
      </c>
      <c r="Q371" s="400">
        <f>VLOOKUP($C371,'ТР нефть'!$A$29:$GC$641,144,0)</f>
        <v>0.03</v>
      </c>
      <c r="R371" s="397">
        <f>VLOOKUP($C371,'ТР нефть'!$A$29:$GC$641,145,0)</f>
        <v>5</v>
      </c>
      <c r="S371" s="397">
        <f>VLOOKUP($C371,'ТР нефть'!$A$29:$GC$641,146,0)</f>
        <v>598.26560408313878</v>
      </c>
      <c r="T371" s="397">
        <f>VLOOKUP($C371,'ТР нефть'!$A$29:$GC$641,149,0)</f>
        <v>49</v>
      </c>
      <c r="U371" s="403">
        <f>VLOOKUP($C371,'ТР нефть'!$A$29:$GC$641,150,0)</f>
        <v>4.3478260869565216E-2</v>
      </c>
      <c r="V371" s="402" t="str">
        <f>VLOOKUP($C371,'ТР нефть'!$A$29:$GC$641,47,0)</f>
        <v>Газлифт</v>
      </c>
      <c r="W371" s="396">
        <f>VLOOKUP($C371,'ТР нефть'!$A$29:$GC$641,74,0)</f>
        <v>18</v>
      </c>
      <c r="X371" s="397">
        <f>VLOOKUP($C371,'ТР нефть'!$A$29:$GC$641,79,0)</f>
        <v>25</v>
      </c>
      <c r="Y371" s="397">
        <f>VLOOKUP($C371,'ТР нефть'!$A$29:$GC$641,80,0)</f>
        <v>48</v>
      </c>
      <c r="Z371" s="397">
        <f>VLOOKUP($C371,'ТР нефть'!$A$29:$GC$641,81,0)</f>
        <v>24</v>
      </c>
      <c r="AA371" s="397" t="str">
        <f>VLOOKUP($C371,'ТР нефть'!$A$29:$GC$641,76,0)</f>
        <v>Периодический</v>
      </c>
      <c r="AB371" s="397">
        <f>VLOOKUP($C371,'ТР нефть'!$A$29:$GC$641,77,0)</f>
        <v>24</v>
      </c>
      <c r="AC371" s="397">
        <f>VLOOKUP($C371,'ТР нефть'!$A$29:$GC$641,78,0)</f>
        <v>24</v>
      </c>
      <c r="AD371" s="398">
        <f>VLOOKUP($C371,'ТР нефть'!$A$29:$GC$641,93,0)</f>
        <v>4.1787459999999994</v>
      </c>
      <c r="AE371" s="399">
        <f>VLOOKUP($C371,'ТР нефть'!$A$29:$GC$641,94,0)</f>
        <v>5</v>
      </c>
      <c r="AF371" s="400">
        <f>VLOOKUP($C371,'ТР нефть'!$A$29:$GC$641,95,0)</f>
        <v>0.03</v>
      </c>
      <c r="AG371" s="397">
        <f>VLOOKUP($C371,'ТР нефть'!$A$29:$GC$641,99,0)</f>
        <v>4</v>
      </c>
      <c r="AH371" s="397">
        <f>VLOOKUP($C371,'ТР нефть'!$A$29:$GC$641,100,0)</f>
        <v>957.22496653302221</v>
      </c>
      <c r="AI371" s="397">
        <f>VLOOKUP($C371,'ТР нефть'!$A$29:$GC$641,92,0)</f>
        <v>47</v>
      </c>
      <c r="AJ371" s="403">
        <f>VLOOKUP($C371,'ТР нефть'!$A$29:$GC$641,102,0)</f>
        <v>7.0422535211267609E-2</v>
      </c>
      <c r="AK371" s="404">
        <f t="shared" si="33"/>
        <v>0</v>
      </c>
      <c r="AL371" s="397">
        <f t="shared" si="33"/>
        <v>-2</v>
      </c>
      <c r="AM371" s="397">
        <f t="shared" si="33"/>
        <v>0</v>
      </c>
      <c r="AN371" s="397">
        <f t="shared" si="33"/>
        <v>-2</v>
      </c>
      <c r="AO371" s="397">
        <f t="shared" si="34"/>
        <v>0</v>
      </c>
      <c r="AP371" s="397">
        <f t="shared" si="34"/>
        <v>0</v>
      </c>
      <c r="AQ371" s="398">
        <f t="shared" si="34"/>
        <v>1.6714983999999991</v>
      </c>
      <c r="AR371" s="399">
        <f t="shared" si="34"/>
        <v>2</v>
      </c>
      <c r="AS371" s="400">
        <f t="shared" si="34"/>
        <v>0</v>
      </c>
      <c r="AT371" s="397">
        <f t="shared" si="34"/>
        <v>-1</v>
      </c>
      <c r="AU371" s="397">
        <f t="shared" si="34"/>
        <v>358.95936244988343</v>
      </c>
      <c r="AV371" s="397">
        <f t="shared" si="34"/>
        <v>-2</v>
      </c>
      <c r="AW371" s="406">
        <f t="shared" si="34"/>
        <v>2.6944274341702393E-2</v>
      </c>
      <c r="AX371" s="392" t="str">
        <f>VLOOKUP($C371,'ТР нефть'!$A$29:$GC$641,182,0)</f>
        <v>Технология</v>
      </c>
      <c r="AY371" s="406" t="str">
        <f>VLOOKUP($C371,'ТР нефть'!$A$29:$GC$641,183,0)</f>
        <v>Увеличение дебита на фоне снижения Рлин</v>
      </c>
      <c r="AZ371" s="407">
        <f t="shared" si="35"/>
        <v>4.1787459999999994</v>
      </c>
      <c r="BA371" s="408">
        <f t="shared" si="35"/>
        <v>5</v>
      </c>
      <c r="BB371" s="397">
        <f t="shared" si="35"/>
        <v>0.03</v>
      </c>
      <c r="BC371" s="698"/>
      <c r="BD371" s="699"/>
    </row>
    <row r="372" spans="1:56" ht="40.5" customHeight="1" outlineLevel="2" x14ac:dyDescent="0.25">
      <c r="A372" s="373"/>
      <c r="B372" s="392">
        <f t="shared" si="29"/>
        <v>54</v>
      </c>
      <c r="C372" s="393">
        <v>1542</v>
      </c>
      <c r="D372" s="394" t="str">
        <f>VLOOKUP($C372,'ТР нефть'!$A$29:$GC$641,5,0)</f>
        <v>ВУ ОНГКМ</v>
      </c>
      <c r="E372" s="394" t="str">
        <f>VLOOKUP($C372,'ТР нефть'!$A$29:$GC$641,8,0)</f>
        <v>ТЛ-4</v>
      </c>
      <c r="F372" s="462" t="str">
        <f>VLOOKUP($C372,'ТР нефть'!$A$29:$GC$641,11,0)</f>
        <v>К-66</v>
      </c>
      <c r="G372" s="392" t="str">
        <f>VLOOKUP($C372,'ТР нефть'!$A$29:$GC$641,47,0)</f>
        <v>Газлифт</v>
      </c>
      <c r="H372" s="396">
        <f>VLOOKUP($C372,'ТР нефть'!$A$29:$GC$641,135,0)</f>
        <v>65</v>
      </c>
      <c r="I372" s="397">
        <f>VLOOKUP($C372,'ТР нефть'!$A$29:$GC$641,136,0)</f>
        <v>30</v>
      </c>
      <c r="J372" s="397">
        <f>VLOOKUP($C372,'ТР нефть'!$A$29:$GC$641,137,0)</f>
        <v>46</v>
      </c>
      <c r="K372" s="397">
        <f>VLOOKUP($C372,'ТР нефть'!$A$29:$GC$641,138,0)</f>
        <v>30</v>
      </c>
      <c r="L372" s="397" t="str">
        <f>VLOOKUP($C372,'ТР нефть'!$A$29:$GC$641,139,0)</f>
        <v>Постоянный</v>
      </c>
      <c r="M372" s="397">
        <f>VLOOKUP($C372,'ТР нефть'!$A$29:$GC$641,140,0)</f>
        <v>24</v>
      </c>
      <c r="N372" s="397">
        <f>VLOOKUP($C372,'ТР нефть'!$A$29:$GC$641,141,0)</f>
        <v>0</v>
      </c>
      <c r="O372" s="398">
        <f>VLOOKUP($C372,'ТР нефть'!$A$29:$GC$641,142,0)</f>
        <v>4.5782286000000001</v>
      </c>
      <c r="P372" s="399">
        <f>VLOOKUP($C372,'ТР нефть'!$A$29:$GC$641,143,0)</f>
        <v>5.5</v>
      </c>
      <c r="Q372" s="400">
        <f>VLOOKUP($C372,'ТР нефть'!$A$29:$GC$641,144,0)</f>
        <v>0.43</v>
      </c>
      <c r="R372" s="397">
        <f>VLOOKUP($C372,'ТР нефть'!$A$29:$GC$641,145,0)</f>
        <v>13</v>
      </c>
      <c r="S372" s="397">
        <f>VLOOKUP($C372,'ТР нефть'!$A$29:$GC$641,146,0)</f>
        <v>323.26913514104569</v>
      </c>
      <c r="T372" s="397">
        <f>VLOOKUP($C372,'ТР нефть'!$A$29:$GC$641,149,0)</f>
        <v>54</v>
      </c>
      <c r="U372" s="403">
        <f>VLOOKUP($C372,'ТР нефть'!$A$29:$GC$641,150,0)</f>
        <v>8.0882352941176475E-2</v>
      </c>
      <c r="V372" s="402" t="str">
        <f>VLOOKUP($C372,'ТР нефть'!$A$29:$GC$641,47,0)</f>
        <v>Газлифт</v>
      </c>
      <c r="W372" s="396">
        <f>VLOOKUP($C372,'ТР нефть'!$A$29:$GC$641,74,0)</f>
        <v>65</v>
      </c>
      <c r="X372" s="397">
        <f>VLOOKUP($C372,'ТР нефть'!$A$29:$GC$641,79,0)</f>
        <v>28</v>
      </c>
      <c r="Y372" s="397">
        <f>VLOOKUP($C372,'ТР нефть'!$A$29:$GC$641,80,0)</f>
        <v>46</v>
      </c>
      <c r="Z372" s="397">
        <f>VLOOKUP($C372,'ТР нефть'!$A$29:$GC$641,81,0)</f>
        <v>27</v>
      </c>
      <c r="AA372" s="397" t="str">
        <f>VLOOKUP($C372,'ТР нефть'!$A$29:$GC$641,76,0)</f>
        <v>Постоянный</v>
      </c>
      <c r="AB372" s="397">
        <f>VLOOKUP($C372,'ТР нефть'!$A$29:$GC$641,77,0)</f>
        <v>24</v>
      </c>
      <c r="AC372" s="397">
        <f>VLOOKUP($C372,'ТР нефть'!$A$29:$GC$641,78,0)</f>
        <v>0</v>
      </c>
      <c r="AD372" s="398">
        <f>VLOOKUP($C372,'ТР нефть'!$A$29:$GC$641,93,0)</f>
        <v>6.8257226399999995</v>
      </c>
      <c r="AE372" s="399">
        <f>VLOOKUP($C372,'ТР нефть'!$A$29:$GC$641,94,0)</f>
        <v>8.1999999999999993</v>
      </c>
      <c r="AF372" s="400">
        <f>VLOOKUP($C372,'ТР нефть'!$A$29:$GC$641,95,0)</f>
        <v>0.43</v>
      </c>
      <c r="AG372" s="397">
        <f>VLOOKUP($C372,'ТР нефть'!$A$29:$GC$641,99,0)</f>
        <v>3.5</v>
      </c>
      <c r="AH372" s="397">
        <f>VLOOKUP($C372,'ТР нефть'!$A$29:$GC$641,100,0)</f>
        <v>512.76622045691568</v>
      </c>
      <c r="AI372" s="397">
        <f>VLOOKUP($C372,'ТР нефть'!$A$29:$GC$641,92,0)</f>
        <v>54</v>
      </c>
      <c r="AJ372" s="403">
        <f>VLOOKUP($C372,'ТР нефть'!$A$29:$GC$641,102,0)</f>
        <v>0.12058823529411763</v>
      </c>
      <c r="AK372" s="404">
        <f t="shared" si="33"/>
        <v>0</v>
      </c>
      <c r="AL372" s="397">
        <f t="shared" si="33"/>
        <v>-2</v>
      </c>
      <c r="AM372" s="397">
        <f t="shared" si="33"/>
        <v>0</v>
      </c>
      <c r="AN372" s="397">
        <f t="shared" si="33"/>
        <v>-3</v>
      </c>
      <c r="AO372" s="397">
        <f t="shared" si="34"/>
        <v>0</v>
      </c>
      <c r="AP372" s="397">
        <f t="shared" si="34"/>
        <v>0</v>
      </c>
      <c r="AQ372" s="398">
        <f t="shared" si="34"/>
        <v>2.2474940399999994</v>
      </c>
      <c r="AR372" s="399">
        <f t="shared" si="34"/>
        <v>2.6999999999999993</v>
      </c>
      <c r="AS372" s="400">
        <f t="shared" si="34"/>
        <v>0</v>
      </c>
      <c r="AT372" s="397">
        <f t="shared" si="34"/>
        <v>-9.5</v>
      </c>
      <c r="AU372" s="397">
        <f t="shared" si="34"/>
        <v>189.49708531586998</v>
      </c>
      <c r="AV372" s="397">
        <f t="shared" si="34"/>
        <v>0</v>
      </c>
      <c r="AW372" s="406">
        <f t="shared" si="34"/>
        <v>3.970588235294116E-2</v>
      </c>
      <c r="AX372" s="392" t="str">
        <f>VLOOKUP($C372,'ТР нефть'!$A$29:$GC$641,182,0)</f>
        <v>Технология</v>
      </c>
      <c r="AY372" s="406" t="str">
        <f>VLOOKUP($C372,'ТР нефть'!$A$29:$GC$641,183,0)</f>
        <v>Увеличение дебита на фоне снижения Рлин</v>
      </c>
      <c r="AZ372" s="407">
        <f t="shared" si="35"/>
        <v>6.8257226399999995</v>
      </c>
      <c r="BA372" s="408">
        <f t="shared" si="35"/>
        <v>8.1999999999999993</v>
      </c>
      <c r="BB372" s="397">
        <f t="shared" si="35"/>
        <v>0.43</v>
      </c>
      <c r="BC372" s="698"/>
      <c r="BD372" s="699"/>
    </row>
    <row r="373" spans="1:56" ht="40.5" customHeight="1" outlineLevel="2" x14ac:dyDescent="0.25">
      <c r="A373" s="373"/>
      <c r="B373" s="392">
        <f t="shared" si="29"/>
        <v>55</v>
      </c>
      <c r="C373" s="393">
        <v>1543</v>
      </c>
      <c r="D373" s="394" t="str">
        <f>VLOOKUP($C373,'ТР нефть'!$A$29:$GC$641,5,0)</f>
        <v>ВУ ОНГКМ</v>
      </c>
      <c r="E373" s="394" t="str">
        <f>VLOOKUP($C373,'ТР нефть'!$A$29:$GC$641,8,0)</f>
        <v>ТЛ-4</v>
      </c>
      <c r="F373" s="462" t="str">
        <f>VLOOKUP($C373,'ТР нефть'!$A$29:$GC$641,11,0)</f>
        <v>К-1324</v>
      </c>
      <c r="G373" s="392" t="str">
        <f>VLOOKUP($C373,'ТР нефть'!$A$29:$GC$641,47,0)</f>
        <v>Фон.</v>
      </c>
      <c r="H373" s="396">
        <f>VLOOKUP($C373,'ТР нефть'!$A$29:$GC$641,135,0)</f>
        <v>65</v>
      </c>
      <c r="I373" s="397">
        <f>VLOOKUP($C373,'ТР нефть'!$A$29:$GC$641,136,0)</f>
        <v>30</v>
      </c>
      <c r="J373" s="397">
        <f>VLOOKUP($C373,'ТР нефть'!$A$29:$GC$641,137,0)</f>
        <v>66</v>
      </c>
      <c r="K373" s="397">
        <f>VLOOKUP($C373,'ТР нефть'!$A$29:$GC$641,138,0)</f>
        <v>29</v>
      </c>
      <c r="L373" s="397" t="str">
        <f>VLOOKUP($C373,'ТР нефть'!$A$29:$GC$641,139,0)</f>
        <v>Постоянный</v>
      </c>
      <c r="M373" s="397">
        <f>VLOOKUP($C373,'ТР нефть'!$A$29:$GC$641,140,0)</f>
        <v>24</v>
      </c>
      <c r="N373" s="397">
        <f>VLOOKUP($C373,'ТР нефть'!$A$29:$GC$641,141,0)</f>
        <v>0</v>
      </c>
      <c r="O373" s="398">
        <f>VLOOKUP($C373,'ТР нефть'!$A$29:$GC$641,142,0)</f>
        <v>12.54</v>
      </c>
      <c r="P373" s="399">
        <f>VLOOKUP($C373,'ТР нефть'!$A$29:$GC$641,143,0)</f>
        <v>15</v>
      </c>
      <c r="Q373" s="400">
        <f>VLOOKUP($C373,'ТР нефть'!$A$29:$GC$641,144,0)</f>
        <v>0</v>
      </c>
      <c r="R373" s="397">
        <f>VLOOKUP($C373,'ТР нефть'!$A$29:$GC$641,145,0)</f>
        <v>43</v>
      </c>
      <c r="S373" s="397">
        <f>VLOOKUP($C373,'ТР нефть'!$A$29:$GC$641,146,0)</f>
        <v>3429.0271132376397</v>
      </c>
      <c r="T373" s="397">
        <f>VLOOKUP($C373,'ТР нефть'!$A$29:$GC$641,149,0)</f>
        <v>52</v>
      </c>
      <c r="U373" s="403">
        <f>VLOOKUP($C373,'ТР нефть'!$A$29:$GC$641,150,0)</f>
        <v>0.17857142857142858</v>
      </c>
      <c r="V373" s="402" t="str">
        <f>VLOOKUP($C373,'ТР нефть'!$A$29:$GC$641,47,0)</f>
        <v>Фон.</v>
      </c>
      <c r="W373" s="396">
        <f>VLOOKUP($C373,'ТР нефть'!$A$29:$GC$641,74,0)</f>
        <v>65</v>
      </c>
      <c r="X373" s="397">
        <f>VLOOKUP($C373,'ТР нефть'!$A$29:$GC$641,79,0)</f>
        <v>28</v>
      </c>
      <c r="Y373" s="397">
        <f>VLOOKUP($C373,'ТР нефть'!$A$29:$GC$641,80,0)</f>
        <v>69</v>
      </c>
      <c r="Z373" s="397">
        <f>VLOOKUP($C373,'ТР нефть'!$A$29:$GC$641,81,0)</f>
        <v>26</v>
      </c>
      <c r="AA373" s="397" t="str">
        <f>VLOOKUP($C373,'ТР нефть'!$A$29:$GC$641,76,0)</f>
        <v>Постоянный</v>
      </c>
      <c r="AB373" s="397">
        <f>VLOOKUP($C373,'ТР нефть'!$A$29:$GC$641,77,0)</f>
        <v>24</v>
      </c>
      <c r="AC373" s="397">
        <f>VLOOKUP($C373,'ТР нефть'!$A$29:$GC$641,78,0)</f>
        <v>0</v>
      </c>
      <c r="AD373" s="398">
        <f>VLOOKUP($C373,'ТР нефть'!$A$29:$GC$641,93,0)</f>
        <v>17.137999999999998</v>
      </c>
      <c r="AE373" s="399">
        <f>VLOOKUP($C373,'ТР нефть'!$A$29:$GC$641,94,0)</f>
        <v>20.5</v>
      </c>
      <c r="AF373" s="400">
        <f>VLOOKUP($C373,'ТР нефть'!$A$29:$GC$641,95,0)</f>
        <v>0</v>
      </c>
      <c r="AG373" s="397">
        <f>VLOOKUP($C373,'ТР нефть'!$A$29:$GC$641,99,0)</f>
        <v>38</v>
      </c>
      <c r="AH373" s="397">
        <f>VLOOKUP($C373,'ТР нефть'!$A$29:$GC$641,100,0)</f>
        <v>2217.2949002217297</v>
      </c>
      <c r="AI373" s="397">
        <f>VLOOKUP($C373,'ТР нефть'!$A$29:$GC$641,92,0)</f>
        <v>55</v>
      </c>
      <c r="AJ373" s="403">
        <f>VLOOKUP($C373,'ТР нефть'!$A$29:$GC$641,102,0)</f>
        <v>0.25308641975308643</v>
      </c>
      <c r="AK373" s="404">
        <f t="shared" si="33"/>
        <v>0</v>
      </c>
      <c r="AL373" s="397">
        <f t="shared" si="33"/>
        <v>-2</v>
      </c>
      <c r="AM373" s="397">
        <f t="shared" si="33"/>
        <v>3</v>
      </c>
      <c r="AN373" s="397">
        <f t="shared" si="33"/>
        <v>-3</v>
      </c>
      <c r="AO373" s="397">
        <f t="shared" si="34"/>
        <v>0</v>
      </c>
      <c r="AP373" s="397">
        <f t="shared" si="34"/>
        <v>0</v>
      </c>
      <c r="AQ373" s="398">
        <f t="shared" si="34"/>
        <v>4.597999999999999</v>
      </c>
      <c r="AR373" s="399">
        <f t="shared" si="34"/>
        <v>5.5</v>
      </c>
      <c r="AS373" s="400">
        <f t="shared" si="34"/>
        <v>0</v>
      </c>
      <c r="AT373" s="397">
        <f t="shared" si="34"/>
        <v>-5</v>
      </c>
      <c r="AU373" s="397">
        <f t="shared" si="34"/>
        <v>-1211.73221301591</v>
      </c>
      <c r="AV373" s="397">
        <f t="shared" si="34"/>
        <v>3</v>
      </c>
      <c r="AW373" s="406">
        <f t="shared" si="34"/>
        <v>7.4514991181657858E-2</v>
      </c>
      <c r="AX373" s="392" t="str">
        <f>VLOOKUP($C373,'ТР нефть'!$A$29:$GC$641,182,0)</f>
        <v>Технология</v>
      </c>
      <c r="AY373" s="406" t="str">
        <f>VLOOKUP($C373,'ТР нефть'!$A$29:$GC$641,183,0)</f>
        <v>Увеличение дебита на фоне снижения Рлин</v>
      </c>
      <c r="AZ373" s="407">
        <f t="shared" si="35"/>
        <v>17.137999999999998</v>
      </c>
      <c r="BA373" s="408">
        <f t="shared" si="35"/>
        <v>20.5</v>
      </c>
      <c r="BB373" s="397">
        <f t="shared" si="35"/>
        <v>0</v>
      </c>
      <c r="BC373" s="698"/>
      <c r="BD373" s="699"/>
    </row>
    <row r="374" spans="1:56" ht="40.5" customHeight="1" outlineLevel="2" x14ac:dyDescent="0.25">
      <c r="A374" s="373"/>
      <c r="B374" s="392">
        <f t="shared" si="29"/>
        <v>56</v>
      </c>
      <c r="C374" s="393">
        <v>1544</v>
      </c>
      <c r="D374" s="394" t="str">
        <f>VLOOKUP($C374,'ТР нефть'!$A$29:$GC$641,5,0)</f>
        <v>ВУ ОНГКМ</v>
      </c>
      <c r="E374" s="394" t="str">
        <f>VLOOKUP($C374,'ТР нефть'!$A$29:$GC$641,8,0)</f>
        <v>ТЛ-4</v>
      </c>
      <c r="F374" s="462" t="str">
        <f>VLOOKUP($C374,'ТР нефть'!$A$29:$GC$641,11,0)</f>
        <v>К-82</v>
      </c>
      <c r="G374" s="392" t="str">
        <f>VLOOKUP($C374,'ТР нефть'!$A$29:$GC$641,47,0)</f>
        <v>Газлифт</v>
      </c>
      <c r="H374" s="396">
        <f>VLOOKUP($C374,'ТР нефть'!$A$29:$GC$641,135,0)</f>
        <v>65</v>
      </c>
      <c r="I374" s="397">
        <f>VLOOKUP($C374,'ТР нефть'!$A$29:$GC$641,136,0)</f>
        <v>8</v>
      </c>
      <c r="J374" s="397">
        <f>VLOOKUP($C374,'ТР нефть'!$A$29:$GC$641,137,0)</f>
        <v>63</v>
      </c>
      <c r="K374" s="397">
        <f>VLOOKUP($C374,'ТР нефть'!$A$29:$GC$641,138,0)</f>
        <v>7</v>
      </c>
      <c r="L374" s="397" t="str">
        <f>VLOOKUP($C374,'ТР нефть'!$A$29:$GC$641,139,0)</f>
        <v>Постоянный</v>
      </c>
      <c r="M374" s="397">
        <f>VLOOKUP($C374,'ТР нефть'!$A$29:$GC$641,140,0)</f>
        <v>24</v>
      </c>
      <c r="N374" s="397">
        <f>VLOOKUP($C374,'ТР нефть'!$A$29:$GC$641,141,0)</f>
        <v>0</v>
      </c>
      <c r="O374" s="398">
        <f>VLOOKUP($C374,'ТР нефть'!$A$29:$GC$641,142,0)</f>
        <v>3.3439999999999999</v>
      </c>
      <c r="P374" s="399">
        <f>VLOOKUP($C374,'ТР нефть'!$A$29:$GC$641,143,0)</f>
        <v>4</v>
      </c>
      <c r="Q374" s="400">
        <f>VLOOKUP($C374,'ТР нефть'!$A$29:$GC$641,144,0)</f>
        <v>0</v>
      </c>
      <c r="R374" s="397">
        <f>VLOOKUP($C374,'ТР нефть'!$A$29:$GC$641,145,0)</f>
        <v>11</v>
      </c>
      <c r="S374" s="397">
        <f>VLOOKUP($C374,'ТР нефть'!$A$29:$GC$641,146,0)</f>
        <v>418.66028708133985</v>
      </c>
      <c r="T374" s="397">
        <f>VLOOKUP($C374,'ТР нефть'!$A$29:$GC$641,149,0)</f>
        <v>87</v>
      </c>
      <c r="U374" s="403">
        <f>VLOOKUP($C374,'ТР нефть'!$A$29:$GC$641,150,0)</f>
        <v>8.8888888888888892E-2</v>
      </c>
      <c r="V374" s="402" t="str">
        <f>VLOOKUP($C374,'ТР нефть'!$A$29:$GC$641,47,0)</f>
        <v>Газлифт</v>
      </c>
      <c r="W374" s="396">
        <f>VLOOKUP($C374,'ТР нефть'!$A$29:$GC$641,74,0)</f>
        <v>65</v>
      </c>
      <c r="X374" s="397">
        <f>VLOOKUP($C374,'ТР нефть'!$A$29:$GC$641,79,0)</f>
        <v>11</v>
      </c>
      <c r="Y374" s="397">
        <f>VLOOKUP($C374,'ТР нефть'!$A$29:$GC$641,80,0)</f>
        <v>40</v>
      </c>
      <c r="Z374" s="397">
        <f>VLOOKUP($C374,'ТР нефть'!$A$29:$GC$641,81,0)</f>
        <v>10</v>
      </c>
      <c r="AA374" s="397" t="str">
        <f>VLOOKUP($C374,'ТР нефть'!$A$29:$GC$641,76,0)</f>
        <v>Постоянный</v>
      </c>
      <c r="AB374" s="397">
        <f>VLOOKUP($C374,'ТР нефть'!$A$29:$GC$641,77,0)</f>
        <v>24</v>
      </c>
      <c r="AC374" s="397">
        <f>VLOOKUP($C374,'ТР нефть'!$A$29:$GC$641,78,0)</f>
        <v>0</v>
      </c>
      <c r="AD374" s="398">
        <f>VLOOKUP($C374,'ТР нефть'!$A$29:$GC$641,93,0)</f>
        <v>5.9167899999999998</v>
      </c>
      <c r="AE374" s="399">
        <f>VLOOKUP($C374,'ТР нефть'!$A$29:$GC$641,94,0)</f>
        <v>9.5</v>
      </c>
      <c r="AF374" s="400">
        <f>VLOOKUP($C374,'ТР нефть'!$A$29:$GC$641,95,0)</f>
        <v>25.5</v>
      </c>
      <c r="AG374" s="397">
        <f>VLOOKUP($C374,'ТР нефть'!$A$29:$GC$641,99,0)</f>
        <v>4.4000000000000004</v>
      </c>
      <c r="AH374" s="397">
        <f>VLOOKUP($C374,'ТР нефть'!$A$29:$GC$641,100,0)</f>
        <v>743.64647046793959</v>
      </c>
      <c r="AI374" s="397">
        <f>VLOOKUP($C374,'ТР нефть'!$A$29:$GC$641,92,0)</f>
        <v>42</v>
      </c>
      <c r="AJ374" s="403">
        <f>VLOOKUP($C374,'ТР нефть'!$A$29:$GC$641,102,0)</f>
        <v>0.10555555555555556</v>
      </c>
      <c r="AK374" s="404">
        <f t="shared" si="33"/>
        <v>0</v>
      </c>
      <c r="AL374" s="397">
        <f t="shared" si="33"/>
        <v>3</v>
      </c>
      <c r="AM374" s="397">
        <f t="shared" si="33"/>
        <v>-23</v>
      </c>
      <c r="AN374" s="397">
        <f t="shared" si="33"/>
        <v>3</v>
      </c>
      <c r="AO374" s="397">
        <f t="shared" si="34"/>
        <v>0</v>
      </c>
      <c r="AP374" s="397">
        <f t="shared" si="34"/>
        <v>0</v>
      </c>
      <c r="AQ374" s="398">
        <f t="shared" si="34"/>
        <v>2.5727899999999999</v>
      </c>
      <c r="AR374" s="399">
        <f t="shared" si="34"/>
        <v>5.5</v>
      </c>
      <c r="AS374" s="400">
        <f t="shared" si="34"/>
        <v>25.5</v>
      </c>
      <c r="AT374" s="397">
        <f t="shared" si="34"/>
        <v>-6.6</v>
      </c>
      <c r="AU374" s="397">
        <f t="shared" si="34"/>
        <v>324.98618338659975</v>
      </c>
      <c r="AV374" s="397">
        <f t="shared" si="34"/>
        <v>-45</v>
      </c>
      <c r="AW374" s="406">
        <f t="shared" si="34"/>
        <v>1.6666666666666663E-2</v>
      </c>
      <c r="AX374" s="392" t="str">
        <f>VLOOKUP($C374,'ТР нефть'!$A$29:$GC$641,182,0)</f>
        <v>Технология</v>
      </c>
      <c r="AY374" s="406" t="str">
        <f>VLOOKUP($C374,'ТР нефть'!$A$29:$GC$641,183,0)</f>
        <v>Увеличение дебита на фоне снижения Рлин</v>
      </c>
      <c r="AZ374" s="407">
        <f t="shared" si="35"/>
        <v>5.9167899999999998</v>
      </c>
      <c r="BA374" s="408">
        <f t="shared" si="35"/>
        <v>9.5</v>
      </c>
      <c r="BB374" s="397">
        <f t="shared" si="35"/>
        <v>25.5</v>
      </c>
      <c r="BC374" s="698"/>
      <c r="BD374" s="699"/>
    </row>
    <row r="375" spans="1:56" ht="40.5" customHeight="1" outlineLevel="2" x14ac:dyDescent="0.25">
      <c r="A375" s="373"/>
      <c r="B375" s="392">
        <f t="shared" si="29"/>
        <v>57</v>
      </c>
      <c r="C375" s="393">
        <v>1554</v>
      </c>
      <c r="D375" s="394" t="str">
        <f>VLOOKUP($C375,'ТР нефть'!$A$29:$GC$641,5,0)</f>
        <v>ВУ ОНГКМ</v>
      </c>
      <c r="E375" s="394" t="str">
        <f>VLOOKUP($C375,'ТР нефть'!$A$29:$GC$641,8,0)</f>
        <v>ТЛ-4</v>
      </c>
      <c r="F375" s="462" t="str">
        <f>VLOOKUP($C375,'ТР нефть'!$A$29:$GC$641,11,0)</f>
        <v>К-65</v>
      </c>
      <c r="G375" s="392" t="str">
        <f>VLOOKUP($C375,'ТР нефть'!$A$29:$GC$641,47,0)</f>
        <v>Газлифт</v>
      </c>
      <c r="H375" s="396">
        <f>VLOOKUP($C375,'ТР нефть'!$A$29:$GC$641,135,0)</f>
        <v>65</v>
      </c>
      <c r="I375" s="397">
        <f>VLOOKUP($C375,'ТР нефть'!$A$29:$GC$641,136,0)</f>
        <v>27</v>
      </c>
      <c r="J375" s="397">
        <f>VLOOKUP($C375,'ТР нефть'!$A$29:$GC$641,137,0)</f>
        <v>47</v>
      </c>
      <c r="K375" s="397">
        <f>VLOOKUP($C375,'ТР нефть'!$A$29:$GC$641,138,0)</f>
        <v>27</v>
      </c>
      <c r="L375" s="397" t="str">
        <f>VLOOKUP($C375,'ТР нефть'!$A$29:$GC$641,139,0)</f>
        <v>Постоянный</v>
      </c>
      <c r="M375" s="397">
        <f>VLOOKUP($C375,'ТР нефть'!$A$29:$GC$641,140,0)</f>
        <v>24</v>
      </c>
      <c r="N375" s="397">
        <f>VLOOKUP($C375,'ТР нефть'!$A$29:$GC$641,141,0)</f>
        <v>0</v>
      </c>
      <c r="O375" s="398">
        <f>VLOOKUP($C375,'ТР нефть'!$A$29:$GC$641,142,0)</f>
        <v>8.1091999999999995</v>
      </c>
      <c r="P375" s="399">
        <f>VLOOKUP($C375,'ТР нефть'!$A$29:$GC$641,143,0)</f>
        <v>9.6999999999999993</v>
      </c>
      <c r="Q375" s="400">
        <f>VLOOKUP($C375,'ТР нефть'!$A$29:$GC$641,144,0)</f>
        <v>0</v>
      </c>
      <c r="R375" s="397">
        <f>VLOOKUP($C375,'ТР нефть'!$A$29:$GC$641,145,0)</f>
        <v>12</v>
      </c>
      <c r="S375" s="397">
        <f>VLOOKUP($C375,'ТР нефть'!$A$29:$GC$641,146,0)</f>
        <v>863.2170867656489</v>
      </c>
      <c r="T375" s="397">
        <f>VLOOKUP($C375,'ТР нефть'!$A$29:$GC$641,149,0)</f>
        <v>55</v>
      </c>
      <c r="U375" s="403">
        <f>VLOOKUP($C375,'ТР нефть'!$A$29:$GC$641,150,0)</f>
        <v>0.24871794871794869</v>
      </c>
      <c r="V375" s="402" t="str">
        <f>VLOOKUP($C375,'ТР нефть'!$A$29:$GC$641,47,0)</f>
        <v>Газлифт</v>
      </c>
      <c r="W375" s="396">
        <f>VLOOKUP($C375,'ТР нефть'!$A$29:$GC$641,74,0)</f>
        <v>65</v>
      </c>
      <c r="X375" s="397">
        <f>VLOOKUP($C375,'ТР нефть'!$A$29:$GC$641,79,0)</f>
        <v>26</v>
      </c>
      <c r="Y375" s="397">
        <f>VLOOKUP($C375,'ТР нефть'!$A$29:$GC$641,80,0)</f>
        <v>44</v>
      </c>
      <c r="Z375" s="397">
        <f>VLOOKUP($C375,'ТР нефть'!$A$29:$GC$641,81,0)</f>
        <v>25</v>
      </c>
      <c r="AA375" s="397" t="str">
        <f>VLOOKUP($C375,'ТР нефть'!$A$29:$GC$641,76,0)</f>
        <v>Постоянный</v>
      </c>
      <c r="AB375" s="397">
        <f>VLOOKUP($C375,'ТР нефть'!$A$29:$GC$641,77,0)</f>
        <v>24</v>
      </c>
      <c r="AC375" s="397">
        <f>VLOOKUP($C375,'ТР нефть'!$A$29:$GC$641,78,0)</f>
        <v>0</v>
      </c>
      <c r="AD375" s="398">
        <f>VLOOKUP($C375,'ТР нефть'!$A$29:$GC$641,93,0)</f>
        <v>9.1959999999999997</v>
      </c>
      <c r="AE375" s="399">
        <f>VLOOKUP($C375,'ТР нефть'!$A$29:$GC$641,94,0)</f>
        <v>11</v>
      </c>
      <c r="AF375" s="400">
        <f>VLOOKUP($C375,'ТР нефть'!$A$29:$GC$641,95,0)</f>
        <v>0</v>
      </c>
      <c r="AG375" s="397">
        <f>VLOOKUP($C375,'ТР нефть'!$A$29:$GC$641,99,0)</f>
        <v>2.4000000000000004</v>
      </c>
      <c r="AH375" s="397">
        <f>VLOOKUP($C375,'ТР нефть'!$A$29:$GC$641,100,0)</f>
        <v>260.98303610265339</v>
      </c>
      <c r="AI375" s="397">
        <f>VLOOKUP($C375,'ТР нефть'!$A$29:$GC$641,92,0)</f>
        <v>52</v>
      </c>
      <c r="AJ375" s="403">
        <f>VLOOKUP($C375,'ТР нефть'!$A$29:$GC$641,102,0)</f>
        <v>0.26190476190476192</v>
      </c>
      <c r="AK375" s="404">
        <f t="shared" si="33"/>
        <v>0</v>
      </c>
      <c r="AL375" s="397">
        <f t="shared" si="33"/>
        <v>-1</v>
      </c>
      <c r="AM375" s="397">
        <f t="shared" si="33"/>
        <v>-3</v>
      </c>
      <c r="AN375" s="397">
        <f t="shared" si="33"/>
        <v>-2</v>
      </c>
      <c r="AO375" s="397">
        <f t="shared" si="34"/>
        <v>0</v>
      </c>
      <c r="AP375" s="397">
        <f t="shared" si="34"/>
        <v>0</v>
      </c>
      <c r="AQ375" s="398">
        <f t="shared" si="34"/>
        <v>1.0868000000000002</v>
      </c>
      <c r="AR375" s="399">
        <f t="shared" si="34"/>
        <v>1.3000000000000007</v>
      </c>
      <c r="AS375" s="400">
        <f t="shared" si="34"/>
        <v>0</v>
      </c>
      <c r="AT375" s="397">
        <f t="shared" si="34"/>
        <v>-9.6</v>
      </c>
      <c r="AU375" s="397">
        <f t="shared" si="34"/>
        <v>-602.23405066299551</v>
      </c>
      <c r="AV375" s="397">
        <f t="shared" si="34"/>
        <v>-3</v>
      </c>
      <c r="AW375" s="406">
        <f t="shared" si="34"/>
        <v>1.3186813186813223E-2</v>
      </c>
      <c r="AX375" s="392" t="str">
        <f>VLOOKUP($C375,'ТР нефть'!$A$29:$GC$641,182,0)</f>
        <v>Технология</v>
      </c>
      <c r="AY375" s="406" t="str">
        <f>VLOOKUP($C375,'ТР нефть'!$A$29:$GC$641,183,0)</f>
        <v>Увеличение дебита на фоне снижения Рлин</v>
      </c>
      <c r="AZ375" s="407">
        <f t="shared" si="35"/>
        <v>9.1959999999999997</v>
      </c>
      <c r="BA375" s="408">
        <f t="shared" si="35"/>
        <v>11</v>
      </c>
      <c r="BB375" s="397">
        <f t="shared" si="35"/>
        <v>0</v>
      </c>
      <c r="BC375" s="698"/>
      <c r="BD375" s="699"/>
    </row>
    <row r="376" spans="1:56" ht="40.5" customHeight="1" outlineLevel="2" x14ac:dyDescent="0.25">
      <c r="A376" s="373"/>
      <c r="B376" s="392">
        <f t="shared" si="29"/>
        <v>58</v>
      </c>
      <c r="C376" s="393">
        <v>1572</v>
      </c>
      <c r="D376" s="394" t="str">
        <f>VLOOKUP($C376,'ТР нефть'!$A$29:$GC$641,5,0)</f>
        <v>ВУ ОНГКМ</v>
      </c>
      <c r="E376" s="394" t="str">
        <f>VLOOKUP($C376,'ТР нефть'!$A$29:$GC$641,8,0)</f>
        <v>ТЛ-2</v>
      </c>
      <c r="F376" s="462" t="str">
        <f>VLOOKUP($C376,'ТР нефть'!$A$29:$GC$641,11,0)</f>
        <v>К-1565</v>
      </c>
      <c r="G376" s="392" t="str">
        <f>VLOOKUP($C376,'ТР нефть'!$A$29:$GC$641,47,0)</f>
        <v>Газлифт</v>
      </c>
      <c r="H376" s="396">
        <f>VLOOKUP($C376,'ТР нефть'!$A$29:$GC$641,135,0)</f>
        <v>18</v>
      </c>
      <c r="I376" s="397">
        <f>VLOOKUP($C376,'ТР нефть'!$A$29:$GC$641,136,0)</f>
        <v>26</v>
      </c>
      <c r="J376" s="397">
        <f>VLOOKUP($C376,'ТР нефть'!$A$29:$GC$641,137,0)</f>
        <v>35</v>
      </c>
      <c r="K376" s="397">
        <f>VLOOKUP($C376,'ТР нефть'!$A$29:$GC$641,138,0)</f>
        <v>25</v>
      </c>
      <c r="L376" s="397" t="str">
        <f>VLOOKUP($C376,'ТР нефть'!$A$29:$GC$641,139,0)</f>
        <v>Постоянный</v>
      </c>
      <c r="M376" s="397">
        <f>VLOOKUP($C376,'ТР нефть'!$A$29:$GC$641,140,0)</f>
        <v>24</v>
      </c>
      <c r="N376" s="397">
        <f>VLOOKUP($C376,'ТР нефть'!$A$29:$GC$641,141,0)</f>
        <v>0</v>
      </c>
      <c r="O376" s="398">
        <f>VLOOKUP($C376,'ТР нефть'!$A$29:$GC$641,142,0)</f>
        <v>13.543199999999999</v>
      </c>
      <c r="P376" s="399">
        <f>VLOOKUP($C376,'ТР нефть'!$A$29:$GC$641,143,0)</f>
        <v>16.2</v>
      </c>
      <c r="Q376" s="400">
        <f>VLOOKUP($C376,'ТР нефть'!$A$29:$GC$641,144,0)</f>
        <v>0</v>
      </c>
      <c r="R376" s="397">
        <f>VLOOKUP($C376,'ТР нефть'!$A$29:$GC$641,145,0)</f>
        <v>26</v>
      </c>
      <c r="S376" s="397">
        <f>VLOOKUP($C376,'ТР нефть'!$A$29:$GC$641,146,0)</f>
        <v>1498.9072006615868</v>
      </c>
      <c r="T376" s="397">
        <f>VLOOKUP($C376,'ТР нефть'!$A$29:$GC$641,149,0)</f>
        <v>42</v>
      </c>
      <c r="U376" s="403">
        <f>VLOOKUP($C376,'ТР нефть'!$A$29:$GC$641,150,0)</f>
        <v>0.25312499999999999</v>
      </c>
      <c r="V376" s="402" t="str">
        <f>VLOOKUP($C376,'ТР нефть'!$A$29:$GC$641,47,0)</f>
        <v>Газлифт</v>
      </c>
      <c r="W376" s="396">
        <f>VLOOKUP($C376,'ТР нефть'!$A$29:$GC$641,74,0)</f>
        <v>18</v>
      </c>
      <c r="X376" s="397">
        <f>VLOOKUP($C376,'ТР нефть'!$A$29:$GC$641,79,0)</f>
        <v>24</v>
      </c>
      <c r="Y376" s="397">
        <f>VLOOKUP($C376,'ТР нефть'!$A$29:$GC$641,80,0)</f>
        <v>33</v>
      </c>
      <c r="Z376" s="397">
        <f>VLOOKUP($C376,'ТР нефть'!$A$29:$GC$641,81,0)</f>
        <v>23</v>
      </c>
      <c r="AA376" s="397" t="str">
        <f>VLOOKUP($C376,'ТР нефть'!$A$29:$GC$641,76,0)</f>
        <v>Постоянный</v>
      </c>
      <c r="AB376" s="397">
        <f>VLOOKUP($C376,'ТР нефть'!$A$29:$GC$641,77,0)</f>
        <v>24</v>
      </c>
      <c r="AC376" s="397">
        <f>VLOOKUP($C376,'ТР нефть'!$A$29:$GC$641,78,0)</f>
        <v>0</v>
      </c>
      <c r="AD376" s="398">
        <f>VLOOKUP($C376,'ТР нефть'!$A$29:$GC$641,93,0)</f>
        <v>15.048</v>
      </c>
      <c r="AE376" s="399">
        <f>VLOOKUP($C376,'ТР нефть'!$A$29:$GC$641,94,0)</f>
        <v>18</v>
      </c>
      <c r="AF376" s="400">
        <f>VLOOKUP($C376,'ТР нефть'!$A$29:$GC$641,95,0)</f>
        <v>0</v>
      </c>
      <c r="AG376" s="397">
        <f>VLOOKUP($C376,'ТР нефть'!$A$29:$GC$641,99,0)</f>
        <v>20.5</v>
      </c>
      <c r="AH376" s="397">
        <f>VLOOKUP($C376,'ТР нефть'!$A$29:$GC$641,100,0)</f>
        <v>1362.3072833599149</v>
      </c>
      <c r="AI376" s="397">
        <f>VLOOKUP($C376,'ТР нефть'!$A$29:$GC$641,92,0)</f>
        <v>36</v>
      </c>
      <c r="AJ376" s="403">
        <f>VLOOKUP($C376,'ТР нефть'!$A$29:$GC$641,102,0)</f>
        <v>0.25714285714285712</v>
      </c>
      <c r="AK376" s="404">
        <f t="shared" si="33"/>
        <v>0</v>
      </c>
      <c r="AL376" s="397">
        <f t="shared" si="33"/>
        <v>-2</v>
      </c>
      <c r="AM376" s="397">
        <f t="shared" si="33"/>
        <v>-2</v>
      </c>
      <c r="AN376" s="397">
        <f t="shared" si="33"/>
        <v>-2</v>
      </c>
      <c r="AO376" s="397">
        <f t="shared" si="34"/>
        <v>0</v>
      </c>
      <c r="AP376" s="397">
        <f t="shared" si="34"/>
        <v>0</v>
      </c>
      <c r="AQ376" s="398">
        <f t="shared" si="34"/>
        <v>1.5048000000000012</v>
      </c>
      <c r="AR376" s="399">
        <f t="shared" si="34"/>
        <v>1.8000000000000007</v>
      </c>
      <c r="AS376" s="400">
        <f t="shared" si="34"/>
        <v>0</v>
      </c>
      <c r="AT376" s="397">
        <f t="shared" si="34"/>
        <v>-5.5</v>
      </c>
      <c r="AU376" s="397">
        <f t="shared" si="34"/>
        <v>-136.59991730167189</v>
      </c>
      <c r="AV376" s="397">
        <f t="shared" si="34"/>
        <v>-6</v>
      </c>
      <c r="AW376" s="406">
        <f t="shared" si="34"/>
        <v>4.0178571428571286E-3</v>
      </c>
      <c r="AX376" s="392" t="str">
        <f>VLOOKUP($C376,'ТР нефть'!$A$29:$GC$641,182,0)</f>
        <v>Технология</v>
      </c>
      <c r="AY376" s="406" t="str">
        <f>VLOOKUP($C376,'ТР нефть'!$A$29:$GC$641,183,0)</f>
        <v>Увеличение дебита на фоне снижения Рлин</v>
      </c>
      <c r="AZ376" s="407">
        <f t="shared" si="35"/>
        <v>15.048</v>
      </c>
      <c r="BA376" s="408">
        <f t="shared" si="35"/>
        <v>18</v>
      </c>
      <c r="BB376" s="397">
        <f t="shared" si="35"/>
        <v>0</v>
      </c>
      <c r="BC376" s="698"/>
      <c r="BD376" s="699"/>
    </row>
    <row r="377" spans="1:56" ht="40.5" customHeight="1" outlineLevel="2" x14ac:dyDescent="0.25">
      <c r="A377" s="373"/>
      <c r="B377" s="392">
        <f t="shared" si="29"/>
        <v>59</v>
      </c>
      <c r="C377" s="393">
        <v>1583</v>
      </c>
      <c r="D377" s="394" t="str">
        <f>VLOOKUP($C377,'ТР нефть'!$A$29:$GC$641,5,0)</f>
        <v>ВУ ОНГКМ</v>
      </c>
      <c r="E377" s="394" t="str">
        <f>VLOOKUP($C377,'ТР нефть'!$A$29:$GC$641,8,0)</f>
        <v>ТЛ-2</v>
      </c>
      <c r="F377" s="462" t="str">
        <f>VLOOKUP($C377,'ТР нефть'!$A$29:$GC$641,11,0)</f>
        <v>К-1249</v>
      </c>
      <c r="G377" s="392" t="str">
        <f>VLOOKUP($C377,'ТР нефть'!$A$29:$GC$641,47,0)</f>
        <v>Газлифт</v>
      </c>
      <c r="H377" s="396">
        <f>VLOOKUP($C377,'ТР нефть'!$A$29:$GC$641,135,0)</f>
        <v>18</v>
      </c>
      <c r="I377" s="397">
        <f>VLOOKUP($C377,'ТР нефть'!$A$29:$GC$641,136,0)</f>
        <v>21</v>
      </c>
      <c r="J377" s="397">
        <f>VLOOKUP($C377,'ТР нефть'!$A$29:$GC$641,137,0)</f>
        <v>70</v>
      </c>
      <c r="K377" s="397">
        <f>VLOOKUP($C377,'ТР нефть'!$A$29:$GC$641,138,0)</f>
        <v>21</v>
      </c>
      <c r="L377" s="397" t="str">
        <f>VLOOKUP($C377,'ТР нефть'!$A$29:$GC$641,139,0)</f>
        <v>Периодический</v>
      </c>
      <c r="M377" s="397">
        <f>VLOOKUP($C377,'ТР нефть'!$A$29:$GC$641,140,0)</f>
        <v>24</v>
      </c>
      <c r="N377" s="397">
        <f>VLOOKUP($C377,'ТР нефть'!$A$29:$GC$641,141,0)</f>
        <v>24</v>
      </c>
      <c r="O377" s="398">
        <f>VLOOKUP($C377,'ТР нефть'!$A$29:$GC$641,142,0)</f>
        <v>1.6719999999999999</v>
      </c>
      <c r="P377" s="399">
        <f>VLOOKUP($C377,'ТР нефть'!$A$29:$GC$641,143,0)</f>
        <v>2</v>
      </c>
      <c r="Q377" s="400">
        <f>VLOOKUP($C377,'ТР нефть'!$A$29:$GC$641,144,0)</f>
        <v>0</v>
      </c>
      <c r="R377" s="397">
        <f>VLOOKUP($C377,'ТР нефть'!$A$29:$GC$641,145,0)</f>
        <v>2.5</v>
      </c>
      <c r="S377" s="397">
        <f>VLOOKUP($C377,'ТР нефть'!$A$29:$GC$641,146,0)</f>
        <v>1315.7894736842106</v>
      </c>
      <c r="T377" s="397">
        <f>VLOOKUP($C377,'ТР нефть'!$A$29:$GC$641,149,0)</f>
        <v>84</v>
      </c>
      <c r="U377" s="403">
        <f>VLOOKUP($C377,'ТР нефть'!$A$29:$GC$641,150,0)</f>
        <v>0.33333333333333331</v>
      </c>
      <c r="V377" s="402" t="str">
        <f>VLOOKUP($C377,'ТР нефть'!$A$29:$GC$641,47,0)</f>
        <v>Газлифт</v>
      </c>
      <c r="W377" s="396">
        <f>VLOOKUP($C377,'ТР нефть'!$A$29:$GC$641,74,0)</f>
        <v>18</v>
      </c>
      <c r="X377" s="397">
        <f>VLOOKUP($C377,'ТР нефть'!$A$29:$GC$641,79,0)</f>
        <v>24</v>
      </c>
      <c r="Y377" s="397">
        <f>VLOOKUP($C377,'ТР нефть'!$A$29:$GC$641,80,0)</f>
        <v>37</v>
      </c>
      <c r="Z377" s="397">
        <f>VLOOKUP($C377,'ТР нефть'!$A$29:$GC$641,81,0)</f>
        <v>23</v>
      </c>
      <c r="AA377" s="397" t="str">
        <f>VLOOKUP($C377,'ТР нефть'!$A$29:$GC$641,76,0)</f>
        <v>Постоянный</v>
      </c>
      <c r="AB377" s="397">
        <f>VLOOKUP($C377,'ТР нефть'!$A$29:$GC$641,77,0)</f>
        <v>24</v>
      </c>
      <c r="AC377" s="397">
        <f>VLOOKUP($C377,'ТР нефть'!$A$29:$GC$641,78,0)</f>
        <v>0</v>
      </c>
      <c r="AD377" s="398">
        <f>VLOOKUP($C377,'ТР нефть'!$A$29:$GC$641,93,0)</f>
        <v>10.45</v>
      </c>
      <c r="AE377" s="399">
        <f>VLOOKUP($C377,'ТР нефть'!$A$29:$GC$641,94,0)</f>
        <v>12.5</v>
      </c>
      <c r="AF377" s="400">
        <f>VLOOKUP($C377,'ТР нефть'!$A$29:$GC$641,95,0)</f>
        <v>0</v>
      </c>
      <c r="AG377" s="397">
        <f>VLOOKUP($C377,'ТР нефть'!$A$29:$GC$641,99,0)</f>
        <v>11.4</v>
      </c>
      <c r="AH377" s="397">
        <f>VLOOKUP($C377,'ТР нефть'!$A$29:$GC$641,100,0)</f>
        <v>1090.909090909091</v>
      </c>
      <c r="AI377" s="397">
        <f>VLOOKUP($C377,'ТР нефть'!$A$29:$GC$641,92,0)</f>
        <v>47</v>
      </c>
      <c r="AJ377" s="403">
        <f>VLOOKUP($C377,'ТР нефть'!$A$29:$GC$641,102,0)</f>
        <v>0.29069767441860467</v>
      </c>
      <c r="AK377" s="404">
        <f t="shared" si="33"/>
        <v>0</v>
      </c>
      <c r="AL377" s="397">
        <f t="shared" si="33"/>
        <v>3</v>
      </c>
      <c r="AM377" s="397">
        <f t="shared" si="33"/>
        <v>-33</v>
      </c>
      <c r="AN377" s="397">
        <f t="shared" si="33"/>
        <v>2</v>
      </c>
      <c r="AO377" s="397">
        <f t="shared" si="34"/>
        <v>0</v>
      </c>
      <c r="AP377" s="397">
        <f t="shared" si="34"/>
        <v>-24</v>
      </c>
      <c r="AQ377" s="398">
        <f t="shared" si="34"/>
        <v>8.7779999999999987</v>
      </c>
      <c r="AR377" s="399">
        <f t="shared" si="34"/>
        <v>10.5</v>
      </c>
      <c r="AS377" s="400">
        <f t="shared" si="34"/>
        <v>0</v>
      </c>
      <c r="AT377" s="397">
        <f t="shared" si="34"/>
        <v>8.9</v>
      </c>
      <c r="AU377" s="397">
        <f t="shared" si="34"/>
        <v>-224.88038277511964</v>
      </c>
      <c r="AV377" s="397">
        <f t="shared" si="34"/>
        <v>-37</v>
      </c>
      <c r="AW377" s="406">
        <f t="shared" si="34"/>
        <v>-4.2635658914728647E-2</v>
      </c>
      <c r="AX377" s="392" t="str">
        <f>VLOOKUP($C377,'ТР нефть'!$A$29:$GC$641,182,0)</f>
        <v>Технология</v>
      </c>
      <c r="AY377" s="406" t="str">
        <f>VLOOKUP($C377,'ТР нефть'!$A$29:$GC$641,183,0)</f>
        <v>Увеличение дебита после ПРГС 05.06,увеличения расхода г/г</v>
      </c>
      <c r="AZ377" s="407">
        <f t="shared" si="35"/>
        <v>10.45</v>
      </c>
      <c r="BA377" s="408">
        <f t="shared" si="35"/>
        <v>12.5</v>
      </c>
      <c r="BB377" s="397">
        <f t="shared" si="35"/>
        <v>0</v>
      </c>
      <c r="BC377" s="698"/>
      <c r="BD377" s="699"/>
    </row>
    <row r="378" spans="1:56" ht="40.5" customHeight="1" outlineLevel="2" x14ac:dyDescent="0.25">
      <c r="A378" s="373"/>
      <c r="B378" s="392">
        <f t="shared" si="29"/>
        <v>60</v>
      </c>
      <c r="C378" s="393">
        <v>1584</v>
      </c>
      <c r="D378" s="394" t="str">
        <f>VLOOKUP($C378,'ТР нефть'!$A$29:$GC$641,5,0)</f>
        <v>ВУ ОНГКМ</v>
      </c>
      <c r="E378" s="394" t="str">
        <f>VLOOKUP($C378,'ТР нефть'!$A$29:$GC$641,8,0)</f>
        <v>ТЛ-2</v>
      </c>
      <c r="F378" s="462" t="str">
        <f>VLOOKUP($C378,'ТР нефть'!$A$29:$GC$641,11,0)</f>
        <v>К-1565</v>
      </c>
      <c r="G378" s="392" t="str">
        <f>VLOOKUP($C378,'ТР нефть'!$A$29:$GC$641,47,0)</f>
        <v>Газлифт</v>
      </c>
      <c r="H378" s="396">
        <f>VLOOKUP($C378,'ТР нефть'!$A$29:$GC$641,135,0)</f>
        <v>18</v>
      </c>
      <c r="I378" s="397">
        <f>VLOOKUP($C378,'ТР нефть'!$A$29:$GC$641,136,0)</f>
        <v>27</v>
      </c>
      <c r="J378" s="397">
        <f>VLOOKUP($C378,'ТР нефть'!$A$29:$GC$641,137,0)</f>
        <v>38</v>
      </c>
      <c r="K378" s="397">
        <f>VLOOKUP($C378,'ТР нефть'!$A$29:$GC$641,138,0)</f>
        <v>26</v>
      </c>
      <c r="L378" s="397" t="str">
        <f>VLOOKUP($C378,'ТР нефть'!$A$29:$GC$641,139,0)</f>
        <v>Постоянный</v>
      </c>
      <c r="M378" s="397">
        <f>VLOOKUP($C378,'ТР нефть'!$A$29:$GC$641,140,0)</f>
        <v>24</v>
      </c>
      <c r="N378" s="397">
        <f>VLOOKUP($C378,'ТР нефть'!$A$29:$GC$641,141,0)</f>
        <v>0</v>
      </c>
      <c r="O378" s="398">
        <f>VLOOKUP($C378,'ТР нефть'!$A$29:$GC$641,142,0)</f>
        <v>17.054399999999998</v>
      </c>
      <c r="P378" s="399">
        <f>VLOOKUP($C378,'ТР нефть'!$A$29:$GC$641,143,0)</f>
        <v>20.399999999999999</v>
      </c>
      <c r="Q378" s="400">
        <f>VLOOKUP($C378,'ТР нефть'!$A$29:$GC$641,144,0)</f>
        <v>0</v>
      </c>
      <c r="R378" s="397">
        <f>VLOOKUP($C378,'ТР нефть'!$A$29:$GC$641,145,0)</f>
        <v>27.4</v>
      </c>
      <c r="S378" s="397">
        <f>VLOOKUP($C378,'ТР нефть'!$A$29:$GC$641,146,0)</f>
        <v>1331.0348062670046</v>
      </c>
      <c r="T378" s="397">
        <f>VLOOKUP($C378,'ТР нефть'!$A$29:$GC$641,149,0)</f>
        <v>46</v>
      </c>
      <c r="U378" s="403">
        <f>VLOOKUP($C378,'ТР нефть'!$A$29:$GC$641,150,0)</f>
        <v>0.33442622950819667</v>
      </c>
      <c r="V378" s="402" t="str">
        <f>VLOOKUP($C378,'ТР нефть'!$A$29:$GC$641,47,0)</f>
        <v>Газлифт</v>
      </c>
      <c r="W378" s="396">
        <f>VLOOKUP($C378,'ТР нефть'!$A$29:$GC$641,74,0)</f>
        <v>18</v>
      </c>
      <c r="X378" s="397">
        <f>VLOOKUP($C378,'ТР нефть'!$A$29:$GC$641,79,0)</f>
        <v>25</v>
      </c>
      <c r="Y378" s="397">
        <f>VLOOKUP($C378,'ТР нефть'!$A$29:$GC$641,80,0)</f>
        <v>36</v>
      </c>
      <c r="Z378" s="397">
        <f>VLOOKUP($C378,'ТР нефть'!$A$29:$GC$641,81,0)</f>
        <v>23</v>
      </c>
      <c r="AA378" s="397" t="str">
        <f>VLOOKUP($C378,'ТР нефть'!$A$29:$GC$641,76,0)</f>
        <v>Постоянный</v>
      </c>
      <c r="AB378" s="397">
        <f>VLOOKUP($C378,'ТР нефть'!$A$29:$GC$641,77,0)</f>
        <v>24</v>
      </c>
      <c r="AC378" s="397">
        <f>VLOOKUP($C378,'ТР нефть'!$A$29:$GC$641,78,0)</f>
        <v>0</v>
      </c>
      <c r="AD378" s="398">
        <f>VLOOKUP($C378,'ТР нефть'!$A$29:$GC$641,93,0)</f>
        <v>19.227999999999998</v>
      </c>
      <c r="AE378" s="399">
        <f>VLOOKUP($C378,'ТР нефть'!$A$29:$GC$641,94,0)</f>
        <v>23</v>
      </c>
      <c r="AF378" s="400">
        <f>VLOOKUP($C378,'ТР нефть'!$A$29:$GC$641,95,0)</f>
        <v>0</v>
      </c>
      <c r="AG378" s="397">
        <f>VLOOKUP($C378,'ТР нефть'!$A$29:$GC$641,99,0)</f>
        <v>25</v>
      </c>
      <c r="AH378" s="397">
        <f>VLOOKUP($C378,'ТР нефть'!$A$29:$GC$641,100,0)</f>
        <v>1300.1872269606824</v>
      </c>
      <c r="AI378" s="397">
        <f>VLOOKUP($C378,'ТР нефть'!$A$29:$GC$641,92,0)</f>
        <v>42</v>
      </c>
      <c r="AJ378" s="403">
        <f>VLOOKUP($C378,'ТР нефть'!$A$29:$GC$641,102,0)</f>
        <v>0.35384615384615387</v>
      </c>
      <c r="AK378" s="404">
        <f t="shared" si="33"/>
        <v>0</v>
      </c>
      <c r="AL378" s="397">
        <f t="shared" si="33"/>
        <v>-2</v>
      </c>
      <c r="AM378" s="397">
        <f t="shared" si="33"/>
        <v>-2</v>
      </c>
      <c r="AN378" s="397">
        <f t="shared" si="33"/>
        <v>-3</v>
      </c>
      <c r="AO378" s="397">
        <f t="shared" si="34"/>
        <v>0</v>
      </c>
      <c r="AP378" s="397">
        <f t="shared" si="34"/>
        <v>0</v>
      </c>
      <c r="AQ378" s="398">
        <f t="shared" si="34"/>
        <v>2.1736000000000004</v>
      </c>
      <c r="AR378" s="399">
        <f t="shared" si="34"/>
        <v>2.6000000000000014</v>
      </c>
      <c r="AS378" s="400">
        <f t="shared" si="34"/>
        <v>0</v>
      </c>
      <c r="AT378" s="397">
        <f t="shared" si="34"/>
        <v>-2.3999999999999986</v>
      </c>
      <c r="AU378" s="397">
        <f t="shared" si="34"/>
        <v>-30.847579306322132</v>
      </c>
      <c r="AV378" s="397">
        <f t="shared" si="34"/>
        <v>-4</v>
      </c>
      <c r="AW378" s="406">
        <f t="shared" si="34"/>
        <v>1.9419924337957195E-2</v>
      </c>
      <c r="AX378" s="392" t="str">
        <f>VLOOKUP($C378,'ТР нефть'!$A$29:$GC$641,182,0)</f>
        <v>Технология</v>
      </c>
      <c r="AY378" s="406" t="str">
        <f>VLOOKUP($C378,'ТР нефть'!$A$29:$GC$641,183,0)</f>
        <v>Увеличение дебита на фоне снижения Рлин</v>
      </c>
      <c r="AZ378" s="407">
        <f t="shared" si="35"/>
        <v>19.227999999999998</v>
      </c>
      <c r="BA378" s="408">
        <f t="shared" si="35"/>
        <v>23</v>
      </c>
      <c r="BB378" s="397">
        <f t="shared" si="35"/>
        <v>0</v>
      </c>
      <c r="BC378" s="698"/>
      <c r="BD378" s="699"/>
    </row>
    <row r="379" spans="1:56" ht="40.5" customHeight="1" outlineLevel="2" x14ac:dyDescent="0.25">
      <c r="A379" s="373"/>
      <c r="B379" s="392">
        <f t="shared" si="29"/>
        <v>61</v>
      </c>
      <c r="C379" s="393">
        <v>1599</v>
      </c>
      <c r="D379" s="394" t="str">
        <f>VLOOKUP($C379,'ТР нефть'!$A$29:$GC$641,5,0)</f>
        <v>ВУ ОНГКМ</v>
      </c>
      <c r="E379" s="394" t="str">
        <f>VLOOKUP($C379,'ТР нефть'!$A$29:$GC$641,8,0)</f>
        <v>ТЛ-3</v>
      </c>
      <c r="F379" s="462" t="str">
        <f>VLOOKUP($C379,'ТР нефть'!$A$29:$GC$641,11,0)</f>
        <v>К-1599</v>
      </c>
      <c r="G379" s="392" t="str">
        <f>VLOOKUP($C379,'ТР нефть'!$A$29:$GC$641,47,0)</f>
        <v>Газлифт</v>
      </c>
      <c r="H379" s="396">
        <f>VLOOKUP($C379,'ТР нефть'!$A$29:$GC$641,135,0)</f>
        <v>18</v>
      </c>
      <c r="I379" s="397">
        <f>VLOOKUP($C379,'ТР нефть'!$A$29:$GC$641,136,0)</f>
        <v>29</v>
      </c>
      <c r="J379" s="397">
        <f>VLOOKUP($C379,'ТР нефть'!$A$29:$GC$641,137,0)</f>
        <v>68</v>
      </c>
      <c r="K379" s="397">
        <f>VLOOKUP($C379,'ТР нефть'!$A$29:$GC$641,138,0)</f>
        <v>28</v>
      </c>
      <c r="L379" s="397" t="str">
        <f>VLOOKUP($C379,'ТР нефть'!$A$29:$GC$641,139,0)</f>
        <v>Постоянный</v>
      </c>
      <c r="M379" s="397">
        <f>VLOOKUP($C379,'ТР нефть'!$A$29:$GC$641,140,0)</f>
        <v>24</v>
      </c>
      <c r="N379" s="397">
        <f>VLOOKUP($C379,'ТР нефть'!$A$29:$GC$641,141,0)</f>
        <v>0</v>
      </c>
      <c r="O379" s="398">
        <f>VLOOKUP($C379,'ТР нефть'!$A$29:$GC$641,142,0)</f>
        <v>0.76075999999999999</v>
      </c>
      <c r="P379" s="399">
        <f>VLOOKUP($C379,'ТР нефть'!$A$29:$GC$641,143,0)</f>
        <v>1</v>
      </c>
      <c r="Q379" s="400">
        <f>VLOOKUP($C379,'ТР нефть'!$A$29:$GC$641,144,0)</f>
        <v>9</v>
      </c>
      <c r="R379" s="397">
        <f>VLOOKUP($C379,'ТР нефть'!$A$29:$GC$641,145,0)</f>
        <v>10</v>
      </c>
      <c r="S379" s="397">
        <f>VLOOKUP($C379,'ТР нефть'!$A$29:$GC$641,146,0)</f>
        <v>525.7899994742105</v>
      </c>
      <c r="T379" s="397">
        <f>VLOOKUP($C379,'ТР нефть'!$A$29:$GC$641,149,0)</f>
        <v>123</v>
      </c>
      <c r="U379" s="403">
        <f>VLOOKUP($C379,'ТР нефть'!$A$29:$GC$641,150,0)</f>
        <v>0.16666666666666666</v>
      </c>
      <c r="V379" s="402" t="str">
        <f>VLOOKUP($C379,'ТР нефть'!$A$29:$GC$641,47,0)</f>
        <v>Газлифт</v>
      </c>
      <c r="W379" s="396">
        <f>VLOOKUP($C379,'ТР нефть'!$A$29:$GC$641,74,0)</f>
        <v>18</v>
      </c>
      <c r="X379" s="397">
        <f>VLOOKUP($C379,'ТР нефть'!$A$29:$GC$641,79,0)</f>
        <v>18</v>
      </c>
      <c r="Y379" s="397">
        <f>VLOOKUP($C379,'ТР нефть'!$A$29:$GC$641,80,0)</f>
        <v>48</v>
      </c>
      <c r="Z379" s="397">
        <f>VLOOKUP($C379,'ТР нефть'!$A$29:$GC$641,81,0)</f>
        <v>18</v>
      </c>
      <c r="AA379" s="397" t="str">
        <f>VLOOKUP($C379,'ТР нефть'!$A$29:$GC$641,76,0)</f>
        <v>Постоянный</v>
      </c>
      <c r="AB379" s="397">
        <f>VLOOKUP($C379,'ТР нефть'!$A$29:$GC$641,77,0)</f>
        <v>24</v>
      </c>
      <c r="AC379" s="397">
        <f>VLOOKUP($C379,'ТР нефть'!$A$29:$GC$641,78,0)</f>
        <v>0</v>
      </c>
      <c r="AD379" s="398">
        <f>VLOOKUP($C379,'ТР нефть'!$A$29:$GC$641,93,0)</f>
        <v>8.36</v>
      </c>
      <c r="AE379" s="399">
        <f>VLOOKUP($C379,'ТР нефть'!$A$29:$GC$641,94,0)</f>
        <v>10</v>
      </c>
      <c r="AF379" s="400">
        <f>VLOOKUP($C379,'ТР нефть'!$A$29:$GC$641,95,0)</f>
        <v>0</v>
      </c>
      <c r="AG379" s="397">
        <f>VLOOKUP($C379,'ТР нефть'!$A$29:$GC$641,99,0)</f>
        <v>3.4000000000000004</v>
      </c>
      <c r="AH379" s="397">
        <f>VLOOKUP($C379,'ТР нефть'!$A$29:$GC$641,100,0)</f>
        <v>406.69856459330151</v>
      </c>
      <c r="AI379" s="397">
        <f>VLOOKUP($C379,'ТР нефть'!$A$29:$GC$641,92,0)</f>
        <v>71</v>
      </c>
      <c r="AJ379" s="403">
        <f>VLOOKUP($C379,'ТР нефть'!$A$29:$GC$641,102,0)</f>
        <v>0.17241379310344829</v>
      </c>
      <c r="AK379" s="404">
        <f t="shared" si="33"/>
        <v>0</v>
      </c>
      <c r="AL379" s="397">
        <f t="shared" si="33"/>
        <v>-11</v>
      </c>
      <c r="AM379" s="397">
        <f t="shared" si="33"/>
        <v>-20</v>
      </c>
      <c r="AN379" s="397">
        <f t="shared" si="33"/>
        <v>-10</v>
      </c>
      <c r="AO379" s="397">
        <f t="shared" si="34"/>
        <v>0</v>
      </c>
      <c r="AP379" s="397">
        <f t="shared" si="34"/>
        <v>0</v>
      </c>
      <c r="AQ379" s="398">
        <f t="shared" si="34"/>
        <v>7.5992399999999991</v>
      </c>
      <c r="AR379" s="399">
        <f t="shared" si="34"/>
        <v>9</v>
      </c>
      <c r="AS379" s="400">
        <f t="shared" si="34"/>
        <v>-9</v>
      </c>
      <c r="AT379" s="397">
        <f t="shared" si="34"/>
        <v>-6.6</v>
      </c>
      <c r="AU379" s="397">
        <f t="shared" si="34"/>
        <v>-119.09143488090899</v>
      </c>
      <c r="AV379" s="397">
        <f t="shared" si="34"/>
        <v>-52</v>
      </c>
      <c r="AW379" s="406">
        <f t="shared" si="34"/>
        <v>5.7471264367816299E-3</v>
      </c>
      <c r="AX379" s="392" t="str">
        <f>VLOOKUP($C379,'ТР нефть'!$A$29:$GC$641,182,0)</f>
        <v>Технология</v>
      </c>
      <c r="AY379" s="406" t="str">
        <f>VLOOKUP($C379,'ТР нефть'!$A$29:$GC$641,183,0)</f>
        <v>Увеличение дебита обусловлено проведением ПРГС преоснащение</v>
      </c>
      <c r="AZ379" s="407">
        <f t="shared" si="35"/>
        <v>8.36</v>
      </c>
      <c r="BA379" s="408">
        <f t="shared" si="35"/>
        <v>10</v>
      </c>
      <c r="BB379" s="397">
        <f t="shared" si="35"/>
        <v>0</v>
      </c>
      <c r="BC379" s="698"/>
      <c r="BD379" s="699"/>
    </row>
    <row r="380" spans="1:56" ht="40.5" customHeight="1" outlineLevel="2" x14ac:dyDescent="0.25">
      <c r="A380" s="373"/>
      <c r="B380" s="392">
        <f t="shared" si="29"/>
        <v>62</v>
      </c>
      <c r="C380" s="393" t="s">
        <v>1825</v>
      </c>
      <c r="D380" s="394" t="str">
        <f>VLOOKUP($C380,'ТР нефть'!$A$29:$GC$641,5,0)</f>
        <v>ВУ ОНГКМ</v>
      </c>
      <c r="E380" s="394" t="str">
        <f>VLOOKUP($C380,'ТР нефть'!$A$29:$GC$641,8,0)</f>
        <v>ТЛ-4</v>
      </c>
      <c r="F380" s="462" t="str">
        <f>VLOOKUP($C380,'ТР нефть'!$A$29:$GC$641,11,0)</f>
        <v>К-1609</v>
      </c>
      <c r="G380" s="392" t="str">
        <f>VLOOKUP($C380,'ТР нефть'!$A$29:$GC$641,47,0)</f>
        <v>ЭЦН</v>
      </c>
      <c r="H380" s="396">
        <f>VLOOKUP($C380,'ТР нефть'!$A$29:$GC$641,135,0)</f>
        <v>18</v>
      </c>
      <c r="I380" s="397">
        <f>VLOOKUP($C380,'ТР нефть'!$A$29:$GC$641,136,0)</f>
        <v>42</v>
      </c>
      <c r="J380" s="397">
        <f>VLOOKUP($C380,'ТР нефть'!$A$29:$GC$641,137,0)</f>
        <v>42</v>
      </c>
      <c r="K380" s="397">
        <f>VLOOKUP($C380,'ТР нефть'!$A$29:$GC$641,138,0)</f>
        <v>41</v>
      </c>
      <c r="L380" s="397" t="str">
        <f>VLOOKUP($C380,'ТР нефть'!$A$29:$GC$641,139,0)</f>
        <v>Периодический</v>
      </c>
      <c r="M380" s="397">
        <f>VLOOKUP($C380,'ТР нефть'!$A$29:$GC$641,140,0)</f>
        <v>8</v>
      </c>
      <c r="N380" s="397">
        <f>VLOOKUP($C380,'ТР нефть'!$A$29:$GC$641,141,0)</f>
        <v>16</v>
      </c>
      <c r="O380" s="398">
        <f>VLOOKUP($C380,'ТР нефть'!$A$29:$GC$641,142,0)</f>
        <v>2.6409239999999996</v>
      </c>
      <c r="P380" s="399">
        <f>VLOOKUP($C380,'ТР нефть'!$A$29:$GC$641,143,0)</f>
        <v>8.1</v>
      </c>
      <c r="Q380" s="400">
        <f>VLOOKUP($C380,'ТР нефть'!$A$29:$GC$641,144,0)</f>
        <v>61</v>
      </c>
      <c r="R380" s="397">
        <f>VLOOKUP($C380,'ТР нефть'!$A$29:$GC$641,145,0)</f>
        <v>3.6</v>
      </c>
      <c r="S380" s="397">
        <f>VLOOKUP($C380,'ТР нефть'!$A$29:$GC$641,146,0)</f>
        <v>1363.1592578961001</v>
      </c>
      <c r="T380" s="397">
        <f>VLOOKUP($C380,'ТР нефть'!$A$29:$GC$641,149,0)</f>
        <v>79.351746847218635</v>
      </c>
      <c r="U380" s="403">
        <f>VLOOKUP($C380,'ТР нефть'!$A$29:$GC$641,150,0)</f>
        <v>0.13811153043039717</v>
      </c>
      <c r="V380" s="402" t="str">
        <f>VLOOKUP($C380,'ТР нефть'!$A$29:$GC$641,47,0)</f>
        <v>ЭЦН</v>
      </c>
      <c r="W380" s="396">
        <f>VLOOKUP($C380,'ТР нефть'!$A$29:$GC$641,74,0)</f>
        <v>18</v>
      </c>
      <c r="X380" s="397">
        <f>VLOOKUP($C380,'ТР нефть'!$A$29:$GC$641,79,0)</f>
        <v>40</v>
      </c>
      <c r="Y380" s="397">
        <f>VLOOKUP($C380,'ТР нефть'!$A$29:$GC$641,80,0)</f>
        <v>41</v>
      </c>
      <c r="Z380" s="397">
        <f>VLOOKUP($C380,'ТР нефть'!$A$29:$GC$641,81,0)</f>
        <v>40</v>
      </c>
      <c r="AA380" s="397" t="str">
        <f>VLOOKUP($C380,'ТР нефть'!$A$29:$GC$641,76,0)</f>
        <v>Периодический</v>
      </c>
      <c r="AB380" s="397">
        <f>VLOOKUP($C380,'ТР нефть'!$A$29:$GC$641,77,0)</f>
        <v>8</v>
      </c>
      <c r="AC380" s="397">
        <f>VLOOKUP($C380,'ТР нефть'!$A$29:$GC$641,78,0)</f>
        <v>16</v>
      </c>
      <c r="AD380" s="398">
        <f>VLOOKUP($C380,'ТР нефть'!$A$29:$GC$641,93,0)</f>
        <v>13.735480000000003</v>
      </c>
      <c r="AE380" s="399">
        <f>VLOOKUP($C380,'ТР нефть'!$A$29:$GC$641,94,0)</f>
        <v>53</v>
      </c>
      <c r="AF380" s="400">
        <f>VLOOKUP($C380,'ТР нефть'!$A$29:$GC$641,95,0)</f>
        <v>69</v>
      </c>
      <c r="AG380" s="397">
        <f>VLOOKUP($C380,'ТР нефть'!$A$29:$GC$641,99,0)</f>
        <v>36</v>
      </c>
      <c r="AH380" s="397">
        <f>VLOOKUP($C380,'ТР нефть'!$A$29:$GC$641,100,0)</f>
        <v>2620.9495408970051</v>
      </c>
      <c r="AI380" s="397">
        <f>VLOOKUP($C380,'ТР нефть'!$A$29:$GC$641,92,0)</f>
        <v>75.871267095081748</v>
      </c>
      <c r="AJ380" s="403">
        <f>VLOOKUP($C380,'ТР нефть'!$A$29:$GC$641,102,0)</f>
        <v>0.85306745400893891</v>
      </c>
      <c r="AK380" s="404">
        <f t="shared" si="33"/>
        <v>0</v>
      </c>
      <c r="AL380" s="397">
        <f t="shared" si="33"/>
        <v>-2</v>
      </c>
      <c r="AM380" s="397">
        <f t="shared" si="33"/>
        <v>-1</v>
      </c>
      <c r="AN380" s="397">
        <f t="shared" si="33"/>
        <v>-1</v>
      </c>
      <c r="AO380" s="397">
        <f t="shared" si="34"/>
        <v>0</v>
      </c>
      <c r="AP380" s="397">
        <f t="shared" si="34"/>
        <v>0</v>
      </c>
      <c r="AQ380" s="398">
        <f t="shared" si="34"/>
        <v>11.094556000000003</v>
      </c>
      <c r="AR380" s="399">
        <f t="shared" ref="AR380:AW408" si="36">AE380-P380</f>
        <v>44.9</v>
      </c>
      <c r="AS380" s="400">
        <f t="shared" si="36"/>
        <v>8</v>
      </c>
      <c r="AT380" s="397">
        <f t="shared" si="36"/>
        <v>32.4</v>
      </c>
      <c r="AU380" s="397">
        <f t="shared" si="36"/>
        <v>1257.790283000905</v>
      </c>
      <c r="AV380" s="397">
        <f t="shared" si="36"/>
        <v>-3.4804797521368869</v>
      </c>
      <c r="AW380" s="406">
        <f t="shared" si="36"/>
        <v>0.71495592357854176</v>
      </c>
      <c r="AX380" s="392" t="str">
        <f>VLOOKUP($C380,'ТР нефть'!$A$29:$GC$641,182,0)</f>
        <v>Технология</v>
      </c>
      <c r="AY380" s="406" t="str">
        <f>VLOOKUP($C380,'ТР нефть'!$A$29:$GC$641,183,0)</f>
        <v>Возврат предыдущих потерь (12 т/сут)</v>
      </c>
      <c r="AZ380" s="407">
        <f t="shared" si="35"/>
        <v>13.735480000000003</v>
      </c>
      <c r="BA380" s="408">
        <f t="shared" si="35"/>
        <v>53</v>
      </c>
      <c r="BB380" s="397">
        <f t="shared" si="35"/>
        <v>69</v>
      </c>
      <c r="BC380" s="698"/>
      <c r="BD380" s="699"/>
    </row>
    <row r="381" spans="1:56" ht="40.5" customHeight="1" outlineLevel="2" x14ac:dyDescent="0.25">
      <c r="A381" s="373"/>
      <c r="B381" s="392">
        <f t="shared" si="29"/>
        <v>63</v>
      </c>
      <c r="C381" s="393">
        <v>1618</v>
      </c>
      <c r="D381" s="394" t="str">
        <f>VLOOKUP($C381,'ТР нефть'!$A$29:$GC$641,5,0)</f>
        <v>ВУ ОНГКМ</v>
      </c>
      <c r="E381" s="394" t="str">
        <f>VLOOKUP($C381,'ТР нефть'!$A$29:$GC$641,8,0)</f>
        <v>ТЛ-4</v>
      </c>
      <c r="F381" s="462" t="str">
        <f>VLOOKUP($C381,'ТР нефть'!$A$29:$GC$641,11,0)</f>
        <v>К-68</v>
      </c>
      <c r="G381" s="392" t="str">
        <f>VLOOKUP($C381,'ТР нефть'!$A$29:$GC$641,47,0)</f>
        <v>Газлифт</v>
      </c>
      <c r="H381" s="396">
        <f>VLOOKUP($C381,'ТР нефть'!$A$29:$GC$641,135,0)</f>
        <v>65</v>
      </c>
      <c r="I381" s="397">
        <f>VLOOKUP($C381,'ТР нефть'!$A$29:$GC$641,136,0)</f>
        <v>26</v>
      </c>
      <c r="J381" s="397">
        <f>VLOOKUP($C381,'ТР нефть'!$A$29:$GC$641,137,0)</f>
        <v>40</v>
      </c>
      <c r="K381" s="397">
        <f>VLOOKUP($C381,'ТР нефть'!$A$29:$GC$641,138,0)</f>
        <v>25</v>
      </c>
      <c r="L381" s="397" t="str">
        <f>VLOOKUP($C381,'ТР нефть'!$A$29:$GC$641,139,0)</f>
        <v>Постоянный</v>
      </c>
      <c r="M381" s="397">
        <f>VLOOKUP($C381,'ТР нефть'!$A$29:$GC$641,140,0)</f>
        <v>24</v>
      </c>
      <c r="N381" s="397">
        <f>VLOOKUP($C381,'ТР нефть'!$A$29:$GC$641,141,0)</f>
        <v>0</v>
      </c>
      <c r="O381" s="398">
        <f>VLOOKUP($C381,'ТР нефть'!$A$29:$GC$641,142,0)</f>
        <v>4.5979999999999999</v>
      </c>
      <c r="P381" s="399">
        <f>VLOOKUP($C381,'ТР нефть'!$A$29:$GC$641,143,0)</f>
        <v>5.5</v>
      </c>
      <c r="Q381" s="400">
        <f>VLOOKUP($C381,'ТР нефть'!$A$29:$GC$641,144,0)</f>
        <v>0</v>
      </c>
      <c r="R381" s="397">
        <f>VLOOKUP($C381,'ТР нефть'!$A$29:$GC$641,145,0)</f>
        <v>22</v>
      </c>
      <c r="S381" s="397">
        <f>VLOOKUP($C381,'ТР нефть'!$A$29:$GC$641,146,0)</f>
        <v>2696.8247063940844</v>
      </c>
      <c r="T381" s="397">
        <f>VLOOKUP($C381,'ТР нефть'!$A$29:$GC$641,149,0)</f>
        <v>45</v>
      </c>
      <c r="U381" s="403">
        <f>VLOOKUP($C381,'ТР нефть'!$A$29:$GC$641,150,0)</f>
        <v>0.12222222222222222</v>
      </c>
      <c r="V381" s="402" t="str">
        <f>VLOOKUP($C381,'ТР нефть'!$A$29:$GC$641,47,0)</f>
        <v>Газлифт</v>
      </c>
      <c r="W381" s="396">
        <f>VLOOKUP($C381,'ТР нефть'!$A$29:$GC$641,74,0)</f>
        <v>65</v>
      </c>
      <c r="X381" s="397">
        <f>VLOOKUP($C381,'ТР нефть'!$A$29:$GC$641,79,0)</f>
        <v>24</v>
      </c>
      <c r="Y381" s="397">
        <f>VLOOKUP($C381,'ТР нефть'!$A$29:$GC$641,80,0)</f>
        <v>55</v>
      </c>
      <c r="Z381" s="397">
        <f>VLOOKUP($C381,'ТР нефть'!$A$29:$GC$641,81,0)</f>
        <v>23</v>
      </c>
      <c r="AA381" s="397" t="str">
        <f>VLOOKUP($C381,'ТР нефть'!$A$29:$GC$641,76,0)</f>
        <v>Постоянный</v>
      </c>
      <c r="AB381" s="397">
        <f>VLOOKUP($C381,'ТР нефть'!$A$29:$GC$641,77,0)</f>
        <v>24</v>
      </c>
      <c r="AC381" s="397">
        <f>VLOOKUP($C381,'ТР нефть'!$A$29:$GC$641,78,0)</f>
        <v>0</v>
      </c>
      <c r="AD381" s="398">
        <f>VLOOKUP($C381,'ТР нефть'!$A$29:$GC$641,93,0)</f>
        <v>6.1863999999999999</v>
      </c>
      <c r="AE381" s="399">
        <f>VLOOKUP($C381,'ТР нефть'!$A$29:$GC$641,94,0)</f>
        <v>7.4</v>
      </c>
      <c r="AF381" s="400">
        <f>VLOOKUP($C381,'ТР нефть'!$A$29:$GC$641,95,0)</f>
        <v>0</v>
      </c>
      <c r="AG381" s="397">
        <f>VLOOKUP($C381,'ТР нефть'!$A$29:$GC$641,99,0)</f>
        <v>16.600000000000001</v>
      </c>
      <c r="AH381" s="397">
        <f>VLOOKUP($C381,'ТР нефть'!$A$29:$GC$641,100,0)</f>
        <v>2683.3053148842623</v>
      </c>
      <c r="AI381" s="397">
        <f>VLOOKUP($C381,'ТР нефть'!$A$29:$GC$641,92,0)</f>
        <v>46</v>
      </c>
      <c r="AJ381" s="403">
        <f>VLOOKUP($C381,'ТР нефть'!$A$29:$GC$641,102,0)</f>
        <v>0.16818181818181818</v>
      </c>
      <c r="AK381" s="404">
        <f t="shared" si="33"/>
        <v>0</v>
      </c>
      <c r="AL381" s="397">
        <f t="shared" si="33"/>
        <v>-2</v>
      </c>
      <c r="AM381" s="397">
        <f t="shared" si="33"/>
        <v>15</v>
      </c>
      <c r="AN381" s="397">
        <f t="shared" si="33"/>
        <v>-2</v>
      </c>
      <c r="AO381" s="397">
        <f t="shared" ref="AO381:AQ409" si="37">AB381-M381</f>
        <v>0</v>
      </c>
      <c r="AP381" s="397">
        <f t="shared" si="37"/>
        <v>0</v>
      </c>
      <c r="AQ381" s="398">
        <f t="shared" si="37"/>
        <v>1.5884</v>
      </c>
      <c r="AR381" s="399">
        <f t="shared" si="36"/>
        <v>1.9000000000000004</v>
      </c>
      <c r="AS381" s="400">
        <f t="shared" si="36"/>
        <v>0</v>
      </c>
      <c r="AT381" s="397">
        <f t="shared" si="36"/>
        <v>-5.3999999999999986</v>
      </c>
      <c r="AU381" s="397">
        <f t="shared" si="36"/>
        <v>-13.519391509822071</v>
      </c>
      <c r="AV381" s="397">
        <f t="shared" si="36"/>
        <v>1</v>
      </c>
      <c r="AW381" s="406">
        <f t="shared" si="36"/>
        <v>4.5959595959595964E-2</v>
      </c>
      <c r="AX381" s="392" t="str">
        <f>VLOOKUP($C381,'ТР нефть'!$A$29:$GC$641,182,0)</f>
        <v>Технология</v>
      </c>
      <c r="AY381" s="406" t="str">
        <f>VLOOKUP($C381,'ТР нефть'!$A$29:$GC$641,183,0)</f>
        <v>Увеличение дебита на фоне снижения Рлин</v>
      </c>
      <c r="AZ381" s="407">
        <f t="shared" si="35"/>
        <v>6.1863999999999999</v>
      </c>
      <c r="BA381" s="408">
        <f t="shared" si="35"/>
        <v>7.4</v>
      </c>
      <c r="BB381" s="397">
        <f t="shared" si="35"/>
        <v>0</v>
      </c>
      <c r="BC381" s="698"/>
      <c r="BD381" s="699"/>
    </row>
    <row r="382" spans="1:56" ht="40.5" customHeight="1" outlineLevel="2" x14ac:dyDescent="0.25">
      <c r="A382" s="373"/>
      <c r="B382" s="392">
        <f t="shared" si="29"/>
        <v>64</v>
      </c>
      <c r="C382" s="393">
        <v>3228</v>
      </c>
      <c r="D382" s="394" t="str">
        <f>VLOOKUP($C382,'ТР нефть'!$A$29:$GC$641,5,0)</f>
        <v>ВУ ОНГКМ</v>
      </c>
      <c r="E382" s="394" t="str">
        <f>VLOOKUP($C382,'ТР нефть'!$A$29:$GC$641,8,0)</f>
        <v>ТЛ-3</v>
      </c>
      <c r="F382" s="462" t="str">
        <f>VLOOKUP($C382,'ТР нефть'!$A$29:$GC$641,11,0)</f>
        <v>К-54</v>
      </c>
      <c r="G382" s="392" t="str">
        <f>VLOOKUP($C382,'ТР нефть'!$A$29:$GC$641,47,0)</f>
        <v>Газлифт</v>
      </c>
      <c r="H382" s="396">
        <f>VLOOKUP($C382,'ТР нефть'!$A$29:$GC$641,135,0)</f>
        <v>12</v>
      </c>
      <c r="I382" s="397">
        <f>VLOOKUP($C382,'ТР нефть'!$A$29:$GC$641,136,0)</f>
        <v>32</v>
      </c>
      <c r="J382" s="397">
        <f>VLOOKUP($C382,'ТР нефть'!$A$29:$GC$641,137,0)</f>
        <v>64</v>
      </c>
      <c r="K382" s="397">
        <f>VLOOKUP($C382,'ТР нефть'!$A$29:$GC$641,138,0)</f>
        <v>31</v>
      </c>
      <c r="L382" s="397" t="str">
        <f>VLOOKUP($C382,'ТР нефть'!$A$29:$GC$641,139,0)</f>
        <v>Периодический</v>
      </c>
      <c r="M382" s="397">
        <f>VLOOKUP($C382,'ТР нефть'!$A$29:$GC$641,140,0)</f>
        <v>24</v>
      </c>
      <c r="N382" s="397">
        <f>VLOOKUP($C382,'ТР нефть'!$A$29:$GC$641,141,0)</f>
        <v>24</v>
      </c>
      <c r="O382" s="398">
        <f>VLOOKUP($C382,'ТР нефть'!$A$29:$GC$641,142,0)</f>
        <v>2.9917095999999996</v>
      </c>
      <c r="P382" s="399">
        <f>VLOOKUP($C382,'ТР нефть'!$A$29:$GC$641,143,0)</f>
        <v>5.8</v>
      </c>
      <c r="Q382" s="400">
        <f>VLOOKUP($C382,'ТР нефть'!$A$29:$GC$641,144,0)</f>
        <v>38.299999999999997</v>
      </c>
      <c r="R382" s="397">
        <f>VLOOKUP($C382,'ТР нефть'!$A$29:$GC$641,145,0)</f>
        <v>3</v>
      </c>
      <c r="S382" s="397">
        <f>VLOOKUP($C382,'ТР нефть'!$A$29:$GC$641,146,0)</f>
        <v>133.70281661027525</v>
      </c>
      <c r="T382" s="397">
        <f>VLOOKUP($C382,'ТР нефть'!$A$29:$GC$641,149,0)</f>
        <v>95</v>
      </c>
      <c r="U382" s="403">
        <f>VLOOKUP($C382,'ТР нефть'!$A$29:$GC$641,150,0)</f>
        <v>0.12340425531914893</v>
      </c>
      <c r="V382" s="402" t="str">
        <f>VLOOKUP($C382,'ТР нефть'!$A$29:$GC$641,47,0)</f>
        <v>Газлифт</v>
      </c>
      <c r="W382" s="396">
        <f>VLOOKUP($C382,'ТР нефть'!$A$29:$GC$641,74,0)</f>
        <v>12</v>
      </c>
      <c r="X382" s="397">
        <f>VLOOKUP($C382,'ТР нефть'!$A$29:$GC$641,79,0)</f>
        <v>25</v>
      </c>
      <c r="Y382" s="397">
        <f>VLOOKUP($C382,'ТР нефть'!$A$29:$GC$641,80,0)</f>
        <v>46</v>
      </c>
      <c r="Z382" s="397">
        <f>VLOOKUP($C382,'ТР нефть'!$A$29:$GC$641,81,0)</f>
        <v>24</v>
      </c>
      <c r="AA382" s="397" t="str">
        <f>VLOOKUP($C382,'ТР нефть'!$A$29:$GC$641,76,0)</f>
        <v>Постоянный</v>
      </c>
      <c r="AB382" s="397">
        <f>VLOOKUP($C382,'ТР нефть'!$A$29:$GC$641,77,0)</f>
        <v>24</v>
      </c>
      <c r="AC382" s="397">
        <f>VLOOKUP($C382,'ТР нефть'!$A$29:$GC$641,78,0)</f>
        <v>0</v>
      </c>
      <c r="AD382" s="398">
        <f>VLOOKUP($C382,'ТР нефть'!$A$29:$GC$641,93,0)</f>
        <v>5.4656007999999989</v>
      </c>
      <c r="AE382" s="399">
        <f>VLOOKUP($C382,'ТР нефть'!$A$29:$GC$641,94,0)</f>
        <v>9.6999999999999993</v>
      </c>
      <c r="AF382" s="400">
        <f>VLOOKUP($C382,'ТР нефть'!$A$29:$GC$641,95,0)</f>
        <v>32.6</v>
      </c>
      <c r="AG382" s="397">
        <f>VLOOKUP($C382,'ТР нефть'!$A$29:$GC$641,99,0)</f>
        <v>1.3000000000000007</v>
      </c>
      <c r="AH382" s="397">
        <f>VLOOKUP($C382,'ТР нефть'!$A$29:$GC$641,100,0)</f>
        <v>237.85125324191276</v>
      </c>
      <c r="AI382" s="397">
        <f>VLOOKUP($C382,'ТР нефть'!$A$29:$GC$641,92,0)</f>
        <v>70</v>
      </c>
      <c r="AJ382" s="403">
        <f>VLOOKUP($C382,'ТР нефть'!$A$29:$GC$641,102,0)</f>
        <v>0.13472222222222222</v>
      </c>
      <c r="AK382" s="404">
        <f t="shared" si="33"/>
        <v>0</v>
      </c>
      <c r="AL382" s="397">
        <f t="shared" si="33"/>
        <v>-7</v>
      </c>
      <c r="AM382" s="397">
        <f t="shared" si="33"/>
        <v>-18</v>
      </c>
      <c r="AN382" s="397">
        <f t="shared" si="33"/>
        <v>-7</v>
      </c>
      <c r="AO382" s="397">
        <f t="shared" si="37"/>
        <v>0</v>
      </c>
      <c r="AP382" s="397">
        <f t="shared" si="37"/>
        <v>-24</v>
      </c>
      <c r="AQ382" s="398">
        <f t="shared" si="37"/>
        <v>2.4738911999999993</v>
      </c>
      <c r="AR382" s="399">
        <f t="shared" si="36"/>
        <v>3.8999999999999995</v>
      </c>
      <c r="AS382" s="400">
        <f t="shared" si="36"/>
        <v>-5.6999999999999957</v>
      </c>
      <c r="AT382" s="397">
        <f t="shared" si="36"/>
        <v>-1.6999999999999993</v>
      </c>
      <c r="AU382" s="397">
        <f t="shared" si="36"/>
        <v>104.14843663163751</v>
      </c>
      <c r="AV382" s="397">
        <f t="shared" si="36"/>
        <v>-25</v>
      </c>
      <c r="AW382" s="406">
        <f t="shared" si="36"/>
        <v>1.1317966903073282E-2</v>
      </c>
      <c r="AX382" s="392" t="str">
        <f>VLOOKUP($C382,'ТР нефть'!$A$29:$GC$641,182,0)</f>
        <v>Технология</v>
      </c>
      <c r="AY382" s="406" t="str">
        <f>VLOOKUP($C382,'ТР нефть'!$A$29:$GC$641,183,0)</f>
        <v>Увеличение дебита на фоне снижения Рлин и Рзаб, а также увеличения расхода</v>
      </c>
      <c r="AZ382" s="407">
        <f t="shared" si="35"/>
        <v>5.4656007999999989</v>
      </c>
      <c r="BA382" s="408">
        <f t="shared" si="35"/>
        <v>9.6999999999999993</v>
      </c>
      <c r="BB382" s="397">
        <f t="shared" si="35"/>
        <v>32.6</v>
      </c>
      <c r="BC382" s="698"/>
      <c r="BD382" s="699"/>
    </row>
    <row r="383" spans="1:56" ht="40.5" customHeight="1" outlineLevel="2" x14ac:dyDescent="0.25">
      <c r="A383" s="373"/>
      <c r="B383" s="392">
        <f t="shared" si="29"/>
        <v>65</v>
      </c>
      <c r="C383" s="393">
        <v>3234</v>
      </c>
      <c r="D383" s="394" t="str">
        <f>VLOOKUP($C383,'ТР нефть'!$A$29:$GC$641,5,0)</f>
        <v>ВУ ОНГКМ</v>
      </c>
      <c r="E383" s="394" t="str">
        <f>VLOOKUP($C383,'ТР нефть'!$A$29:$GC$641,8,0)</f>
        <v>ТЛ-4</v>
      </c>
      <c r="F383" s="462" t="str">
        <f>VLOOKUP($C383,'ТР нефть'!$A$29:$GC$641,11,0)</f>
        <v>К-1368</v>
      </c>
      <c r="G383" s="392" t="str">
        <f>VLOOKUP($C383,'ТР нефть'!$A$29:$GC$641,47,0)</f>
        <v>Газлифт</v>
      </c>
      <c r="H383" s="396">
        <f>VLOOKUP($C383,'ТР нефть'!$A$29:$GC$641,135,0)</f>
        <v>6</v>
      </c>
      <c r="I383" s="397">
        <f>VLOOKUP($C383,'ТР нефть'!$A$29:$GC$641,136,0)</f>
        <v>25</v>
      </c>
      <c r="J383" s="397">
        <f>VLOOKUP($C383,'ТР нефть'!$A$29:$GC$641,137,0)</f>
        <v>62</v>
      </c>
      <c r="K383" s="397">
        <f>VLOOKUP($C383,'ТР нефть'!$A$29:$GC$641,138,0)</f>
        <v>24</v>
      </c>
      <c r="L383" s="397" t="str">
        <f>VLOOKUP($C383,'ТР нефть'!$A$29:$GC$641,139,0)</f>
        <v>Постоянный</v>
      </c>
      <c r="M383" s="397">
        <f>VLOOKUP($C383,'ТР нефть'!$A$29:$GC$641,140,0)</f>
        <v>24</v>
      </c>
      <c r="N383" s="397">
        <f>VLOOKUP($C383,'ТР нефть'!$A$29:$GC$641,141,0)</f>
        <v>0</v>
      </c>
      <c r="O383" s="398">
        <f>VLOOKUP($C383,'ТР нефть'!$A$29:$GC$641,142,0)</f>
        <v>21.733826399999998</v>
      </c>
      <c r="P383" s="399">
        <f>VLOOKUP($C383,'ТР нефть'!$A$29:$GC$641,143,0)</f>
        <v>26</v>
      </c>
      <c r="Q383" s="400">
        <f>VLOOKUP($C383,'ТР нефть'!$A$29:$GC$641,144,0)</f>
        <v>0.01</v>
      </c>
      <c r="R383" s="397">
        <f>VLOOKUP($C383,'ТР нефть'!$A$29:$GC$641,145,0)</f>
        <v>19.5</v>
      </c>
      <c r="S383" s="397">
        <f>VLOOKUP($C383,'ТР нефть'!$A$29:$GC$641,146,0)</f>
        <v>377.29205382812853</v>
      </c>
      <c r="T383" s="397">
        <f>VLOOKUP($C383,'ТР нефть'!$A$29:$GC$641,149,0)</f>
        <v>68</v>
      </c>
      <c r="U383" s="403">
        <f>VLOOKUP($C383,'ТР нефть'!$A$29:$GC$641,150,0)</f>
        <v>0.22807017543859648</v>
      </c>
      <c r="V383" s="402" t="str">
        <f>VLOOKUP($C383,'ТР нефть'!$A$29:$GC$641,47,0)</f>
        <v>Газлифт</v>
      </c>
      <c r="W383" s="396">
        <f>VLOOKUP($C383,'ТР нефть'!$A$29:$GC$641,74,0)</f>
        <v>6</v>
      </c>
      <c r="X383" s="397">
        <f>VLOOKUP($C383,'ТР нефть'!$A$29:$GC$641,79,0)</f>
        <v>25</v>
      </c>
      <c r="Y383" s="397">
        <f>VLOOKUP($C383,'ТР нефть'!$A$29:$GC$641,80,0)</f>
        <v>62</v>
      </c>
      <c r="Z383" s="397">
        <f>VLOOKUP($C383,'ТР нефть'!$A$29:$GC$641,81,0)</f>
        <v>21</v>
      </c>
      <c r="AA383" s="397" t="str">
        <f>VLOOKUP($C383,'ТР нефть'!$A$29:$GC$641,76,0)</f>
        <v>Постоянный</v>
      </c>
      <c r="AB383" s="397">
        <f>VLOOKUP($C383,'ТР нефть'!$A$29:$GC$641,77,0)</f>
        <v>24</v>
      </c>
      <c r="AC383" s="397">
        <f>VLOOKUP($C383,'ТР нефть'!$A$29:$GC$641,78,0)</f>
        <v>0</v>
      </c>
      <c r="AD383" s="398">
        <f>VLOOKUP($C383,'ТР нефть'!$A$29:$GC$641,93,0)</f>
        <v>23.405659199999999</v>
      </c>
      <c r="AE383" s="399">
        <f>VLOOKUP($C383,'ТР нефть'!$A$29:$GC$641,94,0)</f>
        <v>28</v>
      </c>
      <c r="AF383" s="400">
        <f>VLOOKUP($C383,'ТР нефть'!$A$29:$GC$641,95,0)</f>
        <v>0.01</v>
      </c>
      <c r="AG383" s="397">
        <f>VLOOKUP($C383,'ТР нефть'!$A$29:$GC$641,99,0)</f>
        <v>11.200000000000001</v>
      </c>
      <c r="AH383" s="397">
        <f>VLOOKUP($C383,'ТР нефть'!$A$29:$GC$641,100,0)</f>
        <v>478.51675119665089</v>
      </c>
      <c r="AI383" s="397">
        <f>VLOOKUP($C383,'ТР нефть'!$A$29:$GC$641,92,0)</f>
        <v>49</v>
      </c>
      <c r="AJ383" s="403">
        <f>VLOOKUP($C383,'ТР нефть'!$A$29:$GC$641,102,0)</f>
        <v>0.21052631578947367</v>
      </c>
      <c r="AK383" s="404">
        <f t="shared" si="33"/>
        <v>0</v>
      </c>
      <c r="AL383" s="397">
        <f t="shared" si="33"/>
        <v>0</v>
      </c>
      <c r="AM383" s="397">
        <f t="shared" si="33"/>
        <v>0</v>
      </c>
      <c r="AN383" s="397">
        <f t="shared" si="33"/>
        <v>-3</v>
      </c>
      <c r="AO383" s="397">
        <f t="shared" si="37"/>
        <v>0</v>
      </c>
      <c r="AP383" s="397">
        <f t="shared" si="37"/>
        <v>0</v>
      </c>
      <c r="AQ383" s="398">
        <f t="shared" si="37"/>
        <v>1.6718328000000007</v>
      </c>
      <c r="AR383" s="399">
        <f t="shared" si="36"/>
        <v>2</v>
      </c>
      <c r="AS383" s="400">
        <f t="shared" si="36"/>
        <v>0</v>
      </c>
      <c r="AT383" s="397">
        <f t="shared" si="36"/>
        <v>-8.2999999999999989</v>
      </c>
      <c r="AU383" s="397">
        <f t="shared" si="36"/>
        <v>101.22469736852236</v>
      </c>
      <c r="AV383" s="397">
        <f t="shared" si="36"/>
        <v>-19</v>
      </c>
      <c r="AW383" s="406">
        <f t="shared" si="36"/>
        <v>-1.7543859649122806E-2</v>
      </c>
      <c r="AX383" s="392" t="str">
        <f>VLOOKUP($C383,'ТР нефть'!$A$29:$GC$641,182,0)</f>
        <v>Технология</v>
      </c>
      <c r="AY383" s="406" t="str">
        <f>VLOOKUP($C383,'ТР нефть'!$A$29:$GC$641,183,0)</f>
        <v>Увеличение дебита на фоне снижения Рлин и Рзаб</v>
      </c>
      <c r="AZ383" s="407">
        <f t="shared" si="35"/>
        <v>23.405659199999999</v>
      </c>
      <c r="BA383" s="408">
        <f t="shared" si="35"/>
        <v>28</v>
      </c>
      <c r="BB383" s="397">
        <f t="shared" si="35"/>
        <v>0.01</v>
      </c>
      <c r="BC383" s="698"/>
      <c r="BD383" s="699"/>
    </row>
    <row r="384" spans="1:56" ht="40.5" customHeight="1" outlineLevel="2" x14ac:dyDescent="0.25">
      <c r="A384" s="373"/>
      <c r="B384" s="392">
        <f t="shared" ref="B384:B397" si="38">B383+1</f>
        <v>66</v>
      </c>
      <c r="C384" s="393">
        <v>3235</v>
      </c>
      <c r="D384" s="394" t="str">
        <f>VLOOKUP($C384,'ТР нефть'!$A$29:$GC$641,5,0)</f>
        <v>ВУ ОНГКМ</v>
      </c>
      <c r="E384" s="394" t="str">
        <f>VLOOKUP($C384,'ТР нефть'!$A$29:$GC$641,8,0)</f>
        <v>ТЛ-4</v>
      </c>
      <c r="F384" s="462" t="str">
        <f>VLOOKUP($C384,'ТР нефть'!$A$29:$GC$641,11,0)</f>
        <v>К-22</v>
      </c>
      <c r="G384" s="392" t="str">
        <f>VLOOKUP($C384,'ТР нефть'!$A$29:$GC$641,47,0)</f>
        <v>Газлифт</v>
      </c>
      <c r="H384" s="396">
        <f>VLOOKUP($C384,'ТР нефть'!$A$29:$GC$641,135,0)</f>
        <v>65</v>
      </c>
      <c r="I384" s="397">
        <f>VLOOKUP($C384,'ТР нефть'!$A$29:$GC$641,136,0)</f>
        <v>27</v>
      </c>
      <c r="J384" s="397">
        <f>VLOOKUP($C384,'ТР нефть'!$A$29:$GC$641,137,0)</f>
        <v>40</v>
      </c>
      <c r="K384" s="397">
        <f>VLOOKUP($C384,'ТР нефть'!$A$29:$GC$641,138,0)</f>
        <v>26</v>
      </c>
      <c r="L384" s="397" t="str">
        <f>VLOOKUP($C384,'ТР нефть'!$A$29:$GC$641,139,0)</f>
        <v>Постоянный</v>
      </c>
      <c r="M384" s="397">
        <f>VLOOKUP($C384,'ТР нефть'!$A$29:$GC$641,140,0)</f>
        <v>24</v>
      </c>
      <c r="N384" s="397">
        <f>VLOOKUP($C384,'ТР нефть'!$A$29:$GC$641,141,0)</f>
        <v>0</v>
      </c>
      <c r="O384" s="398">
        <f>VLOOKUP($C384,'ТР нефть'!$A$29:$GC$641,142,0)</f>
        <v>4.7652000000000001</v>
      </c>
      <c r="P384" s="399">
        <f>VLOOKUP($C384,'ТР нефть'!$A$29:$GC$641,143,0)</f>
        <v>5.7</v>
      </c>
      <c r="Q384" s="400">
        <f>VLOOKUP($C384,'ТР нефть'!$A$29:$GC$641,144,0)</f>
        <v>0</v>
      </c>
      <c r="R384" s="397">
        <f>VLOOKUP($C384,'ТР нефть'!$A$29:$GC$641,145,0)</f>
        <v>11.9</v>
      </c>
      <c r="S384" s="397">
        <f>VLOOKUP($C384,'ТР нефть'!$A$29:$GC$641,146,0)</f>
        <v>1489.9689414924874</v>
      </c>
      <c r="T384" s="397">
        <f>VLOOKUP($C384,'ТР нефть'!$A$29:$GC$641,149,0)</f>
        <v>50</v>
      </c>
      <c r="U384" s="403">
        <f>VLOOKUP($C384,'ТР нефть'!$A$29:$GC$641,150,0)</f>
        <v>8.3823529411764713E-2</v>
      </c>
      <c r="V384" s="402" t="str">
        <f>VLOOKUP($C384,'ТР нефть'!$A$29:$GC$641,47,0)</f>
        <v>Газлифт</v>
      </c>
      <c r="W384" s="396">
        <f>VLOOKUP($C384,'ТР нефть'!$A$29:$GC$641,74,0)</f>
        <v>65</v>
      </c>
      <c r="X384" s="397">
        <f>VLOOKUP($C384,'ТР нефть'!$A$29:$GC$641,79,0)</f>
        <v>26</v>
      </c>
      <c r="Y384" s="397">
        <f>VLOOKUP($C384,'ТР нефть'!$A$29:$GC$641,80,0)</f>
        <v>40</v>
      </c>
      <c r="Z384" s="397">
        <f>VLOOKUP($C384,'ТР нефть'!$A$29:$GC$641,81,0)</f>
        <v>25</v>
      </c>
      <c r="AA384" s="397" t="str">
        <f>VLOOKUP($C384,'ТР нефть'!$A$29:$GC$641,76,0)</f>
        <v>Постоянный</v>
      </c>
      <c r="AB384" s="397">
        <f>VLOOKUP($C384,'ТР нефть'!$A$29:$GC$641,77,0)</f>
        <v>24</v>
      </c>
      <c r="AC384" s="397">
        <f>VLOOKUP($C384,'ТР нефть'!$A$29:$GC$641,78,0)</f>
        <v>0</v>
      </c>
      <c r="AD384" s="398">
        <f>VLOOKUP($C384,'ТР нефть'!$A$29:$GC$641,93,0)</f>
        <v>6.6879999999999997</v>
      </c>
      <c r="AE384" s="399">
        <f>VLOOKUP($C384,'ТР нефть'!$A$29:$GC$641,94,0)</f>
        <v>8</v>
      </c>
      <c r="AF384" s="400">
        <f>VLOOKUP($C384,'ТР нефть'!$A$29:$GC$641,95,0)</f>
        <v>0</v>
      </c>
      <c r="AG384" s="397">
        <f>VLOOKUP($C384,'ТР нефть'!$A$29:$GC$641,99,0)</f>
        <v>8.8000000000000007</v>
      </c>
      <c r="AH384" s="397">
        <f>VLOOKUP($C384,'ТР нефть'!$A$29:$GC$641,100,0)</f>
        <v>1315.7894736842106</v>
      </c>
      <c r="AI384" s="397">
        <f>VLOOKUP($C384,'ТР нефть'!$A$29:$GC$641,92,0)</f>
        <v>47</v>
      </c>
      <c r="AJ384" s="403">
        <f>VLOOKUP($C384,'ТР нефть'!$A$29:$GC$641,102,0)</f>
        <v>0.11267605633802817</v>
      </c>
      <c r="AK384" s="404">
        <f t="shared" ref="AK384:AN412" si="39">W384-H384</f>
        <v>0</v>
      </c>
      <c r="AL384" s="397">
        <f t="shared" si="39"/>
        <v>-1</v>
      </c>
      <c r="AM384" s="397">
        <f t="shared" si="39"/>
        <v>0</v>
      </c>
      <c r="AN384" s="397">
        <f t="shared" si="39"/>
        <v>-1</v>
      </c>
      <c r="AO384" s="397">
        <f t="shared" si="37"/>
        <v>0</v>
      </c>
      <c r="AP384" s="397">
        <f t="shared" si="37"/>
        <v>0</v>
      </c>
      <c r="AQ384" s="398">
        <f t="shared" si="37"/>
        <v>1.9227999999999996</v>
      </c>
      <c r="AR384" s="399">
        <f t="shared" si="36"/>
        <v>2.2999999999999998</v>
      </c>
      <c r="AS384" s="400">
        <f t="shared" si="36"/>
        <v>0</v>
      </c>
      <c r="AT384" s="397">
        <f t="shared" si="36"/>
        <v>-3.0999999999999996</v>
      </c>
      <c r="AU384" s="397">
        <f t="shared" si="36"/>
        <v>-174.17946780827674</v>
      </c>
      <c r="AV384" s="397">
        <f t="shared" si="36"/>
        <v>-3</v>
      </c>
      <c r="AW384" s="406">
        <f t="shared" si="36"/>
        <v>2.8852526926263458E-2</v>
      </c>
      <c r="AX384" s="392" t="str">
        <f>VLOOKUP($C384,'ТР нефть'!$A$29:$GC$641,182,0)</f>
        <v>Технология</v>
      </c>
      <c r="AY384" s="406" t="str">
        <f>VLOOKUP($C384,'ТР нефть'!$A$29:$GC$641,183,0)</f>
        <v>Увеличение дебита на фоне снижения Рлин</v>
      </c>
      <c r="AZ384" s="407">
        <f t="shared" ref="AZ384:BB412" si="40">AD384</f>
        <v>6.6879999999999997</v>
      </c>
      <c r="BA384" s="408">
        <f t="shared" si="40"/>
        <v>8</v>
      </c>
      <c r="BB384" s="397">
        <f t="shared" si="40"/>
        <v>0</v>
      </c>
      <c r="BC384" s="698"/>
      <c r="BD384" s="699"/>
    </row>
    <row r="385" spans="1:57" ht="40.5" customHeight="1" outlineLevel="2" x14ac:dyDescent="0.25">
      <c r="A385" s="373"/>
      <c r="B385" s="392">
        <f t="shared" si="38"/>
        <v>67</v>
      </c>
      <c r="C385" s="393">
        <v>3240</v>
      </c>
      <c r="D385" s="394" t="str">
        <f>VLOOKUP($C385,'ТР нефть'!$A$29:$GC$641,5,0)</f>
        <v>ВУ ОНГКМ</v>
      </c>
      <c r="E385" s="394" t="str">
        <f>VLOOKUP($C385,'ТР нефть'!$A$29:$GC$641,8,0)</f>
        <v>ТЛ-4</v>
      </c>
      <c r="F385" s="462" t="str">
        <f>VLOOKUP($C385,'ТР нефть'!$A$29:$GC$641,11,0)</f>
        <v>К-32-1</v>
      </c>
      <c r="G385" s="392" t="str">
        <f>VLOOKUP($C385,'ТР нефть'!$A$29:$GC$641,47,0)</f>
        <v>Газлифт</v>
      </c>
      <c r="H385" s="396">
        <f>VLOOKUP($C385,'ТР нефть'!$A$29:$GC$641,135,0)</f>
        <v>18</v>
      </c>
      <c r="I385" s="397">
        <f>VLOOKUP($C385,'ТР нефть'!$A$29:$GC$641,136,0)</f>
        <v>24</v>
      </c>
      <c r="J385" s="397">
        <f>VLOOKUP($C385,'ТР нефть'!$A$29:$GC$641,137,0)</f>
        <v>42</v>
      </c>
      <c r="K385" s="397">
        <f>VLOOKUP($C385,'ТР нефть'!$A$29:$GC$641,138,0)</f>
        <v>23</v>
      </c>
      <c r="L385" s="397" t="str">
        <f>VLOOKUP($C385,'ТР нефть'!$A$29:$GC$641,139,0)</f>
        <v>Постоянный</v>
      </c>
      <c r="M385" s="397">
        <f>VLOOKUP($C385,'ТР нефть'!$A$29:$GC$641,140,0)</f>
        <v>24</v>
      </c>
      <c r="N385" s="397">
        <f>VLOOKUP($C385,'ТР нефть'!$A$29:$GC$641,141,0)</f>
        <v>0</v>
      </c>
      <c r="O385" s="398">
        <f>VLOOKUP($C385,'ТР нефть'!$A$29:$GC$641,142,0)</f>
        <v>5.3504000000000005</v>
      </c>
      <c r="P385" s="399">
        <f>VLOOKUP($C385,'ТР нефть'!$A$29:$GC$641,143,0)</f>
        <v>6.4</v>
      </c>
      <c r="Q385" s="400">
        <f>VLOOKUP($C385,'ТР нефть'!$A$29:$GC$641,144,0)</f>
        <v>0</v>
      </c>
      <c r="R385" s="397">
        <f>VLOOKUP($C385,'ТР нефть'!$A$29:$GC$641,145,0)</f>
        <v>3.9</v>
      </c>
      <c r="S385" s="397">
        <f>VLOOKUP($C385,'ТР нефть'!$A$29:$GC$641,146,0)</f>
        <v>728.91746411483246</v>
      </c>
      <c r="T385" s="397">
        <f>VLOOKUP($C385,'ТР нефть'!$A$29:$GC$641,149,0)</f>
        <v>45</v>
      </c>
      <c r="U385" s="403">
        <f>VLOOKUP($C385,'ТР нефть'!$A$29:$GC$641,150,0)</f>
        <v>0.17297297297297298</v>
      </c>
      <c r="V385" s="402" t="str">
        <f>VLOOKUP($C385,'ТР нефть'!$A$29:$GC$641,47,0)</f>
        <v>Газлифт</v>
      </c>
      <c r="W385" s="396">
        <f>VLOOKUP($C385,'ТР нефть'!$A$29:$GC$641,74,0)</f>
        <v>18</v>
      </c>
      <c r="X385" s="397">
        <f>VLOOKUP($C385,'ТР нефть'!$A$29:$GC$641,79,0)</f>
        <v>25</v>
      </c>
      <c r="Y385" s="397">
        <f>VLOOKUP($C385,'ТР нефть'!$A$29:$GC$641,80,0)</f>
        <v>42</v>
      </c>
      <c r="Z385" s="397">
        <f>VLOOKUP($C385,'ТР нефть'!$A$29:$GC$641,81,0)</f>
        <v>24</v>
      </c>
      <c r="AA385" s="397" t="str">
        <f>VLOOKUP($C385,'ТР нефть'!$A$29:$GC$641,76,0)</f>
        <v>Постоянный</v>
      </c>
      <c r="AB385" s="397">
        <f>VLOOKUP($C385,'ТР нефть'!$A$29:$GC$641,77,0)</f>
        <v>24</v>
      </c>
      <c r="AC385" s="397">
        <f>VLOOKUP($C385,'ТР нефть'!$A$29:$GC$641,78,0)</f>
        <v>0</v>
      </c>
      <c r="AD385" s="398">
        <f>VLOOKUP($C385,'ТР нефть'!$A$29:$GC$641,93,0)</f>
        <v>9.1959999999999997</v>
      </c>
      <c r="AE385" s="399">
        <f>VLOOKUP($C385,'ТР нефть'!$A$29:$GC$641,94,0)</f>
        <v>11</v>
      </c>
      <c r="AF385" s="400">
        <f>VLOOKUP($C385,'ТР нефть'!$A$29:$GC$641,95,0)</f>
        <v>0</v>
      </c>
      <c r="AG385" s="397">
        <f>VLOOKUP($C385,'ТР нефть'!$A$29:$GC$641,99,0)</f>
        <v>14</v>
      </c>
      <c r="AH385" s="397">
        <f>VLOOKUP($C385,'ТР нефть'!$A$29:$GC$641,100,0)</f>
        <v>1522.4010439321444</v>
      </c>
      <c r="AI385" s="397">
        <f>VLOOKUP($C385,'ТР нефть'!$A$29:$GC$641,92,0)</f>
        <v>45</v>
      </c>
      <c r="AJ385" s="403">
        <f>VLOOKUP($C385,'ТР нефть'!$A$29:$GC$641,102,0)</f>
        <v>0.29729729729729731</v>
      </c>
      <c r="AK385" s="404">
        <f t="shared" si="39"/>
        <v>0</v>
      </c>
      <c r="AL385" s="397">
        <f t="shared" si="39"/>
        <v>1</v>
      </c>
      <c r="AM385" s="397">
        <f t="shared" si="39"/>
        <v>0</v>
      </c>
      <c r="AN385" s="397">
        <f t="shared" si="39"/>
        <v>1</v>
      </c>
      <c r="AO385" s="397">
        <f t="shared" si="37"/>
        <v>0</v>
      </c>
      <c r="AP385" s="397">
        <f t="shared" si="37"/>
        <v>0</v>
      </c>
      <c r="AQ385" s="398">
        <f t="shared" si="37"/>
        <v>3.8455999999999992</v>
      </c>
      <c r="AR385" s="399">
        <f t="shared" si="36"/>
        <v>4.5999999999999996</v>
      </c>
      <c r="AS385" s="400">
        <f t="shared" si="36"/>
        <v>0</v>
      </c>
      <c r="AT385" s="397">
        <f t="shared" si="36"/>
        <v>10.1</v>
      </c>
      <c r="AU385" s="397">
        <f t="shared" si="36"/>
        <v>793.48357981731192</v>
      </c>
      <c r="AV385" s="397">
        <f t="shared" si="36"/>
        <v>0</v>
      </c>
      <c r="AW385" s="406">
        <f t="shared" si="36"/>
        <v>0.12432432432432433</v>
      </c>
      <c r="AX385" s="392" t="str">
        <f>VLOOKUP($C385,'ТР нефть'!$A$29:$GC$641,182,0)</f>
        <v>Технология</v>
      </c>
      <c r="AY385" s="406" t="str">
        <f>VLOOKUP($C385,'ТР нефть'!$A$29:$GC$641,183,0)</f>
        <v>Возврат потерь предыдущего месяца</v>
      </c>
      <c r="AZ385" s="407">
        <f t="shared" si="40"/>
        <v>9.1959999999999997</v>
      </c>
      <c r="BA385" s="408">
        <f t="shared" si="40"/>
        <v>11</v>
      </c>
      <c r="BB385" s="397">
        <f t="shared" si="40"/>
        <v>0</v>
      </c>
      <c r="BC385" s="698"/>
      <c r="BD385" s="699"/>
    </row>
    <row r="386" spans="1:57" ht="40.5" customHeight="1" outlineLevel="2" x14ac:dyDescent="0.25">
      <c r="A386" s="373"/>
      <c r="B386" s="392">
        <f t="shared" si="38"/>
        <v>68</v>
      </c>
      <c r="C386" s="393">
        <v>3244</v>
      </c>
      <c r="D386" s="394" t="str">
        <f>VLOOKUP($C386,'ТР нефть'!$A$29:$GC$641,5,0)</f>
        <v>ВУ ОНГКМ</v>
      </c>
      <c r="E386" s="394" t="str">
        <f>VLOOKUP($C386,'ТР нефть'!$A$29:$GC$641,8,0)</f>
        <v>ТЛ-2</v>
      </c>
      <c r="F386" s="462" t="str">
        <f>VLOOKUP($C386,'ТР нефть'!$A$29:$GC$641,11,0)</f>
        <v>К-40</v>
      </c>
      <c r="G386" s="392" t="str">
        <f>VLOOKUP($C386,'ТР нефть'!$A$29:$GC$641,47,0)</f>
        <v>Фон.</v>
      </c>
      <c r="H386" s="396">
        <f>VLOOKUP($C386,'ТР нефть'!$A$29:$GC$641,135,0)</f>
        <v>18</v>
      </c>
      <c r="I386" s="397">
        <f>VLOOKUP($C386,'ТР нефть'!$A$29:$GC$641,136,0)</f>
        <v>26</v>
      </c>
      <c r="J386" s="397">
        <f>VLOOKUP($C386,'ТР нефть'!$A$29:$GC$641,137,0)</f>
        <v>34</v>
      </c>
      <c r="K386" s="397">
        <f>VLOOKUP($C386,'ТР нефть'!$A$29:$GC$641,138,0)</f>
        <v>25</v>
      </c>
      <c r="L386" s="397" t="str">
        <f>VLOOKUP($C386,'ТР нефть'!$A$29:$GC$641,139,0)</f>
        <v>Постоянный</v>
      </c>
      <c r="M386" s="397">
        <f>VLOOKUP($C386,'ТР нефть'!$A$29:$GC$641,140,0)</f>
        <v>24</v>
      </c>
      <c r="N386" s="397">
        <f>VLOOKUP($C386,'ТР нефть'!$A$29:$GC$641,141,0)</f>
        <v>0</v>
      </c>
      <c r="O386" s="398">
        <f>VLOOKUP($C386,'ТР нефть'!$A$29:$GC$641,142,0)</f>
        <v>19.980399999999999</v>
      </c>
      <c r="P386" s="399">
        <f>VLOOKUP($C386,'ТР нефть'!$A$29:$GC$641,143,0)</f>
        <v>23.9</v>
      </c>
      <c r="Q386" s="400">
        <f>VLOOKUP($C386,'ТР нефть'!$A$29:$GC$641,144,0)</f>
        <v>0</v>
      </c>
      <c r="R386" s="397">
        <f>VLOOKUP($C386,'ТР нефть'!$A$29:$GC$641,145,0)</f>
        <v>33</v>
      </c>
      <c r="S386" s="397">
        <f>VLOOKUP($C386,'ТР нефть'!$A$29:$GC$641,146,0)</f>
        <v>1651.6185862144903</v>
      </c>
      <c r="T386" s="397">
        <f>VLOOKUP($C386,'ТР нефть'!$A$29:$GC$641,149,0)</f>
        <v>45</v>
      </c>
      <c r="U386" s="403">
        <f>VLOOKUP($C386,'ТР нефть'!$A$29:$GC$641,150,0)</f>
        <v>0.37936507936507935</v>
      </c>
      <c r="V386" s="402" t="str">
        <f>VLOOKUP($C386,'ТР нефть'!$A$29:$GC$641,47,0)</f>
        <v>Фон.</v>
      </c>
      <c r="W386" s="396">
        <f>VLOOKUP($C386,'ТР нефть'!$A$29:$GC$641,74,0)</f>
        <v>18</v>
      </c>
      <c r="X386" s="397">
        <f>VLOOKUP($C386,'ТР нефть'!$A$29:$GC$641,79,0)</f>
        <v>23</v>
      </c>
      <c r="Y386" s="397">
        <f>VLOOKUP($C386,'ТР нефть'!$A$29:$GC$641,80,0)</f>
        <v>33</v>
      </c>
      <c r="Z386" s="397">
        <f>VLOOKUP($C386,'ТР нефть'!$A$29:$GC$641,81,0)</f>
        <v>23</v>
      </c>
      <c r="AA386" s="397" t="str">
        <f>VLOOKUP($C386,'ТР нефть'!$A$29:$GC$641,76,0)</f>
        <v>Постоянный</v>
      </c>
      <c r="AB386" s="397">
        <f>VLOOKUP($C386,'ТР нефть'!$A$29:$GC$641,77,0)</f>
        <v>24</v>
      </c>
      <c r="AC386" s="397">
        <f>VLOOKUP($C386,'ТР нефть'!$A$29:$GC$641,78,0)</f>
        <v>0</v>
      </c>
      <c r="AD386" s="398">
        <f>VLOOKUP($C386,'ТР нефть'!$A$29:$GC$641,93,0)</f>
        <v>21.736000000000001</v>
      </c>
      <c r="AE386" s="399">
        <f>VLOOKUP($C386,'ТР нефть'!$A$29:$GC$641,94,0)</f>
        <v>26</v>
      </c>
      <c r="AF386" s="400">
        <f>VLOOKUP($C386,'ТР нефть'!$A$29:$GC$641,95,0)</f>
        <v>0</v>
      </c>
      <c r="AG386" s="397">
        <f>VLOOKUP($C386,'ТР нефть'!$A$29:$GC$641,99,0)</f>
        <v>33</v>
      </c>
      <c r="AH386" s="397">
        <f>VLOOKUP($C386,'ТР нефть'!$A$29:$GC$641,100,0)</f>
        <v>1518.2186234817814</v>
      </c>
      <c r="AI386" s="397">
        <f>VLOOKUP($C386,'ТР нефть'!$A$29:$GC$641,92,0)</f>
        <v>44</v>
      </c>
      <c r="AJ386" s="403">
        <f>VLOOKUP($C386,'ТР нефть'!$A$29:$GC$641,102,0)</f>
        <v>0.40625</v>
      </c>
      <c r="AK386" s="404">
        <f t="shared" si="39"/>
        <v>0</v>
      </c>
      <c r="AL386" s="397">
        <f t="shared" si="39"/>
        <v>-3</v>
      </c>
      <c r="AM386" s="397">
        <f t="shared" si="39"/>
        <v>-1</v>
      </c>
      <c r="AN386" s="397">
        <f t="shared" si="39"/>
        <v>-2</v>
      </c>
      <c r="AO386" s="397">
        <f t="shared" si="37"/>
        <v>0</v>
      </c>
      <c r="AP386" s="397">
        <f t="shared" si="37"/>
        <v>0</v>
      </c>
      <c r="AQ386" s="398">
        <f t="shared" si="37"/>
        <v>1.7556000000000012</v>
      </c>
      <c r="AR386" s="399">
        <f t="shared" si="36"/>
        <v>2.1000000000000014</v>
      </c>
      <c r="AS386" s="400">
        <f t="shared" si="36"/>
        <v>0</v>
      </c>
      <c r="AT386" s="397">
        <f t="shared" si="36"/>
        <v>0</v>
      </c>
      <c r="AU386" s="397">
        <f t="shared" si="36"/>
        <v>-133.3999627327089</v>
      </c>
      <c r="AV386" s="397">
        <f t="shared" si="36"/>
        <v>-1</v>
      </c>
      <c r="AW386" s="406">
        <f t="shared" si="36"/>
        <v>2.688492063492065E-2</v>
      </c>
      <c r="AX386" s="392" t="str">
        <f>VLOOKUP($C386,'ТР нефть'!$A$29:$GC$641,182,0)</f>
        <v>Технология</v>
      </c>
      <c r="AY386" s="406" t="str">
        <f>VLOOKUP($C386,'ТР нефть'!$A$29:$GC$641,183,0)</f>
        <v>Увеличение дебита обусловлено снижением Рлин</v>
      </c>
      <c r="AZ386" s="407">
        <f t="shared" si="40"/>
        <v>21.736000000000001</v>
      </c>
      <c r="BA386" s="408">
        <f t="shared" si="40"/>
        <v>26</v>
      </c>
      <c r="BB386" s="397">
        <f t="shared" si="40"/>
        <v>0</v>
      </c>
      <c r="BC386" s="698"/>
      <c r="BD386" s="699"/>
    </row>
    <row r="387" spans="1:57" ht="40.5" customHeight="1" outlineLevel="2" x14ac:dyDescent="0.25">
      <c r="A387" s="373"/>
      <c r="B387" s="392">
        <f t="shared" si="38"/>
        <v>69</v>
      </c>
      <c r="C387" s="393">
        <v>3246</v>
      </c>
      <c r="D387" s="394" t="str">
        <f>VLOOKUP($C387,'ТР нефть'!$A$29:$GC$641,5,0)</f>
        <v>ВУ ОНГКМ</v>
      </c>
      <c r="E387" s="394" t="str">
        <f>VLOOKUP($C387,'ТР нефть'!$A$29:$GC$641,8,0)</f>
        <v>ТЛ-4</v>
      </c>
      <c r="F387" s="462" t="str">
        <f>VLOOKUP($C387,'ТР нефть'!$A$29:$GC$641,11,0)</f>
        <v>К-31/1</v>
      </c>
      <c r="G387" s="392" t="str">
        <f>VLOOKUP($C387,'ТР нефть'!$A$29:$GC$641,47,0)</f>
        <v>Газлифт</v>
      </c>
      <c r="H387" s="396">
        <f>VLOOKUP($C387,'ТР нефть'!$A$29:$GC$641,135,0)</f>
        <v>18</v>
      </c>
      <c r="I387" s="397">
        <f>VLOOKUP($C387,'ТР нефть'!$A$29:$GC$641,136,0)</f>
        <v>19</v>
      </c>
      <c r="J387" s="397">
        <f>VLOOKUP($C387,'ТР нефть'!$A$29:$GC$641,137,0)</f>
        <v>34</v>
      </c>
      <c r="K387" s="397">
        <f>VLOOKUP($C387,'ТР нефть'!$A$29:$GC$641,138,0)</f>
        <v>18</v>
      </c>
      <c r="L387" s="397" t="str">
        <f>VLOOKUP($C387,'ТР нефть'!$A$29:$GC$641,139,0)</f>
        <v>Постоянный</v>
      </c>
      <c r="M387" s="397">
        <f>VLOOKUP($C387,'ТР нефть'!$A$29:$GC$641,140,0)</f>
        <v>24</v>
      </c>
      <c r="N387" s="397">
        <f>VLOOKUP($C387,'ТР нефть'!$A$29:$GC$641,141,0)</f>
        <v>0</v>
      </c>
      <c r="O387" s="398">
        <f>VLOOKUP($C387,'ТР нефть'!$A$29:$GC$641,142,0)</f>
        <v>9.8489160000000009</v>
      </c>
      <c r="P387" s="399">
        <f>VLOOKUP($C387,'ТР нефть'!$A$29:$GC$641,143,0)</f>
        <v>11.9</v>
      </c>
      <c r="Q387" s="400">
        <f>VLOOKUP($C387,'ТР нефть'!$A$29:$GC$641,144,0)</f>
        <v>1</v>
      </c>
      <c r="R387" s="397">
        <f>VLOOKUP($C387,'ТР нефть'!$A$29:$GC$641,145,0)</f>
        <v>25.5</v>
      </c>
      <c r="S387" s="397">
        <f>VLOOKUP($C387,'ТР нефть'!$A$29:$GC$641,146,0)</f>
        <v>1614.3908629132382</v>
      </c>
      <c r="T387" s="397">
        <f>VLOOKUP($C387,'ТР нефть'!$A$29:$GC$641,149,0)</f>
        <v>45</v>
      </c>
      <c r="U387" s="403">
        <f>VLOOKUP($C387,'ТР нефть'!$A$29:$GC$641,150,0)</f>
        <v>0.23333333333333334</v>
      </c>
      <c r="V387" s="402" t="str">
        <f>VLOOKUP($C387,'ТР нефть'!$A$29:$GC$641,47,0)</f>
        <v>Газлифт</v>
      </c>
      <c r="W387" s="396">
        <f>VLOOKUP($C387,'ТР нефть'!$A$29:$GC$641,74,0)</f>
        <v>18</v>
      </c>
      <c r="X387" s="397">
        <f>VLOOKUP($C387,'ТР нефть'!$A$29:$GC$641,79,0)</f>
        <v>18</v>
      </c>
      <c r="Y387" s="397">
        <f>VLOOKUP($C387,'ТР нефть'!$A$29:$GC$641,80,0)</f>
        <v>32</v>
      </c>
      <c r="Z387" s="397">
        <f>VLOOKUP($C387,'ТР нефть'!$A$29:$GC$641,81,0)</f>
        <v>17</v>
      </c>
      <c r="AA387" s="397" t="str">
        <f>VLOOKUP($C387,'ТР нефть'!$A$29:$GC$641,76,0)</f>
        <v>Постоянный</v>
      </c>
      <c r="AB387" s="397">
        <f>VLOOKUP($C387,'ТР нефть'!$A$29:$GC$641,77,0)</f>
        <v>24</v>
      </c>
      <c r="AC387" s="397">
        <f>VLOOKUP($C387,'ТР нефть'!$A$29:$GC$641,78,0)</f>
        <v>0</v>
      </c>
      <c r="AD387" s="398">
        <f>VLOOKUP($C387,'ТР нефть'!$A$29:$GC$641,93,0)</f>
        <v>11.913</v>
      </c>
      <c r="AE387" s="399">
        <f>VLOOKUP($C387,'ТР нефть'!$A$29:$GC$641,94,0)</f>
        <v>15</v>
      </c>
      <c r="AF387" s="400">
        <f>VLOOKUP($C387,'ТР нефть'!$A$29:$GC$641,95,0)</f>
        <v>5</v>
      </c>
      <c r="AG387" s="397">
        <f>VLOOKUP($C387,'ТР нефть'!$A$29:$GC$641,99,0)</f>
        <v>19</v>
      </c>
      <c r="AH387" s="397">
        <f>VLOOKUP($C387,'ТР нефть'!$A$29:$GC$641,100,0)</f>
        <v>1594.8963317384369</v>
      </c>
      <c r="AI387" s="397">
        <f>VLOOKUP($C387,'ТР нефть'!$A$29:$GC$641,92,0)</f>
        <v>48</v>
      </c>
      <c r="AJ387" s="403">
        <f>VLOOKUP($C387,'ТР нефть'!$A$29:$GC$641,102,0)</f>
        <v>0.3125</v>
      </c>
      <c r="AK387" s="404">
        <f t="shared" si="39"/>
        <v>0</v>
      </c>
      <c r="AL387" s="397">
        <f t="shared" si="39"/>
        <v>-1</v>
      </c>
      <c r="AM387" s="397">
        <f t="shared" si="39"/>
        <v>-2</v>
      </c>
      <c r="AN387" s="397">
        <f t="shared" si="39"/>
        <v>-1</v>
      </c>
      <c r="AO387" s="397">
        <f t="shared" si="37"/>
        <v>0</v>
      </c>
      <c r="AP387" s="397">
        <f t="shared" si="37"/>
        <v>0</v>
      </c>
      <c r="AQ387" s="398">
        <f t="shared" si="37"/>
        <v>2.0640839999999994</v>
      </c>
      <c r="AR387" s="399">
        <f t="shared" si="36"/>
        <v>3.0999999999999996</v>
      </c>
      <c r="AS387" s="400">
        <f t="shared" si="36"/>
        <v>4</v>
      </c>
      <c r="AT387" s="397">
        <f t="shared" si="36"/>
        <v>-6.5</v>
      </c>
      <c r="AU387" s="397">
        <f t="shared" si="36"/>
        <v>-19.494531174801295</v>
      </c>
      <c r="AV387" s="397">
        <f t="shared" si="36"/>
        <v>3</v>
      </c>
      <c r="AW387" s="406">
        <f t="shared" si="36"/>
        <v>7.9166666666666663E-2</v>
      </c>
      <c r="AX387" s="392" t="str">
        <f>VLOOKUP($C387,'ТР нефть'!$A$29:$GC$641,182,0)</f>
        <v>Технология</v>
      </c>
      <c r="AY387" s="406" t="str">
        <f>VLOOKUP($C387,'ТР нефть'!$A$29:$GC$641,183,0)</f>
        <v>Увеличение расхода г/г с 9,6-17 тыс. м3/сут</v>
      </c>
      <c r="AZ387" s="407">
        <f t="shared" si="40"/>
        <v>11.913</v>
      </c>
      <c r="BA387" s="408">
        <f t="shared" si="40"/>
        <v>15</v>
      </c>
      <c r="BB387" s="397">
        <f t="shared" si="40"/>
        <v>5</v>
      </c>
      <c r="BC387" s="698"/>
      <c r="BD387" s="699"/>
    </row>
    <row r="388" spans="1:57" ht="40.5" customHeight="1" outlineLevel="2" x14ac:dyDescent="0.25">
      <c r="A388" s="373"/>
      <c r="B388" s="392">
        <f t="shared" si="38"/>
        <v>70</v>
      </c>
      <c r="C388" s="393">
        <v>3248</v>
      </c>
      <c r="D388" s="394" t="str">
        <f>VLOOKUP($C388,'ТР нефть'!$A$29:$GC$641,5,0)</f>
        <v>ВУ ОНГКМ</v>
      </c>
      <c r="E388" s="394" t="str">
        <f>VLOOKUP($C388,'ТР нефть'!$A$29:$GC$641,8,0)</f>
        <v>ТЛ-2</v>
      </c>
      <c r="F388" s="462" t="str">
        <f>VLOOKUP($C388,'ТР нефть'!$A$29:$GC$641,11,0)</f>
        <v>К-61</v>
      </c>
      <c r="G388" s="392" t="str">
        <f>VLOOKUP($C388,'ТР нефть'!$A$29:$GC$641,47,0)</f>
        <v>Газлифт</v>
      </c>
      <c r="H388" s="396">
        <f>VLOOKUP($C388,'ТР нефть'!$A$29:$GC$641,135,0)</f>
        <v>65</v>
      </c>
      <c r="I388" s="397">
        <f>VLOOKUP($C388,'ТР нефть'!$A$29:$GC$641,136,0)</f>
        <v>21</v>
      </c>
      <c r="J388" s="397">
        <f>VLOOKUP($C388,'ТР нефть'!$A$29:$GC$641,137,0)</f>
        <v>34</v>
      </c>
      <c r="K388" s="397">
        <f>VLOOKUP($C388,'ТР нефть'!$A$29:$GC$641,138,0)</f>
        <v>20</v>
      </c>
      <c r="L388" s="397" t="str">
        <f>VLOOKUP($C388,'ТР нефть'!$A$29:$GC$641,139,0)</f>
        <v>Постоянный</v>
      </c>
      <c r="M388" s="397">
        <f>VLOOKUP($C388,'ТР нефть'!$A$29:$GC$641,140,0)</f>
        <v>24</v>
      </c>
      <c r="N388" s="397">
        <f>VLOOKUP($C388,'ТР нефть'!$A$29:$GC$641,141,0)</f>
        <v>0</v>
      </c>
      <c r="O388" s="398">
        <f>VLOOKUP($C388,'ТР нефть'!$A$29:$GC$641,142,0)</f>
        <v>10.032</v>
      </c>
      <c r="P388" s="399">
        <f>VLOOKUP($C388,'ТР нефть'!$A$29:$GC$641,143,0)</f>
        <v>12</v>
      </c>
      <c r="Q388" s="400">
        <f>VLOOKUP($C388,'ТР нефть'!$A$29:$GC$641,144,0)</f>
        <v>0</v>
      </c>
      <c r="R388" s="397">
        <f>VLOOKUP($C388,'ТР нефть'!$A$29:$GC$641,145,0)</f>
        <v>14.4</v>
      </c>
      <c r="S388" s="397">
        <f>VLOOKUP($C388,'ТР нефть'!$A$29:$GC$641,146,0)</f>
        <v>438.59649122807019</v>
      </c>
      <c r="T388" s="397">
        <f>VLOOKUP($C388,'ТР нефть'!$A$29:$GC$641,149,0)</f>
        <v>70</v>
      </c>
      <c r="U388" s="403">
        <f>VLOOKUP($C388,'ТР нефть'!$A$29:$GC$641,150,0)</f>
        <v>0.29268292682926828</v>
      </c>
      <c r="V388" s="402" t="str">
        <f>VLOOKUP($C388,'ТР нефть'!$A$29:$GC$641,47,0)</f>
        <v>Газлифт</v>
      </c>
      <c r="W388" s="396">
        <f>VLOOKUP($C388,'ТР нефть'!$A$29:$GC$641,74,0)</f>
        <v>65</v>
      </c>
      <c r="X388" s="397">
        <f>VLOOKUP($C388,'ТР нефть'!$A$29:$GC$641,79,0)</f>
        <v>21</v>
      </c>
      <c r="Y388" s="397">
        <f>VLOOKUP($C388,'ТР нефть'!$A$29:$GC$641,80,0)</f>
        <v>34</v>
      </c>
      <c r="Z388" s="397">
        <f>VLOOKUP($C388,'ТР нефть'!$A$29:$GC$641,81,0)</f>
        <v>20</v>
      </c>
      <c r="AA388" s="397" t="str">
        <f>VLOOKUP($C388,'ТР нефть'!$A$29:$GC$641,76,0)</f>
        <v>Постоянный</v>
      </c>
      <c r="AB388" s="397">
        <f>VLOOKUP($C388,'ТР нефть'!$A$29:$GC$641,77,0)</f>
        <v>24</v>
      </c>
      <c r="AC388" s="397">
        <f>VLOOKUP($C388,'ТР нефть'!$A$29:$GC$641,78,0)</f>
        <v>0</v>
      </c>
      <c r="AD388" s="398">
        <f>VLOOKUP($C388,'ТР нефть'!$A$29:$GC$641,93,0)</f>
        <v>12.122</v>
      </c>
      <c r="AE388" s="399">
        <f>VLOOKUP($C388,'ТР нефть'!$A$29:$GC$641,94,0)</f>
        <v>14.5</v>
      </c>
      <c r="AF388" s="400">
        <f>VLOOKUP($C388,'ТР нефть'!$A$29:$GC$641,95,0)</f>
        <v>0</v>
      </c>
      <c r="AG388" s="397">
        <f>VLOOKUP($C388,'ТР нефть'!$A$29:$GC$641,99,0)</f>
        <v>10</v>
      </c>
      <c r="AH388" s="397">
        <f>VLOOKUP($C388,'ТР нефть'!$A$29:$GC$641,100,0)</f>
        <v>824.94637848539844</v>
      </c>
      <c r="AI388" s="397">
        <f>VLOOKUP($C388,'ТР нефть'!$A$29:$GC$641,92,0)</f>
        <v>69</v>
      </c>
      <c r="AJ388" s="403">
        <f>VLOOKUP($C388,'ТР нефть'!$A$29:$GC$641,102,0)</f>
        <v>0.34523809523809523</v>
      </c>
      <c r="AK388" s="404">
        <f t="shared" si="39"/>
        <v>0</v>
      </c>
      <c r="AL388" s="397">
        <f t="shared" si="39"/>
        <v>0</v>
      </c>
      <c r="AM388" s="397">
        <f t="shared" si="39"/>
        <v>0</v>
      </c>
      <c r="AN388" s="397">
        <f t="shared" si="39"/>
        <v>0</v>
      </c>
      <c r="AO388" s="397">
        <f t="shared" si="37"/>
        <v>0</v>
      </c>
      <c r="AP388" s="397">
        <f t="shared" si="37"/>
        <v>0</v>
      </c>
      <c r="AQ388" s="398">
        <f t="shared" si="37"/>
        <v>2.09</v>
      </c>
      <c r="AR388" s="399">
        <f t="shared" si="36"/>
        <v>2.5</v>
      </c>
      <c r="AS388" s="400">
        <f t="shared" si="36"/>
        <v>0</v>
      </c>
      <c r="AT388" s="397">
        <f t="shared" si="36"/>
        <v>-4.4000000000000004</v>
      </c>
      <c r="AU388" s="397">
        <f t="shared" si="36"/>
        <v>386.34988725732825</v>
      </c>
      <c r="AV388" s="397">
        <f t="shared" si="36"/>
        <v>-1</v>
      </c>
      <c r="AW388" s="406">
        <f t="shared" si="36"/>
        <v>5.2555168408826958E-2</v>
      </c>
      <c r="AX388" s="392" t="str">
        <f>VLOOKUP($C388,'ТР нефть'!$A$29:$GC$641,182,0)</f>
        <v>Технология</v>
      </c>
      <c r="AY388" s="406" t="str">
        <f>VLOOKUP($C388,'ТР нефть'!$A$29:$GC$641,183,0)</f>
        <v>Увеличение дебита на фоне увеличения расхода г/г</v>
      </c>
      <c r="AZ388" s="407">
        <f t="shared" si="40"/>
        <v>12.122</v>
      </c>
      <c r="BA388" s="408">
        <f t="shared" si="40"/>
        <v>14.5</v>
      </c>
      <c r="BB388" s="397">
        <f t="shared" si="40"/>
        <v>0</v>
      </c>
      <c r="BC388" s="698"/>
      <c r="BD388" s="699"/>
    </row>
    <row r="389" spans="1:57" ht="40.5" customHeight="1" outlineLevel="2" x14ac:dyDescent="0.25">
      <c r="A389" s="373"/>
      <c r="B389" s="392">
        <f t="shared" si="38"/>
        <v>71</v>
      </c>
      <c r="C389" s="393">
        <v>3285</v>
      </c>
      <c r="D389" s="394" t="str">
        <f>VLOOKUP($C389,'ТР нефть'!$A$29:$GC$641,5,0)</f>
        <v>ВУ ОНГКМ</v>
      </c>
      <c r="E389" s="394" t="str">
        <f>VLOOKUP($C389,'ТР нефть'!$A$29:$GC$641,8,0)</f>
        <v>ТЛ-4</v>
      </c>
      <c r="F389" s="462" t="str">
        <f>VLOOKUP($C389,'ТР нефть'!$A$29:$GC$641,11,0)</f>
        <v>К-19</v>
      </c>
      <c r="G389" s="392" t="str">
        <f>VLOOKUP($C389,'ТР нефть'!$A$29:$GC$641,47,0)</f>
        <v>Газлифт</v>
      </c>
      <c r="H389" s="396">
        <f>VLOOKUP($C389,'ТР нефть'!$A$29:$GC$641,135,0)</f>
        <v>65</v>
      </c>
      <c r="I389" s="397">
        <f>VLOOKUP($C389,'ТР нефть'!$A$29:$GC$641,136,0)</f>
        <v>26</v>
      </c>
      <c r="J389" s="397">
        <f>VLOOKUP($C389,'ТР нефть'!$A$29:$GC$641,137,0)</f>
        <v>66</v>
      </c>
      <c r="K389" s="397">
        <f>VLOOKUP($C389,'ТР нефть'!$A$29:$GC$641,138,0)</f>
        <v>25</v>
      </c>
      <c r="L389" s="397" t="str">
        <f>VLOOKUP($C389,'ТР нефть'!$A$29:$GC$641,139,0)</f>
        <v>Постоянный</v>
      </c>
      <c r="M389" s="397">
        <f>VLOOKUP($C389,'ТР нефть'!$A$29:$GC$641,140,0)</f>
        <v>24</v>
      </c>
      <c r="N389" s="397">
        <f>VLOOKUP($C389,'ТР нефть'!$A$29:$GC$641,141,0)</f>
        <v>0</v>
      </c>
      <c r="O389" s="398">
        <f>VLOOKUP($C389,'ТР нефть'!$A$29:$GC$641,142,0)</f>
        <v>0.1660296</v>
      </c>
      <c r="P389" s="399">
        <f>VLOOKUP($C389,'ТР нефть'!$A$29:$GC$641,143,0)</f>
        <v>0.2</v>
      </c>
      <c r="Q389" s="400">
        <f>VLOOKUP($C389,'ТР нефть'!$A$29:$GC$641,144,0)</f>
        <v>0.7</v>
      </c>
      <c r="R389" s="397">
        <f>VLOOKUP($C389,'ТР нефть'!$A$29:$GC$641,145,0)</f>
        <v>10</v>
      </c>
      <c r="S389" s="397">
        <f>VLOOKUP($C389,'ТР нефть'!$A$29:$GC$641,146,0)</f>
        <v>808</v>
      </c>
      <c r="T389" s="397">
        <f>VLOOKUP($C389,'ТР нефть'!$A$29:$GC$641,149,0)</f>
        <v>115</v>
      </c>
      <c r="U389" s="403">
        <f>VLOOKUP($C389,'ТР нефть'!$A$29:$GC$641,150,0)</f>
        <v>0.04</v>
      </c>
      <c r="V389" s="402" t="str">
        <f>VLOOKUP($C389,'ТР нефть'!$A$29:$GC$641,47,0)</f>
        <v>Газлифт</v>
      </c>
      <c r="W389" s="396">
        <f>VLOOKUP($C389,'ТР нефть'!$A$29:$GC$641,74,0)</f>
        <v>65</v>
      </c>
      <c r="X389" s="397">
        <f>VLOOKUP($C389,'ТР нефть'!$A$29:$GC$641,79,0)</f>
        <v>25</v>
      </c>
      <c r="Y389" s="397">
        <f>VLOOKUP($C389,'ТР нефть'!$A$29:$GC$641,80,0)</f>
        <v>56</v>
      </c>
      <c r="Z389" s="397">
        <f>VLOOKUP($C389,'ТР нефть'!$A$29:$GC$641,81,0)</f>
        <v>24</v>
      </c>
      <c r="AA389" s="397" t="str">
        <f>VLOOKUP($C389,'ТР нефть'!$A$29:$GC$641,76,0)</f>
        <v>Постоянный</v>
      </c>
      <c r="AB389" s="397">
        <f>VLOOKUP($C389,'ТР нефть'!$A$29:$GC$641,77,0)</f>
        <v>24</v>
      </c>
      <c r="AC389" s="397">
        <f>VLOOKUP($C389,'ТР нефть'!$A$29:$GC$641,78,0)</f>
        <v>0</v>
      </c>
      <c r="AD389" s="398">
        <f>VLOOKUP($C389,'ТР нефть'!$A$29:$GC$641,93,0)</f>
        <v>2.5155240000000001</v>
      </c>
      <c r="AE389" s="399">
        <f>VLOOKUP($C389,'ТР нефть'!$A$29:$GC$641,94,0)</f>
        <v>5.9</v>
      </c>
      <c r="AF389" s="400">
        <f>VLOOKUP($C389,'ТР нефть'!$A$29:$GC$641,95,0)</f>
        <v>49</v>
      </c>
      <c r="AG389" s="397">
        <f>VLOOKUP($C389,'ТР нефть'!$A$29:$GC$641,99,0)</f>
        <v>3.5999999999999996</v>
      </c>
      <c r="AH389" s="397">
        <f>VLOOKUP($C389,'ТР нефть'!$A$29:$GC$641,100,0)</f>
        <v>1431.1133584891256</v>
      </c>
      <c r="AI389" s="397">
        <f>VLOOKUP($C389,'ТР нефть'!$A$29:$GC$641,92,0)</f>
        <v>78</v>
      </c>
      <c r="AJ389" s="403">
        <f>VLOOKUP($C389,'ТР нефть'!$A$29:$GC$641,102,0)</f>
        <v>0.14047619047619048</v>
      </c>
      <c r="AK389" s="404">
        <f t="shared" si="39"/>
        <v>0</v>
      </c>
      <c r="AL389" s="397">
        <f t="shared" si="39"/>
        <v>-1</v>
      </c>
      <c r="AM389" s="397">
        <f t="shared" si="39"/>
        <v>-10</v>
      </c>
      <c r="AN389" s="397">
        <f t="shared" si="39"/>
        <v>-1</v>
      </c>
      <c r="AO389" s="397">
        <f t="shared" si="37"/>
        <v>0</v>
      </c>
      <c r="AP389" s="397">
        <f t="shared" si="37"/>
        <v>0</v>
      </c>
      <c r="AQ389" s="398">
        <f t="shared" si="37"/>
        <v>2.3494944000000002</v>
      </c>
      <c r="AR389" s="399">
        <f t="shared" si="36"/>
        <v>5.7</v>
      </c>
      <c r="AS389" s="400">
        <f t="shared" si="36"/>
        <v>48.3</v>
      </c>
      <c r="AT389" s="397">
        <f t="shared" si="36"/>
        <v>-6.4</v>
      </c>
      <c r="AU389" s="397">
        <f t="shared" si="36"/>
        <v>623.11335848912563</v>
      </c>
      <c r="AV389" s="397">
        <f t="shared" si="36"/>
        <v>-37</v>
      </c>
      <c r="AW389" s="406">
        <f t="shared" si="36"/>
        <v>0.10047619047619047</v>
      </c>
      <c r="AX389" s="392" t="str">
        <f>VLOOKUP($C389,'ТР нефть'!$A$29:$GC$641,182,0)</f>
        <v>Технология</v>
      </c>
      <c r="AY389" s="406" t="str">
        <f>VLOOKUP($C389,'ТР нефть'!$A$29:$GC$641,183,0)</f>
        <v>Увеличение дебита после ПРГС</v>
      </c>
      <c r="AZ389" s="407">
        <f t="shared" si="40"/>
        <v>2.5155240000000001</v>
      </c>
      <c r="BA389" s="408">
        <f t="shared" si="40"/>
        <v>5.9</v>
      </c>
      <c r="BB389" s="397">
        <f t="shared" si="40"/>
        <v>49</v>
      </c>
      <c r="BC389" s="698"/>
      <c r="BD389" s="699"/>
    </row>
    <row r="390" spans="1:57" ht="40.5" customHeight="1" outlineLevel="2" x14ac:dyDescent="0.25">
      <c r="A390" s="373"/>
      <c r="B390" s="392">
        <f t="shared" si="38"/>
        <v>72</v>
      </c>
      <c r="C390" s="393">
        <v>3309</v>
      </c>
      <c r="D390" s="394" t="str">
        <f>VLOOKUP($C390,'ТР нефть'!$A$29:$GC$641,5,0)</f>
        <v>ВУ ОНГКМ</v>
      </c>
      <c r="E390" s="394" t="str">
        <f>VLOOKUP($C390,'ТР нефть'!$A$29:$GC$641,8,0)</f>
        <v>ТЛ-4</v>
      </c>
      <c r="F390" s="462" t="str">
        <f>VLOOKUP($C390,'ТР нефть'!$A$29:$GC$641,11,0)</f>
        <v>К-47</v>
      </c>
      <c r="G390" s="392" t="str">
        <f>VLOOKUP($C390,'ТР нефть'!$A$29:$GC$641,47,0)</f>
        <v>Газлифт</v>
      </c>
      <c r="H390" s="396">
        <f>VLOOKUP($C390,'ТР нефть'!$A$29:$GC$641,135,0)</f>
        <v>18</v>
      </c>
      <c r="I390" s="397">
        <f>VLOOKUP($C390,'ТР нефть'!$A$29:$GC$641,136,0)</f>
        <v>16</v>
      </c>
      <c r="J390" s="397">
        <f>VLOOKUP($C390,'ТР нефть'!$A$29:$GC$641,137,0)</f>
        <v>64</v>
      </c>
      <c r="K390" s="397">
        <f>VLOOKUP($C390,'ТР нефть'!$A$29:$GC$641,138,0)</f>
        <v>15</v>
      </c>
      <c r="L390" s="397" t="str">
        <f>VLOOKUP($C390,'ТР нефть'!$A$29:$GC$641,139,0)</f>
        <v>Постоянный</v>
      </c>
      <c r="M390" s="397">
        <f>VLOOKUP($C390,'ТР нефть'!$A$29:$GC$641,140,0)</f>
        <v>24</v>
      </c>
      <c r="N390" s="397">
        <f>VLOOKUP($C390,'ТР нефть'!$A$29:$GC$641,141,0)</f>
        <v>0</v>
      </c>
      <c r="O390" s="398">
        <f>VLOOKUP($C390,'ТР нефть'!$A$29:$GC$641,142,0)</f>
        <v>12.265374</v>
      </c>
      <c r="P390" s="399">
        <f>VLOOKUP($C390,'ТР нефть'!$A$29:$GC$641,143,0)</f>
        <v>15</v>
      </c>
      <c r="Q390" s="400">
        <f>VLOOKUP($C390,'ТР нефть'!$A$29:$GC$641,144,0)</f>
        <v>2.19</v>
      </c>
      <c r="R390" s="397">
        <f>VLOOKUP($C390,'ТР нефть'!$A$29:$GC$641,145,0)</f>
        <v>12.157</v>
      </c>
      <c r="S390" s="397">
        <f>VLOOKUP($C390,'ТР нефть'!$A$29:$GC$641,146,0)</f>
        <v>599.81864393209696</v>
      </c>
      <c r="T390" s="397">
        <f>VLOOKUP($C390,'ТР нефть'!$A$29:$GC$641,149,0)</f>
        <v>44</v>
      </c>
      <c r="U390" s="403">
        <f>VLOOKUP($C390,'ТР нефть'!$A$29:$GC$641,150,0)</f>
        <v>0.22388059701492538</v>
      </c>
      <c r="V390" s="402" t="str">
        <f>VLOOKUP($C390,'ТР нефть'!$A$29:$GC$641,47,0)</f>
        <v>Газлифт</v>
      </c>
      <c r="W390" s="396">
        <f>VLOOKUP($C390,'ТР нефть'!$A$29:$GC$641,74,0)</f>
        <v>18</v>
      </c>
      <c r="X390" s="397">
        <f>VLOOKUP($C390,'ТР нефть'!$A$29:$GC$641,79,0)</f>
        <v>16</v>
      </c>
      <c r="Y390" s="397">
        <f>VLOOKUP($C390,'ТР нефть'!$A$29:$GC$641,80,0)</f>
        <v>64</v>
      </c>
      <c r="Z390" s="397">
        <f>VLOOKUP($C390,'ТР нефть'!$A$29:$GC$641,81,0)</f>
        <v>15</v>
      </c>
      <c r="AA390" s="397" t="str">
        <f>VLOOKUP($C390,'ТР нефть'!$A$29:$GC$641,76,0)</f>
        <v>Постоянный</v>
      </c>
      <c r="AB390" s="397">
        <f>VLOOKUP($C390,'ТР нефть'!$A$29:$GC$641,77,0)</f>
        <v>24</v>
      </c>
      <c r="AC390" s="397">
        <f>VLOOKUP($C390,'ТР нефть'!$A$29:$GC$641,78,0)</f>
        <v>0</v>
      </c>
      <c r="AD390" s="398">
        <f>VLOOKUP($C390,'ТР нефть'!$A$29:$GC$641,93,0)</f>
        <v>14.098304000000001</v>
      </c>
      <c r="AE390" s="399">
        <f>VLOOKUP($C390,'ТР нефть'!$A$29:$GC$641,94,0)</f>
        <v>17</v>
      </c>
      <c r="AF390" s="400">
        <f>VLOOKUP($C390,'ТР нефть'!$A$29:$GC$641,95,0)</f>
        <v>0.8</v>
      </c>
      <c r="AG390" s="397">
        <f>VLOOKUP($C390,'ТР нефть'!$A$29:$GC$641,99,0)</f>
        <v>8.1999999999999993</v>
      </c>
      <c r="AH390" s="397">
        <f>VLOOKUP($C390,'ТР нефть'!$A$29:$GC$641,100,0)</f>
        <v>581.63024431874919</v>
      </c>
      <c r="AI390" s="397">
        <f>VLOOKUP($C390,'ТР нефть'!$A$29:$GC$641,92,0)</f>
        <v>49</v>
      </c>
      <c r="AJ390" s="403">
        <f>VLOOKUP($C390,'ТР нефть'!$A$29:$GC$641,102,0)</f>
        <v>0.27419354838709675</v>
      </c>
      <c r="AK390" s="404">
        <f t="shared" si="39"/>
        <v>0</v>
      </c>
      <c r="AL390" s="397">
        <f t="shared" si="39"/>
        <v>0</v>
      </c>
      <c r="AM390" s="397">
        <f t="shared" si="39"/>
        <v>0</v>
      </c>
      <c r="AN390" s="397">
        <f t="shared" si="39"/>
        <v>0</v>
      </c>
      <c r="AO390" s="397">
        <f t="shared" si="37"/>
        <v>0</v>
      </c>
      <c r="AP390" s="397">
        <f t="shared" si="37"/>
        <v>0</v>
      </c>
      <c r="AQ390" s="398">
        <f t="shared" si="37"/>
        <v>1.8329300000000011</v>
      </c>
      <c r="AR390" s="399">
        <f t="shared" si="36"/>
        <v>2</v>
      </c>
      <c r="AS390" s="400">
        <f t="shared" si="36"/>
        <v>-1.39</v>
      </c>
      <c r="AT390" s="397">
        <f t="shared" si="36"/>
        <v>-3.9570000000000007</v>
      </c>
      <c r="AU390" s="397">
        <f t="shared" si="36"/>
        <v>-18.188399613347769</v>
      </c>
      <c r="AV390" s="397">
        <f t="shared" si="36"/>
        <v>5</v>
      </c>
      <c r="AW390" s="406">
        <f t="shared" si="36"/>
        <v>5.0312951372171372E-2</v>
      </c>
      <c r="AX390" s="392" t="str">
        <f>VLOOKUP($C390,'ТР нефть'!$A$29:$GC$641,182,0)</f>
        <v>Технология</v>
      </c>
      <c r="AY390" s="406" t="str">
        <f>VLOOKUP($C390,'ТР нефть'!$A$29:$GC$641,183,0)</f>
        <v>Возврат потерь предыдущего месяца</v>
      </c>
      <c r="AZ390" s="407">
        <f t="shared" si="40"/>
        <v>14.098304000000001</v>
      </c>
      <c r="BA390" s="408">
        <f t="shared" si="40"/>
        <v>17</v>
      </c>
      <c r="BB390" s="397">
        <f t="shared" si="40"/>
        <v>0.8</v>
      </c>
      <c r="BC390" s="698"/>
      <c r="BD390" s="699"/>
    </row>
    <row r="391" spans="1:57" ht="40.5" customHeight="1" outlineLevel="2" x14ac:dyDescent="0.25">
      <c r="A391" s="373"/>
      <c r="B391" s="392">
        <f t="shared" si="38"/>
        <v>73</v>
      </c>
      <c r="C391" s="393" t="s">
        <v>2016</v>
      </c>
      <c r="D391" s="394" t="str">
        <f>VLOOKUP($C391,'ТР нефть'!$A$29:$GC$641,5,0)</f>
        <v>ВУ ОНГКМ</v>
      </c>
      <c r="E391" s="394" t="str">
        <f>VLOOKUP($C391,'ТР нефть'!$A$29:$GC$641,8,0)</f>
        <v>ТЛ-4</v>
      </c>
      <c r="F391" s="462" t="str">
        <f>VLOOKUP($C391,'ТР нефть'!$A$29:$GC$641,11,0)</f>
        <v>К-3409</v>
      </c>
      <c r="G391" s="392" t="str">
        <f>VLOOKUP($C391,'ТР нефть'!$A$29:$GC$641,47,0)</f>
        <v>ЭЦН</v>
      </c>
      <c r="H391" s="396">
        <f>VLOOKUP($C391,'ТР нефть'!$A$29:$GC$641,135,0)</f>
        <v>65</v>
      </c>
      <c r="I391" s="397">
        <f>VLOOKUP($C391,'ТР нефть'!$A$29:$GC$641,136,0)</f>
        <v>41</v>
      </c>
      <c r="J391" s="397">
        <f>VLOOKUP($C391,'ТР нефть'!$A$29:$GC$641,137,0)</f>
        <v>41</v>
      </c>
      <c r="K391" s="397">
        <f>VLOOKUP($C391,'ТР нефть'!$A$29:$GC$641,138,0)</f>
        <v>40</v>
      </c>
      <c r="L391" s="397" t="str">
        <f>VLOOKUP($C391,'ТР нефть'!$A$29:$GC$641,139,0)</f>
        <v>Периодический</v>
      </c>
      <c r="M391" s="397">
        <f>VLOOKUP($C391,'ТР нефть'!$A$29:$GC$641,140,0)</f>
        <v>4</v>
      </c>
      <c r="N391" s="397">
        <f>VLOOKUP($C391,'ТР нефть'!$A$29:$GC$641,141,0)</f>
        <v>20</v>
      </c>
      <c r="O391" s="398">
        <f>VLOOKUP($C391,'ТР нефть'!$A$29:$GC$641,142,0)</f>
        <v>1.7600307999999998</v>
      </c>
      <c r="P391" s="399">
        <f>VLOOKUP($C391,'ТР нефть'!$A$29:$GC$641,143,0)</f>
        <v>7.4</v>
      </c>
      <c r="Q391" s="400">
        <f>VLOOKUP($C391,'ТР нефть'!$A$29:$GC$641,144,0)</f>
        <v>71.55</v>
      </c>
      <c r="R391" s="397">
        <f>VLOOKUP($C391,'ТР нефть'!$A$29:$GC$641,145,0)</f>
        <v>2.5</v>
      </c>
      <c r="S391" s="397">
        <f>VLOOKUP($C391,'ТР нефть'!$A$29:$GC$641,146,0)</f>
        <v>1420.4296879350068</v>
      </c>
      <c r="T391" s="397">
        <f>VLOOKUP($C391,'ТР нефть'!$A$29:$GC$641,149,0)</f>
        <v>74.515381530871338</v>
      </c>
      <c r="U391" s="403">
        <f>VLOOKUP($C391,'ТР нефть'!$A$29:$GC$641,150,0)</f>
        <v>7.9157407081291084E-2</v>
      </c>
      <c r="V391" s="402" t="str">
        <f>VLOOKUP($C391,'ТР нефть'!$A$29:$GC$641,47,0)</f>
        <v>ЭЦН</v>
      </c>
      <c r="W391" s="396">
        <f>VLOOKUP($C391,'ТР нефть'!$A$29:$GC$641,74,0)</f>
        <v>65</v>
      </c>
      <c r="X391" s="397">
        <f>VLOOKUP($C391,'ТР нефть'!$A$29:$GC$641,79,0)</f>
        <v>42</v>
      </c>
      <c r="Y391" s="397">
        <f>VLOOKUP($C391,'ТР нефть'!$A$29:$GC$641,80,0)</f>
        <v>41</v>
      </c>
      <c r="Z391" s="397">
        <f>VLOOKUP($C391,'ТР нефть'!$A$29:$GC$641,81,0)</f>
        <v>41</v>
      </c>
      <c r="AA391" s="397" t="str">
        <f>VLOOKUP($C391,'ТР нефть'!$A$29:$GC$641,76,0)</f>
        <v>Периодический</v>
      </c>
      <c r="AB391" s="397">
        <f>VLOOKUP($C391,'ТР нефть'!$A$29:$GC$641,77,0)</f>
        <v>4</v>
      </c>
      <c r="AC391" s="397">
        <f>VLOOKUP($C391,'ТР нефть'!$A$29:$GC$641,78,0)</f>
        <v>20</v>
      </c>
      <c r="AD391" s="398">
        <f>VLOOKUP($C391,'ТР нефть'!$A$29:$GC$641,93,0)</f>
        <v>3.8054719999999995</v>
      </c>
      <c r="AE391" s="399">
        <f>VLOOKUP($C391,'ТР нефть'!$A$29:$GC$641,94,0)</f>
        <v>16</v>
      </c>
      <c r="AF391" s="400">
        <f>VLOOKUP($C391,'ТР нефть'!$A$29:$GC$641,95,0)</f>
        <v>71.55</v>
      </c>
      <c r="AG391" s="397">
        <f>VLOOKUP($C391,'ТР нефть'!$A$29:$GC$641,99,0)</f>
        <v>2.5</v>
      </c>
      <c r="AH391" s="397">
        <f>VLOOKUP($C391,'ТР нефть'!$A$29:$GC$641,100,0)</f>
        <v>656.94873066994069</v>
      </c>
      <c r="AI391" s="397">
        <f>VLOOKUP($C391,'ТР нефть'!$A$29:$GC$641,92,0)</f>
        <v>68.515381530871338</v>
      </c>
      <c r="AJ391" s="403">
        <f>VLOOKUP($C391,'ТР нефть'!$A$29:$GC$641,102,0)</f>
        <v>0.16082888235596945</v>
      </c>
      <c r="AK391" s="404">
        <f t="shared" si="39"/>
        <v>0</v>
      </c>
      <c r="AL391" s="397">
        <f t="shared" si="39"/>
        <v>1</v>
      </c>
      <c r="AM391" s="397">
        <f t="shared" si="39"/>
        <v>0</v>
      </c>
      <c r="AN391" s="397">
        <f t="shared" si="39"/>
        <v>1</v>
      </c>
      <c r="AO391" s="397">
        <f t="shared" si="37"/>
        <v>0</v>
      </c>
      <c r="AP391" s="397">
        <f t="shared" si="37"/>
        <v>0</v>
      </c>
      <c r="AQ391" s="398">
        <f t="shared" si="37"/>
        <v>2.0454412</v>
      </c>
      <c r="AR391" s="399">
        <f t="shared" si="36"/>
        <v>8.6</v>
      </c>
      <c r="AS391" s="400">
        <f t="shared" si="36"/>
        <v>0</v>
      </c>
      <c r="AT391" s="397">
        <f t="shared" si="36"/>
        <v>0</v>
      </c>
      <c r="AU391" s="397">
        <f t="shared" si="36"/>
        <v>-763.48095726506608</v>
      </c>
      <c r="AV391" s="397">
        <f t="shared" si="36"/>
        <v>-6</v>
      </c>
      <c r="AW391" s="406">
        <f t="shared" si="36"/>
        <v>8.1671475274678371E-2</v>
      </c>
      <c r="AX391" s="392" t="str">
        <f>VLOOKUP($C391,'ТР нефть'!$A$29:$GC$641,182,0)</f>
        <v>Технология</v>
      </c>
      <c r="AY391" s="406" t="str">
        <f>VLOOKUP($C391,'ТР нефть'!$A$29:$GC$641,183,0)</f>
        <v>Возврат потерь предыдущего периода</v>
      </c>
      <c r="AZ391" s="407">
        <f t="shared" si="40"/>
        <v>3.8054719999999995</v>
      </c>
      <c r="BA391" s="408">
        <f t="shared" si="40"/>
        <v>16</v>
      </c>
      <c r="BB391" s="397">
        <f t="shared" si="40"/>
        <v>71.55</v>
      </c>
      <c r="BC391" s="698"/>
      <c r="BD391" s="699"/>
    </row>
    <row r="392" spans="1:57" ht="40.5" customHeight="1" outlineLevel="2" x14ac:dyDescent="0.25">
      <c r="A392" s="373"/>
      <c r="B392" s="392">
        <f t="shared" si="38"/>
        <v>74</v>
      </c>
      <c r="C392" s="393">
        <v>3418</v>
      </c>
      <c r="D392" s="394" t="str">
        <f>VLOOKUP($C392,'ТР нефть'!$A$29:$GC$641,5,0)</f>
        <v>ВУ ОНГКМ</v>
      </c>
      <c r="E392" s="394" t="str">
        <f>VLOOKUP($C392,'ТР нефть'!$A$29:$GC$641,8,0)</f>
        <v>ТЛ-3</v>
      </c>
      <c r="F392" s="462" t="str">
        <f>VLOOKUP($C392,'ТР нефть'!$A$29:$GC$641,11,0)</f>
        <v>К-1362</v>
      </c>
      <c r="G392" s="392" t="str">
        <f>VLOOKUP($C392,'ТР нефть'!$A$29:$GC$641,47,0)</f>
        <v>Газлифт</v>
      </c>
      <c r="H392" s="396">
        <f>VLOOKUP($C392,'ТР нефть'!$A$29:$GC$641,135,0)</f>
        <v>18</v>
      </c>
      <c r="I392" s="397">
        <f>VLOOKUP($C392,'ТР нефть'!$A$29:$GC$641,136,0)</f>
        <v>25</v>
      </c>
      <c r="J392" s="397">
        <f>VLOOKUP($C392,'ТР нефть'!$A$29:$GC$641,137,0)</f>
        <v>72</v>
      </c>
      <c r="K392" s="397">
        <f>VLOOKUP($C392,'ТР нефть'!$A$29:$GC$641,138,0)</f>
        <v>24</v>
      </c>
      <c r="L392" s="397" t="str">
        <f>VLOOKUP($C392,'ТР нефть'!$A$29:$GC$641,139,0)</f>
        <v>Постоянный</v>
      </c>
      <c r="M392" s="397">
        <f>VLOOKUP($C392,'ТР нефть'!$A$29:$GC$641,140,0)</f>
        <v>24</v>
      </c>
      <c r="N392" s="397">
        <f>VLOOKUP($C392,'ТР нефть'!$A$29:$GC$641,141,0)</f>
        <v>0</v>
      </c>
      <c r="O392" s="398">
        <f>VLOOKUP($C392,'ТР нефть'!$A$29:$GC$641,142,0)</f>
        <v>17.054399999999998</v>
      </c>
      <c r="P392" s="399">
        <f>VLOOKUP($C392,'ТР нефть'!$A$29:$GC$641,143,0)</f>
        <v>40</v>
      </c>
      <c r="Q392" s="400">
        <f>VLOOKUP($C392,'ТР нефть'!$A$29:$GC$641,144,0)</f>
        <v>49</v>
      </c>
      <c r="R392" s="397">
        <f>VLOOKUP($C392,'ТР нефть'!$A$29:$GC$641,145,0)</f>
        <v>30.8</v>
      </c>
      <c r="S392" s="397">
        <f>VLOOKUP($C392,'ТР нефть'!$A$29:$GC$641,146,0)</f>
        <v>562.90458767238977</v>
      </c>
      <c r="T392" s="397">
        <f>VLOOKUP($C392,'ТР нефть'!$A$29:$GC$641,149,0)</f>
        <v>71</v>
      </c>
      <c r="U392" s="403">
        <f>VLOOKUP($C392,'ТР нефть'!$A$29:$GC$641,150,0)</f>
        <v>1.0810810810810811</v>
      </c>
      <c r="V392" s="402" t="str">
        <f>VLOOKUP($C392,'ТР нефть'!$A$29:$GC$641,47,0)</f>
        <v>Газлифт</v>
      </c>
      <c r="W392" s="396">
        <f>VLOOKUP($C392,'ТР нефть'!$A$29:$GC$641,74,0)</f>
        <v>18</v>
      </c>
      <c r="X392" s="397">
        <f>VLOOKUP($C392,'ТР нефть'!$A$29:$GC$641,79,0)</f>
        <v>20</v>
      </c>
      <c r="Y392" s="397">
        <f>VLOOKUP($C392,'ТР нефть'!$A$29:$GC$641,80,0)</f>
        <v>64</v>
      </c>
      <c r="Z392" s="397">
        <f>VLOOKUP($C392,'ТР нефть'!$A$29:$GC$641,81,0)</f>
        <v>19</v>
      </c>
      <c r="AA392" s="397" t="str">
        <f>VLOOKUP($C392,'ТР нефть'!$A$29:$GC$641,76,0)</f>
        <v>Постоянный</v>
      </c>
      <c r="AB392" s="397">
        <f>VLOOKUP($C392,'ТР нефть'!$A$29:$GC$641,77,0)</f>
        <v>24</v>
      </c>
      <c r="AC392" s="397">
        <f>VLOOKUP($C392,'ТР нефть'!$A$29:$GC$641,78,0)</f>
        <v>0</v>
      </c>
      <c r="AD392" s="398">
        <f>VLOOKUP($C392,'ТР нефть'!$A$29:$GC$641,93,0)</f>
        <v>22.135189999999994</v>
      </c>
      <c r="AE392" s="399">
        <f>VLOOKUP($C392,'ТР нефть'!$A$29:$GC$641,94,0)</f>
        <v>59.5</v>
      </c>
      <c r="AF392" s="400">
        <f>VLOOKUP($C392,'ТР нефть'!$A$29:$GC$641,95,0)</f>
        <v>55.5</v>
      </c>
      <c r="AG392" s="397">
        <f>VLOOKUP($C392,'ТР нефть'!$A$29:$GC$641,99,0)</f>
        <v>6.5</v>
      </c>
      <c r="AH392" s="397">
        <f>VLOOKUP($C392,'ТР нефть'!$A$29:$GC$641,100,0)</f>
        <v>293.65006580020327</v>
      </c>
      <c r="AI392" s="397">
        <f>VLOOKUP($C392,'ТР нефть'!$A$29:$GC$641,92,0)</f>
        <v>60</v>
      </c>
      <c r="AJ392" s="403">
        <f>VLOOKUP($C392,'ТР нефть'!$A$29:$GC$641,102,0)</f>
        <v>1.2395833333333333</v>
      </c>
      <c r="AK392" s="404">
        <f t="shared" si="39"/>
        <v>0</v>
      </c>
      <c r="AL392" s="397">
        <f t="shared" si="39"/>
        <v>-5</v>
      </c>
      <c r="AM392" s="397">
        <f t="shared" si="39"/>
        <v>-8</v>
      </c>
      <c r="AN392" s="397">
        <f t="shared" si="39"/>
        <v>-5</v>
      </c>
      <c r="AO392" s="397">
        <f t="shared" si="37"/>
        <v>0</v>
      </c>
      <c r="AP392" s="397">
        <f t="shared" si="37"/>
        <v>0</v>
      </c>
      <c r="AQ392" s="398">
        <f t="shared" si="37"/>
        <v>5.0807899999999968</v>
      </c>
      <c r="AR392" s="399">
        <f t="shared" si="36"/>
        <v>19.5</v>
      </c>
      <c r="AS392" s="400">
        <f t="shared" si="36"/>
        <v>6.5</v>
      </c>
      <c r="AT392" s="397">
        <f t="shared" si="36"/>
        <v>-24.3</v>
      </c>
      <c r="AU392" s="397">
        <f t="shared" si="36"/>
        <v>-269.2545218721865</v>
      </c>
      <c r="AV392" s="397">
        <f t="shared" si="36"/>
        <v>-11</v>
      </c>
      <c r="AW392" s="406">
        <f t="shared" si="36"/>
        <v>0.15850225225225212</v>
      </c>
      <c r="AX392" s="392" t="str">
        <f>VLOOKUP($C392,'ТР нефть'!$A$29:$GC$641,182,0)</f>
        <v>Технология</v>
      </c>
      <c r="AY392" s="406" t="str">
        <f>VLOOKUP($C392,'ТР нефть'!$A$29:$GC$641,183,0)</f>
        <v>Увеличение дебита на фоне снижения Рлин и Рзаб, увеличении расхода</v>
      </c>
      <c r="AZ392" s="407">
        <f t="shared" si="40"/>
        <v>22.135189999999994</v>
      </c>
      <c r="BA392" s="408">
        <f t="shared" si="40"/>
        <v>59.5</v>
      </c>
      <c r="BB392" s="397">
        <f t="shared" si="40"/>
        <v>55.5</v>
      </c>
      <c r="BC392" s="698"/>
      <c r="BD392" s="699"/>
    </row>
    <row r="393" spans="1:57" ht="40.5" customHeight="1" outlineLevel="2" x14ac:dyDescent="0.25">
      <c r="A393" s="373"/>
      <c r="B393" s="392">
        <f t="shared" si="38"/>
        <v>75</v>
      </c>
      <c r="C393" s="393">
        <v>3500</v>
      </c>
      <c r="D393" s="394" t="str">
        <f>VLOOKUP($C393,'ТР нефть'!$A$29:$GC$641,5,0)</f>
        <v>ВУ ОНГКМ</v>
      </c>
      <c r="E393" s="394" t="str">
        <f>VLOOKUP($C393,'ТР нефть'!$A$29:$GC$641,8,0)</f>
        <v>ТЛ-2</v>
      </c>
      <c r="F393" s="462" t="str">
        <f>VLOOKUP($C393,'ТР нефть'!$A$29:$GC$641,11,0)</f>
        <v>К-40</v>
      </c>
      <c r="G393" s="392" t="str">
        <f>VLOOKUP($C393,'ТР нефть'!$A$29:$GC$641,47,0)</f>
        <v>Газлифт</v>
      </c>
      <c r="H393" s="396">
        <f>VLOOKUP($C393,'ТР нефть'!$A$29:$GC$641,135,0)</f>
        <v>18</v>
      </c>
      <c r="I393" s="397">
        <f>VLOOKUP($C393,'ТР нефть'!$A$29:$GC$641,136,0)</f>
        <v>27</v>
      </c>
      <c r="J393" s="397">
        <f>VLOOKUP($C393,'ТР нефть'!$A$29:$GC$641,137,0)</f>
        <v>45</v>
      </c>
      <c r="K393" s="397">
        <f>VLOOKUP($C393,'ТР нефть'!$A$29:$GC$641,138,0)</f>
        <v>26</v>
      </c>
      <c r="L393" s="397" t="str">
        <f>VLOOKUP($C393,'ТР нефть'!$A$29:$GC$641,139,0)</f>
        <v>Постоянный</v>
      </c>
      <c r="M393" s="397">
        <f>VLOOKUP($C393,'ТР нефть'!$A$29:$GC$641,140,0)</f>
        <v>24</v>
      </c>
      <c r="N393" s="397">
        <f>VLOOKUP($C393,'ТР нефть'!$A$29:$GC$641,141,0)</f>
        <v>0</v>
      </c>
      <c r="O393" s="398">
        <f>VLOOKUP($C393,'ТР нефть'!$A$29:$GC$641,142,0)</f>
        <v>17.137999999999998</v>
      </c>
      <c r="P393" s="399">
        <f>VLOOKUP($C393,'ТР нефть'!$A$29:$GC$641,143,0)</f>
        <v>20.5</v>
      </c>
      <c r="Q393" s="400">
        <f>VLOOKUP($C393,'ТР нефть'!$A$29:$GC$641,144,0)</f>
        <v>0</v>
      </c>
      <c r="R393" s="397">
        <f>VLOOKUP($C393,'ТР нефть'!$A$29:$GC$641,145,0)</f>
        <v>18.7</v>
      </c>
      <c r="S393" s="397">
        <f>VLOOKUP($C393,'ТР нефть'!$A$29:$GC$641,146,0)</f>
        <v>723.53833586182748</v>
      </c>
      <c r="T393" s="397">
        <f>VLOOKUP($C393,'ТР нефть'!$A$29:$GC$641,149,0)</f>
        <v>51</v>
      </c>
      <c r="U393" s="403">
        <f>VLOOKUP($C393,'ТР нефть'!$A$29:$GC$641,150,0)</f>
        <v>0.25624999999999998</v>
      </c>
      <c r="V393" s="402" t="str">
        <f>VLOOKUP($C393,'ТР нефть'!$A$29:$GC$641,47,0)</f>
        <v>Газлифт</v>
      </c>
      <c r="W393" s="396">
        <f>VLOOKUP($C393,'ТР нефть'!$A$29:$GC$641,74,0)</f>
        <v>18</v>
      </c>
      <c r="X393" s="397">
        <f>VLOOKUP($C393,'ТР нефть'!$A$29:$GC$641,79,0)</f>
        <v>24</v>
      </c>
      <c r="Y393" s="397">
        <f>VLOOKUP($C393,'ТР нефть'!$A$29:$GC$641,80,0)</f>
        <v>42</v>
      </c>
      <c r="Z393" s="397">
        <f>VLOOKUP($C393,'ТР нефть'!$A$29:$GC$641,81,0)</f>
        <v>23</v>
      </c>
      <c r="AA393" s="397" t="str">
        <f>VLOOKUP($C393,'ТР нефть'!$A$29:$GC$641,76,0)</f>
        <v>Постоянный</v>
      </c>
      <c r="AB393" s="397">
        <f>VLOOKUP($C393,'ТР нефть'!$A$29:$GC$641,77,0)</f>
        <v>24</v>
      </c>
      <c r="AC393" s="397">
        <f>VLOOKUP($C393,'ТР нефть'!$A$29:$GC$641,78,0)</f>
        <v>0</v>
      </c>
      <c r="AD393" s="398">
        <f>VLOOKUP($C393,'ТР нефть'!$A$29:$GC$641,93,0)</f>
        <v>18.057600000000001</v>
      </c>
      <c r="AE393" s="399">
        <f>VLOOKUP($C393,'ТР нефть'!$A$29:$GC$641,94,0)</f>
        <v>21.6</v>
      </c>
      <c r="AF393" s="400">
        <f>VLOOKUP($C393,'ТР нефть'!$A$29:$GC$641,95,0)</f>
        <v>0</v>
      </c>
      <c r="AG393" s="397">
        <f>VLOOKUP($C393,'ТР нефть'!$A$29:$GC$641,99,0)</f>
        <v>12</v>
      </c>
      <c r="AH393" s="397">
        <f>VLOOKUP($C393,'ТР нефть'!$A$29:$GC$641,100,0)</f>
        <v>664.54013822434877</v>
      </c>
      <c r="AI393" s="397">
        <f>VLOOKUP($C393,'ТР нефть'!$A$29:$GC$641,92,0)</f>
        <v>50</v>
      </c>
      <c r="AJ393" s="403">
        <f>VLOOKUP($C393,'ТР нефть'!$A$29:$GC$641,102,0)</f>
        <v>0.26666666666666666</v>
      </c>
      <c r="AK393" s="404">
        <f t="shared" si="39"/>
        <v>0</v>
      </c>
      <c r="AL393" s="397">
        <f t="shared" si="39"/>
        <v>-3</v>
      </c>
      <c r="AM393" s="397">
        <f t="shared" si="39"/>
        <v>-3</v>
      </c>
      <c r="AN393" s="397">
        <f t="shared" si="39"/>
        <v>-3</v>
      </c>
      <c r="AO393" s="397">
        <f t="shared" si="37"/>
        <v>0</v>
      </c>
      <c r="AP393" s="397">
        <f t="shared" si="37"/>
        <v>0</v>
      </c>
      <c r="AQ393" s="398">
        <f t="shared" si="37"/>
        <v>0.91960000000000264</v>
      </c>
      <c r="AR393" s="399">
        <f t="shared" si="36"/>
        <v>1.1000000000000014</v>
      </c>
      <c r="AS393" s="400">
        <f t="shared" si="36"/>
        <v>0</v>
      </c>
      <c r="AT393" s="397">
        <f t="shared" si="36"/>
        <v>-6.6999999999999993</v>
      </c>
      <c r="AU393" s="397">
        <f t="shared" si="36"/>
        <v>-58.998197637478711</v>
      </c>
      <c r="AV393" s="397">
        <f t="shared" si="36"/>
        <v>-1</v>
      </c>
      <c r="AW393" s="406">
        <f t="shared" si="36"/>
        <v>1.0416666666666685E-2</v>
      </c>
      <c r="AX393" s="392" t="str">
        <f>VLOOKUP($C393,'ТР нефть'!$A$29:$GC$641,182,0)</f>
        <v>Технология</v>
      </c>
      <c r="AY393" s="406" t="str">
        <f>VLOOKUP($C393,'ТР нефть'!$A$29:$GC$641,183,0)</f>
        <v>Увеличение дебита на фоне снижения Рлин</v>
      </c>
      <c r="AZ393" s="407">
        <f t="shared" si="40"/>
        <v>18.057600000000001</v>
      </c>
      <c r="BA393" s="408">
        <f t="shared" si="40"/>
        <v>21.6</v>
      </c>
      <c r="BB393" s="397">
        <f t="shared" si="40"/>
        <v>0</v>
      </c>
      <c r="BC393" s="698"/>
      <c r="BD393" s="699"/>
    </row>
    <row r="394" spans="1:57" ht="40.5" customHeight="1" outlineLevel="2" x14ac:dyDescent="0.25">
      <c r="A394" s="373"/>
      <c r="B394" s="392">
        <f t="shared" si="38"/>
        <v>76</v>
      </c>
      <c r="C394" s="393">
        <v>5916</v>
      </c>
      <c r="D394" s="394" t="str">
        <f>VLOOKUP($C394,'ТР нефть'!$A$29:$GC$641,5,0)</f>
        <v>ВУ ОНГКМ</v>
      </c>
      <c r="E394" s="394" t="str">
        <f>VLOOKUP($C394,'ТР нефть'!$A$29:$GC$641,8,0)</f>
        <v>ТЛ-4</v>
      </c>
      <c r="F394" s="462" t="str">
        <f>VLOOKUP($C394,'ТР нефть'!$A$29:$GC$641,11,0)</f>
        <v>К-5914</v>
      </c>
      <c r="G394" s="392" t="str">
        <f>VLOOKUP($C394,'ТР нефть'!$A$29:$GC$641,47,0)</f>
        <v>Газлифт</v>
      </c>
      <c r="H394" s="396">
        <f>VLOOKUP($C394,'ТР нефть'!$A$29:$GC$641,135,0)</f>
        <v>8</v>
      </c>
      <c r="I394" s="397">
        <f>VLOOKUP($C394,'ТР нефть'!$A$29:$GC$641,136,0)</f>
        <v>31</v>
      </c>
      <c r="J394" s="397">
        <f>VLOOKUP($C394,'ТР нефть'!$A$29:$GC$641,137,0)</f>
        <v>68</v>
      </c>
      <c r="K394" s="397">
        <f>VLOOKUP($C394,'ТР нефть'!$A$29:$GC$641,138,0)</f>
        <v>30</v>
      </c>
      <c r="L394" s="397" t="str">
        <f>VLOOKUP($C394,'ТР нефть'!$A$29:$GC$641,139,0)</f>
        <v>Постоянный</v>
      </c>
      <c r="M394" s="397">
        <f>VLOOKUP($C394,'ТР нефть'!$A$29:$GC$641,140,0)</f>
        <v>24</v>
      </c>
      <c r="N394" s="397">
        <f>VLOOKUP($C394,'ТР нефть'!$A$29:$GC$641,141,0)</f>
        <v>0</v>
      </c>
      <c r="O394" s="398">
        <f>VLOOKUP($C394,'ТР нефть'!$A$29:$GC$641,142,0)</f>
        <v>3.4108800000000001</v>
      </c>
      <c r="P394" s="399">
        <f>VLOOKUP($C394,'ТР нефть'!$A$29:$GC$641,143,0)</f>
        <v>5</v>
      </c>
      <c r="Q394" s="400">
        <f>VLOOKUP($C394,'ТР нефть'!$A$29:$GC$641,144,0)</f>
        <v>18.399999999999999</v>
      </c>
      <c r="R394" s="397">
        <f>VLOOKUP($C394,'ТР нефть'!$A$29:$GC$641,145,0)</f>
        <v>16</v>
      </c>
      <c r="S394" s="397">
        <f>VLOOKUP($C394,'ТР нефть'!$A$29:$GC$641,146,0)</f>
        <v>1172.7178909841448</v>
      </c>
      <c r="T394" s="397">
        <f>VLOOKUP($C394,'ТР нефть'!$A$29:$GC$641,149,0)</f>
        <v>103</v>
      </c>
      <c r="U394" s="403">
        <f>VLOOKUP($C394,'ТР нефть'!$A$29:$GC$641,150,0)</f>
        <v>0.14705882352941177</v>
      </c>
      <c r="V394" s="402" t="str">
        <f>VLOOKUP($C394,'ТР нефть'!$A$29:$GC$641,47,0)</f>
        <v>Газлифт</v>
      </c>
      <c r="W394" s="396">
        <f>VLOOKUP($C394,'ТР нефть'!$A$29:$GC$641,74,0)</f>
        <v>8</v>
      </c>
      <c r="X394" s="397">
        <f>VLOOKUP($C394,'ТР нефть'!$A$29:$GC$641,79,0)</f>
        <v>35</v>
      </c>
      <c r="Y394" s="397">
        <f>VLOOKUP($C394,'ТР нефть'!$A$29:$GC$641,80,0)</f>
        <v>46</v>
      </c>
      <c r="Z394" s="397">
        <f>VLOOKUP($C394,'ТР нефть'!$A$29:$GC$641,81,0)</f>
        <v>33</v>
      </c>
      <c r="AA394" s="397" t="str">
        <f>VLOOKUP($C394,'ТР нефть'!$A$29:$GC$641,76,0)</f>
        <v>Постоянный</v>
      </c>
      <c r="AB394" s="397">
        <f>VLOOKUP($C394,'ТР нефть'!$A$29:$GC$641,77,0)</f>
        <v>24</v>
      </c>
      <c r="AC394" s="397">
        <f>VLOOKUP($C394,'ТР нефть'!$A$29:$GC$641,78,0)</f>
        <v>0</v>
      </c>
      <c r="AD394" s="398">
        <f>VLOOKUP($C394,'ТР нефть'!$A$29:$GC$641,93,0)</f>
        <v>5.8185599999999997</v>
      </c>
      <c r="AE394" s="399">
        <f>VLOOKUP($C394,'ТР нефть'!$A$29:$GC$641,94,0)</f>
        <v>8</v>
      </c>
      <c r="AF394" s="400">
        <f>VLOOKUP($C394,'ТР нефть'!$A$29:$GC$641,95,0)</f>
        <v>13</v>
      </c>
      <c r="AG394" s="397">
        <f>VLOOKUP($C394,'ТР нефть'!$A$29:$GC$641,99,0)</f>
        <v>9</v>
      </c>
      <c r="AH394" s="397">
        <f>VLOOKUP($C394,'ТР нефть'!$A$29:$GC$641,100,0)</f>
        <v>1546.7744596601221</v>
      </c>
      <c r="AI394" s="397">
        <f>VLOOKUP($C394,'ТР нефть'!$A$29:$GC$641,92,0)</f>
        <v>90</v>
      </c>
      <c r="AJ394" s="403">
        <f>VLOOKUP($C394,'ТР нефть'!$A$29:$GC$641,102,0)</f>
        <v>0.1702127659574468</v>
      </c>
      <c r="AK394" s="404">
        <f t="shared" si="39"/>
        <v>0</v>
      </c>
      <c r="AL394" s="397">
        <f t="shared" si="39"/>
        <v>4</v>
      </c>
      <c r="AM394" s="397">
        <f t="shared" si="39"/>
        <v>-22</v>
      </c>
      <c r="AN394" s="397">
        <f t="shared" si="39"/>
        <v>3</v>
      </c>
      <c r="AO394" s="397">
        <f t="shared" si="37"/>
        <v>0</v>
      </c>
      <c r="AP394" s="397">
        <f t="shared" si="37"/>
        <v>0</v>
      </c>
      <c r="AQ394" s="398">
        <f t="shared" si="37"/>
        <v>2.4076799999999996</v>
      </c>
      <c r="AR394" s="399">
        <f t="shared" si="36"/>
        <v>3</v>
      </c>
      <c r="AS394" s="400">
        <f t="shared" si="36"/>
        <v>-5.3999999999999986</v>
      </c>
      <c r="AT394" s="397">
        <f t="shared" si="36"/>
        <v>-7</v>
      </c>
      <c r="AU394" s="397">
        <f t="shared" si="36"/>
        <v>374.05656867597736</v>
      </c>
      <c r="AV394" s="397">
        <f t="shared" si="36"/>
        <v>-13</v>
      </c>
      <c r="AW394" s="406">
        <f t="shared" si="36"/>
        <v>2.3153942428035035E-2</v>
      </c>
      <c r="AX394" s="392" t="str">
        <f>VLOOKUP($C394,'ТР нефть'!$A$29:$GC$641,182,0)</f>
        <v>Технология</v>
      </c>
      <c r="AY394" s="406" t="str">
        <f>VLOOKUP($C394,'ТР нефть'!$A$29:$GC$641,183,0)</f>
        <v>Возврат потерь предыдущего периода.</v>
      </c>
      <c r="AZ394" s="407">
        <f t="shared" si="40"/>
        <v>5.8185599999999997</v>
      </c>
      <c r="BA394" s="408">
        <f t="shared" si="40"/>
        <v>8</v>
      </c>
      <c r="BB394" s="397">
        <f t="shared" si="40"/>
        <v>13</v>
      </c>
      <c r="BC394" s="698"/>
      <c r="BD394" s="699"/>
    </row>
    <row r="395" spans="1:57" ht="40.5" customHeight="1" outlineLevel="2" x14ac:dyDescent="0.25">
      <c r="A395" s="373"/>
      <c r="B395" s="392">
        <f t="shared" si="38"/>
        <v>77</v>
      </c>
      <c r="C395" s="393">
        <v>6305</v>
      </c>
      <c r="D395" s="394" t="str">
        <f>VLOOKUP($C395,'ТР нефть'!$A$29:$GC$641,5,0)</f>
        <v>ВУ ОНГКМ</v>
      </c>
      <c r="E395" s="394" t="str">
        <f>VLOOKUP($C395,'ТР нефть'!$A$29:$GC$641,8,0)</f>
        <v>ТЛ-4</v>
      </c>
      <c r="F395" s="462" t="str">
        <f>VLOOKUP($C395,'ТР нефть'!$A$29:$GC$641,11,0)</f>
        <v>К-64</v>
      </c>
      <c r="G395" s="392" t="str">
        <f>VLOOKUP($C395,'ТР нефть'!$A$29:$GC$641,47,0)</f>
        <v>Газлифт</v>
      </c>
      <c r="H395" s="396">
        <f>VLOOKUP($C395,'ТР нефть'!$A$29:$GC$641,135,0)</f>
        <v>18</v>
      </c>
      <c r="I395" s="397">
        <f>VLOOKUP($C395,'ТР нефть'!$A$29:$GC$641,136,0)</f>
        <v>36</v>
      </c>
      <c r="J395" s="397">
        <f>VLOOKUP($C395,'ТР нефть'!$A$29:$GC$641,137,0)</f>
        <v>64</v>
      </c>
      <c r="K395" s="397">
        <f>VLOOKUP($C395,'ТР нефть'!$A$29:$GC$641,138,0)</f>
        <v>35</v>
      </c>
      <c r="L395" s="397" t="str">
        <f>VLOOKUP($C395,'ТР нефть'!$A$29:$GC$641,139,0)</f>
        <v>Постоянный</v>
      </c>
      <c r="M395" s="397">
        <f>VLOOKUP($C395,'ТР нефть'!$A$29:$GC$641,140,0)</f>
        <v>24</v>
      </c>
      <c r="N395" s="397">
        <f>VLOOKUP($C395,'ТР нефть'!$A$29:$GC$641,141,0)</f>
        <v>0</v>
      </c>
      <c r="O395" s="398">
        <f>VLOOKUP($C395,'ТР нефть'!$A$29:$GC$641,142,0)</f>
        <v>6.6879999999999997</v>
      </c>
      <c r="P395" s="399">
        <f>VLOOKUP($C395,'ТР нефть'!$A$29:$GC$641,143,0)</f>
        <v>8</v>
      </c>
      <c r="Q395" s="400">
        <f>VLOOKUP($C395,'ТР нефть'!$A$29:$GC$641,144,0)</f>
        <v>0</v>
      </c>
      <c r="R395" s="397">
        <f>VLOOKUP($C395,'ТР нефть'!$A$29:$GC$641,145,0)</f>
        <v>16.2</v>
      </c>
      <c r="S395" s="397">
        <f>VLOOKUP($C395,'ТР нефть'!$A$29:$GC$641,146,0)</f>
        <v>627.99043062200951</v>
      </c>
      <c r="T395" s="397">
        <f>VLOOKUP($C395,'ТР нефть'!$A$29:$GC$641,149,0)</f>
        <v>71</v>
      </c>
      <c r="U395" s="403">
        <f>VLOOKUP($C395,'ТР нефть'!$A$29:$GC$641,150,0)</f>
        <v>0.11940298507462686</v>
      </c>
      <c r="V395" s="402" t="str">
        <f>VLOOKUP($C395,'ТР нефть'!$A$29:$GC$641,47,0)</f>
        <v>Газлифт</v>
      </c>
      <c r="W395" s="396">
        <f>VLOOKUP($C395,'ТР нефть'!$A$29:$GC$641,74,0)</f>
        <v>18</v>
      </c>
      <c r="X395" s="397">
        <f>VLOOKUP($C395,'ТР нефть'!$A$29:$GC$641,79,0)</f>
        <v>38</v>
      </c>
      <c r="Y395" s="397">
        <f>VLOOKUP($C395,'ТР нефть'!$A$29:$GC$641,80,0)</f>
        <v>47</v>
      </c>
      <c r="Z395" s="397">
        <f>VLOOKUP($C395,'ТР нефть'!$A$29:$GC$641,81,0)</f>
        <v>37</v>
      </c>
      <c r="AA395" s="397" t="str">
        <f>VLOOKUP($C395,'ТР нефть'!$A$29:$GC$641,76,0)</f>
        <v>Постоянный</v>
      </c>
      <c r="AB395" s="397">
        <f>VLOOKUP($C395,'ТР нефть'!$A$29:$GC$641,77,0)</f>
        <v>24</v>
      </c>
      <c r="AC395" s="397">
        <f>VLOOKUP($C395,'ТР нефть'!$A$29:$GC$641,78,0)</f>
        <v>0</v>
      </c>
      <c r="AD395" s="398">
        <f>VLOOKUP($C395,'ТР нефть'!$A$29:$GC$641,93,0)</f>
        <v>9.7811999999999983</v>
      </c>
      <c r="AE395" s="399">
        <f>VLOOKUP($C395,'ТР нефть'!$A$29:$GC$641,94,0)</f>
        <v>11.7</v>
      </c>
      <c r="AF395" s="400">
        <f>VLOOKUP($C395,'ТР нефть'!$A$29:$GC$641,95,0)</f>
        <v>0</v>
      </c>
      <c r="AG395" s="397">
        <f>VLOOKUP($C395,'ТР нефть'!$A$29:$GC$641,99,0)</f>
        <v>4.1999999999999993</v>
      </c>
      <c r="AH395" s="397">
        <f>VLOOKUP($C395,'ТР нефть'!$A$29:$GC$641,100,0)</f>
        <v>429.3951662372715</v>
      </c>
      <c r="AI395" s="397">
        <f>VLOOKUP($C395,'ТР нефть'!$A$29:$GC$641,92,0)</f>
        <v>71</v>
      </c>
      <c r="AJ395" s="403">
        <f>VLOOKUP($C395,'ТР нефть'!$A$29:$GC$641,102,0)</f>
        <v>0.17462686567164179</v>
      </c>
      <c r="AK395" s="404">
        <f t="shared" si="39"/>
        <v>0</v>
      </c>
      <c r="AL395" s="397">
        <f t="shared" si="39"/>
        <v>2</v>
      </c>
      <c r="AM395" s="397">
        <f t="shared" si="39"/>
        <v>-17</v>
      </c>
      <c r="AN395" s="397">
        <f t="shared" si="39"/>
        <v>2</v>
      </c>
      <c r="AO395" s="397">
        <f t="shared" si="37"/>
        <v>0</v>
      </c>
      <c r="AP395" s="397">
        <f t="shared" si="37"/>
        <v>0</v>
      </c>
      <c r="AQ395" s="398">
        <f t="shared" si="37"/>
        <v>3.0931999999999986</v>
      </c>
      <c r="AR395" s="399">
        <f t="shared" si="36"/>
        <v>3.6999999999999993</v>
      </c>
      <c r="AS395" s="400">
        <f t="shared" si="36"/>
        <v>0</v>
      </c>
      <c r="AT395" s="397">
        <f t="shared" si="36"/>
        <v>-12</v>
      </c>
      <c r="AU395" s="397">
        <f t="shared" si="36"/>
        <v>-198.59526438473802</v>
      </c>
      <c r="AV395" s="397">
        <f t="shared" si="36"/>
        <v>0</v>
      </c>
      <c r="AW395" s="406">
        <f t="shared" si="36"/>
        <v>5.5223880597014927E-2</v>
      </c>
      <c r="AX395" s="392" t="str">
        <f>VLOOKUP($C395,'ТР нефть'!$A$29:$GC$641,182,0)</f>
        <v>Технология</v>
      </c>
      <c r="AY395" s="406" t="str">
        <f>VLOOKUP($C395,'ТР нефть'!$A$29:$GC$641,183,0)</f>
        <v>Возврат потерь предыдущего периода за счет проведения переоснащения</v>
      </c>
      <c r="AZ395" s="407">
        <f t="shared" si="40"/>
        <v>9.7811999999999983</v>
      </c>
      <c r="BA395" s="408">
        <f t="shared" si="40"/>
        <v>11.7</v>
      </c>
      <c r="BB395" s="397">
        <f t="shared" si="40"/>
        <v>0</v>
      </c>
      <c r="BC395" s="698"/>
      <c r="BD395" s="699"/>
    </row>
    <row r="396" spans="1:57" ht="40.5" customHeight="1" outlineLevel="2" x14ac:dyDescent="0.25">
      <c r="A396" s="373"/>
      <c r="B396" s="392">
        <f t="shared" si="38"/>
        <v>78</v>
      </c>
      <c r="C396" s="393">
        <v>6367</v>
      </c>
      <c r="D396" s="394" t="str">
        <f>VLOOKUP($C396,'ТР нефть'!$A$29:$GC$641,5,0)</f>
        <v>ВУ ОНГКМ</v>
      </c>
      <c r="E396" s="394" t="str">
        <f>VLOOKUP($C396,'ТР нефть'!$A$29:$GC$641,8,0)</f>
        <v>ТЛ-4</v>
      </c>
      <c r="F396" s="462" t="str">
        <f>VLOOKUP($C396,'ТР нефть'!$A$29:$GC$641,11,0)</f>
        <v>К-6370</v>
      </c>
      <c r="G396" s="392" t="str">
        <f>VLOOKUP($C396,'ТР нефть'!$A$29:$GC$641,47,0)</f>
        <v>Газлифт</v>
      </c>
      <c r="H396" s="396">
        <f>VLOOKUP($C396,'ТР нефть'!$A$29:$GC$641,135,0)</f>
        <v>65</v>
      </c>
      <c r="I396" s="397">
        <f>VLOOKUP($C396,'ТР нефть'!$A$29:$GC$641,136,0)</f>
        <v>32</v>
      </c>
      <c r="J396" s="397">
        <f>VLOOKUP($C396,'ТР нефть'!$A$29:$GC$641,137,0)</f>
        <v>54</v>
      </c>
      <c r="K396" s="397">
        <f>VLOOKUP($C396,'ТР нефть'!$A$29:$GC$641,138,0)</f>
        <v>31</v>
      </c>
      <c r="L396" s="397" t="str">
        <f>VLOOKUP($C396,'ТР нефть'!$A$29:$GC$641,139,0)</f>
        <v>Постоянный</v>
      </c>
      <c r="M396" s="397">
        <f>VLOOKUP($C396,'ТР нефть'!$A$29:$GC$641,140,0)</f>
        <v>24</v>
      </c>
      <c r="N396" s="397">
        <f>VLOOKUP($C396,'ТР нефть'!$A$29:$GC$641,141,0)</f>
        <v>0</v>
      </c>
      <c r="O396" s="398">
        <f>VLOOKUP($C396,'ТР нефть'!$A$29:$GC$641,142,0)</f>
        <v>19.636636800000002</v>
      </c>
      <c r="P396" s="399">
        <f>VLOOKUP($C396,'ТР нефть'!$A$29:$GC$641,143,0)</f>
        <v>24</v>
      </c>
      <c r="Q396" s="400">
        <f>VLOOKUP($C396,'ТР нефть'!$A$29:$GC$641,144,0)</f>
        <v>2.13</v>
      </c>
      <c r="R396" s="397">
        <f>VLOOKUP($C396,'ТР нефть'!$A$29:$GC$641,145,0)</f>
        <v>15.17</v>
      </c>
      <c r="S396" s="397">
        <f>VLOOKUP($C396,'ТР нефть'!$A$29:$GC$641,146,0)</f>
        <v>365.13380947189489</v>
      </c>
      <c r="T396" s="397">
        <f>VLOOKUP($C396,'ТР нефть'!$A$29:$GC$641,149,0)</f>
        <v>73</v>
      </c>
      <c r="U396" s="403">
        <f>VLOOKUP($C396,'ТР нефть'!$A$29:$GC$641,150,0)</f>
        <v>0.22429906542056074</v>
      </c>
      <c r="V396" s="402" t="str">
        <f>VLOOKUP($C396,'ТР нефть'!$A$29:$GC$641,47,0)</f>
        <v>Газлифт</v>
      </c>
      <c r="W396" s="396">
        <f>VLOOKUP($C396,'ТР нефть'!$A$29:$GC$641,74,0)</f>
        <v>65</v>
      </c>
      <c r="X396" s="397">
        <f>VLOOKUP($C396,'ТР нефть'!$A$29:$GC$641,79,0)</f>
        <v>30</v>
      </c>
      <c r="Y396" s="397">
        <f>VLOOKUP($C396,'ТР нефть'!$A$29:$GC$641,80,0)</f>
        <v>60</v>
      </c>
      <c r="Z396" s="397">
        <f>VLOOKUP($C396,'ТР нефть'!$A$29:$GC$641,81,0)</f>
        <v>29</v>
      </c>
      <c r="AA396" s="397" t="str">
        <f>VLOOKUP($C396,'ТР нефть'!$A$29:$GC$641,76,0)</f>
        <v>Постоянный</v>
      </c>
      <c r="AB396" s="397">
        <f>VLOOKUP($C396,'ТР нефть'!$A$29:$GC$641,77,0)</f>
        <v>24</v>
      </c>
      <c r="AC396" s="397">
        <f>VLOOKUP($C396,'ТР нефть'!$A$29:$GC$641,78,0)</f>
        <v>0</v>
      </c>
      <c r="AD396" s="398">
        <f>VLOOKUP($C396,'ТР нефть'!$A$29:$GC$641,93,0)</f>
        <v>23.407999999999998</v>
      </c>
      <c r="AE396" s="399">
        <f>VLOOKUP($C396,'ТР нефть'!$A$29:$GC$641,94,0)</f>
        <v>28</v>
      </c>
      <c r="AF396" s="400">
        <f>VLOOKUP($C396,'ТР нефть'!$A$29:$GC$641,95,0)</f>
        <v>0</v>
      </c>
      <c r="AG396" s="397">
        <f>VLOOKUP($C396,'ТР нефть'!$A$29:$GC$641,99,0)</f>
        <v>24</v>
      </c>
      <c r="AH396" s="397">
        <f>VLOOKUP($C396,'ТР нефть'!$A$29:$GC$641,100,0)</f>
        <v>1025.2904989747096</v>
      </c>
      <c r="AI396" s="397">
        <f>VLOOKUP($C396,'ТР нефть'!$A$29:$GC$641,92,0)</f>
        <v>69</v>
      </c>
      <c r="AJ396" s="403">
        <f>VLOOKUP($C396,'ТР нефть'!$A$29:$GC$641,102,0)</f>
        <v>0.25225225225225223</v>
      </c>
      <c r="AK396" s="404">
        <f t="shared" si="39"/>
        <v>0</v>
      </c>
      <c r="AL396" s="397">
        <f t="shared" si="39"/>
        <v>-2</v>
      </c>
      <c r="AM396" s="397">
        <f t="shared" si="39"/>
        <v>6</v>
      </c>
      <c r="AN396" s="397">
        <f t="shared" si="39"/>
        <v>-2</v>
      </c>
      <c r="AO396" s="397">
        <f t="shared" si="37"/>
        <v>0</v>
      </c>
      <c r="AP396" s="397">
        <f t="shared" si="37"/>
        <v>0</v>
      </c>
      <c r="AQ396" s="398">
        <f t="shared" si="37"/>
        <v>3.7713631999999961</v>
      </c>
      <c r="AR396" s="399">
        <f t="shared" si="36"/>
        <v>4</v>
      </c>
      <c r="AS396" s="400">
        <f t="shared" si="36"/>
        <v>-2.13</v>
      </c>
      <c r="AT396" s="397">
        <f t="shared" si="36"/>
        <v>8.83</v>
      </c>
      <c r="AU396" s="397">
        <f t="shared" si="36"/>
        <v>660.15668950281474</v>
      </c>
      <c r="AV396" s="397">
        <f t="shared" si="36"/>
        <v>-4</v>
      </c>
      <c r="AW396" s="406">
        <f t="shared" si="36"/>
        <v>2.7953186831691484E-2</v>
      </c>
      <c r="AX396" s="392" t="str">
        <f>VLOOKUP($C396,'ТР нефть'!$A$29:$GC$641,182,0)</f>
        <v>Технология</v>
      </c>
      <c r="AY396" s="406" t="str">
        <f>VLOOKUP($C396,'ТР нефть'!$A$29:$GC$641,183,0)</f>
        <v>Увеличение дебита на фоне снижения Рлин</v>
      </c>
      <c r="AZ396" s="407">
        <f t="shared" si="40"/>
        <v>23.407999999999998</v>
      </c>
      <c r="BA396" s="408">
        <f t="shared" si="40"/>
        <v>28</v>
      </c>
      <c r="BB396" s="397">
        <f t="shared" si="40"/>
        <v>0</v>
      </c>
      <c r="BC396" s="698"/>
      <c r="BD396" s="699"/>
    </row>
    <row r="397" spans="1:57" s="1137" customFormat="1" ht="40.5" customHeight="1" outlineLevel="2" x14ac:dyDescent="0.25">
      <c r="A397" s="411"/>
      <c r="B397" s="392">
        <f t="shared" si="38"/>
        <v>79</v>
      </c>
      <c r="C397" s="668">
        <v>6369</v>
      </c>
      <c r="D397" s="394" t="str">
        <f>VLOOKUP($C397,'ТР нефть'!$A$29:$GC$641,5,0)</f>
        <v>ВУ ОНГКМ</v>
      </c>
      <c r="E397" s="394" t="str">
        <f>VLOOKUP($C397,'ТР нефть'!$A$29:$GC$641,8,0)</f>
        <v>ТЛ-4</v>
      </c>
      <c r="F397" s="462" t="str">
        <f>VLOOKUP($C397,'ТР нефть'!$A$29:$GC$641,11,0)</f>
        <v>К-6370</v>
      </c>
      <c r="G397" s="392" t="str">
        <f>VLOOKUP($C397,'ТР нефть'!$A$29:$GC$641,47,0)</f>
        <v>Газлифт</v>
      </c>
      <c r="H397" s="396">
        <f>VLOOKUP($C397,'ТР нефть'!$A$29:$GC$641,135,0)</f>
        <v>65</v>
      </c>
      <c r="I397" s="397">
        <f>VLOOKUP($C397,'ТР нефть'!$A$29:$GC$641,136,0)</f>
        <v>32</v>
      </c>
      <c r="J397" s="397">
        <f>VLOOKUP($C397,'ТР нефть'!$A$29:$GC$641,137,0)</f>
        <v>58</v>
      </c>
      <c r="K397" s="397">
        <f>VLOOKUP($C397,'ТР нефть'!$A$29:$GC$641,138,0)</f>
        <v>31</v>
      </c>
      <c r="L397" s="397" t="str">
        <f>VLOOKUP($C397,'ТР нефть'!$A$29:$GC$641,139,0)</f>
        <v>Постоянный</v>
      </c>
      <c r="M397" s="397">
        <f>VLOOKUP($C397,'ТР нефть'!$A$29:$GC$641,140,0)</f>
        <v>24</v>
      </c>
      <c r="N397" s="397">
        <f>VLOOKUP($C397,'ТР нефть'!$A$29:$GC$641,141,0)</f>
        <v>0</v>
      </c>
      <c r="O397" s="398">
        <f>VLOOKUP($C397,'ТР нефть'!$A$29:$GC$641,142,0)</f>
        <v>20.833120000000001</v>
      </c>
      <c r="P397" s="399">
        <f>VLOOKUP($C397,'ТР нефть'!$A$29:$GC$641,143,0)</f>
        <v>25</v>
      </c>
      <c r="Q397" s="400">
        <f>VLOOKUP($C397,'ТР нефть'!$A$29:$GC$641,144,0)</f>
        <v>0.32</v>
      </c>
      <c r="R397" s="397">
        <f>VLOOKUP($C397,'ТР нефть'!$A$29:$GC$641,145,0)</f>
        <v>10</v>
      </c>
      <c r="S397" s="397">
        <f>VLOOKUP($C397,'ТР нефть'!$A$29:$GC$641,146,0)</f>
        <v>96.000983050066424</v>
      </c>
      <c r="T397" s="397">
        <f>VLOOKUP($C397,'ТР нефть'!$A$29:$GC$641,149,0)</f>
        <v>83</v>
      </c>
      <c r="U397" s="403">
        <f>VLOOKUP($C397,'ТР нефть'!$A$29:$GC$641,150,0)</f>
        <v>0.25</v>
      </c>
      <c r="V397" s="402" t="str">
        <f>VLOOKUP($C397,'ТР нефть'!$A$29:$GC$641,47,0)</f>
        <v>Газлифт</v>
      </c>
      <c r="W397" s="396">
        <f>VLOOKUP($C397,'ТР нефть'!$A$29:$GC$641,74,0)</f>
        <v>65</v>
      </c>
      <c r="X397" s="397">
        <f>VLOOKUP($C397,'ТР нефть'!$A$29:$GC$641,79,0)</f>
        <v>31</v>
      </c>
      <c r="Y397" s="397">
        <f>VLOOKUP($C397,'ТР нефть'!$A$29:$GC$641,80,0)</f>
        <v>56</v>
      </c>
      <c r="Z397" s="397">
        <f>VLOOKUP($C397,'ТР нефть'!$A$29:$GC$641,81,0)</f>
        <v>30</v>
      </c>
      <c r="AA397" s="397" t="str">
        <f>VLOOKUP($C397,'ТР нефть'!$A$29:$GC$641,76,0)</f>
        <v>Постоянный</v>
      </c>
      <c r="AB397" s="397">
        <f>VLOOKUP($C397,'ТР нефть'!$A$29:$GC$641,77,0)</f>
        <v>24</v>
      </c>
      <c r="AC397" s="397">
        <f>VLOOKUP($C397,'ТР нефть'!$A$29:$GC$641,78,0)</f>
        <v>0</v>
      </c>
      <c r="AD397" s="398">
        <f>VLOOKUP($C397,'ТР нефть'!$A$29:$GC$641,93,0)</f>
        <v>29.166367999999999</v>
      </c>
      <c r="AE397" s="399">
        <f>VLOOKUP($C397,'ТР нефть'!$A$29:$GC$641,94,0)</f>
        <v>35</v>
      </c>
      <c r="AF397" s="400">
        <f>VLOOKUP($C397,'ТР нефть'!$A$29:$GC$641,95,0)</f>
        <v>0.32</v>
      </c>
      <c r="AG397" s="397">
        <f>VLOOKUP($C397,'ТР нефть'!$A$29:$GC$641,99,0)</f>
        <v>6.6</v>
      </c>
      <c r="AH397" s="397">
        <f>VLOOKUP($C397,'ТР нефть'!$A$29:$GC$641,100,0)</f>
        <v>226.2880314751566</v>
      </c>
      <c r="AI397" s="397">
        <f>VLOOKUP($C397,'ТР нефть'!$A$29:$GC$641,92,0)</f>
        <v>71</v>
      </c>
      <c r="AJ397" s="403">
        <f>VLOOKUP($C397,'ТР нефть'!$A$29:$GC$641,102,0)</f>
        <v>0.3125</v>
      </c>
      <c r="AK397" s="404">
        <f t="shared" si="39"/>
        <v>0</v>
      </c>
      <c r="AL397" s="397">
        <f t="shared" si="39"/>
        <v>-1</v>
      </c>
      <c r="AM397" s="397">
        <f t="shared" si="39"/>
        <v>-2</v>
      </c>
      <c r="AN397" s="397">
        <f t="shared" si="39"/>
        <v>-1</v>
      </c>
      <c r="AO397" s="397">
        <f t="shared" si="37"/>
        <v>0</v>
      </c>
      <c r="AP397" s="397">
        <f t="shared" si="37"/>
        <v>0</v>
      </c>
      <c r="AQ397" s="398">
        <f t="shared" si="37"/>
        <v>8.3332479999999975</v>
      </c>
      <c r="AR397" s="399">
        <f t="shared" si="36"/>
        <v>10</v>
      </c>
      <c r="AS397" s="400">
        <f t="shared" si="36"/>
        <v>0</v>
      </c>
      <c r="AT397" s="397">
        <f t="shared" si="36"/>
        <v>-3.4000000000000004</v>
      </c>
      <c r="AU397" s="397">
        <f t="shared" si="36"/>
        <v>130.28704842509018</v>
      </c>
      <c r="AV397" s="397">
        <f t="shared" si="36"/>
        <v>-12</v>
      </c>
      <c r="AW397" s="406">
        <f t="shared" si="36"/>
        <v>6.25E-2</v>
      </c>
      <c r="AX397" s="392" t="str">
        <f>VLOOKUP($C397,'ТР нефть'!$A$29:$GC$641,182,0)</f>
        <v>Технология</v>
      </c>
      <c r="AY397" s="406" t="str">
        <f>VLOOKUP($C397,'ТР нефть'!$A$29:$GC$641,183,0)</f>
        <v>Увеличение дебита на фоне регулировки гг</v>
      </c>
      <c r="AZ397" s="407">
        <f t="shared" si="40"/>
        <v>29.166367999999999</v>
      </c>
      <c r="BA397" s="408">
        <f t="shared" si="40"/>
        <v>35</v>
      </c>
      <c r="BB397" s="397">
        <f t="shared" si="40"/>
        <v>0.32</v>
      </c>
      <c r="BC397" s="698"/>
      <c r="BD397" s="699"/>
      <c r="BE397" s="1121"/>
    </row>
    <row r="398" spans="1:57" s="1137" customFormat="1" ht="40.5" hidden="1" customHeight="1" outlineLevel="2" thickBot="1" x14ac:dyDescent="0.3">
      <c r="A398" s="411"/>
      <c r="B398" s="424"/>
      <c r="C398" s="670"/>
      <c r="D398" s="426"/>
      <c r="E398" s="426"/>
      <c r="F398" s="465"/>
      <c r="G398" s="424"/>
      <c r="H398" s="428"/>
      <c r="I398" s="429"/>
      <c r="J398" s="429"/>
      <c r="K398" s="429"/>
      <c r="L398" s="429"/>
      <c r="M398" s="429"/>
      <c r="N398" s="429"/>
      <c r="O398" s="430"/>
      <c r="P398" s="431"/>
      <c r="Q398" s="432"/>
      <c r="R398" s="429"/>
      <c r="S398" s="429"/>
      <c r="T398" s="429"/>
      <c r="U398" s="435"/>
      <c r="V398" s="434"/>
      <c r="W398" s="428"/>
      <c r="X398" s="429"/>
      <c r="Y398" s="429"/>
      <c r="Z398" s="429"/>
      <c r="AA398" s="429"/>
      <c r="AB398" s="429"/>
      <c r="AC398" s="429"/>
      <c r="AD398" s="430"/>
      <c r="AE398" s="431"/>
      <c r="AF398" s="432"/>
      <c r="AG398" s="429"/>
      <c r="AH398" s="429"/>
      <c r="AI398" s="429"/>
      <c r="AJ398" s="435"/>
      <c r="AK398" s="436"/>
      <c r="AL398" s="429"/>
      <c r="AM398" s="429"/>
      <c r="AN398" s="429"/>
      <c r="AO398" s="429"/>
      <c r="AP398" s="429"/>
      <c r="AQ398" s="430"/>
      <c r="AR398" s="431"/>
      <c r="AS398" s="432"/>
      <c r="AT398" s="429"/>
      <c r="AU398" s="429"/>
      <c r="AV398" s="429"/>
      <c r="AW398" s="439"/>
      <c r="AX398" s="424"/>
      <c r="AY398" s="439"/>
      <c r="AZ398" s="440"/>
      <c r="BA398" s="441"/>
      <c r="BB398" s="429"/>
      <c r="BC398" s="700"/>
      <c r="BD398" s="701"/>
      <c r="BE398" s="1121"/>
    </row>
    <row r="399" spans="1:57" s="1128" customFormat="1" ht="29.25" customHeight="1" collapsed="1" thickBot="1" x14ac:dyDescent="0.3">
      <c r="A399" s="359"/>
      <c r="B399" s="1141"/>
      <c r="C399" s="500"/>
      <c r="D399" s="500"/>
      <c r="E399" s="500"/>
      <c r="F399" s="500"/>
      <c r="G399" s="758"/>
      <c r="H399" s="758"/>
      <c r="I399" s="758"/>
      <c r="J399" s="501"/>
      <c r="K399" s="758"/>
      <c r="L399" s="758"/>
      <c r="M399" s="758"/>
      <c r="N399" s="758"/>
      <c r="O399" s="502">
        <f>SUBTOTAL(9,O318:O398)</f>
        <v>621.62640952720005</v>
      </c>
      <c r="P399" s="503">
        <f>SUBTOTAL(9,P318:P398)</f>
        <v>1041.752</v>
      </c>
      <c r="Q399" s="758"/>
      <c r="R399" s="758"/>
      <c r="S399" s="758"/>
      <c r="T399" s="758"/>
      <c r="U399" s="758"/>
      <c r="V399" s="758"/>
      <c r="W399" s="758"/>
      <c r="X399" s="501"/>
      <c r="Y399" s="501"/>
      <c r="Z399" s="758"/>
      <c r="AA399" s="758"/>
      <c r="AB399" s="758"/>
      <c r="AC399" s="758"/>
      <c r="AD399" s="502">
        <f>SUBTOTAL(9,AD318:AD398)</f>
        <v>861.68322499600015</v>
      </c>
      <c r="AE399" s="503">
        <f>SUBTOTAL(9,AE318:AE398)</f>
        <v>1581.8200000000004</v>
      </c>
      <c r="AF399" s="758"/>
      <c r="AG399" s="758"/>
      <c r="AH399" s="758"/>
      <c r="AI399" s="758"/>
      <c r="AJ399" s="758"/>
      <c r="AK399" s="758"/>
      <c r="AL399" s="758"/>
      <c r="AM399" s="758"/>
      <c r="AN399" s="758"/>
      <c r="AO399" s="758"/>
      <c r="AP399" s="758"/>
      <c r="AQ399" s="502">
        <f>SUBTOTAL(9,AQ318:AQ398)</f>
        <v>240.05681546880001</v>
      </c>
      <c r="AR399" s="503">
        <f>SUBTOTAL(9,AR318:AR398)</f>
        <v>540.06800000000021</v>
      </c>
      <c r="AS399" s="758"/>
      <c r="AT399" s="505"/>
      <c r="AU399" s="505"/>
      <c r="AV399" s="505"/>
      <c r="AW399" s="501"/>
      <c r="AX399" s="506"/>
      <c r="AY399" s="758"/>
      <c r="AZ399" s="502">
        <f>SUBTOTAL(9,AZ318:AZ398)</f>
        <v>861.68322499600015</v>
      </c>
      <c r="BA399" s="503">
        <f>SUBTOTAL(9,BA318:BA398)</f>
        <v>1581.8200000000004</v>
      </c>
      <c r="BB399" s="758"/>
      <c r="BC399" s="758"/>
      <c r="BD399" s="758"/>
    </row>
    <row r="400" spans="1:57" ht="36.75" customHeight="1" thickBot="1" x14ac:dyDescent="0.3">
      <c r="A400" s="623"/>
      <c r="B400" s="1124"/>
      <c r="C400" s="624"/>
      <c r="D400" s="624"/>
      <c r="E400" s="624"/>
      <c r="F400" s="624"/>
      <c r="G400" s="373"/>
      <c r="H400" s="373"/>
      <c r="I400" s="373"/>
      <c r="J400" s="625"/>
      <c r="K400" s="373"/>
      <c r="L400" s="373"/>
      <c r="M400" s="373"/>
      <c r="N400" s="373"/>
      <c r="O400" s="373"/>
      <c r="P400" s="373"/>
      <c r="Q400" s="373"/>
      <c r="R400" s="373"/>
      <c r="S400" s="373"/>
      <c r="T400" s="373"/>
      <c r="U400" s="373"/>
      <c r="V400" s="373"/>
      <c r="W400" s="373"/>
      <c r="X400" s="625"/>
      <c r="Y400" s="625"/>
      <c r="Z400" s="373"/>
      <c r="AA400" s="373"/>
      <c r="AB400" s="373"/>
      <c r="AC400" s="373"/>
      <c r="AD400" s="373"/>
      <c r="AE400" s="373"/>
      <c r="AF400" s="373"/>
      <c r="AG400" s="373"/>
      <c r="AH400" s="373"/>
      <c r="AI400" s="373"/>
      <c r="AJ400" s="373"/>
      <c r="AK400" s="373"/>
      <c r="AL400" s="373"/>
      <c r="AM400" s="373"/>
      <c r="AN400" s="373"/>
      <c r="AO400" s="373"/>
      <c r="AP400" s="373"/>
      <c r="AQ400" s="638"/>
      <c r="AR400" s="639"/>
      <c r="AS400" s="373"/>
      <c r="AT400" s="626"/>
      <c r="AU400" s="626"/>
      <c r="AV400" s="626"/>
      <c r="AW400" s="625"/>
      <c r="AX400" s="627"/>
      <c r="AY400" s="373"/>
      <c r="AZ400" s="628"/>
      <c r="BA400" s="629"/>
      <c r="BB400" s="373"/>
      <c r="BC400" s="373"/>
      <c r="BD400" s="373"/>
    </row>
    <row r="401" spans="1:56" s="1128" customFormat="1" ht="36.75" customHeight="1" thickBot="1" x14ac:dyDescent="0.3">
      <c r="A401" s="359"/>
      <c r="B401" s="1141"/>
      <c r="C401" s="500"/>
      <c r="D401" s="500"/>
      <c r="E401" s="500"/>
      <c r="F401" s="500"/>
      <c r="G401" s="758"/>
      <c r="H401" s="758"/>
      <c r="I401" s="758"/>
      <c r="J401" s="501"/>
      <c r="K401" s="758"/>
      <c r="L401" s="758"/>
      <c r="M401" s="758"/>
      <c r="N401" s="758"/>
      <c r="O401" s="758"/>
      <c r="P401" s="758"/>
      <c r="Q401" s="758"/>
      <c r="R401" s="758"/>
      <c r="S401" s="758"/>
      <c r="T401" s="758"/>
      <c r="U401" s="860" t="s">
        <v>2213</v>
      </c>
      <c r="V401" s="861"/>
      <c r="W401" s="758"/>
      <c r="X401" s="758"/>
      <c r="Y401" s="758"/>
      <c r="Z401" s="758"/>
      <c r="AA401" s="758"/>
      <c r="AB401" s="758"/>
      <c r="AC401" s="758"/>
      <c r="AD401" s="758"/>
      <c r="AE401" s="758"/>
      <c r="AF401" s="758"/>
      <c r="AG401" s="758"/>
      <c r="AH401" s="758"/>
      <c r="AI401" s="758"/>
      <c r="AJ401" s="758"/>
      <c r="AK401" s="758"/>
      <c r="AL401" s="758"/>
      <c r="AM401" s="758"/>
      <c r="AN401" s="758"/>
      <c r="AO401" s="758"/>
      <c r="AP401" s="758"/>
      <c r="AQ401" s="758"/>
      <c r="AR401" s="758"/>
      <c r="AS401" s="758"/>
      <c r="AT401" s="505"/>
      <c r="AU401" s="505"/>
      <c r="AV401" s="505"/>
      <c r="AW401" s="501"/>
      <c r="AX401" s="506"/>
      <c r="AY401" s="758"/>
      <c r="AZ401" s="618"/>
      <c r="BA401" s="619"/>
      <c r="BB401" s="758"/>
      <c r="BC401" s="758"/>
      <c r="BD401" s="758"/>
    </row>
    <row r="402" spans="1:56" s="1128" customFormat="1" ht="72" customHeight="1" x14ac:dyDescent="0.25">
      <c r="A402" s="359"/>
      <c r="B402" s="1141"/>
      <c r="C402" s="500"/>
      <c r="D402" s="500"/>
      <c r="E402" s="500"/>
      <c r="F402" s="500"/>
      <c r="G402" s="758"/>
      <c r="H402" s="758"/>
      <c r="I402" s="758"/>
      <c r="J402" s="501"/>
      <c r="K402" s="758"/>
      <c r="L402" s="758"/>
      <c r="M402" s="758"/>
      <c r="N402" s="758"/>
      <c r="O402" s="758"/>
      <c r="P402" s="758"/>
      <c r="Q402" s="758"/>
      <c r="R402" s="758"/>
      <c r="S402" s="758"/>
      <c r="T402" s="758"/>
      <c r="U402" s="862" t="s">
        <v>2219</v>
      </c>
      <c r="V402" s="863"/>
      <c r="W402" s="656"/>
      <c r="X402" s="656"/>
      <c r="Y402" s="656"/>
      <c r="Z402" s="656"/>
      <c r="AA402" s="656"/>
      <c r="AB402" s="656"/>
      <c r="AC402" s="656"/>
      <c r="AD402" s="656"/>
      <c r="AE402" s="656"/>
      <c r="AF402" s="656"/>
      <c r="AG402" s="656"/>
      <c r="AH402" s="656"/>
      <c r="AI402" s="656"/>
      <c r="AJ402" s="656"/>
      <c r="AK402" s="656"/>
      <c r="AL402" s="656"/>
      <c r="AM402" s="656"/>
      <c r="AN402" s="656"/>
      <c r="AO402" s="656"/>
      <c r="AP402" s="656"/>
      <c r="AQ402" s="657">
        <f>SUM(AQ403:AQ404)</f>
        <v>178.60927609184</v>
      </c>
      <c r="AR402" s="658">
        <f>SUM(AR403:AR404)</f>
        <v>451.39600000000019</v>
      </c>
      <c r="AS402" s="758"/>
      <c r="AT402" s="505"/>
      <c r="AU402" s="505"/>
      <c r="AV402" s="505"/>
      <c r="AW402" s="501"/>
      <c r="AX402" s="506"/>
      <c r="AY402" s="758"/>
      <c r="AZ402" s="618"/>
      <c r="BA402" s="619"/>
      <c r="BB402" s="758"/>
      <c r="BC402" s="758"/>
      <c r="BD402" s="758"/>
    </row>
    <row r="403" spans="1:56" s="1128" customFormat="1" ht="47.25" customHeight="1" x14ac:dyDescent="0.25">
      <c r="A403" s="359"/>
      <c r="B403" s="1141"/>
      <c r="C403" s="500"/>
      <c r="D403" s="500"/>
      <c r="E403" s="500"/>
      <c r="F403" s="500"/>
      <c r="G403" s="758"/>
      <c r="H403" s="758"/>
      <c r="I403" s="758"/>
      <c r="J403" s="501"/>
      <c r="K403" s="758"/>
      <c r="L403" s="758"/>
      <c r="M403" s="758"/>
      <c r="N403" s="758"/>
      <c r="O403" s="758"/>
      <c r="P403" s="758"/>
      <c r="Q403" s="758"/>
      <c r="R403" s="758"/>
      <c r="S403" s="758"/>
      <c r="T403" s="758"/>
      <c r="U403" s="864" t="s">
        <v>2220</v>
      </c>
      <c r="V403" s="865"/>
      <c r="W403" s="655"/>
      <c r="X403" s="655"/>
      <c r="Y403" s="655"/>
      <c r="Z403" s="655"/>
      <c r="AA403" s="655"/>
      <c r="AB403" s="655"/>
      <c r="AC403" s="655"/>
      <c r="AD403" s="655"/>
      <c r="AE403" s="655"/>
      <c r="AF403" s="655"/>
      <c r="AG403" s="655"/>
      <c r="AH403" s="655"/>
      <c r="AI403" s="655"/>
      <c r="AJ403" s="655"/>
      <c r="AK403" s="655"/>
      <c r="AL403" s="655"/>
      <c r="AM403" s="655"/>
      <c r="AN403" s="655"/>
      <c r="AO403" s="655"/>
      <c r="AP403" s="655"/>
      <c r="AQ403" s="660">
        <f>AQ312</f>
        <v>-61.447539376960002</v>
      </c>
      <c r="AR403" s="661">
        <f>AR312</f>
        <v>-88.671999999999997</v>
      </c>
      <c r="AS403" s="758"/>
      <c r="AT403" s="505"/>
      <c r="AU403" s="505"/>
      <c r="AV403" s="505"/>
      <c r="AW403" s="501"/>
      <c r="AX403" s="506"/>
      <c r="AY403" s="758"/>
      <c r="AZ403" s="618"/>
      <c r="BA403" s="619"/>
      <c r="BB403" s="758"/>
      <c r="BC403" s="758"/>
      <c r="BD403" s="758"/>
    </row>
    <row r="404" spans="1:56" s="1128" customFormat="1" ht="47.25" customHeight="1" thickBot="1" x14ac:dyDescent="0.3">
      <c r="A404" s="359"/>
      <c r="B404" s="1141"/>
      <c r="C404" s="500"/>
      <c r="D404" s="500"/>
      <c r="E404" s="500"/>
      <c r="F404" s="500"/>
      <c r="G404" s="758"/>
      <c r="H404" s="758"/>
      <c r="I404" s="758"/>
      <c r="J404" s="501"/>
      <c r="K404" s="758"/>
      <c r="L404" s="758"/>
      <c r="M404" s="758"/>
      <c r="N404" s="758"/>
      <c r="O404" s="758"/>
      <c r="P404" s="758"/>
      <c r="Q404" s="758"/>
      <c r="R404" s="758"/>
      <c r="S404" s="758"/>
      <c r="T404" s="758"/>
      <c r="U404" s="848" t="s">
        <v>2228</v>
      </c>
      <c r="V404" s="849"/>
      <c r="W404" s="662"/>
      <c r="X404" s="662"/>
      <c r="Y404" s="662"/>
      <c r="Z404" s="662"/>
      <c r="AA404" s="662"/>
      <c r="AB404" s="662"/>
      <c r="AC404" s="662"/>
      <c r="AD404" s="662"/>
      <c r="AE404" s="662"/>
      <c r="AF404" s="662"/>
      <c r="AG404" s="662"/>
      <c r="AH404" s="662"/>
      <c r="AI404" s="662"/>
      <c r="AJ404" s="662"/>
      <c r="AK404" s="662"/>
      <c r="AL404" s="662"/>
      <c r="AM404" s="662"/>
      <c r="AN404" s="662"/>
      <c r="AO404" s="662"/>
      <c r="AP404" s="662"/>
      <c r="AQ404" s="663">
        <f>AQ399</f>
        <v>240.05681546880001</v>
      </c>
      <c r="AR404" s="503">
        <f>AR399</f>
        <v>540.06800000000021</v>
      </c>
      <c r="AS404" s="758"/>
      <c r="AT404" s="505"/>
      <c r="AU404" s="505"/>
      <c r="AV404" s="505"/>
      <c r="AW404" s="501"/>
      <c r="AX404" s="506"/>
      <c r="AY404" s="758"/>
      <c r="AZ404" s="618"/>
      <c r="BA404" s="619"/>
      <c r="BB404" s="758"/>
      <c r="BC404" s="758"/>
      <c r="BD404" s="758"/>
    </row>
    <row r="405" spans="1:56" s="1144" customFormat="1" ht="36.75" customHeight="1" thickBot="1" x14ac:dyDescent="0.3">
      <c r="A405" s="702"/>
      <c r="B405" s="869"/>
      <c r="C405" s="869"/>
      <c r="D405" s="869"/>
      <c r="E405" s="869"/>
      <c r="F405" s="869"/>
      <c r="G405" s="869"/>
      <c r="H405" s="869"/>
      <c r="I405" s="869"/>
      <c r="J405" s="869"/>
      <c r="K405" s="869"/>
      <c r="L405" s="869"/>
      <c r="M405" s="869"/>
      <c r="N405" s="869"/>
      <c r="O405" s="869"/>
      <c r="P405" s="869"/>
      <c r="Q405" s="869"/>
      <c r="R405" s="869"/>
      <c r="S405" s="869"/>
      <c r="T405" s="869"/>
      <c r="U405" s="869"/>
      <c r="V405" s="869"/>
      <c r="W405" s="869"/>
      <c r="X405" s="869"/>
      <c r="Y405" s="869"/>
      <c r="Z405" s="869"/>
      <c r="AA405" s="869"/>
      <c r="AB405" s="869"/>
      <c r="AC405" s="869"/>
      <c r="AD405" s="869"/>
      <c r="AE405" s="869"/>
      <c r="AF405" s="869"/>
      <c r="AG405" s="869"/>
      <c r="AH405" s="869"/>
      <c r="AI405" s="869"/>
      <c r="AJ405" s="869"/>
      <c r="AK405" s="869"/>
      <c r="AL405" s="869"/>
      <c r="AM405" s="869"/>
      <c r="AN405" s="869"/>
      <c r="AO405" s="869"/>
      <c r="AP405" s="869"/>
      <c r="AQ405" s="869"/>
      <c r="AR405" s="869"/>
      <c r="AS405" s="869"/>
      <c r="AT405" s="869"/>
      <c r="AU405" s="869"/>
      <c r="AV405" s="869"/>
      <c r="AW405" s="869"/>
      <c r="AX405" s="869"/>
      <c r="AY405" s="869"/>
      <c r="AZ405" s="869"/>
      <c r="BA405" s="869"/>
      <c r="BB405" s="869"/>
      <c r="BC405" s="869"/>
      <c r="BD405" s="869"/>
    </row>
    <row r="406" spans="1:56" s="1136" customFormat="1" ht="36.75" customHeight="1" x14ac:dyDescent="0.25">
      <c r="A406" s="365"/>
      <c r="B406" s="800"/>
      <c r="C406" s="801"/>
      <c r="D406" s="801"/>
      <c r="E406" s="801"/>
      <c r="F406" s="802"/>
      <c r="G406" s="1129" t="str">
        <f>G314</f>
        <v>Режим за май 2023 г.</v>
      </c>
      <c r="H406" s="1130"/>
      <c r="I406" s="1130"/>
      <c r="J406" s="1130"/>
      <c r="K406" s="1130"/>
      <c r="L406" s="1130"/>
      <c r="M406" s="1130"/>
      <c r="N406" s="1130"/>
      <c r="O406" s="1130"/>
      <c r="P406" s="1130"/>
      <c r="Q406" s="1130"/>
      <c r="R406" s="1130"/>
      <c r="S406" s="1130"/>
      <c r="T406" s="1130"/>
      <c r="U406" s="1131"/>
      <c r="V406" s="1129" t="str">
        <f>V314</f>
        <v>Режим за июнь 2023 г.</v>
      </c>
      <c r="W406" s="1130"/>
      <c r="X406" s="1130"/>
      <c r="Y406" s="1130"/>
      <c r="Z406" s="1130"/>
      <c r="AA406" s="1130"/>
      <c r="AB406" s="1130"/>
      <c r="AC406" s="1130"/>
      <c r="AD406" s="1130"/>
      <c r="AE406" s="1130"/>
      <c r="AF406" s="1130"/>
      <c r="AG406" s="1130"/>
      <c r="AH406" s="1130"/>
      <c r="AI406" s="1130"/>
      <c r="AJ406" s="1131"/>
      <c r="AK406" s="1133" t="s">
        <v>2180</v>
      </c>
      <c r="AL406" s="1134"/>
      <c r="AM406" s="1134"/>
      <c r="AN406" s="1134"/>
      <c r="AO406" s="1134"/>
      <c r="AP406" s="1134"/>
      <c r="AQ406" s="1134"/>
      <c r="AR406" s="1134"/>
      <c r="AS406" s="1134"/>
      <c r="AT406" s="1134"/>
      <c r="AU406" s="1134"/>
      <c r="AV406" s="1134"/>
      <c r="AW406" s="1135"/>
      <c r="AX406" s="800" t="s">
        <v>2181</v>
      </c>
      <c r="AY406" s="804" t="s">
        <v>2182</v>
      </c>
      <c r="AZ406" s="806" t="s">
        <v>2183</v>
      </c>
      <c r="BA406" s="807"/>
      <c r="BB406" s="807"/>
      <c r="BC406" s="807"/>
      <c r="BD406" s="804"/>
    </row>
    <row r="407" spans="1:56" s="1136" customFormat="1" ht="72" customHeight="1" thickBot="1" x14ac:dyDescent="0.3">
      <c r="A407" s="365"/>
      <c r="B407" s="755" t="s">
        <v>2184</v>
      </c>
      <c r="C407" s="366" t="s">
        <v>2185</v>
      </c>
      <c r="D407" s="366" t="s">
        <v>33</v>
      </c>
      <c r="E407" s="366" t="s">
        <v>36</v>
      </c>
      <c r="F407" s="367" t="s">
        <v>2186</v>
      </c>
      <c r="G407" s="755" t="s">
        <v>2187</v>
      </c>
      <c r="H407" s="366" t="s">
        <v>2188</v>
      </c>
      <c r="I407" s="366" t="s">
        <v>2189</v>
      </c>
      <c r="J407" s="366" t="s">
        <v>2190</v>
      </c>
      <c r="K407" s="366" t="s">
        <v>2191</v>
      </c>
      <c r="L407" s="366" t="s">
        <v>103</v>
      </c>
      <c r="M407" s="366" t="s">
        <v>2192</v>
      </c>
      <c r="N407" s="366" t="s">
        <v>2193</v>
      </c>
      <c r="O407" s="368" t="s">
        <v>2194</v>
      </c>
      <c r="P407" s="369" t="s">
        <v>2195</v>
      </c>
      <c r="Q407" s="370" t="s">
        <v>2196</v>
      </c>
      <c r="R407" s="366" t="s">
        <v>2197</v>
      </c>
      <c r="S407" s="366" t="s">
        <v>2198</v>
      </c>
      <c r="T407" s="366" t="s">
        <v>2199</v>
      </c>
      <c r="U407" s="371" t="s">
        <v>2200</v>
      </c>
      <c r="V407" s="755" t="s">
        <v>2187</v>
      </c>
      <c r="W407" s="366" t="s">
        <v>2188</v>
      </c>
      <c r="X407" s="366" t="s">
        <v>2189</v>
      </c>
      <c r="Y407" s="366" t="s">
        <v>2190</v>
      </c>
      <c r="Z407" s="366" t="s">
        <v>2191</v>
      </c>
      <c r="AA407" s="366" t="s">
        <v>103</v>
      </c>
      <c r="AB407" s="366" t="s">
        <v>2192</v>
      </c>
      <c r="AC407" s="366" t="s">
        <v>2193</v>
      </c>
      <c r="AD407" s="368" t="s">
        <v>2194</v>
      </c>
      <c r="AE407" s="369" t="s">
        <v>2195</v>
      </c>
      <c r="AF407" s="370" t="s">
        <v>2196</v>
      </c>
      <c r="AG407" s="366" t="s">
        <v>2197</v>
      </c>
      <c r="AH407" s="366" t="s">
        <v>2198</v>
      </c>
      <c r="AI407" s="366" t="s">
        <v>2199</v>
      </c>
      <c r="AJ407" s="371" t="s">
        <v>2200</v>
      </c>
      <c r="AK407" s="755" t="s">
        <v>2188</v>
      </c>
      <c r="AL407" s="366" t="s">
        <v>2189</v>
      </c>
      <c r="AM407" s="366" t="s">
        <v>2190</v>
      </c>
      <c r="AN407" s="366" t="s">
        <v>2191</v>
      </c>
      <c r="AO407" s="366" t="s">
        <v>2192</v>
      </c>
      <c r="AP407" s="366" t="s">
        <v>2193</v>
      </c>
      <c r="AQ407" s="368" t="s">
        <v>2194</v>
      </c>
      <c r="AR407" s="369" t="s">
        <v>2195</v>
      </c>
      <c r="AS407" s="370" t="s">
        <v>2196</v>
      </c>
      <c r="AT407" s="366" t="s">
        <v>2197</v>
      </c>
      <c r="AU407" s="366" t="s">
        <v>2198</v>
      </c>
      <c r="AV407" s="366" t="s">
        <v>2199</v>
      </c>
      <c r="AW407" s="371" t="s">
        <v>2200</v>
      </c>
      <c r="AX407" s="803"/>
      <c r="AY407" s="805"/>
      <c r="AZ407" s="372" t="s">
        <v>2194</v>
      </c>
      <c r="BA407" s="369" t="s">
        <v>2195</v>
      </c>
      <c r="BB407" s="370" t="s">
        <v>2196</v>
      </c>
      <c r="BC407" s="366" t="s">
        <v>2201</v>
      </c>
      <c r="BD407" s="756" t="s">
        <v>2202</v>
      </c>
    </row>
    <row r="408" spans="1:56" s="1128" customFormat="1" ht="36.75" customHeight="1" thickBot="1" x14ac:dyDescent="0.3">
      <c r="A408" s="357"/>
      <c r="B408" s="866" t="s">
        <v>2230</v>
      </c>
      <c r="C408" s="867"/>
      <c r="D408" s="867"/>
      <c r="E408" s="867"/>
      <c r="F408" s="867"/>
      <c r="G408" s="867"/>
      <c r="H408" s="867"/>
      <c r="I408" s="867"/>
      <c r="J408" s="867"/>
      <c r="K408" s="867"/>
      <c r="L408" s="867"/>
      <c r="M408" s="867"/>
      <c r="N408" s="867"/>
      <c r="O408" s="867"/>
      <c r="P408" s="867"/>
      <c r="Q408" s="867"/>
      <c r="R408" s="867"/>
      <c r="S408" s="867"/>
      <c r="T408" s="867"/>
      <c r="U408" s="867"/>
      <c r="V408" s="867"/>
      <c r="W408" s="867"/>
      <c r="X408" s="867"/>
      <c r="Y408" s="867"/>
      <c r="Z408" s="867"/>
      <c r="AA408" s="867"/>
      <c r="AB408" s="867"/>
      <c r="AC408" s="867"/>
      <c r="AD408" s="867"/>
      <c r="AE408" s="867"/>
      <c r="AF408" s="867"/>
      <c r="AG408" s="867"/>
      <c r="AH408" s="867"/>
      <c r="AI408" s="867"/>
      <c r="AJ408" s="867"/>
      <c r="AK408" s="867"/>
      <c r="AL408" s="867"/>
      <c r="AM408" s="867"/>
      <c r="AN408" s="867"/>
      <c r="AO408" s="867"/>
      <c r="AP408" s="867"/>
      <c r="AQ408" s="867"/>
      <c r="AR408" s="867"/>
      <c r="AS408" s="867"/>
      <c r="AT408" s="867"/>
      <c r="AU408" s="867"/>
      <c r="AV408" s="867"/>
      <c r="AW408" s="867"/>
      <c r="AX408" s="867"/>
      <c r="AY408" s="867"/>
      <c r="AZ408" s="867"/>
      <c r="BA408" s="867"/>
      <c r="BB408" s="867"/>
      <c r="BC408" s="867"/>
      <c r="BD408" s="868"/>
    </row>
    <row r="409" spans="1:56" ht="40.5" customHeight="1" x14ac:dyDescent="0.25">
      <c r="A409" s="301"/>
      <c r="B409" s="374">
        <v>1</v>
      </c>
      <c r="C409" s="696" t="s">
        <v>364</v>
      </c>
      <c r="D409" s="376" t="str">
        <f>VLOOKUP($C409,'ТР нефть'!$A$29:$GC$641,5,0)</f>
        <v>ВУ ОНГКМ</v>
      </c>
      <c r="E409" s="376" t="str">
        <f>VLOOKUP($C409,'ТР нефть'!$A$29:$GC$641,8,0)</f>
        <v>ТЛ-1</v>
      </c>
      <c r="F409" s="377" t="str">
        <f>VLOOKUP($C409,'ТР нефть'!$A$29:$GC$641,11,0)</f>
        <v>Без куста</v>
      </c>
      <c r="G409" s="374" t="str">
        <f>VLOOKUP($C409,'ТР нефть'!$A$29:$GC$641,47,0)</f>
        <v>Газлифт</v>
      </c>
      <c r="H409" s="378">
        <f>VLOOKUP($C409,'ТР нефть'!$A$29:$GC$641,135,0)</f>
        <v>65</v>
      </c>
      <c r="I409" s="379">
        <f>VLOOKUP($C409,'ТР нефть'!$A$29:$GC$641,136,0)</f>
        <v>15</v>
      </c>
      <c r="J409" s="379">
        <f>VLOOKUP($C409,'ТР нефть'!$A$29:$GC$641,137,0)</f>
        <v>33</v>
      </c>
      <c r="K409" s="379">
        <f>VLOOKUP($C409,'ТР нефть'!$A$29:$GC$641,138,0)</f>
        <v>14</v>
      </c>
      <c r="L409" s="379" t="str">
        <f>VLOOKUP($C409,'ТР нефть'!$A$29:$GC$641,139,0)</f>
        <v>Постоянный</v>
      </c>
      <c r="M409" s="379">
        <f>VLOOKUP($C409,'ТР нефть'!$A$29:$GC$641,140,0)</f>
        <v>24</v>
      </c>
      <c r="N409" s="379">
        <f>VLOOKUP($C409,'ТР нефть'!$A$29:$GC$641,141,0)</f>
        <v>0</v>
      </c>
      <c r="O409" s="380">
        <f>VLOOKUP($C409,'ТР нефть'!$A$29:$GC$641,142,0)</f>
        <v>10.324599999999998</v>
      </c>
      <c r="P409" s="381">
        <f>VLOOKUP($C409,'ТР нефть'!$A$29:$GC$641,143,0)</f>
        <v>13</v>
      </c>
      <c r="Q409" s="382">
        <f>VLOOKUP($C409,'ТР нефть'!$A$29:$GC$641,144,0)</f>
        <v>5</v>
      </c>
      <c r="R409" s="379">
        <f>VLOOKUP($C409,'ТР нефть'!$A$29:$GC$641,145,0)</f>
        <v>15.5</v>
      </c>
      <c r="S409" s="379">
        <f>VLOOKUP($C409,'ТР нефть'!$A$29:$GC$641,146,0)</f>
        <v>503.65147318055904</v>
      </c>
      <c r="T409" s="379">
        <f>VLOOKUP($C409,'ТР нефть'!$A$29:$GC$641,149,0)</f>
        <v>38</v>
      </c>
      <c r="U409" s="385">
        <f>VLOOKUP($C409,'ТР нефть'!$A$29:$GC$641,150,0)</f>
        <v>0.61904761904761907</v>
      </c>
      <c r="V409" s="384" t="str">
        <f>VLOOKUP($C409,'ТР нефть'!$A$29:$GC$641,47,0)</f>
        <v>Газлифт</v>
      </c>
      <c r="W409" s="378">
        <f>VLOOKUP($C409,'ТР нефть'!$A$29:$GC$641,74,0)</f>
        <v>65</v>
      </c>
      <c r="X409" s="379">
        <f>VLOOKUP($C409,'ТР нефть'!$A$29:$GC$641,79,0)</f>
        <v>15</v>
      </c>
      <c r="Y409" s="379">
        <f>VLOOKUP($C409,'ТР нефть'!$A$29:$GC$641,80,0)</f>
        <v>37</v>
      </c>
      <c r="Z409" s="379">
        <f>VLOOKUP($C409,'ТР нефть'!$A$29:$GC$641,81,0)</f>
        <v>14</v>
      </c>
      <c r="AA409" s="379" t="str">
        <f>VLOOKUP($C409,'ТР нефть'!$A$29:$GC$641,76,0)</f>
        <v>Постоянный</v>
      </c>
      <c r="AB409" s="379">
        <f>VLOOKUP($C409,'ТР нефть'!$A$29:$GC$641,77,0)</f>
        <v>24</v>
      </c>
      <c r="AC409" s="379">
        <f>VLOOKUP($C409,'ТР нефть'!$A$29:$GC$641,78,0)</f>
        <v>0</v>
      </c>
      <c r="AD409" s="380">
        <f>VLOOKUP($C409,'ТР нефть'!$A$29:$GC$641,93,0)</f>
        <v>6.8618879999999995</v>
      </c>
      <c r="AE409" s="381">
        <f>VLOOKUP($C409,'ТР нефть'!$A$29:$GC$641,94,0)</f>
        <v>9</v>
      </c>
      <c r="AF409" s="382">
        <f>VLOOKUP($C409,'ТР нефть'!$A$29:$GC$641,95,0)</f>
        <v>8.8000000000000007</v>
      </c>
      <c r="AG409" s="379">
        <f>VLOOKUP($C409,'ТР нефть'!$A$29:$GC$641,99,0)</f>
        <v>4.5999999999999996</v>
      </c>
      <c r="AH409" s="379">
        <f>VLOOKUP($C409,'ТР нефть'!$A$29:$GC$641,100,0)</f>
        <v>670.36943768245715</v>
      </c>
      <c r="AI409" s="379">
        <f>VLOOKUP($C409,'ТР нефть'!$A$29:$GC$641,92,0)</f>
        <v>32</v>
      </c>
      <c r="AJ409" s="385">
        <f>VLOOKUP($C409,'ТР нефть'!$A$29:$GC$641,102,0)</f>
        <v>0.33333333333333331</v>
      </c>
      <c r="AK409" s="386">
        <f t="shared" ref="AK409:AN422" si="41">W409-H409</f>
        <v>0</v>
      </c>
      <c r="AL409" s="379">
        <f t="shared" si="41"/>
        <v>0</v>
      </c>
      <c r="AM409" s="379">
        <f t="shared" si="41"/>
        <v>4</v>
      </c>
      <c r="AN409" s="379">
        <f t="shared" si="41"/>
        <v>0</v>
      </c>
      <c r="AO409" s="379">
        <f>AB409-M409</f>
        <v>0</v>
      </c>
      <c r="AP409" s="379">
        <f t="shared" ref="AP409:AR422" si="42">AC409-N409</f>
        <v>0</v>
      </c>
      <c r="AQ409" s="380">
        <v>-2.5</v>
      </c>
      <c r="AR409" s="703">
        <v>-3</v>
      </c>
      <c r="AS409" s="382">
        <f t="shared" ref="AS409:AW422" si="43">AF409-Q409</f>
        <v>3.8000000000000007</v>
      </c>
      <c r="AT409" s="379">
        <f t="shared" si="43"/>
        <v>-10.9</v>
      </c>
      <c r="AU409" s="379">
        <f t="shared" si="43"/>
        <v>166.71796450189811</v>
      </c>
      <c r="AV409" s="379">
        <f t="shared" si="43"/>
        <v>-6</v>
      </c>
      <c r="AW409" s="387">
        <f t="shared" si="43"/>
        <v>-0.28571428571428575</v>
      </c>
      <c r="AX409" s="374" t="str">
        <f>VLOOKUP($C409,'ТР нефть'!$A$29:$GC$641,182,0)</f>
        <v>ИПП БАЗА/Уточнение</v>
      </c>
      <c r="AY409" s="387" t="str">
        <f>VLOOKUP($C409,'ТР нефть'!$A$29:$GC$641,183,0)</f>
        <v>Снижение энергетики пласта что подтверждается дебитом и изменением Рзаб(ИППБАЗА -1тн/сут). ТР выведен по замерам от конца мая, июня. Подбор оптимального режима работы скважины.</v>
      </c>
      <c r="AZ409" s="388">
        <f t="shared" ref="AZ409:BB422" si="44">AD409</f>
        <v>6.8618879999999995</v>
      </c>
      <c r="BA409" s="389">
        <f t="shared" si="44"/>
        <v>9</v>
      </c>
      <c r="BB409" s="379">
        <f t="shared" si="44"/>
        <v>8.8000000000000007</v>
      </c>
      <c r="BC409" s="390"/>
      <c r="BD409" s="391"/>
    </row>
    <row r="410" spans="1:56" ht="40.5" customHeight="1" x14ac:dyDescent="0.25">
      <c r="A410" s="301"/>
      <c r="B410" s="392">
        <f t="shared" ref="B410:B422" si="45">B409+1</f>
        <v>2</v>
      </c>
      <c r="C410" s="490" t="s">
        <v>706</v>
      </c>
      <c r="D410" s="394" t="str">
        <f>VLOOKUP($C410,'ТР нефть'!$A$29:$GC$641,5,0)</f>
        <v>ВУ ОНГКМ</v>
      </c>
      <c r="E410" s="394" t="str">
        <f>VLOOKUP($C410,'ТР нефть'!$A$29:$GC$641,8,0)</f>
        <v>ТЛ-3</v>
      </c>
      <c r="F410" s="395" t="str">
        <f>VLOOKUP($C410,'ТР нефть'!$A$29:$GC$641,11,0)</f>
        <v>Куст скважины-1040</v>
      </c>
      <c r="G410" s="392" t="str">
        <f>VLOOKUP($C410,'ТР нефть'!$A$29:$GC$641,47,0)</f>
        <v>Газлифт</v>
      </c>
      <c r="H410" s="396">
        <f>VLOOKUP($C410,'ТР нефть'!$A$29:$GC$641,135,0)</f>
        <v>18</v>
      </c>
      <c r="I410" s="397">
        <f>VLOOKUP($C410,'ТР нефть'!$A$29:$GC$641,136,0)</f>
        <v>26</v>
      </c>
      <c r="J410" s="397">
        <f>VLOOKUP($C410,'ТР нефть'!$A$29:$GC$641,137,0)</f>
        <v>48</v>
      </c>
      <c r="K410" s="397">
        <f>VLOOKUP($C410,'ТР нефть'!$A$29:$GC$641,138,0)</f>
        <v>25</v>
      </c>
      <c r="L410" s="397" t="str">
        <f>VLOOKUP($C410,'ТР нефть'!$A$29:$GC$641,139,0)</f>
        <v>Постоянный</v>
      </c>
      <c r="M410" s="397">
        <f>VLOOKUP($C410,'ТР нефть'!$A$29:$GC$641,140,0)</f>
        <v>24</v>
      </c>
      <c r="N410" s="397">
        <f>VLOOKUP($C410,'ТР нефть'!$A$29:$GC$641,141,0)</f>
        <v>0</v>
      </c>
      <c r="O410" s="398">
        <f>VLOOKUP($C410,'ТР нефть'!$A$29:$GC$641,142,0)</f>
        <v>5.2667999999999999</v>
      </c>
      <c r="P410" s="399">
        <f>VLOOKUP($C410,'ТР нефть'!$A$29:$GC$641,143,0)</f>
        <v>6.3</v>
      </c>
      <c r="Q410" s="400">
        <f>VLOOKUP($C410,'ТР нефть'!$A$29:$GC$641,144,0)</f>
        <v>0</v>
      </c>
      <c r="R410" s="397">
        <f>VLOOKUP($C410,'ТР нефть'!$A$29:$GC$641,145,0)</f>
        <v>7</v>
      </c>
      <c r="S410" s="397">
        <f>VLOOKUP($C410,'ТР нефть'!$A$29:$GC$641,146,0)</f>
        <v>569.60583276372756</v>
      </c>
      <c r="T410" s="397">
        <f>VLOOKUP($C410,'ТР нефть'!$A$29:$GC$641,149,0)</f>
        <v>52</v>
      </c>
      <c r="U410" s="403">
        <f>VLOOKUP($C410,'ТР нефть'!$A$29:$GC$641,150,0)</f>
        <v>0.18153846153846154</v>
      </c>
      <c r="V410" s="402" t="str">
        <f>VLOOKUP($C410,'ТР нефть'!$A$29:$GC$641,47,0)</f>
        <v>Газлифт</v>
      </c>
      <c r="W410" s="396">
        <f>VLOOKUP($C410,'ТР нефть'!$A$29:$GC$641,74,0)</f>
        <v>18</v>
      </c>
      <c r="X410" s="397">
        <f>VLOOKUP($C410,'ТР нефть'!$A$29:$GC$641,79,0)</f>
        <v>26</v>
      </c>
      <c r="Y410" s="397">
        <f>VLOOKUP($C410,'ТР нефть'!$A$29:$GC$641,80,0)</f>
        <v>48</v>
      </c>
      <c r="Z410" s="397">
        <f>VLOOKUP($C410,'ТР нефть'!$A$29:$GC$641,81,0)</f>
        <v>25</v>
      </c>
      <c r="AA410" s="397" t="str">
        <f>VLOOKUP($C410,'ТР нефть'!$A$29:$GC$641,76,0)</f>
        <v>Постоянный</v>
      </c>
      <c r="AB410" s="397">
        <f>VLOOKUP($C410,'ТР нефть'!$A$29:$GC$641,77,0)</f>
        <v>24</v>
      </c>
      <c r="AC410" s="397">
        <f>VLOOKUP($C410,'ТР нефть'!$A$29:$GC$641,78,0)</f>
        <v>0</v>
      </c>
      <c r="AD410" s="398">
        <f>VLOOKUP($C410,'ТР нефть'!$A$29:$GC$641,93,0)</f>
        <v>5.2667999999999999</v>
      </c>
      <c r="AE410" s="399">
        <f>VLOOKUP($C410,'ТР нефть'!$A$29:$GC$641,94,0)</f>
        <v>6.3</v>
      </c>
      <c r="AF410" s="400">
        <f>VLOOKUP($C410,'ТР нефть'!$A$29:$GC$641,95,0)</f>
        <v>0</v>
      </c>
      <c r="AG410" s="397">
        <f>VLOOKUP($C410,'ТР нефть'!$A$29:$GC$641,99,0)</f>
        <v>3</v>
      </c>
      <c r="AH410" s="397">
        <f>VLOOKUP($C410,'ТР нефть'!$A$29:$GC$641,100,0)</f>
        <v>569.60583276372756</v>
      </c>
      <c r="AI410" s="397">
        <f>VLOOKUP($C410,'ТР нефть'!$A$29:$GC$641,92,0)</f>
        <v>52</v>
      </c>
      <c r="AJ410" s="403">
        <f>VLOOKUP($C410,'ТР нефть'!$A$29:$GC$641,102,0)</f>
        <v>0.24230769230769231</v>
      </c>
      <c r="AK410" s="404">
        <f t="shared" si="41"/>
        <v>0</v>
      </c>
      <c r="AL410" s="397">
        <f t="shared" si="41"/>
        <v>0</v>
      </c>
      <c r="AM410" s="397">
        <f t="shared" si="41"/>
        <v>0</v>
      </c>
      <c r="AN410" s="397">
        <f t="shared" si="41"/>
        <v>0</v>
      </c>
      <c r="AO410" s="397">
        <f t="shared" ref="AO410:AO422" si="46">AB410-M410</f>
        <v>0</v>
      </c>
      <c r="AP410" s="397">
        <f t="shared" si="42"/>
        <v>0</v>
      </c>
      <c r="AQ410" s="398">
        <f t="shared" si="42"/>
        <v>0</v>
      </c>
      <c r="AR410" s="704">
        <f t="shared" si="42"/>
        <v>0</v>
      </c>
      <c r="AS410" s="400">
        <f t="shared" si="43"/>
        <v>0</v>
      </c>
      <c r="AT410" s="397">
        <f t="shared" si="43"/>
        <v>-4</v>
      </c>
      <c r="AU410" s="397">
        <f t="shared" si="43"/>
        <v>0</v>
      </c>
      <c r="AV410" s="397">
        <f t="shared" si="43"/>
        <v>0</v>
      </c>
      <c r="AW410" s="406">
        <f t="shared" si="43"/>
        <v>6.076923076923077E-2</v>
      </c>
      <c r="AX410" s="392" t="str">
        <f>VLOOKUP($C410,'ТР нефть'!$A$29:$GC$641,182,0)</f>
        <v>Уточнение</v>
      </c>
      <c r="AY410" s="406" t="s">
        <v>219</v>
      </c>
      <c r="AZ410" s="407">
        <f t="shared" si="44"/>
        <v>5.2667999999999999</v>
      </c>
      <c r="BA410" s="408">
        <f t="shared" si="44"/>
        <v>6.3</v>
      </c>
      <c r="BB410" s="397">
        <f t="shared" si="44"/>
        <v>0</v>
      </c>
      <c r="BC410" s="409"/>
      <c r="BD410" s="512"/>
    </row>
    <row r="411" spans="1:56" ht="40.5" customHeight="1" x14ac:dyDescent="0.25">
      <c r="A411" s="301"/>
      <c r="B411" s="392">
        <f t="shared" si="45"/>
        <v>3</v>
      </c>
      <c r="C411" s="490">
        <v>1309</v>
      </c>
      <c r="D411" s="394" t="str">
        <f>VLOOKUP($C411,'ТР нефть'!$A$29:$GC$641,5,0)</f>
        <v>ВУ ОНГКМ</v>
      </c>
      <c r="E411" s="394" t="str">
        <f>VLOOKUP($C411,'ТР нефть'!$A$29:$GC$641,8,0)</f>
        <v>ТЛ-2</v>
      </c>
      <c r="F411" s="395" t="str">
        <f>VLOOKUP($C411,'ТР нефть'!$A$29:$GC$641,11,0)</f>
        <v>К-127</v>
      </c>
      <c r="G411" s="392" t="str">
        <f>VLOOKUP($C411,'ТР нефть'!$A$29:$GC$641,47,0)</f>
        <v>Газлифт</v>
      </c>
      <c r="H411" s="396">
        <f>VLOOKUP($C411,'ТР нефть'!$A$29:$GC$641,135,0)</f>
        <v>65</v>
      </c>
      <c r="I411" s="397">
        <f>VLOOKUP($C411,'ТР нефть'!$A$29:$GC$641,136,0)</f>
        <v>23</v>
      </c>
      <c r="J411" s="397">
        <f>VLOOKUP($C411,'ТР нефть'!$A$29:$GC$641,137,0)</f>
        <v>39</v>
      </c>
      <c r="K411" s="397">
        <f>VLOOKUP($C411,'ТР нефть'!$A$29:$GC$641,138,0)</f>
        <v>23</v>
      </c>
      <c r="L411" s="397" t="str">
        <f>VLOOKUP($C411,'ТР нефть'!$A$29:$GC$641,139,0)</f>
        <v>Постоянный</v>
      </c>
      <c r="M411" s="397">
        <f>VLOOKUP($C411,'ТР нефть'!$A$29:$GC$641,140,0)</f>
        <v>24</v>
      </c>
      <c r="N411" s="397">
        <f>VLOOKUP($C411,'ТР нефть'!$A$29:$GC$641,141,0)</f>
        <v>0</v>
      </c>
      <c r="O411" s="398">
        <f>VLOOKUP($C411,'ТР нефть'!$A$29:$GC$641,142,0)</f>
        <v>6.1027999999999993</v>
      </c>
      <c r="P411" s="399">
        <f>VLOOKUP($C411,'ТР нефть'!$A$29:$GC$641,143,0)</f>
        <v>7.3</v>
      </c>
      <c r="Q411" s="400">
        <f>VLOOKUP($C411,'ТР нефть'!$A$29:$GC$641,144,0)</f>
        <v>0</v>
      </c>
      <c r="R411" s="397">
        <f>VLOOKUP($C411,'ТР нефть'!$A$29:$GC$641,145,0)</f>
        <v>12.3</v>
      </c>
      <c r="S411" s="397">
        <f>VLOOKUP($C411,'ТР нефть'!$A$29:$GC$641,146,0)</f>
        <v>1196.1722488038279</v>
      </c>
      <c r="T411" s="397">
        <f>VLOOKUP($C411,'ТР нефть'!$A$29:$GC$641,149,0)</f>
        <v>49</v>
      </c>
      <c r="U411" s="403">
        <f>VLOOKUP($C411,'ТР нефть'!$A$29:$GC$641,150,0)</f>
        <v>0.20857142857142857</v>
      </c>
      <c r="V411" s="402" t="str">
        <f>VLOOKUP($C411,'ТР нефть'!$A$29:$GC$641,47,0)</f>
        <v>Газлифт</v>
      </c>
      <c r="W411" s="396">
        <f>VLOOKUP($C411,'ТР нефть'!$A$29:$GC$641,74,0)</f>
        <v>65</v>
      </c>
      <c r="X411" s="397">
        <f>VLOOKUP($C411,'ТР нефть'!$A$29:$GC$641,79,0)</f>
        <v>23</v>
      </c>
      <c r="Y411" s="397">
        <f>VLOOKUP($C411,'ТР нефть'!$A$29:$GC$641,80,0)</f>
        <v>38</v>
      </c>
      <c r="Z411" s="397">
        <f>VLOOKUP($C411,'ТР нефть'!$A$29:$GC$641,81,0)</f>
        <v>22</v>
      </c>
      <c r="AA411" s="397" t="str">
        <f>VLOOKUP($C411,'ТР нефть'!$A$29:$GC$641,76,0)</f>
        <v>Постоянный</v>
      </c>
      <c r="AB411" s="397">
        <f>VLOOKUP($C411,'ТР нефть'!$A$29:$GC$641,77,0)</f>
        <v>24</v>
      </c>
      <c r="AC411" s="397">
        <f>VLOOKUP($C411,'ТР нефть'!$A$29:$GC$641,78,0)</f>
        <v>0</v>
      </c>
      <c r="AD411" s="398">
        <f>VLOOKUP($C411,'ТР нефть'!$A$29:$GC$641,93,0)</f>
        <v>10.45</v>
      </c>
      <c r="AE411" s="399">
        <f>VLOOKUP($C411,'ТР нефть'!$A$29:$GC$641,94,0)</f>
        <v>12.5</v>
      </c>
      <c r="AF411" s="400">
        <f>VLOOKUP($C411,'ТР нефть'!$A$29:$GC$641,95,0)</f>
        <v>0</v>
      </c>
      <c r="AG411" s="397">
        <f>VLOOKUP($C411,'ТР нефть'!$A$29:$GC$641,99,0)</f>
        <v>20.6</v>
      </c>
      <c r="AH411" s="397">
        <f>VLOOKUP($C411,'ТР нефть'!$A$29:$GC$641,100,0)</f>
        <v>1971.2918660287082</v>
      </c>
      <c r="AI411" s="397">
        <f>VLOOKUP($C411,'ТР нефть'!$A$29:$GC$641,92,0)</f>
        <v>50</v>
      </c>
      <c r="AJ411" s="403">
        <f>VLOOKUP($C411,'ТР нефть'!$A$29:$GC$641,102,0)</f>
        <v>0.36764705882352944</v>
      </c>
      <c r="AK411" s="404">
        <f t="shared" si="41"/>
        <v>0</v>
      </c>
      <c r="AL411" s="397">
        <f t="shared" si="41"/>
        <v>0</v>
      </c>
      <c r="AM411" s="397">
        <f t="shared" si="41"/>
        <v>-1</v>
      </c>
      <c r="AN411" s="397">
        <f t="shared" si="41"/>
        <v>-1</v>
      </c>
      <c r="AO411" s="397">
        <f t="shared" si="46"/>
        <v>0</v>
      </c>
      <c r="AP411" s="397">
        <f t="shared" si="42"/>
        <v>0</v>
      </c>
      <c r="AQ411" s="398">
        <f t="shared" si="42"/>
        <v>4.3472</v>
      </c>
      <c r="AR411" s="704">
        <f t="shared" si="42"/>
        <v>5.2</v>
      </c>
      <c r="AS411" s="400">
        <f t="shared" si="43"/>
        <v>0</v>
      </c>
      <c r="AT411" s="397">
        <f t="shared" si="43"/>
        <v>8.3000000000000007</v>
      </c>
      <c r="AU411" s="397">
        <f t="shared" si="43"/>
        <v>775.11961722488036</v>
      </c>
      <c r="AV411" s="397">
        <f t="shared" si="43"/>
        <v>1</v>
      </c>
      <c r="AW411" s="406">
        <f t="shared" si="43"/>
        <v>0.15907563025210086</v>
      </c>
      <c r="AX411" s="392" t="str">
        <f>VLOOKUP($C411,'ТР нефть'!$A$29:$GC$641,182,0)</f>
        <v>Уточнение</v>
      </c>
      <c r="AY411" s="406" t="str">
        <f>VLOOKUP($C411,'ТР нефть'!$A$29:$GC$641,183,0)</f>
        <v>После проведения ТО АГЗУ-103 наблюдается рост дебита газа,дебита нефти</v>
      </c>
      <c r="AZ411" s="407">
        <f t="shared" si="44"/>
        <v>10.45</v>
      </c>
      <c r="BA411" s="408">
        <f t="shared" si="44"/>
        <v>12.5</v>
      </c>
      <c r="BB411" s="397">
        <f t="shared" si="44"/>
        <v>0</v>
      </c>
      <c r="BC411" s="409"/>
      <c r="BD411" s="512"/>
    </row>
    <row r="412" spans="1:56" ht="40.5" customHeight="1" x14ac:dyDescent="0.25">
      <c r="A412" s="301"/>
      <c r="B412" s="392">
        <f t="shared" si="45"/>
        <v>4</v>
      </c>
      <c r="C412" s="490">
        <v>1356</v>
      </c>
      <c r="D412" s="394" t="str">
        <f>VLOOKUP($C412,'ТР нефть'!$A$29:$GC$641,5,0)</f>
        <v>ВУ ОНГКМ</v>
      </c>
      <c r="E412" s="394" t="str">
        <f>VLOOKUP($C412,'ТР нефть'!$A$29:$GC$641,8,0)</f>
        <v>ТЛ-2</v>
      </c>
      <c r="F412" s="395" t="str">
        <f>VLOOKUP($C412,'ТР нефть'!$A$29:$GC$641,11,0)</f>
        <v>К-103</v>
      </c>
      <c r="G412" s="392" t="str">
        <f>VLOOKUP($C412,'ТР нефть'!$A$29:$GC$641,47,0)</f>
        <v>Газлифт</v>
      </c>
      <c r="H412" s="396">
        <f>VLOOKUP($C412,'ТР нефть'!$A$29:$GC$641,135,0)</f>
        <v>18</v>
      </c>
      <c r="I412" s="397">
        <f>VLOOKUP($C412,'ТР нефть'!$A$29:$GC$641,136,0)</f>
        <v>19</v>
      </c>
      <c r="J412" s="397">
        <f>VLOOKUP($C412,'ТР нефть'!$A$29:$GC$641,137,0)</f>
        <v>36</v>
      </c>
      <c r="K412" s="397">
        <f>VLOOKUP($C412,'ТР нефть'!$A$29:$GC$641,138,0)</f>
        <v>18</v>
      </c>
      <c r="L412" s="397" t="str">
        <f>VLOOKUP($C412,'ТР нефть'!$A$29:$GC$641,139,0)</f>
        <v>Постоянный</v>
      </c>
      <c r="M412" s="397">
        <f>VLOOKUP($C412,'ТР нефть'!$A$29:$GC$641,140,0)</f>
        <v>24</v>
      </c>
      <c r="N412" s="397">
        <f>VLOOKUP($C412,'ТР нефть'!$A$29:$GC$641,141,0)</f>
        <v>0</v>
      </c>
      <c r="O412" s="398">
        <f>VLOOKUP($C412,'ТР нефть'!$A$29:$GC$641,142,0)</f>
        <v>7.524</v>
      </c>
      <c r="P412" s="399">
        <f>VLOOKUP($C412,'ТР нефть'!$A$29:$GC$641,143,0)</f>
        <v>9</v>
      </c>
      <c r="Q412" s="400">
        <f>VLOOKUP($C412,'ТР нефть'!$A$29:$GC$641,144,0)</f>
        <v>0</v>
      </c>
      <c r="R412" s="397">
        <f>VLOOKUP($C412,'ТР нефть'!$A$29:$GC$641,145,0)</f>
        <v>23.844999999999999</v>
      </c>
      <c r="S412" s="397">
        <f>VLOOKUP($C412,'ТР нефть'!$A$29:$GC$641,146,0)</f>
        <v>1255.3163211057945</v>
      </c>
      <c r="T412" s="397">
        <f>VLOOKUP($C412,'ТР нефть'!$A$29:$GC$641,149,0)</f>
        <v>41</v>
      </c>
      <c r="U412" s="403">
        <f>VLOOKUP($C412,'ТР нефть'!$A$29:$GC$641,150,0)</f>
        <v>0.32142857142857145</v>
      </c>
      <c r="V412" s="402" t="str">
        <f>VLOOKUP($C412,'ТР нефть'!$A$29:$GC$641,47,0)</f>
        <v>Газлифт</v>
      </c>
      <c r="W412" s="396">
        <f>VLOOKUP($C412,'ТР нефть'!$A$29:$GC$641,74,0)</f>
        <v>18</v>
      </c>
      <c r="X412" s="397">
        <f>VLOOKUP($C412,'ТР нефть'!$A$29:$GC$641,79,0)</f>
        <v>22</v>
      </c>
      <c r="Y412" s="397">
        <f>VLOOKUP($C412,'ТР нефть'!$A$29:$GC$641,80,0)</f>
        <v>38</v>
      </c>
      <c r="Z412" s="397">
        <f>VLOOKUP($C412,'ТР нефть'!$A$29:$GC$641,81,0)</f>
        <v>21</v>
      </c>
      <c r="AA412" s="397" t="str">
        <f>VLOOKUP($C412,'ТР нефть'!$A$29:$GC$641,76,0)</f>
        <v>Постоянный</v>
      </c>
      <c r="AB412" s="397">
        <f>VLOOKUP($C412,'ТР нефть'!$A$29:$GC$641,77,0)</f>
        <v>24</v>
      </c>
      <c r="AC412" s="397">
        <f>VLOOKUP($C412,'ТР нефть'!$A$29:$GC$641,78,0)</f>
        <v>0</v>
      </c>
      <c r="AD412" s="398">
        <f>VLOOKUP($C412,'ТР нефть'!$A$29:$GC$641,93,0)</f>
        <v>12.122</v>
      </c>
      <c r="AE412" s="399">
        <f>VLOOKUP($C412,'ТР нефть'!$A$29:$GC$641,94,0)</f>
        <v>14.5</v>
      </c>
      <c r="AF412" s="400">
        <f>VLOOKUP($C412,'ТР нефть'!$A$29:$GC$641,95,0)</f>
        <v>0</v>
      </c>
      <c r="AG412" s="397">
        <f>VLOOKUP($C412,'ТР нефть'!$A$29:$GC$641,99,0)</f>
        <v>27</v>
      </c>
      <c r="AH412" s="397">
        <f>VLOOKUP($C412,'ТР нефть'!$A$29:$GC$641,100,0)</f>
        <v>2227.3552219105759</v>
      </c>
      <c r="AI412" s="397">
        <f>VLOOKUP($C412,'ТР нефть'!$A$29:$GC$641,92,0)</f>
        <v>40</v>
      </c>
      <c r="AJ412" s="403">
        <f>VLOOKUP($C412,'ТР нефть'!$A$29:$GC$641,102,0)</f>
        <v>0.5</v>
      </c>
      <c r="AK412" s="404">
        <f t="shared" si="41"/>
        <v>0</v>
      </c>
      <c r="AL412" s="397">
        <f t="shared" si="41"/>
        <v>3</v>
      </c>
      <c r="AM412" s="397">
        <f t="shared" si="41"/>
        <v>2</v>
      </c>
      <c r="AN412" s="397">
        <f t="shared" si="41"/>
        <v>3</v>
      </c>
      <c r="AO412" s="397">
        <f t="shared" si="46"/>
        <v>0</v>
      </c>
      <c r="AP412" s="397">
        <f t="shared" si="42"/>
        <v>0</v>
      </c>
      <c r="AQ412" s="398">
        <f t="shared" si="42"/>
        <v>4.5979999999999999</v>
      </c>
      <c r="AR412" s="704">
        <f t="shared" si="42"/>
        <v>5.5</v>
      </c>
      <c r="AS412" s="400">
        <f t="shared" si="43"/>
        <v>0</v>
      </c>
      <c r="AT412" s="397">
        <f t="shared" si="43"/>
        <v>3.1550000000000011</v>
      </c>
      <c r="AU412" s="397">
        <f t="shared" si="43"/>
        <v>972.03890080478141</v>
      </c>
      <c r="AV412" s="397">
        <f t="shared" si="43"/>
        <v>-1</v>
      </c>
      <c r="AW412" s="406">
        <f t="shared" si="43"/>
        <v>0.17857142857142855</v>
      </c>
      <c r="AX412" s="392" t="str">
        <f>VLOOKUP($C412,'ТР нефть'!$A$29:$GC$641,182,0)</f>
        <v>Уточнение</v>
      </c>
      <c r="AY412" s="406" t="str">
        <f>VLOOKUP($C412,'ТР нефть'!$A$29:$GC$641,183,0)</f>
        <v>После проведения ТО АГЗУ-103 наблюдается рост дебита газа,дебита нефти</v>
      </c>
      <c r="AZ412" s="407">
        <f t="shared" si="44"/>
        <v>12.122</v>
      </c>
      <c r="BA412" s="408">
        <f t="shared" si="44"/>
        <v>14.5</v>
      </c>
      <c r="BB412" s="397">
        <f t="shared" si="44"/>
        <v>0</v>
      </c>
      <c r="BC412" s="409"/>
      <c r="BD412" s="512"/>
    </row>
    <row r="413" spans="1:56" ht="40.5" customHeight="1" x14ac:dyDescent="0.25">
      <c r="A413" s="301"/>
      <c r="B413" s="392">
        <f t="shared" si="45"/>
        <v>5</v>
      </c>
      <c r="C413" s="490">
        <v>1372</v>
      </c>
      <c r="D413" s="394" t="str">
        <f>VLOOKUP($C413,'ТР нефть'!$A$29:$GC$641,5,0)</f>
        <v>ВУ ОНГКМ</v>
      </c>
      <c r="E413" s="394" t="str">
        <f>VLOOKUP($C413,'ТР нефть'!$A$29:$GC$641,8,0)</f>
        <v>ТЛ-2</v>
      </c>
      <c r="F413" s="395" t="str">
        <f>VLOOKUP($C413,'ТР нефть'!$A$29:$GC$641,11,0)</f>
        <v>К-127</v>
      </c>
      <c r="G413" s="392" t="str">
        <f>VLOOKUP($C413,'ТР нефть'!$A$29:$GC$641,47,0)</f>
        <v>Газлифт</v>
      </c>
      <c r="H413" s="396">
        <f>VLOOKUP($C413,'ТР нефть'!$A$29:$GC$641,135,0)</f>
        <v>18</v>
      </c>
      <c r="I413" s="397">
        <f>VLOOKUP($C413,'ТР нефть'!$A$29:$GC$641,136,0)</f>
        <v>23</v>
      </c>
      <c r="J413" s="397">
        <f>VLOOKUP($C413,'ТР нефть'!$A$29:$GC$641,137,0)</f>
        <v>42</v>
      </c>
      <c r="K413" s="397">
        <f>VLOOKUP($C413,'ТР нефть'!$A$29:$GC$641,138,0)</f>
        <v>22</v>
      </c>
      <c r="L413" s="397" t="str">
        <f>VLOOKUP($C413,'ТР нефть'!$A$29:$GC$641,139,0)</f>
        <v>Постоянный</v>
      </c>
      <c r="M413" s="397">
        <f>VLOOKUP($C413,'ТР нефть'!$A$29:$GC$641,140,0)</f>
        <v>24</v>
      </c>
      <c r="N413" s="397">
        <f>VLOOKUP($C413,'ТР нефть'!$A$29:$GC$641,141,0)</f>
        <v>0</v>
      </c>
      <c r="O413" s="398">
        <f>VLOOKUP($C413,'ТР нефть'!$A$29:$GC$641,142,0)</f>
        <v>7.1059999999999999</v>
      </c>
      <c r="P413" s="399">
        <f>VLOOKUP($C413,'ТР нефть'!$A$29:$GC$641,143,0)</f>
        <v>8.5</v>
      </c>
      <c r="Q413" s="400">
        <f>VLOOKUP($C413,'ТР нефть'!$A$29:$GC$641,144,0)</f>
        <v>0</v>
      </c>
      <c r="R413" s="397">
        <f>VLOOKUP($C413,'ТР нефть'!$A$29:$GC$641,145,0)</f>
        <v>16</v>
      </c>
      <c r="S413" s="397">
        <f>VLOOKUP($C413,'ТР нефть'!$A$29:$GC$641,146,0)</f>
        <v>1196.1722488038279</v>
      </c>
      <c r="T413" s="397">
        <f>VLOOKUP($C413,'ТР нефть'!$A$29:$GC$641,149,0)</f>
        <v>46</v>
      </c>
      <c r="U413" s="403">
        <f>VLOOKUP($C413,'ТР нефть'!$A$29:$GC$641,150,0)</f>
        <v>0.18888888888888888</v>
      </c>
      <c r="V413" s="402" t="str">
        <f>VLOOKUP($C413,'ТР нефть'!$A$29:$GC$641,47,0)</f>
        <v>Газлифт</v>
      </c>
      <c r="W413" s="396">
        <f>VLOOKUP($C413,'ТР нефть'!$A$29:$GC$641,74,0)</f>
        <v>18</v>
      </c>
      <c r="X413" s="397">
        <f>VLOOKUP($C413,'ТР нефть'!$A$29:$GC$641,79,0)</f>
        <v>22</v>
      </c>
      <c r="Y413" s="397">
        <f>VLOOKUP($C413,'ТР нефть'!$A$29:$GC$641,80,0)</f>
        <v>41</v>
      </c>
      <c r="Z413" s="397">
        <f>VLOOKUP($C413,'ТР нефть'!$A$29:$GC$641,81,0)</f>
        <v>22</v>
      </c>
      <c r="AA413" s="397" t="str">
        <f>VLOOKUP($C413,'ТР нефть'!$A$29:$GC$641,76,0)</f>
        <v>Постоянный</v>
      </c>
      <c r="AB413" s="397">
        <f>VLOOKUP($C413,'ТР нефть'!$A$29:$GC$641,77,0)</f>
        <v>24</v>
      </c>
      <c r="AC413" s="397">
        <f>VLOOKUP($C413,'ТР нефть'!$A$29:$GC$641,78,0)</f>
        <v>0</v>
      </c>
      <c r="AD413" s="398">
        <f>VLOOKUP($C413,'ТР нефть'!$A$29:$GC$641,93,0)</f>
        <v>11.286</v>
      </c>
      <c r="AE413" s="399">
        <f>VLOOKUP($C413,'ТР нефть'!$A$29:$GC$641,94,0)</f>
        <v>13.5</v>
      </c>
      <c r="AF413" s="400">
        <f>VLOOKUP($C413,'ТР нефть'!$A$29:$GC$641,95,0)</f>
        <v>0</v>
      </c>
      <c r="AG413" s="397">
        <f>VLOOKUP($C413,'ТР нефть'!$A$29:$GC$641,99,0)</f>
        <v>21.2</v>
      </c>
      <c r="AH413" s="397">
        <f>VLOOKUP($C413,'ТР нефть'!$A$29:$GC$641,100,0)</f>
        <v>1878.4334573808258</v>
      </c>
      <c r="AI413" s="397">
        <f>VLOOKUP($C413,'ТР нефть'!$A$29:$GC$641,92,0)</f>
        <v>46</v>
      </c>
      <c r="AJ413" s="403">
        <f>VLOOKUP($C413,'ТР нефть'!$A$29:$GC$641,102,0)</f>
        <v>0.3</v>
      </c>
      <c r="AK413" s="404">
        <f t="shared" si="41"/>
        <v>0</v>
      </c>
      <c r="AL413" s="397">
        <f t="shared" si="41"/>
        <v>-1</v>
      </c>
      <c r="AM413" s="397">
        <f t="shared" si="41"/>
        <v>-1</v>
      </c>
      <c r="AN413" s="397">
        <f t="shared" si="41"/>
        <v>0</v>
      </c>
      <c r="AO413" s="397">
        <f t="shared" si="46"/>
        <v>0</v>
      </c>
      <c r="AP413" s="397">
        <f t="shared" si="42"/>
        <v>0</v>
      </c>
      <c r="AQ413" s="398">
        <f t="shared" si="42"/>
        <v>4.18</v>
      </c>
      <c r="AR413" s="704">
        <f t="shared" si="42"/>
        <v>5</v>
      </c>
      <c r="AS413" s="400">
        <f t="shared" si="43"/>
        <v>0</v>
      </c>
      <c r="AT413" s="397">
        <f t="shared" si="43"/>
        <v>5.1999999999999993</v>
      </c>
      <c r="AU413" s="397">
        <f t="shared" si="43"/>
        <v>682.26120857699789</v>
      </c>
      <c r="AV413" s="397">
        <f t="shared" si="43"/>
        <v>0</v>
      </c>
      <c r="AW413" s="406">
        <f t="shared" si="43"/>
        <v>0.1111111111111111</v>
      </c>
      <c r="AX413" s="392" t="str">
        <f>VLOOKUP($C413,'ТР нефть'!$A$29:$GC$641,182,0)</f>
        <v>Уточнение</v>
      </c>
      <c r="AY413" s="406" t="str">
        <f>VLOOKUP($C413,'ТР нефть'!$A$29:$GC$641,183,0)</f>
        <v>После проведения ТО АГЗУ-103 наблюдается рост дебита газа,дебита нефти</v>
      </c>
      <c r="AZ413" s="407">
        <f t="shared" si="44"/>
        <v>11.286</v>
      </c>
      <c r="BA413" s="408">
        <f t="shared" si="44"/>
        <v>13.5</v>
      </c>
      <c r="BB413" s="397">
        <f t="shared" si="44"/>
        <v>0</v>
      </c>
      <c r="BC413" s="409"/>
      <c r="BD413" s="512"/>
    </row>
    <row r="414" spans="1:56" ht="40.5" customHeight="1" x14ac:dyDescent="0.25">
      <c r="A414" s="301"/>
      <c r="B414" s="392">
        <f t="shared" si="45"/>
        <v>6</v>
      </c>
      <c r="C414" s="490">
        <v>1401</v>
      </c>
      <c r="D414" s="394" t="str">
        <f>VLOOKUP($C414,'ТР нефть'!$A$29:$GC$641,5,0)</f>
        <v>ВУ ОНГКМ</v>
      </c>
      <c r="E414" s="394" t="str">
        <f>VLOOKUP($C414,'ТР нефть'!$A$29:$GC$641,8,0)</f>
        <v>ТЛ-4</v>
      </c>
      <c r="F414" s="395" t="str">
        <f>VLOOKUP($C414,'ТР нефть'!$A$29:$GC$641,11,0)</f>
        <v>К-1401</v>
      </c>
      <c r="G414" s="392" t="str">
        <f>VLOOKUP($C414,'ТР нефть'!$A$29:$GC$641,47,0)</f>
        <v>Газлифт</v>
      </c>
      <c r="H414" s="396">
        <f>VLOOKUP($C414,'ТР нефть'!$A$29:$GC$641,135,0)</f>
        <v>65</v>
      </c>
      <c r="I414" s="397">
        <f>VLOOKUP($C414,'ТР нефть'!$A$29:$GC$641,136,0)</f>
        <v>19</v>
      </c>
      <c r="J414" s="397">
        <f>VLOOKUP($C414,'ТР нефть'!$A$29:$GC$641,137,0)</f>
        <v>62</v>
      </c>
      <c r="K414" s="397">
        <f>VLOOKUP($C414,'ТР нефть'!$A$29:$GC$641,138,0)</f>
        <v>18</v>
      </c>
      <c r="L414" s="397" t="str">
        <f>VLOOKUP($C414,'ТР нефть'!$A$29:$GC$641,139,0)</f>
        <v>Постоянный</v>
      </c>
      <c r="M414" s="397">
        <f>VLOOKUP($C414,'ТР нефть'!$A$29:$GC$641,140,0)</f>
        <v>24</v>
      </c>
      <c r="N414" s="397">
        <f>VLOOKUP($C414,'ТР нефть'!$A$29:$GC$641,141,0)</f>
        <v>0</v>
      </c>
      <c r="O414" s="398">
        <f>VLOOKUP($C414,'ТР нефть'!$A$29:$GC$641,142,0)</f>
        <v>6.4957199999999995</v>
      </c>
      <c r="P414" s="399">
        <f>VLOOKUP($C414,'ТР нефть'!$A$29:$GC$641,143,0)</f>
        <v>10.5</v>
      </c>
      <c r="Q414" s="400">
        <f>VLOOKUP($C414,'ТР нефть'!$A$29:$GC$641,144,0)</f>
        <v>26</v>
      </c>
      <c r="R414" s="397">
        <f>VLOOKUP($C414,'ТР нефть'!$A$29:$GC$641,145,0)</f>
        <v>19</v>
      </c>
      <c r="S414" s="397">
        <f>VLOOKUP($C414,'ТР нефть'!$A$29:$GC$641,146,0)</f>
        <v>708.15860289544503</v>
      </c>
      <c r="T414" s="397">
        <f>VLOOKUP($C414,'ТР нефть'!$A$29:$GC$641,149,0)</f>
        <v>69</v>
      </c>
      <c r="U414" s="403">
        <f>VLOOKUP($C414,'ТР нефть'!$A$29:$GC$641,150,0)</f>
        <v>0.10824742268041238</v>
      </c>
      <c r="V414" s="402" t="str">
        <f>VLOOKUP($C414,'ТР нефть'!$A$29:$GC$641,47,0)</f>
        <v>Газлифт</v>
      </c>
      <c r="W414" s="396">
        <f>VLOOKUP($C414,'ТР нефть'!$A$29:$GC$641,74,0)</f>
        <v>65</v>
      </c>
      <c r="X414" s="397">
        <f>VLOOKUP($C414,'ТР нефть'!$A$29:$GC$641,79,0)</f>
        <v>18</v>
      </c>
      <c r="Y414" s="397">
        <f>VLOOKUP($C414,'ТР нефть'!$A$29:$GC$641,80,0)</f>
        <v>51</v>
      </c>
      <c r="Z414" s="397">
        <f>VLOOKUP($C414,'ТР нефть'!$A$29:$GC$641,81,0)</f>
        <v>17</v>
      </c>
      <c r="AA414" s="397" t="str">
        <f>VLOOKUP($C414,'ТР нефть'!$A$29:$GC$641,76,0)</f>
        <v>Постоянный</v>
      </c>
      <c r="AB414" s="397">
        <f>VLOOKUP($C414,'ТР нефть'!$A$29:$GC$641,77,0)</f>
        <v>24</v>
      </c>
      <c r="AC414" s="397">
        <f>VLOOKUP($C414,'ТР нефть'!$A$29:$GC$641,78,0)</f>
        <v>0</v>
      </c>
      <c r="AD414" s="398">
        <f>VLOOKUP($C414,'ТР нефть'!$A$29:$GC$641,93,0)</f>
        <v>4.5143999999999993</v>
      </c>
      <c r="AE414" s="399">
        <f>VLOOKUP($C414,'ТР нефть'!$A$29:$GC$641,94,0)</f>
        <v>7.5</v>
      </c>
      <c r="AF414" s="400">
        <f>VLOOKUP($C414,'ТР нефть'!$A$29:$GC$641,95,0)</f>
        <v>28</v>
      </c>
      <c r="AG414" s="397">
        <f>VLOOKUP($C414,'ТР нефть'!$A$29:$GC$641,99,0)</f>
        <v>4.5999999999999996</v>
      </c>
      <c r="AH414" s="397">
        <f>VLOOKUP($C414,'ТР нефть'!$A$29:$GC$641,100,0)</f>
        <v>1018.9615452773349</v>
      </c>
      <c r="AI414" s="397">
        <f>VLOOKUP($C414,'ТР нефть'!$A$29:$GC$641,92,0)</f>
        <v>69</v>
      </c>
      <c r="AJ414" s="403">
        <f>VLOOKUP($C414,'ТР нефть'!$A$29:$GC$641,102,0)</f>
        <v>7.7319587628865982E-2</v>
      </c>
      <c r="AK414" s="404">
        <f t="shared" si="41"/>
        <v>0</v>
      </c>
      <c r="AL414" s="397">
        <f t="shared" si="41"/>
        <v>-1</v>
      </c>
      <c r="AM414" s="397">
        <f t="shared" si="41"/>
        <v>-11</v>
      </c>
      <c r="AN414" s="397">
        <f t="shared" si="41"/>
        <v>-1</v>
      </c>
      <c r="AO414" s="397">
        <f t="shared" si="46"/>
        <v>0</v>
      </c>
      <c r="AP414" s="397">
        <f t="shared" si="42"/>
        <v>0</v>
      </c>
      <c r="AQ414" s="398">
        <f t="shared" si="42"/>
        <v>-1.9813200000000002</v>
      </c>
      <c r="AR414" s="704">
        <f t="shared" si="42"/>
        <v>-3</v>
      </c>
      <c r="AS414" s="400">
        <f t="shared" si="43"/>
        <v>2</v>
      </c>
      <c r="AT414" s="397">
        <f t="shared" si="43"/>
        <v>-14.4</v>
      </c>
      <c r="AU414" s="397">
        <f t="shared" si="43"/>
        <v>310.80294238188992</v>
      </c>
      <c r="AV414" s="397">
        <f t="shared" si="43"/>
        <v>0</v>
      </c>
      <c r="AW414" s="406">
        <f t="shared" si="43"/>
        <v>-3.0927835051546393E-2</v>
      </c>
      <c r="AX414" s="392" t="str">
        <f>VLOOKUP($C414,'ТР нефть'!$A$29:$GC$641,182,0)</f>
        <v>Уточнение</v>
      </c>
      <c r="AY414" s="406" t="str">
        <f>VLOOKUP($C414,'ТР нефть'!$A$29:$GC$641,183,0)</f>
        <v>Приведение ТР к соответствию. В предыдущем месяце ТР принят  + 3 т/сут по аналогичному шифру.</v>
      </c>
      <c r="AZ414" s="407">
        <f t="shared" si="44"/>
        <v>4.5143999999999993</v>
      </c>
      <c r="BA414" s="408">
        <f t="shared" si="44"/>
        <v>7.5</v>
      </c>
      <c r="BB414" s="397">
        <f t="shared" si="44"/>
        <v>28</v>
      </c>
      <c r="BC414" s="409"/>
      <c r="BD414" s="512"/>
    </row>
    <row r="415" spans="1:56" ht="40.5" customHeight="1" x14ac:dyDescent="0.25">
      <c r="A415" s="301"/>
      <c r="B415" s="392">
        <f t="shared" si="45"/>
        <v>7</v>
      </c>
      <c r="C415" s="490">
        <v>1416</v>
      </c>
      <c r="D415" s="394" t="str">
        <f>VLOOKUP($C415,'ТР нефть'!$A$29:$GC$641,5,0)</f>
        <v>ВУ ОНГКМ</v>
      </c>
      <c r="E415" s="394" t="str">
        <f>VLOOKUP($C415,'ТР нефть'!$A$29:$GC$641,8,0)</f>
        <v>ТЛ-3</v>
      </c>
      <c r="F415" s="395" t="str">
        <f>VLOOKUP($C415,'ТР нефть'!$A$29:$GC$641,11,0)</f>
        <v>К-1599</v>
      </c>
      <c r="G415" s="392" t="str">
        <f>VLOOKUP($C415,'ТР нефть'!$A$29:$GC$641,47,0)</f>
        <v>Газлифт</v>
      </c>
      <c r="H415" s="396">
        <f>VLOOKUP($C415,'ТР нефть'!$A$29:$GC$641,135,0)</f>
        <v>18</v>
      </c>
      <c r="I415" s="397">
        <f>VLOOKUP($C415,'ТР нефть'!$A$29:$GC$641,136,0)</f>
        <v>29</v>
      </c>
      <c r="J415" s="397">
        <f>VLOOKUP($C415,'ТР нефть'!$A$29:$GC$641,137,0)</f>
        <v>48</v>
      </c>
      <c r="K415" s="397">
        <f>VLOOKUP($C415,'ТР нефть'!$A$29:$GC$641,138,0)</f>
        <v>29</v>
      </c>
      <c r="L415" s="397" t="str">
        <f>VLOOKUP($C415,'ТР нефть'!$A$29:$GC$641,139,0)</f>
        <v>Периодический</v>
      </c>
      <c r="M415" s="397">
        <f>VLOOKUP($C415,'ТР нефть'!$A$29:$GC$641,140,0)</f>
        <v>24</v>
      </c>
      <c r="N415" s="397">
        <f>VLOOKUP($C415,'ТР нефть'!$A$29:$GC$641,141,0)</f>
        <v>24</v>
      </c>
      <c r="O415" s="398">
        <f>VLOOKUP($C415,'ТР нефть'!$A$29:$GC$641,142,0)</f>
        <v>3.1654304</v>
      </c>
      <c r="P415" s="399">
        <f>VLOOKUP($C415,'ТР нефть'!$A$29:$GC$641,143,0)</f>
        <v>4</v>
      </c>
      <c r="Q415" s="400">
        <f>VLOOKUP($C415,'ТР нефть'!$A$29:$GC$641,144,0)</f>
        <v>5.34</v>
      </c>
      <c r="R415" s="397">
        <f>VLOOKUP($C415,'ТР нефть'!$A$29:$GC$641,145,0)</f>
        <v>7</v>
      </c>
      <c r="S415" s="397">
        <f>VLOOKUP($C415,'ТР нефть'!$A$29:$GC$641,146,0)</f>
        <v>1453.198907800974</v>
      </c>
      <c r="T415" s="397">
        <f>VLOOKUP($C415,'ТР нефть'!$A$29:$GC$641,149,0)</f>
        <v>54</v>
      </c>
      <c r="U415" s="403">
        <f>VLOOKUP($C415,'ТР нефть'!$A$29:$GC$641,150,0)</f>
        <v>7.1428571428571425E-2</v>
      </c>
      <c r="V415" s="402" t="str">
        <f>VLOOKUP($C415,'ТР нефть'!$A$29:$GC$641,47,0)</f>
        <v>Газлифт</v>
      </c>
      <c r="W415" s="396">
        <f>VLOOKUP($C415,'ТР нефть'!$A$29:$GC$641,74,0)</f>
        <v>18</v>
      </c>
      <c r="X415" s="397">
        <f>VLOOKUP($C415,'ТР нефть'!$A$29:$GC$641,79,0)</f>
        <v>18</v>
      </c>
      <c r="Y415" s="397">
        <f>VLOOKUP($C415,'ТР нефть'!$A$29:$GC$641,80,0)</f>
        <v>48</v>
      </c>
      <c r="Z415" s="397">
        <f>VLOOKUP($C415,'ТР нефть'!$A$29:$GC$641,81,0)</f>
        <v>17</v>
      </c>
      <c r="AA415" s="397" t="str">
        <f>VLOOKUP($C415,'ТР нефть'!$A$29:$GC$641,76,0)</f>
        <v>Периодический</v>
      </c>
      <c r="AB415" s="397">
        <f>VLOOKUP($C415,'ТР нефть'!$A$29:$GC$641,77,0)</f>
        <v>24</v>
      </c>
      <c r="AC415" s="397">
        <f>VLOOKUP($C415,'ТР нефть'!$A$29:$GC$641,78,0)</f>
        <v>24</v>
      </c>
      <c r="AD415" s="398">
        <f>VLOOKUP($C415,'ТР нефть'!$A$29:$GC$641,93,0)</f>
        <v>1.9261439999999999</v>
      </c>
      <c r="AE415" s="399">
        <f>VLOOKUP($C415,'ТР нефть'!$A$29:$GC$641,94,0)</f>
        <v>2.4</v>
      </c>
      <c r="AF415" s="400">
        <f>VLOOKUP($C415,'ТР нефть'!$A$29:$GC$641,95,0)</f>
        <v>4</v>
      </c>
      <c r="AG415" s="397">
        <f>VLOOKUP($C415,'ТР нефть'!$A$29:$GC$641,99,0)</f>
        <v>2.4000000000000004</v>
      </c>
      <c r="AH415" s="397">
        <f>VLOOKUP($C415,'ТР нефть'!$A$29:$GC$641,100,0)</f>
        <v>1246.0127591706541</v>
      </c>
      <c r="AI415" s="397">
        <f>VLOOKUP($C415,'ТР нефть'!$A$29:$GC$641,92,0)</f>
        <v>48</v>
      </c>
      <c r="AJ415" s="403">
        <f>VLOOKUP($C415,'ТР нефть'!$A$29:$GC$641,102,0)</f>
        <v>3.870967741935484E-2</v>
      </c>
      <c r="AK415" s="404">
        <f t="shared" si="41"/>
        <v>0</v>
      </c>
      <c r="AL415" s="397">
        <f t="shared" si="41"/>
        <v>-11</v>
      </c>
      <c r="AM415" s="397">
        <f t="shared" si="41"/>
        <v>0</v>
      </c>
      <c r="AN415" s="397">
        <f t="shared" si="41"/>
        <v>-12</v>
      </c>
      <c r="AO415" s="397">
        <f t="shared" si="46"/>
        <v>0</v>
      </c>
      <c r="AP415" s="397">
        <f t="shared" si="42"/>
        <v>0</v>
      </c>
      <c r="AQ415" s="398">
        <f t="shared" si="42"/>
        <v>-1.2392864000000001</v>
      </c>
      <c r="AR415" s="704">
        <f t="shared" si="42"/>
        <v>-1.6</v>
      </c>
      <c r="AS415" s="400">
        <f t="shared" si="43"/>
        <v>-1.3399999999999999</v>
      </c>
      <c r="AT415" s="397">
        <f t="shared" si="43"/>
        <v>-4.5999999999999996</v>
      </c>
      <c r="AU415" s="397">
        <f t="shared" si="43"/>
        <v>-207.18614863031985</v>
      </c>
      <c r="AV415" s="397">
        <f t="shared" si="43"/>
        <v>-6</v>
      </c>
      <c r="AW415" s="406">
        <f t="shared" si="43"/>
        <v>-3.2718894009216584E-2</v>
      </c>
      <c r="AX415" s="392" t="str">
        <f>VLOOKUP($C415,'ТР нефть'!$A$29:$GC$641,182,0)</f>
        <v>Уточнение</v>
      </c>
      <c r="AY415" s="406" t="s">
        <v>450</v>
      </c>
      <c r="AZ415" s="407">
        <f t="shared" si="44"/>
        <v>1.9261439999999999</v>
      </c>
      <c r="BA415" s="408">
        <f t="shared" si="44"/>
        <v>2.4</v>
      </c>
      <c r="BB415" s="397">
        <f t="shared" si="44"/>
        <v>4</v>
      </c>
      <c r="BC415" s="409"/>
      <c r="BD415" s="512"/>
    </row>
    <row r="416" spans="1:56" ht="40.5" customHeight="1" x14ac:dyDescent="0.25">
      <c r="A416" s="301"/>
      <c r="B416" s="392">
        <f t="shared" si="45"/>
        <v>8</v>
      </c>
      <c r="C416" s="490">
        <v>1425</v>
      </c>
      <c r="D416" s="394" t="str">
        <f>VLOOKUP($C416,'ТР нефть'!$A$29:$GC$641,5,0)</f>
        <v>ВУ ОНГКМ</v>
      </c>
      <c r="E416" s="394" t="str">
        <f>VLOOKUP($C416,'ТР нефть'!$A$29:$GC$641,8,0)</f>
        <v>ТЛ-4</v>
      </c>
      <c r="F416" s="395" t="str">
        <f>VLOOKUP($C416,'ТР нефть'!$A$29:$GC$641,11,0)</f>
        <v>К-1509</v>
      </c>
      <c r="G416" s="392" t="str">
        <f>VLOOKUP($C416,'ТР нефть'!$A$29:$GC$641,47,0)</f>
        <v>Газлифт</v>
      </c>
      <c r="H416" s="396">
        <f>VLOOKUP($C416,'ТР нефть'!$A$29:$GC$641,135,0)</f>
        <v>18</v>
      </c>
      <c r="I416" s="397">
        <f>VLOOKUP($C416,'ТР нефть'!$A$29:$GC$641,136,0)</f>
        <v>26</v>
      </c>
      <c r="J416" s="397">
        <f>VLOOKUP($C416,'ТР нефть'!$A$29:$GC$641,137,0)</f>
        <v>44</v>
      </c>
      <c r="K416" s="397">
        <f>VLOOKUP($C416,'ТР нефть'!$A$29:$GC$641,138,0)</f>
        <v>25</v>
      </c>
      <c r="L416" s="397" t="str">
        <f>VLOOKUP($C416,'ТР нефть'!$A$29:$GC$641,139,0)</f>
        <v>Постоянный</v>
      </c>
      <c r="M416" s="397">
        <f>VLOOKUP($C416,'ТР нефть'!$A$29:$GC$641,140,0)</f>
        <v>24</v>
      </c>
      <c r="N416" s="397">
        <f>VLOOKUP($C416,'ТР нефть'!$A$29:$GC$641,141,0)</f>
        <v>0</v>
      </c>
      <c r="O416" s="398">
        <f>VLOOKUP($C416,'ТР нефть'!$A$29:$GC$641,142,0)</f>
        <v>6.2072999999999992</v>
      </c>
      <c r="P416" s="399">
        <f>VLOOKUP($C416,'ТР нефть'!$A$29:$GC$641,143,0)</f>
        <v>7.5</v>
      </c>
      <c r="Q416" s="400">
        <f>VLOOKUP($C416,'ТР нефть'!$A$29:$GC$641,144,0)</f>
        <v>1</v>
      </c>
      <c r="R416" s="397">
        <f>VLOOKUP($C416,'ТР нефть'!$A$29:$GC$641,145,0)</f>
        <v>15</v>
      </c>
      <c r="S416" s="397">
        <f>VLOOKUP($C416,'ТР нефть'!$A$29:$GC$641,146,0)</f>
        <v>1611.0063956953911</v>
      </c>
      <c r="T416" s="397">
        <f>VLOOKUP($C416,'ТР нефть'!$A$29:$GC$641,149,0)</f>
        <v>50</v>
      </c>
      <c r="U416" s="403">
        <f>VLOOKUP($C416,'ТР нефть'!$A$29:$GC$641,150,0)</f>
        <v>0.46875</v>
      </c>
      <c r="V416" s="402" t="str">
        <f>VLOOKUP($C416,'ТР нефть'!$A$29:$GC$641,47,0)</f>
        <v>Газлифт</v>
      </c>
      <c r="W416" s="396">
        <f>VLOOKUP($C416,'ТР нефть'!$A$29:$GC$641,74,0)</f>
        <v>18</v>
      </c>
      <c r="X416" s="397">
        <f>VLOOKUP($C416,'ТР нефть'!$A$29:$GC$641,79,0)</f>
        <v>24</v>
      </c>
      <c r="Y416" s="397">
        <f>VLOOKUP($C416,'ТР нефть'!$A$29:$GC$641,80,0)</f>
        <v>38</v>
      </c>
      <c r="Z416" s="397">
        <f>VLOOKUP($C416,'ТР нефть'!$A$29:$GC$641,81,0)</f>
        <v>23</v>
      </c>
      <c r="AA416" s="397" t="str">
        <f>VLOOKUP($C416,'ТР нефть'!$A$29:$GC$641,76,0)</f>
        <v>Постоянный</v>
      </c>
      <c r="AB416" s="397">
        <f>VLOOKUP($C416,'ТР нефть'!$A$29:$GC$641,77,0)</f>
        <v>24</v>
      </c>
      <c r="AC416" s="397">
        <f>VLOOKUP($C416,'ТР нефть'!$A$29:$GC$641,78,0)</f>
        <v>0</v>
      </c>
      <c r="AD416" s="398">
        <f>VLOOKUP($C416,'ТР нефть'!$A$29:$GC$641,93,0)</f>
        <v>4.1382000000000003</v>
      </c>
      <c r="AE416" s="399">
        <f>VLOOKUP($C416,'ТР нефть'!$A$29:$GC$641,94,0)</f>
        <v>5</v>
      </c>
      <c r="AF416" s="400">
        <f>VLOOKUP($C416,'ТР нефть'!$A$29:$GC$641,95,0)</f>
        <v>1</v>
      </c>
      <c r="AG416" s="397">
        <f>VLOOKUP($C416,'ТР нефть'!$A$29:$GC$641,99,0)</f>
        <v>10</v>
      </c>
      <c r="AH416" s="397">
        <f>VLOOKUP($C416,'ТР нефть'!$A$29:$GC$641,100,0)</f>
        <v>2416.5095935430863</v>
      </c>
      <c r="AI416" s="397">
        <f>VLOOKUP($C416,'ТР нефть'!$A$29:$GC$641,92,0)</f>
        <v>50</v>
      </c>
      <c r="AJ416" s="403">
        <f>VLOOKUP($C416,'ТР нефть'!$A$29:$GC$641,102,0)</f>
        <v>0.3125</v>
      </c>
      <c r="AK416" s="404">
        <f t="shared" si="41"/>
        <v>0</v>
      </c>
      <c r="AL416" s="397">
        <f t="shared" si="41"/>
        <v>-2</v>
      </c>
      <c r="AM416" s="397">
        <f t="shared" si="41"/>
        <v>-6</v>
      </c>
      <c r="AN416" s="397">
        <f t="shared" si="41"/>
        <v>-2</v>
      </c>
      <c r="AO416" s="397">
        <f t="shared" si="46"/>
        <v>0</v>
      </c>
      <c r="AP416" s="397">
        <f t="shared" si="42"/>
        <v>0</v>
      </c>
      <c r="AQ416" s="398">
        <f t="shared" si="42"/>
        <v>-2.0690999999999988</v>
      </c>
      <c r="AR416" s="704">
        <f t="shared" si="42"/>
        <v>-2.5</v>
      </c>
      <c r="AS416" s="400">
        <f t="shared" si="43"/>
        <v>0</v>
      </c>
      <c r="AT416" s="397">
        <f t="shared" si="43"/>
        <v>-5</v>
      </c>
      <c r="AU416" s="397">
        <f t="shared" si="43"/>
        <v>805.50319784769522</v>
      </c>
      <c r="AV416" s="397">
        <f t="shared" si="43"/>
        <v>0</v>
      </c>
      <c r="AW416" s="406">
        <f t="shared" si="43"/>
        <v>-0.15625</v>
      </c>
      <c r="AX416" s="392" t="str">
        <f>VLOOKUP($C416,'ТР нефть'!$A$29:$GC$641,182,0)</f>
        <v>Уточнение</v>
      </c>
      <c r="AY416" s="406" t="str">
        <f>VLOOKUP($C416,'ТР нефть'!$A$29:$GC$641,183,0)</f>
        <v>Приведение ТР к соответствию</v>
      </c>
      <c r="AZ416" s="407">
        <f t="shared" si="44"/>
        <v>4.1382000000000003</v>
      </c>
      <c r="BA416" s="408">
        <f t="shared" si="44"/>
        <v>5</v>
      </c>
      <c r="BB416" s="397">
        <f t="shared" si="44"/>
        <v>1</v>
      </c>
      <c r="BC416" s="409"/>
      <c r="BD416" s="512"/>
    </row>
    <row r="417" spans="1:56" ht="40.5" customHeight="1" x14ac:dyDescent="0.25">
      <c r="A417" s="301"/>
      <c r="B417" s="392">
        <f t="shared" si="45"/>
        <v>9</v>
      </c>
      <c r="C417" s="490">
        <v>1589</v>
      </c>
      <c r="D417" s="394" t="str">
        <f>VLOOKUP($C417,'ТР нефть'!$A$29:$GC$641,5,0)</f>
        <v>ВУ ОНГКМ</v>
      </c>
      <c r="E417" s="394" t="str">
        <f>VLOOKUP($C417,'ТР нефть'!$A$29:$GC$641,8,0)</f>
        <v>ТЛ-2</v>
      </c>
      <c r="F417" s="395" t="str">
        <f>VLOOKUP($C417,'ТР нефть'!$A$29:$GC$641,11,0)</f>
        <v>К-127</v>
      </c>
      <c r="G417" s="392" t="str">
        <f>VLOOKUP($C417,'ТР нефть'!$A$29:$GC$641,47,0)</f>
        <v>Газлифт</v>
      </c>
      <c r="H417" s="396">
        <f>VLOOKUP($C417,'ТР нефть'!$A$29:$GC$641,135,0)</f>
        <v>65</v>
      </c>
      <c r="I417" s="397">
        <f>VLOOKUP($C417,'ТР нефть'!$A$29:$GC$641,136,0)</f>
        <v>23</v>
      </c>
      <c r="J417" s="397">
        <f>VLOOKUP($C417,'ТР нефть'!$A$29:$GC$641,137,0)</f>
        <v>70</v>
      </c>
      <c r="K417" s="397">
        <f>VLOOKUP($C417,'ТР нефть'!$A$29:$GC$641,138,0)</f>
        <v>19</v>
      </c>
      <c r="L417" s="397" t="str">
        <f>VLOOKUP($C417,'ТР нефть'!$A$29:$GC$641,139,0)</f>
        <v>Постоянный</v>
      </c>
      <c r="M417" s="397">
        <f>VLOOKUP($C417,'ТР нефть'!$A$29:$GC$641,140,0)</f>
        <v>24</v>
      </c>
      <c r="N417" s="397">
        <f>VLOOKUP($C417,'ТР нефть'!$A$29:$GC$641,141,0)</f>
        <v>0</v>
      </c>
      <c r="O417" s="398">
        <f>VLOOKUP($C417,'ТР нефть'!$A$29:$GC$641,142,0)</f>
        <v>11.703999999999999</v>
      </c>
      <c r="P417" s="399">
        <f>VLOOKUP($C417,'ТР нефть'!$A$29:$GC$641,143,0)</f>
        <v>14</v>
      </c>
      <c r="Q417" s="400">
        <f>VLOOKUP($C417,'ТР нефть'!$A$29:$GC$641,144,0)</f>
        <v>0</v>
      </c>
      <c r="R417" s="397">
        <f>VLOOKUP($C417,'ТР нефть'!$A$29:$GC$641,145,0)</f>
        <v>34</v>
      </c>
      <c r="S417" s="397">
        <f>VLOOKUP($C417,'ТР нефть'!$A$29:$GC$641,146,0)</f>
        <v>2230.0068352699932</v>
      </c>
      <c r="T417" s="397">
        <f>VLOOKUP($C417,'ТР нефть'!$A$29:$GC$641,149,0)</f>
        <v>43</v>
      </c>
      <c r="U417" s="403">
        <f>VLOOKUP($C417,'ТР нефть'!$A$29:$GC$641,150,0)</f>
        <v>0.53846153846153844</v>
      </c>
      <c r="V417" s="402" t="str">
        <f>VLOOKUP($C417,'ТР нефть'!$A$29:$GC$641,47,0)</f>
        <v>Газлифт</v>
      </c>
      <c r="W417" s="396">
        <f>VLOOKUP($C417,'ТР нефть'!$A$29:$GC$641,74,0)</f>
        <v>65</v>
      </c>
      <c r="X417" s="397">
        <f>VLOOKUP($C417,'ТР нефть'!$A$29:$GC$641,79,0)</f>
        <v>22</v>
      </c>
      <c r="Y417" s="397">
        <f>VLOOKUP($C417,'ТР нефть'!$A$29:$GC$641,80,0)</f>
        <v>41</v>
      </c>
      <c r="Z417" s="397">
        <f>VLOOKUP($C417,'ТР нефть'!$A$29:$GC$641,81,0)</f>
        <v>19</v>
      </c>
      <c r="AA417" s="397" t="str">
        <f>VLOOKUP($C417,'ТР нефть'!$A$29:$GC$641,76,0)</f>
        <v>Постоянный</v>
      </c>
      <c r="AB417" s="397">
        <f>VLOOKUP($C417,'ТР нефть'!$A$29:$GC$641,77,0)</f>
        <v>24</v>
      </c>
      <c r="AC417" s="397">
        <f>VLOOKUP($C417,'ТР нефть'!$A$29:$GC$641,78,0)</f>
        <v>0</v>
      </c>
      <c r="AD417" s="398">
        <f>VLOOKUP($C417,'ТР нефть'!$A$29:$GC$641,93,0)</f>
        <v>13.375999999999999</v>
      </c>
      <c r="AE417" s="399">
        <f>VLOOKUP($C417,'ТР нефть'!$A$29:$GC$641,94,0)</f>
        <v>16</v>
      </c>
      <c r="AF417" s="400">
        <f>VLOOKUP($C417,'ТР нефть'!$A$29:$GC$641,95,0)</f>
        <v>0</v>
      </c>
      <c r="AG417" s="397">
        <f>VLOOKUP($C417,'ТР нефть'!$A$29:$GC$641,99,0)</f>
        <v>41.8</v>
      </c>
      <c r="AH417" s="397">
        <f>VLOOKUP($C417,'ТР нефть'!$A$29:$GC$641,100,0)</f>
        <v>3125</v>
      </c>
      <c r="AI417" s="397">
        <f>VLOOKUP($C417,'ТР нефть'!$A$29:$GC$641,92,0)</f>
        <v>41</v>
      </c>
      <c r="AJ417" s="403">
        <f>VLOOKUP($C417,'ТР нефть'!$A$29:$GC$641,102,0)</f>
        <v>0.5714285714285714</v>
      </c>
      <c r="AK417" s="404">
        <f t="shared" si="41"/>
        <v>0</v>
      </c>
      <c r="AL417" s="397">
        <f t="shared" si="41"/>
        <v>-1</v>
      </c>
      <c r="AM417" s="397">
        <f t="shared" si="41"/>
        <v>-29</v>
      </c>
      <c r="AN417" s="397">
        <f t="shared" si="41"/>
        <v>0</v>
      </c>
      <c r="AO417" s="397">
        <f t="shared" si="46"/>
        <v>0</v>
      </c>
      <c r="AP417" s="397">
        <f t="shared" si="42"/>
        <v>0</v>
      </c>
      <c r="AQ417" s="398">
        <f t="shared" si="42"/>
        <v>1.6720000000000006</v>
      </c>
      <c r="AR417" s="704">
        <f t="shared" si="42"/>
        <v>2</v>
      </c>
      <c r="AS417" s="400">
        <f t="shared" si="43"/>
        <v>0</v>
      </c>
      <c r="AT417" s="397">
        <f t="shared" si="43"/>
        <v>7.7999999999999972</v>
      </c>
      <c r="AU417" s="397">
        <f t="shared" si="43"/>
        <v>894.99316473000681</v>
      </c>
      <c r="AV417" s="397">
        <f t="shared" si="43"/>
        <v>-2</v>
      </c>
      <c r="AW417" s="406">
        <f t="shared" si="43"/>
        <v>3.2967032967032961E-2</v>
      </c>
      <c r="AX417" s="392" t="str">
        <f>VLOOKUP($C417,'ТР нефть'!$A$29:$GC$641,182,0)</f>
        <v>Уточнение</v>
      </c>
      <c r="AY417" s="406" t="str">
        <f>VLOOKUP($C417,'ТР нефть'!$A$29:$GC$641,183,0)</f>
        <v>После проведения ТО АГЗУ-103 наблюдается рост дебита газа,дебита нефти</v>
      </c>
      <c r="AZ417" s="407">
        <f t="shared" si="44"/>
        <v>13.375999999999999</v>
      </c>
      <c r="BA417" s="408">
        <f t="shared" si="44"/>
        <v>16</v>
      </c>
      <c r="BB417" s="397">
        <f t="shared" si="44"/>
        <v>0</v>
      </c>
      <c r="BC417" s="409"/>
      <c r="BD417" s="512"/>
    </row>
    <row r="418" spans="1:56" ht="40.5" customHeight="1" x14ac:dyDescent="0.25">
      <c r="A418" s="301"/>
      <c r="B418" s="392">
        <f t="shared" si="45"/>
        <v>10</v>
      </c>
      <c r="C418" s="490">
        <v>1597</v>
      </c>
      <c r="D418" s="394" t="str">
        <f>VLOOKUP($C418,'ТР нефть'!$A$29:$GC$641,5,0)</f>
        <v>ВУ ОНГКМ</v>
      </c>
      <c r="E418" s="394" t="str">
        <f>VLOOKUP($C418,'ТР нефть'!$A$29:$GC$641,8,0)</f>
        <v>ТЛ-2</v>
      </c>
      <c r="F418" s="395" t="str">
        <f>VLOOKUP($C418,'ТР нефть'!$A$29:$GC$641,11,0)</f>
        <v>К-127</v>
      </c>
      <c r="G418" s="392" t="str">
        <f>VLOOKUP($C418,'ТР нефть'!$A$29:$GC$641,47,0)</f>
        <v>Газлифт</v>
      </c>
      <c r="H418" s="396">
        <f>VLOOKUP($C418,'ТР нефть'!$A$29:$GC$641,135,0)</f>
        <v>65</v>
      </c>
      <c r="I418" s="397">
        <f>VLOOKUP($C418,'ТР нефть'!$A$29:$GC$641,136,0)</f>
        <v>23</v>
      </c>
      <c r="J418" s="397">
        <f>VLOOKUP($C418,'ТР нефть'!$A$29:$GC$641,137,0)</f>
        <v>37</v>
      </c>
      <c r="K418" s="397">
        <f>VLOOKUP($C418,'ТР нефть'!$A$29:$GC$641,138,0)</f>
        <v>23</v>
      </c>
      <c r="L418" s="397" t="str">
        <f>VLOOKUP($C418,'ТР нефть'!$A$29:$GC$641,139,0)</f>
        <v>Постоянный</v>
      </c>
      <c r="M418" s="397">
        <f>VLOOKUP($C418,'ТР нефть'!$A$29:$GC$641,140,0)</f>
        <v>24</v>
      </c>
      <c r="N418" s="397">
        <f>VLOOKUP($C418,'ТР нефть'!$A$29:$GC$641,141,0)</f>
        <v>0</v>
      </c>
      <c r="O418" s="398">
        <f>VLOOKUP($C418,'ТР нефть'!$A$29:$GC$641,142,0)</f>
        <v>6.3535999999999992</v>
      </c>
      <c r="P418" s="399">
        <f>VLOOKUP($C418,'ТР нефть'!$A$29:$GC$641,143,0)</f>
        <v>7.6</v>
      </c>
      <c r="Q418" s="400">
        <f>VLOOKUP($C418,'ТР нефть'!$A$29:$GC$641,144,0)</f>
        <v>0</v>
      </c>
      <c r="R418" s="397">
        <f>VLOOKUP($C418,'ТР нефть'!$A$29:$GC$641,145,0)</f>
        <v>12</v>
      </c>
      <c r="S418" s="397">
        <f>VLOOKUP($C418,'ТР нефть'!$A$29:$GC$641,146,0)</f>
        <v>692.52077562326883</v>
      </c>
      <c r="T418" s="397">
        <f>VLOOKUP($C418,'ТР нефть'!$A$29:$GC$641,149,0)</f>
        <v>49</v>
      </c>
      <c r="U418" s="403">
        <f>VLOOKUP($C418,'ТР нефть'!$A$29:$GC$641,150,0)</f>
        <v>0.18095238095238095</v>
      </c>
      <c r="V418" s="402" t="str">
        <f>VLOOKUP($C418,'ТР нефть'!$A$29:$GC$641,47,0)</f>
        <v>Газлифт</v>
      </c>
      <c r="W418" s="396">
        <f>VLOOKUP($C418,'ТР нефть'!$A$29:$GC$641,74,0)</f>
        <v>65</v>
      </c>
      <c r="X418" s="397">
        <f>VLOOKUP($C418,'ТР нефть'!$A$29:$GC$641,79,0)</f>
        <v>22</v>
      </c>
      <c r="Y418" s="397">
        <f>VLOOKUP($C418,'ТР нефть'!$A$29:$GC$641,80,0)</f>
        <v>38</v>
      </c>
      <c r="Z418" s="397">
        <f>VLOOKUP($C418,'ТР нефть'!$A$29:$GC$641,81,0)</f>
        <v>22</v>
      </c>
      <c r="AA418" s="397" t="str">
        <f>VLOOKUP($C418,'ТР нефть'!$A$29:$GC$641,76,0)</f>
        <v>Постоянный</v>
      </c>
      <c r="AB418" s="397">
        <f>VLOOKUP($C418,'ТР нефть'!$A$29:$GC$641,77,0)</f>
        <v>24</v>
      </c>
      <c r="AC418" s="397">
        <f>VLOOKUP($C418,'ТР нефть'!$A$29:$GC$641,78,0)</f>
        <v>0</v>
      </c>
      <c r="AD418" s="398">
        <f>VLOOKUP($C418,'ТР нефть'!$A$29:$GC$641,93,0)</f>
        <v>8.36</v>
      </c>
      <c r="AE418" s="399">
        <f>VLOOKUP($C418,'ТР нефть'!$A$29:$GC$641,94,0)</f>
        <v>10</v>
      </c>
      <c r="AF418" s="400">
        <f>VLOOKUP($C418,'ТР нефть'!$A$29:$GC$641,95,0)</f>
        <v>0</v>
      </c>
      <c r="AG418" s="397">
        <f>VLOOKUP($C418,'ТР нефть'!$A$29:$GC$641,99,0)</f>
        <v>16.600000000000001</v>
      </c>
      <c r="AH418" s="397">
        <f>VLOOKUP($C418,'ТР нефть'!$A$29:$GC$641,100,0)</f>
        <v>1985.6459330143541</v>
      </c>
      <c r="AI418" s="397">
        <f>VLOOKUP($C418,'ТР нефть'!$A$29:$GC$641,92,0)</f>
        <v>47</v>
      </c>
      <c r="AJ418" s="403">
        <f>VLOOKUP($C418,'ТР нефть'!$A$29:$GC$641,102,0)</f>
        <v>0.22727272727272727</v>
      </c>
      <c r="AK418" s="404">
        <f t="shared" si="41"/>
        <v>0</v>
      </c>
      <c r="AL418" s="397">
        <f t="shared" si="41"/>
        <v>-1</v>
      </c>
      <c r="AM418" s="397">
        <f t="shared" si="41"/>
        <v>1</v>
      </c>
      <c r="AN418" s="397">
        <f t="shared" si="41"/>
        <v>-1</v>
      </c>
      <c r="AO418" s="397">
        <f t="shared" si="46"/>
        <v>0</v>
      </c>
      <c r="AP418" s="397">
        <f t="shared" si="42"/>
        <v>0</v>
      </c>
      <c r="AQ418" s="398">
        <f t="shared" si="42"/>
        <v>2.0064000000000002</v>
      </c>
      <c r="AR418" s="704">
        <f t="shared" si="42"/>
        <v>2.4000000000000004</v>
      </c>
      <c r="AS418" s="400">
        <f t="shared" si="43"/>
        <v>0</v>
      </c>
      <c r="AT418" s="397">
        <f t="shared" si="43"/>
        <v>4.6000000000000014</v>
      </c>
      <c r="AU418" s="397">
        <f t="shared" si="43"/>
        <v>1293.1251573910854</v>
      </c>
      <c r="AV418" s="397">
        <f t="shared" si="43"/>
        <v>-2</v>
      </c>
      <c r="AW418" s="406">
        <f t="shared" si="43"/>
        <v>4.6320346320346317E-2</v>
      </c>
      <c r="AX418" s="392" t="str">
        <f>VLOOKUP($C418,'ТР нефть'!$A$29:$GC$641,182,0)</f>
        <v>Уточнение</v>
      </c>
      <c r="AY418" s="406" t="str">
        <f>VLOOKUP($C418,'ТР нефть'!$A$29:$GC$641,183,0)</f>
        <v>После проведения ТО АГЗУ-103 наблюдается рост дебита газа,дебита нефти</v>
      </c>
      <c r="AZ418" s="407">
        <f t="shared" si="44"/>
        <v>8.36</v>
      </c>
      <c r="BA418" s="408">
        <f t="shared" si="44"/>
        <v>10</v>
      </c>
      <c r="BB418" s="397">
        <f t="shared" si="44"/>
        <v>0</v>
      </c>
      <c r="BC418" s="409"/>
      <c r="BD418" s="512"/>
    </row>
    <row r="419" spans="1:56" ht="40.5" customHeight="1" x14ac:dyDescent="0.25">
      <c r="A419" s="301"/>
      <c r="B419" s="392">
        <f t="shared" si="45"/>
        <v>11</v>
      </c>
      <c r="C419" s="490">
        <v>3223</v>
      </c>
      <c r="D419" s="394" t="str">
        <f>VLOOKUP($C419,'ТР нефть'!$A$29:$GC$641,5,0)</f>
        <v>ВУ ОНГКМ</v>
      </c>
      <c r="E419" s="394" t="str">
        <f>VLOOKUP($C419,'ТР нефть'!$A$29:$GC$641,8,0)</f>
        <v>ТЛ-2</v>
      </c>
      <c r="F419" s="395" t="str">
        <f>VLOOKUP($C419,'ТР нефть'!$A$29:$GC$641,11,0)</f>
        <v>К-1610</v>
      </c>
      <c r="G419" s="392" t="str">
        <f>VLOOKUP($C419,'ТР нефть'!$A$29:$GC$641,47,0)</f>
        <v>Газлифт</v>
      </c>
      <c r="H419" s="396">
        <f>VLOOKUP($C419,'ТР нефть'!$A$29:$GC$641,135,0)</f>
        <v>18</v>
      </c>
      <c r="I419" s="397">
        <f>VLOOKUP($C419,'ТР нефть'!$A$29:$GC$641,136,0)</f>
        <v>20</v>
      </c>
      <c r="J419" s="397">
        <f>VLOOKUP($C419,'ТР нефть'!$A$29:$GC$641,137,0)</f>
        <v>34</v>
      </c>
      <c r="K419" s="397">
        <f>VLOOKUP($C419,'ТР нефть'!$A$29:$GC$641,138,0)</f>
        <v>19</v>
      </c>
      <c r="L419" s="397" t="str">
        <f>VLOOKUP($C419,'ТР нефть'!$A$29:$GC$641,139,0)</f>
        <v>Постоянный</v>
      </c>
      <c r="M419" s="397">
        <f>VLOOKUP($C419,'ТР нефть'!$A$29:$GC$641,140,0)</f>
        <v>24</v>
      </c>
      <c r="N419" s="397">
        <f>VLOOKUP($C419,'ТР нефть'!$A$29:$GC$641,141,0)</f>
        <v>0</v>
      </c>
      <c r="O419" s="398">
        <f>VLOOKUP($C419,'ТР нефть'!$A$29:$GC$641,142,0)</f>
        <v>3.913316</v>
      </c>
      <c r="P419" s="399">
        <f>VLOOKUP($C419,'ТР нефть'!$A$29:$GC$641,143,0)</f>
        <v>4.681</v>
      </c>
      <c r="Q419" s="400">
        <f>VLOOKUP($C419,'ТР нефть'!$A$29:$GC$641,144,0)</f>
        <v>0</v>
      </c>
      <c r="R419" s="397">
        <f>VLOOKUP($C419,'ТР нефть'!$A$29:$GC$641,145,0)</f>
        <v>10</v>
      </c>
      <c r="S419" s="397">
        <f>VLOOKUP($C419,'ТР нефть'!$A$29:$GC$641,146,0)</f>
        <v>766.61327631093422</v>
      </c>
      <c r="T419" s="397">
        <f>VLOOKUP($C419,'ТР нефть'!$A$29:$GC$641,149,0)</f>
        <v>46</v>
      </c>
      <c r="U419" s="403">
        <f>VLOOKUP($C419,'ТР нефть'!$A$29:$GC$641,150,0)</f>
        <v>6.9865671641791041E-2</v>
      </c>
      <c r="V419" s="402" t="str">
        <f>VLOOKUP($C419,'ТР нефть'!$A$29:$GC$641,47,0)</f>
        <v>Газлифт</v>
      </c>
      <c r="W419" s="396">
        <f>VLOOKUP($C419,'ТР нефть'!$A$29:$GC$641,74,0)</f>
        <v>18</v>
      </c>
      <c r="X419" s="397">
        <f>VLOOKUP($C419,'ТР нефть'!$A$29:$GC$641,79,0)</f>
        <v>26</v>
      </c>
      <c r="Y419" s="397">
        <f>VLOOKUP($C419,'ТР нефть'!$A$29:$GC$641,80,0)</f>
        <v>40</v>
      </c>
      <c r="Z419" s="397">
        <f>VLOOKUP($C419,'ТР нефть'!$A$29:$GC$641,81,0)</f>
        <v>24</v>
      </c>
      <c r="AA419" s="397" t="str">
        <f>VLOOKUP($C419,'ТР нефть'!$A$29:$GC$641,76,0)</f>
        <v>Постоянный</v>
      </c>
      <c r="AB419" s="397">
        <f>VLOOKUP($C419,'ТР нефть'!$A$29:$GC$641,77,0)</f>
        <v>24</v>
      </c>
      <c r="AC419" s="397">
        <f>VLOOKUP($C419,'ТР нефть'!$A$29:$GC$641,78,0)</f>
        <v>0</v>
      </c>
      <c r="AD419" s="398">
        <f>VLOOKUP($C419,'ТР нефть'!$A$29:$GC$641,93,0)</f>
        <v>7.524</v>
      </c>
      <c r="AE419" s="399">
        <f>VLOOKUP($C419,'ТР нефть'!$A$29:$GC$641,94,0)</f>
        <v>9</v>
      </c>
      <c r="AF419" s="400">
        <f>VLOOKUP($C419,'ТР нефть'!$A$29:$GC$641,95,0)</f>
        <v>0</v>
      </c>
      <c r="AG419" s="397">
        <f>VLOOKUP($C419,'ТР нефть'!$A$29:$GC$641,99,0)</f>
        <v>2.3000000000000007</v>
      </c>
      <c r="AH419" s="397">
        <f>VLOOKUP($C419,'ТР нефть'!$A$29:$GC$641,100,0)</f>
        <v>305.68846358320053</v>
      </c>
      <c r="AI419" s="397">
        <f>VLOOKUP($C419,'ТР нефть'!$A$29:$GC$641,92,0)</f>
        <v>53</v>
      </c>
      <c r="AJ419" s="403">
        <f>VLOOKUP($C419,'ТР нефть'!$A$29:$GC$641,102,0)</f>
        <v>0.15</v>
      </c>
      <c r="AK419" s="404">
        <f t="shared" si="41"/>
        <v>0</v>
      </c>
      <c r="AL419" s="397">
        <f t="shared" si="41"/>
        <v>6</v>
      </c>
      <c r="AM419" s="397">
        <f t="shared" si="41"/>
        <v>6</v>
      </c>
      <c r="AN419" s="397">
        <f t="shared" si="41"/>
        <v>5</v>
      </c>
      <c r="AO419" s="397">
        <f t="shared" si="46"/>
        <v>0</v>
      </c>
      <c r="AP419" s="397">
        <f t="shared" si="42"/>
        <v>0</v>
      </c>
      <c r="AQ419" s="398">
        <f t="shared" si="42"/>
        <v>3.610684</v>
      </c>
      <c r="AR419" s="704">
        <f t="shared" si="42"/>
        <v>4.319</v>
      </c>
      <c r="AS419" s="400">
        <f t="shared" si="43"/>
        <v>0</v>
      </c>
      <c r="AT419" s="397">
        <f t="shared" si="43"/>
        <v>-7.6999999999999993</v>
      </c>
      <c r="AU419" s="397">
        <f t="shared" si="43"/>
        <v>-460.92481272773369</v>
      </c>
      <c r="AV419" s="397">
        <f t="shared" si="43"/>
        <v>7</v>
      </c>
      <c r="AW419" s="406">
        <f t="shared" si="43"/>
        <v>8.0134328358208953E-2</v>
      </c>
      <c r="AX419" s="392" t="str">
        <f>VLOOKUP($C419,'ТР нефть'!$A$29:$GC$641,182,0)</f>
        <v>Уточнение</v>
      </c>
      <c r="AY419" s="406" t="str">
        <f>VLOOKUP($C419,'ТР нефть'!$A$29:$GC$641,183,0)</f>
        <v>Актуализация режима работы скважины по замеру 04.2023</v>
      </c>
      <c r="AZ419" s="407">
        <f t="shared" si="44"/>
        <v>7.524</v>
      </c>
      <c r="BA419" s="408">
        <f t="shared" si="44"/>
        <v>9</v>
      </c>
      <c r="BB419" s="397">
        <f t="shared" si="44"/>
        <v>0</v>
      </c>
      <c r="BC419" s="409"/>
      <c r="BD419" s="512"/>
    </row>
    <row r="420" spans="1:56" ht="40.5" customHeight="1" x14ac:dyDescent="0.25">
      <c r="A420" s="301"/>
      <c r="B420" s="392">
        <f t="shared" si="45"/>
        <v>12</v>
      </c>
      <c r="C420" s="490">
        <v>3226</v>
      </c>
      <c r="D420" s="394" t="str">
        <f>VLOOKUP($C420,'ТР нефть'!$A$29:$GC$641,5,0)</f>
        <v>ВУ ОНГКМ</v>
      </c>
      <c r="E420" s="394" t="str">
        <f>VLOOKUP($C420,'ТР нефть'!$A$29:$GC$641,8,0)</f>
        <v>ТЛ-3</v>
      </c>
      <c r="F420" s="395" t="str">
        <f>VLOOKUP($C420,'ТР нефть'!$A$29:$GC$641,11,0)</f>
        <v>К-11-1</v>
      </c>
      <c r="G420" s="392" t="str">
        <f>VLOOKUP($C420,'ТР нефть'!$A$29:$GC$641,47,0)</f>
        <v>ЭЦН</v>
      </c>
      <c r="H420" s="396">
        <f>VLOOKUP($C420,'ТР нефть'!$A$29:$GC$641,135,0)</f>
        <v>65</v>
      </c>
      <c r="I420" s="397">
        <f>VLOOKUP($C420,'ТР нефть'!$A$29:$GC$641,136,0)</f>
        <v>20</v>
      </c>
      <c r="J420" s="397">
        <f>VLOOKUP($C420,'ТР нефть'!$A$29:$GC$641,137,0)</f>
        <v>20</v>
      </c>
      <c r="K420" s="397">
        <f>VLOOKUP($C420,'ТР нефть'!$A$29:$GC$641,138,0)</f>
        <v>19</v>
      </c>
      <c r="L420" s="397" t="str">
        <f>VLOOKUP($C420,'ТР нефть'!$A$29:$GC$641,139,0)</f>
        <v>Периодический</v>
      </c>
      <c r="M420" s="397">
        <f>VLOOKUP($C420,'ТР нефть'!$A$29:$GC$641,140,0)</f>
        <v>11</v>
      </c>
      <c r="N420" s="397">
        <f>VLOOKUP($C420,'ТР нефть'!$A$29:$GC$641,141,0)</f>
        <v>13</v>
      </c>
      <c r="O420" s="398">
        <f>VLOOKUP($C420,'ТР нефть'!$A$29:$GC$641,142,0)</f>
        <v>24.678719999999998</v>
      </c>
      <c r="P420" s="399">
        <f>VLOOKUP($C420,'ТР нефть'!$A$29:$GC$641,143,0)</f>
        <v>41</v>
      </c>
      <c r="Q420" s="400">
        <f>VLOOKUP($C420,'ТР нефть'!$A$29:$GC$641,144,0)</f>
        <v>28</v>
      </c>
      <c r="R420" s="397">
        <f>VLOOKUP($C420,'ТР нефть'!$A$29:$GC$641,145,0)</f>
        <v>40</v>
      </c>
      <c r="S420" s="397">
        <f>VLOOKUP($C420,'ТР нефть'!$A$29:$GC$641,146,0)</f>
        <v>1620.829605425241</v>
      </c>
      <c r="T420" s="397">
        <f>VLOOKUP($C420,'ТР нефть'!$A$29:$GC$641,149,0)</f>
        <v>87.063278560000015</v>
      </c>
      <c r="U420" s="403">
        <f>VLOOKUP($C420,'ТР нефть'!$A$29:$GC$641,150,0)</f>
        <v>0.66196593953908212</v>
      </c>
      <c r="V420" s="402" t="str">
        <f>VLOOKUP($C420,'ТР нефть'!$A$29:$GC$641,47,0)</f>
        <v>ЭЦН</v>
      </c>
      <c r="W420" s="396">
        <f>VLOOKUP($C420,'ТР нефть'!$A$29:$GC$641,74,0)</f>
        <v>65</v>
      </c>
      <c r="X420" s="397">
        <f>VLOOKUP($C420,'ТР нефть'!$A$29:$GC$641,79,0)</f>
        <v>21</v>
      </c>
      <c r="Y420" s="397">
        <f>VLOOKUP($C420,'ТР нефть'!$A$29:$GC$641,80,0)</f>
        <v>20</v>
      </c>
      <c r="Z420" s="397">
        <f>VLOOKUP($C420,'ТР нефть'!$A$29:$GC$641,81,0)</f>
        <v>20</v>
      </c>
      <c r="AA420" s="397" t="str">
        <f>VLOOKUP($C420,'ТР нефть'!$A$29:$GC$641,76,0)</f>
        <v>Периодический</v>
      </c>
      <c r="AB420" s="397">
        <f>VLOOKUP($C420,'ТР нефть'!$A$29:$GC$641,77,0)</f>
        <v>11</v>
      </c>
      <c r="AC420" s="397">
        <f>VLOOKUP($C420,'ТР нефть'!$A$29:$GC$641,78,0)</f>
        <v>13</v>
      </c>
      <c r="AD420" s="398">
        <f>VLOOKUP($C420,'ТР нефть'!$A$29:$GC$641,93,0)</f>
        <v>9.4342600000000001</v>
      </c>
      <c r="AE420" s="399">
        <f>VLOOKUP($C420,'ТР нефть'!$A$29:$GC$641,94,0)</f>
        <v>30.5</v>
      </c>
      <c r="AF420" s="400">
        <f>VLOOKUP($C420,'ТР нефть'!$A$29:$GC$641,95,0)</f>
        <v>63</v>
      </c>
      <c r="AG420" s="397">
        <f>VLOOKUP($C420,'ТР нефть'!$A$29:$GC$641,99,0)</f>
        <v>6.9</v>
      </c>
      <c r="AH420" s="397">
        <f>VLOOKUP($C420,'ТР нефть'!$A$29:$GC$641,100,0)</f>
        <v>731.37691774447603</v>
      </c>
      <c r="AI420" s="397">
        <f>VLOOKUP($C420,'ТР нефть'!$A$29:$GC$641,92,0)</f>
        <v>107.30323132000002</v>
      </c>
      <c r="AJ420" s="403">
        <f>VLOOKUP($C420,'ТР нефть'!$A$29:$GC$641,102,0)</f>
        <v>0.73147154960785843</v>
      </c>
      <c r="AK420" s="404">
        <f t="shared" si="41"/>
        <v>0</v>
      </c>
      <c r="AL420" s="397">
        <f t="shared" si="41"/>
        <v>1</v>
      </c>
      <c r="AM420" s="397">
        <f t="shared" si="41"/>
        <v>0</v>
      </c>
      <c r="AN420" s="397">
        <f t="shared" si="41"/>
        <v>1</v>
      </c>
      <c r="AO420" s="397">
        <f t="shared" si="46"/>
        <v>0</v>
      </c>
      <c r="AP420" s="397">
        <f t="shared" si="42"/>
        <v>0</v>
      </c>
      <c r="AQ420" s="398">
        <f t="shared" si="42"/>
        <v>-15.244459999999998</v>
      </c>
      <c r="AR420" s="704">
        <f t="shared" si="42"/>
        <v>-10.5</v>
      </c>
      <c r="AS420" s="400">
        <f t="shared" si="43"/>
        <v>35</v>
      </c>
      <c r="AT420" s="397">
        <f t="shared" si="43"/>
        <v>-33.1</v>
      </c>
      <c r="AU420" s="397">
        <f t="shared" si="43"/>
        <v>-889.45268768076494</v>
      </c>
      <c r="AV420" s="397">
        <f t="shared" si="43"/>
        <v>20.239952760000008</v>
      </c>
      <c r="AW420" s="406">
        <f t="shared" si="43"/>
        <v>6.9505610068776313E-2</v>
      </c>
      <c r="AX420" s="392" t="str">
        <f>VLOOKUP($C420,'ТР нефть'!$A$29:$GC$641,182,0)</f>
        <v>Уточнение</v>
      </c>
      <c r="AY420" s="406" t="str">
        <f>VLOOKUP($C420,'ТР нефть'!$A$29:$GC$641,183,0)</f>
        <v>В предыдущем месяце ТР был выведен по некорректным замерам. Приведение ТР к соответсвию</v>
      </c>
      <c r="AZ420" s="407">
        <f t="shared" si="44"/>
        <v>9.4342600000000001</v>
      </c>
      <c r="BA420" s="408">
        <f t="shared" si="44"/>
        <v>30.5</v>
      </c>
      <c r="BB420" s="397">
        <f t="shared" si="44"/>
        <v>63</v>
      </c>
      <c r="BC420" s="409"/>
      <c r="BD420" s="512"/>
    </row>
    <row r="421" spans="1:56" ht="40.5" customHeight="1" x14ac:dyDescent="0.25">
      <c r="A421" s="301"/>
      <c r="B421" s="392">
        <f t="shared" si="45"/>
        <v>13</v>
      </c>
      <c r="C421" s="490">
        <v>3312</v>
      </c>
      <c r="D421" s="394" t="str">
        <f>VLOOKUP($C421,'ТР нефть'!$A$29:$GC$641,5,0)</f>
        <v>ВУ ОНГКМ</v>
      </c>
      <c r="E421" s="394" t="str">
        <f>VLOOKUP($C421,'ТР нефть'!$A$29:$GC$641,8,0)</f>
        <v>ТЛ-4</v>
      </c>
      <c r="F421" s="395" t="str">
        <f>VLOOKUP($C421,'ТР нефть'!$A$29:$GC$641,11,0)</f>
        <v>К-47</v>
      </c>
      <c r="G421" s="392" t="str">
        <f>VLOOKUP($C421,'ТР нефть'!$A$29:$GC$641,47,0)</f>
        <v>Газлифт</v>
      </c>
      <c r="H421" s="396">
        <f>VLOOKUP($C421,'ТР нефть'!$A$29:$GC$641,135,0)</f>
        <v>65</v>
      </c>
      <c r="I421" s="397">
        <f>VLOOKUP($C421,'ТР нефть'!$A$29:$GC$641,136,0)</f>
        <v>16</v>
      </c>
      <c r="J421" s="397">
        <f>VLOOKUP($C421,'ТР нефть'!$A$29:$GC$641,137,0)</f>
        <v>37</v>
      </c>
      <c r="K421" s="397">
        <f>VLOOKUP($C421,'ТР нефть'!$A$29:$GC$641,138,0)</f>
        <v>15</v>
      </c>
      <c r="L421" s="397" t="str">
        <f>VLOOKUP($C421,'ТР нефть'!$A$29:$GC$641,139,0)</f>
        <v>Постоянный</v>
      </c>
      <c r="M421" s="397">
        <f>VLOOKUP($C421,'ТР нефть'!$A$29:$GC$641,140,0)</f>
        <v>24</v>
      </c>
      <c r="N421" s="397">
        <f>VLOOKUP($C421,'ТР нефть'!$A$29:$GC$641,141,0)</f>
        <v>0</v>
      </c>
      <c r="O421" s="398">
        <f>VLOOKUP($C421,'ТР нефть'!$A$29:$GC$641,142,0)</f>
        <v>38.639697623999993</v>
      </c>
      <c r="P421" s="399">
        <f>VLOOKUP($C421,'ТР нефть'!$A$29:$GC$641,143,0)</f>
        <v>46.265999999999998</v>
      </c>
      <c r="Q421" s="400">
        <f>VLOOKUP($C421,'ТР нефть'!$A$29:$GC$641,144,0)</f>
        <v>0.1</v>
      </c>
      <c r="R421" s="397">
        <f>VLOOKUP($C421,'ТР нефть'!$A$29:$GC$641,145,0)</f>
        <v>44</v>
      </c>
      <c r="S421" s="397">
        <f>VLOOKUP($C421,'ТР нефть'!$A$29:$GC$641,146,0)</f>
        <v>952.38840526388299</v>
      </c>
      <c r="T421" s="397">
        <f>VLOOKUP($C421,'ТР нефть'!$A$29:$GC$641,149,0)</f>
        <v>49</v>
      </c>
      <c r="U421" s="403">
        <f>VLOOKUP($C421,'ТР нефть'!$A$29:$GC$641,150,0)</f>
        <v>0.55742168674698789</v>
      </c>
      <c r="V421" s="402" t="str">
        <f>VLOOKUP($C421,'ТР нефть'!$A$29:$GC$641,47,0)</f>
        <v>Газлифт</v>
      </c>
      <c r="W421" s="396">
        <f>VLOOKUP($C421,'ТР нефть'!$A$29:$GC$641,74,0)</f>
        <v>65</v>
      </c>
      <c r="X421" s="397">
        <f>VLOOKUP($C421,'ТР нефть'!$A$29:$GC$641,79,0)</f>
        <v>16</v>
      </c>
      <c r="Y421" s="397">
        <f>VLOOKUP($C421,'ТР нефть'!$A$29:$GC$641,80,0)</f>
        <v>37</v>
      </c>
      <c r="Z421" s="397">
        <f>VLOOKUP($C421,'ТР нефть'!$A$29:$GC$641,81,0)</f>
        <v>15</v>
      </c>
      <c r="AA421" s="397" t="str">
        <f>VLOOKUP($C421,'ТР нефть'!$A$29:$GC$641,76,0)</f>
        <v>Постоянный</v>
      </c>
      <c r="AB421" s="397">
        <f>VLOOKUP($C421,'ТР нефть'!$A$29:$GC$641,77,0)</f>
        <v>24</v>
      </c>
      <c r="AC421" s="397">
        <f>VLOOKUP($C421,'ТР нефть'!$A$29:$GC$641,78,0)</f>
        <v>0</v>
      </c>
      <c r="AD421" s="398">
        <f>VLOOKUP($C421,'ТР нефть'!$A$29:$GC$641,93,0)</f>
        <v>35.912051999999996</v>
      </c>
      <c r="AE421" s="399">
        <f>VLOOKUP($C421,'ТР нефть'!$A$29:$GC$641,94,0)</f>
        <v>43</v>
      </c>
      <c r="AF421" s="400">
        <f>VLOOKUP($C421,'ТР нефть'!$A$29:$GC$641,95,0)</f>
        <v>0.1</v>
      </c>
      <c r="AG421" s="397">
        <f>VLOOKUP($C421,'ТР нефть'!$A$29:$GC$641,99,0)</f>
        <v>32</v>
      </c>
      <c r="AH421" s="397">
        <f>VLOOKUP($C421,'ТР нефть'!$A$29:$GC$641,100,0)</f>
        <v>891.06576254679078</v>
      </c>
      <c r="AI421" s="397">
        <f>VLOOKUP($C421,'ТР нефть'!$A$29:$GC$641,92,0)</f>
        <v>50</v>
      </c>
      <c r="AJ421" s="403">
        <f>VLOOKUP($C421,'ТР нефть'!$A$29:$GC$641,102,0)</f>
        <v>0.52439024390243905</v>
      </c>
      <c r="AK421" s="404">
        <f t="shared" si="41"/>
        <v>0</v>
      </c>
      <c r="AL421" s="397">
        <f t="shared" si="41"/>
        <v>0</v>
      </c>
      <c r="AM421" s="397">
        <f t="shared" si="41"/>
        <v>0</v>
      </c>
      <c r="AN421" s="397">
        <f t="shared" si="41"/>
        <v>0</v>
      </c>
      <c r="AO421" s="397">
        <f t="shared" si="46"/>
        <v>0</v>
      </c>
      <c r="AP421" s="397">
        <f t="shared" si="42"/>
        <v>0</v>
      </c>
      <c r="AQ421" s="398">
        <f t="shared" si="42"/>
        <v>-2.7276456239999973</v>
      </c>
      <c r="AR421" s="704">
        <f t="shared" si="42"/>
        <v>-3.2659999999999982</v>
      </c>
      <c r="AS421" s="400">
        <f t="shared" si="43"/>
        <v>0</v>
      </c>
      <c r="AT421" s="397">
        <f t="shared" si="43"/>
        <v>-12</v>
      </c>
      <c r="AU421" s="397">
        <f t="shared" si="43"/>
        <v>-61.322642717092208</v>
      </c>
      <c r="AV421" s="397">
        <f t="shared" si="43"/>
        <v>1</v>
      </c>
      <c r="AW421" s="406">
        <f t="shared" si="43"/>
        <v>-3.3031442844548842E-2</v>
      </c>
      <c r="AX421" s="392" t="str">
        <f>VLOOKUP($C421,'ТР нефть'!$A$29:$GC$641,182,0)</f>
        <v>Уточнение</v>
      </c>
      <c r="AY421" s="406" t="str">
        <f>VLOOKUP($C421,'ТР нефть'!$A$29:$GC$641,183,0)</f>
        <v>Приведение ТР в соответствие</v>
      </c>
      <c r="AZ421" s="407">
        <f t="shared" si="44"/>
        <v>35.912051999999996</v>
      </c>
      <c r="BA421" s="408">
        <f t="shared" si="44"/>
        <v>43</v>
      </c>
      <c r="BB421" s="397">
        <f t="shared" si="44"/>
        <v>0.1</v>
      </c>
      <c r="BC421" s="409"/>
      <c r="BD421" s="512"/>
    </row>
    <row r="422" spans="1:56" ht="40.5" customHeight="1" thickBot="1" x14ac:dyDescent="0.3">
      <c r="A422" s="301"/>
      <c r="B422" s="424">
        <f t="shared" si="45"/>
        <v>14</v>
      </c>
      <c r="C422" s="495">
        <v>3419</v>
      </c>
      <c r="D422" s="426" t="str">
        <f>VLOOKUP($C422,'ТР нефть'!$A$29:$GC$641,5,0)</f>
        <v>ВУ ОНГКМ</v>
      </c>
      <c r="E422" s="426" t="str">
        <f>VLOOKUP($C422,'ТР нефть'!$A$29:$GC$641,8,0)</f>
        <v>ТЛ-2</v>
      </c>
      <c r="F422" s="427" t="str">
        <f>VLOOKUP($C422,'ТР нефть'!$A$29:$GC$641,11,0)</f>
        <v>К-127</v>
      </c>
      <c r="G422" s="424" t="str">
        <f>VLOOKUP($C422,'ТР нефть'!$A$29:$GC$641,47,0)</f>
        <v>Газлифт</v>
      </c>
      <c r="H422" s="428">
        <f>VLOOKUP($C422,'ТР нефть'!$A$29:$GC$641,135,0)</f>
        <v>65</v>
      </c>
      <c r="I422" s="429">
        <f>VLOOKUP($C422,'ТР нефть'!$A$29:$GC$641,136,0)</f>
        <v>23</v>
      </c>
      <c r="J422" s="429">
        <f>VLOOKUP($C422,'ТР нефть'!$A$29:$GC$641,137,0)</f>
        <v>45</v>
      </c>
      <c r="K422" s="429">
        <f>VLOOKUP($C422,'ТР нефть'!$A$29:$GC$641,138,0)</f>
        <v>22</v>
      </c>
      <c r="L422" s="429" t="str">
        <f>VLOOKUP($C422,'ТР нефть'!$A$29:$GC$641,139,0)</f>
        <v>Постоянный</v>
      </c>
      <c r="M422" s="429">
        <f>VLOOKUP($C422,'ТР нефть'!$A$29:$GC$641,140,0)</f>
        <v>24</v>
      </c>
      <c r="N422" s="429">
        <f>VLOOKUP($C422,'ТР нефть'!$A$29:$GC$641,141,0)</f>
        <v>0</v>
      </c>
      <c r="O422" s="430">
        <f>VLOOKUP($C422,'ТР нефть'!$A$29:$GC$641,142,0)</f>
        <v>5.8519999999999994</v>
      </c>
      <c r="P422" s="431">
        <f>VLOOKUP($C422,'ТР нефть'!$A$29:$GC$641,143,0)</f>
        <v>7</v>
      </c>
      <c r="Q422" s="432">
        <f>VLOOKUP($C422,'ТР нефть'!$A$29:$GC$641,144,0)</f>
        <v>0</v>
      </c>
      <c r="R422" s="429">
        <f>VLOOKUP($C422,'ТР нефть'!$A$29:$GC$641,145,0)</f>
        <v>13</v>
      </c>
      <c r="S422" s="429">
        <f>VLOOKUP($C422,'ТР нефть'!$A$29:$GC$641,146,0)</f>
        <v>519.48051948051932</v>
      </c>
      <c r="T422" s="429">
        <f>VLOOKUP($C422,'ТР нефть'!$A$29:$GC$641,149,0)</f>
        <v>51</v>
      </c>
      <c r="U422" s="435">
        <f>VLOOKUP($C422,'ТР нефть'!$A$29:$GC$641,150,0)</f>
        <v>8.1395348837209308E-2</v>
      </c>
      <c r="V422" s="434" t="str">
        <f>VLOOKUP($C422,'ТР нефть'!$A$29:$GC$641,47,0)</f>
        <v>Газлифт</v>
      </c>
      <c r="W422" s="428">
        <f>VLOOKUP($C422,'ТР нефть'!$A$29:$GC$641,74,0)</f>
        <v>65</v>
      </c>
      <c r="X422" s="429">
        <f>VLOOKUP($C422,'ТР нефть'!$A$29:$GC$641,79,0)</f>
        <v>23</v>
      </c>
      <c r="Y422" s="429">
        <f>VLOOKUP($C422,'ТР нефть'!$A$29:$GC$641,80,0)</f>
        <v>47</v>
      </c>
      <c r="Z422" s="429">
        <f>VLOOKUP($C422,'ТР нефть'!$A$29:$GC$641,81,0)</f>
        <v>22</v>
      </c>
      <c r="AA422" s="429" t="str">
        <f>VLOOKUP($C422,'ТР нефть'!$A$29:$GC$641,76,0)</f>
        <v>Постоянный</v>
      </c>
      <c r="AB422" s="429">
        <f>VLOOKUP($C422,'ТР нефть'!$A$29:$GC$641,77,0)</f>
        <v>24</v>
      </c>
      <c r="AC422" s="429">
        <f>VLOOKUP($C422,'ТР нефть'!$A$29:$GC$641,78,0)</f>
        <v>0</v>
      </c>
      <c r="AD422" s="430">
        <f>VLOOKUP($C422,'ТР нефть'!$A$29:$GC$641,93,0)</f>
        <v>11.202399999999999</v>
      </c>
      <c r="AE422" s="431">
        <f>VLOOKUP($C422,'ТР нефть'!$A$29:$GC$641,94,0)</f>
        <v>13.4</v>
      </c>
      <c r="AF422" s="432">
        <f>VLOOKUP($C422,'ТР нефть'!$A$29:$GC$641,95,0)</f>
        <v>0</v>
      </c>
      <c r="AG422" s="429">
        <f>VLOOKUP($C422,'ТР нефть'!$A$29:$GC$641,99,0)</f>
        <v>17</v>
      </c>
      <c r="AH422" s="429">
        <f>VLOOKUP($C422,'ТР нефть'!$A$29:$GC$641,100,0)</f>
        <v>1517.531957437692</v>
      </c>
      <c r="AI422" s="429">
        <f>VLOOKUP($C422,'ТР нефть'!$A$29:$GC$641,92,0)</f>
        <v>48</v>
      </c>
      <c r="AJ422" s="435">
        <f>VLOOKUP($C422,'ТР нефть'!$A$29:$GC$641,102,0)</f>
        <v>0.15056179775280898</v>
      </c>
      <c r="AK422" s="436">
        <f t="shared" si="41"/>
        <v>0</v>
      </c>
      <c r="AL422" s="429">
        <f t="shared" si="41"/>
        <v>0</v>
      </c>
      <c r="AM422" s="429">
        <f t="shared" si="41"/>
        <v>2</v>
      </c>
      <c r="AN422" s="429">
        <f t="shared" si="41"/>
        <v>0</v>
      </c>
      <c r="AO422" s="429">
        <f t="shared" si="46"/>
        <v>0</v>
      </c>
      <c r="AP422" s="429">
        <f t="shared" si="42"/>
        <v>0</v>
      </c>
      <c r="AQ422" s="430">
        <f t="shared" si="42"/>
        <v>5.3503999999999996</v>
      </c>
      <c r="AR422" s="705">
        <f t="shared" si="42"/>
        <v>6.4</v>
      </c>
      <c r="AS422" s="432">
        <f t="shared" si="43"/>
        <v>0</v>
      </c>
      <c r="AT422" s="429">
        <f t="shared" si="43"/>
        <v>4</v>
      </c>
      <c r="AU422" s="429">
        <f t="shared" si="43"/>
        <v>998.05143795717265</v>
      </c>
      <c r="AV422" s="429">
        <f t="shared" si="43"/>
        <v>-3</v>
      </c>
      <c r="AW422" s="439">
        <f t="shared" si="43"/>
        <v>6.9166448915599671E-2</v>
      </c>
      <c r="AX422" s="424" t="str">
        <f>VLOOKUP($C422,'ТР нефть'!$A$29:$GC$641,182,0)</f>
        <v>Уточнение</v>
      </c>
      <c r="AY422" s="439" t="str">
        <f>VLOOKUP($C422,'ТР нефть'!$A$29:$GC$641,183,0)</f>
        <v>После проведения ТО АГЗУ-103 наблюдается рост дебита газа,дебита нефти</v>
      </c>
      <c r="AZ422" s="440">
        <f t="shared" si="44"/>
        <v>11.202399999999999</v>
      </c>
      <c r="BA422" s="441">
        <f t="shared" si="44"/>
        <v>13.4</v>
      </c>
      <c r="BB422" s="429">
        <f t="shared" si="44"/>
        <v>0</v>
      </c>
      <c r="BC422" s="442"/>
      <c r="BD422" s="513"/>
    </row>
    <row r="423" spans="1:56" ht="40.5" hidden="1" customHeight="1" x14ac:dyDescent="0.25">
      <c r="A423" s="301"/>
      <c r="B423" s="444"/>
      <c r="C423" s="516"/>
      <c r="D423" s="446"/>
      <c r="E423" s="446"/>
      <c r="F423" s="514"/>
      <c r="G423" s="444"/>
      <c r="H423" s="448"/>
      <c r="I423" s="449"/>
      <c r="J423" s="449"/>
      <c r="K423" s="449"/>
      <c r="L423" s="449"/>
      <c r="M423" s="449"/>
      <c r="N423" s="449"/>
      <c r="O423" s="450"/>
      <c r="P423" s="451"/>
      <c r="Q423" s="452"/>
      <c r="R423" s="449"/>
      <c r="S423" s="706"/>
      <c r="T423" s="449"/>
      <c r="U423" s="455"/>
      <c r="V423" s="454"/>
      <c r="W423" s="448"/>
      <c r="X423" s="449"/>
      <c r="Y423" s="449"/>
      <c r="Z423" s="449"/>
      <c r="AA423" s="449"/>
      <c r="AB423" s="449"/>
      <c r="AC423" s="449"/>
      <c r="AD423" s="450"/>
      <c r="AE423" s="451"/>
      <c r="AF423" s="452"/>
      <c r="AG423" s="449"/>
      <c r="AH423" s="449"/>
      <c r="AI423" s="449"/>
      <c r="AJ423" s="455"/>
      <c r="AK423" s="456"/>
      <c r="AL423" s="449"/>
      <c r="AM423" s="449"/>
      <c r="AN423" s="449"/>
      <c r="AO423" s="449"/>
      <c r="AP423" s="449"/>
      <c r="AQ423" s="450"/>
      <c r="AR423" s="707"/>
      <c r="AS423" s="452"/>
      <c r="AT423" s="449"/>
      <c r="AU423" s="449"/>
      <c r="AV423" s="449"/>
      <c r="AW423" s="523"/>
      <c r="AX423" s="444"/>
      <c r="AY423" s="457"/>
      <c r="AZ423" s="636"/>
      <c r="BA423" s="459"/>
      <c r="BB423" s="449"/>
      <c r="BC423" s="460"/>
      <c r="BD423" s="708"/>
    </row>
    <row r="424" spans="1:56" ht="40.5" hidden="1" customHeight="1" x14ac:dyDescent="0.25">
      <c r="A424" s="301"/>
      <c r="B424" s="392"/>
      <c r="C424" s="490"/>
      <c r="D424" s="394"/>
      <c r="E424" s="394"/>
      <c r="F424" s="395"/>
      <c r="G424" s="392"/>
      <c r="H424" s="396"/>
      <c r="I424" s="397"/>
      <c r="J424" s="397"/>
      <c r="K424" s="397"/>
      <c r="L424" s="397"/>
      <c r="M424" s="397"/>
      <c r="N424" s="397"/>
      <c r="O424" s="398"/>
      <c r="P424" s="399"/>
      <c r="Q424" s="400"/>
      <c r="R424" s="397"/>
      <c r="S424" s="709"/>
      <c r="T424" s="397"/>
      <c r="U424" s="403"/>
      <c r="V424" s="402"/>
      <c r="W424" s="396"/>
      <c r="X424" s="397"/>
      <c r="Y424" s="397"/>
      <c r="Z424" s="397"/>
      <c r="AA424" s="397"/>
      <c r="AB424" s="397"/>
      <c r="AC424" s="397"/>
      <c r="AD424" s="398"/>
      <c r="AE424" s="399"/>
      <c r="AF424" s="400"/>
      <c r="AG424" s="397"/>
      <c r="AH424" s="397"/>
      <c r="AI424" s="397"/>
      <c r="AJ424" s="403"/>
      <c r="AK424" s="404"/>
      <c r="AL424" s="397"/>
      <c r="AM424" s="397"/>
      <c r="AN424" s="397"/>
      <c r="AO424" s="397"/>
      <c r="AP424" s="397"/>
      <c r="AQ424" s="398"/>
      <c r="AR424" s="704"/>
      <c r="AS424" s="400"/>
      <c r="AT424" s="397"/>
      <c r="AU424" s="397"/>
      <c r="AV424" s="397"/>
      <c r="AW424" s="525"/>
      <c r="AX424" s="392"/>
      <c r="AY424" s="406"/>
      <c r="AZ424" s="407"/>
      <c r="BA424" s="408"/>
      <c r="BB424" s="397"/>
      <c r="BC424" s="409"/>
      <c r="BD424" s="710"/>
    </row>
    <row r="425" spans="1:56" ht="40.5" hidden="1" customHeight="1" x14ac:dyDescent="0.25">
      <c r="A425" s="301"/>
      <c r="B425" s="392"/>
      <c r="C425" s="490"/>
      <c r="D425" s="394"/>
      <c r="E425" s="394"/>
      <c r="F425" s="395"/>
      <c r="G425" s="392"/>
      <c r="H425" s="396"/>
      <c r="I425" s="397"/>
      <c r="J425" s="397"/>
      <c r="K425" s="397"/>
      <c r="L425" s="397"/>
      <c r="M425" s="397"/>
      <c r="N425" s="397"/>
      <c r="O425" s="398"/>
      <c r="P425" s="399"/>
      <c r="Q425" s="400"/>
      <c r="R425" s="397"/>
      <c r="S425" s="709"/>
      <c r="T425" s="397"/>
      <c r="U425" s="403"/>
      <c r="V425" s="402"/>
      <c r="W425" s="396"/>
      <c r="X425" s="397"/>
      <c r="Y425" s="397"/>
      <c r="Z425" s="397"/>
      <c r="AA425" s="397"/>
      <c r="AB425" s="397"/>
      <c r="AC425" s="397"/>
      <c r="AD425" s="398"/>
      <c r="AE425" s="399"/>
      <c r="AF425" s="400"/>
      <c r="AG425" s="397"/>
      <c r="AH425" s="397"/>
      <c r="AI425" s="397"/>
      <c r="AJ425" s="403"/>
      <c r="AK425" s="404"/>
      <c r="AL425" s="397"/>
      <c r="AM425" s="397"/>
      <c r="AN425" s="397"/>
      <c r="AO425" s="397"/>
      <c r="AP425" s="397"/>
      <c r="AQ425" s="398"/>
      <c r="AR425" s="704"/>
      <c r="AS425" s="400"/>
      <c r="AT425" s="397"/>
      <c r="AU425" s="397"/>
      <c r="AV425" s="397"/>
      <c r="AW425" s="525"/>
      <c r="AX425" s="392"/>
      <c r="AY425" s="406"/>
      <c r="AZ425" s="407"/>
      <c r="BA425" s="408"/>
      <c r="BB425" s="397"/>
      <c r="BC425" s="409"/>
      <c r="BD425" s="710"/>
    </row>
    <row r="426" spans="1:56" ht="40.5" hidden="1" customHeight="1" x14ac:dyDescent="0.25">
      <c r="A426" s="301"/>
      <c r="B426" s="392"/>
      <c r="C426" s="490"/>
      <c r="D426" s="394"/>
      <c r="E426" s="394"/>
      <c r="F426" s="395"/>
      <c r="G426" s="392"/>
      <c r="H426" s="396"/>
      <c r="I426" s="397"/>
      <c r="J426" s="397"/>
      <c r="K426" s="397"/>
      <c r="L426" s="397"/>
      <c r="M426" s="397"/>
      <c r="N426" s="397"/>
      <c r="O426" s="398"/>
      <c r="P426" s="399"/>
      <c r="Q426" s="400"/>
      <c r="R426" s="397"/>
      <c r="S426" s="709"/>
      <c r="T426" s="397"/>
      <c r="U426" s="403"/>
      <c r="V426" s="402"/>
      <c r="W426" s="396"/>
      <c r="X426" s="397"/>
      <c r="Y426" s="397"/>
      <c r="Z426" s="397"/>
      <c r="AA426" s="397"/>
      <c r="AB426" s="397"/>
      <c r="AC426" s="397"/>
      <c r="AD426" s="398"/>
      <c r="AE426" s="399"/>
      <c r="AF426" s="400"/>
      <c r="AG426" s="397"/>
      <c r="AH426" s="397"/>
      <c r="AI426" s="397"/>
      <c r="AJ426" s="403"/>
      <c r="AK426" s="404"/>
      <c r="AL426" s="397"/>
      <c r="AM426" s="397"/>
      <c r="AN426" s="397"/>
      <c r="AO426" s="397"/>
      <c r="AP426" s="397"/>
      <c r="AQ426" s="398"/>
      <c r="AR426" s="704"/>
      <c r="AS426" s="400"/>
      <c r="AT426" s="397"/>
      <c r="AU426" s="397"/>
      <c r="AV426" s="397"/>
      <c r="AW426" s="525"/>
      <c r="AX426" s="392"/>
      <c r="AY426" s="406"/>
      <c r="AZ426" s="407"/>
      <c r="BA426" s="408"/>
      <c r="BB426" s="397"/>
      <c r="BC426" s="409"/>
      <c r="BD426" s="710"/>
    </row>
    <row r="427" spans="1:56" ht="40.5" hidden="1" customHeight="1" x14ac:dyDescent="0.25">
      <c r="A427" s="301"/>
      <c r="B427" s="392"/>
      <c r="C427" s="490"/>
      <c r="D427" s="394"/>
      <c r="E427" s="394"/>
      <c r="F427" s="395"/>
      <c r="G427" s="392"/>
      <c r="H427" s="396"/>
      <c r="I427" s="397"/>
      <c r="J427" s="397"/>
      <c r="K427" s="397"/>
      <c r="L427" s="397"/>
      <c r="M427" s="397"/>
      <c r="N427" s="397"/>
      <c r="O427" s="398"/>
      <c r="P427" s="399"/>
      <c r="Q427" s="400"/>
      <c r="R427" s="397"/>
      <c r="S427" s="709"/>
      <c r="T427" s="397"/>
      <c r="U427" s="403"/>
      <c r="V427" s="402"/>
      <c r="W427" s="396"/>
      <c r="X427" s="397"/>
      <c r="Y427" s="397"/>
      <c r="Z427" s="397"/>
      <c r="AA427" s="397"/>
      <c r="AB427" s="397"/>
      <c r="AC427" s="397"/>
      <c r="AD427" s="398"/>
      <c r="AE427" s="399"/>
      <c r="AF427" s="400"/>
      <c r="AG427" s="397"/>
      <c r="AH427" s="397"/>
      <c r="AI427" s="397"/>
      <c r="AJ427" s="403"/>
      <c r="AK427" s="404"/>
      <c r="AL427" s="397"/>
      <c r="AM427" s="397"/>
      <c r="AN427" s="397"/>
      <c r="AO427" s="397"/>
      <c r="AP427" s="397"/>
      <c r="AQ427" s="398"/>
      <c r="AR427" s="704"/>
      <c r="AS427" s="400"/>
      <c r="AT427" s="397"/>
      <c r="AU427" s="397"/>
      <c r="AV427" s="397"/>
      <c r="AW427" s="525"/>
      <c r="AX427" s="392"/>
      <c r="AY427" s="406"/>
      <c r="AZ427" s="407"/>
      <c r="BA427" s="408"/>
      <c r="BB427" s="397"/>
      <c r="BC427" s="409"/>
      <c r="BD427" s="710"/>
    </row>
    <row r="428" spans="1:56" ht="40.5" hidden="1" customHeight="1" x14ac:dyDescent="0.25">
      <c r="A428" s="301"/>
      <c r="B428" s="392"/>
      <c r="C428" s="490"/>
      <c r="D428" s="394"/>
      <c r="E428" s="394"/>
      <c r="F428" s="395"/>
      <c r="G428" s="392"/>
      <c r="H428" s="396"/>
      <c r="I428" s="397"/>
      <c r="J428" s="397"/>
      <c r="K428" s="397"/>
      <c r="L428" s="397"/>
      <c r="M428" s="397"/>
      <c r="N428" s="397"/>
      <c r="O428" s="398"/>
      <c r="P428" s="399"/>
      <c r="Q428" s="400"/>
      <c r="R428" s="397"/>
      <c r="S428" s="709"/>
      <c r="T428" s="397"/>
      <c r="U428" s="403"/>
      <c r="V428" s="402"/>
      <c r="W428" s="396"/>
      <c r="X428" s="397"/>
      <c r="Y428" s="397"/>
      <c r="Z428" s="397"/>
      <c r="AA428" s="397"/>
      <c r="AB428" s="397"/>
      <c r="AC428" s="397"/>
      <c r="AD428" s="398"/>
      <c r="AE428" s="399"/>
      <c r="AF428" s="400"/>
      <c r="AG428" s="397"/>
      <c r="AH428" s="397"/>
      <c r="AI428" s="397"/>
      <c r="AJ428" s="403"/>
      <c r="AK428" s="404"/>
      <c r="AL428" s="397"/>
      <c r="AM428" s="397"/>
      <c r="AN428" s="397"/>
      <c r="AO428" s="397"/>
      <c r="AP428" s="397"/>
      <c r="AQ428" s="398"/>
      <c r="AR428" s="704"/>
      <c r="AS428" s="400"/>
      <c r="AT428" s="397"/>
      <c r="AU428" s="397"/>
      <c r="AV428" s="397"/>
      <c r="AW428" s="525"/>
      <c r="AX428" s="392"/>
      <c r="AY428" s="406"/>
      <c r="AZ428" s="407"/>
      <c r="BA428" s="408"/>
      <c r="BB428" s="397"/>
      <c r="BC428" s="409"/>
      <c r="BD428" s="710"/>
    </row>
    <row r="429" spans="1:56" ht="40.5" hidden="1" customHeight="1" x14ac:dyDescent="0.25">
      <c r="A429" s="301"/>
      <c r="B429" s="392"/>
      <c r="C429" s="490"/>
      <c r="D429" s="394"/>
      <c r="E429" s="394"/>
      <c r="F429" s="395"/>
      <c r="G429" s="392"/>
      <c r="H429" s="396"/>
      <c r="I429" s="397"/>
      <c r="J429" s="397"/>
      <c r="K429" s="397"/>
      <c r="L429" s="397"/>
      <c r="M429" s="397"/>
      <c r="N429" s="397"/>
      <c r="O429" s="398"/>
      <c r="P429" s="399"/>
      <c r="Q429" s="400"/>
      <c r="R429" s="397"/>
      <c r="S429" s="709"/>
      <c r="T429" s="397"/>
      <c r="U429" s="403"/>
      <c r="V429" s="402"/>
      <c r="W429" s="396"/>
      <c r="X429" s="397"/>
      <c r="Y429" s="397"/>
      <c r="Z429" s="397"/>
      <c r="AA429" s="397"/>
      <c r="AB429" s="397"/>
      <c r="AC429" s="397"/>
      <c r="AD429" s="398"/>
      <c r="AE429" s="399"/>
      <c r="AF429" s="400"/>
      <c r="AG429" s="397"/>
      <c r="AH429" s="397"/>
      <c r="AI429" s="397"/>
      <c r="AJ429" s="403"/>
      <c r="AK429" s="404"/>
      <c r="AL429" s="397"/>
      <c r="AM429" s="397"/>
      <c r="AN429" s="397"/>
      <c r="AO429" s="397"/>
      <c r="AP429" s="397"/>
      <c r="AQ429" s="398"/>
      <c r="AR429" s="704"/>
      <c r="AS429" s="400"/>
      <c r="AT429" s="397"/>
      <c r="AU429" s="397"/>
      <c r="AV429" s="397"/>
      <c r="AW429" s="525"/>
      <c r="AX429" s="392"/>
      <c r="AY429" s="406"/>
      <c r="AZ429" s="407"/>
      <c r="BA429" s="408"/>
      <c r="BB429" s="397"/>
      <c r="BC429" s="409"/>
      <c r="BD429" s="710"/>
    </row>
    <row r="430" spans="1:56" ht="40.5" hidden="1" customHeight="1" x14ac:dyDescent="0.25">
      <c r="A430" s="301"/>
      <c r="B430" s="392"/>
      <c r="C430" s="490"/>
      <c r="D430" s="394"/>
      <c r="E430" s="394"/>
      <c r="F430" s="395"/>
      <c r="G430" s="392"/>
      <c r="H430" s="396"/>
      <c r="I430" s="397"/>
      <c r="J430" s="397"/>
      <c r="K430" s="397"/>
      <c r="L430" s="397"/>
      <c r="M430" s="397"/>
      <c r="N430" s="397"/>
      <c r="O430" s="398"/>
      <c r="P430" s="399"/>
      <c r="Q430" s="400"/>
      <c r="R430" s="397"/>
      <c r="S430" s="709"/>
      <c r="T430" s="397"/>
      <c r="U430" s="403"/>
      <c r="V430" s="402"/>
      <c r="W430" s="396"/>
      <c r="X430" s="397"/>
      <c r="Y430" s="397"/>
      <c r="Z430" s="397"/>
      <c r="AA430" s="397"/>
      <c r="AB430" s="397"/>
      <c r="AC430" s="397"/>
      <c r="AD430" s="398"/>
      <c r="AE430" s="399"/>
      <c r="AF430" s="400"/>
      <c r="AG430" s="397"/>
      <c r="AH430" s="397"/>
      <c r="AI430" s="397"/>
      <c r="AJ430" s="403"/>
      <c r="AK430" s="404"/>
      <c r="AL430" s="397"/>
      <c r="AM430" s="397"/>
      <c r="AN430" s="397"/>
      <c r="AO430" s="397"/>
      <c r="AP430" s="397"/>
      <c r="AQ430" s="398"/>
      <c r="AR430" s="704"/>
      <c r="AS430" s="400"/>
      <c r="AT430" s="397"/>
      <c r="AU430" s="397"/>
      <c r="AV430" s="397"/>
      <c r="AW430" s="525"/>
      <c r="AX430" s="392"/>
      <c r="AY430" s="406"/>
      <c r="AZ430" s="407"/>
      <c r="BA430" s="408"/>
      <c r="BB430" s="397"/>
      <c r="BC430" s="409"/>
      <c r="BD430" s="710"/>
    </row>
    <row r="431" spans="1:56" ht="40.5" hidden="1" customHeight="1" x14ac:dyDescent="0.25">
      <c r="A431" s="301"/>
      <c r="B431" s="392"/>
      <c r="C431" s="490"/>
      <c r="D431" s="394"/>
      <c r="E431" s="394"/>
      <c r="F431" s="395"/>
      <c r="G431" s="392"/>
      <c r="H431" s="396"/>
      <c r="I431" s="397"/>
      <c r="J431" s="397"/>
      <c r="K431" s="397"/>
      <c r="L431" s="397"/>
      <c r="M431" s="397"/>
      <c r="N431" s="397"/>
      <c r="O431" s="398"/>
      <c r="P431" s="399"/>
      <c r="Q431" s="400"/>
      <c r="R431" s="397"/>
      <c r="S431" s="709"/>
      <c r="T431" s="397"/>
      <c r="U431" s="403"/>
      <c r="V431" s="402"/>
      <c r="W431" s="396"/>
      <c r="X431" s="397"/>
      <c r="Y431" s="397"/>
      <c r="Z431" s="397"/>
      <c r="AA431" s="397"/>
      <c r="AB431" s="397"/>
      <c r="AC431" s="397"/>
      <c r="AD431" s="398"/>
      <c r="AE431" s="399"/>
      <c r="AF431" s="400"/>
      <c r="AG431" s="397"/>
      <c r="AH431" s="397"/>
      <c r="AI431" s="397"/>
      <c r="AJ431" s="403"/>
      <c r="AK431" s="404"/>
      <c r="AL431" s="397"/>
      <c r="AM431" s="397"/>
      <c r="AN431" s="397"/>
      <c r="AO431" s="397"/>
      <c r="AP431" s="397"/>
      <c r="AQ431" s="398"/>
      <c r="AR431" s="704"/>
      <c r="AS431" s="400"/>
      <c r="AT431" s="397"/>
      <c r="AU431" s="397"/>
      <c r="AV431" s="397"/>
      <c r="AW431" s="525"/>
      <c r="AX431" s="392"/>
      <c r="AY431" s="406"/>
      <c r="AZ431" s="407"/>
      <c r="BA431" s="408"/>
      <c r="BB431" s="397"/>
      <c r="BC431" s="409"/>
      <c r="BD431" s="710"/>
    </row>
    <row r="432" spans="1:56" ht="40.5" hidden="1" customHeight="1" x14ac:dyDescent="0.25">
      <c r="A432" s="301"/>
      <c r="B432" s="392"/>
      <c r="C432" s="490"/>
      <c r="D432" s="394"/>
      <c r="E432" s="394"/>
      <c r="F432" s="395"/>
      <c r="G432" s="392"/>
      <c r="H432" s="396"/>
      <c r="I432" s="397"/>
      <c r="J432" s="397"/>
      <c r="K432" s="397"/>
      <c r="L432" s="397"/>
      <c r="M432" s="397"/>
      <c r="N432" s="397"/>
      <c r="O432" s="398"/>
      <c r="P432" s="399"/>
      <c r="Q432" s="400"/>
      <c r="R432" s="397"/>
      <c r="S432" s="709"/>
      <c r="T432" s="397"/>
      <c r="U432" s="403"/>
      <c r="V432" s="402"/>
      <c r="W432" s="396"/>
      <c r="X432" s="397"/>
      <c r="Y432" s="397"/>
      <c r="Z432" s="397"/>
      <c r="AA432" s="397"/>
      <c r="AB432" s="397"/>
      <c r="AC432" s="397"/>
      <c r="AD432" s="398"/>
      <c r="AE432" s="399"/>
      <c r="AF432" s="400"/>
      <c r="AG432" s="397"/>
      <c r="AH432" s="397"/>
      <c r="AI432" s="397"/>
      <c r="AJ432" s="403"/>
      <c r="AK432" s="404"/>
      <c r="AL432" s="397"/>
      <c r="AM432" s="397"/>
      <c r="AN432" s="397"/>
      <c r="AO432" s="397"/>
      <c r="AP432" s="397"/>
      <c r="AQ432" s="398"/>
      <c r="AR432" s="704"/>
      <c r="AS432" s="400"/>
      <c r="AT432" s="397"/>
      <c r="AU432" s="397"/>
      <c r="AV432" s="397"/>
      <c r="AW432" s="525"/>
      <c r="AX432" s="392"/>
      <c r="AY432" s="406"/>
      <c r="AZ432" s="407"/>
      <c r="BA432" s="408"/>
      <c r="BB432" s="397"/>
      <c r="BC432" s="409"/>
      <c r="BD432" s="710"/>
    </row>
    <row r="433" spans="1:56" ht="40.5" hidden="1" customHeight="1" x14ac:dyDescent="0.25">
      <c r="A433" s="301"/>
      <c r="B433" s="392"/>
      <c r="C433" s="490"/>
      <c r="D433" s="394"/>
      <c r="E433" s="394"/>
      <c r="F433" s="395"/>
      <c r="G433" s="392"/>
      <c r="H433" s="396"/>
      <c r="I433" s="397"/>
      <c r="J433" s="397"/>
      <c r="K433" s="397"/>
      <c r="L433" s="397"/>
      <c r="M433" s="397"/>
      <c r="N433" s="397"/>
      <c r="O433" s="398"/>
      <c r="P433" s="399"/>
      <c r="Q433" s="400"/>
      <c r="R433" s="397"/>
      <c r="S433" s="709"/>
      <c r="T433" s="397"/>
      <c r="U433" s="403"/>
      <c r="V433" s="402"/>
      <c r="W433" s="396"/>
      <c r="X433" s="397"/>
      <c r="Y433" s="397"/>
      <c r="Z433" s="397"/>
      <c r="AA433" s="397"/>
      <c r="AB433" s="397"/>
      <c r="AC433" s="397"/>
      <c r="AD433" s="398"/>
      <c r="AE433" s="399"/>
      <c r="AF433" s="400"/>
      <c r="AG433" s="397"/>
      <c r="AH433" s="397"/>
      <c r="AI433" s="397"/>
      <c r="AJ433" s="403"/>
      <c r="AK433" s="404"/>
      <c r="AL433" s="397"/>
      <c r="AM433" s="397"/>
      <c r="AN433" s="397"/>
      <c r="AO433" s="397"/>
      <c r="AP433" s="397"/>
      <c r="AQ433" s="398"/>
      <c r="AR433" s="704"/>
      <c r="AS433" s="400"/>
      <c r="AT433" s="397"/>
      <c r="AU433" s="397"/>
      <c r="AV433" s="397"/>
      <c r="AW433" s="525"/>
      <c r="AX433" s="392"/>
      <c r="AY433" s="406"/>
      <c r="AZ433" s="407"/>
      <c r="BA433" s="408"/>
      <c r="BB433" s="397"/>
      <c r="BC433" s="409"/>
      <c r="BD433" s="710"/>
    </row>
    <row r="434" spans="1:56" ht="40.5" hidden="1" customHeight="1" thickBot="1" x14ac:dyDescent="0.3">
      <c r="A434" s="301"/>
      <c r="B434" s="424"/>
      <c r="C434" s="495"/>
      <c r="D434" s="426"/>
      <c r="E434" s="426"/>
      <c r="F434" s="427"/>
      <c r="G434" s="424"/>
      <c r="H434" s="428"/>
      <c r="I434" s="429"/>
      <c r="J434" s="429"/>
      <c r="K434" s="429"/>
      <c r="L434" s="429"/>
      <c r="M434" s="429"/>
      <c r="N434" s="429"/>
      <c r="O434" s="430"/>
      <c r="P434" s="431"/>
      <c r="Q434" s="432"/>
      <c r="R434" s="429"/>
      <c r="S434" s="711"/>
      <c r="T434" s="429"/>
      <c r="U434" s="435"/>
      <c r="V434" s="434"/>
      <c r="W434" s="428"/>
      <c r="X434" s="429"/>
      <c r="Y434" s="429"/>
      <c r="Z434" s="429"/>
      <c r="AA434" s="429"/>
      <c r="AB434" s="429"/>
      <c r="AC434" s="429"/>
      <c r="AD434" s="430"/>
      <c r="AE434" s="431"/>
      <c r="AF434" s="432"/>
      <c r="AG434" s="429"/>
      <c r="AH434" s="429"/>
      <c r="AI434" s="429"/>
      <c r="AJ434" s="435"/>
      <c r="AK434" s="436"/>
      <c r="AL434" s="429"/>
      <c r="AM434" s="429"/>
      <c r="AN434" s="429"/>
      <c r="AO434" s="429"/>
      <c r="AP434" s="429"/>
      <c r="AQ434" s="430"/>
      <c r="AR434" s="705"/>
      <c r="AS434" s="432"/>
      <c r="AT434" s="429"/>
      <c r="AU434" s="429"/>
      <c r="AV434" s="429"/>
      <c r="AW434" s="671"/>
      <c r="AX434" s="424"/>
      <c r="AY434" s="439"/>
      <c r="AZ434" s="440"/>
      <c r="BA434" s="441"/>
      <c r="BB434" s="429"/>
      <c r="BC434" s="442"/>
      <c r="BD434" s="712"/>
    </row>
    <row r="435" spans="1:56" ht="40.5" hidden="1" customHeight="1" outlineLevel="1" x14ac:dyDescent="0.25">
      <c r="A435" s="301"/>
      <c r="B435" s="444"/>
      <c r="C435" s="516"/>
      <c r="D435" s="446"/>
      <c r="E435" s="446"/>
      <c r="F435" s="514"/>
      <c r="G435" s="444"/>
      <c r="H435" s="448"/>
      <c r="I435" s="449"/>
      <c r="J435" s="449"/>
      <c r="K435" s="449"/>
      <c r="L435" s="449"/>
      <c r="M435" s="449"/>
      <c r="N435" s="449"/>
      <c r="O435" s="450"/>
      <c r="P435" s="451"/>
      <c r="Q435" s="452"/>
      <c r="R435" s="449"/>
      <c r="S435" s="706"/>
      <c r="T435" s="449"/>
      <c r="U435" s="455"/>
      <c r="V435" s="454"/>
      <c r="W435" s="448"/>
      <c r="X435" s="449"/>
      <c r="Y435" s="449"/>
      <c r="Z435" s="449"/>
      <c r="AA435" s="449"/>
      <c r="AB435" s="449"/>
      <c r="AC435" s="449"/>
      <c r="AD435" s="450"/>
      <c r="AE435" s="451"/>
      <c r="AF435" s="452"/>
      <c r="AG435" s="449"/>
      <c r="AH435" s="449"/>
      <c r="AI435" s="449"/>
      <c r="AJ435" s="455"/>
      <c r="AK435" s="456"/>
      <c r="AL435" s="449"/>
      <c r="AM435" s="449"/>
      <c r="AN435" s="449"/>
      <c r="AO435" s="449"/>
      <c r="AP435" s="449"/>
      <c r="AQ435" s="450"/>
      <c r="AR435" s="707"/>
      <c r="AS435" s="452"/>
      <c r="AT435" s="449"/>
      <c r="AU435" s="449"/>
      <c r="AV435" s="449"/>
      <c r="AW435" s="523"/>
      <c r="AX435" s="444"/>
      <c r="AY435" s="457"/>
      <c r="AZ435" s="636"/>
      <c r="BA435" s="459"/>
      <c r="BB435" s="449"/>
      <c r="BC435" s="460"/>
      <c r="BD435" s="708"/>
    </row>
    <row r="436" spans="1:56" ht="40.5" hidden="1" customHeight="1" outlineLevel="1" x14ac:dyDescent="0.25">
      <c r="A436" s="301"/>
      <c r="B436" s="392"/>
      <c r="C436" s="490"/>
      <c r="D436" s="394"/>
      <c r="E436" s="394"/>
      <c r="F436" s="395"/>
      <c r="G436" s="392"/>
      <c r="H436" s="396"/>
      <c r="I436" s="397"/>
      <c r="J436" s="397"/>
      <c r="K436" s="397"/>
      <c r="L436" s="397"/>
      <c r="M436" s="397"/>
      <c r="N436" s="397"/>
      <c r="O436" s="398"/>
      <c r="P436" s="399"/>
      <c r="Q436" s="400"/>
      <c r="R436" s="397"/>
      <c r="S436" s="709"/>
      <c r="T436" s="397"/>
      <c r="U436" s="403"/>
      <c r="V436" s="402"/>
      <c r="W436" s="396"/>
      <c r="X436" s="397"/>
      <c r="Y436" s="397"/>
      <c r="Z436" s="397"/>
      <c r="AA436" s="397"/>
      <c r="AB436" s="397"/>
      <c r="AC436" s="397"/>
      <c r="AD436" s="398"/>
      <c r="AE436" s="399"/>
      <c r="AF436" s="400"/>
      <c r="AG436" s="397"/>
      <c r="AH436" s="397"/>
      <c r="AI436" s="397"/>
      <c r="AJ436" s="403"/>
      <c r="AK436" s="404"/>
      <c r="AL436" s="397"/>
      <c r="AM436" s="397"/>
      <c r="AN436" s="397"/>
      <c r="AO436" s="397"/>
      <c r="AP436" s="397"/>
      <c r="AQ436" s="398"/>
      <c r="AR436" s="704"/>
      <c r="AS436" s="400"/>
      <c r="AT436" s="397"/>
      <c r="AU436" s="397"/>
      <c r="AV436" s="397"/>
      <c r="AW436" s="525"/>
      <c r="AX436" s="392"/>
      <c r="AY436" s="406"/>
      <c r="AZ436" s="407"/>
      <c r="BA436" s="408"/>
      <c r="BB436" s="397"/>
      <c r="BC436" s="409"/>
      <c r="BD436" s="710"/>
    </row>
    <row r="437" spans="1:56" ht="40.5" hidden="1" customHeight="1" outlineLevel="1" x14ac:dyDescent="0.25">
      <c r="A437" s="301"/>
      <c r="B437" s="392"/>
      <c r="C437" s="490"/>
      <c r="D437" s="394"/>
      <c r="E437" s="394"/>
      <c r="F437" s="395"/>
      <c r="G437" s="392"/>
      <c r="H437" s="396"/>
      <c r="I437" s="397"/>
      <c r="J437" s="397"/>
      <c r="K437" s="397"/>
      <c r="L437" s="397"/>
      <c r="M437" s="397"/>
      <c r="N437" s="397"/>
      <c r="O437" s="398"/>
      <c r="P437" s="399"/>
      <c r="Q437" s="400"/>
      <c r="R437" s="397"/>
      <c r="S437" s="709"/>
      <c r="T437" s="397"/>
      <c r="U437" s="403"/>
      <c r="V437" s="402"/>
      <c r="W437" s="396"/>
      <c r="X437" s="397"/>
      <c r="Y437" s="397"/>
      <c r="Z437" s="397"/>
      <c r="AA437" s="397"/>
      <c r="AB437" s="397"/>
      <c r="AC437" s="397"/>
      <c r="AD437" s="398"/>
      <c r="AE437" s="399"/>
      <c r="AF437" s="400"/>
      <c r="AG437" s="397"/>
      <c r="AH437" s="397"/>
      <c r="AI437" s="397"/>
      <c r="AJ437" s="403"/>
      <c r="AK437" s="404"/>
      <c r="AL437" s="397"/>
      <c r="AM437" s="397"/>
      <c r="AN437" s="397"/>
      <c r="AO437" s="397"/>
      <c r="AP437" s="397"/>
      <c r="AQ437" s="398"/>
      <c r="AR437" s="704"/>
      <c r="AS437" s="400"/>
      <c r="AT437" s="397"/>
      <c r="AU437" s="397"/>
      <c r="AV437" s="397"/>
      <c r="AW437" s="525"/>
      <c r="AX437" s="392"/>
      <c r="AY437" s="406"/>
      <c r="AZ437" s="407"/>
      <c r="BA437" s="408"/>
      <c r="BB437" s="397"/>
      <c r="BC437" s="409"/>
      <c r="BD437" s="710"/>
    </row>
    <row r="438" spans="1:56" ht="40.5" hidden="1" customHeight="1" outlineLevel="1" x14ac:dyDescent="0.25">
      <c r="A438" s="301"/>
      <c r="B438" s="392"/>
      <c r="C438" s="490"/>
      <c r="D438" s="394"/>
      <c r="E438" s="394"/>
      <c r="F438" s="395"/>
      <c r="G438" s="392"/>
      <c r="H438" s="396"/>
      <c r="I438" s="397"/>
      <c r="J438" s="397"/>
      <c r="K438" s="397"/>
      <c r="L438" s="397"/>
      <c r="M438" s="397"/>
      <c r="N438" s="397"/>
      <c r="O438" s="398"/>
      <c r="P438" s="399"/>
      <c r="Q438" s="400"/>
      <c r="R438" s="397"/>
      <c r="S438" s="709"/>
      <c r="T438" s="397"/>
      <c r="U438" s="403"/>
      <c r="V438" s="402"/>
      <c r="W438" s="396"/>
      <c r="X438" s="397"/>
      <c r="Y438" s="397"/>
      <c r="Z438" s="397"/>
      <c r="AA438" s="397"/>
      <c r="AB438" s="397"/>
      <c r="AC438" s="397"/>
      <c r="AD438" s="398"/>
      <c r="AE438" s="399"/>
      <c r="AF438" s="400"/>
      <c r="AG438" s="397"/>
      <c r="AH438" s="397"/>
      <c r="AI438" s="397"/>
      <c r="AJ438" s="403"/>
      <c r="AK438" s="404"/>
      <c r="AL438" s="397"/>
      <c r="AM438" s="397"/>
      <c r="AN438" s="397"/>
      <c r="AO438" s="397"/>
      <c r="AP438" s="397"/>
      <c r="AQ438" s="398"/>
      <c r="AR438" s="704"/>
      <c r="AS438" s="400"/>
      <c r="AT438" s="397"/>
      <c r="AU438" s="397"/>
      <c r="AV438" s="397"/>
      <c r="AW438" s="525"/>
      <c r="AX438" s="392"/>
      <c r="AY438" s="406"/>
      <c r="AZ438" s="407"/>
      <c r="BA438" s="408"/>
      <c r="BB438" s="397"/>
      <c r="BC438" s="409"/>
      <c r="BD438" s="710"/>
    </row>
    <row r="439" spans="1:56" ht="40.5" hidden="1" customHeight="1" outlineLevel="1" x14ac:dyDescent="0.25">
      <c r="A439" s="301"/>
      <c r="B439" s="392"/>
      <c r="C439" s="490"/>
      <c r="D439" s="394"/>
      <c r="E439" s="394"/>
      <c r="F439" s="395"/>
      <c r="G439" s="392"/>
      <c r="H439" s="396"/>
      <c r="I439" s="397"/>
      <c r="J439" s="397"/>
      <c r="K439" s="397"/>
      <c r="L439" s="397"/>
      <c r="M439" s="397"/>
      <c r="N439" s="397"/>
      <c r="O439" s="398"/>
      <c r="P439" s="399"/>
      <c r="Q439" s="400"/>
      <c r="R439" s="397"/>
      <c r="S439" s="709"/>
      <c r="T439" s="397"/>
      <c r="U439" s="403"/>
      <c r="V439" s="402"/>
      <c r="W439" s="396"/>
      <c r="X439" s="397"/>
      <c r="Y439" s="397"/>
      <c r="Z439" s="397"/>
      <c r="AA439" s="397"/>
      <c r="AB439" s="397"/>
      <c r="AC439" s="397"/>
      <c r="AD439" s="398"/>
      <c r="AE439" s="399"/>
      <c r="AF439" s="400"/>
      <c r="AG439" s="397"/>
      <c r="AH439" s="397"/>
      <c r="AI439" s="397"/>
      <c r="AJ439" s="403"/>
      <c r="AK439" s="404"/>
      <c r="AL439" s="397"/>
      <c r="AM439" s="397"/>
      <c r="AN439" s="397"/>
      <c r="AO439" s="397"/>
      <c r="AP439" s="397"/>
      <c r="AQ439" s="398"/>
      <c r="AR439" s="704"/>
      <c r="AS439" s="400"/>
      <c r="AT439" s="397"/>
      <c r="AU439" s="397"/>
      <c r="AV439" s="397"/>
      <c r="AW439" s="525"/>
      <c r="AX439" s="392"/>
      <c r="AY439" s="406"/>
      <c r="AZ439" s="407"/>
      <c r="BA439" s="408"/>
      <c r="BB439" s="397"/>
      <c r="BC439" s="409"/>
      <c r="BD439" s="710"/>
    </row>
    <row r="440" spans="1:56" ht="36.75" hidden="1" customHeight="1" outlineLevel="1" x14ac:dyDescent="0.25">
      <c r="A440" s="301"/>
      <c r="B440" s="444"/>
      <c r="C440" s="713"/>
      <c r="D440" s="446"/>
      <c r="E440" s="446"/>
      <c r="F440" s="514"/>
      <c r="G440" s="392"/>
      <c r="H440" s="396"/>
      <c r="I440" s="397"/>
      <c r="J440" s="397"/>
      <c r="K440" s="397"/>
      <c r="L440" s="397"/>
      <c r="M440" s="397"/>
      <c r="N440" s="397"/>
      <c r="O440" s="398"/>
      <c r="P440" s="399"/>
      <c r="Q440" s="400"/>
      <c r="R440" s="714"/>
      <c r="S440" s="456"/>
      <c r="T440" s="449"/>
      <c r="U440" s="455"/>
      <c r="V440" s="402"/>
      <c r="W440" s="396"/>
      <c r="X440" s="397"/>
      <c r="Y440" s="397"/>
      <c r="Z440" s="449"/>
      <c r="AA440" s="449"/>
      <c r="AB440" s="449"/>
      <c r="AC440" s="449"/>
      <c r="AD440" s="450"/>
      <c r="AE440" s="451"/>
      <c r="AF440" s="452"/>
      <c r="AG440" s="449"/>
      <c r="AH440" s="449"/>
      <c r="AI440" s="449"/>
      <c r="AJ440" s="455"/>
      <c r="AK440" s="456"/>
      <c r="AL440" s="449"/>
      <c r="AM440" s="449"/>
      <c r="AN440" s="449"/>
      <c r="AO440" s="449"/>
      <c r="AP440" s="449"/>
      <c r="AQ440" s="450"/>
      <c r="AR440" s="451"/>
      <c r="AS440" s="452"/>
      <c r="AT440" s="449"/>
      <c r="AU440" s="449"/>
      <c r="AV440" s="449"/>
      <c r="AW440" s="523"/>
      <c r="AX440" s="634"/>
      <c r="AY440" s="715"/>
      <c r="AZ440" s="636"/>
      <c r="BA440" s="459"/>
      <c r="BB440" s="449"/>
      <c r="BC440" s="716"/>
      <c r="BD440" s="708"/>
    </row>
    <row r="441" spans="1:56" ht="36.75" hidden="1" customHeight="1" outlineLevel="1" x14ac:dyDescent="0.25">
      <c r="A441" s="301"/>
      <c r="B441" s="444"/>
      <c r="C441" s="713"/>
      <c r="D441" s="446"/>
      <c r="E441" s="446"/>
      <c r="F441" s="514"/>
      <c r="G441" s="392"/>
      <c r="H441" s="396"/>
      <c r="I441" s="397"/>
      <c r="J441" s="397"/>
      <c r="K441" s="397"/>
      <c r="L441" s="397"/>
      <c r="M441" s="397"/>
      <c r="N441" s="397"/>
      <c r="O441" s="398"/>
      <c r="P441" s="399"/>
      <c r="Q441" s="400"/>
      <c r="R441" s="714"/>
      <c r="S441" s="456"/>
      <c r="T441" s="449"/>
      <c r="U441" s="455"/>
      <c r="V441" s="402"/>
      <c r="W441" s="396"/>
      <c r="X441" s="397"/>
      <c r="Y441" s="397"/>
      <c r="Z441" s="449"/>
      <c r="AA441" s="449"/>
      <c r="AB441" s="449"/>
      <c r="AC441" s="449"/>
      <c r="AD441" s="450"/>
      <c r="AE441" s="451"/>
      <c r="AF441" s="452"/>
      <c r="AG441" s="449"/>
      <c r="AH441" s="449"/>
      <c r="AI441" s="449"/>
      <c r="AJ441" s="455"/>
      <c r="AK441" s="456"/>
      <c r="AL441" s="449"/>
      <c r="AM441" s="449"/>
      <c r="AN441" s="449"/>
      <c r="AO441" s="449"/>
      <c r="AP441" s="449"/>
      <c r="AQ441" s="450"/>
      <c r="AR441" s="451"/>
      <c r="AS441" s="452"/>
      <c r="AT441" s="449"/>
      <c r="AU441" s="449"/>
      <c r="AV441" s="449"/>
      <c r="AW441" s="523"/>
      <c r="AX441" s="634"/>
      <c r="AY441" s="715"/>
      <c r="AZ441" s="636"/>
      <c r="BA441" s="459"/>
      <c r="BB441" s="449"/>
      <c r="BC441" s="716"/>
      <c r="BD441" s="708"/>
    </row>
    <row r="442" spans="1:56" ht="36.75" hidden="1" customHeight="1" outlineLevel="1" x14ac:dyDescent="0.25">
      <c r="A442" s="301"/>
      <c r="B442" s="444"/>
      <c r="C442" s="713"/>
      <c r="D442" s="446"/>
      <c r="E442" s="446"/>
      <c r="F442" s="514"/>
      <c r="G442" s="392"/>
      <c r="H442" s="396"/>
      <c r="I442" s="397"/>
      <c r="J442" s="397"/>
      <c r="K442" s="397"/>
      <c r="L442" s="397"/>
      <c r="M442" s="397"/>
      <c r="N442" s="397"/>
      <c r="O442" s="398"/>
      <c r="P442" s="399"/>
      <c r="Q442" s="400"/>
      <c r="R442" s="714"/>
      <c r="S442" s="456"/>
      <c r="T442" s="449"/>
      <c r="U442" s="455"/>
      <c r="V442" s="402"/>
      <c r="W442" s="396"/>
      <c r="X442" s="397"/>
      <c r="Y442" s="397"/>
      <c r="Z442" s="449"/>
      <c r="AA442" s="449"/>
      <c r="AB442" s="449"/>
      <c r="AC442" s="449"/>
      <c r="AD442" s="450"/>
      <c r="AE442" s="451"/>
      <c r="AF442" s="452"/>
      <c r="AG442" s="449"/>
      <c r="AH442" s="449"/>
      <c r="AI442" s="449"/>
      <c r="AJ442" s="455"/>
      <c r="AK442" s="456"/>
      <c r="AL442" s="449"/>
      <c r="AM442" s="449"/>
      <c r="AN442" s="449"/>
      <c r="AO442" s="449"/>
      <c r="AP442" s="449"/>
      <c r="AQ442" s="450"/>
      <c r="AR442" s="451"/>
      <c r="AS442" s="452"/>
      <c r="AT442" s="449"/>
      <c r="AU442" s="449"/>
      <c r="AV442" s="449"/>
      <c r="AW442" s="523"/>
      <c r="AX442" s="634"/>
      <c r="AY442" s="715"/>
      <c r="AZ442" s="636"/>
      <c r="BA442" s="459"/>
      <c r="BB442" s="449"/>
      <c r="BC442" s="716"/>
      <c r="BD442" s="708"/>
    </row>
    <row r="443" spans="1:56" ht="36.75" hidden="1" customHeight="1" outlineLevel="1" x14ac:dyDescent="0.25">
      <c r="A443" s="301"/>
      <c r="B443" s="444"/>
      <c r="C443" s="713"/>
      <c r="D443" s="446"/>
      <c r="E443" s="446"/>
      <c r="F443" s="514"/>
      <c r="G443" s="392"/>
      <c r="H443" s="396"/>
      <c r="I443" s="397"/>
      <c r="J443" s="397"/>
      <c r="K443" s="397"/>
      <c r="L443" s="397"/>
      <c r="M443" s="397"/>
      <c r="N443" s="397"/>
      <c r="O443" s="398"/>
      <c r="P443" s="399"/>
      <c r="Q443" s="400"/>
      <c r="R443" s="714"/>
      <c r="S443" s="456"/>
      <c r="T443" s="449"/>
      <c r="U443" s="455"/>
      <c r="V443" s="402"/>
      <c r="W443" s="396"/>
      <c r="X443" s="397"/>
      <c r="Y443" s="397"/>
      <c r="Z443" s="449"/>
      <c r="AA443" s="449"/>
      <c r="AB443" s="449"/>
      <c r="AC443" s="449"/>
      <c r="AD443" s="450"/>
      <c r="AE443" s="451"/>
      <c r="AF443" s="452"/>
      <c r="AG443" s="449"/>
      <c r="AH443" s="449"/>
      <c r="AI443" s="449"/>
      <c r="AJ443" s="455"/>
      <c r="AK443" s="456"/>
      <c r="AL443" s="449"/>
      <c r="AM443" s="449"/>
      <c r="AN443" s="449"/>
      <c r="AO443" s="449"/>
      <c r="AP443" s="449"/>
      <c r="AQ443" s="450"/>
      <c r="AR443" s="451"/>
      <c r="AS443" s="452"/>
      <c r="AT443" s="449"/>
      <c r="AU443" s="449"/>
      <c r="AV443" s="449"/>
      <c r="AW443" s="523"/>
      <c r="AX443" s="634"/>
      <c r="AY443" s="715"/>
      <c r="AZ443" s="636"/>
      <c r="BA443" s="459"/>
      <c r="BB443" s="449"/>
      <c r="BC443" s="716"/>
      <c r="BD443" s="708"/>
    </row>
    <row r="444" spans="1:56" ht="36.75" hidden="1" customHeight="1" outlineLevel="1" x14ac:dyDescent="0.25">
      <c r="A444" s="301"/>
      <c r="B444" s="392"/>
      <c r="C444" s="717"/>
      <c r="D444" s="394"/>
      <c r="E444" s="394"/>
      <c r="F444" s="395"/>
      <c r="G444" s="392"/>
      <c r="H444" s="396"/>
      <c r="I444" s="397"/>
      <c r="J444" s="397"/>
      <c r="K444" s="397"/>
      <c r="L444" s="397"/>
      <c r="M444" s="397"/>
      <c r="N444" s="397"/>
      <c r="O444" s="398"/>
      <c r="P444" s="399"/>
      <c r="Q444" s="400"/>
      <c r="R444" s="714"/>
      <c r="S444" s="456"/>
      <c r="T444" s="449"/>
      <c r="U444" s="455"/>
      <c r="V444" s="402"/>
      <c r="W444" s="396"/>
      <c r="X444" s="397"/>
      <c r="Y444" s="397"/>
      <c r="Z444" s="449"/>
      <c r="AA444" s="449"/>
      <c r="AB444" s="449"/>
      <c r="AC444" s="449"/>
      <c r="AD444" s="450"/>
      <c r="AE444" s="451"/>
      <c r="AF444" s="452"/>
      <c r="AG444" s="449"/>
      <c r="AH444" s="449"/>
      <c r="AI444" s="449"/>
      <c r="AJ444" s="455"/>
      <c r="AK444" s="456"/>
      <c r="AL444" s="449"/>
      <c r="AM444" s="449"/>
      <c r="AN444" s="449"/>
      <c r="AO444" s="449"/>
      <c r="AP444" s="449"/>
      <c r="AQ444" s="450"/>
      <c r="AR444" s="451"/>
      <c r="AS444" s="452"/>
      <c r="AT444" s="449"/>
      <c r="AU444" s="449"/>
      <c r="AV444" s="449"/>
      <c r="AW444" s="523"/>
      <c r="AX444" s="634"/>
      <c r="AY444" s="715"/>
      <c r="AZ444" s="636"/>
      <c r="BA444" s="459"/>
      <c r="BB444" s="449"/>
      <c r="BC444" s="716"/>
      <c r="BD444" s="708"/>
    </row>
    <row r="445" spans="1:56" ht="36.75" hidden="1" customHeight="1" outlineLevel="1" x14ac:dyDescent="0.25">
      <c r="A445" s="301"/>
      <c r="B445" s="392"/>
      <c r="C445" s="717"/>
      <c r="D445" s="394"/>
      <c r="E445" s="394"/>
      <c r="F445" s="395"/>
      <c r="G445" s="392"/>
      <c r="H445" s="396"/>
      <c r="I445" s="397"/>
      <c r="J445" s="397"/>
      <c r="K445" s="397"/>
      <c r="L445" s="397"/>
      <c r="M445" s="397"/>
      <c r="N445" s="397"/>
      <c r="O445" s="398"/>
      <c r="P445" s="399"/>
      <c r="Q445" s="400"/>
      <c r="R445" s="714"/>
      <c r="S445" s="456"/>
      <c r="T445" s="449"/>
      <c r="U445" s="455"/>
      <c r="V445" s="402"/>
      <c r="W445" s="396"/>
      <c r="X445" s="397"/>
      <c r="Y445" s="397"/>
      <c r="Z445" s="449"/>
      <c r="AA445" s="449"/>
      <c r="AB445" s="449"/>
      <c r="AC445" s="449"/>
      <c r="AD445" s="450"/>
      <c r="AE445" s="451"/>
      <c r="AF445" s="452"/>
      <c r="AG445" s="449"/>
      <c r="AH445" s="449"/>
      <c r="AI445" s="449"/>
      <c r="AJ445" s="455"/>
      <c r="AK445" s="456"/>
      <c r="AL445" s="449"/>
      <c r="AM445" s="449"/>
      <c r="AN445" s="449"/>
      <c r="AO445" s="449"/>
      <c r="AP445" s="449"/>
      <c r="AQ445" s="450"/>
      <c r="AR445" s="451"/>
      <c r="AS445" s="452"/>
      <c r="AT445" s="449"/>
      <c r="AU445" s="449"/>
      <c r="AV445" s="449"/>
      <c r="AW445" s="523"/>
      <c r="AX445" s="634"/>
      <c r="AY445" s="715"/>
      <c r="AZ445" s="636"/>
      <c r="BA445" s="459"/>
      <c r="BB445" s="449"/>
      <c r="BC445" s="716"/>
      <c r="BD445" s="708"/>
    </row>
    <row r="446" spans="1:56" ht="36.75" hidden="1" customHeight="1" outlineLevel="1" x14ac:dyDescent="0.25">
      <c r="A446" s="301"/>
      <c r="B446" s="392"/>
      <c r="C446" s="717"/>
      <c r="D446" s="394"/>
      <c r="E446" s="394"/>
      <c r="F446" s="395"/>
      <c r="G446" s="392"/>
      <c r="H446" s="396"/>
      <c r="I446" s="397"/>
      <c r="J446" s="397"/>
      <c r="K446" s="397"/>
      <c r="L446" s="397"/>
      <c r="M446" s="397"/>
      <c r="N446" s="397"/>
      <c r="O446" s="398"/>
      <c r="P446" s="399"/>
      <c r="Q446" s="400"/>
      <c r="R446" s="714"/>
      <c r="S446" s="456"/>
      <c r="T446" s="449"/>
      <c r="U446" s="455"/>
      <c r="V446" s="402"/>
      <c r="W446" s="396"/>
      <c r="X446" s="397"/>
      <c r="Y446" s="397"/>
      <c r="Z446" s="449"/>
      <c r="AA446" s="449"/>
      <c r="AB446" s="449"/>
      <c r="AC446" s="449"/>
      <c r="AD446" s="450"/>
      <c r="AE446" s="451"/>
      <c r="AF446" s="452"/>
      <c r="AG446" s="449"/>
      <c r="AH446" s="449"/>
      <c r="AI446" s="449"/>
      <c r="AJ446" s="455"/>
      <c r="AK446" s="456"/>
      <c r="AL446" s="449"/>
      <c r="AM446" s="449"/>
      <c r="AN446" s="449"/>
      <c r="AO446" s="449"/>
      <c r="AP446" s="449"/>
      <c r="AQ446" s="450"/>
      <c r="AR446" s="451"/>
      <c r="AS446" s="452"/>
      <c r="AT446" s="449"/>
      <c r="AU446" s="449"/>
      <c r="AV446" s="449"/>
      <c r="AW446" s="523"/>
      <c r="AX446" s="634"/>
      <c r="AY446" s="715"/>
      <c r="AZ446" s="636"/>
      <c r="BA446" s="459"/>
      <c r="BB446" s="449"/>
      <c r="BC446" s="716"/>
      <c r="BD446" s="708"/>
    </row>
    <row r="447" spans="1:56" ht="36.75" hidden="1" customHeight="1" outlineLevel="1" x14ac:dyDescent="0.25">
      <c r="A447" s="301"/>
      <c r="B447" s="392"/>
      <c r="C447" s="717"/>
      <c r="D447" s="394"/>
      <c r="E447" s="394"/>
      <c r="F447" s="395"/>
      <c r="G447" s="392"/>
      <c r="H447" s="396"/>
      <c r="I447" s="397"/>
      <c r="J447" s="397"/>
      <c r="K447" s="397"/>
      <c r="L447" s="397"/>
      <c r="M447" s="397"/>
      <c r="N447" s="397"/>
      <c r="O447" s="398"/>
      <c r="P447" s="399"/>
      <c r="Q447" s="400"/>
      <c r="R447" s="714"/>
      <c r="S447" s="456"/>
      <c r="T447" s="449"/>
      <c r="U447" s="455"/>
      <c r="V447" s="402"/>
      <c r="W447" s="396"/>
      <c r="X447" s="397"/>
      <c r="Y447" s="397"/>
      <c r="Z447" s="449"/>
      <c r="AA447" s="449"/>
      <c r="AB447" s="449"/>
      <c r="AC447" s="449"/>
      <c r="AD447" s="450"/>
      <c r="AE447" s="451"/>
      <c r="AF447" s="452"/>
      <c r="AG447" s="449"/>
      <c r="AH447" s="449"/>
      <c r="AI447" s="449"/>
      <c r="AJ447" s="455"/>
      <c r="AK447" s="456"/>
      <c r="AL447" s="449"/>
      <c r="AM447" s="449"/>
      <c r="AN447" s="449"/>
      <c r="AO447" s="449"/>
      <c r="AP447" s="449"/>
      <c r="AQ447" s="450"/>
      <c r="AR447" s="451"/>
      <c r="AS447" s="452"/>
      <c r="AT447" s="449"/>
      <c r="AU447" s="449"/>
      <c r="AV447" s="449"/>
      <c r="AW447" s="523"/>
      <c r="AX447" s="634"/>
      <c r="AY447" s="715"/>
      <c r="AZ447" s="636"/>
      <c r="BA447" s="459"/>
      <c r="BB447" s="449"/>
      <c r="BC447" s="716"/>
      <c r="BD447" s="708"/>
    </row>
    <row r="448" spans="1:56" ht="36.75" hidden="1" customHeight="1" outlineLevel="1" x14ac:dyDescent="0.25">
      <c r="A448" s="301"/>
      <c r="B448" s="392"/>
      <c r="C448" s="717"/>
      <c r="D448" s="394"/>
      <c r="E448" s="394"/>
      <c r="F448" s="395"/>
      <c r="G448" s="392"/>
      <c r="H448" s="396"/>
      <c r="I448" s="397"/>
      <c r="J448" s="397"/>
      <c r="K448" s="397"/>
      <c r="L448" s="397"/>
      <c r="M448" s="397"/>
      <c r="N448" s="397"/>
      <c r="O448" s="398"/>
      <c r="P448" s="399"/>
      <c r="Q448" s="400"/>
      <c r="R448" s="714"/>
      <c r="S448" s="456"/>
      <c r="T448" s="449"/>
      <c r="U448" s="455"/>
      <c r="V448" s="402"/>
      <c r="W448" s="396"/>
      <c r="X448" s="397"/>
      <c r="Y448" s="397"/>
      <c r="Z448" s="449"/>
      <c r="AA448" s="449"/>
      <c r="AB448" s="449"/>
      <c r="AC448" s="449"/>
      <c r="AD448" s="450"/>
      <c r="AE448" s="451"/>
      <c r="AF448" s="452"/>
      <c r="AG448" s="449"/>
      <c r="AH448" s="449"/>
      <c r="AI448" s="449"/>
      <c r="AJ448" s="455"/>
      <c r="AK448" s="456"/>
      <c r="AL448" s="449"/>
      <c r="AM448" s="449"/>
      <c r="AN448" s="449"/>
      <c r="AO448" s="449"/>
      <c r="AP448" s="449"/>
      <c r="AQ448" s="450"/>
      <c r="AR448" s="451"/>
      <c r="AS448" s="452"/>
      <c r="AT448" s="449"/>
      <c r="AU448" s="449"/>
      <c r="AV448" s="449"/>
      <c r="AW448" s="523"/>
      <c r="AX448" s="634"/>
      <c r="AY448" s="715"/>
      <c r="AZ448" s="636"/>
      <c r="BA448" s="459"/>
      <c r="BB448" s="449"/>
      <c r="BC448" s="716"/>
      <c r="BD448" s="708"/>
    </row>
    <row r="449" spans="1:56" ht="36.75" hidden="1" customHeight="1" outlineLevel="1" x14ac:dyDescent="0.25">
      <c r="A449" s="301"/>
      <c r="B449" s="392"/>
      <c r="C449" s="717"/>
      <c r="D449" s="394"/>
      <c r="E449" s="394"/>
      <c r="F449" s="395"/>
      <c r="G449" s="392"/>
      <c r="H449" s="396"/>
      <c r="I449" s="397"/>
      <c r="J449" s="397"/>
      <c r="K449" s="397"/>
      <c r="L449" s="397"/>
      <c r="M449" s="397"/>
      <c r="N449" s="397"/>
      <c r="O449" s="398"/>
      <c r="P449" s="399"/>
      <c r="Q449" s="400"/>
      <c r="R449" s="714"/>
      <c r="S449" s="456"/>
      <c r="T449" s="449"/>
      <c r="U449" s="455"/>
      <c r="V449" s="402"/>
      <c r="W449" s="396"/>
      <c r="X449" s="397"/>
      <c r="Y449" s="397"/>
      <c r="Z449" s="449"/>
      <c r="AA449" s="449"/>
      <c r="AB449" s="449"/>
      <c r="AC449" s="449"/>
      <c r="AD449" s="450"/>
      <c r="AE449" s="451"/>
      <c r="AF449" s="452"/>
      <c r="AG449" s="449"/>
      <c r="AH449" s="449"/>
      <c r="AI449" s="449"/>
      <c r="AJ449" s="455"/>
      <c r="AK449" s="456"/>
      <c r="AL449" s="449"/>
      <c r="AM449" s="449"/>
      <c r="AN449" s="449"/>
      <c r="AO449" s="449"/>
      <c r="AP449" s="449"/>
      <c r="AQ449" s="450"/>
      <c r="AR449" s="451"/>
      <c r="AS449" s="452"/>
      <c r="AT449" s="449"/>
      <c r="AU449" s="449"/>
      <c r="AV449" s="449"/>
      <c r="AW449" s="523"/>
      <c r="AX449" s="634"/>
      <c r="AY449" s="715"/>
      <c r="AZ449" s="636"/>
      <c r="BA449" s="459"/>
      <c r="BB449" s="449"/>
      <c r="BC449" s="716"/>
      <c r="BD449" s="708"/>
    </row>
    <row r="450" spans="1:56" ht="36.75" hidden="1" customHeight="1" outlineLevel="1" x14ac:dyDescent="0.25">
      <c r="A450" s="301"/>
      <c r="B450" s="392"/>
      <c r="C450" s="717"/>
      <c r="D450" s="394"/>
      <c r="E450" s="394"/>
      <c r="F450" s="395"/>
      <c r="G450" s="392"/>
      <c r="H450" s="396"/>
      <c r="I450" s="397"/>
      <c r="J450" s="397"/>
      <c r="K450" s="397"/>
      <c r="L450" s="397"/>
      <c r="M450" s="397"/>
      <c r="N450" s="397"/>
      <c r="O450" s="398"/>
      <c r="P450" s="399"/>
      <c r="Q450" s="400"/>
      <c r="R450" s="714"/>
      <c r="S450" s="456"/>
      <c r="T450" s="449"/>
      <c r="U450" s="455"/>
      <c r="V450" s="402"/>
      <c r="W450" s="396"/>
      <c r="X450" s="397"/>
      <c r="Y450" s="397"/>
      <c r="Z450" s="449"/>
      <c r="AA450" s="449"/>
      <c r="AB450" s="449"/>
      <c r="AC450" s="449"/>
      <c r="AD450" s="450"/>
      <c r="AE450" s="451"/>
      <c r="AF450" s="452"/>
      <c r="AG450" s="449"/>
      <c r="AH450" s="449"/>
      <c r="AI450" s="449"/>
      <c r="AJ450" s="455"/>
      <c r="AK450" s="456"/>
      <c r="AL450" s="449"/>
      <c r="AM450" s="449"/>
      <c r="AN450" s="449"/>
      <c r="AO450" s="449"/>
      <c r="AP450" s="449"/>
      <c r="AQ450" s="450"/>
      <c r="AR450" s="451"/>
      <c r="AS450" s="452"/>
      <c r="AT450" s="449"/>
      <c r="AU450" s="449"/>
      <c r="AV450" s="449"/>
      <c r="AW450" s="523"/>
      <c r="AX450" s="634"/>
      <c r="AY450" s="715"/>
      <c r="AZ450" s="636"/>
      <c r="BA450" s="459"/>
      <c r="BB450" s="449"/>
      <c r="BC450" s="716"/>
      <c r="BD450" s="708"/>
    </row>
    <row r="451" spans="1:56" ht="36.75" hidden="1" customHeight="1" outlineLevel="1" x14ac:dyDescent="0.25">
      <c r="A451" s="301"/>
      <c r="B451" s="392"/>
      <c r="C451" s="717"/>
      <c r="D451" s="394"/>
      <c r="E451" s="394"/>
      <c r="F451" s="395"/>
      <c r="G451" s="392"/>
      <c r="H451" s="396"/>
      <c r="I451" s="397"/>
      <c r="J451" s="397"/>
      <c r="K451" s="397"/>
      <c r="L451" s="397"/>
      <c r="M451" s="397"/>
      <c r="N451" s="397"/>
      <c r="O451" s="398"/>
      <c r="P451" s="399"/>
      <c r="Q451" s="400"/>
      <c r="R451" s="714"/>
      <c r="S451" s="456"/>
      <c r="T451" s="449"/>
      <c r="U451" s="455"/>
      <c r="V451" s="402"/>
      <c r="W451" s="396"/>
      <c r="X451" s="397"/>
      <c r="Y451" s="397"/>
      <c r="Z451" s="449"/>
      <c r="AA451" s="449"/>
      <c r="AB451" s="449"/>
      <c r="AC451" s="449"/>
      <c r="AD451" s="450"/>
      <c r="AE451" s="451"/>
      <c r="AF451" s="452"/>
      <c r="AG451" s="449"/>
      <c r="AH451" s="449"/>
      <c r="AI451" s="449"/>
      <c r="AJ451" s="455"/>
      <c r="AK451" s="456"/>
      <c r="AL451" s="449"/>
      <c r="AM451" s="449"/>
      <c r="AN451" s="449"/>
      <c r="AO451" s="449"/>
      <c r="AP451" s="449"/>
      <c r="AQ451" s="450"/>
      <c r="AR451" s="451"/>
      <c r="AS451" s="452"/>
      <c r="AT451" s="449"/>
      <c r="AU451" s="449"/>
      <c r="AV451" s="449"/>
      <c r="AW451" s="523"/>
      <c r="AX451" s="634"/>
      <c r="AY451" s="715"/>
      <c r="AZ451" s="636"/>
      <c r="BA451" s="459"/>
      <c r="BB451" s="449"/>
      <c r="BC451" s="716"/>
      <c r="BD451" s="708"/>
    </row>
    <row r="452" spans="1:56" ht="36.75" hidden="1" customHeight="1" outlineLevel="1" x14ac:dyDescent="0.25">
      <c r="A452" s="301"/>
      <c r="B452" s="392"/>
      <c r="C452" s="717"/>
      <c r="D452" s="394"/>
      <c r="E452" s="394"/>
      <c r="F452" s="395"/>
      <c r="G452" s="392"/>
      <c r="H452" s="396"/>
      <c r="I452" s="397"/>
      <c r="J452" s="397"/>
      <c r="K452" s="397"/>
      <c r="L452" s="397"/>
      <c r="M452" s="397"/>
      <c r="N452" s="397"/>
      <c r="O452" s="398"/>
      <c r="P452" s="399"/>
      <c r="Q452" s="400"/>
      <c r="R452" s="714"/>
      <c r="S452" s="456"/>
      <c r="T452" s="449"/>
      <c r="U452" s="455"/>
      <c r="V452" s="402"/>
      <c r="W452" s="396"/>
      <c r="X452" s="397"/>
      <c r="Y452" s="397"/>
      <c r="Z452" s="449"/>
      <c r="AA452" s="449"/>
      <c r="AB452" s="449"/>
      <c r="AC452" s="449"/>
      <c r="AD452" s="450"/>
      <c r="AE452" s="451"/>
      <c r="AF452" s="452"/>
      <c r="AG452" s="449"/>
      <c r="AH452" s="449"/>
      <c r="AI452" s="449"/>
      <c r="AJ452" s="455"/>
      <c r="AK452" s="456"/>
      <c r="AL452" s="449"/>
      <c r="AM452" s="449"/>
      <c r="AN452" s="449"/>
      <c r="AO452" s="449"/>
      <c r="AP452" s="449"/>
      <c r="AQ452" s="450"/>
      <c r="AR452" s="451"/>
      <c r="AS452" s="452"/>
      <c r="AT452" s="449"/>
      <c r="AU452" s="449"/>
      <c r="AV452" s="449"/>
      <c r="AW452" s="523"/>
      <c r="AX452" s="634"/>
      <c r="AY452" s="715"/>
      <c r="AZ452" s="636"/>
      <c r="BA452" s="459"/>
      <c r="BB452" s="449"/>
      <c r="BC452" s="716"/>
      <c r="BD452" s="708"/>
    </row>
    <row r="453" spans="1:56" ht="36.75" hidden="1" customHeight="1" outlineLevel="1" x14ac:dyDescent="0.25">
      <c r="A453" s="301"/>
      <c r="B453" s="392"/>
      <c r="C453" s="717"/>
      <c r="D453" s="394"/>
      <c r="E453" s="394"/>
      <c r="F453" s="395"/>
      <c r="G453" s="392"/>
      <c r="H453" s="396"/>
      <c r="I453" s="397"/>
      <c r="J453" s="397"/>
      <c r="K453" s="397"/>
      <c r="L453" s="397"/>
      <c r="M453" s="397"/>
      <c r="N453" s="397"/>
      <c r="O453" s="398"/>
      <c r="P453" s="399"/>
      <c r="Q453" s="400"/>
      <c r="R453" s="714"/>
      <c r="S453" s="456"/>
      <c r="T453" s="449"/>
      <c r="U453" s="455"/>
      <c r="V453" s="402"/>
      <c r="W453" s="396"/>
      <c r="X453" s="397"/>
      <c r="Y453" s="397"/>
      <c r="Z453" s="449"/>
      <c r="AA453" s="449"/>
      <c r="AB453" s="449"/>
      <c r="AC453" s="449"/>
      <c r="AD453" s="450"/>
      <c r="AE453" s="451"/>
      <c r="AF453" s="452"/>
      <c r="AG453" s="449"/>
      <c r="AH453" s="449"/>
      <c r="AI453" s="449"/>
      <c r="AJ453" s="455"/>
      <c r="AK453" s="456"/>
      <c r="AL453" s="449"/>
      <c r="AM453" s="449"/>
      <c r="AN453" s="449"/>
      <c r="AO453" s="449"/>
      <c r="AP453" s="449"/>
      <c r="AQ453" s="450"/>
      <c r="AR453" s="451"/>
      <c r="AS453" s="452"/>
      <c r="AT453" s="449"/>
      <c r="AU453" s="449"/>
      <c r="AV453" s="449"/>
      <c r="AW453" s="523"/>
      <c r="AX453" s="634"/>
      <c r="AY453" s="715"/>
      <c r="AZ453" s="636"/>
      <c r="BA453" s="459"/>
      <c r="BB453" s="449"/>
      <c r="BC453" s="716"/>
      <c r="BD453" s="708"/>
    </row>
    <row r="454" spans="1:56" ht="36.75" hidden="1" customHeight="1" outlineLevel="1" x14ac:dyDescent="0.25">
      <c r="A454" s="301"/>
      <c r="B454" s="392"/>
      <c r="C454" s="717"/>
      <c r="D454" s="394"/>
      <c r="E454" s="394"/>
      <c r="F454" s="395"/>
      <c r="G454" s="392"/>
      <c r="H454" s="396"/>
      <c r="I454" s="397"/>
      <c r="J454" s="397"/>
      <c r="K454" s="397"/>
      <c r="L454" s="397"/>
      <c r="M454" s="397"/>
      <c r="N454" s="397"/>
      <c r="O454" s="398"/>
      <c r="P454" s="399"/>
      <c r="Q454" s="400"/>
      <c r="R454" s="714"/>
      <c r="S454" s="456"/>
      <c r="T454" s="449"/>
      <c r="U454" s="455"/>
      <c r="V454" s="402"/>
      <c r="W454" s="396"/>
      <c r="X454" s="397"/>
      <c r="Y454" s="397"/>
      <c r="Z454" s="449"/>
      <c r="AA454" s="449"/>
      <c r="AB454" s="449"/>
      <c r="AC454" s="449"/>
      <c r="AD454" s="450"/>
      <c r="AE454" s="451"/>
      <c r="AF454" s="452"/>
      <c r="AG454" s="449"/>
      <c r="AH454" s="449"/>
      <c r="AI454" s="449"/>
      <c r="AJ454" s="455"/>
      <c r="AK454" s="456"/>
      <c r="AL454" s="449"/>
      <c r="AM454" s="449"/>
      <c r="AN454" s="449"/>
      <c r="AO454" s="449"/>
      <c r="AP454" s="449"/>
      <c r="AQ454" s="450"/>
      <c r="AR454" s="451"/>
      <c r="AS454" s="452"/>
      <c r="AT454" s="449"/>
      <c r="AU454" s="449"/>
      <c r="AV454" s="449"/>
      <c r="AW454" s="523"/>
      <c r="AX454" s="634"/>
      <c r="AY454" s="715"/>
      <c r="AZ454" s="636"/>
      <c r="BA454" s="459"/>
      <c r="BB454" s="449"/>
      <c r="BC454" s="716"/>
      <c r="BD454" s="708"/>
    </row>
    <row r="455" spans="1:56" ht="36.75" hidden="1" customHeight="1" outlineLevel="1" x14ac:dyDescent="0.25">
      <c r="A455" s="301"/>
      <c r="B455" s="392"/>
      <c r="C455" s="717"/>
      <c r="D455" s="394"/>
      <c r="E455" s="394"/>
      <c r="F455" s="395"/>
      <c r="G455" s="392"/>
      <c r="H455" s="396"/>
      <c r="I455" s="397"/>
      <c r="J455" s="397"/>
      <c r="K455" s="397"/>
      <c r="L455" s="397"/>
      <c r="M455" s="397"/>
      <c r="N455" s="397"/>
      <c r="O455" s="398"/>
      <c r="P455" s="399"/>
      <c r="Q455" s="400"/>
      <c r="R455" s="714"/>
      <c r="S455" s="456"/>
      <c r="T455" s="449"/>
      <c r="U455" s="455"/>
      <c r="V455" s="402"/>
      <c r="W455" s="396"/>
      <c r="X455" s="397"/>
      <c r="Y455" s="397"/>
      <c r="Z455" s="449"/>
      <c r="AA455" s="449"/>
      <c r="AB455" s="449"/>
      <c r="AC455" s="449"/>
      <c r="AD455" s="450"/>
      <c r="AE455" s="451"/>
      <c r="AF455" s="452"/>
      <c r="AG455" s="449"/>
      <c r="AH455" s="449"/>
      <c r="AI455" s="449"/>
      <c r="AJ455" s="455"/>
      <c r="AK455" s="456"/>
      <c r="AL455" s="449"/>
      <c r="AM455" s="449"/>
      <c r="AN455" s="449"/>
      <c r="AO455" s="449"/>
      <c r="AP455" s="449"/>
      <c r="AQ455" s="450"/>
      <c r="AR455" s="451"/>
      <c r="AS455" s="452"/>
      <c r="AT455" s="449"/>
      <c r="AU455" s="449"/>
      <c r="AV455" s="449"/>
      <c r="AW455" s="523"/>
      <c r="AX455" s="634"/>
      <c r="AY455" s="715"/>
      <c r="AZ455" s="636"/>
      <c r="BA455" s="459"/>
      <c r="BB455" s="449"/>
      <c r="BC455" s="716"/>
      <c r="BD455" s="708"/>
    </row>
    <row r="456" spans="1:56" ht="36.75" hidden="1" customHeight="1" outlineLevel="1" x14ac:dyDescent="0.25">
      <c r="A456" s="301"/>
      <c r="B456" s="392"/>
      <c r="C456" s="717"/>
      <c r="D456" s="394"/>
      <c r="E456" s="394"/>
      <c r="F456" s="395"/>
      <c r="G456" s="392"/>
      <c r="H456" s="396"/>
      <c r="I456" s="397"/>
      <c r="J456" s="397"/>
      <c r="K456" s="397"/>
      <c r="L456" s="397"/>
      <c r="M456" s="397"/>
      <c r="N456" s="397"/>
      <c r="O456" s="398"/>
      <c r="P456" s="399"/>
      <c r="Q456" s="400"/>
      <c r="R456" s="714"/>
      <c r="S456" s="456"/>
      <c r="T456" s="449"/>
      <c r="U456" s="455"/>
      <c r="V456" s="402"/>
      <c r="W456" s="396"/>
      <c r="X456" s="397"/>
      <c r="Y456" s="397"/>
      <c r="Z456" s="449"/>
      <c r="AA456" s="449"/>
      <c r="AB456" s="449"/>
      <c r="AC456" s="449"/>
      <c r="AD456" s="450"/>
      <c r="AE456" s="451"/>
      <c r="AF456" s="452"/>
      <c r="AG456" s="449"/>
      <c r="AH456" s="449"/>
      <c r="AI456" s="449"/>
      <c r="AJ456" s="455"/>
      <c r="AK456" s="456"/>
      <c r="AL456" s="449"/>
      <c r="AM456" s="449"/>
      <c r="AN456" s="449"/>
      <c r="AO456" s="449"/>
      <c r="AP456" s="449"/>
      <c r="AQ456" s="450"/>
      <c r="AR456" s="451"/>
      <c r="AS456" s="452"/>
      <c r="AT456" s="449"/>
      <c r="AU456" s="449"/>
      <c r="AV456" s="449"/>
      <c r="AW456" s="523"/>
      <c r="AX456" s="634"/>
      <c r="AY456" s="715"/>
      <c r="AZ456" s="636"/>
      <c r="BA456" s="459"/>
      <c r="BB456" s="449"/>
      <c r="BC456" s="716"/>
      <c r="BD456" s="708"/>
    </row>
    <row r="457" spans="1:56" ht="36.75" hidden="1" customHeight="1" outlineLevel="1" x14ac:dyDescent="0.25">
      <c r="A457" s="301"/>
      <c r="B457" s="392"/>
      <c r="C457" s="717"/>
      <c r="D457" s="394"/>
      <c r="E457" s="394"/>
      <c r="F457" s="395"/>
      <c r="G457" s="392"/>
      <c r="H457" s="396"/>
      <c r="I457" s="397"/>
      <c r="J457" s="397"/>
      <c r="K457" s="397"/>
      <c r="L457" s="397"/>
      <c r="M457" s="397"/>
      <c r="N457" s="397"/>
      <c r="O457" s="398"/>
      <c r="P457" s="399"/>
      <c r="Q457" s="400"/>
      <c r="R457" s="714"/>
      <c r="S457" s="456"/>
      <c r="T457" s="449"/>
      <c r="U457" s="455"/>
      <c r="V457" s="402"/>
      <c r="W457" s="396"/>
      <c r="X457" s="397"/>
      <c r="Y457" s="397"/>
      <c r="Z457" s="449"/>
      <c r="AA457" s="449"/>
      <c r="AB457" s="449"/>
      <c r="AC457" s="449"/>
      <c r="AD457" s="450"/>
      <c r="AE457" s="451"/>
      <c r="AF457" s="452"/>
      <c r="AG457" s="449"/>
      <c r="AH457" s="449"/>
      <c r="AI457" s="449"/>
      <c r="AJ457" s="455"/>
      <c r="AK457" s="456"/>
      <c r="AL457" s="449"/>
      <c r="AM457" s="449"/>
      <c r="AN457" s="449"/>
      <c r="AO457" s="449"/>
      <c r="AP457" s="449"/>
      <c r="AQ457" s="450"/>
      <c r="AR457" s="451"/>
      <c r="AS457" s="452"/>
      <c r="AT457" s="449"/>
      <c r="AU457" s="449"/>
      <c r="AV457" s="449"/>
      <c r="AW457" s="523"/>
      <c r="AX457" s="634"/>
      <c r="AY457" s="715"/>
      <c r="AZ457" s="636"/>
      <c r="BA457" s="459"/>
      <c r="BB457" s="449"/>
      <c r="BC457" s="716"/>
      <c r="BD457" s="708"/>
    </row>
    <row r="458" spans="1:56" ht="36.75" hidden="1" customHeight="1" outlineLevel="1" x14ac:dyDescent="0.25">
      <c r="A458" s="301"/>
      <c r="B458" s="392"/>
      <c r="C458" s="717"/>
      <c r="D458" s="394"/>
      <c r="E458" s="394"/>
      <c r="F458" s="395"/>
      <c r="G458" s="392"/>
      <c r="H458" s="396"/>
      <c r="I458" s="397"/>
      <c r="J458" s="397"/>
      <c r="K458" s="397"/>
      <c r="L458" s="397"/>
      <c r="M458" s="397"/>
      <c r="N458" s="397"/>
      <c r="O458" s="398"/>
      <c r="P458" s="399"/>
      <c r="Q458" s="400"/>
      <c r="R458" s="714"/>
      <c r="S458" s="456"/>
      <c r="T458" s="449"/>
      <c r="U458" s="455"/>
      <c r="V458" s="402"/>
      <c r="W458" s="396"/>
      <c r="X458" s="397"/>
      <c r="Y458" s="397"/>
      <c r="Z458" s="449"/>
      <c r="AA458" s="449"/>
      <c r="AB458" s="449"/>
      <c r="AC458" s="449"/>
      <c r="AD458" s="450"/>
      <c r="AE458" s="451"/>
      <c r="AF458" s="452"/>
      <c r="AG458" s="449"/>
      <c r="AH458" s="449"/>
      <c r="AI458" s="449"/>
      <c r="AJ458" s="455"/>
      <c r="AK458" s="456"/>
      <c r="AL458" s="449"/>
      <c r="AM458" s="449"/>
      <c r="AN458" s="449"/>
      <c r="AO458" s="449"/>
      <c r="AP458" s="449"/>
      <c r="AQ458" s="450"/>
      <c r="AR458" s="451"/>
      <c r="AS458" s="452"/>
      <c r="AT458" s="449"/>
      <c r="AU458" s="449"/>
      <c r="AV458" s="449"/>
      <c r="AW458" s="523"/>
      <c r="AX458" s="634"/>
      <c r="AY458" s="715"/>
      <c r="AZ458" s="636"/>
      <c r="BA458" s="459"/>
      <c r="BB458" s="449"/>
      <c r="BC458" s="716"/>
      <c r="BD458" s="708"/>
    </row>
    <row r="459" spans="1:56" ht="36.75" hidden="1" customHeight="1" outlineLevel="1" x14ac:dyDescent="0.25">
      <c r="A459" s="301"/>
      <c r="B459" s="392"/>
      <c r="C459" s="717"/>
      <c r="D459" s="394"/>
      <c r="E459" s="394"/>
      <c r="F459" s="395"/>
      <c r="G459" s="392"/>
      <c r="H459" s="396"/>
      <c r="I459" s="397"/>
      <c r="J459" s="397"/>
      <c r="K459" s="397"/>
      <c r="L459" s="397"/>
      <c r="M459" s="397"/>
      <c r="N459" s="397"/>
      <c r="O459" s="398"/>
      <c r="P459" s="399"/>
      <c r="Q459" s="400"/>
      <c r="R459" s="714"/>
      <c r="S459" s="456"/>
      <c r="T459" s="449"/>
      <c r="U459" s="455"/>
      <c r="V459" s="402"/>
      <c r="W459" s="396"/>
      <c r="X459" s="397"/>
      <c r="Y459" s="397"/>
      <c r="Z459" s="449"/>
      <c r="AA459" s="449"/>
      <c r="AB459" s="449"/>
      <c r="AC459" s="449"/>
      <c r="AD459" s="450"/>
      <c r="AE459" s="451"/>
      <c r="AF459" s="452"/>
      <c r="AG459" s="449"/>
      <c r="AH459" s="449"/>
      <c r="AI459" s="449"/>
      <c r="AJ459" s="455"/>
      <c r="AK459" s="456"/>
      <c r="AL459" s="449"/>
      <c r="AM459" s="449"/>
      <c r="AN459" s="449"/>
      <c r="AO459" s="449"/>
      <c r="AP459" s="449"/>
      <c r="AQ459" s="450"/>
      <c r="AR459" s="451"/>
      <c r="AS459" s="452"/>
      <c r="AT459" s="449"/>
      <c r="AU459" s="449"/>
      <c r="AV459" s="449"/>
      <c r="AW459" s="523"/>
      <c r="AX459" s="634"/>
      <c r="AY459" s="715"/>
      <c r="AZ459" s="636"/>
      <c r="BA459" s="459"/>
      <c r="BB459" s="449"/>
      <c r="BC459" s="716"/>
      <c r="BD459" s="708"/>
    </row>
    <row r="460" spans="1:56" ht="54" hidden="1" customHeight="1" outlineLevel="1" x14ac:dyDescent="0.25">
      <c r="A460" s="301"/>
      <c r="B460" s="392"/>
      <c r="C460" s="717"/>
      <c r="D460" s="394"/>
      <c r="E460" s="394"/>
      <c r="F460" s="395"/>
      <c r="G460" s="392"/>
      <c r="H460" s="396"/>
      <c r="I460" s="397"/>
      <c r="J460" s="397"/>
      <c r="K460" s="397"/>
      <c r="L460" s="397"/>
      <c r="M460" s="397"/>
      <c r="N460" s="397"/>
      <c r="O460" s="398"/>
      <c r="P460" s="399"/>
      <c r="Q460" s="400"/>
      <c r="R460" s="714"/>
      <c r="S460" s="456"/>
      <c r="T460" s="449"/>
      <c r="U460" s="455"/>
      <c r="V460" s="402"/>
      <c r="W460" s="396"/>
      <c r="X460" s="397"/>
      <c r="Y460" s="397"/>
      <c r="Z460" s="449"/>
      <c r="AA460" s="449"/>
      <c r="AB460" s="449"/>
      <c r="AC460" s="449"/>
      <c r="AD460" s="450"/>
      <c r="AE460" s="451"/>
      <c r="AF460" s="452"/>
      <c r="AG460" s="449"/>
      <c r="AH460" s="449"/>
      <c r="AI460" s="449"/>
      <c r="AJ460" s="455"/>
      <c r="AK460" s="456"/>
      <c r="AL460" s="449"/>
      <c r="AM460" s="449"/>
      <c r="AN460" s="449"/>
      <c r="AO460" s="449"/>
      <c r="AP460" s="449"/>
      <c r="AQ460" s="450"/>
      <c r="AR460" s="451"/>
      <c r="AS460" s="452"/>
      <c r="AT460" s="449"/>
      <c r="AU460" s="449"/>
      <c r="AV460" s="449"/>
      <c r="AW460" s="523"/>
      <c r="AX460" s="634"/>
      <c r="AY460" s="715"/>
      <c r="AZ460" s="636"/>
      <c r="BA460" s="459"/>
      <c r="BB460" s="449"/>
      <c r="BC460" s="716"/>
      <c r="BD460" s="708"/>
    </row>
    <row r="461" spans="1:56" ht="36.75" hidden="1" customHeight="1" outlineLevel="1" x14ac:dyDescent="0.25">
      <c r="A461" s="301"/>
      <c r="B461" s="392"/>
      <c r="C461" s="717"/>
      <c r="D461" s="394"/>
      <c r="E461" s="394"/>
      <c r="F461" s="395"/>
      <c r="G461" s="392"/>
      <c r="H461" s="396"/>
      <c r="I461" s="397"/>
      <c r="J461" s="397"/>
      <c r="K461" s="397"/>
      <c r="L461" s="397"/>
      <c r="M461" s="397"/>
      <c r="N461" s="397"/>
      <c r="O461" s="398"/>
      <c r="P461" s="399"/>
      <c r="Q461" s="400"/>
      <c r="R461" s="714"/>
      <c r="S461" s="456"/>
      <c r="T461" s="449"/>
      <c r="U461" s="455"/>
      <c r="V461" s="402"/>
      <c r="W461" s="396"/>
      <c r="X461" s="397"/>
      <c r="Y461" s="397"/>
      <c r="Z461" s="449"/>
      <c r="AA461" s="449"/>
      <c r="AB461" s="449"/>
      <c r="AC461" s="449"/>
      <c r="AD461" s="450"/>
      <c r="AE461" s="451"/>
      <c r="AF461" s="452"/>
      <c r="AG461" s="449"/>
      <c r="AH461" s="449"/>
      <c r="AI461" s="449"/>
      <c r="AJ461" s="455"/>
      <c r="AK461" s="456"/>
      <c r="AL461" s="449"/>
      <c r="AM461" s="449"/>
      <c r="AN461" s="449"/>
      <c r="AO461" s="449"/>
      <c r="AP461" s="449"/>
      <c r="AQ461" s="450"/>
      <c r="AR461" s="451"/>
      <c r="AS461" s="452"/>
      <c r="AT461" s="449"/>
      <c r="AU461" s="449"/>
      <c r="AV461" s="449"/>
      <c r="AW461" s="523"/>
      <c r="AX461" s="634"/>
      <c r="AY461" s="715"/>
      <c r="AZ461" s="636"/>
      <c r="BA461" s="459"/>
      <c r="BB461" s="449"/>
      <c r="BC461" s="716"/>
      <c r="BD461" s="708"/>
    </row>
    <row r="462" spans="1:56" ht="36.75" hidden="1" customHeight="1" outlineLevel="1" x14ac:dyDescent="0.25">
      <c r="A462" s="301"/>
      <c r="B462" s="392"/>
      <c r="C462" s="717"/>
      <c r="D462" s="394"/>
      <c r="E462" s="394"/>
      <c r="F462" s="395"/>
      <c r="G462" s="392"/>
      <c r="H462" s="396"/>
      <c r="I462" s="397"/>
      <c r="J462" s="397"/>
      <c r="K462" s="397"/>
      <c r="L462" s="397"/>
      <c r="M462" s="397"/>
      <c r="N462" s="397"/>
      <c r="O462" s="398"/>
      <c r="P462" s="399"/>
      <c r="Q462" s="400"/>
      <c r="R462" s="714"/>
      <c r="S462" s="456"/>
      <c r="T462" s="449"/>
      <c r="U462" s="455"/>
      <c r="V462" s="402"/>
      <c r="W462" s="396"/>
      <c r="X462" s="397"/>
      <c r="Y462" s="397"/>
      <c r="Z462" s="449"/>
      <c r="AA462" s="449"/>
      <c r="AB462" s="449"/>
      <c r="AC462" s="449"/>
      <c r="AD462" s="450"/>
      <c r="AE462" s="451"/>
      <c r="AF462" s="452"/>
      <c r="AG462" s="449"/>
      <c r="AH462" s="449"/>
      <c r="AI462" s="449"/>
      <c r="AJ462" s="455"/>
      <c r="AK462" s="456"/>
      <c r="AL462" s="449"/>
      <c r="AM462" s="449"/>
      <c r="AN462" s="449"/>
      <c r="AO462" s="449"/>
      <c r="AP462" s="449"/>
      <c r="AQ462" s="450"/>
      <c r="AR462" s="451"/>
      <c r="AS462" s="452"/>
      <c r="AT462" s="449"/>
      <c r="AU462" s="449"/>
      <c r="AV462" s="449"/>
      <c r="AW462" s="523"/>
      <c r="AX462" s="634"/>
      <c r="AY462" s="715"/>
      <c r="AZ462" s="636"/>
      <c r="BA462" s="459"/>
      <c r="BB462" s="449"/>
      <c r="BC462" s="716"/>
      <c r="BD462" s="708"/>
    </row>
    <row r="463" spans="1:56" ht="36.75" hidden="1" customHeight="1" outlineLevel="1" x14ac:dyDescent="0.25">
      <c r="A463" s="301"/>
      <c r="B463" s="392"/>
      <c r="C463" s="717"/>
      <c r="D463" s="394"/>
      <c r="E463" s="394"/>
      <c r="F463" s="395"/>
      <c r="G463" s="392"/>
      <c r="H463" s="396"/>
      <c r="I463" s="397"/>
      <c r="J463" s="397"/>
      <c r="K463" s="397"/>
      <c r="L463" s="397"/>
      <c r="M463" s="397"/>
      <c r="N463" s="397"/>
      <c r="O463" s="398"/>
      <c r="P463" s="399"/>
      <c r="Q463" s="400"/>
      <c r="R463" s="714"/>
      <c r="S463" s="404"/>
      <c r="T463" s="397"/>
      <c r="U463" s="403"/>
      <c r="V463" s="402"/>
      <c r="W463" s="396"/>
      <c r="X463" s="397"/>
      <c r="Y463" s="397"/>
      <c r="Z463" s="397"/>
      <c r="AA463" s="397"/>
      <c r="AB463" s="397"/>
      <c r="AC463" s="397"/>
      <c r="AD463" s="398"/>
      <c r="AE463" s="399"/>
      <c r="AF463" s="400"/>
      <c r="AG463" s="397"/>
      <c r="AH463" s="397"/>
      <c r="AI463" s="397"/>
      <c r="AJ463" s="403"/>
      <c r="AK463" s="404"/>
      <c r="AL463" s="397"/>
      <c r="AM463" s="397"/>
      <c r="AN463" s="397"/>
      <c r="AO463" s="397"/>
      <c r="AP463" s="397"/>
      <c r="AQ463" s="398"/>
      <c r="AR463" s="399"/>
      <c r="AS463" s="400"/>
      <c r="AT463" s="397"/>
      <c r="AU463" s="397"/>
      <c r="AV463" s="397"/>
      <c r="AW463" s="525"/>
      <c r="AX463" s="632"/>
      <c r="AY463" s="718"/>
      <c r="AZ463" s="407"/>
      <c r="BA463" s="408"/>
      <c r="BB463" s="397"/>
      <c r="BC463" s="719"/>
      <c r="BD463" s="710"/>
    </row>
    <row r="464" spans="1:56" ht="36.75" hidden="1" customHeight="1" outlineLevel="1" thickBot="1" x14ac:dyDescent="0.3">
      <c r="A464" s="301"/>
      <c r="B464" s="467"/>
      <c r="C464" s="720"/>
      <c r="D464" s="426"/>
      <c r="E464" s="426"/>
      <c r="F464" s="427"/>
      <c r="G464" s="444"/>
      <c r="H464" s="448"/>
      <c r="I464" s="449"/>
      <c r="J464" s="449"/>
      <c r="K464" s="449"/>
      <c r="L464" s="449"/>
      <c r="M464" s="449"/>
      <c r="N464" s="449"/>
      <c r="O464" s="450"/>
      <c r="P464" s="451"/>
      <c r="Q464" s="452"/>
      <c r="R464" s="721"/>
      <c r="S464" s="479"/>
      <c r="T464" s="472"/>
      <c r="U464" s="478"/>
      <c r="V464" s="454"/>
      <c r="W464" s="448"/>
      <c r="X464" s="449"/>
      <c r="Y464" s="449"/>
      <c r="Z464" s="449"/>
      <c r="AA464" s="449"/>
      <c r="AB464" s="449"/>
      <c r="AC464" s="449"/>
      <c r="AD464" s="722"/>
      <c r="AE464" s="723"/>
      <c r="AF464" s="452"/>
      <c r="AG464" s="449"/>
      <c r="AH464" s="449"/>
      <c r="AI464" s="449"/>
      <c r="AJ464" s="455"/>
      <c r="AK464" s="456"/>
      <c r="AL464" s="449"/>
      <c r="AM464" s="449"/>
      <c r="AN464" s="449"/>
      <c r="AO464" s="449"/>
      <c r="AP464" s="449"/>
      <c r="AQ464" s="722"/>
      <c r="AR464" s="723"/>
      <c r="AS464" s="452"/>
      <c r="AT464" s="449"/>
      <c r="AU464" s="449"/>
      <c r="AV464" s="449"/>
      <c r="AW464" s="523"/>
      <c r="AX464" s="724"/>
      <c r="AY464" s="715"/>
      <c r="AZ464" s="725"/>
      <c r="BA464" s="482"/>
      <c r="BB464" s="472"/>
      <c r="BC464" s="726"/>
      <c r="BD464" s="727"/>
    </row>
    <row r="465" spans="1:59" s="1128" customFormat="1" ht="29.25" customHeight="1" collapsed="1" thickBot="1" x14ac:dyDescent="0.3">
      <c r="A465" s="357"/>
      <c r="B465" s="728"/>
      <c r="C465" s="728"/>
      <c r="D465" s="728"/>
      <c r="E465" s="728"/>
      <c r="F465" s="728"/>
      <c r="G465" s="728"/>
      <c r="H465" s="728"/>
      <c r="I465" s="728"/>
      <c r="J465" s="728"/>
      <c r="K465" s="728"/>
      <c r="L465" s="728"/>
      <c r="M465" s="728"/>
      <c r="N465" s="728"/>
      <c r="O465" s="502">
        <f>SUBTOTAL(9,O409:O423)</f>
        <v>143.33398402399999</v>
      </c>
      <c r="P465" s="503">
        <f>SUBTOTAL(9,P409:P423)</f>
        <v>186.64699999999996</v>
      </c>
      <c r="Q465" s="728"/>
      <c r="R465" s="728"/>
      <c r="S465" s="728"/>
      <c r="T465" s="728"/>
      <c r="U465" s="728"/>
      <c r="V465" s="728"/>
      <c r="W465" s="729"/>
      <c r="X465" s="728"/>
      <c r="Y465" s="728"/>
      <c r="Z465" s="728"/>
      <c r="AA465" s="728"/>
      <c r="AB465" s="728"/>
      <c r="AC465" s="728"/>
      <c r="AD465" s="613">
        <f>SUBTOTAL(9,AD409:AD437)</f>
        <v>142.374144</v>
      </c>
      <c r="AE465" s="617">
        <f>SUBTOTAL(9,AE409:AE437)</f>
        <v>192.6</v>
      </c>
      <c r="AF465" s="730"/>
      <c r="AG465" s="730"/>
      <c r="AH465" s="730"/>
      <c r="AI465" s="730"/>
      <c r="AJ465" s="730"/>
      <c r="AK465" s="730"/>
      <c r="AL465" s="730"/>
      <c r="AM465" s="730"/>
      <c r="AN465" s="730"/>
      <c r="AO465" s="730"/>
      <c r="AP465" s="730"/>
      <c r="AQ465" s="613">
        <f>SUBTOTAL(9,AQ409:AQ437)</f>
        <v>2.8719760000059935E-3</v>
      </c>
      <c r="AR465" s="617">
        <f>SUBTOTAL(9,AR409:AR437)</f>
        <v>6.9530000000000012</v>
      </c>
      <c r="AS465" s="730"/>
      <c r="AT465" s="730"/>
      <c r="AU465" s="730"/>
      <c r="AV465" s="730"/>
      <c r="AW465" s="731"/>
      <c r="AX465" s="730"/>
      <c r="AY465" s="730"/>
      <c r="AZ465" s="613">
        <f>SUBTOTAL(9,AZ409:AZ437)</f>
        <v>142.374144</v>
      </c>
      <c r="BA465" s="617">
        <f>SUBTOTAL(9,BA409:BA437)</f>
        <v>192.6</v>
      </c>
      <c r="BB465" s="730"/>
      <c r="BC465" s="730"/>
      <c r="BD465" s="730"/>
    </row>
    <row r="466" spans="1:59" ht="29.25" customHeight="1" x14ac:dyDescent="0.25">
      <c r="A466" s="301"/>
      <c r="B466" s="702"/>
      <c r="C466" s="702"/>
      <c r="D466" s="702"/>
      <c r="E466" s="702"/>
      <c r="F466" s="702"/>
      <c r="G466" s="702"/>
      <c r="H466" s="702"/>
      <c r="I466" s="702"/>
      <c r="J466" s="702"/>
      <c r="K466" s="702"/>
      <c r="L466" s="702"/>
      <c r="M466" s="702"/>
      <c r="N466" s="702"/>
      <c r="O466" s="732"/>
      <c r="P466" s="639"/>
      <c r="Q466" s="702"/>
      <c r="R466" s="702"/>
      <c r="S466" s="702"/>
      <c r="T466" s="702"/>
      <c r="U466" s="702"/>
      <c r="V466" s="702"/>
      <c r="W466" s="302"/>
      <c r="X466" s="702"/>
      <c r="Y466" s="702"/>
      <c r="Z466" s="702"/>
      <c r="AA466" s="702"/>
      <c r="AB466" s="702"/>
      <c r="AC466" s="702"/>
      <c r="AD466" s="732"/>
      <c r="AE466" s="639"/>
      <c r="AF466" s="733"/>
      <c r="AG466" s="733"/>
      <c r="AH466" s="733"/>
      <c r="AI466" s="733"/>
      <c r="AJ466" s="733"/>
      <c r="AK466" s="733"/>
      <c r="AL466" s="733"/>
      <c r="AM466" s="733"/>
      <c r="AN466" s="733"/>
      <c r="AO466" s="733"/>
      <c r="AP466" s="733"/>
      <c r="AQ466" s="732"/>
      <c r="AR466" s="639"/>
      <c r="AS466" s="733"/>
      <c r="AT466" s="733"/>
      <c r="AU466" s="733"/>
      <c r="AV466" s="733"/>
      <c r="AW466" s="734"/>
      <c r="AX466" s="733"/>
      <c r="AY466" s="733"/>
      <c r="AZ466" s="732"/>
      <c r="BA466" s="639"/>
      <c r="BB466" s="733"/>
      <c r="BC466" s="733"/>
      <c r="BD466" s="733"/>
    </row>
    <row r="467" spans="1:59" s="1147" customFormat="1" ht="64.5" customHeight="1" x14ac:dyDescent="0.25">
      <c r="A467" s="735"/>
      <c r="B467" s="1145"/>
      <c r="C467" s="735"/>
      <c r="D467" s="1145"/>
      <c r="E467" s="1145"/>
      <c r="F467" s="1145"/>
      <c r="G467" s="735"/>
      <c r="H467" s="1146"/>
      <c r="I467" s="735"/>
      <c r="J467" s="735"/>
      <c r="K467" s="735"/>
      <c r="L467" s="735"/>
      <c r="M467" s="735"/>
      <c r="N467" s="735"/>
      <c r="O467" s="735"/>
      <c r="P467" s="735"/>
      <c r="Q467" s="735"/>
      <c r="R467" s="735"/>
      <c r="S467" s="735"/>
      <c r="T467" s="735"/>
      <c r="U467" s="736"/>
      <c r="V467" s="736"/>
      <c r="W467" s="736"/>
      <c r="X467" s="736"/>
      <c r="Y467" s="736"/>
      <c r="Z467" s="736"/>
      <c r="AA467" s="736"/>
      <c r="AB467" s="736"/>
      <c r="AC467" s="736"/>
      <c r="AD467" s="736"/>
      <c r="AE467" s="736"/>
      <c r="AF467" s="736"/>
      <c r="AG467" s="736"/>
      <c r="AH467" s="736"/>
      <c r="AI467" s="736"/>
      <c r="AJ467" s="736"/>
      <c r="AK467" s="735"/>
      <c r="AL467" s="735"/>
      <c r="AM467" s="735"/>
      <c r="AN467" s="735"/>
      <c r="AO467" s="735"/>
      <c r="AP467" s="735"/>
      <c r="AQ467" s="735"/>
      <c r="AR467" s="735"/>
      <c r="AS467" s="735"/>
      <c r="AT467" s="735"/>
      <c r="AU467" s="735"/>
      <c r="AV467" s="735"/>
      <c r="AW467" s="737"/>
      <c r="AX467" s="735"/>
      <c r="AY467" s="735"/>
      <c r="AZ467" s="738"/>
      <c r="BA467" s="739"/>
      <c r="BB467" s="735"/>
      <c r="BC467" s="735"/>
      <c r="BD467" s="735"/>
    </row>
    <row r="468" spans="1:59" s="1147" customFormat="1" ht="64.5" hidden="1" customHeight="1" x14ac:dyDescent="0.55000000000000004">
      <c r="A468" s="735"/>
      <c r="B468" s="735"/>
      <c r="C468" s="735"/>
      <c r="D468" s="735"/>
      <c r="E468" s="735"/>
      <c r="F468" s="735"/>
      <c r="G468" s="735"/>
      <c r="H468" s="740" t="s">
        <v>2231</v>
      </c>
      <c r="I468" s="741"/>
      <c r="J468" s="741"/>
      <c r="K468" s="741"/>
      <c r="L468" s="741"/>
      <c r="M468" s="741"/>
      <c r="N468" s="741"/>
      <c r="O468" s="741"/>
      <c r="P468" s="741"/>
      <c r="Q468" s="741"/>
      <c r="R468" s="741"/>
      <c r="S468" s="741"/>
      <c r="T468" s="741"/>
      <c r="U468" s="741"/>
      <c r="V468" s="741"/>
      <c r="W468" s="742"/>
      <c r="X468" s="741"/>
      <c r="Y468" s="741"/>
      <c r="Z468" s="741"/>
      <c r="AA468" s="741"/>
      <c r="AB468" s="741"/>
      <c r="AC468" s="741"/>
      <c r="AD468" s="741"/>
      <c r="AE468" s="741"/>
      <c r="AF468" s="741"/>
      <c r="AG468" s="741"/>
      <c r="AH468" s="741"/>
      <c r="AI468" s="741"/>
      <c r="AJ468" s="741"/>
      <c r="AK468" s="741"/>
      <c r="AL468" s="741"/>
      <c r="AM468" s="741"/>
      <c r="AN468" s="741"/>
      <c r="AO468" s="741"/>
      <c r="AP468" s="741"/>
      <c r="AQ468" s="741"/>
      <c r="AR468" s="741"/>
      <c r="AS468" s="741"/>
      <c r="AT468" s="741"/>
      <c r="AU468" s="741"/>
      <c r="AV468" s="741"/>
      <c r="AW468" s="743"/>
      <c r="AX468" s="741"/>
      <c r="AY468" s="741" t="s">
        <v>2232</v>
      </c>
      <c r="AZ468" s="1148" t="s">
        <v>2233</v>
      </c>
      <c r="BA468" s="744"/>
      <c r="BB468" s="745"/>
      <c r="BC468" s="741"/>
      <c r="BD468" s="741"/>
      <c r="BE468" s="1149"/>
      <c r="BF468" s="1149"/>
      <c r="BG468" s="1149"/>
    </row>
    <row r="469" spans="1:59" s="1147" customFormat="1" ht="64.5" customHeight="1" x14ac:dyDescent="0.55000000000000004">
      <c r="A469" s="735"/>
      <c r="B469" s="735"/>
      <c r="C469" s="735"/>
      <c r="D469" s="735"/>
      <c r="E469" s="735"/>
      <c r="F469" s="735"/>
      <c r="G469" s="735"/>
      <c r="H469" s="740"/>
      <c r="I469" s="741"/>
      <c r="J469" s="741"/>
      <c r="K469" s="741"/>
      <c r="L469" s="741"/>
      <c r="M469" s="741"/>
      <c r="N469" s="741"/>
      <c r="O469" s="741"/>
      <c r="P469" s="741"/>
      <c r="Q469" s="741"/>
      <c r="R469" s="741"/>
      <c r="S469" s="741"/>
      <c r="T469" s="741"/>
      <c r="U469" s="741"/>
      <c r="V469" s="741"/>
      <c r="W469" s="742"/>
      <c r="X469" s="741"/>
      <c r="Y469" s="741"/>
      <c r="Z469" s="741"/>
      <c r="AA469" s="741"/>
      <c r="AB469" s="741"/>
      <c r="AC469" s="741"/>
      <c r="AD469" s="741"/>
      <c r="AE469" s="741"/>
      <c r="AF469" s="741"/>
      <c r="AG469" s="741"/>
      <c r="AH469" s="741"/>
      <c r="AI469" s="741"/>
      <c r="AJ469" s="741"/>
      <c r="AK469" s="741"/>
      <c r="AL469" s="741"/>
      <c r="AM469" s="741"/>
      <c r="AN469" s="741"/>
      <c r="AO469" s="741"/>
      <c r="AP469" s="741"/>
      <c r="AQ469" s="741"/>
      <c r="AR469" s="741"/>
      <c r="AS469" s="741"/>
      <c r="AT469" s="741"/>
      <c r="AU469" s="741"/>
      <c r="AV469" s="741"/>
      <c r="AW469" s="743"/>
      <c r="AX469" s="741"/>
      <c r="AY469" s="741"/>
      <c r="AZ469" s="1148"/>
      <c r="BA469" s="744"/>
      <c r="BB469" s="745"/>
      <c r="BC469" s="741"/>
      <c r="BD469" s="741"/>
      <c r="BE469" s="1149"/>
      <c r="BF469" s="1149"/>
      <c r="BG469" s="1149"/>
    </row>
    <row r="470" spans="1:59" s="1147" customFormat="1" ht="64.5" customHeight="1" x14ac:dyDescent="0.55000000000000004">
      <c r="A470" s="735"/>
      <c r="B470" s="735"/>
      <c r="C470" s="735"/>
      <c r="D470" s="735"/>
      <c r="E470" s="735"/>
      <c r="F470" s="735"/>
      <c r="G470" s="735"/>
      <c r="H470" s="740" t="s">
        <v>2234</v>
      </c>
      <c r="I470" s="741"/>
      <c r="J470" s="741"/>
      <c r="K470" s="741"/>
      <c r="L470" s="741"/>
      <c r="M470" s="741"/>
      <c r="N470" s="741"/>
      <c r="O470" s="741"/>
      <c r="P470" s="741"/>
      <c r="Q470" s="741"/>
      <c r="R470" s="741"/>
      <c r="S470" s="741"/>
      <c r="T470" s="741"/>
      <c r="U470" s="741"/>
      <c r="V470" s="741"/>
      <c r="W470" s="742"/>
      <c r="X470" s="741"/>
      <c r="Y470" s="741"/>
      <c r="Z470" s="741"/>
      <c r="AA470" s="741"/>
      <c r="AB470" s="741"/>
      <c r="AC470" s="741"/>
      <c r="AD470" s="741"/>
      <c r="AE470" s="741"/>
      <c r="AF470" s="741"/>
      <c r="AG470" s="741"/>
      <c r="AH470" s="741"/>
      <c r="AI470" s="741"/>
      <c r="AJ470" s="741"/>
      <c r="AK470" s="741"/>
      <c r="AL470" s="741"/>
      <c r="AM470" s="741"/>
      <c r="AN470" s="741"/>
      <c r="AO470" s="741"/>
      <c r="AP470" s="741"/>
      <c r="AQ470" s="741"/>
      <c r="AR470" s="741"/>
      <c r="AS470" s="741"/>
      <c r="AT470" s="741"/>
      <c r="AU470" s="741"/>
      <c r="AV470" s="741"/>
      <c r="AW470" s="743"/>
      <c r="AX470" s="741"/>
      <c r="AY470" s="741" t="s">
        <v>2232</v>
      </c>
      <c r="AZ470" s="1148" t="s">
        <v>2235</v>
      </c>
      <c r="BA470" s="744"/>
      <c r="BB470" s="745"/>
      <c r="BC470" s="741"/>
      <c r="BD470" s="741"/>
      <c r="BE470" s="1149"/>
      <c r="BF470" s="1149"/>
      <c r="BG470" s="1149"/>
    </row>
    <row r="471" spans="1:59" s="1147" customFormat="1" ht="64.5" customHeight="1" x14ac:dyDescent="0.55000000000000004">
      <c r="A471" s="735"/>
      <c r="B471" s="735"/>
      <c r="C471" s="735"/>
      <c r="D471" s="735"/>
      <c r="E471" s="735"/>
      <c r="F471" s="735"/>
      <c r="G471" s="735"/>
      <c r="H471" s="740"/>
      <c r="I471" s="741"/>
      <c r="J471" s="741"/>
      <c r="K471" s="741"/>
      <c r="L471" s="741"/>
      <c r="M471" s="741"/>
      <c r="N471" s="741"/>
      <c r="O471" s="741"/>
      <c r="P471" s="741"/>
      <c r="Q471" s="741"/>
      <c r="R471" s="741"/>
      <c r="S471" s="741"/>
      <c r="T471" s="741"/>
      <c r="U471" s="741"/>
      <c r="V471" s="741"/>
      <c r="W471" s="742"/>
      <c r="X471" s="741"/>
      <c r="Y471" s="741"/>
      <c r="Z471" s="741"/>
      <c r="AA471" s="741"/>
      <c r="AB471" s="741"/>
      <c r="AC471" s="741"/>
      <c r="AD471" s="741"/>
      <c r="AE471" s="741"/>
      <c r="AF471" s="741"/>
      <c r="AG471" s="741"/>
      <c r="AH471" s="741"/>
      <c r="AI471" s="741"/>
      <c r="AJ471" s="741"/>
      <c r="AK471" s="741"/>
      <c r="AL471" s="741"/>
      <c r="AM471" s="741"/>
      <c r="AN471" s="741"/>
      <c r="AO471" s="741"/>
      <c r="AP471" s="741"/>
      <c r="AQ471" s="741"/>
      <c r="AR471" s="741"/>
      <c r="AS471" s="741"/>
      <c r="AT471" s="741"/>
      <c r="AU471" s="741"/>
      <c r="AV471" s="741"/>
      <c r="AW471" s="743"/>
      <c r="AX471" s="741"/>
      <c r="AY471" s="741"/>
      <c r="AZ471" s="1148"/>
      <c r="BA471" s="744"/>
      <c r="BB471" s="745"/>
      <c r="BC471" s="741"/>
      <c r="BD471" s="741"/>
      <c r="BE471" s="1149"/>
      <c r="BF471" s="1149"/>
      <c r="BG471" s="1149"/>
    </row>
    <row r="472" spans="1:59" s="1147" customFormat="1" ht="64.5" hidden="1" customHeight="1" x14ac:dyDescent="0.55000000000000004">
      <c r="A472" s="735"/>
      <c r="B472" s="735"/>
      <c r="C472" s="735"/>
      <c r="D472" s="735"/>
      <c r="E472" s="735"/>
      <c r="F472" s="735"/>
      <c r="G472" s="735"/>
      <c r="H472" s="740" t="s">
        <v>2147</v>
      </c>
      <c r="I472" s="741"/>
      <c r="J472" s="741"/>
      <c r="K472" s="741"/>
      <c r="L472" s="741"/>
      <c r="M472" s="741"/>
      <c r="N472" s="741"/>
      <c r="O472" s="741"/>
      <c r="P472" s="741"/>
      <c r="Q472" s="741"/>
      <c r="R472" s="741"/>
      <c r="S472" s="741"/>
      <c r="T472" s="741"/>
      <c r="U472" s="741"/>
      <c r="V472" s="741"/>
      <c r="W472" s="742"/>
      <c r="X472" s="741"/>
      <c r="Y472" s="741"/>
      <c r="Z472" s="741"/>
      <c r="AA472" s="741"/>
      <c r="AB472" s="741"/>
      <c r="AC472" s="741"/>
      <c r="AD472" s="741"/>
      <c r="AE472" s="741"/>
      <c r="AF472" s="741"/>
      <c r="AG472" s="741"/>
      <c r="AH472" s="741"/>
      <c r="AI472" s="741"/>
      <c r="AJ472" s="741"/>
      <c r="AK472" s="741"/>
      <c r="AL472" s="741"/>
      <c r="AM472" s="741"/>
      <c r="AN472" s="741"/>
      <c r="AO472" s="741"/>
      <c r="AP472" s="741"/>
      <c r="AQ472" s="741"/>
      <c r="AR472" s="741"/>
      <c r="AS472" s="741"/>
      <c r="AT472" s="741"/>
      <c r="AU472" s="741"/>
      <c r="AV472" s="741"/>
      <c r="AW472" s="743"/>
      <c r="AX472" s="741"/>
      <c r="AY472" s="741" t="s">
        <v>2232</v>
      </c>
      <c r="AZ472" s="1148" t="s">
        <v>2236</v>
      </c>
      <c r="BA472" s="744"/>
      <c r="BB472" s="745"/>
      <c r="BC472" s="741"/>
      <c r="BD472" s="741"/>
      <c r="BE472" s="1149"/>
      <c r="BF472" s="1149"/>
      <c r="BG472" s="1149"/>
    </row>
    <row r="473" spans="1:59" s="1147" customFormat="1" ht="64.5" hidden="1" customHeight="1" x14ac:dyDescent="0.55000000000000004">
      <c r="A473" s="735"/>
      <c r="B473" s="735"/>
      <c r="C473" s="735"/>
      <c r="D473" s="735"/>
      <c r="E473" s="735"/>
      <c r="F473" s="735"/>
      <c r="G473" s="735"/>
      <c r="H473" s="740"/>
      <c r="I473" s="741"/>
      <c r="J473" s="741"/>
      <c r="K473" s="741"/>
      <c r="L473" s="741"/>
      <c r="M473" s="741"/>
      <c r="N473" s="741"/>
      <c r="O473" s="741"/>
      <c r="P473" s="741"/>
      <c r="Q473" s="741"/>
      <c r="R473" s="741"/>
      <c r="S473" s="741"/>
      <c r="T473" s="741"/>
      <c r="U473" s="741"/>
      <c r="V473" s="741"/>
      <c r="W473" s="742"/>
      <c r="X473" s="741"/>
      <c r="Y473" s="741"/>
      <c r="Z473" s="741"/>
      <c r="AA473" s="741"/>
      <c r="AB473" s="741"/>
      <c r="AC473" s="741"/>
      <c r="AD473" s="741"/>
      <c r="AE473" s="741"/>
      <c r="AF473" s="741"/>
      <c r="AG473" s="741"/>
      <c r="AH473" s="741"/>
      <c r="AI473" s="741"/>
      <c r="AJ473" s="741"/>
      <c r="AK473" s="741"/>
      <c r="AL473" s="741"/>
      <c r="AM473" s="741"/>
      <c r="AN473" s="741"/>
      <c r="AO473" s="741"/>
      <c r="AP473" s="741"/>
      <c r="AQ473" s="741"/>
      <c r="AR473" s="741"/>
      <c r="AS473" s="741"/>
      <c r="AT473" s="741"/>
      <c r="AU473" s="741"/>
      <c r="AV473" s="741"/>
      <c r="AW473" s="743"/>
      <c r="AX473" s="741"/>
      <c r="AY473" s="741"/>
      <c r="AZ473" s="1148"/>
      <c r="BA473" s="744"/>
      <c r="BB473" s="745"/>
      <c r="BC473" s="741"/>
      <c r="BD473" s="741"/>
      <c r="BE473" s="1149"/>
      <c r="BF473" s="1149"/>
      <c r="BG473" s="1149"/>
    </row>
    <row r="474" spans="1:59" s="1147" customFormat="1" ht="64.5" hidden="1" customHeight="1" x14ac:dyDescent="0.55000000000000004">
      <c r="A474" s="735"/>
      <c r="B474" s="735"/>
      <c r="C474" s="735"/>
      <c r="D474" s="735"/>
      <c r="E474" s="735"/>
      <c r="F474" s="735"/>
      <c r="G474" s="735"/>
      <c r="H474" s="740" t="s">
        <v>2237</v>
      </c>
      <c r="I474" s="741"/>
      <c r="J474" s="741"/>
      <c r="K474" s="741"/>
      <c r="L474" s="741"/>
      <c r="M474" s="741"/>
      <c r="N474" s="741"/>
      <c r="O474" s="741"/>
      <c r="P474" s="741"/>
      <c r="Q474" s="741"/>
      <c r="R474" s="741"/>
      <c r="S474" s="741"/>
      <c r="T474" s="741"/>
      <c r="U474" s="741"/>
      <c r="V474" s="741"/>
      <c r="W474" s="742"/>
      <c r="X474" s="741"/>
      <c r="Y474" s="741"/>
      <c r="Z474" s="741"/>
      <c r="AA474" s="741"/>
      <c r="AB474" s="741"/>
      <c r="AC474" s="741"/>
      <c r="AD474" s="741"/>
      <c r="AE474" s="741"/>
      <c r="AF474" s="741"/>
      <c r="AG474" s="741"/>
      <c r="AH474" s="741"/>
      <c r="AI474" s="741"/>
      <c r="AJ474" s="741"/>
      <c r="AK474" s="741"/>
      <c r="AL474" s="741"/>
      <c r="AM474" s="741"/>
      <c r="AN474" s="741"/>
      <c r="AO474" s="741"/>
      <c r="AP474" s="741"/>
      <c r="AQ474" s="741"/>
      <c r="AR474" s="741"/>
      <c r="AS474" s="741"/>
      <c r="AT474" s="741"/>
      <c r="AU474" s="741"/>
      <c r="AV474" s="741"/>
      <c r="AW474" s="743"/>
      <c r="AX474" s="741"/>
      <c r="AY474" s="741" t="s">
        <v>2232</v>
      </c>
      <c r="AZ474" s="1148" t="s">
        <v>2238</v>
      </c>
      <c r="BA474" s="744"/>
      <c r="BB474" s="745"/>
      <c r="BC474" s="741"/>
      <c r="BD474" s="741"/>
      <c r="BE474" s="1149"/>
      <c r="BF474" s="1149"/>
      <c r="BG474" s="1149"/>
    </row>
    <row r="475" spans="1:59" s="1147" customFormat="1" ht="64.5" hidden="1" customHeight="1" x14ac:dyDescent="0.55000000000000004">
      <c r="A475" s="735"/>
      <c r="B475" s="735"/>
      <c r="C475" s="735"/>
      <c r="D475" s="735"/>
      <c r="E475" s="735"/>
      <c r="F475" s="735"/>
      <c r="G475" s="735"/>
      <c r="H475" s="740"/>
      <c r="I475" s="741"/>
      <c r="J475" s="741"/>
      <c r="K475" s="741"/>
      <c r="L475" s="741"/>
      <c r="M475" s="741"/>
      <c r="N475" s="741"/>
      <c r="O475" s="741"/>
      <c r="P475" s="741"/>
      <c r="Q475" s="741"/>
      <c r="R475" s="741"/>
      <c r="S475" s="741"/>
      <c r="T475" s="741"/>
      <c r="U475" s="741"/>
      <c r="V475" s="741"/>
      <c r="W475" s="742"/>
      <c r="X475" s="741"/>
      <c r="Y475" s="741"/>
      <c r="Z475" s="741"/>
      <c r="AA475" s="741"/>
      <c r="AB475" s="741"/>
      <c r="AC475" s="741"/>
      <c r="AD475" s="741"/>
      <c r="AE475" s="741"/>
      <c r="AF475" s="741"/>
      <c r="AG475" s="741"/>
      <c r="AH475" s="741"/>
      <c r="AI475" s="741"/>
      <c r="AJ475" s="741"/>
      <c r="AK475" s="741"/>
      <c r="AL475" s="741"/>
      <c r="AM475" s="741"/>
      <c r="AN475" s="741"/>
      <c r="AO475" s="741"/>
      <c r="AP475" s="741"/>
      <c r="AQ475" s="741"/>
      <c r="AR475" s="741"/>
      <c r="AS475" s="741"/>
      <c r="AT475" s="741"/>
      <c r="AU475" s="741"/>
      <c r="AV475" s="741"/>
      <c r="AW475" s="743"/>
      <c r="AX475" s="741"/>
      <c r="AY475" s="741"/>
      <c r="AZ475" s="1148"/>
      <c r="BA475" s="744"/>
      <c r="BB475" s="745"/>
      <c r="BC475" s="741"/>
      <c r="BD475" s="741"/>
      <c r="BE475" s="1149"/>
      <c r="BF475" s="1149"/>
      <c r="BG475" s="1149"/>
    </row>
    <row r="476" spans="1:59" s="1147" customFormat="1" ht="64.5" hidden="1" customHeight="1" x14ac:dyDescent="0.55000000000000004">
      <c r="A476" s="735"/>
      <c r="B476" s="735"/>
      <c r="C476" s="735"/>
      <c r="D476" s="735"/>
      <c r="E476" s="735"/>
      <c r="F476" s="735"/>
      <c r="G476" s="735"/>
      <c r="H476" s="740" t="s">
        <v>2239</v>
      </c>
      <c r="I476" s="741"/>
      <c r="J476" s="741"/>
      <c r="K476" s="741"/>
      <c r="L476" s="741"/>
      <c r="M476" s="741"/>
      <c r="N476" s="741"/>
      <c r="O476" s="741"/>
      <c r="P476" s="741"/>
      <c r="Q476" s="741"/>
      <c r="R476" s="741"/>
      <c r="S476" s="741"/>
      <c r="T476" s="741"/>
      <c r="U476" s="741"/>
      <c r="V476" s="741"/>
      <c r="W476" s="742"/>
      <c r="X476" s="741"/>
      <c r="Y476" s="741"/>
      <c r="Z476" s="741"/>
      <c r="AA476" s="741"/>
      <c r="AB476" s="741"/>
      <c r="AC476" s="741"/>
      <c r="AD476" s="741"/>
      <c r="AE476" s="741"/>
      <c r="AF476" s="741"/>
      <c r="AG476" s="741"/>
      <c r="AH476" s="741"/>
      <c r="AI476" s="741"/>
      <c r="AJ476" s="741"/>
      <c r="AK476" s="741"/>
      <c r="AL476" s="741"/>
      <c r="AM476" s="741"/>
      <c r="AN476" s="741"/>
      <c r="AO476" s="741"/>
      <c r="AP476" s="741"/>
      <c r="AQ476" s="741"/>
      <c r="AR476" s="741"/>
      <c r="AS476" s="741"/>
      <c r="AT476" s="741"/>
      <c r="AU476" s="741"/>
      <c r="AV476" s="741"/>
      <c r="AW476" s="743"/>
      <c r="AX476" s="741"/>
      <c r="AY476" s="741" t="s">
        <v>2232</v>
      </c>
      <c r="AZ476" s="1148" t="s">
        <v>2240</v>
      </c>
      <c r="BA476" s="744"/>
      <c r="BB476" s="745"/>
      <c r="BC476" s="741"/>
      <c r="BD476" s="741"/>
      <c r="BE476" s="1149"/>
      <c r="BF476" s="1149"/>
      <c r="BG476" s="1149"/>
    </row>
    <row r="477" spans="1:59" s="1147" customFormat="1" ht="64.5" hidden="1" customHeight="1" x14ac:dyDescent="0.55000000000000004">
      <c r="A477" s="735"/>
      <c r="B477" s="735"/>
      <c r="C477" s="735"/>
      <c r="D477" s="735"/>
      <c r="E477" s="735"/>
      <c r="F477" s="735"/>
      <c r="G477" s="735"/>
      <c r="H477" s="740"/>
      <c r="I477" s="741"/>
      <c r="J477" s="741"/>
      <c r="K477" s="741"/>
      <c r="L477" s="741"/>
      <c r="M477" s="741"/>
      <c r="N477" s="741"/>
      <c r="O477" s="741"/>
      <c r="P477" s="741"/>
      <c r="Q477" s="741"/>
      <c r="R477" s="741"/>
      <c r="S477" s="741"/>
      <c r="T477" s="741"/>
      <c r="U477" s="741"/>
      <c r="V477" s="741"/>
      <c r="W477" s="742"/>
      <c r="X477" s="741"/>
      <c r="Y477" s="741"/>
      <c r="Z477" s="741"/>
      <c r="AA477" s="741"/>
      <c r="AB477" s="741"/>
      <c r="AC477" s="741"/>
      <c r="AD477" s="741"/>
      <c r="AE477" s="741"/>
      <c r="AF477" s="741"/>
      <c r="AG477" s="741"/>
      <c r="AH477" s="741"/>
      <c r="AI477" s="741"/>
      <c r="AJ477" s="741"/>
      <c r="AK477" s="741"/>
      <c r="AL477" s="741"/>
      <c r="AM477" s="741"/>
      <c r="AN477" s="741"/>
      <c r="AO477" s="741"/>
      <c r="AP477" s="741"/>
      <c r="AQ477" s="741"/>
      <c r="AR477" s="741"/>
      <c r="AS477" s="741"/>
      <c r="AT477" s="741"/>
      <c r="AU477" s="741"/>
      <c r="AV477" s="741"/>
      <c r="AW477" s="743"/>
      <c r="AX477" s="741"/>
      <c r="AY477" s="741"/>
      <c r="AZ477" s="1148"/>
      <c r="BA477" s="744"/>
      <c r="BB477" s="745"/>
      <c r="BC477" s="741"/>
      <c r="BD477" s="741"/>
      <c r="BE477" s="1149"/>
      <c r="BF477" s="1149"/>
      <c r="BG477" s="1149"/>
    </row>
    <row r="478" spans="1:59" s="1147" customFormat="1" ht="64.5" hidden="1" customHeight="1" x14ac:dyDescent="0.55000000000000004">
      <c r="A478" s="735"/>
      <c r="B478" s="735"/>
      <c r="C478" s="735"/>
      <c r="D478" s="735"/>
      <c r="E478" s="735"/>
      <c r="F478" s="735"/>
      <c r="G478" s="735"/>
      <c r="H478" s="740" t="s">
        <v>2241</v>
      </c>
      <c r="I478" s="741"/>
      <c r="J478" s="741"/>
      <c r="K478" s="741"/>
      <c r="L478" s="741"/>
      <c r="M478" s="741"/>
      <c r="N478" s="741"/>
      <c r="O478" s="741"/>
      <c r="P478" s="741"/>
      <c r="Q478" s="741"/>
      <c r="R478" s="741"/>
      <c r="S478" s="741"/>
      <c r="T478" s="741"/>
      <c r="U478" s="741"/>
      <c r="V478" s="741"/>
      <c r="W478" s="742"/>
      <c r="X478" s="741"/>
      <c r="Y478" s="741"/>
      <c r="Z478" s="741"/>
      <c r="AA478" s="741"/>
      <c r="AB478" s="741"/>
      <c r="AC478" s="741"/>
      <c r="AD478" s="741"/>
      <c r="AE478" s="741"/>
      <c r="AF478" s="741"/>
      <c r="AG478" s="741"/>
      <c r="AH478" s="741"/>
      <c r="AI478" s="741"/>
      <c r="AJ478" s="741"/>
      <c r="AK478" s="741"/>
      <c r="AL478" s="741"/>
      <c r="AM478" s="741"/>
      <c r="AN478" s="741"/>
      <c r="AO478" s="741"/>
      <c r="AP478" s="741"/>
      <c r="AQ478" s="741"/>
      <c r="AR478" s="741"/>
      <c r="AS478" s="741"/>
      <c r="AT478" s="741"/>
      <c r="AU478" s="741"/>
      <c r="AV478" s="741"/>
      <c r="AW478" s="743"/>
      <c r="AX478" s="741"/>
      <c r="AY478" s="741" t="s">
        <v>2232</v>
      </c>
      <c r="AZ478" s="1148" t="s">
        <v>2242</v>
      </c>
      <c r="BA478" s="744"/>
      <c r="BB478" s="745"/>
      <c r="BC478" s="741"/>
      <c r="BD478" s="741"/>
      <c r="BE478" s="1149"/>
      <c r="BF478" s="1149"/>
      <c r="BG478" s="1149"/>
    </row>
    <row r="479" spans="1:59" s="1147" customFormat="1" ht="64.5" hidden="1" customHeight="1" x14ac:dyDescent="0.55000000000000004">
      <c r="A479" s="735"/>
      <c r="B479" s="735"/>
      <c r="C479" s="735"/>
      <c r="D479" s="735"/>
      <c r="E479" s="735"/>
      <c r="F479" s="735"/>
      <c r="G479" s="735"/>
      <c r="H479" s="740"/>
      <c r="I479" s="741"/>
      <c r="J479" s="741"/>
      <c r="K479" s="741"/>
      <c r="L479" s="741"/>
      <c r="M479" s="741"/>
      <c r="N479" s="741"/>
      <c r="O479" s="741"/>
      <c r="P479" s="741"/>
      <c r="Q479" s="741"/>
      <c r="R479" s="741"/>
      <c r="S479" s="741"/>
      <c r="T479" s="741"/>
      <c r="U479" s="741"/>
      <c r="V479" s="741"/>
      <c r="W479" s="742"/>
      <c r="X479" s="741"/>
      <c r="Y479" s="741"/>
      <c r="Z479" s="741"/>
      <c r="AA479" s="741"/>
      <c r="AB479" s="741"/>
      <c r="AC479" s="741"/>
      <c r="AD479" s="741"/>
      <c r="AE479" s="741"/>
      <c r="AF479" s="741"/>
      <c r="AG479" s="741"/>
      <c r="AH479" s="741"/>
      <c r="AI479" s="741"/>
      <c r="AJ479" s="741"/>
      <c r="AK479" s="741"/>
      <c r="AL479" s="741"/>
      <c r="AM479" s="741"/>
      <c r="AN479" s="741"/>
      <c r="AO479" s="741"/>
      <c r="AP479" s="741"/>
      <c r="AQ479" s="741"/>
      <c r="AR479" s="741"/>
      <c r="AS479" s="741"/>
      <c r="AT479" s="741"/>
      <c r="AU479" s="741"/>
      <c r="AV479" s="741"/>
      <c r="AW479" s="743"/>
      <c r="AX479" s="741"/>
      <c r="AY479" s="741"/>
      <c r="AZ479" s="1148"/>
      <c r="BA479" s="744"/>
      <c r="BB479" s="745"/>
      <c r="BC479" s="741"/>
      <c r="BD479" s="741"/>
      <c r="BE479" s="1149"/>
      <c r="BF479" s="1149"/>
      <c r="BG479" s="1149"/>
    </row>
    <row r="480" spans="1:59" s="1147" customFormat="1" ht="64.5" hidden="1" customHeight="1" x14ac:dyDescent="0.55000000000000004">
      <c r="A480" s="735"/>
      <c r="B480" s="1150"/>
      <c r="C480" s="735"/>
      <c r="D480" s="1150"/>
      <c r="E480" s="1150"/>
      <c r="F480" s="1150"/>
      <c r="G480" s="735"/>
      <c r="H480" s="740" t="s">
        <v>2243</v>
      </c>
      <c r="I480" s="741"/>
      <c r="J480" s="741"/>
      <c r="K480" s="741"/>
      <c r="L480" s="741"/>
      <c r="M480" s="741"/>
      <c r="N480" s="741"/>
      <c r="O480" s="741"/>
      <c r="P480" s="741"/>
      <c r="Q480" s="741"/>
      <c r="R480" s="741"/>
      <c r="S480" s="741"/>
      <c r="T480" s="741"/>
      <c r="U480" s="741"/>
      <c r="V480" s="741"/>
      <c r="W480" s="741"/>
      <c r="X480" s="741"/>
      <c r="Y480" s="741"/>
      <c r="Z480" s="741"/>
      <c r="AA480" s="741"/>
      <c r="AB480" s="741"/>
      <c r="AC480" s="741"/>
      <c r="AD480" s="741"/>
      <c r="AE480" s="741"/>
      <c r="AF480" s="741"/>
      <c r="AG480" s="741"/>
      <c r="AH480" s="741"/>
      <c r="AI480" s="741"/>
      <c r="AJ480" s="741"/>
      <c r="AK480" s="741"/>
      <c r="AL480" s="741"/>
      <c r="AM480" s="741"/>
      <c r="AN480" s="741"/>
      <c r="AO480" s="741"/>
      <c r="AP480" s="741"/>
      <c r="AQ480" s="741"/>
      <c r="AR480" s="741"/>
      <c r="AS480" s="741"/>
      <c r="AT480" s="741"/>
      <c r="AU480" s="741"/>
      <c r="AV480" s="741"/>
      <c r="AW480" s="743"/>
      <c r="AX480" s="741"/>
      <c r="AY480" s="741" t="s">
        <v>2232</v>
      </c>
      <c r="AZ480" s="1148" t="s">
        <v>2244</v>
      </c>
      <c r="BA480" s="744"/>
      <c r="BB480" s="745"/>
      <c r="BC480" s="741"/>
      <c r="BD480" s="741"/>
      <c r="BE480" s="1149"/>
      <c r="BF480" s="1149"/>
      <c r="BG480" s="1149"/>
    </row>
    <row r="481" spans="1:59" s="1147" customFormat="1" ht="64.5" hidden="1" customHeight="1" x14ac:dyDescent="0.55000000000000004">
      <c r="A481" s="735"/>
      <c r="B481" s="735"/>
      <c r="C481" s="735"/>
      <c r="D481" s="735"/>
      <c r="E481" s="735"/>
      <c r="F481" s="735"/>
      <c r="G481" s="735"/>
      <c r="H481" s="740"/>
      <c r="I481" s="741"/>
      <c r="J481" s="741"/>
      <c r="K481" s="741"/>
      <c r="L481" s="741"/>
      <c r="M481" s="741"/>
      <c r="N481" s="741"/>
      <c r="O481" s="741"/>
      <c r="P481" s="741"/>
      <c r="Q481" s="741"/>
      <c r="R481" s="741"/>
      <c r="S481" s="741"/>
      <c r="T481" s="741"/>
      <c r="U481" s="741"/>
      <c r="V481" s="741"/>
      <c r="W481" s="742"/>
      <c r="X481" s="741"/>
      <c r="Y481" s="741"/>
      <c r="Z481" s="741"/>
      <c r="AA481" s="741"/>
      <c r="AB481" s="741"/>
      <c r="AC481" s="741"/>
      <c r="AD481" s="741"/>
      <c r="AE481" s="741"/>
      <c r="AF481" s="741"/>
      <c r="AG481" s="741"/>
      <c r="AH481" s="741"/>
      <c r="AI481" s="741"/>
      <c r="AJ481" s="741"/>
      <c r="AK481" s="741"/>
      <c r="AL481" s="741"/>
      <c r="AM481" s="741"/>
      <c r="AN481" s="741"/>
      <c r="AO481" s="741"/>
      <c r="AP481" s="741"/>
      <c r="AQ481" s="741"/>
      <c r="AR481" s="741"/>
      <c r="AS481" s="741"/>
      <c r="AT481" s="741"/>
      <c r="AU481" s="741"/>
      <c r="AV481" s="741"/>
      <c r="AW481" s="743"/>
      <c r="AX481" s="741"/>
      <c r="AY481" s="741"/>
      <c r="AZ481" s="1148"/>
      <c r="BA481" s="744"/>
      <c r="BB481" s="745"/>
      <c r="BC481" s="741"/>
      <c r="BD481" s="741"/>
      <c r="BE481" s="1149"/>
      <c r="BF481" s="1149"/>
      <c r="BG481" s="1149"/>
    </row>
    <row r="482" spans="1:59" s="1147" customFormat="1" ht="64.5" hidden="1" customHeight="1" x14ac:dyDescent="0.55000000000000004">
      <c r="A482" s="735"/>
      <c r="B482" s="1150"/>
      <c r="C482" s="735"/>
      <c r="D482" s="1150"/>
      <c r="E482" s="1150"/>
      <c r="F482" s="1150"/>
      <c r="G482" s="735"/>
      <c r="H482" s="740" t="s">
        <v>2147</v>
      </c>
      <c r="I482" s="741"/>
      <c r="J482" s="741"/>
      <c r="K482" s="741"/>
      <c r="L482" s="741"/>
      <c r="M482" s="741"/>
      <c r="N482" s="741"/>
      <c r="O482" s="741"/>
      <c r="P482" s="741"/>
      <c r="Q482" s="741"/>
      <c r="R482" s="741"/>
      <c r="S482" s="741"/>
      <c r="T482" s="741"/>
      <c r="U482" s="741"/>
      <c r="V482" s="741"/>
      <c r="W482" s="741"/>
      <c r="X482" s="741"/>
      <c r="Y482" s="741"/>
      <c r="Z482" s="741"/>
      <c r="AA482" s="741"/>
      <c r="AB482" s="741"/>
      <c r="AC482" s="741"/>
      <c r="AD482" s="741"/>
      <c r="AE482" s="741"/>
      <c r="AF482" s="741"/>
      <c r="AG482" s="741"/>
      <c r="AH482" s="741"/>
      <c r="AI482" s="741"/>
      <c r="AJ482" s="741"/>
      <c r="AK482" s="741"/>
      <c r="AL482" s="741"/>
      <c r="AM482" s="741"/>
      <c r="AN482" s="741"/>
      <c r="AO482" s="741"/>
      <c r="AP482" s="741"/>
      <c r="AQ482" s="741"/>
      <c r="AR482" s="741"/>
      <c r="AS482" s="741"/>
      <c r="AT482" s="741"/>
      <c r="AU482" s="741"/>
      <c r="AV482" s="741"/>
      <c r="AW482" s="743"/>
      <c r="AX482" s="741"/>
      <c r="AY482" s="741" t="s">
        <v>2232</v>
      </c>
      <c r="AZ482" s="1148" t="s">
        <v>2245</v>
      </c>
      <c r="BA482" s="744"/>
      <c r="BB482" s="745"/>
      <c r="BC482" s="741"/>
      <c r="BD482" s="741"/>
      <c r="BE482" s="1149"/>
      <c r="BF482" s="1149"/>
      <c r="BG482" s="1149"/>
    </row>
    <row r="483" spans="1:59" s="1147" customFormat="1" ht="64.5" hidden="1" customHeight="1" x14ac:dyDescent="0.55000000000000004">
      <c r="A483" s="735"/>
      <c r="B483" s="735"/>
      <c r="C483" s="735"/>
      <c r="D483" s="735"/>
      <c r="E483" s="735"/>
      <c r="F483" s="735"/>
      <c r="G483" s="735"/>
      <c r="H483" s="740"/>
      <c r="I483" s="741"/>
      <c r="J483" s="741"/>
      <c r="K483" s="741"/>
      <c r="L483" s="741"/>
      <c r="M483" s="741"/>
      <c r="N483" s="741"/>
      <c r="O483" s="741"/>
      <c r="P483" s="741"/>
      <c r="Q483" s="741"/>
      <c r="R483" s="741"/>
      <c r="S483" s="741"/>
      <c r="T483" s="741"/>
      <c r="U483" s="741"/>
      <c r="V483" s="741"/>
      <c r="W483" s="742"/>
      <c r="X483" s="741"/>
      <c r="Y483" s="741"/>
      <c r="Z483" s="741"/>
      <c r="AA483" s="741"/>
      <c r="AB483" s="741"/>
      <c r="AC483" s="741"/>
      <c r="AD483" s="741"/>
      <c r="AE483" s="741"/>
      <c r="AF483" s="741"/>
      <c r="AG483" s="741"/>
      <c r="AH483" s="741"/>
      <c r="AI483" s="741"/>
      <c r="AJ483" s="741"/>
      <c r="AK483" s="741"/>
      <c r="AL483" s="741"/>
      <c r="AM483" s="741"/>
      <c r="AN483" s="741"/>
      <c r="AO483" s="741"/>
      <c r="AP483" s="741"/>
      <c r="AQ483" s="741"/>
      <c r="AR483" s="741"/>
      <c r="AS483" s="741"/>
      <c r="AT483" s="741"/>
      <c r="AU483" s="741"/>
      <c r="AV483" s="741"/>
      <c r="AW483" s="743"/>
      <c r="AX483" s="741"/>
      <c r="AY483" s="741"/>
      <c r="AZ483" s="1148"/>
      <c r="BA483" s="744"/>
      <c r="BB483" s="745"/>
      <c r="BC483" s="741"/>
      <c r="BD483" s="741"/>
      <c r="BE483" s="1149"/>
      <c r="BF483" s="1149"/>
      <c r="BG483" s="1149"/>
    </row>
    <row r="484" spans="1:59" s="1147" customFormat="1" ht="64.5" hidden="1" customHeight="1" x14ac:dyDescent="0.55000000000000004">
      <c r="A484" s="735"/>
      <c r="B484" s="1150"/>
      <c r="C484" s="735"/>
      <c r="D484" s="1150"/>
      <c r="E484" s="1150"/>
      <c r="F484" s="1150"/>
      <c r="G484" s="735"/>
      <c r="H484" s="740" t="s">
        <v>2147</v>
      </c>
      <c r="I484" s="741"/>
      <c r="J484" s="741"/>
      <c r="K484" s="741"/>
      <c r="L484" s="741"/>
      <c r="M484" s="741"/>
      <c r="N484" s="741"/>
      <c r="O484" s="741"/>
      <c r="P484" s="741"/>
      <c r="Q484" s="741"/>
      <c r="R484" s="741"/>
      <c r="S484" s="741"/>
      <c r="T484" s="741"/>
      <c r="U484" s="741"/>
      <c r="V484" s="741"/>
      <c r="W484" s="741"/>
      <c r="X484" s="741"/>
      <c r="Y484" s="741"/>
      <c r="Z484" s="741"/>
      <c r="AA484" s="741"/>
      <c r="AB484" s="741"/>
      <c r="AC484" s="741"/>
      <c r="AD484" s="741"/>
      <c r="AE484" s="741"/>
      <c r="AF484" s="741"/>
      <c r="AG484" s="741"/>
      <c r="AH484" s="741"/>
      <c r="AI484" s="741"/>
      <c r="AJ484" s="741"/>
      <c r="AK484" s="741"/>
      <c r="AL484" s="741"/>
      <c r="AM484" s="741"/>
      <c r="AN484" s="741"/>
      <c r="AO484" s="741"/>
      <c r="AP484" s="741"/>
      <c r="AQ484" s="741"/>
      <c r="AR484" s="741"/>
      <c r="AS484" s="741"/>
      <c r="AT484" s="741"/>
      <c r="AU484" s="741"/>
      <c r="AV484" s="741"/>
      <c r="AW484" s="743"/>
      <c r="AX484" s="741"/>
      <c r="AY484" s="741" t="s">
        <v>2232</v>
      </c>
      <c r="AZ484" s="1148" t="s">
        <v>2246</v>
      </c>
      <c r="BA484" s="744"/>
      <c r="BB484" s="745"/>
      <c r="BC484" s="741"/>
      <c r="BD484" s="741"/>
      <c r="BE484" s="1149"/>
      <c r="BF484" s="1149"/>
      <c r="BG484" s="1149"/>
    </row>
    <row r="485" spans="1:59" s="1147" customFormat="1" ht="64.5" hidden="1" customHeight="1" x14ac:dyDescent="0.55000000000000004">
      <c r="A485" s="735"/>
      <c r="B485" s="735"/>
      <c r="C485" s="735"/>
      <c r="D485" s="735"/>
      <c r="E485" s="735"/>
      <c r="F485" s="735"/>
      <c r="G485" s="735"/>
      <c r="H485" s="740"/>
      <c r="I485" s="741"/>
      <c r="J485" s="741"/>
      <c r="K485" s="741"/>
      <c r="L485" s="741"/>
      <c r="M485" s="741"/>
      <c r="N485" s="741"/>
      <c r="O485" s="741"/>
      <c r="P485" s="741"/>
      <c r="Q485" s="741"/>
      <c r="R485" s="741"/>
      <c r="S485" s="741"/>
      <c r="T485" s="741"/>
      <c r="U485" s="741"/>
      <c r="V485" s="741"/>
      <c r="W485" s="742"/>
      <c r="X485" s="741"/>
      <c r="Y485" s="741"/>
      <c r="Z485" s="741"/>
      <c r="AA485" s="741"/>
      <c r="AB485" s="741"/>
      <c r="AC485" s="741"/>
      <c r="AD485" s="741"/>
      <c r="AE485" s="741"/>
      <c r="AF485" s="741"/>
      <c r="AG485" s="741"/>
      <c r="AH485" s="741"/>
      <c r="AI485" s="741"/>
      <c r="AJ485" s="741"/>
      <c r="AK485" s="741"/>
      <c r="AL485" s="741"/>
      <c r="AM485" s="741"/>
      <c r="AN485" s="741"/>
      <c r="AO485" s="741"/>
      <c r="AP485" s="741"/>
      <c r="AQ485" s="741"/>
      <c r="AR485" s="741"/>
      <c r="AS485" s="741"/>
      <c r="AT485" s="741"/>
      <c r="AU485" s="741"/>
      <c r="AV485" s="741"/>
      <c r="AW485" s="743"/>
      <c r="AX485" s="741"/>
      <c r="AY485" s="741"/>
      <c r="AZ485" s="1148"/>
      <c r="BA485" s="744"/>
      <c r="BB485" s="745"/>
      <c r="BC485" s="741"/>
      <c r="BD485" s="741"/>
      <c r="BE485" s="1149"/>
      <c r="BF485" s="1149"/>
      <c r="BG485" s="1149"/>
    </row>
    <row r="486" spans="1:59" s="1147" customFormat="1" ht="64.5" hidden="1" customHeight="1" x14ac:dyDescent="0.55000000000000004">
      <c r="A486" s="735"/>
      <c r="B486" s="1150"/>
      <c r="C486" s="735"/>
      <c r="D486" s="1150"/>
      <c r="E486" s="1150"/>
      <c r="F486" s="1150"/>
      <c r="G486" s="735"/>
      <c r="H486" s="740" t="s">
        <v>2247</v>
      </c>
      <c r="I486" s="741"/>
      <c r="J486" s="741"/>
      <c r="K486" s="741"/>
      <c r="L486" s="741"/>
      <c r="M486" s="741"/>
      <c r="N486" s="741"/>
      <c r="O486" s="741"/>
      <c r="P486" s="741"/>
      <c r="Q486" s="741"/>
      <c r="R486" s="741"/>
      <c r="S486" s="741"/>
      <c r="T486" s="741"/>
      <c r="U486" s="741"/>
      <c r="V486" s="741"/>
      <c r="W486" s="741"/>
      <c r="X486" s="741"/>
      <c r="Y486" s="741"/>
      <c r="Z486" s="741"/>
      <c r="AA486" s="741"/>
      <c r="AB486" s="741"/>
      <c r="AC486" s="741"/>
      <c r="AD486" s="741"/>
      <c r="AE486" s="741"/>
      <c r="AF486" s="741"/>
      <c r="AG486" s="741"/>
      <c r="AH486" s="741"/>
      <c r="AI486" s="741"/>
      <c r="AJ486" s="741"/>
      <c r="AK486" s="741"/>
      <c r="AL486" s="741"/>
      <c r="AM486" s="741"/>
      <c r="AN486" s="741"/>
      <c r="AO486" s="741"/>
      <c r="AP486" s="741"/>
      <c r="AQ486" s="741"/>
      <c r="AR486" s="741"/>
      <c r="AS486" s="741"/>
      <c r="AT486" s="741"/>
      <c r="AU486" s="741"/>
      <c r="AV486" s="741"/>
      <c r="AW486" s="743"/>
      <c r="AX486" s="741"/>
      <c r="AY486" s="741" t="s">
        <v>2232</v>
      </c>
      <c r="AZ486" s="1148" t="s">
        <v>2248</v>
      </c>
      <c r="BA486" s="744"/>
      <c r="BB486" s="745"/>
      <c r="BC486" s="741"/>
      <c r="BD486" s="741"/>
      <c r="BE486" s="1149"/>
      <c r="BF486" s="1149"/>
      <c r="BG486" s="1149"/>
    </row>
    <row r="487" spans="1:59" s="1147" customFormat="1" ht="64.5" hidden="1" customHeight="1" x14ac:dyDescent="0.55000000000000004">
      <c r="A487" s="735"/>
      <c r="B487" s="1150"/>
      <c r="C487" s="735"/>
      <c r="D487" s="1150"/>
      <c r="E487" s="1150"/>
      <c r="F487" s="1150"/>
      <c r="G487" s="735"/>
      <c r="H487" s="740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1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1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3"/>
      <c r="AX487" s="741"/>
      <c r="AY487" s="741"/>
      <c r="AZ487" s="1148"/>
      <c r="BA487" s="744"/>
      <c r="BB487" s="745"/>
      <c r="BC487" s="741"/>
      <c r="BD487" s="741"/>
      <c r="BE487" s="1149"/>
      <c r="BF487" s="1149"/>
      <c r="BG487" s="1149"/>
    </row>
    <row r="488" spans="1:59" s="1147" customFormat="1" ht="64.5" hidden="1" customHeight="1" x14ac:dyDescent="0.55000000000000004">
      <c r="A488" s="735"/>
      <c r="B488" s="1150"/>
      <c r="C488" s="735"/>
      <c r="D488" s="1150"/>
      <c r="E488" s="1150"/>
      <c r="F488" s="1150"/>
      <c r="G488" s="735"/>
      <c r="H488" s="740" t="s">
        <v>2249</v>
      </c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1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1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3"/>
      <c r="AX488" s="741"/>
      <c r="AY488" s="741" t="s">
        <v>2232</v>
      </c>
      <c r="AZ488" s="1148" t="s">
        <v>2250</v>
      </c>
      <c r="BA488" s="744"/>
      <c r="BB488" s="745"/>
      <c r="BC488" s="741"/>
      <c r="BD488" s="741"/>
      <c r="BE488" s="1149"/>
      <c r="BF488" s="1149"/>
      <c r="BG488" s="1149"/>
    </row>
    <row r="489" spans="1:59" s="1147" customFormat="1" ht="64.5" hidden="1" customHeight="1" x14ac:dyDescent="0.5">
      <c r="A489" s="735"/>
      <c r="B489" s="1150"/>
      <c r="C489" s="735"/>
      <c r="D489" s="1150"/>
      <c r="E489" s="1150"/>
      <c r="F489" s="1150"/>
      <c r="G489" s="735"/>
      <c r="H489" s="741"/>
      <c r="I489" s="741"/>
      <c r="J489" s="741"/>
      <c r="K489" s="741"/>
      <c r="L489" s="741"/>
      <c r="M489" s="741"/>
      <c r="N489" s="741"/>
      <c r="O489" s="741"/>
      <c r="P489" s="741"/>
      <c r="Q489" s="741"/>
      <c r="R489" s="741"/>
      <c r="S489" s="741"/>
      <c r="T489" s="741"/>
      <c r="U489" s="741"/>
      <c r="V489" s="741"/>
      <c r="W489" s="741"/>
      <c r="X489" s="741"/>
      <c r="Y489" s="741"/>
      <c r="Z489" s="741"/>
      <c r="AA489" s="741"/>
      <c r="AB489" s="741"/>
      <c r="AC489" s="741"/>
      <c r="AD489" s="741"/>
      <c r="AE489" s="741"/>
      <c r="AF489" s="741"/>
      <c r="AG489" s="741"/>
      <c r="AH489" s="741"/>
      <c r="AI489" s="741"/>
      <c r="AJ489" s="741"/>
      <c r="AK489" s="741"/>
      <c r="AL489" s="741"/>
      <c r="AM489" s="741"/>
      <c r="AN489" s="741"/>
      <c r="AO489" s="741"/>
      <c r="AP489" s="741"/>
      <c r="AQ489" s="741"/>
      <c r="AR489" s="741"/>
      <c r="AS489" s="741"/>
      <c r="AT489" s="741"/>
      <c r="AU489" s="741"/>
      <c r="AV489" s="741"/>
      <c r="AW489" s="743"/>
      <c r="AX489" s="741"/>
      <c r="AY489" s="741"/>
      <c r="AZ489" s="1151"/>
      <c r="BA489" s="744"/>
      <c r="BB489" s="745"/>
      <c r="BC489" s="741"/>
      <c r="BD489" s="741"/>
      <c r="BE489" s="1149"/>
      <c r="BF489" s="1149"/>
      <c r="BG489" s="1149"/>
    </row>
    <row r="490" spans="1:59" s="1147" customFormat="1" ht="74.25" customHeight="1" x14ac:dyDescent="0.5">
      <c r="A490" s="735"/>
      <c r="B490" s="1150"/>
      <c r="C490" s="735"/>
      <c r="D490" s="1150"/>
      <c r="E490" s="1150"/>
      <c r="F490" s="1150"/>
      <c r="G490" s="735"/>
      <c r="H490" s="741"/>
      <c r="I490" s="741"/>
      <c r="J490" s="741"/>
      <c r="K490" s="741"/>
      <c r="L490" s="741"/>
      <c r="M490" s="741"/>
      <c r="N490" s="741"/>
      <c r="O490" s="741"/>
      <c r="P490" s="741"/>
      <c r="Q490" s="741"/>
      <c r="R490" s="741"/>
      <c r="S490" s="741"/>
      <c r="T490" s="741"/>
      <c r="U490" s="741"/>
      <c r="V490" s="741"/>
      <c r="W490" s="741"/>
      <c r="X490" s="741"/>
      <c r="Y490" s="741"/>
      <c r="Z490" s="741"/>
      <c r="AA490" s="741"/>
      <c r="AB490" s="741"/>
      <c r="AC490" s="741"/>
      <c r="AD490" s="741"/>
      <c r="AE490" s="741"/>
      <c r="AF490" s="741"/>
      <c r="AG490" s="741"/>
      <c r="AH490" s="741"/>
      <c r="AI490" s="741"/>
      <c r="AJ490" s="741"/>
      <c r="AK490" s="741"/>
      <c r="AL490" s="741"/>
      <c r="AM490" s="741"/>
      <c r="AN490" s="741"/>
      <c r="AO490" s="741"/>
      <c r="AP490" s="741"/>
      <c r="AQ490" s="741"/>
      <c r="AR490" s="741"/>
      <c r="AS490" s="741"/>
      <c r="AT490" s="741"/>
      <c r="AU490" s="741"/>
      <c r="AV490" s="741"/>
      <c r="AW490" s="743"/>
      <c r="AX490" s="741"/>
      <c r="AY490" s="741"/>
      <c r="AZ490" s="1151"/>
      <c r="BA490" s="744"/>
      <c r="BB490" s="745"/>
      <c r="BC490" s="741"/>
      <c r="BD490" s="741"/>
      <c r="BE490" s="1149"/>
      <c r="BF490" s="1149"/>
      <c r="BG490" s="1149"/>
    </row>
    <row r="491" spans="1:59" s="1147" customFormat="1" ht="66.75" customHeight="1" x14ac:dyDescent="0.5">
      <c r="A491" s="735"/>
      <c r="B491" s="1150"/>
      <c r="C491" s="735"/>
      <c r="D491" s="1150"/>
      <c r="E491" s="1150"/>
      <c r="F491" s="1150"/>
      <c r="G491" s="735"/>
      <c r="H491" s="741"/>
      <c r="I491" s="741"/>
      <c r="J491" s="741"/>
      <c r="K491" s="741"/>
      <c r="L491" s="741"/>
      <c r="M491" s="741"/>
      <c r="N491" s="741"/>
      <c r="O491" s="741"/>
      <c r="P491" s="741"/>
      <c r="Q491" s="741"/>
      <c r="R491" s="741"/>
      <c r="S491" s="741"/>
      <c r="T491" s="741"/>
      <c r="U491" s="741"/>
      <c r="V491" s="741"/>
      <c r="W491" s="741"/>
      <c r="X491" s="741"/>
      <c r="Y491" s="741"/>
      <c r="Z491" s="741"/>
      <c r="AA491" s="741"/>
      <c r="AB491" s="741"/>
      <c r="AC491" s="741"/>
      <c r="AD491" s="741"/>
      <c r="AE491" s="741"/>
      <c r="AF491" s="741"/>
      <c r="AG491" s="741"/>
      <c r="AH491" s="741"/>
      <c r="AI491" s="741"/>
      <c r="AJ491" s="741"/>
      <c r="AK491" s="741"/>
      <c r="AL491" s="741"/>
      <c r="AM491" s="741"/>
      <c r="AN491" s="741"/>
      <c r="AO491" s="741"/>
      <c r="AP491" s="741"/>
      <c r="AQ491" s="741"/>
      <c r="AR491" s="741"/>
      <c r="AS491" s="741"/>
      <c r="AT491" s="741"/>
      <c r="AU491" s="741"/>
      <c r="AV491" s="741"/>
      <c r="AW491" s="743"/>
      <c r="AX491" s="741"/>
      <c r="AY491" s="741"/>
      <c r="AZ491" s="1151"/>
      <c r="BA491" s="744"/>
      <c r="BB491" s="745"/>
      <c r="BC491" s="741"/>
      <c r="BD491" s="741"/>
      <c r="BE491" s="1149"/>
      <c r="BF491" s="1149"/>
      <c r="BG491" s="1149"/>
    </row>
    <row r="492" spans="1:59" s="1147" customFormat="1" ht="66.75" customHeight="1" x14ac:dyDescent="0.5">
      <c r="A492" s="735"/>
      <c r="B492" s="735"/>
      <c r="C492" s="735"/>
      <c r="D492" s="735"/>
      <c r="E492" s="735"/>
      <c r="F492" s="735"/>
      <c r="G492" s="735"/>
      <c r="H492" s="741"/>
      <c r="I492" s="741"/>
      <c r="J492" s="741"/>
      <c r="K492" s="741"/>
      <c r="L492" s="741"/>
      <c r="M492" s="741"/>
      <c r="N492" s="741"/>
      <c r="O492" s="741"/>
      <c r="P492" s="741"/>
      <c r="Q492" s="741"/>
      <c r="R492" s="741"/>
      <c r="S492" s="741"/>
      <c r="T492" s="741"/>
      <c r="U492" s="741"/>
      <c r="V492" s="741"/>
      <c r="W492" s="741"/>
      <c r="X492" s="741"/>
      <c r="Y492" s="741"/>
      <c r="Z492" s="741"/>
      <c r="AA492" s="741"/>
      <c r="AB492" s="741"/>
      <c r="AC492" s="741"/>
      <c r="AD492" s="741"/>
      <c r="AE492" s="741"/>
      <c r="AF492" s="741"/>
      <c r="AG492" s="741"/>
      <c r="AH492" s="741"/>
      <c r="AI492" s="741"/>
      <c r="AJ492" s="741"/>
      <c r="AK492" s="741"/>
      <c r="AL492" s="741"/>
      <c r="AM492" s="741"/>
      <c r="AN492" s="741"/>
      <c r="AO492" s="741"/>
      <c r="AP492" s="741"/>
      <c r="AQ492" s="741"/>
      <c r="AR492" s="741"/>
      <c r="AS492" s="741"/>
      <c r="AT492" s="741"/>
      <c r="AU492" s="741"/>
      <c r="AV492" s="741"/>
      <c r="AW492" s="743"/>
      <c r="AX492" s="741"/>
      <c r="AY492" s="741"/>
      <c r="AZ492" s="1151"/>
      <c r="BA492" s="744"/>
      <c r="BB492" s="745"/>
      <c r="BC492" s="741"/>
      <c r="BD492" s="741"/>
      <c r="BE492" s="1149"/>
      <c r="BF492" s="1149"/>
      <c r="BG492" s="1149"/>
    </row>
    <row r="493" spans="1:59" s="1153" customFormat="1" ht="66.75" customHeight="1" x14ac:dyDescent="0.5">
      <c r="A493" s="735"/>
      <c r="B493" s="735"/>
      <c r="C493" s="735"/>
      <c r="D493" s="735"/>
      <c r="E493" s="735"/>
      <c r="F493" s="735"/>
      <c r="G493" s="735"/>
      <c r="H493" s="741"/>
      <c r="I493" s="741"/>
      <c r="J493" s="741"/>
      <c r="K493" s="741"/>
      <c r="L493" s="741"/>
      <c r="M493" s="741"/>
      <c r="N493" s="741"/>
      <c r="O493" s="741"/>
      <c r="P493" s="741"/>
      <c r="Q493" s="741"/>
      <c r="R493" s="741"/>
      <c r="S493" s="741"/>
      <c r="T493" s="741"/>
      <c r="U493" s="741"/>
      <c r="V493" s="741"/>
      <c r="W493" s="741"/>
      <c r="X493" s="741"/>
      <c r="Y493" s="741"/>
      <c r="Z493" s="741"/>
      <c r="AA493" s="741"/>
      <c r="AB493" s="741"/>
      <c r="AC493" s="741"/>
      <c r="AD493" s="741"/>
      <c r="AE493" s="741"/>
      <c r="AF493" s="741"/>
      <c r="AG493" s="741"/>
      <c r="AH493" s="741"/>
      <c r="AI493" s="741"/>
      <c r="AJ493" s="741"/>
      <c r="AK493" s="741"/>
      <c r="AL493" s="741"/>
      <c r="AM493" s="741"/>
      <c r="AN493" s="741"/>
      <c r="AO493" s="741"/>
      <c r="AP493" s="741"/>
      <c r="AQ493" s="741"/>
      <c r="AR493" s="741"/>
      <c r="AS493" s="741"/>
      <c r="AT493" s="741"/>
      <c r="AU493" s="741"/>
      <c r="AV493" s="741"/>
      <c r="AW493" s="743"/>
      <c r="AX493" s="741"/>
      <c r="AY493" s="741"/>
      <c r="AZ493" s="1151"/>
      <c r="BA493" s="744"/>
      <c r="BB493" s="746"/>
      <c r="BC493" s="747"/>
      <c r="BD493" s="747"/>
      <c r="BE493" s="1152"/>
      <c r="BF493" s="1152"/>
      <c r="BG493" s="1152"/>
    </row>
    <row r="494" spans="1:59" s="1153" customFormat="1" ht="66.75" customHeight="1" x14ac:dyDescent="0.5">
      <c r="A494" s="748"/>
      <c r="H494" s="747"/>
      <c r="I494" s="1152"/>
      <c r="J494" s="1152"/>
      <c r="K494" s="1152"/>
      <c r="L494" s="1152"/>
      <c r="M494" s="1152"/>
      <c r="N494" s="1152"/>
      <c r="O494" s="1152"/>
      <c r="P494" s="1152"/>
      <c r="Q494" s="1152"/>
      <c r="R494" s="1152"/>
      <c r="S494" s="1152"/>
      <c r="T494" s="1152"/>
      <c r="U494" s="1152"/>
      <c r="V494" s="1152"/>
      <c r="W494" s="1152"/>
      <c r="X494" s="1152"/>
      <c r="Y494" s="1152"/>
      <c r="Z494" s="1152"/>
      <c r="AA494" s="1152"/>
      <c r="AB494" s="1152"/>
      <c r="AC494" s="1152"/>
      <c r="AD494" s="1152"/>
      <c r="AE494" s="1152"/>
      <c r="AF494" s="1152"/>
      <c r="AG494" s="1152"/>
      <c r="AH494" s="1152"/>
      <c r="AI494" s="1152"/>
      <c r="AJ494" s="1152"/>
      <c r="AK494" s="1152"/>
      <c r="AL494" s="1152"/>
      <c r="AM494" s="1152"/>
      <c r="AN494" s="1152"/>
      <c r="AO494" s="1152"/>
      <c r="AP494" s="1152"/>
      <c r="AQ494" s="1152"/>
      <c r="AR494" s="1152"/>
      <c r="AS494" s="1152"/>
      <c r="AT494" s="1152"/>
      <c r="AU494" s="747"/>
      <c r="AV494" s="747"/>
      <c r="AW494" s="749"/>
      <c r="AX494" s="747"/>
      <c r="AY494" s="747"/>
      <c r="AZ494" s="1154"/>
      <c r="BA494" s="750"/>
      <c r="BB494" s="751"/>
      <c r="BC494" s="748"/>
      <c r="BD494" s="748"/>
    </row>
    <row r="495" spans="1:59" s="1153" customFormat="1" ht="66.75" customHeight="1" x14ac:dyDescent="0.25">
      <c r="A495" s="748"/>
      <c r="B495" s="748"/>
      <c r="C495" s="748"/>
      <c r="D495" s="748"/>
      <c r="E495" s="748"/>
      <c r="F495" s="748"/>
      <c r="G495" s="748"/>
      <c r="H495" s="748"/>
      <c r="I495" s="748"/>
      <c r="J495" s="748"/>
      <c r="K495" s="748"/>
      <c r="L495" s="748"/>
      <c r="M495" s="748"/>
      <c r="N495" s="748"/>
      <c r="O495" s="748"/>
      <c r="P495" s="748"/>
      <c r="Q495" s="748"/>
      <c r="R495" s="748"/>
      <c r="S495" s="748"/>
      <c r="T495" s="748"/>
      <c r="U495" s="748"/>
      <c r="V495" s="748"/>
      <c r="W495" s="748"/>
      <c r="X495" s="748"/>
      <c r="Y495" s="748"/>
      <c r="Z495" s="748"/>
      <c r="AA495" s="748"/>
      <c r="AB495" s="748"/>
      <c r="AC495" s="748"/>
      <c r="AD495" s="748"/>
      <c r="AE495" s="748"/>
      <c r="AF495" s="748"/>
      <c r="AG495" s="748"/>
      <c r="AH495" s="748"/>
      <c r="AI495" s="748"/>
      <c r="AJ495" s="748"/>
      <c r="AK495" s="748"/>
      <c r="AL495" s="748"/>
      <c r="AM495" s="748"/>
      <c r="AN495" s="748"/>
      <c r="AO495" s="748"/>
      <c r="AP495" s="748"/>
      <c r="AQ495" s="748"/>
      <c r="AR495" s="748"/>
      <c r="AS495" s="748"/>
      <c r="AT495" s="748"/>
      <c r="AU495" s="748"/>
      <c r="AV495" s="748"/>
      <c r="AW495" s="752"/>
      <c r="AX495" s="748"/>
      <c r="AY495" s="748"/>
      <c r="AZ495" s="1155"/>
      <c r="BA495" s="753"/>
      <c r="BB495" s="751"/>
      <c r="BC495" s="748"/>
      <c r="BD495" s="748"/>
    </row>
    <row r="496" spans="1:59" s="1156" customFormat="1" ht="66.75" customHeight="1" x14ac:dyDescent="0.25">
      <c r="A496" s="748"/>
      <c r="B496" s="1153"/>
      <c r="C496" s="1153"/>
      <c r="D496" s="1153"/>
      <c r="E496" s="1153"/>
      <c r="F496" s="1153"/>
      <c r="G496" s="1153"/>
      <c r="H496" s="748"/>
      <c r="I496" s="1153"/>
      <c r="J496" s="1153"/>
      <c r="K496" s="1153"/>
      <c r="L496" s="1153"/>
      <c r="M496" s="1153"/>
      <c r="N496" s="1153"/>
      <c r="O496" s="1153"/>
      <c r="P496" s="1153"/>
      <c r="Q496" s="1153"/>
      <c r="R496" s="1153"/>
      <c r="S496" s="1153"/>
      <c r="T496" s="1153"/>
      <c r="U496" s="1153"/>
      <c r="V496" s="1153"/>
      <c r="W496" s="1153"/>
      <c r="X496" s="1153"/>
      <c r="Y496" s="1153"/>
      <c r="Z496" s="1153"/>
      <c r="AA496" s="1153"/>
      <c r="AB496" s="1153"/>
      <c r="AC496" s="1153"/>
      <c r="AD496" s="1153"/>
      <c r="AE496" s="1153"/>
      <c r="AF496" s="1153"/>
      <c r="AG496" s="1153"/>
      <c r="AH496" s="1153"/>
      <c r="AI496" s="1153"/>
      <c r="AJ496" s="1153"/>
      <c r="AK496" s="1153"/>
      <c r="AL496" s="1153"/>
      <c r="AM496" s="1153"/>
      <c r="AN496" s="1153"/>
      <c r="AO496" s="1153"/>
      <c r="AP496" s="1153"/>
      <c r="AQ496" s="1153"/>
      <c r="AR496" s="1153"/>
      <c r="AS496" s="1153"/>
      <c r="AT496" s="1153"/>
      <c r="AU496" s="748"/>
      <c r="AV496" s="748"/>
      <c r="AW496" s="752"/>
      <c r="AX496" s="748"/>
      <c r="AY496" s="748"/>
      <c r="AZ496" s="1155"/>
      <c r="BA496" s="753"/>
    </row>
    <row r="497" spans="1:53" s="1156" customFormat="1" ht="66.75" customHeight="1" x14ac:dyDescent="0.25">
      <c r="H497" s="754"/>
      <c r="AW497" s="1157"/>
      <c r="AZ497" s="1158"/>
      <c r="BA497" s="1159"/>
    </row>
    <row r="498" spans="1:53" s="1156" customFormat="1" ht="66.75" customHeight="1" x14ac:dyDescent="0.25">
      <c r="H498" s="754"/>
      <c r="AW498" s="1157"/>
      <c r="AZ498" s="1158"/>
      <c r="BA498" s="1159"/>
    </row>
    <row r="499" spans="1:53" s="1156" customFormat="1" ht="66.75" customHeight="1" x14ac:dyDescent="0.25">
      <c r="H499" s="754"/>
      <c r="AW499" s="1157"/>
      <c r="AZ499" s="1158"/>
      <c r="BA499" s="1159"/>
    </row>
    <row r="500" spans="1:53" s="1156" customFormat="1" ht="66.75" customHeight="1" x14ac:dyDescent="0.25">
      <c r="AW500" s="1157"/>
      <c r="AZ500" s="1160"/>
      <c r="BA500" s="1159"/>
    </row>
    <row r="501" spans="1:53" s="1156" customFormat="1" ht="66.75" customHeight="1" x14ac:dyDescent="0.25">
      <c r="AW501" s="1157"/>
      <c r="AZ501" s="1160"/>
      <c r="BA501" s="1159"/>
    </row>
    <row r="502" spans="1:53" x14ac:dyDescent="0.25">
      <c r="A502" s="1156"/>
      <c r="B502" s="1156"/>
      <c r="C502" s="1156"/>
      <c r="D502" s="1156"/>
      <c r="E502" s="1156"/>
      <c r="F502" s="1156"/>
      <c r="G502" s="1156"/>
      <c r="H502" s="1156"/>
      <c r="I502" s="1156"/>
      <c r="J502" s="1156"/>
      <c r="K502" s="1156"/>
      <c r="L502" s="1156"/>
      <c r="M502" s="1156"/>
      <c r="N502" s="1156"/>
      <c r="O502" s="1156"/>
      <c r="P502" s="1156"/>
      <c r="Q502" s="1156"/>
      <c r="R502" s="1156"/>
      <c r="S502" s="1156"/>
      <c r="T502" s="1156"/>
      <c r="U502" s="1156"/>
      <c r="V502" s="1156"/>
      <c r="W502" s="1156"/>
      <c r="X502" s="1156"/>
      <c r="Y502" s="1156"/>
      <c r="Z502" s="1156"/>
      <c r="AA502" s="1156"/>
      <c r="AB502" s="1156"/>
      <c r="AC502" s="1156"/>
      <c r="AD502" s="1156"/>
      <c r="AE502" s="1156"/>
      <c r="AF502" s="1156"/>
      <c r="AG502" s="1156"/>
      <c r="AH502" s="1156"/>
      <c r="AI502" s="1156"/>
      <c r="AJ502" s="1156"/>
      <c r="AK502" s="1156"/>
      <c r="AL502" s="1156"/>
      <c r="AM502" s="1156"/>
      <c r="AN502" s="1156"/>
      <c r="AO502" s="1156"/>
      <c r="AP502" s="1156"/>
      <c r="AQ502" s="1156"/>
      <c r="AR502" s="1156"/>
      <c r="AS502" s="1156"/>
      <c r="AT502" s="1156"/>
      <c r="AU502" s="1156"/>
      <c r="AV502" s="1156"/>
      <c r="AW502" s="1157"/>
      <c r="AX502" s="1156"/>
      <c r="AY502" s="1156"/>
      <c r="AZ502" s="1160"/>
      <c r="BA502" s="1159"/>
    </row>
  </sheetData>
  <dataConsolidate link="1">
    <dataRefs count="1">
      <dataRef ref="AQ46:AR252" sheet="Протокол" r:id="rId1"/>
    </dataRefs>
  </dataConsolidate>
  <mergeCells count="100">
    <mergeCell ref="B408:BD408"/>
    <mergeCell ref="B405:BD405"/>
    <mergeCell ref="B406:F406"/>
    <mergeCell ref="G406:U406"/>
    <mergeCell ref="V406:AJ406"/>
    <mergeCell ref="AK406:AW406"/>
    <mergeCell ref="AX406:AX407"/>
    <mergeCell ref="AY406:AY407"/>
    <mergeCell ref="AZ406:BD406"/>
    <mergeCell ref="B316:BD316"/>
    <mergeCell ref="B317:BD317"/>
    <mergeCell ref="U401:V401"/>
    <mergeCell ref="U402:V402"/>
    <mergeCell ref="U403:V403"/>
    <mergeCell ref="U404:V404"/>
    <mergeCell ref="AZ181:BD181"/>
    <mergeCell ref="B183:BD183"/>
    <mergeCell ref="B184:BD184"/>
    <mergeCell ref="B314:F314"/>
    <mergeCell ref="G314:U314"/>
    <mergeCell ref="V314:AJ314"/>
    <mergeCell ref="AK314:AW314"/>
    <mergeCell ref="AX314:AX315"/>
    <mergeCell ref="AY314:AY315"/>
    <mergeCell ref="AZ314:BD314"/>
    <mergeCell ref="B181:F181"/>
    <mergeCell ref="G181:U181"/>
    <mergeCell ref="V181:AJ181"/>
    <mergeCell ref="AK181:AW181"/>
    <mergeCell ref="AX181:AX182"/>
    <mergeCell ref="AY181:AY182"/>
    <mergeCell ref="U174:V174"/>
    <mergeCell ref="U175:V175"/>
    <mergeCell ref="U176:V176"/>
    <mergeCell ref="U177:V177"/>
    <mergeCell ref="U178:V178"/>
    <mergeCell ref="U179:V179"/>
    <mergeCell ref="B158:BD158"/>
    <mergeCell ref="B159:BD159"/>
    <mergeCell ref="B167:BD167"/>
    <mergeCell ref="J172:K172"/>
    <mergeCell ref="U172:V172"/>
    <mergeCell ref="U173:V173"/>
    <mergeCell ref="B111:BD111"/>
    <mergeCell ref="B112:BD112"/>
    <mergeCell ref="B145:BD145"/>
    <mergeCell ref="B156:F156"/>
    <mergeCell ref="G156:U156"/>
    <mergeCell ref="V156:AJ156"/>
    <mergeCell ref="AK156:AW156"/>
    <mergeCell ref="AX156:AX157"/>
    <mergeCell ref="AY156:AY157"/>
    <mergeCell ref="AZ156:BD156"/>
    <mergeCell ref="B89:BD89"/>
    <mergeCell ref="B108:C108"/>
    <mergeCell ref="B109:F109"/>
    <mergeCell ref="G109:U109"/>
    <mergeCell ref="V109:AJ109"/>
    <mergeCell ref="AK109:AW109"/>
    <mergeCell ref="AX109:AX110"/>
    <mergeCell ref="AY109:AY110"/>
    <mergeCell ref="AZ109:BD109"/>
    <mergeCell ref="AZ37:BD37"/>
    <mergeCell ref="B39:BD39"/>
    <mergeCell ref="B87:F87"/>
    <mergeCell ref="G87:U87"/>
    <mergeCell ref="V87:AJ87"/>
    <mergeCell ref="AK87:AW87"/>
    <mergeCell ref="AX87:AX88"/>
    <mergeCell ref="AY87:AY88"/>
    <mergeCell ref="AZ87:BD87"/>
    <mergeCell ref="B32:D32"/>
    <mergeCell ref="B33:D33"/>
    <mergeCell ref="B34:BD34"/>
    <mergeCell ref="B36:C36"/>
    <mergeCell ref="B37:F37"/>
    <mergeCell ref="G37:U37"/>
    <mergeCell ref="V37:AJ37"/>
    <mergeCell ref="AK37:AW37"/>
    <mergeCell ref="AX37:AX38"/>
    <mergeCell ref="AY37:AY38"/>
    <mergeCell ref="B26:D26"/>
    <mergeCell ref="B27:D27"/>
    <mergeCell ref="B28:D28"/>
    <mergeCell ref="B29:D29"/>
    <mergeCell ref="B30:D30"/>
    <mergeCell ref="B31:D31"/>
    <mergeCell ref="B20:D20"/>
    <mergeCell ref="B21:D21"/>
    <mergeCell ref="B22:D22"/>
    <mergeCell ref="B23:D23"/>
    <mergeCell ref="B24:D24"/>
    <mergeCell ref="B25:D25"/>
    <mergeCell ref="B12:BD12"/>
    <mergeCell ref="B13:BD13"/>
    <mergeCell ref="B14:BD14"/>
    <mergeCell ref="B18:D19"/>
    <mergeCell ref="E18:F18"/>
    <mergeCell ref="G18:H18"/>
    <mergeCell ref="I18:J18"/>
  </mergeCells>
  <printOptions horizontalCentered="1"/>
  <pageMargins left="0" right="0" top="0" bottom="0.39370078740157483" header="0" footer="0"/>
  <pageSetup paperSize="8" scale="16" fitToHeight="0" orientation="landscape" r:id="rId2"/>
  <headerFooter alignWithMargins="0">
    <oddFooter>&amp;C&amp;16Страница  &amp;P из &amp;N</oddFooter>
  </headerFooter>
  <rowBreaks count="2" manualBreakCount="2">
    <brk id="182" max="56" man="1"/>
    <brk id="536" max="6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I2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ТР нефть</vt:lpstr>
      <vt:lpstr>Протокол</vt:lpstr>
      <vt:lpstr>Лист1</vt:lpstr>
      <vt:lpstr>'ТР нефть'!Заголовки_для_печати</vt:lpstr>
      <vt:lpstr>Протокол!Область_печати</vt:lpstr>
      <vt:lpstr>'ТР нефть'!Область_печати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2023-06-27T06:36:37Z</dcterms:modified>
</cp:coreProperties>
</file>